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0225"/>
  <workbookPr autoCompressPictures="0"/>
  <bookViews>
    <workbookView xWindow="0" yWindow="0" windowWidth="22320" windowHeight="11480" activeTab="1"/>
  </bookViews>
  <sheets>
    <sheet name="Pitchbook" sheetId="6" r:id="rId1"/>
    <sheet name="Sheet1" sheetId="8" r:id="rId2"/>
  </sheets>
  <definedNames>
    <definedName name="_xlnm._FilterDatabase" localSheetId="0" hidden="1">Pitchbook!$H$1:$H$1998</definedName>
    <definedName name="CreatedFor">Pitchbook!#REF!</definedName>
    <definedName name="CreatedForTitle">Pitchbook!#REF!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EE1998" i="8" l="1"/>
  <c r="EE1997" i="8"/>
  <c r="EE1996" i="8"/>
  <c r="EE1995" i="8"/>
  <c r="EE1994" i="8"/>
  <c r="EE1993" i="8"/>
  <c r="EE1992" i="8"/>
  <c r="EE1991" i="8"/>
  <c r="EE1990" i="8"/>
  <c r="EE1989" i="8"/>
  <c r="EE1988" i="8"/>
  <c r="EE1987" i="8"/>
  <c r="EE1986" i="8"/>
  <c r="EE1985" i="8"/>
  <c r="EE1984" i="8"/>
  <c r="EE1983" i="8"/>
  <c r="EE1982" i="8"/>
  <c r="EE1981" i="8"/>
  <c r="EE1980" i="8"/>
  <c r="EE1979" i="8"/>
  <c r="EE1978" i="8"/>
  <c r="EE1977" i="8"/>
  <c r="EE1976" i="8"/>
  <c r="EE1975" i="8"/>
  <c r="EE1974" i="8"/>
  <c r="EE1973" i="8"/>
  <c r="EE1972" i="8"/>
  <c r="EE1971" i="8"/>
  <c r="EE1970" i="8"/>
  <c r="EE1969" i="8"/>
  <c r="EE1968" i="8"/>
  <c r="EE1967" i="8"/>
  <c r="EE1966" i="8"/>
  <c r="EE1965" i="8"/>
  <c r="EE1964" i="8"/>
  <c r="EE1963" i="8"/>
  <c r="EE1962" i="8"/>
  <c r="EE1961" i="8"/>
  <c r="EE1960" i="8"/>
  <c r="EE1959" i="8"/>
  <c r="EE1958" i="8"/>
  <c r="EE1957" i="8"/>
  <c r="EE1956" i="8"/>
  <c r="EE1955" i="8"/>
  <c r="EE1954" i="8"/>
  <c r="EE1953" i="8"/>
  <c r="EE1952" i="8"/>
  <c r="EE1951" i="8"/>
  <c r="EE1950" i="8"/>
  <c r="EE1949" i="8"/>
  <c r="EE1948" i="8"/>
  <c r="EE1947" i="8"/>
  <c r="EE1946" i="8"/>
  <c r="EE1945" i="8"/>
  <c r="EE1944" i="8"/>
  <c r="EE1943" i="8"/>
  <c r="EE1942" i="8"/>
  <c r="EE1941" i="8"/>
  <c r="EE1940" i="8"/>
  <c r="EE1939" i="8"/>
  <c r="EE1938" i="8"/>
  <c r="EE1937" i="8"/>
  <c r="EE1936" i="8"/>
  <c r="EE1935" i="8"/>
  <c r="EE1934" i="8"/>
  <c r="EE1933" i="8"/>
  <c r="EE1932" i="8"/>
  <c r="EE1931" i="8"/>
  <c r="EE1930" i="8"/>
  <c r="EE1929" i="8"/>
  <c r="EE1928" i="8"/>
  <c r="EE1927" i="8"/>
  <c r="EE1926" i="8"/>
  <c r="EE1925" i="8"/>
  <c r="EE1924" i="8"/>
  <c r="EE1923" i="8"/>
  <c r="EE1922" i="8"/>
  <c r="EE1921" i="8"/>
  <c r="EE1920" i="8"/>
  <c r="EE1919" i="8"/>
  <c r="EE1918" i="8"/>
  <c r="EE1917" i="8"/>
  <c r="EE1916" i="8"/>
  <c r="EE1915" i="8"/>
  <c r="EE1914" i="8"/>
  <c r="EE1913" i="8"/>
  <c r="EE1912" i="8"/>
  <c r="EE1911" i="8"/>
  <c r="EE1910" i="8"/>
  <c r="EE1909" i="8"/>
  <c r="EE1908" i="8"/>
  <c r="EE1907" i="8"/>
  <c r="EE1906" i="8"/>
  <c r="EE1905" i="8"/>
  <c r="EE1904" i="8"/>
  <c r="EE1903" i="8"/>
  <c r="EE1902" i="8"/>
  <c r="EE1901" i="8"/>
  <c r="EE1900" i="8"/>
  <c r="EE1899" i="8"/>
  <c r="EE1898" i="8"/>
  <c r="EE1897" i="8"/>
  <c r="EE1896" i="8"/>
  <c r="EE1895" i="8"/>
  <c r="EE1894" i="8"/>
  <c r="EE1893" i="8"/>
  <c r="EE1892" i="8"/>
  <c r="EE1891" i="8"/>
  <c r="EE1890" i="8"/>
  <c r="EE1889" i="8"/>
  <c r="EE1888" i="8"/>
  <c r="EE1887" i="8"/>
  <c r="EE1886" i="8"/>
  <c r="EE1885" i="8"/>
  <c r="EE1884" i="8"/>
  <c r="EE1883" i="8"/>
  <c r="EE1882" i="8"/>
  <c r="EE1881" i="8"/>
  <c r="EE1880" i="8"/>
  <c r="EE1879" i="8"/>
  <c r="EE1878" i="8"/>
  <c r="EE1877" i="8"/>
  <c r="EE1876" i="8"/>
  <c r="EE1875" i="8"/>
  <c r="EE1874" i="8"/>
  <c r="EE1873" i="8"/>
  <c r="EE1872" i="8"/>
  <c r="EE1871" i="8"/>
  <c r="EE1870" i="8"/>
  <c r="EE1869" i="8"/>
  <c r="EE1868" i="8"/>
  <c r="EE1867" i="8"/>
  <c r="EE1866" i="8"/>
  <c r="EE1865" i="8"/>
  <c r="EE1864" i="8"/>
  <c r="EE1863" i="8"/>
  <c r="EE1862" i="8"/>
  <c r="EE1861" i="8"/>
  <c r="EE1860" i="8"/>
  <c r="EE1859" i="8"/>
  <c r="EE1858" i="8"/>
  <c r="EE1857" i="8"/>
  <c r="EE1856" i="8"/>
  <c r="EE1855" i="8"/>
  <c r="EE1854" i="8"/>
  <c r="EE1853" i="8"/>
  <c r="EE1852" i="8"/>
  <c r="EE1851" i="8"/>
  <c r="EE1850" i="8"/>
  <c r="EE1849" i="8"/>
  <c r="EE1848" i="8"/>
  <c r="EE1847" i="8"/>
  <c r="EE1846" i="8"/>
  <c r="EE1845" i="8"/>
  <c r="EE1844" i="8"/>
  <c r="EE1843" i="8"/>
  <c r="EE1842" i="8"/>
  <c r="EE1841" i="8"/>
  <c r="EE1840" i="8"/>
  <c r="EE1839" i="8"/>
  <c r="EE1838" i="8"/>
  <c r="EE1837" i="8"/>
  <c r="EE1836" i="8"/>
  <c r="EE1835" i="8"/>
  <c r="EE1834" i="8"/>
  <c r="EE1833" i="8"/>
  <c r="EE1832" i="8"/>
  <c r="EE1831" i="8"/>
  <c r="EE1830" i="8"/>
  <c r="EE1829" i="8"/>
  <c r="EE1828" i="8"/>
  <c r="EE1827" i="8"/>
  <c r="EE1826" i="8"/>
  <c r="EE1825" i="8"/>
  <c r="EE1824" i="8"/>
  <c r="EE1823" i="8"/>
  <c r="EE1822" i="8"/>
  <c r="EE1821" i="8"/>
  <c r="EE1820" i="8"/>
  <c r="EE1819" i="8"/>
  <c r="EE1818" i="8"/>
  <c r="EE1817" i="8"/>
  <c r="EE1816" i="8"/>
  <c r="EE1815" i="8"/>
  <c r="EE1814" i="8"/>
  <c r="EE1813" i="8"/>
  <c r="EE1812" i="8"/>
  <c r="EE1811" i="8"/>
  <c r="EE1810" i="8"/>
  <c r="EE1809" i="8"/>
  <c r="EE1808" i="8"/>
  <c r="EE1807" i="8"/>
  <c r="EE1806" i="8"/>
  <c r="EE1805" i="8"/>
  <c r="EE1804" i="8"/>
  <c r="EE1803" i="8"/>
  <c r="EE1802" i="8"/>
  <c r="EE1801" i="8"/>
  <c r="EE1800" i="8"/>
  <c r="EE1799" i="8"/>
  <c r="EE1798" i="8"/>
  <c r="EE1797" i="8"/>
  <c r="EE1796" i="8"/>
  <c r="EE1795" i="8"/>
  <c r="EE1794" i="8"/>
  <c r="EE1793" i="8"/>
  <c r="EE1792" i="8"/>
  <c r="EE1791" i="8"/>
  <c r="EE1790" i="8"/>
  <c r="EE1789" i="8"/>
  <c r="EE1788" i="8"/>
  <c r="EE1787" i="8"/>
  <c r="EE1786" i="8"/>
  <c r="EE1785" i="8"/>
  <c r="EE1784" i="8"/>
  <c r="EE1783" i="8"/>
  <c r="EE1782" i="8"/>
  <c r="EE1781" i="8"/>
  <c r="EE1780" i="8"/>
  <c r="EE1779" i="8"/>
  <c r="EE1778" i="8"/>
  <c r="EE1777" i="8"/>
  <c r="EE1776" i="8"/>
  <c r="EE1775" i="8"/>
  <c r="EE1774" i="8"/>
  <c r="EE1773" i="8"/>
  <c r="EE1772" i="8"/>
  <c r="EE1771" i="8"/>
  <c r="EE1770" i="8"/>
  <c r="EE1769" i="8"/>
  <c r="EE1768" i="8"/>
  <c r="EE1767" i="8"/>
  <c r="EE1766" i="8"/>
  <c r="EE1765" i="8"/>
  <c r="EE1764" i="8"/>
  <c r="EE1763" i="8"/>
  <c r="EE1762" i="8"/>
  <c r="EE1761" i="8"/>
  <c r="EE1760" i="8"/>
  <c r="EE1759" i="8"/>
  <c r="EE1758" i="8"/>
  <c r="EE1757" i="8"/>
  <c r="EE1756" i="8"/>
  <c r="EE1755" i="8"/>
  <c r="EE1754" i="8"/>
  <c r="EE1753" i="8"/>
  <c r="EE1752" i="8"/>
  <c r="EE1751" i="8"/>
  <c r="EE1750" i="8"/>
  <c r="EE1749" i="8"/>
  <c r="EE1748" i="8"/>
  <c r="EE1747" i="8"/>
  <c r="EE1746" i="8"/>
  <c r="EE1745" i="8"/>
  <c r="EE1744" i="8"/>
  <c r="EE1743" i="8"/>
  <c r="EE1742" i="8"/>
  <c r="EE1741" i="8"/>
  <c r="EE1740" i="8"/>
  <c r="EE1739" i="8"/>
  <c r="EE1738" i="8"/>
  <c r="EE1737" i="8"/>
  <c r="EE1736" i="8"/>
  <c r="EE1735" i="8"/>
  <c r="EE1734" i="8"/>
  <c r="EE1733" i="8"/>
  <c r="EE1732" i="8"/>
  <c r="EE1731" i="8"/>
  <c r="EE1730" i="8"/>
  <c r="EE1729" i="8"/>
  <c r="EE1728" i="8"/>
  <c r="EE1727" i="8"/>
  <c r="EE1726" i="8"/>
  <c r="EE1725" i="8"/>
  <c r="EE1724" i="8"/>
  <c r="EE1723" i="8"/>
  <c r="EE1722" i="8"/>
  <c r="EE1721" i="8"/>
  <c r="EE1720" i="8"/>
  <c r="EE1719" i="8"/>
  <c r="EE1718" i="8"/>
  <c r="EE1717" i="8"/>
  <c r="EE1716" i="8"/>
  <c r="EE1715" i="8"/>
  <c r="EE1714" i="8"/>
  <c r="EE1713" i="8"/>
  <c r="EE1712" i="8"/>
  <c r="EE1711" i="8"/>
  <c r="EE1710" i="8"/>
  <c r="EE1709" i="8"/>
  <c r="EE1708" i="8"/>
  <c r="EE1707" i="8"/>
  <c r="EE1706" i="8"/>
  <c r="EE1705" i="8"/>
  <c r="EE1704" i="8"/>
  <c r="EE1703" i="8"/>
  <c r="EE1702" i="8"/>
  <c r="EE1701" i="8"/>
  <c r="EE1700" i="8"/>
  <c r="EE1699" i="8"/>
  <c r="EE1698" i="8"/>
  <c r="EE1697" i="8"/>
  <c r="EE1696" i="8"/>
  <c r="EE1695" i="8"/>
  <c r="EE1694" i="8"/>
  <c r="EE1693" i="8"/>
  <c r="EE1692" i="8"/>
  <c r="EE1691" i="8"/>
  <c r="EE1690" i="8"/>
  <c r="EE1689" i="8"/>
  <c r="EE1688" i="8"/>
  <c r="EE1687" i="8"/>
  <c r="EE1686" i="8"/>
  <c r="EE1685" i="8"/>
  <c r="EE1684" i="8"/>
  <c r="EE1683" i="8"/>
  <c r="EE1682" i="8"/>
  <c r="EE1681" i="8"/>
  <c r="EE1680" i="8"/>
  <c r="EE1679" i="8"/>
  <c r="EE1678" i="8"/>
  <c r="EE1677" i="8"/>
  <c r="EE1676" i="8"/>
  <c r="EE1675" i="8"/>
  <c r="EE1674" i="8"/>
  <c r="EE1673" i="8"/>
  <c r="EE1672" i="8"/>
  <c r="EE1671" i="8"/>
  <c r="EE1670" i="8"/>
  <c r="EE1669" i="8"/>
  <c r="EE1668" i="8"/>
  <c r="EE1667" i="8"/>
  <c r="EE1666" i="8"/>
  <c r="EE1665" i="8"/>
  <c r="EE1664" i="8"/>
  <c r="EE1663" i="8"/>
  <c r="EE1662" i="8"/>
  <c r="EE1661" i="8"/>
  <c r="EE1660" i="8"/>
  <c r="EE1659" i="8"/>
  <c r="EE1658" i="8"/>
  <c r="EE1657" i="8"/>
  <c r="EE1656" i="8"/>
  <c r="EE1655" i="8"/>
  <c r="EE1654" i="8"/>
  <c r="EE1653" i="8"/>
  <c r="EE1652" i="8"/>
  <c r="EE1651" i="8"/>
  <c r="EE1650" i="8"/>
  <c r="EE1649" i="8"/>
  <c r="EE1648" i="8"/>
  <c r="EE1647" i="8"/>
  <c r="EE1646" i="8"/>
  <c r="EE1645" i="8"/>
  <c r="EE1644" i="8"/>
  <c r="EE1643" i="8"/>
  <c r="EE1642" i="8"/>
  <c r="EE1641" i="8"/>
  <c r="EE1640" i="8"/>
  <c r="EE1639" i="8"/>
  <c r="EE1638" i="8"/>
  <c r="EE1637" i="8"/>
  <c r="EE1636" i="8"/>
  <c r="EE1635" i="8"/>
  <c r="EE1634" i="8"/>
  <c r="EE1633" i="8"/>
  <c r="EE1632" i="8"/>
  <c r="EE1631" i="8"/>
  <c r="EE1630" i="8"/>
  <c r="EE1629" i="8"/>
  <c r="EE1628" i="8"/>
  <c r="EE1627" i="8"/>
  <c r="EE1626" i="8"/>
  <c r="EE1625" i="8"/>
  <c r="EE1624" i="8"/>
  <c r="EE1623" i="8"/>
  <c r="EE1622" i="8"/>
  <c r="EE1621" i="8"/>
  <c r="EE1620" i="8"/>
  <c r="EE1619" i="8"/>
  <c r="EE1618" i="8"/>
  <c r="EE1617" i="8"/>
  <c r="EE1616" i="8"/>
  <c r="EE1615" i="8"/>
  <c r="EE1614" i="8"/>
  <c r="EE1613" i="8"/>
  <c r="EE1612" i="8"/>
  <c r="EE1611" i="8"/>
  <c r="EE1610" i="8"/>
  <c r="EE1609" i="8"/>
  <c r="EE1608" i="8"/>
  <c r="EE1607" i="8"/>
  <c r="EE1606" i="8"/>
  <c r="EE1605" i="8"/>
  <c r="EE1604" i="8"/>
  <c r="EE1603" i="8"/>
  <c r="EE1602" i="8"/>
  <c r="EE1601" i="8"/>
  <c r="EE1600" i="8"/>
  <c r="EE1599" i="8"/>
  <c r="EE1598" i="8"/>
  <c r="EE1597" i="8"/>
  <c r="EE1596" i="8"/>
  <c r="EE1595" i="8"/>
  <c r="EE1594" i="8"/>
  <c r="EE1593" i="8"/>
  <c r="EE1592" i="8"/>
  <c r="EE1591" i="8"/>
  <c r="EE1590" i="8"/>
  <c r="EE1589" i="8"/>
  <c r="EE1588" i="8"/>
  <c r="EE1587" i="8"/>
  <c r="EE1586" i="8"/>
  <c r="EE1585" i="8"/>
  <c r="EE1584" i="8"/>
  <c r="EE1583" i="8"/>
  <c r="EE1582" i="8"/>
  <c r="EE1581" i="8"/>
  <c r="EE1580" i="8"/>
  <c r="EE1579" i="8"/>
  <c r="EE1578" i="8"/>
  <c r="EE1577" i="8"/>
  <c r="EE1576" i="8"/>
  <c r="EE1575" i="8"/>
  <c r="EE1574" i="8"/>
  <c r="EE1573" i="8"/>
  <c r="EE1572" i="8"/>
  <c r="EE1571" i="8"/>
  <c r="EE1570" i="8"/>
  <c r="EE1569" i="8"/>
  <c r="EE1568" i="8"/>
  <c r="EE1567" i="8"/>
  <c r="EE1566" i="8"/>
  <c r="EE1565" i="8"/>
  <c r="EE1564" i="8"/>
  <c r="EE1563" i="8"/>
  <c r="EE1562" i="8"/>
  <c r="EE1561" i="8"/>
  <c r="EE1560" i="8"/>
  <c r="EE1559" i="8"/>
  <c r="EE1558" i="8"/>
  <c r="EE1557" i="8"/>
  <c r="EE1556" i="8"/>
  <c r="EE1555" i="8"/>
  <c r="EE1554" i="8"/>
  <c r="EE1553" i="8"/>
  <c r="EE1552" i="8"/>
  <c r="EE1551" i="8"/>
  <c r="EE1550" i="8"/>
  <c r="EE1549" i="8"/>
  <c r="EE1548" i="8"/>
  <c r="EE1547" i="8"/>
  <c r="EE1546" i="8"/>
  <c r="EE1545" i="8"/>
  <c r="EE1544" i="8"/>
  <c r="EE1543" i="8"/>
  <c r="EE1542" i="8"/>
  <c r="EE1541" i="8"/>
  <c r="EE1540" i="8"/>
  <c r="EE1539" i="8"/>
  <c r="EE1538" i="8"/>
  <c r="EE1537" i="8"/>
  <c r="EE1536" i="8"/>
  <c r="EE1535" i="8"/>
  <c r="EE1534" i="8"/>
  <c r="EE1533" i="8"/>
  <c r="EE1532" i="8"/>
  <c r="EE1531" i="8"/>
  <c r="EE1530" i="8"/>
  <c r="EE1529" i="8"/>
  <c r="EE1528" i="8"/>
  <c r="EE1527" i="8"/>
  <c r="EE1526" i="8"/>
  <c r="EE1525" i="8"/>
  <c r="EE1524" i="8"/>
  <c r="EE1523" i="8"/>
  <c r="EE1522" i="8"/>
  <c r="EE1521" i="8"/>
  <c r="EE1520" i="8"/>
  <c r="EE1519" i="8"/>
  <c r="EE1518" i="8"/>
  <c r="EE1517" i="8"/>
  <c r="EE1516" i="8"/>
  <c r="EE1515" i="8"/>
  <c r="EE1514" i="8"/>
  <c r="EE1513" i="8"/>
  <c r="EE1512" i="8"/>
  <c r="EE1511" i="8"/>
  <c r="EE1510" i="8"/>
  <c r="EE1509" i="8"/>
  <c r="EE1508" i="8"/>
  <c r="EE1507" i="8"/>
  <c r="EE1506" i="8"/>
  <c r="EE1505" i="8"/>
  <c r="EE1504" i="8"/>
  <c r="EE1503" i="8"/>
  <c r="EE1502" i="8"/>
  <c r="EE1501" i="8"/>
  <c r="EE1500" i="8"/>
  <c r="EE1499" i="8"/>
  <c r="EE1498" i="8"/>
  <c r="EE1497" i="8"/>
  <c r="EE1496" i="8"/>
  <c r="EE1495" i="8"/>
  <c r="EE1494" i="8"/>
  <c r="EE1493" i="8"/>
  <c r="EE1492" i="8"/>
  <c r="EE1491" i="8"/>
  <c r="EE1490" i="8"/>
  <c r="EE1489" i="8"/>
  <c r="EE1488" i="8"/>
  <c r="EE1487" i="8"/>
  <c r="EE1486" i="8"/>
  <c r="EE1485" i="8"/>
  <c r="EE1484" i="8"/>
  <c r="EE1483" i="8"/>
  <c r="EE1482" i="8"/>
  <c r="EE1481" i="8"/>
  <c r="EE1480" i="8"/>
  <c r="EE1479" i="8"/>
  <c r="EE1478" i="8"/>
  <c r="EE1477" i="8"/>
  <c r="EE1476" i="8"/>
  <c r="EE1475" i="8"/>
  <c r="EE1474" i="8"/>
  <c r="EE1473" i="8"/>
  <c r="EE1472" i="8"/>
  <c r="EE1471" i="8"/>
  <c r="EE1470" i="8"/>
  <c r="EE1469" i="8"/>
  <c r="EE1468" i="8"/>
  <c r="EE1467" i="8"/>
  <c r="EE1466" i="8"/>
  <c r="EE1465" i="8"/>
  <c r="EE1464" i="8"/>
  <c r="EE1463" i="8"/>
  <c r="EE1462" i="8"/>
  <c r="EE1461" i="8"/>
  <c r="EE1460" i="8"/>
  <c r="EE1459" i="8"/>
  <c r="EE1458" i="8"/>
  <c r="EE1457" i="8"/>
  <c r="EE1456" i="8"/>
  <c r="EE1455" i="8"/>
  <c r="EE1454" i="8"/>
  <c r="EE1453" i="8"/>
  <c r="EE1452" i="8"/>
  <c r="EE1451" i="8"/>
  <c r="EE1450" i="8"/>
  <c r="EE1449" i="8"/>
  <c r="EE1448" i="8"/>
  <c r="EE1447" i="8"/>
  <c r="EE1446" i="8"/>
  <c r="EE1445" i="8"/>
  <c r="EE1444" i="8"/>
  <c r="EE1443" i="8"/>
  <c r="EE1442" i="8"/>
  <c r="EE1441" i="8"/>
  <c r="EE1440" i="8"/>
  <c r="EE1439" i="8"/>
  <c r="EE1438" i="8"/>
  <c r="EE1437" i="8"/>
  <c r="EE1436" i="8"/>
  <c r="EE1435" i="8"/>
  <c r="EE1434" i="8"/>
  <c r="EE1433" i="8"/>
  <c r="EE1432" i="8"/>
  <c r="EE1431" i="8"/>
  <c r="EE1430" i="8"/>
  <c r="EE1429" i="8"/>
  <c r="EE1428" i="8"/>
  <c r="EE1427" i="8"/>
  <c r="EE1426" i="8"/>
  <c r="EE1425" i="8"/>
  <c r="EE1424" i="8"/>
  <c r="EE1423" i="8"/>
  <c r="EE1422" i="8"/>
  <c r="EE1421" i="8"/>
  <c r="EE1420" i="8"/>
  <c r="EE1419" i="8"/>
  <c r="EE1418" i="8"/>
  <c r="EE1417" i="8"/>
  <c r="EE1416" i="8"/>
  <c r="EE1415" i="8"/>
  <c r="EE1414" i="8"/>
  <c r="EE1413" i="8"/>
  <c r="EE1412" i="8"/>
  <c r="EE1411" i="8"/>
  <c r="EE1410" i="8"/>
  <c r="EE1409" i="8"/>
  <c r="EE1408" i="8"/>
  <c r="EE1407" i="8"/>
  <c r="EE1406" i="8"/>
  <c r="EE1405" i="8"/>
  <c r="EE1404" i="8"/>
  <c r="EE1403" i="8"/>
  <c r="EE1402" i="8"/>
  <c r="EE1401" i="8"/>
  <c r="EE1400" i="8"/>
  <c r="EE1399" i="8"/>
  <c r="EE1398" i="8"/>
  <c r="EE1397" i="8"/>
  <c r="EE1396" i="8"/>
  <c r="EE1395" i="8"/>
  <c r="EE1394" i="8"/>
  <c r="EE1393" i="8"/>
  <c r="EE1392" i="8"/>
  <c r="EE1391" i="8"/>
  <c r="EE1390" i="8"/>
  <c r="EE1389" i="8"/>
  <c r="EE1388" i="8"/>
  <c r="EE1387" i="8"/>
  <c r="EE1386" i="8"/>
  <c r="EE1385" i="8"/>
  <c r="EE1384" i="8"/>
  <c r="EE1383" i="8"/>
  <c r="EE1382" i="8"/>
  <c r="EE1381" i="8"/>
  <c r="EE1380" i="8"/>
  <c r="EE1379" i="8"/>
  <c r="EE1378" i="8"/>
  <c r="EE1377" i="8"/>
  <c r="EE1376" i="8"/>
  <c r="EE1375" i="8"/>
  <c r="EE1374" i="8"/>
  <c r="EE1373" i="8"/>
  <c r="EE1372" i="8"/>
  <c r="EE1371" i="8"/>
  <c r="EE1370" i="8"/>
  <c r="EE1369" i="8"/>
  <c r="EE1368" i="8"/>
  <c r="EE1367" i="8"/>
  <c r="EE1366" i="8"/>
  <c r="EE1365" i="8"/>
  <c r="EE1364" i="8"/>
  <c r="EE1363" i="8"/>
  <c r="EE1362" i="8"/>
  <c r="EE1361" i="8"/>
  <c r="EE1360" i="8"/>
  <c r="EE1359" i="8"/>
  <c r="EE1358" i="8"/>
  <c r="EE1357" i="8"/>
  <c r="EE1356" i="8"/>
  <c r="EE1355" i="8"/>
  <c r="EE1354" i="8"/>
  <c r="EE1353" i="8"/>
  <c r="EE1352" i="8"/>
  <c r="EE1351" i="8"/>
  <c r="EE1350" i="8"/>
  <c r="EE1349" i="8"/>
  <c r="EE1348" i="8"/>
  <c r="EE1347" i="8"/>
  <c r="EE1346" i="8"/>
  <c r="EE1345" i="8"/>
  <c r="EE1344" i="8"/>
  <c r="EE1343" i="8"/>
  <c r="EE1342" i="8"/>
  <c r="EE1341" i="8"/>
  <c r="EE1340" i="8"/>
  <c r="EE1339" i="8"/>
  <c r="EE1338" i="8"/>
  <c r="EE1337" i="8"/>
  <c r="EE1336" i="8"/>
  <c r="EE1335" i="8"/>
  <c r="EE1334" i="8"/>
  <c r="EE1333" i="8"/>
  <c r="EE1332" i="8"/>
  <c r="EE1331" i="8"/>
  <c r="EE1330" i="8"/>
  <c r="EE1329" i="8"/>
  <c r="EE1328" i="8"/>
  <c r="EE1327" i="8"/>
  <c r="EE1326" i="8"/>
  <c r="EE1325" i="8"/>
  <c r="EE1324" i="8"/>
  <c r="EE1323" i="8"/>
  <c r="EE1322" i="8"/>
  <c r="EE1321" i="8"/>
  <c r="EE1320" i="8"/>
  <c r="EE1319" i="8"/>
  <c r="EE1318" i="8"/>
  <c r="EE1317" i="8"/>
  <c r="EE1316" i="8"/>
  <c r="EE1315" i="8"/>
  <c r="EE1314" i="8"/>
  <c r="EE1313" i="8"/>
  <c r="EE1312" i="8"/>
  <c r="EE1311" i="8"/>
  <c r="EE1310" i="8"/>
  <c r="EE1309" i="8"/>
  <c r="EE1308" i="8"/>
  <c r="EE1307" i="8"/>
  <c r="EE1306" i="8"/>
  <c r="EE1305" i="8"/>
  <c r="EE1304" i="8"/>
  <c r="EE1303" i="8"/>
  <c r="EE1302" i="8"/>
  <c r="EE1301" i="8"/>
  <c r="EE1300" i="8"/>
  <c r="EE1299" i="8"/>
  <c r="EE1298" i="8"/>
  <c r="EE1297" i="8"/>
  <c r="EE1296" i="8"/>
  <c r="EE1295" i="8"/>
  <c r="EE1294" i="8"/>
  <c r="EE1293" i="8"/>
  <c r="EE1292" i="8"/>
  <c r="EE1291" i="8"/>
  <c r="EE1290" i="8"/>
  <c r="EE1289" i="8"/>
  <c r="EE1288" i="8"/>
  <c r="EE1287" i="8"/>
  <c r="EE1286" i="8"/>
  <c r="EE1285" i="8"/>
  <c r="EE1284" i="8"/>
  <c r="EE1283" i="8"/>
  <c r="EE1282" i="8"/>
  <c r="EE1281" i="8"/>
  <c r="EE1280" i="8"/>
  <c r="EE1279" i="8"/>
  <c r="EE1278" i="8"/>
  <c r="EE1277" i="8"/>
  <c r="EE1276" i="8"/>
  <c r="EE1275" i="8"/>
  <c r="EE1274" i="8"/>
  <c r="EE1273" i="8"/>
  <c r="EE1272" i="8"/>
  <c r="EE1271" i="8"/>
  <c r="EE1270" i="8"/>
  <c r="EE1269" i="8"/>
  <c r="EE1268" i="8"/>
  <c r="EE1267" i="8"/>
  <c r="EE1266" i="8"/>
  <c r="EE1265" i="8"/>
  <c r="EE1264" i="8"/>
  <c r="EE1263" i="8"/>
  <c r="EE1262" i="8"/>
  <c r="EE1261" i="8"/>
  <c r="EE1260" i="8"/>
  <c r="EE1259" i="8"/>
  <c r="EE1258" i="8"/>
  <c r="EE1257" i="8"/>
  <c r="EE1256" i="8"/>
  <c r="EE1255" i="8"/>
  <c r="EE1254" i="8"/>
  <c r="EE1253" i="8"/>
  <c r="EE1252" i="8"/>
  <c r="EE1251" i="8"/>
  <c r="EE1250" i="8"/>
  <c r="EE1249" i="8"/>
  <c r="EE1248" i="8"/>
  <c r="EE1247" i="8"/>
  <c r="EE1246" i="8"/>
  <c r="EE1245" i="8"/>
  <c r="EE1244" i="8"/>
  <c r="EE1243" i="8"/>
  <c r="EE1242" i="8"/>
  <c r="EE1241" i="8"/>
  <c r="EE1240" i="8"/>
  <c r="EE1239" i="8"/>
  <c r="EE1238" i="8"/>
  <c r="EE1237" i="8"/>
  <c r="EE1236" i="8"/>
  <c r="EE1235" i="8"/>
  <c r="EE1234" i="8"/>
  <c r="EE1233" i="8"/>
  <c r="EE1232" i="8"/>
  <c r="EE1231" i="8"/>
  <c r="EE1230" i="8"/>
  <c r="EE1229" i="8"/>
  <c r="EE1228" i="8"/>
  <c r="EE1227" i="8"/>
  <c r="EE1226" i="8"/>
  <c r="EE1225" i="8"/>
  <c r="EE1224" i="8"/>
  <c r="EE1223" i="8"/>
  <c r="EE1222" i="8"/>
  <c r="EE1221" i="8"/>
  <c r="EE1220" i="8"/>
  <c r="EE1219" i="8"/>
  <c r="EE1218" i="8"/>
  <c r="EE1217" i="8"/>
  <c r="EE1216" i="8"/>
  <c r="EE1215" i="8"/>
  <c r="EE1214" i="8"/>
  <c r="EE1213" i="8"/>
  <c r="EE1212" i="8"/>
  <c r="EE1211" i="8"/>
  <c r="EE1210" i="8"/>
  <c r="EE1209" i="8"/>
  <c r="EE1208" i="8"/>
  <c r="EE1207" i="8"/>
  <c r="EE1206" i="8"/>
  <c r="EE1205" i="8"/>
  <c r="EE1204" i="8"/>
  <c r="EE1203" i="8"/>
  <c r="EE1202" i="8"/>
  <c r="EE1201" i="8"/>
  <c r="EE1200" i="8"/>
  <c r="EE1199" i="8"/>
  <c r="EE1198" i="8"/>
  <c r="EE1197" i="8"/>
  <c r="EE1196" i="8"/>
  <c r="EE1195" i="8"/>
  <c r="EE1194" i="8"/>
  <c r="EE1193" i="8"/>
  <c r="EE1192" i="8"/>
  <c r="EE1191" i="8"/>
  <c r="EE1190" i="8"/>
  <c r="EE1189" i="8"/>
  <c r="EE1188" i="8"/>
  <c r="EE1187" i="8"/>
  <c r="EE1186" i="8"/>
  <c r="EE1185" i="8"/>
  <c r="EE1184" i="8"/>
  <c r="EE1183" i="8"/>
  <c r="EE1182" i="8"/>
  <c r="EE1181" i="8"/>
  <c r="EE1180" i="8"/>
  <c r="EE1179" i="8"/>
  <c r="EE1178" i="8"/>
  <c r="EE1177" i="8"/>
  <c r="EE1176" i="8"/>
  <c r="EE1175" i="8"/>
  <c r="EE1174" i="8"/>
  <c r="EE1173" i="8"/>
  <c r="EE1172" i="8"/>
  <c r="EE1171" i="8"/>
  <c r="EE1170" i="8"/>
  <c r="EE1169" i="8"/>
  <c r="EE1168" i="8"/>
  <c r="EE1167" i="8"/>
  <c r="EE1166" i="8"/>
  <c r="EE1165" i="8"/>
  <c r="EE1164" i="8"/>
  <c r="EE1163" i="8"/>
  <c r="EE1162" i="8"/>
  <c r="EE1161" i="8"/>
  <c r="EE1160" i="8"/>
  <c r="EE1159" i="8"/>
  <c r="EE1158" i="8"/>
  <c r="EE1157" i="8"/>
  <c r="EE1156" i="8"/>
  <c r="EE1155" i="8"/>
  <c r="EE1154" i="8"/>
  <c r="EE1153" i="8"/>
  <c r="EE1152" i="8"/>
  <c r="EE1151" i="8"/>
  <c r="EE1150" i="8"/>
  <c r="EE1149" i="8"/>
  <c r="EE1148" i="8"/>
  <c r="EE1147" i="8"/>
  <c r="EE1146" i="8"/>
  <c r="EE1145" i="8"/>
  <c r="EE1144" i="8"/>
  <c r="EE1143" i="8"/>
  <c r="EE1142" i="8"/>
  <c r="EE1141" i="8"/>
  <c r="EE1140" i="8"/>
  <c r="EE1139" i="8"/>
  <c r="EE1138" i="8"/>
  <c r="EE1137" i="8"/>
  <c r="EE1136" i="8"/>
  <c r="EE1135" i="8"/>
  <c r="EE1134" i="8"/>
  <c r="EE1133" i="8"/>
  <c r="EE1132" i="8"/>
  <c r="EE1131" i="8"/>
  <c r="EE1130" i="8"/>
  <c r="EE1129" i="8"/>
  <c r="EE1128" i="8"/>
  <c r="EE1127" i="8"/>
  <c r="EE1126" i="8"/>
  <c r="EE1125" i="8"/>
  <c r="EE1124" i="8"/>
  <c r="EE1123" i="8"/>
  <c r="EE1122" i="8"/>
  <c r="EE1121" i="8"/>
  <c r="EE1120" i="8"/>
  <c r="EE1119" i="8"/>
  <c r="EE1118" i="8"/>
  <c r="EE1117" i="8"/>
  <c r="EE1116" i="8"/>
  <c r="EE1115" i="8"/>
  <c r="EE1114" i="8"/>
  <c r="EE1113" i="8"/>
  <c r="EE1112" i="8"/>
  <c r="EE1111" i="8"/>
  <c r="EE1110" i="8"/>
  <c r="EE1109" i="8"/>
  <c r="EE1108" i="8"/>
  <c r="EE1107" i="8"/>
  <c r="EE1106" i="8"/>
  <c r="EE1105" i="8"/>
  <c r="EE1104" i="8"/>
  <c r="EE1103" i="8"/>
  <c r="EE1102" i="8"/>
  <c r="EE1101" i="8"/>
  <c r="EE1100" i="8"/>
  <c r="EE1099" i="8"/>
  <c r="EE1098" i="8"/>
  <c r="EE1097" i="8"/>
  <c r="EE1096" i="8"/>
  <c r="EE1095" i="8"/>
  <c r="EE1094" i="8"/>
  <c r="EE1093" i="8"/>
  <c r="EE1092" i="8"/>
  <c r="EE1091" i="8"/>
  <c r="EE1090" i="8"/>
  <c r="EE1089" i="8"/>
  <c r="EE1088" i="8"/>
  <c r="EE1087" i="8"/>
  <c r="EE1086" i="8"/>
  <c r="EE1085" i="8"/>
  <c r="EE1084" i="8"/>
  <c r="EE1083" i="8"/>
  <c r="EE1082" i="8"/>
  <c r="EE1081" i="8"/>
  <c r="EE1080" i="8"/>
  <c r="EE1079" i="8"/>
  <c r="EE1078" i="8"/>
  <c r="EE1077" i="8"/>
  <c r="EE1076" i="8"/>
  <c r="EE1075" i="8"/>
  <c r="EE1074" i="8"/>
  <c r="EE1073" i="8"/>
  <c r="EE1072" i="8"/>
  <c r="EE1071" i="8"/>
  <c r="EE1070" i="8"/>
  <c r="EE1069" i="8"/>
  <c r="EE1068" i="8"/>
  <c r="EE1067" i="8"/>
  <c r="EE1066" i="8"/>
  <c r="EE1065" i="8"/>
  <c r="EE1064" i="8"/>
  <c r="EE1063" i="8"/>
  <c r="EE1062" i="8"/>
  <c r="EE1061" i="8"/>
  <c r="EE1060" i="8"/>
  <c r="EE1059" i="8"/>
  <c r="EE1058" i="8"/>
  <c r="EE1057" i="8"/>
  <c r="EE1056" i="8"/>
  <c r="EE1055" i="8"/>
  <c r="EE1054" i="8"/>
  <c r="EE1053" i="8"/>
  <c r="EE1052" i="8"/>
  <c r="EE1051" i="8"/>
  <c r="EE1050" i="8"/>
  <c r="EE1049" i="8"/>
  <c r="EE1048" i="8"/>
  <c r="EE1047" i="8"/>
  <c r="EE1046" i="8"/>
  <c r="EE1045" i="8"/>
  <c r="EE1044" i="8"/>
  <c r="EE1043" i="8"/>
  <c r="EE1042" i="8"/>
  <c r="EE1041" i="8"/>
  <c r="EE1040" i="8"/>
  <c r="EE1039" i="8"/>
  <c r="EE1038" i="8"/>
  <c r="EE1037" i="8"/>
  <c r="EE1036" i="8"/>
  <c r="EE1035" i="8"/>
  <c r="EE1034" i="8"/>
  <c r="EE1033" i="8"/>
  <c r="EE1032" i="8"/>
  <c r="EE1031" i="8"/>
  <c r="EE1030" i="8"/>
  <c r="EE1029" i="8"/>
  <c r="EE1028" i="8"/>
  <c r="EE1027" i="8"/>
  <c r="EE1026" i="8"/>
  <c r="EE1025" i="8"/>
  <c r="EE1024" i="8"/>
  <c r="EE1023" i="8"/>
  <c r="EE1022" i="8"/>
  <c r="EE1021" i="8"/>
  <c r="EE1020" i="8"/>
  <c r="EE1019" i="8"/>
  <c r="EE1018" i="8"/>
  <c r="EE1017" i="8"/>
  <c r="EE1016" i="8"/>
  <c r="EE1015" i="8"/>
  <c r="EE1014" i="8"/>
  <c r="EE1013" i="8"/>
  <c r="EE1012" i="8"/>
  <c r="EE1011" i="8"/>
  <c r="EE1010" i="8"/>
  <c r="EE1009" i="8"/>
  <c r="EE1008" i="8"/>
  <c r="EE1007" i="8"/>
  <c r="EE1006" i="8"/>
  <c r="EE1005" i="8"/>
  <c r="EE1004" i="8"/>
  <c r="EE1003" i="8"/>
  <c r="EE1002" i="8"/>
  <c r="EE1001" i="8"/>
  <c r="EE1000" i="8"/>
  <c r="EE999" i="8"/>
  <c r="EE998" i="8"/>
  <c r="EE997" i="8"/>
  <c r="EE996" i="8"/>
  <c r="EE995" i="8"/>
  <c r="EE994" i="8"/>
  <c r="EE993" i="8"/>
  <c r="EE992" i="8"/>
  <c r="EE991" i="8"/>
  <c r="EE990" i="8"/>
  <c r="EE989" i="8"/>
  <c r="EE988" i="8"/>
  <c r="EE987" i="8"/>
  <c r="EE986" i="8"/>
  <c r="EE985" i="8"/>
  <c r="EE984" i="8"/>
  <c r="EE983" i="8"/>
  <c r="EE982" i="8"/>
  <c r="EE981" i="8"/>
  <c r="EE980" i="8"/>
  <c r="EE979" i="8"/>
  <c r="EE978" i="8"/>
  <c r="EE977" i="8"/>
  <c r="EE976" i="8"/>
  <c r="EE975" i="8"/>
  <c r="EE974" i="8"/>
  <c r="EE973" i="8"/>
  <c r="EE972" i="8"/>
  <c r="EE971" i="8"/>
  <c r="EE970" i="8"/>
  <c r="EE969" i="8"/>
  <c r="EE968" i="8"/>
  <c r="EE967" i="8"/>
  <c r="EE966" i="8"/>
  <c r="EE965" i="8"/>
  <c r="EE964" i="8"/>
  <c r="EE963" i="8"/>
  <c r="EE962" i="8"/>
  <c r="EE961" i="8"/>
  <c r="EE960" i="8"/>
  <c r="EE959" i="8"/>
  <c r="EE958" i="8"/>
  <c r="EE957" i="8"/>
  <c r="EE956" i="8"/>
  <c r="EE955" i="8"/>
  <c r="EE954" i="8"/>
  <c r="EE953" i="8"/>
  <c r="EE952" i="8"/>
  <c r="EE951" i="8"/>
  <c r="EE950" i="8"/>
  <c r="EE949" i="8"/>
  <c r="EE948" i="8"/>
  <c r="EE947" i="8"/>
  <c r="EE946" i="8"/>
  <c r="EE945" i="8"/>
  <c r="EE944" i="8"/>
  <c r="EE943" i="8"/>
  <c r="EE942" i="8"/>
  <c r="EE941" i="8"/>
  <c r="EE940" i="8"/>
  <c r="EE939" i="8"/>
  <c r="EE938" i="8"/>
  <c r="EE937" i="8"/>
  <c r="EE936" i="8"/>
  <c r="EE935" i="8"/>
  <c r="EE934" i="8"/>
  <c r="EE933" i="8"/>
  <c r="EE932" i="8"/>
  <c r="EE931" i="8"/>
  <c r="EE930" i="8"/>
  <c r="EE929" i="8"/>
  <c r="EE928" i="8"/>
  <c r="EE927" i="8"/>
  <c r="EE926" i="8"/>
  <c r="EE925" i="8"/>
  <c r="EE924" i="8"/>
  <c r="EE923" i="8"/>
  <c r="EE922" i="8"/>
  <c r="EE921" i="8"/>
  <c r="EE920" i="8"/>
  <c r="EE919" i="8"/>
  <c r="EE918" i="8"/>
  <c r="EE917" i="8"/>
  <c r="EE916" i="8"/>
  <c r="EE915" i="8"/>
  <c r="EE914" i="8"/>
  <c r="EE913" i="8"/>
  <c r="EE912" i="8"/>
  <c r="EE911" i="8"/>
  <c r="EE910" i="8"/>
  <c r="EE909" i="8"/>
  <c r="EE908" i="8"/>
  <c r="EE907" i="8"/>
  <c r="EE906" i="8"/>
  <c r="EE905" i="8"/>
  <c r="EE904" i="8"/>
  <c r="EE903" i="8"/>
  <c r="EE902" i="8"/>
  <c r="EE901" i="8"/>
  <c r="EE900" i="8"/>
  <c r="EE899" i="8"/>
  <c r="EE898" i="8"/>
  <c r="EE897" i="8"/>
  <c r="EE896" i="8"/>
  <c r="EE895" i="8"/>
  <c r="EE894" i="8"/>
  <c r="EE893" i="8"/>
  <c r="EE892" i="8"/>
  <c r="EE891" i="8"/>
  <c r="EE890" i="8"/>
  <c r="EE889" i="8"/>
  <c r="EE888" i="8"/>
  <c r="EE887" i="8"/>
  <c r="EE886" i="8"/>
  <c r="EE885" i="8"/>
  <c r="EE884" i="8"/>
  <c r="EE883" i="8"/>
  <c r="EE882" i="8"/>
  <c r="EE881" i="8"/>
  <c r="EE880" i="8"/>
  <c r="EE879" i="8"/>
  <c r="EE878" i="8"/>
  <c r="EE877" i="8"/>
  <c r="EE876" i="8"/>
  <c r="EE875" i="8"/>
  <c r="EE874" i="8"/>
  <c r="EE873" i="8"/>
  <c r="EE872" i="8"/>
  <c r="EE871" i="8"/>
  <c r="EE870" i="8"/>
  <c r="EE869" i="8"/>
  <c r="EE868" i="8"/>
  <c r="EE867" i="8"/>
  <c r="EE866" i="8"/>
  <c r="EE865" i="8"/>
  <c r="EE864" i="8"/>
  <c r="EE863" i="8"/>
  <c r="EE862" i="8"/>
  <c r="EE861" i="8"/>
  <c r="EE860" i="8"/>
  <c r="EE859" i="8"/>
  <c r="EE858" i="8"/>
  <c r="EE857" i="8"/>
  <c r="EE856" i="8"/>
  <c r="EE855" i="8"/>
  <c r="EE854" i="8"/>
  <c r="EE853" i="8"/>
  <c r="EE852" i="8"/>
  <c r="EE851" i="8"/>
  <c r="EE850" i="8"/>
  <c r="EE849" i="8"/>
  <c r="EE848" i="8"/>
  <c r="EE847" i="8"/>
  <c r="EE846" i="8"/>
  <c r="EE845" i="8"/>
  <c r="EE844" i="8"/>
  <c r="EE843" i="8"/>
  <c r="EE842" i="8"/>
  <c r="EE841" i="8"/>
  <c r="EE840" i="8"/>
  <c r="EE839" i="8"/>
  <c r="EE838" i="8"/>
  <c r="EE837" i="8"/>
  <c r="EE836" i="8"/>
  <c r="EE835" i="8"/>
  <c r="EE834" i="8"/>
  <c r="EE833" i="8"/>
  <c r="EE832" i="8"/>
  <c r="EE831" i="8"/>
  <c r="EE830" i="8"/>
  <c r="EE829" i="8"/>
  <c r="EE828" i="8"/>
  <c r="EE827" i="8"/>
  <c r="EE826" i="8"/>
  <c r="EE825" i="8"/>
  <c r="EE824" i="8"/>
  <c r="EE823" i="8"/>
  <c r="EE822" i="8"/>
  <c r="EE821" i="8"/>
  <c r="EE820" i="8"/>
  <c r="EE819" i="8"/>
  <c r="EE818" i="8"/>
  <c r="EE817" i="8"/>
  <c r="EE816" i="8"/>
  <c r="EE815" i="8"/>
  <c r="EE814" i="8"/>
  <c r="EE813" i="8"/>
  <c r="EE812" i="8"/>
  <c r="EE811" i="8"/>
  <c r="EE810" i="8"/>
  <c r="EE809" i="8"/>
  <c r="EE808" i="8"/>
  <c r="EE807" i="8"/>
  <c r="EE806" i="8"/>
  <c r="EE805" i="8"/>
  <c r="EE804" i="8"/>
  <c r="EE803" i="8"/>
  <c r="EE802" i="8"/>
  <c r="EE801" i="8"/>
  <c r="EE800" i="8"/>
  <c r="EE799" i="8"/>
  <c r="EE798" i="8"/>
  <c r="EE797" i="8"/>
  <c r="EE796" i="8"/>
  <c r="EE795" i="8"/>
  <c r="EE794" i="8"/>
  <c r="EE793" i="8"/>
  <c r="EE792" i="8"/>
  <c r="EE791" i="8"/>
  <c r="EE790" i="8"/>
  <c r="EE789" i="8"/>
  <c r="EE788" i="8"/>
  <c r="EE787" i="8"/>
  <c r="EE786" i="8"/>
  <c r="EE785" i="8"/>
  <c r="EE784" i="8"/>
  <c r="EE783" i="8"/>
  <c r="EE782" i="8"/>
  <c r="EE781" i="8"/>
  <c r="EE780" i="8"/>
  <c r="EE779" i="8"/>
  <c r="EE778" i="8"/>
  <c r="EE777" i="8"/>
  <c r="EE776" i="8"/>
  <c r="EE775" i="8"/>
  <c r="EE774" i="8"/>
  <c r="EE773" i="8"/>
  <c r="EE772" i="8"/>
  <c r="EE771" i="8"/>
  <c r="EE770" i="8"/>
  <c r="EE769" i="8"/>
  <c r="EE768" i="8"/>
  <c r="EE767" i="8"/>
  <c r="EE766" i="8"/>
  <c r="EE765" i="8"/>
  <c r="EE764" i="8"/>
  <c r="EE763" i="8"/>
  <c r="EE762" i="8"/>
  <c r="EE761" i="8"/>
  <c r="EE760" i="8"/>
  <c r="EE759" i="8"/>
  <c r="EE758" i="8"/>
  <c r="EE757" i="8"/>
  <c r="EE756" i="8"/>
  <c r="EE755" i="8"/>
  <c r="EE754" i="8"/>
  <c r="EE753" i="8"/>
  <c r="EE752" i="8"/>
  <c r="EE751" i="8"/>
  <c r="EE750" i="8"/>
  <c r="EE749" i="8"/>
  <c r="EE748" i="8"/>
  <c r="EE747" i="8"/>
  <c r="EE746" i="8"/>
  <c r="EE745" i="8"/>
  <c r="EE744" i="8"/>
  <c r="EE743" i="8"/>
  <c r="EE742" i="8"/>
  <c r="EE741" i="8"/>
  <c r="EE740" i="8"/>
  <c r="EE739" i="8"/>
  <c r="EE738" i="8"/>
  <c r="EE737" i="8"/>
  <c r="EE736" i="8"/>
  <c r="EE735" i="8"/>
  <c r="EE734" i="8"/>
  <c r="EE733" i="8"/>
  <c r="EE732" i="8"/>
  <c r="EE731" i="8"/>
  <c r="EE730" i="8"/>
  <c r="EE729" i="8"/>
  <c r="EE728" i="8"/>
  <c r="EE727" i="8"/>
  <c r="EE726" i="8"/>
  <c r="EE725" i="8"/>
  <c r="EE724" i="8"/>
  <c r="EE723" i="8"/>
  <c r="EE722" i="8"/>
  <c r="EE721" i="8"/>
  <c r="EE720" i="8"/>
  <c r="EE719" i="8"/>
  <c r="EE718" i="8"/>
  <c r="EE717" i="8"/>
  <c r="EE716" i="8"/>
  <c r="EE715" i="8"/>
  <c r="EE714" i="8"/>
  <c r="EE713" i="8"/>
  <c r="EE712" i="8"/>
  <c r="EE711" i="8"/>
  <c r="EE710" i="8"/>
  <c r="EE709" i="8"/>
  <c r="EE708" i="8"/>
  <c r="EE707" i="8"/>
  <c r="EE706" i="8"/>
  <c r="EE705" i="8"/>
  <c r="EE704" i="8"/>
  <c r="EE703" i="8"/>
  <c r="EE702" i="8"/>
  <c r="EE701" i="8"/>
  <c r="EE700" i="8"/>
  <c r="EE699" i="8"/>
  <c r="EE698" i="8"/>
  <c r="EE697" i="8"/>
  <c r="EE696" i="8"/>
  <c r="EE695" i="8"/>
  <c r="EE694" i="8"/>
  <c r="EE693" i="8"/>
  <c r="EE692" i="8"/>
  <c r="EE691" i="8"/>
  <c r="EE690" i="8"/>
  <c r="EE689" i="8"/>
  <c r="EE688" i="8"/>
  <c r="EE687" i="8"/>
  <c r="EE686" i="8"/>
  <c r="EE685" i="8"/>
  <c r="EE684" i="8"/>
  <c r="EE683" i="8"/>
  <c r="EE682" i="8"/>
  <c r="EE681" i="8"/>
  <c r="EE680" i="8"/>
  <c r="EE679" i="8"/>
  <c r="EE678" i="8"/>
  <c r="EE677" i="8"/>
  <c r="EE676" i="8"/>
  <c r="EE675" i="8"/>
  <c r="EE674" i="8"/>
  <c r="EE673" i="8"/>
  <c r="EE672" i="8"/>
  <c r="EE671" i="8"/>
  <c r="EE670" i="8"/>
  <c r="EE669" i="8"/>
  <c r="EE668" i="8"/>
  <c r="EE667" i="8"/>
  <c r="EE666" i="8"/>
  <c r="EE665" i="8"/>
  <c r="EE664" i="8"/>
  <c r="EE663" i="8"/>
  <c r="EE662" i="8"/>
  <c r="EE661" i="8"/>
  <c r="EE660" i="8"/>
  <c r="EE659" i="8"/>
  <c r="EE658" i="8"/>
  <c r="EE657" i="8"/>
  <c r="EE656" i="8"/>
  <c r="EE655" i="8"/>
  <c r="EE654" i="8"/>
  <c r="EE653" i="8"/>
  <c r="EE652" i="8"/>
  <c r="EE651" i="8"/>
  <c r="EE650" i="8"/>
  <c r="EE649" i="8"/>
  <c r="EE648" i="8"/>
  <c r="EE647" i="8"/>
  <c r="EE646" i="8"/>
  <c r="EE645" i="8"/>
  <c r="EE644" i="8"/>
  <c r="EE643" i="8"/>
  <c r="EE642" i="8"/>
  <c r="EE641" i="8"/>
  <c r="EE640" i="8"/>
  <c r="EE639" i="8"/>
  <c r="EE638" i="8"/>
  <c r="EE637" i="8"/>
  <c r="EE636" i="8"/>
  <c r="EE635" i="8"/>
  <c r="EE634" i="8"/>
  <c r="EE633" i="8"/>
  <c r="EE632" i="8"/>
  <c r="EE631" i="8"/>
  <c r="EE630" i="8"/>
  <c r="EE629" i="8"/>
  <c r="EE628" i="8"/>
  <c r="EE627" i="8"/>
  <c r="EE626" i="8"/>
  <c r="EE625" i="8"/>
  <c r="EE624" i="8"/>
  <c r="EE623" i="8"/>
  <c r="EE622" i="8"/>
  <c r="EE621" i="8"/>
  <c r="EE620" i="8"/>
  <c r="EE619" i="8"/>
  <c r="EE618" i="8"/>
  <c r="EE617" i="8"/>
  <c r="EE616" i="8"/>
  <c r="EE615" i="8"/>
  <c r="EE614" i="8"/>
  <c r="EE613" i="8"/>
  <c r="EE612" i="8"/>
  <c r="EE611" i="8"/>
  <c r="EE610" i="8"/>
  <c r="EE609" i="8"/>
  <c r="EE608" i="8"/>
  <c r="EE607" i="8"/>
  <c r="EE606" i="8"/>
  <c r="EE605" i="8"/>
  <c r="EE604" i="8"/>
  <c r="EE603" i="8"/>
  <c r="EE602" i="8"/>
  <c r="EE601" i="8"/>
  <c r="EE600" i="8"/>
  <c r="EE599" i="8"/>
  <c r="EE598" i="8"/>
  <c r="EE597" i="8"/>
  <c r="EE596" i="8"/>
  <c r="EE595" i="8"/>
  <c r="EE594" i="8"/>
  <c r="EE593" i="8"/>
  <c r="EE592" i="8"/>
  <c r="EE591" i="8"/>
  <c r="EE590" i="8"/>
  <c r="EE589" i="8"/>
  <c r="EE588" i="8"/>
  <c r="EE587" i="8"/>
  <c r="EE586" i="8"/>
  <c r="EE585" i="8"/>
  <c r="EE584" i="8"/>
  <c r="EE583" i="8"/>
  <c r="EE582" i="8"/>
  <c r="EE581" i="8"/>
  <c r="EE580" i="8"/>
  <c r="EE579" i="8"/>
  <c r="EE578" i="8"/>
  <c r="EE577" i="8"/>
  <c r="EE576" i="8"/>
  <c r="EE575" i="8"/>
  <c r="EE574" i="8"/>
  <c r="EE573" i="8"/>
  <c r="EE572" i="8"/>
  <c r="EE571" i="8"/>
  <c r="EE570" i="8"/>
  <c r="EE569" i="8"/>
  <c r="EE568" i="8"/>
  <c r="EE567" i="8"/>
  <c r="EE566" i="8"/>
  <c r="EE565" i="8"/>
  <c r="EE564" i="8"/>
  <c r="EE563" i="8"/>
  <c r="EE562" i="8"/>
  <c r="EE561" i="8"/>
  <c r="EE560" i="8"/>
  <c r="EE559" i="8"/>
  <c r="EE558" i="8"/>
  <c r="EE557" i="8"/>
  <c r="EE556" i="8"/>
  <c r="EE555" i="8"/>
  <c r="EE554" i="8"/>
  <c r="EE553" i="8"/>
  <c r="EE552" i="8"/>
  <c r="EE551" i="8"/>
  <c r="EE550" i="8"/>
  <c r="EE549" i="8"/>
  <c r="EE548" i="8"/>
  <c r="EE547" i="8"/>
  <c r="EE546" i="8"/>
  <c r="EE545" i="8"/>
  <c r="EE544" i="8"/>
  <c r="EE543" i="8"/>
  <c r="EE542" i="8"/>
  <c r="EE541" i="8"/>
  <c r="EE540" i="8"/>
  <c r="EE539" i="8"/>
  <c r="EE538" i="8"/>
  <c r="EE537" i="8"/>
  <c r="EE536" i="8"/>
  <c r="EE535" i="8"/>
  <c r="EE534" i="8"/>
  <c r="EE533" i="8"/>
  <c r="EE532" i="8"/>
  <c r="EE531" i="8"/>
  <c r="EE530" i="8"/>
  <c r="EE529" i="8"/>
  <c r="EE528" i="8"/>
  <c r="EE527" i="8"/>
  <c r="EE526" i="8"/>
  <c r="EE525" i="8"/>
  <c r="EE524" i="8"/>
  <c r="EE523" i="8"/>
  <c r="EE522" i="8"/>
  <c r="EE521" i="8"/>
  <c r="EE520" i="8"/>
  <c r="EE519" i="8"/>
  <c r="EE518" i="8"/>
  <c r="EE517" i="8"/>
  <c r="EE516" i="8"/>
  <c r="EE515" i="8"/>
  <c r="EE514" i="8"/>
  <c r="EE513" i="8"/>
  <c r="EE512" i="8"/>
  <c r="EE511" i="8"/>
  <c r="EE510" i="8"/>
  <c r="EE509" i="8"/>
  <c r="EE508" i="8"/>
  <c r="EE507" i="8"/>
  <c r="EE506" i="8"/>
  <c r="EE505" i="8"/>
  <c r="EE504" i="8"/>
  <c r="EE503" i="8"/>
  <c r="EE502" i="8"/>
  <c r="EE501" i="8"/>
  <c r="EE500" i="8"/>
  <c r="EE499" i="8"/>
  <c r="EE498" i="8"/>
  <c r="EE497" i="8"/>
  <c r="EE496" i="8"/>
  <c r="EE495" i="8"/>
  <c r="EE494" i="8"/>
  <c r="EE493" i="8"/>
  <c r="EE492" i="8"/>
  <c r="EE491" i="8"/>
  <c r="EE490" i="8"/>
  <c r="EE489" i="8"/>
  <c r="EE488" i="8"/>
  <c r="EE487" i="8"/>
  <c r="EE486" i="8"/>
  <c r="EE485" i="8"/>
  <c r="EE484" i="8"/>
  <c r="EE483" i="8"/>
  <c r="EE482" i="8"/>
  <c r="EE481" i="8"/>
  <c r="EE480" i="8"/>
  <c r="EE479" i="8"/>
  <c r="EE478" i="8"/>
  <c r="EE477" i="8"/>
  <c r="EE476" i="8"/>
  <c r="EE475" i="8"/>
  <c r="EE474" i="8"/>
  <c r="EE473" i="8"/>
  <c r="EE472" i="8"/>
  <c r="EE471" i="8"/>
  <c r="EE470" i="8"/>
  <c r="EE469" i="8"/>
  <c r="EE468" i="8"/>
  <c r="EE467" i="8"/>
  <c r="EE466" i="8"/>
  <c r="EE465" i="8"/>
  <c r="EE464" i="8"/>
  <c r="EE463" i="8"/>
  <c r="EE462" i="8"/>
  <c r="EE461" i="8"/>
  <c r="EE460" i="8"/>
  <c r="EE459" i="8"/>
  <c r="EE458" i="8"/>
  <c r="EE457" i="8"/>
  <c r="EE456" i="8"/>
  <c r="EE455" i="8"/>
  <c r="EE454" i="8"/>
  <c r="EE453" i="8"/>
  <c r="EE452" i="8"/>
  <c r="EE451" i="8"/>
  <c r="EE450" i="8"/>
  <c r="EE449" i="8"/>
  <c r="EE448" i="8"/>
  <c r="EE447" i="8"/>
  <c r="EE446" i="8"/>
  <c r="EE445" i="8"/>
  <c r="EE444" i="8"/>
  <c r="EE443" i="8"/>
  <c r="EE442" i="8"/>
  <c r="EE441" i="8"/>
  <c r="EE440" i="8"/>
  <c r="EE439" i="8"/>
  <c r="EE438" i="8"/>
  <c r="EE437" i="8"/>
  <c r="EE436" i="8"/>
  <c r="EE435" i="8"/>
  <c r="EE434" i="8"/>
  <c r="EE433" i="8"/>
  <c r="EE432" i="8"/>
  <c r="EE431" i="8"/>
  <c r="EE430" i="8"/>
  <c r="EE429" i="8"/>
  <c r="EE428" i="8"/>
  <c r="EE427" i="8"/>
  <c r="EE426" i="8"/>
  <c r="EE425" i="8"/>
  <c r="EE424" i="8"/>
  <c r="EE423" i="8"/>
  <c r="EE422" i="8"/>
  <c r="EE421" i="8"/>
  <c r="EE420" i="8"/>
  <c r="EE419" i="8"/>
  <c r="EE418" i="8"/>
  <c r="EE417" i="8"/>
  <c r="EE416" i="8"/>
  <c r="EE415" i="8"/>
  <c r="EE414" i="8"/>
  <c r="EE413" i="8"/>
  <c r="EE412" i="8"/>
  <c r="EE411" i="8"/>
  <c r="EE410" i="8"/>
  <c r="EE409" i="8"/>
  <c r="EE408" i="8"/>
  <c r="EE407" i="8"/>
  <c r="EE406" i="8"/>
  <c r="EE405" i="8"/>
  <c r="EE404" i="8"/>
  <c r="EE403" i="8"/>
  <c r="EE402" i="8"/>
  <c r="EE401" i="8"/>
  <c r="EE400" i="8"/>
  <c r="EE399" i="8"/>
  <c r="EE398" i="8"/>
  <c r="EE397" i="8"/>
  <c r="EE396" i="8"/>
  <c r="EE395" i="8"/>
  <c r="EE394" i="8"/>
  <c r="EE393" i="8"/>
  <c r="EE392" i="8"/>
  <c r="EE391" i="8"/>
  <c r="EE390" i="8"/>
  <c r="EE389" i="8"/>
  <c r="EE388" i="8"/>
  <c r="EE387" i="8"/>
  <c r="EE386" i="8"/>
  <c r="EE385" i="8"/>
  <c r="EE384" i="8"/>
  <c r="EE383" i="8"/>
  <c r="EE382" i="8"/>
  <c r="EE381" i="8"/>
  <c r="EE380" i="8"/>
  <c r="EE379" i="8"/>
  <c r="EE378" i="8"/>
  <c r="EE377" i="8"/>
  <c r="EE376" i="8"/>
  <c r="EE375" i="8"/>
  <c r="EE374" i="8"/>
  <c r="EE373" i="8"/>
  <c r="EE372" i="8"/>
  <c r="EE371" i="8"/>
  <c r="EE370" i="8"/>
  <c r="EE369" i="8"/>
  <c r="EE368" i="8"/>
  <c r="EE367" i="8"/>
  <c r="EE366" i="8"/>
  <c r="EE365" i="8"/>
  <c r="EE364" i="8"/>
  <c r="EE363" i="8"/>
  <c r="EE362" i="8"/>
  <c r="EE361" i="8"/>
  <c r="EE360" i="8"/>
  <c r="EE359" i="8"/>
  <c r="EE358" i="8"/>
  <c r="EE357" i="8"/>
  <c r="EE356" i="8"/>
  <c r="EE355" i="8"/>
  <c r="EE354" i="8"/>
  <c r="EE353" i="8"/>
  <c r="EE352" i="8"/>
  <c r="EE351" i="8"/>
  <c r="EE350" i="8"/>
  <c r="EE349" i="8"/>
  <c r="EE348" i="8"/>
  <c r="EE347" i="8"/>
  <c r="EE346" i="8"/>
  <c r="EE345" i="8"/>
  <c r="EE344" i="8"/>
  <c r="EE343" i="8"/>
  <c r="EE342" i="8"/>
  <c r="EE341" i="8"/>
  <c r="EE340" i="8"/>
  <c r="EE339" i="8"/>
  <c r="EE338" i="8"/>
  <c r="EE337" i="8"/>
  <c r="EE336" i="8"/>
  <c r="EE335" i="8"/>
  <c r="EE334" i="8"/>
  <c r="EE333" i="8"/>
  <c r="EE332" i="8"/>
  <c r="EE331" i="8"/>
  <c r="EE330" i="8"/>
  <c r="EE329" i="8"/>
  <c r="EE328" i="8"/>
  <c r="EE327" i="8"/>
  <c r="EE326" i="8"/>
  <c r="EE325" i="8"/>
  <c r="EE324" i="8"/>
  <c r="EE323" i="8"/>
  <c r="EE322" i="8"/>
  <c r="EE321" i="8"/>
  <c r="EE320" i="8"/>
  <c r="EE319" i="8"/>
  <c r="EE318" i="8"/>
  <c r="EE317" i="8"/>
  <c r="EE316" i="8"/>
  <c r="EE315" i="8"/>
  <c r="EE314" i="8"/>
  <c r="EE313" i="8"/>
  <c r="EE312" i="8"/>
  <c r="EE311" i="8"/>
  <c r="EE310" i="8"/>
  <c r="EE309" i="8"/>
  <c r="EE308" i="8"/>
  <c r="EE307" i="8"/>
  <c r="EE306" i="8"/>
  <c r="EE305" i="8"/>
  <c r="EE304" i="8"/>
  <c r="EE303" i="8"/>
  <c r="EE302" i="8"/>
  <c r="EE301" i="8"/>
  <c r="EE300" i="8"/>
  <c r="EE299" i="8"/>
  <c r="EE298" i="8"/>
  <c r="EE297" i="8"/>
  <c r="EE296" i="8"/>
  <c r="EE295" i="8"/>
  <c r="EE294" i="8"/>
  <c r="EE293" i="8"/>
  <c r="EE292" i="8"/>
  <c r="EE291" i="8"/>
  <c r="EE290" i="8"/>
  <c r="EE289" i="8"/>
  <c r="EE288" i="8"/>
  <c r="EE287" i="8"/>
  <c r="EE286" i="8"/>
  <c r="EE285" i="8"/>
  <c r="EE284" i="8"/>
  <c r="EE283" i="8"/>
  <c r="EE282" i="8"/>
  <c r="EE281" i="8"/>
  <c r="EE280" i="8"/>
  <c r="EE279" i="8"/>
  <c r="EE278" i="8"/>
  <c r="EE277" i="8"/>
  <c r="EE276" i="8"/>
  <c r="EE275" i="8"/>
  <c r="EE274" i="8"/>
  <c r="EE273" i="8"/>
  <c r="EE272" i="8"/>
  <c r="EE271" i="8"/>
  <c r="EE270" i="8"/>
  <c r="EE269" i="8"/>
  <c r="EE268" i="8"/>
  <c r="EE267" i="8"/>
  <c r="EE266" i="8"/>
  <c r="EE265" i="8"/>
  <c r="EE264" i="8"/>
  <c r="EE263" i="8"/>
  <c r="EE262" i="8"/>
  <c r="EE261" i="8"/>
  <c r="EE260" i="8"/>
  <c r="EE259" i="8"/>
  <c r="EE258" i="8"/>
  <c r="EE257" i="8"/>
  <c r="EE256" i="8"/>
  <c r="EE255" i="8"/>
  <c r="EE254" i="8"/>
  <c r="EE253" i="8"/>
  <c r="EE252" i="8"/>
  <c r="EE251" i="8"/>
  <c r="EE250" i="8"/>
  <c r="EE249" i="8"/>
  <c r="EE248" i="8"/>
  <c r="EE247" i="8"/>
  <c r="EE246" i="8"/>
  <c r="EE245" i="8"/>
  <c r="EE244" i="8"/>
  <c r="EE243" i="8"/>
  <c r="EE242" i="8"/>
  <c r="EE241" i="8"/>
  <c r="EE240" i="8"/>
  <c r="EE239" i="8"/>
  <c r="EE238" i="8"/>
  <c r="EE237" i="8"/>
  <c r="EE236" i="8"/>
  <c r="EE235" i="8"/>
  <c r="EE234" i="8"/>
  <c r="EE233" i="8"/>
  <c r="EE232" i="8"/>
  <c r="EE231" i="8"/>
  <c r="EE230" i="8"/>
  <c r="EE229" i="8"/>
  <c r="EE228" i="8"/>
  <c r="EE227" i="8"/>
  <c r="EE226" i="8"/>
  <c r="EE225" i="8"/>
  <c r="EE224" i="8"/>
  <c r="EE223" i="8"/>
  <c r="EE222" i="8"/>
  <c r="EE221" i="8"/>
  <c r="EE220" i="8"/>
  <c r="EE219" i="8"/>
  <c r="EE218" i="8"/>
  <c r="EE217" i="8"/>
  <c r="EE216" i="8"/>
  <c r="EE215" i="8"/>
  <c r="EE214" i="8"/>
  <c r="EE213" i="8"/>
  <c r="EE212" i="8"/>
  <c r="EE211" i="8"/>
  <c r="EE210" i="8"/>
  <c r="EE209" i="8"/>
  <c r="EE208" i="8"/>
  <c r="EE207" i="8"/>
  <c r="EE206" i="8"/>
  <c r="EE205" i="8"/>
  <c r="EE204" i="8"/>
  <c r="EE203" i="8"/>
  <c r="EE202" i="8"/>
  <c r="EE201" i="8"/>
  <c r="EE200" i="8"/>
  <c r="EE199" i="8"/>
  <c r="EE198" i="8"/>
  <c r="EE197" i="8"/>
  <c r="EE196" i="8"/>
  <c r="EE195" i="8"/>
  <c r="EE194" i="8"/>
  <c r="EE193" i="8"/>
  <c r="EE192" i="8"/>
  <c r="EE191" i="8"/>
  <c r="EE190" i="8"/>
  <c r="EE189" i="8"/>
  <c r="EE188" i="8"/>
  <c r="EE187" i="8"/>
  <c r="EE186" i="8"/>
  <c r="EE185" i="8"/>
  <c r="EE184" i="8"/>
  <c r="EE183" i="8"/>
  <c r="EE182" i="8"/>
  <c r="EE181" i="8"/>
  <c r="EE180" i="8"/>
  <c r="EE179" i="8"/>
  <c r="EE178" i="8"/>
  <c r="EE177" i="8"/>
  <c r="EE176" i="8"/>
  <c r="EE175" i="8"/>
  <c r="EE174" i="8"/>
  <c r="EE173" i="8"/>
  <c r="EE172" i="8"/>
  <c r="EE171" i="8"/>
  <c r="EE170" i="8"/>
  <c r="EE169" i="8"/>
  <c r="EE168" i="8"/>
  <c r="EE167" i="8"/>
  <c r="EE166" i="8"/>
  <c r="EE165" i="8"/>
  <c r="EE164" i="8"/>
  <c r="EE163" i="8"/>
  <c r="EE162" i="8"/>
  <c r="EE161" i="8"/>
  <c r="EE160" i="8"/>
  <c r="EE159" i="8"/>
  <c r="EE158" i="8"/>
  <c r="EE157" i="8"/>
  <c r="EE156" i="8"/>
  <c r="EE155" i="8"/>
  <c r="EE154" i="8"/>
  <c r="EE153" i="8"/>
  <c r="EE152" i="8"/>
  <c r="EE151" i="8"/>
  <c r="EE150" i="8"/>
  <c r="EE149" i="8"/>
  <c r="EE148" i="8"/>
  <c r="EE147" i="8"/>
  <c r="EE146" i="8"/>
  <c r="EE145" i="8"/>
  <c r="EE144" i="8"/>
  <c r="EE143" i="8"/>
  <c r="EE142" i="8"/>
  <c r="EE141" i="8"/>
  <c r="EE140" i="8"/>
  <c r="EE139" i="8"/>
  <c r="EE138" i="8"/>
  <c r="EE137" i="8"/>
  <c r="EE136" i="8"/>
  <c r="EE135" i="8"/>
  <c r="EE134" i="8"/>
  <c r="EE133" i="8"/>
  <c r="EE132" i="8"/>
  <c r="EE131" i="8"/>
  <c r="EE130" i="8"/>
  <c r="EE129" i="8"/>
  <c r="EE128" i="8"/>
  <c r="EE127" i="8"/>
  <c r="EE126" i="8"/>
  <c r="EE125" i="8"/>
  <c r="EE124" i="8"/>
  <c r="EE123" i="8"/>
  <c r="EE122" i="8"/>
  <c r="EE121" i="8"/>
  <c r="EE120" i="8"/>
  <c r="EE119" i="8"/>
  <c r="EE118" i="8"/>
  <c r="EE117" i="8"/>
  <c r="EE116" i="8"/>
  <c r="EE115" i="8"/>
  <c r="EE114" i="8"/>
  <c r="EE113" i="8"/>
  <c r="EE112" i="8"/>
  <c r="EE111" i="8"/>
  <c r="EE110" i="8"/>
  <c r="EE109" i="8"/>
  <c r="EE108" i="8"/>
  <c r="EE107" i="8"/>
  <c r="EE106" i="8"/>
  <c r="EE105" i="8"/>
  <c r="EE104" i="8"/>
  <c r="EE103" i="8"/>
  <c r="EE102" i="8"/>
  <c r="EE101" i="8"/>
  <c r="EE100" i="8"/>
  <c r="EE99" i="8"/>
  <c r="EE98" i="8"/>
  <c r="EE97" i="8"/>
  <c r="EE96" i="8"/>
  <c r="EE95" i="8"/>
  <c r="EE94" i="8"/>
  <c r="EE93" i="8"/>
  <c r="EE92" i="8"/>
  <c r="EE91" i="8"/>
  <c r="EE90" i="8"/>
  <c r="EE89" i="8"/>
  <c r="EE88" i="8"/>
  <c r="EE87" i="8"/>
  <c r="EE86" i="8"/>
  <c r="EE85" i="8"/>
  <c r="EE84" i="8"/>
  <c r="EE83" i="8"/>
  <c r="EE82" i="8"/>
  <c r="EE81" i="8"/>
  <c r="EE80" i="8"/>
  <c r="EE79" i="8"/>
  <c r="EE78" i="8"/>
  <c r="EE77" i="8"/>
  <c r="EE76" i="8"/>
  <c r="EE75" i="8"/>
  <c r="EE74" i="8"/>
  <c r="EE73" i="8"/>
  <c r="EE72" i="8"/>
  <c r="EE71" i="8"/>
  <c r="EE70" i="8"/>
  <c r="EE69" i="8"/>
  <c r="EE68" i="8"/>
  <c r="EE67" i="8"/>
  <c r="EE66" i="8"/>
  <c r="EE65" i="8"/>
  <c r="EE64" i="8"/>
  <c r="EE63" i="8"/>
  <c r="EE62" i="8"/>
  <c r="EE61" i="8"/>
  <c r="EE60" i="8"/>
  <c r="EE59" i="8"/>
  <c r="EE58" i="8"/>
  <c r="EE57" i="8"/>
  <c r="EE56" i="8"/>
  <c r="EE55" i="8"/>
  <c r="EE54" i="8"/>
  <c r="EE53" i="8"/>
  <c r="EE52" i="8"/>
  <c r="EE51" i="8"/>
  <c r="EE50" i="8"/>
  <c r="EE49" i="8"/>
  <c r="EE48" i="8"/>
  <c r="EE47" i="8"/>
  <c r="EE46" i="8"/>
  <c r="EE45" i="8"/>
  <c r="EE44" i="8"/>
  <c r="EE43" i="8"/>
  <c r="EE42" i="8"/>
  <c r="EE41" i="8"/>
  <c r="EE40" i="8"/>
  <c r="EE39" i="8"/>
  <c r="EE38" i="8"/>
  <c r="EE37" i="8"/>
  <c r="EE36" i="8"/>
  <c r="EE35" i="8"/>
  <c r="EE34" i="8"/>
  <c r="EE33" i="8"/>
  <c r="EE32" i="8"/>
  <c r="EE31" i="8"/>
  <c r="EE30" i="8"/>
  <c r="EE29" i="8"/>
  <c r="EE28" i="8"/>
  <c r="EE27" i="8"/>
  <c r="EE26" i="8"/>
  <c r="EE25" i="8"/>
  <c r="EE24" i="8"/>
  <c r="EE23" i="8"/>
  <c r="EE22" i="8"/>
  <c r="EE21" i="8"/>
  <c r="EE20" i="8"/>
  <c r="EE19" i="8"/>
  <c r="EE18" i="8"/>
  <c r="EE17" i="8"/>
  <c r="EE16" i="8"/>
  <c r="EE15" i="8"/>
  <c r="EE14" i="8"/>
  <c r="EE13" i="8"/>
  <c r="EE12" i="8"/>
  <c r="EE11" i="8"/>
  <c r="EE10" i="8"/>
  <c r="EE9" i="8"/>
  <c r="EE8" i="8"/>
  <c r="EE7" i="8"/>
  <c r="EE6" i="8"/>
  <c r="EE5" i="8"/>
  <c r="EE4" i="8"/>
  <c r="EE3" i="8"/>
  <c r="EE2" i="8"/>
</calcChain>
</file>

<file path=xl/sharedStrings.xml><?xml version="1.0" encoding="utf-8"?>
<sst xmlns="http://schemas.openxmlformats.org/spreadsheetml/2006/main" count="222378" uniqueCount="46366">
  <si>
    <t>Company ID</t>
  </si>
  <si>
    <t>Company Name</t>
  </si>
  <si>
    <t>Company Former Name</t>
  </si>
  <si>
    <t>Company Also Known As</t>
  </si>
  <si>
    <t>Competitors</t>
  </si>
  <si>
    <t>PBId</t>
  </si>
  <si>
    <t>Description</t>
  </si>
  <si>
    <t>Primary Industry Sector</t>
  </si>
  <si>
    <t>Primary Industry Group</t>
  </si>
  <si>
    <t>Primary Industry Code</t>
  </si>
  <si>
    <t>All Industries</t>
  </si>
  <si>
    <t>Verticals</t>
  </si>
  <si>
    <t>Keywords</t>
  </si>
  <si>
    <t>Company Financing Status</t>
  </si>
  <si>
    <t>Total Raised</t>
  </si>
  <si>
    <t>Business Status</t>
  </si>
  <si>
    <t>Ownership Status</t>
  </si>
  <si>
    <t>Universe</t>
  </si>
  <si>
    <t>Website</t>
  </si>
  <si>
    <t>Employees</t>
  </si>
  <si>
    <t>Employee History</t>
  </si>
  <si>
    <t>Exchange</t>
  </si>
  <si>
    <t>Ticker</t>
  </si>
  <si>
    <t>Year Founded</t>
  </si>
  <si>
    <t>Parent Company</t>
  </si>
  <si>
    <t>Daily Updates</t>
  </si>
  <si>
    <t>Weekly Updates</t>
  </si>
  <si>
    <t>Revenue</t>
  </si>
  <si>
    <t>Gross Profit</t>
  </si>
  <si>
    <t>Net Income</t>
  </si>
  <si>
    <t>Enterprise Value</t>
  </si>
  <si>
    <t>EBITDA</t>
  </si>
  <si>
    <t>Fiscal Period</t>
  </si>
  <si>
    <t>EBIT</t>
  </si>
  <si>
    <t>Market Cap</t>
  </si>
  <si>
    <t>Net Debt</t>
  </si>
  <si>
    <t>Primary Contact PBId</t>
  </si>
  <si>
    <t>Primary Contact</t>
  </si>
  <si>
    <t>Primary Contact Title</t>
  </si>
  <si>
    <t>Primary Contact Email</t>
  </si>
  <si>
    <t>Primary Contact Phone</t>
  </si>
  <si>
    <t>HQ Location</t>
  </si>
  <si>
    <t>HQ Address Line 1</t>
  </si>
  <si>
    <t>HQ Address Line 2</t>
  </si>
  <si>
    <t>HQ City</t>
  </si>
  <si>
    <t>HQ State/Province</t>
  </si>
  <si>
    <t>HQ Post Code</t>
  </si>
  <si>
    <t>HQ Country</t>
  </si>
  <si>
    <t>HQ Phone</t>
  </si>
  <si>
    <t>HQ Fax</t>
  </si>
  <si>
    <t>HQ Email</t>
  </si>
  <si>
    <t>HQ Global Region</t>
  </si>
  <si>
    <t>HQ Global Sub Region</t>
  </si>
  <si>
    <t>Financing Status Note</t>
  </si>
  <si>
    <t>Active Investors</t>
  </si>
  <si>
    <t># Active Investors</t>
  </si>
  <si>
    <t>Acquirers</t>
  </si>
  <si>
    <t>Former Investors</t>
  </si>
  <si>
    <t>Other Investors</t>
  </si>
  <si>
    <t>Active Investors Websites</t>
  </si>
  <si>
    <t>Former Investors Websites</t>
  </si>
  <si>
    <t>Other Investors Websites</t>
  </si>
  <si>
    <t>General Services</t>
  </si>
  <si>
    <t>Services on a Deal</t>
  </si>
  <si>
    <t>First Financing Date</t>
  </si>
  <si>
    <t>First Financing Size</t>
  </si>
  <si>
    <t>First Financing Size Status</t>
  </si>
  <si>
    <t>First Financing Valuation</t>
  </si>
  <si>
    <t>First Financing Valuation Status</t>
  </si>
  <si>
    <t>First Financing Deal Type</t>
  </si>
  <si>
    <t>First Financing Deal Type 2</t>
  </si>
  <si>
    <t>First Financing Deal Type 3</t>
  </si>
  <si>
    <t>First Financing Deal Class</t>
  </si>
  <si>
    <t>First Financing Debt Type</t>
  </si>
  <si>
    <t>First Financing Debt Type 2</t>
  </si>
  <si>
    <t>First Financing Debt Type 3</t>
  </si>
  <si>
    <t>First Financing Status</t>
  </si>
  <si>
    <t>Last Financing Date</t>
  </si>
  <si>
    <t>Last Financing Size</t>
  </si>
  <si>
    <t>Last Financing Size Status</t>
  </si>
  <si>
    <t>Last Financing Valuation</t>
  </si>
  <si>
    <t>Last Financing Valuation Status</t>
  </si>
  <si>
    <t>Last Financing Deal Type</t>
  </si>
  <si>
    <t>Last Financing Deal Type 2</t>
  </si>
  <si>
    <t>Last Financing Deal Type 3</t>
  </si>
  <si>
    <t>Last Financing Deal Class</t>
  </si>
  <si>
    <t>Last Financing Debt Type</t>
  </si>
  <si>
    <t>Last Financing Debt Type 2</t>
  </si>
  <si>
    <t>Last Financing Debt Type 3</t>
  </si>
  <si>
    <t>Last Financing Status</t>
  </si>
  <si>
    <t>Last Financing Debt Date</t>
  </si>
  <si>
    <t>Last Financing Debt Size</t>
  </si>
  <si>
    <t>Growth Rate</t>
  </si>
  <si>
    <t>Growth Rate Percentile</t>
  </si>
  <si>
    <t>Growth Rate Change</t>
  </si>
  <si>
    <t>Growth Rate % Change</t>
  </si>
  <si>
    <t>Web Growth Rate</t>
  </si>
  <si>
    <t>Web Growth Rate Percentile</t>
  </si>
  <si>
    <t>Social Growth Rate</t>
  </si>
  <si>
    <t>Social Growth Rate Percentile</t>
  </si>
  <si>
    <t>SimilarWeb Growth Rate</t>
  </si>
  <si>
    <t>SimilarWeb Growth Rate Percentile</t>
  </si>
  <si>
    <t>Majestic Growth Rate</t>
  </si>
  <si>
    <t>Majestic Growth Rate Percentile</t>
  </si>
  <si>
    <t>Twitter Growth Rate</t>
  </si>
  <si>
    <t>Twitter Growth Rate Percentile</t>
  </si>
  <si>
    <t>Size Multiple</t>
  </si>
  <si>
    <t>Size Multiple Percentile</t>
  </si>
  <si>
    <t>Size Multiple Change</t>
  </si>
  <si>
    <t>Size Multiple % Change</t>
  </si>
  <si>
    <t>Web Size Multiple</t>
  </si>
  <si>
    <t>Web Size Multiple Percentile</t>
  </si>
  <si>
    <t>Social Size Multiple</t>
  </si>
  <si>
    <t>Social Size Multiple Percentile</t>
  </si>
  <si>
    <t>SimilarWeb Size Multiple</t>
  </si>
  <si>
    <t>SimilarWeb Size Multiple Percentile</t>
  </si>
  <si>
    <t>Majestic Size Multiple</t>
  </si>
  <si>
    <t>Majestic Size Multiple Percentile</t>
  </si>
  <si>
    <t>Twitter Size Multiple</t>
  </si>
  <si>
    <t>Twitter Size Multiple Percentile</t>
  </si>
  <si>
    <t>SimilarWeb Unique Visitors</t>
  </si>
  <si>
    <t>SimilarWeb Unique Visitors Change</t>
  </si>
  <si>
    <t>SimilarWeb Unique Visitors % Change</t>
  </si>
  <si>
    <t>Majestic Referring Domains</t>
  </si>
  <si>
    <t>Majestic Referring Domains Change</t>
  </si>
  <si>
    <t>Majestic Referring Domains % Change</t>
  </si>
  <si>
    <t>Twitter Followers</t>
  </si>
  <si>
    <t>Twitter Followers Change</t>
  </si>
  <si>
    <t>Twitter Followers % Change</t>
  </si>
  <si>
    <t>Profile Data Source</t>
  </si>
  <si>
    <t>Last Updated Date</t>
  </si>
  <si>
    <t>Last Known Valuation</t>
  </si>
  <si>
    <t>Last Known Valuation Date</t>
  </si>
  <si>
    <t>Last Known Valuation Deal Type</t>
  </si>
  <si>
    <t>PitchBook Link</t>
  </si>
  <si>
    <t>63996-58</t>
  </si>
  <si>
    <t>Zyvex Technologies</t>
  </si>
  <si>
    <t>Zyvex Performance Materials</t>
  </si>
  <si>
    <t/>
  </si>
  <si>
    <t>Nanocomp Technologies, Veloxint, Nanophase Technologies, California Nanotech, Novaled, Nanoco, TactoTek</t>
  </si>
  <si>
    <t>Developer of nano-engineered materials designed to commercialize products using carbon nano-materials. The company's nano-engineered materials brings performance benefits to a wide range of epoxies, rubber blends and a variety of other materials systems, enabling its customers to easily disperse carbon nanotubes for its true performance.</t>
  </si>
  <si>
    <t>Business Products and Services (B2B)</t>
  </si>
  <si>
    <t>Commercial Products</t>
  </si>
  <si>
    <t>Industrial Supplies and Parts</t>
  </si>
  <si>
    <t>Industrial Supplies and Parts*, Other Commercial Products</t>
  </si>
  <si>
    <t>Nanotechnology</t>
  </si>
  <si>
    <t>carbon nano-tubes, nanoengineered materials, nano-enhanced composites, nanomaterials, nano-tubes</t>
  </si>
  <si>
    <t>Venture Capital-Backed</t>
  </si>
  <si>
    <t>Generating Revenue</t>
  </si>
  <si>
    <t>Privately Held (backing)</t>
  </si>
  <si>
    <t>M&amp;A, Venture Capital</t>
  </si>
  <si>
    <t>www.zyvextech.com</t>
  </si>
  <si>
    <t>155621-08P</t>
  </si>
  <si>
    <t>Jim Von Ehr</t>
  </si>
  <si>
    <t>Chairman</t>
  </si>
  <si>
    <t>+1 (614) 481-2222</t>
  </si>
  <si>
    <t>Columbus, OH</t>
  </si>
  <si>
    <t>1255 Kinnear Road</t>
  </si>
  <si>
    <t>Suite 100</t>
  </si>
  <si>
    <t>Columbus</t>
  </si>
  <si>
    <t>Ohio</t>
  </si>
  <si>
    <t>43212</t>
  </si>
  <si>
    <t>United States</t>
  </si>
  <si>
    <t>info@zyvextech.com</t>
  </si>
  <si>
    <t>Americas</t>
  </si>
  <si>
    <t>North America</t>
  </si>
  <si>
    <t>The company received $7.2 million of grant funding from Defense Advanced Research Projects Agency, U.S. Navy and United States Army in 2010. National Aeronautics and Space Administration also participated in the round.</t>
  </si>
  <si>
    <t>Arkema, Defense Advanced Research Projects Agency, Lockheed Martin Ventures, National Aeronautics and Space Administration, State of Ohio Department of Development, U.S. Navy, United States Army</t>
  </si>
  <si>
    <t>OCSiAl</t>
  </si>
  <si>
    <t>Arkema(www.arkema.com), Defense Advanced Research Projects Agency(www.darpa.mil), National Aeronautics and Space Administration(www.nasa.gov), United States Army(www.army.mil)</t>
  </si>
  <si>
    <t>OCSiAl(www.ocsial.com)</t>
  </si>
  <si>
    <t>GuideCap Partners(Advisor: Fairness Opinion)</t>
  </si>
  <si>
    <t>Actual</t>
  </si>
  <si>
    <t>Later Stage VC</t>
  </si>
  <si>
    <t>Venture Capital</t>
  </si>
  <si>
    <t>Completed</t>
  </si>
  <si>
    <t>Grant</t>
  </si>
  <si>
    <t>Other</t>
  </si>
  <si>
    <t>PitchBook Research</t>
  </si>
  <si>
    <t>60184-09</t>
  </si>
  <si>
    <t>Zyomed</t>
  </si>
  <si>
    <t>DexCom, Senseonics, Abbott, Medtronic, EdwardsAndCo</t>
  </si>
  <si>
    <t>Developer of non-invasive sensors designed to offer support in laboratory-scale medical diagnostics. The company's products offer photonic sensors for amplifying and tracking indirect spectral biomarkers associated with changes in blood or tissue chemistry, enabling clients to promote efficiency in their diagnosis and ensure better health outcomes.</t>
  </si>
  <si>
    <t>Healthcare</t>
  </si>
  <si>
    <t>Healthcare Devices and Supplies</t>
  </si>
  <si>
    <t>Diagnostic Equipment</t>
  </si>
  <si>
    <t>Diagnostic Equipment*, Monitoring Equipment</t>
  </si>
  <si>
    <t>HealthTech</t>
  </si>
  <si>
    <t>biomarkers, cuffless blood pressure monitor, glucose monitoring, medical diagnostics, photonics sensor, spectral bio-markers, wearables</t>
  </si>
  <si>
    <t>Stealth</t>
  </si>
  <si>
    <t>www.zyomed.com</t>
  </si>
  <si>
    <t>59531-41P</t>
  </si>
  <si>
    <t>Sandeep Gulati</t>
  </si>
  <si>
    <t>Founder, Chief Executive Officer, Board Member &amp; President</t>
  </si>
  <si>
    <t>sandeep.gulati@zyomed.com</t>
  </si>
  <si>
    <t>+1 (626) 243-4618 x302</t>
  </si>
  <si>
    <t>Altadena, CA</t>
  </si>
  <si>
    <t>2400 Lincoln Avenue</t>
  </si>
  <si>
    <t>Suite 156</t>
  </si>
  <si>
    <t>Altadena</t>
  </si>
  <si>
    <t>California</t>
  </si>
  <si>
    <t>The company raised $10.61 million of Series B2 venture funding from Samsung Catalyst and other undisclosed investors on May 17, 2016, putting the company's pre-money valuation at $122 million.</t>
  </si>
  <si>
    <t>Khosla Ventures, Samsung Catalyst</t>
  </si>
  <si>
    <t>Khosla Ventures(www.khoslaventures.com), Samsung Catalyst(www.samsungcatalyst.com)</t>
  </si>
  <si>
    <t>DLA Piper(Legal Advisor)</t>
  </si>
  <si>
    <t>Early Stage VC</t>
  </si>
  <si>
    <t>Series A</t>
  </si>
  <si>
    <t>Series B2</t>
  </si>
  <si>
    <t>162693-55</t>
  </si>
  <si>
    <t>Zylo</t>
  </si>
  <si>
    <t>Cincom Systems, Boomerang Commerce, CloudCheckr, Intello, MetricStream, ConnectWise, Meta SaaS, Cloudamize, OneLogin, Cloudyn Software, Revenue Analytics, RISC Networks, DivvyCloud, BetterCloud, Apprenda, Logi Analytics, Continuum Managed Services, StorageCraft Technology, Fedr8, Corent Technology, Okta, RackWare</t>
  </si>
  <si>
    <t>Provider of a platform designed to optimize cloud based subscription. The company's platform provides a SaaS for services to complex problems, provide information related to spending directly from financial systems, create a management system by associating spend and contract information with each application and measure cloud and applications with real-time license utilization and employee feedback to understand the value, enabling businesses to get an optimization platform that changes the way software is managed.</t>
  </si>
  <si>
    <t>Commercial Services</t>
  </si>
  <si>
    <t>Media and Information Services (B2B)</t>
  </si>
  <si>
    <t>Automation/Workflow Software, Business/Productivity Software, Media and Information Services (B2B)*</t>
  </si>
  <si>
    <t>SaaS, TMT</t>
  </si>
  <si>
    <t>cloud-based subscription, saas application, saas management, saas optimization, saas optimization platform, system software</t>
  </si>
  <si>
    <t>www.zylo.com</t>
  </si>
  <si>
    <t>2016: 6, 2018: 23</t>
  </si>
  <si>
    <t>54511-21P</t>
  </si>
  <si>
    <t>Eric Christopher</t>
  </si>
  <si>
    <t>Co-Founder, Chief Executive Officer &amp; Board Member</t>
  </si>
  <si>
    <t>eric.christopher@zylo.com</t>
  </si>
  <si>
    <t>+1 (317) 777-6761</t>
  </si>
  <si>
    <t>Indianapolis, IN</t>
  </si>
  <si>
    <t>55 Monument Circle</t>
  </si>
  <si>
    <t>Suite 600</t>
  </si>
  <si>
    <t>Indianapolis</t>
  </si>
  <si>
    <t>Indiana</t>
  </si>
  <si>
    <t>46204</t>
  </si>
  <si>
    <t>info@zylo.com</t>
  </si>
  <si>
    <t>The company raised $9.3 million of Series A venture funding in a deal led by Bessemer Venture Partners on January 23, 2018, putting the company's pre-money valuation at $20 million. Salesforce Ventures, Slack, High Alpha, GGV Capital, SV Angel, Revolution, Hyde Park Venture Partners and other undisclosed investors also participated in the round. The funds will be used to expand the company's platform, sales, marketing, service improvements and grow the entire team, with a priority on the customer success &amp; engineering teams.</t>
  </si>
  <si>
    <t>Bessemer Venture Partners, Collina Ventures, Donald Brown, GGV Capital, Haystack, High Alpha, Hyde Park Venture Partners, Peter McCormick, Revolution, Router Ventures, Salesforce Ventures, Slack, SV Angel, The Gramercy Fund</t>
  </si>
  <si>
    <t>Bessemer Venture Partners(www.bvp.com), Collina Ventures(www.collinaventures.com), GGV Capital(www.ggvc.com), Haystack(haystack.vc), High Alpha(www.highalpha.com), Hyde Park Venture Partners(www.hydeparkvp.com), Revolution(www.revolution.com), Router Ventures(www.routerventures.com), Slack(www.slack.com), SV Angel(www.svangel.com), The Gramercy Fund(www.gramercyfund.com)</t>
  </si>
  <si>
    <t>Seed Round</t>
  </si>
  <si>
    <t>52214-95</t>
  </si>
  <si>
    <t>Zya</t>
  </si>
  <si>
    <t>Developer of a mobile based music creation software designed to democratize music creation and expression through imaginative games and apps. The company's Ditty application offers a technology platform that powers musical communication across a range of products and integrations with global companies enabling users to personalize their video, music, and message and collaborate with artists on a variety of platforms including web portals, mobile devices and gaming consoles.</t>
  </si>
  <si>
    <t>Consumer Products and Services (B2C)</t>
  </si>
  <si>
    <t>Media</t>
  </si>
  <si>
    <t>Movies, Music and Entertainment</t>
  </si>
  <si>
    <t>Movies, Music and Entertainment*, Social/Platform Software</t>
  </si>
  <si>
    <t>Mobile, TMT</t>
  </si>
  <si>
    <t>music collaboration, music creation, music sharing, music software, online music</t>
  </si>
  <si>
    <t>Debt Financed, Venture Capital</t>
  </si>
  <si>
    <t>www.zyamusic.com</t>
  </si>
  <si>
    <t>2014: 51</t>
  </si>
  <si>
    <t>48475-54P</t>
  </si>
  <si>
    <t>Alberto Lomeli</t>
  </si>
  <si>
    <t>Chief Financial Officer</t>
  </si>
  <si>
    <t>albert@musicmastermind.com</t>
  </si>
  <si>
    <t>+1 (818) 222-6695</t>
  </si>
  <si>
    <t>Calabasas, CA</t>
  </si>
  <si>
    <t>24003-A Ventura Boulevard</t>
  </si>
  <si>
    <t>Calabasas</t>
  </si>
  <si>
    <t>91302</t>
  </si>
  <si>
    <t>+1 (818) 876-0417</t>
  </si>
  <si>
    <t>info@zyamusic.com</t>
  </si>
  <si>
    <t>The company closed on $9 million of convertible debt financing from Shea Ventures in September 30, 2017. Previously, the company raised $4.26 million of convertible debt financing from undisclosed investors on January 12, 2016, putting the company's pre-money valuation at $10.3 million. Prior to that the company raised $837,378 of Series 3 venture funding from Shea Ventures and other undisclosed investors on June 29, 2015.</t>
  </si>
  <si>
    <t>500 Startups, Individual Investor, Intel Capital, Liberty Global Ventures, Shea Ventures</t>
  </si>
  <si>
    <t>500 Startups(www.500.co), Intel Capital(www.intelcapital.com)</t>
  </si>
  <si>
    <t>Bryan Cave(Legal Advisor), Bryan Cave Leighton Paisner(Legal Advisor)</t>
  </si>
  <si>
    <t>Angel (individual)</t>
  </si>
  <si>
    <t>Individual</t>
  </si>
  <si>
    <t>Bridge</t>
  </si>
  <si>
    <t>Convertible Debt</t>
  </si>
  <si>
    <t>179431-57</t>
  </si>
  <si>
    <t>Zunum Aero</t>
  </si>
  <si>
    <t>Developer of commercial hybrid-to-electric aircraft designed to be used for regional transit. The company's aircraft utilize range-optimized powertrain and propulsion technologies that makes air commutation convenient and efficient, enabling clients to purchase fast and affordable flights.</t>
  </si>
  <si>
    <t>Transportation</t>
  </si>
  <si>
    <t>Air</t>
  </si>
  <si>
    <t>Aerospace and Defense, Air*</t>
  </si>
  <si>
    <t>Manufacturing</t>
  </si>
  <si>
    <t>aircraft design, aircraft manufacturer, electric aircraft, hybrid aircraft, propulsion technology</t>
  </si>
  <si>
    <t>www.zunum.aero</t>
  </si>
  <si>
    <t>2017: 15, 2018: 70</t>
  </si>
  <si>
    <t>160482-52P</t>
  </si>
  <si>
    <t>Ashish Kumar</t>
  </si>
  <si>
    <t>Chief Executive Officer, Co-Founder &amp; Board Member</t>
  </si>
  <si>
    <t>ashish@zunum.aero</t>
  </si>
  <si>
    <t>Bothell, WA</t>
  </si>
  <si>
    <t>19820 North Creek Parkway</t>
  </si>
  <si>
    <t>Suite 201</t>
  </si>
  <si>
    <t>Bothell</t>
  </si>
  <si>
    <t>Washington</t>
  </si>
  <si>
    <t>98011</t>
  </si>
  <si>
    <t>info@zunum.aero</t>
  </si>
  <si>
    <t>The company raised $3,298 of angel funding from undisclosed investors on January 10, 2018.</t>
  </si>
  <si>
    <t>Boeing HorizonX, JetBlue Technology Ventures, Washington State Department Of Commerce</t>
  </si>
  <si>
    <t>JetBlue Technology Ventures(www.jetblueventures.com), Washington State Department Of Commerce(www.commerce.wa.gov)</t>
  </si>
  <si>
    <t>Wilson Sonsini Goodrich &amp; Rosati(Legal Advisor)</t>
  </si>
  <si>
    <t>155065-42</t>
  </si>
  <si>
    <t>Zum</t>
  </si>
  <si>
    <t>Liftee</t>
  </si>
  <si>
    <t>Careem, HopSkipDrive, Grab Holdings, Ola, Kango (App-based Service), Uber, Flywheel (Taxi App), Cabify, Lyft</t>
  </si>
  <si>
    <t>Provider of on demand ride and care services intended to offer reliable child transportation and care for children. The company's ride sharing service provides safe and reliable child transportation for schools and parents by providing flexible ride options, through highly vetted drivers via its mobile application, enabling parents to save time spent driving children to school and other activities.</t>
  </si>
  <si>
    <t>Automotive</t>
  </si>
  <si>
    <t>Application Software, Automotive*, Social/Platform Software</t>
  </si>
  <si>
    <t>Mobile, Ridesharing, TMT</t>
  </si>
  <si>
    <t>cab rides, carpool, carsharing, kids rides, on demand cab, on demand nannies, ridesharing, ridesharing service</t>
  </si>
  <si>
    <t>www.ridezum.com</t>
  </si>
  <si>
    <t>2019: 100</t>
  </si>
  <si>
    <t>132483-34P</t>
  </si>
  <si>
    <t>Ritu Narayan</t>
  </si>
  <si>
    <t>Co-Founder &amp; Chief Executive Officer</t>
  </si>
  <si>
    <t>ritu@ridezum.com</t>
  </si>
  <si>
    <t>+1 (855) 743-3986</t>
  </si>
  <si>
    <t>Redwood City, CA</t>
  </si>
  <si>
    <t>275 Shoreline Drive</t>
  </si>
  <si>
    <t>Suite 275</t>
  </si>
  <si>
    <t>Redwood City</t>
  </si>
  <si>
    <t>94065</t>
  </si>
  <si>
    <t>The company raised $44 million of Series C venture funding in a deal led by BMW i Ventures on January 17, 2019, putting the company's pre-money valuation at $150 million. Volvo Car, Clearvision Ventures, DNX Ventures, Sequoia Capital, Spark Capital,Citi Ventures and NGP Capital also participated in the round. The company will use the funds to grow its proven business model and increase school partnerships throughout the country and continue the development of its proprietary technology platform for addressing all school transportation needs.</t>
  </si>
  <si>
    <t>All Iron Ventures, AngelPad, BMW i Ventures, Citi Ventures, Clearvision Ventures, DNX Ventures, FundersClub, Graphene Ventures, Hemisphere Ventures, NGP Capital, Richmond View Ventures, Sand Hill Angels, Sequoia Capital, Spark Capital, Stanford Angels and Entrepreneurs, TSVC, Ulu Ventures, Volvo Car</t>
  </si>
  <si>
    <t>All Iron Ventures(www.alliron.vc), AngelPad(www.angelpad.com), BMW i Ventures(www.bmwiventures.com), Clearvision Ventures(www.clearvisionventures.com), DNX Ventures(www.dnx.vc), FundersClub(www.fundersclub.com), Graphene Ventures(www.graphenevc.com), Hemisphere Ventures(www.hemisphere.com), NGP Capital(www.ngpcap.com), Richmond View Ventures(www.rvv.tv), Sand Hill Angels(www.sandhillangels.com), Sequoia Capital(www.sequoiacap.com), Spark Capital(www.sparkcapital.com), Stanford Angels and Entrepreneurs(www.stanfordaande.com), TSVC(www.tsvcap.com), Ulu Ventures(www.uluventures.com), Volvo Car(www.volvocars.com)</t>
  </si>
  <si>
    <t>O'Melveny &amp; Myers(Legal Advisor)</t>
  </si>
  <si>
    <t>Accelerator/Incubator</t>
  </si>
  <si>
    <t>Series C</t>
  </si>
  <si>
    <t>55601-29</t>
  </si>
  <si>
    <t>Zoomdata</t>
  </si>
  <si>
    <t>DataTorrent, CognitiveScale, AtScale, Diyotta, Klipfolio, Confluent, Konux, Soley, Arcadia Data, Sisense, Whetlab, Cloudyn Software, Looker, InCorta, Datascience.com, Kloudio, Izenda, Kyvos Insights, Pentaho, Dapresy, Symphony AyasdiAI, Feedzai, Pyramid Analytics, MemSQL, Xplenty, BIME Analytics, Numetric, Predixion, Jinfonet Software, Platfora, ClearStory Data, Qlik Technologies, BigML, Nathean, Qubole, RStudio, PredicSis, ThoughtSpot, Grow (Business/Productivity Software), MapR, Datahero, SAP, Skytree, Datameer, Clari, Interana, Ngdata, Logi Analytics, Quarrio, Yellowfin, TapClicks, Datoin, Appian, Databricks, Striim, Notion Data, Syncsort, Dataiku, Beyond Limits, Infor Global Solutions, Predikto, Reforce International, Cloudera, Talend, Dremio, Rever, DataStax, Alteryx, Dasheroo, Dimensional Insight, Exosite, SAS Institute, TIBCO Software, SlamData, GoodData, Uptake, Palantir Technologies, BeyondCore, Intellaegis, Birst, DataRobot, Salesforce, InetSoft, Pegasystems, MuleSoft, SnapLogic, Decision Lens, Datorama, Paxata, Bottlenose, Splunk, Origami Logic, RapidMiner, Trifacta, Collibra, Verimatrix, Dundas Data Visualization, Dropbox, Entrinsik, KXEN, Trillium Software, SparkCognition, Apigee, Civis Analytics, MicroStrategy, RJMetrics, StreamSets, Clockwork Solutions, Evariant, Host Analytics, New Relic, Informatica, Basho</t>
  </si>
  <si>
    <t>Developer of a visual analytics platform designed to allow users to discover new opportunities and solve problems that are too big or too hard to solve using conventional business intelligence tools. The company's platform visualizes and analyzes billions of rows and makes it easy to embed visual analytics into any application, enabling users to get a standalone analytics platform that provides embedded user-facing applications.</t>
  </si>
  <si>
    <t>Information Technology</t>
  </si>
  <si>
    <t>Software</t>
  </si>
  <si>
    <t>Business/Productivity Software</t>
  </si>
  <si>
    <t>Business/Productivity Software*</t>
  </si>
  <si>
    <t>Big Data, SaaS, TMT</t>
  </si>
  <si>
    <t>data analytics portal, data analytics software, data analytics system, visual analytics software, visual analytics tool</t>
  </si>
  <si>
    <t>Private Equity, Venture Capital</t>
  </si>
  <si>
    <t>www.zoomdata.com</t>
  </si>
  <si>
    <t>2014: 50, 2016: 100</t>
  </si>
  <si>
    <t>Primary Office (Update) Reston, VA</t>
  </si>
  <si>
    <t>38926-99P</t>
  </si>
  <si>
    <t>Robert Aldrich</t>
  </si>
  <si>
    <t>robert@zoomdata.com</t>
  </si>
  <si>
    <t>Reston, VA</t>
  </si>
  <si>
    <t>11921 Freedom Drive</t>
  </si>
  <si>
    <t>Suite 750</t>
  </si>
  <si>
    <t>Reston</t>
  </si>
  <si>
    <t>Virginia</t>
  </si>
  <si>
    <t>20190</t>
  </si>
  <si>
    <t>+1 (571) 279-6166</t>
  </si>
  <si>
    <t>The company entered into a definitive agreement to be acquired by Logi Analytics, via its financial sponsor Marlin Equity Partners, through an LBO on June 4, 2019 for an undisclosed sum.</t>
  </si>
  <si>
    <t>Accel, B7, B7 Ventures, Blue Tiger Ventures, Bobby Yazdani, Center for Innovative Technology Gap Funds, Cisco Entrepreneurs in Residence, Columbus Nova Technology Partners, Comcast Ventures, Cota Capital, Goldman Sachs Principal Strategic Investments, In-Q-Tel, Jennifer O'Daniel, New Enterprise Associates, New MainStream Capital, Peter Thorp, Razor's Edge Ventures, Sean Glass, Signatures Capital, Stonehaven Capital</t>
  </si>
  <si>
    <t>Logi Analytics, Marlin Equity Partners</t>
  </si>
  <si>
    <t>Accel(www.accel.com), B7(www.b7inc.com), B7 Ventures(www.b7ventures.com), Blue Tiger Ventures(www.bluetigerventures.com), Center for Innovative Technology Gap Funds(www.cit.org/service-lines/cit-gap-funds), Cisco Entrepreneurs in Residence(eir.cisco.com), Columbus Nova Technology Partners(www.cntp.com), Comcast Ventures(www.comcastventures.com), Cota Capital(www.cotacapital.com), In-Q-Tel(www.iqt.org), New Enterprise Associates(www.nea.com), New MainStream Capital(www.nms-capital.com), Razor's Edge Ventures(www.razorsvc.com), Signatures Capital(www.signaturescapital.com), Stonehaven Capital(www.stonehavencap.com)</t>
  </si>
  <si>
    <t>Logi Analytics(www.logianalytics.com), Marlin Equity Partners(www.marlinequity.com)</t>
  </si>
  <si>
    <t>DLA Piper(Legal Advisor), True Capital Partners(Advisor: General)</t>
  </si>
  <si>
    <t>DLA Piper(Legal Advisor), Marlin &amp; Associates Securities(Advisor: General)</t>
  </si>
  <si>
    <t>Buyout/LBO</t>
  </si>
  <si>
    <t>Add-on</t>
  </si>
  <si>
    <t>Private Equity</t>
  </si>
  <si>
    <t>Announced/In Progress</t>
  </si>
  <si>
    <t>42711-67</t>
  </si>
  <si>
    <t>Zolo Technologies</t>
  </si>
  <si>
    <t>Manufacturer of laser-based, multiplexed combustion monitoring systems designed to measure multiple constituents in ultra-harsh combustion environments. The company's Multiplexed Tunable Diode Laser Absorption Spectroscopy (WM-TDLAS) technology combines lasers and fiber-optics to measure and profile the combustion zone reactions in an unprecedented way enabling process and petro-chemical refining companies gain improvements in process performance, efficiency, reliability and safety.</t>
  </si>
  <si>
    <t>Communications and Networking</t>
  </si>
  <si>
    <t>Fiberoptic Equipment</t>
  </si>
  <si>
    <t>Fiberoptic Equipment*, Other Software</t>
  </si>
  <si>
    <t>Manufacturing, TMT</t>
  </si>
  <si>
    <t>combustion monitoring system, laser-based system, multiplexed combustion monitoring system, spectroscopy, tunable diodes laser, ultra-harsh measurement</t>
  </si>
  <si>
    <t>www.zolotech.com</t>
  </si>
  <si>
    <t>2001: 15, 2002: 68, 2003: 68, 2004: 20, 2005: 20, 2014: 28, 2015: 33</t>
  </si>
  <si>
    <t>39835-09P</t>
  </si>
  <si>
    <t>Reed Sarver</t>
  </si>
  <si>
    <t>Chief Executive Officer, President &amp; Board Member</t>
  </si>
  <si>
    <t>rsarver@zolotech.com</t>
  </si>
  <si>
    <t>+1 (303) 604-5855</t>
  </si>
  <si>
    <t>Louisville, CO</t>
  </si>
  <si>
    <t>331 South 104th Street</t>
  </si>
  <si>
    <t>Louisville</t>
  </si>
  <si>
    <t>Colorado</t>
  </si>
  <si>
    <t>80027</t>
  </si>
  <si>
    <t>+1 (303) 604-5800</t>
  </si>
  <si>
    <t>Costella Kirsch sold its stake in the company to an undisclosed investor. The company raised $766,503 of venture funding through a combination of equity and convertible debt out of a planned $8.83 million from Next47 and other undisclosed investors on March 5, 2017.</t>
  </si>
  <si>
    <t>3i Group, Anschutz Investment, Canaan Partners, Cipio Partners, Crescendo Ventures, Department of Energy, Duke Energy, El Dorado Ventures, Morgenthaler Ventures, Next47, Telecom Partners, United States Department of Defense</t>
  </si>
  <si>
    <t>Costella Kirsch</t>
  </si>
  <si>
    <t>3i Group(www.3i.com), Canaan Partners(www.canaan.com), Cipio Partners(www.cipiopartners.com), Crescendo Ventures(www.crescendoventures.com), Duke Energy(www.duke-energy.com), El Dorado Ventures(www.eldorado.com), Morgenthaler Ventures(www.morgenthaler.com), Next47(Next47.com), Telecom Partners(www.telecompartners.com), United States Department of Defense(www.defense.gov)</t>
  </si>
  <si>
    <t>Costella Kirsch(www.costellakirsch.com)</t>
  </si>
  <si>
    <t>Secondary Transaction - Private</t>
  </si>
  <si>
    <t>62070-94</t>
  </si>
  <si>
    <t>ZOLA Electric</t>
  </si>
  <si>
    <t>Off Grid Electric</t>
  </si>
  <si>
    <t>Sungevity, EGG-energy, BBOXX, Oxford PV, M-Kopa, Solar Works!, d.light, Lightsource, Boond Engineering and Development, ZOLAR, SolarNow</t>
  </si>
  <si>
    <t>Developer of solar installers designed to offer off-grid solar services in various African countries. The company's installers provides a solar system based on audacious ideas along with combined innovations from the electric vehicle industry and large-scale solar to create modular systems, enabling customers to access latest technologies and smart techniques.</t>
  </si>
  <si>
    <t>Energy</t>
  </si>
  <si>
    <t>Energy Equipment</t>
  </si>
  <si>
    <t>Alternative Energy Equipment</t>
  </si>
  <si>
    <t>Alternative Energy Equipment*, Other Energy Services</t>
  </si>
  <si>
    <t>CleanTech, Impact Investing, LOHAS &amp; Wellness, TMT</t>
  </si>
  <si>
    <t>clean power, electrical grid, energy ecosystem, green technology, impact investing vertical, solar installer</t>
  </si>
  <si>
    <t>www.zolaelectric.com</t>
  </si>
  <si>
    <t>2014: 11, 2015: 214, 2016: 291, 2018: 1000</t>
  </si>
  <si>
    <t>63661-06P</t>
  </si>
  <si>
    <t>Xavier Helgesen</t>
  </si>
  <si>
    <t>xhelgesen@offgrid-electric.com</t>
  </si>
  <si>
    <t>Arusha, Tanzania</t>
  </si>
  <si>
    <t>Plot Number 44, Block 3</t>
  </si>
  <si>
    <t>Sekei-Faida Street</t>
  </si>
  <si>
    <t>Arusha</t>
  </si>
  <si>
    <t>Tanzania</t>
  </si>
  <si>
    <t>Africa</t>
  </si>
  <si>
    <t>Eastern Africa</t>
  </si>
  <si>
    <t>The company raised $55 million of Series F venture funding in a deal led by Helios Investment Partners on January 6,2018. GE Ventures, CH Group, Électricité de France, Factor[e] Ventures, Aster Capital Partners and The World We Want Foundation also participated in the round. The funding will be used by the company to fuel the microgrid expansion in the continent and to extend the partnership with EDF into Ghana.</t>
  </si>
  <si>
    <t>Africa Enterprise Challenge Fund, Aster Capital, BWE-JV Investments, CH Group, DBL Partners, Électricité de France, Energy Access Ventures, Energy and Environment Partnership, Factor[e] Ventures, GE Ventures, Girl Effect Accelerator, Givia, Helios Investment Partners, Idinvest Partners, International Finance Corporation, Jasmine Social Investments, Mulago Foundation, Omidyar Network, Performance Management, Persistent Energy, Runway Incubator, Segal Family Foundation, Serious Change, SolarCity, Temitopé Lawani, The World We Want Foundation, Total Energy Ventures, U.S. Agency for International Development, Vulcan Capital, Western Technology Investment, Zayed Future Energy Prize, Zouk Capital</t>
  </si>
  <si>
    <t>Africa Enterprise Challenge Fund(www.aecfafrica.org), Aster Capital(www.aster.com), CH Group(chgroupgh.com), DBL Partners(www.dblpartners.vc), Électricité de France(www.edf.fr), Energy Access Ventures(www.eavafrica.com), Factor[e] Ventures(www.factore.com), GE Ventures(www.geventures.com), Girl Effect Accelerator(www.girleffectaccelerator.com), Helios Investment Partners(www.heliosinvestment.com), Idinvest Partners(www.idinvest.com), International Finance Corporation(www.ifc.org), Jasmine Social Investments(www.jasmine.org.nz), Mulago Foundation(www.mulagofoundation.org), Omidyar Network(www.omidyar.com), Persistent Energy(www.persistent.energy), Runway Incubator(www.runway.is), Segal Family Foundation(www.segalfamilyfoundation.org), Serious Change(www.seriouschange.org.uk), SolarCity(www.solarcity.com), The World We Want Foundation(www.theworldwewant.se), U.S. Agency for International Development(www.usaid.gov), Vulcan Capital(capital.vulcan.com), Western Technology Investment(www.westerntech.com), Zayed Future Energy Prize(www.zayedfutureenergyprize.com), Zouk Capital(www.zouk.com)</t>
  </si>
  <si>
    <t>Orrick, Herrington &amp; Sutcliffe(Legal Advisor), Wilson Sonsini Goodrich &amp; Rosati(Legal Advisor)</t>
  </si>
  <si>
    <t>Calvert Impact Capital(Debt Financing), Ceniarth(Debt Financing), Cordiant Capital(Debt Financing), David And Lucile Packard Foundation(Debt Financing), Developing World Markets(Debt Financing), International Finance Corporation(Debt Financing), Orrick, Herrington &amp; Sutcliffe(Legal Advisor), responsAbility Investments(Debt Financing), Western Technology Investment(Debt Financing), Wilson Sonsini Goodrich &amp; Rosati(Legal Advisor)</t>
  </si>
  <si>
    <t>Series F</t>
  </si>
  <si>
    <t>59276-17</t>
  </si>
  <si>
    <t>Zola</t>
  </si>
  <si>
    <t>Wed Me Good, Appy Couple, Hunliji, Weddingbee.com, Honeyfund, WeddingWire, MyRegistry, Blueprint Registry</t>
  </si>
  <si>
    <t>Provider of a suite of wedding-planning tools for modern couples. The company's platform includes free wedding websites, checklists, guest lists, and registries with over 600 brands, simplifying everything from the engagement to wedding and decorating one's first home.</t>
  </si>
  <si>
    <t>Application Software</t>
  </si>
  <si>
    <t>Application Software*, Social/Platform Software</t>
  </si>
  <si>
    <t>TMT</t>
  </si>
  <si>
    <t>homeware, honeymoon fund, modern couples, wedding gift, wedding planning, wedding registry</t>
  </si>
  <si>
    <t>www.zola.com</t>
  </si>
  <si>
    <t>2014: 27, 2015: 35, 2017: 45, 2018: 140</t>
  </si>
  <si>
    <t>FY 2017</t>
  </si>
  <si>
    <t>55917-01P</t>
  </si>
  <si>
    <t>Shan-Lyn Ma</t>
  </si>
  <si>
    <t>Co-Founder and Chief Executive Officer</t>
  </si>
  <si>
    <t>New York, NY</t>
  </si>
  <si>
    <t>150 Broadway</t>
  </si>
  <si>
    <t>19th Floor</t>
  </si>
  <si>
    <t>New York</t>
  </si>
  <si>
    <t>10038</t>
  </si>
  <si>
    <t>The company raised $100 million through a combination of debt and equity of Series D venture funding in a deal led by Comcast Ventures on May 3, 2018, putting the company's pre-money valuation at $590 million. NBCUniversal, GingerBread Capital, Balyasny Asset Management, Jerry Yang, Thrive Capital, Canvas Ventures, BBG Ventures, Female Founders Fund, Lightspeed Venture Partners and Goldman Sachs Investment Partners also participated in the round. The funding will be used to further cross-device product development and its proprietary platform technology.</t>
  </si>
  <si>
    <t>Balyasny Asset Management, BAM Ventures, BBG Ventures, Canvas Ventures, Comcast Ventures, Female Founders Fund, Forerunner Ventures, GingerBread Capital, Goldman Sachs Investment Partners, Kevin Ryan, Lightspeed Venture Partners, NBCUniversal, Thrive Capital, Zhiyuan Yang</t>
  </si>
  <si>
    <t>Balyasny Asset Management(www.bamfunds.com), BAM Ventures(www.bam.vc), BBG Ventures(www.bbgventures.com), Canvas Ventures(www.canvas.vc), Comcast Ventures(www.comcastventures.com), Female Founders Fund(www.femalefoundersfund.com), Forerunner Ventures(www.forerunnerventures.com), GingerBread Capital(www.gingerbreadcap.com), Goldman Sachs Investment Partners(www.gsipventures.com), Lightspeed Venture Partners(www.lsvp.com), NBCUniversal(www.nbcuniversal.com), Thrive Capital(www.thrivecap.com)</t>
  </si>
  <si>
    <t>FutureEngine(Consulting), Pillsbury Winthrop Shaw Pittman(Legal Advisor), Propeller Industries(Accounting)</t>
  </si>
  <si>
    <t>Pillsbury Winthrop Shaw Pittman(Legal Advisor)</t>
  </si>
  <si>
    <t>Series D</t>
  </si>
  <si>
    <t>231934-96</t>
  </si>
  <si>
    <t>ZingFront</t>
  </si>
  <si>
    <t>Developer of an AI production engine designed to offer video creation services. The company focuses on big data, 3D cloud and creative cloud technologies, allowing Brand owners and advertising agencies to use platform for advertising video creative production and advertising intelligence analysis.</t>
  </si>
  <si>
    <t>Entertainment Software</t>
  </si>
  <si>
    <t>Business/Productivity Software, Entertainment Software*, Social/Platform Software</t>
  </si>
  <si>
    <t>Artificial Intelligence &amp; Machine Learning, Big Data, SaaS, TMT, Virtual Reality</t>
  </si>
  <si>
    <t>3d computing, 3d technology, 3d video creation, cloud games platform, creative cloud tool, virtual avatar</t>
  </si>
  <si>
    <t>www.zingfront.cn</t>
  </si>
  <si>
    <t>68323-87P</t>
  </si>
  <si>
    <t>Xiuwen Zhao</t>
  </si>
  <si>
    <t>Chief Executive Officer &amp; Founder</t>
  </si>
  <si>
    <t>xiuwen@zingfront.cn</t>
  </si>
  <si>
    <t>Beijing, China</t>
  </si>
  <si>
    <t>Junhao Central Park Plaza</t>
  </si>
  <si>
    <t>Chaoyang District</t>
  </si>
  <si>
    <t>Beijing</t>
  </si>
  <si>
    <t>China</t>
  </si>
  <si>
    <t>hello@zingfront.com</t>
  </si>
  <si>
    <t>Asia</t>
  </si>
  <si>
    <t>East Asia</t>
  </si>
  <si>
    <t>The company raised an undisclosed amount of Series A venture funding from Baidu Ventures on June 19, 2018. The funding will be used for technology research and development.</t>
  </si>
  <si>
    <t>Baidu Ventures</t>
  </si>
  <si>
    <t>Baidu Ventures(www.bv.ai)</t>
  </si>
  <si>
    <t>55451-98</t>
  </si>
  <si>
    <t>Zimperium</t>
  </si>
  <si>
    <t>Nyotron Information Security, AlgoSec, Pulse Secure, Lancope, EnSilo, SentinelOne, AirWatch, Skycure, Cymmetria, Iovation, Corrata, AdaptiveMobile, Wandera, Arxan Technologies, Blackberry, Bradford Networks, Aves Network Security, Illusive Networks, Lookout, Metaforic, Optio Labs, Tanium, LightCyber, Contrast Security, Entersekt, Tenable, MobileIron, Cybereason, SecureWorks, Feedzai, Accertify, Jscrambler, Appdome, Pindrop, Qualys, ThreatMetrix, TrapX Security, Palo Alto Networks, Hyperwise Security, Promon (Network Management Software), Mobile Active Defense, Deep Secure, Cryptzone Group, Asavie Technologies</t>
  </si>
  <si>
    <t>Developer of security systems designed to protect company from device, network and application-based attacks. The company's security systems offers real-time, on-device protection against both known and unknown Android and iOS threats, enabling enterprises of all sizes, large federal and local government agencies, leading mobile operators and major OEM partners to protect mobile data, applications and sessions against device compromises, network attacks and malicious applications.</t>
  </si>
  <si>
    <t>Network Management Software</t>
  </si>
  <si>
    <t>Network Management Software*</t>
  </si>
  <si>
    <t>Cybersecurity, Mobile, TMT</t>
  </si>
  <si>
    <t>mobile risk management, mobile threat, security system, unified threat management</t>
  </si>
  <si>
    <t>www.zimperium.com</t>
  </si>
  <si>
    <t>2014: 15, 2015: 51, 2016: 63</t>
  </si>
  <si>
    <t>22251-61P</t>
  </si>
  <si>
    <t>Timothy Barker</t>
  </si>
  <si>
    <t>tim.barker@zimperium.com</t>
  </si>
  <si>
    <t>+1 (844) 601-6760</t>
  </si>
  <si>
    <t>Dallas, TX</t>
  </si>
  <si>
    <t>4055 Valley View</t>
  </si>
  <si>
    <t>Dallas</t>
  </si>
  <si>
    <t>Texas</t>
  </si>
  <si>
    <t>75244</t>
  </si>
  <si>
    <t>info@zimperium.com</t>
  </si>
  <si>
    <t>The company raised $12 million of Series E venture funding from Sierra Ventures on November 16, 2018, putting the company's pre-money valuation at $198 million. Previously, the company raised $15 million of Series D venture funding from Softbank Capital and other undisclosed investors on December 22, 2016, putting the company's pre-money valuation at $110 million. Samsung NEXT Ventures also participated in it.</t>
  </si>
  <si>
    <t>Ibex Investors, Olive Tree Ventures, Samsung Electronics, Samsung NEXT Ventures, Sierra Ventures, SoftBank Capital, Telstra Ventures, Toyo(Japan), Warburg Pincus</t>
  </si>
  <si>
    <t>Ibex Investors(www.ibexinvestors.com), Olive Tree Ventures(www.olivetree.vc), Samsung Electronics(www.samsung.com), Samsung NEXT Ventures(www.samsungnext.com), Sierra Ventures(www.sierraventures.com), SoftBank Capital(www.softbankvc.com), Telstra Ventures(www.telstraventures.com), Toyo(Japan)(www.toyo.co.jp), Warburg Pincus(www.warburgpincus.com)</t>
  </si>
  <si>
    <t>Fenwick &amp; West(Legal Advisor), The Millard Group (Connecticut)(Consulting)</t>
  </si>
  <si>
    <t>Fenwick &amp; West(Legal Advisor), Orrick, Herrington &amp; Sutcliffe(Legal Advisor)</t>
  </si>
  <si>
    <t>Series E</t>
  </si>
  <si>
    <t>178170-85</t>
  </si>
  <si>
    <t>ZillionSource</t>
  </si>
  <si>
    <t>Developer of a cloud based supply chain and logistics platform designed to monitor and track cargoes in real time. The company's supply chain and logistics platform intelligently collects and reports sensory data continuously and offers a smart tracking device with built-in multi-sensors which with its small form and light weight ensures quality and total visibility, enabling customers to monitor and track their cargoes anywhere and anytime.</t>
  </si>
  <si>
    <t>Logistics</t>
  </si>
  <si>
    <t>Electrical Equipment, Logistics*, Social/Platform Software</t>
  </si>
  <si>
    <t>Industrials, Internet of Things, SaaS, TMT</t>
  </si>
  <si>
    <t>cargo tracking, logistics platform, online tracking software, supply chain platform</t>
  </si>
  <si>
    <t>www.zillionsource.com</t>
  </si>
  <si>
    <t>39746-35P</t>
  </si>
  <si>
    <t>Sean Yu</t>
  </si>
  <si>
    <t>Founder &amp; Chairman</t>
  </si>
  <si>
    <t>sean@parasut.com</t>
  </si>
  <si>
    <t>+90 (0)212 963 0020</t>
  </si>
  <si>
    <t>Shanghai, China</t>
  </si>
  <si>
    <t>81 Caodong Zhi Road</t>
  </si>
  <si>
    <t>Suite 508</t>
  </si>
  <si>
    <t>Shanghai</t>
  </si>
  <si>
    <t>+86 (0)21 6192 1920</t>
  </si>
  <si>
    <t>jsomerdin@zillionsource.com</t>
  </si>
  <si>
    <t>The company raised an undisclosed amount of venture funding from Cisco Investments.</t>
  </si>
  <si>
    <t>Cisco Investments, Cisco Systems</t>
  </si>
  <si>
    <t>Cisco Investments(www.ciscoinvestments.com), Cisco Systems(www.cisco.com)</t>
  </si>
  <si>
    <t>54449-83</t>
  </si>
  <si>
    <t>ZiLift</t>
  </si>
  <si>
    <t>Developer of magnet technologies designed to put downhole pumps deep inside the ground. The company's magnet technologies uses permanent magnet motor and gear with cable and coiled tubing which has high intervention capabilities, enabling their clients to get advanced artificial lift and drill services.</t>
  </si>
  <si>
    <t>Machinery (B2B)</t>
  </si>
  <si>
    <t>Machinery (B2B)*, Oil and Gas Equipment</t>
  </si>
  <si>
    <t>Industrials, Oil &amp; Gas</t>
  </si>
  <si>
    <t>magnets technology, oil technology</t>
  </si>
  <si>
    <t>www.zilift.com</t>
  </si>
  <si>
    <t>2012: 28, 2013: 30, 2016: 30</t>
  </si>
  <si>
    <t>FY 2015</t>
  </si>
  <si>
    <t>41275-81P</t>
  </si>
  <si>
    <t>Catherine Murray</t>
  </si>
  <si>
    <t>Finance Director</t>
  </si>
  <si>
    <t>catherine.murray@zilift.com</t>
  </si>
  <si>
    <t>+44 (0)77 1264 9642</t>
  </si>
  <si>
    <t>Aberdeen, United Kingdom</t>
  </si>
  <si>
    <t>Units 17-19 Greenrole Trading Estate</t>
  </si>
  <si>
    <t>Howe Moss Drive, Dyce</t>
  </si>
  <si>
    <t>Aberdeen</t>
  </si>
  <si>
    <t>Scotland</t>
  </si>
  <si>
    <t>AB21 0GL</t>
  </si>
  <si>
    <t>United Kingdom</t>
  </si>
  <si>
    <t>+44 (0)12 2422 7227</t>
  </si>
  <si>
    <t>+44 (0)12 2470 3146</t>
  </si>
  <si>
    <t>info@zilift.com</t>
  </si>
  <si>
    <t>Europe</t>
  </si>
  <si>
    <t>Western Europe</t>
  </si>
  <si>
    <t>The company raised EUR 3.5 million of venture funding from Saudi Aramco Energy Ventures on June 3, 2013.</t>
  </si>
  <si>
    <t>Chevron Technology Ventures, Energy Technology Ventures, EV Private Equity, GE Ventures, Investinor, Jebsen Asset Management, Saudi Aramco Energy Ventures, Viking Venture</t>
  </si>
  <si>
    <t>EV Private Equity(www.evprivateequity.no), GE Ventures(www.geventures.com), Investinor(www.investinor.no), Jebsen Asset Management(www.jebsenassets.com), Saudi Aramco Energy Ventures(www.saev.com), Viking Venture(www.vikingventure.com)</t>
  </si>
  <si>
    <t>Bank of Scotland(Advisor: General), Burness Paull(Legal Advisor), PwC(Auditor)</t>
  </si>
  <si>
    <t>231950-35</t>
  </si>
  <si>
    <t>Ziggeo</t>
  </si>
  <si>
    <t>Developer of an embeddable video player designed to capture video and provide insights. The company's recorder uses an API that lets any site or platform easily record and integrate video profiles, video messages, video reviews and video comments in moderation dashboard, enabling individuals to easily capture, curate and manage user-generated and professional videos.</t>
  </si>
  <si>
    <t>Multimedia and Design Software</t>
  </si>
  <si>
    <t>Multimedia and Design Software*, Other Software</t>
  </si>
  <si>
    <t>embeddable video recorder, video recording, video recording tool, video review</t>
  </si>
  <si>
    <t>Accelerator/Incubator Backed</t>
  </si>
  <si>
    <t>Pre-venture</t>
  </si>
  <si>
    <t>www.ziggeo.com</t>
  </si>
  <si>
    <t>115766-83P</t>
  </si>
  <si>
    <t>Susan Danziger</t>
  </si>
  <si>
    <t>+1 (931) 994-4436</t>
  </si>
  <si>
    <t>211 West 22nd Street</t>
  </si>
  <si>
    <t>10011</t>
  </si>
  <si>
    <t>info@ziggeo.com</t>
  </si>
  <si>
    <t>The company graduated from SAP.iO Foundry as part of the New York First Cohort on August 13, 2018.</t>
  </si>
  <si>
    <t>SAP.iO Foundry</t>
  </si>
  <si>
    <t>SAP.iO Foundry(sap.io)</t>
  </si>
  <si>
    <t>54171-37</t>
  </si>
  <si>
    <t>Ziebel</t>
  </si>
  <si>
    <t>HPSP</t>
  </si>
  <si>
    <t>Provider of technology and services designed to better use existing oil and gas wells. The company's technology and services use proprietary fiber optic composite rod technology which makes it possible to access and visualize the entire bore in real-time, enabling oil drilling companies to optimize well and reservoir management.</t>
  </si>
  <si>
    <t>Oil and Gas Equipment</t>
  </si>
  <si>
    <t>Oil and Gas Equipment*, Other Energy Services</t>
  </si>
  <si>
    <t>Oil &amp; Gas</t>
  </si>
  <si>
    <t>bearing monitoring, fiber optic, intervention technology, oil and gas field, oil extract technology, oil field technology, oil technology</t>
  </si>
  <si>
    <t>www.ziebel.com</t>
  </si>
  <si>
    <t>FY 2014</t>
  </si>
  <si>
    <t>61829-92P</t>
  </si>
  <si>
    <t>Francis Neill</t>
  </si>
  <si>
    <t>Chief Executive Officer</t>
  </si>
  <si>
    <t>francis.neill@ziebel.com</t>
  </si>
  <si>
    <t>+44 7810 851936</t>
  </si>
  <si>
    <t>Stavanger, Norway</t>
  </si>
  <si>
    <t>PO Box 326</t>
  </si>
  <si>
    <t>Stavanger</t>
  </si>
  <si>
    <t>4067</t>
  </si>
  <si>
    <t>Norway</t>
  </si>
  <si>
    <t>+47 51 20 19 50</t>
  </si>
  <si>
    <t>+47 51 20 19 57</t>
  </si>
  <si>
    <t>stavanger@ziebel.com</t>
  </si>
  <si>
    <t>Northern Europe</t>
  </si>
  <si>
    <t>Energy Ventures sold a stake in the company on an undisclosed date.. Previously, the company raised $10 million of venture funding in a deal led by ConocoPhillips Technology Ventures on January 20, 2014. Chevron Technology Ventures, Energy Technology Ventures, Energy Ventures, Viking Venture, Jebsen Asset Management, Verdane Capital, Investinor and Torvald Klaveness also participated in the round.</t>
  </si>
  <si>
    <t>Chevron Technology Ventures, ConocoPhillips Technology Ventures, Energy Technology Ventures, EV Private Equity, GE Ventures, Investinor, Jebsen Asset Management, Torvald Klaveness, Verdane Capital, Viking Venture</t>
  </si>
  <si>
    <t>EV Private Equity(www.evprivateequity.no), GE Ventures(www.geventures.com), Investinor(www.investinor.no), Jebsen Asset Management(www.jebsenassets.com), Torvald Klaveness(www.klaveness.com), Verdane Capital(www.verdane.com), Viking Venture(www.vikingventure.com)</t>
  </si>
  <si>
    <t>57860-56</t>
  </si>
  <si>
    <t>ZeroFox</t>
  </si>
  <si>
    <t>Riskive</t>
  </si>
  <si>
    <t>DEVCON (Ad Tech Security), Digital Shadows, Polyverse, Blueliv, Buguroo, CTM360, Threat Stack, ThreatConnect, iSIGHT Partners, Dome9 Security, Cryptonite, Recorded Future, Nexgate, Illumio, Versive, SentinelOne, Layered Insight, White Ops, Twistlock, Fortanix, Crimson Hexagon, Aqua Security, CloudPassage, StackRox, RiskIQ, MarkMonitor, ThreatMetrix, NeuVector, LookingGlass Cyber Solutions, PassiveTotal</t>
  </si>
  <si>
    <t>Developer of enterprise social risk management platform designed to protects companies from cyber attacks. The company's platform offers a cloud-based technology and predictive analytics services identify, manage and mitigate information security risk introduced through social media which allows for real-time protection of users, applications and social brand assets, enabling clients to gain insight, intelligence and context to defend their organization proactively, stopping complex and targeted attacks.</t>
  </si>
  <si>
    <t>Cybersecurity, SaaS, TMT</t>
  </si>
  <si>
    <t>branding protection, cyber security, digital communication platform, real time risk management, social account protection, social media brand protection, social media risk management, social media security, social media security platform, social risk management</t>
  </si>
  <si>
    <t>www.zerofox.com</t>
  </si>
  <si>
    <t>2013: 30, 2014: 43, 2015: 100, 2017: 100, 2018: 130, 2019: 182</t>
  </si>
  <si>
    <t>46984-06P</t>
  </si>
  <si>
    <t>Timothy Bender</t>
  </si>
  <si>
    <t>tbender@zerofox.com</t>
  </si>
  <si>
    <t>+1 (855) 936-9369</t>
  </si>
  <si>
    <t>Baltimore, MD</t>
  </si>
  <si>
    <t>1834 South Charles Street</t>
  </si>
  <si>
    <t>Baltimore</t>
  </si>
  <si>
    <t>Maryland</t>
  </si>
  <si>
    <t>21230</t>
  </si>
  <si>
    <t>info@zerofox.com</t>
  </si>
  <si>
    <t>The company raised $40 million of Series C venture funding in a deal led by Redline Capital Management and Silver Lake Management on May 26, 2017. New Enterprise Associates, Highland Capital Partners and Core Capital also participated in the round. The fund will be used to continue expanding in those areas, where demand for social media cybersecurity has been strong.</t>
  </si>
  <si>
    <t>Aviel Rubin, Baltimore Angels, Comcast Ventures, Core Capital, Core Capital Partners, Dingman Center Angels, Enrique Salem, Genacast Ventures, Highland Capital Partners, Lane Bess, Michael Fey, New Enterprise Associates, Red Abbey Venture Partners, Redline Capital Management, Silicon Valley Bank, Silver Lake Management, TCP Venture Capital, TechBuzz, The Mid-Atlantic Venture Association, Timothy Eades</t>
  </si>
  <si>
    <t>Baltimore Angels(www.baltimoreangels.com), Comcast Ventures(www.comcastventures.com), Core Capital(www.core-cap.com), Core Capital Partners(www.core-capital.com), Genacast Ventures(www.genacast.com), Highland Capital Partners(www.hcp.com), New Enterprise Associates(www.nea.com), Red Abbey Venture Partners(www.redabbey.com/ravp.htm), Redline Capital Management(www.redline-capital.com), Silicon Valley Bank(www.svb.com), Silver Lake Management(www.silverlake.com), TCP Venture Capital(www.tcp.vc), The Mid-Atlantic Venture Association(www.mava.org)</t>
  </si>
  <si>
    <t>Daversa Partners(Consulting), The Millard Group (Connecticut)(Consulting), Treble Public Relations(Advisor: Communications)</t>
  </si>
  <si>
    <t>99142-48</t>
  </si>
  <si>
    <t>ZergNet</t>
  </si>
  <si>
    <t>Outbrain, Distractify, Urban Times, NationSwell, Vox Media</t>
  </si>
  <si>
    <t>Developer of an editorial recommendations platform designed to promote contents and links on various partner sites. The company's editorial recommendations platform develops a software for publishers which allows them to publish their content on various sites as well as offers content recommendation services, enabling digital publishers generate revenue from their website traffic.</t>
  </si>
  <si>
    <t>Media and Information Services (B2B)*, Social Content, Social/Platform Software</t>
  </si>
  <si>
    <t>content discovery, content recommendation, publishing service, publishing software</t>
  </si>
  <si>
    <t>Startup</t>
  </si>
  <si>
    <t>www.zergnet.com</t>
  </si>
  <si>
    <t>2014: 13, 2015: 25</t>
  </si>
  <si>
    <t>83829-79P</t>
  </si>
  <si>
    <t>Reggie Renner</t>
  </si>
  <si>
    <t>reggie@zergnet.com</t>
  </si>
  <si>
    <t>+1 (630) 930-4052</t>
  </si>
  <si>
    <t>443 Park Avenue South</t>
  </si>
  <si>
    <t>5th Floor</t>
  </si>
  <si>
    <t>10016</t>
  </si>
  <si>
    <t>The company raised $5.9 million of Series A1 venture funding from Greycroft Partners and other undisclosed investors on October 22, 2015, putting the company's pre-money valuation at $23.99 million. Prior to that, the company raised $3.27 million of Series A venture funding from undisclosed investors on October 22, 2015. Before that, the company raised $3.2 million of Series A venture funding in a deal led by Greycroft Partners and Bertelsmann Digital Media Investments on November 5, 2014, putting the company's pre-money valuation at $146.51 million. Lerer Hippeau Ventures and Mark Cuban also participated in this round.</t>
  </si>
  <si>
    <t>Bertelsmann Digital Media Investments, Greycroft, Individual Investor, Lerer Hippeau, Mark Cuban</t>
  </si>
  <si>
    <t>Bertelsmann Digital Media Investments(www.bdmifund.com), Greycroft(www.greycroft.com), Lerer Hippeau(www.lererhippeau.com)</t>
  </si>
  <si>
    <t>Series A1</t>
  </si>
  <si>
    <t>12031-66</t>
  </si>
  <si>
    <t>Zenoss</t>
  </si>
  <si>
    <t>Zentinel</t>
  </si>
  <si>
    <t>FireScope, ThousandEyes, Riverbed Technology, Datadog, Kaseya, Hitachi Vantara, Opsview, Blue Medora, Citrix Systems, Centerity Systems, Cloudyn Software, Intermedia.net, HotLink, ScienceLogic, Sysdig, ShoreGroup, Continuum Managed Services, OpsClarity, SimpliVity, Op5, Veritas Technologies, Symantec, Corvil, Catchpoint, Proofpoint, Opvizor, NetApp, Rocana, Oracle, Xangati, BMC Software, Entuity, Samanage, SevOne, Redwood Software, Netsil, Automic Software, NetScout Systems, Aptean, Electric Cloud, Infor Global Solutions, Sumo Logic, Twistlock, Kentik, SysAid Technologies, Aternity, TIBCO Software, Plutora, Odoo, Unigma, Knoa Software, Blackberry, VictorOps, CommVault Systems, LogicMonitor, Datacom Group, Spiceworks, Librato, Graylog, Kenandy, Dimension Data, SolarWinds, Stackdriver, Alteryx, Datto, Paessler, Aptilo Networks, SignalFx, Logz.io, InfoVista, Pure Storage, KEMP Technologies, SAP, Correlata Solutions, Alation, Niksun, Zabbix, CA Technologies, erwin, Blue Triangle, Dynatrace, Splunk, Circonus, Moogsoft, Aerohive Networks, Cherwell Software, Rancher (Container Management), Zendesk, MobilePhire, Auvik Networks, Viptela, Autotask, F5 Networks, NetSuite, AppRiver, Epicor Software, SAS Institute, Panopta, GroundWork, SonicWALL, Collibra, RapidMiner, Lityx, LLC, SugarCRM, Solutionary, Teradata, Box, HubSpot, Ad-Juster</t>
  </si>
  <si>
    <t>Provider of a monitoring and analytic software designed to provide complete visibility for cloud, virtual and physical IT environments. The company's software helps to manage networks, servers, virtual devices, storage and cloud infrastructure, gaining complete visibility and predictability into IT operations, enabling enterprise customers and service providers to transform their businesses.</t>
  </si>
  <si>
    <t>Business/Productivity Software*, Systems and Information Management</t>
  </si>
  <si>
    <t>analytics software, infrastructure monitoring, monitoring software, open source monitoring, unified monitoring, visibility for cloud</t>
  </si>
  <si>
    <t>www.zenoss.com</t>
  </si>
  <si>
    <t>2005: 100, 2006: 6, 2010: 60, 2014: 132, 2015: 181</t>
  </si>
  <si>
    <t>FY 2013</t>
  </si>
  <si>
    <t>38302-03P</t>
  </si>
  <si>
    <t>Greg Stock</t>
  </si>
  <si>
    <t>Chief Executive Officer &amp; Chairman</t>
  </si>
  <si>
    <t>gstock@zenoss.com</t>
  </si>
  <si>
    <t>+1 (512) 687-6854</t>
  </si>
  <si>
    <t>Austin, TX</t>
  </si>
  <si>
    <t>11305 Four Points Drive</t>
  </si>
  <si>
    <t>Building 1, Suite 300</t>
  </si>
  <si>
    <t>Austin</t>
  </si>
  <si>
    <t>78726</t>
  </si>
  <si>
    <t>+1 (888) 936-6770</t>
  </si>
  <si>
    <t>info@zenoss.com</t>
  </si>
  <si>
    <t>The company raised an undisclosed amount of venture funding from ORIX Growth Capital on March 19, 2019.</t>
  </si>
  <si>
    <t>Amplifier Ventures, Boulder Ventures, Grotech Ventures, Individual Investor, Industry Ventures, Intersouth Partners, Maryland Department of Commerce, Maryland Venture Fund, ORIX Growth Capital, Silicon Valley Bank, Summit Partners</t>
  </si>
  <si>
    <t>Amplifier Ventures(www.amplifierventures.com), Boulder Ventures(www.boulderventures.com), Grotech Ventures(www.grotech.com), Industry Ventures(www.industryventures.com), Intersouth Partners(www.intersouth.com), Maryland Department of Commerce(www.commerce.maryland.gov), Maryland Venture Fund(www.marylandventurefund.com), Silicon Valley Bank(www.svb.com), Summit Partners(www.summitpartners.com)</t>
  </si>
  <si>
    <t>Cooley(Legal Advisor), Shields &amp; Company(Advisor: General), True Capital Partners(Advisor: General)</t>
  </si>
  <si>
    <t>Cooley(Legal Advisor), Silicon Valley Bank(Debt Financing)</t>
  </si>
  <si>
    <t>56149-21</t>
  </si>
  <si>
    <t>Zenefits</t>
  </si>
  <si>
    <t>Collage, EaseCentral, Namely, Maxwell Health, Ceridian HCM, Justworks, Businessolver, Paycom Software, Rise People, BambooHR, Web Benefits Design, Employee Navigator, Jellyvision, Automatic Data Processing, ebenefit Marketplace, Limelight Health, Gusto, Humi HR, bswift, Rippling, Flock (HR Service), Compass HRM, PlanSource Benefits Administration, Payworks Incorporation, Empyrean, Maestro Health, Workday, Kronos, The Ceridian (UK and Ireland unit), SmartBen, TriNet Group, EXIGIS, Vertafore, Insperity, Paylocity, Applied Systems, Paychex, ADPayroll Services, Paycorp, Ceridian (CHSA &amp; COBRA Businesses), Ultimate</t>
  </si>
  <si>
    <t>Developer of SaaS cloud-based human resources platform designed to integrate all human resources needs for small businesses. The company's application manages benefits, employee onboarding, and off-boarding, tracking, selection and management of benefits and insurance plans, and many more, enabling small businesses to simplify and integrate all of their human resources needs and aspects into one dashboard.</t>
  </si>
  <si>
    <t>Human Capital Services</t>
  </si>
  <si>
    <t>Business/Productivity Software, Human Capital Services*</t>
  </si>
  <si>
    <t>HR Tech, Industrials, SaaS, TMT</t>
  </si>
  <si>
    <t>benefits administration, hr application, human capital management system, onboarding, payroll assistance, performance management, time and pay</t>
  </si>
  <si>
    <t>www.zenefits.com</t>
  </si>
  <si>
    <t>2014: 470, 2015: 570, 2016: 1000, 2017: 930, 2018: 500</t>
  </si>
  <si>
    <t>Competitor (New) EXIGIS</t>
  </si>
  <si>
    <t>82408-96P</t>
  </si>
  <si>
    <t>Shaun Wiley</t>
  </si>
  <si>
    <t>swiley@zenefits.com</t>
  </si>
  <si>
    <t>San Francisco, CA</t>
  </si>
  <si>
    <t>250 Beale Street</t>
  </si>
  <si>
    <t>10th Floor</t>
  </si>
  <si>
    <t>San Francisco</t>
  </si>
  <si>
    <t>94105</t>
  </si>
  <si>
    <t>Green Bay Ventures sold its stake in the company to an undisclosed buyer. Previously, the company raised $512.57 million of Series C venture funding from lead investor Fidelity Investment and TPG Growth on May 12, 2015, putting the company's pre-money valuation at $3.99 billion. Comcast Ventures, Founders Fund, Khosla Ventures, Insight Venture Partners, FJ Labs, Panorama Point Partners, Sound Ventures, Andreessen Horowitz, Institutional Venture Partners, Otter Rock Capital, EPIC Ventures, Foresite Capital, Peregrine Ventures (California), Team in Residence, Palm Drive Capital, Tao Capital Partners, Perceptive Advisors, Green Bay Ventures and Jared Leto also participated. As of March 31, 2016, the company was valued at $5.31 per share by Fidelity Investments, representing a 64.36% markdown from the Series C investment.</t>
  </si>
  <si>
    <t>Aaron Levie, Alexis Ohanian, Alvin Tse, Andreessen Horowitz, Benjamin Ling, Benjamin Narasin, Brendan Wallace, Charles Cheever, Comcast Ventures, David Sacks, Elad Gil, EPIC Ventures, Fidelity Investments, FJ Labs, Foresite Capital Management, Founders Fund, Garry Tan, General Catalyst, Harj Taggar, Hydrazine Capital, Initialized Capital Management, Insight Partners, IVP, Jared Leto, John Rusenko, Jules Maltz, Justin Kan, Justin Mateen, Khosla Ventures, Mark Hager, Matt Cutts, Maverick Capital, Maverick Ventures, Otter Rock Capital, Palm Drive Capital, Panorama Point Partners, Paul Buchheit, Perceptive Advisors, Peregrine Ventures (California), Sound Ventures, SV Angel, Tao Capital Partners, Team in Residence, TPG Growth, Venrock, Y Combinator, Yuri Milner</t>
  </si>
  <si>
    <t>Green Bay Ventures</t>
  </si>
  <si>
    <t>Alexis Ohanian(alexisohanian.com), Andreessen Horowitz(www.a16z.com), Brendan Wallace(identified.com/brendan), Comcast Ventures(www.comcastventures.com), EPIC Ventures(www.epicvc.com), Fidelity Investments(www.fidelity.com), FJ Labs(www.fjlabs.com), Foresite Capital Management(www.foresitecapital.com), Founders Fund(www.foundersfund.com), General Catalyst(www.generalcatalyst.com), Harj Taggar(harjtaggar.com), Initialized Capital Management(www.initialized.com), Insight Partners(www.insightpartners.com), IVP(www.ivp.com), Justin Kan(www.justinkan.com), Khosla Ventures(www.khoslaventures.com), Matt Cutts(www.mattcutts.com), Maverick Capital(www.maverickcap.com), Maverick Ventures(www.maverickventures.com), Otter Rock Capital(www.otterrockcapital.com), Palm Drive Capital(www.palmdrive.vc), Panorama Point Partners(www.panoramapoint.com), Perceptive Advisors(www.perceptivelife.com), Peregrine Ventures (California)(www.peregrine.vc), Sound Ventures(www.sound-ventures.com), SV Angel(www.svangel.com), Tao Capital Partners(www.taocap.com), Team in Residence(www.teaminresidence.com), TPG Growth(www.tpggrowth.com), Venrock(www.venrock.com), Y Combinator(www.ycombinator.com)</t>
  </si>
  <si>
    <t>Green Bay Ventures(www.greenbayventures.com)</t>
  </si>
  <si>
    <t>Kindred Partners(Consulting), Nilan Johnson Lewis(Legal Advisor), Orrick, Herrington &amp; Sutcliffe(Legal Advisor), Parker Remick(Consulting), PwC(Auditor), Ropes &amp; Gray(Legal Advisor), True Capital Partners(Consulting)</t>
  </si>
  <si>
    <t>Orrick, Herrington &amp; Sutcliffe(Legal Advisor), Wefunder(Lead Manager or Arranger)</t>
  </si>
  <si>
    <t>58683-16</t>
  </si>
  <si>
    <t>Zendrive</t>
  </si>
  <si>
    <t>Inner Circle Technologies</t>
  </si>
  <si>
    <t>Cambridge Mobile Telematics, Vinli, Tourmaline Labs, Arity</t>
  </si>
  <si>
    <t>Provider of an online application designed to offer smartphone-powered road safety analytics. The company's application utilizes the artificial intelligence algorithms to analyse sensor data and return actionable insights for fleets and drivers, enabling drivers to measure and improve their driving easily.</t>
  </si>
  <si>
    <t>Application Software*, Other Software, Other Transportation</t>
  </si>
  <si>
    <t>Artificial Intelligence &amp; Machine Learning, Mobile, SaaS, TMT</t>
  </si>
  <si>
    <t>drives data, road safety, road safety analytics, smartphone sensor, track location</t>
  </si>
  <si>
    <t>www.zendrive.com</t>
  </si>
  <si>
    <t>2014: 24, 2016: 28</t>
  </si>
  <si>
    <t>53228-08P</t>
  </si>
  <si>
    <t>Jonathan Matus</t>
  </si>
  <si>
    <t>jonathan@zendrive.com</t>
  </si>
  <si>
    <t>929 Market Street</t>
  </si>
  <si>
    <t>94103</t>
  </si>
  <si>
    <t>info@zendrive.com</t>
  </si>
  <si>
    <t>The company raised venture funding from Veronorte on an undisclosed date.</t>
  </si>
  <si>
    <t>Adrian Aoun, AME Cloud Ventures, Amitt Mahajan, Bill Tai, Bill Trenchard, BMW i Ventures, Chris Hulls, Collaborative Fund, Expansion Venture Capital, First Round Capital, Fontinalis Partners, Franklin Montross, Individual Investor, IT-Farm, Konstantin Othmer, Lars Rasmussen, Lee Linden, Loic Le Meur, Lotus Lake Ventures, Max Levchin, Nyca Partners, Othman Laraki, Plug and Play Tech Center, Ryan Melohn, Samuel Lessin, Sherpa Capital, SignalFire, TechLab at Mcity, Thomvest Ventures, Timothy Ferriss, Trucks Venture Capital, Veronorte, Zhiyuan Yang</t>
  </si>
  <si>
    <t>AME Cloud Ventures(www.amecloudventures.com), Amitt Mahajan(www.amitt.com), Bill Tai(www.about.me/BillTai), BMW i Ventures(www.bmwiventures.com), Collaborative Fund(www.collaborativefund.com), Expansion Venture Capital(www.expansionvc.com), First Round Capital(www.firstround.com), Fontinalis Partners(www.fontinalis.com), IT-Farm(www.it-farm.com), Konstantin Othmer(www.othmer.com), Loic Le Meur(www.loiclemeur.com), Lotus Lake Ventures(www.tsinghua-vc.com), Max Levchin(www.levchin.com), Nyca Partners(www.nyca.com), Plug and Play Tech Center(www.plugandplaytechcenter.com), Samuel Lessin(www.wlessin.com), Sherpa Capital(www.sherpa.com), SignalFire(www.signalfire.com), TechLab at Mcity(www.cfe.umich.edu/techlab), Thomvest Ventures(www.thomvest.com), Timothy Ferriss(www.timferriss.com), Trucks Venture Capital(www.trucks.vc), Veronorte(www.veronorte.com)</t>
  </si>
  <si>
    <t>Cooley(Legal Advisor), Crandon Law(Legal Advisor), Tusk Ventures(Consulting)</t>
  </si>
  <si>
    <t>Crandon Law(Legal Advisor), Tusk Ventures(Consulting)</t>
  </si>
  <si>
    <t>53595-73</t>
  </si>
  <si>
    <t>Zeel</t>
  </si>
  <si>
    <t>Soothe</t>
  </si>
  <si>
    <t>Provider of a massage application intended to offer online directory and appointment-booking services. The company's massage application is available on both android and iOS offer different types of massage using different techniques, enabling individuals to avail same-day, in-home massages with licensed and vetted massage therapists.</t>
  </si>
  <si>
    <t>Application Software*, Leisure Facilities, Social/Platform Software</t>
  </si>
  <si>
    <t>Digital Health, Mobile, TMT</t>
  </si>
  <si>
    <t>health information, information site, massage therapists information, on demand application platform, online directory, online directory listings</t>
  </si>
  <si>
    <t>www.zeel.com</t>
  </si>
  <si>
    <t>2014: 46, 2015: 118, 2016: 136</t>
  </si>
  <si>
    <t>FY 2016</t>
  </si>
  <si>
    <t>12097-18P</t>
  </si>
  <si>
    <t>Samer Hamadeh</t>
  </si>
  <si>
    <t>samer@lsvp.com</t>
  </si>
  <si>
    <t>+1 (650) 234-8300</t>
  </si>
  <si>
    <t>45 West 45th Street, 16nd Floor</t>
  </si>
  <si>
    <t>2nd Floor</t>
  </si>
  <si>
    <t>10036</t>
  </si>
  <si>
    <t>+1 (917) 972-2215</t>
  </si>
  <si>
    <t>info@zeel.com</t>
  </si>
  <si>
    <t>The company raised $11.25 million of Series B venture funding from Hemisphere Ventures, SWAT Equity Partners and other undisclosed investors on November 25, 2018, putting the company's pre-money valuation at $65 million. Palisades Growth Capital also participated in it.</t>
  </si>
  <si>
    <t>Burch Creative Capital, Chris Burch, Corigin Ventures, Emil Capital Partners, Esther Dyson, FJ Labs, Hemisphere Ventures, Hone Capital, Individual Investor, Jonathan Gordon, Julien Coustaury, KBW Ventures, Kevin Colleran, Lightbank, Mark Oldman, Matthew Ocko, NAV.VC, NYC Seed, Palisades Growth Capital, Partech Partners, Paul Holliman, Prolog Ventures, Ravi Mhatre, Ritesh Veera, Sean Black, Slow Ventures, SpaFinder Wellness, STAR Angel Network, StartUp Health, SWAT Equity Partners, Tim Kendall, Vision Ventures, Zachary Aarons</t>
  </si>
  <si>
    <t>Burch Creative Capital(www.burchcreativecapital.com), Corigin Ventures(www.coriginventures.com), Emil Capital Partners(www.emilcapitalpartners.com), FJ Labs(www.fjlabs.com), Hemisphere Ventures(www.hemisphere.com), Hone Capital(www.honecap.com), KBW Ventures(www.kbw-ventures.com), Kevin Colleran(facebook.com/kevin), Lightbank(www.lightbank.com), NAV.VC(www.nav.vc), NYC Seed(www.nycseed.com), Palisades Growth Capital(www.palisadesgrowth.com), Partech Partners(www.partechpartners.com), Prolog Ventures(www.prologventures.com), Slow Ventures(www.slow.co), SpaFinder Wellness(www.spafinder.com), STAR Angel Network(www.starangelnet.com), StartUp Health(www.startuphealth.com), SWAT Equity Partners(www.swatequitypartners.com), Vision Ventures(www.visionvp.com)</t>
  </si>
  <si>
    <t>Series B</t>
  </si>
  <si>
    <t>103794-13</t>
  </si>
  <si>
    <t>Zebra Medical Vision</t>
  </si>
  <si>
    <t>Visla Labs, Enlitic, CureMetrix, Quantib, SigTuple, Medis Medical Imaging Systems, Invicro, Mirada Medical, Bay Labs, Viz, Siemens Health Services France, Circle Cardiovascular Imaging, Lunit, HeartFlow, HealthMyne</t>
  </si>
  <si>
    <t>Provider of medical imaging research and analytics platform designed to provide automated, accurate and timely medical image diagnosis. The company's medical imaging research and analytics platform uses advanced machine learning to offer access to de-identified and structured data sets, enabling healthcare industry to help improve patient care at lower costs.</t>
  </si>
  <si>
    <t>Healthcare Technology Systems</t>
  </si>
  <si>
    <t>Other Healthcare Technology Systems</t>
  </si>
  <si>
    <t>Other Healthcare Technology Systems*</t>
  </si>
  <si>
    <t>Artificial Intelligence &amp; Machine Learning, Big Data, HealthTech, TMT</t>
  </si>
  <si>
    <t>deep learning radiology, imaging analysis, medical images diagnostics, medical imaging research platform, medical research platform</t>
  </si>
  <si>
    <t>www.zebra-med.com</t>
  </si>
  <si>
    <t>2015: 10, 2016: 19, 2017: 30</t>
  </si>
  <si>
    <t>97350-13P</t>
  </si>
  <si>
    <t>Elad Benjamin</t>
  </si>
  <si>
    <t>Co-Founder, Senior Vice President &amp; Board Member</t>
  </si>
  <si>
    <t>elad@zebra-med.com</t>
  </si>
  <si>
    <t>Kibbutz Shefayim, Israel</t>
  </si>
  <si>
    <t>Shefayim Commercial Center</t>
  </si>
  <si>
    <t>Kibbutz Shefayim</t>
  </si>
  <si>
    <t>6099000</t>
  </si>
  <si>
    <t>Israel</t>
  </si>
  <si>
    <t>info@zebra-med.com</t>
  </si>
  <si>
    <t>Middle East</t>
  </si>
  <si>
    <t>The company raised $30 million of Series C venture funding in a deal led by Aurum Ventures and aMoon Fund on June 7, 2018. NVIDIA GPU Ventures, Intermountain Healthcare, Johnson &amp; Johnson Innovation - JJDC, Khosla Ventures, Dolby Family Ventures, OurCrowd, Marc Benioff, Fei-Fei Li and Richard Socher also participated in the round. The funding will be used on new hires to speed up the development of its analytics engine and its go-to-market strategy. The company has raised $50 million in funding to date.</t>
  </si>
  <si>
    <t>Advisors.Fund, aMoon Fund, Aurum Ventures MKI, Cognitiv Ventures, Decacorn Capital, Deep Fork Capital, Dolby Family Ventures, Fei-Fei Li, Intermountain Healthcare, Johnson &amp; Johnson Innovation - JJDC, Khosla Ventures, Marc Benioff, NVIDIA GPU Ventures, OurCrowd, Qure Ventures, Richard Socher</t>
  </si>
  <si>
    <t>Advisors.Fund(www.advisors.fund), aMoon Fund(www.amoon.fund), Aurum Ventures MKI(www.aurum.co.il), Cognitiv Ventures(www.cognitiv.vc), Decacorn Capital(www.decacorncapital.com), Deep Fork Capital(www.deepforkcapital.com), Dolby Family Ventures(www.dolbyventures.com), Intermountain Healthcare(intermountainhealthcare.org), Johnson &amp; Johnson Innovation - JJDC(www.jnjinnovation.com/jjdc), Khosla Ventures(www.khoslaventures.com), OurCrowd(www.ourcrowd.com), Qure Ventures(www.qureventures.com)</t>
  </si>
  <si>
    <t>232740-37</t>
  </si>
  <si>
    <t>Zea10</t>
  </si>
  <si>
    <t>Provider of products intended for sustainable nutrition. The company uses proprietary methods to convert low-value barley grains from the brewing industry into high value concentrated protein and fiber ingredients, providing consumers and diet followers with nutrition that is sustainably sourced from beer brewers.</t>
  </si>
  <si>
    <t>Consumer Non-Durables</t>
  </si>
  <si>
    <t>Food Products</t>
  </si>
  <si>
    <t>Food Products*</t>
  </si>
  <si>
    <t>LOHAS &amp; Wellness</t>
  </si>
  <si>
    <t>diet restrictions, dietary supplements, healthy food, non-gm protein, nutrition diet, nutrition supplements</t>
  </si>
  <si>
    <t>www.zea10.com</t>
  </si>
  <si>
    <t>131307-94P</t>
  </si>
  <si>
    <t>Ian Mackay</t>
  </si>
  <si>
    <t>imackay@zea10.com</t>
  </si>
  <si>
    <t>Minneapolis, MN</t>
  </si>
  <si>
    <t>Minneapolis</t>
  </si>
  <si>
    <t>Minnesota</t>
  </si>
  <si>
    <t>info@zea10.com</t>
  </si>
  <si>
    <t>The company raised Series B venture funding from undisclosed investors on August 2, 2018.</t>
  </si>
  <si>
    <t>Eklos (by AB InBev), ZX Ventures</t>
  </si>
  <si>
    <t>Eklos (by AB InBev)(eklos.com.ar), ZX Ventures(www.zx-ventures.com)</t>
  </si>
  <si>
    <t>Ascendant Partners(Advisor: General)</t>
  </si>
  <si>
    <t>166307-59</t>
  </si>
  <si>
    <t>ZCOOL</t>
  </si>
  <si>
    <t>99designs, NEWMEDIA Denver, Onbile, Seedup Incubator, BaseKit, Richard Senior, Wix.com, Zhang Jingyuan, Yola, Canva, PicMonkey, Sharetops, Envato, Weebly, Squarespace, Creative Market, Webs, The Grid (Website Creation), Death By Glitter, Appsme</t>
  </si>
  <si>
    <t>Provider of an online community platform intended to display graphic designs. The company's online community platform uses API enabling designers to share and display their design work leading them to commercial opportunities.</t>
  </si>
  <si>
    <t>design work, online community platform</t>
  </si>
  <si>
    <t>www.zcool.com.cn</t>
  </si>
  <si>
    <t>145201-42P</t>
  </si>
  <si>
    <t>Caixia Caixia</t>
  </si>
  <si>
    <t>Vice President, Business Development</t>
  </si>
  <si>
    <t>ccaixia@zcool.com.cn</t>
  </si>
  <si>
    <t>+86 (0)10 5653 8658</t>
  </si>
  <si>
    <t>The company received $15 million of financing from Shutterstock (NYSE: SSTK) on February 22, 2018.</t>
  </si>
  <si>
    <t>01vc, EMC Ventures, Hearst Ventures, IDG Capital, Shutterstock, Trends Media Group</t>
  </si>
  <si>
    <t>01vc(www.01vc.com), IDG Capital(en.idgcapital.com), Shutterstock(www.shutterstock.com), Trends Media Group(www.trends.com.cn)</t>
  </si>
  <si>
    <t>Corporate</t>
  </si>
  <si>
    <t>42212-98</t>
  </si>
  <si>
    <t>Zazzle</t>
  </si>
  <si>
    <t>Fabrily, Homage, ePromos Promotional Products, Redbubble, Etsy, Teespring, Reformation, RageOn, Camaloon, PosterGully, Lillian Vernon, Spreadshirt, Threadless, Minted, CafePress</t>
  </si>
  <si>
    <t>Provider a platform for marketplace custom products. The company's proprietary technology enables individuals, professional artists and brands to create and offer a range of products for customers in various categories, including accessories, art and posters, cards and postage, clothing and miscellaneous products.</t>
  </si>
  <si>
    <t>Retail</t>
  </si>
  <si>
    <t>Internet Retail</t>
  </si>
  <si>
    <t>Internet Retail*, Social/Platform Software</t>
  </si>
  <si>
    <t>E-Commerce, SaaS, TMT</t>
  </si>
  <si>
    <t>custom gift, custom product</t>
  </si>
  <si>
    <t>www.zazzle.com</t>
  </si>
  <si>
    <t>2015: 626, 2016: 687</t>
  </si>
  <si>
    <t>40323-97P</t>
  </si>
  <si>
    <t>Robert Beaver</t>
  </si>
  <si>
    <t>Co-Founder, Chief Executive Officer, Chairman &amp; President</t>
  </si>
  <si>
    <t>robert.beaver@zazzle.com</t>
  </si>
  <si>
    <t>+1 (650) 853-0100</t>
  </si>
  <si>
    <t>1800 Seaport Boulevard</t>
  </si>
  <si>
    <t>94063</t>
  </si>
  <si>
    <t>+1 (650) 853-0165</t>
  </si>
  <si>
    <t>The company raised $23.37 million of Series C venture funding from Saints Capital and Recruit Strategic Partners on January 13, 2009, putting the pre-money valuation at $138.3 million.</t>
  </si>
  <si>
    <t>Andreessen Horowitz, Kleiner Perkins, Northgate Capital, Pinnacle Ventures, Recruit Strategic Partners, Saints Capital, Sherpalo Ventures, Trans Cosmos USA</t>
  </si>
  <si>
    <t>Andreessen Horowitz(www.a16z.com), Kleiner Perkins(www.kleinerperkins.com), Northgate Capital(www.northgate.com), Pinnacle Ventures(www.pinnacleven.com), Recruit Strategic Partners(recruitstrategicpartners.com), Saints Capital(www.saintscapital.com), Sherpalo Ventures(www.sherpalo.com)</t>
  </si>
  <si>
    <t>57243-79</t>
  </si>
  <si>
    <t>Zappar</t>
  </si>
  <si>
    <t>Blippar, Augment (Multimedia and Design Software), Wikitude, Gravity Jack, Catchoom, Aurasma</t>
  </si>
  <si>
    <t>Developer of an augmented reality application created to empower businesses and creatives to build best-in-class augmented reality experiences. The company's online self-service system, ZapWorks offers a set of augmented reality (AR) tools to suit different skill levels, enabling users to design and curate their own AR experiences in a matter of minutes.</t>
  </si>
  <si>
    <t>IT Services</t>
  </si>
  <si>
    <t>Other IT Services</t>
  </si>
  <si>
    <t>Application Software, Business/Productivity Software, Other IT Services*</t>
  </si>
  <si>
    <t>Artificial Intelligence &amp; Machine Learning, Augmented Reality, Mobile, TMT</t>
  </si>
  <si>
    <t>augmented reality, visual interaction</t>
  </si>
  <si>
    <t>Profitable</t>
  </si>
  <si>
    <t>www.zappar.com</t>
  </si>
  <si>
    <t>2016: 27, 2017: 31, 2019: 50</t>
  </si>
  <si>
    <t>FY 2018</t>
  </si>
  <si>
    <t>57699-10P</t>
  </si>
  <si>
    <t>Caspar Thykier</t>
  </si>
  <si>
    <t>Co-Founder, Board Member &amp; Chief Executive Officer</t>
  </si>
  <si>
    <t>caspar@zappar.com</t>
  </si>
  <si>
    <t>London, United Kingdom</t>
  </si>
  <si>
    <t>10 Barley Mow Passage</t>
  </si>
  <si>
    <t>Chiswick</t>
  </si>
  <si>
    <t>London</t>
  </si>
  <si>
    <t>England</t>
  </si>
  <si>
    <t>W4 4PH</t>
  </si>
  <si>
    <t>contact@zappar.com</t>
  </si>
  <si>
    <t>The company raised $3.75 million of Series A venture funding in a deal led by Hargreave Hale on February 23, 2017. You &amp; Mr Jones and iDreamSky also participated in the round. The funds will be used to accelerate the development of several new products along with its international expansion.</t>
  </si>
  <si>
    <t>Chrysalis VCT, Hargreave Hale, iDreamSky Technology, Milamber Ventures, You &amp; Mr Jones Brandtech Ventures</t>
  </si>
  <si>
    <t>Chrysalis VCT(www.chrysalisvct.co.uk), Hargreave Hale(www.hargreave-hale.co.uk), iDreamSky Technology(www.idreamsky.com), Milamber Ventures(www.milamber.co.uk)</t>
  </si>
  <si>
    <t>55509-31</t>
  </si>
  <si>
    <t>Zapier</t>
  </si>
  <si>
    <t>MoEngage, Ruths.ai, TechLine Communications, Datawatch, RedBooth, Digital Reasoning Systems, PieSync, mParticle, Instant API, Unito, Pentaho, Periscope Data, Kayako, CloudWork, Symphony Communication Services, Lithium Technologies, Asana, Pipemonk, Usermind, Ayla Networks, Automate.io, Cloutex, MixPanel, Bedrock Data, Missions, MuleSoft, Workato, Astronomer, AOL Instant Messenger, Elastic.io, Webgility, IFTTT, Adeptia, OneSaas, Amplitude, Muzzley, Tray.io, Segment, Conversocial, Batch (Business/Productivity Software), Hipmob, Stringify, SnapLogic, SmarterApps, SmartThings, TIBCO Software, Liaison, Olark, Desk.com, Flashnode, Alteryx, Frrole, Glip, SnapGuide, WigWag, Squad (New York), Cazoomi, Neura (Consumer Insights), Arya.ai</t>
  </si>
  <si>
    <t>Developer of an online platform designed to link web-based applications. The company's online platform connects and automates the applications used by the people and helps them to synchronize data between web applications, enabling users to make the work easier and integrate web applications at a single click of the mouse.</t>
  </si>
  <si>
    <t>automated basic tasks, business web application, connect web app, custom integration, non technical users, web interface</t>
  </si>
  <si>
    <t>www.zapier.com</t>
  </si>
  <si>
    <t>2017: 85, 2018: 170</t>
  </si>
  <si>
    <t>43966-81P</t>
  </si>
  <si>
    <t>Bryan Helmig</t>
  </si>
  <si>
    <t>Co-Founder, Board Member &amp; Chief Technology Officer</t>
  </si>
  <si>
    <t>bryan@zapier.com</t>
  </si>
  <si>
    <t>+1 (877) 381-8743</t>
  </si>
  <si>
    <t>548 Market Street</t>
  </si>
  <si>
    <t>Suite 62411</t>
  </si>
  <si>
    <t>94086</t>
  </si>
  <si>
    <t>contact@zapier.com</t>
  </si>
  <si>
    <t>The company raised $1.36 million of venture funding from Salesforce Ventures and other undisclosed investors on November 25, 2014.</t>
  </si>
  <si>
    <t>Adventur.es, Bessemer Venture Partners, Draper Fisher Jurvetson Management, Individual Investor, Kevin Hale, Michael Liou, Salesforce Ventures, Y Combinator</t>
  </si>
  <si>
    <t>Adventur.es(www.adventur.es), Bessemer Venture Partners(www.bvp.com), Draper Fisher Jurvetson Management(www.dfj.com), Kevin Hale(roundedbygravity.com), Y Combinator(www.ycombinator.com)</t>
  </si>
  <si>
    <t>FutureEngine(Consulting), VLP Law Group(Legal Advisor)</t>
  </si>
  <si>
    <t>VLP Law Group(Legal Advisor)</t>
  </si>
  <si>
    <t>227350-00</t>
  </si>
  <si>
    <t>Zapata Computing</t>
  </si>
  <si>
    <t>Zapata</t>
  </si>
  <si>
    <t>Developer of quantum algorithms designed to commercialize software quantum computing technologies. The company employs artificial intelligence, machine learning and quantum autoencoder to deliver advances in computational power for applications on quantum computers, enabling enterprises to access the next generation of accessible, commercial high-performance computing.</t>
  </si>
  <si>
    <t>Artificial Intelligence &amp; Machine Learning, TMT</t>
  </si>
  <si>
    <t>algorithm for quantum computing, quantum computer, quantum computing algorithm, quantum computing commercialization, quantum computing software, quantum software</t>
  </si>
  <si>
    <t>www.zapatacomputing.com</t>
  </si>
  <si>
    <t>129965-14P</t>
  </si>
  <si>
    <t>Christopher Savoie</t>
  </si>
  <si>
    <t>cjs@zapatacomputing.com</t>
  </si>
  <si>
    <t>Cambridge, MA</t>
  </si>
  <si>
    <t>501 Massachusetts Avenue</t>
  </si>
  <si>
    <t>Cambridge</t>
  </si>
  <si>
    <t>Massachusetts</t>
  </si>
  <si>
    <t>02139</t>
  </si>
  <si>
    <t>info@zapatacomputing.com</t>
  </si>
  <si>
    <t>The company raised $21 million of Series A venture funding in a deal led by Comcast Ventures and Prelude Ventures on April 17, 2019, putting the company's pre-money valuation at $39 million. BASF Venture Capital, Robert Bosch Venture Capital, The Engine, Pillar Ventures and Pitango Venture Capital also participated in the round. Of the total amount, $5 million was originally raised in the form of convertible debt and subsequently converted to Series A equity. The funds will be used to accelerate the company's product development and expand its business into new markets and regions.</t>
  </si>
  <si>
    <t>BASF Venture Capital, Comcast Ventures, Founders Fund, Pillar Companies, Pillar Ventures, Pitango Venture Capital, Prelude Ventures, Raptor Group, Robert Bosch Venture Capital, The Engine</t>
  </si>
  <si>
    <t>BASF Venture Capital(www.basf-vc.de), Comcast Ventures(www.comcastventures.com), Founders Fund(www.foundersfund.com), Pillar Companies(www.pillar.vc), Pillar Ventures(www.pillarventures.com), Pitango Venture Capital(www.pitango.com), Prelude Ventures(www.preludeventures.com), Raptor Group(www.raptorgroup.com), Robert Bosch Venture Capital(www.rbvc.com), The Engine(www.engine.xyz)</t>
  </si>
  <si>
    <t>CERES Technology Advisors(Advisor: General)</t>
  </si>
  <si>
    <t>187517-26</t>
  </si>
  <si>
    <t>ZaiNar</t>
  </si>
  <si>
    <t>Developer of a real-time automatic location tracking technology designed to track the real-time location of things. The company's technology uses radio signals including cellphones, IoT sensors and chipless RFID tags for positioning that is far more scalable, cost-effective, and accurate than existing alternatives, enabling wireless devices to track locations with over 200 meters range and sub-meter accuracy.</t>
  </si>
  <si>
    <t>Application Software*</t>
  </si>
  <si>
    <t>Big Data, Internet of Things, Mobile, TMT</t>
  </si>
  <si>
    <t>location tracking, location tracking system, real time location, real time location system, real time location technology</t>
  </si>
  <si>
    <t>www.zainartech.com</t>
  </si>
  <si>
    <t>191912-77P</t>
  </si>
  <si>
    <t>Daniel Jacker</t>
  </si>
  <si>
    <t>Founder &amp; Co-Chief Executive Officer</t>
  </si>
  <si>
    <t>daniel@zainartech.com</t>
  </si>
  <si>
    <t>944 10th Avenue</t>
  </si>
  <si>
    <t>info@zainartech.com</t>
  </si>
  <si>
    <t>The company raised $5 million of Seed 1 funding from Hella Ventures on January 1, 2019, putting the company's pre-money valuation at $20 million.</t>
  </si>
  <si>
    <t>Alchemist Accelerator, AME Cloud Ventures, Cemex, Golden Flake, Hella Ventures, PV Seed Fund, SoftBank Capital</t>
  </si>
  <si>
    <t>Alchemist Accelerator(www.alchemistaccelerator.com), AME Cloud Ventures(www.amecloudventures.com), Cemex(www.cemex.com), Golden Flake(www.goldenflake.com), Hella Ventures(www.hellaventures.com), PV Seed Fund(www.pv.vc), SoftBank Capital(www.softbankvc.com)</t>
  </si>
  <si>
    <t>231935-59</t>
  </si>
  <si>
    <t>Yunhan Financial Technology</t>
  </si>
  <si>
    <t>Provider of a systematic technology intended to offer financial service to businesses. The company's technology offers software development, pricing model, quantitative analysis, algorithmic trading and technical consulting.</t>
  </si>
  <si>
    <t>Financial Services</t>
  </si>
  <si>
    <t>Other Financial Services</t>
  </si>
  <si>
    <t>Financial Software, Other Financial Services*</t>
  </si>
  <si>
    <t>derivatives system, financial derivative, financial service, systematic technology</t>
  </si>
  <si>
    <t>www.wqiquan.com</t>
  </si>
  <si>
    <t>Shenzhen, China</t>
  </si>
  <si>
    <t>C2305, Dachong Business Center</t>
  </si>
  <si>
    <t>Shennan Avenue</t>
  </si>
  <si>
    <t>Shenzhen</t>
  </si>
  <si>
    <t>Nanshan District</t>
  </si>
  <si>
    <t>+86 (0)755 8652 9972</t>
  </si>
  <si>
    <t>The company raised an undisclosed amount of venture funding from Baidu Ventures, Next Capital and K2VC in July 2018. Qianhai Equity Exchange also participated in the round.</t>
  </si>
  <si>
    <t>Baidu Ventures, K2VC, Next Capital, Qianhai Equity Exchange</t>
  </si>
  <si>
    <t>Baidu Ventures(www.bv.ai), K2VC(www.k2vc.com), Next Capital(www.nextcapital.com.au), Qianhai Equity Exchange(www.qhee.com)</t>
  </si>
  <si>
    <t>179336-26</t>
  </si>
  <si>
    <t>Yumble Kids</t>
  </si>
  <si>
    <t>Panda Plates</t>
  </si>
  <si>
    <t>Thistle (Healthy Meal), Freshly, Plated, Yumi, Nurture Life</t>
  </si>
  <si>
    <t>Provider of a weekly meal delivery service intended to deliver healthy and delicious meals for kids. The company's service mainly includes preparation and delivery of meals made from organic vegetables, antibiotic-free and hormone-free ingredients and are prepared as per specific tastes, nutritional needs and portion size requirements, enabling parents to serve meal to their kids on time as per dietary restrictions and preferences.</t>
  </si>
  <si>
    <t>Food Products*, Other Retail, Social/Platform Software</t>
  </si>
  <si>
    <t>E-Commerce, FoodTech, LOHAS &amp; Wellness</t>
  </si>
  <si>
    <t>food delivery, food delivery service, food ordering platform, kids food delivery, kids meals, meals delivery service, online food ordering, online food ordering platform</t>
  </si>
  <si>
    <t>www.yumblekids.com</t>
  </si>
  <si>
    <t>2018: 15</t>
  </si>
  <si>
    <t>160352-02P</t>
  </si>
  <si>
    <t>Joanna Parker</t>
  </si>
  <si>
    <t>Co-Founder</t>
  </si>
  <si>
    <t>joanna@pandaplates.com</t>
  </si>
  <si>
    <t>+1 (888) 997-6623</t>
  </si>
  <si>
    <t>303 Spring Street</t>
  </si>
  <si>
    <t>40th Floor</t>
  </si>
  <si>
    <t>10013</t>
  </si>
  <si>
    <t>help@yumblekids.com</t>
  </si>
  <si>
    <t>The company raised $7 million of Series A venture funding in a deal led by Sonoma Brands on September 20, 2018. Danone Manifesto Ventures, LaunchCapital, RiverPark Ventures, Martin Lautman and Apple Core Holdings also participated in the round. The company intends to use the funds to expand its marketing efforts for national expansion and to continue to build out the team for product development and product line expansion.</t>
  </si>
  <si>
    <t>Andrew Appelbaum, Apple Core Holdings, Danone Manifesto Ventures, LaunchCapital, Martin Lautman, New Ground Ventures, RiverPark Ventures, Sonoma Brands</t>
  </si>
  <si>
    <t>Apple Core Holdings(www.applecoreholdings.com), Danone Manifesto Ventures(www.danoneventures.com), LaunchCapital(www.launchcapital.com), New Ground Ventures(www.newground.vc), RiverPark Ventures(www.riverparkvc.com), Sonoma Brands(www.sonomabrands.com)</t>
  </si>
  <si>
    <t>McCarter &amp; English(Legal Advisor), Propeller Industries(Accounting)</t>
  </si>
  <si>
    <t>McCarter &amp; English(Legal Advisor)</t>
  </si>
  <si>
    <t>231442-03</t>
  </si>
  <si>
    <t>Yptokey</t>
  </si>
  <si>
    <t>Developer of access and security services for digital key and access authorization systems. The company's technology enables users to lock and unlock locks using mobile devices such as smartphones. It also allows them to manage access authorization quickly and securely.</t>
  </si>
  <si>
    <t>Network Management Software*, Other Software</t>
  </si>
  <si>
    <t>Cryptocurrency/Blockchain, Cybersecurity, Internet of Things, Mobile, TMT</t>
  </si>
  <si>
    <t>access management, access management system, decentralized network, digital access, distributing ledger, secure network</t>
  </si>
  <si>
    <t>Product Development</t>
  </si>
  <si>
    <t>www.yptokey.com</t>
  </si>
  <si>
    <t>190578-88P</t>
  </si>
  <si>
    <t>Tobias Rasche</t>
  </si>
  <si>
    <t>Chief Executive Officer &amp; Co-Founder</t>
  </si>
  <si>
    <t>tobias@yptokey.com</t>
  </si>
  <si>
    <t>+49 (0)17 0773 1291</t>
  </si>
  <si>
    <t>Berlin, Germany</t>
  </si>
  <si>
    <t>C/o MotionLabs ML GmbH, Boucheestraße 12</t>
  </si>
  <si>
    <t>Halle 20</t>
  </si>
  <si>
    <t>Berlin</t>
  </si>
  <si>
    <t>12435</t>
  </si>
  <si>
    <t>Germany</t>
  </si>
  <si>
    <t>The company joined Hella Ventures on June 28, 2018 and received an undisclosed amount of funding.</t>
  </si>
  <si>
    <t>Hella Ventures</t>
  </si>
  <si>
    <t>Hella Ventures(www.hellaventures.com)</t>
  </si>
  <si>
    <t>54271-18</t>
  </si>
  <si>
    <t>YourMechanic</t>
  </si>
  <si>
    <t>Otobots, Caroobi, MyCarNeedsA.com, ClickMechanic, Fixico, GoMechanic, Whocanfixmycar.com, Wrench, Servicing Stop, Pitstop (Automotive Services)</t>
  </si>
  <si>
    <t>Provider of car repairing services intended to make car repair and maintenance affordable, convenient and transparent. The company's services offer a platform which focuses on car repair along with connecting mechanics with car owners so that they can choose when they want to work and the type of cars and services they want to work on, enabling mechanics to control their quality of services and reach the car owners at their destination to offer their services.</t>
  </si>
  <si>
    <t>Social/Platform Software</t>
  </si>
  <si>
    <t>Automotive, Social/Platform Software*</t>
  </si>
  <si>
    <t>car mechanics, car repair, connecting with mechanics, repair service, vehicle maintenance</t>
  </si>
  <si>
    <t>www.yourmechanic.com</t>
  </si>
  <si>
    <t>2014: 20, 2016: 90</t>
  </si>
  <si>
    <t>184654-99P</t>
  </si>
  <si>
    <t>Paul Scola</t>
  </si>
  <si>
    <t>Chief Revenue Officer</t>
  </si>
  <si>
    <t>pscola@yourmechanic.com</t>
  </si>
  <si>
    <t>+1 (800) 701-6230</t>
  </si>
  <si>
    <t>Mountain View, CA</t>
  </si>
  <si>
    <t>2525 East Charleston Road</t>
  </si>
  <si>
    <t>Mountain View</t>
  </si>
  <si>
    <t>94043</t>
  </si>
  <si>
    <t>hi@yourmechanic.com</t>
  </si>
  <si>
    <t>The company raised $12.51 million of Series B1 venture funding in a deal led by Royal Bank of Canada Ventures on February 14, 2019. SoftBank Capital, Verizon Ventures, American Family Ventures, Uncork Capital, Data Point Capital, Rick Wagoner and other undisclosed investors also participated in the round. The company intends to use the funds to scale up quickly, adding cities where there's sufficient demand.</t>
  </si>
  <si>
    <t>A-Grade Investments, Alexander Goldstein, American Family Mutual Insurance Company, American Family Ventures, Andreessen Horowitz, Ashton Kutcher, Chasm Capital, Dan Martell, Data Point Capital, Dave Lerner, David Gilboa, David Shen, Draper Fisher Jurvetson Management, Great Oaks Venture Capital, Greylock Partners, Hone Capital, Hubrix Ventures, Jared Kopf, Jawed Karim, Jean-Francois Clavier, Jeffrey Jordan, Joshua Baer, Joshua Schachter, Justin Waldron, Kevin Henrikson, LaunchCapital, Lerer Hippeau, Marc Bell Capital Partners, Mark Friedgan, Matthew Mullenweg, Michael Arrington, Paige Craig, Paul Sethi, PG Ventures, Promus Ventures, Rany Raviv, RBC Ventures, Richmond View Ventures, Rick Wagoner, Rob Wang, Robert Wang, SAIC Capital, Sam Angus, Scott Kosch, Seth Goldstein, Silicon Valley Bank, SoftBank Capital, Start Fund, SV Angel, The R-Group, Tuesday Capital, Uncork Capital, Verizon Ventures, Y Combinator, Yuri Milner</t>
  </si>
  <si>
    <t>A-Grade Investments(www.agradeinvestments.com), American Family Ventures(www.amfamventures.com), Andreessen Horowitz(www.a16z.com), Chasm Capital(www.chasmcap.com), Dan Martell(www.danmartell.com), Data Point Capital(www.datapointcapital.com), Dave Lerner(www.davelerner.com), Draper Fisher Jurvetson Management(www.dfj.com), Great Oaks Venture Capital(www.greatoaksvc.com), Greylock Partners(www.greylock.com), Hone Capital(www.honecap.com), Hubrix Ventures(www.hubrix.com), Jeffrey Jordan(jeff.a16z.com), Joshua Schachter(joshua.schachter.org), Kevin Henrikson(www.kevinhenrikson.com), LaunchCapital(www.launchcapital.com), Lerer Hippeau(www.lererhippeau.com), Marc Bell Capital Partners(www.marcbell.com), Matthew Mullenweg(www.ma.tt), Michael Arrington(uncrunched.com), Promus Ventures(www.promusventures.com), RBC Ventures(www.rbcventures.ca), Richmond View Ventures(www.rvv.tv), SAIC Capital(www.saicvc.com), Seth Goldstein(sethgoldstein.com), Silicon Valley Bank(www.svb.com), SoftBank Capital(www.softbankvc.com), SV Angel(www.svangel.com), Tuesday Capital(www.tuesday.vc), Uncork Capital(www.uncorkcapital.com), Verizon Ventures(www.verizonventures.com), Y Combinator(www.ycombinator.com)</t>
  </si>
  <si>
    <t>Calibre One(Consulting), Pillsbury Winthrop Shaw Pittman(Legal Advisor), Y Ventures(Advisor: General)</t>
  </si>
  <si>
    <t>Pillsbury Winthrop Shaw Pittman(Legal Advisor), Western Technology Investment(Debt Financing)</t>
  </si>
  <si>
    <t>Series B1</t>
  </si>
  <si>
    <t>54096-31</t>
  </si>
  <si>
    <t>YouNow</t>
  </si>
  <si>
    <t>Props</t>
  </si>
  <si>
    <t>Houseparty, Zeemi.tv, Live.me, Livestream, Ustream, Dynamite Labs, Bigo, Twitch Interactive, blogTV.com, Kudos</t>
  </si>
  <si>
    <t>Provider of a social video chat platform designed to offer everyone to participate and express themselves live. The company's platform offers a live video social network to broadcast and interact with audiences in real time, enabling users to come together to forge connections, chat and entertain.</t>
  </si>
  <si>
    <t>Communication Software, Social/Platform Software*</t>
  </si>
  <si>
    <t>broadcast, live broadcasting, real time video, social media, social video, social video platform, video platform, video streaming</t>
  </si>
  <si>
    <t>www.younow.com</t>
  </si>
  <si>
    <t>2014: 16, 2015: 40, 2016: 90</t>
  </si>
  <si>
    <t>39426-40P</t>
  </si>
  <si>
    <t>Adi Sideman</t>
  </si>
  <si>
    <t>Founder &amp; Chief Executive Officer</t>
  </si>
  <si>
    <t>adi.sideman@younow.com</t>
  </si>
  <si>
    <t>245 5th Avenue</t>
  </si>
  <si>
    <t>info@younow.com</t>
  </si>
  <si>
    <t>The company raised venture funding from Team in Residence on an undisclosed date. Hashed (Accelerator) also participated in it.</t>
  </si>
  <si>
    <t>Activate Venture Partners, Broadway Video Ventures, Collaborative Fund, Comcast Ventures, Founder Collective, Hashed (Accelerator), Juvo Capital, Mark Wachen, Oren Zeev, Orens Capital, Primera Capital (Venture Capital), SGVC, Silicon Alley Venture Partners, Team in Residence, Union Square Ventures, Upstage Ventures, Venrock, Visary Capital</t>
  </si>
  <si>
    <t>Activate Venture Partners(www.activatevp.com), Broadway Video Ventures(www.broadwayvideo.com/ventures), Collaborative Fund(www.collaborativefund.com), Comcast Ventures(www.comcastventures.com), Founder Collective(www.foundercollective.com), Hashed (Accelerator)(www.hashed.com), Juvo Capital(www.juvocapital.com), Primera Capital (Venture Capital)(www.primeracapital.com), SGVC(www.sg-vc.com), Silicon Alley Venture Partners(www.savp.com), Team in Residence(www.teaminresidence.com), Union Square Ventures(www.usv.com), Upstage Ventures(www.upstageventures.com), Venrock(www.venrock.com), Visary Capital(www.visary.capital)</t>
  </si>
  <si>
    <t>Republic(Lead Manager or Arranger)</t>
  </si>
  <si>
    <t>168806-35</t>
  </si>
  <si>
    <t>YouDinner</t>
  </si>
  <si>
    <t>Operator of a food club intended to host dining and cooking events. The company's club provides service in the form of dining experiences for a community of friends and people with the same desire for enjoyment and those who are fond of culinary discoveries, enabling customers to avail several cuisine in a reasonable rate.</t>
  </si>
  <si>
    <t>Restaurants, Hotels and Leisure</t>
  </si>
  <si>
    <t>Restaurants and Bars</t>
  </si>
  <si>
    <t>Food Products, Leisure Facilities, Restaurants and Bars*</t>
  </si>
  <si>
    <t>cooking events, culinary service, dining facilities, food club, food services, restaurant</t>
  </si>
  <si>
    <t>www.youdinner.com</t>
  </si>
  <si>
    <t>152625-43P</t>
  </si>
  <si>
    <t>Miguel Calero</t>
  </si>
  <si>
    <t>Co-Founder &amp; Co-Chief Executive Officer</t>
  </si>
  <si>
    <t>miguel.calero@youdinner.com</t>
  </si>
  <si>
    <t>Stuttgart, Germany</t>
  </si>
  <si>
    <t>Lautenschlagerstraße 23a</t>
  </si>
  <si>
    <t>Stuttgart</t>
  </si>
  <si>
    <t>70173</t>
  </si>
  <si>
    <t>info@youdinner.com</t>
  </si>
  <si>
    <t>The company raised venture funding from Emil Capital Partners on an undisclosed date.</t>
  </si>
  <si>
    <t>Emil Capital Partners</t>
  </si>
  <si>
    <t>Emil Capital Partners(www.emilcapitalpartners.com)</t>
  </si>
  <si>
    <t>162494-56</t>
  </si>
  <si>
    <t>Yoshi</t>
  </si>
  <si>
    <t>Zebra Fuel, Neighborhood Fuel, Filld, Booster, Spiffy</t>
  </si>
  <si>
    <t>Provider of on-demand vehicle re-fueling services intended to deliver gas to customers for their vehicles. The company's on-demand vehicle re-fueling services include car-washes, details, wiper-blade replacements, tire-checks and even oil changes, enabling users to sign up for a monthly membership and order gas as either a member or on an a la carte basis as well as have various other services available at gas stations delivered to their vehicle where they are parked.</t>
  </si>
  <si>
    <t>Services (Non-Financial)</t>
  </si>
  <si>
    <t>Other Services (B2C Non-Financial)</t>
  </si>
  <si>
    <t>Application Software, Automotive, Other Services (B2C Non-Financial)*</t>
  </si>
  <si>
    <t>Industrials, Mobile, TMT</t>
  </si>
  <si>
    <t>gas delivery, gas delivery service, gas station services, tires refilling, tires replacement, vehicle refueling</t>
  </si>
  <si>
    <t>www.startyoshi.com</t>
  </si>
  <si>
    <t>2016: 32</t>
  </si>
  <si>
    <t>140507-29P</t>
  </si>
  <si>
    <t>Nick Alexander</t>
  </si>
  <si>
    <t>nick.alexander@startyoshi.com</t>
  </si>
  <si>
    <t>Wilmington, DE</t>
  </si>
  <si>
    <t>1521 Concord Pike</t>
  </si>
  <si>
    <t>Suite 301</t>
  </si>
  <si>
    <t>Wilmington</t>
  </si>
  <si>
    <t>Delaware</t>
  </si>
  <si>
    <t>19803</t>
  </si>
  <si>
    <t>hello@startyoshi.com</t>
  </si>
  <si>
    <t>The company raised $13.7 million of Series A venture funding from lead investors General Motor Ventures and ExxonMobil on February 7, 2018, putting the company's pre-money valuation at $32 million. The Durant Company, SGH Capital, Y Combinator, Arab Angel and other undisclosed investors also participated in the round. The funds will be used to expand to to 25 metropolitan areas this year.</t>
  </si>
  <si>
    <t>Ali Rowghani, AltaIR Capital, Arab Angel, ExxonMobil, GM Ventures, Liquid 2 Ventures, SGH Capital, Soma Capital, The Durant Company, Y Combinator, ZhenFund</t>
  </si>
  <si>
    <t>AltaIR Capital(www.altair.vc), Arab Angel(www.arabangel.vc), ExxonMobil(corporate.exxonmobil.com), GM Ventures(www.gmventures.com), Liquid 2 Ventures(www.liquid2.vc), SGH Capital(www.sghcapital.com), Soma Capital(somacap.com), Y Combinator(www.ycombinator.com), ZhenFund(www.zhenfund.com)</t>
  </si>
  <si>
    <t>WilmerHale(Legal Advisor)</t>
  </si>
  <si>
    <t>167200-66</t>
  </si>
  <si>
    <t>Yooji</t>
  </si>
  <si>
    <t>Producer of frozen foods for babies intended to revolutionize baby food. The company's frozen foods for babies are prepared by steaming organic vegetables without the addition of without gluten and any artificial additives, and are packaged in France and sold in frozen state, providing parents with high quality baby meals which are easy and convenient.</t>
  </si>
  <si>
    <t>baby food, frozen baby food, organic baby food</t>
  </si>
  <si>
    <t>www.yooji.fr</t>
  </si>
  <si>
    <t>2013: 3, 2015: 30</t>
  </si>
  <si>
    <t>147811-33P</t>
  </si>
  <si>
    <t>Frédéric Ventre</t>
  </si>
  <si>
    <t>President, Chief Executive Officer &amp; Founder</t>
  </si>
  <si>
    <t>frederic_ventre@yooji.fr</t>
  </si>
  <si>
    <t>+33 (0)9 50 48 98 33</t>
  </si>
  <si>
    <t>Bordeaux, France</t>
  </si>
  <si>
    <t>87 quai des Queyries</t>
  </si>
  <si>
    <t>Bordeaux</t>
  </si>
  <si>
    <t>33100</t>
  </si>
  <si>
    <t>France</t>
  </si>
  <si>
    <t>bonjour@yooji.fr</t>
  </si>
  <si>
    <t>The company raised an undisclosed amount of venture funding from Danone Manifesto Ventures on September 28, 2017.</t>
  </si>
  <si>
    <t>Aquitaine Developpement Innovation, AQUITI Gestion, Capagro, Caravelle, Danone Manifesto Ventures</t>
  </si>
  <si>
    <t>Aquitaine Developpement Innovation(www.aquitaine-developpement-innovation.com), AQUITI Gestion(www.aquiti.fr), Capagro(www.capagro.fr), Caravelle(www.caravelle.fr), Danone Manifesto Ventures(www.danoneventures.com)</t>
  </si>
  <si>
    <t>Brunswick avocats(Legal Advisor)</t>
  </si>
  <si>
    <t>53914-42</t>
  </si>
  <si>
    <t>Yieldbot</t>
  </si>
  <si>
    <t>Gorilla Nation Media, ReactX</t>
  </si>
  <si>
    <t>Provider of an online advertising platform intended to deliver targeted digital media to drive guaranteed actions. The company's platform collects visitor data, mines it and then serves advertisements to the visitor that are actionable based on the rules-based engine it has created, enabling clients to avail relevant brand messages to produce premium interactions for customers.</t>
  </si>
  <si>
    <t>Business/Productivity Software, Media and Information Services (B2B)*</t>
  </si>
  <si>
    <t>AdTech, Impact Investing, SaaS, TMT</t>
  </si>
  <si>
    <t>consumer data, data intelligence, data segment, impact investing vertical, publishing service, revenue generation services</t>
  </si>
  <si>
    <t>www.yieldbot.com</t>
  </si>
  <si>
    <t>2014: 62, 2015: 50, 2016: 228</t>
  </si>
  <si>
    <t>40305-25P</t>
  </si>
  <si>
    <t>Jonathan Mendez</t>
  </si>
  <si>
    <t>jmendez@yieldbot.com</t>
  </si>
  <si>
    <t>902 Broadway</t>
  </si>
  <si>
    <t>8th Floor</t>
  </si>
  <si>
    <t>10010</t>
  </si>
  <si>
    <t>info@yieldbot.com</t>
  </si>
  <si>
    <t>The company raised $35 million of venture funding through a combination of debt and equity in August, 2017. $12.5 million of equity portion of Series C funding was led by Staley Capital Management A with participation from RRE Venture, Converge, SJF Ventures, NAV.VC and City National Bank. A $22.5 million of debt portion was provided by undisclosed investors.</t>
  </si>
  <si>
    <t>Betaworks, BoxGroup, City National Bank, Converge (Investor), David Tisch, Howard Lindzon, Individual Investor, Jerry Neumann, Lindzon Capital Partners, MDC Ventures, NAV.VC, Neu Venture Capital, RRE Ventures, SJF Ventures, Staley Capital</t>
  </si>
  <si>
    <t>Betaworks(www.betaworks.com), BoxGroup(www.boxgroup.com), City National Bank(www.cnb.com), Converge (Investor)(www.converge.vc), David Tisch(www.davidtisch.com), Howard Lindzon(www.howardlindzon.com), MDC Ventures(www.mdcventures.vc), NAV.VC(www.nav.vc), Neu Venture Capital(www.neuvc.com), RRE Ventures(www.rre.com), SJF Ventures(www.sjfventures.com), Staley Capital(www.staleycapital.com)</t>
  </si>
  <si>
    <t>Reitler Kailas &amp; Rosenblatt(Legal Advisor), Wilson Sonsini Goodrich &amp; Rosati(Legal Advisor)</t>
  </si>
  <si>
    <t>Other Debt</t>
  </si>
  <si>
    <t>229494-97</t>
  </si>
  <si>
    <t>YI Tunnel</t>
  </si>
  <si>
    <t>Provider of a platform intended to connect technology and commerce for connecting people and artificial intelligence. The company's platform brings technology and commerce together to connect future by leveraging artificial intelligence, enabling businesses to discover their inner potential.</t>
  </si>
  <si>
    <t>Other Software</t>
  </si>
  <si>
    <t>Business/Productivity Software, Other Software*</t>
  </si>
  <si>
    <t>artificial intelligence system, commercial technology service, technology connectivity product</t>
  </si>
  <si>
    <t>www.yitunnel.com</t>
  </si>
  <si>
    <t>187075-45P</t>
  </si>
  <si>
    <t>Yili Wu</t>
  </si>
  <si>
    <t>yili.wu@yitunnel.com</t>
  </si>
  <si>
    <t>+86 (0)40 0660 9898</t>
  </si>
  <si>
    <t>Room 606, Building A, Guanghualu SOHO2</t>
  </si>
  <si>
    <t>Number 22 Guanghua Road</t>
  </si>
  <si>
    <t>business@yitunnel.com</t>
  </si>
  <si>
    <t>The company joined Microsoft ScaleUp as part of Microsoft Accelerator Beijing Cohort 11 on March 9, 2018. Previously, the company raised $1.5 million of venture funding in a deal led by Baidu Ventures on October 10, 2017. Kinzon Capital and Fengshang Capital also participated in the round.</t>
  </si>
  <si>
    <t>Baidu Ventures, Fengshion Capital Partners, Kinzon Capital, Microsoft ScaleUp</t>
  </si>
  <si>
    <t>Baidu Ventures(www.bv.ai), Fengshion Capital Partners(www.fengshion.com), Kinzon Capital(www.kinzoncapital.com), Microsoft ScaleUp(startups.microsoft.com/en-us/scale-up)</t>
  </si>
  <si>
    <t>104514-67</t>
  </si>
  <si>
    <t>Yet2.com</t>
  </si>
  <si>
    <t>Yet2</t>
  </si>
  <si>
    <t>Provider of an online platform designed for technology transfer, IP licensing and patent exchange. The company's online platform fosters global collaboration and increases the commercialization of new technologies, enabling organizations to realize a return on their IP investments by locating unrealized IP value.</t>
  </si>
  <si>
    <t>IT Consulting and Outsourcing</t>
  </si>
  <si>
    <t>Consulting Services (B2B), IT Consulting and Outsourcing*</t>
  </si>
  <si>
    <t>Industrials, TMT</t>
  </si>
  <si>
    <t>global technology marketplace, ip licensing, licensing, patent exchange, technology transfer</t>
  </si>
  <si>
    <t>www.yet2.com</t>
  </si>
  <si>
    <t>2014: 28, 2015: 31</t>
  </si>
  <si>
    <t>40130-56P</t>
  </si>
  <si>
    <t>Benjamin DuPont</t>
  </si>
  <si>
    <t>Co-Founder, Board Member &amp; President</t>
  </si>
  <si>
    <t>ben@chartline.com</t>
  </si>
  <si>
    <t>+1 (302) 654-1597</t>
  </si>
  <si>
    <t>Newton, MA</t>
  </si>
  <si>
    <t>199 Wells Avenue</t>
  </si>
  <si>
    <t>Suite 102</t>
  </si>
  <si>
    <t>Newton</t>
  </si>
  <si>
    <t>02459</t>
  </si>
  <si>
    <t>+1 (617) 244-4149</t>
  </si>
  <si>
    <t>+1 (617) 244-4961</t>
  </si>
  <si>
    <t>info@yet2.com</t>
  </si>
  <si>
    <t>The company raised $100 million of venture funding from Kestrel Investments and Japan Asia Investment on September 27, 2010.</t>
  </si>
  <si>
    <t>Japan Asia Investment, Kestrel Investments</t>
  </si>
  <si>
    <t>Scipher (Investor)</t>
  </si>
  <si>
    <t>3i Group, Ashford Capital Management, Bayer, Caterpillar, Next47, NTT Leasing Capital, Procter &amp; Gamble, Venrock</t>
  </si>
  <si>
    <t>Japan Asia Investment(www.jaic-vc.co.jp), Kestrel Investments(www.kestrelinvestments.com)</t>
  </si>
  <si>
    <t>3i Group(www.3i.com), Ashford Capital Management(www.ashfordcapital.com), Bayer(www.bayer.com), Caterpillar(www.caterpillar.com), Next47(Next47.com), Procter &amp; Gamble(www.us.pg.com), Venrock(www.venrock.com)</t>
  </si>
  <si>
    <t>Business Growth Alliance(Advisor: General), Gates and Company(Advisor: General)</t>
  </si>
  <si>
    <t>58597-84</t>
  </si>
  <si>
    <t>YellowPepper</t>
  </si>
  <si>
    <t>2Checkout (Acquired), ZooZ, Stripe, Braintree, Transactis, Zong, BillingTree, Boku, Paysafe Group, Payr, First Data, Fortumo, Adyen, Gravity Payments, Paymentus, YapStone, Bango, Worldline, Integrity Payment Systems, Moneris Solutions, BluePay Mid-Atlantic, Klarna, Dwolla, Codapay, Aevi International, Bambora, GHL Systems, Kimbia, Nuvei, Spreedly, Onebip</t>
  </si>
  <si>
    <t>Provider of a digital finance platform designed to offer mobile banking and payment services. The company's platform helps banks, mobile network operators, merchants and consumers to access its network, providing the foundation for a robust payment ecosystem, enabling consumers, merchants, issuers and processors to get the means to revolutionize the purchasing experience.</t>
  </si>
  <si>
    <t>Financial Software</t>
  </si>
  <si>
    <t>Business/Productivity Software, Financial Software*, Other Financial Services</t>
  </si>
  <si>
    <t>FinTech, Mobile, TMT</t>
  </si>
  <si>
    <t>fintech, mobile banking, mobile payment, payment gateway, payment service</t>
  </si>
  <si>
    <t>www.yellowpepper.com</t>
  </si>
  <si>
    <t>2013: 80, 2015: 60, 2016: 65, 2018: 61</t>
  </si>
  <si>
    <t>Competitor (New) Nuvei</t>
  </si>
  <si>
    <t>53937-64P</t>
  </si>
  <si>
    <t>Serge Elkiner</t>
  </si>
  <si>
    <t>selkiner@yellowpepper.com</t>
  </si>
  <si>
    <t>+1 (786) 924-3814</t>
  </si>
  <si>
    <t>Miami, FL</t>
  </si>
  <si>
    <t>380 NorthWest 24th Street</t>
  </si>
  <si>
    <t>Miami</t>
  </si>
  <si>
    <t>Florida</t>
  </si>
  <si>
    <t>33127</t>
  </si>
  <si>
    <t>info@yellowpepper.com</t>
  </si>
  <si>
    <t>The company raised $12.5 million of Series D venture funding from Visa Ventures in May, 2018, putting the company's pre-money valuation at $77.5 million. Other undisclosed investors also participated. The funding will be used to accelerate the momentum of its digital finance platform.</t>
  </si>
  <si>
    <t>CP Capital Securities, Fondo de Fondos, International Finance Corporation, LIV Capital, Sun Mountain Capital, Visa Ventures, Volta Global</t>
  </si>
  <si>
    <t>CP Capital Securities(www.cpcapital.com), Fondo de Fondos(www.fondodefondos.com.mx), International Finance Corporation(www.ifc.org), LIV Capital(livcapital.mx), Sun Mountain Capital(www.sunmountaincapital.com), Volta Global(www.voltaglobal.com)</t>
  </si>
  <si>
    <t>DLA Piper(Legal Advisor), Morgan Joseph TriArtisan(Advisor: General)</t>
  </si>
  <si>
    <t>Cisco Systems(Debt Financing), Dell(Debt Financing), DLA Piper(Legal Advisor), Financial Technology Partners(Advisor: General), LAVCA(Advisor: General), Morgan Joseph TriArtisan(Advisor: General)</t>
  </si>
  <si>
    <t>111382-48</t>
  </si>
  <si>
    <t>Yellowbrick Data</t>
  </si>
  <si>
    <t>Yellowbrick</t>
  </si>
  <si>
    <t>InCorta, Xplenty, Fivetran, Sisense, Looker, Periscope Data, Stitch, BIME Analytics, Kloudio, Zepl, Snowflake, Mode Analytics, Arcadia Data, Alation, ThoughtSpot, Diyotta, StreamSets, SnapLogic, Yellowfin, Klipfolio, Notion Data, Wagon Analytics, Pentaho, Cyfe, Aerospike, Cask, Qlik Technologies, Panoply (Application Software), SkyStats, Dundas Data Visualization, Izenda, Domo, Jinfonet Software, Datameer, ChartCube, Sense Enterprise, GoodData, RJMetrics, Grow (Business/Productivity Software), Logi Analytics, Segment, Astronomer, Amplitude, Geckoboard, MixPanel, Kairos Analytics, Birst, Tableau Software, Dasheroo, Profoundis Labs, MicroStrategy, JasperSoft</t>
  </si>
  <si>
    <t>Developer and provider of data warehouse intended for business decision making. The company deploys analytics anywhere along with increased speed, scalability and standards to offer real-time feeds, interactive applications and periodic bulk loads, enabling companies to make faster decisions and improve analytical throughput and performance.</t>
  </si>
  <si>
    <t>Business/Productivity Software*, Database Software</t>
  </si>
  <si>
    <t>analytical application, analyzing software, data analytics, data information, database analytics, database optimization, database service, database software</t>
  </si>
  <si>
    <t>www.yellowbrick.com</t>
  </si>
  <si>
    <t>2018: 50</t>
  </si>
  <si>
    <t>News (New)</t>
  </si>
  <si>
    <t>38099-80P</t>
  </si>
  <si>
    <t>James Dawson</t>
  </si>
  <si>
    <t>Co-Founder and Chief Revenue Officer</t>
  </si>
  <si>
    <t>+1 (877) 492-3282</t>
  </si>
  <si>
    <t>Palo Alto, CA</t>
  </si>
  <si>
    <t>250 Cambridge Avenue</t>
  </si>
  <si>
    <t>Suite 300</t>
  </si>
  <si>
    <t>Palo Alto</t>
  </si>
  <si>
    <t>94306</t>
  </si>
  <si>
    <t>info@yellowbrickdata.com</t>
  </si>
  <si>
    <t>The company is in the process of raising an estimated $81 million of Series C venture funding as of May 14, 2019, putting the company's pre-money valuation at $459 million. Previously, the company raised $48 million of Series B venture funding in a deal led by Next47 on October 24, 2018, putting the company's pre-money valuation at $230 million. GV, Samsung Venture Investment, Third Point Ventures, Menlo Ventures and Draper Fisher Jurvetson Management also participated in this round.</t>
  </si>
  <si>
    <t>GV, Menlo Ventures, Next47, Samsung Venture Investment, Third Point Ventures</t>
  </si>
  <si>
    <t>GV(www.gv.com), Menlo Ventures(www.menlovc.com), Next47(Next47.com), Samsung Venture Investment(www.samsungventures.com), Third Point Ventures(www.thirdpointventures.com)</t>
  </si>
  <si>
    <t>Arete Partners(Consulting), O'Melveny &amp; Myers(Legal Advisor)</t>
  </si>
  <si>
    <t>Estimated</t>
  </si>
  <si>
    <t>230459-59</t>
  </si>
  <si>
    <t>Yappli</t>
  </si>
  <si>
    <t>Fast Media</t>
  </si>
  <si>
    <t>The Grid (Website Creation), Homestead Technologies, Richard Senior, Strikingly, PrestaShop, Appalladium, StudyStream Ltd, Appmakr, Automattic</t>
  </si>
  <si>
    <t>Provider of a cloud-based platform intended to create, manage and analyze mobile apps without a single line of code. The company's SaaS platform is a native application with an easy to use CMS that focuses on UI/UX, providing users with technology that realizes application development without programming.</t>
  </si>
  <si>
    <t>Automation/Workflow Software</t>
  </si>
  <si>
    <t>Automation/Workflow Software*, Software Development Applications</t>
  </si>
  <si>
    <t>Mobile, SaaS</t>
  </si>
  <si>
    <t>app development, app development saas, application management platform, content management system, mobile app development</t>
  </si>
  <si>
    <t>yapp.li</t>
  </si>
  <si>
    <t>2013: 3, 2015: 6</t>
  </si>
  <si>
    <t>189022-51P</t>
  </si>
  <si>
    <t>Koichi Tsunoda</t>
  </si>
  <si>
    <t>Chief Financial Officer &amp; Director</t>
  </si>
  <si>
    <t>tsunoda@yappli.co.jp</t>
  </si>
  <si>
    <t>+81 (0)36 277 6444</t>
  </si>
  <si>
    <t>Tokyo, Japan</t>
  </si>
  <si>
    <t>19th Floor, International Shin-Akasaka Building</t>
  </si>
  <si>
    <t>14-27 Akasaka, Minato-ku</t>
  </si>
  <si>
    <t>Tokyo</t>
  </si>
  <si>
    <t>107-0052</t>
  </si>
  <si>
    <t>Japan</t>
  </si>
  <si>
    <t>contact@yappli.co.jp</t>
  </si>
  <si>
    <t>The company raised an undisclosed amount of venture funding in a deal led by Globis Capital Partners on October 16, 2017. YJ Capital, ITOCHU Technology Ventures and Shogo Kawada also participated in the round. The funds will be used to further enhance the functions of the company's platform.</t>
  </si>
  <si>
    <t>Globis Capital Partners, ITOCHU Technology Ventures, Salesforce Ventures, Shogo Kawada, YJ Capital</t>
  </si>
  <si>
    <t>Globis Capital Partners(www.globiscapital.co.jp), ITOCHU Technology Ventures(www.techv.co.jp), YJ Capital(yj-capital.co.jp/en)</t>
  </si>
  <si>
    <t>155958-49</t>
  </si>
  <si>
    <t>XTAL</t>
  </si>
  <si>
    <t>Manufacturer and designer of semiconductors intended to solve problems in the arena of design optimization and yield improvement. The company's design optimization and yield improvement services offer software optimization and hardware implementation services, enabling design and manufacturing industry to focus on yield and time-to-market.</t>
  </si>
  <si>
    <t>Semiconductors</t>
  </si>
  <si>
    <t>Application Specific Semiconductors</t>
  </si>
  <si>
    <t>Application Specific Semiconductors*, Consulting Services (B2B)</t>
  </si>
  <si>
    <t>design optimization, hardware implementation, software optimization, yield enhancement, yield improvement</t>
  </si>
  <si>
    <t>Formerly VC-backed</t>
  </si>
  <si>
    <t>Bankruptcy: Liquidation</t>
  </si>
  <si>
    <t>www.xtalinc.com</t>
  </si>
  <si>
    <t>2015: 34, 2017: 6</t>
  </si>
  <si>
    <t>131541-13P</t>
  </si>
  <si>
    <t>Zongchang Yu</t>
  </si>
  <si>
    <t>zyu@xtalinc.com</t>
  </si>
  <si>
    <t>+1 (408) 642-5328</t>
  </si>
  <si>
    <t>San Jose, CA</t>
  </si>
  <si>
    <t>97 East Brokaw Road</t>
  </si>
  <si>
    <t>Suite 330</t>
  </si>
  <si>
    <t>San Jose</t>
  </si>
  <si>
    <t>95112</t>
  </si>
  <si>
    <t>contact@xtalinc.com</t>
  </si>
  <si>
    <t>The company filed for Chapter 7 bankruptcy in 2019. The company is no longer actively tracked by PitchBook.</t>
  </si>
  <si>
    <t>China Oriental Group Company, Hanhai Investment, Hanhai Studio, Samsung Venture Investment</t>
  </si>
  <si>
    <t>China Oriental Group Company(www.chinaorientalgroup.com), Hanhai Investment(www.hanhaiinvestment.com), Hanhai Studio(www.hanhaistudio.com), Samsung Venture Investment(www.samsungventures.com)</t>
  </si>
  <si>
    <t>Derivatas(Valuation/Appraiser), Reed Smith(Legal Advisor)</t>
  </si>
  <si>
    <t>Bankruptcy</t>
  </si>
  <si>
    <t>97268-41</t>
  </si>
  <si>
    <t>Xperiel</t>
  </si>
  <si>
    <t>ThingWorx, Tridium</t>
  </si>
  <si>
    <t>Developer of a Real World Web (RWW) platform to build real-world applications. The company's platform provides tools to build cloud-based, device-agnostic, real-world applications for all hardware and software across all business verticals.</t>
  </si>
  <si>
    <t>Software Development Applications</t>
  </si>
  <si>
    <t>Application Software, Other Business Products and Services, Software Development Applications*</t>
  </si>
  <si>
    <t>online web application, real world application, real world web</t>
  </si>
  <si>
    <t>www.xperiel.com</t>
  </si>
  <si>
    <t>2016: 20</t>
  </si>
  <si>
    <t>114605-47P</t>
  </si>
  <si>
    <t>Alexander Hertel</t>
  </si>
  <si>
    <t>ahertel@xperiel.com</t>
  </si>
  <si>
    <t>+1 (408) 896-2712</t>
  </si>
  <si>
    <t>Sunnyvale, CA</t>
  </si>
  <si>
    <t>188 South Murphy Avenue</t>
  </si>
  <si>
    <t>Sunnyvale</t>
  </si>
  <si>
    <t>contact@xperiel.com</t>
  </si>
  <si>
    <t>The company raised $7 million of series A venture funding from Scott Cook, Sacrament Kings and Cyan Banister on January 30, 2018. Western Technology Investment also participated in the round. The funds will be used to accelerate growth and expand into markets beyond sports technology.</t>
  </si>
  <si>
    <t>Andreas Von Bechtolsheim, Andy Nowka, Charlie McKittrick, Compound, Cyan Banister, Dave Scially, Derek Collison, Diane Greene, Elysian Park Ventures, Fox Hollow Ventures, Garrett Camp, Gary Green, Global Sports Venture Studio, Highland Capital Management, Hope Taitz, John Hennessy, Kavitark Shriram, Major League Baseball Ventures, Sacramento Kings, Sarah Imbach, Scott Cook, Shona Brown, Tiny Capital, Western Technology Investment</t>
  </si>
  <si>
    <t>Compound(www.compound.vc), Elysian Park Ventures(www.elysianpark.ventures), Global Sports Venture Studio(www.globalsportsventurestudio.com), Highland Capital Management(www.highlandcapital.com), Sacramento Kings(www.kings.com), Tiny Capital(tinycapital.co), Western Technology Investment(www.westerntech.com)</t>
  </si>
  <si>
    <t>Gunderson Dettmer(Legal Advisor)</t>
  </si>
  <si>
    <t>118852-93</t>
  </si>
  <si>
    <t>Xometry</t>
  </si>
  <si>
    <t>Nextline Manufacturing</t>
  </si>
  <si>
    <t>Kreatize, Sculpteo, Proto Labs</t>
  </si>
  <si>
    <t>Developer of an instant quoting platform created to offer a marketplace for custom manufacturing. The company's platform provides instant pricing, expected lead times, manufacturability feedback and a nationwide network of partner manufacturing facilities, enabling product designers and engineers to instantly access the capacity of a network of manufacturing facilities.</t>
  </si>
  <si>
    <t>Other Commercial Services</t>
  </si>
  <si>
    <t>Other Commercial Services*</t>
  </si>
  <si>
    <t>cnc machining, custom manufacturing solutions, custome manufacturing marketplace, directing metal laser sintering, high-quality parts sourcing, machine shops network, rapid prototyping</t>
  </si>
  <si>
    <t>www.xometry.com</t>
  </si>
  <si>
    <t>2017: 90</t>
  </si>
  <si>
    <t>104592-16P</t>
  </si>
  <si>
    <t>Laurence Zuriff</t>
  </si>
  <si>
    <t>Co-Founder, Chief Financial Officer &amp; Board Member</t>
  </si>
  <si>
    <t>lzuriff@xometry.com</t>
  </si>
  <si>
    <t>+1 (240) 252-1138</t>
  </si>
  <si>
    <t>Gaithersburg, MD</t>
  </si>
  <si>
    <t>7940 Cessna Avenue</t>
  </si>
  <si>
    <t>Gaithersburg</t>
  </si>
  <si>
    <t>20879</t>
  </si>
  <si>
    <t>info@xometry.com</t>
  </si>
  <si>
    <t>The company raised $50 million of venture funding in a deal led by Greenspring Associates on May 13, 2019. GE Ventures, BMW i Ventures, Dell Technologies Capital, Highland Capital Partners, Foundry Group, Almaz Capital and Maryland Venture Fund also participated in the round. The funds will be used by the company for further product development and international growth.</t>
  </si>
  <si>
    <t>Almaz Capital, BMW i Ventures, Dell Technologies Capital, Foundry Group, GE Ventures, Greenspring Associates, Highland Capital Partners, Maryland Venture Fund</t>
  </si>
  <si>
    <t>Almaz Capital(www.almazcapital.com), BMW i Ventures(www.bmwiventures.com), Foundry Group(www.foundrygroup.com), GE Ventures(www.geventures.com), Greenspring Associates(www.greenspringassociates.com), Highland Capital Partners(www.hcp.com), Maryland Venture Fund(www.marylandventurefund.com)</t>
  </si>
  <si>
    <t>Cooley(Legal Advisor)</t>
  </si>
  <si>
    <t>53336-08</t>
  </si>
  <si>
    <t>XL Hybrids</t>
  </si>
  <si>
    <t>Entergem Ventures</t>
  </si>
  <si>
    <t>XL</t>
  </si>
  <si>
    <t>Provider of connected fleet electrification technology intended to offer simple, smart and sustainable hybrid electric powertrains. The company's connected fleet electrification technology helps develop and manufacture hybrid electric power-trains for commercial and municipal fleet vehicles, enabling enterprises to reduce fuel consumption and drive fleet performance.</t>
  </si>
  <si>
    <t>Commercial Transportation</t>
  </si>
  <si>
    <t>Road</t>
  </si>
  <si>
    <t>Alternative Energy Equipment, Road*</t>
  </si>
  <si>
    <t>CleanTech, Industrials, Manufacturing, TMT</t>
  </si>
  <si>
    <t>automotive control, commercial fleet, electric vehicle, electronic fleet management, fleet electrification, hybrid electric powertrain, hybrid vehicle</t>
  </si>
  <si>
    <t>www.xlfleet.com</t>
  </si>
  <si>
    <t>2010: 6, 2011: 11, 2013: 15, 2014: 20, 2017: 25</t>
  </si>
  <si>
    <t>39071-35P</t>
  </si>
  <si>
    <t>Thomas Hynes</t>
  </si>
  <si>
    <t>thynes@xlhybrids.com</t>
  </si>
  <si>
    <t>+1 (617) 718-0329</t>
  </si>
  <si>
    <t>Boston, MA</t>
  </si>
  <si>
    <t>145 Newton Street</t>
  </si>
  <si>
    <t>Boston</t>
  </si>
  <si>
    <t>02135</t>
  </si>
  <si>
    <t>+1 (617) 326-8614</t>
  </si>
  <si>
    <t>info@xlhybrids.com</t>
  </si>
  <si>
    <t>The company raised $22.23 million of Series D venture funding in a round led by Constellation Technology Ventures on September 29, 2017- putting the pre-money valuation at $41.3 million. IKEA Group and other undisclosed investors also participated in the round. The funds will be used for the development, sale and distribution of its solutions to major customers across North America.</t>
  </si>
  <si>
    <t>10X Venture Partners, Constellation Technology Ventures, Delaware Ladera Management Company, IKEA Group, Johnson Controls International, NatVans, Peter O'Brien, U.S. Department of Energy, Verge Accelerate</t>
  </si>
  <si>
    <t>10X Venture Partners(www.10xvp.com), Constellation Technology Ventures(www.technologyventures.constellation.com), Delaware Ladera Management Company(www.ladera-management.com), IKEA Group(www.ikea.com), Johnson Controls International(www.johnsoncontrols.com), U.S. Department of Energy(www.energy.gov)</t>
  </si>
  <si>
    <t>Bank of America(General Business Banking), Mintz, Levin, Cohn, Ferris, Glovsky and Popeo(Legal Advisor)</t>
  </si>
  <si>
    <t>Mintz, Levin, Cohn, Ferris, Glovsky and Popeo(Legal Advisor), WindSail Capital Group(Debt Financing)</t>
  </si>
  <si>
    <t>65137-69</t>
  </si>
  <si>
    <t>Xite</t>
  </si>
  <si>
    <t>Operator of a music channel intended to serve the people in Netherlands. The company's channel broadcasts popular music videos throughout the day and provides news about music videos, artists, concerts, festivals and giveaways, enabling listeners to avail entertaining and musical experience in an enhanced way.</t>
  </si>
  <si>
    <t>Broadcasting, Radio and Television, Movies, Music and Entertainment*</t>
  </si>
  <si>
    <t>AudioTech, TMT</t>
  </si>
  <si>
    <t>digital television, music, music channel, music video, online music</t>
  </si>
  <si>
    <t>www.xitenetworks.com</t>
  </si>
  <si>
    <t>2014: 24, 2015: 39</t>
  </si>
  <si>
    <t>73785-43P</t>
  </si>
  <si>
    <t>Dirk Van den Esschert</t>
  </si>
  <si>
    <t>dirk@xite.nl</t>
  </si>
  <si>
    <t>+31 (0)20 715 5205</t>
  </si>
  <si>
    <t>Amsterdam, Netherlands</t>
  </si>
  <si>
    <t>Spijkerkade 28</t>
  </si>
  <si>
    <t>Amsterdam</t>
  </si>
  <si>
    <t>1021 JS</t>
  </si>
  <si>
    <t>Netherlands</t>
  </si>
  <si>
    <t>+31 (0)10 498 7799</t>
  </si>
  <si>
    <t>info@xite.com</t>
  </si>
  <si>
    <t>The company received an undisclosed amount of debt financing from MKB Impulsfonds on January 15, 2016. The company will use the funds to accelerate international growth and to form new partners in Europe and the US. Previously, the company raised an undisclosed amount of venture funding from HenQ, Liberty Global Ventures and V-Ventures on August 21, 2009.</t>
  </si>
  <si>
    <t>HenQ, Individual Investor, Liberty Global Ventures, United Broadcast Facilities, V-Ventures</t>
  </si>
  <si>
    <t>HenQ(www.henq.nl), United Broadcast Facilities(www.ubf.nl), V-Ventures(www.verenigingveronica.nl)</t>
  </si>
  <si>
    <t>Improved Corporate Finance(Advisor: General), MKB Impulsfonds(Debt Financing), Neos Direct Lending(Advisor: General)</t>
  </si>
  <si>
    <t>Debt - General</t>
  </si>
  <si>
    <t>Debt</t>
  </si>
  <si>
    <t>Loan</t>
  </si>
  <si>
    <t>97638-94</t>
  </si>
  <si>
    <t>Xica</t>
  </si>
  <si>
    <t>Developer of a statistical analysis application created to deliver suggestions to all data and bring happiness to everyone. The company's statistical analysis software includes a web application that do analytics in order to enhance business efficiency in companies, enabling clients to predict their growth and development opportunities and plan accordingly.</t>
  </si>
  <si>
    <t>business efficiency, enhance business performance, statistical analysis, statistical analysis tools, statistical software, statistical tools</t>
  </si>
  <si>
    <t>www.xica.net</t>
  </si>
  <si>
    <t>2015: 3</t>
  </si>
  <si>
    <t>102108-52P</t>
  </si>
  <si>
    <t>Yoshiaki Hirao</t>
  </si>
  <si>
    <t>Founder, Chief Executive Officer &amp; Representative Director</t>
  </si>
  <si>
    <t>yoshiaki_hirao@xica.net</t>
  </si>
  <si>
    <t>+81 (0)36 380 9897</t>
  </si>
  <si>
    <t>TAS Building, 3rd Floor 2-5-2 Nishi Kanda</t>
  </si>
  <si>
    <t>Chiyoda-ku</t>
  </si>
  <si>
    <t>101-0065</t>
  </si>
  <si>
    <t>info@xica.net</t>
  </si>
  <si>
    <t>The company raised $4.5 million of Series C venture funding from Draper Nexus on January 23, 2018.</t>
  </si>
  <si>
    <t>Archetype, Dentsu Innovation Partners, DNX Ventures, ITOCHU Technology Ventures, Recruit Strategic Partners, Salesforce Ventures</t>
  </si>
  <si>
    <t>Archetype(www.archetype.co.jp), Dentsu Innovation Partners(www.dentsu-ip.co.jp), DNX Ventures(www.dnx.vc), ITOCHU Technology Ventures(www.techv.co.jp), Recruit Strategic Partners(recruitstrategicpartners.com)</t>
  </si>
  <si>
    <t>65788-12</t>
  </si>
  <si>
    <t>XGimi</t>
  </si>
  <si>
    <t>Vizio, eyevis, Cohuborate, Optoma, Christie Digital Systems, VTRON Technologies, ViewSonic, HTC, Nikon India, JmGO</t>
  </si>
  <si>
    <t>Developer of multi-functional projectors designed to offer affordable giant-screen projection services. The company's projectors come with a high-definition embedded technology as well as an Android operating system, and offers a three-dimensional viewing function, enabling customers to access intelligent micro-projector for their use.</t>
  </si>
  <si>
    <t>Consumer Durables</t>
  </si>
  <si>
    <t>Electronics (B2C)</t>
  </si>
  <si>
    <t>Electronics (B2C)*, Household Appliances</t>
  </si>
  <si>
    <t>3d viewing, giant-screen projection, home projectors, multi-functional projectors, portable streaming projectors, projectors</t>
  </si>
  <si>
    <t>www.xgimi.com</t>
  </si>
  <si>
    <t>2016: 11</t>
  </si>
  <si>
    <t>77629-69P</t>
  </si>
  <si>
    <t>Apoll Zhong</t>
  </si>
  <si>
    <t>apoll.zhong@xgimi.com</t>
  </si>
  <si>
    <t>+86 (0)28 6759 9891</t>
  </si>
  <si>
    <t>Chengdu, China</t>
  </si>
  <si>
    <t>Building A4, Tianfu Software Park, Tianfu Avenue</t>
  </si>
  <si>
    <t>High-tech Zone</t>
  </si>
  <si>
    <t>Chengdu</t>
  </si>
  <si>
    <t>610041</t>
  </si>
  <si>
    <t>info@xgimi.com</t>
  </si>
  <si>
    <t>The company raised $95 million of Series C venture funding in a deal led by Baidu Ventures on July 1, 2018. Panlin Capital, Matrix Partners China, Sailing Capital, Bojiang Capital, Lucion Venture Capital and Sichuan Culture Industry Fund also participated in this round. This round of financing is mainly for R&amp;D of screenless television and laser screenless television, and improvement of core technology and application ecological layout. Prior to that, the company joined Tianfu Software Park Lab as part of its 2018 Class on April 7, 2018 and received an undisclosed amount in funding.</t>
  </si>
  <si>
    <t>Baidu Ventures, Bojiang Capital, Chengdu Technology Transfer Group, Lucion Venture Capital, Mango TV, Matrix Partners China, Panlin Capital, Sailing Capital, Shenzhen CDF Capital, Sichuan Culture Industry Fund, Tianfu Software Park</t>
  </si>
  <si>
    <t>Baidu Ventures(www.bv.ai), Bojiang Capital(www.bojcf.com), Chengdu Technology Transfer Group(www.cttg.com.cn), Mango TV(www.mgtv.com), Matrix Partners China(www.matrixpartners.cn), Sailing Capital(www.sailing-capital.com.hk), Shenzhen CDF Capital(www.cdfcn.com), Tianfu Software Park(www.tianfusoftwarepark.com)</t>
  </si>
  <si>
    <t>Indiegogo(Lead Manager or Arranger)</t>
  </si>
  <si>
    <t>61310-08</t>
  </si>
  <si>
    <t>XG Sciences</t>
  </si>
  <si>
    <t>Graphene 3D Lab (acquired 2014), Graphenea</t>
  </si>
  <si>
    <t>Manufacturer and distributor of Graphene Nanoplatelets. The company designs and provides graphene nanoplatelets and develops engineered materials based on the nanoplatelets technology.</t>
  </si>
  <si>
    <t>Distributors/Wholesale</t>
  </si>
  <si>
    <t>Distributors/Wholesale*, Industrial Supplies and Parts, Other Materials</t>
  </si>
  <si>
    <t>Industrials, Manufacturing, Nanotechnology, TMT</t>
  </si>
  <si>
    <t>engineers material, graphene nanoplatelet, nanoparticle</t>
  </si>
  <si>
    <t>www.xgsciences.com</t>
  </si>
  <si>
    <t>2011: 14, 2014: 28, 2015: 30, 2016: 37</t>
  </si>
  <si>
    <t>60580-72P</t>
  </si>
  <si>
    <t>Corinne Lyon</t>
  </si>
  <si>
    <t>Controller</t>
  </si>
  <si>
    <t>c.lyon@xgsciences.com</t>
  </si>
  <si>
    <t>+1 (517) 703-1110</t>
  </si>
  <si>
    <t>Lansing, MI</t>
  </si>
  <si>
    <t>3101 Grand Oak Drive</t>
  </si>
  <si>
    <t>Lansing</t>
  </si>
  <si>
    <t>Michigan</t>
  </si>
  <si>
    <t>48911</t>
  </si>
  <si>
    <t>+1 (517) 703-1113</t>
  </si>
  <si>
    <t>info@xgsciences.com</t>
  </si>
  <si>
    <t>The company received $10 million of debt financing from Dow on December 9, 2016. Previously, the company raised $24 million of venture funding from AdvancedStage Capital and Northern Michigan Angels on December 22, 2016.</t>
  </si>
  <si>
    <t>AdvancedStage Capital, Ann Arbor SPARK, Individual Investor, Jericho Capital, Northern Michigan Angels, Posco, Samsung Venture Investment, U.S. Department of Energy</t>
  </si>
  <si>
    <t>AdvancedStage Capital(www.advancedstagecapital.com), Ann Arbor SPARK(www.annarborusa.org), Jericho Capital(www.jccny.com), Northern Michigan Angels(www.northernmichiganangels.com), Samsung Venture Investment(www.samsungventures.com), U.S. Department of Energy(www.energy.gov)</t>
  </si>
  <si>
    <t>Dow Chemical(Debt Financing)</t>
  </si>
  <si>
    <t>Senior Debt</t>
  </si>
  <si>
    <t>226120-06</t>
  </si>
  <si>
    <t>Xertica</t>
  </si>
  <si>
    <t>Eforcers, Cloudware 360, Infoanalitica</t>
  </si>
  <si>
    <t>Xertica Labs</t>
  </si>
  <si>
    <t>Globant, Sapia, Avanxo, Sonda, Everis Group, ESource</t>
  </si>
  <si>
    <t>Provider of a cloud computing services designed to transform business models, user experience and operational processes. The company's services and Saas based platform helps to have more efficient and faster processes, predict which products or services will have greater acceptance in the market and as a result to align their production, distribution and logistics processes, enabling companies to be more competitive by taking advantage of the opportunities between the physical and the digital.</t>
  </si>
  <si>
    <t>Business/Productivity Software, IT Consulting and Outsourcing*</t>
  </si>
  <si>
    <t>cloud computing, consulting and advisory, digital transformation, google cloud partners, information analysis</t>
  </si>
  <si>
    <t>www.xertica.com</t>
  </si>
  <si>
    <t>2016: 85, 2017: 160, 2018: 210, 2019: 220</t>
  </si>
  <si>
    <t>180351-46P</t>
  </si>
  <si>
    <t>Antonio Couttolenc</t>
  </si>
  <si>
    <t>antonio.couttolenc@xertica.com</t>
  </si>
  <si>
    <t>+52 (01)55 1205 6900</t>
  </si>
  <si>
    <t>Miguel Hidalgo, Mexico</t>
  </si>
  <si>
    <t>Corporate Polanco Laguna de Términos</t>
  </si>
  <si>
    <t>Number 221 Piso 14 Torre A Col. Anahuac.</t>
  </si>
  <si>
    <t>Miguel Hidalgo</t>
  </si>
  <si>
    <t>Mexico</t>
  </si>
  <si>
    <t>contact@xertica.com</t>
  </si>
  <si>
    <t>The company is in the process of raising a planned $15 million of Series B venture funding on April 1, 2019. Previously, the company raised $8 million of Series A venture funding in a deal led by Dalus Capital on January 30, 2018. Salesforce Ventures, Endeavor Catalyst and EMTV also participated in the round. The funds will be used to double its investment in its new big data, analytics and machine learning service offerings.</t>
  </si>
  <si>
    <t>Dalus Capital, EMTV, Endeavor Catalyst, Salesforce Ventures</t>
  </si>
  <si>
    <t>Dalus Capital(www.daluscapital.com)</t>
  </si>
  <si>
    <t>Grant Thornton(Accounting), Gunderson Dettmer(Legal Advisor), Silicon Valley Bank(General Business Banking), Taylor Wessing(Legal Advisor)</t>
  </si>
  <si>
    <t>Gunderson Dettmer(Legal Advisor), Shoosmiths(Legal Advisor), Taylor Wessing(Legal Advisor)</t>
  </si>
  <si>
    <t>Platform Creation</t>
  </si>
  <si>
    <t>152074-36</t>
  </si>
  <si>
    <t>Xee</t>
  </si>
  <si>
    <t>2hire, Synx, Celtrak</t>
  </si>
  <si>
    <t>Developer of connected services platform created to collect, process and manage data from connected vehicles. The company's platform Xee, reads the vehicle's data remotely and in real-time and translates it into smartphone applications, geotracks the car, alerts the owner in the event of theft, sends an emergency SMS, enabling vehicles and their drivers to be both secure and protected.</t>
  </si>
  <si>
    <t>Internet of Things, Mobile, TMT</t>
  </si>
  <si>
    <t>car alerts, car app, car location tracking, connected service platform, connected vehicles, fleet management, geolocation app, gps positioning, smart cars app</t>
  </si>
  <si>
    <t>www.xee.com</t>
  </si>
  <si>
    <t>2016: 30</t>
  </si>
  <si>
    <t>162149-41P</t>
  </si>
  <si>
    <t>Yvan Gravier</t>
  </si>
  <si>
    <t>ygravier@xee.com</t>
  </si>
  <si>
    <t>+33 (0)8 00 62 33 33</t>
  </si>
  <si>
    <t>Marquette-lez-Lille, France</t>
  </si>
  <si>
    <t>Ld Le Lazaro Park Of Innovation, Rue De Menin</t>
  </si>
  <si>
    <t>Marquette-lez-Lille</t>
  </si>
  <si>
    <t>59520</t>
  </si>
  <si>
    <t>contact@xee.com</t>
  </si>
  <si>
    <t>The company raised EUR 12 million of venture funding from Bridgestone EMEA, Total and Cofip on April 27, 2017. Via ID also participated in this round. The funding will be used to strengthen its R&amp;D and grow in the big data field.</t>
  </si>
  <si>
    <t>Bridgestone, Cofip, Total Energy Ventures, Via ID</t>
  </si>
  <si>
    <t>Bridgestone(www.bridgestone.co.jp), Via ID(www.via-id.com)</t>
  </si>
  <si>
    <t>Clipperton Finance(Advisor: General), K&amp;L Gates(Legal Advisor), Latham &amp; Watkins(Legal Advisor)</t>
  </si>
  <si>
    <t>266503-33</t>
  </si>
  <si>
    <t>XCL Resources</t>
  </si>
  <si>
    <t>Operator of an oil and gas company. The company is focused on the identification, acquisition and development of horizontal resource plays in the Lower 48.</t>
  </si>
  <si>
    <t>Exploration, Production and Refining</t>
  </si>
  <si>
    <t>Energy Exploration</t>
  </si>
  <si>
    <t>Energy Exploration*, Energy Production</t>
  </si>
  <si>
    <t>energy company, oil and gas asset developer, oil and gas assets acquirer, oil and gas company, oil and gas energy, oil and gas firm</t>
  </si>
  <si>
    <t>Private Equity-Backed</t>
  </si>
  <si>
    <t>www.xclresources.com</t>
  </si>
  <si>
    <t>100529-38P</t>
  </si>
  <si>
    <t>Grayson Lisenby</t>
  </si>
  <si>
    <t>gray@xclresources.com</t>
  </si>
  <si>
    <t>Houston, TX</t>
  </si>
  <si>
    <t>3217 Montrose Boulevard</t>
  </si>
  <si>
    <t>Suite 200</t>
  </si>
  <si>
    <t>Houston</t>
  </si>
  <si>
    <t>77006</t>
  </si>
  <si>
    <t>The company was formed as a joint venture between EnCap Investments, Rice Investment Group, private investors and the XCL Resources management team in 2018.</t>
  </si>
  <si>
    <t>EnCap Investments, Rice Investment Group</t>
  </si>
  <si>
    <t>EnCap Investments(www.encapinvestments.com), Rice Investment Group(www.riceinvestmentgroup.com)</t>
  </si>
  <si>
    <t>Joint Venture</t>
  </si>
  <si>
    <t>48551-05</t>
  </si>
  <si>
    <t>Xactly</t>
  </si>
  <si>
    <t>beqom, PeopleFluent, TalentSoft, HRSoft, Badgeville, Aviso, Ceridian HCM, SalesHood, Compgun, Zylo, EverString, Ambition Solutions, Callidus Software, Highspot, SugarCRM, Iconixx, RapidMiner, Vendavo, SAS Institute, Cornerstone OnDemand, Sales Performance International, Revegy, Lumesse</t>
  </si>
  <si>
    <t>Provider of an enterprise-class, cloud-based incentive management software intended to change the world of incentive compensation. The company's software platform allows decision-makers to get data insights they need to make better strategic decisions, optimize behaviors, increase sales and employee performance, improve margins, increase operational efficiency and mitigate risk.</t>
  </si>
  <si>
    <t>Application Software, Business/Productivity Software, Human Capital Services*</t>
  </si>
  <si>
    <t>FinTech, Industrials, SaaS, TMT</t>
  </si>
  <si>
    <t>compensation management, compensation software, forecasting solution, performance management</t>
  </si>
  <si>
    <t>Generating Revenue/Not Profitable</t>
  </si>
  <si>
    <t>Debt Financed, Private Equity, Publicly Listed, Venture Capital</t>
  </si>
  <si>
    <t>www.xactlycorp.com</t>
  </si>
  <si>
    <t>2008: 130, 2015: 345, 2016: 402, 2017: 470</t>
  </si>
  <si>
    <t>TTM 1Q2018</t>
  </si>
  <si>
    <t>35657-02P</t>
  </si>
  <si>
    <t>Christopher Cabrera</t>
  </si>
  <si>
    <t>ccabrera@xactlycorp.com</t>
  </si>
  <si>
    <t>+1 (408) 299-1829</t>
  </si>
  <si>
    <t>300 Park Avenue</t>
  </si>
  <si>
    <t>Suite 1700</t>
  </si>
  <si>
    <t>95110</t>
  </si>
  <si>
    <t>+1 (408) 977-3132</t>
  </si>
  <si>
    <t>+1 (408) 292-1153</t>
  </si>
  <si>
    <t>info@xactlycorp.com</t>
  </si>
  <si>
    <t>The company was acquired by Vista Equity Partners through a $564 million public-to-private LBO on July 31, 2017. The acquisition would help bring Vista's resources and expertise to help drive Xactly's next phase of innovation and growth. With the completion of the transaction, Xactly's common stock will cease trading and no longer be listed on the New York Stock Exchange. Goldman Sachs BDC and New Mountain Finance offered first lien debt financing of $19.8 million and $11.6 million respectively. TCP Capital also provided $16.398 million of Revolving Credit Line financing to support the deal.</t>
  </si>
  <si>
    <t>Vista Equity Partners</t>
  </si>
  <si>
    <t>Alloy Ventures, Bay Partners, Bridgescale, Cheyenne Partners, Cynthia Padnos, Eastward Capital Partners, Eric Di Benedetto, European Founders Fund, Fairbridge Venture Partners, Glynn Capital, Harmony Partners, Illuminate Ventures, Industry Ventures, Key Venture Partners, Millennium Bridge Capital, Outlook Ventures, Pilot Growth Equity, Rembrandt Venture Partners, Salesforce Ventures, Silicon Valley Bank, Spinner Asset Management, Thanos Triant, The Woodside Financial Group, Wellington Financial, Western Technology Investment, yet2Ventures</t>
  </si>
  <si>
    <t>Vista Equity Partners(www.vistaequitypartners.com)</t>
  </si>
  <si>
    <t>Alloy Ventures(www.alloyventures.com), Bay Partners(www.baypartners.com), Bridgescale(www.bridgescale.com), Cheyenne Partners(www.cheyennevc.com), Eastward Capital Partners(www.eastwardcp.com), Eric Di Benedetto(www.activestarts.com), European Founders Fund(www.europeanfounders.com), Glynn Capital(www.glynncapital.com), Harmony Partners(www.harmonyvp.com), Illuminate Ventures(www.illuminate.com), Industry Ventures(www.industryventures.com), Key Venture Partners(www.keyvp.com), Millennium Bridge Capital(www.mbclp.com), Outlook Ventures(www.outlookventures.com), Pilot Growth Equity(www.pilotgrowth.com), Rembrandt Venture Partners(www.rembrandtvc.com), Silicon Valley Bank(www.svb.com), Spinner Asset Management(www.samtest.net), The Woodside Financial Group(www.woodsidegroup.com), Wellington Financial(www.wellingtonfund.com), Western Technology Investment(www.westerntech.com), yet2Ventures(www.yet2Ventures.com)</t>
  </si>
  <si>
    <t>Avise Partners(Advisor: General), Launch Search Partners(Consulting)</t>
  </si>
  <si>
    <t>BlackRock TCP Capital(Debt Financing), Deutsche Bank (Corporate &amp; Investment Bank)(Underwriter), Goldman Sachs BDC(Debt Financing), J.P. Morgan Securities(Underwriter), KPMG(Accounting), Needham &amp; Company(Underwriter), New Mountain Finance(Debt Financing), Oppenheimer &amp; Company(Underwriter), Silicon Valley Bank(Debt Financing), The Blueshirt Group(Advisor: Communications), UBS Securities (China)(Underwriter), Wellington Financial(Debt Financing), Western Technology Investment(Debt Financing), Wilson Sonsini Goodrich &amp; Rosati(Legal Advisor)</t>
  </si>
  <si>
    <t>Secondary Buyout</t>
  </si>
  <si>
    <t>Public to Private</t>
  </si>
  <si>
    <t>First Lien</t>
  </si>
  <si>
    <t>Revolving Credit Line</t>
  </si>
  <si>
    <t>53946-10</t>
  </si>
  <si>
    <t>X2 Biosystems</t>
  </si>
  <si>
    <t>X2Impact</t>
  </si>
  <si>
    <t>Developer of an impact-monitoring system designed to assess Sports Concussion Assessment Tool test for athlete concussion evaluations. The company's system provides a sensor technology that generates real-time data related to head impacts along with entailing sensor modules, attached to the head or in mouth guards, that transit impact data that is transmitted and recorded onto a cloud database, which can then be accessed by coaches, trainers and doctors to assess the impact event, as well as a player's history of impacts, enabling sportsperson to get custom fitted or boil-and-bite protective mouth-guards for helmeted sports and low profile adhesive patches for non-helmeted sports that hold sensor pods behind their ears.</t>
  </si>
  <si>
    <t>Computer Hardware</t>
  </si>
  <si>
    <t>Electronic Equipment and Instruments</t>
  </si>
  <si>
    <t>Database Software, Electronic Equipment and Instruments*, Monitoring Equipment</t>
  </si>
  <si>
    <t>Life Sciences, SaaS, TMT, Wearables &amp; Quantified Self</t>
  </si>
  <si>
    <t>head impact events, impact-monitoring system, monitoring system, mouth guarding system, shocks sensing system, sports brain injury</t>
  </si>
  <si>
    <t>www.x2biosystems.com</t>
  </si>
  <si>
    <t>2013: 24, 2014: 14, 2015: 15</t>
  </si>
  <si>
    <t>16756-57P</t>
  </si>
  <si>
    <t>James Walker</t>
  </si>
  <si>
    <t>j.walker@sonimtech.com</t>
  </si>
  <si>
    <t>+1 (650) 378-8100</t>
  </si>
  <si>
    <t>Seattle, WA</t>
  </si>
  <si>
    <t>1927 Post Alley</t>
  </si>
  <si>
    <t>Seattle</t>
  </si>
  <si>
    <t>98101</t>
  </si>
  <si>
    <t>+1 (866) 684-2606</t>
  </si>
  <si>
    <t>info@x2bio.com</t>
  </si>
  <si>
    <t>The company raised $2 million of venture funding from Maxim Ventures and Chris Siege on July 1, 2016.</t>
  </si>
  <si>
    <t>Chris Siege, Kodiak Financial Group, Maxim Ventures, New Ground Ventures, Thomas Arrix</t>
  </si>
  <si>
    <t>Maxim Ventures(www.maximventures.com), New Ground Ventures(www.newground.vc)</t>
  </si>
  <si>
    <t>J.P. Turner &amp; Company(Advisor: General)</t>
  </si>
  <si>
    <t>225679-33</t>
  </si>
  <si>
    <t>X-bit</t>
  </si>
  <si>
    <t>Rakushifu</t>
  </si>
  <si>
    <t>Developer of a chatbot created to coordinate shifts for part-time workers. The company's bit makes it easy for shop owners to gather availabilities from employees and then the service automatically creates shift schedules.</t>
  </si>
  <si>
    <t>shift scheduling, shifts building services</t>
  </si>
  <si>
    <t>x-bit.co.jp</t>
  </si>
  <si>
    <t>179392-33P</t>
  </si>
  <si>
    <t>Kokubo Kosaku</t>
  </si>
  <si>
    <t>kokubo@x-bit.co.jp</t>
  </si>
  <si>
    <t>2-20-2 Higashigotanda</t>
  </si>
  <si>
    <t>Shinagawa-Ku</t>
  </si>
  <si>
    <t>The company raised an undisclosed amount of venture funding from Asahi Kasei Corporate Venture Capital.</t>
  </si>
  <si>
    <t>Asahi Kasei Corporate Venture Capital, Y Combinator</t>
  </si>
  <si>
    <t>Asahi Kasei Corporate Venture Capital(www.asahikaseiventures.com), Y Combinator(www.ycombinator.com)</t>
  </si>
  <si>
    <t>54027-01</t>
  </si>
  <si>
    <t>Wyng</t>
  </si>
  <si>
    <t>Offerpop, Doodlebop</t>
  </si>
  <si>
    <t>Percolate, Yotpo, rewardStyle, Friendbuy, Brand Embassy, Sprinklr, Sprout Social, Stackla, Shareablee, Thismoment, CrowdRiff, Uberflip, Ahalogy, Tubular (Video Intelligence Platform), Hootsuite, quintly, Simply Measured, AddShoppers, Strutta.com Media, TrackMaven, Ambassador, Wishpond, Bluecore, Tailwind (Marketing Platform), Facelift Cloud, Sparkcentral, HelloSociety, Pixlee, Adly, Piqora, Extole, Spredfast, Direct Labs Technology Communication &amp; Marketing, Socialbakers, Storystream, Gigya, Main Street Hub, BigDoor Media, Quikly, Chute, OrderGroove, Shuttlerock, ReadyPulse, Tint, Livefyre, Chirpify, Wayin, Curalate, SocialMedia Networks, loop88, gazeMetrix, Lithium Technologies, Unmetric, Agorapulse, Olapic, Conversocial, GumGum, LoginRadius, IcecreamLabs, Instapage, Motive Communications, ActSocial</t>
  </si>
  <si>
    <t>Developer of a digital and social marketing platform designed to elevate consumer influence through continuous, digital campaigns that inspire and engage. The company's digital and social marketing campaign platform, with campaign library, content dashboard and predictive campaign capabilities, helps companies to configure and personalize digital, mobile and social campaigns with its campaigns builder, view and manage the user generated content shared through the content dashboard, enabling brands and agencies to quickly build and run effective campaigns that drive measurable success.</t>
  </si>
  <si>
    <t>Business/Productivity Software*, Media and Information Services (B2B)</t>
  </si>
  <si>
    <t>Marketing Tech, SaaS, TMT</t>
  </si>
  <si>
    <t>audience insights, campaign management platform, digital marketing software, mobile campaigning platform, social marketing platform</t>
  </si>
  <si>
    <t>www.wyng.com</t>
  </si>
  <si>
    <t>2013: 162, 2014: 150, 2016: 136</t>
  </si>
  <si>
    <t>151023-16P</t>
  </si>
  <si>
    <t>Mark Finkel</t>
  </si>
  <si>
    <t>360 Park Avenue South</t>
  </si>
  <si>
    <t>20th Floor</t>
  </si>
  <si>
    <t>+1 (646) 435-0555</t>
  </si>
  <si>
    <t>The company raised $2 million of Series E venture funding from undisclosed investors on November 29, 2017, putting the company's pre-money valuation at $4 million. Previously, the company raised $1.5 million of Series D venture funding from undisclosed investors on April 5, 2017, putting the pre-money valuation at $48.5 million.</t>
  </si>
  <si>
    <t>AlphaPrime Ventures, Bulger Partners, Converge (Investor), Edison Partners, Hearst Ventures, Mesco, Salesforce Ventures, Windcrest Partners</t>
  </si>
  <si>
    <t>AlphaPrime Ventures(www.alphaprime.com), Bulger Partners(www.bulgerpartners.com), Converge (Investor)(www.converge.vc), Edison Partners(www.edisonpartners.com), Mesco(www.mesco-ltd.com), Windcrest Partners(www.windcrestpartners.com)</t>
  </si>
  <si>
    <t>Daversa Partners(Consulting), Gunderson Dettmer(Legal Advisor)</t>
  </si>
  <si>
    <t>Bulger Partners(Advisor: General), Gunderson Dettmer(Legal Advisor), Reitler Kailas &amp; Rosenblatt(Legal Advisor)</t>
  </si>
  <si>
    <t>117895-87</t>
  </si>
  <si>
    <t>Wunderflats</t>
  </si>
  <si>
    <t>Kamernet, Cryptopy Technologies, Nestpick, Fella Homes, HomeExchange.com, FlipKey</t>
  </si>
  <si>
    <t>Provider of an online rental portal for furnished apartments. The company's online rental portal for furnished apartments bring together tenants, landlords and companies on one platform, providing users with an easy and convenient housing as a service platform.</t>
  </si>
  <si>
    <t>Social/Platform Software*</t>
  </si>
  <si>
    <t>furnished flats, house rental</t>
  </si>
  <si>
    <t>www.wunderflats.com</t>
  </si>
  <si>
    <t>146479-96P</t>
  </si>
  <si>
    <t>Jan Hase</t>
  </si>
  <si>
    <t>jan.hase@wunderflats.com</t>
  </si>
  <si>
    <t>+49 (0)30 1208 6220</t>
  </si>
  <si>
    <t>Alexanderstr. 5</t>
  </si>
  <si>
    <t>10178</t>
  </si>
  <si>
    <t>info@wunderflats.com</t>
  </si>
  <si>
    <t>The company raised EUR 3 million of venture funding from Creathor Venture, IBB Beteiligungsgesellschaft and ECONA on November 16, 2017. Other undisclosed investors also participated in this round. The company intends to use the funds to serve new product innovations and further growth. Earlier, the company raised EUR 500,000 of Venture funding from TA Ventures, Monkfish Equity and Dr. Otto Suwelack Nachf on August 27, 2015.</t>
  </si>
  <si>
    <t>Arthur Mai, Axel Springer Digital Ventures, Björn Kolbmüller, Creathor Venture, Dr. Otto Suwelack Nachf., ECONA, Hasso Plattner Ventures, IBB Beteiligungsgesellschaft, Michael Goldapp, Microsoft ScaleUp, Monkfish Equity, Paul Schwarzenholz, TA Ventures</t>
  </si>
  <si>
    <t>Axel Springer Digital Ventures(www.axelspringerdigitalventures.com), Creathor Venture(www.creathor.com), ECONA(www.econa.com), Hasso Plattner Ventures(www.hp-ventures.com), IBB Beteiligungsgesellschaft(www.ibb-bet.de), Microsoft ScaleUp(startups.microsoft.com/en-us/scale-up), Monkfish Equity(www.monkfish-equity.com), TA Ventures(www.taventures.vc)</t>
  </si>
  <si>
    <t>52180-93</t>
  </si>
  <si>
    <t>WSO2</t>
  </si>
  <si>
    <t>Identity Automation, 3scale, TIBCO Software, Datawatch, Ayla Networks, Akana, Informatica, Tray.io, Apigee, JBoss, Logz.io, Workato, BMC Software, Hasura, Ubisecure Solutions, SnapLogic, Cazoomi, Secure Thingz, Attunity, MuleSoft, OneSaas, OneLogin, SecureAuth, Ping Identity, Jumio, Boomi, OverWatchID, Fiorano Software, Talend, Astronomer, Active Endpoints, Apiary, Couchbase, Postman, Unifi (Data Platform), Zapier, Bedrock Data, Pendo Systems, Appian, Cloud Elements, Pipemonk, Tamr, Qlik Technologies, Gluu, Axway</t>
  </si>
  <si>
    <t>Provider of an open source middleware platform. The company delivers an open source enterprise SOA middleware stack purpose-built as an integrated platform to support heterogeneous enterprise environments, both internally and in the cloud, enabling multiple project teams to create, run, and manage enterprise applications.</t>
  </si>
  <si>
    <t>Other Software*</t>
  </si>
  <si>
    <t>Cybersecurity, Internet of Things, SaaS, TMT</t>
  </si>
  <si>
    <t>cloud deployment, cloud storage, it security, middleware, open source middleware platform, security solutions, web authentication, web security, web services application, web services framework</t>
  </si>
  <si>
    <t>www.wso2.com</t>
  </si>
  <si>
    <t>2009: 5, 2010: 4, 2011: 8, 2012: 9, 2013: 18, 2014: 357, 2015: 506</t>
  </si>
  <si>
    <t>37127-80P</t>
  </si>
  <si>
    <t>Padmika Dissanaike</t>
  </si>
  <si>
    <t>Vice President, Finance</t>
  </si>
  <si>
    <t>padmika@wso2.com</t>
  </si>
  <si>
    <t>+1 (650) 745-4499</t>
  </si>
  <si>
    <t>787 Castro Street</t>
  </si>
  <si>
    <t>94041</t>
  </si>
  <si>
    <t>+1 (408) 689-4328</t>
  </si>
  <si>
    <t>The company raised $20.04 million of Series D venture funding in a deal led by Pacific Control System on August 7, 2015, putting the pre-money valuation at $180 million. Toba Capital also participate din the round.</t>
  </si>
  <si>
    <t>Cisco Investments, Intel Capital, Pacific Control Systems, Quest Innovation Accelerator, Toba Capital</t>
  </si>
  <si>
    <t>Cisco Investments(www.ciscoinvestments.com), Intel Capital(www.intelcapital.com), Pacific Control Systems(www.pacificcontrols.net), Toba Capital(www.tobacapital.com)</t>
  </si>
  <si>
    <t>Cooley(Legal Advisor), DLA Piper(Legal Advisor), Golden Impressions Marketing(Consulting), Heller Ehrman(Legal Advisor)</t>
  </si>
  <si>
    <t>Cooley(Legal Advisor), DLA Piper(Legal Advisor), Heller Ehrman(Legal Advisor)</t>
  </si>
  <si>
    <t>64454-50</t>
  </si>
  <si>
    <t>Worldsensing</t>
  </si>
  <si>
    <t>Ayla Networks, Ingenu, TASS Technology Solutions, Altizon</t>
  </si>
  <si>
    <t>Developer of application based wireless sensor networks designed to provide wireless technology services based on machine-to-machine (M2M) communications. The company's networks develop integrated software and hardware services for both smart city and industrial applications, enabling clients to obtain real-time actionable insights into city operations to improve decision making.</t>
  </si>
  <si>
    <t>Network Management Software*, Other Information Technology, Other Software</t>
  </si>
  <si>
    <t>Advanced Manufacturing, Impact Investing, Internet of Things, TMT</t>
  </si>
  <si>
    <t>impact investing vertical, internet of things, iot, smart parking, wireless sensor network</t>
  </si>
  <si>
    <t>www.worldsensing.com</t>
  </si>
  <si>
    <t>2014: 26, 2015: 31, 2016: 35, 2017: 70</t>
  </si>
  <si>
    <t>71267-23P</t>
  </si>
  <si>
    <t>Ignasi Vilajosana</t>
  </si>
  <si>
    <t>ivilajosana@worldsensing.com</t>
  </si>
  <si>
    <t>+34 93 418 0585</t>
  </si>
  <si>
    <t>Barcelona, Spain</t>
  </si>
  <si>
    <t>Viriat, 47 10th floor</t>
  </si>
  <si>
    <t>Barcelona</t>
  </si>
  <si>
    <t>08014</t>
  </si>
  <si>
    <t>Spain</t>
  </si>
  <si>
    <t>info@worldsensing.com</t>
  </si>
  <si>
    <t>Southern Europe</t>
  </si>
  <si>
    <t>The company joined Impact Accelerator as a part of its 2018 IMPACT Connected Car Program on April 30, 2018 and received EUR 60,000 in funding. Prior to that, the company raised EUR 8.3 million of Series B venture funding in a deal led by McRock Capital and ETF Partners on April 06, 2018. Cisco Investments and BR Venture Fund also participated in the round.</t>
  </si>
  <si>
    <t>ACC1O, Agència de Gestió d'Ajuts Universitaris i de Recerca, Black River Ventures, BR Venture Fund, Cisco Investments, Endeavor Global, ETF Partners, European Commission, European Union Seventh Framework Programme, Finaves, Fundacion Jose Manuel Entrecanales, Horizon 2020, IMPACT Accelerator, Inncorpora, JME Venture Capital, Kibo Ventures Partners, McRock Capital, Mitsui Sumitomo Insurance Venture Capital, Wayra</t>
  </si>
  <si>
    <t>ACC1O(www.acc10.cat), Agència de Gestió d'Ajuts Universitaris i de Recerca(agaur.gencat.cat), Black River Ventures(www.brv.vc), BR Venture Fund(www.brventurefund.com), Cisco Investments(www.ciscoinvestments.com), Endeavor Global(www.endeavor.org), ETF Partners(www.etfpartners.capital), European Commission(www.ec.europa.eu), Finaves(www.iese.edu/en/companies-institutions/supporting-startups/finaves), Fundacion Jose Manuel Entrecanales(www.fjme.org), IMPACT Accelerator(www.impact-accelerator.com), JME Venture Capital(www.jme.vc), Kibo Ventures Partners(www.kiboventures.com), McRock Capital(www.mcrockcapital.com), Wayra(de.wayra.co)</t>
  </si>
  <si>
    <t>BDO Denmark(Auditor)</t>
  </si>
  <si>
    <t>Rousaud Costas Duran(Legal Advisor)</t>
  </si>
  <si>
    <t>56145-88</t>
  </si>
  <si>
    <t>Workspot</t>
  </si>
  <si>
    <t>Extend Labs, O1 Works</t>
  </si>
  <si>
    <t>PrimaryIO, Extreme Networks, Contentful, SAP, Nginx, Avi Networks, SysAid Technologies, Matrix42, Ayla Networks, Alluxio, BCSG, FSLogix, Cohesity, Primary Data, BMC Software, Atlantis Computing, Microsoft, Maxta, Salesforce, CA Technologies, Samanage, CommVault Systems, Zendesk, Stratoscale, Plexistor, Compuverde, Odin, KEMP Technologies, Nutanix, Jamcracker, Paperspace, Cherwell Software, Splashtop, Citrix Systems, Okta, PernixData, DataCentred, StudyStream Ltd, AirWatch, Springpath, YesGraph, Cliqr, VMware</t>
  </si>
  <si>
    <t>Provider of enterprise mobility and remote access technology designed to deploy virtual desktops and application. The company delivers cloud native, next generation desktop-as-a-service (DaaS) and virtual desktop infrastructure (VDI) that can be deployed in a day, enabling IT to focus on other tasks that further their business goals.</t>
  </si>
  <si>
    <t>business data tranfer, cloud control, desktop-as-a-service, virtual desktop infrastructure</t>
  </si>
  <si>
    <t>www.workspot.com</t>
  </si>
  <si>
    <t>2012: 11, 2013: 11, 2014: 12, 2015: 28, 2016: 35</t>
  </si>
  <si>
    <t>46956-52P</t>
  </si>
  <si>
    <t>Amitabh Sinha</t>
  </si>
  <si>
    <t>Co-Founder, President, Chief Executive Officer &amp; Board Member</t>
  </si>
  <si>
    <t>amitabh@workspot.com</t>
  </si>
  <si>
    <t>+1 (888) 426-8113</t>
  </si>
  <si>
    <t>Cupertino, CA</t>
  </si>
  <si>
    <t>1601 South De Anza Boulevard</t>
  </si>
  <si>
    <t>Suite 230</t>
  </si>
  <si>
    <t>Cupertino</t>
  </si>
  <si>
    <t>95014</t>
  </si>
  <si>
    <t>The company raised $7 million of convertible debt financing from TransLink Capital on July 25, 2018.</t>
  </si>
  <si>
    <t>Cloud Capital Partners, Follow [the] Seed, Gaurav Garg, Helion Venture Partners, Ignition Partners, Kleiner Perkins, Norwest Venture Partners, Peter Wagner, Presidio Ventures, Qualcomm Ventures, Redpoint Ventures, TransLink Capital, Webb Investment Network, Wing Venture Capital, WTI</t>
  </si>
  <si>
    <t>Cloud Capital Partners(www.cloudcapitalpartners.net), Follow [the] Seed(www.followtheseed.vc), Helion Venture Partners(www.helionvc.com), Ignition Partners(www.ignitionpartners.com), Kleiner Perkins(www.kleinerperkins.com), Norwest Venture Partners(www.nvp.com), Presidio Ventures(www.presidio-ventures.com), Qualcomm Ventures(www.qualcommventures.com), Redpoint Ventures(www.redpoint.com), TransLink Capital(www.translinkcapital.com), Webb Investment Network(www.winfunding.com), Wing Venture Capital(www.wing.vc)</t>
  </si>
  <si>
    <t>Gibson, Dunn &amp; Crutcher(Legal Advisor)</t>
  </si>
  <si>
    <t>Mezzanine</t>
  </si>
  <si>
    <t>53422-57</t>
  </si>
  <si>
    <t>WorkForce Software</t>
  </si>
  <si>
    <t>PeopleNet, P&amp;I Personal &amp; Informatik, CCH Tagetik, ThinkSmart LLC, Wurk, WorkJam, LOKI Systems, Plex Systems, Movista, Aptean, The Ceridian (UK and Ireland unit), Tidemark, Paylocity, Replicon, Reflexis Systems, BetterWorks, Ramco Systems, NetSuite, Deltek, Epicor Software, Global Shop Solutions, SwipeClock, StoreForce Solutions, Centage, Lattice (Business/Productivity Software), Ceridian HCM, Zinier, Onestream Software, Insite Software Solutions, Fision (Computer Software), Ascentis, Ultimate Software Group, Datamatics Management Services, SAP Hybris, Timesoft Beheer, Infor Global Solutions, Kronos</t>
  </si>
  <si>
    <t>Provider of workforce management services for mid-size and large employers. The company provides software which helps strategic HR by automating and streamlining interactions between the employer and its workforce, helping organizations to manage payroll and processing costs.</t>
  </si>
  <si>
    <t>Automation/Workflow Software, Business/Productivity Software*</t>
  </si>
  <si>
    <t>HR Tech, SaaS, TMT</t>
  </si>
  <si>
    <t>attendance tracking system, payroll management, workforce management</t>
  </si>
  <si>
    <t>Debt Financed, Private Equity, Venture Capital</t>
  </si>
  <si>
    <t>www.workforcesoftware.com</t>
  </si>
  <si>
    <t>2014: 370, 2015: 501, 2017: 600</t>
  </si>
  <si>
    <t>136615-69P</t>
  </si>
  <si>
    <t>Bob Feller</t>
  </si>
  <si>
    <t>bfeller@workforcesoftware.com</t>
  </si>
  <si>
    <t>+44 (0)13 4439 3330</t>
  </si>
  <si>
    <t>Livonia, MI</t>
  </si>
  <si>
    <t>38705 Seven Mile Road</t>
  </si>
  <si>
    <t>Livonia</t>
  </si>
  <si>
    <t>48152</t>
  </si>
  <si>
    <t>+1 (877) 493-6723</t>
  </si>
  <si>
    <t>+1 (734) 542-0635</t>
  </si>
  <si>
    <t>info@workforcesoftware.com</t>
  </si>
  <si>
    <t>The company received $36.90 million of development capital from undisclosed investors on July 9, 2018.</t>
  </si>
  <si>
    <t>Insight Partners, K1 Investment Management, ORIX Growth Capital</t>
  </si>
  <si>
    <t>BPEA Private Equity, Triangle Capital (Raleigh)</t>
  </si>
  <si>
    <t>Insight Partners(www.insightpartners.com), K1 Investment Management(www.k1capital.com)</t>
  </si>
  <si>
    <t>BPEA Private Equity(www.bpea-pe.com)</t>
  </si>
  <si>
    <t>CMS Cameron McKenna(Legal Advisor), Lazard(Advisor: General), LDC(Debt Financing), Peterka &amp; Partners(Legal Advisor), True Capital Partners(Advisor: General)</t>
  </si>
  <si>
    <t>Golub Capital(Debt Financing), Golub Capital BDC(Debt Financing), Lazard(Advisor: General), Miller Canfield(Legal Advisor), Seven Hills Group(Advisor: General), Triangle Capital (Raleigh)(Debt Financing)</t>
  </si>
  <si>
    <t>PE Growth/Expansion</t>
  </si>
  <si>
    <t>61664-77</t>
  </si>
  <si>
    <t>Workboard</t>
  </si>
  <si>
    <t>LiquidPlanner, One2team, Workfront, Badgeville, SugarCRM, Pipedrive, AchieveIt, Align Today, Flow Technologies, Mavenlink, PeopleFluent, OnStrategy, Sharpcloud, Khorus Software, Perdoo, Clarizen, BetterWorks, Envisio, Rhythm Systems, Teamphoria</t>
  </si>
  <si>
    <t>Provider of an active strategy management platform designed to align on business objectives and accelerate results. The company's platform brings objectives, results, actions and meetings together, enabling organizations and teams to sustain strategic and operational advantages.</t>
  </si>
  <si>
    <t>Automation/Workflow Software, Business/Productivity Software*, Media and Information Services (B2B)</t>
  </si>
  <si>
    <t>business automation, business productivity, collaboration, execution intelligence, okr, strategy and communication</t>
  </si>
  <si>
    <t>www.workboard.com</t>
  </si>
  <si>
    <t>2014: 9, 2015: 13, 2017: 23</t>
  </si>
  <si>
    <t>39788-11P</t>
  </si>
  <si>
    <t>Deidre Paknad</t>
  </si>
  <si>
    <t>deidre@workboard.com</t>
  </si>
  <si>
    <t>+1 (650) 804-0040</t>
  </si>
  <si>
    <t>487 Seaport Court</t>
  </si>
  <si>
    <t>+1 (650) 294-4480</t>
  </si>
  <si>
    <t>The company raised $23 million of Series B venture funding in a deal led by GGV Capital on March 20, 2019, putting the company's pre-money valuation at $92 million. M12, Workday Ventures, Opus Capital, Floodgate Fund and other undisclosed investors also participated in the round. The company intends to use the funds to invest in the platform and technology and grow its sales and services organizations.</t>
  </si>
  <si>
    <t>Cherry Tree Investments, Crosslink Capital, Floodgate Fund, GGV Capital, Granite Ventures, M12, Opus Capital, Rusty Rueff, Shea Ventures, Workday Ventures</t>
  </si>
  <si>
    <t>Cherry Tree Investments(www.cherrytree.vc), Crosslink Capital(www.crosslinkcapital.com), Floodgate Fund(www.floodgate.com), GGV Capital(www.ggvc.com), Granite Ventures(www.granitevc.com), M12(www.m12.vc), Opus Capital(www.opuscapitalventures.com)</t>
  </si>
  <si>
    <t>Goodwin(Legal Advisor)</t>
  </si>
  <si>
    <t>Goodwin(Legal Advisor), Silicon Legal Strategy(Legal Advisor)</t>
  </si>
  <si>
    <t>104504-05</t>
  </si>
  <si>
    <t>Workato</t>
  </si>
  <si>
    <t>OneSaas, Tray.io, Astronomer, Adeptia, Qlik Technologies, Cloutex, Apigee, Ayla Networks, Missions, Bedrock Data, SnapLogic, IFTTT, Cloud Elements, TechLine Communications, Cazoomi, Elastic.io, MuleSoft, Alteryx, Jitterbit, Talend, InfluxData, Boomi, Pipemonk, Tamr, mParticle, Conversocial, Alooma, Liaison, Unifi (Data Platform)</t>
  </si>
  <si>
    <t>Developer of an integration platform designed to automate businesses. The company offers a cloud-native, consumer-scale platform that can handle app, data, API, integrations and process automation, enabling IT and business users (like App Admins, Business Analysts, Biz Ops) to build integrations and automation while providing the tools to IT to manage and govern them.</t>
  </si>
  <si>
    <t>Automation/Workflow Software*</t>
  </si>
  <si>
    <t>api integration, app connection, app integration, business critical integrations, cloud integration, cloud integration platform, data integration, open integration, saas application integration platform</t>
  </si>
  <si>
    <t>www.workato.com</t>
  </si>
  <si>
    <t>36296-02P</t>
  </si>
  <si>
    <t>Thomas Ream</t>
  </si>
  <si>
    <t>tom@workato.com</t>
  </si>
  <si>
    <t>+1 (844) 469-6752</t>
  </si>
  <si>
    <t>20450 Stevens Creek</t>
  </si>
  <si>
    <t>Boulevard 150</t>
  </si>
  <si>
    <t>info@workato.com</t>
  </si>
  <si>
    <t>The company raised $25 million through a combination of Series B1 and Series B2 venture funding from Workday Ventures, ServiceNow and Battery Ventures on December 5, 2018, putting the company's pre-money valuation at $120 million. Storm Ventures also participated in the round. The funds will be used to integrate data across cloud and legacy apps, automate full business processes like employee onboarding or order-to-cash, deploy artificial Intelligence and machine learning powered bots and deliver integration and automation projects 10x faster.</t>
  </si>
  <si>
    <t>Anshu Sharma, Battery Ventures, Bhaskar Roy, Rishi Mallik, Salesforce Ventures, ServiceNow, Storm Ventures, Workday Ventures</t>
  </si>
  <si>
    <t>Battery Ventures(www.battery.com), ServiceNow(www.servicenow.com), Storm Ventures(www.stormventures.com)</t>
  </si>
  <si>
    <t>Silicon Legal Strategy(Legal Advisor)</t>
  </si>
  <si>
    <t>103623-94</t>
  </si>
  <si>
    <t>Wootric</t>
  </si>
  <si>
    <t>AskNicely, Catalyst Software, Service Management Group (SMG), ChurnZero, Gainsight, Bolstra, Apptentive, ForeSee Results, Totango, Promoter.io, InMoment, Medallia, UserTesting, StepOne, Usabilla, ResponseTek, CloudCherry, UserZoom, Delighted, Enprecis Group</t>
  </si>
  <si>
    <t>Developer of a net promoter score platform designed to help companies to boost customer happiness. The company's net promoter score platform analyzes customer satisfaction and customer effort scores with surveys inside their web and native mobile application via email and SMS, enabling clients to get a real-time, accurate measure of customer sentiment with off-the-charts response rates and thus promote the satisfaction level of the customers.</t>
  </si>
  <si>
    <t>Application Software, Business/Productivity Software, Social/Platform Software*</t>
  </si>
  <si>
    <t>customer centric platform, customer loyalty, customer sentiment, demand generation, nets promoter score platform</t>
  </si>
  <si>
    <t>www.wootric.com</t>
  </si>
  <si>
    <t>133244-83P</t>
  </si>
  <si>
    <t>Deepa Subramanian</t>
  </si>
  <si>
    <t>deepa@wootric.com</t>
  </si>
  <si>
    <t>3616 18th Street</t>
  </si>
  <si>
    <t>Apartment 1</t>
  </si>
  <si>
    <t>94110</t>
  </si>
  <si>
    <t>The company raised an estimated $3 million of Series A2 venture funding from Alumni Ventures Group, Salesforce Ventures, and other undisclosed investors on December 9, 2016, putting the company's pre-money valuation at $10 million.</t>
  </si>
  <si>
    <t>Alumni Ventures Group, ArcheMatrix Ventures, Array Ventures, Cloud Apps Capital Partners, CSC UpShot Ventures, Green D Ventures, Salesforce Ventures, The Salesforce Incubator</t>
  </si>
  <si>
    <t>Alumni Ventures Group(www.avgfunds.com), ArcheMatrix Ventures(www.archematrix.com), Array Ventures(www.array.vc), Cloud Apps Capital Partners(www.cloudappscapital.com), CSC UpShot Ventures(www.csc-upshot.vc), Green D Ventures(www.greendventures.com)</t>
  </si>
  <si>
    <t>Series A2</t>
  </si>
  <si>
    <t>57248-38</t>
  </si>
  <si>
    <t>Wongnai</t>
  </si>
  <si>
    <t>GTW Holdings, Zomato</t>
  </si>
  <si>
    <t>Operator of an online platform for restaurant review, beauty salon and spa in Thailand. The company's restaurant review application publishes customer reviews of restaurants, enables the users search for restaurants by location and category and with user generated reviews.</t>
  </si>
  <si>
    <t>FoodTech, Restaurant Technology, TMT</t>
  </si>
  <si>
    <t>customer feedback, restaurant information, restaurant review, spa beauty salon</t>
  </si>
  <si>
    <t>www.wongnai.com</t>
  </si>
  <si>
    <t>2014: 11, 2016: 51</t>
  </si>
  <si>
    <t>49937-59P</t>
  </si>
  <si>
    <t>Yod Chinsupakul</t>
  </si>
  <si>
    <t>Chief Executive Officer and Co-Founder</t>
  </si>
  <si>
    <t>yod@wongnai.com</t>
  </si>
  <si>
    <t>+66 (0)2 7135922</t>
  </si>
  <si>
    <t>Bangkok, Thailand</t>
  </si>
  <si>
    <t>117 / 8,12,13,16,17 Panchit Tower, 5th, 9th, 10th, 14th, 15th Floor</t>
  </si>
  <si>
    <t>Sukhumvit 55, Sukhumvit Road, Klongtonnua, Wattana</t>
  </si>
  <si>
    <t>Bangkok</t>
  </si>
  <si>
    <t>10110</t>
  </si>
  <si>
    <t>Thailand</t>
  </si>
  <si>
    <t>info@wongnai.com</t>
  </si>
  <si>
    <t>Southeast Asia</t>
  </si>
  <si>
    <t>The company joined Google Developers Launchpad in November, 2016. Previously, the company raised THB 30 million of Series B venture funding in a deal led by InVent on April 27, 2016, putting the company's pre money valuation at THB 270 million.</t>
  </si>
  <si>
    <t>Google Developers Launchpad, InVent by Intouch Holding, Recruit Strategic Partners</t>
  </si>
  <si>
    <t>Google Developers Launchpad(developers.google.com/programs/launchpad), InVent by Intouch Holding(www.inventvc.com), Recruit Strategic Partners(recruitstrategicpartners.com)</t>
  </si>
  <si>
    <t>169329-61</t>
  </si>
  <si>
    <t>Wondery</t>
  </si>
  <si>
    <t>Gimlet Media, HowStuffWorks, Movie Pilot</t>
  </si>
  <si>
    <t>Operator of a podcast network intended to connect storytellers to a world of entertainment and knowledge. The company's network provides on-demand audio service and creates and curates immersive podcasts in the entertainment, true crime, personal growth, business and history verticals, enabling writers to get a new storytelling medium with increased exposure along with advertising representation.</t>
  </si>
  <si>
    <t>Publishing</t>
  </si>
  <si>
    <t>Movies, Music and Entertainment, Publishing*, Social/Platform Software</t>
  </si>
  <si>
    <t>audio storytelling, podcast network, podcasting, podcasting platform, storytelling platform</t>
  </si>
  <si>
    <t>www.wondery.com</t>
  </si>
  <si>
    <t>2017: 8, 2018: 17, 2019: 30</t>
  </si>
  <si>
    <t>106837-75P</t>
  </si>
  <si>
    <t>Hernan Lopez</t>
  </si>
  <si>
    <t>hernan@wondery.com</t>
  </si>
  <si>
    <t>+1 (424) 324-2464</t>
  </si>
  <si>
    <t>West Hollywood, CA</t>
  </si>
  <si>
    <t>9229 Sunset Boulevard</t>
  </si>
  <si>
    <t>Suite 820</t>
  </si>
  <si>
    <t>West Hollywood</t>
  </si>
  <si>
    <t>90069</t>
  </si>
  <si>
    <t>iwonder@wondery.com</t>
  </si>
  <si>
    <t>The company raised $4.93 million of Series A venture funding in a deal led by Greycroft, Lerer Hippeau Ventures and Advancit Capital on March 28, 2018, putting the company's pre-money valuation at $18.07 million. Fox Networks Group, Bertelsmann Digital Media Investments, Patagonia Ventures, Watertower Ventures, BAM Ventures, Michael Kassan and Stanley Shuman also participated in the round. The company intends to use the funding to expand its lineup of original podcasts and grow the audience of existing original and partner shows.</t>
  </si>
  <si>
    <t>Advancit Capital, BAM Ventures, Bertelsmann Digital Media Investments, Fox Networks Group, Greycroft, Lerer Hippeau, Michael Kassan, NXTP Labs, Patagonia Ventures, Stanley Shuman, Watertower Ventures</t>
  </si>
  <si>
    <t>Advancit Capital(www.advancitcapital.com), BAM Ventures(www.bam.vc), Bertelsmann Digital Media Investments(www.bdmifund.com), Fox Networks Group(www.fxnetworks.com), Greycroft(www.greycroft.com), Lerer Hippeau(www.lererhippeau.com), NXTP Labs(www.nxtplabs.com), Patagonia Ventures(www.patagoniaventures.com), Watertower Ventures(www.watertowerventures.com)</t>
  </si>
  <si>
    <t>228330-01</t>
  </si>
  <si>
    <t>WonderBill</t>
  </si>
  <si>
    <t>Developer of a bills management application designed to store and secure all household bills in one place. The company's application manages household bills, tracks outgoing payments and finds great provider deals for gas, electricity, mobile, tv, landline and broadband, keeps track of monthly spending by viewing statements and downloading bill PDFs, compare previous bills with current and upcoming payments, enabling users to store and access all bills, thereby being able to monitor and meet their monthly financial needs.</t>
  </si>
  <si>
    <t>Financial Software*</t>
  </si>
  <si>
    <t>bill management, bill management application, bill payment gateway, bill tracking, budget management application, expense tracking application, spending analysis</t>
  </si>
  <si>
    <t>www.wonderbill.com</t>
  </si>
  <si>
    <t>2017: 42, 2018: 50</t>
  </si>
  <si>
    <t>68172-85P</t>
  </si>
  <si>
    <t>Claire Martin</t>
  </si>
  <si>
    <t>Chief Financial Officer &amp; Chief Operating Officer</t>
  </si>
  <si>
    <t>claire.martin@wonderbill.com</t>
  </si>
  <si>
    <t>40 Bank Street</t>
  </si>
  <si>
    <t>Canary Wharf</t>
  </si>
  <si>
    <t>E14 5NR</t>
  </si>
  <si>
    <t>The company raised GBP 5.42 million of venture funding through a combination of debt and equity from Shell Ventures and BCG Digital Ventures on July 17, 2018, putting the pre-money valuation at GBP 12.11 million.</t>
  </si>
  <si>
    <t>BCG Digital Ventures, NEF Fast Track, Shell Ventures</t>
  </si>
  <si>
    <t>BCG Digital Ventures(www.bcgdv.com), NEF Fast Track(www.centreforentrepreneurs.org)</t>
  </si>
  <si>
    <t>EY(Auditor)</t>
  </si>
  <si>
    <t>100100-26</t>
  </si>
  <si>
    <t>Wonder</t>
  </si>
  <si>
    <t>Fancy Hands, Quora, Curiosity</t>
  </si>
  <si>
    <t>Provider of online learning application designed to offer research assistance services. The company's online learning application offers answers to questions that don't have a simple, straightforward answer and for inquiries that desire a deeper understanding and multiple points of view, providing expert researchers with answers that saves time in finding stats, discovering insights and building lists.</t>
  </si>
  <si>
    <t>EdTech, TMT</t>
  </si>
  <si>
    <t>centric guidance, learning application, online learning, personal research, research analysis, research service</t>
  </si>
  <si>
    <t>www.askwonder.com</t>
  </si>
  <si>
    <t>News (New) , Competitor (New) Fancy Hands</t>
  </si>
  <si>
    <t>48105-37P</t>
  </si>
  <si>
    <t>Justin Wohlstadter</t>
  </si>
  <si>
    <t>justin@wonderlib.com</t>
  </si>
  <si>
    <t>625 Broadway, 12th Floor</t>
  </si>
  <si>
    <t>10012</t>
  </si>
  <si>
    <t>contact@askwonder.com</t>
  </si>
  <si>
    <t>The company raised an estimated $12.6 million of Series A venture financing from ff Venture Capital, GC VR Gaming Tracker Fund, Boldstart Ventures and First Round Capital on June 30, 2017, putting the company's pre-money valuation at $47.4 million.</t>
  </si>
  <si>
    <t>Bertelsmann Digital Media Investments, Betaworks, Bloomberg Beta, Boldstart Ventures, ff Venture Capital, First Round Capital, GC VR Gaming Tracker Fund, Montage Ventures, Tribeca Venture Partners</t>
  </si>
  <si>
    <t>Bertelsmann Digital Media Investments(www.bdmifund.com), Betaworks(www.betaworks.com), Bloomberg Beta(www.bloombergbeta.com), Boldstart Ventures(www.boldstart.vc), ff Venture Capital(www.ffvc.com), First Round Capital(www.firstround.com), Montage Ventures(www.montageventures.com), Tribeca Venture Partners(www.tribecavp.com)</t>
  </si>
  <si>
    <t>155314-63</t>
  </si>
  <si>
    <t>WizDish</t>
  </si>
  <si>
    <t>ROVR</t>
  </si>
  <si>
    <t>Developer of a virtual reality locomotion platform. The company develops a locomotion platform which allows users to walk or run in VR worlds.</t>
  </si>
  <si>
    <t>Recreational Goods</t>
  </si>
  <si>
    <t>Other Consumer Durables, Recreational Goods*</t>
  </si>
  <si>
    <t>Gaming</t>
  </si>
  <si>
    <t>locomotion platform, treadmill, vr gaming</t>
  </si>
  <si>
    <t>www.wizdish.com</t>
  </si>
  <si>
    <t>130284-10P</t>
  </si>
  <si>
    <t>Julian Williams</t>
  </si>
  <si>
    <t>julian.williams@wizdish.com</t>
  </si>
  <si>
    <t>Chalfont Saint Peter, United Kingdom</t>
  </si>
  <si>
    <t>7 Orchard Grove</t>
  </si>
  <si>
    <t>Chalfont Saint Peter</t>
  </si>
  <si>
    <t>SL9 9EU</t>
  </si>
  <si>
    <t>info@wizdish.com</t>
  </si>
  <si>
    <t>The company joined Virgin Media Accelerator and received $20,000 in funding on March 10, 2016. As a part of joining Virgin Media Accelerator the company received funding from Techstars and Liberty Global Ventures.</t>
  </si>
  <si>
    <t>Liberty Global Ventures, Techstars, Virgin Media Business</t>
  </si>
  <si>
    <t>Techstars(www.techstars.com), Virgin Media Business(www.virginmediabusiness.co.uk)</t>
  </si>
  <si>
    <t>Kickstarter(Lead Manager or Arranger)</t>
  </si>
  <si>
    <t>Product Crowdfunding</t>
  </si>
  <si>
    <t>Failed/Cancelled</t>
  </si>
  <si>
    <t>52311-52</t>
  </si>
  <si>
    <t>WiTricity</t>
  </si>
  <si>
    <t>uBeam, Energous</t>
  </si>
  <si>
    <t>Developer of a wireless charging system designed for electric cars and plug-in hybrids. The company's wireless charging system includes manufacturing of devices for wireless energy transfer using resonant energy transfer based on oscillating magnetic fields for mobile device charging, wireless batteries, retail packaging, lighting, EV and HEV wireless charging, in-vehicle mobile device charging and others, enabling wireless power transfer over distance using magnetic resonance.</t>
  </si>
  <si>
    <t>Electronic Components</t>
  </si>
  <si>
    <t>Electronic Components*, General Purpose Semiconductors</t>
  </si>
  <si>
    <t>wireless charging device, wireless charging platform, wireless charging product, wireless charging technology, wireless energy transfer systems</t>
  </si>
  <si>
    <t>www.witricity.com</t>
  </si>
  <si>
    <t>2014: 55, 2018: 55</t>
  </si>
  <si>
    <t>66869-11P</t>
  </si>
  <si>
    <t>Donald Peck</t>
  </si>
  <si>
    <t>don.peck@witricity.com</t>
  </si>
  <si>
    <t>+1 (617) 926-2700</t>
  </si>
  <si>
    <t>Watertown, MA</t>
  </si>
  <si>
    <t>57 Water Street</t>
  </si>
  <si>
    <t>Watertown</t>
  </si>
  <si>
    <t>02472</t>
  </si>
  <si>
    <t>+1 (617) 926-2745</t>
  </si>
  <si>
    <t>info@witricity.com</t>
  </si>
  <si>
    <t>The company raised an estimated $21 million of Series G2 venture funding on an undisclosed date, putting the company's pre-money valuation at $329 million. Previously, the company raised $21.23 million of venture funding on an undisclosed date. Prior to that, the company raised $21.88 million of Series F venture funding in a deal led by Stage 1 Ventures on March 1, 2015, putting the pre-money valuation at $250 million. Foley Ventures, Stex25, Chartline Capital Partners, Delta Electronics, Haiyin Venture Partners and Systech Electronics also participated in this round.</t>
  </si>
  <si>
    <t>ACE &amp; Company, Argonaut Ventures, Chartline Capital Partners, China Everbright, Delta Electronics, Foley Ventures, Foxconn Technology Group, GE Ventures, Haier, Haiyin Venture Partners, Intel Capital, OMZEST Group, Schlumberger Technology Investments, Stage 1 Ventures, Stata Venture Partners, Stex25, Systech Electronics, Toyota Motor</t>
  </si>
  <si>
    <t>ACE &amp; Company(www.aceandcompany.com), Argonaut Ventures(www.argonautventures.com), Chartline Capital Partners(www.chartline.com), China Everbright(www.everbright.com), Delta Electronics(www.deltaww.com), Foley Ventures(www.foleyventures.com), Foxconn Technology Group(www.foxconn.com/index_En.html), GE Ventures(www.geventures.com), Haier(www.haier.hk), Haiyin Venture Partners(www.haiyinfund.com), Intel Capital(www.intelcapital.com), OMZEST Group(www.omzest.com), Stage 1 Ventures(www.stage1ventures.com), Stex25(startupexchange.mit.edu), Systech Electronics(www.d-toi.com), Toyota Motor(www.toyota.co.jp)</t>
  </si>
  <si>
    <t>Morgan, Lewis &amp; Bockius(Legal Advisor)</t>
  </si>
  <si>
    <t>Canaccord Genuity(Advisor: General), Morgan, Lewis &amp; Bockius(Legal Advisor)</t>
  </si>
  <si>
    <t>117068-59</t>
  </si>
  <si>
    <t>Within (Virtual reality)</t>
  </si>
  <si>
    <t>Vrse</t>
  </si>
  <si>
    <t>Dreamscape Immersive, Baobab (Entertainment Software), The Void, Vrideo, Mativision, Sandbox VR, Tyffon, Against Gravity, NextVR, Virtuix, VRChat, AltSpaceVR, Virtalis, vTime, BigScreen, EON Reality, Livelike</t>
  </si>
  <si>
    <t>Developer of a virtual reality (VR) content and technology platform designed to explore and expand the potential of immersive storytelling. The company's virtual reality (VR) content and technology platform creates and distributes story-driven experiences in virtual reality, enabling users to experience extraordinary stories in virtual reality and improve their viewing experience.</t>
  </si>
  <si>
    <t>Application Software, Entertainment Software*, Movies, Music and Entertainment</t>
  </si>
  <si>
    <t>Mobile, TMT, Virtual Reality</t>
  </si>
  <si>
    <t>virtual media technology, virtual reality, virtual reality platform, virtual stories</t>
  </si>
  <si>
    <t>www.with.in</t>
  </si>
  <si>
    <t>2015: 22, 2016: 19</t>
  </si>
  <si>
    <t>115660-27P</t>
  </si>
  <si>
    <t>Chris Milk</t>
  </si>
  <si>
    <t>chris@with.in</t>
  </si>
  <si>
    <t>+1 (310) 664-1400</t>
  </si>
  <si>
    <t>Los Angeles, CA</t>
  </si>
  <si>
    <t>823 Seward Street</t>
  </si>
  <si>
    <t>Los Angeles</t>
  </si>
  <si>
    <t>90038</t>
  </si>
  <si>
    <t>hello@with.in</t>
  </si>
  <si>
    <t>The company raised $40 million of Series B venture funding in a deal led by Temasek Holdings and Emerson Collective on July 26, 2017, putting the pre-money valuation at $110 million. Andreessen Horowitz, 21st Century Fox, Raine Ventures, Macro Ventures and WPP Ventures also participated in the round. The company will use the funds for the development of augmented reality, or AR, experiences.</t>
  </si>
  <si>
    <t>21st Century Fox, Andreessen Horowitz, Annapurna Pictures, Emerson Collective, Endeavor, Freelands Ventures, Gordon Rubenstein, Legendary Entertainment, Live Nation Entertainment, Macro Ventures, Marker, Raine Ventures, Steve Chen, Temasek Holdings, Tribeca Enterprises, VICE Media, WME Ventures, WPP Ventures</t>
  </si>
  <si>
    <t>21st Century Fox(www.21cf.com), Andreessen Horowitz(www.a16z.com), Annapurna Pictures(www.annapurna.pictures), Emerson Collective(www.emersoncollective.com), Endeavor(www.endeavorco.com), Freelands Ventures(www.freelandsventures.com), Legendary Entertainment(www.legendary.com), Live Nation Entertainment(www.livenationentertainment.com), Marker(www.marker-llc.com), Temasek Holdings(www.temasek.com.sg), Tribeca Enterprises(www.tribecafilm.com), VICE Media(www.vice.com), WME Ventures(www.wmevc.com)</t>
  </si>
  <si>
    <t>Cooley(Legal Advisor), Stubbs Alderton &amp; Markiles(Legal Advisor)</t>
  </si>
  <si>
    <t>53780-77</t>
  </si>
  <si>
    <t>Wish</t>
  </si>
  <si>
    <t>Tradesy, Letgo, Flipkart, Snapdeal, AHAlife, Spring, Nuji, Hollar, Poshmark, Wanelo, Lyst, Bombfell, ShopClues.com, Frank &amp; Oak, WANT, Romwe, Tophatter</t>
  </si>
  <si>
    <t>Provider of a mobile e-commerce platform designed to sell items directly from the manufacturer. The company's platform offers digital shopping by leveraging a global supply chain of direct suppliers and avoiding retail overhead costs, enabling individual users to buy directly using their smartphones.</t>
  </si>
  <si>
    <t>Internet Retail*</t>
  </si>
  <si>
    <t>E-Commerce, Mobile, TMT</t>
  </si>
  <si>
    <t>content discovery, digital shopping, ecommerce platform business, e-shopping portal, mobile shopping, personalized shopping</t>
  </si>
  <si>
    <t>www.wish.com</t>
  </si>
  <si>
    <t>2014: 38, 2015: 900</t>
  </si>
  <si>
    <t>39964-51P</t>
  </si>
  <si>
    <t>Thomas Chuang</t>
  </si>
  <si>
    <t>thomas@wish.com</t>
  </si>
  <si>
    <t>+1 (800) 266-0172</t>
  </si>
  <si>
    <t>1 Sansome Street</t>
  </si>
  <si>
    <t>94104</t>
  </si>
  <si>
    <t>An undisclosed investor sold its stake in the company to All Blue Capital and Growth Technology Partners. Previously, the company raised an estimated $250 million of venture funding from Wellington Management, Tower Equity and existing investors on September 15, 2017, putting the company's pre-money valuation at an estimated $8 billion. Atlas Ventures and Western Technology Investment also participated in this round.</t>
  </si>
  <si>
    <t>8VC, Acequia Capital, AFSquare, All Blue Capital, Alpha Venture Partners, AME Cloud Ventures, Bill Tai, Caffeinated Capital, Charles River Ventures, Cherubic Ventures, China Everbright, China Growth Capital, Digital Garage, Digital Horizon Capital, DST Global, Elad Gil, Emil Capital Partners, Felicis Ventures, FJ Labs, Formation 8, Founders Fund, GGV Capital, Gil Elbaz, Growth Technology Partners, Hank Vigil, IDG Capital, IT-Farm, Jared Leto, JD.com, Keith Rabois, Legend Capital, Michael Stoppelman, Morado Venture Partners, Naval Ravikant, Nils Johnson, Nima Capital, Paige Craig, Paul Bricault, Raptor Group, Raymond Tonsing, Richard Lanman, Sizhao Yang, Steve Chen, SV Angel, Temasek Holdings, Tengelmann Ventures, TenOneTen Ventures, Third Point Ventures, Transmedia Capital, Western Technology Investment, XG Ventures</t>
  </si>
  <si>
    <t>8VC(www.8vc.com), Acequia Capital(acecap.com), AFSquare(afsquare.com), All Blue Capital(www.allbluecapital.com), Alpha Venture Partners(www.alphavp.com), AME Cloud Ventures(www.amecloudventures.com), Bill Tai(www.about.me/BillTai), Caffeinated Capital(www.caffeinatedcapital.com), Charles River Ventures(www.crv.com), Cherubic Ventures(www.cherubic.com), China Everbright(www.everbright.com), China Growth Capital(www.chinagrowthcapital.com), Digital Garage(www.garage.co.jp), Digital Horizon Capital(www.dh.vc), DST Global(www.dst-global.com), Emil Capital Partners(www.emilcapitalpartners.com), Felicis Ventures(www.felicis.com), FJ Labs(www.fjlabs.com), Formation 8(www.formation8.com), Founders Fund(www.foundersfund.com), GGV Capital(www.ggvc.com), Growth Technology Partners(www.growthtechnologypartners.com), IDG Capital(en.idgcapital.com), IT-Farm(www.it-farm.com), JD.com(www.jd.com), Legend Capital(www.legendcapital.com.cn), Morado Venture Partners(www.moradoventures.com), Nima Capital(www.nimacap.com), Raptor Group(www.raptorgroup.com), Raymond Tonsing(www.angel.co/tonsing), SV Angel(www.svangel.com), Temasek Holdings(www.temasek.com.sg), Tengelmann Ventures(www.tev.de), TenOneTen Ventures(www.tenoneten.net), Third Point Ventures(www.thirdpointventures.com), Transmedia Capital(www.transmediacapital.com), Western Technology Investment(www.westerntech.com), XG Ventures(www.xg-ventures.com)</t>
  </si>
  <si>
    <t>Series H</t>
  </si>
  <si>
    <t>56980-81</t>
  </si>
  <si>
    <t>Wirescan</t>
  </si>
  <si>
    <t>Provider of products and services designed to help in diagnosis and condition monitoring of cables. The company's products and services are non-destructive real-time monitoring systems of installed electric cables which measure and monitors cables within a long range, enabling clients to test objects in a fast and simple way.</t>
  </si>
  <si>
    <t>Other Communications and Networking</t>
  </si>
  <si>
    <t>Electrical Equipment, Fiberoptic Equipment, Other Communications and Networking*</t>
  </si>
  <si>
    <t>cable diagnostic tools, cable monitoring, monitoring equipment, real time monitoring system</t>
  </si>
  <si>
    <t>www.wirescan.no</t>
  </si>
  <si>
    <t>2014: 23, 2016: 5</t>
  </si>
  <si>
    <t>115533-37P</t>
  </si>
  <si>
    <t>Morten Huseby</t>
  </si>
  <si>
    <t>Chief Executive Officer &amp; General Manager</t>
  </si>
  <si>
    <t>mh@wirescan.no</t>
  </si>
  <si>
    <t>+47 95 74 34 70</t>
  </si>
  <si>
    <t>Trollaasen, Norway</t>
  </si>
  <si>
    <t>Rosenholmveien 25</t>
  </si>
  <si>
    <t>Trollaasen</t>
  </si>
  <si>
    <t>1414</t>
  </si>
  <si>
    <t>info@wirescan.no</t>
  </si>
  <si>
    <t>The company raised $600,000 of seed funding from Next47, Siemens and Schlumberger Technology Investments on June 6, 2018, putting the company's pre-money valuation at $12 million. SakorninVest and Procom Venture also participated in the round.</t>
  </si>
  <si>
    <t>Institute of Energy Technology, Next47, Procom Venture, SakorninVest, Schlumberger Technology Investments, Siemens</t>
  </si>
  <si>
    <t>Convexa</t>
  </si>
  <si>
    <t>Institute of Energy Technology(www.ife.no), Next47(Next47.com), Procom Venture(www.procomventure.no), SakorninVest(www.sakorn.no), Siemens(new.siemens.com)</t>
  </si>
  <si>
    <t>Convexa(www.convexa.com)</t>
  </si>
  <si>
    <t>51413-50</t>
  </si>
  <si>
    <t>Wireless Seismic</t>
  </si>
  <si>
    <t>Provider of wireless seismic recording systems designed to confirm the quality and fidelity of data. The company's wireless seismic recording systems enhance the success of their customers' onshore seismic exploration efforts by providing environmentally, commercially and technically superior real-time wireless recording systems, enabling contractors to efficiently tackle the most challenging projects by delivering commercially compelling services for conventional surveys and passive monitoring for hydraulic fracturing.</t>
  </si>
  <si>
    <t>Other Commercial Products</t>
  </si>
  <si>
    <t>Other Commercial Products*, Other Communications and Networking, Wireless Communications Equipment</t>
  </si>
  <si>
    <t>data collection, data equipment, radio frequency technology, transmission system, wireless seismic data</t>
  </si>
  <si>
    <t>www.wirelessseismic.com</t>
  </si>
  <si>
    <t>2011: 73, 2012: 103, 2013: 75, 2014: 65, 2016: 51</t>
  </si>
  <si>
    <t>50135-68P</t>
  </si>
  <si>
    <t>Doug Crice</t>
  </si>
  <si>
    <t>Founder &amp; Consultant</t>
  </si>
  <si>
    <t>dcrice@wirelessseismic.com</t>
  </si>
  <si>
    <t>+1 (832) 532-5080</t>
  </si>
  <si>
    <t>Sugar Land, TX</t>
  </si>
  <si>
    <t>13100 Southwest Freeway</t>
  </si>
  <si>
    <t>Suite 150</t>
  </si>
  <si>
    <t>Sugar Land</t>
  </si>
  <si>
    <t>77478</t>
  </si>
  <si>
    <t>+1 (281) 277-7804</t>
  </si>
  <si>
    <t>info@wirelessseismic.com</t>
  </si>
  <si>
    <t>The company raised $5.05 million of venture funding from Total Energy Ventures (NYSE: TOT), Energy Ventures and other undisclosed investors on February 2, 2016.</t>
  </si>
  <si>
    <t>Chesapeake NG Ventures, EV Private Equity, Total Energy Ventures</t>
  </si>
  <si>
    <t>EV Private Equity(www.evprivateequity.no)</t>
  </si>
  <si>
    <t>104632-48</t>
  </si>
  <si>
    <t>Winmore</t>
  </si>
  <si>
    <t>Lanetix</t>
  </si>
  <si>
    <t>Appian, Marketo, Keap (Saas Platform), FXiaoKe, Base (Sales Platform), FinancialForce, Alteryx, Commence, Bizagi, Pegasystems, Alfresco Software, Salesforce, Appiyo, Kenandy, Bullhorn, Wrike, SAP, Adobe Systems, Advanced Computer Software Group, Ramco Systems, Deltek, Aptean, Salesfusion, Infor Global Solutions, Bpm'online, Epicor Software, NetSuite, Hatchbuck, JobDiva, Act-On, Zendesk, Maximizer Software, Pipedrive, Close.io, iWeb Technology Solutions, ClinchPad, Anaplan, Erecruit Holdings, FreshBooks, Exact Software, PipelineDeals, Pipelinersales, OneLogin, Unit4, InsideView, Nimble, ServiceNow, SugarCRM, Brightpearl, Insightly, Evariant, Podio, Satuit Technologies, Qubit (Social/Platform Software)</t>
  </si>
  <si>
    <t>Developer of cloud-based collaboration, customer lifecycle and digital process automation platform intended to redefine customer lifecycle and collaboration strategies. The company's CRM software helps with business process automation, improves collaboration through chat, enables dynamic project management, provides business analytics and more, helping logistics companies improve their operating margin, bring new products and services to market faster and accelerate digital transformation.</t>
  </si>
  <si>
    <t>Industrials, Mobile, SaaS, TMT</t>
  </si>
  <si>
    <t>cloud erp, cloud services, collaboration platform, crm suites, sales productivity, workflow and collaboration platform, workflow platform, workflow service</t>
  </si>
  <si>
    <t>www.winmore.app</t>
  </si>
  <si>
    <t>2015: 33, 2016: 52</t>
  </si>
  <si>
    <t>45591-58P</t>
  </si>
  <si>
    <t>Aaron Sasson</t>
  </si>
  <si>
    <t>Co-Founder &amp; Chairman</t>
  </si>
  <si>
    <t>aaron.sasson@primeracapital.com</t>
  </si>
  <si>
    <t>+1 (408) 475-4562</t>
  </si>
  <si>
    <t>575 Sutter Street</t>
  </si>
  <si>
    <t>Third Floor</t>
  </si>
  <si>
    <t>94102</t>
  </si>
  <si>
    <t>+1 (415) 926-8142</t>
  </si>
  <si>
    <t>info@lanetix.com</t>
  </si>
  <si>
    <t>The company raised $18 million of Series B venture funding from B Capital Group, Sigma Partners and Jackson Square Ventures on April 20, 2016, putting the company's pre-money valuation at $16 million. Reinhard Lange, William Fisher and other undisclosed investors also participated in the round.</t>
  </si>
  <si>
    <t>B Capital Group, Jackson Square Ventures, Plug and Play Tech Center, Primera Capital (Venture Capital), Reinhard Lange, Salesforce Ventures, Sigma Partners, Vertical Venture Partners, William Fisher</t>
  </si>
  <si>
    <t>B Capital Group(www.bcapgroup.com), Jackson Square Ventures(www.jsv.com), Plug and Play Tech Center(www.plugandplaytechcenter.com), Primera Capital (Venture Capital)(www.primeracapital.com), Sigma Partners(www.sigmapartners.com), Vertical Venture Partners(www.vvp.vc)</t>
  </si>
  <si>
    <t>Kindred Partners(Consulting), The Millard Group (Connecticut)(Consulting), Wilson Sonsini Goodrich &amp; Rosati(Legal Advisor)</t>
  </si>
  <si>
    <t>170012-17</t>
  </si>
  <si>
    <t>Wiliot</t>
  </si>
  <si>
    <t>Triad Semiconductor, Achronix Semiconductor, VeriSilicon, S3 Semiconductors, eASIC, MediaTek, Faraday Technology, Sigenics, Lantiq Deutschland, GarField Microelectronics, Fortemedia, Microsemi, Altair Semiconductor, Broadcom, Kilopass, GainSpan, Tanner EDA, Farsens, Silicon Labs, Brite Semiconductor, Intel, eSilicon, Cactus Semiconductor, Crocus Technology, QuickLogic, Presto Engineering, Avalanche Technology</t>
  </si>
  <si>
    <t>Provider of a fabless semiconductor designed to develop passive SoC platforms for the IoT market. The company's technology can be used for purposes including real-time tracking during the manufacturing process and offering product information in stores, allowing consumers to get instructions and reminders for enabling IoT future growth.</t>
  </si>
  <si>
    <t>Application Specific Semiconductors*</t>
  </si>
  <si>
    <t>Internet of Things, TMT</t>
  </si>
  <si>
    <t>assets tracking, battery-free bluetooth, bluetooth chips, energy harvesting, internet device, iot device, passive tags, wireless bluetooth device</t>
  </si>
  <si>
    <t>www.wiliot.com</t>
  </si>
  <si>
    <t>2017: 20, 2019: 40</t>
  </si>
  <si>
    <t>40020-31P</t>
  </si>
  <si>
    <t>Tal Tamir</t>
  </si>
  <si>
    <t>tal@wiliot.com</t>
  </si>
  <si>
    <t>Caesarea, Israel</t>
  </si>
  <si>
    <t>Ha-Tokhen Street 6</t>
  </si>
  <si>
    <t>Caesarea</t>
  </si>
  <si>
    <t>info@wiliot.com</t>
  </si>
  <si>
    <t>The company raised $30 million of Series B venture funding from Qualcomm Ventures, Merck Ventures and Avery Dennison on January 14, 2019, putting the company's post-money valuation at $120 million. Samsung Venture Investment, Amazon Web Services, 83North, Grove Ventures, Norwest Venture Partners and other undisclosed investors also participated in the round. The funds will be used by the company to start producing its chips on a large scale.</t>
  </si>
  <si>
    <t>83North, Amazon Web Services, Avery Dennison, Grove Ventures, Merck Ventures, Norwest Venture Partners, Qualcomm Ventures, Samsung Venture Investment</t>
  </si>
  <si>
    <t>83North(www.83north.com), Amazon Web Services(aws.amazon.com), Avery Dennison(www.averydennison.com), Grove Ventures(www.grovevc.com), Merck Ventures(www.m-ventures.com), Norwest Venture Partners(www.nvp.com), Qualcomm Ventures(www.qualcommventures.com), Samsung Venture Investment(www.samsungventures.com)</t>
  </si>
  <si>
    <t>51554-98</t>
  </si>
  <si>
    <t>Wildcat Discovery Technologies</t>
  </si>
  <si>
    <t>Wildcat</t>
  </si>
  <si>
    <t>Argonne National Laboratory, Lawrence Berkeley National Laboratory</t>
  </si>
  <si>
    <t>Operator of a technology platform intended to accelerate the discovery of new materials for energy applications. The company's platform focuses on the development of advanced materials for rechargeable and primary batteries, enabling clients to avail collaborative development projects for materials for other applications, including gas storage, carbon capture, thermoelectrics and structural materials.</t>
  </si>
  <si>
    <t>Energy Services</t>
  </si>
  <si>
    <t>Energy Storage</t>
  </si>
  <si>
    <t>Energy Storage*, Other Materials</t>
  </si>
  <si>
    <t>CleanTech, TMT</t>
  </si>
  <si>
    <t>anodes technology, cathode material, cathode materials, chemistry research, electrode formulation, energy storage battery</t>
  </si>
  <si>
    <t>www.wildcatdiscovery.com</t>
  </si>
  <si>
    <t>2009: 39, 2010: 46, 2011: 44, 2012: 54, 2013: 43, 2014: 39, 2015: 43, 2017: 25</t>
  </si>
  <si>
    <t>160411-42P</t>
  </si>
  <si>
    <t>Gene Lynes</t>
  </si>
  <si>
    <t>glynes@wildcatdiscovery.com</t>
  </si>
  <si>
    <t>+1 (858) 550-1980</t>
  </si>
  <si>
    <t>San Diego, CA</t>
  </si>
  <si>
    <t>6255 Ferris Square</t>
  </si>
  <si>
    <t>Suite A</t>
  </si>
  <si>
    <t>San Diego</t>
  </si>
  <si>
    <t>92121</t>
  </si>
  <si>
    <t>+1 (858) 638-7533</t>
  </si>
  <si>
    <t>info@wildcatdiscovery.com</t>
  </si>
  <si>
    <t>The company raised $10.5 million of Series B venture funding through a combination of debt and equity on January 5, 2017, putting the pre-money valuation at $42 million. $8 million of equity portion was led by A123 Systems and Wanxiang Group. Presidio Partners, Samsung Venture Investment and 5AM Ventures also participated in the round. The deal also includes $2.5 million of convertible debt financing.</t>
  </si>
  <si>
    <t>5AM Ventures, A123 Systems, Infield Capital, Presidio Partners, Samsung Venture Investment, U.S. Department of Energy, Virgin Green Fund, Vision Ridge Partners, Wanxiang Group</t>
  </si>
  <si>
    <t>5AM Ventures(www.5amventures.com), A123 Systems(www.a123systems.com), Infield Capital(www.infieldcapital.com), Presidio Partners(www.presidiopartners.com), Samsung Venture Investment(www.samsungventures.com), U.S. Department of Energy(www.energy.gov), Virgin Green Fund(www.virgingreenfund.com), Vision Ridge Partners(www.vision-ridge.com)</t>
  </si>
  <si>
    <t>Cooley(Legal Advisor), Moss Adams(Auditor), Silicon Valley Bank(General Business Banking)</t>
  </si>
  <si>
    <t>126996-49</t>
  </si>
  <si>
    <t>Wild Friends Foods</t>
  </si>
  <si>
    <t>Wild Squirrel</t>
  </si>
  <si>
    <t>Wild Friends</t>
  </si>
  <si>
    <t>Arrowhead Mills, LÄRABAR, KIND (Healthy Snacks), Kutoa Company, Sir Kensington's, Don't Go Nuts, Gorilly Goods, Enjoy Life Foods, Harvest Innovations, Annie Chun's, Kashi, Send Me Gluten Free, Nu-world Foods, Quest Nutrition, Graze, Green Plate Foods, EN-R-G Foods, Justin's, Standard Functional Foods Group, WOW Baking Company, Clif Bar &amp; Company, Simple Mills, Immaculate Baking, King Arthur Flour, thinkThin Products, Tate's Bake Shop</t>
  </si>
  <si>
    <t>Producer of nut butters made designed to make food friendly. The company's nut butters include almond, peanut and sunflower and are made with real ingredients that are free of preservatives and non-GMO, enabling consumers to have emulsifier free food that are delicious and fun to eat.</t>
  </si>
  <si>
    <t>butter, dairy-free, emulsifiers free, non-gmo, organic food, organic ingredients, peanut butter</t>
  </si>
  <si>
    <t>www.wildfriendsfoods.com</t>
  </si>
  <si>
    <t>2016: 7</t>
  </si>
  <si>
    <t>135102-97P</t>
  </si>
  <si>
    <t>Keeley Tillotson</t>
  </si>
  <si>
    <t>Co-Founder, Chief Executive Officer and Board Member</t>
  </si>
  <si>
    <t>keeley@wildfriendsfoods.com</t>
  </si>
  <si>
    <t>+1 (503) 880-2168</t>
  </si>
  <si>
    <t>Portland, OR</t>
  </si>
  <si>
    <t>1001 SE Water Avenue</t>
  </si>
  <si>
    <t>Suite 430</t>
  </si>
  <si>
    <t>Portland</t>
  </si>
  <si>
    <t>Oregon</t>
  </si>
  <si>
    <t>97214</t>
  </si>
  <si>
    <t>info@wildfriendsfoods.com</t>
  </si>
  <si>
    <t>The company raised $3.5 million of Series A venture funding in a deal led by SPG Global on November 20, 2018. Echo Capital, Portland Seed Fund, Katjesgreenfood, and CircleUp Network also participated in the round. The company will use the capital for expanding the sales team presence across the country, continued grassroots marketing efforts and even more innovative product launches.</t>
  </si>
  <si>
    <t>Barbara Corcoran, Cambridge Companies, CircleUp Network, Echo Capital, Echo Capital Group, Jaime Schmidt, John Foraker, Katjesgreenfood, Portland Seed Fund, Stephen Hughes, Tony Robbins</t>
  </si>
  <si>
    <t>Barbara Corcoran(www.barbaracorcoran.com), Cambridge Companies(www.cambridgespg.com), CircleUp Network(www.circleup.com), Echo Capital(www.echocapital.ca), Echo Capital Group(www.echocapital.com), Katjesgreenfood(www.katjesgreenfood.berlin), Portland Seed Fund(www.portlandseedfund.com), Tony Robbins(www.tonyrobbins.com)</t>
  </si>
  <si>
    <t>Propeller Industries(Advisor: General)</t>
  </si>
  <si>
    <t>CircleUp Network(Lead Manager or Arranger), Indiegogo(Lead Manager or Arranger), Kickstarter(Lead Manager or Arranger)</t>
  </si>
  <si>
    <t>52390-27</t>
  </si>
  <si>
    <t>WideOrbit</t>
  </si>
  <si>
    <t>DataXu, AppNexus, AdsWizz, AdRoll, Optimatic Media, VideoAmp, Videology, Simulmedia, iProspect, MediaMath, Hivewyre, Lotame Solutions, Dstillery, Bidstalk, FreeWheel Media, Manage.com Group, Criteo, ExoClick, APEX Technologies Shanghai, Choozle, PubMatic, SpotX, OwnerIQ, Centro, Innovid, Brainworks Software, Rocket Fuel, BroadStream Solutions, Pixel Power, Clypd, Inneractive, INVIDI Technologies, Pulpo Media, Vibrant (Media), Feedburner, Invision (Advertising Sales Solutions), Emerge Digital, Newscycle Solutions, RadiumOne, Theorem Advertising, Matomy Media Group, Mediaocean, Cadent(Advertising), Telestream, AdPay, TripleLift, Rubicon Project, Lineup Systems, CloudSense (London), theAudience, OpenX, TubeMogul, Amazon Web Services, Rentrak, Triton Digital</t>
  </si>
  <si>
    <t>Provider of technology platform designed to manage advertising sales, traffic and billing functions. The company's technology platform is used to streamline workflow for customers in radio, cable and television and also offers advertising media exchange for innovative approach to the buying process, increasing demand for broadcasters and efficiency for advertisers, enabling media companies to create value on both sides of media transactions.</t>
  </si>
  <si>
    <t>AdTech, SaaS, TMT</t>
  </si>
  <si>
    <t>advertising sales, billing software, media software, mobile video, online traffic, technology platform</t>
  </si>
  <si>
    <t>www.wideorbit.com</t>
  </si>
  <si>
    <t>2000: 10, 2001: 10, 2002: 10, 2003: 32, 2004: 32, 2005: 32, 2006: 88, 2007: 88, 2008: 88, 2009: 88, 2010: 88, 2014: 388, 2016: 522</t>
  </si>
  <si>
    <t>38250-19P</t>
  </si>
  <si>
    <t>Margaret McCarthy</t>
  </si>
  <si>
    <t>mmccarthy@wideorbit.com</t>
  </si>
  <si>
    <t>+1 (415) 675-6700</t>
  </si>
  <si>
    <t>1160 Battery Street</t>
  </si>
  <si>
    <t>94111</t>
  </si>
  <si>
    <t>+1 (415) 675-6701</t>
  </si>
  <si>
    <t>info@wideorbit.com</t>
  </si>
  <si>
    <t>The company raised $9.5 million of Series D venture funding in a deal led by Mayfield Fund on October 6, 2008, putting the pre-money valuation at $80 million. Khosla Ventures, Greycroft Partners, Paul Bricault, SharesPost and Hearst Ventures also participated in this round.</t>
  </si>
  <si>
    <t>Ali Partovi, Georges Harik, Greycroft, Hadi Partovi, Hearst Ventures, Khosla Ventures, Liberty Venture Partners, Mayfield Fund, Meredith, Paul Bricault, Scott Banister, SharesPost, The New York Times, Three Point Group</t>
  </si>
  <si>
    <t>Ali Partovi(www.partovi.org), Greycroft(www.greycroft.com), Khosla Ventures(www.khoslaventures.com), Liberty Venture Partners(www.libertyvp.com), Mayfield Fund(www.mayfield.com), Meredith(www.meredith.com), SharesPost(www.sharespost.com), Three Point Group(www.threepointgroup.com)</t>
  </si>
  <si>
    <t>54823-69</t>
  </si>
  <si>
    <t>WideChips</t>
  </si>
  <si>
    <t>Developer of display driver integrated chips. The company is a semiconductor which focuses on chips for mobile products such as cell phones, music players and PDA's.</t>
  </si>
  <si>
    <t>Application Specific Semiconductors*, General Purpose Semiconductors</t>
  </si>
  <si>
    <t>ddi, display drives</t>
  </si>
  <si>
    <t>Formerly PE-Backed</t>
  </si>
  <si>
    <t>www.widechips.com</t>
  </si>
  <si>
    <t>Bundang-gu, South Korea</t>
  </si>
  <si>
    <t>Hyundai Office Building #904</t>
  </si>
  <si>
    <t>9-4 Sunaedong, Sungnamsu</t>
  </si>
  <si>
    <t>Bundang-gu</t>
  </si>
  <si>
    <t>Kyeongki-do</t>
  </si>
  <si>
    <t>463-783</t>
  </si>
  <si>
    <t>South Korea</t>
  </si>
  <si>
    <t>+82 (0)31 712 1814</t>
  </si>
  <si>
    <t>+82 (0)31 712 1910</t>
  </si>
  <si>
    <t>SkyLake Incuvest sold its stake in the company on an undisclosed date.</t>
  </si>
  <si>
    <t>Samsung Venture Investment</t>
  </si>
  <si>
    <t>SkyLake Incuvest</t>
  </si>
  <si>
    <t>Samsung Venture Investment(www.samsungventures.com)</t>
  </si>
  <si>
    <t>SkyLake Incuvest(www.skylakeincuvest.com)</t>
  </si>
  <si>
    <t>Undetermined</t>
  </si>
  <si>
    <t>60487-57</t>
  </si>
  <si>
    <t>Wickr</t>
  </si>
  <si>
    <t>Confide, Nimbuzz, Telegram, HipChat, Pinger (mobile communication), Slack, WeChat, Dust, Hike (Communication Software), Kik (Application Software), Silent Circle, Fring, Jibe Mobile, WhatsApp, VaporStream, TextNow, LiveChat, KaKao, Voalte, Tresorit, Signal</t>
  </si>
  <si>
    <t>Provider of an end-to end encrypted communications platform designed to transform the way companies and organizations protect valuable and high-target communications. The company's SaaS based mobile messaging platform specializes in offering data security services which gives the users the ability to send self-destructing text, photo, and video messages, enabling enterprises and consumers to safeguard their proprietary information and sensitive communications.</t>
  </si>
  <si>
    <t>Communication Software</t>
  </si>
  <si>
    <t>Communication Software*, Network Management Software</t>
  </si>
  <si>
    <t>Cybersecurity, Ephemeral Content, Mobile, SaaS, TMT</t>
  </si>
  <si>
    <t>collaborating platform, encrypted conversation, encrypted messaging app, files sharing application, privacy, privacy-focused messaging, private communication platform, secure communication</t>
  </si>
  <si>
    <t>www.wickr.com</t>
  </si>
  <si>
    <t>2017: 50</t>
  </si>
  <si>
    <t>114089-23P</t>
  </si>
  <si>
    <t>Joel Wallenstrom</t>
  </si>
  <si>
    <t>joel@wickr.com</t>
  </si>
  <si>
    <t>+1 (415) 286-9476</t>
  </si>
  <si>
    <t>20 California Street</t>
  </si>
  <si>
    <t>Suite 250</t>
  </si>
  <si>
    <t>info@wickr.com</t>
  </si>
  <si>
    <t>The company raised $6.06 million of Series C venture funding from OODA Ventures and other undisclosed investors on December 3, 2018, putting the company's pre-money valuation at $17 million.</t>
  </si>
  <si>
    <t>Alsop Louie Partners, Amit Yoran, Breyer Capital, CME Ventures, Dan Kaminsky, Daniel Loeb, Dolby Family Ventures, Eileen Burbidge, Enterprise Development Center, Erik Prince, Jeff Moss, Jeffrey Parks, Jerry Dixon, John S. and James L. Knight Foundation, Juniper Ventures, Merlin International, Michele Burns, OODA Ventures, Paul Kocher, Peninsula Ventures, Richard Clarke, Riverwood Capital, Sam Palmisano, Sand Hill East, Singtel Innov8, Thomas Tull, Whit Diffie</t>
  </si>
  <si>
    <t>Alsop Louie Partners(www.alsop-louie.com), Breyer Capital(www.breyercapital.com), Dolby Family Ventures(www.dolbyventures.com), Enterprise Development Center(www.njit-edc.org), John S. and James L. Knight Foundation(www.knightfoundation.org), Merlin International(www.merlincyber.com), OODA Ventures(www.oodaventures.com), Peninsula Ventures(www.peninsulaventures.com), Riverwood Capital(www.riverwoodcapital.com), Sand Hill East(www.sandhilleast.net), Singtel Innov8(innov8.singtel.com)</t>
  </si>
  <si>
    <t>K&amp;L Gates(Legal Advisor), New Jersey Innovation Institute(Consulting), Sand Hill East(Consulting)</t>
  </si>
  <si>
    <t>K&amp;L Gates(Legal Advisor), Mintz, Levin, Cohn, Ferris, Glovsky and Popeo(Legal Advisor)</t>
  </si>
  <si>
    <t>60165-19</t>
  </si>
  <si>
    <t>WiBro Infra</t>
  </si>
  <si>
    <t>WIC</t>
  </si>
  <si>
    <t>Provider of wireless data transmission services on mobile devices. The company allows internet access without the need for plug-in USB modems in South Korea.</t>
  </si>
  <si>
    <t>Wireless Service Providers</t>
  </si>
  <si>
    <t>Other Communications and Networking, Wireless Service Providers*</t>
  </si>
  <si>
    <t>plug-in usb modem, wireless data transmission, wireless internet</t>
  </si>
  <si>
    <t>Corporate Backed or Acquired</t>
  </si>
  <si>
    <t>Ansan, South Korea</t>
  </si>
  <si>
    <t>773-3 Wonsi-dong</t>
  </si>
  <si>
    <t>Ansan</t>
  </si>
  <si>
    <t>425-090</t>
  </si>
  <si>
    <t>The company was formed as a joint venture between Intel Capital, KT and Samsung Venture Investment for an undisclosed amount on September 30, 2010.</t>
  </si>
  <si>
    <t>Intel Capital, KT, Samsung Venture Investment</t>
  </si>
  <si>
    <t>Intel Capital(www.intelcapital.com), KT(www.kt.com), Samsung Venture Investment(www.samsungventures.com)</t>
  </si>
  <si>
    <t>54594-55</t>
  </si>
  <si>
    <t>Wibbitz</t>
  </si>
  <si>
    <t>muvee, Wideo, Directr, Wochit, Magisto, Rotor (Content Platform), Rocketium, Videolicious, Vizrt, Shakr Media, Vidme, TikTok, Videogram (Video Artificial Intelligence and Blockchain), Yogurt Labs, Picovico, StoryVine, Viddyad, NewTek, Giphy, Gimlet Media, Masquerade, HowStuffWorks</t>
  </si>
  <si>
    <t>Provider of an AI-powered video creation platform designed to streamline production of original short-form videos. The company's video creation platform uses artificial intelligence and text-to-video technology to create short videos based on text news stories within seconds, enabling publishers and brands to increase audience engagement and ad revenues across desktop, mobile, and social media.</t>
  </si>
  <si>
    <t>Application Software, Multimedia and Design Software*, Publishing</t>
  </si>
  <si>
    <t>online video creation, video creation platform, video publishing, video publishing platform, video technology</t>
  </si>
  <si>
    <t>www.wibbitz.com</t>
  </si>
  <si>
    <t>2014: 50, 2016: 55, 2017: 60, 2018: 90</t>
  </si>
  <si>
    <t>41597-11P</t>
  </si>
  <si>
    <t>Zohar Dayan</t>
  </si>
  <si>
    <t>zohar@wibbitz.com</t>
  </si>
  <si>
    <t>+972 (0)3 510 1469</t>
  </si>
  <si>
    <t>85 Broad Street</t>
  </si>
  <si>
    <t>10004</t>
  </si>
  <si>
    <t>press@wibbitz.com</t>
  </si>
  <si>
    <t>The company raised $20 million of Series C venture funding in a deal led by Bertelsmann Digital Media Investments on October 24, 2017. The Weather Channel, Associated Press, TF1 Group, lool Ventures, NantWorks and Horizons Ventures also participated in the round. The company intends to use the funds for key hires across its development, product, design, sales, marketing, support and in-house editorial teams, for advancement of artificial intelligence technologies and automation capabilities of its web-based platform and for launch products built for new markets and use cases and continue the company's global expansion.</t>
  </si>
  <si>
    <t>Associated Press, Bertelsmann Digital Media Investments, Horizons Ventures, Initial:Capital, Jérémie Berrebi, Kima Ventures, lool Ventures, NantWorks, TF1 Group, Weather Group Television</t>
  </si>
  <si>
    <t>Associated Press(www.ap.org), Bertelsmann Digital Media Investments(www.bdmifund.com), Horizons Ventures(www.horizonsventures.com), Initial:Capital(www.initial.vc), Jérémie Berrebi(www.berrebi.org), Kima Ventures(www.kimaventures.com), lool Ventures(www.lool.vc), NantWorks(www.nantworks.com), TF1 Group(www.groupe-tf1.fr), Weather Group Television(www.weathergroup.com)</t>
  </si>
  <si>
    <t>Shenhav &amp; Co. Advocates &amp; Notary(Legal Advisor)</t>
  </si>
  <si>
    <t>64325-80</t>
  </si>
  <si>
    <t>Whoop</t>
  </si>
  <si>
    <t>Bobo Analytics</t>
  </si>
  <si>
    <t>Omegawave, Motus Global, PhysIQ, Athos Works, Fatigue Science, BioStrap, Oura Health, Zephyr, Garmin</t>
  </si>
  <si>
    <t>Developer of performance optimization systems designed to understand human performance. The company's systems offer a continuous understanding of strain and recovery to balance training, reduce injuries and predict performance, enabling athletes to understand their bodies and inner potential to avoid over-training.</t>
  </si>
  <si>
    <t>Monitoring Equipment</t>
  </si>
  <si>
    <t>Monitoring Equipment*, Other Consumer Products and Services</t>
  </si>
  <si>
    <t>TMT, Wearables &amp; Quantified Self</t>
  </si>
  <si>
    <t>athelete monitoring, athelete wearables, data analytics, data analytics platform, fitness sensor, human performance, over training, signal processing, signal processing algorithm, wearable biosensor</t>
  </si>
  <si>
    <t>www.whoop.com</t>
  </si>
  <si>
    <t>2014: 33, 2015: 47, 2016: 55, 2017: 43</t>
  </si>
  <si>
    <t>166622-05P</t>
  </si>
  <si>
    <t>Antonio Bertone</t>
  </si>
  <si>
    <t>Chief Marketing Officer, Advisor &amp; Board Member</t>
  </si>
  <si>
    <t>bertone@whoop.com</t>
  </si>
  <si>
    <t>+1 (844) 490-1593</t>
  </si>
  <si>
    <t>1325 Boylston Street</t>
  </si>
  <si>
    <t>Suite 401</t>
  </si>
  <si>
    <t>02215</t>
  </si>
  <si>
    <t>contact@whoop.com</t>
  </si>
  <si>
    <t>The company raised $25 million of Series C venture funding in a deal led by UAE71 Capital on March 6, 2018, putting the company's pre-money valuation at $100 million. The National Football League Players Association (NFLPA), the Durant Company, Thursday Ventures, Bose Ventures, Two Sigma Ventures, Accomplice, Mousse Partners, Promus Ventures, NextView Ventures, Jack Dorsey, David Stern, Russell Okung, Mike Novogratz and Nicholas Negroponte also participated in the round. The funds will be used to accelerate global scale and international expansion of the company's human performance technology across the Elite and Consumer markets.</t>
  </si>
  <si>
    <t>Accomplice VC, Atlas Venture, Bose Ventures, Collaborative Fund, David Stern, Eric Paley, Founder Collective, Infosys, Jack Dorsey, Mike Novogratz, Mousse Partners, NextView Ventures, NFL Players Association, Nicholas Negroponte, OneTeam Collective, Promus Ventures, Resolute Ventures, Russell Okung, The Durant Company, Thursday Ventures, Two Sigma Investments, Two Sigma Ventures, UAE71 Capital, Valley Oak Investments</t>
  </si>
  <si>
    <t>Accomplice VC(www.accomplice.co), Atlas Venture(www.atlasventure.com), Bose Ventures(bose.ventures), Collaborative Fund(www.collaborativefund.com), Eric Paley(www.epaley.com), Founder Collective(www.foundercollective.com), Infosys(www.infosys.com), Mousse Partners(www.mousse-partners.com), NextView Ventures(www.nextviewventures.com), NFL Players Association(www.nflpa.com), Nicholas Negroponte(web.media.mit.edu), OneTeam Collective(www.oneteamcollective.com), Promus Ventures(www.promusventures.com), Resolute Ventures(www.resolute.vc), Thursday Ventures(www.thursday.vc), Two Sigma Investments(www.twosigma.com), Two Sigma Ventures(www.twosigmaventures.com), Valley Oak Investments(www.valleyoakinvestments.com)</t>
  </si>
  <si>
    <t>Gunderson Dettmer(Legal Advisor), Moody Famiglietti &amp; Andronico(Auditor), Silicon Valley Bank(Legal Advisor)</t>
  </si>
  <si>
    <t>Gunderson Dettmer(Legal Advisor), Moody Famiglietti &amp; Andronico(Auditor), PJT Partners(Advisor: General), Silicon Valley Bank(Legal Advisor)</t>
  </si>
  <si>
    <t>172449-73</t>
  </si>
  <si>
    <t>Whole Life Pet Products</t>
  </si>
  <si>
    <t>Producer of pet food products intended to provide natural diet for the health improvement of the pets. The company's pet food products are freeze-dried, grain and gluten free, made from organic ingredients that support healthy digestion, healthy skin and coat of pets, enabling pet owners to access highest quality, safest and best tasting pet treats.</t>
  </si>
  <si>
    <t>Food Products*, Other Consumer Non-Durables</t>
  </si>
  <si>
    <t>natural pet diet, natural pet product, pet food items, pet health improvement, pet healthcare</t>
  </si>
  <si>
    <t>www.wholelifepet.com</t>
  </si>
  <si>
    <t>2011: 8, 2012: 12</t>
  </si>
  <si>
    <t>166636-18P</t>
  </si>
  <si>
    <t>Tim Armstrong</t>
  </si>
  <si>
    <t>tim.armstrong@wholelifepet.com</t>
  </si>
  <si>
    <t>+1 (877) 210-3142</t>
  </si>
  <si>
    <t>Pittsfield, MA</t>
  </si>
  <si>
    <t>1520 East Street</t>
  </si>
  <si>
    <t>Pittsfield</t>
  </si>
  <si>
    <t>01201</t>
  </si>
  <si>
    <t>+1 (413) 383-0025</t>
  </si>
  <si>
    <t>info@wholelifepet.com</t>
  </si>
  <si>
    <t>The company received $ 200,400 of debt financing from Massachusetts Development Finance Agency on May 15, 2012. The funding will be used to purchase a freeze dryer, an automatic bagging machine and sealing machine, and other equipment to quintuple its manufacturing capacity.</t>
  </si>
  <si>
    <t>CircleUp Network, Mill Town Capital</t>
  </si>
  <si>
    <t>CircleUp Network(www.circleup.com), Mill Town Capital(www.milltowncapital.com)</t>
  </si>
  <si>
    <t>CircleUp Network(Lead Manager or Arranger), Massachusetts Development Finance Agency(Debt Financing), Morgan, Lewis &amp; Bockius(Legal Advisor)</t>
  </si>
  <si>
    <t>104799-16</t>
  </si>
  <si>
    <t>Whocanfixmycar.com</t>
  </si>
  <si>
    <t>Who Can Fix My Car</t>
  </si>
  <si>
    <t>AutoMD, ClickMechanic, Caroobi, Lemon Squad Automotive Inspections, YourMechanic, Otobots</t>
  </si>
  <si>
    <t>Operator of a digital marketplace for car repairs. The company's SaaS based platform allows drivers to specify a service or repair on their vehicle and receive back detailed estimates for the work required from locally-registered garages.</t>
  </si>
  <si>
    <t>Automotive*</t>
  </si>
  <si>
    <t>E-Commerce, Industrials, SaaS, TMT</t>
  </si>
  <si>
    <t>automobile repair, car servicing, online automotive work, online garage finding</t>
  </si>
  <si>
    <t>whocanfixmycar.com</t>
  </si>
  <si>
    <t>2015: 8, 2017: 25</t>
  </si>
  <si>
    <t>110167-75P</t>
  </si>
  <si>
    <t>Ian Griffiths</t>
  </si>
  <si>
    <t>Co-Founder &amp; Board Member</t>
  </si>
  <si>
    <t>ian@whocanfixmycar.com</t>
  </si>
  <si>
    <t>+44 (0)33 0113 0750</t>
  </si>
  <si>
    <t>Tyne and Wear, United Kingdom</t>
  </si>
  <si>
    <t>Collingwood Buildings, 38 Collingwood Street</t>
  </si>
  <si>
    <t>Newcastle upon Tyne</t>
  </si>
  <si>
    <t>Tyne and Wear</t>
  </si>
  <si>
    <t>NE1 1JF</t>
  </si>
  <si>
    <t>The company raised GBP 3.92 million of venture funding from Shell Ventures, Active Partners and Venrex Investment Management on August 2, 2018, previously at GBP 5.23 million. Trevor Chinn also participated in the round. The company intends to use the funds to keep scaling its activities and consolidate the market position in the UK.</t>
  </si>
  <si>
    <t>Active Partners, Shell Ventures, Trevor Chinn, Venrex Investment Management</t>
  </si>
  <si>
    <t>Active Partners(www.active.partners)</t>
  </si>
  <si>
    <t>52509-25</t>
  </si>
  <si>
    <t>WhiteHat Security</t>
  </si>
  <si>
    <t>Detectify, Opswat, Tanium, LockPath, AppRiver, Positive Technologies, Cloudflare, Signal Sciences, AirWatch, Immunio, McAfee, Tinfoil Security, Security Innovation, Bugcrowd, Denim Group, ZeroNorth, AVG Technologies, Sucuri, AlgoSec, Ziften, SevOne, Corrata, HackerOne, Lancope, Cobalt, Veracode, Bay Dynamics, Confer Technologies, Tenable, ControlScan, SecurityMetrics, Wallarm, Votiro, Karamba Security, Micro Focus, Onspring, Damballa, Moogsoft, Splunk, Rapid7, RedSeal, Avira Operations, Intermedia.net, Ioactive, CounterTack, Evident.IO, Pandora Labs, M&amp;S Technologies (Network Management Software), Cylance, Contrast Security, Cybereason, Symantec, LogRhythm, Barricade Security Systems, Bliss (software platform), BrixBits, NT Objectives, Cyberbit, Wandera, Barracuda Networks, Chef, Codiscope, E8 Security, Dynatrace, Prevoty, Cohesity, AdaptiveMobile, Acunetix, Sophos, FireEye, Veritas Technologies, Qualys, Security On-demand, Proficio, Rubrik, CommVault Systems, Carbon Black, AccessData Group, High-Tech Bridge, Skybox Security, Exabeam, Fidelis Cybersecurity, Sec-1</t>
  </si>
  <si>
    <t>Provider of a risk management platform intended to offer website security services. The company's platform uses proprietary scanning technology with customization, configuration and verification by Web application security, enabling businesses to secure their websites easily.</t>
  </si>
  <si>
    <t>Business/Productivity Software, Network Management Software*</t>
  </si>
  <si>
    <t>Cybersecurity, TMT</t>
  </si>
  <si>
    <t>application security, firewall, online security, risk management, website security</t>
  </si>
  <si>
    <t>www.whitehatsec.com</t>
  </si>
  <si>
    <t>2003: 8, 2004: 8, 2005: 8, 2006: 12, 2007: 12, 2008: 12, 2009: 12, 2010: 55, 2013: 248, 2015: 253, 2016: 301</t>
  </si>
  <si>
    <t>FY 2012</t>
  </si>
  <si>
    <t>92838-34P</t>
  </si>
  <si>
    <t>Terry Murphy</t>
  </si>
  <si>
    <t>terry.murphy@whitehatsec.com</t>
  </si>
  <si>
    <t>+1 (408) 343-8300</t>
  </si>
  <si>
    <t>1741 Technology Drive</t>
  </si>
  <si>
    <t>whitehat.contact@whitehatsec.com</t>
  </si>
  <si>
    <t>The company reached a definitive agreement to be acquired by NTT Security for an undisclosed amount on March 5, 2019. Earlier, the company raised an estimated $400,000 amount of Series F venture funding from ORIX Growth Capital and other undisclosed investors on January 4, 2017, putting the company's pre-money valuation at $185 million. The company is being actively tracked by PitchBook.</t>
  </si>
  <si>
    <t>Altos Ventures, American Pacific Ventures, Authosis Ventures, Garage Technology Ventures, Horizon Ventures, Individual Investor, JMI Equity, ORIX Growth Capital, Patricia Industries, Startup Capital Ventures, Tuputele Ventures, ZAP Ventures</t>
  </si>
  <si>
    <t>NTT Security</t>
  </si>
  <si>
    <t>Altos Ventures(www.altos.vc), Authosis Ventures(www.authosisvc.com), Garage Technology Ventures(www.garage.com), Horizon Ventures(www.horizonvc.com), JMI Equity(www.jmi.com), Patricia Industries(www.patriciaindustries.com), Startup Capital Ventures(startupcv.com), ZAP Ventures(www.zapvc.com)</t>
  </si>
  <si>
    <t>NTT Security(www.nttsecurity.com)</t>
  </si>
  <si>
    <t>Kohler Law Group(Legal Advisor), True Capital Partners(Advisor: General)</t>
  </si>
  <si>
    <t>AGC Partners(Advisor: General), Fenwick &amp; West(Legal Advisor)</t>
  </si>
  <si>
    <t>Merger/Acquisition</t>
  </si>
  <si>
    <t>98941-15</t>
  </si>
  <si>
    <t>Whistle Sports</t>
  </si>
  <si>
    <t>Kids Sports Entertainment, Inc.</t>
  </si>
  <si>
    <t>Play Sports Group, SportsBlog, MinuteMedia, Sport1, Bleacher Report, 247Sports</t>
  </si>
  <si>
    <t>Developer of sports social network designed to entertain, inspire and equip today's generation of fans and athletes. The company's sports social network produces and publishes a range of sports-focused videos and offers branded content and advertisements to sponsors, enabling athletes to get motivated and inspired.</t>
  </si>
  <si>
    <t>Broadcasting, Radio and Television</t>
  </si>
  <si>
    <t>Broadcasting, Radio and Television*, Media and Information Services (B2B), Movies, Music and Entertainment, Social/Platform Software</t>
  </si>
  <si>
    <t>AdTech, TMT</t>
  </si>
  <si>
    <t>entertainment platform, internet broadcaster, online advertisement, sports video, video publisher</t>
  </si>
  <si>
    <t>www.whistlesports.com</t>
  </si>
  <si>
    <t>2016: 100, 2017: 95</t>
  </si>
  <si>
    <t>90275-41P</t>
  </si>
  <si>
    <t>Jeff Urban</t>
  </si>
  <si>
    <t>jurban@whistlesports.com</t>
  </si>
  <si>
    <t>+1 (646) 661-5786</t>
  </si>
  <si>
    <t>79 Madison Avenue</t>
  </si>
  <si>
    <t>9th Floor</t>
  </si>
  <si>
    <t>The company raised $28 million of Series D venture funding in a deal led by Aser Media on June 21, 2018, putting the company's pre-money valuation at $210 million. Liberty Global Ventures, WndrCo and Emil Capital Partners also participated in the round. The funds will be used to expand the company's catalogue of free and premium original content with brand partners and creators.</t>
  </si>
  <si>
    <t>Aser Media, Beringea, Derek Jeter, Emil Capital Partners, Foley Ventures, Geraldine Laybourne, Liberty Global (UK), Liberty Global Ventures, NBC Sports Ventures, Peyton Manning, Rabil Ventures, Robert Pittman, SeventySix Capital, Sky Startup Investments &amp; Partnerships, Tegna, Vineyard Point Associates, WndrCo</t>
  </si>
  <si>
    <t>Aser Media(www.aser.com), Beringea(www.beringea.com), Emil Capital Partners(www.emilcapitalpartners.com), Foley Ventures(www.foleyventures.com), Liberty Global (UK)(www.libertyglobal.com), Rabil Ventures(www.rabilventures.com), SeventySix Capital(www.seventysixcapital.com), Sky Startup Investments &amp; Partnerships(startups.sky.com), Tegna(www.tegna.com), Vineyard Point Associates(www.vineyardpointassociates.com), WndrCo(www.wndrco.com)</t>
  </si>
  <si>
    <t>Park Lane(Advisor: General)</t>
  </si>
  <si>
    <t>Foley &amp; Lardner(Legal Advisor), Houlihan Lokey(Advisor: General)</t>
  </si>
  <si>
    <t>266001-31</t>
  </si>
  <si>
    <t>Whispr AI</t>
  </si>
  <si>
    <t>Developer of a voice-first solution designed to guides and provide instructions to front line workers. The company's platform delivers hands-free content to users through a small hearable and listens to questions from users while learning a new task, allowing the users to send real-time feedback to their team about frontline operations.</t>
  </si>
  <si>
    <t>Application Software*, Business/Productivity Software</t>
  </si>
  <si>
    <t>Artificial Intelligence &amp; Machine Learning</t>
  </si>
  <si>
    <t>artificial intelligence app, handsfree devices, real time feedback technology, voice software, wireless equipment</t>
  </si>
  <si>
    <t>www.whispr.ai</t>
  </si>
  <si>
    <t>202172-14P</t>
  </si>
  <si>
    <t>Keith Saft</t>
  </si>
  <si>
    <t>keith@whispr.ai</t>
  </si>
  <si>
    <t>Copenhagen, Denmark</t>
  </si>
  <si>
    <t>Skelbækgade 2, 5</t>
  </si>
  <si>
    <t>Copenhagen</t>
  </si>
  <si>
    <t>1717</t>
  </si>
  <si>
    <t>Denmark</t>
  </si>
  <si>
    <t>The company raised $.75 million venture funding from Bose Ventures, PreSeed Ventures and other undisclosed investors on March 3,2019.</t>
  </si>
  <si>
    <t>Bose Ventures, PreSeed Ventures</t>
  </si>
  <si>
    <t>Bose Ventures(bose.ventures), PreSeed Ventures(www.preseedventures.dk)</t>
  </si>
  <si>
    <t>56511-37</t>
  </si>
  <si>
    <t>Whisper</t>
  </si>
  <si>
    <t>SayerApp, Reveal Chat, After School, Dynamite Labs, Yik Yak, Path Mobile, Bakfy, Hike (Communication Software), Digg, Secret</t>
  </si>
  <si>
    <t>Provider of a mobile application designed to provide a platform where people share real thoughts and feelings. The company's mobile application is available in both iOS and android and it asks people to be open about their struggle of life, enabling users to post comments and visual content with the added expressive benefit of anonymity.</t>
  </si>
  <si>
    <t>Application Software*, Social Content, Social/Platform Software</t>
  </si>
  <si>
    <t>Mobile, SaaS, TMT</t>
  </si>
  <si>
    <t>anonymous post, mobile app development, mobile application, online social platform, post comments, shares feelings, shares real thought</t>
  </si>
  <si>
    <t>www.whisper.sh</t>
  </si>
  <si>
    <t>2013: 32, 2015: 75, 2017: 71</t>
  </si>
  <si>
    <t>48245-95P</t>
  </si>
  <si>
    <t>Michael Heyward</t>
  </si>
  <si>
    <t>michael@whisper.sh</t>
  </si>
  <si>
    <t>+1 (310) 995-6314</t>
  </si>
  <si>
    <t>69 Windward Avenue</t>
  </si>
  <si>
    <t>Venice</t>
  </si>
  <si>
    <t>90291</t>
  </si>
  <si>
    <t>+1 (310) 450-9922</t>
  </si>
  <si>
    <t>+1 (310) 421-9200</t>
  </si>
  <si>
    <t>Milliways Ventures sold its stake in the company on an undisclosed date.</t>
  </si>
  <si>
    <t>Brian Lee, CAA Ventures, Chad Byers, Coffin Capital &amp; Ventures, Diego Berdakin, Ellis Capital, Individual Investor, Jason Calacanis, Joe Greenstein, Lightspeed Venture Partners, Matthew Coffin, Michael Broukhim, Rani Aliahmad, Sequoia Capital, Shasta Ventures, Susa Ventures, Tencent Industry Win-Win Fund, Thrive Capital, Trinity Ventures, Venkatesh Harinarayan</t>
  </si>
  <si>
    <t>Milliways Ventures</t>
  </si>
  <si>
    <t>CAA Ventures(ventures.caa.com), Coffin Capital &amp; Ventures(www.coffincapitalandventures.com), Ellis Capital(www.elliscapital.net), Jason Calacanis(www.calacanis.com), Lightspeed Venture Partners(www.lsvp.com), Michael Broukhim(www.michaelbroukhim.com), Sequoia Capital(www.sequoiacap.com), Shasta Ventures(www.shastaventures.com), Susa Ventures(www.susaventures.com), Thrive Capital(www.thrivecap.com), Trinity Ventures(www.trinityventures.com)</t>
  </si>
  <si>
    <t>Milliways Ventures(www.milliwaysventures.com)</t>
  </si>
  <si>
    <t>Fenwick &amp; West(Legal Advisor), Sidley Austin(Legal Advisor)</t>
  </si>
  <si>
    <t>55290-43</t>
  </si>
  <si>
    <t>Whisbi</t>
  </si>
  <si>
    <t>Mobikon, Vivocha, Exceed.ai, Moxie Software, iAdvize, Kayako, Zendesk, Eyelevel.ai, Comm100, Genesys, Intercom, Vocalcom, Calabrio, Salesforce, Bridg, Olark</t>
  </si>
  <si>
    <t>Provider of a conversational sales and marketing platform intended to offer on-line consultancy and technology services. The company's platform combines live video, chat, voice and chatbot functionalities by reducing the complexity of omnichannel marketing to help companies in the financial, banking, insurance, telecommunications, energy and communication sector with an online presence, enabling brands to optimize online marketing investments.</t>
  </si>
  <si>
    <t>Business/Productivity Software, Communication Software, Other Communications and Networking*</t>
  </si>
  <si>
    <t>FinTech, Mobile, SaaS, TMT</t>
  </si>
  <si>
    <t>communication channel, communication service provider, online communication, online communication channel, online technology</t>
  </si>
  <si>
    <t>www.whisbi.com</t>
  </si>
  <si>
    <t>2011: 100, 2014: 69, 2016: 111, 2018: 100</t>
  </si>
  <si>
    <t>53031-16P</t>
  </si>
  <si>
    <t>Dulcis Torras</t>
  </si>
  <si>
    <t>d.torras@whisbi.com</t>
  </si>
  <si>
    <t>+34 93 176 3827</t>
  </si>
  <si>
    <t>Carrer Calàbria 169</t>
  </si>
  <si>
    <t>9th and 10th floor</t>
  </si>
  <si>
    <t>08015</t>
  </si>
  <si>
    <t>info@whisbi.com</t>
  </si>
  <si>
    <t>The company raised EUR 5 million of venture funding through a combination of debt and equity in a deal led by Columbia Lake Partners on December 12, 2018. Bertelsmann Digital Media Investments, Active Venture Partners and other undisclosed investors also participated in the round. The company plans to use the investment to build on their AI-powered conversational sales platform and expand their services on a global scale.</t>
  </si>
  <si>
    <t>Active Venture Partners, Bertelsmann Digital Media Investments, Columbia Lake Partners, Institut Català de Finances</t>
  </si>
  <si>
    <t>Active Venture Partners(www.active-vp.com), Bertelsmann Digital Media Investments(www.bdmifund.com), Columbia Lake Partners(www.clpgrowth.com), Institut Català de Finances(www.icf.cat)</t>
  </si>
  <si>
    <t>BDO(Auditor)</t>
  </si>
  <si>
    <t>Jones Day(Legal Advisor)</t>
  </si>
  <si>
    <t>98050-78</t>
  </si>
  <si>
    <t>Whatfix</t>
  </si>
  <si>
    <t>QuickoLabs</t>
  </si>
  <si>
    <t>Elevio, Nanorep, Gainsight, WalkMe, Pendo, Userlane, Ancile Solutions, Bolstra, Notion Data, AnswerDash, Angoss Software, AppLearn, CLS Performance Solutions, Chameleon (Media and Information Services), Appcues, DeepUI, MadKudu, MixPanel, Amplitude, Toonimo, Natero, Aptrinsic, Knewton, Iridize</t>
  </si>
  <si>
    <t>Developer of a SaaS-based performance support platform designed to simplify training and support efforts with easily accessible contextual information. The company's platform is simple, context-aware, personalized, secure, reliable and provides real-time, in-app help, quick and easy access to information, needed at the time a task is being performed, enabling businesses to quickly adopt any software application thereby eliminating the time spent in referring multiple resources for help and support.</t>
  </si>
  <si>
    <t>customer experience management, digital adoption platform, digital transformation, guided walkthroughs, interactive guide, interactive walkthroughs, performance support platform, performance support systems, performance support tools, product adoption, product tour</t>
  </si>
  <si>
    <t>www.whatfix.com</t>
  </si>
  <si>
    <t>2017: 55, 2018: 71</t>
  </si>
  <si>
    <t>97775-29P</t>
  </si>
  <si>
    <t>Khadim Batti</t>
  </si>
  <si>
    <t>khadim@whatfix.com</t>
  </si>
  <si>
    <t>+91 (0)96 1110 5212</t>
  </si>
  <si>
    <t>Bengaluru, India</t>
  </si>
  <si>
    <t>443, 17th Cross Road</t>
  </si>
  <si>
    <t>Sector 4, HSR Layout</t>
  </si>
  <si>
    <t>Bengaluru</t>
  </si>
  <si>
    <t>Karnataka</t>
  </si>
  <si>
    <t>560102</t>
  </si>
  <si>
    <t>India</t>
  </si>
  <si>
    <t>info@whatfix.com</t>
  </si>
  <si>
    <t>South Asia</t>
  </si>
  <si>
    <t>The company raised $12.5 million of Series B venture funding in a deal led by Eight Roads on March 13, 2019. Cisco Investments, F-Prime Capital Partners, Helion Venture Partners, and Stellaris Venture Partners also participated in this round. The funds will be used by the company to create digital adoption category leadership in the enterprise application software market, continue its expansion into the US and global markets, grow their marketing, sales, research and development teams and continue to deliver innovation to its existing Fortune 1000 customers worldwide.</t>
  </si>
  <si>
    <t>Aneesh Reddy, Anupam Mittal, Cisco Investments, Dinesh Agarwal, Eight Roads, F-Prime Capital Partners, Girish Mathrubootham, Gokul Rajaram, GSF India, Hanwha, Helion Venture Partners, Nandita Jhaveri, Powerhouse Ventures, Rajesh Sawhney, Stellaris Venture Partners, TA Ventures, Vatsal Sonecha, Vispi Daver</t>
  </si>
  <si>
    <t>Cisco Investments(www.ciscoinvestments.com), Eight Roads(www.eightroads.com), F-Prime Capital Partners(www.fprimecapital.com), GSF India(www.gsfindia.com), Hanwha(www.hanwha.co.kr), Helion Venture Partners(www.helionvc.com), Powerhouse Ventures(www.powerhouseventures.com), Stellaris Venture Partners(www.stellarisvp.com), TA Ventures(www.taventures.vc)</t>
  </si>
  <si>
    <t>60207-13</t>
  </si>
  <si>
    <t>what3words</t>
  </si>
  <si>
    <t>eSpatial, Citymapper, Mapstr, Transit, HERE Global</t>
  </si>
  <si>
    <t>Provider of a web and a mobile based geocoding system designed to find and communicate a location with a resolution of three meters. The company's web and mobile based geocoding system divides the world into a grid of 3m x 3m squares and assigns each one a unique 3 word address, enabling users accurately find any location and share it more quickly, easily and with less ambiguity than any other system which can be used via a free mobile application or online map.</t>
  </si>
  <si>
    <t>Application Software, Communication Software*, Information Services (B2C)</t>
  </si>
  <si>
    <t>geospatial, location analysis, location-based software, mapping</t>
  </si>
  <si>
    <t>www.what3words.com</t>
  </si>
  <si>
    <t>2015: 23, 2016: 50, 2017: 44</t>
  </si>
  <si>
    <t>98028-37P</t>
  </si>
  <si>
    <t>Christopher Sheldrick</t>
  </si>
  <si>
    <t>chris@what3words.com</t>
  </si>
  <si>
    <t>Studio 213 Westbourne Studios</t>
  </si>
  <si>
    <t>242 Acklam Road</t>
  </si>
  <si>
    <t>W10 5JJ</t>
  </si>
  <si>
    <t>contact@what3words.com</t>
  </si>
  <si>
    <t>The company raised GBP 4.18 million of Series C1 venture funding from Sony Innovation Fund and Liil Ventures on October 5, 2018, putting the pre-money valuation at GBP 110.3 million.</t>
  </si>
  <si>
    <t>Al Dhow Capital, Alps Alpine, Aramex, Daimler, Deutsche Bahn Digital Ventures, Dominic Perks, Edward Tinsley, Force Over Mass Capital, Fraser McCombs Capital, Future Positive Capital, Guy Westlake, Hambro Perks, Henry Wigan, Horizon Ventures, Horizons Ventures, Innova Kapital, Intel Capital, Intercapital (Portugal), Ivan Mazour, JamJar Investments, Keiretsu Forum, Liil Ventures, Mike Lebus, Mustard Seed Impact, Nico Rosberg, Plug and Play Tech Center, Richard Fearn, SAIC Capital, Sony Innovation Fund, Startup Autobahn, TURN8, Wildcat Venture Partners</t>
  </si>
  <si>
    <t>Al Dhow Capital(www.dhowcapital.net), Alps Alpine(www.alpine.co.jp), Aramex(www.aramex.com), Daimler(www.daimler.com), Deutsche Bahn Digital Ventures(www.deutschebahnventures.de), Force Over Mass Capital(www.fomcap.com), Fraser McCombs Capital(www.fmcap.com), Future Positive Capital(www.futurepositivecapital.com), Hambro Perks(www.hambroperks.com), Horizon Ventures(www.horizonvc.com), Horizons Ventures(www.horizonsventures.com), Innova Kapital(www.innovakapital.com), Intel Capital(www.intelcapital.com), Ivan Mazour(www.ivanmazour.com), JamJar Investments(www.jamjarinvestments.com), Keiretsu Forum(www.keiretsuforum.com), Liil Ventures(www.liil.city), Mustard Seed Impact(www.mustardseed.vc), Plug and Play Tech Center(www.plugandplaytechcenter.com), SAIC Capital(www.saicvc.com), Sony Innovation Fund(www.sonyinnovationfund.com), Startup Autobahn(www.startup-autobahn.com), TURN8(www.turn8.co), Wildcat Venture Partners(www.wildcat.vc)</t>
  </si>
  <si>
    <t>CMS Hasche Sigle(Legal Advisor), Olswang(Legal Advisor), UHY Hacker Young(Auditor)</t>
  </si>
  <si>
    <t>CMS Hasche Sigle(Legal Advisor), Olswang(Legal Advisor)</t>
  </si>
  <si>
    <t>Series C1</t>
  </si>
  <si>
    <t>222541-48</t>
  </si>
  <si>
    <t>Whalehouse Technology</t>
  </si>
  <si>
    <t>WH</t>
  </si>
  <si>
    <t>Provider of automated warehouse services using intelligent automated tools. The company's automated warehouse services helps in warehouse management services using fully integrated devices, enabling its clients to manage massive orders for logistics using tools like intelligent automatic shelf.</t>
  </si>
  <si>
    <t>Application Software, Logistics*</t>
  </si>
  <si>
    <t>automated warehouse, logistics, warehouse</t>
  </si>
  <si>
    <t>www.whalehouse.com</t>
  </si>
  <si>
    <t>175159-63P</t>
  </si>
  <si>
    <t>Li Linzi</t>
  </si>
  <si>
    <t>lilinzi@whalehouse.com</t>
  </si>
  <si>
    <t>The company raised $15 million of Series B venture funding in a deal led by Yunfeng Capital on November 24, 2017. Baidu Ventures and GSR Ventures also participated in this round.</t>
  </si>
  <si>
    <t>Baidu Ventures, Empower Investment (China), GSR Ventures, Yunfeng Capital</t>
  </si>
  <si>
    <t>Baidu Ventures(www.bv.ai), Empower Investment (China)(www.empowerinvestment.com), GSR Ventures(www.gsrventures.com), Yunfeng Capital(www.yfc.cn)</t>
  </si>
  <si>
    <t>41456-08</t>
  </si>
  <si>
    <t>WFH</t>
  </si>
  <si>
    <t>CoSine Communications</t>
  </si>
  <si>
    <t>Developer of managed IP service delivery platforms for designed business IP service providers. The company's services used to provide customer support services for a communications platform, known as IP service delivery system, under contract by a third party and is currently pursuing opportunities to redeploy its assets through an acquisition of one or more operating businesses.</t>
  </si>
  <si>
    <t>Computers, Parts and Peripherals</t>
  </si>
  <si>
    <t>Computers, Parts and Peripherals*, Telecommunications Service Providers, Wireless Service Providers</t>
  </si>
  <si>
    <t>carrier network, customer support, ip service, networking, routers, switch, telecommunication</t>
  </si>
  <si>
    <t>M&amp;A, Private Equity, Publicly Listed, Venture Capital</t>
  </si>
  <si>
    <t>www.cosinecom.com</t>
  </si>
  <si>
    <t>1999: 428, 2000: 506, 2001: 389, 2002: 267, 2003: 148, 2004: 8, 2005: 1, 2006: 1</t>
  </si>
  <si>
    <t>TTM 3Q2010</t>
  </si>
  <si>
    <t>35627-32P</t>
  </si>
  <si>
    <t>Terry Gibson</t>
  </si>
  <si>
    <t>terry.gibson@cosinecom.com</t>
  </si>
  <si>
    <t>+1 (408) 399-6490</t>
  </si>
  <si>
    <t>Los Gatos, CA</t>
  </si>
  <si>
    <t>61 East Main Street</t>
  </si>
  <si>
    <t>Suite B</t>
  </si>
  <si>
    <t>Los Gatos</t>
  </si>
  <si>
    <t>95030</t>
  </si>
  <si>
    <t>The company was acquired by Steel Partners Holdings through LBO on December 28, 2015 for an undisclosed sum. The company is no longer actively tracked by PitchBook.</t>
  </si>
  <si>
    <t>Steel Partners Holdings</t>
  </si>
  <si>
    <t>Amerindo Investment Advisors, Anschutz Investment, AT&amp;T Ventures, BCE Capital, Communications Ventures, Crescendo Ventures, Focus Ventures (USA), Fuse Capital, Individual Investor, Kleiner Perkins, Lucent Venture Partners, McAfee, Norwest Venture Partners, Octane Capital Management, Omninet Capital, Rader Reinfrank &amp; Company, Spring Lake Equity Partners, TCV, Tekla Capital Management, TeleSoft Partners, The Capital Group Companies, The Goldman Sachs Group, Western Technology Investment, Worldview Technology Partners</t>
  </si>
  <si>
    <t>Tut Systems</t>
  </si>
  <si>
    <t>Steel Partners Holdings(www.steelpartners.com)</t>
  </si>
  <si>
    <t>Amerindo Investment Advisors(www.amerindo.com), Crescendo Ventures(www.crescendoventures.com), Focus Ventures (USA)(www.focusventures.com), Fuse Capital(www.fusecapital.com), Kleiner Perkins(www.kleinerperkins.com), Lucent Venture Partners(www.luvp.com), McAfee(www.mcafee.com), Norwest Venture Partners(www.nvp.com), Octane Capital Management(www.octanecapital.com), Omninet Capital(www.omninet.com), Spring Lake Equity Partners(www.springlakeequitypartners.com), TCV(www.tcv.com), Tekla Capital Management(www.teklacap.com), TeleSoft Partners(www.telesoftvc.com), The Capital Group Companies(www.capitalgroup.com), The Goldman Sachs Group(www.goldmansachs.com), Western Technology Investment(www.westerntech.com), Worldview Technology Partners(www.worldview.com)</t>
  </si>
  <si>
    <t>Bowen Advisors(Advisor: General), Cassel Salpeter &amp; Co.(Advisor: General), Corporate Fuel(Advisor: General)</t>
  </si>
  <si>
    <t>Chase Capital Partners(Underwriter), Citigroup Global Markets Japan(Underwriter), Collette &amp; Erickson(Legal Advisor), Dain Rauscher Wessels(Underwriter), DLA Piper(Legal Advisor), Edward Jones Investments(Underwriter), EY(Accounting), J.P. Morgan(Underwriter), Jefferies Financial Group(Advisor: General), Legg Mason Wood Walker(Underwriter), MD Global Partners(Underwriter), Robert W. Baird &amp; Co.(Underwriter), Robertson Stephens(Underwriter), Samuel A. Ramirez &amp; Company(Underwriter), Soundview Technology Group(Underwriter), Tekla Capital Management(Lead Manager or Arranger), The Goldman Sachs Group(Underwriter), Wells Fargo Advisors(Underwriter), Western Technology Investment(Debt Financing), Wilson Sonsini Goodrich &amp; Rosati(Legal Advisor)</t>
  </si>
  <si>
    <t>53604-64</t>
  </si>
  <si>
    <t>Wevr</t>
  </si>
  <si>
    <t>Wemo Lab, Wemo Media Inc.</t>
  </si>
  <si>
    <t>NextVR, Against Gravity, EON Reality, Dverse, BigScreen, Pixvana, Immersv, VRChat, vTime, AltSpaceVR, High Fidelity, Atheer, Omnivirt, WorldViz</t>
  </si>
  <si>
    <t>Developer of a technology platform intended to offer virtual reality content. The company uses immersive computing and real-time massively scalable simulations to create immersive entertainment experiences, enabling digital artists and developers to produce and publish digital media for virtual reality devices.</t>
  </si>
  <si>
    <t>Entertainment Software*</t>
  </si>
  <si>
    <t>Augmented Reality, Virtual Reality</t>
  </si>
  <si>
    <t>content creation, technology platform, virtual reality, virtual reality community, virtual reality content, virtual reality content production, vr title</t>
  </si>
  <si>
    <t>www.wevr.com</t>
  </si>
  <si>
    <t>2019: 49</t>
  </si>
  <si>
    <t>39831-13P</t>
  </si>
  <si>
    <t>Neville Spiteri</t>
  </si>
  <si>
    <t>Co-Founder, Board Member and Chief Executive Officer</t>
  </si>
  <si>
    <t>neville@wevr.com</t>
  </si>
  <si>
    <t>+1 (310) 399-8058</t>
  </si>
  <si>
    <t>330 Indiana Avenue</t>
  </si>
  <si>
    <t>info@wevr.com</t>
  </si>
  <si>
    <t>The company raised $25 million of Series B venture funding from HTC, Samsung Ventures and Evolution Media on February 5, 2016, putting the company's pre-money valuation at $66.67 million. Madison Wells Media, Orange Digital Ventures, Digital Garage, Colle Capital Partners, AME Cloud Ventures, Boldstart Ventures, Scott McNealy and Ross Levinsohn The company intends to use the funding to develop new VR platform called Wevr Transportation. Samsung NEXT Ventures, Evolution Media Capital and Dragoneer Investment Group also participated.</t>
  </si>
  <si>
    <t>Allen DeBevoise, AME Cloud Ventures, Basset Investment Group, Boldstart Ventures, Colle Capital Partners, Cyan Banister, Deep Fork Capital, Digital Garage, Dragoneer Investment Group, Evolution Media, HTC, Joichi Ito, Leo Spiegel, Max Ventures, MWM (USA), Orange Digital Ventures, Palantir Capital, Plus Capital, Rothenberg Ventures, Samsung NEXT Ventures, Samsung Venture Investment, Scott Banister, Spiegel Capital Management, TenOneTen Ventures, Third Wave Digital, Zhiyuan Yang</t>
  </si>
  <si>
    <t>AME Cloud Ventures(www.amecloudventures.com), Basset Investment Group(www.bassetinvestmentgroup.com), Boldstart Ventures(www.boldstart.vc), Colle Capital Partners(www.collecapital.com), Deep Fork Capital(www.deepforkcapital.com), Digital Garage(www.garage.co.jp), Dragoneer Investment Group(www.dragoneer.com), Evolution Media(www.evolutionmedia.com), HTC(www.htc.com), Joichi Ito(joi.ito.com), Max Ventures(www.maxventures.vc), MWM (USA)(www.madisonwellsmedia.com), Orange Digital Ventures(www.digitalventures.orange.com), Plus Capital(www.pluscapital.com), Rothenberg Ventures(www.rothenbergventures.com), Samsung NEXT Ventures(www.samsungnext.com), Samsung Venture Investment(www.samsungventures.com), TenOneTen Ventures(www.tenoneten.net), Third Wave Digital(www.thirdwavedigital.vc)</t>
  </si>
  <si>
    <t>184736-35</t>
  </si>
  <si>
    <t>WeRide (China)</t>
  </si>
  <si>
    <t>JingChi</t>
  </si>
  <si>
    <t>Zoox, DeepScale, Waymo, FiveAI, AImotive, Roadstar.AI, Drive.ai, nuTonomy, Nauto, May Mobility, Optimus Ride, HoloMatic, Pony.ai, Cruise</t>
  </si>
  <si>
    <t>Developer of fully autonomous vehicles designed to deliver a safe, robust and convenient MaaS (Mobility as a Service) to the public. The company's vehicles use deep learning to deliver full automation that operates without human intervention by using a combination of LiDAR, cameras and radar sensors along with artificial intelligence to perceive the driving environment, enabling users to navigate the quickest and safest path to the final destination.</t>
  </si>
  <si>
    <t>Automotive*, Other Software</t>
  </si>
  <si>
    <t>Artificial Intelligence &amp; Machine Learning, Autonomous cars, Industrials, TMT</t>
  </si>
  <si>
    <t>artificial intelligence technology, autonomous drives technology, autonomous vehicles, mobility ecosystem, unmanned vehicles</t>
  </si>
  <si>
    <t>www.weride.ai</t>
  </si>
  <si>
    <t>2017: 50, 2018: 200</t>
  </si>
  <si>
    <t>168836-05P</t>
  </si>
  <si>
    <t>Qing Lu</t>
  </si>
  <si>
    <t>Chief Financial Officer &amp; President</t>
  </si>
  <si>
    <t>qlu@jingchi.ai</t>
  </si>
  <si>
    <t>+1 (408) 645-7118</t>
  </si>
  <si>
    <t>330 Gibraltar Drive</t>
  </si>
  <si>
    <t>94089</t>
  </si>
  <si>
    <t>+1 (408) 752-0208</t>
  </si>
  <si>
    <t>contactus@jingchi.ai</t>
  </si>
  <si>
    <t>The company raised $150 million of Series A venture funding in a deal led by Alliance Ventures on November 1, 2018. Johnson Electric Holdings, IdInvest Partners, Qiming Venture Partners, Xiaopeng He, Hanfor Capital, OceanIQ Capital and Atop Capital also participated in the round. The company intends to use the funds to deploy a fleet of 500 autonomous vehicles in 2019, to accumulate 5 million kilometers of actual autonomous driving mileage, and conduct operation and commercialization trials in Guangzhou and Anqing with key partners.</t>
  </si>
  <si>
    <t>Alliance Ventures, Atop Capital, China Growth Capital, Hanfor Capital, Hongtai Capital Holdings, Idinvest Partners, Innoangel Fund, Johnson Electric Holdings, Nautilus Venture Partners, NVIDIA GPU Ventures, OceanIQ Capital, Qiming Venture Partners, Tsingyuan Ventures, Wisemont Capital, XiaoPeng He</t>
  </si>
  <si>
    <t>China Growth Capital(www.chinagrowthcapital.com), Hongtai Capital Holdings(www.apluscap.com), Idinvest Partners(www.idinvest.com), Innoangel Fund(www.innoangel.com), Johnson Electric Holdings(www.johnsonelectric.com), Nautilus Venture Partners(www.nautilusvp.com), OceanIQ Capital(www.oceaniqcapital.com), Qiming Venture Partners(www.qimingvc.com), Tsingyuan Ventures(www.tsingyuan.ventures), Wisemont Capital(www.wisemontcapital.com)</t>
  </si>
  <si>
    <t>CEC Capital Group(Placement Agent)</t>
  </si>
  <si>
    <t>164363-59</t>
  </si>
  <si>
    <t>Weltmeister</t>
  </si>
  <si>
    <t>Developer of electric cars. The company specializes in the designing, development and manufacturing of electric vehicles which reduce the consumption of natural fuel.</t>
  </si>
  <si>
    <t>battery-powered vehicles, electric car, electric vehicle, fuel free car, mobility vehicles</t>
  </si>
  <si>
    <t>www.wm-motor.com</t>
  </si>
  <si>
    <t>143641-09P</t>
  </si>
  <si>
    <t>Freeman Shen</t>
  </si>
  <si>
    <t>Co-Founder, Chairman &amp; Chief Executive Officer</t>
  </si>
  <si>
    <t>freeman.shen@wm-motor.com</t>
  </si>
  <si>
    <t>+86 (0)40 0699 9666</t>
  </si>
  <si>
    <t>5th Floor, Building C, National Convention &amp; Exhibition Center</t>
  </si>
  <si>
    <t>333 Zhangze Avenue</t>
  </si>
  <si>
    <t>The company raised $446 million of Series C venture funding in a deal led by Baidu on March 8, 2019. Shanxi financial Holding Group and Linear Venture also participated in the round.</t>
  </si>
  <si>
    <t>Alibaba Group, Ameba Capital, Baidu, Baidu Ventures, China Minmetals Corporation, China Structural Reform Fund, Envision Energy, Linear Venture, Sequoia Capital China, Seven Seas Partners, Shanxi financial Holding Group, Susquehanna Asia Investments, Tencent Industry Win-Win Fund</t>
  </si>
  <si>
    <t>Alibaba Group(www.alibabagroup.com), Ameba Capital(www.amebacapital.com), Baidu(ir.baidu.com), Baidu Ventures(www.bv.ai), Envision Energy(envision-energy.net), Linear Venture(www.linear.vc), Sequoia Capital China(www.sequoiacap.com/china), Seven Seas Partners(www.7seasvc.com), Susquehanna Asia Investments(www.sig-china.com)</t>
  </si>
  <si>
    <t>CEC Capital Group(Advisor: General)</t>
  </si>
  <si>
    <t>97840-99</t>
  </si>
  <si>
    <t>Wellthie</t>
  </si>
  <si>
    <t>TechCanary, Maestro Health, Benefitter Insurance Solutions, bswift, FormFire, Vertafore, Ebix, ebenefit Marketplace, hCentive, benefix, Applied Systems, PlanSource Benefits Administration, PeopleKeep, Embroker</t>
  </si>
  <si>
    <t>Provider of a cloud-based e-commerce platform designed to sell insurance. The company's platform helps to navigate insurance with the ease and confidence, enabling insurance carriers and brokers to deliver an intuitive shopping experience to small businesses and individuals, while dramatically increasing sales across multiple medical and ancillary insurance lines.</t>
  </si>
  <si>
    <t>Application Software, Business/Productivity Software*</t>
  </si>
  <si>
    <t>Digital Health, FinTech, InsurTech, SaaS, TMT</t>
  </si>
  <si>
    <t>insurance technology, insurtech, navigate insurance, retail health environment, selling insurance</t>
  </si>
  <si>
    <t>www.wellthie.com</t>
  </si>
  <si>
    <t>2015: 9, 2017: 20</t>
  </si>
  <si>
    <t>98722-45P</t>
  </si>
  <si>
    <t>Sally Poblete</t>
  </si>
  <si>
    <t>Chief Executive Officer, President, Board Member &amp; Founder</t>
  </si>
  <si>
    <t>spoblete@wellthie.com</t>
  </si>
  <si>
    <t>+1 (888) 680-0856</t>
  </si>
  <si>
    <t>110 Wall Street</t>
  </si>
  <si>
    <t>10005</t>
  </si>
  <si>
    <t>hello@wellthie.com</t>
  </si>
  <si>
    <t>The company raised $5 million of Series A venture funding in a deal led by IA Capital Group on April 1, 2017, putting the pre-money valuation at $14 million. Aflac Ventures and 11 other individual investors also participated in the round. The company will use the funds to accelerate its nationwide growth and product development.</t>
  </si>
  <si>
    <t>Aflac Ventures, Bill Winkenwerder, Brett Rosen, Enmi Kendall, Geraldine McGinty, Healthy Ventures, IA Capital Group, Jimmy Lee, Ken Goulet, Pacific 8 Ventures, Peter Frishauf, Philip Edmundson, Plug and Play Tech Center, Sam Havens, Sanjay Pingle, StartUp Health, Various Angels</t>
  </si>
  <si>
    <t>Aflac Ventures(www.aflacventures.com), Healthy Ventures(www.healthy.vc), IA Capital Group(www.iacapgroup.com), Pacific 8 Ventures(www.pac8.com), Plug and Play Tech Center(www.plugandplaytechcenter.com), StartUp Health(www.startuphealth.com)</t>
  </si>
  <si>
    <t>107409-61</t>
  </si>
  <si>
    <t>WellDog</t>
  </si>
  <si>
    <t>Operator of chemical laboratory for exploration and production of natural gas. The company offers a laboratory which serves as a platform to enhance natural gas development, reduce the environmental impact of coal-bed methane and reduce greenhouse gases.</t>
  </si>
  <si>
    <t>Environmental Services (B2B)</t>
  </si>
  <si>
    <t>Energy Infrastructure, Environmental Services (B2B)*, Other Commercial Services</t>
  </si>
  <si>
    <t>CleanTech, Industrials, Oil &amp; Gas, TMT</t>
  </si>
  <si>
    <t>chemicals laboratory, coalbed methane, exploration and production of natural gas, greenhouse gas</t>
  </si>
  <si>
    <t>Angel-Backed</t>
  </si>
  <si>
    <t>www.welldog.com</t>
  </si>
  <si>
    <t>2016: 54</t>
  </si>
  <si>
    <t>Denver, CO</t>
  </si>
  <si>
    <t>1999 Broadway</t>
  </si>
  <si>
    <t>Suite 510</t>
  </si>
  <si>
    <t>Denver</t>
  </si>
  <si>
    <t>80202</t>
  </si>
  <si>
    <t>+1 (720) 545-2338</t>
  </si>
  <si>
    <t>info@welldog.com</t>
  </si>
  <si>
    <t>The company received AUD 4.25 million of debt financing from Cash Resources Australia on March 24, 2016. It intends to use the funding for commercial growth in 2016.</t>
  </si>
  <si>
    <t>Brisbane Angels, Melbourne Angels, MicroVentures, Sacramento Angels, Shell Ventures</t>
  </si>
  <si>
    <t>Axiom Venture Partners, EnerTech Capital, Kozel Energy, National Science Foundation, Prospector Equity Capital, U.S. Department of Energy, Yellowstone Capital Partners</t>
  </si>
  <si>
    <t>Brisbane Angels(www.brisbaneangels.com.au), Melbourne Angels(www.melbourneangels.net), MicroVentures(www.microventures.com), Sacramento Angels(www.sacangels.com)</t>
  </si>
  <si>
    <t>Axiom Venture Partners(www.axiomventures.com), EnerTech Capital(www.enertechcapital.com), National Science Foundation(seedfund.nsf.gov), Prospector Equity Capital(www.huntercapital.com), U.S. Department of Energy(www.energy.gov), Yellowstone Capital Partners(www.yellowstonecapital.com)</t>
  </si>
  <si>
    <t>Cash Resources Australia(Debt Financing)</t>
  </si>
  <si>
    <t>55027-18</t>
  </si>
  <si>
    <t>WellDoc</t>
  </si>
  <si>
    <t>WellDoc Communications</t>
  </si>
  <si>
    <t>Life in Control, Voluntis, Medocity, Medisafe, Ayogo, HealthPlix Technologies, Mango Health, TypeZero, Health2Sync, Noom</t>
  </si>
  <si>
    <t>Developer of platform for disease management designed to transform the treatment of chronic disease. The company's platform provides patients and their healthcare providers with real-time and actionable information, enabling patients with chronic diseases better manage their conditions.</t>
  </si>
  <si>
    <t>Decision/Risk Analysis</t>
  </si>
  <si>
    <t>Decision/Risk Analysis*, Outcome Management (Healthcare), Social/Platform Software</t>
  </si>
  <si>
    <t>Digital Health, HealthTech, Life Sciences, SaaS, TMT</t>
  </si>
  <si>
    <t>clinical decision support, diabetes management, disease management, real time information</t>
  </si>
  <si>
    <t>www.welldoc.com</t>
  </si>
  <si>
    <t>2009: 32, 2010: 61, 2011: 89, 2012: 73, 2013: 100, 2015: 55, 2016: 25</t>
  </si>
  <si>
    <t>154782-55P</t>
  </si>
  <si>
    <t>Stephen Hall</t>
  </si>
  <si>
    <t>shall@welldoc.com</t>
  </si>
  <si>
    <t>+1 (443) 692-3100</t>
  </si>
  <si>
    <t>Columbia, MD</t>
  </si>
  <si>
    <t>10221 Wincopin Circle</t>
  </si>
  <si>
    <t>Columbia</t>
  </si>
  <si>
    <t>21044</t>
  </si>
  <si>
    <t>connect@welldoc.com</t>
  </si>
  <si>
    <t>The company received an undisclosed amount of debt financing in the form of a lien from PNC on June 6, 2017.</t>
  </si>
  <si>
    <t>Adage Capital Management, Alexandria Venture Investments, Asset Management Ventures, DigiTx Partners, Excel Venture Management, Hudson River Capital Partners, Johnson &amp; Johnson Innovation - JJDC, Merck Global Health Innovation Fund, Samsung Venture Investment, TCP Venture Capital, The Maryland Business Incubation Association, Windham Venture Partners</t>
  </si>
  <si>
    <t>Adage Capital Management(www.adagecapital.com), Asset Management Ventures(www.assetman.com), DigiTx Partners(www.digitxpartners.com), Excel Venture Management(www.excelvm.com), Hudson River Capital Partners(www.hudrivcap.com), Johnson &amp; Johnson Innovation - JJDC(www.jnjinnovation.com/jjdc), Merck Global Health Innovation Fund(www.merckghifund.com), Samsung Venture Investment(www.samsungventures.com), TCP Venture Capital(www.tcp.vc), The Maryland Business Incubation Association(www.incubatemaryland.org), Windham Venture Partners(www.windhamvp.com)</t>
  </si>
  <si>
    <t>Uplift Partners(Advisor: General)</t>
  </si>
  <si>
    <t>Cowen and Company(Placement Agent), Dell(Debt Financing), Healthios Capital Markets(Advisor: General), PNC(Debt Financing)</t>
  </si>
  <si>
    <t>Secured Debt</t>
  </si>
  <si>
    <t>160815-16</t>
  </si>
  <si>
    <t>WekaIO</t>
  </si>
  <si>
    <t>Weka.IO</t>
  </si>
  <si>
    <t>Hitachi Vantara, OpenIO, SoftNAS, Infinite io, Datera, Code42, SimpliVity, Compuverde, DataCore Software, Rubrik, Qumulo, NetApp, Caringo, Springpath, Scality, SwiftStack, Cloudian, ioFabric, Coho Data, Cohesity, PernixData, Nexsan, Zmanda, ClearSky Data, Violin Systems, ScaleIO, Alluxio, Elastifile, Maxta, Atlantis Computing, NooBaa, Evtron, Pivot3, Dell EMC, Pure Storage, PrimaryIO, Plexistor, Druva, Excelero, CA Technologies (CA Arcserve), Veritas Technologies, Avere Systems, Stratoscale, E8 Storage, Open Drives, StorageCraft Technology, StorPool, Infinio Systems, ZFS, IMB</t>
  </si>
  <si>
    <t>Developer of a software defined storage (SDS) technology designed to offer high-performance and scalable file storage for data intensive applications. The company's technology transforms enterprise and cloud storage by radically simplifying the way storage is deployed in the datacenter, enabling enterprises to build highly differentiated storage systems and convert data for revenue.</t>
  </si>
  <si>
    <t>Systems and Information Management</t>
  </si>
  <si>
    <t>Database Software, Systems and Information Management*</t>
  </si>
  <si>
    <t>database storage, scale out files system, software defined files system, software defined storage, storage system, storage teachnology</t>
  </si>
  <si>
    <t>www.weka.io</t>
  </si>
  <si>
    <t>2017: 44, 2019: 100</t>
  </si>
  <si>
    <t>137263-06P</t>
  </si>
  <si>
    <t>Liran Zvibel</t>
  </si>
  <si>
    <t>liran@weka.io</t>
  </si>
  <si>
    <t>+1 (408) 335-0085</t>
  </si>
  <si>
    <t>2001 Gateway Place</t>
  </si>
  <si>
    <t>Suite 400W</t>
  </si>
  <si>
    <t>info@weka.io</t>
  </si>
  <si>
    <t>The company raised $32 million of Series C venture funding from Western Digital Capital, Hewlett Packard Enterprise and Mellanox Technologies on January 31, 2019. Nvidia, Seagate Venture Fund, Qualcomm and Norwest Venture Partners also participated in the round.</t>
  </si>
  <si>
    <t>Gemini Israel Ventures, Hewlett Packard Pathfinder, Mellanox Technologies, Norwest Venture Partners, Nvidia, Qualcomm, Qualcomm Ventures, Seagate Venture Fund, Western Digital Capital, WRV Capital</t>
  </si>
  <si>
    <t>Gemini Israel Ventures(www.gemini.co.il), Hewlett Packard Pathfinder(www.hewlettpackardpathfinder.com), Mellanox Technologies(www.mellanox.com), Norwest Venture Partners(www.nvp.com), Nvidia(www.nvidia.com), Qualcomm(www.qualcomm.com), Qualcomm Ventures(www.qualcommventures.com), Western Digital Capital(www.westerndigitalcapital.com), WRV Capital(www.wrvcapital.com)</t>
  </si>
  <si>
    <t>EY(Auditor), Silicon Valley Bank(General Business Banking)</t>
  </si>
  <si>
    <t>Gross Kleinhendler Hodak Halevy Greenberg &amp; Co.(Legal Advisor)</t>
  </si>
  <si>
    <t>151291-54</t>
  </si>
  <si>
    <t>Wefox</t>
  </si>
  <si>
    <t>FinanceFox</t>
  </si>
  <si>
    <t>JustInCase, Digital Risks, Trōv, Simplesurance, Knip, benefix, Clark (Digital Insurance Platform), Kin Insurance, Bunker, Lemonade, Slice Labs, Hippo Insurance</t>
  </si>
  <si>
    <t>Developer of a web-based service platform intended to view, adjust and complete insurance contracts anytime, anywhere in the world. The company's platform combines insurance expertise with digital technology to manage their insurance products and processes, enabling customers to access all insurances and receive tailored advice.</t>
  </si>
  <si>
    <t>Financial Software*, Other Insurance</t>
  </si>
  <si>
    <t>FinTech, InsurTech, TMT</t>
  </si>
  <si>
    <t>insurance brokerage process, insurance management, insurance software, insurtech, service platform operator</t>
  </si>
  <si>
    <t>www.wefox.ch</t>
  </si>
  <si>
    <t>2016: 80, 2018: 100</t>
  </si>
  <si>
    <t>125082-55P</t>
  </si>
  <si>
    <t>Fabian Wesemann</t>
  </si>
  <si>
    <t>Co-Founder, Group Chief Financial Officer &amp; Managing Director</t>
  </si>
  <si>
    <t>fabian.wesemann@financefox.ch</t>
  </si>
  <si>
    <t>+41 (0)80 022 6688</t>
  </si>
  <si>
    <t>Urbanstraße 71</t>
  </si>
  <si>
    <t>10967</t>
  </si>
  <si>
    <t>+49 (0)80 0297 0000</t>
  </si>
  <si>
    <t>info@wefox.ch</t>
  </si>
  <si>
    <t>The company raised $125 million of Series B venture funding in a deal led by Mubadala Investment Company on March 5, 2019. CreditEase also participated in the round. The funds will be used for expansion into the European broker market.</t>
  </si>
  <si>
    <t>AngelList, Ashton Kutcher, CreditEase, Horizons Ventures, Idinvest Partners, Mountain Partners, Mubadala Investment Company, Salesforce Ventures, Samuel Skoblo, SBI Investment, Seedcamp, SoftBank Investment Advisers, Sound Ventures, Speedinvest, Target Global, Victory Park Capital</t>
  </si>
  <si>
    <t>AngelList(www.angel.co), CreditEase(www.creditease.cn), Horizons Ventures(www.horizonsventures.com), Idinvest Partners(www.idinvest.com), Mountain Partners(www.mountain.partners), Mubadala Investment Company(www.mubadala.com), SBI Investment(www.sbinvestment.co.jp), Seedcamp(www.seedcamp.com), SoftBank Investment Advisers(www.visionfund.com), Sound Ventures(www.sound-ventures.com), Speedinvest(www.speedinvest.com), Target Global(www.targetglobal.vc), Victory Park Capital(www.victoryparkcapital.com)</t>
  </si>
  <si>
    <t>Davidson Technology Growth Debt(Debt Financing), Orrick, Herrington &amp; Sutcliffe(Legal Advisor), The Goldman Sachs Group(Advisor: General), Walder Wyss(Legal Advisor)</t>
  </si>
  <si>
    <t>102680-65</t>
  </si>
  <si>
    <t>Weblio</t>
  </si>
  <si>
    <t>51Talk</t>
  </si>
  <si>
    <t>Provider of Web-based dictionary and encyclopedia services designed to contribute to the development of people and society spreading indefinitely through the creation of many choices. The company's services provide information about science, people, places, things, machines and business by offering an online encyclopedia and through an online dictionary, enabling individuals and organizations to maximize their possibilities and encounter various challenges and opportunities.</t>
  </si>
  <si>
    <t>Information Services (B2C)</t>
  </si>
  <si>
    <t>Information Services (B2C)*, Social/Platform Software</t>
  </si>
  <si>
    <t>curated encyclopedia, dictionary service, encyclopedia, online dictionary, online translation, web dictionary</t>
  </si>
  <si>
    <t>www.weblio-inc.jp</t>
  </si>
  <si>
    <t>90852-40P</t>
  </si>
  <si>
    <t>Naoya Tsujimura</t>
  </si>
  <si>
    <t>Founder, Representative Director &amp; Chief Executive Officer</t>
  </si>
  <si>
    <t>naoya.tsujimura@weblio.co.jp</t>
  </si>
  <si>
    <t>Shinjuku Center Building 46th Floor</t>
  </si>
  <si>
    <t>1-25-1 Nishi Shinjuku, Shinjuku-ku</t>
  </si>
  <si>
    <t>163-0646</t>
  </si>
  <si>
    <t>info_company@weblio.co.jp</t>
  </si>
  <si>
    <t>The company raised an undisclosed amount of seed funding from Incubate Fund, GMO VenturePartners and Recruit Strategic Partners in 2006.</t>
  </si>
  <si>
    <t>GMO VenturePartners, Incubate Fund, Recruit Strategic Partners</t>
  </si>
  <si>
    <t>GMO VenturePartners(www.gmo-vp.com), Incubate Fund(www.incubatefund.com), Recruit Strategic Partners(recruitstrategicpartners.com)</t>
  </si>
  <si>
    <t>97628-86</t>
  </si>
  <si>
    <t>WayUp</t>
  </si>
  <si>
    <t>Campus Job</t>
  </si>
  <si>
    <t>Handshake (Career Management Platform), 10 Minutes With, RippleMatch, Flinja, JobToday, Monster Worldwide (Singapore, Malaysia and Hong Kong Operations), PowerToFly, TalentPool, JobTeaser, Jobbio, Reflik, University Beyond, STEM Premier, Jobandtalent, AfterCollege, ZipRecruiter, Glints, Jobspot, CornerJob, Glassdoor, GradLeaders</t>
  </si>
  <si>
    <t>Operator of an online job marketplace designed to connect students and recent grads with job and internship opportunities. The company's platform allows users to create a digital and personalized profile to stand out to over 12,000 employers, get curated jobs, get career advice from industry experts and get pre-qualified to jobs based on their profile, enabling college students and recent grads to find part-time, summer and full-time jobs and internships as well as help employers to reach, engage and recruit millennials.</t>
  </si>
  <si>
    <t>Application Software, Human Capital Services, Social/Platform Software*</t>
  </si>
  <si>
    <t>HR Tech, Industrials, TMT</t>
  </si>
  <si>
    <t>online jobs site</t>
  </si>
  <si>
    <t>www.wayup.com</t>
  </si>
  <si>
    <t>2014: 57, 2015: 126, 2016: 220</t>
  </si>
  <si>
    <t>79558-57P</t>
  </si>
  <si>
    <t>Joel Fliegelman</t>
  </si>
  <si>
    <t>Co-Founder &amp; Chief Technology Officer</t>
  </si>
  <si>
    <t>jj@campusjob.com</t>
  </si>
  <si>
    <t>+1 (212) 239-1911</t>
  </si>
  <si>
    <t>263 West 38th Street</t>
  </si>
  <si>
    <t>Floor 16</t>
  </si>
  <si>
    <t>10018</t>
  </si>
  <si>
    <t>info@wayup.com</t>
  </si>
  <si>
    <t>The company raised $18.5 million of Series B venture funding in a deal led by Trinity Ventures on March 23, 2017, putting the pre-money valuation at $37 million. General Catalyst, BoxGroup, Lerer-Hippeau Ventures, Index Ventures, SV Angel, Female Founders Fund, Axel Springer, CAA Ventures and OurCrowd also participated in the round. The funds will be used to hire engineers and to further develop the platform's machine learning capabilities.</t>
  </si>
  <si>
    <t>Acequia Capital, Axel Springer Digital Ventures, BoxGroup, CAA Ventures, Decacorn Capital, Female Founders Fund, General Catalyst, Index Ventures (UK), Individual Investor, Kal Vepuri, Lerer Hippeau, Maveron, Nihal Mehta, OurCrowd, Red Sea Ventures, RRE Ventures, Slow Ventures, SV Angel, Tikhon Bernstam, Trinity Ventures, Y Combinator</t>
  </si>
  <si>
    <t>Acequia Capital(acecap.com), Axel Springer Digital Ventures(www.axelspringerdigitalventures.com), BoxGroup(www.boxgroup.com), CAA Ventures(ventures.caa.com), Decacorn Capital(www.decacorncapital.com), Female Founders Fund(www.femalefoundersfund.com), General Catalyst(www.generalcatalyst.com), Index Ventures (UK)(www.indexventures.com), Lerer Hippeau(www.lererhippeau.com), Maveron(www.maveron.com), OurCrowd(www.ourcrowd.com), Red Sea Ventures(www.redseaventures.com), RRE Ventures(www.rre.com), Slow Ventures(www.slow.co), SV Angel(www.svangel.com), Trinity Ventures(www.trinityventures.com), Y Combinator(www.ycombinator.com)</t>
  </si>
  <si>
    <t>Corbett Search(Consulting), Gunderson Dettmer(Legal Advisor)</t>
  </si>
  <si>
    <t>52977-70</t>
  </si>
  <si>
    <t>Wayin</t>
  </si>
  <si>
    <t>Qualifio, Ambassify, Verto Analytics, Revlocal, Agorapulse, NapoleonCat, Sprout Social, iProspect, Sprinklr, Socialshaker, Audiense, SnapApp</t>
  </si>
  <si>
    <t>Provider of a digital marketing platform designed to connect brands to digital consumers. The company's platform helps companies to select, configure and publish interactive brand experiences to owned, earned and paid digital channels as well as helps them to quickly design and launch multiple campaigns, enabling brands and publishers to deliver authentic, interactive marketing campaign experiences across all digital channels.</t>
  </si>
  <si>
    <t>Marketing Tech, Mobile, TMT</t>
  </si>
  <si>
    <t>digital marketing, interactive campaign, interactive marketing tools, mobile engagement, social analytics</t>
  </si>
  <si>
    <t>www.wayin.com</t>
  </si>
  <si>
    <t>2014: 59, 2015: 69, 2016: 80</t>
  </si>
  <si>
    <t>68293-63P</t>
  </si>
  <si>
    <t>Sarina Kimura</t>
  </si>
  <si>
    <t>sarina@wayin.com</t>
  </si>
  <si>
    <t>+1 (303) 997-1722</t>
  </si>
  <si>
    <t>1623 Blake Street</t>
  </si>
  <si>
    <t>hello@wayin.com</t>
  </si>
  <si>
    <t>The company raised $16.12 million of Series D venture funding led by an undisclosed investor on September 25, 2015, putting the company's pre-money valuation at $64 million. David Duffield, of Workday, U.S. Venture Partners, Hasso Plattner and Scott McNealy also participated in the round. The capital will be used to fund growth in domestic and international sales force as well as the Engineering department, increasing creative talent headcount for Wayin Studio Services and further international expansion.</t>
  </si>
  <si>
    <t>Hasso Plattner Ventures, Individual Investor, TIBCO Software, US Venture Partners, Wayra, WS Investments</t>
  </si>
  <si>
    <t>Hasso Plattner Ventures(www.hp-ventures.com), TIBCO Software(www.tibco.com), US Venture Partners(www.usvp.com), Wayra(de.wayra.co)</t>
  </si>
  <si>
    <t>Walker Sands Communications(Advisor: Communications), Wilson Sonsini Goodrich &amp; Rosati(Legal Advisor)</t>
  </si>
  <si>
    <t>53712-19</t>
  </si>
  <si>
    <t>Wave Computing</t>
  </si>
  <si>
    <t>Wave Semiconductor</t>
  </si>
  <si>
    <t>Wave</t>
  </si>
  <si>
    <t>D-Wave, Graphcore, Cerebras, Nvidia, Intel</t>
  </si>
  <si>
    <t>Developer of the Wave Dataflow Processing Unit (DPU), employing a disruptive, massively parallel dataflow architecture, designed to improve the performance and scalability of machine learning. The company's solution allows enterprise and public sector customers to build and deploy smarter and faster deep learning applications, enabling businesses and corporate clients to improve their business processes through the insights gained from the growing volume of data available to them.</t>
  </si>
  <si>
    <t>Computers, Parts and Peripherals*, Production (Semiconductors)</t>
  </si>
  <si>
    <t>Artificial Intelligence &amp; Machine Learning, Big Data, TMT</t>
  </si>
  <si>
    <t>analyzing complex data, data flow technology, deep learning computer, energy efficiency, external memory bandwidth, machine learning engine, machine learning library, machine learning platform</t>
  </si>
  <si>
    <t>www.wavecomp.ai</t>
  </si>
  <si>
    <t>2010: 10, 2011: 11, 2012: 18, 2013: 18, 2014: 32, 2015: 52, 2016: 120, 2017: 57, 2018: 200</t>
  </si>
  <si>
    <t>170331-13P</t>
  </si>
  <si>
    <t>Dennis Bancala</t>
  </si>
  <si>
    <t>dennis@wavecomp.com</t>
  </si>
  <si>
    <t>+1 (408) 412-8645</t>
  </si>
  <si>
    <t>Campbell, CA</t>
  </si>
  <si>
    <t>42 West Campbell Avenue</t>
  </si>
  <si>
    <t>Campbell</t>
  </si>
  <si>
    <t>95008</t>
  </si>
  <si>
    <t>The company raised $86 million of Series E venture funding in a deal led by Oakmont on November 29, 2018, putting the company's pre-money valuation at $515 million. The funding will be used to support commercial growth worldwide.</t>
  </si>
  <si>
    <t>Oakmont (Los Angeles), Samsung Venture Investment, Southern Cross Venture Partners, Tallwood Venture Capital</t>
  </si>
  <si>
    <t>Samsung Venture Investment(www.samsungventures.com), Southern Cross Venture Partners(www.sxvp.com), Tallwood Venture Capital(www.tallwoodvc.com)</t>
  </si>
  <si>
    <t>Greenhill &amp; Co.(Advisor: General), Pillsbury Winthrop Shaw Pittman(Legal Advisor)</t>
  </si>
  <si>
    <t>52838-11</t>
  </si>
  <si>
    <t>Warby Parker</t>
  </si>
  <si>
    <t>Jand</t>
  </si>
  <si>
    <t>Bonlook, Eponym, Frameri, Brille24, Mister Spex, MyOptique Group, Clearly, Zenni Optical, EyeBuyDirect, Felix Gray, Optimax Eyewear</t>
  </si>
  <si>
    <t>Provider of direct-to-consumer prescription eyewear designed to offer trendy aesthetics at lower prices. The company's frames can be ordered online and tried on at home before purchase, enabling glasses wearers to receive frame recommendations from customized surveys and try multiple styles free of charge.</t>
  </si>
  <si>
    <t>Apparel and Accessories</t>
  </si>
  <si>
    <t>Accessories</t>
  </si>
  <si>
    <t>Accessories*, Internet Retail</t>
  </si>
  <si>
    <t>E-Commerce, Manufacturing, TMT</t>
  </si>
  <si>
    <t>designer glass, eyewear, prescription eyewear, sunglass, vintage eyeglasses</t>
  </si>
  <si>
    <t>www.warbyparker.com</t>
  </si>
  <si>
    <t>2011: 42, 2012: 113, 2014: 312, 2015: 500, 2016: 800, 2017: 1000, 2018: 1400</t>
  </si>
  <si>
    <t>43237-72P</t>
  </si>
  <si>
    <t>Steve Miller</t>
  </si>
  <si>
    <t>steve@warbyparker.com</t>
  </si>
  <si>
    <t>+1 (888) 492-7297</t>
  </si>
  <si>
    <t>233 Spring Street</t>
  </si>
  <si>
    <t>help@warbyparker.com</t>
  </si>
  <si>
    <t>The company raised $75 million of Series E venture funding led by T. Rowe Price on March 14, 2018, putting the company's pre-money valuation at $1.675 billion. Inside Capital and undisclosed investors also participated. The funds will be used to invest in research and technology developments. Earlier, the company received an undisclosed amount of debt financing in the form of a lien from De Lage Landen on April 3, 2017.</t>
  </si>
  <si>
    <t>American Express Ventures, Andrew Boszhardt, Andrew Dunn, Andrew Fine, BoxGroup, Bullish, Christopher Dixon, Cross Culture Ventures, Dave Lerner, David Tisch, Felicis Ventures, First Round Capital, Forerunner Ventures, General Catalyst, Grace Beauty Capital, Great Oaks Venture Capital, Hartford Financial Services Group (Mutual Fund Business), Individual Investor, Inside Capital, Interplay Ventures, John Hancock Investments, Josh Spear, Kal Vepuri, Lerer Hippeau, M13, Menlo Ventures, MentorTech Ventures, Nils Johnson, Red Swan Ventures, Scott Belsky, Shervin Pishevar, Spark Capital, Suffolk Equity Partners, SV Angel, T. Rowe Price, Tao Capital Partners, Thrive Capital, Tiger Global Management, Troy Carter, Variable Annuity Life Insurance Company, Wellington Management, Wharton Venture Initiation Program, WME Ventures</t>
  </si>
  <si>
    <t>BoxGroup(www.boxgroup.com), Bullish(bullish.co), Cross Culture Ventures(www.crossculturevc.com), Dave Lerner(www.davelerner.com), David Tisch(www.davidtisch.com), Felicis Ventures(www.felicis.com), First Round Capital(www.firstround.com), Forerunner Ventures(www.forerunnerventures.com), General Catalyst(www.generalcatalyst.com), Grace Beauty Capital(www.gracebeautycapital.com), Great Oaks Venture Capital(www.greatoaksvc.com), Hartford Financial Services Group (Mutual Fund Business)(www.hartfordfunds.com), Inside Capital(www.inside.capital), Interplay Ventures(www.interplay.vc), John Hancock Investments(jhinvestments.com), Josh Spear(www.joshspear.com), Lerer Hippeau(www.lererhippeau.com), M13(www.m13.co), Menlo Ventures(www.menlovc.com), MentorTech Ventures(www.mentortechventures.com), Red Swan Ventures(www.redswan.vc), Scott Belsky(www.scottbelsky.com), Shervin Pishevar(www.pishevar.com), Spark Capital(www.sparkcapital.com), Suffolk Equity Partners(www.suffolkequity.com), SV Angel(www.svangel.com), T. Rowe Price(www3.troweprice.com), Tao Capital Partners(www.taocap.com), Thrive Capital(www.thrivecap.com), Tiger Global Management(www.tigerglobal.com), Variable Annuity Life Insurance Company(www.valic.com), Wellington Management(www.wellington.com), Wharton Venture Initiation Program(entrepreneurship.wharton.upenn.edu), WME Ventures(www.wmevc.com)</t>
  </si>
  <si>
    <t>ComCap(Advisor: General), Cowan, Liebowitz &amp; Latman(Legal Advisor), Gunderson Dettmer(Legal Advisor), Herbert Mines Associates(Placement Agent), Orrick, Herrington &amp; Sutcliffe(Legal Advisor), Rich Talent Group(Consulting), Riviera Partners(Consulting), Robert K. Futterman &amp; Associates(Consulting)</t>
  </si>
  <si>
    <t>De Lage Landen(Debt Financing), Gunderson Dettmer(Legal Advisor), Orrick, Herrington &amp; Sutcliffe(Legal Advisor)</t>
  </si>
  <si>
    <t>60871-96</t>
  </si>
  <si>
    <t>Wanderlust</t>
  </si>
  <si>
    <t>Provider of a hybrid Parisian venue intended to offer both musical and lifestyle programming. The company's venue operates a club and restaurant serving food, offering musical evenings in the open air, outdoor cinema, sports and yoga facilities, enabling customers to enjoy and relax.</t>
  </si>
  <si>
    <t>Leisure Facilities</t>
  </si>
  <si>
    <t>Leisure Facilities*, Other Services (B2C Non-Financial), Restaurants and Bars</t>
  </si>
  <si>
    <t>bar, club, leisure facilities, restaurant, venue</t>
  </si>
  <si>
    <t>www.wanderlustparis.com</t>
  </si>
  <si>
    <t>2012: 29, 2013: 109</t>
  </si>
  <si>
    <t>Manifesto Holding</t>
  </si>
  <si>
    <t>143553-34P</t>
  </si>
  <si>
    <t>Arnaud Frisch</t>
  </si>
  <si>
    <t>Owner</t>
  </si>
  <si>
    <t>Paris, France</t>
  </si>
  <si>
    <t>32 Quai d'Austerlitz</t>
  </si>
  <si>
    <t>Paris</t>
  </si>
  <si>
    <t>75013</t>
  </si>
  <si>
    <t>contact@wanderlustparis.com</t>
  </si>
  <si>
    <t>The company raised EUR 1.50 million of venture funding from Recruit Strategic Partners and Audacia on June 13, 2013, putting the company's pre-money valuation at EUR 3.5 million.</t>
  </si>
  <si>
    <t>Audacia, Light Warrior, Recruit Strategic Partners</t>
  </si>
  <si>
    <t>Audacia(www.audacia.fr), Light Warrior(www.lightwarrior.com), Recruit Strategic Partners(recruitstrategicpartners.com)</t>
  </si>
  <si>
    <t>42144-22</t>
  </si>
  <si>
    <t>Wananchi Group</t>
  </si>
  <si>
    <t>Wananchi, WGHL</t>
  </si>
  <si>
    <t>Etisalat Lanka, Neotel, Atlant Telecom, Liquid Telecommunications, Telecom Italia, Econet Wireless Global, Safaricom, MainOne, WIOCC, Telefónica UK, Telstra, Telecel Zimbabwe, Metrofibre Networx, Paratus Africa, Etisalat Nigeria, Altice Portugal, Telecom Liechtenstein, Cell C, Telkom, Vodafone Idea, iBasis, Kazakhtelecom, EarthLink, Global Online Television, Vodafone Group</t>
  </si>
  <si>
    <t>Provider of pay television and high-speed internet services in Kenya and Tanzania. The company offers customers triple-play service consisting of digital pay television, high-speed Internet and voice-over-IP services.</t>
  </si>
  <si>
    <t>Internet Service Providers</t>
  </si>
  <si>
    <t>Internet Service Providers*, Telecommunications Service Providers</t>
  </si>
  <si>
    <t>Impact Investing, TMT</t>
  </si>
  <si>
    <t>broadband service, digital pay television, impact investing vertical, residential fiber broadband</t>
  </si>
  <si>
    <t>www.wananchi.com</t>
  </si>
  <si>
    <t>2014: 513</t>
  </si>
  <si>
    <t>171600-04P</t>
  </si>
  <si>
    <t>Genue Mwaura</t>
  </si>
  <si>
    <t>genue.mwaura@ke.wananchi.com</t>
  </si>
  <si>
    <t>+254 (0)20 520 0000</t>
  </si>
  <si>
    <t>Nairobi, Kenya</t>
  </si>
  <si>
    <t>Mombasa Road</t>
  </si>
  <si>
    <t>P O Box 10286-00100</t>
  </si>
  <si>
    <t>Nairobi</t>
  </si>
  <si>
    <t>Kenya</t>
  </si>
  <si>
    <t>info@wananchi.com</t>
  </si>
  <si>
    <t>The company received $130 million of development capital from Helios Investment Partners, Altice, Liberty Global Ventures, Emerging Capital Partners and East Africa Capital Partners on October 6, 2014.</t>
  </si>
  <si>
    <t>Altice, East Africa Capital Partners, Emerging Capital Partners, Helios Investment Partners, Liberty Global Ventures, OppenheimerFunds, Prudence Holdings, Sarona Asset Management</t>
  </si>
  <si>
    <t>Altice(www.altice.net), East Africa Capital Partners(www.eacp.co.ke), Emerging Capital Partners(www.ecpinvestments.com), Helios Investment Partners(www.heliosinvestment.com), OppenheimerFunds(www.oppenheimerfunds.com), Prudence Holdings(www.prudenceholdings.com), Sarona Asset Management(www.saronafund.com)</t>
  </si>
  <si>
    <t>Delphos International(Advisor: General)</t>
  </si>
  <si>
    <t>Hills Stern &amp; Morley(Legal Advisor), Overseas Private Investment Corporation(Debt Financing)</t>
  </si>
  <si>
    <t>227390-86</t>
  </si>
  <si>
    <t>VueReal</t>
  </si>
  <si>
    <t>Developer and manufacturer of micro-LED displays designed to bridge the gap between micro devices and large-area electronics platforms. The company's displays enhance the experience of existing electronic systems and enable new applications by integrating millions of highly efficient micro-devices into system substrate, enabling clients to access to nano-device processing, sophisticated integration technologies and advanced system design for its multiple applications.</t>
  </si>
  <si>
    <t>Computers, Parts and Peripherals*</t>
  </si>
  <si>
    <t>display technology, electronic systems, led display, led technology, micro led display, micro led technology, micro-devices, micro-led display</t>
  </si>
  <si>
    <t>www.vuereal.com</t>
  </si>
  <si>
    <t>2017: 6, 2018: 25, 2019: 35</t>
  </si>
  <si>
    <t>118293-85P</t>
  </si>
  <si>
    <t>Reza Chaji</t>
  </si>
  <si>
    <t>chaji@vuereal.com</t>
  </si>
  <si>
    <t>Waterloo, Canada</t>
  </si>
  <si>
    <t>440 Phillip Street</t>
  </si>
  <si>
    <t>Unit 100</t>
  </si>
  <si>
    <t>Waterloo</t>
  </si>
  <si>
    <t>Ontario</t>
  </si>
  <si>
    <t>N2L 5R9</t>
  </si>
  <si>
    <t>Canada</t>
  </si>
  <si>
    <t>info@vuereal.com</t>
  </si>
  <si>
    <t>The company received $8.5 million of grant funding from Sustainable Development Technology Canada on October 3, 2018. The company intends to use the funds to further develop innovative micro-LED technologies by expanding its Waterloo team and launching an Advanced Nano-Technology Center. Previously, the company raised $15.5 million of Series A venture funding from Samsung Venture Investment and Veeco on March 6, 2018. The company intends to use this funding to accelerate the development of micro-LED technologies by expanding its team and launching its advanced micro-device development and characterization center.</t>
  </si>
  <si>
    <t>LGE Community Credit Union, Samsung Venture Investment, Sustainable Development Technology Canada, Veeco</t>
  </si>
  <si>
    <t>LGE Community Credit Union(www.lgeccu.org), Samsung Venture Investment(www.samsungventures.com), Sustainable Development Technology Canada(www.sdtc.ca), Veeco(www.veeco.com)</t>
  </si>
  <si>
    <t>Ernst &amp; Young Lippens &amp; Rabaey Audit(Auditor), Miller Thomson(Legal Advisor)</t>
  </si>
  <si>
    <t>Miller Thomson(Legal Advisor)</t>
  </si>
  <si>
    <t>53517-25</t>
  </si>
  <si>
    <t>VSee</t>
  </si>
  <si>
    <t>Oovoo, TokBox, Surfly, Glide, Pexip, Videxio, ScreenLeap, Vidyo, Apidaze, Agora.io, Temasys, Tribe App, HidashHi, Airtime (Application Software), Join Me, GoToMeeting, SightCall, Zoom Video Communications, DabKick, Voxeet, BlueJeans, Sqwiggle, Tango Networks, Twilio, LifeSize, Starleaf, DocTalk, Wavecell, ReadyTalk, Fuze</t>
  </si>
  <si>
    <t>Provider of an application platform intended to offer video collaboration software services. The company's application platform develops a proprietary low-bandwidth, group video chat and screen-sharing software tool, enabling users in various locations to communicate in real-time by video and audio.</t>
  </si>
  <si>
    <t>Application Software, Communication Software*, Social/Platform Software</t>
  </si>
  <si>
    <t>desktop sharing, files sharing, screen sharing tools, video collaboration software</t>
  </si>
  <si>
    <t>www.vsee.com</t>
  </si>
  <si>
    <t>2014: 28, 2016: 47</t>
  </si>
  <si>
    <t>39693-61P</t>
  </si>
  <si>
    <t>Milton Chen</t>
  </si>
  <si>
    <t>+1 (510) 823-3564</t>
  </si>
  <si>
    <t>1286 Kifer Road</t>
  </si>
  <si>
    <t>Suite 103</t>
  </si>
  <si>
    <t>+1 (650) 390-6970</t>
  </si>
  <si>
    <t>+1 (650) 649-1904</t>
  </si>
  <si>
    <t>The company raised an undisclosed amount of venture funding from Salesforce Ventures on June 7, 2011.</t>
  </si>
  <si>
    <t>Individual Investor, In-Q-Tel, National Science Foundation, Salesforce Ventures</t>
  </si>
  <si>
    <t>In-Q-Tel(www.iqt.org), National Science Foundation(seedfund.nsf.gov)</t>
  </si>
  <si>
    <t>Gunderson Dettmer(Legal Advisor), Orrick, Herrington &amp; Sutcliffe(Legal Advisor)</t>
  </si>
  <si>
    <t>232743-16</t>
  </si>
  <si>
    <t>Voxus</t>
  </si>
  <si>
    <t>Developer of broadcast media technology intended for e-commerce. The company understands consumption patterns for campaign optimization in e-commerce by collecting, processing and cross-referencing behavioral data, predicting who are the best people to expose and display the banners in a programmatic way, enabling clients to generate greater assertiveness and ROI.</t>
  </si>
  <si>
    <t>Marketing Tech</t>
  </si>
  <si>
    <t>display solutions, marketing automation, programmatic advertising, programmatic data</t>
  </si>
  <si>
    <t>www.voxus.com.br</t>
  </si>
  <si>
    <t>193974-58P</t>
  </si>
  <si>
    <t>Guilherme Pinheiro</t>
  </si>
  <si>
    <t>Chief Technology Officer</t>
  </si>
  <si>
    <t>gpinheiro@voxus.com.br</t>
  </si>
  <si>
    <t>Sao Paulo, Brazil</t>
  </si>
  <si>
    <t>Sao Paulo</t>
  </si>
  <si>
    <t>Brazil</t>
  </si>
  <si>
    <t>South America</t>
  </si>
  <si>
    <t>The company raised an undisclosed amount of venture funding from ZX Ventures on June 1, 2015.</t>
  </si>
  <si>
    <t>ZX Ventures</t>
  </si>
  <si>
    <t>ZX Ventures(www.zx-ventures.com)</t>
  </si>
  <si>
    <t>54498-97</t>
  </si>
  <si>
    <t>Vox Mobile</t>
  </si>
  <si>
    <t>BlueFletch, Infor Global Solutions, Kony, MOBI Wireless Management, Aruba Networks, Asentinel, Innovapptive, Capriza, Alteryx, Tangoe, Wavelink, Epicor Software, Coupa, Pegasystems, eRequester</t>
  </si>
  <si>
    <t>Provider of complete enterprise mobility and IoT services intended to bridge the M-Gap with a comprehensive mobility management offering. The company's enterprise mobility management as a service addresses every aspect of mobile technology planning, management and support and serves more than 900 companies around the globe, helping clients to identify their M-gap challenges and develop a clear mobility blueprint to overcome obstacles and execute on their visions.</t>
  </si>
  <si>
    <t>enterprise mobility management, mobility management platform, mobility management software</t>
  </si>
  <si>
    <t>www.voxmobile.com</t>
  </si>
  <si>
    <t>2009: 37, 2010: 47, 2011: 68, 2012: 110, 2014: 124, 2015: 127, 2016: 201</t>
  </si>
  <si>
    <t>41346-64P</t>
  </si>
  <si>
    <t>Kris Snyder</t>
  </si>
  <si>
    <t>Co-Founder, Chief Executive Officer, President &amp; Board Member</t>
  </si>
  <si>
    <t>kris.snyder@voxmobile.com</t>
  </si>
  <si>
    <t>+1 (800) 536-9030</t>
  </si>
  <si>
    <t>Independence, OH</t>
  </si>
  <si>
    <t>6100 Rockside Woods Boulevard</t>
  </si>
  <si>
    <t>Independence</t>
  </si>
  <si>
    <t>44131</t>
  </si>
  <si>
    <t>info@voxmobile.com</t>
  </si>
  <si>
    <t>The company raised $1.25 million of Series A-4 venture funding from JumpStart on May 3, 2018, putting the company's pre-money valuation at $6 million.</t>
  </si>
  <si>
    <t>Douglas Weintraub, Edison Partners, Glouston Capital Partners, JumpStart, Mutual Capital Partners, TELUS Ventures</t>
  </si>
  <si>
    <t>Edison Partners(www.edisonpartners.com), Glouston Capital Partners(www.glouston.com), JumpStart(www.jumpstartinc.org), Mutual Capital Partners(www.mutualcapitalpartners.com), TELUS Ventures(ventures.telus.com)</t>
  </si>
  <si>
    <t>51252-85</t>
  </si>
  <si>
    <t>Vox Media</t>
  </si>
  <si>
    <t>Sportsblogs</t>
  </si>
  <si>
    <t>Vox</t>
  </si>
  <si>
    <t>HowStuffWorks, Defy Media, The Huffington Post, PennWell, NowThis Media, Ziff Davis Publishing Holdings, ReadWrite, Quartz, WatchMojo, Slate Magazine, Diply, Complex Media, Izea, Emerge Digital, Digg, The Daily Dot, VICE Media, Tapad, Remezcla, Facebook, BuzzFeed, Gravity Media, Gimlet Media, Refinery29</t>
  </si>
  <si>
    <t>Operator of an online media publishing agency designed to build smart brands that people love. The company's agency owns and operates online portals in distinct vertical categories, enabling clients to access sports media with a network of fan-centric communities, technology news forum and an adult gaming community.</t>
  </si>
  <si>
    <t>Information Services (B2C), Media and Information Services (B2B)*, Publishing, Social/Platform Software</t>
  </si>
  <si>
    <t>entertainment and media company, media publishing, online media, online media publishing, online publishing, online publishing platform, podcast catalogue, podcasting network, software as a services</t>
  </si>
  <si>
    <t>www.voxmedia.com</t>
  </si>
  <si>
    <t>2014: 218, 2015: 328, 2018: 1000</t>
  </si>
  <si>
    <t>28490-32P</t>
  </si>
  <si>
    <t>Stephen Swad</t>
  </si>
  <si>
    <t>swad@voxmedia.com</t>
  </si>
  <si>
    <t>+1 (202) 591-1140</t>
  </si>
  <si>
    <t>Washington, DC</t>
  </si>
  <si>
    <t>1201 Connecticut Avenue Northwest</t>
  </si>
  <si>
    <t>1th Floor</t>
  </si>
  <si>
    <t>District of Columbia</t>
  </si>
  <si>
    <t>20036</t>
  </si>
  <si>
    <t>info@voxmedia.com</t>
  </si>
  <si>
    <t>The company received $200 million of Series G financing from NBCUniversal on August 13, 2015, putting the company's pre-money valuation at $866.18 million. Previously, the company raised $46.5 million of Series F venture funding in a deal led by General Atlantic on November 30, 2014, putting the company's pre-money valuation at $318.5 million. Brent Jones, Dan Rosenweig and Jeff Weiner also participated in the round.</t>
  </si>
  <si>
    <t>Accel, Allen &amp; Company, Brent Jones, Comcast Ventures, Daniel Rosensweig, General Atlantic, Jeffrey Weiner, Khosla Ventures, NBCUniversal, Providence Equity Partners, Theodore Leonsis</t>
  </si>
  <si>
    <t>Accel(www.accel.com), Allen &amp; Company(www.allenco.com), Comcast Ventures(www.comcastventures.com), General Atlantic(www.generalatlantic.com), Khosla Ventures(www.khoslaventures.com), NBCUniversal(www.nbcuniversal.com), Providence Equity Partners(www.provequity.com)</t>
  </si>
  <si>
    <t>Cooley(Legal Advisor), Gunderson Dettmer(Legal Advisor)</t>
  </si>
  <si>
    <t>Cooley(Legal Advisor), Drinker Biddle &amp; Reath(Legal Advisor), Gunderson Dettmer(Legal Advisor), Paul, Weiss, Rifkind, Wharton &amp; Garrison(Legal Advisor)</t>
  </si>
  <si>
    <t>Series G</t>
  </si>
  <si>
    <t>56860-48</t>
  </si>
  <si>
    <t>Voltaiq</t>
  </si>
  <si>
    <t>Subway Labs</t>
  </si>
  <si>
    <t>Developer of an analytics platform designed to drive innovation and improve the devices that power electrified world. The company's analytics platform accelerates battery product development and ensures performance, predictability and reliability, enabling clients to rapidly identify key drivers of battery performance.</t>
  </si>
  <si>
    <t>Artificial Intelligence &amp; Machine Learning, Big Data, SaaS, TMT</t>
  </si>
  <si>
    <t>analytics platform, battery intelligence, data visualization, energy storage</t>
  </si>
  <si>
    <t>www.voltaiq.com</t>
  </si>
  <si>
    <t>2016: 6</t>
  </si>
  <si>
    <t>49237-84P</t>
  </si>
  <si>
    <t>Tal Sholklapper</t>
  </si>
  <si>
    <t>tal@voltaiq.com</t>
  </si>
  <si>
    <t>Berkeley, CA</t>
  </si>
  <si>
    <t>2150 Shattuck Avenue</t>
  </si>
  <si>
    <t>Suite 704</t>
  </si>
  <si>
    <t>Berkeley</t>
  </si>
  <si>
    <t>94704</t>
  </si>
  <si>
    <t>info@voltaiq.com</t>
  </si>
  <si>
    <t>The company raised $6.6 million of Series A venture funding from lead investor Anzu Partners on May 31, 2018. Bee Partners, SJF Venture and Underwriters Laboratories also participated. The company intends to use the funds to accelerate the roll out of its platform.</t>
  </si>
  <si>
    <t>Anzu Partners, Bee Partners, National Science Foundation, NYU Tandon School of Engineering, Powerhouse (Incubator &amp; Accelerator), SJF Ventures, U.S. Department of Energy, UL Ventures, Urban Future Lab, Zipdragon Ventures</t>
  </si>
  <si>
    <t>Anzu Partners(www.anzupartners.com), Bee Partners(www.beepartners.vc), National Science Foundation(seedfund.nsf.gov), NYU Tandon School of Engineering(www.engineering.nyu.edu/business/future-labs), Powerhouse (Incubator &amp; Accelerator)(www.powerhouse.fund), SJF Ventures(www.sjfventures.com), U.S. Department of Energy(www.energy.gov), Urban Future Lab(www.ufl.nyc), Zipdragon Ventures(www.zipdragon.com)</t>
  </si>
  <si>
    <t>182172-70</t>
  </si>
  <si>
    <t>Volition Beauty</t>
  </si>
  <si>
    <t>Volition</t>
  </si>
  <si>
    <t>Operator of an online collaboration platform designed to share ideas about innovative skin and body care products. The company's online collaboration platform makes different beauty products according to the people's choice and necessity over which the votes determine every product's performance in the market, enabling users to create their own beauty and body care products.</t>
  </si>
  <si>
    <t>Personal Products</t>
  </si>
  <si>
    <t>Information Services (B2C), Personal Products*, Social/Platform Software</t>
  </si>
  <si>
    <t>Beauty, TMT</t>
  </si>
  <si>
    <t>beauty product, beauty vertical, innovative beauty product, online collaboration platform, online cosmetics marketplace</t>
  </si>
  <si>
    <t>www.volitionbeauty.com</t>
  </si>
  <si>
    <t>165046-42P</t>
  </si>
  <si>
    <t>Patricia Santos</t>
  </si>
  <si>
    <t>patricia@volitionbeauty.com</t>
  </si>
  <si>
    <t>+1 (415) 902-5587</t>
  </si>
  <si>
    <t>The company raised an undisclosed amount of venture funding from Commerce Ventures and Emil Capital Partners.</t>
  </si>
  <si>
    <t>Commerce Ventures, Emil Capital Partners, Tina Bou-Saba</t>
  </si>
  <si>
    <t>Commerce Ventures(www.commercevc.com), Emil Capital Partners(www.emilcapitalpartners.com), Tina Bou-Saba(www.tinabousaba.com)</t>
  </si>
  <si>
    <t>130383-01</t>
  </si>
  <si>
    <t>Volantio</t>
  </si>
  <si>
    <t>Adioso Inc.</t>
  </si>
  <si>
    <t>Rainmaker Group, Vendavo, Aptean, Revenue Analytics, IBS Software, Ramco Systems, Entomo, Callidus Software, Vistex (Illinois), Djubo, SAP, Plusgrade, Zuora, Wiser (Business Software), Cincom Systems, RealPage, Onestream Software, RezNext, Epicor Software, Zilliant, BirdEye, Upstream Commerce, FPX, Channeltivity, RateGain Travel Technology, Itesso, Revionics, Navetti, CCH Tagetik, NetSuite, Indix, Dimensional Insight, Infor Global Solutions, Determine, Nor1, 360pi, Maximojo, Quad Analytix, LodgIQ, BigMachines, AxisRooms, Anaplan, HappyCo, Caravelo</t>
  </si>
  <si>
    <t>Provider of post-booking revenue and capacity optimization software for airlines designed to increase asset utilization and customer experience for airlines around the world. The company's web-based platform targets at-risk flights to coordinate passenger re-accommodation enabling airlines to increase yield, decrease operational costs, and inject control and predictability back into the travel journey.</t>
  </si>
  <si>
    <t>Artificial Intelligence &amp; Machine Learning, Marketing Tech, SaaS, TMT</t>
  </si>
  <si>
    <t>airline technology service, assets utilization, automation tools, digital marketing, marketing automation, operational improvement services, revenue management service, revenue optimization, saas buisness software, targeted marketing</t>
  </si>
  <si>
    <t>www.volantio.com</t>
  </si>
  <si>
    <t>2014: 3, 2015: 4, 2016: 8, 2017: 10, 2018: 11</t>
  </si>
  <si>
    <t>62619-49P</t>
  </si>
  <si>
    <t>Azim Barodawala</t>
  </si>
  <si>
    <t>Board Member &amp; Chief Executive Officer</t>
  </si>
  <si>
    <t>azim@volantio.com</t>
  </si>
  <si>
    <t>Atlanta, GA</t>
  </si>
  <si>
    <t>84 Peachtree Street North West</t>
  </si>
  <si>
    <t>Atlanta</t>
  </si>
  <si>
    <t>Georgia</t>
  </si>
  <si>
    <t>30303</t>
  </si>
  <si>
    <t>info@volantio.com</t>
  </si>
  <si>
    <t>The company raised $2.63 million of Series B venture funding in a deal led by Ingleside Investors, International Airlines Group (IAG), JetBlue Technology Ventures and Qantas Ventures on February 13, 2018, putting the company's pre-money valuation at $9 million. Dave Baggett and other undisclosed investors also participated in the round. Previously, the company received $5,000 of grant funding from Metro Atlanta Chamber as a part of its Atlanta Metro Export Challenge on June 21, 2017.</t>
  </si>
  <si>
    <t>AVRO Accelerator, David Baggett, Hangar51, Ingleside Investors, International Airlines Group, JetBlue Technology Ventures, Metro Atlanta Chamber, Qantas Airways, Slingshot Accelerator, Y Combinator</t>
  </si>
  <si>
    <t>AVRO Accelerator(avroaccelerator.qantas.com), Hangar51(www.hangar51.com), Ingleside Investors(www.inglesidellc.com), International Airlines Group(www.iairgroup.com), JetBlue Technology Ventures(www.jetblueventures.com), Metro Atlanta Chamber(www.metroatlantachamber.com), Qantas Airways(www.qantas.com), Slingshot Accelerator(www.slingshotters.com), Y Combinator(www.ycombinator.com)</t>
  </si>
  <si>
    <t>Morris Manning &amp; Martin(Legal Advisor), Troutman Sanders(Legal Advisor)</t>
  </si>
  <si>
    <t>Morris Manning &amp; Martin(Legal Advisor)</t>
  </si>
  <si>
    <t>64308-97</t>
  </si>
  <si>
    <t>Voipfuture</t>
  </si>
  <si>
    <t>nexVortex, Atos Convergence Creators, Truphone, Colt Technology Services</t>
  </si>
  <si>
    <t>Developer of voice-over-internet protocol technologies designed to make voice visible. The company's technologies offer voice quality monitoring and analyzing services, enabling communication service providers and large enterprises to control and evaluate their network performance.</t>
  </si>
  <si>
    <t>Telecommunications Service Providers</t>
  </si>
  <si>
    <t>Other Communications and Networking, Telecommunications Service Providers*</t>
  </si>
  <si>
    <t>protocol technologies, voice media, voice quality analyzing, voice quality monitoring, voice technology, voice-over-internet</t>
  </si>
  <si>
    <t>www.voipfuture.com</t>
  </si>
  <si>
    <t>2014: 11, 2016: 22</t>
  </si>
  <si>
    <t>FY 2011</t>
  </si>
  <si>
    <t>74849-41P</t>
  </si>
  <si>
    <t>Jan Bastian</t>
  </si>
  <si>
    <t>jan.bastian@voipfuture.com</t>
  </si>
  <si>
    <t>+49 (0)40 6889 0010</t>
  </si>
  <si>
    <t>Hamburg, Germany</t>
  </si>
  <si>
    <t>Wendenstr. 4</t>
  </si>
  <si>
    <t>Hamburg</t>
  </si>
  <si>
    <t>20097</t>
  </si>
  <si>
    <t>info@voipfuture.com</t>
  </si>
  <si>
    <t>Hasso Plattner Ventures sold its stake in the company to undisclosed investors.</t>
  </si>
  <si>
    <t>KfW Group</t>
  </si>
  <si>
    <t>Hasso Plattner Ventures</t>
  </si>
  <si>
    <t>KfW Group(www.kfw.de/kfw.de-2.html)</t>
  </si>
  <si>
    <t>Hasso Plattner Ventures(www.hp-ventures.com)</t>
  </si>
  <si>
    <t>170959-51</t>
  </si>
  <si>
    <t>Voicea</t>
  </si>
  <si>
    <t>Workfit, Voicera</t>
  </si>
  <si>
    <t>Zoom.ai</t>
  </si>
  <si>
    <t>Developer of AI based voice assistant platform created to harness the power of voice in the workplace and connect what happens in meetings to the rest of the collaboration workflow. The company's enterprise voice assistant, Eva, is an intelligent meeting facilitator that helps people have more productive meetings by making meetings searchable, taking note of decisions, and encouraging follow-up on action-items, take note of important decisions, and highlight key moments of a call by leveraging a blend of artificial intelligence and speech recognition, enabling, professionals to facilitate meetings and be efficient, effective and creative.</t>
  </si>
  <si>
    <t>Automation/Workflow Software, Business/Productivity Software*, Communication Software</t>
  </si>
  <si>
    <t>artificial intelligence software, enterprise voice assistant, meeting assistant, meeting facilitator, voice assistant platform</t>
  </si>
  <si>
    <t>Product In Beta Test</t>
  </si>
  <si>
    <t>www.voicea.com</t>
  </si>
  <si>
    <t>2018: 19</t>
  </si>
  <si>
    <t>36447-85P</t>
  </si>
  <si>
    <t>Omar Tawakol</t>
  </si>
  <si>
    <t>omar@voicera.com</t>
  </si>
  <si>
    <t>Menlo Park, CA</t>
  </si>
  <si>
    <t>883 Santa Cruz Avenue</t>
  </si>
  <si>
    <t>Suite 205</t>
  </si>
  <si>
    <t>Menlo Park</t>
  </si>
  <si>
    <t>94025</t>
  </si>
  <si>
    <t>The company raised $14.5 million of Series A venture funding in a deal led by e.ventures on March 7, 2018, putting the company's pre-money valuation at $40 million. Battery Ventures, Cisco Investments, GGV Capital, Greycroft, GV, Dubai Angel Investors, Microsoft Ventures, Salesforce Ventures and Workday Ventures also participated in the round. The funds will be used to expand the company's engineering team and bolster its AI systems that draw insights from meeting transcripts. The round brings total funds raised to $20 million to date. Previously, the company raised $5.5 million of seed funding from Battery Ventures, Greycroft Partners and Salesforce Ventures on February 27, 2017.</t>
  </si>
  <si>
    <t>AME Cloud Ventures, Battery Ventures, Cisco Investments, Dubai Angel Investors, e.ventures, GGV Capital, Greycroft, GV, M12, Rising Tide Fund, Salesforce Ventures, Workday Ventures</t>
  </si>
  <si>
    <t>AME Cloud Ventures(www.amecloudventures.com), Battery Ventures(www.battery.com), Cisco Investments(www.ciscoinvestments.com), Dubai Angel Investors(www.dubaiangelinvestors.me), e.ventures(www.eventures.vc), GGV Capital(www.ggvc.com), Greycroft(www.greycroft.com), GV(www.gv.com), M12(www.m12.vc), Rising Tide Fund(www.rtf.vc)</t>
  </si>
  <si>
    <t>Fenwick &amp; West(Legal Advisor)</t>
  </si>
  <si>
    <t>53894-62</t>
  </si>
  <si>
    <t>Vnomics</t>
  </si>
  <si>
    <t>Liban</t>
  </si>
  <si>
    <t>Lytx, Idelic, PeopleNet Communications, Microlise, SmartDrive Systems</t>
  </si>
  <si>
    <t>Provider of advanced analytics tool intended to enable commercial trucking fleets to improve driver and vehicle performance. The company's tool, OEM-agnostic and standalone fuel optimization system, True Fuel, coaches drivers in real time to achieve higher fuel efficiency. The system calculates actual and potential fuel economy (normalized for factors beyond the drivers' control) then provides comprehensive data enabling fleets to reduce fuel expense by improving driver and vehicle performance in real-time, enabling driver-friendly incentive plans to improve driver engagement and retention, measuring only what drivers are responsible for.</t>
  </si>
  <si>
    <t>Application Software, Road*</t>
  </si>
  <si>
    <t>Artificial Intelligence &amp; Machine Learning, Big Data, CleanTech, Industrials</t>
  </si>
  <si>
    <t>drivers behavior analytics, drivers coaching, drivers engagement platform, drivers incentive platform, drivers retention, fuel efficiency devices, fuel efficiency technology, fuel-optimization technology</t>
  </si>
  <si>
    <t>www.vnomicscorp.com</t>
  </si>
  <si>
    <t>2009: 13, 2010: 28, 2011: 25, 2014: 51, 2017: 40</t>
  </si>
  <si>
    <t>45502-39P</t>
  </si>
  <si>
    <t>Alan Farnsworth</t>
  </si>
  <si>
    <t>Chief Executive Officer &amp; Board Member</t>
  </si>
  <si>
    <t>afarnsworth@vnomicscorp.com</t>
  </si>
  <si>
    <t>+1 (585) 377-9700</t>
  </si>
  <si>
    <t>Pittsford, NY</t>
  </si>
  <si>
    <t>175 Sully's Trail</t>
  </si>
  <si>
    <t>Pittsford</t>
  </si>
  <si>
    <t>14534</t>
  </si>
  <si>
    <t>info@vnomicscorp.com</t>
  </si>
  <si>
    <t>The company raised an undisclosed amount of venture funding from Lockheed Martin on September 22, 2016. The funding will enable the company to build on the success of its recently introduced True Fuel optimization solution.</t>
  </si>
  <si>
    <t>Lockheed Martin, Lockheed Martin Ventures, National Science Foundation, NYSERDA, Primary Venture Partners, Rochester Angel Network</t>
  </si>
  <si>
    <t>Lockheed Martin(www.lockheedmartin.com), National Science Foundation(seedfund.nsf.gov), NYSERDA(www.nyserda.ny.gov), Primary Venture Partners(www.primary.vc), Rochester Angel Network(www.rochesterangels.com)</t>
  </si>
  <si>
    <t>100237-15</t>
  </si>
  <si>
    <t>Vlocity</t>
  </si>
  <si>
    <t>Salsify, Salesforce, SalezShark, Unit4, Nimble, WhatsHelp, CloudSense (London), Nutshell, Insightly, MailChimp, Cosential, ToutApp, Autopilot, SalesLoft</t>
  </si>
  <si>
    <t>Developer of a cloud based software intended to deliver industry-specific customer experiences. The company's software provides cloud applications that help companies to deliver unified, industry-specific customer experiences in customer-centric industries, including communications and media, health insurance and the public sector, enabling clients to achieve faster business agility and time to value from the cloud across digital and traditional channels.</t>
  </si>
  <si>
    <t>Application Software, Business/Productivity Software*, Social/Platform Software</t>
  </si>
  <si>
    <t>cloud software, mobile service, mobile software service</t>
  </si>
  <si>
    <t>www.vlocity.com</t>
  </si>
  <si>
    <t>2014: 54, 2015: 74, 2016: 154, 2019: 700</t>
  </si>
  <si>
    <t>69160-51P</t>
  </si>
  <si>
    <t>David Schmaier</t>
  </si>
  <si>
    <t>dschmaier@vlocity.com</t>
  </si>
  <si>
    <t>+1 (844) 856-2489</t>
  </si>
  <si>
    <t>Salesforce Tower</t>
  </si>
  <si>
    <t>415 Mission Street, 50th Floor</t>
  </si>
  <si>
    <t>hq@vlocity.com</t>
  </si>
  <si>
    <t>The company raised $60 million of Series C venture funding in a deal led by Salesforce Ventures and Sutter Hill Ventures on March 26, 2019, putting the company's pre-money valuation at $940 million. Accenture, New York Life Ventures and Bessemer Venture Partners also participated in the round. The company intends to use the funds to accelerate and deepen product development in its portfolio of industry cloud applications, built on Salesforce, grow its global service and support teams and support infrastructure.</t>
  </si>
  <si>
    <t>Accenture, Bessemer Venture Partners, Kennet Partners, New York Life Enterprises, New York Life Ventures, Salesforce Ventures, Sutter Hill Ventures, TDF Ventures, Wildcat Venture Partners</t>
  </si>
  <si>
    <t>Accenture(www.accenture.com), Bessemer Venture Partners(www.bvp.com), Kennet Partners(www.kennet.com), New York Life Ventures(www.nylventures.com), Sutter Hill Ventures(www.shv.com), TDF Ventures(www.tdfventures.com), Wildcat Venture Partners(www.wildcat.vc)</t>
  </si>
  <si>
    <t>Aspen Worldwide(Consulting), Burkland Associates(Accounting), Goodwin(Legal Advisor)</t>
  </si>
  <si>
    <t>128807-20</t>
  </si>
  <si>
    <t>VizExplorer</t>
  </si>
  <si>
    <t>BIS2</t>
  </si>
  <si>
    <t>MapR, SnapLogic, Think Big Analytics, Databricks, Cloudera, Silicon Valley Data Science, SAS Institute, Syncplicity, 1010data, RapidMiner, Tellmeplus, DataStax, TIBCO Software, Guavus, Alteryx, Cardinality</t>
  </si>
  <si>
    <t>Developer of data analytic software designed to be applied in data design and visualization principles to big data problems. The company's software help enterprises to transform data into information and information into insights, enabling companies in gaming, entertainment, healthcare and manufacturing to optimize their efficiency and profitability.</t>
  </si>
  <si>
    <t>Database Software</t>
  </si>
  <si>
    <t>Database Software*, Entertainment Software, Other Software</t>
  </si>
  <si>
    <t>Big Data, Mobile, SaaS, TMT</t>
  </si>
  <si>
    <t>data analytical, data analytics, gaming software</t>
  </si>
  <si>
    <t>www.vizexplorer.com</t>
  </si>
  <si>
    <t>2016: 51, 2018: 150</t>
  </si>
  <si>
    <t>145413-73P</t>
  </si>
  <si>
    <t>Ian Bonner</t>
  </si>
  <si>
    <t>Executive Chairman</t>
  </si>
  <si>
    <t>ian.bonner@vizexplorer.com</t>
  </si>
  <si>
    <t>+1 (858) 592-2472</t>
  </si>
  <si>
    <t>17075 Camino San Bernardo</t>
  </si>
  <si>
    <t>92127</t>
  </si>
  <si>
    <t>+1 (858) 408-3660</t>
  </si>
  <si>
    <t>info@vizexplorer.com</t>
  </si>
  <si>
    <t>The company was acquired by Morgan Stanley Expansion Capital through an LBO on April 17, 2018 for an undisclosed sum. The investment will enable the company to scale business operations, enhance its analytics platform for the casino industry, and deliver new solutions for additional verticals including manufacturing, entertainment venues and healthcare.</t>
  </si>
  <si>
    <t>Morgan Stanley Expansion Capital, Stanley Ventures</t>
  </si>
  <si>
    <t>Endeavor Global</t>
  </si>
  <si>
    <t>Stanley Ventures(www.stanleyventures.com)</t>
  </si>
  <si>
    <t>Endeavor Global(www.endeavor.org)</t>
  </si>
  <si>
    <t>102884-50</t>
  </si>
  <si>
    <t>VitalConnect</t>
  </si>
  <si>
    <t>Vigilo Networks</t>
  </si>
  <si>
    <t>Multisensor Diagnostics, Intelesens, Eccrine Systems, AliveCor, OrSense, Sotera Wireless, Stasis Labs, Tricog, CardioDiagnostics, PeriGen, OBS Medical, InfoBionic, Sphere Medical Holding, Livongo, Geneva Health Solutions, EarlySense, Rijuven, EPD Solutions</t>
  </si>
  <si>
    <t>Developer of wearable biosensor systems designed to continuously monitor and record patient vital signs. The company's wearable biosensor systems use adhesive patch that continuously monitors and records eight patient vital signs which can be displayed on mobile devicess, enabling healthcare providers and patients to respond immediately to urgent situations and access unprecedented insight into patient health to aid in critical decisions.</t>
  </si>
  <si>
    <t>Monitoring Equipment*</t>
  </si>
  <si>
    <t>Digital Health, Mobile, TMT, Wearables &amp; Quantified Self</t>
  </si>
  <si>
    <t>biosensor device, biosensor technology, health analytics platform, patient monitoring system, remote patient monitoring, wearable device</t>
  </si>
  <si>
    <t>www.vitalconnect.com</t>
  </si>
  <si>
    <t>2013: 61, 2014: 68, 2015: 65, 2016: 73, 2017: 61</t>
  </si>
  <si>
    <t>59604-58P</t>
  </si>
  <si>
    <t>Nersi Nazari</t>
  </si>
  <si>
    <t>Co-Founder, Chief Executive Officer &amp; Chairman of the Board</t>
  </si>
  <si>
    <t>nnazari@vitalconnect.com</t>
  </si>
  <si>
    <t>+1 (408) 963-4600</t>
  </si>
  <si>
    <t>224 Airport Parkway</t>
  </si>
  <si>
    <t>info@vitalconnect.com</t>
  </si>
  <si>
    <t>The company repaid $17.5 million of its term loan owed to Perceptive Advisors on an undisclosed date.</t>
  </si>
  <si>
    <t>Asahi Kasei Corporate Venture Capital, Baxter Ventures, MVM Partners</t>
  </si>
  <si>
    <t>Asahi Kasei Corporate Venture Capital(www.asahikaseiventures.com), MVM Partners(www.mvm.com)</t>
  </si>
  <si>
    <t>Orrick, Herrington &amp; Sutcliffe(Legal Advisor), PwC(Auditor)</t>
  </si>
  <si>
    <t>Armentum Partners(Advisor: General), Jones Day(Legal Advisor), Orrick, Herrington &amp; Sutcliffe(Legal Advisor), Oxford Finance(Debt Financing), Perceptive Advisors(Debt Financing)</t>
  </si>
  <si>
    <t>Debt Repayment</t>
  </si>
  <si>
    <t>59970-70</t>
  </si>
  <si>
    <t>Visuality Systems</t>
  </si>
  <si>
    <t>Developer of an SMB/CIFS-based management platform designed to offer networking equipment. The company's platform offers portable SMB (Server Message Block) protocol stacks, enabling users to get shared access to files, printers, and serial ports and miscellaneous communications between nodes on a network.</t>
  </si>
  <si>
    <t>Connectivity Products</t>
  </si>
  <si>
    <t>Business/Productivity Software, Connectivity Products*</t>
  </si>
  <si>
    <t>network protocol, networking equipment, networking equipment retail, unified management platform</t>
  </si>
  <si>
    <t>www.visualitynq.com</t>
  </si>
  <si>
    <t>2000: 15, 2014: 11</t>
  </si>
  <si>
    <t>58964-86P</t>
  </si>
  <si>
    <t>Sam Widerman</t>
  </si>
  <si>
    <t>samw@visualitynq.com</t>
  </si>
  <si>
    <t>+972 (0)4 959 2155</t>
  </si>
  <si>
    <t>Yokneam Ilit, Israel</t>
  </si>
  <si>
    <t>3 Hatamar Street</t>
  </si>
  <si>
    <t>Hi Tech Star Building</t>
  </si>
  <si>
    <t>Yokneam Ilit</t>
  </si>
  <si>
    <t>+972 (0)4 959 2173</t>
  </si>
  <si>
    <t>info@visualitynq.com</t>
  </si>
  <si>
    <t>Siemens Venture Capital sold its stake in the company on an undisclosed date.</t>
  </si>
  <si>
    <t>Apex Mutavim, Cipio Partners</t>
  </si>
  <si>
    <t>Next47</t>
  </si>
  <si>
    <t>Apex Mutavim(www.apex-inv.co.il), Cipio Partners(www.cipiopartners.com)</t>
  </si>
  <si>
    <t>Next47(Next47.com)</t>
  </si>
  <si>
    <t>234739-81</t>
  </si>
  <si>
    <t>Visual Estate</t>
  </si>
  <si>
    <t>Developer of a virtual visual estate platform intended to bring modern day e-commerce experience into the real estate world, eliminating the buying and selling of "invisible" properties. The company's platform brings the "tailor" approach to projects, lets users to turn any floor plan into a deeply engaging experience for their clients, design their own or choose any of its pre-designed styles, enabling real estate developer or marketer to create a smart virtual show apartment instantly, using just a floor plan.</t>
  </si>
  <si>
    <t>Media and Information Services (B2B)*, Other Commercial Services, Other Software</t>
  </si>
  <si>
    <t>Real Estate Technology</t>
  </si>
  <si>
    <t>apartments design, virtual apartments planning, virtual floor planning, virtual visual estate, visual estate platform</t>
  </si>
  <si>
    <t>www.visualestate.com</t>
  </si>
  <si>
    <t>197061-58P</t>
  </si>
  <si>
    <t>Alon Naftali</t>
  </si>
  <si>
    <t>+972 (0)52 687 0702</t>
  </si>
  <si>
    <t>Beersheba, Israel</t>
  </si>
  <si>
    <t>77 Haenergia Street</t>
  </si>
  <si>
    <t>4th Floor</t>
  </si>
  <si>
    <t>Beersheba</t>
  </si>
  <si>
    <t>contact@visualestate.com</t>
  </si>
  <si>
    <t>The company joined F2 Capital in January, 2018.</t>
  </si>
  <si>
    <t>F2 Capital, SAP.iO Foundry</t>
  </si>
  <si>
    <t>F2 Capital(www.f2vc.com), SAP.iO Foundry(sap.io)</t>
  </si>
  <si>
    <t>52984-27</t>
  </si>
  <si>
    <t>Visto</t>
  </si>
  <si>
    <t>Collective Media</t>
  </si>
  <si>
    <t>StrikeAd, Criteo, Manage.com Group, DataXu, Varick, WideOrbit, AdRoll, Liftoff, AppNexus, Turn, Bidstalk, Terminus, Dstillery, Appodeal, Adelphic, AppsFlyer, Apsalar, Quantcast, AdLib Mediation, InMobi, Tapad, MaxPoint Interactive, StackAdapt, Match2One, Moasis Global, Hivewyre, Choozle, MediaMath, AcuityAds Holdings, Yext, Aarki, Nexage, Sharethrough, AddThis, TellApart, Airship, YuMe, HipCricket, AppLift, SpotX, July Systems, PubMatic, SITO Mobile, Sense360, MixPanel, Rocket Fuel, Swrve, Chartboost, Fyber, OwnerIQ, IconPeak, i.Predictus, HeyZap, BuzzCity, Vibrant (Media), Avazu, TUNE, Localytics, AppLovin, BroadStream Solutions, StreetLight Data, Smaato, TubeMogul, Clypd, PlaceIQ, KissMyAds, RadiumOne, Millennial Media, Factual, TapCommerce, Magnetic (Marketing Platform), Theorem Advertising, Perion Network, RetailNext, ThinkNear, Demandbase, Mobvista, deltaDNA, Go2mobi, Jelli, Domo, BCC Adsystems, Mediaocean, Blackfox, Feedburner, OpenX, Rubicon Project, Taptica, Inneractive, GlobalWide Media, Indix, Fiksu, Grow Mobile, NativeX Holdings, SAS Institute, Syndicated Maps, Placed, Collaborative Solutions</t>
  </si>
  <si>
    <t>Developer of an online programmatic advertising platform designed to offer software and services that offer transparency and control for data-driven buying. The company's platform helps to unify the programmatic ecosystem and identify the most efficient and effective path to delivery, enabling brands to manage all of their programmatic media technologies and effortlessly optimize and test new ones to control audience reach and frequency and choreograph messaging across multiple media.</t>
  </si>
  <si>
    <t>Business/Productivity Software, Media and Information Services (B2B)*, Social/Platform Software</t>
  </si>
  <si>
    <t>advertising technology, cross-screen advertising, digital advertising, programmatic advertising platform, programmatic media, tv advertising, video advertising</t>
  </si>
  <si>
    <t>www.vistohub.com</t>
  </si>
  <si>
    <t>2014: 498, 2015: 477, 2016: 405</t>
  </si>
  <si>
    <t>FY 2010</t>
  </si>
  <si>
    <t>36629-38P</t>
  </si>
  <si>
    <t>Joseph Apprendi</t>
  </si>
  <si>
    <t>Founder &amp; Executive Chairman</t>
  </si>
  <si>
    <t>joe@collective.com</t>
  </si>
  <si>
    <t>+1 (646) 480-5140</t>
  </si>
  <si>
    <t>72 Madison Avenue</t>
  </si>
  <si>
    <t>3rd Floor</t>
  </si>
  <si>
    <t>The company failed and is subsequently in talks to be acquired by Zeta Global, via its financial sponsors FS Investment Solutions, GCP Capital Partners, GPI Capital, GSO Capital Partners, Iris Capital, JMI Equity, Sierra Ventures, Staley Capital and The Blackstone Group through an LBO on November 20, 2018 for an undisclosed sum. The acquisition will leverage both the Visto hub assets and team to further bolster its strengths as a data-driven marketing technology company that operates the largest independent Marketing and Data Cloud. Previously, The company filed for Chapter 11 bankruptcy on November 19, 2018. The company is being actively tracked by PitchBook.</t>
  </si>
  <si>
    <t>Zeta Global</t>
  </si>
  <si>
    <t>Accel, Adapp, Columbia Partners Private Capital, Cox Media Group, eonCapital, Greycroft, Inovia Capital, Park Place Media, Peter Kellner, Samsung Venture Investment, Tenaya Capital</t>
  </si>
  <si>
    <t>Zeta Global(www.zetaglobal.com)</t>
  </si>
  <si>
    <t>Accel(www.accel.com), Columbia Partners Private Capital(www.cpprivatecap.com), Cox Media Group(www.coxmediagroup.com), eonCapital(www.eoncapital.com), Greycroft(www.greycroft.com), Inovia Capital(www.inovia.vc), Samsung Venture Investment(www.samsungventures.com), Tenaya Capital(www.tenayacapital.com)</t>
  </si>
  <si>
    <t>Connor Group(Advisor: General), DecisionCFO(Consulting), Lowenstein Sandler(Legal Advisor), Star ()(Consulting), True Capital Partners(Advisor: General), WilmerHale(Legal Advisor)</t>
  </si>
  <si>
    <t>AGC Partners(Advisor: General), Comerica Bank(Debt Financing), Jefferies Financial Group(Advisor: General), Lowenstein Sandler(Legal Advisor), Oaklins DeSilva &amp; Phillips(Advisor: General), WilmerHale(Legal Advisor)</t>
  </si>
  <si>
    <t>Distressed Acquisition</t>
  </si>
  <si>
    <t>Upcoming</t>
  </si>
  <si>
    <t>55092-25</t>
  </si>
  <si>
    <t>Vision Critical Communications</t>
  </si>
  <si>
    <t>Vision Critical</t>
  </si>
  <si>
    <t>Absolutdata Intelligent Analytics, C Space, InfoScout, SandSIV, Satmetrix Systems, 9Lenses, Medallia, Visier, UserVoice, GutCheck, Clarabridge, MFour, SugarCRM, Zappi, comScore, Quri, Mobee, WhatUsersDo, Chaordix, Fuel Cycle, WhoKnows, Workfront, Qualtrics, Dalia, Mzinga, Typeform, Simply Measured, Revuze, Research Now Group, Insightly, UserTesting, Culture Amp, Surveypal, Pipedrive, NetBase, OpinionLab, Acquia, Lucid Holdings, ForeSee Results, Rubikloud, InMoment, QuestBack, iSKY, Instantly, ResponseTek, Verint Systems, Usabilla, On Device Research, Lithium Technologies, Enprecis Group, HappyFox, GfK, Copper (Software), GladMinds Technologies, Optimizely, RDA Group</t>
  </si>
  <si>
    <t>Provider of cloud-based customer intelligence platform designed to helps large, customer-centric enterprises discover what their customers want so they can deliver what they need. The company's cloud-based customer intelligence platform replaces static data and cumbersome reports with real-time actionable customer intelligence that companies need to build better products, deliver better services and achieve better business outcomes, enabling companies to build engaged, secure communities of customers they can use continuously, across the enterprise, for ongoing, real-time feedback and insight.</t>
  </si>
  <si>
    <t>Business/Productivity Software*, Consulting Services (B2B), Media and Information Services (B2B)</t>
  </si>
  <si>
    <t>community panel, customer intelligence, customer intelligence platform, customer intelligence software, market research software, online market research</t>
  </si>
  <si>
    <t>www.visioncritical.com</t>
  </si>
  <si>
    <t>2007: 213, 2011: 500, 2012: 500, 2013: 700, 2014: 706, 2016: 852, 2017: 600</t>
  </si>
  <si>
    <t>Competitor (New) QuestBack</t>
  </si>
  <si>
    <t>174655-81P</t>
  </si>
  <si>
    <t>Vinod Hariharan</t>
  </si>
  <si>
    <t>vinod.hariharan@visioncritical.com</t>
  </si>
  <si>
    <t>+1 (604) 647-1980</t>
  </si>
  <si>
    <t>Vancouver, Canada</t>
  </si>
  <si>
    <t>200 Granville Street</t>
  </si>
  <si>
    <t>Mezzanine Floor</t>
  </si>
  <si>
    <t>Vancouver</t>
  </si>
  <si>
    <t>British Columbia</t>
  </si>
  <si>
    <t>V6C 1S4</t>
  </si>
  <si>
    <t>+1 (604) 647-1005</t>
  </si>
  <si>
    <t>info@visioncritical.com</t>
  </si>
  <si>
    <t>Angus Reid sold its stake in the company to Georgian Partners and W Capital Partners on February 27, 2017.</t>
  </si>
  <si>
    <t>Angus Reid, Bridgescale, Difference Capital Financial, Georgian Partners, Gibraltar Ventures (Toronto), Individual Investor, Kensington Capital Partners, Northleaf Capital Partners, OMERS Ventures, RecapHealth Ventures, TELUS Ventures, W Capital Partners, Wellington Financial</t>
  </si>
  <si>
    <t>Teralys Capital</t>
  </si>
  <si>
    <t>Bridgescale(www.bridgescale.com), Difference Capital Financial(www.differencecapital.com), Georgian Partners(www.georgianpartners.com), Gibraltar Ventures (Toronto)(www.gibraltarcompany.ca), Kensington Capital Partners(www.kcpl.ca), Northleaf Capital Partners(www.northleafcapital.com), OMERS Ventures(www.omersventures.com), RecapHealth Ventures(recaphealth.wpengine.com), TELUS Ventures(ventures.telus.com), W Capital Partners(www.wcapgroup.com), Wellington Financial(www.wellingtonfund.com)</t>
  </si>
  <si>
    <t>Teralys Capital(www.teralyscapital.com)</t>
  </si>
  <si>
    <t>B. Riley FBR(Advisor: General), Deloitte(Advisor: General), Osler, Hoskin &amp; Harcourt(Legal Advisor)</t>
  </si>
  <si>
    <t>BMO Capital Markets(Advisor: General), Garibaldi Capital Advisors(Advisor: General), Osler, Hoskin &amp; Harcourt(Legal Advisor), Wellington Financial(Debt Financing)</t>
  </si>
  <si>
    <t>61210-90</t>
  </si>
  <si>
    <t>Visibly</t>
  </si>
  <si>
    <t>Opternative</t>
  </si>
  <si>
    <t>Simple Contacts, easee, Warby Parker</t>
  </si>
  <si>
    <t>Provider of an online eye-test platform intended to provide digital eye tests. The company's platform can evaluate a patient's visual acuity, ocular health profile and diagnose refractive error, enabling patients to renew their prescription anywhere anytime.</t>
  </si>
  <si>
    <t>Application Software, Other Healthcare Technology Systems*, Social/Platform Software</t>
  </si>
  <si>
    <t>contact lense, eye checking, eye examination, online eye-examination</t>
  </si>
  <si>
    <t>www.govisibly.com</t>
  </si>
  <si>
    <t>2014: 15, 2016: 15, 2018: 50</t>
  </si>
  <si>
    <t>53486-83P</t>
  </si>
  <si>
    <t>Brent Rasmussen</t>
  </si>
  <si>
    <t>brent@opternative.com</t>
  </si>
  <si>
    <t>+1 (866) 314-6941</t>
  </si>
  <si>
    <t>Chicago, IL</t>
  </si>
  <si>
    <t>833 West Jackson Boulevard</t>
  </si>
  <si>
    <t>Suite 700</t>
  </si>
  <si>
    <t>Chicago</t>
  </si>
  <si>
    <t>Illinois</t>
  </si>
  <si>
    <t>60607</t>
  </si>
  <si>
    <t>info@govisibly.com</t>
  </si>
  <si>
    <t>The company raised $9 million through a combination of Series A3 and Series A4 venture funding in a deal led by Pritzker Group Venture Capital and Trust Ventures on November 8, 2018, putting the company's pre-money valuation at $30 million. Jump Capital also participated in the round. The company will use the new funding to double its engineering, product, sales and marketing teams by mid-2019, it will also be used to grow awareness and adoption of its online vision test with consumers, employers and eye care providers.</t>
  </si>
  <si>
    <t>Apex Venture Partners, Armando Pauker, Brian Hirsch, Caerus Investment Partners, Catapult Chicago, Chicago Ventures, Corazon Capital, Craig Duchossois, DRW Venture Capital, Duchossois Capital Management, Healthbox, Jump Capital, Lakewest Venture Partners, Lon Chow, McNally Capital, NextGen Venture Partners, Pallasite Ventures, Pritzker Group Venture Capital, Sam Yagan, Service Provider Capital, TLSG Investments, Trebuchet Fund, Tribeca Venture Partners, Trust Ventures, United Enterprise Fund, Wasson Enterprise, Wayne Boulais</t>
  </si>
  <si>
    <t>Apex Venture Partners(www.apexvc.com), Caerus Investment Partners(www.caerusip.com), Catapult Chicago(www.catapultchicago.com), Chicago Ventures(www.chicagoventures.com), Corazon Capital(www.corazoncap.com), DRW Venture Capital(www.drwvc.com), Duchossois Capital Management(www.dcmllc.com), Healthbox(www.healthbox.com), Jump Capital(www.jumpcap.com), Lakewest Venture Partners(www.lakewestinc.com), McNally Capital(www.mcnallycapital.com), NextGen Venture Partners(www.nextgenvp.com), Pallasite Ventures(www.pallasiteventures.com), Pritzker Group Venture Capital(www.pritzkergroup.com/venture-capital), Service Provider Capital(www.serviceprovidercapital.com), TLSG Investments(www.tlsginc.com), Tribeca Venture Partners(www.tribecavp.com), Trust Ventures(www.trustventures.com), United Enterprise Fund(www.unitedenterprisefund.com), Wasson Enterprise(www.wassonenterprise.com)</t>
  </si>
  <si>
    <t>Fenwick &amp; West(Legal Advisor), Foley &amp; Lardner(Legal Advisor)</t>
  </si>
  <si>
    <t>57575-62</t>
  </si>
  <si>
    <t>Virtru</t>
  </si>
  <si>
    <t>CipherCloud, ZIVVER</t>
  </si>
  <si>
    <t>Provider of a data security platform designed to eliminate the tradeoff between data protection and ease of use for businesses. The company's platform helps organizations to secure sensitive information and support compliance including HIPAA, FERPA, CJIS, ITAR and others, enabling businesses to easily protect and control sensitive information regardless of where it's been created, stored, or shared.</t>
  </si>
  <si>
    <t>data protection, data protection platform, data security, data security platform, digital security</t>
  </si>
  <si>
    <t>www.virtru.com</t>
  </si>
  <si>
    <t>2014: 14, 2018: 80</t>
  </si>
  <si>
    <t>31386-70P</t>
  </si>
  <si>
    <t>John Ackerly</t>
  </si>
  <si>
    <t>john@virtru.com</t>
  </si>
  <si>
    <t>+1 (202) 549-3328</t>
  </si>
  <si>
    <t>1130 Connecticut Avenue North West</t>
  </si>
  <si>
    <t>Suite 210</t>
  </si>
  <si>
    <t>info@virtru.com</t>
  </si>
  <si>
    <t>The company raised $37.5 million of Series B venture funding in a deal led by ICONIQ Capital on May 8, 2018, putting the company's pre-money valuation at $115 million. Blue Delta Capital Partners, Samsung NEXT Ventures, Bessemer Venture Partners, New Enterprise Associates, Thyra Global and Soros Fund Management also participated in the round. The company plans to use the money to expand beyond email and into services that store data in the cloud.</t>
  </si>
  <si>
    <t>Bessemer Venture Partners, Blue Delta Capital Partners, ICONIQ Capital, Microsoft ScaleUp, New Enterprise Associates, Portage Partners, Quadrant Capital Advisors, Samsung NEXT Ventures, Soros Fund Management, Teamworthy Ventures, Tenfore Holdings, Thyra Global Management, Vidinovo</t>
  </si>
  <si>
    <t>Bessemer Venture Partners(www.bvp.com), Blue Delta Capital Partners(www.bluedeltacapitalpartners.com), ICONIQ Capital(www.iconiqcapital.com), Microsoft ScaleUp(startups.microsoft.com/en-us/scale-up), New Enterprise Associates(www.nea.com), Portage Partners(www.portagepartners.com), Samsung NEXT Ventures(www.samsungnext.com), Teamworthy Ventures(www.teamworthy.com), Tenfore Holdings(www.tenforeholdings.com), Thyra Global Management(www.thyraglobal.com), Vidinovo(www.vidinovo.com)</t>
  </si>
  <si>
    <t>Morrison &amp; Foerster(Legal Advisor)</t>
  </si>
  <si>
    <t>104461-21</t>
  </si>
  <si>
    <t>Virsys12</t>
  </si>
  <si>
    <t>Advanced Technology Group, Silverline, Tribridge, CRM Manager, Bluewolf Group, Simplus, Configero, Statera (Cloud Management), Avaus Consulting, Shore, Magnet 360, The North Highland Company, Appirio, Summa Technologies, Vertiba, Sogeti</t>
  </si>
  <si>
    <t>Operator of a technology consulting firm intended to provide cloud computing software-as-a-service technologies. The company's consultancy services assist clients in the implementation and configuration of Salesforce, Force.com and many other technologies that integrate with cloud platforms, enabling organizations in growth mode to use technology to expedite their revenue and growth plans.</t>
  </si>
  <si>
    <t>Consulting Services (B2B)</t>
  </si>
  <si>
    <t>Business/Productivity Software, Consulting Services (B2B)*, Other Healthcare Technology Systems</t>
  </si>
  <si>
    <t>HealthTech, Industrials, SaaS, TMT</t>
  </si>
  <si>
    <t>custom application developer, healthcare innovation platform, healthcare interoperability software, healthcare it management, salesforce consulting partners, salesforce healthcare, v12 network</t>
  </si>
  <si>
    <t>www.virsys12.com</t>
  </si>
  <si>
    <t>94687-57P</t>
  </si>
  <si>
    <t>Tammy Hawes</t>
  </si>
  <si>
    <t>tammy.hawes@virsys12.com</t>
  </si>
  <si>
    <t>+1 (615) 800-6768</t>
  </si>
  <si>
    <t>Brentwood, TN</t>
  </si>
  <si>
    <t>278 Franklin Road, Four CityPark</t>
  </si>
  <si>
    <t>Suite 350</t>
  </si>
  <si>
    <t>Brentwood</t>
  </si>
  <si>
    <t>Tennessee</t>
  </si>
  <si>
    <t>37027</t>
  </si>
  <si>
    <t>solutions@virsys12.com</t>
  </si>
  <si>
    <t>The company raised an undisclosed amount of venture funding in a deal led by Salesforce Ventures on May 31, 2018. Other undisclosed investors also participated in the round. The funds will be used by the company to support the growth for meeting the increasing demand in the market for Health Cloud implementations and to continue to provide clients with transformational technology on the Salesforce platform.</t>
  </si>
  <si>
    <t>Salesforce Ventures</t>
  </si>
  <si>
    <t>57654-64</t>
  </si>
  <si>
    <t>Viridis</t>
  </si>
  <si>
    <t>Viridis Learning</t>
  </si>
  <si>
    <t>Symplicity, Salesforce, Education Partners, Vitria Technology, Hobsons, SensrTrx</t>
  </si>
  <si>
    <t>Developer of a SaaS based talent management platform designed to automate recruiting. The company's talent management platform uses data analytics to match students' career aspirations and skill sets with employer demanda proprietary which integrates with existing student information systems, government databases and labor market information to connect community colleges &amp; their students to workforce investment boards &amp; local employers, enabling colleges to better track and understand their students' performance and outcomes, reduce student time-to-completion rates and improve students' employment placement as well as allow employers to hire more quickly, cut recruitment and retention costs and reduce churn with skill-based job matching.</t>
  </si>
  <si>
    <t>Business/Productivity Software*, Social/Platform Software</t>
  </si>
  <si>
    <t>HR Tech, Impact Investing, SaaS, TMT</t>
  </si>
  <si>
    <t>blockchain, blocks chain, hr technology, impact investing vertical, jobs matches platform, talent management, talent management platform</t>
  </si>
  <si>
    <t>www.viridislearning.com</t>
  </si>
  <si>
    <t>2014: 16, 2017: 21</t>
  </si>
  <si>
    <t>50920-66P</t>
  </si>
  <si>
    <t>Felix Ortiz</t>
  </si>
  <si>
    <t>Chief Executive Officer, Chairman and Co-Founder</t>
  </si>
  <si>
    <t>felix.ortiz@viridislearning.com</t>
  </si>
  <si>
    <t>The company raised $7.5 million of Series A venture funding in a deal led by Thayer Ventures on March 30, 2017, putting the pre-money valuation at $6 million. Salesforce Ventures, Lumina Foundation, University Ventures, Carver Family Office, Serious Change, NVC Investments, Entangled Ventures, Impact Engine, Ken Hicks, Acumen Fund and C.S. Park also participated in the round. The funds will be used to continue expanding its Skill Passport Accountability Tracking solution adoption, develop its solutions, and grow market reach and to open an office in Austin, Texas.</t>
  </si>
  <si>
    <t>Acumen Fund, Carver Family Office, Chong Park, CNF Investments, Comcast Ventures, Entangled Group, Expansion Venture Capital, Future\Perfect Ventures, Impact Engine, Kenneth Hicks, Lumina Foundation, NVC Investment, Ryan Melohn, Salesforce Ventures, Serious Change, Thayer Ventures, Ulu Ventures, University Ventures</t>
  </si>
  <si>
    <t>Acumen Fund(www.acumen.org), Comcast Ventures(www.comcastventures.com), Entangled Group(www.entangled.group), Expansion Venture Capital(www.expansionvc.com), Future\Perfect Ventures(www.futureperfectventures.com), Impact Engine(www.theimpactengine.com), Lumina Foundation(www.luminafoundation.org), Serious Change(www.seriouschange.org.uk), Thayer Ventures(www.thayerventures.com), Ulu Ventures(www.uluventures.com), University Ventures(www.universityventures.com)</t>
  </si>
  <si>
    <t>DLA Piper(Legal Advisor), Goodwin(Legal Advisor)</t>
  </si>
  <si>
    <t>99971-29</t>
  </si>
  <si>
    <t>ViriCiti</t>
  </si>
  <si>
    <t>Developer of an online electric bus fleet management platform intended to monitor electrical transport operations. The company's platform offers real-time data insights about route operations and vehicle diagnosis, analyzes them and simultaneously stores them for reporting purposes, enabling transport operators to charge the vehicles at the right time and avoid peak demand fees.</t>
  </si>
  <si>
    <t>Application Software*, Business/Productivity Software, Other Transportation</t>
  </si>
  <si>
    <t>bus fleet management software, bus fleet management system, electrical bus charging, electrical bus system, electrical transport management platform, online bus fleet management</t>
  </si>
  <si>
    <t>www.viriciti.com</t>
  </si>
  <si>
    <t>90391-42P</t>
  </si>
  <si>
    <t>Freek Dielissen</t>
  </si>
  <si>
    <t>f.dielissen@viriciti.com</t>
  </si>
  <si>
    <t>+31 (0)20 771 7817</t>
  </si>
  <si>
    <t>Kabelweg 57</t>
  </si>
  <si>
    <t>1014 BA</t>
  </si>
  <si>
    <t>info@viriciti.com</t>
  </si>
  <si>
    <t>The company raised EUR 6.25 million of Series A venture funding in a deal led by Energy Impact Partners on January 28, 2019. Mainport Innovation Fund II and another undisclosed investor also participated in the round. The funds will be used to expand the company into the North American markets.</t>
  </si>
  <si>
    <t>Breesaap Green Link, EIT Climate-KIC, Energy Impact Partners, Mainport Innovation Fund II, NBI Investors, Utrechtinc</t>
  </si>
  <si>
    <t>EIT Climate-KIC(www.climate-kic.org), Energy Impact Partners(www.energyimpactpartners.com), Mainport Innovation Fund II(www.mainportinnovationfund.nl), NBI Investors(www.nbi-investors.nl), Utrechtinc(www.utrechtinc.nl)</t>
  </si>
  <si>
    <t>Houthoff(Legal Advisor), Reitler Kailas &amp; Rosenblatt(Legal Advisor), VESPER Advocaten(Legal Advisor)</t>
  </si>
  <si>
    <t>230550-58</t>
  </si>
  <si>
    <t>Viral Launch</t>
  </si>
  <si>
    <t>AMZScout, Jungle Scout</t>
  </si>
  <si>
    <t>Developer of a go-to software and services platform designed to enable private-label and major brands to sell on Amazon. The company's platform allows users to find reliable product ideas with accurate sales estimates, trends and insights, while helping them reverse-engineer and monitor top competitors to learn from their strengths and capitalize on weaknesses, providing clients with AI-powered insights to be more efficient and effective in expanding their business at scale.</t>
  </si>
  <si>
    <t>Business/Productivity Software*, Other Commercial Services</t>
  </si>
  <si>
    <t>amazon seller tools, amazon selling, listings optimization, product data, product recommendation, recommendation platform</t>
  </si>
  <si>
    <t>www.viral-launch.com</t>
  </si>
  <si>
    <t>2018: 66</t>
  </si>
  <si>
    <t>188793-46P</t>
  </si>
  <si>
    <t>Casey Gauss</t>
  </si>
  <si>
    <t>casey@viral-launch.com</t>
  </si>
  <si>
    <t>+1 (517) 499-0119</t>
  </si>
  <si>
    <t>429 North Pennsylvania Street</t>
  </si>
  <si>
    <t>Suite 403</t>
  </si>
  <si>
    <t>contact@viral-launch.com</t>
  </si>
  <si>
    <t>The company raised $7.3 million through the combination of Seed-1 and Series A venture funding in a deal led by Tenfore Holdings on April 24, 2019, putting the company's pre-money valuation at $21.9 million. Mentors Fund and UpOver Ventures also participated in the round. The funds will be used by the company to further invest in technology and the team in sectors such as Amazon advertising, as well as to power go-to-market strategy in the enterprise segment.</t>
  </si>
  <si>
    <t>Mentors Fund, Salesforce Ventures, Tenfore Holdings, UpOver Ventures</t>
  </si>
  <si>
    <t>Mentors Fund(www.mentors.fund), Tenfore Holdings(www.tenforeholdings.com)</t>
  </si>
  <si>
    <t>60112-54</t>
  </si>
  <si>
    <t>Vioso</t>
  </si>
  <si>
    <t>Developer of an automated software designed to offer large-format projection technologies. The company's software offers services that include projector blending, warping and video mapping made for system integrators, enabling clients to use a smart-projecting technology for distortion-free, true-colored projection on uneven and colored surfaces.</t>
  </si>
  <si>
    <t>Application Software*, Electronics (B2C), Other Commercial Products</t>
  </si>
  <si>
    <t>projection, projection technology, projectors blending, smartprojecting technology, true-color projection</t>
  </si>
  <si>
    <t>www.vioso.com</t>
  </si>
  <si>
    <t>2014: 11, 2018: 10</t>
  </si>
  <si>
    <t>57713-41P</t>
  </si>
  <si>
    <t>Benjamin Fritsch</t>
  </si>
  <si>
    <t>benjamin.fritsch@vioso.com</t>
  </si>
  <si>
    <t>+49 (0)21 1544 7533 0</t>
  </si>
  <si>
    <t>Düsseldorf, Germany</t>
  </si>
  <si>
    <t>Ronsdorfer Strasse 77a</t>
  </si>
  <si>
    <t>Düsseldorf</t>
  </si>
  <si>
    <t>40233</t>
  </si>
  <si>
    <t>+49 (0)21 1544 7533 33</t>
  </si>
  <si>
    <t>info@vioso.com</t>
  </si>
  <si>
    <t>The company raised an undisclosed amount of venture funding from Hasso Plattner Ventures and KfW on January 30, 2009.</t>
  </si>
  <si>
    <t>Frank Siegmund, Hasso Plattner Ventures, High-Tech Gründerfonds, KfW Group</t>
  </si>
  <si>
    <t>Hasso Plattner Ventures(www.hp-ventures.com), High-Tech Gründerfonds(www.high-tech-gruenderfonds.de), KfW Group(www.kfw.de/kfw.de-2.html)</t>
  </si>
  <si>
    <t>222968-80</t>
  </si>
  <si>
    <t>Vion Technology</t>
  </si>
  <si>
    <t>VionTech</t>
  </si>
  <si>
    <t>Developer of a series of core algorithms of image recognition, high performance AI hardware platforms and industry-customized intelligent systems independently. The company provides artificial intelligence products and solutions to sectors such as smart cities and business intelligence. Its products include a smart camera used to capture images of traffic violations, an intelligent video analysis terminal capable of face and age recognition for monitoring and counting people, and what it claims is the world's smallest smart people counting camera. It also offers traffic bureaus to automatically identify traffic violations, recognize the license plate numbers, and generate traffic violation tickets via screening surveillance camera footage.</t>
  </si>
  <si>
    <t>Application Software*, Other Hardware</t>
  </si>
  <si>
    <t>Artificial Intelligence &amp; Machine Learning, Internet of Things, TMT</t>
  </si>
  <si>
    <t>ai hardware platform, intelligent video surveillance systems, public security software, public security system, smart city systems</t>
  </si>
  <si>
    <t>vion-tech.com</t>
  </si>
  <si>
    <t>176262-67P</t>
  </si>
  <si>
    <t>Hai Tao</t>
  </si>
  <si>
    <t>+86 (0)10 5096 1630</t>
  </si>
  <si>
    <t>4/F, Huanyang Building, BLDG 7</t>
  </si>
  <si>
    <t>Courtyard 1, East Shangdi Road, Haidian District</t>
  </si>
  <si>
    <t>100085</t>
  </si>
  <si>
    <t>+86 (0)10 5096 1636</t>
  </si>
  <si>
    <t>info@vion-tech.com</t>
  </si>
  <si>
    <t>The company raised $20 million of Series B funding from ABB, Samsung Electronics, ABB Technology Ventures and Tsing Capital on January 1, 2018. Waterwood Group also participated in the round. The funds will be used to build up its team, invest in the development of core algorithms and cutting-edge hardware, as well as optimize its AI solutions.</t>
  </si>
  <si>
    <t>ABB Group, ABB Technology Ventures, Beijing Semiconductor Design and Testing Investment Center, Samsung Electronics, Shenzhen Fortune Venture Capital, Tsing Capital, Waterwood Investment Management</t>
  </si>
  <si>
    <t>ABB Group(www.abb.com), Samsung Electronics(www.samsung.com), Shenzhen Fortune Venture Capital(szfvc.com), Tsing Capital(www.tsingcapital.com), Waterwood Investment Management(www.waterwood.hk)</t>
  </si>
  <si>
    <t>60919-66</t>
  </si>
  <si>
    <t>Violet Grey</t>
  </si>
  <si>
    <t>Snob</t>
  </si>
  <si>
    <t>DermStore, Grow Gorgeous, Tata Harper Skincare, SkinStore.com, Beautylish, Kosas Cosmetics, Mented Cosmetics, Chatters, Birchbox, Eyeko, Anastasia Beverly Hills, Iredale Mineral Cosmetics, Younique, Groupe Marcelle, InstaNatural, Jurlique, MAC Cosmetics, butter LONDON, Benefit Cosmetics, Kiko Milano, Nars Cosmetics, Too Faced Cosmetics, 100% Pure, Sephora, Burt's Bees, Smashbox Cosmetics, Forever Living Products</t>
  </si>
  <si>
    <t>Provider of an online marketplace deigned to sell beauty care products. The company's online marketplace offer makeup products that include cleansers, toners, eye care products, body treatment products, sun care products and makeup removers, enabling consumers to purchase beauty care products through physical store and online.</t>
  </si>
  <si>
    <t>Internet Retail*, Personal Products</t>
  </si>
  <si>
    <t>Beauty, E-Commerce, TMT</t>
  </si>
  <si>
    <t>beauty care product, beauty vertical, cosmetic lenses, makeup product</t>
  </si>
  <si>
    <t>www.violetgrey.com</t>
  </si>
  <si>
    <t>2014: 15, 2015: 26</t>
  </si>
  <si>
    <t>62073-10P</t>
  </si>
  <si>
    <t>Cassandra Grey</t>
  </si>
  <si>
    <t>cassandra@violetgrey.com</t>
  </si>
  <si>
    <t>+1 (323) 782-9700</t>
  </si>
  <si>
    <t>8452 Melrose Place</t>
  </si>
  <si>
    <t>info@violetgrey.com</t>
  </si>
  <si>
    <t>The company raised $10.24 million of Series C venture funding from M13 and undisclosed investors on February 14, 2018. FernBrook also participated in it.</t>
  </si>
  <si>
    <t>Beechwood Capital, FernBrook, Lerer Hippeau, M13, Marker, MDC Ventures, Red Sea Ventures, SV Angel, ZhenFund</t>
  </si>
  <si>
    <t>Beechwood Capital(www.beechwoodcap.com), FernBrook(www.fernbrookmgmt.com), Lerer Hippeau(www.lererhippeau.com), M13(www.m13.co), Marker(www.marker-llc.com), MDC Ventures(www.mdcventures.vc), Red Sea Ventures(www.redseaventures.com), SV Angel(www.svangel.com), ZhenFund(www.zhenfund.com)</t>
  </si>
  <si>
    <t>104769-10</t>
  </si>
  <si>
    <t>Vinli</t>
  </si>
  <si>
    <t>Mongoose Technologies, Inc.</t>
  </si>
  <si>
    <t>Arity, Fleet Complete, Carvoyant, Zubie, TrueMotion, Zendrive, Driveway (Application Software), Voyomotive, Spireon, Automatic (Connected Car Company)</t>
  </si>
  <si>
    <t>Developer of a vehicle data intelligence platform intended to facilitate smart functionality in cars. The company's machine learning-based platform finds the meaningful correlations between data points like GPS, sensor data, driver behavior, road data and vehicle status among the others to provide data transparency, predictive visibility and real-time business and consumer insights, enabling businesses to manage their fleet while keeping individual drivers connected.</t>
  </si>
  <si>
    <t>Application Software*, Business/Productivity Software, Connectivity Products</t>
  </si>
  <si>
    <t>car internet, connected car, embedded software, iot, online car platform</t>
  </si>
  <si>
    <t>www-dev.vin.li</t>
  </si>
  <si>
    <t>2016: 60</t>
  </si>
  <si>
    <t>83112-67P</t>
  </si>
  <si>
    <t>Mahmoud Haidar</t>
  </si>
  <si>
    <t>mark@vin.li</t>
  </si>
  <si>
    <t>2203 Commerce Street</t>
  </si>
  <si>
    <t>75201</t>
  </si>
  <si>
    <t>The company raised $13.5 million of Series B1 venture funding from E.ON, The Westly Group and Hersh Family Investments on February 5, 2019, putting the company's pre-money valuation at $10 million. Hal Brierley also participated in the round. The funds will be used broaden the company's mobility services and integrations to its customers worldwide.</t>
  </si>
  <si>
    <t>Continental, Cox Automotive, Deep Space Ventures, Dialexa, Disrupt SF, E.ON, First Round Capital, Hal Brierley, Hersh Family Investments, Plug and Play Tech Center, Samsung NEXT Ventures, Samsung Venture Investment, The Westly Group</t>
  </si>
  <si>
    <t>Continental(www.continental-corporation.com), Cox Automotive(www.coxautoinc.com), Deep Space Ventures(www.deepspacevc.com), Dialexa(www.dialexa.com), E.ON(www.eon.com), First Round Capital(www.firstround.com), Hersh Family Investments(www.hershfi.com), Plug and Play Tech Center(www.plugandplaytechcenter.com), Samsung NEXT Ventures(www.samsungnext.com), Samsung Venture Investment(www.samsungventures.com), The Westly Group(www.westlygroup.com)</t>
  </si>
  <si>
    <t>53920-72</t>
  </si>
  <si>
    <t>Vigilent</t>
  </si>
  <si>
    <t>Federspiel Controls, Federspiel</t>
  </si>
  <si>
    <t>Opower, Powerhouse Dynamics, GridPoint, Calico Energy, Fiveworx, Rockethome</t>
  </si>
  <si>
    <t>Developer of IoT, machine learning and prescriptive analytics technologies designed to deliver dynamic cooling management in mission-critical environments. The company's technology collects real-time temperature information throughout a facility and operational data from the cooling infrastructure and uses a patented technology in AI engine to process this big data to match the output of cooling units to the heat load in the building, running everything as efficiently as possible while using the least amount of energy, enabling data center and telecom facilities to reduce operating costs, unlock stranded capacity and increase reliability.</t>
  </si>
  <si>
    <t>Artificial Intelligence &amp; Machine Learning, Big Data, CleanTech, Internet of Things, TMT</t>
  </si>
  <si>
    <t>cooling management, cooling resources, dynamic cooling, energy management system, intelligent energy management, prescriptive analytics</t>
  </si>
  <si>
    <t>www.vigilent.com</t>
  </si>
  <si>
    <t>2011: 62, 2012: 83, 2013: 70, 2015: 58, 2016: 72</t>
  </si>
  <si>
    <t>39541-51P</t>
  </si>
  <si>
    <t>Dave Lynch</t>
  </si>
  <si>
    <t>dlynch@vigilent.com</t>
  </si>
  <si>
    <t>+1 (888) 305-4451</t>
  </si>
  <si>
    <t>Oakland, CA</t>
  </si>
  <si>
    <t>2001 Broadway</t>
  </si>
  <si>
    <t>Oakland</t>
  </si>
  <si>
    <t>94612</t>
  </si>
  <si>
    <t>info@vigilent.com</t>
  </si>
  <si>
    <t>The company received $6 million of Series E venture funding from an Next47 and other undisclosed investor on July 12, 2017, putting the company's pre-money valuation at an estimated $39 million.</t>
  </si>
  <si>
    <t>Accel, Environmental Business Cluster, Gaurav Garg, Individual Investor, Next47, Peter Wagner, TELUS Ventures, TiE Silicon Valley</t>
  </si>
  <si>
    <t>Accel(www.accel.com), Next47(Next47.com), TELUS Ventures(ventures.telus.com), TiE Silicon Valley(www.tieeco.org)</t>
  </si>
  <si>
    <t>Ater Wynne(Legal Advisor), Enertech Search Partners(Consulting), O'Melveny &amp; Myers(Legal Advisor)</t>
  </si>
  <si>
    <t>Ater Wynne(Legal Advisor), O'Melveny &amp; Myers(Legal Advisor)</t>
  </si>
  <si>
    <t>53393-14</t>
  </si>
  <si>
    <t>Vidyard</t>
  </si>
  <si>
    <t>Redwoods Media</t>
  </si>
  <si>
    <t>OneMob, OneSpot, Invodo, Sightly, Yesware, Eyeview, Smart Video, Sezion, Real Time Content, Showpad, SalesLoft, Dynamix.tv, TwentyThree, Prezentor, Idomoo, KnowledgeTree, ClearSlide, SundaySky, Highspot, Zype, RingDNA, TubeMogul, Outreach, CitNOW, Agent Vi, Telestream, DocSend, Netbriefings, uStudio, Socialive ((Yoga &amp; Fitness livestream), FRONTLINE Selling, Kaltura, Pivotshare, Bloomfire, XMPie, Treepodia, Videonitch, StarGreetz, Enhatch, Wistia, Brightcove, SoapBox</t>
  </si>
  <si>
    <t>Provider of a video marketing platform designed to help businesses transform communications and drive more revenue through the strategic use of online video. The company's video marketing platform helps businesses to expand their use of video content and turn viewers into customers, enabling businesses to connect with more viewers through interactive and personalized video experiences.</t>
  </si>
  <si>
    <t>Marketing Tech, TMT</t>
  </si>
  <si>
    <t>connect viewers, online video platform, video marketing platform, video platform, video platform business</t>
  </si>
  <si>
    <t>www.vidyard.com</t>
  </si>
  <si>
    <t>2011: 9, 2013: 35, 2014: 36, 2015: 100, 2016: 300, 2017: 200, 2018: 250</t>
  </si>
  <si>
    <t>39360-25P</t>
  </si>
  <si>
    <t>Michael Litt</t>
  </si>
  <si>
    <t>michael@vidyard.com</t>
  </si>
  <si>
    <t>+1 (800) 530-3878</t>
  </si>
  <si>
    <t>Kitchener, Canada</t>
  </si>
  <si>
    <t>8 Queen Street North</t>
  </si>
  <si>
    <t>Unit Number 1</t>
  </si>
  <si>
    <t>Kitchener</t>
  </si>
  <si>
    <t>N2H 2G8</t>
  </si>
  <si>
    <t>info@vidyard.com</t>
  </si>
  <si>
    <t>The company raised $35 million of Series C venture funding in a deal led by Battery Ventures on January 4, 2016, putting the company's pre-money valuation at $315 million. Bessemer Venture Partners, Salesforce Ventures, OMERS Ventures, iNovia Capital and SoftTech VC also participated in the round. The company will use the funding to develop new products to allow businesses to expand their use of video for customer engagement and tap into the digital body language of online audiences. Previously, the company raised $18 million of Series B venture funding led by Bessemer Venture Partners on January 14, 2015, at a valuation of approximately $100 million. iNovia Capital, OMERS Ventures, Salesforce Ventures and SoftTech VC also participated.</t>
  </si>
  <si>
    <t>Andreessen Horowitz, Battery Ventures, Bessemer Venture Partners, Individual Investor, Inovia Capital, Jawed Karim, Jean-Francois Clavier, OMERS Ventures, Paul Buchheit, Reinmkr, Salesforce Ventures, SV Angel, Uncork Capital, University of Waterloo Velocity, Y Combinator</t>
  </si>
  <si>
    <t>Andreessen Horowitz(www.a16z.com), Battery Ventures(www.battery.com), Bessemer Venture Partners(www.bvp.com), Inovia Capital(www.inovia.vc), OMERS Ventures(www.omersventures.com), Reinmkr(www.reinmkr.com), SV Angel(www.svangel.com), Uncork Capital(www.uncorkcapital.com), University of Waterloo Velocity(www.velocity.uwaterloo.ca), Y Combinator(www.ycombinator.com)</t>
  </si>
  <si>
    <t>Martyn Bassett Associates(Consulting), Metabridge(Consulting)</t>
  </si>
  <si>
    <t>EY(Auditor), LaBarge Weinstein(Legal Advisor)</t>
  </si>
  <si>
    <t>51585-31</t>
  </si>
  <si>
    <t>VidSys</t>
  </si>
  <si>
    <t>Paladion, Aruba Networks, Verint Systems, CNL Software, Milestone Systems, 3xLogic, Proximex</t>
  </si>
  <si>
    <t>Provider of an enterprise Converged Security and Information Management (CSIM) software intended to enhance and automate operations center management. The company's software collects, correlates and converts data into meaningful and actionable information, based on the organization's risk policy, standards and compliance requirements as well as helps sensors, devices, systems, subsystems and services to be interconnected via open architecture APIs and SDKs, enabling public and private organizations to improve security, reduce risk and increase efficiencies with a strategic focus on Government and Enterprise.</t>
  </si>
  <si>
    <t>converged security and information management, information management software, operations platform, physical security system</t>
  </si>
  <si>
    <t>www.vidsys.com</t>
  </si>
  <si>
    <t>2006: 3, 2007: 3, 2008: 3, 2009: 3, 2010: 3, 2014: 67, 2016: 51</t>
  </si>
  <si>
    <t>90783-19P</t>
  </si>
  <si>
    <t>Marshall Glade</t>
  </si>
  <si>
    <t>mglade@glassratner.com</t>
  </si>
  <si>
    <t>+1 (404) 835-8844</t>
  </si>
  <si>
    <t>Vienna, VA</t>
  </si>
  <si>
    <t>8219 Leesburg Pike</t>
  </si>
  <si>
    <t>Vienna</t>
  </si>
  <si>
    <t>22182</t>
  </si>
  <si>
    <t>+1 (703) 883-3730</t>
  </si>
  <si>
    <t>+1 (703) 883-3731</t>
  </si>
  <si>
    <t>info@vidsys.com</t>
  </si>
  <si>
    <t>The company raised $6.5 million of Series B venture funding in a deal led by Chartline Capital Partners on May 31, 2018, putting the company's pre-money valuation at $15 million. Motorola Solution and Hunt Holdings also participated in this round.</t>
  </si>
  <si>
    <t>Atlanta Equity, Chartline Capital Partners, Cisco Investments, Eastward Capital Partners, Flybridge Capital Partners, Harmony Partners, Individual Investor, JVax Investment Group, Motorola Solutions Venture Capital, NewSpring Capital</t>
  </si>
  <si>
    <t>Atlanta Equity(www.atlantaeq.com), Chartline Capital Partners(www.chartline.com), Cisco Investments(www.ciscoinvestments.com), Eastward Capital Partners(www.eastwardcp.com), Flybridge Capital Partners(www.flybridge.com), Harmony Partners(www.harmonyvp.com), JVax Investment Group(www.jvaxig.com), NewSpring Capital(www.newspringcapital.com)</t>
  </si>
  <si>
    <t>Cooley(Legal Advisor), Shields &amp; Company(Advisor: General)</t>
  </si>
  <si>
    <t>Cooley(Legal Advisor), Horizon Technology Finance(Debt Financing), Kelley Drye &amp; Warren(Legal Advisor), SSG Capital Advisors(Advisor: General), Trinity Capital Investment(Debt Financing)</t>
  </si>
  <si>
    <t>169646-05</t>
  </si>
  <si>
    <t>Vidrovr</t>
  </si>
  <si>
    <t>Developer of online video searching platform designed to provide hyper-specific metadata on videos. The company's online video searching platform slice long videos into smaller clips that are automatically put back into the content management system, enabling users to have useful, specific video content right at their fingertips.</t>
  </si>
  <si>
    <t>Application Software*, Information Services (B2C)</t>
  </si>
  <si>
    <t>machine learning system, video content management, video metadata, video search, video search platform</t>
  </si>
  <si>
    <t>www.vidrovr.com</t>
  </si>
  <si>
    <t>154867-69P</t>
  </si>
  <si>
    <t>Joe Ellis</t>
  </si>
  <si>
    <t>joe.ellis@vidrovr.com</t>
  </si>
  <si>
    <t>10027</t>
  </si>
  <si>
    <t>contact@vidrovr.com</t>
  </si>
  <si>
    <t>The company received $225,000 of grant funding from National Science Foundation in 2018. Previously, the company raised $1.25 million of Seed funding in a deal led by Samsung NEXT on November 7, 2017, putting the company's pre-money valuation at $5 million. Verizon Ventures &amp; R/GA Ventures, Social Starts, Bernd Girod, Right Side Capital Management, Dorm Room Fund, Rough Draft Ventures and other undisclosed investors also participated in the round. Previously the company joined Verizon Media Tech Venture Studio with R/GA and received $100,000 of funding on August 8, 2017. The company also joined Techstars as a part of its NYC Winter 2017 program and received an undisclosed amount of funding on April 6, 2017.</t>
  </si>
  <si>
    <t>Bernd Girod, Columbia Technology Ventures, Dorm Room Fund, National Science Foundation, NYC Media Lab, Publicis Groupe, R/GA Accelerator, Right Side Capital Management, Rough Draft Ventures, Samsung NEXT Ventures, Social Starts, Techstars, Verizon Media Tech Venture Studio with R/GA, Verizon Ventures</t>
  </si>
  <si>
    <t>Columbia Technology Ventures(www.techventures.columbia.edu), Dorm Room Fund(www.dormroomfund.com), National Science Foundation(seedfund.nsf.gov), NYC Media Lab(www.nycmedialab.org), Publicis Groupe(www.publicisgroupe.com), R/GA Accelerator(www.rgaaccelerator.com), Right Side Capital Management(www.rightsidecapital.com), Rough Draft Ventures(www.roughdraft.vc), Samsung NEXT Ventures(www.samsungnext.com), Social Starts(www.socialstarts.com), Techstars(www.techstars.com), Verizon Media Tech Venture Studio with R/GA(www.verizonventurestudio.com), Verizon Ventures(www.verizonventures.com)</t>
  </si>
  <si>
    <t>111589-39</t>
  </si>
  <si>
    <t>VidMob</t>
  </si>
  <si>
    <t>Wooshii, Crowdspring, Storyhunter, Veed.Me</t>
  </si>
  <si>
    <t>Provider of an online platform designed to simplify the video creation workflow. The company's online platform is a mobile vertical marketplace that offers the opportunity to get professional videos created from the raw media that exists on their devices, enabling Small and Medium Businesses (SMBs) to stay connected with valuable audiences.</t>
  </si>
  <si>
    <t>Application Software, Multimedia and Design Software, Social/Platform Software*</t>
  </si>
  <si>
    <t>mobile vertical marketplace, raw media, video creation, video sharing</t>
  </si>
  <si>
    <t>www.vidmob.com</t>
  </si>
  <si>
    <t>2015: 11</t>
  </si>
  <si>
    <t>43142-23P</t>
  </si>
  <si>
    <t>Alex Collmer</t>
  </si>
  <si>
    <t>alex@vidmob.com</t>
  </si>
  <si>
    <t>54 Thompson Street</t>
  </si>
  <si>
    <t>+1 (347) 960-6554</t>
  </si>
  <si>
    <t>The company raised $6.4 million of Series A Ext. on May 11, 2018 from Manifest Growth, Interlock Partners and Acadia Woods on May 11, 2018, putting the company's pre-money valuation at $54 million. Macanta Investments and You &amp; Mr Jones also participated in the round. The funds will be used to expand the company's creative insights platform and grow internationally. Previously, the company raised $7.715 million in a combination of Series A venture funding from Acadia Woods Partners, Foundation Capital and Structure Fund on November 17, 2017, putting the pre-money valuation at an estimated $30 million. George Rose, Manifest Investment Partners, Interlock Partners, Stampede Ventures, Macanta Investments and other undisclosed investors also participated in the round.</t>
  </si>
  <si>
    <t>Acadia Woods Partners, Foundation Capital, George Rose, Interlock Partners, Macanta Investments, Manifest Investment Partners, Stampede Ventures, Structure Fund, You &amp; Mr Jones Brandtech Ventures</t>
  </si>
  <si>
    <t>Foundation Capital(www.foundationcapital.com), George Rose(www.roseff.org), Interlock Partners(www.interlock.vc), Macanta Investments(www.macantainvest.com), Manifest Investment Partners(www.manifestgrowth.com), Stampede Ventures(www.stampedeventures.com), Structure Fund(www.structurefund.com)</t>
  </si>
  <si>
    <t>64318-42</t>
  </si>
  <si>
    <t>Videonetics Technologies</t>
  </si>
  <si>
    <t>FaceFirst, AllGoVision, Prism Skylabs, March Networks, WiZR, Envysion, CNL Software, Dvtel, 3xLogic, Milestone Systems, Agent Vi, On-Net Surveillance Systems, Cognimatics</t>
  </si>
  <si>
    <t>Provider of video analytics software products intended to be used for video surveillance systems. The company's video analytics software products include security solutions, intelligent vice management server, licence plate recognition, intelligent object monitoring, intelligent vehicular traffic monitoring and intelligent perimeter monitoring.</t>
  </si>
  <si>
    <t>Application Software*, Other Software</t>
  </si>
  <si>
    <t>computer vision, video analytics, video management, video processing</t>
  </si>
  <si>
    <t>www.videonetics.com</t>
  </si>
  <si>
    <t>166412-80P</t>
  </si>
  <si>
    <t>Arun Khazanchi</t>
  </si>
  <si>
    <t>arun.khazanchi@videonetics.com</t>
  </si>
  <si>
    <t>+91 (0)33 6461 0300</t>
  </si>
  <si>
    <t>Kolkata, India</t>
  </si>
  <si>
    <t>Plot 5, Block BP Sector V</t>
  </si>
  <si>
    <t>Salt Lake City</t>
  </si>
  <si>
    <t>Kolkata</t>
  </si>
  <si>
    <t>West Bengal</t>
  </si>
  <si>
    <t>700091</t>
  </si>
  <si>
    <t>info@videonetics.com</t>
  </si>
  <si>
    <t>The company raised an undisclosed amount of venture funding from Cisco Investments on July 1, 2016.</t>
  </si>
  <si>
    <t>Cisco Investments, GenNext Ventures, Reliance Industries, West Bengal Electronic Industry Development Corporation</t>
  </si>
  <si>
    <t>Cisco Investments(www.ciscoinvestments.com), Reliance Industries(www.ril.com), West Bengal Electronic Industry Development Corporation(www.webel.in)</t>
  </si>
  <si>
    <t>54086-59</t>
  </si>
  <si>
    <t>Videogram (Video Artificial Intelligence and Blockchain)</t>
  </si>
  <si>
    <t>Cinemacraft</t>
  </si>
  <si>
    <t>Curalate, Vilynx, Eyeview, Samba Tech, Ooyala, VBrick Systems, Viddler, Olapic, Little Bird, Byju's, Twitch Interactive, Getty Images</t>
  </si>
  <si>
    <t>Developer of a media monetization platform designed to deliver context driven engagement on videos. The company's platform helps in converting video into a pictorial summaries with multiple entry points and allows videos to be browsed and discovered in the same manner as photos, enabling publishers to integrate marketing, discovery and social engagement and make their videos accessible to everyone.</t>
  </si>
  <si>
    <t>Application Software, Multimedia and Design Software*, Social/Platform Software</t>
  </si>
  <si>
    <t>Artificial Intelligence &amp; Machine Learning, Big Data, Mobile</t>
  </si>
  <si>
    <t>artificial intelligence, blockchain, machine learning, video indexing technology, video platform service</t>
  </si>
  <si>
    <t>www.videogram.com</t>
  </si>
  <si>
    <t>2014: 8, 2015: 11, 2016: 8, 2017: 8, 2018: 8, 2019: 8</t>
  </si>
  <si>
    <t>40594-60P</t>
  </si>
  <si>
    <t>Sandeep Casi</t>
  </si>
  <si>
    <t>scasi@videogram.com</t>
  </si>
  <si>
    <t>Mumbai, India</t>
  </si>
  <si>
    <t>504 Savoy Chambers</t>
  </si>
  <si>
    <t>Linking Road extension, Santacruz West</t>
  </si>
  <si>
    <t>Mumbai</t>
  </si>
  <si>
    <t>Maharashtra</t>
  </si>
  <si>
    <t>400054</t>
  </si>
  <si>
    <t>+91 (0)98 9242 7345</t>
  </si>
  <si>
    <t>info@videogram.com</t>
  </si>
  <si>
    <t>The company raised $4.5 million of Series A venture funding in a deal led by 500 Startups on February 9, 2015. Samsung Venture Investment, Fierce Capital Markets, NTT Docomo Ventures, ABC Dream Ventures, Turner Venture Group, D4V (Design for Ventures), Media Camp, Masi Oka and Jun LI also participated in the round. $600,000 consisted of convertible debt financing. The funds will convert into a Series B.</t>
  </si>
  <si>
    <t>500 Startups, ABC Dream Ventures, D4V (Design for Ventures), Fierce Capital Markets, Jun LI, Jungle Ventures, Masi Oka, Media Camp, NTT Docomo Ventures, Samsung Venture Investment, Turner Venture Group</t>
  </si>
  <si>
    <t>500 Startups(www.500.co), ABC Dream Ventures(adventures.co.jp), D4V (Design for Ventures)(www.d4v.com), Fierce Capital Markets(www.fiercecm.com), Jungle Ventures(www.jungle-ventures.com), NTT Docomo Ventures(www.nttdocomo-v.com), Samsung Venture Investment(www.samsungventures.com), Turner Venture Group(tvoginc.com)</t>
  </si>
  <si>
    <t>Silicon Valley Bank(General Business Banking), Wilson Sonsini Goodrich &amp; Rosati(Legal Advisor)</t>
  </si>
  <si>
    <t>98895-34</t>
  </si>
  <si>
    <t>Vida Health</t>
  </si>
  <si>
    <t>Vida</t>
  </si>
  <si>
    <t>Cecelia Health, Noom, Canary Health, MyFitnessPal, ShopWell, Axia Health Management</t>
  </si>
  <si>
    <t>Developer of a mobile health coaching application designed to eradicate chronic disease and transform lives through better health. The company's mobile health coaching application pairs its users with health coaches on subscription basis, which provide personal health suggestions via text, live phone or video chats to prevent, manage and reverse chronic health conditions such as obesity, diabetes, hypertension and depression, enabling users to get personalized care in between doctor visits to overcome chronic health conditions once and for all.</t>
  </si>
  <si>
    <t>Healthcare Services</t>
  </si>
  <si>
    <t>Other Healthcare Services</t>
  </si>
  <si>
    <t>Communication Software, Other Healthcare Services*</t>
  </si>
  <si>
    <t>HealthTech, Mobile, TMT</t>
  </si>
  <si>
    <t>health coaching application, mobile health coaching, mobile health services, mobile healthcare application, personal health care, personal health coaching, tele health services</t>
  </si>
  <si>
    <t>www.vida.com</t>
  </si>
  <si>
    <t>2016: 50</t>
  </si>
  <si>
    <t>42420-61P</t>
  </si>
  <si>
    <t>Stephanie Tilenius</t>
  </si>
  <si>
    <t>26 O'Farrell Street</t>
  </si>
  <si>
    <t>Suite 310</t>
  </si>
  <si>
    <t>94108</t>
  </si>
  <si>
    <t>The company raised $15 million of Series C venture funding from NGP Capital on November 2, 2018. Earlier to this Spider Capital Partners sold its stake in the company to an undisclosed investor. Previously, the company raised $18 million of Series B3 venture funding in a deal led by Canvas Ventures on December 8, 2016, putting the pre-money valuation at $56.34 million.</t>
  </si>
  <si>
    <t>AME Cloud Ventures, Aspect Ventures, Canvas Ventures, Individual Investor, Khosla Ventures, Maynard Webb, NGP Capital, Oxeon Partners, Plug and Play Tech Center, Signia Venture Partners, StartX, The Valley Fund, Webb Investment Network, Workday Ventures, Zhiyuan Yang</t>
  </si>
  <si>
    <t>AME Cloud Ventures(www.amecloudventures.com), Aspect Ventures(www.aspectventures.com), Canvas Ventures(www.canvas.vc), Khosla Ventures(www.khoslaventures.com), Maynard Webb(www.maynardwebb.com), NGP Capital(www.ngpcap.com), Oxeon Partners(www.oxeonpartners.com), Plug and Play Tech Center(www.plugandplaytechcenter.com), Signia Venture Partners(www.signiaventurepartners.com), StartX(www.startx.com), The Valley Fund(www.thevalleyfund.com), Webb Investment Network(www.winfunding.com)</t>
  </si>
  <si>
    <t>Daversa Partners(Consulting), Orrick, Herrington &amp; Sutcliffe(Legal Advisor)</t>
  </si>
  <si>
    <t>Orrick, Herrington &amp; Sutcliffe(Legal Advisor)</t>
  </si>
  <si>
    <t>51577-03</t>
  </si>
  <si>
    <t>Vicarious</t>
  </si>
  <si>
    <t>Vicarious Systems Inc.</t>
  </si>
  <si>
    <t>Anki, Numenta</t>
  </si>
  <si>
    <t>Developer of an AI-based robot technology designed to mimic the function of the human brain. The company's neuro and cognitive science-based technology uses an algorithmic architecture to achieve human-level intelligence in vision, language, motor control and to focus on visual perception problems such as recognition, segmentation and scene parsing, enabling robots manufacturers to build robots with advanced intelligence level and task efficiency.</t>
  </si>
  <si>
    <t>Other Information Technology</t>
  </si>
  <si>
    <t>Aerospace and Defense, Electronics (B2C), Other Information Technology*</t>
  </si>
  <si>
    <t>Artificial Intelligence &amp; Machine Learning, Manufacturing, Robotics and Drones, TMT</t>
  </si>
  <si>
    <t>ai enabled robots, artificial intelligence robots, cognitive learning technology</t>
  </si>
  <si>
    <t>www.vicarious.com</t>
  </si>
  <si>
    <t>2014: 10, 2017: 50</t>
  </si>
  <si>
    <t>36566-02P</t>
  </si>
  <si>
    <t>David Phoenix</t>
  </si>
  <si>
    <t>scott@vicarious.com</t>
  </si>
  <si>
    <t>1001 Page Mill Road, Building 1</t>
  </si>
  <si>
    <t>C/O Sidley Austin</t>
  </si>
  <si>
    <t>94034</t>
  </si>
  <si>
    <t>The company raised venture funding from Crescent Enterprises and Fenox Venture Capital on an undisclosed date. Previously, the company raised $50 million of Series C venture funding in a deal led by Khosla Ventures on June 7, 2017, putting the company's pre-money valuation at $350 million.</t>
  </si>
  <si>
    <t>Aaron Levie, ABB Technology Ventures, Adam D'Angelo, A-Grade Investments, AME Cloud Ventures, Amino Capital, Anduin Ventures, Ashton Kutcher, Bezos Expeditions, Bryan Johnson, Coral Group, Crescent Enterprises, Data Collective, Derek Collison, Dustin Moskovitz, Elon Musk, Faridan, Felicis Ventures, Fenox Venture Capital, Formation 8, Founders Fund, Good Ventures, Growth Technology Partners, Individual Investor, Initialized Capital Management, Janus Friis, Jeffrey Bezos, Khosla Ventures, Marc Benioff, Mark Zuckerberg, Metaplanet Holdings, Morpheus Ventures, Open Field Capital, Orfin Ventures, OS Fund, Peter Diamandis, Peter Thiel, Presence Capital, SAIC Capital, Sam Altman, Samsung Venture Investment, Vinod Khosla, Wipro Ventures, Y Combinator, Zarco Investment Group, Zhiyuan Yang</t>
  </si>
  <si>
    <t>A-Grade Investments(www.agradeinvestments.com), AME Cloud Ventures(www.amecloudventures.com), Amino Capital(www.aminocapital.com), Anduin Ventures(www.anduinventures.com), Bezos Expeditions(www.bezosexpeditions.com), Bryan Johnson(bryanjohnson.co), Coral Group(www.coralgrp.com), Crescent Enterprises(www.crescententerprises.com), Data Collective(www.dcvc.com), Faridan(www.faridan.com), Felicis Ventures(www.felicis.com), Fenox Venture Capital(www.fenoxvc.com), Formation 8(www.formation8.com), Founders Fund(www.foundersfund.com), Good Ventures(www.goodventures.org), Growth Technology Partners(www.growthtechnologypartners.com), Initialized Capital Management(www.initialized.com), Khosla Ventures(www.khoslaventures.com), Morpheus Ventures(www.morpheus.com), Open Field Capital(www.ofcap.com), Orfin Ventures(www.orfinventures.com), OS Fund(www.osfund.co), Peter Diamandis(www.diamandis.com), Presence Capital(www.presencecap.com), SAIC Capital(www.saicvc.com), Samsung Venture Investment(www.samsungventures.com), Y Combinator(www.ycombinator.com), Zarco Investment Group(www.zigfund.com)</t>
  </si>
  <si>
    <t>Davis Polk &amp; Wardwell(Legal Advisor), Orrick, Herrington &amp; Sutcliffe(Legal Advisor), Preferred Return(Valuation/Appraiser), Sidley Austin(Legal Advisor)</t>
  </si>
  <si>
    <t>Davis Polk &amp; Wardwell(Legal Advisor), Orrick, Herrington &amp; Sutcliffe(Legal Advisor), Sidley Austin(Legal Advisor)</t>
  </si>
  <si>
    <t>108688-60</t>
  </si>
  <si>
    <t>Viakoo</t>
  </si>
  <si>
    <t>Aptilo Networks, Paessler, Cloudflare, Forcepoint, SignalFx, LogicMonitor, VidSys, Kentik, ExtraHop Networks, Datadog, NetBeez, SevOne, Moogsoft, Opsview, Infinio Systems, PernixData, Librato, Auvik Networks, NetScout Systems, ShoreGroup, Milestone Systems, Evtron, Splunk, Pivot3, Genetec, Dell EMC, ScienceLogic, HotLink, RASA Networks, SolarWinds, Barracuda Networks, Zenoss, ServiceNow, BMC Software, FireScope, Zabbix, Centerity Systems, Netrix Systems, New Relic</t>
  </si>
  <si>
    <t>Developer of service assurance software application designed to offer system and data verification service. The company's service assurance software application provides services for management of internet protocol video network infrastructure and provides facilities such as remote sensing, dashboard status and to discover maps and instruments, enabling users to improve physical surveillance and security reliability and performance and gain critical insight into physical security systems.</t>
  </si>
  <si>
    <t>Artificial Intelligence &amp; Machine Learning, Big Data, Internet of Things, TMT</t>
  </si>
  <si>
    <t>iot, knowledge analytics, machine learning, network infrastructure, physical security, service assurance, service assurance software, service assurance tools, surveillance software, video network infrastructure</t>
  </si>
  <si>
    <t>www.viakoo.com</t>
  </si>
  <si>
    <t>2015: 13, 2016: 11, 2017: 15</t>
  </si>
  <si>
    <t>45059-95P</t>
  </si>
  <si>
    <t>Bud Broomhead</t>
  </si>
  <si>
    <t>bud.broomhead@viakoo.com</t>
  </si>
  <si>
    <t>+1 (650) 263-8225</t>
  </si>
  <si>
    <t>1100 La Avenida Street</t>
  </si>
  <si>
    <t>Building B</t>
  </si>
  <si>
    <t>info@viakoo.com</t>
  </si>
  <si>
    <t>The company raised an an estimated $2.5 million of Series A-1 venture funding from Stanley Ventures on January 19, 2018, putting the company's pre-money valuation at $15.45 million. Previously, the company raised $3 million of Series A1 venture funding from Keiretsu Forum, Keiretsu Capital and other undisclosed investors on February 15, 2017, putting the company's pre-money valuation at $12.45 million.</t>
  </si>
  <si>
    <t>Keiretsu Capital, Keiretsu Forum, PivotNorth Capital, Stanley Ventures</t>
  </si>
  <si>
    <t>Keiretsu Capital(www.keiretsucapital.com), Keiretsu Forum(www.keiretsuforum.com), PivotNorth Capital(www.pivotnorth.com), Stanley Ventures(www.stanleyventures.com)</t>
  </si>
  <si>
    <t>62139-88</t>
  </si>
  <si>
    <t>Via (Carpooling)</t>
  </si>
  <si>
    <t>VuLog, Ola, Careem, Zify, Scoop Technologies, Summon, Koolicar, Taxify, Tripda, Zipcar, Uber, FlightCar, GroundLink, SRide, SaferTaxi, myTaxi, Lyft, Cabify, Getaround</t>
  </si>
  <si>
    <t>Operator of an on-demand transit company designed to provide car pooling services. The company's platform dynamically matches passengers with available seats, instead of entire vehicles, creating a virtual bus service, while keeping trip durations similar to a private taxi, enabling passengers to be picked up and dropped off in a continuous stream, without taking riders out of their way to accommodate other passengers.</t>
  </si>
  <si>
    <t>Industrials, LOHAS &amp; Wellness, Mobile, Ridesharing, TMT</t>
  </si>
  <si>
    <t>carpooling app, online transportation, ridesharing, transportation platform</t>
  </si>
  <si>
    <t>www.ridewithvia.com</t>
  </si>
  <si>
    <t>2014: 11, 2015: 17, 2016: 68, 2017: 200, 2019: 400</t>
  </si>
  <si>
    <t>Competitor (New) Getaround</t>
  </si>
  <si>
    <t>75673-27P</t>
  </si>
  <si>
    <t>Daniel Ramot</t>
  </si>
  <si>
    <t>daniel@ridewithvia.com</t>
  </si>
  <si>
    <t>10 Crosby Street</t>
  </si>
  <si>
    <t>The company raised an estimated $250 million venture funding from 83North, Daimler and Ervington Investments on September 4, 2017, putting the company's pre-money valuation at $750 million. The funding will allow the company to expand its own-branded operations in Europe, initially in London, with Paris soon to follow. Evolution Corporate Advisors, Fraser McCombs Capital, Lauder Partners and Hanaco Venture Capital also participated in this round.</t>
  </si>
  <si>
    <t>83North, C4 Ventures, Daimler, Ervington Investments, Evolution VC Partners, Expansion Venture Capital, Fraser McCombs Capital, Hanaco Venture Capital, Hearst Ventures, Kapor Capital, Lauder Partners, Mill Point Capital, Nelstone Ventures, Pitango Venture Capital, Planven Investments, Poalim Capital Markets, RiverPark Ventures, Ryan Melohn, SAIC Capital</t>
  </si>
  <si>
    <t>Elevator Fund</t>
  </si>
  <si>
    <t>83North(www.83north.com), C4 Ventures(www.c4v.com), Daimler(www.daimler.com), Evolution VC Partners(www.evolutionadvisorsllc.com), Expansion Venture Capital(www.expansionvc.com), Fraser McCombs Capital(www.fmcap.com), Hanaco Venture Capital(www.hanacovc.com), Kapor Capital(www.kaporcapital.com), Lauder Partners(www.lauderpartners.com), Mill Point Capital(www.millpoint.com), Nelstone Ventures(www.nelstoneventures.com), Pitango Venture Capital(www.pitango.com), Planven Investments(www.planven.com), Poalim Capital Markets(www.poalimcm.com), RiverPark Ventures(www.riverparkvc.com), SAIC Capital(www.saicvc.com)</t>
  </si>
  <si>
    <t>Elevator Fund(www.elevatorfund.com)</t>
  </si>
  <si>
    <t>Gunderson Dettmer(Legal Advisor), Wilson Sonsini Goodrich &amp; Rosati(Legal Advisor)</t>
  </si>
  <si>
    <t>Gunderson Dettmer(Legal Advisor), Lazard(Advisor: General), Wilson Sonsini Goodrich &amp; Rosati(Legal Advisor)</t>
  </si>
  <si>
    <t>55590-49</t>
  </si>
  <si>
    <t>VetsinTech</t>
  </si>
  <si>
    <t>ViT</t>
  </si>
  <si>
    <t>Provider of an advising platform designed to connect veterans returning from Iraq and Afghanistan with the technology ecosystem. The company's platform provides a tech-specific network, resources and programs for veterans interested in education, entrepreneurship and employment, enabling candidates to get technological trainings.</t>
  </si>
  <si>
    <t>Education and Training Services (B2B)</t>
  </si>
  <si>
    <t>Education and Training Services (B2B)*, Educational Software, Information Services (B2C)</t>
  </si>
  <si>
    <t>online portal, technical training, technology ecosystem, veterans education, veterans employment</t>
  </si>
  <si>
    <t>www.vetsintech.co</t>
  </si>
  <si>
    <t>2014: 2</t>
  </si>
  <si>
    <t>44200-90P</t>
  </si>
  <si>
    <t>Katherine Webster</t>
  </si>
  <si>
    <t>Founder &amp; Board Member</t>
  </si>
  <si>
    <t>kwebster@vetsintech.co</t>
  </si>
  <si>
    <t>88 King Street</t>
  </si>
  <si>
    <t>94107</t>
  </si>
  <si>
    <t>info@vetsintech.co</t>
  </si>
  <si>
    <t>The company raised $1345 of angel funding via Crowdfunding Platform Indiegogo in 2014. Previously, the company raised seed funding from Andreessen Horowitz, Cisco Investments and Hewlett-Packard on an undisclosed date. Intuit and Salesforce Investments also participated in the transaction.</t>
  </si>
  <si>
    <t>Andreessen Horowitz, Cisco Investments, Hewlett-Packard, Intuit, Salesforce Ventures</t>
  </si>
  <si>
    <t>Andreessen Horowitz(www.a16z.com), Cisco Investments(www.ciscoinvestments.com), Hewlett-Packard(www.hp.com), Intuit(www.intuit.com)</t>
  </si>
  <si>
    <t>104764-42</t>
  </si>
  <si>
    <t>Vesper Technologies</t>
  </si>
  <si>
    <t>Sonify, Baker-Calling</t>
  </si>
  <si>
    <t>Vesper</t>
  </si>
  <si>
    <t>Infineon Technologies, Knowles (Mobile Consumer Electronics Speaker &amp; Receiver Product Line)</t>
  </si>
  <si>
    <t>Developer of piezoelectric microphones designed to improve the reliability of the voice user interface for smartphones, smart speakers, connected automobiles and any connected device. The company's microphones are developed with an acoustic-sensing technology with voice capture, sound-recording signal-to-noise ratio (SNR) and can withstand water, dust and particle contaminants thus providing free in response to sound waves to capture the maximum signal and provide better performance.</t>
  </si>
  <si>
    <t>Application Specific Semiconductors, Electronic Components*, Wireless Communications Equipment</t>
  </si>
  <si>
    <t>AudioTech, Internet of Things, TMT, Wearables &amp; Quantified Self</t>
  </si>
  <si>
    <t>acoustic sensor, mems, mems sensor, mems technology, microphone technology, piezoelectric, piezoelectric microphone, sound-recording microphone</t>
  </si>
  <si>
    <t>www.vespermems.com</t>
  </si>
  <si>
    <t>2016: 20, 2017: 22, 2018: 27</t>
  </si>
  <si>
    <t>43206-67P</t>
  </si>
  <si>
    <t>Matthew Crowley</t>
  </si>
  <si>
    <t>Chief Executive Officer and Board Member</t>
  </si>
  <si>
    <t>crowley@vespermems.com</t>
  </si>
  <si>
    <t>77 Summer Street</t>
  </si>
  <si>
    <t>Floor 8 &amp; 9</t>
  </si>
  <si>
    <t>02110</t>
  </si>
  <si>
    <t>info@vespermems.com</t>
  </si>
  <si>
    <t>The company raised $25.91 million of Series B venture funding in a deal led by American Family Ventures on August 6, 2018, putting the company's pre-money valuation at $80 million. Amazon Alexa Fund, Bose Ventures, Baidu, Shure, Synaptics, Accomplice VC, Hyperplane Venture Capital, Sands Capital Ventures, Castor Ventures, Alumni Ventures Group, CSC UpShot Ventures and ZZ Capital also participated in the round. The funds will be used to expand the company's team, including hiring in engineering and sales, scale the mass production of its microphones, support expanded research &amp; development, grow customer support and open offices in China and South Korea.</t>
  </si>
  <si>
    <t>AAC Technologies, Accomplice VC, Alumni Ventures Group, Amazon Alexa Fund, American Family Ventures, Atlas Venture, Baidu, Bose Ventures, Castor Ventures, CSC UpShot Ventures, Hyperplane Venture Capital, Michigan Investment in New Technology Startups, Miraenano Tech, National Aeronautics and Space Administration, National Institutes of Health, National Science Foundation, Sands Capital Ventures, Shure, Synaptics, U.S. Department of Health and Human Services, Vivjan Myrto, XinGang Electronics, ZZ Capital</t>
  </si>
  <si>
    <t>AAC Technologies(www.aactechnologies.com), Accomplice VC(www.accomplice.co), Alumni Ventures Group(www.avgfunds.com), Amazon Alexa Fund(developer.amazon.com/alexa-fund), American Family Ventures(www.amfamventures.com), Atlas Venture(www.atlasventure.com), Baidu(ir.baidu.com), Bose Ventures(bose.ventures), Castor Ventures(www.castorventures.com), CSC UpShot Ventures(www.csc-upshot.vc), Hyperplane Venture Capital(www.hyperplane.vc), National Aeronautics and Space Administration(www.nasa.gov), National Institutes of Health(www.nih.gov), National Science Foundation(seedfund.nsf.gov), Sands Capital Ventures(www.sandscapitalventures.com), Shure(www.shure.com), Synaptics(www.synaptics.com), U.S. Department of Health and Human Services(hhs.gov), XinGang Electronics(www.sdxingang.cn)</t>
  </si>
  <si>
    <t>Cooley(Legal Advisor), EY(Auditor), Silicon Valley Bank(General Business Banking)</t>
  </si>
  <si>
    <t>Cooley(Legal Advisor), EY(Auditor), Jones Day(Legal Advisor)</t>
  </si>
  <si>
    <t>157599-28</t>
  </si>
  <si>
    <t>Provider of admin services intended to offer end-to-end office management to small businesses. The company's admin services are offered by visiting client offices to help with office management, executive assistance, light bookkeeping, human resource payroll and more, enabling clients to focus on their productivity without thinking much about the management services.</t>
  </si>
  <si>
    <t>Consulting Services (B2B)*, Office Services (B2B), Other Commercial Services</t>
  </si>
  <si>
    <t>Industrials</t>
  </si>
  <si>
    <t>admin services, end-to-end office management, events coordination, executive assistance, office concierge, office management</t>
  </si>
  <si>
    <t>www.getvesper.com</t>
  </si>
  <si>
    <t>2016: 5</t>
  </si>
  <si>
    <t>134057-26P</t>
  </si>
  <si>
    <t>Margaret Tung</t>
  </si>
  <si>
    <t>margaret@getvesper.com</t>
  </si>
  <si>
    <t>+1 (888) 276-4708</t>
  </si>
  <si>
    <t>26 Broadway</t>
  </si>
  <si>
    <t>hello@getvesper.com</t>
  </si>
  <si>
    <t>The company raised an undisclosed amount of venture funding from Baidu Ventures on July 1, 2018. Previously, the company raised an undisclosed amount of venture funding in a deal led by MITS Fund on January 31, 2016. Kima Ventures, MicroVentures and Otter Rock Capital also participated in the round.</t>
  </si>
  <si>
    <t>AngelPad, Baidu Ventures, Kima Ventures, MicroVentures, MITS Fund, Otter Rock Capital</t>
  </si>
  <si>
    <t>AngelPad(www.angelpad.com), Baidu Ventures(www.bv.ai), Kima Ventures(www.kimaventures.com), MicroVentures(www.microventures.com), MITS Fund(www.mitsfund.com), Otter Rock Capital(www.otterrockcapital.com)</t>
  </si>
  <si>
    <t>64308-61</t>
  </si>
  <si>
    <t>VersionEye</t>
  </si>
  <si>
    <t>Developer of a cross-platform search engine designed to offer a notification system for software libraries. The company's cross-platform search engine tracks more than 1.5 million free, libre, open source libraries from Java, .NET, Ruby, Python, Node.JS, PHP, JavaScript, CSS, Objective-C, Rust, R and Clojure and notifies as soon the next version is released, enabling enterprises to stay up-to-date and remain aware of security vulnerabilities, license violations and out-dated dependencies in their Git repositories.</t>
  </si>
  <si>
    <t>crosses platform search, crosses platform search engine, crowdsourcing application, open source library, saas</t>
  </si>
  <si>
    <t>www.versioneye.com</t>
  </si>
  <si>
    <t>2014: 1</t>
  </si>
  <si>
    <t>74619-82P</t>
  </si>
  <si>
    <t>Robert Reiz</t>
  </si>
  <si>
    <t>reiz@versioneye.com</t>
  </si>
  <si>
    <t>+49 (0)33 1979 9227 0</t>
  </si>
  <si>
    <t>Mannheim, Germany</t>
  </si>
  <si>
    <t>Julius-Hatry-Str. 1</t>
  </si>
  <si>
    <t>Mannheim</t>
  </si>
  <si>
    <t>68163</t>
  </si>
  <si>
    <t>+49 (0)62 1586 7831 7</t>
  </si>
  <si>
    <t>contact@versioneye.com</t>
  </si>
  <si>
    <t>55680-76</t>
  </si>
  <si>
    <t>Versa Networks</t>
  </si>
  <si>
    <t>PCTEL, Silver Peak, ConteXtream, Expereo International, Spirent Communications, Rift.io, Aryaka, Coriant America, Engreen, Array Networks, Empirix, Pertino, CloudGenix</t>
  </si>
  <si>
    <t>Provider of software-defined networking (SDN) services. The company develops an architecture that leverages virtualization and distributed systems technology.</t>
  </si>
  <si>
    <t>Other Communications and Networking*</t>
  </si>
  <si>
    <t>network infrastructure, virtualization system</t>
  </si>
  <si>
    <t>www.versa-networks.com</t>
  </si>
  <si>
    <t>2014: 47, 2015: 75, 2018: 250, 2019: 300</t>
  </si>
  <si>
    <t>44488-81P</t>
  </si>
  <si>
    <t>Kumar Mehta</t>
  </si>
  <si>
    <t>Co-Founder &amp; Chief Development Officer</t>
  </si>
  <si>
    <t>kumar@versa-networks.com</t>
  </si>
  <si>
    <t>Suite 260</t>
  </si>
  <si>
    <t>+1 (408) 385-7660</t>
  </si>
  <si>
    <t>The company raised $43 million of Series B venture funding from Sequoia Capital, Verizon Ventures and Mayfield on November 10, 2014, putting the company's pre-money valuation at $87 million. The round also included a $14 million debt portion.</t>
  </si>
  <si>
    <t>ARTIS Ventures, Liberty Global Ventures, Mayfield Fund, Sequoia Capital, Stuart Peterson, Verizon Ventures</t>
  </si>
  <si>
    <t>ARTIS Ventures(www.av.co), Mayfield Fund(www.mayfield.com), Sequoia Capital(www.sequoiacap.com), Verizon Ventures(www.verizonventures.com)</t>
  </si>
  <si>
    <t>Fenwick &amp; West(Legal Advisor), Lumina Communications(Advisor: Communications)</t>
  </si>
  <si>
    <t>54907-12</t>
  </si>
  <si>
    <t>Veros Systems</t>
  </si>
  <si>
    <t>Aternity, eSUB Construction Software, Knoa Software, Aras, KEMP Technologies, SAP, Powerhouse Dynamics, Wattics, Ansys, GridPoint, TrackAbout, Loftware, Paessler, EnTouch, Splunk, Opvizor, Dynatrace, erwin, Aquicore, eG Innovations, eSight Energy Group, Proliphix, CommVault Systems, Entigral Systems, Cylon Controls</t>
  </si>
  <si>
    <t>Developer of a industrial monitoring platform to monitor the reliability and energy efficiency of electrically powered rotating machines. The company's platform applies data capture techniques and machine learning algorithms to electrical waveform in industrial machines to continuously monitor rotating equipment health, gain real-time insights into operating performance and proactively predict failures, enabling industrial enterprises to deploy technology on a standalone monitoring platform, in the cloud, or embedded within existing power distribution, metering and monitoring hardware to increase up-time, improve efficiency and optimize maintenance.</t>
  </si>
  <si>
    <t>Advanced Manufacturing, Artificial Intelligence &amp; Machine Learning, Big Data, TMT</t>
  </si>
  <si>
    <t>electrical measurement, electrical signal analytics, electrical waveform analysis, energy monitor, equipment monitoring, industrial monitoring platform, predictive monitoring</t>
  </si>
  <si>
    <t>www.verossystems.com</t>
  </si>
  <si>
    <t>2014: 15</t>
  </si>
  <si>
    <t>51704-29P</t>
  </si>
  <si>
    <t>James Dechman</t>
  </si>
  <si>
    <t>jim.dechman@verossystems.com</t>
  </si>
  <si>
    <t>+1 (512) 686-2400</t>
  </si>
  <si>
    <t>5910 Courtyard Drive</t>
  </si>
  <si>
    <t>78731</t>
  </si>
  <si>
    <t>info@verossystems.com</t>
  </si>
  <si>
    <t>The company raised $2.99 million of venture funding from undisclosed investors on April 13, 2018.</t>
  </si>
  <si>
    <t>Austin Ventures, Chevron Technology Ventures, Houston Technology Center, Kenda Capital, LiveOak Venture Partners, Shell Ventures, Texas Emerging Technology Fund</t>
  </si>
  <si>
    <t>Austin Ventures(www.austinventures.com), Houston Technology Center(www.houstontech.org), Kenda Capital(www.kendacapital.com), LiveOak Venture Partners(www.liveoakvp.com)</t>
  </si>
  <si>
    <t>Series B3</t>
  </si>
  <si>
    <t>167981-95</t>
  </si>
  <si>
    <t>Verkada</t>
  </si>
  <si>
    <t>Avigilon, Agent Vi, OWLR, Sighthound, IntelliVision, Cammy, Blacksumac</t>
  </si>
  <si>
    <t>Developer of enterprise security cameras designed to offer enterprise physical security services. The company's cameras combine cutting-edge camera technology with intelligent, web-based software all in a secure, user-friendly system, as well as eliminate the need for outdated equipment such as network video recorders (NVRs), enabling users to get easy to install, updated and expanded cameras that offer the protection of full encryption with no special configurations required.</t>
  </si>
  <si>
    <t>Office Electronics</t>
  </si>
  <si>
    <t>Office Electronics*</t>
  </si>
  <si>
    <t>camera technology, enterprise security camera, security camera system, video security system, video surveillance, video surveillance camera</t>
  </si>
  <si>
    <t>www.verkada.com</t>
  </si>
  <si>
    <t>2016: 7, 2017: 9</t>
  </si>
  <si>
    <t>149649-67P</t>
  </si>
  <si>
    <t>Filip Kaliszan</t>
  </si>
  <si>
    <t>filip.kaliszan@verkada.com</t>
  </si>
  <si>
    <t>+1 (833) 837-5232</t>
  </si>
  <si>
    <t>San Mateo, CA</t>
  </si>
  <si>
    <t>60 East 3rd Avenue</t>
  </si>
  <si>
    <t>San Mateo</t>
  </si>
  <si>
    <t>94401</t>
  </si>
  <si>
    <t>info@verkada.com</t>
  </si>
  <si>
    <t>The company raised $40 million of Series B venture funding in a deal led by Meritech Capital Partners and Sequoia Capital on April 25, 2019, putting the company's pre-money valuation at $500 million. First Round Capital and Next47 also participated in the round.</t>
  </si>
  <si>
    <t>First Round Capital, Founder Collective, Hans Robertson, Hector Garcia-Molina, Meritech Capital Partners, Next47, Sequoia Capital, Webb Investment Network</t>
  </si>
  <si>
    <t>First Round Capital(www.firstround.com), Founder Collective(www.foundercollective.com), Meritech Capital Partners(www.meritechcapital.com), Next47(Next47.com), Sequoia Capital(www.sequoiacap.com), Webb Investment Network(www.winfunding.com)</t>
  </si>
  <si>
    <t>225917-65</t>
  </si>
  <si>
    <t>Verity Studios</t>
  </si>
  <si>
    <t>Provider of indoor drone shows designed to transform the live events experience. The company's live performances are done with the help of multiple self-piloted drones operating close to crowds with a continuous monitor component function, enabling audiences to enjoy dazzling live performances.</t>
  </si>
  <si>
    <t>Other Hardware</t>
  </si>
  <si>
    <t>Application Software, Other Hardware*</t>
  </si>
  <si>
    <t>Robotics and Drones, TMT</t>
  </si>
  <si>
    <t>drones show, drones systems, indoor drones show, live drones performance, micro drones</t>
  </si>
  <si>
    <t>www.veritystudios.com</t>
  </si>
  <si>
    <t>2018: 40</t>
  </si>
  <si>
    <t>88161-58P</t>
  </si>
  <si>
    <t>Markus Waibel</t>
  </si>
  <si>
    <t>mwaibel@veritystudios.com</t>
  </si>
  <si>
    <t>+41 (0)44 586 5588</t>
  </si>
  <si>
    <t>Zurich, Switzerland</t>
  </si>
  <si>
    <t>Binzmühlestrasse 81</t>
  </si>
  <si>
    <t>Zurich</t>
  </si>
  <si>
    <t>8050</t>
  </si>
  <si>
    <t>Switzerland</t>
  </si>
  <si>
    <t>info@veritystudios.com</t>
  </si>
  <si>
    <t>The company raised $18 million of Series A venture funding in a deal led by Fontinalis Partners on June 5, 2018. Airbus Ventures, Sony Innovation Fund, Kitty Hawk Capital, Bascom Ventures, Castor Ventures, Chestnut Street Ventures, Green D Ventures and The Yard Ventures also participated in the round. The funding will be used to expand the live event business and to expand into other commercial verticals and operations.</t>
  </si>
  <si>
    <t>Airbus Ventures, Alumni Ventures Group, Bascom Ventures, Castor Ventures, Chestnut Street Ventures, Fontinalis Partners, Green D Ventures, Kitty Hawk Capital, Sony Innovation Fund, The Yard Ventures</t>
  </si>
  <si>
    <t>Airbus Ventures(www.airbusventures.vc), Alumni Ventures Group(www.avgfunds.com), Bascom Ventures(www.bascomventures.com), Castor Ventures(www.castorventures.com), Chestnut Street Ventures(www.chestnutstreetventures.com), Fontinalis Partners(www.fontinalis.com), Green D Ventures(www.greendventures.com), Sony Innovation Fund(www.sonyinnovationfund.com), The Yard Ventures(www.theyardventures.com)</t>
  </si>
  <si>
    <t>120195-73</t>
  </si>
  <si>
    <t>Veritonic</t>
  </si>
  <si>
    <t>Provider of a marketing intelligence platform designed to offer audio intelligence in advertising. The company's marketing intelligence platform measures the impact of a track to discover qualitative and quantitative marketing responses, enabling brands, agencies and publishers to select commercial music for marketing and creating multimedia advertisements.</t>
  </si>
  <si>
    <t>AdTech, Marketing Tech, SaaS, TMT</t>
  </si>
  <si>
    <t>audio content, audio intelligence, marketing intelligence, marketing intelligence platform, multimedia advertisement</t>
  </si>
  <si>
    <t>www.veritonic.com</t>
  </si>
  <si>
    <t>2015: 5</t>
  </si>
  <si>
    <t>44057-08P</t>
  </si>
  <si>
    <t>Scott Simonelli</t>
  </si>
  <si>
    <t>scott@veritonic.com</t>
  </si>
  <si>
    <t>+1 (646) 883-3702</t>
  </si>
  <si>
    <t>Killingworth, CT</t>
  </si>
  <si>
    <t>46 Buell Hill Road</t>
  </si>
  <si>
    <t>Killingworth</t>
  </si>
  <si>
    <t>Connecticut</t>
  </si>
  <si>
    <t>06419</t>
  </si>
  <si>
    <t>info@veritonic.com</t>
  </si>
  <si>
    <t>The company raised $3.5 million of seed funding in a deal led by Newark Venture Partners on July 31, 2018, putting the company's pre-money valuation at $6 million. SWaN &amp; Legend Venture Partners, Kiwi Venture Partners, MDC Ventures, Archer Gray and Imagination Capital also participated in the round.</t>
  </si>
  <si>
    <t>Archer Gray, Forefront Venture Partners, Frederick Soneya, Haatch, Imagination Capital, MDC Ventures, Newark Venture Partners, Scott Weavers-Wright, Stage One Capital, SWaN &amp; Legend Venture Partners, Tuhaye Venture Partners, Upstage Ventures</t>
  </si>
  <si>
    <t>Archer Gray(archergray.com), Forefront Venture Partners(www.forefrontvp.com), Frederick Soneya(www.haatch.com/fred), Haatch(www.haatch.com), Imagination Capital(www.imaginationvc.com), MDC Ventures(www.mdcventures.vc), Newark Venture Partners(www.newarkventurepartners.com), Stage One Capital(www.stage1capital.com), SWaN &amp; Legend Venture Partners(www.swanandlegend.com), Tuhaye Venture Partners(www.tuhayeventurepartners.com), Upstage Ventures(www.upstageventures.com)</t>
  </si>
  <si>
    <t>265023-10</t>
  </si>
  <si>
    <t>Verimi</t>
  </si>
  <si>
    <t>Operator of an identity service and payment platform intended for individuals, companies and public authorities. The company's platform cuts down the number of obstacles that users face as part of digital everyday life, enabling users to make payment conveniently and safely.</t>
  </si>
  <si>
    <t>Application Software*, Business/Productivity Software, Database Software, Financial Software</t>
  </si>
  <si>
    <t>FinTech, SaaS</t>
  </si>
  <si>
    <t>data security compliance, online identity management, online identity verifier, payment platform, payment service</t>
  </si>
  <si>
    <t>www.verimi.de</t>
  </si>
  <si>
    <t>200040-67P</t>
  </si>
  <si>
    <t>Torsten Sonntag</t>
  </si>
  <si>
    <t>Managing Director, Chief Financial Officer &amp; Chief Operating Officer</t>
  </si>
  <si>
    <t>torsten.sonntag@verimi.com</t>
  </si>
  <si>
    <t>+49 (0)30 2068 9112</t>
  </si>
  <si>
    <t>Frankfurt, Germany</t>
  </si>
  <si>
    <t>Tech Quartier</t>
  </si>
  <si>
    <t>Platz der Einheit 2</t>
  </si>
  <si>
    <t>Frankfurt</t>
  </si>
  <si>
    <t>60327</t>
  </si>
  <si>
    <t>office@verimi.com</t>
  </si>
  <si>
    <t>The company raised an undisclosed amount of venture funding from Samsung Catalyst on January 18, 2019.</t>
  </si>
  <si>
    <t>Samsung Catalyst</t>
  </si>
  <si>
    <t>Samsung Catalyst(www.samsungcatalyst.com)</t>
  </si>
  <si>
    <t>58696-39</t>
  </si>
  <si>
    <t>Verdigris</t>
  </si>
  <si>
    <t>NOVEDA Technologies, The Energy Detective, Solar Analytics, Smappee, Neurio, Wattwatchers, carbonTRACK, QOS Energy, Blue Pillar</t>
  </si>
  <si>
    <t>Provider of an energy monitoring platform intended to improve energy efficiency in large buildings. The company's energy monitoring platform includes energy management tools use a combination of artificial intelligence and sensors, enabling clients to make buildings smarter and more connected while reducing energy consumption and costs.</t>
  </si>
  <si>
    <t>Application Software*, Electrical Equipment, Other Equipment</t>
  </si>
  <si>
    <t>Artificial Intelligence &amp; Machine Learning, Big Data, CleanTech, Industrials, Internet of Things, Mobile, SaaS, TMT</t>
  </si>
  <si>
    <t>artificial intelligence, demand management, electricity demand management, electricity monitoring, energy meter, energy tracker, machine learning</t>
  </si>
  <si>
    <t>www.verdigris.co</t>
  </si>
  <si>
    <t>2012: 8, 2013: 8, 2014: 15, 2015: 28, 2016: 26, 2017: 28</t>
  </si>
  <si>
    <t>53238-70P</t>
  </si>
  <si>
    <t>Mark Chung</t>
  </si>
  <si>
    <t>mark@verdigris.co</t>
  </si>
  <si>
    <t>+1 (650) 814-0809</t>
  </si>
  <si>
    <t>NASA Ames Research Park</t>
  </si>
  <si>
    <t>Building 19, Suite 2073</t>
  </si>
  <si>
    <t>94035</t>
  </si>
  <si>
    <t>info@verdigris.co</t>
  </si>
  <si>
    <t>The company raised $5 million of venture funding from Verizon Ventures and Jabil Circuit on January 30, 2018. The company will use these funds to complete its move to high-volume manufacturing facilities to shorten fulfillment times and meet customer demand. Long Venture Partners also participated in this round.</t>
  </si>
  <si>
    <t>Amos Ben-Meir, Data Collective, Founder.org, Jabil, Long Venture Partners, Orange Fab, StartX, SV Latam Fund, Verizon Ventures</t>
  </si>
  <si>
    <t>Data Collective(www.dcvc.com), Founder.org(www.founder.org), Jabil(www.jabil.com), Long Venture Partners(www.longvp.com), Orange Fab(www.orangefab.com), StartX(www.startx.com), SV Latam Fund(www.svlatamfund.co), Verizon Ventures(www.verizonventures.com)</t>
  </si>
  <si>
    <t>52819-57</t>
  </si>
  <si>
    <t>Veracode</t>
  </si>
  <si>
    <t>Codiscope, Denim Group, Security Innovation, Secure Thingz, McAfee, Cloudflare, Oracle Dyn, Arbor Networks, Karamba Security, Rapid7, WatchGuard Technologies, WhiteHat Security, Soha, Contrast Security, Snyk, Incapsula, NT Objectives, Highwinds Network Group, Proofpoint, Checkmarx, Qualys, Sucuri, Corsa, iconectiv, Black Lotus Communications, FireEye, Tenable, SonicWALL, Nexgate, AppViewX, Barracuda Networks, Acunetix, Prolexic Technologies</t>
  </si>
  <si>
    <t>Provider of cloud-based application security platform designed to find and fix security-related defects at all points in the software development lifecycle. The company improves the security of applications from inception via a secured web, mobile and third-party applications that seamlessly integrates security into software development process, enabling security teams, software developers and enterprises of all sizes to test and monitor the security of their applications during the building and deployment process</t>
  </si>
  <si>
    <t>Network Management Software, Software Development Applications*</t>
  </si>
  <si>
    <t>Cybersecurity, Mobile, SaaS, TMT</t>
  </si>
  <si>
    <t>application security testing, ast services, security platform, security program</t>
  </si>
  <si>
    <t>www.veracode.com</t>
  </si>
  <si>
    <t>2012: 225, 2013: 262, 2014: 350, 2015: 465, 2016: 375, 2017: 550</t>
  </si>
  <si>
    <t>55761-22P</t>
  </si>
  <si>
    <t>Chris Wysopal</t>
  </si>
  <si>
    <t>cwysopal@veracode.com</t>
  </si>
  <si>
    <t>+1 (339) 674-2500</t>
  </si>
  <si>
    <t>Burlington, MA</t>
  </si>
  <si>
    <t>65 Network Drive</t>
  </si>
  <si>
    <t>Burlington</t>
  </si>
  <si>
    <t>01803</t>
  </si>
  <si>
    <t>+1 (339) 674-2502</t>
  </si>
  <si>
    <t>contact@veracode.com</t>
  </si>
  <si>
    <t>The company, a subsidiary of CA Technologies, was acquired by Thoma Bravo through a $950 million LBO on January 1, 2019.</t>
  </si>
  <si>
    <t>Thoma Bravo</t>
  </si>
  <si>
    <t>.406 Ventures, Agman Partners, Atlas Venture, CA Technologies, Cross Creek, Dot Capital, Flexera Software, Founders Circle Capital, Hartford Financial Services Group (Mutual Fund Business), In-Q-Tel, John Hancock Investments, MassMutual Financial Group, Meritech Capital Partners, Polaris Partners, StarVest Partners, Symantec, TELUS Ventures, Wellington Management</t>
  </si>
  <si>
    <t>Thoma Bravo(www.thomabravo.com)</t>
  </si>
  <si>
    <t>.406 Ventures(www.406ventures.com), Agman Partners(www.agmanpartners.com), Atlas Venture(www.atlasventure.com), CA Technologies(www.ca.com), Cross Creek(www.crosscreek.vc), Dot Capital(www.dotcapital.com), Flexera Software(www.flexera.com), Founders Circle Capital(www.founderscircle.com), Hartford Financial Services Group (Mutual Fund Business)(www.hartfordfunds.com), In-Q-Tel(www.iqt.org), John Hancock Investments(jhinvestments.com), Meritech Capital Partners(www.meritechcapital.com), Polaris Partners(www.polarispartners.com), StarVest Partners(www.starvestpartners.com), Symantec(www.symantec.com), TELUS Ventures(ventures.telus.com), Wellington Management(www.wellington.com)</t>
  </si>
  <si>
    <t>Accelerate-IT Advisors(Consulting), Daversa Partners(Consulting)</t>
  </si>
  <si>
    <t>Latham &amp; Watkins(Legal Advisor), SRS Acquiom(Consulting), WilmerHale(Legal Advisor)</t>
  </si>
  <si>
    <t>Corporate Divestiture</t>
  </si>
  <si>
    <t>99583-39</t>
  </si>
  <si>
    <t>Vera</t>
  </si>
  <si>
    <t>Veradocs</t>
  </si>
  <si>
    <t>SpiderOak, Forcepoint, Privitar, Observable Networks, BeyondTrust Software, Baffle, Anonos, ShiftLeft, Zscaler, Venafi, Pulse Secure, Eastwind, Illumio, WatchGuard Technologies, Dataguise, Cylance, CloudLock, Thycotic Software, Skyhigh Networks, Endgame, CloudPassage, CrowdStrike, BeyondTrust Software (Acquired), Camouflage Software, Bradford Networks, Seclore, ThinAir, Netskope, Zettaset, Onegini, Ionic Security, HyTrust, BalaBit, CipherCloud, Keyfactor, Bitglass, FinalCode, Vormetric, CipherPoint, Gemalto, HP Security Voltage, CensorNet, DataSunrise, WatchDox, Sophos, Cybereason, AlienVault, Porticor, SimpliVity, Varonis Systems, Ground Labs, Alert Logic, SSH Communications Security, Informatica, SecureWorks, SilverSky, Axis Technology Software, Springpath, Tresorit, Barracuda Networks, Malwarebytes, SonicWALL, SmartThings, Soro Software</t>
  </si>
  <si>
    <t>Provider of a next-generation data security platform designed to secure, track and share any kind of data, no matter where it's stored or how it's shared. The company's next-generation data security platform is a robust policy enforcement, with encryption and strict access controls, enabling businesses to collaborate freely while ensuring the highest levels of security, visibility and control to confidential data, across any platform or device.</t>
  </si>
  <si>
    <t>data encryption software, data protection system, data security platform, data security software, data-centric security, encryption software, policy enforcement</t>
  </si>
  <si>
    <t>www.vera.com</t>
  </si>
  <si>
    <t>2014: 15, 2015: 50, 2016: 75, 2017: 115</t>
  </si>
  <si>
    <t>41205-70P</t>
  </si>
  <si>
    <t>Ajay Arora</t>
  </si>
  <si>
    <t>Co-Founder, Chief Strategy Officer &amp; Board Member</t>
  </si>
  <si>
    <t>ajay.arora@vera.com</t>
  </si>
  <si>
    <t>+1 (650) 772-4050</t>
  </si>
  <si>
    <t>318 Cambridge Avenue</t>
  </si>
  <si>
    <t>+1 (650) 433-5500</t>
  </si>
  <si>
    <t>info@vera.com</t>
  </si>
  <si>
    <t>The company raised $10 million through a combination of Series B2 and Series B3 venture funding from undisclosed investors on August 31, 2018, putting the company's pre-money valuation at $110 million. BMW i Ventures also participated in this round.</t>
  </si>
  <si>
    <t>Amplify Partners, Ashok Krishnamurthi, Battery Ventures, BMW i Ventures, Capital One Growth Ventures, Christopher Rust, Clear Ventures, Fishtech Labs, Hasso Plattner Ventures, Leslie Ventures, Sutter Hill Ventures</t>
  </si>
  <si>
    <t>Amplify Partners(www.amplifypartners.com), Battery Ventures(www.battery.com), BMW i Ventures(www.bmwiventures.com), Capital One Growth Ventures(growthventures.capitalone.com), Clear Ventures(www.clear.ventures), Fishtech Labs(www.fishtech.group), Hasso Plattner Ventures(www.hp-ventures.com), Sutter Hill Ventures(www.shv.com)</t>
  </si>
  <si>
    <t>171693-10</t>
  </si>
  <si>
    <t>Veo Robotics</t>
  </si>
  <si>
    <t>Veobot</t>
  </si>
  <si>
    <t>Robart, Rokid, Seegrid, Jibo, Humatics, Sick, Cognex, Fanuc</t>
  </si>
  <si>
    <t>Developer of an intelligent human-aware system designed to create industrial robots. The company's system uses intelligent algorithms running on parallel computing hardware and distributed 3D sensors, enabling users to get safe, close human collaboration with industrial robots.</t>
  </si>
  <si>
    <t>Electronics (B2C), Other Consumer Durables, Other Software*</t>
  </si>
  <si>
    <t>Artificial Intelligence &amp; Machine Learning, Robotics and Drones, TMT</t>
  </si>
  <si>
    <t>industrial automation, industrial manufacturing, manufacturing cell, robotics, safety, sensing technology</t>
  </si>
  <si>
    <t>www.veobot.com</t>
  </si>
  <si>
    <t>2016: 4, 2017: 13, 2018: 32, 2019: 40</t>
  </si>
  <si>
    <t>35926-21P</t>
  </si>
  <si>
    <t>Patrick Sobalvarro</t>
  </si>
  <si>
    <t>Waltham, MA</t>
  </si>
  <si>
    <t>411 Waverley Oaks Road</t>
  </si>
  <si>
    <t>Suite 107</t>
  </si>
  <si>
    <t>Waltham</t>
  </si>
  <si>
    <t>02452</t>
  </si>
  <si>
    <t>The company raised $15 million of Series A1 venture funding from GV, Baidu Ventures and Nikon on January 1, 2019, putting the company's pre-money valuation at $54.5 million. SBI Investment, Next47 and Lux Capital also participated in the round.</t>
  </si>
  <si>
    <t>Baidu Ventures, GV, Lux Capital, Next47, Nikon, SBI Investment</t>
  </si>
  <si>
    <t>Baidu Ventures(www.bv.ai), GV(www.gv.com), Lux Capital(www.luxcapital.com), Next47(Next47.com), Nikon(www.nikon.co.jp), SBI Investment(www.sbinvestment.co.jp)</t>
  </si>
  <si>
    <t>Silicon Valley Bank(General Business Banking)</t>
  </si>
  <si>
    <t>Latham &amp; Watkins(Legal Advisor)</t>
  </si>
  <si>
    <t>103383-73</t>
  </si>
  <si>
    <t>VenueNext</t>
  </si>
  <si>
    <t>Hopscotch (Application Software), SuperFanU, Tixsee, Venuetize, PrestoSports, Moovweb, Zeality, Built.io, ChannelEyes, Good Technology, YinzCam, Silver Chalice Ventures, Pegasystems, OneUp Sports, Oracle, HTC</t>
  </si>
  <si>
    <t>Provider of a mobile application platform intended to transform the way guests experience a venue via their smartphone. The company's platform ties together operational systems in a venue and creates mobile apps for guests, patients, fans and employees to access services that make their visit more convenient and builds customer loyalty, enabling venue owners to get real-time insights to make better informed data-driven business decisions easily.</t>
  </si>
  <si>
    <t>Application Software*, Information Services (B2C), Social/Platform Software</t>
  </si>
  <si>
    <t>events management tool, live events, mobile-centric platform, paperless ticketing, sports and entertainment, venue content, venue management technology</t>
  </si>
  <si>
    <t>www.venuenext.com</t>
  </si>
  <si>
    <t>2016: 90, 2018: 60</t>
  </si>
  <si>
    <t>101806-21P</t>
  </si>
  <si>
    <t>John Paul</t>
  </si>
  <si>
    <t>jp@venuenext.com</t>
  </si>
  <si>
    <t>+1 (408) 562-4949</t>
  </si>
  <si>
    <t>Santa Clara, CA</t>
  </si>
  <si>
    <t>4949 Marie P. DeBartolo Way</t>
  </si>
  <si>
    <t>Santa Clara</t>
  </si>
  <si>
    <t>95054</t>
  </si>
  <si>
    <t>info@venuenext.com</t>
  </si>
  <si>
    <t>The company raised an undisclosed amount of venture funding from M13 and Intel Capital on May 8, 2018. The funding will be used to further enhance the mobile offering to make the guest experience even better and drive more fans into the stadiums.</t>
  </si>
  <si>
    <t>Aruba Networks, Aurum Partners, Causeway Media Partners, Compass Group USA, Intel Capital, Live Nation Entertainment, M13, Sharks Sports &amp; Entertainment, Twitter Ventures, WISE Ventures (New York)</t>
  </si>
  <si>
    <t>Aruba Networks(www.arubanetworks.com), Causeway Media Partners(www.causewaymp.com), Compass Group USA(www.compass-usa.com), Intel Capital(www.intelcapital.com), Live Nation Entertainment(www.livenationentertainment.com), M13(www.m13.co), Sharks Sports &amp; Entertainment(www.sharkssports.net), Twitter Ventures(www.twitterventures.com), WISE Ventures (New York)(www.wiseventuresllc.com)</t>
  </si>
  <si>
    <t>Fenwick &amp; West(Legal Advisor), Venture Lending &amp; Leasing(Debt Financing), Western Technology Investment(Debt Financing)</t>
  </si>
  <si>
    <t>97867-09</t>
  </si>
  <si>
    <t>Veniam</t>
  </si>
  <si>
    <t>iWayAfrica Zimbabwe, Liquid Telecommunications, BRCK, Scientel Wireless</t>
  </si>
  <si>
    <t>Developer of vehicular mesh networks designed to offer Mobile Wi-Fi and data solutions to fleets worldwide. The company's vehicular mesh networks that turns vehicles into WiFi hotspots and creates vehicular networks that expand wireless coverage in urban environments.</t>
  </si>
  <si>
    <t>Wireless Communications Equipment</t>
  </si>
  <si>
    <t>Internet Service Providers, Wireless Communications Equipment*, Wireless Service Providers</t>
  </si>
  <si>
    <t>mesh network, protocol, vehicular, vehicular mesh network</t>
  </si>
  <si>
    <t>www.veniam.com</t>
  </si>
  <si>
    <t>2014: 13, 2015: 18, 2016: 40, 2017: 50</t>
  </si>
  <si>
    <t>80904-97P</t>
  </si>
  <si>
    <t>Joao Francisco Cordeiro de Oliveira Barros</t>
  </si>
  <si>
    <t>jbarros@veniam.com</t>
  </si>
  <si>
    <t>+1 (415) 470-3349</t>
  </si>
  <si>
    <t>331 West Evelyn Avenue</t>
  </si>
  <si>
    <t>+1 (650) 396-4499</t>
  </si>
  <si>
    <t>info@veniam.com</t>
  </si>
  <si>
    <t>The company raised $3 million of venture funding from undisclosed investors.</t>
  </si>
  <si>
    <t>Brian O'Halloran, Building Global Innovators, Caixa Capital, Cane Investments, Carnegie Mellon Portugal Program, Cisco Investments, Liberty Global Ventures, Orange Digital Ventures, True Ventures, Union Square Ventures, UPTEC, UTEN Portugal, Verizon Ventures, Yamaha Motor Ventures &amp; Laboratory Silicon Valley</t>
  </si>
  <si>
    <t>Building Global Innovators(www.bgi.pt), Caixa Capital(www.caixacapital.pt), Cane Investments(caneinvestments.com), Carnegie Mellon Portugal Program(www.cmuportugal.org), Cisco Investments(www.ciscoinvestments.com), Orange Digital Ventures(www.digitalventures.orange.com), True Ventures(www.trueventures.com), Union Square Ventures(www.usv.com), UPTEC(www.uptec.up.pt), UTEN Portugal(www.utenportugal.org), Verizon Ventures(www.verizonventures.com), Yamaha Motor Ventures &amp; Laboratory Silicon Valley(www.ymvsv.com)</t>
  </si>
  <si>
    <t>51237-55</t>
  </si>
  <si>
    <t>Venafi</t>
  </si>
  <si>
    <t>IMCentric</t>
  </si>
  <si>
    <t>Secure Thingz, Kaspersky Lab, Keyfactor, SSH Communications Security, SentinelOne, UnifyID, Recorded Future, Elevate Security, CipherCloud, Device Authority, AppViewX, ADACOM</t>
  </si>
  <si>
    <t>Provider of a machine identity protection platform designed to secure the connection and communication between machines. The company's cybersecurity platform protects machine identity types by orchestrating cryptographic keys and digital certificates for SSL/TLS, IoT, mobile and SSH in hybrid and multi-cloud environments, enabling organizations to communicate securely and protect their identity.</t>
  </si>
  <si>
    <t>Cybersecurity, Industrials, TMT</t>
  </si>
  <si>
    <t>aws devops, certificate expired, certificate management, check ssl certificate, compliance audit, create ssh keys, cryptographic keys, cyber security service, data protection, devops automation, devops best practices, devops security, devops tools, encryption keys management, enterprise risk management, enterprise risk management system, expired certificate, expired ssl, expired ssl certificate, generate ssl certificate, hippa compliance, identity access management, identity and access management, identity protection platform, keys management, machine identity protection, manage ssh keys, network security tools, nist compliance, pci ssl, pki certificate, pki security, private keys, privleged access, public keys infrastructure, sha 1 certificate, sha 1 depreciation, sha 1 encryption, sha 2, sha 2 certificate, ssh for windows, ssh keys, ssh keys management, ssl certificate has expired, ssl certificate management tool, ssl security, wildcard sll certificate</t>
  </si>
  <si>
    <t>www.venafi.com</t>
  </si>
  <si>
    <t>2015: 235, 2017: 180, 2018: 200, 2019: 250</t>
  </si>
  <si>
    <t>News (New) , Competitor (New) AppViewX, Competitor (New) Device Authority, Competitor (New) Keyfactor, Competitor (New) Recorded Future, Competitor (New) SentinelOne</t>
  </si>
  <si>
    <t>31309-57P</t>
  </si>
  <si>
    <t>Jeffrey Hudson</t>
  </si>
  <si>
    <t>jhudson@venafi.com</t>
  </si>
  <si>
    <t>+1 (801) 676-6900</t>
  </si>
  <si>
    <t>Salt Lake City, UT</t>
  </si>
  <si>
    <t>175 East 400 South</t>
  </si>
  <si>
    <t>Utah</t>
  </si>
  <si>
    <t>84111</t>
  </si>
  <si>
    <t>info@venafi.com</t>
  </si>
  <si>
    <t>The company raised $100 million of Series G venture funding in a deal led by Technology Crossover Ventures on November 29, 2018, putting the company's pre-money valuation at $500 million. NextEquity Partners and QuestMark Partners also participated in the round. The funding will be used to use the funds to accelerate growth.</t>
  </si>
  <si>
    <t>Foundation Capital, Highway 12 Ventures, Intel Capital, Mercato Partners, NextEquity Partners, Origin Partners, ORIX Growth Capital, Pelion Venture Partners, QuestMark Partners, Silver Lake Management, TCV, Utah Angels</t>
  </si>
  <si>
    <t>Foundation Capital(www.foundationcapital.com), Highway 12 Ventures(www.highway12ventures.com), Intel Capital(www.intelcapital.com), Mercato Partners(www.mercatopartners.com), NextEquity Partners(www.nextequity.com), Origin Partners(www.originpartners.com), Pelion Venture Partners(www.pelionvp.com), QuestMark Partners(www.questm.com), Silver Lake Management(www.silverlake.com), TCV(www.tcv.com), Utah Angels(www.utahangels.com)</t>
  </si>
  <si>
    <t>Cooley(Legal Advisor), EY(Auditor), Launch Search Partners(Consulting), Orrick, Herrington &amp; Sutcliffe(Legal Advisor)</t>
  </si>
  <si>
    <t>Cooley(Legal Advisor), Orrick, Herrington &amp; Sutcliffe(Legal Advisor), Western Technology Investment(Debt Financing)</t>
  </si>
  <si>
    <t>62985-79</t>
  </si>
  <si>
    <t>Vemba (Video Management)</t>
  </si>
  <si>
    <t>TwoPointO</t>
  </si>
  <si>
    <t>Prizma, Digitalsmiths, Kaltura, Zype</t>
  </si>
  <si>
    <t>Developer of a digital publishing technology intended to redefine video distribution. The company's digital publishing technology allows publishers to integrate third-party video content and advertising within their editorial process and existing video workflow, enabling them to grow their video business with transparency and control.</t>
  </si>
  <si>
    <t>Communication Software*, Other Software</t>
  </si>
  <si>
    <t>content management, digital publishing, digital publishing platform, digital publishing technology</t>
  </si>
  <si>
    <t>www.vemba.com</t>
  </si>
  <si>
    <t>2014: 11, 2016: 19</t>
  </si>
  <si>
    <t>66929-68P</t>
  </si>
  <si>
    <t>Norbert Horvath</t>
  </si>
  <si>
    <t>Founder &amp; Chief Technology Officer</t>
  </si>
  <si>
    <t>norbert.horvath@twopointo.com</t>
  </si>
  <si>
    <t>+1 (888) 899-2117</t>
  </si>
  <si>
    <t>Toronto, Canada</t>
  </si>
  <si>
    <t>511 King Street West</t>
  </si>
  <si>
    <t>Toronto</t>
  </si>
  <si>
    <t>M5V 2Z4</t>
  </si>
  <si>
    <t>info@vemba.com</t>
  </si>
  <si>
    <t>The company raised $6 million of Series A1 venture funding in a round led by Time Warner Investments on October 18, 2017. SpotX, Upfront Ventures and Bertelsmann Digital Media Investments also participated in this round. The company intends to use the funds to further expand its the technology offering for content owners and publishers and continue rollout of the platform to the large media companies.</t>
  </si>
  <si>
    <t>Bertelsmann Digital Media Investments, iGan Partners, John S. and James L. Knight Foundation, SpotX, Upfront Ventures, WarnerMedia Investments</t>
  </si>
  <si>
    <t>Bertelsmann Digital Media Investments(www.bdmifund.com), iGan Partners(www.iganpartners.com), John S. and James L. Knight Foundation(www.knightfoundation.org), SpotX(www.spotx.tv), Upfront Ventures(www.upfront.com), WarnerMedia Investments(www.timewarnerinvestments.com)</t>
  </si>
  <si>
    <t>100779-40</t>
  </si>
  <si>
    <t>Veem</t>
  </si>
  <si>
    <t>Align Commerce</t>
  </si>
  <si>
    <t>Payoneer, PayStand, BitPay, Marqeta, Stripe, Kabbage, Integrity Payment Systems, First Data, 2Checkout (Acquired), Adyen, Payfirma, Yoyo, Braintree, Spotcap, Klarna, Ezbob, Smava, AvidXchange, Vogogo, Wibmo, Nuvei, WePay, Hyperwallet Systems, BitGo, Global Payout, Financial-Information-Technologies, N26, Kimbia, Payscape, GoCardless, Total Merchant Services, GlobalCollect, FastSpring, Kount, Coinify, Previse</t>
  </si>
  <si>
    <t>Provider of a next generation payment platform designed to change the legacy financial payment system through innovation. The company's platform sends and receives payments in local currency via a friction-less manner by using the blockchain as a new settlement rail, improve the costly and outdated payments industry by building a new user-focused financial ecosystem that services businesses globally, enabling users to securely pay and get paid from their business partners all over the world.</t>
  </si>
  <si>
    <t>Financial Software*, Other Financial Services</t>
  </si>
  <si>
    <t>B2B Payments, Cryptocurrency/Blockchain, FinTech, SaaS, TMT</t>
  </si>
  <si>
    <t>b2b payment platform, blockchain technology software, financial payment system, global payment platform, payment service provider</t>
  </si>
  <si>
    <t>www.veem.com</t>
  </si>
  <si>
    <t>2015: 24, 2017: 50, 2018: 50</t>
  </si>
  <si>
    <t>39120-40P</t>
  </si>
  <si>
    <t>Marwan Forzley</t>
  </si>
  <si>
    <t>marwan@veem.com</t>
  </si>
  <si>
    <t>+1 (877) 279-2629</t>
  </si>
  <si>
    <t>50 Osgood Place</t>
  </si>
  <si>
    <t>94133</t>
  </si>
  <si>
    <t>business@veem.com</t>
  </si>
  <si>
    <t>The company raised $25 million of venture funding in a deal led by Goldman Sachs Principal Strategic Investments on September 21, 2018, putting the company's pre-money valuation at $150 million. GV, Trend Forward Capital, Silicon Valley Bank, Extol Capital, Strawberry Creek Ventures, Kleiner Perkins, Alumni Ventures Group and Pantera Capital also participated in the round. The funds will be used to accelerate growth in the global payments space, increase distribution and form new strategic partnerships. Spike Ventures also participated in this round.</t>
  </si>
  <si>
    <t>Alec Petro, Alumni Ventures Group, B&amp;Y Venture Partners, Bayhill Capital Management, Boost VC, Daniel Chen, Digital Currency Group, Extol Capital, FarSight Ventures, Fenbushi Capital, Fenway Summer Ventures, Firestartr, Goldman Sachs Principal Strategic Investments, GV, Jere Doyle, Kleiner Perkins, Korea Investment Partners, Mark Lodish, National Australian Bank Ventures, Nyca Partners, Pantera Capital, Paul Veradittakit, Philippe Suchet, Pivot Investment Partners, Recruit Strategic Partners, RF7, SBI Investment, Silicon Valley Bank, Spike Ventures, Strawberry Creek Ventures, SVB Financial Group, The Whittemore Collection, Todd McDonald, Trend Forward Capital</t>
  </si>
  <si>
    <t>Spider Capital</t>
  </si>
  <si>
    <t>Alumni Ventures Group(www.avgfunds.com), B&amp;Y Venture Partners(www.byvp.com), Bayhill Capital Management(bayhillcap.com), Boost VC(www.boost.vc), Digital Currency Group(www.dcg.co), Extol Capital(www.extolcap.com), FarSight Ventures(www.farsightventures.com), Fenbushi Capital(www.fenbushi.vc), Fenway Summer Ventures(www.fenwaysummer.com), Firestartr(www.firestartr.co), GV(www.gv.com), Kleiner Perkins(www.kleinerperkins.com), Korea Investment Partners(kipvc.com/main.html), Nyca Partners(www.nyca.com), Pantera Capital(www.panteracapital.com), Pivot Investment Partners(www.pivotinvestment.com), Recruit Strategic Partners(recruitstrategicpartners.com), SBI Investment(www.sbinvestment.co.jp), Silicon Valley Bank(www.svb.com), Spike Ventures(www.spike-ventures.com), The Whittemore Collection(www.whittemorecollection.com), Trend Forward Capital(www.trendforward.com)</t>
  </si>
  <si>
    <t>Spider Capital(www.spidercp.com)</t>
  </si>
  <si>
    <t>Fenwick &amp; West(Legal Advisor), Montgomery &amp; Company(Advisor: General)</t>
  </si>
  <si>
    <t>53571-16</t>
  </si>
  <si>
    <t>Vectra AI</t>
  </si>
  <si>
    <t>TraceVector</t>
  </si>
  <si>
    <t>Vectra Networks</t>
  </si>
  <si>
    <t>Distil Networks, Centrify, Shape Security, PatternEx, AnChain.AI, PerimeterX, Bastille Networks, Lastline, Niara, OneLogin, SS8, ShieldSquare, LightCyber, Cylance, Cybersprint, Securonix, SecureAuth, Incapsula, Castle (Network Management Software), HawkEye G, Darktrace</t>
  </si>
  <si>
    <t>Developer of a network intrusion detection system designed to automate real-time threat detection and response. The company's network intrusion detection system uses algorithms and artificial intelligence to detect anomalies in network traffic in real-time in order to secure against cyber-attacks, enabling organizations to make rapid decisions on where to focus time and resources.</t>
  </si>
  <si>
    <t>Application Software, Business/Productivity Software, Network Management Software*</t>
  </si>
  <si>
    <t>Artificial Intelligence &amp; Machine Learning, Cybersecurity, SaaS, TMT</t>
  </si>
  <si>
    <t>cyber security, detection system, network intrusion detection, network security management</t>
  </si>
  <si>
    <t>www.vectra.ai</t>
  </si>
  <si>
    <t>2014: 33, 2015: 56, 2018: 140, 2019: 200</t>
  </si>
  <si>
    <t>35371-72P</t>
  </si>
  <si>
    <t>Hitesh Sheth</t>
  </si>
  <si>
    <t>Chief Executive Officer, Co-Founder, Board Member &amp; President</t>
  </si>
  <si>
    <t>hitesh@vectra.ai</t>
  </si>
  <si>
    <t>+1 (408) 326-2020</t>
  </si>
  <si>
    <t>560 South Winchester Boulevard</t>
  </si>
  <si>
    <t>95128</t>
  </si>
  <si>
    <t>info@vectra.ai</t>
  </si>
  <si>
    <t>The company raised $36 million through a combination of debt and Series D venture funding in a deal led by Atlantic Bridge Capital on February 21, 2018, putting the company's pre-money valuation at $190 million. IA Ventures, Khosla Ventures, AME Cloud Ventures, Accel, Wipro Ventures, DAG Ventures, Ireland Strategic Investment Fund and Nissho Electronics also participated in the round. The company plans to use its new capital on a broader global marketing campaign and for improvements to its software.</t>
  </si>
  <si>
    <t>Accel, AME Cloud Ventures, Atlantic Bridge Capital, DAG Ventures, IA Ventures, Intel Capital, Ireland Strategic Investment Fund, Juniper Networks, Khosla Ventures, Nissho Electronics, Wipro Ventures</t>
  </si>
  <si>
    <t>Accel(www.accel.com), AME Cloud Ventures(www.amecloudventures.com), Atlantic Bridge Capital(www.abven.com), DAG Ventures(www.dagventures.com), IA Ventures(www.iaventures.com), Intel Capital(www.intelcapital.com), Ireland Strategic Investment Fund(www.isif.ie), Juniper Networks(www.juniper.net), Khosla Ventures(www.khoslaventures.com), Nissho Electronics(www.nissho-ele.co.jp)</t>
  </si>
  <si>
    <t>Lumina Communications(Advisor: Communications), RiceHadleyGates(Advisor: General), Wilson Sonsini Goodrich &amp; Rosati(Legal Advisor)</t>
  </si>
  <si>
    <t>Andrews Kurth Kenyon(Legal Advisor), Wilson Sonsini Goodrich &amp; Rosati(Legal Advisor)</t>
  </si>
  <si>
    <t>64308-79</t>
  </si>
  <si>
    <t>VascoDe</t>
  </si>
  <si>
    <t>Provides of web application platform on mobile phone. The company provides web applications like electronic-mail, social networks and messaging applications on users mobile phone.</t>
  </si>
  <si>
    <t>email, messaging application, mobile software</t>
  </si>
  <si>
    <t>www.nfrnds.com</t>
  </si>
  <si>
    <t>2014: 14</t>
  </si>
  <si>
    <t>74609-29P</t>
  </si>
  <si>
    <t>Dorron Mottes</t>
  </si>
  <si>
    <t>Founder, President, Chief Executive Officer &amp; Chairman</t>
  </si>
  <si>
    <t>mottes@nfrnds.com</t>
  </si>
  <si>
    <t>Ramat Gan, Israel</t>
  </si>
  <si>
    <t>3 Bezalel Street</t>
  </si>
  <si>
    <t>Ramat Gan</t>
  </si>
  <si>
    <t>5252103</t>
  </si>
  <si>
    <t>Hasso Plattner venture sold its stake in the company to an undisclosed investor. The company is no longer active tracked by PitchBook.</t>
  </si>
  <si>
    <t>MasterCard Start Path Accelerator</t>
  </si>
  <si>
    <t>MasterCard Start Path Accelerator(www.startpath.com)</t>
  </si>
  <si>
    <t>179035-48</t>
  </si>
  <si>
    <t>Varjo</t>
  </si>
  <si>
    <t>Magic Leap, SpaceVR</t>
  </si>
  <si>
    <t>Developer of VR and XR headsets designed to reinvent virtual, augmented and mixed reality experience. The company's headsets come equipped with photorealistic visual fidelity, low latency, high definition stereo, 20/20 focus texture and contour, lights, shadows and integrated eye tracking, enabling customers to experience photorealistic mixed reality scenarios.</t>
  </si>
  <si>
    <t>Business/Productivity Software, Electronics (B2C)*</t>
  </si>
  <si>
    <t>Augmented Reality, TMT, Virtual Reality</t>
  </si>
  <si>
    <t>crosses reality headset, mixed reality headset, mixed reality technology, vr technology, x reality</t>
  </si>
  <si>
    <t>www.varjo.com</t>
  </si>
  <si>
    <t>2017: 19, 2018: 80, 2019: 145</t>
  </si>
  <si>
    <t>163253-71P</t>
  </si>
  <si>
    <t>Urho Konttori</t>
  </si>
  <si>
    <t>Co-Founder and Chief Product Officer</t>
  </si>
  <si>
    <t>urho@varjo.com</t>
  </si>
  <si>
    <t>+358 (0)40 130 6998</t>
  </si>
  <si>
    <t>Helsinki, Finland</t>
  </si>
  <si>
    <t>Aleksanterinkatu 21 H</t>
  </si>
  <si>
    <t>4th floor</t>
  </si>
  <si>
    <t>Helsinki</t>
  </si>
  <si>
    <t>00100</t>
  </si>
  <si>
    <t>Finland</t>
  </si>
  <si>
    <t>contact@varjo.com</t>
  </si>
  <si>
    <t>The company is rumored to be in talks with Volvo Cars Tech Fund to raise venture funding on May 29, 2019. Previously, the company raised $31 million of Series B venture funding in a deal led by Atomico on October 8, 2018. Next47, Lifeline Ventures and EQT Ventures also participated in the round. The funding will be used to launch the company's first product and expand its workforce to more than 200 from 80 over the next 12 months.</t>
  </si>
  <si>
    <t>Atomico, Bragiel Brothers, EQT Ventures, Foobar Technologies, Horizon 2020, Lifeline Ventures, Next47, Presence Capital, Sisu Game Ventures, Tekes, The Venture Reality Fund, Ville Miettinen</t>
  </si>
  <si>
    <t>Atomico(www.atomico.com), Bragiel Brothers(www.bragielbrothers.com), EQT Ventures(www.eqtventures.com), Lifeline Ventures(www.lifelineventures.com), Next47(Next47.com), Presence Capital(www.presencecap.com), Sisu Game Ventures(sisugameventures.com), Tekes(www.tekes.fi), The Venture Reality Fund(www.thevrfund.com)</t>
  </si>
  <si>
    <t>56206-09</t>
  </si>
  <si>
    <t>VariBlend Dual Dispensing Systems</t>
  </si>
  <si>
    <t>VariBlend</t>
  </si>
  <si>
    <t>Manufacturer of dual dispensing pumps. The company's dispensing pump system uses custom-blending and dual-dispensing technology by rotating the dispenser head, multiple formula strengths can be selected thus satisfies consumer demands for product personalization and freshness and serves the cosmetics, food and pharmaceutical industries.</t>
  </si>
  <si>
    <t>Other Commercial Products*, Other Containers and Packaging</t>
  </si>
  <si>
    <t>dispensing pumps, dispensing pumps systems, dual dispensing pumps</t>
  </si>
  <si>
    <t>Out of Business</t>
  </si>
  <si>
    <t>www.variblend.com</t>
  </si>
  <si>
    <t>146938-06P</t>
  </si>
  <si>
    <t>Robert Brands</t>
  </si>
  <si>
    <t>President &amp; Chief Executive Officer</t>
  </si>
  <si>
    <t>Greenville, SC</t>
  </si>
  <si>
    <t>18C Brozzini Court</t>
  </si>
  <si>
    <t>Suite 342</t>
  </si>
  <si>
    <t>Greenville</t>
  </si>
  <si>
    <t>South Carolina</t>
  </si>
  <si>
    <t>29615</t>
  </si>
  <si>
    <t>The company is no longer actively in business and no longer actively tracked by PitchBook.</t>
  </si>
  <si>
    <t>Emil Capital Partners, J. Burke Capital Partners, MatinCrane</t>
  </si>
  <si>
    <t>Emil Capital Partners(www.emilcapitalpartners.com), J. Burke Capital Partners(www.jburkecapital.com), MatinCrane(www.cranevc.com)</t>
  </si>
  <si>
    <t>165918-88</t>
  </si>
  <si>
    <t>Valsight</t>
  </si>
  <si>
    <t>Developer of a web-based platform designed to help in taking strategic decisions based on real-time enterprise data. The company's platform combines big data technologies and predictive analytics with classical controlling processes and makes them intuitively available to a wider audience, enabling companies to improve their financial decisions by quantifying measures and uncertainties, thereby increasing their agility and transparency in decision making across functions and divisions.</t>
  </si>
  <si>
    <t>Application Software, Business/Productivity Software, Database Software*</t>
  </si>
  <si>
    <t>FinTech, SaaS, TMT</t>
  </si>
  <si>
    <t>big data technology, data driven decision, real time data, web based platform</t>
  </si>
  <si>
    <t>www.valsight.com</t>
  </si>
  <si>
    <t>143874-01P</t>
  </si>
  <si>
    <t>Stephan Mueller</t>
  </si>
  <si>
    <t>stephan.mueller@valsight.com</t>
  </si>
  <si>
    <t>+49 (0)30 4679 9044</t>
  </si>
  <si>
    <t>Uhlandstr. 29</t>
  </si>
  <si>
    <t>10719</t>
  </si>
  <si>
    <t>+49 (0)33 1968 0909 3</t>
  </si>
  <si>
    <t>info@valsight.com</t>
  </si>
  <si>
    <t>The company raised an undisclosed amount of seed funding from Hasso Plattner Ventures on February 2, 2015. Prior to this, the company joined SAP Startup Focus on an undisclosed date.</t>
  </si>
  <si>
    <t>Hasso Plattner Ventures, SAP Startup Focus</t>
  </si>
  <si>
    <t>Hasso Plattner Ventures(www.hp-ventures.com), SAP Startup Focus(www.startupfocus.saphana.com)</t>
  </si>
  <si>
    <t>157573-54</t>
  </si>
  <si>
    <t>Valor Fire Safety</t>
  </si>
  <si>
    <t>Developer of a technology designed to provide smoke detection and fire safety services. The company's technology offers External Sampling Photoelectric (ESP) smoke detectors which integrates multiple LEDs, a photodiode, and signal processing circuitry and detects fire even before the smoke reaches the detector, enabling users to get accurate smoke intimations, alerts and then act accordingly.</t>
  </si>
  <si>
    <t>Electrical Equipment</t>
  </si>
  <si>
    <t>Electrical Equipment*</t>
  </si>
  <si>
    <t>fire alarm, smoked detection, smoked detection technology</t>
  </si>
  <si>
    <t>www.valorfiresafety.com</t>
  </si>
  <si>
    <t>2016: 4</t>
  </si>
  <si>
    <t>133407-73P</t>
  </si>
  <si>
    <t>Mathew Erdtmann</t>
  </si>
  <si>
    <t>mathew.erdtmann@valorfiresafety.com</t>
  </si>
  <si>
    <t>Londonderry, NH</t>
  </si>
  <si>
    <t>9 Abington Drive</t>
  </si>
  <si>
    <t>Londonderry</t>
  </si>
  <si>
    <t>New Hampshire</t>
  </si>
  <si>
    <t>03053</t>
  </si>
  <si>
    <t>The company raised $500,000 of seed funding from Maxim Ventures on August 18, 2016.</t>
  </si>
  <si>
    <t>Maxim Ventures</t>
  </si>
  <si>
    <t>Maxim Ventures(www.maximventures.com)</t>
  </si>
  <si>
    <t>53816-95</t>
  </si>
  <si>
    <t>Valens</t>
  </si>
  <si>
    <t>Altair Semiconductor, Broadcom, Sckipio</t>
  </si>
  <si>
    <t>Developer of semiconductor products designed for the distribution of uncompressed high-definition (HD) multimedia content. The company develops technology that can be used for transmitting uncompressed high quality images and audio from the base stations, potentially up to a distance of 100 meters through a single cable to remote displays as a part of its 5PlayTM system, enabling automotive enterprises to build smarter cars.</t>
  </si>
  <si>
    <t>connected car technology, digital car, firmware, hd multimedia, images transmission, remote images transmission, semiconductor producer, uncompressed hd multimedia</t>
  </si>
  <si>
    <t>www.valens.com</t>
  </si>
  <si>
    <t>2018: 350</t>
  </si>
  <si>
    <t>40135-96P</t>
  </si>
  <si>
    <t>Dror Jerushalmi</t>
  </si>
  <si>
    <t>dror.jerushalmi@valens-semi.com</t>
  </si>
  <si>
    <t>+972 (0)9 762 6900</t>
  </si>
  <si>
    <t>Hod Hasharon, Israel</t>
  </si>
  <si>
    <t>8 Hanagar Street</t>
  </si>
  <si>
    <t>P.O Box 7152</t>
  </si>
  <si>
    <t>Hod Hasharon</t>
  </si>
  <si>
    <t>4501309</t>
  </si>
  <si>
    <t>+972 (0)9 762 6901</t>
  </si>
  <si>
    <t>info@valens.com</t>
  </si>
  <si>
    <t>The company raised $63 million of venture funding in a deal led by Linse Capital on November 6, 2018. Oppenheimer &amp; Company and F+ Ventures also participated in the round. The funds will be used to speed up development and shorten time-to-market of the company's automotive portfolio to meet customer demands for autonomous vehicles.</t>
  </si>
  <si>
    <t>Amiti Ventures, Aptiv, Aviv Venture Capital, EG Capital Advisors, F+ Ventures, Genesis Partners, Israel Growth Partners, Linse Capital, Magma Venture Partners, MediaTek, Mitsui Global Investment, Oppenheimer &amp; Company, Pegatron, Samsung Catalyst, The Goldman Sachs Group</t>
  </si>
  <si>
    <t>Kreos Capital</t>
  </si>
  <si>
    <t>Amiti Ventures(www.amiticapital.com), Aptiv(www.aptiv.com), Aviv Venture Capital(www.avivvc.com), EG Capital Advisors(www.egcapitaladvisors.com), F+ Ventures(www.fplus.ventures), Genesis Partners(www.genesispartners.com), Israel Growth Partners(www.igpcapital.com), Linse Capital(www.linsecapital.com), Magma Venture Partners(www.magmavc.com), MediaTek(www.mediatek.com), Mitsui Global Investment(www.mitsui-global.com), Oppenheimer &amp; Company(www.oppenheimer.com), Pegatron(www.pegatroncorp.com), Samsung Catalyst(www.samsungcatalyst.com), The Goldman Sachs Group(www.goldmansachs.com)</t>
  </si>
  <si>
    <t>Kreos Capital(www.kreoscapital.com)</t>
  </si>
  <si>
    <t>Cukierman &amp; Co.(Advisor: General)</t>
  </si>
  <si>
    <t>Kreos Capital(Debt Financing), Meitar Liquornik Geva Leshem Tal(Legal Advisor)</t>
  </si>
  <si>
    <t>103459-24</t>
  </si>
  <si>
    <t>Vacasa</t>
  </si>
  <si>
    <t>TravelNest, TurnKey Vacation Rentals, Airbnb</t>
  </si>
  <si>
    <t>Provider of vacation rental management services intended to streamline the rental experience between homeowners and guests. The company's rental management services are offered through proprietary yield management technology, providing a seamless experience for guests in more than 5,100 vacation homes across several vacation destinations in the U.S., as well as Central and South America, and enabling property owners to maximize revenue and guests to have a stress-free and convenient travel experience.</t>
  </si>
  <si>
    <t>Real Estate Services (B2C)</t>
  </si>
  <si>
    <t>Other Services (B2C Non-Financial), Other Software, Real Estate Services (B2C)*</t>
  </si>
  <si>
    <t>professional rental management, property management service, rental management service, vacation rental management, vacation rental property</t>
  </si>
  <si>
    <t>www.vacasa.com</t>
  </si>
  <si>
    <t>2010: 2, 2014: 419, 2016: 1400, 2017: 1600, 2018: 2500, 2019: 3000</t>
  </si>
  <si>
    <t>132724-99P</t>
  </si>
  <si>
    <t>Ryan Vestal</t>
  </si>
  <si>
    <t>ryanv@vacasa.com</t>
  </si>
  <si>
    <t>+1 (503) 345-9399</t>
  </si>
  <si>
    <t>P.O. Box 10130</t>
  </si>
  <si>
    <t>97296</t>
  </si>
  <si>
    <t>+1 (503) 897-7036</t>
  </si>
  <si>
    <t>info@vacasa.com</t>
  </si>
  <si>
    <t>The company raised $64 million of Series B2 venture funding in a deal led by Riverwood Capital on October 18, 2018. Assurant Growth Investing, Level Equity and NewSpring Capital also participated in the round. The capital injection will fuel the company's domestic and international expansion while helping build the world-class team and technology to maintain its industry leadership position.</t>
  </si>
  <si>
    <t>Assurant Growth Investing, Level Equity, NewSpring Capital, Riverwood Capital</t>
  </si>
  <si>
    <t>Assurant Growth Investing(www.assurantgrowthinvesting.com), Level Equity(www.levelequity.com), NewSpring Capital(www.newspringcapital.com), Riverwood Capital(www.riverwoodcapital.com)</t>
  </si>
  <si>
    <t>Partners for Growth(Debt Financing), Wilson Sonsini Goodrich &amp; Rosati(Legal Advisor)</t>
  </si>
  <si>
    <t>104765-50</t>
  </si>
  <si>
    <t>V-Grid Energy Systems</t>
  </si>
  <si>
    <t>V-Grid</t>
  </si>
  <si>
    <t>Developer of technology designed to produce low cost electricity. The company's technology used in distributed energy system offers affordable, on-demand, distributed electricity and biomass for irrigation, enabling users to improve the quality of life while enhancing the environment with a positive life-cycle impact on energy generation and worldwide food production.</t>
  </si>
  <si>
    <t>Energy Production</t>
  </si>
  <si>
    <t>Energy Production*, Other Energy Services</t>
  </si>
  <si>
    <t>bio electricity, distributing energy systems, low cost electricity, renewable electricity</t>
  </si>
  <si>
    <t>www.vgridenergy.com</t>
  </si>
  <si>
    <t>94022-92P</t>
  </si>
  <si>
    <t>Mike Cheiky</t>
  </si>
  <si>
    <t>President</t>
  </si>
  <si>
    <t>cheiky@vgridenergy.com</t>
  </si>
  <si>
    <t>Camarillo, CA</t>
  </si>
  <si>
    <t>San Pablo Business Park</t>
  </si>
  <si>
    <t>517 Calle San Pablo</t>
  </si>
  <si>
    <t>Camarillo</t>
  </si>
  <si>
    <t>93012</t>
  </si>
  <si>
    <t>info@vgridenergy.com</t>
  </si>
  <si>
    <t>The company raised venture funding from Constellation Technology Ventures and Exelon on an undisclosed date.</t>
  </si>
  <si>
    <t>Constellation Technology Ventures, Cool Planet, Exelon</t>
  </si>
  <si>
    <t>Constellation Technology Ventures(www.technologyventures.constellation.com), Cool Planet(www.coolplanet.com), Exelon(www.exeloncorp.com)</t>
  </si>
  <si>
    <t>Stradling Yocca Carlson &amp; Rauth(Legal Advisor)</t>
  </si>
  <si>
    <t>231936-49</t>
  </si>
  <si>
    <t>Utrailer</t>
  </si>
  <si>
    <t>China Communications Source</t>
  </si>
  <si>
    <t>Operator of a trucking logistics platform. The company's platform uses big data intelligent technology through a regional coordinated transportation mode to improve the efficiency of trunk logistics transportation, enabling clients to improve the service experience of trunk transportation.</t>
  </si>
  <si>
    <t>Automation/Workflow Software, Logistics*</t>
  </si>
  <si>
    <t>Big Data, Industrials, TMT</t>
  </si>
  <si>
    <t>intelligent technology, logistics platform, trucking logistics, trucking logistics platform</t>
  </si>
  <si>
    <t>www.utrailer.cn</t>
  </si>
  <si>
    <t>Qianfang Technology Building, Number 27, Zhongguancun Software Park</t>
  </si>
  <si>
    <t>Number 8 Dongbeiwang West Road</t>
  </si>
  <si>
    <t>Haidian District</t>
  </si>
  <si>
    <t>+86 (0)10 5082 2461</t>
  </si>
  <si>
    <t>The company raised an undisclosed amount of venture funding from Baidu Ventures in July 2018.</t>
  </si>
  <si>
    <t>150267-70</t>
  </si>
  <si>
    <t>UTR</t>
  </si>
  <si>
    <t>Universal Tennis</t>
  </si>
  <si>
    <t>Provider of an online tennis rating platform designed to make tennis more affordable, accessible and fun. The company's platform helps to monitor and track the level of performance of the user in tennis and rates tennis players based on their skills, enabling user to find ways of making themselves better and finding colleges based on their skill set.</t>
  </si>
  <si>
    <t>Information Services (B2C), Other Services (B2C Non-Financial), Social/Platform Software*</t>
  </si>
  <si>
    <t>outdoor games, players development, players rating, skills development, tennis, tennis players, tennis rating, tennis recruitment</t>
  </si>
  <si>
    <t>www.myutr.com</t>
  </si>
  <si>
    <t>13872-16P</t>
  </si>
  <si>
    <t>Mark Leschly</t>
  </si>
  <si>
    <t>mleschly@rho.com</t>
  </si>
  <si>
    <t>+1 (212) 751-6677</t>
  </si>
  <si>
    <t>525 University Avenue</t>
  </si>
  <si>
    <t>Suite 1350</t>
  </si>
  <si>
    <t>94301</t>
  </si>
  <si>
    <t>+1 (757) 647-3558</t>
  </si>
  <si>
    <t>success@universaltennis.com</t>
  </si>
  <si>
    <t>The company raised an undisclosed amount of angel funding from Novak Djokovic and Tennis Australia on January 19, 2019. The company will use the funds to enhance the company's mission to make tennis more affordable, accessible and fun for players at all levels around the world.</t>
  </si>
  <si>
    <t>Iconica Partners, Major League Baseball Ventures, Novak Djokovic, Tennis Australia, Tennis Channel</t>
  </si>
  <si>
    <t>Elysian Park Ventures, Team8</t>
  </si>
  <si>
    <t>Iconica Partners(www.iconicapartners.com), Tennis Australia(www.ausopen.com), Tennis Channel(www.tennischannel.com)</t>
  </si>
  <si>
    <t>Elysian Park Ventures(www.elysianpark.ventures), Team8(www.team8.vc)</t>
  </si>
  <si>
    <t>186569-56</t>
  </si>
  <si>
    <t>Ushr</t>
  </si>
  <si>
    <t>Comma.Ai, WeRide (China), Mobileye, Guardian Optical Technologies, Strobe (Pasadena), DeepMap, Civil Maps, TuSimple, Quanergy, Trilumina</t>
  </si>
  <si>
    <t>Developer of a high-definition (HD) mapping technology and software designed to offer autonomous vehicle navigation. The company's software combines vehicle sensors and on-road cameras to convey real-world detail to autonomous vehicles and its control algorithms are constantly interpreting and communicating key details from sensors to the vehicle control system helping in precise steering, safer vehicle control and directional predictability, enabling autonomous vehicle passengers to travel as safely and as efficiently as possible.</t>
  </si>
  <si>
    <t>Application Software*, Automotive</t>
  </si>
  <si>
    <t>Autonomous cars, Industrials, Internet of Things, TMT</t>
  </si>
  <si>
    <t>autonomous drives technology, autonomous vehicle control, autonomous vehicle software, mapping technology, navigational technology</t>
  </si>
  <si>
    <t>www.ushrauto.com</t>
  </si>
  <si>
    <t>2017: 47, 2018: 50</t>
  </si>
  <si>
    <t>145404-37P</t>
  </si>
  <si>
    <t>Bruce Gordon</t>
  </si>
  <si>
    <t>bgordon@ushrauto.com</t>
  </si>
  <si>
    <t>38701 West Seven Mile Road</t>
  </si>
  <si>
    <t>Suite 170</t>
  </si>
  <si>
    <t>info@ushrauto.com</t>
  </si>
  <si>
    <t>The company reached a definitive agreement to be acquired by Dynamic Map Platform for $200 million on February 13, 2019.</t>
  </si>
  <si>
    <t>Emerald Technology Ventures, EnerTech Capital, Forté Ventures, GM Ventures</t>
  </si>
  <si>
    <t>Dynamic Map Platform</t>
  </si>
  <si>
    <t>Emerald Technology Ventures(www.emerald-ventures.com), EnerTech Capital(www.enertechcapital.com), Forté Ventures(www.forteventures.com), GM Ventures(www.gmventures.com)</t>
  </si>
  <si>
    <t>Dynamic Map Platform(www.dynamic-maps.co.jp)</t>
  </si>
  <si>
    <t>108337-87</t>
  </si>
  <si>
    <t>USARAD</t>
  </si>
  <si>
    <t>Argus Radiology Consultants, ONRAD, Radiology Partners</t>
  </si>
  <si>
    <t>Provider of teleradiology services. The company provides radiology and teleradiology services to imaging centers, small to medium-sized community hospitals, radiology groups, mobile units including PET, MRI and ultrasound, multispecialty groups and orthopedic clinics.</t>
  </si>
  <si>
    <t>Hospitals/Inpatient Services</t>
  </si>
  <si>
    <t>Biotechnology, Hospitals/Inpatient Services*, Other Healthcare Services</t>
  </si>
  <si>
    <t>HealthTech, TMT</t>
  </si>
  <si>
    <t>radiology, teleradiology services, ultrasound</t>
  </si>
  <si>
    <t>www.usarad.com</t>
  </si>
  <si>
    <t>2012: 29, 2013: 26, 2014: 43, 2015: 52, 2016: 8</t>
  </si>
  <si>
    <t>96588-19P</t>
  </si>
  <si>
    <t>Michael Yuz</t>
  </si>
  <si>
    <t>Founder, Board Member &amp; Chief Executive Officer</t>
  </si>
  <si>
    <t>myuz@usarad.com</t>
  </si>
  <si>
    <t>+1 (888) 886-5238</t>
  </si>
  <si>
    <t>Fort Lauderdale, FL</t>
  </si>
  <si>
    <t>2601 East Oakland Park Boulevard</t>
  </si>
  <si>
    <t>Fort Lauderdale</t>
  </si>
  <si>
    <t>33306</t>
  </si>
  <si>
    <t>info@usarad.com</t>
  </si>
  <si>
    <t>The company raised $4 million of Series A venture funding from Siemens Venture Capital, Omphalos Venture Partners and Excelerate Health Ventures on March 6, 2015, putting the company's pre-money valuation at $8.36 million.</t>
  </si>
  <si>
    <t>Excelerate Health Ventures, Next47, Omphalos Venture Partners</t>
  </si>
  <si>
    <t>Excelerate Health Ventures(www.exceleratehealth.com), Next47(Next47.com), Omphalos Venture Partners(www.omphalosventures.net)</t>
  </si>
  <si>
    <t>BankUnited(Debt Financing)</t>
  </si>
  <si>
    <t>62463-52</t>
  </si>
  <si>
    <t>Urgent.ly</t>
  </si>
  <si>
    <t>Urgent.ly Roadside Assistance</t>
  </si>
  <si>
    <t>Honk, Rapitow</t>
  </si>
  <si>
    <t>Provider of a SaaS based digital roadside assistance platform designed to help vehicles stuck on the road. The company's Smartlearning on-demand roadside assistance app leverages a combination of location-based services, real-time data, AI and machine-to-machine communication to serve automotive, insurance and transportation-related verticals, enabling drivers to get assistance 27 by 7 whenever they are stuck for tow service, tire change, fuel delivery, jump start or lock-out service while on journey without signing up or paying for a membership.</t>
  </si>
  <si>
    <t>digital roadside assistance, on demand roadside assistance, roadside assistance app, roadside assistance platform, vehicle service app, vehicle service assistant</t>
  </si>
  <si>
    <t>www.geturgently.com</t>
  </si>
  <si>
    <t>2014: 7, 2015: 12, 2016: 23, 2018: 120</t>
  </si>
  <si>
    <t>65331-55P</t>
  </si>
  <si>
    <t>Luke Kathol</t>
  </si>
  <si>
    <t>Co-Founder &amp; Chief Operating Officer</t>
  </si>
  <si>
    <t>luke@urgent.ly</t>
  </si>
  <si>
    <t>8609 Westwood Center Drive</t>
  </si>
  <si>
    <t>The company raised $21 million of Series B1 venture funding from InMotion Ventures and BMW i Ventures on January 23, 2019, putting the company's pre-money valuation at $76 million.</t>
  </si>
  <si>
    <t>Allianz X, American Tire Distributors, AOL Fishbowl Labs, Blu Venture Investors, BMW i Ventures, Center for Innovative Technology Gap Funds, Forté Ventures, InMotion Ventures, Jonathan Ebinger, Lawrence Williamson, Michael Cirrito, Michael Holmes, Michael Smith, Rocketship, Select Venture Partners, Steven Chen, The K Fund, Verizon Ventures</t>
  </si>
  <si>
    <t>Allianz X(www.allianzx.com), American Tire Distributors(www.atd-us.com), AOL Fishbowl Labs(www.fishbowllabs.com), Blu Venture Investors(www.bluventureinvestors.com), BMW i Ventures(www.bmwiventures.com), Center for Innovative Technology Gap Funds(www.cit.org/service-lines/cit-gap-funds), Forté Ventures(www.forteventures.com), InMotion Ventures(www.inmotionventures.com), Rocketship(www.rocketship.vc), Select Venture Partners(www.selectventurepartners.com), The K Fund(www.thekfund.com), Verizon Ventures(www.verizonventures.com)</t>
  </si>
  <si>
    <t>169611-94</t>
  </si>
  <si>
    <t>Urbint</t>
  </si>
  <si>
    <t>Off Market Data LLC</t>
  </si>
  <si>
    <t>Operator of a data intelligence company intended to make cities more livable and more resilient. The company's services include ingesting and graphing vast urban data sets, applying machine learning and create proprietary intelligence to gain a clear understanding of cities, enabling urban operators to make better decisions in real-time.</t>
  </si>
  <si>
    <t>resilient cities, urban data, urban informatics, urban infrastructure</t>
  </si>
  <si>
    <t>www.urbint.com</t>
  </si>
  <si>
    <t>177058-72P</t>
  </si>
  <si>
    <t>Ryan Schmuckler</t>
  </si>
  <si>
    <t>ryan@urbint.com</t>
  </si>
  <si>
    <t>+1 (347) 305-0449</t>
  </si>
  <si>
    <t>636 Broadway</t>
  </si>
  <si>
    <t>Suite 1000</t>
  </si>
  <si>
    <t>hello@urbint.com</t>
  </si>
  <si>
    <t>The company raised $15.08 million of seed funding in a deal led by Urban Us on June 26, 2017. MetaProp NYC, Energy Impact Partners and Fifth Wall Ventures also participated in the round.</t>
  </si>
  <si>
    <t>Energy Impact Partners, Fifth Wall Ventures, MetaProp NYC, Urban Us</t>
  </si>
  <si>
    <t>Energy Impact Partners(www.energyimpactpartners.com), Fifth Wall Ventures(www.fifthwall.vc), MetaProp NYC(www.metaprop.org), Urban Us(www.urban.us)</t>
  </si>
  <si>
    <t>103425-31</t>
  </si>
  <si>
    <t>UrbanStems</t>
  </si>
  <si>
    <t>Miredreams</t>
  </si>
  <si>
    <t>The Bouqs, BloomNation, Goquets</t>
  </si>
  <si>
    <t>Provider of an on-demand flower delivery platform intended to make it easy, affordable and fun to make someone's day with stunning bouquets and gifts. The company's platform offers hand-crafted bouquets which are delivered within minutes to desired locations, enabling people to send across flowers.</t>
  </si>
  <si>
    <t>Internet Retail*, Specialty Retail</t>
  </si>
  <si>
    <t>AgTech, E-Commerce, TMT</t>
  </si>
  <si>
    <t>delivery on demand, flowers delivery app, flowers delivery platform, fresh flowers, handcrafted bouquet</t>
  </si>
  <si>
    <t>www.urbanstems.com</t>
  </si>
  <si>
    <t>2015: 9, 2017: 100, 2018: 100</t>
  </si>
  <si>
    <t>92811-34P</t>
  </si>
  <si>
    <t>Ajay Kori</t>
  </si>
  <si>
    <t>ajay@urbanstems.com</t>
  </si>
  <si>
    <t>+1 (855) 614-2779</t>
  </si>
  <si>
    <t>1615 L Street Northwest</t>
  </si>
  <si>
    <t>Suite 1230</t>
  </si>
  <si>
    <t>care@urbanstems.com</t>
  </si>
  <si>
    <t>The company raised an estimated $5.8 million through the combination of Series B1 and Series B2 venture funding from Motley Fool Ventures and Private Access Network on June 1, 2018, putting the company's pre-money valuation at $24.2 million.</t>
  </si>
  <si>
    <t>Gabriel Investments, Goldin Ventures, Great Oaks Venture Capital, Grotech Ventures, GSW, Haas Portman, Hammerstone Capital, Idris Mokhtarzada, Interplay Ventures, MCVC Partners, Middleland Capital, Motley Fool Ventures, NextGen Venture Partners, Private Access Network, Sagamore Ventures, SWaN &amp; Legend Venture Partners, University Growth Fund</t>
  </si>
  <si>
    <t>Gabriel Investments(www.gabriel-investments.com), Goldin Ventures(www.goldinventures.com), Great Oaks Venture Capital(www.greatoaksvc.com), Grotech Ventures(www.grotech.com), GSW(www.gsw-wh.com), Haas Portman(www.haasportman.com), Hammerstone Capital(www.hammerstonecapital.com), Interplay Ventures(www.interplay.vc), MCVC Partners(www.mcvcpartners.vc), Middleland Capital(www.middlelandcap.com), Motley Fool Ventures(www.foolventures.com), NextGen Venture Partners(www.nextgenvp.com), Private Access Network(www.privateaccessnetwork.com), Sagamore Ventures(www.sagamoreventures.com), SWaN &amp; Legend Venture Partners(www.swanandlegend.com), University Growth Fund(www.ugrowthfund.com)</t>
  </si>
  <si>
    <t>Pillsbury Winthrop Shaw Pittman(Legal Advisor), Silicon Valley Bank(General Business Banking)</t>
  </si>
  <si>
    <t>55602-28</t>
  </si>
  <si>
    <t>Urban Remedy</t>
  </si>
  <si>
    <t>GoodBelly, Veestro, Pressed Juicery, Sakara, KeVita, Suja, Organic Avenue, Juice Press, Hint, Pret A Manger, Freshly, BluePrint</t>
  </si>
  <si>
    <t>Provider of organic based food products intended to make fresh, clean food more accessible to an increased number of customers. The company's products include ready-to-eat meals, snacks and cold pressed juices which are organic, non-GMO, gluten free and have low glycemic content thus empowering its customers to lead a vibrantly healthy life.</t>
  </si>
  <si>
    <t>Beverages</t>
  </si>
  <si>
    <t>Beverages*, Food Products, Internet Retail</t>
  </si>
  <si>
    <t>E-Commerce, LOHAS &amp; Wellness, TMT</t>
  </si>
  <si>
    <t>hand press drinks, non-gmo food, nutrition drinks, nutrition-based drinks, organic food, organic snacks</t>
  </si>
  <si>
    <t>www.urbanremedy.com</t>
  </si>
  <si>
    <t>2014: 3, 2016: 51, 2017: 150</t>
  </si>
  <si>
    <t>44286-40P</t>
  </si>
  <si>
    <t>Neka Pasquale</t>
  </si>
  <si>
    <t>Founder</t>
  </si>
  <si>
    <t>neka@urbanremedy.com</t>
  </si>
  <si>
    <t>+1 (855) 875-8423</t>
  </si>
  <si>
    <t>Richmond, CA</t>
  </si>
  <si>
    <t>Richmond</t>
  </si>
  <si>
    <t>connect@urbanremedy.com</t>
  </si>
  <si>
    <t>The company raised $17 million of Series B venture funding in a deal led by 301 on January 17, 2018, putting the company's pre-money valuation at $51 million. Follow on investors Simon Equity Partners, M13, Beechwood Capital and other undisclosed investors also participated in the round. The funds will be used to continue to expand the company's business reach.</t>
  </si>
  <si>
    <t>301, Beechwood Capital, Hinge Capital, M13, Mike Jones, Mindfull Investors, Obvious Ventures, Osborn Companies, Science, Simon Equity Partners, Slow Ventures, The Builders Fund</t>
  </si>
  <si>
    <t>301(www.301inc.com), Beechwood Capital(www.beechwoodcap.com), Hinge Capital(www.hingecapital.com), M13(www.m13.co), Mindfull Investors(www.mindfullinvestors.com), Obvious Ventures(www.obvious.com), Osborn Companies(www.osbornco.com), Science(www.science-inc.com), Simon Equity Partners(www.simonequity.com), Slow Ventures(www.slow.co), The Builders Fund(www.thebuildersfund.com)</t>
  </si>
  <si>
    <t>Propeller Industries(Accounting)</t>
  </si>
  <si>
    <t>99329-14</t>
  </si>
  <si>
    <t>Upward</t>
  </si>
  <si>
    <t>Orkney</t>
  </si>
  <si>
    <t>Provider of fieldwork-focused customer relationship management (CRM) software designed to route sales. The company's customer relationship management platform makes field sales visiting work easy by linking CRM, schedule and location information, enabling enterprises to grasp the customer situation and market their products.</t>
  </si>
  <si>
    <t>Business/Productivity Software, Media and Information Services (B2B), Other Software*</t>
  </si>
  <si>
    <t>customer position, customer relationship management, customer situation, routing sales</t>
  </si>
  <si>
    <t>upward.jp</t>
  </si>
  <si>
    <t>111386-17P</t>
  </si>
  <si>
    <t>Ryosuke Kanagi</t>
  </si>
  <si>
    <t>President, Chief Executive Officer &amp; Board of Directors</t>
  </si>
  <si>
    <t>kaneki@orkney.co.jp</t>
  </si>
  <si>
    <t>+81 (0)35 623 2241</t>
  </si>
  <si>
    <t>Tokyo Koamicho 11-9, The Park Rex Koamicho Second Building 6F</t>
  </si>
  <si>
    <t>Nihonbashi, Chuo-ku, Yubinbango</t>
  </si>
  <si>
    <t>103-0016</t>
  </si>
  <si>
    <t>+81 (0)35 623 2242</t>
  </si>
  <si>
    <t>The company raised JPY 200.01 million of Series C venture funding in a deal led by Draper Nexus on April 1, 2016. Nippon Venture Capital also participated in the round.</t>
  </si>
  <si>
    <t>CyberAgent Capital, DNX Ventures, Mizuho Capital Partners, Nippon Venture Capital, Salesforce Ventures, SMBC Venture Capital</t>
  </si>
  <si>
    <t>CyberAgent Capital(www.cyberagentcapital.com), DNX Ventures(www.dnx.vc), Nippon Venture Capital(www.nvcc.co.jp), SMBC Venture Capital(www.smbc-vc.co.jp)</t>
  </si>
  <si>
    <t>Japan Finance Corporation(Debt Financing)</t>
  </si>
  <si>
    <t>162953-02</t>
  </si>
  <si>
    <t>Uptycs</t>
  </si>
  <si>
    <t>Tanium, OneLogin, Mocana, Saviynt, Apvera, Elevate Security, Illusive Networks, Panaseer, Cybereason, McAfee, E8 Security, SecureAuth, Interset, Centrify, Cyberbit, OverWatchID, Bay Dynamics, LogRhythm, Niara, Arctic Wolf, Splunk, ThreatConnect, Exabeam, ObserveIT, Sqrrl, HAWK Network Defense, Endgame, Team Cymru, Micro Focus, Seculert, Agari, Veriato, Carbon Black, LookingGlass Cyber Solutions, Wandera, Cylance, Kaymera, SentinelOne, Securonix, BitSight Technologies, Fidelis Cybersecurity, Auth0, BMC Software, CrowdStrike, Cyphort, Norse, ThreatQuotient, AttackIQ, SecureWorks, ThreatBook, Area 1 Security, Inkiru, Appthority, FireEye, Click Security, Gigya, GuruCul, Morphisec, eSentire</t>
  </si>
  <si>
    <t>Developer of security analytics platform designed to offer preventative controls. The company's platform collects, aggregates and analyzes endpoint telemetry and transforms it into context-rich dashboards, reports and alerts for system management, anomaly detection and incident response using robust analytics, enabling clients to develop a continuous and proactive security posture to manage compliance by discovering vulnerabilities.</t>
  </si>
  <si>
    <t>data center customer, incident investigation, infrastructure management, monitoring infrastructure, secure configuration, security software, system management platform</t>
  </si>
  <si>
    <t>www.uptycs.com</t>
  </si>
  <si>
    <t>2017: 25, 2018: 25</t>
  </si>
  <si>
    <t>Competitor (New) SentinelOne</t>
  </si>
  <si>
    <t>175921-48P</t>
  </si>
  <si>
    <t>Ganesh Pai</t>
  </si>
  <si>
    <t>gpai@uptycs.com</t>
  </si>
  <si>
    <t>230 Third Avenue</t>
  </si>
  <si>
    <t>02451</t>
  </si>
  <si>
    <t>The company raised $10 million of Series A venture funding led by ForgePoint Capital and Comcast Ventures on August 29, 2017. The company plans to use the new funds to fuel hiring and continued product innovation.</t>
  </si>
  <si>
    <t>Comcast Ventures, ForgePoint Capital, Founder Collective, Genacast Ventures</t>
  </si>
  <si>
    <t>Comcast Ventures(www.comcastventures.com), ForgePoint Capital(www.forgepointcap.com), Founder Collective(www.foundercollective.com), Genacast Ventures(www.genacast.com)</t>
  </si>
  <si>
    <t>62545-60</t>
  </si>
  <si>
    <t>Upskill</t>
  </si>
  <si>
    <t>APX Labs</t>
  </si>
  <si>
    <t>WorkFusion, Scope AR, SAP, NetSuite, Atheer, Extreme Networks, SAS Institute, Salesforce</t>
  </si>
  <si>
    <t>Developer of an enterprise software for augmented reality devices designed to connect hands-on workers to the information they need to do their jobs. The company's enterprise software enhances the capabilities of hands-on workers to measurably and immediately improve business operations with greater efficiency and fewer errors from the factory to the warehouse as well as their job sites, enabling businesses become more agile and competitive through greater productivity, quality and compliance.</t>
  </si>
  <si>
    <t>Augmented Reality, Internet of Things, SaaS, TMT, Wearables &amp; Quantified Self</t>
  </si>
  <si>
    <t>enterprise software, field service management software, workforce management tools</t>
  </si>
  <si>
    <t>www.upskill.io</t>
  </si>
  <si>
    <t>2015: 40, 2016: 49, 2018: 70</t>
  </si>
  <si>
    <t>65562-04P</t>
  </si>
  <si>
    <t>Chris Hoyt</t>
  </si>
  <si>
    <t>Chief Financial Officer &amp; Co-Founder</t>
  </si>
  <si>
    <t>chris.hoyt@upskill.io</t>
  </si>
  <si>
    <t>+1 (703) 436-9283</t>
  </si>
  <si>
    <t>8614 Westwood Center Drive</t>
  </si>
  <si>
    <t>Suite 440</t>
  </si>
  <si>
    <t>info@upskill.io</t>
  </si>
  <si>
    <t>The company raised $17.2 million of Series B venture funding from Accenture, Cisco Investments and Boeing HorizonX on March 6, 2018, putting the company's pre-money valuation at $67 million. New Enterprise Associates, Autonomy Ventures, GE Ventures and other undisclosed investors also participated in the round. The funds will be used build the company's team and worldwide presence to meet the needs of its Global 2000 industrial customer base. The company will also invest in additional product development as the industry continues to evolve and attract companies seeking the full spectrum of AR experiences to drive performance improvements across their operations.</t>
  </si>
  <si>
    <t>Accenture, Alexander Gerko, Autonomy Ventures, Boeing HorizonX, Cisco Investments, Clark Enterprises, CNF Investments, District Ventures, First Star Ventures, GE Ventures, Kelly Perdew, LDV Capital, Martin Ventures, Motley Fool Ventures, New Enterprise Associates, NextGen Venture Partners, Private Access Network, Revolution, S3 Ventures, Salesforce Ventures, SineWave Ventures, Stony Lonesome Group, Tom Eckert, Work-Bench</t>
  </si>
  <si>
    <t>Accenture(www.accenture.com), Autonomy Ventures(www.autonomyventures.com), Cisco Investments(www.ciscoinvestments.com), Clark Enterprises(www.clarkenterprises.com), District Ventures(www.district.vc), First Star Ventures(www.firststar.vc), GE Ventures(www.geventures.com), Kelly Perdew(www.kellyperdew.com), LDV Capital(www.ldv.co), Martin Ventures(www.martinventures.com), Motley Fool Ventures(www.foolventures.com), New Enterprise Associates(www.nea.com), NextGen Venture Partners(www.nextgenvp.com), Private Access Network(www.privateaccessnetwork.com), Revolution(www.revolution.com), S3 Ventures(www.s3vc.com), SineWave Ventures(www.sinewave.vc), Stony Lonesome Group(www.stonylonesomegroupllc.com), Work-Bench(www.work-bench.com)</t>
  </si>
  <si>
    <t>Daversa Partners(Consulting), Goodwin(Legal Advisor), Morgan, Lewis &amp; Bockius(Legal Advisor)</t>
  </si>
  <si>
    <t>Goodwin(Legal Advisor), Morgan, Lewis &amp; Bockius(Legal Advisor)</t>
  </si>
  <si>
    <t>186033-79</t>
  </si>
  <si>
    <t>Upmem</t>
  </si>
  <si>
    <t>ACCO Semiconductor, NeoPhotonics, Flex Logix Technologies, Skorpios Technologies, AccelerComm</t>
  </si>
  <si>
    <t>Developer of microprocessor created to improve the performance of data-intensive algorithms. The company's microprocessor is for the use in data-intensive, its Processing-In-Memory technology developed by the company is combining DRAM and hundreds of processing units, to enable massively parallel processing of data with unbeatable bandwidth and latency applications in the data center.</t>
  </si>
  <si>
    <t>Big Data, TMT</t>
  </si>
  <si>
    <t>big data application, data-intensive algorithm performance, microprocessor, microprocessor chips, processing-in-memory technology, semiconductor chips</t>
  </si>
  <si>
    <t>www.upmem.com</t>
  </si>
  <si>
    <t>170590-69P</t>
  </si>
  <si>
    <t>Jean-Francois Roy</t>
  </si>
  <si>
    <t>Co-Founder, Co-Chief Executive Officer &amp; Chief Operating Officer</t>
  </si>
  <si>
    <t>Grenoble, France</t>
  </si>
  <si>
    <t>2, square Roger Genin</t>
  </si>
  <si>
    <t>Grenoble</t>
  </si>
  <si>
    <t>38000</t>
  </si>
  <si>
    <t>The company raised EUR 3 million of Series A funding led by C4Ventures on September 7, 2017. Partech Ventures, Supernova Invest, Western Digital Capital, Crédit Agricole bank, Charles-Antoine Beyney and other undisclosed investors also participated in the round. The funds will be used to produce and bring to market its disruptive Processing In-Memory (PIM) chip-based solution and accelerate its evaluation programs with top tier global big data customers and IT labs.</t>
  </si>
  <si>
    <t>C4 Ventures, Charles-Antoine Beyney, Credit Agricole, New Technology Venture Accelerator, Partech Partners, Supernova Invest, Western Digital Capital</t>
  </si>
  <si>
    <t>C4 Ventures(www.c4v.com), Credit Agricole(www.credit-agricole.com/en), New Technology Venture Accelerator(www.netvafrance.com), Partech Partners(www.partechpartners.com), Supernova Invest(www.supernovainvest.com), Western Digital Capital(www.westerndigitalcapital.com)</t>
  </si>
  <si>
    <t>264424-24</t>
  </si>
  <si>
    <t>Uphoton (Reinlight)</t>
  </si>
  <si>
    <t>Provider of micro-nano optics products intended to automatically analyze the monitoring area. The company's product offers standard or custom diffractive optical components widely used in 3D scanning, 3D sensor recognition, robot vision, computer vision, virtual reality, behavioural big data analysis, intelligent monitoring, vehicle-assisted systems, enabling customers to restore the depth information of the three-dimensional scene, and the related moving objects.</t>
  </si>
  <si>
    <t>Industrial Supplies and Parts, Other Commercial Products*, Vertical Market Software</t>
  </si>
  <si>
    <t>Artificial Intelligence &amp; Machine Learning, Big Data, Manufacturing, Nanotechnology, Virtual Reality</t>
  </si>
  <si>
    <t>environmental modeling, human computer interaction, led optical application, optoelectronic technology, security monitoring, security monitoring device</t>
  </si>
  <si>
    <t>www.reinlight.cc</t>
  </si>
  <si>
    <t>199047-61P</t>
  </si>
  <si>
    <t>Tian Kehan</t>
  </si>
  <si>
    <t>tkehan@reinlight.cc</t>
  </si>
  <si>
    <t>+86 (0)573 8938 0238</t>
  </si>
  <si>
    <t>Room 403B, 4th Floor Number 2, Jingshuyuan Road</t>
  </si>
  <si>
    <t>Haidian District, Beijing Jing Shu Yuan Road</t>
  </si>
  <si>
    <t>The company raised CNY 100 million of Series B venture funding in a deal led by THG Ventures on January 2, 2019. Baidu Ventures, Lenovo Capital and Incubator Group, Cathay Capital Private Equity, Shunwei Capital, Zhongguancun Qihang Fund and TusStar Incubator Investment also participated in this round. The funds will be used to expand the company's investment in 3D sensing.</t>
  </si>
  <si>
    <t>Baidu Ventures, Cathay Capital Private Equity, Legend Star, Lenovo Capital and Incubator Group, Shunwei Capital, THG Ventures, TusStar Incubator Investment, ZhenFund, Zhongguancun Qihang Fund</t>
  </si>
  <si>
    <t>Baidu Ventures(www.bv.ai), Cathay Capital Private Equity(www.cathay.fr), Legend Star(www.legendstar.com.cn), Lenovo Capital and Incubator Group(capital.lenovo.com), Shunwei Capital(www.shunwei.com), THG Ventures(www.th-vc.com), TusStar Incubator Investment(www.tusstar.com), ZhenFund(www.zhenfund.com)</t>
  </si>
  <si>
    <t>117428-32</t>
  </si>
  <si>
    <t>Upcomer</t>
  </si>
  <si>
    <t>Developer of esports gaming applications designed to make it easy and more engaging to follow esports. The company's gaming applications offer all the necessary information and updates on games such as news, videos, reviews, news feed also enables players to influence the game development and to be a part of game specific communities, enabling users to stay connected with all their favorite PC, mobile and console games.</t>
  </si>
  <si>
    <t>Entertainment Software*, Information Services (B2C), Publishing</t>
  </si>
  <si>
    <t>eSports, Gaming, Mobile, TMT</t>
  </si>
  <si>
    <t>esports, esports gaming application, games updates, gaming app, gaming application</t>
  </si>
  <si>
    <t>www.upcomer.com</t>
  </si>
  <si>
    <t>170829-91P</t>
  </si>
  <si>
    <t>Patrik Hansen</t>
  </si>
  <si>
    <t>patrik@upcomer.com</t>
  </si>
  <si>
    <t>+1 (347) 249-6613</t>
  </si>
  <si>
    <t>11845 West Olympic Boulevard</t>
  </si>
  <si>
    <t>Suite 1100 West</t>
  </si>
  <si>
    <t>90064</t>
  </si>
  <si>
    <t>hello@upcomer.com</t>
  </si>
  <si>
    <t>The company raised $2.41 million of seed funding from Comcast Ventures, Waverley Capital and BAM Ventures on September 10, 2018. Watertower Ventures and Imagination Capital also participated in the round.</t>
  </si>
  <si>
    <t>BAM Ventures, Comcast Ventures, Deep Space Ventures, Imagination Capital, Watertower Ventures, Waverley Capital</t>
  </si>
  <si>
    <t>BAM Ventures(www.bam.vc), Comcast Ventures(www.comcastventures.com), Deep Space Ventures(www.deepspacevc.com), Imagination Capital(www.imaginationvc.com), Watertower Ventures(www.watertowerventures.com), Waverley Capital(www.waverleycapital.com)</t>
  </si>
  <si>
    <t>54685-00</t>
  </si>
  <si>
    <t>Unreal</t>
  </si>
  <si>
    <t>UNREAL BRANDS</t>
  </si>
  <si>
    <t>Impossible Foods, Sir Kensington's, Perfect Day, Ambronite, Hungry Planet, Beyond Meat</t>
  </si>
  <si>
    <t>Producer of chocolates and candies intended to provide healthy snacks for the people. The company's chocolates and candies are made without chemicals, artificial colors, corn syrup and excess sugar and its ingredients are also responsibly sourced which are free of artificial preservatives, enabling customers to taste cups of healthy candies rich in protein and fiber and prevent obesity and consuming unnecessary fat.</t>
  </si>
  <si>
    <t>LOHAS &amp; Wellness, Manufacturing</t>
  </si>
  <si>
    <t>artificial color free chocolates, chocolate candy, excess sugar free chocolates, healthy chocolates, natural candy</t>
  </si>
  <si>
    <t>www.getunreal.com</t>
  </si>
  <si>
    <t>2014: 11, 2015: 6, 2016: 13</t>
  </si>
  <si>
    <t>81639-19P</t>
  </si>
  <si>
    <t>Amanda Reiss</t>
  </si>
  <si>
    <t>Chief Marketing Officer</t>
  </si>
  <si>
    <t>areiss@getunreal.com</t>
  </si>
  <si>
    <t>+1 (857) 350-3659</t>
  </si>
  <si>
    <t>252 Newbury Street</t>
  </si>
  <si>
    <t>Floor 2</t>
  </si>
  <si>
    <t>02116</t>
  </si>
  <si>
    <t>hi@getunreal.com</t>
  </si>
  <si>
    <t>The company raised $9.7 million of Series 1 venture funding from undisclosed investors on November 26, 2013, putting the pre-money valuation at $45.31 million. Previously, the company raised $15 million of Series C venture funding from undisclosed investors on February 11, 2013, putting the pre-money valuation at $106.2 million.</t>
  </si>
  <si>
    <t>Breakaway Ventures, Individual Investor, Jason Port, Josh Spear, Khosla Ventures, MDC Ventures, Raptor Group</t>
  </si>
  <si>
    <t>Breakaway Ventures(www.breakawayventures.com), Josh Spear(www.joshspear.com), Khosla Ventures(www.khoslaventures.com), MDC Ventures(www.mdcventures.vc), Raptor Group(www.raptorgroup.com)</t>
  </si>
  <si>
    <t>Mattson(Consulting)</t>
  </si>
  <si>
    <t>Series 1</t>
  </si>
  <si>
    <t>151474-87</t>
  </si>
  <si>
    <t>Unmute</t>
  </si>
  <si>
    <t>Provider of an audio calling application designed to connect and inspire people through communication. The company's audio calling application is a social phone application that can host and share interactive phone calls with people around the world, enabling users to join in the conversation from anywhere around the world by dialing.</t>
  </si>
  <si>
    <t>Application Software*, Communication Software</t>
  </si>
  <si>
    <t>audio calling, audio calling application, calling application, shares phone calling, social phone apps</t>
  </si>
  <si>
    <t>www.itsunmute.com</t>
  </si>
  <si>
    <t>2016: 2</t>
  </si>
  <si>
    <t>125313-58P</t>
  </si>
  <si>
    <t>Justin Spraggins</t>
  </si>
  <si>
    <t>justin@onunmute.com</t>
  </si>
  <si>
    <t>5482 Wilshire Boulevard</t>
  </si>
  <si>
    <t>Suite 120</t>
  </si>
  <si>
    <t>90036</t>
  </si>
  <si>
    <t>talk@itsunmute.com</t>
  </si>
  <si>
    <t>The company raised $2.2 million of seed funding in a deal led by Greycroft Partners on January 14, 2016, putting the company's pre-money valuation at $8.65 million. Comcast Ventures, Crosscut Ventures, Betaworks, Greylock Partners, Bertelsmann Digital Media Investments, Robert Kirkmen, David M. Stern and other undisclosed individual investors also participated in this round. The company will use the fund to expand the team and conduct growth initiatives.</t>
  </si>
  <si>
    <t>Bertelsmann Digital Media Investments, Betaworks, Comcast Ventures, CourtsideVC, Crosscut Ventures, David Stern, Greycroft, Greylock Partners, Robert Kirkman</t>
  </si>
  <si>
    <t>Bertelsmann Digital Media Investments(www.bdmifund.com), Betaworks(www.betaworks.com), Comcast Ventures(www.comcastventures.com), CourtsideVC(www.courtsidevc.com), Crosscut Ventures(www.crosscut.vc), Greycroft(www.greycroft.com), Greylock Partners(www.greylock.com)</t>
  </si>
  <si>
    <t>102648-07</t>
  </si>
  <si>
    <t>Universal Avenue</t>
  </si>
  <si>
    <t>UV</t>
  </si>
  <si>
    <t>Mirakl, Ai2 (Business Software), Amplifinity, Insite Software Solutions, Zuberance, PayPro Global, LeadCrunch, Influitive, Storetail Marketing Services, TradeGecko, Izberg, NuORDER, Elastic Path, Stitch Labs, Digital River, Salesforce Commerce Cloud, Salesforce, Handshake, Dynamic Signal</t>
  </si>
  <si>
    <t>Developer and provider of digital marketing packages intended to discover and purchase first-rate business solutions. The company's Brand Ambassador and Customer Acquisition solution accelerates the growth of innovative solutions through an on-demand direct salesforce that can be activated instantly in any location around the world, enabling small and medium businesses to achieve their ambitions for developing their organizations using digital services.</t>
  </si>
  <si>
    <t>Big Data, Marketing Tech, SaaS, TMT</t>
  </si>
  <si>
    <t>customer acquisition, customer acquisition solution, customer acquisition tools, on demand workforce, talent acquisition</t>
  </si>
  <si>
    <t>www.universalavenue.com</t>
  </si>
  <si>
    <t>2014: 4, 2015: 14, 2016: 44, 2017: 45, 2018: 50</t>
  </si>
  <si>
    <t>99133-48P</t>
  </si>
  <si>
    <t>Johan Lilja</t>
  </si>
  <si>
    <t>johan@universalavenue.com</t>
  </si>
  <si>
    <t>Stockholm, Sweden</t>
  </si>
  <si>
    <t>Grev Turegatan 5E</t>
  </si>
  <si>
    <t>Stockholm</t>
  </si>
  <si>
    <t>114 46</t>
  </si>
  <si>
    <t>Sweden</t>
  </si>
  <si>
    <t>The company raised $6 million of Series B venture funding in the form of a convertible bond from MOOR Capital on November 23, 2018.</t>
  </si>
  <si>
    <t>Eight Roads, MOOR Capital, Northzone Ventures, Salesforce Ventures</t>
  </si>
  <si>
    <t>Eight Roads(www.eightroads.com), MOOR Capital(www.moorcap.com), Northzone Ventures(www.northzone.com)</t>
  </si>
  <si>
    <t>Synch Advokat(Legal Advisor)</t>
  </si>
  <si>
    <t>61175-44</t>
  </si>
  <si>
    <t>United Wind</t>
  </si>
  <si>
    <t>UW</t>
  </si>
  <si>
    <t>Groom Energy Solutions</t>
  </si>
  <si>
    <t>Provider of small-scale wind turbine leases designed to offer low-cost electricity. The company's WindLease program helps in distributed-scale wind energy project development, enabling property owners and mid-sized businesses to capitalize and save on their energy costs by leasing a wind turbine and lock in their rates to protect against rising energy prices.</t>
  </si>
  <si>
    <t>Other Energy Services</t>
  </si>
  <si>
    <t>Other Energy, Other Energy Services*</t>
  </si>
  <si>
    <t>energy leasing, energy project development, low cost electricity, sustainable equipment, wind energy</t>
  </si>
  <si>
    <t>www.unitedwind.com</t>
  </si>
  <si>
    <t>2013: 10, 2014: 11, 2016: 21</t>
  </si>
  <si>
    <t>49248-01P</t>
  </si>
  <si>
    <t>Russell Tencer</t>
  </si>
  <si>
    <t>rtencer@unitedwind.com</t>
  </si>
  <si>
    <t>+1 (212) 292-3135</t>
  </si>
  <si>
    <t>Brooklyn, NY</t>
  </si>
  <si>
    <t>20 Jay Street</t>
  </si>
  <si>
    <t>Suite 928</t>
  </si>
  <si>
    <t>Brooklyn</t>
  </si>
  <si>
    <t>11201</t>
  </si>
  <si>
    <t>+1 (800) 268-9896</t>
  </si>
  <si>
    <t>info@unitedwind.com</t>
  </si>
  <si>
    <t>The company raised $2.6 million of convertible note funding from undisclosed investors on October 20, 2017. Previously, the company raised $8 million of Series B venture funding in a deal led by Statoil and Forum Equity Partners on July 12, 2016, putting the company's pre-money valuation at $4.98 million.</t>
  </si>
  <si>
    <t>Equinor, Forum Equity Partners, Future Labs, Phoenix Fund, Talco Electronics, Tokyo Electric Power Company, Total Energy Ventures, Urban Future Lab, Wind Products</t>
  </si>
  <si>
    <t>Equinor(www.equinor.com), Forum Equity Partners(forumequitypartners.com), Future Labs(www.futurelabs.nyc), Phoenix Fund(www.thephoenixfund.com), Talco Electronics(www.talcoelectronics.com), Tokyo Electric Power Company(www.tepco.co.jp), Urban Future Lab(www.ufl.nyc), Wind Products(www.wind-products.com)</t>
  </si>
  <si>
    <t>Evolve Capital Partners(Advisor: General), NY Green Bank(Debt Financing), Pacific Rim Capital(Debt Financing)</t>
  </si>
  <si>
    <t>57649-69</t>
  </si>
  <si>
    <t>United By Blue</t>
  </si>
  <si>
    <t>UBB</t>
  </si>
  <si>
    <t>Patagonia, Amour Vert, Everlane, Best Made Company, Carve Designs, American Giant, Huckberry, Cotopaxi</t>
  </si>
  <si>
    <t>Operator of an outdoor lifestyle brand designed to offer apparel and accessories. The company's apparel and accessories are made using sustainable materials such as organic cotton, recycled polyester, and bison fiber and also the company's social mission involves the removal of one pound of trash from the oceans and waterways through organized cleanups for every product sold, enabling users to get fashionable clothing and accessories as well as share the responsibility of protecting the Earth.</t>
  </si>
  <si>
    <t>Clothing</t>
  </si>
  <si>
    <t>Clothing*, Environmental Services (B2B)</t>
  </si>
  <si>
    <t>Industrials, LOHAS &amp; Wellness, TMT</t>
  </si>
  <si>
    <t>clothing and accessories, impact investing vertical, lifestyle branding, ocean cleanup, organic tees, outdoor clothing branding, sustainable apparel</t>
  </si>
  <si>
    <t>www.unitedbyblue.com</t>
  </si>
  <si>
    <t>2015: 25, 2017: 45, 2019: 65</t>
  </si>
  <si>
    <t>Departure (New) Joanna Linton, Co-Founder &amp; Chief Operating Officer</t>
  </si>
  <si>
    <t>50919-13P</t>
  </si>
  <si>
    <t>Brian Linton</t>
  </si>
  <si>
    <t>brian@unitedbyblue.com</t>
  </si>
  <si>
    <t>+1 (215) 278-7746</t>
  </si>
  <si>
    <t>Philadelphia, PA</t>
  </si>
  <si>
    <t>144 North 2nd Street</t>
  </si>
  <si>
    <t>Philadelphia</t>
  </si>
  <si>
    <t>Pennsylvania</t>
  </si>
  <si>
    <t>19106</t>
  </si>
  <si>
    <t>blue@unitedbyblue.com</t>
  </si>
  <si>
    <t>The company raised an undisclosed amount of venture funding in a deal led by Emil Capital Partners on November 8, 2018. Connected VC, Capital Institute, CircleUp Network, and Golda Darty Partners and other undisclosed investors also participated in the round. The funding will be used to fuel conservation efforts and growth into new international markets.</t>
  </si>
  <si>
    <t>Capital Institute, CircleUp Network, Connected VC, DeSimone Group Investments, Emil Capital Partners, Gabriel Investments, Golda Darty Partners, Social Venture Circle, SustainVC</t>
  </si>
  <si>
    <t>Capital Institute(www.capitalinstitute.org), CircleUp Network(www.circleup.com), Connected VC(www.connectedvc.com), DeSimone Group Investments(www.desimonegroup.com), Emil Capital Partners(www.emilcapitalpartners.com), Gabriel Investments(www.gabriel-investments.com), Social Venture Circle(www.svcimpact.org), SustainVC(www.sustainvc.com)</t>
  </si>
  <si>
    <t>230459-50</t>
  </si>
  <si>
    <t>Unisrv</t>
  </si>
  <si>
    <t>Developer of a energy reselling platform designed to streamline the lifecycle of energy usage, purchasing and reselling. The company's platform is a one-stop business tool to connect energy producers and commercial consumers, including customer management, fee calculations, standard legal forms and billing services, enabling both energy producers and consumers to simplify their relationship and streamline related business processes.</t>
  </si>
  <si>
    <t>Other Energy Services*, Other Software</t>
  </si>
  <si>
    <t>SaaS</t>
  </si>
  <si>
    <t>electric power distribution, energy reselling, portal integration, utility management, utility management system</t>
  </si>
  <si>
    <t>en.unisrv.jp</t>
  </si>
  <si>
    <t>188909-38P</t>
  </si>
  <si>
    <t>Eiji Uda</t>
  </si>
  <si>
    <t>Founder, Chief Executive Officer, Representative Director &amp; Chairman</t>
  </si>
  <si>
    <t>euda@unisrv.jp</t>
  </si>
  <si>
    <t>+81 (0)35 472 7310</t>
  </si>
  <si>
    <t>5-1-9 Shinbashi Minato</t>
  </si>
  <si>
    <t>Ginsen No2. Bldg. 8F</t>
  </si>
  <si>
    <t>105-0004</t>
  </si>
  <si>
    <t>+81 (0)35 472 7312</t>
  </si>
  <si>
    <t>request@unisrv.jp</t>
  </si>
  <si>
    <t>The company raised an undisclosed amount of Series A venture funding from Salesforce Ventures on December 13, 2016.</t>
  </si>
  <si>
    <t>156571-21</t>
  </si>
  <si>
    <t>Unispectral</t>
  </si>
  <si>
    <t>Developer of a next generation compact camera imaging technology designed to move sequential color imaging into camera modules. The company's compact camera imaging technology develop the next generation of digital cameras which will use hyper-spectral sensors for enhanced seeing and sensing capabilities, enabling users to make significant enhancements to images taken in low light or other challenging light conditions.</t>
  </si>
  <si>
    <t>Electronics (B2C), Multimedia and Design Software*</t>
  </si>
  <si>
    <t>compact imaging, digital camera, hyperspectral imaging, imaging technology, megapixel images, sensing capabilities, sequential color imaging</t>
  </si>
  <si>
    <t>www.unispectral.com</t>
  </si>
  <si>
    <t>2016: 12</t>
  </si>
  <si>
    <t>47121-04P</t>
  </si>
  <si>
    <t>Coby Sella</t>
  </si>
  <si>
    <t>coby.sella@unispectral.com</t>
  </si>
  <si>
    <t>+972 (0)3 639 9577</t>
  </si>
  <si>
    <t>Menachem Begin 12</t>
  </si>
  <si>
    <t>5270001</t>
  </si>
  <si>
    <t>info@unispectral.com</t>
  </si>
  <si>
    <t>The company raised $28,000 of angel funding from Houston Angel Network in October, 2017. Previously, the company raised $8 million of Series A venture funding in a deal led by Jerusalem Venture Partners, Robert Bosch Venture Capital, Samsung Catalyst and Tel Aviv University Endowment on April 5, 2016. The funding will be used for expanding the team and further product development.</t>
  </si>
  <si>
    <t>Houston Angel Network, Jerusalem Venture Partners, Robert Bosch Venture Capital, Samsung Catalyst, Tel Aviv University Endowment</t>
  </si>
  <si>
    <t>Houston Angel Network(www.houstonangelnetwork.org), Jerusalem Venture Partners(www.jvpvc.com), Robert Bosch Venture Capital(www.rbvc.com), Samsung Catalyst(www.samsungcatalyst.com), Tel Aviv University Endowment(www.english.tau.ac.il)</t>
  </si>
  <si>
    <t>56865-34</t>
  </si>
  <si>
    <t>UniKey Technologies</t>
  </si>
  <si>
    <t>UniKey</t>
  </si>
  <si>
    <t>Developer of a smart access control platform. The company's platform offers cloud-based access control features including API/SDK, eKeys, authentication and security, app Templates, reference designs &amp; development as well as ecosystem integrations, enabling companies and manufacturers to develop and deploy mobile key products on a proven, scaled and secure platform.</t>
  </si>
  <si>
    <t>access control platform, deadbolt, keyless entry, mobile keys access, smart access control</t>
  </si>
  <si>
    <t>www.unikey.com</t>
  </si>
  <si>
    <t>2015: 25, 2017: 50</t>
  </si>
  <si>
    <t>49199-50P</t>
  </si>
  <si>
    <t>Phil Dumas</t>
  </si>
  <si>
    <t>Founder, President, Chief Executive Officer and Board Member</t>
  </si>
  <si>
    <t>phil@unikey.com</t>
  </si>
  <si>
    <t>+1 (407) 434-1539</t>
  </si>
  <si>
    <t>Orlando, FL</t>
  </si>
  <si>
    <t>111 West Jefferson Street</t>
  </si>
  <si>
    <t>Orlando</t>
  </si>
  <si>
    <t>32801</t>
  </si>
  <si>
    <t>info@unikey.com</t>
  </si>
  <si>
    <t>The company received an undisclosed amount of debt financing in the form of a lien from Silicon Valley Bank on August 31, 2017. Previously, the company raised $5 million of venture funding from Oriza Ventures, ff Venture Capital and Asset Management Ventures on June 14, 2017.</t>
  </si>
  <si>
    <t>ACXIT Capital Partners, Akkadian Ventures, Allison Bhusri, Asset Management Ventures, Broadway Angels, CBRE Group, Daniel Gutenberg, Dave Lerner, ff Venture Capital, Haas Portman, Igniting Innovation, Individual Investor, Kevin O'Leary, Lauder Partners, Mark Cuban, Michael Liou, Oriza Ventures, Paul Sethi, Rani Aliahmad, Samsung Electronics, Samsung NEXT Ventures, Six Fold Ventures, Sumit Gupta, The Strand Partners, University of Central Florida Business Incubator</t>
  </si>
  <si>
    <t>ACXIT Capital Partners(www.acxit.com), Akkadian Ventures(www.akkadianventures.com), Asset Management Ventures(www.assetman.com), Broadway Angels(www.broadway-angels.com), Daniel Gutenberg(www.gutenberg.ch), Dave Lerner(www.davelerner.com), ff Venture Capital(www.ffvc.com), Haas Portman(www.haasportman.com), Igniting Innovation(www.i2florida.com), Kevin O'Leary(www.kevinoleary.com), Lauder Partners(www.lauderpartners.com), Oriza Ventures(www.orizaventures.com), Samsung Electronics(www.samsung.com), Samsung NEXT Ventures(www.samsungnext.com), Six Fold Ventures(www.sixfoldventures.com), The Strand Partners(www.thestrandpartners.com), University of Central Florida Business Incubator(www.incubator.ucf.edu)</t>
  </si>
  <si>
    <t>Edwards Wildman Palmer(Legal Advisor)</t>
  </si>
  <si>
    <t>Silicon Valley Bank(Debt Financing), Western Alliance Bank(Debt Financing)</t>
  </si>
  <si>
    <t>55671-76</t>
  </si>
  <si>
    <t>Unified</t>
  </si>
  <si>
    <t>Unified Enterprises</t>
  </si>
  <si>
    <t>Adaptly, Spredfast, StitcherAds, Brand Networks, Kinetic (Digital Marketing Platform), Kenshoo, Adphorus, Metric IO, Nanigans, Sprinklr, Acquisio, IgnitionOne, Marin Software, Nativo, 4C, MediaMath, Criteo, Socialbakers, DataXu, Simply Measured, Bridg, AdRoll, AdStage, SocialFlow, SearchForce, StackAdapt, AdHawk, TripleLift, ROI Hunter, Spruce Media, inPowered, CompanionLabs, Virool, Glow Digital Media</t>
  </si>
  <si>
    <t>Provider of technology and services to connect marketing data sets and optimize investments across the customer journey. The company's platform transforms fragmented marketing data into actionable intelligence and real-time activation, thereby empowering Fortune 500 companies and agencies to drive marketing success in the context of their business goals.</t>
  </si>
  <si>
    <t>Internet Software, Media and Information Services (B2B)*, Social/Platform Software</t>
  </si>
  <si>
    <t>global branding, mobile campaign, social operating platform, social services</t>
  </si>
  <si>
    <t>www.unified.com</t>
  </si>
  <si>
    <t>2012: 58, 2013: 105, 2014: 96, 2015: 208</t>
  </si>
  <si>
    <t>44458-57P</t>
  </si>
  <si>
    <t>Sheldon Owen</t>
  </si>
  <si>
    <t>Co-Founder &amp; Executive Chairman</t>
  </si>
  <si>
    <t>sheldon.owen@unified.com</t>
  </si>
  <si>
    <t>+1 (855) 236-5482</t>
  </si>
  <si>
    <t>180 Madison Avenue</t>
  </si>
  <si>
    <t>23rd Floor</t>
  </si>
  <si>
    <t>info@unified.com</t>
  </si>
  <si>
    <t>The company received an undisclosed amount of development capital from UCLA Ventures on November 30, 2017.</t>
  </si>
  <si>
    <t>Advance Venture Partners, Advanced Network Solutions, Andy Getsey, Foundry Group, iHeartMedia, Jay Baer, K1 Investment Management, MDC Ventures, UCLA Ventures, Upfront Ventures, Wellington Financial</t>
  </si>
  <si>
    <t>Advance Venture Partners(www.avp.vc), Advanced Network Solutions(www.ansolutions.com), Foundry Group(www.foundrygroup.com), iHeartMedia(www.iheartmedia.com), Jay Baer(www.jaybaer.com), K1 Investment Management(www.k1capital.com), MDC Ventures(www.mdcventures.vc), UCLA Ventures(www.ventures.ucla.edu), Upfront Ventures(www.upfront.com), Wellington Financial(www.wellingtonfund.com)</t>
  </si>
  <si>
    <t>Daversa Partners(Consulting)</t>
  </si>
  <si>
    <t>Silicon Valley Bank(Debt Financing), Wellington Financial(Debt Financing)</t>
  </si>
  <si>
    <t>180185-41</t>
  </si>
  <si>
    <t>Unicobag</t>
  </si>
  <si>
    <t>Provider of an on demand baggage delivery service for airlines created to help passengers to enjoy their air journeys to the fullest. The company's service helps airlines to deliver their mishandled bags by booking and tracking at every stage, enabling passengers to enjoy their trip by bypassing the baggage carousel.</t>
  </si>
  <si>
    <t>Logistics*</t>
  </si>
  <si>
    <t>baggage delivery, baggage delivery service, baggage handles, baggage service, luggage delivery</t>
  </si>
  <si>
    <t>www.unicobag.com</t>
  </si>
  <si>
    <t>165659-23P</t>
  </si>
  <si>
    <t>Zikrullo Atamuloev</t>
  </si>
  <si>
    <t>zikrullo@unicobag.com</t>
  </si>
  <si>
    <t>+1 (778) 431-6622</t>
  </si>
  <si>
    <t>440 North Wolfe Road</t>
  </si>
  <si>
    <t>94085</t>
  </si>
  <si>
    <t>contact@unicobag.com</t>
  </si>
  <si>
    <t>The company raised an undisclosed amount of venture funding from Plug and Play Tech Center and Turquaz Angels on September 7, 2018. Oriza Ventures and JetBlue Technology Ventures also participated in this round.</t>
  </si>
  <si>
    <t>JetBlue Technology Ventures, Oriza Ventures, Plug and Play Tech Center, Prado SV, Right Side Capital Management, Turquaz Angels</t>
  </si>
  <si>
    <t>JetBlue Technology Ventures(www.jetblueventures.com), Oriza Ventures(www.orizaventures.com), Plug and Play Tech Center(www.plugandplaytechcenter.com), Prado SV(www.pradosv.com), Right Side Capital Management(www.rightsidecapital.com), Turquaz Angels(www.turquazangels.com)</t>
  </si>
  <si>
    <t>54827-11</t>
  </si>
  <si>
    <t>Unet System</t>
  </si>
  <si>
    <t>UNET</t>
  </si>
  <si>
    <t>Provider of wireless network security. The company provides wireless network security, network access control and network behavior analysis services to the government organizations, manufacturers and telecommunication companies. It also provides security system integration and professional consulting services.</t>
  </si>
  <si>
    <t>Network Management Software, Other IT Services*</t>
  </si>
  <si>
    <t>mobile security, network access control, security technology</t>
  </si>
  <si>
    <t>www.unet.kr</t>
  </si>
  <si>
    <t>Seoul, South Korea</t>
  </si>
  <si>
    <t>7th Floor Seongok Building</t>
  </si>
  <si>
    <t>119, Bongeunsa-ro, Gangnam-gu</t>
  </si>
  <si>
    <t>Seoul</t>
  </si>
  <si>
    <t>135-010</t>
  </si>
  <si>
    <t>+82 (0)22 088 3030</t>
  </si>
  <si>
    <t>+82 (0)22 088 3095</t>
  </si>
  <si>
    <t>info@unet.kr</t>
  </si>
  <si>
    <t>The company raised an undisclosed amount of venture funding from Samsung Venture Investment.</t>
  </si>
  <si>
    <t>62741-89</t>
  </si>
  <si>
    <t>Understory</t>
  </si>
  <si>
    <t>Subsidence, Winstruments</t>
  </si>
  <si>
    <t>Skymet Weather Services, MeteoGroup</t>
  </si>
  <si>
    <t>Developer of smart weather station micro-grids designed to collect tactical weather data and analytics for extreme weather events. The company's micro-grid collects data on rain, hail, wind, barometric pressure and other weather conditions that analyzes atmospheric conditions, enabling companies to anticipate real-time datasets and graphical views of the movement and intensity of weather events.</t>
  </si>
  <si>
    <t>Business/Productivity Software, Environmental Services (B2B)*</t>
  </si>
  <si>
    <t>Artificial Intelligence &amp; Machine Learning, Big Data</t>
  </si>
  <si>
    <t>barometric pressure sensor, weather conditions tracker, weather detectors, weather forecast, weather reporting, weather station, weather-sensing hardware</t>
  </si>
  <si>
    <t>www.understoryweather.com</t>
  </si>
  <si>
    <t>2016: 10, 2017: 15, 2018: 15</t>
  </si>
  <si>
    <t>66179-89P</t>
  </si>
  <si>
    <t>Alexander Kubicek</t>
  </si>
  <si>
    <t>Co-Founder, Board Member, Chief Executive Officer &amp; President</t>
  </si>
  <si>
    <t>alex@understoryweather.com</t>
  </si>
  <si>
    <t>+1 (608) 416-7752</t>
  </si>
  <si>
    <t>Madison, WI</t>
  </si>
  <si>
    <t>316 West Washington Avenue</t>
  </si>
  <si>
    <t>Madison</t>
  </si>
  <si>
    <t>Wisconsin</t>
  </si>
  <si>
    <t>53073</t>
  </si>
  <si>
    <t>info@understoryweather.com</t>
  </si>
  <si>
    <t>The company raised $5.25 million of Series B venture funding in a deal led by True Ventures on May 9, 2019. 4490 Ventures and Revolution also participated in this round. The funds will be used to accelerate international growth across agriculture, insurance, government and environmental markets, to increase the employee headcount and to expand into a new headquarters facility.</t>
  </si>
  <si>
    <t>4490 Ventures, Andy White, Bolt Innovation Group, CSA Partners, gener8tor, Greentown Labs, Monsanto Growth Ventures, Plug and Play Tech Center, Revolution, RRE Ventures, SK Ventures, True Ventures, VTF Capital, Wisconsin Economic Development Corporation</t>
  </si>
  <si>
    <t>4490 Ventures(www.4490ventures.com), Bolt Innovation Group(www.bolt.io), CSA Partners(www.csapartners.com), gener8tor(www.gener8tor.com), Greentown Labs(www.greentownlabs.com), Plug and Play Tech Center(www.plugandplaytechcenter.com), Revolution(www.revolution.com), RRE Ventures(www.rre.com), SK Ventures(www.skvcap.com), True Ventures(www.trueventures.com), VTF Capital(www.vtfcapital.com), Wisconsin Economic Development Corporation(www.inwisconsin.com)</t>
  </si>
  <si>
    <t>Treble Public Relations(Advisor: Communications)</t>
  </si>
  <si>
    <t>62118-46</t>
  </si>
  <si>
    <t>Unbabel</t>
  </si>
  <si>
    <t>Transfluent, VerbalizeIt, Qordoba, Translated, Lilt, Softlation, Gengo</t>
  </si>
  <si>
    <t>Provider of an artificial intelligence powered human translation platform created to build multilingual understanding between companies and their customers. The company's human translation platform utilizes a community of bilingual and freelance translators thereby providing human-quality translations, enabling companies to eliminate the language barrier for large enterprises to easily serve a global customer base.</t>
  </si>
  <si>
    <t>Communication Software*</t>
  </si>
  <si>
    <t>Artificial Intelligence &amp; Machine Learning, SaaS, TMT</t>
  </si>
  <si>
    <t>language barrier, language translation platform, machine translation platform, neural machine translation</t>
  </si>
  <si>
    <t>www.unbabel.com</t>
  </si>
  <si>
    <t>2014: 30, 2015: 127</t>
  </si>
  <si>
    <t>35667-55P</t>
  </si>
  <si>
    <t>Vasco Pedro</t>
  </si>
  <si>
    <t>vasco@unbabel.com</t>
  </si>
  <si>
    <t>Lisboa, Portugal</t>
  </si>
  <si>
    <t>Rua Visconde de Santarém, 67B</t>
  </si>
  <si>
    <t>Lisboa</t>
  </si>
  <si>
    <t>1000-286</t>
  </si>
  <si>
    <t>Portugal</t>
  </si>
  <si>
    <t>contact@unbabel.com</t>
  </si>
  <si>
    <t>The company raised $23 million of Series B venture funding in a deal led by Scale Venture Partners on January 11, 2018, putting the company's pre-money valuation at $40 million. Microsoft Ventures, Salesforce Ventures, Samsung Next, Notion Capital, Caixa Capital and Funders Club also participated in the round. The funds will be used to develop the company's machine translation and quality estimation technology, as well as investing in sales and marketing initiatives in new regions.</t>
  </si>
  <si>
    <t>Amino Capital, Beta-i, Caixa Capital, DG Incubation, Digital Garage, Elad Gil, Faber Ventures, FundersClub, GV, Investo, Justin Darcy, Kevin Rose, Klaus von Sayn-Wittgenstein, M12, Matrix Partners, Microsoft ScaleUp, Notion, Paul Holliman, Rakesh Agrawal, Raymond Tonsing, Robert Emrich, Roger Dickey, Saad AlSogair, Salesforce Ventures, Samsung NEXT Ventures, Scale Venture Partners, Seth Ginns, Shilling Capital Partners, Stephan Morais, Structure Capital, Terrence Yang, Tong Li, Wefunder, Workday Ventures, Y Combinator</t>
  </si>
  <si>
    <t>Amino Capital(www.aminocapital.com), Beta-i(www.beta-i.com), Caixa Capital(www.caixacapital.pt), DG Incubation(www.dgincubation.co.jp), Digital Garage(www.garage.co.jp), Faber Ventures(www.faber-ventures.com), FundersClub(www.fundersclub.com), GV(www.gv.com), Investo(www.investovc.com), Kevin Rose(www.kevinrose.com), M12(www.m12.vc), Matrix Partners(www.matrixpartners.com), Microsoft ScaleUp(startups.microsoft.com/en-us/scale-up), Notion(www.notion.vc), Raymond Tonsing(www.angel.co/tonsing), Robert Emrich(www.robemrich.com), Saad AlSogair(www.DrSogair.com), Samsung NEXT Ventures(www.samsungnext.com), Scale Venture Partners(www.scalevp.com), Shilling Capital Partners(www.shillingcapital.com), Structure Capital(www.structure.vc), Wefunder(www.wefunder.com), Y Combinator(www.ycombinator.com)</t>
  </si>
  <si>
    <t>Clerky(Advisor: General), Orrick, Herrington &amp; Sutcliffe(Legal Advisor)</t>
  </si>
  <si>
    <t>109707-22</t>
  </si>
  <si>
    <t>UnaliWear</t>
  </si>
  <si>
    <t>LifeAssist</t>
  </si>
  <si>
    <t>Developer of multipurpose electronic watches designed to extend independence with dignity for vulnerable seniors. The company's watch offers discreet support for emergency assistance, medication reminders and a guard against lost-wandering through voice activated assistance, enabling senior citizens to access predictive and preemptive support.</t>
  </si>
  <si>
    <t>Accessories, Electronics (B2C)*, Monitoring Equipment, Other Devices and Supplies, Other Software</t>
  </si>
  <si>
    <t>Digital Health, TMT, Wearables &amp; Quantified Self</t>
  </si>
  <si>
    <t>medical alerts, sensor watches, wearable technology, wrist based tracker</t>
  </si>
  <si>
    <t>www.unaliwear.com</t>
  </si>
  <si>
    <t>2015: 3, 2016: 5, 2019: 9</t>
  </si>
  <si>
    <t>95094-28P</t>
  </si>
  <si>
    <t>Jean Booth</t>
  </si>
  <si>
    <t>jeananne.booth@unaliwear.com</t>
  </si>
  <si>
    <t>+1 (512) 917-3088</t>
  </si>
  <si>
    <t>3410 Cherry Lane</t>
  </si>
  <si>
    <t>78703</t>
  </si>
  <si>
    <t>info@unaliwear.com</t>
  </si>
  <si>
    <t>The company raised $50,455 of Series A venture funding from Keiretsu Forum and Astia Angels in December, 2018.</t>
  </si>
  <si>
    <t>Arizona Tech Investors, Astia Angels, Central Texas Angel Network, Houston Angel Network, Keiretsu Capital, Keiretsu Forum, Maxim Ventures, MedTech Innovator, Next Wave Impact, Plug and Play Tech Center, Portfolia, Social Starts, StartUp Health, True Wealth Ventures</t>
  </si>
  <si>
    <t>Arizona Tech Investors(www.arizonatechinvestors.com), Astia Angels(www.astia.org), Central Texas Angel Network(www.centraltexasangelnetwork.com), Houston Angel Network(www.houstonangelnetwork.org), Keiretsu Capital(www.keiretsucapital.com), Keiretsu Forum(www.keiretsuforum.com), Maxim Ventures(www.maximventures.com), MedTech Innovator(www.medtechinnovator.org), Next Wave Impact(www.nextwaveimpact.com), Plug and Play Tech Center(www.plugandplaytechcenter.com), Portfolia(www.portfolia.co), Social Starts(www.socialstarts.com), StartUp Health(www.startuphealth.com), True Wealth Ventures(www.truewealthvc.com)</t>
  </si>
  <si>
    <t>BBVA Compass Bank(General Business Banking), Shearman &amp; Sterling(Legal Advisor)</t>
  </si>
  <si>
    <t>BBVA Compass Bank(General Business Banking), Kickstarter(Lead Manager or Arranger), Shearman &amp; Sterling(Legal Advisor)</t>
  </si>
  <si>
    <t>125776-36</t>
  </si>
  <si>
    <t>Ultivue</t>
  </si>
  <si>
    <t>Developer of a reagent-driven technology designed for high-definition biological imaging in situ multiplexing. The company develops proprietary reagents, instruments, and bioinformatics tools for life sciences research and medical diagnostics, enabling researchers and clinicians to provide personalized medicine through better matching of patients with therapeutic options.</t>
  </si>
  <si>
    <t>Pharmaceuticals and Biotechnology</t>
  </si>
  <si>
    <t>Discovery Tools (Healthcare)</t>
  </si>
  <si>
    <t>Discovery Tools (Healthcare)*</t>
  </si>
  <si>
    <t>Life Sciences</t>
  </si>
  <si>
    <t>in situ healing, multiplex technology, reagents</t>
  </si>
  <si>
    <t>www.Ultivue.com</t>
  </si>
  <si>
    <t>70978-87P</t>
  </si>
  <si>
    <t>Michael Natan</t>
  </si>
  <si>
    <t>President, Chief Executive Officer &amp; Board Member</t>
  </si>
  <si>
    <t>michael.natan@ultivue.com</t>
  </si>
  <si>
    <t>+1 (617) 945-2662</t>
  </si>
  <si>
    <t>763D Concord Avenue</t>
  </si>
  <si>
    <t>02138-1044</t>
  </si>
  <si>
    <t>contact@ultivue.com</t>
  </si>
  <si>
    <t>The company raised $20.24 million of Series B venture funding in a deal led by ARCH Venture Partners on January 31, 2018. 6 Dimensions Capital, Applied Ventures, Sangel Venture Capital, Yonghua Capital and other undisclosed investors also participated in the round. The company intends to use the capital to productize and commercialize its InSituPlex™ technology for unbiased biomarker analysis in tissue, at a high level of multiplex with high spatial resolution. The initial commercial focus will be in translational and clinical research markets, with a rapid transition into regulated in vitro diagnostic markets.</t>
  </si>
  <si>
    <t>6 Dimensions Capital, Applied Ventures, ARCH Venture Partners, Hansjoerg Wyss, Sangel Capital, Yonghua Capital</t>
  </si>
  <si>
    <t>6 Dimensions Capital(www.6dimensionscapital.com), ARCH Venture Partners(www.archventure.com), Sangel Capital(www.sangelvc.com), Yonghua Capital(www.yonghuacapital.com.cn)</t>
  </si>
  <si>
    <t>93237-76</t>
  </si>
  <si>
    <t>Ule Trading</t>
  </si>
  <si>
    <t>Ule</t>
  </si>
  <si>
    <t>Operator of an online retail platform. The company provides an online shopping portal mainly focusing on the online-to-offline model. It mainly offers branded garments, luggage, shoes and hats, personal care products, daily home products, healthy food, maternity &amp; baby products and digital home appliances.</t>
  </si>
  <si>
    <t>Accessories, Clothing, Internet Retail*</t>
  </si>
  <si>
    <t>E-Commerce, TMT</t>
  </si>
  <si>
    <t>clothing and apparel, internet shopping portal, online purchasing, online retail marketplace, web based shopping</t>
  </si>
  <si>
    <t>www.ule.com</t>
  </si>
  <si>
    <t>The company received $110 million of Series A funding from Access Technology Ventures, Burch Creative Capital and three other undisclosed investors on February 28, 2014, putting the company's pre-money valuation at $830 million.</t>
  </si>
  <si>
    <t>Access Industries, Access Technology Ventures, Burch Creative Capital, Jorg Mohaupt, TOM Group Limited</t>
  </si>
  <si>
    <t>Access Industries(www.accessindustries.com), Access Technology Ventures(www.accesstechnologyventures.com), Burch Creative Capital(www.burchcreativecapital.com)</t>
  </si>
  <si>
    <t>64306-81</t>
  </si>
  <si>
    <t>UJAM</t>
  </si>
  <si>
    <t>Provider of a cloud-based music platform designed to produce music and share it with others. The company's music platform offers a technology platform that enables users to create and share their own music with friends and others around the world, enabling them to create music and movie effects.</t>
  </si>
  <si>
    <t>Application Software, Movies, Music and Entertainment*, Social/Platform Software</t>
  </si>
  <si>
    <t>music creation, music software, musicals message, remix music</t>
  </si>
  <si>
    <t>www.ujam.com</t>
  </si>
  <si>
    <t>2014: 17, 2016: 26</t>
  </si>
  <si>
    <t>74614-42P</t>
  </si>
  <si>
    <t>Sebastian Knief</t>
  </si>
  <si>
    <t>sknief@ujam.com</t>
  </si>
  <si>
    <t>One Embarcadero Center</t>
  </si>
  <si>
    <t>Suite 2410</t>
  </si>
  <si>
    <t>info@ujam.com</t>
  </si>
  <si>
    <t>Hasso Plattner Ventures sold its stake in the company to an undisclosed investor. Earlier, the company raised $1.98 million of Series A venture funding from Hasso Plattner Ventures, Pharrell Williams and Hans Zimmer on July 18, 2011, putting the pre-money valuation at $2.24 million.</t>
  </si>
  <si>
    <t>Mark Kvamme</t>
  </si>
  <si>
    <t>108421-93</t>
  </si>
  <si>
    <t>Uhuru (Application Software)</t>
  </si>
  <si>
    <t>Provider of cloud computing and integration services intended to make digital transformation happen with IoT, from consulting to marketing. The company's cloud computing and integration software offers salesforce CRM integrated services, enabling companies to access efficient marketing, consulting, data analytics and social media operations.</t>
  </si>
  <si>
    <t>cloud consulting, cloud implementation, cloud integration, integration services</t>
  </si>
  <si>
    <t>www.uhuru.co.jp</t>
  </si>
  <si>
    <t>2015: 30, 2019: 270</t>
  </si>
  <si>
    <t>102067-84P</t>
  </si>
  <si>
    <t>Takashi Sonoda</t>
  </si>
  <si>
    <t>takashi.sonoda@uhuru.jp</t>
  </si>
  <si>
    <t>+81 (0)36 895 1520</t>
  </si>
  <si>
    <t>16th Floor ARK Hills South Tower</t>
  </si>
  <si>
    <t>1-4-5 Roppongi, Minato-ku</t>
  </si>
  <si>
    <t>106-0032</t>
  </si>
  <si>
    <t>+81 (0)36 895 1521</t>
  </si>
  <si>
    <t>The company raised an undisclosed amount of venture funding from Salesforce Ventures, SoftBank Group and NEC Corporation on August 16, 2018. The company intends to use the funds to hire and retain talent in specialized fields for product development, to create IoT business, marketing, development, sales and promotion of IoT solutions and services based on enebular and solve regional issues and commercialization of the same.</t>
  </si>
  <si>
    <t>Dentsu Innovation Partners, Mitsui &amp; Co., NEC Corporation, Salesforce Ventures, SoftBank Group</t>
  </si>
  <si>
    <t>Dentsu Innovation Partners(www.dentsu-ip.co.jp), Mitsui &amp; Co.(www.mitsui.com), NEC Corporation(www.nec.com), SoftBank Group(www.softbank.jp)</t>
  </si>
  <si>
    <t>168720-04</t>
  </si>
  <si>
    <t>Uhnder</t>
  </si>
  <si>
    <t>Developer of disruptive sensing, cognition and communication products designed for commercial and industrial application. The company's advanced technology focuses on use in automated systems for safety, problem identification, navigation and communication for applications ranging from the Internet of Things (IoT) market to Drones and augmented reality, enabling businesses to build and improve their product capabilities.</t>
  </si>
  <si>
    <t>Other Commercial Products*</t>
  </si>
  <si>
    <t>Advanced Manufacturing, Autonomous cars, Internet of Things, Robotics and Drones, TMT, Virtual Reality</t>
  </si>
  <si>
    <t>cognition, cognition product, communication product, sensing product, sensor technology</t>
  </si>
  <si>
    <t>www.uhnder.com</t>
  </si>
  <si>
    <t>2016: 9</t>
  </si>
  <si>
    <t>38956-42P</t>
  </si>
  <si>
    <t>Manju Hegde</t>
  </si>
  <si>
    <t>mhegde@uhnder.com</t>
  </si>
  <si>
    <t>+1 (512) 722-6353</t>
  </si>
  <si>
    <t>3409 Executive Center Drive</t>
  </si>
  <si>
    <t>info@uhnder.com</t>
  </si>
  <si>
    <t>The company raised venture funding from Monta Vista Capital and SAIC Capital on an undisclosed date. Fosun RZ Capital also participated in it.</t>
  </si>
  <si>
    <t>Fosun RZ Capital, Monta Vista Capital, SAIC Capital</t>
  </si>
  <si>
    <t>Fosun RZ Capital(www.frzcapital.cn/index.php), Monta Vista Capital(www.montavc.com), SAIC Capital(www.saicvc.com)</t>
  </si>
  <si>
    <t>163659-07</t>
  </si>
  <si>
    <t>Uhana</t>
  </si>
  <si>
    <t>Developer of a mobile network operations platform designed to create a distributed, cloud-scale datacenter. The company's mobile network operations platform helps in re-architecting the operation of mobile networks by bringing in real-time data analytics, machine learning and agile cloud software to control the network, enabling users to manage and optimize mobile networks.</t>
  </si>
  <si>
    <t>Business/Productivity Software, Other Business Products and Services, Other Communications and Networking*</t>
  </si>
  <si>
    <t>Artificial Intelligence &amp; Machine Learning, Big Data, Mobile, TMT</t>
  </si>
  <si>
    <t>mobile network, network operations, telecommunication</t>
  </si>
  <si>
    <t>www.uhana.io</t>
  </si>
  <si>
    <t>13679-11P</t>
  </si>
  <si>
    <t>Forest Baskett</t>
  </si>
  <si>
    <t>Board Member</t>
  </si>
  <si>
    <t>fbaskett@nea.com</t>
  </si>
  <si>
    <t>+1 (650) 854-9499</t>
  </si>
  <si>
    <t>291 Lambert Avenue</t>
  </si>
  <si>
    <t>+1 (650) 338-1714</t>
  </si>
  <si>
    <t>info@uhana.io</t>
  </si>
  <si>
    <t>The company raised venture funding from Deutsche Telekom Capital Partners on an undisclosed date.</t>
  </si>
  <si>
    <t>Deutsche Telekom Capital Partners, New Enterprise Associates, Presidio Ventures, Telstra Ventures</t>
  </si>
  <si>
    <t>Deutsche Telekom Capital Partners(www.telekom-capital.com), New Enterprise Associates(www.nea.com), Presidio Ventures(www.presidio-ventures.com), Telstra Ventures(www.telstraventures.com)</t>
  </si>
  <si>
    <t>54606-61</t>
  </si>
  <si>
    <t>Udacity</t>
  </si>
  <si>
    <t>Shaw Academy, Coursera, Khan Academy, Thinkful, Jigsaw Academy, General Assembly, Edureka, Linux Academy, Byju's, DataCamp, Treehouse Island, Acadgild, Codecademy, Pluralsight, Earth Education Valley, Manipal Global Education Services, Udemy, Plancess EduSolutions, Intellipaat, Utter, Dataquest</t>
  </si>
  <si>
    <t>Provider of educational services designed to bring accessible, affordable, engaging and effective higher education to the world. The company's services offer online classes by partnering with reputed businesses, as well as universities worldwide, enabling students to get better access to personalized coaching and demonstration of skills.</t>
  </si>
  <si>
    <t>Educational and Training Services (B2C)</t>
  </si>
  <si>
    <t>Educational and Training Services (B2C)*, Educational Software</t>
  </si>
  <si>
    <t>EdTech</t>
  </si>
  <si>
    <t>coding bootcamp, coding courses, coding e-learning platform, education school, online classes, problem solving</t>
  </si>
  <si>
    <t>www.udacity.com</t>
  </si>
  <si>
    <t>2012: 30, 2013: 50, 2014: 127, 2015: 463, 2016: 200, 2017: 463, 2018: 330, 2019: 350</t>
  </si>
  <si>
    <t>41625-82P</t>
  </si>
  <si>
    <t>Sebastian Thrun</t>
  </si>
  <si>
    <t>Co-Founder, Executive Chairman and President</t>
  </si>
  <si>
    <t>sebastian@udacity.com</t>
  </si>
  <si>
    <t>+1 (650) 938-9090</t>
  </si>
  <si>
    <t>2465 Latham Street</t>
  </si>
  <si>
    <t>94040</t>
  </si>
  <si>
    <t>info@udacity.com</t>
  </si>
  <si>
    <t>The company raised venture funding from SharesPost on an undisclosed date.</t>
  </si>
  <si>
    <t>Andreessen Horowitz, Baillie Gifford, Bertelsmann Digital Media Investments, Charles River Ventures, Cox Enterprises, Drive Capital, Emerson Collective, GV, Recruit Strategic Partners, SharesPost, Steve Blank, Valor Capital Group</t>
  </si>
  <si>
    <t>Andreessen Horowitz(www.a16z.com), Baillie Gifford(www.bailliegifford.com), Bertelsmann Digital Media Investments(www.bdmifund.com), Charles River Ventures(www.crv.com), Cox Enterprises(www.coxenterprises.com), Drive Capital(www.drivecapital.com), Emerson Collective(www.emersoncollective.com), GV(www.gv.com), Recruit Strategic Partners(recruitstrategicpartners.com), SharesPost(www.sharespost.com), Steve Blank(www.steveblank.com), Valor Capital Group(www.valorcapitalgroup.com)</t>
  </si>
  <si>
    <t>Gunderson Dettmer(Legal Advisor), O'Melveny &amp; Myers(Legal Advisor), Paradigm Strategy(Consulting), Sequoia Consulting Group(Consulting), Venture Gained Legal(Legal Advisor), Wilson Sonsini Goodrich &amp; Rosati(Legal Advisor)</t>
  </si>
  <si>
    <t>O'Melveny &amp; Myers(Legal Advisor), Volition Capital(Advisor: General)</t>
  </si>
  <si>
    <t>56918-08</t>
  </si>
  <si>
    <t>Ubitus</t>
  </si>
  <si>
    <t>Playcast Media Systems, PlayGiga, Playkey, LiquidSky Software, StudyStream Ltd</t>
  </si>
  <si>
    <t>Provider of cloud-based game streaming and virtualization technologies. The company provides software platforms for fixed-mobile convergence applications and offers its services to device manufacturers, telecom service providers, online service providers and game makers.</t>
  </si>
  <si>
    <t>Entertainment Software*, Social/Platform Software</t>
  </si>
  <si>
    <t>Gaming, Mobile, TMT</t>
  </si>
  <si>
    <t>games makers, gaming service, virtualization technology</t>
  </si>
  <si>
    <t>www.ubitus.net</t>
  </si>
  <si>
    <t>2010: 80, 2013: 140, 2015: 201</t>
  </si>
  <si>
    <t>108628-03P</t>
  </si>
  <si>
    <t>Wesley Kuo</t>
  </si>
  <si>
    <t>Chief Executive Officer &amp; President</t>
  </si>
  <si>
    <t>wesley.kuo@ubitus.net</t>
  </si>
  <si>
    <t>+886 (0)22 7176123</t>
  </si>
  <si>
    <t>Taipei, Taiwan</t>
  </si>
  <si>
    <t>10F, No.99, Fuxing N. Rd.</t>
  </si>
  <si>
    <t>Taipei</t>
  </si>
  <si>
    <t>Songshan</t>
  </si>
  <si>
    <t>105</t>
  </si>
  <si>
    <t>Taiwan</t>
  </si>
  <si>
    <t>+886 (0)22 7495176</t>
  </si>
  <si>
    <t>contact@ubitus.net</t>
  </si>
  <si>
    <t>The company raised $15 million of venture funding in a deal led by Samsung Venture Investment on May 13, 2013. IT-Farm Corporation, Birch Venture Capital and Substance Capital also participated in the round. The company intends to use the funds to build new gaming experiences with more instant and social features.</t>
  </si>
  <si>
    <t>Birch Venture Capital, IT-Farm, NTT Docomo Ventures, Samsung Venture Investment, Substance Capital</t>
  </si>
  <si>
    <t>Birch Venture Capital(www.birchvc.com), IT-Farm(www.it-farm.com), NTT Docomo Ventures(www.nttdocomo-v.com), Samsung Venture Investment(www.samsungventures.com)</t>
  </si>
  <si>
    <t>59983-75</t>
  </si>
  <si>
    <t>Ubitricity</t>
  </si>
  <si>
    <t>Developer of a virtual charging network designed to turn every electric socket into a charging point. The company's network assembles and integrates all backend processes like user authentication, meter data collection and billing of the infrastructure, enabling users to charge their electric vehicles at any location easily.</t>
  </si>
  <si>
    <t>Alternative Energy Equipment*, Energy Infrastructure, Other Energy Services</t>
  </si>
  <si>
    <t>CleanTech, LOHAS &amp; Wellness, TMT</t>
  </si>
  <si>
    <t>charging, charging point, plug-in hybrid, virtual charging, virtual charging network</t>
  </si>
  <si>
    <t>www.ubitricity.com</t>
  </si>
  <si>
    <t>2014: 50, 2016: 20</t>
  </si>
  <si>
    <t>55679-77P</t>
  </si>
  <si>
    <t>Knut Hechtfischer</t>
  </si>
  <si>
    <t>Co-Founder and Senior Advisor Strategic Corporate Development &amp; Finance</t>
  </si>
  <si>
    <t>khechtfischer@ubitricity.com</t>
  </si>
  <si>
    <t>+49 (0)30 3983 7169 0</t>
  </si>
  <si>
    <t>EUREF-Campus 7-8</t>
  </si>
  <si>
    <t>10829</t>
  </si>
  <si>
    <t>+49 (0)30 3983 7169 9</t>
  </si>
  <si>
    <t>contact@ubitricity.com</t>
  </si>
  <si>
    <t>The company raised EUR 20 million of Series C venture funding from Électricité de France, Honda Motor Company and Next47 on March 5, 2019. The new funding will be used to accelerate the roll-out of charge points, in particular retrofitted lamppost charge points and real estate installations across the UK, Germany, France, and USA. In conjunction, the technology will be further developed for the mass market expected from 2020, and the prerequisites for services across the entire spectrum of V1G and V2G will be created.</t>
  </si>
  <si>
    <t>Earlybird Venture Capital, Ecosummit, Électricité de France, Heinz Dürr, Honda Motor Company, IBB Beteiligungsgesellschaft, Next47</t>
  </si>
  <si>
    <t>Earlybird Venture Capital(www.earlybird.com), Ecosummit(www.ecosummit.net), Électricité de France(www.edf.fr), Honda Motor Company(global.honda), IBB Beteiligungsgesellschaft(www.ibb-bet.de), Next47(Next47.com)</t>
  </si>
  <si>
    <t>LACORE Rechtsanwälte(Legal Advisor)</t>
  </si>
  <si>
    <t>96885-82</t>
  </si>
  <si>
    <t>Ubiregi</t>
  </si>
  <si>
    <t>Developer of a cloud-based point of sale system designed to realize improvement in store sales. The company's cloud-based point of sale system is a point-of-sale application for iPad to analyze merchandise and acts as a mechanism to increase repeater, enabling users to understand the cause of death, manage multiple stores, grasp the tendency of sales at each store and manage customers to obtain repeaters.</t>
  </si>
  <si>
    <t>Application Software, Business/Productivity Software, Financial Software*</t>
  </si>
  <si>
    <t>mobile payment, pos, pos check-out</t>
  </si>
  <si>
    <t>ubiregi.com</t>
  </si>
  <si>
    <t>2015: 4</t>
  </si>
  <si>
    <t>112309-21P</t>
  </si>
  <si>
    <t>Keita Kido</t>
  </si>
  <si>
    <t>kido@ubiregi.com</t>
  </si>
  <si>
    <t>+81 (0)50 553 2660</t>
  </si>
  <si>
    <t>Quest Court Harajuku 3-59-4</t>
  </si>
  <si>
    <t>Sendagaya</t>
  </si>
  <si>
    <t>Shibuya</t>
  </si>
  <si>
    <t>151-0051</t>
  </si>
  <si>
    <t>+81 (0)36 730 2746</t>
  </si>
  <si>
    <t>info@ubiregi.com</t>
  </si>
  <si>
    <t>The company raised an undisclosed amount of venture funding from Salesforce Ventures and Nissay Capital on July 2, 2012.</t>
  </si>
  <si>
    <t>Kronos Fund, Nissay Capital, Salesforce Ventures, Voyage Ventures</t>
  </si>
  <si>
    <t>Nissay Capital(www.nissay-cap.co.jp), Voyage Ventures(voyage-ventures.com)</t>
  </si>
  <si>
    <t>51546-88</t>
  </si>
  <si>
    <t>UberMedia</t>
  </si>
  <si>
    <t>PostUp, TweetUp</t>
  </si>
  <si>
    <t>MaxPoint Interactive, Swirl, Fishbowl, Mobilewalla, Bridg, SweetIQ, Apsalar, Quantcast, GroundTruth, Punchh, Uberall, Sense360, Clavis Insight, Yext, PadSquad, mobileStorm, Tamoco, Unacast, Rocket Fuel, PlaceIQ, RetailNext, Aarki, Vistar Media, Synup, Gravy Analytics, Perion Network, Moasis Global, Cardlytics, Freckle IoT, Gimbal, Sparkfly, ThinkNear, SITO Mobile, Mobivity Holdings, True Data (Data Application), Blackfox, SessionM, Placed, Localytics, Millennial Media, Huge, Factual, Blis Media, Cuebiq, Blue Bite, BuzzShift, SinglePlatform, Weidert Group</t>
  </si>
  <si>
    <t>Developer of a mobile advertising platform designed to transform consumer decision data. The company's platform is a cross-screen mobile advertising platform that leverages social signals, interests and location history to reach consumers, enabling clients to solve real-world business objectives including customer conquests, improved in-store visits and increased sales.</t>
  </si>
  <si>
    <t>AdTech, Marketing Tech, Mobile, SaaS, TMT</t>
  </si>
  <si>
    <t>advertising application, online communication, online marketplace, real time search</t>
  </si>
  <si>
    <t>www.ubermedia.com</t>
  </si>
  <si>
    <t>60438-70P</t>
  </si>
  <si>
    <t>John Faieta</t>
  </si>
  <si>
    <t>john.faieta@ubermedia.com</t>
  </si>
  <si>
    <t>Pasadena, CA</t>
  </si>
  <si>
    <t>130 West Union Street</t>
  </si>
  <si>
    <t>Pasadena</t>
  </si>
  <si>
    <t>91103</t>
  </si>
  <si>
    <t>contact@ubermedia.com</t>
  </si>
  <si>
    <t>The company raised $8 million of Series F venture funding from Gordon Crawford, TriplePoint Capital, Breyer Capital and Blue Chip Venture on May 5, 2014, putting the company's pre-money valuation at $87.77 million. Mark Kingdon and other undisclosed individual investors also participated in the round.</t>
  </si>
  <si>
    <t>Accel, Betaworks, Blue Chip Venture, Breyer Capital, Burda Digital Ventures, Comcast Ventures, First Round Capital, Gordon Crawford, Idealab, Index Ventures (UK), Individual Investor, Jason Calacanis, Lerer Hippeau, Mark Kingdon, Revolution, Stephen Case, TriplePoint Capital</t>
  </si>
  <si>
    <t>Accel(www.accel.com), Betaworks(www.betaworks.com), Blue Chip Venture(www.bcvc.com), Breyer Capital(www.breyercapital.com), Burda Digital Ventures(www.burdadigital.de), Comcast Ventures(www.comcastventures.com), First Round Capital(www.firstround.com), Idealab(www.idealab.com), Index Ventures (UK)(www.indexventures.com), Jason Calacanis(www.calacanis.com), Lerer Hippeau(www.lererhippeau.com), Mark Kingdon(www.quixotic.ventures), Revolution(www.revolution.com), TriplePoint Capital(www.triplepointcapital.com)</t>
  </si>
  <si>
    <t>Venture Development Center(Consulting)</t>
  </si>
  <si>
    <t>54800-92</t>
  </si>
  <si>
    <t>uBeam</t>
  </si>
  <si>
    <t>NuCurrent, Energous, Ossia, WiTricity</t>
  </si>
  <si>
    <t>Provider of wireless charging system designed to transmits power to charge electronic devices over-the-air. The company's wireless charging system transmits power over the air, emits high-frequency sound through the air between 20 Hz and 20 kHz, emits sound far above the upper limit of human hearing, defined as ultrasound, enabling users to wirelessly charge their devices, such as cell phones and laptops using ultrasonic waves.</t>
  </si>
  <si>
    <t>Electronic Equipment and Instruments*, Other Hardware, Wireless Communications Equipment</t>
  </si>
  <si>
    <t>charging electronic gadgets, portable electronic, ultrasound technology, wireless electricity</t>
  </si>
  <si>
    <t>www.ubeam.com</t>
  </si>
  <si>
    <t>2014: 11, 2015: 22</t>
  </si>
  <si>
    <t>42152-59P</t>
  </si>
  <si>
    <t>Meredith Perry</t>
  </si>
  <si>
    <t>Co-Founder, Senior Advisor &amp; Board Member</t>
  </si>
  <si>
    <t>meredith@ubeam.com</t>
  </si>
  <si>
    <t>+1 (310) 564-8531</t>
  </si>
  <si>
    <t>Santa Monica, CA</t>
  </si>
  <si>
    <t>2210 Main Street</t>
  </si>
  <si>
    <t>Santa Monica</t>
  </si>
  <si>
    <t>90405</t>
  </si>
  <si>
    <t>The company raised $34.39 million of Series B venture funding from undisclosed investors on January 26, 2018, putting the company's pre-money valuation at $110 million.</t>
  </si>
  <si>
    <t>Andreessen Horowitz, Anthony Hsieh, B7, Beanstalk Ventures, Cane Investments, Daniel Gilbert, Elefund, Ellen Levy, Endeavor, Founders Fund, Infocus Capital Partners, Lab22, Ludlow Ventures, Lumia Capital, Machine Shop Ventures, Marissa Mayer, Mark Cuban, Patricia Hedley, Peter Diamandis, Shawn Fanning, Troy Carter, Tuesday Capital, Upfront Ventures, Weiss Tech House, WME Ventures, Wolfpack Ventures</t>
  </si>
  <si>
    <t>Andreessen Horowitz(www.a16z.com), B7(www.b7inc.com), Beanstalk Ventures(www.beanstalk.vc), Cane Investments(caneinvestments.com), Elefund(www.elefund.com), Endeavor(www.endeavorco.com), Founders Fund(www.foundersfund.com), Infocus Capital Partners(www.infocuscapitalpartners.com), Lab22(www.lab22.co), Ludlow Ventures(www.ludlowventures.com), Lumia Capital(www.lumiacapital.com), Machine Shop Ventures(www.machineshop.co), Peter Diamandis(www.diamandis.com), Tuesday Capital(www.tuesday.vc), Upfront Ventures(www.upfront.com), Weiss Tech House(weisstech.upenn.edu), WME Ventures(www.wmevc.com), Wolfpack Ventures(www.wolfpackventures.com)</t>
  </si>
  <si>
    <t>Orrick, Herrington &amp; Sutcliffe(Legal Advisor), OurCrowd(Lead Manager or Arranger)</t>
  </si>
  <si>
    <t>157321-54</t>
  </si>
  <si>
    <t>uAvionix</t>
  </si>
  <si>
    <t>Sandel Avionics</t>
  </si>
  <si>
    <t>Developer of drone technologies intended to enable airspace awareness. The company's drone technologies offer unmanned automatic dependent surveillance broadcast systems including a combination of hardware, software and real time airspace mapping which helps in operating of drones, enabling companies to safely and reliably operate drones in the NAS.</t>
  </si>
  <si>
    <t>Aerospace and Defense</t>
  </si>
  <si>
    <t>Aerospace and Defense*, Other Hardware, Other Software</t>
  </si>
  <si>
    <t>Industrials, Robotics and Drones, TMT</t>
  </si>
  <si>
    <t>drones technology, drones technology software, real time airspace mapping</t>
  </si>
  <si>
    <t>www.uavionix.com</t>
  </si>
  <si>
    <t>87720-13P</t>
  </si>
  <si>
    <t>Paul Beard</t>
  </si>
  <si>
    <t>paul@uavionix.com</t>
  </si>
  <si>
    <t>+1 (844) 827-2372</t>
  </si>
  <si>
    <t>380 Portage Avenue</t>
  </si>
  <si>
    <t>info@uavionix.com</t>
  </si>
  <si>
    <t>The company raised $7 million of Series B venture funding in a round led by Airbus Ventures on November 27, 2017, putting the company's pre-money valuation at an estimated $35 million. Playground Global and Redpoint Ventures also participated in this round. The company intends to use the funding to fuel the expansion of its product line and services in both unmanned and manned aviation. The company raised $10 million in total funding.</t>
  </si>
  <si>
    <t>Airbus Ventures, Playground Global, Redpoint Ventures</t>
  </si>
  <si>
    <t>Airbus Ventures(www.airbusventures.vc), Playground Global(www.playground.global), Redpoint Ventures(www.redpoint.com)</t>
  </si>
  <si>
    <t>160687-00</t>
  </si>
  <si>
    <t>Uavia</t>
  </si>
  <si>
    <t>Atmos UAV, SkySpecs, PrecisionHawk, Botlink, Airware, Sentera</t>
  </si>
  <si>
    <t>Developer of a cloud-based technology designed to manage fleets of robots and drone aircraft. The company's technology is used for the real-time, remote supervision of autonomous robots and drone fleets deployed at industrial sites, enabling industries to handle autonomous drones and robots fleets as well as to conduct aerial inspections and surveillance over long distances.</t>
  </si>
  <si>
    <t>Application Software, Other Commercial Products*</t>
  </si>
  <si>
    <t>Robotics and Drones, SaaS, TMT</t>
  </si>
  <si>
    <t>aerial inspection services, civilian drones, cloud-controlled drones, internet drones, robots and drones</t>
  </si>
  <si>
    <t>www.uavia.eu</t>
  </si>
  <si>
    <t>2016: 4, 2018: 20</t>
  </si>
  <si>
    <t>152600-50P</t>
  </si>
  <si>
    <t>Clément Christomanos</t>
  </si>
  <si>
    <t>clement.christomanos@uavia.eu</t>
  </si>
  <si>
    <t>+33 (0)6 86 10 24 99</t>
  </si>
  <si>
    <t>Vitry-sur-Seine, France</t>
  </si>
  <si>
    <t>37, rue des Malassis</t>
  </si>
  <si>
    <t>Vitry-sur-Seine</t>
  </si>
  <si>
    <t>94400</t>
  </si>
  <si>
    <t>contact@uavia.eu</t>
  </si>
  <si>
    <t>The company raised $2.5 million of seed funding from Airbus Ventures, Sofimac Innovation and Bpifrance on April 18, 2018. The funds will be used to scale commercial operations.</t>
  </si>
  <si>
    <t>Airbus Ventures, Bpifrance, EIT Digital, IMT Starter, Sofimac Investment Managers</t>
  </si>
  <si>
    <t>Airbus Ventures(www.airbusventures.vc), Bpifrance(www.bpifrance.fr), EIT Digital(www.eitdigital.eu), IMT Starter(www.imt-starter.fr), Sofimac Investment Managers(www.sofimac-im.com)</t>
  </si>
  <si>
    <t>97411-96</t>
  </si>
  <si>
    <t>u.Life Solutions</t>
  </si>
  <si>
    <t>u.Life</t>
  </si>
  <si>
    <t>Provider of community management services intended to improve the resident's quality of life. The company's services include smart and connected community managed services to businesses and residents in Songdo IBD, enabling people to avail services in a hassle free manner.</t>
  </si>
  <si>
    <t>Other Commercial Services*, Other Services (B2C Non-Financial)</t>
  </si>
  <si>
    <t>community managed services, community management, community management services, connected community, management services</t>
  </si>
  <si>
    <t>www.songdoulife.com</t>
  </si>
  <si>
    <t>Incheon, South Korea</t>
  </si>
  <si>
    <t>6-1, Songdo-dong</t>
  </si>
  <si>
    <t>Incheon</t>
  </si>
  <si>
    <t>Yeonsu-gu</t>
  </si>
  <si>
    <t>406-840</t>
  </si>
  <si>
    <t>The company raised an undisclosed amount of venture funding from Cisco Investments, New Songdo International City Development and Diomede Equity on July 4, 2011.</t>
  </si>
  <si>
    <t>Cisco Investments, Diomede Equity, LG CNS, New Songdo International City Development</t>
  </si>
  <si>
    <t>Cisco Investments(www.ciscoinvestments.com), LG CNS(www.lgcns.com)</t>
  </si>
  <si>
    <t>119355-22</t>
  </si>
  <si>
    <t>TuSimple</t>
  </si>
  <si>
    <t>EasyMile, Kodiak Robotics, Otto, Embark (Self Driving Trucks), Bestmile, Drive.ai, FiveAI, nuTonomy, Quanergy, AImotive, Comma.Ai, DeepScale, Nauto, Hailo Technologies, Aeva, Waymo</t>
  </si>
  <si>
    <t>Developer of camera-based computer vision technology intended to provide self-driving truck solutions. The company's technology and other sensors allow computers to view and perceive their surroundings just as human eyes do, allowing trucks to see over 1000 meters away at all times, enabling the commercial transportation industry to Increase safety, decrease transportation costs and reduce carbon emissions.</t>
  </si>
  <si>
    <t>Application Software*, Road</t>
  </si>
  <si>
    <t>autonomous drives, autonomous drives platform, autonomous drives technology, autonomous truck solutions, commercial transportation system, computer vision technology, truck solutions</t>
  </si>
  <si>
    <t>www.tusimple.com</t>
  </si>
  <si>
    <t>2017: 100, 2018: 400, 2019: 500</t>
  </si>
  <si>
    <t>151105-87P</t>
  </si>
  <si>
    <t>Xiaodi Hou</t>
  </si>
  <si>
    <t>Co-Founder, President &amp; Chief Technology Officer</t>
  </si>
  <si>
    <t>xiaodi@tusimple.com</t>
  </si>
  <si>
    <t>+1 (858) 230-6156</t>
  </si>
  <si>
    <t>9191 Towne Centre Drive</t>
  </si>
  <si>
    <t>92122</t>
  </si>
  <si>
    <t>+1 (858) 230-6147</t>
  </si>
  <si>
    <t>contact@tusimple.com</t>
  </si>
  <si>
    <t>The company raised $95 million of Series D venture funding in a deal led by Sina in December 2018, putting the company's pre-money valuation at $1 billion. Composite Capital Partners also participated in this round. The funds will be used by the company to expand its commercial fleet to 50 trucks by June from 11, which makes daily fully-autonomous deliveries in Arizona and soon in Texas, for large shippers and fleets, conduct joint production programs with its OEM, Tier 1 and sensor partners in order to achieve full commercialization.</t>
  </si>
  <si>
    <t>Composite Capital Partners, NVIDIA GPU Ventures, Plug and Play Tech Center, Sina, ZP Capital</t>
  </si>
  <si>
    <t>Plug and Play Tech Center(www.plugandplaytechcenter.com), Sina(www.sina.com)</t>
  </si>
  <si>
    <t>111254-32</t>
  </si>
  <si>
    <t>Turvo</t>
  </si>
  <si>
    <t>Temando, Elementum, FreightHub, ShipHawk, FourKites, Arrive Logistics, Transmetrics, Cargomatic, Flexport, Pacejet, Shippabo, Freight Tiger, Eveo, FreightBro, E2open</t>
  </si>
  <si>
    <t>Developer of a collaborative logistics platform designed to revolutionize the way things move by creating a standard way to share, communicate and collaborate in real time. The company's Turvo platform connects shippers, brokers and carriers to work together across the entire supply chain, enabling businesses make smarter, faster and more informed decisions.</t>
  </si>
  <si>
    <t>Business/Productivity Software, Communication Software*, Logistics</t>
  </si>
  <si>
    <t>collaborative logistics, collaborative logistics platform, logistic platform, logistic software, logistics platform</t>
  </si>
  <si>
    <t>www.turvo.com</t>
  </si>
  <si>
    <t>2016: 17, 2017: 50</t>
  </si>
  <si>
    <t>132629-86P</t>
  </si>
  <si>
    <t>Eric Gilmore</t>
  </si>
  <si>
    <t>eric@turvo.com</t>
  </si>
  <si>
    <t>+1 (650) 830-3500</t>
  </si>
  <si>
    <t>200 South Mathilda Avenue</t>
  </si>
  <si>
    <t>info@turvo.com</t>
  </si>
  <si>
    <t>The company raised $60 million of Series B venture funding in a deal led by Mubadala Investment Company on November 8, 2018, putting the company's pre-money valuation at $375 million. Activant Capital Group, Upside Partnership, Felicis Ventures, G2VP, Next47 and Future Shape also participated in the round.</t>
  </si>
  <si>
    <t>Aaron Levie, Activant Capital Group, Felicis Ventures, Firebolt Ventures, Future Shape, G2VP, Mubadala Investment Company, Next47, Ravi Venkatesan, Sina Kevin Nazemi, Slow Ventures, Upside Partnership</t>
  </si>
  <si>
    <t>Activant Capital Group(www.activantcapital.com), Felicis Ventures(www.felicis.com), Firebolt Ventures(www.fireboltventures.com), Future Shape(www.futureshapellc.com), G2VP(www.g2vp.com), Mubadala Investment Company(www.mubadala.com), Next47(Next47.com), Slow Ventures(www.slow.co), Upside Partnership(www.upsidevc.com)</t>
  </si>
  <si>
    <t>51391-00</t>
  </si>
  <si>
    <t>Turo</t>
  </si>
  <si>
    <t>RelayRides</t>
  </si>
  <si>
    <t>HiyaCar, DriveMyCar Rentals, MinbilDinbil, FlightCar, Drivy, Arrow Capital Management (Car Rentals), Carhood, Skurt, Ola, HyreCar, Zoomcar, Wunder Mobility, Like Chuxing, Cars Hare Ventures, Honcker, Koolicar, Atzuche, Beijing TOGO, Uber, Drover (Mobility-as-a-Service Platform), Wheelz, Carlease.com, Silvercar, Getaround, Zipcar</t>
  </si>
  <si>
    <t>Provider of an online car-rental marketplace designed to help users to rent a car from local car owners. The company's marketplace helps travelers to rent any car they want, from a vibrant community of local car owners, enabling car owners to earn extra money by renting out their car.</t>
  </si>
  <si>
    <t>Application Software, Automotive*, Information Services (B2C), Social/Platform Software</t>
  </si>
  <si>
    <t>Car-Sharing, Mobile</t>
  </si>
  <si>
    <t>car rental app, car rental marketplace, car rental platform, car shares, online carsharing</t>
  </si>
  <si>
    <t>www.turo.com</t>
  </si>
  <si>
    <t>2014: 47, 2015: 110, 2016: 147, 2017: 200</t>
  </si>
  <si>
    <t>39015-55P</t>
  </si>
  <si>
    <t>Andre Haddad</t>
  </si>
  <si>
    <t>andre@turo.com</t>
  </si>
  <si>
    <t>+1 (866) 735-2901</t>
  </si>
  <si>
    <t>116 New Montgomery Street</t>
  </si>
  <si>
    <t>7th Floor</t>
  </si>
  <si>
    <t>The company raised an undisclosed amount of venture funding from G Squared, MicroVentures and other undisclosed investors on December 31, 2018.</t>
  </si>
  <si>
    <t>American Express Ventures, August Capital, BMW i Ventures, Canaan Partners, DA Investments Company, Dave Balter, Expansion Venture Capital, Fontinalis Partners, Founders Circle Capital, G Squared, GV, Intact Ventures, Kevin Donahue, Kleiner Perkins, Liberty Mutual Strategic Ventures, Lisa Gansky, Maniv Mobility, MassChallenge, MicroVentures, Norwest Venture Partners, Red Swan Ventures, Ryan Melohn, SharesPost, Shasta Ventures, SK Group, Sumitomo Corporation of Americas, Tao Capital Partners, Trinity Ventures, Webb Investment Network</t>
  </si>
  <si>
    <t>GM Ventures</t>
  </si>
  <si>
    <t>August Capital(www.augustcap.com), BMW i Ventures(www.bmwiventures.com), Canaan Partners(www.canaan.com), Expansion Venture Capital(www.expansionvc.com), Fontinalis Partners(www.fontinalis.com), Founders Circle Capital(www.founderscircle.com), G Squared(www.gsquared.com), GV(www.gv.com), Kleiner Perkins(www.kleinerperkins.com), Liberty Mutual Strategic Ventures(welcome.libertymutual.com/innovation/ventures), Lisa Gansky(www.instigating.co/lisa-gansky), Maniv Mobility(www.maniv.com), MassChallenge(www.masschallenge.org), MicroVentures(www.microventures.com), Norwest Venture Partners(www.nvp.com), Red Swan Ventures(www.redswan.vc), SharesPost(www.sharespost.com), Shasta Ventures(www.shastaventures.com), SK Group(www.sk.com), Sumitomo Corporation of Americas(www.sumitomocorpofamericas.com), Tao Capital Partners(www.taocap.com), Trinity Ventures(www.trinityventures.com), Webb Investment Network(www.winfunding.com)</t>
  </si>
  <si>
    <t>GM Ventures(www.gmventures.com)</t>
  </si>
  <si>
    <t>53000-02</t>
  </si>
  <si>
    <t>Turbonomic</t>
  </si>
  <si>
    <t>VMTurbo</t>
  </si>
  <si>
    <t>RightScale, ConnectWise, CloudHealth Technologies, CloudCheckr, Aruba Networks, Actifio, Docker, Skyhigh Networks, DivvyCloud, Pluribus Networks, Netskope, Apprenda, Veeam, StorageCraft Technology, ioFabric, Delphix, Nasuni, Densify, Unitrends, Extreme Networks, Virtual Instruments, Sumo Logic, CloudVelox, Profisee, Cohesity, Acronis, Pivot3, Druva, Continuum Managed Services, Nuage Networks, Riversand, Rubrik, Imanis Data, Veritas Technologies, Pure Storage, Servosity, Xopero, Talend, Virtustream, Pivotal Software, Kazuhm, Illumio, E8 Storage, Axcient, CloudLock, SolarWinds, Datto</t>
  </si>
  <si>
    <t>Provider of a hybrid cloud management platform intended to provide on-premises and public cloud to self-manage in real-time. The company's platform includes patented decision engine which curates workload demand to dynamically control resource supply, maintaining a perpetual desired state of application health, enabling enterprises to accelerate their adoption of virtual, cloud and container deployments for all mission-critical applications.</t>
  </si>
  <si>
    <t>Automation/Workflow Software*, Business/Productivity Software, Network Management Software</t>
  </si>
  <si>
    <t>cloud management platform, cloud-based data, data management software, hybrid cloud, hybrid cloud management, virtualization management, workload automation</t>
  </si>
  <si>
    <t>www.turbonomic.com</t>
  </si>
  <si>
    <t>2013: 62, 2015: 340, 2016: 420, 2017: 400, 2018: 500</t>
  </si>
  <si>
    <t>38196-55P</t>
  </si>
  <si>
    <t>Mo Garad</t>
  </si>
  <si>
    <t>mo.garad@turbonomic.com</t>
  </si>
  <si>
    <t>+1 (844) 438-8872</t>
  </si>
  <si>
    <t>500 Boylston Street</t>
  </si>
  <si>
    <t>+1 (617) 948-1400</t>
  </si>
  <si>
    <t>The company was in talks to be acquired on an undisclosed date. Subsequently, the deal was cancelled.</t>
  </si>
  <si>
    <t>Bain Capital Ventures, Cisco Investments, General Atlantic, Globespan Capital Partners, Highland Capital Partners, ICONIQ Capital, Individual Investor, Red Hat, Trend Forward Capital</t>
  </si>
  <si>
    <t>Bain Capital Ventures(www.baincapitalventures.com), Cisco Investments(www.ciscoinvestments.com), General Atlantic(www.generalatlantic.com), Globespan Capital Partners(www.globespancapital.com), Highland Capital Partners(www.hcp.com), ICONIQ Capital(www.iconiqcapital.com), Red Hat(www.redhat.com), Trend Forward Capital(www.trendforward.com)</t>
  </si>
  <si>
    <t>Aranca(Consulting), Fama PR(Advisor: General), True Capital Partners(Advisor: General)</t>
  </si>
  <si>
    <t>Series E1</t>
  </si>
  <si>
    <t>54678-07</t>
  </si>
  <si>
    <t>TuneIn</t>
  </si>
  <si>
    <t>RadioTime</t>
  </si>
  <si>
    <t>Dash Radio, Slacker Radio, Rdio, Napster, Deezer, Earbits, Radionomy Group, 8tracks, Pandora Media, Stitcher, Sirius XM Radio</t>
  </si>
  <si>
    <t>Provider of an online radio application designed to get access to sports, music, talk and news streams from around the world. The company's TuneIn radio application offers access to AM, FM, HD Internet radio stations, and over five million podcasts streaming from every continent, as well as on-demand shows and programs, enabling listeners to discover, follow and listen to what's most important to them - from sports, to news, to music, to talk.</t>
  </si>
  <si>
    <t>Application Software, Broadcasting, Radio and Television*</t>
  </si>
  <si>
    <t>audio streaming, audio streaming content, global radio, internet radio, local radio, on demand program, on demand radio, podcast directory, radio access, sports radio, streaming audio, streaming audio content, talk radio</t>
  </si>
  <si>
    <t>www.tunein.com</t>
  </si>
  <si>
    <t>2014: 153, 2016: 192</t>
  </si>
  <si>
    <t>41889-34P</t>
  </si>
  <si>
    <t>John Donham</t>
  </si>
  <si>
    <t>john@tunein.com</t>
  </si>
  <si>
    <t>+1 (650) 319-7100</t>
  </si>
  <si>
    <t>210 King Street</t>
  </si>
  <si>
    <t>The company is rumored to be in talks regarding a potential acquisition for $500 million on June 21, 2018. Earlier, the company raised $50 million of Series G venture funding in a deal led by Comcast Ventures, Innovation Endeavors Israel and IVP on August 11, 2017, putting the company's pre-money valuation at $450 million. GV, Evolution Media, Causeway Media Partners, Expanding Capital, Sequoia Capital and General Catalyst also participated in the round. The company is being actively tracked by PitchBook.</t>
  </si>
  <si>
    <t>Causeway Media Partners, Comcast Ventures, Evolution Media, Expanding Capital, General Catalyst, Graph Ventures, GV, ICCP Venture Partners, Icon Ventures, IVP, Marker, Motus Ventures, Sequoia Capital, Startup Capital Ventures, Tech Ventures, True Ventures</t>
  </si>
  <si>
    <t>Causeway Media Partners(www.causewaymp.com), Comcast Ventures(www.comcastventures.com), Evolution Media(www.evolutionmedia.com), Expanding Capital(www.xcap.vc), General Catalyst(www.generalcatalyst.com), Graph Ventures(www.graphventures.com), GV(www.gv.com), ICCP Venture Partners(www.iccpventurepartners.com), Icon Ventures(www.iconventures.com), IVP(www.ivp.com), Marker(www.marker-llc.com), Motus Ventures(www.motusventures.com), Sequoia Capital(www.sequoiacap.com), Startup Capital Ventures(startupcv.com), True Ventures(www.trueventures.com)</t>
  </si>
  <si>
    <t>Daversa Partners(Consulting), Fenwick &amp; West(Legal Advisor), Goodwin(Legal Advisor), Wilson Sonsini Goodrich &amp; Rosati(Legal Advisor)</t>
  </si>
  <si>
    <t>Fenwick &amp; West(Legal Advisor), Goodwin(Legal Advisor)</t>
  </si>
  <si>
    <t>59277-70</t>
  </si>
  <si>
    <t>Tulip</t>
  </si>
  <si>
    <t>JDA Software Group, Shopgate, Onbile, Mi9 Retail, Localytics, Velti, Mobify, Optimizely, ContentSquare, Usabilla, PredictSpring, Mad Mobile, Cegid Group, Salesforce Commerce Cloud, Aptos, SAP, Apptentive, Mowingo, Hipmob, Vamos, NetSuite, Lily AI</t>
  </si>
  <si>
    <t>Developer of a mobile commerce platform designed to help physical retailers to thrive in the digital age. The company's platform harnesses the power of advanced mobile technology to deliver a simple-to-use application for store associates to look up products, manage customer information, check out shoppers, and communicate with clients, enabling stores to elevate the shopping experience, increase sales and improve customer service.</t>
  </si>
  <si>
    <t>Internet of Things, Mobile, Mobile Commerce, SaaS, TMT</t>
  </si>
  <si>
    <t>mobile application platform, mobile commerce platform, mobile platform, retail platform, retail stores management</t>
  </si>
  <si>
    <t>www.tulip.com</t>
  </si>
  <si>
    <t>2013: 20, 2014: 15, 2016: 25, 2017: 120, 2018: 190</t>
  </si>
  <si>
    <t>39953-80P</t>
  </si>
  <si>
    <t>Ali Asaria</t>
  </si>
  <si>
    <t>ali@tulipretail.ca</t>
  </si>
  <si>
    <t>+1 (416) 479-9681</t>
  </si>
  <si>
    <t>1 York Street</t>
  </si>
  <si>
    <t>Suite 1501</t>
  </si>
  <si>
    <t>M5J 0B6</t>
  </si>
  <si>
    <t>The company raised $40 million of Series B venture funding in a deal led by Kleiner Perkins Caufield &amp; Byers on May 3, 2018. Salesforce Ventures, XDL Capital Group, Uncork Capital, and Jump Capital also participated in this round. The funds will be used to focus primarily on international growth and to invest in innovation and resources.</t>
  </si>
  <si>
    <t>Acequia Capital, Align Ventures, BoxGroup, BufferBox, C100 Association, Canadian Technology Accelerator, Commerce Ventures, David Tisch, Founder Collective, Fung Capital, Greg Kidd, Hard Yaka, Inovia Capital, Jérémie Berrebi, Jump Capital, Kima Ventures, Kleiner Perkins, Lerer Hippeau, Math Venture Partners, Matthew Mullenweg, Michael McCauley, OneEleven, Promus Ventures, Salesforce Ventures, The Lazaridis Institute, Uncork Capital, XDL Capital Group</t>
  </si>
  <si>
    <t>Acequia Capital(acecap.com), Align Ventures(www.align.vc), BoxGroup(www.boxgroup.com), BufferBox(www.bufferbox.com), C100 Association(www.thec100.org), Canadian Technology Accelerator(www.ctaconnects.com), Commerce Ventures(www.commercevc.com), David Tisch(www.davidtisch.com), Founder Collective(www.foundercollective.com), Fung Capital(www.fungcap.com), Hard Yaka(www.hardyaka.com), Inovia Capital(www.inovia.vc), Jérémie Berrebi(www.berrebi.org), Jump Capital(www.jumpcap.com), Kima Ventures(www.kimaventures.com), Kleiner Perkins(www.kleinerperkins.com), Lerer Hippeau(www.lererhippeau.com), Math Venture Partners(www.mathventurepartners.com), Matthew Mullenweg(www.ma.tt), OneEleven(www.oneeleven.com), Promus Ventures(www.promusventures.com), The Lazaridis Institute(lazaridisinstitute.wlu.ca), Uncork Capital(www.uncorkcapital.com), XDL Capital Group(www.xdl.com)</t>
  </si>
  <si>
    <t>52785-01</t>
  </si>
  <si>
    <t>Tula Technology</t>
  </si>
  <si>
    <t>Achates Power, Transonic Combustion, Protean Electric</t>
  </si>
  <si>
    <t>Developer of power management systems designed to bring improvement in fuel efficiency and greenhouse gas emissions in the traditional internal combustion engine. The company's systems provide an extension of cylinder deactivation technology, so that any or all of the cylinders are fired or skipped, in a continuously variable manner, enabling customers to maintain improved fuel economy labels on vehicles and also helps the environment save up to one ton of carbon dioxide annually per vehicle.</t>
  </si>
  <si>
    <t>Artificial Intelligence &amp; Machine Learning, Oil &amp; Gas, TMT</t>
  </si>
  <si>
    <t>advances digital signal processing, automotive engine control, digital signal processing, dynamic skip fire, fuel efficiency system, proven cylinders deactivation</t>
  </si>
  <si>
    <t>www.tulatech.com</t>
  </si>
  <si>
    <t>44706-88P</t>
  </si>
  <si>
    <t>R. Scott Bailey</t>
  </si>
  <si>
    <t>scott@tulatech.com</t>
  </si>
  <si>
    <t>+1 (408) 708-7500</t>
  </si>
  <si>
    <t>2460 Zanker Road</t>
  </si>
  <si>
    <t>95131</t>
  </si>
  <si>
    <t>+1 (408) 708-7501</t>
  </si>
  <si>
    <t>info@tula-tech.com</t>
  </si>
  <si>
    <t>The company raised an undisclosed amount of Series E venture funding from Franklin Templeton Investments in September 2017.</t>
  </si>
  <si>
    <t>Aptiv, Franklin Templeton Investments, General Motors, GM Ventures, Khosla Ventures, Sequoia Capital, Sigma Partners, TriplePoint Capital</t>
  </si>
  <si>
    <t>Aptiv(www.aptiv.com), Franklin Templeton Investments(www.franklinresources.com), General Motors(www.gm.com), GM Ventures(www.gmventures.com), Khosla Ventures(www.khoslaventures.com), Sequoia Capital(www.sequoiacap.com), Sigma Partners(www.sigmapartners.com), TriplePoint Capital(www.triplepointcapital.com)</t>
  </si>
  <si>
    <t>GCA Advisors(Advisor: General), Wilson Sonsini Goodrich &amp; Rosati(Legal Advisor)</t>
  </si>
  <si>
    <t>11319-04</t>
  </si>
  <si>
    <t>TTV Capital</t>
  </si>
  <si>
    <t>Total Technology Ventures</t>
  </si>
  <si>
    <t>TTV</t>
  </si>
  <si>
    <t>Provider of venture financing services for fintech companies. The company invests in technology-enabled financial services companies and partners with the entrepreneurs and provide them with the resources and support they need to build businesses.</t>
  </si>
  <si>
    <t>Capital Markets/Institutions</t>
  </si>
  <si>
    <t>Other Financial Services, Private Equity*</t>
  </si>
  <si>
    <t>FinTech, TMT</t>
  </si>
  <si>
    <t>early stage funding, venture capital firm, venture financing</t>
  </si>
  <si>
    <t>www.ttvcapital.com</t>
  </si>
  <si>
    <t>18196-03P</t>
  </si>
  <si>
    <t>Mark Johnson</t>
  </si>
  <si>
    <t>General Partner</t>
  </si>
  <si>
    <t>mjohnson@ttvcapital.com</t>
  </si>
  <si>
    <t>+1 (404) 347-8400</t>
  </si>
  <si>
    <t>1230 Peachtree Street North East</t>
  </si>
  <si>
    <t>Suite 1150</t>
  </si>
  <si>
    <t>30309</t>
  </si>
  <si>
    <t>+1 (404) 347-8420</t>
  </si>
  <si>
    <t>info@ttvcapital.com</t>
  </si>
  <si>
    <t>The company raised $3 million of venture funding from Georgia State Government on January 4, 2016.</t>
  </si>
  <si>
    <t>Aflac Ventures, Georgia State Government</t>
  </si>
  <si>
    <t>Aflac Ventures(www.aflacventures.com)</t>
  </si>
  <si>
    <t>AI Partners Executive Search(Advisor: General)</t>
  </si>
  <si>
    <t>156118-06</t>
  </si>
  <si>
    <t>Tsofun</t>
  </si>
  <si>
    <t>Developer of algorithms designed to boost the performance of communication and storage systems. The company's algorithms are based on an advanced mathematical approach for the design and implementation of Error-Correction-Codes (ECC), enabling users to improve the performance of communication and storage systems, create a leap in throughput, power consumption and latency.</t>
  </si>
  <si>
    <t>Business/Productivity Software, Connectivity Products*, Telecommunications Service Providers</t>
  </si>
  <si>
    <t>algorithm, cellular communication, telecom equipment, telecommunication product</t>
  </si>
  <si>
    <t>www.tsofun.com</t>
  </si>
  <si>
    <t>2016: 8</t>
  </si>
  <si>
    <t>131613-22P</t>
  </si>
  <si>
    <t>Dovi Farkash</t>
  </si>
  <si>
    <t>dovif@tsofun.com</t>
  </si>
  <si>
    <t>+972 (0)3 300 4840</t>
  </si>
  <si>
    <t>Tel Aviv-Yafo, Israel</t>
  </si>
  <si>
    <t>Raul Wallenberg 24 Street</t>
  </si>
  <si>
    <t>Tel Aviv-Yafo</t>
  </si>
  <si>
    <t>info@tsofun.com</t>
  </si>
  <si>
    <t>The company raised an undisclosed amount of venture funding from Altair Capital. DRW Venture Capital also participated.</t>
  </si>
  <si>
    <t>AltaIR Capital, DRW Venture Capital</t>
  </si>
  <si>
    <t>AltaIR Capital(www.altair.vc), DRW Venture Capital(www.drwvc.com)</t>
  </si>
  <si>
    <t>227052-46</t>
  </si>
  <si>
    <t>TruU</t>
  </si>
  <si>
    <t>Developer of a converged security platform designed to securely authenticate users in the digital world. The company's platform leverages artificial intelligence, biometrics and interactions to automatically monitor and analyze user behaviors across digital and physical mediums continuously in real-time, enabling businesses to operate with full confidence that access to corporate resources is only granted to the right individuals.</t>
  </si>
  <si>
    <t>Artificial Intelligence &amp; Machine Learning, Industrials, TMT</t>
  </si>
  <si>
    <t>identity platform, user behavior analyitcs, user behavior analysis, user behavior intelligence, user identification platform</t>
  </si>
  <si>
    <t>www.truu.ai</t>
  </si>
  <si>
    <t>87471-82P</t>
  </si>
  <si>
    <t>Lucas Budman</t>
  </si>
  <si>
    <t>Founder, Chief Technology Officer &amp; Board Member</t>
  </si>
  <si>
    <t>lucas@truu.io</t>
  </si>
  <si>
    <t>720 University Avenue</t>
  </si>
  <si>
    <t>info@truu.io</t>
  </si>
  <si>
    <t>The company raised an estimated $3.3 million through the combination of Seed 2 and Seed 3 funding from Stanley Ventures and The CXO Fund on April 26, 2019, putting the company's pre-money valuation at $16 million.</t>
  </si>
  <si>
    <t>Gary Gauba, Stanley Ventures, The CXO Fund, The Hive</t>
  </si>
  <si>
    <t>Stanley Ventures(www.stanleyventures.com), The CXO Fund(www.thecxofund.com), The Hive(www.hivedata.com)</t>
  </si>
  <si>
    <t>62193-70</t>
  </si>
  <si>
    <t>TruTag Technologies</t>
  </si>
  <si>
    <t>Nanotech Security, Sproxil</t>
  </si>
  <si>
    <t>Developer of a technology designed to provide product authentication and brand protection. The company's technology is dedicated to the development of precision-fabricated nano-porous silica for a variety of applications and security services, including product identity for pharmaceutical and nutraceutical companies, secure labels and documents and precision drug delivery systems, enabling businesses to apply the technology to a broad array of market applications from medical diagnostics to machine vision.</t>
  </si>
  <si>
    <t>Electronic Components, Logistics*, Security Services (B2B)</t>
  </si>
  <si>
    <t>branding protection, microtags, product authentication, product counterfeiting, quality assurance</t>
  </si>
  <si>
    <t>www.trutags.com</t>
  </si>
  <si>
    <t>2014: 16, 2016: 31</t>
  </si>
  <si>
    <t>64342-27P</t>
  </si>
  <si>
    <t>Peter Wong</t>
  </si>
  <si>
    <t>Chief Operating Officer</t>
  </si>
  <si>
    <t>+1 (808) 878-8247</t>
  </si>
  <si>
    <t>Kapolei, HI</t>
  </si>
  <si>
    <t>2045 Lauwiliwili Street</t>
  </si>
  <si>
    <t>Unit 301</t>
  </si>
  <si>
    <t>Kapolei</t>
  </si>
  <si>
    <t>Hawaii</t>
  </si>
  <si>
    <t>96707</t>
  </si>
  <si>
    <t>+1 (808) 380-2223</t>
  </si>
  <si>
    <t>info@trutags.com</t>
  </si>
  <si>
    <t>The company raised $16.8 million of Series A venture funding from Skai Ventures, DiNova Venture Capital and U.S. Army Medical Research &amp; Material Command on June 11, 2014, putting the company's pre-money valuation at $15.7 million. It also raised an undisclosed amount of financing from WuXi Healthcare Investment Consulting (Shanghai) on April 3, 2014.</t>
  </si>
  <si>
    <t>DiNova Venture Capital, Presidio Ventures, Skai Ventures, U.S. Army Medical Research &amp; Material Command, WuXi Healthcare Ventures</t>
  </si>
  <si>
    <t>DiNova Venture Capital(www.dinovacapital.com), Presidio Ventures(www.presidio-ventures.com), Skai Ventures(www.skaiventures.com), WuXi Healthcare Ventures(www.wuxiventures.com)</t>
  </si>
  <si>
    <t>93116-62</t>
  </si>
  <si>
    <t>TrueAccord</t>
  </si>
  <si>
    <t>Moneytor, Hummingbill</t>
  </si>
  <si>
    <t>Developer of an automated debt-collection platform designed to fundamentally change the debt collection process. The company's debt-collection platform uses behavioral analytics, machine learning, modern communication through an omni-channel and digital collections, enabling creditors to improve recovery rates and reduce compliance risk while ensuring they maintain their brand by reducing contact frequency and adapting to consumers' behavior.</t>
  </si>
  <si>
    <t>Artificial Intelligence &amp; Machine Learning, Big Data, FinTech, TMT</t>
  </si>
  <si>
    <t>debt collection agency, debt recovery, debt recovery platform, digital collection, payment processing</t>
  </si>
  <si>
    <t>www.trueaccord.com</t>
  </si>
  <si>
    <t>2014: 11, 2016: 32, 2017: 80</t>
  </si>
  <si>
    <t>45098-38P</t>
  </si>
  <si>
    <t>Ohad Samet</t>
  </si>
  <si>
    <t>ohad@trueaccord.com</t>
  </si>
  <si>
    <t>+1 (866) 611-2731</t>
  </si>
  <si>
    <t>303 2nd Street</t>
  </si>
  <si>
    <t>Suite 750, South Tower</t>
  </si>
  <si>
    <t>hello@trueaccord.com</t>
  </si>
  <si>
    <t>The company raised $22 million of Series B venture funding led by Arbor Ventures on November 13, 2017. Nyca Investment Partnership, Assurant Growth Investing, Caffeinated Capital Fund, Felicis Venture, TenOneTen and Crystal Towers also participated in this round. The company intends to use the funds for ongoing product development and innovation of its customer-focused platform, providing audit and compliance functionality, continued expansion into vertical markets, client acquisition and retention, and hiring.</t>
  </si>
  <si>
    <t>Arbor Ventures, Assurant Growth Investing, Benjamin Ling, BoxGroup, Bryan Johnson, Caffeinated Capital, Capital One Growth Ventures, Felicis Ventures, Homebrew, Hunter Walk, Ilya Sukhar, James Pallotta, Khosla Ventures, Lee Linden, Matt Humphrey, Max Levchin, Michael Liou, Nyca Partners, Plug and Play Tech Center, Raymond Tonsing, TenOneTen Ventures, Tikhon Bernstam, Trusted Insight, Webb Investment Network</t>
  </si>
  <si>
    <t>Arbor Ventures(www.arborventures.com), Assurant Growth Investing(www.assurantgrowthinvesting.com), BoxGroup(www.boxgroup.com), Bryan Johnson(bryanjohnson.co), Caffeinated Capital(www.caffeinatedcapital.com), Capital One Growth Ventures(growthventures.capitalone.com), Felicis Ventures(www.felicis.com), Homebrew(www.homebrew.co), Ilya Sukhar(ilya.sukhar.com), Khosla Ventures(www.khoslaventures.com), Max Levchin(www.levchin.com), Nyca Partners(www.nyca.com), Plug and Play Tech Center(www.plugandplaytechcenter.com), Raymond Tonsing(www.angel.co/tonsing), TenOneTen Ventures(www.tenoneten.net), Trusted Insight(www.thetrustedinsight.com), Webb Investment Network(www.winfunding.com)</t>
  </si>
  <si>
    <t>115458-40</t>
  </si>
  <si>
    <t>True Made Foods</t>
  </si>
  <si>
    <t>Red Duck Foods, Sky Valley Foods, Annie's Naturals, Sir Kensington's, Stonewall Kitchen, Stubb's Legendary Kitchen, Conagra Brands, Heinz USA, Rufus Teague</t>
  </si>
  <si>
    <t>Producer of natural food condiments designed to offer healthier products made from real vegetables. The company's condiments produce nutrient-dense products such as ketchup, barbeque sauce, and sriracha in a healthy form, by removing traditionally-used corn syrup and adding real vegetables to the process to cut and eliminate added sugars, enabling customers to have chemical free food items with lesser side effects.</t>
  </si>
  <si>
    <t>Food Products*, Internet Retail</t>
  </si>
  <si>
    <t>food condiments, nutrient-dense product, nutritional food product, real vegetables</t>
  </si>
  <si>
    <t>www.truemadefoods.com</t>
  </si>
  <si>
    <t>2015: 1, 2016: 3, 2017: 4, 2018: 3</t>
  </si>
  <si>
    <t>103393-99P</t>
  </si>
  <si>
    <t>Abraham Kamark</t>
  </si>
  <si>
    <t>abraham@truefoods.me</t>
  </si>
  <si>
    <t>+1 (508) 649-1677</t>
  </si>
  <si>
    <t>Alexandria, VA</t>
  </si>
  <si>
    <t>625 North Washington Street</t>
  </si>
  <si>
    <t>Suite 625</t>
  </si>
  <si>
    <t>Alexandria</t>
  </si>
  <si>
    <t>22314</t>
  </si>
  <si>
    <t>The company is in the process of raising $2 million of venture funding from undisclosed investors on August 9, 2018. The new capital would propel the company as it expands further into food service and retail, both through conventional channels and in the natural and specialty store space. Prior to that, the company joined SOSV as part of its SOSV Food-X Accelerator, 2015 Spring Class on May 26, 2015 and received $50,000 in funding. The company is being actively tracked by PitchBook.</t>
  </si>
  <si>
    <t>Black Jays Investments, Capitol Post, Central Texas Angel Network, CircleUp Network, Hivers &amp; Strivers, JAB Brands, New York Angels, SOSV, The University of Texas at Austin Endowment</t>
  </si>
  <si>
    <t>Black Jays Investments(www.blackjays.vc), Capitol Post(www.thecapitolpost.com), Central Texas Angel Network(www.centraltexasangelnetwork.com), CircleUp Network(www.circleup.com), Hivers &amp; Strivers(www.hiversandstrivers.com), New York Angels(www.newyorkangels.com), SOSV(www.sosv.com), The University of Texas at Austin Endowment(www.utexas.edu)</t>
  </si>
  <si>
    <t>Perkins Coie(Legal Advisor), TD Bank(General Business Banking), Wiss &amp; Company(Auditor)</t>
  </si>
  <si>
    <t>Perkins Coie(Legal Advisor)</t>
  </si>
  <si>
    <t>Capitalization</t>
  </si>
  <si>
    <t>185554-54</t>
  </si>
  <si>
    <t>Tropic Biosciences</t>
  </si>
  <si>
    <t>Benson Hill Biosystems, Phytelligence</t>
  </si>
  <si>
    <t>Developer of tropical crops designed to meet nutritional demands and to support the sustainable development of growing local communities. The company's crops are produced using cutting edge non-GMO gene editing techniques to produce crops like coffee and banana, enabling consumers to get organic crops and meet unmet demands.</t>
  </si>
  <si>
    <t>Materials and Resources</t>
  </si>
  <si>
    <t>Agriculture</t>
  </si>
  <si>
    <t>Cultivation</t>
  </si>
  <si>
    <t>Cultivation*</t>
  </si>
  <si>
    <t>AgTech, TMT</t>
  </si>
  <si>
    <t>crop cultivation, crop growing, crop harvesting, tropical crop harvesting</t>
  </si>
  <si>
    <t>www.tropicbioscience.com</t>
  </si>
  <si>
    <t>2017: 4, 2018: 17</t>
  </si>
  <si>
    <t>161490-52P</t>
  </si>
  <si>
    <t>Gilad Gershon</t>
  </si>
  <si>
    <t>gilad@tropicbioscience.com</t>
  </si>
  <si>
    <t>+44 (0)16 0367 3600</t>
  </si>
  <si>
    <t>Norwich, United Kingdom</t>
  </si>
  <si>
    <t>Norwich Research Park</t>
  </si>
  <si>
    <t>Norwich</t>
  </si>
  <si>
    <t>NR4 7UG</t>
  </si>
  <si>
    <t>info@tropicbioscience.com</t>
  </si>
  <si>
    <t>The company raised $10 million of Series A venture funding in a deal led by Pontifax Agtech and Five Seasons Ventures on June 13, 2018. Tekfen Ventures, Gigi Levy-Weiss, Antonio Moreira Salles Family Office, Emerald Technology Ventures, Midven (Birmingham), Bits x Bites, UK Innovation &amp; Science Seed Fund and other undisclosed investors also participated in the round. The funding will be used to commercialize its novel non-GMO coffee and banana varieties, globally expand into additional promising crop segments, to drive regulatory approval processes for these plant varieties, continue developing proprietary technologies for use in the development of novel plant varieties and expand its efforts to additional, globally critical crop varieties beyond coffee and bananas.</t>
  </si>
  <si>
    <t>Antonio Moreira Salles Family Office, Bits x Bites, Emerald Technology Ventures, Five Seasons Ventures, Gigi Levy-Weiss, Midven (Birmingham), Pontifax Agtech, Tekfen Ventures, UK Innovation &amp; Science Seed Fund</t>
  </si>
  <si>
    <t>Bits x Bites(www.bitsxbites.com), Emerald Technology Ventures(www.emerald-ventures.com), Five Seasons Ventures(www.fiveseasons.vc), Midven (Birmingham)(www.midven.co.uk), Pontifax Agtech(www.pontifaxagtech.com), Tekfen Ventures(www.tekfenventures.com), UK Innovation &amp; Science Seed Fund(www.ukinnovationscienceseedfund.co.uk)</t>
  </si>
  <si>
    <t>162130-06</t>
  </si>
  <si>
    <t>Trillium Secure (IoT Automotive Cyber Security SaaS)</t>
  </si>
  <si>
    <t>Karamba Security, Blackberry, Argus Cyber Security, Symantec, Escrypt, Rambus</t>
  </si>
  <si>
    <t>Provider of life cycle protection for vehicles and fleets. The company focuses on transportation safety and information security. Its offerings include lightweight encryption, authentication, cryptographic key management, IDS/IPS and secure, over-the-air software update technology under the Trillium, SecureIoT, SecureCAR, SecureIXS, SecureOTA and SecureSKYE trademarks. The company is expanding its target markets beyond transportation systems, to include cybersecurity for factory automation, medical, aerospace and robotics applications.</t>
  </si>
  <si>
    <t>Cybersecurity, Internet of Things, TMT</t>
  </si>
  <si>
    <t>automotive cyber security, automotive security system, cloud server, cryptographic, cyber attack, cyber security, cyber security as a service, cyber security software, cyber security system, data analytics, firewall, idps, insurance software, insurance software developer, internet of things, internet of things system, intrusion detection, intrusion detection software, intrusion prevention, intrusion prevention software, intrusion prevention software solutions, in-vehicle network, ivn protection, ota, over-the-air updates, security as a service, security software</t>
  </si>
  <si>
    <t>www.trilliumcyber.com</t>
  </si>
  <si>
    <t>2017: 31</t>
  </si>
  <si>
    <t>139482-91P</t>
  </si>
  <si>
    <t>David Uze</t>
  </si>
  <si>
    <t>david.uze@trilliumcyber.com</t>
  </si>
  <si>
    <t>+1 (650) 272-6868</t>
  </si>
  <si>
    <t>contact@trilliumcyber.com</t>
  </si>
  <si>
    <t>The company raised $11 million of venture funding in a round led by Jafco on May 11, 2018. Airbus Ventures, Deutsche Bahn Digital Ventures, Mitsubishi UFJ Capital, Tokyo Century Corporation and Plug and Play Ventures also participated in the round. This puts the company's pre-money valuation at $60 million. The company intends to use the funds for expanding its product engineering, sales &amp; marketing and customer support services to meet its rapidly growing global base of customers, partners and project deployments. The company raised $15 million in total funding.</t>
  </si>
  <si>
    <t>Airbus Ventures, DBJ Capital, Deutsche Bahn Digital Ventures, Global Brain, Jafco, Mitsubishi UFJ Capital, Mizuho Capital Partners, Plug and Play Tech Center, Tokyo Century</t>
  </si>
  <si>
    <t>Airbus Ventures(www.airbusventures.vc), DBJ Capital(www.dbj-cap.jp), Deutsche Bahn Digital Ventures(www.deutschebahnventures.de), Global Brain(www.globalbrains.com), Jafco(www.jafco.co.jp), Mitsubishi UFJ Capital(www.mucap.co.jp), Plug and Play Tech Center(www.plugandplaytechcenter.com), Tokyo Century(www.tokyocentury.co.jp)</t>
  </si>
  <si>
    <t>43024-15</t>
  </si>
  <si>
    <t>Trilliant</t>
  </si>
  <si>
    <t>Provider of a smart grid communication platform designed to address modern energy challenges. The company's smart grid communication platform offers scalable, secure, meter-independent and multi-technology smart grid communications, enabling utilities and energy providers to deliver reliable, clean and affordable energy to their customers.</t>
  </si>
  <si>
    <t>Other Communications and Networking, Wireless Communications Equipment*</t>
  </si>
  <si>
    <t>CleanTech, Impact Investing, Internet of Things, TMT</t>
  </si>
  <si>
    <t>communication platform, electric utility, impact investing vertical, smart grid, smart grid communication platform, wireless mesh</t>
  </si>
  <si>
    <t>www.trilliant.com</t>
  </si>
  <si>
    <t>2014: 181, 2015: 201, 2016: 230</t>
  </si>
  <si>
    <t>FY 2007</t>
  </si>
  <si>
    <t>35426-71P</t>
  </si>
  <si>
    <t>Andrew White</t>
  </si>
  <si>
    <t>andy.white@trilliantinc.com</t>
  </si>
  <si>
    <t>+1 (650) 204-5050</t>
  </si>
  <si>
    <t>Cary, NC</t>
  </si>
  <si>
    <t>401 Harrison Oaks Boulevard</t>
  </si>
  <si>
    <t>Cary</t>
  </si>
  <si>
    <t>North Carolina</t>
  </si>
  <si>
    <t>27513</t>
  </si>
  <si>
    <t>+1 (919) 495-6111</t>
  </si>
  <si>
    <t>info@trilliantinc.com</t>
  </si>
  <si>
    <t>The company completed a debt refinancing of an undisclosed amount in 2015. BMO Harris provided senior debt financing to the company. Previously, the company received an undisclosed amount of venture funding from UMC Capital on January 1, 2011.</t>
  </si>
  <si>
    <t>ABB Technology Ventures, GE Ventures, Hercules Capital, MissionPoint Partners, Patricia Industries, Selby Ventures, UMC Capital, VantagePoint Capital Partners, Zouk Capital</t>
  </si>
  <si>
    <t>GE Ventures(www.geventures.com), Hercules Capital(www.htgc.com), MissionPoint Partners(www.mppgrp.com), Patricia Industries(www.patriciaindustries.com), Selby Ventures(www.selbyventures.com), UMC Capital(www.umccapital.com), VantagePoint Capital Partners(www.vpcp.com), Zouk Capital(www.zouk.com)</t>
  </si>
  <si>
    <t>Bingham McCutchen(Legal Advisor)</t>
  </si>
  <si>
    <t>Bingham McCutchen(Legal Advisor), BMO Harris Bank(Debt Financing), Deutsche Bank(Debt Financing), Hercules Capital(Debt Financing)</t>
  </si>
  <si>
    <t>Debt Refinancing</t>
  </si>
  <si>
    <t>55369-99</t>
  </si>
  <si>
    <t>Trifacta</t>
  </si>
  <si>
    <t>RapidMiner, Paxata, Datameer, Cambridge Semantics, Datorama, Domo, GoodData, Clearbit, Radius (Database Software), Birst, Datum (Maryland), Stardog Union, Waterline Data, Collibra, Ryft, Ab Initio, ReachForce, Enreach Solutions, Sisense, Looker, Matillion, Attivio, Exasol, Alation, Origami Logic, Feature Labs, MapR, Fivetran, Syncsort, Riversand, Sumo Logic, Elasticsearch, Graylog, ThoughtSpot, RedPoint Global, Platfora, DataStax, Unifi (Data Platform), Beckon, Striim, Databricks, Dataiku, Podium Data, Zaloni, StreamSets, Diyotta, Skytree, Koverse, Alooma, XPatterns, EverString, Ngdata, OpenLink Software, Datascience.com, InfluxData, Confluent, Tamr, Talend, Datical, Tellius, Splunk, Couchbase, Grafana Labs, Cask, Informatica, Vertica Systems, Alteryx</t>
  </si>
  <si>
    <t>Developer of a platform created to radically improve the efficiency of wrangling data. The company draws on decades of academic research in machine learning and data visualization to make the process of preparing data faster and more intuitive, enabling their clients to save time, reduce end-to-end reporting time and accelerate customer on-boarding.</t>
  </si>
  <si>
    <t>Business/Productivity Software, Database Software*, Media and Information Services (B2B)</t>
  </si>
  <si>
    <t>analytics software, cloud, crosses platform interface, data preparation, data wrangling, hadoop analytics, relational database, saas</t>
  </si>
  <si>
    <t>www.trifacta.com</t>
  </si>
  <si>
    <t>2013: 22, 2014: 37, 2016: 102, 2017: 102, 2018: 161, 2019: 180</t>
  </si>
  <si>
    <t>61640-11P</t>
  </si>
  <si>
    <t>Adam Wilson</t>
  </si>
  <si>
    <t>adam@trifacta.com</t>
  </si>
  <si>
    <t>+1 (844) 332-2821</t>
  </si>
  <si>
    <t>575 Market Street</t>
  </si>
  <si>
    <t>11th Floor</t>
  </si>
  <si>
    <t>info@trifacta.com</t>
  </si>
  <si>
    <t>The company raised $48 million through a combination of debt and Series D venture funding from Accel, DB1 Ventures and Ericsson Ventures on January 31, 2018, putting the company's pre-money valuation at $210 million. The funds will be used to push growth in its data services business. Alphabet, Columbia Pacific, New York Life, Cathay Innovation, Greylock Partners, Ignition Partners, Ridge Ventures and other undisclosed investors also participated in the round. The funds will be used to expand globally as well as add more firepower to the company's platform.</t>
  </si>
  <si>
    <t>Accel, Alphabet, Anand Rajaraman, Cathay Innovation, Columbia Pacific Management, Data Collective, Dave Goldberg, DB1 Ventures, Deutsche Börse Group, Ericsson Ventures, Greylock Partners, Ignition Partners, Infosys, Milliways Ventures, New York Life Ventures, Ridge Ventures, TriplePoint Capital, Venkatesh Harinarayan, XSeed Capital</t>
  </si>
  <si>
    <t>Accel(www.accel.com), Alphabet(www.abc.xyz), Cathay Innovation(www.cathayinnovation.com), Columbia Pacific Management(www.columbiapacificmanagement.com), Data Collective(www.dcvc.com), Deutsche Börse Group(www.deutsche-boerse.com), Greylock Partners(www.greylock.com), Ignition Partners(www.ignitionpartners.com), Infosys(www.infosys.com), Milliways Ventures(www.milliwaysventures.com), New York Life Ventures(www.nylventures.com), Ridge Ventures(www.ridge.vc), TriplePoint Capital(www.triplepointcapital.com), XSeed Capital(www.xseedcap.com)</t>
  </si>
  <si>
    <t>Gunderson Dettmer(Legal Advisor), Marlin &amp; Associates Securities(Advisor: General)</t>
  </si>
  <si>
    <t>58653-37</t>
  </si>
  <si>
    <t>Tricentis</t>
  </si>
  <si>
    <t>Worksoft</t>
  </si>
  <si>
    <t>Provider of software testing tools designed to accelerate business innovation with peace of mind. The company's integrated software testing tools consists of a unique model-based test automation and test case design approach, encompassing risk-based testing, test data management and provisioning, service virtualization, enabling businesses and corporate clients to deliver significant performance improvements to testing projects.</t>
  </si>
  <si>
    <t>Software Development Applications*</t>
  </si>
  <si>
    <t>business innovation center, integrated software testing tech, quality assurance service, test data management tools, test management</t>
  </si>
  <si>
    <t>www.tricentis.com</t>
  </si>
  <si>
    <t>2013: 120, 2017: 350</t>
  </si>
  <si>
    <t>Vienna, Austria</t>
  </si>
  <si>
    <t>Leonard-Bernstein-Straße 10</t>
  </si>
  <si>
    <t>1220</t>
  </si>
  <si>
    <t>Austria</t>
  </si>
  <si>
    <t>+43 (0)1 263 2409 0</t>
  </si>
  <si>
    <t>+43 (0)1 263 2409 15</t>
  </si>
  <si>
    <t>office@tricentis.com</t>
  </si>
  <si>
    <t>The company repaid its debt to Harbert Management on an undisclosed date.</t>
  </si>
  <si>
    <t>Fulcrum Equity Partners, Insight Partners, Wipro Ventures</t>
  </si>
  <si>
    <t>ViewPoint Capital Partners</t>
  </si>
  <si>
    <t>Fulcrum Equity Partners(www.fulcrumep.com), Insight Partners(www.insightpartners.com)</t>
  </si>
  <si>
    <t>ViewPoint Capital Partners(www.viewpointpartners.com)</t>
  </si>
  <si>
    <t>Harbert Management(Debt Financing), KBCM Technology Group(Advisor: General), O'Melveny &amp; Myers(Legal Advisor), Wolf Theiss(Legal Advisor), Zelig Associates(Advisor: General)</t>
  </si>
  <si>
    <t>66175-03</t>
  </si>
  <si>
    <t>Trevi Systems</t>
  </si>
  <si>
    <t>Sylvan Source</t>
  </si>
  <si>
    <t>Developer of a water purification technology designed to provide forward osmosis and water desalination systems. The company's water purification technology uses osmosis process to desalinate water at lower pressure and lower energy than a reverse osmosis system and takes advantage of a concentration gradient to pull water across a selectively permeable membrane and 'waste heat' to separate the draw solution from the water, enabling people to have access to potable water regardless of geographic or socioeconomic barriers.</t>
  </si>
  <si>
    <t>Utilities</t>
  </si>
  <si>
    <t>Water Utilities</t>
  </si>
  <si>
    <t>Environmental Services (B2B), Water Utilities*</t>
  </si>
  <si>
    <t>CleanTech, Industrials, TMT</t>
  </si>
  <si>
    <t>forward osmosis, industrial wastewater, osmosis desalination, water desalination, water purification</t>
  </si>
  <si>
    <t>www.trevisystems.com</t>
  </si>
  <si>
    <t>2014: 37, 2015: 43, 2016: 3, 2017: 25</t>
  </si>
  <si>
    <t>19913-05P</t>
  </si>
  <si>
    <t>Karen Godfrey</t>
  </si>
  <si>
    <t>kgodfrey@trevisystems.com</t>
  </si>
  <si>
    <t>+1 (707) 792-2681</t>
  </si>
  <si>
    <t>Petaluma, CA</t>
  </si>
  <si>
    <t>1415 North McDowell Boulevard</t>
  </si>
  <si>
    <t>Petaluma</t>
  </si>
  <si>
    <t>94954</t>
  </si>
  <si>
    <t>+1 (707) 792-2684</t>
  </si>
  <si>
    <t>info@trevisystems.com</t>
  </si>
  <si>
    <t>The company raised $10.81 million of venture funding through a combination of debt and equity on November 16, 2017.</t>
  </si>
  <si>
    <t>Asahi Kasei Corporate Venture Capital, Nelson Chu</t>
  </si>
  <si>
    <t>Asahi Kasei Corporate Venture Capital(www.asahikaseiventures.com)</t>
  </si>
  <si>
    <t>Colorado Financial Services(Advisor: General), Security Research Associates(Advisor: General)</t>
  </si>
  <si>
    <t>60454-18</t>
  </si>
  <si>
    <t>Transparent Energy Systems</t>
  </si>
  <si>
    <t>TESPL</t>
  </si>
  <si>
    <t>Provider of turnkey systems designed to offer power cogeneration, waste heat recovery, effluent water recycling and ammonia absorption refrigeration. The company's turnkey systems includes boilers, heaters and recovery systems are deployed in cement, steel, IPP's, glass, ceramic, sugar and other process industries.</t>
  </si>
  <si>
    <t>Alternative Energy Equipment, Energy Infrastructure, Other Energy Services*</t>
  </si>
  <si>
    <t>biodiesel plant, energy services, thermal oxidation, turnkey systems</t>
  </si>
  <si>
    <t>www.tespl.com</t>
  </si>
  <si>
    <t>2009: 24, 2014: 52</t>
  </si>
  <si>
    <t>65103-58P</t>
  </si>
  <si>
    <t>Ashok Atre</t>
  </si>
  <si>
    <t>Executive Chairman &amp; Director</t>
  </si>
  <si>
    <t>ashok.atre@tespl.com</t>
  </si>
  <si>
    <t>+91 (0)20 2421 1347</t>
  </si>
  <si>
    <t>Pune, India</t>
  </si>
  <si>
    <t>Pushpa Heights</t>
  </si>
  <si>
    <t>1st Floor, Bibwewadi Corner</t>
  </si>
  <si>
    <t>Pune</t>
  </si>
  <si>
    <t>411037</t>
  </si>
  <si>
    <t>+91 (0)20 2421 2533</t>
  </si>
  <si>
    <t>info@tespl.com</t>
  </si>
  <si>
    <t>The company raised a undisclosed amount of Series B venture funding from Next47 on June 26, 2013.</t>
  </si>
  <si>
    <t>44158-96</t>
  </si>
  <si>
    <t>Translarity</t>
  </si>
  <si>
    <t>Advanced Inquiry Systems, Octavian Scientific</t>
  </si>
  <si>
    <t>Manufacturer of semiconductor testing equipment designed to offer low cost, high performance full water semiconductor test. The company's semiconductor testing equipment uses lasers to create signal pathways and offers wafer contact tools for test and burn-in, enabling manufacturers to get wafer translation technology at a low cost.</t>
  </si>
  <si>
    <t>Other Semiconductors</t>
  </si>
  <si>
    <t>Other Semiconductors*</t>
  </si>
  <si>
    <t>electronic industry, semiconductor testing, signal pathway, test equipment, test platform, tester interface, wafers contractor</t>
  </si>
  <si>
    <t>www.translarity.com</t>
  </si>
  <si>
    <t>2009: 22, 2014: 11</t>
  </si>
  <si>
    <t>54618-40P</t>
  </si>
  <si>
    <t>Mark Gardiner</t>
  </si>
  <si>
    <t>Chief Operating Officer and Board Member</t>
  </si>
  <si>
    <t>mark.gardiner@translarity.com</t>
  </si>
  <si>
    <t>Fremont, CA</t>
  </si>
  <si>
    <t>46575 Fremont Boulevard</t>
  </si>
  <si>
    <t>Fremont</t>
  </si>
  <si>
    <t>94538</t>
  </si>
  <si>
    <t>+1 (510) 371-7900</t>
  </si>
  <si>
    <t>The company raised $5.3 million of venture funding from undisclosed investors on July 30, 2014. Previously, the company raised $300,000 of Series D venture funding from undisclosed investors on November 13, 2013.</t>
  </si>
  <si>
    <t>Applied Ventures, Intel Capital, KT Venture Group, Northwest Technology Ventures, OVP Venture Partners, TL Ventures</t>
  </si>
  <si>
    <t>Intel Capital(www.intelcapital.com), KT Venture Group(www.ktventuregroup.com), Northwest Technology Ventures(www.nwtechventures.com), OVP Venture Partners(www.ovpevents.com), TL Ventures(www.tl.ventures)</t>
  </si>
  <si>
    <t>The Errigo Group(Consulting), Vell Executive Search(Consulting)</t>
  </si>
  <si>
    <t>Ater Wynne(Legal Advisor)</t>
  </si>
  <si>
    <t>107416-72</t>
  </si>
  <si>
    <t>Transfer Devices</t>
  </si>
  <si>
    <t>Developer of dissolvable PVA template designed to commercialize research in molecular transfer lithography. The company's dissolvable PVA template has high resolution patterning of materials that helps in nanoscale manufacturing of high brightness illumination devices that are ultimately incorporated within commercial consumer electronics products, enabling clients to align and bond the templates onto substrates as well as equipment to replicate the templates.</t>
  </si>
  <si>
    <t>General Purpose Semiconductors</t>
  </si>
  <si>
    <t>Fiberoptic Equipment, General Purpose Semiconductors*, Other Semiconductors</t>
  </si>
  <si>
    <t>Nanotechnology, TMT</t>
  </si>
  <si>
    <t>dissolvable pva, imprint, lithography, nanopatterning, nanoscale, pva templates</t>
  </si>
  <si>
    <t>www.transferdevices.com</t>
  </si>
  <si>
    <t>2016: 3</t>
  </si>
  <si>
    <t>104782-60P</t>
  </si>
  <si>
    <t>Charles Schaper</t>
  </si>
  <si>
    <t>Founder, Chief Executive Officer &amp; Board Member</t>
  </si>
  <si>
    <t>cschaper@transferdevices.com</t>
  </si>
  <si>
    <t>+1 (510) 378-8260</t>
  </si>
  <si>
    <t>46728 Fremont Boulevard</t>
  </si>
  <si>
    <t>mxl@transferdevices.com</t>
  </si>
  <si>
    <t>The company raised $1.3 million of Series B venture funding from Samsung Venture Investment and other undisclosed investors on February 10, 2016, putting the company's pre-money valuation at $16.7 million.</t>
  </si>
  <si>
    <t>Arscientia (California)(Advisor: General), Pillsbury Winthrop Shaw Pittman(Legal Advisor)</t>
  </si>
  <si>
    <t>60887-80</t>
  </si>
  <si>
    <t>Traity</t>
  </si>
  <si>
    <t>Provider of an online tool designed to measure people's traits. The company's online tool helps to measure reputation traits such as creativity and perseverance through crowd sourcing and user reviews on other websites, enabling business to use the tool to appraise employees.</t>
  </si>
  <si>
    <t>Application Software*, Human Capital Services, Other Software</t>
  </si>
  <si>
    <t>Industrials, SaaS, TMT</t>
  </si>
  <si>
    <t>personality test, personality traits</t>
  </si>
  <si>
    <t>www.traity.com</t>
  </si>
  <si>
    <t>2014: 13, 2016: 17</t>
  </si>
  <si>
    <t>58594-15P</t>
  </si>
  <si>
    <t>Juan Cartagena</t>
  </si>
  <si>
    <t>juan@traity.com</t>
  </si>
  <si>
    <t>contact@traity.com</t>
  </si>
  <si>
    <t>The company raised $4.7 million of Series A venture funding in a deal led by Active Venture Partners on July 3, 2014, putting the company's pre-money valuation at $12.56 million. Horizons Ventures, KRW Schindler Partners, Lanta Digital Ventures, Wayra, Bertelsmann Digital Media Investments, 500 Startups and 7 individual investors also participated in this round. The company company intends to use the funding to grow its business. Previously, the company raised an undisclosed amount of venture funding from 500 Startups, Seedcamp and Bertelsmann Digital Media Investments on July 19, 2013. Horizon Ventures also participated in this round.</t>
  </si>
  <si>
    <t>500 Startups, Active Venture Partners, Angel Garcia, BBVA Open Innovation, Bertelsmann Digital Media Investments, Carlos Espinal, Christine Tsai, Dalibor Siroky, Horizons Ventures, Individual Investor, Jan Borgstaedt, Juan López-Valcárcel, KRW Schindler Private Ventures, Lanta Digital Ventures, Lisa Gansky, Matthew Bothner, Seedcamp, Wayra</t>
  </si>
  <si>
    <t>500 Startups(www.500.co), Active Venture Partners(www.active-vp.com), BBVA Open Innovation(opentalent.bbva.com), Bertelsmann Digital Media Investments(www.bdmifund.com), Horizons Ventures(www.horizonsventures.com), KRW Schindler Private Ventures(www.krw-schindler.com), Lanta Digital Ventures(www.lantacapital.com), Lisa Gansky(www.instigating.co/lisa-gansky), Seedcamp(www.seedcamp.com), Wayra(de.wayra.co)</t>
  </si>
  <si>
    <t>58597-66</t>
  </si>
  <si>
    <t>TradingView</t>
  </si>
  <si>
    <t>Coinigy, NinjaTrader, TradeKing, Cryptowatch</t>
  </si>
  <si>
    <t>Provider of an online community of investors and traders designed to share trading ideas. The company's online community aggregates web stock charts and offers free access to charting and analysis, enabling investors and traders to publish trading ideas and discuss markets in real-time.</t>
  </si>
  <si>
    <t>Financial Software, Other Financial Services, Social/Platform Software*</t>
  </si>
  <si>
    <t>advances charting software, forex charting trading platform, free charting components, shares market information, stock trading, trading community</t>
  </si>
  <si>
    <t>www.tradingview.com</t>
  </si>
  <si>
    <t>2014: 31, 2015: 23, 2016: 100</t>
  </si>
  <si>
    <t>62290-99P</t>
  </si>
  <si>
    <t>Stan Bokov</t>
  </si>
  <si>
    <t>sbokov@tradingview.com</t>
  </si>
  <si>
    <t>+1 (312) 442-0949</t>
  </si>
  <si>
    <t>+1 (614) 569-0346</t>
  </si>
  <si>
    <t>The company raised $37 million through a combination of debt and Series B venture funding in a deal led by Insight Venture Partners on May 21, 2018, putting the company's pre-money valuation at $150 million. DRW Venture Capital and Jump Capital also participated in the round. The funds will be used to expand the company's software product suite and to continue international growth.</t>
  </si>
  <si>
    <t>Chicago Angel Group, David McGowan, DRW Venture Capital, Insight Partners, IrishAngels, iTech Capital, Jeff Pomeranz, Jeff Racho, Jump Capital, Lauren DeLuca, Orlando Saez, Pallasite Ventures, Paul DeLuca, Right Side Capital Management, Sam Yagan, Techstars, Troy Henikoff</t>
  </si>
  <si>
    <t>DRW Venture Capital(www.drwvc.com), Insight Partners(www.insightpartners.com), IrishAngels(www.irishangels.com), iTech Capital(www.itcap.vc), Jump Capital(www.jumpcap.com), Pallasite Ventures(www.pallasiteventures.com), Right Side Capital Management(www.rightsidecapital.com), Techstars(www.techstars.com)</t>
  </si>
  <si>
    <t>Horwood Marcus &amp; Berk(Legal Advisor)</t>
  </si>
  <si>
    <t>55139-05</t>
  </si>
  <si>
    <t>Tradeshift</t>
  </si>
  <si>
    <t>BuyerQuest, Procurify, Acumatica, NetSuite, Globys, Wax Digital, ZenPurchase, Meta SaaS, Bonfire (Business/Productivity Software), Paramount WorkPlace, Bill.com, Scanmarket, Vroozi, PrimeRevenue, Ivalua, Offset Market Exchange, Viewpost, Billtrust, FinancialForce, Black Mountain Systems, Taulia, FreshBooks, Unit4, eRequester, Transactis, SAP Ariba, Autobooks, BravoSolution, ION Group, Basware, Coupa, Pool4tool, Receipt Bank, iCiX, Icertis, Determine, ScoutRFP, Infor Global Solutions, GT Nexus, Indus Software Technologies, Contraqer, SourceDay, Wave Financial, AccessPay (England), The Credit Junction</t>
  </si>
  <si>
    <t>Provider of a flexible business commerce platform designed to redefine how buyers and suppliers work together in the procure-to-pay industry. The company's business commerce platform allows their clients to buy, pay and mitigate risk of the e-Procurement by making the collaboration easy, helping companies tailor solutions that can quickly adapt to their changing needs.</t>
  </si>
  <si>
    <t>Business/Productivity Software, Financial Software*</t>
  </si>
  <si>
    <t>Artificial Intelligence &amp; Machine Learning, B2B Payments, FinTech, SaaS, TMT</t>
  </si>
  <si>
    <t>business commerce, buyer network, collaboration platform, e-procurement, flexible business commerce, online procurement, payment and processing vertical, procure to pay, supplier network</t>
  </si>
  <si>
    <t>www.tradeshift.com</t>
  </si>
  <si>
    <t>2014: 150, 2015: 200, 2016: 300, 2018: 650</t>
  </si>
  <si>
    <t>47411-65P</t>
  </si>
  <si>
    <t>Peter Van Pruissen</t>
  </si>
  <si>
    <t>peter.vanpruissen@tradeshift.com</t>
  </si>
  <si>
    <t>+1 (628) 600-3044</t>
  </si>
  <si>
    <t>612 Howard Street</t>
  </si>
  <si>
    <t>info@tradeshift.com</t>
  </si>
  <si>
    <t>The company raised $250 million of Series E venture funding in a deal led by Public Sector Pension Investment Board and Goldman Sachs Principal Strategic Investments on August 1, 2018, putting the company's pre-money valuation at $850 million. Gray Swan, Fin Venture Capital, HSBC Holdings, GP Bullhound and Holding14 also participated in the round. The company will use the funding for core strategic initiatives, including continued global expansion of the company in Europe and Asia, growth of transacted volume and value across its platform and strategic investments into emerging technologies, including blockchain and artificial intelligence via its Frontiers division.</t>
  </si>
  <si>
    <t>American Express Ventures, Anzen Private Equity, Black Swan Equity Partners, CreditEase, Data Collective, Fin Venture Capital, Goldman Sachs Principal Strategic Investments, GP Bullhound, Gray Swan, Holding14, HSBC Holdings, HSBC Innovation Investments, Intuit, Kite Ventures, Kleiner Perkins, Megadon, Morten Lund, Notion, Pavilion Capital, PayPal Holdings, Public Sector Pension Investment Board, Recruit Holdings, Recruit Strategic Partners, Robert Wuttke, Rouven Dresselhaus, RTP Global, Santander InnoVentures, Scentan Ventures, The Goldman Sachs Group, Voltage Ventures, Wipro Ventures</t>
  </si>
  <si>
    <t>Black Swan Equity Partners(www.blackswanequitypartners.com), CreditEase(www.creditease.cn), Data Collective(www.dcvc.com), Fin Venture Capital(www.finvc.co), GP Bullhound(www.gpbullhound.com), Holding14(www.h14.it), HSBC Holdings(www.hsbc.com), Intuit(www.intuit.com), Kite Ventures(www.kiteventures.com), Kleiner Perkins(www.kleinerperkins.com), Megadon(www.megadon.com), Notion(www.notion.vc), PayPal Holdings(www.paypal.com), Public Sector Pension Investment Board(www.investpsp.com), Recruit Holdings(www.recruit-rgf.com), Recruit Strategic Partners(recruitstrategicpartners.com), RTP Global(rtp-global.com), Santander InnoVentures(www.santanderinnoventures.com), The Goldman Sachs Group(www.goldmansachs.com), Voltage Ventures(www.voltage.g2team.pl)</t>
  </si>
  <si>
    <t>Finn Partners(Advisor: Communications), Hippocorn Partners(Advisor: General), Lumos Partners(Advisor: General), Wilson Sonsini Goodrich &amp; Rosati(Legal Advisor)</t>
  </si>
  <si>
    <t>BlackRock TCP Capital(Debt Financing), Financial Technology Partners(Advisor: General), Go4Venture(Advisor: General), LD&amp;A Jupiter(Advisor: General), Tofte &amp; Company(Advisor: General), Wilson Sonsini Goodrich &amp; Rosati(Legal Advisor)</t>
  </si>
  <si>
    <t>228318-58</t>
  </si>
  <si>
    <t>Traction Guest</t>
  </si>
  <si>
    <t>Provider of visitor management systems designed to connect organizations guests. The company's systems offer cloud-based central admin platform, instant legal document signing, automatic badge printing and customizable branding, enabling enterprises to shape the workplace experience, strengthen security and leverage visitor data with its Salesforce integration.</t>
  </si>
  <si>
    <t>Business/Productivity Software, Other Information Technology, Other Software*</t>
  </si>
  <si>
    <t>cloud-based vms, leverage visitor data, visitor management platform, visitor management system, website visitors tracking</t>
  </si>
  <si>
    <t>www.tractionguest.com</t>
  </si>
  <si>
    <t>184818-52P</t>
  </si>
  <si>
    <t>Keith Metcalfe</t>
  </si>
  <si>
    <t>Chief Executive Officer &amp; Managing Director</t>
  </si>
  <si>
    <t>kmetcalfe@tractionguest.com</t>
  </si>
  <si>
    <t>+1 (855) 215-9508</t>
  </si>
  <si>
    <t>Burnaby, Canada</t>
  </si>
  <si>
    <t>Suite 500 - 2700 Production Way Burnaby</t>
  </si>
  <si>
    <t>Burnaby</t>
  </si>
  <si>
    <t>V5A 0C2</t>
  </si>
  <si>
    <t>info@tractionguest.com</t>
  </si>
  <si>
    <t>The company raised an undisclosed amount of venture funding from Salesforce Ventures on May 3, 2018.</t>
  </si>
  <si>
    <t>51619-15</t>
  </si>
  <si>
    <t>Traackr</t>
  </si>
  <si>
    <t>Reelio, Mavrck, Octoly, Uberflip, Contently, Opal (Marketing), SproutUp Company, TapInfluence, VidRocket, Bidtellect, Speakr, Percolate, BzzAgent, ApexDrop, Crowdly, Betaout, Simply Measured, Sprinklr, Influitive, Reach Analytics, Skyword, Spredfast, Kapost, Bynder, Tailwind (Marketing Platform), Augure, Little Bird, Influential, Tubular (Video Intelligence Platform), Withfluence, Webfluential, Popular Pays, NewsCred, Sprout Social, ReadyPulse, ICX Media, Izea, Sharethrough, Zuberance, Influencer, Collective Bias, FameBit, Onalytica, Outbrain, TripleLift, Acorn: The Influence Company, Brandnew, ScribbleLive, The Shelf, CreatorIQ, theAudience, NetBase, Brandwatch, Virool, HYPR Brands, Find Your Influence, Alinean, LiveWorld, Socialyte, Linqia, Livefyre, Klear, The Mobile Media Lab, ListenFirst Media</t>
  </si>
  <si>
    <t>Provider of an online influencer marketing platform designed to grow user's global network based on real influence. The company's online influencer marketing platform is a system of record to manage, expand, validate, and scale global influencer market, enabling users to manage their data in one place.</t>
  </si>
  <si>
    <t>influencer marketing, influencer marketing platform</t>
  </si>
  <si>
    <t>www.traackr.com</t>
  </si>
  <si>
    <t>2014: 28, 2016: 47, 2018: 55</t>
  </si>
  <si>
    <t>36656-83P</t>
  </si>
  <si>
    <t>Pierre-Loïc Assayag</t>
  </si>
  <si>
    <t>Chief Executive Officer, Board Member &amp; Co-Founder</t>
  </si>
  <si>
    <t>passayag@traackr.com</t>
  </si>
  <si>
    <t>+1 (617) 750-5552</t>
  </si>
  <si>
    <t>244 California Street</t>
  </si>
  <si>
    <t>Suite 204</t>
  </si>
  <si>
    <t>+1 (855) 872-2537</t>
  </si>
  <si>
    <t>info@traackr.com</t>
  </si>
  <si>
    <t>The company raised $9 million in a combination of Series B and Series B1 venture funding in a deal led by Workhorse Capital on April 26, 2018, putting the company's pre-money valuation at $21 million. You &amp; Mr Jones Brandtech Ventures and other undisclosed investors also participated in the round. The funds will be used to accelerate sales, marketing and customer success across the globe.</t>
  </si>
  <si>
    <t>Andy Getsey, Christopher Muenchhoff, LaunchCapital, Richard Kain, Tollman Capital Partners, Workhorse Capital, You &amp; Mr Jones Brandtech Ventures, Zev Laderman</t>
  </si>
  <si>
    <t>LaunchCapital(www.launchcapital.com), Tollman Capital Partners(www.tcp.tollmancapital.com), Workhorse Capital(www.workhorsegrowth.com)</t>
  </si>
  <si>
    <t>McCarter &amp; English(Legal Advisor), Skillcloud Consulting(Consulting)</t>
  </si>
  <si>
    <t>McCarter &amp; English(Legal Advisor), Petsky Prunier(Advisor: General), Western Technology Investment(Debt Financing)</t>
  </si>
  <si>
    <t>152287-21</t>
  </si>
  <si>
    <t>Tovala</t>
  </si>
  <si>
    <t>Maestro Food Co.</t>
  </si>
  <si>
    <t>Suvie</t>
  </si>
  <si>
    <t>Provider of a smartphone application, steam oven and meal delivery services created to provide busy people with an effortless way to eat delicious, healthy, home-cooked meals. The company's meal system combines an internet-connected counter top steam oven capable of multi-step cooking with meals prepared by gourmet chefs, making dinner preparation as simple as scanning a barcode, enabling users to turn out fast, consistent, restaurant-quality meals.</t>
  </si>
  <si>
    <t>Household Appliances</t>
  </si>
  <si>
    <t>Application Software, Food Products, Household Appliances*</t>
  </si>
  <si>
    <t>FoodTech, Mobile, TMT</t>
  </si>
  <si>
    <t>connected application, connected kitchen product, countertops steam oven, meals delivery boxes, meals delivery service, next generation appliance, smart oven</t>
  </si>
  <si>
    <t>www.tovala.com</t>
  </si>
  <si>
    <t>2016: 4, 2018: 43</t>
  </si>
  <si>
    <t>125931-34P</t>
  </si>
  <si>
    <t>David Rabie</t>
  </si>
  <si>
    <t>david@tovala.com</t>
  </si>
  <si>
    <t>+1 (310) 592-1777</t>
  </si>
  <si>
    <t>400 North Racine Avenue</t>
  </si>
  <si>
    <t>Unit 109</t>
  </si>
  <si>
    <t>60642</t>
  </si>
  <si>
    <t>support@tovala.com</t>
  </si>
  <si>
    <t>The company raised $9.2 million of Series A1 venture funding in a deal led by Origin Ventures on December 19, 2017, putting the company's pre-money valuation at $25 million. Pritzker Group Venture Capital, Y Combinator, Joe Mansueto, Tyson Ventures and Larry Levy participated in the round. The company will use the fund to increase its staff, expansion into other territories, and investment in technology, product, operations and marketing.</t>
  </si>
  <si>
    <t>Andrew Appelbaum, Craig Wortmann, Daniel Veltri, GREE, Joseph Mansueto, Larry Levy, Michael Staenberg, New Stack Ventures, Origin Ventures, Patrick Cadariu, Paul Buchheit, Pritzker Group Venture Capital, RiverPark Ventures, Seamless, Service Provider Capital, Tyson Ventures, Valor Equity Partners, Y Combinator</t>
  </si>
  <si>
    <t>GREE(www.gree.co.jp), New Stack Ventures(www.newstack.vc), Origin Ventures(www.originventures.com), Pritzker Group Venture Capital(www.pritzkergroup.com/venture-capital), RiverPark Ventures(www.riverparkvc.com), Seamless(www.seamless.com), Service Provider Capital(www.serviceprovidercapital.com), Valor Equity Partners(www.valorep.com), Y Combinator(www.ycombinator.com)</t>
  </si>
  <si>
    <t>Gunderson Dettmer(Legal Advisor), Much Shelist(Legal Advisor)</t>
  </si>
  <si>
    <t>Gunderson Dettmer(Legal Advisor), Kickstarter(Lead Manager or Arranger), Much Shelist(Legal Advisor)</t>
  </si>
  <si>
    <t>14388-85</t>
  </si>
  <si>
    <t>Tory Burch</t>
  </si>
  <si>
    <t>TRB by Tory Burch</t>
  </si>
  <si>
    <t>Kate Spade, Rag &amp; bone Holdings, Diane Von Furstenberg, Mansur Gavriel, Jack Rogers, Dr. Martens, Proenza Schouler, Dansko, Cole Haan, The Donna Karan Company, Kenneth Cole Productions, The Rockport Group, Kate Spade &amp; Company, PVH, Allen Edmonds, Stuart Weitzman, Forever 21, Furla, Rebecca Minkoff, Ann, Tieks by Gavrieli, Guccio Gucci, Longchamp</t>
  </si>
  <si>
    <t>Designer and manufacturer of sportswear and accessories for women. The company offers ready-to-wear shoes, handbags, accessories, watches, home and beauty products.</t>
  </si>
  <si>
    <t>Accessories, Clothing*, Footwear</t>
  </si>
  <si>
    <t>Beauty, Manufacturing</t>
  </si>
  <si>
    <t>beauty vertical, women apparel, women jewelry, women sportswear</t>
  </si>
  <si>
    <t>www.toryburch.com</t>
  </si>
  <si>
    <t>2008: 300, 2013: 2000, 2016: 1884</t>
  </si>
  <si>
    <t>18034-21P</t>
  </si>
  <si>
    <t>Reepal Shah</t>
  </si>
  <si>
    <t>Chief Treasury Officer &amp; Executive, Corporate Development</t>
  </si>
  <si>
    <t>rshah@toryburch.com</t>
  </si>
  <si>
    <t>+1 (212) 683-2323</t>
  </si>
  <si>
    <t>11 West 19th Street</t>
  </si>
  <si>
    <t>inquiries@toryburch.com</t>
  </si>
  <si>
    <t>The company bought back 20% stake from Tresalia Capital on November 27, 2018.</t>
  </si>
  <si>
    <t>Access Technology Ventures, BDT Capital Partners, Burch Creative Capital, Fidelity Investments, General Atlantic, Hartford Financial Services Group (Mutual Fund Business), Jorg Mohaupt, Three Ocean Partners</t>
  </si>
  <si>
    <t>Tresalia Capital</t>
  </si>
  <si>
    <t>Irving Place Capital</t>
  </si>
  <si>
    <t>Access Technology Ventures(www.accesstechnologyventures.com), Burch Creative Capital(www.burchcreativecapital.com), Fidelity Investments(www.fidelity.com), General Atlantic(www.generalatlantic.com), Hartford Financial Services Group (Mutual Fund Business)(www.hartfordfunds.com), Three Ocean Partners(www.threeoceanpartners.com)</t>
  </si>
  <si>
    <t>Irving Place Capital(www.irvingplacecapital.com)</t>
  </si>
  <si>
    <t>Boies, Schiller &amp; Flexner(Legal Advisor), Karen Harvey Consulting Group(Consulting), Olshan Frome Wolosky(Legal Advisor), quinn emanuel urquhart &amp; sullivan(Legal Advisor)</t>
  </si>
  <si>
    <t>Bank of America Merrill Lynch(Advisor: General), Barclays Investment Bank(Advisor: General), BDT Capital Partners(Advisor: General), Dechert(Legal Advisor), Deutsche Bank(Advisor: General), Global Leveraged Capital(Advisor: General), Lehman Brothers(Advisor: General), Wachtell, Lipton, Rosen &amp; Katz(Legal Advisor)</t>
  </si>
  <si>
    <t>Share Repurchase</t>
  </si>
  <si>
    <t>58149-55</t>
  </si>
  <si>
    <t>Toreta</t>
  </si>
  <si>
    <t>hetras, StayNTouch, Resy, Apaleo, Base7booking, Mews Systems, High Level Software, Eat, Hotelogix, ReServe Interactive</t>
  </si>
  <si>
    <t>Provider of a reservation and customer management platform designed to conveniently manage reservations. The company's platform supports the efficiency of operations essential for store management, enabling users to check table availability at participating restaurants.</t>
  </si>
  <si>
    <t>Restaurant Technology, SaaS, TMT</t>
  </si>
  <si>
    <t>customer management platform, reservation management, reservation management platform, restaurant reservation, tables availability</t>
  </si>
  <si>
    <t>www.toreta.in</t>
  </si>
  <si>
    <t>2015: 26, 2016: 53, 2018: 110</t>
  </si>
  <si>
    <t>100559-53P</t>
  </si>
  <si>
    <t>Hitoshi Nakamura</t>
  </si>
  <si>
    <t>Co-Founder, Director &amp; Chief Executive Officer</t>
  </si>
  <si>
    <t>hitoshi@toreta.in</t>
  </si>
  <si>
    <t>+81 (0)36 431 9006</t>
  </si>
  <si>
    <t>TOC Building 8F 7-22-17 Nishi Gotanda</t>
  </si>
  <si>
    <t>Shinagawa-ku</t>
  </si>
  <si>
    <t>141-0031</t>
  </si>
  <si>
    <t>+81 (0)36 431 9008</t>
  </si>
  <si>
    <t>info@toreta.in</t>
  </si>
  <si>
    <t>The company raised JPY 1200 million of Series D venture funding in a deal led by Eight Roads Ventures on September 22, 2016. WiL (World Innovation Lab), iSG Investment Works, Salesforce Ventures, NTT Docomo Ventures, Femto Growth Capital and Mitsui Sumitomo Insurance Venture Capital also participated in the round. The company will use the funding to enhance their development system and to strengthen their sales and support marketing system. Previously, the company raised $2.64 million of Series B venture funding from iSG Investment Works, Salesforce Ventures and Dentsu Innovation Partners on February 29, 2016. Itochu also participated in the round.</t>
  </si>
  <si>
    <t>Dentsu Innovation Partners, Eight Roads, Femto Growth Capital, iSG Investment Works, Itochu, Mitsui Sumitomo Insurance Venture Capital, NTT Docomo Ventures, Salesforce Ventures, WiL (World Innovation Lab)</t>
  </si>
  <si>
    <t>Dentsu Innovation Partners(www.dentsu-ip.co.jp), Eight Roads(www.eightroads.com), Femto Growth Capital(femto.vc), iSG Investment Works(www.isgs-iw.com), Itochu(www.itochu.co.jp/en/index.html), NTT Docomo Ventures(www.nttdocomo-v.com), WiL (World Innovation Lab)(www.wilab.com)</t>
  </si>
  <si>
    <t>126146-80</t>
  </si>
  <si>
    <t>Torchlite Technologies</t>
  </si>
  <si>
    <t>Torchlite</t>
  </si>
  <si>
    <t>Sprout Social, Sprinklr, Hootsuite, Stackla, Shareablee, quintly, MomentFeed, Echobox, Contently, Turn, Yext, Simply Measured, AddThis, Broadly, Adsmurai, Kenshoo, Spredfast, Uberall, Socialbakers, Main Street Hub, SocialFlow, True Anthem, Socialmetrix, Manalto, Synup, Dynamic Signal, People Per Hour, Unmetric, Workana, VML, Crimson Hexagon, C-4 Analytics, Lithium Technologies, Disruptive Advertising, Toptal, ShareThis, MediaCrossing, SinglePlatform, Shortlist Project</t>
  </si>
  <si>
    <t>Provider of a campaign management platform designed to create nimble and tech-enabled approach to get marketing done. The company's platform combines people, technology and campaigns into a single interface to deliver integrated email, mobile, social and online campaigns, enabling business to access, engage, and manage vetted freelance digital marketing experts to fill critical marketing gaps and drive results.</t>
  </si>
  <si>
    <t>content marketing, digital marketing, email marketing, online marketing, social media management, social media management platform, social media management tools, web campaign</t>
  </si>
  <si>
    <t>www.torchlite.com</t>
  </si>
  <si>
    <t>2016: 16, 2017: 25</t>
  </si>
  <si>
    <t>117653-05P</t>
  </si>
  <si>
    <t>Susan Marshall</t>
  </si>
  <si>
    <t>smarshall@torchlite.com</t>
  </si>
  <si>
    <t>+1 (317) 643-4200</t>
  </si>
  <si>
    <t>342 Massachusetts Avenue</t>
  </si>
  <si>
    <t>Suite 203</t>
  </si>
  <si>
    <t>contact@torchlite.com</t>
  </si>
  <si>
    <t>The company raised $150,000 of venture funding from Innovatemap and other undisclosed investors on March 7, 2019.</t>
  </si>
  <si>
    <t>316 Investments, Collina Ventures, Elevate Ventures, Innovatemap, Salesforce Ventures, Scott McCorkle</t>
  </si>
  <si>
    <t>316 Investments(www.316invest.com), Collina Ventures(www.collinaventures.com), Elevate Ventures(www.elevateventures.com), Innovatemap(www.innovatemap.ventures)</t>
  </si>
  <si>
    <t>54742-69</t>
  </si>
  <si>
    <t>Topia</t>
  </si>
  <si>
    <t>MOVE Guides, Polaris Global Mobility</t>
  </si>
  <si>
    <t>Developer of talent mobility platform designed to offer outsourced, relocation and assignment management services. The company's platform leverages automated workflows, rich reporting, instant cost estimates, assignment management, and much more to make it easy to support the modern mobile workforce, enabling companies to easily and efficiently source and place talent anywhere in the world.</t>
  </si>
  <si>
    <t>administration management, employee relocation, global relocation, mobility management, mobility management platform, relocation service, talent relocation, talent search</t>
  </si>
  <si>
    <t>www.topia.com</t>
  </si>
  <si>
    <t>2015: 130, 2017: 130, 2018: 350</t>
  </si>
  <si>
    <t>11416-96P</t>
  </si>
  <si>
    <t>Terrence Schmid</t>
  </si>
  <si>
    <t>terrence.schmid@topia.com</t>
  </si>
  <si>
    <t>+1 (978) 684-1000</t>
  </si>
  <si>
    <t>30 Maiden Lane</t>
  </si>
  <si>
    <t>Suite 550</t>
  </si>
  <si>
    <t>+1 (888) 989-0210</t>
  </si>
  <si>
    <t>info@topia.com</t>
  </si>
  <si>
    <t>New Enterprise Associates sold a stake in the company to Newview Capital on an undisclosed date. Previously, the company raised GBP 37.36 million of Series C venture funding from Workday Ventures, Bregal Sagemount and FutureFund Capital on July 11, 2017, putting the company's pre-money valuation at GBP 60.34 million. Notion, New Enterprise Associates and Beacon Capital also participated in the round. The funding will be used for expansion, growing market share of its platform and infrastructure. The company till date has raised more than $91 million.</t>
  </si>
  <si>
    <t>Alex Viall, Beacon Capital, Bregal Sagemount, Dale Murray, David Windley, FutureFund Capital, Individual Investor, Kevin Eyres, Newview Capital, Notion, Sean Park, Sherry Coutu, Tom Hulme, Workday Ventures</t>
  </si>
  <si>
    <t>New Enterprise Associates</t>
  </si>
  <si>
    <t>Beacon Capital(www.beaconcapital.co.uk), Bregal Sagemount(www.sagemount.com), Newview Capital(www.newviewcap.com), Notion(www.notion.vc), Tom Hulme(www.thulme.com)</t>
  </si>
  <si>
    <t>New Enterprise Associates(www.nea.com)</t>
  </si>
  <si>
    <t>Erevena(Consulting), Fenwick &amp; West(Legal Advisor), Kindred Partners(Consulting), KPMG(Auditor), Taylor Wessing(Legal Advisor), West (San Francisco)(Consulting)</t>
  </si>
  <si>
    <t>Fenwick &amp; West(Legal Advisor), Taylor Wessing(Legal Advisor)</t>
  </si>
  <si>
    <t>167498-29</t>
  </si>
  <si>
    <t>Tomorrow Ideas</t>
  </si>
  <si>
    <t>MoneyLion, Personal Capital, Ladder Financial, Bestow, Willing, LegalZoom, Mint.com, Rocket Lawyer, PolicyGenius, Intuit, Ethos, Fabric Life</t>
  </si>
  <si>
    <t>Developer of a financial planning application designed to help families make long term financial and legal decisions together. The company's financial and legal planning application for families lets people create a free will and free trust, also known as a revocable living trust or trust fund, in minutes. Users can also purchase the optimal amount of affordable term life insurance within the app, or use an existing policy, and allocate future payouts to fund their own trust, enabling users to get the legal and financial protection they need and deserve.</t>
  </si>
  <si>
    <t>Application Software, Financial Software*, Other Financial Services</t>
  </si>
  <si>
    <t>FinTech, InsurTech, Mobile, TMT</t>
  </si>
  <si>
    <t>financial planning, financial planning app, financial planning application, fintech, fintech application, insurance, insuretech, investment application, investment planning, legal, legal decision, legaltech, life and health insurance policy, trust</t>
  </si>
  <si>
    <t>www.tomorrow.me</t>
  </si>
  <si>
    <t>2016: 4, 2017: 12, 2018: 14, 2019: 13</t>
  </si>
  <si>
    <t>127789-21P</t>
  </si>
  <si>
    <t>Erik Berg</t>
  </si>
  <si>
    <t>Co-Founder &amp; Vice President of Product</t>
  </si>
  <si>
    <t>erik@tomorrow.me</t>
  </si>
  <si>
    <t>+1 (206) 355-8056</t>
  </si>
  <si>
    <t>500 Union Street</t>
  </si>
  <si>
    <t>Suite 435</t>
  </si>
  <si>
    <t>The company raised $1 million of venture funding in the form of SAFE notes from NFP on October 2, 2018. This partnership will provide NFP employees first access to Tomorrow's upcoming premium suite of features, called Tomorrow Plus, which allows families to make important financial decisions together on phones, tablets and online.</t>
  </si>
  <si>
    <t>Aflac Ventures, Allianz Life Ventures, Center For Financial Services Innovation, Clocktower Technology Ventures, Curious, Echelon Capital, Financial Solutions Lab, Flying Fish Partners, JPMorgan Chase, Maschmeyer Group Ventures, Maveron, NFP, Plug and Play Tech Center, Sinai Ventures, Union Bay Partners</t>
  </si>
  <si>
    <t>Aflac Ventures(www.aflacventures.com), Allianz Life Ventures(www.allianzlifeventures.com), Center For Financial Services Innovation(www.cfsinnovation.org), Clocktower Technology Ventures(www.clocktowerventures.com), Curious(www.curious.vc), Echelon Capital(www.echeloncapital.com), Financial Solutions Lab(www.finlab.cfsinnovation.com), Flying Fish Partners(www.flyingfish.vc), JPMorgan Chase(www.jpmorganchase.com), Maschmeyer Group Ventures(www.mgv.vc), Maveron(www.maveron.com), NFP(www.nfp.com), Plug and Play Tech Center(www.plugandplaytechcenter.com), Sinai Ventures(www.sinaivc.com), Union Bay Partners(www.unionbaypartners.com)</t>
  </si>
  <si>
    <t>DLA Piper(Legal Advisor), Perkins Coie(Legal Advisor)</t>
  </si>
  <si>
    <t>56126-89</t>
  </si>
  <si>
    <t>Tokyo Otaku Mode</t>
  </si>
  <si>
    <t>TOM</t>
  </si>
  <si>
    <t>Provider of an eCommerce site and social media page created to share Japanese otaku culture products and news with the world. The company's eCommerce site and social media page work directly with manufactures and independent creators to provide an authentic and curated selection of merchandise and popular news, enabling Japanese pop culture fans to receive the latest in otaku culture.</t>
  </si>
  <si>
    <t>Other Consumer Durables</t>
  </si>
  <si>
    <t>Internet Retail, Other Consumer Durables*, Social Content</t>
  </si>
  <si>
    <t>content sharing platform, online media, otaku, otaku culture, otaku culture product, otaku news, otaku product</t>
  </si>
  <si>
    <t>www.otakumode.com</t>
  </si>
  <si>
    <t>2014: 18, 2016: 38</t>
  </si>
  <si>
    <t>46837-63P</t>
  </si>
  <si>
    <t>Naomitsu Kodaka</t>
  </si>
  <si>
    <t>Chief Executive Officer &amp; CoFounder</t>
  </si>
  <si>
    <t>nkodaka@corporate.otakumode.com</t>
  </si>
  <si>
    <t>3219 NorthWest Guam Street</t>
  </si>
  <si>
    <t>97210</t>
  </si>
  <si>
    <t>The company raised venture funding from Nissay Capital on an undisclosed date.</t>
  </si>
  <si>
    <t>500 Startups, Christine Tsai, David McClure, DG Incubation, GaiaX Global Marketing Ventures, ITOCHU Technology Ventures, Maneesh Arora, Michael Edelhart, Ministry of Economy, Trade and Industry, Mitsubishi UFJ Capital, Nissay Capital, Paul Singh, Recruit Strategic Partners, Richard Chen, Shogo Kawada, Social Starts, Sun Eight Investment, William Lohse, YJ Capital</t>
  </si>
  <si>
    <t>500 Startups(www.500.co), David McClure(www.davemcclure.com), DG Incubation(www.dgincubation.co.jp), ITOCHU Technology Ventures(www.techv.co.jp), Maneesh Arora(linkedin.com/in/maneesharora), Ministry of Economy, Trade and Industry(www.meti.go.jp), Mitsubishi UFJ Capital(www.mucap.co.jp), Nissay Capital(www.nissay-cap.co.jp), Recruit Strategic Partners(recruitstrategicpartners.com), Social Starts(www.socialstarts.com), YJ Capital(yj-capital.co.jp/en)</t>
  </si>
  <si>
    <t>149724-46</t>
  </si>
  <si>
    <t>Tock</t>
  </si>
  <si>
    <t>ReserveOut, RoundMenu, Eatigo, EZTABLE, Zomato, resmio, Eat, OpenTable</t>
  </si>
  <si>
    <t>Developer of a restaurant booking platform designed to change the way restaurants think about and run their business. The company's platform include a robust reservation, guest and table management system for restaurants of all sizes across the globe, enabling users to get access to their favorite eating places and enjoy their meal.</t>
  </si>
  <si>
    <t>Application Software, Information Services (B2C), Restaurants and Bars, Social/Platform Software*</t>
  </si>
  <si>
    <t>Restaurant Technology</t>
  </si>
  <si>
    <t>guests management, reservation platform, restaurant books, restaurant reservation, tables management system</t>
  </si>
  <si>
    <t>www.exploretock.com</t>
  </si>
  <si>
    <t>2015: 7</t>
  </si>
  <si>
    <t>123097-96P</t>
  </si>
  <si>
    <t>Nicholas Kokonas</t>
  </si>
  <si>
    <t>Chief Executive Officer, Board Member and Co-Founder</t>
  </si>
  <si>
    <t>nick@tockhq.com</t>
  </si>
  <si>
    <t>+1 (312) 854-1947</t>
  </si>
  <si>
    <t>951 West Fulton Market</t>
  </si>
  <si>
    <t>Suite 2</t>
  </si>
  <si>
    <t>info@tockhq.com</t>
  </si>
  <si>
    <t>The company received $9.5 million of development capital in a deal led by Valor Equity Partners and Origin Ventures. Lettuce Entertain You Enterprises, Hyde Park Venture Partners, Chicago Ventures, Howard Tullman, Andrew Zimmern and Thomas Keller also participated in the round on November 28, 2018.</t>
  </si>
  <si>
    <t>Andrew Zimmern, Chicago Ventures, Daniel Humm, G2T3V, Howard Tullman, Hyde Park Venture Partners, Jason Fried, Kimbal Musk, Lettuce Entertain You Enterprises, Ming Tsai, Origin Ventures, Pritzker Group Venture Capital, Pritzker Private Capital, Salesforce Ventures, The Melman Family, Thomas Keller, Valor Equity Partners, Will Guidara</t>
  </si>
  <si>
    <t>Chicago Ventures(www.chicagoventures.com), G2T3V(www.g2t3v.com), Howard Tullman(www.tullman.com), Hyde Park Venture Partners(www.hydeparkvp.com), Lettuce Entertain You Enterprises(www.leye.com), Origin Ventures(www.originventures.com), Pritzker Group Venture Capital(www.pritzkergroup.com/venture-capital), Pritzker Private Capital(www.ppcpartners.com), Valor Equity Partners(www.valorep.com)</t>
  </si>
  <si>
    <t>126496-36</t>
  </si>
  <si>
    <t>toBe Marketing</t>
  </si>
  <si>
    <t>Provider of a cloud-based platform designed to provide marketing automation introduction and utilization support service. The company focuses on Salesforce Pardot, a tool that supports various marketing and sales operations such as social media collaboration, mail distribution, and Salesforce collaboration, enabling businesses to improve the results of their marketing activities and boost sales growth.</t>
  </si>
  <si>
    <t>Automation/Workflow Software*, Consulting Services (B2B), Media and Information Services (B2B)</t>
  </si>
  <si>
    <t>Industrials, Marketing Tech, SaaS, TMT</t>
  </si>
  <si>
    <t>automation services, consulting service, marketing automation</t>
  </si>
  <si>
    <t>www.tobem.jp</t>
  </si>
  <si>
    <t>118129-24P</t>
  </si>
  <si>
    <t>Tomokazu Koike</t>
  </si>
  <si>
    <t>tkoike@tobem.jp</t>
  </si>
  <si>
    <t>+81 (0)36 262 6316</t>
  </si>
  <si>
    <t>1-9-13 Nihonbashi Honcho Chuo-ku</t>
  </si>
  <si>
    <t>Japan Hashimoto cho 1-chome building 4F</t>
  </si>
  <si>
    <t>103-0023</t>
  </si>
  <si>
    <t>info@tobem.jp</t>
  </si>
  <si>
    <t>The company raised $4 million of Series B venture funding in a deal led by Salesforce Ventures on July 25, 2017. Draper Nexus also participated in the round.</t>
  </si>
  <si>
    <t>DNX Ventures, Salesforce Ventures</t>
  </si>
  <si>
    <t>DNX Ventures(www.dnx.vc)</t>
  </si>
  <si>
    <t>120589-93</t>
  </si>
  <si>
    <t>TLV Partners</t>
  </si>
  <si>
    <t>Operator of a venture capital firm designed to provide venture funding to innovative A-round Startups. The company connects entrepreneurs with the resources and community they need and provide early stage venture investments to Israeli technology startups, enabling them to to make a lasting impact.</t>
  </si>
  <si>
    <t>Other Capital Markets/Institutions</t>
  </si>
  <si>
    <t>Holding Companies, Other Capital Markets/Institutions*, Other Financial Services</t>
  </si>
  <si>
    <t>early stage investment, early stage venture, venture capital, venture funding, venture investment</t>
  </si>
  <si>
    <t>www.tlv.partners</t>
  </si>
  <si>
    <t>13813-66P</t>
  </si>
  <si>
    <t>Eitan Bek</t>
  </si>
  <si>
    <t>Founding Partner &amp; Managing Partner</t>
  </si>
  <si>
    <t>eitan@tlv.partners</t>
  </si>
  <si>
    <t>+972 (0)3 979 9400</t>
  </si>
  <si>
    <t>Tel Aviv, Israel</t>
  </si>
  <si>
    <t>21 HaArba'a Street</t>
  </si>
  <si>
    <t>Yafo</t>
  </si>
  <si>
    <t>Tel Aviv</t>
  </si>
  <si>
    <t>tlv@tlv.partners</t>
  </si>
  <si>
    <t>The company raised an undisclosed amount of venture funding from Wipro Ventures on June 25, 2016. Earlier, the company raised $110 million of venture funding from undisclosed investors on February 23, 2016.</t>
  </si>
  <si>
    <t>Wipro Ventures</t>
  </si>
  <si>
    <t>58239-37</t>
  </si>
  <si>
    <t>Tiramizoo Delivery</t>
  </si>
  <si>
    <t>Tiramizoo</t>
  </si>
  <si>
    <t>Coureon, SendCloud, Onfleet, Centiro Solutions, ShipHawk, GetSwift, Roambee, EasyPost, ByBox, ShipRush, Parcel2Go, Arrive Logistics, NetDespatch, Supply Vision, FourKites, MetaPack, Shops United (Netherlands), Flexport</t>
  </si>
  <si>
    <t>Provider of a SaaS based logistics platform designed to provide same-day, last-mile delivery services. The company's optimized software technology which interfaces retailers with customers to schedule local delivery services of their purchases providing customers with prompt delivery of a wide variety of goods.</t>
  </si>
  <si>
    <t>Application Software*, Logistics, Social/Platform Software</t>
  </si>
  <si>
    <t>dispatching platform, gps tracking, last mile delivery service, same day delivery service</t>
  </si>
  <si>
    <t>www.tiramizoo.com</t>
  </si>
  <si>
    <t>2014: 9, 2016: 13</t>
  </si>
  <si>
    <t>54422-65P</t>
  </si>
  <si>
    <t>Michael Loehr</t>
  </si>
  <si>
    <t>Co-Founder &amp; Managing Director</t>
  </si>
  <si>
    <t>michael.loehr@tiramizoo.com</t>
  </si>
  <si>
    <t>+49 (0)89 2155 6870</t>
  </si>
  <si>
    <t>Munich, Germany</t>
  </si>
  <si>
    <t>Prannerstraße 2</t>
  </si>
  <si>
    <t>Munich</t>
  </si>
  <si>
    <t>80333</t>
  </si>
  <si>
    <t>info@tiramizoo.com</t>
  </si>
  <si>
    <t>The company raised an undisclosed amount of venture funding led by Shell Technology Ventures on March 6, 2017. Daimler also participated in the round. The company will use the funding for the development of its urban logistics platform and the pursuit of new business models in the Asia-Pacific region.</t>
  </si>
  <si>
    <t>Bayerische Beteiligungsgesellschaft, Bayern Kapital, Burkhard Blum, Daimler, Dirk Reiche, Dynamic Parcel Distribution, ESA Business Incubation Centre Bavaria, Shell Ventures</t>
  </si>
  <si>
    <t>High-Tech Gründerfonds</t>
  </si>
  <si>
    <t>Bayerische Beteiligungsgesellschaft(www.baybg.de), Bayern Kapital(www.bayernkapital.de), Daimler(www.daimler.com), Dynamic Parcel Distribution(www.dpd.com), ESA Business Incubation Centre Bavaria(www.esa-bic.de)</t>
  </si>
  <si>
    <t>High-Tech Gründerfonds(www.high-tech-gruenderfonds.de)</t>
  </si>
  <si>
    <t>156131-47</t>
  </si>
  <si>
    <t>Tio Gazpacho</t>
  </si>
  <si>
    <t>MorningStar Farms, Pacific Foods of Oregon, Kettle Cuisine, Hans Kissle Company, Fit Wrapz, Annie Chun's, Zupa Noma</t>
  </si>
  <si>
    <t>Developer of chilled and drinkable soups. The company's line of chilled soups Tio Gazpacho use recipes crafted with all-natural, organic ingredients to create their signature-chilled soups and are perfect as a meal on-the-go.</t>
  </si>
  <si>
    <t>Beverages*, Food Products</t>
  </si>
  <si>
    <t>chilled soups, flavored food product, organic ingredients, soups, vegetables soups</t>
  </si>
  <si>
    <t>www.tiogazpacho.com</t>
  </si>
  <si>
    <t>131614-21P</t>
  </si>
  <si>
    <t>Austin Allan</t>
  </si>
  <si>
    <t>Founder, President, Chief Executive Officer &amp; Board Member</t>
  </si>
  <si>
    <t>+1 (917) 946-1160</t>
  </si>
  <si>
    <t>120 East 23rd Street</t>
  </si>
  <si>
    <t>hola@tiogazpacho.com</t>
  </si>
  <si>
    <t>The company closed on $500,000 of convertible debt financing from an undisclosed investor on September 18, 2018. Earlier, the company raised $1.70 million of venture funding from undisclosed investors on December 14, 2017.</t>
  </si>
  <si>
    <t>301, CircleUp Network</t>
  </si>
  <si>
    <t>301(www.301inc.com), CircleUp Network(www.circleup.com)</t>
  </si>
  <si>
    <t>Citibank(General Business Banking), Propeller Industries(Advisor: General)</t>
  </si>
  <si>
    <t>222380-11</t>
  </si>
  <si>
    <t>Tikin Media</t>
  </si>
  <si>
    <t>Provider of advertising services in China. The company's services include advertising in elevators by storing the advertiser's promotional image in the projection device and which can be controlled with a remote, enabling companies to increase revenues.</t>
  </si>
  <si>
    <t>Media and Information Services (B2B)*</t>
  </si>
  <si>
    <t>advertising, advertising service provider, advertising services, elevators advertising</t>
  </si>
  <si>
    <t>www.tikinmedia.com</t>
  </si>
  <si>
    <t>190910-44P</t>
  </si>
  <si>
    <t>Ren Bin</t>
  </si>
  <si>
    <t>rbin@tikinmedia.com</t>
  </si>
  <si>
    <t>+86 (0)10 5861 5188</t>
  </si>
  <si>
    <t>8th Floor, Penglong Building</t>
  </si>
  <si>
    <t>No. 10, Huaweili</t>
  </si>
  <si>
    <t>The company raised CNY 120 million of Series A venture funding in a deal led by Sequoia Capital on July 30, 2018. IDG Capital and Baidu Ventures also participated in the round. The funding will be used to speed up marketing efforts. Previously, the company raised an undisclosed amount of venture funding from Beijing Automotive Industry Holding Co, Ping An Insurance (Group) Company of China and Baidu Ventures in November 2017. Beijing Shiji Beiguang Advertising also participated in the round.</t>
  </si>
  <si>
    <t>Baidu Ventures, Beijing Automotive Group Co, Beijing Shiji Beiguang Advertising, IDG Capital, Ping An Insurance (Group) Company of China, Sequoia Capital</t>
  </si>
  <si>
    <t>Baidu Ventures(www.bv.ai), Beijing Automotive Group Co(baicgroup.com.cn), IDG Capital(en.idgcapital.com), Ping An Insurance (Group) Company of China(www.pingan.cn/en/index.shtml), Sequoia Capital(www.sequoiacap.com)</t>
  </si>
  <si>
    <t>43054-21</t>
  </si>
  <si>
    <t>Tigo</t>
  </si>
  <si>
    <t>Tergotech</t>
  </si>
  <si>
    <t>Sungevity, Omnidian, REC Solar (Energy Infrastructure), ZEN Energy, Borrego Solar, Yellow Door Energy, Redback Technologies, Ja Solar Holdings Company, Enerwhere, Stion, Solaredge Technologies</t>
  </si>
  <si>
    <t>Developer of first-generation solar optimizer technology designed to leverage integrated and retrofitted Flex to drive the cost of solar electricity down. The company's solar optimizer technology gives lower cost option to reduce any shading related issues and can increase the overall performance of a system, enabling clients to avil sustainable source of energy in a cost-efficient way.</t>
  </si>
  <si>
    <t>first-generation, impact investing vertical, solar optimizer, solar technology, string monitoring</t>
  </si>
  <si>
    <t>www.tigoenergy.com</t>
  </si>
  <si>
    <t>50927-32P</t>
  </si>
  <si>
    <t>Danit Neeman</t>
  </si>
  <si>
    <t>danit.neeman@tigoenergy.com</t>
  </si>
  <si>
    <t>+1 (408) 402-0802 x2</t>
  </si>
  <si>
    <t>420 Blossom Hill Road</t>
  </si>
  <si>
    <t>95032</t>
  </si>
  <si>
    <t>The company received $10 million of debt financing in the form of term loan from PIUS on February 8, 2018. Previously, the company raised an undisclosed amount of debt financing in the form of a loan from SQN Venture Partners.</t>
  </si>
  <si>
    <t>Alon Ventures, Bessemer Venture Partners, Clal Energy, Generation Investment Management, Inventech Investment, Israel Cleantech Ventures, Matrix Partners, OVP Venture Partners, Samsung Venture Investment, SMA Solar Technology, Sunshot Incubator Program</t>
  </si>
  <si>
    <t>Alon Ventures(www.alonventures.com), Bessemer Venture Partners(www.bvp.com), Generation Investment Management(www.generationim.com), Israel Cleantech Ventures(www.icv.vc), Matrix Partners(www.matrixpartners.com), OVP Venture Partners(www.ovpevents.com), Samsung Venture Investment(www.samsungventures.com), SMA Solar Technology(www.sma.de)</t>
  </si>
  <si>
    <t>Horizon Technology Finance(Debt Financing), Park Place Corporate Finance(Advisor: General), PIUS(Debt Financing), Spinta Capital(Advisor: General), SQN Venture Partners(Debt Financing)</t>
  </si>
  <si>
    <t>Term Loan</t>
  </si>
  <si>
    <t>60290-02</t>
  </si>
  <si>
    <t>TigerGraph</t>
  </si>
  <si>
    <t>GraphSQL</t>
  </si>
  <si>
    <t>Neo4j, Komprise, MapR, Objectivity, Informatica Customer 360 Insights, Riversand, DataStax, Databricks, Talend, OrientDB, Tamr, Couchbase, Cambridge Semantics, Informatica, Basho, MongoDB, Dgraph, Ab Initio, ArangoDB</t>
  </si>
  <si>
    <t>Developer of a real-time graph database platform designed to power real-time deep link analytics for enterprises. The company's real-time graph database and analytics platform is designed to combine both native graph storage and compute, support real-time graph updates, offer built-in parallel computation and also turn complex data into a natural network of objects and relationships to allow for discover of hidden patterns and actionable insights. enabling enterprises to quickly deploy powerful relationship analysis capabilities.</t>
  </si>
  <si>
    <t>Business/Productivity Software, Database Software*</t>
  </si>
  <si>
    <t>analytics platform, big data analytics, database management, deep link analytics, graphing analytics, graphing database</t>
  </si>
  <si>
    <t>www.tigergraph.com</t>
  </si>
  <si>
    <t>2015: 11, 2016: 18</t>
  </si>
  <si>
    <t>56555-92P</t>
  </si>
  <si>
    <t>Yu Xu</t>
  </si>
  <si>
    <t>yu@tigergraph.com</t>
  </si>
  <si>
    <t>+1 (858) 699-8109</t>
  </si>
  <si>
    <t>3 Twin Dolphin Drive</t>
  </si>
  <si>
    <t>Suite 160</t>
  </si>
  <si>
    <t>info@graphsql.com</t>
  </si>
  <si>
    <t>The company raised $31 million of Series A venture funding from Qiming Venture Partners, Baidu Capital and Ant Financial on September 18, 2017. Ant Financial, AME Cloud Ventures, Morado Venture Partners, Farzad Nazem, Danhua Capital, Yunqi Partners and Data Collective also participated in the round.</t>
  </si>
  <si>
    <t>AME Cloud Ventures, Ant Financial, Baidu Ventures, Beijing Daqi Fortune Investment Company, Data Collective, David Chen, Digital Horizon Capital, Eastlink Capital, Farzad Nazem, Feng Peng, IT-Farm, Jinlong Wang, Milliways Ventures, Morado Venture Partners, National Science Foundation, Qiming Venture Partners, Shelley Zhuang, Steven Xi, Susa Ventures, Westlake Ventures, Yunqi Partners</t>
  </si>
  <si>
    <t>11.2 Capital</t>
  </si>
  <si>
    <t>AME Cloud Ventures(www.amecloudventures.com), Ant Financial(www.antfin.com), Baidu Ventures(www.bv.ai), Beijing Daqi Fortune Investment Company(www.daqi-group.com), Data Collective(www.dcvc.com), Digital Horizon Capital(www.dh.vc), Eastlink Capital(www.eastlinkcap.com), IT-Farm(www.it-farm.com), Milliways Ventures(www.milliwaysventures.com), Morado Venture Partners(www.moradoventures.com), National Science Foundation(seedfund.nsf.gov), Qiming Venture Partners(www.qimingvc.com), Susa Ventures(www.susaventures.com), Westlake Ventures(www.westlake.vc), Yunqi Partners(www.yunqi.vc)</t>
  </si>
  <si>
    <t>11.2 Capital(www.112capital.com)</t>
  </si>
  <si>
    <t>51044-14</t>
  </si>
  <si>
    <t>TigerConnect</t>
  </si>
  <si>
    <t>Tiger Text</t>
  </si>
  <si>
    <t>Telegram, CellTrust, WhatsApp, CoverMe, Snap</t>
  </si>
  <si>
    <t>Provider of enterprise-grade messaging services. The company offers a secure mobile messaging platform and mobile application that provides mobile and Web-based secure messaging and allows enterprises, hospitals and physician groups to create their own private mobile messaging network for physicians, nurses and administrators.</t>
  </si>
  <si>
    <t>Communication Software*, Social/Platform Software</t>
  </si>
  <si>
    <t>messaging application, mobile messaging application, secure communication channel</t>
  </si>
  <si>
    <t>www.tigerconnect.com</t>
  </si>
  <si>
    <t>2014: 93, 2015: 150</t>
  </si>
  <si>
    <t>60146-83P</t>
  </si>
  <si>
    <t>Brad Brooks</t>
  </si>
  <si>
    <t>brad@tigertext.com</t>
  </si>
  <si>
    <t>+1 (800) 572-0470</t>
  </si>
  <si>
    <t>2110 Broadway</t>
  </si>
  <si>
    <t>90404</t>
  </si>
  <si>
    <t>info@tigertext.com</t>
  </si>
  <si>
    <t>The company is reportedly seeking $12.93 million of Series C1 venture funding as of August 3, 2018, putting the company's pre-money valuation at $175 million. Previously, the company received $22.5 million of debt financing in the form of a loan from CIBC Innovation Banking on September 05, 2018. Proceeds from the financing will be used by the company to support its continued growth.</t>
  </si>
  <si>
    <t>Accolade Partners, Black Granite Capital, Diego Berdakin, Easton Capital Investment Group, Ellis Capital, Montreux Equity Partners, New Leaf Venture Partners, New Science Ventures, Norwest Venture Partners, OrbiMed, REV Venture Partners, Shasta Ventures, The Invus Group, Wellington Financial</t>
  </si>
  <si>
    <t>AccelerAsia, TELUS Ventures</t>
  </si>
  <si>
    <t>Accolade Partners(www.accoladepartners.com), Black Granite Capital(www.blackgranitecap.com), Easton Capital Investment Group(www.eastoncapital.com), Ellis Capital(www.elliscapital.net), Montreux Equity Partners(www.mepvc.com), New Leaf Venture Partners(www.nlvpartners.com), New Science Ventures(www.newscienceventures.com), Norwest Venture Partners(www.nvp.com), OrbiMed(www.orbimed.com), REV Venture Partners(www.rev.vc), Shasta Ventures(www.shastaventures.com), The Invus Group(www.invus.com), Wellington Financial(www.wellingtonfund.com)</t>
  </si>
  <si>
    <t>AccelerAsia(www.accelerasia.com), TELUS Ventures(ventures.telus.com)</t>
  </si>
  <si>
    <t>Armentum Partners(Advisor: General), Daversa Partners(Consulting), Fenwick &amp; West(Legal Advisor), Gunderson Dettmer(Legal Advisor), PMBC Group(Advisor: Communications), StartupTAP(Consulting)</t>
  </si>
  <si>
    <t>Fenwick &amp; West(Legal Advisor), Fifth Street Asset Management(Debt Financing), Gunderson Dettmer(Legal Advisor), Oaktree Specialty Lending(Debt Financing), Wellington Financial(Debt Financing)</t>
  </si>
  <si>
    <t>131111-65</t>
  </si>
  <si>
    <t>Tier1crm</t>
  </si>
  <si>
    <t>Tier1</t>
  </si>
  <si>
    <t>ClinchPad, Base (Sales Platform), SugarCRM, Commence, Bullhorn, RedTail Technology, Salesforce, Maximizer Software, Insightly, Winmore, Infor Global Solutions, CRMnext, Pipelinersales, Unit4, Pegasystems, NetSuite, Kayako, Zendesk, Coupa, Agile CRM, Shore, FXiaoKe, Satuit Technologies, SAP</t>
  </si>
  <si>
    <t>Provider of cloud-based customer relationship management (CRM) software. The company's flagship product, ACE, is an HTML5 application suite that helps sell-side and buy-side clients generate new revenue opportunities, improve customer service, and achieve greater efficiency across the organization.</t>
  </si>
  <si>
    <t>Vertical Market Software</t>
  </si>
  <si>
    <t>Application Software, Business/Productivity Software, Vertical Market Software*</t>
  </si>
  <si>
    <t>crm, customer relationship management, customer relationship management app, customer relationship management software</t>
  </si>
  <si>
    <t>www.tier1crm.com</t>
  </si>
  <si>
    <t>176073-40P</t>
  </si>
  <si>
    <t>Mark Notten</t>
  </si>
  <si>
    <t>mark.notten@tier1crm.com</t>
  </si>
  <si>
    <t>+1 (647) 251-3800</t>
  </si>
  <si>
    <t>2300 Yonge Street</t>
  </si>
  <si>
    <t>Suite 1900</t>
  </si>
  <si>
    <t>M4P 1E4</t>
  </si>
  <si>
    <t>+1 (647) 251-3801</t>
  </si>
  <si>
    <t>info@tier1crm.com</t>
  </si>
  <si>
    <t>The company received $34 million of development capital from MassMutual Ventures, Salesforce Ventures and Wavecrest Growth Partners on December 11, 2017. The financing will be used to accelerate ongoing product innovation, expand Tier1's sales and marketing capabilities and nurture the partner ecosystem supporting ACE, Tier1's flagship product suite.</t>
  </si>
  <si>
    <t>MassMutual Ventures, Salesforce Ventures, Wavecrest Growth Partners</t>
  </si>
  <si>
    <t>MassMutual Ventures(www.massmutualventures.com), Wavecrest Growth Partners(www.wavecrestgrowth.com)</t>
  </si>
  <si>
    <t>Marlin &amp; Associates Securities(Advisor: General), McCarthy Tétrault(Legal Advisor)</t>
  </si>
  <si>
    <t>58507-48</t>
  </si>
  <si>
    <t>TidalScale</t>
  </si>
  <si>
    <t>Veeam, DataCore Software, Peaxy, Scality, Maxta, StorageCraft Technology, Nexenta, Pure Storage, CommVault Systems, Code42, Vision Solutions, Datera, Oracle</t>
  </si>
  <si>
    <t>Developer of Software-Defined Servers designed to bring flexibility to modern data centers by right-sizing servers on the fly. The company's Servers deliver in-memory performance at any scale, self-optimizing and compatible with all the applications and operating systems, enabling organizations to create systems of any size, using the commodity servers they have while requiring no software changes.</t>
  </si>
  <si>
    <t>Application Software, Database Software*</t>
  </si>
  <si>
    <t>application software, computer memory application, data management software, memory storage, software application</t>
  </si>
  <si>
    <t>www.tidalscale.com</t>
  </si>
  <si>
    <t>2014: 15, 2016: 24, 2017: 26</t>
  </si>
  <si>
    <t>47200-60P</t>
  </si>
  <si>
    <t>Ike Nassi</t>
  </si>
  <si>
    <t>Founder, Chief Technology Officer &amp; Chairman</t>
  </si>
  <si>
    <t>ike.nassi@tidalscale.com</t>
  </si>
  <si>
    <t>+1 (650) 535-2204</t>
  </si>
  <si>
    <t>1694 Dell Avenue</t>
  </si>
  <si>
    <t>info@tidalscale.com</t>
  </si>
  <si>
    <t>The company raised $24 million of Series B venture funding from SK Hynix, Forté Ventures, Infosys and Sapphire Ventures on October 5, 2018. Hummer Winblad Venture Partners, OEM and Bain Capital Ventures also participated in the round. The company will use the funds to accelerate adoption of Software-Defined Servers. Earlier, the company received $5 million of Series A financing from Infosys (NYSE: INFY) and other undisclosed investors on November 24, 2016, putting the company's pre-money valuation at $20 million.</t>
  </si>
  <si>
    <t>Bain Capital Ventures, Citrix Startup Accelerator, Forté Ventures, Hummer Winblad Venture Partners, Infosys, Samsung Catalyst, SAP, Sapphire Ventures, SK Hynix</t>
  </si>
  <si>
    <t>Bain Capital Ventures(www.baincapitalventures.com), Citrix Startup Accelerator(www.startupaccelerator.vc), Forté Ventures(www.forteventures.com), Hummer Winblad Venture Partners(www.hwvp.com), Infosys(www.infosys.com), Samsung Catalyst(www.samsungcatalyst.com), SAP(www.sap.com), Sapphire Ventures(www.sapphireventures.com), SK Hynix(www.skhynix.com)</t>
  </si>
  <si>
    <t>97089-58</t>
  </si>
  <si>
    <t>Tidal Labs</t>
  </si>
  <si>
    <t>Tidal</t>
  </si>
  <si>
    <t>Provider of an online platform that gives its users and bloggers the tools and opportunities in contributing to their favorite brands. The company's platform gives users the chance to interact with the brands and communities in areas of their work and share posts with other users.</t>
  </si>
  <si>
    <t>Information Services (B2C)*, Social Content</t>
  </si>
  <si>
    <t>blogging platform, branding interaction, post sharing, social content</t>
  </si>
  <si>
    <t>www.tid.al</t>
  </si>
  <si>
    <t>77820-40P</t>
  </si>
  <si>
    <t>Matthew Myers</t>
  </si>
  <si>
    <t>matt@tid.al</t>
  </si>
  <si>
    <t>+1 (917) 284-6401</t>
  </si>
  <si>
    <t>584 Broadway</t>
  </si>
  <si>
    <t>Suite 502</t>
  </si>
  <si>
    <t>The company received an undisclosed amount of debt financing in the form of two separate liens from Lighter Capital and Credibility Capital on April 13, 2017, and July 7, 2017, respectively.</t>
  </si>
  <si>
    <t>Ben Lin, DreamIt Ventures, Great Oaks Venture Capital, MDC Ventures, Supernode Ventures, Vayner/RSE</t>
  </si>
  <si>
    <t>DreamIt Ventures(www.dreamit.com), Great Oaks Venture Capital(www.greatoaksvc.com), MDC Ventures(www.mdcventures.vc), Supernode Ventures(www.supernode.vc), Vayner/RSE(www.vaynerrse.com)</t>
  </si>
  <si>
    <t>Credibility Capital(Debt Financing), Lighter Capital(Debt Financing)</t>
  </si>
  <si>
    <t>167147-38</t>
  </si>
  <si>
    <t>TiBit Communications</t>
  </si>
  <si>
    <t>TiBit</t>
  </si>
  <si>
    <t>Developer of a pluggable device designed to virtualize the access network. The company's devices are small, low-power and low-cost which allow high-performance ethernet switching systems to replace traditional access equipment, enabling businesses to lower costs and simplify the network architecture easily.</t>
  </si>
  <si>
    <t>Connectivity Products*</t>
  </si>
  <si>
    <t>broadband access, broadband network device, ethernet port, ethernet switching systems, low power broadband technology, network connectors, pluggable devices, switching equipment</t>
  </si>
  <si>
    <t>www.tibitcom.com</t>
  </si>
  <si>
    <t>2017: 20, 2019: 26</t>
  </si>
  <si>
    <t>147734-11P</t>
  </si>
  <si>
    <t>Edward Boyd</t>
  </si>
  <si>
    <t>Co-Founder, Chief Technical Officer, Vice President of Engineering &amp; Board Member</t>
  </si>
  <si>
    <t>ed.boyd@tibitcom.com</t>
  </si>
  <si>
    <t>+1 (707) 664-5906</t>
  </si>
  <si>
    <t>1 Willowbrook Court</t>
  </si>
  <si>
    <t>info@tibitcom.com</t>
  </si>
  <si>
    <t>The company raised $21 million of Series B venture funding in a deal led by Intel Capital on March 7, 2019, putting the company's pre-money valuation at $50 million. Other undisclosed investors also participated in this round. The funds will be used for market expansion.</t>
  </si>
  <si>
    <t>Donald Green, Intel Capital, John Webley, Juniper Ventures, Liberty Global Ventures</t>
  </si>
  <si>
    <t>Intel Capital(www.intelcapital.com)</t>
  </si>
  <si>
    <t>41131-36</t>
  </si>
  <si>
    <t>TIBCO Software</t>
  </si>
  <si>
    <t>TIBCO</t>
  </si>
  <si>
    <t>Jinfonet Software, Bullhorn, Epicor Software, Datawatch, Calabrio, Zendesk, Akana, Magic Software Enterprises, Intalio, John Galt, Ramco Systems, Pegasystems, AtScale, WSO2, SAP, Diyotta, Datoin, Registria, MapR, Infor Global Solutions, Verint Systems, KXEN, Netcracker Technology, MicroStrategy, Appian, Informatica, Perfion, SimaFore, Nuance, Dimensional Insight, Valiance Partners, Talend, CA Technologies, Winmore, Pyramid Analytics, Iron.io, Kloudio, Numetric, iWeb Technology Solutions, Bedrock Data, Zoomdata, InCorta, Audaxium, Pentaho, Arcadia Data, Bizagi, AgilePoint, Restlet, Alteryx, Base (Sales Platform), Cloudera, Feature Labs, Riversand, SigOpt, Tectonic, DreamFactory, StudyStream Ltd, Tellius, Kony, Logi Analytics, Salesforce, OutSystems, Qlik Technologies, MuleSoft, Striim, Splunk, Nintex Global, Beyond Limits, NetSuite, Mendix, Unifi (Data Platform), Datascience.com, SourceCode Technology Holdings, GoodData, Alooma, Unit4, Sisense, SAS Institute, Jitterbit, Domo, SnapLogic, Feedzai, Grow (Business/Productivity Software), Reforce International, Boomi, Looker, Periscope Data, Trillium Software, Predixion, Birst, Platfora, Pendo Systems, Cloud Elements, 3scale, Kyvos Insights, AuraPortal, Entrinsik, New Relic, Apigee, Syncsort, Anaplan, NICE Systems, PredicSis, Exosite, Broadlook, MongoDB, DataRobot, 2lemetry, Host Analytics, Zapier, BigML, Maximizer Software, Collibra, Ab Initio, Satuit Technologies, Oracle, VMware</t>
  </si>
  <si>
    <t>Provider of infrastructure software for companies to use on-premise or as part of cloud computing environments. The company offers products in the areas of service-oriented architecture (SOA), core infrastructure, business optimization and process automation and collaboration enabling better decisions and faster, smarter actions through its systems.</t>
  </si>
  <si>
    <t>Business/Productivity Software*, Other Software</t>
  </si>
  <si>
    <t>analytical data, cloud computing, infrastructure software</t>
  </si>
  <si>
    <t>Debt Financed, M&amp;A, Private Equity, Publicly Listed, Venture Capital</t>
  </si>
  <si>
    <t>www.tibco.com</t>
  </si>
  <si>
    <t>1998: 342, 1999: 490, 2000: 934, 2001: 1006, 2002: 1030, 2003: 895, 2004: 1360, 2005: 1505, 2006: 1597, 2007: 1900, 2008: 2070, 2009: 2097, 2010: 2540, 2011: 2965, 2012: 3646, 2013: 3856, 2014: 3960, 2018: 4000</t>
  </si>
  <si>
    <t>TTM 3Q2014</t>
  </si>
  <si>
    <t>80848-99P</t>
  </si>
  <si>
    <t>Tom Berquist</t>
  </si>
  <si>
    <t>tom.berquist@tibco.com</t>
  </si>
  <si>
    <t>+1 (650) 846-1000</t>
  </si>
  <si>
    <t>3307 Hillview Avenue</t>
  </si>
  <si>
    <t>94304</t>
  </si>
  <si>
    <t>+1 (650) 846-1005</t>
  </si>
  <si>
    <t>info@tibco.com</t>
  </si>
  <si>
    <t>The company was in talks to be acquired by undisclosed investors on August 3, 2018. Subsequently the deal was cancelled. Previously, the company was acquired by Vista Equity Partners and Virgo Capital through a $4.3 billion public-to-private LBO on December 5, 2014. Apollo Investment provided debt financing in the round.</t>
  </si>
  <si>
    <t>Virgo Capital, Vista Equity Partners</t>
  </si>
  <si>
    <t>Cisco Investments, Draper Esprit, eLab Ventures, Mayfield Fund</t>
  </si>
  <si>
    <t>Virgo Capital(www.virgocapital.com), Vista Equity Partners(www.vistaequitypartners.com)</t>
  </si>
  <si>
    <t>Cisco Investments(www.ciscoinvestments.com), Draper Esprit(www.draperesprit.com), eLab Ventures(www.elabvc.com), Mayfield Fund(www.mayfield.com)</t>
  </si>
  <si>
    <t>Architect Partners(Advisor: General), BG Strategic Advisors(Advisor: General), Calibre One(Consulting), DeWinter Group(Consulting), Hayden Bergman, Professional Corporation(Legal Advisor), Intrinsic Executive Search(Consulting), Moore Stephens International(Accounting), Richards Layton &amp; Finger(Legal Advisor), Verity Consulting(Consulting), VPTax(Accounting)</t>
  </si>
  <si>
    <t>Apollo Investment(Debt Financing), Bear Stearns(Underwriter), CIBC Capital Markets(Underwriter), CION Investments(Debt Financing), Corporate Capital Trust(Debt Financing), Credit Suisse First Boston Corporation(Underwriter), Crescent Capital BDC(Debt Financing), Deutsche Bank(Underwriter), E*Offering(Underwriter), First Union National Bank(Underwriter), Hambrecht &amp; Quist(Underwriter), J.P. Morgan(Advisor: General), Jefferies Finance(Debt Financing), Jefferies Financial Group(Advisor: General), Kohlberg Kravis Roberts(Debt Financing), New Mountain Finance(Debt Financing), Oaktree Strategic Income(Debt Financing), OHA Investment(Debt Financing), Piper Jaffray(Underwriter), PwC(Accounting), Robert W. Baird &amp; Co.(Underwriter), Robertson Stephens(Underwriter), SG Cowen Securities(Underwriter), Soundview Technology Group(Underwriter), The Goldman Sachs Group(Advisor: General), TPG Specialty Lending(Debt Financing), Triton Pacific Capital Partners(Debt Financing), Wasserstein Perella &amp; Company(Underwriter), Wells Fargo Advisors(Underwriter), Wilson Sonsini Goodrich &amp; Rosati(Legal Advisor), Wit Capital(Underwriter)</t>
  </si>
  <si>
    <t>53862-40</t>
  </si>
  <si>
    <t>Thuuz</t>
  </si>
  <si>
    <t>Sport1, 247Sports, MinuteMedia, Are You Watching This?!, The Athletic</t>
  </si>
  <si>
    <t>Provider of an advanced AI-based metadata and content curation platform for sports. The company's sports guide offers Personalized Game Excitement Ratings, Dynamic Headlines, Real-time Notifications, Automated Highlight Reels, and Catch-up-to-Live Highlights, enabling MVPDs, broadcasters, rights holders and consumer electronics companies to deliver an improved sports entertainment experience.</t>
  </si>
  <si>
    <t>Entertainment Software*, Information Services (B2C)</t>
  </si>
  <si>
    <t>artificial intelligence, automated content, automatic highlights, sports alerts, sports app, sports highlights, sports technology, sports technology platform, sports updates</t>
  </si>
  <si>
    <t>www.thuuz.com</t>
  </si>
  <si>
    <t>2018: 24</t>
  </si>
  <si>
    <t>35853-49P</t>
  </si>
  <si>
    <t>Warren Packard</t>
  </si>
  <si>
    <t>wpackard@thuuz.com</t>
  </si>
  <si>
    <t>+1 (650) 485-2049</t>
  </si>
  <si>
    <t>438 Addison Avenue</t>
  </si>
  <si>
    <t>info@thuuz.com</t>
  </si>
  <si>
    <t>The company raised $7.29 million of Series B venture funding from Reimagined Ventures, Draper Fisher Jurvetson, and other undisclosed investors on June 22, 2017.</t>
  </si>
  <si>
    <t>Draper Fisher Jurvetson Management, Frontier Venture Capital, GoAhead Ventures, ITOCHU Technology Ventures, Liberty Global Ventures, Reimagined Ventures, Timothy Draper</t>
  </si>
  <si>
    <t>Draper Fisher Jurvetson Management(www.dfj.com), Frontier Venture Capital(www.draperfrontier.com), GoAhead Ventures(www.goaheadvc.com), ITOCHU Technology Ventures(www.techv.co.jp), Reimagined Ventures(www.rivc.com), Timothy Draper(www.timothydraper.com)</t>
  </si>
  <si>
    <t>Granite Valuations(Valuation/Appraiser), Perkins Coie(Legal Advisor)</t>
  </si>
  <si>
    <t>107634-52</t>
  </si>
  <si>
    <t>ThreatQuotient</t>
  </si>
  <si>
    <t>Blueliv, ThreatConnect, Infoblox, Endgame, Buguroo, Digital Shadows, Recorded Future, IntSights, Seculert, Apvera, Anomali, iSIGHT Partners, CrowdStrike, ZeroFox, Soltra Solutions, PhishLabs, SecurityScorecard, McAfee, EclecticIQ, Flashpoint (threat intelligence), TruSTAR (Threat Intelligence Platform), Cytegic, Surfwatch Labs, Securonix, CyberGRX, TrapX Security, Mocana, Whistic, Demisto, BitSight Technologies, CyberInt Technologies, E8 Security, Prevalent, Cylance, SecureAuth, LookingGlass Cyber Solutions, Arbor Networks, ThreatBook, Carbon Black, Fidelis Cybersecurity, RiskIQ, Looking Glass (Holographic Display)</t>
  </si>
  <si>
    <t>Developer of an open and extensible threat intelligence platform designed to empower security teams to respond to cyber threats. The company's threat intelligence platform accelerates security operations through context, prioritization and automation, enabling companies to identify, understand, prioritize and act on high-priority threats facing their organization based on customer-defined parameters.</t>
  </si>
  <si>
    <t>Automation/Workflow Software, Network Management Software*</t>
  </si>
  <si>
    <t>cyber security, threat analytics, threat intelligence, threat management</t>
  </si>
  <si>
    <t>www.threatq.com</t>
  </si>
  <si>
    <t>2015: 9, 2016: 40, 2017: 65, 2018: 80, 2019: 95</t>
  </si>
  <si>
    <t>36275-23P</t>
  </si>
  <si>
    <t>Leonard Kurtzman</t>
  </si>
  <si>
    <t>lenn.kurtzman@threatq.com</t>
  </si>
  <si>
    <t>+1 (703) 574-9885</t>
  </si>
  <si>
    <t>11400 Commerce Park Drive</t>
  </si>
  <si>
    <t>20191</t>
  </si>
  <si>
    <t>info@threatq.com</t>
  </si>
  <si>
    <t>The company raised $30 million in a combination of debt and Series C venture funding led by Adams Street Partners on October 30, 2017, putting the company's pre-money valuation at $90 million. Cisco Investments, NTT Docomo Ventures, New Enterprise Associates and Silicon Valley Bank also participated in the round. The funds will be used to increase product development acceleration and expand sales &amp; marketing efforts in the US and internationally.</t>
  </si>
  <si>
    <t>Adams Street Partners, Blu Venture Investors, Center for Innovative Technology Gap Funds, Cisco Investments, Lavrock Ventures, New Enterprise Associates, NTT Docomo Ventures, Silicon Valley Bank, Stonehaven Capital, Virginia Tech Investor Network</t>
  </si>
  <si>
    <t>Adams Street Partners(www.adamsstreetpartners.com), Blu Venture Investors(www.bluventureinvestors.com), Center for Innovative Technology Gap Funds(www.cit.org/service-lines/cit-gap-funds), Cisco Investments(www.ciscoinvestments.com), Lavrock Ventures(www.lavrockvc.com), New Enterprise Associates(www.nea.com), NTT Docomo Ventures(www.nttdocomo-v.com), Silicon Valley Bank(www.svb.com), Stonehaven Capital(www.stonehavencap.com)</t>
  </si>
  <si>
    <t>BDO(Auditor), DLA Piper(Legal Advisor), Morrison &amp; Foerster(Legal Advisor), Silicon Valley Bank(General Business Banking), Wilson Sonsini Goodrich &amp; Rosati(Legal Advisor)</t>
  </si>
  <si>
    <t>Morrison &amp; Foerster(Legal Advisor), Silicon Valley Bank(General Business Banking)</t>
  </si>
  <si>
    <t>57553-12</t>
  </si>
  <si>
    <t>ThousandEyes</t>
  </si>
  <si>
    <t>Nexthink, Forward Networks, Monitis, Anturis, ShoreGroup, Riverbed Technology, Akamai Technologies, Kentik, Corvil, Cedexis, SevOne, Spiceworks, Cato Networks, SolarWinds, InfoVista, Talaia, Aptilo Networks, Librato, CrestPoint Solutions, Sysdig, Scalr, Pingdom Server Monitor, Packet Design, Niksun, Catchpoint, SL (Middleware Monitoring), Actifio, Splunk, Paessler, Stackdriver, Kaseya, LiveAction, Plixer, Cloudlytics.com, NetScout Systems, Micro Focus, Cloudflare, Corelight, NS1, Infoblox, SignalFx, Empirix, NetBrain Technologies, Lancope, NetBeez, AppEnsure, Nuage Networks, Rigor, Gigamon, ScienceLogic, ExtraHop Networks, Viptela, Auvik Networks, Aternity, LogicMonitor, Delphix, Bigleaf Networks, Cloudyn Software, Alteryx, Arbor Networks, Dynatrace, Savision, Genie Networks, Correlsense, Knoa Software, Sumo Logic, Tenable, Advanced System Designs, BMC Software, AppNeta, Ipswitch, CloudGenix, Oracle Dyn, VeloCloud, Zabbix, Astellia, Opvizor, Forcepoint, CA Technologies, Embotics, GFI Software, AppDynamics, Al-andalus Software Development CO. (ASD), Ixia, erwin, Compuware, Unigma, DeepField Networks, Fluke Networks, BlueStripe Software</t>
  </si>
  <si>
    <t>Developer of a network intelligence platform designed to provide data visualizations and insights on application delivery and cloud-based services. The company's platform offers customized metrics on network performance, network infrastructure, control plane and application delivery and the connectivity of remote workers and faraway users, enabling service provider corporations to get an accurate understanding of how the network impacts their applications, users and customers.</t>
  </si>
  <si>
    <t>Business/Productivity Software, Network Management Software*, Systems and Information Management</t>
  </si>
  <si>
    <t>cloud application, information technology performance management, network intelligence platform, network performance management</t>
  </si>
  <si>
    <t>www.thousandeyes.com</t>
  </si>
  <si>
    <t>2013: 30, 2014: 44, 2016: 130, 2018: 200, 2019: 250</t>
  </si>
  <si>
    <t>50652-19P</t>
  </si>
  <si>
    <t>Mohit Lad</t>
  </si>
  <si>
    <t>mohitlad@thousandeyes.com</t>
  </si>
  <si>
    <t>+1 (415) 513-4526</t>
  </si>
  <si>
    <t>201 Mission Street</t>
  </si>
  <si>
    <t>+1 (773) 304-9329</t>
  </si>
  <si>
    <t>contact@thousandeyes.com</t>
  </si>
  <si>
    <t>The company raised $50 million of Series D venture funding in a deal led by GV on February 20, 2019, putting the company's pre-money valuation at $620 million. Salesforce Ventures, Tenaya Capital, Thomvest Ventures, Sequoia Capital and Sutter Hill Ventures also participated in the round. The new funds will be used to execute on the company's strategic growth initiatives, including the acceleration of go-to-market activities and expansion of global operations while continuing to invest in digital experience innovations that drive customer success.</t>
  </si>
  <si>
    <t>Four Rivers Group, GV, Individual Investor, Jonathan Heiliger, Salesforce Ventures, Sequoia Capital, Sutter Hill Ventures, Tenaya Capital, Thomvest Ventures</t>
  </si>
  <si>
    <t>Four Rivers Group(www.fourriversgroup.com), GV(www.gv.com), Sequoia Capital(www.sequoiacap.com), Sutter Hill Ventures(www.shv.com), Tenaya Capital(www.tenayacapital.com), Thomvest Ventures(www.thomvest.com)</t>
  </si>
  <si>
    <t>Elevate Growth Partners(Consulting), Fenwick &amp; West(Legal Advisor), Reed Smith(Legal Advisor)</t>
  </si>
  <si>
    <t>Fenwick &amp; West(Legal Advisor), Reed Smith(Legal Advisor)</t>
  </si>
  <si>
    <t>230740-75</t>
  </si>
  <si>
    <t>Third Wave Automation</t>
  </si>
  <si>
    <t>TWA</t>
  </si>
  <si>
    <t>Developer and provider of solutions intended for supply chain and logistics industries. The company combines deep learning research with modern robotics and software practices to bring autonomy and immediately improve warehouse throughput and efficiency, enabling users to deliver site-specific vehicle navigation and infrastructure-free pallet handling that adapts to changing floor configurations and warehouse demand as well as to make forklift operations safer, smarter, and more efficient.</t>
  </si>
  <si>
    <t>Business/Productivity Software, Logistics*</t>
  </si>
  <si>
    <t>Artificial Intelligence &amp; Machine Learning, Robotics and Drones</t>
  </si>
  <si>
    <t>cloud robotics, forklift operations, intuition robotics, material handles, robots learning research, stealth company, stealth operations</t>
  </si>
  <si>
    <t>www.thirdwave.ai</t>
  </si>
  <si>
    <t>192442-42P</t>
  </si>
  <si>
    <t>Arshan Poursohi</t>
  </si>
  <si>
    <t>arshan@thirdwave.ai</t>
  </si>
  <si>
    <t>+1 (650) 669-7620</t>
  </si>
  <si>
    <t>Union City, CA</t>
  </si>
  <si>
    <t>33231 Transit Avenue</t>
  </si>
  <si>
    <t>Union City</t>
  </si>
  <si>
    <t>94587</t>
  </si>
  <si>
    <t>info@thirdwave.ai</t>
  </si>
  <si>
    <t>The company raised $4 million of Seed funding from Toyota AI Ventures, Homebrew and Eclipse Ventures on June 1, 2018, putting the company's pre-money valuation at $12 million.</t>
  </si>
  <si>
    <t>Eclipse Ventures, Homebrew, Toyota AI Ventures</t>
  </si>
  <si>
    <t>Eclipse Ventures(www.eclipse.vc), Homebrew(www.homebrew.co), Toyota AI Ventures(www.toyota-ai.ventures)</t>
  </si>
  <si>
    <t>51439-42</t>
  </si>
  <si>
    <t>Thinkstep</t>
  </si>
  <si>
    <t>PE International</t>
  </si>
  <si>
    <t>InterTek Laboratories, Globality (Cross-Border Business Platform), EtQ, ELEVATE Hong Kong, Intelex Technologies, Cority, ComplyGlobal, Enablon, Sparta Systems, ECAT</t>
  </si>
  <si>
    <t>Provider of a sustainability software and consulting services intended to help businesses in the field of sustainability management. The company's sustainability software and consulting services offer a life cycle assessment tool for sustainability data administration and evaluation on the organization, facility, process and product life cycle levels, enabling businesses to succeed in the long run and earn more revenue.</t>
  </si>
  <si>
    <t>Business/Productivity Software, Consulting Services (B2B)*, Other Software</t>
  </si>
  <si>
    <t>consulting services, corporate sustainability software, lifecycle assessment tools, product lifecycle management, product sustainability, sustainability, sustainability software</t>
  </si>
  <si>
    <t>www.thinkstep.com</t>
  </si>
  <si>
    <t>2013: 128, 2014: 259, 2016: 245</t>
  </si>
  <si>
    <t>47152-90P</t>
  </si>
  <si>
    <t>Michael Betz</t>
  </si>
  <si>
    <t>Vice President of Business Development and Consultant of Product and Material Compliance</t>
  </si>
  <si>
    <t>michael@pe-international.com</t>
  </si>
  <si>
    <t>+49 (0)71 1341 8170</t>
  </si>
  <si>
    <t>Leinfelden-Echterdingen, Germany</t>
  </si>
  <si>
    <t>Hauptstraße 111-113</t>
  </si>
  <si>
    <t>Leinfelden-Echterdingen</t>
  </si>
  <si>
    <t>Baden-Württemberg</t>
  </si>
  <si>
    <t>70771</t>
  </si>
  <si>
    <t>+49 (0)71 1341 8172 5</t>
  </si>
  <si>
    <t>info@thinkstep.com</t>
  </si>
  <si>
    <t>The company raised an undisclosed amount of convertible debt financing from Next47 on April 27, 2016.</t>
  </si>
  <si>
    <t>Gimv, Next47</t>
  </si>
  <si>
    <t>Gimv(www.gimv.com), Next47(Next47.com)</t>
  </si>
  <si>
    <t>Blättchen &amp; Partner(Advisor: General)</t>
  </si>
  <si>
    <t>97357-96</t>
  </si>
  <si>
    <t>ThinCI</t>
  </si>
  <si>
    <t>Adapteva, Maxim Integrated Products, Advanced Micro Devices, Graphcore, Nvidia, Linear Technology, XMOS, Broadcom, Cypress Semiconductor, Intersil, Analog Devices</t>
  </si>
  <si>
    <t>Provider of a next-generation hardware computing platform created to bring true data and task parallel computing to the broad market. The company's products include graphic chips that can provide machine intelligence in a wide array of applications including mobile devices, self-driving cars, computers and robotics, enabling clients to focus on efficient edge computing through their deep-learning systems.</t>
  </si>
  <si>
    <t>Production (Semiconductors)</t>
  </si>
  <si>
    <t>Electronic Components, General Purpose Semiconductors, Production (Semiconductors)*</t>
  </si>
  <si>
    <t>electronic circuit, graphics engineering, graphics processing, hardware computing platform, visual processing unit</t>
  </si>
  <si>
    <t>www.thinci.com</t>
  </si>
  <si>
    <t>2016: 50, 2018: 180</t>
  </si>
  <si>
    <t>87534-73P</t>
  </si>
  <si>
    <t>Dinakar Munagala</t>
  </si>
  <si>
    <t>dinakar.munagala@thinci.com</t>
  </si>
  <si>
    <t>+1 (916) 235-8466</t>
  </si>
  <si>
    <t>El Dorado Hills, CA</t>
  </si>
  <si>
    <t>4659 Golden Foothill Parkway</t>
  </si>
  <si>
    <t>El Dorado Hills</t>
  </si>
  <si>
    <t>95762</t>
  </si>
  <si>
    <t>info@thinci.com</t>
  </si>
  <si>
    <t>The company raised $65 million of Series C venture funding in a deal led by Denso, Nsitexe and Temasek Holdings on September 5, 2018, putting the company's pre-money valuation at $325 million. Daimler, Samsung Catalyst, GGV Capital, Wavemaker Partners, SG Innovate and SPARX Group Company also participated in the round.</t>
  </si>
  <si>
    <t>Daimler, Daniel Rubin, David Perlmutter, Denso, Denso International America, Diosdado Banatao, Gerhard Roiss, GGV Capital, Intercept Ventures, Jose Delgado, Juergen Hambrecht, Magna International, Mark Templeton, Mike Levinthal, Nsitexe, Paul Achleitner, Peter Loescher, Samsung Catalyst, Sashi Reddi, SG Innovate, SPARX Group Company, SRI Capital, Temasek Holdings, Wavemaker Partners</t>
  </si>
  <si>
    <t>Daimler(www.daimler.com), Denso(www.denso.com), Denso International America(www.densocorp-na.com), GGV Capital(www.ggvc.com), Intercept Ventures(www.interceptventures.com), Magna International(www.magna.com), Nsitexe(www.nsitexe.com), Samsung Catalyst(www.samsungcatalyst.com), SPARX Group Company(www.sparx.jp), SRI Capital(www.sricapital.com), Temasek Holdings(www.temasek.com.sg), Wavemaker Partners(www.wavemaker.vc)</t>
  </si>
  <si>
    <t>107036-65</t>
  </si>
  <si>
    <t>ThinAir</t>
  </si>
  <si>
    <t>Baffle, CloudLock, iboss (Cybersecurity), Zscaler, McAfee, Forcepoint, Vera, Marble Security, LogRhythm, Observable Networks, SpiderOak, Pulse Secure, ShiftLeft, WatchGuard Technologies, Bromium, Tarmin, Wandera, Illumio, Skyhigh Networks, SignalFx, HyTrust, Hitachi Vantara, BeyondTrust Software, Ping Identity, InnerView, Virgil Security, Thycotic Software, Vormetric, Bitglass, Netskope, Duo Security, BalaBit, Cylance, SonicWALL, Lancope, CipherCloud, BeyondTrust Software (Acquired), Appthority, NetApp, Sophos, CipherPoint, Blue Medora, Ionic Security, Venafi, Cleversafe, Cyberbit</t>
  </si>
  <si>
    <t>Provider of data security technologies. The company provides an enterprise security platform which helps users to store various kinds of data in a protected place.</t>
  </si>
  <si>
    <t>Database Software*, Network Management Software, Social/Platform Software</t>
  </si>
  <si>
    <t>Big Data, Cybersecurity, SaaS, TMT</t>
  </si>
  <si>
    <t>cloud storage, data security technology, storage technology, virtual storage technology</t>
  </si>
  <si>
    <t>www.thinair.com</t>
  </si>
  <si>
    <t>38888-38P</t>
  </si>
  <si>
    <t>Tony Gauda</t>
  </si>
  <si>
    <t>+1 (877) 269-3090</t>
  </si>
  <si>
    <t>480 Ellis Street</t>
  </si>
  <si>
    <t>testdrive@thinair.com</t>
  </si>
  <si>
    <t>The company raised $1.19 million in the form of a loan from Venture Lending &amp; Leasing on December 31, 2016.</t>
  </si>
  <si>
    <t>11.2 Capital, Amino Capital, Base Ventures, Enspire Capital, Farzad Nazem, Ilya Sukhar, iSherpa Capital, Michael Liou, Morado Venture Partners, Naver, Paul Graham, QueensBridge Venture Partners, Robert Wuttke, Safa Rashtchy, Scrum Ventures, Shelley Zhuang, Streamlined Ventures, Team in Residence, Think +, Tom Chiu, Ullas Naik, Workday Ventures, Y Combinator</t>
  </si>
  <si>
    <t>11.2 Capital(www.112capital.com), Amino Capital(www.aminocapital.com), Base Ventures(www.base.ventures), Enspire Capital(www.enspire.vc), Ilya Sukhar(ilya.sukhar.com), iSherpa Capital(www.isherpa.com), Morado Venture Partners(www.moradoventures.com), Naver(www.navercorp.com), Paul Graham(www.paulgraham.com), QueensBridge Venture Partners(www.qbvp.com), Scrum Ventures(www.scrum.vc), Streamlined Ventures(www.streamlinedventures.com), Team in Residence(www.teaminresidence.com), Think +(www.thinkplus.vc), Y Combinator(www.ycombinator.com)</t>
  </si>
  <si>
    <t>Gunderson Dettmer(Legal Advisor), Venture Lending &amp; Leasing(Debt Financing), Western Technology Investment(Debt Financing)</t>
  </si>
  <si>
    <t>96835-60</t>
  </si>
  <si>
    <t>theAmplify</t>
  </si>
  <si>
    <t>Opal (Marketing), Influicity, TapInfluence, Buzzoole, Percolate, ApexDrop, Skyword, WhoSay, Speakr, Kapost, Rock Content, Endorsify, Influential, Betaout, Contently, Sprinklr, Traackr, Ahalogy, NewsCred, Webfluential, Uberflip, Popular Pays, Boostinsider, Tailwind (Marketing Platform), Reelio, Sideqik, Zuberance, Brandnew, Adaptly, NetSeer, BzzAgent, Datorama, Piqora, PubMatic, Adly, HelloSociety, Collective Bias, Bynder, FameBit, Spredfast, Acorn: The Influence Company, Instafluence, Influencer, Izea, Livefyre, Little Bird, Linqia, Zignal Labs, Naritiv, loop88, Written, Outbrain, theAudience, Path Factory, Ayzenberg, ZOG Digital, Curalate, 140 Proof, Taboola, Shoutly, The Niche Project, Likeable Media, Grapevine Logic, Room 214, Social Chain, DivvyHQ, Olapic, GumGum</t>
  </si>
  <si>
    <t>Provider of influencer marketing platform intended to help brands to create digital marketing campaigns. The company's platform offers to boost campaigns in real time and keep a track throughout the process, as well as helps to connect content and commerce with any chatbots, enabling clients to attract customers and grow in terms of revenue.</t>
  </si>
  <si>
    <t>Marketing Tech, Mobile, SaaS, TMT</t>
  </si>
  <si>
    <t>influencer marketing, influencer marketing platform, influencers, marketing platform, media sharing</t>
  </si>
  <si>
    <t>www.theamplify.com</t>
  </si>
  <si>
    <t>2016: 35</t>
  </si>
  <si>
    <t>143449-12P</t>
  </si>
  <si>
    <t>Jeff Weintraub</t>
  </si>
  <si>
    <t>Vice President</t>
  </si>
  <si>
    <t>jeff@theamplify.com</t>
  </si>
  <si>
    <t>+1 (424) 603-4252</t>
  </si>
  <si>
    <t>Culver City, CA</t>
  </si>
  <si>
    <t>3619 Eastham Drive</t>
  </si>
  <si>
    <t>Culver City</t>
  </si>
  <si>
    <t>90232</t>
  </si>
  <si>
    <t>hello@reach-labs.com</t>
  </si>
  <si>
    <t>The company was acquired by You &amp; Mr Jones Brandtech Ventures through an LBO on April 29, 2016 for an undisclosed sum.</t>
  </si>
  <si>
    <t>You &amp; Mr Jones Brandtech Ventures</t>
  </si>
  <si>
    <t>111491-83</t>
  </si>
  <si>
    <t>the-AiO co.</t>
  </si>
  <si>
    <t>Developer of storage technology. The company offers embedded storage software such as eMMC, SpikeNANDTM, MemSTORTM and VirtSTORTM mainly focused on mobile devices.</t>
  </si>
  <si>
    <t>Other IT Services*, Other Software</t>
  </si>
  <si>
    <t>storage software, storage technology</t>
  </si>
  <si>
    <t>www.the-aio.com</t>
  </si>
  <si>
    <t>98173-36P</t>
  </si>
  <si>
    <t>Jin-Hyoung Kwon</t>
  </si>
  <si>
    <t>Co-Founder, President &amp; Chief Executive Officer</t>
  </si>
  <si>
    <t>jh.kwon@the-aio.com</t>
  </si>
  <si>
    <t>+82 (0)31 716 0170</t>
  </si>
  <si>
    <t>Seongnam-si, South Korea</t>
  </si>
  <si>
    <t>17F Kins Tower 25-1</t>
  </si>
  <si>
    <t>Jeongja-dong, Bundang-gu</t>
  </si>
  <si>
    <t>Seongnam-si</t>
  </si>
  <si>
    <t>Gyeonggi-do</t>
  </si>
  <si>
    <t>+82 (0)31 716 0580</t>
  </si>
  <si>
    <t>sales@the-aio.com</t>
  </si>
  <si>
    <t>The company raised an undisclosed amount of venture funding from Samsung Venture Investment and undisclosed investors in 2014.</t>
  </si>
  <si>
    <t>Korea Investment Partners, LB Investment, Samsung Venture Investment</t>
  </si>
  <si>
    <t>Korea Investment Partners(kipvc.com/main.html), LB Investment(www.lbinvestment.com), Samsung Venture Investment(www.samsungventures.com)</t>
  </si>
  <si>
    <t>115262-47</t>
  </si>
  <si>
    <t>The Void</t>
  </si>
  <si>
    <t>Void</t>
  </si>
  <si>
    <t>Sandbox VR, NextVR, Tyffon, Baobab (Entertainment Software), AltSpaceVR, Dreamscape Immersive, Virtuix, Zero Latency</t>
  </si>
  <si>
    <t>Provider of immersive entertainment technology intended to offer rich immersive experience of virtual reality. The company's immersive entertainment technology uses a combination of a physical set, real-time interactive effects and virtual reality to create hyper-reality experiences, enabling viewers to not only watch a movie or play a game but to live in them and create unforgettable experiences and memories.</t>
  </si>
  <si>
    <t>Application Software, Entertainment Software*</t>
  </si>
  <si>
    <t>TMT, Virtual Reality</t>
  </si>
  <si>
    <t>entertainment technology, reality based games, virtual reality games, vr technology</t>
  </si>
  <si>
    <t>www.thevoid.com</t>
  </si>
  <si>
    <t>2015: 6</t>
  </si>
  <si>
    <t>102959-11P</t>
  </si>
  <si>
    <t>James Jensen</t>
  </si>
  <si>
    <t>Chief Visionary Officer &amp; Co-Founder</t>
  </si>
  <si>
    <t>james@thevoid.com</t>
  </si>
  <si>
    <t>Lindon, UT</t>
  </si>
  <si>
    <t>644 North 2000 West</t>
  </si>
  <si>
    <t>Lindon</t>
  </si>
  <si>
    <t>84042</t>
  </si>
  <si>
    <t>info@thevoid.com</t>
  </si>
  <si>
    <t>The company raised an undisclosed amount of Series A venture funding in a deal led by Fidelity Management &amp; Research on December 1, 2017. Qualcomm Ventures, Verizon Ventures, Cinemark Theatres, Genting Malaysia, The Walt Disney Company, MWM (USA), UTA Ventures, Lion Capital, Shanda Group, Meraas, Ithaca Media Ventures, Pickled Entertainment and Fair Capital also participated in the round. Earlier, the company joined Disney Accelerator as a part of its 2017 batch on July 11, 2017 and received an undisclosed amount in funding.</t>
  </si>
  <si>
    <t>Burch Creative Capital, Cinemark Theatres, Disney Accelerator, Fair Capital, Fidelity Management &amp; Research, Genting Malaysia, Ithaca Media Ventures, Lambert Media Group, Lion Capital, Meraas, MWM (USA), Pickled Entertainment, Qualcomm Ventures, Shanda Group, The Walt Disney Company, UTA Ventures, Verizon Ventures</t>
  </si>
  <si>
    <t>Burch Creative Capital(www.burchcreativecapital.com), Cinemark Theatres(www.cinemark.com), Disney Accelerator(www.disneyaccelerator.com), Fair Capital(www.thefaircapital.com), Genting Malaysia(www.gentingmalaysia.com), Lambert Media Group(www.lambertmediagroup.com), Lion Capital(www.lioncapital.com), Meraas(www.meraas.com), MWM (USA)(www.madisonwellsmedia.com), Pickled Entertainment(www.pickleentertainment.com), Qualcomm Ventures(www.qualcommventures.com), Shanda Group(www.shanda.com), The Walt Disney Company(www.thewaltdisneycompany.com), UTA Ventures(ventures.unitedtalent.com), Verizon Ventures(www.verizonventures.com)</t>
  </si>
  <si>
    <t>Endeavor(Advisor: General), Indiegogo(Lead Manager or Arranger), The Raine Group(Advisor: General)</t>
  </si>
  <si>
    <t>94311-73</t>
  </si>
  <si>
    <t>The Shelf</t>
  </si>
  <si>
    <t>Shelf</t>
  </si>
  <si>
    <t>HYPR Brands, Linqia, Mavrck, TapInfluence, ApexDrop, Speakr, Buzzoole, Reelio, 3radical, Eleve Media - An Influencer Marketing Platform Co., Traackr, Insightpool, Terakeet, Skyword, Klear, Collective Bias, Contently, Percolate, AddShoppers, Raynforest, Crowdly, NeoReach, BzzAgent, Onalytica, Webfluential, Brandnew, Izea, Acorn: The Influence Company</t>
  </si>
  <si>
    <t>Provider of an interactive collaboration platform intended to facilitate influencer marketing. The company's platform is built upon a global interest graph that maps customers, purchases, influencers, brands, and products, enabling brands to reach their target audience at scale using authentic, data-driven stories from trusted online influencers.</t>
  </si>
  <si>
    <t>data driven influencer marketing, designer platform, digital campaings, fashion platform, influencer marketing agency, social media marketing</t>
  </si>
  <si>
    <t>www.theshelf.com</t>
  </si>
  <si>
    <t>79772-59P</t>
  </si>
  <si>
    <t>Lauren Jung</t>
  </si>
  <si>
    <t>Co-Founder, Chief Operating Officer &amp; Board Member</t>
  </si>
  <si>
    <t>lauren@theshelf.com</t>
  </si>
  <si>
    <t>+1 (609) 865-4668</t>
  </si>
  <si>
    <t>195 Plymouth Street</t>
  </si>
  <si>
    <t>Suite 5/17, Brooklyn</t>
  </si>
  <si>
    <t>The company raised $1.39 million through a combination of Series AA-1, Series AA-2 and Series AA-3 venture funding from VTF Capital, Vase Ventures and Dunnhumby Ventures on December 13, 2018, putting the company's pre-money valuation at $5 million. 500 Startups, Lord Rothschild, Dave Balter, Andy White, Ihar Mahaniok, Purav Patel, and Navneet Aron also participated in the round.</t>
  </si>
  <si>
    <t>500 Startups, Andy White, AngelPad, Base Ventures, Dave Balter, dunnhumby Ventures, Ihar Mahaniok, Individual Investor, Navneet Aron, Purav Patel, VTF Capital</t>
  </si>
  <si>
    <t>500 Startups(www.500.co), AngelPad(www.angelpad.com), Base Ventures(www.base.ventures), VTF Capital(www.vtfcapital.com)</t>
  </si>
  <si>
    <t>177132-70</t>
  </si>
  <si>
    <t>The Plum Guide</t>
  </si>
  <si>
    <t>Stay Alfred</t>
  </si>
  <si>
    <t>Operator of a travel-based platform intended to offer rental accommodation. The company's travel-based platform combines data and expert human curation to create professional, creative and inspiring spaces and hosts, enabling travelers to stay in homes rather than hotels.</t>
  </si>
  <si>
    <t>Other Restaurants, Hotels and Leisure</t>
  </si>
  <si>
    <t>Other Restaurants, Hotels and Leisure*</t>
  </si>
  <si>
    <t>designer home, rental accommodation, travelers marketplace, travelers platform</t>
  </si>
  <si>
    <t>www.plumguide.com</t>
  </si>
  <si>
    <t>177399-73P</t>
  </si>
  <si>
    <t>Doron Meyassed</t>
  </si>
  <si>
    <t>doron@plumguide.com</t>
  </si>
  <si>
    <t>+44 (0)20 3795 1390</t>
  </si>
  <si>
    <t>2-4 Rufus Street</t>
  </si>
  <si>
    <t>Shoreditch</t>
  </si>
  <si>
    <t>N1 6PE</t>
  </si>
  <si>
    <t>info@plumguide.com</t>
  </si>
  <si>
    <t>The company raised GBP 14 million of Series B venture funding in a deal led by Talis Capital on March 21, 2019. Octopus Ventures, Latitude Investments and Hearst Ventures also participated in the round. The funds will be used expand its collection of vacation rentals and launch in new cities.</t>
  </si>
  <si>
    <t>Alex Chesterman, BGF Ventures, Business Growth Fund, Delin Ventures, Errol Damelin, Hearst Ventures, Latitude Investments, LocalGlobe, LoveFilm International, Octopus Ventures, Talis Capital, Upscale (London), ZPG</t>
  </si>
  <si>
    <t>BGF Ventures(www.bgfventures.com), Business Growth Fund(www.bgf.co.uk/bgf-growth), Delin Ventures(delinventures.com), Latitude Investments(www.latitudeim.com), LocalGlobe(www.localglobe.vc), LoveFilm International(www.lovefilm.com), Octopus Ventures(www.octopusventures.com), Talis Capital(www.taliscapital.com), Upscale (London)(www.upscaleuk.com), ZPG(www.zpg.co.uk)</t>
  </si>
  <si>
    <t>184824-82</t>
  </si>
  <si>
    <t>The No-Bake Cookie</t>
  </si>
  <si>
    <t>Producer of no-bake cookies designed to provide tasty and healthy cookies with the use of special ingredients. The company's no-baked cookies are prepared with premium certified gluten-free whole-grain oats, enabling consumers to enjoy a fresh and healthy cookie.</t>
  </si>
  <si>
    <t>cookies, fresh bakery, no-bake cookies, oats cookies</t>
  </si>
  <si>
    <t>www.thenobakecookieco.com</t>
  </si>
  <si>
    <t>169764-85P</t>
  </si>
  <si>
    <t>Tom Healy</t>
  </si>
  <si>
    <t>tom@thenobakecookieco.com</t>
  </si>
  <si>
    <t>+1 (877) 390-0001</t>
  </si>
  <si>
    <t>Bend, OR</t>
  </si>
  <si>
    <t>Bend</t>
  </si>
  <si>
    <t>info@thenobakecookieco.com</t>
  </si>
  <si>
    <t>The company raised $600,000 of venture funding from CircleUp Network and FoundersPad on July 13, 2017. The company will use the funds to hire locally for a second shift, expand their national sales team and selling cookies in an additional 2,000 stores nationwide.</t>
  </si>
  <si>
    <t>CircleUp Network, FoundersPad</t>
  </si>
  <si>
    <t>CircleUp Network(www.circleup.com), FoundersPad(www.founderspad.com)</t>
  </si>
  <si>
    <t>CircleUp Network(Lead Manager or Arranger)</t>
  </si>
  <si>
    <t>114363-46</t>
  </si>
  <si>
    <t>The Mighty</t>
  </si>
  <si>
    <t>WebMD Health, PatientsLikeMe, Facebook</t>
  </si>
  <si>
    <t>Operator of a digital health community intended to empower and connect people facing health challenges and disabilities. The company's digital health community offers to share stories and videos with the members, enabling users to get connected with other people with the same disabilities and have a positive energy in life.</t>
  </si>
  <si>
    <t>digital health care, digital health engagement, health data analytics, health research data, health research platform, media publication, online media, online media publication platform, online portal, social network business</t>
  </si>
  <si>
    <t>www.themighty.com</t>
  </si>
  <si>
    <t>2015: 11, 2017: 30, 2019: 40</t>
  </si>
  <si>
    <t>48056-50P</t>
  </si>
  <si>
    <t>Mike Porath</t>
  </si>
  <si>
    <t>mike@themighty.com</t>
  </si>
  <si>
    <t>+1 (213) 379-2407</t>
  </si>
  <si>
    <t>Burbank, CA</t>
  </si>
  <si>
    <t>210 North Glenoaks Boulevard</t>
  </si>
  <si>
    <t>Suite C</t>
  </si>
  <si>
    <t>Burbank</t>
  </si>
  <si>
    <t>91502</t>
  </si>
  <si>
    <t>community@themighty.com</t>
  </si>
  <si>
    <t>The company raised $7.5 million of Series A venture funding from Bertelsmann Digital Media Investments, WPP Health &amp; Wellness and GGV Capital on October 30, 2017, putting the company's pre-money valuation at $22.5 million.</t>
  </si>
  <si>
    <t>Bertelsmann Digital Media Investments, Foundry Group, GGV Capital, Jason Seats, Joanne Wilson, Morris Wheeler, Richard Wolpert, Third Wave Digital, Upfront Ventures, WPP Health &amp; Wellness</t>
  </si>
  <si>
    <t>Bertelsmann Digital Media Investments(www.bdmifund.com), Foundry Group(www.foundrygroup.com), GGV Capital(www.ggvc.com), Jason Seats(www.jasonseats.com), Joanne Wilson(www.gothamgal.com), Third Wave Digital(www.thirdwavedigital.vc), Upfront Ventures(www.upfront.com), WPP Health &amp; Wellness(wpphealth.com)</t>
  </si>
  <si>
    <t>56395-81</t>
  </si>
  <si>
    <t>The Hive</t>
  </si>
  <si>
    <t>Operator of a co-creation studio intended to fund, build and launch startups. The company's co-creation studio offers capital assistance, technological support and collaboration space, enabling data-driven startups to get decision making strategies.</t>
  </si>
  <si>
    <t>Consulting Services (B2B)*, Other Capital Markets/Institutions, Other Commercial Services</t>
  </si>
  <si>
    <t>big data, company creation studio, incubation, incubation services, launch startups</t>
  </si>
  <si>
    <t>www.hivedata.com</t>
  </si>
  <si>
    <t>2014: 16, 2015: 18</t>
  </si>
  <si>
    <t>73329-22P</t>
  </si>
  <si>
    <t>Arihant Patni</t>
  </si>
  <si>
    <t>Managing Director</t>
  </si>
  <si>
    <t>arihant@ideaspringcap.com</t>
  </si>
  <si>
    <t>+91 (0)80 3078 9100</t>
  </si>
  <si>
    <t>+1 (650) 234-0400</t>
  </si>
  <si>
    <t>info@hivedata.com</t>
  </si>
  <si>
    <t>The company raised $22 million of venture funding from RAAY Global Investments, Provence Capital, Steltec Capital and other undisclosed investors on March 12, 2015. The company will use the funding to build up and launch 10 new companies. GE Ventures also participated in this round.</t>
  </si>
  <si>
    <t>@WalmartLabs, Alphabet, AME Cloud Ventures, Facebook, GE Ventures, March Capital Partners, MDC Ventures, Microsoft, Paul Maritz, Pivotal Asia Ventures, Provence Capital, RAAY Global Investments, Sand Hill Angels, Stanford Management Company, Steltec Capital, UC Berkeley Center for Entrepreneurship and Technology, Valor Capital Group, Verizon Ventures, Yahoo</t>
  </si>
  <si>
    <t>@WalmartLabs(www.walmartlabs.com), Alphabet(www.abc.xyz), AME Cloud Ventures(www.amecloudventures.com), Facebook(www.facebook.com), GE Ventures(www.geventures.com), March Capital Partners(www.marchcp.com), MDC Ventures(www.mdcventures.vc), Microsoft(www.microsoft.com), Pivotal Asia Ventures(Pivotal.vc), Provence Capital(www.provencecapital.com.br), RAAY Global Investments(www.raayinvestments.com), Sand Hill Angels(www.sandhillangels.com), Stanford Management Company(smc.stanford.edu), Steltec Capital(www.stelteccapital.com), UC Berkeley Center for Entrepreneurship and Technology(cet.berkeley.edu), Valor Capital Group(www.valorcapitalgroup.com), Verizon Ventures(www.verizonventures.com), Yahoo(www.yahoo.com)</t>
  </si>
  <si>
    <t>Gunderson Dettmer(Legal Advisor), Neighbors &amp; Associates(Consulting)</t>
  </si>
  <si>
    <t>264911-50</t>
  </si>
  <si>
    <t>The Good Crisp Company</t>
  </si>
  <si>
    <t>Mamee Stacked Crisps</t>
  </si>
  <si>
    <t>Pringles</t>
  </si>
  <si>
    <t>Retailer of food products intended to offer gluten-free and healthy snacks. The company's offerings include gluten-free stacked chips that have no artificial flavors, colors or taste enhancers and is free from GMO ingredients, providing customers with healthy and great tasting snacks.</t>
  </si>
  <si>
    <t>Specialty Retail</t>
  </si>
  <si>
    <t>Food Products, Specialty Retail*</t>
  </si>
  <si>
    <t>chips retail, food retailer, gmo-free, healthy food, snacks retailer</t>
  </si>
  <si>
    <t>www.thegoodcrispcompany.com</t>
  </si>
  <si>
    <t>199936-36P</t>
  </si>
  <si>
    <t>Matthew Parry</t>
  </si>
  <si>
    <t>mparry@thegoodcrispcompany.com</t>
  </si>
  <si>
    <t>Boulder, CO</t>
  </si>
  <si>
    <t>2525 Arapahoe Avenue</t>
  </si>
  <si>
    <t>Boulder</t>
  </si>
  <si>
    <t>80302</t>
  </si>
  <si>
    <t>The company raised an undisclosed amount of venture funding from CircleUp Network on January 22, 2019. The funds will be used to fuel expansion in 2019.</t>
  </si>
  <si>
    <t>CircleUp Network</t>
  </si>
  <si>
    <t>CircleUp Network(www.circleup.com)</t>
  </si>
  <si>
    <t>Koenig, Oelsner, Taylor, Schoenfeld &amp; Gaddis(Legal Advisor), Polsinelli(Legal Advisor)</t>
  </si>
  <si>
    <t>58245-49</t>
  </si>
  <si>
    <t>The Fabric</t>
  </si>
  <si>
    <t>Techstars, GSVlabs</t>
  </si>
  <si>
    <t>Provider of accelerating and incubating services designed to empower companies with a powerful community of business and technology experts. The company's services help companies to partner with entrepreneurs at early stages, most often starting at the concept stage and works with them until they receive Series A financing, enabling portfolio companies to have increased revenue and growth.</t>
  </si>
  <si>
    <t>Other Capital Markets/Institutions, Other Commercial Services, Other Financial Services*</t>
  </si>
  <si>
    <t>accelerator, business startup support, early stage, incubator, network business launch, series a</t>
  </si>
  <si>
    <t>www.thefabricnet.com</t>
  </si>
  <si>
    <t>2014: 11, 2016: 25</t>
  </si>
  <si>
    <t>30764-80P</t>
  </si>
  <si>
    <t>Rajan Raghavan</t>
  </si>
  <si>
    <t>rajan@thefabricnet.com</t>
  </si>
  <si>
    <t>295 North, Bernardo Avenue</t>
  </si>
  <si>
    <t>The company raised $20 million of venture funding in a deal led by Verizon Ventures on May 9, 2018. KAAJ Ventures, Hitachi Corporate Venture Capital Fund, SDxCentral, Citrix Systems, Aruba Networks, EVO Venture Partners and March Capital Partners also participated in the round. The funds will be used for the creation and development of cloud and IoT infrastructure companies.</t>
  </si>
  <si>
    <t>Aruba Networks, Citrix Systems, EVO Venture Partners, Hitachi Corporate Venture Capital Fund, KAAJ Ventures, March Capital Partners, Sand Hill Angels, Sand Hill Group, SDxCentral, Verizon Ventures, Víctor Massó</t>
  </si>
  <si>
    <t>Aruba Networks(www.arubanetworks.com), EVO Venture Partners(www.evoventurepartners.com), Hitachi Corporate Venture Capital Fund(www.hitachi.co.jp/cvc/e), KAAJ Ventures(www.kaajventures.com), March Capital Partners(www.marchcp.com), Sand Hill Angels(www.sandhillangels.com), Sand Hill Group(www.sandhill.com), SDxCentral(www.sdxcentral.com), Verizon Ventures(www.verizonventures.com)</t>
  </si>
  <si>
    <t>226332-73</t>
  </si>
  <si>
    <t>The Coconut Cult</t>
  </si>
  <si>
    <t>Provider of probiotic coconut yogurt intended to provide dense probiotic content with no added sugar. The company's small-batch yogurt contains 25 billion probiotics per serving, contains no additives or sugars and is available in three different flavors, enabling health-conscious consumers to enjoy probiotic density in a flexible, shelf stable food product.</t>
  </si>
  <si>
    <t>coconut, coconut based product, coconut product, coconut yogurt, dairy-free, dairy-free yogurt, probiotic, probiotic bacterial strain, probiotic culture, probiotic dietary supplements, probiotics, vegan, vegan food, vegan product, vegan yogurt, yogurt</t>
  </si>
  <si>
    <t>www.thecoconutcult.com</t>
  </si>
  <si>
    <t>183007-36P</t>
  </si>
  <si>
    <t>Noah Simon-Waddell</t>
  </si>
  <si>
    <t>San Luis Obispo, CA</t>
  </si>
  <si>
    <t>815 Skyline Drive</t>
  </si>
  <si>
    <t>San Luis Obispo</t>
  </si>
  <si>
    <t>93405</t>
  </si>
  <si>
    <t>The company raised an undisclosed amount of venture funding from CircleUp Network on January 1, 2018.</t>
  </si>
  <si>
    <t>162423-37</t>
  </si>
  <si>
    <t>The Athletic</t>
  </si>
  <si>
    <t>Sport1, Mars Reel, The Players' Tribune, Bleacher Report, 247Sports, Sports New Media, MinuteMedia, SportsBlog, FanSided</t>
  </si>
  <si>
    <t>Provider of a subscription based sports media platform designed to offer in-depth sports coverage and related information. The company's platform offers in-depth articles on local and national sports, that are free of advertisements, pop-ups and auto-play videos, enabling users to get authentic sports news and articles from talented local and national sports journalists, covering 35+ markets across North America.</t>
  </si>
  <si>
    <t>Information Services (B2C), Publishing*</t>
  </si>
  <si>
    <t>sports coverage, sports information portal, sports media company, sports media platform, sports news, sports news and events, subscription-based</t>
  </si>
  <si>
    <t>www.theathletic.com</t>
  </si>
  <si>
    <t>2016: 2, 2018: 300</t>
  </si>
  <si>
    <t>Promotion (New) Adam Hansmann, Co-Founder, Chief Operating Officer &amp; Board Member, Promotion (New) Alex Mather, Co-Founder, President, Chief Executive Officer &amp; Board Member, Filing (New)</t>
  </si>
  <si>
    <t>46207-27P</t>
  </si>
  <si>
    <t>Adam Hansmann</t>
  </si>
  <si>
    <t>adam@theathletic.com</t>
  </si>
  <si>
    <t>+1 (415) 891-7354</t>
  </si>
  <si>
    <t>332 Pine Street</t>
  </si>
  <si>
    <t>Floor 9</t>
  </si>
  <si>
    <t>The company raised $21.76 million of Series C1 venture funding from undisclosed investors on May 29, 2019, putting the company's pre-money valuation at $307 million. Earlier, the company raised $40 million of Series C venture funding in a deal led by Founders Fund and Bedrock on October 30, 2018, putting the company's pre-money valuation at $160 million. Bertelsmann Digital Media Investments, Comcast Ventures, Evolution Media, The Chernin Group, Luminari Capital, Amasia, CourtsideVC, Advancit Capital and Y Combinator also participated in the round.</t>
  </si>
  <si>
    <t>Advancit Capital, Ali Rowghani, Amasia, Bedrock, Bertelsmann Digital Media Investments, Chris Silbermann, Comcast Ventures, CourtsideVC, Evolution Media, Founders Fund, LionTree Partners, Luminari Capital, Michael Horvath, Ore Ventures, Precursor Ventures, Rabil Ventures, Switch Ventures, The Chernin Group, Y Combinator</t>
  </si>
  <si>
    <t>Advancit Capital(www.advancitcapital.com), Amasia(www.amasia.vc), Bedrock(bedrockcap.com), Bertelsmann Digital Media Investments(www.bdmifund.com), Comcast Ventures(www.comcastventures.com), CourtsideVC(www.courtsidevc.com), Evolution Media(www.evolutionmedia.com), Founders Fund(www.foundersfund.com), Luminari Capital(www.luminaricapital.com), Ore Ventures(www.ore.vc), Precursor Ventures(www.precursorvc.com), Rabil Ventures(www.rabilventures.com), Switch Ventures(www.switch.vc), Y Combinator(www.ycombinator.com)</t>
  </si>
  <si>
    <t>Gunderson Dettmer(Legal Advisor), Silicon Legal Strategy(Legal Advisor)</t>
  </si>
  <si>
    <t>235060-93</t>
  </si>
  <si>
    <t>The Athene Group</t>
  </si>
  <si>
    <t>Athene</t>
  </si>
  <si>
    <t>SS&amp;C Technologies, Brainloop, Advent Processing Solutions, Cosential, Nutshell, Vlocity, IntraLinks, Diligent, OpenLink Financial, CommProve, Firmex, Workiva, Shore, SunGard Data Systems, Contactually, Issuer Direct, MetricStream, Shareworks by Morgan Stanley, Nimble, DialSource, Agile CRM, Vestmark</t>
  </si>
  <si>
    <t>Developer of a cloud-based platform intended for the wealth management industry. The company's agile and intuitive enterprise-class system streamlines mission-critical business processes including client onboarding with straight-through processing, data aggregation, compliance and analytics, providing broker-dealers and registered investment advisors with expert implementation and integration of their Salesforce platform.</t>
  </si>
  <si>
    <t>business software, cloud services, salesforce platform company, salesforce platform service, salesforce support</t>
  </si>
  <si>
    <t>www.theathenegroup.com</t>
  </si>
  <si>
    <t>2018: 200</t>
  </si>
  <si>
    <t>197744-86P</t>
  </si>
  <si>
    <t>Sanjeev Kumar</t>
  </si>
  <si>
    <t>skumar@theathenegroup.com</t>
  </si>
  <si>
    <t>+1 (866) 428-4363</t>
  </si>
  <si>
    <t>Herndon, VA</t>
  </si>
  <si>
    <t>580 Herndon Parkway</t>
  </si>
  <si>
    <t>Suite 500</t>
  </si>
  <si>
    <t>Herndon</t>
  </si>
  <si>
    <t>20170</t>
  </si>
  <si>
    <t>+1 (703) 935-1109</t>
  </si>
  <si>
    <t>The company was acquired by Sagewind Capital, Berenson &amp; Company, Insight Venture Partners and Salesforce Ventures through an LBO on December 6, 2018 for an undisclosed sum.</t>
  </si>
  <si>
    <t>Berenson &amp; Company, Insight Partners, Sagewind Capital, Salesforce Ventures</t>
  </si>
  <si>
    <t>Berenson &amp; Company(www.berensonco.com), Insight Partners(www.insightpartners.com), Sagewind Capital(www.sagewindcapital.com)</t>
  </si>
  <si>
    <t>54642-97</t>
  </si>
  <si>
    <t>thatgamecompany</t>
  </si>
  <si>
    <t>TGC</t>
  </si>
  <si>
    <t>Developer of PS3 and PC games designed to create timeless interactive entertainment that makes positive change to the human psyche worldwide. The company's PS3 and PC games are artistically crafted and are broadly accessible that push the boundaries of interactive entertainment, enabling users to avail interactive gaming experience.</t>
  </si>
  <si>
    <t>artistic video games, emotional components, pc games, ps3 games</t>
  </si>
  <si>
    <t>www.thatgamecompany.com</t>
  </si>
  <si>
    <t>2014: 20, 2016: 23</t>
  </si>
  <si>
    <t>41754-43P</t>
  </si>
  <si>
    <t>Jenova Chen</t>
  </si>
  <si>
    <t>Co-Founder &amp; Creative Director</t>
  </si>
  <si>
    <t>jenova@thatgamecompany.com</t>
  </si>
  <si>
    <t>1332 North Sycamore Avenue</t>
  </si>
  <si>
    <t>Suite 5</t>
  </si>
  <si>
    <t>90028</t>
  </si>
  <si>
    <t>info@thatgamecompany.com</t>
  </si>
  <si>
    <t>The company raised $7 million of Series B venture funding in a deal led by Capital Today on May 27, 2014, putting the company's pre-money valuation at $48.5 million. Benchmark Capital, CAA Ventures, California Technology Ventures and other undisclosed individual investors also participated in the round.</t>
  </si>
  <si>
    <t>Benchmark (San Francisco), CAA Ventures, California Technology Ventures, Capital Today, Individual Investor, Qualcomm Ventures, SummitView Capital</t>
  </si>
  <si>
    <t>Benchmark (San Francisco)(www.benchmark.com), CAA Ventures(ventures.caa.com), California Technology Ventures(www.ctventures.com), Capital Today(www.capitaltoday.com), Qualcomm Ventures(www.qualcommventures.com), SummitView Capital(www.summitviewcapital.com)</t>
  </si>
  <si>
    <t>107120-89</t>
  </si>
  <si>
    <t>Tezign</t>
  </si>
  <si>
    <t>Developer of creative talent and platform-based design tool intended for SME's and larger companies. The company uses an advanced matching algorithm and image recognition to match top designers with customers, providing corporate clients and businesses with the systems needed for smart marketing and allows them to refine their customer base, increase their business efficiency and optimize business productivity.</t>
  </si>
  <si>
    <t>animation, illustrations, social marketing, ui design, ux design</t>
  </si>
  <si>
    <t>www.tezign.com</t>
  </si>
  <si>
    <t>191573-65P</t>
  </si>
  <si>
    <t>Ling Fan</t>
  </si>
  <si>
    <t>Floor 7, DongHu Road</t>
  </si>
  <si>
    <t>Xuhui District</t>
  </si>
  <si>
    <t>hi@tezign.com</t>
  </si>
  <si>
    <t>The company raised $10 million of Series B venture funding in a deal led by Hearst Ventures in March 2018. China Growth Capital and Eminence Capital also participated in the round. The funds will be used for recruiting more experts in artificial intelligence as well as the addition of teams focused on algorithms and sales.</t>
  </si>
  <si>
    <t>Cherubic Ventures, China Growth Capital, David Chuen, Eminence Capital, Fenghou Capital, George Battle, Hearst Ventures, Integral Venture, Linear Venture, Sequoia Capital China</t>
  </si>
  <si>
    <t>Cherubic Ventures(www.cherubic.com), China Growth Capital(www.chinagrowthcapital.com), Eminence Capital(www.eminencecapital.com), Fenghou Capital(www.fhcapital.cn), Linear Venture(www.linear.vc), Sequoia Capital China(www.sequoiacap.com/china)</t>
  </si>
  <si>
    <t>99048-70</t>
  </si>
  <si>
    <t>TetraVue</t>
  </si>
  <si>
    <t>Oryx Vision, Creaform</t>
  </si>
  <si>
    <t>Developer of 3D vision technology designed to offer smart vision for smarter machines. The company's 3D vision technology uses Time of Flight (TOF) technology which has ultra high definition, solid state flash that captures high definition images indoor or outdoor at a long range with less power than a night light, enabling users to get robust identification of unexpected and dangerous obstacles on the road.</t>
  </si>
  <si>
    <t>Electrical Equipment, Electronics (B2C)*</t>
  </si>
  <si>
    <t>3d camera, 3d imaging, 3d vision sensor, 3d vision technology, lidar system, smart vision</t>
  </si>
  <si>
    <t>www.tetravue.com</t>
  </si>
  <si>
    <t>2017: 10</t>
  </si>
  <si>
    <t>148588-84P</t>
  </si>
  <si>
    <t>Paul Banks</t>
  </si>
  <si>
    <t>Founder &amp; President</t>
  </si>
  <si>
    <t>paul.banks@tetravue.com</t>
  </si>
  <si>
    <t>+1 (442) 222-1330</t>
  </si>
  <si>
    <t>Vista, CA</t>
  </si>
  <si>
    <t>2330 Cousteau Court</t>
  </si>
  <si>
    <t>Vista</t>
  </si>
  <si>
    <t>92081</t>
  </si>
  <si>
    <t>The company raised an estimated $10 million of Series A1 venture funding from Fluxunit, KLA-Tencor, Lam Research Capital and Tsing Capital on November 30, 2017, putting the company's pre-money valuation at $37 million. Samsung Catalyst, Robert Bosch Venture Capital, Applied Ventures and Nautilus Venture Partners also participated in the round. The funds will be used to continue to expand operations and develop the technology.</t>
  </si>
  <si>
    <t>Applied Ventures, EvoNexus, Fluxunit - OSRAM Ventures, Foxconn Technology Group, KLA-Tencor, LAM Research Capital, National Aeronautics and Space Administration, National Science Foundation, Nautilus Venture Partners, Robert Bosch Venture Capital, Samsung Catalyst, Tsing Capital, U.S. Department of Energy, United States Department of Defense</t>
  </si>
  <si>
    <t>EvoNexus(www.evonexus.org), Fluxunit - OSRAM Ventures(www.fluxunit.de), Foxconn Technology Group(www.foxconn.com/index_En.html), KLA-Tencor(www.kla-tencor.com), LAM Research Capital(www.lamcapital.com), National Aeronautics and Space Administration(www.nasa.gov), National Science Foundation(seedfund.nsf.gov), Nautilus Venture Partners(www.nautilusvp.com), Robert Bosch Venture Capital(www.rbvc.com), Samsung Catalyst(www.samsungcatalyst.com), Tsing Capital(www.tsingcapital.com), U.S. Department of Energy(www.energy.gov), United States Department of Defense(www.defense.gov)</t>
  </si>
  <si>
    <t>Chase Bank(General Business Banking), Wells Fargo(General Business Banking)</t>
  </si>
  <si>
    <t>266079-52</t>
  </si>
  <si>
    <t>Tetrate</t>
  </si>
  <si>
    <t>Developer of an app management platform designed for hybrid and multi-cloud environments. The company's platform enables the development teams to run and manage microservices as well as to speed the adoption of microservice development in businesses, enabling customers to modernize and adopt public cloud with ease.</t>
  </si>
  <si>
    <t>Systems and Information Management*</t>
  </si>
  <si>
    <t>brownfield deployment, enterprise services mesh, envoy proxy, information technology service, intelligent traffic management, microservices development, public cloud, service mesh</t>
  </si>
  <si>
    <t>www.tetrate.io</t>
  </si>
  <si>
    <t>202315-78P</t>
  </si>
  <si>
    <t>Varun Talwar</t>
  </si>
  <si>
    <t>vtalwar@tetrate.io</t>
  </si>
  <si>
    <t>+1 (555) 555-1234</t>
  </si>
  <si>
    <t>2 Embarcadero Center</t>
  </si>
  <si>
    <t>info@tetrate.io</t>
  </si>
  <si>
    <t>The company raised $12.5 million through the combination of debt, Series A and Series A1 venture funding in a deal led by Dell Technologies Capital on March 13, 2019, putting the company's pre-money valuation at $32 million. Intel Capital, Rain Capital, Samsung NEXT Ventures, 8VC, Pankaj Patel, BV Jagadeesh, Shiva Rajaraman and Guido Appenzeller also participated in the round.</t>
  </si>
  <si>
    <t>8VC, BV Jagadeesh, Dell Technologies Capital, Guido Appenzeller, Intel Capital, Pankaj Patel, Rain Capital, Samsung NEXT Ventures, Shiva Rajaraman</t>
  </si>
  <si>
    <t>8VC(www.8vc.com), Intel Capital(www.intelcapital.com), Rain Capital(www.raincapital.vc), Samsung NEXT Ventures(www.samsungnext.com)</t>
  </si>
  <si>
    <t>60599-35</t>
  </si>
  <si>
    <t>Territory</t>
  </si>
  <si>
    <t>Freshology, Nona Lim, Sun Basket, Factor 75, Freshly, Gousto, Sprig</t>
  </si>
  <si>
    <t>Provider of professionally-prepared meals and delivery services created to offer delicious and healthy meals. The company serves personalized meals pre-made by professional chefs and nutritionists for increasingly health-conscious consumers, enabling customer to place an online orders and while chefs can increase their efficiency and sales while decreasing waste with a plan that utilizes excess capacities of staff and ingredients.</t>
  </si>
  <si>
    <t>FoodTech, LOHAS &amp; Wellness, Restaurant Technology, TMT</t>
  </si>
  <si>
    <t>healthy meals, meals delivery, nutritious meals, personalized meals</t>
  </si>
  <si>
    <t>www.territoryfoods.com</t>
  </si>
  <si>
    <t>2014: 10, 2015: 16, 2016: 19</t>
  </si>
  <si>
    <t>58326-76P</t>
  </si>
  <si>
    <t>Robert Morton</t>
  </si>
  <si>
    <t>robert@mypowersupply.com</t>
  </si>
  <si>
    <t>+1 (202) 656-1644</t>
  </si>
  <si>
    <t>1712 Mount Vernon Avenue</t>
  </si>
  <si>
    <t>22301</t>
  </si>
  <si>
    <t>hello@territoryfoods.com</t>
  </si>
  <si>
    <t>The company raised $3.94 million of Series A venture funding from 500 Startups on February 11, 2019, putting the company's pre-money valuation at $14.56 million.</t>
  </si>
  <si>
    <t>500 Startups, Andrew Koven, Center for Innovative Technology Gap Funds, Dan Blank, Disruption, Hanson Li, Jennifer O'Daniel, John Sabotta, LDR Ventures, Lewis &amp; Clark Ventures, Mark Sisson, Michael Chasen, Middleland Capital, Motley Fool Ventures, NRV, Paul Singh, Ric Fleisher, Sean Glass, Tucker Bailey, Upfront Ventures, Wild Ventures</t>
  </si>
  <si>
    <t>500 Startups(www.500.co), Center for Innovative Technology Gap Funds(www.cit.org/service-lines/cit-gap-funds), Disruption(www.disruption.vc), LDR Ventures(www.ldrventures.com), Lewis &amp; Clark Ventures(www.lewisandclarkventures.com), Middleland Capital(www.middlelandcap.com), Motley Fool Ventures(www.foolventures.com), NRV(www.nrv.vc), Upfront Ventures(www.upfront.com), Wild Ventures(www.wildventures.vc)</t>
  </si>
  <si>
    <t>Cooley(Legal Advisor), District Capital Partners(Advisor: General)</t>
  </si>
  <si>
    <t>120979-45</t>
  </si>
  <si>
    <t>Terran Orbital</t>
  </si>
  <si>
    <t>Provider of picosatellites, CubeSats, and nanosatellites intended to offer cost-effective end-to-end new space aerospace services. The company offers nanosatellite design, development, manufacturing, testing and launch services, enabling enterprises, universities and government agencies to undertake advanced missions.</t>
  </si>
  <si>
    <t>Aerospace and Defense, Electronic Equipment and Instruments, Other Commercial Products, Wireless Communications Equipment*</t>
  </si>
  <si>
    <t>Industrials, Manufacturing, Space Technology, TMT</t>
  </si>
  <si>
    <t>aerospace services, launch services, nanosatellites, satellite, space aviation</t>
  </si>
  <si>
    <t>www.terranorbital.com</t>
  </si>
  <si>
    <t>2015: 11, 2016: 60, 2018: 103, 2019: 125</t>
  </si>
  <si>
    <t>108846-73P</t>
  </si>
  <si>
    <t>Anthony Previte</t>
  </si>
  <si>
    <t>+1 (949) 753-1020</t>
  </si>
  <si>
    <t>Irvine, CA</t>
  </si>
  <si>
    <t>15330 Barranca Parkway</t>
  </si>
  <si>
    <t>Irvine</t>
  </si>
  <si>
    <t>92618</t>
  </si>
  <si>
    <t>info3465@terranorbital.com</t>
  </si>
  <si>
    <t>The company raised $36 million of Series B venture funding in a deal led by Lockheed Martin Ventures on August 6, 2018. Beach Point Capital Management and The Goldman Sachs Group also participated in the round. Prior to that, the company raised $7 million of Series A venture funding from Lockheed Martin Ventures on December 4, 2017, putting the company's pre-money valuation at $60 million.</t>
  </si>
  <si>
    <t>Beach Point Capital Management, Lockheed Martin Ventures, Marc Bell Capital Partners, Roarks Drift, Staton Capital, The Goldman Sachs Group</t>
  </si>
  <si>
    <t>Beach Point Capital Management(www.beachpoint.capital), Marc Bell Capital Partners(www.marcbell.com), Roarks Drift(www.roarksdrift.com), Staton Capital(statoncapital.com), The Goldman Sachs Group(www.goldmansachs.com)</t>
  </si>
  <si>
    <t>Akin Gump Strauss Hauer &amp; Feld(Legal Advisor), Goldman Sachs Asset Management(Investment Manager), Raymond James Financial(Advisor: General), Wilson Sonsini Goodrich &amp; Rosati(Legal Advisor)</t>
  </si>
  <si>
    <t>124664-23</t>
  </si>
  <si>
    <t>Terramera</t>
  </si>
  <si>
    <t>SePRO, Marrone Bio Innovations, AgriMetis, Certis USA, Dow AgroSciences, Botanocap, Redag Crop</t>
  </si>
  <si>
    <t>Manufacturer of alternative pesticide products created to deliver alternatives to conventional chemical pesticides and fertilizers. The company's focus lies in developing and offering healthy, safe environments free of toxic chemicals for agriculture, bee health and public health applications, and makes sustainable and organic farming cheaper, more productive and abundant, enabling farmers and growers to achieve improved yields and profits.</t>
  </si>
  <si>
    <t>Chemicals and Gases</t>
  </si>
  <si>
    <t>Specialty Chemicals</t>
  </si>
  <si>
    <t>Agricultural Chemicals, Specialty Chemicals*</t>
  </si>
  <si>
    <t>AgTech, Impact Investing, LOHAS &amp; Wellness, Manufacturing, TMT</t>
  </si>
  <si>
    <t>green fertilizers, impact investing vertical, pesticides, pesticides product, plant-based solution</t>
  </si>
  <si>
    <t>www.terramera.com</t>
  </si>
  <si>
    <t>2015: 14, 2016: 17</t>
  </si>
  <si>
    <t>114942-52P</t>
  </si>
  <si>
    <t>Karn Manhas</t>
  </si>
  <si>
    <t>karn@bugproof.com</t>
  </si>
  <si>
    <t>+1 (604) 639-9600</t>
  </si>
  <si>
    <t>1100-333 Seymour Street</t>
  </si>
  <si>
    <t>V6B 5A6</t>
  </si>
  <si>
    <t>+1 (800) 597-9509</t>
  </si>
  <si>
    <t>+1 (604) 909-1833</t>
  </si>
  <si>
    <t>info@terramera.com</t>
  </si>
  <si>
    <t>The company raised $22 million of development capital from Seed 2 Growth Ventures on September 15, 2016. IKEA GreenTech, Export Development Canada, Bold Capital Partners, Renewal Funds and Maumee Ventures also participated. The company used the capital to get products to market and increase its research and development efforts. Earlier, the company received an undisclosed amount of development capital from ACA Investment on February 24, 2016. The investment helped the company to expand its business, markets and distribution partner, in order to build the business in Asia and beyond.</t>
  </si>
  <si>
    <t>ACA Investments, Bold Capital Partners, Canadian Technology Accelerator, entrepreneurship@UBC Seed Fund, Export Development Canada, Ingka GreenTech, Maumee Ventures, National Research Council Canada, Renewal Funds, S2G Ventures, Sustainable Development Technology Canada, The Lazaridis Institute</t>
  </si>
  <si>
    <t>ACA Investments(www.acaisg.com), Bold Capital Partners(www.boldcapitalpartners.com), Canadian Technology Accelerator(www.ctaconnects.com), entrepreneurship@UBC Seed Fund(www.entrepreneurship.ubc.ca/seed-fund), Export Development Canada(www.edc.ca), Ingka GreenTech(www.ikea.greentechab.com), Maumee Ventures(www.maumeeventures.com), National Research Council Canada(www.nrc-cnrc.gc.ca), Renewal Funds(www.renewalfunds.com), S2G Ventures(www.s2gventures.com), Sustainable Development Technology Canada(www.sdtc.ca), The Lazaridis Institute(lazaridisinstitute.wlu.ca)</t>
  </si>
  <si>
    <t>Sidley Austin(Legal Advisor)</t>
  </si>
  <si>
    <t>BDC Capital(Debt Financing), Sidley Austin(Legal Advisor)</t>
  </si>
  <si>
    <t>Subordinated Debt</t>
  </si>
  <si>
    <t>55252-00</t>
  </si>
  <si>
    <t>TeraView</t>
  </si>
  <si>
    <t>Anasys Instruments</t>
  </si>
  <si>
    <t>Developer of a terahertz imaging platform designed to provide spectroscopic information and 3D image maps with unique spectroscopic signature. The company's terahertz imaging platform provides a reliable and robust source of terahertz light and exploits its properties to characterize a wide range of materials, enabling medical clinics to perform better chemical analysis of human body.</t>
  </si>
  <si>
    <t>Diagnostic Equipment*, Electrical Equipment, General Purpose Semiconductors</t>
  </si>
  <si>
    <t>chemicals analysis, radiation, semiconductor industry, terahertz imaging, terahertz production, terahertz semiconductor</t>
  </si>
  <si>
    <t>www.teraview.com</t>
  </si>
  <si>
    <t>2006: 34, 2007: 24, 2008: 18, 2009: 28, 2010: 23, 2011: 18, 2012: 18, 2013: 18, 2014: 22, 2015: 22, 2016: 24</t>
  </si>
  <si>
    <t>47160-19P</t>
  </si>
  <si>
    <t>Donald Arnone</t>
  </si>
  <si>
    <t>d.arnone@teraview.com</t>
  </si>
  <si>
    <t>+44 (0)12 2343 5380</t>
  </si>
  <si>
    <t>Cambridge, United Kingdom</t>
  </si>
  <si>
    <t>Platinum Building</t>
  </si>
  <si>
    <t>St John's Innovation Park, Cowley Road</t>
  </si>
  <si>
    <t>CB4 0DS</t>
  </si>
  <si>
    <t>+44 (0)12 2343 5382</t>
  </si>
  <si>
    <t>enquiry@teraview.com</t>
  </si>
  <si>
    <t>The company raised GBP 4.5 million of venture funding from Nordson, Samsung Venture Investment and TSB on March 6, 2017. Previously, the company raised GBP 7.66 million of venture funding in a deal led by Samsung Venture Investment on October 20, 2015, putting the pre-money valuation at GBP 8.2 million. Q Street Capital, Turquoise International, Nordson and Cambridge Enterprise also participated in the round. It will use the new investment to enhance the performance of its proprietary technology as well as to transition current products into QA and high throughput inspection services optimised for the requirements of customer production lines. The funding also will allow the company to increase its post-sales support and infrastructure in Asia and the US in order to directly assist manufacturing customers.</t>
  </si>
  <si>
    <t>Adapt Low Carbon Group, Amadeus Capital Partners, Avlar BioVentures, Cambridge Enterprise, Cambridge Gateway Fund, Cambridge Research and Innovation, Coherent, ET Capital, Full Circle Investments, Gresham House Strategic Public Equity, KLA-Tencor, New Hill Management, Nordson, Q Street Capital, Quester, Samsung Venture Investment, Toshiba Research Europe, TSB, TTP Venture Managers, Turquoise International, YFM Equity Partners</t>
  </si>
  <si>
    <t>Adapt Low Carbon Group(www.adaptlowcarbongroup.co.uk), Amadeus Capital Partners(www.amadeuscapital.com), Avlar BioVentures(www.avlar.com), Cambridge Enterprise(www.enterprise.cam.ac.uk), Cambridge Gateway Fund(www.cambridgegateway.com), Cambridge Research and Innovation(www.cril.co.uk), Coherent(www.coherent.com), ET Capital(www.etcapital.com), Full Circle Investments(www.fullcircleinvest.com), Gresham House Strategic Public Equity(strategicequity.greshamhouse.com), KLA-Tencor(www.kla-tencor.com), New Hill Management(www.newhillmgt.com), Nordson(www.nordson.com), Q Street Capital(www.qstreetcapital.com), Samsung Venture Investment(www.samsungventures.com), Toshiba Research Europe(www.toshiba.eu), TSB(www.tsbtrust.org), TTP Venture Managers(www.ttpventures.com), Turquoise International(www.turquoise.eu), YFM Equity Partners(www.yfmep.com)</t>
  </si>
  <si>
    <t>EY(Auditor), Fieldfisher(Legal Advisor), HSBC Bank UK(General Business Banking), Taylor Wessing(Legal Advisor), Turquoise International(Advisor: General)</t>
  </si>
  <si>
    <t>East of England Development Agency(Debt Financing), The FSE Group(Debt Financing)</t>
  </si>
  <si>
    <t>52797-79</t>
  </si>
  <si>
    <t>Teradici</t>
  </si>
  <si>
    <t>Dimension Data, Logicalis Group, Oracle, Rackspace US, IDEMIA, Pax8, Softlayer Technologies, CDNify, Nxtradata Ltd., Intermedia.net, Seaweed File System, Liquid Web, ProfitBricks, vArmour, MuleSoft, Level 3 Communications, Dell EMC, Getronics, 1QBit, Fastly, NxtGen Datacenter &amp; Cloud Technologies, NetApp, Bitglass, CDNetworks, Fox-IT Holding</t>
  </si>
  <si>
    <t>Developer of silicon-based technology services for information technology organizations. The company creates secure virtual workspace, through its PCoIP technology, which powers the spectrum of local, remote, mobile and collaborative work styles, simplifying how computing is provisioned, managed, and used throughout virtual and cloud environments.</t>
  </si>
  <si>
    <t>Other IT Services, Systems and Information Management*</t>
  </si>
  <si>
    <t>cloud environment, systems and information management, virtual workspace</t>
  </si>
  <si>
    <t>www.teradici.com</t>
  </si>
  <si>
    <t>2014: 225, 2016: 201</t>
  </si>
  <si>
    <t>130315-24P</t>
  </si>
  <si>
    <t>David Smith</t>
  </si>
  <si>
    <t>dsmith@teradici.com</t>
  </si>
  <si>
    <t>+1 (604) 451-5800</t>
  </si>
  <si>
    <t>4621 Canada Way</t>
  </si>
  <si>
    <t>V5G 4X8</t>
  </si>
  <si>
    <t>info@teradici.com</t>
  </si>
  <si>
    <t>GrowthWorks sold a 100% stake in the company to PenderFund for an undisclosed amount on March 1, 2019. Previously, the company received $13.6 million of development capital from Beedie Capital Partners and Lyra Capital on February 25, 2016. Syndication with Lyra Capital, Beedie Capital Partners provided $10million of secured debt financing.</t>
  </si>
  <si>
    <t>Alloy Ventures, Alta Berkeley, BDC Capital, BDC Healthcare Venture Fund, BDC Industrial, Clean and Energy Technology Venture Fund, Beedie Capital, Business Development Bank of Canada, Cisco Investments, In-Q-Tel, Lyra Capital, Matthew Ocko, PenderFund, Sandy Li, Skypoint Capital, TELUS Ventures</t>
  </si>
  <si>
    <t>GrowthWorks</t>
  </si>
  <si>
    <t>Alloy Ventures(www.alloyventures.com), Alta Berkeley(www.altaberkeley.com), BDC Industrial, Clean and Energy Technology Venture Fund(www.bdc.ca/EN/bdc-capital/venture-capital/strategic-approach/Pages/energy-cleantech-venture-fund.aspx), Beedie Capital(www.beedie.ca/capital), Business Development Bank of Canada(www.bdc.ca), Cisco Investments(www.ciscoinvestments.com), In-Q-Tel(www.iqt.org), PenderFund(www.penderfund.com), Skypoint Capital(www.skypointcorp.com), TELUS Ventures(ventures.telus.com)</t>
  </si>
  <si>
    <t>GrowthWorks(www.growthworks.ca)</t>
  </si>
  <si>
    <t>Fasken(Legal Advisor), Vell Executive Search(Consulting)</t>
  </si>
  <si>
    <t>Beedie Capital(Debt Financing), Fasken(Legal Advisor), Lyra Capital(Debt Financing)</t>
  </si>
  <si>
    <t>54699-67</t>
  </si>
  <si>
    <t>Tera-Barrier</t>
  </si>
  <si>
    <t>Developer of high performance flexible barrier films intended to serve businesses in Singapore. The company's films protect sensitive electronics from damage and performance degradation caused by moisture and oxygen and help to improve the lifetime and reliability of flexible electronics such as flex-PV, OLED and thin film batteries, enabling clients to avail high quality products at a reasonable rate.</t>
  </si>
  <si>
    <t>Electronic Components*, Other Commercial Products, Other Hardware</t>
  </si>
  <si>
    <t>film, oled, performance degradation, sensitive electronic protection, thin film, transparent barrier film</t>
  </si>
  <si>
    <t>www.tera-barrier.com</t>
  </si>
  <si>
    <t>42615-28P</t>
  </si>
  <si>
    <t>Mark Auch</t>
  </si>
  <si>
    <t>m-auch@tera-barrier.com</t>
  </si>
  <si>
    <t>+65 6592 0576</t>
  </si>
  <si>
    <t>Singapore, Singapore</t>
  </si>
  <si>
    <t>4 Fusionopolis Way, Level 6</t>
  </si>
  <si>
    <t>Kinesis Building</t>
  </si>
  <si>
    <t>Singapore</t>
  </si>
  <si>
    <t>138635</t>
  </si>
  <si>
    <t>The company raised Series B venture funding from Extream Ventures and other undisclosed investors in March 2013.</t>
  </si>
  <si>
    <t>Applied Ventures, Exploit Technologies, Extream Ventures, Kisco</t>
  </si>
  <si>
    <t>Exploit Technologies(www.exploit-tech.com), Kisco(www.kisco-net.com)</t>
  </si>
  <si>
    <t>226886-32</t>
  </si>
  <si>
    <t>tEQuitable</t>
  </si>
  <si>
    <t>Culture Amp, Convercent, Navex</t>
  </si>
  <si>
    <t>Developer of a platform designed to proactively help companies get in front of and prevent bias and harassment. The company's platform provides services for employees to address issues of bias and discrimination, from subtle to severe, and for companies to identify and improve systemic workplace culture issues based on quantitative and qualitative data, enabling companies to be more equitable.</t>
  </si>
  <si>
    <t>Human Capital Services, Other Software*</t>
  </si>
  <si>
    <t>HR Tech, TMT</t>
  </si>
  <si>
    <t>analytics and insights, bias monitoring software, culture analytics platform, discrimination prevention software, education and learning, harassment monitoring, harassment prevention, work culture improvement platform, work culture monitoring, workplace culture analytics, workplace culture review</t>
  </si>
  <si>
    <t>www.tequitable.com</t>
  </si>
  <si>
    <t>182000-08P</t>
  </si>
  <si>
    <t>Lisa Gelobter</t>
  </si>
  <si>
    <t>lisa@tequitable.com</t>
  </si>
  <si>
    <t>+1 (844) 253-4100</t>
  </si>
  <si>
    <t>2148 Broadway</t>
  </si>
  <si>
    <t>The company raised $2 million of seed funding from Ulu Ventures, Kapor Capital and Motley Fool Ventures on June 28, 2018. Uprising, Vista Venture Partners and Aspect Ventures also participated in the round.</t>
  </si>
  <si>
    <t>Aspect Ventures, Kapor Capital, Motley Fool Ventures, Ulu Ventures, Uprising, Vista Venture Partners, Y Combinator</t>
  </si>
  <si>
    <t>Aspect Ventures(www.aspectventures.com), Kapor Capital(www.kaporcapital.com), Motley Fool Ventures(www.foolventures.com), Ulu Ventures(www.uluventures.com), Uprising(www.uprising.us), Vista Venture Partners(www.vistavp.com), Y Combinator(www.ycombinator.com)</t>
  </si>
  <si>
    <t>82756-81</t>
  </si>
  <si>
    <t>Tenfold</t>
  </si>
  <si>
    <t>Callinize</t>
  </si>
  <si>
    <t>Autopilot, Pipedrive, Yesware, RingDNA, SalesLoft, Salesfusion, Helpshift, Hatchbuck, Growth Intelligence, PipelineDeals, Act-On, SugarCRM, Insightly, Chorus, Outreach, Conversica, Showpad, LeadDesk, Gladly, Salesify, Agile CRM, Artesian Solutions, Pixel by Pixel, 3CLogic, Kayako, Sellsy, Close.io, PayPro Global, Peak Business Insight, Conversocial, VerticalResponse, DialSource, Apollo (business intelligence platform), Fastcall, Bronto Software, HubSpot, Elastic Path, Salesforce Commerce Cloud, Ecwid, ConnectLeader, Gong.io, SharpSpring, Aspect Software, VanillaSoft, InsideView, Altitude Software, Aircall, Digital River, Genesys, Marketo, Zendesk, Help Scout, Nexway, Noble Systems, Miva (E-commerce), Serenova, Base (Sales Platform), Talkdesk, LeadGenius, BMC Software, Ring.io, ToutApp, HappyFox, Callbox, Salesforce, InsideSales.com, Aria Systems, RingCentral, Sunoray Solutions, SalesHood, 86Borders, Calabrio, Fuze, LiveVox, Jumplead, BillingPlatform, Fusebill, Nutshell, Bright Pattern, Nimble, Paddle, ActiveCampaign</t>
  </si>
  <si>
    <t>Developer of software solution that produces a unified view of previous customer engagement. The company's platform allows companies to dig deep into their business history, enabling them to make prompt responses and decisive actions to ensure customer satisfaction, more business opportunity, and improved business growth. Their software solution aggregates all business data, including sales, service, and marketing, and provides a unified view of the customer that businesses can access in real time. All contact points and interactions with customers are captured back into their existing CRMs, such as business call, email, text, and chat, reducing the need for manual data entry. This solution is designed to integrate seamlessly with the most popular CRMs and phone systems, including Salesforce, Avaya, HubSpot, Asterisk, and Mitel.</t>
  </si>
  <si>
    <t>Application Software, Automation/Workflow Software, Business/Productivity Software*, Media and Information Services (B2B)</t>
  </si>
  <si>
    <t>cloud computing, cloud computing platform, cloud computing software, customer behavior, customer service, customer service software, customer tracking software</t>
  </si>
  <si>
    <t>www.tenfold.com</t>
  </si>
  <si>
    <t>103394-26P</t>
  </si>
  <si>
    <t>Daniel Sincavage</t>
  </si>
  <si>
    <t>Co-Founder &amp; Chief Strategy Officer</t>
  </si>
  <si>
    <t>dsincavage@tenfold.com</t>
  </si>
  <si>
    <t>+1 (415) 599-1170</t>
  </si>
  <si>
    <t>2222 Rio Grande</t>
  </si>
  <si>
    <t>support@tenfold.com</t>
  </si>
  <si>
    <t>The company raised $15 million of Series B venture funding in a deal led by Next Coast Ventures on December 05, 2018, putting the company's pre-money valuation at $65 million. Salesforce Ventures and Andreessen Horowitz also participated in the round.</t>
  </si>
  <si>
    <t>Andreessen Horowitz, Bodley Group, ESW Capital, Geekdom Fund, Jared Slosberg, Lew Moorman, Next Coast Ventures, Pat Condon, Pat Matthews, Patrick Condon, Salesforce Ventures, Techstars</t>
  </si>
  <si>
    <t>Andreessen Horowitz(www.a16z.com), Bodley Group(www.bodleygroup.com), ESW Capital(www.eswcapital.com), Geekdom Fund(www.geekdomfund.com), Next Coast Ventures(www.nextcoastventures.com), Techstars(www.techstars.com)</t>
  </si>
  <si>
    <t>Spross &amp; Associates(Legal Advisor)</t>
  </si>
  <si>
    <t>SurePath Capital Partners(Advisor: General)</t>
  </si>
  <si>
    <t>51129-19</t>
  </si>
  <si>
    <t>Tendril Networks</t>
  </si>
  <si>
    <t>Tendril</t>
  </si>
  <si>
    <t>Quby, Enlighted, Digital Lumens, Verdigris, Opower</t>
  </si>
  <si>
    <t>Provider of residential energy management systems (REMS) designed to offer control, demand response, electric vehicle charging and distributed generation support. The company offers a residential energy ecosystem and a consumer-centric end-to-end REMS platform, enabling the utility industry and its customers to receive advanced metering systems and home-based smart energy devices.</t>
  </si>
  <si>
    <t>Electrical Equipment*, Other Commercial Products</t>
  </si>
  <si>
    <t>CleanTech, SaaS, TMT</t>
  </si>
  <si>
    <t>advances meter, energy management, home energy management</t>
  </si>
  <si>
    <t>www.tendrilinc.com</t>
  </si>
  <si>
    <t>2005: 9, 2006: 9, 2007: 9, 2008: 9, 2010: 40, 2012: 99, 2013: 100, 2014: 200, 2015: 114</t>
  </si>
  <si>
    <t>158501-62P</t>
  </si>
  <si>
    <t>Jaylene Kunze</t>
  </si>
  <si>
    <t>jkunze@tendrilinc.com</t>
  </si>
  <si>
    <t>+1 (720) 921-2166</t>
  </si>
  <si>
    <t>2580 55th Street</t>
  </si>
  <si>
    <t>80301</t>
  </si>
  <si>
    <t>+1 (720) 921-2100</t>
  </si>
  <si>
    <t>+1 (720) 921-2101</t>
  </si>
  <si>
    <t>info@tendrilinc.com</t>
  </si>
  <si>
    <t>The company was acquired by RUBICON Technology Partners, Morgan Stanley Investment Management and Zoma Capital through an LBO on December 5, 2018 for an undisclosed sum. The investment will continue to innovate and expand Tendril's industry-leading platform and support its customers for years to come.</t>
  </si>
  <si>
    <t>Morgan Stanley Investment Management, RUBICON Technology Partners, Zoma Capital</t>
  </si>
  <si>
    <t>Access Venture Partners, Appian Ventures, Bregal Energy, Energy Impact Partners, ENGIE New Ventures, GE Ventures, Hercules Capital, In-Q-Tel, Moderne Ventures, Next47, RRE Ventures, SunPower, TIAA-CREF Asset Management, VantagePoint Capital Partners, Vista Ventures</t>
  </si>
  <si>
    <t>RUBICON Technology Partners(www.rubicontp.com)</t>
  </si>
  <si>
    <t>Access Venture Partners(www.accessvp.com), Appian Ventures(www.appianvc.com), Bregal Energy(www.bregalenergy.com), Energy Impact Partners(www.energyimpactpartners.com), ENGIE New Ventures(www.engieventures.com), GE Ventures(www.geventures.com), Hercules Capital(www.htgc.com), In-Q-Tel(www.iqt.org), Moderne Ventures(www.moderneventures.com), Next47(Next47.com), RRE Ventures(www.rre.com), SunPower(www.us.sunpower.com), TIAA-CREF Asset Management(www.tiaa.org/public/assetmanagement), VantagePoint Capital Partners(www.vpcp.com), Vista Ventures(www.vistavc.com)</t>
  </si>
  <si>
    <t>Canaccord Genuity(Advisor: General), Cooley(Legal Advisor), Energy Impact Partners(Debt Financing), Hercules Capital(Debt Financing), Zoma Capital(Debt Financing)</t>
  </si>
  <si>
    <t>100640-53</t>
  </si>
  <si>
    <t>TempoQuest</t>
  </si>
  <si>
    <t>TQI</t>
  </si>
  <si>
    <t>Provider of a next-generation weather forecasting technology software created to meet the need of accurate weather forecasts. The company's next-generation weather forecasts are being designed to run on graphic processor unit accelerators using GPU processors to commercial users and government agencies obtained through satellite sensors, drones and radars, offering users to collect global weather data.</t>
  </si>
  <si>
    <t>Application Software, Information Services (B2C)*, Other Software</t>
  </si>
  <si>
    <t>gpu forecasting product, weather analysis, weather data analysis, weather forecasting, weather forecasting technology, weather information</t>
  </si>
  <si>
    <t>www.tempoquest.com</t>
  </si>
  <si>
    <t>72948-88P</t>
  </si>
  <si>
    <t>Edward Keible</t>
  </si>
  <si>
    <t>Executive Chairman &amp; Chief Executive Officer</t>
  </si>
  <si>
    <t>ed@tempoquest.com</t>
  </si>
  <si>
    <t>+1 (702) 851-7576</t>
  </si>
  <si>
    <t>Las Vegas, NV</t>
  </si>
  <si>
    <t>10785 West Twain Avenue</t>
  </si>
  <si>
    <t>Las Vegas</t>
  </si>
  <si>
    <t>Nevada</t>
  </si>
  <si>
    <t>89135</t>
  </si>
  <si>
    <t>+1 (702) 220-6444</t>
  </si>
  <si>
    <t>The company raised $2.5 million of seed funding from SCubed Capital, Bob Pavey and Harvey Jones on December 13, 2017. The funding will be used to continue development of the company's proprietary weather forecasting software solutions on an accelerated schedule.</t>
  </si>
  <si>
    <t>Al Boschulte, Harvey Jones, NVIDIA GPU Ventures, Robert Pavey, S-Cubed Capital</t>
  </si>
  <si>
    <t>S-Cubed Capital(www.scubedcap.com)</t>
  </si>
  <si>
    <t>55465-93</t>
  </si>
  <si>
    <t>Tely (Communication Software)</t>
  </si>
  <si>
    <t>RasterMagic</t>
  </si>
  <si>
    <t>Vidyo, MessageBird, Zoom Video Communications, GoToMeeting, WhatsApp, Pexip, Videxio, LifeSize, Join Me, Surfly, ReadyTalk, Starleaf, Fuze, BlueJeans, ScreenLeap, Nexmo, Twilio</t>
  </si>
  <si>
    <t>Provider of a video calling system intended to provide simple high-definition video collaboration. The company's video calling system is based on cloud-optimized endpoints, enabling creative teams to share content and interact with each other and with their customers, partners, suppliers through visual collaboration.</t>
  </si>
  <si>
    <t>Application Software, Communication Software*</t>
  </si>
  <si>
    <t>document sharing tools, video calling software, video conference, video endpoint</t>
  </si>
  <si>
    <t>www.tely.com</t>
  </si>
  <si>
    <t>2014: 28, 2015: 46, 2016: 52</t>
  </si>
  <si>
    <t>43200-91P</t>
  </si>
  <si>
    <t>Todd Abbott</t>
  </si>
  <si>
    <t>President and Chief Executive Officer</t>
  </si>
  <si>
    <t>+1 (650) 460-3800</t>
  </si>
  <si>
    <t>690 Broadway Street</t>
  </si>
  <si>
    <t>The company raised $5.5 million of Series B1 venture funding from Comcast Ventures on November 24, 2015, putting the company's pre-money valuation at $20.89 million.</t>
  </si>
  <si>
    <t>Comcast Ventures, DCM Ventures, Rogers Venture Partners</t>
  </si>
  <si>
    <t>Comcast Ventures(www.comcastventures.com), DCM Ventures(www.dcm.com), Rogers Venture Partners(www.rogersvp.com)</t>
  </si>
  <si>
    <t>121519-54</t>
  </si>
  <si>
    <t>Teltoo</t>
  </si>
  <si>
    <t>Provider of a peer-to-peer video delivery platform intended to deliver videos easily. The company's video delivery platform incorporates the use of CDN and HTML5 technology that integrates in the video player of potential customers, enabling users to save network costs and bandwidth to view and stream videos and live events at the highest traffic peaks.</t>
  </si>
  <si>
    <t>Movies, Music and Entertainment, Multimedia and Design Software*, Social/Platform Software</t>
  </si>
  <si>
    <t>multimedia content delivery, multimedia content provider, multimedia content software, p2p content distribution, video distribution</t>
  </si>
  <si>
    <t>www.teltoo.com</t>
  </si>
  <si>
    <t>124241-59P</t>
  </si>
  <si>
    <t>Pablo Hesse</t>
  </si>
  <si>
    <t>phesse@teltoo.com</t>
  </si>
  <si>
    <t>Madrid, Spain</t>
  </si>
  <si>
    <t>Google Campus Madrid</t>
  </si>
  <si>
    <t>Calle Mazarredo, 9</t>
  </si>
  <si>
    <t>Madrid</t>
  </si>
  <si>
    <t>28005</t>
  </si>
  <si>
    <t>contact@teltoo.com</t>
  </si>
  <si>
    <t>The company raised an undisclosed amount of venture funding from Southern Sun Angel Capital and Wayra in 2018.</t>
  </si>
  <si>
    <t>CableLabs, FirstMile Ventures, GAN Ventures, Liberty Global Ventures, Southern Sun Angel Capital, Startup Next, Stout Street Capital, Techstars, Tetuan Valley, Virgin Media Business, Wayra</t>
  </si>
  <si>
    <t>CableLabs(cablelabs.com), FirstMile Ventures(www.firstmilevc.com), GAN Ventures(www.gan.ventures), Southern Sun Angel Capital(www.southernsunangelcapital.com), Startup Next(www.startupnext.co), Stout Street Capital(www.stoutstreetcapital.com), Techstars(www.techstars.com), Tetuan Valley(www.tetuanvalley.com), Virgin Media Business(www.virginmediabusiness.co.uk), Wayra(de.wayra.co)</t>
  </si>
  <si>
    <t>Squire Patton Boggs(Legal Advisor)</t>
  </si>
  <si>
    <t>229820-23</t>
  </si>
  <si>
    <t>Telexistence</t>
  </si>
  <si>
    <t>Provider of robotics and cloud data services intended to improve the productivity of individuals, companies and society. The company aims to develop telexistence robots, online remote control robotics technologies and a communication module cloud system that transmits, accumulates and analyzes everything from visual and auditory to tactile information, enabling users to act freely in that remote environment and expanding the presence of human beings.</t>
  </si>
  <si>
    <t>Other Services (B2C Non-Financial)*</t>
  </si>
  <si>
    <t>Robotics and Drones</t>
  </si>
  <si>
    <t>cloud system, robotics, telepresence, telepresence robots, telexistence technology</t>
  </si>
  <si>
    <t>www.tx-inc.com</t>
  </si>
  <si>
    <t>197390-80P</t>
  </si>
  <si>
    <t>Hitoshi Tomioka</t>
  </si>
  <si>
    <t>Co-Founder, Chief Financial Officer &amp; Chief Executive Officer</t>
  </si>
  <si>
    <t>jin@tx-inc.com</t>
  </si>
  <si>
    <t>Kazama building 3rd floor</t>
  </si>
  <si>
    <t>2-19-5, Nishi Shinbashi, Minato-ku</t>
  </si>
  <si>
    <t>105-0003</t>
  </si>
  <si>
    <t>info@tx-inc.com</t>
  </si>
  <si>
    <t>The company raised an undisclosed amount of Series A venture funding in a deal led by Airbus Ventures on November 28, 2018. JTB Group, Maeda, KDDI Ventures Program, Japan Science And Technology Agency, The University of Tokyo, Mizuho Capital Partners, Deepcore and Monoful Inc. also participated in this round. As a part of the deal, The Bank of Tokyo-Mitsubishi UFJ provided an undisclosed amount of debt financing to the company in the form of a loan.</t>
  </si>
  <si>
    <t>Airbus Ventures, Deepcore, Global Brain, Japan Science And Technology Agency, JTB Group, KDDI Ventures Program, Maeda, Mizuho Capital Partners, Monoful Inc., The University of Tokyo</t>
  </si>
  <si>
    <t>Airbus Ventures(www.airbusventures.vc), Deepcore(www.deepcore.jp), Global Brain(www.globalbrains.com), Japan Science And Technology Agency(www.jst.go.jp), JTB Group(www.jtbcorp.jp/en), Maeda(www.maeda.co.jp), The University of Tokyo(www.u-tokyo.ac.jp)</t>
  </si>
  <si>
    <t>MUFG Bank(Debt Financing)</t>
  </si>
  <si>
    <t>171103-78</t>
  </si>
  <si>
    <t>Tekion (Application Software)</t>
  </si>
  <si>
    <t>Provider of a cloud-built platform intended to connect digital experiences to automotive retail through machine learning and artificial intelligence capabilities. The company's platform provides a cloud ML/AI, Big Data and Internet of Things platform, which brings a digital experience from online to in-store, globalizing car dealers to seek a better way to do business while providing customer experiences and increasing efficiency, revenue and retention.</t>
  </si>
  <si>
    <t>Application Software*, Automation/Workflow Software, Business/Productivity Software</t>
  </si>
  <si>
    <t>customer centric platform, digital experience analytics, enterprise software, integrated experience, internet of things platform</t>
  </si>
  <si>
    <t>www.tekion.com</t>
  </si>
  <si>
    <t>2019: 150</t>
  </si>
  <si>
    <t>53953-48P</t>
  </si>
  <si>
    <t>Jay Vijayan</t>
  </si>
  <si>
    <t>jvijayan@tekion.com</t>
  </si>
  <si>
    <t>+1 (604) 656-6610</t>
  </si>
  <si>
    <t>San Ramon, CA</t>
  </si>
  <si>
    <t>12647 Alcosta Boulevard</t>
  </si>
  <si>
    <t>San Ramon</t>
  </si>
  <si>
    <t>94583</t>
  </si>
  <si>
    <t>+1 (833) 835-4662</t>
  </si>
  <si>
    <t>info@tekion.com</t>
  </si>
  <si>
    <t>The company raised an undisclosed amount of venture funding from Alliance Ventures on January 16, 2019. Previously, the company raised an estimated $22 million of Series B venture funding from PartnerRe, Airbus Ventures and Exor on July 13, 2018, putting the company's pre-money valuation at $75 million.</t>
  </si>
  <si>
    <t>Airbus Ventures, Alliance Ventures, AME Cloud Ventures, BluePointe Ventures, Exor, EXOR Seeds, Monta Vista Capital, PartnerRe</t>
  </si>
  <si>
    <t>Airbus Ventures(www.airbusventures.vc), AME Cloud Ventures(www.amecloudventures.com), BluePointe Ventures(www.bluepointeventures.com), Exor(www.exor.com), Monta Vista Capital(www.montavc.com), PartnerRe(www.partnerre.com)</t>
  </si>
  <si>
    <t>174195-01</t>
  </si>
  <si>
    <t>Tectus Group</t>
  </si>
  <si>
    <t>Provider of investment and operation services intended to help companies grow their businesses. The company's investment and operation services specializes in offering services such as cross-disciplinary research in virtual reality,building information modeling, asset inspection, drones and activity tracking, enabling companies to make concise business decisions and grow their businesses.</t>
  </si>
  <si>
    <t>Consulting Services (B2B)*, Other Commercial Services, Other Financial Services</t>
  </si>
  <si>
    <t>assets inspection, building information, cross-disciplinary research, investment planning, investment services</t>
  </si>
  <si>
    <t>www.tectusgroup.com</t>
  </si>
  <si>
    <t>2017: 21</t>
  </si>
  <si>
    <t>59887-81P</t>
  </si>
  <si>
    <t>Marcel Poser</t>
  </si>
  <si>
    <t>marcel.poser@tectusgroup.com</t>
  </si>
  <si>
    <t>+41 (0)44 258 8800</t>
  </si>
  <si>
    <t>Beustweg 12</t>
  </si>
  <si>
    <t>8032</t>
  </si>
  <si>
    <t>+41 (0)44 258 8899</t>
  </si>
  <si>
    <t>info@tectusgroup.com</t>
  </si>
  <si>
    <t>The company raised venture funding from Liberty Global Ventures on an undisclosed date.</t>
  </si>
  <si>
    <t>Liberty Global Ventures</t>
  </si>
  <si>
    <t>98756-11</t>
  </si>
  <si>
    <t>Tectonic</t>
  </si>
  <si>
    <t>InsideSales.com, Opera Solutions, Alteryx, Lattice (Business/Productivity Software), BeyondCore, Gainsight, Wolfram Research, Peel-Works, Datascience.com, Angoss Software, Astronomer, Unbxd, Predixion, Actian, Vanguard Software Corporation, DataRobot, RapidMiner, Datameer, BigML, River Logic, Infer, 6Sense, TargetingMantra, BusinessOptics, Infinite Analytics, Mintigo, Maana, Certona, Symphony AyasdiAI, Exaptive, Teraki, Domino Data Lab, Appirio, Dataiku, Openshift</t>
  </si>
  <si>
    <t>Developer of automation technologies designed to create insights that grow revenue. The company's automation technologies provide an integrated approach to big data, analytics and customer relationship management in the cloud, enabling clients to predict and shape customer behavior by making their customer data actionable in the digital and physical space for a complete business transformation.</t>
  </si>
  <si>
    <t>Automation/Workflow Software*, Business/Productivity Software</t>
  </si>
  <si>
    <t>Big Data, Marketing Tech, TMT</t>
  </si>
  <si>
    <t>big data, crm investment, marketing automation</t>
  </si>
  <si>
    <t>www.gettectonic.com</t>
  </si>
  <si>
    <t>2015: 160, 2016: 136</t>
  </si>
  <si>
    <t>82700-11P</t>
  </si>
  <si>
    <t>Blair Linville</t>
  </si>
  <si>
    <t>blair.linville@gettectonic.com</t>
  </si>
  <si>
    <t>+1 (888) 707-1574</t>
  </si>
  <si>
    <t>1644 Platte Street</t>
  </si>
  <si>
    <t>Suite 400</t>
  </si>
  <si>
    <t>info@gettectonic.com</t>
  </si>
  <si>
    <t>The company received an undisclosed amount of debt financing in the form of a lien from Pacific Western Bank (Los Angeles) on November 24, 2015.</t>
  </si>
  <si>
    <t>Fortitude MB, Salesforce Ventures</t>
  </si>
  <si>
    <t>Fortitude MB(fortitudemb.com)</t>
  </si>
  <si>
    <t>The Environmental Financial Consulting Group(Advisor: General)</t>
  </si>
  <si>
    <t>Cypress Growth Capital(Debt Financing), Pacific Western Bank (Los Angeles)(Debt Financing), Silicon Valley Bank(Debt Financing)</t>
  </si>
  <si>
    <t>173295-55</t>
  </si>
  <si>
    <t>TechSee</t>
  </si>
  <si>
    <t>Glia (Digital Platform), DeePhi, Localytics, Glance Networks, CaféX, Fuze, Vee24, Scortex, Slack, Zappix, Keap (Saas Platform), RedBooth, Oblong, Dimelo, Mowingo, Percolate, Apptentive, Zinc, Genesys, Jacada</t>
  </si>
  <si>
    <t>Provider of AI-powered visual customer engagement platform created to change the traditional way of customer support. The company's platform combines deep learning, big data, proprietary computer vision algorithms and delivers an interactive visual customer experience along the customer journey - from purchase to product unboxing, usage, guidance and support, enabling call center agents to improve customer service while reducing support costs and increased ROI.</t>
  </si>
  <si>
    <t>Artificial Intelligence &amp; Machine Learning, Augmented Reality, Big Data, TMT</t>
  </si>
  <si>
    <t>ai customer assistance, augmented reality, augmented visual support, customer service system, customer support services, virtual tech assistant, visual customer assistance, visual customer service</t>
  </si>
  <si>
    <t>techsee.me</t>
  </si>
  <si>
    <t>113866-84P</t>
  </si>
  <si>
    <t>Eitan Cohen</t>
  </si>
  <si>
    <t>eitan@techsee.me</t>
  </si>
  <si>
    <t>Herzeliya, Israel</t>
  </si>
  <si>
    <t>1 Shankar Street</t>
  </si>
  <si>
    <t>Herzeliya</t>
  </si>
  <si>
    <t>4672501</t>
  </si>
  <si>
    <t>The company raised $16 million of Series B venture funding in a deal led by Scale Venture Partners on December 11, 2018. Comdata Group, Salesforce Ventures, OurCrowd, and Planven Investments also participated in this round. The funds will be used by the company to accelerate its global business growth and strengthen its platform.</t>
  </si>
  <si>
    <t>Cognitiv Ventures, Comdata Group, Innogy Innovation Hub, Innogy Venture Capital, OurCrowd, Planven Investments, Salesforce Ventures, Scale Venture Partners</t>
  </si>
  <si>
    <t>Cognitiv Ventures(www.cognitiv.vc), Comdata Group(www.comdatagroup.com), Innogy Innovation Hub(innovationhub.innogy.com), Innogy Venture Capital(www.innogy-ventures.com), OurCrowd(www.ourcrowd.com), Planven Investments(www.planven.com), Scale Venture Partners(www.scalevp.com)</t>
  </si>
  <si>
    <t>120625-57</t>
  </si>
  <si>
    <t>Technetix Group</t>
  </si>
  <si>
    <t>Technetix</t>
  </si>
  <si>
    <t>Provider of a broadband network transmission technology intended to provide critical broadband services worldwide. The company's broadband network transmission technology includes broadband cable and telecommunications equipment enabling cable operators to bring new, innovative technologies to the broadband cable market.</t>
  </si>
  <si>
    <t>Connectivity Products, Other Commercial Services*, Wireless Communications Equipment</t>
  </si>
  <si>
    <t>access network, broadband, broadband cable, broadband network transmission, transmission technology</t>
  </si>
  <si>
    <t>emea.technetix.com</t>
  </si>
  <si>
    <t>107666-74P</t>
  </si>
  <si>
    <t>Paul Broadhurst</t>
  </si>
  <si>
    <t>paul.broadhurst@technetix.com</t>
  </si>
  <si>
    <t>+44 (0)14 4425 1200</t>
  </si>
  <si>
    <t>Albourne, United Kingdom</t>
  </si>
  <si>
    <t>Innovation House</t>
  </si>
  <si>
    <t>Technetix Business Park</t>
  </si>
  <si>
    <t>Albourne</t>
  </si>
  <si>
    <t>BN6 9EB</t>
  </si>
  <si>
    <t>info@technetix.com</t>
  </si>
  <si>
    <t>The company raised GBP 7.5 million of venture funding from Liberty Global Ventures on July 5, 2016. The funds will be used for further market traction and to get a broader range of business opportunities.</t>
  </si>
  <si>
    <t>Travers Smith(Legal Advisor)</t>
  </si>
  <si>
    <t>169183-81</t>
  </si>
  <si>
    <t>Teamscope (Application)</t>
  </si>
  <si>
    <t>GoSpotCheck, Avidian Technologies</t>
  </si>
  <si>
    <t>Developer of talent assessment platform designed to search professionals. The company's talent assessment platform specializes in big data analytics and advanced machine learning methods which analyze the existing team, point out gaps in the team composition, suggest best complements to choose candidate, enabling businesses to hire the best candidates.</t>
  </si>
  <si>
    <t>Artificial Intelligence &amp; Machine Learning, Big Data, HR Tech, TMT</t>
  </si>
  <si>
    <t>talent acquisition platform, talent analytics, talent assessment, team assessment, team building</t>
  </si>
  <si>
    <t>www.teamscope.io</t>
  </si>
  <si>
    <t>152990-38P</t>
  </si>
  <si>
    <t>Alo Arro</t>
  </si>
  <si>
    <t>alo@teamscope.io</t>
  </si>
  <si>
    <t>56 Wharf Road</t>
  </si>
  <si>
    <t>N1 7EW</t>
  </si>
  <si>
    <t>teamscope@teamscope.io</t>
  </si>
  <si>
    <t>The company raised EUR 500,000 of seed funding from Black Pearls VC, Startup Wise Guys and Techstars on October 11, 2018. Andrus Purde, Jaan Tallinn and Lauri Isotamm also participated in the round.</t>
  </si>
  <si>
    <t>Andrus Purde, Black Pearls VC, Jaan Tallinn, Lauri Isotamm, SAP.iO Foundry, Startup Wise Guys, Techstars</t>
  </si>
  <si>
    <t>Black Pearls VC(www.blackpearls.vc), SAP.iO Foundry(sap.io), Startup Wise Guys(www.startupwiseguys.com), Techstars(www.techstars.com)</t>
  </si>
  <si>
    <t>108037-45</t>
  </si>
  <si>
    <t>Team8</t>
  </si>
  <si>
    <t>Operator of a company creation platform intended to provide funding for cybersecurity startups. The company's platform develops disruptive companies that challenge the biggest problems in cybersecurity and give organizations the advantage over cyber attackers, enabling cybersecurity startups access to cyber talent, customers, partners and key influencers of the sector.</t>
  </si>
  <si>
    <t>Other Commercial Services, Private Equity*</t>
  </si>
  <si>
    <t>cyber security company, cyber security funding, security consulting, startup accelerator, venture capital fund, venture creation</t>
  </si>
  <si>
    <t>www.team8.vc</t>
  </si>
  <si>
    <t>2016: 130, 2017: 180, 2018: 370</t>
  </si>
  <si>
    <t>92870-74P</t>
  </si>
  <si>
    <t>Nadav Zafrir</t>
  </si>
  <si>
    <t>nadav@team8.vc</t>
  </si>
  <si>
    <t>Totseret ha-Arets Street 7</t>
  </si>
  <si>
    <t>info@team8.vc</t>
  </si>
  <si>
    <t>The company raised $85 million of venture funding from M12, Walmart and Airbus on October 23, 2018. SoftBank Group, Moody's, Scotiabank Peru, Munich Re and Barclays Bank also participated in the round. The funds will be used to expand the company's focus beyond just cyberdefense.</t>
  </si>
  <si>
    <t>Accenture, Airbus, AT&amp;T, Barclays, Bessemer Venture Partners, Cisco Investments, Citigroup, Innovation Endeavors, Lucent Asset Management, M12, Marker, Mitsui &amp; Co., Moody's, Munich Re, New Enterprise Associates, Nokia, Qualcomm Ventures, Scotiabank Peru, SoftBank Group, Soros Fund Management, Temasek Holdings, Walmart</t>
  </si>
  <si>
    <t>Accenture(www.accenture.com), Airbus(www.airbus.com), AT&amp;T(www.att.com), Barclays(www.barclays.com), Bessemer Venture Partners(www.bvp.com), Cisco Investments(www.ciscoinvestments.com), Citigroup(www.citigroup.com/citi), Innovation Endeavors(www.innovationendeavors.com), M12(www.m12.vc), Marker(www.marker-llc.com), Mitsui &amp; Co.(www.mitsui.com), Moody's(moodys.com), New Enterprise Associates(www.nea.com), Nokia(www.nokia.com), Qualcomm Ventures(www.qualcommventures.com), Scotiabank Peru(www.scotiabank.com.pe), SoftBank Group(www.softbank.jp), Temasek Holdings(www.temasek.com.sg), Walmart(www.walmart.com)</t>
  </si>
  <si>
    <t>GK Investor &amp; Public Relations(Advisor: General)</t>
  </si>
  <si>
    <t>GK Investor &amp; Public Relations(Advisor: General), Meitar Liquornik Geva Leshem Tal(Legal Advisor)</t>
  </si>
  <si>
    <t>53609-14</t>
  </si>
  <si>
    <t>Tealium</t>
  </si>
  <si>
    <t>MoEngage, Cloudyn Software, Treasure Data, Sysdig, mParticle, Ascent360, WebTrends, SessionM, Pentaho, SAP, Pulsate, Xplenty, Aternity, Pendo, Cloudability, Salesforce, ObservePoint, Marketo, Amperity, Eulerian Technologies, nPario, Clicktale, Circonus, Scalr, RightScale, Segment, Alteryx, Mouseflow, Lotame Solutions, MixPanel, Amplitude, Clinc, eTrigue, Signal, BA Insight, CloudCheckr, Ensighten, SignalFx, SnapLogic, New Relic, Turn, Splunk, CrossEngage, Evergage, Astronomer, SAS Institute, Paxata, Boomtrain, FXiaoKe, Boxever, Librato, RapidMiner, Decibel Insight, Monetate, Swirl, Qubit (Social/Platform Software), Maximizer Software, ClinchPad, StreamSets, Tamr, Salesforce DMP, DocuSign, Informatica, Adobe Systems, AgilOne, Airship, TargetingMantra, AOE, MachineVantage, Yesmail, Silverpop Systems, Commence, Bluecore, MarcomCentral, Apptimize, Yieldify, Datadog, Unacast, User Replay, StructuredWeb, StudyStream Ltd, Brandmuscle, Quark Software, Corel, Saepio Technologies, Insert (Application Software), Eyeo, Evidon, StrongView, Dashlane, MailChimp, Foxit Software</t>
  </si>
  <si>
    <t>Provider of a turnkey integration ecosystem designed to make data actionable, in real-time, across every customer experience touch point. The company's ecosystem encompasses tag management, API hub, customer data platform and data management solutions, enabling organizations to leverage real-time data to create richer, more personalized digital experiences across every team, technology and customer touchpoint.</t>
  </si>
  <si>
    <t>customer data orchestration, customer data platform, data supply chain, tags management system, unified marketing, universal data hub, web analytics, web analytics and digital marketing software</t>
  </si>
  <si>
    <t>www.tealium.com</t>
  </si>
  <si>
    <t>2013: 160, 2014: 180, 2015: 204, 2016: 270, 2019: 450</t>
  </si>
  <si>
    <t>News (New) , Filing (New)</t>
  </si>
  <si>
    <t>61273-00P</t>
  </si>
  <si>
    <t>Doug Lindroth</t>
  </si>
  <si>
    <t>doug@tealium.com</t>
  </si>
  <si>
    <t>+1 (858) 779-1344</t>
  </si>
  <si>
    <t>11095 Torreyana Road</t>
  </si>
  <si>
    <t>+1 (858) 345-3844</t>
  </si>
  <si>
    <t>info@tealium.com</t>
  </si>
  <si>
    <t>The company raised $55 million of Series F venture funding in a deal led by Silver Lake Management on May 15, 2019, putting the company's pre-money valuation at $795 million. Presidio Ventures, Georgian Partners, Bain Capital Ventures, Industry Ventures, Parkwood, ABN AMRO Bank and Declaration Partners also participated in the round. The funds will be used by the company to expand its data integration ecosystem, accelerate new product development and further scale global go-to-market activities.</t>
  </si>
  <si>
    <t>ABN AMRO Bank, Bain Capital Ventures, Battery Ventures, Citi Ventures, Declaration Partners, eValue, Georgian Partners, Individual Investor, Industry Ventures, Omega Venture Partners, Parkwood, Presidio Ventures, Silicon Valley Bank, Silver Lake Management, Tenaya Capital, Thomas Falk</t>
  </si>
  <si>
    <t>ABN AMRO Bank(www.abnamro.com), Bain Capital Ventures(www.baincapitalventures.com), Battery Ventures(www.battery.com), Declaration Partners(www.declarationpartners.com), eValue(www.evalue.de), Georgian Partners(www.georgianpartners.com), Industry Ventures(www.industryventures.com), Omega Venture Partners(www.omegavp.com), Parkwood(www.parkwoodcorp.com), Presidio Ventures(www.presidio-ventures.com), Silicon Valley Bank(www.svb.com), Silver Lake Management(www.silverlake.com), Tenaya Capital(www.tenayacapital.com)</t>
  </si>
  <si>
    <t>Allen Matkins(Legal Advisor), Finn Partners(Advisor: Communications), Hughes Marino(Consulting), Latham &amp; Watkins(Legal Advisor), RJR Partners(Consulting)</t>
  </si>
  <si>
    <t>Allen Matkins(Legal Advisor), Latham &amp; Watkins(Legal Advisor)</t>
  </si>
  <si>
    <t>51361-30</t>
  </si>
  <si>
    <t>Taulia</t>
  </si>
  <si>
    <t>SpringCM, PrimeRevenue, SourceDay, Vroozi, Icertis, ScoutRFP, Wax Digital, Scanmarket, Apttus, Bonfire (Business/Productivity Software), Nvoicepay, Jaggaer, AvidXchange, Tradeshift, BuyerQuest, Determine, SAP Ariba, Offset Market Exchange, Contraqer, Pool4tool, Quantivate, C2FO</t>
  </si>
  <si>
    <t>Developer of a SaaS financial supply chain platform designed help companies strengthen supplier relationships. The company's invoice, payment and discounting management platform helps businesses to turn every invoice into a revenue opportunity using their cash or third-party cash to fund early payments, lower the barriers for eInvoicing participation by accepting all forms of electronic invoices without having to charge suppliers and empower suppliers to be self-sufficient by giving them access to free self-service and management tools, enabling businesses to unlock financing opportunities and manage their working capital on their own terms.</t>
  </si>
  <si>
    <t>B2B Payments, FinTech, SaaS, TMT</t>
  </si>
  <si>
    <t>cloud-based invoice, discount management, discount management service, discount management services, invoice processing, receivable management, supply chain software</t>
  </si>
  <si>
    <t>www.taulia.com</t>
  </si>
  <si>
    <t>2010: 1, 2014: 175, 2015: 241, 2016: 250, 2018: 205</t>
  </si>
  <si>
    <t>36403-93P</t>
  </si>
  <si>
    <t>Bertram Meyer</t>
  </si>
  <si>
    <t>bertram@onedome.global</t>
  </si>
  <si>
    <t>+1 (415) 890-5939</t>
  </si>
  <si>
    <t>250 Montgomery Street</t>
  </si>
  <si>
    <t>+1 (415) 376-8280</t>
  </si>
  <si>
    <t>info@taulia.com</t>
  </si>
  <si>
    <t>The company raised $5 million of Series F-3 venture funding from CreditEase on June 29, 2018, putting the company's pre-money valuation at $350 million. Previously, the company raised $20 million of Series F venture funding from TELUS Ventures and other undisclosed investors on September 28, 2017.</t>
  </si>
  <si>
    <t>Anchorage Capital Group, Band of Angels, CreditEase, DAG Ventures, David Wu, EDBI, Harbor Pacific Capital, Lakestar, Matrix Partners, Propel Venture Partners, QuestMark Partners, TELUS Ventures, Thanos Triant, The Angels' Forum, The Woodside Financial Group, Trinity Ventures, Ulu Ventures, Zouk Capital</t>
  </si>
  <si>
    <t>Duff Ackerman &amp; Goodrich</t>
  </si>
  <si>
    <t>Anchorage Capital Group(www.anchoragecap.com), Band of Angels(www.bandangels.com), CreditEase(www.creditease.cn), DAG Ventures(www.dagventures.com), David Wu(www.david-wu.com), EDBI(www.edbi.com), Lakestar(www.lakestar.com), Matrix Partners(www.matrixpartners.com), Propel Venture Partners(www.propel.vc), QuestMark Partners(www.questm.com), TELUS Ventures(ventures.telus.com), The Angels' Forum(www.angelsforum.com), The Woodside Financial Group(www.woodsidegroup.com), Trinity Ventures(www.trinityventures.com), Ulu Ventures(www.uluventures.com), Zouk Capital(www.zouk.com)</t>
  </si>
  <si>
    <t>Duff Ackerman &amp; Goodrich(www.dagllc.com)</t>
  </si>
  <si>
    <t>Erevena(Consulting), Granite Valuations(Valuation/Appraiser), Pillsbury Winthrop Shaw Pittman(Legal Advisor), True Capital Partners(Advisor: General), Wilson Sonsini Goodrich &amp; Rosati(Legal Advisor)</t>
  </si>
  <si>
    <t>Financial Technology Partners(Advisor: General), Pillsbury Winthrop Shaw Pittman(Legal Advisor)</t>
  </si>
  <si>
    <t>56244-25</t>
  </si>
  <si>
    <t>Tastemade</t>
  </si>
  <si>
    <t>Operator of a food and travel entertainment platform intended to offer food and lifestyle videos. The company's platform features videos on food recipes, travel shows and home entertainment streaming across all major digital, mobile and linear TV platforms along with an online shop which offers cooking and travel accessories, enabling food and travel enthusiasts to access information about food and travel at one place.</t>
  </si>
  <si>
    <t>Movies, Music and Entertainment*, Other Consumer Durables, Other Media</t>
  </si>
  <si>
    <t>E-Commerce, FoodTech, TMT</t>
  </si>
  <si>
    <t>content and distribution, cooking show, digital media company, food channel, food entertainment, food guide, global media and entertainment, modern media, recipe video, sponsored content, travel video</t>
  </si>
  <si>
    <t>www.tastemade.com</t>
  </si>
  <si>
    <t>2012: 4, 2015: 50, 2018: 160</t>
  </si>
  <si>
    <t>47420-20P</t>
  </si>
  <si>
    <t>Lawrence Fitzgibbon</t>
  </si>
  <si>
    <t>larry@tastemade.com</t>
  </si>
  <si>
    <t>+1 (424) 268-4629</t>
  </si>
  <si>
    <t>3019 Olympic Boulevard</t>
  </si>
  <si>
    <t>Stage C</t>
  </si>
  <si>
    <t>info@tastemade.com</t>
  </si>
  <si>
    <t>The company raised $35 million of Series E venture funding in a deal led by The Goldman Sachs Group on October 17, 2018, putting the company's pre-money valuation at $365 million. Comcast Ventures, Raine Ventures, Amazon.com, Liberty Media, Redpoint Ventures and Cool Japan Fund also participated in the round. The funds will be used to develop a strong connection with the company's core audience and bring new consumers into its worldwide community.</t>
  </si>
  <si>
    <t>Allen DeBevoise, Amazon.com, Coffin Capital &amp; Ventures, Comcast Ventures, Cool Japan Fund, Liberty Media Corporation, Liberty Ventures Group, Raine Ventures, Redpoint Ventures, Scripps Networks Interactive, Starz Entertainment, The Goldman Sachs Group, Third Wave Digital, Tohokushinsha Film Corporation</t>
  </si>
  <si>
    <t>Amazon.com(www.amazon.com), Coffin Capital &amp; Ventures(www.coffincapitalandventures.com), Comcast Ventures(www.comcastventures.com), Cool Japan Fund(www.cj-fund.co.jp), Liberty Media Corporation(www.libertymedia.com), Redpoint Ventures(www.redpoint.com), Scripps Networks Interactive(www.scrippsnetworksinteractive.com), Starz Entertainment(www.starz.com), The Goldman Sachs Group(www.goldmansachs.com), Third Wave Digital(www.thirdwavedigital.vc), Tohokushinsha Film Corporation(www.tfc.co.jp)</t>
  </si>
  <si>
    <t>231242-68</t>
  </si>
  <si>
    <t>Tari</t>
  </si>
  <si>
    <t>Provider of a decentralized platform intended to empowers people to create digitally scarce objects. The company's platform help to program complex rules for digital assets, enabling users to help in management, use and transfer of nearly any kind of digital asset from tickets to loyalty points to virtual goods and offers unparalleled monetization opportunities for creators.</t>
  </si>
  <si>
    <t>Application Software*, Software Development Applications</t>
  </si>
  <si>
    <t>create digital assets, decentralized platform, digital asset creation, virtual goods</t>
  </si>
  <si>
    <t>www.tari.com</t>
  </si>
  <si>
    <t>60502-06P</t>
  </si>
  <si>
    <t>Naveen Jain</t>
  </si>
  <si>
    <t>PO Box 28601</t>
  </si>
  <si>
    <t>The company raised venture funding via Crowdfunding platform BnkToTheFuture in March 2018. Macro Ventures, Slow Ventures, Aspect Ventures, Alumni Ventures Group, Bee Partners, Sora Ventures, Future\Perfect Ventures, Vy Capital, 11-11 Ventures, Redpoint Ventures, Chestnut Street Ventures, Trinity Ventures, Canaan Partners, Blockchain Capital, Pantera Capital, Tapas Capital, Multicoin Capital, Roca Capital, AlgoLedge, DRW Venture Capital, Sparkart and Spagni participated in the round. Draft Ventures also participated in this round.</t>
  </si>
  <si>
    <t>11-11 Ventures, AlgoLedge, Alumni Ventures Group, Aspect Ventures, Bee Partners, Blockchain Capital, Canaan Partners, Chestnut Street Ventures, Draft Ventures, DRW Venture Capital, Future\Perfect Ventures, Macro Ventures, Multicoin Capital, Pantera Capital, Redpoint Ventures, Roca Capital, Slow Ventures, Sora Ventures, Spagni, Sparkart, Spike Ventures, Tapas Capital, Trinity Ventures, Visary Capital, Vy Capital</t>
  </si>
  <si>
    <t>11-11 Ventures(www.11-11ventures.com), AlgoLedge(www.algoledge.com), Alumni Ventures Group(www.avgfunds.com), Aspect Ventures(www.aspectventures.com), Bee Partners(www.beepartners.vc), Blockchain Capital(www.blockchaincapital.com), Canaan Partners(www.canaan.com), Chestnut Street Ventures(www.chestnutstreetventures.com), Draft Ventures(www.draftvc.com), DRW Venture Capital(www.drwvc.com), Future\Perfect Ventures(www.futureperfectventures.com), Multicoin Capital(www.multicoin.capital), Pantera Capital(www.panteracapital.com), Redpoint Ventures(www.redpoint.com), Roca Capital(www.rocapital.io), Slow Ventures(www.slow.co), Sora Ventures(www.sora.vc), Spagni(www.ts.org), Sparkart(www.sparkart.com), Spike Ventures(www.spike-ventures.com), Tapas Capital(www.tapas.capital), Trinity Ventures(www.trinityventures.com), Visary Capital(www.visary.capital), Vy Capital(www.vycapital.com)</t>
  </si>
  <si>
    <t>BnkToTheFuture(Lead Manager or Arranger)</t>
  </si>
  <si>
    <t>151081-21</t>
  </si>
  <si>
    <t>Target Intervention</t>
  </si>
  <si>
    <t>Target</t>
  </si>
  <si>
    <t>Manufacturer of real-time coiled tubing tool services designed to provide improved reliability and operator control during any type CT operation. The company's real-time coiled tubing tool services has electric downhole motors that operate packing elements, anchors, valves, enabling businesses for real-time monitoring of pressure, temperatures, mechanical force and tool performance.</t>
  </si>
  <si>
    <t>Electrical Equipment*, Machinery (B2B), Oil and Gas Equipment</t>
  </si>
  <si>
    <t>Industrials, Manufacturing, Oil &amp; Gas</t>
  </si>
  <si>
    <t>colied tubing tools, intervention tools, monitor temperature, monitor tools performance, tubing tools</t>
  </si>
  <si>
    <t>www.targetintervention.no</t>
  </si>
  <si>
    <t>2016: 10, 2017: 19</t>
  </si>
  <si>
    <t>124770-88P</t>
  </si>
  <si>
    <t>Monika Malmin</t>
  </si>
  <si>
    <t>monika.bakke@targetintervention.no</t>
  </si>
  <si>
    <t>+47 41 44 84 85</t>
  </si>
  <si>
    <t>Ålgård, Norway</t>
  </si>
  <si>
    <t>Opstadveien 11A</t>
  </si>
  <si>
    <t>Ålgård</t>
  </si>
  <si>
    <t>4330</t>
  </si>
  <si>
    <t>mail@targetintervention.no</t>
  </si>
  <si>
    <t>The company raised an undisclosed amount of venture funding from Saudi Aramco Energy Ventures and Chevron Technology Ventures on September 1, 2015. The company will use the funds for their further product development and commercialize the company's technology.</t>
  </si>
  <si>
    <t>Chevron Technology Ventures, Saudi Aramco Energy Ventures</t>
  </si>
  <si>
    <t>Saudi Aramco Energy Ventures(www.saev.com)</t>
  </si>
  <si>
    <t>50944-24</t>
  </si>
  <si>
    <t>Tapjoy</t>
  </si>
  <si>
    <t>Offerpal Media</t>
  </si>
  <si>
    <t>AppLovin, SmarterHQ, RadiumOne, Localytics, SessionM, Avangate, Elastic Path, Fiksu, Grow Mobile, Adscend Media, ironSource, AgilOne, Sensor Tower, StartApp, Ninja Metrics, Manage.com Group, Liftoff, The Trade Desk, Rubicon Project, Altitude Digital, InMobi, Deep Forest Media, Mpire, AppNexus, YouAPPi, Paytronix Systems, Aki (Application Software), HipCricket, Placed, AdIQuity Technologies, Criteo, Exponential Interactive, AdMob, Fyber, Kiip, Chartboost</t>
  </si>
  <si>
    <t>Provider of technology platform for social media marketplace. The company's platform helps the publishers to monetize their social applications, online merchants to generate leads and increase conversions and advertisers to reach their target consumers. Its marketing automation and monetization platform for mobile applications uses data science, user segmentation and predictive analytics to drive engagement and optimize revenue.</t>
  </si>
  <si>
    <t>Automation/Workflow Software*, Social/Platform Software</t>
  </si>
  <si>
    <t>Big Data, Marketing Tech, Mobile, TMT</t>
  </si>
  <si>
    <t>generate led, marketing automation platform, monetization software</t>
  </si>
  <si>
    <t>www.tapjoy.com</t>
  </si>
  <si>
    <t>2014: 254</t>
  </si>
  <si>
    <t>Competitor (New) Placed</t>
  </si>
  <si>
    <t>44486-92P</t>
  </si>
  <si>
    <t>Steve Wadsworth</t>
  </si>
  <si>
    <t>steve.wadsworth@tapjoy.com</t>
  </si>
  <si>
    <t>+1 (415) 766-6900</t>
  </si>
  <si>
    <t>353 Sacramento Street</t>
  </si>
  <si>
    <t>6th Floor</t>
  </si>
  <si>
    <t>info@tapjoy.com</t>
  </si>
  <si>
    <t>The company raised an estimated $30 million of Series E venture funding from ORIX Ventures, Interwest Partners and other undisclosed investors on February 1, 2016, putting the company's pre-money valuation at $247.54 million.</t>
  </si>
  <si>
    <t>Global Brain, Hercules Capital, Iconica Partners, InterWest Partners, J.P. Morgan, North Bridge Venture Partners, ORIX Growth Capital, Rho Ventures, Shea Ventures, Sigma Partners, The D. E. Shaw Group</t>
  </si>
  <si>
    <t>Global Brain(www.globalbrains.com), Hercules Capital(www.htgc.com), Iconica Partners(www.iconicapartners.com), InterWest Partners(www.interwest.com), J.P. Morgan(www.jpmorgan.com), North Bridge Venture Partners(www.northbridge.com), Rho Ventures(www.rhoventures.com), Sigma Partners(www.sigmapartners.com), The D. E. Shaw Group(www.deshaw.com)</t>
  </si>
  <si>
    <t>Armentum Partners(Advisor: General), Carpe Search Partners(Consulting), Daversa Partners(Consulting), GCA Advisors(Advisor: General), Gunderson Dettmer(Legal Advisor), Wilson Sonsini Goodrich &amp; Rosati(Legal Advisor)</t>
  </si>
  <si>
    <t>Gunderson Dettmer(Legal Advisor), Hercules Capital(Debt Financing), Wilson Sonsini Goodrich &amp; Rosati(Legal Advisor)</t>
  </si>
  <si>
    <t>43017-22</t>
  </si>
  <si>
    <t>Tangoe</t>
  </si>
  <si>
    <t>TelecomRFQ</t>
  </si>
  <si>
    <t>vCom Solutions, Calero Software, CA Technologies, MobilSense, Widepoint, Symantec, NetPlus Group, Ping Identity, Centrify, Okta, OneLogin, Tanium, SecureAuth</t>
  </si>
  <si>
    <t>Operator of technology lifecycle management platform intended to manage telecommunications network costs. The company provides information technology and telecom expense management software and related services including expense management, procurement, logistics and activation, usage management, enterprise mobility, mobile support, financial management, enabling a range of global enterprises and service providers to drive both bottom-line improvements and top-line growth through digital transformation initiatives.</t>
  </si>
  <si>
    <t>Application Software, Business/Productivity Software*, Financial Software, Other IT Services</t>
  </si>
  <si>
    <t>communications lifecycle management, cost management, cost reduction, data security, technology lifecycle management</t>
  </si>
  <si>
    <t>www.tangoe.com</t>
  </si>
  <si>
    <t>2002: 90, 2010: 541, 2011: 1004, 2012: 1383, 2013: 2056, 2014: 2339, 2015: 2339, 2019: 2200</t>
  </si>
  <si>
    <t>TTM 3Q2015</t>
  </si>
  <si>
    <t>41338-90P</t>
  </si>
  <si>
    <t>Richard Young</t>
  </si>
  <si>
    <t>rick.young@tangoe.com</t>
  </si>
  <si>
    <t>+1 (734) 456-5501</t>
  </si>
  <si>
    <t>Parsippany, NJ</t>
  </si>
  <si>
    <t>169 Lackawanna Avenue</t>
  </si>
  <si>
    <t>Parsippany</t>
  </si>
  <si>
    <t>New Jersey</t>
  </si>
  <si>
    <t>07054</t>
  </si>
  <si>
    <t>+1 (844) 484-5041</t>
  </si>
  <si>
    <t>+1 (973) 257-0302</t>
  </si>
  <si>
    <t>info@tangoe.com</t>
  </si>
  <si>
    <t>The company was acquired by Marlin Equity Partners through a $256 million public-to-private LBO on June 16, 2017. This transaction provides the opportunity for immediate and substantial value to the company's shareholders, while also allowing the company with greater flexibility to execute on its long-term strategic vision. As a part of the transaction, the company was delisted from the PINX stock exchange. TPG Specialty Funding provided $50 million of debt in the form of first lien loan.</t>
  </si>
  <si>
    <t>Marlin Equity Partners</t>
  </si>
  <si>
    <t>Axiom Venture Partners, Clearlake Capital Group, Edison Partners, Hardy Capital Partners, HO2 Partners, International Business Machines, Man Group, North Atlantic Capital, ORIX Growth Capital, Patricia Industries, Sevin Rosen Funds, Spaulding Investment</t>
  </si>
  <si>
    <t>Vector Capital</t>
  </si>
  <si>
    <t>Marlin Equity Partners(www.marlinequity.com)</t>
  </si>
  <si>
    <t>Axiom Venture Partners(www.axiomventures.com), Clearlake Capital Group(www.clearlakecapital.com), Edison Partners(www.edisonpartners.com), Hardy Capital Partners(www.hardycapital.com), HO2 Partners(www.ho2.com), International Business Machines(www.ibm.com), Man Group(man.com), North Atlantic Capital(www.northatlanticcapital.com), Patricia Industries(www.patriciaindustries.com), Sevin Rosen Funds(www.srfundstest.com)</t>
  </si>
  <si>
    <t>Vector Capital(www.vectorcapital.com)</t>
  </si>
  <si>
    <t>Shasta Partners(Advisor: General), True Capital Partners(Consulting)</t>
  </si>
  <si>
    <t>Barclays Investment Bank(Underwriter), BDO(Accounting), Deutsche Bank(Underwriter), J.P. Morgan(Debt Financing), Lazard Capital Markets(Underwriter), Oppenheimer &amp; Company(Underwriter), ORIX Leveraged Finance(Debt Financing), Raymond James Financial(Underwriter), Signal Hill Capital Group(Underwriter), Stifel Financial(Underwriter), TPG Specialty Lending(Debt Financing), WilmerHale(Legal Advisor)</t>
  </si>
  <si>
    <t>52514-65</t>
  </si>
  <si>
    <t>Tango (Social/Platform Software)</t>
  </si>
  <si>
    <t>Sgiggle</t>
  </si>
  <si>
    <t>Tribe App, Fring, Oovoo, Nimbuzz, Hike (Communication Software), Telegram, WhatsApp, WeChat, Kwippit, Kik (Application Software), textPlus, KaKao, TurtleYogi Technologies, Pinger (mobile communication), Nucleus (New York), Palringo, Skype, Talkatone, Olark, Zip Phone, LINE</t>
  </si>
  <si>
    <t>Provider of a mobile messaging application designed to provide free video and voice calls, texting and social discovery services. The company's mobile messaging application is available in 15 languages for android phones, tablets, iPhone and iPad, enabling users to make free mobile video calls through Internet to family and friends.</t>
  </si>
  <si>
    <t>Augmented Reality, Mobile, TMT</t>
  </si>
  <si>
    <t>free video, free voice calling, mobile application, mobile video, mobile video calling, video calling</t>
  </si>
  <si>
    <t>www.tango.me</t>
  </si>
  <si>
    <t>2014: 166, 2015: 274</t>
  </si>
  <si>
    <t>38282-95P</t>
  </si>
  <si>
    <t>Uri Raz</t>
  </si>
  <si>
    <t>uri@tango.me</t>
  </si>
  <si>
    <t>+1 (650) 375-2621</t>
  </si>
  <si>
    <t>615 National Avenue</t>
  </si>
  <si>
    <t>The company raised venture funding from StayUp in 2018. Previously, the company raised $282.5 million of Series D venture funding in a deal led by Alibaba Capital Partners on March 20, 2014, putting the company's pre-money valuation at $750.8 million.</t>
  </si>
  <si>
    <t>Access Technology Ventures, Alejandro Zubillaga, Alibaba Capital Partners, AMD Ventures, AME Cloud Ventures, Bill Tai, Draper Fisher Jurvetson Management, Individual Investor, IT-Farm, Jay Eum, Jonathan Heiliger, Jorg Mohaupt, Leonard Blavatnik, Matthew Ocko, Maven Ventures, Michael Birch, Nicholas Brown, Qualcomm Ventures, Timothy Draper, TransLink Capital, Zhiyuan Yang</t>
  </si>
  <si>
    <t>Access Technology Ventures(www.accesstechnologyventures.com), Alibaba Capital Partners(www.alibabacapital.com), AMD Ventures(amdventures.com), AME Cloud Ventures(www.amecloudventures.com), Bill Tai(www.about.me/BillTai), Draper Fisher Jurvetson Management(www.dfj.com), IT-Farm(www.it-farm.com), Maven Ventures(www.mavenventures.com), Qualcomm Ventures(www.qualcommventures.com), Timothy Draper(www.timothydraper.com), TransLink Capital(www.translinkcapital.com)</t>
  </si>
  <si>
    <t>Sagent Management(Consulting)</t>
  </si>
  <si>
    <t>56966-77</t>
  </si>
  <si>
    <t>Tamr</t>
  </si>
  <si>
    <t>Data Tamer</t>
  </si>
  <si>
    <t>ThoughtSpot, Striim, SnapLogic, Talend, Palantir Technologies, Koverse, Dataiku, Attunity, Matillion, Fivetran, Informatica, Cask, Alooma, Unifi (Data Platform), Zaloni, Cohesity, Ryft, MapR, Looker, Alation, Platfora, Varonis Systems, MarkLogic, Feature Labs, Panoply (Application Software), Syncsort, Diyotta, Hortonworks, DataGravity, Qubole, Expert System, Riversand, Databricks, Cloudera, Rever, StreamSets, Splunk, Enterworks, Data3Sixty, Paxata, Podium Data, ServiceNow, AtScale, Pentaho, Digital Reasoning Systems, Confluent, Astronomer, InfluxData, Paradata, DataTorrent, Infrrd, Ab Initio, One Network Enterprises, Coho Data, Salsify, RapidMiner, Pendo Systems, ClearStory Data, Maxta, Salesforce, Perfion, Kofax, Tellius, Zoomdata, Smartlogic, MuleSoft, Trifacta, Ngdata, BigML, Lotame Solutions, Qlik Technologies, Rubrik, ReachForce</t>
  </si>
  <si>
    <t>Provider of data integration platform designed to fuse the power of machine learning with the knowledge of the data use to automate the rapid unification of data silos. The company's data integration platform connects and enriches the vast reserves of underutilized internal and external data, enabling enterprises to use all their data for analytics and decision making.</t>
  </si>
  <si>
    <t>Database Software*, Social/Platform Software</t>
  </si>
  <si>
    <t>data integration platform, data unification platform, integration platform, novel integration platform, patented software platform, scalable data connection, unification of data silos</t>
  </si>
  <si>
    <t>www.tamr.com</t>
  </si>
  <si>
    <t>2014: 25, 2015: 55, 2016: 89, 2017: 56, 2018: 85</t>
  </si>
  <si>
    <t>53940-52P</t>
  </si>
  <si>
    <t>Andrew Palmer</t>
  </si>
  <si>
    <t>andy.palmer@tamr.com</t>
  </si>
  <si>
    <t>+1 (603) 505-7373</t>
  </si>
  <si>
    <t>66 Church Street</t>
  </si>
  <si>
    <t>02138</t>
  </si>
  <si>
    <t>info@tamr.com</t>
  </si>
  <si>
    <t>The company raised $28 million of Series B venture funding from GV, Samsung Venture Investment and Fenox Venture Capital on August 14, 2018. Pear Tree Partners, Granite Hill Capital Partners, New Enterprise Associates, SBI Investment, Alumni Ventures Group and INTAGE Open Innovation Fund also participated in the round. The funds enable the company to continue its rapid growth fueled by new urgency in large enterprises' need to reinvent how they manage data to accelerate digital transformation.</t>
  </si>
  <si>
    <t>Alumni Ventures Group, Amgen, Andrew Palmer, Fenox Venture Capital, GE Ventures, Granite Hill Capital Partners, Green D Ventures, GSK Ventures, GV, Hewlett Packard Pathfinder, INTAGE Open Innovation Fund, Koa Labs, Lakshmikanth Ananth, MassMutual Ventures, New Enterprise Associates, Pear Tree Partners, Samsung Venture Investment, SBI Investment, SineWave Ventures, Thomson Reuters, Work-Bench, Working Lab Capital</t>
  </si>
  <si>
    <t>Alumni Ventures Group(www.avgfunds.com), Fenox Venture Capital(www.fenoxvc.com), GE Ventures(www.geventures.com), Granite Hill Capital Partners(www.granitehill.net), Green D Ventures(www.greendventures.com), GV(www.gv.com), Hewlett Packard Pathfinder(www.hewlettpackardpathfinder.com), Koa Labs(www.koalab.com), MassMutual Ventures(www.massmutualventures.com), New Enterprise Associates(www.nea.com), Pear Tree Partners(www.peartreepartnerslp.com), Samsung Venture Investment(www.samsungventures.com), SBI Investment(www.sbinvestment.co.jp), SineWave Ventures(www.sinewave.vc), Thomson Reuters(www.thomsonreuters.com), Work-Bench(www.work-bench.com), Working Lab Capital(www.workinglabcapital.com)</t>
  </si>
  <si>
    <t>230459-32</t>
  </si>
  <si>
    <t>tambourine (Nagoya)</t>
  </si>
  <si>
    <t>Provider of mobile application and e-commerce consulting services. The company's services include web service development, e-commerce development, marketing automation, strategy planning, prototypes and CRM collaboration, enabling corporations to outsource the development of complex software and hardware projects.</t>
  </si>
  <si>
    <t>IT Consulting and Outsourcing*, Other Software</t>
  </si>
  <si>
    <t>Internet of Things, Marketing Tech</t>
  </si>
  <si>
    <t>application development, ecommerce development platform, mobile app development, mobile application development platform, web services development platform</t>
  </si>
  <si>
    <t>www.tam-bourine.co.jp</t>
  </si>
  <si>
    <t>188846-02P</t>
  </si>
  <si>
    <t>Tatsuya Nakao</t>
  </si>
  <si>
    <t>nakao@tam-bourine.co.jp</t>
  </si>
  <si>
    <t>+81 (0)33 518 9728</t>
  </si>
  <si>
    <t>3-28-9 Kanda Ogawa-cho, Chiyoda-ku</t>
  </si>
  <si>
    <t>San-ei Building 8F</t>
  </si>
  <si>
    <t>101-0052</t>
  </si>
  <si>
    <t>+81 (0)33 518 9778</t>
  </si>
  <si>
    <t>The company raised an undisclosed amount of venture funding from Salesforce Ventures on February 14, 2018. The funds will be used by the company to strengthen the foundation for development and support service business in the Kansai area.</t>
  </si>
  <si>
    <t>54522-55</t>
  </si>
  <si>
    <t>Talkdesk</t>
  </si>
  <si>
    <t>Fuze, MightyCall, Exotel, Nectar Desk, Sunoray Solutions, 3CLogic, Aircall, Bright Pattern, Digium, NewVoiceMedia, Alfresco Software, Base (Sales Platform), RingCentral, Genesys, Serenova, Ozonetel, BroadSoft, Altitude Software, Interactions, Vonage Holdings, BMC Software, Nextiva, Ayla Networks, Natterbox, Syntellect, Mitel Networks, Five9, inContact, Close.io, Advanced Call Processing, Interactive Intelligence Group, CA Technologies, Unify India, HappyFox, Tenfold, CLX Communications, Jive Communications, Twilio, Splashtop, Clickatell, Microsoft, Exo Platform, Splunk, Nimble, ConvergeOne</t>
  </si>
  <si>
    <t>Developer of cloud-based call center software designed to help growing businesses to improve customer satisfaction while reducing costs. The company's cloud-based call center software uses IVR, ACD and skills-based routing technology that seamlessly integrates ITSM and CSM service desks, enabling businesses to communicate with their customers and manage the entire call center operations using the Web.</t>
  </si>
  <si>
    <t>Business/Productivity Software*, Communication Software</t>
  </si>
  <si>
    <t>calling center software, cloud communication, cloud computing, communication suites, contact center, customer satisfaction</t>
  </si>
  <si>
    <t>www.talkdesk.com</t>
  </si>
  <si>
    <t>2011: 10, 2012: 3, 2014: 25, 2015: 140, 2016: 120, 2017: 300, 2018: 400, 2019: 550</t>
  </si>
  <si>
    <t>79224-67P</t>
  </si>
  <si>
    <t>Tiago Paiva</t>
  </si>
  <si>
    <t>tiago@talkdesk.com</t>
  </si>
  <si>
    <t>+1 (888) 743-3044</t>
  </si>
  <si>
    <t>535 Mission Street</t>
  </si>
  <si>
    <t>12th Floor</t>
  </si>
  <si>
    <t>info@talkdesk.com</t>
  </si>
  <si>
    <t>The company raised $100 million of Series B venture funding in a deal led by Viking Global Investors on October 3, 2018, putting the company's post-money valuation north of $1 billion. Draper Fisher Jurvetson Management also participated in the round. The company intends to use the funds to grow their global operations, marketing and sales organizations.</t>
  </si>
  <si>
    <t>500 Startups, Alexander Khein, Amity Ventures, Draper Fisher Jurvetson Management, Jason Lemkin, Orange Fab, SaaStr, Salesforce Ventures, Storm Ventures, Twilio Fund, Viking Global Investors</t>
  </si>
  <si>
    <t>500 Startups(www.500.co), Amity Ventures(www.amityventures.com), Draper Fisher Jurvetson Management(www.dfj.com), Orange Fab(www.orangefab.com), SaaStr(www.saastr.com), Storm Ventures(www.stormventures.com), Twilio Fund(www.twilio.com), Viking Global Investors(www.vikingglobal.com)</t>
  </si>
  <si>
    <t>151254-73</t>
  </si>
  <si>
    <t>Talix</t>
  </si>
  <si>
    <t>Healthline Information Technology</t>
  </si>
  <si>
    <t>Centauri Health Solutions, Artemis Health, Datix, Health Fidelity, M*Modal, Surgical Information Systems, Sandlot Solutions, Inovalon Holdings, AdvantMed, Clinical Insights, Pulse8, Quantros</t>
  </si>
  <si>
    <t>Developer and provider of patient data analytics technology for risk adjustment and other value-based care challenges. The company utilizes proprietary natural language processing and machine learning techniques to mine unstructured patient data. Its proprietary workflow designs coupled with back-end data processing produce SaaS applications that drive significant customer ROI and retention.</t>
  </si>
  <si>
    <t>Decision/Risk Analysis*, Other Healthcare Technology Systems</t>
  </si>
  <si>
    <t>Artificial Intelligence &amp; Machine Learning, Big Data, HealthTech, SaaS, TMT</t>
  </si>
  <si>
    <t>claims analysis, clinical decision support, data analytics platform, oncology analytics, patient data analytics, quality analysis service, risk adjustment technology</t>
  </si>
  <si>
    <t>www.talix.com</t>
  </si>
  <si>
    <t>2017: 55</t>
  </si>
  <si>
    <t>66799-45P</t>
  </si>
  <si>
    <t>Dean Stephens</t>
  </si>
  <si>
    <t>dean@talix.com</t>
  </si>
  <si>
    <t>+1 (510) 812-6476</t>
  </si>
  <si>
    <t>660 Third Street</t>
  </si>
  <si>
    <t>+1 (628) 220-3885</t>
  </si>
  <si>
    <t>info@talix.com</t>
  </si>
  <si>
    <t>The company raised $4.5 million of Series B venture funding from VantgePoint Capital Partners, Tufts Health Ventures and Stella Health on April 20, 2018.</t>
  </si>
  <si>
    <t>Aetna Ventures, Ardian, Comcast Ventures, Idinvest Partners, Kaiser Permanente Ventures, Patricia Industries, PeakSpan Capital, REV Venture Partners, Stella Health, Tufts Health Ventures, VantagePoint Capital Partners</t>
  </si>
  <si>
    <t>GE Capital</t>
  </si>
  <si>
    <t>Ardian(www.ardian.com), Comcast Ventures(www.comcastventures.com), Idinvest Partners(www.idinvest.com), Kaiser Permanente Ventures(www.kpventures.com), Patricia Industries(www.patriciaindustries.com), PeakSpan Capital(www.peakspancapital.com), REV Venture Partners(www.rev.vc), Stella Health(www.stellahealth.com), Tufts Health Ventures(www.tuftshealthventures.com), VantagePoint Capital Partners(www.vpcp.com)</t>
  </si>
  <si>
    <t>GE Capital(www.gecapital.com)</t>
  </si>
  <si>
    <t>Armanino(Auditor), Morgan, Lewis &amp; Bockius(Legal Advisor), Silicon Valley Bank(General Business Banking)</t>
  </si>
  <si>
    <t>60570-73</t>
  </si>
  <si>
    <t>Talivest</t>
  </si>
  <si>
    <t>KonnectAgain</t>
  </si>
  <si>
    <t>Provider of cloud based platform to manage the various alumni tasks and responsibilities. The company's platform helps to reconnect, recover and organize the past, present and future contacts on the platform that is dedicated to keeping up to date with the alumni.</t>
  </si>
  <si>
    <t>cloud platform, manage alumni tasks, organize contact</t>
  </si>
  <si>
    <t>www.talivest.com</t>
  </si>
  <si>
    <t>2016: 10</t>
  </si>
  <si>
    <t>82714-96P</t>
  </si>
  <si>
    <t>Jayne Ronayne</t>
  </si>
  <si>
    <t>jayne@konnectagain.com</t>
  </si>
  <si>
    <t>Dublin, Ireland</t>
  </si>
  <si>
    <t>The CHQ Building</t>
  </si>
  <si>
    <t>Custom House Quay.</t>
  </si>
  <si>
    <t>Dublin</t>
  </si>
  <si>
    <t>1</t>
  </si>
  <si>
    <t>Ireland</t>
  </si>
  <si>
    <t>hello@konnectagain.com</t>
  </si>
  <si>
    <t>The company joined Virgin Media Accelerator and received $20,000 in funding on March 10, 2016. As a part of this transaction the funding was received from Techstars and Liberty Global Ventures.</t>
  </si>
  <si>
    <t>Doug Scott, Enterprise Ireland, Ignite, IGNITE Graduate Business Innovation Programme, Liberty Global Ventures, Techstars, Tom Kelly, Virgin Media Business</t>
  </si>
  <si>
    <t>Doug Scott(www.droug.co.uk), Enterprise Ireland(www.enterprise-ireland.com), Ignite(www.ignite.io), Techstars(www.techstars.com), Virgin Media Business(www.virginmediabusiness.co.uk)</t>
  </si>
  <si>
    <t>59182-93</t>
  </si>
  <si>
    <t>Takumi Technology</t>
  </si>
  <si>
    <t>Provider of design for manufacturability (DFM) products. The company engages in designing products that a easy to manufacture. The company also provides mask detection and automated full chip semiconductors.</t>
  </si>
  <si>
    <t>Other Commercial Products*, Other Semiconductors</t>
  </si>
  <si>
    <t>design for manufacturing, electronic product, semiconductor devices</t>
  </si>
  <si>
    <t>www.takumi-tech.com</t>
  </si>
  <si>
    <t>2014: 5</t>
  </si>
  <si>
    <t>Yokohama, Japan</t>
  </si>
  <si>
    <t>Shin-Yokohama Station Building 3F</t>
  </si>
  <si>
    <t>2-6-13, Shin-Yokohama, Kouhoku-ku, Kanagawa</t>
  </si>
  <si>
    <t>Yokohama</t>
  </si>
  <si>
    <t>222-0033</t>
  </si>
  <si>
    <t>+81 (0)45 620 8953</t>
  </si>
  <si>
    <t>+81 (0)45 620 8954</t>
  </si>
  <si>
    <t>info@takumi-tech.com</t>
  </si>
  <si>
    <t>Applied Ventures sold its stake in the company on an undisclosed date. The company is no longer actively tracked by PitchBook.</t>
  </si>
  <si>
    <t>Applied Ventures, IT-Farm</t>
  </si>
  <si>
    <t>IT-Farm(www.it-farm.com)</t>
  </si>
  <si>
    <t>ChinaPlus Capital(Advisor: General)</t>
  </si>
  <si>
    <t>53686-72</t>
  </si>
  <si>
    <t>TaKaDu</t>
  </si>
  <si>
    <t>i2O, Inflowmatix, Silver Spring Networks, Splunk</t>
  </si>
  <si>
    <t>Provider of integrated event management services designed to monitor water distribution networks. The company's integrated event management services are based on big data analytics and algorithms, enabling utilities to detect, analyze and manage network events and incidents such as leaks, bursts, faulty assets, telemetry and data issues and operational failures.</t>
  </si>
  <si>
    <t>Business/Productivity Software, Network Management Software, Water Utilities*</t>
  </si>
  <si>
    <t>integrated events management service, monitor water distribution network, real time monitoring, water grid, water network monitoring</t>
  </si>
  <si>
    <t>www.takadu.com</t>
  </si>
  <si>
    <t>2013: 30, 2014: 32, 2016: 28</t>
  </si>
  <si>
    <t>55006-93P</t>
  </si>
  <si>
    <t>Amir Peleg</t>
  </si>
  <si>
    <t>amir@takadu.com</t>
  </si>
  <si>
    <t>+972 (0)3 555 5100</t>
  </si>
  <si>
    <t>Yehud, Israel</t>
  </si>
  <si>
    <t>4 Derech Hahoresh</t>
  </si>
  <si>
    <t>Yehud</t>
  </si>
  <si>
    <t>+972 (0)3 632 3055</t>
  </si>
  <si>
    <t>info@takadu.com</t>
  </si>
  <si>
    <t>The company raised $6 million of venture funding in a deal led by 3M New Ventures on October 16, 2013. Other undisclosed investors also participated in the round.</t>
  </si>
  <si>
    <t>3M Ventures, ABB Technology Ventures, Emerald Technology Ventures, Gemini Israel Ventures, Giza Venture Capital</t>
  </si>
  <si>
    <t>Emerald Technology Ventures(www.emerald-ventures.com), Gemini Israel Ventures(www.gemini.co.il), Giza Venture Capital(www.gizavc.com)</t>
  </si>
  <si>
    <t>115405-66</t>
  </si>
  <si>
    <t>Tagnos</t>
  </si>
  <si>
    <t>Central Logic, Awarepoint, CenTrak, True Process, Intelligent Insites, TeleTracking Technologies, Capsule Technologie</t>
  </si>
  <si>
    <t>Developer of a clinical logistics automation platform for hospitals and clinics. The company's SaaS platform analyzes data from clinical systems, including EHR, CPOE, LIS, RIS, and ADT systems, along with RTLS tracking devices, to facilitate patient flow through the hospital, enabling healthcare organizations to optimize their staff and asset utilization to prevent bottlenecks, reduce wait times and improve throughput, while increasing patient and staff satisfaction.</t>
  </si>
  <si>
    <t>Automation/Workflow Software, Business/Productivity Software*, Other Healthcare Technology Systems</t>
  </si>
  <si>
    <t>Artificial Intelligence &amp; Machine Learning, Big Data, Internet of Things, SaaS, TMT</t>
  </si>
  <si>
    <t>clinical logistics automatio, clinical system, hospital-patient experience, patient satisfaction, real time location system</t>
  </si>
  <si>
    <t>www.tagnos.com</t>
  </si>
  <si>
    <t>115474-69P</t>
  </si>
  <si>
    <t>Neeraj Bhavani</t>
  </si>
  <si>
    <t>neeraj.bhavani@tagnos.com</t>
  </si>
  <si>
    <t>+1 (949) 305-0806</t>
  </si>
  <si>
    <t>Aliso Viejo, CA</t>
  </si>
  <si>
    <t>15 Enterprise Avenue</t>
  </si>
  <si>
    <t>Aliso Viejo</t>
  </si>
  <si>
    <t>92656</t>
  </si>
  <si>
    <t>info@tagnos.com</t>
  </si>
  <si>
    <t>The company raised an undisclosed amount of venture funding from Cisco Investments on June 7, 2018. The investment was made through the Cisco Webex Innovation Fund and will support Tagnos' 18-month-old integration with the cloud-based Webex Teams app for continuous teamwork. Earlier, the company raised $5.82 million of Series A venture funding from Zebra Ventures, Salesforce and Quintus Capital on February 2, 2018, putting the company's pre-money valuation at $9 million.</t>
  </si>
  <si>
    <t>Benhamou Global Ventures, Cisco Entrepreneurs in Residence, Cisco Investments, EvoNexus, Morpheus Ventures, Quintus Capital, Salesforce, Zebra Ventures</t>
  </si>
  <si>
    <t>Benhamou Global Ventures(www.benhamouglobalventures.com), Cisco Entrepreneurs in Residence(eir.cisco.com), Cisco Investments(www.ciscoinvestments.com), EvoNexus(www.evonexus.org), Morpheus Ventures(www.morpheus.com), Quintus Capital(www.quintus-capital.com), Salesforce(www.salesforce.com)</t>
  </si>
  <si>
    <t>53848-54</t>
  </si>
  <si>
    <t>Tado</t>
  </si>
  <si>
    <t>Bidgely, Ambi Climate, NETATMO</t>
  </si>
  <si>
    <t>Developer of energy conservation tech solutions designed to offer heating control systems for private homes and small businesses. The company's energy conservation technologies offer a mobile application which automatically detects a user's proximity to their residence and adjusts the temperature of the air conditioner accordingly, enabling users to optimize energy consumption at home without sacrificing comfort.</t>
  </si>
  <si>
    <t>Application Software*, Electronic Equipment and Instruments, Other Energy Services</t>
  </si>
  <si>
    <t>energy conservation system, energy management, energy optimization, home climate control, temperature adjustment</t>
  </si>
  <si>
    <t>www.tado.com</t>
  </si>
  <si>
    <t>2014: 40, 2015: 80, 2018: 180</t>
  </si>
  <si>
    <t>48626-02P</t>
  </si>
  <si>
    <t>Christian Deilmann</t>
  </si>
  <si>
    <t>Co-Founder, Managing Director &amp; Chief Product Officer</t>
  </si>
  <si>
    <t>christian.deilmann@tado.com</t>
  </si>
  <si>
    <t>+49 (0)44 2038 9320 59</t>
  </si>
  <si>
    <t>Sapporobogen 6-8</t>
  </si>
  <si>
    <t>80637</t>
  </si>
  <si>
    <t>+49 (0)89 4161 5664 9</t>
  </si>
  <si>
    <t>contact@tado.com</t>
  </si>
  <si>
    <t>The company raised venture funding from LBBW Venture Capital on an undisclosed date. Previously, the company raised $50 million of venture funding from Amazon Alexa Fund, E.ON and Total Energy Ventures on October 25, 2018. Energy Innovation Capital, Inven Capital, Montrose Capital Partners, European Investment Bank and other undisclosed investors also participated in the round. The new investment will be used to strengthen its position with best-in-class products and to extend its service offerings.</t>
  </si>
  <si>
    <t>Amazon Alexa Fund, Bayerische Beteiligungsgesellschaft, E.ON, EIT Climate-KIC, Energy Innovation Capital, European Investment Bank, Inven Capital, LBBW Venture Capital, LMU Entrepreneurship Center, Montrose Capital Partners, Next47, Shortcut Ventures, Statkraft Ventures, Target Partners, Total Energy Ventures</t>
  </si>
  <si>
    <t>Amazon Alexa Fund(developer.amazon.com/alexa-fund), Bayerische Beteiligungsgesellschaft(www.baybg.de), E.ON(www.eon.com), EIT Climate-KIC(www.climate-kic.org), Energy Innovation Capital(www.energyinnovationcapital.com), European Investment Bank(www.eib.org), Inven Capital(www.invencapital.cz), LBBW Venture Capital(www.lbbwvc.de), LMU Entrepreneurship Center(www.entrepreneurship-center.uni-muenchen.de/index.html), Montrose Capital Partners(www.montrosecapital.com), Next47(Next47.com), Shortcut Ventures(www.shortcut.vc), Statkraft Ventures(www.statkraftventures.com), Target Partners(www.targetpartners.de)</t>
  </si>
  <si>
    <t>M/R Morgan Rossiter(Consulting)</t>
  </si>
  <si>
    <t>Bryan, Garnier &amp; Company(Advisor: General), Cartagena Capital(Advisor: General), Kickstarter(Lead Manager or Arranger), Reed Smith(Legal Advisor)</t>
  </si>
  <si>
    <t>62090-74</t>
  </si>
  <si>
    <t>Tact.ai</t>
  </si>
  <si>
    <t>Tact</t>
  </si>
  <si>
    <t>KnowledgeTree, Highspot, SalesLoft, Showpad, Yesware, InsightSquared, Prezentor, Outreach, Enhatch, ClearSlide, Domo, Tilkee, Inbenta, SugarCRM, HubSpot, Mindtickle, Base (Sales Platform), Interactions, Bloomfire, SAVO Group, Accent Technologies, People.ai, Skura, Insightly, Vahan, Mediafly, Clari, LiveHive, SalesWise, Vymo, Seismic (Business/Productivity Software), Octiv, Veelo, Zendesk, SAP, Revegy, Allego, Rehearsal, DocSend, Marketo, Obero SPM, Allbound</t>
  </si>
  <si>
    <t>Provider of a sales experience platform designed to make enterprise software more human-friendly. The company's platform is used by Fortune 500 companies to transform daily sales experiences in the field and maximize the value of their CRM investment by connecting them to the data they need across CRM, email, calendar, LinkedIn, Zendesk and beyond, through natural text, touch and voice conversational experiences, enabling Fortune 500 companies to drive revenue growth by eliminating friction in their daily sales workflow.</t>
  </si>
  <si>
    <t>Artificial Intelligence &amp; Machine Learning, Marketing Tech, TMT</t>
  </si>
  <si>
    <t>conversational computing platform, sales automation, sales automation platform, sales automation software, sales experience platform, sales information, sales productivity, salesforce data, virtual personal assistant</t>
  </si>
  <si>
    <t>www.tact.ai</t>
  </si>
  <si>
    <t>2014: 8, 2015: 21, 2016: 65</t>
  </si>
  <si>
    <t>38489-50P</t>
  </si>
  <si>
    <t>Chuck Ganapathi</t>
  </si>
  <si>
    <t>chuck@tact.ai</t>
  </si>
  <si>
    <t>+1 (844) 439-8228</t>
  </si>
  <si>
    <t>2400 Broadway Street</t>
  </si>
  <si>
    <t>Suite 220</t>
  </si>
  <si>
    <t>marketing@tact.ai</t>
  </si>
  <si>
    <t>The company raised $27 million of Series C venture funding in a deal led by Comcast Ventures on June 25, 2018, putting the company's pre-money valuation at $85 million. M12, Salesforce Ventures, Amazon Alexa Fund, Redpoint Ventures, Accel, Upfront Ventures and Subrah Iyar also participated in the round. The company will use the funds to expand its operations into new products and markets.</t>
  </si>
  <si>
    <t>Accel, Amazon Alexa Fund, Comcast Ventures, Focus Opportunity Fund, Kevin Efrusy, M12, Mark Suster, Rashmi Gopinath, Redpoint Ventures, Salesforce Ventures, Subrah Iyar, Upfront Ventures</t>
  </si>
  <si>
    <t>Accel(www.accel.com), Amazon Alexa Fund(developer.amazon.com/alexa-fund), Comcast Ventures(www.comcastventures.com), Focus Opportunity Fund(www.focusopportunity.com), M12(www.m12.vc), Mark Suster(www.bothsidesofthetable.com), Redpoint Ventures(www.redpoint.com), Upfront Ventures(www.upfront.com)</t>
  </si>
  <si>
    <t>52702-39</t>
  </si>
  <si>
    <t>Taboola</t>
  </si>
  <si>
    <t>Outbrain, Storygize, Bidtellect, PublishThis, Kapost, Thunder Industries, Nativo, StackAdapt, VideoAmp, AdRoll, Revee, NewsCred, Olapic, Playbuzz, ScribbleLive, TripleLift, my6sense, Crisp Mobile, Livefyre, NativeX Holdings, StitcherAds, PowerLinks, Parse.ly, Feathr, Spectrm, Dianomi, Qzzr, SellPoints, plista, Lotame Solutions, SnapApp, JW Player, Yieldmo, Heap, InMobi, Sharethrough, iProspect, Dynamic Yield, Chartbeat, ShareThis, Adaptly, Woopra, Clarabridge, Scoop.it, Intent (Travel), Anvato, Digitalsmiths, Viafoura, Medium Entertainment, Criteo, Content.ad, Revcontent</t>
  </si>
  <si>
    <t>Developer of a video content discovery platform designed to grow online customer traffic and base. The company's platform helps to retain users on their sites, monetize their traffic and distribute their content, enabling organizations to get idea about the choices of the audiences and thus deliver the required content.</t>
  </si>
  <si>
    <t>Internet Software, Media and Information Services (B2B), Multimedia and Design Software*</t>
  </si>
  <si>
    <t>content publication, discovery platform, video discovery, video distribution, video recommendation</t>
  </si>
  <si>
    <t>www.taboola.com</t>
  </si>
  <si>
    <t>2012: 50, 2013: 120, 2014: 200, 2015: 270, 2016: 384, 2017: 500, 2018: 1000, 2019: 1200</t>
  </si>
  <si>
    <t>89078-41P</t>
  </si>
  <si>
    <t>David Aber</t>
  </si>
  <si>
    <t>david@taboola.com</t>
  </si>
  <si>
    <t>+1 (212) 206-7663</t>
  </si>
  <si>
    <t>16 Madison Square West</t>
  </si>
  <si>
    <t>info@taboola.com</t>
  </si>
  <si>
    <t>TDJ Pitango Ventures sold its stake in the company on an undisclosed date.</t>
  </si>
  <si>
    <t>Advance Venture Partners, Advanced Network Solutions, Baidu, Bearing Capital, Carlo De Benedetti, China Everbright, Comcast Ventures, Crescent Point Group, dmg ventures, Evergreen Venture Partners, Eyal Gura, Fidelity Investments, Groupe Arnault, Individual Investor, MailOnline, Marker, Pitango Venture Capital, Planven Investments, Qumra Capital, Star Farm Ventures, Steadfast Capital, WGI Group, Yahoo Japan</t>
  </si>
  <si>
    <t>Rancilio Cube, TDJ Pitango Ventures</t>
  </si>
  <si>
    <t>Advance Venture Partners(www.avp.vc), Advanced Network Solutions(www.ansolutions.com), Baidu(ir.baidu.com), China Everbright(www.everbright.com), Comcast Ventures(www.comcastventures.com), Crescent Point Group(www.cgcm.com), dmg ventures(www.dmgventures.co.uk), Evergreen Venture Partners(www.evergreen.co.il), Eyal Gura(www.picscout.com), Fidelity Investments(www.fidelity.com), MailOnline(www.dailymail.co.uk), Marker(www.marker-llc.com), Pitango Venture Capital(www.pitango.com), Planven Investments(www.planven.com), Qumra Capital(www.qumracapital.com), Star Farm Ventures(www.starfarmventures.com), Steadfast Capital(www.steadfastcapital.de), WGI Group(www.wgifund.com), Yahoo Japan(www.yahoo.co.jp)</t>
  </si>
  <si>
    <t>Rancilio Cube(www.ranciliocube.com), TDJ Pitango Ventures(www.tdjpitango.com)</t>
  </si>
  <si>
    <t>Credit Suisse(Placement Agent), Motion!(Advisor: General)</t>
  </si>
  <si>
    <t>12649-96</t>
  </si>
  <si>
    <t>T2 Systems</t>
  </si>
  <si>
    <t>T2</t>
  </si>
  <si>
    <t>Provider of parking technology services. The company offers a SaaS based cloud parking management platform which enhances a parking owner's ability to monitor and manage parking garage operations.</t>
  </si>
  <si>
    <t>Other Commercial Services, Other Software, Social/Platform Software*</t>
  </si>
  <si>
    <t>dashboard, logistics technology, parking access, parking meter, parking services, parking technology</t>
  </si>
  <si>
    <t>www.t2systems.com</t>
  </si>
  <si>
    <t>1995: 7, 1998: 10, 1999: 4, 2001: 10, 2002: 15, 2003: 20, 2010: 50, 2014: 200, 2016: 284, 2019: 300</t>
  </si>
  <si>
    <t>54094-87P</t>
  </si>
  <si>
    <t>Robert Millard</t>
  </si>
  <si>
    <t>rmillard@t2systems.com</t>
  </si>
  <si>
    <t>+1 (317) 524-5500</t>
  </si>
  <si>
    <t>8900 Keystone Crossing</t>
  </si>
  <si>
    <t>46240</t>
  </si>
  <si>
    <t>+1 (317) 524-5501</t>
  </si>
  <si>
    <t>info@t2systems.com</t>
  </si>
  <si>
    <t>The company received an undisclosed amount of senior debt financing from Madison Capital Funding on July 14, 2017. The financing was used for the acquisition of ParkingSoft. Previously, the company was acquired by Thoma Bravo and Petra Capital Partners through a $194.5 million LBO on September 28, 2016. The Carlyle Group, Madison Capital Funding,Petra Capital and TCG BDC provided debt in this transaction. The company was recapitalized in this round.</t>
  </si>
  <si>
    <t>Collina Ventures, ORIX Growth Capital, Pamlico Capital, Petra Capital Partners</t>
  </si>
  <si>
    <t>Collina Ventures(www.collinaventures.com), Pamlico Capital(www.pamlicocapital.com), Petra Capital Partners(www.petracapital.com)</t>
  </si>
  <si>
    <t>Alston &amp; Bird(Legal Advisor), Harris Williams(Advisor: General), Katz Sapper &amp; Miller(Advisor: General)</t>
  </si>
  <si>
    <t>Barnes &amp; Thornburg(Legal Advisor), Madison Capital Funding(Debt Financing), Periculum Capital(Advisor: General), Petra Capital Partners(Debt Financing), Stellus Capital Management(Debt Financing), TCG BDC(Debt Financing), The Carlyle Group(Debt Financing)</t>
  </si>
  <si>
    <t>Acquisition Financing</t>
  </si>
  <si>
    <t>223410-25</t>
  </si>
  <si>
    <t>Systum</t>
  </si>
  <si>
    <t>Developer of a real time inventory management and order fulfillment platform designed to help businesses to run their wholesale, distribution or digital commerce business. The company's platform helps to eliminate application overload, unify data and better serve every customer from one dashboard, enabling businesses to reduce the chance of human error and save time and money while improving the customer experience.</t>
  </si>
  <si>
    <t>data unification platform, digital operating platform, inventory management, operating platform, operating software platform, real time inventory management, wholesale distribution platform, wholesale distribution software</t>
  </si>
  <si>
    <t>www.systum.com</t>
  </si>
  <si>
    <t>177036-13P</t>
  </si>
  <si>
    <t>Dean Mansfield</t>
  </si>
  <si>
    <t>dean@systum.com</t>
  </si>
  <si>
    <t>+1 (877) 467-9788</t>
  </si>
  <si>
    <t>Plano, TX</t>
  </si>
  <si>
    <t>Legacy Town Center II</t>
  </si>
  <si>
    <t>6900 North Dallas Parkway</t>
  </si>
  <si>
    <t>Plano</t>
  </si>
  <si>
    <t>75024</t>
  </si>
  <si>
    <t>info@systum.com</t>
  </si>
  <si>
    <t>The company raised $7.5 million of Series A venture funding in a deal led by Underscore VC on June 4, 2018. Hearst Ventures also participated in the round. The company will use the funding to expand their sales and marketing efforts to meet demand for their digital commerce platform.</t>
  </si>
  <si>
    <t>Hearst Ventures, Underscore VC</t>
  </si>
  <si>
    <t>Underscore VC(www.underscore.vc)</t>
  </si>
  <si>
    <t>184026-16</t>
  </si>
  <si>
    <t>Syntiant</t>
  </si>
  <si>
    <t>Monolithic Power Systems, Cactus Semiconductor, Linear Technology, Atmel, Ambiq Micro, SiTime</t>
  </si>
  <si>
    <t>Developer of a machine learning semiconductor designed to combine experts with latest advanced technology. The company's uses ultra-low-power semiconductors to move machine learning appliances from the cloud to the smart edge device, enabling experts to develop artificial intelligence technology for sensor, voice and video applications in almost any battery-powered product.</t>
  </si>
  <si>
    <t>artificial intelligence technology, edge computing, semiconductors</t>
  </si>
  <si>
    <t>www.syntiant.com</t>
  </si>
  <si>
    <t>2017: 4</t>
  </si>
  <si>
    <t>167897-89P</t>
  </si>
  <si>
    <t>Kurt Busch</t>
  </si>
  <si>
    <t>kurt@syntiant.com</t>
  </si>
  <si>
    <t>27068 La Paz Road</t>
  </si>
  <si>
    <t>Suite 214</t>
  </si>
  <si>
    <t>The company raised $25 million of Series B venture funding in a deal led by M12 on October 24, 2018, putting the company's pre-money valuation at $54 million. Intel Capital, Amazon Alexa Fund, Applied Ventures, Motorola Solutions Venture Capital, Robert Bosch Venture Capital, Microsoft, Amazon.com, Sunstone Management and Seraph Group also participated in the round. Prior to that, the company raised $5.06 million of Series A1 venture funding in a deal led by Intel Capital on May 8, 2018, putting the company's pre-money valuation at $10 million. Seraph Group, Sunstone Management, Danhua Capital, Embark Ventures, CrowdSmart and DaaS Analytics also participated in the round.</t>
  </si>
  <si>
    <t>Amazon Alexa Fund, Amazon.com, Applied Ventures, CrowdSmart, DaaS Analytics, Digital Horizon Capital, Embark Ventures, EvoNexus, Intel Capital, M12, Microsoft, Motorola Solutions Venture Capital, Robert Bosch Venture Capital, Seraph Group, Sunstone Management</t>
  </si>
  <si>
    <t>Amazon Alexa Fund(developer.amazon.com/alexa-fund), Amazon.com(www.amazon.com), CrowdSmart(www.crowdsmart.io), DaaS Analytics(www.daasanalytics.com), Digital Horizon Capital(www.dh.vc), Embark Ventures(www.embark.vc), EvoNexus(www.evonexus.org), Intel Capital(www.intelcapital.com), M12(www.m12.vc), Microsoft(www.microsoft.com), Robert Bosch Venture Capital(www.rbvc.com), Seraph Group(www.seraphgroup.net), Sunstone Management(www.sunstoneinvestment.com)</t>
  </si>
  <si>
    <t>43028-47</t>
  </si>
  <si>
    <t>Synthetic Genomics</t>
  </si>
  <si>
    <t>Synthetic Genomic Solutions</t>
  </si>
  <si>
    <t>SGI</t>
  </si>
  <si>
    <t>Caribou Biosciences, DNA Script</t>
  </si>
  <si>
    <t>Developer of genomic-driven technology designed to address global energy and environmental challenges. The company's technology focuses in bio-based production targeted at improving existing biological production hosts and developing entirely new synthetic production hosts, enabling academic and commercial research and development organizations to get more efficient production of pharmaceuticals, vaccines, nutritional and bio-industrial products derived from renewable biological resources.</t>
  </si>
  <si>
    <t>Alternative Energy Equipment*, Biotechnology, Energy Production</t>
  </si>
  <si>
    <t>bioenergy, fermentation microorganism, genomic-driven technology, genomics energy, microbial, synthetic genomics</t>
  </si>
  <si>
    <t>www.syntheticgenomics.com</t>
  </si>
  <si>
    <t>2010: 130, 2014: 133, 2015: 178</t>
  </si>
  <si>
    <t>38126-80P</t>
  </si>
  <si>
    <t>Joseph Mahler</t>
  </si>
  <si>
    <t>jmahler@syntheticgenomics.com</t>
  </si>
  <si>
    <t>+1 (858) 754-2900</t>
  </si>
  <si>
    <t>La Jolla, CA</t>
  </si>
  <si>
    <t>11149 North Torrey Pines Road</t>
  </si>
  <si>
    <t>La Jolla</t>
  </si>
  <si>
    <t>92037</t>
  </si>
  <si>
    <t>+1 (858) 754-2988</t>
  </si>
  <si>
    <t>The company raised $100 million of Series E1 venture funding from undisclosed investors on September 22, 2015, putting the company's pre-money valuation at $1150 million.</t>
  </si>
  <si>
    <t>ACGT Sdn Bhd, Biotechonomy, BP Ventures, Draper Fisher Jurvetson Management, Excel Venture Management, ExxonMobil, Frontier Venture Capital, Genting Genomics, Individual Investor, Invitrogen, Jean Hammond, Lung Biotechnology, Monsanto Growth Ventures, OS Fund, Plenus, The Meteor Group, Thermo Electron, United Therapeutics</t>
  </si>
  <si>
    <t>ACGT Sdn Bhd(www.acgt.asia), Biotechonomy(www.biotechonomy.com), Draper Fisher Jurvetson Management(www.dfj.com), Excel Venture Management(www.excelvm.com), ExxonMobil(corporate.exxonmobil.com), Frontier Venture Capital(www.draperfrontier.com), Lung Biotechnology(www.lungbiotechnology.com), OS Fund(www.osfund.co), Plenus(www.plenus.biz), Thermo Electron(www.thermo.com), United Therapeutics(www.unither.com)</t>
  </si>
  <si>
    <t>Gunderson Dettmer(Legal Advisor), Locust Walk Partners(Advisor: General), Waller Lansden Dortch &amp; Davis(Legal Advisor)</t>
  </si>
  <si>
    <t>Feinberg Hanson(Legal Advisor), Gunderson Dettmer(Legal Advisor)</t>
  </si>
  <si>
    <t>54969-67</t>
  </si>
  <si>
    <t>Synova (Power)</t>
  </si>
  <si>
    <t>Provider of synthetic gas technology intended to recycle waste to produce clean energy. The company's proprietary technology gasifies and strips waste of impurities that could be harmful to turbines, producing a synthetic gas for use in gas turbines, a highly efficient form of power production when compared to traditional mass burn and incineration of waste, enabling commercial, industrial and utility customers worldwide to remove unwanted impurities from residual waste and turn it into clean, efficient power or chemical energy.</t>
  </si>
  <si>
    <t>Energy Production, Environmental Services (B2B)*</t>
  </si>
  <si>
    <t>biomass, process waste, synthetic gas, waste conversion, waste recycling</t>
  </si>
  <si>
    <t>www.synovapower.com</t>
  </si>
  <si>
    <t>42764-68P</t>
  </si>
  <si>
    <t>Giffen Ott</t>
  </si>
  <si>
    <t>giffenott@synovapower.com</t>
  </si>
  <si>
    <t>+1 (310) 367-1231</t>
  </si>
  <si>
    <t>Maassluis, Netherlands</t>
  </si>
  <si>
    <t>Scheldeweg 10</t>
  </si>
  <si>
    <t>Maassluis</t>
  </si>
  <si>
    <t>3144 ES</t>
  </si>
  <si>
    <t>info@synovallc.com</t>
  </si>
  <si>
    <t>The company raised an undisclosed amount of convertible debt financing from Caterpillar Ventures and FullCycle Energy Fund on July 19, 2017. The funds will allow the company to acquire 100% of Dahlman Renewable Technology and form a joint venture with the Energy Research Centre of the Netherlands.</t>
  </si>
  <si>
    <t>Aquillian Investments, Caterpillar Ventures, FullCycle Energy Fund, The Ecosystem Integrity Fund</t>
  </si>
  <si>
    <t>FullCycle Energy Fund(www.fullcyclefund.com), The Ecosystem Integrity Fund(www.ecosystemintegrity.com)</t>
  </si>
  <si>
    <t>12774-34</t>
  </si>
  <si>
    <t>Synamedia</t>
  </si>
  <si>
    <t>News Datacom, Cisco (SPVSS business)</t>
  </si>
  <si>
    <t>StudyStream Ltd, Cloakware, Verimatrix, Xstream</t>
  </si>
  <si>
    <t>Provider of video and content security software services. The company offers software products for the pay television industry, such as set-top box software, video recorder software and other related software services.</t>
  </si>
  <si>
    <t>Communication Software, Network Management Software, Other Software</t>
  </si>
  <si>
    <t>communication equipment, content security, television software, video middleware, video processing, video security, video software</t>
  </si>
  <si>
    <t>Private Equity, Publicly Listed, Venture Capital</t>
  </si>
  <si>
    <t>www.synamedia.com</t>
  </si>
  <si>
    <t>1999: 830, 2000: 1028, 2001: 1050, 2002: 1226, 2003: 1328, 2004: 1773, 2005: 2500, 2006: 3000, 2007: 3572, 2008: 4073, 2009: 3990, 2010: 4951, 2011: 5094, 2012: 5587, 2018: 3500</t>
  </si>
  <si>
    <t>TTM 1Q2009</t>
  </si>
  <si>
    <t>195755-95P</t>
  </si>
  <si>
    <t>Yves Padrines</t>
  </si>
  <si>
    <t>Hampshire, United Kingdom</t>
  </si>
  <si>
    <t>CF2 Four Stoneycroft Rise</t>
  </si>
  <si>
    <t>Chandlers Ford</t>
  </si>
  <si>
    <t>Hampshire</t>
  </si>
  <si>
    <t>SO53 3YU</t>
  </si>
  <si>
    <t>The company, a subsidiary of Cisco Systems (NASDAQ: CSCO), was acquired by Permira through a $1 billion LBO on October 29, 2018. As a part of the transaction, Vector Capital has provided a $100 million of second lien term loan financing to support the deal.</t>
  </si>
  <si>
    <t>Permira</t>
  </si>
  <si>
    <t>Cisco Systems, Comcast Ventures, News Corp, Ver Capital Sgr</t>
  </si>
  <si>
    <t>Permira(www.permira.com)</t>
  </si>
  <si>
    <t>Cisco Systems(www.cisco.com), Comcast Ventures(www.comcastventures.com), News Corp(www.newscorp.com), Ver Capital Sgr(www.vercapital.com)</t>
  </si>
  <si>
    <t>EY(Auditor), PwC(Auditor)</t>
  </si>
  <si>
    <t>Herzog Fox &amp; Neeman(Legal Advisor), J.P. Morgan(Advisor: General), Morgan Stanley(Underwriter), Proskauer Rose(Legal Advisor), Skadden, Arps, Slate, Meagher &amp; Flom(Legal Advisor), The Goldman Sachs Group(Underwriter), Travers Smith(Legal Advisor), Vector Capital(Debt Financing), Ver Capital Sgr(Debt Financing)</t>
  </si>
  <si>
    <t>Second Lien</t>
  </si>
  <si>
    <t>54978-58</t>
  </si>
  <si>
    <t>Swirl</t>
  </si>
  <si>
    <t>Minodes, Radius Networks, Screach, Demandbase, Ebizu, Radius (Database Software), Shelfbucks, Ensighten, Tamoco, NinthDecimal, Clicktrue, Signal, MixPanel, Unacast, Footmarks, Mobify, Airship, Kiip, Thinaire, Rover (Business/Productivity Software), Carnival (Mobile), PlaceIQ, Gimbal, Watchwith, Mad Mobile, Smaato, Leantegra, Swrve, Saepio Technologies, Parse.ly, GPShopper, ThinkNear, Trendemon, Shopgate, Localytics, Madison Logic, Factual, NewStore, Estimote, Wayin, Blis Media, ShopAdvisor, Signal360, V3D, inMarket Media, Sensorberg, Foursquare, Bigcommerce, Placed</t>
  </si>
  <si>
    <t>Provider of enterprise software designed to help retailers to harness the power of mobile presence to build lasting value. The company's enterprise software utilize proprietary micro-location technology to provide in-store marketing of branded products to consumers, enabling retailers to increase store traffic, customer engagement and sales conversions.</t>
  </si>
  <si>
    <t>enterprise software, location-based marketing, mobile marketing platform, platform marketing</t>
  </si>
  <si>
    <t>www.swirl.com</t>
  </si>
  <si>
    <t>2014: 28, 2015: 28, 2016: 44</t>
  </si>
  <si>
    <t>Competitor (New) Foursquare</t>
  </si>
  <si>
    <t>36721-72P</t>
  </si>
  <si>
    <t>Gretchen Fleming</t>
  </si>
  <si>
    <t>Co-Founder, Chief Financial Officer &amp; Chief Operating Officer</t>
  </si>
  <si>
    <t>gretchen@swirl.com</t>
  </si>
  <si>
    <t>+1 (617) 932-6100</t>
  </si>
  <si>
    <t>40 Broad Street</t>
  </si>
  <si>
    <t>02109</t>
  </si>
  <si>
    <t>info@swirl.com</t>
  </si>
  <si>
    <t>The company raised $18 million of Series C venture funding in a deal led by Hearst Ventures and SoftBank Capital on April 22, 2015, putting the pre-money valuation at $99.77 million. Twitter Ventures, Simon Venturs, Longworth Venture Partners and other undisclosed investors also participated in the round. The new capital will be used to expand Swirl's sales and marketing operations and to fuel aggressive investment in product innovation to meet accelerating demand from major retailers and brand advertisers for beacon-powered indoor mobile advertising.</t>
  </si>
  <si>
    <t>General Catalyst, Hearst Ventures, Longworth Venture Partners, Simon Venture Group, SoftBank Capital, Twitter Ventures</t>
  </si>
  <si>
    <t>General Catalyst(www.generalcatalyst.com), Longworth Venture Partners(www.longworth.com), Simon Venture Group(simonventuregroup.com), SoftBank Capital(www.softbankvc.com), Twitter Ventures(www.twitterventures.com)</t>
  </si>
  <si>
    <t>Danielson Legal(Legal Advisor)</t>
  </si>
  <si>
    <t>178924-24</t>
  </si>
  <si>
    <t>Swingvy</t>
  </si>
  <si>
    <t>Justworks, Gusto, WorkForce Software, Monet Software, Nexonia, Kakitangan.com</t>
  </si>
  <si>
    <t>Developer of a human resource platform designed to simplify HR processes. The company's platform automates and facilitates management of employee on-boarding, leave management, benefits administering, HR reporting and payroll administration, enabling companies to save time, paperwork and cost as well as reduce errors.</t>
  </si>
  <si>
    <t>HR Tech, Industrials, Mobile, TMT</t>
  </si>
  <si>
    <t>employee onboarding, hr platform, hr reporting, human resources automation, leave management</t>
  </si>
  <si>
    <t>www.swingvy.com</t>
  </si>
  <si>
    <t>159592-06P</t>
  </si>
  <si>
    <t>Jin Choeh</t>
  </si>
  <si>
    <t>jin@swingvy.com</t>
  </si>
  <si>
    <t>Kuala Lumpur, Malaysia</t>
  </si>
  <si>
    <t>B1-2-1, Solaris Dutamas, Number 1</t>
  </si>
  <si>
    <t>Jalan Dutamas 1</t>
  </si>
  <si>
    <t>Kuala Lumpur</t>
  </si>
  <si>
    <t>50480</t>
  </si>
  <si>
    <t>Malaysia</t>
  </si>
  <si>
    <t>The company raised $7 million of Series A venture funding in a deal led by Samsung Venture Investment on April 30, 2019. Aviva Ventures, Bass Investment, Big Basin Capital, and Walden International also participated in the round. The funds will be used to accelerate growth and expansion into the Asian region starting with Taiwan, as well as growing the team for on-going product innovation and development.</t>
  </si>
  <si>
    <t>Aviva Ventures, Bass Investment, Big Basin Capital, Samsung Venture Investment, SparkLabs, Walden International</t>
  </si>
  <si>
    <t>Bass Investment(www.bassinvestment.com), Big Basin Capital(www.bigbasincapital.com), Samsung Venture Investment(www.samsungventures.com), SparkLabs(www.sparklabs.co.kr), Walden International(www.waldenintl.com)</t>
  </si>
  <si>
    <t>143011-18</t>
  </si>
  <si>
    <t>Swimlane</t>
  </si>
  <si>
    <t>JASK, Hexadite, Invotas International, Uplevel, Phantom Cyber, Cyberbit, ThreatConnect, Lancope, Endgame, ContentKeeper, IBM Resilient, LogicHub, Recorded Future, Respond Software, Observable Networks, McAfee, Siemplify, Morphick, LogRhythm, Ziften, Forcepoint, CrowdStrike, Flying Cloud, Demisto, Awake Security, Komand, Anomali, Sqrrl, iboss (Cybersecurity), D3 Security, CounterTack, Wurldtech Security Technologies, Claroty, Webroot, Securonix, Skycure, E8 Security, CyberObserver, Fidelis Cybersecurity, Cylance, Cybereason, NextNine, Digital Guardian, WatchGuard Technologies, SecBI, Ayehu, RADAR (Social/Platform Software), PatternEx, AccessData Group, AVG Technologies, AttackIQ, Advanced Systems Concepts (IT Automation), Atonomi, PPM 2000, Tanium, Malwarebytes, Riskified, Alert Logic, GuruCul, IDV Solutions, Guidance Software, Resolve Systems, Sophos, Appnomic Systems, CensorNet, ThreatMetrix, Proofpoint</t>
  </si>
  <si>
    <t>Developer of a security automation and orchestration platform created to combat rapidly evolving cyber threats. The company's platform offers automated incident response, increased situational awareness as well as provides real-time visibility and oversight and enables expert threat response, among others, enabling enterprises to maximizes the incident response capabilities of overburdened and understaffed security operations.</t>
  </si>
  <si>
    <t>automated threat response, cyber security platform, incident response automation, orchestration platform, security automation platform, security automation technology, security orchestration, threat intelligence</t>
  </si>
  <si>
    <t>www.swimlane.com</t>
  </si>
  <si>
    <t>2015: 14, 2018: 51, 2019: 80</t>
  </si>
  <si>
    <t>Deal (New) Early Stage VC (Series B), 2019|Completed, Promotion (New) Cody Cornell, Co-Founder, Chief Executive Officer, Board Member and Manager, News (New) , Filing (New) , Competitor (New) AccessData Group, Competitor (New) Advanced Systems Concepts (IT Automation), Competitor (New) Atonomi, Competitor (New) AttackIQ, Competitor (New) AVG Technologies, Competitor (New) Claroty, Competitor (New) Cybereason, Competitor (New) CyberObserver, Competitor (New) Cylance, Competitor (New) Digital Guardian, Competitor (New) Fidelis Cybersecurity, Competitor (New) Flying Cloud, Competitor (New) Forcepoint, Competitor (New) Guidance Software, Competitor (New) GuruCul, Competitor (New) iboss (Cybersecurity), Competitor (New) IDV Solutions, Competitor (New) Komand, Competitor (New) Malwarebytes, Competitor (New) McAfee, Competitor (New) NextNine, Competitor (New) PatternEx, Competitor (New) RADAR (Social/Platform Software), Competitor (New) Riskified, Competitor (New) SecBI, Competitor (New) Skycure, Competitor (New) Sqrrl, Competitor (New) Tanium, Competitor (New) WatchGuard Technologies, Competitor (New) Webroot, Competitor (New) Wurldtech Security Technologies, Competitor (New) Ziften</t>
  </si>
  <si>
    <t>141001-57P</t>
  </si>
  <si>
    <t>Brian Kafenbaum</t>
  </si>
  <si>
    <t>Co-Founder, Board Member &amp; Advisor</t>
  </si>
  <si>
    <t>brian.kafenbaum@swimlane.com</t>
  </si>
  <si>
    <t>+1 (844) 794-6526</t>
  </si>
  <si>
    <t>363 Centennial Parkway</t>
  </si>
  <si>
    <t>info@swimlane.com</t>
  </si>
  <si>
    <t>The company raised $23 million of Series B venture funding from Energy Impact Partners on May 30, 2019. The funds will be used to accelerate product development and expand the company's partnerships.</t>
  </si>
  <si>
    <t>3Lines, Arizona Innovation Challenge, Energy Impact Partners, Krishna Kunapuli, Rockies Venture Club</t>
  </si>
  <si>
    <t>3Lines(www.3lines.vc), Energy Impact Partners(www.energyimpactpartners.com), Rockies Venture Club(www.rockiesventureclub.org)</t>
  </si>
  <si>
    <t>Bank of America(General Business Banking), CIBC Bank USA(General Business Banking), Cooley(Legal Advisor)</t>
  </si>
  <si>
    <t>115608-97</t>
  </si>
  <si>
    <t>Swiftmile</t>
  </si>
  <si>
    <t>Lime, Mobike, Ofo</t>
  </si>
  <si>
    <t>Developer of Personal Electronic Transporter (PET) sharing systems designed to make and deploy charging stations for eScooters and eBikes. The company's systems integrate premium electric bikes with a renewable solar smart station, enabling cities, corporations and universities to ease congestion, decrease smog and provide a clean and green alternative to autos.</t>
  </si>
  <si>
    <t>Automotive*, Energy Storage</t>
  </si>
  <si>
    <t>CleanTech, Industrials, Manufacturing, Micro-Mobility</t>
  </si>
  <si>
    <t>charging station, ebikes, micro-mobility, smart station, solar charging systems, solar smart station, vehicle charging</t>
  </si>
  <si>
    <t>www.swiftmile.com</t>
  </si>
  <si>
    <t>2015: 4, 2016: 10, 2017: 6, 2018: 20</t>
  </si>
  <si>
    <t>103675-24P</t>
  </si>
  <si>
    <t>Colin Roche</t>
  </si>
  <si>
    <t>Co-Founder, Chief Executive Officer &amp; Chairman</t>
  </si>
  <si>
    <t>colin@swiftmile.com</t>
  </si>
  <si>
    <t>+1 (650) 248-6842</t>
  </si>
  <si>
    <t>1931 Old Middlefield Road</t>
  </si>
  <si>
    <t>#216</t>
  </si>
  <si>
    <t>info@swiftmile.com</t>
  </si>
  <si>
    <t>The company raised $950,000 of convertible debt financing from Verizon Ventures, Plug and Play Tech Center and Sinai Ventures on April 26, 2018. G Ventures also participated in the round. Previously, the company joined Plug and Play Tech Center as a part of its Mobility Batch 2 on May 5, 2017.</t>
  </si>
  <si>
    <t>BootUP Ventures, G Ventures, Plug and Play Tech Center, SeedInvest, Sinai Ventures, Verizon Ventures</t>
  </si>
  <si>
    <t>BootUP Ventures(www.bootupventures.com), Plug and Play Tech Center(www.plugandplaytechcenter.com), SeedInvest(www.seedinvest.com), Sinai Ventures(www.sinaivc.com), Verizon Ventures(www.verizonventures.com)</t>
  </si>
  <si>
    <t>Wells Fargo(General Business Banking), Wilson Sonsini Goodrich &amp; Rosati(Legal Advisor)</t>
  </si>
  <si>
    <t>GTK Partners(Advisor: General), Wilson Sonsini Goodrich &amp; Rosati(Legal Advisor)</t>
  </si>
  <si>
    <t>Series 2</t>
  </si>
  <si>
    <t>92599-21</t>
  </si>
  <si>
    <t>Swiftly</t>
  </si>
  <si>
    <t>StreetLight Data, Airbiquity, Kofax, TransitScreen, CloudMade</t>
  </si>
  <si>
    <t>Developer of data-driven enterprise software designed to improve urban mobility. The company's data-driven enterprise software offers accurate real-time arrival information enabling transit agencies and cities to improve commute making it faster and efficient.</t>
  </si>
  <si>
    <t>Business/Productivity Software*, Information Services (B2C), Other Transportation</t>
  </si>
  <si>
    <t>data driven technology, data driven technology platform, government innovation, mobile software, public transportation software, real time passenger information</t>
  </si>
  <si>
    <t>www.goswift.ly</t>
  </si>
  <si>
    <t>2017: 9</t>
  </si>
  <si>
    <t>41988-07P</t>
  </si>
  <si>
    <t>Jonathan Simkin</t>
  </si>
  <si>
    <t>jonny@goswift.ly</t>
  </si>
  <si>
    <t>1 Sutter Street</t>
  </si>
  <si>
    <t>contact@goswift.ly</t>
  </si>
  <si>
    <t>The company raised $11.3 million through the combination of Series A1, Series A2 and Series A3 venture funding from Aster Capital, Plug and Play Tech Center and Via ID on April 8, 2019, putting the company's pre-money valuation at $26 million. Millennium Strategic Group also participated in the round.</t>
  </si>
  <si>
    <t>1776, Aster Capital, Boost VC, Elemental Excelerator, Ford Smart Mobility, Gary Swart, Kartheek Raju, Keiretsu Forum, Mehdi Maghsoodnia, Michael Leeman, Millennium Strategic Group, Nik Parekh, Plug and Play Tech Center, Raju Indukuri, RATP Developpement, Robert Brannigan, Samsung NEXT Ventures, Shishir Mehrotra, StartX, Via ID, Vinny Lingham, Wind Capital, Zipdragon Ventures</t>
  </si>
  <si>
    <t>1776(www.1776.vc), Aster Capital(www.aster.com), Boost VC(www.boost.vc), Elemental Excelerator(www.elementalexcelerator.com), Keiretsu Forum(www.keiretsuforum.com), Plug and Play Tech Center(www.plugandplaytechcenter.com), RATP Developpement(www.ratp-developpement.com), Robert Brannigan(www.bobbyvalore.com), Samsung NEXT Ventures(www.samsungnext.com), StartX(www.startx.com), Via ID(www.via-id.com), Vinny Lingham(www.vinnylingham.com), Wind Capital(www.wind.capital), Zipdragon Ventures(www.zipdragon.com)</t>
  </si>
  <si>
    <t>Gunderson Dettmer(Legal Advisor), Heritage Capital Group(Advisor: General)</t>
  </si>
  <si>
    <t>183747-88</t>
  </si>
  <si>
    <t>Sustainable Bioproducts</t>
  </si>
  <si>
    <t>Yellowstone Biotech</t>
  </si>
  <si>
    <t>SB</t>
  </si>
  <si>
    <t>Operator of a biotechnology firm intended to convert waste feed-stock to valuable commercial products. The company's firm specializes in converting biological waste into oil-based products using a microorganism, facilitates enzyme analysis of lignocellulosic, analysis of oil and fat, geomicrobiology and bioinformatics, enabling people to use sustainable products to market for a cleaner and healthier environment.</t>
  </si>
  <si>
    <t>Environmental Services (B2B)*, Other Consumer Products and Services</t>
  </si>
  <si>
    <t>biotechnology, biotechnology company, eco-friendly product, environmental product, green product, sustainable product, waste converted biofuel</t>
  </si>
  <si>
    <t>www.sustainablebioproducts.com</t>
  </si>
  <si>
    <t>167557-24P</t>
  </si>
  <si>
    <t>Mark Kozubal</t>
  </si>
  <si>
    <t>Chief Science Officer</t>
  </si>
  <si>
    <t>mark.kozubal@sustainablebioproducts.com</t>
  </si>
  <si>
    <t>+1 (617) 599-0412</t>
  </si>
  <si>
    <t>5735 South Harper Avenue</t>
  </si>
  <si>
    <t>60637</t>
  </si>
  <si>
    <t>info@sustainablebioproducts.com</t>
  </si>
  <si>
    <t>The company raised $33 million of Series A venture funding in a deal led by 1955 Capital on February 4, 2019, putting the company's pre-money valuation at $67 million. Danone Manifesto Ventures, Lauder Partners, ADM Ventures, Breakthrough Energy Ventures and Liebelson family office also participated in the round.</t>
  </si>
  <si>
    <t>1955 Capital, ADM Ventures, Breakthrough Energy Ventures, Danone Manifesto Ventures, Lauder Partners, Liebelson family office, National Science Foundation, U.S. Environmental Protection Agency, United States Department of Agriculture</t>
  </si>
  <si>
    <t>1955 Capital(www.1955.capital), Danone Manifesto Ventures(www.danoneventures.com), Lauder Partners(www.lauderpartners.com), National Science Foundation(seedfund.nsf.gov), U.S. Environmental Protection Agency(www.epa.gov), United States Department of Agriculture(www.usda.gov)</t>
  </si>
  <si>
    <t>63262-99</t>
  </si>
  <si>
    <t>Survios</t>
  </si>
  <si>
    <t>Owlchemy Labs, High Voltage Software, Mino Games, Aftershock, Resolution (Gaming Studio), Sólfar, Unity, 1939 Games, Cloudhead Games, NextVR, nDreams, BetaDwarf, WildTangent, Cerevrum, Goo Technologies, VirZOOM, Mouldy Toof Studios, CCP, PlayCanvas, TinyCo</t>
  </si>
  <si>
    <t>Developer of virtual reality games intended to facilitate immersive gaming experience. The company's active VR games are designed to immerse users with images, sounds. tactile presence and dynamic spectating, enabling gamers to experience gaming like a reality.</t>
  </si>
  <si>
    <t>Entertainment Software*, Movies, Music and Entertainment</t>
  </si>
  <si>
    <t>Gaming, TMT, Virtual Reality</t>
  </si>
  <si>
    <t>games developer, immersive vr games, virtual reality games developer, vr games studio, vr studio</t>
  </si>
  <si>
    <t>www.survios.com</t>
  </si>
  <si>
    <t>2014: 11, 2016: 50</t>
  </si>
  <si>
    <t>67711-24P</t>
  </si>
  <si>
    <t>Nathan Burba</t>
  </si>
  <si>
    <t>nathan@survios.com</t>
  </si>
  <si>
    <t>3249 South La Cienega Boulevard</t>
  </si>
  <si>
    <t>90016</t>
  </si>
  <si>
    <t>info@survios.com</t>
  </si>
  <si>
    <t>The company raised an estimated $35 million of Series D venture funding from Lux Capital on May 1, 2019, putting the company's pre-money valuation at $150 million.</t>
  </si>
  <si>
    <t>Cherry Tree Investments, Dentsu Ventures, Digital Horizon Capital, Felicis Ventures, Granite Ventures, Lux Capital, MGM Studios, Michael Chang, Samsung NEXT Ventures, Shanda Interactive Entertainment, Shasta Ventures, WiL (World Innovation Lab)</t>
  </si>
  <si>
    <t>Cherry Tree Investments(www.cherrytree.vc), Dentsu Ventures(www.dentsu-v.com), Digital Horizon Capital(www.dh.vc), Felicis Ventures(www.felicis.com), Granite Ventures(www.granitevc.com), Lux Capital(www.luxcapital.com), MGM Studios(www.mgm.com), Samsung NEXT Ventures(www.samsungnext.com), Shasta Ventures(www.shastaventures.com), WiL (World Innovation Lab)(www.wilab.com)</t>
  </si>
  <si>
    <t>Cooley(Legal Advisor), Kirkland &amp; Ellis(Legal Advisor), Parsus Law(Legal Advisor)</t>
  </si>
  <si>
    <t>Cooley(Legal Advisor), Parsus Law(Legal Advisor)</t>
  </si>
  <si>
    <t>155048-68</t>
  </si>
  <si>
    <t>Sure</t>
  </si>
  <si>
    <t>Bunker, Hippo Insurance, AIG Israel Insurance Company, Kin Insurance, Slice Labs, Knip</t>
  </si>
  <si>
    <t>Provider of a mobile application designed to get commercial flight insurance. The company's application helps in purchasing and managing the insurance policies, enabling consumers to invest in protecting their possessions, them selves and their loved ones.</t>
  </si>
  <si>
    <t>Insurance</t>
  </si>
  <si>
    <t>Life and Health Insurance</t>
  </si>
  <si>
    <t>Application Software, Life and Health Insurance*, Property and Casualty Insurance</t>
  </si>
  <si>
    <t>accidental death coverage, airline travel protection, airplane travel insurance, episodic insurance, flight insurance, insurance application, just-in-time insurance, micro duration insurance, mobile insurance, travel insurance</t>
  </si>
  <si>
    <t>www.sureapp.com</t>
  </si>
  <si>
    <t>130132-81P</t>
  </si>
  <si>
    <t>Wayne Slavin</t>
  </si>
  <si>
    <t>wayne@sureapp.com</t>
  </si>
  <si>
    <t>1460 Broadway</t>
  </si>
  <si>
    <t>info@sureapp.com</t>
  </si>
  <si>
    <t>The company raised an estimated $15 million of Series B venture funding from ff Venture Capital and Berkeley Ventures on October 1, 2018, putting the company's pre-money valuation at $44 million. Previously, the company raised $8 million of Series A venture funding in a round led by IA Capital Group on February 10, 2017, putting the company's pre-money valuation at $20 million.</t>
  </si>
  <si>
    <t>Amtrust Ventures, Arab Angel, Assurant Growth Investing, Berkeley Ventures, ff Venture Capital, Fosun RZ Capital, Hemisphere Ventures, IA Capital Group, Kinzon Capital, Menlo Ventures, Montage Ventures, Nationwide Ventures, OVP Venture Partners, Plug and Play Tech Center</t>
  </si>
  <si>
    <t>Arab Angel(www.arabangel.vc), Assurant Growth Investing(www.assurantgrowthinvesting.com), Berkeley Ventures(www.berkeleyventures.com), ff Venture Capital(www.ffvc.com), Fosun RZ Capital(www.frzcapital.cn/index.php), Hemisphere Ventures(www.hemisphere.com), IA Capital Group(www.iacapgroup.com), Kinzon Capital(www.kinzoncapital.com), Menlo Ventures(www.menlovc.com), Montage Ventures(www.montageventures.com), OVP Venture Partners(www.ovpevents.com), Plug and Play Tech Center(www.plugandplaytechcenter.com)</t>
  </si>
  <si>
    <t>60680-71</t>
  </si>
  <si>
    <t>SupportPay</t>
  </si>
  <si>
    <t>Recurly, WePay, Wibmo</t>
  </si>
  <si>
    <t>Provider of a payment platform designed to help single, divorced, separated and blended families manage their financial relationships. The company provides an application to manage the process of child support payments and expenses and track all expenses and payments exchanged between parents including spousal support, family support or alimony thus enabling single parents to manage child support and share expenses.</t>
  </si>
  <si>
    <t>children support, divorce, divorce and family, family law, financial relationship, financial technology, legal app, legal technology, online application, parenting app, personal finance app, personal finance application</t>
  </si>
  <si>
    <t>www.supportpay.com</t>
  </si>
  <si>
    <t>2014: 1, 2015: 7, 2016: 13, 2017: 26</t>
  </si>
  <si>
    <t>60180-22P</t>
  </si>
  <si>
    <t>Sheri Atwood</t>
  </si>
  <si>
    <t>sheri.atwood@supportpay.com</t>
  </si>
  <si>
    <t>+1 (916) 836-3102</t>
  </si>
  <si>
    <t>Sacramento, CA</t>
  </si>
  <si>
    <t>1631 Alhambra Boulevard</t>
  </si>
  <si>
    <t>Sacramento</t>
  </si>
  <si>
    <t>95816</t>
  </si>
  <si>
    <t>help@supportpay.com</t>
  </si>
  <si>
    <t>The company raised $4.1 million of Series A3 venture funding in a deal led by Fenway Summer Ventures on December 13, 2016, putting the pre-money valuation at $10 million. Moneta Ventures, Continental Advisors and other undisclosed existing investors also participated in the round. The funds will be used to expand its team as well as ramp up marketing efforts to further its reach to parents, family law professionals and government agencies across the country.</t>
  </si>
  <si>
    <t>Aspect Ventures, Broadway Angels, Continental Advisors, Draper Associates, Fenway Summer Ventures, Financial Solutions Lab, Individual Investor, Marc Weiser, Moneta Ventures, RPM Ventures, Salesforce Ventures, T5 Capital, TEC Ventures, The Entrepreneurs' Club</t>
  </si>
  <si>
    <t>TA Ventures</t>
  </si>
  <si>
    <t>Aspect Ventures(www.aspectventures.com), Broadway Angels(www.broadway-angels.com), Continental Advisors(www.contadv.com), Draper Associates(www.draper.vc), Fenway Summer Ventures(www.fenwaysummer.com), Financial Solutions Lab(www.finlab.cfsinnovation.com), Moneta Ventures(www.monetaventures.com), RPM Ventures(www.rpmvc.com), T5 Capital(www.t5capital.com), TEC Ventures(www.tec.vc)</t>
  </si>
  <si>
    <t>TA Ventures(www.taventures.vc)</t>
  </si>
  <si>
    <t>Bryan Cave(Legal Advisor), Five Star Bank(General Business Banking), Silicon Valley Bank(General Business Banking)</t>
  </si>
  <si>
    <t>Bryan Cave(Legal Advisor)</t>
  </si>
  <si>
    <t>Series A3</t>
  </si>
  <si>
    <t>60967-09</t>
  </si>
  <si>
    <t>supplyFORCE</t>
  </si>
  <si>
    <t>Strategic Distribution, ADHQ Engineering, Graybar Electric Company</t>
  </si>
  <si>
    <t>Operator of an e-commerce supply chain designed to offer industrial and construction supplies. The company's e-commerce supply chain delivers multi-category maintenance, repair, and operating services for multiple product categories including industrial, PVF and safety supplies along with the most complete electrical offering of any national account provider, enabling customers to consolidate agreements and leverage their spending for both planned and unplanned purchases.</t>
  </si>
  <si>
    <t>Logistics*, Other Commercial Services</t>
  </si>
  <si>
    <t>E-Commerce, Industrials, TMT</t>
  </si>
  <si>
    <t>construction supplies, logistics handles, material procurement</t>
  </si>
  <si>
    <t>www.supplyforce.com</t>
  </si>
  <si>
    <t>2014: 65, 2015: 83</t>
  </si>
  <si>
    <t>58951-90P</t>
  </si>
  <si>
    <t>Michael Hill</t>
  </si>
  <si>
    <t>Chief Financial Officer &amp; Corporate Secretary</t>
  </si>
  <si>
    <t>mhill@supplyforce.com</t>
  </si>
  <si>
    <t>+1 (866) 776-8289</t>
  </si>
  <si>
    <t>King of Prussia, PA</t>
  </si>
  <si>
    <t>700 American Avenue</t>
  </si>
  <si>
    <t>King of Prussia</t>
  </si>
  <si>
    <t>19406</t>
  </si>
  <si>
    <t>info@supplyforce.com</t>
  </si>
  <si>
    <t>Next47 sold its stake in the company on an undisclosed date.</t>
  </si>
  <si>
    <t>Apax Partners, Comcast Ventures, Crosslink Capital, Octopus Ventures</t>
  </si>
  <si>
    <t>Apax Partners(www.apax.com), Comcast Ventures(www.comcastventures.com), Crosslink Capital(www.crosslinkcapital.com), Octopus Ventures(www.octopusventures.com)</t>
  </si>
  <si>
    <t>170195-50</t>
  </si>
  <si>
    <t>Suplari</t>
  </si>
  <si>
    <t>Vroozi, Ivalua, Scanmarket, SAP, Feature Labs, Ngdata, SutiSoft, Bonfire (Business/Productivity Software), Tellius, VendorPanel, Pentaho, BravoSolution, Pool4tool, Offset Market Exchange, Wax Digital, SigOpt, BuyerQuest, Alteryx, Platfora, Procurify, SAP Ariba, Pendo Systems, Xeeva, MedeAnalytics, Jaggaer, Unifi (Data Platform), SourceDay, Datameer, Tradeshift, Taulia, Contraqer, Determine, Infogroup, TradeExtensions, ScoutRFP, Ramyam Intelligence Lab, VendorHawk, Cotiviti, Accrualify, DataRobot, Procurian, Emptoris</t>
  </si>
  <si>
    <t>Provider of an artificial intelligence platform designed to offer real-time, actionable insight into business and consumers. The company's platform is cloud-based which combines data and machine learning to manage supplier risk and procurement, enabling companies to achieve higher levels of operational intelligence, efficiency and effectiveness in order to invest in growth, innovation and their people.</t>
  </si>
  <si>
    <t>business optimization, data optimization, machine learning technology</t>
  </si>
  <si>
    <t>www.suplari.com</t>
  </si>
  <si>
    <t>2018: 18</t>
  </si>
  <si>
    <t>103849-21P</t>
  </si>
  <si>
    <t>Nikesh Parekh</t>
  </si>
  <si>
    <t>nikesh@suplari.com</t>
  </si>
  <si>
    <t>+1 (425) 610-9496</t>
  </si>
  <si>
    <t>1700 7th Avenue</t>
  </si>
  <si>
    <t>Suite 116, PMB 700</t>
  </si>
  <si>
    <t>info@suplari.com</t>
  </si>
  <si>
    <t>The company raised $10.3 million of Series A venture funding in a deal led by Shasta Ventures on April 5, 2018, putting the company's pre-money valuation at $20 million. Amplify Partners, Madrona Venture Group, Two Sigma Ventures and Workday Ventures also participated in the round. The funds will be used to reinvent procurement using artificial intelligence, expand operations and grow its business reach.</t>
  </si>
  <si>
    <t>Amplify Partners, Madrona Venture Group, Shasta Ventures, Two Sigma Ventures, Workday Ventures</t>
  </si>
  <si>
    <t>Amplify Partners(www.amplifypartners.com), Madrona Venture Group(www.madrona.com), Shasta Ventures(www.shastaventures.com), Two Sigma Ventures(www.twosigmaventures.com)</t>
  </si>
  <si>
    <t>64021-96</t>
  </si>
  <si>
    <t>Sunverge</t>
  </si>
  <si>
    <t>Younicos, Advanced Microgrid Solutions, Verdigris, Green Charge Networks, Stem, SolarCity, CODA Energy, JLM Energy, Primus Power, Aquion Energy, Customized Energy Solutions, EnerVault, Rhombus Energy Solutions, Powin Energy, Greensmith Energy</t>
  </si>
  <si>
    <t>Provider of an intelligent storage and distributed energy resource management platform intended to make renewable power reliable, economical and accessible. The company's intelligent storage and distributed energy resource management platform designs and manufactures cloud-based intelligent energy storage systems that helps utilities to automatically execute demand response programs on an individual customer level or link them into Virtual Power Plants, enabling consumers to meet peak energy demand across an entire community or service area.</t>
  </si>
  <si>
    <t>Alternative Energy Equipment, Electric Utilities, Electrical Equipment*, Energy Storage</t>
  </si>
  <si>
    <t>CleanTech, Industrials, LOHAS &amp; Wellness, SaaS, TMT</t>
  </si>
  <si>
    <t>electric utility, energy resources, energy resources management, energy retailer, intelligent energy storage</t>
  </si>
  <si>
    <t>www.sunverge.com</t>
  </si>
  <si>
    <t>2014: 16, 2015: 38, 2016: 70</t>
  </si>
  <si>
    <t>156891-88P</t>
  </si>
  <si>
    <t>Martin Milani</t>
  </si>
  <si>
    <t>mmilani@sunverge.com</t>
  </si>
  <si>
    <t>+1 (415) 795-3660</t>
  </si>
  <si>
    <t>950 Minna Street</t>
  </si>
  <si>
    <t>The company is planning to raise an estimated $24 million of Series C venture funding from undisclosed investors as of October 19, 2017, putting the company's pre-money valuation at $91.25 million. Previously, the company raised an undisclosed amount of convertible debt financing from Next47 on October 24, 2017. Prior to that, the company raised $36.5 million of Series C venture funding in a deal led by The Australian Gas Light Company (ASX:AGL) on February 3, 2016, putting the company's pre-money valuation at $55.77 million. Mitsui &amp; Company, Next47, Australian Renewable Energy Agency, SB China Venture Capital, VisIR Capital Partners and Total Energy Ventures also participated in the round.</t>
  </si>
  <si>
    <t>Australian Renewable Energy Agency, Kokam, Mitsui &amp; Co., Next47, SB China Venture Capital, Southern Cross Venture Partners, The Australian Gas Light Company, Total Energy Ventures, VisIR Capital Partners</t>
  </si>
  <si>
    <t>Australian Renewable Energy Agency(www.arena.gov.au), Kokam(www.kokam.com), Mitsui &amp; Co.(www.mitsui.com), Next47(Next47.com), SB China Venture Capital(www.sbcvc.com), Southern Cross Venture Partners(www.sxvp.com), The Australian Gas Light Company(www.agl.com.au), VisIR Capital Partners(www.visir.com.au)</t>
  </si>
  <si>
    <t>Enertech Search Partners(Consulting), Wilson Sonsini Goodrich &amp; Rosati(Legal Advisor)</t>
  </si>
  <si>
    <t>England &amp; Company(Advisor: General), Wilson Sonsini Goodrich &amp; Rosati(Legal Advisor)</t>
  </si>
  <si>
    <t>121221-01</t>
  </si>
  <si>
    <t>Sunseap</t>
  </si>
  <si>
    <t>Provider of a technology designed to offer clean energy services. The company's technology offers grid-connected photovoltaic (PV) power plants and provides a one-stop, integrated and holistic service that includes project financing, design, installation and maintenance services, enabling customers to get the benefits of using clean energy services.</t>
  </si>
  <si>
    <t>Energy Infrastructure, Energy Production*</t>
  </si>
  <si>
    <t>clean energy supply, photovoltaic plant, photovoltaic systems, solar energy firm, solar power distribution, solar power generator, sustainable energy</t>
  </si>
  <si>
    <t>www.sunseap.com</t>
  </si>
  <si>
    <t>163618-39P</t>
  </si>
  <si>
    <t>Frank Phuan</t>
  </si>
  <si>
    <t>Co-Founder, Chief Executive Officer, Executive Director &amp; Board Member</t>
  </si>
  <si>
    <t>frank@sunseap.com</t>
  </si>
  <si>
    <t>+65 6816 1000</t>
  </si>
  <si>
    <t>Harbourside 2, 2 Boon Leat Terrace</t>
  </si>
  <si>
    <t>Suite 03-04, 04-03 and 04-04</t>
  </si>
  <si>
    <t>119844</t>
  </si>
  <si>
    <t>+65 6795 2335</t>
  </si>
  <si>
    <t>The company received SGD 75 million of corporate financing from Banpu Infinergy Company on September 19, 2017. The investment will give BPIN an increase in power generating a capacity of 47MW for signed projects, enhancing its five-year power-generating-capacity goal of 300MW. Previously, the company raised an undisclosed amount of venture funding from Shell Technology Ventures on August 1, 2017. Previously, the company raised SGD 6.7 million of series C venture funding in a deal led by Isoteam on May 2, 2017. Other undisclosed investors also participated in this round. The company is being actively tracked by PitchBook.</t>
  </si>
  <si>
    <t>Banpu Public Company, Chow Tai Fook Enterprises, Enspire Capital, Isoteam (Singapore), Shell Ventures, Trirec</t>
  </si>
  <si>
    <t>Banpu Public Company(www.banpu.com), Enspire Capital(www.enspire.vc), Isoteam (Singapore)(www.isoteam.com.sg), Trirec(www.trirec.co)</t>
  </si>
  <si>
    <t>Asian Development Bank(Debt Financing), DBS Bank(Debt Financing), The Goldman Sachs Group(Debt Financing), United Overseas Bank(Debt Financing)</t>
  </si>
  <si>
    <t>62690-14</t>
  </si>
  <si>
    <t>SunFunder</t>
  </si>
  <si>
    <t>Baseload Capital, Sungage Financial, Dividend Finance</t>
  </si>
  <si>
    <t>Provider of a crowd funding platform designed to power solar energy businesses. The company's crowd funding platform aggregates capital through private debt offering, enabling investors to invest in a diversified, vetted and high-impact portfolio of off-grid and grid deficit solar projects.</t>
  </si>
  <si>
    <t>Specialized Finance</t>
  </si>
  <si>
    <t>Other Energy Services, Other Financial Services, Specialized Finance*</t>
  </si>
  <si>
    <t>CleanTech, FinTech, Impact Investing, LOHAS &amp; Wellness, TMT</t>
  </si>
  <si>
    <t>crowdfunding platform, impact investing vertical, online fundraising platform, solar asset finance, solar power fundraising</t>
  </si>
  <si>
    <t>Pending Transaction (VC)</t>
  </si>
  <si>
    <t>www.sunfunder.com</t>
  </si>
  <si>
    <t>2014: 1, 2015: 20</t>
  </si>
  <si>
    <t>68401-99P</t>
  </si>
  <si>
    <t>Ryan Levinson</t>
  </si>
  <si>
    <t>ryan@sunfunder.com</t>
  </si>
  <si>
    <t>P.O. Box 59067-00100</t>
  </si>
  <si>
    <t>connect@sunfunder.com</t>
  </si>
  <si>
    <t>The company raised $16.3 million of venture funding through a combination of debt and equity on December 22, 2015, putting the company's pre-money valuation at $15.53 million. $3.3 million Series B funding was led by Treehouse Investments with participation from Khosla Impact, Schneider Electric, MCE Social Capital, Shell Ventures, Investors' Circle and Better Ventures. A $13 million debt portion was provided by Iberdrola, Deutsche Bank, Ceniarth, David and Lucile Packard Foundation, Calvert Foundation, DOEN Foundation and other undisclosed lenders.</t>
  </si>
  <si>
    <t>Aster Capital, Baldwin Brothers, Barnaby Olson, Better Ventures, Ceniarth, Chad DeChant, CR Boardman, Deutsche Bank, Iberdrola - PERSEO, ImpactAssets, Ivy Main, Jim Davidson, Kathy Washienko, Khosla Impact, Marius Gjerset, MCE Social Capital, Radicle Capital, Schneider Electric, Shell Ventures, Social Venture Circle, Stichting DOEN, Stiefel Family Foundation, Thad Curtz, Treehouse Investments, Zac Zeitlin</t>
  </si>
  <si>
    <t>Aster Capital(www.aster.com), Baldwin Brothers(www.baldwinbrothersinc.com), Better Ventures(www.better.vc), Deutsche Bank(www.db.com), ImpactAssets(www.impactassets.org), Khosla Impact(www.khoslaimpact.com), MCE Social Capital(www.mcesocap.org), Schneider Electric(www.schneider-electric.com), Social Venture Circle(www.svcimpact.org), Stichting DOEN(www.doen.nl), Stiefel Family Foundation(www.stiefelfamilyfoundation.org), Treehouse Investments(www.treehouseinvestments.com)</t>
  </si>
  <si>
    <t>Calvert Impact Capital(Debt Financing), Ceniarth(Debt Financing), David And Lucile Packard Foundation(Debt Financing), Deutsche Bank(Debt Financing), Iberdrola(Debt Financing), Orrick, Herrington &amp; Sutcliffe(Legal Advisor), Overseas Private Investment Corporation(Debt Financing), Stichting DOEN(Debt Financing)</t>
  </si>
  <si>
    <t>167959-27</t>
  </si>
  <si>
    <t>Sunflower Labs</t>
  </si>
  <si>
    <t>BuddyGuard, Korner, SimpliSafe, OWLR, Blink (Security Camera), Guardzilla, Notion (Smart Home Sensor), Cammy, Sentri (Electronics)</t>
  </si>
  <si>
    <t>Developer of a drone-based security system designed to offer outdoor home security. The company's Sunflower Home Awareness System combines outdoor sensors with an aerial camera for a complete view of what is going on around a home, enabling consumers to deter unwanted visitors.</t>
  </si>
  <si>
    <t>Electronics (B2C)*, Network Management Software, Security Services (B2B)</t>
  </si>
  <si>
    <t>Industrials, Mobile, Robotics and Drones, TMT</t>
  </si>
  <si>
    <t>flying camera, home security system, motion sensor, night vision, property security</t>
  </si>
  <si>
    <t>www.sunflower-labs.com</t>
  </si>
  <si>
    <t>2016: 9, 2018: 18</t>
  </si>
  <si>
    <t>59769-28P</t>
  </si>
  <si>
    <t>Alex Pachikov</t>
  </si>
  <si>
    <t>alex.pachikov@sunflower-labs.com</t>
  </si>
  <si>
    <t>1266 Harrison Street</t>
  </si>
  <si>
    <t>hi@sunflower-labs.com</t>
  </si>
  <si>
    <t>The company raised an estimated $4 million of additional Seed funding from undisclosed investors on August 9, 2017, putting the company's pre-money valuation at $8.4 million.</t>
  </si>
  <si>
    <t>All Turtles, General Catalyst, Investiere, Noriyuki Matsuda, Philip Libin, Social Discovery Ventures, Stanley Ventures, Y Combinator</t>
  </si>
  <si>
    <t>All Turtles(www.all-turtles.com), General Catalyst(www.generalcatalyst.com), Investiere(www.investiere.ch), Social Discovery Ventures(www.sdventures.com), Stanley Ventures(www.stanleyventures.com), Y Combinator(www.ycombinator.com)</t>
  </si>
  <si>
    <t>Dahl Legal Counsel(Legal Advisor)</t>
  </si>
  <si>
    <t>60513-49</t>
  </si>
  <si>
    <t>Sunfire</t>
  </si>
  <si>
    <t>Ballard Power Systems, Ceres Power, Oorja Fuel Cells, Talen Energy, Sun Catalytix, Hydrogenics, ClearEdge Power, NEL Hydrogen, Joi Scientific, New Enerday, McPhy, ThyssenKrupp Uhde Chlorine Engineers, ITM Power, Velodyne</t>
  </si>
  <si>
    <t>Provider of third-generation bio-fuel cells and combustibles designed to convert electrical energy into chemical energy. The company's solid oxide cells convert energy in highly-efficient continuous processes and can be operated with different hydrocarbon forms, enabling hydrogen energy producers, refineries, off-grid power providers and mobile energy providers to recycle waste heat and reduce byproducts.</t>
  </si>
  <si>
    <t>Alternative Energy Equipment*, Energy Production, Energy Storage</t>
  </si>
  <si>
    <t>CleanTech, Oil &amp; Gas, TMT</t>
  </si>
  <si>
    <t>carbon capture and utilization, efuel, electrolysis, fuel cell, hydrogen business, liquid fuel, power-to-gas technology, power-to-liquids, power-to-x, synthetic fuel</t>
  </si>
  <si>
    <t>www.sunfire.de</t>
  </si>
  <si>
    <t>2014: 70, 2015: 80, 2019: 130</t>
  </si>
  <si>
    <t>57145-96P</t>
  </si>
  <si>
    <t>Nils Aldag</t>
  </si>
  <si>
    <t>Chief Commercial Officer &amp; Co-Founder</t>
  </si>
  <si>
    <t>nils.aldag@sunfire.de</t>
  </si>
  <si>
    <t>+49 (0)35 1896 7970</t>
  </si>
  <si>
    <t>Dresden, Germany</t>
  </si>
  <si>
    <t>Gasanstaltstraße 2</t>
  </si>
  <si>
    <t>Dresden</t>
  </si>
  <si>
    <t>01237</t>
  </si>
  <si>
    <t>+49 (0)35 1896 7978 31</t>
  </si>
  <si>
    <t>info@sunfire.de</t>
  </si>
  <si>
    <t>The company raised EUR 25 million of Series C venture funding in a deal led by Paul Wurth on January 7, 2019, putting the pre-money valuation at an estimated EUR 73.27 million. Total Energy Ventures, Idinvest Partners, Inven Capital, and Sunfire Entrepreneurs Club also participated in the round. The funds will be used to implement commercial multi-megawatt projects applying high-temperature electrolysis and Power-to-Liquid technology in 2019.</t>
  </si>
  <si>
    <t>Idinvest Partners, Individual Investor, Inven Capital, KfW Group, Paul Wurth, Sunfire Entrepreneurs Club, Total Energy Ventures</t>
  </si>
  <si>
    <t>Idinvest Partners(www.idinvest.com), Inven Capital(www.invencapital.cz), KfW Group(www.kfw.de/kfw.de-2.html), Paul Wurth(www.paulwurth.com)</t>
  </si>
  <si>
    <t>Blaum Dettmers Rabstein Rechtsanwälte(Legal Advisor), Commerzbank(General Business Banking)</t>
  </si>
  <si>
    <t>Blaum Dettmers Rabstein Rechtsanwälte(Legal Advisor)</t>
  </si>
  <si>
    <t>11991-52</t>
  </si>
  <si>
    <t>SunEdison</t>
  </si>
  <si>
    <t>MEMC Electronic Materials</t>
  </si>
  <si>
    <t>EDF Energy, BrightSource Energy, Frontier Renewables, Verengo Solar, Morgan Solar, Pyron Solar, SolarReserve, Stion, EnterSolar, vivint.solar, Invenergy, Solarcentury, Sithe Global Power, SunPower, Pawame, Ja Solar Holdings Company, Smart Hydro Power, 8minutenergy Renewables, Dynegy, M-Kopa, SolarCity, Borrego Solar, UK Power Reserve, Enel Green Power, Trinity Solar, Solarkiosk, SunLink, REC Solar (Energy Infrastructure), BBOXX, Ecotricity, Amonix, Stellar Energy GP, Unirac, Sungevity, Lumos, Tata Power Solar, Sunnova Energy, Viesgo, CivicSolar, Terra-Gen, Apex Clean Energy, Calpine, TenK Solar, SSE, ZOLA Electric, Amplus Energy Solutions, Geronimo Energy, First Solar</t>
  </si>
  <si>
    <t>Developer of photo-voltaic energy plants. The company's photo-voltaic energy plants develop, finance, install, own and operate renewable power plants, delivering predictably priced electricity enabling residential, commercial, government and utility customers to acces to a cost effective power supply.</t>
  </si>
  <si>
    <t>Alternative Energy Equipment*, Electric Utilities, Energy Production</t>
  </si>
  <si>
    <t>CleanTech, Impact Investing, Industrials, Infrastructure, Manufacturing, TMT</t>
  </si>
  <si>
    <t>impact investing vertical, solar energy research, solar power plant, solar technology, vertically integrated</t>
  </si>
  <si>
    <t>www.sunedison.com</t>
  </si>
  <si>
    <t>1995: 4790, 1996: 7000, 1997: 7700, 1998: 6100, 1999: 6000, 2000: 6600, 2001: 4700, 2002: 4600, 2003: 4600, 2004: 5000, 2005: 5500, 2006: 5500, 2007: 5400, 2008: 4900, 2009: 5143, 2010: 6480, 2011: 6840, 2012: 5633, 2013: 6300, 2014: 7260, 2015: 2427, 2016: 3000</t>
  </si>
  <si>
    <t>64348-30P</t>
  </si>
  <si>
    <t>Stephen Cerrone</t>
  </si>
  <si>
    <t>Chief Human Resources Officer &amp; Executive Vice President</t>
  </si>
  <si>
    <t>scerrone@sunedison.com</t>
  </si>
  <si>
    <t>Maryland Heights, MO</t>
  </si>
  <si>
    <t>13736 Riverport Drive</t>
  </si>
  <si>
    <t>Suite 180</t>
  </si>
  <si>
    <t>Maryland Heights</t>
  </si>
  <si>
    <t>Missouri</t>
  </si>
  <si>
    <t>63043</t>
  </si>
  <si>
    <t>contact_sunedison@sunedison.com</t>
  </si>
  <si>
    <t>The company received $300 million of debtor-in-possession financing from undisclosed lenders on June 10, 2016.</t>
  </si>
  <si>
    <t>Applied Ventures, Capricorn Investment Group, Crescent Capital Group, EverStream Energy Capital Management, General Electric, Glenview Capital Management, HSH Nordbank, Leonard Green &amp; Partners, New Energy Capital, North Sky Capital, TPG Capital</t>
  </si>
  <si>
    <t>Capricorn Investment Group(www.capricornllc.com), Crescent Capital Group(www.crescentcap.com), EverStream Energy Capital Management(www.everstreamcapital.com), General Electric(www.ge.com), Glenview Capital Management(www.glenviewcapital.com), HSH Nordbank(www.hsh-nordbank.de), Leonard Green &amp; Partners(www.leonardgreen.com), New Energy Capital(www.newenergycapital.com), North Sky Capital(www.northskycapital.com), TPG Capital(www.tpg.com)</t>
  </si>
  <si>
    <t>Brown Smith Wallace(Accounting), Chilmark Partners(Advisor: General), DBO Partners(Advisor: General), Delphos International(Advisor: General), Olshan Frome Wolosky(Legal Advisor), Onyx Asset Advisors(Advisor: General), Osler, Hoskin &amp; Harcourt(Legal Advisor)</t>
  </si>
  <si>
    <t>Apollo Global Management(Debt Financing), Bank of America(Debt Financing), BlackRock(Debt Financing), Candlewood Investment Group(Debt Financing), Central American Bank for Economic Integration(Debt Financing), Cerberus Capital Management(Debt Financing), Citigroup(Underwriter), DBO Partners(Advisor: General), Deutsche Bank(Underwriter), Deutsche Bank (Corporate &amp; Investment Bank)(Debt Financing), International Finance Corporation(Debt Financing), KeyBank(Debt Financing), Kirkland &amp; Ellis(Legal Advisor), Lazard(Advisor: General), Lehman Brothers(Underwriter), Marathon Capital(Advisor: General), McKinsey Recovery &amp; Transformation Services(Advisor: General), Morrison &amp; Foerster(Legal Advisor), OPEC Fund for International Development(Debt Financing), Overseas Private Investment Corporation(Debt Financing), PNC(Debt Financing), Rabobank Group(Debt Financing), Rothschild &amp; Co(Advisor: General), Skadden, Arps, Slate, Meagher &amp; Flom(Legal Advisor), Tennenbaum Capital Partners(Debt Financing), The Blackstone Group(Debt Financing), The Goldman Sachs Group(Debt Financing), U.S. Bank(Debt Financing), UBS(Underwriter), Wells Fargo(Debt Financing), WSFS Financial(Debt Financing)</t>
  </si>
  <si>
    <t>IPO</t>
  </si>
  <si>
    <t>Public Investment</t>
  </si>
  <si>
    <t>42778-54</t>
  </si>
  <si>
    <t>Sundrop Fuels</t>
  </si>
  <si>
    <t>Solarec</t>
  </si>
  <si>
    <t>Solar Drop Fuels</t>
  </si>
  <si>
    <t>Sapphire Energy, CE+P, Fulcrum BioEnergy, Solarvest BioEnergy, Ensyn, Climeworks, Coskata, LanzaTech, BTG Bioliquids</t>
  </si>
  <si>
    <t>Developer of renewable energy technology services intended to offer sustainable energy for the industrial processes. The company's renewable energy technology services offers solar reduction of carbon dioxide technology, which produces electricity, as well as fuels, such as methanol or desalinated water, enabling industries to use affordable and clean renewable energy.</t>
  </si>
  <si>
    <t>Alternative Energy Equipment*, Energy Production</t>
  </si>
  <si>
    <t>desalinated water, renewable energy, renewable fuel, renewable solar energy, solar panels, sustainable energy</t>
  </si>
  <si>
    <t>www.sundropfuels.com</t>
  </si>
  <si>
    <t>2014: 44, 2015: 61</t>
  </si>
  <si>
    <t>60365-44P</t>
  </si>
  <si>
    <t>Renus Kelfkens</t>
  </si>
  <si>
    <t>Senior Vice President, Engineering</t>
  </si>
  <si>
    <t>renus.kelfkens@sundropfuels.com</t>
  </si>
  <si>
    <t>+1 (720) 890-6501</t>
  </si>
  <si>
    <t>Longmont, CO</t>
  </si>
  <si>
    <t>2410 Trade Centre Avenue</t>
  </si>
  <si>
    <t>Longmont</t>
  </si>
  <si>
    <t>80503</t>
  </si>
  <si>
    <t>+1 (303) 926-0640</t>
  </si>
  <si>
    <t>info@sundropfuels.com</t>
  </si>
  <si>
    <t>The company raised $33.75 million of venture funding from Oak Investment Partners on June 30, 2012. Other undisclosed investors has also participated in the round.</t>
  </si>
  <si>
    <t>Chesapeake NG Ventures</t>
  </si>
  <si>
    <t>AMP Capital Investors, Kleiner Perkins, Oak Investment Partners, Sun Mountain Capital</t>
  </si>
  <si>
    <t>AMP Capital Investors(www.ampcapital.com), Kleiner Perkins(www.kleinerperkins.com), Oak Investment Partners(www.oakinv.com), Sun Mountain Capital(www.sunmountaincapital.com)</t>
  </si>
  <si>
    <t>51099-04</t>
  </si>
  <si>
    <t>SundaySky</t>
  </si>
  <si>
    <t>Eyeview, Idomoo, Invodo, Innovid, Bidsopt, Vidyard, Ooyala, Real Time Content, Contentwise, The Trade Desk, OneMob, VideoAmp, Pixability, Sightly, Jivox, Yesware, Tubular (Video Intelligence Platform), Showpad, Podaddies, TubeMogul, Zefr, IRIS.TV, ClearSlide, SourceKnowledge, Simpli.fi, Celtra, FEM</t>
  </si>
  <si>
    <t>Provider of video engagement platform intended to engage people with personalized brands. The company's video engagement platform includes built-in analytics and create customer acquisition, support, growth and loyalty initiatives, enabling brands to measure and optimize performance at multiple touch-points.</t>
  </si>
  <si>
    <t>Information Services (B2C), Media and Information Services (B2B)*, Social/Platform Software</t>
  </si>
  <si>
    <t>video engagement, video engagement platform, video marketing, video sharing</t>
  </si>
  <si>
    <t>www.sundaysky.com</t>
  </si>
  <si>
    <t>2013: 100, 2014: 116, 2015: 143, 2016: 126, 2018: 150</t>
  </si>
  <si>
    <t>46861-21P</t>
  </si>
  <si>
    <t>Eric Porres</t>
  </si>
  <si>
    <t>porres@sundaysky.com</t>
  </si>
  <si>
    <t>+1 (212) 929-8111</t>
  </si>
  <si>
    <t>229 West 36th Street</t>
  </si>
  <si>
    <t>+1 (212) 929-8113</t>
  </si>
  <si>
    <t>info@sundaysky.com</t>
  </si>
  <si>
    <t>The company raised $30 million of Series D venture funding in a deal led by Viola Growth on June 8, 2016. Viola Ventures, Globespan Capital Partners, Norwest Venture Partners, Comcast Ventures and NTT Docomo Ventures also participated in the round. The funding will scale global growth, support continued product innovation and a rapidly expanding customer base.</t>
  </si>
  <si>
    <t>Comcast Ventures, Globespan Capital Partners, Liberty Global Ventures, Norwest Venture Partners, NTT Docomo Ventures, Vintage Investment Partners, Viola Growth, Viola Ventures</t>
  </si>
  <si>
    <t>Comcast Ventures(www.comcastventures.com), Globespan Capital Partners(www.globespancapital.com), Norwest Venture Partners(www.nvp.com), NTT Docomo Ventures(www.nttdocomo-v.com), Vintage Investment Partners(www.vintage-ip.com)</t>
  </si>
  <si>
    <t>Meitar Liquornik Geva Leshem Tal(Legal Advisor)</t>
  </si>
  <si>
    <t>62659-72</t>
  </si>
  <si>
    <t>Sundar</t>
  </si>
  <si>
    <t>Developer of an apparel sourcing platform designed to connect apparel brands and retailers with suppliers of textiles, raw materials and garments. The company's platform operates to streamline discovery, sampling, sourcing and improve collaboration between material research, design and production teams, enabling businesses to enhance productivity and improve profitability easily.</t>
  </si>
  <si>
    <t>Business/Productivity Software*, Clothing, Other Apparel</t>
  </si>
  <si>
    <t>apparel source software, apparel sourcing platform, online apparel, online clothing</t>
  </si>
  <si>
    <t>www.sundar.io</t>
  </si>
  <si>
    <t>65895-49P</t>
  </si>
  <si>
    <t>Jagjeet Gill</t>
  </si>
  <si>
    <t>Founder, President, Board Member &amp; Chief Executive Officer</t>
  </si>
  <si>
    <t>jag@sundar.io</t>
  </si>
  <si>
    <t>+1 (857) 333-9003</t>
  </si>
  <si>
    <t>325 Canal Steet</t>
  </si>
  <si>
    <t>Apartment 4</t>
  </si>
  <si>
    <t>hello@sundar.io</t>
  </si>
  <si>
    <t>The company joined SAP.iO Foundry as part of the first cohort on August 14, 2018 and received an undisclosed amount in funding.</t>
  </si>
  <si>
    <t>Correlation Ventures, Gilt Groupe, Houzz, Massachusetts Institute of Technology, Moda Operandi, New Enterprise Associates, New York Fashion Tech Lab, Plug and Play Tech Center, Plug and Play-Fashion for Good, Right Side Capital Management, SAP.iO Foundry, Techstars, Vectr Ventures, Walter Winshall</t>
  </si>
  <si>
    <t>Correlation Ventures(www.correlationvc.com), Gilt Groupe(www.gilt.com), Houzz(www.houzz.com), Massachusetts Institute of Technology(web.mit.edu), Moda Operandi(www.modaoperandi.com), New Enterprise Associates(www.nea.com), New York Fashion Tech Lab(www.nyftlab.com), Plug and Play Tech Center(www.plugandplaytechcenter.com), Plug and Play-Fashion for Good(fashionforgood.plugandplaytechcenter.com), Right Side Capital Management(www.rightsidecapital.com), SAP.iO Foundry(sap.io), Techstars(www.techstars.com), Vectr Ventures(www.vectr.co)</t>
  </si>
  <si>
    <t>122670-91</t>
  </si>
  <si>
    <t>SuNam</t>
  </si>
  <si>
    <t>Developer of superconducting technologies. The company's technologies are used in high temperature superconducting wires, cyrocoolers and control devices, enabling users to use them for superconductive applications.</t>
  </si>
  <si>
    <t>Industrials, Manufacturing</t>
  </si>
  <si>
    <t>magnets, superconducting technology, superconducting wire</t>
  </si>
  <si>
    <t>www.i-sunam.com</t>
  </si>
  <si>
    <t>2015: 16</t>
  </si>
  <si>
    <t>111630-43P</t>
  </si>
  <si>
    <t>Seung Hyun Moon</t>
  </si>
  <si>
    <t>smoon@i-sunam.com</t>
  </si>
  <si>
    <t>+82 (0)31 655 4336</t>
  </si>
  <si>
    <t>Anseong, South Korea</t>
  </si>
  <si>
    <t>103, Seong-eun-ri, Wongok-myeon</t>
  </si>
  <si>
    <t>Anseong</t>
  </si>
  <si>
    <t>Gyeonggi</t>
  </si>
  <si>
    <t>456-812</t>
  </si>
  <si>
    <t>+82 (0)31 655 4338</t>
  </si>
  <si>
    <t>The company raised venture funding from Applied Ventures, Hanwha Investment and Cube Venture Partners on an undisclosed date.</t>
  </si>
  <si>
    <t>Applied Ventures, Cube Venture Partners, Hanwha Investment</t>
  </si>
  <si>
    <t>Cube Venture Partners(www.cubevp.com), Hanwha Investment(www.hanwhainvestment.co.kr)</t>
  </si>
  <si>
    <t>53750-53</t>
  </si>
  <si>
    <t>Sumo Logic</t>
  </si>
  <si>
    <t>Iqlect, Blue Triangle, Loggly, Predikto, Veriato, Splunk, Canvass, Logz.io, Cloud Cruiser, VividCortex, Logmatic.io, Panaseer, LogDNA, Librato, SevOne, Iguazio, New Relic, ScienceLogic, ActOnMagic, Cloudyn Software, Bit Stew Systems, Uptake, CA Technologies, Cloudability, BMC Software, CloudHealth Technologies, Rubikloud, Kentik, LogicMonitor, RightScale, RedLock, Scalr, Zenoss, Cloudlytics.com, Centerity Systems, CloudCheckr, Egenera, PlanforCloud, Apprenda, Scalyr, Seeq, Humio, Varonis Systems, Talligent, DivvyCloud, Server Density, Zabbix, Mnubo, Bonsai (Software Development Applications), ThingWorx, PTC Software, ZeroNorth, Datadog, LogRhythm, ELK</t>
  </si>
  <si>
    <t>Provider of a cloud based machine data analytics platform designed to deliver real-time continuous intelligence, from structured, semi-structured and unstructured data across the entire application lifecycle and stack. The company's platform offers patent pending elastic log processing technologies that transform log data into actionable insights for operations, application management, security and compliance services, enabling clients to accelerate their shift to continuous innovation, increasing competitive advantage, business value and growth.</t>
  </si>
  <si>
    <t>Artificial Intelligence &amp; Machine Learning, Big Data, SaaS</t>
  </si>
  <si>
    <t>amazon web services, cloud, data analytics, it operations, logging analytics, logging management, machine data, machine learning analytics technology, security analytics, security compliance</t>
  </si>
  <si>
    <t>www.sumologic.com</t>
  </si>
  <si>
    <t>2011: 32, 2012: 81, 2013: 142, 2014: 230, 2015: 250, 2017: 320, 2019: 500</t>
  </si>
  <si>
    <t>46178-92P</t>
  </si>
  <si>
    <t>Ramin Sayar</t>
  </si>
  <si>
    <t>President, Chief Executive Officer and Board Member</t>
  </si>
  <si>
    <t>ramin@sumologic.com</t>
  </si>
  <si>
    <t>+1 (650) 810-8700</t>
  </si>
  <si>
    <t>305 Main Street</t>
  </si>
  <si>
    <t>+1 (650) 961-1711</t>
  </si>
  <si>
    <t>info@sumologic.com</t>
  </si>
  <si>
    <t>The company raised $110 million of Series G venture funding in a deal led by Battery Ventures on May 8, 2019, putting the company's pre-money valuation at $1.08 billion. Tiger Global Management and Franklin Templeton Investments also participated in the round. The funding will be used to expand engineering, sales and global operations teams, and to extend the analytics features of its service across additional platforms.</t>
  </si>
  <si>
    <t>Accel, Allen &amp; Company, Asheem Chandna, Battery Ventures, Cross Creek, DFJ Growth, Franklin Templeton Investments, Glynn Capital, Greylock Partners, IVP, Sapphire Ventures, Sequoia Capital, Shlomo Kramer, Sutter Hill Ventures, Tenaya Capital, Tiger Global Management, Workday Ventures</t>
  </si>
  <si>
    <t>Accel(www.accel.com), Allen &amp; Company(www.allenco.com), Battery Ventures(www.battery.com), Cross Creek(www.crosscreek.vc), Franklin Templeton Investments(www.franklinresources.com), Glynn Capital(www.glynncapital.com), Greylock Partners(www.greylock.com), IVP(www.ivp.com), Sapphire Ventures(www.sapphireventures.com), Sequoia Capital(www.sequoiacap.com), Sutter Hill Ventures(www.shv.com), Tenaya Capital(www.tenayacapital.com), Tiger Global Management(www.tigerglobal.com)</t>
  </si>
  <si>
    <t>Cooley(Legal Advisor), FutureEngine(Consulting), Gunderson Dettmer(Legal Advisor), Riviera Partners(Consulting), True Capital Partners(Advisor: General)</t>
  </si>
  <si>
    <t>61568-38</t>
  </si>
  <si>
    <t>Summon</t>
  </si>
  <si>
    <t>InstantCab</t>
  </si>
  <si>
    <t>InDriver, Grab Holdings, Wheely, GroundLink, Careem, SaferTaxi, Didi Chuxing, Ola, Uber, myTaxi, Flywheel (Taxi App), flinc, Addison Lee, Blacklane, Lyft, Karhoo, Cabify, Easy Taxi, Bandwagon, mobilityX (Automotive), Taxify</t>
  </si>
  <si>
    <t>Provider of an on-demand transportation application designed to match riders with a taxi or personal car. The company's transportation network provides fair pricing for riders and transparent policies for drivers, enabling consumers needing transportation to connect with a taxi driver or a personal driver who is willing to provide a ride.</t>
  </si>
  <si>
    <t>Industrials, Mobile, Ridesharing, TMT</t>
  </si>
  <si>
    <t>cab application, carsharing, ridesharing, taxi books, transportation application</t>
  </si>
  <si>
    <t>www.summon.com</t>
  </si>
  <si>
    <t>2014: 11, 2015: 2, 2018: 18</t>
  </si>
  <si>
    <t>61844-77P</t>
  </si>
  <si>
    <t>Aarjav Trivedi</t>
  </si>
  <si>
    <t>aarjav@ridecell.com</t>
  </si>
  <si>
    <t>367A 9th Street</t>
  </si>
  <si>
    <t>ask@summon.com</t>
  </si>
  <si>
    <t>The company raised an undisclsoed amount of venture funding in a deal led by Khosla Ventures on February 19, 2014. BMW i Ventures, Beenos Partners, Initialized Capital, Maniv Mobility and Greg Kidd also participated in the round. The company plans to use the funds to expand into new markets.</t>
  </si>
  <si>
    <t>Andreessen Horowitz, Beenos Partners, BMW i Ventures, General Catalyst, Georgia Tech VentureLab, Greg Kidd, Initialized Capital Management, Joshua Schachter, Khosla Ventures, Maniv Mobility, Owen Van Natta, Redpoint Ventures, Y Combinator</t>
  </si>
  <si>
    <t>Andreessen Horowitz(www.a16z.com), Beenos Partners(www.beenos.com), BMW i Ventures(www.bmwiventures.com), General Catalyst(www.generalcatalyst.com), Georgia Tech VentureLab(www.venturelab.gatech.edu), Initialized Capital Management(www.initialized.com), Joshua Schachter(joshua.schachter.org), Khosla Ventures(www.khoslaventures.com), Maniv Mobility(www.maniv.com), Redpoint Ventures(www.redpoint.com), Y Combinator(www.ycombinator.com)</t>
  </si>
  <si>
    <t>Orrick, Herrington &amp; Sutcliffe(Legal Advisor), Propelland(Consulting)</t>
  </si>
  <si>
    <t>61111-63</t>
  </si>
  <si>
    <t>Suja</t>
  </si>
  <si>
    <t>Hint, KeVita, Harvest Soul, BluePrint, Califia Farms, Uncle Matt's Organic, Raw Pressery, GoodBelly, Juice Press, Nomva, Dr Pepper Snapple Group, Urban Remedy, Evolution Fresh, Sambazon, Chameleon Cold Brew, Pressed Juicery, Quaker Oats</t>
  </si>
  <si>
    <t>Producer of cold-pressed juices. The company's range of organic, non-GMO, cold-pressed, chemical-free, filler-free, gluten-free, preservative-free juices enable customers to benefit from healthy refreshment options.</t>
  </si>
  <si>
    <t>Beverages*</t>
  </si>
  <si>
    <t>cold pressured juice, fruits juice, organic juice, smoothies</t>
  </si>
  <si>
    <t>www.sujajuice.com</t>
  </si>
  <si>
    <t>2014: 200, 2015: 73</t>
  </si>
  <si>
    <t>59491-09P</t>
  </si>
  <si>
    <t>Todd Fisher</t>
  </si>
  <si>
    <t>todd@sujajuice.com</t>
  </si>
  <si>
    <t>+1 (855) 879-7852</t>
  </si>
  <si>
    <t>Oceanside, CA</t>
  </si>
  <si>
    <t>3831 Ocean Ranch Boulevard</t>
  </si>
  <si>
    <t>Oceanside</t>
  </si>
  <si>
    <t>92056</t>
  </si>
  <si>
    <t>info@sujajuice.com</t>
  </si>
  <si>
    <t>The company received $11.5 million of development capital from Coca-Cola on November 8, 2017.</t>
  </si>
  <si>
    <t>Boulder Brands, Boulder Investment Group Reprise, Coca-Cola, FS Investors, Jared Leto, Leonardo DiCaprio, M13, Sofia Vergara, The Goldman Sachs Group</t>
  </si>
  <si>
    <t>Alliance Consumer Growth, Evolution Media</t>
  </si>
  <si>
    <t>Boulder Investment Group Reprise(www.bigrventures.com), Coca-Cola(www.coca-colacompany.com), FS Investors(www.fsinvestors.com), Leonardo DiCaprio(www.leonardodicaprio.com), M13(www.m13.co), The Goldman Sachs Group(www.goldmansachs.com)</t>
  </si>
  <si>
    <t>Alliance Consumer Growth(www.acgpartners.com), Evolution Media(www.evolutionmedia.com)</t>
  </si>
  <si>
    <t>Piper Jaffray(Advisor: General), The Giannuzzi Group(Legal Advisor)</t>
  </si>
  <si>
    <t>179705-35</t>
  </si>
  <si>
    <t>Sudu</t>
  </si>
  <si>
    <t>Provider of an end-to-end logistics management platform designed to increase supply chain efficiency. The company's platform utilizes big data, predictive analysis and machine learning to match shippers and carriers based upon route optimization and assist them, enabling logistics and cargo businesses to operate efficiently.</t>
  </si>
  <si>
    <t>Artificial Intelligence &amp; Machine Learning, Big Data, Industrials, TMT</t>
  </si>
  <si>
    <t>carrier services, freight services, logistics management service, logistics management system, shipping services, supply chain management</t>
  </si>
  <si>
    <t>www.sudu.io</t>
  </si>
  <si>
    <t>2017: 12</t>
  </si>
  <si>
    <t>165616-93P</t>
  </si>
  <si>
    <t>Amari Ruff</t>
  </si>
  <si>
    <t>aruff@sudu.io</t>
  </si>
  <si>
    <t>+1 (844) 309-3520</t>
  </si>
  <si>
    <t>75 5th Street NorthWest</t>
  </si>
  <si>
    <t>30308</t>
  </si>
  <si>
    <t>info@sudu.io</t>
  </si>
  <si>
    <t>The company raised an estimated $3.3 million of Series 1 Seed funding from Comcast Ventures, Loki Equity Ventures and Atlanta Seed Company on April 22, 2019, putting the company's pre-money valuation at $4.7 million. Tech Square Venture Partners, Harlem Capital Partners and Plug and Play Tech Center also participated in the round.</t>
  </si>
  <si>
    <t>11-11 Ventures, Advanced Technology Development Center, Atlanta Seed Company, Comcast Ventures, Cox Enterprises, Engage Ventures, Georgia-Pacific, Harlem Capital Partners, Loki Equity Ventures, Plug and Play Tech Center, Tech Square Venture Partners, Tony Catalfano, United Parcel Service</t>
  </si>
  <si>
    <t>11-11 Ventures(www.11-11ventures.com), Advanced Technology Development Center(www.atdc.org), Atlanta Seed Company(www.atlantaseedcompany.com), Comcast Ventures(www.comcastventures.com), Cox Enterprises(www.coxenterprises.com), Engage Ventures(www.engage.vc), Georgia-Pacific(www.gp.com), Harlem Capital Partners(www.harlem.capital), Loki Equity Ventures(www.lokiequity.com/home), Plug and Play Tech Center(www.plugandplaytechcenter.com), Tech Square Venture Partners(www.techsquareventures.com), United Parcel Service(www.ups.com)</t>
  </si>
  <si>
    <t>226264-33</t>
  </si>
  <si>
    <t>Subtle Medical</t>
  </si>
  <si>
    <t>Developer of deep learning technologies intended to improve medical imaging for better acquisition, reconstruction, processing and analysis. The company's technologies specializes in radiology with significantly improved quality and enhanced efficiency, enabling the healthcare industry to get advanced imaging technology required for fast diagnosis.</t>
  </si>
  <si>
    <t>deep learning technology, imaging technology, imaging technology device, medical imaging</t>
  </si>
  <si>
    <t>www.subtlemedical.com</t>
  </si>
  <si>
    <t>85635-37P</t>
  </si>
  <si>
    <t>Enhao Gong</t>
  </si>
  <si>
    <t>enhao@subtlemedical.com</t>
  </si>
  <si>
    <t>880 Santa Cruz Avenue</t>
  </si>
  <si>
    <t>94205</t>
  </si>
  <si>
    <t>info@subtlemedical.com</t>
  </si>
  <si>
    <t>The company raised $1.1 million of seed funding from Baidu Ventures, Breyer Capital, Tsingyuan Ventures and Wisemont Capital on May 17, 2018. ZhenFund, Fusion Fund, Bessemer Venture Partners and Data Collective also participated in the round.</t>
  </si>
  <si>
    <t>Baidu Ventures, Bessemer Venture Partners, Breyer Capital, Data Collective, Fusion Fund, Nvidia, StartX, Tsingyuan Ventures, Wisemont Capital, ZhenFund</t>
  </si>
  <si>
    <t>Baidu Ventures(www.bv.ai), Bessemer Venture Partners(www.bvp.com), Breyer Capital(www.breyercapital.com), Data Collective(www.dcvc.com), Fusion Fund(www.fusionfund.com), Nvidia(www.nvidia.com), StartX(www.startx.com), Tsingyuan Ventures(www.tsingyuan.ventures), Wisemont Capital(www.wisemontcapital.com), ZhenFund(www.zhenfund.com)</t>
  </si>
  <si>
    <t>54139-69</t>
  </si>
  <si>
    <t>Stylus</t>
  </si>
  <si>
    <t>eMarketer, GlobalData, Iconoculture, Euromonitor International, Integer Research, J.D. Power and Associates</t>
  </si>
  <si>
    <t>Provider of research and advisory services designed to help to give access to the important global and cross-industry trends. The company's services track consumer behavior and trends for the people who work in the retail, technology and hospitality sectors, enabling businesses to process global consumer lifestyle, consumer product and consumer engagement insights, stimulating innovation and growth.</t>
  </si>
  <si>
    <t>Consulting Services (B2B), Information Services (B2C), Media and Information Services (B2B)*</t>
  </si>
  <si>
    <t>advisory service, advisory service provider, consumer behavior, online subscription, research service</t>
  </si>
  <si>
    <t>www.stylus.com</t>
  </si>
  <si>
    <t>2014: 69, 2016: 84, 2018: 50</t>
  </si>
  <si>
    <t>40699-72P</t>
  </si>
  <si>
    <t>Marcus Worth</t>
  </si>
  <si>
    <t>+44 (0)20 3837 8300</t>
  </si>
  <si>
    <t>Capital House, 25 Chapel Street</t>
  </si>
  <si>
    <t>NW1 5DH</t>
  </si>
  <si>
    <t>The company raised GBP 6 million of venture funding from Hearst Ventures on March 28, 2012, putting the company's pre-money valuation at GBP 8.13 million.</t>
  </si>
  <si>
    <t>Hearst Ventures</t>
  </si>
  <si>
    <t>90238-60</t>
  </si>
  <si>
    <t>StyleSage</t>
  </si>
  <si>
    <t>Certona, Wiser (Business Software), Indix, Profitero, RetSKU, trbo, Unbxd, Competera, Quad Analytix, Revionics, Fanplayr, MPP Global, Movable Ink, Wigzo, Apptus Technologies, SenseTime, iRecommend Software, Jetlore, Dynamic Yield, Criteo, DataWeave, SLI Systems, Upstream Commerce, Qubit (Social/Platform Software), Contextly, Traackr, PriceSpider, Boomerang Commerce, Ometria, Evergage, Adobe Systems, AddShoppers, NeoReach, Vendavo, AgilOne, 360pi, Insightpool, Nosto, BloomReach, Webgility, Wylei, TargetingMantra, MarketYze, Monetate, Infinite Analytics, Feedvisor</t>
  </si>
  <si>
    <t>Developer of a image recognition and retail analytics platform for the fashion industry. The company's platform utilizes artificial intelligence and machine learning to automatically capture all the important design details in a product, including image and text, at a granular level across categories. It monitors competitor's assortment, pricing and promotion movements, collects millions of social media and e-commerce data points on a daily basis, and synthesizes and alerts relevant changes to the merchandising, planning, strategy and design teams, providing them more accurate and data-driven trend forecasting to make timely and profitable decisions.</t>
  </si>
  <si>
    <t>Artificial Intelligence &amp; Machine Learning, Big Data, E-Commerce, Marketing Tech, TMT</t>
  </si>
  <si>
    <t>fashion business, fashion forecasting, fashionable data, pricing platform, social media image recognition, strategic analytics software, virtual assistant platform</t>
  </si>
  <si>
    <t>www.stylesage.co</t>
  </si>
  <si>
    <t>2015: 12, 2016: 11</t>
  </si>
  <si>
    <t>86381-92P</t>
  </si>
  <si>
    <t>Jade Huang</t>
  </si>
  <si>
    <t>jade@stylesage.co</t>
  </si>
  <si>
    <t>+1 (212) 292-3122</t>
  </si>
  <si>
    <t>25 Broadway</t>
  </si>
  <si>
    <t>info@stylesage.co</t>
  </si>
  <si>
    <t>The company joined SAP.iO Foundry as a part of its New York-based cohort 2018 and received an undisclosed amount in funding. The company also raised $1.52 million of Seed 2 funding from an undisclosed investor on May 3, 2018, putting the company's pre-money valuation at $12.5 million.</t>
  </si>
  <si>
    <t>Area 31 Incubator, Gagnon Securities, Geekdom Fund, New York Fashion Tech Lab, NYU Tandon School of Engineering, Right Side Capital Management, SAP.iO Foundry, Sonae IM, Sunrise R. S. International, Techstars, Trammell Ventures</t>
  </si>
  <si>
    <t>Gagnon Securities(www.gagnonsec.com), Geekdom Fund(www.geekdomfund.com), New York Fashion Tech Lab(www.nyftlab.com), NYU Tandon School of Engineering(www.engineering.nyu.edu/business/future-labs), Right Side Capital Management(www.rightsidecapital.com), SAP.iO Foundry(sap.io), Sonae IM(www.sonaeim.com), Techstars(www.techstars.com), Trammell Ventures(www.trammell.ventures)</t>
  </si>
  <si>
    <t>185682-43</t>
  </si>
  <si>
    <t>Studist</t>
  </si>
  <si>
    <t>Provider of a manual creation and sharing platform intended to eliminate information transmission loss in enterprises. The company's manual creation and sharing platform helps to create and share business manuals simply by selecting photos and movies and adding descriptive text.</t>
  </si>
  <si>
    <t>Application Software, Information Services (B2C)*, Multimedia and Design Software</t>
  </si>
  <si>
    <t>manuals, manuals creation, manuals data, sharing platform</t>
  </si>
  <si>
    <t>www.studist.jp</t>
  </si>
  <si>
    <t>169982-02P</t>
  </si>
  <si>
    <t>Yamashita Shohe</t>
  </si>
  <si>
    <t>Chief Financial Officer, Director of Accounting and Finance</t>
  </si>
  <si>
    <t>+81 (0)36 206 9330</t>
  </si>
  <si>
    <t>3-2-3 Kanda Jimbocho, Chiyoda-ku</t>
  </si>
  <si>
    <t>Daiwa Jimbocho 3-chome Building 3 Floor</t>
  </si>
  <si>
    <t>101-0051</t>
  </si>
  <si>
    <t>The company raised YEN 120 million of Series B venture funding from Salesforce Ventures, DNX Ventures, Japanese venture capital and Mitsubishi UFJ Capital on May 10, 2017. The funds will be used to develop new functions specialized in the service industry and to expand sales structure.</t>
  </si>
  <si>
    <t>DNX Ventures, Mitsubishi UFJ Capital, Nippon Venture Capital, Salesforce Ventures</t>
  </si>
  <si>
    <t>DNX Ventures(www.dnx.vc), Mitsubishi UFJ Capital(www.mucap.co.jp), Nippon Venture Capital(www.nvcc.co.jp)</t>
  </si>
  <si>
    <t>96772-42</t>
  </si>
  <si>
    <t>Studio Ousia</t>
  </si>
  <si>
    <t>Developer of a keyword mining and linking software. The company offers question answering system and keyword extraction engine, enabling companies to automate customer helpdesks and work FAQs with artificial intelligence.</t>
  </si>
  <si>
    <t>helpdesk application, helpdesk system, keyword extraction platform, keyword links, keyword mining, links software, question answering engine</t>
  </si>
  <si>
    <t>www.ousia.jp</t>
  </si>
  <si>
    <t>172408-51P</t>
  </si>
  <si>
    <t>Yasuhiro Watanabe</t>
  </si>
  <si>
    <t>yasuhiro.watanabe@ousia.jp</t>
  </si>
  <si>
    <t>Flag Suite 3J 3-27-15 Jingumae</t>
  </si>
  <si>
    <t>Shibuya-ku</t>
  </si>
  <si>
    <t>150-0001</t>
  </si>
  <si>
    <t>info@ousia.jp</t>
  </si>
  <si>
    <t>The company raised JPY 150 million of venture funding from Samsung Venture Investment on February 16, 2017. This investment will enable Studio Ousia to accelerate the development of QA Engine and its business process.</t>
  </si>
  <si>
    <t>Keio University Shonan Fujisawa Campus, Nippon Information, Nissay Capital, Samsung Venture Investment</t>
  </si>
  <si>
    <t>Keio University Shonan Fujisawa Campus(sfc.keio.ac.jp), Nippon Information(www.nid.co.jp), Nissay Capital(www.nissay-cap.co.jp), Samsung Venture Investment(www.samsungventures.com)</t>
  </si>
  <si>
    <t>58817-89</t>
  </si>
  <si>
    <t>StrongArm Tech</t>
  </si>
  <si>
    <t>StrongArm</t>
  </si>
  <si>
    <t>MākuSafe, Modjoul, Kinetic, Heddoko</t>
  </si>
  <si>
    <t>Developer of a safety science platform designed to actively manage industrial safety, productivity and performance. The company's platform utilizes complex wearable sensors and machine learning to predict and prevent physiological and environmental risk by delivering real-time actionable insights, enabling clients to optimize work-flow, work-process and work-force.</t>
  </si>
  <si>
    <t>Business/Productivity Software, Other Commercial Products*</t>
  </si>
  <si>
    <t>industrial performance, industrial productivity, prevent physiological, safety science, workflow optimization</t>
  </si>
  <si>
    <t>www.strongarmtech.com</t>
  </si>
  <si>
    <t>2013: 2, 2015: 7, 2016: 15, 2017: 20, 2018: 25, 2019: 15</t>
  </si>
  <si>
    <t>62971-48P</t>
  </si>
  <si>
    <t>Sean Petterson</t>
  </si>
  <si>
    <t>sean@strongarmtech.com</t>
  </si>
  <si>
    <t>+1 (631) 903-4965</t>
  </si>
  <si>
    <t>19 Morris Avenue</t>
  </si>
  <si>
    <t>11205</t>
  </si>
  <si>
    <t>+1 (914) 419-0616</t>
  </si>
  <si>
    <t>support@strongarmtech.com</t>
  </si>
  <si>
    <t>The company raised $4 million of Series A2 venture funding in a deal led by Tekfen Ventures and I2BF Global Ventures on December 31, 2017, putting the company's pre-money valuation at $18 million. Sony Innovation Fund, Q Venture Partners, Velorum Capital, Activant Capital Group, Gambit Ventures, Heartland Ventures (South Bend) and New Lab also participated in the round.</t>
  </si>
  <si>
    <t>3M Ventures, Activant Capital Group, Bodhi Capital, Excell Partners, Gambit Ventures, Heartland Ventures (South Bend), I2BF Global Ventures, MassChallenge, New Lab, Newark Venture Partners, Q Venture Partners, Sand Hill Angels, Semyon Dukach, Sony Innovation Fund, Tekfen Ventures, Velorum Capital</t>
  </si>
  <si>
    <t>Activant Capital Group(www.activantcapital.com), Bodhi Capital(www.bodhicapital.com), Excell Partners(www.excellny.com), Gambit Ventures(www.meetgambit.com), Heartland Ventures (South Bend)(www.heartlandvc.com), I2BF Global Ventures(www.i2bf.com), MassChallenge(www.masschallenge.org), New Lab(www.newlab.com), Newark Venture Partners(www.newarkventurepartners.com), Q Venture Partners(www.qventure.partners), Sand Hill Angels(www.sandhillangels.com), Semyon Dukach(www.semyon.com), Sony Innovation Fund(www.sonyinnovationfund.com), Tekfen Ventures(www.tekfenventures.com), Velorum Capital(www.velorumcapital.com)</t>
  </si>
  <si>
    <t>DLA Piper(Legal Advisor), Greenberg Traurig(Legal Advisor), Silicon Valley Bank(General Business Banking), Western Technology Investment(General Business Banking), Wilson Sonsini Goodrich &amp; Rosati(Legal Advisor), Wiss &amp; Company(Legal Advisor)</t>
  </si>
  <si>
    <t>CapConnect Funding Group(Debt Financing), DLA Piper(Legal Advisor), Foley Hoag(Legal Advisor), Fox Rothschild(Legal Advisor)</t>
  </si>
  <si>
    <t>111652-03</t>
  </si>
  <si>
    <t>STRIVR</t>
  </si>
  <si>
    <t>STRIVR Labs</t>
  </si>
  <si>
    <t>SkillSoft, Miller Heiman Group, Boon VR, Axonify, VIAR, Byond, SilVR Thread, MetaVR, SAP SuccessFactors, InstaVR, NextVR, Jaunt, Portico Studios, Cornerstone, Talent Quest, 360 Immerisive</t>
  </si>
  <si>
    <t>Provider of an online virtual reality training platform designed to train individuals and improve performance. The company's virtual reality training platform applies VR/AR technology to train and evaluate employees and produces never-before-seen data and insights that are actionable. The company's platform combines real-world experience and technology to make practice more effective, enabling employees to have higher retention, quicker ramp times, fewer workplace accidents, reduced costs and increased productivity.</t>
  </si>
  <si>
    <t>Augmented Reality, TMT, Virtual Reality, Wearables &amp; Quantified Self</t>
  </si>
  <si>
    <t>learning and training software, learning assessment platform, learning assessment tools, performance analysis tools, performance analytics software, virtual reality content, virtual reality software, virtual reality training platform, vr training system</t>
  </si>
  <si>
    <t>www.strivr.com</t>
  </si>
  <si>
    <t>2015: 15, 2016: 33, 2017: 62, 2018: 71, 2019: 130</t>
  </si>
  <si>
    <t>121955-41P</t>
  </si>
  <si>
    <t>Derek Belch</t>
  </si>
  <si>
    <t>derek@strivr.com</t>
  </si>
  <si>
    <t>90 Middlefield Road</t>
  </si>
  <si>
    <t>info@strivrlabs.com</t>
  </si>
  <si>
    <t>The company raised $16 million of Series A venture funding in a deal led by GreatPoint Ventures on October 2, 2018, putting the company's pre-money valuation at $50 million. Other undisclosed investors also participated in the round. The company intends to use the funds to advance their expansion into the enterprise market. The Yard Ventures also participated in it.</t>
  </si>
  <si>
    <t>32 Equity, Advancit Capital, BMW i Ventures, David Shaw, GreatPoint Ventures, Green D Ventures, National Football League, Presence Capital, Purple Arch Ventures, Signia Venture Partners, Spike Ventures, The Yard Ventures</t>
  </si>
  <si>
    <t>Advancit Capital(www.advancitcapital.com), BMW i Ventures(www.bmwiventures.com), GreatPoint Ventures(www.gpv.com), Green D Ventures(www.greendventures.com), National Football League(www.nfl.com), Presence Capital(www.presencecap.com), Purple Arch Ventures(www.purplearchventures.com), Signia Venture Partners(www.signiaventurepartners.com), Spike Ventures(www.spike-ventures.com), The Yard Ventures(www.theyardventures.com)</t>
  </si>
  <si>
    <t>Gunderson Dettmer(Legal Advisor), Silicon Valley Bank(General Business Banking)</t>
  </si>
  <si>
    <t>54782-29</t>
  </si>
  <si>
    <t>Stripe</t>
  </si>
  <si>
    <t>DevPayments, HGSC, Inc., SlashDevSlashFinance Inc.</t>
  </si>
  <si>
    <t>ZooZ, 2Checkout (Acquired), Transactis, Braintree, Electronic Transaction Systems, Payoneer, Marqeta, BillingTree, WorldPay (Global Payment Processing), Payr, AvidXchange, Integrity Payment Systems, Flywire, BluePay, Paymentus, Paysafe Group, Skrill, Gravity Payments, Qualpay, Alacriti, Moneris Solutions, First Data, YapStone, Worldline, allpago, Adyen, Klarna, Bambora, WePay, Bill.com, GlobalCollect, Epaylater, Dwolla, PaidSuite, GoSwiff, Billtrust, Airwallex, BluePay Mid-Atlantic, Kimbia, MineralTree, Hyperwallet Systems, Spreedly, Affirm, Aevi International, GHL Systems, Nvoicepay, Quiklo, AnchorOps, Global Payout, FinAccel, Tipalti, Total Merchant Services, TransferWise, Worldpay</t>
  </si>
  <si>
    <t>Developer of an online payment platform designed to integrate electronic payments and enable secure transactions. The company's platform offers application program interfaces (APIs) and streamline coding that focuses on fraud prevention and helps to create the best possible product, enabling internet businesses to accept payments from anyone and anywhere.</t>
  </si>
  <si>
    <t>B2B Payments, FinTech, Mobile, Mobile Commerce, TMT</t>
  </si>
  <si>
    <t>api, electronic payment transaction, mobile payment platform, payment and processing vertical, payment transaction</t>
  </si>
  <si>
    <t>www.stripe.com</t>
  </si>
  <si>
    <t>2013: 96, 2014: 165, 2016: 540, 2017: 696, 2018: 1400, 2019: 1500</t>
  </si>
  <si>
    <t>48329-92P</t>
  </si>
  <si>
    <t>William Gaybrick</t>
  </si>
  <si>
    <t>Chief Financial Officer, CPO &amp; Head of Payments</t>
  </si>
  <si>
    <t>will@stripe.com</t>
  </si>
  <si>
    <t>510 Townsend Street</t>
  </si>
  <si>
    <t>info@stripe.com</t>
  </si>
  <si>
    <t>The company raised $100 million of Series F venture funding from Tiger Global Management on January 29, 2019, putting the company's pre-money valuation at $22.4 billion. The funds will be used to expand internationally and also to integrate sales data with Funding Circle, enabling them to receive faster decisions on loan applications. Previously, the company raised $245 million of Series E venture funding in a deal led by Tiger Global Management on September 26, 2018, putting the company's pre-money valuation at $20.05 billion. Andreessen Horowitz, Thrive Capital, General Catalyst, Khosla Ventures, Sequoia Capital, Kleiner Perkins, Proioxis Ventures and DST Global also participated in the round.</t>
  </si>
  <si>
    <t>500 Startups, Aaron Levie, Allen &amp; Company, Alven Capital Partners, American Express Ventures, Andreessen Horowitz, Atomico, BoxGroup, Capital Factory, CapitalG, Christopher Dixon, Connect Ventures, Dave Morin, David McClure, Designer Fund, DST Global, Elad Gil, Elon Musk, Entrée Capital, FJ Labs, Founders Fund, General Catalyst, Golden Gate Ventures, GV, Heavybit, Hemant Taneja, Jeremy Uzan, Khosla Ventures, Kleiner Perkins, Lowercase Capital, Max Levchin, Moment Ventures, Paua Ventures, Peter Thiel, Playfair Capital, Proioxis Ventures, Redpoint Ventures, Ronald Conway, Salesforce Ventures, Scott Raney, Sequoia Capital, Sherpalo Ventures, Square Peg Capital, Sumitomo Mitsui Trust Club Company, SV Angel, Thrive Capital, Tiger Global Management, Union Square Ventures, Visa Ventures, Y Combinator</t>
  </si>
  <si>
    <t>500 Startups(www.500.co), Allen &amp; Company(www.allenco.com), Alven Capital Partners(www.alven.co), Andreessen Horowitz(www.a16z.com), Atomico(www.atomico.com), BoxGroup(www.boxgroup.com), Capital Factory(www.capitalfactory.com), CapitalG(www.capitalg.com), Connect Ventures(www.connectventures.co), Dave Morin(www.davemorin.com), David McClure(www.davemcclure.com), Designer Fund(www.designerfund.com), DST Global(www.dst-global.com), Entrée Capital(www.entreecap.com), FJ Labs(www.fjlabs.com), Founders Fund(www.foundersfund.com), General Catalyst(www.generalcatalyst.com), Golden Gate Ventures(www.goldengate.vc), GV(www.gv.com), Heavybit(www.heavybit.com), Khosla Ventures(www.khoslaventures.com), Kleiner Perkins(www.kleinerperkins.com), Lowercase Capital(www.lowercasecapital.com), Max Levchin(www.levchin.com), Moment Ventures(www.momentventures.com), Paua Ventures(www.pauaventures.com), Playfair Capital(www.playfaircapital.com), Proioxis Ventures(www.proioxisventures.com), Redpoint Ventures(www.redpoint.com), Sequoia Capital(www.sequoiacap.com), Sherpalo Ventures(www.sherpalo.com), Square Peg Capital(www.squarepegcap.com), Sumitomo Mitsui Trust Club Company(www.smbc-card.com), SV Angel(www.svangel.com), Thrive Capital(www.thrivecap.com), Tiger Global Management(www.tigerglobal.com), Union Square Ventures(www.usv.com), Y Combinator(www.ycombinator.com)</t>
  </si>
  <si>
    <t>FutureEngine(Consulting), Orrick, Herrington &amp; Sutcliffe(Legal Advisor), Paradigm Strategy(Consulting), Riviera Partners(Consulting), ScaleFactor(Accounting), Think &amp; Grow(Consulting)</t>
  </si>
  <si>
    <t>Barclays Investment Bank(Debt Financing), JPMorgan Chase(Debt Financing), Morgan Stanley(Debt Financing), Orrick, Herrington &amp; Sutcliffe(Legal Advisor), The Goldman Sachs Group(Debt Financing)</t>
  </si>
  <si>
    <t>119768-59</t>
  </si>
  <si>
    <t>Stride Travel</t>
  </si>
  <si>
    <t>Provider of a meta-search platform intended to help travelers search and review sites for tours and adventure trips. The company's meta-search platform helps users to search for tours, small ship cruises, safaris and adventure packages with more than 500 travel companies to choose from, enabling travelers to have a memorable adventure experience.</t>
  </si>
  <si>
    <t>Information Services (B2C), Leisure Facilities, Social/Platform Software*</t>
  </si>
  <si>
    <t>guided trip, marketplace, metasearch engine, online travel platform, planning platform</t>
  </si>
  <si>
    <t>www.stridetravel.com</t>
  </si>
  <si>
    <t>2017: 15</t>
  </si>
  <si>
    <t>30387-52P</t>
  </si>
  <si>
    <t>Gavin Delany</t>
  </si>
  <si>
    <t>gavin@stridetravel.com</t>
  </si>
  <si>
    <t>28 2nd Street</t>
  </si>
  <si>
    <t>info@stridetravel.com</t>
  </si>
  <si>
    <t>The company raised an estimated $3.7 million through the combination of Seed 1, Seed 2 and Seed 3 funding from JetBlue Technology Ventures, Plug and Play Tech Center and Adam Goldstein on January 29, 2018, putting the company's pre-money valuation at $6.30 million. Sand Hill Angels, John Owen, Baris Gultekin and TDG Ventures also participated in the round.</t>
  </si>
  <si>
    <t>Adam Goldstein, Baris Gultekin, JetBlue Technology Ventures, John Owen, Lava Walk Ventures, NFX, Plug and Play Tech Center, Sand Hill Angels, SGH Capital, TDG Ventures</t>
  </si>
  <si>
    <t>JetBlue Technology Ventures(www.jetblueventures.com), Lava Walk Ventures(www.lavawalkventures.com), NFX(www.nfx.com), Plug and Play Tech Center(www.plugandplaytechcenter.com), Sand Hill Angels(www.sandhillangels.com), SGH Capital(www.sghcapital.com)</t>
  </si>
  <si>
    <t>107199-37</t>
  </si>
  <si>
    <t>Streetmedia</t>
  </si>
  <si>
    <t>Developer of a media service platform designed to deliver up-to-date information on street media. The company's platform offers an area casting, as well as shopping media business interface that gather information based on the local media business, enabling clients to get knowledge from all over the world based on topics of business development.</t>
  </si>
  <si>
    <t>Business/Productivity Software*, Information Services (B2C), Other Media</t>
  </si>
  <si>
    <t>E-Commerce</t>
  </si>
  <si>
    <t>area casting, data software, media service platform, shopping media, shopping media business</t>
  </si>
  <si>
    <t>www.streetmedia.co.jp</t>
  </si>
  <si>
    <t>2015: 1</t>
  </si>
  <si>
    <t>90842-50P</t>
  </si>
  <si>
    <t>Yozo Omori</t>
  </si>
  <si>
    <t>Owner, Board Member, Representative Director &amp; President</t>
  </si>
  <si>
    <t>omori@streetmedia.jp</t>
  </si>
  <si>
    <t>+81 (0)36 240 1880</t>
  </si>
  <si>
    <t>Arts Chiyoda 3331 304</t>
  </si>
  <si>
    <t>6-11-14 Koyoshida, Chiyoda-ku</t>
  </si>
  <si>
    <t>101-0021</t>
  </si>
  <si>
    <t>+81 (0)36 240 1881</t>
  </si>
  <si>
    <t>info@streetmedia.co.jp</t>
  </si>
  <si>
    <t>The company raised venture funding from Recruit Strategic Partners on an undisclosed date. DBJ Capital also participated in it.</t>
  </si>
  <si>
    <t>DBJ Capital, Recruit Strategic Partners</t>
  </si>
  <si>
    <t>DBJ Capital(www.dbj-cap.jp), Recruit Strategic Partners(recruitstrategicpartners.com)</t>
  </si>
  <si>
    <t>103637-80</t>
  </si>
  <si>
    <t>Streamlabs</t>
  </si>
  <si>
    <t>Vulcun</t>
  </si>
  <si>
    <t>XSplit, Player.me, Curse, Gambit, Muxy, Fandom Gaming, StreamElements</t>
  </si>
  <si>
    <t>Provider of an online streaming application designed to facilitate fun and feature packed gaming platform. The company's application is an all-in-one platform, enabling live streamers to engage with viewers, monetize their broadcasts, and grow their channels.</t>
  </si>
  <si>
    <t>Gaming, SaaS, TMT</t>
  </si>
  <si>
    <t>gaming app, gaming contest, online gaming site, streaming app, streaming software, video gaming platform</t>
  </si>
  <si>
    <t>www.streamlabs.com</t>
  </si>
  <si>
    <t>2015: 20, 2016: 35</t>
  </si>
  <si>
    <t>35515-63P</t>
  </si>
  <si>
    <t>Ali Moiz</t>
  </si>
  <si>
    <t>amoiz@vulcun.com</t>
  </si>
  <si>
    <t>580 Market Street</t>
  </si>
  <si>
    <t>info@streamlabs.com</t>
  </si>
  <si>
    <t>The company raised $4 million of venture funding from undisclosed investors on August 5, 2015, putting the company's pre-money valuation at $77.78 million. Earlier this year, the company raised $12.34 million of Series A venture funding in a deal led by Sequoia Capital on April 9, 2015, putting the company's pre-money valuation at $28.68 million. Right Ventures, CAA Ventures, Crosscut Ventures, Matrix Partners, Universal Music Group, Ludlow Ventures and 6 individual investors also participated in the round.</t>
  </si>
  <si>
    <t>500 Startups, Aman Thapar, Battery Ventures, CAA Ventures, Craig Sherman, Crosscut Ventures, David McClure, e.ventures, Edward Fu, Eric Hsia, Heiko Hubertz, Jay Eum, Joe Kraus, Jonathan Siegel, Kevin Moore, Ludlow Ventures, Mark Gold, Mark Pincus, Matrix Partners, Naval Ravikant, Patrick Murphy, Right Ventures, Roger Dickey, Sam Kokin, Sequoia Capital, Suleman Ali, Sumit Gupta, Universal Music Group</t>
  </si>
  <si>
    <t>500 Startups(www.500.co), Battery Ventures(www.battery.com), CAA Ventures(ventures.caa.com), Crosscut Ventures(www.crosscut.vc), David McClure(www.davemcclure.com), e.ventures(www.eventures.vc), Jonathan Siegel(www.jsiegel.com), Ludlow Ventures(www.ludlowventures.com), Matrix Partners(www.matrixpartners.com), Right Ventures(www.rightventures.com), Sequoia Capital(www.sequoiacap.com), Suleman Ali(www.sulemanali.com), Universal Music Group(www.universalmusic.com)</t>
  </si>
  <si>
    <t>179912-35</t>
  </si>
  <si>
    <t>StreamElements</t>
  </si>
  <si>
    <t>Telestream, Streamlabs</t>
  </si>
  <si>
    <t>Developer of a content creation platform designed to grow gaming audience through production, merchandising, media and brand partnerships. The company's platform provides a powerful overlay manager, back end tools such as chat analytics, subscribers management, stream reports, activity feed and channel dashboard, enabling content creators to increase their revenue by enhancing their live stream capabilities and experience.</t>
  </si>
  <si>
    <t>eSports, Marketing Tech, TMT</t>
  </si>
  <si>
    <t>content creation platform, content creation service, content creator, creation platform, games streaming, live stream content, live stream production, live streaming technology</t>
  </si>
  <si>
    <t>www.streamelements.com</t>
  </si>
  <si>
    <t>135568-99P</t>
  </si>
  <si>
    <t>Doron Nir</t>
  </si>
  <si>
    <t>doron@streamelements.com</t>
  </si>
  <si>
    <t>18th HaArbaa Street</t>
  </si>
  <si>
    <t>6473918</t>
  </si>
  <si>
    <t>info@streamelements.com</t>
  </si>
  <si>
    <t>The company raised $11.3 million of Series A venture funding in a deal led by Pitango Venture Capital on January 24, 2019. State Of Mind Ventures, Rainfall Ventures, Samsung NEXT Ventures and other undisclosed investors also participated in this round. The funds will be used by the company to expand features, adoption of its platform and to grow its global brand partnership team.</t>
  </si>
  <si>
    <t>Pitango Venture Capital, Rainfall Ventures, Samsung NEXT Ventures, SigmaLabs Accelerator, State Of Mind Ventures</t>
  </si>
  <si>
    <t>Pitango Venture Capital(www.pitango.com), Rainfall Ventures(www.rainfall.com), Samsung NEXT Ventures(www.samsungnext.com), SigmaLabs Accelerator(www.sigmalabs.co), State Of Mind Ventures(www.somv.com)</t>
  </si>
  <si>
    <t>60085-54</t>
  </si>
  <si>
    <t>Stratoscale</t>
  </si>
  <si>
    <t>MapR, Apcera, Veeam, Delphix, Scalr, DataStax, Cohesity, ZeroStack, RackWare, Actifio, Alluxio, DataCore Software, Cloudamize, PernixData, Springpath, QStack, Platform9, SaltStack, Cumulus Networks, Velostrata, CommVault Systems, Cloudera, Apprenda, ioFabric, Maxta, Pure Storage, Nexenta, Compuverde, Druva, Docker, Chef, Nutanix, RightScale, PrimaryIO, CloudShare, Scale Computing, MongoDB, Puppet, StorageCraft Technology, Mesosphere, Workspot, SimpliVity, Racemi, Coho Data, Extreme Networks, Atlantis Computing, CloudVelox, Vertica Systems, Elastifile, Skytap, Unitrends, Pepperdata, Pivot3, Rancher (Container Management), Egenera, Infinio Systems, Cloud Technology Partners, Matrix42, Panaya, Vision Solutions, Evtron, Citrix Systems, FireLayers, Dell EMC</t>
  </si>
  <si>
    <t>Developer of virtualization technology designed to focus on leveraging technology to help IT teams make better and more profitable use of existing infrastructures. The company's virtualization technology is utilized to create hyper-converged Operating System for data centers that use the rack as its design paradigm, in contrast to the traditional, single-server paradigm, enabling clients to create totally new foundation software stack to run, scale and optimize data center operations.</t>
  </si>
  <si>
    <t>Business/Productivity Software, Database Software, Network Management Software*</t>
  </si>
  <si>
    <t>hyper-converged, large data center, operating center, optimize data, virtualization technology</t>
  </si>
  <si>
    <t>www.stratoscale.com</t>
  </si>
  <si>
    <t>2014: 32, 2016: 86, 2017: 100</t>
  </si>
  <si>
    <t>39739-06P</t>
  </si>
  <si>
    <t>Ariel Maislos</t>
  </si>
  <si>
    <t>ariel@stratoscale.com</t>
  </si>
  <si>
    <t>+972 (0)77 556 1727</t>
  </si>
  <si>
    <t>Herzliya Pituach, Israel</t>
  </si>
  <si>
    <t>14 Maskit Street</t>
  </si>
  <si>
    <t>Herzliya Pituach</t>
  </si>
  <si>
    <t>46733</t>
  </si>
  <si>
    <t>hello@stratoscale.com</t>
  </si>
  <si>
    <t>The company raised $70 million of Series C venture funding in a deal led by Qualcomm Ventures on January 1, 2016. Western Digital Capital, Battery Ventures, Bessemer Venture Partners, Cisco, Intel Capital and SanDisk Ventures also participated in the round. The company will use the funding to further accelerate its growth and expansion.</t>
  </si>
  <si>
    <t>Battery Ventures, Bessemer Venture Partners, Cisco Investments, Intel Capital, Leslie Ventures, Qualcomm Ventures, SanDisk Ventures, Western Digital Capital</t>
  </si>
  <si>
    <t>Battery Ventures(www.battery.com), Bessemer Venture Partners(www.bvp.com), Cisco Investments(www.ciscoinvestments.com), Intel Capital(www.intelcapital.com), Qualcomm Ventures(www.qualcommventures.com), Western Digital Capital(www.westerndigitalcapital.com)</t>
  </si>
  <si>
    <t>265987-72</t>
  </si>
  <si>
    <t>StoryFit</t>
  </si>
  <si>
    <t>Authors</t>
  </si>
  <si>
    <t>Cinelytic, Gracenote</t>
  </si>
  <si>
    <t>Developer of a data-driven platform designed for decision making throughout a story's life-cycle. The company's technology delivers artificial intelligence insights and solutions for the book publishing, movie and television production industries by measuring over 100,000 key features and comparing it to thousands of other books or scripts to generate actionable insights, enabling users to combine rich NLP and machine-learning expertise to acquire the best content and identify the most effective story elements for audience engagement.</t>
  </si>
  <si>
    <t>competitive analysis, marketing intelligence, marketing intelligence technology, natural language processing, natural language processing platform, text analysis</t>
  </si>
  <si>
    <t>www.storyfit.com</t>
  </si>
  <si>
    <t>2019: 10</t>
  </si>
  <si>
    <t>82235-44P</t>
  </si>
  <si>
    <t>Monica Landers</t>
  </si>
  <si>
    <t>monica@authors.me</t>
  </si>
  <si>
    <t>+1 (512) 380-1773</t>
  </si>
  <si>
    <t>3305 Steck Avnue</t>
  </si>
  <si>
    <t>78757</t>
  </si>
  <si>
    <t>The company raised $1.75 million of Series AA2 venture funding in a deal led by ff Venture Capital on March 13, 2019, putting the company's pre-money valuation at $7 million. Bertelsmann Digital Media Investments, Ascend Venture Capital, Techstars, Capital Factory and Walter A. Winshall also participated in the round. The funds will be used for key hires and further advancements in content-based analytics, including predictive technology, audience identification and industry trends.</t>
  </si>
  <si>
    <t>Ascend Venture Capital, Bertelsmann Digital Media Investments, Capital Factory, ff Venture Capital, Techstars, Walter Winshall</t>
  </si>
  <si>
    <t>Ascend Venture Capital(www.ascendstl.com), Bertelsmann Digital Media Investments(www.bdmifund.com), Capital Factory(www.capitalfactory.com), ff Venture Capital(www.ffvc.com), Techstars(www.techstars.com)</t>
  </si>
  <si>
    <t>58873-78</t>
  </si>
  <si>
    <t>Storybird</t>
  </si>
  <si>
    <t>Provider of an online storytelling platform intended to help users to create, read and share visual stories. The company's platform offers simple tools to build digital books in minutes, find new books and authors and discover their stories, enabling users to inspire the art of storytelling and connect and encourage other readers.</t>
  </si>
  <si>
    <t>online storytelling platform, stories platform, stories telling, storytelling platform, visual stories</t>
  </si>
  <si>
    <t>www.storybird.com</t>
  </si>
  <si>
    <t>2015: 18</t>
  </si>
  <si>
    <t>58986-01P</t>
  </si>
  <si>
    <t>Mark Ury</t>
  </si>
  <si>
    <t>mark@storybird.com</t>
  </si>
  <si>
    <t>3044 Bloor Street West</t>
  </si>
  <si>
    <t>Suite 944</t>
  </si>
  <si>
    <t>M8X 2Y8</t>
  </si>
  <si>
    <t>info@storybird.com</t>
  </si>
  <si>
    <t>The company received an undisclosed amount of debt financing from Learn Capital on October 25, 2016. Earlier, the company joined C100 Association as a part of its 48 Hours in the Valley Program December 2015 Cohort on October 30, 2015 and received an undisclosed amount in funding.</t>
  </si>
  <si>
    <t>Advancit Capital, C100 Association, CAA Ventures, Fred Seibert, Index Ventures (UK), John Maloney, Learn Capital, Lerer Hippeau, LocalGlobe, Real Ventures, Third Kind Venture Capital</t>
  </si>
  <si>
    <t>Advancit Capital(www.advancitcapital.com), C100 Association(www.thec100.org), CAA Ventures(ventures.caa.com), Index Ventures (UK)(www.indexventures.com), Learn Capital(www.learncapital.com), Lerer Hippeau(www.lererhippeau.com), LocalGlobe(www.localglobe.vc), Real Ventures(www.realventures.com), Third Kind Venture Capital(www.3kvc.com)</t>
  </si>
  <si>
    <t>Learn Capital(Debt Financing)</t>
  </si>
  <si>
    <t>58184-92</t>
  </si>
  <si>
    <t>StoreDot</t>
  </si>
  <si>
    <t>Developer of an organic display technology designed to integrate nanotechnology with novel organic compounds. The company's technology inspired by nature is optimized for fast-charging batteries for mobile devices and electric vehicles and helps to improve the performance of a range of devices, including batteries and displays, enabling industries to replace known technologies by means of enhanced chemical, electrical and optical properties.</t>
  </si>
  <si>
    <t>Alternative Energy Equipment, Electronic Components*, Other Materials</t>
  </si>
  <si>
    <t>LOHAS &amp; Wellness, Mobile, Nanotechnology, TMT</t>
  </si>
  <si>
    <t>fast charging, fast-charging battery, flashbattery, nanomaterials technology, nanophotonics, organic display technology</t>
  </si>
  <si>
    <t>www.store-dot.com</t>
  </si>
  <si>
    <t>2013: 30, 2014: 40, 2015: 47</t>
  </si>
  <si>
    <t>53326-90P</t>
  </si>
  <si>
    <t>Doron Myersdorf</t>
  </si>
  <si>
    <t>doron@store-dot.com</t>
  </si>
  <si>
    <t>+972 (0)3 509 7710</t>
  </si>
  <si>
    <t>3 Shenkar Street</t>
  </si>
  <si>
    <t>4672503</t>
  </si>
  <si>
    <t>+972 (0)9 767 7937</t>
  </si>
  <si>
    <t>info@store-dot.com</t>
  </si>
  <si>
    <t>The company raised $20 million of venture funding from BP Ventures and AltaIR Capital on May 22, 2018.</t>
  </si>
  <si>
    <t>AltaIR Capital, BP Ventures, Daimler, EG Capital Advisors, GlenRock Israel, Lucion Venture Capital, Millhouse, Nation-E, Norma Investments, Rhodium, Samsung Venture Investment, Singulariteam, TDK, VI Ventures</t>
  </si>
  <si>
    <t>AltaIR Capital(www.altair.vc), Daimler(www.daimler.com), EG Capital Advisors(www.egcapitaladvisors.com), GlenRock Israel(www.grg.co.il), Rhodium(www.rhodium.co.il), Samsung Venture Investment(www.samsungventures.com), Singulariteam(www.singulariteam.com), TDK(www.tdk.co.jp), VI Ventures(www.en.vi-ventures.com)</t>
  </si>
  <si>
    <t>Cukierman &amp; Co.(Advisor: General), Tel Aviv Capital(Advisor: General)</t>
  </si>
  <si>
    <t>163951-39</t>
  </si>
  <si>
    <t>Sternico</t>
  </si>
  <si>
    <t>Developer of a cloud based software designed to use in the digitization and automation of industrial processes. The company's cloud based software offers services like analyzing, consulting and concepts, software development, system integration and support and software assurance, enabling clients mainly in the railway industry, manufacturing industry and energy sectors to increase their quality and automation of the processes they use along with integrating their system and facilities.</t>
  </si>
  <si>
    <t>Automation/Workflow Software*, IT Consulting and Outsourcing</t>
  </si>
  <si>
    <t>digitization of industrial process, industrial automation, software maintenance, technology consulting</t>
  </si>
  <si>
    <t>www.sternico.com</t>
  </si>
  <si>
    <t>2004: 1, 2012: 15, 2015: 20, 2016: 11</t>
  </si>
  <si>
    <t>143717-50P</t>
  </si>
  <si>
    <t>Sico Algermissen</t>
  </si>
  <si>
    <t>Chief Executive Officer, Managing Director, Associate &amp; Co-Owner</t>
  </si>
  <si>
    <t>s.algermissen@sternico.com</t>
  </si>
  <si>
    <t>+49 (0)53 0397 940</t>
  </si>
  <si>
    <t>Wendeburg, Germany</t>
  </si>
  <si>
    <t>Dreimännerstraße 5</t>
  </si>
  <si>
    <t>Wendeburg</t>
  </si>
  <si>
    <t>38176</t>
  </si>
  <si>
    <t>+49 (0)53 0397 9422 0</t>
  </si>
  <si>
    <t>mail@sternico.com</t>
  </si>
  <si>
    <t>The company raised an undisclosed amount of Series A venture funding from Next47 on August 5, 2016.</t>
  </si>
  <si>
    <t>155314-27</t>
  </si>
  <si>
    <t>Stepsize</t>
  </si>
  <si>
    <t>Provider of a software development platform designed to help develop better software faster. The company's software development platform offers a menu bar application that aggregate metadata from developers' tools and provide a context layer, enabling programmers to find, reuse, save and collaborate on code snippets from any Web page.</t>
  </si>
  <si>
    <t>software development platform</t>
  </si>
  <si>
    <t>www.stepsize.com</t>
  </si>
  <si>
    <t>130282-48P</t>
  </si>
  <si>
    <t>Nicolas Omeyer</t>
  </si>
  <si>
    <t>nick@stepsize.com</t>
  </si>
  <si>
    <t>71-75 Shelton Street</t>
  </si>
  <si>
    <t>Covent Garden</t>
  </si>
  <si>
    <t>WC2H 9JQ</t>
  </si>
  <si>
    <t>hello@stepsize.com</t>
  </si>
  <si>
    <t>The company raised venture funding from Connect Ventures on October 1, 2018.</t>
  </si>
  <si>
    <t>Connect Ventures, Liberty Global Ventures, Techstars, Virgin Media Business</t>
  </si>
  <si>
    <t>Connect Ventures(www.connectventures.co), Techstars(www.techstars.com), Virgin Media Business(www.virginmediabusiness.co.uk)</t>
  </si>
  <si>
    <t>Dentons(Legal Advisor)</t>
  </si>
  <si>
    <t>54221-05</t>
  </si>
  <si>
    <t>Stem</t>
  </si>
  <si>
    <t>Powergetics</t>
  </si>
  <si>
    <t>Primus Power, CODA Energy, UniEnergy Technologies, Go Electric, Rhombus Energy Solutions, SimpliPhi Power, Green Charge Networks, Adara Power, Eos Energy Storage, Advanced Microgrid Solutions, EnerVault, Greensmith Energy, Younicos, Geli, Malta, Sunverge, JLM Energy</t>
  </si>
  <si>
    <t>Developer of artificial intelligence (AI)-powered energy storage services intended to build and operate the largest digitally connected energy storage network. The company's energy storage system optimizes the timing of energy use and facilitates consumers' participation in energy markets, yielding economic and societal benefits while decarbonizing the grid, helping organizations automate energy cost savings and protect against changing rates.</t>
  </si>
  <si>
    <t>Energy Storage*</t>
  </si>
  <si>
    <t>artificial intelligence power energy storage system, energy storage, energy storage system, energy storage system developer, energy storage technology, energy technology</t>
  </si>
  <si>
    <t>www.stem.com</t>
  </si>
  <si>
    <t>2012: 25, 2013: 57, 2014: 56, 2015: 160</t>
  </si>
  <si>
    <t>40461-67P</t>
  </si>
  <si>
    <t>John Carrington</t>
  </si>
  <si>
    <t>Chief Executive Officer &amp; Director</t>
  </si>
  <si>
    <t>john.carrington@stem.com</t>
  </si>
  <si>
    <t>+1 (415) 937-7836</t>
  </si>
  <si>
    <t>Millbrae, CA</t>
  </si>
  <si>
    <t>100 Rollins Road</t>
  </si>
  <si>
    <t>Millbrae</t>
  </si>
  <si>
    <t>94030</t>
  </si>
  <si>
    <t>info@stem.com</t>
  </si>
  <si>
    <t>The company received $110 million of development capital from Activate Capital Partners, BNP Paribas and Ontario Teachers' Pension Plan on July 24, 2018. Temasek Holdings, Magnesium Capital and other undisclosed investors also participated in this round. The company intends to use the funds to bring the company's lithium-ion battery systems to a new international market. Additionally, Ontario Teachers' Pension Plan has provided the company with a CAD 200 million commitment to finance the acquisition of AI-driven energy storage projects in the Ontario market. With the expansion of corporate and project equity, Ontario Teachers' will help Stem deliver fully-financed energy storage systems for its customers in Ontario to lower their energy bills and reduce their global adjustment, or peak-demand costs.</t>
  </si>
  <si>
    <t>Activate Capital Partners, Angeleno Group, BNP Paribas, Clean Feet Investors, Constellation Technology Ventures, Elemental Excelerator, GE Ventures, Greener Capital, Iberdrola, Iberdrola - PERSEO, Magnesium Capital, Mithril Capital Management, Mitsui &amp; Co., Ontario Teachers' Pension Plan, RWE, Starwood Energy Group, Sunshot Incubator Program, Temasek Holdings, Total Energy Ventures, U.S. Department of Energy, United States Department of Defense</t>
  </si>
  <si>
    <t>Activate Capital Partners(www.activatecp.com), Angeleno Group(www.angelenogroup.com), BNP Paribas(www.group.bnpparibas), Clean Feet Investors(www.cleanfeetinvestors.com), Constellation Technology Ventures(www.technologyventures.constellation.com), Elemental Excelerator(www.elementalexcelerator.com), GE Ventures(www.geventures.com), Greener Capital(www.greenercap.com), Iberdrola(www.iberdrola.com), Magnesium Capital(www.magnesiumcapital.com), Mithril Capital Management(www.mithril.com), Mitsui &amp; Co.(www.mitsui.com), Ontario Teachers' Pension Plan(www.otpp.com), RWE(www.group.rwe), Starwood Energy Group(www.starwoodenergygroup.com), Temasek Holdings(www.temasek.com.sg), U.S. Department of Energy(www.energy.gov), United States Department of Defense(www.defense.gov)</t>
  </si>
  <si>
    <t>Greentech Capital Advisors(Advisor: General), Wilson Sonsini Goodrich &amp; Rosati(Legal Advisor)</t>
  </si>
  <si>
    <t>51701-23</t>
  </si>
  <si>
    <t>StellaService</t>
  </si>
  <si>
    <t>Vibe Ventures</t>
  </si>
  <si>
    <t>Dynata, Survicate, Clarabridge, Medallia, OpinionLab, iPerceptions, iSKY, Satmetrix Systems, Trustpilot, UserVoice, BazaarVoice, Qualaroo, WhatUsersDo, Yotpo</t>
  </si>
  <si>
    <t>Provider of an online customer service ratings and audit platform designed to help consumers make more informed online shopping decisions. The company's platform helps online shoppers to make more informed purchasing decisions, while in turn providing online retailers with customer service data and insight as well as marketing services, as well as leverages real-time customer feedback to improve the performance of front-line teams and multi-channel mystery shopping, enabling clients to measure and improve the experience they deliver to customers across every touchpoint.</t>
  </si>
  <si>
    <t>Media and Information Services (B2B)*, Other Commercial Services</t>
  </si>
  <si>
    <t>customer service intelligence, customer service rating, multichannel mystery shopping, online business rating, real time customer feedback</t>
  </si>
  <si>
    <t>www.stellaconnect.io</t>
  </si>
  <si>
    <t>36792-64P</t>
  </si>
  <si>
    <t>Jordy Leiser</t>
  </si>
  <si>
    <t>jordy@stellaservice.com</t>
  </si>
  <si>
    <t>+1 (212) 366-1483</t>
  </si>
  <si>
    <t>75 Broad Street</t>
  </si>
  <si>
    <t>Suite 1010</t>
  </si>
  <si>
    <t>contact@stellaservice.com</t>
  </si>
  <si>
    <t>The company raised $11.20 million of Series B venture funding from Zendesk, Harbert Growth Partners and Green D Ventures on March 7, 2019, putting the company's pre-money valuation at $20 million. Alumni Ventures Group also participated in the round. The company intends to use the funds to continue to expand operations.</t>
  </si>
  <si>
    <t>Alumni Ventures Group, Battery Ventures, Brand Foundry Ventures, Bullish, Comcast Ventures, Forerunner Ventures, Forté Ventures, Gotham Ventures, Grace Beauty Capital, Green D Ventures, Harbert Growth Partners, Mark Wachen, Norwest Venture Partners, Novel TMT Ventures, Peak Opportunity Partners, RRE Ventures, The Gramercy Fund, Toba Capital, Upstage Ventures, Zendesk</t>
  </si>
  <si>
    <t>Alumni Ventures Group(www.avgfunds.com), Battery Ventures(www.battery.com), Brand Foundry Ventures(www.brandfoundryvc.com), Bullish(bullish.co), Comcast Ventures(www.comcastventures.com), Forerunner Ventures(www.forerunnerventures.com), Forté Ventures(www.forteventures.com), Gotham Ventures(www.gothamvc.com), Grace Beauty Capital(www.gracebeautycapital.com), Green D Ventures(www.greendventures.com), Norwest Venture Partners(www.nvp.com), Peak Opportunity Partners(www.peak.partners), RRE Ventures(www.rre.com), The Gramercy Fund(www.gramercyfund.com), Toba Capital(www.tobacapital.com), Upstage Ventures(www.upstageventures.com)</t>
  </si>
  <si>
    <t>Goodwin(Legal Advisor), True Capital Partners(Advisor: General)</t>
  </si>
  <si>
    <t>110708-29</t>
  </si>
  <si>
    <t>Stellapps</t>
  </si>
  <si>
    <t>Afimilk</t>
  </si>
  <si>
    <t>Developer of dairy management software applications designed to leverage the power of technology to improve dairy supply chain parameters. The company's applications leverage the Internet of Things (IoT), big data, cloud, mobility and data analytics to improve agri-supply chain parameters, including milk production, milk procurement, cold chain animal insurance and farmer payments, enabling dairy farms, dairy farmers and cooperatives to maximize profits while minimizing effort.</t>
  </si>
  <si>
    <t>AgTech, Big Data, Impact Investing, Internet of Things, TMT</t>
  </si>
  <si>
    <t>dairy automation, dairy management, dairy management software, impact investing vertical, industrial analytics platform, industrial automation, supply chain management</t>
  </si>
  <si>
    <t>www.stellapps.com</t>
  </si>
  <si>
    <t>143593-03P</t>
  </si>
  <si>
    <t>Ranjith Mukundan</t>
  </si>
  <si>
    <t>ranjith.mukundan@stellapps.com</t>
  </si>
  <si>
    <t>+91 (0)87 9310 2632</t>
  </si>
  <si>
    <t>Bangalore, India</t>
  </si>
  <si>
    <t>46/4, Novel Tech Park</t>
  </si>
  <si>
    <t>Kudlu Gate, GB Palya, Hosur Road</t>
  </si>
  <si>
    <t>Bangalore</t>
  </si>
  <si>
    <t>560068</t>
  </si>
  <si>
    <t>info@stellapps.com</t>
  </si>
  <si>
    <t>The company raised $14 million of Series B venture funding in a deal led by Qualcomm Ventures, ABB Technology Ventures and Bill &amp; Melinda Gates Foundation on May 31, 2018. Omnivore Partners, Blume Venture Advisors, Venture Highway (New Delhi), and Beenext Ventures also participated in the round. The funds raised will be used for monitoring the quantity and quality of milk, storage facilities, creating wearable devices for tracking cattle health and infrastructure for housing cattle.</t>
  </si>
  <si>
    <t>500 Startups, ABB Technology Ventures, ARUN, Beenext (Singapore), Bill &amp; Melinda Gates Foundation, Binny Bansal, Blume Venture Advisors, IIT Madras Incubation Cell, IndusAge Partners, Omnivore Partners, Qualcomm Ventures, RTBI, Telecom Centres of Excellence (TCOE India), Venture Highway (New Delhi)</t>
  </si>
  <si>
    <t>500 Startups(www.500.co), ARUN(www.arunllc.jp), Beenext (Singapore)(www.beenext.com), Bill &amp; Melinda Gates Foundation(www.gatesfoundation.org), Blume Venture Advisors(www.blume.vc), IIT Madras Incubation Cell(www.incubation.iitm.ac.in), IndusAge Partners(www.indusage.com), Omnivore Partners(www.omnivore.vc), Qualcomm Ventures(www.qualcommventures.com), RTBI(www.rtbi.in), Telecom Centres of Excellence (TCOE India)(www.tcoe.in), Venture Highway (New Delhi)(www.venturehighway.vc)</t>
  </si>
  <si>
    <t>113302-36</t>
  </si>
  <si>
    <t>SteamaCo</t>
  </si>
  <si>
    <t>Access:Energy, Access Global</t>
  </si>
  <si>
    <t>Provider of cloud-based off-grid renewable energy management platform designed to bring utility-type capabilities to organizations looking to buy, sell and save energy. The company's platform improves all parts of the data supply chain, from end point, through the cloud, into the management systems and automate data acquisition from any device and deliver data and alerts efficiently where it is needed, enabling organizations to sell energy anywhere on the planet.</t>
  </si>
  <si>
    <t>Automation/Workflow Software*, Business/Productivity Software, Other Energy Services</t>
  </si>
  <si>
    <t>energy access, grid energy, industrial automation, off-grid energy</t>
  </si>
  <si>
    <t>www.steama.co</t>
  </si>
  <si>
    <t>2014: 12, 2016: 16</t>
  </si>
  <si>
    <t>135528-04P</t>
  </si>
  <si>
    <t>Thomas Parkinson</t>
  </si>
  <si>
    <t>tom@steama.co</t>
  </si>
  <si>
    <t>Manchester, United Kingdom</t>
  </si>
  <si>
    <t>Manchester Science Park</t>
  </si>
  <si>
    <t>15 Enterprise House</t>
  </si>
  <si>
    <t>Manchester</t>
  </si>
  <si>
    <t>M15 6SE</t>
  </si>
  <si>
    <t>contact@steama.co</t>
  </si>
  <si>
    <t>The company raised GBP 2.27 million of Series A venture funding in a deal led by Shell Ventures on December 21, 2017, putting the pre-money valuation at GBP 5.06 million. The Ashden Trust and GReeN Investor Group also participated in the round. The investment supports the company to further develop its universal smart meter platform for utility customers in Africa, Asia and Latin America. Previously, the company raised GBP 635,000 of seed funding from Andrew Reicher, The Ashden Trust and GReeN Investor Group on May 17, 2016, putting the pre-money valuation at GBP 2.29 million. Other undisclosed investors also participated in the round. The company intends to use the funds to expand access to its technology.</t>
  </si>
  <si>
    <t>Andrew Reicher, George Potts, Segal Family Foundation, Shell Ventures, The Ashden Trust</t>
  </si>
  <si>
    <t>Segal Family Foundation(www.segalfamilyfoundation.org), The Ashden Trust(www.ashdentrust.org.uk)</t>
  </si>
  <si>
    <t>ClearlySo(Placement Agent), Clermount(Advisor: General), Pannone Corporate(Legal Advisor)</t>
  </si>
  <si>
    <t>168488-11</t>
  </si>
  <si>
    <t>States Title</t>
  </si>
  <si>
    <t>Spear Holding</t>
  </si>
  <si>
    <t>Developer of data analytics technology intended to create a seamless title and escrow process to increase profit margins. The company's technology replaces time and labor-intensive title search process with a predictive analytics algorithm that underwrites title insurance policies instantaneously, with curative-free coverage for nearly all title defects, enabling realtors, loan officers and processors to close real estate transactions safely, quickly and inexpensively.</t>
  </si>
  <si>
    <t>Business/Productivity Software*, Other Information Technology, Other Insurance</t>
  </si>
  <si>
    <t>Big Data, InsurTech, Real Estate Technology, TMT</t>
  </si>
  <si>
    <t>insurance policy optimization, predictive analytics, predictive analytics platform, technology services, technology services company, underwriting process, underwriting tools</t>
  </si>
  <si>
    <t>www.statestitle.com</t>
  </si>
  <si>
    <t>150921-64P</t>
  </si>
  <si>
    <t>Max Simkoff</t>
  </si>
  <si>
    <t>Founder, Chief Executive Officer, President &amp; Board Member</t>
  </si>
  <si>
    <t>msimkoff@statestitle.com</t>
  </si>
  <si>
    <t>+1 (650) 419-3827</t>
  </si>
  <si>
    <t>1151 Mission Street</t>
  </si>
  <si>
    <t>info@statestitle.com</t>
  </si>
  <si>
    <t>The company raised $240 million of Series A, Series A-1 and Series A-2 venture funding from undisclosed investors on January 18, 2019. The amount was raised in the combination of Equity (Common and Preferred stock) and Warrants.</t>
  </si>
  <si>
    <t>Assurant Growth Investing, Fifth Wall Ventures, Foundation Capital</t>
  </si>
  <si>
    <t>Assurant Growth Investing(www.assurantgrowthinvesting.com), Fifth Wall Ventures(www.fifthwall.vc), Foundation Capital(www.foundationcapital.com)</t>
  </si>
  <si>
    <t>54252-01</t>
  </si>
  <si>
    <t>StartX</t>
  </si>
  <si>
    <t>SSE Labs</t>
  </si>
  <si>
    <t>Provider of a platform for development of entrepreneurs through education. The company provides structured access to the information, resources and networks to entrepreneurs.</t>
  </si>
  <si>
    <t>Other Capital Markets/Institutions*, Specialized Finance</t>
  </si>
  <si>
    <t>entrepreneurs network, financial service, meta learning environment, startup accelerator</t>
  </si>
  <si>
    <t>www.startx.com</t>
  </si>
  <si>
    <t>2013: 31, 2015: 74</t>
  </si>
  <si>
    <t>46575-01P</t>
  </si>
  <si>
    <t>Cameron Teitelman</t>
  </si>
  <si>
    <t>cameron@startx.com</t>
  </si>
  <si>
    <t>2627 Hanover Street</t>
  </si>
  <si>
    <t>info@startx.com</t>
  </si>
  <si>
    <t>The company raised venture funding from Innolinks Ventures on an undisclosed date.</t>
  </si>
  <si>
    <t>AT&amp;T Ventures, Cisco Investments, Ewing Marion Kauffman Foundation, Founder.org, Founders Fund, Greylock Partners, Groupon, Innolinks Ventures, Microsoft, Tom Chiu</t>
  </si>
  <si>
    <t>AOL Ventures</t>
  </si>
  <si>
    <t>Cisco Investments(www.ciscoinvestments.com), Ewing Marion Kauffman Foundation(www.kauffman.org), Founder.org(www.founder.org), Founders Fund(www.foundersfund.com), Greylock Partners(www.greylock.com), Groupon(www.groupon.com), Innolinks Ventures(www.innolinks.vc), Microsoft(www.microsoft.com)</t>
  </si>
  <si>
    <t>AOL Ventures(www.aolventures.com)</t>
  </si>
  <si>
    <t>DaaS Analytics(Consulting), Kruze Consulting(Accounting)</t>
  </si>
  <si>
    <t>55017-46</t>
  </si>
  <si>
    <t>Startupbootcamp</t>
  </si>
  <si>
    <t>SBC</t>
  </si>
  <si>
    <t>500 Startups, Tech Wildcatters, Techstars, Talent Tech Labs, Y Combinator</t>
  </si>
  <si>
    <t>Provider of business incubation services for startups with a mentor and alumni network. The company's business incubation services include providing seed funding, early stage funding and other related type of funding, enabling startups and early stage companies to run their operations and business.</t>
  </si>
  <si>
    <t>Other Capital Markets/Institutions, Private Equity*</t>
  </si>
  <si>
    <t>accelerator program, early stage funding, mentorship program, seeds funding, start up</t>
  </si>
  <si>
    <t>www.startupbootcamp.org</t>
  </si>
  <si>
    <t>2014: 252, 2015: 448</t>
  </si>
  <si>
    <t>Rainmaking</t>
  </si>
  <si>
    <t>171707-95P</t>
  </si>
  <si>
    <t>Diana Florescu</t>
  </si>
  <si>
    <t>Global Marketing &amp; Social Media Specialist</t>
  </si>
  <si>
    <t>diana.florescu@startupbootcamp.org</t>
  </si>
  <si>
    <t>70 Wilson Street</t>
  </si>
  <si>
    <t>EC2A 2DB</t>
  </si>
  <si>
    <t>info@startupbootcamp.org</t>
  </si>
  <si>
    <t>The company raised GBP 1 milllion of financing Eos Venture Partners on October 19, 2016.</t>
  </si>
  <si>
    <t>Arvato Financial Solutions, AVG Technologies, Chang Ng, Cisco Investments, Conor Stanley, Eos Venture Partners, Eric Van Der Maten, Fort Ross Ventures, GoBeyond, Jose Cobian, Lloyds Banking Group, MasterCard, Pix Vine Capital, Rabo Frontier Ventures, Rabobank Group, Route 66 Ventures, Semyon Dukach, SGInnovate, Summer Capital, The Victorian Government, Venista Ventures, WestTech Ventures</t>
  </si>
  <si>
    <t>Arvato Financial Solutions(www.finance.arvato.com), AVG Technologies(www.avg.com), Cisco Investments(www.ciscoinvestments.com), Eos Venture Partners(www.eosventurepartners.com), Fort Ross Ventures(www.fortross.vc), GoBeyond(www.gobeyondinvesting.com), Lloyds Banking Group(www.lloydsbankinggroup.com), MasterCard(www.mastercard.us), Pix Vine Capital(www.pixvc.com), Rabo Frontier Ventures(www.rabofrontierventures.com), Rabobank Group(www.rabobank.com), Route 66 Ventures(www.route66ventures.com), Semyon Dukach(www.semyon.com), SGInnovate(www.sginnovate.com), Summer Capital(www.summercapital.com), Venista Ventures(www.venista-ventures.com), WestTech Ventures(www.westtechventures.de)</t>
  </si>
  <si>
    <t>c*funds(Placement Agent), Ignore Gravity(Consulting)</t>
  </si>
  <si>
    <t>MJ Hudson(Legal Advisor)</t>
  </si>
  <si>
    <t>167093-02</t>
  </si>
  <si>
    <t>Starship Technologies</t>
  </si>
  <si>
    <t>Starship</t>
  </si>
  <si>
    <t>Nuro, Boxbot</t>
  </si>
  <si>
    <t>Developer of self-driving robotic delivery vehicles designed to help in product delivery. The company's self-driving robotic delivery vehicles are equipped with a sensor suite that includes cameras, enabling consumers to send and receive products anytime and anywhere.</t>
  </si>
  <si>
    <t>Application Software, Automotive, Electronics (B2C)*</t>
  </si>
  <si>
    <t>Artificial Intelligence &amp; Machine Learning, Autonomous cars, FoodTech, Industrials, Restaurant Technology, Robotics and Drones, TMT</t>
  </si>
  <si>
    <t>automated self-driven robots, autonomous robotic drones, robotics machinery, self-driven robotics delivery</t>
  </si>
  <si>
    <t>www.starship.xyz</t>
  </si>
  <si>
    <t>2016: 30, 2018: 200</t>
  </si>
  <si>
    <t>148972-78P</t>
  </si>
  <si>
    <t>Ahti Heinla</t>
  </si>
  <si>
    <t>Co-Founder, Chief Technology Officer &amp; Board Member</t>
  </si>
  <si>
    <t>ahti.heinla@starship.xyz</t>
  </si>
  <si>
    <t>+44 (0)11 5697 2000</t>
  </si>
  <si>
    <t>info@starship.xyz</t>
  </si>
  <si>
    <t>The company raised $25 million of seed funding from Matrix Partners, Morpheus Ventures and Nathan Blecharczyk on June 7, 2018. Jaan Tallinn, Gary Barber and Grishin Robotics also participated in the round. The company, which has raised $42 million in total funding to date, intends to use the funds to deploy Starship robots in neighborhoods, corporate and university campuses in both the U.S. and Europe.</t>
  </si>
  <si>
    <t>Daimler, Gary Barber, Grishin Robotics, HOF Capital (New York), Jaan Tallinn, Matrix Partners, Morpheus Ventures, Nathan Blecharczyk, Playfair Capital, Shasta Ventures, ZX Ventures</t>
  </si>
  <si>
    <t>Daimler(www.daimler.com), Grishin Robotics(www.grishinrobotics.com), HOF Capital (New York)(www.hofvc.com), Matrix Partners(www.matrixpartners.com), Morpheus Ventures(www.morpheus.com), Playfair Capital(www.playfaircapital.com), Shasta Ventures(www.shastaventures.com), ZX Ventures(www.zx-ventures.com)</t>
  </si>
  <si>
    <t>Stubbs Alderton &amp; Markiles(Legal Advisor)</t>
  </si>
  <si>
    <t>58803-22</t>
  </si>
  <si>
    <t>Staq</t>
  </si>
  <si>
    <t>Adstaq</t>
  </si>
  <si>
    <t>Clarity Consulting, Snowflake, Adobe Systems, Salesforce, Libring, Altitude Digital, Lotame Solutions, Ad-Juster, Zeta Global, Turn, Permutive, AppNexus, Big Squid, Box</t>
  </si>
  <si>
    <t>Developer of reporting and integration system designed to unify the technology stack through integrations and data transfer. The company's reporting and integration system is a fully customizable end to end BI platform and a flexible automation, enabling businesses to build an automated data and reporting warehouse from scratch and power their existing tools.</t>
  </si>
  <si>
    <t>advertising operations platform, advertising technology, automation analytics, data automation, integration system</t>
  </si>
  <si>
    <t>www.staq.com</t>
  </si>
  <si>
    <t>2014: 13, 2015: 23, 2016: 30</t>
  </si>
  <si>
    <t>53560-72P</t>
  </si>
  <si>
    <t>James Curran</t>
  </si>
  <si>
    <t>Co-Founder, Chief Product Officer &amp; Board Member</t>
  </si>
  <si>
    <t>james@staq.com</t>
  </si>
  <si>
    <t>+1 (443) 824-2175</t>
  </si>
  <si>
    <t>21 West 38th Street</t>
  </si>
  <si>
    <t>16th Floor</t>
  </si>
  <si>
    <t>info@staq.com</t>
  </si>
  <si>
    <t>The company raised $2 million of Series B venture funding from Pereg Ventures, Genacast Ventures and Core Capital Partners on March 13, 2018, putting the company's pre-money valuation at $21 million. Comcast Ventures and Kinetic Ventures also participated. The company intends to use the funds to enhance the software platform creating an expanded back-end with a flexible data-lake architecture, while introducing features and services that include industry wide data normalization, benchmarking and descriptive analytics, as well as to grow its sales and engineering teams.</t>
  </si>
  <si>
    <t>Clearstone Venture Partners, Comcast Ventures, Core Capital Partners, Genacast Ventures, Kinetic Ventures, Microsoft ScaleUp, Pereg Ventures, Revel Partners, The Hive</t>
  </si>
  <si>
    <t>Clearstone Venture Partners(www.clearstone.com), Comcast Ventures(www.comcastventures.com), Core Capital Partners(www.core-capital.com), Genacast Ventures(www.genacast.com), Kinetic Ventures(www.kineticventures.com), Microsoft ScaleUp(startups.microsoft.com/en-us/scale-up), Pereg Ventures(www.peregventures.com), Revel Partners(www.revelpartners.com), The Hive(www.hivedata.com)</t>
  </si>
  <si>
    <t>156501-82</t>
  </si>
  <si>
    <t>Stae</t>
  </si>
  <si>
    <t>Wrld, Ecometrica, Slingshot Aerospace, Cape Analytics, SpaceKnow, HERE Global, Orbital Insight, Rezatec, Mapbox, Global Surface Intelligence</t>
  </si>
  <si>
    <t>Provider of a digital infrastructure platform designed to offer open access to the world's civic data in one place, in real-time and with a uniform API. The company's digital infrastructure platform offers universal tool for data management and collaboration, integrate data from any source, map different data types and create real-time data feeds, enabling city managers to city workers to make better data-driven decisions, drive performance and manage vendors.</t>
  </si>
  <si>
    <t>compliance data, data collaboration, data collaboration tools, data management, municipal operations, municipal system, procurement services, taxation</t>
  </si>
  <si>
    <t>www.stae.co</t>
  </si>
  <si>
    <t>58662-64P</t>
  </si>
  <si>
    <t>Bruce Edgar</t>
  </si>
  <si>
    <t>we@stae.co</t>
  </si>
  <si>
    <t>+1 (917) 355-7761</t>
  </si>
  <si>
    <t>30 West 26th Street</t>
  </si>
  <si>
    <t>The company raised $4.23 million of Series A venture funding in a deal led by ff Venture Capital on February 13, 2019. UL Ventures and SOSV also participated in the round. Of the total amount, $1.15 million was originally raised in the form of convertible debt and subsequently converted to equity.</t>
  </si>
  <si>
    <t>Company (Office Space), ff Venture Capital, Fontinalis Partners, Samsung NEXT Ventures, SOSV, Story Ventures, UL Ventures, Urban-X</t>
  </si>
  <si>
    <t>Company (Office Space)(www.company.co), ff Venture Capital(www.ffvc.com), Fontinalis Partners(www.fontinalis.com), Samsung NEXT Ventures(www.samsungnext.com), SOSV(www.sosv.com), Story Ventures(www.storyventures.vc), Urban-X(www.urban-x.com)</t>
  </si>
  <si>
    <t>53843-95</t>
  </si>
  <si>
    <t>Squirro</t>
  </si>
  <si>
    <t>Datameer, Waterline Data, Sinequa, Attivio, Mu Sigma, Clarabridge, Lexalytics, SAS Institute, Digital Reasoning Systems, Inbenta, WANdisco, Mondeca, Expert System, AppOrchid, Platfora, Pentaho, Elasticsearch, Skytree, Sumo Logic, Coveo, Graylog, MedeAnalytics, MarkLogic, Fortscale Security, Palantir Technologies, Idibon, Riversand, Alteryx, International Business Machines</t>
  </si>
  <si>
    <t>Provider of a context intelligence software designed to offer cognitive insights for comprehensive analysis of unstructured data. The company's software correlates unstructured data from any digital source to structured data of already existing enterprise systems as well as works with inputs, which already exist within BI and CRM platforms and analyses and learns to prioritize the information based on user interactions, enabling organizations to efficiently manage and unlock the hidden value within data.</t>
  </si>
  <si>
    <t>Big Data, FinTech, SaaS, TMT</t>
  </si>
  <si>
    <t>ai technology, cognitive insights, cognitive insights engine, cognitive search, context intelligence, crm app, customer engagement software</t>
  </si>
  <si>
    <t>www.squirro.com</t>
  </si>
  <si>
    <t>2018: 42, 2019: 35</t>
  </si>
  <si>
    <t>49933-90P</t>
  </si>
  <si>
    <t>Dorian Selz</t>
  </si>
  <si>
    <t>dorian@squirro.com</t>
  </si>
  <si>
    <t>+41 (0)44 586 9898</t>
  </si>
  <si>
    <t>Badenerstrasse 120</t>
  </si>
  <si>
    <t>8004</t>
  </si>
  <si>
    <t>contact@squirro.com</t>
  </si>
  <si>
    <t>The company raised CHF 10 million of Series B venture funding in a deal led by Finch Capital on May 20, 2018. Salesforce Ventures, Hammer Team Digital and Icos Capital also participated in the round. The new funding will be used to accelerate growth in emerging markets, further strengthen the company's presence in North America and Europe, and reinforce the R&amp;D team based in Zurich.</t>
  </si>
  <si>
    <t>Ecosystem Ventures, Finch Capital, FinTech Innovation Lab, FormulaVC Venture Fund, Hammer Team Digital, Icos Capital, Plug and Play Tech Center, Salesforce Ventures, SuperCharger FinTech Accelerator, Swiss Finance Startups</t>
  </si>
  <si>
    <t>PolyTech Ventures</t>
  </si>
  <si>
    <t>Ecosystem Ventures(www.ecosystemventures.com), Finch Capital(www.finchcapital.com), FinTech Innovation Lab(www.fintechinnovationlab.com), FormulaVC Venture Fund(www.formulavc.com), Hammer Team Digital(www.hammerteam.ch/hammer-digital), Icos Capital(www.icoscapital.com), Plug and Play Tech Center(www.plugandplaytechcenter.com), SuperCharger FinTech Accelerator(www.fintechsupercharger.com), Swiss Finance Startups(www.swissfinancestartups.com)</t>
  </si>
  <si>
    <t>PolyTech Ventures(www.polytechventures.ch)</t>
  </si>
  <si>
    <t>BDO(Auditor), Credit Suisse(General Business Banking), Orrick, Herrington &amp; Sutcliffe(Legal Advisor), Zürcher Kantonalbank(General Business Banking)</t>
  </si>
  <si>
    <t>56386-63</t>
  </si>
  <si>
    <t>Sprout At Work</t>
  </si>
  <si>
    <t>Sprout</t>
  </si>
  <si>
    <t>Optimity (workplace wellness software), Virgin Pulse, Glint, TINYpulse, Bright Funds</t>
  </si>
  <si>
    <t>Provider of a wellness engagement platform designed to boost corporate wellness and motivate employees to get active in the way they choose. The company's platform allows employees to lead healthier lives both at work and at home, showing a positive effect on employee satisfaction, recruitment and retention, enabling progressive companies to maximize their return on investment while empowering employers to effectively manage and measure wellness outcomes of their employees.</t>
  </si>
  <si>
    <t>Business/Productivity Software*, Social Content, Social/Platform Software</t>
  </si>
  <si>
    <t>corporate wellness, corporate wellness activities, employee retention, employee satisfaction, employee wellness, employee wellness platform, wellness engagement, wellness engagement platform, wellness technology, workplace health platform</t>
  </si>
  <si>
    <t>www.sproutatwork.com</t>
  </si>
  <si>
    <t>47929-96P</t>
  </si>
  <si>
    <t>Martha Switzer</t>
  </si>
  <si>
    <t>Co-Founder &amp; Chief Marketing Officer</t>
  </si>
  <si>
    <t>m.switzer@sproutatwork.com</t>
  </si>
  <si>
    <t>+1 (866) 535-5027</t>
  </si>
  <si>
    <t>366 Adelaide Street West</t>
  </si>
  <si>
    <t>M5V 1R9</t>
  </si>
  <si>
    <t>info@sproutatwork.com</t>
  </si>
  <si>
    <t>The company raised an undisclosed amount of venture funding from Telus Ventures, NorthSpring Capital Partners and Techstars on August 4, 2016. The company plans to leverage the investment to expand its user experience, data analytics and ecosystem of partners to help promote wellness across corporate cultures across the globe.</t>
  </si>
  <si>
    <t>Dipcom Investments, Nike, NikeFuel Lab, NorthSpring Capital Partners, Optimé International, Roboson Capital, Techstars, TELUS Ventures</t>
  </si>
  <si>
    <t>Nike(www.nike.com), NikeFuel Lab(www.nikefuellab.com), NorthSpring Capital Partners(www.northspringcapitalpartners.com), Optimé International(optime.com), Techstars(www.techstars.com), TELUS Ventures(ventures.telus.com)</t>
  </si>
  <si>
    <t>Wildeboer Dellelce(Legal Advisor)</t>
  </si>
  <si>
    <t>111801-70</t>
  </si>
  <si>
    <t>Sprinklr Japan</t>
  </si>
  <si>
    <t>Provider of social media management platform intended to serve the people in Japan. The company's platform offers to centrally manage multiple social accounts, enabling users to stay connected in an enhanced way.</t>
  </si>
  <si>
    <t>Social Content</t>
  </si>
  <si>
    <t>Application Software, Social Content*, Social/Platform Software</t>
  </si>
  <si>
    <t>social account, social media management, social media management platform, social media network, social platform</t>
  </si>
  <si>
    <t>www.sprinklr.co.jp</t>
  </si>
  <si>
    <t>2015: 1, 2017: 3</t>
  </si>
  <si>
    <t>194663-53P</t>
  </si>
  <si>
    <t>Kenta Yagi</t>
  </si>
  <si>
    <t>yagi@sprinklr.com</t>
  </si>
  <si>
    <t>+81 (0)36 434 0871</t>
  </si>
  <si>
    <t>Sumitomo Realty Roppongi Commuter Building 11F</t>
  </si>
  <si>
    <t>7-18-18 Roppongi</t>
  </si>
  <si>
    <t>Minato-ku</t>
  </si>
  <si>
    <t>+81 (0)36 226 3989</t>
  </si>
  <si>
    <t>info@sprinklr.co.jp</t>
  </si>
  <si>
    <t>The company was formed as a joint venture between Recruit Strategic Partners, Suneight Investment, Piped Bits and Sprinklr on April 16, 2015. The company raised JPY 1000 million of Series A venture funding from Piped Bits, Recruit Strategic Partners and Suneight Investment on April 16, 2015.</t>
  </si>
  <si>
    <t>Piped Bits, Recruit Strategic Partners, Sprinklr, Suneight Investment</t>
  </si>
  <si>
    <t>Piped Bits(www.pi-pe.co.jp), Recruit Strategic Partners(recruitstrategicpartners.com), Sprinklr(www.sprinklr.com), Suneight Investment(www.sun-8.jp)</t>
  </si>
  <si>
    <t>155314-09</t>
  </si>
  <si>
    <t>Sponsokit</t>
  </si>
  <si>
    <t>Developer of a collaboration platform. The company offers a platform that enables companies to learn how to collaborate with social media creators for branding, front end development and online marketing and advertising.</t>
  </si>
  <si>
    <t>AdTech, Marketing Tech, TMT</t>
  </si>
  <si>
    <t>online branding, social media feed</t>
  </si>
  <si>
    <t>www.sponsokit.com</t>
  </si>
  <si>
    <t>130282-57P</t>
  </si>
  <si>
    <t>Armend Avdijaj</t>
  </si>
  <si>
    <t>armend@sponsokit.com</t>
  </si>
  <si>
    <t>Rheinsberger Street 76/77</t>
  </si>
  <si>
    <t>10115</t>
  </si>
  <si>
    <t>The company joined Virgin Media Accelerator and received $20,000 in funding on March 10, 2016. As a part of joining Virgin Media Accelerator, the company received funding from Liberty Global Ventures and Techstars.</t>
  </si>
  <si>
    <t>107199-01</t>
  </si>
  <si>
    <t>Splume</t>
  </si>
  <si>
    <t>Spume</t>
  </si>
  <si>
    <t>Provider of digital content related services. The company's services include a wide range of contents from entertainment to living infrastructure using AR, avatar, 3D virtual space and other technologies.</t>
  </si>
  <si>
    <t>Movies, Music and Entertainment, Other Information Technology*, Other Services (B2C Non-Financial)</t>
  </si>
  <si>
    <t>consignment production, digital contents, entertainment industry, entertainment service provider, three dimensions images</t>
  </si>
  <si>
    <t>www.splume.co.jp</t>
  </si>
  <si>
    <t>90841-60P</t>
  </si>
  <si>
    <t>Kajitsuka Chiharu</t>
  </si>
  <si>
    <t>Chief Executive Officer, Owner, President and Representative</t>
  </si>
  <si>
    <t>kajitsuka.chiharu@splume.co.jp</t>
  </si>
  <si>
    <t>6th Feng Shui Building 5-27-7</t>
  </si>
  <si>
    <t>Higashi Gotanda Shinagawa-ku</t>
  </si>
  <si>
    <t>141-0022</t>
  </si>
  <si>
    <t>info@splume.co.jp</t>
  </si>
  <si>
    <t>The company raised venture funding from Recruit Strategic Partners on an undisclosed date.</t>
  </si>
  <si>
    <t>Recruit Strategic Partners</t>
  </si>
  <si>
    <t>Recruit Strategic Partners(recruitstrategicpartners.com)</t>
  </si>
  <si>
    <t>55449-19</t>
  </si>
  <si>
    <t>Splice Machine</t>
  </si>
  <si>
    <t>Splice</t>
  </si>
  <si>
    <t>AtScale, Zoomdata, DataTorrent, StreamSets, CognitiveScale, Confluent, SQLstream, Klipfolio, Arcadia Data, Cloudyn Software, Sisense, Xplenty, Treasure Data, Fivetran, Exasol, Micro Focus, Periscope Data, Stitch, MapR, Unravel Data, SAP, Snowflake, Looker, BlueData, Altiscale, Kyvos Insights, Datascience.com, Striim, Platfora, Databricks, Talend, Qlik Technologies, DataStax, Qubole, Nathean, Cloudera, Datameer, Izenda, Infor Global Solutions, Driven (Application Performance Management), Hortonworks, Splunk, Dataiku, GoodData, Astronomer, Logi Analytics, Birst, Salesforce, Datahero, SAS Institute, RapidMiner, Yellowfin, Trifacta, Segment, DataRobot, Domo, Panoply (Application Software), SparkCognition, Dundas Data Visualization, JasperSoft, Evariant</t>
  </si>
  <si>
    <t>Developer of a hybrid data platform designed to unify streaming, analytics and transactions in a single relational database system. The company's platform leverages ANSI SQL support to accelerate offloading operational and analytical workloads from expensive Oracle, Teradata and Netezza systems and seamlessly integrate analytics and AI into mission-critical applications, enabling clients to remove latency, cost and complexity from supporting modern big data applications.</t>
  </si>
  <si>
    <t>Business/Productivity Software*, Software Development Applications</t>
  </si>
  <si>
    <t>big data, data application, hadoop, machine learning, operational application, spark, structured queries language</t>
  </si>
  <si>
    <t>www.splicemachine.com</t>
  </si>
  <si>
    <t>2012: 10, 2013: 25, 2014: 32, 2015: 36, 2016: 25, 2019: 40</t>
  </si>
  <si>
    <t>35317-54P</t>
  </si>
  <si>
    <t>Eran Pilovsky</t>
  </si>
  <si>
    <t>epilovsky@splicemachine.com</t>
  </si>
  <si>
    <t>+1 (415) 857-2111</t>
  </si>
  <si>
    <t>44 Tehama Street</t>
  </si>
  <si>
    <t>info@splicemachine.com</t>
  </si>
  <si>
    <t>The company raised $16 million through the combination of debt and Series B venture funding in a deal led by GreatPoint Ventures on February 20, 2019, putting the company's pre-money valuation at $15 million. Accenture Ventures, Salesforce Commerce Cloud, InterWest Partners, Mohr Davidow Ventures, Correlation Ventures, Concur Technologies, and Allen Miner also participated in the round. The company will use the funds to further innovate its data platform, expand its global go-to-market team and grow its world-class distributed engineering and customer success teams across the U.S. and around the world.</t>
  </si>
  <si>
    <t>Accelerate St. Louis, Accenture, Accenture Ventures, Allen Miner, Concur Technologies, Correlation Ventures, GreatPoint Ventures, Helix Center Biotech Incubator, InterWest Partners, Mohr Davidow Ventures, Roger Bamford, Salesforce Commerce Cloud, Salesforce Ventures, Wells Fargo Startup Accelerator</t>
  </si>
  <si>
    <t>Accelerate St. Louis(www.acceleratestlouis.org), Accenture(www.accenture.com), Concur Technologies(www.concur.com), Correlation Ventures(www.correlationvc.com), GreatPoint Ventures(www.gpv.com), Helix Center Biotech Incubator(www.helixcenter.com), InterWest Partners(www.interwest.com), Mohr Davidow Ventures(www.mdv.com), Salesforce Commerce Cloud(www.demandware.com), Wells Fargo Startup Accelerator(accelerator.wf.com)</t>
  </si>
  <si>
    <t>43024-06</t>
  </si>
  <si>
    <t>Splashtop</t>
  </si>
  <si>
    <t>DeviceVM</t>
  </si>
  <si>
    <t>OneLogin, Ayla Networks, NoMachine, SecureLink (USA), Xively, Anydesk, Continuum Managed Services, ConnectWise, KEMP Technologies, BeyondTrust Software, AppSense, Cybele Software, Okta, ScreenConnect, LogMeIn, TeamViewer, Expertcity</t>
  </si>
  <si>
    <t>Provider of remote support services designed to solve all remote access needs. The company's remote support services is offered through high-performance engine that provides most reliable access to all business applications and data from any device while offering policy-driven control to IT, system integrators and service providers, enabling customers to access and control their favorite apps, files, and data via their mobile devices.</t>
  </si>
  <si>
    <t>Business/Productivity Software*, Database Software, Storage (IT)</t>
  </si>
  <si>
    <t>application delivery, cross-screen productivity, remote desktop, remote support, system integrator</t>
  </si>
  <si>
    <t>www.splashtop.com</t>
  </si>
  <si>
    <t>35431-48P</t>
  </si>
  <si>
    <t>Mark Lee</t>
  </si>
  <si>
    <t>+1 (408) 861-1088</t>
  </si>
  <si>
    <t>1054 South De Anza Boulevard</t>
  </si>
  <si>
    <t>95129</t>
  </si>
  <si>
    <t>+1 (408) 861-1087</t>
  </si>
  <si>
    <t>privacy@splashtop.com</t>
  </si>
  <si>
    <t>The company raised $1.66 million in the form of a loan from Venture Lending &amp; Leasing on December 31, 2013.</t>
  </si>
  <si>
    <t>Acer Group, ASUS, Dragon Venture, Draper Dragon, Gokul Rajaram, Harbinger Venture Management, Individual Investor, Kai Huang, Merus Capital, New Enterprise Associates, Presidio Ventures, Sapphire Ventures, Startup Capital Ventures, Storm Ventures, Sumitomo Corporation, Timothy Draper, WR Hambrecht + Co.</t>
  </si>
  <si>
    <t>Acer Group(www.acer-group.com), ASUS(www.asus.com), Dragon Venture(www.dragonventure.com), Draper Dragon(www.draperdragon.com), Harbinger Venture Management(www.harbingervc.com), Merus Capital(www.meruscap.com), New Enterprise Associates(www.nea.com), Presidio Ventures(www.presidio-ventures.com), Sapphire Ventures(www.sapphireventures.com), Startup Capital Ventures(startupcv.com), Storm Ventures(www.stormventures.com), Sumitomo Corporation(www.sumitomocorp.com), Timothy Draper(www.timothydraper.com), WR Hambrecht + Co.(www.wrhambrecht.com)</t>
  </si>
  <si>
    <t>O'Melveny &amp; Myers(Legal Advisor), Venture Lending &amp; Leasing(Debt Financing), Western Technology Investment(Debt Financing)</t>
  </si>
  <si>
    <t>13287-43</t>
  </si>
  <si>
    <t>Spire travels</t>
  </si>
  <si>
    <t>Spire</t>
  </si>
  <si>
    <t>Provider of a flash-sale-travel site. The company provides luxury travel deals through its website. It was established by Perfect Escapes.</t>
  </si>
  <si>
    <t>Internet Software</t>
  </si>
  <si>
    <t>Internet Software*</t>
  </si>
  <si>
    <t>2014: 156</t>
  </si>
  <si>
    <t>300 Summer Street</t>
  </si>
  <si>
    <t>02210</t>
  </si>
  <si>
    <t>+1 (617) 556-2650</t>
  </si>
  <si>
    <t>The company received $150 of debt financing from undisclosed lender on February 27, 2017.</t>
  </si>
  <si>
    <t>Hearst Ventures, Jump Capital, TL Ventures, Trident Capital</t>
  </si>
  <si>
    <t>Intagio</t>
  </si>
  <si>
    <t>Jump Capital(www.jumpcap.com), TL Ventures(www.tl.ventures), Trident Capital(www.tridentcap.com)</t>
  </si>
  <si>
    <t>Stifel Financial(Underwriter)</t>
  </si>
  <si>
    <t>118580-32</t>
  </si>
  <si>
    <t>SpinLaunch</t>
  </si>
  <si>
    <t>Provider of satellite systems intended to launch small space satellites. The company's satellite systems employs a rotational acceleration method, harnessing angular momentum to gradually accelerate the vehicle to hypersonic speeds, enabling clients to get commercial satellites at an affordable price.</t>
  </si>
  <si>
    <t>Aerospace and Defense, Other Commercial Services*</t>
  </si>
  <si>
    <t>Industrials, Space Technology, TMT</t>
  </si>
  <si>
    <t>satellite system, satellite system operators</t>
  </si>
  <si>
    <t>www.spinlaunch.com</t>
  </si>
  <si>
    <t>2019: 22</t>
  </si>
  <si>
    <t>141632-83P</t>
  </si>
  <si>
    <t>Jonathan Yaney</t>
  </si>
  <si>
    <t>jackie@spinlaunch.com</t>
  </si>
  <si>
    <t>+1 (650) 516-7746</t>
  </si>
  <si>
    <t>181 Commercial Street</t>
  </si>
  <si>
    <t>info@spinlaunch.com</t>
  </si>
  <si>
    <t>The company raised $40 million of Series A venture funding from Airbus Ventures, GV and ATW Partners on June 14, 2018, putting the company's pre-money valuation at $45 million. Starlight Ventures, Avanu Venture Capital Management, Kleiner Perkins Caufield &amp; Byers, Lauder Partners and Bolt Innovation Group also participated in the round. The funds will be used to scale up the team and technology.</t>
  </si>
  <si>
    <t>Adrian Aoun, Airbus Ventures, ATW Partners, Avanu Venture Capital Management, Bolt Innovation Group, GV, Kleiner Perkins, Lauder Partners, Neotribe Ventures, Starlight Ventures, Tyche Partners</t>
  </si>
  <si>
    <t>Airbus Ventures(www.airbusventures.vc), ATW Partners(www.atwpartners.com), Avanu Venture Capital Management(www.avanu.pl), Bolt Innovation Group(www.bolt.io), GV(www.gv.com), Kleiner Perkins(www.kleinerperkins.com), Lauder Partners(www.lauderpartners.com), Neotribe Ventures(www.neotribe.vc), Starlight Ventures(www.starlight.vc), Tyche Partners(www.tychepartners.com)</t>
  </si>
  <si>
    <t>Series AA</t>
  </si>
  <si>
    <t>53833-24</t>
  </si>
  <si>
    <t>Spin Memory</t>
  </si>
  <si>
    <t>Spin Transfer Technologies</t>
  </si>
  <si>
    <t>Developer of spin transfer magneto-resistive random access memory technology designed to offer high speed-power-endurance operating point. The company's spin transfer magneto-resistive random access memory technology was established by Allied Minds and New York University to develop and commercialize its orthogonal spin transfer magneto-resistive random access memory technology, OST-MRAM.</t>
  </si>
  <si>
    <t>Computers, Parts and Peripherals*, Storage (IT)</t>
  </si>
  <si>
    <t>computer memory technology, external hard disk, memory application, random access memory, read-only-memory, spinning transfer service</t>
  </si>
  <si>
    <t>www.spinmemory.com</t>
  </si>
  <si>
    <t>2014: 18, 2015: 31</t>
  </si>
  <si>
    <t>Allied Minds</t>
  </si>
  <si>
    <t>40168-99P</t>
  </si>
  <si>
    <t>Andrew Kent</t>
  </si>
  <si>
    <t>kent@spintransfer.com</t>
  </si>
  <si>
    <t>+1 (510) 933-8200</t>
  </si>
  <si>
    <t>45500 Northport Loop West</t>
  </si>
  <si>
    <t>+1 (510) 933-8201</t>
  </si>
  <si>
    <t>info@spintransfer.com</t>
  </si>
  <si>
    <t>The company raised $52 million of Series B1 venture funding in a deal led by Applied Ventures on November 12, 2018, putting the company's pre-money valuation at $123 million. Allied Minds, Abies Ventures, Woodford Investment Management, and Invesco Perpetual also participated in the round.</t>
  </si>
  <si>
    <t>Abies Ventures, Aim Management Group, Allied Minds, Applied Ventures, Invesco Perpetual, SandAire, Woodford Investment Management</t>
  </si>
  <si>
    <t>Abies Ventures(www.abies.vc), Aim Management Group(www.invescoaim.com), Allied Minds(www.alliedminds.com), Invesco Perpetual(www.invesco.co.uk), SandAire(www.sandaire.com)</t>
  </si>
  <si>
    <t>58160-98</t>
  </si>
  <si>
    <t>SpiderOak</t>
  </si>
  <si>
    <t>Thinkdesignbuild</t>
  </si>
  <si>
    <t>Baffle, Netskope, Tresorit, CipherCloud, Virgil Security, Backblaze, ownCloud, MiMedia, Servosity, pCloud, Dropbox, SugarSync</t>
  </si>
  <si>
    <t>Developer of a web and mobile based data protection software designed to protect group messaging, file sharing and file backups with end-to-end encryption. The company's software is a privacy-oriented technology that encrypts data on local devices and backs them up in the cloud, enabling users to share, sync and back up their data without privacy intrusions, ransomware and data loss.</t>
  </si>
  <si>
    <t>cloud technology, confidential cloud, data encryption software, data protection application, data protection tools, information backup</t>
  </si>
  <si>
    <t>www.spideroak.com</t>
  </si>
  <si>
    <t>85522-06P</t>
  </si>
  <si>
    <t>Alan Fairless</t>
  </si>
  <si>
    <t>Co-Founder, Co-Chief Executive Officer &amp; Board Member</t>
  </si>
  <si>
    <t>alan@transportant.us</t>
  </si>
  <si>
    <t>+1 (913) 908-4401</t>
  </si>
  <si>
    <t>Mission, KS</t>
  </si>
  <si>
    <t>5920 Nall Avenue</t>
  </si>
  <si>
    <t>Mission</t>
  </si>
  <si>
    <t>Kansas</t>
  </si>
  <si>
    <t>66202</t>
  </si>
  <si>
    <t>+1 (866) 432-9888</t>
  </si>
  <si>
    <t>inquiry@spideroak.com</t>
  </si>
  <si>
    <t>The company raised $1.50 million of venture funding in the form of convertible debt from undisclosed investors on October 30, 2017.</t>
  </si>
  <si>
    <t>DRW Venture Capital, KCRise Fund, Method Capital, OCA Ventures</t>
  </si>
  <si>
    <t>DRW Venture Capital(www.drwvc.com), KCRise Fund(www.kcrisefund.com), Method Capital(method.capital), OCA Ventures(www.ocaventures.com)</t>
  </si>
  <si>
    <t>53919-55</t>
  </si>
  <si>
    <t>SPH Analytics</t>
  </si>
  <si>
    <t>MDdatacor</t>
  </si>
  <si>
    <t>SPHA</t>
  </si>
  <si>
    <t>WellCentive, Innovaccer, Caradigm, CareSkore, SA Ignite, SpectraMedix, MedeAnalytics, Practice Fusion, HealthEC, MDLIVE</t>
  </si>
  <si>
    <t>Provider of healthcare quality management services in the United States. The company collects clinical information from both structured data sources such as electronic medical records as well as from unstructured data sources such as transcription notes and free-form progress note text and is a leader in healthcare surveys, call center outreach and action analytics that empowers provider, payer and health networks with rich data. It connects and integrates claims and clinical data, analytics and consulting, leveraging this rich data to deliver a comprehensive perspective on the real dynamics that drive business in the payer and provider markets.</t>
  </si>
  <si>
    <t>Enterprise Systems (Healthcare)</t>
  </si>
  <si>
    <t>Enterprise Systems (Healthcare)*, Medical Records Systems</t>
  </si>
  <si>
    <t>action analytics, clinical data, quality management</t>
  </si>
  <si>
    <t>www.sphanalytics.com</t>
  </si>
  <si>
    <t>31933-18P</t>
  </si>
  <si>
    <t>George Dunaway</t>
  </si>
  <si>
    <t>gdunaway@perimeterhealthcare.com</t>
  </si>
  <si>
    <t>+1 (470) 554-7902</t>
  </si>
  <si>
    <t>Alpharetta, GA</t>
  </si>
  <si>
    <t>11545 Wills Road</t>
  </si>
  <si>
    <t>Alpharetta</t>
  </si>
  <si>
    <t>30009</t>
  </si>
  <si>
    <t>+1 (678) 319-0039</t>
  </si>
  <si>
    <t>+1 (678) 689-0326</t>
  </si>
  <si>
    <t>info@sphanalytics.com</t>
  </si>
  <si>
    <t>The company was acquired by Symphony Technology Group through an LBO on April 16, 2014, for an undisclosed sum. Paul von Ebers, President and CEO of Noridian Mutual Insurance Company (NMIC), will remain on the company Board of Directors, and NMIC will remain a strategic partner of the company. The acquisition allows MDdatacor Inc to form into a new company called Symphony Performance Health and enhances its portfolio of service offerings.</t>
  </si>
  <si>
    <t>Noridian Mutual Insurance Company, STG Partners</t>
  </si>
  <si>
    <t>Dianon Systems, Next47</t>
  </si>
  <si>
    <t>Noridian Mutual Insurance Company(www.bcbsnd.com), STG Partners(www.stgpartners.com)</t>
  </si>
  <si>
    <t>Dianon Systems(www.dianon.com), Next47(Next47.com)</t>
  </si>
  <si>
    <t>Cain Brothers &amp; Company(Advisor: General), Match Point Partners(Advisor: General)</t>
  </si>
  <si>
    <t>163638-37</t>
  </si>
  <si>
    <t>Spectrm</t>
  </si>
  <si>
    <t>SnapApp, Livefyre, Olapic, Playbuzz, Scoop.it, Feathr, VideoAmp, Bidtellect, Taboola, PublishThis, ScribbleLive, Sheridan PubFactory, Storygize, Content.ad, PowerLinks, Apester, Outbrain, Dianomi, Ooyala, Adaptly, StackAdapt</t>
  </si>
  <si>
    <t>Provider of a chatbot platform designed to deliver media content. The company's platform helps to create content for conversational platforms like facebook messenger, slack and telegram on behalf of publishers, enabling users to lead the conversation and continuously optimize the chatbot.</t>
  </si>
  <si>
    <t>Application Software, Communication Software*, Media and Information Services (B2B), Publishing</t>
  </si>
  <si>
    <t>chatbot, chatbot platform, conversational platform, media content, media content delivery, online media platform</t>
  </si>
  <si>
    <t>www.spectrm.io</t>
  </si>
  <si>
    <t>142249-15P</t>
  </si>
  <si>
    <t>Max Koziolek</t>
  </si>
  <si>
    <t>max@spectrm.de</t>
  </si>
  <si>
    <t>Falkensee, Germany</t>
  </si>
  <si>
    <t>Bredower Straße 31</t>
  </si>
  <si>
    <t>Falkensee</t>
  </si>
  <si>
    <t>14612</t>
  </si>
  <si>
    <t>hallo@spectrm.de</t>
  </si>
  <si>
    <t>The company raised $1.5 million of venture funding from Lerer Hippeau Ventures, North Base Media and Axel Springer in 2016. Bertelsmann Digital Media Investments, GV and Jens Schumann also participated in the round. Previously, the company joined Next Media Accelerator as part of the Batch I and received EUR 50,000 in funding on September 17, 2015. Prior to that the company joined Startup Next as part of the Spring 2015 class on May 5, 2015.</t>
  </si>
  <si>
    <t>Axel Springer Digital Ventures, Bertelsmann Digital Media Investments, GV, Jens Schumann, Lerer Hippeau, Next Media Accelerator, North Base Media, Startup Next</t>
  </si>
  <si>
    <t>Axel Springer Digital Ventures(www.axelspringerdigitalventures.com), Bertelsmann Digital Media Investments(www.bdmifund.com), GV(www.gv.com), Lerer Hippeau(www.lererhippeau.com), Next Media Accelerator(www.nma.vc), North Base Media(www.northbasemedia.com), Startup Next(www.startupnext.co)</t>
  </si>
  <si>
    <t>185083-30</t>
  </si>
  <si>
    <t>Spatial (Augmented Reality)</t>
  </si>
  <si>
    <t>Ncam Technologies, Wevr, Pixvana, Augment (Multimedia and Design Software)</t>
  </si>
  <si>
    <t>Developer of a computing platform intended for augmented reality and Virtual reality environments. The company's platform turns the space around into a shared augmented workplace and offers realistic avatars and room alignment that can be accessed from any device, enabling users to collaborate, search, brainstorm and share content as if they were in the same room.</t>
  </si>
  <si>
    <t>3d user interface, 3d workspace, augmented reality workspace, user interface, virtual reality interface</t>
  </si>
  <si>
    <t>www.spatial.is</t>
  </si>
  <si>
    <t>193655-35P</t>
  </si>
  <si>
    <t>Anand Agarawala</t>
  </si>
  <si>
    <t>anand@spatial.is</t>
  </si>
  <si>
    <t>13 Crosby Street</t>
  </si>
  <si>
    <t>hello@spatial.is</t>
  </si>
  <si>
    <t>The company raised $8 million of seed funding from inovia Capital, Samsung NEXT Ventures and Joi Ito on October 24, 2018. Mark Pincus, Andy Hertzfeld and Garrett Camp also participated in this round. The funds will be used to build AR/VR collaboration platform.</t>
  </si>
  <si>
    <t>Andy Hertzfeld, E14 Fund Management, FuturePlay, Garrett Camp, Inovia Capital, Joichi Ito, Leaders Fund, Mark Pincus, Samsung NEXT Ventures</t>
  </si>
  <si>
    <t>E14 Fund Management(www.e14fund.com), FuturePlay(www.futureplay.co), Inovia Capital(www.inovia.vc), Joichi Ito(joi.ito.com), Leaders Fund(www.leaders-fund.com), Samsung NEXT Ventures(www.samsungnext.com)</t>
  </si>
  <si>
    <t>55043-38</t>
  </si>
  <si>
    <t>Spartan Race</t>
  </si>
  <si>
    <t>Operator of a social platform intended to offer sports challenges and courses. The company's social platform offers various types of sports and racing activities, including mud and fire races, kids race and other obstacle races, enabling individuals to push their mental and physical limits and enhance their determination, endurance, and will.</t>
  </si>
  <si>
    <t>Other Media, Other Services (B2C Non-Financial)*</t>
  </si>
  <si>
    <t>obstacle racing, social platform, sporting events, sports challenge</t>
  </si>
  <si>
    <t>www.spartan.com</t>
  </si>
  <si>
    <t>2013: 25, 2016: 329</t>
  </si>
  <si>
    <t>133456-87P</t>
  </si>
  <si>
    <t>Joseph De Sena</t>
  </si>
  <si>
    <t>joe@spartan.com</t>
  </si>
  <si>
    <t>234 Congress Street</t>
  </si>
  <si>
    <t>us@spartan.com</t>
  </si>
  <si>
    <t>The company raised $10 million of Series B venture funding from Hearst Ventures and other undisclosed investors on April 19, 2016, putting the company's pre-money valuation at $40.59 million.</t>
  </si>
  <si>
    <t>Breakaway Ventures, Hearst Ventures, Raptor Group</t>
  </si>
  <si>
    <t>Breakaway Ventures(www.breakawayventures.com), Raptor Group(www.raptorgroup.com)</t>
  </si>
  <si>
    <t>Horizon Growth Advisors(Consulting), Integrity Square(Advisor: General)</t>
  </si>
  <si>
    <t>Crowdrise(Lead Manager or Arranger)</t>
  </si>
  <si>
    <t>104406-22</t>
  </si>
  <si>
    <t>Sparkfund</t>
  </si>
  <si>
    <t>Cylon Controls, Redaptive, Optimum Energy, BuildingIQ, RENEW Energy Partners, Budderfly, Silver Spring Networks, Metrus Energy, Alumia</t>
  </si>
  <si>
    <t>Developer of an online energy subscription platform designed to provide access to latest energy technologies without buying them. The company's platform provides financing alternatives for organizations looking for off-balance-sheet solutions and service models to implement new energy technology without the constraints of ownership, enabling clients to do more energy projects, faster and with fewer resources.</t>
  </si>
  <si>
    <t>Other Energy Services*</t>
  </si>
  <si>
    <t>CleanTech</t>
  </si>
  <si>
    <t>crowd investment platform, energy project fund management, energy project management, energy sector services, financial technology</t>
  </si>
  <si>
    <t>www.sparkfund.com</t>
  </si>
  <si>
    <t>2018: 55, 2019: 45</t>
  </si>
  <si>
    <t>195218-83P</t>
  </si>
  <si>
    <t>Morgan Wright</t>
  </si>
  <si>
    <t>morgan@sparkfund.com</t>
  </si>
  <si>
    <t>+1 (844) 867-7275</t>
  </si>
  <si>
    <t>1808 Adams Mill Road North West</t>
  </si>
  <si>
    <t>20009</t>
  </si>
  <si>
    <t>team@sparkfund.com</t>
  </si>
  <si>
    <t>The company raised $16.53 million of Series B3 venture funding from undisclosed investors on March 29, 2019, putting the company's pre-money valuation at $65 million.</t>
  </si>
  <si>
    <t>Alumni Ventures Group, Constellation Technology Ventures, E8, Energy Impact Partners, Green D Ventures, Pi Investments, Richard Graves, Vision Ridge Partners</t>
  </si>
  <si>
    <t>Alumni Ventures Group(www.avgfunds.com), Constellation Technology Ventures(www.technologyventures.constellation.com), E8(www.e8angels.com), Energy Impact Partners(www.energyimpactpartners.com), Green D Ventures(www.greendventures.com), Pi Investments(www.pi-investments.com), Vision Ridge Partners(www.vision-ridge.com)</t>
  </si>
  <si>
    <t>98209-63</t>
  </si>
  <si>
    <t>SparkCognition</t>
  </si>
  <si>
    <t>RapidMiner, Uptake, Domo, Voyager Labs, Seeq, Embotics, Loop AI Labs Cognitive Computing, Sinequa, Nastel Technologies, ColdLight Solutions, SAS Institute, Mnubo, MapR, Expert System, Vidora, Sumo Logic, PYA Analytics, Alation, Predixion, Kyvos Insights, Palantir Technologies, SugarCRM, NarrativeWave, Digital Reasoning Systems, Predikto, SevOne, Worxogo, Striim, DataStax, Logz.io, AttackIQ, CognitiveScale, Databricks, Qubole, Fidelis Cybersecurity, AppOrchid, BigML, Mind Foundry, Elasticsearch, Skytree, ScienceLogic, Saviynt, Tanium, Indeni, Informatica, Losant, ExtraHop Networks, Elevate Security, Signals Analytics, MemSQL, Validere, Cloudera, MediaPRO, Demisto, E8 Security, BeyondCore, Versive, Siemplify, FireEye, BMC Software, Alegion, Phantom Cyber, Komand, FogHorn, Click Security, Symphony AyasdiAI, Sysdig, Uplevel, Resolve Systems, Dataiku, Sight Machine, Micro Focus, Altizon, Splunk, PatternEx, Kentik, Corvil, Kyndi, SailPoint Technologies, AnChain.AI, Talend, TIBCO Software, NetWitness, Stories: Business Intelligence, OneLogin, Alteryx, Scalr, Nexthink, ICONICS, Machinify, C3 IoT, Sentient Science, Palantir, Cylance, SmartSignal, Oracle, Mtell, Darktrace</t>
  </si>
  <si>
    <t>Provider of artificial intelligence systems to advance the most important interests of society. The company's machine learning technology analyzes complex data in the fields of defense tech, IIoT and finance and provides insights on the same, enabling business professionals and corporate clients to make better, data-driven business decisions.</t>
  </si>
  <si>
    <t>Business/Productivity Software*, Database Software, Media and Information Services (B2B)</t>
  </si>
  <si>
    <t>Advanced Manufacturing, Artificial Intelligence &amp; Machine Learning, Big Data, SaaS, TMT</t>
  </si>
  <si>
    <t>analysis platform, cognitive platform, cyber security, document classification, endpoint protection, endpoint security, natural language algorithm, neural network systems, predictive analytics, security access control system</t>
  </si>
  <si>
    <t>www.sparkcognition.com</t>
  </si>
  <si>
    <t>2015: 40, 2016: 80, 2017: 126, 2018: 250</t>
  </si>
  <si>
    <t>81415-27P</t>
  </si>
  <si>
    <t>Amir Husain</t>
  </si>
  <si>
    <t>ahusain@sparkcognition.com</t>
  </si>
  <si>
    <t>+1 (844) 205-7173</t>
  </si>
  <si>
    <t>4030 West Braker Lane</t>
  </si>
  <si>
    <t>Building 5, Suite 500</t>
  </si>
  <si>
    <t>78759</t>
  </si>
  <si>
    <t>info@sparkcognition.com</t>
  </si>
  <si>
    <t>The company is reportedly seeking to raise an estimated $120 million of Series C venture funding from undisclosed investors as of January 17, 2019, putting the pre-money valuation at $650 million</t>
  </si>
  <si>
    <t>Alameda Ventures, Bob Stearns, Boeing HorizonX, Boiler Riffle Investments, Brevan Howard Asset Management, CME Ventures, DBV Investments, DW Investments, Energize Ventures, FF SPARK, Glacier Systems LLC, Hudson Sustainable Investment Management, JC2 Ventures, John Chambers, MKN Investments, Morse VIII, LLC, MSD Capital, Pankaj Patel, Rome Capital Partners, Sunshine Accelerator, T. Boone Pickens, The Entrepreneurs' Fund, Verizon Ventures</t>
  </si>
  <si>
    <t>Brevan Howard Asset Management(www.brevanhoward.com), Energize Ventures(www.energize.vc), Hudson Sustainable Investment Management(www.hudsoncep.com), JC2 Ventures(www.jc2ventures.com), MSD Capital(www.msdcapital.com), The Entrepreneurs' Fund(www.tefunds.com), Verizon Ventures(www.verizonventures.com)</t>
  </si>
  <si>
    <t>Greenberg Traurig(Legal Advisor), Independent Bank Group(General Business Banking), KPMG(Auditor)</t>
  </si>
  <si>
    <t>159296-95</t>
  </si>
  <si>
    <t>SPACES (virtual reality)</t>
  </si>
  <si>
    <t>Developer of virtual and mixed reality themed parks designed to ensure a safe passage into worlds beyond imagination, full of excitement and fun. The company's themed parks are based on 3-dimensional technology spaces, enabling viewers to interact and discover immersive experiences.</t>
  </si>
  <si>
    <t>Movies, Music and Entertainment*, Other Media</t>
  </si>
  <si>
    <t>mixed reality, park area, themed park development, themes park, virtual reality, vr creation</t>
  </si>
  <si>
    <t>www.spaces.com</t>
  </si>
  <si>
    <t>28563-94P</t>
  </si>
  <si>
    <t>Shiraz Akmal</t>
  </si>
  <si>
    <t>shiraz@spaces.com</t>
  </si>
  <si>
    <t>+1 (949) 800-8306</t>
  </si>
  <si>
    <t>734 Spectrum Center Drive</t>
  </si>
  <si>
    <t>The company raised $6.5 million of seed funding in a deal led by Songcheng Performance Development Company (SHE : 300144) on January 13, 2017. Match Capital, Comcast Ventures, Boost VC, COLOPL, GFR Fund, Kai Huang, The Venture Reality Fund and ChinaRock Capital Management also participated in the round. The company intends to use the funds to create new kind of virtual reality enabled destinations. Previously, the company raised $3 million of seed funding in a deal led by Comcast Ventures on March 30, 2016. Boost VC, Canyon Creek Capital, Sinovation Ventures, ChinaRock Capital Management, Boost VC, COLOPL, Kai Huang, The Venture Reality Fund and GFR Fund also participated in this round.</t>
  </si>
  <si>
    <t>Boost VC, Canyon Creek Capital, ChinaRock Capital Management, COLOPL, Comcast Ventures, GFR Fund, Kai Huang, Sinovation Ventures, Songcheng Performance Development Company, The Venture Reality Fund</t>
  </si>
  <si>
    <t>Boost VC(www.boost.vc), Canyon Creek Capital(www.canyoncreekcapital.com), ChinaRock Capital Management(www.crcm.com), COLOPL(colopl.co.jp), Comcast Ventures(www.comcastventures.com), GFR Fund(www.gfrfund.com), Sinovation Ventures(www.sinovationventures.com), Songcheng Performance Development Company(www.songcn.com), The Venture Reality Fund(www.thevrfund.com)</t>
  </si>
  <si>
    <t>98407-99</t>
  </si>
  <si>
    <t>Space Market</t>
  </si>
  <si>
    <t>Developer of an online platform designed to offer lists of idle venues. The company's platform offers information about venues that are available on rent for business needs such as corporate meetings, shareholder meetings, training courses or other events, enabling clients to choose a suitable location and demand them for their purposes.</t>
  </si>
  <si>
    <t>Media and Information Services (B2B)*, Social/Platform Software</t>
  </si>
  <si>
    <t>corporate events venue, idle venue listings, rent on demand, venue provider</t>
  </si>
  <si>
    <t>www.spacemarket.com</t>
  </si>
  <si>
    <t>143895-07P</t>
  </si>
  <si>
    <t>Daisuke Shigematsu</t>
  </si>
  <si>
    <t>shigematsu@spacemarket.co.jp</t>
  </si>
  <si>
    <t>La Tour Shinjuku 6-15-1 Nishi Shinjuku</t>
  </si>
  <si>
    <t>Shinjuku-ku 608</t>
  </si>
  <si>
    <t>160-0023</t>
  </si>
  <si>
    <t>info@spacemarket.co.jp</t>
  </si>
  <si>
    <t>The company raised JPY 400 million of series A venture funding in a deal led by OPT Ventures on August 29, 2016. Mizuho Capital partners, ORIX Corporation, Recruit Strategic Partners and SBI Investment also participated in the round. The company will use the funds to strengthen human resources for system development as well as search engine optimization and other marketing efforts and to solidify business development in addition to management capabilities for both mid and long-term perspectives.</t>
  </si>
  <si>
    <t>CyberAgent Capital, Mizuho Capital Partners, OPT Ventures, ORIX Corporation, Recruit Strategic Partners, SBI Investment</t>
  </si>
  <si>
    <t>CyberAgent Capital(www.cyberagentcapital.com), OPT Ventures(www.opt-ventures.co.jp), ORIX Corporation(www.orix.co.jp), Recruit Strategic Partners(recruitstrategicpartners.com), SBI Investment(www.sbinvestment.co.jp)</t>
  </si>
  <si>
    <t>63692-92</t>
  </si>
  <si>
    <t>Sourcery Technologies</t>
  </si>
  <si>
    <t>Sourcery</t>
  </si>
  <si>
    <t>BlueCart, Innovative Hospitality, Sarbari, CrunchTime! Information Systems, Ctuit Software, Tenzo, Compeat, NCR, Squadle, BevSpot, Revel Systems, Orca Inventory, BinWise, Toast (Restaurant Management Platform)</t>
  </si>
  <si>
    <t>Provider of a digital payments and commerce platform designed to catered to fast growing businesses, accountants and vendors. The company's platform helps restaurateurs and corporate kitchens order from vendors, keep track of their inventory, costs and pricing, enabling companies of all sizes to handle their AP and AR needs in one place.</t>
  </si>
  <si>
    <t>Business/Productivity Software, Financial Software*, Vertical Market Software</t>
  </si>
  <si>
    <t>FinTech, Restaurant Technology, TMT</t>
  </si>
  <si>
    <t>commerce platform, digital payment, digital payment platform, digital payment technology, food industry, food vendor, inventory tracking, restaurant technology</t>
  </si>
  <si>
    <t>www.getsourcery.com</t>
  </si>
  <si>
    <t>2014: 12, 2015: 17</t>
  </si>
  <si>
    <t>69104-53P</t>
  </si>
  <si>
    <t>Na'ama Moran</t>
  </si>
  <si>
    <t>na'ama@restaurantcheetah.com</t>
  </si>
  <si>
    <t>+1 (800) 571-5231</t>
  </si>
  <si>
    <t>212 Clara Street</t>
  </si>
  <si>
    <t>+1 (415) 805-6349</t>
  </si>
  <si>
    <t>The company raised $5 million of seed funding in a deal led by Marker on September 13, 2016, putting the company's pre-money valuation at $22.53 million. Palantir Technologies, Kilmahew Ventures, Steadfast Venture Capital and other undisclosed investors also participated in the round. The company intends to use the funds to expand its core digital invoice and payments processing technologies, adding accounts receivable capabilities for vendors who receive payments through the platform to build enterprise-level features designed to support large chain restaurants and retailers.</t>
  </si>
  <si>
    <t>Adam Pisoni, Alchemist Accelerator, BoxGroup, FJ Labs, FundersClub, Jeff Heitzman, Johnny Goodman, Joseph Lonsdale, Kilmahew Ventures, Marker, Morado Venture Partners, Palantir Technologies, Paul Holliman, Recruit Strategic Partners, Rubicon Venture Capital, Seth Ginns, Steadfast Venture Capital, Streamlined Ventures, Surender Punia, The California Endowment, Ullas Naik, Valley Oak Investments, Xenon Partners, Y Combinator</t>
  </si>
  <si>
    <t>Alchemist Accelerator(www.alchemistaccelerator.com), BoxGroup(www.boxgroup.com), FJ Labs(www.fjlabs.com), FundersClub(www.fundersclub.com), Kilmahew Ventures(www.kilmahew.com), Marker(www.marker-llc.com), Morado Venture Partners(www.moradoventures.com), Palantir Technologies(www.palantir.com), Recruit Strategic Partners(recruitstrategicpartners.com), Rubicon Venture Capital(www.rubicon.vc), Streamlined Ventures(www.streamlinedventures.com), The California Endowment(www.calendow.org), Valley Oak Investments(www.valleyoakinvestments.com), Xenon Partners(www.xenon.io), Y Combinator(www.ycombinator.com)</t>
  </si>
  <si>
    <t>186224-59</t>
  </si>
  <si>
    <t>Sounding Board</t>
  </si>
  <si>
    <t>Provider of real-time leadership coaching services intended to help growing companies develop their leaders through tech-enabled leadership coaching. The company's coaching services combines one to one coaching with technology including personalized development plans, providing a personalized and scalable leadership development service focused on driving positive business outcomes, enabling employees to improve their productivity at work.</t>
  </si>
  <si>
    <t>Educational and Training Services (B2C)*, Other Services (B2C Non-Financial)</t>
  </si>
  <si>
    <t>employee training service, leadership coaching, leadership coaching services</t>
  </si>
  <si>
    <t>www.soundingboardinc.com</t>
  </si>
  <si>
    <t>2018: 300</t>
  </si>
  <si>
    <t>170626-87P</t>
  </si>
  <si>
    <t>Christine Tao</t>
  </si>
  <si>
    <t>christine@soundingboardinc.com</t>
  </si>
  <si>
    <t>+1 (949) 874-9091</t>
  </si>
  <si>
    <t>Suite 318</t>
  </si>
  <si>
    <t>hello@soundingboardinc.com</t>
  </si>
  <si>
    <t>The company joined SAP.iO Foundry as part of the 2019 HR Tech cohort on January 30, 2019. Previously, the company raised $500,000 of venture funding from an undisclosed investor on January 24, 2019.</t>
  </si>
  <si>
    <t>Bloomberg Beta, Precursor Ventures, SAP.iO Foundry</t>
  </si>
  <si>
    <t>Bloomberg Beta(www.bloombergbeta.com), Precursor Ventures(www.precursorvc.com), SAP.iO Foundry(sap.io)</t>
  </si>
  <si>
    <t>51233-32</t>
  </si>
  <si>
    <t>SoundHound</t>
  </si>
  <si>
    <t>Melodis</t>
  </si>
  <si>
    <t>Developer of sound recognition and voice search technologies designed to turn sound into understanding and actionable meaning. The company's music recognition application, leverages speech-to-meaning technology, enabling humans to interact with the things around them in the same way they interact with each other.</t>
  </si>
  <si>
    <t>Artificial Intelligence &amp; Machine Learning, AudioTech, Mobile, TMT</t>
  </si>
  <si>
    <t>ai-powered virtual assistant, audio recognition, conversational intelligence technology, conversational interface, human machine interface, music identification, sound discovery, sound search, speech-to-meaning</t>
  </si>
  <si>
    <t>www.soundhound.com</t>
  </si>
  <si>
    <t>2005: 20, 2006: 20, 2007: 20, 2008: 20, 2009: 20, 2010: 20, 2014: 97, 2015: 123, 2016: 139</t>
  </si>
  <si>
    <t>38533-78P</t>
  </si>
  <si>
    <t>Keyvan Mohajer</t>
  </si>
  <si>
    <t>keyvan@soundhound.com</t>
  </si>
  <si>
    <t>5400 Betsy Ross Drive</t>
  </si>
  <si>
    <t>+1 (408) 441-1325</t>
  </si>
  <si>
    <t>The company received $100 million through a combination of Series D1 and Series D2 corporate financing from Tencent Holdings, DA Investments Company and Hyundai Motor on May 3, 2018, putting the company's pre-money valuation at $950 million. Midea Group Company, Daimler and Orange also participated in the round. The funds will be used to drive adoption and distribution of its Houndify, voice AI platform across verticals including automotive, Internet of Things, consumer products, and enterprise apps and services. The funding will accelerate global expansion, including new offices in China, France and Germany, in addition to furthering momentum in the US, Japan, and South Korea.</t>
  </si>
  <si>
    <t>Amidzad Partners, Bobby Yazdani, Cota Capital, DA Investments Company, Daimler, Felicis Ventures, Global Catalyst Partners, GVA Capital, HTC, Hyundai CRADLE, Hyundai Motor, JAIC America, Kensington Capital Partners, Kleiner Perkins, LINE, Midea Group Co., MKaNN, Naver, Nomura Holdings, NVIDIA GPU Ventures, Orange, Pear, Plug and Play Tech Center, Recruit Holdings, Samsung Catalyst, SharesPost, Signatures Capital, Sompo Japan Nipponkoa Insurance, Tencent Holdings, TransLink Capital, Walden Venture Capital, Western Technology Investment</t>
  </si>
  <si>
    <t>DNX Ventures</t>
  </si>
  <si>
    <t>Amidzad Partners(www.amidzad.com), Cota Capital(www.cotacapital.com), Daimler(www.daimler.com), Felicis Ventures(www.felicis.com), Global Catalyst Partners(www.gc-partners.com), GVA Capital(www.gva.capital), HTC(www.htc.com), Hyundai CRADLE(www.cradleinc.com), Hyundai Motor(www.hyundai.com), JAIC America(www.jaicamerica.com), Kensington Capital Partners(www.kcpl.ca), Kleiner Perkins(www.kleinerperkins.com), LINE(www.linecorp.com), Midea Group Co.(www.midea.com), Naver(www.navercorp.com), Orange(www.orange.com), Pear(www.pear.vc), Plug and Play Tech Center(www.plugandplaytechcenter.com), Recruit Holdings(www.recruit-rgf.com), Samsung Catalyst(www.samsungcatalyst.com), SharesPost(www.sharespost.com), Signatures Capital(www.signaturescapital.com), Sompo Japan Nipponkoa Insurance(www.sjnk.co.jp), Tencent Holdings(www.tencent.com), TransLink Capital(www.translinkcapital.com), Walden Venture Capital(www.waldenvc.com), Western Technology Investment(www.westerntech.com)</t>
  </si>
  <si>
    <t>Cooley(Legal Advisor), GTC Law Group(Legal Advisor)</t>
  </si>
  <si>
    <t>Cooley(Legal Advisor), GTC Law Group(Legal Advisor), Western Technology Investment(Debt Financing)</t>
  </si>
  <si>
    <t>52923-70</t>
  </si>
  <si>
    <t>SoundCloud</t>
  </si>
  <si>
    <t>Tidal, 8tracks, Liberated Syndication, Plug DJ, Deezer, Bandcamp, Rdio, Jango, Napster, Mixcloud, Shazam, Podbean, YouTube, ReverbNation, Spotify, Stitcher</t>
  </si>
  <si>
    <t>Developer of a music streaming platform designed to offer audio distribution and music sharing. The company's music streaming platform facilitates in uploading, recording, promoting and sharing originally created sounds to share privately with friends or publicly to blogs, sites and social networks, enabling artists to distribute their work as well as enabling customers to discover it.</t>
  </si>
  <si>
    <t>AudioTech, Mobile, SaaS, TMT</t>
  </si>
  <si>
    <t>audio recording, distributing music, music sharing, music streaming platform, online audio platform, promoting music, share audio file, soundtracks recording</t>
  </si>
  <si>
    <t>Debt Financed, M&amp;A, Venture Capital</t>
  </si>
  <si>
    <t>www.soundcloud.com</t>
  </si>
  <si>
    <t>2013: 224, 2014: 236, 2015: 295, 2016: 483, 2017: 400</t>
  </si>
  <si>
    <t>38956-87P</t>
  </si>
  <si>
    <t>Alexander Ljung</t>
  </si>
  <si>
    <t>Co-Founder, Chairman &amp; Managing Director</t>
  </si>
  <si>
    <t>alexander@soundcloud.com</t>
  </si>
  <si>
    <t>+49 (0)30 4672 4760 0</t>
  </si>
  <si>
    <t>Rheinsberger Straße 76/77</t>
  </si>
  <si>
    <t>contact@soundcloud.com</t>
  </si>
  <si>
    <t>The company raised $169.5 million of Series F venture funding in a deal led by The Raine Group and Temasek Holdings on August 11, 2017, putting the company's pre-money valuation at $150 million. The funds will be used to save the company from potential bankruptcy. Previously, the company received $70 million of credit line facility from Kreos Capital, Davidson Technology Growth Debt Fund and Ares Capital on March 10, 2017. The company will use the funding to build out more technology, to hire more people and to build a financially sustainable platform.</t>
  </si>
  <si>
    <t>A-Grade Investments, Atlantic Labs, Cayuga Venture Fund, Christophe Maire, DH Private Equity Partners, Eniac Ventures, German Startups Group, GGV Capital, Index Ventures (UK), IVP, Kleiner Perkins, Nihal Mehta, Spotify, Temasek Holdings, The Chernin Group, The Raine Group, Twitter Ventures, Union Square Ventures</t>
  </si>
  <si>
    <t>A-Grade Investments(www.agradeinvestments.com), Atlantic Labs(www.atlanticlabs.de), Cayuga Venture Fund(www.cayugaventures.com), DH Private Equity Partners(www.dhpep.com), Eniac Ventures(www.eniac.vc), German Startups Group(www.german-startups.com), GGV Capital(www.ggvc.com), Index Ventures (UK)(www.indexventures.com), IVP(www.ivp.com), Kleiner Perkins(www.kleinerperkins.com), Spotify(www.spotify.com), Temasek Holdings(www.temasek.com.sg), The Raine Group(www.raine.com), Twitter Ventures(www.twitterventures.com), Union Square Ventures(www.usv.com)</t>
  </si>
  <si>
    <t>Calibre One(Consulting), Daversa Partners(Consulting), Deutsche Bank(General Business Banking), Deutsche Bank(Advisor: General), EY(Auditor), JAG Shaw Baker(Legal Advisor), KPMG(Auditor), MadsenScripps(Consulting), Obsidian Agency Services(Debt Financing), Osborne Clarke(Legal Advisor), Reed Smith(Legal Advisor), Weightmans(Legal Advisor)</t>
  </si>
  <si>
    <t>Allen &amp; Company(Advisor: General), Ares Capital(Debt Financing), Armentum Partners(Advisor: General), BlackRock TCP Capital(Debt Financing), Davidson Technology Growth Debt(Debt Financing), JAG Shaw Baker(Legal Advisor), Kreos Capital(Debt Financing), Tennenbaum Capital Partners(Debt Financing), Thompson Legal Advisory Services(Legal Advisor)</t>
  </si>
  <si>
    <t>221798-44</t>
  </si>
  <si>
    <t>SoundAI</t>
  </si>
  <si>
    <t>Developer of an acoustic technology created to uphold the ideas of smarter communication. The company's acoustic technology specializes in acoustics frontier systems and artificial intelligence interaction, it focuses on acoustics, including ultrasonic recognition, directional speakers, acoustic communication, three-dimensional sound, wireless audio and conference systems to support artificial intelligence technology application. Its technology can be applied in chips, modules, OS and cloud services.</t>
  </si>
  <si>
    <t>Application Software, Electronics (B2C), Other Hardware*</t>
  </si>
  <si>
    <t>Artificial Intelligence &amp; Machine Learning, AudioTech, TMT</t>
  </si>
  <si>
    <t>acoustic frontier technology, acoustic technology, speech recognition system, voice interactive technology</t>
  </si>
  <si>
    <t>www.soundai.com</t>
  </si>
  <si>
    <t>168949-63P</t>
  </si>
  <si>
    <t>Chen Xiaoliang</t>
  </si>
  <si>
    <t>chen.xiaoliang@duiba.cn</t>
  </si>
  <si>
    <t>+86 (0)571 2825 8680</t>
  </si>
  <si>
    <t>Room 306, Block A, International Innovation Building</t>
  </si>
  <si>
    <t>Zhongguancun, No. 67 North Fourth Ring Road, Haidian District</t>
  </si>
  <si>
    <t>bd@soundai.com</t>
  </si>
  <si>
    <t>The company raised $15 million through a combination of debt and equity in September 2017. The equity portion of Series A funding was from Baidu, Hongtai Capital Holdings, Frees Fund and Linekong Interactive Group. And an undisclosed amount of debt portion was provided by Bank of Beijing.</t>
  </si>
  <si>
    <t>Addor Capital, Baidu Ventures, Frees Fund, Hongtai Capital Holdings, Linekong Interactive Group Company, Runzhe Capital</t>
  </si>
  <si>
    <t>Addor Capital(www.addorcapital.com), Baidu Ventures(www.bv.ai), Frees Fund(www.freesvc.com), Hongtai Capital Holdings(www.apluscap.com), Linekong Interactive Group Company(www.linekong.com), Runzhe Capital(www.runzhe.com)</t>
  </si>
  <si>
    <t>Bank of Beijing Co.(Debt Financing)</t>
  </si>
  <si>
    <t>53483-50</t>
  </si>
  <si>
    <t>Sotera Wireless</t>
  </si>
  <si>
    <t>Triage Data Networks, Triage Wireless</t>
  </si>
  <si>
    <t>Sotera</t>
  </si>
  <si>
    <t>VitalConnect, EarlySense, Stasis Labs, Multisensor Diagnostics, Intelesens</t>
  </si>
  <si>
    <t>Developer of vital signs monitoring technologies designed to detect early signs of patient deterioration in any acute care setting. The company's vital signs monitoring technologies helps hospital to improve patient safety across the enterprise with minimum impact to the alarm burden, clinical workflow or technical support, enabling nurses to detect patient deterioration on an early note, to avoid further complications.</t>
  </si>
  <si>
    <t>Monitoring Equipment*, Other Healthcare Services</t>
  </si>
  <si>
    <t>blood pressure monitoring, health care technology, monitoring technology, patient monitoring, wireless technology</t>
  </si>
  <si>
    <t>www.soterawireless.com</t>
  </si>
  <si>
    <t>2014: 69, 2015: 89</t>
  </si>
  <si>
    <t>37197-28P</t>
  </si>
  <si>
    <t>Mark Spring</t>
  </si>
  <si>
    <t>mspring@genoptix.com</t>
  </si>
  <si>
    <t>+1 (760) 268-6200</t>
  </si>
  <si>
    <t>10020 Huennekens Street</t>
  </si>
  <si>
    <t>+1 (858) 427-4620</t>
  </si>
  <si>
    <t>+1 (858) 999-2487</t>
  </si>
  <si>
    <t>info@soterawireless.com</t>
  </si>
  <si>
    <t>The company raised $31.83 million of venture funding from undisclosed investors on July 17, 2017. The funds will help the company to leave bankruptcy. Previously, the company filed for Chapter 11 bankruptcy on October 7, 2016.</t>
  </si>
  <si>
    <t>3i Group, Apposite Capital, Cerner, Delphi Ventures, EDBI, Foresite Capital Management, Foxconn Technology Group, Intel Capital, Intermountain Healthcare, Maxim Ventures, Oxford Finance, Qualcomm Ventures, Revelation Partners, Safeguard Scientifics, Sanderling Ventures, Silicon Valley Bank, Sutter Health Master Trust, West Health Investment Fund</t>
  </si>
  <si>
    <t>3i Group(www.3i.com), Apposite Capital(www.appositecapital.com), Delphi Ventures(www.delphiventures.com), EDBI(www.edbi.com), Foresite Capital Management(www.foresitecapital.com), Foxconn Technology Group(www.foxconn.com/index_En.html), Intel Capital(www.intelcapital.com), Intermountain Healthcare(intermountainhealthcare.org), Maxim Ventures(www.maximventures.com), Oxford Finance(www.oxfordfinance.com), Qualcomm Ventures(www.qualcommventures.com), Revelation Partners(www.revelation-partners.com), Safeguard Scientifics(www.safeguard.com), Sanderling Ventures(www.sanderling.com), Silicon Valley Bank(www.svb.com)</t>
  </si>
  <si>
    <t>Cooley(Legal Advisor), Strategic Intelligence(Consulting)</t>
  </si>
  <si>
    <t>228905-92</t>
  </si>
  <si>
    <t>Soozys</t>
  </si>
  <si>
    <t>Owner and operator of a food and beverage company intended to offer tasty muffins with the cleanest ingredients. The company's muffins are loved and enjoyed by everyone and are made without gluten, GMOs, grains, dairy, peanuts and anything artificial or processed and are available in different flavors including double chocolate, wild blueberry and sweet potato, enabling customers to buy rich and indulgent taste muffins at affordable rates.</t>
  </si>
  <si>
    <t>muffins producer, muffins shops, online food stores, online muffins stores, online snacks</t>
  </si>
  <si>
    <t>www.soozysgrainfree.com</t>
  </si>
  <si>
    <t>185990-50P</t>
  </si>
  <si>
    <t>Susan Chen</t>
  </si>
  <si>
    <t>susan@soozys.com</t>
  </si>
  <si>
    <t>+1 (646) 708-0454</t>
  </si>
  <si>
    <t>Post Office Box 20077</t>
  </si>
  <si>
    <t>10001</t>
  </si>
  <si>
    <t>hello@soozys.com</t>
  </si>
  <si>
    <t>The company raised $2.5 million through a combination of Seed and Seed-1 funding led by BIGR Ventures and AccelFoods on May 21, 2018, putting the company's pre-money valuation at $2.6 million. The funds will be used to continue to expand operations and its business reach.</t>
  </si>
  <si>
    <t>AccelFoods, Boulder Investment Group Reprise, FedEx</t>
  </si>
  <si>
    <t>AccelFoods(www.accelfoods.com), Boulder Investment Group Reprise(www.bigrventures.com), FedEx(www.fedex.com)</t>
  </si>
  <si>
    <t>Olshan Frome Wolosky(Legal Advisor)</t>
  </si>
  <si>
    <t>89712-10</t>
  </si>
  <si>
    <t>Sonitus</t>
  </si>
  <si>
    <t>Provider of an intra-oral audio technology intended to speak clearly in extreme noise. The company's intra-oral audio technology is single or dual-comms that integrates with tactical radios, phones, ICS and other mobile communication platforms, enabling users to stay connected in the harshest conditions, including extreme noise, wind and under water.</t>
  </si>
  <si>
    <t>Electronics (B2C), Other Communications and Networking, Wireless Communications Equipment*</t>
  </si>
  <si>
    <t>acoustic, aerodynamic, aerodynamic product, intra-oral audio technology</t>
  </si>
  <si>
    <t>www.sonitustechnologies.com</t>
  </si>
  <si>
    <t>66082-87P</t>
  </si>
  <si>
    <t>Peter Hadrovic</t>
  </si>
  <si>
    <t>+1 (831) 539-3323</t>
  </si>
  <si>
    <t>1720 Amphlett Boulevard</t>
  </si>
  <si>
    <t>94402</t>
  </si>
  <si>
    <t>+1 (650) 562-6211</t>
  </si>
  <si>
    <t>info@sonitustechnologies.com</t>
  </si>
  <si>
    <t>The company closed on $421,176 of convertible debt financing from undisclosed investors in March, 2018. Earlier, the company raised $11.77 million of Series C venture funding from Panasonic R&amp;D Company of America and KCK on January 20, 2017, putting the company's pre-money valuation at $14.39 million. The company is being actively tracked by PitchBook.</t>
  </si>
  <si>
    <t>In-Q-Tel, KCK Group, Panasonic Ventures, Tsuha Capital</t>
  </si>
  <si>
    <t>In-Q-Tel(www.iqt.org), Panasonic Ventures(www.panasonicventures.com), Tsuha Capital(www.tsuhacapital.com)</t>
  </si>
  <si>
    <t>DLA Piper(Legal Advisor), Orrick, Herrington &amp; Sutcliffe(Legal Advisor)</t>
  </si>
  <si>
    <t>50936-50</t>
  </si>
  <si>
    <t>Sonics</t>
  </si>
  <si>
    <t>Active-Semi, Micron Technology Italia, Silego Technology, Faraday Semi</t>
  </si>
  <si>
    <t>Developer of network-on-chip and energy processing units designed to offer heterogeneous, multi-core SoC designs. The company's network-on-chip and energy processing units includes security, power and memory subsystems which offers high performance, low power and flexibility needed for devices of all sizes connected to the cloud, enabling businesses to save up to 90% of chip power.</t>
  </si>
  <si>
    <t>General Purpose Semiconductors*, Other Information Technology</t>
  </si>
  <si>
    <t>chips communication, energy processing unit, high performance, memory controllers</t>
  </si>
  <si>
    <t>www.sonicsinc.com</t>
  </si>
  <si>
    <t>2010: 89, 2011: 93, 2012: 97, 2013: 95, 2014: 87, 2015: 69, 2016: 81</t>
  </si>
  <si>
    <t>46262-08P</t>
  </si>
  <si>
    <t>Martin Kovacich</t>
  </si>
  <si>
    <t>mkovacich@sonicsinc.com</t>
  </si>
  <si>
    <t>+1 (408) 457-2800</t>
  </si>
  <si>
    <t>2570 North First Street</t>
  </si>
  <si>
    <t>info@sonicsinc.com</t>
  </si>
  <si>
    <t>The company filed its initial public offering on the NASDAQ stock exchange under the ticker symbol of SNCS. Subsequently the offering was withdrawn on June 23, 2008. Previously, the company raised $11.32 million of Series D venture funding from Toshiba, Newlight Management and Samsung Venture Investment on January 1, 2006, putting the company's pre-money valuation at $57.79 million. Phoenix Partners, Partners for Growth and other undisclosed investors also participated in this round.</t>
  </si>
  <si>
    <t>East Gate Capital Management, Easton Capital Investment Group, Globespan Capital Partners, H&amp;Q Asia Pacific, Newlight Management, Omninet Capital, Pacesetter Capital, Partners for Growth, Phoenix Partners, Samsung Venture Investment, Smart Technology Ventures, Spinnaker Ventures, Toshiba</t>
  </si>
  <si>
    <t>Partner Ventures</t>
  </si>
  <si>
    <t>Easton Capital Investment Group(www.eastoncapital.com), Globespan Capital Partners(www.globespancapital.com), H&amp;Q Asia Pacific(www.hqap.com), Newlight Management(www.nlventures.com), Omninet Capital(www.omninet.com), Partners for Growth(www.pfgrowth.com), Phoenix Partners(www.phoenixvc.com), Samsung Venture Investment(www.samsungventures.com), Spinnaker Ventures(www.spinnakerventures.com), Toshiba(www.toshiba.co.jp)</t>
  </si>
  <si>
    <t>Partner Ventures(www.partnervc.com)</t>
  </si>
  <si>
    <t>Partners for Growth(Debt Financing)</t>
  </si>
  <si>
    <t>53758-54</t>
  </si>
  <si>
    <t>Solidia Technologies</t>
  </si>
  <si>
    <t>CCS Materials</t>
  </si>
  <si>
    <t>CarbonCure, Carbicrete</t>
  </si>
  <si>
    <t>Developer of cement and concrete technology processes intended to develop sustainable technologies. The company's cement and concrete technology processes are based on low temperature solidification and are built by transforming CO2, into a valuable commodity, which enables the production of building and construction materials, such as concrete and stone at low temperatures and pressures, providing enterprises with a profitable process.</t>
  </si>
  <si>
    <t>Building Products</t>
  </si>
  <si>
    <t>Building Products*, Environmental Services (B2B)</t>
  </si>
  <si>
    <t>carbon footprint, carbon sequestration, construction material, interior application</t>
  </si>
  <si>
    <t>www.solidiatech.com</t>
  </si>
  <si>
    <t>2012: 28, 2014: 34, 2015: 44, 2016: 51</t>
  </si>
  <si>
    <t>40078-63P</t>
  </si>
  <si>
    <t>Thomas Schuler</t>
  </si>
  <si>
    <t>tschuler@solidiatech.com</t>
  </si>
  <si>
    <t>+1 (908) 315-5901</t>
  </si>
  <si>
    <t>Piscataway Township, NJ</t>
  </si>
  <si>
    <t>11 Colonial Drive</t>
  </si>
  <si>
    <t>Piscataway Township</t>
  </si>
  <si>
    <t>08854</t>
  </si>
  <si>
    <t>+1 (732) 981-0273</t>
  </si>
  <si>
    <t>info@solidiatech.com</t>
  </si>
  <si>
    <t>The company raised an undisclosed amount of venture funding in a deal led by Oil and Gas Climate Initiative on July 31, 2018. BASF Venture Capital and Kleiner Perkins also participated in the round.</t>
  </si>
  <si>
    <t>Air Liquide Venture Capital, BASF Venture Capital, BP Ventures, Bright Capital, Emissions Reduction Alberta, Individual Investor, Kleiner Perkins, Lafarge, Oil and Gas Climate Initiative, Total Energy Ventures</t>
  </si>
  <si>
    <t>BASF Venture Capital(www.basf-vc.de), Bright Capital(www.bright-capital.com), Emissions Reduction Alberta(www.eralberta.ca), Kleiner Perkins(www.kleinerperkins.com), Lafarge(www.lafarge.com), Oil and Gas Climate Initiative(www.oilandgasclimateinitiative.com)</t>
  </si>
  <si>
    <t>107282-89</t>
  </si>
  <si>
    <t>SolidEnergy</t>
  </si>
  <si>
    <t>Hyperdrive Innovation, 24M, XALT Energy, K2 Energy Solutions, Vionx Energy, Leyden Energy, Imprint Energy, Boston Power, Seeo, Amprius, Energy Power Systems, UniEnergy Technologies, Solid Power, EnerDel, Eos Energy Storage, BeVault, Sion Power, NanoGraf Technologies, Corvus Energy, Lithiumstart, Aquion Energy, Ionic Materials</t>
  </si>
  <si>
    <t>Developer and producer of an advanced semi-solid Li-Metal technology designed to revolutionize energy storage. The company's technology has its main focus on materials like anodes and electrolytes as well as the manufacturing processes that are compatible with existing Li-ion cell manufacturing processes thus achieving scalability by using existing infrastructure and eliminating the need for costly infrastructure investments, enabling Li-ion cell manufacturers to eliminate the need for costly infrastructure investment.</t>
  </si>
  <si>
    <t>Alternative Energy Equipment, Energy Storage*</t>
  </si>
  <si>
    <t>battery technology, lithium battery, lithium metal battery, portable energy storage, solid electrolyte technology</t>
  </si>
  <si>
    <t>www.solidenergysystems.com</t>
  </si>
  <si>
    <t>2015: 12, 2017: 40</t>
  </si>
  <si>
    <t>91229-14P</t>
  </si>
  <si>
    <t>Qichao Hu</t>
  </si>
  <si>
    <t>qichao@solidenergysystems.com</t>
  </si>
  <si>
    <t>+1 (339) 298-8850</t>
  </si>
  <si>
    <t>Woburn, MA</t>
  </si>
  <si>
    <t>35 Cabot Road</t>
  </si>
  <si>
    <t>Woburn</t>
  </si>
  <si>
    <t>01801</t>
  </si>
  <si>
    <t>+1 (646) 267-7359</t>
  </si>
  <si>
    <t>info@solidenergysystems.com</t>
  </si>
  <si>
    <t>The company raised $28.88 million of venture funding from undisclosed investors on November 20, 2018. Prior to that, the company raised $35.5 million of Series C venture funding from Applied Ventures, Vertex Ventures China and other undisclosed investors on December 11, 2017, putting the company's pre-money valuation at $75 million.</t>
  </si>
  <si>
    <t>Anderson Investments, Applied Ventures, GM Ventures, Massachusetts Clean Energy Center, North Shore InnoVentures, SAIC Capital, Temasek Holdings, Vertex Ventures China</t>
  </si>
  <si>
    <t>GM Ventures(www.gmventures.com), Massachusetts Clean Energy Center(www.masscec.com), North Shore InnoVentures(www.nsiv.org), SAIC Capital(www.saicvc.com), Temasek Holdings(www.temasek.com.sg), Vertex Ventures China(www.vertexventures.cn)</t>
  </si>
  <si>
    <t>Foley Hoag(Legal Advisor)</t>
  </si>
  <si>
    <t>108817-93</t>
  </si>
  <si>
    <t>Solid Power</t>
  </si>
  <si>
    <t>K2 Energy Solutions, Seeo, NOHMs Technologies, 24M, Sion Power, Hyperdrive Innovation, ZPower, SolidEnergy, Envia Systems, Enevate, Infinite Power Solutions, OXIS Energy, Boston Power</t>
  </si>
  <si>
    <t>Developer of next-generation rechargeable batteries designed to offer safe and reliable solid-state batteries. The company's solid-state batteries are made using an all-solid composite cathode that is based upon an iron-sulfur chemistry to make it energy dense, providing battery-powered device users with increased safety and longer run time per charge at a lower cost.</t>
  </si>
  <si>
    <t>Other Equipment</t>
  </si>
  <si>
    <t>Energy Storage, Other Equipment*</t>
  </si>
  <si>
    <t>battery, rechargeable battery, solid-state battery</t>
  </si>
  <si>
    <t>www.solidpowerbattery.com</t>
  </si>
  <si>
    <t>132424-21P</t>
  </si>
  <si>
    <t>Douglas Campbell</t>
  </si>
  <si>
    <t>doug.campbell@solidpowerbattery.com</t>
  </si>
  <si>
    <t>+1 (303) 717-5174</t>
  </si>
  <si>
    <t>486 South Pierce Avenue</t>
  </si>
  <si>
    <t>Unit E</t>
  </si>
  <si>
    <t>info@solidpowerbattery.com</t>
  </si>
  <si>
    <t>The company raised $28 million of Series A venture funding from A123 Systems, Hyundai CRADLE and Samsung Venture Investment on January 6, 2018. Ford, Sanoh Industrial Company, Solvay Ventures and Volta Energy Technologies also participated in the round. The company intends to use the funds to scale-up production via a multi-MWh roll-to-roll facility, which will be fully constructed and installed by the end of 2018 and fully operational in 2019.</t>
  </si>
  <si>
    <t>A123 Systems, Colorado Office of Economic Development &amp; International Trade, Ford, Hyundai CRADLE, Innosphere, Missile Defense Agency/Air Force, National Aeronautics and Space Administration, National Science Foundation, Samsung Venture Investment, Sanoh Industrial Company, Solvay Ventures, U.S. Department of Energy, United States Army, Volta Energy Technologies</t>
  </si>
  <si>
    <t>A123 Systems(www.a123systems.com), Colorado Office of Economic Development &amp; International Trade(www.choosecolorado.com), Ford(www.ford.com), Hyundai CRADLE(www.cradleinc.com), Innosphere(www.innosphere.org), National Aeronautics and Space Administration(www.nasa.gov), National Science Foundation(seedfund.nsf.gov), Samsung Venture Investment(www.samsungventures.com), Sanoh Industrial Company(www.sanoh.com), U.S. Department of Energy(www.energy.gov), United States Army(www.army.mil), Volta Energy Technologies(www.plusvolta.com)</t>
  </si>
  <si>
    <t>Intralink Group(Consulting)</t>
  </si>
  <si>
    <t>57882-43</t>
  </si>
  <si>
    <t>SolarNow</t>
  </si>
  <si>
    <t>Pawame, Lumos, M-Kopa, ZOLA Electric</t>
  </si>
  <si>
    <t>Provider of solar home systems designed to meet the demand of solar power services. The company's systems address the huge unmet market need for energy and offer affordable and flexible credit with every solar service, enabling customer to get access to affordable solar services.</t>
  </si>
  <si>
    <t>Alternative Energy Equipment*, Consumer Finance, Electric Utilities</t>
  </si>
  <si>
    <t>CleanTech, Impact Investing, TMT</t>
  </si>
  <si>
    <t>dc appliance, impact investing vertical, solar homes system, solar services, solar technology</t>
  </si>
  <si>
    <t>www.solarnow.eu</t>
  </si>
  <si>
    <t>2013: 25, 2014: 25, 2016: 51, 2017: 470</t>
  </si>
  <si>
    <t>51519-97P</t>
  </si>
  <si>
    <t>Willem Nolens</t>
  </si>
  <si>
    <t>Managing Director, Founder &amp; Chief Executive Officer</t>
  </si>
  <si>
    <t>willem@solarnow.eu</t>
  </si>
  <si>
    <t>+256 (0)80 0270070</t>
  </si>
  <si>
    <t>Kampala, Uganda</t>
  </si>
  <si>
    <t>P.O. Box 10776</t>
  </si>
  <si>
    <t>Kampala</t>
  </si>
  <si>
    <t>Uganda</t>
  </si>
  <si>
    <t>uganda@solarnow.eu</t>
  </si>
  <si>
    <t>The company raised $9 million of Series B venture funding from NovaStar Ventures and Shell Technology Ventures on December 14, 2017. The funding will be used to strengthen the market share in existing markets, and continue the organic growth path into new markets in East and West Africa. Previously, the company received $6 million of debt financing in the form of a syndicated off-grid solar financing facility from SunFunder, Oikocredit Ecumenical Development Cooperative Society and responsAbility Investments on October 18, 2017. Proceeds from the financing allowed the company to deliver solar home systems to a wide range of off-grid peoples in Uganda by offering credit to end users.</t>
  </si>
  <si>
    <t>Acumen Fund, Africa Enterprise Challenge Fund, Invested Development, NovaStar Ventures, Shell Ventures, SpringHill Equity Partners, UK Aid</t>
  </si>
  <si>
    <t>Acumen Fund(www.acumen.org), Africa Enterprise Challenge Fund(www.aecfafrica.org), Invested Development(www.investeddevelopment.com), NovaStar Ventures(www.novastarventures.com), SpringHill Equity Partners(www.springhillequity.com), UK Aid(www.ukaiddirect.org)</t>
  </si>
  <si>
    <t>Africa Enterprise Challenge Fund(Advisor: General), AlphaMundi(Debt Financing), GVEP International(Advisor: General), Lendahand Mesofinance(Lead Manager or Arranger), Oikocredit Ecumenical Development Cooperative Society(Debt Financing), responsAbility Investments(Debt Financing), SunFunder(Debt Financing)</t>
  </si>
  <si>
    <t>161554-69</t>
  </si>
  <si>
    <t>SolarisBank</t>
  </si>
  <si>
    <t>Solaris</t>
  </si>
  <si>
    <t>Mambu, Moven, WeInvest, Spotcap, Atom Bank, Deposit Solutions, Tide (Fintech), Personal Capital, Albo, N26, figo, Starling Bank, Savedo, Bitcoin Project, Money Dashboard</t>
  </si>
  <si>
    <t>Provider of an API-based Banking-as-a-Platform (BaaP) designed to integrate banking services for emerging digital-first companies. The company's API-based Banking-as-a-Platform (BaaP) provide an easy-to-integrate customizable platform enabling digital companies to create, innovate in finance, banking tech and regulatory air cover to their financial needs.</t>
  </si>
  <si>
    <t>Application Software, Financial Software, Other Financial Services*</t>
  </si>
  <si>
    <t>banking platform, banking-as-a-platform, digital banking platform, online banking service, technological banking platform</t>
  </si>
  <si>
    <t>www.solarisbank.com</t>
  </si>
  <si>
    <t>2016: 30, 2017: 100, 2018: 80</t>
  </si>
  <si>
    <t>87181-75P</t>
  </si>
  <si>
    <t>Peter Grosskopf</t>
  </si>
  <si>
    <t>peter@solarisbank.de</t>
  </si>
  <si>
    <t>+49 (0)30 2325 6789 00</t>
  </si>
  <si>
    <t>Anna-Louisa-Karsch Straße 2</t>
  </si>
  <si>
    <t>+49 (0)30 2325 6789 99</t>
  </si>
  <si>
    <t>info@solarisbank.de</t>
  </si>
  <si>
    <t>The company raised EUR 56.6 million of Series B venture funding from BBVA, Visa Ventures and Lakestar on March 8, 2018, putting the pre-money valuation at an estimated EUR 271 million. Digital Impact Fund, Arvato Financial Solutions and SBI Group also participated. In addition to this investment round, BBVA is also acquiring a stake in the company from Unicredit's German unit. The funds will be used to support the company's path towards further growth, continued development of its digital platform and product portfolio and further geographic expansion. Previously, the company raised $28 million of Series A venture funding in a deal led by Arvato and SBI Holdings on March 14, 2017, putting the pre-money valuation at an estimated $85.5 million. FinLeap, HitFox Group, Hegus, UniCredit and yabeo Capital also participated in the round. The company intends to use the funds to further grow their transaction and loan businesses.</t>
  </si>
  <si>
    <t>ABN AMRO Bank, Arvato, Banco Bilbao Vizcaya Argentaria, FinLeap, Hegus, IONIQ, Lakestar, Maria Pennanen, SBI Holdings, UniCredit, Visa Ventures, Yabeo Capital</t>
  </si>
  <si>
    <t>ABN AMRO Bank(www.abnamro.com), Arvato(www.arvato.com), Banco Bilbao Vizcaya Argentaria(www.bbva.com), FinLeap(www.finleap.com), IONIQ(ioniq.com), Lakestar(www.lakestar.com), SBI Holdings(www.sbigroup.co.jp), UniCredit(www.unicreditgroup.eu), Yabeo Capital(www.yabeo.de)</t>
  </si>
  <si>
    <t>P+P Pöllath + Partners(Legal Advisor)</t>
  </si>
  <si>
    <t>42902-56</t>
  </si>
  <si>
    <t>Solarflare</t>
  </si>
  <si>
    <t>Brocade Communications Systems, Perle Systems, Echelon (Business Productivity Software), Lantiq Deutschland, B+B Smartworx, Netronome, Metamako, Bay Microsystems, Mellanox Technologies, WSO2</t>
  </si>
  <si>
    <t>Developer of a network interface designed to offer server networking software and hardware services. The company's network interface develops server adapter products and acceleration middleware for applications including high frequency trading, high performance computing (HPC), cloud computing, storage and virtualized data centers, enabling users with the rapid adoption of 10 Gigabits for data center and enterprise networks.</t>
  </si>
  <si>
    <t>Computers, Parts and Peripherals, Connectivity Products*</t>
  </si>
  <si>
    <t>ethernet network, network interface, software data center, virtualized data, virtualized data center</t>
  </si>
  <si>
    <t>www.solarflare.com</t>
  </si>
  <si>
    <t>2009: 160, 2010: 178, 2011: 155, 2012: 99, 2013: 96, 2014: 121, 2015: 125</t>
  </si>
  <si>
    <t>39545-29P</t>
  </si>
  <si>
    <t>Mary Jane Abalos</t>
  </si>
  <si>
    <t>jane.a@solarflare.com</t>
  </si>
  <si>
    <t>+1 (949) 581-6830</t>
  </si>
  <si>
    <t>7505 Irvine Center Drive</t>
  </si>
  <si>
    <t>+1 (949) 727-4283</t>
  </si>
  <si>
    <t>The company reached a definitive agreement to be acquired by Xilinx (NAS: XLNX) for an undisclosed amount on April 24, 2019. Previously, The company raised $16 million of venture funding in a deal led by Oak Investment Partners on October 9, 2018. Xilinx and DRW Venture Capital also participated in the round. The company will use the additional capital to expand beyond its current market by developing products targeting new markets.</t>
  </si>
  <si>
    <t>Acacia Capital Partners, Accel, Amadeus Capital Partners, Anthem Venture Partners, DRW Venture Capital, Eastward Capital Partners, Foundation Capital, Hercules Capital, Intel Capital, Miramar Ventures, Oak Investment Partners, Sequoia Capital, Windward Ventures, Xilinx</t>
  </si>
  <si>
    <t>Marvell International</t>
  </si>
  <si>
    <t>Acacia Capital Partners(www.acaciacp.com), Accel(www.accel.com), Amadeus Capital Partners(www.amadeuscapital.com), Anthem Venture Partners(www.anthemvp.com), DRW Venture Capital(www.drwvc.com), Eastward Capital Partners(www.eastwardcp.com), Foundation Capital(www.foundationcapital.com), Hercules Capital(www.htgc.com), Intel Capital(www.intelcapital.com), Miramar Ventures(www.miramarvp.com), Oak Investment Partners(www.oakinv.com), Sequoia Capital(www.sequoiacap.com), Windward Ventures(www.windwardventures.com), Xilinx(www.xilinx.com)</t>
  </si>
  <si>
    <t>Marvell International(www.marvell.com)</t>
  </si>
  <si>
    <t>Hercules Capital(Debt Financing), Morrison &amp; Foerster(Legal Advisor)</t>
  </si>
  <si>
    <t>54574-30</t>
  </si>
  <si>
    <t>Solar Mosaic</t>
  </si>
  <si>
    <t>Mosaic</t>
  </si>
  <si>
    <t>Nithio, Spruce Finance</t>
  </si>
  <si>
    <t>Provider of residential solar lending platform intended to provide crowdfunded loans for residential solar projects. The company's residential solar lending platform connects investors with solar projects in order to open up clean energy investing, enabling clients to profit from the benefits of clean energy by owning their own solar panels.</t>
  </si>
  <si>
    <t>Consumer Finance</t>
  </si>
  <si>
    <t>Consumer Finance*, Environmental Services (B2B), Financial Software</t>
  </si>
  <si>
    <t>FinTech, Industrials, TMT</t>
  </si>
  <si>
    <t>crowdfunding, peer-to-peer funding, solar finance, solar finance crowdsourcing, solar lending platform</t>
  </si>
  <si>
    <t>www.joinmosaic.com</t>
  </si>
  <si>
    <t>2015: 55, 2016: 59, 2017: 150</t>
  </si>
  <si>
    <t>150643-90P</t>
  </si>
  <si>
    <t>Steve Controulis</t>
  </si>
  <si>
    <t>steve.controulis@joinmosaic.com</t>
  </si>
  <si>
    <t>+1 (510) 746-8602</t>
  </si>
  <si>
    <t>300 Lakeside Drive</t>
  </si>
  <si>
    <t>24th Floor</t>
  </si>
  <si>
    <t>The company raised $65 million of Series C1 venture funding from undisclosed investors in September 2017, putting the company's pre-money valuation at $325 million.</t>
  </si>
  <si>
    <t>Ben Tarbell, Core Innovation Capital, Donald Hutchison, Energy Impact Partners, J.D. Fagan, Jesse Rasch, Lisa Gansky, Matt Henderson, MD Pham, Michael Hennessey, Obvious Ventures, Pi Investments, Powerhouse (Incubator &amp; Accelerator), Regenerative Investment, Serious Change, Spring Ventures (London), Verge Accelerate, Village Capital, Warburg Pincus, Yun-Fang Juan</t>
  </si>
  <si>
    <t>Core Innovation Capital(www.corevc.com), Energy Impact Partners(www.energyimpactpartners.com), Lisa Gansky(www.instigating.co/lisa-gansky), Obvious Ventures(www.obvious.com), Pi Investments(www.pi-investments.com), Powerhouse (Incubator &amp; Accelerator)(www.powerhouse.fund), Regenerative Investment(www.regenerativeinvestment.com), Serious Change(www.seriouschange.org.uk), Spring Ventures (London)(www.springventures.co.uk), Village Capital(www.vilcap.com), Warburg Pincus(www.warburgpincus.com)</t>
  </si>
  <si>
    <t>Calibre One(Consulting), Chatham Financial(Consulting), DLA Piper(Legal Advisor)</t>
  </si>
  <si>
    <t>Deutsche Bank(Lead Manager or Arranger), DLA Piper(Legal Advisor), DZ Bank(Debt Financing), Guggenheim Partners(Lead Manager or Arranger), NY Green Bank(Debt Financing), Reitler Kailas &amp; Rosenblatt(Legal Advisor)</t>
  </si>
  <si>
    <t>52897-69</t>
  </si>
  <si>
    <t>Software (Software Development Applications)</t>
  </si>
  <si>
    <t>Provider of an online platform intended to automatically track the programming activity in real-time. The company's platform optimizes, updates and manage windows software, enabling developers to debug a software easily.</t>
  </si>
  <si>
    <t>Business/Productivity Software, Software Development Applications*</t>
  </si>
  <si>
    <t>cloud computing system, programming activity, software coding tools, software management, software optimization</t>
  </si>
  <si>
    <t>www.software.com</t>
  </si>
  <si>
    <t>cody@software.com</t>
  </si>
  <si>
    <t>The company raised $7 million of venture funding in a deal led by 8VC and Next47 on April 17, 2019. Other undisclosed investors also participated in the round. The funds will be used to continue to expand its operations.</t>
  </si>
  <si>
    <t>8VC, Great Elm Capital, Next47, Startive Ventures, WashingtonVC</t>
  </si>
  <si>
    <t>ff Venture Capital</t>
  </si>
  <si>
    <t>8VC(www.8vc.com), Great Elm Capital(www.greatelmcap.com), Next47(Next47.com), Startive Ventures(www.startive.ventures)</t>
  </si>
  <si>
    <t>ff Venture Capital(www.ffvc.com)</t>
  </si>
  <si>
    <t>103146-94</t>
  </si>
  <si>
    <t>Soft Robotics</t>
  </si>
  <si>
    <t>6 River Systems, Rethink Robotics, Perception Robotics, Invia Robotics, Humatics, Clearpath Robotics, iRobot, Geek+, Skycatch, Savioke, Plus One Robotics, RightHand Robotics, Kindred, Osaro, SynTouch, Covariant.ai, Embodied Labs</t>
  </si>
  <si>
    <t>Developer of robotic end-of-arm tools designed to unlock robotic automation for large, meaningful markets and labor starved industries such as food and beverage, advanced manufacturing and e-commerce. The company designs and builds soft robotic automation systems that can grasp and manipulate items of varying size, shape and weight, providing businesses corporate clients and industrial players witch access to innovative robotics technology that empowers them to increase business productivity and optimize business efficiency.</t>
  </si>
  <si>
    <t>Business/Productivity Software, Electrical Equipment*, Electronic Equipment and Instruments</t>
  </si>
  <si>
    <t>Advanced Manufacturing, Artificial Intelligence &amp; Machine Learning, Industrials, Robotics and Drones, TMT</t>
  </si>
  <si>
    <t>primary packaging components, primary packaging product, primary packaging services, robotics adaptability, robotics manipulation, soft robotics technology</t>
  </si>
  <si>
    <t>www.softroboticsinc.com</t>
  </si>
  <si>
    <t>2016: 8, 2017: 24, 2018: 45</t>
  </si>
  <si>
    <t>123121-63P</t>
  </si>
  <si>
    <t>Carl Vause</t>
  </si>
  <si>
    <t>cvause@softroboticsinc.com</t>
  </si>
  <si>
    <t>+1 (617) 391-0612</t>
  </si>
  <si>
    <t>Bedford, MA</t>
  </si>
  <si>
    <t>32 Crosby Drive</t>
  </si>
  <si>
    <t>Suite 101</t>
  </si>
  <si>
    <t>Bedford</t>
  </si>
  <si>
    <t>01730</t>
  </si>
  <si>
    <t>information@softroboticsinc.com</t>
  </si>
  <si>
    <t>The company raised an undisclosed amount of venture funding from Yamaha Motor Ventures &amp; Laboratory Silicon Valley on April 1, 2019. Previously, the company raised $20.24 million of Series B venture funding in a deal led by Hyperplane Venture Capital on May 18, 2018. ABB Technology Ventures, Honeywell Ventures, Tekfen Ventures, Yamaha Motor, Haiyin Venture Partners, Scale Venture Partners, Calibrate Ventures, Material Impact Fund, Taylor Ventures, and other undisclosed investors also participated in the round. The funds will be used to accelerate commercial penetration plans and new product roadmap.</t>
  </si>
  <si>
    <t>ABB Technology Ventures, Calibrate Ventures, Haiyin Venture Partners, Honeywell Ventures, Hyperplane Venture Capital, In-Q-Tel, Material Impact Fund, National Science Foundation, Scale Venture Partners, Taylor Ventures, Tekfen Ventures, United States Department of Defense, Yamaha Motor, Yamaha Motor Ventures &amp; Laboratory Silicon Valley</t>
  </si>
  <si>
    <t>Calibrate Ventures(www.calibratevc.com), Haiyin Venture Partners(www.haiyinfund.com), Hyperplane Venture Capital(www.hyperplane.vc), In-Q-Tel(www.iqt.org), Material Impact Fund(www.materialimpact.com), National Science Foundation(seedfund.nsf.gov), Scale Venture Partners(www.scalevp.com), Tekfen Ventures(www.tekfenventures.com), United States Department of Defense(www.defense.gov), Yamaha Motor(www.yamaha-motor.co.jp), Yamaha Motor Ventures &amp; Laboratory Silicon Valley(www.ymvsv.com)</t>
  </si>
  <si>
    <t>Square 1 Bank(General Business Banking), TechCXO(Accounting)</t>
  </si>
  <si>
    <t>230679-55</t>
  </si>
  <si>
    <t>Socialsuite</t>
  </si>
  <si>
    <t>Developer of a technology platform designed to create impact and outcomes data collection plans. The company's platform offers a marketplace and program model for impact measurement design and data collection, offering not-for-profits and community service organizations to measure and report on the outcomes and impacts of their services, improving service delivery and secure further funding.</t>
  </si>
  <si>
    <t>evaluation platform, evaluation software, evaluation software developer, outcome based evaluation, outcome based evaluation platform, outcome measurement platform</t>
  </si>
  <si>
    <t>www.socialsuitehq.com</t>
  </si>
  <si>
    <t>191140-48P</t>
  </si>
  <si>
    <t>Brad Gurrie</t>
  </si>
  <si>
    <t>brad@socialsuitehq.com</t>
  </si>
  <si>
    <t>+61 (0)3 9028 2183</t>
  </si>
  <si>
    <t>Melbourne, Australia</t>
  </si>
  <si>
    <t>24/25 Claremont Street</t>
  </si>
  <si>
    <t>South Yarra</t>
  </si>
  <si>
    <t>Melbourne</t>
  </si>
  <si>
    <t>Victoria</t>
  </si>
  <si>
    <t>3141</t>
  </si>
  <si>
    <t>Australia</t>
  </si>
  <si>
    <t>info@socialsuitehq.com</t>
  </si>
  <si>
    <t>Oceania</t>
  </si>
  <si>
    <t>The company is in the process of raising AUD 1.5 million of venture funding on March 7, 2018.</t>
  </si>
  <si>
    <t>51758-20</t>
  </si>
  <si>
    <t>SocialFlow</t>
  </si>
  <si>
    <t>NUVI, quintly, Spredfast, Hootsuite, NapoleonCat, Echobox, Sprinklr, Sprout Social, Simply Measured, Socialbakers, Shareablee, Brand Embassy, Kenshoo, True Anthem, Facelift Cloud, Unmetric, SocialMedia Networks, Carnival (Mobile), ScribbleLive, Tubular (Video Intelligence Platform), Quintype, Percolate, Chartbeat, Direct Labs Technology Communication &amp; Marketing, Yext, Opal (Marketing), Main Street Hub, Brandwatch, ApexDrop, MomentFeed, NetBase, Dataminr, Kapost, Manalto, Conversocial, Contently, Hearken, Livefyre, Sparkcentral, Silverpop Systems, Parse.ly, TrackMaven, Marketo, Sysomos, Buffer, Motive Communications, Union Metrics Software, Crimson Hexagon, NewsCred, MutualMind</t>
  </si>
  <si>
    <t>Developer of a social advertising platform designed to helps brands and publishers actively follow conversation flows across social networks. The company's social advertising platform provides an intelligent social network engagement and analytics on a user's behavior and then optimize each post based on real-time data enabling e-commerce businesses and media organizations to track real-time conversation flow on Facebook and Twitter, to capture peak audience attention for their messages.</t>
  </si>
  <si>
    <t>Automation/Workflow Software*, Media and Information Services (B2B)</t>
  </si>
  <si>
    <t>real time data analysis, social advertising platform, social media analytics, social media marketing platform, social network engagement</t>
  </si>
  <si>
    <t>www.socialflow.com</t>
  </si>
  <si>
    <t>2011: 17, 2014: 47, 2015: 46</t>
  </si>
  <si>
    <t>66030-67P</t>
  </si>
  <si>
    <t>Jim Anderson</t>
  </si>
  <si>
    <t>janderson@socialflow.com</t>
  </si>
  <si>
    <t>+1 (212) 883-9844</t>
  </si>
  <si>
    <t>52 Vanderbilt Avenue</t>
  </si>
  <si>
    <t>10017</t>
  </si>
  <si>
    <t>info@socialflow.com</t>
  </si>
  <si>
    <t>The company raised $580,000 of convertible debt financing from Cayuga Venture Fund on October 9, 2018.</t>
  </si>
  <si>
    <t>Ares Capital, Betaworks, Cayuga Venture Fund, Eastward Capital Partners, Fairhaven Capital Partners, Individual Investor, Joshua Stylman, Lerer Hippeau, MDC Ventures, Michael Lazerow, Peter Hershberg, Rand Capital, RRE Ventures, Social Starts, SoftBank Capital, SV Angel, Third Kind Venture Capital, William Lohse</t>
  </si>
  <si>
    <t>AOL, AOL Ventures</t>
  </si>
  <si>
    <t>Betaworks(www.betaworks.com), Cayuga Venture Fund(www.cayugaventures.com), Eastward Capital Partners(www.eastwardcp.com), Fairhaven Capital Partners(www.fairhavencapital.com), Lerer Hippeau(www.lererhippeau.com), MDC Ventures(www.mdcventures.vc), Rand Capital(www.randcapital.com), RRE Ventures(www.rre.com), Social Starts(www.socialstarts.com), SoftBank Capital(www.softbankvc.com), SV Angel(www.svangel.com), Third Kind Venture Capital(www.3kvc.com)</t>
  </si>
  <si>
    <t>AOL(www.aol.com), AOL Ventures(www.aolventures.com)</t>
  </si>
  <si>
    <t>Gunderson Dettmer(Legal Advisor), PCG Advisory Group(Advisor: General)</t>
  </si>
  <si>
    <t>Gunderson Dettmer(Legal Advisor), Rand Capital(Debt Financing), Square 1 Bank(Debt Financing)</t>
  </si>
  <si>
    <t>42753-79</t>
  </si>
  <si>
    <t>Soane Energy</t>
  </si>
  <si>
    <t>Developer of innovative chemical technology services intended to produce specialty polymers using nanotechnology. The company's innovative chemical technology services are based on polymers and surface science and are designed for an array of applications in the energy sector, enabling them to meet their energy requirements in a practical, immediate and environmentally responsible way.</t>
  </si>
  <si>
    <t>Industrial Chemicals</t>
  </si>
  <si>
    <t>Industrial Chemicals*, Other Energy Services, Specialty Chemicals</t>
  </si>
  <si>
    <t>Nanotechnology, Oil &amp; Gas, TMT</t>
  </si>
  <si>
    <t>chemicals technology services, innovative chemicals technology service, nanotechnology, oil extraction technology, polymer, surface science</t>
  </si>
  <si>
    <t>www.soaneenergy.com</t>
  </si>
  <si>
    <t>2014: 16, 2016: 11</t>
  </si>
  <si>
    <t>39709-36P</t>
  </si>
  <si>
    <t>Martha Groves</t>
  </si>
  <si>
    <t>mgroves@soanelabs.com</t>
  </si>
  <si>
    <t>+1 (617) 871-2101</t>
  </si>
  <si>
    <t>35 Spinelli Place</t>
  </si>
  <si>
    <t>+1 (617) 871-2102</t>
  </si>
  <si>
    <t>info@soaneenergy.com</t>
  </si>
  <si>
    <t>The company raised an undisclosed amount of venture funding from Phoenix Venture Partners and Hawaii Angels on September 5, 2011.</t>
  </si>
  <si>
    <t>Chevron Technology Ventures, Hawaii Angels, Intervale Capital, Kolohala Ventures, Phoenix Venture Partners</t>
  </si>
  <si>
    <t>Hawaii Angels(www.hawaiiangels.org), Intervale Capital(www.intervalecapital.com), Phoenix Venture Partners(www.phoenix-vp.com)</t>
  </si>
  <si>
    <t>152918-02</t>
  </si>
  <si>
    <t>Snappy</t>
  </si>
  <si>
    <t>Developer of an online gifting application designed to send gifts and presents easily. The company's application helps recipients to choose a gift from a list of personalized items within the sender's budget range, enabling users to send gifts anytime.</t>
  </si>
  <si>
    <t>gift app, gift sending, gifting application, gifting platform</t>
  </si>
  <si>
    <t>www.meetsnappy.com</t>
  </si>
  <si>
    <t>126854-11P</t>
  </si>
  <si>
    <t>Hani Goldstien</t>
  </si>
  <si>
    <t>hani@snappysapp.com</t>
  </si>
  <si>
    <t>+1 (415) 653-9414</t>
  </si>
  <si>
    <t>50 West 17th Street</t>
  </si>
  <si>
    <t>info@snappysapp.com</t>
  </si>
  <si>
    <t>The company raised $9.8 million through a combination of Series A venture funding in a deal led by 83North on October 23, 2018, putting the company's pre-money valuation at $8.14 million. Hearst Ventures also participated in the round. The company will use the capital to meet the strong international and domestic demand from current clients, accelerate the product roadmap and expand its global footprint.</t>
  </si>
  <si>
    <t>83North, CTIA Startup Lab, GrowthX, Hearst Ventures, JFE Accelerator, XRC Labs</t>
  </si>
  <si>
    <t>83North(www.83north.com), GrowthX(www.growthx.com), JFE Accelerator(www.jfeaccelerator.com), XRC Labs(www.xrclabs.com)</t>
  </si>
  <si>
    <t>51527-08</t>
  </si>
  <si>
    <t>Snapdeal</t>
  </si>
  <si>
    <t>Naaptol, Limeroad, YepMe, Overstock.com, ShopClues.com, Jabong, Zoomici, Rakuten 24, Waitrose, NSI Infinium Global, Myntra, Tradoria, Rakuten Belanja Online, Wish, HomeShop 18, Flipkart</t>
  </si>
  <si>
    <t>Developer of an online shopping portal designed to create an ecommerce platform that connects buyers and sellers. The company's online shopping portal helps in quick delivery even to the remotest corners of the country and provide daily deals, discounts &amp; offers to make products available at slashed down prices, enabling customers to order and buy from different products ranging from from national, international and regional brands across categories such as mobiles, electronics, fashion accessories, apparel, footwear, automotive, kids, health, home and kitchen, sports and books.</t>
  </si>
  <si>
    <t>Internet Retail, Social/Platform Software*</t>
  </si>
  <si>
    <t>ecommerce marketplace, online retailer shops, online shopping portal, online shopping site</t>
  </si>
  <si>
    <t>www.snapdeal.com</t>
  </si>
  <si>
    <t>2011: 500, 2014: 1128, 2015: 7000, 2016: 10000</t>
  </si>
  <si>
    <t>FY 2019</t>
  </si>
  <si>
    <t>49831-75P</t>
  </si>
  <si>
    <t>Kunal Bahl</t>
  </si>
  <si>
    <t>kunal.bahl@snapdeal.com</t>
  </si>
  <si>
    <t>New Delhi, India</t>
  </si>
  <si>
    <t>C/o SproutBox Suryavilas, Suite Number 181-TR4 First Floor</t>
  </si>
  <si>
    <t>D-181, Okhla Industrial Area, Phase 1</t>
  </si>
  <si>
    <t>New Delhi</t>
  </si>
  <si>
    <t>Delhi</t>
  </si>
  <si>
    <t>110020</t>
  </si>
  <si>
    <t>help@snapdeal.com</t>
  </si>
  <si>
    <t>Kalaari Capital is in talks to sell a 8% stake in the company to an undisclosed investor for INR 450 million on March 15, 2018. Previously, the company raised INR 1133 million of venture funding from Nexus Venture Partners, Brand Capital and Sequoia Capital India on May 29, 2017. Kunal Bahl and Rohit Bansal also participated in this round.</t>
  </si>
  <si>
    <t>Alibaba Capital Partners, Bennett Coleman and Company, Bessemer Venture Partners, BlackRock Private Equity Partners, Brand Capital, Brother Fortune Apparel, Clouse, eBay, Foxconn Technology Group, IndoUS Venture Partners, Intel Capital, Iron Pillar, Kalaari Capital, Myriad Group, Nexus Venture Partners, Ontario Teachers' Pension Plan, Premji Invest, Ratan Tata, Recruit Holdings, Recruit Strategic Partners, RTP Global, Saama Capital India Advisors, Sequoia Capital India, SoftBank Capital, Temasek Holdings, Tybourne Capital Management</t>
  </si>
  <si>
    <t>Milliways Ventures, Rocketship</t>
  </si>
  <si>
    <t>Flipkart</t>
  </si>
  <si>
    <t>Alibaba Capital Partners(www.alibabacapital.com), Bennett Coleman and Company(www.timesgroup.com), Bessemer Venture Partners(www.bvp.com), Brand Capital(www.brandcapital.co.in), eBay(www.ebay.com), Foxconn Technology Group(www.foxconn.com/index_En.html), IndoUS Venture Partners(www.iuvp.com), Intel Capital(www.intelcapital.com), Iron Pillar(www.ironpillarfund.com), Kalaari Capital(www.kalaari.com), Myriad Group(www.myriadgroup.com), Nexus Venture Partners(www.nexusvp.com), Ontario Teachers' Pension Plan(www.otpp.com), Recruit Holdings(www.recruit-rgf.com), Recruit Strategic Partners(recruitstrategicpartners.com), RTP Global(rtp-global.com), Saama Capital India Advisors(www.saamacapital.vc), Sequoia Capital India(www.sequoiacap.com/india), SoftBank Capital(www.softbankvc.com), Temasek Holdings(www.temasek.com.sg), Tybourne Capital Management(www.tybournecapital.com)</t>
  </si>
  <si>
    <t>Milliways Ventures(www.milliwaysventures.com), Rocketship(www.rocketship.vc)</t>
  </si>
  <si>
    <t>Flipkart(www.flipkart.com)</t>
  </si>
  <si>
    <t>Corporate Professional(Advisor: General), Miebach Consulting(Consulting), Valueonshore Advisors(Advisor: General)</t>
  </si>
  <si>
    <t>Credit Suisse(Advisor: General), Cyril Amarchand Mangaldas(Legal Advisor), IndusLaw(Legal Advisor), InnoVen Capital(Debt Financing), Marlin &amp; Associates Securities(Advisor: General)</t>
  </si>
  <si>
    <t>51490-00</t>
  </si>
  <si>
    <t>SnagFilms</t>
  </si>
  <si>
    <t>ViewLift</t>
  </si>
  <si>
    <t>Fandango, Viewster, MoviePass, Netflix</t>
  </si>
  <si>
    <t>Operator of an online film distribution company intended to offer free movies to the audiences. The company's online film distribution services have movies, TV show episodes, eye-opening documentaries and original comedy shorts, enabling users to watch movies on their mobile phones, tablets and desktops.</t>
  </si>
  <si>
    <t>Information Services (B2C), Movies, Music and Entertainment*, Social/Platform Software</t>
  </si>
  <si>
    <t>advertising film, documentaries film, film distribution, online film, online publication, video distribution</t>
  </si>
  <si>
    <t>www.snagfilms.com</t>
  </si>
  <si>
    <t>2013: 50, 2014: 58, 2016: 51</t>
  </si>
  <si>
    <t>36367-30P</t>
  </si>
  <si>
    <t>C. Richard Allen</t>
  </si>
  <si>
    <t>rick@snagfilms.com</t>
  </si>
  <si>
    <t>+1 (917) 289-7000</t>
  </si>
  <si>
    <t>1875 Connecticut Avenue North West</t>
  </si>
  <si>
    <t>feedback@snagfilms.com</t>
  </si>
  <si>
    <t>New Enterprise Associates sold a stake in the company to Newview Capital on December 3, 2018. Previously, the company raised $4 million of venture funding from undisclosed investors on January 4, 2018.</t>
  </si>
  <si>
    <t>Clark Enterprises, CNF Investments, Comcast Ventures, General Catalyst, Individual Investor, Jean Case, John S. and James L. Knight Foundation, Newview Capital, Revolution, Robert G. Hisaoka, Stephen Case, Terry Semel, The Case Foundation, Theodore Leonsis, Weekapaug Partners</t>
  </si>
  <si>
    <t>Clark Enterprises(www.clarkenterprises.com), Comcast Ventures(www.comcastventures.com), General Catalyst(www.generalcatalyst.com), John S. and James L. Knight Foundation(www.knightfoundation.org), Newview Capital(www.newviewcap.com), Revolution(www.revolution.com), The Case Foundation(www.casefoundation.org)</t>
  </si>
  <si>
    <t>54353-71</t>
  </si>
  <si>
    <t>Smeet</t>
  </si>
  <si>
    <t>IMVU</t>
  </si>
  <si>
    <t>Provider of a free browser-based social interaction platform. The company's platform offers 3D social chat games that creates virtual worlds where one user can meet other users and use avatars to talk to one another, enabling users to discover a diverse number of 3D Hangouts where they can playfully meet new people.</t>
  </si>
  <si>
    <t>3d games, social gaming, social interaction gaming, virtual world</t>
  </si>
  <si>
    <t>www.smeet.com</t>
  </si>
  <si>
    <t>2012: 55, 2016: 28</t>
  </si>
  <si>
    <t>46237-87P</t>
  </si>
  <si>
    <t>Sebastian Funke</t>
  </si>
  <si>
    <t>sebastian@smeet.com</t>
  </si>
  <si>
    <t>+49 (0)30 2887 8890 0</t>
  </si>
  <si>
    <t>Torstr. 19</t>
  </si>
  <si>
    <t>10119</t>
  </si>
  <si>
    <t>info@smeet.com</t>
  </si>
  <si>
    <t>Hasso Plattner Ventures sold its stake in the company on an undisclosed date.</t>
  </si>
  <si>
    <t>Partech Partners</t>
  </si>
  <si>
    <t>Partech Partners(www.partechpartners.com)</t>
  </si>
  <si>
    <t>53570-62</t>
  </si>
  <si>
    <t>SmartZip</t>
  </si>
  <si>
    <t>Placester, Rezora, Pipedrive, TigerLead Solutions, Agentjet, Real Geeks, Adwerx, Remine</t>
  </si>
  <si>
    <t>Provider of a predictive marketing technology designed to help any real estate business to acquire, retain and grow their customers using the power of analytics-driven marketing automation. The company's predictive marketing technology uses home intelligence, predictive analytics and automated marketing software, enabling real estate professionals to identify and connect with probable home sellers in their local areas.</t>
  </si>
  <si>
    <t>Application Software, Business/Productivity Software*, Media and Information Services (B2B)</t>
  </si>
  <si>
    <t>Big Data, Marketing Tech, Real Estate Technology, SaaS, TMT</t>
  </si>
  <si>
    <t>analytics platform, investment rating, predictive marketing solutions, real estate software, referral marketing tool, research and analysis</t>
  </si>
  <si>
    <t>www.smartzip.com</t>
  </si>
  <si>
    <t>2011: 68, 2012: 89, 2013: 162, 2014: 100, 2015: 175, 2016: 163</t>
  </si>
  <si>
    <t>67456-09P</t>
  </si>
  <si>
    <t>Avi Gupta</t>
  </si>
  <si>
    <t>agupta@smartzip.com</t>
  </si>
  <si>
    <t>+1 (855) 661-1064</t>
  </si>
  <si>
    <t>Pleasanton, CA</t>
  </si>
  <si>
    <t>4450 Rosewood Drive</t>
  </si>
  <si>
    <t>Pleasanton</t>
  </si>
  <si>
    <t>94588</t>
  </si>
  <si>
    <t>info@smartzip.com</t>
  </si>
  <si>
    <t>The company raised an estimated $12 million of Series C venture funding from Toba Capital on March 7, 2017, putting the pre-money valuation at $76.89 million. The funding will be used to fuel product and market development of the combined products offered by the company and Reach150.</t>
  </si>
  <si>
    <t>Claremont Creek Ventures, Costella Kirsch, Crest Capital Ventures, Cue Ball, Intel Capital, Javelin Venture Partners, ORIX Growth Capital, REach Accelerator, Second Century Ventures, Toba Capital</t>
  </si>
  <si>
    <t>EchoVC Partners</t>
  </si>
  <si>
    <t>Claremont Creek Ventures(www.claremontcreek.com), Costella Kirsch(www.costellakirsch.com), Crest Capital Ventures(www.crestcv.com), Cue Ball(www.cueball.com), Intel Capital(www.intelcapital.com), Javelin Venture Partners(www.javelinvp.com), REach Accelerator(www.nar-reach.com), Second Century Ventures(www.secondcenturyventures.com), Toba Capital(www.tobacapital.com)</t>
  </si>
  <si>
    <t>EchoVC Partners(www.echovc.com)</t>
  </si>
  <si>
    <t>Cooley(Legal Advisor), ORIX Growth Capital(Debt Financing)</t>
  </si>
  <si>
    <t>58480-03</t>
  </si>
  <si>
    <t>SmartyPants</t>
  </si>
  <si>
    <t>Producer of nutritional supplements for children and adults created to offers nutritious package and simplify health. The company's supplements are all-in-one vitamin gummies, which are non-GMO, allergen-free and made with eco-friendly ingredients along with weight management and fiber products, enabling kids to enjoy delicious and healthy gummy treat.</t>
  </si>
  <si>
    <t>artificial flavors, kids nutrition, micronutrients, nutritional supplements, supplements product</t>
  </si>
  <si>
    <t>www.smartypantsvitamins.com</t>
  </si>
  <si>
    <t>2015: 33, 2016: 32</t>
  </si>
  <si>
    <t>48334-87P</t>
  </si>
  <si>
    <t>Clay Nichols</t>
  </si>
  <si>
    <t>Senior Vice President</t>
  </si>
  <si>
    <t>clay@smartypantsvitamins.com</t>
  </si>
  <si>
    <t>+1 (888) 751-2291</t>
  </si>
  <si>
    <t>Marina del Rey, CA</t>
  </si>
  <si>
    <t>4056 Del Rey Avenue</t>
  </si>
  <si>
    <t>Marina del Rey</t>
  </si>
  <si>
    <t>90292</t>
  </si>
  <si>
    <t>The company received an undisclosed amount of development capital from Morgan Stanley Expansion Capital in 2018.</t>
  </si>
  <si>
    <t>Arash Shiva, Breakwater Management, CircleUp Network, Collaborative Fund, Kilmahew Ventures, Kishore Ganji, Lei Dei, Morgan Stanley Expansion Capital, North Castle Partners, Tao Zhang, Thomas Varghese</t>
  </si>
  <si>
    <t>Breakwater Management(www.breakwatermgmt.com), CircleUp Network(www.circleup.com), Collaborative Fund(www.collaborativefund.com), Kilmahew Ventures(www.kilmahew.com), North Castle Partners(www.northcastlepartners.com)</t>
  </si>
  <si>
    <t>13104-55</t>
  </si>
  <si>
    <t>SmartShoot</t>
  </si>
  <si>
    <t>TurnHere</t>
  </si>
  <si>
    <t>Olapic, Storyhunter</t>
  </si>
  <si>
    <t>Provider of a photo and video production platform intended to help enterprise customers to shoot photos and videos in different locations. The company's photo and video production platform offers sourcing, training, assignment, project management, scalable quality assurance, integrated delivery, tax compliance and payment tools, enabling professional photographers and videographers to add a wide variety of projects to the open market.</t>
  </si>
  <si>
    <t>Application Software, Multimedia and Design Software*, Social Content</t>
  </si>
  <si>
    <t>photography, professional photography, video distribution, video production, video production platform</t>
  </si>
  <si>
    <t>www.smartshoot.com</t>
  </si>
  <si>
    <t>2006: 60, 2007: 60, 2008: 35, 2009: 60, 2010: 60, 2014: 60, 2016: 72</t>
  </si>
  <si>
    <t>36210-70P</t>
  </si>
  <si>
    <t>Justin McCarthy</t>
  </si>
  <si>
    <t>justin.mccarthy@turnhere.com</t>
  </si>
  <si>
    <t>+1 (877) 559-9898</t>
  </si>
  <si>
    <t>Suite 2725</t>
  </si>
  <si>
    <t>info@smartshoot.com</t>
  </si>
  <si>
    <t>The company raised $150,000 of seed funding from SoftTech VC, Gokul Rajaram and other undisclosed investors on March 1, 2013.</t>
  </si>
  <si>
    <t>Dubilier &amp; Company, FTV Capital, Gokul Rajaram, Hearst Ventures, Individual Investor, Uncork Capital, Venrock</t>
  </si>
  <si>
    <t>Dubilier &amp; Company(www.dubilier.com), FTV Capital(www.ftvcapital.com), Uncork Capital(www.uncorkcapital.com), Venrock(www.venrock.com)</t>
  </si>
  <si>
    <t>Cascadia Capital(Advisor: General), Fenwick &amp; West(Legal Advisor)</t>
  </si>
  <si>
    <t>53652-43</t>
  </si>
  <si>
    <t>SmartRecruiters</t>
  </si>
  <si>
    <t>Lever (Recruitment Software), SmashFly Technologies, JobScience, iCIMS, FurstPerson, Hireology, Avionté, Greenhouse Software, ApplicantStack, Mindscope, Lumesse, Urbanhire, TextRecruit, Harri (USA), VNDLY, Switch (Application), Bond International Software, Avature USA, Deputy, PeopleMatter, SilkRoad Technology, Recruitee, Jobbio, Zenefits, JobAdder, Jobvite, Ceridian HCM, Ascendify, Snag, Symphony Talent, Jibe, ZipRecruiter, AkkenCloud, JazzHR, TalentSoft, TalentReef, gr8 People, Paycom Software, JobMatch, PowWowHR, Workable, Blendoor, Talemetry, PeopleFluent, BambooHR, Cezanne HR, ClearCompany, Talent Rover, Phenom People, Swift Shift, BossZhiPin, CareerBuilder, Visier, Cornerstone OnDemand, Halogen Software, Jobalign, Reflik, SugarCRM, Restless Bandit, Clustree, Limelight Health, Turn, Iterable, WorkMarket, Boost Media, Catalystone Solutions, Insightly, Workday, JobDiva, Anthology, Zao, Leadspace, Interviewing.io, CFEngine, Web Benefits Design, Hired, SAP SuccessFactors, The Employment Guide, LLC</t>
  </si>
  <si>
    <t>Developer of a cloud-based online recruitment platform intended to help businesses get the talent they need. The company's platform provides recruitment marketing and collaborative hiring with an open marketplace for 3rd party recruitment services, enabling recruiters and organizations make the best hires.</t>
  </si>
  <si>
    <t>cloud-based platform, hiring platform, hiring process, recruiting process, recruiting software</t>
  </si>
  <si>
    <t>www.smartrecruiters.com</t>
  </si>
  <si>
    <t>News (New) , Competitor (New) Web Benefits Design</t>
  </si>
  <si>
    <t>39880-99P</t>
  </si>
  <si>
    <t>Jerome Ternynck</t>
  </si>
  <si>
    <t>j.ternynck@smartrecruiters.com</t>
  </si>
  <si>
    <t>225 Bush Street</t>
  </si>
  <si>
    <t>contact@smartrecruiters.com</t>
  </si>
  <si>
    <t>The company raised $50 million through the combination of debt and Series D venture funding in a deal led by Insight Partners on May 29, 2019, putting the company's pre-money valuation at $295 million. Mayfield Fund and Rembrandt Venture Partners also participated in the round. The funds will be used to accelerate innovation in hiring success, expand in Europe and Asia.</t>
  </si>
  <si>
    <t>Counterview Capital, Insight Partners, Mayfield Fund, Rajeev Batra, Rembrandt Venture Partners, Rick Marini, Salesforce Ventures, Windcrest Partners</t>
  </si>
  <si>
    <t>Counterview Capital(www.counterview.vc), Insight Partners(www.insightpartners.com), Mayfield Fund(www.mayfield.com), Rembrandt Venture Partners(www.rembrandtvc.com), Windcrest Partners(www.windcrestpartners.com)</t>
  </si>
  <si>
    <t>222452-29</t>
  </si>
  <si>
    <t>Smarter Eye</t>
  </si>
  <si>
    <t>Provider of hardware and software research and development services intended to offer automobile related autopilot systems. The company's hardware and software research and development services use vision tools, image processing, video analysis, pattern recognition, data mining facilities to offer binocular vision, enabling its clients to receive advanced driver assistance system required for safe driving.</t>
  </si>
  <si>
    <t>Application Software, Electronics (B2C)*</t>
  </si>
  <si>
    <t>autopilot system, drivers assistance system, drivers safety tools, drives tools</t>
  </si>
  <si>
    <t>www.smartereye.com</t>
  </si>
  <si>
    <t>175150-45P</t>
  </si>
  <si>
    <t>Huabing Zheng</t>
  </si>
  <si>
    <t>huabing.zheng@smartereye.com</t>
  </si>
  <si>
    <t>+86 (0)10 5923 1480</t>
  </si>
  <si>
    <t>Room 3039-3044</t>
  </si>
  <si>
    <t>Sihui Building</t>
  </si>
  <si>
    <t>bin.jiang@smartereye.com</t>
  </si>
  <si>
    <t>The company raised $15 million of pre-Series B venture funding in a deal led by Baidu Capital on November 28, 2017. Shenzhen Qihang Capital Investment Fund Management also participated in the round.</t>
  </si>
  <si>
    <t>Baidu Ventures, Guojin Capital, Lenovo Capital and Incubator Group, Shenzhen Qihang Capital Investment Fund Management</t>
  </si>
  <si>
    <t>Baidu Ventures(www.bv.ai), Guojin Capital(www.guojin.com), Lenovo Capital and Incubator Group(capital.lenovo.com)</t>
  </si>
  <si>
    <t>107698-33</t>
  </si>
  <si>
    <t>smart-FOA</t>
  </si>
  <si>
    <t>Developer of a information sharing platform designed to manage organizational data. The company's platform combines raw data collected by sensors in the manufacturing workplace with workplace know-how, and letting these flow on the network, enabling enterprises to resolve problems and make decisions in real time by creating pieces of data.</t>
  </si>
  <si>
    <t>Advanced Manufacturing, Internet of Things, TMT</t>
  </si>
  <si>
    <t>data collecting, data sharing platform, flow oriented approach, information sharing platform, reporting sharing</t>
  </si>
  <si>
    <t>www.smart-foa.com</t>
  </si>
  <si>
    <t>92554-12P</t>
  </si>
  <si>
    <t>Masaharu Oku</t>
  </si>
  <si>
    <t>Representative Director, President &amp; Chief Executive Officer</t>
  </si>
  <si>
    <t>masaharu.oku@smart-foa.com</t>
  </si>
  <si>
    <t>JPR Ichigaya building 3rd floor</t>
  </si>
  <si>
    <t>4-7-15 Kurotsunan, Chiyoda-ku</t>
  </si>
  <si>
    <t>info@smart-foa.com</t>
  </si>
  <si>
    <t>The company raised an undisclosed amount of venture funding from Cisco Investments and Jafco on October 14, 2014.</t>
  </si>
  <si>
    <t>Cisco Investments, Jafco</t>
  </si>
  <si>
    <t>Cisco Investments(www.ciscoinvestments.com), Jafco(www.jafco.co.jp)</t>
  </si>
  <si>
    <t>162147-25</t>
  </si>
  <si>
    <t>Sliver.tv</t>
  </si>
  <si>
    <t>Vreal</t>
  </si>
  <si>
    <t>Provider of an interactive eSports live streaming platform. The company's watch &amp; win platform engages eSports viewers via interactive trivia, live polls, raffle contests and prizes while they watch their favorite games and streamers.</t>
  </si>
  <si>
    <t>eSports, Gaming, TMT, Virtual Reality</t>
  </si>
  <si>
    <t>esports, streaming video, video streaming</t>
  </si>
  <si>
    <t>www.sliver.tv</t>
  </si>
  <si>
    <t>2015: 2, 2016: 15, 2017: 16, 2018: 24</t>
  </si>
  <si>
    <t>46017-01P</t>
  </si>
  <si>
    <t>Mitchell Liu</t>
  </si>
  <si>
    <t>mitch@sliver.tv</t>
  </si>
  <si>
    <t>+1 (669) 230-5152</t>
  </si>
  <si>
    <t>20410 Town Center Lane</t>
  </si>
  <si>
    <t>Suite 270</t>
  </si>
  <si>
    <t>The company raised $9.8 million of Series A venture funding from lead investors Danhua Capital, Heuristic Capital Partners and ZP Capital on August 23, 2017. DCM, Sierra Ventures, The VR Fund, Samsung Next Fund and Sony Innovation Fund, BDMI, GC Gaming Tracker Fund, UpHonest Capital, Advancit Capital, Gree and Colopl also participated in the round. The funding will accelerate company's R&amp;D investments in machine vision, artificial intelligence and virtual reality. The company has raised total funding of $17.5 million to date.</t>
  </si>
  <si>
    <t>Advancit Capital, Bertelsmann Digital Media Investments, Bridge Link Capital, CAA Ventures, COLOPL, DCM Ventures, Digital Horizon Capital, GC VR Gaming Tracker Fund, GFR Fund, Green Pine Capital Partners, Heuristic Capital Partners, Rizwan Virk, Samsung Electronics, Samsung NEXT Ventures, Sierra Ventures, Sony Innovation Fund, Sparkland Capital, The Venture Reality Fund, UpHonest Capital, ZP Capital</t>
  </si>
  <si>
    <t>Advancit Capital(www.advancitcapital.com), Bertelsmann Digital Media Investments(www.bdmifund.com), Bridge Link Capital(www.bridgelink.capital), CAA Ventures(ventures.caa.com), COLOPL(colopl.co.jp), DCM Ventures(www.dcm.com), Digital Horizon Capital(www.dh.vc), GFR Fund(www.gfrfund.com), Green Pine Capital Partners(pinevc.com.cn), Heuristic Capital Partners(www.heuristiccapital.com), Samsung Electronics(www.samsung.com), Samsung NEXT Ventures(www.samsungnext.com), Sierra Ventures(www.sierraventures.com), Sony Innovation Fund(www.sonyinnovationfund.com), Sparkland Capital(www.sparklandcap.com), The Venture Reality Fund(www.thevrfund.com), UpHonest Capital(www.uphonestcapital.com)</t>
  </si>
  <si>
    <t>Andersen Tax(Accounting), Bank of America(General Business Banking), Goodwin(Legal Advisor), Montgomery &amp; Hansen(Legal Advisor), Wells Fargo(General Business Banking)</t>
  </si>
  <si>
    <t>156127-87</t>
  </si>
  <si>
    <t>Slice Labs</t>
  </si>
  <si>
    <t>Slice</t>
  </si>
  <si>
    <t>Lemonade, Majesco, JustInCase, Simplesurance, Trōv, Clark (Digital Insurance Platform), Jetty, benefix, Sure</t>
  </si>
  <si>
    <t>Provider of an on-demand, cloud based, insurance platform created to change the insurance experience. The company's pay-per-use insurance platform allows users to purchase instant car and rental insurance coverage from their smartphone or laptop, enabling insurers, technology companies, and other service providers to build intelligent and intuitive, pay-as-you-go digital insurance products protecting the insured anytime and anywhere.</t>
  </si>
  <si>
    <t>Commercial/Professional Insurance</t>
  </si>
  <si>
    <t>Commercial/Professional Insurance*, Life and Health Insurance, Other Insurance</t>
  </si>
  <si>
    <t>FinTech, InsurTech, SaaS, TMT</t>
  </si>
  <si>
    <t>cloud insurance platform, digital insurance, insurance management, insurance platform, insurance product, insurance purchasing, on demand insurance</t>
  </si>
  <si>
    <t>www.slice.is</t>
  </si>
  <si>
    <t>2016: 11, 2017: 45, 2019: 60</t>
  </si>
  <si>
    <t>63996-31P</t>
  </si>
  <si>
    <t>Tim Attia</t>
  </si>
  <si>
    <t>tim@slice.is</t>
  </si>
  <si>
    <t>+1 (212) 380-1849</t>
  </si>
  <si>
    <t>33 Irving Place</t>
  </si>
  <si>
    <t>Suite 4017B</t>
  </si>
  <si>
    <t>10003</t>
  </si>
  <si>
    <t>info@slice.is</t>
  </si>
  <si>
    <t>The company raised $31.6 million of Series A venture funding in a deal led by XL Innovate and The Co-operators on September 26, 2018. Munich Re/HSB Ventures, JetBlue Technology Ventures, Sompo Japan Nipponkoa Insurance, Veronorte, Horizons Ventures, and Plug and Play Tech Center also participated in the round. The company intends to use the funds to scale their on-demand offering for new products and jurisdictions and to accelerate the deployment of its On-Demand Digital Insurance Platform via marquee partnerships.</t>
  </si>
  <si>
    <t>Horizons Ventures, JetBlue Technology Ventures, Munich Re/HSB Ventures, Plug and Play Tech Center, Sompo Japan Nipponkoa Insurance, The Co-operators, Veronorte, XL Innovate</t>
  </si>
  <si>
    <t>Horizons Ventures(www.horizonsventures.com), JetBlue Technology Ventures(www.jetblueventures.com), Plug and Play Tech Center(www.plugandplaytechcenter.com), Sompo Japan Nipponkoa Insurance(www.sjnk.co.jp), The Co-operators(www.cooperators.ca), Veronorte(www.veronorte.com), XL Innovate(www.xlinnovate.com)</t>
  </si>
  <si>
    <t>Granite Valuations(Valuation/Appraiser), MaRS Discovery District(Advisor: General), Tusk Ventures(Consulting)</t>
  </si>
  <si>
    <t>Tusk Ventures(Consulting)</t>
  </si>
  <si>
    <t>178938-37</t>
  </si>
  <si>
    <t>Slamcore</t>
  </si>
  <si>
    <t>Motoman, Optofidelity, Robart</t>
  </si>
  <si>
    <t>Developer of spatial artificial intelligence (AI) algorithms for robots and drones designed to improve augmented and virtual reality systems. The company's algorithms utilize information from various sensor including RGB cameras and inertial measurement units, enabling clients to fuse information from multiple sensors into a single visual tracking and mapping system.</t>
  </si>
  <si>
    <t>Application Software, Electronic Components*</t>
  </si>
  <si>
    <t>Artificial Intelligence &amp; Machine Learning, Augmented Reality, Robotics and Drones, TMT, Virtual Reality</t>
  </si>
  <si>
    <t>computer vision, computer vision software, sensor fusion, sensor fusion algorithm</t>
  </si>
  <si>
    <t>www.slamcore.com</t>
  </si>
  <si>
    <t>2018: 10</t>
  </si>
  <si>
    <t>159715-90P</t>
  </si>
  <si>
    <t>Andrew Davison</t>
  </si>
  <si>
    <t>Co-Founder, Chief Scientist &amp; Director</t>
  </si>
  <si>
    <t>andrew@slamcore.com</t>
  </si>
  <si>
    <t>Thomas House</t>
  </si>
  <si>
    <t>84 Eccleston Square</t>
  </si>
  <si>
    <t>SW1V 1PX</t>
  </si>
  <si>
    <t>contact@slamcore.com</t>
  </si>
  <si>
    <t>The company raised GBP 3.6 million of seed funding in a deal led by Amadeus Capital Partners on September 28, 2018. Toyota AI Ventures, MMC Ventures, Octopus Ventures, and SPARX Group Company also participated in the round. The funding will be used to develop detailed mapping solutions capable of creating geometrically-accurate reconstructions of a robot's surroundings in real-time and understanding the objects within, utilizing the latest development in Machine Learning.</t>
  </si>
  <si>
    <t>Amadeus Capital Partners, MMC Ventures, Octopus Ventures, SPARX Group Company, Touchstone Innovations, Toyota AI Ventures</t>
  </si>
  <si>
    <t>Amadeus Capital Partners(www.amadeuscapital.com), MMC Ventures(www.mmcventures.com), Octopus Ventures(www.octopusventures.com), SPARX Group Company(www.sparx.jp), Touchstone Innovations(www.touchstoneinnovations.com), Toyota AI Ventures(www.toyota-ai.ventures)</t>
  </si>
  <si>
    <t>Taylor Vinters(Legal Advisor)</t>
  </si>
  <si>
    <t>53510-23</t>
  </si>
  <si>
    <t>Skyword</t>
  </si>
  <si>
    <t>Percolate, TapInfluence, Kapost, NewsCred, Opal (Marketing), Rock Content, Yotpo, Contently, Sprinklr, ApexDrop, Sprout Social, StackAdapt, Speakr, Shareablee, Flashstock, DataXu, MediaMath, Ion Interactive, Ahalogy, PostBeyond, Tailwind (Marketing Platform), Nativo, Brand Embassy, Jebbit, Yieldmo, Betaout, Meltwater, TrackMaven, Turn, TUNE, Stackla, Hootsuite, PowerLinks, Uberflip, Bynder, Sparkcentral, ViralGains, Rocket Fuel, Octoly, Viafoura, Bidtellect, Facelift Cloud, Silverpop Systems, Lotame Solutions, FameBit, Reelio, EveryoneSocial, AcuityAds Holdings, Nanigans, Simply Measured, Progressive Content, Marin Software, VoloMetrix, quintly, Pressly, Exponential Interactive, Tracx, LiveWorld, Dynamic Signal, Alinean, Somo Global, Sharethrough, Spredfast, Kenshoo, NUVI, Dubsat, Sailthru, Engage121, Sizmek, Pipedrive, Mixpo, BehaviorMatrix, Triblio, Polar (Content Technology), ScribbleLive, Simpli.fi, Brand Networks, Crisp Mobile, Socialbakers, Written, Outbrain, Insightly, Socialmetrix, Launch Digital Marketing, Trustpilot, HubSpot, Zignal Labs, DivvyHQ, Livefyre, Social Status, Brandwatch, Webdam Solutions, SnapApp, Agency Oasis, NetBase, Taboola, Shareaholic, SpotX, Curalate, Nuxeo, Marketo, Jun Group, TripleLift, Virool, Unmetric, Nielsen Marketing Cloud, Exovue Holdings, Quill (digital content), Motive Communications, Brafton, Digitas Health LifeBrands, PublishThis, Pressboard, Agorapulse, Olapic, Scripted, Lithium Technologies, Smaato, Guru.com, Ampush Media, Shoutlet, Crimson Hexagon, Feefo, Vero, Business Marketing Association, Viraltag, Adobe Systems, Talkwalker, Ceros, Smarp</t>
  </si>
  <si>
    <t>Provider of a content creation platform designed to promote content at any scale to create meaningful, lasting relationships. The company's platform helps writers, agencies, brands and media companies to acquire and engage customers by producing brand-aligned content that matches the information that people seek and automates talent recruitment and management, topical management, assignment, optimization, editorial review, and program management, enabling enterprises to bring scalability and sustainability to their content marketing programs.</t>
  </si>
  <si>
    <t>advertising, content creation platform, content marketing, content marketing program, content marketing software, customer retention, talent management</t>
  </si>
  <si>
    <t>www.skyword.com</t>
  </si>
  <si>
    <t>2010: 26, 2012: 39, 2013: 65, 2014: 208, 2015: 125, 2018: 160</t>
  </si>
  <si>
    <t>39654-73P</t>
  </si>
  <si>
    <t>Tyler Hoffman</t>
  </si>
  <si>
    <t>tyler@skyword.com</t>
  </si>
  <si>
    <t>+1 (855) 759-9673</t>
  </si>
  <si>
    <t>38 Chauncy Street</t>
  </si>
  <si>
    <t>02111</t>
  </si>
  <si>
    <t>The company closed on $8.07 million of a planned $9.596 million round of development capital from undisclosed investors on October 26, 2018. Previously, the company received $25 million of development capital from Rho Ventures on January 5, 2018. The company will use the proceeds to accelerate growth and product innovation as it helps transform the way today's top global brands connect with their customers and prospects. The company is being actively tracked by PitchBook.</t>
  </si>
  <si>
    <t>Allen &amp; Company, American Public Media, Cox Media Group, Florida Gulfshore Capital, Hearst Ventures, Individual Investor, John Landry, Lead Dog Ventures, Pilot House Associates, Progress Ventures, Rho Ventures, S&amp;P Global, Southern California Public Radio</t>
  </si>
  <si>
    <t>Allen &amp; Company(www.allenco.com), American Public Media(www.americanpublicmedia.org), Cox Media Group(www.coxmediagroup.com), Florida Gulfshore Capital(www.gulfshorecap.com), Lead Dog Ventures(www.leaddog.com), Pilot House Associates(www.pilothouseventures.com), Progress Ventures(www.progressventures.com), Rho Ventures(www.rhoventures.com), S&amp;P Global(www.spglobal.com), Southern California Public Radio(www.scpr.org)</t>
  </si>
  <si>
    <t>Gesmer Updegrove(Legal Advisor), WilmerHale(Legal Advisor)</t>
  </si>
  <si>
    <t>AGC Partners(Advisor: General), Cafferty &amp; Company(Advisor: General), Cambridge Trust Company(Debt Financing), Horizon Technology Finance(Debt Financing), Multiplier Capital(Debt Financing), Progress Partners(Advisor: General), WilmerHale(Legal Advisor)</t>
  </si>
  <si>
    <t>224548-30</t>
  </si>
  <si>
    <t>SkyWatch (Business Software)</t>
  </si>
  <si>
    <t>Developer of on-demand drone-insurance platform designed to provide operators a one-stop solution to manage their flight safety. The company's platform use a variety of data sources and AI based algorithms to analyze risks which includes more than 30 drone sensors to predict and prevent potential failures before they ever occur, hyper-local weather mapping (wind, precipitation, and temperature), 3-D airspace and ground mapping and crowd density mapping, enabling drone operators and fleet managers to track their safety metrics and reduce flight risks preflight, in-flight (real time) and post-flight.</t>
  </si>
  <si>
    <t>Application Software*, Other Insurance</t>
  </si>
  <si>
    <t>Advanced Manufacturing, Artificial Intelligence &amp; Machine Learning, InsurTech, Mobile, Robotics and Drones, TMT</t>
  </si>
  <si>
    <t>data analytics platform, flight planning, flight planning software, risk assessment platform, risk reduction platform</t>
  </si>
  <si>
    <t>www.skywatch.ai</t>
  </si>
  <si>
    <t>178909-48P</t>
  </si>
  <si>
    <t>Tomer Kashi</t>
  </si>
  <si>
    <t>tomer@skywatch.ai</t>
  </si>
  <si>
    <t>18a HaArba'a Street</t>
  </si>
  <si>
    <t>The company raised $5 million of venture funding in a deal led by Arbor Ventures on May 22, 2019. Verizon Ventures, Kaedan Capital, F2 Capital, and Plug and Play Tech Center also participated in the round.</t>
  </si>
  <si>
    <t>Arbor Ventures, F2 Capital, Hartford InsurTech Hub, Kaedan Capital, Plug and Play Tech Center, Verizon Ventures</t>
  </si>
  <si>
    <t>Arbor Ventures(www.arborventures.com), F2 Capital(www.f2vc.com), Hartford InsurTech Hub(www.hartfordinsurtechhub.com), Kaedan Capital(www.kaedan.com), Plug and Play Tech Center(www.plugandplaytechcenter.com), Verizon Ventures(www.verizonventures.com)</t>
  </si>
  <si>
    <t>94852-99</t>
  </si>
  <si>
    <t>SkySpecs</t>
  </si>
  <si>
    <t>Atmos UAV, PrecisionHawk, Airware</t>
  </si>
  <si>
    <t>Provider of an autonomous drone inspections services designed to inspect onshore and offshore wind turbine. The company's drone safety software services include development of unmanned aerial vehicles with an automated robotic inspection feature for applications in wind turbine, utility and other infrastructure operations and maintenance activities, enabling wind farm owners, ISPs, and OEMs to easily monitor and track the health of their wind turbines.</t>
  </si>
  <si>
    <t>Application Software, Electrical Equipment*</t>
  </si>
  <si>
    <t>automated drones, autonomous drones inspection, drones safety software</t>
  </si>
  <si>
    <t>www.skyspecs.com</t>
  </si>
  <si>
    <t>2014: 8, 2015: 8, 2018: 23</t>
  </si>
  <si>
    <t>84908-44P</t>
  </si>
  <si>
    <t>Thomas Brady</t>
  </si>
  <si>
    <t>tom.brady@skyspecs.com</t>
  </si>
  <si>
    <t>+1 (734) 413-7346</t>
  </si>
  <si>
    <t>Ann Arbor, MI</t>
  </si>
  <si>
    <t>116 North 4th Avenue</t>
  </si>
  <si>
    <t>Ann Arbor</t>
  </si>
  <si>
    <t>48104</t>
  </si>
  <si>
    <t>info@skyspecs.com</t>
  </si>
  <si>
    <t>The company raised $8.8 million of Series B venture funding in a deal led by Statkraft Ventures on January 5, 2018, putting the pre-money valuation at $11 million. Invest Michigan, UL Ventures, Capital Midwest, Venture Investors, Huron River Ventures and additional undisclosed existing investors also participated in the round. The team will use the investment to scale the company's international operations and develop world-class inspection software to enable customers to make more information-rich decisions about the condition of their energy assets and infrastructure.</t>
  </si>
  <si>
    <t>Accelerate Michigan Innovation Competition, Amherst Fund, Capital Midwest Fund, Dakota Venture Group, Endeavor Global, Huron River Ventures, IncWell, Invest Detroit Ventures, Invest Michigan, Michigan Angel Fund, National Science Foundation, R/GA Accelerator, Statkraft Ventures, Techstars, UL Ventures, Venture Investors</t>
  </si>
  <si>
    <t>Accelerate Michigan Innovation Competition(www.acceleratemichigan.org), Amherst Fund(www.amherstfund.com), Capital Midwest Fund(www.capitalmidwest.com), Dakota Venture Group(www.dakotaventuregroup.com), Endeavor Global(www.endeavor.org), Huron River Ventures(www.huronrivervc.com), IncWell(www.theincwell.net), Invest Michigan(www.investmichigan.org), Michigan Angel Fund(www.miangelfund.com), National Science Foundation(seedfund.nsf.gov), R/GA Accelerator(www.rgaaccelerator.com), Statkraft Ventures(www.statkraftventures.com), Techstars(www.techstars.com), Venture Investors(www.ventureinvestors.com)</t>
  </si>
  <si>
    <t>167232-52</t>
  </si>
  <si>
    <t>Skysense (drones)</t>
  </si>
  <si>
    <t>Developer of a drone tracking system to provide surveillance solutions. The company develops a system consisting of hardware and software for drone tracking which is the smallest, lightest and efficient, enabling users to operate safely in the civilian airspace.</t>
  </si>
  <si>
    <t>Application Software, Electronic Equipment and Instruments*</t>
  </si>
  <si>
    <t>drones locator, drones tracker software, drones tracking technology, drones tracking tools, surveillance tools</t>
  </si>
  <si>
    <t>www.skysense.aero</t>
  </si>
  <si>
    <t>147898-45P</t>
  </si>
  <si>
    <t>Robby de Candido</t>
  </si>
  <si>
    <t>robby@skysense.aero</t>
  </si>
  <si>
    <t>Kista, Sweden</t>
  </si>
  <si>
    <t>Kistagången 12</t>
  </si>
  <si>
    <t>Kista</t>
  </si>
  <si>
    <t>164 40</t>
  </si>
  <si>
    <t>info@skysense.io</t>
  </si>
  <si>
    <t>The company raised venture funding from Stanley Ventures on an undisclosed date. Prior to that, the company received an undisclosed amount of financing from Flightradar24 on June 30, 2016. Other undisclosed investors also participated in this round.</t>
  </si>
  <si>
    <t>Flightradar24, Stanley Ventures</t>
  </si>
  <si>
    <t>Flightradar24(www.flightradar24.com), Stanley Ventures(www.stanleyventures.com)</t>
  </si>
  <si>
    <t>93655-18</t>
  </si>
  <si>
    <t>Skymind</t>
  </si>
  <si>
    <t>Seldon, DataRobot, DarwinAI, Indico, Xnor.ai, restb.ai, Sentient (Business/Productivity Software), Deepomatic, Vertex.AI, Aylien, BigML, MetaMind, Syte, SigOpt, Lattice (Data Analysis), Clarifai, TwentyBn, Ersatz Labs, Mad Street Den</t>
  </si>
  <si>
    <t>Provider of an open-source deep-learning platform designed to help in data analysis. The company's platform supports open-source frameworks that use artificial intelligence and machine learning to develop tools for prediction, data analytics and machine perception, enabling businesses to store, process and analyze large scale data rapidly.</t>
  </si>
  <si>
    <t>Automation/Workflow Software*, Business/Productivity Software, Other Software</t>
  </si>
  <si>
    <t>artificial intelligence, deep learning, machine learning, spam detection, text analysis</t>
  </si>
  <si>
    <t>www.skymind.ai</t>
  </si>
  <si>
    <t>2016: 15, 2018: 55, 2019: 40</t>
  </si>
  <si>
    <t>130279-42P</t>
  </si>
  <si>
    <t>Christian Nicholson</t>
  </si>
  <si>
    <t>chris@skymind.io</t>
  </si>
  <si>
    <t>+1 (510) 289-3981</t>
  </si>
  <si>
    <t>1328 Mission Street</t>
  </si>
  <si>
    <t>Suite 9</t>
  </si>
  <si>
    <t>help@skymind.io</t>
  </si>
  <si>
    <t>The company raised $11.5 million of Series A venture funding in a deal led by TransLink Capital on November 21, 2018, putting the company's pre-money valuation at $18.5 million. Tencent Holdings, ServiceNow Ventures, Presidio Ventures, Govtech Fund, GMO VenturePartners, Soma Capital , Mandra Capital, Hemi Ventures, The Dcode Group, UpHonest Capital and Y Combinator also participated in the round.</t>
  </si>
  <si>
    <t>FundersClub, GMO VenturePartners, Govtech Fund, GreatPoint Ventures, Hemi Ventures, Jiguang, Kevin Mahaffey, Liquid 2 Ventures, Mandra Capital, Matthew Bellamy, Pi Campus, Plug and Play Tech Center, Presidio Ventures, Rising Tide Fund, ServiceNow Ventures, Shu Duan, Soma Capital, Streamlined Ventures, SV Angel, Tencent Holdings, The Dcode Group, TransLink Capital, Ullas Naik, UpHonest Capital, Wei Guo, Westlake Ventures, Y Combinator</t>
  </si>
  <si>
    <t>FundersClub(www.fundersclub.com), GMO VenturePartners(www.gmo-vp.com), Govtech Fund(www.govtechfund.com), GreatPoint Ventures(www.gpv.com), Hemi Ventures(www.hemi.vc), Jiguang(www.jiguang.cn), Liquid 2 Ventures(www.liquid2.vc), Mandra Capital(www.mandracapital.com), Pi Campus(www.picampus.it), Plug and Play Tech Center(www.plugandplaytechcenter.com), Presidio Ventures(www.presidio-ventures.com), Rising Tide Fund(www.rtf.vc), Soma Capital(somacap.com), Streamlined Ventures(www.streamlinedventures.com), SV Angel(www.svangel.com), Tencent Holdings(www.tencent.com), The Dcode Group(www.dcode.co), TransLink Capital(www.translinkcapital.com), UpHonest Capital(www.uphonestcapital.com), Westlake Ventures(www.westlake.vc), Y Combinator(www.ycombinator.com)</t>
  </si>
  <si>
    <t>Citibank(General Business Banking)</t>
  </si>
  <si>
    <t>126673-84</t>
  </si>
  <si>
    <t>SkyLights</t>
  </si>
  <si>
    <t>Developer of cinematic virtual reality (VR) headsets designed to satisfy in-flight entertainment requirements. The company's virtual reality headsets offer immersive 2D and 3D cinema with multilingual audio and subtitle support, enabling passengers to wear VR headsets on an aircraft, to tune out their environment and escape their flight. The comany's headsets enable passengers to tune out surrounding audio and enjoy immersive 2-D and 3-D cinema on a fixed 180-degree screen.</t>
  </si>
  <si>
    <t>Electronics (B2C)*, Movies, Music and Entertainment</t>
  </si>
  <si>
    <t>in flight entertainment, virtual reality headset</t>
  </si>
  <si>
    <t>www.skylights.aero</t>
  </si>
  <si>
    <t>2016: 11, 2017: 20</t>
  </si>
  <si>
    <t>131740-57P</t>
  </si>
  <si>
    <t>David Dicko</t>
  </si>
  <si>
    <t>david@skylights.aero</t>
  </si>
  <si>
    <t>2415 Third Street</t>
  </si>
  <si>
    <t>The company raised EUR 1.8 million of Series A angel funding from undisclosed Business Angels in February 2018. Previously, the company raised $1.3 million of seed funding from Presence Capital, Comcast Ventures, Off The Grid Ventures and Bragel Brothers on January 19, 2017.</t>
  </si>
  <si>
    <t>Airbus, AngelSquare, Bragel Brothers, Comcast Ventures, David Gurlé, Incubateur Iot Valley, Off The Grid Ventures, Plug and Play Tech Center, Presence Capital, Starburst Aerospace, Y Combinator</t>
  </si>
  <si>
    <t>Airbus(www.airbus.com), AngelSquare(home.angelsquare.co), Comcast Ventures(www.comcastventures.com), Incubateur Iot Valley(www.iot-valley.fr), Off The Grid Ventures(www.otgventures.com), Plug and Play Tech Center(www.plugandplaytechcenter.com), Presence Capital(www.presencecap.com), Starburst Aerospace(www.starburst.aero), Y Combinator(www.ycombinator.com)</t>
  </si>
  <si>
    <t>Aingel(Advisor: General)</t>
  </si>
  <si>
    <t>AngelSquare(Lead Manager or Arranger)</t>
  </si>
  <si>
    <t>180803-35</t>
  </si>
  <si>
    <t>Skyhour</t>
  </si>
  <si>
    <t>Provider of an online next-generation gifting platform intended to revolutionize the way people gift and receive flight hours. The company's online next-generation gifting platform offers a seamless and smart way to gift flights and easily booking the flight at a fixed cost of only $60 per hour, enabling users to give and receive flight hours that can be used by anyone, anywhere, across 350 airlines.</t>
  </si>
  <si>
    <t>air travel, gifting platform, online gifting platform, travel option</t>
  </si>
  <si>
    <t>www.skyhour.com</t>
  </si>
  <si>
    <t>173179-36P</t>
  </si>
  <si>
    <t>Fernando Infante da Camara</t>
  </si>
  <si>
    <t>fernando@skyhour.com</t>
  </si>
  <si>
    <t>One Marina Park Drive</t>
  </si>
  <si>
    <t>skycare@skyhour.com</t>
  </si>
  <si>
    <t>The company raised $2.5 million of venture funding from JetBlue Technology Ventures and other undisclosed investors on August 15, 2017.</t>
  </si>
  <si>
    <t>JetBlue Technology Ventures</t>
  </si>
  <si>
    <t>JetBlue Technology Ventures(www.jetblueventures.com)</t>
  </si>
  <si>
    <t>107147-08</t>
  </si>
  <si>
    <t>Skydio</t>
  </si>
  <si>
    <t>Kespry, Dedrone</t>
  </si>
  <si>
    <t>Provider of a AI-powered drone intended to make the power of flight a trusted and useful part of people's everyday lives. The company's AI-powered drone uses an array of cameras and proprietary computer vision technology to recognize and avoid objects in real time enabling users to control a drone by waving a paired iPhone around with their hands.</t>
  </si>
  <si>
    <t>Application Software, Electronics (B2C)*, Network Management Software</t>
  </si>
  <si>
    <t>Artificial Intelligence &amp; Machine Learning, Mobile, Robotics and Drones, TMT</t>
  </si>
  <si>
    <t>control aerial vehicle, drones, drones control, remote control, smart device</t>
  </si>
  <si>
    <t>www.skydio.com</t>
  </si>
  <si>
    <t>2015: 2, 2016: 14, 2017: 50</t>
  </si>
  <si>
    <t>90588-88P</t>
  </si>
  <si>
    <t>Adam Bry</t>
  </si>
  <si>
    <t>adam@skydio.com</t>
  </si>
  <si>
    <t>114 Hazel Avenue</t>
  </si>
  <si>
    <t>flight@skydio.com</t>
  </si>
  <si>
    <t>The company raised $42 million of Series B venture funding in a round led by IVP and Playground Global on February 13, 2018, putting the company's pre-money valuation at $180 million. NVIDIA GPU Ventures, Andreessen Horowitz, Accel, and Kevin Durant also participated in the round. The company has raised $70 million in total funding to date.</t>
  </si>
  <si>
    <t>Accel, Andreessen Horowitz, CAA Ventures, IVP, Kevin Durant, NVIDIA GPU Ventures, Playground Global</t>
  </si>
  <si>
    <t>Accel(www.accel.com), Andreessen Horowitz(www.a16z.com), CAA Ventures(ventures.caa.com), IVP(www.ivp.com), Playground Global(www.playground.global)</t>
  </si>
  <si>
    <t>Greenough Consulting Group(Consulting), Perkins Coie(Legal Advisor)</t>
  </si>
  <si>
    <t>90135-91</t>
  </si>
  <si>
    <t>Skuid</t>
  </si>
  <si>
    <t>Justinmind, UXPin, Gliffy, Proto.io (IT Software), Sayspring, ProtoShare, Figma, iRise, BrainStorm (Training Software), CanvasFlip Solutions, MURAL, LucidChart, InVision (Multimedia and Design Software), Silver Flows, Marvel Prototyping, Webflow</t>
  </si>
  <si>
    <t>Developer of extensible cloud application development platform for rapidly creating and optimizing enterprise applications. The company's comprehensive platform seamlessly integrates with multiple databases and unifies disparate data sources to improve workflow processes that enable developers and non-technical users to design, develop and rapidly deploy enterprise applications.</t>
  </si>
  <si>
    <t>ui components, ui toolkit, user interface, user interface experience, user interface platform</t>
  </si>
  <si>
    <t>www.skuid.com</t>
  </si>
  <si>
    <t>2015: 22, 2016: 51, 2017: 138</t>
  </si>
  <si>
    <t>93529-90P</t>
  </si>
  <si>
    <t>Ken McElrath</t>
  </si>
  <si>
    <t>ken@skuid.com</t>
  </si>
  <si>
    <t>+1 (800) 515-2535</t>
  </si>
  <si>
    <t>Chattanooga, TN</t>
  </si>
  <si>
    <t>605 Chestnut Street</t>
  </si>
  <si>
    <t>Chattanooga</t>
  </si>
  <si>
    <t>37450</t>
  </si>
  <si>
    <t>info@skuid.com</t>
  </si>
  <si>
    <t>The company was acquired by Marlin Equity Partners through an LBO on April 16, 2019 for an undisclosed sum. As a result of transaction the company was recapitalized.</t>
  </si>
  <si>
    <t>ICONIQ Capital, Individual Investor, K1 Investment Management, Marlin Equity Partners, Salesforce Ventures</t>
  </si>
  <si>
    <t>ICONIQ Capital(www.iconiqcapital.com), K1 Investment Management(www.k1capital.com), Marlin Equity Partners(www.marlinequity.com)</t>
  </si>
  <si>
    <t>DLA Piper(Legal Advisor), Hurst &amp; Cromie(Legal Advisor), RJR Partners(Consulting)</t>
  </si>
  <si>
    <t>Recapitalization</t>
  </si>
  <si>
    <t>51361-84</t>
  </si>
  <si>
    <t>Skorpios Technologies</t>
  </si>
  <si>
    <t>Skorpios</t>
  </si>
  <si>
    <t>Ranovus, Finisar, NeoPhotonics, Source Photonics, Luxtera, Arteris, Flex Logix Technologies, NetSpeed Systems</t>
  </si>
  <si>
    <t>Operator of a fabless semiconductor company designed to deliver high integrated communications products based upon proprietary, wafer-scale and silicon photonics process. The company designs, develops and manufactures integrated optical modules and subsystems in support of the opto-electronic communications ecosystem, enabling customers to use high bandwidth interconnectivity at mature CMOS manufacturing costs and is use to address a wide range of applications such as high-speed video, data and voice communications for networking and cloud computing, storage, wireless and cable TV.</t>
  </si>
  <si>
    <t>Application Specific Semiconductors*, Fiberoptic Equipment, Other Semiconductors</t>
  </si>
  <si>
    <t>fabless semiconductor, integrated circuit, opto electronic modules</t>
  </si>
  <si>
    <t>www.skorpiosinc.com</t>
  </si>
  <si>
    <t>2014: 30, 2015: 45, 2017: 100</t>
  </si>
  <si>
    <t>36381-25P</t>
  </si>
  <si>
    <t>Stephen Krasulick</t>
  </si>
  <si>
    <t>stephen_krasulick@skorpiosinc.com</t>
  </si>
  <si>
    <t>+1 (505) 369-1542</t>
  </si>
  <si>
    <t>Albuquerque, NM</t>
  </si>
  <si>
    <t>7401 Snaproll Street NorthEast</t>
  </si>
  <si>
    <t>Albuquerque</t>
  </si>
  <si>
    <t>New Mexico</t>
  </si>
  <si>
    <t>87109</t>
  </si>
  <si>
    <t>information@skorpiosinc.com</t>
  </si>
  <si>
    <t>The company raised $38.33 million of Series G venture funding from Deutsche Telekom Strategic Investments, Cisco Investments and Sun Mountain Capital on March 28, 2018, putting the company's pre-money valuation at $695 million. Cottonwood Technology Fund also participated in the round.</t>
  </si>
  <si>
    <t>Campbell Scientific, Cisco Investments, Cottonwood Technology Fund, Deutsche Telekom Capital Partners, Ericsson Ventures, New Mexico Economic Development Department, Nokia Networks, Scotiabank Private Equity, Semtech, Square 1 Bank, Sun Mountain Capital</t>
  </si>
  <si>
    <t>Campbell Scientific(www.campbellsci.com), Cisco Investments(www.ciscoinvestments.com), Cottonwood Technology Fund(www.cottonwood.vc), Deutsche Telekom Capital Partners(www.telekom-capital.com), New Mexico Economic Development Department(gonm.biz), Nokia Networks(www.networks.nokia.com), Semtech(www.semtech.com), Square 1 Bank(www.square1bank.com), Sun Mountain Capital(www.sunmountaincapital.com)</t>
  </si>
  <si>
    <t>Banmerchant Chile(Advisor: General)</t>
  </si>
  <si>
    <t>O'Melveny &amp; Myers(Legal Advisor), Square 1 Bank(Debt Financing)</t>
  </si>
  <si>
    <t>53361-10</t>
  </si>
  <si>
    <t>Skimlinks</t>
  </si>
  <si>
    <t>VigLink</t>
  </si>
  <si>
    <t>Provider of an affiliate marketing tool. The company offers SkimLinks that converts existing links into affiliate marketing links and SkimWords recognizes product references in editorial and user generated content and turns these into shopping links that can earn the publisher money.</t>
  </si>
  <si>
    <t>IT Consulting and Outsourcing*, Social/Platform Software</t>
  </si>
  <si>
    <t>affiliations platform, content platform, product reference software</t>
  </si>
  <si>
    <t>www.skimlinks.com</t>
  </si>
  <si>
    <t>2011: 30, 2013: 55, 2014: 55, 2015: 86, 2016: 74, 2017: 85</t>
  </si>
  <si>
    <t>39116-71P</t>
  </si>
  <si>
    <t>Alicia Navarro</t>
  </si>
  <si>
    <t>Co-Founder, President &amp; Board Member</t>
  </si>
  <si>
    <t>alicia@skimlinks.com</t>
  </si>
  <si>
    <t>+1 (415) 598-8696</t>
  </si>
  <si>
    <t>52 Bevenden Street</t>
  </si>
  <si>
    <t>N1 6BL</t>
  </si>
  <si>
    <t>+44 (0)20 3397 1240</t>
  </si>
  <si>
    <t>bizdev-uk@skimlinks.com</t>
  </si>
  <si>
    <t>The company raised $16 million of Series C venture funding in a deal led by Frog Capital on February 4, 2015. Follow on investors Bertelsmann Digital Media Investments, Greycroft Partners, Sussex Place Ventures and Silicon Valley Bank also participated.</t>
  </si>
  <si>
    <t>500 Startups, Alexander Hoye, Barney Pell, Beenos Partners, Bertelsmann Digital Media Investments, Duncan Jennings, Forum Foundry, Forward Partners, Frog Capital, Greycroft, Hironori Maeda, LocalGlobe, Nesta, Richard Jalichandra, Robin Klein, Silicon Valley Bank, Sussex Place Ventures, The Acceleration Group, The International Conclave of Entrepreneurs, Venrex Investment Management</t>
  </si>
  <si>
    <t>500 Startups(www.500.co), Alexander Hoye(www.alexhoye.wordpress.com), Beenos Partners(www.beenos.com), Bertelsmann Digital Media Investments(www.bdmifund.com), Forum Foundry(www.forumfoundry.com), Forward Partners(www.forwardpartners.com), Frog Capital(www.frogcapital.com), Greycroft(www.greycroft.com), Hironori Maeda(hiromaeda.com), LocalGlobe(www.localglobe.vc), Nesta(www.nesta.org.uk), Robin Klein(www.the-accelerator.blogspot.com), Silicon Valley Bank(www.svb.com), Sussex Place Ventures(www.spventures.com), The Acceleration Group(www.acceleration-group.com), The International Conclave of Entrepreneurs(www.theicelist.com)</t>
  </si>
  <si>
    <t>Future Fifty(Consulting), Orrick, Herrington &amp; Sutcliffe(Legal Advisor), RSM UK(Auditor)</t>
  </si>
  <si>
    <t>Silicon Valley Bank(Debt Financing)</t>
  </si>
  <si>
    <t>55471-06</t>
  </si>
  <si>
    <t>SkimaTalk</t>
  </si>
  <si>
    <t>Developer of an online software platform intended to help people go global and create learning and teaching opportunities for everyone in the world. The company offers a global skill-sharing marketplace for connecting those, who desire to learn or teach, providing users with an easy, convenient and affordable way to share skills and knowledge without regard to differences in language, culture, and nationality.</t>
  </si>
  <si>
    <t>Educational Software</t>
  </si>
  <si>
    <t>Educational Software*, Social/Platform Software</t>
  </si>
  <si>
    <t>e-learning app, english classes, english learnin, english learning classes, language student, language-learning, online software platform, shares language</t>
  </si>
  <si>
    <t>www.skimatalk.com</t>
  </si>
  <si>
    <t>2014: 8, 2016: 34</t>
  </si>
  <si>
    <t>43843-06P</t>
  </si>
  <si>
    <t>Koji Shimizu</t>
  </si>
  <si>
    <t>koji@skimatalk.com</t>
  </si>
  <si>
    <t>3338 17th Street</t>
  </si>
  <si>
    <t>The company raised $100,000 of seed funding from Recruit Strategic Partners on October 23, 2012.</t>
  </si>
  <si>
    <t>55618-75</t>
  </si>
  <si>
    <t>Skillz</t>
  </si>
  <si>
    <t>Lookout Gaming</t>
  </si>
  <si>
    <t>GamerSaloon, Unikrn, Raptr, Fandom Gaming, Public Image</t>
  </si>
  <si>
    <t>Developer of a mobile gaming platform designed to connect mobile gamers through competition and making esports for everyone. The company's mobile eSports platform is a suite of software development kit tool that use the tournament management system (TMS) platform and can be integrated into iOS and Andriod games where mobile gamers can use their skills to compete, enabling game enthusiasts to compete in casual competitions as well as tournaments for real money.</t>
  </si>
  <si>
    <t>esports broadcasting, esports tournaments platform, gaming social platform, mobile esports, mobile gaming platform, tournaments management system, virtual currency tournaments</t>
  </si>
  <si>
    <t>www.skillz.com</t>
  </si>
  <si>
    <t>2012: 18, 2013: 30, 2014: 39, 2015: 42, 2017: 100</t>
  </si>
  <si>
    <t>36722-71P</t>
  </si>
  <si>
    <t>Andrew Paradise</t>
  </si>
  <si>
    <t>aparadise@skillz.com</t>
  </si>
  <si>
    <t>795 Folsom Street</t>
  </si>
  <si>
    <t>The company raised $25 million of Series C venture funding in a deal led by Telstra Ventures and Liberty Global Ventures and on December 13, 2017. Andy Miller, Bridge Bank, Accomplice, ATEL Capital Group, Sand Hill Angels and Wildcat Capital also participated in the round.</t>
  </si>
  <si>
    <t>Accomplice VC, Agman Partners, Andy Miller, Arizona Bay, ATEL Capital Group, Atlas Venture, Bridge Bank, Liberty Global Ventures, Marc Lasry, NextView Ventures, Pro Rata Opportunity Fund, Sand Hill Angels, Sequoia Capital, Telstra Ventures, The Kraft Family Foundation, Wildcat Capital Management</t>
  </si>
  <si>
    <t>Accomplice VC(www.accomplice.co), Agman Partners(www.agmanpartners.com), Arizona Bay(www.arizonabay.co), ATEL Capital Group(www.atel.com), Atlas Venture(www.atlasventure.com), Bridge Bank(www.bridgebank.com), NextView Ventures(www.nextviewventures.com), Pro Rata Opportunity Fund(www.proof.vc), Sand Hill Angels(www.sandhillangels.com), Sequoia Capital(www.sequoiacap.com), Telstra Ventures(www.telstraventures.com), Wildcat Capital Management(www.wildcatcap.com)</t>
  </si>
  <si>
    <t>Cooley(Legal Advisor), Mintz, Levin, Cohn, Ferris, Glovsky and Popeo(Legal Advisor)</t>
  </si>
  <si>
    <t>ATEL Capital Group(Debt Financing), Mintz, Levin, Cohn, Ferris, Glovsky and Popeo(Legal Advisor)</t>
  </si>
  <si>
    <t>65832-76</t>
  </si>
  <si>
    <t>Sixense Entertainment</t>
  </si>
  <si>
    <t>Sixense</t>
  </si>
  <si>
    <t>Atheer, Magic Leap</t>
  </si>
  <si>
    <t>Developer of modular motion tracking technologies designed for immersive experience. The company's full-presence platform combines VR and AR software with advanced motion-tracking hardware for delivering natural-feeling interactive experiences tailored to industry and cost-effectively.</t>
  </si>
  <si>
    <t>Multimedia and Design Software*</t>
  </si>
  <si>
    <t>3d modeling, modular motion tracking, motion tracking, vr application, vr gaming</t>
  </si>
  <si>
    <t>www.sixense.com</t>
  </si>
  <si>
    <t>2014: 21</t>
  </si>
  <si>
    <t>75339-19P</t>
  </si>
  <si>
    <t>Zachary Chun</t>
  </si>
  <si>
    <t>zachary@sixense.com</t>
  </si>
  <si>
    <t>+1 (408) 800-6749</t>
  </si>
  <si>
    <t>475 Alberto Way</t>
  </si>
  <si>
    <t>Suite 130</t>
  </si>
  <si>
    <t>+1 (408) 395-3444</t>
  </si>
  <si>
    <t>The company raised venture funding from Garage Technology Ventures on an undisclosed date. Samsung NEXT Ventures also participated in it.</t>
  </si>
  <si>
    <t>Garage Technology Ventures, Samsung NEXT Ventures</t>
  </si>
  <si>
    <t>Garage Technology Ventures(www.garage.com), Samsung NEXT Ventures(www.samsungnext.com)</t>
  </si>
  <si>
    <t>Lumina Communications(Advisor: Communications)</t>
  </si>
  <si>
    <t>171243-19</t>
  </si>
  <si>
    <t>Sitetracker</t>
  </si>
  <si>
    <t>Mavenlink, Leankor, Asana, inMotionNow, Screendragon, Smartsheet, Clarizen, Global Shop Solutions, AchieveIt, Airtable, BetterWorks, Impraise, Shoptech Software - Manufacturing Software, Sharpcloud, LeanKit, NQI, Planview PPM Pro, Upland Software, Wrike, Gridle, Epicor Software, LiquidPlanner, Producteev, Projectplace International, Moxtra, i-nexus, CollateBox, Replicon, VersionOne, GenSight, Pipedrive, Adrega AS, Wizeline, Basecamp, AgileZen, BambooHR, ECi Software Solutions, PlanView, CA Technologies, Deltek Danmark, Keyedin Solutions, productboard, Allthings, TeamGantt, Symphony Communication Services, Workfront, Daptiv, RedBooth, Insightly, Timesheets.com, Changepoint, 7Geese</t>
  </si>
  <si>
    <t>Provider of an enterprise project and asset management software designed to manage official information and automate workflows. The company's SaaS based project management software collects, stores, manages and interprets data in real-time, generates reports and forecasts and automates workflows delivering actionable metrics to manage projects, enabling businesses to handle official tasks, manage teams and organize corporate data quickly, safely and precisely.</t>
  </si>
  <si>
    <t>automated workflow, data aggregation platform, data management system, enterprise asset management system, enterprise project management, project management platform, workflow automation software</t>
  </si>
  <si>
    <t>www.sitetracker.com</t>
  </si>
  <si>
    <t>2017: 6</t>
  </si>
  <si>
    <t>162861-40P</t>
  </si>
  <si>
    <t>Giuseppe Incitti</t>
  </si>
  <si>
    <t>gincitti@sitetraker.com</t>
  </si>
  <si>
    <t>Montclair, NJ</t>
  </si>
  <si>
    <t>491 Bloomfield Avenue</t>
  </si>
  <si>
    <t>Montclair</t>
  </si>
  <si>
    <t>07042</t>
  </si>
  <si>
    <t>info@sitetraker.com</t>
  </si>
  <si>
    <t>The company raised $38 million of Series B venture funding in a deal led by New Enterprise Associates on May 29, 2019, putting the company's pre-money valuation at $84 million. Salesforce Ventures, National Grid Partners, Energize Ventures, The Dcode Group and Wells Fargo also participated in the round. The company which has raised $49 million in total funding to date, intends to use the funds to expand operations and product development efforts.</t>
  </si>
  <si>
    <t>Energize Ventures, National Grid, National Grid Partners, New Enterprise Associates, Salesforce Ventures, The Dcode Group, Wells Fargo</t>
  </si>
  <si>
    <t>Energize Ventures(www.energize.vc), National Grid(www.nationalgrid.com), National Grid Partners(www.ngpartners.com), New Enterprise Associates(www.nea.com), The Dcode Group(www.dcode.co), Wells Fargo(www.wellsfargo.com)</t>
  </si>
  <si>
    <t>55224-19</t>
  </si>
  <si>
    <t>SIPP (beverage)</t>
  </si>
  <si>
    <t>SIPP</t>
  </si>
  <si>
    <t>Flavorman, Boylan Bottling, Spindrift Beverage, KeVita, REED'S, BluePrint, Health-Ade, Califia Farms, Suja, National Flavors (Food Products), GoodBelly, Q Mixers, FISA, Zevia, True Citrus, Nomva, Organic Avenue, Bfit Brands, Pressed Juicery, Clearly Kombucha, Chameleon Cold Brew, Wild Flavors, Urban Remedy</t>
  </si>
  <si>
    <t>Producer of organic beverages designed to create unique layers of blended fruits and herbs into a refreshing sparkling beverage. The company's SIPP beverages are a combination of natural organic ingredients sweetened with agave nectar creating layers of flavors in each bottle, enabling customers to experience a refreshing drink.</t>
  </si>
  <si>
    <t>organic beverages, organic drinks, organic fruits drinks, organic soda</t>
  </si>
  <si>
    <t>www.haveasipp.com</t>
  </si>
  <si>
    <t>43300-72P</t>
  </si>
  <si>
    <t>Beth Wilson-Parentice</t>
  </si>
  <si>
    <t>Founder, President &amp; Board Member</t>
  </si>
  <si>
    <t>+1 (866) 222-4735</t>
  </si>
  <si>
    <t>Chester Springs, PA</t>
  </si>
  <si>
    <t>1725 Conestoga Road</t>
  </si>
  <si>
    <t>Chester Springs</t>
  </si>
  <si>
    <t>19425</t>
  </si>
  <si>
    <t>hello@haveasipp.com</t>
  </si>
  <si>
    <t>The company raised $1.25 million of Series D1 venture funding from undisclosed investors on March 21, 2017, putting the pre-money valuation at $5.7 million. As a part of this round, the company underwent a stock reclassification.</t>
  </si>
  <si>
    <t>Series D1</t>
  </si>
  <si>
    <t>56319-13</t>
  </si>
  <si>
    <t>Singularity University</t>
  </si>
  <si>
    <t>SU</t>
  </si>
  <si>
    <t>Learning Pool, Blackboard</t>
  </si>
  <si>
    <t>Operator of an education center and accelerator designed to offer educational programs and a business incubation. The company's education center and accelerator focuses on exponential technologies such as robotics, nanotechnology and biotech.</t>
  </si>
  <si>
    <t>Education and Training Services (B2B)*, Educational and Training Services (B2C)</t>
  </si>
  <si>
    <t>LOHAS &amp; Wellness, Nanotechnology, TMT</t>
  </si>
  <si>
    <t>accelerator, education center, robotics, technology education</t>
  </si>
  <si>
    <t>www.su.org</t>
  </si>
  <si>
    <t>2014: 183, 2015: 203</t>
  </si>
  <si>
    <t>69340-69P</t>
  </si>
  <si>
    <t>David Hill</t>
  </si>
  <si>
    <t>Vice President of Faculty, Content, and Curriculum</t>
  </si>
  <si>
    <t>david.hill@su.org</t>
  </si>
  <si>
    <t>+1 (650) 200-3434</t>
  </si>
  <si>
    <t>NASA Research Park</t>
  </si>
  <si>
    <t>Building 20 South Akron Road, MS 20-1, Moffett Field</t>
  </si>
  <si>
    <t>+1 (650) 360-0970</t>
  </si>
  <si>
    <t>info@su.org</t>
  </si>
  <si>
    <t>The company raised $32 million of Series B venture funding in a deal led by Boeing HorizonX and WestRiver Group on February 15, 2018, putting the company's pre-money valuation at $98 million. Boeing, Silicon Valley Bank, Tal Education Group, PeopleFund, Decacorn Capital, Network Society Ventures and Bold Capital Partners also participated in the round. The company will use the funding to further empower the company's nearly 170,000-strong global ecosystem spanning individuals, startups, corporations, governments, nonprofits, academic institutions, faculty and investor groups by supporting the worldwide expansion of its programs.</t>
  </si>
  <si>
    <t>B37 Ventures, Boeing, Boeing HorizonX, Bold Capital Partners, Bryan Johnson, Corigin Ventures, Decacorn Capital, Kuan Capital, Learn Capital, MicroVentures, Network Society Ventures, PeopleFund, Silicon Valley Bank, Tal Education Group, The Halo Fund, WestRiver Group</t>
  </si>
  <si>
    <t>B37 Ventures(www.b37.vc), Boeing(www.boeing.com), Bold Capital Partners(www.boldcapitalpartners.com), Bryan Johnson(bryanjohnson.co), Corigin Ventures(www.coriginventures.com), Decacorn Capital(www.decacorncapital.com), Kuan Capital(www.kuancapital.com), Learn Capital(www.learncapital.com), MicroVentures(www.microventures.com), Network Society Ventures(www.netsoc.vc), PeopleFund(www.peoplefund.com), Silicon Valley Bank(www.svb.com), Tal Education Group(www.100tal.com), The Halo Fund(www.halofund.com), WestRiver Group(www.wrg.vc)</t>
  </si>
  <si>
    <t>Cooley(Legal Advisor), Simple Startup(Advisor: General)</t>
  </si>
  <si>
    <t>Cooley(Legal Advisor), Needham &amp; Company(Advisor: General)</t>
  </si>
  <si>
    <t>117692-92</t>
  </si>
  <si>
    <t>Simpplr</t>
  </si>
  <si>
    <t>Jive Software, Zinc, Slack, Bonzai Intranet, Sitrion, Jostle, SocialText, Beekeeper, MangoSpring</t>
  </si>
  <si>
    <t>Provider of employee community and help desk products. The company provides its clients with a platform that connects employees with information and applications across all departments, locations and time zones in a company, while providing personalized information for users based on their roles, interests and permissions.</t>
  </si>
  <si>
    <t>HR Tech, Mobile, SaaS, TMT</t>
  </si>
  <si>
    <t>employee collaboration, employee communication, employee engagement, internal communication</t>
  </si>
  <si>
    <t>www.simpplr.com</t>
  </si>
  <si>
    <t>145331-83P</t>
  </si>
  <si>
    <t>Dhiraj Sharma</t>
  </si>
  <si>
    <t>dhiraj@simpplr.com</t>
  </si>
  <si>
    <t>+1 (650) 396-2646</t>
  </si>
  <si>
    <t>100 Marine Parkway</t>
  </si>
  <si>
    <t>+1 (877) 750-8330</t>
  </si>
  <si>
    <t>The company raised $6 million of Series A venture funding in a deal led by Norwest Venture Partners on August 24, 2016, putting the pre-money valuation at $14.34 million. Salesforce Ventures and Simplion Technologies also participated in this round. The company intends to use the funds to accelerate development of its flagship Simpplr Employee Community product and to expand Simpplr Employee Help Desk.</t>
  </si>
  <si>
    <t>Norwest Venture Partners, Salesforce Ventures, Simplion Technologies</t>
  </si>
  <si>
    <t>Norwest Venture Partners(www.nvp.com), Simplion Technologies(simplion.com)</t>
  </si>
  <si>
    <t>62937-91</t>
  </si>
  <si>
    <t>Simplus</t>
  </si>
  <si>
    <t>Outbox Systems</t>
  </si>
  <si>
    <t>Advanced Technology Group, Silverline, Appirio, Configero, SAS Institute, Bluewolf Group, Astadia, Oracle, Avaus Consulting, REAN Cloud, Netcracker Technology, Insite Software Solutions, Salesforce, Cloud Ararat</t>
  </si>
  <si>
    <t>Provider of cloud integration services designed to help users streamline workflows and business processes. The company's cloud integration services include data synchronization services built on a proprietary platform optimized for client success, enabling clients to synchronize and integrate data, freeing them from the complexity of moving data between systems.</t>
  </si>
  <si>
    <t>Business/Productivity Software*, Consulting Services (B2B), Systems and Information Management</t>
  </si>
  <si>
    <t>business process, cloud integration, data integration, data synchronization, sales cloud, salesforce management, salesforce support</t>
  </si>
  <si>
    <t>www.simplus.com</t>
  </si>
  <si>
    <t>87748-12P</t>
  </si>
  <si>
    <t>Blake Hannon</t>
  </si>
  <si>
    <t>+1 (833) 746-7587</t>
  </si>
  <si>
    <t>10 West Broadway</t>
  </si>
  <si>
    <t>84101</t>
  </si>
  <si>
    <t>The company raised $26.5 million of Series C venture funding in a deal led by Kensington Capital Ventures on January 30, 2019, putting the company's pre-money valuation at $110 million. Salesforce Ventures, University Growth Fund, Cross Creek, Savano Capital Partners, EPIC Ventures, Paul Fletcher, Christopher Pitzak and Godard Abel also participated in this round. Out of the total amount raised, $6.5 million was raised in the form of debt financing from Silicon Valley Bank. The funds will be used by the company to further increase capacity across its product and service offerings, as well as acquire companies with complementary solutions valuable to customers.</t>
  </si>
  <si>
    <t>Alan Hall, Christopher Pitzak, Cross Creek, EPIC Ventures, Eric Morgan, Godard Abel, Infinite Investments, Joshua James, JW Capital, Kensington Capital Ventures, Kent Madsen, PreludeDx, Salesforce Ventures, Savano Capital Partners, Service Provider Capital, Silicon Valley Bank, Travis Johnson, University Growth Fund</t>
  </si>
  <si>
    <t>Alan Hall(www.alanehall.com), Cross Creek(www.crosscreek.vc), EPIC Ventures(www.epicvc.com), Infinite Investments(www.infiniteinvestments.us), Joshua James(www.joshjames.com), JW Capital(www.jwcapital.com), Kensington Capital Ventures(www.kcventures.com), PreludeDx(www.preludedx.com), Savano Capital Partners(savanocapital.com), Service Provider Capital(www.serviceprovidercapital.com), Silicon Valley Bank(www.svb.com), University Growth Fund(www.ugrowthfund.com)</t>
  </si>
  <si>
    <t>138689-02</t>
  </si>
  <si>
    <t>Simplex (Israel)</t>
  </si>
  <si>
    <t>Coinify, ShapeShift, Ripple, itBit, GreenAddress, BitPay, Bitfinex, BitGo, Tech Bureau, GoCoin</t>
  </si>
  <si>
    <t>Provider of bitcoin payment processing technology designed to offer bitcoin purchases via credit card. The company's technology provides bitcoin exchanges, broker websites and wallet applications with a risk-free platform using fraud analysis and risk management fraud detection for selling bitcoins online via credit card transactions, enabling businesses to focus on their operations by providing fraudless, worldwide payments processing.</t>
  </si>
  <si>
    <t>Financial Software*, Social/Platform Software, Vertical Market Software</t>
  </si>
  <si>
    <t>Cryptocurrency/Blockchain, FinTech, TMT</t>
  </si>
  <si>
    <t>bitcoin exchange, bitcoin payment, bitcoin payment processing, bitcoin payment technology, bitcoin wallets application</t>
  </si>
  <si>
    <t>www.simplex.com</t>
  </si>
  <si>
    <t>2016: 13, 2018: 70</t>
  </si>
  <si>
    <t>127410-04P</t>
  </si>
  <si>
    <t>Nimrod Lehavi</t>
  </si>
  <si>
    <t>nimrod@simplex.com</t>
  </si>
  <si>
    <t>Ha-Yetsira (Bursa)</t>
  </si>
  <si>
    <t>The company raised $7 million of Series A venture funding from Bitmain Technologies, Cumberland Mining and FundersClub on January 11, 2016. Tunistic Capital and other undisclosed investors also participated in the round. Previously, the company received $400,000 of grant funding from Israel Innovation Authority on March 1, 2015.</t>
  </si>
  <si>
    <t>Agile Wings, Bitmain, Cumberland Mining, DRW Venture Capital, FundersClub, iAngels, Israel Innovation Authority, Tunistic Capital, Yaron Lemelbaum</t>
  </si>
  <si>
    <t>Agile Wings(www.agilewings.com), Bitmain(www.bitmain.com), Cumberland Mining(www.cumberlandmining.com), DRW Venture Capital(www.drwvc.com), FundersClub(www.fundersclub.com), iAngels(www.iangels.co), Israel Innovation Authority(www.innovationisrael.org.il), Tunistic Capital(www.tunistic.com)</t>
  </si>
  <si>
    <t>59226-04</t>
  </si>
  <si>
    <t>Simplesurance</t>
  </si>
  <si>
    <t>UniRisX, JustInCase, PolicyPal, Trōv, benefix, Hepstar, Aisus, EIS Group Properties, Clark (Digital Insurance Platform), friendsurance, Lemonade, Slice Labs, Goji, BizInsure, Socotra, Bunker, Duck Creek Technologies, Foundershield, Hippo Insurance, Kin Insurance</t>
  </si>
  <si>
    <t>Provider of an online point-of-sale insurance platform designed to provide simple access to insurance. The company's online platform helps in cross-selling of product insurances directly at the point of sale in e-commerce, enabling consumers to manage their insurance policies digitally via a multi-device application.</t>
  </si>
  <si>
    <t>Other Insurance, Vertical Market Software*</t>
  </si>
  <si>
    <t>E-Commerce, InsurTech</t>
  </si>
  <si>
    <t>insurance ecommerce, insurance platform, insurance policy, product insurance, product insurance platform, purchasing process</t>
  </si>
  <si>
    <t>www.simplesurance.com</t>
  </si>
  <si>
    <t>2013: 25, 2014: 19, 2015: 50, 2016: 100, 2017: 150, 2018: 150</t>
  </si>
  <si>
    <t>55018-00P</t>
  </si>
  <si>
    <t>Joachim Bonin</t>
  </si>
  <si>
    <t>Co-Founder, Chief Financial Officer &amp; Managing Director</t>
  </si>
  <si>
    <t>joachim@schutzklick.de</t>
  </si>
  <si>
    <t>+49 (0)35 8108 4</t>
  </si>
  <si>
    <t>Hallesches Ufer 60</t>
  </si>
  <si>
    <t>10963</t>
  </si>
  <si>
    <t>info@simplesurance.com</t>
  </si>
  <si>
    <t>The company received $11.5 of financing from Tokio Marine Holdings and ODDO BHF Group on October 2, 2018. The company intends to use the funds to enter the country's market in the near future, open an office and build a local team in Japan, which will also be the start of a larger-scale Asian expansion. Earlier this year, the company raised $24 million of Series C venture funding in a deal led by Allianz X on May 8, 2018.</t>
  </si>
  <si>
    <t>Allianz X, Assurant Growth Investing, Born2Grow, Florian Schulte, Gebrüder Mende, German Startups Group, Gröger Management, KfW IPEX-Bank, Mountain Partners, ODDO BHF Group, Rakuten Capital, Rheingau Founders, Route 66 Ventures, Rouven Dresselhaus, Rudolf Gröger, Tokio Marine Holdings, Voltage Ventures</t>
  </si>
  <si>
    <t>Allianz X(www.allianzx.com), Assurant Growth Investing(www.assurantgrowthinvesting.com), Born2Grow(www.born2grow.de), Gebrüder Mende(www.mende.de), German Startups Group(www.german-startups.com), Gröger Management(www.groeger-management.de), KfW IPEX-Bank(www.kfw-ipex-bank.de), Mountain Partners(www.mountain.partners), ODDO BHF Group(www.oddo-bhf.com), Rakuten Capital(capital.rakuten.com), Rheingau Founders(www.rheingau-founders.com), Route 66 Ventures(www.route66ventures.com), Tokio Marine Holdings(www.tokiomarinehd.com), Voltage Ventures(www.voltage.g2team.pl)</t>
  </si>
  <si>
    <t>Drake Star Partners(Advisor: General), Roehrborn(Legal Advisor)</t>
  </si>
  <si>
    <t>56670-76</t>
  </si>
  <si>
    <t>simAb</t>
  </si>
  <si>
    <t>Developer of a technology designed to provide innovative biotechnological services. The company's technology offers new drugs and therapies that has been produced as per needs, enabling patients to get the required services and treatments.</t>
  </si>
  <si>
    <t>Biotechnology</t>
  </si>
  <si>
    <t>Biotechnology*, Drug Discovery</t>
  </si>
  <si>
    <t>biotechnological services, biotechnology, inflammatory disease</t>
  </si>
  <si>
    <t>www.simab.eu</t>
  </si>
  <si>
    <t>132099-04P</t>
  </si>
  <si>
    <t>Piotr Kamiński</t>
  </si>
  <si>
    <t>Krakow, Poland</t>
  </si>
  <si>
    <t>ul. Bobrzynskiego 14</t>
  </si>
  <si>
    <t>Krakow</t>
  </si>
  <si>
    <t>30-348</t>
  </si>
  <si>
    <t>Poland</t>
  </si>
  <si>
    <t>Eastern Europe</t>
  </si>
  <si>
    <t>The company raised EUR 1.7 of seed funding from SATUS Ventures and JCI Ventures on February 27, 2012.</t>
  </si>
  <si>
    <t>JCI Venture, SATUS Venture</t>
  </si>
  <si>
    <t>JCI Venture(www.jciventure.pl), SATUS Venture(www.satus.pl)</t>
  </si>
  <si>
    <t>173790-46</t>
  </si>
  <si>
    <t>Silverline</t>
  </si>
  <si>
    <t>Advanced Technology Group, Oakwood (Media and Information Services), CRM Manager, Tribridge, Simplus, Bluewolf Group, Configero, makepositive, Statera (Cloud Management), Avaus Consulting, Summa Technologies, Agile CRM, Acumen Solutions, Appirio, cDecisions, The North Highland Company, Magnet 360, Incapsula</t>
  </si>
  <si>
    <t>Provider of a cloud alliance platform designed to focus on the end-to-end implementation of third party applications. The company's cloud alliance platform offers results-driven methodology leveraging best practices developed over 900+ deployments, with deep expertise in financial Services, healthcare, and Force.com services, enabling clients to have robust salesforce implementations.</t>
  </si>
  <si>
    <t>Business/Productivity Software*, Consulting Services (B2B)</t>
  </si>
  <si>
    <t>alliance platform, alliance services, business problems, cloud alliance platform, cloud services, custom development solutions, salesforce platform, salesforce support</t>
  </si>
  <si>
    <t>www.silverlinecrm.com</t>
  </si>
  <si>
    <t>163417-06P</t>
  </si>
  <si>
    <t>Gireesh Sonnad</t>
  </si>
  <si>
    <t>Co-Founder, Chief Executive Officer and Partner</t>
  </si>
  <si>
    <t>gireesh.sonnad@silverlinecrm.com</t>
  </si>
  <si>
    <t>+1 (800) 353-0893</t>
  </si>
  <si>
    <t>860 Broadway</t>
  </si>
  <si>
    <t>The company received $95 million of development capital from Pamlico Capital on February 3, 2018.</t>
  </si>
  <si>
    <t>Pamlico Capital, Salesforce Ventures</t>
  </si>
  <si>
    <t>Pamlico Capital(www.pamlicocapital.com)</t>
  </si>
  <si>
    <t>Bank of America(Debt Financing), Honigman(Legal Advisor), Marlin Business Services(Debt Financing), William Blair &amp; Company(Advisor: General)</t>
  </si>
  <si>
    <t>51154-21</t>
  </si>
  <si>
    <t>Siluria Technologies</t>
  </si>
  <si>
    <t>Siluria</t>
  </si>
  <si>
    <t>Developer of a direct chemical process intended for manufacturing fuels and chemicals made from abundant natural gas and low value byproducts. The company's chemical process combines nano-materials, catalyst development and chemical engineering, to convert natural gas into higher-value products, enabling clients to convert ethylene to liquid fuels such as gasoline, diesel or jet fuel.</t>
  </si>
  <si>
    <t>CleanTech, Nanotechnology, Oil &amp; Gas</t>
  </si>
  <si>
    <t>chemicals conversion, chemicals conversion technology, natural gas conversion, natural gas energy, petrochemical industry</t>
  </si>
  <si>
    <t>www.siluria.com</t>
  </si>
  <si>
    <t>148486-51P</t>
  </si>
  <si>
    <t>Robert Trout</t>
  </si>
  <si>
    <t>robert.trout@siluriatech.com</t>
  </si>
  <si>
    <t>+1 (415) 978-2170</t>
  </si>
  <si>
    <t>409 Illinois Street</t>
  </si>
  <si>
    <t>94158</t>
  </si>
  <si>
    <t>info@siluriatech.net</t>
  </si>
  <si>
    <t>The company raised an undisclosed amount of venture funding from Kleiner Perkins on January 1, 2019.</t>
  </si>
  <si>
    <t>Air Liquide Global E&amp;C Solutions Germany, Alexandria Real Estate Equities, Alloy Ventures, ARCH Venture Partners, Bock Family Ventures, Bright Capital, California Institute for Quantitative Biosciences, Individual, Kleiner Perkins, Lighthouse Capital Partners, Lux Capital, Maire Tecnimont, National Petrochemical Industrial Company, Presidio Ventures, Saudi Aramco Energy Ventures, Vulcan Capital, Wellcome Trust</t>
  </si>
  <si>
    <t>Altitude Life Science Ventures</t>
  </si>
  <si>
    <t>Alexandria Real Estate Equities(www.are.com), Alloy Ventures(www.alloyventures.com), ARCH Venture Partners(www.archventure.com), Bright Capital(www.bright-capital.com), California Institute for Quantitative Biosciences(www.qb3.org), Kleiner Perkins(www.kleinerperkins.com), Lighthouse Capital Partners(lcpartners.com), Lux Capital(www.luxcapital.com), Maire Tecnimont(www.mairetecnimont.com), Presidio Ventures(www.presidio-ventures.com), Saudi Aramco Energy Ventures(www.saev.com), Vulcan Capital(capital.vulcan.com), Wellcome Trust(www.wellcome.ac.uk)</t>
  </si>
  <si>
    <t>Altitude Life Science Ventures(www.altitudelsv.com)</t>
  </si>
  <si>
    <t>51651-01</t>
  </si>
  <si>
    <t>Silixa</t>
  </si>
  <si>
    <t>Developer of a range of sensing solutions for energy and security applications. The company offers intelligent distributed acoustic and distributed temperature sensors that can be processed and used in a variety of applications including flow metering, acoustic imaging, and pipeline and perimeter monitoring.</t>
  </si>
  <si>
    <t>Electronic Equipment and Instruments, Other Commercial Services*</t>
  </si>
  <si>
    <t>fiber optic sensing, optical fiber sensor, temperature sensor</t>
  </si>
  <si>
    <t>www.silixa.com</t>
  </si>
  <si>
    <t>36678-34P</t>
  </si>
  <si>
    <t>Tom Parker</t>
  </si>
  <si>
    <t>tom.parker@silixa.com</t>
  </si>
  <si>
    <t>+44 (0)20 8327 4210</t>
  </si>
  <si>
    <t>Elstree, United Kingdom</t>
  </si>
  <si>
    <t>Silixa House, 230 Centennial Park</t>
  </si>
  <si>
    <t>Centennial Avenue, Hertfordshire</t>
  </si>
  <si>
    <t>Elstree</t>
  </si>
  <si>
    <t>WD6 3SN</t>
  </si>
  <si>
    <t>+44 (0)20 8953 4362</t>
  </si>
  <si>
    <t>The company received $8 million development capital from Chevron Technology Ventures and Equinor Technology Ventures on August 23, 2012.</t>
  </si>
  <si>
    <t>Chevron Technology Ventures, Equinor Technology Ventures, Lime Rock Partners</t>
  </si>
  <si>
    <t>Lime Rock Partners(www.lrpartners.com)</t>
  </si>
  <si>
    <t>HSBC Bank UK(Debt Financing), HSBC Invoice Finance (UK)(Debt Financing), Lawrence Grant(Auditor)</t>
  </si>
  <si>
    <t>55234-36</t>
  </si>
  <si>
    <t>Sila Nanotechnologies</t>
  </si>
  <si>
    <t>Sila</t>
  </si>
  <si>
    <t>Amprius, Dukosi, 24M, Hyperdrive Innovation, Seeo, Leyden Energy, Envia Systems, Primus Power, OXIS Energy, NOHMs Technologies, Boston Power, ZPower, Eos Energy Storage, Sion Power, Imprint Energy, Aquion Energy, SolidEnergy, Enevate, Solid Power, Greensmith Energy</t>
  </si>
  <si>
    <t>Provider of revolutionary car batteries intended to improve energy storage options. The company's batteries can be used in smaller, lighter, longer-lasting electronic devices to unlock mass adoption of affordable, long-range electric vehicles, enabling users to access batteries that are lighter, smaller and cheaper than today's state of the art lithium-ion technology.</t>
  </si>
  <si>
    <t>Automotive, Energy Storage*</t>
  </si>
  <si>
    <t>CleanTech, Industrials, LOHAS &amp; Wellness, TMT</t>
  </si>
  <si>
    <t>battery and materials, battery manufacturer, energy storage device, energy storage materials, energy storage tools, grid scale energy</t>
  </si>
  <si>
    <t>www.silanano.com</t>
  </si>
  <si>
    <t>2015: 29, 2018: 100</t>
  </si>
  <si>
    <t>45122-95P</t>
  </si>
  <si>
    <t>Gene Berdichevsky</t>
  </si>
  <si>
    <t>gene@silanano.com</t>
  </si>
  <si>
    <t>+1 (408) 475-7452</t>
  </si>
  <si>
    <t>Alameda, CA</t>
  </si>
  <si>
    <t>2450 Mariner Square Loop</t>
  </si>
  <si>
    <t>Alameda</t>
  </si>
  <si>
    <t>94501</t>
  </si>
  <si>
    <t>+1 (707) 901-7452</t>
  </si>
  <si>
    <t>info@silanano.com</t>
  </si>
  <si>
    <t>The company raised $170 million of Series E venture funding in a deal led by Daimler on April 16, 2019, putting the company's pre-money valuation at $820 million. Sutter Hill Ventures, Matrix Partners, Bessemer Venture Partners, Next47, Chengwei Capital and 8VC also participated in the round. The funds will be used to bring the company's batteries to the market.</t>
  </si>
  <si>
    <t>8VC, Advanced Technology Development Center, ATL, Chengwei Capital, Contemporary Amperex Technology, Daimler, Georgia Tech VentureLab, In-Q-Tel, Intuitive Private Equity, Matrix Partners, Next47, Samsung Venture Investment, Sutter Hill Ventures</t>
  </si>
  <si>
    <t>8VC(www.8vc.com), Advanced Technology Development Center(www.atdc.org), ATL(www.atlbattery.com), Chengwei Capital(www.chengwei.com), Contemporary Amperex Technology(www.catlbattery.com), Daimler(www.daimler.com), Georgia Tech VentureLab(www.venturelab.gatech.edu), In-Q-Tel(www.iqt.org), Intuitive Private Equity(www.intuitivepe.com), Matrix Partners(www.matrixpartners.com), Next47(Next47.com), Samsung Venture Investment(www.samsungventures.com), Sutter Hill Ventures(www.shv.com)</t>
  </si>
  <si>
    <t>183923-74</t>
  </si>
  <si>
    <t>Signature Medical (Monitoring Equipment)</t>
  </si>
  <si>
    <t>Developer of a medical wearable product intended to evaluate heart failure within patients. The company's medical wearable product with its proprietary cloud-based audio technology and artificial intelligence offers remote monitoring and evaluation of heart failure services, enabling the clients to monitor the improvement status within patient outcomes while preventing hospital re-admissions.</t>
  </si>
  <si>
    <t>Artificial Intelligence &amp; Machine Learning, Digital Health, Life Sciences, SaaS, TMT, Wearables &amp; Quantified Self</t>
  </si>
  <si>
    <t>heart failure sensor, heart failure treatment, medical wearable product</t>
  </si>
  <si>
    <t>13755-70P</t>
  </si>
  <si>
    <t>Omar Amirana</t>
  </si>
  <si>
    <t>+1 (617) 419-1800</t>
  </si>
  <si>
    <t>The company raised $2.5 million of Series A venture funding from Riot Ventures, Bose Ventures and Allied Minds (LSE: ALM) on July 25, 2017, putting the pre-money valuation at $2 million. Proceeds from this financing will be used to accelerate the development and commercialization of the AcoustiCare system.</t>
  </si>
  <si>
    <t>Allied Minds, Bose Ventures, Riot Ventures</t>
  </si>
  <si>
    <t>Allied Minds(www.alliedminds.com), Bose Ventures(bose.ventures), Riot Ventures(riot.vc)</t>
  </si>
  <si>
    <t>103080-70</t>
  </si>
  <si>
    <t>Signal Media</t>
  </si>
  <si>
    <t>Signal</t>
  </si>
  <si>
    <t>Shareablee, Bottlenose, Direct Labs Technology Communication &amp; Marketing, Hootsuite, MediaRadar, LeadSift, Meltwater, DataSift, Sprinklr, Sprout Social, Pathmatics, Zignal Labs, Brand Embassy, Percolate, Prime Research International, Frrole, VoloMetrix, Simply Measured, NUVI, quintly, TrackMaven, NextMark, Brand24, Heap, Brandwatch, TrendKite, Sparkcentral, NewsCred, Socialbakers, BehaviorMatrix, Tracx, Vidiro, Facelift Cloud, Spredfast, Traackr, Brand Networks, Woopra, Mention Solutions, Dynamic Signal, ApexDrop, Nanigans, Pixability, ScribbleLive, Engagor, Socialmetrix, Talkwalker, Unmetric, Crimson Hexagon, Germinait Solutions, ListenFirst Media, Idiomatic, NetBase, Main Street Hub, Kenshoo, LiveWorld, Go Squared, Brandtology, SocialMedia Networks, ThoughtBuzz, Verto Analytics, Feedburner, Conversocial, Lithium Technologies, Circus Social, L'Argus de la Presse, Socialware, Synthesio, Digimind</t>
  </si>
  <si>
    <t>Provider of a reputation management and decision support platform designed to transform information into accessible and actionable insight. The company's an artificial intelligence media monitoring platform offers a machine learning-powered topic classification system that lets users to aggregate, analyze and make sense of the world's data which includes news, social media and regulatory data thus transforming them into actionable insights for businesses to make smarter, faster business decisions.</t>
  </si>
  <si>
    <t>decision support platform, media monitoring platform, reputation management platform</t>
  </si>
  <si>
    <t>www.signal-ai.com</t>
  </si>
  <si>
    <t>2015: 14, 2016: 50, 2018: 100</t>
  </si>
  <si>
    <t>96973-12P</t>
  </si>
  <si>
    <t>David Benigson</t>
  </si>
  <si>
    <t>david.benigson@signal.uk.com</t>
  </si>
  <si>
    <t>+44 (0)20 3828 8200</t>
  </si>
  <si>
    <t>32-38 Leman Street</t>
  </si>
  <si>
    <t>E1 8EW</t>
  </si>
  <si>
    <t>hello@signalmedia.co</t>
  </si>
  <si>
    <t>The company raised $16 million of Series B venture funding through a combination of debt and equity in a deal led by GMG Ventures on June 27, 2018. REV Venture Partners, LocalGlobe, MMC Ventures, Hearst Ventures and Frontline Ventures also participated in the round. The company intends to use the funds to build out the AI-driven features of the product and expand further into the U.S.</t>
  </si>
  <si>
    <t>Andrew Jennings, Andrew Phillipps, Frontline Ventures, GMG Ventures, Hearst Ventures, Jonathan Goodwin, Jonathan Moulton, Kreos Capital, LocalGlobe, MMC Ventures, Perscitus, Rahul Powar, REV Venture Partners, Robin Klein, Samos Investments</t>
  </si>
  <si>
    <t>Frontline Ventures(www.frontline.vc), GMG Ventures(www.gmgventures.co), Kreos Capital(www.kreoscapital.com), LocalGlobe(www.localglobe.vc), MMC Ventures(www.mmcventures.com), Perscitus(www.perscitusllp.com), REV Venture Partners(www.rev.vc), Robin Klein(www.the-accelerator.blogspot.com), Samos Investments(samos.vc)</t>
  </si>
  <si>
    <t>Harper James Solicitors(Legal Advisor)</t>
  </si>
  <si>
    <t>Kreos Capital(Debt Financing)</t>
  </si>
  <si>
    <t>58419-55</t>
  </si>
  <si>
    <t>Sight Machine</t>
  </si>
  <si>
    <t>Ingenuitas</t>
  </si>
  <si>
    <t>ICONICS, Drishti, TrendMiner, NarrativeWave, Konux, Black Lake Technologies, Vitria Technology, Rubikloud, Ayla Networks, Bit Stew Systems, Numetric, DataRobot, SpaceTime, Xively, Looker, Predikto, Wonderware Southern Africa, OAG Analytics, Seeq, Lotame Solutions, Mnubo, Terminus Technologies, Falkonry, Domo, Uptake, Exosite, Sixgill, Clockwork Solutions, Aspen Technology</t>
  </si>
  <si>
    <t>Developer of a digital manufacturing platform designed to address critical challenges in quality and productivity throughout the enterprise. The company's platform uses artificial intelligence, machine learning and advanced analytics that allow manufacturers to use all of their data, no matter where or in what format it's created, using an automated and systematic data intake process that acquires, refines and contextualizes data, creating a digital twin of each part and process, enabling companies to gain real-time visibility and actionable insights for every part, machine, line and plant throughout a manufacturing enterprise.</t>
  </si>
  <si>
    <t>digital manufacturing platform, factory automation, manufacturing analytics, manufacturing analytics platform, manufacturing processing software</t>
  </si>
  <si>
    <t>www.sightmachine.com</t>
  </si>
  <si>
    <t>2014: 25, 2015: 34, 2016: 73</t>
  </si>
  <si>
    <t>61734-43P</t>
  </si>
  <si>
    <t>Jon Sobel</t>
  </si>
  <si>
    <t>jon@sightmachine.com</t>
  </si>
  <si>
    <t>+1 (888) 461-5739</t>
  </si>
  <si>
    <t>243 Vallejo Street</t>
  </si>
  <si>
    <t>info@sightmachine.com</t>
  </si>
  <si>
    <t>The company raised $29.4 million of Series C venture funding in a deal led by LS Holdings on April 23, 2019, putting the company's pre-money valuation at $102.4 million. E.ON Strategic Co-Investments, O'Reilly AlphaTech Ventures, Mercury Fund, and Jump Capital also participated in the round. The funds will be used to accelerate its growth.</t>
  </si>
  <si>
    <t>DNX Ventures, E.ON Strategic Co-Investments, eLab Ventures, FundersClub, GE Ventures, Huron River Ventures, IA Ventures, Jump Capital, LS Holdings, Mercury Fund, Mitsui &amp; Co., Momenta Partners, Musketeer Capital, O'Reilly AlphaTech Ventures, Orfin Ventures, Paul Holliman, Pritzker Group Venture Capital, Seth Ginns, Tekfen Ventures, Third Shore Group, Two Roads Group</t>
  </si>
  <si>
    <t>DNX Ventures(www.dnx.vc), eLab Ventures(www.elabvc.com), FundersClub(www.fundersclub.com), GE Ventures(www.geventures.com), Huron River Ventures(www.huronrivervc.com), IA Ventures(www.iaventures.com), Jump Capital(www.jumpcap.com), LS Holdings(www.lsholdings.com), Mercury Fund(www.mercuryfund.com), Mitsui &amp; Co.(www.mitsui.com), Momenta Partners(www.momenta.partners), Musketeer Capital(www.musketeercapital.com), O'Reilly AlphaTech Ventures(www.oatv.com), Orfin Ventures(www.orfinventures.com), Pritzker Group Venture Capital(www.pritzkergroup.com/venture-capital), Tekfen Ventures(www.tekfenventures.com), Third Shore Group(www.thirdshoregroup.com), Two Roads Group(www.tworoadsgroup.com)</t>
  </si>
  <si>
    <t>Fenwick &amp; West(Legal Advisor), Integrity Power Search(Consulting), Landmark Ventures(Advisor: General), Momenta Partners(Advisor: General)</t>
  </si>
  <si>
    <t>54705-79</t>
  </si>
  <si>
    <t>SigFox</t>
  </si>
  <si>
    <t>Ingenu, Particle, UnaBiz, Digimondo, Solidmation</t>
  </si>
  <si>
    <t>Provider of Internet of things (IoT) connectivity service intended to securely connect physical devices to the cloud. The company's software based communications technology offers a platform where all the network and computing complexity is managed in the cloud, providing the lowest energy-consumption device-to-cloud connectivity.</t>
  </si>
  <si>
    <t>Communication Software, Telecommunications Service Providers*, Wireless Service Providers</t>
  </si>
  <si>
    <t>cellular connectivity, cellular network, iot, iot connectivity</t>
  </si>
  <si>
    <t>www.sigfox.com</t>
  </si>
  <si>
    <t>2012: 25, 2013: 36, 2014: 51, 2015: 94, 2017: 650, 2018: 400, 2019: 450</t>
  </si>
  <si>
    <t>47138-68P</t>
  </si>
  <si>
    <t>Ludovic Le Moan</t>
  </si>
  <si>
    <t>ludovic@sigfox.com</t>
  </si>
  <si>
    <t>+33 (0)5 34 31 03 16</t>
  </si>
  <si>
    <t>Labège, France</t>
  </si>
  <si>
    <t>Bâtiment E-volution</t>
  </si>
  <si>
    <t>425, rue Jean Rostand</t>
  </si>
  <si>
    <t>Labège</t>
  </si>
  <si>
    <t>31670</t>
  </si>
  <si>
    <t>contact@sigfox.com</t>
  </si>
  <si>
    <t>The company raised an undisclosed amount of venture funding from Khazanah Nasional on May 24, 2017. The funds will be used to further enhance deployment in Asia, while creating new opportunities for the company.</t>
  </si>
  <si>
    <t>Air Liquide, Air Liquide Venture Capital, Alto Invest, Bpifrance, Elaia Partners, Elliott Management, ENGIE New Ventures, Eutelsat Communications, Fonds Ambition Numerérique, Henri Seydoux, Idinvest Partners, Intel Capital, International Finance Corporation, iXO Private Equity, Khazanah Nasional, NTT Docomo Ventures, Nubbo, Omnes Capital, Partech Partners, Salesforce Ventures, Samsung Electronics, SK Telecom, SWEN Capital Partners, Tamer Group, Telefónica Ventures, Total Energy Ventures, Zouk Capital</t>
  </si>
  <si>
    <t>Air Liquide(www.airliquide.com), Alto Invest(www.altoinvest.fr), Bpifrance(www.bpifrance.fr), Elaia Partners(www.elaia.com), Elliott Management(www.elliottmgmt.com), ENGIE New Ventures(www.engieventures.com), Eutelsat Communications(www.eutelsat.com), Idinvest Partners(www.idinvest.com), Intel Capital(www.intelcapital.com), International Finance Corporation(www.ifc.org), iXO Private Equity(www.ixope.fr), Khazanah Nasional(www.khazanah.com), NTT Docomo Ventures(www.nttdocomo-v.com), Nubbo(www.nubbo.co), Omnes Capital(www.omnescapital.com), Partech Partners(www.partechpartners.com), Samsung Electronics(www.samsung.com), SWEN Capital Partners(www.swen-cp.fr), Tamer Group(www.tamergroup.com), Telefónica Ventures(www.telefonicaventures.com), Zouk Capital(www.zouk.com)</t>
  </si>
  <si>
    <t>Intralink Group(Consulting), Lazard Middle Market(Advisor: General), Momenta Partners(Advisor: General), Orrick, Herrington &amp; Sutcliffe(Legal Advisor)</t>
  </si>
  <si>
    <t>ACA Nexia(Advisor: General), Callisto Partners(Advisor: General), Lazard(Advisor: General), Orrick, Herrington &amp; Sutcliffe(Legal Advisor), Skadden, Arps, Slate, Meagher &amp; Flom(Legal Advisor), The Goldman Sachs Group(Advisor: General)</t>
  </si>
  <si>
    <t>151331-77</t>
  </si>
  <si>
    <t>SiFive</t>
  </si>
  <si>
    <t>Triad Semiconductor, Silego Technology, Faraday Semi, eASIC, S3 Semiconductors, Flex Logix Technologies, VeriSilicon, Faraday Technology, MediaTek, Arteris, Skorpios Technologies, Brite Semiconductor, Lantiq Deutschland, eSilicon, Kilopass, Active-Semi, Fairchild Semiconductor International, Broadcom, Lattice Semiconductor, ON Semiconductor</t>
  </si>
  <si>
    <t>Developer of customized and open-source-enabled semiconductors designed to democratize access to custom silicon. The company's semiconductors are based on the free and open instruction set architecture for modern microprocessors that consist of all of the software instructions needed to program a microprocessor based on the architecture, enabling system designers to reduce time-to-market and realize cost savings with customized semiconductors.</t>
  </si>
  <si>
    <t>chips design, custom silicon, customized semiconductor, fabless semiconductor, semiconductor application</t>
  </si>
  <si>
    <t>www.sifive.com</t>
  </si>
  <si>
    <t>2015: 4, 2016: 20, 2018: 300, 2019: 335</t>
  </si>
  <si>
    <t>15239-89P</t>
  </si>
  <si>
    <t>Naveed Sherwani</t>
  </si>
  <si>
    <t>naveed@sifive.com</t>
  </si>
  <si>
    <t>1875 South Grant Street</t>
  </si>
  <si>
    <t>info@sifive.com</t>
  </si>
  <si>
    <t>The company raised $25.43 million of Series D venture funding from undisclosed investors on November 19, 2018, putting the company's pre-money valuation at $260 million. Previously, the company raised $50.6 million of Series C venture funding in a deal led by Sutter Hill Ventures and Spark Capital on May 8, 2018, putting the company's pre-money valuation at $60 million. Huami, Samsung Venture Investment, Intel Capital, Western Digital Capital, Osage University Partners, Chengwei Capital and SK Telecom also participated in the round. Earlier, the company raised $245,598 of product crowdfunding via Crowd Supply on March 15, 2018.</t>
  </si>
  <si>
    <t>Chengwei Capital, Huami, Intel Capital, Osage University Partners, Samsung Venture Investment, SK Telecom, Spark Capital, Sutter Hill Ventures, Western Digital Capital</t>
  </si>
  <si>
    <t>Chengwei Capital(www.chengwei.com), Huami(www.huami-usa.com), Intel Capital(www.intelcapital.com), Osage University Partners(www.oup.vc), Samsung Venture Investment(www.samsungventures.com), Spark Capital(www.sparkcapital.com), Sutter Hill Ventures(www.shv.com), Western Digital Capital(www.westerndigitalcapital.com)</t>
  </si>
  <si>
    <t>Cooley(Legal Advisor), KPMG(Auditor), Silicon Valley Bank(General Business Banking)</t>
  </si>
  <si>
    <t>Cooley(Legal Advisor), Crowd Supply(Lead Manager or Arranger)</t>
  </si>
  <si>
    <t>102399-13</t>
  </si>
  <si>
    <t>SideChef</t>
  </si>
  <si>
    <t>Yummly, Chefsteps, Handpick</t>
  </si>
  <si>
    <t>Developer of a mobile application intended to make cooking easier. The company's application offers step-by-step cooking guidance by showing photos, videos and voice commands along with creating shopping lists and delivering ingredients, enabling users to to cook meals referring to their mobile phones in a hassle free manner.</t>
  </si>
  <si>
    <t>Application Software, Information Services (B2C)*</t>
  </si>
  <si>
    <t>cooking guidance platform, cooking guide, cooking instructions, mobile cooking application, online cooking guide</t>
  </si>
  <si>
    <t>www.sidechef.com</t>
  </si>
  <si>
    <t>88332-31P</t>
  </si>
  <si>
    <t>Kevin Yu</t>
  </si>
  <si>
    <t>kevin@sidechef.com</t>
  </si>
  <si>
    <t>595 Pacific Avenue</t>
  </si>
  <si>
    <t>Floor 4</t>
  </si>
  <si>
    <t>The company raised an undisclosed amount of venture funding in a deal led by LG Technology Ventures on December 31, 2018. Other undisclosed investors also participated in the round.</t>
  </si>
  <si>
    <t>Empower Investment (China), LG Technology Ventures, Peacock Capital</t>
  </si>
  <si>
    <t>Empower Investment (China)(www.empowerinvestment.com)</t>
  </si>
  <si>
    <t>PMBC Group(Advisor: Communications)</t>
  </si>
  <si>
    <t>53654-23</t>
  </si>
  <si>
    <t>ShopKeep</t>
  </si>
  <si>
    <t>Bindo POS, Fiverun, StoreHub, Zing (Austin), Booker, Zenoti, Salesforce, JDA Software Group, Springboard Retail, Volusion, Vend, Mindbody, Keruyun, IQmetrix, Raymark Xpert Business Systems, Bigcommerce, Revel Systems, Nobly POS, Wynd, SAP Hybris, Lavu, Unicommerce eSolutions, Talech, Lightspeed POS, Shopify, Zen Planner, Tiller Systems, Retail Solutions, Agilysys, DaySmart Software, Vivonet, CitiXsys Americas, Micros South Africa, Epos Now, Shore, Radial, Comviva, Omnichanneler, Anaplan, SAP, Diebold Nixdorf, StyleSeat, Teamwork Retail, TouchBistro, Toast (Restaurant Management Platform), Paydiant, NetSuite, Retail Pro International, Epicor Software, Shedul, iMobile3, Erply, VMware, Rivo, Clover</t>
  </si>
  <si>
    <t>Provider of a cloud-based technology platform intended to provide business management services for retailers. The company's platform offers mobile point-of-sale services to small and medium-sized businesses, giving them access to tools, enabling retail merchants to run customer transactions from an iPad.</t>
  </si>
  <si>
    <t>Application Software*, Business/Productivity Software, Social/Platform Software</t>
  </si>
  <si>
    <t>Mobile, Mobile Commerce, Restaurant Technology, SaaS, TMT</t>
  </si>
  <si>
    <t>cloud-based technology platform, customer management, integrated payment processing, social engagement</t>
  </si>
  <si>
    <t>www.shopkeep.com</t>
  </si>
  <si>
    <t>2012: 15, 2013: 100, 2014: 133</t>
  </si>
  <si>
    <t>44666-02P</t>
  </si>
  <si>
    <t>David Olk</t>
  </si>
  <si>
    <t>Co Founder</t>
  </si>
  <si>
    <t>david@voray.com</t>
  </si>
  <si>
    <t>460 Park Avenue South</t>
  </si>
  <si>
    <t>+1 (800) 820-9814</t>
  </si>
  <si>
    <t>The company raised $65 million of venture funding from Tribeca Venture Partners, New Ground Ventures, First Data, Salesforce Ventures,Coffin Capital &amp; Ventures and other undisclosed investors on December 13, 2018. The company also raised debt financing from ORIX Growth Capital and Square 1 Bank as part of the transaction.</t>
  </si>
  <si>
    <t>Activant Capital Group, Brian Hirsch, Brian McLoughlin, Canaan Partners, Coffin Capital &amp; Ventures, Contour Venture Partners, First Data, Horizon Technology Finance, Matthew Coffin, New Ground Ventures, Salesforce Ventures, Thayer Street Partners, The Gramercy Fund, Thomas Glocer, Tribeca Venture Partners, TTV Capital</t>
  </si>
  <si>
    <t>Activant Capital Group(www.activantcapital.com), Canaan Partners(www.canaan.com), Coffin Capital &amp; Ventures(www.coffincapitalandventures.com), Contour Venture Partners(www.contourventures.com), First Data(www.firstdata.com), Horizon Technology Finance(www.horizontechfinance.com), New Ground Ventures(www.newground.vc), Thayer Street Partners(www.thayerstreet.com), The Gramercy Fund(www.gramercyfund.com), Thomas Glocer(www.tomglocer.com), Tribeca Venture Partners(www.tribecavp.com), TTV Capital(www.ttvcapital.com)</t>
  </si>
  <si>
    <t>True Capital Partners(Consulting)</t>
  </si>
  <si>
    <t>Goodwin(Legal Advisor), Gunderson Dettmer(Legal Advisor), Horizon Technology Finance(Debt Financing), ORIX Growth Capital(Debt Financing), Square 1 Bank(Debt Financing)</t>
  </si>
  <si>
    <t>113767-21</t>
  </si>
  <si>
    <t>ShoCard</t>
  </si>
  <si>
    <t>Zumigo, Evernym, Payfone, Averon, Trulioo, Socure, Okta, Duo Security, OneLogin, Stampery, Veridu, Amberdata (Business/Productivity Software), Paytronix Systems, Trunomi, Danal, Jumio, Spring Labs, Digidentity, Tierion, SecureKey, Signifyd, Trustev, AuthenticID, Civic, Blockstack, ConsenSys</t>
  </si>
  <si>
    <t>Provider of an identity verification system built on a public block-chain data layer designed to empower individuals, businesses and governments to establish, verify and exchange identity information. The company's identity verification system can be used through a mobile application and offers protection and verification of identity using strong public or private key encryption with multiple keys, data hashing, out-of-band communication, data matching and two-factor authentication as well as provides identity verification system for security, privacy and always-on fraud protection, enabling users to optimize security and protect their privacy.</t>
  </si>
  <si>
    <t>Cryptocurrency/Blockchain, Cybersecurity, FinTech, Mobile, TMT</t>
  </si>
  <si>
    <t>blockchain technology, digital identity, enterprise idp, identity platform, identity verification system, kyc, sso, sso access</t>
  </si>
  <si>
    <t>www.shocard.com</t>
  </si>
  <si>
    <t>44074-45P</t>
  </si>
  <si>
    <t>Armin Ebrahimi</t>
  </si>
  <si>
    <t>Founder, Chief Executive Officer &amp; Chairman</t>
  </si>
  <si>
    <t>armin@shocard.com</t>
  </si>
  <si>
    <t>20863 Stevens Creek Boulevard</t>
  </si>
  <si>
    <t>Suite 540</t>
  </si>
  <si>
    <t>info@shocard.com</t>
  </si>
  <si>
    <t>The company raised $4 million of Seed II venture funding through a combination of debt and equity in a round led by Morado Venture Partners and AME Cloud Ventures on June 15, 2017, putting the company's pre-money valuation at an estimated $13.4 million.Follow on investors UMC Capital, Storm Ventures, Danhua Capital, Correlation Ventures, Recruit Strategic Partners and Robert Tinker also participated in this round. The company has raised $5.5 million of funding to date, and plans to utilize the funds for the roll-out of its enterprise solution. Earlier, the company joined Plug and Play Tech Center on October 20, 2016 as a part of Travel &amp; Hospitality program.</t>
  </si>
  <si>
    <t>AME Cloud Ventures, Correlation Ventures, Digital Currency Group, Digital Horizon Capital, Enspire Capital, Keith Nilsson, Morado Venture Partners, Plug and Play Tech Center, Recruit Strategic Partners, Robert Tinker, Storm Ventures, Tom Chiu, UMC Capital</t>
  </si>
  <si>
    <t>AME Cloud Ventures(www.amecloudventures.com), Correlation Ventures(www.correlationvc.com), Digital Currency Group(www.dcg.co), Digital Horizon Capital(www.dh.vc), Enspire Capital(www.enspire.vc), Morado Venture Partners(www.moradoventures.com), Plug and Play Tech Center(www.plugandplaytechcenter.com), Recruit Strategic Partners(recruitstrategicpartners.com), Storm Ventures(www.stormventures.com), UMC Capital(www.umccapital.com)</t>
  </si>
  <si>
    <t>King &amp; Spalding(Legal Advisor), Skillcloud Consulting(Consulting)</t>
  </si>
  <si>
    <t>King &amp; Spalding(Legal Advisor)</t>
  </si>
  <si>
    <t>66032-74</t>
  </si>
  <si>
    <t>ShipBob</t>
  </si>
  <si>
    <t>ShipHawk, Temando, HubLogix, Pacejet, CitizenShipper, MetaPack, ShipRush, Cargomatic, uShip, SendCloud, Ordoro, Convoy, Scurri, Shopventory, nChannel, Tiramizoo Delivery, Veeqo, Amware Fulfillment, Floship, Deliv, Think Logistics, Jazva, CommerceHub, Shipsi, shipcloud, Shipbeat, Sellbrite, 3Gtms, ShipTime, ShippingEasy, Webgility, ABC Fulfillment, LeanLogistics, Pitney Bowes, MercuryGate International</t>
  </si>
  <si>
    <t>Provider of SaaS logistics technology and services for e-commerce businesses. The company's logistics and fulfillment services include warehousing, custom packaging and package delivery in 1-2 business days in addition to its software for combining orders, inventory management, customer communication, predictive data and insights, enabling customers to better predict trends, shopping habits and geographic insights across multiple industries and selling channels.</t>
  </si>
  <si>
    <t>logistics and fulfillment, logistics technology, package delivery, packaging services, shipping application, shipping platform, shipping services, supply chain technology</t>
  </si>
  <si>
    <t>www.shipbob.com</t>
  </si>
  <si>
    <t>2014: 4, 2015: 7, 2017: 350, 2018: 400</t>
  </si>
  <si>
    <t>75895-48P</t>
  </si>
  <si>
    <t>Divey Gulati</t>
  </si>
  <si>
    <t>divey@shipbob.com</t>
  </si>
  <si>
    <t>+1 (844) 474-4726</t>
  </si>
  <si>
    <t>120 North Racine Avenue</t>
  </si>
  <si>
    <t>60612</t>
  </si>
  <si>
    <t>hello@shipbob.com</t>
  </si>
  <si>
    <t>The company raised $40 million of Series C venture funding in a deal led by Menlo Ventures on September 6, 2018, putting the company's pre-money valuation at $155 million. Hyde Park Venture Partners, Bain Capital Ventures, Y Combinator, and Hyde Park Angels also participated in the round. The company will use the funds to enhance the company's capabilities to bring same-day shipping to more customers, fuel growth and expand its software platform.</t>
  </si>
  <si>
    <t>Bain Capital Ventures, Bluestein &amp; Associates, BoomStartup, Brendan Wallace, FJ Labs, FundersClub, Harbor Street Ventures, Hyde Park Angels, Hyde Park Venture Partners, Joseph Montana, Kevin Moore, Menlo Ventures, Network Ventures, NFQ Technologies, Otter Rock Capital, Paul Holliman, Recruit Strategic Partners, Reynolds and Company Venture Partners, Russell Long, Saad AlSogair, Service Provider Capital, Sohin Shah, StartCaps Ventures, SV Angel, Wefunder, Y Combinator</t>
  </si>
  <si>
    <t>Bain Capital Ventures(www.baincapitalventures.com), Bluestein &amp; Associates(www.bluesteinassociates.com), BoomStartup(www.boomstartup.com), Brendan Wallace(identified.com/brendan), FJ Labs(www.fjlabs.com), FundersClub(www.fundersclub.com), Harbor Street Ventures(www.harborstreetventures.com), Hyde Park Angels(www.hydeparkangels.com), Hyde Park Venture Partners(www.hydeparkvp.com), Menlo Ventures(www.menlovc.com), Network Ventures(www.networkventures.vc), NFQ Technologies(www.nfq.lt), Otter Rock Capital(www.otterrockcapital.com), Recruit Strategic Partners(recruitstrategicpartners.com), Reynolds and Company Venture Partners(www.rcvpartners.com), Saad AlSogair(www.DrSogair.com), Service Provider Capital(www.serviceprovidercapital.com), Sohin Shah(www.sohinshah.com), StartCaps Ventures(www.startcaps.com), SV Angel(www.svangel.com), Wefunder(www.wefunder.com), Y Combinator(www.ycombinator.com)</t>
  </si>
  <si>
    <t>Corbett Search(Consulting)</t>
  </si>
  <si>
    <t>Goodwin(Legal Advisor), Venture Lending &amp; Leasing(Debt Financing), Western Technology Investment(Debt Financing)</t>
  </si>
  <si>
    <t>158369-14</t>
  </si>
  <si>
    <t>Shine</t>
  </si>
  <si>
    <t>Hipmob, Kayako, Hyphenate, Layer, Sendible, SendBird, Usabilla, Applozic, Shimmer</t>
  </si>
  <si>
    <t>Operator of an online application designed to help users to send text messages for free. The company's application collects and analyzes custom inputs to offer personalized content, including actionable tips and content based on confidence, daily happiness, mental health and productivity, enabling consumers to get career and life advice.</t>
  </si>
  <si>
    <t>messaging app, messaging software, motivational content, personalized messaging, text based message, wellness coaching</t>
  </si>
  <si>
    <t>premium.shinetext.com</t>
  </si>
  <si>
    <t>2017: 4, 2018: 8</t>
  </si>
  <si>
    <t>66837-07P</t>
  </si>
  <si>
    <t>Naomi Hirabayashi</t>
  </si>
  <si>
    <t>naomi@shinetext.com</t>
  </si>
  <si>
    <t>1181 Broadway</t>
  </si>
  <si>
    <t>help@shinetext.com</t>
  </si>
  <si>
    <t>The company raised $5 million of Series A venture funding in a deal led by Comcast Ventures on April 3, 2018, putting the company's pre-money valuation at $17.5 million. The New York Times, BBG Ventures, Betaworks, Eniac Ventures, Female Founders Fund, LaunchCapital and Felix Capital also participated in the round. The funds will be used to double the company's 8-person team this year, launch their app on Android and continue to grow the business, including potentially launching new products. Prior to that, the company raised $2.5 million of Series 1 seed funding in a deal led by Betaworks on April 18, 2017, putting the company's pre-money valuation at $7.5 million. Eniac Ventures, Female Founders Fund, Felix Capital, Comcast Ventures, Grape Arbor VC, BBG Ventures, The New York Times and Flybridge Capital Partners also participated in this round. The funds will be used to expand the team and develop new products.</t>
  </si>
  <si>
    <t>BBG Ventures, Betaworks Ventures, Comcast Ventures, Eniac Ventures, Felix Capital, Female Founders Fund, Flybridge Capital Partners, GGV Capital, Grape Arbor VC, LaunchCapital, The New York Times</t>
  </si>
  <si>
    <t>BBG Ventures(www.bbgventures.com), Betaworks Ventures(www.betaworksventures.com), Comcast Ventures(www.comcastventures.com), Eniac Ventures(www.eniac.vc), Felix Capital(www.felixcap.com), Female Founders Fund(www.femalefoundersfund.com), Flybridge Capital Partners(www.flybridge.com), GGV Capital(www.ggvc.com), Grape Arbor VC(www.grapearborvc.com), LaunchCapital(www.launchcapital.com)</t>
  </si>
  <si>
    <t>54898-39</t>
  </si>
  <si>
    <t>Shiftgig</t>
  </si>
  <si>
    <t>Catapult (Human Capital Services), Zenjob, Moonlighting, Wonolo, MBO Partners, StaffMe, Tilr, Guru.com (Acquired 2003), CareerBuilder</t>
  </si>
  <si>
    <t>Provider of a people-centered and application based on-demand labor marketplace. The company's mobile platform connects food service, hospitality, retail, warehouse and experiential marketing businesses with workers on demand to fill and manage short term job assignments.</t>
  </si>
  <si>
    <t>Application Software, Human Capital Services, Media and Information Services (B2B)*</t>
  </si>
  <si>
    <t>HR Tech, Industrials, Mobile, Restaurant Technology, TMT</t>
  </si>
  <si>
    <t>employer, hourly workers, jobs assignments, mobile platform, service industry jobs, short term jobs assignments, temporary work</t>
  </si>
  <si>
    <t>www.shiftgig.com</t>
  </si>
  <si>
    <t>2012: 11, 2014: 50, 2015: 210, 2017: 200</t>
  </si>
  <si>
    <t>203917-96P</t>
  </si>
  <si>
    <t>Rick Bowman</t>
  </si>
  <si>
    <t>rick@shiftgig.com</t>
  </si>
  <si>
    <t>550 West Jackson Boulevard</t>
  </si>
  <si>
    <t>Floor 18</t>
  </si>
  <si>
    <t>60661</t>
  </si>
  <si>
    <t>The company raised $20 million of Series C funding from DRW Venture Capital, Cross Creek Advisors, FJ Labs and GGV Capital on January 17, 2017, putting the company's pre-money valuation at $130 million. KDWC Ventures and William Blair &amp; Company also participated in this round. The company plans to use the investment to further extend its lead in the rapidly growing gig economy, accelerate sales and marketing operations and drive product innovation for both its employer and worker customers.</t>
  </si>
  <si>
    <t>Catapult Chicago, Chicago Ventures, Corazon Capital, Cross Creek, DRW Venture Capital, Dundee Venture Capital, Fabrice Grinda, FireStarter Fund, FJ Labs, Foley Ventures, Garland Capital Group, GGV Capital, Jumpstart Ventures, KGC Capital, Lakewest Venture Partners, Lon Chow, Method Capital, Pritzker Group Venture Capital, Red Barn Investments, Renren, Sam Yagan, Wicklow Capital, William Blair &amp; Company</t>
  </si>
  <si>
    <t>Catapult Chicago(www.catapultchicago.com), Chicago Ventures(www.chicagoventures.com), Corazon Capital(www.corazoncap.com), Cross Creek(www.crosscreek.vc), DRW Venture Capital(www.drwvc.com), Dundee Venture Capital(www.dundeeventurecapital.com), Fabrice Grinda(www.fabricegrinda.com), FireStarter Fund(www.firestarterfund.com), FJ Labs(www.fjlabs.com), Foley Ventures(www.foleyventures.com), Garland Capital Group(www.garlandcg.com), GGV Capital(www.ggvc.com), Jumpstart Ventures(www.jumpstart.vc), KGC Capital(www.kgccapital.com), Lakewest Venture Partners(www.lakewestinc.com), Method Capital(method.capital), Pritzker Group Venture Capital(www.pritzkergroup.com/venture-capital), Red Barn Investments(www.redbarnllc.com), Renren(www.renren-inc.com), William Blair &amp; Company(www.williamblair.com)</t>
  </si>
  <si>
    <t>Montgomery &amp; Company(Advisor: General)</t>
  </si>
  <si>
    <t>65941-93</t>
  </si>
  <si>
    <t>Shift Payments</t>
  </si>
  <si>
    <t>Provider of bit coin payment platform designed to offer a completely secure payment system. The company's platform provides an online and offline gateway, enabling users to check account balances, transaction details and spend their digital currencies, crypto-currencies and loyalty points for their regular spending.</t>
  </si>
  <si>
    <t>Financial Software*, Other Consumer Products and Services</t>
  </si>
  <si>
    <t>Cryptocurrency/Blockchain, FinTech, Mobile, TMT</t>
  </si>
  <si>
    <t>bit coins, digital currency, digital payment system, payment gateway, payment system</t>
  </si>
  <si>
    <t>www.shiftpayments.com</t>
  </si>
  <si>
    <t>75756-97P</t>
  </si>
  <si>
    <t>Meg Nakamura</t>
  </si>
  <si>
    <t>m.nakamura@3taps.com</t>
  </si>
  <si>
    <t>717 Market Street</t>
  </si>
  <si>
    <t>+1 (415) 734-6959</t>
  </si>
  <si>
    <t>The company raised seed funding from Scrum Ventures, ChinaRock Capital Management and Recruit Strategic Partners on an undisclosed date. Y Combinator, Hard Yaka and Kapor Capital also participated in this round.</t>
  </si>
  <si>
    <t>ChinaRock Capital Management, Hard Yaka, Kapor Capital, Recruit Strategic Partners, Scrum Ventures, Y Combinator</t>
  </si>
  <si>
    <t>ChinaRock Capital Management(www.crcm.com), Hard Yaka(www.hardyaka.com), Kapor Capital(www.kaporcapital.com), Recruit Strategic Partners(recruitstrategicpartners.com), Scrum Ventures(www.scrum.vc), Y Combinator(www.ycombinator.com)</t>
  </si>
  <si>
    <t>99305-83</t>
  </si>
  <si>
    <t>Shift (Car Marketplace)</t>
  </si>
  <si>
    <t>Instamotor, AutoList, Carro, carwow, Edmunds, Tred, Carblip, Vroom, Carloha, Carlypso, Carkibo, ISeeCars, Cars.com, Carvana, CarMax</t>
  </si>
  <si>
    <t>Provider of an online car marketplace designed to simplify the process of buying and selling cars. The company's marketplace offers a platform for buying, selling and servicing of used cars, providing a peer-to-peer marketplace and concierge service, giving real market value to sellers, taking care of all the listings, test drives and paperwork, enabling customers to buy or sell cars in a more simple and hassle free way.</t>
  </si>
  <si>
    <t>Automotive*, Information Services (B2C)</t>
  </si>
  <si>
    <t>car buy app, online car marketplace, secondhand car marketplace, used car deals, used car marketplace, used car service</t>
  </si>
  <si>
    <t>www.shift.com</t>
  </si>
  <si>
    <t>2015: 106, 2017: 70, 2018: 380, 2019: 450</t>
  </si>
  <si>
    <t>84215-53P</t>
  </si>
  <si>
    <t>George Arison</t>
  </si>
  <si>
    <t>george@shift.com</t>
  </si>
  <si>
    <t>+1 (855) 744-3873</t>
  </si>
  <si>
    <t>2500 Market Street</t>
  </si>
  <si>
    <t>94114</t>
  </si>
  <si>
    <t>info@shift.com</t>
  </si>
  <si>
    <t>The company raised $181 million of Series D venture funding in a deal led by Lithia Motors on April 10, 2019, putting the company's pre-money valuation at $400 million. BMW i Ventures, Alliance Ventures, G2VP, Highland Capital Partners, Goldman Sachs Investment Partners, DCM Ventures, Threshold Ventures and other undisclosed investors also participated in the round.</t>
  </si>
  <si>
    <t>Adam Nash, Alexandra Herbert, Alliance Ventures, Alumni Ventures Group, Amtrust Ventures, Andrew Boszhardt, Angela Zäh, Apostolos Apostolakis, Ben Davenport, BMW i Ventures, Brian Pokorny, Bryant Stibel, Capital One Growth Ventures, Charlie Neiman, Chestnut Street Ventures, Chris Barton, Craig Isakow, David Friedberg, David Roeske, DCM Ventures, Dennis Phelps, Draper Fisher Jurvetson Management, Elizabeth Hamrick, Eva Ho, FJ Labs, G2VP, Goldman Sachs Investment Partners, Great Oaks Venture Capital, Greg Kidd, Hans Robertson, Highland Capital Partners, Jared Kopf, Jing Chen, Julie Chin, Kevin Mahaffey, Konstantin Othmer, Kyle Lui, Lars Rasmussen, Lee Linden, Lithia Motors, Mark Jamison, Middleland Capital, Natala Menezes, Neil Mehta, Nick Grabenstein, Panayiotis Papadopoulos, Stephanie Hannon, Sumit Agarwal, SV Angel, XG Ventures</t>
  </si>
  <si>
    <t>Fenway Summer Ventures</t>
  </si>
  <si>
    <t>Alumni Ventures Group(www.avgfunds.com), BMW i Ventures(www.bmwiventures.com), Bryant Stibel(www.bryantstibel.com), Capital One Growth Ventures(growthventures.capitalone.com), Chestnut Street Ventures(www.chestnutstreetventures.com), DCM Ventures(www.dcm.com), Draper Fisher Jurvetson Management(www.dfj.com), FJ Labs(www.fjlabs.com), G2VP(www.g2vp.com), Goldman Sachs Investment Partners(www.gsipventures.com), Great Oaks Venture Capital(www.greatoaksvc.com), Highland Capital Partners(www.hcp.com), Konstantin Othmer(www.othmer.com), Lithia Motors(www.lithia.com), Middleland Capital(www.middlelandcap.com), SV Angel(www.svangel.com), XG Ventures(www.xg-ventures.com)</t>
  </si>
  <si>
    <t>Fenway Summer Ventures(www.fenwaysummer.com)</t>
  </si>
  <si>
    <t>DLA Piper(Legal Advisor), Gunderson Dettmer(Legal Advisor), Latham &amp; Watkins(Legal Advisor), Sequoia Consulting Group(Consulting), Silicon Valley Bank(General Business Banking)</t>
  </si>
  <si>
    <t>Gunderson Dettmer(Legal Advisor), Latham &amp; Watkins(Legal Advisor)</t>
  </si>
  <si>
    <t>266289-04</t>
  </si>
  <si>
    <t>Sherlock Biosciences</t>
  </si>
  <si>
    <t>Sherlock</t>
  </si>
  <si>
    <t>Developer of platforms created for molecular diagnostics. The company's platform uses Engineering Biology tools, including CRISPR and Synthetic Biology to create a new generation of molecular diagnostics, enabling health care providers to rapidly deliver accurate and inexpensive results for a vast range of needs in virtually any setting.</t>
  </si>
  <si>
    <t>Decision/Risk Analysis, Diagnostic Equipment*</t>
  </si>
  <si>
    <t>HealthTech, Life Sciences, Oncology</t>
  </si>
  <si>
    <t>clinical molecular diagnostics, crispr processing, diagnostic industry, engineering biology platform, non-clinical molecular diagnostics</t>
  </si>
  <si>
    <t>www.sherlock.bio</t>
  </si>
  <si>
    <t>56943-91P</t>
  </si>
  <si>
    <t>Feng Zhang</t>
  </si>
  <si>
    <t>Co-Founder &amp; Chairman of Advisory Board</t>
  </si>
  <si>
    <t>feng.zhang@editasmed.com</t>
  </si>
  <si>
    <t>+1 (617) 401-9000</t>
  </si>
  <si>
    <t>1 Broadwat</t>
  </si>
  <si>
    <t>02142</t>
  </si>
  <si>
    <t>The company raised an estimated $31 million of Series A venture funding from Open Philanthropy Project, Baidu Ventures and Northpond Ventures on April 23, 2019. Other undisclosed investors also participated in this round. The funds will be used to advance development programs for Sherlock's core platform technologies. Previously, the company received $17.5 million of grant funding from Open Philanthropy Project on March 21, 2019.</t>
  </si>
  <si>
    <t>Baidu Ventures, Northpond Ventures, Open Philanthropy Project</t>
  </si>
  <si>
    <t>Baidu Ventures(www.bv.ai), Northpond Ventures(www.northpondventures.com), Open Philanthropy Project(www.openphilanthropy.org)</t>
  </si>
  <si>
    <t>52285-33</t>
  </si>
  <si>
    <t>Sharecare</t>
  </si>
  <si>
    <t>Rally Health, Statim Health, Emmi Solutions, MyMedicalShopper, Dacadoo, WellRight, Cambia Health Solutions, Welltok, LiveHealthier, NovuHealth, Healthline Media, beBetter Health, SimplyWell, Compass Professional Health Services, Caradigm, Azumio, Jiff, Patient IO, Accolade, Limeade, Silverlink Communications, Healthagen/itriage (aetna), Sonic Boom Wellness, The Advisory Board Company</t>
  </si>
  <si>
    <t>Provider of a health and wellness engagement platform intended to help people manage all their health in one place. The company's platform provides consumers with personalized information, programs and resources, providing personalized health consultation, enabling customers to improve their health and live a healthy lifestyle.</t>
  </si>
  <si>
    <t>Digital Health, LOHAS &amp; Wellness, TMT</t>
  </si>
  <si>
    <t>appointment platform, health platform, personalized information, wellness engagement, wellness engagement platform</t>
  </si>
  <si>
    <t>www.sharecare.com</t>
  </si>
  <si>
    <t>2019: 2400</t>
  </si>
  <si>
    <t>Promotion (New) Jeff Arnold, Co-Founder, Chief Executive Officer &amp; Chairman, Competitor (New) Accolade</t>
  </si>
  <si>
    <t>38049-31P</t>
  </si>
  <si>
    <t>Jeff Arnold</t>
  </si>
  <si>
    <t>jarnold@sharecare.com</t>
  </si>
  <si>
    <t>+1 (404) 671-4000</t>
  </si>
  <si>
    <t>255 East Paces Ferry Road North East</t>
  </si>
  <si>
    <t>30305</t>
  </si>
  <si>
    <t>The company raised $20 million of debt financing in the form of a loan from Wells Fargo Capital Finance on July 27, 2018. The company used the funding to support its acquisition of Window Channel Network. Previously, the company received development capital from Carefirst of Maryland on January 8, 2018.</t>
  </si>
  <si>
    <t>Arsenal Growth, Beringea, Carefirst of Maryland, Claritas Capital, Clayton Associates, Discovery Communications Ventures, Galen Partners, Harbert Credit Solutions, Hartford Funds, Hearst Ventures, Heritage Group, InvestMichigan! Program, New Evolution Ventures, Summit Partners, Swiss Re Alternative Assets, The Trinity Health, TomorrowVentures, UNC Kenan-Flagler Private Equity Fund</t>
  </si>
  <si>
    <t>Arsenal Growth(www.arsenalgrowth.com), Beringea(www.beringea.com), Carefirst of Maryland(individual.carefirst.com), Claritas Capital(www.claritascapital.com), Clayton Associates(www.claytonassociates.com), Discovery Communications Ventures(www.dcv.vc), Galen Partners(www.galen.com), Heritage Group(www.heritagegroupusa.com), InvestMichigan! Program(www.investmichiganfund.com), New Evolution Ventures(www.nev.com), Summit Partners(www.summitpartners.com), The Trinity Health(www.trinity-health.org), TomorrowVentures(www.tomorrowvc.com), UNC Kenan-Flagler Private Equity Fund(www.kfpefund.com)</t>
  </si>
  <si>
    <t>Cresa(Advisor: General), Nelson Mullins Riley &amp; Scarborough(Legal Advisor), Wells Fargo(General Business Banking)</t>
  </si>
  <si>
    <t>Ansley Capital Group(Advisor: General), Harbert Credit Solutions(Debt Financing), Nelson Mullins Riley &amp; Scarborough(Legal Advisor), Wells Fargo Capital Finance(Debt Financing)</t>
  </si>
  <si>
    <t>52923-52</t>
  </si>
  <si>
    <t>Shapeways</t>
  </si>
  <si>
    <t>3D Hubs, 3yourmind, Sculpteo, Trinckle, Spreadshirt, Makexyz, Pzartech, Printo, Pinshape, Fictiv, Voodoo Manufacturing, Stratasys, Authentise, AstroPrint, Polar3D, Ponoko, i.materialise, Proto Labs</t>
  </si>
  <si>
    <t>Provider of online 3D printing service and marketplace to redefine product creation. The company's platform supports creators with design tools and services, offers access to advanced production technology starting with 3D printing, and services to build a business, enabling users to make, buy, and sell products with 3D printing.</t>
  </si>
  <si>
    <t>Printing Services (B2B)</t>
  </si>
  <si>
    <t>Multimedia and Design Software, Printing Services (B2B)*</t>
  </si>
  <si>
    <t>3D Printing, Industrials, TMT</t>
  </si>
  <si>
    <t>3d printing service, 3d product, consumer product creation, digital fabrication software, printing community marketplace</t>
  </si>
  <si>
    <t>www.shapeways.com</t>
  </si>
  <si>
    <t>2009: 90, 2014: 164, 2015: 227</t>
  </si>
  <si>
    <t>48863-08P</t>
  </si>
  <si>
    <t>Gregory Kress</t>
  </si>
  <si>
    <t>gregory@shapeways.com</t>
  </si>
  <si>
    <t>419 Park Avenue South</t>
  </si>
  <si>
    <t>Suite 900, Floor 9</t>
  </si>
  <si>
    <t>The company raised an undisclosed amount of debt financing in the form of a loan from SQN Venture Partners.</t>
  </si>
  <si>
    <t>3D Printing Ventures, Andreessen Horowitz, Hewlett-Packard, Index Ventures (UK), Inkef Capital, Lux Capital, MicroVentures, Partnership for New York City, Presidio Ventures, Union Square Ventures</t>
  </si>
  <si>
    <t>3D Printing Ventures(www.3dprintingventures.com), Andreessen Horowitz(www.a16z.com), Hewlett-Packard(www.hp.com), Index Ventures (UK)(www.indexventures.com), Inkef Capital(www.inkefcapital.com), Lux Capital(www.luxcapital.com), MicroVentures(www.microventures.com), Partnership for New York City(www.pfnyc.org), Presidio Ventures(www.presidio-ventures.com), Union Square Ventures(www.usv.com)</t>
  </si>
  <si>
    <t>ASTRSK PR(Advisor: Communications), Gunderson Dettmer(Legal Advisor)</t>
  </si>
  <si>
    <t>EOS Electro Optical Systems(Debt Financing), Gunderson Dettmer(Legal Advisor), New York Community Investment Company(Debt Financing), SQN Venture Partners(Debt Financing)</t>
  </si>
  <si>
    <t>54324-37</t>
  </si>
  <si>
    <t>Shape Security</t>
  </si>
  <si>
    <t>Shape</t>
  </si>
  <si>
    <t>Riskified, OneLogin, Distil Networks, Anomali, ShieldSquare, Simility, PerimeterX, Feedzai, Signifyd, 4iQ, Socure, McAfee, Cybereason, WatchGuard Technologies, Cyberfend, Vectra AI, InfiSecure, DataDome, Cloudflare, SecureAuth, Lastline, Invincea, Iovation, RioRey, Paladion, Zscaler, Arbor Networks, SS8, Securonix, Sift (San Francisco), Nexgate, ThousandEyes, Castle (Network Management Software), ThreatMetrix, Admiral, Accertify, SecuredTouch, Eclypsium, Intermedia.net, FireEye, Aryaka, Sucuri, Cybersprint, Corsa, Symantec, Barracuda Networks, MaxMind, NoFraud, Prolexic Technologies, Incapsula</t>
  </si>
  <si>
    <t>Developer of a new web security technology designed to offer bot mitigation and anti-automation services to companies. The company's technology eliminates bots, fraud and unwanted automation for consumer brands, as well as offers an understanding of users and their behaviour thereby distinguishing real users from fraudsters, enabling organizations to detect and shut down automated attacks in real-time.</t>
  </si>
  <si>
    <t>anti-spy ware, mobile security, network defense, security software, security technology, web security, web security technology</t>
  </si>
  <si>
    <t>www.shapesecurity.com</t>
  </si>
  <si>
    <t>2012: 6, 2014: 100, 2015: 97, 2016: 150, 2018: 200, 2019: 300</t>
  </si>
  <si>
    <t>41035-60P</t>
  </si>
  <si>
    <t>Derek Smith</t>
  </si>
  <si>
    <t>derek@shapesecurity.com</t>
  </si>
  <si>
    <t>+1 (888) 775-1335</t>
  </si>
  <si>
    <t>800 West El Camino Real</t>
  </si>
  <si>
    <t>+1 (650) 399-0400</t>
  </si>
  <si>
    <t>info@shapesecurity.com</t>
  </si>
  <si>
    <t>The company raised $26 million of Series E venture funding in a deal led by Norwest Venture Partners on November 1, 2018, putting the company's pre-money valuation at $473 million. JetBlue Technology Ventures, Focus Ventures, Singtel Innov8, Kleiner Perkins, TomorrowVentures, Baseline Ventures, Venrock, AllegisCyber, EPIC Ventures, Tier Capital Partners and Raging Capital Management also participated in the round. The new funding will help the company in accelerating international expansion.</t>
  </si>
  <si>
    <t>AllegisCyber, Baseline Ventures, Crops Inc, David Carter, EDBI, Enrique Salem, EPIC Ventures, Eric Schmidt, Focus Opportunity Fund, Gokul Rajaram, GV, Hewlett Packard Pathfinder, JetBlue Technology Ventures, Kevin Mandia, Kleiner Perkins, Northern Light Venture Capital, Norwest Venture Partners, Peter Wagner, Raging Capital Management, Robert Ackerman, Sierra Ventures, Singtel Innov8, TomorrowVentures, Top Tier Capital Partners, Venrock, Wing Venture Capital</t>
  </si>
  <si>
    <t>AllegisCyber(www.allegiscyber.com), Baseline Ventures(www.baselinev.com), Crops Inc(www.crop2o5.com), EDBI(www.edbi.com), EPIC Ventures(www.epicvc.com), Focus Opportunity Fund(www.focusopportunity.com), GV(www.gv.com), Hewlett Packard Pathfinder(www.hewlettpackardpathfinder.com), JetBlue Technology Ventures(www.jetblueventures.com), Kleiner Perkins(www.kleinerperkins.com), Northern Light Venture Capital(www.nlvc.com), Norwest Venture Partners(www.nvp.com), Raging Capital Management(www.ragingcapital.com), Sierra Ventures(www.sierraventures.com), Singtel Innov8(innov8.singtel.com), TomorrowVentures(www.tomorrowvc.com), Top Tier Capital Partners(www.ttcp.com), Venrock(www.venrock.com), Wing Venture Capital(www.wing.vc)</t>
  </si>
  <si>
    <t>170277-04</t>
  </si>
  <si>
    <t>Shansong Express</t>
  </si>
  <si>
    <t>Shansong</t>
  </si>
  <si>
    <t>Xpressbees, gojavas, SF Express, YTO Express, ZTO Express (Cayman), Deliveree, Cainiao Network Technology Company, Brisqq</t>
  </si>
  <si>
    <t>Provider of intercity logistics services designed to offer delivery within the shortest response time. The company's real-time direct delivery service is the largest time-limited delivery service in China which provides short-distance, inner-city deliveries, and guarantees a one-hour or less delivery time within five-kilometer range, enabling users to receive fastest delivery service.</t>
  </si>
  <si>
    <t>Mobile</t>
  </si>
  <si>
    <t>city delivery service, courier service, delivery service, directing delivery, directing delivery service, expedited delivery service, local delivery, logistics services, time limited delivery</t>
  </si>
  <si>
    <t>www.ishansong.com</t>
  </si>
  <si>
    <t>Information Digital Media Building 7, 6th Street Road</t>
  </si>
  <si>
    <t>+86 (0)40 0060 8585</t>
  </si>
  <si>
    <t>info@ishansong.com</t>
  </si>
  <si>
    <t>The company raised $60 million of Series D1 venture funding in a deal led by N5Capital, V Star Capital and Shihaisong Capital on August 28, 2018. Hearst Communications, Susquehanna Asia Investments, Lighthouse Ventures, Shunwei Capital, Hike Capital and BHG Long Hills Capital also participated in the round.</t>
  </si>
  <si>
    <t>BHG Long Hills Capital, CDH Investments, Hearst Communications, Hearst Ventures, Hike Capital, Hualian Group, Kunwu Jiuding Capital, Lighthouse Ventures, N5Capital, Prometheus Capital Partners, Shihaisong Capital, Shunwei Capital, Susquehanna Asia Investments, Tiantu Capital, V Star Capital, WestSummit Capital, Yi Capital</t>
  </si>
  <si>
    <t>BHG Long Hills Capital(www.bhglonghillscapital.com.cn), CDH Investments(www.cdhfund.com), Hearst Communications(www.hearst.com), Hike Capital(www.hikecapital.com), Kunwu Jiuding Capital(www.jdcapital.com), Lighthouse Ventures(www.lighthouseventuresllc.com), N5Capital(www.n5capital.com), Prometheus Capital Partners(www.prometheus-cp.com), Shunwei Capital(www.shunwei.com), Susquehanna Asia Investments(www.sig-china.com), Tiantu Capital(www.tiantu.com.cn), V Star Capital(www.vstarcap.com), WestSummit Capital(www.westsummitcap.com), Yi Capital(www.zhiyivc.com)</t>
  </si>
  <si>
    <t>91519-30</t>
  </si>
  <si>
    <t>Sfara</t>
  </si>
  <si>
    <t>Apio Systems, Driversiti</t>
  </si>
  <si>
    <t>Developer of a mobile application designed to offer safety alert and monitoring tools for drivers. The company's application uses sensors that autonomously detects broad range of road, traffic and driving conditions including how well the driver is driving, identification of various road hazards and traffic flows and impediments, enabling users to improve driving safety.</t>
  </si>
  <si>
    <t>drives application, monitoring tools, safety alerts, sensor, situational awareness, transportation safety platform</t>
  </si>
  <si>
    <t>www.sfara.com</t>
  </si>
  <si>
    <t>2014: 15, 2016: 29</t>
  </si>
  <si>
    <t>81029-26P</t>
  </si>
  <si>
    <t>Sascha Simon</t>
  </si>
  <si>
    <t>sascha.simon@driversiti.com</t>
  </si>
  <si>
    <t>+1 (646) 448-9416</t>
  </si>
  <si>
    <t>Hoboken, NJ</t>
  </si>
  <si>
    <t>33-41 Newark Street</t>
  </si>
  <si>
    <t>Suite 5B</t>
  </si>
  <si>
    <t>Hoboken</t>
  </si>
  <si>
    <t>07030</t>
  </si>
  <si>
    <t>+1 (201) 942-6929</t>
  </si>
  <si>
    <t>The company raised $785,000 of venture funding from ImpactAssets and other undisclosed investors on June 12, 2017. Previously, the company raised $1.48 million of Series A2 venture funding from Missouri Technology and Cultivation Capital on June 20, 2016, putting the company's pre-money valuation at $5.94 million.</t>
  </si>
  <si>
    <t>Cultivation Capital, Holton Capital Group, ImpactAssets, Lerer Hippeau, Missouri Technology, Transdev, Verizon Ventures</t>
  </si>
  <si>
    <t>Cultivation Capital(www.cultivationcapital.com), Holton Capital Group(www.holtoncapital.com), ImpactAssets(www.impactassets.org), Lerer Hippeau(www.lererhippeau.com), Missouri Technology(www.missouritechnology.com), Transdev(www.transdev.com), Verizon Ventures(www.verizonventures.com)</t>
  </si>
  <si>
    <t>Cooley(Legal Advisor), Skillcloud Consulting(Consulting)</t>
  </si>
  <si>
    <t>58151-62</t>
  </si>
  <si>
    <t>Seworks</t>
  </si>
  <si>
    <t>Pradeo, Wallarm, Signal Sciences, Immunio, Cyren, Forcepoint, Kaspersky Lab, SonicWALL, Promon (Network Management Software), BrixBits, Sophos, Contrast Security, Waratek, Barracuda Networks, Blackberry, Menlo Security, GuruCul, Zapa Technology, Proofpoint</t>
  </si>
  <si>
    <t>Operator of a platform intended to offer offensive and defensive application security services. The company's platform ensures applications are safe from dangerous hacking threats that can destroy intellectual property and expose sensitive user information, enabling developers to focus on building great products by providing comprehensive and easy-to-use security services.</t>
  </si>
  <si>
    <t>Application Software, Network Management Software*</t>
  </si>
  <si>
    <t>application security, application security service, application security services, mobile security service, online shenanigan, prevent hacking</t>
  </si>
  <si>
    <t>www.se.works</t>
  </si>
  <si>
    <t>2016: 25</t>
  </si>
  <si>
    <t>129213-10P</t>
  </si>
  <si>
    <t>Jeffrey Yu</t>
  </si>
  <si>
    <t>Vice President, Strategy</t>
  </si>
  <si>
    <t>jeff@seworks.co.kr</t>
  </si>
  <si>
    <t>contact@seworks.co</t>
  </si>
  <si>
    <t>The company raised $8.2 million of Series A venture funding in a deal led by Smilegate Investment and Softbank Ventures Korea on December 2, 2016. Qualcomm Ventures, Samsung Venture Investment and WONIK Investment Partners also participated in the round. The company will use the funds to accelerate global sales and marketing activities as the company is planning to increase its market share in the mobile security market.</t>
  </si>
  <si>
    <t>Fast Track Asia, Qualcomm Ventures, Samsung Venture Investment, Smilegate Investment, SoftBank Ventures Asia, Wonik Investment Partners</t>
  </si>
  <si>
    <t>Fast Track Asia(blog.fast-track.asia), Qualcomm Ventures(www.qualcommventures.com), Samsung Venture Investment(www.samsungventures.com), Smilegate Investment(www.smilegateinvestment.com), SoftBank Ventures Asia(www.softbank.co.kr), Wonik Investment Partners(wiipco.com)</t>
  </si>
  <si>
    <t>Chase Bank(General Business Banking), PwC(Accounting), Silicon Valley Bank(General Business Banking), Wilson Sonsini Goodrich &amp; Rosati(Legal Advisor)</t>
  </si>
  <si>
    <t>51604-30</t>
  </si>
  <si>
    <t>Seventh Sense Biosystems</t>
  </si>
  <si>
    <t>Vortex Biosciences, DBS System, Tasso</t>
  </si>
  <si>
    <t>Developer of a blood collection device designed to make blood testing more convenient and virtually painless. The company's proprietary blood collection platform TAP (Touch Activated Phlebotomy) is a first push-button blood collection device that enables patients to collect their own blood anywhere through a virtually painless, one-step process which leads faster diagnoses and better outcomes.</t>
  </si>
  <si>
    <t>Diagnostic Equipment*</t>
  </si>
  <si>
    <t>blood collection, blood collection device, blood indicators windows, blood sample collection, health monitoring product</t>
  </si>
  <si>
    <t>www.7sbio.com</t>
  </si>
  <si>
    <t>2009: 6, 2010: 6, 2014: 19, 2016: 20</t>
  </si>
  <si>
    <t>145403-47P</t>
  </si>
  <si>
    <t>Milan Kofol</t>
  </si>
  <si>
    <t>milan@sofregenmedical.com</t>
  </si>
  <si>
    <t>+1 (617) 651-8873</t>
  </si>
  <si>
    <t>Medford, MA</t>
  </si>
  <si>
    <t>200 Boston Avenue</t>
  </si>
  <si>
    <t>Suite 3700</t>
  </si>
  <si>
    <t>Medford</t>
  </si>
  <si>
    <t>02155</t>
  </si>
  <si>
    <t>+1 (617) 547-7246</t>
  </si>
  <si>
    <t>info@7sbio.com</t>
  </si>
  <si>
    <t>The company raised $18.46 million of Series D venture funding from undisclosed investors on August 20, 2018, putting the company's pre-money valuation at $55 million.</t>
  </si>
  <si>
    <t>Flagship Pioneering, In-Q-Tel, Ionis Pharmaceuticals, Laboratory Corporation of America Holdings, Lighthouse Capital Partners, Next47, Novartis Venture Fund, Polaris Partners, Raptor Group, Siemens Financial Services, Third Rock Ventures</t>
  </si>
  <si>
    <t>Flagship Pioneering(www.flagshippioneering.com), In-Q-Tel(www.iqt.org), Ionis Pharmaceuticals(www.ionispharma.com), Laboratory Corporation of America Holdings(www.labcorp.com), Lighthouse Capital Partners(lcpartners.com), Next47(Next47.com), Novartis Venture Fund(www.nvfund.com), Polaris Partners(www.polarispartners.com), Raptor Group(www.raptorgroup.com), Third Rock Ventures(www.thirdrockventures.com)</t>
  </si>
  <si>
    <t>66031-12</t>
  </si>
  <si>
    <t>Sevenrooms</t>
  </si>
  <si>
    <t>Nightloop Inc.</t>
  </si>
  <si>
    <t>BevSpot, Orca Inventory, CrunchTime! Information Systems, Salesforce, ShopKeep, Tenzo, Bindo POS, BlueCart, Sarbari, Revel Systems, NexTable, Toast (Restaurant Management Platform), Lavu, ReServe Interactive, Upserve, SALIDO, Compeat, TouchBistro, SimpleOrder, Bizimply, SeatMe, Foursquare, Zenchef, Eat, OpenTable</t>
  </si>
  <si>
    <t>Provider of reservation and guest management platform intended to deliver an intuitive reservation, seating and guest management functions. The company's platform includes features to fill more seats with direct reservations, facilitate cross promotions and personalize guest services in addition to advanced marketing tools to filter, segment and export your guest database, enabling restaurants to improve derision making, streamline transactions, increase profitability, reduce costs and foster customer loyalty.</t>
  </si>
  <si>
    <t>Mobile, Restaurant Technology, TMT</t>
  </si>
  <si>
    <t>customer loyalty, hospitality platform, reservation management, restaurant management, restaurant management platform, restaurant management system</t>
  </si>
  <si>
    <t>www.sevenrooms.com</t>
  </si>
  <si>
    <t>96835-42P</t>
  </si>
  <si>
    <t>Kinesh Patel</t>
  </si>
  <si>
    <t>kinesh.patel@sevenrooms.com</t>
  </si>
  <si>
    <t>+1 (212) 242-5607</t>
  </si>
  <si>
    <t>127 West 24th Street</t>
  </si>
  <si>
    <t>help@sevenrooms.com</t>
  </si>
  <si>
    <t>The company raised $9.69 million of venture funding from Amazon Alexa Fund and other undisclosed investors on January 2, 2019. The funds will be used to integrate Amazon Alexa into its restaurant operations and guest relationship management experience.Previously, the company raised $11.45 million through a combination of Series A venture funding from Comcast Ventures on December 12, 2017, putting the company's pre-money valuation at $17 million. The funds will be used to accelerate growth, build out teams across sales, customer success, engineering, product and marketing. In this round Series A1, Series A2 and Series A3 were re-classed into Seed 1 and Seed 2.</t>
  </si>
  <si>
    <t>Adam Rothenberg, Amazon Alexa Fund, Amazon.com, BoxGroup, Chasella, Comcast Ventures, Kathy Reilly, Michael Breault, Shawn Kolodny</t>
  </si>
  <si>
    <t>Amazon Alexa Fund(developer.amazon.com/alexa-fund), Amazon.com(www.amazon.com), BoxGroup(www.boxgroup.com), Chasella(www.chasella.com), Comcast Ventures(www.comcastventures.com)</t>
  </si>
  <si>
    <t>10514-44</t>
  </si>
  <si>
    <t>Seven Networks</t>
  </si>
  <si>
    <t>Leap Corporation</t>
  </si>
  <si>
    <t>Advanced Call Processing, Jive Communications, Mitel Networks, Cellcrypt, Mavenir Systems, NewVoiceMedia, Nextiva, Good Technology, Unified Office, Skype, Digium, BroadSoft, Notify Technology, PanTerra Networks, RingCentral, Twilio, Unify India, Serenova, Vonage Holdings, Phone.com, Fuze, Talkdesk, Syntellect, Silent Circle, Genesys, SkyGiraffe, Shoretel, AirWatch, Tomfoolery, Nokia, Lua (Communication Software)</t>
  </si>
  <si>
    <t>Developer of innovative software designed to deliver device-centric mobile traffic management and analytics for wireless carriers. The company's suite of software includes mobile application, open channel software, personal and work email application for mobile devices, enabling mobile operators and device manufacturers to deliver messaging through mobile traffic management and domain optimization.</t>
  </si>
  <si>
    <t>Communication Software*, Other Communications and Networking</t>
  </si>
  <si>
    <t>email application, mass market device, messaging service</t>
  </si>
  <si>
    <t>www.seven.com</t>
  </si>
  <si>
    <t>2009: 110, 2010: 131, 2011: 106, 2012: 68, 2013: 65, 2014: 291, 2015: 221</t>
  </si>
  <si>
    <t>13343-59P</t>
  </si>
  <si>
    <t>Ross Bott</t>
  </si>
  <si>
    <t>rbott@seven.com</t>
  </si>
  <si>
    <t>+1 (650) 381-2500</t>
  </si>
  <si>
    <t>Marshall, TX</t>
  </si>
  <si>
    <t>2660 East End Boulevard South</t>
  </si>
  <si>
    <t>Marshall</t>
  </si>
  <si>
    <t>75672</t>
  </si>
  <si>
    <t>info@seven.com</t>
  </si>
  <si>
    <t>Ignition Venture Partners sold its stake in the company for an undisclosed amount on July 15, 2015.</t>
  </si>
  <si>
    <t>Amadeus Capital Partners, Elm Ridge Capital Management, Fortress Investment Group, Greylock Partners, Hercules Capital, M/C Partners, SAIF Partners, Saints Capital, Samsung Venture Investment</t>
  </si>
  <si>
    <t>Ignition Partners, Provider Investment</t>
  </si>
  <si>
    <t>Amadeus Capital Partners(www.amadeuscapital.com), Fortress Investment Group(www.fortress.com), Greylock Partners(www.greylock.com), Hercules Capital(www.htgc.com), M/C Partners(www.mcpartners.com), SAIF Partners(www.sbaif.com), Saints Capital(www.saintscapital.com), Samsung Venture Investment(www.samsungventures.com)</t>
  </si>
  <si>
    <t>Ignition Partners(www.ignitionpartners.com), Provider Investment(www.providerinvestment.se)</t>
  </si>
  <si>
    <t>Gunderson Dettmer(Legal Advisor), Hercules Capital(Debt Financing), KPMG(Accounting), Needham &amp; Company(Underwriter), UBS(Underwriter)</t>
  </si>
  <si>
    <t>154284-94</t>
  </si>
  <si>
    <t>Seurat Technologies</t>
  </si>
  <si>
    <t>Stratasys, Voodoo Manufacturing, Polar3D, 3D Hubs</t>
  </si>
  <si>
    <t>Operator of a digital printing company intended to offer 3D printing services. The company's printing services use direct metal writing technique and an innovative selective laser melting technique, enabling customers to print their important documents or photos.</t>
  </si>
  <si>
    <t>Printing Services (B2B)*</t>
  </si>
  <si>
    <t>3d printing, digital printing, digital printing service, printing, printing service</t>
  </si>
  <si>
    <t>www.seuratech.com</t>
  </si>
  <si>
    <t>128905-57P</t>
  </si>
  <si>
    <t>James DeMuth</t>
  </si>
  <si>
    <t>jdemuth@seuratech.com</t>
  </si>
  <si>
    <t>+1 (617) 517-9752</t>
  </si>
  <si>
    <t>1060 La Avenida Street</t>
  </si>
  <si>
    <t>info@seuratech.com</t>
  </si>
  <si>
    <t>The company raised $13.5 million of Series A venture funding from lead investor True Ventures on January 17, 2018. GM Ventures, Porsche SE, Next47 on behalf of Siemens Power and Gas, Maniv Mobility and other undisclosed investors also participated. Teh company intends to use these funds to accelerate the commercialization of its metal additive manufacturing technology.</t>
  </si>
  <si>
    <t>GM Ventures, Maniv Mobility, Next47, Porsche Automobil Holding, True Ventures</t>
  </si>
  <si>
    <t>GM Ventures(www.gmventures.com), Maniv Mobility(www.maniv.com), Next47(Next47.com), Porsche Automobil Holding(www.porsche-se.com), True Ventures(www.trueventures.com)</t>
  </si>
  <si>
    <t>60966-64</t>
  </si>
  <si>
    <t>Setrix</t>
  </si>
  <si>
    <t>Provider of images processing and communication technologies. The company offers offers products and services to the wireless communication, internet and e-commerce markets.</t>
  </si>
  <si>
    <t>communication technology, images processing, wireless communication</t>
  </si>
  <si>
    <t>www.setrix.com</t>
  </si>
  <si>
    <t>58948-57P</t>
  </si>
  <si>
    <t>Joerg Mortsiefer</t>
  </si>
  <si>
    <t>Chairman &amp; Head of Sales and Marketing</t>
  </si>
  <si>
    <t>joerg.mortsiefer@setrix.com</t>
  </si>
  <si>
    <t>+49 (0)89 2070 4020 0</t>
  </si>
  <si>
    <t>Josephspitalstrasse 15</t>
  </si>
  <si>
    <t>80331</t>
  </si>
  <si>
    <t>+49 (0)89 2070 4020 1</t>
  </si>
  <si>
    <t>inform@setrix.com</t>
  </si>
  <si>
    <t>Siemens (Venture Arm) sold its stake in the company to an undisclosed investors for an undisclosed amount on an undisclosed date. The company is no longer actively tracked by PitchBook.</t>
  </si>
  <si>
    <t>52202-89</t>
  </si>
  <si>
    <t>SessionM</t>
  </si>
  <si>
    <t>RadiumOne, ContentSquare, Selligent, Marketo, SmarterHQ, SpotOn, Ackroo, Tealium, Acquia, ironSource, Alteryx, AppLovin, Placed, Adobe Systems, Paytronix Systems, Ascent360, Tapjoy, mParticle, Boomtrain, Localytics, Vero, Optimizely, Mobikon, Bluecore, Stellar Loyalty, Hive Intelligence, Moxie Software, Astronomer, Salesforce, Belly, Fishbowl, Cheetah Digital, MediaMath, Punchh, Ometria, Perkville, Bridg, Amperity, SAP, MixPanel, Pegasystems, Zipscene, Infogroup, Signal, Capillary Technologies, Act-On, AppSmyth, ActionIQ, Turn, Reach Analytics, Monetate, Ensighten, Sailthru, Segment, Rokt, 9Lenses, Kiip, Exponea, Inquirly Technologies, Dstillery, Vanguard Software Corporation, AgilOne, Beamly, DataXu, Rocket Fuel, Engage People, Grow Mobile, Qubit (Social/Platform Software), Umbel, Silverpop Systems, SAS Institute, Boxever, Quark Software, Swrve, AppCard, Emarsys eMarketing Systems, Crownit, Manage.com Group, PlaceIQ, Salesify, Yext, River Logic</t>
  </si>
  <si>
    <t>Provider of a customer data and engagement platform designed to empower innovative brands to forge stronger and more profitable customer relationships. The platform scales for the enterprise globally by analyzing behavioral and transactional data in real time and applying advanced machine learning. It delivers personalized experiences based off of individuals' unique characteristics, enabling companies to engage each individual customer with the offers, product recommendations and incentives.</t>
  </si>
  <si>
    <t>customer data platform, ecommerce application, marketing automation platform, media channel, mobile engagement automation, mobile marketing automation, monetize customer activity</t>
  </si>
  <si>
    <t>www.sessionm.com</t>
  </si>
  <si>
    <t>2012: 25, 2014: 62, 2015: 90, 2017: 150, 2018: 200</t>
  </si>
  <si>
    <t>37184-95P</t>
  </si>
  <si>
    <t>Lars Albright</t>
  </si>
  <si>
    <t>lars@sessionm.com</t>
  </si>
  <si>
    <t>+1 (888) 226-9756</t>
  </si>
  <si>
    <t>2 Seaport Lane</t>
  </si>
  <si>
    <t>info@sessionm.com</t>
  </si>
  <si>
    <t>The company raised $23.8 million of Series E venture funding in a deal led by Salesforce Ventures on July 23, 2018, putting the company's pre-money valuation at $220 million. CRV, General Atlantic, Highland Capital Partners, Kleiner Perkins and Causeway Media Partners also participated in the round. The company will use the funds to accelerate sales and marketing, product innovation, talent acquisition and global expansion. The company has now raised over $97 million to date.</t>
  </si>
  <si>
    <t>Causeway Media Partners, Charles River Ventures, Commerce Ventures, CRV, General Atlantic, Highland Capital Partners, Kleiner Perkins, Lee Linden, LogMeIn, NTT Docomo Ventures, Salesforce Ventures</t>
  </si>
  <si>
    <t>Causeway Media Partners(www.causewaymp.com), Charles River Ventures(www.crv.com), Commerce Ventures(www.commercevc.com), General Atlantic(www.generalatlantic.com), Highland Capital Partners(www.hcp.com), Kleiner Perkins(www.kleinerperkins.com), LogMeIn(www.logmein.com), NTT Docomo Ventures(www.nttdocomo-v.com)</t>
  </si>
  <si>
    <t>Fama PR(Advisor: General), Star ()(Consulting)</t>
  </si>
  <si>
    <t>Goodwin(Legal Advisor), Western Technology Investment(Debt Financing)</t>
  </si>
  <si>
    <t>55198-63</t>
  </si>
  <si>
    <t>Servion Global Solutions</t>
  </si>
  <si>
    <t>Servion</t>
  </si>
  <si>
    <t>CallMiner, Clarabridge, BlueConic, Inbenta, AgilOne, Topbox, Noble Systems, 3CLogic, Calabrio, Ameyo, Ozonetel, Eg Solutions, Aircall, Zendesk, Talkdesk, Artificial Solutions, HappyFox, Kayako, Next IT, Genesys, inContact, Aspect Software</t>
  </si>
  <si>
    <t>Developer of customer interaction management software designed to convert their customer touch points into long-lasting journeys and optimize the infrastructure costs of their customer interaction channels. The company's customer interaction system covers areas across various segments of the CIM industry including technology consulting, contact center intelligence and reports, agent productivity, outbound interaction management, self service, workforce management, quality monitoring and customer behavior analytics enabling clients to efficiently interact with their customers via phone, internet, email, chat and social media.</t>
  </si>
  <si>
    <t>customer contact, customer interaction software, interaction management, workforce management</t>
  </si>
  <si>
    <t>www.servion.com</t>
  </si>
  <si>
    <t>2014: 800</t>
  </si>
  <si>
    <t>137271-79P</t>
  </si>
  <si>
    <t>Sameet Gupte</t>
  </si>
  <si>
    <t>sameetg@servion.com</t>
  </si>
  <si>
    <t>+91 (0)44 6108 4100</t>
  </si>
  <si>
    <t>Chennai, India</t>
  </si>
  <si>
    <t>4/600, 7th Street</t>
  </si>
  <si>
    <t>Doctor VSI Estate Phase 2, Thiruvanmiyur</t>
  </si>
  <si>
    <t>Chennai</t>
  </si>
  <si>
    <t>Tamilnadu</t>
  </si>
  <si>
    <t>600041</t>
  </si>
  <si>
    <t>+91 (0)44 6108 4101</t>
  </si>
  <si>
    <t>The company received an undisclosed amount of development capital from Everstone Capital on May 25, 2017. The deal also includes investments by the company's management team and the founders. The investment will help the company to further scale-up its hiring and growth in markets across the US, UK, Asia and the Middle East.</t>
  </si>
  <si>
    <t>Cisco Investments, Everstone Capital, Solmark</t>
  </si>
  <si>
    <t>Athenian Venture Partners, Basil Partners, Sansar Capital</t>
  </si>
  <si>
    <t>Advent International, TPG Capital</t>
  </si>
  <si>
    <t>Cisco Investments(www.ciscoinvestments.com), Everstone Capital(www.everstonecapital.com)</t>
  </si>
  <si>
    <t>Athenian Venture Partners(www.athenianvp.com), Basil Partners(basilpartners.com), Sansar Capital(www.sansarcapital.com)</t>
  </si>
  <si>
    <t>Advent International(www.adventinternational.com), TPG Capital(www.tpg.com)</t>
  </si>
  <si>
    <t>Avendus Capital(Advisor: General), Spark Capital Advisors(Advisor: General)</t>
  </si>
  <si>
    <t>52264-72</t>
  </si>
  <si>
    <t>ServiceMax</t>
  </si>
  <si>
    <t>Maxplore Technologies</t>
  </si>
  <si>
    <t>AGILEFIELD, Reflexis Systems, Innovapptive, FieldEZ Technologies, ServiceNow, Fleetmatics Group, Coresystems, Cherwell Software, LiquidFrameworks, The Service Manager, SysAid Technologies, FarEye, FieldEdge, Commerce Guys, Insite Software Solutions, CA Technologies, Telogis, Industrial &amp; Financial Systems, MSI (Business/Productivity Software), ClickSoftware Technologies, LOKI Systems, SAP Hybris, Jobber, NOVAtime Technology, ServiceTitan, FieldAware, Retriever Communications, WorkForce Software, NetSuite, Thingtech, MarketLive, SAP, FieldOne Systems</t>
  </si>
  <si>
    <t>Provider of a field-service management platform. The company offers a cloud-based platform for companies to manage contracts, scheduling, and parts, enabling field technicians to increase productivity and efficiency.</t>
  </si>
  <si>
    <t>Vertical Market Software*</t>
  </si>
  <si>
    <t>chain management, collaborative services, field service, service management, workforce optimization</t>
  </si>
  <si>
    <t>www.servicemax.com</t>
  </si>
  <si>
    <t>2013: 200, 2014: 260, 2015: 322, 2017: 469</t>
  </si>
  <si>
    <t>GE Digital</t>
  </si>
  <si>
    <t>198008-29P</t>
  </si>
  <si>
    <t>David Stippich</t>
  </si>
  <si>
    <t>david.stippich@ge.com</t>
  </si>
  <si>
    <t>+1 (925) 965-7859</t>
  </si>
  <si>
    <t>2700 Camino Ramon</t>
  </si>
  <si>
    <t>Suite 450</t>
  </si>
  <si>
    <t>info@servicemax.com</t>
  </si>
  <si>
    <t>The company was acquired by Silver Lake Management through an LBO on February 4, 2019. In collaboration with Silver Lake, the company will have the strategic focus required to penetrate the vast $34 billion global Service Execution Management software market.</t>
  </si>
  <si>
    <t>Silver Lake Management</t>
  </si>
  <si>
    <t>Adams Street Partners, Cloud Apps Capital Partners, Cross Creek, Crosslink Capital, GE Digital, GE Ventures, Kleiner Perkins, Mayfield Fund, Meritech Capital Partners, Premji Invest, PTC (Latvia), QuestMark Partners, Salesforce Ventures, SharesPost, Shea Ventures, Sozo Ventures, Trinity Ventures, UCLA Ventures, Woodside Fund</t>
  </si>
  <si>
    <t>Emergence Capital Partners</t>
  </si>
  <si>
    <t>Silver Lake Management(www.silverlake.com)</t>
  </si>
  <si>
    <t>Adams Street Partners(www.adamsstreetpartners.com), Cloud Apps Capital Partners(www.cloudappscapital.com), Cross Creek(www.crosscreek.vc), Crosslink Capital(www.crosslinkcapital.com), GE Ventures(www.geventures.com), Kleiner Perkins(www.kleinerperkins.com), Mayfield Fund(www.mayfield.com), Meritech Capital Partners(www.meritechcapital.com), PTC (Latvia)(www.ptc.lv), QuestMark Partners(www.questm.com), SharesPost(www.sharespost.com), Sozo Ventures(www.sozo.ventures), Trinity Ventures(www.trinityventures.com), UCLA Ventures(www.ventures.ucla.edu), Woodside Fund(www.woodsidefund.com)</t>
  </si>
  <si>
    <t>Emergence Capital Partners(www.emcap.com)</t>
  </si>
  <si>
    <t>Gunderson Dettmer(Legal Advisor), K&amp;L Gates(Legal Advisor), RJR Partners(Consulting)</t>
  </si>
  <si>
    <t>Gunderson Dettmer(Legal Advisor), Hogan Lovells(Legal Advisor), K&amp;L Gates(Legal Advisor), Morgan Stanley(Advisor: General), Silicon Valley Bank(Debt Financing)</t>
  </si>
  <si>
    <t>52950-52</t>
  </si>
  <si>
    <t>Serena &amp; Lily</t>
  </si>
  <si>
    <t>Carousel Designs, Wayfair</t>
  </si>
  <si>
    <t>Provider of home decor products intended to offer furniture for bedroom, bathroom and living room. The company offers lifestyle brands in different categories such as bedding, furniture, rugs, windows, lighting, decor, gifts, bath, outdoor, paint and fabric by the yard, enabling customers to buy products of their own choice.</t>
  </si>
  <si>
    <t>Home Furnishings</t>
  </si>
  <si>
    <t>Home Furnishings*, Internet Retail, Specialty Retail</t>
  </si>
  <si>
    <t>bedding, furniture, home decor, lighting, nursery bedding, organic crib mattress, rugs</t>
  </si>
  <si>
    <t>www.serenaandlily.com</t>
  </si>
  <si>
    <t>2010: 67, 2011: 87, 2012: 139, 2013: 145, 2014: 80, 2015: 104</t>
  </si>
  <si>
    <t>16903-18P</t>
  </si>
  <si>
    <t>Philip Neri</t>
  </si>
  <si>
    <t>phil.neri@serenaandlily.com</t>
  </si>
  <si>
    <t>+1 (866) 597-2742</t>
  </si>
  <si>
    <t>Sausalito, CA</t>
  </si>
  <si>
    <t>10 Liberty Ship Way</t>
  </si>
  <si>
    <t>Sausalito</t>
  </si>
  <si>
    <t>94965</t>
  </si>
  <si>
    <t>+1 (415) 331-1435</t>
  </si>
  <si>
    <t>info@serenaandlily.com</t>
  </si>
  <si>
    <t>The company raised $42.9 million of Series E venture funding from an undisclosed investor on April 3, 2014, putting the company's pre-money valuation at $59.4 million.</t>
  </si>
  <si>
    <t>Battery Ventures, Forerunner Ventures, Lead Edge Capital, MDC Ventures, TriSpan Partners</t>
  </si>
  <si>
    <t>Fireman Capital Partners</t>
  </si>
  <si>
    <t>Battery Ventures(www.battery.com), Forerunner Ventures(www.forerunnerventures.com), Lead Edge Capital(www.leadedgecapital.com), MDC Ventures(www.mdcventures.vc), TriSpan Partners(www.trispanpartners.com)</t>
  </si>
  <si>
    <t>Fireman Capital Partners(www.firemancapital.com)</t>
  </si>
  <si>
    <t>Morrison &amp; Foerster(Legal Advisor), ORIX Growth Capital(Debt Financing)</t>
  </si>
  <si>
    <t>63421-21</t>
  </si>
  <si>
    <t>Sentrian</t>
  </si>
  <si>
    <t>Jointly Health, Jointly</t>
  </si>
  <si>
    <t>Medocity, Vivify Health, Medisafe, Validic, hc1.com, Mango Health, PeraHealth, WellDoc, Welltok, Care Zone, Noom</t>
  </si>
  <si>
    <t>Developer of a cloud-based remote patient monitoring and analytics platform designed to dramatically reduce preventable hospital admissions. The company's platform eliminates all preventable hospitalization by leveraging the revolution in remote biosensors and machine learning to detect patient deterioration early before it becomes acute, enabling clinicians to increase the efficiency and effectiveness of care teams and improve quality metrics.</t>
  </si>
  <si>
    <t>Decision/Risk Analysis*, Other Healthcare Technology Systems, Other Software</t>
  </si>
  <si>
    <t>Artificial Intelligence &amp; Machine Learning, Big Data, Digital Health, HealthTech, SaaS, TMT</t>
  </si>
  <si>
    <t>medical software, monitoring platform, patient intelligence, remote analytics, remote monitoring</t>
  </si>
  <si>
    <t>www.sentrian.com</t>
  </si>
  <si>
    <t>68051-17P</t>
  </si>
  <si>
    <t>Dean Sawyer</t>
  </si>
  <si>
    <t>dean@sentrian.com</t>
  </si>
  <si>
    <t>+1 (844) 560-7828</t>
  </si>
  <si>
    <t>120 Vantis</t>
  </si>
  <si>
    <t>info@sentrian.com</t>
  </si>
  <si>
    <t>TELUS Ventures sold a stake in the company to an undisclosed buyer.</t>
  </si>
  <si>
    <t>Frost Capital Group, Frost Data Capital, Gordon Clemons, GreatPoint Ventures, Jim Brandt, Kami Parsa, LH Ventures, Michael Green, Network Society Ventures, REV Venture Partners, Singularity University, Tan Rezaei, Tech Coast Angels, Vincent Elsevier, Westway Capital</t>
  </si>
  <si>
    <t>TELUS Ventures</t>
  </si>
  <si>
    <t>Frost Capital Group(www.frostcapital.com), Frost Data Capital(www.frostdatacapital.com), GreatPoint Ventures(www.gpv.com), LH Ventures(www.lhventures.us), Network Society Ventures(www.netsoc.vc), REV Venture Partners(www.rev.vc), Singularity University(www.su.org), Tech Coast Angels(www.techcoastangels.com), Westway Capital(www.westwaycapital.com)</t>
  </si>
  <si>
    <t>TELUS Ventures(ventures.telus.com)</t>
  </si>
  <si>
    <t>Amendola Communications(Advisor: Communications), DLA Piper(Legal Advisor), Singularity University(Consulting)</t>
  </si>
  <si>
    <t>58281-31</t>
  </si>
  <si>
    <t>SentinelOne</t>
  </si>
  <si>
    <t>CrowdStrike, McAfee, Cylance, CounterTack, Kaspersky Lab, Carbon Black, Pulse Secure, LookingGlass Cyber Solutions, Optio Labs, AirWatch, Xceedium, Symantec, Trend Micro, Microsoft</t>
  </si>
  <si>
    <t>Developer of an endpoint protection software designed to protect devices and servers against malware and threats. The company's software unifies the detection, prevention and remediation of threats initiated by nation-states and organized crime, enabling organizations to defend against advanced cyber threats.</t>
  </si>
  <si>
    <t>Artificial Intelligence &amp; Machine Learning, Big Data, Cybersecurity, Internet of Things</t>
  </si>
  <si>
    <t>cloud security, cyber security, data center security, endpoint detection and response platform, endpoint protection platform, endpoint security, iot security, malware detection, threat detection, threat prevention, threat remediation</t>
  </si>
  <si>
    <t>www.sentinelone.com</t>
  </si>
  <si>
    <t>2014: 107, 2015: 125, 2016: 175, 2017: 175, 2018: 400</t>
  </si>
  <si>
    <t>Deal (New) Later Stage VC (Series D), 2019|Completed, Promotion (New) Almog Cohen, Co-Founder and Chief Technology Officer, Promotion (New) Tomer Weingarten, Co-Founder and Chief Executive Officer, News (New)</t>
  </si>
  <si>
    <t>Deal (New) Later Stage VC (Series D), 2019|Completed, Promotion (New) Almog Cohen, Co-Founder and Chief Technology Officer, Promotion (New) Tomer Weingarten, Co-Founder and Chief Executive Officer, News (New) , Competitor (New) AirWatch, Competitor (New) LookingGlass Cyber Solutions, Competitor (New) McAfee, Competitor (New) Microsoft, Competitor (New) Pulse Secure, Competitor (New) Symantec, Competitor (New) Trend Micro</t>
  </si>
  <si>
    <t>52590-43P</t>
  </si>
  <si>
    <t>Tomer Weingarten</t>
  </si>
  <si>
    <t>tomer@sentinelone.com</t>
  </si>
  <si>
    <t>+1 (650) 516-6635</t>
  </si>
  <si>
    <t>605 Fairchild Drive</t>
  </si>
  <si>
    <t>+1 (855) 868-3733</t>
  </si>
  <si>
    <t>contactus@sentinelone.com</t>
  </si>
  <si>
    <t>The company raised $120 million through the combination of debt and Series D venture funding in a deal led by Insight Partners on June 4, 2019, putting the company's pre-money valuation at $505 million. Samsung Venture Investment, NextEquity Partners, Data Collective, Granite Hill Capital Partners, Third Point Ventures, Sound Ventures, Redpoint Ventures, Ashton Kutcher and Tiger Global Management also participated in the round. The funds will be used to double down on the efforts to displace "legacy and next-gen competitors" across the endpoint protection sphere.</t>
  </si>
  <si>
    <t>Accel, Andreas Von Bechtolsheim, Ashton Kutcher, Data Collective, Granite Hill Capital Partners, Individual Investor, Insight Partners, ITOCHU Technology Ventures, NextEquity Partners, Redpoint Ventures, Samsung Venture Investment, SineWave Ventures, Sound Ventures, The Westly Group, Third Point Ventures, Tiger Global Management, UpWest Labs</t>
  </si>
  <si>
    <t>Accel(www.accel.com), Data Collective(www.dcvc.com), Granite Hill Capital Partners(www.granitehill.net), Insight Partners(www.insightpartners.com), ITOCHU Technology Ventures(www.techv.co.jp), NextEquity Partners(www.nextequity.com), Redpoint Ventures(www.redpoint.com), Samsung Venture Investment(www.samsungventures.com), SineWave Ventures(www.sinewave.vc), Sound Ventures(www.sound-ventures.com), The Westly Group(www.westlygroup.com), Third Point Ventures(www.thirdpointventures.com), Tiger Global Management(www.tigerglobal.com), UpWest Labs(www.upwestlabs.com)</t>
  </si>
  <si>
    <t>Fama PR(Advisor: General)</t>
  </si>
  <si>
    <t>266001-04</t>
  </si>
  <si>
    <t>Sentient Play</t>
  </si>
  <si>
    <t>Developer of interactive video games intended to offer immersive gaming experience. The company makes choice-based and role-playing games using their WhatIF Engine based on artificial intelligence and other advanced technologies, enabling gamers to play video games and entertain themselves in ways that exercise their logic, creativity, and decision-making abilities.</t>
  </si>
  <si>
    <t>Artificial Intelligence &amp; Machine Learning, Gaming</t>
  </si>
  <si>
    <t>entertainment games, games development solutions, online entertainment games, online games</t>
  </si>
  <si>
    <t>www.sentientplay.com</t>
  </si>
  <si>
    <t>2017: 1, 2019: 2</t>
  </si>
  <si>
    <t>202167-55P</t>
  </si>
  <si>
    <t>Brad Becker</t>
  </si>
  <si>
    <t>brad@sentientplay.com</t>
  </si>
  <si>
    <t>+1 (425) 753-9327</t>
  </si>
  <si>
    <t>16516 Along Creek CV</t>
  </si>
  <si>
    <t>78717</t>
  </si>
  <si>
    <t>The company raised $100,000 of venture funding in the form of convertible debt from undisclosed investors on March 18, 2019. Previously, the company raised venture funding led by Bose Ventures on an undisclosed date.</t>
  </si>
  <si>
    <t>Bose Ventures</t>
  </si>
  <si>
    <t>Bose Ventures(bose.ventures)</t>
  </si>
  <si>
    <t>60887-26</t>
  </si>
  <si>
    <t>Sentient (Business/Productivity Software)</t>
  </si>
  <si>
    <t>Genetic Finance</t>
  </si>
  <si>
    <t>Lotame Solutions, Birst, Signal, Dynamic Yield, Segment, Blackbird Technologies, Narrative Science, ViSenze, Evergage, Turn, Ensighten, Monetate, Tailwind (Marketing Platform), Platfora, Maxymiser, Skymind, Movable Ink, Stackla, Kapost, Rocket Fuel, SAS Institute, Adtelligence, Sailthru, Bynder, Silverpop Systems, Jetlore, Ahalogy, Swiftype, Tealium, AgilOne, Podium Data, Idio, Maropost, Graymatics, GumGum, restb.ai, Reflektion, PandaDoc, BeyondCore, Curalate, Chute, AddShoppers, Netra, Path Factory, Rumble (Media and Information Services), Qubit (Social/Platform Software), Ditto Technologies, ImageVision, Nosto, Yseop, DataStax, Tradelab, SiteSpect, Piqora, Optimizely</t>
  </si>
  <si>
    <t>Provider of a data-analysis technology designed to develop artificial intelligence on a truly vast scale. The company's data-analysis technology through its powerful distributed AI platform combines multiple AI disciplines with data, enabling businesses to engage with their customers in new and exciting ways.</t>
  </si>
  <si>
    <t>ai platform, artificial intelligence software, customer interaction, data analysis technology, database computing</t>
  </si>
  <si>
    <t>www.sentient.ai</t>
  </si>
  <si>
    <t>2014: 60, 2015: 80</t>
  </si>
  <si>
    <t>40531-33P</t>
  </si>
  <si>
    <t>Anne Brennan</t>
  </si>
  <si>
    <t>Co-Chief Financial Officer</t>
  </si>
  <si>
    <t>anne.brennan@sentient.ai</t>
  </si>
  <si>
    <t>+1 (415) 422-9886</t>
  </si>
  <si>
    <t>One California Street</t>
  </si>
  <si>
    <t>Suite 2300</t>
  </si>
  <si>
    <t>+1 (415) 422-9887</t>
  </si>
  <si>
    <t>info@sentient.ai</t>
  </si>
  <si>
    <t>The company raised $103.5 million of Series C venture funding in a deal led by Access Technology Ventures on November 24, 2014. Tata Communications, NJF Capital, Horizons Ventures and other undisclosed investors also participated in the round.</t>
  </si>
  <si>
    <t>Access Technology Ventures, Eric Di Benedetto, Horizons Ventures, NJF Capital, Tata Communications</t>
  </si>
  <si>
    <t>Access Technology Ventures(www.accesstechnologyventures.com), Eric Di Benedetto(www.activestarts.com), Horizons Ventures(www.horizonsventures.com), NJF Capital(www.njfcapital.com), Tata Communications(www.tatacommunications.com)</t>
  </si>
  <si>
    <t>Intralink Group(Consulting), Skyfollow Consulting Group(Consulting), Weil, Gotshal &amp; Manges(Legal Advisor)</t>
  </si>
  <si>
    <t>Weil, Gotshal &amp; Manges(Legal Advisor)</t>
  </si>
  <si>
    <t>56636-29</t>
  </si>
  <si>
    <t>Sentiance</t>
  </si>
  <si>
    <t>Argus Labs</t>
  </si>
  <si>
    <t>Flybits, MapR, Tellmeplus, Cloudera, DataStax, Databricks, Talend, Vitria Technology, Glympse, NumberEight, Silicon Valley Data Science, Think Big Analytics, Neura (Consumer Insights), Tellient, Cardinality, Atooma, VizExplorer, LoginRadius, Guavus</t>
  </si>
  <si>
    <t>Provider of an automated sensor fusion platform designed to turn IOT sensor data into behavioral insights. The company's automated sensor fusion platform uses machine learning algorithms and deep learning techniques to analyse IOT sensor data from mobile phones, wearables and IoT gateways and turns this data into rich behavioural and contextual insights, enabling companies to understand how customers go through their everyday lives, discover and anticipate the moments that matter most and adapt their engagement to real-world behavior and real-time context.</t>
  </si>
  <si>
    <t>artificial intelligence, behavioural data, context-aware customer engagement, context-aware service, sensor data, sensor data fusion, sensor fusion platform</t>
  </si>
  <si>
    <t>www.sentiance.com</t>
  </si>
  <si>
    <t>2012: 6, 2013: 5, 2014: 11, 2015: 21, 2016: 31</t>
  </si>
  <si>
    <t>91390-42P</t>
  </si>
  <si>
    <t>Antoon Vanparys</t>
  </si>
  <si>
    <t>toon.vanparys@sentiance.com</t>
  </si>
  <si>
    <t>+32 (0)3 369 96 96</t>
  </si>
  <si>
    <t>Antwerp, Belgium</t>
  </si>
  <si>
    <t>Korte Lozanastraat 20-26</t>
  </si>
  <si>
    <t>Antwerp</t>
  </si>
  <si>
    <t>2018</t>
  </si>
  <si>
    <t>Belgium</t>
  </si>
  <si>
    <t>info@sentiance.com</t>
  </si>
  <si>
    <t>The company raised EUR 7.13 million of venture funding from GGM Capital on December 28, 2017, putting the company's pre-money valuation at EUR 60.64 million. Previously, the company joined Startup Autobahn as part of the 2017 class and received an undisclosed amount in funding. earlier the company raised EUR 8 million of Series C venture funding in a deal led by Volta Ventures on July 1, 2017, putting the pre-money valuation at EUR 27.8 million.</t>
  </si>
  <si>
    <t>Duval Union CVBA, GGM Capital, KPN Ventures, NOVA Participations, Pamica, Plug and Play Tech Center, Qbic Fund, Samsung Catalyst, Seamless Accelerator, Startup Autobahn, Triggers, Volta Ventures</t>
  </si>
  <si>
    <t>GGM Capital(www.ggm.lu), KPN Ventures(www.kpnventures.com), Pamica(www.pamica.be), Plug and Play Tech Center(www.plugandplaytechcenter.com), Qbic Fund(www.qbic.be), Samsung Catalyst(www.samsungcatalyst.com), Seamless Accelerator(www.seamlessiot.com), Startup Autobahn(www.startup-autobahn.com), Volta Ventures(www.volta.ventures)</t>
  </si>
  <si>
    <t>BNP Paribas(General Business Banking), Connect Digital Partners(Consulting), Cresco (Business Law Firm)(Legal Advisor), Noronha-Roelens Legal Consulting(Legal Advisor)</t>
  </si>
  <si>
    <t>52845-58</t>
  </si>
  <si>
    <t>Sensys Networks</t>
  </si>
  <si>
    <t>Econolite Group, Hangzhou Hik-Vision Digital Technology Company</t>
  </si>
  <si>
    <t>Developer of detection and data platform designed to improve the way people travel through cities. The company offers traffic visionaries and implementers with a vehicle detection and traffic data platform for virtually all traffic management needs, driving global traffic improvement through accurate detection and actionable data.</t>
  </si>
  <si>
    <t>Electronic Equipment and Instruments*</t>
  </si>
  <si>
    <t>detection system, magnetic sensors, traffic detection, traffic management product, vehicle volume, wireless magnetic sensors, wireless traffic management</t>
  </si>
  <si>
    <t>www.sensysnetworks.com</t>
  </si>
  <si>
    <t>2014: 80</t>
  </si>
  <si>
    <t>37216-90P</t>
  </si>
  <si>
    <t>Mark McGourty</t>
  </si>
  <si>
    <t>mmcgourty@sensysnetworks.com</t>
  </si>
  <si>
    <t>+1 (510) 548-4620</t>
  </si>
  <si>
    <t>1608 Fourth Street</t>
  </si>
  <si>
    <t>94710</t>
  </si>
  <si>
    <t>+1 (510) 548-8264</t>
  </si>
  <si>
    <t>info@sensysnetworks.com</t>
  </si>
  <si>
    <t>The company reached a definitive agreement to be acquired by Tagmaster (STO: TAGM B) for $16 million on May 3, 2019. Previously, the company raised $144,000 of venture funding from undisclosed investors on March 10, 2016.</t>
  </si>
  <si>
    <t>Fuse Capital, Gruener Ventures, Horizon Ventures, Individual, National Science Foundation, Next47, Voyager Capital</t>
  </si>
  <si>
    <t>Tagmaster</t>
  </si>
  <si>
    <t>Fuse Capital(www.fusecapital.com), Horizon Ventures(www.horizonvc.com), National Science Foundation(seedfund.nsf.gov), Next47(Next47.com), Voyager Capital(www.voyagercapital.com)</t>
  </si>
  <si>
    <t>Tagmaster(www.tagmaster.com)</t>
  </si>
  <si>
    <t>Burkland Associates(Accounting), Howard Rice Nemerovski Canady Falk &amp; Rabkin(Legal Advisor)</t>
  </si>
  <si>
    <t>Arnold &amp; Porter Kaye Scholer(Legal Advisor), Gunderson Dettmer(Legal Advisor), Howard Rice Nemerovski Canady Falk &amp; Rabkin(Legal Advisor), Mooreland Partners(Advisor: General)</t>
  </si>
  <si>
    <t>98429-68</t>
  </si>
  <si>
    <t>Sensoro</t>
  </si>
  <si>
    <t>Skyhook (application), Point Six Wireless, Sensorberg, Sixgill, Libelium, Kontakt.io, ThingWorx, M87, Telit Communications, Trimble</t>
  </si>
  <si>
    <t>Developer of advanced sensing technologies designed to converge the digital world through the application of sensing technologies. The company's platform uses a long-range, low-power IoT-WAN for exchanging data with the sensor devices, and Ethernet and 3G to exchange data with the management platform residing on the Internet or internal network and provides long-range, low-power capabilities for IoT sensor networks.</t>
  </si>
  <si>
    <t>beacons network, data network, iot sensors network, monitoring sensors, sensing technology, sensor device, wireless internet device</t>
  </si>
  <si>
    <t>www.sensoro.com</t>
  </si>
  <si>
    <t>121554-46P</t>
  </si>
  <si>
    <t>Zhao Wuyang</t>
  </si>
  <si>
    <t>zhao@sensoro.com</t>
  </si>
  <si>
    <t>+86 (0)10 8416 1077</t>
  </si>
  <si>
    <t>320 Westlake Avenue North Floor 4</t>
  </si>
  <si>
    <t>98109</t>
  </si>
  <si>
    <t>+1 (425) 802-4936</t>
  </si>
  <si>
    <t>seattle@sensoro.com</t>
  </si>
  <si>
    <t>The company raised $27.9 million of Series D venture funding from GGV Capital and NGP Capital on February 1, 2019. Earlier the company raised an undisclosed amount of Series C venture funding from Robert Bosch Venture Capital, Baidu Capital and Chaos Investment on April 10, 2018. Northern Light Venture Capital and other undisclosed investors also participated in the round. The funds will be used to continue developing IoT technology, accelerate the global expansion of its IoT products and gain competitiveness. Previously, the company raised $18 million of Series B venture funding in a deal led by Tsing Capital on April 24, 2017.</t>
  </si>
  <si>
    <t>Baidu Ventures, Chaos Investment, GGV Capital, Mandra Capital, Microsoft ScaleUp, New World Development, NGP Capital, Northern Light Venture Capital, Robert Bosch Venture Capital, Sumitomo Corporation, Tsing Capital</t>
  </si>
  <si>
    <t>Baidu Ventures(www.bv.ai), Chaos Investment(chaoschina.com), GGV Capital(www.ggvc.com), Mandra Capital(www.mandracapital.com), Microsoft ScaleUp(startups.microsoft.com/en-us/scale-up), New World Development(www.nwd.com.hk), NGP Capital(www.ngpcap.com), Northern Light Venture Capital(www.nlvc.com), Robert Bosch Venture Capital(www.rbvc.com), Sumitomo Corporation(www.sumitomocorp.com), Tsing Capital(www.tsingcapital.com)</t>
  </si>
  <si>
    <t>58449-16</t>
  </si>
  <si>
    <t>Sensor Tower</t>
  </si>
  <si>
    <t>Appstorerankings.net</t>
  </si>
  <si>
    <t>Singular, WebTrends, Localytics, CoreMedia, ContentSquare, mParticle, Talkwalker, Kochava, Sisense, AppTweak, Sitecore, MixRank, Verto Analytics, Optimizely, App Annie, Jumpshot, OutSystems, Appnique, Mobile Action, Amplitude, Apsalar, MixPanel, Tenjin, adjust, Lotame Solutions, AppsFlyer, Ngdata, RevJet, SimilarWeb, SearchMan, Phizzle, Gummicube, Moat, Wove, Fiksu, Flurry, Celtra, ContractIQ, Tapjoy, Apptopia, Origami Logic, RealityMine, Quantcast, Through-Channel, Transform (Seattle), comScore, Sparkroom, Urchin Software, IP-Echelon, Priori Data, Cake Marketing, Exicon, C3 Metrics</t>
  </si>
  <si>
    <t>Developer of data analytics intended to provide insights into the mobile app ecosystem. The company helps in mobile app marketing, app store optimization, store intelligence, usage intelligence, ad intelligence, and more, enabling mobile marketers, application developers and industry analysts with competitive insights into the mobile economy and increases application downloads through application store optimization.</t>
  </si>
  <si>
    <t>app stores optimization, aso, mobile app data analytics, mobile app optimization, usage data analytics</t>
  </si>
  <si>
    <t>www.sensortower.com</t>
  </si>
  <si>
    <t>2014: 6, 2016: 31</t>
  </si>
  <si>
    <t>52757-92P</t>
  </si>
  <si>
    <t>Oliver Yeh</t>
  </si>
  <si>
    <t>oliver@sensortower.com</t>
  </si>
  <si>
    <t>275 Battery Street</t>
  </si>
  <si>
    <t>Suite 800</t>
  </si>
  <si>
    <t>info@sensortower.com</t>
  </si>
  <si>
    <t>The company raised $1 million of venture funding in a deal led by Rembrandt Venture Partners on August 6, 2013. Pear Ventures, Merus Capital, Pejman Nozad, Bertelsmann Digital Media Investments, Pejman Nozad, Mar Hershenson, Ariel Poler and Maneesh Arora also participated in this round. Previously, the company joined AngelPad as part if its 2013 Class on May 23, 2013. Thomas Korte also participated in this round.</t>
  </si>
  <si>
    <t>AngelPad, Ariel Poler, Bertelsmann Digital Media Investments, Individual Investor, Maneesh Arora, Merus Capital, Pear, Pejman Nozad, Rembrandt Venture Partners</t>
  </si>
  <si>
    <t>AngelPad(www.angelpad.com), Ariel Poler(www.amileatatime.com), Bertelsmann Digital Media Investments(www.bdmifund.com), Maneesh Arora(linkedin.com/in/maneesharora), Merus Capital(www.meruscap.com), Pear(www.pear.vc), Rembrandt Venture Partners(www.rembrandtvc.com)</t>
  </si>
  <si>
    <t>142261-57</t>
  </si>
  <si>
    <t>Sensifree</t>
  </si>
  <si>
    <t>Global Kinetics, Kinesis Health Technologies</t>
  </si>
  <si>
    <t>Developer of hemodynamic monitoring platform designed to help patients to monitor and control several hemodynamic parameters. The company's hemodynamic monitoring platform uses sensor technology to offer noninvasive and continuous measurement of blood pressure, heart rate, stroke volume and cardiac output parameter, enabling physicians to avail enhanced results in operating rooms, intensive care units and post-surgery recovery units.</t>
  </si>
  <si>
    <t>Monitoring Equipment*, Other Devices and Supplies</t>
  </si>
  <si>
    <t>blood pressure, critical care device, heart rated, hemodynamic, hemodynamic monitor, medical device company, operating room equipment, patient monitoring, radio frequency device, sensor technology</t>
  </si>
  <si>
    <t>Clinical Trials - General</t>
  </si>
  <si>
    <t>www.sensifree.com</t>
  </si>
  <si>
    <t>2016: 17, 2018: 12</t>
  </si>
  <si>
    <t>136090-09P</t>
  </si>
  <si>
    <t>Eran Agmon</t>
  </si>
  <si>
    <t>erana@sensifree.com</t>
  </si>
  <si>
    <t>+1 (408) 913-5574</t>
  </si>
  <si>
    <t>21631 Stevens Creek Boulevard</t>
  </si>
  <si>
    <t>info@sensifree.com</t>
  </si>
  <si>
    <t>The company raised $5 million of Series A venture funding in a deal led by TransLink Capital on July 14, 2015. UMC Capital and other undisclosed investors also participated in the round. The company will use the funding to expand its engineering and product development teams and to accelerate its business development efforts.</t>
  </si>
  <si>
    <t>Samsung Catalyst, TransLink Capital, UMC Capital</t>
  </si>
  <si>
    <t>Samsung Catalyst(www.samsungcatalyst.com), TransLink Capital(www.translinkcapital.com), UMC Capital(www.umccapital.com)</t>
  </si>
  <si>
    <t>LHA Investor Relations(Advisor: General), PwC(Accounting)</t>
  </si>
  <si>
    <t>62537-68</t>
  </si>
  <si>
    <t>SenseAir</t>
  </si>
  <si>
    <t>Manufacturer of precision gas sensors designed to regulate carbon dioxide level. The company's precision gas sensors which are in form of OEM modules, wall mount, duct mount, handheld, cables/chargers and accessories using an infra-red gas measurement technology, enabling organizations to fluctuate indoor air quality.</t>
  </si>
  <si>
    <t>gas sensing technology, infrared technology, precision gas sensor, regulate carbon dioxide, ventilation controllers</t>
  </si>
  <si>
    <t>www.senseair.com</t>
  </si>
  <si>
    <t>2010: 73, 2011: 73, 2012: 93, 2013: 97, 2014: 106, 2015: 97, 2016: 106</t>
  </si>
  <si>
    <t>65544-22P</t>
  </si>
  <si>
    <t>Linda Hammarstrom Löfstrand</t>
  </si>
  <si>
    <t>Chief Financial Officer &amp; Vice President</t>
  </si>
  <si>
    <t>linda.lofstrand@senseair.com</t>
  </si>
  <si>
    <t>+46 (0)65 37 17 770</t>
  </si>
  <si>
    <t>Delsbo, Sweden</t>
  </si>
  <si>
    <t>Stationsgatan 12</t>
  </si>
  <si>
    <t>Box 96</t>
  </si>
  <si>
    <t>Delsbo</t>
  </si>
  <si>
    <t>824 08</t>
  </si>
  <si>
    <t>+46 (0)65 37 17 789</t>
  </si>
  <si>
    <t>info@senseair.com</t>
  </si>
  <si>
    <t>The company reached a definitive agreement to be acquired by Asahi Kasei Microdevices for an undisclosed amount on January 26, 2018. The acquisition will make it possible for the two companies to more deeply integrate their technological knowledge and market networks. AKM expects that this will enable an expansion of business activities in the market for air, gas, and alcohol sensors, where rapid growth is forecasted. Previously, the company joined Innovations' Accelerator on an undisclosed date. The company is being actively tracked by PitchBook.</t>
  </si>
  <si>
    <t>Asahi Kasei Corporate Venture Capital, Inlandsinnovation, Innovations' Accelerator, Investa Företagskapital, New Cosmos Electric, Vinnova Programme Sustainable Production Technology</t>
  </si>
  <si>
    <t>Asahi Kasei Microdevices</t>
  </si>
  <si>
    <t>Asahi Kasei Corporate Venture Capital(www.asahikaseiventures.com), Inlandsinnovation(www.inlandsinnovation.se), Innovations' Accelerator(www.innovationsaccelerator.com), Investa Företagskapital(www.investa.se), New Cosmos Electric(www.new-cosmos.co.jp)</t>
  </si>
  <si>
    <t>Advokatfirman Lindahl(Legal Advisor)</t>
  </si>
  <si>
    <t>185232-70</t>
  </si>
  <si>
    <t>Sense Photonics</t>
  </si>
  <si>
    <t>Luminar, AEye, LeddarTech, Quanergy, Innoviz Technologies, Velodyne LiDAR</t>
  </si>
  <si>
    <t>The company is currently operating in Stealth mode. The company focuses on providing Ultra High Performance LiDAR systems.</t>
  </si>
  <si>
    <t>Other Hardware*, Other Software</t>
  </si>
  <si>
    <t>Autonomous cars</t>
  </si>
  <si>
    <t>lidar, lidar sensors, lidar system, lidar technology</t>
  </si>
  <si>
    <t>sense-photonics.com</t>
  </si>
  <si>
    <t>49000-06P</t>
  </si>
  <si>
    <t>M. Scott Burroughs</t>
  </si>
  <si>
    <t>scott.burroughs@sense-photonics.com</t>
  </si>
  <si>
    <t>+1 (919) 248-1470</t>
  </si>
  <si>
    <t>Durham, NC</t>
  </si>
  <si>
    <t>3021 East Cornwallis Road</t>
  </si>
  <si>
    <t>Durham</t>
  </si>
  <si>
    <t>27709</t>
  </si>
  <si>
    <t>carolyn.gill@sense-photonics.com</t>
  </si>
  <si>
    <t>The company raised $14.42 million of Series A venture funding from undisclosed investors on October 9, 2018, putting the company's pre-money valuation at $50 million.</t>
  </si>
  <si>
    <t>Acadia Woods Partners, Arab Angel, Congruent Ventures, Creative Ventures, Hemi Ventures, IDEA Fund Partners, Prelude Ventures, Samsung Venture Investment, Service Provider Capital</t>
  </si>
  <si>
    <t>Arab Angel(www.arabangel.vc), Congruent Ventures(www.congruentvc.com), Creative Ventures(www.creativeventures.vc), Hemi Ventures(www.hemi.vc), IDEA Fund Partners(www.ideafundpartners.com), Prelude Ventures(www.preludeventures.com), Samsung Venture Investment(www.samsungventures.com), Service Provider Capital(www.serviceprovidercapital.com)</t>
  </si>
  <si>
    <t>57285-73</t>
  </si>
  <si>
    <t>Sense (Home Energy Management)</t>
  </si>
  <si>
    <t>Sage Devices</t>
  </si>
  <si>
    <t>Ecobee, Curb</t>
  </si>
  <si>
    <t>Provider of a home intelligence platform created to track energy use in real time at the sub-second level. The company's system uses current sensors in an electric panel and machine learning detection algorithms to identify an electrical device's unique electronic signature and provide insight into energy use and home activity, enabling users to make their home more efficient, informed and secure. The company's system also enables user to monitor solar production in real-time.</t>
  </si>
  <si>
    <t>Electronics (B2C)*, Other Energy Services</t>
  </si>
  <si>
    <t>Internet of Things, LOHAS &amp; Wellness, Mobile</t>
  </si>
  <si>
    <t>energy transformation, home energy monitoring, intelligent home energy, machine learning technology, speech recognition app, speech recognition technology</t>
  </si>
  <si>
    <t>www.sense.com</t>
  </si>
  <si>
    <t>2014: 4, 2015: 12, 2016: 18, 2017: 18, 2018: 45</t>
  </si>
  <si>
    <t>45431-38P</t>
  </si>
  <si>
    <t>Michael Phillips</t>
  </si>
  <si>
    <t>Co-Founder, Board Member, President &amp; Chief Executive Officer</t>
  </si>
  <si>
    <t>michael.phillips@sense.com</t>
  </si>
  <si>
    <t>+1 (617) 844-0955</t>
  </si>
  <si>
    <t>485 Massachusetts Avenue</t>
  </si>
  <si>
    <t>The company raised $20 million of Series B venture funding in a deal led by Schneider Electric on January 16, 2019. Landis+Gyr, Shell Ventures, iRobot Ventures, Prelude Ventures, Energy Impact Partners and Capricorn Investment Group also participated in the round. The funding allows Sense to pursue a path of broader consumer adoption with a partnership ecosystem that includes home construction, energy providers, and smart home innovators. The round brings $40.6 million in venture capital to date.</t>
  </si>
  <si>
    <t>Bolt Innovation Group, Capricorn Investment Group, Charles River Ventures, Energy Impact Partners, Greentown Labs, GV, iRobot Ventures, Landis+Gyr, Prelude Ventures, Schneider Electric, Shell Ventures</t>
  </si>
  <si>
    <t>Bolt Innovation Group(www.bolt.io), Capricorn Investment Group(www.capricornllc.com), Charles River Ventures(www.crv.com), Energy Impact Partners(www.energyimpactpartners.com), Greentown Labs(www.greentownlabs.com), GV(www.gv.com), Landis+Gyr(www.landisgyr.com), Prelude Ventures(www.preludeventures.com), Schneider Electric(www.schneider-electric.com)</t>
  </si>
  <si>
    <t>Latham &amp; Watkins(Legal Advisor), Skillcloud Consulting(Consulting)</t>
  </si>
  <si>
    <t>52333-57</t>
  </si>
  <si>
    <t>Semprius</t>
  </si>
  <si>
    <t>pSi-tech</t>
  </si>
  <si>
    <t>Merlin Solar Technologies, Siva Power, Sunpreme, Nanosolar, MiaSole, SunPower Corporation Australia, Borrego Solar, Recurrent Energy, Solaria, Array Technologies (Solar Trackers)), Stion, Silevo, REC Solar (Residential), SoloPower Systems, REC Solar (Energy Infrastructure), Sunnova Energy, Sungevity, Heliatek, EnterSolar, Exosun</t>
  </si>
  <si>
    <t>Developer of concentrator photovoltaic modules designed to generate solar electricity. The company's concentrator photovoltaic modules work on micro-transfer printing technology for the manufacture of advanced semiconductor devices and also commercializes a process for printing semiconductors on various substrates, including glass, plastic and other semiconductor materials, enabling users to use solar energy using small sized solar cells.</t>
  </si>
  <si>
    <t>Alternative Energy Equipment*</t>
  </si>
  <si>
    <t>CleanTech, Manufacturing, TMT</t>
  </si>
  <si>
    <t>concentrator photovoltaic, photovoltaic modules, semiconductor, solar electricity, solar energy equipment, solar module</t>
  </si>
  <si>
    <t>www.semprius.com</t>
  </si>
  <si>
    <t>109493-92P</t>
  </si>
  <si>
    <t>Helena Yee</t>
  </si>
  <si>
    <t>4915 Prospectus Drive</t>
  </si>
  <si>
    <t>27713</t>
  </si>
  <si>
    <t>The company closed on $120,396 of convertible debt financing from undisclosed investors on November 16, 2016. Previously, the company raised $12.6 million of convertible debt financing from undisclosed investors on September 21, 2016. The company is being actively tracked by PitchBook.</t>
  </si>
  <si>
    <t>Applied Ventures, ARCH Venture Partners, Arpa-E, Global Venture Capital, Halo Companies, IllinoisVENTURES, In-Q-Tel, Intersouth Partners, John Regan, Morgan Creek Capital Management, National Renewable Energy Laboratory, Next47, Union Grove Venture Partners, X-FAB Semiconductor Foundries</t>
  </si>
  <si>
    <t>ARCH Venture Partners(www.archventure.com), Arpa-E(www.arpa-e.energy.gov), Global Venture Capital(www.gvc.jp), Halo Companies(www.haloco.com), IllinoisVENTURES(www.illinoisventures.com), In-Q-Tel(www.iqt.org), Intersouth Partners(www.intersouth.com), Morgan Creek Capital Management(www.morgancreekcap.com), National Renewable Energy Laboratory(www.nrel.gov), Next47(Next47.com), Union Grove Venture Partners(www.ugvp.com), X-FAB Semiconductor Foundries(www.xfab.com)</t>
  </si>
  <si>
    <t>Onyx Asset Advisors(Advisor: General)</t>
  </si>
  <si>
    <t>Horizon Technology Finance(Advisor: General), Silicon Valley Bank(Advisor: General), Smith, Anderson, Blount, Dorsett, Mitchell &amp; Jernigan(Legal Advisor), Vance County, North Carolina(Debt Financing), Wyrick Robbins Yates &amp; Ponton(Legal Advisor)</t>
  </si>
  <si>
    <t>55089-19</t>
  </si>
  <si>
    <t>Semasio</t>
  </si>
  <si>
    <t>Developer and supplier of a SaaS platform designed to turn every contact an agency or advertiser has with internet users into profile data. The company's SaaS platform is a software that relies on statistical modeling and machine learning, enabling media agencies and advertisers to build and evaluate a database containing the profiles of their users.</t>
  </si>
  <si>
    <t>AdTech, Artificial Intelligence &amp; Machine Learning, Big Data, SaaS, TMT</t>
  </si>
  <si>
    <t>intelligence platform, real-time-bidding, saas platform, statistical modeling</t>
  </si>
  <si>
    <t>www.semasio.com</t>
  </si>
  <si>
    <t>2014: 11, 2016: 17, 2018: 27</t>
  </si>
  <si>
    <t>47905-30P</t>
  </si>
  <si>
    <t>Kasper Skou</t>
  </si>
  <si>
    <t>kasper@semasio.com</t>
  </si>
  <si>
    <t>+49 (0)15 2033 7696 4</t>
  </si>
  <si>
    <t>Rödingsmarkt 9</t>
  </si>
  <si>
    <t>20459</t>
  </si>
  <si>
    <t>+49 (0)40 3501 7577</t>
  </si>
  <si>
    <t>info@semasio.com</t>
  </si>
  <si>
    <t>The company raised €10 million of venture funding from Bertelsmann Digital Media Investments, Holtzbrinck Ventures and High-Tech Gründerfonds on August 24, 2012. Project A Ventures also participated in the round.</t>
  </si>
  <si>
    <t>Bertelsmann Digital Media Investments, High-Tech Gründerfonds, HV Holtzbrinck Ventures, Project A</t>
  </si>
  <si>
    <t>Bertelsmann Digital Media Investments(www.bdmifund.com), High-Tech Gründerfonds(www.high-tech-gruenderfonds.de), HV Holtzbrinck Ventures(www.hvventures.com), Project A(www.project-a.com)</t>
  </si>
  <si>
    <t>Marnie Digital(Advisor: General)</t>
  </si>
  <si>
    <t>55901-53</t>
  </si>
  <si>
    <t>SellerCrowd</t>
  </si>
  <si>
    <t>ZoomInfo, Owler</t>
  </si>
  <si>
    <t>Provider of a platform designed to find and share information about buyers. The company's platform offers an anonymous forum for asking questions and getting answers from other users about the agencies, enabling media and technology companies to prospect and keep up with their key accounts.</t>
  </si>
  <si>
    <t>Business/Productivity Software, Information Services (B2C)*, Social/Platform Software</t>
  </si>
  <si>
    <t>buyer information, community platform, media seller, online forum</t>
  </si>
  <si>
    <t>www.sellercrowd.com</t>
  </si>
  <si>
    <t>2012: 5, 2015: 7</t>
  </si>
  <si>
    <t>45756-28P</t>
  </si>
  <si>
    <t>Clayton Gran</t>
  </si>
  <si>
    <t>clayton.gran@sellercrowd.com</t>
  </si>
  <si>
    <t>+1 (617) 680-6161</t>
  </si>
  <si>
    <t>Scottsdale, AZ</t>
  </si>
  <si>
    <t>24955 North 74th Place</t>
  </si>
  <si>
    <t>Scottsdale</t>
  </si>
  <si>
    <t>Arizona</t>
  </si>
  <si>
    <t>85255</t>
  </si>
  <si>
    <t>The company raised $500,002 of Series A venture funding from SoftBank Capital, MDC Ventures and Charles River Ventures on September 10, 2012. Lerer Hippeau Ventures, Ben Lerer and Eric Porres also participated in the round.</t>
  </si>
  <si>
    <t>Benjamin Lerer, Charles River Ventures, Eric Porres, Lerer Hippeau, MDC Ventures, SoftBank Capital</t>
  </si>
  <si>
    <t>Charles River Ventures(www.crv.com), Lerer Hippeau(www.lererhippeau.com), MDC Ventures(www.mdcventures.vc), SoftBank Capital(www.softbankvc.com)</t>
  </si>
  <si>
    <t>56122-57</t>
  </si>
  <si>
    <t>Selerity</t>
  </si>
  <si>
    <t>RMT Ventures</t>
  </si>
  <si>
    <t>Developer of a financial technology intended to deliver content and data solutions designed to automate inefficient workflows in finance. The company's technology offers contextual search and automation process for the capital markets and digital wealth industries, while the Company's event data powers trading, risk and investment models used by retail and institutional investors, enabling client's to automate their repetitive financial activities.</t>
  </si>
  <si>
    <t>Automation/Workflow Software, Business/Productivity Software, Financial Software*</t>
  </si>
  <si>
    <t>Artificial Intelligence &amp; Machine Learning, FinTech, SaaS, TMT</t>
  </si>
  <si>
    <t>events data system, financial information, financial media, financial technology, investment thesis</t>
  </si>
  <si>
    <t>www.seleritycorp.com</t>
  </si>
  <si>
    <t>2015: 40</t>
  </si>
  <si>
    <t>46760-14P</t>
  </si>
  <si>
    <t>Ryan Terpstra</t>
  </si>
  <si>
    <t>ryan.terpstra@seleritycorp.com</t>
  </si>
  <si>
    <t>+1 (646) 655-0719</t>
  </si>
  <si>
    <t>7 West 36th Street</t>
  </si>
  <si>
    <t>info@selerityinc.com</t>
  </si>
  <si>
    <t>The company raised $4.2 million of venture funding in a deal led by Citigroup on March 8, 2016. Roger Ehrenberg, BrookPark Holdings, DRW Venture Capital and Mark Faulkner also participated in the round. The funding will be used by the company for the development of its artificial intelligence, data science infrastructure and sales and marketing across markets.</t>
  </si>
  <si>
    <t>BrookPark Holdings, Citigroup, DRW Venture Capital, Emanuel Mond, Lee Olesky, Mark Faulkner, Roger Ehrenberg, Sharon Rowlands, Thomas Glocer</t>
  </si>
  <si>
    <t>BrookPark Holdings(brookparkholdings.com), Citigroup(www.citigroup.com/citi), DRW Venture Capital(www.drwvc.com), Thomas Glocer(www.tomglocer.com)</t>
  </si>
  <si>
    <t>99145-54</t>
  </si>
  <si>
    <t>Seikowave</t>
  </si>
  <si>
    <t>Developer of a platform intended to offer 3D imaging and analysis services. The company's platform offers a measurement system for inspecting oil and gas infrastructure using real-time algorithms to process 3D objects and surfaces, enabling clients to avail premium services.</t>
  </si>
  <si>
    <t>Application Software, Social/Platform Software*</t>
  </si>
  <si>
    <t>Oil &amp; Gas, TMT</t>
  </si>
  <si>
    <t>3d imaging, 3d imaging and analysis, 3d imaging services, 3d imaging system, analysis platform, measurement system</t>
  </si>
  <si>
    <t>www.energy.seikowave.com</t>
  </si>
  <si>
    <t>2010: 3, 2011: 3, 2012: 7, 2013: 9, 2014: 10, 2015: 12, 2016: 13, 2017: 16, 2018: 18</t>
  </si>
  <si>
    <t>84075-49P</t>
  </si>
  <si>
    <t>Matt Bellis</t>
  </si>
  <si>
    <t>Co-Founder, Chief Executive Officer &amp; President</t>
  </si>
  <si>
    <t>mbellis@seikowave.com</t>
  </si>
  <si>
    <t>+1 (859) 523-2491</t>
  </si>
  <si>
    <t>Lexington, KY</t>
  </si>
  <si>
    <t>100 Midland Avenue</t>
  </si>
  <si>
    <t>Lexington</t>
  </si>
  <si>
    <t>Kentucky</t>
  </si>
  <si>
    <t>40508</t>
  </si>
  <si>
    <t>info@seikowave.com</t>
  </si>
  <si>
    <t>The company raised an estimated $4 million of Series A3 venture funding from VisionTech Partners on April 28, 2017, putting the company's pre-money valuation at $21 million.</t>
  </si>
  <si>
    <t>Chevron Technology Ventures, Startups@KSTC, VisionTech Partners, XLerateHealth</t>
  </si>
  <si>
    <t>Startups@KSTC(startups.kstc.com), VisionTech Partners(www.visiontech-partners.com), XLerateHealth(www.xleratehealth.com)</t>
  </si>
  <si>
    <t>Chase Bank(General Business Banking), Frost Brown Todd(Legal Advisor)</t>
  </si>
  <si>
    <t>Frost Brown Todd(Legal Advisor)</t>
  </si>
  <si>
    <t>57270-16</t>
  </si>
  <si>
    <t>Seeq</t>
  </si>
  <si>
    <t>Nebula 12</t>
  </si>
  <si>
    <t>RapidMiner, Uptake, Bottlenose, Mnubo, Domo, Vision Critical Communications, Askuity, Qualtrics, Medallia, Monetate, Statflo, Canvass, Salesbox (CRM), Process Systems Enterprise, PTC Software, Epicor Software, Dundas Data Visualization, TrendMiner, NarrativeWave, ColdLight Solutions, Sight Machine, HookLogic, Predikto, Digital Reasoning Systems, Solix Technologies, Rubikloud, ICONICS, Criteo, Black Lake Technologies, ThoughtSpot, Infor Global Solutions, ShoptoCook, Ayla Networks</t>
  </si>
  <si>
    <t>Provider of an analytics software designed to accelerate industrial process analytics. The company's analytics software and tools collect time-series data, events and signals, as well as related contextual data, generated by production and manufacturing organizations, enabling clients to increase collaboration among employees to drive better operations decisions.</t>
  </si>
  <si>
    <t>Business/Productivity Software, Media and Information Services (B2B)*, Other Software</t>
  </si>
  <si>
    <t>Advanced Manufacturing, Big Data, SaaS, TMT</t>
  </si>
  <si>
    <t>decision making, industrial process analytics, industrial process data, predictive analytics</t>
  </si>
  <si>
    <t>www.seeq.com</t>
  </si>
  <si>
    <t>2013: 12, 2014: 18, 2015: 11, 2017: 43</t>
  </si>
  <si>
    <t>49980-43P</t>
  </si>
  <si>
    <t>Steven Sliwa</t>
  </si>
  <si>
    <t>Co-Founder, Board member &amp; Chief Executive Officer</t>
  </si>
  <si>
    <t>steve.sliwa@seeq.com</t>
  </si>
  <si>
    <t>+1 (206) 801-9339</t>
  </si>
  <si>
    <t>1301 Second Avenue</t>
  </si>
  <si>
    <t>Suite 2850</t>
  </si>
  <si>
    <t>info@seeq.com</t>
  </si>
  <si>
    <t>The company raised $23 million of Series B venture funding led by Next47 and Altira Group on July 18, 2018, putting the company's pre-money valuation at $35 million. Clear Fir Partners, Chevron Technology Ventures, Second Avenue Partners and other existing investors investors participated in the round. The company intends to use the funds to expand its development, sales and marketing resources, and also increase its presence in international markets.</t>
  </si>
  <si>
    <t>Altira Group, Chevron Technology Ventures, Clear Fir Partners, Madrona Venture Group, Next47, Second Avenue Partners</t>
  </si>
  <si>
    <t>Altira Group(www.altiragroup.com), Madrona Venture Group(www.madrona.com), Next47(Next47.com), Second Avenue Partners(www.secondave.com)</t>
  </si>
  <si>
    <t>105769-81</t>
  </si>
  <si>
    <t>SeeBoost</t>
  </si>
  <si>
    <t>Evergaze</t>
  </si>
  <si>
    <t>Developer of an electronic eye-wear device designed to provide better eyesight to senior people. The company's device is a monocular spectacle-mounted display which improves the vision of persons affected by age-related macular degeneration, enabling patients to visualize magnified and improved images.</t>
  </si>
  <si>
    <t>Other Devices and Supplies</t>
  </si>
  <si>
    <t>Other Consumer Durables, Other Devices and Supplies*</t>
  </si>
  <si>
    <t>digital eyewear, low-vision enhancement, macular degeneration, medical eyewear device, monocular spectacle, spectacles</t>
  </si>
  <si>
    <t>www.seeboost.com</t>
  </si>
  <si>
    <t>88366-24P</t>
  </si>
  <si>
    <t>Patrick Antaki</t>
  </si>
  <si>
    <t>Co-Founder, Chief Executive Officer and President</t>
  </si>
  <si>
    <t>pantaki@evergaze.com</t>
  </si>
  <si>
    <t>+1 (972) 896-4937</t>
  </si>
  <si>
    <t>Richardson, TX</t>
  </si>
  <si>
    <t>1878 Firman Drive</t>
  </si>
  <si>
    <t>Richardson</t>
  </si>
  <si>
    <t>75081</t>
  </si>
  <si>
    <t>+1 (972) 643-8498</t>
  </si>
  <si>
    <t>The company was in talks to raise $20 million of venture funding through a combination of debt and equity on May 22, 2017. Subsequently, the deal was canceled. Previously, the company raised $675,000 of venture funding from undisclosed investors on March 23, 2017. The deal also includes an undisclosed amount of convertible debt financing.</t>
  </si>
  <si>
    <t>Comerica Bank(General Business Banking), Haynes and Boone(Legal Advisor)</t>
  </si>
  <si>
    <t>54542-98</t>
  </si>
  <si>
    <t>SecureKey</t>
  </si>
  <si>
    <t>Deepnet Security, Charismathics, Civic, Gigya, Janrain, Centrify, SailPoint Technologies, SecureAuth, Tools4Ever, NT Objectives, MetricStream</t>
  </si>
  <si>
    <t>Provider of identity and authentication services designed to simplify consumer access to online services and applications. The company's services validate each other's identity over a secure and private network, enabling clients to get a privacy-enhancing transaction.</t>
  </si>
  <si>
    <t>Application Software, Other Commercial Services*, Security Services (B2B)</t>
  </si>
  <si>
    <t>identity validation, internet security software, privacy, privacy protection, private network</t>
  </si>
  <si>
    <t>www.securekey.com</t>
  </si>
  <si>
    <t>2014: 124, 2015: 67, 2016: 51, 2019: 97</t>
  </si>
  <si>
    <t>41456-71P</t>
  </si>
  <si>
    <t>Greg Wolfond</t>
  </si>
  <si>
    <t>+1 (416) 214-6451</t>
  </si>
  <si>
    <t>4101 Yonge Street, Building 4, York Mills Centre</t>
  </si>
  <si>
    <t>Suite 501</t>
  </si>
  <si>
    <t>M2P 1N6</t>
  </si>
  <si>
    <t>+1 (416) 477-5625</t>
  </si>
  <si>
    <t>info@securekey.com</t>
  </si>
  <si>
    <t>The company received $800,000 of grant funding from Command Control and Interoperability Center for Advanced Data Analytics and Digital ID and Authentication Council of Canada on February 14, 2017. The company will use the funds to deploy Cloud Identity Ecosystem. Previously, the company received CAD 27 million of development capital from BMO Bank of Montreal, Bank of Nova Scotia, CIBC World Markets, Desjardins, Royal Bank of Canada and TD Bank Group on October 18, 2016.</t>
  </si>
  <si>
    <t>Blue Sky Capital, BMO Financial Group, CIBC Capital Markets, Command Control and Interoperability Center for Advanced Data Analytics, Desjardins Group, Digital ID and Authentication Council of Canada, Discover, Intel Capital, MasterCard, Rogers Venture Partners, Royal Bank of Canada, Scotiabank, TD Bank Group, TELUS Ventures, Visa Ventures</t>
  </si>
  <si>
    <t>Blue Sky Capital(docs.rpmtec.com/bluesky), BMO Financial Group(www.bmo.com), CIBC Capital Markets(www.cibccm.com), Command Control and Interoperability Center for Advanced Data Analytics(www.ccicada.org), Desjardins Group(www.desjardins.com), Digital ID and Authentication Council of Canada(www.diacc.ca), Discover(www.discover.com), Intel Capital(www.intelcapital.com), MasterCard(www.mastercard.us), Rogers Venture Partners(www.rogersvp.com), Royal Bank of Canada(www.rbc.com), Scotiabank(www.scotiabank.com), TD Bank Group(www.td.com), TELUS Ventures(ventures.telus.com)</t>
  </si>
  <si>
    <t>AGC Partners(Advisor: General)</t>
  </si>
  <si>
    <t>61948-63</t>
  </si>
  <si>
    <t>Second Spectrum</t>
  </si>
  <si>
    <t>Performa Sports, Vizrt, Avid AI</t>
  </si>
  <si>
    <t>Developer of machine learning software designed to revolutionize sports through artificial intelligence. The company's software includes computer vision, big data, augmented and virtual reality, as well as offers interaction, immersion and personalization by providing applications, touchscreens, smart televisions and artificial intelligence technology, enabling fans and media companies to engage with the players and sports so that they can interact with each other.</t>
  </si>
  <si>
    <t>Artificial Intelligence &amp; Machine Learning, Augmented Reality, Big Data, TMT, Virtual Reality</t>
  </si>
  <si>
    <t>augmented video, computer vision, interactive sports, research platform, spatiotemporal data</t>
  </si>
  <si>
    <t>www.secondspectrum.com</t>
  </si>
  <si>
    <t>2014: 11, 2016: 4, 2017: 75</t>
  </si>
  <si>
    <t>64303-30P</t>
  </si>
  <si>
    <t>Rajiv Maheswaran</t>
  </si>
  <si>
    <t>rajiv@secondspectrum.com</t>
  </si>
  <si>
    <t>+1 (213) 995-6860</t>
  </si>
  <si>
    <t>312 East 1st Street</t>
  </si>
  <si>
    <t>90012</t>
  </si>
  <si>
    <t>info@secondspectrum.com</t>
  </si>
  <si>
    <t>The company raised $20.1 million of venture funding from CAA Ventures, Raine Ventures and The Chernin Group on March 12, 2018. Elysian Park Ventures, Trifecta Capital Partners, TenOneTen Ventures, August Capital, S-Cubed Capital and 9 individual investors also participated in the round.</t>
  </si>
  <si>
    <t>Andy Rappaport, August Capital, Becky Hammon, CAA Ventures, Elysian Park Ventures, Gordon Rubenstein, Mark Stevens, Paul Christensen, Raine Ventures, Ross Levinsohn, S-Cubed Capital, Steve Bornstein, Steve Pagliuca, Steven Ballmer, TenOneTen Ventures, The Chernin Group, Trifecta Capital Partners, USC Viterbi School of Engineering</t>
  </si>
  <si>
    <t>August Capital(www.augustcap.com), CAA Ventures(ventures.caa.com), Elysian Park Ventures(www.elysianpark.ventures), S-Cubed Capital(www.scubedcap.com), TenOneTen Ventures(www.tenoneten.net), Trifecta Capital Partners(www.trifectacapital.in), USC Viterbi School of Engineering(viterbi.usc.edu)</t>
  </si>
  <si>
    <t>Montgomery &amp; Company(Advisor: General), Orrick, Herrington &amp; Sutcliffe(Legal Advisor)</t>
  </si>
  <si>
    <t>122493-16</t>
  </si>
  <si>
    <t>SeatAssignMate</t>
  </si>
  <si>
    <t>Developer of a check-in application designed for send and receive flight confirmation emails. The company's application uses IATA NDC technology and transforms email into an immersive experience, enabling customers to select their seats and easily add other services to their bookings in real-time.</t>
  </si>
  <si>
    <t>communication app, confirmation message, flight confirmation, flight confirmation msg, flight confirmation tools, flight tickets confirmation, ticketing confirmation</t>
  </si>
  <si>
    <t>www.seatassignmate.com</t>
  </si>
  <si>
    <t>124615-99P</t>
  </si>
  <si>
    <t>Shi Li</t>
  </si>
  <si>
    <t>shi@seatassignmate.com</t>
  </si>
  <si>
    <t>+1 (347) 272-7006</t>
  </si>
  <si>
    <t>54 Boerum Street</t>
  </si>
  <si>
    <t>Apartment 4D</t>
  </si>
  <si>
    <t>11206</t>
  </si>
  <si>
    <t>The company raised $600,000 of convertible debt financing from JetBlue Technology Ventures, El Al Airlines and other undisclosed investors on January 6, 2019.</t>
  </si>
  <si>
    <t>El Al Airlines, Founder Institute, JetBlue Technology Ventures, Plug and Play Tech Center</t>
  </si>
  <si>
    <t>El Al Airlines(www.elal.co.il), Founder Institute(www.fi.co), JetBlue Technology Ventures(www.jetblueventures.com), Plug and Play Tech Center(www.plugandplaytechcenter.com)</t>
  </si>
  <si>
    <t>166379-95</t>
  </si>
  <si>
    <t>Sea Machines</t>
  </si>
  <si>
    <t>Texas Marine &amp; Offshore Projects</t>
  </si>
  <si>
    <t>Saildrone, Autonomous Marine Systems</t>
  </si>
  <si>
    <t>Developer of autonomous control and dynamic vessel management systems to control boats and sea vessels remotely. The company's systems consist of self-driven control and navigation technology to feature real-time sea data, remote payload control, obstacle avoidance, remote communications and machinery condition monitoring among other solutions, enabling workboats and other commercial surface vessels to be driven remotely with improved productivity and efficiency as well as safe operations in hazardous environments.</t>
  </si>
  <si>
    <t>Marine, Other Commercial Products*</t>
  </si>
  <si>
    <t>autonomous boats control, autonomous piloting system, boats piloting, remote boats control system, remote command system, remote sea vessels control</t>
  </si>
  <si>
    <t>www.sea-machines.com</t>
  </si>
  <si>
    <t>145442-98P</t>
  </si>
  <si>
    <t>Michael Johnson</t>
  </si>
  <si>
    <t>Founder, Chief Executive Officer, President and Board Member</t>
  </si>
  <si>
    <t>mjohnson@sea-machines.com</t>
  </si>
  <si>
    <t>+1 (617) 455-6266</t>
  </si>
  <si>
    <t>256 Marginal Street</t>
  </si>
  <si>
    <t>Building 16A</t>
  </si>
  <si>
    <t>02128</t>
  </si>
  <si>
    <t>nfo@sea-machines.com</t>
  </si>
  <si>
    <t>The company raised $10 million of Series A venture funding in a deal led by Accomplice VC and Eniac Ventures on December 17, 2018, putting the company's pre-money valuation at $17 million. Toyota AI Ventures, TechNexus Venture Collaborative, NextGen Venture Partners, LaunchCapital, LDV Capital, Geekdom Fund and other undisclosed investors also participated in the round. The funds will be used to expand the sales and global reach of the company's recently released line of products, grow the R&amp;D and engineering teams, roll out new product feature sets and further develop its advanced situational awareness systems for vessels.</t>
  </si>
  <si>
    <t>Accomplice VC, Eniac Ventures, Geekdom Fund, LaunchCapital, LDV Capital, MassChallenge, NextGen Venture Partners, Opus Faveo Innovation Development, Right Side Capital Management, TechNexus Venture Collaborative, Techstars, Toyota AI Ventures</t>
  </si>
  <si>
    <t>Accomplice VC(www.accomplice.co), Eniac Ventures(www.eniac.vc), Geekdom Fund(www.geekdomfund.com), LaunchCapital(www.launchcapital.com), LDV Capital(www.ldv.co), MassChallenge(www.masschallenge.org), NextGen Venture Partners(www.nextgenvp.com), Opus Faveo Innovation Development(www.opus-faveo.com), Right Side Capital Management(www.rightsidecapital.com), TechNexus Venture Collaborative(www.technexus.com), Techstars(www.techstars.com), Toyota AI Ventures(www.toyota-ai.ventures)</t>
  </si>
  <si>
    <t>Foley Hoag(Legal Advisor), Opus Faveo Innovation Development(Advisor: General)</t>
  </si>
  <si>
    <t>Foley Hoag(Legal Advisor), Goodwin(Legal Advisor)</t>
  </si>
  <si>
    <t>59090-50</t>
  </si>
  <si>
    <t>ScyllaDB</t>
  </si>
  <si>
    <t>Coudius</t>
  </si>
  <si>
    <t>Redis Labs, MongoDB, OrientDB, Basho, Cockroach Labs, RethinkDB, Couchbase, MapR, Dgraph, Neo4j, Talend, DataStax, Databricks, ArangoDB, Syncsort, Aerospike</t>
  </si>
  <si>
    <t>Provider of a real-time big data database intended for developers to build applications at light speed throughput and ultra low latency. The company's database offers a high throughput and scalable NoSQL database deployed by in production by several major companies including IBM, AppNexus, CPI Card Group, and Investing.com, enabling developers a low latency and C++ powered drop-in Apache Cassandra replacement easily.</t>
  </si>
  <si>
    <t>Database Software*</t>
  </si>
  <si>
    <t>big data technology, cloud services, cloud technology, database, nosql</t>
  </si>
  <si>
    <t>www.scylladb.com</t>
  </si>
  <si>
    <t>2014: 4, 2017: 35</t>
  </si>
  <si>
    <t>53945-56P</t>
  </si>
  <si>
    <t>Dor Laor</t>
  </si>
  <si>
    <t>dor@scylladb.com</t>
  </si>
  <si>
    <t>+972 (0)9 772 0766</t>
  </si>
  <si>
    <t>1900 Embarcaro Road</t>
  </si>
  <si>
    <t>94303</t>
  </si>
  <si>
    <t>+1 (650) 332-9582</t>
  </si>
  <si>
    <t>info@scylladb.com</t>
  </si>
  <si>
    <t>The company raised $10 million of Series C venture funding in a deal led by TLV Partners on April 25, 2018. Qualcomm Ventures, Western Digital Capital, Magma Venture Partners, and Bessemer Venture Partners also participated in the round.</t>
  </si>
  <si>
    <t>Bessemer Venture Partners, Innovation Endeavors, Magma Venture Partners, Peter Wagner, Qualcomm Ventures, Samsung Venture Investment, TLV Partners, Western Digital Capital, Wing Venture Capital</t>
  </si>
  <si>
    <t>Bessemer Venture Partners(www.bvp.com), Innovation Endeavors(www.innovationendeavors.com), Magma Venture Partners(www.magmavc.com), Qualcomm Ventures(www.qualcommventures.com), Samsung Venture Investment(www.samsungventures.com), TLV Partners(www.tlv.partners), Western Digital Capital(www.westerndigitalcapital.com), Wing Venture Capital(www.wing.vc)</t>
  </si>
  <si>
    <t>168258-34</t>
  </si>
  <si>
    <t>Scroll (Application Software)</t>
  </si>
  <si>
    <t>Developer of an online content platform designed to provide subscription-based news services. The company's platform offers a subscription service meant to bundle news from different publishers, enabling users to get frictionless access to a thriving free press easily.</t>
  </si>
  <si>
    <t>Application Software*, Publishing, Social/Platform Software</t>
  </si>
  <si>
    <t>news platform, news publish, online content platform, subscription-based news</t>
  </si>
  <si>
    <t>www.scroll.com</t>
  </si>
  <si>
    <t>35354-53P</t>
  </si>
  <si>
    <t>Tony Haile</t>
  </si>
  <si>
    <t>tony@scroll.com</t>
  </si>
  <si>
    <t>info@scroll.com</t>
  </si>
  <si>
    <t>The company raised $7 million of Series A venture funding in a deal led by Union Square Ventures on October 25, 2018. Axel Springer, The New York Times, Bertelsmann Digital Media Investments, Gannett Company, Samsung NEXT Ventures, Founder Collective, Uncork Capital, O'Reilly AlphaTech Ventures and Thomas H. Glocer also participated in the round. Earlier, the company received an undisclsoed amount of financing from Gannett Company on February 22, 2018.</t>
  </si>
  <si>
    <t>Axel Springer (Germany), Bertelsmann Digital Media Investments, Founder Collective, Gannett Company, New York Times Digital, News Corp (Australia), O'Reilly AlphaTech Ventures, Samsung NEXT Ventures, The New York Times, Thomas Glocer, Uncork Capital, Union Square Ventures</t>
  </si>
  <si>
    <t>Axel Springer (Germany)(www.axelspringer.com), Bertelsmann Digital Media Investments(www.bdmifund.com), Founder Collective(www.foundercollective.com), Gannett Company(www.gannett.com), O'Reilly AlphaTech Ventures(www.oatv.com), Samsung NEXT Ventures(www.samsungnext.com), Thomas Glocer(www.tomglocer.com), Uncork Capital(www.uncorkcapital.com), Union Square Ventures(www.usv.com)</t>
  </si>
  <si>
    <t>104701-51</t>
  </si>
  <si>
    <t>ScoutRFP</t>
  </si>
  <si>
    <t>DeltaBid, SourceDay, BravoSolution, Bonfire (Business/Productivity Software), eRequester, SpringCM, Taulia, Verian, Fieldglass, ZenPurchase, Paramount WorkPlace, Infor Global Solutions, BuyerQuest, Procurian, Ivalua, Emptoris, FreshBooks, Scanmarket, Due North, Accrualify, Vroozi, GT Nexus, Icertis, E2open, Wax Digital, Offset Market Exchange, Tradeshift, Pagero, Contraqer, ESM Solutions, Pool4tool, AvidXchange, SelectHub, Xeeva, Biwer and Associates, Viewpost, Procurify</t>
  </si>
  <si>
    <t>Developer of a SaaS RFP and sourcing platform designed to help organizations source faster and achieve better business outcomes. The company's automated sourcing and auction platform offers a simple interface to make requests for proposals (RFP), a bidding document used to procure services, direct purchases and any other strategic pieces of the supply chain and helps streamline and provide real-time cross departmental visibility into the procurement process, enabling organizations to streamline supplier selection, centralize data, and make more informed purchasing decisions, faster.</t>
  </si>
  <si>
    <t>Application Software, Automation/Workflow Software, Business/Productivity Software*</t>
  </si>
  <si>
    <t>automated sourcing, collect response, compliance management, esourcing, files management, invite supplier, request for proposal, rfp software, sourcing platform</t>
  </si>
  <si>
    <t>www.scoutrfp.com</t>
  </si>
  <si>
    <t>2015: 8, 2016: 32, 2017: 45</t>
  </si>
  <si>
    <t>41100-13P</t>
  </si>
  <si>
    <t>Alex Yakubovich</t>
  </si>
  <si>
    <t>alex@scoutrfp.com</t>
  </si>
  <si>
    <t>+1 (800) 235-4492</t>
  </si>
  <si>
    <t>318 Brannan Street</t>
  </si>
  <si>
    <t>Floor 1</t>
  </si>
  <si>
    <t>hello@scoutrfp.com</t>
  </si>
  <si>
    <t>The company raised $34.5 million of Series C venture funding in a deal led by Scale Venture Partners on January 23, 2019, putting the company's pre-money valuation at $150 million. Workday Ventures, Salesforce Ventures, Menlo Ventures, and Newview Capital also participated in the round.</t>
  </si>
  <si>
    <t>Capital Factory, Drummond Road Capital, GV, Idealab, Menlo Ventures, Newview Capital, ProAirus, Richard King, Salesforce Ventures, Scale Venture Partners, Techammer, Workday Ventures, Zapis Capital Group</t>
  </si>
  <si>
    <t>Capital Factory(www.capitalfactory.com), Drummond Road Capital(www.drummondroad.com), GV(www.gv.com), Idealab(www.idealab.com), Menlo Ventures(www.menlovc.com), Newview Capital(www.newviewcap.com), ProAirus(proairus.com), Scale Venture Partners(www.scalevp.com), Zapis Capital Group(www.zapiscapital.com)</t>
  </si>
  <si>
    <t>102359-98</t>
  </si>
  <si>
    <t>ScoreData</t>
  </si>
  <si>
    <t>Caralta</t>
  </si>
  <si>
    <t>Opera Solutions, Lattice (Business/Productivity Software), Clari, BRIDGEi2i Analytics Solutions, SAP, Marketo, Pentaho, Zendesk, Crayon Data, Iqlect, Salesforce, Alteryx, GoodData, Infor Global Solutions, BMC Software, Kaggle, 6Sense, Epicor Software, NetSuite, Skytree, Fractal Analytics, Datameer, Custora, Birst, Antuit, RapidMiner, Boomtrain, SAS Institute, Infer, Palantir Technologies, SugarCRM, Absolutdata Intelligent Analytics, Axtria, Zoomi, Mu Sigma, Flutura Business Solutions, Manthan, Zappi, Splunk, Xenomorph, Capillary Technologies, Domo, MicroStrategy, AgilOne, Tableau Software, Silverpop Systems</t>
  </si>
  <si>
    <t>Provider of a customer engagement platform designed to help businesses leverage their data and improve the quality of their engagement with their customers. The company's customer engagement platform ScoreFast, uses open-source technologies with machine learning to bring new data models to market in record time and foster collaboration among business managers to build a broad range of enterprise applications, enabling businesses to create the most effective run-time consumer models and scores for fraud detection, churn-management, caller-agent mapping, recommendations and cross-sell applications.</t>
  </si>
  <si>
    <t>business data, contact center automation, customer engagement, customer engagement platform, data analytics, data engineering, predictive analytics</t>
  </si>
  <si>
    <t>www.scoredata.com</t>
  </si>
  <si>
    <t>55858-69P</t>
  </si>
  <si>
    <t>Vasudev Bhandarkar</t>
  </si>
  <si>
    <t>vas@scoredata.com</t>
  </si>
  <si>
    <t>+1 (650) 469-3205</t>
  </si>
  <si>
    <t>950 Page Mill Road</t>
  </si>
  <si>
    <t>info@scoredata.com</t>
  </si>
  <si>
    <t>The company raised an undisclosed amount of venture funding in a deal led by Recruit Strategic Partners on March 27, 2018. Previously, the company raised $2.8 million of seed funding from Elevate Innovation Partners, 500 Startups and Global Reach Investments on October 4, 2017, putting the company's pre-money valuation at $18.2 million. 3one4 Capital, Ashok Krishnamurthi, Betsy Atkins, Andrea Weiss, Asha Jadeja Motwani and other undisclosed investors also participated in this round.</t>
  </si>
  <si>
    <t>3one4 Capital, 500 Startups, Andrea Weiss, Asha Jadeja Motwani, Ashok Krishnamurthi, Elevate Innovation Partners, Global Reach Investments, Margaret Atkins, Recruit Strategic Partners</t>
  </si>
  <si>
    <t>3one4 Capital(www.3one4capital.com), 500 Startups(www.500.co), Elevate Innovation Partners(www.eipfund.com), Recruit Strategic Partners(recruitstrategicpartners.com)</t>
  </si>
  <si>
    <t>226103-32</t>
  </si>
  <si>
    <t>ScopeAI</t>
  </si>
  <si>
    <t>Altocloud, Invoca, CallRail, CallFire, Datalot, CallTrackingMetrics, ResponseTap, ReachLocal, Infobip, Messagenet, Nexmo, TeleSign, Marchex, Fuze, IOVOX Enterprise, TextRecruit</t>
  </si>
  <si>
    <t>Developer of an online platform designed to extract data from customer conversations. The company's platform uses artificial intelligence, supports multiple integrations, automatically tags and categorizes, provides real time feedback, making it easy to track different trends of customer data, enabling enterprises to develop their business through customer interaction.</t>
  </si>
  <si>
    <t>customer conversations insights, customer data, customer interaction platform</t>
  </si>
  <si>
    <t>www.getscopeai.com</t>
  </si>
  <si>
    <t>180311-32P</t>
  </si>
  <si>
    <t>Luciano Arango</t>
  </si>
  <si>
    <t>luciano@getscopeai.com</t>
  </si>
  <si>
    <t>+1 (415) 857-0674</t>
  </si>
  <si>
    <t>3388 17th Street</t>
  </si>
  <si>
    <t>The company raised an undisclosed amount of seed funding from Y Combinator, Alumni Ventures Group,Menlo Ventures and Social Capital on February 28, 2018. Salesforce Ventures, Michael Seibel, Lee Linden, The Yard Ventures and Ray Bradford also participated in the round.</t>
  </si>
  <si>
    <t>Alumni Ventures Group, Lee Linden, Menlo Ventures, Michael Seibel, Ray Bradford, Salesforce Ventures, Social Capital, The Yard Ventures, Y Combinator</t>
  </si>
  <si>
    <t>Alumni Ventures Group(www.avgfunds.com), Menlo Ventures(www.menlovc.com), Social Capital(www.socialcapital.com), The Yard Ventures(www.theyardventures.com), Y Combinator(www.ycombinator.com)</t>
  </si>
  <si>
    <t>119685-70</t>
  </si>
  <si>
    <t>Scoop Technologies</t>
  </si>
  <si>
    <t>Scoop</t>
  </si>
  <si>
    <t>SRide, GroundLink, Careem, Ola, Zify, FlightCar, Uber, VuLog, Lyft, Duet Commute, Zipcar, Turo, Cabify</t>
  </si>
  <si>
    <t>Provider of a mobile based car pooling services designed to share commute with nearby coworkers and neighbors. The company's car pooling application schedules AM and PM trips automatically in a custom carpool, identifies trips based on the fastest route, nearby carpoolers, carpool lanes and more, enabling daily commuters to save their daily commuting cost, share and enjoy a convenient way to carpool.</t>
  </si>
  <si>
    <t>Application Software, Automotive*</t>
  </si>
  <si>
    <t>car pooling, car pooling application, car pooling platform, car pooling services, carpooling network, commuting service</t>
  </si>
  <si>
    <t>www.takescoop.com</t>
  </si>
  <si>
    <t>2015: 14, 2016: 19, 2017: 40</t>
  </si>
  <si>
    <t>106833-34P</t>
  </si>
  <si>
    <t>Robert Sadow</t>
  </si>
  <si>
    <t>rsadow@takescoop.com</t>
  </si>
  <si>
    <t>110 Sutter Street</t>
  </si>
  <si>
    <t>Floor 3</t>
  </si>
  <si>
    <t>info@takescoop.com</t>
  </si>
  <si>
    <t>The company received an undisclosed amount of capital from Activate Capital Partners.</t>
  </si>
  <si>
    <t>Activate Venture Partners, BMW i Ventures, David Ko, G2VP, Index Ventures (UK), Jeffrey Johnson, Prelude Ventures, Richard Thompson, Workday Ventures, Zachary Weinberg</t>
  </si>
  <si>
    <t>Activate Venture Partners(www.activatevp.com), BMW i Ventures(www.bmwiventures.com), G2VP(www.g2vp.com), Index Ventures (UK)(www.indexventures.com), Prelude Ventures(www.preludeventures.com)</t>
  </si>
  <si>
    <t>Gunderson Dettmer(Legal Advisor), Kindred Partners(Consulting)</t>
  </si>
  <si>
    <t>44069-86</t>
  </si>
  <si>
    <t>Scivantage</t>
  </si>
  <si>
    <t>Wealth Dynamix, LexisNexis Group, Advisor Software, Finicity, Plaid (Financial Software), Pegasystems</t>
  </si>
  <si>
    <t>Provider of information-enabled software designed to transform complex information and processes into intuitive user experiences. The company's information-enabled software delivers intelligent and actionable information that goes beyond the boundaries of traditional financial software, enabling businesses to improve investment decisions.</t>
  </si>
  <si>
    <t>Application Software*, Business/Productivity Software, Database Software</t>
  </si>
  <si>
    <t>cash transfer, financial service, financial software, information-enabled software, ordering processing, trade processing</t>
  </si>
  <si>
    <t>www.scivantage.com</t>
  </si>
  <si>
    <t>2001: 11, 2002: 15, 2003: 15, 2004: 20, 2005: 20, 2006: 80, 2007: 80, 2008: 80, 2009: 80, 2010: 80, 2014: 182, 2015: 201</t>
  </si>
  <si>
    <t>36374-59P</t>
  </si>
  <si>
    <t>Adnane Charchour</t>
  </si>
  <si>
    <t>adnane.charchour@scivantage.com</t>
  </si>
  <si>
    <t>+1 (646) 452-0050</t>
  </si>
  <si>
    <t>Jersey City, NJ</t>
  </si>
  <si>
    <t>499 Washington Boulevard</t>
  </si>
  <si>
    <t>Jersey City</t>
  </si>
  <si>
    <t>07310</t>
  </si>
  <si>
    <t>+1 (646) 452-0049</t>
  </si>
  <si>
    <t>The company raised $20 million of venture funding from Comerica Bank, ORIX Growth Capital and Edison Partners on June 23, 2014. Brown Brothers Harriman Capital Partners also participated in this round. The round also includes debt financing by Comerica Bank and ORIX Ventures.</t>
  </si>
  <si>
    <t>Brown Brothers Harriman Capital Partners, Edison Partners, Greenlight Capital, ORIX Growth Capital</t>
  </si>
  <si>
    <t>Edison Partners(www.edisonpartners.com), Greenlight Capital(www.greenlightcapital.com)</t>
  </si>
  <si>
    <t>Comerica Bank(Debt Financing), DLA Piper(Legal Advisor), ORIX Growth Capital(Debt Financing), The Provident Bank(Debt Financing)</t>
  </si>
  <si>
    <t>56108-35</t>
  </si>
  <si>
    <t>SCiO (Material Sensor)</t>
  </si>
  <si>
    <t>Consumer Physics</t>
  </si>
  <si>
    <t>Developer of a pocket spectrometer for smart phones designed to empower consumers and businesses to learn about the makeup of materials anytime, anywhere. The company's pocket spectrometer includes a DIY applet that allows anyone to scan any material of their like and analyze the difference between their molecular identities, enabling consumers to scan fruit, vegetables, dairy food, meat, fish, medications, their own body to measure total body fat within seconds.</t>
  </si>
  <si>
    <t>Electronics (B2C)*, Other Communications and Networking</t>
  </si>
  <si>
    <t>Digital Health, Internet of Things, Mobile, TMT</t>
  </si>
  <si>
    <t>food scan, infrared sensor, pocket spectrometer, pocketsize molecular sensor, spectrometer</t>
  </si>
  <si>
    <t>www.consumerphysics.com</t>
  </si>
  <si>
    <t>2014: 33, 2019: 40</t>
  </si>
  <si>
    <t>46964-08P</t>
  </si>
  <si>
    <t>Dror Sharon</t>
  </si>
  <si>
    <t>Co-Founder, President, Board Member &amp; Chief Executive Officer</t>
  </si>
  <si>
    <t>dror@consumerphysics.com</t>
  </si>
  <si>
    <t>Herzliya, Israel</t>
  </si>
  <si>
    <t>P.O. Box 12414</t>
  </si>
  <si>
    <t>Herzliya Industrial Zone</t>
  </si>
  <si>
    <t>Herzliya</t>
  </si>
  <si>
    <t>info@consumerphysics.com</t>
  </si>
  <si>
    <t>The company raised $23.03 million of venture funding from LIP Ventures Boutique, Castor Ventures, Alumni Ventures Group and other undisclosed investors on July 3, 2018.</t>
  </si>
  <si>
    <t>Advisors.Fund, Alumni Ventures Group, Aviv Garten, Castor Ventures, Emil Capital Partners, Ilan Israelstam, Khosla Ventures, LIP Ventures Boutique, Mistral Equity Partners, OurCrowd, Ping An Insurance (Group) Company of China, Qihoo 360 Technology, Spruce Capital Partners, The R-Group, Wolfpack Ventures, Xeraya Capital</t>
  </si>
  <si>
    <t>Advisors.Fund(www.advisors.fund), Alumni Ventures Group(www.avgfunds.com), Castor Ventures(www.castorventures.com), Emil Capital Partners(www.emilcapitalpartners.com), Khosla Ventures(www.khoslaventures.com), LIP Ventures Boutique(www.lip.lat), Mistral Equity Partners(www.mistralequity.com), OurCrowd(www.ourcrowd.com), Ping An Insurance (Group) Company of China(www.pingan.cn/en/index.shtml), Qihoo 360 Technology(www.360.cn), Spruce Capital Partners(www.sprucecp.com), Wolfpack Ventures(www.wolfpackventures.com), Xeraya Capital(www.xeraya.com)</t>
  </si>
  <si>
    <t>Kickstarter(Lead Manager or Arranger), WilmerHale(Legal Advisor)</t>
  </si>
  <si>
    <t>53920-36</t>
  </si>
  <si>
    <t>Science</t>
  </si>
  <si>
    <t>Earlybird Venture Capital, Betaworks, Techstars, Rocket Internet, Y Combinator</t>
  </si>
  <si>
    <t>Operator of an incubator and investment firm that invests in and builds the next generation of companies shaping the future. The company's incubator brings together the best ideas, talent and financing through a centralized platform. The platform is leveraged to develop new businesses, provide emerging startups with operational strategy and capital and transform later-stage Internet ventures with new talent and innovation.</t>
  </si>
  <si>
    <t>Private Equity*</t>
  </si>
  <si>
    <t>acceleration, blocks chain platform, company builder, incubation, incubator, venture capital</t>
  </si>
  <si>
    <t>www.science-inc.com</t>
  </si>
  <si>
    <t>2014: 150, 2015: 37, 2017: 15</t>
  </si>
  <si>
    <t>46928-17P</t>
  </si>
  <si>
    <t>Tom Dare</t>
  </si>
  <si>
    <t>tdare@science-inc.com</t>
  </si>
  <si>
    <t>1447 2nd Street</t>
  </si>
  <si>
    <t>90401</t>
  </si>
  <si>
    <t>info@science-inc.com</t>
  </si>
  <si>
    <t>The company repaid $20 million of it's senior debt in December of 2014.</t>
  </si>
  <si>
    <t>Baroda Ventures, Blue Bright Ventures, Coffin Capital &amp; Ventures, Crosscut Ventures, Freelands Ventures, Hearst Ventures, Individual Investor, Jonathan Miller, Matthew Coffin, Rustic Canyon Partners, Silver Lake Management, Smith Family Circle, Social Capital, TomorrowVentures, Wavemaker Partners</t>
  </si>
  <si>
    <t>White Star Capital</t>
  </si>
  <si>
    <t>Baroda Ventures(www.barodaventures.com), Blue Bright Ventures(www.bluebright.com), Coffin Capital &amp; Ventures(www.coffincapitalandventures.com), Crosscut Ventures(www.crosscut.vc), Freelands Ventures(www.freelandsventures.com), Rustic Canyon Partners(www.rusticcanyon.com), Silver Lake Management(www.silverlake.com), Smith Family Circle(www.smithfamilycircle.com), Social Capital(www.socialcapital.com), TomorrowVentures(www.tomorrowvc.com), Wavemaker Partners(www.wavemaker.vc)</t>
  </si>
  <si>
    <t>White Star Capital(www.whitestarvc.com)</t>
  </si>
  <si>
    <t>Bois Capital(Advisor: General), Fenwick &amp; West(Legal Advisor), Gunderson Dettmer(Legal Advisor), Silver Lake Management(Debt Financing)</t>
  </si>
  <si>
    <t>62118-10</t>
  </si>
  <si>
    <t>Scandit</t>
  </si>
  <si>
    <t>RedLaser</t>
  </si>
  <si>
    <t>Developer of computer vision applications designed to reinvent how enterprises and consumers interact with everyday objects and augmented reality. The company's enterprise technology platform for mobile computer vision, barcode scanning and augmented reality, combines deep learning and machine learning with more traditional computer vision heuristics, and extends the Internet of Things to everyday objects, enabling enterprises to identify, track and superimpose relevant digital information on these objects without requiring them to have a computer chip embedded or be connected online.</t>
  </si>
  <si>
    <t>Electronic Equipment and Instruments*, Software Development Applications</t>
  </si>
  <si>
    <t>Artificial Intelligence &amp; Machine Learning, Augmented Reality, Industrials, Mobile, SaaS, TMT</t>
  </si>
  <si>
    <t>barcode scanning, barcode scanning systems, cloud-based enterprise, enterprise technology platform, mobile barcode scanning</t>
  </si>
  <si>
    <t>www.scandit.com</t>
  </si>
  <si>
    <t>2015: 19</t>
  </si>
  <si>
    <t>94588-75P</t>
  </si>
  <si>
    <t>Samuel Mueller</t>
  </si>
  <si>
    <t>samuel@scandit.com</t>
  </si>
  <si>
    <t>+41 (0)44 586 4540</t>
  </si>
  <si>
    <t>Förrlibuckstrasse 181</t>
  </si>
  <si>
    <t>8005</t>
  </si>
  <si>
    <t>info@scandit.com</t>
  </si>
  <si>
    <t>The company raised $30 million of Series B venture funding in a deal led by GV on July 26, 2018. Salesforce Ventures, Atomico and NGP Capital also participated in the round. This new funding will enable the company to accelerate global expansion and further develop its mobile computer vision platform to support advanced capabilities across any camera-equipped device. The funding will propel Scandit's long-term vision of bringing the Internet of Things to everyday objects. Previously, the company raised $7.5 million of Series A venture funding from Atomico and Hammer Team Digital on January 10, 2017.</t>
  </si>
  <si>
    <t>Atomico, GV, Hammer Team Digital, NGP Capital, Salesforce Ventures, Venture Kick</t>
  </si>
  <si>
    <t>Atomico(www.atomico.com), GV(www.gv.com), Hammer Team Digital(www.hammerteam.ch/hammer-digital), NGP Capital(www.ngpcap.com), Venture Kick(www.venturekick.ch)</t>
  </si>
  <si>
    <t>159039-37</t>
  </si>
  <si>
    <t>SBI Resta SSI Company</t>
  </si>
  <si>
    <t>Nippon Earthquake Partners</t>
  </si>
  <si>
    <t>Provider of short term insurance products. The company offers earthquake compensations and other insurance products related to earthquake damages.</t>
  </si>
  <si>
    <t>Property and Casualty Insurance</t>
  </si>
  <si>
    <t>Other Insurance, Property and Casualty Insurance*</t>
  </si>
  <si>
    <t>earthquake compensation, earthquake insurance, short term insurance</t>
  </si>
  <si>
    <t>www.jishin.co.jp</t>
  </si>
  <si>
    <t>Izumi Garden Tower 16th Floor</t>
  </si>
  <si>
    <t>1-6-1 Roppongi, Minato-ku</t>
  </si>
  <si>
    <t>106-6016</t>
  </si>
  <si>
    <t>Mizuho Capital Partners, ORIX Growth Capital and iSigma Capital sold its stake in the company on an undisclosed date.</t>
  </si>
  <si>
    <t>Axel Japan Investment, Daiwa Corporate Investment, Itochu, Itochu Finance, Marubeni, Meiji Capital, Mitsubishi UFJ Capital, Next Hands-on Partners, Risk Monsters, SBI Holdings, SMBC Venture Capital, Yasuda Business Investment</t>
  </si>
  <si>
    <t>iSigma Capital, Mizuho Capital Partners, ORIX Growth Capital</t>
  </si>
  <si>
    <t>Daiwa Corporate Investment(www.daiwa-inv.co.jp), Itochu(www.itochu.co.jp/en/index.html), Marubeni(www.marubeni.com), Mitsubishi UFJ Capital(www.mucap.co.jp), Next Hands-on Partners(www.nexthop.co.jp), Risk Monsters(www.riskmonster.com), SBI Holdings(www.sbigroup.co.jp), SMBC Venture Capital(www.smbc-vc.co.jp)</t>
  </si>
  <si>
    <t>iSigma Capital(www.i-sigma-capital.co.jp)</t>
  </si>
  <si>
    <t>55354-42</t>
  </si>
  <si>
    <t>SBA Materials</t>
  </si>
  <si>
    <t>Developer of nanoporous dielectrics designed to develop advanced siloxane-based materials with a broad range of porosites and a unique combination of electrical, optical and mechanical properties. The company's technology enables the design of advanced siloxane-based materials with a broad range of porosities and a unique combination of electrical, optical and mechanical properties.</t>
  </si>
  <si>
    <t>Electrical Equipment*, Other Materials</t>
  </si>
  <si>
    <t>advances electronic materials, nanoporous technology, porosite</t>
  </si>
  <si>
    <t>www.sbamaterials.com</t>
  </si>
  <si>
    <t>2014: 9, 2015: 14</t>
  </si>
  <si>
    <t>52706-62P</t>
  </si>
  <si>
    <t>Hash Pakbaz</t>
  </si>
  <si>
    <t>2186 Bering Drive</t>
  </si>
  <si>
    <t>NanoDimension sold its stake in the company in 2017.</t>
  </si>
  <si>
    <t>Air Liquide Venture Capital, Intel Capital, Panasonic Ventures, Rock Hankin, Samsung Venture Investment, Southern Cross Venture Partners, Sun Mountain Capital, TEL Venture Capital</t>
  </si>
  <si>
    <t>NanoDimension</t>
  </si>
  <si>
    <t>Intel Capital(www.intelcapital.com), Panasonic Ventures(www.panasonicventures.com), Samsung Venture Investment(www.samsungventures.com), Southern Cross Venture Partners(www.sxvp.com), Sun Mountain Capital(www.sunmountaincapital.com), TEL Venture Capital(www.tel.com/about/telvc.htm)</t>
  </si>
  <si>
    <t>NanoDimension(www.nanodimension.com)</t>
  </si>
  <si>
    <t>Reicker, Pfau, Pyle &amp; McRoy(Legal Advisor)</t>
  </si>
  <si>
    <t>10586-44</t>
  </si>
  <si>
    <t>Savi Technology</t>
  </si>
  <si>
    <t>Savi</t>
  </si>
  <si>
    <t>10-4 Systems, Fleet Complete, JasperSoft, Locus Traxx Technologies, Grow (Business/Productivity Software), ToolsGroup, Synx, Qlik Technologies, RJMetrics, PlusOneMinusOne, SimaFore, Izenda, JDA Software Group, Tableau Software, LLamasoft, FreightHub</t>
  </si>
  <si>
    <t>Provider of logistics information services. The company offers operational intelligence for asset tracking, electronic cargo tracking, radio frequency identification services and a mobile application enabling, clients to track and manage the real-time location of assets and also to track shipments.</t>
  </si>
  <si>
    <t>Application Software*, Automation/Workflow Software</t>
  </si>
  <si>
    <t>data capture hardware, in transit visibility, logistics informatics, logistics information systems, shipment tracking</t>
  </si>
  <si>
    <t>www.savi.com</t>
  </si>
  <si>
    <t>2002: 250, 2006: 300, 2015: 136</t>
  </si>
  <si>
    <t>FY 2006</t>
  </si>
  <si>
    <t>13665-88P</t>
  </si>
  <si>
    <t>Jeff Friedman</t>
  </si>
  <si>
    <t>jfriedman@savi.com</t>
  </si>
  <si>
    <t>+1 (571) 227-7950</t>
  </si>
  <si>
    <t>3601 Eisenhower Avenue</t>
  </si>
  <si>
    <t>Suite 280</t>
  </si>
  <si>
    <t>22304</t>
  </si>
  <si>
    <t>+1 (571) 227-7902</t>
  </si>
  <si>
    <t>info@savi.com</t>
  </si>
  <si>
    <t>The company received $7.5 million of development capital from Eastward Capital Partners on November 13, 2018. LaSalle Capital of Los Angeles and SGS also participated in the transaction. The capital infusion will accelerate development of Savi's innovative in-transit visibility and analytics suite and expand commercial and government market growth.</t>
  </si>
  <si>
    <t>Eastward Capital Partners, SGS</t>
  </si>
  <si>
    <t>Accel, Dorset Capital Management, GlobeSecNine, Individual Investor, Intermec, k1 Ventures, Lockheed Martin, McLean Watson Capital, Mehdi Maghsoodnia, MHS Capital, Mitsui &amp; Co., Mohr Davidow Ventures, NetMarket Partners, Oracle, Raytheon, SembCorp Logistics, SGInnovate, Temasek Holdings, TIBCO Software, Torch Hill Investment Partners, UPS Strategic Enterprise Fund, Vector Capital, Venture TDF</t>
  </si>
  <si>
    <t>Eastward Capital Partners(www.eastwardcp.com), SGS(www.sgs.com)</t>
  </si>
  <si>
    <t>Accel(www.accel.com), GlobeSecNine(www.globesecnine.com), Lockheed Martin(www.lockheedmartin.com), McLean Watson Capital(www.mcleanwatson.com), MHS Capital(www.mhscapital.com), Mitsui &amp; Co.(www.mitsui.com), Mohr Davidow Ventures(www.mdv.com), Oracle(www.oracle.com), Raytheon(www.raytheon.com), SembCorp Logistics(www.semblog.com), SGInnovate(www.sginnovate.com), Temasek Holdings(www.temasek.com.sg), TIBCO Software(www.tibco.com), Torch Hill Investment Partners(www.torchhill.com), Vector Capital(www.vectorcapital.com), Venture TDF(www.venturetdf.com)</t>
  </si>
  <si>
    <t>Fenwick &amp; West(Legal Advisor), Momenta Partners(Advisor: General)</t>
  </si>
  <si>
    <t>Cafferty &amp; Company(Advisor: General), Cappello Global(Advisor: General), Cooley(Legal Advisor), Fenwick &amp; West(Legal Advisor), Morgan Stanley(Advisor: General)</t>
  </si>
  <si>
    <t>Management Buyout</t>
  </si>
  <si>
    <t>96669-46</t>
  </si>
  <si>
    <t>Savari</t>
  </si>
  <si>
    <t>Cohda Wireless, Commsignia</t>
  </si>
  <si>
    <t>Provider of an intelligent transportation platform intended to automate vehicle development. The company's intelligent transportation platform offers vehicle awareness devices and software products that provide information regarding roadway features, hazard locations, parking locations and traffic restrictions, enabling drivers to improve safety and mobility, reduce roadway congestion and simplify in-vehicle transactions.</t>
  </si>
  <si>
    <t>Application Software, Automotive*, Wireless Communications Equipment</t>
  </si>
  <si>
    <t>Artificial Intelligence &amp; Machine Learning, Autonomous cars, Industrials, Mobile, TMT</t>
  </si>
  <si>
    <t>safety application, self drives car, transportation platform, transportation system, vehicle awareness</t>
  </si>
  <si>
    <t>www.savari.net</t>
  </si>
  <si>
    <t>2012: 24, 2015: 45, 2016: 45, 2018: 80</t>
  </si>
  <si>
    <t>115828-66P</t>
  </si>
  <si>
    <t>Ravi Puvvala</t>
  </si>
  <si>
    <t>ravi@savari.net</t>
  </si>
  <si>
    <t>+1 (408) 859-7284</t>
  </si>
  <si>
    <t>2005 De La Cruz Boulevard</t>
  </si>
  <si>
    <t>Suite 111</t>
  </si>
  <si>
    <t>95050</t>
  </si>
  <si>
    <t>+1 (408) 833-6369</t>
  </si>
  <si>
    <t>The company raised $12 million of Series B venture funding in a deal led by Aviva Ventures on April 24, 2018, putting the company's pre-money valuation at $40 million. SAIC Capital, FlexTronics (NASDAQ: FLEX) and other undisclosed investors also participated in this round. The company intends to use the funds to scale its global presence and integrate its software solutions with cellular platforms.</t>
  </si>
  <si>
    <t>Aviva Ventures, Delta Electronics, FlexTronics, GM Ventures, Plug and Play Tech Center, SAIC Capital</t>
  </si>
  <si>
    <t>Delta Electronics(www.deltaww.com), FlexTronics(www.flex.com), GM Ventures(www.gmventures.com), Plug and Play Tech Center(www.plugandplaytechcenter.com), SAIC Capital(www.saicvc.com)</t>
  </si>
  <si>
    <t>55089-10</t>
  </si>
  <si>
    <t>Sauce Labs</t>
  </si>
  <si>
    <t>Sauce Labs Europe</t>
  </si>
  <si>
    <t>Soasta, Mobile Labs, Perfecto, Xamarin, Applitools, Tricentis, QASymphony, Ranorex, MoQuality, Equafy, Bitbar, TestFairy, Appvance.ai, SmartBear, BrowserStack, Lambdatest, eureQa, RadView Software, CrossBrowserTesting, pCloudy.com, Madumbo, Frame, StudyStream Ltd, Browserling, BlazeMeter, PacketZoom, Ldra | info@ldra.com | www.ldra.com, Load Impact, Neotys, Experitest, Testmunk, Test.ai, Kony, Zephyr (Software), Sumo Logic, Infor Global Solutions</t>
  </si>
  <si>
    <t>Developer of a cloud-based continuous mobile and web-testing platform intended to test software and applications in real-time. The company's platform provides instant access to a wide range of operating systems and browser combinations across desktop and mobile platforms for fast, secure and scalable testing of web sites and mobile apps, enabling users to test their web and mobile apps for bugs.</t>
  </si>
  <si>
    <t>advances debugging tools, application testing, automated testing, automated testing software, continuous testing, continuous testing platform, cross-browser testing, enterprise developer, live app testing, live web testing, real device cloud</t>
  </si>
  <si>
    <t>www.saucelabs.com</t>
  </si>
  <si>
    <t>2014: 77, 2015: 137, 2016: 140, 2018: 200, 2019: 260</t>
  </si>
  <si>
    <t>32436-19P</t>
  </si>
  <si>
    <t>Charles Ramsey</t>
  </si>
  <si>
    <t>charles@saucelabs.com</t>
  </si>
  <si>
    <t>+1 (855) 677-0011</t>
  </si>
  <si>
    <t>help@saucelabs.com</t>
  </si>
  <si>
    <t>The company raised $50 million of Series F venture funding from Riverwood Capital on March 26, 2019, putting the company's pre-money valuation at $500 million. The funds will be used to further accelerate the company's core business growth and evolve its portfolio beyond functional testing, giving customers a 360-degree view of the application experience they deliver to users.</t>
  </si>
  <si>
    <t>Adams Street Partners, Capital Factory, Centerview Capital Technology, Hack VC, Individual Investor, IVP, Jared Kopf, Jason Seats, Riverwood Capital, Salesforce Ventures, Scott Banister, The Contrarian Group, Toba Capital, Triage Ventures</t>
  </si>
  <si>
    <t>Adams Street Partners(www.adamsstreetpartners.com), Capital Factory(www.capitalfactory.com), Centerview Capital Technology(www.centerviewcapital.com/technology), Hack VC(www.hack-vc.com), IVP(www.ivp.com), Jason Seats(www.jasonseats.com), Riverwood Capital(www.riverwoodcapital.com), Toba Capital(www.tobacapital.com), Triage Ventures(www.triageventures.com)</t>
  </si>
  <si>
    <t>Cooley(Legal Advisor), Gunderson Dettmer(Legal Advisor), Launch Search Partners(Consulting), RJR Partners(Consulting)</t>
  </si>
  <si>
    <t>121968-55</t>
  </si>
  <si>
    <t>Sarvint</t>
  </si>
  <si>
    <t>Athos Works, Quanttus, OMsignal, PAI Health, Myontec</t>
  </si>
  <si>
    <t>Developer of smart garments designed to detect and monitor body vital signs. The company's smart garment provides real-time and actionable feedback about cardiorespiratory health, muscle gains and activity markers, enabling athletes to track and optimize their performance and help prevent injuries during training.</t>
  </si>
  <si>
    <t>Other Apparel</t>
  </si>
  <si>
    <t>Monitoring Equipment, Other Apparel*, Other Healthcare Technology Systems</t>
  </si>
  <si>
    <t>HealthTech, TMT, Wearables &amp; Quantified Self</t>
  </si>
  <si>
    <t>biometric measurement, body vital signs, monitoring apparel, tech garments, wearable tech product, wearable technology</t>
  </si>
  <si>
    <t>www.sarvint.com</t>
  </si>
  <si>
    <t>41516-65P</t>
  </si>
  <si>
    <t>Rajan Palaniswamy</t>
  </si>
  <si>
    <t>palaniswamy.rajan@ctwvp.com</t>
  </si>
  <si>
    <t>+1 (404) 585-5670</t>
  </si>
  <si>
    <t>384 Northyards Boulevard Northwest</t>
  </si>
  <si>
    <t>Suite 410</t>
  </si>
  <si>
    <t>30313</t>
  </si>
  <si>
    <t>The company raised $6 million of Series A venture funding from lead investor CTW Venture Partners on August 12, 2015. Monta Vista Capital, Ellis Capital and Maxim Ventures also participated in the transaction.</t>
  </si>
  <si>
    <t>CTW Venture Partners, Ellis Capital, Maxim Ventures, Monta Vista Capital</t>
  </si>
  <si>
    <t>CTW Venture Partners(www.ctwvp.com), Ellis Capital(www.elliscapital.net), Maxim Ventures(www.maximventures.com), Monta Vista Capital(www.montavc.com)</t>
  </si>
  <si>
    <t>43076-44</t>
  </si>
  <si>
    <t>Sapphire Energy</t>
  </si>
  <si>
    <t>Sapphire</t>
  </si>
  <si>
    <t>Solarvest BioEnergy</t>
  </si>
  <si>
    <t>Provider of a technology platform intended to provide customers with renewable energy. The company's technology platform uses non-potable water, such as seawater and non-arable land to grow algae that captures CO2 in open ponds and provides with renewable energy, enabling people to improve their lives and make the planet more sustainable.</t>
  </si>
  <si>
    <t>Alternative Energy Equipment, Energy Production*</t>
  </si>
  <si>
    <t>green crude, renewable energy, renewable fuel, renewable fuel product, renewable gasoline, sustainable energy, technology platform</t>
  </si>
  <si>
    <t>www.sapphireenergy.com</t>
  </si>
  <si>
    <t>2008: 10, 2009: 10, 2010: 109, 2011: 140, 2013: 150, 2015: 105</t>
  </si>
  <si>
    <t>36713-17P</t>
  </si>
  <si>
    <t>Steve Briggs</t>
  </si>
  <si>
    <t>+1 (858) 768-4700</t>
  </si>
  <si>
    <t>3115 Merryfield Row</t>
  </si>
  <si>
    <t>info@sapphireenergy.com</t>
  </si>
  <si>
    <t>The company raised $91.96 million of venture funding in a deal led by ARCH Venture Partners on December 15, 2015. Other undisclosed investors has also participated in the round.</t>
  </si>
  <si>
    <t>ARCH Venture Partners, ArrowMark Partners, Bezos Expeditions, Black Point Group, Bock Family Ventures, Cascade Investment, Hawaii Angels, Monsanto Growth Ventures, U.S. Department of Energy, Venrock, Wellcome Trust</t>
  </si>
  <si>
    <t>ARCH Venture Partners(www.archventure.com), ArrowMark Partners(www.arrowmarkpartners.com), Bezos Expeditions(www.bezosexpeditions.com), Black Point Group(www.blackpointgroup.com), Hawaii Angels(www.hawaiiangels.org), U.S. Department of Energy(www.energy.gov), Venrock(www.venrock.com), Wellcome Trust(www.wellcome.ac.uk)</t>
  </si>
  <si>
    <t>Haynes and Boone(Legal Advisor), Wilson Sonsini Goodrich &amp; Rosati(Legal Advisor)</t>
  </si>
  <si>
    <t>Haynes and Boone(Legal Advisor), Proskauer Rose(Legal Advisor), USDA Rural Development Agency(Debt Financing), Wilson Sonsini Goodrich &amp; Rosati(Legal Advisor)</t>
  </si>
  <si>
    <t>63251-47</t>
  </si>
  <si>
    <t>Sansan</t>
  </si>
  <si>
    <t>Developer of a cloud-based business card management services designed to convert business cards into corporate assets. The company's services includes a contact management software which helps to effortlessly build a complete contact database, enabling businesses to access it anywhere and enhance productivity and unlock new opportunities.</t>
  </si>
  <si>
    <t>Application Software, Business/Productivity Software*, Financial Software</t>
  </si>
  <si>
    <t>business cards management, contact management, contact management software</t>
  </si>
  <si>
    <t>www.sansan.com</t>
  </si>
  <si>
    <t>2015: 72, 2016: 74</t>
  </si>
  <si>
    <t>67630-15P</t>
  </si>
  <si>
    <t>Yo Tanaka</t>
  </si>
  <si>
    <t>Director &amp; Chief Financial Officer</t>
  </si>
  <si>
    <t>junji@sansan.com</t>
  </si>
  <si>
    <t>Aoyama Oval Building, 13F</t>
  </si>
  <si>
    <t>5-52-2 JinguMae, Shibuya-ku</t>
  </si>
  <si>
    <t>info@sansan.com</t>
  </si>
  <si>
    <t>The company raised $26.43 million of Series E venture funding from DCM Ventures, SBI Investment and T. Rowe Price on December 6, 2018. Japan Post Capital also participated in the round. The company will use the funds to bring focus to Southeast Asia.</t>
  </si>
  <si>
    <t>CyberAgent Capital, DCM Ventures, Energy &amp; Environment Investment, GMO VenturePartners, Incubate Fund, Innovation Network Corporation of Japan, Japan Post Capital, Nikkei Digital Media, Nissay Capital, Recruit Strategic Partners, Salesforce Ventures, SBI Investment, SPARX Group Company, T. Rowe Price, The Goldman Sachs Group, The Japan Times</t>
  </si>
  <si>
    <t>CyberAgent Capital(www.cyberagentcapital.com), DCM Ventures(www.dcm.com), Energy &amp; Environment Investment(www.ee-investment.jp/en), GMO VenturePartners(www.gmo-vp.com), Incubate Fund(www.incubatefund.com), Innovation Network Corporation of Japan(www.incj.co.jp), Japan Post Capital(www.jp-capital.jp), Nissay Capital(www.nissay-cap.co.jp), Recruit Strategic Partners(recruitstrategicpartners.com), SBI Investment(www.sbinvestment.co.jp), SPARX Group Company(www.sparx.jp), T. Rowe Price(www3.troweprice.com), The Goldman Sachs Group(www.goldmansachs.com), The Japan Times(www.japantimes.co.jp)</t>
  </si>
  <si>
    <t>Growin' Partners(Advisor: General)</t>
  </si>
  <si>
    <t>53803-27</t>
  </si>
  <si>
    <t>Samba TV</t>
  </si>
  <si>
    <t>Flingo TV</t>
  </si>
  <si>
    <t>App Annie, Centro, Branch (Deep-Linking), Freckle IoT, Dstillery, AgilOne, Apsalar, Parse.ly, MixPanel, Near (Singapore), Amplitude, XMPie, 4C, Blis Media, NinthDecimal, Phizzle, Adello, AppsFlyer, Eyeview, Sense360, Quantcast, Tenjin, Contentwise, adjust, DataXu, Thunder Industries, Realytics, Sorenson Media, Factual, Smaato, Idomoo, Remerge, Vidyard, comScore, MaxPoint Interactive, Criteo, Gravy Analytics, TVSquared, Feedburner, MediaMath, SITO Mobile, Edgecase, Blue Bite, GroundTruth, Yuja, Mattersight, Sailthru, Taboola, Convertro, Sightly, Moasis Global, Cintric, Alphonso, PlaceIQ, ThinkNear, Gimbal, Elasticsearch, Clarabridge, Admo.tv, Rocket Fuel, Prizma, RadiumOne, Real Time Content, TUNE, Placed, Adobe Systems, Oracle, Nielsen</t>
  </si>
  <si>
    <t>Provider of a data and analytics platform designed to measure real-time viewership data across broadcast, cable TV, over-the-top and digital media. The company's data and analytics platform is a software embedded in smart TVs, amplified by set-top boxes and mapped to connected devices, making TV audiences more addressable and measurable, enabling marketers make cross-screen campaigns and analyze the impact of media investment.</t>
  </si>
  <si>
    <t>Application Software, Media and Information Services (B2B)*</t>
  </si>
  <si>
    <t>analytics platform, audience data personalization, audience platform, broadcast data, data management platform, data science &amp; analytics, media analytics platform, personalization and recommendations, saas, smart tv application, tv analytics, viewer analytics</t>
  </si>
  <si>
    <t>www.samba.tv</t>
  </si>
  <si>
    <t>2012: 12, 2014: 25, 2015: 70, 2016: 150, 2017: 225, 2018: 250</t>
  </si>
  <si>
    <t>40106-17P</t>
  </si>
  <si>
    <t>Ashwin Navin</t>
  </si>
  <si>
    <t>ashwin@samba.tv</t>
  </si>
  <si>
    <t>+1 (415) 889-6404</t>
  </si>
  <si>
    <t>123 Townsend Street</t>
  </si>
  <si>
    <t>info@samba.tv</t>
  </si>
  <si>
    <t>The company received $7.5 million of financing from Liberty Global on April 10, 2018. Previously, the company raised $30 million of Series B venture funding in a deal led by Union Grove Venture Partners on June 19, 2017, putting the company's pre-money valuation at $200 million. The Interpublic Group of Companies, MDC Ventures, Time Warner, A&amp;E Television Networks, Thomas McInerney (TGM), Draper Associates and Ambition.vc also participated in the round. The funds will be used to expand operations internationally and launch a variety of trans-formative products in the media and advertising industry.</t>
  </si>
  <si>
    <t>A&amp;E Television Networks, Ambition.vc, August Capital, David Marquardt, Disney Accelerator, Draper Associates, Lauder Partners, Liberty Global (UK), Mark Cuban, MDC Ventures, Richard Yoo, Ronald Bouganim, The Interpublic Group of Companies, Thomas McInerney, Timothy Draper, Union Grove Venture Partners, WarnerMedia Investments</t>
  </si>
  <si>
    <t>A&amp;E Television Networks(www.aenetworks.com), Ambition.vc(www.ambition.vc), August Capital(www.augustcap.com), Disney Accelerator(www.disneyaccelerator.com), Draper Associates(www.draper.vc), Lauder Partners(www.lauderpartners.com), Liberty Global (UK)(www.libertyglobal.com), MDC Ventures(www.mdcventures.vc), Richard Yoo(www.richardyoo.com), The Interpublic Group of Companies(www.interpublic.com), Thomas McInerney(www.tgm.com), Timothy Draper(www.timothydraper.com), Union Grove Venture Partners(www.ugvp.com), WarnerMedia Investments(www.timewarnerinvestments.com)</t>
  </si>
  <si>
    <t>AC Lion(Consulting), Fenwick &amp; West(Legal Advisor), Gunderson Dettmer(Legal Advisor), Toolbox for HR(Advisor: General)</t>
  </si>
  <si>
    <t>Fenwick &amp; West(Legal Advisor), Gunderson Dettmer(Legal Advisor)</t>
  </si>
  <si>
    <t>53570-08</t>
  </si>
  <si>
    <t>Samanage</t>
  </si>
  <si>
    <t>TOPdesk, BMC Software, RightAnswers, Automic Software, Conversocial, SysAid Technologies, Asana, Serena Software, Smartsheet, Tasktop, Forethought (Automation/Workflow Software), Marketo, Upland Software, Snow Software, Cherwell Software, XebiaLabs, Freshworks, ServiceAide, Electric Cloud, EasyVista, Lua (Communication Software), 1E, Continuum Managed Services, FireScope, Sparta Systems, Gridle, CA Technologies, Asset Forestry, AgileCraft, Moxtra, 4me, VersionOne, Wrike, Ivanti Software, Miradore, SevOne, TrackAbout, Groupware Technology, SAP, TeamSupport, CollabNet, Parature, IsItUp DotCom, Lavante, Salesforce, Basecamp, Zendesk, Localytics, HighJump, ServiceNow, SHI International, Workfront, iTracker, Pipedrive, Assembla, Slack, Insightly, Numara Software, RedBooth, Asset Mapping, Splunk, Hayes Software Systems, ComplyGlobal, Asset Panda, Intland Software, FundApps, TVL Inc. the people behind www.wisetrack.com, Flexera Software, Box, Spiceworks</t>
  </si>
  <si>
    <t>Developer of a service management platform designed to simplify complex tasks and automate services across the entire organization. The company's software streamlines process improvement and productivity by automating manual business processes and automates rules to eliminate simple tasks and resolve incidents faster, enabling clients to provide exceptional services in more personal and proactive ways.</t>
  </si>
  <si>
    <t>automated it service, cloud-based technology, enterprise services management, it assets management, it service desktop, it service management, saas-based platform</t>
  </si>
  <si>
    <t>www.samanage.com</t>
  </si>
  <si>
    <t>2017: 132, 2018: 170, 2019: 200</t>
  </si>
  <si>
    <t>39770-92P</t>
  </si>
  <si>
    <t>Doron Gordon</t>
  </si>
  <si>
    <t>doron.gordon@samanage.com</t>
  </si>
  <si>
    <t>+1 (888) 250-8971</t>
  </si>
  <si>
    <t>117 Edinburgh South</t>
  </si>
  <si>
    <t>27511</t>
  </si>
  <si>
    <t>info@samanage.com</t>
  </si>
  <si>
    <t>The company reached a definitive agreement to be acquired by SolarWinds (NYS: SWI) for $350 million on April 12, 2019.</t>
  </si>
  <si>
    <t>Gemini Israel Ventures, Marker, Morgan Stanley Expansion Capital, Salesforce Ventures, Silicon Valley Bank, Vintage Investment Partners, Viola Ventures, Xenia Venture Capital</t>
  </si>
  <si>
    <t>SolarWinds</t>
  </si>
  <si>
    <t>Gemini Israel Ventures(www.gemini.co.il), Marker(www.marker-llc.com), Silicon Valley Bank(www.svb.com), Vintage Investment Partners(www.vintage-ip.com), Xenia Venture Capital(www.xenia.co.il)</t>
  </si>
  <si>
    <t>SolarWinds(www.solarwinds.com)</t>
  </si>
  <si>
    <t>Viola Credit(Debt Financing), Walker Sands Communications(Advisor: Communications)</t>
  </si>
  <si>
    <t>Viola Credit(Debt Financing)</t>
  </si>
  <si>
    <t>100532-26</t>
  </si>
  <si>
    <t>Saltworks Technologies</t>
  </si>
  <si>
    <t>Saltworks</t>
  </si>
  <si>
    <t>Clean Chemistry, IDE Technologies, Siltbuster, Kurita Water Industries, Culligan International, Aquatech International, FRC Systems International, WOG TECHNOLOGIES</t>
  </si>
  <si>
    <t>Provider of advanced water treatment services designed to treat challenging wastewater. The company's water treatment services deliver cost effective and reliable treatment trains for industrial water that has high salt and ammonia concentrations, enabling clients to treat challenging saline or ammonia wastewater at the lowest cost.</t>
  </si>
  <si>
    <t>Environmental Services (B2B), Other Commercial Products, Water Utilities*</t>
  </si>
  <si>
    <t>desalination, industrial water treatment, wastewater treatment, water purification, water treatment services</t>
  </si>
  <si>
    <t>www.saltworkstech.com</t>
  </si>
  <si>
    <t>2011: 45, 2015: 3</t>
  </si>
  <si>
    <t>87765-49P</t>
  </si>
  <si>
    <t>Joshua Zoshi</t>
  </si>
  <si>
    <t>josh.zoshi@saltworkstech.com</t>
  </si>
  <si>
    <t>+1 (604) 628-6508</t>
  </si>
  <si>
    <t>Richmond, Canada</t>
  </si>
  <si>
    <t>13800 Steveston Highway</t>
  </si>
  <si>
    <t>V6W 1A8</t>
  </si>
  <si>
    <t>+1 (604) 676-2463</t>
  </si>
  <si>
    <t>info@saltworkstech.com</t>
  </si>
  <si>
    <t>The company received $1 million of grant funding from Sustainable Development Technology Canada, Emissions Reduction Alberta and Alberta Innovates on November 6, 2017.</t>
  </si>
  <si>
    <t>Alberta Innovates, BP Ventures, British Columbia Ministry of Economic Development, Cenovus Energy, ConocoPhillips Technology Ventures, E8, Emissions Reduction Alberta, National Research Council Canada, New Ventures BC, Sustainable Development Technology Canada, Teck Resources, WUTIF Capital</t>
  </si>
  <si>
    <t>Alberta Innovates(www.albertainnovates.ca), British Columbia Ministry of Economic Development(www2.gov.bc.ca/gov/content/employment-business/economic-development), Cenovus Energy(www.cenovus.com), E8(www.e8angels.com), Emissions Reduction Alberta(www.eralberta.ca), National Research Council Canada(www.nrc-cnrc.gc.ca), New Ventures BC(www.newventuresbc.com), Sustainable Development Technology Canada(www.sdtc.ca), Teck Resources(www.teck.com), WUTIF Capital(www.wutif.ca)</t>
  </si>
  <si>
    <t>104270-14</t>
  </si>
  <si>
    <t>Sales Robotics</t>
  </si>
  <si>
    <t>Provider of an a service platform designed to provide business support services of digital content specialized for foreign language education. The company's service provides language lessons and provides a marketing and sales platform which offers system development and information technology services, enabling businesses to analyze data and prepare sales strategy.</t>
  </si>
  <si>
    <t>Business/Productivity Software, Social/Platform Software, Systems and Information Management*</t>
  </si>
  <si>
    <t>Artificial Intelligence &amp; Machine Learning, EdTech, SaaS, TMT</t>
  </si>
  <si>
    <t>digital content specialization, inside sales application, operations and maintenance, sales platform, service platform, system development</t>
  </si>
  <si>
    <t>www.salesrobotics.co.jp</t>
  </si>
  <si>
    <t>115193-53P</t>
  </si>
  <si>
    <t>Uchida Junichi</t>
  </si>
  <si>
    <t>uchida@weic.co.jp</t>
  </si>
  <si>
    <t>+81 (0)34 405 7653</t>
  </si>
  <si>
    <t>7th floor KDX Harumi Building 3-12-1</t>
  </si>
  <si>
    <t>Harumi, Chuo-ku</t>
  </si>
  <si>
    <t>104-0053</t>
  </si>
  <si>
    <t>+81 (0)35 547 9030</t>
  </si>
  <si>
    <t>info@weic.jp</t>
  </si>
  <si>
    <t>The company raised JPY 300 million of venture funding from Mobile Internet Capital, Salesforce Ventures and SBI Investment on April 13, 2015. Shinsei Bank has also participated in the round.</t>
  </si>
  <si>
    <t>Mobile Internet Capital, Salesforce Ventures, SBI Investment, Shinsei Bank</t>
  </si>
  <si>
    <t>Mobile Internet Capital(www.mickk.com), SBI Investment(www.sbinvestment.co.jp), Shinsei Bank(www.shinseibank.com)</t>
  </si>
  <si>
    <t>230462-20</t>
  </si>
  <si>
    <t>Salamander Solutions</t>
  </si>
  <si>
    <t>Provider of heater cable technologies designed to boost production in heavy oil wells and provide breakthroughs in deepwater developments. The company's technologies can operate at extreme temperatures and at greater lengths which uses a medium-voltage mineral insulated (MI) electrical cable with a stainless steel sheath, enabling the oil and gas industries to increase oil production.</t>
  </si>
  <si>
    <t>Oil and Gas Equipment*, Other Equipment, Other Information Technology</t>
  </si>
  <si>
    <t>energy technology, heater cable technology, heater technology, oil technology, reservoir technology</t>
  </si>
  <si>
    <t>www.salamandersolutions.com</t>
  </si>
  <si>
    <t>35920-45P</t>
  </si>
  <si>
    <t>Walter Burnap</t>
  </si>
  <si>
    <t>wburnap@salamandersolutions.com</t>
  </si>
  <si>
    <t>5521 Gasmer Drive</t>
  </si>
  <si>
    <t>77035</t>
  </si>
  <si>
    <t>info@salamandersolutions.com</t>
  </si>
  <si>
    <t>The company raised $7 million of Series A venture funding in a deal led by Eden Rock Group on July 2, 2018, putting the company's pre-money valuation at $10 million. Shell Ventures, MCAAA Holding, Frontive Holding and other undisclosed investors also participated in the round.</t>
  </si>
  <si>
    <t>Eden Rock Group, Frontive Holding, MCAAA Holding, Shell Ventures</t>
  </si>
  <si>
    <t>Eden Rock Group(www.edenrockgroup.com), Frontive Holding(www.frontiveholding.com)</t>
  </si>
  <si>
    <t>107871-22</t>
  </si>
  <si>
    <t>SAIC GM Wuling Automobile</t>
  </si>
  <si>
    <t>SGMW</t>
  </si>
  <si>
    <t>Hindustan Motors, Ashok Leyland, Jaguar Land Rover Automotive, Lamborghini, Mazda Motor, Mercedes Benz, Volkswagen, Maruti Suzuki India, Fiat Chrysler Automobiles, Mitsubishi Motors, Audi, Lucid Motors, Harley-Davidson, Tata Motors, Kia Motors, Huray Automobiles, Premier India, Chevrolet, Porsche, BMW Group, Tesla, Navistar</t>
  </si>
  <si>
    <t>Manufacturer of small and mid size vehicles. The company manufactures commercial vehicles, passenger vehicles and small engines for mini and small vehicles.</t>
  </si>
  <si>
    <t>automotive engine, automotive manufacturer, commercial vehicle</t>
  </si>
  <si>
    <t>www.sgmw.com.cn</t>
  </si>
  <si>
    <t>2014: 10000</t>
  </si>
  <si>
    <t>92479-15P</t>
  </si>
  <si>
    <t>Jane Coumes</t>
  </si>
  <si>
    <t>janecoumes@sgmw.com.cn</t>
  </si>
  <si>
    <t>+86 (0)77 2375 1337</t>
  </si>
  <si>
    <t>Liuzhou City, China</t>
  </si>
  <si>
    <t>No.18 Hexi Road</t>
  </si>
  <si>
    <t>Liunan District</t>
  </si>
  <si>
    <t>Liuzhou City</t>
  </si>
  <si>
    <t>545007</t>
  </si>
  <si>
    <t>+86 (0)77 2375 1340</t>
  </si>
  <si>
    <t>The company was formed as a joint venture between SAIC Motor (SHA: 600104), General Motors (NYSE: GM) and Liuzhou Wuling Motors in November 18, 2002. The company is no longer actively tracked by PitchBook.</t>
  </si>
  <si>
    <t>General Motors, Liuzhou Wuling Motors, SAIC Capital</t>
  </si>
  <si>
    <t>General Motors(www.gm.com), Liuzhou Wuling Motors(www.wulingauto.com.cn), SAIC Capital(www.saicvc.com)</t>
  </si>
  <si>
    <t>13165-30</t>
  </si>
  <si>
    <t>Sagence</t>
  </si>
  <si>
    <t>Sagence Group</t>
  </si>
  <si>
    <t>Knowledgent, Daugherty Systems, The North Highland Company, Nordic Consulting, Acumen Solutions, Ironside Group, Digineer, Quebit Consulting, Hitachi Consulting, DataClarity</t>
  </si>
  <si>
    <t>Provider of lifecycle business performance management consulting services. The company advises clients in information-intensive industries and specialize in data management and analytics.</t>
  </si>
  <si>
    <t>Consulting Services (B2B)*, Other Services (B2C Non-Financial)</t>
  </si>
  <si>
    <t>analytics, business performance, statistic analysis</t>
  </si>
  <si>
    <t>www.sagenceconsulting.com</t>
  </si>
  <si>
    <t>2012: 55, 2013: 66, 2014: 66, 2015: 125</t>
  </si>
  <si>
    <t>39578-32P</t>
  </si>
  <si>
    <t>Bruce Quade</t>
  </si>
  <si>
    <t>bruce.quade@sagenceconsulting.com</t>
  </si>
  <si>
    <t>+1 (312) 635-1280</t>
  </si>
  <si>
    <t>111 South Wacker Drive</t>
  </si>
  <si>
    <t>Suite 3900</t>
  </si>
  <si>
    <t>60606</t>
  </si>
  <si>
    <t>info@sagenceconsulting.com</t>
  </si>
  <si>
    <t>Chicago Growth Partners sold is stake in the company to an undisclosed investor.</t>
  </si>
  <si>
    <t>Bertelsmann Digital Media Investments, Cross Atlantic Capital Partners</t>
  </si>
  <si>
    <t>Chicago Growth Partners</t>
  </si>
  <si>
    <t>Bertelsmann Digital Media Investments(www.bdmifund.com), Cross Atlantic Capital Partners(www.xacp.com)</t>
  </si>
  <si>
    <t>Chicago Growth Partners(www.cgp.com)</t>
  </si>
  <si>
    <t>132341-95</t>
  </si>
  <si>
    <t>SafeTraces</t>
  </si>
  <si>
    <t>DNATrek</t>
  </si>
  <si>
    <t>Provider of a bar-code technology designed to ensure food safety and traceability. The company's bar-code technology provides the first natural, edible, odorless, tasteless, on-food traceability services that is recognized as a G.R.A.S. material and unlike any other system, it is applied to the food, not the packaging, enabling food and safety inspection industry to rapidly trace the origin information within in minutes and to stop food adulteration.</t>
  </si>
  <si>
    <t>Biotechnology, Other Healthcare Services, Other Services (B2C Non-Financial)*</t>
  </si>
  <si>
    <t>food assurance, food safety, food traceability, on-food traceability</t>
  </si>
  <si>
    <t>www.safetraces.com</t>
  </si>
  <si>
    <t>41354-74P</t>
  </si>
  <si>
    <t>Anthony Zografos</t>
  </si>
  <si>
    <t>anthony@safetraces.com</t>
  </si>
  <si>
    <t>6111 Johnson Court</t>
  </si>
  <si>
    <t>info@safetraces.com</t>
  </si>
  <si>
    <t>The company raised $10 million of Series A2 venture funding in a deal led by S2G Ventures (Seed 2 Growth) and Bunge Ventures on October 17, 2018, putting the company's pre-money valuation at $34 million. Spero Ventures and UL Ventures also participated in the round. The company intends to use the proceeds from this round to scale the deployment of its solutions platform, sales and marketing.</t>
  </si>
  <si>
    <t>Bunge Ventures, City Light Capital, I-GATE Innovation Hub, Maumee Ventures, National Institutes of Health, National Science Foundation, Omidyar Network, S2G Ventures, Sacramento Angels, Spero Ventures, Tuscan Management, U.S. Department of Health and Human Services, UL Ventures</t>
  </si>
  <si>
    <t>City Light Capital(www.citylight.vc), I-GATE Innovation Hub(www.igateihub.org), Maumee Ventures(www.maumeeventures.com), National Institutes of Health(www.nih.gov), National Science Foundation(seedfund.nsf.gov), Omidyar Network(www.omidyar.com), S2G Ventures(www.s2gventures.com), Sacramento Angels(www.sacangels.com), Spero Ventures(www.spero.vc), Tuscan Management(www.tuscanms.com), U.S. Department of Health and Human Services(hhs.gov)</t>
  </si>
  <si>
    <t>230429-08</t>
  </si>
  <si>
    <t>SafeGuard Cyber</t>
  </si>
  <si>
    <t>Social SafeGuard</t>
  </si>
  <si>
    <t>Developer of enterprise software and internet applications designed to safeguard digital assets and prevent digital threats. The company delivers massive-scale analytics which leverages machine learning and AI-influenced data to give a customized lens into threats the clients face and the risk thereby enabling the clients to know the risk and threats across all digital entities in real-time.</t>
  </si>
  <si>
    <t>digital risk protection, digital risk protection software, digital risk protection technology, enterprise software product, enterprise software suites</t>
  </si>
  <si>
    <t>www.safeguardcyber.com</t>
  </si>
  <si>
    <t>38263-06P</t>
  </si>
  <si>
    <t>Otavio Freire</t>
  </si>
  <si>
    <t>Co-Founder, Chief Technology Officer and President</t>
  </si>
  <si>
    <t>otaviof@openq.com</t>
  </si>
  <si>
    <t>+1 (630) 243-9810 x250</t>
  </si>
  <si>
    <t>Charlottesville, VA</t>
  </si>
  <si>
    <t>410 A East Main Street</t>
  </si>
  <si>
    <t>Charlottesville</t>
  </si>
  <si>
    <t>22902</t>
  </si>
  <si>
    <t>+1 (434) 207-4265</t>
  </si>
  <si>
    <t>The company raised $11 million through the combination of Series B, Series B1 and Series B2 venture funding from Harbert Growth Partners, Harbert Management, AllegisCyber and NightDragon Security on June 27, 2018, putting the pre-money valuation at $18.5 million. The investment will help the company to expand its platform and go-to-market activity to help businesses stop the spread of fake accounts, fake news, brand impersonation, social phishing, malware, spam and other threats across digital and social channels. Salesforce Ventures also participated in this round.</t>
  </si>
  <si>
    <t>AllegisCyber, CAV Angels, Grotech Ventures, Harbert Growth Partners, Harbert Management, NightDragon Security, Salesforce Ventures</t>
  </si>
  <si>
    <t>AllegisCyber(www.allegiscyber.com), CAV Angels(www.cavangels.com), Grotech Ventures(www.grotech.com), Harbert Management(www.harbert.net), NightDragon Security(www.nightdragon.com)</t>
  </si>
  <si>
    <t>117170-47</t>
  </si>
  <si>
    <t>SafeDK</t>
  </si>
  <si>
    <t>Developer of a mobile SDK management platform intended to help application publishers to see the full picture of the advertisements that show in their application. The company's platform offers to monitor the real-time behavior of mobile SDKs and reports privacy, performance and stability issues, enabling clients to maximize the benefits and minimize the risks of using 3rd party tools.</t>
  </si>
  <si>
    <t>Business/Productivity Software*, Network Management Software, Software Development Applications, Systems and Information Management</t>
  </si>
  <si>
    <t>mobile sdk, sdk, sdk management, sdk management platform, sdk tools, stability issue</t>
  </si>
  <si>
    <t>www.safedk.com</t>
  </si>
  <si>
    <t>2015: 10</t>
  </si>
  <si>
    <t>105899-14P</t>
  </si>
  <si>
    <t>Orly Shoavi</t>
  </si>
  <si>
    <t>orly@safedk.com</t>
  </si>
  <si>
    <t>7 Shenkar Street</t>
  </si>
  <si>
    <t>4672507</t>
  </si>
  <si>
    <t>contact@safedk.com</t>
  </si>
  <si>
    <t>The company raised $3.5 million of Series A venture funding in a deal led by Samsung NEXT Ventures on November 22, 2016. Kaedan Capital, StageOne Ventures, Marius Nacht and Leon Waisbein also participated in the round. The company will use the funding to scale its operation, increase hiring and for further expansion in the U.S. market.</t>
  </si>
  <si>
    <t>Kaedan Capital, Leon Waisbein, Marius Nacht, Samsung NEXT Ventures, StageOne Ventures</t>
  </si>
  <si>
    <t>Kaedan Capital(www.kaedan.com), Samsung NEXT Ventures(www.samsungnext.com), StageOne Ventures(www.stageonevc.com)</t>
  </si>
  <si>
    <t>64307-17</t>
  </si>
  <si>
    <t>Sablono</t>
  </si>
  <si>
    <t>AproPLAN, PlanGrid, Ayoga, Procore, CoConstruct, Buildertrend, Finalcad, Assignar, Fieldly, eSUB Construction Software, Actify, GCPay.com, Pantera Global Technology, Fieldwire, Submittal Exchange, Databid, Alfresco Software, FieldLens, Icertis</t>
  </si>
  <si>
    <t>Developer of an online software designed to execute complex construction projects. The company's online software tracks the exact status of all deliverables or tasks that are taken out on-site which seems to be nearly impossible and provides the service needed to look after the matter, enabling clients to collaborate and exchange crucial real-time information.</t>
  </si>
  <si>
    <t>Construction and Engineering</t>
  </si>
  <si>
    <t>Business/Productivity Software, Construction and Engineering*</t>
  </si>
  <si>
    <t>building management, construction service, planning software, progress tracking, real time information</t>
  </si>
  <si>
    <t>www.sablono.com</t>
  </si>
  <si>
    <t>72485-83P</t>
  </si>
  <si>
    <t>Sven Richter</t>
  </si>
  <si>
    <t>Co-Founder, Managing Director, Chief Financial Officer &amp; Customer Success</t>
  </si>
  <si>
    <t>sven.richter@sablono.com</t>
  </si>
  <si>
    <t>+49 (0)30 6098 0744 0</t>
  </si>
  <si>
    <t>Bismarckstrasse 10-12</t>
  </si>
  <si>
    <t>10625</t>
  </si>
  <si>
    <t>+49 (0)30 6098 0744 9</t>
  </si>
  <si>
    <t>office@sablono.com</t>
  </si>
  <si>
    <t>The company raised an undisclosed amount of venture funding from Hasso Plattner Ventures on May 28, 2015. Previously, the company raised an undisclosed amount of series A venture funding from High-Tech Gründerfonds, Hasso Plattner Ventures and Nemetschek Group on July 10, 2014.</t>
  </si>
  <si>
    <t>EIT Digital, Hasso Plattner Ventures, High-Tech Gründerfonds, Nemetschek Group</t>
  </si>
  <si>
    <t>EIT Digital(www.eitdigital.eu), Hasso Plattner Ventures(www.hp-ventures.com), High-Tech Gründerfonds(www.high-tech-gruenderfonds.de), Nemetschek Group(www.nemetschek.com)</t>
  </si>
  <si>
    <t>Portus Corporate Finance(Advisor: General)</t>
  </si>
  <si>
    <t>155181-43</t>
  </si>
  <si>
    <t>Rylo</t>
  </si>
  <si>
    <t>Magenta Labs</t>
  </si>
  <si>
    <t>Tamaggo, Giroptic, Raytrix, 360fly, Panono, Insta360, Podo, Lytro</t>
  </si>
  <si>
    <t>Developer of a 360°camera designed to make it easy for anyone to capture and share videos. The company's camera comes with a stabilization technology which captures a 360° view of everything around and can be edited to create a video with an application, resulting in a simple experience that helps users to share shake-free, horizon-leveled, cinematic videos.</t>
  </si>
  <si>
    <t>Electronics (B2C)*</t>
  </si>
  <si>
    <t>360 imaging, 360 video, consumer electronic device, electronic device, video camera development, video camera manufacturing</t>
  </si>
  <si>
    <t>www.rylo.com</t>
  </si>
  <si>
    <t>2016: 6, 2017: 21</t>
  </si>
  <si>
    <t>53092-81P</t>
  </si>
  <si>
    <t>Alex Karpenko</t>
  </si>
  <si>
    <t>alex@rylo.com</t>
  </si>
  <si>
    <t>P.O. Box 77234</t>
  </si>
  <si>
    <t>help@rylo.com</t>
  </si>
  <si>
    <t>The company raised $20.25 million of Series B venture funding in a deal led by Icon Ventures on November 06, 2018. Accel Partners, Basis Set Ventures, Strawberry Creek Ventures, Strawberry Creek Ventures, Alumni Ventu res Group and Sequoia Capital also participated in the round. The company intends to use the funds to expand its marketing, sales and retail partnerships in the coming year. Spike Ventures also participated in this round.</t>
  </si>
  <si>
    <t>Accel, Alumni Ventures Group, Basis Set Ventures, CAA Ventures, ChinaRock Capital Management, Icon Ventures, Jose Cong, Sequoia Capital, Spark Capital, Spike Ventures, Strawberry Creek Ventures, SV Tech Ventures</t>
  </si>
  <si>
    <t>Accel(www.accel.com), Alumni Ventures Group(www.avgfunds.com), Basis Set Ventures(www.basisset.ventures), CAA Ventures(ventures.caa.com), ChinaRock Capital Management(www.crcm.com), Icon Ventures(www.iconventures.com), Sequoia Capital(www.sequoiacap.com), Spark Capital(www.sparkcapital.com), Spike Ventures(www.spike-ventures.com), SV Tech Ventures(www.svtechventures.us)</t>
  </si>
  <si>
    <t>226884-79</t>
  </si>
  <si>
    <t>Runa HR</t>
  </si>
  <si>
    <t>Provider of a payroll management platform intended to automatically calculate payroll and manage employee data quickly. The company's platform integrates with fingerprint system, bank accounts, calendars and email to calculate payroll and manage data, enabling small to medium-sized companies to manage and out source data easily.</t>
  </si>
  <si>
    <t>Automation/Workflow Software, Human Capital Services, Social/Platform Software*</t>
  </si>
  <si>
    <t>employee management tools, payroll automation, payroll automation platform, payroll management platform</t>
  </si>
  <si>
    <t>www.runahr.com</t>
  </si>
  <si>
    <t>2018: 7</t>
  </si>
  <si>
    <t>41389-03P</t>
  </si>
  <si>
    <t>Courtney McColgan</t>
  </si>
  <si>
    <t>courtney.mccolgan@runahr.com</t>
  </si>
  <si>
    <t>+52 (01)55 5204 7594</t>
  </si>
  <si>
    <t>Mexico City, Mexico</t>
  </si>
  <si>
    <t>Lago Nargis Number 34</t>
  </si>
  <si>
    <t>Polanco</t>
  </si>
  <si>
    <t>Mexico City</t>
  </si>
  <si>
    <t>11520</t>
  </si>
  <si>
    <t>info@runahr.com</t>
  </si>
  <si>
    <t>The company raised venture funding from Tekton Ventures on an undisclosed date. Earlier, the company raised $3.5 million of seed funding from Salesforce Ventures, Nubank and Cabify in April 2018. WeWork, Investo, Y Combinator and other undisclosed investors also participated in the round. Prior to that, the company joined Y Combinator as part of the Winter 2018 Class on March 19, 2018 and received $120,000 in funding.</t>
  </si>
  <si>
    <t>Cabify, FundersClub, Investo, Nubank, Salesforce Ventures, Tekton Ventures, The We Company, Y Combinator</t>
  </si>
  <si>
    <t>Cabify(www.cabify.com), FundersClub(www.fundersclub.com), Investo(www.investovc.com), Nubank(www.nubank.com.br), Tekton Ventures(www.tektonventures.com), The We Company(www.we.co), Y Combinator(www.ycombinator.com)</t>
  </si>
  <si>
    <t>102748-33</t>
  </si>
  <si>
    <t>Rubicoin</t>
  </si>
  <si>
    <t>MyWallSt</t>
  </si>
  <si>
    <t>Wealthfront, Acorns, iBillionaire, SigFig, Motif (Financial Software), HelloWallet</t>
  </si>
  <si>
    <t>Developer of an investment management application designed to transform a local investor into an informed, confident investor. The company's investment management application enables beginner investors to buy stocks in the brands they love and to build wealth over time as well as helps them to learn and know about stock market before beginning to invest, enabling a local investor to make smart investments.</t>
  </si>
  <si>
    <t>Educational Software, Financial Software*</t>
  </si>
  <si>
    <t>financial investment app, financial investment tools, investment advice application, investment management tools, investor advice, investor education, personal portfolio, purchasing shares, stock investment</t>
  </si>
  <si>
    <t>www.mywallst.com</t>
  </si>
  <si>
    <t>2017: 16</t>
  </si>
  <si>
    <t>121431-07P</t>
  </si>
  <si>
    <t>Emmet Savage</t>
  </si>
  <si>
    <t>Co-Founder, Chief Executive Officer &amp; Chief Investor</t>
  </si>
  <si>
    <t>emmet@rubicoin.com</t>
  </si>
  <si>
    <t>5 Merrion Row</t>
  </si>
  <si>
    <t>2</t>
  </si>
  <si>
    <t>info@rubicoin.com</t>
  </si>
  <si>
    <t>The company raised EUR 1.4 million of venture funding from Enterprise Ireland and The Motley Fool on April 21, 2017. Other undisclosed investors also participated in the round. The company will use the funds to further strengthen its staff as well as to launch its application in Australia. With the round, the company has now raised a total of EUR 5 million in funding to date. Previously, the company raised EUR 2.1 million of venture funding from Avondhu IFL, Enterprise Ireland and The Motley Fool on August 17, 2016.</t>
  </si>
  <si>
    <t>Avondhu IFL, Enterprise Ireland, Motley Fool Ventures, Paul Coburn</t>
  </si>
  <si>
    <t>Enterprise Ireland(www.enterprise-ireland.com), Motley Fool Ventures(www.foolventures.com)</t>
  </si>
  <si>
    <t>Maples Group(Legal Advisor)</t>
  </si>
  <si>
    <t>225812-71</t>
  </si>
  <si>
    <t>RStor</t>
  </si>
  <si>
    <t>DataSpan, Logicworks, Egenera, Astadia, Asysco, Cloud Technology Partners, Velostrata, Presidio, RightScale, CloudBolt Software, SymQuest Group, Datapipe, Citrix Systems, ZeroStack, COBOL-IT</t>
  </si>
  <si>
    <t>Developer of an enterprise performance computing platform designed to offer secure, connect and orchestrate resources for companies. The company's platform aggregates and automates compute resources from public and private clouds and binds these resources together with low-latency, high-bandwidth networking fabric that can transfer data across them with a throughput that's 30 times faster than industry standards. Its data-intensive application leverages artificial intelligence, machine learning and advanced analytics, enabling customers to determine the cost-effective cloud environment for each workload and simplify their deployment.</t>
  </si>
  <si>
    <t>cloud computing platform, cloud environment, computing resources, enterprise performance computing, orchestrate resources, performance computing</t>
  </si>
  <si>
    <t>rstor.io</t>
  </si>
  <si>
    <t>184459-15P</t>
  </si>
  <si>
    <t>Jonathan Dooley</t>
  </si>
  <si>
    <t>jonathan.dooley@rstor.io</t>
  </si>
  <si>
    <t>Saratoga, CA</t>
  </si>
  <si>
    <t>Saratoga</t>
  </si>
  <si>
    <t>hello@rstor.io</t>
  </si>
  <si>
    <t>The company raised $45 million of Series A venture funding led by Cisco Investments on April 26, 2018, putting the company's pre-money valuation at $135 million. Other undisclosed investors also participated in the round. The funds will be used to hire staff and accelerate the development for the company's main product, the RStor Multicloud Platform.</t>
  </si>
  <si>
    <t>Cisco Investments, Exponential Partners</t>
  </si>
  <si>
    <t>Cisco Investments(www.ciscoinvestments.com), Exponential Partners(www.exponential.vc)</t>
  </si>
  <si>
    <t>184546-36</t>
  </si>
  <si>
    <t>RoundTrip</t>
  </si>
  <si>
    <t>Circulation (Medical Transportation), SendaRide, Veyo</t>
  </si>
  <si>
    <t>Developer of an on-demand medical transportation platform intended to simplify healthcare transportation. The company's platform uses GPS to track real-time traffic and road status as well as connects hospitals with an aligned network of non-emergency medical transportation providers for calling an ambulance for patients in need, enabling healthcare providers and families of physically unfit people to find and book a transport vehicle to shift patients from one place to another.</t>
  </si>
  <si>
    <t>Application Software*, Automotive, Clinics/Outpatient Services, Other Healthcare Services</t>
  </si>
  <si>
    <t>healthcare transportation, medical transportation facility, on demand patient transportation, patient transportation, patient transportation application, patient transportation platform, patient transportation service</t>
  </si>
  <si>
    <t>www.roundtriphealth.com</t>
  </si>
  <si>
    <t>2018: 25</t>
  </si>
  <si>
    <t>168692-86P</t>
  </si>
  <si>
    <t>Mark Switaj</t>
  </si>
  <si>
    <t>mswitaj@rideroundtrip.com</t>
  </si>
  <si>
    <t>+1 (877) 396-8080</t>
  </si>
  <si>
    <t>221 Chestnut Street</t>
  </si>
  <si>
    <t>go@rideroundtrip.com</t>
  </si>
  <si>
    <t>The company raised $5.64 million of Series A venture funding in a deal led by Motley Fool Ventures on February 8, 2019, putting the company's pre-money valuation at $14.5 million. Ben Franklin Technology Partners of Southeastern Pennsylvania also participated in the round.</t>
  </si>
  <si>
    <t>Ben Franklin Technology Partners of Southeastern Pennsylvania, Brown Advisory, Johns Hopkins University Endowment, Kormeli, Motley Fool Ventures, Philly Startup Leaders, The Abell Foundation, TMC Innovation</t>
  </si>
  <si>
    <t>Ben Franklin Technology Partners of Southeastern Pennsylvania(www.sep.benfranklin.org), Brown Advisory(www.brownadvisory.com), Johns Hopkins University Endowment(www.jhu.edu), Kormeli(www.kormeli.com), Motley Fool Ventures(www.foolventures.com), Philly Startup Leaders(www.phillystartupleaders.org), The Abell Foundation(www.abell.org)</t>
  </si>
  <si>
    <t>117700-03</t>
  </si>
  <si>
    <t>ROSS Intelligence</t>
  </si>
  <si>
    <t>Legal Robot</t>
  </si>
  <si>
    <t>Developer and provider of a digital legal research platform designed to democratize access to justice for all. The company offers a platform that utilizes natural language processing technology to answer legal queries, helping legal teams sort through case law to find details relevant to new cases.</t>
  </si>
  <si>
    <t>Application Software, Information Services (B2C)*, Social/Platform Software</t>
  </si>
  <si>
    <t>digital legal research, legal data software, legal information, legal research</t>
  </si>
  <si>
    <t>www.rossintelligence.com</t>
  </si>
  <si>
    <t>2015: 8, 2016: 7</t>
  </si>
  <si>
    <t>108247-51P</t>
  </si>
  <si>
    <t>Andrew Arruda</t>
  </si>
  <si>
    <t>andrew@rossintelligence.com</t>
  </si>
  <si>
    <t>team@rossintelligence.com</t>
  </si>
  <si>
    <t>The company raised $8.7 million of Series A venture funding led by iNovia Capital on October 11, 2017, putting the pre-money valuation at $25 million. Hemisphere Ventures, Comcast Ventures, Y Combinator, Real Ventures, Kima Ventures, Nicolas Pinto, TheFamily, NextLaw Labs, Hedgewood, ACE &amp; Company, Diego Basch, Dream Maker Ventures and undisclosed angels also participated in the round. The funds will be used to continue to expand the company's current offerings into other practice areas, launch new product lines outside of legal research, accelerate product growth and innovation and invest in expanding sales and marketing resources. The company till date has raised $13 million.</t>
  </si>
  <si>
    <t>ACE &amp; Company, Comcast Ventures, Dentons, Dream Maker Ventures, Hedgewood, Hemisphere Ventures, Inovia Capital, Kima Ventures, Nextlaw Ventures, Nicolas Pinto, Real Ventures, TheFamily, Y Combinator</t>
  </si>
  <si>
    <t>ACE &amp; Company(www.aceandcompany.com), Comcast Ventures(www.comcastventures.com), Dentons(www.dentons.com), Dream Maker Ventures(www.dreammaker.vc), Hedgewood(www.hedgewood.com), Hemisphere Ventures(www.hemisphere.com), Inovia Capital(www.inovia.vc), Kima Ventures(www.kimaventures.com), Nextlaw Ventures(www.nextlawventures.vc), Real Ventures(www.realventures.com), TheFamily(www.thefamily.co), Y Combinator(www.ycombinator.com)</t>
  </si>
  <si>
    <t>52242-94</t>
  </si>
  <si>
    <t>Rootstock</t>
  </si>
  <si>
    <t>Plex Systems, Arena (Solutions), Keap (Saas Platform), CCH Tagetik, FinancialForce, Aptean, Odoo, Ramco Systems, Aras, ProcessPro Software, Alteryx, ContaAzul, RightAnswers, Kenandy, Advanced Computer Software Group, Deltek, Marketo, XebiaLabs, Epicor Software, Infor Global Solutions, PearlChain.net, Henning Industrial Software, SAP, NetSuite, John Galt, Electric Cloud, Acumatica, The Access Group, IQMS, MapR, Global Shop Solutions, ProfitKey International, CA Technologies, FreshBooks, Onestream Software, Pipedrive, Adobe Systems, Propel (Product Management Platform), Diyotta, Shoptech Software - Manufacturing Software, Viewpoint (Construction Software), Exact Software, Vinculum Solutions, ECi Software Solutions, Aruba Networks, Brightpearl, Tradeshift, Unit4, Coupa, Panzura, Industrial &amp; Financial Systems, Digital Ware, Maximizer Software, Wave Financial, Adaptive Insights, Anaplan, Salesforce, Ciiva, 3PL Central, Zendesk, Workbooks.com, Act-On, Concur Technologies, MISys, ServiceNow, Certify, May Logistics Services, Tableau Software, MuleSoft, Predixion, Receipt Bank, CTERA Networks, MindTouch, Foursquare, SiliconExpert Technologies, Feedzai, VMware, Box</t>
  </si>
  <si>
    <t>Developer of cloud-based enterprise resource planning (ERP) software designed to assist manufacturers and distributors to efficiently operate and grow their businesses. The company's software offers sales order management, purchase order management, production engineering, inventory control, material requirements planning and others, enabling manufacturers and distributors deliver personalized customer experiences, build operations that scale and out-service their competition.</t>
  </si>
  <si>
    <t>cloud computing platform, distributor erp software, enterprise resource planning app, erp software, inventory control, manufacturing erp, operating software, supply chain operations, supply chain software</t>
  </si>
  <si>
    <t>www.rootstock.com</t>
  </si>
  <si>
    <t>2012: 30, 2013: 28, 2014: 21, 2016: 34</t>
  </si>
  <si>
    <t>37281-07P</t>
  </si>
  <si>
    <t>Patrick Garrehy</t>
  </si>
  <si>
    <t>pgarrehy@rootstock.com</t>
  </si>
  <si>
    <t>+1 (925) 380-6292</t>
  </si>
  <si>
    <t>5000 Executive Parkway</t>
  </si>
  <si>
    <t>+1 (888) 524-0123</t>
  </si>
  <si>
    <t>+1 (888) 255-0493</t>
  </si>
  <si>
    <t>inquiry@rootstock.com</t>
  </si>
  <si>
    <t>The company raised $4.9 million of convertible debt financing from undisclosed investors on July 10, 2018. Prior to that, the company raised $7.27 million of Series C venture funding from undisclosed investors on February 15, 2018.</t>
  </si>
  <si>
    <t>Cross Atlantic Capital Partners, Montage Capital, Salesforce Ventures</t>
  </si>
  <si>
    <t>Cross Atlantic Capital Partners(www.xacp.com), Montage Capital(www.montagecapital.com)</t>
  </si>
  <si>
    <t>Reed Smith(Legal Advisor)</t>
  </si>
  <si>
    <t>232330-33</t>
  </si>
  <si>
    <t>RootPath</t>
  </si>
  <si>
    <t>Carisma Therapeutics, Immatics, Adaptimmune Therapeutics, Poseida Therapeutics, Aura Biosciences, Jounce Therapeutics, Rigontec, Gadeta, Atreca, Ziopharm Oncology, NexImmune, Perthera, TCR2 Therapeutics</t>
  </si>
  <si>
    <t>Developer of T cell therapy platform designed to bridges precision medicine and cancer immunotherapy. The company's platform focus on the analysis and manipulation of single immune cells in order to enable next-generation immune- and cell-therapy, enabling drug developers, physicians and patients to precisely monitor, modulate and steer the immune system for a revolution in the diagnosis and treatment of cancer.</t>
  </si>
  <si>
    <t>Biotechnology*, Other Pharmaceuticals and Biotechnology</t>
  </si>
  <si>
    <t>cancer treatment device, cancer treatment therapy, genome engineering platform, immunological technologies, proprietary technology, single-cell sequencing technology, synthetic biology techniques</t>
  </si>
  <si>
    <t>www.rootpath.com</t>
  </si>
  <si>
    <t>192584-71P</t>
  </si>
  <si>
    <t>Ely Porter</t>
  </si>
  <si>
    <t>Co-Founder &amp; Lead Scientist</t>
  </si>
  <si>
    <t>ely@rootpath.com</t>
  </si>
  <si>
    <t>325 Vassar Street</t>
  </si>
  <si>
    <t>Suite 2A</t>
  </si>
  <si>
    <t>info@rootpath.com</t>
  </si>
  <si>
    <t>The company raised $7 million of seed funding in a deal led by Sequoia Capital China on August 30, 2018. Baidu Ventures, Nest.Bio Ventures and Volcanics Venture also participated in this round. The funds will be used to advance its immuno-oncology programs and obtain key data on accuracy, efficacy and safety in animal models.</t>
  </si>
  <si>
    <t>Baidu Ventures, Nest.Bio Ventures, Sequoia Capital China, Volcanics Venture</t>
  </si>
  <si>
    <t>Baidu Ventures(www.bv.ai), Nest.Bio Ventures(www.nest.bio), Sequoia Capital China(www.sequoiacap.com/china), Volcanics Venture(www.volcanics.com)</t>
  </si>
  <si>
    <t>57983-32</t>
  </si>
  <si>
    <t>Roost (Business/Productivity Software)</t>
  </si>
  <si>
    <t>NewVoiceMedia, MoEngage, WonderPush, Pulsate, WebEngage</t>
  </si>
  <si>
    <t>Provider of a push notification technology designed to change the way people consume content on the web. The company's push notification technology tracks compliance communication across a corporation's mobile workforce and helps to engage the mobile website traffic with push notification, enabling clients to avail specific detail related to an individual subscriber that can be tracked or targeted with notifications.</t>
  </si>
  <si>
    <t>Business/Productivity Software*, Other Communications and Networking</t>
  </si>
  <si>
    <t>compliance communication, intelligent notifications, personalized notifications</t>
  </si>
  <si>
    <t>www.goroost.com</t>
  </si>
  <si>
    <t>51708-70P</t>
  </si>
  <si>
    <t>Burton Miller</t>
  </si>
  <si>
    <t>+1 (512) 900-9324</t>
  </si>
  <si>
    <t>1030 6th Avenue</t>
  </si>
  <si>
    <t>The company raised an undisclosed amount of venture funding from Hard Yaka in 2018.</t>
  </si>
  <si>
    <t>Hard Yaka, Individual Investor, Initialized Capital Management, Jotter Investment, Math Venture Partners, MDC Ventures, Rocket Venture Fund, Scott Heller, University of Toledo Foundation, Y Combinator</t>
  </si>
  <si>
    <t>Hard Yaka(www.hardyaka.com), Initialized Capital Management(www.initialized.com), Math Venture Partners(www.mathventurepartners.com), MDC Ventures(www.mdcventures.vc), Rocket Venture Fund(www.rocketventures.org), University of Toledo Foundation(www.utfoundation.org), Y Combinator(www.ycombinator.com)</t>
  </si>
  <si>
    <t>56733-22</t>
  </si>
  <si>
    <t>ROMO Wind</t>
  </si>
  <si>
    <t>Developer of wind-farm optimization technologies designed to focus on extracting the full value of wind power. The company's wind-farm optimization technologies provides the spinner anemometer, a patented wind-measurement device to optimize power-generation by adjusting wind-turbine rotors and also offers a technology that detects and corrects wind turbine yaw misalignments, enabling wind farm owners to get extra returns and benefits from their businesses.</t>
  </si>
  <si>
    <t>optimization, spinner anemometer, wind turbine, wind turbine rotor</t>
  </si>
  <si>
    <t>www.romowind.com</t>
  </si>
  <si>
    <t>2014: 50, 2016: 30</t>
  </si>
  <si>
    <t>54964-45P</t>
  </si>
  <si>
    <t>Jan Nikolaisen</t>
  </si>
  <si>
    <t>jn@romowind.com</t>
  </si>
  <si>
    <t>+45 (0)694 4800</t>
  </si>
  <si>
    <t>Zug, Switzerland</t>
  </si>
  <si>
    <t>Baarerstrasse 80</t>
  </si>
  <si>
    <t>Zug</t>
  </si>
  <si>
    <t>6300</t>
  </si>
  <si>
    <t>info@romowind.com</t>
  </si>
  <si>
    <t>The company raised EUR 4.8 million of venture funding in a deal by Vattenfall on April 26, 2013. btov Partners, Yellow&amp;Blue and ABB Technology Ventures also participated in the round.</t>
  </si>
  <si>
    <t>ABB Technology Ventures, btov Partners, Vattenfall, Yellow&amp;Blue</t>
  </si>
  <si>
    <t>btov Partners(www.btov.vc), Vattenfall(www.vattenfall.com), Yellow&amp;Blue(www.yellowandblue.nl)</t>
  </si>
  <si>
    <t>57267-01</t>
  </si>
  <si>
    <t>Rocsole</t>
  </si>
  <si>
    <t>Developer of tomography process monitoring technology designed to cater the needs of oil and gas industrial processes. The company's technology helps to effectively monitor deposition and flow regimes inside pipes and interfaces inside separator tanks, enabling businesses to remove guessing and eliminate trial-and-error and deliver accurate, real-time data.</t>
  </si>
  <si>
    <t>Electrical Equipment, Industrial Supplies and Parts*, Other Commercial Services</t>
  </si>
  <si>
    <t>3d tomographic, oil and gas industry, process control, process monitoring technology, tomography</t>
  </si>
  <si>
    <t>www.rocsole.com</t>
  </si>
  <si>
    <t>2013: 12, 2014: 10, 2015: 8, 2016: 10, 2017: 12</t>
  </si>
  <si>
    <t>50639-77P</t>
  </si>
  <si>
    <t>Tarja Pikkarainen</t>
  </si>
  <si>
    <t>General Administration and Business Administration</t>
  </si>
  <si>
    <t>tarja.pikkarainen@rocsole.com</t>
  </si>
  <si>
    <t>+358 (0)40 774 6993</t>
  </si>
  <si>
    <t>Kuopio, Finland</t>
  </si>
  <si>
    <t>Kauppakatu 20</t>
  </si>
  <si>
    <t>Kuopio</t>
  </si>
  <si>
    <t>70100</t>
  </si>
  <si>
    <t>+358 (0)17 441 1123</t>
  </si>
  <si>
    <t>info@rocsole.com</t>
  </si>
  <si>
    <t>The company received grant funding from European Union on an undisclosed date.</t>
  </si>
  <si>
    <t>Deloitte, Ely Keskus, European Union, Finnvera, Repsol Energy Ventures, Shell Ventures, Takeoff Partners, Tekes</t>
  </si>
  <si>
    <t>Ely Keskus(www.ely-keskus.fi), European Union(www.europa.eu/index_en.htm), Finnvera(www.finnvera.fi), Takeoff Partners(www.takeoffpartners.com), Tekes(www.tekes.fi)</t>
  </si>
  <si>
    <t>160331-77</t>
  </si>
  <si>
    <t>Rockley Photonics</t>
  </si>
  <si>
    <t>Achronix Semiconductor, Skorpios Technologies, Microsemi, NeoPhotonics, ViXS Systems, Luxtera, Monolithic Power Systems, Ranovus, Ziptronix, Lattice Semiconductor, Flex Logix Technologies, Maxim Integrated Products, ON Semiconductor, Aquantia</t>
  </si>
  <si>
    <t>Developer of a silicon photonics platform intended to offer innovative communication products. The company's silicon photonics platform provides scalable data center networks utilizing the light in the network by taking it out of the fiber and harnessing the characteristics of the photon, enabling clients to avail low-power and high-capacity data center communication equipment easily.</t>
  </si>
  <si>
    <t>Application Specific Semiconductors*, Other Semiconductors</t>
  </si>
  <si>
    <t>high bandwidth, semiconductor technology, silicon photonics, silicon photonics platform, silicon semiconductor</t>
  </si>
  <si>
    <t>www.rockleyphotonics.com</t>
  </si>
  <si>
    <t>2014: 10, 2016: 34</t>
  </si>
  <si>
    <t>48600-91P</t>
  </si>
  <si>
    <t>Mahesh Karanth</t>
  </si>
  <si>
    <t>mahesh@rockleyphotonics.com</t>
  </si>
  <si>
    <t>+1 (626) 304-9960</t>
  </si>
  <si>
    <t>234 East Colorado Boulevard</t>
  </si>
  <si>
    <t>91101</t>
  </si>
  <si>
    <t>The company raised $40 million of Series D venture funding from Morningside Group, Applied Ventures and other undisclosed investors on March 7, 2018.</t>
  </si>
  <si>
    <t>Applied Ventures, Cianna Capital, Engineering and Physical Sciences Research Council, Kreos Capital, Morningside Group, Perscitus, Rockley Group (Oxford), University of Southampton</t>
  </si>
  <si>
    <t>Cianna Capital(www.ciannacapital.com), Engineering and Physical Sciences Research Council(www.epsrc.ac.uk), Kreos Capital(www.kreoscapital.com), Morningside Group(www.morningside.com), Perscitus(www.perscitusllp.com), Rockley Group (Oxford)(www.rockleygroup.com)</t>
  </si>
  <si>
    <t>99587-80</t>
  </si>
  <si>
    <t>Rocket Lab</t>
  </si>
  <si>
    <t>SpaceX, Firefly Aerospace, Deep Blue Aerospace, Northrop Grumman, United Launch Alliance, Gilmour Space Technologies, Blue Origin, Reaction Engines, Xcor Aerospace, Axelspace</t>
  </si>
  <si>
    <t>Manufacturer of commercial rocket launchers intended to provide frequent satellite launch opportunities to lower Earth orbit and remove barriers to commercial space. The company's rocket launcher is an entirely carbon-composite vehicle that uses its 3D-printed Rutherford engines for its main propulsion system to launch its imaging and communications satellites, enabling companies to reach orbit and offer services including optimized crop monitoring, improved weather reporting, Internet from space, natural disaster prediction, up-to-date maritime data and search and rescue services.</t>
  </si>
  <si>
    <t>Aerospace and Defense*</t>
  </si>
  <si>
    <t>aviation services, rocket, rocket launcher, rocket propulsion systems, rocket systems, satellite launch, satellite launcher vehicle, space rocket, thermal protection</t>
  </si>
  <si>
    <t>www.rocketlabusa.com</t>
  </si>
  <si>
    <t>2013: 18, 2016: 100, 2017: 200, 2018: 330, 2019: 400</t>
  </si>
  <si>
    <t>92289-16P</t>
  </si>
  <si>
    <t>Peter Beck</t>
  </si>
  <si>
    <t>Founder, Chief Executive Officer, Chief Technology Officer and Board Member</t>
  </si>
  <si>
    <t>peter.beck@rocketlabusa.com</t>
  </si>
  <si>
    <t>+64 (0)9 373 2721</t>
  </si>
  <si>
    <t>Huntington Beach, CA</t>
  </si>
  <si>
    <t>14520 Delta Lane</t>
  </si>
  <si>
    <t>Huntington Beach</t>
  </si>
  <si>
    <t>92647</t>
  </si>
  <si>
    <t>+1 (714) 465-5737</t>
  </si>
  <si>
    <t>enquiries@rocketlabusa.com</t>
  </si>
  <si>
    <t>The company raised $140 million of Series E venture funding in a deal led by The Future Fund on November 15, 2018, putting the company's pre-money valuation at $1.275 billion. Data Collective, Promus Ventures, Greenspring Associates, Khosla Ventures, Bessemer Venture Partners, K1W1 and Accident Compensation Corporation also participated in the round. The funding will support continued Electron vehicle production expansion, new launch sites and three new major research and development programs. This funding also enables the continued aggressive scale-up of Electron production to support our targeted weekly flight rate.</t>
  </si>
  <si>
    <t>Accident Compensation Corporation, Australia Future Fund, Bessemer Venture Partners, Callaghan Innovation, Data Collective, Greenspring Associates, K1W1, Khosla Ventures, Lockheed Martin Ventures, Mark Rocket, Promus Ventures</t>
  </si>
  <si>
    <t>Accident Compensation Corporation(www.acc.co.nz), Australia Future Fund(www.futurefund.gov.au), Bessemer Venture Partners(www.bvp.com), Callaghan Innovation(www.callaghaninnovation.govt.nz), Data Collective(www.dcvc.com), Greenspring Associates(www.greenspringassociates.com), Khosla Ventures(www.khoslaventures.com), Promus Ventures(www.promusventures.com)</t>
  </si>
  <si>
    <t>179853-13</t>
  </si>
  <si>
    <t>Robotics Plus</t>
  </si>
  <si>
    <t>RPL</t>
  </si>
  <si>
    <t>Developer of agricultural robots designed to meet the growing challenges in the agricultural industry. The company's agricultural robots includes system for apple packing, automated fruit harvesting, as well as offers a broad application pollination system, enabling the horticulture and other primary industries to automate harvesting and other agricultural tasks.</t>
  </si>
  <si>
    <t>Electrical Equipment, Other Agriculture, Other Commercial Products*</t>
  </si>
  <si>
    <t>AgTech, Robotics and Drones</t>
  </si>
  <si>
    <t>agricultural robotics, fruits harvesting, harvesting robots, packaging robots, pollination systems</t>
  </si>
  <si>
    <t>www.roboticsplus.co.nz</t>
  </si>
  <si>
    <t>2017: 8</t>
  </si>
  <si>
    <t>159854-50P</t>
  </si>
  <si>
    <t>Steven Saunders</t>
  </si>
  <si>
    <t>Co-Founder, Co-Owner &amp; Chairman</t>
  </si>
  <si>
    <t>+64 (0)7 552 6827</t>
  </si>
  <si>
    <t>Tauranga, New Zealand</t>
  </si>
  <si>
    <t>Building 3, Newnham Innovation Park</t>
  </si>
  <si>
    <t>37A Newnham Road, RD4</t>
  </si>
  <si>
    <t>Tauranga</t>
  </si>
  <si>
    <t>3174</t>
  </si>
  <si>
    <t>New Zealand</t>
  </si>
  <si>
    <t>info@roboticsplus.co.nz</t>
  </si>
  <si>
    <t>The company raised $10 million of venture funding from Yamaha Motor Ventures &amp; Laboratory Silicon Valley on November 15, 2018.</t>
  </si>
  <si>
    <t>Callaghan Innovation, Ministry of Business Innovation and Employment, T&amp;G Foods, University of Auckland, Waikato University, Yamaha Motor Ventures &amp; Laboratory Silicon Valley</t>
  </si>
  <si>
    <t>Callaghan Innovation(www.callaghaninnovation.govt.nz), T&amp;G Foods(www.enzafoods.co.nz), University of Auckland(auckland.ac.nz), Yamaha Motor Ventures &amp; Laboratory Silicon Valley(www.ymvsv.com)</t>
  </si>
  <si>
    <t>184954-51</t>
  </si>
  <si>
    <t>Robotic Skies</t>
  </si>
  <si>
    <t>Robotic Skies, LLC.</t>
  </si>
  <si>
    <t>Operator of a global network of of UAS restore stations intended to offer maintenance services for unmanned aircraft systems. The company's maintenance services have service centers across different regions of the world, offer a comprehensive turnkey field service program designed to keep unmanned aircraft systems (UAS) flying safely, enabling emerging commercial drone aircraft fleet to get optimized certification, maintenance and repair services.</t>
  </si>
  <si>
    <t>Aerospace and Defense*, Other Commercial Services</t>
  </si>
  <si>
    <t>drones safety, field service program, maintenance services, manned aviation fleet, unmanned aircraft system maintenance</t>
  </si>
  <si>
    <t>www.roboticskies.com</t>
  </si>
  <si>
    <t>Deal (New) Early Stage VC, 2019|Completed</t>
  </si>
  <si>
    <t>Deal (New) Early Stage VC, 2019|Completed, News (New)</t>
  </si>
  <si>
    <t>169673-32P</t>
  </si>
  <si>
    <t>Eric Butler</t>
  </si>
  <si>
    <t>Chief Operating Officer &amp; Chief Financial Officer</t>
  </si>
  <si>
    <t>eric.butler@roboticskies.com</t>
  </si>
  <si>
    <t>+1 (505) 289-0791</t>
  </si>
  <si>
    <t>100 Sun Avenue North East</t>
  </si>
  <si>
    <t>Suite 650</t>
  </si>
  <si>
    <t>info@roboticskies.com</t>
  </si>
  <si>
    <t>The company raised an undisclosed amount of venture funding in a deal led by Boeing HorizonX on June 4, 2019. Sun Mountain Capital, Thayer Ventures and Kickstart Seed Fund also participated in the round. The funds will be used by the company to continue to grow its global footprint and expand operational capabilities.</t>
  </si>
  <si>
    <t>Boeing HorizonX, Kickstart Seed Fund, Sun Mountain Capital, Thayer Ventures</t>
  </si>
  <si>
    <t>Kickstart Seed Fund(www.kickstartseedfund.com), Sun Mountain Capital(www.sunmountaincapital.com), Thayer Ventures(www.thayerventures.com)</t>
  </si>
  <si>
    <t>235126-00</t>
  </si>
  <si>
    <t>Robot++</t>
  </si>
  <si>
    <t>Provider of robotics technologies. The company offers a wall climbing robot which is mainly used for high-altitude operation and high-risk operation scenes such as ship derusting, chemical spraying, thermal power detection, wind power operation and maintenance, providing businesses and corporate clients with robots that overcome the safety risks of a manual operation.</t>
  </si>
  <si>
    <t>robotic technology platform, robotics developer, robotics innovation, robotics provider, robots development</t>
  </si>
  <si>
    <t>197785-63P</t>
  </si>
  <si>
    <t>Xu Huazhen</t>
  </si>
  <si>
    <t>Founder and Chief Executive Officer</t>
  </si>
  <si>
    <t>The company raised $2.91 million of Pre-Series A venture funding in a deal led by Baidu Ventures on December 6, 2018, putting the company's pre-money valuation at $14.52 million. Panda Capital Asia, Zhi Neng Dian Wang Venture Capital and Beichang Investment also participated in the round. The funds will be used for product development and marketing.</t>
  </si>
  <si>
    <t>Baidu Ventures, Beichang Investment, Panda Capital Asia, Zhi Neng Dian Wang Venture Capital</t>
  </si>
  <si>
    <t>Baidu Ventures(www.bv.ai), Panda Capital Asia(www.pandavcfund.com)</t>
  </si>
  <si>
    <t>100373-05</t>
  </si>
  <si>
    <t>Robin Systems</t>
  </si>
  <si>
    <t>Robin</t>
  </si>
  <si>
    <t>Developer of an application virtualization platform designed to provide data infrastructure and management services. The company's hyper-converged Kubernetes based platform offers a data-centric storage platform that helps enterprises accelerate, consolidate and simplify their modern data applications; improves the performance for distributed applications as well as eliminates data duplication, enabling IT professionals to share data across applications and clusters, accelerate time to market and maximize ROI.</t>
  </si>
  <si>
    <t>application virtualization platform, data infrastructure, data-centric infrastructure software, data-centric platform, kubernetes computing</t>
  </si>
  <si>
    <t>www.robin.io</t>
  </si>
  <si>
    <t>2014: 19, 2016: 45</t>
  </si>
  <si>
    <t>113593-60P</t>
  </si>
  <si>
    <t>Premal Buch</t>
  </si>
  <si>
    <t>premal@robinsystems.com</t>
  </si>
  <si>
    <t>+1 (408) 216-0769</t>
  </si>
  <si>
    <t>95110-3718</t>
  </si>
  <si>
    <t>info@robinsystems.com</t>
  </si>
  <si>
    <t>The company raised $17 million of Series B venture funding in a deal led by USAA Ventures on August 21, 2018, putting the company's pre-money valuation at $68 million. The company raised a total of $69.3 to date. Hasso Plattner Ventures, Clear Ventures, and DN Capital also participated in the round. The company plans to use the funds to promote their Hyper-converged Kubernetes platform to further simplify application deployment and lifecycle management for DevOps and IT.</t>
  </si>
  <si>
    <t>Ashu Garg, Cambrian Ventures, Clear Ventures, CloudScale Capital Partners, Dave Stevens, DN Capital, Farooq Abbasi, Floodgate Fund, Foundation Capital, Fred van den Bosch, Hasso Plattner Ventures, Milliways Ventures, Raj Sandhu, Steve Schlenker, USAA Ventures</t>
  </si>
  <si>
    <t>Cambrian Ventures(www.cambrianventures.com), Clear Ventures(www.clear.ventures), CloudScale Capital Partners(www.cloudscalecapital.com), DN Capital(www.dncapital.com), Floodgate Fund(www.floodgate.com), Foundation Capital(www.foundationcapital.com), Hasso Plattner Ventures(www.hp-ventures.com), Milliways Ventures(www.milliwaysventures.com)</t>
  </si>
  <si>
    <t>O'Melveny &amp; Myers(Legal Advisor), Pillsbury Winthrop Shaw Pittman(Legal Advisor)</t>
  </si>
  <si>
    <t>64707-58</t>
  </si>
  <si>
    <t>Robin (Social/Platform Software)</t>
  </si>
  <si>
    <t>Condeco, Teem, Crestron Electronics</t>
  </si>
  <si>
    <t>Developer of a conference room scheduling software designed to book conference rooms, meeting spaces, desk hosteling and other resources. The company's software provides office scheduling engine to coordinate with people, spaces and other things in your office, enabling users to find and book rooms based on the stuff they need, remove no-show meetings automatically and get reports on how the office is actually being used.</t>
  </si>
  <si>
    <t>conference books, connectivity platform, desktop hoteling, meeting rooms books, rooms scheduling software</t>
  </si>
  <si>
    <t>www.robinpowered.com</t>
  </si>
  <si>
    <t>2017: 30, 2019: 150</t>
  </si>
  <si>
    <t>72008-56P</t>
  </si>
  <si>
    <t>Samuel Dunn</t>
  </si>
  <si>
    <t>sam@robinpowered.com</t>
  </si>
  <si>
    <t>+1 (617) 910-0454</t>
  </si>
  <si>
    <t>11 Farnsworth Street</t>
  </si>
  <si>
    <t>hello@robinpowered.com</t>
  </si>
  <si>
    <t>The company raised $18 million of Series B venture funding in a deal led by Tola Capital on April 5, 2019, putting the company's pre-money valuation at $57 million. Allegion Ventures, Accomplice VC and FirstMark Capital also participated in the round. The company intends to use the funds to continue to expand operations.</t>
  </si>
  <si>
    <t>Accomplice VC, Allegion Ventures, Atlas Venture, Autodesk Ventures, Boldstart Ventures, Brennan White, Deep Fork Capital, FirstMark Capital, FundFire, Herman Miller, Konica Minolta, Matt Peters, Monta Vista Capital, Space Pirates, Tola Capital, Tony Kriesel, Trani Capital, Walter Danco</t>
  </si>
  <si>
    <t>Accomplice VC(www.accomplice.co), Allegion Ventures(www.AllegionVentures.com), Atlas Venture(www.atlasventure.com), Autodesk Ventures(www3.autodesk.com/ventures), Boldstart Ventures(www.boldstart.vc), Deep Fork Capital(www.deepforkcapital.com), FirstMark Capital(www.firstmarkcap.com), Herman Miller(www.hermanmiller.com), Konica Minolta(konicaminolta.com), Monta Vista Capital(www.montavc.com), Space Pirates(www.teamspacepirates.com), Tola Capital(www.tolacapital.com)</t>
  </si>
  <si>
    <t>Gennari Aronson(Legal Advisor), Square 1 Bank(General Business Banking)</t>
  </si>
  <si>
    <t>161431-03</t>
  </si>
  <si>
    <t>Roam Robotics</t>
  </si>
  <si>
    <t>Reha Technology</t>
  </si>
  <si>
    <t>Developer of fabric orthotic devices designed to help humans do more in their everyday life by overcoming the physical limits imposed by their bodies. The company's devices are integrated with soft robotic technologies and orthotic exoskeleton, enabling patients to remove their physical barriers like orthopedic diseases and enjoy any everyday activity.</t>
  </si>
  <si>
    <t>Other Devices and Supplies, Other Healthcare Technology Systems*</t>
  </si>
  <si>
    <t>exoskeleton, orthopedic disease, orthotics device, orthotics technology</t>
  </si>
  <si>
    <t>www.roamrobotics.com</t>
  </si>
  <si>
    <t>138387-07P</t>
  </si>
  <si>
    <t>Tim Swift</t>
  </si>
  <si>
    <t>tim@roamrobotics.com</t>
  </si>
  <si>
    <t>701 Alabama Street</t>
  </si>
  <si>
    <t>info@roamrobotics.com</t>
  </si>
  <si>
    <t>The company raised $12 million of Series A venture funding in a deal led by Yamaha Motor Ventures &amp; Laboratory Silicon Valley on November 29, 2018, putting the company's pre-money valuation at $20.99 million. Valor Equity Partners, Spero Ventures, Menlo Ventures, R7 Partners, Heuristic Capital Partners, Boost VC and Venture Investment Associates also participated in the round.</t>
  </si>
  <si>
    <t>Boost VC, Heuristic Capital Partners, Menlo Ventures, R7 Partners, Spero Ventures, Valor Equity Partners, Venture Investment Associates, Yamaha Motor Ventures &amp; Laboratory Silicon Valley</t>
  </si>
  <si>
    <t>Boost VC(www.boost.vc), Heuristic Capital Partners(www.heuristiccapital.com), Menlo Ventures(www.menlovc.com), R7 Partners(www.r7partners.com), Spero Ventures(www.spero.vc), Valor Equity Partners(www.valorep.com), Venture Investment Associates(www.viafunds.com), Yamaha Motor Ventures &amp; Laboratory Silicon Valley(www.ymvsv.com)</t>
  </si>
  <si>
    <t>107512-75</t>
  </si>
  <si>
    <t>Roadie</t>
  </si>
  <si>
    <t>Pony Zero, AnyVan, Dynamic Parcel Distribution, WumDrop, Deliv</t>
  </si>
  <si>
    <t>Developer of on-the-way delivery platform intended to facilitate urgent delivery. The company's platform offers efficient and scalable same day delivery services nationwide by connecting people with items to send with drivers heading to their parcel destination's direction, enabling businesses and individuals to send last-minute parcels nationwide in a faster and inexpensive manner.</t>
  </si>
  <si>
    <t>door-to-door delivery, door-to-door delivery service, last minute parcel delivery, same day delivery platform, urgent parcel delivery</t>
  </si>
  <si>
    <t>www.roadie.com</t>
  </si>
  <si>
    <t>2019: 60</t>
  </si>
  <si>
    <t>39767-23P</t>
  </si>
  <si>
    <t>Marc Gorlin</t>
  </si>
  <si>
    <t>marc@roadie.com</t>
  </si>
  <si>
    <t>+1 (844) 476-2343</t>
  </si>
  <si>
    <t>3565 Piedmont Road, Northeast</t>
  </si>
  <si>
    <t>The company raised $13 million of Series C1 venture funding from The Home Depot, TomorrowVentures and Warren Stephens on February 25, 2019, putting the company's pre-money valuation at $220 million. Other undisclosed investors also participated in the round. The funds will be used to continue innovating the company's dynamic routing and pricing models as well as expand its use of machine learning to predict capacity and match deliveries to its community of drivers.</t>
  </si>
  <si>
    <t>Alan Schwartz, Christopher Bridges, David Bonderman, H. Barton Asset Management, Mellon Serbia, QuarterMoore, SOSV, The Home Depot, Thomas Noonan, TomorrowVentures, UPS Strategic Enterprise Fund, Warren Stephens</t>
  </si>
  <si>
    <t>H. Barton Asset Management(bartonam.com), Mellon Serbia(mellongroup.com), QuarterMoore(www.quartermoore.com), SOSV(www.sosv.com), The Home Depot(www.homedepot.com), TomorrowVentures(www.tomorrowvc.com)</t>
  </si>
  <si>
    <t>DLA Piper(Legal Advisor), Montgomery &amp; Company(Advisor: General)</t>
  </si>
  <si>
    <t>55092-61</t>
  </si>
  <si>
    <t>RiverMeadow</t>
  </si>
  <si>
    <t>Cloudamize, RightScale, Cascadeo, Racemi</t>
  </si>
  <si>
    <t>Provider of cloud migration services designed to help in analyzing potential cloud destinations. The company's cloud migration services make it eligible to move and convert the application stack and deploy into the selected target cloud, enabling clients to protect and secure assets, handle storage and data requirements as well as operate and optimize in a cost-effective way.</t>
  </si>
  <si>
    <t>Storage (IT)</t>
  </si>
  <si>
    <t>Automation/Workflow Software, Network Management Software, Storage (IT)*</t>
  </si>
  <si>
    <t>cloud migration, cloud migration service, it services, target cloud</t>
  </si>
  <si>
    <t>www.rivermeadow.com</t>
  </si>
  <si>
    <t>2012: 35, 2014: 200, 2016: 56</t>
  </si>
  <si>
    <t>43052-50P</t>
  </si>
  <si>
    <t>Jim Jordan</t>
  </si>
  <si>
    <t>jim@rivermeadow.com</t>
  </si>
  <si>
    <t>+1 (408) 217-6498</t>
  </si>
  <si>
    <t>2107 North 1st Street</t>
  </si>
  <si>
    <t>Suite 660</t>
  </si>
  <si>
    <t>+1 (978) 923-8673</t>
  </si>
  <si>
    <t>The company raised $1.5 million of convertible debt financing from undisclosed investors on July 12, 2016. Previously, the company raised $7.9 million of Series AA venture funding from Open Field Capital and other undisclosed investors on January 20, 2016, putting the company's pre-money valuation at $6.23 million.</t>
  </si>
  <si>
    <t>Applied Venture Capital, Cisco Investments, James Pallotta, Mark Rosenblatt, Open Field Capital, Raptor Group, Violin Systems</t>
  </si>
  <si>
    <t>Cisco Investments(www.ciscoinvestments.com), Open Field Capital(www.ofcap.com), Raptor Group(www.raptorgroup.com), Violin Systems(www.violinsystems.com)</t>
  </si>
  <si>
    <t>Carr &amp; Ferrell(Legal Advisor), Venture Consultants(Valuation/Appraiser)</t>
  </si>
  <si>
    <t>Carr &amp; Ferrell(Legal Advisor)</t>
  </si>
  <si>
    <t>122139-19</t>
  </si>
  <si>
    <t>RiskSense</t>
  </si>
  <si>
    <t>CAaNES</t>
  </si>
  <si>
    <t>Saviynt, Bay Dynamics, Elevate Security, CloudPassage, Panaseer, Cybereason, Phantom Cyber, DEVCON (Ad Tech Security), AlgoSec, ForgeRock, YesWeHack, RedSeal, E8 Security, Cobalt, Kenna Security, Bugcrowd, ProtectWise, Niara, Skyhigh Networks, NetSPI, Endgame, RiskIQ, LogRhythm, HackerOne, GuardiCore, RedOwl Analytics, Tenable, Exabeam, Security Innovation, Cylance, Illumio, Lumeta, Rapid7, M&amp;S Technologies (Network Management Software), BeyondTrust Software (Acquired), CrowdStrike, Skybox Security, Securonix, BeyondTrust Software, Rubica, Tufin, Cloudyn Software, Carbon Black, Morphisec, Secunia, Outpost24, Splunk, FireMon, BitDefender, ControlScan, HyperScience, LightCyber, Vulcan Cyber, GuruCul, Qualys, Sumo Logic, NopSec, BMC Software, Mandiant, Catbird Networks, Avecto, Synack, AttackIQ, Damballa, Brinqa</t>
  </si>
  <si>
    <t>Developer of vulnerability management and prioritization platform designed to measure and control cybersecurity risk. The company's cloud-based platform uses a foundation of risk-based scoring, analytics, and technology-accelerated pen testing to identify critical security weaknesses with corresponding remediation action plans, enabling users to dramatically improve security and IT team efficiency and effectiveness.</t>
  </si>
  <si>
    <t>cyber risk management platform, cyber security software, digital forensic, orchestrate remediation, pro-active cyber risk management, risk analytics software, security software, threat and vulnerability, vulnerability management software</t>
  </si>
  <si>
    <t>www.risksense.com</t>
  </si>
  <si>
    <t>2015: 34, 2016: 54, 2017: 100, 2018: 101, 2019: 110</t>
  </si>
  <si>
    <t>110342-08P</t>
  </si>
  <si>
    <t>Srinivas Mukkamala</t>
  </si>
  <si>
    <t>srinivas.mukkamala@risksense.com</t>
  </si>
  <si>
    <t>+1 (505) 217-9422</t>
  </si>
  <si>
    <t>1230 Midas Way</t>
  </si>
  <si>
    <t>info@risksense.com</t>
  </si>
  <si>
    <t>The company raised $12 million of Series B venture funding co-led by Spring Mountain Capital and NightDragon Security on August 7, 2018. UL Ventures, Paladin Capital Group, Sun Mountain Capital, EPIC Ventures and Jump Capital also participated in it. The funds will be used to accelerate growth through sales, marketing and research &amp; development investments.</t>
  </si>
  <si>
    <t>CenturyLink, EPIC Ventures, Jump Capital, Lakewood &amp; Company, NightDragon Security, Paladin Capital Group, Spring Mountain Capital, Sun Mountain Capital, UL Ventures</t>
  </si>
  <si>
    <t>CenturyLink(www.centurylink.com), EPIC Ventures(www.epicvc.com), Jump Capital(www.jumpcap.com), Lakewood &amp; Company(www.lakewoodcompany.com), NightDragon Security(www.nightdragon.com), Paladin Capital Group(www.paladincapgroup.com), Spring Mountain Capital(www.springmountaincapital.com), Sun Mountain Capital(www.sunmountaincapital.com)</t>
  </si>
  <si>
    <t>Fenwick &amp; West(Legal Advisor), Silicon Valley Bank(Debt Financing)</t>
  </si>
  <si>
    <t>56502-19</t>
  </si>
  <si>
    <t>Ripple</t>
  </si>
  <si>
    <t>OpenCoin</t>
  </si>
  <si>
    <t>BitPay, Bitcoin Project, Stellar, Chain, Stripe, Bitstamp, Coinbase, Blockchain, BillingTree, Digital Asset, Kraken, Symbiont, Axoni, Blockstream, BitPesa, Simplex (Israel), Litecoin, BitFury, Coinify, itBit, e-BIT (Financial Services), ZCash, Ethereum, Zelle</t>
  </si>
  <si>
    <t>Developer of global financial settlement services designed for banks to transact directly, instantly and with a certainty of settlement. The company offers Ripple Protocol, an open source payment system using a math-based virtual currency called ripples that helps in free payments to merchants, consumers and developers, enabling customers to pay in any currency with no chargebacks and instant global payments options.</t>
  </si>
  <si>
    <t>Financial Software*, Other Financial Services, Vertical Market Software</t>
  </si>
  <si>
    <t>Cryptocurrency/Blockchain, FinTech, SaaS, TMT</t>
  </si>
  <si>
    <t>blockchain, blockchain technology, instant global payment, online virtual currency, open sourcing payment, payment network, virtual currency</t>
  </si>
  <si>
    <t>www.ripple.com</t>
  </si>
  <si>
    <t>2017: 155, 2018: 300</t>
  </si>
  <si>
    <t>38663-92P</t>
  </si>
  <si>
    <t>Ron Will</t>
  </si>
  <si>
    <t>rwill@ripple.com</t>
  </si>
  <si>
    <t>315 Montgomery Street</t>
  </si>
  <si>
    <t>info@ripple.com</t>
  </si>
  <si>
    <t>Proioxis Ventures sold its stake in the company to an undisclosed buyer. Previously, the company raised venture funding from MicroVentures,Growth Technology Partners and SharesPost on an undisclosed date.</t>
  </si>
  <si>
    <t>2020 Ventures, Abstract Ventures, Accenture Ventures, AME Cloud Ventures, Andreessen Horowitz, Blockchain Capital, Camp One Ventures, Celtic Media Group, China Growth Capital, ChinaRock Capital Management, CME Ventures, Core Innovation Capital, Digital Currency Group, Digital Ventures (Bangkok), Ed Roman, Explorer Equity Group, Founders Fund, Growth Technology Partners, GV, Hack VC, Hard Yaka, Hemisphere Ventures, Hinge Capital, IDG Capital, Kaplan Group Investments, Lightspeed Venture Partners, MicroVentures, NKM Capital, Pantera Capital, Ramesh Haridas, Rosemoor Capital, Route 66 Ventures, RRE Ventures, Samuel Lessin, Santander InnoVentures, SBI Holdings, SC Ventures, Seagate Venture Fund, SharesPost, The K Fund, ThirdStream Partners, Tower Equity, Vast Ventures, Vikas Taneja, Wicklow Capital</t>
  </si>
  <si>
    <t>Proioxis Ventures</t>
  </si>
  <si>
    <t>2020 Ventures(www.2020.co), Abstract Ventures(www.abstractvc.com), AME Cloud Ventures(www.amecloudventures.com), Andreessen Horowitz(www.a16z.com), Blockchain Capital(www.blockchaincapital.com), Camp One Ventures(www.camponeventures.com), Celtic Media Group(www.celticmediagroup.ie), China Growth Capital(www.chinagrowthcapital.com), ChinaRock Capital Management(www.crcm.com), Core Innovation Capital(www.corevc.com), Digital Currency Group(www.dcg.co), Digital Ventures (Bangkok)(www.dv.co.th), Explorer Equity Group(www.explorerequity.com), Founders Fund(www.foundersfund.com), Growth Technology Partners(www.growthtechnologypartners.com), GV(www.gv.com), Hack VC(www.hack-vc.com), Hard Yaka(www.hardyaka.com), Hemisphere Ventures(www.hemisphere.com), Hinge Capital(www.hingecapital.com), IDG Capital(en.idgcapital.com), Kaplan Group Investments(www.kginvest.net), Lightspeed Venture Partners(www.lsvp.com), MicroVentures(www.microventures.com), NKM Capital(www.nkmcap.com), Pantera Capital(www.panteracapital.com), Rosemoor Capital(www.rosemoorcapital.com), Route 66 Ventures(www.route66ventures.com), RRE Ventures(www.rre.com), Samuel Lessin(www.wlessin.com), Santander InnoVentures(www.santanderinnoventures.com), SBI Holdings(www.sbigroup.co.jp), SharesPost(www.sharespost.com), The K Fund(www.thekfund.com), ThirdStream Partners(www.thirdstreampartners.com), Tower Equity(towerequity.com), Vast Ventures(www.vastvc.com)</t>
  </si>
  <si>
    <t>Proioxis Ventures(www.proioxisventures.com)</t>
  </si>
  <si>
    <t>Avant Global(Advisor: General), Bussmann Advisory(Consulting), DeWinter Group(Consulting), Gunderson Dettmer(Legal Advisor), Kindred Partners(Consulting), Tusk Ventures(Consulting)</t>
  </si>
  <si>
    <t>Avant Global(Advisor: General), Gunderson Dettmer(Legal Advisor), Perkins Coie(Legal Advisor), Tusk Ventures(Consulting)</t>
  </si>
  <si>
    <t>178948-99</t>
  </si>
  <si>
    <t>Ripcord</t>
  </si>
  <si>
    <t>Moffett Data</t>
  </si>
  <si>
    <t>Ripcord Digital</t>
  </si>
  <si>
    <t>Colligo, Alfresco Software, Workiva, KnowledgeLake, Metalogix Software, MetaVis Technologies, Kofax, AvePoint, Gimmal, SourceCode Technology Holdings, SkyKick, Collabware, harmon.ie, IOra, Quest Software (Michigan), Square 9 Softworks, Iron Mountain</t>
  </si>
  <si>
    <t>Provider of robotic digitization services intended to scan records and make them accessible on a cloud platform. The company's services use an immutable chain of custody ledger and batch migration tool, enabling users to search, share and connect records to other enterprise applications like SAP, Oracle and NetSuite easily.</t>
  </si>
  <si>
    <t>digitization, digitization of paper flow, digitization platform, dms, ecm, electronic content management, erp, erp based software, information management, managed printing services, records and information management, records and information management service, records and information management solutions, records management, regtech vertical, robotics digitization, robotics digitization platform</t>
  </si>
  <si>
    <t>www.ripcord.com</t>
  </si>
  <si>
    <t>2017: 100</t>
  </si>
  <si>
    <t>35711-20P</t>
  </si>
  <si>
    <t>Alex Fielding</t>
  </si>
  <si>
    <t>Co-Founder, Board Member &amp; Co-Chief Product Officer</t>
  </si>
  <si>
    <t>af@moffettdata.com</t>
  </si>
  <si>
    <t>+1 (855) 451-1053</t>
  </si>
  <si>
    <t>Hayward, CA</t>
  </si>
  <si>
    <t>3564 Investment Boulvard</t>
  </si>
  <si>
    <t>Hayward</t>
  </si>
  <si>
    <t>94545</t>
  </si>
  <si>
    <t>info@ripcord.com</t>
  </si>
  <si>
    <t>The company raised $25 million of Series B1 venture funding in a deal led by GV on December 20, 2017, putting the company's pre-money valuation at $145 million. Telstra Ventures, Baidu Ventures, Ascolta Ventures, Hone Capital, Hemisphere Ventures, Kleiner Perkins, Lux Capital, Icon Ventures and Silicon Valley Bank also participated in the round. The funds will be used to increase digitization capacity, develop seamless enterprise migration tools and support new features like RipcordSync and RecordChain. Ascolta Ventures also participated in this round. Earlier, the company raised $40 million of Debt and Series B venture funding through a combination of debt and equity on August 17, 2017, putting the company's pre-money valuation at $65 million. Equity portion of Series B was led by Icon Ventures with participation from Kleiner Perkins, Lux Capital, Tyche Partners, and Silicon Valley Bank. A $15 million of debt was provided by undisclosed investors.Prior to that, the company raised $9.5 million of Series A venture funding in a deal led by Kleiner Perkins on March 23, 2017, putting the company's pre-money valuation at $17.81 million. Legend Star, Comet Labs, Lux Capital, Bruce Scott, Chris Kemp, Jon Callas and Stephen Wozniak also participated in the round. Of the total amount, $2.4 million was raised via convertible debt.</t>
  </si>
  <si>
    <t>Ascolta Ventures, Baidu Ventures, Bruce Scott, Chris Kemp, Comet Labs, GV, Hemisphere Ventures, Hone Capital, Icon Ventures, Jon Callas, Kleiner Perkins, Legend Star, Lux Capital, Silicon Valley Bank, Steve Wozniak, Telstra Ventures, Tyche Partners</t>
  </si>
  <si>
    <t>Ascolta Ventures(www.ascoltavc.com), Baidu Ventures(www.bv.ai), Comet Labs(www.cometlabs.io), GV(www.gv.com), Hemisphere Ventures(www.hemisphere.com), Hone Capital(www.honecap.com), Icon Ventures(www.iconventures.com), Kleiner Perkins(www.kleinerperkins.com), Legend Star(www.legendstar.com.cn), Lux Capital(www.luxcapital.com), Silicon Valley Bank(www.svb.com), Telstra Ventures(www.telstraventures.com), Tyche Partners(www.tychepartners.com)</t>
  </si>
  <si>
    <t>87814-90</t>
  </si>
  <si>
    <t>Rinse</t>
  </si>
  <si>
    <t>DRYV, PickMyLaundry, Wash.io, FlyCleaners, Pressbox, Cleanio Services, Laundrapp, Cleanly, ZipJet, Wash Cycle Laundry</t>
  </si>
  <si>
    <t>Provider of dry cleaning and laundry delivery services designed to offer high quality clothing care. The company's dry cleaning and laundry delivery services provides garment care including dry cleaning, launder and press, wash and fold, hang dry, repairs, leather cleaning and clothing donations, through smart scheduling technology, enabling users to get standardized dry cleaning and laundry experience right to their door on a predictable, route-based schedule.</t>
  </si>
  <si>
    <t>Application Software, Other Services (B2C Non-Financial)*</t>
  </si>
  <si>
    <t>clothing donation, drying cleaning, laundry, laundry delivery, leather cleaning</t>
  </si>
  <si>
    <t>www.rinse.com</t>
  </si>
  <si>
    <t>2014: 22, 2015: 29</t>
  </si>
  <si>
    <t>87104-44P</t>
  </si>
  <si>
    <t>Ajay Prakash</t>
  </si>
  <si>
    <t>ajay@rinse.com</t>
  </si>
  <si>
    <t>+1 (888) 850-2444</t>
  </si>
  <si>
    <t>438 Treat Avenue</t>
  </si>
  <si>
    <t>help@rinse.com</t>
  </si>
  <si>
    <t>The company raised $14 million of Series B venture funding in a deal led by Partech Partners on June 21, 2017, putting the company's pre-money valuation at $28 million. Structure Capital, Accelerator Ventures, Arena Ventures, Javelin Venture Partners, Alumni Ventures Group, The Yard Ventures, Hemisphere Ventures, CSC UpShot Ventures and Team in Residence also participated in the round. The funding will be used to fuel expansion to several new markets, including Chicago, Boston, Houston, Dallas, Austin, Seattle, Miami, San Diego, Denver and New York.</t>
  </si>
  <si>
    <t>Accelerator Ventures, Alumni Ventures Group, Arena Ventures, Aslanoba Capital, Base Ventures, CAA Ventures, CSC UpShot Ventures, Expansion Venture Capital, ff Venture Capital, Great Oaks Venture Capital, Green D Ventures, Hasan Aslanoba, Hemisphere Ventures, J.D. Fagan, Jared Kopf, Jared Luxenberg, Javelin Venture Partners, Jeff Enquist, Joshua Langsam, Lance White, Lisa Sweeney, Llana Stern, Matt Wilsey, MD Pham, Mesa Ventures, Musha Ventures, Oliver Nordlinger, Otter Rock Capital, Partech Partners, Paul Janzer, Peter Livingston, Richard Wolpert, Rothenberg Ventures, Ryan Melohn, Saad AlSogair, Sorush Abboud, Structure Capital, Team in Residence, The Yard Ventures, Will Bressman</t>
  </si>
  <si>
    <t>Accelerator Ventures(www.acceleratorventures.com), Alumni Ventures Group(www.avgfunds.com), Arena Ventures(www.arenavc.com), Aslanoba Capital(www.aslanobacapital.com), Base Ventures(www.base.ventures), CAA Ventures(ventures.caa.com), CSC UpShot Ventures(www.csc-upshot.vc), Expansion Venture Capital(www.expansionvc.com), ff Venture Capital(www.ffvc.com), Great Oaks Venture Capital(www.greatoaksvc.com), Green D Ventures(www.greendventures.com), Hasan Aslanoba(vt.webrazzi.com/kisi/hasan-aslanoba), Hemisphere Ventures(www.hemisphere.com), Javelin Venture Partners(www.javelinvp.com), Mesa Ventures(www.mesa.vc), Musha Ventures(www.mushaventures.com), Otter Rock Capital(www.otterrockcapital.com), Partech Partners(www.partechpartners.com), Rothenberg Ventures(www.rothenbergventures.com), Saad AlSogair(www.DrSogair.com), Structure Capital(www.structure.vc), Team in Residence(www.teaminresidence.com), The Yard Ventures(www.theyardventures.com)</t>
  </si>
  <si>
    <t>58906-81</t>
  </si>
  <si>
    <t>Ringly</t>
  </si>
  <si>
    <t>Cuff</t>
  </si>
  <si>
    <t>Developer of an innovative technology intended to offer smart jewelry. The company's innovative technology provides jewelry with embedded sensors that connect to a smartphone, notifying with lights and vibrations when a call or message comes in, enabling users to effortlessly stay connected to the things that matter most.</t>
  </si>
  <si>
    <t>Accessories, Application Software, Wireless Communications Equipment*</t>
  </si>
  <si>
    <t>Internet of Things, Mobile, TMT, Wearables &amp; Quantified Self</t>
  </si>
  <si>
    <t>connected accessory, fashion wearable, jewelry technology, smart jewelry, wearable technology</t>
  </si>
  <si>
    <t>www.ringly.com</t>
  </si>
  <si>
    <t>2014: 5, 2015: 12, 2016: 22</t>
  </si>
  <si>
    <t>69591-43P</t>
  </si>
  <si>
    <t>Christina d'Avignon</t>
  </si>
  <si>
    <t>christina@ringly.com</t>
  </si>
  <si>
    <t>+1 (646) 441-1580</t>
  </si>
  <si>
    <t>39 West 14 Street</t>
  </si>
  <si>
    <t>Room 202</t>
  </si>
  <si>
    <t>The company raised $5.1 million of Series A venture funding in a deal led by Andreessen Horowitz on January 21, 2015, putting the company's pre-money valuation at $14.54 million. Female Founders Fund, Grace Beauty Capital, Third Kind Venture Capital, Silas Capital, Graph Ventures, Hammerstone Capital, First Round Capital, Social Capital, Mesa Ventures, Brooklyn Bridge Ventures, William McClelland, Verizon Ventures and PCH International also participated in the round.</t>
  </si>
  <si>
    <t>Andreessen Horowitz, BBG Ventures, Brooklyn Bridge Ventures, Female Founders Fund, First Round Capital, Grace Beauty Capital, Graph Ventures, Hammerstone Capital, Highway1, Mesa Ventures, PCH, Silas Capital, Social Capital, Third Kind Venture Capital, Verizon Ventures, Wareness Studio, William McClelland</t>
  </si>
  <si>
    <t>Andreessen Horowitz(www.a16z.com), BBG Ventures(www.bbgventures.com), Brooklyn Bridge Ventures(www.brooklynbridge.vc), Female Founders Fund(www.femalefoundersfund.com), First Round Capital(www.firstround.com), Grace Beauty Capital(www.gracebeautycapital.com), Graph Ventures(www.graphventures.com), Hammerstone Capital(www.hammerstonecapital.com), Highway1(www.highway1.io), Mesa Ventures(www.mesa.vc), PCH(www.pchintl.com), Silas Capital(www.silascapital.com), Social Capital(www.socialcapital.com), Third Kind Venture Capital(www.3kvc.com), Verizon Ventures(www.verizonventures.com), Wareness Studio(www.wareness.io)</t>
  </si>
  <si>
    <t>179229-70</t>
  </si>
  <si>
    <t>Riivos</t>
  </si>
  <si>
    <t>Alight, Inc.</t>
  </si>
  <si>
    <t>Developer of a cloud-based value chain management platform intended intended to improve business outcome. The company's AI-based platform integrates disparate data and internal systems to predict performance by comparing graphs, cash flows and balance sheet, enabling enterprises to optimize their financial performance by analyzing financial ripple effects of business condition changes and management decisions.</t>
  </si>
  <si>
    <t>Business/Productivity Software*, Financial Software</t>
  </si>
  <si>
    <t>business forecast, cloud-based financial software, financial forecasting software, financial optimization, financial software, financial software system, value chain management service, value chain management software</t>
  </si>
  <si>
    <t>www.riivos.com</t>
  </si>
  <si>
    <t>117704-08P</t>
  </si>
  <si>
    <t>Michele McGovern</t>
  </si>
  <si>
    <t>mmcgovern@riivos.com</t>
  </si>
  <si>
    <t>+1 (800) 960-7717</t>
  </si>
  <si>
    <t>101 California Street</t>
  </si>
  <si>
    <t>15th Floor</t>
  </si>
  <si>
    <t>The company raised $5.20 million of venture funding in the form of convertible debt from undisclosed investors on January 24, 2019.</t>
  </si>
  <si>
    <t>Caterpillar Ventures, Steven Berger</t>
  </si>
  <si>
    <t>Chatham Financial(Consulting)</t>
  </si>
  <si>
    <t>186423-40</t>
  </si>
  <si>
    <t>Right Health (Clinics/Outpatient Services)</t>
  </si>
  <si>
    <t>Akira.md</t>
  </si>
  <si>
    <t>Akira</t>
  </si>
  <si>
    <t>Provider of an online clinic designed to give timely and technology-enabled private healthcare. The company's telemedicine technology and operations platform provides 24/7, French/English, cross-Canada coverage and can diagnose, prescribe, refer to a specialist and give medical advice through technologies like video medicines, chats, prescriptions and online medical records, enabling patients to speak directly to their doctors and get real answers to their health-related issues and questions.</t>
  </si>
  <si>
    <t>Clinics/Outpatient Services</t>
  </si>
  <si>
    <t>Application Software, Clinics/Outpatient Services*</t>
  </si>
  <si>
    <t>health application, online clinic, personal health record, private healthcare service, telemedicine, virtual care</t>
  </si>
  <si>
    <t>akirahealth.ca</t>
  </si>
  <si>
    <t>2018: 55</t>
  </si>
  <si>
    <t>170872-48P</t>
  </si>
  <si>
    <t>John Mozas</t>
  </si>
  <si>
    <t>Co-Founder &amp; Director</t>
  </si>
  <si>
    <t>john.mozas@iganpartners.com</t>
  </si>
  <si>
    <t>252 Adelaide</t>
  </si>
  <si>
    <t>Suite E</t>
  </si>
  <si>
    <t>M5A 1N1</t>
  </si>
  <si>
    <t>info@righthealth.ca</t>
  </si>
  <si>
    <t>The company raised $7 million of venture funding from TELUS Ventures and iGan Partners on March 31, 2017.</t>
  </si>
  <si>
    <t>GreenSky Capital, iGan Partners, TELUS Ventures</t>
  </si>
  <si>
    <t>GreenSky Capital(www.greenskycapital.com), iGan Partners(www.iganpartners.com), TELUS Ventures(ventures.telus.com)</t>
  </si>
  <si>
    <t>97946-29</t>
  </si>
  <si>
    <t>Riffyn</t>
  </si>
  <si>
    <t>Genedata, Labguru, Dassault Systèmes BIOVIA, IQS, Benchling, ID Business Solutions, Chemaxon, Softweb Solutions, DataOnline, Genialis, Iksanika, Sparta Systems, Arxspan, Sourcebits, BrainJocks, Arrow Digital, Intellectsoft, EtQ, Labfolder, Dotmatics, Optibrium</t>
  </si>
  <si>
    <t>Developer of a scientific development environment (SDE) platform designed to improve scientific process design and data analytics. The company's cloud-based platform automatically integrate heterogeneous scientific data in real time to feed machine-learning and AI, enabling scientists to continuously improve R&amp;D processes while seamlessly integrating associated experimental data.</t>
  </si>
  <si>
    <t>enterprise research management, integrated research, machine learning platform, process engineering, r&amp;d platform, r&amp;d software, sde software</t>
  </si>
  <si>
    <t>www.riffyn.com</t>
  </si>
  <si>
    <t>2016: 8, 2018: 30</t>
  </si>
  <si>
    <t>News (New) , Competitor (New) Arrow Digital, Competitor (New) BrainJocks, Competitor (New) Dotmatics, Competitor (New) Iksanika, Competitor (New) Intellectsoft, Competitor (New) Labfolder, Competitor (New) Optibrium, Competitor (New) Sourcebits</t>
  </si>
  <si>
    <t>52650-10P</t>
  </si>
  <si>
    <t>Timothy Gardner</t>
  </si>
  <si>
    <t>tgardner@riffyn.com</t>
  </si>
  <si>
    <t>+1 (510) 542-9696</t>
  </si>
  <si>
    <t>484 9th Street</t>
  </si>
  <si>
    <t>94607</t>
  </si>
  <si>
    <t>+1 (510) 543-0077</t>
  </si>
  <si>
    <t>hello@riffyn.com</t>
  </si>
  <si>
    <t>The company raised $15 million of Series B venture funding in a deal led by Merck Ventures on May 29, 2019, putting the company's pre-money valuation at $37.5 million. Waters, O'Reilly AlphaTech Ventures and Plug and Play Tech Center also participated in the round. The funds will be used to globally expand the company's sales and scientific services and to accelerate development of its process development and advanced data analytics technology.</t>
  </si>
  <si>
    <t>Andras Forgacs, Bioeconomy Capital, Merck Ventures, Next47, O'Reilly AlphaTech Ventures, Plug and Play Tech Center, Prado SV, Tyson Hendricksen, Una Ryan, Waters</t>
  </si>
  <si>
    <t>Bioeconomy Capital(www.bioeconomy.capital), Merck Ventures(www.m-ventures.com), Next47(Next47.com), O'Reilly AlphaTech Ventures(www.oatv.com), Plug and Play Tech Center(www.plugandplaytechcenter.com), Prado SV(www.pradosv.com), Waters(www.waters.com)</t>
  </si>
  <si>
    <t>Fenwick &amp; West(Legal Advisor), Western Technology Investment(Debt Financing)</t>
  </si>
  <si>
    <t>222016-42</t>
  </si>
  <si>
    <t>rideOS</t>
  </si>
  <si>
    <t>FiveAI, nuTonomy, Optimus Ride, Ottomatika, Nauto, Comma.Ai, Zoox, May Mobility, Drive.ai, AImotive, Cruise</t>
  </si>
  <si>
    <t>Developer of next generation cutting-edge transportation marketplace and mapping service created to help self-driving cars be routed to the correct destination. The company's auto plan mapping technology helps determine whether a self-driving vehicle can travel on a road section that a passenger requires and if the vehicle does not meet the requirements, a human pilot will be dispatched, enabling travel companies to easily develop and deploy autonomous vehicles.</t>
  </si>
  <si>
    <t>Automotive*, Other Hardware, Other Information Technology</t>
  </si>
  <si>
    <t>automobile mapping, autoplan mapping company, car mapping technology, human-operated fleet, mapping technology, on demand transportation services</t>
  </si>
  <si>
    <t>www.rideos.ai</t>
  </si>
  <si>
    <t>173948-41P</t>
  </si>
  <si>
    <t>Justin Ho</t>
  </si>
  <si>
    <t>justin@rideos.ai</t>
  </si>
  <si>
    <t>221 Main Street</t>
  </si>
  <si>
    <t>Suite 420</t>
  </si>
  <si>
    <t>contact@rideos.ai</t>
  </si>
  <si>
    <t>The company raised $25 million of Series B venture funding in a deal led by Next47 on August 2, 2018, putting the company's pre-money valuation at $160 million. ST Engineering Ventures and Sequoia Capital also participated in the round. The investment will be used to expand its services to global transportation markets. The Series B round brings the company's total funding to $34 million.</t>
  </si>
  <si>
    <t>Graph Ventures, Next47, Sequoia Capital, ST Engineering Ventures, SV Angel</t>
  </si>
  <si>
    <t>Graph Ventures(www.graphventures.com), Next47(Next47.com), Sequoia Capital(www.sequoiacap.com), SV Angel(www.svangel.com)</t>
  </si>
  <si>
    <t>102111-67</t>
  </si>
  <si>
    <t>Ridecell</t>
  </si>
  <si>
    <t>VuLog, Carlease.com, Cars Hare Ventures, Masternaut, Azuga, Getaround</t>
  </si>
  <si>
    <t>Provider of a ride sharing platform intended to empower new mobility operators to launch their own car sharing services. The company's platform helps car rental companies, cities, transit agencies, dealer groups and private fleets to launch, expand and maximize the utilization of their own ride sharing and car sharing services, enabling them to scale and grow their businesses.</t>
  </si>
  <si>
    <t>Automotive*, Business/Productivity Software, Other Services (B2C Non-Financial), Social/Platform Software</t>
  </si>
  <si>
    <t>Car-Sharing, Industrials, Ridesharing, TMT</t>
  </si>
  <si>
    <t>autonomous fleet management, car pooling platform, fleet management, ridesharing application, sharing services</t>
  </si>
  <si>
    <t>www.ridecell.com</t>
  </si>
  <si>
    <t>2017: 60, 2018: 120</t>
  </si>
  <si>
    <t>514 Bryant Street</t>
  </si>
  <si>
    <t>The company raised $60 million of Series B venture funding in a deal led by Cox Automotive and Activate Capital Partners on October 31, 2018, putting the company's pre-money valuation at $190 million. Denso, Penske Media, Deutsche Bahn Digital Ventures, Mitsui &amp; Co., Munich Re/HSB Ventures, Sony Innovation Fund, Ally Ventures, LG Technology Ventures, Hard Yaka, Khosla Ventures, Maniv Mobility, Initialized Capital Management, Andreessen Horowitz, Georgia Tech VentureLab and BNP Paribas also participated in the round. The deal will enable the company to continue the development of its mobility and operations platform.</t>
  </si>
  <si>
    <t>Activate Capital Partners, Ally Ventures, Andreessen Horowitz, BMW i Ventures, BNP Paribas, Cox Automotive, Denso, Deutsche Bahn Digital Ventures, Georgia Tech VentureLab, Gokul Rajaram, Hard Yaka, Initialized Capital Management, Khosla Ventures, LG Technology Ventures, Maniv Mobility, Mark Platshon, Michael Granoff, Mitsui &amp; Co., Munich Re/HSB Ventures, Navneet Dalal, Penske Media, Sony Innovation Fund, Steve Chen, Y Combinator</t>
  </si>
  <si>
    <t>Activate Capital Partners(www.activatecp.com), Andreessen Horowitz(www.a16z.com), BMW i Ventures(www.bmwiventures.com), BNP Paribas(www.group.bnpparibas), Cox Automotive(www.coxautoinc.com), Denso(www.denso.com), Deutsche Bahn Digital Ventures(www.deutschebahnventures.de), Georgia Tech VentureLab(www.venturelab.gatech.edu), Hard Yaka(www.hardyaka.com), Initialized Capital Management(www.initialized.com), Khosla Ventures(www.khoslaventures.com), Maniv Mobility(www.maniv.com), Mitsui &amp; Co.(www.mitsui.com), Penske Media(www.pmc.com), Sony Innovation Fund(www.sonyinnovationfund.com), Y Combinator(www.ycombinator.com)</t>
  </si>
  <si>
    <t>89692-03</t>
  </si>
  <si>
    <t>Richmedia</t>
  </si>
  <si>
    <t>Provider of media portal services intended to help organizations to support the bridge of affluence and business creation. The company's services include web creation and search engine optimization services that helps to strengthen their ability to enrich their future, enabling clients to enrich their customers and spread to a large number of audiences.</t>
  </si>
  <si>
    <t>media enrichment, media portal, optimization services, search engine optimization, web creation</t>
  </si>
  <si>
    <t>www.rich.co.jp</t>
  </si>
  <si>
    <t>2015: 88, 2017: 108</t>
  </si>
  <si>
    <t>90833-86P</t>
  </si>
  <si>
    <t>Kozo Sakamoto</t>
  </si>
  <si>
    <t>President Founder &amp; Chief Executive Officer</t>
  </si>
  <si>
    <t>sakamoto@rich.co.jp</t>
  </si>
  <si>
    <t>+81 (0)35 338 0238</t>
  </si>
  <si>
    <t>Sumitomo Real Estate Nishi-Shinjuku Building</t>
  </si>
  <si>
    <t>24F Nishi-Shinjuku 7-chome Shinjuku-ku</t>
  </si>
  <si>
    <t>+81 (0)33 364 8561</t>
  </si>
  <si>
    <t>info@rich.co.jp</t>
  </si>
  <si>
    <t>The company raised an undisclosed amount of venture funding from Recruit Strategic Partners, KDDI Ventures Program and Global Brain in June 2012. Japan Asia Investment, Mizuho Capital Partners and Mobile Internet Capital also participated in the round.</t>
  </si>
  <si>
    <t>Global Brain, Japan Asia Investment, KDDI Ventures Program, Mizuho Capital Partners, Mobile Internet Capital, Recruit Strategic Partners</t>
  </si>
  <si>
    <t>Global Brain(www.globalbrains.com), Japan Asia Investment(www.jaic-vc.co.jp), Mobile Internet Capital(www.mickk.com), Recruit Strategic Partners(recruitstrategicpartners.com)</t>
  </si>
  <si>
    <t>54393-13</t>
  </si>
  <si>
    <t>Rhythm Superfoods</t>
  </si>
  <si>
    <t>Daily Juice Foods</t>
  </si>
  <si>
    <t>Dang, ReGrained, GimMe Health Foods, Kishlay Foods</t>
  </si>
  <si>
    <t>Provider of crispy snacks designed to help users maintain their health. The company's snacks include Kale chips, broccoli bites, roasted kale and beet chips, enabling consumers to stay fit.</t>
  </si>
  <si>
    <t>Food Products*, Internet Retail, Specialty Retail</t>
  </si>
  <si>
    <t>gmo food, healthy food, online product, snacks, superfoods</t>
  </si>
  <si>
    <t>www.rhythmsuperfoods.com</t>
  </si>
  <si>
    <t>2015: 22, 2016: 25, 2017: 23</t>
  </si>
  <si>
    <t>44926-75P</t>
  </si>
  <si>
    <t>Scott Jensen</t>
  </si>
  <si>
    <t>sjensen@rhythmsuperfoods.com</t>
  </si>
  <si>
    <t>+1 (512) 441-5667</t>
  </si>
  <si>
    <t>PO Box 41345</t>
  </si>
  <si>
    <t>78704</t>
  </si>
  <si>
    <t>feedback@rhythmsuperfoods.com</t>
  </si>
  <si>
    <t>The company raised $6 million of Series D venture funding in a deal led by 301 via CircleUp Network on January 17, 2017. Blueberry Ventures and M13 also participated in the round. The company will use the funding to expand capacity, support sales, marketing initiatives and develop new products. Previously, the company raised $3.42 million of Series C venture funding in a deal led by 301 on January 13, 2016. CircleUp Network also participated in the round.</t>
  </si>
  <si>
    <t>301, Affinity link, Baylor Angel Network, Blueberry Ventures, Central Texas Angel Network, CircleUp Network, Concho Valley Angel Network, Houston Angel Network, Juice Investments, M13, Mayfield Fund</t>
  </si>
  <si>
    <t>301(www.301inc.com), Affinity link(www.affinitylink.net), Blueberry Ventures(www.blueberryventures.vc), Central Texas Angel Network(www.centraltexasangelnetwork.com), CircleUp Network(www.circleup.com), Concho Valley Angel Network(www.cvangel.angelgroups.net), Houston Angel Network(www.houstonangelnetwork.org), M13(www.m13.co), Mayfield Fund(www.mayfield.com)</t>
  </si>
  <si>
    <t>Bridgepoint Consulting(Consulting), The Giannuzzi Group(Legal Advisor)</t>
  </si>
  <si>
    <t>54825-58</t>
  </si>
  <si>
    <t>RFcamp</t>
  </si>
  <si>
    <t>Manufacturer and developer of radio frequency identification tags. The company manufactures radio frequency identification, stamped and etched antennas enabled metal-on tags for IT asset tracking and laundry and other industrial applications.</t>
  </si>
  <si>
    <t>Electronic Components*, Other Hardware, Other Information Technology</t>
  </si>
  <si>
    <t>Internet of Things, Manufacturing, TMT</t>
  </si>
  <si>
    <t>assets tracking, metal tags maker, radio frequency identification</t>
  </si>
  <si>
    <t>www.rfcamp.com</t>
  </si>
  <si>
    <t>116623-72P</t>
  </si>
  <si>
    <t>Jerry Ryu</t>
  </si>
  <si>
    <t>Founder, Chief Executive Officer &amp; President</t>
  </si>
  <si>
    <t>jerry_ryu@rfcamp.com</t>
  </si>
  <si>
    <t>+82 (0)2 593 8808</t>
  </si>
  <si>
    <t>Anyang, South Korea</t>
  </si>
  <si>
    <t>B806-1, 383 Simindaero</t>
  </si>
  <si>
    <t>Dongan</t>
  </si>
  <si>
    <t>Anyang</t>
  </si>
  <si>
    <t>431-804</t>
  </si>
  <si>
    <t>+82 (0)2 593 8804</t>
  </si>
  <si>
    <t>company@rfcamp.com</t>
  </si>
  <si>
    <t>125280-64</t>
  </si>
  <si>
    <t>RevUp</t>
  </si>
  <si>
    <t>Campain</t>
  </si>
  <si>
    <t>Wavebid, Foundant Technologies, HiMama, WealthEngine, Relationship Science, iWave Software</t>
  </si>
  <si>
    <t>Developer of data analytics software intended to improve fundraising. The company's software helps fundraisers, while working with existing software, to create new ways to identify, target and engage their networks, accelerating the fundraising efforts of academic, nonprofit and political organizations</t>
  </si>
  <si>
    <t>data analytics, funding hub, funding platform, funding service, fundraising, fundraising analytics, raise fund</t>
  </si>
  <si>
    <t>www.revup.com</t>
  </si>
  <si>
    <t>2015: 11, 2016: 15, 2017: 15, 2018: 22, 2019: 25</t>
  </si>
  <si>
    <t>117857-08P</t>
  </si>
  <si>
    <t>Steven Spinner</t>
  </si>
  <si>
    <t>sspinner@revup.com</t>
  </si>
  <si>
    <t>+1 (415) 640-7746</t>
  </si>
  <si>
    <t>+1 (415) 231-2315</t>
  </si>
  <si>
    <t>info@revup.com</t>
  </si>
  <si>
    <t>The company raised $7.5 million of Series A venture funding led by Spero Ventures on October 8, 2018. Salesforce Ventures, Reid Hoffman, Steve Luczo, Drew Perkins, Sean Parker, Harris Barton, Evan Goldberg, Alumni Ventures Group, Royal Street Ventures and Todd Park also participated in the round. The company will use the capital to aggressively expand RevUp's premiere leadership position in politics and to ensure nonprofit organizations and academic institutions close the gap in bringing the best-in-class data analytics to their development and fundraising efforts.</t>
  </si>
  <si>
    <t>270 Strategies, Alumni Ventures Group, Andrew Bleeker, Base Ventures, Bradley Crate, Bruce Nilson, Chris Kelly, Drew Perkins, Evan Goldberg, Greylock Partners, Harris Barton, Jeremy Bird, Joe Rospars, Joe Trippi, John Riccitiello, John Shallman, John Simms, John Yob, Jumpstart Ventures, Lily Sarafan, Max Schireson, Michael Beach, Omidyar Network, Reid Hoffman, Ronald Lott, Royal Street Ventures, RPM Ventures, Salesforce Ventures, Sean Parker, Spero Ventures, Steven Luczo, The Valley Fund, Todd Bradley, Vertical Strategies Consulting, WPP, WPP Luxembourg Gamma Three, Zac Moffat</t>
  </si>
  <si>
    <t>270 Strategies(www.270strategies.com), Alumni Ventures Group(www.avgfunds.com), Base Ventures(www.base.ventures), Greylock Partners(www.greylock.com), Jumpstart Ventures(www.jumpstart.vc), Omidyar Network(www.omidyar.com), Reid Hoffman(www.reidhoffman.org), Royal Street Ventures(www.royalstreet.vc), RPM Ventures(www.rpmvc.com), Spero Ventures(www.spero.vc), The Valley Fund(www.thevalleyfund.com), WPP(www.wpp.com)</t>
  </si>
  <si>
    <t>Covington &amp; Burling(Legal Advisor), Gunderson Dettmer(Legal Advisor), Silicon Valley Bank(General Business Banking), Wilson Sonsini Goodrich &amp; Rosati(Legal Advisor)</t>
  </si>
  <si>
    <t>Jones Day(Legal Advisor), Perkins Coie(Legal Advisor), Wilson Sonsini Goodrich &amp; Rosati(Legal Advisor)</t>
  </si>
  <si>
    <t>52920-01</t>
  </si>
  <si>
    <t>Revolution Foods</t>
  </si>
  <si>
    <t>Red Rabbit</t>
  </si>
  <si>
    <t>Provider of school meals and ready-to-eat meal kits intended to transform the way people eat. The company's kits offer snacks and provides vending machines in schools to serve breakfast, lunch and snacks, enabling schools and educational institutions to access healthy affordable meals.</t>
  </si>
  <si>
    <t>Beverages, Food Products*, Other Consumer Products and Services</t>
  </si>
  <si>
    <t>FoodTech, Impact Investing, Restaurant Technology, TMT</t>
  </si>
  <si>
    <t>impact investing vertical, meals delivery, nutrition education, ready-to-eat meals kits, school meals</t>
  </si>
  <si>
    <t>www.revolutionfoods.com</t>
  </si>
  <si>
    <t>2009: 125, 2012: 1000, 2016: 2000, 2017: 1000, 2019: 1200</t>
  </si>
  <si>
    <t>45294-40P</t>
  </si>
  <si>
    <t>Kristin Groos Richmond</t>
  </si>
  <si>
    <t>Co-Founder, Co-Chief Executive Officer, President &amp; Chairman</t>
  </si>
  <si>
    <t>krichmond@revfoods.com</t>
  </si>
  <si>
    <t>+1 (510) 596-9024</t>
  </si>
  <si>
    <t>8393 Capwell Drive</t>
  </si>
  <si>
    <t>94621</t>
  </si>
  <si>
    <t>+1 (510) 636-8592</t>
  </si>
  <si>
    <t>info@revolutionfoods.com</t>
  </si>
  <si>
    <t>The company raised $30.34 million of Series J venture funding from Revolution and other undisclosed investors on March 25, 2019. The proceeds will be used for general working capital purposes including the payment of payroll.</t>
  </si>
  <si>
    <t>Andy Donner, ARB, ATEL Capital Group, Catamount Ventures, Christina LaMontagne, Collaborative Fund, DBL Partners, Emerson Collective, Eric Quick, John Danner, NewSchools Venture Fund, NGEN Partners, Nuveen Investments, Oak Investment Partners, ORIX Growth Capital, PaoCapital, Patrick Fitzgerald, Physic Ventures, Revolution, Seth Miller, Tao Capital Partners, The TCW Group, The Westly Group, Tory Patterson, Tracy Barba, Unilever Ventures, William Rosenzweig</t>
  </si>
  <si>
    <t>ARB(www.arbcinc.com), ATEL Capital Group(www.atel.com), Catamount Ventures(www.catamountventures.com), Collaborative Fund(www.collaborativefund.com), DBL Partners(www.dblpartners.vc), Emerson Collective(www.emersoncollective.com), NewSchools Venture Fund(www.newschools.org), NGEN Partners(www.ngenpartners.com), Nuveen Investments(www.nuveen.com), Oak Investment Partners(www.oakinv.com), PaoCapital(www.paocapital.com), Physic Ventures(www.physicventures.com), Revolution(www.revolution.com), Tao Capital Partners(www.taocap.com), The TCW Group(www.tcw.com), The Westly Group(www.westlygroup.com), Unilever Ventures(www.unileverventures.com)</t>
  </si>
  <si>
    <t>Morrison &amp; Foerster(Legal Advisor), North Line Partners(Consulting), Wilson Sonsini Goodrich &amp; Rosati(Legal Advisor)</t>
  </si>
  <si>
    <t>Bridge Bank(Debt Financing), GCA Advisors(Advisor: General), Morrison &amp; Foerster(Legal Advisor), ORIX Growth Capital(Debt Financing), Wilson Sonsini Goodrich &amp; Rosati(Legal Advisor)</t>
  </si>
  <si>
    <t>Series J</t>
  </si>
  <si>
    <t>154450-18</t>
  </si>
  <si>
    <t>Revl (Camera)</t>
  </si>
  <si>
    <t>Oto Labs</t>
  </si>
  <si>
    <t>Revl</t>
  </si>
  <si>
    <t>Vidi, Polaroid, Panono, WASPcam, 360fly, Contour, Shred Video, Action Photo Systems, FOTAFLO, Snap Sportz, Swoopware, Thrill Pic, VShortcut</t>
  </si>
  <si>
    <t>Developer of a 4K smart action camera designed to automate video experience company. The company's smart action camera offers combines artificial intelligence, software, and hardware to make video extremely easy and instant, enabling consumers to share videos of their passions and adventures by making the experience incredibly easy.</t>
  </si>
  <si>
    <t>action camera, automated video solution, camera, consumer electronics, smart action camera, stabilized camera, stabilized camera system, video editing platform</t>
  </si>
  <si>
    <t>www.revl.com</t>
  </si>
  <si>
    <t>2016: 8, 2019: 13</t>
  </si>
  <si>
    <t>129124-81P</t>
  </si>
  <si>
    <t>Eric Curti</t>
  </si>
  <si>
    <t>eric@revl.com</t>
  </si>
  <si>
    <t>+1 (650) 516-7580</t>
  </si>
  <si>
    <t>230 9th Street</t>
  </si>
  <si>
    <t>contact@revl.com</t>
  </si>
  <si>
    <t>The company raised $5.96 million in a combination of Seed funding led by William Tai on December 7, 2017, putting the company's pre-money valuation at $11 million. Comcast Ventures, Y Combinator, Ruvento Ventures, Atevia, Frog Ventures, Elliot Richmond, James Lindenbaum, Frank Jarolímek-Proner, Luma Launch, Lars Rasmussen and other undisclosed investors also participated in the round. The funding will be used to accelerate production of its signature device, along with development of a companion iOS app. Previously, the company raised $22,081 of product crowdfunding via Comcast Ventures, Luma Launch, Bill Tai, Revento Ventures &amp; frogVentures on March 17, 2016.</t>
  </si>
  <si>
    <t>Bill Tai, Comcast Ventures, Elliot Richmond, Frank Jarolimek-Proner, frogVentures, Heavybit, James Lindenbaum, Kizoo Technology Ventures, Lars Rasmussen, Luma Launch, Ruvento Ventures, Y Combinator</t>
  </si>
  <si>
    <t>Bill Tai(www.about.me/BillTai), Comcast Ventures(www.comcastventures.com), frogVentures(www.frogdesign.com/platforms/frogventures.html), Heavybit(www.heavybit.com), Kizoo Technology Ventures(www.kizoo.com), Luma Launch(www.lumalaunch.com), Ruvento Ventures(www.ruvento.com), Y Combinator(www.ycombinator.com)</t>
  </si>
  <si>
    <t>162876-34</t>
  </si>
  <si>
    <t>Rever (Application Software)</t>
  </si>
  <si>
    <t>Developer of a mobile application designed to connect a global community of motorcycle enthusiasts. The company's application discovers the best places to ride, enabling motorcycle enthusiasts to record and track their rides and share their favorite roads and routes with other enthusiasts in the community easily.</t>
  </si>
  <si>
    <t>biker's platform, bikes rides community, bikes rides platform, rider's application</t>
  </si>
  <si>
    <t>www.rever.co</t>
  </si>
  <si>
    <t>140812-84P</t>
  </si>
  <si>
    <t>Mark Roebke</t>
  </si>
  <si>
    <t>Co-Founder, Chief Executive Officer, Board Member &amp; President</t>
  </si>
  <si>
    <t>mark@rever.co</t>
  </si>
  <si>
    <t>+1 (970) 390-6621</t>
  </si>
  <si>
    <t>Eagle, CO</t>
  </si>
  <si>
    <t>1099 Capitol Street</t>
  </si>
  <si>
    <t>Eagle</t>
  </si>
  <si>
    <t>81631</t>
  </si>
  <si>
    <t>The company raised $1.92 million of Seed 2 funding from undisclosed investors on May 15, 2018, putting the company's pre-money valuation at $4.5 million. Earlier, the company joined 500 Startups as part of the 22nd batch on August 9, 2017 and received an undisclosed amount in funding.</t>
  </si>
  <si>
    <t>500 Startups, BMW i Ventures</t>
  </si>
  <si>
    <t>500 Startups(www.500.co), BMW i Ventures(www.bmwiventures.com)</t>
  </si>
  <si>
    <t>179645-86</t>
  </si>
  <si>
    <t>Retina AI</t>
  </si>
  <si>
    <t>Provider of a business KPI monitoring service intended to offer business insights. The company's business KPI monitoring service uses artificial intelligence and various data sources to learn how users consumer insights and sends data via channels that get better engagement, enabling clients to access actionable insights on time and make data driven decisions.</t>
  </si>
  <si>
    <t>Business/Productivity Software, Other Commercial Services*</t>
  </si>
  <si>
    <t>business analytics, business insights, business intelligence, data warehousing, kpi monitoring</t>
  </si>
  <si>
    <t>www.retina.ai</t>
  </si>
  <si>
    <t>160902-37P</t>
  </si>
  <si>
    <t>Muhammad Hasan</t>
  </si>
  <si>
    <t>Chief Operating Officer &amp; Co-Founder</t>
  </si>
  <si>
    <t>204 Santa Monica Boulevard</t>
  </si>
  <si>
    <t>The company raised an estimated $2.5 million of seed funding from Crosscut Ventures, Stage Venture Partners and other undisclosed investors on September 15, 2017, putting the pre-money valuation at $7.5 million.</t>
  </si>
  <si>
    <t>Comcast Ventures, Crosscut Ventures, Luma Launch, Moonshots Capital, Stage Venture Partners</t>
  </si>
  <si>
    <t>Comcast Ventures(www.comcastventures.com), Crosscut Ventures(www.crosscut.vc), Luma Launch(www.lumalaunch.com), Moonshots Capital(www.moonshotscapital.com), Stage Venture Partners(www.stagevp.com)</t>
  </si>
  <si>
    <t>62065-63</t>
  </si>
  <si>
    <t>Resson</t>
  </si>
  <si>
    <t>Prospera Technologies, SeeTree, ZedX, Granular, Precision Planting, Enertia Software, Ceres Imaging, AGERpoint, Gamaya (Swiss), Taranis, IntelinAir, VineView SAI (Acquired by SkySquirrel), Climate FieldView, Prospera, J.R. Simplot Company, BP Chemicals (Hummingbird Technology), AgroScout</t>
  </si>
  <si>
    <t>Developer of drone applications designed to help farmers to optimize agricultural productivity. The company's applications combine the latest advancements in computer vision, machine learning and big data analytics to provide with actionable insights using field data, enabling farmers to make informed decisions and improve productivity from every acre of their farm.</t>
  </si>
  <si>
    <t>Business/Productivity Software*, Cultivation</t>
  </si>
  <si>
    <t>AgTech, Artificial Intelligence &amp; Machine Learning, Big Data, Robotics and Drones, TMT</t>
  </si>
  <si>
    <t>aerial surveillance systems, big data analytics, bioinformatics, drones imagery, drones technology, intuitive cloud-based platform, predictive analytics</t>
  </si>
  <si>
    <t>www.resson.com</t>
  </si>
  <si>
    <t>2013: 3, 2014: 4, 2015: 9, 2016: 30, 2017: 47, 2018: 52, 2019: 43</t>
  </si>
  <si>
    <t>64252-99P</t>
  </si>
  <si>
    <t>Peter Goggin</t>
  </si>
  <si>
    <t>Co-Founder &amp; Vice President, Operations</t>
  </si>
  <si>
    <t>peter@ressontech.com</t>
  </si>
  <si>
    <t>+1 (506) 206-7788</t>
  </si>
  <si>
    <t>Fredericton, Canada</t>
  </si>
  <si>
    <t>National Research Council Complex</t>
  </si>
  <si>
    <t>46 Dineen Drive</t>
  </si>
  <si>
    <t>Fredericton</t>
  </si>
  <si>
    <t>New Brunswick</t>
  </si>
  <si>
    <t>E3B 9W4</t>
  </si>
  <si>
    <t>info@ressontech.com</t>
  </si>
  <si>
    <t>The company raised $14 million of Series C venture funding in a deal led by Mahindra &amp; Mahindra on May 8, 2018. Monsanto Growth Ventures, McCain Foods, East Valley Ventures, New Brunswick Innovation Foundation, Build Ventures, Rho Canada Ventures and Business Development Bank of Canada also participated in the round. Earlier, the company raised $2.23 million of venture funding in a deal led by Rho Canada Ventures on July 14, 2017. Other undisclosed investors also participated in the round.</t>
  </si>
  <si>
    <t>Build Ventures, Business Development Bank of Canada, East Valley Ventures, Mahindra &amp; Mahindra, McCain Foods, Monsanto Growth Ventures, National Research Council Canada, New Brunswick Innovation Foundation, Planet Hatch, PropelICT, Rho Canada Ventures, The Pond-Deshpande Centre</t>
  </si>
  <si>
    <t>Build Ventures(www.buildventures.ca), Business Development Bank of Canada(www.bdc.ca), East Valley Ventures(www.eastvalleyventures.com), Mahindra &amp; Mahindra(www.mahindra.com), McCain Foods(www.mccain.com), National Research Council Canada(www.nrc-cnrc.gc.ca), New Brunswick Innovation Foundation(www.nbif.ca), Planet Hatch(planethatch.com), PropelICT(www.propelict.com), Rho Canada Ventures(www.rhocanada.com), The Pond-Deshpande Centre(www.ponddeshpande.ca)</t>
  </si>
  <si>
    <t>Bryan Cave(Legal Advisor), KPMG(Auditor), Royal Bank of Canada(General Business Banking)</t>
  </si>
  <si>
    <t>Osler, Hoskin &amp; Harcourt(Legal Advisor), Tripp Business Law(Legal Advisor)</t>
  </si>
  <si>
    <t>57649-24</t>
  </si>
  <si>
    <t>Resilinc</t>
  </si>
  <si>
    <t>GT Nexus, Browz, Aras, Centric Software, Omnify Software, Ivalua, HICX Solutions, SAP Ariba, Opus Global, Arena (Solutions), 10-4 Systems, BravoSolution, Sourcemap, Directworks, Riskmethods, FreightHub, Coupa, Taulia, Flexport</t>
  </si>
  <si>
    <t>Provider of a supply-chain management software designed to offer supply chain resiliency and risk management services. The company's supply-chain management software offers a software product that helps to identify and quantify potential supply-chain vulnerabilities by mapping actual manufacturing sites and providing early notification of disruptions close to supplier locations, enabling companies to access to advanced multi-tier mapping and part origin intelligence.</t>
  </si>
  <si>
    <t>Business/Productivity Software*, Vertical Market Software</t>
  </si>
  <si>
    <t>risk management software, supplier capacity management, supply chain management, supply chain resiliency, supply chain software</t>
  </si>
  <si>
    <t>www.resilinc.com</t>
  </si>
  <si>
    <t>2011: 4, 2015: 69, 2016: 131</t>
  </si>
  <si>
    <t>50965-84P</t>
  </si>
  <si>
    <t>Bindiya Vakil</t>
  </si>
  <si>
    <t>vakilbindiya@resilinc.com</t>
  </si>
  <si>
    <t>+1 (408) 883-8053</t>
  </si>
  <si>
    <t>Milpitas, CA</t>
  </si>
  <si>
    <t>890 Hillview Court</t>
  </si>
  <si>
    <t>Milpitas</t>
  </si>
  <si>
    <t>95035</t>
  </si>
  <si>
    <t>info@resilinc.com</t>
  </si>
  <si>
    <t>The company received $5 million of debt financing from Comerica Bank in April 2018. The debt package included $2 million in revolving credit line and $3 million senior debt. DLA Piper acted as a legal advisor to Comerica Bank in this transaction.</t>
  </si>
  <si>
    <t>Bright Success Capital, First Star Ventures, Inventus Capital Partners, Partech Partners, Salesforce Ventures, Shasta Ventures, Springboard Enterprises, Streamlined Ventures, Supply Chain Ventures, UL Ventures, Ullas Naik</t>
  </si>
  <si>
    <t>First Star Ventures(www.firststar.vc), Inventus Capital Partners(www.inventuscap.com), Partech Partners(www.partechpartners.com), Shasta Ventures(www.shastaventures.com), Springboard Enterprises(www.sb.co), Streamlined Ventures(www.streamlinedventures.com), Supply Chain Ventures(www.supplychainventure.com)</t>
  </si>
  <si>
    <t>City National Bank(Debt Financing), Comerica Bank(Debt Financing), Trinity Capital Investment(Debt Financing)</t>
  </si>
  <si>
    <t>234741-43</t>
  </si>
  <si>
    <t>ReSight (Israel)</t>
  </si>
  <si>
    <t>Developer of an artificial intelligence software designed to offer news for major company events.</t>
  </si>
  <si>
    <t>Media and Information Services (B2B), Other Software*</t>
  </si>
  <si>
    <t>artificial intelligence software, company event news</t>
  </si>
  <si>
    <t>www.resight.io</t>
  </si>
  <si>
    <t>197060-23P</t>
  </si>
  <si>
    <t>Eran Segal</t>
  </si>
  <si>
    <t>52213-15</t>
  </si>
  <si>
    <t>Rent the Runway</t>
  </si>
  <si>
    <t>RTR</t>
  </si>
  <si>
    <t>Le Tote, navabi, Nasty Gal, DailyLook, Style Lend, Girl Meets Dress, Stitch Fix, SimpleTux, Trunk Club, Wantable, Armarium, MSparis, Gwynnie Bee, Chic by Choice, The Black Tux, Menguin, M and M Direct, Cocosa, Armoire</t>
  </si>
  <si>
    <t>Provider of an online platform for renting dresses and accessories intended to revolutionize retail. The company's online apparel renting platform allows users to rent designer apparel and accessories, both on-demand and through its subscription service, enabling women to refresh their wardrobe and empower them to feel their best every day.</t>
  </si>
  <si>
    <t>clothing rental, designer apparel, fashion rental, fashion retail, luxury apparel, women apparel</t>
  </si>
  <si>
    <t>www.renttherunway.com</t>
  </si>
  <si>
    <t>2010: 30, 2013: 200, 2014: 250, 2015: 375, 2016: 1000, 2017: 1200, 2019: 1800</t>
  </si>
  <si>
    <t>48560-95P</t>
  </si>
  <si>
    <t>Scarlett O'Sullivan</t>
  </si>
  <si>
    <t>scarlett@renttherunway.com</t>
  </si>
  <si>
    <t>+1 (212) 462-2342</t>
  </si>
  <si>
    <t>163 Varick Street</t>
  </si>
  <si>
    <t>help@renttherunway.com</t>
  </si>
  <si>
    <t>The company raised $125 million of Series F venture funding in a deal co-led by Franklin Templeton and Bain Capital on March 21, 2019, putting the company's pre-money valuation at $875 million. Blue Pool Capital, Fidelity Investments, TCV, Kleiner Perkins, Hamilton Lane and T. Rowe Price also participated in this round. The capital will enable the company to dramatically accelerate its unique subscription service and continue to innovate its proprietary technology and infrastructure.</t>
  </si>
  <si>
    <t>2020 Ventures, Advance Publications, Advance Venture Partners, American Express Ventures, Bain Capital, Bain Capital Ventures, Blue Pool Capital, Condé Nast, Female Founders Fund, Fidelity Investments, Franklin Templeton Investments, Gil Penchina, Hamilton Lane, Highland Capital Partners, Kleiner Perkins, Novel TMT Ventures, Nurzhas Makishev, Recruit Strategic Partners, Reimagined Ventures, Sherpa Capital, T. Rowe Price, TCV, TriplePoint Venture Growth</t>
  </si>
  <si>
    <t>2020 Ventures(www.2020.co), Advance Publications(www.advance.com), Advance Venture Partners(www.avp.vc), Bain Capital(www.baincapital.com), Bain Capital Ventures(www.baincapitalventures.com), Blue Pool Capital(www.bluepoolcapital.com), Condé Nast(www.condenast.com), Female Founders Fund(www.femalefoundersfund.com), Fidelity Investments(www.fidelity.com), Franklin Templeton Investments(www.franklinresources.com), Hamilton Lane(www.hamiltonlane.com), Highland Capital Partners(www.hcp.com), Kleiner Perkins(www.kleinerperkins.com), Recruit Strategic Partners(recruitstrategicpartners.com), Reimagined Ventures(www.rivc.com), Sherpa Capital(www.sherpa.com), T. Rowe Price(www3.troweprice.com), TCV(www.tcv.com), TriplePoint Venture Growth(www.tpvg.com)</t>
  </si>
  <si>
    <t>Cooley(Legal Advisor), Cresa(Advisor: General), Daversa Partners(Consulting), Engro Partners(Advisor: General), Olshan Frome Wolosky(Legal Advisor)</t>
  </si>
  <si>
    <t>Cooley(Legal Advisor), J.P. Morgan(Placement Agent), Temasek Holdings(Debt Financing), TriplePoint Venture Growth(Debt Financing)</t>
  </si>
  <si>
    <t>97355-08</t>
  </si>
  <si>
    <t>Renovo Auto</t>
  </si>
  <si>
    <t>Renovo Motors</t>
  </si>
  <si>
    <t>Renovo</t>
  </si>
  <si>
    <t>Developer of autonomous vehicle technology designed to drive the expansion of AMoD (Automated Mobility on Demand) to the greatest scale and highest efficiency. The company's technology merges self-driving software, data analytics and automotive-grade safety systems into a unified high-performance platform and commands hundreds of sensors generating multiple terabytes of data-each hour-on a safe, secure and scalable platform.</t>
  </si>
  <si>
    <t>Artificial Intelligence &amp; Machine Learning, Autonomous cars, Big Data, Industrials, TMT</t>
  </si>
  <si>
    <t>automated mobility, automotive engineering, autonomous vehicle, self drives vehicles</t>
  </si>
  <si>
    <t>www.renovo.auto</t>
  </si>
  <si>
    <t>2014: 11, 2016: 12</t>
  </si>
  <si>
    <t>78855-49P</t>
  </si>
  <si>
    <t>Christopher Heiser</t>
  </si>
  <si>
    <t>christopher@renovomotors.com</t>
  </si>
  <si>
    <t>1624 Dell Avenue</t>
  </si>
  <si>
    <t>Unit D</t>
  </si>
  <si>
    <t>info@renovomotors.com</t>
  </si>
  <si>
    <t>The company raised $10 million of Series A2 venture funding in a deal led by True Ventures on April 27, 2017, putting the pre-money valuation at $40 million. Verizon Communications also participated in the round. The company has raised $14.5 million till date.</t>
  </si>
  <si>
    <t>Intact Ventures, Menlo Ventures, Richard Chen, Social Capital, Square 1 Bank, Synapse Partners, True Ventures, Verizon Ventures</t>
  </si>
  <si>
    <t>Menlo Ventures(www.menlovc.com), Social Capital(www.socialcapital.com), Square 1 Bank(www.square1bank.com), Synapse Partners(www.synapsepartners.co), True Ventures(www.trueventures.com), Verizon Ventures(www.verizonventures.com)</t>
  </si>
  <si>
    <t>Square 1 Bank(Debt Financing)</t>
  </si>
  <si>
    <t>91838-26</t>
  </si>
  <si>
    <t>Reno (Electronic)</t>
  </si>
  <si>
    <t>Advanced Energy Industries, Lattice Semiconductor, KLA-Tencor, Mattson Technology, Exxelia, Monolithic Power Systems, Ultratech</t>
  </si>
  <si>
    <t>Developer of high-performance radio frequency (RF) technology for semiconductors designed to lead the semiconductor industry in the development of advanced match and flow subsystem technologies to optimize process control for volume production. The company's high-performance radio frequency (RF) technology includes control process systems made by original equipment manufacturers (OEMs), including vacuum-based chambers to deposit and etch specialty materials needed in advanced integrated circuit (IC) fabrication, enabling clients to optimize process control for volume production.</t>
  </si>
  <si>
    <t>circuit fabrication, high performance radio frequency, integrated circuit, process control technology</t>
  </si>
  <si>
    <t>www.renosubsystems.com</t>
  </si>
  <si>
    <t>2014: 10</t>
  </si>
  <si>
    <t>43937-20P</t>
  </si>
  <si>
    <t>Robert MacKnight</t>
  </si>
  <si>
    <t>bmacknight@renosubsystems.com</t>
  </si>
  <si>
    <t>+1 (775) 360-7870</t>
  </si>
  <si>
    <t>Sparks, NV</t>
  </si>
  <si>
    <t>50 East Greg Street</t>
  </si>
  <si>
    <t>Suite 105</t>
  </si>
  <si>
    <t>Sparks</t>
  </si>
  <si>
    <t>89431</t>
  </si>
  <si>
    <t>The company raised $11.2 million of Series C venture funding in a round led by Samsung Venture Investment on September 27, 2017. Hitachi High-Technologies, SK hynix, Intel Capital, Lam Research Capital and MKS Instruments also participated in this round. The company intends to use the funds for the continued development of the technology to enable silicon manufacturing technology nodes in high-volume production.</t>
  </si>
  <si>
    <t>Hitachi High-Technologies, Innovacorp, Intel Capital, LAM Research Capital, Mks Instruments, Samsung Venture Investment, SK Hynix, Xipu Hanxin</t>
  </si>
  <si>
    <t>Hitachi High-Technologies(www.hitachi-hitec.com), Innovacorp(www.innovacorp.ca), Intel Capital(www.intelcapital.com), LAM Research Capital(www.lamcapital.com), Samsung Venture Investment(www.samsungventures.com), SK Hynix(www.skhynix.com), Xipu Hanxin(www.xipuhanxin.com)</t>
  </si>
  <si>
    <t>Cooley(Legal Advisor), Orrick, Herrington &amp; Sutcliffe(Legal Advisor)</t>
  </si>
  <si>
    <t>52869-43</t>
  </si>
  <si>
    <t>Renmatix</t>
  </si>
  <si>
    <t>Syria Innovations</t>
  </si>
  <si>
    <t>CometBio, Agilyx</t>
  </si>
  <si>
    <t>Developer of a technological platform designed to provide a method for deconstructing non-food plants into economical cellulosic sugars. The company's technological platform uses water-based chemistry instead of enzymes, solvents, or acids to provide a cleaner, faster, lower-cost method for deconstructing many non-food plants into economical cellulosic sugars and novel polymers, enabling the bioeconomy to get sustainable substitution for bio building blocks.</t>
  </si>
  <si>
    <t>Energy Production*, Industrial Chemicals, Other Commercial Services</t>
  </si>
  <si>
    <t>biofuel, cellulosic biomass chemicals, cellulosic biomass fuel, organic waste, technological platform</t>
  </si>
  <si>
    <t>www.renmatix.com</t>
  </si>
  <si>
    <t>2009: 15, 2010: 40, 2014: 61, 2016: 63</t>
  </si>
  <si>
    <t>42946-48P</t>
  </si>
  <si>
    <t>Fred Moesler</t>
  </si>
  <si>
    <t>fred.moesler@renmatix.com</t>
  </si>
  <si>
    <t>+1 (484) 751-4000</t>
  </si>
  <si>
    <t>660 Allendale Road</t>
  </si>
  <si>
    <t>+1 (484) 751-4001</t>
  </si>
  <si>
    <t>info@renmatix.com</t>
  </si>
  <si>
    <t>The company raised $31.25 million of Series E1 venture funding from in a deal led by William Gates and Total Energy Ventures (NYSE: TOT) on September 15, 2016, putting the pre-money valuation at $58.05 million. Other undisclosed investors also participated in the round.</t>
  </si>
  <si>
    <t>BASF Venture Capital, Bright Capital, David Haas, Kleiner Perkins, Total Energy Ventures, Waste Management, William Gates</t>
  </si>
  <si>
    <t>BASF Venture Capital(www.basf-vc.de), Bright Capital(www.bright-capital.com), Kleiner Perkins(www.kleinerperkins.com), Waste Management(www.wm.com)</t>
  </si>
  <si>
    <t>Gunderson Dettmer(Legal Advisor), Helix Recruiting(Consulting), ORS Partners(Consulting)</t>
  </si>
  <si>
    <t>Gunderson Dettmer(Legal Advisor), Horizon Technology Finance(Debt Financing)</t>
  </si>
  <si>
    <t>104203-09</t>
  </si>
  <si>
    <t>Remix Software</t>
  </si>
  <si>
    <t>Transitmix</t>
  </si>
  <si>
    <t>Remix</t>
  </si>
  <si>
    <t>Ecolane, Routematch Software</t>
  </si>
  <si>
    <t>Provider of a public transit planning platform intended to to plan, view and manage transportation. The company's platform assist in designing and managing cities and routes, explore new concepts, make informed decisions with data to better balance transit, biking, walking and vehicles, enabling planners at transit agencies and local governments to quickly design transit routes and immediately understand the cost and demographic impact of a proposed change.</t>
  </si>
  <si>
    <t>Application Software*, Consulting Services (B2B)</t>
  </si>
  <si>
    <t>city mapping, geospatial mapping, manage public transit, manage transportation, routing planning, transit planning, transit planning platform, transportation planning</t>
  </si>
  <si>
    <t>www.remix.com</t>
  </si>
  <si>
    <t>2017: 45, 2018: 60</t>
  </si>
  <si>
    <t>People (New) Jacob Zukerman, Director &amp; Head of Design, News (New)</t>
  </si>
  <si>
    <t>93748-06P</t>
  </si>
  <si>
    <t>Sam Hashemi</t>
  </si>
  <si>
    <t>sam@getremix.com</t>
  </si>
  <si>
    <t>1128 Howard Street</t>
  </si>
  <si>
    <t>info@remix.com</t>
  </si>
  <si>
    <t>The company raised $15 million of Series B venture funding in a deal led by Energy Impact Partners on February 27, 2019, putting the company's pre-money valuation at $45 million. Sequoia Capital also participated in this round. The funds will be used by the company to continue innovating its product while scaling to more cities around the world.</t>
  </si>
  <si>
    <t>500 Startups, Code For America, Designer Fund, Energy Impact Partners, Haystack, Sequoia Capital, SV Angel, Y Combinator</t>
  </si>
  <si>
    <t>500 Startups(www.500.co), Code For America(www.codeforamerica.org), Designer Fund(www.designerfund.com), Energy Impact Partners(www.energyimpactpartners.com), Haystack(haystack.vc), Sequoia Capital(www.sequoiacap.com), SV Angel(www.svangel.com), Y Combinator(www.ycombinator.com)</t>
  </si>
  <si>
    <t>Gunderson Dettmer(Legal Advisor), Reitler Kailas &amp; Rosenblatt(Legal Advisor)</t>
  </si>
  <si>
    <t>102694-42</t>
  </si>
  <si>
    <t>Relux</t>
  </si>
  <si>
    <t>Operator of an online membership reservation service designed to recommend people to first-class inns and hotels. The company's online membership reservation service helps in hotel booking and offers negotiations and discussions with all accommodation facilities, enabling users to reserve rooms in inns and hotels in Japan.</t>
  </si>
  <si>
    <t>Hotels and Resorts, Other Services (B2C Non-Financial), Social/Platform Software*</t>
  </si>
  <si>
    <t>hotel books site, hotel reservation, luxury hotel, membership reservation, membership reservation service</t>
  </si>
  <si>
    <t>www.rlx.jp</t>
  </si>
  <si>
    <t>2015: 11, 2016: 40, 2017: 62</t>
  </si>
  <si>
    <t>106171-75P</t>
  </si>
  <si>
    <t>Takaya Shinozuka</t>
  </si>
  <si>
    <t>Founder, Board Member, Chief Executive Officer and President</t>
  </si>
  <si>
    <t>Comodio Shiodome 4F 2-14-1</t>
  </si>
  <si>
    <t>Higashi-Shinbashi, Minato-Ku</t>
  </si>
  <si>
    <t>105-0021</t>
  </si>
  <si>
    <t>The company was acquired by KDDI Ventures through an undisclosed amount of LBO on February 8, 2017. The acquisition will see KDDI include a hotel booking service into its own mobile platform.</t>
  </si>
  <si>
    <t>KDDI Ventures Program</t>
  </si>
  <si>
    <t>CyberAgent Capital, Global Brain, Recruit Strategic Partners</t>
  </si>
  <si>
    <t>CyberAgent Capital(www.cyberagentcapital.com), Global Brain(www.globalbrains.com), Recruit Strategic Partners(recruitstrategicpartners.com)</t>
  </si>
  <si>
    <t>54944-11</t>
  </si>
  <si>
    <t>Relationship Science</t>
  </si>
  <si>
    <t>Connectivity Data Systems, NG Connectivity Data Systems</t>
  </si>
  <si>
    <t>RelSci</t>
  </si>
  <si>
    <t>DataFox, VoloMetrix, Megabuyte, TapInfluence, Jibe, Adly, WhoKnows, DealSheet, iProfile, Boardroom Insiders, Dealogic, NewsCred, Contently, PitchBook Data, Lever (Recruitment Software), Thomson Scientific, RecruitLoop, Owler, Toptal, LexisNexis Group, InsideView, The Niche Project, Collective Bias</t>
  </si>
  <si>
    <t>Developer of an online networking database and business development platform designed to turn relationship of professionals into a competitive advantage. The company's online networking database and business development platform offers actionable intelligence on influential business leaders, organizations and relevant industry news, enabling decision makers to take decisions base on analytic tools, reporting dashboards and CRM integration.</t>
  </si>
  <si>
    <t>Database Software, Media and Information Services (B2B)*</t>
  </si>
  <si>
    <t>executive database, financial database, names database, networking database, online networking application</t>
  </si>
  <si>
    <t>www.relsci.com</t>
  </si>
  <si>
    <t>2013: 800, 2014: 168</t>
  </si>
  <si>
    <t>74218-96P</t>
  </si>
  <si>
    <t>Domenic Graziosi</t>
  </si>
  <si>
    <t>dgraziosi@relsci.com</t>
  </si>
  <si>
    <t>+1 (888) 800-7955</t>
  </si>
  <si>
    <t>1271 Avenue of the Americas</t>
  </si>
  <si>
    <t>43rd Floor</t>
  </si>
  <si>
    <t>10020</t>
  </si>
  <si>
    <t>info@relsci.com</t>
  </si>
  <si>
    <t>The company raised $31.32 million of Series D venture funding from TABLE Holdings, C.V. Starr &amp; Company and Hearst Ventures on February 12, 2015. RIT Capital Partners, Salesforce Ventures and 6 other investors also participated in the round.</t>
  </si>
  <si>
    <t>Barry Sternlicht, C.V. Starr &amp; Company, David Komansky, Ernest Pomerantz, Gaspar Global Ventures, Harvey Golub, Hearst Ventures, Henry Kravis, Individual Investor, Kenneth Langone, Loeb Partners, MacAndrews &amp; Forbes, RIT Capital Partners, Ronald Burkle, RRE Ventures, Salesforce Ventures, Stanley Druckenmiller, Stephen Luczo, TABLE Holdings, Thomas Glocer, Weld North, William Rudin</t>
  </si>
  <si>
    <t>Gaspar Global Ventures(www.gasparglobal.com), Loeb Partners(www.loebpartners.com), MacAndrews &amp; Forbes(www.macandrewsandforbes.com), RIT Capital Partners(www.ritcap.com), RRE Ventures(www.rre.com), Thomas Glocer(www.tomglocer.com), Weld North(www.weldnorth.com)</t>
  </si>
  <si>
    <t>Four Bells Advisory(Consulting)</t>
  </si>
  <si>
    <t>Perella Weinberg Partners(Advisor: General), Sparring Partners Capital(Advisor: General), Wilson Sonsini Goodrich &amp; Rosati(Legal Advisor)</t>
  </si>
  <si>
    <t>60913-63</t>
  </si>
  <si>
    <t>REGiMMUNE</t>
  </si>
  <si>
    <t>Provider of immune regulating technology designed to develop novel therapeutics for a range of immune diseases and disorders. The company's technology focus on therapeutic areas to target immune tolerance against specific disease causing antigens through induction of regulatory T cells, enabling patients to avail innovative treatment for immune disorders.</t>
  </si>
  <si>
    <t>Biotechnology*, Pharmaceuticals</t>
  </si>
  <si>
    <t>immune, immune care, immune disorder antibodies, immune disorder therapy, immune regulating, novel therapeutics</t>
  </si>
  <si>
    <t>Clinical Trials - Phase 1</t>
  </si>
  <si>
    <t>www.regimmune.com</t>
  </si>
  <si>
    <t>109845-19P</t>
  </si>
  <si>
    <t>Kenzo Kosuda</t>
  </si>
  <si>
    <t>Chief Executive Officer, President Board Member</t>
  </si>
  <si>
    <t>kenzo@regimmune.com</t>
  </si>
  <si>
    <t>35-3 Hakozaki-cho 5F</t>
  </si>
  <si>
    <t>Chuou-ku</t>
  </si>
  <si>
    <t>103-0015</t>
  </si>
  <si>
    <t>info@regimmune.com</t>
  </si>
  <si>
    <t>The company raised $6 million of Series E venture funding in a deal led by SMBC Venture Capital on May 12, 2017. Mitsubishi UFJ Capital, Strategic Incubation Partners, Miyako Capital, Hiroshima Venture Capital, Kyoritsu Captal, Iyo-Gin Capital, Oita Venture Capital and undisclosed investors also participated in the round. The funds will be used to for clinical study in the US.</t>
  </si>
  <si>
    <t>A&amp;C Ventures, Ant Capital Partners, California Institute for Quantitative Biosciences, Chibagin Capital, CSK Venture Capital Company, Daiwa Enterprise, DBJ Capital, Fund Creation Company, GH Holdings KK, Hiroshima Venture Capital, Iyo-Gin Capital, Jafco, Japan Asia Investment, Japan Science And Technology Agency, KSP, Kyoritsu Captal, Medinet Company, Ministry of Economy, Trade and Industry, Mitsubishi UFJ Capital, Mitsui Sumitomo Insurance Venture Capital, Miyako Capital, Mizuho Capital Partners, National Institute of Biomedical Innovation (NIBIO), New Business Investment, Nippon Venture Capital, Nissay Capital, Oita Venture Capital, ORIX Growth Capital, Shinkin Capital, SMBC Venture Capital, Strategic Incubation Partners, The Resona Group, Yasuda Enterprise Development</t>
  </si>
  <si>
    <t>A&amp;C Ventures(www.acventures.com), Ant Capital Partners(www.antcapital.jp), California Institute for Quantitative Biosciences(www.qb3.org), Chibagin Capital(www.chibagincapital.co.jp), CSK Venture Capital Company(www.cskvc.co.jp), DBJ Capital(www.dbj-cap.jp), Fund Creation Company(www.fc-group.co.jp), Hiroshima Venture Capital(www.h-vc.co.jp), Jafco(www.jafco.co.jp), Japan Asia Investment(www.jaic-vc.co.jp), Japan Science And Technology Agency(www.jst.go.jp), KSP(ksp.or.jp), Ministry of Economy, Trade and Industry(www.meti.go.jp), Mitsubishi UFJ Capital(www.mucap.co.jp), Miyako Capital(www.miyakocapital.com), Nippon Venture Capital(www.nvcc.co.jp), Nissay Capital(www.nissay-cap.co.jp), Oita Venture Capital(oita-vc.co.jp), Shinkin Capital(www.shinkin-vc.co.jp), SMBC Venture Capital(www.smbc-vc.co.jp), Strategic Incubation Partners(en.sip-vc.com), The Resona Group(www.resona-gr.co.jp), Yasuda Enterprise Development(www.yedvc.co.jp)</t>
  </si>
  <si>
    <t>55523-26</t>
  </si>
  <si>
    <t>Reflektion</t>
  </si>
  <si>
    <t>Dynamic Yield, Amperity, Evergage, Segment, CiValue, Adtelligence, Silverpop Systems, Turn, Reach Analytics, Segmentify, Boomtrain, Ometria, Bluecore, Lotame Solutions, Yotpo, Signal, Decibel Insight, Monetate, Maxymiser, AgilOne, Ensighten, Boxever, RapidMiner, AddShoppers, Jetlore, BusinessOptics, Sailthru, Movable Ink, BounceX, Inbenta, Yieldify, SmartFocus UK, RichRelevance, GroupBy, Nosto, Ve Global UK, 6Estates, Sentient (Business/Productivity Software), SAS Institute, Justuno, BrainSINS, Celtra, Extole, Swrve, Tealium, Qubit (Social/Platform Software), Baynote, Thunder Industries, Little Bird, excentos</t>
  </si>
  <si>
    <t>Developer of a customer analysis platform designed to understand the individual intent and preferences of each customer and intelligently responds in real time. The company's customer analysis platform leverages most relevant products to influence customer at every relevant point of engagement, enabling organizations to track their customer's preferences.</t>
  </si>
  <si>
    <t>consumer engagement, customer analysis, customer behavior analysis, customer tracking</t>
  </si>
  <si>
    <t>www.reflektion.com</t>
  </si>
  <si>
    <t>2014: 22, 2015: 63, 2016: 57</t>
  </si>
  <si>
    <t>189529-03P</t>
  </si>
  <si>
    <t>Amede Hungerford</t>
  </si>
  <si>
    <t>amede@reflektion.com</t>
  </si>
  <si>
    <t>+1 (650) 293-0800</t>
  </si>
  <si>
    <t>1510 Fashion Island Boulevard</t>
  </si>
  <si>
    <t>94404</t>
  </si>
  <si>
    <t>The company raised $12 million of Series C venture funding from lead investor Hasso Plattner on October 25, 2017, putting the pre-money valuation at $64 million. Battery Ventures and Clear Ventures also participated in the round. The funds will be used to continue the company's rapid expansion into international markets particularly in the EMEA region which accounts for 10 percent of its total revenue.</t>
  </si>
  <si>
    <t>Battery Ventures, Christopher Rust, Clear Ventures, Eduardo Castro-Wright, Hasso Plattner Ventures, Intel Capital, Marc Benioff, NikeFuel Lab, Raj Sandhu, Rajeev Madhavan, Raymond Lane</t>
  </si>
  <si>
    <t>Battery Ventures(www.battery.com), Clear Ventures(www.clear.ventures), Hasso Plattner Ventures(www.hp-ventures.com), Intel Capital(www.intelcapital.com), NikeFuel Lab(www.nikefuellab.com)</t>
  </si>
  <si>
    <t>53325-37</t>
  </si>
  <si>
    <t>Refinery29</t>
  </si>
  <si>
    <t>R29</t>
  </si>
  <si>
    <t>Axios News, Ozy, PureWow, Mashable, VICE Media, Complex Media, WatchMojo, The Outline, Remezcla, Vox Media, Goop</t>
  </si>
  <si>
    <t>Provider of a media and entertainment platform intended to offer feminocentric digital content. The company's platform features a wide range of digital content like original videos, social storytelling and lifestyle news among others and also offers a variety of apparel and accessories, enabling women to know the latest trends in a hassle-free manner.</t>
  </si>
  <si>
    <t>Internet Retail, Publishing*</t>
  </si>
  <si>
    <t>digital content platform, digital content sharing, digital media platform, fashion magazine, online magazine, shopping platform</t>
  </si>
  <si>
    <t>www.refinery29.com</t>
  </si>
  <si>
    <t>2014: 132, 2015: 250, 2016: 400, 2017: 360, 2018: 400, 2019: 400</t>
  </si>
  <si>
    <t>39049-21P</t>
  </si>
  <si>
    <t>Philippe von Borries</t>
  </si>
  <si>
    <t>philippe@refinery29.com</t>
  </si>
  <si>
    <t>+1 (212) 966-3112</t>
  </si>
  <si>
    <t>225 Broadway</t>
  </si>
  <si>
    <t>10007</t>
  </si>
  <si>
    <t>The company is rumored to be in talks regarding a potential acquisition for an undisclosed amount as of March 25, 2019. Previously, the company closed on $8 million of a targeted $20 million of venture funding from WPP Ventures, Scripps Networks Interactive and WarnerMedia on May 23, 2019. The company hopes to raise the remainder from international investors. The funds will be used by the company to expand internationally and for its originals studio and events business.</t>
  </si>
  <si>
    <t>Brooklyn Bridge Ventures, First Round Capital, Floodgate Fund, Hearst Ventures, Individual Investor, Lead Edge Capital, Lerer Hippeau, Mark Kingdon, Ramesh Haridas, Scripps Networks Interactive, Shana Fisher, Shaun Abrahamson, Stripes Group, Teamworthy Ventures, Turner Broadcasting System, Vikas Taneja, WarnerMedia, WPP Ventures</t>
  </si>
  <si>
    <t>Brooklyn Bridge Ventures(www.brooklynbridge.vc), First Round Capital(www.firstround.com), Floodgate Fund(www.floodgate.com), Lead Edge Capital(www.leadedgecapital.com), Lerer Hippeau(www.lererhippeau.com), Mark Kingdon(www.quixotic.ventures), Scripps Networks Interactive(www.scrippsnetworksinteractive.com), Stripes Group(www.stripesgroup.com), Teamworthy Ventures(www.teamworthy.com), Turner Broadcasting System(www.turner.com), WarnerMedia(www.warnermediagroup.com)</t>
  </si>
  <si>
    <t>Allen &amp; Company(Advisor: General), Gunderson Dettmer(Legal Advisor)</t>
  </si>
  <si>
    <t>59175-55</t>
  </si>
  <si>
    <t>Referrals.com</t>
  </si>
  <si>
    <t>Developer of a referrals platform intended to help generate business. The company helps professionals create, manage and connect referral opportunities, enabling them with fast, affordable and high-quality business creation and management services.</t>
  </si>
  <si>
    <t>business deals, online platform, online referral, referral network services, referral networking, referral networking service, referral platform</t>
  </si>
  <si>
    <t>lander.referrals.com</t>
  </si>
  <si>
    <t>2014: 4, 2016: 7</t>
  </si>
  <si>
    <t>66006-73P</t>
  </si>
  <si>
    <t>Tony Caputo</t>
  </si>
  <si>
    <t>Co-Founder &amp; President</t>
  </si>
  <si>
    <t>920 Santa Monica Boulevard</t>
  </si>
  <si>
    <t>info@referrals.com</t>
  </si>
  <si>
    <t>Hearst Ventures sold its stake in the company on an undisclosed date.</t>
  </si>
  <si>
    <t>Charles River Ventures, Global Ventures, Impact Venture Partners</t>
  </si>
  <si>
    <t>Charles River Ventures(www.crv.com), Global Ventures(www.globalventures.com), Impact Venture Partners(www.impactvp.com)</t>
  </si>
  <si>
    <t>52869-25</t>
  </si>
  <si>
    <t>RedSeal</t>
  </si>
  <si>
    <t>Bar Harbor Systems, RedSeal Networks</t>
  </si>
  <si>
    <t>Verodin, AlgoSec, Ziften, M&amp;S Technologies (Network Management Software), Lancope, Rapid7, BitSight Technologies, NetSPI, Forcepoint, Tufin, SecurityScorecard, RiskSense, CloudPassage, Rubica, Bay31, LogRhythm, Aruba Networks, Digital Guardian, Tanium, Illumio, Kenna Security, Lumeta, Cybera, Exabeam, CrowdStrike, Cylance, HackerOne, AlienVault, Tenable, Skybox Security, NeuVector, SecureWorks, Nutanix, Qualys, Securonix, ForeScout, CounterTack, FireMon, vArmour, LightCyber, Total Defense, Mandiant, Avast Software, UpGuard, NopSec</t>
  </si>
  <si>
    <t>Developer of a cyber-security analytics platform designed to measure and manage the digital resilience of network. The company's platform provides a digital resilience score to help measure and ultimately build greater resilience into infrastructure, enabling enterprises to prioritize and allocate their scarce human and capital resources where they have the biggest impact to protect their most valuable digital assets and make informed decisions to actively manage their digital resilience capabilities.</t>
  </si>
  <si>
    <t>assurance software, cyber security platform, digital resilience, internet security, network security platform, security risk management</t>
  </si>
  <si>
    <t>www.redseal.net</t>
  </si>
  <si>
    <t>2009: 75, 2010: 76, 2011: 96, 2012: 139, 2013: 128, 2014: 108, 2015: 133, 2016: 186</t>
  </si>
  <si>
    <t>77305-24P</t>
  </si>
  <si>
    <t>Julie Parrish</t>
  </si>
  <si>
    <t>Chief Marketing Officer &amp; Chief Operating Officer</t>
  </si>
  <si>
    <t>jparrish@redseal.net</t>
  </si>
  <si>
    <t>+1 (408) 641-2200</t>
  </si>
  <si>
    <t>1600 Technology Drive</t>
  </si>
  <si>
    <t>info@redseal.net</t>
  </si>
  <si>
    <t>The company was acquired by STG Partners through approximately $70 million LBO on April 9, 2019. Previously, the company received $18.771 million of debt financing from Runway Growth Capital in December, 2017. The financing included $15 million of loan arranged by Runway Growth Capital and $3.771023 million of convertible debt financing provided by undisclosed lenders.</t>
  </si>
  <si>
    <t>DRW Investors, DRW Venture Capital, Hercules Capital, HighBar Partners, Icon Ventures, In-Q-Tel, JCI Ventures, Leapfrog Ventures, Math Venture Partners, OVP Venture Partners, Pallasite Ventures, Pinnacle Ventures, STG Partners, Sutter Hill Ventures, Venrock</t>
  </si>
  <si>
    <t>DRW Venture Capital(www.drwvc.com), Hercules Capital(www.htgc.com), HighBar Partners(www.highbarpartners.com), Icon Ventures(www.iconventures.com), In-Q-Tel(www.iqt.org), Leapfrog Ventures(www.leapfrogventures.com), Math Venture Partners(www.mathventurepartners.com), OVP Venture Partners(www.ovpevents.com), Pallasite Ventures(www.pallasiteventures.com), Pinnacle Ventures(www.pinnacleven.com), STG Partners(www.stgpartners.com), Sutter Hill Ventures(www.shv.com), Venrock(www.venrock.com)</t>
  </si>
  <si>
    <t>Accelerate-IT Advisors(Consulting), Finn Partners(Advisor: Communications), Wilson Sonsini Goodrich &amp; Rosati(Legal Advisor), Woodruff-Sawyer &amp; Company(General Business Insurance)</t>
  </si>
  <si>
    <t>Atlas Technology Group(Advisor: General), Hercules Capital(Debt Financing), Runway Growth Capital(Debt Financing), Wilson Sonsini Goodrich &amp; Rosati(Legal Advisor)</t>
  </si>
  <si>
    <t>122138-29</t>
  </si>
  <si>
    <t>Redpoint Positioning</t>
  </si>
  <si>
    <t>infsoft GmbH, Kontakt.io</t>
  </si>
  <si>
    <t>Provider of a real-time location services. The company provides technology services for navigation and real-time location services (RTLS).</t>
  </si>
  <si>
    <t>location services, map locator, navigation services</t>
  </si>
  <si>
    <t>www.redpointpositioning.com</t>
  </si>
  <si>
    <t>110345-77P</t>
  </si>
  <si>
    <t>Chunjie Duan</t>
  </si>
  <si>
    <t>cduan@redpointpositioning.com</t>
  </si>
  <si>
    <t>+1 (617) 207-4096</t>
  </si>
  <si>
    <t>100 North Washington Street</t>
  </si>
  <si>
    <t>02114</t>
  </si>
  <si>
    <t>The company raised an estimated $4.5 million of Series A1 funding from BHY Investment and other undisclosed investors on October 23, 2017, putting the estimated pre-money valuation at $25.5 million. The company intends to use the funds to accelerate the commercialization of their solutions and expand their real-time location system technology.</t>
  </si>
  <si>
    <t>BHY Investment, Stanley Ventures</t>
  </si>
  <si>
    <t>169017-13</t>
  </si>
  <si>
    <t>Redeam</t>
  </si>
  <si>
    <t>Actourex</t>
  </si>
  <si>
    <t>Rezdy, Vendini, Booking Live, Ticketscript, TrekkSoft, Booking Boss, FareHarbor</t>
  </si>
  <si>
    <t>Provider of a Saas based ticket validation platform created to eliminate paper vouchers for tours and attractions. The company develops a mobile ticketing platform to validate paper tickets and vouchers that help customers avoid queues for booking transport, events and travel destinations, enabling attractions to accept paper vouchers and mobile tickets from any reseller and to resellers of attraction tickets to offer mobile electronic ticketing to travelers on their mobile device.</t>
  </si>
  <si>
    <t>mobile ticketing, mobile ticketing application, paper voucher, redemption system, ticketing validation, ticketing validation platform</t>
  </si>
  <si>
    <t>redeam.com</t>
  </si>
  <si>
    <t>153679-87P</t>
  </si>
  <si>
    <t>Kevin McLaughlin</t>
  </si>
  <si>
    <t>kevin@redeam.com</t>
  </si>
  <si>
    <t>1300 Walnut Street</t>
  </si>
  <si>
    <t>Suite 20</t>
  </si>
  <si>
    <t>The company raised $7.7 million in a combination of Series A venture funding led by Vertical Venture Partners on March 5, 2018, putting the company's pre-money valuation at an estimated $7.3 million. Thayer Ventures, JetBlue Technology Ventures, Tallwave Capital, Peninsula Ventures, Barney Harford, John Love, Russ Sach, Thomas See and Rob Torres also participated in the round. The funds will be used to grow the company's team, its product offerings and its sales and business-development efforts.</t>
  </si>
  <si>
    <t>Barney Harford, Cobre Capital, General Catalyst, JetBlue Technology Ventures, John Love, Peninsula Ventures, Rob Torres, Russel Sach, Thayer Ventures, Thomas See, Vertical Venture Partners</t>
  </si>
  <si>
    <t>Cobre Capital(www.cobre.vc), General Catalyst(www.generalcatalyst.com), JetBlue Technology Ventures(www.jetblueventures.com), Peninsula Ventures(www.peninsulaventures.com), Thayer Ventures(www.thayerventures.com), Vertical Venture Partners(www.vvp.vc)</t>
  </si>
  <si>
    <t>C Level Ventures(Consulting)</t>
  </si>
  <si>
    <t>155945-17</t>
  </si>
  <si>
    <t>Recharge</t>
  </si>
  <si>
    <t>Move with Groove Inc.</t>
  </si>
  <si>
    <t>Stayful, Overnight, Suiteness, HotelTonight</t>
  </si>
  <si>
    <t>Developer of a hotel room booking platform intended to rent hotel rooms. The company's platform features hotels and room booking in advance and informs the hotel about the stay plan, enabling travelers to find and book hotels in a hassle free manner.</t>
  </si>
  <si>
    <t>Application Software*, Hotels and Resorts</t>
  </si>
  <si>
    <t>hotel booking platform, hotel rooms rent, hotel rooms renting platform, hotel rooms reservation, online hotel rooms rental</t>
  </si>
  <si>
    <t>www.recharge.co</t>
  </si>
  <si>
    <t>2016: 4, 2017: 10</t>
  </si>
  <si>
    <t>131518-81P</t>
  </si>
  <si>
    <t>Emmanuel Bamfo</t>
  </si>
  <si>
    <t>manny@recharge.co</t>
  </si>
  <si>
    <t>+1 (650) 468-8524</t>
  </si>
  <si>
    <t>911 Minna Street</t>
  </si>
  <si>
    <t>contact@recharge.co</t>
  </si>
  <si>
    <t>The company raised an undisclosed amount of venture funding from Fifth Wall Ventures on January 29, 2019.</t>
  </si>
  <si>
    <t>Binary Capital, Cyan Banister, Eniac Ventures, Expansion Venture Capital, Fifth Wall Ventures, Floodgate Fund, JetBlue Technology Ventures, Plug and Play Tech Center, Rick Marini, Scott Banister</t>
  </si>
  <si>
    <t>Binary Capital(www.binarycap.com), Eniac Ventures(www.eniac.vc), Expansion Venture Capital(www.expansionvc.com), Fifth Wall Ventures(www.fifthwall.vc), Floodgate Fund(www.floodgate.com), JetBlue Technology Ventures(www.jetblueventures.com), Plug and Play Tech Center(www.plugandplaytechcenter.com)</t>
  </si>
  <si>
    <t>56375-20</t>
  </si>
  <si>
    <t>reBuy reCommerce</t>
  </si>
  <si>
    <t>trade-a-game</t>
  </si>
  <si>
    <t>reBuy</t>
  </si>
  <si>
    <t>Asgoodasnew, Lumoid, Nextworth Solutions, Grover, H.H. Gregg</t>
  </si>
  <si>
    <t>Provider of an online marketplace designed for the retail used electronics and media. The company's platform is used for the trading of pre-owned goods and devices in multiple categories including upgrades of second-hand goods according to the quality standards of the mass market, without any compromises in look or functionality, but with a great deal of price savings.</t>
  </si>
  <si>
    <t>Electronics (B2C), Internet Retail, Specialty Retail*</t>
  </si>
  <si>
    <t>consumer electronics marketplace, electronics platform, multichannel ecommerce, used consumer electronics</t>
  </si>
  <si>
    <t>www.rebuy.de</t>
  </si>
  <si>
    <t>2012: 345, 2013: 414, 2014: 389, 2016: 70, 2019: 700</t>
  </si>
  <si>
    <t>136893-16P</t>
  </si>
  <si>
    <t>Tim Fronzek</t>
  </si>
  <si>
    <t>tim@rebuy.de</t>
  </si>
  <si>
    <t>+49 (0)30 5659 9582 2</t>
  </si>
  <si>
    <t>Potsdamer Straße 188</t>
  </si>
  <si>
    <t>10783</t>
  </si>
  <si>
    <t>+49 (0)30 5659 9583 33</t>
  </si>
  <si>
    <t>impressum@rebuy.de</t>
  </si>
  <si>
    <t>German Startups Group sold a stake in the company to an undisclosed buyer on November 15, 2018. Previously, the company raised an undisclosed amount of debt financing in the form of a loan from Deutsche Handelsbank.</t>
  </si>
  <si>
    <t>Capnamic Ventures, Dumont Venture, Elkstone Partners, Evoco (Zurich), Hasso Plattner Ventures, Headway Capital Partners, Iris Capital, Jadeberg Partners, Keyhaven Capital Partners, KfW IPEX-Bank, Mountain Partners, NJF Capital, Orange-Publicis Venture Fund, TheMediaLab, Tiburon</t>
  </si>
  <si>
    <t>German Startups Group</t>
  </si>
  <si>
    <t>Capnamic Ventures(www.capnamic.com), Elkstone Partners(www.elkstonepartners.com), Evoco (Zurich)(www.evocope.com), Hasso Plattner Ventures(www.hp-ventures.com), Headway Capital Partners(www.headwaycap.com), Iris Capital(www.iriscapital.com), Jadeberg Partners(www.jadeberg-partners.ch), Keyhaven Capital Partners(www.keyhavencapital.com), KfW IPEX-Bank(www.kfw-ipex-bank.de), Mountain Partners(www.mountain.partners), NJF Capital(www.njfcapital.com), Orange-Publicis Venture Fund(www.opventures.com), Tiburon(www.tiburoninc.com)</t>
  </si>
  <si>
    <t>German Startups Group(www.german-startups.com)</t>
  </si>
  <si>
    <t>PwC(Auditor)</t>
  </si>
  <si>
    <t>Deutsche Handelsbank(Debt Financing), IEG - Investment Banking Group(Advisor: General)</t>
  </si>
  <si>
    <t>152316-55</t>
  </si>
  <si>
    <t>Rebbl</t>
  </si>
  <si>
    <t>Headwaters Natural Products Corporation</t>
  </si>
  <si>
    <t>Good Karma Foods, GoodBelly</t>
  </si>
  <si>
    <t>Provider botanical milkshakes created to de-stress and energize. The company offers drinks that include adaptogenic herbs designed to de-stress and energize, enabling consumers to order organic, vegan, soy and dairy free elixirs online.</t>
  </si>
  <si>
    <t>Beverages*, Specialty Retail</t>
  </si>
  <si>
    <t>adaptogenic herbs, botanical milkshakes, elixir shots, herbal drinks, organic beverages, tonics</t>
  </si>
  <si>
    <t>www.rebbl.co</t>
  </si>
  <si>
    <t>11530-54P</t>
  </si>
  <si>
    <t>Sheryl O'Loughlin</t>
  </si>
  <si>
    <t>sheryl@rebbl.co</t>
  </si>
  <si>
    <t>+1 (855) 732-2500</t>
  </si>
  <si>
    <t>Emeryville, CA</t>
  </si>
  <si>
    <t>5900 Hollis Street</t>
  </si>
  <si>
    <t>Suite L</t>
  </si>
  <si>
    <t>Emeryville</t>
  </si>
  <si>
    <t>94608</t>
  </si>
  <si>
    <t>info@rebbl.co</t>
  </si>
  <si>
    <t>The company raised an undisclosed amount of debt financing in the form of a loan from New Resource Bank and Döhler Ventures. The company will use the funding to execute their growth strategy. Before that, the company raised $20 million of Series E venture funding in a deal led by CAVU Venture Partners on May 18, 2018, putting the company's pre-money valuation at $75 million. Other undisclosed investors also participated in the round. The funds will be used to grow the company's team, increase marketing efforts to drive greater household penetration expand the sales function and enhance R&amp;D.</t>
  </si>
  <si>
    <t>Blueberry Ventures, Boulder Investment Group Reprise, CAVU Venture Partners, CircleUp Network, Döhler Ventures, John Foraker, Powerplant Ventures</t>
  </si>
  <si>
    <t>Blueberry Ventures(www.blueberryventures.vc), Boulder Investment Group Reprise(www.bigrventures.com), CAVU Venture Partners(www.cavuventures.com), CircleUp Network(www.circleup.com), Döhler Ventures(www.doehler-ventures.com), Powerplant Ventures(www.powerplantvc.com)</t>
  </si>
  <si>
    <t>Causes(Lead Manager or Arranger), CircleUp Network(Lead Manager or Arranger), New Resource Bank(Debt Financing), The Giannuzzi Group(Legal Advisor)</t>
  </si>
  <si>
    <t>187548-76</t>
  </si>
  <si>
    <t>Realtime Robotics</t>
  </si>
  <si>
    <t>Developer of specialized processors designed to fulfill the latent potential of the robots and autonomous vehicles. The company's processors allows robots to function in unstructured, collaborative work spaces and to react to motions as soon as they are perceived, enabling clients to get robotic motion planning and risk-aware autonomous driving in dynamic environment.</t>
  </si>
  <si>
    <t>Application Specific Semiconductors*, Production (Semiconductors)</t>
  </si>
  <si>
    <t>Autonomous cars, Robotics and Drones, TMT</t>
  </si>
  <si>
    <t>autonomous robots, robotics, robotics processor, robots agnostic, robots motions, robots processor</t>
  </si>
  <si>
    <t>www.rtr.ai</t>
  </si>
  <si>
    <t>2019: 30</t>
  </si>
  <si>
    <t>172574-65P</t>
  </si>
  <si>
    <t>George Konidaris</t>
  </si>
  <si>
    <t>Co-Founder, Chief Robotics &amp; Board Member</t>
  </si>
  <si>
    <t>gkonidaris@rtr.ai</t>
  </si>
  <si>
    <t>+1 (617) 302-6330</t>
  </si>
  <si>
    <t>27 Wormwood Street</t>
  </si>
  <si>
    <t>Suite 110</t>
  </si>
  <si>
    <t>info@rtr.ai</t>
  </si>
  <si>
    <t>The company received an undisclosed amount of financing from Mitsubishi Electric on May 7, 2019. The funds will be used to accelerate the development of industrial robot systems offering enhanced safety and performance.</t>
  </si>
  <si>
    <t>Mitsubishi Electric, National Science Foundation, Scrum Ventures, SPARX Group Company, Toyota AI Ventures</t>
  </si>
  <si>
    <t>Mitsubishi Electric(www.mitsubishielectric.com), National Science Foundation(seedfund.nsf.gov), Scrum Ventures(www.scrum.vc), SPARX Group Company(www.sparx.jp), Toyota AI Ventures(www.toyota-ai.ventures)</t>
  </si>
  <si>
    <t>113827-24</t>
  </si>
  <si>
    <t>Realtime Immersion</t>
  </si>
  <si>
    <t>RTI</t>
  </si>
  <si>
    <t>Developer of a 360-degree video camera designed to broadcast live, immersive and interactive video. The company provides high-definition video for various professional and consumer applications including sports, entertainment, robotics, security and telepresence, its optical technology and processing software, enabling viewers and users with live 360º video to be streamed from a single camera, eliminating the expense, complexity, and latency inherent in stitching video from multiple cameras.</t>
  </si>
  <si>
    <t>Electronics (B2C)*, Other Media</t>
  </si>
  <si>
    <t>360-degree video camera, camera system, immersive video, live video, video broadcasting system</t>
  </si>
  <si>
    <t>www.rtistudios.com</t>
  </si>
  <si>
    <t>57933-28P</t>
  </si>
  <si>
    <t>Raghu Menon</t>
  </si>
  <si>
    <t>Board Member, Chief Executive Officer &amp; President</t>
  </si>
  <si>
    <t>rmenon@remotereality.com</t>
  </si>
  <si>
    <t>+1 (508) 870-1500</t>
  </si>
  <si>
    <t>Westborough, MA</t>
  </si>
  <si>
    <t>1700 West Park Drive</t>
  </si>
  <si>
    <t>Suite 340</t>
  </si>
  <si>
    <t>Westborough</t>
  </si>
  <si>
    <t>01581</t>
  </si>
  <si>
    <t>The company raised $1 million of venture funding in the form of convertible debt from New Ground Ventures on August 23, 2017.</t>
  </si>
  <si>
    <t>Alison Murdock, Chris Lalli, Clive Downie, Doug Barry, Ian Balso, John Coelho, Liberty Global Ventures, Marker, New Ground Ventures, Paul Wattis, Ricardo Sagrera, Viceroy Ventures</t>
  </si>
  <si>
    <t>Marker(www.marker-llc.com), New Ground Ventures(www.newground.vc), Viceroy Ventures(www.viceven.com)</t>
  </si>
  <si>
    <t>58147-48</t>
  </si>
  <si>
    <t>Realm</t>
  </si>
  <si>
    <t>Terracotta, Redis Labs, GigaSpaces, Firebase, ArangoDB, Vitria Technology, Neo4j, Couchbase, GridGain Systems, Citus Data, RethinkDB, Striim, MongoDB, Hazelcast, NuoDB, Triax</t>
  </si>
  <si>
    <t>Developer of a mobile platform intended to offer real-time features like messaging and collaboration. The company's platform uses real-time collaboration, augmented reality, live data synchronization, offline experiences and messaging to provide the connective tissue between enterprise data and mobile or IOT devices, enabling developers to build better apps faster.</t>
  </si>
  <si>
    <t>Augmented Reality, Internet of Things, Mobile</t>
  </si>
  <si>
    <t>cloud clusters, embedded database, microservices platform, microservices systems, real time mobile platform, serialization software</t>
  </si>
  <si>
    <t>www.realm.io</t>
  </si>
  <si>
    <t>2015: 21, 2016: 57, 2017: 65</t>
  </si>
  <si>
    <t>61018-66P</t>
  </si>
  <si>
    <t>Alexander Stigsen</t>
  </si>
  <si>
    <t>Co-Founder, Chief Technology Officer and Board Member</t>
  </si>
  <si>
    <t>alexander@realm.io</t>
  </si>
  <si>
    <t>+1 (650) 714-1754</t>
  </si>
  <si>
    <t>495 3rd Street</t>
  </si>
  <si>
    <t>info@realm.io</t>
  </si>
  <si>
    <t>The company reached a definitive agreement to be acquired by MongoDB (NAS: MDB) for $39 million on April 24, 2019.</t>
  </si>
  <si>
    <t>Andreessen Horowitz, Data Collective, DST Global, Ericsson Ventures, Greylock Partners, Ignition Partners, Khosla Ventures, Lerer Hippeau, NorthCap Partners, Redpoint Ventures, Scale Venture Partners, SV Angel, Tikhon Bernstam, Tuesday Capital, Y Combinator</t>
  </si>
  <si>
    <t>MongoDB</t>
  </si>
  <si>
    <t>Andreessen Horowitz(www.a16z.com), Data Collective(www.dcvc.com), DST Global(www.dst-global.com), Greylock Partners(www.greylock.com), Ignition Partners(www.ignitionpartners.com), Khosla Ventures(www.khoslaventures.com), Lerer Hippeau(www.lererhippeau.com), NorthCap Partners(www.northcap.vc), Redpoint Ventures(www.redpoint.com), Scale Venture Partners(www.scalevp.com), SV Angel(www.svangel.com), Tuesday Capital(www.tuesday.vc), Y Combinator(www.ycombinator.com)</t>
  </si>
  <si>
    <t>MongoDB(www.mongodb.com)</t>
  </si>
  <si>
    <t>RJR Partners(Consulting), Silicon Valley Bank(General Business Banking), tempCFO(Accounting)</t>
  </si>
  <si>
    <t>126790-84</t>
  </si>
  <si>
    <t>Reaction Engines</t>
  </si>
  <si>
    <t>Deep Blue Aerospace, Rocket Lab, Firefly Aerospace, SpaceX, Gilmour Space Technologies</t>
  </si>
  <si>
    <t>Developer of an aerospace engine technology designed to unlock the future of space access and hypersonic flight. The company's technology develops combined-cycle, air-breathing rocket engines designed to allow aircraft to operate at speeds of up to five times the speed of sound or fly directly into Earth orbit which is based on development of ultra-lightweight heat exchangers that are 100 times lighter than existing technologies and enables the cooling of very hot airstreams from over 1,000 °C to minus 150 °C in less than 1/100th of a second.</t>
  </si>
  <si>
    <t>Aerospace and Defense*, Electrical Equipment, Machinery (B2B)</t>
  </si>
  <si>
    <t>aerospace, aerospace engine, aerospace propulsion systems, heat exchanger, precision engineering, rocket engine</t>
  </si>
  <si>
    <t>www.reactionengines.co.uk</t>
  </si>
  <si>
    <t>2016: 110</t>
  </si>
  <si>
    <t>118738-36P</t>
  </si>
  <si>
    <t>Tom Scrope</t>
  </si>
  <si>
    <t>Chief Financial Officer &amp; Board Member</t>
  </si>
  <si>
    <t>tomscrope@reactionengines.co.uk</t>
  </si>
  <si>
    <t>+44 (0)18 6552 0200</t>
  </si>
  <si>
    <t>Abingdon, United Kingdom</t>
  </si>
  <si>
    <t>Building F5</t>
  </si>
  <si>
    <t>Culham Science Centre</t>
  </si>
  <si>
    <t>Abingdon</t>
  </si>
  <si>
    <t>OX14 3DB</t>
  </si>
  <si>
    <t>enquiries@reactionengines.co.uk</t>
  </si>
  <si>
    <t>The company raised GBP 26.5 million of Series B venture funding from BAE Systems, Rolls-Royce and Boeing HorizonX on April 11, 2018. Baillie Gifford and Woodford Investment Management also participated. The company will use the funds to support key elements of the company's SABRE development programme, which has the objective of commencing ground-based testing of a SABRE engine core in 2020 and to accelerate its commercialisation plans, with proprietary technology opportunities in motorsport, electric vehicle thermal management, waste heat recuperation, small satellite cooling and aero-engines.</t>
  </si>
  <si>
    <t>BAE Systems, Baillie Gifford, Boeing HorizonX, Government of the United Kingdom, Rolls-Royce, Woodford Investment Management</t>
  </si>
  <si>
    <t>BAE Systems(www.baesystems.com), Baillie Gifford(www.bailliegifford.com), Rolls-Royce(www.rolls-royce.com)</t>
  </si>
  <si>
    <t>Covington &amp; Burling(Legal Advisor), Greenhill &amp; Co.(Advisor: General), Herbert Smith Freehills(Legal Advisor)</t>
  </si>
  <si>
    <t>266669-65</t>
  </si>
  <si>
    <t>RE Botanicals</t>
  </si>
  <si>
    <t>Provider and manufacturer of plant-based hemp extract products intended to provide pure and organic products. The company produces organic hemp products such as MCT coconut oil, capsules and tinctures, providing customers with an authentic and elegant experience</t>
  </si>
  <si>
    <t>Pharmaceuticals</t>
  </si>
  <si>
    <t>Pharmaceuticals*</t>
  </si>
  <si>
    <t>Cannabis, LOHAS &amp; Wellness</t>
  </si>
  <si>
    <t>hemp based product, hemp extracting, hemp extracts, hemp oil, hemp oils, hemp product</t>
  </si>
  <si>
    <t>www.rebotanicals.com</t>
  </si>
  <si>
    <t>111860-02P</t>
  </si>
  <si>
    <t>John Roulac</t>
  </si>
  <si>
    <t>Founder &amp; Chief Hemp Officer</t>
  </si>
  <si>
    <t>john@nutiva.com</t>
  </si>
  <si>
    <t>+1 (800) 993-4367</t>
  </si>
  <si>
    <t>The company raised $2 million of seed funding from Boulder Investment Group Reprise on April 2, 2019. Other undisclosed investors also participated in this round. The funds will be used to buy more inventory, grow the team and invest in marketing.</t>
  </si>
  <si>
    <t>Boulder Investment Group Reprise</t>
  </si>
  <si>
    <t>Boulder Investment Group Reprise(www.bigrventures.com)</t>
  </si>
  <si>
    <t>107063-92</t>
  </si>
  <si>
    <t>RDK Management</t>
  </si>
  <si>
    <t>Developer of television programming software designed to accelerate the deployment of next-generation video and broadband services. The company's software develops a pre-integrated application bundle that provides a common framework for powering customer premises equipment from television service providers, including set-top boxes, gateways and converged devices, enabling the service providers to standardize certain elements of these devices and to quickly launch their own new services or customize applications and user experiences.</t>
  </si>
  <si>
    <t>software bundling, television programming, television programming software, television service provider</t>
  </si>
  <si>
    <t>www.rdkcentral.com</t>
  </si>
  <si>
    <t>90422-92P</t>
  </si>
  <si>
    <t>Steve Heeb</t>
  </si>
  <si>
    <t>President &amp; General Manager</t>
  </si>
  <si>
    <t>steve.heeb@rdkcentral.com</t>
  </si>
  <si>
    <t>19103</t>
  </si>
  <si>
    <t>info@rdkcentral.com</t>
  </si>
  <si>
    <t>The company was formed as a Joint Venture between Liberty Global Ventures, Time Warner Cable and Comcast Spotlight on an undisclosed date.</t>
  </si>
  <si>
    <t>Comcast Spotlight, Liberty Global Ventures, Time Warner Cable</t>
  </si>
  <si>
    <t>Comcast Spotlight(www.comcastspotlight.com), Time Warner Cable(www.timewarnercable.com)</t>
  </si>
  <si>
    <t>164033-38</t>
  </si>
  <si>
    <t>RBC Signals</t>
  </si>
  <si>
    <t>Provider of space communications technologies and services created to aggregate the unused capacity of existing satellite ground stations around the world. The company specializes in offering real-time access to satellites though a global ground station network, enabling ground station operators to increase the revenue generating potential of their systems.</t>
  </si>
  <si>
    <t>Space Technology, TMT</t>
  </si>
  <si>
    <t>ground station infrastructure, satellite communication, space communication, space communication service, spacecraft communication</t>
  </si>
  <si>
    <t>www.rbcsignals.com</t>
  </si>
  <si>
    <t>2016: 6, 2018: 10</t>
  </si>
  <si>
    <t>142767-28P</t>
  </si>
  <si>
    <t>Christopher Richins</t>
  </si>
  <si>
    <t>crichins@rbcsignals.com</t>
  </si>
  <si>
    <t>+1 (650) 746-8744</t>
  </si>
  <si>
    <t>Redmond, WA</t>
  </si>
  <si>
    <t>2205 152nd Avenue North East</t>
  </si>
  <si>
    <t>Redmond</t>
  </si>
  <si>
    <t>98052</t>
  </si>
  <si>
    <t>The company is reportedly seeking an undisclosed amount of Series A venture funding as of July 10, 2018. Earlier, the company raised $1.95 million of seed funding from Haystack, Olive Tree Capital, Blacktop Capital, Baidu Ventures, Abstract Ventures, Entrenext Ventures, Bee Partners, GGV Capital, Comet Labs, Hemisphere Ventures and other undisclosed investors on March 9, 2017. The company is being actively tracked by PitchBook.</t>
  </si>
  <si>
    <t>Abstract Ventures, Baidu Ventures, Bee Partners, Blacktop Capital, Comet Labs, Entrenext Ventures, GGV Capital, Haystack, Hemisphere Ventures, Olive Tree Capital, Rising Tide Fund, V1.vc</t>
  </si>
  <si>
    <t>Abstract Ventures(www.abstractvc.com), Baidu Ventures(www.bv.ai), Bee Partners(www.beepartners.vc), Blacktop Capital(www.blacktop.vc), Comet Labs(www.cometlabs.io), Entrenext Ventures(www.entrenext.com), GGV Capital(www.ggvc.com), Haystack(haystack.vc), Hemisphere Ventures(www.hemisphere.com), Olive Tree Capital(www.olivetreecapital.com), Rising Tide Fund(www.rtf.vc), V1.vc(www.v1.vc)</t>
  </si>
  <si>
    <t>55234-63</t>
  </si>
  <si>
    <t>Rayvio</t>
  </si>
  <si>
    <t>Provider of advanced health and hygiene products intended to deliver clean water and environments. The company's UV LED (ultraviolet light emitting diode) technology can be integrated into a variety of applications, powering versatile on-demand solutions that give consumers control over health without chemicals or costly consumables, improving healthcare and hygiene with microchip technology.</t>
  </si>
  <si>
    <t>Electrical Equipment, Electronic Equipment and Instruments*, Environmental Services (B2B)</t>
  </si>
  <si>
    <t>CleanTech, Impact Investing, Industrials, TMT</t>
  </si>
  <si>
    <t>baby bottle sterilization, clean water, hygiene innovation, impact investing vertical, solid-state ultraviolet, uv led technology, uv medical treatment</t>
  </si>
  <si>
    <t>www.rayvio.com</t>
  </si>
  <si>
    <t>95226-58P</t>
  </si>
  <si>
    <t>Jack Yu</t>
  </si>
  <si>
    <t>jyu@rayvio.com</t>
  </si>
  <si>
    <t>+1 (510) 575-9900</t>
  </si>
  <si>
    <t>3980 Trust Way</t>
  </si>
  <si>
    <t>info@rayvio.com</t>
  </si>
  <si>
    <t>The company raised $11 million of Series B4 venture funding from Heuristic Capital Partners, Alumni Ventures Group, Xunuo Capital USA and Bascom Ventures on December 8, 2017, putting the company's pre-money valuation at $89 million.</t>
  </si>
  <si>
    <t>Alumni Ventures Group, Applied Ventures, Augment Ventures, Bascom Ventures, Capricorn Investment Group, DCM Ventures, Heuristic Capital Partners, IPV Capital, New Ground Ventures, Tolero Ventures, Tsing Capital, Xunuo Capital USA</t>
  </si>
  <si>
    <t>Alumni Ventures Group(www.avgfunds.com), Augment Ventures(www.augmentventures.com), Bascom Ventures(www.bascomventures.com), Capricorn Investment Group(www.capricornllc.com), DCM Ventures(www.dcm.com), Heuristic Capital Partners(www.heuristiccapital.com), IPV Capital(www.ipvcap.com), New Ground Ventures(www.newground.vc), Tsing Capital(www.tsingcapital.com)</t>
  </si>
  <si>
    <t>109435-87</t>
  </si>
  <si>
    <t>Ray (Healthcare technology)</t>
  </si>
  <si>
    <t>CTI company</t>
  </si>
  <si>
    <t>Developer of dental imaging technologies designed to make the world a better place by providing reliable, innovative x-ray imaging technologies in dental and medical industry. The company's imaging devices use 3D printing technology that confirm patient's information, acquire images and view radiographs from a single centralized location for enhancing digital workflow, enabling patients to start treatment more quickly, resulting in a better medical outcome.</t>
  </si>
  <si>
    <t>Other Devices and Supplies*, Other Healthcare Technology Systems</t>
  </si>
  <si>
    <t>3D Printing, Life Sciences, TMT</t>
  </si>
  <si>
    <t>dental imaging product, dental imaging system, dental imaging technology, digital imaging system</t>
  </si>
  <si>
    <t>www.raymedical.com</t>
  </si>
  <si>
    <t>2015: 51</t>
  </si>
  <si>
    <t>94511-71P</t>
  </si>
  <si>
    <t>Sangchul Lee</t>
  </si>
  <si>
    <t>sangchul.lee@raymedical.co.kr</t>
  </si>
  <si>
    <t>+82 (0)31 605 1000</t>
  </si>
  <si>
    <t>Hwaseong, South Korea</t>
  </si>
  <si>
    <t>332-7</t>
  </si>
  <si>
    <t>Samsung1-ro</t>
  </si>
  <si>
    <t>Hwaseong</t>
  </si>
  <si>
    <t>18380</t>
  </si>
  <si>
    <t>+82 (0)26 280 5534</t>
  </si>
  <si>
    <t>ray_overseas@raymedical.co.kr</t>
  </si>
  <si>
    <t>The company raised an undisclosed amount of venture funding from BRV Aster and Lotus on February 27, 2015.</t>
  </si>
  <si>
    <t>BRV Aster and Lotus, Samsung Venture Investment</t>
  </si>
  <si>
    <t>267498-55</t>
  </si>
  <si>
    <t>Ravin.ai</t>
  </si>
  <si>
    <t>Provider of vehical inspection services. The company inspection services is provice via the company's proprietary software that uses computer vision and machine learning to detect and analyze vehicle damage without specialized hardware. The company primarily serves commercial fleet operators and rental car companies.</t>
  </si>
  <si>
    <t>Automation/Workflow Software, Road*</t>
  </si>
  <si>
    <t>ai</t>
  </si>
  <si>
    <t>www.ravin.ai</t>
  </si>
  <si>
    <t>2018: 12</t>
  </si>
  <si>
    <t>New Company</t>
  </si>
  <si>
    <t>169275-34P</t>
  </si>
  <si>
    <t>Eliron Ekstein</t>
  </si>
  <si>
    <t>E14 5AB</t>
  </si>
  <si>
    <t>info@ravin.ai</t>
  </si>
  <si>
    <t>The company raised $4 million of seed funding in a deal led by Pico Partners on May 21, 2019. Shell Ventures and Adam Draizin also participated in the round.</t>
  </si>
  <si>
    <t>Pico Partners, Royal Dutch Shell, Shell Ventures</t>
  </si>
  <si>
    <t>Pico Partners(www.pico.partners), Royal Dutch Shell(www.shell.com)</t>
  </si>
  <si>
    <t>91712-26</t>
  </si>
  <si>
    <t>RateBeer</t>
  </si>
  <si>
    <t>Delectable, Vivino, Untappd</t>
  </si>
  <si>
    <t>Provider of a beer information platform designed to offer the most in-depth and accurate information on beer. The company's platform offers a consumer-driven website and features on beer culture and industry events, weekly beer-related editorials and an internationally recognized annual beer competition, enabling beer lovers to come together and share opinions of beers, as well as stay connected with the latest updates.</t>
  </si>
  <si>
    <t>FoodTech, TMT</t>
  </si>
  <si>
    <t>beer information platform, beer information portal, beer rating portal, beer reviewing website, online beer information, web portal</t>
  </si>
  <si>
    <t>www.ratebeer.com</t>
  </si>
  <si>
    <t>165480-94P</t>
  </si>
  <si>
    <t>Joseph Tucker</t>
  </si>
  <si>
    <t>Co-Founder &amp; Executive Director</t>
  </si>
  <si>
    <t>joet@ratebeer.com</t>
  </si>
  <si>
    <t>2711 Centerville Road</t>
  </si>
  <si>
    <t>19808</t>
  </si>
  <si>
    <t>The company was acquired by ZX Ventures through an LBO on February 7, 2019 for an undisclosed sum.</t>
  </si>
  <si>
    <t>114596-92</t>
  </si>
  <si>
    <t>Raptor Oil</t>
  </si>
  <si>
    <t>Provider of a processing technology designed to deliver an intelligent wireless communication system. The company's technology is designed to meet the challenge of reliably delivering high value data into and out of the wellbore, enabling the oil and gas industry to get communication system with low latency and high data rate transmission capabilities.</t>
  </si>
  <si>
    <t>Energy Infrastructure, Media and Information Services (B2B), Oil and Gas Equipment*</t>
  </si>
  <si>
    <t>energy infrastructure, oil and gas devices, oil and gas system, process technology, telemetry systems</t>
  </si>
  <si>
    <t>www.raptor-oil.com</t>
  </si>
  <si>
    <t>2015: 3, 2017: 6</t>
  </si>
  <si>
    <t>101825-74P</t>
  </si>
  <si>
    <t>Gordon Cowie</t>
  </si>
  <si>
    <t>gordon.cowie@raptor-oil.com</t>
  </si>
  <si>
    <t>13 Queen's Road</t>
  </si>
  <si>
    <t>AB15 4YL</t>
  </si>
  <si>
    <t>The company raised GBP 4 million of Series C venture funding in a deal led by Statoil Technology Invest on December 15, 2017, putting the pre-money valuation at GBP 4.15 million. ConocoPhillips Technology Ventures and Scottish Enterprise also participated in the round.</t>
  </si>
  <si>
    <t>ConocoPhillips Technology Ventures, Equinor Technology Ventures, Scottish Enterprise</t>
  </si>
  <si>
    <t>Scottish Enterprise(www.scottish-enterprise.com)</t>
  </si>
  <si>
    <t>155890-63</t>
  </si>
  <si>
    <t>Rappi</t>
  </si>
  <si>
    <t>Instacart, Foodler, Cornershop, Burpy, Mercadoni, Shipt, iFood, Fetch Rewards, ShopHero, Delivery.com, Deliveroo, EatStreet, DoorDash, Glovoapp23</t>
  </si>
  <si>
    <t>Provider of an on-demand delivery platform designed to connect consumers with local stores. The company's platform helps consumers order groceries, food and drugstore medications as well as send money to someone, or have a courier withdraw money from their bank account from an ATM and get it delivered to them, enabling users to shop for any item and get it delivered to their home within minutes.</t>
  </si>
  <si>
    <t>Application Software, Internet Retail*, Social/Platform Software</t>
  </si>
  <si>
    <t>E-Commerce, FoodTech, Mobile</t>
  </si>
  <si>
    <t>food home delivery, grocery delivery, grocery delivery platform, grocery shopping, on demand delivery</t>
  </si>
  <si>
    <t>www.rappi.com</t>
  </si>
  <si>
    <t>2015: 50, 2016: 300, 2017: 700, 2018: 700</t>
  </si>
  <si>
    <t>131258-98P</t>
  </si>
  <si>
    <t>Felipe Villamarin</t>
  </si>
  <si>
    <t>felipe@rappi.com</t>
  </si>
  <si>
    <t>Bogotá, Colombia</t>
  </si>
  <si>
    <t>Calle 93 # 19-58</t>
  </si>
  <si>
    <t>Bogotá</t>
  </si>
  <si>
    <t>DC Colombia</t>
  </si>
  <si>
    <t>Colombia</t>
  </si>
  <si>
    <t>The company raised $1 billion of venture funding from SoftBank Group on April 30, 2019. The funds will be used to enhance the company's presence in existing markets, enter new ones and release new products and services.</t>
  </si>
  <si>
    <t>Andreessen Horowitz, BoomStartup, Burch Creative Capital, Delivery Hero, DST Global, Endeavor Global, Erik Torenberg, FJ Labs, Floodgate Fund, Foundation Capital, FundersClub, Grupo Bolívar, Investo, Monashees Capital, Omega Venture Partners, ONEVC, Plug and Play Tech Center, Redpoint eventures, Sentido Empresarial, Sequoia Capital, SoftBank Group, Soma Capital, Streamlined Ventures, Tiger Global Management, XG Ventures, Y Combinator, ZX Ventures</t>
  </si>
  <si>
    <t>Andreessen Horowitz(www.a16z.com), BoomStartup(www.boomstartup.com), Burch Creative Capital(www.burchcreativecapital.com), Delivery Hero(www.deliveryhero.com), DST Global(www.dst-global.com), Endeavor Global(www.endeavor.org), FJ Labs(www.fjlabs.com), Floodgate Fund(www.floodgate.com), Foundation Capital(www.foundationcapital.com), FundersClub(www.fundersclub.com), Grupo Bolívar(www.grupobolivar.com.co), Investo(www.investovc.com), Monashees Capital(www.monashees.com.br), Omega Venture Partners(www.omegavp.com), ONEVC(www.onevc.vc), Plug and Play Tech Center(www.plugandplaytechcenter.com), Redpoint eventures(www.rpev.com.br), Sentido Empresarial(www.sentidoempresarial.com), Sequoia Capital(www.sequoiacap.com), SoftBank Group(www.softbank.jp), Soma Capital(somacap.com), Streamlined Ventures(www.streamlinedventures.com), Tiger Global Management(www.tigerglobal.com), XG Ventures(www.xg-ventures.com), Y Combinator(www.ycombinator.com), ZX Ventures(www.zx-ventures.com)</t>
  </si>
  <si>
    <t>265357-09</t>
  </si>
  <si>
    <t>RapidDeploy</t>
  </si>
  <si>
    <t>Mark43, NowForce</t>
  </si>
  <si>
    <t>Developer of Cloud-based Computer Aided Dispatch (CAD) and Analytics platform intended to provide public safety. The company's platform simplifies the complexity of emergency dispatch through precise location information, improved situational awareness, allocation of appropriate resources for optimized response, mobile field service apps and advanced incident management tools, enabling users to reduce response times for all and improve first responder safety by increasing situational awareness.</t>
  </si>
  <si>
    <t>computer aided dispatch, events scheduling application, geo-locating &amp; tracking, routing optimisation, social media integration, weather integration, workforce management app</t>
  </si>
  <si>
    <t>www.rapiddeploy.com</t>
  </si>
  <si>
    <t>201066-49P</t>
  </si>
  <si>
    <t>Steven Raucher</t>
  </si>
  <si>
    <t>steven.raucher@rapiddeploy.com</t>
  </si>
  <si>
    <t>+1 (415) 417-2743</t>
  </si>
  <si>
    <t>The company raised $12 million of Series A venture funding in a deal led by GreatPoint Ventures and Samsung NEXT Ventures on February 11, 2019. Other undisclosed investors also participated in this round. The funds will be used to accelerate the development and deployment of its Cloud Aided DispatchTM platform.</t>
  </si>
  <si>
    <t>GreatPoint Ventures, Samsung NEXT Ventures, Tao Capital Partners</t>
  </si>
  <si>
    <t>GreatPoint Ventures(www.gpv.com), Samsung NEXT Ventures(www.samsungnext.com), Tao Capital Partners(www.taocap.com)</t>
  </si>
  <si>
    <t>12875-23</t>
  </si>
  <si>
    <t>Ramp (Video Delivery)</t>
  </si>
  <si>
    <t>Podzinger Corp., EveryZing Inc</t>
  </si>
  <si>
    <t>Qwilt, vzaar, Ustream, Brightcove, Panopto, A2Zlogix, Vantrix, VectorMAX, Brainshark, Encoding.com, SeaWell Networks, Wideo, Vid Network, Archwave Technologies, Ensemble Video, Hive Streaming, Wowza Media Systems, Vidyo, Qumu, MainStreaming, Libcast, Beamr, SmartStory, uStudio, Livestream, Viddler, Kollective, Kaltura, Openwave Mobility, SAVO Group, Slope</t>
  </si>
  <si>
    <t>Developer of a next-generation video delivery solutions designed to unleash the power of video inside the enterprise. The company's solutions offer a content optimization that is simple, secure and overlays with existing network infrastructure to ensure high-quality, stable video from any streaming platform without expensive network upgrades or proprietary infrastructure, enabling customers to configure and visually monitor the status and performance from a single, web-based interface.</t>
  </si>
  <si>
    <t>enterprise video streaming, live video streaming, live video streaming application, live video streaming platform, online content, optimization platform</t>
  </si>
  <si>
    <t>www.ramp.com</t>
  </si>
  <si>
    <t>60199-93P</t>
  </si>
  <si>
    <t>Raymond Lau</t>
  </si>
  <si>
    <t>Board Member and Technical Advisor</t>
  </si>
  <si>
    <t>rlau@ramp.com</t>
  </si>
  <si>
    <t>+1 (857) 202-3500</t>
  </si>
  <si>
    <t>100 Franklin Street</t>
  </si>
  <si>
    <t>Suite 705</t>
  </si>
  <si>
    <t>+1 (857) 202-3501</t>
  </si>
  <si>
    <t>info@ramp.com</t>
  </si>
  <si>
    <t>The company raised $1.79 million of Series D venture funding from undisclosed investors on March 28, 2019, putting the company's pre-money valuation at $70 million.</t>
  </si>
  <si>
    <t>Accel, BBN Technologies, Comcast Ventures, Commonwealth Capital Ventures, EDBI, Fairhaven Capital Partners, General Catalyst, Hearst Ventures, Peacock Equity, StarVest Partners</t>
  </si>
  <si>
    <t>Accel(www.accel.com), BBN Technologies(www.bbn.com), Comcast Ventures(www.comcastventures.com), Commonwealth Capital Ventures(www.commonwealthvc.com), EDBI(www.edbi.com), Fairhaven Capital Partners(www.fairhavencapital.com), General Catalyst(www.generalcatalyst.com), StarVest Partners(www.starvestpartners.com)</t>
  </si>
  <si>
    <t>Cisco Systems(Debt Financing), Goodwin(Legal Advisor), Hitachi Capital America Vendor Services(Debt Financing)</t>
  </si>
  <si>
    <t>Goodwin(Legal Advisor), Montgomery &amp; Company(Advisor: General), Signal Hill Capital Group(Advisor: General), Telos Advisors(Advisor: General)</t>
  </si>
  <si>
    <t>54822-34</t>
  </si>
  <si>
    <t>RAMOS Technology</t>
  </si>
  <si>
    <t>RAMOS</t>
  </si>
  <si>
    <t>Manufactures main memory products such as memory modules for PCs and mobile products. The company is a semiconductor company which uses its technology to make USB drives for desktop, server and other mobile products.</t>
  </si>
  <si>
    <t>Application Specific Semiconductors, Storage (IT)*</t>
  </si>
  <si>
    <t>memory, memory modules, server memory</t>
  </si>
  <si>
    <t>www.ramostek.com</t>
  </si>
  <si>
    <t>Hwasung-Si, South Korea</t>
  </si>
  <si>
    <t>401-15, Chunggae-ri</t>
  </si>
  <si>
    <t>Dongtan-myeon</t>
  </si>
  <si>
    <t>Hwasung-Si</t>
  </si>
  <si>
    <t>445-810</t>
  </si>
  <si>
    <t>+82 (0)31 899 7501</t>
  </si>
  <si>
    <t>+82 (0)31 899 7541</t>
  </si>
  <si>
    <t>The company raised an undisclosed amount of venture funding from RAMOS Technology on an undisclosed date.</t>
  </si>
  <si>
    <t>155313-46</t>
  </si>
  <si>
    <t>Rally Networks</t>
  </si>
  <si>
    <t>Rally</t>
  </si>
  <si>
    <t>Real Time Content</t>
  </si>
  <si>
    <t>Provider of location-based marketing services designed to connect customers to digital experiences. The company's location-based marketing services facilitates conversion of foot traffic into mobile engagement though free WiFi, phone charging, proximity beacons and digital displays, enabling customers to get relevant content and quickly facilitating digital transactions.</t>
  </si>
  <si>
    <t>AdTech, Marketing Tech, Mobile, TMT</t>
  </si>
  <si>
    <t>digital advertising platform, location marketing, location-based marketing services, mobile engagement</t>
  </si>
  <si>
    <t>www.rallycharge.com</t>
  </si>
  <si>
    <t>130273-30P</t>
  </si>
  <si>
    <t>Cory Azzalino</t>
  </si>
  <si>
    <t>cory.azzalino@rallypwr.com</t>
  </si>
  <si>
    <t>+1 (949) 636-1240</t>
  </si>
  <si>
    <t>604 Arizona Avenue</t>
  </si>
  <si>
    <t>info@rallynetworks.com</t>
  </si>
  <si>
    <t>The company joined Virgin Media Business and received $120,000 in funding on March 10, 2016. As a part of this transaction, the funding was received from Techstars and Liberty Global Ventures. Previously, the company graduated from Stubbs Alderton &amp; Markiles Preccelerator on October 16, 2015.</t>
  </si>
  <si>
    <t>Liberty Global Ventures, Stubbs Alderton &amp; Markiles Preccelerator, Techstars, Tomorrow Lab, Virgin Media Business</t>
  </si>
  <si>
    <t>Techstars(www.techstars.com), Tomorrow Lab(www.tomorrow-lab.com), Virgin Media Business(www.virginmediabusiness.co.uk)</t>
  </si>
  <si>
    <t>97627-33</t>
  </si>
  <si>
    <t>raiseMe</t>
  </si>
  <si>
    <t>Provider of an education management platform designed for students to record specific accomplishments. The company's platform helps students to earn micro scholarships throughout high school based on their individual achievements in class and overall progress, enabling bright students to get financial assistance to support continued academic progress.</t>
  </si>
  <si>
    <t>Other Consumer Products and Services</t>
  </si>
  <si>
    <t>Application Software, Database Software, Other Consumer Products and Services*</t>
  </si>
  <si>
    <t>earn micro scholarship, education management platform, impact investing vertical, micro scholarship, record accomplishments</t>
  </si>
  <si>
    <t>www.raise.me</t>
  </si>
  <si>
    <t>2014: 7, 2015: 15</t>
  </si>
  <si>
    <t>83000-98P</t>
  </si>
  <si>
    <t>Preston Silverman</t>
  </si>
  <si>
    <t>preston@raise.me</t>
  </si>
  <si>
    <t>180 Capp Street</t>
  </si>
  <si>
    <t>The company raised $15 million of Series B venture funding in a deal led by Teamworthy Ventures on July 26, 2018, putting the company's pre-money valuation at $70 million. Salesforce Ventures, Strada Education Network and Chan Zuckerberg Initiative also participated in the round. The funds will be used to expand operations and its reach as well as launching the new 'RaiseMe for Community College Transfers' platform.</t>
  </si>
  <si>
    <t>Andy Getsey, Chan Zuckerberg Initiative, Deborah Quazzo, Education Design Studio, Entangled Group, First Round Capital, Geoff Ralston, GSV AcceleraTE, Imagine K12, Mark Goines, Montage Ventures, Owl Ventures, Redpoint Ventures, Salesforce Ventures, SJF Ventures, Strada Education Network, Teamworthy Ventures, Thomas Lehrman, Wharton Impact Investing Partners</t>
  </si>
  <si>
    <t>Chan Zuckerberg Initiative(www.chanzuckerberg.com), Education Design Studio(www.e-designstudio.com), Entangled Group(www.entangled.group), First Round Capital(www.firstround.com), GSV AcceleraTE(www.gsvaccelerate.com), Imagine K12(www.imaginek12.com), Montage Ventures(www.montageventures.com), Owl Ventures(www.owlvc.com), Redpoint Ventures(www.redpoint.com), SJF Ventures(www.sjfventures.com), Strada Education Network(www.stradaeducation.org), Teamworthy Ventures(www.teamworthy.com), Wharton Impact Investing Partners(www.whartonimpactinvestingpartners.com)</t>
  </si>
  <si>
    <t>Gunderson Dettmer(Legal Advisor), Orrick, Herrington &amp; Sutcliffe(Legal Advisor), Propeller Industries(Advisor: General)</t>
  </si>
  <si>
    <t>Gunderson Dettmer(Legal Advisor), Orrick, Herrington &amp; Sutcliffe(Legal Advisor), Reitler Kailas &amp; Rosenblatt(Legal Advisor)</t>
  </si>
  <si>
    <t>150227-29</t>
  </si>
  <si>
    <t>RAEN Optics.com</t>
  </si>
  <si>
    <t>Raen</t>
  </si>
  <si>
    <t>Manufacturer of eyewear. The company's products include handmade optics, frames, sunglasses, eyeglasses and related accessories.</t>
  </si>
  <si>
    <t>Accessories*</t>
  </si>
  <si>
    <t>eyeglasses, handmade eyewear, sunglasses</t>
  </si>
  <si>
    <t>www.raen.com</t>
  </si>
  <si>
    <t>2015: 24</t>
  </si>
  <si>
    <t>123772-69P</t>
  </si>
  <si>
    <t>Justin Heit</t>
  </si>
  <si>
    <t>Co-Founder and Creative Director</t>
  </si>
  <si>
    <t>justin.heit@raen.com</t>
  </si>
  <si>
    <t>+1 (760) 436-7236</t>
  </si>
  <si>
    <t>1722 South Coast Highway</t>
  </si>
  <si>
    <t>Suite 01</t>
  </si>
  <si>
    <t>92054</t>
  </si>
  <si>
    <t>+1 (760) 712-4159</t>
  </si>
  <si>
    <t>info@raen.com</t>
  </si>
  <si>
    <t>The company received an undisclosed amount of debt financing in the form of loan from Camel Financial on August 1, 2016. Previously, the company received an undisclosed amount of development capital from KarpReilly.</t>
  </si>
  <si>
    <t>CircleUp Network, KarpReilly</t>
  </si>
  <si>
    <t>CircleUp Network(www.circleup.com), KarpReilly(www.karpreilly.com)</t>
  </si>
  <si>
    <t>AHR Growth Partners(Advisor: General), Camel Financial(Debt Financing), CircleUp Network(Lead Manager or Arranger), Global Capital Markets(Lead Manager or Arranger)</t>
  </si>
  <si>
    <t>54106-39</t>
  </si>
  <si>
    <t>Radius (Database Software)</t>
  </si>
  <si>
    <t>Fwix</t>
  </si>
  <si>
    <t>HG Insights, Infer, RapidMiner, DATAlovers, 6Sense, Reach Analytics, Unomy, Amplitude, SweetIQ, Netsertive, SalesLoft, MomentFeed, Terminus, Infogroup, MarianaIQ, MaxPoint Interactive, Express Analytics, Clearbit, The Big Willow, Mintigo, Datameer, DataFox, MixPanel, TruSignal, Segment, CompanyBook, Sprinklr, Salesify, Yext, BusinessOptics, Aberdeen Group, Act-On, WordStream, InsideView, Bulldog Solutions, EverString, Balihoo, ReachForce, Triblio, Craft, Demandbase, Geolid, Batch (Business/Productivity Software), Baynote, Signpost, Uberall, ConnectLeader, Bombora, Leadspace, AgilOne, LeadGenius, Upserve, Sojern, DataSphere, mParticle, Brandmuscle, ReachLocal, HubSpot, Datanyze, Synup, Peak Business Insight, Tectonic, Manta (Media and Information Services), Predixion, Swrve, SessionM, DiscoverOrg, Dun &amp; Bradstreet NetProspex, Lattice (Business/Productivity Software), Actian, RichRelevance, Infinite Analytics, Vendemore, MoEngage, Internal Results, Crunchbase, Zift Solutions, iProfile, BigML, Main Street Hub, InsideSales.com, QuinStreet, Red Ventures, OnStrategy, SproutLoud Media Networks, Harte Hanks, BetterWorks, Epsilon Data Management, Marketman, Marketo, True Influence, Owler, DueDil, Salesforce</t>
  </si>
  <si>
    <t>Provider of a predictive marketing software intended to find, target, and understand consumers prospects.The company's predictive marketing software transforms the way B2B companies discover markets, acquire customers and measure success, enabling marketers with predictive analytics, powerful segmentation and seamless integrations to reach all their customers in more meaningful ways.</t>
  </si>
  <si>
    <t>Business/Productivity Software, Database Software, Media and Information Services (B2B)*</t>
  </si>
  <si>
    <t>business database, marketing intelligence, marketing software, predictive marketing software, sales intelligence</t>
  </si>
  <si>
    <t>www.radius.com</t>
  </si>
  <si>
    <t>2014: 64, 2015: 102, 2017: 154</t>
  </si>
  <si>
    <t>35884-81P</t>
  </si>
  <si>
    <t>Darian Shirazi</t>
  </si>
  <si>
    <t>darian@radius.com</t>
  </si>
  <si>
    <t>+1 (855) 723-4870</t>
  </si>
  <si>
    <t>Floor 12</t>
  </si>
  <si>
    <t>info@radius.com</t>
  </si>
  <si>
    <t>The company is planning to raise $60 million of Series 1 venture funding from undisclosed investors as of November 15, 2017, putting the company's pre-money valuation at $140 million. Previously, Peninsula Ventures sold its stake in the company to undisclosed investors. The company is being actively tracked by PitchBook.</t>
  </si>
  <si>
    <t>8VC, Alan Braverman, AME Cloud Ventures, American Express Ventures, Andrew Oetting, BBVA Ventures, BlueRun Ventures, Capital Yuan Tao, Charles Songhurst, Comcast Ventures, Darian Shirazi, David Sacks, Elevate Innovation Partners, Formation 8, Founders Fund, Glynn Capital, Individual Investor, InterWest Partners, Jared Leto, John Mack, Kevin Colleran, Nima Capital, Peter Thiel, Ronald Lott, Salesforce Ventures, Slow Ventures, Western Technology Investment, Zhiyuan Yang</t>
  </si>
  <si>
    <t>Peninsula Ventures, Yuan Capital</t>
  </si>
  <si>
    <t>8VC(www.8vc.com), Alan Braverman(alanb.com), AME Cloud Ventures(www.amecloudventures.com), BlueRun Ventures(www.brv.com), Capital Yuan Tao(www.capitalyuantao.com), Comcast Ventures(www.comcastventures.com), Elevate Innovation Partners(www.eipfund.com), Formation 8(www.formation8.com), Founders Fund(www.foundersfund.com), Glynn Capital(www.glynncapital.com), InterWest Partners(www.interwest.com), Kevin Colleran(facebook.com/kevin), Nima Capital(www.nimacap.com), Slow Ventures(www.slow.co), Western Technology Investment(www.westerntech.com)</t>
  </si>
  <si>
    <t>Peninsula Ventures(www.peninsulaventures.com)</t>
  </si>
  <si>
    <t>Gunderson Dettmer(Legal Advisor), Keating Consulting Group(Accounting), Montgomery &amp; Company(Advisor: General), Venture Development Center(Consulting)</t>
  </si>
  <si>
    <t>Gunderson Dettmer(Legal Advisor), Western Technology Investment(Debt Financing)</t>
  </si>
  <si>
    <t>170128-18</t>
  </si>
  <si>
    <t>Radish Media</t>
  </si>
  <si>
    <t>Radish, Radish Fiction</t>
  </si>
  <si>
    <t>Developer of a mobile application for serialized fiction designed to gather the great serial fiction from the world's best authors. The company's serialized fiction platform has 700 authors spanning romance, fantasy, young-adult, paranormal, mystery and sci-fi genres and its app has a built-in way for writers to make money from their content, enabling writers to get paid immediately while retaining the copyright.</t>
  </si>
  <si>
    <t>Broadcasting, Radio and Television, Entertainment Software, Publishing*</t>
  </si>
  <si>
    <t>adult fiction, children fiction, fiction series, serialized fiction</t>
  </si>
  <si>
    <t>www.radishfiction.com</t>
  </si>
  <si>
    <t>2017: 17, 2018: 30</t>
  </si>
  <si>
    <t>107392-33P</t>
  </si>
  <si>
    <t>Seung Lee</t>
  </si>
  <si>
    <t>seungyoon@radishfiction.com</t>
  </si>
  <si>
    <t>+1 (650) 922-9319</t>
  </si>
  <si>
    <t>335 Madison Avenue</t>
  </si>
  <si>
    <t>info@radishfiction.com</t>
  </si>
  <si>
    <t>The company raised $4.5 million through a combination of Seed funding from undisclosed investors as of April 12, 2018, putting the company's pre-money valuation at $18 million.</t>
  </si>
  <si>
    <t>Alrai Capital, Amy Tan, Bertelsmann Digital Media Investments, Bon Angels, Charles Songhurst, Company (Office Space), Duncan Clark, Eric Li, Greylock Partners, Jaewoong Lee, Jeremy Yap, Kairos Society, Kima Ventures, Lowercase Capital, Matt Humphrey, Michael Penington, Nicolas Berggruen, Peter Bazalgette, Seojoon Kim, Sherpa Capital, SoftBank Ventures Asia, UTA Ventures</t>
  </si>
  <si>
    <t>Alrai Capital(www.alraicap.com), Bertelsmann Digital Media Investments(www.bdmifund.com), Bon Angels(www.bonangels.net), Company (Office Space)(www.company.co), Greylock Partners(www.greylock.com), Kairos Society(www.kairoshq.com), Kima Ventures(www.kimaventures.com), Lowercase Capital(www.lowercasecapital.com), Sherpa Capital(www.sherpa.com), SoftBank Ventures Asia(www.softbank.co.kr), UTA Ventures(ventures.unitedtalent.com)</t>
  </si>
  <si>
    <t>Brooklyn Cooperative(Debt Financing), Wilson Sonsini Goodrich &amp; Rosati(Legal Advisor)</t>
  </si>
  <si>
    <t>159360-85</t>
  </si>
  <si>
    <t>RadioPublic</t>
  </si>
  <si>
    <t>Acast, Bumpers, Spreaker, Overcast Radio, Anchor FM, 60db, Stitcher</t>
  </si>
  <si>
    <t>Operator of a mobile platform intended to offer handpicked podcast playlists from people who love podcasts. The company's platform facilitates on-demand digital audio file distribution which helps in downloading files in a computer or portable media player, enabling clients to enhance their listening experience.</t>
  </si>
  <si>
    <t>Application Software, Entertainment Software*, Social/Platform Software</t>
  </si>
  <si>
    <t>audio files distribution app, digital audio files listening, mobile listening platform, on demand radio and podcast, podcast</t>
  </si>
  <si>
    <t>www.radiopublic.com</t>
  </si>
  <si>
    <t>83711-98P</t>
  </si>
  <si>
    <t>Jake Shapiro</t>
  </si>
  <si>
    <t>Kingston Street</t>
  </si>
  <si>
    <t>help@radiopublic.com</t>
  </si>
  <si>
    <t>The company raised $500,000 of Series A venture funding from an undisclosed investor on October 5, 2018, putting the company's pre-money valuation at $10 million. Earlier, the company raised $145,338 of angel funding via Republic in the form of SAFE notes on September 3, 2018, putting the company's pre-money valuation at $9.85 million.</t>
  </si>
  <si>
    <t>American Public Media, Andrew Mason, Bose Ventures, CompanyOn, George Overholser, Graham Holdings, Homebrew, John S. and James L. Knight Foundation, Matter Ventures, Project 11 Ventures, The McClatchy Company, The New York Times, UP2398, WGBH</t>
  </si>
  <si>
    <t>American Public Media(www.americanpublicmedia.org), Bose Ventures(bose.ventures), CompanyOn(www.companyon.co), Graham Holdings(www.ghco.com), Homebrew(www.homebrew.co), John S. and James L. Knight Foundation(www.knightfoundation.org), Matter Ventures(www.matter.vc), Project 11 Ventures(www.project11.com), UP2398(www.up2398.com), WGBH(www.wgbh.org)</t>
  </si>
  <si>
    <t>56894-68</t>
  </si>
  <si>
    <t>Qyuki</t>
  </si>
  <si>
    <t>Zenfolio</t>
  </si>
  <si>
    <t>Provider of an online broadcasting network designed to create music and videos. The company's online broadcasting network uses proprietary technology and analytics to discover and promote digital superstars and manages the end-to-end value chain for them across platforms, enabling users to create creative content, which can be distributed across various devices as well as can be monetized.</t>
  </si>
  <si>
    <t>Broadcasting, Radio and Television*, Other Communications and Networking, Social/Platform Software</t>
  </si>
  <si>
    <t>creative content, digital media service, new media, online broadcasting, online broadcasting network</t>
  </si>
  <si>
    <t>www.qyuki.com</t>
  </si>
  <si>
    <t>2014: 24, 2015: 28, 2016: 37</t>
  </si>
  <si>
    <t>49299-13P</t>
  </si>
  <si>
    <t>Samir Bangara</t>
  </si>
  <si>
    <t>samir@qyuki.com</t>
  </si>
  <si>
    <t>+91 (0)76 7807 8433</t>
  </si>
  <si>
    <t>7 &amp; 8, Harinivas Building</t>
  </si>
  <si>
    <t>Off S V Road, Bandra West, 30th Cross Road</t>
  </si>
  <si>
    <t>400050</t>
  </si>
  <si>
    <t>social@qyuki.com</t>
  </si>
  <si>
    <t>The company was in talks to receive $10 million of Series A venture funding on January 5, 2017, putting the company's pre-money valuation at $34.4 million. Subsequently the deal was cancelled. Previously, the company raised $10 million of venture funding from undisclosed investors on January 15, 2015. The company will use the funding to hire talent.</t>
  </si>
  <si>
    <t>Anisha Mittal, Binny Bansal, Cisco Investments, Singapore Angel Network, Varun Singhi</t>
  </si>
  <si>
    <t>Cisco Investments(www.ciscoinvestments.com), Singapore Angel Network(www.sgan.sg)</t>
  </si>
  <si>
    <t>53012-44</t>
  </si>
  <si>
    <t>Qwilt</t>
  </si>
  <si>
    <t>Conviva, PeerApp</t>
  </si>
  <si>
    <t>Provider of open caching and online video delivery platform designed to offer network that can fulfill every application and content demand. The company's open caching and online video delivery platform optimizes delivery of streaming video content to relieve network traffic congestion for operators, enabling customers to get higher quality viewing experience.</t>
  </si>
  <si>
    <t>internet video platform, video analytics, video content, video delivery, video network services, video technology</t>
  </si>
  <si>
    <t>www.qwilt.com</t>
  </si>
  <si>
    <t>2011: 30, 2014: 55, 2015: 77</t>
  </si>
  <si>
    <t>38955-97P</t>
  </si>
  <si>
    <t>Alon Maor</t>
  </si>
  <si>
    <t>alon@qwilt.com</t>
  </si>
  <si>
    <t>+1 (866) 824-8009</t>
  </si>
  <si>
    <t>+1 (650) 249-6521</t>
  </si>
  <si>
    <t>hello@qwilt.com</t>
  </si>
  <si>
    <t>The company raised $25 million of Series D venture funding in a deal led by Disruptive on June 25, 2015, putting the company's pre-money valuation at $153.51 million. Innovation Endeavors, Cisco Investments, Accel, Bessemer Venture Partners, Marker, and Redpoint Ventures also participated in the round. The company will use the funding to scale the company, including the acceleration of its go-to-market strategy and support for Tier 1 network operator deployments worldwide.</t>
  </si>
  <si>
    <t>Accel, Bessemer Venture Partners, Cisco Investments, Crescent Point Group, Disruptive Technologies Venture Capital, Dror Berman, Individual Investor, Innovation Endeavors, Marker, Peter Wagner, Redpoint Ventures, Wing Venture Capital</t>
  </si>
  <si>
    <t>Accel(www.accel.com), Bessemer Venture Partners(www.bvp.com), Cisco Investments(www.ciscoinvestments.com), Crescent Point Group(www.cgcm.com), Disruptive Technologies Venture Capital(www.disruptivevc.com), Innovation Endeavors(www.innovationendeavors.com), Marker(www.marker-llc.com), Redpoint Ventures(www.redpoint.com), Wing Venture Capital(www.wing.vc)</t>
  </si>
  <si>
    <t>97502-23</t>
  </si>
  <si>
    <t>Quobyte</t>
  </si>
  <si>
    <t>StorageCraft Technology, Cohesity, CloudVelox, NGD Systems, Acronis, Veeam, Dropbox, 5nine Software, Imanis Data, CommVault Systems, Nasuni, ioFabric, Infrascale, Cleversafe, Box, SHI International, Microsoft Visio, Mozy, StorPool, ConnectWise, Igneous Systems, Barefoot Networks, VMware</t>
  </si>
  <si>
    <t>Developer of a unified software-defined storage system designed to make data storage efficient, reliable and scalable. The company's software turns commodity servers into a highly automated multi-data center file system and combines latest distributed systems research with proven concepts for large-scale infrastructure, enabling companies to build a reliable, scalable and flexible software storage infrastructure.</t>
  </si>
  <si>
    <t>data storage platform, horizontal storage infrastructure, microservices, software defined storage, software storage, storage software, storage system, unified storage system</t>
  </si>
  <si>
    <t>www.quobyte.com</t>
  </si>
  <si>
    <t>2017: 2</t>
  </si>
  <si>
    <t>79109-38P</t>
  </si>
  <si>
    <t>Bjoern Kolbeck</t>
  </si>
  <si>
    <t>bjoern@quobyte.com</t>
  </si>
  <si>
    <t>+1 (650) 564-3111</t>
  </si>
  <si>
    <t>5201 Great America Parkway</t>
  </si>
  <si>
    <t>Suite 320</t>
  </si>
  <si>
    <t>nfo@quobyte.com</t>
  </si>
  <si>
    <t>The company raised an undisclosed amount of Series D venture funding from Samsung Catalyst, Amiti Ventures and Delek Motors on June 26, 2017. Gemini Israel Ventures, Global Investment Group, Liberty Venture Partners, Magma Venture Partners, SPARX Group and Vintage Investment Partners also participated in the round.</t>
  </si>
  <si>
    <t>Alternative Strategic Investments, Amiti Ventures, Delek Motors, Gemini Israel Ventures, German Accelerator, Global Investment Group, High-Tech Gründerfonds, Liberty Venture Partners, Magma Venture Partners, Samsung Catalyst, SPARX Group Company, Target Partners, Vintage Investment Partners</t>
  </si>
  <si>
    <t>Alternative Strategic Investments(www.alstin.de), Amiti Ventures(www.amiticapital.com), Delek Motors(www.delek-motors.co.il), Gemini Israel Ventures(www.gemini.co.il), German Accelerator(www.germanaccelerator.com), Global Investment Group(www.standrewsgig.com), High-Tech Gründerfonds(www.high-tech-gruenderfonds.de), Liberty Venture Partners(www.libertyvp.com), Magma Venture Partners(www.magmavc.com), Samsung Catalyst(www.samsungcatalyst.com), SPARX Group Company(www.sparx.jp), Target Partners(www.targetpartners.de), Vintage Investment Partners(www.vintage-ip.com)</t>
  </si>
  <si>
    <t>55632-25</t>
  </si>
  <si>
    <t>Qumulo</t>
  </si>
  <si>
    <t>Caringo, Cohesity, SwiftStack, Scality, Sumo Logic, Springpath, Maxta, PrimaryIO, Stratoscale, Tarmin, Pure Storage, StorageCraft Technology, ioFabric, Cloudian, Nexenta, DataCore Software, Velostrata, Pentaho, E8 Storage, Coho Data, Primary Data, Druva, Scale Computing, Acronis, WekaIO, Igneous Systems, Excelero, Elastifile, Cleversafe, Atlantis Computing, ScaleIO, OpenIO, TIBCO Software, Datera, Datrium, Amplidata, Nasuni, Hitachi Vantara, Plexistor, Infinio Systems, SimpliVity, Rancher (Container Management), Unitrends, VMware, Rubrik, Nutanix, Open Drives, Mirantis, StorPool, X-IO Storage, Isilon Systems</t>
  </si>
  <si>
    <t>Provider of a cloud-based enterprise data storage platform designed to manage and store enormous number of digital assets through real-time analytics. The company's platform leverages the price and performance of commodity hardware coupled with the modern technologies of flash, virtualization and cloud, enabling storage administrators to instantly see usage, activity and throughput history at any level of the unified directory structure and thus pinpoint problems and manage how storage is used.</t>
  </si>
  <si>
    <t>cloud-based storage, data management, data storage analytics, data virtualization, database management, enterprise cloud storage, enterprise data storage, enterprise database</t>
  </si>
  <si>
    <t>www.qumulo.com</t>
  </si>
  <si>
    <t>2014: 63, 2015: 100, 2016: 150, 2017: 200, 2018: 200</t>
  </si>
  <si>
    <t>35930-53P</t>
  </si>
  <si>
    <t>Matthew Frey</t>
  </si>
  <si>
    <t>matthew.frey@qumulo.com</t>
  </si>
  <si>
    <t>+1 (206) 260-3588</t>
  </si>
  <si>
    <t>1501 4th Avenue</t>
  </si>
  <si>
    <t>Suite 1600</t>
  </si>
  <si>
    <t>info@qumulo.com</t>
  </si>
  <si>
    <t>The company raised $93.01 million of Series D venture funding through a combination of debt and equity on June 6, 2018. $93.01 equity portion of Series D funding was led by BlackRock with participation from Western Digital Capital, Highland Capital Partners, Valhalla Partners, Kleiner Perkins, Northern Light Venture Capital, Goldman Sachs Investment Partners and Madrona Venture Group. A $8 million debt portion was provided by Silicon Valley Bank.</t>
  </si>
  <si>
    <t>Allen &amp; Company, BlackRock, Data Collective, Goldman Sachs Investment Partners, Highland Capital Partners, Kleiner Perkins, Madrona Venture Group, Northern Light Venture Capital, Osprey Investors, Sujal Patel, Top Tier Capital Partners, Tyche Partners, Valhalla Partners, Western Digital Capital</t>
  </si>
  <si>
    <t>Allen &amp; Company(www.allenco.com), BlackRock(www.blackrock.com), Data Collective(www.dcvc.com), Goldman Sachs Investment Partners(www.gsipventures.com), Highland Capital Partners(www.hcp.com), Kleiner Perkins(www.kleinerperkins.com), Madrona Venture Group(www.madrona.com), Northern Light Venture Capital(www.nlvc.com), Osprey Investors(www.ospreyinvestors.com), Top Tier Capital Partners(www.ttcp.com), Tyche Partners(www.tychepartners.com), Valhalla Partners(www.valhallapartners.com), Western Digital Capital(www.westerndigitalcapital.com)</t>
  </si>
  <si>
    <t>Fenwick &amp; West(Legal Advisor), Neighbors &amp; Associates(Consulting), Wilson Sonsini Goodrich &amp; Rosati(Legal Advisor)</t>
  </si>
  <si>
    <t>52552-18</t>
  </si>
  <si>
    <t>Quid</t>
  </si>
  <si>
    <t>Periscope Data, Looker, Sisense, BIME Analytics, Mode Analytics, Kyvos Insights, Alation, Numetric, Arimo, MapR, Crayon Data, Arcadia Data, Kloudio, Plotly, Datahero, Kaggle, Dimensional Insight, InsideView, Bitext Innovations, Synapsify, Yellowfin, BeyondCore, Palantir Technologies, DataTorrent, FirstRain, Predikto, Stories: Business Intelligence, AtScale, Crimson Hexagon, Cloudera, InMoment, Zoomdata, Klipfolio, BigML, Notion Data, ClearStory Data, Pentaho, DataSift, OpenLink Software, Databricks, Narrative Science, DataStax, Digimind, Artificial Solutions, Bibblio, CognitiveScale, Datascience.com, Qlik Technologies, MarkLogic, Uptake, Antuit, Luminoso, Grow (Business/Productivity Software), Coveo, Prelert, DocAuto, Dundas Data Visualization, Sensai, Squirro, Innoplexus, Ayfie, Domo, Fractal Analytics, Sense Enterprise, Izenda, Next IT, Geckoboard, SlamData, Alteryx, CircleBack, VisiQuate, Logi Analytics, Lexalytics, Frrole, DataFox, GoodData, Datameer, Indico, Skymind, Owlin, Hortonworks, Idibon, Craft, Accern, LucidWorks, SAP, Jinfonet Software, DataClarity, Handshake Software, SAS Institute, BA Insight, CrowdANALYTIX, Entrinsik, SalesLoft, Komodo Health, InsightSquared</t>
  </si>
  <si>
    <t>Developer of a visualization platform designed to offer text-based data analysis. The company's platform combines search, premium data and high-performance algorithms from news articles, blog posts, company profiles and patents to create visualizations of markets, trends and cultural phenomena, enabling businesses to analyze investment trends, gain competitive intelligence, map innovation as well as make decisions that matter.</t>
  </si>
  <si>
    <t>augmented intelligence, decision making optimization, information management, information transformation, intelligence platform</t>
  </si>
  <si>
    <t>www.quid.com</t>
  </si>
  <si>
    <t>2015: 60, 2017: 125</t>
  </si>
  <si>
    <t>38318-41P</t>
  </si>
  <si>
    <t>Bob Goodson</t>
  </si>
  <si>
    <t>bob@quid.com</t>
  </si>
  <si>
    <t>+1 (415) 813-5300</t>
  </si>
  <si>
    <t>600 Harrison Street</t>
  </si>
  <si>
    <t>+1 (415) 400-5189</t>
  </si>
  <si>
    <t>general@quid.com</t>
  </si>
  <si>
    <t>The company raised $37.5 million of Series E venture funding in a deal led by REV Venture Partners on October 29, 2018, putting the company's pre-money valuation at an estimated $200 million. Salesforce Ventures, ARTIS Ventures, Founders Fund, Lixil Group, Julian H. Robertson and Henry Kravis also participated in the round. As a part of the deal, the company also received $8 million of debt financing in the form of a loan from undisclosed lenders.</t>
  </si>
  <si>
    <t>Allen Morgan, ARTIS Ventures, Atomico, Buchanan Investments, Endeavour Vision, Founders Fund, Henry Kravis, Hercules Capital, James Hong, Julian Robertson, Liberty Ventures Group, Lixil Group, Michael Patsalos-Fox, Oakhouse Partners, Peter Thiel, REV Venture Partners, Ronald Conway, Salesforce Ventures, SGInnovate, Stuart Peterson, SV Angel, Thomas H. Lee Partners, Tiger Infrastructure Partners</t>
  </si>
  <si>
    <t>ARTIS Ventures(www.av.co), Atomico(www.atomico.com), Endeavour Vision(www.endeavourvision.com), Founders Fund(www.foundersfund.com), Hercules Capital(www.htgc.com), Lixil Group(www.lixil.com), Oakhouse Partners(www.oakhousepartners.com), REV Venture Partners(www.rev.vc), SGInnovate(www.sginnovate.com), SV Angel(www.svangel.com), Thomas H. Lee Partners(www.thl.com), Tiger Infrastructure Partners(www.tigerinfrastructure.com)</t>
  </si>
  <si>
    <t>Bowdoin Group(Consulting), Fenwick &amp; West(Legal Advisor)</t>
  </si>
  <si>
    <t>Fenwick &amp; West(Legal Advisor), Hercules Capital(Debt Financing)</t>
  </si>
  <si>
    <t>55717-12</t>
  </si>
  <si>
    <t>Qubit (Social/Platform Software)</t>
  </si>
  <si>
    <t>MixPanel, Yieldify, AgilOne, Amperity, Ensighten, Monetate, Salesforce, Signal, Movable Ink, Segment, Decibel Insight, MarcomCentral, Evergage, Silverpop Systems, Lotame Solutions, Boxever, SproutLoud Media Networks, Tealium, Sailthru, Boomtrain, FXiaoKe, HubSpot, Ascent360, Act-On, Reflektion, Swrve, Brandmuscle, Brooks Bell, mParticle, Marketo</t>
  </si>
  <si>
    <t>Developer of website-optimization software designed to provide highly persuasive personalization services at scale. The company's software provides a transformation platform, enabling online retailers and marketers to get tools for assessing visitor analytics, customer relationship management (CRM), web personalization, A/B testing and data management.</t>
  </si>
  <si>
    <t>Business/Productivity Software, Other Commercial Services, Social/Platform Software*</t>
  </si>
  <si>
    <t>AdTech, Big Data, Marketing Tech, SaaS, TMT</t>
  </si>
  <si>
    <t>conversion rated, customer experience, website personalization, website-optimization software</t>
  </si>
  <si>
    <t>www.qubit.com</t>
  </si>
  <si>
    <t>2013: 66, 2014: 106, 2016: 236</t>
  </si>
  <si>
    <t>79211-80P</t>
  </si>
  <si>
    <t>Jamie Thomas</t>
  </si>
  <si>
    <t>jamie@qubit.com</t>
  </si>
  <si>
    <t>+44 (0)20 3551 3990</t>
  </si>
  <si>
    <t>35 King Street</t>
  </si>
  <si>
    <t>WC2E 8JG</t>
  </si>
  <si>
    <t>info@qubit.com</t>
  </si>
  <si>
    <t>The company raised $40 million of Series C venture funding in a deal led by The Goldman Sachs Group and Accel on February 22, 2016. Salesforce Ventures and Sapphire Ventures also participated in the round. The funding will be used by the company to double its engineering capability and to continue to expand operations.</t>
  </si>
  <si>
    <t>Accel, Balderton Capital, Daniel Cobley, Individual Investor, Kreos Capital, Salesforce Ventures, Sapphire Ventures, The Goldman Sachs Group, Westminster Growth Capital</t>
  </si>
  <si>
    <t>Accel(www.accel.com), Balderton Capital(www.balderton.com), Kreos Capital(www.kreoscapital.com), Sapphire Ventures(www.sapphireventures.com), The Goldman Sachs Group(www.goldmansachs.com), Westminster Growth Capital(www.westminstergc.com)</t>
  </si>
  <si>
    <t>HSBC Bank UK(General Business Banking), PwC(Auditor)</t>
  </si>
  <si>
    <t>Kreos Capital(Debt Financing), Orrick, Herrington &amp; Sutcliffe(Legal Advisor)</t>
  </si>
  <si>
    <t>54755-65</t>
  </si>
  <si>
    <t>Qube Cinema</t>
  </si>
  <si>
    <t>Real Image Media Technologies Pvt Ltd, Media Artists, JS Films into Media Artists, Real Image</t>
  </si>
  <si>
    <t>Qube Cinema Network</t>
  </si>
  <si>
    <t>DNEG, Rodeo FX</t>
  </si>
  <si>
    <t>Provider of end-to-end digital cinema technology and solutions intended for the cinema and broadcast industries. The company provides a seamless digital environment and technology in the film, video and audio domains and has pioneered several technology revolutions over the last three decades, enabling exhibitors, filmmakers and post-production companies with DCI compliant products that are flexible, reliable and cost-effective.</t>
  </si>
  <si>
    <t>Media and Information Services (B2B)*, Movies, Music and Entertainment, Other Commercial Services</t>
  </si>
  <si>
    <t>broadcast technology, computer-based digital non-linear editing, digital cinema, digital cinema content, mono sound</t>
  </si>
  <si>
    <t>www.qubecinema.com</t>
  </si>
  <si>
    <t>42761-89P</t>
  </si>
  <si>
    <t>P. Venkatesh</t>
  </si>
  <si>
    <t>venkatesh@realimage.com</t>
  </si>
  <si>
    <t>+91 (0)44 4204 1505</t>
  </si>
  <si>
    <t>42 Doctor Ranga Road</t>
  </si>
  <si>
    <t>Mylapore</t>
  </si>
  <si>
    <t>Tamil Nadu</t>
  </si>
  <si>
    <t>600004</t>
  </si>
  <si>
    <t>+91 (0)44 4348 8881</t>
  </si>
  <si>
    <t>info@qubecinema.com</t>
  </si>
  <si>
    <t>The company reached a definitive agreement to be acquired by UFO Moviez India (NSE: UFO) on November 2, 2017 for an undisclosed amount. The merger of the business will strengthen their position in India's digital cinema distribution and in-cinema advertising industry.</t>
  </si>
  <si>
    <t>Cisco Investments, ICF Novastar International, Intel Capital, Nomura Securities, StreetEdge Capital</t>
  </si>
  <si>
    <t>UFO Moviez India</t>
  </si>
  <si>
    <t>Cisco Investments(www.ciscoinvestments.com), Intel Capital(www.intelcapital.com), Nomura Securities(www.nomura.co.jp), StreetEdge Capital(www.streetedgecap.com)</t>
  </si>
  <si>
    <t>UFO Moviez India(www.ufomoviez.com)</t>
  </si>
  <si>
    <t>Masterkey Holdings(Advisor: General), Rothschild &amp; Co(Advisor: General), Walker Chandiok &amp; Co(Advisor: General)</t>
  </si>
  <si>
    <t>41534-29</t>
  </si>
  <si>
    <t>Quark Pharmaceuticals</t>
  </si>
  <si>
    <t>Quark Biotech</t>
  </si>
  <si>
    <t>Moderna Therapeutics, Ra Pharmaceuticals, Madrigal Pharmaceuticals, Aclaris Therapeutics, Loxo Oncology, Arrowhead Pharmaceuticals, Incyte, Avidity Biosciences, Ionis Pharmaceuticals, Aptalis Pharma, Sarepta Therapeutics, Actelion Pharmaceuticals, Alexion, Sagent Pharmaceuticals, TetraLogic Pharmaceuticals, Seragon Pharmaceuticals, Alnylam Pharmaceuticals, OncoMed Pharmaceuticals, The Zambon Group, Exscientia</t>
  </si>
  <si>
    <t>Developer of therapeutic Ribonucleic acid interference (RNAi) drugs. The company's fully integrated drug development platform that spans therapeutic target identification to drug development offers helps to induce short-term silencing of protein coding genes.</t>
  </si>
  <si>
    <t>interference technology, protein therapeutic, targeted gene</t>
  </si>
  <si>
    <t>Clinical Trials - Phase 2</t>
  </si>
  <si>
    <t>www.quarkpharma.com</t>
  </si>
  <si>
    <t>2006: 70, 2009: 48, 2010: 57, 2011: 62, 2012: 56, 2013: 53, 2014: 52, 2015: 40, 2016: 54</t>
  </si>
  <si>
    <t>SBI Holdings</t>
  </si>
  <si>
    <t>61922-35P</t>
  </si>
  <si>
    <t>Tomer Natan</t>
  </si>
  <si>
    <t>tomer@quarkpharma.com</t>
  </si>
  <si>
    <t>+1 (510) 402-4020</t>
  </si>
  <si>
    <t>6501 Dumbarton Circle</t>
  </si>
  <si>
    <t>94555</t>
  </si>
  <si>
    <t>+1 (510) 402-4021</t>
  </si>
  <si>
    <t>qbi@quarkpharma.com</t>
  </si>
  <si>
    <t>The company was acquired by SBI Holdings through an LBO for an undisclosed amount on December 25, 2012.</t>
  </si>
  <si>
    <t>Astellas Pharma, Astex Pharmaceuticals, Concordia Capital Partners, Daiichi Sankyo, GoAhead Ventures, Individual Investor, Mercuria Investment Company, Mitsubishi Pharma Corporation, Mitsubishi UFJ Capital, ORIX Growth Capital, Taisho Pharmaceuticals, Tako Ventures, Tokio Marine &amp; Nichido Fire Insurance, Trans-Science</t>
  </si>
  <si>
    <t>SBI Holdings(www.sbigroup.co.jp)</t>
  </si>
  <si>
    <t>Astellas Pharma(www.astellas.com), Astex Pharmaceuticals(www.astx.com), Daiichi Sankyo(www.daiichisankyo.co.jp), GoAhead Ventures(www.goaheadvc.com), Mercuria Investment Company(www.mercuria.jp), Mitsubishi UFJ Capital(www.mucap.co.jp), Taisho Pharmaceuticals(www.taisho-holdings.co.jp), Tokio Marine &amp; Nichido Fire Insurance(www.tokiomarine-nichido.co.jp)</t>
  </si>
  <si>
    <t>CIBC Capital Markets(Underwriter), J.P. Morgan(Underwriter)</t>
  </si>
  <si>
    <t>53488-09</t>
  </si>
  <si>
    <t>Quantifind</t>
  </si>
  <si>
    <t>Entanglement Technologies</t>
  </si>
  <si>
    <t>Uptake, Shareablee, GoodData, Looker, Datameer, App Annie, Sisense, Domo, InetSoft, Periscope Data, Servient, Birst, SimilarWeb, Kyvos Insights, Platfora, TrackMaven, Arcadia Data, Skytree, Clarabridge, comScore, Segment, Xplenty, InMoment, DataTorrent, Rival IQ, Qubole, Wise.io, Recommind, Illuminate360, DataGravity, Qlik Technologies, Kloudio, BigML, L2, Stitch, AtScale, Everlaw, Zoomdata, Symphony AyasdiAI, Owler, Predikto, BlueData, Fivetran, Datascience.com, Dataiku, Snowflake, Unmetric, Kompyte, Cloudera, Revuze, Jumpshot</t>
  </si>
  <si>
    <t>Developer of marketing insight platform designed to extract information from business intelligence data. The company's marketing insight platform offers data analytics services through its on-demand insights platform, SIGNUM, which uses explanatory analytics, enabling businesses to make better decisions that combine human intuition with the voice of intelligent data.</t>
  </si>
  <si>
    <t>Business/Productivity Software*, Consulting Services (B2B), Database Software</t>
  </si>
  <si>
    <t>Big Data, Industrials, SaaS, TMT</t>
  </si>
  <si>
    <t>business intelligence, business intelligence system, intent forecasting, market research, marketing insight platform, marketing insights, predictive analytics</t>
  </si>
  <si>
    <t>www.quantifind.com</t>
  </si>
  <si>
    <t>2014: 44, 2016: 81</t>
  </si>
  <si>
    <t>39598-75P</t>
  </si>
  <si>
    <t>Ari Tuchman</t>
  </si>
  <si>
    <t>ari@quantifind.com</t>
  </si>
  <si>
    <t>+1 (650) 561-4937</t>
  </si>
  <si>
    <t>8 Homewood Place</t>
  </si>
  <si>
    <t>contact@quantifind.com</t>
  </si>
  <si>
    <t>The company raised $30.05 million of venture funding in a deal led by Cathay Capital Private Equity on February 24, 2016, putting the company's pre-money valuation at $128.57 million. Redpoint Ventures, US Venture Partners, Comcast Ventures, Iris Capital Management and AME Cloud Ventures also participated in the round. The company will use funds to accelerate market expansion efforts, product development, double staff focusing on growing the sales and customer success teams, as well as the data science and engineering teams.</t>
  </si>
  <si>
    <t>AME Cloud Ventures, Andreessen Horowitz, Cathay Innovation, Comcast Ventures, Iris Capital, National Science Foundation, Plug and Play Tech Center, Redpoint Ventures, US Venture Partners</t>
  </si>
  <si>
    <t>AME Cloud Ventures(www.amecloudventures.com), Andreessen Horowitz(www.a16z.com), Cathay Innovation(www.cathayinnovation.com), Comcast Ventures(www.comcastventures.com), Iris Capital(www.iriscapital.com), National Science Foundation(seedfund.nsf.gov), Plug and Play Tech Center(www.plugandplaytechcenter.com), Redpoint Ventures(www.redpoint.com), US Venture Partners(www.usvp.com)</t>
  </si>
  <si>
    <t>112632-40</t>
  </si>
  <si>
    <t>Quantico Energy Solutions</t>
  </si>
  <si>
    <t>Quantico</t>
  </si>
  <si>
    <t>Provider of data-driven services designed to lower costs and improve quality across the main areas of subsurface-related oilfield services. The company's services include drilling, measurement, logging and re-fracturing through artificial intelligence-based methods that generates real-time unconfined compressive strength (RT-UCS) by processing the data, enabling oil and gas industry to improve production cost efficiently.</t>
  </si>
  <si>
    <t>Construction and Engineering*, Gas Utilities, Other Commercial Services</t>
  </si>
  <si>
    <t>Artificial Intelligence &amp; Machine Learning, Industrials, Oil &amp; Gas, TMT</t>
  </si>
  <si>
    <t>data driven, drilling process, energy mining, oil and gas industry, shale drilling</t>
  </si>
  <si>
    <t>www.quanticoenergy.com</t>
  </si>
  <si>
    <t>99789-04P</t>
  </si>
  <si>
    <t>Barry Zhang</t>
  </si>
  <si>
    <t>barry.zhang@quanticoenergy.com</t>
  </si>
  <si>
    <t>+1 (713) 234-0105</t>
  </si>
  <si>
    <t>4424 West Sam Houston Parkway</t>
  </si>
  <si>
    <t>Suite 460</t>
  </si>
  <si>
    <t>77041</t>
  </si>
  <si>
    <t>info@quanticoenergy.com</t>
  </si>
  <si>
    <t>The company raised an undisclosed amount of Series A venture funding from Shell Ventures and Statoil Technology Invest on May 4, 2015.</t>
  </si>
  <si>
    <t>Equinor Technology Ventures, Shell Ventures</t>
  </si>
  <si>
    <t>12672-91</t>
  </si>
  <si>
    <t>Quantcast</t>
  </si>
  <si>
    <t>AddThis, Varick, IgnitionOne, Lotame Solutions, Turn, Listrak, AppNexus, SteelHouse, AppsFlyer, Terminus, Apsalar, AdRoll, Meteora, Yieldmo, Accordant Media, MediaMath, DataXu, Rocket Fuel, Iterable, Adelphic, Boomtrain, Skyword, Dstillery, MixPanel, Radius (Database Software), ComQi, iProspect, Kapost, SearchForce, Appodeal, Exponential Interactive, Nativo, Perch Interactive, Evergage, Celtra, Percolate, Genesis Media, Spongecell, Kiip, OwnerIQ, VideoAmp, Acquisio, Simpli.fi, Infer, TUNE, Contently, ViralGains, Yieldify, i.Predictus, Beckon, Airship, Nanigans, NextMark, Videology, Sojern, Criteo, Lemnisk, AcuityAds Holdings, WordStream, Caligo Technologies, Ve Global UK, Liftoff, PadSquad, RetailNext, PubMatic, HipCricket, Bidsopt, StrikeAd, Vendemore, PlaceIQ, Addictive Mobility, Manage.com Group, Sharethrough, Nosto, Triblio, Smart AdServer, CenterPoint Media, Digital Remedy, Demandbase, Innovid, SugarCRM, Choozle, Fyber, RichRelevance, Kwanzoo, Sailthru, Q1Media, Aarki, Tapad, Brandfolder, Centro, Zeta Global, Bidstalk, Domo, Sizmek, Perion Network, Swrve, SpotX, EverString, The Trade Desk, Livefyre, Mixpo, HeyZap, AgilOne, Leadspace, SAS Institute, InMobi, HubSpot, TellApart, RadiumOne, YuMe, Flashtalking, ListenLoop, Brandmuscle, NextPerformance, BCC Adsystems, Salesforce Commerce Cloud, Chartboost, Virool, AdEspresso, SessionM, AdThrive, ShareThis, Digitas, Altitude Digital, Teads, Ampush Media, ALC, Lever (Recruitment Software), Feedburner, Magnetic (Marketing Platform), Juice Mobile, Liquidus, Aki (Application Software), Smaato, Index Exchange, MindShare Strategies, Inc., ReTargeter, Workhuman, Metamarkets, ConvertMedia, Mobilefuse, Jibe, Millennial Media, Selligent, True Influence, Kochava, Adsmovil, Marketo, Localytics, Essence Digital, LeanData, Harte Hanks, adMobix, Likeable Media, TVSquared, Visible Measures, Adform</t>
  </si>
  <si>
    <t>Provider of a data-intelligence platform designed to help advertisers with detailed demographic information about online audiences. The company's platform offers real-time pulse of the Internet helping marketers, publishers, agencies and consultancies as well as understands, optimizes and predicts consumer interactions to drive business outcomes, enabling marketers and publishers to make the smartest choices as they buy and sell the most effective targeted advertising on the market.</t>
  </si>
  <si>
    <t>Artificial Intelligence &amp; Machine Learning, Big Data, Marketing Tech, SaaS, TMT</t>
  </si>
  <si>
    <t>audience composition reporting, consumer behavior, data intelligence platform, internet rating services, predictive advertising</t>
  </si>
  <si>
    <t>www.quantcast.com</t>
  </si>
  <si>
    <t>2014: 425, 2015: 75, 2018: 800</t>
  </si>
  <si>
    <t>16591-69P</t>
  </si>
  <si>
    <t>Konrad Feldman</t>
  </si>
  <si>
    <t>konrad.feldman@quantcast.com</t>
  </si>
  <si>
    <t>EDBI sold its stake in the company to undisclosed investor. Prior to that, the company received $15 million of mezzanine financing from TriplePoint Venture Growth on March 31, 2018.</t>
  </si>
  <si>
    <t>Cisco Investments, Founders Fund, Glynn Capital, Individual Investor, Michael Hirshland, Polaris Partners, Resolute Ventures, Revolution, TriplePoint Venture Growth, Western Technology Investment</t>
  </si>
  <si>
    <t>EDBI</t>
  </si>
  <si>
    <t>Cisco Investments(www.ciscoinvestments.com), Founders Fund(www.foundersfund.com), Glynn Capital(www.glynncapital.com), Michael Hirshland(about.me/mikehirshland), Polaris Partners(www.polarispartners.com), Resolute Ventures(www.resolute.vc), Revolution(www.revolution.com), TriplePoint Venture Growth(www.tpvg.com), Western Technology Investment(www.westerntech.com)</t>
  </si>
  <si>
    <t>EDBI(www.edbi.com)</t>
  </si>
  <si>
    <t>Daversa Partners(Consulting), Engro Partners(Advisor: General), Fenwick &amp; West(Legal Advisor), Paradigm Strategy(Consulting), Winterberry Group(Consulting)</t>
  </si>
  <si>
    <t>Fenwick &amp; West(Legal Advisor), TriplePoint Venture Growth(Debt Financing), Western Technology Investment(Debt Financing)</t>
  </si>
  <si>
    <t>63419-14</t>
  </si>
  <si>
    <t>Quantapore</t>
  </si>
  <si>
    <t>Stratos Genomics, Nabsys, Omniome, 10x Genomics, LaserGen, Epinomics, ToolGen, Sphere Fluidics, Oxford Nanopore Technologies, ANDE, Editas Medicine, Wafergen Bio-Systems, RainDance Technologies, Ontera., Intellia Therapeutics, Genia Technologies, Illumina, Pacific Biosciences, Thermo Fisher Scientific</t>
  </si>
  <si>
    <t>Developer of nucleic acid sequencing technology designed to eliminate bottlenecks associated with present sequencing technologies. The company's nucleic acid sequencing technology is based on an optically labeled nanopore which interacts via energy transfer with a labeled nucleic acid sample and helps in rapid and sensitive sequencing of entire genomes, enabling physicians to get help in laborious sample preparation with short read length.</t>
  </si>
  <si>
    <t>Biotechnology*, Drug Delivery</t>
  </si>
  <si>
    <t>Life Sciences, Nanotechnology, TMT</t>
  </si>
  <si>
    <t>dna sequencing, genome sequencing, nucleic acid, nucleic acid sequencing, optical nanopore, sequencing technology</t>
  </si>
  <si>
    <t>www.quantapore.com</t>
  </si>
  <si>
    <t>2015: 9, 2016: 20, 2017: 20, 2018: 20, 2019: 26</t>
  </si>
  <si>
    <t>97470-55P</t>
  </si>
  <si>
    <t>Martin Huber</t>
  </si>
  <si>
    <t>mhuber@quantapore.com</t>
  </si>
  <si>
    <t>+1 (650) 321-2030</t>
  </si>
  <si>
    <t>1455 Adams Drive</t>
  </si>
  <si>
    <t>Suite 1081</t>
  </si>
  <si>
    <t>+1 (650) 321-2032</t>
  </si>
  <si>
    <t>info@quantapore.com</t>
  </si>
  <si>
    <t>The company raised $17.05 million of Series 3 venture funding in a deal led by Northern Light Venture Capital on July 18, 2018, putting the company's pre-money valuation at $50 million. Baidu Ventures, Tsingyuan Ventures, Fusion Fund, Sangel Capital, and Cloudstone Venture also participated in the round. The funding will be used to advance the company's technology to beta units for deployment to select, early-adopters in industry and academia.</t>
  </si>
  <si>
    <t>Baidu Ventures, Cloudstone Capital, Fusion Fund, Northern Light Venture Capital, PBM Capital Group, Sangel Capital, Tsingyuan Ventures, TVM Capital Life Science</t>
  </si>
  <si>
    <t>Baidu Ventures(www.bv.ai), Cloudstone Capital(www.cloudstonevc.com), Fusion Fund(www.fusionfund.com), Northern Light Venture Capital(www.nlvc.com), PBM Capital Group(www.pbmcap.com), Sangel Capital(www.sangelvc.com), Tsingyuan Ventures(www.tsingyuan.ventures), TVM Capital Life Science(www.tvm-lifescience.com)</t>
  </si>
  <si>
    <t>ProAcct(Accounting), Silicon Valley Bank(General Business Banking), SingerLewak(Auditor), Wilson Sonsini Goodrich &amp; Rosati(Legal Advisor)</t>
  </si>
  <si>
    <t>Series 3</t>
  </si>
  <si>
    <t>60490-00</t>
  </si>
  <si>
    <t>Quanergy</t>
  </si>
  <si>
    <t>Canada Systems</t>
  </si>
  <si>
    <t>Blickfeld, DeepMap, Blackmore, Princeton Lightwave, Hailo Technologies, TuSimple, Civil Maps</t>
  </si>
  <si>
    <t>Developer of solid state sensors designed to offer smart sensing services for self-driving cars. The company's sensors help in real-time capture and processing of high-definition mapping data, as well as help in object detection, tracking and classification, enabling clients to access sensing systems that benefit from advanced artificial intelligence perception software thereby improving safety and efficiency in industries.</t>
  </si>
  <si>
    <t>Artificial Intelligence &amp; Machine Learning, Autonomous cars</t>
  </si>
  <si>
    <t>3d mapping, data mapping, lidar sensors, object detection, sensing technology, smart sensing technology</t>
  </si>
  <si>
    <t>www.quanergy.com</t>
  </si>
  <si>
    <t>2014: 32, 2015: 42, 2018: 250</t>
  </si>
  <si>
    <t>57032-02P</t>
  </si>
  <si>
    <t>Louay Eldada</t>
  </si>
  <si>
    <t>louay.eldada@quanergy.com</t>
  </si>
  <si>
    <t>+1 (408) 245-9501</t>
  </si>
  <si>
    <t>482 Mercury Drive</t>
  </si>
  <si>
    <t>+1 (408) 245-9500</t>
  </si>
  <si>
    <t>+1 (408) 245-9503</t>
  </si>
  <si>
    <t>info@quanergy.com</t>
  </si>
  <si>
    <t>The company raised an estimated $175 million of Series C venture funding from G Squared, MicroVentures and Tower Equity on October 30, 2018, putting the company's pre-money valuation at $2.1 billion. Alisher Usmanov, Daimler and HOF Capital (New York) also participated in the round.</t>
  </si>
  <si>
    <t>Alisher Usmanov, Alrai Capital, Aptiv, Daimler, G Squared, Golden Partners Capital, HOF Capital (New York), Lahlouh, Markis, MicroVentures, Motus Ventures, Newbury Ventures, Rising Tide Fund, Samsung Venture Investment, San Feliu Partners, Sensata Technologies, Studio VC, Tekfen Ventures, Tesla Capital, Tower Equity, TSVC, Wardenclyffe Partners, Wicklow Capital</t>
  </si>
  <si>
    <t>Alrai Capital(www.alraicap.com), Aptiv(www.aptiv.com), Daimler(www.daimler.com), G Squared(www.gsquared.com), Golden Partners Capital(www.gpcapital.com.cn), HOF Capital (New York)(www.hofvc.com), Lahlouh(lahlouh.com), MicroVentures(www.microventures.com), Motus Ventures(www.motusventures.com), Newbury Ventures(www.newburyven.com), Rising Tide Fund(www.rtf.vc), Samsung Venture Investment(www.samsungventures.com), Studio VC(www.studio.vc), Tekfen Ventures(www.tekfenventures.com), Tower Equity(towerequity.com), TSVC(www.tsvcap.com)</t>
  </si>
  <si>
    <t>Cooley(Legal Advisor), Escalon(Accounting), Harvest Management Partners(Advisor: General)</t>
  </si>
  <si>
    <t>Cooley(Legal Advisor), CVCapital(Advisor: General)</t>
  </si>
  <si>
    <t>104685-85</t>
  </si>
  <si>
    <t>QRA</t>
  </si>
  <si>
    <t>Provider of systems and requirements tools designed to help engineers to build complex systems with confidence. The company's tools are used to increase the clarity and consistency, enabling engineers and project managers to verify that their designs behave as expected and specifications are met.</t>
  </si>
  <si>
    <t>Application Software, Business/Productivity Software*, Other Software</t>
  </si>
  <si>
    <t>design analysis software, embedded system design, natural language processing, requirement analysis, requirements engineering, system verification, systems engineering, verification and validation</t>
  </si>
  <si>
    <t>www.qracorp.com</t>
  </si>
  <si>
    <t>2014: 10, 2016: 17, 2017: 23</t>
  </si>
  <si>
    <t>74711-08P</t>
  </si>
  <si>
    <t>Alexander McCallum</t>
  </si>
  <si>
    <t>alex.mccallum@qracorp.com</t>
  </si>
  <si>
    <t>+1 (902) 422-0212</t>
  </si>
  <si>
    <t>Halifax, Canada</t>
  </si>
  <si>
    <t>101-6080 Young Street</t>
  </si>
  <si>
    <t>Halifax</t>
  </si>
  <si>
    <t>Nova Scotia</t>
  </si>
  <si>
    <t>B3K 5L2</t>
  </si>
  <si>
    <t>qra@qracorp.com</t>
  </si>
  <si>
    <t>The company received $749,068 of grant funding from National Research Council Canada on March 13, 2018. Earlier, the company joined The Lazaridis Institute as a part of its Cohort 1 on October 26, 2017 and received an undisclosed amount in funding. Prior to that, the company joined C100 Association as a part of its 48Hrs in the Valley December 2017 Cohort on October 16, 2017 and received an undisclosed amount in funding.</t>
  </si>
  <si>
    <t>C100 Association, Innovacorp, Jevon MacDonald, Lockheed Martin Ventures, National Research Council Canada, The Lazaridis Institute</t>
  </si>
  <si>
    <t>C100 Association(www.thec100.org), Innovacorp(www.innovacorp.ca), National Research Council Canada(www.nrc-cnrc.gc.ca), The Lazaridis Institute(lazaridisinstitute.wlu.ca)</t>
  </si>
  <si>
    <t>Atlantic Canada Opportunities Agency(Debt Financing)</t>
  </si>
  <si>
    <t>54346-60</t>
  </si>
  <si>
    <t>Qnovo</t>
  </si>
  <si>
    <t>Greensmith Energy, Ecoult</t>
  </si>
  <si>
    <t>Developer of adaptive charging software designed to improve the consumer mobile experience by enhancing the battery performance. The company's adaptive charging software takes a unique, patented approach to battery charging by measuring battery health in real-time and continuously adjusting battery charging current, enabling users to charge their batteries faster, with more daily use and longer lifespan.</t>
  </si>
  <si>
    <t>Energy Storage*, Other Software</t>
  </si>
  <si>
    <t>LOHAS &amp; Wellness, Mobile, SaaS, TMT</t>
  </si>
  <si>
    <t>adaptive charging, adaptive charging software, battery charging, battery performance, battery-powered application, electronic management system, lithium-ion technology</t>
  </si>
  <si>
    <t>www.qnovo.com</t>
  </si>
  <si>
    <t>2014: 12, 2015: 12</t>
  </si>
  <si>
    <t>43091-29P</t>
  </si>
  <si>
    <t>Nadim Maluf</t>
  </si>
  <si>
    <t>nadim@qnovocorp.com</t>
  </si>
  <si>
    <t>+1 (510) 592-7728</t>
  </si>
  <si>
    <t>Newark, CA</t>
  </si>
  <si>
    <t>39655 Eureka Drive</t>
  </si>
  <si>
    <t>Newark</t>
  </si>
  <si>
    <t>94560</t>
  </si>
  <si>
    <t>info@qnovocorp.com</t>
  </si>
  <si>
    <t>The company joined Triple Ring Technologies on an undisclosed date.</t>
  </si>
  <si>
    <t>Agility Labs, BRV Aster and Lotus, Constellation Technology Ventures, Intel Capital, RockPort Capital Partners, Sony Mobile Communications, Terawatt Ventures, Triple Ring Technologies, US Venture Partners</t>
  </si>
  <si>
    <t>Agility Labs(www.agilitylabs.org), Constellation Technology Ventures(www.technologyventures.constellation.com), Intel Capital(www.intelcapital.com), RockPort Capital Partners(www.rockportcap.com), Sony Mobile Communications(www.sonymobile.com), Terawatt Ventures(www.terawattventures.com), Triple Ring Technologies(www.tripleringtech.com), US Venture Partners(www.usvp.com)</t>
  </si>
  <si>
    <t>55578-16</t>
  </si>
  <si>
    <t>Qloo</t>
  </si>
  <si>
    <t>Synthesio, BrandTotal</t>
  </si>
  <si>
    <t>Provider of a cultural artificial intelligence data platform designed to connect and predict consumer tastes based on their cultural preferences. The company's data science platform connects various domains of culture and entertainment, including music, film, TV, books, podcasts, consumer products, fashion, dining and travel and makes personalized recommendations and suggestions based on the users' interests, providing personalization and insights to solve real-world problems for leading companies in the tech, entertainment, publishing, travel, hospitality and CPG sectors.</t>
  </si>
  <si>
    <t>cultural discovery, curated experience, local experience, recommendation engine, social concierge, social discovery, social experience, social search engine</t>
  </si>
  <si>
    <t>www.qloo.com</t>
  </si>
  <si>
    <t>2013: 10, 2016: 10</t>
  </si>
  <si>
    <t>44170-39P</t>
  </si>
  <si>
    <t>Jay Alger</t>
  </si>
  <si>
    <t>jay@qloo.com</t>
  </si>
  <si>
    <t>+1 (212) 300-3477</t>
  </si>
  <si>
    <t>195 Bowery</t>
  </si>
  <si>
    <t>10002</t>
  </si>
  <si>
    <t>info@qloo.com</t>
  </si>
  <si>
    <t>The company raised $6.5 million of venture funding from lead investor AXA Strategic Ventures on July 12, 2017. Sir Elton John, Barry Sternlicht, Leonardo DiCaprio, Pierre Lagrange and All Mobile Fund also participated in the round. The company will use the funding to continue to expand its operations and develop its platform and business.</t>
  </si>
  <si>
    <t>AllMobile Fund, AXA Venture Partners, Barry Sternlicht, John Suhler, Kindler Capital, Leonardo DiCaprio, MDC Ventures, Pierre Lagrange</t>
  </si>
  <si>
    <t>AllMobile Fund(www.allmobilefund.com), AXA Venture Partners(www.axavp.com), Leonardo DiCaprio(www.leonardodicaprio.com), MDC Ventures(www.mdcventures.vc)</t>
  </si>
  <si>
    <t>88653-70</t>
  </si>
  <si>
    <t>Qleek</t>
  </si>
  <si>
    <t>Provider of a digital media platform intended to help users share content. The company's digital media platform consists of small hexagonal data modules called Tapps, each Tapp module can contain links for music, pictures, books and other online digital data, which can then be played on any display with a reader, enabling users to share, play and edit songs, pictures and videos.</t>
  </si>
  <si>
    <t>Application Software, Electronics (B2C)*, Other Media</t>
  </si>
  <si>
    <t>Internet of Things, Mobile, SaaS, TMT</t>
  </si>
  <si>
    <t>digital media platform, online digital data, smart music players</t>
  </si>
  <si>
    <t>www.getqleek.com</t>
  </si>
  <si>
    <t>87051-16P</t>
  </si>
  <si>
    <t>Ismail Salhi</t>
  </si>
  <si>
    <t>ismail@qleek.me</t>
  </si>
  <si>
    <t>+1 (617) 401-1574</t>
  </si>
  <si>
    <t>110 Chauncy Street</t>
  </si>
  <si>
    <t>contact@qleek.me</t>
  </si>
  <si>
    <t>The company raised $722,621 of seed venture funding from an Bose Ventures on December 15, 2017, putting the pre-money valuation at $3.5 million.</t>
  </si>
  <si>
    <t>Bolt Innovation Group, Bose Ventures, Numa, PACEIM</t>
  </si>
  <si>
    <t>Bolt Innovation Group(www.bolt.io), Bose Ventures(bose.ventures), Numa(www.numa.co), PACEIM(paceim.ird.fr)</t>
  </si>
  <si>
    <t>231942-61</t>
  </si>
  <si>
    <t>Qitan</t>
  </si>
  <si>
    <t>Developer of a genome sequencing technology. The company takes advantage of nanopores to sequence single nucleic acid molecules.</t>
  </si>
  <si>
    <t>Biotechnology*, Other Healthcare Technology Systems</t>
  </si>
  <si>
    <t>gene sequencing, gene sequencing technology, genome sequencing, genome sequencing technology, nanopore sequencing, sequencing technology</t>
  </si>
  <si>
    <t>www.qitantech.com</t>
  </si>
  <si>
    <t>191886-58P</t>
  </si>
  <si>
    <t>Jingwei Bai</t>
  </si>
  <si>
    <t>jingwei.bai@qitantech.com</t>
  </si>
  <si>
    <t>+86 (0)28 6522 5131</t>
  </si>
  <si>
    <t>Room 35-36, Floor 2, Building 1B, High Tech Incubation Park</t>
  </si>
  <si>
    <t>No. 1480, Tianfu Road</t>
  </si>
  <si>
    <t>Sichuan</t>
  </si>
  <si>
    <t>info@qitantech.com</t>
  </si>
  <si>
    <t>The company raised an undisclosed amount of venture funding from Baidu Ventures and Empower Investment (China) in July, 2018.</t>
  </si>
  <si>
    <t>Baidu Ventures, Empower Investment (China)</t>
  </si>
  <si>
    <t>Baidu Ventures(www.bv.ai), Empower Investment (China)(www.empowerinvestment.com)</t>
  </si>
  <si>
    <t>264922-03</t>
  </si>
  <si>
    <t>Qingwei Intelligent Technology</t>
  </si>
  <si>
    <t>Qingwei</t>
  </si>
  <si>
    <t>Developer of artificial intelligence chips designed to reconfigure AI chip architecture to improve energy efficiency. The company's chips focus on low power consumption, intelligent voice and visual features, enabling customers to have a improved consumer electronics experience and application.</t>
  </si>
  <si>
    <t>Advanced Manufacturing, Artificial Intelligence &amp; Machine Learning</t>
  </si>
  <si>
    <t>artificial intelligence, artificial intelligence chips, artificial intelligence system, chips components, chipsets, intelligent voice, visual sensors</t>
  </si>
  <si>
    <t>199897-30P</t>
  </si>
  <si>
    <t>Peng Ouyang</t>
  </si>
  <si>
    <t>peng.ouyang@qingwei.cn</t>
  </si>
  <si>
    <t>Unit 2212, 22F</t>
  </si>
  <si>
    <t>No. 9 Beihuan West Road, Haidian District</t>
  </si>
  <si>
    <t>Hebei</t>
  </si>
  <si>
    <t>The company raised $14.73 million of venture funding from Baidu Ventures, Focus Media Information Technology and Xizi United Holdings on September 1, 2018. Guolong Capital and XY Capital also participated in the round.</t>
  </si>
  <si>
    <t>Baidu Ventures, Focus Media Information Technology, Guolong Capital, Xizi United Holdings, XY Capital</t>
  </si>
  <si>
    <t>Baidu Ventures(www.bv.ai), Focus Media Information Technology(www.focusmedia.cn), Xizi United Holdings(www.xiziuhc.com), XY Capital(www.xycapitalgroup.com)</t>
  </si>
  <si>
    <t>56377-63</t>
  </si>
  <si>
    <t>Qeep</t>
  </si>
  <si>
    <t>WhatsApp</t>
  </si>
  <si>
    <t>Developer of software applications for mobile phones. The company provides a mobile social networking services that includes messaging, photo-blogging and multi-player gaming.</t>
  </si>
  <si>
    <t>Application Software*, Entertainment Software, Social/Platform Software</t>
  </si>
  <si>
    <t>mobile social network, photo blogging, social gaming platform</t>
  </si>
  <si>
    <t>www.qeep.net</t>
  </si>
  <si>
    <t>2014: 4, 2016: 11</t>
  </si>
  <si>
    <t>47918-53P</t>
  </si>
  <si>
    <t>Cornelius Rost</t>
  </si>
  <si>
    <t>+49 (0)22 1788 7970</t>
  </si>
  <si>
    <t>Cologne, Germany</t>
  </si>
  <si>
    <t>Bahnhofsvorplatz 1</t>
  </si>
  <si>
    <t>Cologne</t>
  </si>
  <si>
    <t>50667</t>
  </si>
  <si>
    <t>+49 (0)22 1788 7971 9</t>
  </si>
  <si>
    <t>info@bluelionmobile.com</t>
  </si>
  <si>
    <t>Bertelsmann Digital Media Investments sold its stake in the company on an undisclosed date. The company is no longer actively tracked by PitchBook.</t>
  </si>
  <si>
    <t>KfW Group, Siparex Group, XAnge Private Equity</t>
  </si>
  <si>
    <t>Bertelsmann Digital Media Investments</t>
  </si>
  <si>
    <t>KfW Group(www.kfw.de/kfw.de-2.html), Siparex Group(www.siparex.com), XAnge Private Equity(www.xange.fr)</t>
  </si>
  <si>
    <t>Bertelsmann Digital Media Investments(www.bdmifund.com)</t>
  </si>
  <si>
    <t>Springer Kuss Rechtsanwälte Partnerschaft(Legal Advisor)</t>
  </si>
  <si>
    <t>Cartagena Capital(Lead Manager or Arranger)</t>
  </si>
  <si>
    <t>149896-18</t>
  </si>
  <si>
    <t>QC Ware</t>
  </si>
  <si>
    <t>Aerovar Research</t>
  </si>
  <si>
    <t>Rigetti, QxBranch, SAS Institute, Q-Ctrl, 1QBit, Netskope</t>
  </si>
  <si>
    <t>Developer of hardware-agnostic enterprise software designed to bring quantum computing for enterprise usage. The company's enterprise software is for quantum computing machines that simplifies QC programming and provides access to QC machines while improving risk-adjusted returns and monitoring networks, enabling clients to integrate quantum computing power into any existing application and remove performance bottlenecks.</t>
  </si>
  <si>
    <t>Business/Productivity Software, Media and Information Services (B2B), Network Management Software*</t>
  </si>
  <si>
    <t>computing cloud platform, hardware vendor, hardware-agnostic enterprise, quantum algorithm, quantum computing technology, quantum simulation</t>
  </si>
  <si>
    <t>www.qcware.com</t>
  </si>
  <si>
    <t>123272-83P</t>
  </si>
  <si>
    <t>Matt Johnson</t>
  </si>
  <si>
    <t>matt.johnson@qcware.com</t>
  </si>
  <si>
    <t>+1 (650) 866-0087</t>
  </si>
  <si>
    <t>125 University Avenue</t>
  </si>
  <si>
    <t>info@qcware.com</t>
  </si>
  <si>
    <t>The company raised $8.25 million of Series A venture funding led by Citigroup (NYSE: C) and Goldman Sachs Principal Strategic Investments on July 5, 2018, putting the company's pre-money valuation at $38.5 million. Airbus Ventures, D. E. Shaw Ventures and Fenox Venture Capital also participated in this round. The company intends to use the funds to accelerate the application of quantum computing in global enterprises. Previously, the company received $224,258 of grant funding from National Science Foundation in 2018.</t>
  </si>
  <si>
    <t>Airbus Ventures, Alchemist Accelerator, Citigroup, Fenox Venture Capital, Goldman Sachs Principal Strategic Investments, National Science Foundation, Plug and Play Tech Center, The D. E. Shaw Group</t>
  </si>
  <si>
    <t>Airbus Ventures(www.airbusventures.vc), Alchemist Accelerator(www.alchemistaccelerator.com), Citigroup(www.citigroup.com/citi), Fenox Venture Capital(www.fenoxvc.com), National Science Foundation(seedfund.nsf.gov), Plug and Play Tech Center(www.plugandplaytechcenter.com), The D. E. Shaw Group(www.deshaw.com)</t>
  </si>
  <si>
    <t>55754-29</t>
  </si>
  <si>
    <t>Q-Sensei</t>
  </si>
  <si>
    <t>Q-L Acquistion Company, Lalisio</t>
  </si>
  <si>
    <t>Confluent, Crate.io, Treasure Data, Couchbase, Exasol, OmniSci, Xplenty, MemSQL, MapR, Actian, DataStax, Panoply (Application Software), SQream, Databricks, Kinetica, Cloudera, ScaleBase</t>
  </si>
  <si>
    <t>Provider of an enterprise platform designed for interactive metadata search. The company's enterprise platform with RESTful API, intuitive search interface and indexing technology, enable its users to query data in flexible and personalized ways and also guide them towards information and insights otherwise difficult to obtain.</t>
  </si>
  <si>
    <t>business content search, enterprise data, index application, search application</t>
  </si>
  <si>
    <t>www.qsensei.com</t>
  </si>
  <si>
    <t>2014: 50, 2016: 11</t>
  </si>
  <si>
    <t>44813-17P</t>
  </si>
  <si>
    <t>Ute Rother</t>
  </si>
  <si>
    <t>Chief Executive Officer, President, Board Member &amp; Co-Founder</t>
  </si>
  <si>
    <t>ute@qsensei.com</t>
  </si>
  <si>
    <t>+1 (718) 858-1473</t>
  </si>
  <si>
    <t>201 Spear Street</t>
  </si>
  <si>
    <t>contact@qsensei.com</t>
  </si>
  <si>
    <t>The company raised an additional $3.12 million of Series A2 venture funding from undisclosed investors on March 27, 2017, putting the pre-money valuation at $18.4 million. As a part of this round, all previously authorized Series A preferred shares subsequently converted into Series A1 preferred shares.</t>
  </si>
  <si>
    <t>Beteiligungsmanagement Thuringen, Verizon Ventures</t>
  </si>
  <si>
    <t>Beteiligungsmanagement Thuringen(www.bm-t.com), Verizon Ventures(www.verizonventures.com)</t>
  </si>
  <si>
    <t>59145-49</t>
  </si>
  <si>
    <t>Pymetrics</t>
  </si>
  <si>
    <t>Woo, HiringSolved, Shortlist Professionals, eTeki, HireIQ, Impress (Recruitment), Mettl, Restless Bandit, HireVue, TalentBin, Ascendify, HackerRank, Interview Rocket, COMPAS Technology, Jobvite, iCIMS, SmartRecruiters, Criteria, Workshape.io, Knack (App), SHL Group, TextRecruit, Avature USA, Yello, Aspiring Minds Assessment, GreenJobInterview.com, ConveyIQ, Reflik, Getlinks, Tahlent, Revelian, Rehearsal, Thalento, Entelo</t>
  </si>
  <si>
    <t>Provider of an online recruitment platform intended to make the recruitment process more effective, accurate and unbiased. The company's platform uses a combination of neuroscience and artificial intelligence to collect dense behavioral data from successful professionals in various roles and use machine learning to build models of which traits separate the successful professionals from the general population, enabling recruiters to find the right candidate easily.</t>
  </si>
  <si>
    <t>Application Software, Human Capital Services*, Social/Platform Software</t>
  </si>
  <si>
    <t>Artificial Intelligence &amp; Machine Learning, Big Data, HR Tech, Industrials, SaaS, TMT</t>
  </si>
  <si>
    <t>hiring, neuroscience-based recruitment, personality assessment, recruiting software, talent management</t>
  </si>
  <si>
    <t>www.pymetrics.com</t>
  </si>
  <si>
    <t>2015: 70, 2017: 45, 2018: 87</t>
  </si>
  <si>
    <t>54162-37P</t>
  </si>
  <si>
    <t>Frida Polli</t>
  </si>
  <si>
    <t>fridapolli@pymetrics.com</t>
  </si>
  <si>
    <t>+1 (646) 397-7998</t>
  </si>
  <si>
    <t>373 Park Avenue South</t>
  </si>
  <si>
    <t>10019</t>
  </si>
  <si>
    <t>info@pymetrics.com</t>
  </si>
  <si>
    <t>The company raised $40 million of Series B venture funding in a deal led by General Atlantic on September 27, 2018, putting the company's pre-money valuation at $150 million. Workday Ventures, Salesforce Ventures, Khosla Ventures, and JAZZ Venture Partners also participated in the round. The company intends to use the funds to continue to accelerate international expansion while continuing innovative product development.</t>
  </si>
  <si>
    <t>Andrew Palmer, BBG Ventures, FinTech Innovation Lab, General Atlantic, Individual Investor, JAZZ Venture Partners, Jeff Hammerbacher, Jina Ventures, Khosla Ventures, Koa Labs, MassChallenge, Mercer, Microsoft ScaleUp, Randstad Innovation Fund, Robert Pittman, Rockefeller Foundation, Salesforce Ventures, Terry McGuire, Workday Ventures</t>
  </si>
  <si>
    <t>BBG Ventures(www.bbgventures.com), FinTech Innovation Lab(www.fintechinnovationlab.com), General Atlantic(www.generalatlantic.com), JAZZ Venture Partners(www.jazzvp.com), Jina Ventures(www.jinaventures.com), Khosla Ventures(www.khoslaventures.com), Koa Labs(www.koalab.com), MassChallenge(www.masschallenge.org), Mercer(www.mercer.com), Microsoft ScaleUp(startups.microsoft.com/en-us/scale-up), Rockefeller Foundation(www.rockefellerfoundation.org)</t>
  </si>
  <si>
    <t>170220-34</t>
  </si>
  <si>
    <t>Purely Elizabeth</t>
  </si>
  <si>
    <t>Soul Sprout, Graze, Nud fud, NatureBox, Bob's Red Mill, Enjoy Life Foods, Van's Natural Foods, KIND (Healthy Snacks), LÄRABAR, Gorilly Goods, Glutino Food Group, Kashi, NurturMe, Bicentury, Perfect Bar, Bear Naked, Plum Organics, Love Child (Brands), Pact Coffee, Don't Go Nuts, Quest Nutrition, Kutoa Company, Blake's All Natural Foods, Justin's, Clif Bar &amp; Company</t>
  </si>
  <si>
    <t>Provider of probiotic granola cereal and oatmeal intended to offer dairy, sugar, wheat and gluten free breakfast. The company produces whole grains, super-food seeds and through their e-commerce platform offers granola and oatmeal breakfast like granola cereal, grain free granola, ancient grain granola, ready made oatmeal made of various natural ingredients like whole grains and super-food seeds enabling users to enjoy dairy, sugar, wheat and gluten fee breakfast.</t>
  </si>
  <si>
    <t>gluten-free food, granola cereals, granola snacks, oatmeal product, organic food, readymade oatmeal, roasted granola, superfoods product</t>
  </si>
  <si>
    <t>www.purelyelizabeth.com</t>
  </si>
  <si>
    <t>2014: 4, 2017: 10</t>
  </si>
  <si>
    <t>156032-11P</t>
  </si>
  <si>
    <t>Elizabeth Stein</t>
  </si>
  <si>
    <t>elizabeth@purelyelizabeth.com</t>
  </si>
  <si>
    <t>+1 (720) 242-7525</t>
  </si>
  <si>
    <t>3200 Carbon Place</t>
  </si>
  <si>
    <t>+1 (888) 586-9485</t>
  </si>
  <si>
    <t>info@purelyelizabeth.com</t>
  </si>
  <si>
    <t>The company raised $3 million of venture funding from 301 on April 3, 2017. The company intends to use the funds for new product development and further expedition of the brand's growth in natural and conventional grocery channels.</t>
  </si>
  <si>
    <t>301</t>
  </si>
  <si>
    <t>301(www.301inc.com)</t>
  </si>
  <si>
    <t>Holland &amp; Hart(Legal Advisor)</t>
  </si>
  <si>
    <t>45710-29</t>
  </si>
  <si>
    <t>Puppet</t>
  </si>
  <si>
    <t>Reductive Labs</t>
  </si>
  <si>
    <t>Puppet Labs</t>
  </si>
  <si>
    <t>Redwood Software, HashiCorp, Chef, Mphasis Stelligent, Bladelogic, RightScale, NephoScale, Appian, Docker, Clarive, Automic Software, BMC Software, SaltStack, Qlik Technologies, XebiaLabs, Assure, Alteryx, CaiCloud, Octopus Deploy, Mesosphere, Electric Cloud, Platform9, Agile Stacks, Rescale, Calm.io, QASymphony, Diamanti, JFrog, AppViewX, CloudPassage, Delphix, Apprenda, MapR, Real-Time Systems, TIBCO Software, Zephyr (Software), Pegasystems, Actifio, Nirmata, SAP, Apcera, Rancher (Container Management), NetSuite, Stratoscale, DataStax, GigaSpaces, ZeroStack, Epicor Software, Pentaho, Cohesity, Extreme Networks, VersionOne, SmartBear, Intigua, Tricentis, Green Hills Software, CFEngine, Madumbo, Salesforce, Vaadin, MuleSoft, CloudVelox, SAS Institute, CA Technologies, MidVision, Yellowfin, Duo Security, SingleHop, Trifectix, SnapLogic, SocketPlane, Telerik, Aviatrix, Ansible</t>
  </si>
  <si>
    <t>Developer of information technology automation software intended to help deliver and operate the modern software. The company's software offers services to enforce security policies, prove compliance, move to the cloud, or adopt full-blown DevOps practices, enabling businesses to help them automate the delivery and operation of the software that powers everything around.</t>
  </si>
  <si>
    <t>configuration management, devops, devops automation, devops software, information technology automation software, infrastructure management software, technology automation</t>
  </si>
  <si>
    <t>www.puppet.com</t>
  </si>
  <si>
    <t>2007: 1, 2008: 1, 2009: 1, 2010: 1, 2013: 150, 2014: 300, 2015: 396, 2016: 470, 2017: 530, 2018: 500</t>
  </si>
  <si>
    <t>35593-93P</t>
  </si>
  <si>
    <t>Mark Iserloth</t>
  </si>
  <si>
    <t>mark.iserloth@puppet.com</t>
  </si>
  <si>
    <t>+1 (877) 575-9775</t>
  </si>
  <si>
    <t>308 South West 2nd Avenue</t>
  </si>
  <si>
    <t>Fifth Floor</t>
  </si>
  <si>
    <t>97204</t>
  </si>
  <si>
    <t>info@puppet.com</t>
  </si>
  <si>
    <t>The company raised venture funding from MicroVentures on an undisclosed date. Earlier, the company raised $42 million of venture funding in a deal led by Cisco Investments on June 27, 2018. VMware, EDBI, True Ventures and Kleiner Perkins also participated in the round.</t>
  </si>
  <si>
    <t>Cisco Investments, EDBI, Emerson Street Partners, GV, Kenny Van Zant, Kleiner Perkins, MicroVentures, Northgate Capital, Radar Partners, Triangle Peak Partners, True Ventures, VMware</t>
  </si>
  <si>
    <t>Cisco Investments(www.ciscoinvestments.com), EDBI(www.edbi.com), Emerson Street Partners(www.emersonstreetpartners.com), GV(www.gv.com), Kleiner Perkins(www.kleinerperkins.com), MicroVentures(www.microventures.com), Northgate Capital(www.northgate.com), Triangle Peak Partners(www.trianglepeakpartners.com), True Ventures(www.trueventures.com), VMware(www.vmware.com)</t>
  </si>
  <si>
    <t>Alto Law Group(Legal Advisor), Gunderson Dettmer(Legal Advisor), Nectar Communications(Advisor: Communications), PMG Worldwide(Consulting), Qruize Technologies(Consulting)</t>
  </si>
  <si>
    <t>Gunderson Dettmer(Legal Advisor), Moss Adams(Accounting), Silicon Valley Bank(Debt Financing)</t>
  </si>
  <si>
    <t>94709-44</t>
  </si>
  <si>
    <t>Pulsate</t>
  </si>
  <si>
    <t>MoEngage, SharpSpring, Connecthings, GPShopper, Placed, Localytics, Marketo, SessionM, Paytronix Systems, Adikteev, Wigzo, Pendo, Convert, Customer.io, ContentSquare, FollowAnalytics, Vero, Kahuna, AppLovin, WebEngage, Ontraport, mParticle, Braze, Optimizely, Iterable, Zarget, Keap (Saas Platform), AB Tasty, Open Market, CleverTap, Punchh, Listrak, Salesforce, BloomReach, Apptus Technologies, Campaigner, Klaviyo, Taplytics, Adestra, tapCLIQ, Yesware, Autopilot, AddShoppers, Airship, Phunware, Neura (Consumer Insights), Ematic, ProveSource, Monetate, GetResponse, Batch (Business/Productivity Software), ToutApp, Plumb5, Swrve, Springbot, Adtelligence, Campaign Monitor, Optimove, Amplitude, trbo, Xtify, LeadSquared, Movable Ink, Leanplum, Evergage, Branding Brand, inMarket Media, AppLift, Accengage, Silverpop Systems, MixPanel, Reflektion, Pure360, UserVoice, Yext, Carnival (Mobile), ActiveCampaign</t>
  </si>
  <si>
    <t>Provider of an end-to-end context marketing platform intended to help businesses to increase user engagement. The company's platform helps mobile marketers to send personalized campaigns, increase user engagement and deliver experiences to build brand loyalty, as well as helps to communicate directly with the customers based on their location, context, interests and behaviors, enabling clients to drive sales in an enhanced way.</t>
  </si>
  <si>
    <t>context marketing, marketing platform, mobile marketing, online marketing platform, user engagement platform</t>
  </si>
  <si>
    <t>www.pulsatehq.com</t>
  </si>
  <si>
    <t>2015: 12, 2016: 20</t>
  </si>
  <si>
    <t>91700-29P</t>
  </si>
  <si>
    <t>Patrick Leddy</t>
  </si>
  <si>
    <t>+1 (415) 500-9859</t>
  </si>
  <si>
    <t>Bank of Ireland Workbench</t>
  </si>
  <si>
    <t>39 St. Stephen's Green East</t>
  </si>
  <si>
    <t>+353 (0)1 524 0402</t>
  </si>
  <si>
    <t>The company raised $250,000 of venture funding from Paypal, dunnhumby Ventures and Delta Partners on December 21, 2018. Enterprise Ireland also participated in the round. The funds will be used to scale up and define mobile-first shopping experiences.</t>
  </si>
  <si>
    <t>Delta Partners, dunnhumby Ventures, Enterprise Ireland, PayPal Holdings, Startlab</t>
  </si>
  <si>
    <t>Delta Partners(www.deltapartners.com), Enterprise Ireland(www.enterprise-ireland.com), PayPal Holdings(www.paypal.com)</t>
  </si>
  <si>
    <t>Beauchamps Services(Legal Advisor), Philip Lee Solicitors(Advisor: General), William Fry(Legal Advisor)</t>
  </si>
  <si>
    <t>118203-04</t>
  </si>
  <si>
    <t>Puls Technologies</t>
  </si>
  <si>
    <t>CellSavers</t>
  </si>
  <si>
    <t>Puls</t>
  </si>
  <si>
    <t>Repairly, Mobile Klinik, Anovo, Fixt, iCracked</t>
  </si>
  <si>
    <t>Provider of an in-home repair and installation platform intended to provide services and support for tech devices. The company's platform provides same-day services for mobile, digital devices and related products from tv mounting and wifi configuration to installation of garage doors and security systems in addition to in-home mobile device repair, providing customers with fast and convenient access to local technicians for home technology needs.</t>
  </si>
  <si>
    <t>Other Services (B2C Non-Financial), Social/Platform Software*</t>
  </si>
  <si>
    <t>in home repair, installation platform, mobile repair, mobile repair platform, smartphone maintenance</t>
  </si>
  <si>
    <t>www.puls.com</t>
  </si>
  <si>
    <t>2015: 11, 2016: 30, 2018: 62</t>
  </si>
  <si>
    <t>123259-15P</t>
  </si>
  <si>
    <t>Itai Hirsch</t>
  </si>
  <si>
    <t>President &amp; Co-Founder</t>
  </si>
  <si>
    <t>ih@mycellsavers.com</t>
  </si>
  <si>
    <t>+1 (855) 256-3709</t>
  </si>
  <si>
    <t>655 Montgomery Street</t>
  </si>
  <si>
    <t>Suite 1450</t>
  </si>
  <si>
    <t>hi@cellsavers.com</t>
  </si>
  <si>
    <t>The company raised $50 million through a combination of debt and Series C venture funding in a deal led by Temasek Holdings on August 28, 2018, putting the company's pre-money valuation at $150 million. Viola Ventures, Sequoia Capital Israel, Samsung NEXT Ventures, Red Dot Capital Partners, Hanaco Venture Capital and Hamilton Lane also participated in the round. The company, which has raised $93 million in total funding to date, intends to use the funds to accelerate expansion.</t>
  </si>
  <si>
    <t>Hamilton Lane, Hanaco Venture Capital, Kreos Capital, Maverick Ventures Israel, Red Dot Capital Partners, Robert Antokol, Samsung NEXT Ventures, Sequoia Capital Israel, Temasek Holdings, Viola Ventures</t>
  </si>
  <si>
    <t>Hamilton Lane(www.hamiltonlane.com), Hanaco Venture Capital(www.hanacovc.com), Kreos Capital(www.kreoscapital.com), Maverick Ventures Israel(www.maverick.vc), Red Dot Capital Partners(www.red-dot.capital), Samsung NEXT Ventures(www.samsungnext.com), Temasek Holdings(www.temasek.com.sg)</t>
  </si>
  <si>
    <t>Dorsey &amp; Whitney(Legal Advisor)</t>
  </si>
  <si>
    <t>53999-11</t>
  </si>
  <si>
    <t>PubNub</t>
  </si>
  <si>
    <t>Pusher, Quickbase, Meteor (Application Development), Betty Blocks, Orchestrate, AnyPresence, Syncano, Rollout IO, Kinvey, PlayFab, Stormpath, Octoblu, Twilio, ShepHertz, Plivo, SendBird, Firebase, TrackVia, Strategic Motion, Zscaler, Cloudflare, Sixgill, Airtable, Apptimize, Couchbase, Kaazing, Ansible, Push Technology, TempoIQ, QuickBlox, Airship</t>
  </si>
  <si>
    <t>Developer of a software designed to build and scale applications by providing the cloud infrastructure. The company's software builds applications such as live dashboards and data streams, real-time collaboration, second screen synchronization and machine-to-machine signaling for any device, enabling customers to connect, scale and manage realtime applications and IoT devices.</t>
  </si>
  <si>
    <t>cloud-based messaging, messaging service, mobile application building, real time messaging, web application building</t>
  </si>
  <si>
    <t>www.pubnub.com</t>
  </si>
  <si>
    <t>40211-29P</t>
  </si>
  <si>
    <t>Todd Greene</t>
  </si>
  <si>
    <t>todd@pubnub.com</t>
  </si>
  <si>
    <t>+1 (415) 223-7552</t>
  </si>
  <si>
    <t>725 Folsom Street</t>
  </si>
  <si>
    <t>The company raised $25 million of Series C venture funding led by Sapphire Ventures on June 26, 2015, putting the company's pre-money valuation at $123.75 million. Relay Ventures, Scale Venture Partners, TiE Angels, Jai Das, In-Q-Tel, Envision Ventures, Robert Bosch Ventures, Clearvision Ventures and Sound Ventures also participated. The company will be using the investment to continue scaling out its business, specifically internationally and into expanding the kinds services that it offers to its users.</t>
  </si>
  <si>
    <t>Anshu Sharma, Cisco Investments, Clearvision Ventures, Cota Capital, Envision Ventures, Ericsson Ventures, Hewlett Packard Pathfinder, In-Q-Tel, Relay Ventures, Robert Bosch Venture Capital, Sapphire Ventures, Scale Venture Partners, Sound Ventures, Streamlined Ventures, TiE Silicon Valley, Vikas Gupta, Vikas Taneja, VKRM</t>
  </si>
  <si>
    <t>Cisco Investments(www.ciscoinvestments.com), Clearvision Ventures(www.clearvisionventures.com), Cota Capital(www.cotacapital.com), Envision Ventures(www.envisionvc.com), Hewlett Packard Pathfinder(www.hewlettpackardpathfinder.com), In-Q-Tel(www.iqt.org), Relay Ventures(www.relayventures.com), Robert Bosch Venture Capital(www.rbvc.com), Sapphire Ventures(www.sapphireventures.com), Scale Venture Partners(www.scalevp.com), Sound Ventures(www.sound-ventures.com), Streamlined Ventures(www.streamlinedventures.com), TiE Silicon Valley(www.tieeco.org), VKRM(www.vkrm.com)</t>
  </si>
  <si>
    <t>159924-88</t>
  </si>
  <si>
    <t>Protes</t>
  </si>
  <si>
    <t>ProTings</t>
  </si>
  <si>
    <t>Producer of protein snacks designed to offer low calorie chips. The company's snacks are rich in protein and gluten-free, enabling consumers to consume them without affecting their health.</t>
  </si>
  <si>
    <t>chips, gluten-free chips, protein snacks, vegan snacks</t>
  </si>
  <si>
    <t>www.eatprotes.com</t>
  </si>
  <si>
    <t>135933-58P</t>
  </si>
  <si>
    <t>Krik Angacian</t>
  </si>
  <si>
    <t>krik.angacian@proformancefoods.com</t>
  </si>
  <si>
    <t>info@eatprotes.com</t>
  </si>
  <si>
    <t>The company raised $1.13 million of Series A venture financing from SOSV, ZX Ventures, and other undisclosed investors on August 23, 2016, putting the company's pre-money valuation at $4 million. The company will use the funding to build it's team and continue to push into conventional retail channels. 15/16 Group also participated in this round. Prior to that the company received $10,000 of debt financing from Kiva Microfunds on October 12, 2015.</t>
  </si>
  <si>
    <t>15/16 Group, SOSV, ZX Ventures</t>
  </si>
  <si>
    <t>15/16 Group(www.1516group.com), SOSV(www.sosv.com), ZX Ventures(www.zx-ventures.com)</t>
  </si>
  <si>
    <t>Kiva Microfunds(Debt Financing)</t>
  </si>
  <si>
    <t>43055-02</t>
  </si>
  <si>
    <t>Proterra</t>
  </si>
  <si>
    <t>Mobile Energy Solutions</t>
  </si>
  <si>
    <t>Advanced Vehicle Manufacturing, Protean Electric, Wrightspeed Powertrains, Effenco, Nikola, Efficient Drivetrains, NFI Group</t>
  </si>
  <si>
    <t>Designer and manufacturer of zero-emission buses designed to offer smart, safer and reliable transit. The company's buses have configurable EV platform make its buses well suited for all transit routes, enabling fleet operators to eliminate dependency on fossil fuels and reduce costs.</t>
  </si>
  <si>
    <t>Other Commercial Products*, Road</t>
  </si>
  <si>
    <t>bus, clean technology, electric vehicle, hybrid bus, hydrogen fuel cell, zero emission vehicle</t>
  </si>
  <si>
    <t>www.proterra.com</t>
  </si>
  <si>
    <t>2010: 70, 2014: 139, 2015: 167, 2017: 200, 2018: 175</t>
  </si>
  <si>
    <t>Competitor (New) Protean Electric</t>
  </si>
  <si>
    <t>33144-85P</t>
  </si>
  <si>
    <t>Ryan Popple</t>
  </si>
  <si>
    <t>rpopple@proterra.com</t>
  </si>
  <si>
    <t>Burlingame, CA</t>
  </si>
  <si>
    <t>1815 Rollins Road</t>
  </si>
  <si>
    <t>Burlingame</t>
  </si>
  <si>
    <t>94010</t>
  </si>
  <si>
    <t>info@proterra.com</t>
  </si>
  <si>
    <t>The company raised $155 million of venture funding in a deal co-led by Daimler and Tao Capital Partners on September 19, 2018, putting the company's pre-money valuation at $700 million. G2VP, Elemental Excelerator, Conductive Ventures and other undisclosed investors also participated in the round. In conjunction with the investment, company and Daimler have entered into an agreement to explore the electrification of select Daimler heavy-duty vehicles.</t>
  </si>
  <si>
    <t>88 Green Ventures, BMW i Ventures, California Energy Commission, Conductive Ventures, Constellation Energy Group, Constellation Technology Ventures, Daimler, Edison Energy, Elemental Excelerator, Franklin Templeton Investments, G2VP, Generation Investment Management, GM Ventures, Hennessey Capital, Hercules Capital, Kleiner Perkins, Mitsui Global Investment, Obvious Ventures, Tao Capital Partners, Ulu Ventures, Vision Ridge Partners</t>
  </si>
  <si>
    <t>88 Green Ventures(www.88greenventures.com), BMW i Ventures(www.bmwiventures.com), California Energy Commission(www.energy.ca.gov), Conductive Ventures(www.conductive.vc), Constellation Technology Ventures(www.technologyventures.constellation.com), Daimler(www.daimler.com), Elemental Excelerator(www.elementalexcelerator.com), Franklin Templeton Investments(www.franklinresources.com), G2VP(www.g2vp.com), Generation Investment Management(www.generationim.com), GM Ventures(www.gmventures.com), Hennessey Capital(www.hennesseycap.com), Hercules Capital(www.htgc.com), Kleiner Perkins(www.kleinerperkins.com), Mitsui Global Investment(www.mitsui-global.com), Obvious Ventures(www.obvious.com), Tao Capital Partners(www.taocap.com), Ulu Ventures(www.uluventures.com), Vision Ridge Partners(www.vision-ridge.com)</t>
  </si>
  <si>
    <t>Arete Partners(Consulting)</t>
  </si>
  <si>
    <t>Fenwick &amp; West(Legal Advisor), Hercules Capital(Debt Financing), J.P. Morgan Securities(Advisor: General), Latham &amp; Watkins(Legal Advisor)</t>
  </si>
  <si>
    <t>156679-21</t>
  </si>
  <si>
    <t>Prospera Technologies</t>
  </si>
  <si>
    <t>Prospera</t>
  </si>
  <si>
    <t>CropIn, Cainthus, ZedX, Resson, Farmers Edge, AWhere, Ag Leader Technology, AgNext, Decisive Farming, CropLogic, OnFarm Systems, Taranis, TapLogic, DroneDeploy, SST Software, Agrible, Precision Planting</t>
  </si>
  <si>
    <t>Developer of computer vision technologies designed to reinvent the way data is utilized in agriculture. The company's computer vision technologies monitor and analyze plant health, development and stress, capturing climate and visual data from the field and providing actionable insights to growers via mobile and Web, enabling farmers to revolutionize the way they grow their foods.</t>
  </si>
  <si>
    <t>Business/Productivity Software*, Other Agriculture</t>
  </si>
  <si>
    <t>AgTech, Artificial Intelligence &amp; Machine Learning, Big Data, TMT</t>
  </si>
  <si>
    <t>agricultural data, agricultural technology, agriculture software, agritech, computer vision technology, monitoring tools, visual data</t>
  </si>
  <si>
    <t>www.prospera.ag</t>
  </si>
  <si>
    <t>132348-34P</t>
  </si>
  <si>
    <t>Daniel Koppel</t>
  </si>
  <si>
    <t>daniel@prospera.ag</t>
  </si>
  <si>
    <t>Tel-Aviv, Israel</t>
  </si>
  <si>
    <t>124th Ibn Gvirol Street</t>
  </si>
  <si>
    <t>Tel-Aviv</t>
  </si>
  <si>
    <t>6854231</t>
  </si>
  <si>
    <t>info_hq@prospera.ag</t>
  </si>
  <si>
    <t>The company raised $15 million of Series B venture funding from lead investor Qualcomm Ventures on March 7, 2017. Israel Cleantech Ventures, Cisco Investments, ICV Partners and Bessemer Venture Partners also participated. The company will use the new funds to accelerate its global expansion and broaden its services to different crops in both indoor and outdoor environments. The company brings the total investment to $22 million to date. Earlier, the company raised $7 million of Series A venture funding in a deal led by Bessemer Venture Partners on July 26, 2016.</t>
  </si>
  <si>
    <t>Bessemer Venture Partners, Cisco Investments, Hishtil Ltd, Israel Cleantech Ventures, Qualcomm Ventures</t>
  </si>
  <si>
    <t>Bessemer Venture Partners(www.bvp.com), Cisco Investments(www.ciscoinvestments.com), Hishtil Ltd(hishtil.com), Israel Cleantech Ventures(www.icv.vc), Qualcomm Ventures(www.qualcommventures.com)</t>
  </si>
  <si>
    <t>155356-84</t>
  </si>
  <si>
    <t>Propel (Product Management Platform)</t>
  </si>
  <si>
    <t>Propel</t>
  </si>
  <si>
    <t>Aras, Centric Software, Omnify Software</t>
  </si>
  <si>
    <t>Developer of a product lifecycle management platform intended to propel digital transformation. The company's Salesforce-based platform uniquely combines product lifecycle management, product information management and quality management solutions into one system as well as facilitate communication between front office and back office departments to create a collaborative whole office, enabling organizations and end customers to work and take product decisions together.</t>
  </si>
  <si>
    <t>product information management platform, product lifecycle, product lifecycle management software, product lifecycle planning, product quality management</t>
  </si>
  <si>
    <t>www.propelplm.com</t>
  </si>
  <si>
    <t>2016: 11, 2018: 35</t>
  </si>
  <si>
    <t>56572-75P</t>
  </si>
  <si>
    <t>Raymond Hein</t>
  </si>
  <si>
    <t>ray@propelplm.com</t>
  </si>
  <si>
    <t>+1 (408) 320-5962</t>
  </si>
  <si>
    <t>900 Lafayette Street</t>
  </si>
  <si>
    <t>Suite 505</t>
  </si>
  <si>
    <t>info@propelplm.com</t>
  </si>
  <si>
    <t>The company raised $18 million of Series B venture funding in a deal led by Norwest Venture Partners on November 15, 2018, putting the company's pre-money valuation at $42 million. Salesforce Ventures, SignalFire, Alumni Ventures Group and Cloud Apps Capital Partners also participated in the round. The funds will be used to grow the company's team, deliver on its expansive product roadmap and build on its existing customer base.</t>
  </si>
  <si>
    <t>Alumni Ventures Group, Cloud Apps Capital Partners, EGORA Holding, Green D Ventures, Kortschak Investments, Norwest Venture Partners, Salesforce Ventures, SignalFire, The Salesforce Incubator</t>
  </si>
  <si>
    <t>Alumni Ventures Group(www.avgfunds.com), Cloud Apps Capital Partners(www.cloudappscapital.com), EGORA Holding(www.egora-holding.de), Green D Ventures(www.greendventures.com), Kortschak Investments(www.kortschak.com), Norwest Venture Partners(www.nvp.com), SignalFire(www.signalfire.com)</t>
  </si>
  <si>
    <t>58919-95</t>
  </si>
  <si>
    <t>Profusa</t>
  </si>
  <si>
    <t>Developer of tissue-integrating biosensors designed for continuous monitoring of body chemistry. The company's sensor measures tissue-oxygen perfusion in the clinical management of chronic wounds, enabling patients to improve personal health and manage diseases easily.</t>
  </si>
  <si>
    <t>Biotechnology, Other Devices and Supplies*</t>
  </si>
  <si>
    <t>bioengineered sensor, biointegrated sensors, biosensor, body chemistry, tissue-integrating biosensor</t>
  </si>
  <si>
    <t>www.profusa.com</t>
  </si>
  <si>
    <t>2011: 5, 2012: 10, 2013: 23, 2014: 40, 2015: 41</t>
  </si>
  <si>
    <t>55231-12P</t>
  </si>
  <si>
    <t>Natalie Wisniewski</t>
  </si>
  <si>
    <t>natalie.wisniewski@profusacorp.com</t>
  </si>
  <si>
    <t>+1 (415) 655-9861</t>
  </si>
  <si>
    <t>South San Francisco, CA</t>
  </si>
  <si>
    <t>345 Allerton Avenue</t>
  </si>
  <si>
    <t>South San Francisco</t>
  </si>
  <si>
    <t>94080</t>
  </si>
  <si>
    <t>info@profusa.com</t>
  </si>
  <si>
    <t>The company raised $45 million through the combination of Series C and Series C1 venture funding from Maxim Ventures, Tasly Holding Group and 3E Bioventures Capital on August 14, 2018, putting the company's pre-money valuation at $170 million. Atinum Investment and VMS Investment Group also participated in the round. The company intends to use the funds to advance the commercialization of their first product Profusa Lumee Oxygen Platform for continuous, real-time monitoring of tissue oxygen and to accelerate the development of their transformative glucose biosensor technology.</t>
  </si>
  <si>
    <t>3E Bioventures Capital, Army Research Office - U.S. Army Research Laboratory, Asset Management Ventures, Atinum Investment, CampVentures, Dasman Diabetes Institute, Defense Advanced Research Projects Agency, Maxim Ventures, National Institutes of Health, Qihoo 360 Technology, Tasly Holding Group, Technology Ventures Corporation, VMS Investment Group</t>
  </si>
  <si>
    <t>3E Bioventures Capital(www.3ebiovc.com), Army Research Office - U.S. Army Research Laboratory(www.aro.army.mil), Asset Management Ventures(www.assetman.com), Atinum Investment(www.atinuminvest.co.kr), CampVentures(www.campventures.com), Dasman Diabetes Institute(www.dasmaninstitute.org), Defense Advanced Research Projects Agency(www.darpa.mil), Maxim Ventures(www.maximventures.com), National Institutes of Health(www.nih.gov), Qihoo 360 Technology(www.360.cn), Tasly Holding Group(www.tasly.com), Technology Ventures Corporation(www.techventures.org), VMS Investment Group(www.vmsig.com)</t>
  </si>
  <si>
    <t>Cooley(Legal Advisor), Jameson &amp; Company(Accounting), Silicon Valley Bank(General Business Banking)</t>
  </si>
  <si>
    <t>125433-37</t>
  </si>
  <si>
    <t>Prodromus</t>
  </si>
  <si>
    <t>Developer and seller of robotic medical devices for gait rehabilitation. The company has developed and patented an automated gait training device which is used for the rehabilitation of the lower limbs in children with cerebral palsy, spina bifida, brain damage and dysfunctions of neurological and traumatic origin.</t>
  </si>
  <si>
    <t>Other Devices and Supplies*, Therapeutic Devices</t>
  </si>
  <si>
    <t>automated walking trainer, rehabilitation equipment, robotics medical device</t>
  </si>
  <si>
    <t>www.prodromus.pl</t>
  </si>
  <si>
    <t>120327-04P</t>
  </si>
  <si>
    <t>Bartłomiej Tomasz Wielogórski</t>
  </si>
  <si>
    <t>Founder, President &amp; Chairman</t>
  </si>
  <si>
    <t>bwielogorski@prodromus.pl</t>
  </si>
  <si>
    <t>+ 48 88 528 6990</t>
  </si>
  <si>
    <t>Golkowice 451</t>
  </si>
  <si>
    <t>30-698</t>
  </si>
  <si>
    <t>+48 88 528 6990</t>
  </si>
  <si>
    <t>The company received a EUR 50,000 grant from Horizon 2020 on December 12, 2016.</t>
  </si>
  <si>
    <t>Horizon 2020, JCI Venture, Warsaw Equity Group</t>
  </si>
  <si>
    <t>JCI Venture(www.jciventure.pl), Warsaw Equity Group(www.warsawequity.com)</t>
  </si>
  <si>
    <t>229948-03</t>
  </si>
  <si>
    <t>Probius</t>
  </si>
  <si>
    <t>Provider of an electronic sensing platform intended to offer broad spectrum, point-of-care diagnostic service. The company's platform has developed a device which can analyze multiple target proteins in real time and can be used for blood-draw quality checks and for a broad screening panel in the emergency care setting, enabling doctors to rapidly deliver appropriate therapy to patients in need of critical care within clinical settings.</t>
  </si>
  <si>
    <t>Diagnostic Equipment*, Other Devices and Supplies, Other Healthcare Technology Systems</t>
  </si>
  <si>
    <t>biomolecular sensing, electronic sensing, electronic sensing platform, healthtech, protein target, screening panel</t>
  </si>
  <si>
    <t>www.probiusdx.com</t>
  </si>
  <si>
    <t>187868-89P</t>
  </si>
  <si>
    <t>Emmanuel Quevy</t>
  </si>
  <si>
    <t>emmanuel.quevy@probiusdx.com</t>
  </si>
  <si>
    <t>+1 (510) 827-5604</t>
  </si>
  <si>
    <t>El Cerrito, CA</t>
  </si>
  <si>
    <t>1629 Julian Drive</t>
  </si>
  <si>
    <t>El Cerrito</t>
  </si>
  <si>
    <t>94530</t>
  </si>
  <si>
    <t>The company raised an estimated $500,000 of Seed funding from Baidu Ventures, Joyance Partners and Sand Hill Angels on October 26, 2018, putting the company's pre-money valuation at $4.5 million.</t>
  </si>
  <si>
    <t>Baidu Ventures, Defense Advanced Research Projects Agency, Joyance Partners, Sand Hill Angels, United States Department of Defense</t>
  </si>
  <si>
    <t>Baidu Ventures(www.bv.ai), Defense Advanced Research Projects Agency(www.darpa.mil), Joyance Partners(www.joyancepartners.com), Sand Hill Angels(www.sandhillangels.com), United States Department of Defense(www.defense.gov)</t>
  </si>
  <si>
    <t>113075-29</t>
  </si>
  <si>
    <t>Privitar</t>
  </si>
  <si>
    <t>McAfee, Abine, BigID, Anonos, DocAuthority, Dataguise, Prifender, Actifio, Skyhigh Networks, Camouflage Software, Exonar, CipherCloud, LeapYear Technologies, Privacy Analytics, Behavox, Informatica, Irisium, HexaTier, LogicGate, Gemalto, Vormetric, DataSunrise</t>
  </si>
  <si>
    <t>Provider of privacy-preserving data analytics software designed to offer tools to help organizations keep that data private. The company's software helps to facilitate the ethical and safe use of valuable data assets to help companies gain faster insights, overcome trust barriers, enable data-driven innovation, reduce privacy risk, simplify compliance, among others, providing clients with a unique combination of privacy techniques, governance and management.</t>
  </si>
  <si>
    <t>Big Data, Cybersecurity, TMT</t>
  </si>
  <si>
    <t>data analytics, data anonymisation, data mask, data privacy, data security service, differential privacy, privacy engineering, privacy preserves data mining</t>
  </si>
  <si>
    <t>www.privitar.com</t>
  </si>
  <si>
    <t>100545-04P</t>
  </si>
  <si>
    <t>Anthony Preez</t>
  </si>
  <si>
    <t>apreez@privitar.com</t>
  </si>
  <si>
    <t>+44 (0)20 3282 7136</t>
  </si>
  <si>
    <t>30 Stamford Street</t>
  </si>
  <si>
    <t>SE1 9LQ</t>
  </si>
  <si>
    <t>info@privitar.com</t>
  </si>
  <si>
    <t>The company raised an undisclosed amount of venture funding from Citigroup on December 10, 2018. The funds will be used by the company for international expansion, particularly in the US where it plans to expand its existing teams on the East Coast.</t>
  </si>
  <si>
    <t>24Haymarket, Cambridge Angels, Citigroup, CME Ventures, David Cleevely, David Gammon, Illuminate Financial Management, Individual Investor, IQ Capital Partners, O2h Ventures, Partech Partners, Rockspring, Salesforce Ventures, Sir Peter Job, Thomas Glocer</t>
  </si>
  <si>
    <t>24Haymarket(www.24haymarket.com), Cambridge Angels(www.cambridgeangels.com), Citigroup(www.citigroup.com/citi), Illuminate Financial Management(www.illuminatefinancial.com), IQ Capital Partners(www.iqcapital.vc), O2h Ventures(www.o2h.com), Partech Partners(www.partechpartners.com), Rockspring(www.rockspring.co.uk), Thomas Glocer(www.tomglocer.com)</t>
  </si>
  <si>
    <t>Mazars UK(Advisor: General), PricewaterhouseCoopers Legal(Legal Advisor)</t>
  </si>
  <si>
    <t>52798-60</t>
  </si>
  <si>
    <t>Prism Skylabs</t>
  </si>
  <si>
    <t>AllGoVision, WiZR, Agent Vi, 3VR</t>
  </si>
  <si>
    <t>Provider of a cloud based platform designed to transform cameras into powerful business tools. The company's cloud based platform combines real-world video, machine intelligence, data visualization in the cloud and allows to bring video feeds online by extract data from existing video surveillance cameras, enabling businesses to unlock information on customer patterns and behaviors.</t>
  </si>
  <si>
    <t>business tools, cloud technology, cloud-based platform, online video, video feed, video surveillance</t>
  </si>
  <si>
    <t>www.prism.com</t>
  </si>
  <si>
    <t>2013: 20, 2014: 49, 2016: 61</t>
  </si>
  <si>
    <t>35316-73P</t>
  </si>
  <si>
    <t>Stephen Russell</t>
  </si>
  <si>
    <t>steve@prismskylabs.com</t>
  </si>
  <si>
    <t>+1 (415) 704-8762</t>
  </si>
  <si>
    <t>799 Market Street</t>
  </si>
  <si>
    <t>contact@prismskylabs.com</t>
  </si>
  <si>
    <t>The company raised $15 million of Series B venture funding in a deal led by Intel Capital on October 23, 2013, putting the pre-money valuation at $53.79 million. Presidio Ventures, Triangle Peak Partners, Data Collective and Expa also participated in this round.</t>
  </si>
  <si>
    <t>Aaron Patzer, Andreessen Horowitz, Anthem Venture Partners, Anthony Saleh, Brad Garlinghouse, Data Collective, David Ulevitch, Eagle Ventures, Expa Labs, Founder Collective, Garrett Camp, Gordon Rubenstein, Individual Investor, Innovation Endeavors, Intel Capital, MkII Ventures, Nasir Jones, Pacific Partners, Presidio Ventures, Promus Ventures, QueensBridge Venture Partners, Ridge Ventures, SeriesG, SV Angel, TomorrowVentures, Triangle Peak Partners, Tuesday Capital, Yuri Milner</t>
  </si>
  <si>
    <t>Andreessen Horowitz(www.a16z.com), Anthem Venture Partners(www.anthemvp.com), Data Collective(www.dcvc.com), David Ulevitch(david.ulevitch.com), Eagle Ventures(www.eagleventures.biz), Expa Labs(www.expa.com), Founder Collective(www.foundercollective.com), Innovation Endeavors(www.innovationendeavors.com), Intel Capital(www.intelcapital.com), MkII Ventures(www.mkiiventures.com), Nasir Jones(nasir.wun.io), Pacific Partners(www.pacificpartnerslp.com), Presidio Ventures(www.presidio-ventures.com), Promus Ventures(www.promusventures.com), QueensBridge Venture Partners(www.qbvp.com), Ridge Ventures(www.ridge.vc), SV Angel(www.svangel.com), TomorrowVentures(www.tomorrowvc.com), Triangle Peak Partners(www.trianglepeakpartners.com), Tuesday Capital(www.tuesday.vc)</t>
  </si>
  <si>
    <t>Perkins Coie(Legal Advisor), Propeller Industries(Accounting)</t>
  </si>
  <si>
    <t>Fenwick &amp; West(Legal Advisor), Perkins Coie(Legal Advisor)</t>
  </si>
  <si>
    <t>166367-53</t>
  </si>
  <si>
    <t>Princeton Identity</t>
  </si>
  <si>
    <t>SRI International Biometrics</t>
  </si>
  <si>
    <t>PI</t>
  </si>
  <si>
    <t>Aware, EyeLock, MorphoTrak, Delta ID, MorphoTrust USA, Iris ID Systems</t>
  </si>
  <si>
    <t>Provider of bio-metric technologies designed to manage individual identities. The company's technologies offer software and hardware services designed to verify and manage individual identities for a wide range of physical security and data access applications and provide multimodal bio-metric software using iris and facial recognition technologies, enabling government and commercial users to get security services which can be used for applications including mobile access control, corporate, industrial and secure workplaces, airports, critical infrastructure, public arenas and border control.</t>
  </si>
  <si>
    <t>Application Software, Electrical Equipment*, Security Services (B2B)</t>
  </si>
  <si>
    <t>biometric hardware, biometric software, biometric technology, facial recognition technology, identity authentication, identity management, iris authentication technology, multimodal biometrics</t>
  </si>
  <si>
    <t>www.princetonidentity.com</t>
  </si>
  <si>
    <t>2017: 36</t>
  </si>
  <si>
    <t>145420-57P</t>
  </si>
  <si>
    <t>Mark Clifton</t>
  </si>
  <si>
    <t>mark.clifton@princetonidentity.com</t>
  </si>
  <si>
    <t>+1 (609) 256-6994</t>
  </si>
  <si>
    <t>Hamilton, NJ</t>
  </si>
  <si>
    <t>300 Horizon Drive</t>
  </si>
  <si>
    <t>Suite 304</t>
  </si>
  <si>
    <t>Hamilton</t>
  </si>
  <si>
    <t>08691</t>
  </si>
  <si>
    <t>The company raised an estimated $40 million of Series A venture funding from Samsung Venture Investment on August 29, 2016, putting the pre-money valuation at $77.65 million.</t>
  </si>
  <si>
    <t>Samsung Venture Investment, SRI International</t>
  </si>
  <si>
    <t>Samsung Venture Investment(www.samsungventures.com), SRI International(www.sri.com)</t>
  </si>
  <si>
    <t>CohnReznick(Auditor), McCarter &amp; English(Legal Advisor)</t>
  </si>
  <si>
    <t>104139-55</t>
  </si>
  <si>
    <t>Primizie</t>
  </si>
  <si>
    <t>Piadina</t>
  </si>
  <si>
    <t>Producer of flavored crispbreads. The company produces crispbread chips in Italian herb, gouda and garlic, chile and lime, simply salted, dolce caramel and ancient grains flavors.</t>
  </si>
  <si>
    <t>chips, crispbread, food processing, salty snacks</t>
  </si>
  <si>
    <t>www.primiziesnacks.com</t>
  </si>
  <si>
    <t>93041-38P</t>
  </si>
  <si>
    <t>Lisa Spedale</t>
  </si>
  <si>
    <t>Co-Founder &amp; Owner</t>
  </si>
  <si>
    <t>lisa@primiziesnacks.com</t>
  </si>
  <si>
    <t>+1 (877) 292-7553</t>
  </si>
  <si>
    <t>P.O. Box 91971</t>
  </si>
  <si>
    <t>78709</t>
  </si>
  <si>
    <t>+1 (512) 857-1020</t>
  </si>
  <si>
    <t>info@primiziesnacks.com</t>
  </si>
  <si>
    <t>The company received $1.65 million of convertible debt financing from undisclosed investors on July 14, 2016. It previously raised $3.5 million of series B angel funding from Tasty Ventures and Boulder Brands Investment Group on February 15, 2015. The company is being actively tracked by PitchBook.</t>
  </si>
  <si>
    <t>Baylor Angel Network, Boulder Investment Group Reprise, Clayton Christopher, Houston Angel Network, Scott Jensen, SKU, Tasty Ventures, Texas Venture Labs, William Morgan</t>
  </si>
  <si>
    <t>Boulder Investment Group Reprise(www.bigrventures.com), Houston Angel Network(www.houstonangelnetwork.org), SKU(www.sku.is), Texas Venture Labs(www.mccombs.utexas.edu/Centers/Texas-Venture-Labs)</t>
  </si>
  <si>
    <t>CircleUp Network(Advisor: General)</t>
  </si>
  <si>
    <t>47662-48</t>
  </si>
  <si>
    <t>Prieto Battery</t>
  </si>
  <si>
    <t>Boston Power, 24M, Infinite Power Solutions, NanoGraf Technologies, Seeo, SolidEnergy, Sion Power, K2 Energy Solutions</t>
  </si>
  <si>
    <t>Provider of 3D Lithium Ion battery technology designed to commercialize a battery that will deliver transformational performance at a competitive cost. The company has developed a 3D lithium-ion battery technology that delivers transformational performance using non-toxic materials and with the ability to customize shapes to produce a truly disruptive and transformational battery technology through its patented 3D battery architecture, enabling companies to improve one of the three key elements of the existing two-dimensional, acid-based batteries.</t>
  </si>
  <si>
    <t>Energy Storage*, Other Energy Services</t>
  </si>
  <si>
    <t>3d battery, 3d battery architecture, electroplating manufacturing process, lithium-ion battery, nontoxic material, transformational battery technology, transformational performance</t>
  </si>
  <si>
    <t>www.prietobattery.com</t>
  </si>
  <si>
    <t>36209-26P</t>
  </si>
  <si>
    <t>Amy Prieto</t>
  </si>
  <si>
    <t>Founder, Chief Executive Officer, Chief Scientific Officer &amp; Chairman, Board of Directors</t>
  </si>
  <si>
    <t>amy.prieto@prietobattery.com</t>
  </si>
  <si>
    <t>+1 (970) 491-1592</t>
  </si>
  <si>
    <t>Fort Collins, CO</t>
  </si>
  <si>
    <t>3185 Rampart Road</t>
  </si>
  <si>
    <t>Building A</t>
  </si>
  <si>
    <t>Fort Collins</t>
  </si>
  <si>
    <t>80521</t>
  </si>
  <si>
    <t>+1 (970) 492-4195</t>
  </si>
  <si>
    <t>inquiries@prietobattery.com</t>
  </si>
  <si>
    <t>The company received an undisclosed amount of debt financing in the form of a lien from Bluebonnet Capital Partners on February 21, 2017.</t>
  </si>
  <si>
    <t>Bohemian Companies, Consolidated Investment Group, Innosphere, Intel Capital, Stanley Ventures, Stout Street Capital</t>
  </si>
  <si>
    <t>Bohemian Companies(www.bohemiancompanies.com), Consolidated Investment Group(www.ciginvest.com), Innosphere(www.innosphere.org), Intel Capital(www.intelcapital.com), Stanley Ventures(www.stanleyventures.com), Stout Street Capital(www.stoutstreetcapital.com)</t>
  </si>
  <si>
    <t>Bluebonnet Capital Partners(Debt Financing), Bohemian Companies(Debt Financing)</t>
  </si>
  <si>
    <t>56224-09</t>
  </si>
  <si>
    <t>Preventice Solutions</t>
  </si>
  <si>
    <t>Boost Information Systems</t>
  </si>
  <si>
    <t>CardioSecur, InfoBionic, Numera, Glooko, Telcare, CardioDiagnostics, Azumio, BioTelemetry, Rijuven, Moberg ICU Solutions</t>
  </si>
  <si>
    <t>Developer of mobile health applications designed to monitor patient management. The company's mobile health applications use their secure and scalable based platforms, enabling patients with cardiac-related issues and other health disorders the best monitoring and management facilities.</t>
  </si>
  <si>
    <t>Application Software*, Monitoring Equipment</t>
  </si>
  <si>
    <t>Digital Health, Life Sciences, TMT</t>
  </si>
  <si>
    <t>integrated analytics services, mobile health application, remote monitoring</t>
  </si>
  <si>
    <t>www.preventicesolutions.com</t>
  </si>
  <si>
    <t>2013: 17, 2014: 74, 2015: 525</t>
  </si>
  <si>
    <t>48342-79P</t>
  </si>
  <si>
    <t>Jonathan Otterstatter</t>
  </si>
  <si>
    <t>Co-Founder, Chief Global Strategy Officer, Board Member, President &amp; Chief Executive Officer</t>
  </si>
  <si>
    <t>jotterstatter@preventice.com</t>
  </si>
  <si>
    <t>+1 (800) 509-0503</t>
  </si>
  <si>
    <t>1717 North Sam Houston Parkway West</t>
  </si>
  <si>
    <t>77038</t>
  </si>
  <si>
    <t>+1 (888) 747-1442</t>
  </si>
  <si>
    <t>The company raised convertible debt financing from Samsung Catalyst on an undisclosed date. Previously, the company received $75 million of Series A financing from Boston Scientific (NYSE: BSX) on August 3, 2015, putting the company's pre-money valuation at $192 million.</t>
  </si>
  <si>
    <t>Arthur Ventures, Boston Scientific, CRG, Mayo Clinic Ventures, Merck Global Health Innovation Fund, Samsung Catalyst</t>
  </si>
  <si>
    <t>Arthur Ventures(www.arthurventures.com), Boston Scientific(www.bostonscientific.com), CRG(www.crglp.com), Mayo Clinic Ventures(ventures.mayoclinic.org), Merck Global Health Innovation Fund(www.merckghifund.com), Samsung Catalyst(www.samsungcatalyst.com)</t>
  </si>
  <si>
    <t>64674-82</t>
  </si>
  <si>
    <t>Predict.io</t>
  </si>
  <si>
    <t>ParkTAG</t>
  </si>
  <si>
    <t>Provider of an application platform intended to offer SDK that provides user context. The company's platform offers consulting, machine learning, application development, project management and application design, enabling developers target moments rather than statistics.</t>
  </si>
  <si>
    <t>application platform, automobile parking space, parking application, parking ticketing generation, sdk development</t>
  </si>
  <si>
    <t>www.predict.io</t>
  </si>
  <si>
    <t>2014: 10, 2016: 11</t>
  </si>
  <si>
    <t>71899-84P</t>
  </si>
  <si>
    <t>Silvan Rath</t>
  </si>
  <si>
    <t>silvan.rath@predict.io</t>
  </si>
  <si>
    <t>Engeldamm 64b</t>
  </si>
  <si>
    <t>10179</t>
  </si>
  <si>
    <t>The company received EUR 1.4 million of grant funding from European Union's Horizon 2020 program on August 14, 2015. European Commission also participated in the round. Previously, the company joined Next Step Challenge and Accelerace and received EUR 30,000 in funding on December 3, 2014. Prior to this, it also joined German Accelerator on October 27, 2014 and received an undisclosed amount in funding.</t>
  </si>
  <si>
    <t>Accelerace, BASF Venture Capital, Daimler, Deutsche Telekom, eStrategy Consult, European Commission, German Accelerator, High-Tech Gründerfonds, Horizon 2020, KfW Group, Location Based Marketing Association (LBMA), Next Step Challenge, Next47, Robert Bosch Stiftung</t>
  </si>
  <si>
    <t>Accelerace(www.accelerace.io), BASF Venture Capital(www.basf-vc.de), Daimler(www.daimler.com), Deutsche Telekom(www.telekom.com), European Commission(www.ec.europa.eu), German Accelerator(www.germanaccelerator.com), High-Tech Gründerfonds(www.high-tech-gruenderfonds.de), KfW Group(www.kfw.de/kfw.de-2.html), Location Based Marketing Association (LBMA)(www.thelbma.com), Next47(Next47.com), Robert Bosch Stiftung(www.bosch-stiftung.de)</t>
  </si>
  <si>
    <t>98172-73</t>
  </si>
  <si>
    <t>PrecisionLender</t>
  </si>
  <si>
    <t>MarginPro</t>
  </si>
  <si>
    <t>CacheMatrix, Envestnet Yodlee, Zafin, Probanx Information Systems, Technisys, Onestream Software, Axiom EPM, Plaid (Financial Software), Geezeo</t>
  </si>
  <si>
    <t>Provider of a pricing and profitability-management software platform intended to develop a completely new way to look at the commercial lending paradigm. The company's web-based software platform enables financial institutions to manage pricing and credit portfolios and allows loan officers to have a constructive conversation that focuses on the borrower's needs and offer hand-crafted debt products that work for both the borrower and the bank.</t>
  </si>
  <si>
    <t>consumer rated sheets, loans deposit pricing, loans valuation, price management, price management service, price management software, relationship management, risk based pricing</t>
  </si>
  <si>
    <t>www.precisionlender.com</t>
  </si>
  <si>
    <t>2009: 5, 2013: 16, 2016: 51, 2017: 90, 2018: 125</t>
  </si>
  <si>
    <t>81306-37P</t>
  </si>
  <si>
    <t>Greg Upham</t>
  </si>
  <si>
    <t>Co-Founder, Senior Vice President, Regional &amp; Community Charlotte, NC &amp; Chief Delivery Officer</t>
  </si>
  <si>
    <t>gupham@precisionlender.com</t>
  </si>
  <si>
    <t>+1 (980) 297-7104</t>
  </si>
  <si>
    <t>Charlotte, NC</t>
  </si>
  <si>
    <t>5605 Carnegie Boulevard</t>
  </si>
  <si>
    <t>Charlotte</t>
  </si>
  <si>
    <t>28209</t>
  </si>
  <si>
    <t>+1 (980) 297-7100</t>
  </si>
  <si>
    <t>+1 (980) 297-7119</t>
  </si>
  <si>
    <t>info@precisionlender.com</t>
  </si>
  <si>
    <t>The company raised an undisclosed amount of funding from Insight Venture Partners and Georgian Partners on December 20, 2017. The investment will accelerate the development of AI and machine learning pricing intelligence.</t>
  </si>
  <si>
    <t>Assurant Growth Investing, Century Equity Partners, Georgian Partners, Insight Partners</t>
  </si>
  <si>
    <t>Assurant Growth Investing(www.assurantgrowthinvesting.com), Century Equity Partners(www.cepfunds.com), Georgian Partners(www.georgianpartners.com), Insight Partners(www.insightpartners.com)</t>
  </si>
  <si>
    <t>Cozen O'Connor(Legal Advisor)</t>
  </si>
  <si>
    <t>91114-57</t>
  </si>
  <si>
    <t>PrecisionHawk</t>
  </si>
  <si>
    <t>Airware, Atmos UAV, Skycatch, We Do Sky, SkySpecs, Prioria, Aerialtronics, Identified Technologies, Aeryon Labs, DroneDeploy, Ebee Smart Technologies</t>
  </si>
  <si>
    <t>Developer of drones and aerial vehicle technology designed to offer an enterprise drone platform for better business intelligence. The company's drones and aerial vehicle technology supports both multi-rotor and fixed wing drones from top vendors, allowing to select the technology that meets specific needs, enabling organizations to integrate the entire platform or individual products into workflows.</t>
  </si>
  <si>
    <t>Aerospace and Defense*, Application Software</t>
  </si>
  <si>
    <t>aerial vehicle, aerial vehicle technology, end-to-end aerial data platform, enterprise drones platform, remote sensing application</t>
  </si>
  <si>
    <t>www.precisionhawk.com</t>
  </si>
  <si>
    <t>2014: 31, 2015: 74, 2016: 97, 2018: 150</t>
  </si>
  <si>
    <t>79541-74P</t>
  </si>
  <si>
    <t>Christopher Dean</t>
  </si>
  <si>
    <t>c.dean@precisionhawk.com</t>
  </si>
  <si>
    <t>+1 (844) 328-5326</t>
  </si>
  <si>
    <t>Raleigh, NC</t>
  </si>
  <si>
    <t>9001 Glenwood Avenue</t>
  </si>
  <si>
    <t>Raleigh</t>
  </si>
  <si>
    <t>27617</t>
  </si>
  <si>
    <t>help@precisionhawk.com</t>
  </si>
  <si>
    <t>The company raised $2.43 million of venture funding from undisclosed investors on October 29, 2018. The deal also includes $2.22 million of convertible debt financing. Earlier this year, the company raised $75.12 million of Series D venture funding in a deal led by Third Point Ventures on February 2, 2018, putting the company's pre-money valuation at $135 million.</t>
  </si>
  <si>
    <t>Comcast Ventures, Constellation Technology Ventures, DuPont Pioneer, Hippo Ventures, Imagine H2O, Indiana University Foundation, Innovate Indiana Fund, Innovate Partners, Intel Capital, Millennium Technology Value Partners, NTT Docomo Ventures, Oberlin Holdings, Senator Ventures, Syngenta Ventures, Third Point Ventures, USAA Ventures, Verizon Ventures, Yamaha Motor Ventures &amp; Laboratory Silicon Valley, Zmv Holdings</t>
  </si>
  <si>
    <t>Comcast Ventures(www.comcastventures.com), Constellation Technology Ventures(www.technologyventures.constellation.com), DuPont Pioneer(www.pioneer.com), Hippo Ventures(www.hippoventures.com), Imagine H2O(www.imagineh2o.org), Indiana University Foundation(www.iufoundation.iu.edu), Innovate Indiana Fund(www.iufund.iu.edu), Innovate Partners(www.innovatepartnersllc.com), Intel Capital(www.intelcapital.com), Millennium Technology Value Partners(www.mtvlp.com), NTT Docomo Ventures(www.nttdocomo-v.com), Syngenta Ventures(www.syngentaventures.com), Third Point Ventures(www.thirdpointventures.com), Verizon Ventures(www.verizonventures.com), Yamaha Motor Ventures &amp; Laboratory Silicon Valley(www.ymvsv.com)</t>
  </si>
  <si>
    <t>Ditto(Advisor: Communications), DLA Piper(Legal Advisor)</t>
  </si>
  <si>
    <t>123576-76</t>
  </si>
  <si>
    <t>PractiFI</t>
  </si>
  <si>
    <t>Provider of a business management platform intended to solve the wealth industry's biggest problem, that it's disconnected from its customers. The company's business management platform focuses on wealth management which helps its users to avail services like registry, policy administration and telephony systems for financial advice practices, enabling enterprises to connect with their customers, drive efficiency gains and simplify compliance.</t>
  </si>
  <si>
    <t>Asset Management, Financial Software*, Social/Platform Software</t>
  </si>
  <si>
    <t>FinTech, Marketing Tech, SaaS, TMT</t>
  </si>
  <si>
    <t>business management platform, customer relationship management, customer relationship management platform, financial software, policy administration</t>
  </si>
  <si>
    <t>www.practifi.com</t>
  </si>
  <si>
    <t>2016: 14, 2018: 23</t>
  </si>
  <si>
    <t>151484-41P</t>
  </si>
  <si>
    <t>Glenn Elliott</t>
  </si>
  <si>
    <t>glenn.elliott@practifi.com</t>
  </si>
  <si>
    <t>+61 (0)2 8005 6557</t>
  </si>
  <si>
    <t>Sydney, Australia</t>
  </si>
  <si>
    <t>Level 8, 309 Kent Street</t>
  </si>
  <si>
    <t>Sydney</t>
  </si>
  <si>
    <t>New South Wales</t>
  </si>
  <si>
    <t>2000</t>
  </si>
  <si>
    <t>The company raised AUD 3 million of Series A venture funding in a deal led by MicroEquities on August 21, 2018. Equity Venture Partners also participated in the round. The company intends to use the funds to establish North American headquarters and take on US, opening an office in Chicago and build a range of new product integrations with other financial apps and tools.</t>
  </si>
  <si>
    <t>Equity Venture Partners, MicroEquities, Salesforce Ventures</t>
  </si>
  <si>
    <t>Equity Venture Partners(www.evp.com.au), MicroEquities(www.microequities.com.au)</t>
  </si>
  <si>
    <t>117660-16</t>
  </si>
  <si>
    <t>PowerToFly</t>
  </si>
  <si>
    <t>Monster Worldwide (Singapore, Malaysia and Hong Kong Operations), Simply Hired, Jobspot, ZipRecruiter, CareerBuilder, Tyba, Glassdoor, Aquent, Fairygodboss, Hired, Indeed</t>
  </si>
  <si>
    <t>Provider of a recruiting platform designed to support women who are looking for jobs in companies that value gender diversity and inclusion. The company's platform offers optimized search and sourcing tools, targeted job promotions and high visibility employer branding services, enabling women to connect with remote and in-office jobs which help them to work from anywhere.</t>
  </si>
  <si>
    <t>Human Capital Services*, Social/Platform Software</t>
  </si>
  <si>
    <t>HR Tech</t>
  </si>
  <si>
    <t>female talent, jobs ads, jobs opportunities, placement platform, recruitment, recruitment platform, recruitment service, tech jobs</t>
  </si>
  <si>
    <t>www.powertofly.com</t>
  </si>
  <si>
    <t>2015: 40, 2017: 47, 2018: 47, 2019: 12</t>
  </si>
  <si>
    <t>49213-99P</t>
  </si>
  <si>
    <t>Katharine Zaleski</t>
  </si>
  <si>
    <t>kz@powertofly.com</t>
  </si>
  <si>
    <t>100 Crosby Street</t>
  </si>
  <si>
    <t>Suite 308</t>
  </si>
  <si>
    <t>hi@powertofly.com</t>
  </si>
  <si>
    <t>The company raised $6.5 million of Series A venture funding in a deal led by Crosslink Capital on June 30, 2015, putting the company's pre-money valuation at $14.14 million. Hearst Ventures and Lerer Hippeau Ventures also participated in the round. Previously, the company raised $1.00 million of seed funding from Lerer Hippeau Ventures, Don Graham and Jonah Peretti on July 1, 2014, putting the company's pre-money valuation at $3.06 million.</t>
  </si>
  <si>
    <t>Crosslink Capital, Don Graham, Hearst Ventures, Jonah Peretti, Lerer Hippeau</t>
  </si>
  <si>
    <t>Crosslink Capital(www.crosslinkcapital.com), Lerer Hippeau(www.lererhippeau.com)</t>
  </si>
  <si>
    <t>Square 1 Bank(General Business Banking)</t>
  </si>
  <si>
    <t>129702-79</t>
  </si>
  <si>
    <t>Powerphase</t>
  </si>
  <si>
    <t>Developer of an air injection system for gas turbines. The company's air injection system for gas turbines utilizes an advanced aero-thermal technology that uses air more efficiently in combustion turbines to put out 10 percent more power, enabling power generation and other industries using combustion turbines to generate more power by using lesser fuel and incurring lower costs.</t>
  </si>
  <si>
    <t>Energy Infrastructure</t>
  </si>
  <si>
    <t>Alternative Energy Equipment, Energy Infrastructure*, Other Equipment</t>
  </si>
  <si>
    <t>CleanTech, Infrastructure, Oil &amp; Gas</t>
  </si>
  <si>
    <t>air injection system, energy storage, renewable energy support, turbine power</t>
  </si>
  <si>
    <t>www.powerphase.com</t>
  </si>
  <si>
    <t>2017: 18</t>
  </si>
  <si>
    <t>172090-18P</t>
  </si>
  <si>
    <t>Bob Kraft</t>
  </si>
  <si>
    <t>Founder, President, Chief Executive Officer and Chairman</t>
  </si>
  <si>
    <t>bkraft@powerphasellc.com</t>
  </si>
  <si>
    <t>+1 (561) 299-3970</t>
  </si>
  <si>
    <t>Jupiter, FL</t>
  </si>
  <si>
    <t>1001 North US Highway 1</t>
  </si>
  <si>
    <t>Jupiter</t>
  </si>
  <si>
    <t>33477</t>
  </si>
  <si>
    <t>info@powerphasellc.com</t>
  </si>
  <si>
    <t>The company received an undisclosed amount of financing from Xcel Energy and other strategic investors on December 28, 2017. This latest investment will be used to grow global sales of the company's products through expanded strategic partner relationships.</t>
  </si>
  <si>
    <t>Energy Impact Partners, Xcel Energy</t>
  </si>
  <si>
    <t>Energy Impact Partners(www.energyimpactpartners.com), Xcel Energy(www.xcelenergy.com)</t>
  </si>
  <si>
    <t>Rimon Law(Legal Advisor)</t>
  </si>
  <si>
    <t>Greentech Capital Advisors(Advisor: General)</t>
  </si>
  <si>
    <t>53443-81</t>
  </si>
  <si>
    <t>PowerOasis</t>
  </si>
  <si>
    <t>Provider of wireless network power-management platform designed to drive energy efficiency and increase infrastructure power resilience. The company's wireless network power-management platform is easy to install and maintain and offers combination of expertise in power, battery technologies, remote monitoring and sensing, and secure communications that are relevant for mission-critical power systems across a range of sectors and industries, enabling businesses to bring performance and simplicity to a complex environment.</t>
  </si>
  <si>
    <t>battery technology, electricity grid, power-management platform, radio equipment, wireless network power-management platform</t>
  </si>
  <si>
    <t>www.poweroasis.com</t>
  </si>
  <si>
    <t>2014: 34, 2016: 28</t>
  </si>
  <si>
    <t>56415-43P</t>
  </si>
  <si>
    <t>Liam Mifsud</t>
  </si>
  <si>
    <t>Customer Technical Services Director</t>
  </si>
  <si>
    <t>liam.mifsud@poweroasis.com</t>
  </si>
  <si>
    <t>+44 (0)17 9378 4242</t>
  </si>
  <si>
    <t>Swindon, United Kingdom</t>
  </si>
  <si>
    <t>51/52 Shrivenham Hundred Business Park</t>
  </si>
  <si>
    <t>Majors Road, Watchfield</t>
  </si>
  <si>
    <t>Swindon</t>
  </si>
  <si>
    <t>SN6 8TY</t>
  </si>
  <si>
    <t>info@poweroasis.com</t>
  </si>
  <si>
    <t>The company received GBP 301,000 of Series C venture funding from Panasonic Ventures and other undisclosed investors on September 15, 2017, putting the pre-money valuation at GBP 11.88 million.</t>
  </si>
  <si>
    <t>Individual Investor, Jabil, MTI Partners, OCP Group, Oxford Capital Partners, Panasonic Ventures, YFM Equity Partners</t>
  </si>
  <si>
    <t>Jabil(www.jabil.com), MTI Partners(www.mtiventures.com), OCP Group(www.ocpgroup.ma), Oxford Capital Partners(www.oxcp.com), Panasonic Ventures(www.panasonicventures.com), YFM Equity Partners(www.yfmep.com)</t>
  </si>
  <si>
    <t>Isosceles Finance(Consulting)</t>
  </si>
  <si>
    <t>51457-42</t>
  </si>
  <si>
    <t>Powermat Technologies</t>
  </si>
  <si>
    <t>Powermat</t>
  </si>
  <si>
    <t>Humavox, Pi, ChargeSpot, Ossia, PowerbyProxi, Plugless, Momentum Dynamics</t>
  </si>
  <si>
    <t>Developer of a mobile engagement platform designed to offer wireless energy transfer products for consumers, OEM and public places. The company's platform uses wireless charging technology to provide wire-free power to electronic devices, enabling users to get products that can be used in nearly every possible venue without the need for socket-based or battery-based power.</t>
  </si>
  <si>
    <t>Electronics (B2C), Energy Storage*</t>
  </si>
  <si>
    <t>battery power, mobile engagement platform, wireless charger, wireless charging</t>
  </si>
  <si>
    <t>www.powermat.com</t>
  </si>
  <si>
    <t>2014: 83</t>
  </si>
  <si>
    <t>152911-00P</t>
  </si>
  <si>
    <t>Elad Dubzinski</t>
  </si>
  <si>
    <t>elad.dubzinski@powermat.com</t>
  </si>
  <si>
    <t>+972 (0)2 995 0500</t>
  </si>
  <si>
    <t>Neve Ilan, Israel</t>
  </si>
  <si>
    <t>Communication Center</t>
  </si>
  <si>
    <t>Neve Ilan</t>
  </si>
  <si>
    <t>90850</t>
  </si>
  <si>
    <t>The company raised $30 million of Series B venture funding in a deal led by The Goldman Sachs Group on January 23, 2012. Hudson Clean Energy Partners, Spring Mountain Capital, Tivona Capital, Navitas Capital, Burch Creative Capital and Mark Hager also participated in the round. Previously, the company raised $7.5 million of venture funding from Rainfall Ventures on October 6, 2011.</t>
  </si>
  <si>
    <t>Burch Creative Capital, GM Ventures, Hudson Sustainable Investment Management, Innova Memphis, Innovestor, Mark Hager, Navitas Capital, Rainfall Ventures, Richard Stone, Ron Ferber, Spring Mountain Capital, The Goldman Sachs Group, Tivona Capital</t>
  </si>
  <si>
    <t>Burch Creative Capital(www.burchcreativecapital.com), GM Ventures(www.gmventures.com), Hudson Sustainable Investment Management(www.hudsoncep.com), Innova Memphis(www.innovamemphis.com), Innovestor(www.innovestorgroup.com), Navitas Capital(www.navitascap.com), Rainfall Ventures(www.rainfall.com), Spring Mountain Capital(www.springmountaincapital.com), The Goldman Sachs Group(www.goldmansachs.com), Tivona Capital(www.tivonacapital.com)</t>
  </si>
  <si>
    <t>Hobbs &amp; Towne(Consulting), Momentum Technology Partners(Consulting)</t>
  </si>
  <si>
    <t>53675-29</t>
  </si>
  <si>
    <t>Powerlytics</t>
  </si>
  <si>
    <t>Plehn Analytics</t>
  </si>
  <si>
    <t>Developer of a market intelligence platform designed to provide the most comprehensive, accurate and granular consumer and business financial data available in the U.S. The company's big data market intelligence platform analyzes anonymized financial information from publicly available U.S. government sources and reconstructs it into easily understood financial statements that provide a comprehensive financial view of the households and businesses that comprise the American economy, enabling corporations and financial services providers to manage risk, discover potential markets, drive corporate strategy, benchmark performance and enhance both business and consumer target marketing.</t>
  </si>
  <si>
    <t>data analytics platform, economic research, financial research, market intelligence platform</t>
  </si>
  <si>
    <t>www.powerlytics.com</t>
  </si>
  <si>
    <t>2014: 12, 2015: 13, 2016: 13</t>
  </si>
  <si>
    <t>54801-19P</t>
  </si>
  <si>
    <t>Mark Brady</t>
  </si>
  <si>
    <t>mark@powerlytics.com</t>
  </si>
  <si>
    <t>+1 (215) 375-7675</t>
  </si>
  <si>
    <t>Doylestown, PA</t>
  </si>
  <si>
    <t>196 West Ashland Street</t>
  </si>
  <si>
    <t>Doylestown</t>
  </si>
  <si>
    <t>18901</t>
  </si>
  <si>
    <t>+1 (888) 283-3994</t>
  </si>
  <si>
    <t>info@powerlytics.com</t>
  </si>
  <si>
    <t>The company raised an undisclosed amount of venture funding from CME Ventures on May 20, 2016.</t>
  </si>
  <si>
    <t>CME Ventures, Delaware Crossing Investor Group</t>
  </si>
  <si>
    <t>Ben Franklin Technology Partners of Southeastern Pennsylvania</t>
  </si>
  <si>
    <t>Delaware Crossing Investor Group(www.delawarecrossing.org)</t>
  </si>
  <si>
    <t>Ben Franklin Technology Partners of Southeastern Pennsylvania(www.sep.benfranklin.org)</t>
  </si>
  <si>
    <t>Corbett Search(Advisor: General)</t>
  </si>
  <si>
    <t>53320-69</t>
  </si>
  <si>
    <t>Powerhouse Dynamics</t>
  </si>
  <si>
    <t>EnTouch, Cylon Controls, Small Box Energy, Wattvision, EnerAllies, Wattics, Curb, Verdigris, GridPoint, Proliphix, NOVEDA Technologies, Aquicore</t>
  </si>
  <si>
    <t>Provider of cloud-based enterprise energy monitoring and asset management systems designed to deliver enterprise-wide energy and operational efficiency. The company's enterprise energy monitoring and asset management systems monitor electricity at the circuit level and features powerful functionality delivered via simple online and mobile interfaces enabling small commercial facilities including restaurants, convenience stores and retailers to centralize control, analysis and management of energy-consuming equipment.</t>
  </si>
  <si>
    <t>Business/Productivity Software, Other Energy Services*</t>
  </si>
  <si>
    <t>CleanTech, Impact Investing, LOHAS &amp; Wellness, Restaurant Technology, TMT</t>
  </si>
  <si>
    <t>electric energy monitoring, energy control, energy management, energy-consuming equipment, equipment control, impact investing vertical</t>
  </si>
  <si>
    <t>www.powerhousedynamics.com</t>
  </si>
  <si>
    <t>2013: 25, 2014: 44, 2015: 43, 2016: 25</t>
  </si>
  <si>
    <t>17334-64P</t>
  </si>
  <si>
    <t>Martin Flusberg</t>
  </si>
  <si>
    <t>martin@powerhousedynamics.com</t>
  </si>
  <si>
    <t>+1 (617) 340-6582</t>
  </si>
  <si>
    <t>1 Bridge Street</t>
  </si>
  <si>
    <t>02458</t>
  </si>
  <si>
    <t>info@powerhousedynamics.com</t>
  </si>
  <si>
    <t>The company was acquired by Middleby (NAS: MIDD) for an undisclosed amount on April 1, 2019. The company is no longer actively tracked by PitchBook.</t>
  </si>
  <si>
    <t>Middleby</t>
  </si>
  <si>
    <t>Casabona Ventures, Clean Energy Venture Group, Constellation Technology Ventures, Converge (Investor), Cycle Capital/Ecofuel, Earthrise Capital, Emerald Technology Ventures, Gene Zimon, HPS Investment Partners, Ingersoll Rand, Jumpstart NJ Angel Network, King Hill Capital, Launchpad Venture Group, Massachusetts Clean Energy Center, PJC, Social Venture Fund, SOSV, Vision Ridge Partners, Walnut Venture Associates, Walter Danco</t>
  </si>
  <si>
    <t>Casabona Ventures(www.casabonaventures.com), Clean Energy Venture Group(www.cevg.com), Constellation Technology Ventures(www.technologyventures.constellation.com), Converge (Investor)(www.converge.vc), Cycle Capital/Ecofuel(www.cyclecapital.com), Earthrise Capital(www.earthrisecapital.com), Emerald Technology Ventures(www.emerald-ventures.com), HPS Investment Partners(www.hpspartners.com), Ingersoll Rand(company.ingersollrand.com), Jumpstart NJ Angel Network(www.jumpstartnj.com), King Hill Capital(www.kinghillcapital.com), Launchpad Venture Group(www.launchpadventuregroup.com), Massachusetts Clean Energy Center(www.masscec.com), PJC(www.pjc.vc), Social Venture Fund(www.umsocialventure.com), SOSV(www.sosv.com), Vision Ridge Partners(www.vision-ridge.com), Walnut Venture Associates(www.walnutventures.com)</t>
  </si>
  <si>
    <t>Foley &amp; Lardner(Legal Advisor), Horizon Technology Finance(Debt Financing), Nutter McClennen &amp; Fish(Legal Advisor)</t>
  </si>
  <si>
    <t>92781-19</t>
  </si>
  <si>
    <t>Powerhive</t>
  </si>
  <si>
    <t>Greensmith Energy, Geli, JLM Energy, Sunverge, Bidgely, Advanced Microgrid Solutions</t>
  </si>
  <si>
    <t>Provider of a technology platform designed to provide access to microgrid electricity for rural homes. The company's technology platform offers cloud-based software that automates account management tasks, remotely monitors and controls microgrid operations and smart meter that handles complex operations with ease and flexibility, enabling rural people to avail clean and productive electricity.</t>
  </si>
  <si>
    <t>Alternative Energy Equipment*, Business/Productivity Software, Energy Infrastructure</t>
  </si>
  <si>
    <t>clean electricity, cloud-based, electricity access, microgrids electricity, technology platform</t>
  </si>
  <si>
    <t>www.powerhive.com</t>
  </si>
  <si>
    <t>2016: 29</t>
  </si>
  <si>
    <t>47574-10P</t>
  </si>
  <si>
    <t>Christopher Hornor</t>
  </si>
  <si>
    <t>c.hornor@powerhive.com</t>
  </si>
  <si>
    <t>+1 (646) 675-4240</t>
  </si>
  <si>
    <t>816 Bancroft Way</t>
  </si>
  <si>
    <t>hello@powerhive.com</t>
  </si>
  <si>
    <t>The company raised $2.02 million of convertible debt financing from undisclosed investors on May 9, 2019.</t>
  </si>
  <si>
    <t>Caterpillar Ventures, First Solar, Pi Investments, Powerhouse (Incubator &amp; Accelerator), Prelude Ventures, Tao Capital Partners, Total Energy Ventures</t>
  </si>
  <si>
    <t>First Solar(www.firstsolar.com), Pi Investments(www.pi-investments.com), Powerhouse (Incubator &amp; Accelerator)(www.powerhouse.fund), Prelude Ventures(www.preludeventures.com), Tao Capital Partners(www.taocap.com)</t>
  </si>
  <si>
    <t>54674-92</t>
  </si>
  <si>
    <t>Power Plus Communications</t>
  </si>
  <si>
    <t>PPC</t>
  </si>
  <si>
    <t>Atos Convergence Creators</t>
  </si>
  <si>
    <t>Provider of data communications platform intended to offer broadband power line communication (BPL) systems. The company's data communications platform provides systems for the transformation of electricity networks into smart grids, operates power line links and offers system-integration services, enabling clients to access smart metering and smart grids with broadband powerline.</t>
  </si>
  <si>
    <t>Cable Service Providers, Connectivity Products*</t>
  </si>
  <si>
    <t>broadband communication, broadband power line communication, broadband utility, data communication platform, real time data transfer</t>
  </si>
  <si>
    <t>M&amp;A, Private Equity, Venture Capital</t>
  </si>
  <si>
    <t>www.ppc-ag.de</t>
  </si>
  <si>
    <t>2016: 51</t>
  </si>
  <si>
    <t>48354-58P</t>
  </si>
  <si>
    <t>Ingo Schonberg</t>
  </si>
  <si>
    <t>schonberg.ingo@ppc-ag.de</t>
  </si>
  <si>
    <t>+49 (0)62 1401 6510 0</t>
  </si>
  <si>
    <t>Dudenstraße 6</t>
  </si>
  <si>
    <t>68167</t>
  </si>
  <si>
    <t>+49 (0)62 1401 6511 1</t>
  </si>
  <si>
    <t>info@ppc-ag.de</t>
  </si>
  <si>
    <t>The company received an undisclosed amount of development capital from Adaxia Capital Partners and Kalorimeta on July 28, 2016. Previously, Next47 sold its stake in the company to undisclosed investors on June 8, 2016.</t>
  </si>
  <si>
    <t>Adaxia Capital Partners, BG Group, Climate Change Capital, KALO (Germany)</t>
  </si>
  <si>
    <t>ABB Group, MVV Energie, Next47</t>
  </si>
  <si>
    <t>Adaxia Capital Partners(www.adaxiacp.com), BG Group(bg-group.com), Climate Change Capital(www.climatechangecapital.com), KALO (Germany)(www.kalo.de)</t>
  </si>
  <si>
    <t>ABB Group(www.abb.com), MVV Energie(www.mvv-energie.de), Next47(Next47.com)</t>
  </si>
  <si>
    <t>DC Advisory(Advisor: General)</t>
  </si>
  <si>
    <t>167972-50</t>
  </si>
  <si>
    <t>PostProcess Technologies</t>
  </si>
  <si>
    <t>PostProcess</t>
  </si>
  <si>
    <t>Developer of an automated industrial software and machinery designed to revolutionize the additive manufacturing process. The company's automated industrial software and machinery removes the bottleneck in the third step of industrial additive manufacturing and post-printing, enabling customers to save time, money, increase throughput and avail consistency unattainable with a manual process.</t>
  </si>
  <si>
    <t>Automation/Workflow Software, Multimedia and Design Software*, Printing Services (B2B)</t>
  </si>
  <si>
    <t>3d printing, 3d printing service, additives manufacturing, post printing, post printing service, post-processing services</t>
  </si>
  <si>
    <t>www.postprocess.com</t>
  </si>
  <si>
    <t>2016: 4, 2017: 24</t>
  </si>
  <si>
    <t>149308-03P</t>
  </si>
  <si>
    <t>Jeffrey Mize</t>
  </si>
  <si>
    <t>jmize@postprocess.com</t>
  </si>
  <si>
    <t>+1 (866) 430-5354</t>
  </si>
  <si>
    <t>Buffalo, NY</t>
  </si>
  <si>
    <t>2495 Main Street</t>
  </si>
  <si>
    <t>Suite 615</t>
  </si>
  <si>
    <t>Buffalo</t>
  </si>
  <si>
    <t>14214</t>
  </si>
  <si>
    <t>info@postprocess.com</t>
  </si>
  <si>
    <t>The company raised $14.18 million of convertible debt funding from undisclosed investors on February 27, 2019. Earlier, the company received an undisclosed amount of debt financing in the form of a lien from Hammond Roto Finish on April 27, 2017.</t>
  </si>
  <si>
    <t>Motley Fool Ventures, New York Ventures, Rand Capital, Richmond Capital Partners, Ulf Ivarsson</t>
  </si>
  <si>
    <t>Motley Fool Ventures(www.foolventures.com), Rand Capital(www.randcapital.com), Richmond Capital Partners(www.richmondcapitalpartners.com)</t>
  </si>
  <si>
    <t>Lumsden &amp; McCormick(Auditor), M&amp;T Bank(General Business Banking), Woods Oviatt Gilman(Legal Advisor)</t>
  </si>
  <si>
    <t>Hammond Roto Finish(Debt Financing), Rand Capital(Debt Financing), Woods Oviatt Gilman(Legal Advisor)</t>
  </si>
  <si>
    <t>94655-71</t>
  </si>
  <si>
    <t>PosiGen</t>
  </si>
  <si>
    <t>Green Grants</t>
  </si>
  <si>
    <t>Borrego Solar, Trinity Solar, SunLink, Elemental Energy, Sungevity, Freedom Solar, Inc, Momentum Solar, REC Solar (Energy Infrastructure), Frontier Renewables, Verengo Solar, Sunnova Energy, Tata Power Solar, SunPower Corporation Australia, California Solar Electric, PFMG Solar, EnterSolar, SolarCity</t>
  </si>
  <si>
    <t>Developer of solar power systems intended to reduce household energy consumption and generate power. The company's solar power systems are developed and installed through its team of employees, enabling individuals, families and businesses to achieve greater fiscal autonomy and energy independence by lowering their utility bills.</t>
  </si>
  <si>
    <t>renewable energy, solar energy grid, solar installation, solar power panel</t>
  </si>
  <si>
    <t>Debt Financed, M&amp;A, Private Equity, Venture Capital</t>
  </si>
  <si>
    <t>www.posigen.com</t>
  </si>
  <si>
    <t>2015: 165, 2017: 150, 2019: 220</t>
  </si>
  <si>
    <t>101996-20P</t>
  </si>
  <si>
    <t>Thomas Neyhart</t>
  </si>
  <si>
    <t>thomasneyhart@posigen.com</t>
  </si>
  <si>
    <t>+1 (504) 835-2510</t>
  </si>
  <si>
    <t>Jefferson, LA</t>
  </si>
  <si>
    <t>819 Central Avenue</t>
  </si>
  <si>
    <t>Jefferson</t>
  </si>
  <si>
    <t>Louisiana</t>
  </si>
  <si>
    <t>70121</t>
  </si>
  <si>
    <t>info@posigen.com</t>
  </si>
  <si>
    <t>The company received $20 million of financing from GAF on Arpil 16, 2019.</t>
  </si>
  <si>
    <t>Callais Capital Management, Constellation Technology Ventures, GAF, Goldman Sachs Merchant Banking Division, Highland Ventures Group, NewWorld Capital Group, Stonehenge Capital</t>
  </si>
  <si>
    <t>Callais Capital Management(www.callaiscapital.com), Constellation Technology Ventures(www.technologyventures.constellation.com), GAF(www.gaf.com), Highland Ventures Group(www.highlandvg.com), NewWorld Capital Group(www.newworldcapital.net), Stonehenge Capital(www.stonehengecapital.com)</t>
  </si>
  <si>
    <t>Connecticut Green Bank(Debt Financing), DLA Piper(Legal Advisor), Dragonfly Capital Partners(Advisor: General), Goldman Sachs Merchant Banking Division(Debt Financing), Inclusive Prosperity Capital(Debt Financing), LibreMax Capital(Debt Financing), Wilson Sonsini Goodrich &amp; Rosati(Legal Advisor)</t>
  </si>
  <si>
    <t>118527-13</t>
  </si>
  <si>
    <t>Portworx</t>
  </si>
  <si>
    <t>Joyent, CoreOS, ContainerX, DriveScale</t>
  </si>
  <si>
    <t>Operator of cloud native storage company intended to manage data in containers. The company's platform dramatically reduces storage, compute and infrastructure costs for running mission critical multi-cloud applications with zero downtime or data loss, enabling its clients to reduce the cost and complexity of rapidly deploying containerized applications across multiple clouds and on-prem environments.</t>
  </si>
  <si>
    <t>container clusters, container data services, container storage, containerized application, data persistence for container, single data management, stateful container, storage optimization</t>
  </si>
  <si>
    <t>www.portworx.com</t>
  </si>
  <si>
    <t>2015: 8, 2016: 20, 2017: 30</t>
  </si>
  <si>
    <t>35541-28P</t>
  </si>
  <si>
    <t>Murli Thirumale</t>
  </si>
  <si>
    <t>mthirumale@portworx.com</t>
  </si>
  <si>
    <t>+1 (650) 241-3222</t>
  </si>
  <si>
    <t>Los Altos, CA</t>
  </si>
  <si>
    <t>4940 El Camino Real</t>
  </si>
  <si>
    <t>Los Altos</t>
  </si>
  <si>
    <t>94022</t>
  </si>
  <si>
    <t>+1 (650) 386-0766</t>
  </si>
  <si>
    <t>info@portworx.com</t>
  </si>
  <si>
    <t>The company raised $27 million of Series C venture funding in a deal co-led by Sapphire Ventures and Mubadala Investment Company on March 07, 2019. GE Ventures, NetApp, Cisco Investments, Hewlett Packard Enterprise and Mayfield Fund also participated in the round. The funds will be used to expand into new global markets, continue developing its flagship platform its Enterprise and grow its world-class engineering, sales and channel teams.</t>
  </si>
  <si>
    <t>Cisco Investments, GE Ventures, Hewlett Packard Enterprise, Mayfield Fund, Michael Dell, MSD Capital, Mubadala Investment Company, NetApp, Sapphire Ventures, Stanford Management Company</t>
  </si>
  <si>
    <t>Cisco Investments(www.ciscoinvestments.com), GE Ventures(www.geventures.com), Hewlett Packard Enterprise(www.hpe.com), Mayfield Fund(www.mayfield.com), MSD Capital(www.msdcapital.com), Mubadala Investment Company(www.mubadala.com), NetApp(www.netapp.com), Sapphire Ventures(www.sapphireventures.com), Stanford Management Company(smc.stanford.edu)</t>
  </si>
  <si>
    <t>Kindred Partners(Consulting), Pillsbury Winthrop Shaw Pittman(Legal Advisor), Riviera Partners(Consulting)</t>
  </si>
  <si>
    <t>64381-96</t>
  </si>
  <si>
    <t>Poq</t>
  </si>
  <si>
    <t>Shopgate, bMobilized, Modest, ShopSavvy, Localytics, CouchCommerce, Onbile</t>
  </si>
  <si>
    <t>Provider of an app commerce platform designed to create highly effective and fully customized native apps in record time. The company's platform offers customisable settings including fonts, colors and page configurations to make every app unique, a storefront software hosted in the cloud for keeping the app light and robust as well as helps to engage users with rich content including lookbooks, GIFs and video, managed from the CMS, enabling retailers to launch a transactional app with all of the features customers have come to expect.</t>
  </si>
  <si>
    <t>E-Commerce, Mobile, SaaS, TMT</t>
  </si>
  <si>
    <t>app commerce, app commerce platform, mobile commerce application, online retail software, retail app development, retail application</t>
  </si>
  <si>
    <t>www.poqcommerce.com</t>
  </si>
  <si>
    <t>2014: 11, 2016: 17</t>
  </si>
  <si>
    <t>71812-09P</t>
  </si>
  <si>
    <t>Oyvind Henriksen</t>
  </si>
  <si>
    <t>oyvind@poqstudio.com</t>
  </si>
  <si>
    <t>+44 (0)20 3794 4120</t>
  </si>
  <si>
    <t>Monmouth House</t>
  </si>
  <si>
    <t>58 City Road</t>
  </si>
  <si>
    <t>EC1Y 2AL</t>
  </si>
  <si>
    <t>info@poqcommerce.com</t>
  </si>
  <si>
    <t>The company raised GBP 9.5 million of Series B venture funding in a deal led by Smedvig Capital on May 2, 2018. Beringea and Revolt Ventures also participated in the round. The funds will be used to drive growth in Europe, U.K. and in the U.S. where it plans to open offices. Previously, the company raised GBP 3.5 million of venture funding in a deal led by Beringea on August 18, 2017.</t>
  </si>
  <si>
    <t>Ben Tibbits, Beringea, Fashion Angel, Gabbi Cahane, Meyer Bergman, Revolt Ventures, Salesforce Ventures, Seedcamp, Smedvig Capital, Venrex Investment Management, Víctor Massó</t>
  </si>
  <si>
    <t>Beringea(www.beringea.com), Fashion Angel(www.fashion-angel.co.uk), Meyer Bergman(www.meyerbergman.com), Seedcamp(www.seedcamp.com), Smedvig Capital(www.smedvigcapital.com)</t>
  </si>
  <si>
    <t>Barclays(Debt Financing), Orrick, Herrington &amp; Sutcliffe(Legal Advisor)</t>
  </si>
  <si>
    <t>184540-78</t>
  </si>
  <si>
    <t>Pony.ai</t>
  </si>
  <si>
    <t>Pony</t>
  </si>
  <si>
    <t>TuSimple, Bestmile, EasyMile, Embark (Self Driving Trucks), Otto, Momenta, WeRide (China), Drive.ai, FiveAI, nuTonomy, DeepScale, AImotive, Roadstar.AI, TrueMotion, Waymo, Comma.Ai, Ottomatika, Zoox, ClearMotion, Voyomotive</t>
  </si>
  <si>
    <t>Developer of autonomous driving technology intended to offer safe and reliable technology for autonomous vehicles. The company's platform uses artificial and a to set of algorithms intelligence to accurately perceive the vehicles surroundings, predict what others will do and maneuver itself accordingly, enabling autonomous vehicles companies to improve their car performance with better decision making.</t>
  </si>
  <si>
    <t>Business/Productivity Software, Road*</t>
  </si>
  <si>
    <t>autonomous car technology, autonomous drives software, autonomous vehicle technology</t>
  </si>
  <si>
    <t>www.pony.ai</t>
  </si>
  <si>
    <t>Competitor (New) EasyMile</t>
  </si>
  <si>
    <t>168693-85P</t>
  </si>
  <si>
    <t>James Peng</t>
  </si>
  <si>
    <t>jamespeng@pony.ai</t>
  </si>
  <si>
    <t>3501 Gateway Boulevard</t>
  </si>
  <si>
    <t>contacts@pony.ai</t>
  </si>
  <si>
    <t>Beijing Kunlun Technology Company reached a definitive agreement to acquire a 3% stake in the company for $50 million of Pre-Series B financing on April 12, 2019, putting the company's pre-money valuation at an estimated $1.62 billion.</t>
  </si>
  <si>
    <t>Adrian Cheng, China Merchants Kunlun Capital, ClearVue Partners, Comcast Ventures, DCM Ventures, Delong Capital, Eight Roads, Green Pine Capital Partners, Hongtai Capital, IDG Capital, Legend Capital, Legend Star, Morningside Venture Capital, NIO Capital, Polaris Capital, Puhua Capital, Redpoint Ventures, Sequoia Capital China, Silicon Valley Future Capital</t>
  </si>
  <si>
    <t>Beijing Kunlun Technology Company</t>
  </si>
  <si>
    <t>China Merchants Kunlun Capital(www.cmkcapital.com), ClearVue Partners(www.cvpcap.com), Comcast Ventures(www.comcastventures.com), DCM Ventures(www.dcm.com), Delong Capital(www.delongcapital.cn), Eight Roads(www.eightroads.com), Green Pine Capital Partners(pinevc.com.cn), IDG Capital(en.idgcapital.com), Legend Capital(www.legendcapital.com.cn), Legend Star(www.legendstar.com.cn), Morningside Venture Capital(www.morningsidevc.com), NIO Capital(www.niocapital.com/en), Polaris Capital(www.polariscap.co.th), Puhua Capital(www.puhuacapital.com), Redpoint Ventures(www.redpoint.com), Sequoia Capital China(www.sequoiacap.com/china), Silicon Valley Future Capital(www.svfcapital.com)</t>
  </si>
  <si>
    <t>Beijing Kunlun Technology Company(www.kunlun.com)</t>
  </si>
  <si>
    <t>Miracle Capital(Advisor: General)</t>
  </si>
  <si>
    <t>56934-01</t>
  </si>
  <si>
    <t>Polymorph</t>
  </si>
  <si>
    <t>AdsNative.com, Inc.</t>
  </si>
  <si>
    <t>Provider of an advertisement platform designed to build custom and engaging experiences without sacrificing user experience or control. The company's platform help to monetize websites or applications through visually integrated advertisements that blend with advertisement content, enabling publishers and media companies manage non-standard advertising placements across digital channels.</t>
  </si>
  <si>
    <t>advertisement, advertisement platform, mobile advertising, monetization platform, online advertisement, supply side platform</t>
  </si>
  <si>
    <t>www.getpolymorph.com</t>
  </si>
  <si>
    <t>2015: 23, 2016: 28</t>
  </si>
  <si>
    <t>49395-25P</t>
  </si>
  <si>
    <t>Satish Polisetti</t>
  </si>
  <si>
    <t>satish@adsnative.com</t>
  </si>
  <si>
    <t>300 Broadway</t>
  </si>
  <si>
    <t>Suite 12</t>
  </si>
  <si>
    <t>contact@adsnative.com</t>
  </si>
  <si>
    <t>The company reached a definitive agreement to be acquired by Walmart (NYS: WMT) for an undisclosed amount on April 11, 2019.</t>
  </si>
  <si>
    <t>Andrew Crichton, Bradley Greenwald, C2 Ventures, Dan Shapiro, David Carlson, David Williams, Dorm Room Fund, Exhilarator, Forefront Venture Partners, Foundry Group, Hilltop Venture Partners, InterWest Partners, Jason Seats, Jonathan Abrams, Matthew Mullenweg, MDC Ventures, Morris Wheeler, Navneet Aron, ONSET Ventures, Peter Kellner, Rakuten Capital, Rant, Richard Chen, Right Side Capital Management, Robert Kunz, Scott Kosch, Sequoia Capital, SkyDeck (Berkeley), Sourabh Niyogi, Stan Miroshnik, Startup Studio Ventures, Stefan Koenig, Sumit Gupta, Susan Heilbronner, Techstars, Tyler Willis, Walter Danco, Walter Winshall</t>
  </si>
  <si>
    <t>Walmart</t>
  </si>
  <si>
    <t>C2 Ventures(www.c2.ventures), Dan Shapiro(www.danshapiro.com), Dorm Room Fund(www.dormroomfund.com), Exhilarator(www.exhilarator.com), Forefront Venture Partners(www.forefrontvp.com), Foundry Group(www.foundrygroup.com), Hilltop Venture Partners(www.hilltopventurepartners.com), InterWest Partners(www.interwest.com), Jason Seats(www.jasonseats.com), Jonathan Abrams(www.jabrams.com), Matthew Mullenweg(www.ma.tt), MDC Ventures(www.mdcventures.vc), ONSET Ventures(www.onset.com), Rakuten Capital(capital.rakuten.com), Rant(www.rant-inc.com), Right Side Capital Management(www.rightsidecapital.com), Sequoia Capital(www.sequoiacap.com), SkyDeck (Berkeley)(skydeck.berkeley.edu), Techstars(www.techstars.com)</t>
  </si>
  <si>
    <t>Walmart(www.walmart.com)</t>
  </si>
  <si>
    <t>54423-55</t>
  </si>
  <si>
    <t>Polaris Networks</t>
  </si>
  <si>
    <t>Engreen, Empirix, Accuver, Voipfuture, Vasona Networks, Finisar</t>
  </si>
  <si>
    <t>Developer of optical transport switching systems designed to help people to communicate better. The company's optical transport switching systems offers test tools and communication gateways which include functional and load testers as well as simulation tools for LTE access and packet core, enabling network equipment manufacturers, service providers and test labs to communicate better.</t>
  </si>
  <si>
    <t>fiber optic equipment, local exchange carrier, metro cores network</t>
  </si>
  <si>
    <t>www.polarisnetworks.net</t>
  </si>
  <si>
    <t>2014: 106, 2015: 109</t>
  </si>
  <si>
    <t>44870-86P</t>
  </si>
  <si>
    <t>Ray Kao</t>
  </si>
  <si>
    <t>Co-Chief Technology Officer &amp; Chairman</t>
  </si>
  <si>
    <t>ray_kao@polarisnetworks.net</t>
  </si>
  <si>
    <t>+1 (408) 652-7273</t>
  </si>
  <si>
    <t>14856 Holden Way</t>
  </si>
  <si>
    <t>95124</t>
  </si>
  <si>
    <t>info@polarisnetworks.net</t>
  </si>
  <si>
    <t>The company raised $9.68 million of convertible debt financing from undisclosed investors on June 14, 2004.</t>
  </si>
  <si>
    <t>Advanced Technology Ventures, Firsthand Capital Management, GGV Capital, KTB Ventures, Lake Street Capital, Pac-Link Management, Presidio Ventures, Redpoint Ventures, Riverside Management Group, Venrock, Western Technology Investment, WK Technology Fund</t>
  </si>
  <si>
    <t>Storm Ventures</t>
  </si>
  <si>
    <t>Advanced Technology Ventures(www.atvcapital.com), Firsthand Capital Management(www.firsthandcapital.com), GGV Capital(www.ggvc.com), KTB Ventures(www.ktbvc.com), Lake Street Capital(www.lakestreetcapital.com), Pac-Link Management(www.paclinkventure.com/default.htm), Presidio Ventures(www.presidio-ventures.com), Redpoint Ventures(www.redpoint.com), Riverside Management Group(www.rmginvestments.com), Venrock(www.venrock.com), Western Technology Investment(www.westerntech.com)</t>
  </si>
  <si>
    <t>Storm Ventures(www.stormventures.com)</t>
  </si>
  <si>
    <t>Western Technology Investment(Debt Financing)</t>
  </si>
  <si>
    <t>94735-54</t>
  </si>
  <si>
    <t>PointGrab</t>
  </si>
  <si>
    <t>Harman International Industries, Moov</t>
  </si>
  <si>
    <t>Developer of a sensor technology intended to be used for home and building automation systems. The company's technology has developed optical sensors that are integrated with connected lighting fixtures which serve various building automation systems such as lighting, HVAC (heating, ventilating and air conditioning), safety, security and access control, enabling customer companies to get the complete information of how and where occupants use the buildings.</t>
  </si>
  <si>
    <t>Electronics (B2C)*, Other Consumer Durables</t>
  </si>
  <si>
    <t>optical sensor, sensing solution, sensor technology, smart home system</t>
  </si>
  <si>
    <t>www.pointgrab.com</t>
  </si>
  <si>
    <t>122835-97P</t>
  </si>
  <si>
    <t>Efrat Meir</t>
  </si>
  <si>
    <t>efrat@pointgrab.com</t>
  </si>
  <si>
    <t>+972 (0)9 788 7600</t>
  </si>
  <si>
    <t>4 Haharash Street</t>
  </si>
  <si>
    <t>Post Office Box 6442</t>
  </si>
  <si>
    <t>4524075</t>
  </si>
  <si>
    <t>info@pointgrab.com</t>
  </si>
  <si>
    <t>The company raised $7 million of venture funding from Philips Lighting (Netherland), Mitsubishi UFJ Capital and ABB Technology Ventures on October 25, 2016. EcoMachines Ventures and other undisclosed investors also participated in the round. Prior to this, the company raised $5 million of venture funding from ABB Technology Ventures, EcoMachines Ventures and Flex's Lab IX on December 15, 2015. Saar Wilf also participated in the round. The funding will be used for the company's expansion into the rapidly growing $30 billion home and building-automation market.</t>
  </si>
  <si>
    <t>ABB Technology Ventures, EMV Capital, Flex's Lab IX, Mitsubishi UFJ Capital, Oshri Kaplan, Signify Holding</t>
  </si>
  <si>
    <t>EMV Capital(www.emvcapital.com), Flex's Lab IX(www.labix.io/expertise/startups), Mitsubishi UFJ Capital(www.mucap.co.jp), Signify Holding(www.signify.com)</t>
  </si>
  <si>
    <t>231934-60</t>
  </si>
  <si>
    <t>PointCloud</t>
  </si>
  <si>
    <t>Developer of a 3D imaging platform on a chip. The company offers a technology for big data analytics on 3D point clouds based on machine learning. It enables the future of augmented reality, robotics and autonomous mobility.</t>
  </si>
  <si>
    <t>3D Printing, Artificial Intelligence &amp; Machine Learning, Big Data, Nanotechnology, TMT</t>
  </si>
  <si>
    <t>3d imaging, 3d imaging platform, 3d imaging system, 3d imaging technology, big data analytics, big data analytics tools</t>
  </si>
  <si>
    <t>www.point.cloud</t>
  </si>
  <si>
    <t>191878-21P</t>
  </si>
  <si>
    <t>Remus Nicolaescu</t>
  </si>
  <si>
    <t>remus@pointcloudnet.com</t>
  </si>
  <si>
    <t>735 Roble Avenue</t>
  </si>
  <si>
    <t>Apartment 2</t>
  </si>
  <si>
    <t>info@pointcloudnet.com</t>
  </si>
  <si>
    <t>The company raised $3.3 million of Seed funding in a deal led by Baidu Ventures via crowdfunding platform Propel(x) on April 9, 2018, putting the company's pre-money valuation at $9 million.</t>
  </si>
  <si>
    <t>Propel(x)(Lead Manager or Arranger), Wilson Sonsini Goodrich &amp; Rosati(Legal Advisor)</t>
  </si>
  <si>
    <t>88550-56</t>
  </si>
  <si>
    <t>Podotree</t>
  </si>
  <si>
    <t>Developer of educational based applications and content for tablets and smartphones. The company is a developer of entertainment, educational and interactive mobile applications which provide multilingual education based applications and content for tablets and smartphones.</t>
  </si>
  <si>
    <t>Application Software*, Educational Software, Entertainment Software</t>
  </si>
  <si>
    <t>EdTech, Mobile, SaaS, TMT</t>
  </si>
  <si>
    <t>entertainment application, interactive mobile application, multilingual educational application</t>
  </si>
  <si>
    <t>www.podotree.com</t>
  </si>
  <si>
    <t>2015: 28</t>
  </si>
  <si>
    <t>109108-09P</t>
  </si>
  <si>
    <t>Kim Beom-Soo</t>
  </si>
  <si>
    <t>Tusseon World Building, sixth floor</t>
  </si>
  <si>
    <t>Seongnam trade routes plate 221</t>
  </si>
  <si>
    <t>contact@podotree.com</t>
  </si>
  <si>
    <t>The company received KRW 125 billion of development capital from Anchor Equity Partners, GIC and other undisclosed investors on December 7, 2016. The funds is used towards growing the Webtoon business, acquiring new IP and licensing rights, and expanding into video content.</t>
  </si>
  <si>
    <t>Anchor Equity Partners, Atinum Investment, GIC Private, MVP Capital Partners (Korea), Samsung Venture Investment, Smilegate Investment</t>
  </si>
  <si>
    <t>Anchor Equity Partners(www.anchorpe.com), Atinum Investment(www.atinuminvest.co.kr), GIC Private(www.gic.com.sg), MVP Capital Partners (Korea)(www.mvpc.co.kr), Samsung Venture Investment(www.samsungventures.com), Smilegate Investment(www.smilegateinvestment.com)</t>
  </si>
  <si>
    <t>60577-66</t>
  </si>
  <si>
    <t>PlusChip</t>
  </si>
  <si>
    <t>Developer of digital imaging technologies. The company develops digital imaging and mobile phone camera controller integrated circuits for multimedia imaging.</t>
  </si>
  <si>
    <t>digital imaging, images signal processing, isp solution, multimedia imaging</t>
  </si>
  <si>
    <t>www.pluschip.com</t>
  </si>
  <si>
    <t>98209-54P</t>
  </si>
  <si>
    <t>John Kim</t>
  </si>
  <si>
    <t>johnkim@pluschip.com</t>
  </si>
  <si>
    <t>+82 (0)31 713 0553</t>
  </si>
  <si>
    <t>6th Flooe, Glory Tower, 186-5</t>
  </si>
  <si>
    <t>Gumi-dong, Bundang-gu</t>
  </si>
  <si>
    <t>Gyeongii-do</t>
  </si>
  <si>
    <t>+82 (0)31 713 0554</t>
  </si>
  <si>
    <t>webmaster@pluschip.com</t>
  </si>
  <si>
    <t>The company raised venture funding from Korea Investment Partners and Samsung ventures on an undisclosed date.</t>
  </si>
  <si>
    <t>Korea Investment Partners, Samsung Venture Investment</t>
  </si>
  <si>
    <t>Korea Investment Partners(kipvc.com/main.html), Samsung Venture Investment(www.samsungventures.com)</t>
  </si>
  <si>
    <t>180375-76</t>
  </si>
  <si>
    <t>PlusAI</t>
  </si>
  <si>
    <t>Manufacturer of a self driving cars intended to offer cars with automation. The company's self driving cars uses artificial intelligence, computer vision, sensor technology and deep learning, enabling users to use autonomous intelligent robots.</t>
  </si>
  <si>
    <t>Other Commercial Products, Other Transportation, Road*</t>
  </si>
  <si>
    <t>Artificial Intelligence &amp; Machine Learning, Autonomous cars, Industrials, Manufacturing, Robotics and Drones, TMT</t>
  </si>
  <si>
    <t>artificial intelligent platform, autonomous car, autonomous intelligent robots, self drives car technology, sensor technology</t>
  </si>
  <si>
    <t>www.plus.ai</t>
  </si>
  <si>
    <t>162873-73P</t>
  </si>
  <si>
    <t>David Liu</t>
  </si>
  <si>
    <t>david@plus.ai</t>
  </si>
  <si>
    <t>5050 El Camino Real</t>
  </si>
  <si>
    <t>info@plus.ai</t>
  </si>
  <si>
    <t>The company raised venture funding from Hemi Ventures, SAIC Capital, GSR Ventures and other undisclosed investors on March 9, 2017.</t>
  </si>
  <si>
    <t>GSR Ventures, Hemi Ventures, Plug and Play Tech Center, SAIC Capital, TSVC</t>
  </si>
  <si>
    <t>GSR Ventures(www.gsrventures.com), Hemi Ventures(www.hemi.vc), Plug and Play Tech Center(www.plugandplaytechcenter.com), SAIC Capital(www.saicvc.com), TSVC(www.tsvcap.com)</t>
  </si>
  <si>
    <t>52932-88</t>
  </si>
  <si>
    <t>Pluribus Networks</t>
  </si>
  <si>
    <t>SnapRoute, Paessler, CloudGenix, Plexxi, Cumulus Networks, Aruba Networks, Arbor Networks, Corvil, Nuage Networks, Midokura, ExtraHop Networks, ForeScout, Actifio, Big Switch Networks, Turbonomic, Xopero, Unitrends, VeloCloud, Illumio, Empirix, Talari Networks, ConnectWise, Mirantis, Gigamon, Embrane, Druva, GWAVA, Niksun, Nexgate, LogRhythm, Rubrik, Extreme Networks, Virtustream, Servosity, Pivot3, NetApp, PLUMgrid, Pica8, Veritas Technologies, Mettle Networks, CloudLock, Ixia, NetScout Systems, Aerohive Networks, Nasuni, SolarWinds, Riverbed Technology, ioFabric, Veeam, Viptela, Silver Spring Networks, StorageCraft Technology, IP Infusion, Sophos, Palo Alto Networks, Elastifile, Tintri, Cohesity, Sumo Logic, Covata, CloudVelox, Pure Storage, Riversand, Mesosphere, SAP, Coriant, Informatica, ConteXtream, Peaxy, StudyStream Ltd, Talend, Profisee, StorPool, Imanis Data, Box, Arcus, Cumulus</t>
  </si>
  <si>
    <t>Developer of software solutions intended for software-defined fabric networking, network virtualization and performance analytics. The company's software virtualizes open networking hardware to build a holistic, distributed network that is more intelligent, automated, resilient and leverages embedded telemetry as well as other data sources to enable pervasive visibility across the network, enabling businesses and corporate clients to build scalable private and public clouds that improve service velocity, performance, and reliability.</t>
  </si>
  <si>
    <t>distributing network fabrics, distributing network management, distributing networking, fabrics networking, network utilization, networking visibility, virtual network infrastructure</t>
  </si>
  <si>
    <t>www.pluribusnetworks.com</t>
  </si>
  <si>
    <t>2015: 75</t>
  </si>
  <si>
    <t>61106-68P</t>
  </si>
  <si>
    <t>Kumar Srikantan</t>
  </si>
  <si>
    <t>Co-Founder, Chairman, President and Chief Executive Officer</t>
  </si>
  <si>
    <t>kumar.srikantan@pluribusnetworks.com</t>
  </si>
  <si>
    <t>+1 (972) 352-7314</t>
  </si>
  <si>
    <t>6001 America Center Drive</t>
  </si>
  <si>
    <t>95002</t>
  </si>
  <si>
    <t>+1 (650) 289-4717</t>
  </si>
  <si>
    <t>The company raised $21.1 million of Series E venture funding from Mohr Davidow Ventures, Ericsson Ventures and TriplePoint Venture Growth on December 22, 2016, putting the pre-money valuation at $300 million. Other undisclosed investors also participated in the round.</t>
  </si>
  <si>
    <t>AME Cloud Ventures, China Broadband Capital Partners, Data Collective, Ericsson Ventures, Lenovo, Mark Siegel, Menlo Ventures, Mohr Davidow Ventures, Neotribe Ventures, New Enterprise Associates, Newtech, Temasek Holdings, TriplePoint Venture Growth, Zhiyuan Yang</t>
  </si>
  <si>
    <t>AME Cloud Ventures(www.amecloudventures.com), China Broadband Capital Partners(www.cbc-capital.com), Data Collective(www.dcvc.com), Lenovo(www.lenovo.com), Menlo Ventures(www.menlovc.com), Mohr Davidow Ventures(www.mdv.com), Neotribe Ventures(www.neotribe.vc), New Enterprise Associates(www.nea.com), Newtech(www.newtechapac.com), Temasek Holdings(www.temasek.com.sg), TriplePoint Venture Growth(www.tpvg.com)</t>
  </si>
  <si>
    <t>Harrell Levine(Legal Advisor), Pillsbury Winthrop Shaw Pittman(Legal Advisor)</t>
  </si>
  <si>
    <t>160277-95</t>
  </si>
  <si>
    <t>Plume</t>
  </si>
  <si>
    <t>Securifi, Amped Wireless, eero, Luma</t>
  </si>
  <si>
    <t>Provider of a self-optimizing WiFi network technology designed to connect with every room in the home in real time. The company's Plume Adaptive WiFi is powered by the cloud that adapts and maximizes WiFi by optimizing the flow of data at home in real time and avoids interference from household devices, even sources outside from home enabling users to join a video conference or stream the latest viral video without interruption.</t>
  </si>
  <si>
    <t>Wireless Communications Equipment*</t>
  </si>
  <si>
    <t>home network, home wifi, self-optimizing wifi, wifi access, wifi cloud, wifi networking technology, wifi system, wireless network</t>
  </si>
  <si>
    <t>www.plume.com</t>
  </si>
  <si>
    <t>2015: 57, 2016: 24, 2017: 24</t>
  </si>
  <si>
    <t>13253-86P</t>
  </si>
  <si>
    <t>Fahri Diner</t>
  </si>
  <si>
    <t>+1 (800) 385-7802</t>
  </si>
  <si>
    <t>200 South California Avenue</t>
  </si>
  <si>
    <t>+1 (408) 498-5512</t>
  </si>
  <si>
    <t>+1 (312) 662-2514</t>
  </si>
  <si>
    <t>hello@plumewifi.com</t>
  </si>
  <si>
    <t>The company raised $40.21 million of Series C venture funding in a deal led by Comcast (NASDAQ: CMCSA) on July 25, 2017. Samsung Venture Investment, Presidio Ventures, Deutsche Invest Capital Partners, Liberty Global Ventures, Shaw Ventures, Jackson Square Ventures and other undisclosed investors also participated in the round. The company, which has raised over $63 million in total equity funding, intends to use the capital to accelerate the deployment and integration of Adaptive WiFi™ in Internet Service Provider (ISP) networks and third party hardware, introduce new products, and expand in Silicon Valley and Europe.</t>
  </si>
  <si>
    <t>Axiom Zen, Comcast, Deutsche Invest Capital Partners, Jackson Square Ventures, Liberty Global Ventures, Presidio Ventures, Samsung Venture Investment, Shaw Ventures, Spark Capital</t>
  </si>
  <si>
    <t>Axiom Zen(www.axiomzen.co), Comcast(corporate.comcast.com), Deutsche Invest Capital Partners(www.dicapital.com), Jackson Square Ventures(www.jsv.com), Presidio Ventures(www.presidio-ventures.com), Samsung Venture Investment(www.samsungventures.com), Spark Capital(www.sparkcapital.com)</t>
  </si>
  <si>
    <t>Goodwin(Legal Advisor), Wilson Sonsini Goodrich &amp; Rosati(Legal Advisor)</t>
  </si>
  <si>
    <t>92771-65</t>
  </si>
  <si>
    <t>Plum (Social/Platform Software)</t>
  </si>
  <si>
    <t>Cream.HR</t>
  </si>
  <si>
    <t>Harver, Claro (Workforce Analytics), ClearFit, Pymetrics, RoundPegg, Koru, Peakon, Criteria, Visier, PeopleHR, Thomas International, Herd Wisdom, Assess Systems (Acquired 2008), The Predictive Index, Reflektive, Cloverleaf, Medallia, OutMatch, Traitify, Korn Ferry, Aon, Wonderlic</t>
  </si>
  <si>
    <t>Developer of a cloud-based recruiting platform designed to help companies hire, grow, and retain top talent. The company with the power of AI and organizational psychology technology provides organizations with the data they need to make predictive talent decisions at every stage of the employee lifecycle by measuring talents such as adaptability, innovation, and communication, enabling companies to hire the right candidate.</t>
  </si>
  <si>
    <t>Human Capital Services, Social/Platform Software*</t>
  </si>
  <si>
    <t>Artificial Intelligence &amp; Machine Learning, HR Tech, Industrials, SaaS, TMT</t>
  </si>
  <si>
    <t>ai, career pathing, cutural assessment, emerging leader, employee assessment, futures of work, hiring solutions, hr technology, jobs applicants, leadership identification, personalized development, talent management, workforce planning</t>
  </si>
  <si>
    <t>www.plum.io</t>
  </si>
  <si>
    <t>2013: 4, 2014: 8, 2016: 11, 2017: 18, 2018: 18, 2019: 22</t>
  </si>
  <si>
    <t>Promotion (New) Neil MacGregor, Co-Founder, Director of Product Development &amp; Board Member, Competitor (New) Medallia, Competitor (New) Reflektive</t>
  </si>
  <si>
    <t>85143-70P</t>
  </si>
  <si>
    <t>Caitlin MacGregor</t>
  </si>
  <si>
    <t>caitlin@plum.io</t>
  </si>
  <si>
    <t>+1 (519) 381-1711</t>
  </si>
  <si>
    <t>550 Parkside Drive</t>
  </si>
  <si>
    <t>Building B, Unit 1</t>
  </si>
  <si>
    <t>N2L 5V4</t>
  </si>
  <si>
    <t>+1 (855) 552-7326</t>
  </si>
  <si>
    <t>hello@plum.io</t>
  </si>
  <si>
    <t>The company raised CAD 575,095 of bridge funding from Ontario Centres of Excellence and SAP.iO Foundry on June 20, 2018.</t>
  </si>
  <si>
    <t>1333712 Ontario Inc., 2009583 Ontario Ltd., 43North, 8269033 Canada Ltd., Angel One Investor Network, BDC Industrial, Clean and Energy Technology Venture Fund, Blackbox, Building Repport Consultants Limited, Business Development Bank of Canada, C100 Association, Canadian Technology Accelerator, Canrock Ventures, Chasing Unicorns, CO Fairbank Inc., Communitech Hyperdrive, Conconi FT Holding, Conconi Growth Partners, Creative Destruction Lab, Daveni Investments Ltd., Monticule Information Technology &amp; Consultation, Nalaco Corporation, Ontario Centres of Excellence, SAP.iO Foundry, Springboard Enterprises, Stonemark Ventures, The Accelerator Centre, Thomvest Ventures, Ventured Synergy</t>
  </si>
  <si>
    <t>43North(www.43north.org), Angel One Investor Network(www.angelonenetwork.ca), BDC Industrial, Clean and Energy Technology Venture Fund(www.bdc.ca/EN/bdc-capital/venture-capital/strategic-approach/Pages/energy-cleantech-venture-fund.aspx), Blackbox(www.blackbox.org), Business Development Bank of Canada(www.bdc.ca), C100 Association(www.thec100.org), Canadian Technology Accelerator(www.ctaconnects.com), Canrock Ventures(www.canrockventures.com), Chasing Unicorns(www.chasingunicorns.com), Communitech Hyperdrive(www.communitech.ca), Conconi Growth Partners(www.conconi.ca), Creative Destruction Lab(www.creativedestructionlab.com), Ontario Centres of Excellence(www.oce-ontario.org), SAP.iO Foundry(sap.io), Springboard Enterprises(www.sb.co), Stonemark Ventures(www.stonemarkventures.com), The Accelerator Centre(www.acceleratorcentre.com), Thomvest Ventures(www.thomvest.com)</t>
  </si>
  <si>
    <t>Metabridge(Consulting)</t>
  </si>
  <si>
    <t>58183-21</t>
  </si>
  <si>
    <t>Plotly</t>
  </si>
  <si>
    <t>Kaggle, Sisense, Nathean, Reflect (Application Software), Mode Analytics, Datascience.com, Arcadia Data, Periscope Data, Numetric, Quid, Kloudio, Grow (Business/Productivity Software), Looker, Logi Analytics, Bitext Innovations, Yellowfin, PredicSis, Zoomdata, Klipfolio, ZoomCharts, FirstRain, Symphony AyasdiAI, BigML, Synapsify, Sensai, Databricks, Dataiku, JasperSoft, Skytree, Palantir Technologies, Exago, Cloudera, Coveo, Qlik Technologies, FullContact, DataSift, Izenda, Civis Analytics, CircleBack, Dundas Data Visualization, Domo, Datameer, Birst, Pentaho, GoodData, DataFox, Luminoso, Lexalytics, Sense Enterprise, Evercontact, Venngage, StreamSets, Skymind, Infogram, MicroStrategy, AppNexus, Graphiq, Idibon, Séntisis, Definitive Drone Data, Highcharts</t>
  </si>
  <si>
    <t>Provider of a cloud-based platform intended to offer agile business intelligence and data science services. The company's platform creates leading open source tools for composing, editing and sharing interactive data visualization via the Web, enabling users to showcase their work, make graphs without coding and collaborate with business analysts, designers, executives and clients.</t>
  </si>
  <si>
    <t>business intelligence, charting creation tools, data visualization</t>
  </si>
  <si>
    <t>www.plot.ly</t>
  </si>
  <si>
    <t>2014: 10, 2015: 15</t>
  </si>
  <si>
    <t>52268-95P</t>
  </si>
  <si>
    <t>Alex Johnson</t>
  </si>
  <si>
    <t>alex@plot.ly</t>
  </si>
  <si>
    <t>Montreal, Canada</t>
  </si>
  <si>
    <t>5555 avenue de Gaspe</t>
  </si>
  <si>
    <t>Montreal</t>
  </si>
  <si>
    <t>Quebec</t>
  </si>
  <si>
    <t>H2T 2A3</t>
  </si>
  <si>
    <t>feedback@plot.ly</t>
  </si>
  <si>
    <t>The company raised an undisclosed amount of venture funding from Vanedge Capital on July 27, 2018.</t>
  </si>
  <si>
    <t>In-Q-Tel, MHS Capital, National Research Council Canada, Next47, Real Ventures, Rho Canada Ventures, Silicon Valley Bank, Vanedge Capital</t>
  </si>
  <si>
    <t>In-Q-Tel(www.iqt.org), MHS Capital(www.mhscapital.com), National Research Council Canada(www.nrc-cnrc.gc.ca), Next47(Next47.com), Real Ventures(www.realventures.com), Rho Canada Ventures(www.rhocanada.com), Silicon Valley Bank(www.svb.com), Vanedge Capital(www.vanedgecapital.com)</t>
  </si>
  <si>
    <t>226288-90</t>
  </si>
  <si>
    <t>Pliops</t>
  </si>
  <si>
    <t>The company is currently operating in Stealth mode.</t>
  </si>
  <si>
    <t>semiconductor chips, semiconductor developer, semiconductors</t>
  </si>
  <si>
    <t>The company raised $30 million of Series B venture funding in a deal led by SoftBank Ventures Asia on an undisclosed date. Western Digital Capital, Xilinx Ventures, Intel Capital, State Of Mind Ventures, CEIIF, SanDisk Ventures and Viola Ventures also participated in the round.</t>
  </si>
  <si>
    <t>CEIIF, Intel Capital, SanDisk Ventures, SoftBank Ventures Asia, State Of Mind Ventures, Viola Ventures, Western Digital Capital, Xilinx Ventures</t>
  </si>
  <si>
    <t>CEIIF(www.ceiif.com), Intel Capital(www.intelcapital.com), SoftBank Ventures Asia(www.softbank.co.kr), State Of Mind Ventures(www.somv.com), Western Digital Capital(www.westerndigitalcapital.com)</t>
  </si>
  <si>
    <t>107166-88</t>
  </si>
  <si>
    <t>PlayVS</t>
  </si>
  <si>
    <t>Ultimate Game Quest</t>
  </si>
  <si>
    <t>Oomba</t>
  </si>
  <si>
    <t>Developer of an online platform designed to organize competitions in e-sports on behalf of high school, with the opportunity to win an official state championship. The company's platform allows students to organize online tournaments and wagers for cash and prizes, and helps them to play and stay up-to-date on high school e-sports programs, enabling teen gamers to form teams at their high schools to compete with players from other schools and battle for titles at state championships.</t>
  </si>
  <si>
    <t>Entertainment Software*, Other Services (B2C Non-Financial)</t>
  </si>
  <si>
    <t>eSports, Gaming</t>
  </si>
  <si>
    <t>gaming infrastructure, gaming league, school tournaments, social gaming platform, tournaments gaming, video games as a sports</t>
  </si>
  <si>
    <t>www.playvs.com</t>
  </si>
  <si>
    <t>112789-27P</t>
  </si>
  <si>
    <t>Delane Parnell</t>
  </si>
  <si>
    <t>delane@playvs.com</t>
  </si>
  <si>
    <t>hello@playvs.com</t>
  </si>
  <si>
    <t>The company raised $30.5 million of Series B venture funding in a deal led by Elysian Park Ventures on November 20, 2018. Adidas, Samsung NEXT Ventures, Plexo Capital, Science, New Enterprise Associates, Crosscut Ventures, WndrCo, Sean Combs, David Drummond, Rahul Mehta, Michael Dubin, Nat Turner, Richelieu Dennis, Johnny Hou, Coatue Management and other undisclosed investors also participated in the round. Previously, the company raised $15 million of venture funding in a deal led by New Enterprise Associates on May 25, 2018. Cross Culture Ventures, Science, Crosscut Ventures, WndrCo, Paul Judge, Anthony Saleh, Michael Dublin, Kevin Lin, Russell Okung, Baron Davis, Kelvin Beachum, Nasir bin Olu Dara Jones, Coatue Management and The San Francisco 49ers also participated in the round.</t>
  </si>
  <si>
    <t>Adidas, Anthony Saleh, Baron Davis, Coatue Management, Cross Culture Ventures, Crosscut Ventures, David Drummond, Deep Space Ventures, Elysian Park Ventures, Excell Partners, Johnny Hou, Kelvin Beachum, Kevin Lin, LaunchCapital, Michael Dubin, Michael Dubin, MTGx, Nasir Dara Jones, Nathaniel Turner, New Enterprise Associates, Paul Judge, Plexo Capital, Rahul Mehta, Richelieu Dennis, Russell Okung, Samsung NEXT Ventures, Science, Sean Combs, The San Francisco 49ers, Wakestream Ventures, WndrCo</t>
  </si>
  <si>
    <t>Adidas(www.adidas-group.com), Coatue Management(www.coatue.com), Cross Culture Ventures(www.crossculturevc.com), Crosscut Ventures(www.crosscut.vc), Deep Space Ventures(www.deepspacevc.com), Elysian Park Ventures(www.elysianpark.ventures), Excell Partners(www.excellny.com), LaunchCapital(www.launchcapital.com), MTGx(www.mtgx.se), Nathaniel Turner(www.natsturner.com), New Enterprise Associates(www.nea.com), Samsung NEXT Ventures(www.samsungnext.com), Science(www.science-inc.com), Wakestream Ventures(www.wakestreamventures.com), WndrCo(www.wndrco.com)</t>
  </si>
  <si>
    <t>55781-02</t>
  </si>
  <si>
    <t>PlaySight</t>
  </si>
  <si>
    <t>Diamond Kinetics</t>
  </si>
  <si>
    <t>Provider of sports video and analytics technology designed to create a global and connected community of athletes, coaches and fans. The company's platform offers visualization technology for its products, providing athletes with line calling, live streaming, instant multi-angle video replays and detailed statistics about every shot played, enabling professional athletes to take their game to the next level.</t>
  </si>
  <si>
    <t>Application Software, Other Software, Social/Platform Software*</t>
  </si>
  <si>
    <t>3d visualization, performance evaluation, players tracking, sports analytics, sports analytics technology, sports technology, sports video</t>
  </si>
  <si>
    <t>www.playsight.com</t>
  </si>
  <si>
    <t>2014: 11, 2016: 23, 2018: 90</t>
  </si>
  <si>
    <t>56557-63P</t>
  </si>
  <si>
    <t>Chen Shachar</t>
  </si>
  <si>
    <t>chen@playsight.com</t>
  </si>
  <si>
    <t>+ (972) 54-72-000-24</t>
  </si>
  <si>
    <t>Kfar Saba, Israel</t>
  </si>
  <si>
    <t>Gilboa 76</t>
  </si>
  <si>
    <t>Kfar Saba</t>
  </si>
  <si>
    <t>44864</t>
  </si>
  <si>
    <t>+972 (0)73 727 6040</t>
  </si>
  <si>
    <t>+972 (0)73 725 8115</t>
  </si>
  <si>
    <t>info@playsight.com</t>
  </si>
  <si>
    <t>The company raised $21 million of Series C venture funding from SoftBank Ventures Korea and CEIIF on April 25, 2018. The funds will be used to grow across a variety of sports and extend the platform into existing verticals and expand into new sports.</t>
  </si>
  <si>
    <t>CEIIF, D5 Capital, David Chessler, Greg Norman, SoftBank Ventures Asia, Third Prime, Verizon Ventures</t>
  </si>
  <si>
    <t>CEIIF(www.ceiif.com), D5 Capital(www.d5capital.com), SoftBank Ventures Asia(www.softbank.co.kr), Third Prime(www.thirdprime.vc), Verizon Ventures(www.verizonventures.com)</t>
  </si>
  <si>
    <t>121708-63</t>
  </si>
  <si>
    <t>Players' Lounge</t>
  </si>
  <si>
    <t>Operator of an online social gaming platform designed to offer instant esports competitions for casual gamers. The company's platform specializes in hosting social gaming tournaments both in-person and from the comfort of homes, enabling players to enjoy and play their favorite video games and tournaments for cash and prizes.</t>
  </si>
  <si>
    <t>eSports, Gaming, TMT</t>
  </si>
  <si>
    <t>esports, online gaming platform, online gaming software, social video gaming, video games</t>
  </si>
  <si>
    <t>www.playerslounge.co</t>
  </si>
  <si>
    <t>170318-62P</t>
  </si>
  <si>
    <t>Austin Woolridge</t>
  </si>
  <si>
    <t>austin@playerslounge.co</t>
  </si>
  <si>
    <t>+1 (347) 687-2319</t>
  </si>
  <si>
    <t>595 Metropolitan Avenue</t>
  </si>
  <si>
    <t>11211</t>
  </si>
  <si>
    <t>hello@playerslounge.co</t>
  </si>
  <si>
    <t>The company raised $3 million of seed funding from Macro Ventures, Comcast and CourtsideVC on March 28, 2019. RRE Ventures, Canaan Partners, Drake, Strauss Zelnick and Marissa Mayer also participated in the round. The funds will be used to add more titles in its library, expand its development team, offer streaming functionality, and create new competition formats.</t>
  </si>
  <si>
    <t>Aubrey Graham, Canaan Partners, Comcast Ventures, CourtsideVC, Dorm Room Fund, LAUNCH (UC Berkeley), Macro Ventures, Marissa Mayer, RRE Ventures, Sinai Ventures, Strauss Zelnick, The Pioneer Fund, Y Combinator</t>
  </si>
  <si>
    <t>Canaan Partners(www.canaan.com), Comcast Ventures(www.comcastventures.com), CourtsideVC(www.courtsidevc.com), Dorm Room Fund(www.dormroomfund.com), LAUNCH (UC Berkeley)(www.uclaunch.com), RRE Ventures(www.rre.com), Sinai Ventures(www.sinaivc.com), The Pioneer Fund(www.pioneerfund.vc), Y Combinator(www.ycombinator.com)</t>
  </si>
  <si>
    <t>144643-24</t>
  </si>
  <si>
    <t>PlantResponse</t>
  </si>
  <si>
    <t>Futureco Bioscience</t>
  </si>
  <si>
    <t>Developer of agricultural technologies intended to reduce botanical stress and help plant growth on a global scale. The company's technologies offer plant healthcare products using natural compounds, that increase plant immunity, enhance tolerance to crop stresses such as drought and salinity, as well as facilitate nutrient use efficiently, enabling agricultural professionals to protect plant health and enhance plant growth.</t>
  </si>
  <si>
    <t>Agricultural Chemicals</t>
  </si>
  <si>
    <t>Agricultural Chemicals*, Other Agriculture</t>
  </si>
  <si>
    <t>AgTech, LOHAS &amp; Wellness, TMT</t>
  </si>
  <si>
    <t>agri technologies, agricultural biotech, biostimulants, biostimulants and fertilizers, crop production, crop protection, pest and pathogens, plant healthcare product</t>
  </si>
  <si>
    <t>www.plantresponse.com</t>
  </si>
  <si>
    <t>2017: 20</t>
  </si>
  <si>
    <t>188404-66P</t>
  </si>
  <si>
    <t>Tom Snipes</t>
  </si>
  <si>
    <t>tom.snipes@plantresponse.com</t>
  </si>
  <si>
    <t>+34 91 452 4838</t>
  </si>
  <si>
    <t>Centro de Empresas</t>
  </si>
  <si>
    <t>Campus de Montegancedo, Pozuelo de Alarcón</t>
  </si>
  <si>
    <t>28223</t>
  </si>
  <si>
    <t>+34 91 351 6961</t>
  </si>
  <si>
    <t>info@plantresponse.com</t>
  </si>
  <si>
    <t>The company raised venture funding from iSelect Fund on an undisclosed date.</t>
  </si>
  <si>
    <t>Caixa Capital Risc, iSelect, iSelect Fund, Middleland Capital, Monsanto Growth Ventures, Novozymes, Yara International</t>
  </si>
  <si>
    <t>Caixa Capital Risc(www.caixacapitalrisc.es), iSelect(www.iselect.com.au), iSelect Fund(www.iselectfund.com), Middleland Capital(www.middlelandcap.com), Novozymes(www.novozymes.com), Yara International(www.yara.com)</t>
  </si>
  <si>
    <t>178198-48</t>
  </si>
  <si>
    <t>PlanSnap</t>
  </si>
  <si>
    <t>Get Sociable</t>
  </si>
  <si>
    <t>Developer of a social application intended to plan get together. The company's social application provides users the power to make any social plan in a snap enabling them to plan get together such as a spontaneous post work beer to an active weekend away quickly.</t>
  </si>
  <si>
    <t>events, get together, get together planning, meetups, social, social planning, social planning app</t>
  </si>
  <si>
    <t>www.plansnap.com</t>
  </si>
  <si>
    <t>2016: 1, 2017: 3</t>
  </si>
  <si>
    <t>159303-70P</t>
  </si>
  <si>
    <t>Louise Doherty</t>
  </si>
  <si>
    <t>louise@plansnap.com</t>
  </si>
  <si>
    <t>hello@plansnap.com</t>
  </si>
  <si>
    <t>The company raised GBP 381,950 of angel funding via Crowdcube in 2017.</t>
  </si>
  <si>
    <t>Right Side Capital Management, Techstars, ZX Ventures</t>
  </si>
  <si>
    <t>Right Side Capital Management(www.rightsidecapital.com), Techstars(www.techstars.com), ZX Ventures(www.zx-ventures.com)</t>
  </si>
  <si>
    <t>Crowdcube(Lead Manager or Arranger)</t>
  </si>
  <si>
    <t>51751-99</t>
  </si>
  <si>
    <t>PlaceIQ</t>
  </si>
  <si>
    <t>UberMedia, Phizzle, NinthDecimal, Sense360, Adello, Quantcast, IgnitionOne, Adara, Mobilewalla, Swirl, Near (Singapore), AppsFlyer, Apsalar, SteelHouse, GroundTruth, MediaMath, Beintoo, Tamoco, Radius Networks, Gravy Analytics, Unacast, AppNexus, Affinio, Tenjin, MaxPoint Interactive, OwnerIQ, Moloco, AdRoll, iProspect, StackAdapt, Integral Ad Science, DataXu, Dstillery, adjust, i.Predictus, Rocket Fuel, ChoiceStream, Moasis Global, Yext, Gimbal, Adsquare, VideoAmp, Exponential Interactive, StreetLight Data, Blis Media, Criteo, AppLift, 4INFO, Foursquare, TUNE, Simpli.fi, Nanigans, RetailNext, Thunder Industries, Connectivity, Placed, PiinPoint, Centro, Factual, Freckle IoT, Samba TV, PubMatic, Viewbix, Innovid, Visual IQ, Bidstalk, Sharethrough, Choozle, UpSnap (VoodooVox), Singular, Cuebiq, RadiumOne, The Trade Desk</t>
  </si>
  <si>
    <t>Developer of a geo-location data service platform intended to build more accurate audiences monitoring location, time and real-world behavior. The company's platform provides a suite of consumer discovery, engagement and activation services for brands and their agencies to engage with the right consumers and lead them to brand actions and destinations, enabling users to measure real-world, in-store ROI, as well as to quantify the value and effectiveness of advertising, targeting and messaging.</t>
  </si>
  <si>
    <t>Business/Productivity Software, Information Services (B2C), Media and Information Services (B2B)*</t>
  </si>
  <si>
    <t>AdTech, Big Data, Marketing Tech, TMT</t>
  </si>
  <si>
    <t>advertising software, consumer discovery platform, geolocation, location intelligence, location monitoring</t>
  </si>
  <si>
    <t>www.placeiq.com</t>
  </si>
  <si>
    <t>2015: 230</t>
  </si>
  <si>
    <t>Competitor (New) Cuebiq</t>
  </si>
  <si>
    <t>39599-65P</t>
  </si>
  <si>
    <t>Duncan McCall</t>
  </si>
  <si>
    <t>duncan@placeiq.com</t>
  </si>
  <si>
    <t>5 Bryant Park</t>
  </si>
  <si>
    <t>18th Floor</t>
  </si>
  <si>
    <t>info@placeiq.com</t>
  </si>
  <si>
    <t>The company raised venture funding from Eastward Capital Partners on an undisclosed date.</t>
  </si>
  <si>
    <t>Alibaba Group, Archer Venture Capital, Eastward Capital Partners, Harmony Partners, IA Ventures, Iris Capital, James Pallotta, Jerry Neumann, MDC Ventures, Neu Venture Capital, Raptor Group, Social Leverage, Thomas Peterson, US Venture Partners, Valhalla Partners</t>
  </si>
  <si>
    <t>Alibaba Group(www.alibabagroup.com), Archer Venture Capital(www.archervc.com), Eastward Capital Partners(www.eastwardcp.com), Harmony Partners(www.harmonyvp.com), IA Ventures(www.iaventures.com), Iris Capital(www.iriscapital.com), MDC Ventures(www.mdcventures.vc), Neu Venture Capital(www.neuvc.com), Raptor Group(www.raptorgroup.com), Social Leverage(www.socialleverage.com), US Venture Partners(www.usvp.com), Valhalla Partners(www.valhallapartners.com)</t>
  </si>
  <si>
    <t>Fenwick &amp; West(Legal Advisor), True Capital Partners(Advisor: General)</t>
  </si>
  <si>
    <t>Armentum Partners(Advisor: General), Fenwick &amp; West(Legal Advisor), TimePayment(Debt Financing), True Capital Partners(Advisor: General)</t>
  </si>
  <si>
    <t>149316-31</t>
  </si>
  <si>
    <t>Pixvana</t>
  </si>
  <si>
    <t>Rednun, Wevr, WorldViz, NextVR, Spatial (Augmented Reality), Against Gravity, vTime, Vrideo</t>
  </si>
  <si>
    <t>Provider of a virtual reality video processing platform designed to deliver the next generation of communication with XR. The company's virtual reality video processing platform is a cloud-based production and delivery platform for the emerging mediums of virtual, augmented and mixed reality (XR), enabling businesses to create and deliver VR video experiences anywhere.</t>
  </si>
  <si>
    <t>Augmented Reality, SaaS, TMT, Virtual Reality</t>
  </si>
  <si>
    <t>digital production, video processing platform, virtual reality platform, virtual reality video processing, virtual reality video processing platform</t>
  </si>
  <si>
    <t>www.pixvana.com</t>
  </si>
  <si>
    <t>2015: 4, 2017: 24, 2018: 30</t>
  </si>
  <si>
    <t>37301-23P</t>
  </si>
  <si>
    <t>Forest Key</t>
  </si>
  <si>
    <t>forest@pixvana.com</t>
  </si>
  <si>
    <t>+1 (802) 455-8262</t>
  </si>
  <si>
    <t>3621 Stone Way North</t>
  </si>
  <si>
    <t>Unit A</t>
  </si>
  <si>
    <t>98103</t>
  </si>
  <si>
    <t>The company raised $14.08 million of Series A and Series A1 venture funding in a deal led by Vulcan Capital on November 20, 2017, putting the company's pre-money valuation at $30 million. Raine Ventures, Microsoft Ventures, Cisco Investments, Hearst Ventures, Madrona Venture Group and other undisclosed investors also participated in the round.</t>
  </si>
  <si>
    <t>Cisco Investments, Hearst Ventures, M12, Madrona Venture Group, Raine Ventures, Soma Somasegar, The Gramercy Fund, Vulcan Capital</t>
  </si>
  <si>
    <t>Cisco Investments(www.ciscoinvestments.com), M12(www.m12.vc), Madrona Venture Group(www.madrona.com), The Gramercy Fund(www.gramercyfund.com), Vulcan Capital(capital.vulcan.com)</t>
  </si>
  <si>
    <t>Fenwick &amp; West(Legal Advisor), Silicon Valley Bank(General Business Banking)</t>
  </si>
  <si>
    <t>56347-03</t>
  </si>
  <si>
    <t>Pixlee</t>
  </si>
  <si>
    <t>HelloSociety, Adly, Storystream, Spredfast, Ahalogy, Shuttlerock, Kenshoo, ReadyPulse, Chute, Brand Networks, Uberflip, Curalate, ApexDrop, loop88, Yotpo, Tint, Social Native, Piqora, Nanigans, Friendbuy, Strutta.com Media, Chirpify, ScribbleLive, Kapost, CrowdRiff, Extole, Olapic, Simply Measured, Thismoment, PublishThis, SnapApp, NewsCred, Percolate, rewardStyle, Stackla, Sprinklr, Viafoura, Ambassador, Bluecore, Tailwind (Marketing Platform), Sprout Social, NetBase, Gigya, Dynamic Signal, BigDoor Media, Socialbakers, CustEx, Trustpilot, True Anthem, Launch Digital Marketing, 500friends, Chartbeat, Reevoo, Livefyre, Brandwatch, LiveWorld, Hootsuite, Wayin, Zoomph, GumGum, LoginRadius, gazeMetrix, Dash Hudson</t>
  </si>
  <si>
    <t>Provider of a visual marketing platform created to enable brands to celebrate and market with the voice of their own customers. The company's platform helps brand marketers to collect, curate and re-purpose brand-affiliated user content from social media, enabling brands to gain actionable insights about their customers at each stage.</t>
  </si>
  <si>
    <t>brand marketing platform, customer analytics platform, personalized visual marketing, visual marketing</t>
  </si>
  <si>
    <t>www.pixlee.com</t>
  </si>
  <si>
    <t>2014: 16, 2015: 20, 2016: 33, 2017: 24</t>
  </si>
  <si>
    <t>48748-87P</t>
  </si>
  <si>
    <t>Awad Sayeed</t>
  </si>
  <si>
    <t>awad@pixlee.com</t>
  </si>
  <si>
    <t>425 2nd Street</t>
  </si>
  <si>
    <t>Suite 602</t>
  </si>
  <si>
    <t>hi@pixleeteam.com</t>
  </si>
  <si>
    <t>The company raised an undisclosed amount of seed funding from TheVentureCity on July 2, 2017. Previously, the company raised an undisclosed amount of Series A venture funding in a deal led by Tsingyuan Ventures on April 12, 2017. Andreessen Horowitz also participated in the round.</t>
  </si>
  <si>
    <t>Alan Chiu, Ambition.vc, Andreessen Horowitz, Andrew Barkett, Ariel Poler, Grace Beauty Capital, GS Shop, Guthrie Paterson, GVA Capital, InstantScale Ventures, Mark Gorenberg, Rothenberg Ventures, RTA Capital, StartX, TheVentureCity, Tsingyuan Ventures, Wisemont Capital, WorldQuant Ventures, XSeed Capital, You &amp; Mr Jones Brandtech Ventures, Zetta Venture Partners</t>
  </si>
  <si>
    <t>Ambition.vc(www.ambition.vc), Andreessen Horowitz(www.a16z.com), Ariel Poler(www.amileatatime.com), Grace Beauty Capital(www.gracebeautycapital.com), GS Shop(www.gsshop.com), GVA Capital(www.gva.capital), InstantScale Ventures(www.instantscale.com), Rothenberg Ventures(www.rothenbergventures.com), RTA Capital(www.rtacapital.com), StartX(www.startx.com), TheVentureCity(www.theventure.city), Tsingyuan Ventures(www.tsingyuan.ventures), Wisemont Capital(www.wisemontcapital.com), WorldQuant Ventures(www.worldquantventures.com), XSeed Capital(www.xseedcap.com), Zetta Venture Partners(www.zettavp.com)</t>
  </si>
  <si>
    <t>88798-78</t>
  </si>
  <si>
    <t>Pixeom</t>
  </si>
  <si>
    <t>Developer of a cloud based platform designed to reduce data center usage and improve end-user experience. The company's platform permits running of applications in the cloud as well as turning of any hardware into a gateway for cloud services and features a distributed architecture for creation of a virtualized pool of compute and storage to provide services beyond the capacity of single device and offer a customized hybrid cloud service, enabling clients to reduce datacenter usage and improve end-user experience.</t>
  </si>
  <si>
    <t>Other Hardware, Systems and Information Management*</t>
  </si>
  <si>
    <t>cloud infrastructure, cloud services, digital content, digital content storage</t>
  </si>
  <si>
    <t>www.pixeom.com</t>
  </si>
  <si>
    <t>2019: 80</t>
  </si>
  <si>
    <t>163691-20P</t>
  </si>
  <si>
    <t>Samir Nagar</t>
  </si>
  <si>
    <t>sam@pixeom.com</t>
  </si>
  <si>
    <t>Boca Raton, FL</t>
  </si>
  <si>
    <t>4620 North West 23rd Terrace</t>
  </si>
  <si>
    <t>Boca Raton</t>
  </si>
  <si>
    <t>33431</t>
  </si>
  <si>
    <t>info@pixeom.com</t>
  </si>
  <si>
    <t>The company raised $15 million of venture funding in a deal led by Intel Capital, National Grid Partners and other undisclosed investors on April 1, 2019. Samsung Catalyst also participated in this round. The funds will be used to continue scaling operations and expand its reach.</t>
  </si>
  <si>
    <t>Flex's Lab IX, Intel Capital, National Grid Partners, Samsung Catalyst</t>
  </si>
  <si>
    <t>Flex's Lab IX(www.labix.io/expertise/startups), Intel Capital(www.intelcapital.com), National Grid Partners(www.ngpartners.com), Samsung Catalyst(www.samsungcatalyst.com)</t>
  </si>
  <si>
    <t>GrowthPoint Technology Partners(Advisor: General), Kickstarter(Lead Manager or Arranger)</t>
  </si>
  <si>
    <t>52933-87</t>
  </si>
  <si>
    <t>Pivot3</t>
  </si>
  <si>
    <t>Dell EMC, SimpliVity, Rubrik, Veritas Technologies, NetApp, Scale Computing, Hitachi Vantara, Maxta, CloudVelox, X-IO Storage, Coho Data, Pure Storage, Ivanti Software, OSNEXUS, Sophos, Scalr, Elastifile, DataCore Software, Citrix Systems, Symantec, Oracle, Datrium, WekaIO, RackWare, Springpath, StorPool, Atlantis Computing, Splashtop, AirWatch, McAfee, AOE, Scality, Stratoscale, BMC Software, RightScale, StorageCraft Technology, Tegile, Nutanix, PernixData, ioFabric, Embotics, Micro Focus, Infinio Systems, SkyKick</t>
  </si>
  <si>
    <t>Provider of software infrastructure services designed to support data center and IT environment workloads. The company's services automate management of on-premise, edge, and cloud environments, allow scaling as needed and deliver guaranteed performance, enabling companies to reduce cost, operational risks, and ease overall system management.</t>
  </si>
  <si>
    <t>Network Management Software, Storage (IT), Systems and Information Management*</t>
  </si>
  <si>
    <t>data center infrastructure, data management, enterprise it workload, hyper-converged infrastructure, network resources management, smarter hyperconverged infrastructure, software defined storage, software management, video management, video surveillance</t>
  </si>
  <si>
    <t>www.pivot3.com</t>
  </si>
  <si>
    <t>2009: 81, 2010: 89, 2011: 80, 2012: 103, 2013: 86, 2014: 121, 2015: 100, 2016: 235, 2017: 220</t>
  </si>
  <si>
    <t>131754-97P</t>
  </si>
  <si>
    <t>Bruce Milne</t>
  </si>
  <si>
    <t>Chief Marketing Officer and Vice President</t>
  </si>
  <si>
    <t>bruce.milne@pivot3.com</t>
  </si>
  <si>
    <t>+1 (512) 807-2666</t>
  </si>
  <si>
    <t>221 West Sixth Street</t>
  </si>
  <si>
    <t>78701</t>
  </si>
  <si>
    <t>+1 (512) 807-2669</t>
  </si>
  <si>
    <t>The company raised $67.18 million of Series C venture funding from Western Digital Capital, Argonaut Private Equity and S3 Ventures on August 22, 2017, putting the company's pre-money valuation at an estimated $150 million. The funding will be used to accelerate the company's growth and enable it to bring to market the most extensive suite of hyper-converged and flash storage solutions with predictable performance that is available today.</t>
  </si>
  <si>
    <t>Argonaut Private Equity, Focus Ventures (USA), InterWest Partners, Lightspeed Venture Partners, Mesirow Financial, Northleaf Capital Partners, S3 Ventures, Samsung Venture Investment, Silver Creek Ventures, Western Digital Capital, WS Investments</t>
  </si>
  <si>
    <t>Argonaut Private Equity(www.argonautpe.com), Focus Ventures (USA)(www.focusventures.com), InterWest Partners(www.interwest.com), Lightspeed Venture Partners(www.lsvp.com), Mesirow Financial(www.mesirowfinancial.com), Northleaf Capital Partners(www.northleafcapital.com), S3 Ventures(www.s3vc.com), Samsung Venture Investment(www.samsungventures.com), Silver Creek Ventures(www.silvercreekfund.com), Western Digital Capital(www.westerndigitalcapital.com)</t>
  </si>
  <si>
    <t>9Gauge Partners(Advisor: General), Weaver(Auditor), Wilson Sonsini Goodrich &amp; Rosati(Legal Advisor)</t>
  </si>
  <si>
    <t>9Gauge Partners(Advisor: General), Comerica Bank(General Business Banking), Cooley(Legal Advisor), Weaver(Auditor), Wilson Sonsini Goodrich &amp; Rosati(Legal Advisor)</t>
  </si>
  <si>
    <t>106802-02</t>
  </si>
  <si>
    <t>Pivot Bio</t>
  </si>
  <si>
    <t>BioConsortia, Calyxt, Envirokure</t>
  </si>
  <si>
    <t>Provider of crop nutrition product for farmers designed to replace synthetic nitrogen fertilizer. The company develops crops that can capture and metabolize nitrogen from the atmosphere, reducing the need for petrochemical fertilizers, enabling farmers to reduce the cost of farming and improve the health .</t>
  </si>
  <si>
    <t>Other Agriculture</t>
  </si>
  <si>
    <t>Other Agriculture*, Other Business Products and Services</t>
  </si>
  <si>
    <t>AgTech</t>
  </si>
  <si>
    <t>agricultural services, crop microbiome, crop nutrition, metabolic model</t>
  </si>
  <si>
    <t>www.pivotbio.com</t>
  </si>
  <si>
    <t>2015: 6, 2016: 33</t>
  </si>
  <si>
    <t>99767-62P</t>
  </si>
  <si>
    <t>Karsten Temme</t>
  </si>
  <si>
    <t>karsten@pivotbio.com</t>
  </si>
  <si>
    <t>+1 (877) 495-3777</t>
  </si>
  <si>
    <t>2929 7th Street</t>
  </si>
  <si>
    <t>info@pivotbio.com</t>
  </si>
  <si>
    <t>The company raised $70 million of Series B venture funding in a deal led by Breakthrough Energy Ventures on September 26, 2018, putting the company's pre-money valuation at $130 million. Tekfen Ventures, Prelude Ventures and Temasek Holdings also participated in the round. The company intends to use the funds to strengthen the commercial launch of nitrogen-producing microbes for U.S. corn farmers, conduct research and development activities for its second-generation product, a seed treatment option, as well as introduce products beyond the U.S. in markets such as Brazil, Argentina and Canada.</t>
  </si>
  <si>
    <t>Bill &amp; Melinda Gates Foundation, Breakthrough Energy Ventures, California Institute for Quantitative Biosciences, Defense Advanced Research Projects Agency, Jenny Rooke, Karl Handelsman, Monsanto Growth Ventures, OS Fund, Prelude Ventures, Spruce Capital Partners, Tekfen Ventures, Temasek Holdings, Xeraya Capital</t>
  </si>
  <si>
    <t>Bill &amp; Melinda Gates Foundation(www.gatesfoundation.org), California Institute for Quantitative Biosciences(www.qb3.org), Defense Advanced Research Projects Agency(www.darpa.mil), OS Fund(www.osfund.co), Prelude Ventures(www.preludeventures.com), Spruce Capital Partners(www.sprucecp.com), Tekfen Ventures(www.tekfenventures.com), Temasek Holdings(www.temasek.com.sg), Xeraya Capital(www.xeraya.com)</t>
  </si>
  <si>
    <t>115191-37</t>
  </si>
  <si>
    <t>Pitstop</t>
  </si>
  <si>
    <t>Developer of a prognostics platform designed to predict vehicle failures before they happen. The company's platform aggregates automotive data and sends it to a secure remote server where algorithms, artificial intelligence and machine learning tools provide useful information about increasingly complex automotive systems, enabling car owners to predict vehicle failures thereby preventing inefficiencies and reducing vehicle maintenance costs.</t>
  </si>
  <si>
    <t>automotive servicing, predictive analytics, predictive data, predictive data software, predictive maintenance, predictive platform</t>
  </si>
  <si>
    <t>www.pitstopconnect.com</t>
  </si>
  <si>
    <t>102987-37P</t>
  </si>
  <si>
    <t>Shiva Bhardwaj</t>
  </si>
  <si>
    <t>shiva@pitstopconnect.com</t>
  </si>
  <si>
    <t>+1 (403) 519-7707</t>
  </si>
  <si>
    <t>410 Adelaide West</t>
  </si>
  <si>
    <t>+1 (855) 999-0777</t>
  </si>
  <si>
    <t>info@pitstopconnect.com</t>
  </si>
  <si>
    <t>The company raised $1.5 million of seed funding in a deal led by Ripple Ventures on May 30, 2019. Ontario Centres of Excellence, Hike Ventures, Michael Castellarin, and WorldQuant Ventures also participated in the round. The funds will be used to launch their platform.</t>
  </si>
  <si>
    <t>BDC Capital, Blackbox, Extreme Venture Partners, Fontinalis Partners, Hike Ventures, MaRS Investment Accelerator Fund, Michael Castellarin, Ontario Centres of Excellence, Right Side Capital Management, Ripple Ventures, Techstars, University of Waterloo Velocity, Verizon Ventures, WorldQuant Ventures</t>
  </si>
  <si>
    <t>Blackbox(www.blackbox.org), Extreme Venture Partners(www.evp.vc), Fontinalis Partners(www.fontinalis.com), Hike Ventures(www.hikevc.com), MaRS Investment Accelerator Fund(www.marsiaf.com), Ontario Centres of Excellence(www.oce-ontario.org), Right Side Capital Management(www.rightsidecapital.com), Ripple Ventures(www.rippleventures.ca), Techstars(www.techstars.com), University of Waterloo Velocity(www.velocity.uwaterloo.ca), Verizon Ventures(www.verizonventures.com), WorldQuant Ventures(www.worldquantventures.com)</t>
  </si>
  <si>
    <t>221733-19</t>
  </si>
  <si>
    <t>Pison Technology</t>
  </si>
  <si>
    <t>Pison</t>
  </si>
  <si>
    <t>Developer of a motionless communication and control system designed to expand the horizon of human capabilities. The company's Pison is an ultra-sensitive and Wearable Biopotential Sensor which has an advanced VR multipoint hand control, full body prosthetic and exoskeleton input and a communication and electronics platform, enabling users to avail transformational human-computer interaction to greatly improve patient quality of life.</t>
  </si>
  <si>
    <t>Electronics (B2C), Monitoring Equipment*</t>
  </si>
  <si>
    <t>emg sensor, motionless communication tools, motionless control system, track electromyography, vr controllers, wearable sensor</t>
  </si>
  <si>
    <t>www.pisontechnology.com</t>
  </si>
  <si>
    <t>173453-77P</t>
  </si>
  <si>
    <t>Dexter Ang</t>
  </si>
  <si>
    <t>dexter.ang@pisontechnology.com</t>
  </si>
  <si>
    <t>+1 (617) 209-9730</t>
  </si>
  <si>
    <t>258 Harvard Street</t>
  </si>
  <si>
    <t>Suite 312, Brookline</t>
  </si>
  <si>
    <t>02446</t>
  </si>
  <si>
    <t>info@pisontechnology.com</t>
  </si>
  <si>
    <t>The company raised $6.5 million of seed funding from Bose Ventures and Dorm Room Fund on March 22, 2019, putting the company's pre-money valuation at $16.5 million.</t>
  </si>
  <si>
    <t>Bose Ventures, Dorm Room Fund, MIT Sandbox, National Aeronautics and Space Administration, National Science Foundation, The ALS Association, U.S. Department of Health and Human Services</t>
  </si>
  <si>
    <t>Bose Ventures(bose.ventures), Dorm Room Fund(www.dormroomfund.com), MIT Sandbox(www.sandbox.mit.edu), National Aeronautics and Space Administration(www.nasa.gov), National Science Foundation(seedfund.nsf.gov), The ALS Association(www.alsa.org), U.S. Department of Health and Human Services(hhs.gov)</t>
  </si>
  <si>
    <t>175012-48</t>
  </si>
  <si>
    <t>Pillo Health</t>
  </si>
  <si>
    <t>Pillo</t>
  </si>
  <si>
    <t>Catalia Health, Philips, Eliq</t>
  </si>
  <si>
    <t>Provider of an in-home technology platform intended to improve longevity and quality of life for patients managing their health at home. The company's HIPAA-compliant platform delivers therapy reminders, health information and companionship, enabling users to keep their care plan on track, while enhancing connections between health organizations, patients and care teams..</t>
  </si>
  <si>
    <t>Electronics (B2C)*, Other Devices and Supplies, Other Hardware</t>
  </si>
  <si>
    <t>Digital Health, HealthTech, Internet of Things, Robotics and Drones, TMT</t>
  </si>
  <si>
    <t>digital health platform, health management device, health platform technology, health robotics, health robots, healthcare assistance device, healthcare assistant, home health robots, personal robots, remote monitoring device</t>
  </si>
  <si>
    <t>www.pillohealth.com</t>
  </si>
  <si>
    <t>2019: 32</t>
  </si>
  <si>
    <t>160201-09P</t>
  </si>
  <si>
    <t>Emanuele Musini</t>
  </si>
  <si>
    <t>emanuele@pillohealth.com</t>
  </si>
  <si>
    <t>71 Summer Street</t>
  </si>
  <si>
    <t>hello@pillohealth.com</t>
  </si>
  <si>
    <t>The company raised $11 million of Series A venture funding in a deal led by Stanley Ventures on May 29, 2019. Hikma Ventures, Hackensack Meridian Health, Samsung Venture Investment, Civilization Ventures and BioAdvance also participated in the round. The funds will be used to continue the development of its HIPAA-compliant technology platform and to develop additional voice-first experiences for partners to deliver digital health solutions into the home.</t>
  </si>
  <si>
    <t>BioAdvance, Centrica Innovations, Civilization Ventures, Hackensack Meridian Health, Hikma Ventures, MassChallenge, Plug and Play Tech Center, Samsung Venture Investment, Stanley Ventures, Thompson Family Foundation</t>
  </si>
  <si>
    <t>BioAdvance(www.bioadvance.com), Civilization Ventures(www.civilizationventures.com), Hackensack Meridian Health(www.hackensackmeridianhealth.org), Hikma Ventures(www.hikmaventures.com), MassChallenge(www.masschallenge.org), Plug and Play Tech Center(www.plugandplaytechcenter.com), Samsung Venture Investment(www.samsungventures.com), Stanley Ventures(www.stanleyventures.com), Thompson Family Foundation(www.thompsonfamily.foundation)</t>
  </si>
  <si>
    <t>109726-84</t>
  </si>
  <si>
    <t>Picwell</t>
  </si>
  <si>
    <t>Gravie, iCan Benefit Group, Benecaid, Hixme, Liazon, Stride Health, Oscar, Collective Health, KindHealth, HealthCompare, GoHealth, Jellyvision</t>
  </si>
  <si>
    <t>Provider of enterprise software powering a personalized healthcare experience designed to help consumers select the ideal package of benefits for them and their families. The company's software matches individuals to the right plan package during enrollment by predicting future care considerations, estimating out-of-pocket expenses and accounting for personal preferences, enabling them to make more confident decisions in health insurance and other benefits.</t>
  </si>
  <si>
    <t>Life and Health Insurance*, Other Healthcare Technology Systems</t>
  </si>
  <si>
    <t>health insurance decision, health insurance planning, insurance platform, insurance-specific information, personalized healthcare experience</t>
  </si>
  <si>
    <t>www.picwell.com</t>
  </si>
  <si>
    <t>2015: 11, 2018: 24</t>
  </si>
  <si>
    <t>98367-04P</t>
  </si>
  <si>
    <t>Matthew Sydney</t>
  </si>
  <si>
    <t>msydney@picwell.com</t>
  </si>
  <si>
    <t>+1 (484) 716-1794</t>
  </si>
  <si>
    <t>2200 Arch Street</t>
  </si>
  <si>
    <t>info@picwell.com</t>
  </si>
  <si>
    <t>The company raised $4 million of Series B venture funding from Aflac Ventures, BlueCross BlueShield Venture Partners, MassMutual Ventures and other undisclosed investors on February 20, 2018, putting the company's pre-money valuation at $11 million.</t>
  </si>
  <si>
    <t>Aflac Ventures, Andrew Kress, BlueCross BlueShield Venture Partners, Bruce Perkins, MassMutual Ventures, Osage University Partners, Paul Kusserow, Sandbox Industries, Trevor Fettter</t>
  </si>
  <si>
    <t>Aflac Ventures(www.aflacventures.com), BlueCross BlueShield Venture Partners(www.bcbsvp.com), MassMutual Ventures(www.massmutualventures.com), Osage University Partners(www.oup.vc), Sandbox Industries(www.sandboxindustries.com)</t>
  </si>
  <si>
    <t>Cooley(Legal Advisor), DLA Piper(Legal Advisor), Mazars USA(Auditor), Morgan, Lewis &amp; Bockius(Legal Advisor), Wells Fargo(General Business Banking)</t>
  </si>
  <si>
    <t>DLA Piper(Legal Advisor), Morgan, Lewis &amp; Bockius(Legal Advisor)</t>
  </si>
  <si>
    <t>63450-73</t>
  </si>
  <si>
    <t>PicoBrew</t>
  </si>
  <si>
    <t>MiniBrew, Midwest Supplies, Northern Brewer, Brewbot</t>
  </si>
  <si>
    <t>Developer of a smart craft beer brewing appliance designed to simplify the home beer making process. The company's automatic beer brewer allows beer enthusiasts to discover great craft beer from breweries around the world and brew it easily, customized to their taste, using quality ingredients, enabling alcohol enthusiasts and beer lovers to have a true craft brewery experience without the hassle and expense of actually building a craft brewery.</t>
  </si>
  <si>
    <t>Beverages, Other Consumer Durables*</t>
  </si>
  <si>
    <t>beer maker, brewing appliance, brewing machine, craft beer maker, craft beer market</t>
  </si>
  <si>
    <t>www.picobrew.com</t>
  </si>
  <si>
    <t>2015: 33, 2016: 33, 2017: 56, 2018: 57</t>
  </si>
  <si>
    <t>80801-29P</t>
  </si>
  <si>
    <t>William Mitchell</t>
  </si>
  <si>
    <t>Chief Executive Officer, Board Member, President &amp; Co-Founder</t>
  </si>
  <si>
    <t>bill@picobrew.com</t>
  </si>
  <si>
    <t>2121 North 35th Street</t>
  </si>
  <si>
    <t>info@picobrew.com</t>
  </si>
  <si>
    <t>The company was planning to raise $50,000 of product crowdfunding via Kickstarter on May 16, 2018. Subsequently, the deal was cancelled.</t>
  </si>
  <si>
    <t>Goodworks Ventures, Spring Creek Investment Management, ZX Ventures</t>
  </si>
  <si>
    <t>Goodworks Ventures(www.goodworksventures.com), ZX Ventures(www.zx-ventures.com)</t>
  </si>
  <si>
    <t>55015-30</t>
  </si>
  <si>
    <t>Photon (Entertainment Software)</t>
  </si>
  <si>
    <t>Photon Cloud</t>
  </si>
  <si>
    <t>Nextpeer, Oh BiBi, Improbable, GameSparks, PlayFab</t>
  </si>
  <si>
    <t>Developer of mobile gaming platform designed to simplify development of multiplayer games. The company's mobile gaming platform is fast, reliable and scalable, enabling users to easily add multiplayer to their games.</t>
  </si>
  <si>
    <t>gaming platform, mobile gaming platform, multiplayer gaming platform, online games</t>
  </si>
  <si>
    <t>www.photonengine.com</t>
  </si>
  <si>
    <t>2014: 12, 2016: 15</t>
  </si>
  <si>
    <t>42844-06P</t>
  </si>
  <si>
    <t>Christof Wegmann</t>
  </si>
  <si>
    <t>christof.wegmann@exitgames.com</t>
  </si>
  <si>
    <t>+49 (0)40 4135 960</t>
  </si>
  <si>
    <t>Hongkongstr. 7</t>
  </si>
  <si>
    <t>20457</t>
  </si>
  <si>
    <t>The company raised venture funding from undisclosed investors on April 14, 2014.</t>
  </si>
  <si>
    <t>Smac Partners</t>
  </si>
  <si>
    <t>Bertelsmann Digital Media Investments, Neuhaus Partners</t>
  </si>
  <si>
    <t>Smac Partners(www.smacpartners.com)</t>
  </si>
  <si>
    <t>Bertelsmann Digital Media Investments(www.bdmifund.com), Neuhaus Partners(www.neuhauspartners.com)</t>
  </si>
  <si>
    <t>163952-02</t>
  </si>
  <si>
    <t>PHM Technology</t>
  </si>
  <si>
    <t>PHMT</t>
  </si>
  <si>
    <t>Developer of a model-based simulation software intended to enhance the engineering tools for the design, safety, reliability and health management of complex systems. The company's software provides a platform which allows engineering teams to create a functional model of a system and then simulate how potential failure modes would propagate through the system to quantify their potential impact and recommend an optimal placement of sensors to mitigate their occurrence, enabling clients to increase their global standard for engineering decision.</t>
  </si>
  <si>
    <t>Automation/Workflow Software, Business/Productivity Software*, Other Commercial Products, Social/Platform Software</t>
  </si>
  <si>
    <t>engineering risk management, engineering software, engineering support software, engineering tools, model based software</t>
  </si>
  <si>
    <t>www.phmtechnology.com</t>
  </si>
  <si>
    <t>143736-49P</t>
  </si>
  <si>
    <t>Chris Stecki</t>
  </si>
  <si>
    <t>cstecki@phmtechnology.com</t>
  </si>
  <si>
    <t>+61 (0)4 0941 9246</t>
  </si>
  <si>
    <t>9/120 Queens Parade</t>
  </si>
  <si>
    <t>North Fitzroy</t>
  </si>
  <si>
    <t>3068</t>
  </si>
  <si>
    <t>+61 (0)3 9482 2007</t>
  </si>
  <si>
    <t>The company raised an undisclosed amount of Series A venture funding from Siemens Venture Capital on April 12, 2017.</t>
  </si>
  <si>
    <t>Maritime, Next47</t>
  </si>
  <si>
    <t>54113-95</t>
  </si>
  <si>
    <t>PharmaIN</t>
  </si>
  <si>
    <t>Provider of a drug delivery technology intended to leverage Active Pharmaceutical Ingredient (API). The company's drug delivery technology uses a proprietary platform Protected Graft Copolymer technology has been proven to increase efficacy, reduce toxicity, extend circulating half-life and enable targeted tissue accumulation for both therapeutic and imaging agents, enabling healthcare industry to deliver superior products for known targets.</t>
  </si>
  <si>
    <t>Drug Delivery</t>
  </si>
  <si>
    <t>Biotechnology, Drug Delivery*</t>
  </si>
  <si>
    <t>drugs delivery platform, drugs delivery technology, formulation development, injectable therapeutic</t>
  </si>
  <si>
    <t>www.pharmain.com</t>
  </si>
  <si>
    <t>2014: 11, 2016: 11</t>
  </si>
  <si>
    <t>44583-13P</t>
  </si>
  <si>
    <t>Elijah Bolotin</t>
  </si>
  <si>
    <t>President, Chief Executive Officer, Board Member &amp; Founder</t>
  </si>
  <si>
    <t>ebolotin@pharmain.com</t>
  </si>
  <si>
    <t>+1 (206) 860-6769</t>
  </si>
  <si>
    <t>11812 North Creek Parkway North</t>
  </si>
  <si>
    <t>+1 (206) 568-1450</t>
  </si>
  <si>
    <t>contactus@pharmain.com</t>
  </si>
  <si>
    <t>The company raised $1.5 million of Series B venture funding from Asahi Kasei Corporate Venture Capital and other undisclosed investors on May 14, 2014, putting the pre-money valuation at $21.75 million. Earlier, the company received $9.02 million of grant funding from National Institutes of Health and U.S. Department of Health and Human Services in 2014.</t>
  </si>
  <si>
    <t>Asahi Kasei Corporate Venture Capital, IllinoisVENTURES, National Institutes of Health, U.S. Department of Health and Human Services</t>
  </si>
  <si>
    <t>Asahi Kasei Corporate Venture Capital(www.asahikaseiventures.com), IllinoisVENTURES(www.illinoisventures.com), National Institutes of Health(www.nih.gov), U.S. Department of Health and Human Services(hhs.gov)</t>
  </si>
  <si>
    <t>65994-85</t>
  </si>
  <si>
    <t>PetCoach</t>
  </si>
  <si>
    <t>Pawshake, DogVacay, KRY, JustAnswer, Pod Trackers, Bark (Application Software)</t>
  </si>
  <si>
    <t>Developer of a mobile healthcare application for pet owners. The company offers a digital pet platform that enables users to access instant free advice from verified vets, trainers and other pet experts. It also enables users to keep track of their pet's health at all times, and connect with their own veterinarian from their own home.</t>
  </si>
  <si>
    <t>HealthTech, Mobile, Pet Technology, TMT</t>
  </si>
  <si>
    <t>online mobile application, pet care application, pet health, veterinarian advice</t>
  </si>
  <si>
    <t>www.petcoach.co</t>
  </si>
  <si>
    <t>Petco</t>
  </si>
  <si>
    <t>Wayne, PA</t>
  </si>
  <si>
    <t>100 East Lancaster Avenue</t>
  </si>
  <si>
    <t>Suite 303</t>
  </si>
  <si>
    <t>Wayne</t>
  </si>
  <si>
    <t>19087</t>
  </si>
  <si>
    <t>info@petcoach.co</t>
  </si>
  <si>
    <t>The company was acquired by Petco, via its financial sponsor Canada Pension Plan Investment Board and CVC Capital Partners, through an LBO on April 4, 2017 for an undisclosed sum. The acquisition will help Petco exceed the ever-changing digital expectations of the modern pet parent.</t>
  </si>
  <si>
    <t>Brock Weatherup, Comcast Ventures, DreamIt Ventures, Maveron, Pet360, PetMD</t>
  </si>
  <si>
    <t>Canada Pension Plan Investment Board, CVC Capital Partners</t>
  </si>
  <si>
    <t>Comcast Ventures(www.comcastventures.com), DreamIt Ventures(www.dreamit.com), Maveron(www.maveron.com), Pet360(www.pet360.com), PetMD(www.petmd.com)</t>
  </si>
  <si>
    <t>Canada Pension Plan Investment Board(www.cppib.com), CVC Capital Partners(www.cvc.com)</t>
  </si>
  <si>
    <t>52709-41</t>
  </si>
  <si>
    <t>Personify</t>
  </si>
  <si>
    <t>Nuvixa</t>
  </si>
  <si>
    <t>Provider of teleportation platform designed to create a better and more personal way for people to interact with each other using video. The company's teleportation platform allows developers with powerful set of capabilities to embed immersive user video directly into their applications enabling them to create experiences that enable immersive video communication as a seamless part of the application experience.</t>
  </si>
  <si>
    <t>teleportation, teleportation platform, video chat, video communication, video conference, virtual teleportation</t>
  </si>
  <si>
    <t>www.personifyinc.com</t>
  </si>
  <si>
    <t>2013: 23, 2014: 28, 2015: 32, 2018: 7</t>
  </si>
  <si>
    <t>38551-87P</t>
  </si>
  <si>
    <t>Sanjay Patel</t>
  </si>
  <si>
    <t>sanjay@personifyinc.com</t>
  </si>
  <si>
    <t>+1 (415) 782-2050</t>
  </si>
  <si>
    <t>220 West Huron Street</t>
  </si>
  <si>
    <t>60654</t>
  </si>
  <si>
    <t>info@personifyinc.com</t>
  </si>
  <si>
    <t>The company was acquired by Jaunt for an undisclosed amount on September 10, 2018. The acquisition will enable Jaunt to continue enhancing their a B2B solution for brands and publishers to create and distribute augmented, virtual and mixed.</t>
  </si>
  <si>
    <t>Jaunt</t>
  </si>
  <si>
    <t>AMD Ventures, Catapult Chicago, Central Illinois Angels, IllinoisVENTURES, Intel Capital, Lanza techVentures, Liberty Global Ventures, Serra Ventures</t>
  </si>
  <si>
    <t>AMD Ventures(amdventures.com), Catapult Chicago(www.catapultchicago.com), Central Illinois Angels(www.centralillinoisangels.com), IllinoisVENTURES(www.illinoisventures.com), Intel Capital(www.intelcapital.com), Lanza techVentures(www.lanzatechventures.com), Serra Ventures(www.serraventures.com)</t>
  </si>
  <si>
    <t>Bridgepoint Consulting(Consulting), Walker Sands Communications(Advisor: Communications)</t>
  </si>
  <si>
    <t>184101-49</t>
  </si>
  <si>
    <t>Persona (Vitamin Supplements)</t>
  </si>
  <si>
    <t>Vitamin Packs</t>
  </si>
  <si>
    <t>Provider of a next generation subscription-based platform intended to supply vitamin supplements. The company's platform analyzes peer-reviewed scientific studies, more than 650 potential medication interactions and input provided by the customer to recommend a monthly, personalized supplement package, enabling customers to get personalized supplements for 28-day at doorstep.</t>
  </si>
  <si>
    <t>Other Consumer Non-Durables</t>
  </si>
  <si>
    <t>Other Consumer Non-Durables*, Other Healthcare, Social/Platform Software</t>
  </si>
  <si>
    <t>E-Commerce, LOHAS &amp; Wellness</t>
  </si>
  <si>
    <t>health supplements distribution, subscription-based boxes, subscription-based platform, vitamins subscription service</t>
  </si>
  <si>
    <t>www.personanutrition.com</t>
  </si>
  <si>
    <t>2017: 11</t>
  </si>
  <si>
    <t>168002-65P</t>
  </si>
  <si>
    <t>Jason Brown</t>
  </si>
  <si>
    <t>jason@vitaminpacks.com</t>
  </si>
  <si>
    <t>+1 (800) 983-3887</t>
  </si>
  <si>
    <t>Snoqualmie, WA</t>
  </si>
  <si>
    <t>7713 Center Boulevard South East</t>
  </si>
  <si>
    <t>Snoqualmie</t>
  </si>
  <si>
    <t>98065</t>
  </si>
  <si>
    <t>info@personanutrition.com</t>
  </si>
  <si>
    <t>The company closed on $4.5 million of a planned $5 million of development capital from undisclosed investors on December 11, 2018. Previously, the company received $7.14 million of series A1 development capital from BrandProject, Emil Capital Partners and L Catterton on August 29, 2018. As a part of the transaction, Silicon Valley Bank provided loan financing to support the deal. The funds will be used to support the rapid growth of the company's unique personalized vitamin subscription service. The company is being actively tracked by PitchBook.</t>
  </si>
  <si>
    <t>BrandProject, Emil Capital Partners, L Catterton</t>
  </si>
  <si>
    <t>BrandProject(www.brandproject.com), Emil Capital Partners(www.emilcapitalpartners.com), L Catterton(www.lcatterton.com)</t>
  </si>
  <si>
    <t>Indiegogo(Lead Manager or Arranger), Silicon Valley Bank(Debt Financing)</t>
  </si>
  <si>
    <t>65936-98</t>
  </si>
  <si>
    <t>PersistIQ</t>
  </si>
  <si>
    <t>CycleIO</t>
  </si>
  <si>
    <t>Hatchbuck, Outreach, Pipedrive, Salesfusion, Yesware, Autopilot, Act-On, SalesLoft, ChatBook, Tenfold, Growbots, Chorus, Growth Intelligence, Saepio Technologies, GrowthGenius, DATAlovers, ConnectLeader, Demandbase, RingDNA, Reactful, Agile CRM, Radius (Database Software), MarcomCentral, Sales Beach, PipelineDeals, Bronto Software, Sendbloom, Apollo (business intelligence platform), Sellsy, Clearbit, ReachForce, SugarCRM, Conversica, Marketo, Signpost, Prospect (sales), HG Insights, SalesHood, LeadGenius, InsideSales.com, Datanyze, Unomy, Retail Solutions, HubSpot, Elateral, ActiveCampaign</t>
  </si>
  <si>
    <t>Developer of a sales automation software intended to unify sales communication and workflow into one easy to use system. The company's software helps to shorten the sales cycle by syncing emails to capture duplicates and remove them from the marketing campaign, enabling enterprises to easily personalize each and every campaign, making it more effective with outbound sales.</t>
  </si>
  <si>
    <t>drip marketing campaign, marketing campaign, sales automation, sales automation software, sync email</t>
  </si>
  <si>
    <t>www.persistiq.com</t>
  </si>
  <si>
    <t>2014: 2, 2015: 8</t>
  </si>
  <si>
    <t>37146-25P</t>
  </si>
  <si>
    <t>Pouyan Salehi</t>
  </si>
  <si>
    <t>pouyan@persistiq.com</t>
  </si>
  <si>
    <t>31 North San Mateo Drive</t>
  </si>
  <si>
    <t>hello@persistiq.com</t>
  </si>
  <si>
    <t>The company raised $1.7 million of seed funding from Salesforce Ventures, Point Nine Capital and FundersClub on July 30, 2015. Florence Venture Partners, Y Combinator, Paul Holliman, Robert Wuttke, Brian Trautschold, Mark A Scianna and Matt Brezina also participated in the round. Previously, the company joined Y Combinator as a part of the Summer 2014 Class and received $120,000 in funding on August 19, 2014.</t>
  </si>
  <si>
    <t>Brian Trautschold, Florence Venture Partners, FundersClub, Mark Scianna, Matthew Brezina, Paul Holliman, Point Nine Capital, Robert Wuttke, Salesforce Ventures, Y Combinator, Zillionize</t>
  </si>
  <si>
    <t>Florence Venture Partners(www.florencevp.com), FundersClub(www.fundersclub.com), Matthew Brezina(www.mattbrezina.com), Point Nine Capital(www.pointninecap.com), Y Combinator(www.ycombinator.com), Zillionize(www.zillionize.com)</t>
  </si>
  <si>
    <t>156932-11</t>
  </si>
  <si>
    <t>Perksy</t>
  </si>
  <si>
    <t>Developer of consumer insights platform intended to reach the desired audience instantly. The company's platform creates custom research questions and conducts detailed analysis to deliver hyper-targeted, hyperlocal, behavioral and social insights from Millennials and Gen-Z to brands in real-time, enabling brands to get critical insights from their market easily and effectively.</t>
  </si>
  <si>
    <t>consumer feedback, consumer insights provider, consumer insights services, customer feedback system, customer survey platform, survey platform</t>
  </si>
  <si>
    <t>www.getperksy.com</t>
  </si>
  <si>
    <t>2019: 14</t>
  </si>
  <si>
    <t>132690-70P</t>
  </si>
  <si>
    <t>Nadi Masri</t>
  </si>
  <si>
    <t>nadia@getperksy.com</t>
  </si>
  <si>
    <t>48 Wall Street</t>
  </si>
  <si>
    <t>The company joined Target + METRO Retail Accelerator's summer program on May 6, 2019 and received $120,000 in funding. Previously, company raised $4 million through the combination of Seed funding in a deal led by Bain Capital Ventures on February 4, 2019, putting the company's pre-money valuation at $11 million. MDC Ventures, GingerBread Capital, Sinai Ventures, Founder Collective, Torch Capital and Marcy Simon also participated in the round. The funds will be used to continue innovating market research, incorporating in-store elements and to build out her team of 14.</t>
  </si>
  <si>
    <t>Bain Capital Ventures, Founder Collective, GingerBread Capital, Marcy Simon, MDC Ventures, Sinai Ventures, Target + METRO Retail Accelerator, Torch Capital</t>
  </si>
  <si>
    <t>Bain Capital Ventures(www.baincapitalventures.com), Founder Collective(www.foundercollective.com), GingerBread Capital(www.gingerbreadcap.com), MDC Ventures(www.mdcventures.vc), Sinai Ventures(www.sinaivc.com), Target + METRO Retail Accelerator(metro-target-accelerator.com), Torch Capital(www.torchcapital.vc)</t>
  </si>
  <si>
    <t>186473-98</t>
  </si>
  <si>
    <t>Perceptive Automata</t>
  </si>
  <si>
    <t>TrueMotion, Cambridge Mobile Telematics, Intelligent Mechatronic Systems, Azuga, Tourmaline Labs</t>
  </si>
  <si>
    <t>Provider of a human behavior prediction software intended to help autonomous systems to anticipate human reactions so they can navigate safely and smoothly around pedestrians, cyclists and other drivers. The company's software helps autonomous systems to safely and seamlessly integrate into a human-dominated road environment and to enable a smooth ride experience for passengers of automated mobility services, enabling vehicles to predict and understand human behavior to help safely achieve the large-scale rollout of highly-automated vehicles (L2/3) and fully-autonomous driving systems (L4/5).</t>
  </si>
  <si>
    <t>Application Software*, Automotive, Other Hardware</t>
  </si>
  <si>
    <t>Artificial Intelligence &amp; Machine Learning, Autonomous cars, Big Data, SaaS, TMT</t>
  </si>
  <si>
    <t>automated drives systems, human behavior prediction, human-dominated environments, next generation artificial intelligence based machine, next generation artificial intelligence based machine control platform</t>
  </si>
  <si>
    <t>www.perceptiveautomata.com</t>
  </si>
  <si>
    <t>170993-89P</t>
  </si>
  <si>
    <t>Sid Misra</t>
  </si>
  <si>
    <t>sid@perceptiveautomata.com</t>
  </si>
  <si>
    <t>Somerville, MA</t>
  </si>
  <si>
    <t>230 Somerville Avenue</t>
  </si>
  <si>
    <t>Somerville</t>
  </si>
  <si>
    <t>02143</t>
  </si>
  <si>
    <t>contact@perceptiveautomata.com</t>
  </si>
  <si>
    <t>The company raised $16 million of Series A venture funding in a deal led by JAZZ Venture Partners on October 9, 2018, putting the company's pre-money valuation at $42 million. Toyota AI Ventures, Hyundai CRADLE, Slow Ventures, and First Round Capital and other undisclosed investors also participated in the round. The company intends to use the funds to recruit engineers to further refine its human intuition AI software for global markets and to grow product development and customer implementation teams. Prior to that, the company raised $3 million of seed funding in a deal led by First Round Capital on July 10, 2018. Level Ventures, Slow Ventures, JAZZ Venture Partners and Osage University Partners also participated in the round.</t>
  </si>
  <si>
    <t>BMW Group, First Round Capital, Harvard Innovation Launch Lab, Hyundai CRADLE, JAZZ Venture Partners, Level.VC, National Science Foundation, Osage University Partners, Slow Ventures, Toyota AI Ventures</t>
  </si>
  <si>
    <t>BMW Group(www.bmwgroup.com), First Round Capital(www.firstround.com), Harvard Innovation Launch Lab(innovationlabs.harvard.edu/harvard-launch-lab), Hyundai CRADLE(www.cradleinc.com), JAZZ Venture Partners(www.jazzvp.com), Level.VC(www.levelvc.com), National Science Foundation(seedfund.nsf.gov), Osage University Partners(www.oup.vc), Slow Ventures(www.slow.co), Toyota AI Ventures(www.toyota-ai.ventures)</t>
  </si>
  <si>
    <t>171169-39</t>
  </si>
  <si>
    <t>PerceptIn</t>
  </si>
  <si>
    <t>Trifo</t>
  </si>
  <si>
    <t>Pilot AI, Lightmatter, Nervana Systems, LeapMind, DeePhi</t>
  </si>
  <si>
    <t>Developer of artificial intelligence based visual intelligence system created to improve robotic vision. The company's visual intelligence system combines multiple types of sensors with accurate hardware synchronization and an embedded, low-cost, low-power efficient computing system, enabling visual perception for as many robots as possible, from IoT-grade robots to higher-end autonomous vehicles.</t>
  </si>
  <si>
    <t>Artificial Intelligence &amp; Machine Learning, Autonomous cars, Internet of Things, Robotics and Drones, TMT</t>
  </si>
  <si>
    <t>artificial intelligence robots, deep learning proprietary, hardware synchronization, multi sensor computing, robotics computing platform, robotization</t>
  </si>
  <si>
    <t>www.perceptin.io</t>
  </si>
  <si>
    <t>2017: 20, 2018: 40</t>
  </si>
  <si>
    <t>158290-21P</t>
  </si>
  <si>
    <t>Zhe Zhang</t>
  </si>
  <si>
    <t>zhe.zhang@perceptin.io</t>
  </si>
  <si>
    <t>info@perceptin.io</t>
  </si>
  <si>
    <t>The company raised $11 million of venture funding in a deal led by Tsinghua University Education Foundation on November 9, 2018. The company will use the proceeds to build the next generation of smart home robots. Previously, the company raised $1 million of venture funding from Samsung Venture Investment on an undisclosed date. Prior to this, the company raised $8 million of Series A venture funding in a deal led by Matrix Partners China on December 6, 2017, putting the company's pre-money valuation at $20 million. Samsung Venture Investment, Walden International and TSVC also participated in the round.</t>
  </si>
  <si>
    <t>Matrix Partners China, Samsung Venture Investment, Tsinghua University Education Foundation, TSVC, Walden International</t>
  </si>
  <si>
    <t>Matrix Partners China(www.matrixpartners.cn), Samsung Venture Investment(www.samsungventures.com), Tsinghua University Education Foundation(www.tsinghua.edu.cn/publish/jjhen/index.html), TSVC(www.tsvcap.com), Walden International(www.waldenintl.com)</t>
  </si>
  <si>
    <t>61416-37</t>
  </si>
  <si>
    <t>Penthera</t>
  </si>
  <si>
    <t>Berger Leinhardt Technologies, ABSL</t>
  </si>
  <si>
    <t>T-21 Technologies, Aviwest, VBrick Systems, TVU Networks, ThePlatform</t>
  </si>
  <si>
    <t>Provider of download-to-go (D2Go) software intended to be used for video streaming. The company's software develops and deploys software products facilitating the delivery of TV shows, movies and other video content over wireless networks to mobile devices, enabling network providers, content owners, network operators, device manufacturers and other entities to deliver media content securely, reliably and verifiably to their customers and employees.</t>
  </si>
  <si>
    <t>Broadcasting, Radio and Television*, Movies, Music and Entertainment</t>
  </si>
  <si>
    <t>mobile broadcast multimedia, multichannel video distributor, network connectivity software, online video streaming, portable video software</t>
  </si>
  <si>
    <t>www.penthera.com</t>
  </si>
  <si>
    <t>2014: 15, 2015: 11</t>
  </si>
  <si>
    <t>61018-03P</t>
  </si>
  <si>
    <t>John Coughlan</t>
  </si>
  <si>
    <t>john.coughlan@penthera.com</t>
  </si>
  <si>
    <t>+1 (760) 515-2085</t>
  </si>
  <si>
    <t>1177 6th Avenue, 5th Floor</t>
  </si>
  <si>
    <t>contact@penthera.com</t>
  </si>
  <si>
    <t>The company raised $6.43 million of venture funding in a deal led by Liberty Global Ventures on October 10, 2017. The proceeds will be used to expand the company's worldwide sales efforts and accelerate the development of new products and enhancements to existing products. Previously, the company raised $663,457 of venture funding from undisclosed investors on May 26, 2017.</t>
  </si>
  <si>
    <t>Deborah Midanek, Innovation Works, ITU Ventures, Kevin Joseph, Liberty Global Ventures, Modeo, Warburg Pincus</t>
  </si>
  <si>
    <t>Innovation Works(www.innovationworks.org), ITU Ventures(www.itu.com), Modeo(www.modeo.com), Warburg Pincus(www.warburgpincus.com)</t>
  </si>
  <si>
    <t>53855-02</t>
  </si>
  <si>
    <t>Pentalum</t>
  </si>
  <si>
    <t>Developer of a light detection and ranging system intended to be used for remote sensing of wind. The company's system develops a sensor system which has applications for wind resource assessment, wind farm operation optimization and wind forecasting, enabling clients to avail enhanced systems to increase profitability and reduce uncertainty.</t>
  </si>
  <si>
    <t>Alternative Energy Equipment, Electrical Equipment, Other Commercial Products*, Other Utilities</t>
  </si>
  <si>
    <t>remote sensing, remote sensor, sensor system, wind forecasting, wind resources assessment</t>
  </si>
  <si>
    <t>www.pentalum.com</t>
  </si>
  <si>
    <t>40251-25P</t>
  </si>
  <si>
    <t>Sagie Tsadka</t>
  </si>
  <si>
    <t>sagie@pentalum.com</t>
  </si>
  <si>
    <t>+972 (0)72 247 9888</t>
  </si>
  <si>
    <t>Rehovot, Israel</t>
  </si>
  <si>
    <t>12 Eli Hurvitz Street</t>
  </si>
  <si>
    <t>Ben Zion Horovitz Park</t>
  </si>
  <si>
    <t>Rehovot</t>
  </si>
  <si>
    <t>76000</t>
  </si>
  <si>
    <t>+972 (0)72 247 9887</t>
  </si>
  <si>
    <t>info@pentalum.com</t>
  </si>
  <si>
    <t>The company raised $1 million of venture funding from Draper Fisher Jurvetson and other undisclosed investors on April 2, 2016.</t>
  </si>
  <si>
    <t>ABB Technology Ventures, BIRD Foundation, Bright Capital, Cedar Fund, Draper Fisher Jurvetson Management, Evergreen Venture Partners, GE Ventures, Israel's Ministry of National Infrastructure, Energy and Water Resources, U.S. Department of Energy</t>
  </si>
  <si>
    <t>BIRD Foundation(www.birdf.com), Bright Capital(www.bright-capital.com), Cedar Fund(www.cedarfund.com), Draper Fisher Jurvetson Management(www.dfj.com), Evergreen Venture Partners(www.evergreen.co.il), GE Ventures(www.geventures.com), U.S. Department of Energy(www.energy.gov)</t>
  </si>
  <si>
    <t>226616-86</t>
  </si>
  <si>
    <t>Pensa Systems</t>
  </si>
  <si>
    <t>Pensa</t>
  </si>
  <si>
    <t>HighJump, Profitect, Arago, Ometria</t>
  </si>
  <si>
    <t>Developer of retail inventory system designed to offer physical inventory visibility at any point in time. The company's system automatically and systematically tracks in-store inventory, using advanced computer vision, patent-pending artificial intelligence and autonomous drones to see and understand what is on store shelves, enabling brands and retailers to minimize stockouts, optimize product planning and increase revenue.</t>
  </si>
  <si>
    <t>Aerospace and Defense, Business/Productivity Software*, Logistics</t>
  </si>
  <si>
    <t>Artificial Intelligence &amp; Machine Learning, Big Data, Industrials, Robotics and Drones, TMT</t>
  </si>
  <si>
    <t>autonomous machine perception, autonomous perception systems, computer vision tools, inventory automation, machine perception systems, online inventory, supply chain optimization</t>
  </si>
  <si>
    <t>www.pensasystems.com</t>
  </si>
  <si>
    <t>186043-42P</t>
  </si>
  <si>
    <t>Richard Schwartz</t>
  </si>
  <si>
    <t>richard@pensasystems.com</t>
  </si>
  <si>
    <t>4704 East Cesar Chavez Street</t>
  </si>
  <si>
    <t>Building B, Suite 6</t>
  </si>
  <si>
    <t>78702</t>
  </si>
  <si>
    <t>info@pensasystems.com</t>
  </si>
  <si>
    <t>The company raised $5 million of Series A seed funding in a deal led by Signia Venture Partners on January 13, 2019, putting the company's pre-money valuation at $12.5 million. Anheuser-Busch InBev, ZX Ventures, Commerce Ventures, ATX Seed Ventures, REVTECH Accelerator, Capital Factory, Yechiam Yemini and Mick Mountz also participated in the round.The funds will be used by the company to accelerate deployment of its system for retail inventory visibility and store trials with large retailers and CPG brands in North America and abroad.</t>
  </si>
  <si>
    <t>ATX Venture Partners, Capital Factory, Commerce Ventures, Mick Mountz, REVTECH Accelerator, Signia Venture Partners, Yechiam Yemini, ZX Ventures</t>
  </si>
  <si>
    <t>ATX Venture Partners(www.atxventurepartners.com), Capital Factory(www.capitalfactory.com), Commerce Ventures(www.commercevc.com), REVTECH Accelerator(www.venturespur.com), Signia Venture Partners(www.signiaventurepartners.com), ZX Ventures(www.zx-ventures.com)</t>
  </si>
  <si>
    <t>96538-33</t>
  </si>
  <si>
    <t>Pendo</t>
  </si>
  <si>
    <t>ContentSquare, Kahuna, UserIQ, WebEngage, Strikedeck, MoEngage, Whatfix, Platfora, Unbxd, mParticle, Bolstra, Gainsight, Localytics, Nanorep, WalkMe, Certona, Elevio, Optimizely, AnswerDash, Ancile Solutions, Appcues, Astronomer, Chameleon (Media and Information Services), Amplitude, Monetate, Salesforce, Toonimo, Dynamic Yield, SLI Systems, Zoovu, Aptrinsic, Totango, Cloud.IQ, Wylei, CleverTap, Rio SEO, Userlane, Fresh Relevance, Apptus Technologies, Natero, Leanplum, DataStax, MixPanel, Segment, DeepUI, Segmentify, Evergage, trbo, BloomReach, Reflektion, Adtelligence, Iridize, Qubit (Social/Platform Software), Cien, Framed Data, Listrak, Ometria, Intercom, AgilOne, Zembula, ClientSuccess, Sailthru</t>
  </si>
  <si>
    <t>Developer of a cloud-based product experience platform designed to increases trial conversions and accelerates time to value. The company's platform includes features to capture user activity and provide analysis, collect user feedback, monitor satisfaction and personalize user guidance, enabling companies to measure and elevate the customer experience within their applications.</t>
  </si>
  <si>
    <t>cloud-based product platform, customer understanding platform, in-app messaging, pragmatic marketing framework, product engagement, product experience platform</t>
  </si>
  <si>
    <t>www.pendo.io</t>
  </si>
  <si>
    <t>2014: 6, 2015: 15, 2017: 163, 2018: 285, 2019: 337</t>
  </si>
  <si>
    <t>35680-33P</t>
  </si>
  <si>
    <t>Todd Olson</t>
  </si>
  <si>
    <t>todd@pendo.io</t>
  </si>
  <si>
    <t>+1 (877) 320-8484</t>
  </si>
  <si>
    <t>150 Fayetteville Street</t>
  </si>
  <si>
    <t>27601</t>
  </si>
  <si>
    <t>The company raised $50 million of Series D venture funding in a deal led by Sapphire Ventures on September 12, 2018, putting the company's pre-money valuation at $450 million. Contour Venture Partners, Battery Ventures, Spark Capital, Meritech Capital Partners, Geodesic Capital, Cross Creek Advisors and FirstMark Capital also participated in the round. The fund will be used for company's expansion in Europe and Asia, boost sales, marketing and research and development and continue its expansion into enterprise markets. The round brings total funding to date to $106 million.</t>
  </si>
  <si>
    <t>Battery Ventures, Contour Venture Partners, Core Capital Partners, Cross Creek, Dingman Center Angels, Elevate Innovation Partners, FirstMark Capital, Geodesic Capital, IDEA Fund Partners, Meritech Capital Partners, Salesforce Ventures, Sapphire Ventures, Spark Capital</t>
  </si>
  <si>
    <t>Battery Ventures(www.battery.com), Contour Venture Partners(www.contourventures.com), Core Capital Partners(www.core-capital.com), Cross Creek(www.crosscreek.vc), Elevate Innovation Partners(www.eipfund.com), FirstMark Capital(www.firstmarkcap.com), Geodesic Capital(www.geodesiccap.com), IDEA Fund Partners(www.ideafundpartners.com), Meritech Capital Partners(www.meritechcapital.com), Sapphire Ventures(www.sapphireventures.com), Spark Capital(www.sparkcapital.com)</t>
  </si>
  <si>
    <t>Comerica Bank(General Business Banking), FutureEngine(Consulting), Wyrick Robbins Yates &amp; Ponton(Legal Advisor)</t>
  </si>
  <si>
    <t>Gunderson Dettmer(Legal Advisor), Wyrick Robbins Yates &amp; Ponton(Legal Advisor)</t>
  </si>
  <si>
    <t>99452-53</t>
  </si>
  <si>
    <t>Peloton Technology</t>
  </si>
  <si>
    <t>Peloton</t>
  </si>
  <si>
    <t>Developer of an automated vehicle technology designed to improve the U.S. and global freight transportation. The company's Peloton System utilizes vehicle-to-vehicle communications and radar-based active braking systems, combined with vehicle control algorithms to link pairs of heavy trucks that dynamically limits platooning to appropriate roads and conditions, enabling its customers from the truck industry to improve safety and fuel efficiency of trucks.</t>
  </si>
  <si>
    <t>Other Transportation</t>
  </si>
  <si>
    <t>Logistics, Other Software, Other Transportation*</t>
  </si>
  <si>
    <t>automated vehicle, collision mitigation systems, communication system, connected brake, connected brake &amp; acceleration, safety system, truck platooning</t>
  </si>
  <si>
    <t>www.peloton-tech.com</t>
  </si>
  <si>
    <t>2014: 13, 2015: 24</t>
  </si>
  <si>
    <t>84719-62P</t>
  </si>
  <si>
    <t>Joshua Switkes</t>
  </si>
  <si>
    <t>josh@peloton-tech.com</t>
  </si>
  <si>
    <t>+1 (650) 395-7356</t>
  </si>
  <si>
    <t>info@peloton-tech.com</t>
  </si>
  <si>
    <t>The company raised $65.31 million of Series B1 and B2 venture funding in a deal led by Omnitracs on April 20, 2017, putting the pre-money valuation at $121.3 million. BP Ventures, Intel Capital, Densco International America, Castrol InnoVentures, Lockheed Martin, Nokia Growth Partners, UPS Strategic Enterprise Fund, B37 Ventures, Breakthrough Fuel, Volvo Group Capital, Sandhill Angels, Band of Angels, Birchmere Ventures, Grupo Bimbo, Mitsui, Okaya, Schlumberger, Xplorer Capital and US Ventures also participated in the round. The funds will be used to help the company scale up as it prepares bring its platooning system to market later this year.</t>
  </si>
  <si>
    <t>Amos Ben-Meir, B37 Ventures, Band of Angels, Birchmere Ventures, BP Ventures, Breakthrough Fuel, LLC, Denso International America, Gordon Chaffee, Grupo Bimbo, Innovation Camp, Intel Capital, Jonas Landstrom, Jonathan Tudor, Jun LI, Ken Arnold, Lockheed Martin, Lockheed Martin Ventures, Magna International, Michael Palmer, Mitsui &amp; Co., NGP Capital, Nicola Corzine, Okaya &amp; Company, Omnitracs, Prashant Aggarwal, Praveen Kumar, Sand Hill Angels, Sarosh Kumana, Schlumberger, Schlumberger Technology Investments, U.S. Venture, UPS Strategic Enterprise Fund, Volvo Group Venture Capital, Xplorer Capital</t>
  </si>
  <si>
    <t>Castrol InnoVentures</t>
  </si>
  <si>
    <t>B37 Ventures(www.b37.vc), Band of Angels(www.bandangels.com), Birchmere Ventures(www.birchmerevc.com), Breakthrough Fuel, LLC(learnmore-breakthroughfuel.com), Denso International America(www.densocorp-na.com), Grupo Bimbo(www.grupobimbo.com), Innovation Camp(www.icamp.ai), Intel Capital(www.intelcapital.com), Lockheed Martin(www.lockheedmartin.com), Magna International(www.magna.com), Mitsui &amp; Co.(www.mitsui.com), NGP Capital(www.ngpcap.com), Okaya &amp; Company(www.okaya.co.jp), Omnitracs(www.omnitracs.com), Sand Hill Angels(www.sandhillangels.com), Schlumberger(www.slb.com), U.S. Venture(www.usventure.com), Xplorer Capital(www.xplorer.vc)</t>
  </si>
  <si>
    <t>Castrol InnoVentures(www.castrolinnoventures.com)</t>
  </si>
  <si>
    <t>King &amp; Spalding(Legal Advisor), Montgomery &amp; Company(Advisor: General)</t>
  </si>
  <si>
    <t>52150-51</t>
  </si>
  <si>
    <t>Peel</t>
  </si>
  <si>
    <t>Developer of smart remote application designed to revolutionize home entertainment experience. The company's smart remote application sells a technology pack that controls home entertainment devices and turns a smartphone into a universal remote by integrating universal device control and live TV or streamed content discovery into one simple-to-use application, enabling users to control home gadgets with a single remote.</t>
  </si>
  <si>
    <t>Application Software*, Multimedia and Design Software</t>
  </si>
  <si>
    <t>entertainment device, iphone application, smartphone, universal remote</t>
  </si>
  <si>
    <t>www.peel.com</t>
  </si>
  <si>
    <t>2014: 52, 2015: 124</t>
  </si>
  <si>
    <t>37058-05P</t>
  </si>
  <si>
    <t>Thiru Arunachalam</t>
  </si>
  <si>
    <t>thiru@peel.com</t>
  </si>
  <si>
    <t>+1 (408) 429-9911</t>
  </si>
  <si>
    <t>321 Castro Street</t>
  </si>
  <si>
    <t>+1 (270) 721-6097</t>
  </si>
  <si>
    <t>help@peel.com</t>
  </si>
  <si>
    <t>The company raised $50 million of Series D venture funding from Alibaba Capital Partners on May 15, 2014, putting the company's pre-money valuation at $350 million. The funding will be used to expand it's operations internationally.</t>
  </si>
  <si>
    <t>Alibaba Capital Partners, Baseline Ventures, Gaurav Garg, Harrison Metal Capital, Individual Investor, Kapor Capital, Lightspeed Venture Partners, Redpoint Ventures, Samsung Venture Investment, TransLink Capital</t>
  </si>
  <si>
    <t>Alibaba Capital Partners(www.alibabacapital.com), Baseline Ventures(www.baselinev.com), Harrison Metal Capital(www.harrisonmetal.com), Kapor Capital(www.kaporcapital.com), Lightspeed Venture Partners(www.lsvp.com), Redpoint Ventures(www.redpoint.com), Samsung Venture Investment(www.samsungventures.com), TransLink Capital(www.translinkcapital.com)</t>
  </si>
  <si>
    <t>Calibre One(Consulting), Gunderson Dettmer(Legal Advisor), Inventus Law(Legal Advisor)</t>
  </si>
  <si>
    <t>55420-12</t>
  </si>
  <si>
    <t>Peek Travel</t>
  </si>
  <si>
    <t>Jive</t>
  </si>
  <si>
    <t>KKday, GetYourGuide Deutschland, My Real Trip, Tripfactory, Headout, AsiaYo, Triip, WeAreHolidays, Klook, Trip4real, LocalYoo, HolidayIQ, Cleartrip, Withlocals, SeekSherpa, FareHarbor, Musement</t>
  </si>
  <si>
    <t>Provider of an online travel booking platform designed to easily book activities such as tours, tastings and lessons. The company's online travel booking platform works with the quality vendors and experts who are handpicked to provide personalized selection of experiences that match the varied travel styles of customers which make places easily bookable online via computer, tablet or mobile phone and helps in making travel planning enjoyable, enabling users to book holiday destinations easily.</t>
  </si>
  <si>
    <t>Application Software*, Information Services (B2C), Other Restaurants, Hotels and Leisure</t>
  </si>
  <si>
    <t>destination books, online travel, travel planning</t>
  </si>
  <si>
    <t>www.peek.com</t>
  </si>
  <si>
    <t>2013: 20, 2015: 45, 2016: 80</t>
  </si>
  <si>
    <t>43659-82P</t>
  </si>
  <si>
    <t>Ruzwana Bashir</t>
  </si>
  <si>
    <t>ruzwana@peek.com</t>
  </si>
  <si>
    <t>+1 (855) 733-5872</t>
  </si>
  <si>
    <t>639 Front Street</t>
  </si>
  <si>
    <t>94115</t>
  </si>
  <si>
    <t>The company raised $33.47 million of Series B venture funding in a deal led by Cathay Innovation on August 1, 2018. I2BF Global Ventures, Fort Ross Ventures, Geoff Donaker, Paul English and Manta Ray also participated in the round. The company intends to use the funds to expand to Europe and China. Beast Ventures exited in this round.</t>
  </si>
  <si>
    <t>Al Hamra Group, Bradley Gerstner, CAA Ventures, Cameron Yuill, Carl Sparks, Caspian Venture Capital, Cathay Innovation, David Bonderman, DNS Capital, Eric Schmidt, Expansion Venture Capital, Fort Ross Ventures, Geoff Donaker, Great Oaks Venture Capital, Halogen Ventures, I2BF Global Ventures, Individual Investor, Innovation Endeavors, Jack Dorsey, Jaguarundi Partners, Jean Pritzker, JUMP Investors, Khosla Ventures, Manta Ray Ventures, Michael Pucker, Montage Ventures, NFX, Paul English, Pejman Nozad, Pete Flint, Raj Sandhu, Raymond Lane, Recruit Strategic Partners, SV Angel, Todd Kimmel, VGC Partners</t>
  </si>
  <si>
    <t>Beast Ventures</t>
  </si>
  <si>
    <t>Al Hamra Group(www.alhamragroup.ae), CAA Ventures(ventures.caa.com), Caspian Venture Capital(www.caspianvc.com), Cathay Innovation(www.cathayinnovation.com), DNS Capital(www.dnscap.com), Expansion Venture Capital(www.expansionvc.com), Fort Ross Ventures(www.fortross.vc), Great Oaks Venture Capital(www.greatoaksvc.com), Halogen Ventures(www.halogenvc.com), I2BF Global Ventures(www.i2bf.com), Innovation Endeavors(www.innovationendeavors.com), JUMP Investors(www.jumpinvestors.com), Khosla Ventures(www.khoslaventures.com), Manta Ray Ventures(mantaray.vc), Montage Ventures(www.montageventures.com), NFX(www.nfx.com), Paul English(www.paulenglish.com), Recruit Strategic Partners(recruitstrategicpartners.com), SV Angel(www.svangel.com), VGC Partners(www.vgcp.co.uk)</t>
  </si>
  <si>
    <t>Beast Ventures(www.beast.vc)</t>
  </si>
  <si>
    <t>53858-08</t>
  </si>
  <si>
    <t>Peach (Internet Retail)</t>
  </si>
  <si>
    <t>Zyrra, Peach Underneath</t>
  </si>
  <si>
    <t>Ruby Ribbon, Brayola, Eloquii Design, Plussizefix, Lively, True&amp;Company, Adore Me, ThirdLove</t>
  </si>
  <si>
    <t>Provider of an online clothing platform intended to provide best fitted lingerie and dresses. The company's platform uses mass-customization technology to make dresses comfortable, as well as offers seasonal collections for gym, work and play and on-trend accessories, enabling users to avail customized lingerie according to their body.</t>
  </si>
  <si>
    <t>Clothing, Internet Retail*, Social/Platform Software</t>
  </si>
  <si>
    <t>custom-fitted lingerie, customized lingerie, customized undergarments, intimate wear, lingerie and apparel</t>
  </si>
  <si>
    <t>www.discoverpeach.com</t>
  </si>
  <si>
    <t>2015: 20, 2016: 36</t>
  </si>
  <si>
    <t>39475-09P</t>
  </si>
  <si>
    <t>Janet Kraus</t>
  </si>
  <si>
    <t>janetkraus@peach.company</t>
  </si>
  <si>
    <t>+1 (617) 933-8945</t>
  </si>
  <si>
    <t>204 2nd Avenue</t>
  </si>
  <si>
    <t>info@discoverpeach.com</t>
  </si>
  <si>
    <t>The company raised $3.25 million of Series B venture funding from undisclosed investors and Emil Capital Partners on February 4, 2019, putting the company's pre-money valuation at $6.75 million.</t>
  </si>
  <si>
    <t>Accomplice VC, Alumni Ventures Group, Bodley Group, Emil Capital Partners, John Landry, Launchpad Venture Group, MassChallenge, Moodoos Investments, Morningside Group, NextView Ventures, Race Point Capital, Sean Black, William Herman</t>
  </si>
  <si>
    <t>Accomplice VC(www.accomplice.co), Alumni Ventures Group(www.avgfunds.com), Bodley Group(www.bodleygroup.com), Emil Capital Partners(www.emilcapitalpartners.com), Launchpad Venture Group(www.launchpadventuregroup.com), MassChallenge(www.masschallenge.org), Moodoos Investments(moodooslp.com), Morningside Group(www.morningside.com), NextView Ventures(www.nextviewventures.com), Race Point Capital(www.racepointcapital.com), William Herman(www.2-speed.com)</t>
  </si>
  <si>
    <t>Feinberg Hanson(Legal Advisor)</t>
  </si>
  <si>
    <t>90829-18</t>
  </si>
  <si>
    <t>Payworks</t>
  </si>
  <si>
    <t>PAY.ON, Limonetik, Stripe, PPRO Financial</t>
  </si>
  <si>
    <t>Provider of a Point of Sale payment gateway designed to transform payment system. The company's payment gateway is available across all operating systems and offer omnichannel card acceptance, as well as provides a full suite of developer tools to seamlessly integrate into systems such as loyalty programs and CRM, enabling merchants and payment providers to optimize the customer experience quickly and easily.</t>
  </si>
  <si>
    <t>Financial Software, Other IT Services, Social/Platform Software*</t>
  </si>
  <si>
    <t>FinTech, Mobile, Mobile Commerce, SaaS, TMT</t>
  </si>
  <si>
    <t>in-app payment, mobile payment, payment gateway, payment processing, point of sales payment gateway</t>
  </si>
  <si>
    <t>www.payworks.com</t>
  </si>
  <si>
    <t>2015: 15, 2018: 60</t>
  </si>
  <si>
    <t>106003-54P</t>
  </si>
  <si>
    <t>Christian Deger</t>
  </si>
  <si>
    <t>christian.deger@payworks.com</t>
  </si>
  <si>
    <t>+49 (0)89 4161 5840 0</t>
  </si>
  <si>
    <t>Dingolfinger Street 15</t>
  </si>
  <si>
    <t>81673</t>
  </si>
  <si>
    <t>+49 (0)89 4161 5840 1</t>
  </si>
  <si>
    <t>info@payworksmobile.com</t>
  </si>
  <si>
    <t>The company raised $14.5 million of Series B of venture funding from CommerzVentures, Visa Ventures and Speedinvest on February 14, 2018, putting the pre-money valuation at an estimated $46.9 million. Finparx and Pamela Patsley also participated in the round. The funding will be used to drive global growth and scale, focusing on increasing its R&amp;D and Product teams across offices in Munich, New York, London and Barcelona.</t>
  </si>
  <si>
    <t>Barikuta Partners, CommerzVentures, Daniel Keiper-Knorr, Erik Bovee, Finparx, Germany's Federal Ministry of Economics and Technology, HW Capital, Marcel van der Heijden, Markus Rinderer, Oliver Holle, Pamela Patsley, Rumford, Speedinvest, Visa Ventures, Werner Zahnt</t>
  </si>
  <si>
    <t>Barikuta Partners(www.barikuta.com), CommerzVentures(www.commerzventures.de), Finparx(www.finparx.com), HW Capital(www.hwcapital.de), Rumford(www.rumford-partners.com), Speedinvest(www.speedinvest.com)</t>
  </si>
  <si>
    <t>Financial Technology Partners(Advisor: General)</t>
  </si>
  <si>
    <t>155871-28</t>
  </si>
  <si>
    <t>Paystack (Financial Software)</t>
  </si>
  <si>
    <t>Judo (Payments Platform), Paytm, Venmo, Interpay Africa, Paymentwall, WePay, Hyperwallet Systems, Skrill, Payfirma, Pay and Shop, Flutterwave, Global Payout, CardFlight, US Bankcard Services, Wibmo, Fattmerchant, Spreedly, Payoneer, ROAM Data, BlueSnap, ZooZ, Payline Data, MineralTree, 2Checkout (Acquired), WorldPay (Global Payment Processing), Net Element, BluePay, PayPal Holdings, allpago, Boku, Stripe, Recurly, EBANX, Braintree, Klarna, Adyen</t>
  </si>
  <si>
    <t>Provider of an online payment processing platform intended to make online payments simple, secure and affordable. The company's platform connects all multi-channel payment options with merchants across the country helping them to accept payments from around the world via credit card, debit card and direct bank transfer on web and mobile, enabling businesses to accept payments from anyone, anywhere in the world.</t>
  </si>
  <si>
    <t>Application Software, Financial Software*, Social/Platform Software</t>
  </si>
  <si>
    <t>B2B Payments, FinTech, SaaS</t>
  </si>
  <si>
    <t>card based payment, multichannel payment, online payment, online payment processing platform, online transaction, virtual payment</t>
  </si>
  <si>
    <t>www.paystack.com</t>
  </si>
  <si>
    <t>2018: 29</t>
  </si>
  <si>
    <t>110873-35P</t>
  </si>
  <si>
    <t>Ezra Olubi</t>
  </si>
  <si>
    <t>ezra@paystack.com</t>
  </si>
  <si>
    <t>+234 (0)908 566 2909</t>
  </si>
  <si>
    <t>Lagos, Nigeria</t>
  </si>
  <si>
    <t>3A, Ladoke Akintola Street</t>
  </si>
  <si>
    <t>Ikeja GRA, Ikeja</t>
  </si>
  <si>
    <t>Lagos</t>
  </si>
  <si>
    <t>Nigeria</t>
  </si>
  <si>
    <t>hello@paystack.com</t>
  </si>
  <si>
    <t>Western Africa</t>
  </si>
  <si>
    <t>The company raised $10.20 million of Series A venture funding in a deal led by Stripe on September 6, 2018. Tencent Holdings, Visa Ventures, Y Combinator, Tom Stafford, Gbenga Oyebode, Dale Mathias and other undisclosed investors also participated in the round. The company intends to use the funds to accelerate its continental expansion, build out their payments infrastructure, and grow the engineering team.</t>
  </si>
  <si>
    <t>Blue Haven Initiative, Blue Rinc Capital, Comcast Ventures, Dale Mathias, DraperDarkFlow, Gbenga Oyebode, Google Developers Launchpad, Justin Kan, KIBS-CFY Partners, Leonard Stiegeler, M&amp;S Partners, Michael Siebel, Olumide Soyombo, Pave Investments, Singularity Investments, Spark Capital, Stripe, Tencent Holdings, Tokyo Founders Fund, Tom Stafford, Ventures Platform, Visa Ventures, Y Combinator</t>
  </si>
  <si>
    <t>Blue Haven Initiative(www.bluehaveninitiative.com), Blue Rinc Capital(www.bluerinccapital.com), Comcast Ventures(www.comcastventures.com), DraperDarkFlow(www.ddf.capital), Google Developers Launchpad(developers.google.com/programs/launchpad), Justin Kan(www.justinkan.com), Singularity Investments(www.singularityinvest.com), Spark Capital(www.sparkcapital.com), Stripe(www.stripe.com), Tencent Holdings(www.tencent.com), Tokyo Founders Fund(www.tokyofoundersfund.com), Ventures Platform(www.venturesplatform.com), Y Combinator(www.ycombinator.com)</t>
  </si>
  <si>
    <t>113370-76</t>
  </si>
  <si>
    <t>PayJoy</t>
  </si>
  <si>
    <t>ChargeAfter, Progressa, Affirm, Blispay</t>
  </si>
  <si>
    <t>Provider of consumer financing services designed to make smartphones affordable for everyone worldwide. The company's proposed solution allows customers to register at a local merchant with their facebook account, phone number and government issued identity, to choose a smartphone, make a deposit and finally select a 3, 6, 9, or 12 month payment plan,enabling customers to purchase phone on installment and get it unlocked after full payment has been made.</t>
  </si>
  <si>
    <t>Consumer Finance*</t>
  </si>
  <si>
    <t>clients application, consumer finance service, credit approval system, equal monthly installments, financial technology systems, smartphone technology</t>
  </si>
  <si>
    <t>www.payjoy.com</t>
  </si>
  <si>
    <t>2015: 17, 2018: 60, 2019: 90</t>
  </si>
  <si>
    <t>103564-27P</t>
  </si>
  <si>
    <t>Douglas Ricket</t>
  </si>
  <si>
    <t>doug@payjoy.com</t>
  </si>
  <si>
    <t>+1 (888) 360-5651</t>
  </si>
  <si>
    <t>655 4th Street</t>
  </si>
  <si>
    <t>info@payjoy.com</t>
  </si>
  <si>
    <t>The company raised $20 million through the combination of Series B1, Series B2 and Series B3 venture funding in a deal led by Greylock Partners on May 23, 2019, putting the company's pre-money valuation at $55 million. Core Innovation Capital, Tekton Ventures, Union Square Ventures and EchoVC Partners also participated in the round. The funds will be used to expand, secure more partners and develop new technologies.</t>
  </si>
  <si>
    <t>Alexandre Carel, Assurant Growth Investing, Collin Wallace, Compound, Core Innovation Capital, Dan Bragiel, DNX Ventures, Draper Fintech Connection, EchoVC Partners, Eric Chen, Fenway Summer Ventures, Frank Lee, Greylock Partners, ITOCHU Technology Ventures, John Dukellis, Mindset Ventures, NXTP Labs, Orange Digital Ventures, Pascal Levy-Garboua, Red Swan Ventures, Runway Venture Partners, Safa Rashtchy, Santander InnoVentures, Singularity Investments, StartX, Stephen Ciesinski, Tekton Ventures, Terry Duryea, The Pool, Think +, Three Fish Capital, Union Square Ventures, Vance Bjorn, Village Capital</t>
  </si>
  <si>
    <t>Assurant Growth Investing(www.assurantgrowthinvesting.com), Compound(www.compound.vc), Core Innovation Capital(www.corevc.com), DNX Ventures(www.dnx.vc), EchoVC Partners(www.echovc.com), Fenway Summer Ventures(www.fenwaysummer.com), Greylock Partners(www.greylock.com), ITOCHU Technology Ventures(www.techv.co.jp), Mindset Ventures(www.mindset.ventures), NXTP Labs(www.nxtplabs.com), Orange Digital Ventures(www.digitalventures.orange.com), Red Swan Ventures(www.redswan.vc), Runway Venture Partners(www.runwayvp.com), Santander InnoVentures(www.santanderinnoventures.com), Singularity Investments(www.singularityinvest.com), StartX(www.startx.com), Tekton Ventures(www.tektonventures.com), The Pool(www.thepool.mx), Think +(www.thinkplus.vc), Union Square Ventures(www.usv.com), Village Capital(www.vilcap.com)</t>
  </si>
  <si>
    <t>Arc Labs(Debt Financing), Western Technology Investment(Debt Financing)</t>
  </si>
  <si>
    <t>48540-97</t>
  </si>
  <si>
    <t>Payfone</t>
  </si>
  <si>
    <t>ShoCard, HP Security Voltage, Trulioo, Zumigo, Jumio, Danal, Iovation, Forter, Centrify, Averon, Socure, ID Analytics, NuData Security, IDology, Skyhook (application), SecureAuth, Veridu, Signifyd, ThreatMetrix</t>
  </si>
  <si>
    <t>Developer of an identity-verification software designed to protect against identity theft and social engineering attacks from professional attackers. The company's identity-verification software removes friction, drives engagement and fights fraud with instant mobile authentication, enabling businesses to enhance the customer experience while lowering the risk friction and fraud.</t>
  </si>
  <si>
    <t>identity theft monitoring, identity theft protection, identity verification software, mobile authentication service, mobile authentication system, regtech vertical</t>
  </si>
  <si>
    <t>www.payfone.com</t>
  </si>
  <si>
    <t>2009: 13, 2010: 30, 2011: 29, 2012: 52, 2013: 40, 2014: 63, 2015: 62, 2016: 47</t>
  </si>
  <si>
    <t>35452-09P</t>
  </si>
  <si>
    <t>Rodger Desai</t>
  </si>
  <si>
    <t>rdesai@payfone.com</t>
  </si>
  <si>
    <t>+1 (212) 614-6927</t>
  </si>
  <si>
    <t>+1 (212) 614-6935</t>
  </si>
  <si>
    <t>info@payfone.com</t>
  </si>
  <si>
    <t>The company raised $24 million through the combination of debt, Series G1 and Series G2 venture funding in a deal led by TransUnion on April 17, 2019, putting the company's pre-money valuation at $255 million. Synchrony Financial, MassMutual Ventures and Wellington Management also participated in the round.</t>
  </si>
  <si>
    <t>American Express, American Express Ventures, Andrew Prozes, Anil Aggarwal, BlueCross BlueShield Venture Partners, IDology, Jonathan Weiner, Maclab Development Group, MassMutual Ventures, Opus Capital, Relay Ventures, Rogers, Rogers Venture Partners, RRE Ventures, Strauss Zelnick, Synchrony Financial, Transaction Network Services, TransUnion, Verizon Ventures, Wellington Management, Zelle</t>
  </si>
  <si>
    <t>American Express(www.americanexpress.com), BlueCross BlueShield Venture Partners(www.bcbsvp.com), IDology(www.idology.com), MassMutual Ventures(www.massmutualventures.com), Opus Capital(www.opuscapitalventures.com), Relay Ventures(www.relayventures.com), Rogers(www.rogerscorp.com), Rogers Venture Partners(www.rogersvp.com), RRE Ventures(www.rre.com), Synchrony Financial(www.synchrony.com), Transaction Network Services(www.tnsi.com), TransUnion(www.transunion.com), Verizon Ventures(www.verizonventures.com), Wellington Management(www.wellington.com), Zelle(www.earlywarning.com)</t>
  </si>
  <si>
    <t>Gunderson Dettmer(Legal Advisor), O'Melveny &amp; Myers(Legal Advisor), Timan(Valuation/Appraiser)</t>
  </si>
  <si>
    <t>Goodwin(Legal Advisor), Gunderson Dettmer(Legal Advisor)</t>
  </si>
  <si>
    <t>55616-41</t>
  </si>
  <si>
    <t>Paxata</t>
  </si>
  <si>
    <t>Cambridge Semantics, RapidMiner, Domo, Trifacta, Datameer, GoodData, Squirro, Waterline Data, Lotame Solutions, Datorama, Collibra, Attivio, Sinequa, ReachForce, Datum (Maryland), Birst, Radius (Database Software), Ab Initio, IDify, Datacoral, Enreach Solutions, Matillion, Sisense, Looker, Ryft, Zaloni, Platfora, MapR, DataGravity, Feature Labs, Alation, Persado, SAS Institute, Fivetran, Rever, Predixion, Arcadia Data, Stratifyd, Syncsort, ThoughtSpot, Kloudio, Alooma, Unifi (Data Platform), Actian, Qubole, Podium Data, MemSQL, Databricks, StreamSets, Riversand, Striim, ClearStory Data, Koverse, Expert System, Diyotta, Elasticsearch, Dimensional Insight, DataStax, RedPoint Global, Skytree, Cloudera, Tamr, Tellius, Splunk, Informatica, Pentaho, Vertica Systems, Paradata, Datawatch, Attunity, Talend, Infogix, Ngdata, PeopleFluent, SugarCRM, Qlik Technologies, Panoply (Application Software), Yellowfin, MedeAnalytics, Couchbase, BigML, Cask, Confluent, Zoomdata, WhereScape Software, Alteryx, Perfion, Lattice (Business/Productivity Software), Datascience.com, CognitiveScale, Logi Analytics, HubSpot, Hortonworks, Feedzai, Pendo Systems, SQLstream, Teradata, BMC Software, Astronomer, SiteSpect, ProFinda, SigOpt, Aviso, E2open, Oracle</t>
  </si>
  <si>
    <t>Provider of an adaptive information management platform designed to help business users intelligently profile and transform data into consumable information. The company's self-service data preparation solution harnesses artificial intelligence and elastic scaling through cloud and distributed computing and optimizes rapid data profiling, collaboration, and ensures that data is governed and used in an agile workflow, enabling business analysts, data scientists and developers to accelerate the time to actionable business insights.</t>
  </si>
  <si>
    <t>business intelligence, data architecture, data enrichment, data integration, data preparation, enterprise data</t>
  </si>
  <si>
    <t>www.paxata.com</t>
  </si>
  <si>
    <t>2012: 5, 2014: 34, 2015: 47, 2018: 90</t>
  </si>
  <si>
    <t>44276-86P</t>
  </si>
  <si>
    <t>Prakash Nanduri</t>
  </si>
  <si>
    <t>prakash@paxata.com</t>
  </si>
  <si>
    <t>+1 (855) 972-9282</t>
  </si>
  <si>
    <t>info@paxata.com</t>
  </si>
  <si>
    <t>The company raised an estimated $20 million of Series C3 venture funding from Synapse Partners on January 1, 2019, putting the company's pre-money valuation at $180 million. The company also raised an estimated $10 million of Series C2 venture funding from Accenture Ventures on November 13, 2017, putting the company's pre-money valuation at $150 million. The company will use the funds to help enterprises provide end users with data control across multiple sources. Earlier, the company received an undisclosed amount in financing from Standard Chartered on September 14, 2017.</t>
  </si>
  <si>
    <t>Accel, Accenture Ventures, AirTree Ventures, Cisco Investments, CrossContinental Ventures, Deutsche Telekom Capital Partners, EDBI, In-Q-Tel, Intel Capital, Jeffrey Parks, M12, OceanIQ Capital, Sanju Bansal, Standard Chartered, Synapse Partners, The Westly Group, Toba Capital, Walden International, WRV Capital</t>
  </si>
  <si>
    <t>Accel(www.accel.com), AirTree Ventures(www.airtree.vc), Cisco Investments(www.ciscoinvestments.com), CrossContinental Ventures(www.crossconti.com), Deutsche Telekom Capital Partners(www.telekom-capital.com), EDBI(www.edbi.com), In-Q-Tel(www.iqt.org), Intel Capital(www.intelcapital.com), M12(www.m12.vc), OceanIQ Capital(www.oceaniqcapital.com), Standard Chartered(www.sc.com), Synapse Partners(www.synapsepartners.co), The Westly Group(www.westlygroup.com), Toba Capital(www.tobacapital.com), Walden International(www.waldenintl.com), WRV Capital(www.wrvcapital.com)</t>
  </si>
  <si>
    <t>Integrity Power Search(Consulting), Kindred Partners(Consulting), Pillsbury Winthrop Shaw Pittman(Legal Advisor)</t>
  </si>
  <si>
    <t>Series C3</t>
  </si>
  <si>
    <t>57987-28</t>
  </si>
  <si>
    <t>Pax8</t>
  </si>
  <si>
    <t>Nuage 8</t>
  </si>
  <si>
    <t>Oracle, Hostway Services, Rackspace US, REAN Cloud, Datapipe, Seaweed File System, Attenda, Stratalux, Cloudnexa, Synoptek, INetU, Cloudreach Europe, BlazeClan Technologies, Intermedia.net, Coastal Cloud, Cubed Group, Veritas Technologies, Linium, Citrix Systems, TriNimbus Technologies, Cobweb Solutions, Cloud Technology Partners, TriCore Solutions, CGI Group, Onica, intY, Trek10, Synnex, Naverisk, Kaseya, ComputeNext, ClearScale, RightScale, Corent Technology, Symantec</t>
  </si>
  <si>
    <t>Developer of cloud distribution application intended to design software. The company's application through billing, provisioning, automation, industry-leading professional services automation integrations and pre-and-post sales support simplifies cloud buying, improves operational efficiency, and lowers customer acquisition cost, enabling businesses to capitalize on the opportunity and achieve more with the cloud.</t>
  </si>
  <si>
    <t>cloud product, cloud services, cloud services distribution, cloud-based application, unified cloud services</t>
  </si>
  <si>
    <t>www.pax8.com</t>
  </si>
  <si>
    <t>2016: 44, 2017: 85, 2018: 135</t>
  </si>
  <si>
    <t>44602-48P</t>
  </si>
  <si>
    <t>John Street</t>
  </si>
  <si>
    <t>Chief Executive Officer, Founder &amp; Board Member</t>
  </si>
  <si>
    <t>john@pax8.com</t>
  </si>
  <si>
    <t>+1 (855) 884-7298</t>
  </si>
  <si>
    <t>Englewood, CO</t>
  </si>
  <si>
    <t>6400 South Fiddlers Green Circle</t>
  </si>
  <si>
    <t>Greenwood Village, Suite 1500</t>
  </si>
  <si>
    <t>Englewood</t>
  </si>
  <si>
    <t>80111</t>
  </si>
  <si>
    <t>info@pax8.com</t>
  </si>
  <si>
    <t>The company raised $13.3 million of Series E venture funding from undisclosed investors on February 20, 2019, putting the company's pre-money valuation at $49 million.</t>
  </si>
  <si>
    <t>FirstMile Ventures, Liberty Global Ventures</t>
  </si>
  <si>
    <t>FirstMile Ventures(www.firstmilevc.com)</t>
  </si>
  <si>
    <t>Madison Park Group(Advisor: General)</t>
  </si>
  <si>
    <t>58231-45</t>
  </si>
  <si>
    <t>Patreon</t>
  </si>
  <si>
    <t>FanBacked, GameWisp Connect, Pozible, Flattr, Kickstarter, Gumroad, GoFundMe, Patron, Bandcamp, Subbable, Indiegogo</t>
  </si>
  <si>
    <t>Provider of a money making platform intended to offer business tools for creators. The company's platform offers subscription content service for exclusive experiences and behind-the-scenes content, enabling creators to make money, run their creative businesses and connect with the fans who matter most.</t>
  </si>
  <si>
    <t>Application Software, Information Services (B2C)*, Other Financial Services, Social Content</t>
  </si>
  <si>
    <t>content creator, content page, crowdfunding, crowdfunding platform, funding platform</t>
  </si>
  <si>
    <t>www.patreon.com</t>
  </si>
  <si>
    <t>2014: 12, 2015: 53, 2017: 80, 2018: 170</t>
  </si>
  <si>
    <t>52394-41P</t>
  </si>
  <si>
    <t>Jack Conte</t>
  </si>
  <si>
    <t>jack@patreon.com</t>
  </si>
  <si>
    <t>600 Townsend Street</t>
  </si>
  <si>
    <t>The company raised $60 million of Series C venture funding in a deal led by Index Ventures (UK) and Thrive Capital on September 15, 2017, putting the company's pre-money valuation at $390 million. UTA Ventures, Freestyle Capital, Charles River Ventures, and DFJ Growth also participated in the round.</t>
  </si>
  <si>
    <t>Accomplice VC, Alexis Ohanian, Allen &amp; Company, Atlas Venture, CAA Ventures, Charles River Ventures, David Marcus, DFJ Growth, Freestyle Capital, Garry Tan, Index Ventures (UK), Individual Investor, Initialized Capital Management, Jonathan Teo, Josh Felser, Joshua Reeves, Kindling Capital, Lee Linden, Rothenberg Ventures, Sam Altman, Stan Chudnovsky, StartX, SV Angel, Thrive Capital, Tyler Willis, UTA Ventures</t>
  </si>
  <si>
    <t>Accomplice VC(www.accomplice.co), Alexis Ohanian(alexisohanian.com), Allen &amp; Company(www.allenco.com), Atlas Venture(www.atlasventure.com), CAA Ventures(ventures.caa.com), Charles River Ventures(www.crv.com), Freestyle Capital(www.freestyle.vc), Index Ventures (UK)(www.indexventures.com), Initialized Capital Management(www.initialized.com), Jonathan Teo(generalcatalyst.com/team/jonathan-teo), Kindling Capital(www.kindlingcapital.com), Rothenberg Ventures(www.rothenbergventures.com), StartX(www.startx.com), SV Angel(www.svangel.com), Thrive Capital(www.thrivecap.com), UTA Ventures(ventures.unitedtalent.com)</t>
  </si>
  <si>
    <t>FutureEngine(Consulting), Gunderson Dettmer(Legal Advisor), Paradigm Strategy(Consulting)</t>
  </si>
  <si>
    <t>50087-71</t>
  </si>
  <si>
    <t>PatientSafe Solutions</t>
  </si>
  <si>
    <t>IntelliDOT</t>
  </si>
  <si>
    <t>Imprivata, Tangier Software, Practice Unite, Cureatr, Pager, TelmedIQ, Extension, Connexall, Mobile Heartbeat, Capsule Technologie, Babylon Health, AirStrip, PatientPing, Diagnotes</t>
  </si>
  <si>
    <t>Provider of point-of-care (POC) mobile platform designed to help care teams communicate and work together reliably and efficiently. The company's PatientTouch, unifies communication with workflow by consolidating text, talk, alerts, EMR data, clinical workflows and customizable care interventions, all in one mobile application and on one device, enabling clinicians to deliver measurable safety and quality improvements.</t>
  </si>
  <si>
    <t>Application Software, Automation/Workflow Software, Enterprise Systems (Healthcare)*</t>
  </si>
  <si>
    <t>Digital Health, HealthTech, Mobile, TMT</t>
  </si>
  <si>
    <t>clinical alerts, clinical workflow, medication administration, mobile clinical application, patient safety, specimens collection, unified clinical communications</t>
  </si>
  <si>
    <t>www.patientsafesolutions.com</t>
  </si>
  <si>
    <t>2003: 9, 2014: 71, 2015: 80, 2016: 84</t>
  </si>
  <si>
    <t>FY 2009</t>
  </si>
  <si>
    <t>61090-57P</t>
  </si>
  <si>
    <t>Siliang Luo</t>
  </si>
  <si>
    <t>sluo@patientsafesolutions.com</t>
  </si>
  <si>
    <t>+1 (877) 368-3687</t>
  </si>
  <si>
    <t>5375 Mira Sorrento Place</t>
  </si>
  <si>
    <t>+1 (858) 746-3101</t>
  </si>
  <si>
    <t>info@patientsafesolutions.com</t>
  </si>
  <si>
    <t>The company received $8 million of debt financing in the form of senior debt from Bridge Bank on February 06, 2018. Previously, the company received $25 million of development capital led by HighBar Partners on September 25, 2017. Camden Partners, Merck Global Health Innovation Fund, TPG Capital and 
Psilos Group Managers also participated in the transaction. PatientSafe plans to use the funds to further scale operations, accelerate sales and customer success, and drive further innovation in clinical communications and care delivery.</t>
  </si>
  <si>
    <t>American River Ventures, Camden Partners, EDBI, HighBar Partners, Integral Capital Partners, Menlo Ventures, Merck Global Health Innovation Fund, North Bay Angels, Psilos Group Managers, Sacramento Angels, Shea Ventures, Shoreline Venture Management, TELUS Ventures, TPG Biotech, TPG Capital, Valhalla Partners</t>
  </si>
  <si>
    <t>American River Ventures(www.arventures.com/pages/home.cgi), Camden Partners(www.camdenpartners.com), EDBI(www.edbi.com), HighBar Partners(www.highbarpartners.com), Integral Capital Partners(www.icp.com), Menlo Ventures(www.menlovc.com), Merck Global Health Innovation Fund(www.merckghifund.com), North Bay Angels(www.northbayangels.com), Psilos Group Managers(www.psilos.com), Sacramento Angels(www.sacangels.com), Shoreline Venture Management(www.shorelineventures.com), TELUS Ventures(ventures.telus.com), TPG Capital(www.tpg.com), Valhalla Partners(www.valhallapartners.com)</t>
  </si>
  <si>
    <t>Armentum Partners(Advisor: General), BioQuest (San Francisco)(Advisor: General), Cooley(Legal Advisor)</t>
  </si>
  <si>
    <t>Berkery, Noyes &amp; Co.(Advisor: General), Bridge Bank(Debt Financing), Cooley(Legal Advisor), SVB Leerink(Advisor: General)</t>
  </si>
  <si>
    <t>55920-43</t>
  </si>
  <si>
    <t>Pathmatics</t>
  </si>
  <si>
    <t>Adomic, YieldMetrics</t>
  </si>
  <si>
    <t>AdYapper, AdRoll, DataXu, Moat, Netsertive, Integral Ad Science, Origami Logic, Quantcast, Monetate, Lotame Solutions, comScore, Grapeshot, Exponential Interactive, Aprimo, MediaRadar, InfoScout, iPerceptions, GoodData, Maxymiser, Velocidi, MixPanel, Datameer, Birst, Sprinklr, Custora, Mobee, App Annie, Centro, Quri, Datorama, Sprout Social, Beckon, Allocadia, Zignal Labs, Umbel, Meltwater, InsightSquared, Hootsuite, Segment, BlueConic, Indicative, Rocket Fuel, Heap, Swrve, Satmetrix Systems, Simply Measured, Medallia, Hive9, SumAll, Clarabridge, Spredfast, Visual IQ, Rumble (Media and Information Services), Qualtrics, Domo, Core2 Group, UserTesting, AgilOne, Sailthru, RadiumOne, OnCorps, Feedburner, TapClicks, BestMark, TubeMogul, SproutLoud Media Networks, NetBase, Warc, Unmetric, MarketShare Partners, Klipfolio, Cision Group, SAS Institute, Conviva, OpinionLab, RevenueMantra Digital Media, BrandShield, Numetric, Dundas Data Visualization</t>
  </si>
  <si>
    <t>Developer of digital advertising intelligence platform designed to bring transparency to digital advertising. The company's platform provides data analytics, digital advertising activity and delivers real-time, actionable intelligence, enabling publishers to take action to increase their revenues and defend their user-base.</t>
  </si>
  <si>
    <t>advertising analytics, advertising technology company, digital advertising platform, online display advertising, target audience</t>
  </si>
  <si>
    <t>www.pathmatics.com</t>
  </si>
  <si>
    <t>45733-33P</t>
  </si>
  <si>
    <t>Gabriel Gottlieb</t>
  </si>
  <si>
    <t>gabriel@pathmatics.com</t>
  </si>
  <si>
    <t>+1 (424) 625-8512</t>
  </si>
  <si>
    <t>501 Santa Monica Boulevard</t>
  </si>
  <si>
    <t>The company raised $3 million of venture funding in a deal led by Mintel and SPH Ventures on October 26, 2018. Bertelsmann Digital Media Investments and Upfront Ventures also participated in the round. The funds will be used to fuel growth as the company unveiled a new brand identity. Bonfire Ventures also participated in it.</t>
  </si>
  <si>
    <t>Andy Rankin, Baroda Ventures, Bertelsmann Digital Media Investments, Bonfire Ventures, Clark Landry, Daher Capital, Double M Partners, Karlin Ventures, Launchpad LA, Manatt Digital Media Ventures, Mintel, Seth Demsey, SPH Ventures, Tianxiang Zhuo, Upfront Ventures, Wavemaker Partners</t>
  </si>
  <si>
    <t>Andy Rankin(arankin.com), Baroda Ventures(www.barodaventures.com), Bertelsmann Digital Media Investments(www.bdmifund.com), Bonfire Ventures(www.bonfirevc.com), Double M Partners(www.doublempartners.com), Karlin Ventures(www.karlinvc.com), Launchpad LA(www.launchpad.la), Manatt Digital Media Ventures(www.manattdigitalmedia.com), Mintel(www.mintel.com), SPH Ventures(www.sphventures.com.sg), Upfront Ventures(www.upfront.com), Wavemaker Partners(www.wavemaker.vc)</t>
  </si>
  <si>
    <t>LKP Global Law(Legal Advisor), Silicon Legal Strategy(Legal Advisor)</t>
  </si>
  <si>
    <t>113039-74</t>
  </si>
  <si>
    <t>Pasta Snacks</t>
  </si>
  <si>
    <t>Producer of pasta-based snack foods intended to provide the goodness of fresh and healthy vegetables. The company's foods are mainly pasta chips from semolina flour, olive oil and Italian herbs, enabling people to get tasty chemical-less food made up from unique recipes by ordering them from the company's online portal along with getting them delivered at their doorsteps.</t>
  </si>
  <si>
    <t>Application Software, Food Products*, Other Consumer Non-Durables</t>
  </si>
  <si>
    <t>food product, pasta chips, pasta-based snacks food</t>
  </si>
  <si>
    <t>www.pastasnacks.com</t>
  </si>
  <si>
    <t>33420-88P</t>
  </si>
  <si>
    <t>Jerry Bello</t>
  </si>
  <si>
    <t>jbello@pastasnacks.com</t>
  </si>
  <si>
    <t>Windermere, FL</t>
  </si>
  <si>
    <t>422 Main Street</t>
  </si>
  <si>
    <t>Windermere</t>
  </si>
  <si>
    <t>34786</t>
  </si>
  <si>
    <t>+1 (407) 217-5911</t>
  </si>
  <si>
    <t>info@pastachips.com</t>
  </si>
  <si>
    <t>The company raised $3 million of venture funding from Advantage Capital (St. Louis), Keen Growth Capital and Silas Capital on October 25, 2016. Emil Capital Partners and Barshop Ventures also participated in the round. The funding will be used by the company to accelerate its growth, supporting its release of new product lines to large retailers, including Walmart, Costco and Safeway.</t>
  </si>
  <si>
    <t>Advantage Capital (St. Louis), Barshop Ventures, Emil Capital Partners, Hammerstone Capital, Keen Growth Capital, Silas Capital</t>
  </si>
  <si>
    <t>Advantage Capital (St. Louis)(www.advantagecap.com), Barshop Ventures(www.barshopventures.com), Emil Capital Partners(www.emilcapitalpartners.com), Hammerstone Capital(www.hammerstonecapital.com), Keen Growth Capital(www.keengrowthcapital.com), Silas Capital(www.silascapital.com)</t>
  </si>
  <si>
    <t>54621-91</t>
  </si>
  <si>
    <t>Passport Systems</t>
  </si>
  <si>
    <t>Developer of nuclear resonance fluorescence (NRF) security screening equipment designed to protect the population, property at home and abroad. The company's screening equipment offers inspection systems at airports, seaports, transportation centers and national borders, enabling the federal government to meet the growing threat of terrorist attacks.</t>
  </si>
  <si>
    <t>Electrical Equipment*, Other Commercial Services, Security Services (B2B)</t>
  </si>
  <si>
    <t>cargo screening systems, inspection system, material scanning, nuclear resonance fluorescence security screening equipment, security screening equipment</t>
  </si>
  <si>
    <t>www.passportsystems.com</t>
  </si>
  <si>
    <t>2015: 35, 2016: 47</t>
  </si>
  <si>
    <t>39695-32P</t>
  </si>
  <si>
    <t>Bruce Garcia</t>
  </si>
  <si>
    <t>bruce@passportsystems.com</t>
  </si>
  <si>
    <t>+1 (978) 263-9900</t>
  </si>
  <si>
    <t>Billerica, MA</t>
  </si>
  <si>
    <t>70 Treble Cove Road</t>
  </si>
  <si>
    <t>1st Floor</t>
  </si>
  <si>
    <t>Billerica</t>
  </si>
  <si>
    <t>01862</t>
  </si>
  <si>
    <t>+1 (978) 263-9971</t>
  </si>
  <si>
    <t>info@passportsystems.com</t>
  </si>
  <si>
    <t>The company raised $19.49 million of venture funding in the form of convertible debt from undisclosed investors on March 5, 2019. Prior to this, the company raised $27.4 million of Series D venture funding from Topspin Partners, Commons Capital and Shiprock Capital on June 25, 2013, putting the company's pre-money valuation at $60.6 million.</t>
  </si>
  <si>
    <t>Applied Ventures, Commons Capital, MIT Investment Management Company, Shiprock Capital, Topspin Partners, Topspin Venture</t>
  </si>
  <si>
    <t>Commons Capital(www.commonscapital.com), MIT Investment Management Company(www.mitimco.org), Shiprock Capital(www.shiprock.com), Topspin Partners(www.topspinpartners.com), Topspin Venture(www.topspinventure.com)</t>
  </si>
  <si>
    <t>Bloomberg New Energy Finance(Advisor: General), NEF Limited(Advisor: General)</t>
  </si>
  <si>
    <t>108819-28</t>
  </si>
  <si>
    <t>Pasona Tquila</t>
  </si>
  <si>
    <t>Provider of cloud computing services platform intended to design and deploy sales, service, and marketing and enterprise applications. The company's platform offers services like consulting, cloud integration, onsite administrator, salesforce implementation, introduction support, administrator dispatch service and support desk for cloud solutions including Salesforce, enabling companies to provide a richer, more valuable customer experience across multi-device channels.</t>
  </si>
  <si>
    <t>Business/Productivity Software, IT Consulting and Outsourcing*, Other IT Services</t>
  </si>
  <si>
    <t>cloud computing system, cloud services solutions, cloud services support, enterprise application, sales force consulting</t>
  </si>
  <si>
    <t>www.pasonatquila.com</t>
  </si>
  <si>
    <t>2017: 115, 2018: 135</t>
  </si>
  <si>
    <t>102032-47P</t>
  </si>
  <si>
    <t>Hiroki Sato</t>
  </si>
  <si>
    <t>Chief Technology Officer and Technical Architect</t>
  </si>
  <si>
    <t>hsato@pasonatquila.com</t>
  </si>
  <si>
    <t>+81 (0)36 832 7375</t>
  </si>
  <si>
    <t>2-6-2 Otemachi Chiyoda-ku</t>
  </si>
  <si>
    <t>100-8228</t>
  </si>
  <si>
    <t>The company raised an undisclosed amount of Series A2 venture funding from Salesforce Ventures on May 28, 2014.</t>
  </si>
  <si>
    <t>88216-84</t>
  </si>
  <si>
    <t>PartyWith</t>
  </si>
  <si>
    <t>Party with a Local</t>
  </si>
  <si>
    <t>PWAL</t>
  </si>
  <si>
    <t>Developer of a mobile application designed to connect people who love to party. The company's mobile application tracks upcoming events at nearby clubs and restaurants and sends alerts on ticket availability, guests capacity, invitation passes, discount coupons, place and timings of parties, enabling both foreign travelers and locals to make new friends, find local bars and clubs and enjoy nightlife events and parties.</t>
  </si>
  <si>
    <t>city discovery app, events books app, nightlife app, nightlife discovery platform, nightlife guide, party events</t>
  </si>
  <si>
    <t>www.partywith.co</t>
  </si>
  <si>
    <t>129541-15P</t>
  </si>
  <si>
    <t>Dan Fennessy</t>
  </si>
  <si>
    <t>dan@partywith.co</t>
  </si>
  <si>
    <t>+31 (0)61 807 4744</t>
  </si>
  <si>
    <t>Vespuccistraat 106-HS</t>
  </si>
  <si>
    <t>1056 SR</t>
  </si>
  <si>
    <t>info@partywith.co</t>
  </si>
  <si>
    <t>The company raised $430,000 of venture funding from Techstars, Anheuser-Busch InBev and Zx Ventures on October 13, 2017. Right Side Capital Management and other undisclosed angel investors also participated in the round.</t>
  </si>
  <si>
    <t>Anheuser-Busch InBev, Right Side Capital Management, Techstars, ZX Ventures</t>
  </si>
  <si>
    <t>Anheuser-Busch InBev(www.ab-inbev.com), Right Side Capital Management(www.rightsidecapital.com), Techstars(www.techstars.com), ZX Ventures(www.zx-ventures.com)</t>
  </si>
  <si>
    <t>62958-52</t>
  </si>
  <si>
    <t>Parsable</t>
  </si>
  <si>
    <t>Wearable Intelligence</t>
  </si>
  <si>
    <t>Wooqer, LiquidPlanner, Tulip (Digital Manufacturing Platform), Ayla Networks, GoCanvas (Reston), Eidiko Systems Integrators Private, Asana, Workfront, WorkMarket, Leankor, Kalo, Clarizen, SafetyCulture, Waygum, Moxtra, ZeroedIn Technologies, Mavenlink, DesignCrowd, Workboard, Visier, Gridle, Smooch, Slack, Symphony Communication Services, Beekeeper, ProntoForms, Producteev, Wrike, Allthings, Expert360, RedBooth, Xamarin, GoFormz, ThingWorx, Basecamp, Crew, Zinc, Sitrion, Podio, Device Magic</t>
  </si>
  <si>
    <t>Provider of a mobile collaboration and workflow platform designed to transform assembly lines into an end-to-end digital execution environment. The company's platform allows companies to gain visibility into their operations, uncover detailed data about their work processes for continuous improvement and attract new tech-savvy talent, enabling employees to collaboratively execute their work using paperless, digital work instructions on mobile devices.</t>
  </si>
  <si>
    <t>Automation/Workflow Software, Business/Productivity Software*, Other Commercial Services</t>
  </si>
  <si>
    <t>computing platform, connected workers platform, digital operations, modern mobile device, paperless work, procedural adherence, supply chain</t>
  </si>
  <si>
    <t>www.parsable.com</t>
  </si>
  <si>
    <t>2018: 80</t>
  </si>
  <si>
    <t>Promotion (New) Ryan Junee, Co-Founder &amp; President, Departure (New) Yanda Erlich, Co-Founder &amp; Advisor, Competitor (New) DesignCrowd, Competitor (New) Eidiko Systems Integrators Private, Competitor (New) LiquidPlanner, Competitor (New) SafetyCulture, Competitor (New) Visier, Competitor (New) Workboard, Competitor (New) Workfront, Competitor (New) ZeroedIn Technologies</t>
  </si>
  <si>
    <t>75990-79P</t>
  </si>
  <si>
    <t>Ken Pulverman</t>
  </si>
  <si>
    <t>ken.pulverman@wearableintelligence.com</t>
  </si>
  <si>
    <t>+1 (888) 681-2119</t>
  </si>
  <si>
    <t>115 Sansome Street</t>
  </si>
  <si>
    <t>contact@parsable.com</t>
  </si>
  <si>
    <t>The company raised $40 million of Series C venture funding in a deal led by Future Fund on May 15, 2018, putting the company's pre-money valuation at $160 million. Saudi Aramco Energy Ventures, Airbus Ventures, B37 Ventures, Honeywell Ventures and Lightspeed Venture Partners also participated in the round.</t>
  </si>
  <si>
    <t>Airbus Ventures, Andreessen Horowitz, Australia Future Fund, B37 Ventures, Bessemer Trust, Bill Trenchard, First Round Capital, GV, Honeywell Ventures, Initialized Capital Management, Kleiner Perkins, Lightspeed Venture Partners, Oakhouse Partners, Saudi Aramco Energy Ventures, Schlumberger Technology Investments</t>
  </si>
  <si>
    <t>Airbus Ventures(www.airbusventures.vc), Andreessen Horowitz(www.a16z.com), Australia Future Fund(www.futurefund.gov.au), B37 Ventures(www.b37.vc), Bessemer Trust(www.bessemertrust.com), First Round Capital(www.firstround.com), GV(www.gv.com), Initialized Capital Management(www.initialized.com), Kleiner Perkins(www.kleinerperkins.com), Lightspeed Venture Partners(www.lsvp.com), Oakhouse Partners(www.oakhousepartners.com), Saudi Aramco Energy Ventures(www.saev.com)</t>
  </si>
  <si>
    <t>92511-46</t>
  </si>
  <si>
    <t>Parkopedia</t>
  </si>
  <si>
    <t>Parqex, JustPark, ParkMe, MyPark, AppyParking, SpotAngels, Parking Panda, ParkX, SpotHero</t>
  </si>
  <si>
    <t>Developer of a car parking platform intended to find nearby parking spots. The company's platform allows drivers to find the closest parking to their destination, tells how much it will cost and whether the space is available, enabling users to save time and easily access parking spots.</t>
  </si>
  <si>
    <t>parking app, parking application, parking information, parking search platform</t>
  </si>
  <si>
    <t>www.parkopedia.com</t>
  </si>
  <si>
    <t>2017: 60</t>
  </si>
  <si>
    <t>146622-79P</t>
  </si>
  <si>
    <t>Eugene Tsyrklevich</t>
  </si>
  <si>
    <t>eugene.tsyrklevich@parkopedia.com</t>
  </si>
  <si>
    <t>The company joined BMW i Ventures on July 3, 2012 and received GBP 300,000 of funding putting the pre-money valuation at GBP 2.5 million.</t>
  </si>
  <si>
    <t>BMW i Ventures</t>
  </si>
  <si>
    <t>BMW i Ventures(www.bmwiventures.com)</t>
  </si>
  <si>
    <t>88214-50</t>
  </si>
  <si>
    <t>Paranoid Fan</t>
  </si>
  <si>
    <t>Provider of a GPS-based social mapping application intended to help fans navigate through their game-day experience. The company's GPS-based social mapping application helps the users optimize their live experiences with venue maps, watch parties and discover where other like-minded user congregate enabling them deploy live social maps for sports venues and music festivals.</t>
  </si>
  <si>
    <t>Application Software*, Educational Software</t>
  </si>
  <si>
    <t>games day experience, gps-based social mapping, gps-based social networking, live social mapping, social mapping app, social mapping application, social networking app</t>
  </si>
  <si>
    <t>www.paranoidfan.com</t>
  </si>
  <si>
    <t>159301-36P</t>
  </si>
  <si>
    <t>Agustin Gonzalez</t>
  </si>
  <si>
    <t>agustin@paranoidfan.com</t>
  </si>
  <si>
    <t>help@paranoidfan.com</t>
  </si>
  <si>
    <t>The company raised an undisclosed amount of seed funding from TechStars and ZX Ventures on January 25, 2018.</t>
  </si>
  <si>
    <t>227376-46</t>
  </si>
  <si>
    <t>Parallel Domain</t>
  </si>
  <si>
    <t>Developer of a 3D environment generation software designed to facilitate autonomous vehicle simulation. The company's software utilizes autonomous simulation technology and computer graphics to offer configurable, detailed and scalable simulation environments, enabling users to stay updated about road conditions and maintain a safer transportation.</t>
  </si>
  <si>
    <t>Multimedia and Design Software*, Other IT Services</t>
  </si>
  <si>
    <t>Autonomous cars, TMT</t>
  </si>
  <si>
    <t>autonomous vehicle simulation, vehicle simulation, vehicle simulation technology</t>
  </si>
  <si>
    <t>www.paralleldomain.com</t>
  </si>
  <si>
    <t>183149-47P</t>
  </si>
  <si>
    <t>Kevin McNamara</t>
  </si>
  <si>
    <t>Founder, President, Chief Executive Officer, Chief Financial Officer &amp; Board Member</t>
  </si>
  <si>
    <t>kevin@paralleldomain.com</t>
  </si>
  <si>
    <t>+1 (408) 785-0810</t>
  </si>
  <si>
    <t>910 Coleman Avenue</t>
  </si>
  <si>
    <t>info@paralleldomain.com</t>
  </si>
  <si>
    <t>The company raised $2.5 million of Seed funding in a deal led by Costanoa Ventures and Ubiquity Ventures on May 1, 2018, putting the company's pre-money valuation at $6 million. RRE Ventures and Bessemer Venture Partners also participated in the round.</t>
  </si>
  <si>
    <t>Bessemer Venture Partners, Costanoa Ventures, RRE Ventures, Toyota AI Ventures, Ubiquity Ventures</t>
  </si>
  <si>
    <t>Bessemer Venture Partners(www.bvp.com), Costanoa Ventures(www.costanoavc.com), RRE Ventures(www.rre.com), Toyota AI Ventures(www.toyota-ai.ventures), Ubiquity Ventures(www.ubiquity.vc)</t>
  </si>
  <si>
    <t>51365-35</t>
  </si>
  <si>
    <t>Panzura</t>
  </si>
  <si>
    <t>Pixel8</t>
  </si>
  <si>
    <t>NooBaa, Caringo, Veeam, Salesforce, Tarmin, Qumulo, Egnyte, ClearSky Data, Actifio, StorageCraft Technology, Cohesity, Datagres, AeroFS, Parsec Labs, Acronis, Primary Data, Storage Made Easy, Diamond (Artificial Intelligence), Xopero, Slack, SwiftStack, Tintri, Accellion, Asigra, Scality, SAP, CloudVelox, TIBCO Software, Nasuni, Avere Systems, Seven10 Storage Software, ownCloud, OpenIO, Cloudian, Reduxio Systems, Datera, NGD Systems, ioFabric, CommVault Systems, StorReduce, Nexenta, Druva, Axcient, Shinydocs, DataCore Software, E8 Storage, Rubrik, SAS Institute, Firmex, WatchDox, CA Technologies (CA Arcserve), Syncplicity, Elastifile, ConnectWise, StorSimple, TwinStrata, Box, Datto</t>
  </si>
  <si>
    <t>Provider of a multi-cloud management platform designed to transform the traditional enterprise storage model to the cloud and unlock the power of data. The company's platform helps in the consolidation of data into a single source of truth without sacrificing performance and eliminating the need for application rewrite, enabling organizations to search, analyze and control their data.</t>
  </si>
  <si>
    <t>cloud data management, cloud management, cloud storage, enterprise cloud, files management, files sharing</t>
  </si>
  <si>
    <t>www.panzura.com</t>
  </si>
  <si>
    <t>2009: 4, 2010: 16, 2011: 43, 2012: 70, 2013: 103, 2014: 103, 2016: 110, 2018: 200</t>
  </si>
  <si>
    <t>58789-36P</t>
  </si>
  <si>
    <t>Jerry Corcoran</t>
  </si>
  <si>
    <t>Chief Financial Officer (Consulting)</t>
  </si>
  <si>
    <t>jcorcoran@panzura.com</t>
  </si>
  <si>
    <t>+1 (855) 726-9872</t>
  </si>
  <si>
    <t>695 Campbell Technology Parkway</t>
  </si>
  <si>
    <t>Suite 225</t>
  </si>
  <si>
    <t>info@panzura.com</t>
  </si>
  <si>
    <t>The company raised $32 million of Series E venture funding in a deal led by Matrix Partners on January 10, 2017, putting the company's pre-money valuation at $54.5 million. Chevron Technology Ventures, Western Digital Capital, Eastward Capital Partners, Opus Capital and Meritech Capital Partners also participated in the round. The company will use the funding to expand hybrid cloud storage offerings for high performance database and virtual workloads, big data analytics and Internet of Thing (IoT) applications.</t>
  </si>
  <si>
    <t>Ameet Patel, Chevron Technology Ventures, Eastward Capital Partners, Khosla Ventures, Mark Santora, Matrix Partners, Meritech Capital Partners, Opus Capital, SanDisk Ventures, Western Digital Capital</t>
  </si>
  <si>
    <t>Eastward Capital Partners(www.eastwardcp.com), Khosla Ventures(www.khoslaventures.com), Matrix Partners(www.matrixpartners.com), Meritech Capital Partners(www.meritechcapital.com), Opus Capital(www.opuscapitalventures.com), Western Digital Capital(www.westerndigitalcapital.com)</t>
  </si>
  <si>
    <t>51650-83</t>
  </si>
  <si>
    <t>PanGeo Subsea</t>
  </si>
  <si>
    <t>Guigné International, Pan Maritime Energy Services</t>
  </si>
  <si>
    <t>PanGeo</t>
  </si>
  <si>
    <t>Provider of geophysical-geotechnical service designed to specialize in high resolution 3D acoustic imaging. The company's geophysical-geotechnical service provides acoustic imaging tools to mitigate risk in offshore installations by imaging and identifying geohazards in the seabed and offers detailed soil stratigraphy, enabling gas and oil industry to work safely under vigorous conditions.</t>
  </si>
  <si>
    <t>Other Commercial Products, Other Energy Services*</t>
  </si>
  <si>
    <t>3d acoustic, acoustic imaging solutions, geotechnical service, imaging</t>
  </si>
  <si>
    <t>www.pangeosubsea.com</t>
  </si>
  <si>
    <t>2006: 22, 2008: 25, 2014: 50, 2016: 17</t>
  </si>
  <si>
    <t>36689-32P</t>
  </si>
  <si>
    <t>Neil Phillips</t>
  </si>
  <si>
    <t>nphillips@acousticzoom.com</t>
  </si>
  <si>
    <t>+1 (709) 749-8951</t>
  </si>
  <si>
    <t>Saint John's, Canada</t>
  </si>
  <si>
    <t>430 Water Street</t>
  </si>
  <si>
    <t>Saint John's</t>
  </si>
  <si>
    <t>Newfoundland and Labrador</t>
  </si>
  <si>
    <t>A1C 1E2</t>
  </si>
  <si>
    <t>+1 (709) 739-8032</t>
  </si>
  <si>
    <t>+1 (709) 739-8035</t>
  </si>
  <si>
    <t>info@pangeosubsea.com</t>
  </si>
  <si>
    <t>Energy Ventures acquired a stake in the company for an undisclosed amount in 2014. After the transaction Energy Ventures owns a majority stake in the company.</t>
  </si>
  <si>
    <t>Chevron Technology Ventures, EV Private Equity, Scottish Enterprise</t>
  </si>
  <si>
    <t>Lime Rock Partners</t>
  </si>
  <si>
    <t>EV Private Equity(www.evprivateequity.no), Scottish Enterprise(www.scottish-enterprise.com)</t>
  </si>
  <si>
    <t>Simmons Energy(Advisor: General)</t>
  </si>
  <si>
    <t>55193-59</t>
  </si>
  <si>
    <t>Pandologic</t>
  </si>
  <si>
    <t>RealMatch</t>
  </si>
  <si>
    <t>Appcast, ZipRecruiter, Indeed</t>
  </si>
  <si>
    <t>Developer of an online recruitment platform designed to connect employers and job seekers. The company's platform provides an advertising network on the web that features advanced advertisement distribution algorithms that automatically target the right job seekers all with a single post, enabling employers to hire employees for their organization in a reduced time.</t>
  </si>
  <si>
    <t>Human Capital Services*, Media and Information Services (B2B), Social/Platform Software</t>
  </si>
  <si>
    <t>advertisement distribution, online recruitment portal, recruitment advertising service, recruitment platform</t>
  </si>
  <si>
    <t>www.pandologic.com</t>
  </si>
  <si>
    <t>2014: 200, 2016: 89, 2018: 55</t>
  </si>
  <si>
    <t>42100-75P</t>
  </si>
  <si>
    <t>Sandeep Gill</t>
  </si>
  <si>
    <t>sgill@realmatch.com</t>
  </si>
  <si>
    <t>+1 (212) 419-4649</t>
  </si>
  <si>
    <t>750 Lexington Avenue</t>
  </si>
  <si>
    <t>10022</t>
  </si>
  <si>
    <t>info@pandologic.com</t>
  </si>
  <si>
    <t>The company raised $8 million of Series C1 venture funding in a deal led by Edison Partners on January 19, 2015. ORIX Growth Capital, Bayern LB and Viola Ventures also participated in the round.</t>
  </si>
  <si>
    <t>Bayern LB, BayTech Venture Capital, Digital First Ventures, Edison Partners, Kreos Capital, ORIX Growth Capital, Viola Ventures</t>
  </si>
  <si>
    <t>Bayern LB(www.bayernlb.com), BayTech Venture Capital(www.baytechventurecapital.de), Digital First Ventures(www.digitalfirst-ventures.com), Edison Partners(www.edisonpartners.com), Kreos Capital(www.kreoscapital.com)</t>
  </si>
  <si>
    <t>KPMG(Auditor)</t>
  </si>
  <si>
    <t>Progress Partners(Advisor: General)</t>
  </si>
  <si>
    <t>55424-44</t>
  </si>
  <si>
    <t>Panax Etec Co.</t>
  </si>
  <si>
    <t>Producer of electrolytes and additives in Busan, South Korea. The company's electrolytes and additives enable clients operating in the information technology and electric vehicles market with products applied to most of battery lines like lithium ion batteries used inside portable electronic devices such as cellphones and laptops.</t>
  </si>
  <si>
    <t>Industrial Chemicals, Industrial Supplies and Parts*</t>
  </si>
  <si>
    <t>additives, electrolyte, electrolyte and additives, electrolyte producer, industrial components, lithium battery, lithium-ion battery</t>
  </si>
  <si>
    <t>www.panaxetec.co.kr</t>
  </si>
  <si>
    <t>162408-97P</t>
  </si>
  <si>
    <t>Chae Dae-Kwang</t>
  </si>
  <si>
    <t>Co-Chief Executive Officer</t>
  </si>
  <si>
    <t>chae.dae-kwang@panaxetec.co.kr</t>
  </si>
  <si>
    <t>+82 (0)5 585 0578</t>
  </si>
  <si>
    <t>Busan, South Korea</t>
  </si>
  <si>
    <t>188, Geumsa-ro Geumjeong-gu</t>
  </si>
  <si>
    <t>Busan</t>
  </si>
  <si>
    <t>+82 (0)51 532 5059</t>
  </si>
  <si>
    <t>etec@panaxetec.co.kr</t>
  </si>
  <si>
    <t>The company received $47 million of development capital from Quintessa Investment and Partners Investment on June 2013.</t>
  </si>
  <si>
    <t>JKL Partners, Partners Investment, Partners Venture Capital, Quintessa Investment</t>
  </si>
  <si>
    <t>Bokwang Investment, Samsung Venture Investment</t>
  </si>
  <si>
    <t>JKL Partners(www.jklpartners.co.kr), Partners Investment(www.partnersi.co.kr), Partners Venture Capital(www.partnersventure.com), Quintessa Investment(www.quintessa.kr)</t>
  </si>
  <si>
    <t>108542-35</t>
  </si>
  <si>
    <t>Panaseer</t>
  </si>
  <si>
    <t>Graylog, SevOne, Saviynt, Tanium, RiskSense, CloudPassage, Elevate Security, Bay Dynamics, Apvera, Splunk, OneLogin, Sumo Logic, Uplevel, Phantom Cyber, Carbon Black, AlgoSec, RedSeal, Keyfactor, E8 Security, Illusive Networks, CounterTack, Niara, Forcepoint, ScienceLogic, RedOwl Analytics, Centrify, McAfee, Komand, Interset, NetSPI, Sqrrl, Logz.io, Cloud Cruiser, SecureAuth, Skybox Security, Logmatic.io, DEVCON (Ad Tech Security), Cybereason, Veriato, Rapid7, HackerOne, Prelert, OverWatchID, Tenable, Cloudyn Software, FireMon, Exabeam, ThreatConnect, Fidelis Cybersecurity, Kenna Security, Cloudability, Security Innovation, Securonix, Thycotic Software, M&amp;S Technologies (Network Management Software), Rubica, Confer Technologies, Loggly, LogDNA, Qualys, ThreatQuotient, HAWK Network Defense, SysAid Technologies, Haystax Technology, Endgame, Demisto, ObserveIT, Micro Focus, SecureWorks, BMC Software, RightScale, Snyk, Tufin, AttackIQ</t>
  </si>
  <si>
    <t>Provider of a big data analytics platform intended to provide a complete and accurate visibility into an organization's assets, controls, vulnerabilities and threats, from enterprise-level down to individual devices. The company's platform offers meaningful, timely and accurate data-driven insights that meet strategic, operational and tactical needs, enabling clients to gain continuous visibility and automated control reporting capability to easily optimize cyber hygiene across their businesses.</t>
  </si>
  <si>
    <t>Business/Productivity Software*, Database Software, Network Management Software</t>
  </si>
  <si>
    <t>business security, cyber security, data security, risk metrics, security analytics, security visualisation</t>
  </si>
  <si>
    <t>www.panaseer.com</t>
  </si>
  <si>
    <t>2015: 13, 2018: 33</t>
  </si>
  <si>
    <t>119635-03P</t>
  </si>
  <si>
    <t>Mike Macintyre</t>
  </si>
  <si>
    <t>Co-Founder &amp; Chief Scientist</t>
  </si>
  <si>
    <t>mike.macintyre@panaseer.com</t>
  </si>
  <si>
    <t>+44 (0)20 3797 4819</t>
  </si>
  <si>
    <t>ET1 01</t>
  </si>
  <si>
    <t>1-2 Hatfields, South Bank</t>
  </si>
  <si>
    <t>SE1 9PG</t>
  </si>
  <si>
    <t>info@panaseer.com</t>
  </si>
  <si>
    <t>The company raised $10 million of Series A venture funding in a deal led by Evolution Equity Partners on June 18, 2018. Cisco Investments, Paladin Capital Group, Albion Capital, Notion and Winton Ventures also participated in the round. Earlier, the company joined SwiftScale as part of the Spring 2018 mentorship programme on May 4, 2018 and received an undisclosed amount in funding.</t>
  </si>
  <si>
    <t>Albion Capital, C5 Capital, Cisco Investments, Elixirr, Evolution Equity Partners, Notion, Paladin Capital Group, Paul Staples, SwiftScale, Winton Ventures</t>
  </si>
  <si>
    <t>Albion Capital(www.albion.capital), C5 Capital(www.c5capital.com), Cisco Investments(www.ciscoinvestments.com), Elixirr(www.elixirr.com), Evolution Equity Partners(www.evolutionequity.com), Notion(www.notion.vc), Paladin Capital Group(www.paladincapgroup.com), SwiftScale(swiftscale.co)</t>
  </si>
  <si>
    <t>Bolt Burdon(Legal Advisor), Roffe Swayne Chartered Accountants(Accounting)</t>
  </si>
  <si>
    <t>Osborne Clarke(Legal Advisor), PwC(Advisor: General)</t>
  </si>
  <si>
    <t>42142-60</t>
  </si>
  <si>
    <t>Panasas</t>
  </si>
  <si>
    <t>CoreOS, DataDirect Networks, Oracle, Vencore, Dimension Data, F5 Networks, WekaIO, Scale Computing, Atlantis Computing, OpenIO, Logicalis Group, SimpliVity, Veritas Technologies, Nexsan, Hitachi Vantara, Igneous Systems, Xelleration, Pivot3, Blancco, NetApp, Rubrik, Appirio, Dell EMC, SoftServe, NEC Corporation of America, Tegile, Fujitsu</t>
  </si>
  <si>
    <t>Provider of parallel storage for technical computing and enterprise workloads created to deliver performance and reliability at scale from an appliance that is as easy to manage and fast to deploy. The company's parallel storage uses hybrid scale-out network attached storage (NAS) storage and other storage technology, enabling enterprise customer to get superior performance, data availability and reliability, linear scalability and easy management.</t>
  </si>
  <si>
    <t>enterprise environment, networking software, parallel storage services, storage services, technical research</t>
  </si>
  <si>
    <t>www.panasas.com</t>
  </si>
  <si>
    <t>2015: 150, 2019: 150</t>
  </si>
  <si>
    <t>32018-68P</t>
  </si>
  <si>
    <t>Faye Pairman</t>
  </si>
  <si>
    <t>Chief Executive Officer, Board Member &amp; President</t>
  </si>
  <si>
    <t>fpairman@panasas.com</t>
  </si>
  <si>
    <t>+1 (408) 215-6800</t>
  </si>
  <si>
    <t>969 West Maude Avenue</t>
  </si>
  <si>
    <t>+1 (408) 215-6801</t>
  </si>
  <si>
    <t>info@panasas.com</t>
  </si>
  <si>
    <t>The company received an undisclosed amount of development capital from Kewa Financial and Dowroc Partners on February 26, 2019. The investment will fund ongoing technology and product development and also support expansion into new markets, as well as the exploration of OEM relationships.</t>
  </si>
  <si>
    <t>Centennial Ventures, Dowroc Partners, Evercore Group, Focus Ventures (USA), Industry Ventures, Intel Capital, Kewa Financial, Mehdi Maghsoodnia, Mohr Davidow Ventures, NCD Partners, Northgate Capital, Novak Biddle Venture Partners, ORIX Growth Capital, The Goldman Sachs Group, UCLA Ventures</t>
  </si>
  <si>
    <t>The Carlyle Group</t>
  </si>
  <si>
    <t>Centennial Ventures(www.centennial.com), Dowroc Partners(www.dowroc.com), Evercore Group(www.evercore.com), Focus Ventures (USA)(www.focusventures.com), Industry Ventures(www.industryventures.com), Intel Capital(www.intelcapital.com), Kewa Financial(www.kewafinancial.com), Mohr Davidow Ventures(www.mdv.com), Northgate Capital(www.northgate.com), Novak Biddle Venture Partners(www.novakbiddle.com), The Goldman Sachs Group(www.goldmansachs.com), UCLA Ventures(www.ventures.ucla.edu)</t>
  </si>
  <si>
    <t>The Carlyle Group(www.carlyle.com)</t>
  </si>
  <si>
    <t>Fenwick &amp; West(Legal Advisor), Gunderson Dettmer(Legal Advisor), Intralink Group(Consulting), Morgan, Lewis &amp; Bockius(Legal Advisor)</t>
  </si>
  <si>
    <t>Avidbank(Debt Financing), Fenwick &amp; West(Legal Advisor), Morgan, Lewis &amp; Bockius(Legal Advisor), ORIX Growth Capital(Debt Financing)</t>
  </si>
  <si>
    <t>226880-47</t>
  </si>
  <si>
    <t>Pairwise Plants</t>
  </si>
  <si>
    <t>Pairwise</t>
  </si>
  <si>
    <t>Provider of an agricultural platform created to focus in the use of gene editing to leverage natural diversity in agricultural crops. The company's platform brings together agriculture and technology to harness the transformative potential of genome editing to address our food system's needs, enabling farmers to concentrate on nutrition and ignore food challenges.</t>
  </si>
  <si>
    <t>Biotechnology*, Cultivation</t>
  </si>
  <si>
    <t>AgTech, Life Sciences, TMT</t>
  </si>
  <si>
    <t>crop nutrition, gene modification, natural crop</t>
  </si>
  <si>
    <t>www.pairwise.com</t>
  </si>
  <si>
    <t>2018: 20</t>
  </si>
  <si>
    <t>181985-86P</t>
  </si>
  <si>
    <t>Tom Adams</t>
  </si>
  <si>
    <t>tadams@pairwiseplants.com</t>
  </si>
  <si>
    <t>+1 (919) 321-0820</t>
  </si>
  <si>
    <t>Research Triangle, NC</t>
  </si>
  <si>
    <t>110 TW Alexander Drive</t>
  </si>
  <si>
    <t>Research Triangle</t>
  </si>
  <si>
    <t>The company raised $25 million of Series A venture funding in a deal led by Deerfield Management and Monsanto Growth Ventures on March 20, 2018. Other undisclosed investors also participated in the round. The funds will be used to accelerate the corporation's innovation.</t>
  </si>
  <si>
    <t>Deerfield Management, Monsanto Growth Ventures</t>
  </si>
  <si>
    <t>Deerfield Management(www.deerfield.com)</t>
  </si>
  <si>
    <t>56428-75</t>
  </si>
  <si>
    <t>Paidy</t>
  </si>
  <si>
    <t>Exchange Corp. K.K.</t>
  </si>
  <si>
    <t>Docdata Payments, Sage Pay, Ringpay, Kudo, Pay and Shop, PayLane, GoCardless, WePay, Zipmark, RevoPay, Paymentwall, Aevi International, Adyen</t>
  </si>
  <si>
    <t>Provider of an online payment platform and loan service designed to give consumers peace of mind and increase conversion and sales. The company's platform offers to make cardless e-commerce payments and helps in peer-to-peer lending, enabling consumers to boost conversion and live profitably.</t>
  </si>
  <si>
    <t>FinTech, Mobile Commerce, TMT</t>
  </si>
  <si>
    <t>lending service, mobile ecommerce, online payment, payment platform</t>
  </si>
  <si>
    <t>www.paidy.com</t>
  </si>
  <si>
    <t>59118-22P</t>
  </si>
  <si>
    <t>Russell Cummer</t>
  </si>
  <si>
    <t>russell.cummer@exchange.co.jp</t>
  </si>
  <si>
    <t>Halifax Building 3rd Floor 3-16-26</t>
  </si>
  <si>
    <t>Roppongi, Minato-ku</t>
  </si>
  <si>
    <t>The company raised $55 million of Series C venture funding in a deal led by Itochu on August 23, 2018. Visa Ventures and Goldman Sachs Principal Strategic Investments also participated in the round. The company's collaboration will also support Paidy's expansion into new types of services for their customers.</t>
  </si>
  <si>
    <t>500 Startups, ACE &amp; Company, Arbor Ventures, Cherubic Ventures, CyberAgent Capital, David McClure, Eight Roads, Goldman Sachs Principal Strategic Investments, Itochu, Juvo Capital, MS Capital, MS Seed Capital, Recruit Strategic Partners, SBI Holdings, SBI Investment, SIG Susquehanna, Susquehanna Asia Investments, Visa Ventures</t>
  </si>
  <si>
    <t>500 Startups(www.500.co), ACE &amp; Company(www.aceandcompany.com), Arbor Ventures(www.arborventures.com), Cherubic Ventures(www.cherubic.com), CyberAgent Capital(www.cyberagentcapital.com), David McClure(www.davemcclure.com), Eight Roads(www.eightroads.com), Itochu(www.itochu.co.jp/en/index.html), Juvo Capital(www.juvocapital.com), MS Capital(www.mscapital.jp), Recruit Strategic Partners(recruitstrategicpartners.com), SBI Holdings(www.sbigroup.co.jp), SBI Investment(www.sbinvestment.co.jp), SIG Susquehanna(www.sig.com), Susquehanna Asia Investments(www.sig-china.com)</t>
  </si>
  <si>
    <t>Entoro Capital(Advisor: General)</t>
  </si>
  <si>
    <t>153064-36</t>
  </si>
  <si>
    <t>Packet</t>
  </si>
  <si>
    <t>Liquid Web, DigitalOcean, Cloudways, Codero Hosting, Datagram, Hostway Services, Frame, Hosting.com, Carbon60 Networks, OVH, Cogeco Peer 1, Segment</t>
  </si>
  <si>
    <t>Provider of a cloud hosting platform designed to automate server configurations. The company's platform automates physical servers and networks without the use of virtualization or multi-tenancy, powering over 60k deploys each month across its 18 global datacenters, as well as dozens of private and on-premise locations with a combination of flexible bare metal automation and focus on carrier-grade networking features, enabling enterprises, SaaS companies, and software innovators to deploy automated infrastructure, anywhere and on their terms.</t>
  </si>
  <si>
    <t>Network Management Software*, Operating Systems Software, Systems and Information Management</t>
  </si>
  <si>
    <t>automated server, bare metal cloud, cloud hosting software, computing infrastructure provider, iaas, infrastructure-as-a-service, metal automation platform, metal cloud server</t>
  </si>
  <si>
    <t>www.packet.com</t>
  </si>
  <si>
    <t>2016: 17, 2018: 50</t>
  </si>
  <si>
    <t>120870-64P</t>
  </si>
  <si>
    <t>Steven Smyser</t>
  </si>
  <si>
    <t>steve@packet.net</t>
  </si>
  <si>
    <t>+1 (212) 933-9785</t>
  </si>
  <si>
    <t>30 Vesey Street</t>
  </si>
  <si>
    <t>help@packet.net</t>
  </si>
  <si>
    <t>The company raised $25 million of Series B venture funding in a deal led by Third Point Ventures on September 11, 2018, putting the company's pre-money valuation at $75 million. Dell Technologies Capital, SoftBank Group, JA Mitsui Leasing, Samsung NEXT Ventures and Battery Ventures also participated in the round. The company will use its new funding to expand product, engineering, sales and marketing teams, grow into new locations as part of its Edge product, and release an on-premise version of the software that powers Packet's public cloud. The company has now raised over $36 million to date.</t>
  </si>
  <si>
    <t>Battery Ventures, Blue Ant Investments, David Wadler, Dell Technologies Capital, JA Mitsui Leasing, Samsung NEXT Ventures, SoftBank Group, Third Point Ventures</t>
  </si>
  <si>
    <t>Battery Ventures(www.battery.com), JA Mitsui Leasing(www.jamitsuilease.co.jp/en/index.html), Samsung NEXT Ventures(www.samsungnext.com), SoftBank Group(www.softbank.jp), Third Point Ventures(www.thirdpointventures.com)</t>
  </si>
  <si>
    <t>DH Capital(Advisor: General)</t>
  </si>
  <si>
    <t>14195-17</t>
  </si>
  <si>
    <t>Ozon.ru</t>
  </si>
  <si>
    <t>Ozon</t>
  </si>
  <si>
    <t>Flipkart, Lamoda, Trends For Friends Brands, Wikimart, Grover, Chal-Tec</t>
  </si>
  <si>
    <t>Operator of an e-commerce platform intended to offer a wide range of consumer products. The company's platform offers apparel, accessories, electronics, home appliances, books and personal care products among the others with free shipping option, enabling customers to buy products online without a hassle.</t>
  </si>
  <si>
    <t>Clothing, Electronics (B2C), Household Appliances, Internet Retail*, Personal Products</t>
  </si>
  <si>
    <t>online books community, online bookshop, online ecommerce stores, online electronics retail, online retail site, online retailer</t>
  </si>
  <si>
    <t>www.ozon.ru</t>
  </si>
  <si>
    <t>201367-27P</t>
  </si>
  <si>
    <t>Daniel Fedorov</t>
  </si>
  <si>
    <t>dfedorov@ozon.ru</t>
  </si>
  <si>
    <t>+7 (8)495 232 1000</t>
  </si>
  <si>
    <t>Moscow, Russia</t>
  </si>
  <si>
    <t>Presnenskaya Naberezhnaya</t>
  </si>
  <si>
    <t>D. 10, Block C, the complex Embankment Tower</t>
  </si>
  <si>
    <t>Moscow</t>
  </si>
  <si>
    <t>123112</t>
  </si>
  <si>
    <t>Russia</t>
  </si>
  <si>
    <t>Mobile TeleSystems sold an 18.69% stake in the company to Sistema for RUB 7.9 billion on March 15, 2019. This puts the company's valuation at RUB 42.27 Billion.</t>
  </si>
  <si>
    <t>Alpha Associates, Baring Vostok Capital Partners, Cisco Investments, e.ventures, Hartmann Holdings, HV Holtzbrinck Ventures, Index Ventures (UK), Infinity Ventures, Intel Capital, Middleland Capital, PJC, Rakuten, Redpoint eventures, RTP Global, Sistema, Sistema Venture Capital</t>
  </si>
  <si>
    <t>Mobile TeleSystems</t>
  </si>
  <si>
    <t>Alpha Associates(www.alpha-associates.ch), Baring Vostok Capital Partners(www.baring-vostok.com), Cisco Investments(www.ciscoinvestments.com), e.ventures(www.eventures.vc), Hartmann Holdings(www.hartmannholdings.com), HV Holtzbrinck Ventures(www.hvventures.com), Index Ventures (UK)(www.indexventures.com), Infinity Ventures(www.infinityventures.com), Intel Capital(www.intelcapital.com), Middleland Capital(www.middlelandcap.com), PJC(www.pjc.vc), Rakuten(www.rakuten.co.jp), Redpoint eventures(www.rpev.com.br), RTP Global(rtp-global.com), Sistema(www.sistema.com), Sistema Venture Capital(www.sistema.vc)</t>
  </si>
  <si>
    <t>Mobile TeleSystems(www.mts.ru)</t>
  </si>
  <si>
    <t>Widebridge Group(Advisor: General)</t>
  </si>
  <si>
    <t>153138-88</t>
  </si>
  <si>
    <t>OwnBackup</t>
  </si>
  <si>
    <t>Kovarus, Datto, Rubrik, Vision Solutions, Zerto, Green Cloud Technologies, Intronis, CloudVelox, RMM Solutions, Dell EMC, Infrascale, Spanning, Axcient, EVault, Imanis Data, Actifio, Acronis, StorageCraft Technology, Cohesity, SysCloud, Unitrends, BetterCloud</t>
  </si>
  <si>
    <t>Provider of cloud-to-cloud backup and recovery services designed to restore lost data. The company's cloud-to-cloud backup and recovery services provide secure, automated, daily backups of SaaS (Software as a Service) and PaaS (Platform as a service) data as well as sophisticated data comparison and restore tools for disaster recovery, enabling enterprises to recover data loss and manage data corruption.</t>
  </si>
  <si>
    <t>automated data, built-in data-protection, cloud disaster recovery, data backup software, data corruption, data protection tools, data recovery, data restoration, lost data recovery</t>
  </si>
  <si>
    <t>www.ownbackup.com</t>
  </si>
  <si>
    <t>2017: 30</t>
  </si>
  <si>
    <t>Deal (New) Later Stage VC (Series C), 2019|Completed, People (New) Roy Emek, Vice President, Engineering &amp; General Manager, Israel, Promotion (New) Ariel Berkman, Chief Technology Officer &amp; Board Member, Promotion (New) Samuel Gutmann, Chief Executive Officer &amp; Board Member, Departure (New) Eran Cohen, Co-Founder &amp; Chief Operating Officer, News (New) , Competitor (New) CloudVelox, Competitor (New) Datto, Competitor (New) Green Cloud Technologies, Competitor (New) Kovarus, Competitor (New) Zerto</t>
  </si>
  <si>
    <t>41163-58P</t>
  </si>
  <si>
    <t>Samuel Gutmann</t>
  </si>
  <si>
    <t>samuel@ownbackup.com</t>
  </si>
  <si>
    <t>+1 (646) 503-5100</t>
  </si>
  <si>
    <t>Fort Lee, NJ</t>
  </si>
  <si>
    <t>400 Kelby Street</t>
  </si>
  <si>
    <t>Fort Lee</t>
  </si>
  <si>
    <t>07024</t>
  </si>
  <si>
    <t>+1 (646) 503-5101</t>
  </si>
  <si>
    <t>info@ownbackup.com</t>
  </si>
  <si>
    <t>The company raised $23.25 million of Series C venture funding in a deal led by Insight Partners and Vertex Ventures Israel on May 30, 2019. Salesforce Ventures, Innovation Endeavors and Oryzn Capital also participated in the round. The funds will be used to deepen the company's partner network, double its engineering and European teams, and expand product offerings.</t>
  </si>
  <si>
    <t>Innovation Endeavors, Insight Partners, Microsoft ScaleUp, Oryzn Capital, Salesforce Ventures, Vertex Ventures Israel</t>
  </si>
  <si>
    <t>Innovation Endeavors(www.innovationendeavors.com), Insight Partners(www.insightpartners.com), Microsoft ScaleUp(startups.microsoft.com/en-us/scale-up), Oryzn Capital(www.oryzncapital.com), Vertex Ventures Israel(www.vertexventures.co.il)</t>
  </si>
  <si>
    <t>117055-54</t>
  </si>
  <si>
    <t>Owl's Brew</t>
  </si>
  <si>
    <t>The Teaologist Holdings</t>
  </si>
  <si>
    <t>Provider of artisanal tea cocktail mixers intended to provide an effortless way to offer craft cocktails. The company's cocktail mixer is an all-natural product that is brewed-up from whole tea leaves, fruits, spices and herbs, with no added or artificial flavors, enabling consumers with boozier tea product that spells out the ingredients inside of each can.</t>
  </si>
  <si>
    <t>boozy tea, flavored tea, tea brewing platform, tea cocktails mixers, tea product</t>
  </si>
  <si>
    <t>www.theowlsbrew.com</t>
  </si>
  <si>
    <t>134075-44P</t>
  </si>
  <si>
    <t>Jennie Ripps</t>
  </si>
  <si>
    <t>jennie@theowlsbrew.com</t>
  </si>
  <si>
    <t>+1 (646) 790-1559</t>
  </si>
  <si>
    <t>135 West 29th Street</t>
  </si>
  <si>
    <t>info@theowlsbrew.com</t>
  </si>
  <si>
    <t>The company raised $379,000 of Series B venture funding from undisclosed investors on January 31, 2019.</t>
  </si>
  <si>
    <t>Cambridge Companies, Crimson Seed Capital, Don Duberstein, Michael Stillman, ZX Ventures</t>
  </si>
  <si>
    <t>Cambridge Companies(www.cambridgespg.com), Crimson Seed Capital(www.crimsonseedcapital.com), ZX Ventures(www.zx-ventures.com)</t>
  </si>
  <si>
    <t>The Giannuzzi Group(Legal Advisor)</t>
  </si>
  <si>
    <t>232966-27</t>
  </si>
  <si>
    <t>Owl Analytics</t>
  </si>
  <si>
    <t>Owl</t>
  </si>
  <si>
    <t>Provider of data management platform intended to use shemaless and graph technology. The company's platform offer features like behavioral detection, outlier detection, duplicate detection, data cleaning and other related features, enabling clients to access their platform to use embedded graph technology to link datasets and processes together.</t>
  </si>
  <si>
    <t>behavioral detection, data cleaning, duplicate detection, outlier detection</t>
  </si>
  <si>
    <t>www.owl-analytics.com</t>
  </si>
  <si>
    <t>193616-47P</t>
  </si>
  <si>
    <t>Kirk Haslbeck</t>
  </si>
  <si>
    <t>kirk@owl-analytics.com</t>
  </si>
  <si>
    <t>+1 (800) 240-9554</t>
  </si>
  <si>
    <t>MD</t>
  </si>
  <si>
    <t>3881 Ten Oaks Road.</t>
  </si>
  <si>
    <t>Suite 2E</t>
  </si>
  <si>
    <t>21737</t>
  </si>
  <si>
    <t>The company raised $2.5 million of Series A venture funding from Constellation Technology Ventures on September 14, 2018, putting the company's pre-money valuation at $20 million.</t>
  </si>
  <si>
    <t>Constellation Technology Ventures</t>
  </si>
  <si>
    <t>Constellation Technology Ventures(www.technologyventures.constellation.com)</t>
  </si>
  <si>
    <t>170435-53</t>
  </si>
  <si>
    <t>Ouster</t>
  </si>
  <si>
    <t>AEye, Luminar, Velodyne LiDAR, Oryx Vision, Quanergy, Blackmore, Aeva, LeddarTech</t>
  </si>
  <si>
    <t>Developer of high performance LIDAR technology intended to bring 3D sensing to commercial scale in the robotics, autonomous vehicle, security, defense, and drone industries. The company's patented technology offers industry leading performance, scalability, reliability and form factor, enabling customers to localize, map, and perceive their environments for their machines and robots.</t>
  </si>
  <si>
    <t>Electrical Equipment*, Other Software</t>
  </si>
  <si>
    <t>3d sensor technology, autonomous vehicle components, lidar, lidar distance sensor, lidar technology, location mapping, location tracking, robotics and automation systems</t>
  </si>
  <si>
    <t>www.ouster.io</t>
  </si>
  <si>
    <t>2017: 40, 2018: 50, 2019: 100</t>
  </si>
  <si>
    <t>57545-29P</t>
  </si>
  <si>
    <t>Angus Pacala</t>
  </si>
  <si>
    <t>angus.pacala@ouster.io</t>
  </si>
  <si>
    <t>+1 (415) 949-0108</t>
  </si>
  <si>
    <t>350 Treat Avenue</t>
  </si>
  <si>
    <t>lidar@ouster.io</t>
  </si>
  <si>
    <t>The company raised $60 million of Series A1 venture funding in a deal led by Runway Growth Capital on March 25, 2019. Cox Enterprises, Constellation Technology Ventures, Fontinalis Partners, Carthona Capital and Silicon Valley Bank also participated in the round. Part of the funding consists of convertible debt.The fresh capital will be used to fund the expansion of the company's production facilities. Previously, the company received $10 million of debt financing in the form of a term loan from Runway Growth Capital on November 27, 2018.</t>
  </si>
  <si>
    <t>Amity Ventures, Carthona Capital, Constellation Technology Ventures, Cox Enterprises, CSC UpShot Ventures, Cthulhu Ventures, Fontinalis Partners, Redbus Group, Runway Growth Capital, Silicon Valley Bank, Tao Capital Partners</t>
  </si>
  <si>
    <t>Amity Ventures(www.amityventures.com), Carthona Capital(www.carthonacapital.com), Constellation Technology Ventures(www.technologyventures.constellation.com), Cox Enterprises(www.coxenterprises.com), CSC UpShot Ventures(www.csc-upshot.vc), Cthulhu Ventures(www.cthulhuventures.com), Fontinalis Partners(www.fontinalis.com), Redbus Group(www.redbus.uk), Runway Growth Capital(www.runwaygrowth.com), Silicon Valley Bank(www.svb.com), Tao Capital Partners(www.taocap.com)</t>
  </si>
  <si>
    <t>Latham &amp; Watkins(Legal Advisor), Orrick, Herrington &amp; Sutcliffe(Legal Advisor), Runway Growth Capital(Debt Financing)</t>
  </si>
  <si>
    <t>160473-97</t>
  </si>
  <si>
    <t>Otonomo Technologies</t>
  </si>
  <si>
    <t>Otonomo</t>
  </si>
  <si>
    <t>Developer of a data exchange platform designed to offer a connected car ecosystem. The company's platform easily and compliantly share and integrate vehicle data, auto OEMs and increases the ability of cars to exchange data with the outside world, enabling service providers to realize the full potential of the connected car to transform and save lives.</t>
  </si>
  <si>
    <t>Automation/Workflow Software, Media and Information Services (B2B)*, Other Commercial Services</t>
  </si>
  <si>
    <t>autonomous car platform, car data exchange, car data exchange platform, car-generated data, data exchange software, data exchange system</t>
  </si>
  <si>
    <t>www.otonomo.io</t>
  </si>
  <si>
    <t>39045-16P</t>
  </si>
  <si>
    <t>Ben Volkow</t>
  </si>
  <si>
    <t>ben@otonomo.io</t>
  </si>
  <si>
    <t>16 Abba Even Boulevard</t>
  </si>
  <si>
    <t>Herzeliya Pituach</t>
  </si>
  <si>
    <t>info@otonomo.io</t>
  </si>
  <si>
    <t>The company raised an undisclosed amount of Series C venture funding in a deal led by SK Group on April 7, 2019. Dell Technologies Capital, NTT Docomo Ventures, Delphi Midstream Partners, StageOne Ventures, Bessemer Venture Partners and Maniv Mobility also participated in the round. The funds will be used to meet all the demand in the market and to expand on all fronts, including engineering, sales and marketing.</t>
  </si>
  <si>
    <t>Aptiv, Bessemer Venture Partners, Cerca Partners, Dell Technologies Capital, Delphi Midstream Partners, Delphi Technologies (Powertrain Systems segment), Hearst Ventures, LocalGlobe, Maniv Mobility, NTT Docomo Ventures, Plug and Play Tech Center, SK Group, StageOne Ventures, Startup Autobahn, Stephen Girsky</t>
  </si>
  <si>
    <t>Aptiv(www.aptiv.com), Bessemer Venture Partners(www.bvp.com), Cerca Partners(www.cerca-partners.com), Delphi Midstream Partners(www.delphimidstream.com), Delphi Technologies (Powertrain Systems segment)(www.delphi.com), LocalGlobe(www.localglobe.vc), Maniv Mobility(www.maniv.com), NTT Docomo Ventures(www.nttdocomo-v.com), Plug and Play Tech Center(www.plugandplaytechcenter.com), SK Group(www.sk.com), StageOne Ventures(www.stageonevc.com), Startup Autobahn(www.startup-autobahn.com)</t>
  </si>
  <si>
    <t>Gross Kleinhendler Hodak Halevy Greenberg &amp; Co.(Legal Advisor), Shenhav &amp; Co. Advocates &amp; Notary(Legal Advisor)</t>
  </si>
  <si>
    <t>94001-41</t>
  </si>
  <si>
    <t>Ossia</t>
  </si>
  <si>
    <t>OmniLectric</t>
  </si>
  <si>
    <t>Mojo Mobility, Wi-Charge, ChargeSpot, Pi, uBeam, Powermat Technologies, PowerSquare, Powercast, Energous</t>
  </si>
  <si>
    <t>Developer of a wireless charging technology designed to charge cell phone, remote control, electric toothbrushes etc without plugging it in. The company's patented RF smart antenna technology automatically offers a wireless power transmission product, that delivers remote targeted energy to devices at a distance and automatically keeps multiple devices charged without any user intervention, providing users with an efficient and wire-free, powered-up world, that is always on and always connected.</t>
  </si>
  <si>
    <t>Connectivity Products, Electronics (B2C)*, Wireless Communications Equipment</t>
  </si>
  <si>
    <t>charging systems, electromagnetic radiation, power transmission, wireless charging</t>
  </si>
  <si>
    <t>www.ossia.com</t>
  </si>
  <si>
    <t>2013: 19, 2014: 17, 2016: 35, 2018: 60</t>
  </si>
  <si>
    <t>84532-78P</t>
  </si>
  <si>
    <t>Hatem Zeine</t>
  </si>
  <si>
    <t>Founder, Chairman, Chief Technology Officer &amp; Chief Scientist</t>
  </si>
  <si>
    <t>h.zeine@ossiainc.com</t>
  </si>
  <si>
    <t>+1 (425) 406-6477</t>
  </si>
  <si>
    <t>Bellevue, WA</t>
  </si>
  <si>
    <t>1100 112th Avenue North East</t>
  </si>
  <si>
    <t>Bellevue</t>
  </si>
  <si>
    <t>98004</t>
  </si>
  <si>
    <t>info@ossia.com</t>
  </si>
  <si>
    <t>The company received $6 million of development capital from Silicon Valley Bank on June 2018. ESAS Ventures also participated in it.</t>
  </si>
  <si>
    <t>ESAS Ventures, Fenox Venture Capital, Global Brain, Intel Capital, KDDI Ventures Program, Ken Sobajima, Molex Ventures, Motherson Innovations, Recruit Strategic Partners, Silicon Valley Bank, TechCrunch, Westcott</t>
  </si>
  <si>
    <t>ESAS Ventures(www.esasventures.com), Fenox Venture Capital(www.fenoxvc.com), Global Brain(www.globalbrains.com), Intel Capital(www.intelcapital.com), Molex Ventures(www.molexventures.com), Motherson Innovations(www.motherson-innovations.com), Recruit Strategic Partners(recruitstrategicpartners.com), Silicon Valley Bank(www.svb.com), TechCrunch(www.techcrunch.com), Westcott(www.westcott.com)</t>
  </si>
  <si>
    <t>CFO Selections(Consulting), Herd Freed Hartz(Advisor: General), Perkins Coie(Legal Advisor)</t>
  </si>
  <si>
    <t>88483-96</t>
  </si>
  <si>
    <t>Osprey Informatics</t>
  </si>
  <si>
    <t>Osprey</t>
  </si>
  <si>
    <t>Pixel Velocity, Elynx Technologies, Fiix, ConnectWise, WellAware Holdings</t>
  </si>
  <si>
    <t>Developer of a cloud-based platform designed to offer intelligent visual monitoring services. The company's platform detects important operational events, analyzes related images and video with advanced computer vision along with data from other sensors and systems, enabling organizations to remotely inspect facilities and equipment, monitor site activity, optimize labor productivity and ultimately increase manage more assets with fewer people.</t>
  </si>
  <si>
    <t>Business/Productivity Software*, Network Management Software, Other Commercial Services</t>
  </si>
  <si>
    <t>Advanced Manufacturing, SaaS</t>
  </si>
  <si>
    <t>computer vision company, iiot platform, leak detection, video analytics, visual monitoring, visual monitoring platform, visual monitoring portal, visual monitoring services</t>
  </si>
  <si>
    <t>www.ospreyinformatics.com</t>
  </si>
  <si>
    <t>156823-30P</t>
  </si>
  <si>
    <t>Robert Logan</t>
  </si>
  <si>
    <t>rob.logan@ospreyinformatics.com</t>
  </si>
  <si>
    <t>+1 (844) 590-0824</t>
  </si>
  <si>
    <t>Calgary, Canada</t>
  </si>
  <si>
    <t>Suite 900</t>
  </si>
  <si>
    <t>640 8th Avenue South West</t>
  </si>
  <si>
    <t>Calgary</t>
  </si>
  <si>
    <t>Alberta</t>
  </si>
  <si>
    <t>T2P 1G7</t>
  </si>
  <si>
    <t>info@ospreyinformatics.com</t>
  </si>
  <si>
    <t>The company raised CAD 3.75 million of Series B venture funding in a deal led by Shell Ventures and Evok Innovations on December 14, 2018. InterGen (Power Generation) also participated in the round.</t>
  </si>
  <si>
    <t>Anzu Partners, Chrysalis Capital Advisors, Evok Innovations, InterGen, Shell Ventures, TecTerra, Zone Startups Calgary</t>
  </si>
  <si>
    <t>Anzu Partners(www.anzupartners.com), Chrysalis Capital Advisors(www.chrysaliscapital.ca), Evok Innovations(www.evokinnovations.com), InterGen(www.intergen.com), TecTerra(www.tecterra.com), Zone Startups Calgary(calgary.zonestartups.com)</t>
  </si>
  <si>
    <t>62112-43</t>
  </si>
  <si>
    <t>OSN Online Social Networking</t>
  </si>
  <si>
    <t>Verwandt</t>
  </si>
  <si>
    <t>Operator of an online social networking platform. The company operates family networking websites for build family trees.</t>
  </si>
  <si>
    <t>family network, social engagement</t>
  </si>
  <si>
    <t>www.verwandt.de</t>
  </si>
  <si>
    <t>MyHeritage</t>
  </si>
  <si>
    <t>63844-12P</t>
  </si>
  <si>
    <t>Sven Schmidt</t>
  </si>
  <si>
    <t>sven.schmidt@dynastree.com</t>
  </si>
  <si>
    <t>+49 (0)40 2384 9140</t>
  </si>
  <si>
    <t>Heimhuder Straße 72</t>
  </si>
  <si>
    <t>20148</t>
  </si>
  <si>
    <t>+49 (0)40 4154 5714</t>
  </si>
  <si>
    <t>info@verwandt.de</t>
  </si>
  <si>
    <t>The company was acquired by MyHeritage for an undisclosed amount on February 2, 2010. The company is no longer actively tracked by PitchBook.</t>
  </si>
  <si>
    <t>Hasso Plattner Ventures, Neuhaus Partners</t>
  </si>
  <si>
    <t>Hasso Plattner Ventures(www.hp-ventures.com), Neuhaus Partners(www.neuhauspartners.com)</t>
  </si>
  <si>
    <t>90809-83</t>
  </si>
  <si>
    <t>OSF Global Services</t>
  </si>
  <si>
    <t>Outsourcing Factory</t>
  </si>
  <si>
    <t>Itelios, Publicis Sapient, Astound Commerce, Isobar, Bluewolf Group, Lyons Consulting Group, Capgemini, Dentsu Aegis Network, Blue Acorn, Javelin Group, Deloitte Digital, PFSweb, Acquity Group, Accenture, Bee Excellent</t>
  </si>
  <si>
    <t>Developer of a cloud-based platform designed to offer consulting, application development and implementation services. The company's platform delivers innovative services across channels, devices and locales with an agile approach to scale global growth more quickly, enabling emerging and premier brands, and merchants focused on building Multi-Cloud and Unified Commerce projects using Salesforce Clouds and other top-tier cloud technologies.</t>
  </si>
  <si>
    <t>IT Consulting and Outsourcing*</t>
  </si>
  <si>
    <t>cloud technology consulting, commerce solutions, ecommerce consulting, ecommerce implementation, ecommerce replatforming, enterprise solutions, implementation services, mobile application development, multi-cloud solutions, salesforce clouds, salesforce partners, system integrator, technology integrator, unified commerce</t>
  </si>
  <si>
    <t>www.osf-global.com</t>
  </si>
  <si>
    <t>2017: 700, 2018: 1000, 2019: 1020</t>
  </si>
  <si>
    <t>129193-03P</t>
  </si>
  <si>
    <t>Gerard Szatvanyi</t>
  </si>
  <si>
    <t>gerard.szatvanyi@osf-global.com</t>
  </si>
  <si>
    <t>+1 (888) 548-4344</t>
  </si>
  <si>
    <t>Quebec City, Canada</t>
  </si>
  <si>
    <t>5600, Boulevard Des Galeries</t>
  </si>
  <si>
    <t>Bur 530</t>
  </si>
  <si>
    <t>Quebec City</t>
  </si>
  <si>
    <t>G2K 2H6</t>
  </si>
  <si>
    <t>contact@osf-global.com</t>
  </si>
  <si>
    <t>The company received $23 million of development capital from Delta-v Capital and Salesforce Ventures on May 7, 2019. The funds will be used to Accelerate Global Commerce Capabilities.</t>
  </si>
  <si>
    <t>Business Development Bank of Canada, Delta-v Capital, Salesforce Ventures</t>
  </si>
  <si>
    <t>Business Development Bank of Canada(www.bdc.ca), Delta-v Capital(www.deltavcapital.com)</t>
  </si>
  <si>
    <t>True Blue Partners(Advisor: General)</t>
  </si>
  <si>
    <t>139907-71</t>
  </si>
  <si>
    <t>Osaro</t>
  </si>
  <si>
    <t>Aylien, Iris AI, Maluuba, Intelligent Layer, Skymind, Vertex.AI, Clinc, Symphony AyasdiAI, Klydo, Mind Foundry, SigOpt, Indico, DarwinAI, DigitalGenius, micropsi industries, Numenta, DataRobot, Skytree, Seldon, Canotic, Prowler.io</t>
  </si>
  <si>
    <t>Developer of machine intelligence software designed to build a smarter future. The company's software with state-of-the-art perception and powerful adaptive decision-making abilities can automatically extract information from high-dimensional, time-varying data as well as interact with the environment to learn, discover, and achieve a specific goal, enabling computer and robotic systems to act efficiently and intelligently.</t>
  </si>
  <si>
    <t>artificial intelligence software, deep reinforcement learning, machine intelligence software, machine learning technology</t>
  </si>
  <si>
    <t>www.osaro.com</t>
  </si>
  <si>
    <t>121693-33P</t>
  </si>
  <si>
    <t>Derik Pridmore</t>
  </si>
  <si>
    <t>derik@osaro.com</t>
  </si>
  <si>
    <t>118 2nd Street</t>
  </si>
  <si>
    <t>info@osaro.com</t>
  </si>
  <si>
    <t>The company raised $10.8 million of Series A venture funding from Abstract Ventures, Alpha Intelligence Capital , Hemisphere Ventures, Jerry Yang, Arab Angel, Comcast Ventures, Fenox Venture Capital and other undisclosed investors on April 13, 2017, putting the pre-money valuation at $34.2 million.</t>
  </si>
  <si>
    <t>Abstract Ventures, Adam Weissman, Alpha Intelligence Capital Fund, AME Cloud Ventures, Arab Angel, Bossa Nova Investimentos, Comcast Ventures, Compound, Daniel Loeb, Darian Shirazi, Elad Gil, Fenox Venture Capital, Hemisphere Ventures, Mark Cuban, Morado Venture Partners, Nicholas Berggruen, Peter Thiel, Scott Banister, Sean Parker, Suleman Ali</t>
  </si>
  <si>
    <t>Abstract Ventures(www.abstractvc.com), Alpha Intelligence Capital Fund(www.aicapital.ai), AME Cloud Ventures(www.amecloudventures.com), Arab Angel(www.arabangel.vc), Bossa Nova Investimentos(www.bossainvest.com), Comcast Ventures(www.comcastventures.com), Compound(www.compound.vc), Fenox Venture Capital(www.fenoxvc.com), Hemisphere Ventures(www.hemisphere.com), Morado Venture Partners(www.moradoventures.com), Suleman Ali(www.sulemanali.com)</t>
  </si>
  <si>
    <t>129022-48</t>
  </si>
  <si>
    <t>Organic Response</t>
  </si>
  <si>
    <t>Developer of cloud-based data analytics platform designed to remotely monitor and control lighting assets. The company's cloud-based data analytics platform and lighting control system collects data from numerous sensor nodes, integrated with every luminaire within a building, enabling businesses to increase efficiency and savings.</t>
  </si>
  <si>
    <t>Business/Productivity Software, Database Software*, Other Energy Services</t>
  </si>
  <si>
    <t>cloud-based data analytics platform, data analytics platform, lighting control, lighting control platform, lighting control system, lighting decision</t>
  </si>
  <si>
    <t>Bankruptcy: Admin/Reorg</t>
  </si>
  <si>
    <t>www.organicresponse.com</t>
  </si>
  <si>
    <t>Richmond, Australia</t>
  </si>
  <si>
    <t>Level 1, 10 York Street</t>
  </si>
  <si>
    <t>3121</t>
  </si>
  <si>
    <t>+61 (0)3 9486 9823</t>
  </si>
  <si>
    <t>The company entered into administration on February 24, 2017.</t>
  </si>
  <si>
    <t>Constellation Technology Ventures, E.ON Strategic Co-Investments, Exelon</t>
  </si>
  <si>
    <t>Constellation Technology Ventures(www.technologyventures.constellation.com), Exelon(www.exeloncorp.com)</t>
  </si>
  <si>
    <t>54381-88</t>
  </si>
  <si>
    <t>OrderBird</t>
  </si>
  <si>
    <t>Squirrel Systems, iZettle, SpotOn, Pepperbill, Gastrofix</t>
  </si>
  <si>
    <t>Developer of a Point of Sale (POS) systems platform intended to provide affordable and intuitive services for the modern restaurant business. The company's Point of Sale (POS) systems platform takes, invoices and evaluates digital orders, enabling users to do mobile ordering, real-time data analysis, cashless payment acceptance and accounting ready reporting.</t>
  </si>
  <si>
    <t>FinTech, Mobile Commerce, Restaurant Technology, SaaS, TMT</t>
  </si>
  <si>
    <t>accounting system, gastronomic cash out, payment and processing vertical, payment service</t>
  </si>
  <si>
    <t>www.orderbird.com</t>
  </si>
  <si>
    <t>2013: 20, 2014: 60, 2016: 200</t>
  </si>
  <si>
    <t>48430-00P</t>
  </si>
  <si>
    <t>Jakob Schreyer</t>
  </si>
  <si>
    <t>jakob@orderbird.com</t>
  </si>
  <si>
    <t>+49 (0)30 2089 8309 9</t>
  </si>
  <si>
    <t>Ritterstraße 12-14, Aufg. 4</t>
  </si>
  <si>
    <t>10969</t>
  </si>
  <si>
    <t>+49 (0)32 1214 6818 9</t>
  </si>
  <si>
    <t>hello@orderbird.com</t>
  </si>
  <si>
    <t>The company received $16.5 million of development capital from Digital+ Partners, Metro (Supermarkets), Concardis on January 31, 2017.</t>
  </si>
  <si>
    <t>Alexandre Massart, Alternative Strategic Investments, Concardis, Digital+ Partners, European Regional Development Fund, Hasso Plattner Ventures, LeadX Capital Partners, Metro (Supermarkets), Patrick Mielmann</t>
  </si>
  <si>
    <t>Alternative Strategic Investments(www.alstin.de), Concardis(www.concardis.com), Digital+ Partners(www.dplus.partners), European Regional Development Fund(www.efre.brandenburg.de/cms/detail.php/bb1.c.152414.de), Hasso Plattner Ventures(www.hp-ventures.com), LeadX Capital Partners(www.leadxcapital.com), Metro (Supermarkets)(www.metroag.de)</t>
  </si>
  <si>
    <t>LACORE Rechtsanwälte(Legal Advisor), WilmerHale(Legal Advisor)</t>
  </si>
  <si>
    <t>ACXIT Capital Partners(Advisor: General), Investitionsbank Berlin(Debt Financing), LACORE Rechtsanwälte(Legal Advisor), WilmerHale(Legal Advisor)</t>
  </si>
  <si>
    <t>56330-38</t>
  </si>
  <si>
    <t>Orbital Marine Power</t>
  </si>
  <si>
    <t>Scotrenewables Tidal Power</t>
  </si>
  <si>
    <t>SRTP</t>
  </si>
  <si>
    <t>OpenHydro, Tocardo International, SIMEC Atlantis Energy, Nova Innovation</t>
  </si>
  <si>
    <t>Developer cost effective tidal and river hydrokinetic turbines designed for offshore engineering. The company's turbines convert energy from tidal streams and river currents where they are strongest and closest to the surface, enabling clients to have access to turbines with low installation and maintenance costs.</t>
  </si>
  <si>
    <t>Alternative Energy Equipment*, Water Utilities</t>
  </si>
  <si>
    <t>alternative energy, hydrokinetic turbine, marine energy, river turbine, tidal energy, tidal turbine</t>
  </si>
  <si>
    <t>www.orbitalmarine.com</t>
  </si>
  <si>
    <t>2014: 14, 2015: 15, 2017: 25, 2019: 30</t>
  </si>
  <si>
    <t>123947-02P</t>
  </si>
  <si>
    <t>Andrew Scott</t>
  </si>
  <si>
    <t>a.scott@orbitalmarine.com</t>
  </si>
  <si>
    <t>+44 (0)18 5685 1641</t>
  </si>
  <si>
    <t>Orkney, United Kingdom</t>
  </si>
  <si>
    <t>Innovation Centre</t>
  </si>
  <si>
    <t>Hatston Pier Road, Kirkwall</t>
  </si>
  <si>
    <t>KW15 1ZL</t>
  </si>
  <si>
    <t>+44 (0)18 5685 1642</t>
  </si>
  <si>
    <t>office@orbitalmarine.com</t>
  </si>
  <si>
    <t>The company raised GBP 7 million of venture funding from undisclosed investors via Abundance Investment on January 10, 2019. The company will use the funds to build the first production model of its 2MW Orbital O2 floating tidal turbine platform for deployment at the European Marine Energy Centre in Orkney.</t>
  </si>
  <si>
    <t>ABB Technology Ventures, Bonheur Holding, DP Energy Ireland, Fred. Olsen, Ganger Rolf, Harland And Wolff Heavy Industries, Scotmarine, Scottish Enterprise, The Scottish Government, Total Energy Ventures</t>
  </si>
  <si>
    <t>Bonheur Holding(www.bonheur.no), DP Energy Ireland(www.dpenergy.com), Fred. Olsen(www.fredolsen.co.uk), Ganger Rolf(www.ganger-rolf.com), Harland And Wolff Heavy Industries(harland-wolff.com), Scottish Enterprise(www.scottish-enterprise.com), The Scottish Government(www.gov.scot)</t>
  </si>
  <si>
    <t>Brodies(Legal Advisor), Royal Bank of Scotland(General Business Banking)</t>
  </si>
  <si>
    <t>Abundance Investment(Lead Manager or Arranger), Brodies(Legal Advisor)</t>
  </si>
  <si>
    <t>104126-05</t>
  </si>
  <si>
    <t>Orbital Insight</t>
  </si>
  <si>
    <t>Orbital</t>
  </si>
  <si>
    <t>Geospin, SpaceKnow, MapAnything, Cape Analytics, Sentera, DroneDeploy, Rezatec, Tensorflight</t>
  </si>
  <si>
    <t>Developer of geospatial analytics intended to offer a better understanding of societal and economic trends. The company's analytics offers machine learning and computer vision technologies, enabling businesses, governments, and NGOs to avail software that interprets data at petabyte scale to drive better business and policy decisions.</t>
  </si>
  <si>
    <t>Business/Productivity Software, Database Software, Other Communications and Networking*</t>
  </si>
  <si>
    <t>geospatial analysis, geospatial big data, satellite data, satellite data analysis, space imaging</t>
  </si>
  <si>
    <t>www.orbitalinsight.com</t>
  </si>
  <si>
    <t>2015: 11, 2016: 30, 2017: 84</t>
  </si>
  <si>
    <t>90702-37P</t>
  </si>
  <si>
    <t>James Crawford</t>
  </si>
  <si>
    <t>jc@orbitalinsight.com</t>
  </si>
  <si>
    <t>+1 (650) 353-2060</t>
  </si>
  <si>
    <t>3000 El Camino Real</t>
  </si>
  <si>
    <t>Building 2, 6th Floor</t>
  </si>
  <si>
    <t>info@orbitalinsight.com</t>
  </si>
  <si>
    <t>The company is in the process of raising an estimated $50 million of Series D venture funding as of January 28, 2019, putting the company's pre-money valuation at $430 million. Previously, the company raised $50 million of Series C venture funding in a deal led by Sequoia Capital on April 10, 2017, putting the pre-money valuation at $230 million. Envision Ventures, Balyasny Asset Management, Geodetic Capital, Itochu, Intellectus Partners, GV, Lux Capital and CME Ventures also participated in the round. The funds will be used to expand globally in the coming year, expand its partnerships, increase its analytics products and build its international sales operations in Europe and Asia.</t>
  </si>
  <si>
    <t>Balyasny Asset Management, Bloomberg Beta, Citizen.VC, Clearvision Ventures, CME Ventures, Envision Ventures, Geodesic Capital, GV, In-Q-Tel, Intellectus Partners, Itochu, Lux Capital, Plug and Play Tech Center, Sequoia Capital</t>
  </si>
  <si>
    <t>Balyasny Asset Management(www.bamfunds.com), Bloomberg Beta(www.bloombergbeta.com), Citizen.VC(www.citizen.vc), Clearvision Ventures(www.clearvisionventures.com), Envision Ventures(www.envisionvc.com), Geodesic Capital(www.geodesiccap.com), GV(www.gv.com), In-Q-Tel(www.iqt.org), Intellectus Partners(www.intellect.us), Itochu(www.itochu.co.jp/en/index.html), Lux Capital(www.luxcapital.com), Plug and Play Tech Center(www.plugandplaytechcenter.com), Sequoia Capital(www.sequoiacap.com)</t>
  </si>
  <si>
    <t>178216-03</t>
  </si>
  <si>
    <t>Orai</t>
  </si>
  <si>
    <t>Oratio LLC</t>
  </si>
  <si>
    <t>Developer of an AI-based speech recognition application intended to analyze patterns of human speech. The company's AI-based speech recognition application creates code that analyzes voice and picks up on filler words such as um, enabling people improve the way they communicate.</t>
  </si>
  <si>
    <t>speech recognition app, speech recognition technology, speech recognition tools, voice analyzing app, voice recognition</t>
  </si>
  <si>
    <t>www.orai.com</t>
  </si>
  <si>
    <t>165678-67P</t>
  </si>
  <si>
    <t>Danish Dhamani</t>
  </si>
  <si>
    <t>dhamani@oraiapp.com</t>
  </si>
  <si>
    <t>+1 (215) 847-2859</t>
  </si>
  <si>
    <t>3230 Market Street</t>
  </si>
  <si>
    <t>19104</t>
  </si>
  <si>
    <t>hello@oraiapp.com</t>
  </si>
  <si>
    <t>The company raised $2.56 million of Seed funding in a deal led by Comcast Ventures on February 19, 2019, putting the company's pre-money valuation at $7.4 million. Bertelsmann Digital Media Investments, Ben Franklin Technology Partners of Southeastern Pennsylvania and Prototype Capital also participated in the round.</t>
  </si>
  <si>
    <t>Ben Franklin Technology Partners of Southeastern Pennsylvania, Bertelsmann Digital Media Investments, Comcast LIFT labs, Comcast Ventures, MassChallenge, Microsoft Imagine Cup, Philly Startup Leaders, Prototype Capital</t>
  </si>
  <si>
    <t>Ben Franklin Technology Partners of Southeastern Pennsylvania(www.sep.benfranklin.org), Bertelsmann Digital Media Investments(www.bdmifund.com), Comcast LIFT labs(lift.comcast.com), Comcast Ventures(www.comcastventures.com), MassChallenge(www.masschallenge.org), Microsoft Imagine Cup(www.imaginecup.microsoft.com), Philly Startup Leaders(www.phillystartupleaders.org), Prototype Capital(www.prototype.capital)</t>
  </si>
  <si>
    <t>139409-47</t>
  </si>
  <si>
    <t>Opus One Solutions</t>
  </si>
  <si>
    <t>Opus One</t>
  </si>
  <si>
    <t>GridCure, AutoGrid, BMC Software, Ayla Networks, Opower, WaterSmart Software, GridPoint, eMeter, Nexant, SevOne, PTC Software, EnergyHub, Riverbed Technology, Nexgrid, Powerley, Grid4C, Neurio, UtiliData, Invenia, Grid Net, CA Technologies</t>
  </si>
  <si>
    <t>Developer of real-time energy management software intended to transform the way homes, communities, cities, and grids interact in the energy internet. The company's software incorporates transactive energy functionality to calculate locational marginal values of distributed energy resources and deploys dynamic topology processing which adapts to real-time switching and reconfiguration of the distribution network and has the ability to manage a grid-of-microgrids, facilitating new utility and customer business models including the animation of distribution markets.</t>
  </si>
  <si>
    <t>electricity grid management, energy networking platform, grid distribution planning, grid management, power grid distribution, software developer, software engineering</t>
  </si>
  <si>
    <t>www.opusonesolutions.com</t>
  </si>
  <si>
    <t>2016: 11, 2017: 50, 2018: 60</t>
  </si>
  <si>
    <t>129499-21P</t>
  </si>
  <si>
    <t>Roy Dalton</t>
  </si>
  <si>
    <t>rdalton@opusonesolutions.com</t>
  </si>
  <si>
    <t>+1 (833) 678-7663</t>
  </si>
  <si>
    <t>Richmond Hill, Canada</t>
  </si>
  <si>
    <t>50 West Pearce Street</t>
  </si>
  <si>
    <t>Unit 16</t>
  </si>
  <si>
    <t>Richmond Hill</t>
  </si>
  <si>
    <t>L4B 1C5</t>
  </si>
  <si>
    <t>+1 (866) 941-5854</t>
  </si>
  <si>
    <t>info@opusonesolutions.com</t>
  </si>
  <si>
    <t>The company raised an undisclosed amount of Series B venture funding from Renewal Funds on December 13, 2018. The funds will be used to expand the company's offerings in the United States, Canada and globally.</t>
  </si>
  <si>
    <t>Advanced Microgrid Solutions, Elemental Excelerator, Emera Maine, Energy Impact Partners, ENGIE New Ventures, Future Labs, Government of Canada, Innovation Centre for Urban Energy, Nova Scotia Power, Renewal Funds, Smarter Grid Solutions, Sustainable Development Technology Canada, Toronto Hydro, Urban Future Lab</t>
  </si>
  <si>
    <t>Advanced Microgrid Solutions(www.advmicrogrid.com), Elemental Excelerator(www.elementalexcelerator.com), Emera Maine(www.emeramaine.com), Energy Impact Partners(www.energyimpactpartners.com), ENGIE New Ventures(www.engieventures.com), Future Labs(www.futurelabs.nyc), Government of Canada(www.canada.ca), Innovation Centre for Urban Energy(www.ryerson.ca/cue/icue.html), Renewal Funds(www.renewalfunds.com), Smarter Grid Solutions(www.smartergridsolutions.com), Sustainable Development Technology Canada(www.sdtc.ca), Toronto Hydro(www.torontohydro.com), Urban Future Lab(www.ufl.nyc)</t>
  </si>
  <si>
    <t>Farella Braun + Martel(Legal Advisor), Leadership Group Executive Search(Consulting), MaRS Discovery District(Advisor: General)</t>
  </si>
  <si>
    <t>Bennett Jones(Legal Advisor)</t>
  </si>
  <si>
    <t>51500-71</t>
  </si>
  <si>
    <t>Optoro</t>
  </si>
  <si>
    <t>Contguard, FourKites, FreightBro, Astea International, Pacejet, Turvo, Infor Global Solutions, SAS Institute, Coupa, FieldAware, Kuebix, CA Technologies, Epicor Software, GT Nexus, SysAid Technologies, Retriever Communications, SAP Hybris, NetSuite</t>
  </si>
  <si>
    <t>Provider of end-to-end reverse logistics software intended to help users re-imagine how retailers work and how consumers buy. The company's cloud-based management software provides retailers and manufacturers with a platform to manage, process and sell returned and excess inventory using comprehensive data analytics and multi-channel online marketing, enabling clients to determine the best path for each item, maximizing recovery and reducing environmental waste.</t>
  </si>
  <si>
    <t>Application Software*, Business/Productivity Software, Logistics</t>
  </si>
  <si>
    <t>E-Commerce, Impact Investing, Industrials, SaaS, TMT</t>
  </si>
  <si>
    <t>assets recovery, impact investing vertical, inventory management, online channel, remarketing algorithm, retail solutions, reverse logistics, reverse logistics management, supply chain analytics, supply chain and logistics</t>
  </si>
  <si>
    <t>www.optoro.com</t>
  </si>
  <si>
    <t>2010: 19, 2014: 94, 2015: 200, 2016: 200, 2017: 200, 2018: 200</t>
  </si>
  <si>
    <t>43595-02P</t>
  </si>
  <si>
    <t>Adam Wegner</t>
  </si>
  <si>
    <t>General Counsel &amp; Senior Vice President, Corporate Development</t>
  </si>
  <si>
    <t>awegner@optoro.com</t>
  </si>
  <si>
    <t>+1 (301) 760-7003</t>
  </si>
  <si>
    <t>1001 G Street Northwest</t>
  </si>
  <si>
    <t>Suite 1200</t>
  </si>
  <si>
    <t>20001</t>
  </si>
  <si>
    <t>inquiries@optoro.com</t>
  </si>
  <si>
    <t>The company raised $75 million of venture funding in a deal led by Franklin Templeton Investments on July 30, 2018, putting the company's pre-money valuation at $475 million. Generation Investment Management, Tenfore Holdings and Revolution also participated in the round. The funds will be used to drive rapid growth and product development, scale the platform to reach more retailers and brands as well as be used to invest in R&amp;D.</t>
  </si>
  <si>
    <t>Franklin Templeton Investments, Generation Investment Management, Grotech Ventures, Joseph Zawadzki, Kleiner Perkins, Maryland Department of Commerce, Maryland Venture Fund, Revolution, SJF Ventures, SWaN &amp; Legend Venture Partners, Tenfore Holdings, Top Tier Capital Partners, TriplePoint Venture Growth, United Parcel Service, UPS Strategic Enterprise Fund</t>
  </si>
  <si>
    <t>QED Investors</t>
  </si>
  <si>
    <t>Franklin Templeton Investments(www.franklinresources.com), Generation Investment Management(www.generationim.com), Grotech Ventures(www.grotech.com), Kleiner Perkins(www.kleinerperkins.com), Maryland Department of Commerce(www.commerce.maryland.gov), Maryland Venture Fund(www.marylandventurefund.com), Revolution(www.revolution.com), SJF Ventures(www.sjfventures.com), SWaN &amp; Legend Venture Partners(www.swanandlegend.com), Tenfore Holdings(www.tenforeholdings.com), Top Tier Capital Partners(www.ttcp.com), TriplePoint Venture Growth(www.tpvg.com), United Parcel Service(www.ups.com)</t>
  </si>
  <si>
    <t>QED Investors(www.qedinvestors.com)</t>
  </si>
  <si>
    <t>Cooley(Legal Advisor), PwC(Accounting), Square 1 Bank(General Business Banking)</t>
  </si>
  <si>
    <t>Cooley(Legal Advisor), SJF Ventures(Debt Financing), Square 1 Bank(Debt Financing), TriplePoint Venture Growth(Debt Financing)</t>
  </si>
  <si>
    <t>266650-21</t>
  </si>
  <si>
    <t>Optodot</t>
  </si>
  <si>
    <t>Developer of advanced coatings and separators intended for lithium batteries. The company's technology and IP help next-generation lithium batteries to operate with greater safety, higher energy density and lower cost than current products, enabling companies to commercialize products for better energy, security and communications solutions that benefit people and the planet.</t>
  </si>
  <si>
    <t>Other Energy</t>
  </si>
  <si>
    <t>Other Energy*</t>
  </si>
  <si>
    <t>ceramic coated separators, electrode-coated separators, energy-conserving windows, lithium-ion battery, organic solar cell</t>
  </si>
  <si>
    <t>www.optodot.com</t>
  </si>
  <si>
    <t>203556-52P</t>
  </si>
  <si>
    <t>Steve Carlson</t>
  </si>
  <si>
    <t>scarlson@optodot.com</t>
  </si>
  <si>
    <t>+1 (978) 391-4641</t>
  </si>
  <si>
    <t>Devens, MA</t>
  </si>
  <si>
    <t>31 MacArthur Avenue</t>
  </si>
  <si>
    <t>Devens</t>
  </si>
  <si>
    <t>01434</t>
  </si>
  <si>
    <t>info@optodot.com</t>
  </si>
  <si>
    <t>The company received funding in the form of convertible debt from LG Technology Ventures in January 2019.</t>
  </si>
  <si>
    <t>Department of Energy, LG Technology Ventures, MassVentures, Small Business Innovation Research</t>
  </si>
  <si>
    <t>MassVentures(www.mass-ventures.com)</t>
  </si>
  <si>
    <t>126596-71</t>
  </si>
  <si>
    <t>Optimus Ride</t>
  </si>
  <si>
    <t>Local Motors, Cruise, Auro, Zoox, FiveAI, AImotive, WeRide (China), Drive.ai, nuTonomy, DeepScale, Comma.Ai, Moj.io, Nauto, Argo AI, Ottomatika, Waymo, May Mobility</t>
  </si>
  <si>
    <t>Developer of self driving technologies designed to enable safe, sustainable and equitable mobility services. The company's technology leverages advances in complex sensor fusion, mapping, computer vision and machine learning to deploy a new form of transportation system that enables sustainable and equitable mobility access, enabling public to use transportation from commercial vessel operations to transit options.</t>
  </si>
  <si>
    <t>Artificial Intelligence &amp; Machine Learning, Autonomous cars, Big Data, Industrials, LOHAS &amp; Wellness, TMT</t>
  </si>
  <si>
    <t>autonomous car, autonomous vehicles, e-vehicles, mobility-on-demand, self drives technology, self drives vehicle technology</t>
  </si>
  <si>
    <t>www.optimusride.com</t>
  </si>
  <si>
    <t>2016: 5, 2017: 28, 2019: 100</t>
  </si>
  <si>
    <t>118299-70P</t>
  </si>
  <si>
    <t>Jenny Berlin</t>
  </si>
  <si>
    <t>Co-Founder, President, Chief Operating Officer &amp; Chief Marketing Officer</t>
  </si>
  <si>
    <t>jenny@optimusride.com</t>
  </si>
  <si>
    <t>+1 (202) 997-5176</t>
  </si>
  <si>
    <t>88 Black Falcon Avenue</t>
  </si>
  <si>
    <t>Suite 188</t>
  </si>
  <si>
    <t>info@optimusride.com</t>
  </si>
  <si>
    <t>The company raised $20.71 million of Series B venture funding from undisclosed investors on April 22, 2019, putting the company's pre-money valuation at $125 million.</t>
  </si>
  <si>
    <t>Eight Roads, Emerson Collective, FirstMark Capital, F-Prime Capital Partners, Fraser McCombs Capital, Greycroft, Haystack, Joichi Ito, Morado Venture Partners, NextView Ventures, NVIDIA GPU Ventures, TheVentureCity, UJ Ventures</t>
  </si>
  <si>
    <t>Eight Roads(www.eightroads.com), Emerson Collective(www.emersoncollective.com), FirstMark Capital(www.firstmarkcap.com), F-Prime Capital Partners(www.fprimecapital.com), Fraser McCombs Capital(www.fmcap.com), Greycroft(www.greycroft.com), Haystack(haystack.vc), Joichi Ito(joi.ito.com), Morado Venture Partners(www.moradoventures.com), NextView Ventures(www.nextviewventures.com), TheVentureCity(www.theventure.city)</t>
  </si>
  <si>
    <t>51283-54</t>
  </si>
  <si>
    <t>Optimizely</t>
  </si>
  <si>
    <t>Spreadly</t>
  </si>
  <si>
    <t>Phunware, Frosmo, Conductrics, MoEngage, Convert, LaunchDarkly, Unbxd, Rio SEO, AB Tasty, Marketo, Apptus Technologies, Zarget, Wayin, Maxymiser, SLI Systems, Qualifio, DataStax, Platfora, WebTrends, Split.io, HotJar, Dynamic Yield, WebEngage, BloomReach, Certona, Lotame Solutions, MixPanel, Adtelligence, Clearhead Group, FXiaoKe, Monetate, Wylei, SiteSpect, Qubit (Social/Platform Software), Jetlore, Evergage, Unbounce, Kissmetrics</t>
  </si>
  <si>
    <t>Provider of an experimentation platform designed to transform customer experience. The company's platform offers ease of use and speed of deployment that empower organizations to create and run bold experiments that helps them make data-driven decisions and grow faster, enabling businesses to deliver continuous experimentation and personalization across websites, mobile applications and connected devices.</t>
  </si>
  <si>
    <t>a/b testing, customer experience optimization, mobile optimization, testing framework, testing software, web optimization, website testing</t>
  </si>
  <si>
    <t>www.optimizely.com</t>
  </si>
  <si>
    <t>2010: 4, 2011: 5, 2012: 56, 2013: 68, 2014: 192, 2015: 402, 2016: 400</t>
  </si>
  <si>
    <t>60921-01P</t>
  </si>
  <si>
    <t>James Larson</t>
  </si>
  <si>
    <t>jay@optimizely.com</t>
  </si>
  <si>
    <t>+1 (800) 252-9480</t>
  </si>
  <si>
    <t>631 Howard Street</t>
  </si>
  <si>
    <t>hello@optimizely.com</t>
  </si>
  <si>
    <t>Sherpalo Ventures sold its stake in the company to undisclosed investors. Previously, the company received an undisclosed amount of debt financing from Bridge Bank in September 2017. Prior to that, the company raised $2.25 million of Series C venture funding from Shares Post, ZGC Innovation Center and other undisclosed investors on August 2, 2017. Corsa Ventures also participated.</t>
  </si>
  <si>
    <t>Andreessen Horowitz, Ariel Poler, Ashton Kutcher, Bain Capital Ventures, Battery Ventures, Benchmark (San Francisco), Brian Sugar, Christopher Dixon, Christopher Sacca, Citi Ventures, Correlation Ventures, Corsa Ventures, Digital Horizon Capital, Dipchand Nishar, Elad Gil, Felicis Ventures, Founder Collective, GV, Index Ventures (UK), InterWest Partners, Jonathan Heiliger, Joshua Schachter, Kapor Capital, Kavitark Shriram, Lowercase Capital, Mercury Fund, Mitchell Kapor, Naval Ravikant, Nils Johnson, Paul Buchheit, Pharus Capital Management, Raymond Tonsing, Ronald Conway, Salesforce Ventures, Sam Altman, Seth Berman, SharesPost, Steve Chen, Tenaya Capital, Tikhon Bernstam, Y Combinator, ZGC Innovation Center</t>
  </si>
  <si>
    <t>Sherpalo Ventures</t>
  </si>
  <si>
    <t>Andreessen Horowitz(www.a16z.com), Ariel Poler(www.amileatatime.com), Bain Capital Ventures(www.baincapitalventures.com), Battery Ventures(www.battery.com), Benchmark (San Francisco)(www.benchmark.com), Correlation Ventures(www.correlationvc.com), Corsa Ventures(www.corsaventures.com), Digital Horizon Capital(www.dh.vc), Dipchand Nishar(www.linkedin.com/in/deepnishar), Felicis Ventures(www.felicis.com), Founder Collective(www.foundercollective.com), GV(www.gv.com), Index Ventures (UK)(www.indexventures.com), InterWest Partners(www.interwest.com), Joshua Schachter(joshua.schachter.org), Kapor Capital(www.kaporcapital.com), Lowercase Capital(www.lowercasecapital.com), Mercury Fund(www.mercuryfund.com), Mitchell Kapor(www.kapor.com), Raymond Tonsing(www.angel.co/tonsing), SharesPost(www.sharespost.com), Tenaya Capital(www.tenayacapital.com), Y Combinator(www.ycombinator.com), ZGC Innovation Center(www.zgccapital.com)</t>
  </si>
  <si>
    <t>Sherpalo Ventures(www.sherpalo.com)</t>
  </si>
  <si>
    <t>Cadre Talent(Consulting), Daversa Partners(Consulting), Fenwick &amp; West(Legal Advisor), Orrick, Herrington &amp; Sutcliffe(Legal Advisor), Paradigm Strategy(Consulting), Riviera Partners(Consulting), RJR Partners(Consulting), Sequoia Consulting Group(Consulting)</t>
  </si>
  <si>
    <t>Bridge Bank(Debt Financing), Fenwick &amp; West(Legal Advisor), Orrick, Herrington &amp; Sutcliffe(Legal Advisor)</t>
  </si>
  <si>
    <t>104125-78</t>
  </si>
  <si>
    <t>Optibus</t>
  </si>
  <si>
    <t>Microlise, Azuga, Ecolane, TransLoc, Routematch Software</t>
  </si>
  <si>
    <t>Provider of a cloud-based platform intended to offer complex and large-scale transportation operations. The company's platform creates an operational plan and schedule that orchestrates the movements of every vehicle and driver in a city-wide transportation ecosystem, choosing the best options available to transit operators and agencies, enabling passengers to avail better services and transportation operators to operate at lower operating costs.</t>
  </si>
  <si>
    <t>Application Software*, Automotive, Information Services (B2C), Media and Information Services (B2B)</t>
  </si>
  <si>
    <t>fleet management software, transit optimization, transportation ecosystem, transportation operations, transportation scheduling</t>
  </si>
  <si>
    <t>www.optibus.com</t>
  </si>
  <si>
    <t>2016: 16, 2017: 43, 2018: 75</t>
  </si>
  <si>
    <t>126552-16P</t>
  </si>
  <si>
    <t>Amos Haggiag</t>
  </si>
  <si>
    <t>amos@optibus.co</t>
  </si>
  <si>
    <t>+972 (0)73 372 9586</t>
  </si>
  <si>
    <t>23 Menachem Begin Street</t>
  </si>
  <si>
    <t>+972 (0)73 372 9591</t>
  </si>
  <si>
    <t>info@optibus.com</t>
  </si>
  <si>
    <t>The company raised $40 million of Series B venture funding in a deal led by Insight Venture Partners on December 12, 2018. Verizon Ventures, Alibaba Group, New Era Capital Partners, Pitango Venture Capital and Sir Ronald Cohen also participated in the round. The funds will be used for future product innovation and expansion into new and existing markets.</t>
  </si>
  <si>
    <t>Alibaba Group, IBM Alpha Zone accelerator, Insight Partners, Israel Innovation Authority, New Era Capital Partners, Pitango Venture Capital, Ronald Cohen, Verizon Ventures</t>
  </si>
  <si>
    <t>Alibaba Group(www.alibabagroup.com), Insight Partners(www.insightpartners.com), Israel Innovation Authority(www.innovationisrael.org.il), New Era Capital Partners(www.neweracp.com), Pitango Venture Capital(www.pitango.com), Ronald Cohen(www.sirronaldcohen.org), Verizon Ventures(www.verizonventures.com)</t>
  </si>
  <si>
    <t>50933-89</t>
  </si>
  <si>
    <t>OpenX</t>
  </si>
  <si>
    <t>Openads</t>
  </si>
  <si>
    <t>InMobi, LiquidM, Pulpo Media, Centro, Manage.com Group, Digital Remedy, The Trade Desk, Smaato, Bidstalk, Bidsopt, Simpli.fi, PubMatic, Tapad, Flashtalking, ShiftForward, C1X, Q1Media, MediaMath, TubeMogul, AppNexus, Sizmek, Inneractive, SpotX, AdRoll, FreeWheel Media, Nativo, Celtra, Index Exchange, NYIAX, Dstillery, Optimatic Media, Emerge Digital, Adzerk, Terminus, Demandbase, OwnerIQ, Zeta Global, Feedburner, Turn, Adways, Adform</t>
  </si>
  <si>
    <t>Provider of an online advertising marketplace. The company's products, including OpenX Enterprise and OpenX Market, provide a comprehensive revenue-serving platform.</t>
  </si>
  <si>
    <t>Application Software*, Media and Information Services (B2B), Social/Platform Software</t>
  </si>
  <si>
    <t>mobile advertising platform, online advertising platform, revenue serve platform</t>
  </si>
  <si>
    <t>www.openx.com</t>
  </si>
  <si>
    <t>2009: 2, 2010: 56, 2014: 362, 2015: 368</t>
  </si>
  <si>
    <t>35359-30P</t>
  </si>
  <si>
    <t>Timothy Cadogan</t>
  </si>
  <si>
    <t>Chairman &amp; Chief Executive Officer</t>
  </si>
  <si>
    <t>tcadogan@openx.com</t>
  </si>
  <si>
    <t>+1 (626) 466-1141</t>
  </si>
  <si>
    <t>888 East Walnut Street</t>
  </si>
  <si>
    <t>SPARKVentures, DAG Ventures and Bowery Capital sold their stake in the company to SharesPost, iGothamn and IT Ventures in 2015.</t>
  </si>
  <si>
    <t>Accel, Adam Smith, Amish Jani, Amit Shah, AOL, Chartline Capital Partners, Cyber Communications, DAG Ventures, First Round Capital, iGOTHAM, Index Ventures (UK), Indicator Ventures, IT Ventures, Jonathan Miller, Josh Stomel, LocalGlobe, Mangrove Capital Partners, Mitsui Global Investment, O'Reilly AlphaTech Ventures, Presidio Ventures, Samsung Venture Investment, Sapphire Ventures, Saul Klein, Second Alpha Partners, SharesPost, TriplePoint Capital, Vast Ventures, Wavemaker Partners, yet2Ventures</t>
  </si>
  <si>
    <t>AOL Ventures, Gresham House Strategic Public Equity</t>
  </si>
  <si>
    <t>Accel(www.accel.com), Amish Jani(ajnyc.wordpress.com), AOL(www.aol.com), Chartline Capital Partners(www.chartline.com), Cyber Communications(www.cci.co.jp), DAG Ventures(www.dagventures.com), First Round Capital(www.firstround.com), iGOTHAM(www.igotham.com), Index Ventures (UK)(www.indexventures.com), Indicator Ventures(www.indicatorventures.com), IT Ventures(www.itventures.co.nz), LocalGlobe(www.localglobe.vc), Mangrove Capital Partners(www.mangrove.vc), Mitsui Global Investment(www.mitsui-global.com), O'Reilly AlphaTech Ventures(www.oatv.com), Presidio Ventures(www.presidio-ventures.com), Samsung Venture Investment(www.samsungventures.com), Sapphire Ventures(www.sapphireventures.com), Second Alpha Partners(www.secondalpha.com), SharesPost(www.sharespost.com), TriplePoint Capital(www.triplepointcapital.com), Vast Ventures(www.vastvc.com), Wavemaker Partners(www.wavemaker.vc), yet2Ventures(www.yet2Ventures.com)</t>
  </si>
  <si>
    <t>AOL Ventures(www.aolventures.com), Gresham House Strategic Public Equity(strategicequity.greshamhouse.com)</t>
  </si>
  <si>
    <t>Daversa Partners(Consulting), Wilson Sonsini Goodrich &amp; Rosati(Legal Advisor)</t>
  </si>
  <si>
    <t>Bird &amp; Bird(Legal Advisor), Wilson Sonsini Goodrich &amp; Rosati(Legal Advisor)</t>
  </si>
  <si>
    <t>185815-81</t>
  </si>
  <si>
    <t>OpenSpace</t>
  </si>
  <si>
    <t>Developer of a machine vision product designed to solve problems in construction and related industries using computer vision, machine learning, artificial intelligence and robotics. The company is operating in Stealth Mode.</t>
  </si>
  <si>
    <t>Artificial Intelligence &amp; Machine Learning, Big Data, Construction Technology, Robotics and Drones, TMT</t>
  </si>
  <si>
    <t>artificial intelligence, machine learning app</t>
  </si>
  <si>
    <t>www.openspace.ai</t>
  </si>
  <si>
    <t>60291-55P</t>
  </si>
  <si>
    <t>Jeevan Kalanithi</t>
  </si>
  <si>
    <t>jeevan@openspace.ai</t>
  </si>
  <si>
    <t>+1 (415) 994-7035</t>
  </si>
  <si>
    <t>3802 23rd Street</t>
  </si>
  <si>
    <t>94414</t>
  </si>
  <si>
    <t>The company raised $2.78 million of seed funding from Baidu Ventures, Comet Labs and Lux Capital on July 1, 2018, putting the company's pre-money valuation at $11.13 million. Foundation Capital, Goldcrest Capital, SterlingVC, BoxGroup, AngelList and National Science Foundation also participated in the round. Previously, the company received $225,000 of grant funding from National Science Foundation in 2018.</t>
  </si>
  <si>
    <t>AngelList, Baidu Ventures, BoxGroup, Comet Labs, Foundation Capital, Goldcrest Capital, Lux Capital, National Science Foundation, SterlingVC</t>
  </si>
  <si>
    <t>AngelList(www.angel.co), Baidu Ventures(www.bv.ai), BoxGroup(www.boxgroup.com), Comet Labs(www.cometlabs.io), Foundation Capital(www.foundationcapital.com), Goldcrest Capital(www.goldcrest.com), Lux Capital(www.luxcapital.com), National Science Foundation(seedfund.nsf.gov), SterlingVC(www.sterling.vc)</t>
  </si>
  <si>
    <t>51493-24</t>
  </si>
  <si>
    <t>OpenGamma</t>
  </si>
  <si>
    <t>Vantage Software, ClearServe, Stockviews, CloudMargin, Lombard Risk, Charles River Systems, FinancialCAD Corporation, NeoXam, Irisium, ClearStructure Financial Technology, Axioma, Merlon Intelligence, Archer IMS, Addepar, Calypso Technology, SimCorp, AcadiaSoft, Eagle Investment Systems, FinAnalytica, OpenLink Financial, Smartfolios, FactSet Research Systems</t>
  </si>
  <si>
    <t>Developer of a market risk management platform designed to optimize financial services in the evolving markets. The company's platform offers independent services to provide an objective view of the all-in costs for derivatives users, helping the sell-side to minimize their balance sheet usage and providing the buy-side with the information they need to make smarter counter party decisions, enabling clients to improve their outcomes and earn high returns on their investment.</t>
  </si>
  <si>
    <t>Business/Productivity Software, Other Financial Services*</t>
  </si>
  <si>
    <t>FinTech</t>
  </si>
  <si>
    <t>derivative risk, derivatives trading, financial software, financial technology, market risk management, open sourcing software, regtech vertical, risk analytics, trading analytics</t>
  </si>
  <si>
    <t>www.opengamma.com</t>
  </si>
  <si>
    <t>2012: 31, 2013: 36, 2014: 9, 2015: 5</t>
  </si>
  <si>
    <t>92198-44P</t>
  </si>
  <si>
    <t>Peter Rippon</t>
  </si>
  <si>
    <t>peter@opengamma.com</t>
  </si>
  <si>
    <t>+44 (0)20 3725 3333</t>
  </si>
  <si>
    <t>Albert House</t>
  </si>
  <si>
    <t>256-260 Old Street</t>
  </si>
  <si>
    <t>EC1V 9DD</t>
  </si>
  <si>
    <t>info@opengamma.com</t>
  </si>
  <si>
    <t>The company raised $10 million of venture funding in a deal led by Dawn Capital on April 3, 2019. CME Ventures, Accel and Cristóbal Conde also participated in the round. The funds will be used for expanding the company's team in London, New York and Singapore.</t>
  </si>
  <si>
    <t>Accel, CME Ventures, Cristóbal Conde, Dawn Capital, FirstMark Capital, Illuminate Financial Management, Japan Exchange Group, NEX Group, NEX Opportunities</t>
  </si>
  <si>
    <t>Accel(www.accel.com), Dawn Capital(www.dawncapital.com), FirstMark Capital(www.firstmarkcap.com), Illuminate Financial Management(www.illuminatefinancial.com), Japan Exchange Group(www.jpx.co.jp), NEX Group(www.nex.com), NEX Opportunities(www.nexopportunities.com)</t>
  </si>
  <si>
    <t>54870-76</t>
  </si>
  <si>
    <t>OpenFin</t>
  </si>
  <si>
    <t>Appoji</t>
  </si>
  <si>
    <t>ChartIQ, Sencha, Reflect (Application Software), SAP, Numetric, SmartDraw, Qlik Technologies, Periscope Data, Looker, Logi Analytics, Datahero, Birst, Dimensional Insight, Plotly</t>
  </si>
  <si>
    <t>Developer of an operating system the allows for rapid and secure app deployment. The company's system offers desktop distribution, streamlines workflow and breaks down data silos by integrating both internal and third-party apps on desktop, enabling banks and trading platforms to deploy desktop applications both in-house and to their buy-side and sell side customer.</t>
  </si>
  <si>
    <t>application platform, deploy desktop apps, digital transformation, fintech application developer, html5, productivity software, runtime application development, runtime application self-protection, web application, workspace management software</t>
  </si>
  <si>
    <t>www.openfin.co</t>
  </si>
  <si>
    <t>2017: 31, 2018: 55, 2019: 65</t>
  </si>
  <si>
    <t>12602-17P</t>
  </si>
  <si>
    <t>Mazyar Dar</t>
  </si>
  <si>
    <t>mazy@openfin.co</t>
  </si>
  <si>
    <t>info@openfin.co</t>
  </si>
  <si>
    <t>The company raised $17 million of Series C venture funding in a deal lead by Wells Fargo on April 1, 2019, putting the company's pre-money valuation at $68 million. Barclays, Bain Capital Ventures, J.P. Morgan and Pivot Investment Partners also participated in the round.</t>
  </si>
  <si>
    <t>Bain Capital Ventures, David Brown, DRW Venture Capital, FinTech Innovation Lab, FirstGrowth Venture Network, Grape Arbor VC, Illuminate Financial Management, J.P. Morgan, NEX Opportunities, Nyca Partners, Pivot Investment Partners, Thomas Glocer</t>
  </si>
  <si>
    <t>Bain Capital Ventures(www.baincapitalventures.com), DRW Venture Capital(www.drwvc.com), FinTech Innovation Lab(www.fintechinnovationlab.com), Grape Arbor VC(www.grapearborvc.com), Illuminate Financial Management(www.illuminatefinancial.com), J.P. Morgan(www.jpmorgan.com), NEX Opportunities(www.nexopportunities.com), Nyca Partners(www.nyca.com), Pivot Investment Partners(www.pivotinvestment.com), Thomas Glocer(www.tomglocer.com)</t>
  </si>
  <si>
    <t>Erevena(Consulting), Lowenstein Sandler(Legal Advisor), Silicon Valley Bank(General Business Banking)</t>
  </si>
  <si>
    <t>90856-72</t>
  </si>
  <si>
    <t>OpenField Technology</t>
  </si>
  <si>
    <t>OpenField</t>
  </si>
  <si>
    <t>Manufacturer of wireless micro-sensors for the oil and gas industry. The company's sensor offers superior downhole data in an industry where accurate information can save lives and earn millions in profits for oil well owners and operators.</t>
  </si>
  <si>
    <t>Application Specific Semiconductors, Oil and Gas Equipment*</t>
  </si>
  <si>
    <t>Manufacturing, Oil &amp; Gas, TMT</t>
  </si>
  <si>
    <t>memory gauge, microsensors, oil wells micro-sensor, oil wells microsensors, wireless micro-sensor</t>
  </si>
  <si>
    <t>www.openfield-technology.com</t>
  </si>
  <si>
    <t>98654-41P</t>
  </si>
  <si>
    <t>Eric Donzier</t>
  </si>
  <si>
    <t>edonzier@openfield-technology.com</t>
  </si>
  <si>
    <t>+33 (0)9 82 42 83 09</t>
  </si>
  <si>
    <t>Versailles, France</t>
  </si>
  <si>
    <t>13 rue de Limoges</t>
  </si>
  <si>
    <t>Versailles</t>
  </si>
  <si>
    <t>78000</t>
  </si>
  <si>
    <t>info@openfield-technology.com</t>
  </si>
  <si>
    <t>The company raised $2.7 million of venture funding in a deal led by Total Energy Ventures on May 6, 2014. Vermeer Energy and other undisclosed investors also participated in the round.</t>
  </si>
  <si>
    <t>Demeter, Total Energy Ventures, Vermeer Energy</t>
  </si>
  <si>
    <t>Demeter(www.demeter-im.com), Vermeer Energy(www.vermeer-energy.com)</t>
  </si>
  <si>
    <t>Strategex(Consulting)</t>
  </si>
  <si>
    <t>64708-30</t>
  </si>
  <si>
    <t>Opendoor</t>
  </si>
  <si>
    <t>HomeLight, Redfin, Realtor.com, FlyHomes, Ten-X, Homie, Knock (Real Estate), Movoto, ForSaleByOwner.com, Trelora, Buyside, RealScout, Compass, OfferPad, Knock, Zillow Group</t>
  </si>
  <si>
    <t>Operator of an online real estate marketplace intended to simplify home buying and selling. The company's marketplace helps sellers to receive an offer without listing or showing their home and buyers to browse for homes on sale and instantly unlock them using the company's application, enabling customers to buy and sell properties in a hassle free way.</t>
  </si>
  <si>
    <t>Application Software, Information Services (B2C), Media and Information Services (B2B), Real Estate Services (B2C)*</t>
  </si>
  <si>
    <t>Mobile, Real Estate Technology</t>
  </si>
  <si>
    <t>home selling platform, online real estate, property software, real estate application, real estate marketplace</t>
  </si>
  <si>
    <t>www.opendoor.com</t>
  </si>
  <si>
    <t>2016: 200, 2018: 1000</t>
  </si>
  <si>
    <t>62481-16P</t>
  </si>
  <si>
    <t>Eric Wu</t>
  </si>
  <si>
    <t>eric@opendoor.com</t>
  </si>
  <si>
    <t>+1 (888) 352-7075</t>
  </si>
  <si>
    <t>405 Howard Street</t>
  </si>
  <si>
    <t>contact@opendoor.com</t>
  </si>
  <si>
    <t>The company received $1.5 billion of debt financing in the form of a loan from undisclosed lenders on March 20, 2019. The company raised $300 million of Series E2 venture funding from Access Technology Ventures, GV and Lennar on March 20, 2019, putting the company's pre-money valuation at $3.5 billion. Hawk Equity, SoftBank Investment Advisers, General Atlantic, Khosla Ventures, GGV Capital, Norwest Venture Partners, Fifth Wall Ventures, New Enterprise Associates, SV Angel and Silicon Valley Bank also participated in the round. The funds will be used for product development as well as to continue expanding to more markets in North America.</t>
  </si>
  <si>
    <t>Access Technology Ventures, Access Venture Partners, Andreessen Horowitz, Bracket Capital, Caffeinated Capital, Charmides Capital, Coatue Management, Felicis Ventures, Fifth Wall Ventures, General Atlantic, GGV Capital, Golden Gate Ventures, Grey Wolf VC, GV, Hawk Equity, Haystack, Initialized Capital Management, Invitation Homes, Khosla Ventures, Lakestar, Lennar, New Enterprise Associates, Norwest Venture Partners, Otter Rock Capital, Resolute Ventures, Sherpa Capital, Signatures Capital, Silicon Valley Bank, Slow Ventures, SoftBank Group, SoftBank Investment Advisers, Solon Mack Capital, Start-Up Chile, SV Angel, SVB Financial Group, Tank Hill Ventures, Thrive Capital, Travis Kalanick, True Ventures, Tuesday Capital, Y Ventures</t>
  </si>
  <si>
    <t>Access Technology Ventures(www.accesstechnologyventures.com), Access Venture Partners(www.accessvp.com), Andreessen Horowitz(www.a16z.com), Bracket Capital(www.bracketcapital.com), Caffeinated Capital(www.caffeinatedcapital.com), Charmides Capital(www.charmidescapital.com), Coatue Management(www.coatue.com), Felicis Ventures(www.felicis.com), Fifth Wall Ventures(www.fifthwall.vc), General Atlantic(www.generalatlantic.com), GGV Capital(www.ggvc.com), Golden Gate Ventures(www.goldengate.vc), Grey Wolf VC(www.greywolf.vc), GV(www.gv.com), Hawk Equity(www.hawkequity.com), Haystack(haystack.vc), Initialized Capital Management(www.initialized.com), Invitation Homes(www.invitationhomes.com), Khosla Ventures(www.khoslaventures.com), Lakestar(www.lakestar.com), Lennar(www.lennar.com), New Enterprise Associates(www.nea.com), Norwest Venture Partners(www.nvp.com), Otter Rock Capital(www.otterrockcapital.com), Resolute Ventures(www.resolute.vc), Sherpa Capital(www.sherpa.com), Signatures Capital(www.signaturescapital.com), Silicon Valley Bank(www.svb.com), Slow Ventures(www.slow.co), SoftBank Group(www.softbank.jp), SoftBank Investment Advisers(www.visionfund.com), Solon Mack Capital(www.solonmack.com), Start-Up Chile(www.startupchile.org), SV Angel(www.svangel.com), Tank Hill Ventures(www.th-vp.com), Thrive Capital(www.thrivecap.com), True Ventures(www.trueventures.com), Tuesday Capital(www.tuesday.vc), Y Ventures(www.yventures.com)</t>
  </si>
  <si>
    <t>Daversa Partners(Consulting), FutureEngine(Consulting), Orrick, Herrington &amp; Sutcliffe(Legal Advisor)</t>
  </si>
  <si>
    <t>Cooley(Legal Advisor), Fifth Wall Ventures(Debt Financing), Harris Williams(Advisor: General), Orrick, Herrington &amp; Sutcliffe(Legal Advisor)</t>
  </si>
  <si>
    <t>87112-27</t>
  </si>
  <si>
    <t>OpenDataSoft</t>
  </si>
  <si>
    <t>Alooma, Treasure Data, Stitch, Xplenty, Fivetran, Snowflake, Matillion, Periscope Data, Infochimps, Altiscale, Qubole, StreamSets, Junar, SQLstream, Panoply (Application Software), ActionIQ, Segment, Socrata, Factual, Astronomer, Infoworks, SessionM, ParStream, SAP</t>
  </si>
  <si>
    <t>Provider of a data publishing and sharing platform intended to allow data to be visualized and reused by citizens, startups or teams within city departments or organizations via APIs. The company's platform is a turnkey SaaS platform transforms all types of data into applications and services, enabling clients to get real-time data processing easily.</t>
  </si>
  <si>
    <t>Business/Productivity Software*, Database Software, Other Software</t>
  </si>
  <si>
    <t>data sharing platform, data sharing tools, data smart collection, data transformation, turnkey saas platform</t>
  </si>
  <si>
    <t>www.opendatasoft.com</t>
  </si>
  <si>
    <t>2013: 13, 2015: 20</t>
  </si>
  <si>
    <t>105481-18P</t>
  </si>
  <si>
    <t>Jean-Marc Lazard</t>
  </si>
  <si>
    <t>jean-marc.lazard@opendatasoft.com</t>
  </si>
  <si>
    <t>130, rue de Lourmel</t>
  </si>
  <si>
    <t>75015</t>
  </si>
  <si>
    <t>contact@opendatasoft.com</t>
  </si>
  <si>
    <t>The company raised EUR 5.00 million of Series A venture funding in a deal led by Aster Capital on September 30, 2016, putting the company's pre-money valuation at EUR 8.90 million. Salesforce Ventures and Aurinvest also participated in the round. The company intends to use the funds to reinforce the research and development team in France, recruit sales and marketing teams in North America for both the public and private sectors, following the opening of a North American headquarters in Boston, and expand into new markets in Europe, including Germany, Italy, Spain and the U.K while continuing to grow in existing markets, such as Portugal, Sweden, Switzerland and beyond.</t>
  </si>
  <si>
    <t>Aster Capital, Aurinvest, Open Data Institute, Salesforce Ventures, The Connected Traveler, UL Ventures</t>
  </si>
  <si>
    <t>Aster Capital(www.aster.com), Aurinvest(www.aurinvest.com), Open Data Institute(www.theodi.org), The Connected Traveler(www.connectedtraveler.com)</t>
  </si>
  <si>
    <t>Ader Finance(Advisor: General)</t>
  </si>
  <si>
    <t>60083-38</t>
  </si>
  <si>
    <t>Openbay</t>
  </si>
  <si>
    <t>Xenon Automotive, Housejoy, GoMechanic, TaskRabbit, UrbanClap, Otobots</t>
  </si>
  <si>
    <t>Provider of an online marketplace for automotive repair and services and a SaaS based platform for the automotive aftermarket industry. The company's platform enables consumers to locate automotive service providers, compare price quotes for services and transact for automotive maintenance services, enabling automotive care businesses to acquire and service customers.</t>
  </si>
  <si>
    <t>Business/Productivity Software, Other Services (B2C Non-Financial)*, Social/Platform Software</t>
  </si>
  <si>
    <t>Artificial Intelligence &amp; Machine Learning, E-Commerce, Mobile, SaaS, TMT</t>
  </si>
  <si>
    <t>automotive repair, automotive repair platform, online auto repair</t>
  </si>
  <si>
    <t>www.openbay.com</t>
  </si>
  <si>
    <t>2013: 10, 2014: 12, 2015: 26</t>
  </si>
  <si>
    <t>55486-36P</t>
  </si>
  <si>
    <t>Robert Infantino</t>
  </si>
  <si>
    <t>robert@openbay.com</t>
  </si>
  <si>
    <t>+1 (888) 601-0399</t>
  </si>
  <si>
    <t>222 3rd Street</t>
  </si>
  <si>
    <t>Suite 4000</t>
  </si>
  <si>
    <t>copyright@openbay.com</t>
  </si>
  <si>
    <t>The company raised $8 million of Series A venture funding in a deal led by Shell Ventures on June 25, 2018, putting the company's pre-money valuation at $17 million. Stage 1 Ventures and an undisclosed investor also participated in the round. The company intends to use the funds to bring to market artificial intelligence (AI) enabled solutions for businesses that provide automotive repair services and to grow existing and new markets across all its offerings.</t>
  </si>
  <si>
    <t>Andreessen Horowitz, Andrew Palmer, Boston Seed Capital, Gad Liwerant, GV, James Pallotta, Koa Labs, Raptor Group, Semyon Dukach, Shell Ventures, Stage 1 Ventures, Walter Danco</t>
  </si>
  <si>
    <t>Andreessen Horowitz(www.a16z.com), Boston Seed Capital(www.bostonseed.com), GV(www.gv.com), Koa Labs(www.koalab.com), Raptor Group(www.raptorgroup.com), Semyon Dukach(www.semyon.com), Stage 1 Ventures(www.stage1ventures.com)</t>
  </si>
  <si>
    <t>Gunderson Dettmer(Legal Advisor), Morgan, Lewis &amp; Bockius(Legal Advisor)</t>
  </si>
  <si>
    <t>54517-33</t>
  </si>
  <si>
    <t>Open Garden</t>
  </si>
  <si>
    <t>Connectify, Tarana, SpiderCloud Wireless</t>
  </si>
  <si>
    <t>Provider of a mobile communication software designed to support and promote open wireless networks. The company's FireChat application uses mesh networking technology, an approach that creates peer-to-peer connection instead of going through Wi-Fi or data service, enabling users to create network using Bluetooth and WiFi connections across mobile devices, smartphones, tablets, laptops and desktops.</t>
  </si>
  <si>
    <t>Application Software, Communication Software*, Wireless Service Providers</t>
  </si>
  <si>
    <t>mobile broadband network, mobile chat application, mobile communication software, mobile connection, open wireless network</t>
  </si>
  <si>
    <t>www.opengarden.com</t>
  </si>
  <si>
    <t>2014: 11, 2016: 21</t>
  </si>
  <si>
    <t>136345-51P</t>
  </si>
  <si>
    <t>Paul Hainsworth</t>
  </si>
  <si>
    <t>paul.hainsworth@opengarden.com</t>
  </si>
  <si>
    <t>1 Kaiser Plaza</t>
  </si>
  <si>
    <t>Suite 525</t>
  </si>
  <si>
    <t>contact@opengarden.com</t>
  </si>
  <si>
    <t>Sherpalo Ventures sold its stake in the company to undisclosed investors.</t>
  </si>
  <si>
    <t>AlphaBlock Investments, Arrington XRP Capital, August Capital, Consellior, Consensus FinTech Group, David Ulevitch, DG Incubation, Digital Garage, Digital Horizon Capital, Donald Hutchison, Elena Baronoff, Firebolt Ventures, François Paulus, Future\Perfect Ventures, Genesis Block Capital, Individual Investor, Jérémie Berrebi, Kima Ventures, MI Ventures, Tseung Kwan Ventures, Vanbex Group, Verizon Ventures, Yeoman's Capital</t>
  </si>
  <si>
    <t>AlphaBlock Investments(www.alphablock.com), Arrington XRP Capital(www.arringtonxrpcapital.com), August Capital(www.augustcap.com), Consensus FinTech Group(www.cfg.ventures), David Ulevitch(david.ulevitch.com), DG Incubation(www.dgincubation.co.jp), Digital Garage(www.garage.co.jp), Digital Horizon Capital(www.dh.vc), Firebolt Ventures(www.fireboltventures.com), Future\Perfect Ventures(www.futureperfectventures.com), Genesis Block Capital(www.genesisblockcapital.com), Jérémie Berrebi(www.berrebi.org), Kima Ventures(www.kimaventures.com), MI Ventures(www.miventuresllc.com), Vanbex Group(www.vanbex.com), Verizon Ventures(www.verizonventures.com), Yeoman's Capital(www.yeomans.capital)</t>
  </si>
  <si>
    <t>Leadership Group Executive Search(Consulting), Orrick, Herrington &amp; Sutcliffe(Legal Advisor)</t>
  </si>
  <si>
    <t>183282-40</t>
  </si>
  <si>
    <t>Open</t>
  </si>
  <si>
    <t>Open Fintech</t>
  </si>
  <si>
    <t>Tide (Fintech), Transactis, Billogram, AvidXchange, MakeLeaps, Acumatica, Cardlay, Autobooks, Captio</t>
  </si>
  <si>
    <t>Developer of digital banking platform intended to offer efficient and secure banking services and automate business payments. The company's platform includes a digital business account that can be activated using a fully digital onboarding process and comes with integrated GST-complaint invoicing, book keeping, payments, API Banking and creditline, enabling SMEs to manage cashflows, automate accounting and get better insights into their businesses.</t>
  </si>
  <si>
    <t>api banking platform, digital banking, digital banking app, digital banking application, digital banking platform, digital banking services, digital onboarding</t>
  </si>
  <si>
    <t>www.bankopen.co</t>
  </si>
  <si>
    <t>2017: 12, 2018: 25</t>
  </si>
  <si>
    <t>118064-26P</t>
  </si>
  <si>
    <t>Anish Achuthan</t>
  </si>
  <si>
    <t>anish@bankopen.co</t>
  </si>
  <si>
    <t>2797, 2nd Floor, 27th Main Road</t>
  </si>
  <si>
    <t>Opposite lblur Camp Gate, Sector-1, HSR Layout</t>
  </si>
  <si>
    <t>The company raised $4.6 million of Series A venture funding in a deal led by Speedinvest, 3one4 Capital and Beenext (Singapore) on February 12, 2019. Unicorn India Ventures and AngelList also participated in the round. The funds will be used scale up the company's team and launch new products.</t>
  </si>
  <si>
    <t>3one4 Capital, Amrish Rau, AngelList, Apremaya Radhakrishnan, Archana Priyadarshini, Beenext (Singapore), Chiranth Patil, ISME Ace, Jitendra Gupta, Recruit Strategic Partners, Speedinvest, Unicorn India Ventures, Vaibhav Domkudkar</t>
  </si>
  <si>
    <t>3one4 Capital(www.3one4capital.com), AngelList(www.angel.co), Beenext (Singapore)(www.beenext.com), ISME Ace(www.ismeace.com), Recruit Strategic Partners(recruitstrategicpartners.com), Speedinvest(www.speedinvest.com), Unicorn India Ventures(www.unicornivc.com)</t>
  </si>
  <si>
    <t>167652-10</t>
  </si>
  <si>
    <t>OnTruck</t>
  </si>
  <si>
    <t>Weengs, Convey, Cargomatic, ShipHawk, Cubyn, Flexport, ShipBob, CitizenShipper, Deliver.ee, Temando, Sennder, Mandaê, Chronotruck, Enroute, Deliv, Fetchr, Dropoff, Deliver, SendCloud, uShip, Fleet Logistics, Byrd, mShipper, Doorman, Convoy, Zipments, FretLink, EasyPost</t>
  </si>
  <si>
    <t>Developer of a freight delivery platform designed to connect businesses with road freight companies. The company's on-demand platform fully automates the process of matching a shipment to the right truck, for the best price, in just 19 seconds as well as offers instant pricing, precise pick-up slots and a real-time tracking service of the status of each shipment, enabling businesses to find he right carrier and manage deliveries in a smart and friction-less way.</t>
  </si>
  <si>
    <t>Business/Productivity Software*, Logistics</t>
  </si>
  <si>
    <t>carrier network, freight delivery platform, on demand logistics</t>
  </si>
  <si>
    <t>www.ontruck.com</t>
  </si>
  <si>
    <t>2018: 130</t>
  </si>
  <si>
    <t>148654-81P</t>
  </si>
  <si>
    <t>Iñigo Juantegui</t>
  </si>
  <si>
    <t>+34 91 123 5562</t>
  </si>
  <si>
    <t>Príncipe de Vergara 128</t>
  </si>
  <si>
    <t>Entreplanta Derecha Entreplanta</t>
  </si>
  <si>
    <t>28002</t>
  </si>
  <si>
    <t>cargas@ontruck.com</t>
  </si>
  <si>
    <t>The company raised EUR 25 million of Series B venture funding in a deal led by Cathay Innovation on May 30, 2018. Total Energy Ventures, IdInvest Partners, All Iron Ventures, Point Nine Capital, Samaipata Ventures, Atomico and GP Bullhound also participated in the round. The company intends to use the funds to consolidate their market positions in Spain and Britain, and to expand to more of Europe.</t>
  </si>
  <si>
    <t>42CAP, All Iron Ventures, Atomico, Cathay Innovation, Ecomobility Ventures, GP Bullhound, Idinvest Partners, La Famiglia, LocalGlobe, Point Nine Capital, Samaipata, Total Energy Ventures</t>
  </si>
  <si>
    <t>42CAP(www.42cap.com), All Iron Ventures(www.alliron.vc), Atomico(www.atomico.com), Cathay Innovation(www.cathayinnovation.com), Ecomobility Ventures(www.ecomobility-ventures.com), GP Bullhound(www.gpbullhound.com), Idinvest Partners(www.idinvest.com), La Famiglia(www.lafamiglia.vc), LocalGlobe(www.localglobe.vc), Point Nine Capital(www.pointninecap.com), Samaipata(www.samaipata.vc)</t>
  </si>
  <si>
    <t>162170-38</t>
  </si>
  <si>
    <t>Ontera.</t>
  </si>
  <si>
    <t>Two Pore Guys</t>
  </si>
  <si>
    <t>2PG</t>
  </si>
  <si>
    <t>Singulex, DiscoverX, Diagenode, Bruker, Sphere Fluidics, Affymetrix, GenapSys, Nabsys, Quantapore, 10x Genomics, Omniome, Wafergen Bio-Systems, Nanomix</t>
  </si>
  <si>
    <t>Developer of a digital, hand-held and single molecule biosensor designed to detect any kind of molecule with high sensitivity. The company's products include a point-of-use testing device that works like a glucose monitor, though its disposable test strips and is based on its core technology which includes solid-state, nanopore-based sensors that can detect nucleic acids and proteins and other analytes in human, animal, agriculture and environmental samples, enabling clients to perform digital, single-molecule sensing in a small, inexpensive and simple-to-use form factor in telemedicine.</t>
  </si>
  <si>
    <t>Biotechnology*, Diagnostic Equipment</t>
  </si>
  <si>
    <t>HealthTech, Life Sciences, Manufacturing, Nanotechnology</t>
  </si>
  <si>
    <t>digital biosensor, nanopore sensor, point-of-care device, single molecule biosensor, synthetic biological reagents</t>
  </si>
  <si>
    <t>www.ontera.bio</t>
  </si>
  <si>
    <t>2015: 30, 2016: 25, 2018: 110</t>
  </si>
  <si>
    <t>139456-63P</t>
  </si>
  <si>
    <t>William Dunbar</t>
  </si>
  <si>
    <t>Co-Founder, Board Member &amp; Acting Chief Executive Officer</t>
  </si>
  <si>
    <t>+1 (831) 222-2193</t>
  </si>
  <si>
    <t>Santa Cruz, CA</t>
  </si>
  <si>
    <t>2155 Delaware Avenue</t>
  </si>
  <si>
    <t>Santa Cruz</t>
  </si>
  <si>
    <t>95060</t>
  </si>
  <si>
    <t>info@twoporeguys.com</t>
  </si>
  <si>
    <t>The company is seeking to raise an estimated $8.5 million of Series A2 venture funding from undisclosed investors as of September 20, 2018, putting the company's pre-money valuation at an estimated $70 million.</t>
  </si>
  <si>
    <t>Applied Ventures, Bill &amp; Melinda Gates Foundation, DEFTA Partners, Khosla Ventures, Maxim Ventures, U.S. Department of Health and Human Services</t>
  </si>
  <si>
    <t>Bill &amp; Melinda Gates Foundation(www.gatesfoundation.org), DEFTA Partners(www.deftapartners.com), Khosla Ventures(www.khoslaventures.com), Maxim Ventures(www.maximventures.com), U.S. Department of Health and Human Services(hhs.gov)</t>
  </si>
  <si>
    <t>59170-78</t>
  </si>
  <si>
    <t>Onfleet</t>
  </si>
  <si>
    <t>Addy</t>
  </si>
  <si>
    <t>Locus (Logistics Management Platform), Transmetrics, Wise Systems, LogiNext, GetSwift, Routific, Bringg, Cloud Logistics, Sparse Labs, DeliveryCircle, Mu Sigma, Transporeon, FieldEZ Technologies, Axtria, SAP Hybris, Mojro, FieldEdge, Juggernaut, FieldAware, Fleetmatics Group, Coresystems, 6Sense, Spireon, Absolutdata Intelligent Analytics</t>
  </si>
  <si>
    <t>Provider of delivery management software intended to help in managing delivery operations for businesses. The company's software provides an intuitive smartphone application for drivers to dispatch and report automatic notification on real-time tracking of recipients, enabling food, beverage, grocery and flower delivery businesses to manage and analyze their local delivery operations.</t>
  </si>
  <si>
    <t>delivery management, delivery management software, fleet service, local delivery, location-based services, logistics management software</t>
  </si>
  <si>
    <t>www.onfleet.com</t>
  </si>
  <si>
    <t>2014: 5, 2016: 12</t>
  </si>
  <si>
    <t>54199-36P</t>
  </si>
  <si>
    <t>Khaled Naim</t>
  </si>
  <si>
    <t>khaled@onfleet.com</t>
  </si>
  <si>
    <t>+1 (415) 205-9749</t>
  </si>
  <si>
    <t>contact@onfleet.com</t>
  </si>
  <si>
    <t>The company raised $4.47 million of seed funding from dunnhumby Ventures, Arzan Venture Capital and Haystack on December 5, 2016, putting the company's pre-money valuation at $10.5 million. Hemisphere Ventures, SGH Capital, Dorm Room Fund, Winklevoss Capital Management, 5xmais, Rising Tide Fund, Playfair Capital, Tuesday Capital, StartX, Jason Cahill, Lee Linden, Semil Shah, Fadi Ghandour, Andy Rachleff, Naval Ravikant, Federico Pirzio-Biroli, Peter Lehrman, Ty Danco, Saad AlSogair and Peter Livingston also participated in the round. The company will use the funding for product enhancement and personnel hiring. MENA Venture Investments also participated.</t>
  </si>
  <si>
    <t>5xmais, Andy Rachleff, Arzan Venture Capital, Bradley Feld, Dorm Room Fund, dunnhumby Ventures, Fadi Ghandour, Federico Pirzio-Biroli, Geekdom SF, Haystack, Hemisphere Ventures, Jason Cahill, Joshua Greenough, Lee Linden, Naval Ravikant, Pascal Levy-Garboua, Peter Lehrman, Peter Livingston, Playfair Capital, Rising Tide Fund, Saad AlSogair, Semil Shah, SGH Capital, StartX, Tuesday Capital, Vinny Lingham, Walter Danco, Will Bunker, Winklevoss Capital Management</t>
  </si>
  <si>
    <t>MENA Venture Investments</t>
  </si>
  <si>
    <t>5xmais(www.5xmais.com.br), Arzan Venture Capital(www.arzanvc.com), Dorm Room Fund(www.dormroomfund.com), Geekdom SF(www.geekdomsf.com), Haystack(haystack.vc), Hemisphere Ventures(www.hemisphere.com), Playfair Capital(www.playfaircapital.com), Rising Tide Fund(www.rtf.vc), Saad AlSogair(www.DrSogair.com), Semil Shah(blog.semilshah.com/about), SGH Capital(www.sghcapital.com), StartX(www.startx.com), Tuesday Capital(www.tuesday.vc), Vinny Lingham(www.vinnylingham.com), Winklevoss Capital Management(www.winklevosscapital.com)</t>
  </si>
  <si>
    <t>MENA Venture Investments(www.mvi.vc)</t>
  </si>
  <si>
    <t>59914-99</t>
  </si>
  <si>
    <t>Onfido</t>
  </si>
  <si>
    <t>Referencebox Ltd, Verifyrecruit Ltd</t>
  </si>
  <si>
    <t>ShoCard, Socure, Veridu, Payfone, Moqom, Signifyd, Trunomi, AuthenticID, Acuant, ID Analytics, Trulioo, Tierion, TRUSTID, Trusted Key Solutions, Checkr, Mitek</t>
  </si>
  <si>
    <t>Developer of an identity verification platform intended to automate the identity verification process. The company's platform uses machine learning and facial biometrics to assess government-issued ID to catch identity fraud, enabling businesses and individuals to ensure ingenuity of people in a hassle-free manner.</t>
  </si>
  <si>
    <t>identity fraud checking, identity fraud detection, identity validation, identity validation platform, identity verification, identity verification platform, onboarding, regtech, saas</t>
  </si>
  <si>
    <t>www.onfido.com</t>
  </si>
  <si>
    <t>2015: 25, 2016: 102, 2017: 150, 2019: 250</t>
  </si>
  <si>
    <t>56466-46P</t>
  </si>
  <si>
    <t>Eamon Jubbawy</t>
  </si>
  <si>
    <t>eamon@onfido.com</t>
  </si>
  <si>
    <t>3 Finsbury Avenue</t>
  </si>
  <si>
    <t>EC2M 2PA</t>
  </si>
  <si>
    <t>The company raised GBP 50 million of venture funding in a deal led by Salesforce Ventures and SBI Investment on April 3, 2019. M12, SoftBank Group and Fin Venture Capital also participated in the round.The funds will be used to consolidate the company's core market in the USA, accelerate expansion into high-growth regions including Europe and South-East Asia, as well as advance product development.</t>
  </si>
  <si>
    <t>Acequia Capital, Akash Gupta, B&amp;Y Venture Partners, Brent Hoberman, Brightbridge Ventures, Charles Songhurst, Crane Venture Partners, Daniel Cobley, Dominic Myers, Fin Venture Capital, Frédéric Mazzella, Hank Vigil, Hays Technology Ventures, Idinvest Partners, John Horan, Kairos Society, M12, Manara Capital, Manoj Badale, Mark Hand, Matteo Berlucchi, Michael Arrington, Oxford Accelerator, Oxford University Innovation, Plug and Play Tech Center, Saïd Business School, Salesforce Ventures, SBI Investment, Simon Heath, SoftBank Group, Spencer Hyman, Startup Funding Club, Steve Bailey, Talis Capital, Tempo Capital Partners, The Dcode Group, Tony Kaye, Tuesday Capital, University of Oxford Endowment, Wellington Partners</t>
  </si>
  <si>
    <t>Acequia Capital(acecap.com), B&amp;Y Venture Partners(www.byvp.com), Brightbridge Ventures(www.brightbridgeventures.com), Crane Venture Partners(www.crane.vc), Fin Venture Capital(www.finvc.co), Idinvest Partners(www.idinvest.com), Kairos Society(www.kairoshq.com), M12(www.m12.vc), Manara Capital(www.manaracapital.com), Michael Arrington(uncrunched.com), Oxford Accelerator(www.oxfordaccelerator.com), Oxford University Innovation(www.innovation.ox.ac.uk), Plug and Play Tech Center(www.plugandplaytechcenter.com), Saïd Business School(www.sbs.ox.ac.uk), SBI Investment(www.sbinvestment.co.jp), SoftBank Group(www.softbank.jp), Startup Funding Club(www.startupfundingclub.com), Talis Capital(www.taliscapital.com), Tempo Capital Partners(www.tempocap.com), The Dcode Group(www.dcode.co), Tuesday Capital(www.tuesday.vc), University of Oxford Endowment(www.ox.ac.uk), Wellington Partners(www.wellington-partners.com)</t>
  </si>
  <si>
    <t>Future Fifty(Consulting), National Westminster Bank(General Business Banking), Orrick, Herrington &amp; Sutcliffe(Legal Advisor), PwC(Auditor)</t>
  </si>
  <si>
    <t>Boxington Corporate Finance(Advisor: General), Orrick, Herrington &amp; Sutcliffe(Legal Advisor), Taylor Wessing(Legal Advisor)</t>
  </si>
  <si>
    <t>98257-42</t>
  </si>
  <si>
    <t>OneMob</t>
  </si>
  <si>
    <t>StreamSend, Act-On, Mogreet, BrightTALK, PowerInbox</t>
  </si>
  <si>
    <t>Provider of a cloud-based video engagement platform designed to personalize customer interactions. The company's application allows sales, customer success and support reps to record, upload and send personal, branded, and trackable video and voice messages to grow sales and renewals, enabling users to record short, personal and branded video-mails from their mobile device.</t>
  </si>
  <si>
    <t>crm sales, crm service, crm software, customer relationship interaction, marketing software, marketing software platform, sales enhancement</t>
  </si>
  <si>
    <t>www.onemob.com</t>
  </si>
  <si>
    <t>2014: 7, 2015: 12</t>
  </si>
  <si>
    <t>84690-01P</t>
  </si>
  <si>
    <t>Nimesh Gupta</t>
  </si>
  <si>
    <t>Co-Founder and Chief Operating Officer</t>
  </si>
  <si>
    <t>nimesh@onemob.com</t>
  </si>
  <si>
    <t>480 2nd Street</t>
  </si>
  <si>
    <t>hello@onemob.com</t>
  </si>
  <si>
    <t>The company raised $900,000 of venture funding from lead investor Salesforce Ventures on August 17, 2015. Amos Ben-Meir, Tim Draper and Benhamou Global Ventures also participated. Previously, the company raised $500,000 of venture funding from Sand Hill Angels, Alchemist Accelerator and Draper Associates on October 20, 2014, putting the company's pre-money valuation at $9.5 million. Nick Mehta, Frank Willemsen and Amos Ben-Meir also participated in this round.</t>
  </si>
  <si>
    <t>Alchemist Accelerator, Amos Ben-Meir, Benhamou Global Ventures, Draper Associates, Frank Willemsen, Nick Mehta, Salesforce Ventures, Sand Hill Angels, Timothy Draper</t>
  </si>
  <si>
    <t>Alchemist Accelerator(www.alchemistaccelerator.com), Benhamou Global Ventures(www.benhamouglobalventures.com), Draper Associates(www.draper.vc), Sand Hill Angels(www.sandhillangels.com), Timothy Draper(www.timothydraper.com)</t>
  </si>
  <si>
    <t>52623-91</t>
  </si>
  <si>
    <t>OneAssist</t>
  </si>
  <si>
    <t>Provider of a platform for financial and phone protection services designed to cover loss of valuable things. The company's services include protection for credit card, smartphones and payment cards in case of loss or theft and also provides theft and damage insurance protection, including doorstep services to pick up and repair the phone, hotel bill settlement and assistance for lost passport, enabling people to manage their moments of crisis.</t>
  </si>
  <si>
    <t>bill settlement, credit card protection, damage insurance, phone protection services, protection services</t>
  </si>
  <si>
    <t>www.oneassist.in</t>
  </si>
  <si>
    <t>2015: 23, 2016: 51</t>
  </si>
  <si>
    <t>70096-42P</t>
  </si>
  <si>
    <t>Saurabh Chandra</t>
  </si>
  <si>
    <t>Founding Team Member &amp; CIO</t>
  </si>
  <si>
    <t>saurabh.chandra@oneassist.in</t>
  </si>
  <si>
    <t>+91 (0)22 4298 3000</t>
  </si>
  <si>
    <t>P O Box Number 7417</t>
  </si>
  <si>
    <t>J.B Nagar Post Office</t>
  </si>
  <si>
    <t>400059</t>
  </si>
  <si>
    <t>happytoassist@oneassist.in</t>
  </si>
  <si>
    <t>The company raised $18 million of Series C venture funding in a deal led by Sequoia Capital India on June 23, 2017. Lightspeed India Partners Advisors, Assurant Growth Investing and Moonstone Investments also participated. The investment positions OneAssist to grow the significant market opportunities in the categories it operates in as well as develop new product segments. Previously, the company received $2.4 million of debt financing from Trifecta Capital Partners on July 4, 2016.</t>
  </si>
  <si>
    <t>Assurant Growth Investing, Lightspeed India Partners Advisors, Sequoia Capital India</t>
  </si>
  <si>
    <t>Assurant Growth Investing(www.assurantgrowthinvesting.com), Sequoia Capital India(www.sequoiacap.com/india)</t>
  </si>
  <si>
    <t>Trifecta Capital Partners(Debt Financing)</t>
  </si>
  <si>
    <t>169018-93</t>
  </si>
  <si>
    <t>Once Upon a Farm</t>
  </si>
  <si>
    <t>PureJoy</t>
  </si>
  <si>
    <t>NurturMe, Yumi, Little Spoon, Raised Real, Pure Spoon, Baby Gourmet, Purely Elizabeth, Babease, Plum Organics, Earth's Best, Plum Organics (acquired), Kiddylicious, KIND (Healthy Snacks), Gorilly Goods, Nud fud, Sprout Foods, Ella's Kitchen, Clif Bar &amp; Company, Happy Families</t>
  </si>
  <si>
    <t>Producer of cold-pressed organic baby foods intended to serve tasty and nutritious foods to kids of all ages. The company's baby foods are made using high pressure processing technology to retain product flavor, aroma, color, texture and nutrients to optimize nutrition absorption and palate development in infants, enabling kids to get the best tasting, most nutritious and highest quality food utilizing sustainable methods.</t>
  </si>
  <si>
    <t>baby food, baby food product, baby food provider, cold-pressured baby food, infant nutrition, infant nutritional product, organic food</t>
  </si>
  <si>
    <t>www.onceuponafarmorganics.com</t>
  </si>
  <si>
    <t>152510-50P</t>
  </si>
  <si>
    <t>Ari Raz</t>
  </si>
  <si>
    <t>araz@onceuponafarmorganics.com</t>
  </si>
  <si>
    <t>+1 (888) 983-1606</t>
  </si>
  <si>
    <t>7343 Ronson Road</t>
  </si>
  <si>
    <t>Suite P</t>
  </si>
  <si>
    <t>92111</t>
  </si>
  <si>
    <t>care@uponafarm.com</t>
  </si>
  <si>
    <t>The company raised $20 million of Series B venture funding in a deal led by CAVU Venture Partners on October 9, 2018. S2G Ventures (Seed 2 Growth), Beechwood Capital and other undisclosed investors also participated in the round. The company intends to use the funds for growth in retail and product innovation.</t>
  </si>
  <si>
    <t>Beechwood Capital, Cambridge Companies, CAVU Venture Partners, CircleUp Network, Everplus Capital, Gil Fronzaglia, Halcyon Incubator, Harbinger Ventures, Robert Craig, S2G Ventures</t>
  </si>
  <si>
    <t>Beechwood Capital(www.beechwoodcap.com), Cambridge Companies(www.cambridgespg.com), CAVU Venture Partners(www.cavuventures.com), CircleUp Network(www.circleup.com), Everplus Capital(www.everplus-cap.com), Halcyon Incubator(www.halcyonhouse.org), Harbinger Ventures(www.harbingerventures.com), S2G Ventures(www.s2gventures.com)</t>
  </si>
  <si>
    <t>BraunHagey &amp; Borden(Legal Advisor), Chase Bank(General Business Banking), Stage 1 Financial(Accounting)</t>
  </si>
  <si>
    <t>BraunHagey &amp; Borden(Legal Advisor)</t>
  </si>
  <si>
    <t>64018-63</t>
  </si>
  <si>
    <t>Onapsis</t>
  </si>
  <si>
    <t>WhiteHat Security, Security Weaver, Virtual Forge, ESNC, ERP Maestro, eRequester, Epicor Software, Pagero, Infor Global Solutions, NetSuite, Xeeva</t>
  </si>
  <si>
    <t>Provider of a cyber-security and compliance platform designed to secure business-critical applications. The company's compliance platform includes preventative vulnerability and compliance controls, as well as real-time detection and incident response capabilities to reduce risks affecting critical business processes and data, enabling clients to seamlessly incorporate enterprise applications into existing risk and incident response management programs and automate the monitoring and protection of SAP and Oracle ERP, keeping them compliant and safe from insider and outsider threats.</t>
  </si>
  <si>
    <t>Cybersecurity, Impact Investing, SaaS, TMT</t>
  </si>
  <si>
    <t>compliance control, cybersecurity compliance, enterprise application, enterprise compliance platform, impact investing vertical, regtech vertical</t>
  </si>
  <si>
    <t>www.onapsis.com</t>
  </si>
  <si>
    <t>2014: 60, 2015: 89, 2018: 180</t>
  </si>
  <si>
    <t>70061-05P</t>
  </si>
  <si>
    <t>Pablo Valeriano</t>
  </si>
  <si>
    <t>Vice President of Finance and Operations</t>
  </si>
  <si>
    <t>pvaleriano@onapsis.com</t>
  </si>
  <si>
    <t>+54 0 115 032 2376</t>
  </si>
  <si>
    <t>60 State Street</t>
  </si>
  <si>
    <t>+1 (617) 603-9932</t>
  </si>
  <si>
    <t>info@onapsis.com</t>
  </si>
  <si>
    <t>The company raised $31 million of Series C venture funding in a deal led by LLR Partners on April 13, 2018, putting the company's pre-money valuation at $130 million. Evolution Equity Partners, Arsenal Growth and .406 Ventures also participated in the round. The funds will be used to accelerating sales, customer success and marketing efforts, invest in product development and innovation, threat research and scale their channel and partner programs.</t>
  </si>
  <si>
    <t>.406 Ventures, Arsenal Growth, David Bonderman, Dragoneer Investment Group, Endeavor Global, Evolution Equity Partners, Investment Group of Santa Barbara, LLR Partners, Mark Galperin, Schlumberger, Schlumberger Technology Investments</t>
  </si>
  <si>
    <t>.406 Ventures(www.406ventures.com), Arsenal Growth(www.arsenalgrowth.com), Dragoneer Investment Group(www.dragoneer.com), Endeavor Global(www.endeavor.org), Evolution Equity Partners(www.evolutionequity.com), Investment Group of Santa Barbara(www.igsb.com), LLR Partners(www.llrpartners.com), Schlumberger(www.slb.com)</t>
  </si>
  <si>
    <t>Faber Daeufer &amp; Itrato(Legal Advisor), Gunderson Dettmer(Legal Advisor)</t>
  </si>
  <si>
    <t>61175-53</t>
  </si>
  <si>
    <t>Omnivirt</t>
  </si>
  <si>
    <t>AdsOptimal</t>
  </si>
  <si>
    <t>Immersv, Vertebrae</t>
  </si>
  <si>
    <t>Developer of an advertising platform designed to monetize web traffic on mobile devices. The company's platform offers a virtual reality advertising application, enabling brands and developers to view products in 360 degrees with their fingertip on smartphones, tablets and websites.</t>
  </si>
  <si>
    <t>Application Software*, Other Software, Social/Platform Software</t>
  </si>
  <si>
    <t>AdTech, Marketing Tech, Mobile, SaaS, TMT, Virtual Reality</t>
  </si>
  <si>
    <t>adsense, advertising platform, virtual reality advertising, virtual reality advertising application, web advertising</t>
  </si>
  <si>
    <t>www.Omnivirt.com</t>
  </si>
  <si>
    <t>59823-82P</t>
  </si>
  <si>
    <t>Prachaya Phaisanwiphatpong</t>
  </si>
  <si>
    <t>brad@adsoptimal.com</t>
  </si>
  <si>
    <t>+1 (415) 993-8723</t>
  </si>
  <si>
    <t>contact@omnivirt.com</t>
  </si>
  <si>
    <t>The company raised an undisclosed amount of seed funding from Bertelsmann Digital Media Investments, Danhua Capital and GC VR Gaming Tracker Fund on October 10, 2016. Greycroft, Index Ventures (UK), InVent by Intouch Holding, Wonder Ventures, Virtual Reality Investments and other undisclosed investors also participated in the round. The funding will be used to accelerate the company's growth.</t>
  </si>
  <si>
    <t>Andreessen Horowitz, Bertelsmann Digital Media Investments, Digital Horizon Capital, GC VR Gaming Tracker Fund, General Catalyst, Greycroft, Index Ventures (UK), InVent by Intouch Holding, Lawrence Braitman, Start Fund, SV Angel, Virtual Reality Investments, Wonder Ventures, Y Combinator</t>
  </si>
  <si>
    <t>Andreessen Horowitz(www.a16z.com), Bertelsmann Digital Media Investments(www.bdmifund.com), Digital Horizon Capital(www.dh.vc), General Catalyst(www.generalcatalyst.com), Greycroft(www.greycroft.com), Index Ventures (UK)(www.indexventures.com), InVent by Intouch Holding(www.inventvc.com), Lawrence Braitman(www.braitman.co), SV Angel(www.svangel.com), Virtual Reality Investments(www.virtualrealityinvestment.com), Wonder Ventures(www.wondervc.com), Y Combinator(www.ycombinator.com)</t>
  </si>
  <si>
    <t>98344-09</t>
  </si>
  <si>
    <t>OmniSci</t>
  </si>
  <si>
    <t>MapD</t>
  </si>
  <si>
    <t>Crate.io, Treasure Data, Periscope Data, MemSQL, Xplenty, SQream, Stitch, Exasol, Snowflake, MapR, Databricks, Cloudera, VoltDB, DataStax, Talend, Vertica Systems, Infobright, Actian, Confluent, Redis Labs, Fauna, Aerospike, BlazingDB, Couchbase, Kognitio, MariaDB, Kinetica, Aginity, Panoply (Application Software), Cockroach Labs, Infoworks, RapidMiner, Basho, ArangoDB, SAP, MongoDB, Astronomer, Hortonworks, Micro Focus</t>
  </si>
  <si>
    <t>Developer of a big data analytics and visualization platform designed to make analytics instant and effortless for everyone. The company's platform offers SQL-compliant, GPU database with an advanced visual analytics engine and GPU-rendering of data-sets using a web front-end platform to visually filter and correlate multiple dimensions of multi-billion row data-sets, enabling clients to analyze and visualize multi-billion record data-sets to create a fluid and immersive data exploration experience that removes the disconnect between an analyst and their data.</t>
  </si>
  <si>
    <t>Big Data, SaaS</t>
  </si>
  <si>
    <t>big data analytics, data analytics, data visualization, data visualization platform, gpu database, sql database, visualization platform</t>
  </si>
  <si>
    <t>www.omnisci.com</t>
  </si>
  <si>
    <t>2015: 6, 2016: 20, 2018: 78</t>
  </si>
  <si>
    <t>81755-83P</t>
  </si>
  <si>
    <t>Todd Mostak</t>
  </si>
  <si>
    <t>todd@mapd.com</t>
  </si>
  <si>
    <t>+1 (415) 851-4787</t>
  </si>
  <si>
    <t>1 Front Street</t>
  </si>
  <si>
    <t>Suite 2650</t>
  </si>
  <si>
    <t>info@mapd.com</t>
  </si>
  <si>
    <t>The company raised $55 million of Series C venture funding in a deal led by Tiger Global Management on September 28, 2018, putting the company's pre-money valuation at $200 million. Verizon Ventures, NVIDIA, New Enterprise Associates, In-Q-Tel and Vanedge Capital also participated in the round. The company which has raised $92 million in total funding to date, intends to use the funds to accelerate innovation, further build their open source community and expand the team.</t>
  </si>
  <si>
    <t>GV, In-Q-Tel, Microsoft ScaleUp, New Enterprise Associates, Nvidia, NVIDIA GPU Ventures, The Dcode Group, Tiger Global Management, Vanedge Capital, Verizon Ventures</t>
  </si>
  <si>
    <t>GV(www.gv.com), In-Q-Tel(www.iqt.org), Microsoft ScaleUp(startups.microsoft.com/en-us/scale-up), New Enterprise Associates(www.nea.com), Nvidia(www.nvidia.com), The Dcode Group(www.dcode.co), Tiger Global Management(www.tigerglobal.com), Vanedge Capital(www.vanedgecapital.com), Verizon Ventures(www.verizonventures.com)</t>
  </si>
  <si>
    <t>56242-81</t>
  </si>
  <si>
    <t>Omio</t>
  </si>
  <si>
    <t>Loco2, Wanderu, Trainline, Rome2rio</t>
  </si>
  <si>
    <t>Developer of a travel planning platform intended to plan and book travel. The company's platform offers real-time price comparison along options to book trains, buses, flights and hotels, enabling users to compare and book journeys by train, bus and flight anywhere in Europe with one simple search.</t>
  </si>
  <si>
    <t>Other Restaurants, Hotels and Leisure, Other Software*</t>
  </si>
  <si>
    <t>flight bookingh platform, train bookings, travel booking platform, travel planning app, travel planning application</t>
  </si>
  <si>
    <t>www.omio.com</t>
  </si>
  <si>
    <t>2015: 150, 2016: 200, 2017: 200, 2018: 280, 2019: 300</t>
  </si>
  <si>
    <t>47405-08P</t>
  </si>
  <si>
    <t>Naren Shaam</t>
  </si>
  <si>
    <t>Founder, Managing Director, Chief Executive Officer, President &amp; Board Member</t>
  </si>
  <si>
    <t>naren.shaam@goeuro.com</t>
  </si>
  <si>
    <t>Schönhauser Allee 180</t>
  </si>
  <si>
    <t>The company raised $150 million of venture funding in a deal led by Kinnevik and Temasek Holdings on October 23, 2018. Hillhouse Capital Group also participated in the round. The funds will be used to advance the company's vision of unifying transport globally by accelerating product innovation and expanding into new markets, facilitating more convenient travel booking across the world.</t>
  </si>
  <si>
    <t>Atlantic Labs, Atomico, Battery Ventures, Christopher Rust, Diego Berdakin, Eric Wahlforss, Gene Zimon, Goldman Sachs Investment Partners, Hillhouse Capital Group, Kinnevik, Kleiner Perkins, Lakestar, New Enterprise Associates, Rajeev Madhavan, Sebastian Siemiatkowski, Silver Lake Management, Target Global, Temasek Holdings, Tom Stafford, Witt Capital Partners, Yuri Milner</t>
  </si>
  <si>
    <t>Atlantic Labs(www.atlanticlabs.de), Atomico(www.atomico.com), Battery Ventures(www.battery.com), Eric Wahlforss(eric.wahlforss.com), Goldman Sachs Investment Partners(www.gsipventures.com), Hillhouse Capital Group(www.hillhousecap.com), Kinnevik(www.kinnevik.com), Kleiner Perkins(www.kleinerperkins.com), Lakestar(www.lakestar.com), New Enterprise Associates(www.nea.com), Silver Lake Management(www.silverlake.com), Target Global(www.targetglobal.vc), Temasek Holdings(www.temasek.com.sg)</t>
  </si>
  <si>
    <t>Latham &amp; Watkins(Legal Advisor), MadsenScripps(Consulting), Scede.io(Advisor: General), Toolbox for HR(Advisor: General)</t>
  </si>
  <si>
    <t>Latham &amp; Watkins(Legal Advisor), Silver Lake Management(Debt Financing), TriplePoint Venture Growth(Debt Financing)</t>
  </si>
  <si>
    <t>156480-31</t>
  </si>
  <si>
    <t>OMG Digital</t>
  </si>
  <si>
    <t>OMGVoice</t>
  </si>
  <si>
    <t>Diply, Distractify</t>
  </si>
  <si>
    <t>Provider of an online platform intended to provide digital marketing services. The company's platform focuses on building influential media brands for millions of African millennials around the globe, enabling clients to find video content focused on culture and hyper-local recipes easily.</t>
  </si>
  <si>
    <t>content publishing, news and media, online content platform, online platform, web media platform</t>
  </si>
  <si>
    <t>www.omgvoice.com</t>
  </si>
  <si>
    <t>2016: 2, 2017: 25</t>
  </si>
  <si>
    <t>132105-79P</t>
  </si>
  <si>
    <t>Jesse Ghansah</t>
  </si>
  <si>
    <t>jesse@omgvoice.com</t>
  </si>
  <si>
    <t>Accra, Ghana</t>
  </si>
  <si>
    <t>Accra</t>
  </si>
  <si>
    <t>Ghana</t>
  </si>
  <si>
    <t>contact@omgvoice.com</t>
  </si>
  <si>
    <t>The company joined Google Developers Launchpad as part of the Africa 2018 class on March 20, 2018. Earlier, the company raised $1.1 million of seed funding from Comcast Ventures, Macro (Media Platform) and Social Capital on June 26, 2017. M&amp;Y Growth Partners, Kima Ventures, Soma Capital, Quintus Capital, Josh Buckley, Will Sternlicht, Kenneth Hertz and Frances Xavier Helgesen also participated in the round.</t>
  </si>
  <si>
    <t>Comcast Ventures, Frances Helgesen, Google Developers Launchpad, Joshua Buckley, Kenneth Hertz, Kima Ventures, M&amp;Y Growth Partners, Macro (Media Platform), Quintus Capital, Social Capital, Soma Capital, Will Sternlicht, Y Combinator</t>
  </si>
  <si>
    <t>Comcast Ventures(www.comcastventures.com), Google Developers Launchpad(developers.google.com/programs/launchpad), Kima Ventures(www.kimaventures.com), Macro (Media Platform)(www.staymacro.com), Quintus Capital(www.quintus-capital.com), Social Capital(www.socialcapital.com), Soma Capital(somacap.com), Y Combinator(www.ycombinator.com)</t>
  </si>
  <si>
    <t>93764-80</t>
  </si>
  <si>
    <t>Omaze</t>
  </si>
  <si>
    <t>YouCaring, GiveForward, Fundly, CharityStars, BidKind, Prizeo US, Tilt</t>
  </si>
  <si>
    <t>Provider of an online fundraising platform designed to raise money for charitable causes. The company's platform collects valuable items from the donors and auctions those items for charity, enabling people to donate to a charitable cause.</t>
  </si>
  <si>
    <t>auction, charity, donor, fundraising, web platform</t>
  </si>
  <si>
    <t>www.omaze.com</t>
  </si>
  <si>
    <t>2014: 31, 2015: 52</t>
  </si>
  <si>
    <t>86526-82P</t>
  </si>
  <si>
    <t>Matthew Pohlson</t>
  </si>
  <si>
    <t>matt@omaze.com</t>
  </si>
  <si>
    <t>+1 (213) 534-6693</t>
  </si>
  <si>
    <t>P.O. Box 866</t>
  </si>
  <si>
    <t>info@omaze.com</t>
  </si>
  <si>
    <t>The company raised venture funding from Bertelsmann Digital Media Investments on an undisclosed date. PTK Capital and University Growth Fund also participated in it.</t>
  </si>
  <si>
    <t>Adam Press, Bertelsmann Digital Media Investments, Crosscut Ventures, David Gilboa, ff Venture Capital, FirstMark Capital, Jason Finger, Montrose Capital Partners, Paige Craig, PTK Capital, Rancilio Cube, Rick Heitzmann, Rothenberg Ventures, RSE Ventures, Saturn Partners, The Eisner Foundation, The Tornante Company, University Growth Fund, Vayner/RSE</t>
  </si>
  <si>
    <t>Bertelsmann Digital Media Investments(www.bdmifund.com), Crosscut Ventures(www.crosscut.vc), ff Venture Capital(www.ffvc.com), FirstMark Capital(www.firstmarkcap.com), Jason Finger(www.jasonfinger.com), Montrose Capital Partners(www.montrosecapital.com), PTK Capital(www.ptkcapital.com), Rancilio Cube(www.ranciliocube.com), Rothenberg Ventures(www.rothenbergventures.com), RSE Ventures(www.rseventures.com), Saturn Partners(www.saturnpartnersvc.com), The Eisner Foundation(www.eisnerfoundation.org), The Tornante Company(www.tornante.com), University Growth Fund(www.ugrowthfund.com), Vayner/RSE(www.vaynerrse.com)</t>
  </si>
  <si>
    <t>Cooley(Legal Advisor), StartupTAP(Consulting)</t>
  </si>
  <si>
    <t>157180-51</t>
  </si>
  <si>
    <t>Ollie</t>
  </si>
  <si>
    <t>Merrick Pet Care, Ainsworth Pet Nutrition, NomNomNow, Petplate, The Farmer's Dog, Arthur Dogswell, OLLY, I and love and you, Nulo Pet Food, Fruitables, TruPet, Wellness Pet Food, Wild Calling Pet Foods, Woof Gang Bakery, Freshpet, Chewy</t>
  </si>
  <si>
    <t>Producer of ready-to-serve dog meals designed to enhance dog health. The company's dog meals are made from fresh wholesome, human-grade ingredients with vet-formulated recipes that are made from meat sourced from family run farms and are customized based on a dog's unique needs with the recommended nutrition level, enabling pet dog owners to provide the right and precise amount of food to their pets while keeping the health on check.</t>
  </si>
  <si>
    <t>Pet Technology, TMT</t>
  </si>
  <si>
    <t>animal feed, dog food, pet food, pet food service, pet technology vertical</t>
  </si>
  <si>
    <t>www.myollie.com</t>
  </si>
  <si>
    <t>50641-39P</t>
  </si>
  <si>
    <t>Alexandre Douzet</t>
  </si>
  <si>
    <t>adouzet@myollie.com</t>
  </si>
  <si>
    <t>+1 (844) 886-5543</t>
  </si>
  <si>
    <t>1201 Broadway</t>
  </si>
  <si>
    <t>info@myollie.com</t>
  </si>
  <si>
    <t>The company received an undisclosed amount of debt financing in the form of a loan from Comerica Bank on an undisclosed date. Reitler Kailas &amp; Rosenblatt acted as a legal advisor to the company in this transaction.</t>
  </si>
  <si>
    <t>ARC Angel Fund, Canaan Partners, Correlation Ventures, Emil Capital Partners, Lerer Hippeau, Max Ventures, Primary Venture Partners, RiverPark Ventures, Rosecliff Venture Partners, The Gramercy Fund, WME Ventures</t>
  </si>
  <si>
    <t>ARC Angel Fund(www.arcangelfund.com), Canaan Partners(www.canaan.com), Correlation Ventures(www.correlationvc.com), Emil Capital Partners(www.emilcapitalpartners.com), Lerer Hippeau(www.lererhippeau.com), Max Ventures(www.maxventures.vc), Primary Venture Partners(www.primary.vc), RiverPark Ventures(www.riverparkvc.com), Rosecliff Venture Partners(www.rosecliffvc.com), The Gramercy Fund(www.gramercyfund.com), WME Ventures(www.wmevc.com)</t>
  </si>
  <si>
    <t>Comerica Bank(Debt Financing), Reitler Kailas &amp; Rosenblatt(Legal Advisor)</t>
  </si>
  <si>
    <t>58369-06</t>
  </si>
  <si>
    <t>OfferUp</t>
  </si>
  <si>
    <t>iDeal Technologies</t>
  </si>
  <si>
    <t>Letgo, Wallapop, 5miles, VarageSale, Mercari, Close5, Poshmark, eBay</t>
  </si>
  <si>
    <t>Provider of an online shopping platform designed to offer a simple way to buy and sell locally. The company's platform provides tons of deals on products, instantly send messages to sellers, as well as sell a product which user owns, enabling users with a mobile marketplace for local buyers and sellers.</t>
  </si>
  <si>
    <t>ecommerce platform, mobile commerce platform, mobile marketplace, peer-to-peer commerce, sales platform</t>
  </si>
  <si>
    <t>www.offerup.com</t>
  </si>
  <si>
    <t>2015: 67, 2016: 130, 2017: 217, 2018: 240</t>
  </si>
  <si>
    <t>72539-38P</t>
  </si>
  <si>
    <t>Nick Huzar</t>
  </si>
  <si>
    <t>nick@offerupnow.com</t>
  </si>
  <si>
    <t>227 Bellevue Way Northeast</t>
  </si>
  <si>
    <t>Suite 57</t>
  </si>
  <si>
    <t>info@offerupnow.com</t>
  </si>
  <si>
    <t>The company raised $39.00 million of Series D1 venture funding from GGV Capital on August 9, 2018, putting the company's pre-money valuation at $1 billion.</t>
  </si>
  <si>
    <t>Allen &amp; Company, Alliance of Angels, Altimeter Capital, Amit Mital, Andreessen Horowitz, Andrew Wright, Andy Getsey, Aniruddha Rudy Gadre, Coatue Management, Comcast Ventures, GGV Capital, Hercules Capital, Jackson Square Ventures, Joe Giordano, John Keister, Mark Kingdon, Max Levchin, Serena Glover, T. Rowe Price, Tenaya Capital, The Gramercy Fund, Third Kind Venture Capital, Tiger Global Management, Tihan Seale, Vy Capital, Warburg Pincus</t>
  </si>
  <si>
    <t>Allen &amp; Company(www.allenco.com), Alliance of Angels(www.allianceofangels.com), Altimeter Capital(www.altimeter.com), Andreessen Horowitz(www.a16z.com), Coatue Management(www.coatue.com), Comcast Ventures(www.comcastventures.com), GGV Capital(www.ggvc.com), Hercules Capital(www.htgc.com), Jackson Square Ventures(www.jsv.com), Mark Kingdon(www.quixotic.ventures), Max Levchin(www.levchin.com), T. Rowe Price(www3.troweprice.com), Tenaya Capital(www.tenayacapital.com), The Gramercy Fund(www.gramercyfund.com), Third Kind Venture Capital(www.3kvc.com), Tiger Global Management(www.tigerglobal.com), Vy Capital(www.vycapital.com), Warburg Pincus(www.warburgpincus.com)</t>
  </si>
  <si>
    <t>223699-96</t>
  </si>
  <si>
    <t>Odaseva</t>
  </si>
  <si>
    <t>Provider of an online cloud data management platform designed to accelerate salesforce data management to the speed of the cloud. The company's platform provides a powerful, reliable and complete data management system to complement cloud applications providers to remain in control of their data, enabling enterprises to get rid of manual data management processes and unlock the value of their data.</t>
  </si>
  <si>
    <t>Automation/Workflow Software*, Business/Productivity Software, Social/Platform Software</t>
  </si>
  <si>
    <t>archiving, aws, backup, cloud, cloud computing, data, data protection, data protection tools, gdpr, saas, salesforce, software application</t>
  </si>
  <si>
    <t>www.odaseva.com</t>
  </si>
  <si>
    <t>2017: 11, 2018: 25</t>
  </si>
  <si>
    <t>177095-08P</t>
  </si>
  <si>
    <t>Sovan Bin</t>
  </si>
  <si>
    <t>sbin@odaseva.com</t>
  </si>
  <si>
    <t>+1 (800) 490-1054</t>
  </si>
  <si>
    <t>185 Alewife Brook Parkway</t>
  </si>
  <si>
    <t>contact@odaseva.com</t>
  </si>
  <si>
    <t>The company raised $11.7 million of Series A venture funding in a deal led by Partech Partners on February 28, 2019. Salesforce Ventures and Serena Capital also participated in the round. The company will use the funds to accelerate its go-to-market strategy and build on successes with global customers that include General Electric, Heineken, Orange Bank, Robert Half, Schneider Electric and Toyota.</t>
  </si>
  <si>
    <t>Partech Partners, Salesforce Ventures, Serena Capital</t>
  </si>
  <si>
    <t>Partech Partners(www.partechpartners.com), Serena Capital(www.serena.vc)</t>
  </si>
  <si>
    <t>125877-34</t>
  </si>
  <si>
    <t>Oculii</t>
  </si>
  <si>
    <t>Velodyne LiDAR, Oryx Vision, Ouster, TetraVue, Blackmore</t>
  </si>
  <si>
    <t>Developer of advanced radar sensors designed to offer the future of autonomous sensing. The company is developing high resolution imaging radar sensors that can generate 4D point clouds (X,Y,Z, Doppler) capable of direct pixel fusion with camera or LIDAR systems, enabling customers to extract accuracy, range and 4D positioning information.</t>
  </si>
  <si>
    <t>Aerospace and Defense, Electrical Equipment*</t>
  </si>
  <si>
    <t>Industrials, Internet of Things, TMT</t>
  </si>
  <si>
    <t>precision sensors, radar elements, radar sensors, radar sensors system, signal processing</t>
  </si>
  <si>
    <t>www.oculii.com</t>
  </si>
  <si>
    <t>2015: 11, 2018: 25</t>
  </si>
  <si>
    <t>116961-94P</t>
  </si>
  <si>
    <t>Lang Hong</t>
  </si>
  <si>
    <t>lhong@oculii.com</t>
  </si>
  <si>
    <t>+1 (937) 440-8230</t>
  </si>
  <si>
    <t>Beavercreek, OH</t>
  </si>
  <si>
    <t>830 A Space Drive</t>
  </si>
  <si>
    <t>Beavercreek</t>
  </si>
  <si>
    <t>45434</t>
  </si>
  <si>
    <t>info@oculii.com</t>
  </si>
  <si>
    <t>The company raised $6.77 million of Series A1 venture funding from undisclosed investors on June 8, 2018, putting the company's pre-money valuation at $60 million.</t>
  </si>
  <si>
    <t>Comet Labs, Decent Capital, F50, First Star Ventures, Legend Star, Li Qing Zeng, PreAngel, Qihoo 360 Technology, Radiant Venture Capital, Samsung Venture Investment, Westlake Ventures</t>
  </si>
  <si>
    <t>Comet Labs(www.cometlabs.io), Decent Capital(www.decentcapital.com), F50(www.f50.io), First Star Ventures(www.firststar.vc), Legend Star(www.legendstar.com.cn), PreAngel(www.preangelfund.cn), Qihoo 360 Technology(www.360.cn), Radiant Venture Capital(www.radiantvc.com), Samsung Venture Investment(www.samsungventures.com), Westlake Ventures(www.westlake.vc)</t>
  </si>
  <si>
    <t>Thompson Hine(Legal Advisor)</t>
  </si>
  <si>
    <t>186120-91</t>
  </si>
  <si>
    <t>Octillion Power Systems</t>
  </si>
  <si>
    <t>Octillion</t>
  </si>
  <si>
    <t>Manufacturer of high-technology batteries designed to offer greener and cleaner electric vehicles. The company's high-technology batteries includes lithium-ion battery systems for stationary storage industrial and mobile vehicle applications, enabling industries to get simple and rapid access to truly state-of-the art energy storage systems.</t>
  </si>
  <si>
    <t>Energy Storage*, Other Commercial Products</t>
  </si>
  <si>
    <t>CleanTech, LOHAS &amp; Wellness, Manufacturing, TMT</t>
  </si>
  <si>
    <t>energy storage system, high-technology battery, lithium-ion battery, lithium-ion battery cells</t>
  </si>
  <si>
    <t>www.octillion.us</t>
  </si>
  <si>
    <t>2017: 600</t>
  </si>
  <si>
    <t>172415-62P</t>
  </si>
  <si>
    <t>Paul Beach</t>
  </si>
  <si>
    <t>paul@octillion.us</t>
  </si>
  <si>
    <t>+1 (510) 397-5952</t>
  </si>
  <si>
    <t>721 Sandoval Way</t>
  </si>
  <si>
    <t>94544</t>
  </si>
  <si>
    <t>info@octillion.us</t>
  </si>
  <si>
    <t>The company raised $6.3 million of venture funding from Southern Cross Venture Partners on July 1, 2015. The company intends to use the capital to further develop advanced lithium-ion battery storage solutions for the Australian and global markets.</t>
  </si>
  <si>
    <t>Kleiner Perkins, Samsung Venture Investment, Southern Cross Venture Partners</t>
  </si>
  <si>
    <t>Kleiner Perkins(www.kleinerperkins.com), Samsung Venture Investment(www.samsungventures.com), Southern Cross Venture Partners(www.sxvp.com)</t>
  </si>
  <si>
    <t>Palladium Capital Advisors(Placement Agent)</t>
  </si>
  <si>
    <t>178728-76</t>
  </si>
  <si>
    <t>Octi</t>
  </si>
  <si>
    <t>VSCO, Wooptix, Spectral Edge, Corel, Fyusion</t>
  </si>
  <si>
    <t>Provider of an augmented video creation platform intended to re-create 3D space using the human body and smartphone. The company's platform changes the way people create social content and communicate through video by combining inferences from multiple layers of neural networks including skeletal detection, instance segmentation, 3D reconstruction and gesture recognition, enabling video content for brands and publishers to access cutting-edge technology to innovate, scale and accelerate the production of videos.</t>
  </si>
  <si>
    <t>Application Software, Movies, Music and Entertainment, Multimedia and Design Software*</t>
  </si>
  <si>
    <t>Ephemeral Content, SaaS, TMT</t>
  </si>
  <si>
    <t>3d reconstruction, gesture recognition, skeletal detection, video content platform, video content producer, video production</t>
  </si>
  <si>
    <t>www.octi.tv</t>
  </si>
  <si>
    <t>189300-34P</t>
  </si>
  <si>
    <t>Justin Fuisz</t>
  </si>
  <si>
    <t>justin@supermediafuture.com</t>
  </si>
  <si>
    <t>+1 (802) 276-6284</t>
  </si>
  <si>
    <t>6600 Sunset Boulevard</t>
  </si>
  <si>
    <t>Hollywood</t>
  </si>
  <si>
    <t>info@supermediafuture.com</t>
  </si>
  <si>
    <t>The company raised $7.5 million of seed funding from Live Nation Entertainment, Anheuser-Busch InBev and Shasta Ventures on July 12, 2018. I2BF Global Ventures, Bold Capital Partners, Day One Ventures, Human Ventures, OneTeam Collective, Shiva Rajaraman, Tom Conrad, Scott Belsky, Akatsuki Entertainment Technology Fund, Abbe Raven and Joshua Kushner also participated in this round. The company plans to use the funds to continue building out its team of computer vision scientists, researchers, and machine learning engineers, and to pursue integrations of its proprietary augmented video technology by third-party companies and mobile applications across industries such as fitness, gaming and fashion.</t>
  </si>
  <si>
    <t>Abbe Raven, Akatsuki Entertainment Technology Fund, Anheuser-Busch InBev, Bold Capital Partners, Day One Ventures, Human Ventures, I2BF Global Ventures, Joshua Kushner, Live Nation Entertainment, OneTeam Collective, Right Side Capital Management, Scott Belsky, Shasta Ventures, Shiva Rajaraman, Techstars, ZX Ventures</t>
  </si>
  <si>
    <t>Akatsuki Entertainment Technology Fund(www.aet.fund), Anheuser-Busch InBev(www.ab-inbev.com), Bold Capital Partners(www.boldcapitalpartners.com), Day One Ventures(dayoneventures.co), Human Ventures(www.humanventures.co), I2BF Global Ventures(www.i2bf.com), Live Nation Entertainment(www.livenationentertainment.com), OneTeam Collective(www.oneteamcollective.com), Right Side Capital Management(www.rightsidecapital.com), Scott Belsky(www.scottbelsky.com), Shasta Ventures(www.shastaventures.com), Techstars(www.techstars.com), ZX Ventures(www.zx-ventures.com)</t>
  </si>
  <si>
    <t>98785-72</t>
  </si>
  <si>
    <t>Ocean Aero</t>
  </si>
  <si>
    <t>Developer and manufacturer of unmanned system products. The company's The Submaran, a new class of Unmanned Underwater, Surface Vessel (UUSV) combines surface and subsurface performance in a unique transformable, self-propelling body, capable of long missions in extreme conditions.</t>
  </si>
  <si>
    <t>Aerospace and Defense*, Marine</t>
  </si>
  <si>
    <t>Industrials, Manufacturing, Robotics and Drones, TMT</t>
  </si>
  <si>
    <t>surface vessels, unmanned ocean system, unmanned vehicles</t>
  </si>
  <si>
    <t>www.oceanaero.com</t>
  </si>
  <si>
    <t>82854-10P</t>
  </si>
  <si>
    <t>Eric Patten</t>
  </si>
  <si>
    <t>eric@oceanaero.us</t>
  </si>
  <si>
    <t>+1 (858) 223-0142</t>
  </si>
  <si>
    <t>10755 Scripps Poway Parkway</t>
  </si>
  <si>
    <t>Suite 367</t>
  </si>
  <si>
    <t>92131</t>
  </si>
  <si>
    <t>info@oceanaero.us</t>
  </si>
  <si>
    <t>The company raised an estimated $12.9 million of Series C venture funding from Lockheed Martin Ventures on September 15, 2017, putting the pre-money valuation at $17 million.</t>
  </si>
  <si>
    <t>Energy Innovation Capital, Lockheed Martin Ventures, Teledyne Technologies</t>
  </si>
  <si>
    <t>Energy Innovation Capital(www.energyinnovationcapital.com), Teledyne Technologies(www.teledyne.com)</t>
  </si>
  <si>
    <t>Gunderson Dettmer(Legal Advisor), ProFinance Associates(Advisor: General)</t>
  </si>
  <si>
    <t>54826-57</t>
  </si>
  <si>
    <t>Obigo</t>
  </si>
  <si>
    <t>AU Mobile Suite</t>
  </si>
  <si>
    <t>Provider of software products. The company offers internet services and software products for the automotive, mobile and television industries.</t>
  </si>
  <si>
    <t>mobile solutions, web app, web platform solution</t>
  </si>
  <si>
    <t>www.obigo.com</t>
  </si>
  <si>
    <t>2015: 201</t>
  </si>
  <si>
    <t>98218-18P</t>
  </si>
  <si>
    <t>David Hwang</t>
  </si>
  <si>
    <t>Chief Executive Officer, President &amp; Founder</t>
  </si>
  <si>
    <t>david.hwang@obigo.com</t>
  </si>
  <si>
    <t>+82 (0)31 803 3300 0</t>
  </si>
  <si>
    <t>3rd Floor, 338 Pangyo-ro,</t>
  </si>
  <si>
    <t>463-400</t>
  </si>
  <si>
    <t>+82 (0)31 803 3301 1</t>
  </si>
  <si>
    <t>sales@obigo.com</t>
  </si>
  <si>
    <t>The company raised venture funding from Korea Investment Partners sand Samsung Venture Investment on an undisclosed date.</t>
  </si>
  <si>
    <t>94426-57</t>
  </si>
  <si>
    <t>OAG Analytics</t>
  </si>
  <si>
    <t>OAG</t>
  </si>
  <si>
    <t>Sight Machine, ICONICS, TrendMiner, NarrativeWave</t>
  </si>
  <si>
    <t>Developer of a predictive analytics platform designed to enable upstream oil and gas teams to deploy advanced analytics into their existing workflows. The company's platform leverages artificial intelligence to offer insights about pre-drill production, development strategies, acquisitions, divestitures, forecasting and reserve reports, allowing geoscientists to significantly reduce the time they spend on wrangling and create more time for analysis and decision making.</t>
  </si>
  <si>
    <t>Automation/Workflow Software, Business/Productivity Software*, Other Energy</t>
  </si>
  <si>
    <t>Artificial Intelligence &amp; Machine Learning, Big Data, Oil &amp; Gas, SaaS, TMT</t>
  </si>
  <si>
    <t>artificial intelligence platform, assets data optimization software, oil and gas analytics, oil energy platform, pre-drill prediction, subsurface analysis</t>
  </si>
  <si>
    <t>Pre-venture, Venture Capital</t>
  </si>
  <si>
    <t>www.oaganalytics.com</t>
  </si>
  <si>
    <t>2014: 1, 2015: 1, 2018: 20</t>
  </si>
  <si>
    <t>203530-96P</t>
  </si>
  <si>
    <t>Fred Luminoso</t>
  </si>
  <si>
    <t>fluminoso@oaganalytics.com</t>
  </si>
  <si>
    <t>+1 (844) 624-9355</t>
  </si>
  <si>
    <t>1330 Post Oak Boulevard</t>
  </si>
  <si>
    <t>Suite 1825</t>
  </si>
  <si>
    <t>77056</t>
  </si>
  <si>
    <t>info@oaganalytics.com</t>
  </si>
  <si>
    <t>The company raised $7.22 million of angel funding from Rice Investment Group and other undisclosed investors on April 4, 2019. Of the total amount, $1 million was originally raised in the form of convertible debt and subsequently converted to common equity. The funds will be used to accelerate customer success and complete several major enhancements to their upstream AI platform.</t>
  </si>
  <si>
    <t>Rice Investment Group</t>
  </si>
  <si>
    <t>Rice Investment Group(www.riceinvestmentgroup.com)</t>
  </si>
  <si>
    <t>58673-98</t>
  </si>
  <si>
    <t>Nymi</t>
  </si>
  <si>
    <t>Bionym</t>
  </si>
  <si>
    <t>Developer of a wearable biometric authentication technology designed to deliver secure authentication to regulate manufacturing environments. The company's Nymi Band is a multi-factor authenticator that can be used with any application, device or service and helps users to take control of identity through cardiac rhythm identification, enabling users to access a secure authentication method for a seamless experience.</t>
  </si>
  <si>
    <t>Mobile, TMT, Wearables &amp; Quantified Self</t>
  </si>
  <si>
    <t>authentication band, biometric, wearable authentication technology, wearable biometric technology</t>
  </si>
  <si>
    <t>www.nymi.com</t>
  </si>
  <si>
    <t>2014: 40, 2015: 38, 2016: 37, 2017: 50</t>
  </si>
  <si>
    <t>93144-52P</t>
  </si>
  <si>
    <t>Dave Rai</t>
  </si>
  <si>
    <t>Vice President, Engineering</t>
  </si>
  <si>
    <t>drai@nymi.com</t>
  </si>
  <si>
    <t>+1 (855) 781-9655</t>
  </si>
  <si>
    <t>82 Peter Street</t>
  </si>
  <si>
    <t>M5V 2G5</t>
  </si>
  <si>
    <t>info@nymi.com</t>
  </si>
  <si>
    <t>The company raised $15 million of Series B venture funding in a deal led by GII Tech on February 9, 2017. Relay Ventures, Ignition Partners, Export Development Canada and other undisclosed investors also participated in this round. The company intends to use the funds to enter the next phase of scaled deployments.</t>
  </si>
  <si>
    <t>C100 Association, Creative Destruction Lab, Daniel Debow, Export Development Canada, Forefront Venture Partners, FundersClub, GII Tech, Ignition Partners, Lee Lau, MasterCard, MasterCard Start Path Accelerator, Ontario Centres of Excellence, Paul Holliman, Recruit Strategic Partners, Relay Ventures, Salesforce Ventures, Seth Ginns, The Next Canada, XDL Capital Group</t>
  </si>
  <si>
    <t>C100 Association(www.thec100.org), Creative Destruction Lab(www.creativedestructionlab.com), Export Development Canada(www.edc.ca), Forefront Venture Partners(www.forefrontvp.com), FundersClub(www.fundersclub.com), GII Tech(www.giitech.ae), Ignition Partners(www.ignitionpartners.com), MasterCard(www.mastercard.us), MasterCard Start Path Accelerator(www.startpath.com), Ontario Centres of Excellence(www.oce-ontario.org), Recruit Strategic Partners(recruitstrategicpartners.com), Relay Ventures(www.relayventures.com), The Next Canada(www.nextcanada.com), XDL Capital Group(www.xdl.com)</t>
  </si>
  <si>
    <t>Export Development Canada(Advisor: General), MaRS Discovery District(Advisor: General), Uproar PR(Advisor: Communications)</t>
  </si>
  <si>
    <t>157173-85</t>
  </si>
  <si>
    <t>Nutpods</t>
  </si>
  <si>
    <t>Green Grass Foods</t>
  </si>
  <si>
    <t>Laird Superfood, Califia Farms</t>
  </si>
  <si>
    <t>Producer of dairy-free beverage creamer intended to provide healthy and tasty beverage. The company's products are made from almonds and MCT-rich coconuts, enabling customers to get cream from processed ingredients.</t>
  </si>
  <si>
    <t>Beverages*, Other Consumer Non-Durables, Specialty Retail</t>
  </si>
  <si>
    <t>beverages creamer, dairy-free coffee creamer, dairy-free creamer, tea creamer</t>
  </si>
  <si>
    <t>www.nutpods.com</t>
  </si>
  <si>
    <t>142556-59P</t>
  </si>
  <si>
    <t>Madeline Haydon</t>
  </si>
  <si>
    <t>Founder, Chief Executive Officer, Secretary &amp; Board Member</t>
  </si>
  <si>
    <t>madeline@nutpods.com</t>
  </si>
  <si>
    <t>+1 (800) 977-6094</t>
  </si>
  <si>
    <t>15900 South East Eastgate Way</t>
  </si>
  <si>
    <t>Building B, Suite 125</t>
  </si>
  <si>
    <t>98008</t>
  </si>
  <si>
    <t>info@nutpods.com</t>
  </si>
  <si>
    <t>The company received an undisclosed amount of development capital from Trail Post Ventures, CircleUp Network, Stray Dog Capital and Reason Venture Partners on February 28, 2018.</t>
  </si>
  <si>
    <t>CircleUp Network, Melissa Hartwig, Reason Venture Partners, Stray Dog Capital, Trail Post Ventures, VegInvest</t>
  </si>
  <si>
    <t>CircleUp Network(www.circleup.com), Reason Venture Partners(www.reasonvp.com), Stray Dog Capital(www.straydogcapital.com), Trail Post Ventures(www.trailpostventures.com), VegInvest(www.veginvesttrust.com)</t>
  </si>
  <si>
    <t>CircleUp Network(Lead Manager or Arranger), Kickstarter(Lead Manager or Arranger), Meridian Capital(Advisor: General)</t>
  </si>
  <si>
    <t>61221-97</t>
  </si>
  <si>
    <t>Nupharo</t>
  </si>
  <si>
    <t>Provider of a business incubator designed to offer smart energy and innovative technologies. The company's business incubator provide resources, facilities and business advice necessary for companies focusing on the development and commercialization, providing start-ups as well as large multinationals with a combination of key services, such as many promising and unique technologies, production facilities, an access to strategic investors, public and private funding, marketing, distribution and legislative support.</t>
  </si>
  <si>
    <t>Office Services (B2B)</t>
  </si>
  <si>
    <t>Consulting Services (B2B), Office Services (B2B)*, Private Equity</t>
  </si>
  <si>
    <t>business advice, business incubator, directing current, legislative support, private funding, public funding, smart energy, technology park</t>
  </si>
  <si>
    <t>www.nupharo.com</t>
  </si>
  <si>
    <t>2014: 11, 2016: 14</t>
  </si>
  <si>
    <t>60064-66P</t>
  </si>
  <si>
    <t>Petr Havlena</t>
  </si>
  <si>
    <t>petr.havlena@nupharo.com</t>
  </si>
  <si>
    <t>+420 734 520 948</t>
  </si>
  <si>
    <t>Prague, Czech Republic</t>
  </si>
  <si>
    <t>Strojírenská 47/18</t>
  </si>
  <si>
    <t>Prague</t>
  </si>
  <si>
    <t>155 21</t>
  </si>
  <si>
    <t>Czech Republic</t>
  </si>
  <si>
    <t>team@nupharo.com</t>
  </si>
  <si>
    <t>The company raised EUR 2.3 million of venture funding from ABB Technology Ventures on June 27, 2013. Prior to that, the company received EUR 12 million of grant funding from European Union on February 1, 2013.</t>
  </si>
  <si>
    <t>ABB Technology Ventures, European Union</t>
  </si>
  <si>
    <t>European Union(www.europa.eu/index_en.htm)</t>
  </si>
  <si>
    <t>55035-19</t>
  </si>
  <si>
    <t>NuORDER</t>
  </si>
  <si>
    <t>Insite Software Solutions, Handshake, SAP Hybris, Spocket, WebLinc, Centric Software, Pepperi, Salesforce, CenterStone Technologies, JOOR, Magento Commerce, PlumRiver, RepSpark Systems, Brandboom, Badger Maps, TradeGecko, SalesRabbit, Ai2 (Business Software), Mobisoft (australia), LeadCrunch, Aikucun, Bamboo Rose</t>
  </si>
  <si>
    <t>Provider of a cloud and mobile based B2B eCommerce platform designed to streamline business operations. The company's B2B eCommerce platform is a central hub to browse products and catalogues, access real-time inventory data and place orders from a computer or mobile app 24/7/365, enabling brands and retailers to reduce ordering, to respond more quickly to customer requests and store inventory needs.</t>
  </si>
  <si>
    <t>b2b ecommerce application, b2b ecommerce platform, ecommerce platform management, inventory data, marketplace directory, visual merchandising, visual merchandising solution, wholesale platform</t>
  </si>
  <si>
    <t>www.nuorder.com</t>
  </si>
  <si>
    <t>2017: 70, 2018: 70</t>
  </si>
  <si>
    <t>42862-42P</t>
  </si>
  <si>
    <t>Heath Wells</t>
  </si>
  <si>
    <t>Co-Founder, Board Member and Co-Chief Executive Officer</t>
  </si>
  <si>
    <t>heath@nuorder.com</t>
  </si>
  <si>
    <t>+1 (310) 954-1313</t>
  </si>
  <si>
    <t>900 Hilgard Avenue</t>
  </si>
  <si>
    <t>90024</t>
  </si>
  <si>
    <t>info@nuorder.com</t>
  </si>
  <si>
    <t>The company raised $15 million of Series D venture funding from undisclosed investors on October 12, 2018, putting the company's pre-money valuation at $65 million.</t>
  </si>
  <si>
    <t>Aileen Lee, BoxGroup, Brian Spaly, CAA Ventures, Cowboy Ventures, Creative Artists Agency, David Tisch, Ellie Wheeler, Greycroft, NewSpring Capital, Noah Lichtenstein, Novel TMT Ventures, Rachel Rosenzweig, Sam Kokin, The Argentum Group, Upfront Ventures</t>
  </si>
  <si>
    <t>BoxGroup(www.boxgroup.com), CAA Ventures(ventures.caa.com), Cowboy Ventures(www.cowboy.vc), Creative Artists Agency(www.caa.com), David Tisch(www.davidtisch.com), Greycroft(www.greycroft.com), NewSpring Capital(www.newspringcapital.com), The Argentum Group(www.argentumgroup.com), Upfront Ventures(www.upfront.com)</t>
  </si>
  <si>
    <t>Daversa Partners(Consulting), Orrick, Herrington &amp; Sutcliffe(Legal Advisor), StartupTAP(Consulting)</t>
  </si>
  <si>
    <t>Growthink(Lead Manager or Arranger), Orrick, Herrington &amp; Sutcliffe(Legal Advisor)</t>
  </si>
  <si>
    <t>60613-39</t>
  </si>
  <si>
    <t>NSS Labs</t>
  </si>
  <si>
    <t>Demisto, AttackIQ, FireEye, Fidelis Cybersecurity, SAS Institute, LookingGlass Cyber Solutions, Gartner</t>
  </si>
  <si>
    <t>Provider of a fact-based cybersecurity guidance intended to advance transparency and accountability within the cybersecurity industry. The company's guidance provide timely, relevant information for decision making and provides security testing along with extensive research and global threat analysis capabilities, enabling companies to get product testing and advisory services that helps them substantiate their security investments.</t>
  </si>
  <si>
    <t>Network Management Software*, Other Commercial Services</t>
  </si>
  <si>
    <t>cybersecurity, fact-based cybersecurity, information security, information security research, research and advisory, test based research</t>
  </si>
  <si>
    <t>www.nsslabs.com</t>
  </si>
  <si>
    <t>2014: 59, 2015: 53, 2016: 71</t>
  </si>
  <si>
    <t>57596-41P</t>
  </si>
  <si>
    <t>Jennifer Parker</t>
  </si>
  <si>
    <t>jparker@nsslabs.com</t>
  </si>
  <si>
    <t>+1 (512) 717-8467</t>
  </si>
  <si>
    <t>3711 South Mopac Expressway</t>
  </si>
  <si>
    <t>Building 1, Suite 400</t>
  </si>
  <si>
    <t>78746</t>
  </si>
  <si>
    <t>info@nsslabs.com</t>
  </si>
  <si>
    <t>The company raised $16 million of Series B venture funding in a deal led by Delta-v Capital on June 20, 2016, putting the company's pre-money valuation at $48.83 million. LiveOak Venture Partners also participated in the round. The deal includes a $9.1 million debt portion. The company will use funds to accelerate its go to market strategy, as well as expand the capacity of the CAWS platform.</t>
  </si>
  <si>
    <t>Chevron Technology Ventures, Delta-v Capital, LiveOak Venture Partners</t>
  </si>
  <si>
    <t>Delta-v Capital(www.deltavcapital.com), LiveOak Venture Partners(www.liveoakvp.com)</t>
  </si>
  <si>
    <t>92327-23</t>
  </si>
  <si>
    <t>NS1</t>
  </si>
  <si>
    <t>InfoVista, Bigleaf Networks, Cloudflare, Nuage Networks, Infoblox, Efficient Ip, CloudGenix, Zscaler, Oracle Dyn, Exinda, iconectiv, Adaptiv Networks, Highwinds Network Group, Incapsula, Virtela Technology Services, Akamai Technologies, Riskified, EthoStream, Aryaka, VeloCloud, Secure64, Placeable, Lumeta, Nominum, Talari Networks, Synup, Astellia</t>
  </si>
  <si>
    <t>Provider of a traffic management platform intended to offer unparalleled control over their traffic and infrastructure. The company's traffic management platform leverages real time user, network, and infrastructure data to offer highly customizable routing setups for the advanced applications on the internet, enabling clients to solve complex challenges and deliver real business results.</t>
  </si>
  <si>
    <t>Network Management Software*, Social/Platform Software</t>
  </si>
  <si>
    <t>dns, network traffic optimization, site traffic management, traffic control, website traffic</t>
  </si>
  <si>
    <t>www.ns1.com</t>
  </si>
  <si>
    <t>2015: 11, 2018: 100</t>
  </si>
  <si>
    <t>117463-24P</t>
  </si>
  <si>
    <t>Aaron Pullin</t>
  </si>
  <si>
    <t>apullin@nsone.net</t>
  </si>
  <si>
    <t>+1 (855) 438-6766</t>
  </si>
  <si>
    <t>16 Beaver Street</t>
  </si>
  <si>
    <t>info@ns1.com</t>
  </si>
  <si>
    <t>The company raised $22.99 million of venture funding in a deal led by GGV Capital on September 8, 2017, putting the pre-money valuation at $150 million. Salesforce Ventures, Deutsche Telekom Capital Partners, Flybridge Capital Partners, Sigma Prime Ventures, Telstra Ventures, Two Sigma Ventures, Mango Capital and other undisclosed investors also participated in the round. The company will use this financing to help even more online brands take control over their traffic and infrastructure to build reliable, high performance applications, expand business reach and increase investment in its engineering team and global network infrastructure.</t>
  </si>
  <si>
    <t>Blue Ant Investments, Center Electric, Deutsche Telekom Capital Partners, Entrée Capital, Flybridge Capital Partners, Founder Collective, GGV Capital, Mango Capital (Venture Capital), Salesforce Ventures, Sigma Prime Ventures, Telstra Ventures, Two Sigma Ventures, Wayne Chang</t>
  </si>
  <si>
    <t>Center Electric(www.cen.vc), Deutsche Telekom Capital Partners(www.telekom-capital.com), Entrée Capital(www.entreecap.com), Flybridge Capital Partners(www.flybridge.com), Founder Collective(www.foundercollective.com), GGV Capital(www.ggvc.com), Mango Capital (Venture Capital)(mangocap.com), Sigma Prime Ventures(www.sigmaprime.com), Telstra Ventures(www.telstraventures.com), Two Sigma Ventures(www.twosigmaventures.com), Wayne Chang(www.waynechang.com)</t>
  </si>
  <si>
    <t>58852-27</t>
  </si>
  <si>
    <t>Novidea</t>
  </si>
  <si>
    <t>Provider of end-to-end broker and agency management system designed to make success simpler. The company's system helps to provide real-time business intelligence and seamless workflow management, enabling insurance companies to improve their productivity and profitability.</t>
  </si>
  <si>
    <t>Application Software, Business/Productivity Software*, Other Commercial Services, Other Insurance, Other Software</t>
  </si>
  <si>
    <t>agency management system, business environment, insurance services</t>
  </si>
  <si>
    <t>www.novideasoft.com</t>
  </si>
  <si>
    <t>66355-48P</t>
  </si>
  <si>
    <t>Roi Agababa</t>
  </si>
  <si>
    <t>roia@novideasoft.com</t>
  </si>
  <si>
    <t>+972 (0)74 703 8300</t>
  </si>
  <si>
    <t>175 Varick Street</t>
  </si>
  <si>
    <t>+1 (857) 254-8397</t>
  </si>
  <si>
    <t>info@novideasoft.com</t>
  </si>
  <si>
    <t>The company raised venture funding from 2B Angels, Salesforce Ventures and other undisclosed individual investors on October 24, 2018.</t>
  </si>
  <si>
    <t>2B Angels, Individual Investor, Salesforce Ventures</t>
  </si>
  <si>
    <t>2B Angels(www.2B-Angels.com)</t>
  </si>
  <si>
    <t>56290-33</t>
  </si>
  <si>
    <t>Novasentis</t>
  </si>
  <si>
    <t>Strategic Polymer Sciences</t>
  </si>
  <si>
    <t>Leap Motion</t>
  </si>
  <si>
    <t>Developer of electro-mechanical polymer (EMP) haptic actuator and sensor technology designed to develop mobile and wearable products that come alive with movement and sound. The company's electro-mechanical polymer (EMP) haptic actuator and sensor technology empowers people to have a deeper physical and emotional connection to the world through their devices, enabling users to know when an email is received, who is calling or even if a daily walking goal has been achieved without looking.</t>
  </si>
  <si>
    <t>Electronic Components*, Electronics (B2C)</t>
  </si>
  <si>
    <t>actuators capacitors, designer, electromechanical polymer, haptic acurator, polymer technology, sensor technology, wearable product</t>
  </si>
  <si>
    <t>www.novasentis.com</t>
  </si>
  <si>
    <t>2013: 44, 2014: 32, 2016: 21</t>
  </si>
  <si>
    <t>36346-87P</t>
  </si>
  <si>
    <t>Linda Ara</t>
  </si>
  <si>
    <t>+1 (814) 238-7400</t>
  </si>
  <si>
    <t>2560 Ninth Street</t>
  </si>
  <si>
    <t>Suite 314</t>
  </si>
  <si>
    <t>info@novasentis.com</t>
  </si>
  <si>
    <t>The company received $9.01 million of Series D funding from Kemet and other undisclosed investors on February 13, 2018, putting the company's pre-money valuation at $6 million.</t>
  </si>
  <si>
    <t>Ben Franklin Technology Partners of Central and Northern Pennsylvania, Chengwei Capital, Kemet, Life Sciences Greenhouse of Central Pennsylvania, Samsung Venture Investment, U.S. Department of Energy, WS Investments</t>
  </si>
  <si>
    <t>Ben Franklin Technology Partners of Central and Northern Pennsylvania(www.cnp.benfranklin.org), Chengwei Capital(www.chengwei.com), Kemet(www.kemet.com), Life Sciences Greenhouse of Central Pennsylvania(www.lsgpa.com), Samsung Venture Investment(www.samsungventures.com), U.S. Department of Energy(www.energy.gov)</t>
  </si>
  <si>
    <t>Intralink Group(Consulting), Square 1 Bank(Debt Financing), Wilson Sonsini Goodrich &amp; Rosati(Legal Advisor)</t>
  </si>
  <si>
    <t>151468-48</t>
  </si>
  <si>
    <t>Nova (sales platform)</t>
  </si>
  <si>
    <t>Nova</t>
  </si>
  <si>
    <t>Base (Sales Platform), Ebsta, AppBuddy, InsideSales.com, SalezShark, Close.io, Aircall, Marketo, SAP, Nutshell, Cirrus Insight, Zendesk, OppSource.com, Yesware, Velocify, Streak, Colabo, SalesLoft, ToutApp, Salesforce, LiveVox, DialSource, Sellsy, Talkdesk, FRONTLINE Selling, Autopilot, ZynBit, Kayako, Hatchbuck, Outreach, Chorus, Groove Networks (Software), Nimble, Help Scout, Pipedrive, ConnectAndSell, SalesHood, LeadGenius, Agile CRM, DGM59, HubSpot, RingDNA, Tenfold, LeadCrunch, ConnectLeader, PipelineDeals, 86Borders, SugarCRM, Evercontact</t>
  </si>
  <si>
    <t>Developer of a personalized selling platform intended to offer a B2B sales platform. The company's personalized selling platform captures data points and utilizes machine learning to improve the performance of outbound emails, enabling enterprises to accelerate sales and increase revenue.</t>
  </si>
  <si>
    <t>content intelligence, email management, email management application, personalized selling platform, sales platform</t>
  </si>
  <si>
    <t>www.nova.ai</t>
  </si>
  <si>
    <t>125381-35P</t>
  </si>
  <si>
    <t>Bryan Pirtle</t>
  </si>
  <si>
    <t>Chief Technology Officer &amp; Co-Founder</t>
  </si>
  <si>
    <t>bryan@nova.ai</t>
  </si>
  <si>
    <t>149 Natoma Street</t>
  </si>
  <si>
    <t>info@nova.ai</t>
  </si>
  <si>
    <t>The company raised an undisclosed amount of venture funding from Salesforce Ventures, Fenox Venture Capital and Right Side Capital Management on January 26, 2017. Bialla Venture Partners also participated in it.</t>
  </si>
  <si>
    <t>Acceleprise, Bialla Venture Partners, Fenox Venture Capital, FoundersX Ventures, Right Side Capital Management, Salesforce Ventures, The Salesforce Incubator, TheFamily, Y Combinator</t>
  </si>
  <si>
    <t>Acceleprise(www.acceleprise.vc), Bialla Venture Partners(www.bialla.com), Fenox Venture Capital(www.fenoxvc.com), FoundersX Ventures(www.foundersxventures.com), Right Side Capital Management(www.rightsidecapital.com), TheFamily(www.thefamily.co), Y Combinator(www.ycombinator.com)</t>
  </si>
  <si>
    <t>55105-48</t>
  </si>
  <si>
    <t>Notara</t>
  </si>
  <si>
    <t>Hurrican Technology</t>
  </si>
  <si>
    <t>Provider of marketing process management web software. The company's software assists firms to manage the processes involved in the planning, execution and measurement of marketing activities.</t>
  </si>
  <si>
    <t>Database Software*, Network Management Software</t>
  </si>
  <si>
    <t>database software, oracle</t>
  </si>
  <si>
    <t>www.notara.com</t>
  </si>
  <si>
    <t>2014: 200</t>
  </si>
  <si>
    <t>45240-22P</t>
  </si>
  <si>
    <t>Marco Loretto</t>
  </si>
  <si>
    <t>Co-Founder &amp; Vice President, Business Development</t>
  </si>
  <si>
    <t>+1 (212) 419-4300</t>
  </si>
  <si>
    <t>257 Park Avenue South</t>
  </si>
  <si>
    <t>13th Floor</t>
  </si>
  <si>
    <t>+1 (212) 419-2399</t>
  </si>
  <si>
    <t>The company was acquired by an undisclosed investor in 2001. The company is no longer actively tracked by PitchBook.</t>
  </si>
  <si>
    <t>Hummer Winblad Venture Partners, Nassau Capital Advisors, Presidio Ventures, RRE Ventures, XDL Intervest</t>
  </si>
  <si>
    <t>Hummer Winblad Venture Partners(www.hwvp.com), Nassau Capital Advisors(www.nassaucap.com), Presidio Ventures(www.presidio-ventures.com), RRE Ventures(www.rre.com)</t>
  </si>
  <si>
    <t>178342-84</t>
  </si>
  <si>
    <t>Northvolt</t>
  </si>
  <si>
    <t>SGF Energy</t>
  </si>
  <si>
    <t>K2 Energy Solutions, Lithium Werks, Boston Power, ZPower, Infinite Power Solutions, EnerDel</t>
  </si>
  <si>
    <t>Operator of lithium-ion battery plant intended to produce batteries for electric vehicles. The company's cutting edge process technology develops batteries depending upon several factors like energy in relation to volume, energy in relation to weight, production techniques, production speed, cooling techniques, and advantages and disadvantages in relation to use cases, enabling customers to get batteries fro specific needs and live in a carbon neutral society via using these renewable energy storage.</t>
  </si>
  <si>
    <t>Alternative Energy Equipment, Energy Storage*, Other Equipment</t>
  </si>
  <si>
    <t>battery developer, battery development, battery electric vehicle, battery energy, battery producer, lithium-ion battery, lithium-ion battery plant</t>
  </si>
  <si>
    <t>www.northvolt.com</t>
  </si>
  <si>
    <t>2018: 150, 2019: 200</t>
  </si>
  <si>
    <t>53956-81P</t>
  </si>
  <si>
    <t>Peter Carlsson</t>
  </si>
  <si>
    <t>peter.carlsson@northvolt.com</t>
  </si>
  <si>
    <t>+46 (0)559015-8894</t>
  </si>
  <si>
    <t>Gamla Brogatan 26</t>
  </si>
  <si>
    <t>111 20</t>
  </si>
  <si>
    <t>hi@northvolt.com</t>
  </si>
  <si>
    <t>The company aims to raise EUR400 million of debt financing from European Investment Bank. The company applied for the loan to European Investment Bank on September 19, 2018.</t>
  </si>
  <si>
    <t>ABB Technology Ventures, Energimyndigheten, KIC InnoEnergy, Scania, Skelleftea Kraft, Stena, Vargas, Vattenfall, Vinnova</t>
  </si>
  <si>
    <t>Energimyndigheten(energimyndigheten.se), KIC InnoEnergy(www.innoenergy.com), Scania(www.scania.com), Skelleftea Kraft(www.skekraft.se), Stena(www.stena.com), Vattenfall(www.vattenfall.com), Vinnova(www.vinnova.se)</t>
  </si>
  <si>
    <t>Business Sweden(Consulting)</t>
  </si>
  <si>
    <t>European Investment Bank(Debt Financing)</t>
  </si>
  <si>
    <t>54014-68</t>
  </si>
  <si>
    <t>Northern Brewer</t>
  </si>
  <si>
    <t>Midwest Supplies, PicoBrew</t>
  </si>
  <si>
    <t>Provider of brewing equipment designed to make beer. The company's brewing equipment beer brewing kits, burners, kegging, wine making kits and brewing recipes, enabling its customers to make home brewing beer.</t>
  </si>
  <si>
    <t>Beverages, Specialty Retail*</t>
  </si>
  <si>
    <t>brewing equipment, brewing recipe, wine making kits</t>
  </si>
  <si>
    <t>www.northernbrewer.com</t>
  </si>
  <si>
    <t>2011: 100, 2013: 100, 2016: 150</t>
  </si>
  <si>
    <t>40480-75P</t>
  </si>
  <si>
    <t>Christopher Farley</t>
  </si>
  <si>
    <t>chris@northernbrewer.com</t>
  </si>
  <si>
    <t>+1 (651) 291-8849</t>
  </si>
  <si>
    <t>St. Paul, MN</t>
  </si>
  <si>
    <t>1150 Grand Avenue</t>
  </si>
  <si>
    <t>St. Paul</t>
  </si>
  <si>
    <t>55105</t>
  </si>
  <si>
    <t>+1 (651) 223-6114</t>
  </si>
  <si>
    <t>+1 (651) 697-1323</t>
  </si>
  <si>
    <t>info@northernbrewer.com</t>
  </si>
  <si>
    <t>The company was acquired by Zx Ventures through an LBO on October 13, 2016 for an undisclosed amount.</t>
  </si>
  <si>
    <t>Entrepreneur Partners, Golub Capital BDC</t>
  </si>
  <si>
    <t>Entrepreneur Partners(www.entrepreneurpartners.com), Golub Capital BDC(www.golubcapitalbdc.com)</t>
  </si>
  <si>
    <t>Fafinski Mark &amp; Johnson(Legal Advisor), Golub Capital(Debt Financing), Golub Capital BDC(Debt Financing)</t>
  </si>
  <si>
    <t>142090-30</t>
  </si>
  <si>
    <t>Norsk Titanium</t>
  </si>
  <si>
    <t>NTi, Norsk</t>
  </si>
  <si>
    <t>Universal Aerospace, Uniti Titanium, Allegheny Technologies, Carpenter Technology, Safran Group, Precision Castparts, B/E Aerospace, RTI International Metals, Ascent Aerospace, RTI Advanced Forming, Woodward</t>
  </si>
  <si>
    <t>Manufacturer and supplier of aerospace-grade, additive manufactured and structured titanium components. The company is engaged in the development and commercialization of radically less expensive aerospace-grade titanium components with the use of patented rapid plasma deposition (RPD) process that transforms titanium wire into complex components suitable for structural and safety-critical applications in the aerospace, defense, and commercial sectors.</t>
  </si>
  <si>
    <t>Aerospace and Defense, Industrial Supplies and Parts*</t>
  </si>
  <si>
    <t>Advanced Manufacturing, Industrials, Manufacturing, TMT</t>
  </si>
  <si>
    <t>aerospace grading components, aircraft parts, titanium components, titanium components manufacturer, titanium parts</t>
  </si>
  <si>
    <t>www.norsktitanium.com</t>
  </si>
  <si>
    <t>2013: 30, 2014: 63, 2015: 37, 2016: 51, 2017: 70</t>
  </si>
  <si>
    <t>131563-99P</t>
  </si>
  <si>
    <t>Bart Aalst</t>
  </si>
  <si>
    <t>bart.aalst@norsktitanium.com</t>
  </si>
  <si>
    <t>+47 97 42 22 00</t>
  </si>
  <si>
    <t>Hønefoss, Norway</t>
  </si>
  <si>
    <t>Flyplassveien 20</t>
  </si>
  <si>
    <t>Eggemoen Technology Park</t>
  </si>
  <si>
    <t>Hønefoss</t>
  </si>
  <si>
    <t>3514</t>
  </si>
  <si>
    <t>post@norsktitanium.no</t>
  </si>
  <si>
    <t>The company received an undisclosed amount of development capital from Rose Park Advisors November 20, 2017. This strategic investment from Rose Park Advisors underscores the ability of Norsk Titanium's Rapid Plasma Deposition (RPD) technology to disrupt the metal manufacturing processes. Previously, the company received an undisclosed amount of development capital from Fortress Investment Group and Falko Regional Aircraft on June 12, 2017. The funds will be used by Norsk Titanium to continue the development of its Rapid Plasma Deposition (RPD) additive manufacturing technology.</t>
  </si>
  <si>
    <t>Aljomaih Holding, Applied Ventures, Arconic, Empire State Development, Fortress Investment Group, Harbert Management, Insight Equity, Rose Park Advisors</t>
  </si>
  <si>
    <t>Aljomaih Holding(www.aljomaihmail.com), Arconic(www.arconic.com), Empire State Development(www.esd.ny.gov), Fortress Investment Group(www.fortress.com), Harbert Management(www.harbert.net), Insight Equity(www.insightequity.com), Rose Park Advisors(www.roseparkadvisors.com)</t>
  </si>
  <si>
    <t>Harbert Management(Debt Financing), Piper Jaffray(Advisor: General)</t>
  </si>
  <si>
    <t>54603-55</t>
  </si>
  <si>
    <t>Norse</t>
  </si>
  <si>
    <t>Securonix, Sophos, AnubisNetworks, Menlo Security, Qualys, Surfwatch Labs, Deep Secure, eSentire, Bromium, StackPath, Forcepoint, McAfee, Buguroo, QSight IT, OverWatchID, SecureAuth, Blue Cedar, Cloudmark, WatchGuard Technologies, Security Innovation, DearBytes, Symantec, Confer Technologies, Zimperium, Lancope, Cyberbit, iboss (Cybersecurity), Thycotic Software, Zscaler, Ziften, Mocana, Hyas, Webroot, ZeroFox, Team Cymru, Damballa, CyberArk Software, Niara, Pulse Secure, Kaymera, Omada, Arbor Networks, SafeBreach, LogRhythm, iSIGHT Partners, OneLogin, CrowdStrike, GreatHorn, Blueliv, ThreatConnect, Barkly, Recorded Future, E8 Security, Cymulate, Wandera, Infoblox, Radware, Seculert, Skyhigh Networks, Exabeam, Siemplify, Cyren, Avecto, Centrify, ESET, Flashpoint (threat intelligence), OpenDNS, Zerto, Cylance, Fidelis Cybersecurity, Sqrrl, Appthority, Digital Shadows, Tanium, Cyphort, Lastline, Lookout, Uplevel, RiskIQ, Sequoia Holdings (software and cloud engineering services), root9B, SentinelOne, Swimlane, Presidio, Endgame, Netskope, Whistic, Phantom Cyber, Cytegic, Soltra Solutions, FireEye, Demisto, Fox-IT Holding, Optiv Security</t>
  </si>
  <si>
    <t>Provider of a tool for internet security designed to offer real-time visibility into global cyber attacks. The company's security application, IPViking provides real-time set of multi-dimensional security intelligence on Internet Protocol (IP) addresses, enabling users to protect the merchants from electronic frauds and IPVenger, live cloud security solution for Web content management systems.</t>
  </si>
  <si>
    <t>Network Management Software, Systems and Information Management*</t>
  </si>
  <si>
    <t>network security tools, security intelligence, security service</t>
  </si>
  <si>
    <t>www.norse-corp.com</t>
  </si>
  <si>
    <t>2010: 3, 2014: 77, 2015: 98</t>
  </si>
  <si>
    <t>41613-22P</t>
  </si>
  <si>
    <t>Samuel Glines</t>
  </si>
  <si>
    <t>+1 (650) 513-2881</t>
  </si>
  <si>
    <t>Foster City, CA</t>
  </si>
  <si>
    <t>333 Hatch Drive</t>
  </si>
  <si>
    <t>Foster City</t>
  </si>
  <si>
    <t>support@norsecorp.com</t>
  </si>
  <si>
    <t>The company raised an undisclosed amount in the form of a loan from Western Technology Investment. Previously, the company raised $11.4 million of Series A1 venture funding from lead investor KPMG Capital on September 30, 2015, putting the company's pre-money valuation at $87.4 million. Other undisclosed existing investors also participated. The funds will be used primarily to bolster the company's product development efforts and accelerate the expansion of its global sales organization to capitalize on high-growth market opportunities abroad.</t>
  </si>
  <si>
    <t>Capital Innovators, Individual Investor, KPMG Capital, Oak Investment Partners</t>
  </si>
  <si>
    <t>Capital Innovators(www.capitalinnovators.com), KPMG Capital(home.kpmg.com/xx/en/home/go-beyond/kpmg-capital.html), Oak Investment Partners(www.oakinv.com)</t>
  </si>
  <si>
    <t>True Capital Partners(Advisor: General)</t>
  </si>
  <si>
    <t>265237-66</t>
  </si>
  <si>
    <t>Nordsol</t>
  </si>
  <si>
    <t>Osomo</t>
  </si>
  <si>
    <t>Developer of technology designed to reduce the fuel industry's carbon footprint. The company's technology combined with the financial backing and guaranteed Biomethane liquefied natural gas offtake volumes with the concept of building, owning, operating and maintaining renewable facilities in order to bridge the gap between the waste management and the transport, enabling clients to produce and trade fuels at competitive cost with a pathway to net zero emissions.</t>
  </si>
  <si>
    <t>Coal and Consumable Fuels Equipment</t>
  </si>
  <si>
    <t>Coal and Consumable Fuels Equipment*, Energy Transportation, Other Equipment</t>
  </si>
  <si>
    <t>CleanTech, LOHAS &amp; Wellness, Oil &amp; Gas</t>
  </si>
  <si>
    <t>biogas processing, biogas producers, biogas upgrading technology, greengas, liquefaction process, liquifaction, micro-scale lng, small-scale lng</t>
  </si>
  <si>
    <t>www.nordsol.com</t>
  </si>
  <si>
    <t>200564-83P</t>
  </si>
  <si>
    <t>Jerom van Roosmalen</t>
  </si>
  <si>
    <t>Founder, Founding Partner &amp; Chief Executive Officer</t>
  </si>
  <si>
    <t>jvanroosmalen@nordsol.com</t>
  </si>
  <si>
    <t>+31 (0)26 880 0408</t>
  </si>
  <si>
    <t>Bunnik, Netherlands</t>
  </si>
  <si>
    <t>Kosterijland 10</t>
  </si>
  <si>
    <t>Bunnik</t>
  </si>
  <si>
    <t>3981 AJ</t>
  </si>
  <si>
    <t>info@nordsol.com</t>
  </si>
  <si>
    <t>The company raised an undisclosed amount of venture funding from Shell Ventures on February 6, 2019. The funds will be used to expand from technology company into the full business concept of building, owning, operating and maintaining BioLNG plants together with biogas production partners. Earlier on December 6, 2018, the company received an undisclosed amount of grant funding from European Union. Other undisclosed investor also participated in this round.</t>
  </si>
  <si>
    <t>European Union, Shell Ventures</t>
  </si>
  <si>
    <t>96481-90</t>
  </si>
  <si>
    <t>NopSec</t>
  </si>
  <si>
    <t>BalaBit, E8 Security, Vulcan Cyber, Kenna Security, Prevalent, R&amp;K Cyber Solutions, Prevalent AI, YesWeHack, SecureWorks, Lumeta, Bay Dynamics, Invincea, Pandora Labs, BeyondTrust Software (Acquired), M&amp;S Technologies (Network Management Software), Securonix, DEVCON (Ad Tech Security), Eastwind, ControlScan, RiskSense, CounterTack, Alert Logic, Skybox Security, Mandiant, RedSeal, NetSPI, CrowdStrike, Tufin</t>
  </si>
  <si>
    <t>Provider of cyber risk remediation platform created to protect the businesses from security vulnerability risks and security breaches. The company's threat prediction and cyber risk remediation are offered via an intelligent system to dramatically reduce the turnaround time between identification of critical vulnerabilities and remediation, enabling organizations to simplify their work, manage security vulnerability risks effectively and help them make informed decisions.</t>
  </si>
  <si>
    <t>Network Management Software*, Other IT Services</t>
  </si>
  <si>
    <t>cyber risk remediation, reduce security risk, security breach, security realted saas, security vulnerability risk, threat prediction</t>
  </si>
  <si>
    <t>www.nopsec.com</t>
  </si>
  <si>
    <t>2015: 23, 2017: 6</t>
  </si>
  <si>
    <t>99509-14P</t>
  </si>
  <si>
    <t>Lisa Xu</t>
  </si>
  <si>
    <t>lisa@nopsec.com</t>
  </si>
  <si>
    <t>+1 (646) 502-7900</t>
  </si>
  <si>
    <t>Suite 903</t>
  </si>
  <si>
    <t>hello@nopsec.com</t>
  </si>
  <si>
    <t>The company joined SAP.iO Foundry as a part of 2018 cohort.</t>
  </si>
  <si>
    <t>Activate Venture Partners, Amino Capital, Aon, Belle Capital, Hanhai Studio, Lucas Point Ventures, Northern Light Venture Capital, SAP.iO Foundry, Springboard Enterprises, TSVC, US-China Association of High-Level Professionals</t>
  </si>
  <si>
    <t>Activate Venture Partners(www.activatevp.com), Amino Capital(www.aminocapital.com), Aon(www.aon.com), Belle Capital(www.bellevc.com), Hanhai Studio(www.hanhaistudio.com), Lucas Point Ventures(www.lucaspointventures.com), Northern Light Venture Capital(www.nlvc.com), SAP.iO Foundry(sap.io), Springboard Enterprises(www.sb.co), TSVC(www.tsvcap.com), US-China Association of High-Level Professionals(ucahp.com)</t>
  </si>
  <si>
    <t>Covington &amp; Burling(Legal Advisor), DecisionCFO(Consulting)</t>
  </si>
  <si>
    <t>Covington &amp; Burling(Legal Advisor)</t>
  </si>
  <si>
    <t>52323-40</t>
  </si>
  <si>
    <t>Noom</t>
  </si>
  <si>
    <t>WorkSmart Labs, Inc.</t>
  </si>
  <si>
    <t>Liva Healthcare, EveryMove, Dacadoo, Runtastic, MyFitnessPal, Omada Health, BettrLife, HealthifyMe, Virta Health, Validic, 8fit, Lifesum, Lose It, Vivify Health, Data Control Technology, WiserTogether, Quanttus, Fitbit, Stronger U</t>
  </si>
  <si>
    <t>Developer of a mobile health coaching software designed to provide intelligent nutrition and exercise coaching. The company's mobile health coaching software combines exercise coaching and artificial intelligence to deliver behaviour change programs, enabling users to prevent and manage chronic conditions such as obesity, pre-diabetes, diabetes and hypertension.</t>
  </si>
  <si>
    <t>Application Software*, Managed Care</t>
  </si>
  <si>
    <t>Artificial Intelligence &amp; Machine Learning, Big Data, Digital Health, LOHAS &amp; Wellness, Mobile</t>
  </si>
  <si>
    <t>behavior change program, health software, health software development, mobile health coaching, prevent obesity, weight loss, weightloss advice, wellness software</t>
  </si>
  <si>
    <t>web.noom.com</t>
  </si>
  <si>
    <t>2014: 37, 2015: 56, 2017: 77, 2019: 1000</t>
  </si>
  <si>
    <t>45056-44P</t>
  </si>
  <si>
    <t>Artem Petakov</t>
  </si>
  <si>
    <t>Co-founder, President &amp; Board Member</t>
  </si>
  <si>
    <t>artem@noom.com</t>
  </si>
  <si>
    <t>+1 (347) 687-8522</t>
  </si>
  <si>
    <t>229 West 28th Street</t>
  </si>
  <si>
    <t>+1 (212) 659-0058</t>
  </si>
  <si>
    <t>The company raised $58 million through the combination of debt and Series E venture funding in a deal led by Sequoia Capital on May 6, 2019, putting the company's pre-money valuation at $285 million. Samsung Venture Investment, Aglaé Ventures, Tony Xu, Joshua Kushner, Scooter Braun and Jan Koum also participated in the round. The funds will be used to expand the team and improve the customer experience.</t>
  </si>
  <si>
    <t>Aglaé Ventures, Atinum Investment, Han-Sing Hi-Tech Fund, Harbor Pacific Capital, InterVest Company, Jan Koum, Jay Eum, Joshua Kushner, Kleiner Perkins, LaunchTime, LB Investment, m8 Capital, National Institutes of Health, New York Digital Health Innovation Lab, Primary Venture Partners, Qualcomm Ventures, Recruit Strategic Partners, RRE Ventures, Scooter Braun, Scrum Ventures, Sequoia Capital, Tony Xu, TransLink Capital, U.S. Department of Health and Human Services</t>
  </si>
  <si>
    <t>Aglaé Ventures(www.aglaeventures.com), Atinum Investment(www.atinuminvest.co.kr), InterVest Company(www.intervest.co.kr), Kleiner Perkins(www.kleinerperkins.com), LaunchTime(www.launchtime.com), LB Investment(www.lbinvestment.com), m8 Capital(www.m8capital.com), National Institutes of Health(www.nih.gov), New York Digital Health Innovation Lab(www.digitalhealth.nyc), Primary Venture Partners(www.primary.vc), Qualcomm Ventures(www.qualcommventures.com), Recruit Strategic Partners(recruitstrategicpartners.com), RRE Ventures(www.rre.com), Scooter Braun(scooterbraun.com), Scrum Ventures(www.scrum.vc), Sequoia Capital(www.sequoiacap.com), TransLink Capital(www.translinkcapital.com), U.S. Department of Health and Human Services(hhs.gov)</t>
  </si>
  <si>
    <t>157333-78</t>
  </si>
  <si>
    <t>NomNomNow</t>
  </si>
  <si>
    <t>Petplate, The Farmer's Dog, Ollie, PetFlow, PetSmart, Woof Gang Bakery, Chewy, DogSpot.in, PetCareRx, Petco, Pet Supplies Plus</t>
  </si>
  <si>
    <t>Provider of subscription-based custom made dog food delivery service intended to bring nutritious food to dogs. The company delivers personalized pet meals cooked with no artificial preservatives or fillers and with portions optimized to provide dogs with the ideal balance for their weight, age, activity level, breed and health issues. enabling pet owners to help their dogs to eat well so that they can live longer and happier lives.</t>
  </si>
  <si>
    <t>FoodTech, Pet Technology, TMT</t>
  </si>
  <si>
    <t>delivery platform, dog food, dog food delivery service, dog's food, health food for dog, online pet food ordering, pet food, pet meals, pet technology vertical</t>
  </si>
  <si>
    <t>www.nomnomnow.com</t>
  </si>
  <si>
    <t>2016: 10, 2018: 55</t>
  </si>
  <si>
    <t>74863-27P</t>
  </si>
  <si>
    <t>Nathan Phillips</t>
  </si>
  <si>
    <t>nate@nomnomnow.com</t>
  </si>
  <si>
    <t>+1 (310) 651-1308</t>
  </si>
  <si>
    <t>101 Broadway</t>
  </si>
  <si>
    <t>+1 (415) 991-0669</t>
  </si>
  <si>
    <t>care@nomnomnow.com</t>
  </si>
  <si>
    <t>The company raised $10 million of Series A venture funding from Tandem Capital, e.ventures and Greycroft on May 10, 2018, putting the company's pre-money valuation at $30 million. Bullish, CircleUp Network and other undisclosed investors also participated in the round. The funds will be used to expand operations and production capacity across the U.S., invest further in data, proprietary software and product development, and make key hires to support its rapid growth.</t>
  </si>
  <si>
    <t>Bullish, CircleUp Network, e.ventures, Greycroft, Kima Ventures, Stephen Chamberlin, Tandem Capital</t>
  </si>
  <si>
    <t>Bullish(bullish.co), CircleUp Network(www.circleup.com), e.ventures(www.eventures.vc), Greycroft(www.greycroft.com), Kima Ventures(www.kimaventures.com), Tandem Capital(www.tandemcap.com)</t>
  </si>
  <si>
    <t>56332-99</t>
  </si>
  <si>
    <t>Nomiku</t>
  </si>
  <si>
    <t>Anova Culinary, SousVide Supreme, Sansaire</t>
  </si>
  <si>
    <t>Developer and manufacturer of a sous-vide machine designed to make sous vide accessible to the masses. The company's sous-vide appliance Wifi Nomiku, turns any pot into a temperature-controlled water bath, perfect for sous vide cooking, enabling users to make perfectly cooked meals without ever leaving the comfort of their kitchen.</t>
  </si>
  <si>
    <t>Electronics (B2C), Household Appliances*</t>
  </si>
  <si>
    <t>LOHAS &amp; Wellness, TMT</t>
  </si>
  <si>
    <t>cooking appliance, sous-vide, sous-vide cookers, sous-vide machine</t>
  </si>
  <si>
    <t>www.nomiku.com</t>
  </si>
  <si>
    <t>2014: 6, 2015: 13</t>
  </si>
  <si>
    <t>47817-91P</t>
  </si>
  <si>
    <t>Lisa Fetterman</t>
  </si>
  <si>
    <t>lisa@nomiku.com</t>
  </si>
  <si>
    <t>+1 (559) 666-4580</t>
  </si>
  <si>
    <t>174 14th Street</t>
  </si>
  <si>
    <t>Unit B</t>
  </si>
  <si>
    <t>info@nomiku.com</t>
  </si>
  <si>
    <t>The company raised $200,000 of venture funding in a deal led by Katalyst Ventures on January 23, 2019.</t>
  </si>
  <si>
    <t>500 Startups, Adam Schwartz, Advisors.Fund, Arab Angel, Array Ventures, Backstage Capital, Bradley Feld, Christopher Sacca, Dave Morin, Eric Kwan, Graph Ventures, Incite Ventures (Burlingame), Katalyst Ventures, Lance White, MD Pham, Michael Liou, NewDo Venture, Oliver Thylmann, Peter Kellner, Q Venture Partners, Rakesh Agrawal, Saad AlSogair, Samsung Venture Investment, Slow Ventures, SOSV, UpHonest Capital, Wakestream Ventures, Wei Guo, XFactor Ventures, Y Combinator</t>
  </si>
  <si>
    <t>500 Startups(www.500.co), Adam Schwartz(www.adamschwartz.com), Advisors.Fund(www.advisors.fund), Arab Angel(www.arabangel.vc), Array Ventures(www.array.vc), Backstage Capital(www.backstagecapital.com), Dave Morin(www.davemorin.com), Graph Ventures(www.graphventures.com), Incite Ventures (Burlingame)(www.incite.org), Katalyst Ventures(www.katalyst.ventures), NewDo Venture(www.newdoventure.com), Oliver Thylmann(thylmann.net), Q Venture Partners(www.qventure.partners), Saad AlSogair(www.DrSogair.com), Samsung Venture Investment(www.samsungventures.com), Slow Ventures(www.slow.co), SOSV(www.sosv.com), UpHonest Capital(www.uphonestcapital.com), Wakestream Ventures(www.wakestreamventures.com), XFactor Ventures(www.xfactor.ventures), Y Combinator(www.ycombinator.com)</t>
  </si>
  <si>
    <t>Kickstarter(Lead Manager or Arranger), Silicon Legal Strategy(Legal Advisor)</t>
  </si>
  <si>
    <t>266404-60</t>
  </si>
  <si>
    <t>Nodin</t>
  </si>
  <si>
    <t>Appli</t>
  </si>
  <si>
    <t>Developer of an AI-driven augmented analytics platform intended to automate the delivery of business insight. The company's SaaS offering delivers real-time business insights that were not previously available to executives and business analysts at a speed and with a level of automation, enabling companies to make faster, better-informed decisions by using AI.</t>
  </si>
  <si>
    <t>autonomous monitoring, customer lifecycle management, data assessment, marketing analytics, pricing optimization</t>
  </si>
  <si>
    <t>www.nodin.ai</t>
  </si>
  <si>
    <t>203200-48P</t>
  </si>
  <si>
    <t>Jeff Allen</t>
  </si>
  <si>
    <t>jallen@nodin.ai</t>
  </si>
  <si>
    <t>+1 (833) 277-5424</t>
  </si>
  <si>
    <t>555 17th Street</t>
  </si>
  <si>
    <t>Suite 725</t>
  </si>
  <si>
    <t>info@nodin.ai</t>
  </si>
  <si>
    <t>The company raised $5 million of Series A venture funding from Liberty Global Ventures and Anschutz Ventures Group on March 25, 2019, putting the company's pre-money valuation at $6 million. The funds will be used to continue to expand operations.</t>
  </si>
  <si>
    <t>Anschutz Ventures Group, Liberty Global Ventures</t>
  </si>
  <si>
    <t>115478-74</t>
  </si>
  <si>
    <t>Node</t>
  </si>
  <si>
    <t>Close</t>
  </si>
  <si>
    <t>Radius (Database Software), metadata.io, Infer, Growth Intelligence, SalesLoft, 6Sense, Terminus, The Big Willow, BrightTALK, Integrate.com, InsideView, Bombora, Aberdeen Group, LeadCrunch, AdRoll, Act-On, EverString, Leadspace, Kwanzoo, Choozle, Triblio, Pipedrive, HubSpot, Dun &amp; Bradstreet NetProspex, Outreach</t>
  </si>
  <si>
    <t>Provider of a networking analytics platform designed to surface the information that matters to organizations. The company's platform leverages proprietary artificial intelligence technology to automatically deliver relevant and timely information about people and companies to help customers understand who they should engage with and why, enabling organizations to discover the target markets, customers and hire employees so as to grow their business.</t>
  </si>
  <si>
    <t>artificial intelligence, business intelligence, led generation, machine learning, networking platform, people intelligence, professional network</t>
  </si>
  <si>
    <t>hello.node.io</t>
  </si>
  <si>
    <t>128444-95P</t>
  </si>
  <si>
    <t>Falon Fatemi</t>
  </si>
  <si>
    <t>falon@node.io</t>
  </si>
  <si>
    <t>+1 (650) 996-0279</t>
  </si>
  <si>
    <t>5 Lucerne Street</t>
  </si>
  <si>
    <t>hello@node.io</t>
  </si>
  <si>
    <t>The company is in the process of raising an estimated $20 million of Series B venture funding from Open Field Capital on October 17, 2018, putting the company's pre-money valuation at $50 million. Previously, New Enterprise Associates sold a stake in the company to Newview Capital on December 3, 2018. Prior to that, the company raised $3 million of convertible debt financing from Dreamers VC on August 24, 2018. Other undisclosed investors also participated in the round. Prior to that, the company raised $15.8 million of Series A venture funding in a deal led by Avalon Ventures on January 2, 2018, putting the company's pre-money valuation at $25.00 million. GREE, Industry Ventures, Base Ventures, VTF Capital, New Enterprise Associates, Canaan Partners, 500 Startups, Mark Cuban, Recruit Strategic Partners, WndrCo, David Brewer, Linnea Roberts, Falmouth Ventures, Marc Weiss, NewDo Venture and Michael Stark also participated in the round. The company intends to use the funds to accelerate the development of the product, which is now going to be made available to businesses worldwide.</t>
  </si>
  <si>
    <t>500 Startups, Avalon Ventures, Aventura VC, Base Ventures, Bee Partners, Canaan Partners, CEB, Charles Cheever, David Brewer, Dreamers VC, Entrée Capital, Falmouth Ventures, GREE, Industry Ventures, Linnea Roberts, Marc Weiss, Mark Cuban, Michael Stark, NewDo Venture, Newview Capital, Open Field Capital, Recruit Strategic Partners, SierraMaya360, Sway Ventures, UpHonest Capital, VTF Capital, WndrCo</t>
  </si>
  <si>
    <t>500 Startups(www.500.co), Avalon Ventures(www.avalon-ventures.com), Aventura VC(www.aventuravc.com), Base Ventures(www.base.ventures), Bee Partners(www.beepartners.vc), Canaan Partners(www.canaan.com), CEB(www.cebglobal.com), Dreamers VC(www.dreamers.vc), Entrée Capital(www.entreecap.com), Falmouth Ventures(www.falmouthvc.com), GREE(www.gree.co.jp), Industry Ventures(www.industryventures.com), NewDo Venture(www.newdoventure.com), Newview Capital(www.newviewcap.com), Open Field Capital(www.ofcap.com), Recruit Strategic Partners(recruitstrategicpartners.com), SierraMaya360(www.sierramaya360.vc), Sway Ventures(www.swayvc.com), UpHonest Capital(www.uphonestcapital.com), VTF Capital(www.vtfcapital.com), WndrCo(www.wndrco.com)</t>
  </si>
  <si>
    <t>Venture Lending &amp; Leasing(Debt Financing), Western Technology Investment(Debt Financing), Wilson Sonsini Goodrich &amp; Rosati(Legal Advisor)</t>
  </si>
  <si>
    <t>60495-13</t>
  </si>
  <si>
    <t>Noa (Fleet Management Software)</t>
  </si>
  <si>
    <t>Lock8</t>
  </si>
  <si>
    <t>Developer of software and hardware products intended for fleet management. The company combines software, hardware 
and data science, to increase the daily usage and lifetime of the fleet and provides a Bluetooth bicycle lock powered by artificial intelligence for smart alerts, helping companies increase ROI, operational productivity, reduce expense, and maintain a healthy fleet.</t>
  </si>
  <si>
    <t>Automation/Workflow Software*, Electronics (B2C), Recreational Goods</t>
  </si>
  <si>
    <t>bikes locator, bikes tracking, bluetooth bikes locks, fleet insights, optimized rebalancing, track bikes</t>
  </si>
  <si>
    <t>www.noa.one</t>
  </si>
  <si>
    <t>2014: 11, 2016: 16</t>
  </si>
  <si>
    <t>57061-63P</t>
  </si>
  <si>
    <t>Franz Salzmann</t>
  </si>
  <si>
    <t>franz.salzmann@speedinvest.com</t>
  </si>
  <si>
    <t>+49 (0)30 4606 4013</t>
  </si>
  <si>
    <t>info@noa.one</t>
  </si>
  <si>
    <t>The company raised GBP 60,095 of product crowdfunding via crowdfunding platform Kickstarter on December 3, 2013. Previously, the company raised an undisclosed amount of venture funding from Horizons Ventures, Otto Capital and Atlantic Labs on November 26, 2013. C4 Ventures and Hasso Plattner Ventures also participated in the round.</t>
  </si>
  <si>
    <t>Atlantic Labs, C4 Ventures, Hasso Plattner Ventures, Horizons Ventures, Otto Capital</t>
  </si>
  <si>
    <t>Atlantic Labs(www.atlanticlabs.de), C4 Ventures(www.c4v.com), Hasso Plattner Ventures(www.hp-ventures.com), Horizons Ventures(www.horizonsventures.com), Otto Capital(www.ottocapital.com)</t>
  </si>
  <si>
    <t>Conlab Management Consultants(Consulting)</t>
  </si>
  <si>
    <t>170996-77</t>
  </si>
  <si>
    <t>No Cow</t>
  </si>
  <si>
    <t>D's Naturals LLC</t>
  </si>
  <si>
    <t>Manufacturer of plant-based food products designed to revolutionize the natural foods/fitness category. The company's food products contains only clean ingredients and no added sugar or artificial ingredients including organic brown rice and pea proteins, prebiotic fiber, and natural sweeteners like monk fruit and stevia, enabling consumers to get an ideal healthy snack before or after a workout.</t>
  </si>
  <si>
    <t>fitness food, healthy snacks, natural nutrition product, nutritional bar, nutritional product, preworkout food</t>
  </si>
  <si>
    <t>www.nocow.com</t>
  </si>
  <si>
    <t>157982-86P</t>
  </si>
  <si>
    <t>Daniel Katz</t>
  </si>
  <si>
    <t>daniel@nocow.com</t>
  </si>
  <si>
    <t>+1 (513) 404-6494</t>
  </si>
  <si>
    <t>1526 Blake Street</t>
  </si>
  <si>
    <t>+1 (833) 696-6269</t>
  </si>
  <si>
    <t>info@nocow.com</t>
  </si>
  <si>
    <t>The company raised an undisclosed amount of venture funding in a deal led by 2x Consumer Products Growth Partners on February 28, 2017. 301 also participated in this round. The funds will be used to provide the resources the company needs for its next stage of growth.</t>
  </si>
  <si>
    <t>2x Consumer Products Growth Partners, 301</t>
  </si>
  <si>
    <t>2x Consumer Products Growth Partners(www.2xpartners.com), 301(www.301inc.com)</t>
  </si>
  <si>
    <t>Houlihan Lokey(Advisor: General), Propeller Industries(Advisor: General)</t>
  </si>
  <si>
    <t>Houlihan Lokey(Advisor: General)</t>
  </si>
  <si>
    <t>52164-28</t>
  </si>
  <si>
    <t>NinthDecimal</t>
  </si>
  <si>
    <t>JiWire</t>
  </si>
  <si>
    <t>Adara, UberMedia, Quantcast, Apsalar, Mobilewalla, Turn, AdRoll, Sense360, SweetIQ, Bridg, Fishbowl, Moloco, AppNexus, Spotright, Affinio, DataXu, MediaMath, Shareablee, Dstillery, PadSquad, Swirl, Punchh, Streetbees, Uberall, MaxPoint Interactive, GroundTruth, mobileStorm, Unacast, Yext, Criteo, Tamoco, PlaceIQ, Moasis Global, Verve Wireless, Swrve, Simpli.fi, Gravy Analytics, Clavis Insight, Rocket Fuel, Velocidi, Gimbal, Vistar Media, StreetLight Data, Connectivity, The Trade Desk, Freckle IoT, ThinkNear, Cardlytics, Synup, PubMatic, Magnetic (Marketing Platform), Visual IQ, SITO Mobile, RetailNext, RadiumOne, Blis Media, TellApart, Foursquare, eDo Interactive, Sparkfly, SessionM, Perion Network, True Data (Data Application), Smaato, Millennial Media, Feedburner, Placed, Mobivity Holdings, UpSnap (VoodooVox), Factual, Cuebiq, Localytics, Blue Bite, Blackfox</t>
  </si>
  <si>
    <t>Provider of a mobile audience intelligence platform designed to achieve high performing campaigns by engaging audiences across all media channels on a single platform. The company's audience intelligence platform offers a location conversion index, creates a true understanding of mobile consumers and how to engage them throughout their path-to-purchase by providing ROI metric for measuring the incremental lift in store visits directly attributed to mobile advertisement campaigns and data partnerships with leading companies to provide a comprehensive closed-loop system for marketers, enabling them to leverage a people-centric approach to understand and engage their audience across all media channels.</t>
  </si>
  <si>
    <t>audience engagement, audience intelligence, audience intelligence platform, location data, mobile advertising platform, mobile audience, mobile audience intelligence platform, mobile audience targeting</t>
  </si>
  <si>
    <t>www.ninthdecimal.com</t>
  </si>
  <si>
    <t>2006: 16, 2014: 76, 2015: 85</t>
  </si>
  <si>
    <t>Competitor (New) Cuebiq, Competitor (New) Foursquare</t>
  </si>
  <si>
    <t>50482-54P</t>
  </si>
  <si>
    <t>Michael Fordyce</t>
  </si>
  <si>
    <t>mfordyce@ninthdecimal.com</t>
  </si>
  <si>
    <t>+1 (415) 821-8600</t>
  </si>
  <si>
    <t>150 Post Street</t>
  </si>
  <si>
    <t>+1 (415) 956-9526</t>
  </si>
  <si>
    <t>info@ninthdecimal.com</t>
  </si>
  <si>
    <t>The company raised an estimated $6.3 million of Series E2 venture funding from Breakaway Growth on December 1, 2018, putting the company's pre-money valuation at $114.73 million.</t>
  </si>
  <si>
    <t>Breakaway Growth, CNET Networks, Comcast Ventures, Draper Fisher Jurvetson Management, Frontier Venture Capital, Geoff Judge, North Atlantic Capital, Norwest Venture Partners, Panorama Capital, Peter Bordes, Strategis Early Ventures, Trident Capital</t>
  </si>
  <si>
    <t>Rogers Venture Partners</t>
  </si>
  <si>
    <t>Breakaway Growth(www.breakawaygrowth.us), Comcast Ventures(www.comcastventures.com), Draper Fisher Jurvetson Management(www.dfj.com), Frontier Venture Capital(www.draperfrontier.com), North Atlantic Capital(www.northatlanticcapital.com), Norwest Venture Partners(www.nvp.com), Panorama Capital(www.panoramacapital.com), Strategis Early Ventures(www.strategisearlyventures.com), Trident Capital(www.tridentcap.com)</t>
  </si>
  <si>
    <t>Rogers Venture Partners(www.rogersvp.com)</t>
  </si>
  <si>
    <t>DLA Piper(Legal Advisor), Engro Partners(Advisor: General), Kranz &amp; Associates(Advisor: General), Leadership Group Executive Search(Consulting)</t>
  </si>
  <si>
    <t>Coblentz, Patch, Duffy &amp; Bass(Legal Advisor), DLA Piper(Legal Advisor)</t>
  </si>
  <si>
    <t>Series E2</t>
  </si>
  <si>
    <t>161644-42</t>
  </si>
  <si>
    <t>Nimbus-Ceres</t>
  </si>
  <si>
    <t>Producer of fungicides intended to protect crops in Cambridge. The company's fungicides used to kill fungi or fungal spores in plants and help the plants to grow fast, enabling farmers to protect their crops.</t>
  </si>
  <si>
    <t>Agricultural Chemicals*</t>
  </si>
  <si>
    <t>crop protection, fungicides, fungicides producer</t>
  </si>
  <si>
    <t>25 First Street</t>
  </si>
  <si>
    <t>Suite 404</t>
  </si>
  <si>
    <t>02141</t>
  </si>
  <si>
    <t>The company was formed as a joint venture between Monsanto Growth Ventures and Nimbus Therapeutics on June 14, 2013. Monsanto Growth Ventures has committed to an additional investment in the company as part of this initial portfolio.</t>
  </si>
  <si>
    <t>Monsanto Growth Ventures, Nimbus Therapeutics</t>
  </si>
  <si>
    <t>Nimbus Therapeutics(www.nimbustx.com)</t>
  </si>
  <si>
    <t>57718-00</t>
  </si>
  <si>
    <t>NibMor</t>
  </si>
  <si>
    <t>NibMor Project</t>
  </si>
  <si>
    <t>Producer of chocolate products intended to offer affordable chocolate option with health attributes. The company's chocolate products include dark chocolate and gluten-free organic chocolate in the form of bars and beverages, enabling customers to avail the products through its online platform in a reasonable rate.</t>
  </si>
  <si>
    <t>chocolate, chocolate product, dark chocolate, drinking chocolate, organic chocolates</t>
  </si>
  <si>
    <t>www.shopnibmor.com</t>
  </si>
  <si>
    <t>91823-95P</t>
  </si>
  <si>
    <t>Jennifer Love</t>
  </si>
  <si>
    <t>+1 (844) 642-6671</t>
  </si>
  <si>
    <t>Kennebunk, ME</t>
  </si>
  <si>
    <t>PO Box 6</t>
  </si>
  <si>
    <t>Kennebunk</t>
  </si>
  <si>
    <t>Maine</t>
  </si>
  <si>
    <t>04043</t>
  </si>
  <si>
    <t>info@nibmor.com</t>
  </si>
  <si>
    <t>The company raised $750,319 of venture funding from undisclosed investor on February 27, 2015.</t>
  </si>
  <si>
    <t>101984-86</t>
  </si>
  <si>
    <t>Niantic</t>
  </si>
  <si>
    <t>Plays.tv, Infinity Augmented Reality, BattleCamp, Sight Plus, Gaikai, Ubiquity6, Supercell</t>
  </si>
  <si>
    <t>Developer of an augmented reality platform designed to enrich mobile gaming experiences. The company's platform uses emerging technology that inspire movement, exploration and face-to-face social interaction, enabling users to get motivated, head outside, visit new places close to home and far away, to see the world with new perspective and to play together with friends and family in games that span and unite the entire planet.</t>
  </si>
  <si>
    <t>Augmented Reality, Gaming, Mobile, TMT</t>
  </si>
  <si>
    <t>augmented reality platform, location-based gaming, mobile gaming, mobile-based gaming</t>
  </si>
  <si>
    <t>www.nianticlabs.com</t>
  </si>
  <si>
    <t>2015: 30, 2016: 50, 2017: 150</t>
  </si>
  <si>
    <t>47982-79P</t>
  </si>
  <si>
    <t>John Hanke</t>
  </si>
  <si>
    <t>john@nianticlabs.com</t>
  </si>
  <si>
    <t>+1 (650) 539-4653</t>
  </si>
  <si>
    <t>1 Ferry Building</t>
  </si>
  <si>
    <t>The company raised $245 million of Series C venture funding in a deal led by IVP on January 2, 2019, putting the company's pre-money valuation at $3.75 billion. Samsung Venture Investment, aXiomatic, Frontier Venture Capital, Breyer Capital and Bonfire Ventures also participated in the round. Earlier, the company raised $200 million of Series B venture funding in a deal led by Spark Capital on November 24, 2017, putting the company's pre-money valuation at $2.7 billion. You &amp; Mr Jones Brandtech Ventures, NetEase, Dolby Family Ventures, Founders Fund, Meritech Capital Partners, Javelin Ventures and other undisclosed investors also participated in the round. The company will use the funds to roll out a new title based on the Harry Potter series.</t>
  </si>
  <si>
    <t>Alsop Louie Partners, aXiomatic, Battery Ventures, Bonfire Ventures, Breyer Capital, Causeway Media Partners, Charles River Ventures, Cyan Banister, Dolby Family Ventures, Founders Fund, Frontier Venture Capital, Fuji Television Network, GV, IVP, Javelin Venture Partners, Javelin Ventures, Meritech Capital Partners, NetEase, Nintendo, Samsung Venture Investment, Scott Banister, Spark Capital, The Pokemon Company, You &amp; Mr Jones Brandtech Ventures</t>
  </si>
  <si>
    <t>Alsop Louie Partners(www.alsop-louie.com), aXiomatic(www.axiomaticgaming.com), Battery Ventures(www.battery.com), Bonfire Ventures(www.bonfirevc.com), Breyer Capital(www.breyercapital.com), Causeway Media Partners(www.causewaymp.com), Charles River Ventures(www.crv.com), Dolby Family Ventures(www.dolbyventures.com), Founders Fund(www.foundersfund.com), Frontier Venture Capital(www.draperfrontier.com), GV(www.gv.com), IVP(www.ivp.com), Javelin Venture Partners(www.javelinvp.com), Javelin Ventures(www.javelin-ventures.com), Meritech Capital Partners(www.meritechcapital.com), NetEase(ir.netease.com), Nintendo(www.nintendo.co.jp), Samsung Venture Investment(www.samsungventures.com), Spark Capital(www.sparkcapital.com)</t>
  </si>
  <si>
    <t>Fenwick &amp; West(Legal Advisor), FutureEngine(Consulting)</t>
  </si>
  <si>
    <t>55153-81</t>
  </si>
  <si>
    <t>nH2</t>
  </si>
  <si>
    <t>Nanoholdings</t>
  </si>
  <si>
    <t>Developer of nanotechnologies for energy generation. The company provides nano-tube-based architecture and nanotechnologies which contributes to to energy and water sustainability over the coming decades.</t>
  </si>
  <si>
    <t>Alternative Energy Equipment, Environmental Services (B2B)*</t>
  </si>
  <si>
    <t>CleanTech, Industrials, Nanotechnology, TMT</t>
  </si>
  <si>
    <t>infrared-sensing technology, neutron detectors, storage</t>
  </si>
  <si>
    <t>www.nh2.com</t>
  </si>
  <si>
    <t>45253-63P</t>
  </si>
  <si>
    <t>Justin Hall-Tipping</t>
  </si>
  <si>
    <t>justin@nanoholdings.com</t>
  </si>
  <si>
    <t>+1 (203) 354-9020</t>
  </si>
  <si>
    <t>107 Cheapside</t>
  </si>
  <si>
    <t>EC2V 6DN</t>
  </si>
  <si>
    <t>+44 (0)78 5058 7646</t>
  </si>
  <si>
    <t>info@nh2.com</t>
  </si>
  <si>
    <t>The company raised an undisclosed amount of Series D venture funding from Morgan Stanley, Schlumberger Technology Investments and McClendon Venture Company on November 9, 2015. King Abdulaziz City For Science &amp; Technology, DSM and Shashi Kiran Shetty also participated in the round. The company will use the money for its subsidiaries to accelerate commercialization of its products.</t>
  </si>
  <si>
    <t>City Light Capital, DSM Venturing, King Abdulaziz City For Science &amp; Technology, Koninklijke DSM, McClendon Children's Trust, McClendon Venture Company, Morgan Stanley, Schlumberger Technology Investments, Shashi Shetty, Taqnia International</t>
  </si>
  <si>
    <t>City Light Capital(www.citylight.vc), King Abdulaziz City For Science &amp; Technology(www.kacst.edu.sa), Koninklijke DSM(www.dsm.com), McClendon Venture Company(www.mcclendonvc.com), Morgan Stanley(www.morganstanley.com), Taqnia International(www.taqniainternational.com)</t>
  </si>
  <si>
    <t>BlackSoil(Advisor: General), Gunderson Dettmer(Legal Advisor), Kurt J. Lesker Company(Debt Financing)</t>
  </si>
  <si>
    <t>97904-62</t>
  </si>
  <si>
    <t>NextVR</t>
  </si>
  <si>
    <t>Next3D</t>
  </si>
  <si>
    <t>Against Gravity, BigScreen, Vreal, Boom.tv, Pixvana, Vrtify, EON Reality, Livelike, vTime, AltSpaceVR, TheWaveVR, VRChat, C360 Technologies, Boiler Room</t>
  </si>
  <si>
    <t>Developer of a virtual reality platform designed to broadcasts live events. The company's platform transmits live, high-definition 3D virtual reality content like sports, music and entertainment events, enabling users to enjoy live streaming of various ongoing events.</t>
  </si>
  <si>
    <t>high definition 3d, reality content, video technology, virtual reality, virtual reality content, vr app, vr content, vr content guide</t>
  </si>
  <si>
    <t>www.nextvr.com</t>
  </si>
  <si>
    <t>2019: 95</t>
  </si>
  <si>
    <t>80783-20P</t>
  </si>
  <si>
    <t>David Cole</t>
  </si>
  <si>
    <t>dc@nextvr.com</t>
  </si>
  <si>
    <t>Newport Beach, CA</t>
  </si>
  <si>
    <t>880 Newport Center Drive</t>
  </si>
  <si>
    <t>Newport Beach</t>
  </si>
  <si>
    <t>92660</t>
  </si>
  <si>
    <t>hello@nextvr.com</t>
  </si>
  <si>
    <t>The company raised $80 million of Series B venture funding from CITIC Guoan Information Industry Company, NetEase and China Media Capital on August 9, 2016, putting the company's pre-money valuation at $886.74 million. Softbank, Next Play Capital, VMS Investments Group, Founder Group, China Assets (Holdings), Spectrum 28, Formation Group, Time Warner Investments, Comcast Ventures, RSE Ventures, Peter Guber, MSG Networks and Dick Clark Productions also participated. The company intends to use the funds to accelerate development of its virtual reality platform and expand its global presence.</t>
  </si>
  <si>
    <t>Capital Union Investments, China Assets (Holdings), China Media Capital, CITIC Guoan Information Industry Company, Clarence Ling, Comcast Ventures, Dick Clark Productions, Formation 8, Formation Group, Founder Group, Ironfire Ventures, Lyon Wong, MSG Networks, NetEase, Next Play Capital, Peter Guber, RSE Ventures, S28 Capital, SoftBank Capital, Toba Capital, Vectr Ventures, VMS Investment Group, WarnerMedia Investments</t>
  </si>
  <si>
    <t>Capital Union Investments(www.cuiasia.com), China Assets (Holdings)(www.chinaassets.com), China Media Capital(www.chinamediacapital.com), CITIC Guoan Information Industry Company(www.citicguoaninfo.com), Comcast Ventures(www.comcastventures.com), Dick Clark Productions(www.dickclark.com), Formation 8(www.formation8.com), Formation Group(www.formationgroup.com), Ironfire Ventures(www.ironfireventures.com), MSG Networks(www.msgnetworks.com), NetEase(ir.netease.com), Next Play Capital(www.nextplaycapital.com), RSE Ventures(www.rseventures.com), S28 Capital(www.s28capital.com), SoftBank Capital(www.softbankvc.com), Toba Capital(www.tobacapital.com), Vectr Ventures(www.vectr.co), VMS Investment Group(www.vmsig.com), WarnerMedia Investments(www.timewarnerinvestments.com)</t>
  </si>
  <si>
    <t>Apex Executive Search(Consulting), Montgomery &amp; Company(Advisor: General), O'Melveny &amp; Myers(Legal Advisor)</t>
  </si>
  <si>
    <t>53373-34</t>
  </si>
  <si>
    <t>Nextdoor</t>
  </si>
  <si>
    <t>LinkedIn, Good Hood, Path Mobile, Facebook</t>
  </si>
  <si>
    <t>Developer of a private social networking platform designed to connect neighbors. The company's platform helps to find a last-minute babysitter, plan a local event and share safety tips, enabling neighbors to get to know one another, exchange advice and communicate about local issues.</t>
  </si>
  <si>
    <t>Communication Software, Social Content, Social/Platform Software*</t>
  </si>
  <si>
    <t>community network, local communication, local network, private social network, social networking</t>
  </si>
  <si>
    <t>www.nextdoor.com</t>
  </si>
  <si>
    <t>2012: 5, 2013: 54, 2014: 100, 2015: 119, 2017: 175, 2019: 300</t>
  </si>
  <si>
    <t>42361-21P</t>
  </si>
  <si>
    <t>Prakash Janakiraman</t>
  </si>
  <si>
    <t>Co-Founder and Chief Architect</t>
  </si>
  <si>
    <t>prakash@nextdoor.com</t>
  </si>
  <si>
    <t>+1 (415) 569-7971</t>
  </si>
  <si>
    <t>875 Stevenson Street</t>
  </si>
  <si>
    <t>+1 (415) 488-5949</t>
  </si>
  <si>
    <t>help@nextdoor.com</t>
  </si>
  <si>
    <t>The company raised $123 million of venture funding in a deal led by Riverwood Capital on May 14, 2019, putting the company's pre-money valuation at $1.98 billion. Benchmark (San Francisco), Kleiner Perkins, Tiger Global Management and other undisclosed large global asset manager also participated in the round. The funds will be used in recruitment and cement it as the essential local platform for neighbors around the globe.</t>
  </si>
  <si>
    <t>Allen &amp; Company, Benchmark (San Francisco), Bezos Expeditions, Coatue Management, Comcast Ventures, DAG Ventures, Dave Goldberg, Dave Morin, Greylock Partners, GV, Industry Ventures, Insight Partners, Kaplan Group Investments, Kevin Colleran, Kevin Rose, Kleiner Perkins, Lee Linden, Meritech Capital Partners, MicroVentures, Pinnacle Ventures, Pokora Capital, Redpoint Ventures, Riverwood Capital, SharesPost, Shasta Ventures, Slow Ventures, SV Angel, Tiger Global Management, Timothy Ferriss, Valor Capital Group, Ventura Capital</t>
  </si>
  <si>
    <t>Allen &amp; Company(www.allenco.com), Benchmark (San Francisco)(www.benchmark.com), Bezos Expeditions(www.bezosexpeditions.com), Coatue Management(www.coatue.com), Comcast Ventures(www.comcastventures.com), DAG Ventures(www.dagventures.com), Dave Morin(www.davemorin.com), Greylock Partners(www.greylock.com), GV(www.gv.com), Industry Ventures(www.industryventures.com), Insight Partners(www.insightpartners.com), Kaplan Group Investments(www.kginvest.net), Kevin Colleran(facebook.com/kevin), Kevin Rose(www.kevinrose.com), Kleiner Perkins(www.kleinerperkins.com), Meritech Capital Partners(www.meritechcapital.com), MicroVentures(www.microventures.com), Pinnacle Ventures(www.pinnacleven.com), Pokora Capital(www.pokoracapital.com), Redpoint Ventures(www.redpoint.com), Riverwood Capital(www.riverwoodcapital.com), SharesPost(www.sharespost.com), Shasta Ventures(www.shastaventures.com), Slow Ventures(www.slow.co), SV Angel(www.svangel.com), Tiger Global Management(www.tigerglobal.com), Timothy Ferriss(www.timferriss.com), Valor Capital Group(www.valorcapitalgroup.com), Ventura Capital(www.vcapital.ae)</t>
  </si>
  <si>
    <t>149697-28</t>
  </si>
  <si>
    <t>Nexsi</t>
  </si>
  <si>
    <t>Developer of internetworking technologies. The company offers a unified service-delivery platform that enables service providers to deploy high-bandwidth mission-critical services.</t>
  </si>
  <si>
    <t>broadband packet, internetworking product, routers</t>
  </si>
  <si>
    <t>www.nexsi.com</t>
  </si>
  <si>
    <t>123119-29P</t>
  </si>
  <si>
    <t>Ramesh Panwar</t>
  </si>
  <si>
    <t>Chief Executive Officer, Chief Technology Officer &amp; Co-Founder</t>
  </si>
  <si>
    <t>1959 Concourse Drive</t>
  </si>
  <si>
    <t>The company filed for Chapter 7 bankruptcy on April 17, 2002 and is no longer actively tracked by PitchBook.</t>
  </si>
  <si>
    <t>Amerindo Investment Advisors, Capital Research Group, Foundries Holdings, Mitsui Global Investment, Presidio Ventures, Saints Capital, Sequoia Capital, Soros Brothers Investments</t>
  </si>
  <si>
    <t>Amerindo Investment Advisors(www.amerindo.com), Mitsui Global Investment(www.mitsui-global.com), Presidio Ventures(www.presidio-ventures.com), Saints Capital(www.saintscapital.com), Sequoia Capital(www.sequoiacap.com), Soros Brothers Investments(www.sorosbrothers.com)</t>
  </si>
  <si>
    <t>182980-36</t>
  </si>
  <si>
    <t>Nexpa</t>
  </si>
  <si>
    <t>Developer of video analytic and smart parking technologies. The company's technologies focuses on car park management, security and safety through surveillance, car finder application and mobile application platform, enabling public sector companies to reduce the congestion at the entrance or exit gates, virtually eliminate car queues for payments and enable ticket less car park operations, therefore minimizing the number of stops in the car-park traffic flows.</t>
  </si>
  <si>
    <t>car finder application, car park management, license plates recognition, mobile application platform, smart parking, smart parking platform, smart parking technology, video analytics, video analytics technology</t>
  </si>
  <si>
    <t>www.nexpa.net</t>
  </si>
  <si>
    <t>18-0 Jadongchasijiang 1-gil</t>
  </si>
  <si>
    <t>Seongdong-gu</t>
  </si>
  <si>
    <t>133-847</t>
  </si>
  <si>
    <t>+82 (0)22 243 4015</t>
  </si>
  <si>
    <t>jayyu@nexpa.co.kr</t>
  </si>
  <si>
    <t>Cisco Investments</t>
  </si>
  <si>
    <t>Cisco Investments(www.ciscoinvestments.com)</t>
  </si>
  <si>
    <t>53650-54</t>
  </si>
  <si>
    <t>Nexenta</t>
  </si>
  <si>
    <t>Pure Storage, Cleversafe, Veeam, StorPool, CommVault Systems, HyperGrid, DataCore Software, Infrascale, Unitrends, Micro Focus, Asigra, Dell EMC, StorageCraft Technology, Tegile, Acronis, Open-E, TIBCO Software, Mirantis, SUSE, Igneous Systems, Nimble Storage</t>
  </si>
  <si>
    <t>Developer of a software-defined storage designed to offer cloud storage services in the United States. The company's software-defined storage offers an easy-to-use, secure and low cost storage services that fits the needs of the clients and are also used for the key workloads running in a data center including data protection, cloud, Big Data and virtualization, enabling clients to deliver validated and certified OpenSDS services that fits their business requirements.</t>
  </si>
  <si>
    <t>Business/Productivity Software, Database Software*, Storage (IT)</t>
  </si>
  <si>
    <t>business productivity tools, open storage software, storage innovation, storage solutions provider, technology revolution, virtual environment</t>
  </si>
  <si>
    <t>www.nexenta.com</t>
  </si>
  <si>
    <t>12148-66P</t>
  </si>
  <si>
    <t>Tarkan Maner</t>
  </si>
  <si>
    <t>tarkan@nexenta.com</t>
  </si>
  <si>
    <t>+1 (408) 791-3300</t>
  </si>
  <si>
    <t>2025 Gateway Place</t>
  </si>
  <si>
    <t>+1 (408) 791-3305</t>
  </si>
  <si>
    <t>The company was acquired by DataDirect Networks for an undisclosed amount on May 20, 2019. The acquisition brings three technology powerhouses together; DDN Storage, Tintri by DDN and now Nexenta by DDN, for the benefit of its customers' AI and multi-cloud data strategies. DDN now holds a suite of products, solutions and services that enable AI and multi-cloud to deliver the greatest impact to the emerging IoT markets. The company is no longer actively tracked by PitchBook.</t>
  </si>
  <si>
    <t>DataDirect Networks</t>
  </si>
  <si>
    <t>Dell Technologies Capital, Finaves, Four Rivers Group, Javelin Venture Partners, Keystone Venture Capital, Lake Trail Capital, Menlo Ventures, Presidio Ventures, Razor's Edge Ventures, SAB Capital, SanDisk Ventures, Sierra Ventures, SoftBank Group, SV Booth Investments, TransLink Capital, TRB Equity, UMC Capital, Western Digital Capital, Western Technology Investment, WestSummit Capital</t>
  </si>
  <si>
    <t>Finaves(www.iese.edu/en/companies-institutions/supporting-startups/finaves), Four Rivers Group(www.fourriversgroup.com), Javelin Venture Partners(www.javelinvp.com), Menlo Ventures(www.menlovc.com), Presidio Ventures(www.presidio-ventures.com), Razor's Edge Ventures(www.razorsvc.com), SAB Capital(www.sabcap.com), Sierra Ventures(www.sierraventures.com), SoftBank Group(www.softbank.jp), TransLink Capital(www.translinkcapital.com), UMC Capital(www.umccapital.com), Western Digital Capital(www.westerndigitalcapital.com), Western Technology Investment(www.westerntech.com), WestSummit Capital(www.westsummitcap.com)</t>
  </si>
  <si>
    <t>85 Advisors(Advisor: General), Perkins Coie(Legal Advisor), VLP Law Group(Legal Advisor)</t>
  </si>
  <si>
    <t>Fenwick &amp; West(Legal Advisor), Morgan, Lewis &amp; Bockius(Legal Advisor), Perkins Coie(Legal Advisor), Silicon Valley Bank(Debt Financing), Western Technology Investment(Debt Financing)</t>
  </si>
  <si>
    <t>55914-76</t>
  </si>
  <si>
    <t>NewLeaf Symbiotics</t>
  </si>
  <si>
    <t>TrophoMax</t>
  </si>
  <si>
    <t>Arcadia Biosciences, Syngenta, Kaiima</t>
  </si>
  <si>
    <t>Operator of an agricultural biotechnology company created to discover and develop sustainable agricultural products based on PPFM bacteria and related microbes. The company's agricultural biotechnology company engages in the research, development and commercialization of symbiotic bacteria that is a beneficial plant bacteria, enabling farmers to fight plant disease and increase crop yields.</t>
  </si>
  <si>
    <t>Biotechnology, Other Agriculture*</t>
  </si>
  <si>
    <t>agricultural product, agricultural technology, bacteria technology, crop yield, field trials, microbial product, plant disease, symbiotic bacteria</t>
  </si>
  <si>
    <t>www.newleafsym.com</t>
  </si>
  <si>
    <t>2016: 44</t>
  </si>
  <si>
    <t>11462-77P</t>
  </si>
  <si>
    <t>Stephen Kahn</t>
  </si>
  <si>
    <t>Chief Financial Officer, Senior Vice President, Board Member &amp; Co-Founder</t>
  </si>
  <si>
    <t>skahn@newleafsym.com</t>
  </si>
  <si>
    <t>+1 (617) 413 2957</t>
  </si>
  <si>
    <t>Saint Louis, MO</t>
  </si>
  <si>
    <t>BRDG Park</t>
  </si>
  <si>
    <t>1005 North Warson Road</t>
  </si>
  <si>
    <t>Saint Louis</t>
  </si>
  <si>
    <t>63132</t>
  </si>
  <si>
    <t>+1 (314) 993-4411</t>
  </si>
  <si>
    <t>info@newleafsym.com</t>
  </si>
  <si>
    <t>The company raised $30 million of Series C funding in a deal led by Monsanto Growth Ventures and Otter Capital on September 7, 2017, putting the pre-money valuation at $50 million. Seed 2 Growth Ventures, The Yard Ventures, Lewis &amp; Clark Ventures, Alumni Ventures Group, Rockport Capital, Pangaea Ventures, Open Prairie Ventures and other undisclosed investors also participated in this round. The company intends to use the invested capital to commercialize seed treatment and in-furrow products for soybeans, corn, wheat, peanuts and other crops, triple the size of its R&amp;D and pilot production facility in St. Louis and expand its proprietary Prescriptive Biologics Knowledgebase bioinformatics platform.</t>
  </si>
  <si>
    <t>Alumni Ventures Group, Bio Research &amp; Development Growth Park, Individual Investor, Lewis &amp; Clark Ventures, Monsanto Growth Ventures, Open Prairie Ventures, Otter Capital, Palo Alto Investors, Pangaea Ventures, RockPort Capital Partners, S2G Ventures, St. Louis Arch Angels, The Yard Ventures</t>
  </si>
  <si>
    <t>Alumni Ventures Group(www.avgfunds.com), Bio Research &amp; Development Growth Park(brdgpark.com), Lewis &amp; Clark Ventures(www.lewisandclarkventures.com), Open Prairie Ventures(www.openprairie.com), Otter Capital(www.ottercapital.com), Palo Alto Investors(www.pa-investors.com), Pangaea Ventures(www.pangaeaventures.com), RockPort Capital Partners(www.rockportcap.com), S2G Ventures(www.s2gventures.com), St. Louis Arch Angels(www.stlouisarchangels.com), The Yard Ventures(www.theyardventures.com)</t>
  </si>
  <si>
    <t>Bryan Cave(Legal Advisor), Wilson Sonsini Goodrich &amp; Rosati(Legal Advisor)</t>
  </si>
  <si>
    <t>45352-00</t>
  </si>
  <si>
    <t>Netronome</t>
  </si>
  <si>
    <t>Metamako, Bay Microsystems, Cortina Systems, Opengear, Perle Systems, Solarflare, Cavium, Napatech, Marvell Technology Group (multimedia solutions business), Broadcom, Intel</t>
  </si>
  <si>
    <t>Developer of a networking software designed to be used for flow processing in networking and communications devices. The company's software transparently offload virtual switch and virtual router data path processing and unites the speed and flexibility of software innovation with the performance and efficiency of hardware, enabling customers to avail efficiencies of mega-scale data centers in commercial off-the-shelf (COTS) server and networking infrastructure.</t>
  </si>
  <si>
    <t>Network Management Software*, Other Communications and Networking, Wireless Communications Equipment</t>
  </si>
  <si>
    <t>broadband access, fabless semiconductor, flow processing, flow processing silicon, intelligentnic, network routing, networking software, networking software service, smartnic</t>
  </si>
  <si>
    <t>www.netronome.com</t>
  </si>
  <si>
    <t>2009: 106, 2010: 126, 2011: 187, 2012: 224, 2013: 220, 2014: 173, 2015: 178</t>
  </si>
  <si>
    <t>36545-68P</t>
  </si>
  <si>
    <t>Perry Grace</t>
  </si>
  <si>
    <t>Chief Financial Officer &amp; Vice President, Administration</t>
  </si>
  <si>
    <t>perry.grace@netronome.com</t>
  </si>
  <si>
    <t>+1 (408) 624-9243</t>
  </si>
  <si>
    <t>2903 Bunker Hill Lane</t>
  </si>
  <si>
    <t>+1 (408) 496-0022</t>
  </si>
  <si>
    <t>+1 (408) 586-0002</t>
  </si>
  <si>
    <t>The company raised $19.13 million of venture funding from undisclosed investors on November 19, 2018. Prior to this, the company raised $19 million of Series E venture funding from Intel Capital, Draper Esprit and Raptor Group on April 18, 2013, putting the company's pre-money valuation at $90.08 million. Sourcefire, Rockspring and other undisclosed investors also participated in the round.</t>
  </si>
  <si>
    <t>Cambridge Angels, Cisco Investments, Draper Esprit, Intel Capital, Raptor Group, Rockspring, Spinner Asset Management, Spring Lake Equity Partners</t>
  </si>
  <si>
    <t>3i Group, Sourcefire, Top Technology Ventures</t>
  </si>
  <si>
    <t>Cambridge Angels(www.cambridgeangels.com), Cisco Investments(www.ciscoinvestments.com), Draper Esprit(www.draperesprit.com), Intel Capital(www.intelcapital.com), Raptor Group(www.raptorgroup.com), Rockspring(www.rockspring.co.uk), Spinner Asset Management(www.samtest.net), Spring Lake Equity Partners(www.springlakeequitypartners.com)</t>
  </si>
  <si>
    <t>3i Group(www.3i.com), Top Technology Ventures(toptechnology.co.uk)</t>
  </si>
  <si>
    <t>Granite Valuations(Valuation/Appraiser), PNC(General Business Banking)</t>
  </si>
  <si>
    <t>51151-69</t>
  </si>
  <si>
    <t>NetBase</t>
  </si>
  <si>
    <t>Accelovation</t>
  </si>
  <si>
    <t>Unmetric, LiveWorld, HubSpot, BehaviorMatrix, Shareablee, Spredfast, Synthesio, Socialmetrix, Tracx, Sprinklr, Simply Measured, Socialbakers, Kenshoo, Sysomos, Facelift Cloud, Bottlenose, Brandwatch, TrackMaven, Oktopost Technologies, Sprout Social, ScribbleLive, Contently, Meltwater, Zignal Labs, LeadSift, Percolate, quintly, NUVI, Hootsuite, Revinate, Kapost, TrendKite, Brand Embassy, Opal (Marketing), NewsCred, Clarabridge, Circus Social, Adoreboard, ApexDrop, Linkfluence, Kanjoya, Cision Group, Crimson Hexagon, Saama</t>
  </si>
  <si>
    <t>Provider of a social media analytics platform designed to offer business insights for marketing research. The company's social media analytics platform processes social media posts daily for actionable business insights for marketing, research, customer service, sales and product innovation, enabling businesses to create real business value from growth opportunities.</t>
  </si>
  <si>
    <t>Restaurant Technology, TMT</t>
  </si>
  <si>
    <t>competitive intelligence, consumer insights, content intelligence, enterprise content, insights discovery</t>
  </si>
  <si>
    <t>www.netbase.com</t>
  </si>
  <si>
    <t>2005: 1, 2006: 1, 2007: 1, 2008: 12, 2009: 23, 2010: 23, 2014: 105, 2015: 116</t>
  </si>
  <si>
    <t>45569-35P</t>
  </si>
  <si>
    <t>David Pefley</t>
  </si>
  <si>
    <t>dpefley@netbase.com</t>
  </si>
  <si>
    <t>+1 (650) 810-2100</t>
  </si>
  <si>
    <t>3960 Freedom Circle</t>
  </si>
  <si>
    <t>+1 (650) 968-4872</t>
  </si>
  <si>
    <t>info@netbase.com</t>
  </si>
  <si>
    <t>The company raised $10 million in the form of a term loan from Hercules Capital on August 22, 2017. Latham &amp; Watkins acted as a legal advisor to Hercules Capital in the deal.</t>
  </si>
  <si>
    <t>Altos Ventures, Individual Investor, In-Q-Tel, ORIX Growth Capital, SAIF Partners, Spring Lake Equity Partners, Thomvest Ventures, Tran Ventures, Western Technology Investment, WestSummit Capital</t>
  </si>
  <si>
    <t>Altos Ventures(www.altos.vc), In-Q-Tel(www.iqt.org), SAIF Partners(www.sbaif.com), Spring Lake Equity Partners(www.springlakeequitypartners.com), Thomvest Ventures(www.thomvest.com), Western Technology Investment(www.westerntech.com), WestSummit Capital(www.westsummitcap.com)</t>
  </si>
  <si>
    <t>Harvest Management Partners(Advisor: General), MIT Venture Mentoring Service(Consulting)</t>
  </si>
  <si>
    <t>DLA Piper(Legal Advisor), Fenwick &amp; West(Legal Advisor), Hercules Capital(Debt Financing), Houlihan Lokey(Advisor: General), MMV Capital Partners(Debt Financing), Western Technology Investment(Debt Financing), Wilson Sonsini Goodrich &amp; Rosati(Legal Advisor)</t>
  </si>
  <si>
    <t>108704-53</t>
  </si>
  <si>
    <t>Neomatix</t>
  </si>
  <si>
    <t>Developer of electro-optics and machine vision technologies designed to offer tire monitoring services. The company's electro-optics and machine vision technologies simplify the tire inspection procedure, while providing management and responsible parties with intuitive and actionable insights to help reduce accidents and minimize carbon emissions, enabling consumers to save on gas and vehicle operating expenses.</t>
  </si>
  <si>
    <t>Environmental Services (B2B)*, Other Business Products and Services</t>
  </si>
  <si>
    <t>automated tires monitoring, carbon emission, fleet management, tires monitoring technology</t>
  </si>
  <si>
    <t>www.neomatix.com</t>
  </si>
  <si>
    <t>2015: 9</t>
  </si>
  <si>
    <t>120812-32P</t>
  </si>
  <si>
    <t>Kfir Wittmann</t>
  </si>
  <si>
    <t>kfir@neomatix.com</t>
  </si>
  <si>
    <t>Habarzel Street</t>
  </si>
  <si>
    <t>info@neomatix.com</t>
  </si>
  <si>
    <t>The company received EUR 25,000 of prize money from Shell Technology Ventures as a part of Bright Energy Ideas Challenge on October 27, 2016. Out of the total transaction the company raised EUR 100,000 in the form of a convertible loan.</t>
  </si>
  <si>
    <t>Gidi Shenholz, Google Developers Launchpad, Maverick Ventures Israel, Shell Ventures, SmartDrive, Tel Aviv Angel Group, The Bridge by Coca-Cola, Zahi Zloter</t>
  </si>
  <si>
    <t>Google Developers Launchpad(developers.google.com/programs/launchpad), Maverick Ventures Israel(www.maverick.vc), SmartDrive(www.smartdrive.co.jp), Tel Aviv Angel Group(www.telavivangels.com), The Bridge by Coca-Cola(www.thebridgebycocacola.com)</t>
  </si>
  <si>
    <t>Shell Ventures(Debt Financing)</t>
  </si>
  <si>
    <t>226616-95</t>
  </si>
  <si>
    <t>Neighborhood Goods</t>
  </si>
  <si>
    <t>b8ta, Bulletin, Nordstrom, Neiman Marcus Group</t>
  </si>
  <si>
    <t>Operator of a company that combines physical storefronts with editorial e-commerce to bridge the gap between traditional retail, pop-up shopping, immersive story-telling, and modern social experiences. The company is currently operating in Stealth mode.</t>
  </si>
  <si>
    <t>Information Services (B2C)*</t>
  </si>
  <si>
    <t>branding marketplace, ecommerce, marketplace search, marketplace tools, physical retail, retail</t>
  </si>
  <si>
    <t>neighborhoodgoods.com</t>
  </si>
  <si>
    <t>2017: 1, 2018: 8</t>
  </si>
  <si>
    <t>59952-25P</t>
  </si>
  <si>
    <t>Matt Alexander</t>
  </si>
  <si>
    <t>matt@neighborhoodgoods.com</t>
  </si>
  <si>
    <t>+1 (469) 998-1725</t>
  </si>
  <si>
    <t>1920 McKinney Avenue</t>
  </si>
  <si>
    <t>hello@neighborhoodgoods.com</t>
  </si>
  <si>
    <t>The company raised $14.5 million of seed funding from lead investor Forerunner Ventures on November 26, 2018. Revolution, Maveron, CAA Ventures, Serena Ventures, Global Founders Capital, Michael Dubin, Alan Shor, Alrai Capital, NextGen Venture Partners and other undisclosed investors also participated.</t>
  </si>
  <si>
    <t>Alan Shor, Alrai Capital, CAA Ventures, Forerunner Ventures, Global Founders Capital, Maveron, Michael Dubin, NextGen Venture Partners, Revolution, Serena Ventures</t>
  </si>
  <si>
    <t>Alrai Capital(www.alraicap.com), CAA Ventures(ventures.caa.com), Forerunner Ventures(www.forerunnerventures.com), Global Founders Capital(www.globalfounders.vc), Maveron(www.maveron.com), NextGen Venture Partners(www.nextgenvp.com), Revolution(www.revolution.com), Serena Ventures(www.serenaventures.com)</t>
  </si>
  <si>
    <t>BMO Harris Bank(General Business Banking), Montgomery Coscia Greilich(Accounting)</t>
  </si>
  <si>
    <t>187979-23</t>
  </si>
  <si>
    <t>Nearfield Instruments</t>
  </si>
  <si>
    <t>Developer of a multiple parallel atomic force microscopy (AFM) technology created to enable the application of disruptive semiconductor scaling technologies by providing atom-scale metrology product at industry-level throughput. The company's technology uses an atomically-sharp probe to scan the surface of the sample under investigation to sense the pattern on it, enabling IC device manufacturers to complement the in-fab metrology toolset, specifically addressing the metrology needs at the sub-10 nm device generations.</t>
  </si>
  <si>
    <t>atomic force microscopy, atomic force microscopy technology, imaging technology, scaling technologies, semiconductor technology</t>
  </si>
  <si>
    <t>nearfieldinstruments.com</t>
  </si>
  <si>
    <t>172832-50P</t>
  </si>
  <si>
    <t>Roland van Vliet</t>
  </si>
  <si>
    <t>roland.vanvliet@nearfieldinstruments.com</t>
  </si>
  <si>
    <t>+31 (0)62 036 9741</t>
  </si>
  <si>
    <t>Delft, Netherlands</t>
  </si>
  <si>
    <t>Stieltjesweg 1</t>
  </si>
  <si>
    <t>Delft</t>
  </si>
  <si>
    <t>2628 CK</t>
  </si>
  <si>
    <t>info@nearfieldinstruments.com</t>
  </si>
  <si>
    <t>The company raised EUR 10 million of venture funding from Samsung Venture Investment, Innovation Industries Fund and Innovation Industries on September 5, 2017. The funding will enable Nearfield Instruments to start the development of its first ultrafast High-Throughput Atomic Force Microscopy (HT-AFM) system for metrology of advanced IC's.</t>
  </si>
  <si>
    <t>Innovation Industries, Innovation Industries (Amsterdam), Samsung Venture Investment, The Netherlands Organisation</t>
  </si>
  <si>
    <t>Innovation Industries(www.innovationind.com), Innovation Industries (Amsterdam)(www.innovationindustries.com), Samsung Venture Investment(www.samsungventures.com), The Netherlands Organisation(www.tno.nl)</t>
  </si>
  <si>
    <t>152410-42</t>
  </si>
  <si>
    <t>Near Earth Autonomy</t>
  </si>
  <si>
    <t>Developer of software and sensors intended for manufacturers and users of low-flying aircraft. The company incorporates the use of technologies such as sensor suites, 3D mapping and surveying, collision detection, GPS denied navigation, relative navigation, landing zone assessment, motion planning, as well as visual pilot aids, providing airline industry players and corporate clients with autonomous navigation systems for aircraft ranging in size from octocopter drones to full-size helicopters.</t>
  </si>
  <si>
    <t>Aerospace and Defense, Application Software*, Other Commercial Products</t>
  </si>
  <si>
    <t>3d maps, aerospace product, air sensor, autonomous flight operations, autonomous flight program, aviation technology</t>
  </si>
  <si>
    <t>www.nearearth.aero</t>
  </si>
  <si>
    <t>2017: 52</t>
  </si>
  <si>
    <t>126536-14P</t>
  </si>
  <si>
    <t>Sanjiv Singh</t>
  </si>
  <si>
    <t>sanjiv.singh@kaarta.com</t>
  </si>
  <si>
    <t>Pittsburgh, PA</t>
  </si>
  <si>
    <t>150 North Lexington Street</t>
  </si>
  <si>
    <t>Pittsburgh</t>
  </si>
  <si>
    <t>15208</t>
  </si>
  <si>
    <t>info@nearearth.aero</t>
  </si>
  <si>
    <t>The company raised $8 million of Series A venture funding from Boeing HorizonX and other undisclosed investors on October 20, 2017, putting the pre-money valuation at $42 million. The funding will accelerate the development of robust products and enable access to a broader portfolio of applications for aerial autonomy.</t>
  </si>
  <si>
    <t>Boeing HorizonX, National Aeronautics and Space Administration</t>
  </si>
  <si>
    <t>National Aeronautics and Space Administration(www.nasa.gov)</t>
  </si>
  <si>
    <t>55686-34</t>
  </si>
  <si>
    <t>Near (Singapore)</t>
  </si>
  <si>
    <t>Imere Technologies, AdNear</t>
  </si>
  <si>
    <t>Imere Tech</t>
  </si>
  <si>
    <t>Factual, Sense360, NinthDecimal, Moasis Global, July Systems, Apsalar, Phizzle, MixPanel, Samba TV, Adello, Blis Media, InMobi, AppsFlyer, Manage.com Group, PlaceIQ, Adsquare, Tenjin, AppNexus, StreetLight Data, MediaMath, HipCricket, Syndicated Maps, Thunder Industries, iProspect, MobYD, Beintoo, Airship, AdRoll, Bidstalk, BuzzCity, IconPeak, adjust, Rocket Fuel, Epom, Cuebiq, AcuityAds Holdings, TUNE, Smart AdServer, Optimatic Media, AppLift, Spartacs, Govini, Placed, Geniee, Localytics, ThinkNear, PiinPoint, Choozle, Adform</t>
  </si>
  <si>
    <t>Provider of an ambient intelligence platform designed to offer real-time information on people, place and products. The company's ambient intelligence platform is a location intelligence platform that leverages location and context to power data driven marketing for advertisers; enabling businesses to visualize, engage and analyze audience data including their location and behaviour for data-driven decisions</t>
  </si>
  <si>
    <t>ambient intelligence platform, consumer engagement, local audience access, location intelligence, mobile advertising platform</t>
  </si>
  <si>
    <t>www.near.co</t>
  </si>
  <si>
    <t>2014: 38, 2016: 87</t>
  </si>
  <si>
    <t>46655-74P</t>
  </si>
  <si>
    <t>Anil Mathews</t>
  </si>
  <si>
    <t>anil@adnear.com</t>
  </si>
  <si>
    <t>+44 (0)20 7935 6752</t>
  </si>
  <si>
    <t>35th Floor, UOB Plaza 1</t>
  </si>
  <si>
    <t>80 Raffles Place</t>
  </si>
  <si>
    <t>048624</t>
  </si>
  <si>
    <t>singapore@adnear.com</t>
  </si>
  <si>
    <t>Canaan Partners sold its stake in the company to undisclosed investors.</t>
  </si>
  <si>
    <t>Cisco Investments, Global Brain, JP Morgan Asset Management, Sequoia Capital India, Telstra Ventures, Wolfpack Ventures</t>
  </si>
  <si>
    <t>Canaan Partners</t>
  </si>
  <si>
    <t>Cisco Investments(www.ciscoinvestments.com), Global Brain(www.globalbrains.com), JP Morgan Asset Management(www.am.jpmorgan.com), Sequoia Capital India(www.sequoiacap.com/india), Telstra Ventures(www.telstraventures.com), Wolfpack Ventures(www.wolfpackventures.com)</t>
  </si>
  <si>
    <t>Canaan Partners(www.canaan.com)</t>
  </si>
  <si>
    <t>57401-47</t>
  </si>
  <si>
    <t>nCino</t>
  </si>
  <si>
    <t>Nortridge Software, Ohpen, Akcelerant Holdings, Fair Isaac, Objectway Financial Software, Mambu, Indus Software Technologies, Temenos, Sageworks, Mitratech Holdings, Musoni, Intellect Design Arena, Oradian, Ellie Mae, Nelito Systems, Nucleus Software Exports, Cloud Lending Solutions, Baker Hill Solutions, DH, Five Degrees, Kabbage, BankBI</t>
  </si>
  <si>
    <t>Operator of a cloud-based banking platform designed to leverage Salesforce to deliver complete banking services. The company's banking platform integrates directly with a bank's core accounting system and encompasses customer relationship management (CRM), loan origination, enterprise content management, data analytics and more, enabling financial institutions of all sizes to expand market share, meet regulatory compliance, drive profitability and optimize operational transparency.</t>
  </si>
  <si>
    <t>accounting system, bank operating system, banking services, cloud banking platform, cloud banking software, cloud-based banking, customer relationship management, enterprise content management</t>
  </si>
  <si>
    <t>www.ncino.com</t>
  </si>
  <si>
    <t>2014: 85, 2015: 109, 2017: 375, 2018: 430, 2019: 600</t>
  </si>
  <si>
    <t>50392-18P</t>
  </si>
  <si>
    <t>Pierre Naudé</t>
  </si>
  <si>
    <t>pierre.naude@ncino.com</t>
  </si>
  <si>
    <t>+1 (888) 676-2466</t>
  </si>
  <si>
    <t>Wilmington, NC</t>
  </si>
  <si>
    <t>6770 Parker Farm Drive</t>
  </si>
  <si>
    <t>28405</t>
  </si>
  <si>
    <t>+1 (888) 676-8466</t>
  </si>
  <si>
    <t>info@ncino.com</t>
  </si>
  <si>
    <t>The company raised $51.5 million of venture funding in a deal led by Salesforce Ventures on January 30, 2018. Chip Mahan and Canapi also participated in the round. The funds will be used to fuel the company's global growth initiatives and accelerate the continued development and innovation of its Bank Operating System, built on the Salesforce platform and integrated with Salesforce Financial Services Cloud.</t>
  </si>
  <si>
    <t>Accenture Ventures, Canapi, Eugene Ludwig, Harbor Island Equity Partners, Insight Partners, James Mahan, John Mack, Salesforce Ventures, Wellington Management</t>
  </si>
  <si>
    <t>Canapi(www.canapi.com), Harbor Island Equity Partners(www.harborislandpartners.com), Insight Partners(www.insightpartners.com), Wellington Management(www.wellington.com)</t>
  </si>
  <si>
    <t>EY(Auditor), SunTrust Banks(General Business Banking), Wyrick Robbins Yates &amp; Ponton(Legal Advisor)</t>
  </si>
  <si>
    <t>Wyrick Robbins Yates &amp; Ponton(Legal Advisor)</t>
  </si>
  <si>
    <t>119127-97</t>
  </si>
  <si>
    <t>NC+</t>
  </si>
  <si>
    <t>Owner and operator of a digital satellite platform. The company broadcasts HD Channels including CANAL+ HD, Canal+ Sport HD, CANAL+ Film 1 &amp; 2 HD, CANAL+ Family 1and2 HD, Ale kino Plus, Hyper Plus, MiniMini Plus, Planete Plus, Kuchnia Plus, Teletoon Plus and Domo Plus.</t>
  </si>
  <si>
    <t>Broadcasting, Radio and Television*</t>
  </si>
  <si>
    <t>digital platform, digital satellite, pay tv, television operator</t>
  </si>
  <si>
    <t>www.ncplus.pl</t>
  </si>
  <si>
    <t>2015: 1001</t>
  </si>
  <si>
    <t>105252-94P</t>
  </si>
  <si>
    <t>Nicolas Dandoy</t>
  </si>
  <si>
    <t>Chief Financial Officer, Vice President of the Management Board</t>
  </si>
  <si>
    <t>nicolas.dandoy@ncplus.pl</t>
  </si>
  <si>
    <t>+48 80 104 4944</t>
  </si>
  <si>
    <t>Warsaw, Poland</t>
  </si>
  <si>
    <t>Al. Gen. Sikorski 9</t>
  </si>
  <si>
    <t>Warsaw</t>
  </si>
  <si>
    <t>02-758</t>
  </si>
  <si>
    <t>+48 22 310 4747</t>
  </si>
  <si>
    <t>The company was formed through the merger of TVN (n) and Canal+ (Cyfra+) on March 21, 2013.</t>
  </si>
  <si>
    <t>Carrywater Group(Consulting)</t>
  </si>
  <si>
    <t>91894-33</t>
  </si>
  <si>
    <t>Navisens</t>
  </si>
  <si>
    <t>Developer of a geolocation application designed to locate and track personal and mobile devices. The company's application offers a software that locates personal and mobile devices in all environments including indoors within multi-level buildings, underground and outdoors without requiring any WiFi, GPS or Bluetooth beacons, enabling users to find their electronic gadgets easily.</t>
  </si>
  <si>
    <t>Application Software*, Information Services (B2C), Other Information Technology</t>
  </si>
  <si>
    <t>cellphone tracker, device locator, geolocation application, gps tracking, tracking platform</t>
  </si>
  <si>
    <t>www.navisens.com</t>
  </si>
  <si>
    <t>95006-53P</t>
  </si>
  <si>
    <t>Ashod Donikian</t>
  </si>
  <si>
    <t>ashod.donikian@navisens.com</t>
  </si>
  <si>
    <t>info@navisens.com</t>
  </si>
  <si>
    <t>The company raised $1 million of venture funding from Bose Ventures on an undisclosed date.</t>
  </si>
  <si>
    <t>Amicus Capital, Arba Seed Investment Group, Bose Ventures, Gokul Rajaram, KEC Ventures, Resolute Ventures, Runway Incubator</t>
  </si>
  <si>
    <t>Amicus Capital(www.amicuscapital.com), Arba Seed Investment Group(www.arbagroup.com), Bose Ventures(bose.ventures), KEC Ventures(www.kecventures.com), Resolute Ventures(www.resolute.vc), Runway Incubator(www.runway.is)</t>
  </si>
  <si>
    <t>126672-49</t>
  </si>
  <si>
    <t>Nauto</t>
  </si>
  <si>
    <t>Nexar, Mobileye, Waymo, Optimus Ride, Ottomatika, Masternaut, Cruise, Lytx, Samsara, Aurora Software</t>
  </si>
  <si>
    <t>Owner of an AI technology company intended to improve the safety of commercial fleets today and the autonomous fleets of tomorrow. The company's intelligent driver safety system assesses how drivers interact with the vehicle and the road ahead to reduce distracted driving and prevent collisions, powering the development of self-driving technology that brings the best of human driving to autonomy.</t>
  </si>
  <si>
    <t>Artificial Intelligence &amp; Machine Learning, Autonomous cars, Industrials, Internet of Things, Mobile, SaaS, TMT</t>
  </si>
  <si>
    <t>artificial intelligence, computer vision, distracted drives prevention, drivers behavior analytics, drivers monitoring, fleet analytics, fleet safety solutions, fleet safety technology</t>
  </si>
  <si>
    <t>www.nauto.com</t>
  </si>
  <si>
    <t>2016: 26, 2017: 84, 2018: 136, 2019: 140</t>
  </si>
  <si>
    <t>110540-71P</t>
  </si>
  <si>
    <t>Stefan Heck</t>
  </si>
  <si>
    <t>stefan@nauto.com</t>
  </si>
  <si>
    <t>+1 (888) 628-8606</t>
  </si>
  <si>
    <t>info@nauto.com</t>
  </si>
  <si>
    <t>The company raised $159 million of Series B venture funding in a deal led by SoftBank Capital and Greylock Partners on July 19, 2017. BMW i Ventures, Toyota AI Ventures, GM Ventures, Draper Nexus, Trucks Venture Capital and Playground Global also participated in the round. The funds will fuel company's growth and the deployment of its retrofit safety and networking system into more vehicles around the globe, as well as support the expansion of the Nauto data platform in autonomous vehicle research and development across multiple automakers.</t>
  </si>
  <si>
    <t>Allianz X, BMW i Ventures, DNX Ventures, GM Ventures, Greylock Partners, IDEO Futures, Index Ventures (UK), Maniv Mobility, Playground Global, Plug and Play Tech Center, SoftBank Capital, Toyota AI Ventures, Trucks Venture Capital</t>
  </si>
  <si>
    <t>Allianz X(www.allianzx.com), BMW i Ventures(www.bmwiventures.com), DNX Ventures(www.dnx.vc), GM Ventures(www.gmventures.com), Greylock Partners(www.greylock.com), IDEO Futures(www.ideofutures.com), Index Ventures (UK)(www.indexventures.com), Maniv Mobility(www.maniv.com), Playground Global(www.playground.global), Plug and Play Tech Center(www.plugandplaytechcenter.com), SoftBank Capital(www.softbankvc.com), Toyota AI Ventures(www.toyota-ai.ventures), Trucks Venture Capital(www.trucks.vc)</t>
  </si>
  <si>
    <t>106772-14</t>
  </si>
  <si>
    <t>Natron Energy</t>
  </si>
  <si>
    <t>Alveo Energy, Inc.</t>
  </si>
  <si>
    <t>Manufacturer of high power batteries designed to offer efficient energy storage solutions. The company's sodium-ion-based batteries offer higher power density, faster recharge and longer cycle life than incumbent technologies and can be economically produced from commodity materials on existing cell manufacturing lines, enabling industries to get highly efficient batteries with low operating costs and with a better life.</t>
  </si>
  <si>
    <t>Electrical Equipment*, Energy Storage</t>
  </si>
  <si>
    <t>fast recharging battery, high power battery manufacturer, high power cell, high power density battery, sodium ion batteries</t>
  </si>
  <si>
    <t>www.natron.energy</t>
  </si>
  <si>
    <t>2015: 19, 2016: 36</t>
  </si>
  <si>
    <t>89339-14P</t>
  </si>
  <si>
    <t>Colin Wessells</t>
  </si>
  <si>
    <t>colin@natron.energy</t>
  </si>
  <si>
    <t>+1 (541) 521-4284</t>
  </si>
  <si>
    <t>3542 Bassett Street</t>
  </si>
  <si>
    <t>info@natron.energy</t>
  </si>
  <si>
    <t>The company raised an estimated $4 million of Series C1 venture funding from Chevron Technology Ventures on January 14, 2019, putting the company's pre-money valuation at $54 million. The funds will be used to support the development of the company's stationary energy storage systems for demand charge management at electric vehicle charging stations.</t>
  </si>
  <si>
    <t>Arpa-E, Chevron Technology Ventures, Fluxus Ventures, Khosla Ventures, NanoDimension, Prelude Ventures</t>
  </si>
  <si>
    <t>Arpa-E(www.arpa-e.energy.gov), Fluxus Ventures(fluxusventures.com), Khosla Ventures(www.khoslaventures.com), NanoDimension(www.nanodimension.com), Prelude Ventures(www.preludeventures.com)</t>
  </si>
  <si>
    <t>55101-25</t>
  </si>
  <si>
    <t>Nativo</t>
  </si>
  <si>
    <t>PostRelease</t>
  </si>
  <si>
    <t>Bidtellect, Bynder, Uberflip, StackAdapt, Nanigans, Innovid, AppNexus, PadSquad, PowerLinks, Octoly, NewsCred, Opal (Marketing), my6sense, Percolate, Yieldmo, Sonobi, YouAPPi, inPowered, VideoAmp, Sharethrough, ScribbleLive, Jun Group, TripleLift, Integral Ad Science, Iterable, NinthDecimal, Pressly, Flashstock, Outbrain, Tubular (Video Intelligence Platform), AcuityAds Holdings, ViralGains, Pixability, Teads, Exponential Interactive, Crisp Mobile, Polar (Content Technology), Sprout Social, PubMatic, Choozle, Viewbix, SpotX, PlaceIQ, TUNE, BuzzCity, Kiosked, HubSpot, Taboola, Virool, SugarCRM, Alinean, Index Exchange, Spot.IM, TubeMogul, Smaato, Nielsen Marketing Cloud, Altitude Digital, Feedburner, Shareaholic, Exovue Holdings, Rubicon Project, ShareThis, OpenX, Leadspace, Marketo, SAS Institute, Kargo Global, Visible Measures, Millennial Media, NativeX Holdings, Amazon Web Services</t>
  </si>
  <si>
    <t>Provider of advertising technology platform and tools intended to help in influence every step of the customer journey. The company's advertising technology platform and tools delivers meaningful content experiences, automates the way of distribution and analyzing the impact of branded content and powers a complete catalog of native formats distributed across premium publisher-direct inventory, enabling media companies to sell, deploy and optimize paid native content across their properties.</t>
  </si>
  <si>
    <t>advertising technology, advertising technology platform, advertising technology service, branding content, native advertising</t>
  </si>
  <si>
    <t>www.nativo.com</t>
  </si>
  <si>
    <t>43047-82P</t>
  </si>
  <si>
    <t>Justin Choi</t>
  </si>
  <si>
    <t>justin.choi@nativo.com</t>
  </si>
  <si>
    <t>+1 (562) 285-0297</t>
  </si>
  <si>
    <t>200 North Sepulveda Boulevard</t>
  </si>
  <si>
    <t>Suite 850, El Segundo</t>
  </si>
  <si>
    <t>90245</t>
  </si>
  <si>
    <t>+1 (310) 658-5221</t>
  </si>
  <si>
    <t>The company raised $4.67 million of Series B1 venture funding from undisclosed investors on February 21, 2019, putting the company's pre-money valuation at $140 million. Previously, the company raised $20 million of Series B venture funding led by Advance Venture Partners on June 30, 2015, putting the company's pre-money valuation at $90.27 million. RezVen Partners, Greycroft Partners and other undisclosed investors also participated in the round. The company intends to use the funding to expand its platform solutions, scale operations and expand the business into international markets.</t>
  </si>
  <si>
    <t>Advance Venture Partners, Bertelsmann Digital Media Investments, e.ventures, Greycroft, Individual Investor, Infinity Ventures, Mesa Ventures, RezVen Partners, Richard Thompson, Signia Venture Partners, Wavemaker Partners</t>
  </si>
  <si>
    <t>Advance Venture Partners(www.avp.vc), Bertelsmann Digital Media Investments(www.bdmifund.com), e.ventures(www.eventures.vc), Greycroft(www.greycroft.com), Infinity Ventures(www.infinityventures.com), Mesa Ventures(www.mesa.vc), RezVen Partners(www.rezven.com), Signia Venture Partners(www.signiaventurepartners.com), Wavemaker Partners(www.wavemaker.vc)</t>
  </si>
  <si>
    <t>Cooley(Legal Advisor), Daversa Partners(Consulting), Helpful Networks(Consulting)</t>
  </si>
  <si>
    <t>Bridge Bank(Debt Financing), Cooley(Legal Advisor)</t>
  </si>
  <si>
    <t>90310-69</t>
  </si>
  <si>
    <t>Narvar</t>
  </si>
  <si>
    <t>Riversand, Edison.ai</t>
  </si>
  <si>
    <t>Provider of a supply chain management platform created to simplify the everyday lives of consumers. The company's platform provides seamless support in shipping, tracking, notifications and returns with algorithms to understand trends, predict behavior and optimize customer experience, enabling retailers to convert customers, engage with them and promote brand loyalty.</t>
  </si>
  <si>
    <t>E-Commerce, Mobile, SaaS</t>
  </si>
  <si>
    <t>retail platform, shipping platform, supply chain platform</t>
  </si>
  <si>
    <t>www.corp.narvar.com</t>
  </si>
  <si>
    <t>2014: 13, 2015: 37, 2016: 78</t>
  </si>
  <si>
    <t>84166-57P</t>
  </si>
  <si>
    <t>Amit Sharma</t>
  </si>
  <si>
    <t>amit@narvar.com</t>
  </si>
  <si>
    <t>+1 (650) 585-9550</t>
  </si>
  <si>
    <t>50 Beale Street</t>
  </si>
  <si>
    <t>info@narvar.com</t>
  </si>
  <si>
    <t>The company raised $30 million of Series C venture funding in a deal led by Accel on August 28, 2018, putting the company's pre-money valuation at $315 million. Salesforce Ventures, Scale Venture Partners and Battery Ventures also participated in the round. The company intends to use the funds to ramp up product innovation and R&amp;D efforts while aggressively hiring to support its international growth. The round brings $64 million in funding to date.</t>
  </si>
  <si>
    <t>Accel, Alex Bard, Battery Ventures, Commerce Ventures, Crosscut Ventures, Freestyle Capital, Fung Capital, Haystack, Hero City at Draper University, High Alpha, RiverPark Ventures, Salesforce Ventures, Scale Venture Partners, Social Leverage, Specialized Types, Sumit Gupta</t>
  </si>
  <si>
    <t>Accel(www.accel.com), Battery Ventures(www.battery.com), Commerce Ventures(www.commercevc.com), Crosscut Ventures(www.crosscut.vc), Freestyle Capital(www.freestyle.vc), Fung Capital(www.fungcap.com), Haystack(haystack.vc), Hero City at Draper University(www.herocity.com), High Alpha(www.highalpha.com), RiverPark Ventures(www.riverparkvc.com), Scale Venture Partners(www.scalevp.com), Social Leverage(www.socialleverage.com), Specialized Types(www.specializedtypes.com)</t>
  </si>
  <si>
    <t>Goodwin(Legal Advisor), Inventus Law(Legal Advisor)</t>
  </si>
  <si>
    <t>119745-64</t>
  </si>
  <si>
    <t>Narrativ</t>
  </si>
  <si>
    <t>Bam-x</t>
  </si>
  <si>
    <t>Provider of a media technology platform designed to build a better internet for shoppers. The company's patent-pending technology rewires publishers that review commercet, enabling users to unlock the true value of their content.</t>
  </si>
  <si>
    <t>AdTech, Artificial Intelligence &amp; Machine Learning, TMT</t>
  </si>
  <si>
    <t>content bidding platform, marketplace, media content bidding, media content platform, sustainable content, sustainable digital architecture</t>
  </si>
  <si>
    <t>www.narrativ.com</t>
  </si>
  <si>
    <t>2015: 8, 2017: 15, 2018: 25, 2019: 35</t>
  </si>
  <si>
    <t>106618-78P</t>
  </si>
  <si>
    <t>Shirley Chen</t>
  </si>
  <si>
    <t>shirley@narrativ.com</t>
  </si>
  <si>
    <t>hello@narrativ.com</t>
  </si>
  <si>
    <t>Act One Ventures, Blue Collective, Company (Office Space), FirstGrowth Venture Network, New Enterprise Associates, SAP.iO Foundry, Talis Capital, UCLA Ventures, Winklevoss Capital Management</t>
  </si>
  <si>
    <t>Act One Ventures(www.actoneventures.com), Blue Collective(www.bluecollective.com), Company (Office Space)(www.company.co), New Enterprise Associates(www.nea.com), SAP.iO Foundry(sap.io), Talis Capital(www.taliscapital.com), UCLA Ventures(www.ventures.ucla.edu), Winklevoss Capital Management(www.winklevosscapital.com)</t>
  </si>
  <si>
    <t>51232-24</t>
  </si>
  <si>
    <t>Nantero</t>
  </si>
  <si>
    <t>Pixelligent Technologies</t>
  </si>
  <si>
    <t>Developer of a memory technology designed to offer ultra-high density non-volatile memory. The company manufactures nonvolatile random access storage device using carbon nanotubes for smartphones, tablets, enterprise systems, notebook and desktop computers, enabling users to get semiconductor products that are nonvolatile like flash and have zero power consumption in standby mode.</t>
  </si>
  <si>
    <t>Manufacturing, Nanotechnology</t>
  </si>
  <si>
    <t>carbon nanotube, carbon nanotube electronics, flash memory, memory device, memory technology, next generation memory, next generation memory technology, nram tech, nram technology, random access memory, semiconductor devices</t>
  </si>
  <si>
    <t>www.nantero.com</t>
  </si>
  <si>
    <t>2006: 30, 2008: 60, 2015: 58, 2016: 72, 2019: 66</t>
  </si>
  <si>
    <t>35901-37P</t>
  </si>
  <si>
    <t>Greg Schmergel</t>
  </si>
  <si>
    <t>schmergel@nantero.com</t>
  </si>
  <si>
    <t>+1 (781) 932-5338</t>
  </si>
  <si>
    <t>25-B Olympia Avenue</t>
  </si>
  <si>
    <t>+1 (617) 558-4006</t>
  </si>
  <si>
    <t>info@nantero.com</t>
  </si>
  <si>
    <t>The company raised $29.7 million through the combination of debt and Series H venture funding from TEL Venture Capital, Dell Technologies Capital and Cisco Investments on October 10, 2018, putting the company's pre-money valuation at an estimated $380 million. Kingston Technology Company, China Fortune-Tech Capital and Schlumberger also participated in the round. The funds will be used to support the many customers currently bringing multiple products into the market, while also enabling new customers to begin development.</t>
  </si>
  <si>
    <t>180 Degree Capital, Bantam Group, Bill Tai, Charles River Ventures, China Fortune-Tech Capital, Cisco Investments, Dell Technologies Capital, Draper Fisher Jurvetson Management, Globespan Capital Partners, Individual Investor, Joe Caruso, Joseph Sanberg, Kingston Technology Company, NAV.VC, Schlumberger, Stata Venture Partners, TEL Venture Capital, Ullas Naik, United States Department of Defense, ZMT Capital</t>
  </si>
  <si>
    <t>Schlumberger Technology Investments</t>
  </si>
  <si>
    <t>180 Degree Capital(www.180degreecapital.com), Bantam Group(www.bantamgroup.com), Bill Tai(www.about.me/BillTai), Charles River Ventures(www.crv.com), China Fortune-Tech Capital(www.cftcapital.com), Cisco Investments(www.ciscoinvestments.com), Draper Fisher Jurvetson Management(www.dfj.com), Globespan Capital Partners(www.globespancapital.com), Kingston Technology Company(www.kingston.com), NAV.VC(www.nav.vc), Schlumberger(www.slb.com), TEL Venture Capital(www.tel.com/about/telvc.htm), United States Department of Defense(www.defense.gov), ZMT Capital(www.zmtcapital.com)</t>
  </si>
  <si>
    <t>50754-52</t>
  </si>
  <si>
    <t>Nanosys</t>
  </si>
  <si>
    <t>Cima NanoTech, QD Vision</t>
  </si>
  <si>
    <t>Developer of quantum dot technology for displays designed to deliver lifelike UltraHD viewing experience. The company's quantum dot technology makes displays brighter without draining power and delivers vivid color, lifelike brightness and power efficiency for various displays, enabling display screens with improved color performance and battery storage.</t>
  </si>
  <si>
    <t>Electronic Components*, Other Hardware</t>
  </si>
  <si>
    <t>dot technology, high dynamic range, inorganic nanostructure product, nanotechnology, quantum dots display</t>
  </si>
  <si>
    <t>www.nanosysinc.com</t>
  </si>
  <si>
    <t>2009: 97, 2010: 125, 2014: 103, 2015: 114, 2016: 120</t>
  </si>
  <si>
    <t>45857-08P</t>
  </si>
  <si>
    <t>Noland Granberry</t>
  </si>
  <si>
    <t>ngranberry@nanosysinc.com</t>
  </si>
  <si>
    <t>+1 (408) 240-6700</t>
  </si>
  <si>
    <t>233 South Hillview Drive</t>
  </si>
  <si>
    <t>+1 (408) 240-6900</t>
  </si>
  <si>
    <t>info@nanosysinc.com</t>
  </si>
  <si>
    <t>The company raised $10 million of Series H-2 venture funding from TEL Venture Capital on August 9, 2018, putting the company's pre-money valuation at $220 million.</t>
  </si>
  <si>
    <t>180 Degree Capital, Alexandria Venture Investments, Applied Ventures, ARCH Venture Partners, BOE Optoelectronics, California Public Employees Retirement System, CDIB BioScience Venture Management, CDIB Capital Group, Chiao Tung Bank, Coreo, CW Group, Docomo Innovations, El Dorado Ventures, H.B. Fuller Ventures, In-Q-Tel, Intel Capital, Kodak Venture Group, Lux Capital, Masters Capital Management, Medtronic, Polaris Partners, Prospect Venture Partners, Quanta Computer, SAIC Venture Capital, Samsung Venture Investment, TEL Venture Capital, Three Arch Partners, U.S. Department of Energy, UCLA Ventures, UOB Venture Management, Venrock, Wasatch Advisors</t>
  </si>
  <si>
    <t>180 Degree Capital(www.180degreecapital.com), ARCH Venture Partners(www.archventure.com), California Public Employees Retirement System(www.calpers.ca.gov), CDIB BioScience Venture Management(www.cdibbiosciencevc.com), CDIB Capital Group(www.cdibcapitalgroup.com), Chiao Tung Bank(www.ctbsvb.com), Coreo(www.coreo.de), CW Group(www.cwventures.com), Docomo Innovations(www.docomoinnovations.com), El Dorado Ventures(www.eldorado.com), In-Q-Tel(www.iqt.org), Intel Capital(www.intelcapital.com), Lux Capital(www.luxcapital.com), Masters Capital Management(www.masterscapital.com), Medtronic(www.medtronic.com), Polaris Partners(www.polarispartners.com), Prospect Venture Partners(www.prospectventures.com), Quanta Computer(www.quantatw.com), Samsung Venture Investment(www.samsungventures.com), TEL Venture Capital(www.tel.com/about/telvc.htm), Three Arch Partners(www.threearchpartners.com), U.S. Department of Energy(www.energy.gov), UCLA Ventures(www.ventures.ucla.edu), UOB Venture Management(www.uobvm.com.sg), Venrock(www.venrock.com), Wasatch Advisors(www.wasatchfunds.com)</t>
  </si>
  <si>
    <t>Cooley(Legal Advisor), GTK Partners(Advisor: General), Latham &amp; Watkins(Legal Advisor), Wilson Sonsini Goodrich &amp; Rosati(Legal Advisor)</t>
  </si>
  <si>
    <t>Bank of America Merrill Lynch(Underwriter), BlackRock TCP Capital(Debt Financing), CIBC Capital Markets(Underwriter), Cooley(Legal Advisor), EY(Accounting), Latham &amp; Watkins(Legal Advisor), Lehman Brothers(Underwriter), Needham &amp; Company(Underwriter), Obsidian Agency Services(Debt Financing), Wilson Sonsini Goodrich &amp; Rosati(Legal Advisor)</t>
  </si>
  <si>
    <t>42954-40</t>
  </si>
  <si>
    <t>NanoSteel</t>
  </si>
  <si>
    <t>Nanophase Technologies, CellTech Metals, Veloxint, Schaffner Manufacturing Company, California Nanotech</t>
  </si>
  <si>
    <t>Designer of nanostructured steel sheets and powder created to assist automakers in building lightweight vehicles. The company's nanostructured steel sheets and powder is a combination of thermal spray and welding consumables for various industrial automotive processes, enabling clients to avoid costly production processes, such as stamping shapes at high temperature and build new, affordable, lightweight vehicles to meet rising global fuel economy regulations.</t>
  </si>
  <si>
    <t>Industrial Supplies and Parts*</t>
  </si>
  <si>
    <t>advances materials, advances sheets steel, automotive sheets, laser cladding, nanostructure, nanostructured steel material, patented steel, proprietary alloy, steel alloy, steel material design, steel powder, thermal spray</t>
  </si>
  <si>
    <t>www.nanosteelco.com</t>
  </si>
  <si>
    <t>2014: 40, 2019: 36</t>
  </si>
  <si>
    <t>42668-38P</t>
  </si>
  <si>
    <t>David Paratore</t>
  </si>
  <si>
    <t>Board Member, President and Chief Executive Officer</t>
  </si>
  <si>
    <t>dparatore@nanosteelco.com</t>
  </si>
  <si>
    <t>+1 (401) 270-3549</t>
  </si>
  <si>
    <t>Providence, RI</t>
  </si>
  <si>
    <t>272 West Exchange Street</t>
  </si>
  <si>
    <t>Providence</t>
  </si>
  <si>
    <t>Rhode Island</t>
  </si>
  <si>
    <t>02903</t>
  </si>
  <si>
    <t>+1 (401) 270-9306</t>
  </si>
  <si>
    <t>info@nanosteelco.com</t>
  </si>
  <si>
    <t>The company raised $9.59 million of venture funding from undisclosed investors on May 21, 2018.</t>
  </si>
  <si>
    <t>Arsenal Growth, Chrysalix Venture Capital, Cycad Group, D'Ieteren, EnerTech Capital, Ervin Industries, Fairhaven Capital Partners, GM Ventures, Lear, Octane Capital Management, Société de Participation et de Gestion</t>
  </si>
  <si>
    <t>Arsenal Growth(www.arsenalgrowth.com), Chrysalix Venture Capital(www.chrysalix.com), Cycad Group(www.cycadvc.com), D'Ieteren(www.dieteren.com), EnerTech Capital(www.enertechcapital.com), Fairhaven Capital Partners(www.fairhavencapital.com), GM Ventures(www.gmventures.com), Lear(www.lear.com), Octane Capital Management(www.octanecapital.com), Société de Participation et de Gestion(www.spdg.be)</t>
  </si>
  <si>
    <t>Boston Financial &amp; Equity(Advisor: General), Hobbs &amp; Towne(Consulting)</t>
  </si>
  <si>
    <t>Hobbs &amp; Towne(Consulting), Honigman(Legal Advisor), Horizon Technology Finance(Debt Financing), Mintz, Levin, Cohn, Ferris, Glovsky and Popeo(Legal Advisor)</t>
  </si>
  <si>
    <t>86853-97</t>
  </si>
  <si>
    <t>Nanophotonica</t>
  </si>
  <si>
    <t>Developer of a nano-materials and fabrication technology designed for video displays and a range of other photoelectric devices. The company's technology uses Quantum Dot Light Emitting Diodes for purer and brighter colors with better efficiencies, less material waste and high throughput production lines, enabling organizations to manufacture better displays at reduced manufacturing cost.</t>
  </si>
  <si>
    <t>Other IT Services*</t>
  </si>
  <si>
    <t>display fabrication technology, fabrication techniques, nanomaterials, qled, quantum dots, quantum-dot light-emitting diode</t>
  </si>
  <si>
    <t>www.nanophotonica.com</t>
  </si>
  <si>
    <t>35137-54P</t>
  </si>
  <si>
    <t>Christopher Morton</t>
  </si>
  <si>
    <t>chris.morton@nanophotonica.net</t>
  </si>
  <si>
    <t>Lake Mary, FL</t>
  </si>
  <si>
    <t>7025 CR 46A</t>
  </si>
  <si>
    <t>Suite 1071, Number 322</t>
  </si>
  <si>
    <t>Lake Mary</t>
  </si>
  <si>
    <t>32746</t>
  </si>
  <si>
    <t>The company raised $3.42 million of venture funding in a deal led by Samsung Venture Investment on November 21, 2018, putting the company's pre-money valuation at $13 million. Deepwork Capital also participated in the round.</t>
  </si>
  <si>
    <t>Deepwork Capital, Florida Institute for the Commercialization of Public Research, Samsung Venture Investment</t>
  </si>
  <si>
    <t>Deepwork Capital(www.deepworkcapital.com), Florida Institute for the Commercialization of Public Research(www.florida-institute.com), Samsung Venture Investment(www.samsungventures.com)</t>
  </si>
  <si>
    <t>Merging Traffic(Lead Manager or Arranger)</t>
  </si>
  <si>
    <t>42159-61</t>
  </si>
  <si>
    <t>Nanomix</t>
  </si>
  <si>
    <t>Covalent Materials</t>
  </si>
  <si>
    <t>Abionic, Abbott Diagnostics, Siemens, Biomerieux International</t>
  </si>
  <si>
    <t>Provider of mobile POC testing solutions for use in or outside traditional hospital settings. The company offers a mobile diagnostic platform that performs multiple in-vitro diagnostic assays simultaneously from a single whole-blood or plasma sample. Solutions focus on critical care conditions where diagnostic information is needed in a short time frame to inform treatment decisions.</t>
  </si>
  <si>
    <t>Diagnostic Equipment*, Other Healthcare Services</t>
  </si>
  <si>
    <t>in-vitro-technologies, ivd product, mobile diagnostics, nanotechnology</t>
  </si>
  <si>
    <t>www.nano.com</t>
  </si>
  <si>
    <t>2014: 28, 2018: 16, 2019: 25</t>
  </si>
  <si>
    <t>40126-51P</t>
  </si>
  <si>
    <t>David Ludvigson</t>
  </si>
  <si>
    <t>dludvigson@nano.com</t>
  </si>
  <si>
    <t>+1 (510) 428-5300</t>
  </si>
  <si>
    <t>1440 Stanford Avenue</t>
  </si>
  <si>
    <t>+1 (510) 658-0425</t>
  </si>
  <si>
    <t>info@nano.com</t>
  </si>
  <si>
    <t>Alta Partners sold a stake in the company to an undisclosed buyer. Previously, the company raised $9 million in a combination of Series EE-1 and Series EE-2 funding from Gruener Ventures and other undisclosed investors on November 9, 2017, putting the company's pre-money valuation at $32.5 million. Previously, the company raised $12 million of Series DD venture funding from Gruener Ventures, Physio-Control and other undisclosed investors on January 30, 2014, putting the pre-money valuation at $33 million.</t>
  </si>
  <si>
    <t>180 Degree Capital, Apax Partners, Applied Ventures, EnerTech Capital, Gruener Ventures, Individual Investor, Northstar Ventures, Physio-Control, Saints Capital, Sevin Rosen Funds, Star Ventures</t>
  </si>
  <si>
    <t>Alta Partners</t>
  </si>
  <si>
    <t>180 Degree Capital(www.180degreecapital.com), Apax Partners(www.apax.com), EnerTech Capital(www.enertechcapital.com), Northstar Ventures(www.northstarventures.co.uk), Physio-Control(www.physio-control.com), Saints Capital(www.saintscapital.com), Sevin Rosen Funds(www.srfundstest.com), Star Ventures(www.star-ventures.com)</t>
  </si>
  <si>
    <t>Alta Partners(www.altapartners.com)</t>
  </si>
  <si>
    <t>O'Melveny &amp; Myers(Legal Advisor), Silicon Valley Bank(General Business Banking), Weaver Austin Villeneuve &amp; Sampson(Legal Advisor), Wilson Sonsini Goodrich &amp; Rosati(Legal Advisor)</t>
  </si>
  <si>
    <t>Healthios Capital Markets(Advisor: General), Weaver Austin Villeneuve &amp; Sampson(Legal Advisor), Wilson Sonsini Goodrich &amp; Rosati(Legal Advisor)</t>
  </si>
  <si>
    <t>170474-41</t>
  </si>
  <si>
    <t>Nanoguard Technologies</t>
  </si>
  <si>
    <t>Developer of a High Voltage Atmospheric Cold Plasma Technology (HVACP) designed to offer new sanitation method for food. The company's technology helps to preserve the freshness and wholesomeness of food while improving its safety from food-borne illness, providing food growers with a safe, effective, cost efficient and environmentally friendly tool to manage and reduce mycotoxins.</t>
  </si>
  <si>
    <t>crop preservation, crop preservation technology, food borne illness, food sanitation technology, food spoilage, grain detoxification, grain preservation, grain treatment, illness prevention</t>
  </si>
  <si>
    <t>2019: 6</t>
  </si>
  <si>
    <t>Filing (New)</t>
  </si>
  <si>
    <t>156730-78P</t>
  </si>
  <si>
    <t>Mark Hochwalt</t>
  </si>
  <si>
    <t>Founder &amp; Chief Operating Officer</t>
  </si>
  <si>
    <t>The company raised $6 million of Series A venture funding in a deal led by Yield Lab on May 13, 2019. Maumee Ventures, Bunge Ventures and Fulcrum Global Capital also participated in the round. The funds will be used to progress the its technology from lab-sized devices, scaling up to pilot stage and eventually to its initial revenue-producing commercial device. Previously, the company received $600,000 of grant funding from United States Department of Agriculture in 2018. The funds will be used to develop the plasma technology to reduce food waste.</t>
  </si>
  <si>
    <t>Bunge Ventures, Cultivation Capital, Fulcrum Global Capital, Maumee Ventures, United States Department of Agriculture, Yield Lab</t>
  </si>
  <si>
    <t>Cultivation Capital(www.cultivationcapital.com), Fulcrum Global Capital(www.fgcvc.com), Maumee Ventures(www.maumeeventures.com), United States Department of Agriculture(www.usda.gov), Yield Lab(www.theyieldlab.com)</t>
  </si>
  <si>
    <t>54830-08</t>
  </si>
  <si>
    <t>Nano Information Bio Materials</t>
  </si>
  <si>
    <t>NIB Materials</t>
  </si>
  <si>
    <t>Manufacturer of investment casting products for special alloys such as Titanium, Nickel, Cobalt as well as stainless steel and steel. The company supplies waste gate valve parts of car turbocharger and artificial joint parts of Femur and Tibial.</t>
  </si>
  <si>
    <t>Industrial Supplies and Parts*, Other Materials</t>
  </si>
  <si>
    <t>automobile parts, casting product, commercial parts, electronic industry parts, medical parts, valves parts</t>
  </si>
  <si>
    <t>www.nibtitan.com</t>
  </si>
  <si>
    <t>46548-82P</t>
  </si>
  <si>
    <t>Kang Jin</t>
  </si>
  <si>
    <t>+82 (0)63 212 4314</t>
  </si>
  <si>
    <t>Jeonju, South Korea</t>
  </si>
  <si>
    <t>251-21 Palbok-ro, Deokjin-gu</t>
  </si>
  <si>
    <t>Jeonju-si, Jeollabuk-do</t>
  </si>
  <si>
    <t>Jeonju</t>
  </si>
  <si>
    <t>561-330</t>
  </si>
  <si>
    <t>+82 (0)63 212 4317</t>
  </si>
  <si>
    <t>nib@nibtitan.com</t>
  </si>
  <si>
    <t>The company raised venture funding from Samsung Venture Investment on an undisclosed date.</t>
  </si>
  <si>
    <t>171385-30</t>
  </si>
  <si>
    <t>NaCa Fermentation</t>
  </si>
  <si>
    <t>Developer of encapsulated yeast fermenting technology designed to speed up and improve the fermentation process. The company's technology has applications in the distilling, brewing and wine industries, licensing their technology to producers, enabling them to improve their production capacity by utilizing their current production space.</t>
  </si>
  <si>
    <t>encapsulated yeast fermenting, fermenting, fermenting process, fermenting technology, yeast fermenting technology</t>
  </si>
  <si>
    <t>www.nacaferm.com</t>
  </si>
  <si>
    <t>159300-19P</t>
  </si>
  <si>
    <t>Ryan Meek</t>
  </si>
  <si>
    <t>+1 (208) 340-1338</t>
  </si>
  <si>
    <t>Beaverton, OR</t>
  </si>
  <si>
    <t>3800 South West Cedar Hills Boulevard</t>
  </si>
  <si>
    <t>Beaverton</t>
  </si>
  <si>
    <t>97005</t>
  </si>
  <si>
    <t>ryan@nacaferm.com</t>
  </si>
  <si>
    <t>The company joined Techstars and received $120,000 in funding on October 3, 2016. As a part of the transaction $100,000 was received in the form of convertible debt financing.</t>
  </si>
  <si>
    <t>Right Side Capital Management, Techstars, VertueLab, ZX Ventures</t>
  </si>
  <si>
    <t>Right Side Capital Management(www.rightsidecapital.com), Techstars(www.techstars.com), VertueLab(www.vertuelab.org), ZX Ventures(www.zx-ventures.com)</t>
  </si>
  <si>
    <t>101883-25</t>
  </si>
  <si>
    <t>Naborly</t>
  </si>
  <si>
    <t>Provider of an automated tenant screening platform intended to help landlords automatically and securely verify tenant's identity, income and employment. The company's platform uses artificial intelligence to automatically learn about neighborhoods across the United States and Canada, enabling clients to get a complete free credit report and criminal background check easily.</t>
  </si>
  <si>
    <t>Application Software*, Media and Information Services (B2B)</t>
  </si>
  <si>
    <t>Mobile, Real Estate Technology, SaaS</t>
  </si>
  <si>
    <t>intelligent tenants screening, online rental application, tenants information, tenants screening, tenants screening platform</t>
  </si>
  <si>
    <t>www.naborly.com</t>
  </si>
  <si>
    <t>93857-59P</t>
  </si>
  <si>
    <t>Dylan Lenz</t>
  </si>
  <si>
    <t>dylan@naborly.co</t>
  </si>
  <si>
    <t>+1 (844) 622-6759</t>
  </si>
  <si>
    <t>207 Adelaide Street East</t>
  </si>
  <si>
    <t>Unit 302</t>
  </si>
  <si>
    <t>M5A 1M8</t>
  </si>
  <si>
    <t>contact@naborly.co</t>
  </si>
  <si>
    <t>The company raised venture funding from Third Prime Capital on an undisclosed date. Previously, the company joined Y Combinator as part of the Winter 2018 batch in 2018 and received $120,000 in funding.</t>
  </si>
  <si>
    <t>Assurant Growth Investing, FundersClub, H. Barton Asset Management, Hardy Capital Partners, Picus Capital, ScaleUP Ventures, Third Prime, Village Global, Y Combinator</t>
  </si>
  <si>
    <t>Assurant Growth Investing(www.assurantgrowthinvesting.com), FundersClub(www.fundersclub.com), H. Barton Asset Management(bartonam.com), Hardy Capital Partners(www.hardycapital.com), Picus Capital(www.picuscap.com), ScaleUP Ventures(www.suv.vc), Third Prime(www.thirdprime.vc), Village Global(www.villageglobal.vc), Y Combinator(www.ycombinator.com)</t>
  </si>
  <si>
    <t>92732-86</t>
  </si>
  <si>
    <t>N3N</t>
  </si>
  <si>
    <t>Provider of an interactive control system software designed to help large enterprises visualize their operations. The company's interactive control system software uses video rendering technology to improve productivity and efficiency in intelligent operations centers by integrating multiple sources of video and data on a single user interface, enabling businesses to monitor and optimize their business operations.</t>
  </si>
  <si>
    <t>Internet of Things, SaaS, TMT</t>
  </si>
  <si>
    <t>data visualization, interactive control system, monitor business operations, video rendering technology, visual navigation</t>
  </si>
  <si>
    <t>www.n3n.co.kr</t>
  </si>
  <si>
    <t>55344-34P</t>
  </si>
  <si>
    <t>Jimmy Kim</t>
  </si>
  <si>
    <t>Co-Founder &amp; Chief of Global Business</t>
  </si>
  <si>
    <t>jimmy@sparklabsglobal.com</t>
  </si>
  <si>
    <t>6F, 10, Gukhoe-daero 76-gil Yeoungdeungpo-gu</t>
  </si>
  <si>
    <t>Guro-gu</t>
  </si>
  <si>
    <t>07238</t>
  </si>
  <si>
    <t>+82 (0)22 103 7900</t>
  </si>
  <si>
    <t>n3n@n3n-us.com</t>
  </si>
  <si>
    <t>The company raised an undisclosed amount of venture funding from Cisco Investments and Korea-Seoul Life Science Fund on September 28, 2014.</t>
  </si>
  <si>
    <t>Cisco Investments, Korea-Seoul Life Science Fund</t>
  </si>
  <si>
    <t>Cisco Investments(www.ciscoinvestments.com), Korea-Seoul Life Science Fund(www.kslsfund.com)</t>
  </si>
  <si>
    <t>Tech Futures Group(Advisor: General)</t>
  </si>
  <si>
    <t>54826-21</t>
  </si>
  <si>
    <t>N&amp;P Technologies</t>
  </si>
  <si>
    <t>NNP</t>
  </si>
  <si>
    <t>Provider of point of sale products. The company offers various multinational hardware products which includes POS products, printer, keyboard, customer display and other products in South Korea.</t>
  </si>
  <si>
    <t>Computers, Parts and Peripherals*, Electronic Components</t>
  </si>
  <si>
    <t>hardware equipment, point of sale product, printer</t>
  </si>
  <si>
    <t>www.nnptech.com</t>
  </si>
  <si>
    <t>119859-13P</t>
  </si>
  <si>
    <t>Stephen song</t>
  </si>
  <si>
    <t>ssong@nnptech.com</t>
  </si>
  <si>
    <t>+82 (0)22 083 1800</t>
  </si>
  <si>
    <t>Gyengi-do, South Korea</t>
  </si>
  <si>
    <t>Number A-1110~1113 SK Technopark, Haan-ro 60</t>
  </si>
  <si>
    <t>Gwangmyeong-si</t>
  </si>
  <si>
    <t>Gyengi-do</t>
  </si>
  <si>
    <t>423-795</t>
  </si>
  <si>
    <t>+82 (0)22 083 1830</t>
  </si>
  <si>
    <t>wyoh@nnptech.com</t>
  </si>
  <si>
    <t>129650-23</t>
  </si>
  <si>
    <t>Mythic</t>
  </si>
  <si>
    <t>Isocline Engineering</t>
  </si>
  <si>
    <t>Developer of a graphic processing units ICs designed to deliver desktop grade GPUs in a button sized chip. The company's processor performs hybrid digital and analog calculation untethered inside flash arrays without compromising performance, power life and accuracy, enabling consumer electronics, wearable and security as well as monitoring manufacturers to deliver the availability, responsiveness, seamless integration and uncompromised privacy that consumers demand.</t>
  </si>
  <si>
    <t>ai platform, artificial intelligence platform, artificial intelligence system, computer vision, local ai, microchip technology</t>
  </si>
  <si>
    <t>www.mythic-ai.com</t>
  </si>
  <si>
    <t>2018: 45, 2019: 95</t>
  </si>
  <si>
    <t>151726-60P</t>
  </si>
  <si>
    <t>Michael Henry</t>
  </si>
  <si>
    <t>mike.henry@mythic-ai.com</t>
  </si>
  <si>
    <t>805 Veterans Boulevard</t>
  </si>
  <si>
    <t>info@mythic-ai.com</t>
  </si>
  <si>
    <t>The company raised $23.51 million of Series B1 venture funding from undisclosed investors on May 9, 2019, putting the company's pre-money valuation at $220 million.</t>
  </si>
  <si>
    <t>AME Cloud Ventures, Andreas Von Bechtolsheim, Data Collective, Draper Fisher Jurvetson Management, Half Court Ventures, In-Q-Tel, Lockheed Martin Ventures, Lux Capital, National Science Foundation, SoftBank Ventures Asia, United States Air Force, United States Department of Defense, University of Michigan Endowment</t>
  </si>
  <si>
    <t>AME Cloud Ventures(www.amecloudventures.com), Data Collective(www.dcvc.com), Draper Fisher Jurvetson Management(www.dfj.com), Half Court Ventures(www.halfcourt.vc), In-Q-Tel(www.iqt.org), Lux Capital(www.luxcapital.com), National Science Foundation(seedfund.nsf.gov), SoftBank Ventures Asia(www.softbank.co.kr), United States Air Force(www.airforce.com), United States Department of Defense(www.defense.gov), University of Michigan Endowment(www.umich.edu)</t>
  </si>
  <si>
    <t>135939-52</t>
  </si>
  <si>
    <t>Myriota</t>
  </si>
  <si>
    <t>Globecomm</t>
  </si>
  <si>
    <t>Provider of low cost satellite IoT connectivity products designed to revolutionize satellite communications. The company's products include advanced terminals, infrastructure and applications for the Satellite Internet of Things (SIoT) that addresses the markets for data-driven agriculture, oil and gas, mining, environmental monitoring and defense, enabling clients to access high value small data in remote locations at low cost.</t>
  </si>
  <si>
    <t>Other IT Services, Systems and Information Management*, Wireless Communications Equipment</t>
  </si>
  <si>
    <t>connectivity product, internet of things, wireless communication</t>
  </si>
  <si>
    <t>www.myriota.com</t>
  </si>
  <si>
    <t>65021-23P</t>
  </si>
  <si>
    <t>Alex Grant</t>
  </si>
  <si>
    <t>alex.grant@myriota.com</t>
  </si>
  <si>
    <t>+61 (0)8 7222 4784</t>
  </si>
  <si>
    <t>Adelaide, Australia</t>
  </si>
  <si>
    <t>25 Chesser Street</t>
  </si>
  <si>
    <t>Adelaide</t>
  </si>
  <si>
    <t>South Australia</t>
  </si>
  <si>
    <t>5000</t>
  </si>
  <si>
    <t>enquiries@myriota.com</t>
  </si>
  <si>
    <t>The company raised $15 million of Series A venture funding in a deal led by Main Sequence Ventures and Blue Sky Alternative Investments on March 26, 2018. Right Click Capital, Singtel Innov8, Boeing HorizonX and University of South Australia Endowment also participated in the round. The company will use the funds to to accelerate its growth by launching more satellites, delivering revolutionary large-scale IoT deployments and expanding its global operations.</t>
  </si>
  <si>
    <t>Blue Sky Alternative Investments, Boeing HorizonX, exactEarth, Main Sequence Ventures, Right Click Capital, Singtel Innov8, University of South Australia Endowment</t>
  </si>
  <si>
    <t>Institute for Telecommunications Research</t>
  </si>
  <si>
    <t>Blue Sky Alternative Investments(www.blueskyfunds.com.au), exactEarth(www.exactearth.com), Main Sequence Ventures(www.mseq.vc), Right Click Capital(www.rightclickcapital.com), Singtel Innov8(innov8.singtel.com), University of South Australia Endowment(www.unisa.edu.au)</t>
  </si>
  <si>
    <t>Institute for Telecommunications Research(www.itr.unisa.edu.au)</t>
  </si>
  <si>
    <t>Spin-Off</t>
  </si>
  <si>
    <t>98881-48</t>
  </si>
  <si>
    <t>MyMusicTaste</t>
  </si>
  <si>
    <t>Stagelink</t>
  </si>
  <si>
    <t>Provider of a crowdsourcing platform intended to plan concerts and music fests. The company's crowdsourcing platform brings together fans, artists, and promoters to support and organize concerts all around the world, enabling fans and users to start a movement and get heard by their favorite artists, while facilitating promoters and artists' tour planning process.</t>
  </si>
  <si>
    <t>Information Services (B2C), Movies, Music and Entertainment, Social/Platform Software*</t>
  </si>
  <si>
    <t>concerts, concerts information, concerts live streaming, concerts making, crowdsourcing platform, organizes live concerts</t>
  </si>
  <si>
    <t>www.mymusictaste.com</t>
  </si>
  <si>
    <t>83072-17P</t>
  </si>
  <si>
    <t>Ethan Lee</t>
  </si>
  <si>
    <t>ethan@mymusictaste.com</t>
  </si>
  <si>
    <t>4F, Hoerim Building</t>
  </si>
  <si>
    <t>Eunjuro 130-gil 14</t>
  </si>
  <si>
    <t>Gangnam-gu</t>
  </si>
  <si>
    <t>06098</t>
  </si>
  <si>
    <t>The company raised $11 million of Series C venture funding in a deal led by KTB Network on November 8, 2017. Stonebridge Capital, Yellow Dog, Softbank Ventures Korea, Samsung Venture Investment Corporation, Formation 8, Bokwang Investment and Golden Gate Ventures also participated in the round. The funds will be used to expand into more genres as well as plans to open regional offices in Los Angeles, Europe and Southeast Asia and strengthen its data science and engineering team.</t>
  </si>
  <si>
    <t>Bokwang, DT Capital Partners, Formation 8, Golden Gate Ventures, KTB Network, Partners Investment, Samsung Venture Investment, SoftBank Ventures Asia, Startup Sauna, Stonebridge Capital, Timewise Investment</t>
  </si>
  <si>
    <t>Bokwang(www.bokwang.com), DT Capital Partners(www.dtcap.com), Formation 8(www.formation8.com), Golden Gate Ventures(www.goldengate.vc), Partners Investment(www.partnersi.co.kr), Samsung Venture Investment(www.samsungventures.com), SoftBank Ventures Asia(www.softbank.co.kr), Startup Sauna(www.startupsauna.com), Stonebridge Capital(www.stonebridge.co.kr)</t>
  </si>
  <si>
    <t>52823-89</t>
  </si>
  <si>
    <t>Wilhelma</t>
  </si>
  <si>
    <t>Archives.com, PeekYou, Geni</t>
  </si>
  <si>
    <t>Provider of a DNA testing services intended to create a family tree and search family members. The company's DNA testing services helps members to explore their history and reunite with long-lost relatives, enabling members to get to know about their ethnic family backgrounds.</t>
  </si>
  <si>
    <t>Information Services (B2C), Social/Platform Software*</t>
  </si>
  <si>
    <t>Life Sciences, TMT</t>
  </si>
  <si>
    <t>dna test, dna testing, family history, genealogy website</t>
  </si>
  <si>
    <t>www.myheritage.com</t>
  </si>
  <si>
    <t>2014: 125, 2016: 208, 2018: 430</t>
  </si>
  <si>
    <t>44486-74P</t>
  </si>
  <si>
    <t>Gilad Japhet</t>
  </si>
  <si>
    <t>gilad@myheritage.com</t>
  </si>
  <si>
    <t>+972 (0)3 628 0000</t>
  </si>
  <si>
    <t>Or Yehuda, Israel</t>
  </si>
  <si>
    <t>P.O. Box 50</t>
  </si>
  <si>
    <t>Terminal Park</t>
  </si>
  <si>
    <t>Or Yehuda</t>
  </si>
  <si>
    <t>60250</t>
  </si>
  <si>
    <t>The company raised $33 million of venture funding from Accel, Bessemer Venture Partners and Index Ventures (UK) on December 3, 2013. Saul Klein also participated in this round.</t>
  </si>
  <si>
    <t>Accel, Ambient Sound Investments, Bessemer Venture Partners, Cross Creek, David Sacks, Gigi Levy-Weiss, Hasso Plattner Ventures, Index Ventures (UK), Individual Investor, LocalGlobe, Neuhaus Partners, Saul Klein</t>
  </si>
  <si>
    <t>Accel(www.accel.com), Ambient Sound Investments(www.asi.ee), Bessemer Venture Partners(www.bvp.com), Cross Creek(www.crosscreek.vc), Hasso Plattner Ventures(www.hp-ventures.com), Index Ventures (UK)(www.indexventures.com), LocalGlobe(www.localglobe.vc), Neuhaus Partners(www.neuhauspartners.com)</t>
  </si>
  <si>
    <t>Bounty M&amp;R(Consulting)</t>
  </si>
  <si>
    <t>231938-83</t>
  </si>
  <si>
    <t>MyDadao</t>
  </si>
  <si>
    <t>Avenue Car</t>
  </si>
  <si>
    <t>Operator of a car-sharing platform. The company's fleet comprises predominantly of electric cars. It uses data analysis to make major decision like the selection of cities, management of parking charges and recharging of the cars.</t>
  </si>
  <si>
    <t>Big Data, Car-Sharing, Industrials, LOHAS &amp; Wellness, Mobile, Ridesharing, TMT</t>
  </si>
  <si>
    <t>carsharing application, carsharing business, carsharing platform, shared car, shared transportation services, travel platform</t>
  </si>
  <si>
    <t>www.mydadao.com</t>
  </si>
  <si>
    <t>191856-97P</t>
  </si>
  <si>
    <t>Liu Hui</t>
  </si>
  <si>
    <t>liu@mydadao.com</t>
  </si>
  <si>
    <t>+86 (0)40 0616 6161</t>
  </si>
  <si>
    <t>The company raised an undisclosed amount of venture funding in a deal led by Bertelsmann Asia Investments on March 16, 2018. Baidu Ventures, Sequoia Capital China and Volcanics Venture also participated in the round.</t>
  </si>
  <si>
    <t>Baidu Ventures, Bertelsmann Asia Investments, Sequoia Capital China, Volcanics Venture</t>
  </si>
  <si>
    <t>Baidu Ventures(www.bv.ai), Bertelsmann Asia Investments(www.baifund.com), Sequoia Capital China(www.sequoiacap.com/china), Volcanics Venture(www.volcanics.com)</t>
  </si>
  <si>
    <t>61568-20</t>
  </si>
  <si>
    <t>MycoTechnology</t>
  </si>
  <si>
    <t>Campus (Food Ingredients)</t>
  </si>
  <si>
    <t>Provider of food technology services designed to improve nutritional characteristics of food products. The company's food technology services develop a novel food processing platform using gourmet fungi to transform agricultural products to improve taste, value and nutritional characteristics, enabling food producers to incorporate healthier ingredients and improve brand association.</t>
  </si>
  <si>
    <t>Distributors/Wholesale*</t>
  </si>
  <si>
    <t>AgTech, LOHAS &amp; Wellness</t>
  </si>
  <si>
    <t>agricultural product, food technology, food technology services, food test, gourmet fungi, nutritional food</t>
  </si>
  <si>
    <t>redesign.mycotechcorp.com</t>
  </si>
  <si>
    <t>2015: 10, 2016: 25</t>
  </si>
  <si>
    <t>61950-52P</t>
  </si>
  <si>
    <t>Alan Hahn</t>
  </si>
  <si>
    <t>alan@mycotechcorp.com</t>
  </si>
  <si>
    <t>+1 (720) 897-9306</t>
  </si>
  <si>
    <t>Aurora, CO</t>
  </si>
  <si>
    <t>3155 North Chambers Road</t>
  </si>
  <si>
    <t>Aurora</t>
  </si>
  <si>
    <t>80011</t>
  </si>
  <si>
    <t>The company raised $30.49 million of Series C venture funding in a deal led by S2G Ventures (Seed 2 Growth), Middleland Capital and ADM Capital on January 30, 2019, putting the company's pre-money valuation at $100 million. Eighteen94 Capital, Continental Grain Company, Tyson Ventures, Bunge Ventures, Kellogg Capital Group (Specialist Operations) and DNS-Hiitake LLC also participated in the round. The funds will be used to hire new employees.</t>
  </si>
  <si>
    <t>ADM Capital, Ajinomoto, Bunge (US), Bunge Ventures, Closed Loop Capital, Continental Grain Company, DNS-Hiitake LLC, Eighteen94 Capital, Emerson Collective, Ephraim Lindenbaum, Eric Mccarthey, GreatPoint Ventures, Kinetic Ventures, Kingdom Capital Group, Middleland Capital, Paul Grossinger, S2G Ventures, Seventure Partners, Tao Capital Partners, TML-Invest, Tyson Ventures, Wavemaker Partners, Windy City</t>
  </si>
  <si>
    <t>ADM Capital(www.admcapital.com), Ajinomoto(www.ajinomoto.co.jp), Bunge (US)(www.bunge.com), Closed Loop Capital(www.closedloopcapital.com), Continental Grain Company(www.contigroup.com), Eighteen94 Capital(www.1894capital.com), Emerson Collective(www.emersoncollective.com), GreatPoint Ventures(www.gpv.com), Kinetic Ventures(www.kineticventures.com), Middleland Capital(www.middlelandcap.com), Paul Grossinger(www.paulgrossinger.com), S2G Ventures(www.s2gventures.com), Seventure Partners(www.seventure.fr), Tao Capital Partners(www.taocap.com), Wavemaker Partners(www.wavemaker.vc)</t>
  </si>
  <si>
    <t>Cody Peak Advisors(Advisor: General), Perkins Coie(Legal Advisor), Pillsbury Winthrop Shaw Pittman(Legal Advisor), Rabobank America(Debt Financing)</t>
  </si>
  <si>
    <t>65836-45</t>
  </si>
  <si>
    <t>Music Securities</t>
  </si>
  <si>
    <t>Operator of a Japanese crowdfunding company. The company uses its crowdfunding Website that allows businesses to attract banks or venture capitalists to seek finance for specific projects and raise money from a large number of individual contributors.</t>
  </si>
  <si>
    <t>Other Financial Services, Social/Platform Software*</t>
  </si>
  <si>
    <t>crowdfunding services, funding platform</t>
  </si>
  <si>
    <t>www.musicsecurities.com</t>
  </si>
  <si>
    <t>111411-01P</t>
  </si>
  <si>
    <t>Masami Komatsu</t>
  </si>
  <si>
    <t>masami@musicsecurities.com</t>
  </si>
  <si>
    <t>1-6-1 Otemachi Building</t>
  </si>
  <si>
    <t>3rd Floor, Chiyoda</t>
  </si>
  <si>
    <t>Otemachi</t>
  </si>
  <si>
    <t>The company raised venture funding from Ventures United, Recruit Strategic Partners and Mobile Internet Capital on an undisclosed date. SMBC Venture Capital, Oita Venture Capital, Shigagin Lease Capital, Mitsubishi UFJ Capital, Hiroshima Venture Capital, Iyo Bank and other undisclosed investors also participated in the round. FinTech Global also participated.</t>
  </si>
  <si>
    <t>FinTech Global, Hiroshima Venture Capital, Iyo Bank, Mitsubishi UFJ Capital, Mobile Internet Capital, Recruit Strategic Partners, Shigagin Lease Capital, SMBC Venture Capital, Venture United</t>
  </si>
  <si>
    <t>FinTech Global(www.fgi.co.jp), Hiroshima Venture Capital(www.h-vc.co.jp), Iyo Bank(www.iyobank.co.jp), Mitsubishi UFJ Capital(www.mucap.co.jp), Mobile Internet Capital(www.mickk.com), Recruit Strategic Partners(recruitstrategicpartners.com), Shigagin Lease Capital(www.shigagin-slc.co.jp), SMBC Venture Capital(www.smbc-vc.co.jp), Venture United(www.ventureunited.jp)</t>
  </si>
  <si>
    <t>52738-39</t>
  </si>
  <si>
    <t>MTPV</t>
  </si>
  <si>
    <t>MTPV Power Corporation</t>
  </si>
  <si>
    <t>MicroPower Global, ReGen Power Systems, Cool Energy, RedWave Energy, Climeon, Alphabet Energy</t>
  </si>
  <si>
    <t>Developer of an alternative energy production platform intended to offer micron-gap thermal photovoltaic products. The company's platform offers semiconductor chips that are used in industrial environments for converting waste heat to electricity, enabling consumers to get an alternative source of energy at a very reasonable price.</t>
  </si>
  <si>
    <t>electricity saving, heat conversion, micron-gap thermal photovoltaic, solar device</t>
  </si>
  <si>
    <t>www.mtpv.com</t>
  </si>
  <si>
    <t>2009: 3, 2010: 6, 2011: 8, 2012: 9, 2013: 14, 2014: 14, 2015: 14, 2016: 14</t>
  </si>
  <si>
    <t>47986-75P</t>
  </si>
  <si>
    <t>David Mather</t>
  </si>
  <si>
    <t>Co-Founder, Vice Chairman, Chief Executive Officer &amp; President</t>
  </si>
  <si>
    <t>dmather@mtpv.com</t>
  </si>
  <si>
    <t>+1 (512) 246-1988</t>
  </si>
  <si>
    <t>13091 Pond Springs Road</t>
  </si>
  <si>
    <t>78729</t>
  </si>
  <si>
    <t>+1 (512) 246-1978</t>
  </si>
  <si>
    <t>info@mtpv.com</t>
  </si>
  <si>
    <t>The company raised $17.9 million of Series C venture funding from lead investor LakeBridge Capital on September 24, 2018, putting the company's pre-money valuation at $105 million. Total Energy Ventures, Sabic Ventures and other undisclosed investors also participated. The company will use the funds to expand operations and its business reach.</t>
  </si>
  <si>
    <t>Applied Ventures, Clean Energy Venture Group, Ensys Capital, LakeBridge Capital, Massachusetts Clean Energy Center, MassVentures, National Science Foundation, Northwater Capital Management, Point Financial, SABIC Ventures, Spinnaker Capital Group, Total Energy Ventures, Venture Development Center at the University of Massachusetts Boston</t>
  </si>
  <si>
    <t>Clean Energy Venture Group(www.cevg.com), Ensys Capital(www.ensyscapital.com), LakeBridge Capital(www.lakebridgecapital.com), Massachusetts Clean Energy Center(www.masscec.com), MassVentures(www.mass-ventures.com), National Science Foundation(seedfund.nsf.gov), Northwater Capital Management(www.northwatercapital.com), Point Financial(www.pointfin.com), SABIC Ventures(www.ventures.sabic.com), Spinnaker Capital Group(www.spinnakercapital.com)</t>
  </si>
  <si>
    <t>119931-58</t>
  </si>
  <si>
    <t>Msg.Ai</t>
  </si>
  <si>
    <t>Flamingo AI, OwnerListens, Slack, Red e App, Kore.ai, Parlo (AI Workforce Services), Smooch, Pypestream, Iridize, Converse.AI, WalkMe, Directly, Beekeeper, Ancile Solutions, Rant &amp; Rave, RedBooth, ForeSee Results, Moxtra</t>
  </si>
  <si>
    <t>Developer of an artificial intelligence based messaging platform designed to unlock the power of one-to-one relationships across the entire customer journey. The company's platform offers an application for marketing, commerce and customer service, enabling businesses to contextually engage and build relationships with their customers by analyzing trending topics, conversation sentiment and other factors.</t>
  </si>
  <si>
    <t>Application Software, Communication Software, Social/Platform Software*</t>
  </si>
  <si>
    <t>Artificial Intelligence &amp; Machine Learning, Big Data, Mobile, SaaS, TMT</t>
  </si>
  <si>
    <t>artificial intelligence software, consumer engagement application, consumer messaging platform, messaging app</t>
  </si>
  <si>
    <t>www.msg.ai</t>
  </si>
  <si>
    <t>68249-53P</t>
  </si>
  <si>
    <t>Emily Cummins</t>
  </si>
  <si>
    <t>Public Relations Consultant</t>
  </si>
  <si>
    <t>emily@msg.ai</t>
  </si>
  <si>
    <t>+1 (866) 716-7926</t>
  </si>
  <si>
    <t>The company raised $4.18 million through the combination of Seed 1 and Seed 2 funding from Fin Venture Capital on March 23, 2017, putting the company's pre-money valuation at $20 million.</t>
  </si>
  <si>
    <t>Adam Bain, Advancit Capital, Bowery Capital, BoxGroup, Chris Wiggins, Demis Hassabis, dunnhumby Ventures, Fin Venture Capital, Gokul Rajaram, Greg Brockman, Index Ventures (UK), Indicator Ventures, MDC Ventures, Mustafa Suleyman, Nikesh Arora, Paul Buchheit, Richard Costolo, Salesforce Ventures, Sand Hill East, Sterling Partners Private Equity, Upslope Ventures, Y Combinator</t>
  </si>
  <si>
    <t>Advancit Capital(www.advancitcapital.com), Bowery Capital(www.bowerycap.com), BoxGroup(www.boxgroup.com), Fin Venture Capital(www.finvc.co), Greg Brockman(www.gregbrockman.com), Index Ventures (UK)(www.indexventures.com), Indicator Ventures(www.indicatorventures.com), MDC Ventures(www.mdcventures.vc), Sand Hill East(www.sandhilleast.net), Sterling Partners Private Equity(privateequity.sterlingpartners.com), Upslope Ventures(www.upslope.vc), Y Combinator(www.ycombinator.com)</t>
  </si>
  <si>
    <t>Sand Hill East(Consulting)</t>
  </si>
  <si>
    <t>169566-49</t>
  </si>
  <si>
    <t>MRSO</t>
  </si>
  <si>
    <t>Provider of an online platform intended to offer online reservation services for comprehensive medical checkups at various medical institutions. The company's online platform offers medical checkup reservation systems for medical institutions and also offers healthcare management support services for corporate employees and medical tourism services, enabling the clients to make informed decisions with regard to medical checkups.</t>
  </si>
  <si>
    <t>Application Software*, Information Services (B2C), Other Healthcare Technology Systems</t>
  </si>
  <si>
    <t>Digital Health, HealthTech, TMT</t>
  </si>
  <si>
    <t>medical checkup, medical checkup application, medical reservation, online reservation platform</t>
  </si>
  <si>
    <t>www.mrso.co.jp</t>
  </si>
  <si>
    <t>166537-00P</t>
  </si>
  <si>
    <t>Tsunegoroh Nishino</t>
  </si>
  <si>
    <t>17F Shiroyama Trust Tower</t>
  </si>
  <si>
    <t>4-3-1 Toranomon, Minato-ku</t>
  </si>
  <si>
    <t>105-6017</t>
  </si>
  <si>
    <t>info@mrso.jp</t>
  </si>
  <si>
    <t>The company raised JPY 420 million of venture funding from Aflac Corporate Ventures on April 12, 2017.</t>
  </si>
  <si>
    <t>Aflac Ventures</t>
  </si>
  <si>
    <t>Jafco(Underwriter)</t>
  </si>
  <si>
    <t>55470-61</t>
  </si>
  <si>
    <t>Mozio</t>
  </si>
  <si>
    <t>Provider of a urban mobility search engine intended to build a backbone of ground transportation worldwide. The company's platform integrates buses, trains, planes and ferries with local transportation options, enabling travel brands to drive customer loyalty and effectively monetize on every trip.</t>
  </si>
  <si>
    <t>Business/Productivity Software*, Media and Information Services (B2B), Social/Platform Software</t>
  </si>
  <si>
    <t>local transportation, travel search, travel search engine, urban mobility, urban mobility platform</t>
  </si>
  <si>
    <t>www.mozio.com</t>
  </si>
  <si>
    <t>2012: 3, 2014: 3, 2016: 65</t>
  </si>
  <si>
    <t>43842-70P</t>
  </si>
  <si>
    <t>David Litwak</t>
  </si>
  <si>
    <t>david@mozio.com</t>
  </si>
  <si>
    <t>+1 (855) 980-7669</t>
  </si>
  <si>
    <t>139 Townsend Street</t>
  </si>
  <si>
    <t>info@mozio.com</t>
  </si>
  <si>
    <t>The company joined Plug and Play Tech Center on and received an undisclosed amount in funding on October 10, 2016. Earlier, the company raised $4.42 million of seed funding in a deal led by Asset Management Ventures on July 5, 2016, putting the company's pre-money valuation at $13.26 million. Upslope Ventures, Transdev, JetBlue Technology Ventures, OS Fund, Summit, Corigin Ventures, Amidzad Partners, HOWZAT Partners, TEC Ventures, Techstars, Plug and Play Tech Center, Jeffrey Clarke, J.R. Johnson, Bradley Schwartz, David Bellet, Blake Woodard and Startup Studio Ventures also participated in the round.</t>
  </si>
  <si>
    <t>Amidzad Partners, Asset Management Ventures, Blake Woodard, Bradley Schwartz, Corigin Ventures, David Bellet, HOWZAT Partners, J.R. Johnson, Jeffrey Clarke, JetBlue Technology Ventures, MasterCard Start Path Accelerator, OS Fund, Plug and Play Tech Center, Startup Studio Ventures, Summit, TEC Ventures, Techstars, Transdev, Upslope Ventures</t>
  </si>
  <si>
    <t>Amidzad Partners(www.amidzad.com), Asset Management Ventures(www.assetman.com), Corigin Ventures(www.coriginventures.com), HOWZAT Partners(www.howzatpartners.com), JetBlue Technology Ventures(www.jetblueventures.com), MasterCard Start Path Accelerator(www.startpath.com), OS Fund(www.osfund.co), Plug and Play Tech Center(www.plugandplaytechcenter.com), Summit(www.summit.co), TEC Ventures(www.tec.vc), Techstars(www.techstars.com), Transdev(www.transdev.com), Upslope Ventures(www.upslope.vc)</t>
  </si>
  <si>
    <t>First Republic Bank(General Business Banking), Wilson Sonsini Goodrich &amp; Rosati(Legal Advisor)</t>
  </si>
  <si>
    <t>161778-25</t>
  </si>
  <si>
    <t>Mozaiq</t>
  </si>
  <si>
    <t>Provider of an open-software platform designed to accelerate interoperability in the smart home market. The company's open-software platform engages in the development of an open protocol smart home software platform which can be used for usage of home appliances, devices and services, enabling users to connect with consumer devices and services easily.</t>
  </si>
  <si>
    <t>Application Software*, Business/Productivity Software, Media and Information Services (B2B)</t>
  </si>
  <si>
    <t>open software, smart home market, smart home software</t>
  </si>
  <si>
    <t>www.mozaiq.io</t>
  </si>
  <si>
    <t>2016: 11, 2018: 20</t>
  </si>
  <si>
    <t>138785-32P</t>
  </si>
  <si>
    <t>Axel Godoy</t>
  </si>
  <si>
    <t>axel.godoy@mozaiq.io</t>
  </si>
  <si>
    <t>+49 (0)17 6616 6230 2</t>
  </si>
  <si>
    <t>Sonnenstrasse 23</t>
  </si>
  <si>
    <t>info@mozaiq.io</t>
  </si>
  <si>
    <t>The company was formed as a joint venture between Cisco Investments, ABB and Robert Bosch on March 30, 2015.</t>
  </si>
  <si>
    <t>ABB Group, Cisco Investments, Robert Bosch</t>
  </si>
  <si>
    <t>ABB Group(www.abb.com), Cisco Investments(www.ciscoinvestments.com), Robert Bosch(www.bosch.com)</t>
  </si>
  <si>
    <t>Apricum(Advisor: General)</t>
  </si>
  <si>
    <t>58349-35</t>
  </si>
  <si>
    <t>Moxtra</t>
  </si>
  <si>
    <t>Xebew</t>
  </si>
  <si>
    <t>RedBooth, Slack, Asana, Wooqer, Vee24, Basecamp, SAP, Mobilize (Application Software), Waygum, Vidyo, Dropbox, Parsable, Zinc, Crew, Tulip (Digital Manufacturing Platform), BlueJeans, Temasys, Quip, Evernote, Box, HipChat</t>
  </si>
  <si>
    <t>Developer of a client engagement platform designed to provide embeddable omnichannel collaboration solutions. The company's platform provides cloud-based project binders for managing, presenting and sharing files, photos and videos and is featured with private group-share functions, voice, annotation recording and real-time meeting capability, enabling businesses to enhance productivity together with a greater ability to reach remote customers and employees.</t>
  </si>
  <si>
    <t>business workflow software, collaboration platform, collaboration tracing, mobile collaboration, mobile collaboration application, omnichannel clients engagement</t>
  </si>
  <si>
    <t>www.moxtra.com</t>
  </si>
  <si>
    <t>2014: 24, 2015: 43</t>
  </si>
  <si>
    <t>36170-38P</t>
  </si>
  <si>
    <t>Subrah Iyar</t>
  </si>
  <si>
    <t>subrah@moxtra.com</t>
  </si>
  <si>
    <t>Suite 217</t>
  </si>
  <si>
    <t>info@moxtra.com</t>
  </si>
  <si>
    <t>The company raised an estimated $16 million of Series B venture funding from undisclosed investors on January 17, 2018, putting the company's pre-money valuation at $74 million.</t>
  </si>
  <si>
    <t>Barry Sternlicht, Cisco Investments, Global Brain, Hanhai Studio, Jaws Ventures, KDDI Ventures Program, Plug and Play-Singapore, Sinovation Ventures</t>
  </si>
  <si>
    <t>Cisco Investments(www.ciscoinvestments.com), Global Brain(www.globalbrains.com), Hanhai Studio(www.hanhaistudio.com), Sinovation Ventures(www.sinovationventures.com)</t>
  </si>
  <si>
    <t>42184-18</t>
  </si>
  <si>
    <t>Movius</t>
  </si>
  <si>
    <t>IP Unity, IP Unity Glenayre</t>
  </si>
  <si>
    <t>Mavenir Systems, Cellcrypt, Kaonsoft, Nexmo, Plivo, Open Market, Pervacio, FusionPipe, Clickatell, Good Technology</t>
  </si>
  <si>
    <t>Provider of cloud-based enterprise mobility services designed to streamline enterprise productivity and communications costs. The company's services address the needs for corporate compliance while maximizing productivity, enabling businesses and end-users to organize and analyze their enterprise mobile communications experience through separate work mobile phone lines on any BYOD or COPE device.</t>
  </si>
  <si>
    <t>Business/Productivity Software*, Other Communications and Networking, Systems and Information Management</t>
  </si>
  <si>
    <t>enterprise communication, enterprise mobile communication, enterprise mobility, messaging collaboration, network recording, video mail, voicemail</t>
  </si>
  <si>
    <t>www.moviuscorp.com</t>
  </si>
  <si>
    <t>2008: 154, 2009: 154, 2010: 154, 2014: 184, 2015: 201, 2019: 130</t>
  </si>
  <si>
    <t>FY 2005</t>
  </si>
  <si>
    <t>91203-76P</t>
  </si>
  <si>
    <t>Carol Gray</t>
  </si>
  <si>
    <t>carol.gray@moviuscorp.com</t>
  </si>
  <si>
    <t>+1 (770) 283-1000</t>
  </si>
  <si>
    <t>4450 River Green Parkway</t>
  </si>
  <si>
    <t>Suite 300, Duluth</t>
  </si>
  <si>
    <t>30096</t>
  </si>
  <si>
    <t>info@moviuscorp.com</t>
  </si>
  <si>
    <t>The company raised $45 million of Series D venture funding in a deal led by JPMorgan Chase on March 20, 2019, putting the company's pre-money valuation at $140 million. Anschutz Investment, PointGuard Ventures and New Enterprise Associates also participated in the round. The new funding will support a variety of initiatives as Movius drives global expansion, particularly in Europe and Asia, accelerates its product roadmap and scales to meet the mobility needs of businesses for compliance, cost-savings and customer engagement and of a new generation of employees who expect to use one mobile device that can separate work and personal lives seamlessly and securely.</t>
  </si>
  <si>
    <t>Anschutz Investment, Battery Ventures, Cipio Partners, Coral Group, Firsthand Capital Management, JPMorgan Chase, Kleiner Perkins, Lake Street Capital, Lighthouse Capital Partners, New Enterprise Associates, Northport Investments, Partech Partners, Pharus Capital Management, Pinnacle Ventures, PointGuard Ventures, Presidio Ventures, Sony Corporation of America, TeleSoft Partners, The Goldman Sachs Group, Waveland Capital Group</t>
  </si>
  <si>
    <t>Next47, TELUS Ventures</t>
  </si>
  <si>
    <t>Battery Ventures(www.battery.com), Cipio Partners(www.cipiopartners.com), Coral Group(www.coralgrp.com), Firsthand Capital Management(www.firsthandcapital.com), JPMorgan Chase(www.jpmorganchase.com), Kleiner Perkins(www.kleinerperkins.com), Lake Street Capital(www.lakestreetcapital.com), Lighthouse Capital Partners(lcpartners.com), New Enterprise Associates(www.nea.com), Northport Investments(www.northportinvestments.com), Partech Partners(www.partechpartners.com), Pinnacle Ventures(www.pinnacleven.com), PointGuard Ventures(www.pointguardventures.com), Presidio Ventures(www.presidio-ventures.com), Sony Corporation of America(www.sony.com), TeleSoft Partners(www.telesoftvc.com), The Goldman Sachs Group(www.goldmansachs.com), Waveland Capital Group(www.wavelandgroup.com)</t>
  </si>
  <si>
    <t>Next47(Next47.com), TELUS Ventures(ventures.telus.com)</t>
  </si>
  <si>
    <t>225758-08</t>
  </si>
  <si>
    <t>MotoRefi</t>
  </si>
  <si>
    <t>RateGenius, AutoPay Direct, Clearlane</t>
  </si>
  <si>
    <t>Provider of an online car loan refinancing platform designed to make auto refinancing easy. The company's platform, through partnerships with top local and community lenders, brings to customers auto refinancing offers with great rates and lower monthly payments, enabling customers to see exactly how much they can save and complete the refinance process quickly, all from the comfort of their home.</t>
  </si>
  <si>
    <t>Financial Software*, Other Financial Services, Social/Platform Software</t>
  </si>
  <si>
    <t>auto loan approval, auto refinance, auto refinancing, auto refinancing platform, car loans platform, roadside assistance</t>
  </si>
  <si>
    <t>www.motorefi.com</t>
  </si>
  <si>
    <t>163343-71P</t>
  </si>
  <si>
    <t>Doug Ramsay</t>
  </si>
  <si>
    <t>doug@qedinvestors.com</t>
  </si>
  <si>
    <t>Arlington, VA</t>
  </si>
  <si>
    <t>4350 Fairfax Drive</t>
  </si>
  <si>
    <t>Suite 840</t>
  </si>
  <si>
    <t>Arlington</t>
  </si>
  <si>
    <t>22203</t>
  </si>
  <si>
    <t>+1 (877) 445-0070</t>
  </si>
  <si>
    <t>contact@motorefi.com</t>
  </si>
  <si>
    <t>The company raised $4.70 million of Seed funding in a deal led by Accomplice VC on March 27, 2019, putting the company's pre-money valuation at $15 million. QED Investors, Motley Fool Ventures and other undisclosed investors also participated in the round. The company intends to use the funds to continue to expand operations and its business reach.</t>
  </si>
  <si>
    <t>Accomplice VC, Motley Fool Ventures, QED Investors</t>
  </si>
  <si>
    <t>Accomplice VC(www.accomplice.co), Motley Fool Ventures(www.foolventures.com), QED Investors(www.qedinvestors.com)</t>
  </si>
  <si>
    <t>164312-02</t>
  </si>
  <si>
    <t>Mosaix</t>
  </si>
  <si>
    <t>Developer of advanced language AI platforms designed to offer voice assistant that is tailored to the localized services. The company's platform uses unique algorithms that learn the patterns and tastes of users to deliver answers that understand queries and the users who ask them, enabling customers to quickly and seamlessly integrate natural language intelligence.</t>
  </si>
  <si>
    <t>digital software, human machine interface, information retrieving, natural language understanding, natural language understanding algorithm, question answering application, voice assistant technology</t>
  </si>
  <si>
    <t>www.mosaix.ai</t>
  </si>
  <si>
    <t>143553-61P</t>
  </si>
  <si>
    <t>Sumang Liu</t>
  </si>
  <si>
    <t>sumang.liu@saymosaic.com</t>
  </si>
  <si>
    <t>+1 (650) 584-3681</t>
  </si>
  <si>
    <t>1121 San Antonio Road</t>
  </si>
  <si>
    <t>Suite B100</t>
  </si>
  <si>
    <t>The company raised $6.51 million through a combination of Series A venture funding from Amino Capital and GMO VenturePartners and other undisclosed investors on November 19, 2018, putting the company's pre-money valuation at $23.5 million.</t>
  </si>
  <si>
    <t>Amino Capital, Fred Cheng, GMO VenturePartners, Min Wei, Oriza Ventures, Plug and Play Tech Center, SAIC Capital, Sparkland Capital, Thianh Lu, Y Combinator, ZhenFund</t>
  </si>
  <si>
    <t>Amino Capital(www.aminocapital.com), GMO VenturePartners(www.gmo-vp.com), Oriza Ventures(www.orizaventures.com), Plug and Play Tech Center(www.plugandplaytechcenter.com), SAIC Capital(www.saicvc.com), Sparkland Capital(www.sparklandcap.com), Y Combinator(www.ycombinator.com), ZhenFund(www.zhenfund.com)</t>
  </si>
  <si>
    <t>E Chung Legal Services(Legal Advisor)</t>
  </si>
  <si>
    <t>156176-29</t>
  </si>
  <si>
    <t>Morf3D</t>
  </si>
  <si>
    <t>Fictiv</t>
  </si>
  <si>
    <t>Provider of additive manufacturing systems created to offer full customization in manufacturing. The company's system specializes in designing and manufacturing end-to-end additive manufacturing processes, enabling businesses to explore and bring forth transformative ideas, capabilities and technology through additive engineering.</t>
  </si>
  <si>
    <t>Business/Productivity Software*, Machinery (B2B)</t>
  </si>
  <si>
    <t>3D Printing, Advanced Manufacturing, Industrials, TMT</t>
  </si>
  <si>
    <t>additives advisory, additives engineering, additives manufacturing, manufacturing technology, program management</t>
  </si>
  <si>
    <t>www.morf3d.com</t>
  </si>
  <si>
    <t>131738-86P</t>
  </si>
  <si>
    <t>Ivan Madera</t>
  </si>
  <si>
    <t>ivan@morf3d.com</t>
  </si>
  <si>
    <t>+1 (310) 607-0188</t>
  </si>
  <si>
    <t>El Segundo, CA</t>
  </si>
  <si>
    <t>821 North Nash Street</t>
  </si>
  <si>
    <t>El Segundo</t>
  </si>
  <si>
    <t>info@morf3d.com</t>
  </si>
  <si>
    <t>The company raised an estimated $4.5 million of Series A venture funding from Boeing HorizonX on April 23, 2018, putting the company's pre-money valuation at $9 million.</t>
  </si>
  <si>
    <t>Boeing HorizonX, Sigma Labs, Starburst Aerospace</t>
  </si>
  <si>
    <t>Sigma Labs(www.sigmalabsinc.com), Starburst Aerospace(www.starburst.aero)</t>
  </si>
  <si>
    <t>NewCap Partners(Advisor: General)</t>
  </si>
  <si>
    <t>113482-36</t>
  </si>
  <si>
    <t>MORE Health</t>
  </si>
  <si>
    <t>Pager, Welltok, Dacadoo, Seamless Mobile Health, NovuHealth, Entrada, MD Insider, Practice Fusion, MeMD, Spring Rain Software, DocBookMD, Findadoc, Talkspace, Evive Health, American Well, 98point6, TriNetX, Lemonaid Health, Bright.md, iClinic Healthcare, Grand Rounds, ElationHealth, Angels Health, Doctor On Demand, Noom</t>
  </si>
  <si>
    <t>Developer of a collaborative medical platform created for medical consulting and diagnosis. The company's medical platform is a cloud-based medical record system where case managers can safely store detailed patient history and can be accessed from anywhere, enabling patients and physicians to access the information and avoid potential misdiagnosis and complications of overtreatment.</t>
  </si>
  <si>
    <t>Application Software, Other Healthcare Technology Systems, Social/Platform Software*</t>
  </si>
  <si>
    <t>HealthTech, SaaS, TMT</t>
  </si>
  <si>
    <t>collaborative diagnostics, collaborative platform, medical collaboration, medical consulting, patient history system, patient treatment, physician support</t>
  </si>
  <si>
    <t>www.morehealth.com</t>
  </si>
  <si>
    <t>2015: 14, 2017: 25</t>
  </si>
  <si>
    <t>101886-85P</t>
  </si>
  <si>
    <t>William Lewis</t>
  </si>
  <si>
    <t>Legal Counsel</t>
  </si>
  <si>
    <t>will@lewisllp.com</t>
  </si>
  <si>
    <t>+1 (408) 459-8427</t>
  </si>
  <si>
    <t>950 Tower Lane</t>
  </si>
  <si>
    <t>+1 (888) 908-6673</t>
  </si>
  <si>
    <t>+1 (888) 405-0231</t>
  </si>
  <si>
    <t>hello@morehealth.com</t>
  </si>
  <si>
    <t>The company raised $36.3 million of Series B venture funding in a deal led by CITIC Capital Partners, Agricultural Bank of China and Wuxi government on April 17, 2017. Baidu Ventures and New Enterprise Associates also participated in the round. The company says it plans to use the latest proceeds on product development, optimizing data analysis algorithm, and further synergy with its parent company SanPower.</t>
  </si>
  <si>
    <t>Agricultural Bank of China, Baidu Ventures, CITIC Capital, New Enterprise Associates, Wuxi government</t>
  </si>
  <si>
    <t>Agricultural Bank of China(www.abchina.com), Baidu Ventures(www.bv.ai), CITIC Capital(www.citiccapital.com), New Enterprise Associates(www.nea.com), Wuxi government(www.wuxi.gov.cn)</t>
  </si>
  <si>
    <t>Index Capital(Investment Manager), Lewis &amp; Associates Law(Legal Advisor)</t>
  </si>
  <si>
    <t>58718-71</t>
  </si>
  <si>
    <t>Moovit</t>
  </si>
  <si>
    <t>INRIX, Citymapper, door2door, Ridlr, Transit, Trucker Path, TRAFI, Rome2rio, Moovel</t>
  </si>
  <si>
    <t>Provider of a public transit application created to simplify urban mobility all around the world. The company's public transit app combines information from public transit operators and authorities with live information from the user community. The company has shaped its data into a suite of products that help cities and transit agencies shape the future of urban mobility.</t>
  </si>
  <si>
    <t>Application Software, Information Services (B2C)*, Other Transportation</t>
  </si>
  <si>
    <t>public transit data, public transportation, real time app, transit information, trip planner</t>
  </si>
  <si>
    <t>www.moovitapp.com</t>
  </si>
  <si>
    <t>2012: 10, 2013: 29, 2014: 49, 2015: 95, 2017: 106, 2018: 150</t>
  </si>
  <si>
    <t>40940-56P</t>
  </si>
  <si>
    <t>Nir Erez</t>
  </si>
  <si>
    <t>nir.erez@moovitapp.com</t>
  </si>
  <si>
    <t>+972 (0)8 621 3146</t>
  </si>
  <si>
    <t>Ness Ziona, Israel</t>
  </si>
  <si>
    <t>2, Ilan Ramon Street</t>
  </si>
  <si>
    <t>Ness Ziona</t>
  </si>
  <si>
    <t>7403635</t>
  </si>
  <si>
    <t>+972 (0)8 621 3145</t>
  </si>
  <si>
    <t>info@moovitapp.com</t>
  </si>
  <si>
    <t>The company raised $50 million of Series D venture funding in a deal led by Intel Capital on February 21, 2018. Sequoia, BMW iVentures, NGP Capital, Sound Ventures, BRM Group, Gemini Israel Ventures, Vaizra Investments, Vintage Investment Partners and Hanaco Venture Capital also participated in the round. The funds will be used to expand the company's global sales team as well as for additional product development.</t>
  </si>
  <si>
    <t>Ashton Kutcher, BMW i Ventures, BRM Group, Gemini Israel Ventures, Groupe Arnault, Guy Oseary, Hanaco Venture Capital, Intel Capital, Keolis, LVMH Moët Hennessy Louis Vuitton, NGP Capital, Rainfall Ventures, Sequoia Capital Israel, Sound Ventures, Vintage Investment Partners</t>
  </si>
  <si>
    <t>BMW i Ventures(www.bmwiventures.com), Gemini Israel Ventures(www.gemini.co.il), Hanaco Venture Capital(www.hanacovc.com), Intel Capital(www.intelcapital.com), Keolis(www.keolis.com), LVMH Moët Hennessy Louis Vuitton(www.lvmh.com), NGP Capital(www.ngpcap.com), Rainfall Ventures(www.rainfall.com), Sound Ventures(www.sound-ventures.com), Vintage Investment Partners(www.vintage-ip.com)</t>
  </si>
  <si>
    <t>57247-84</t>
  </si>
  <si>
    <t>Moogsoft</t>
  </si>
  <si>
    <t>Aruba Networks, ScienceLogic, Twistlock, Neptune.io, BigPanda, VictorOps, SevOne, InfoVista, SignalFx, Niksun, Librato, Paessler, Pingdom Server Monitor, Aternity, Netsil, Alfresco Software, Blue Medora, Pluribus Networks, Catchpoint, Zoomdata, NetScout Systems, Dashbird, Panopta, Anodot, Confluent, Cloudyn Software, Thoughtonomy, Automation Anywhere, Prelert, Aptilo Networks, Cloudability, LogDNA, Cumulus Networks, DigitalGenius, Micro Focus, Sysdig, FireScope, OpsGenie, AppDynamics, Okta, BMC Software, RightScale, UiPath, AIMS, Splunk, Zabbix, Zenoss, SAS Institute, LogRhythm, Cupenya, Opvizor, Epsagon, Sumo Logic, Automic Software, ExtraHop Networks, Opsview, Dynatrace, CloudCheckr, Cloudflare, LogicMonitor, PagerDuty</t>
  </si>
  <si>
    <t>Developer of a next generation incident management platform designed to help people and machines work together to find clarity in chaos. The company's incident management platform Moogsoft AIOps automatically identifies performance issues and gives the immediate insight needed to manage problems proactively before they spin out of control as well as offers unique features including probable root cause analysis and algorithmic knowledge capture to lower the frequency and duration of repeat incidents, enabling enterprise ITOps and DevOps teams to learn faster, recover quickly from outages and downtime, spend less time fixing problems means more time building innovative features and delivering top-notch services.</t>
  </si>
  <si>
    <t>Business/Productivity Software*, Network Management Software</t>
  </si>
  <si>
    <t>agile service management, incident management, infrastructure events, it infrastructure management, it operations analytics, service management platform, service management software</t>
  </si>
  <si>
    <t>www.moogsoft.com</t>
  </si>
  <si>
    <t>2014: 38, 2015: 60, 2016: 175</t>
  </si>
  <si>
    <t>35393-41P</t>
  </si>
  <si>
    <t>Philip Tee</t>
  </si>
  <si>
    <t>phil@moogsoft.com</t>
  </si>
  <si>
    <t>+1 (415) 738-2299</t>
  </si>
  <si>
    <t>1265 Battery Street</t>
  </si>
  <si>
    <t>info@moogsoft.com</t>
  </si>
  <si>
    <t>The company raised $40 million of Series D venture funding in a deal led by The Goldman Sachs Group on March 5, 2018, putting the company's pre-money valuation at an estimated $180 million. HCL Technologies, Northgate Capital, Redpoint Ventures, Singtel Innov8, Singapore Technologies Telemedia and Wing Venture Partners also participated in the round. The funds will be used to scale sales &amp; marketing as well as investment in new product development and continued innovation in the company's core AIOps platform.</t>
  </si>
  <si>
    <t>Cisco Investments, Dell Technologies Capital, EMC Ireland Holdings, H. Barton Asset Management, HCL Technologies, Michael Chalfen, Michael Tardif, Northgate Capital, Peter Wagner, Redpoint Ventures, Sand Hill East, Singtel Innov8, ST Telemedia, The Goldman Sachs Group, Wing Venture Capital</t>
  </si>
  <si>
    <t>Cisco Investments(www.ciscoinvestments.com), H. Barton Asset Management(bartonam.com), HCL Technologies(www.hcltech.com), Northgate Capital(www.northgate.com), Redpoint Ventures(www.redpoint.com), Sand Hill East(www.sandhilleast.net), Singtel Innov8(innov8.singtel.com), ST Telemedia(www.sttelemedia.com), The Goldman Sachs Group(www.goldmansachs.com), Wing Venture Capital(www.wing.vc)</t>
  </si>
  <si>
    <t>Arete Partners(Consulting), Artisanal Talent Group(Advisor: General), Cooley(Legal Advisor), Orrick, Herrington &amp; Sutcliffe(Legal Advisor), Sand Hill East(Consulting)</t>
  </si>
  <si>
    <t>55069-39</t>
  </si>
  <si>
    <t>Monoqi</t>
  </si>
  <si>
    <t>Pamono, Viyet, The Inside, Artemest, Pepperfry, Furnishly, Chairish, Wayfair, 1stdibs</t>
  </si>
  <si>
    <t>Provider of an online shopping platform intended to offer hand-picked design products. The company's online furniture platform offers a curated selection of hard-to-find and limited-edition design products of furniture and home accessories by international interior, tech and accessory designers, enabling design brands and buyers to do business online.</t>
  </si>
  <si>
    <t>Home Furnishings*, Internet Retail, Social/Platform Software</t>
  </si>
  <si>
    <t>curated furniture, designer furniture, furniture platform, furniture shopping, shopping platform</t>
  </si>
  <si>
    <t>www.monoqi.com</t>
  </si>
  <si>
    <t>2014: 200, 2015: 80, 2017: 100</t>
  </si>
  <si>
    <t>47914-21P</t>
  </si>
  <si>
    <t>Simon Fabich</t>
  </si>
  <si>
    <t>+49 (0)30 2201 2147 0</t>
  </si>
  <si>
    <t>Gormannstrasse 22</t>
  </si>
  <si>
    <t>hello@monoqi.com</t>
  </si>
  <si>
    <t>The comany raised EUR 15 million of Series C venture funding from lead investor Al Jazeera Al Hadina on June 1, 2017. The company will use the funding to expand into Middle East. EUR 5 million of the total funding will be used for a joint venture to be launched in Dubai and Riyadh.</t>
  </si>
  <si>
    <t>Advance Venture Partners, Al Jazeera Al Hadina, Atlantic Labs, btov Partners, Christophe Maire, Condé Nast, Dario Suter, DCM Startups, Kite Ventures, Raffay</t>
  </si>
  <si>
    <t>Advance Venture Partners(www.avp.vc), Atlantic Labs(www.atlanticlabs.de), btov Partners(www.btov.vc), Condé Nast(www.condenast.com), Kite Ventures(www.kiteventures.com), Raffay(www.raffay.com)</t>
  </si>
  <si>
    <t>Davidson Technology Growth Debt(Debt Financing), LACORE Rechtsanwälte(Legal Advisor)</t>
  </si>
  <si>
    <t>153152-92</t>
  </si>
  <si>
    <t>Monitor CR</t>
  </si>
  <si>
    <t>Developer of remote monitoring software intended to streamline trial management in the healthcare center. The company's remote monitoring software facilitates the process of clinical trial management from the contract negotiations with the sponsor, to procedure monitoring in the course of the trial, to accounting and completion of the project, enabling hospitals to take full control on ongoing verification of procedures.</t>
  </si>
  <si>
    <t>Business/Productivity Software, Enterprise Systems (Healthcare)*, Other Healthcare Technology Systems</t>
  </si>
  <si>
    <t>Digital Health, HealthTech, SaaS, TMT</t>
  </si>
  <si>
    <t>clinical trials monitoring, pharmaceutical software, remote monitoring, trials management</t>
  </si>
  <si>
    <t>www.monitorcr.pl</t>
  </si>
  <si>
    <t>127302-85P</t>
  </si>
  <si>
    <t>Martyna Przewoźnik</t>
  </si>
  <si>
    <t>m.przewoznik@monitorcr.pl</t>
  </si>
  <si>
    <t>+48 79 514 9998</t>
  </si>
  <si>
    <t>Warszawa, Poland</t>
  </si>
  <si>
    <t>Ul. Sapieżyńska 10</t>
  </si>
  <si>
    <t>Warszawa</t>
  </si>
  <si>
    <t>00-215</t>
  </si>
  <si>
    <t>The company received EUR 50,000 of grant funding from Horizon 2020 on August 4, 2016.</t>
  </si>
  <si>
    <t>European Venture Investment Group, Horizon 2020, Investin, JCI Venture, Silvermedia</t>
  </si>
  <si>
    <t>European Venture Investment Group(www.evig.pl), Investin(www.investin.pl), JCI Venture(www.jciventure.pl), Silvermedia(silvermedia.eu)</t>
  </si>
  <si>
    <t>60275-35</t>
  </si>
  <si>
    <t>Moneytree (Financial Software)</t>
  </si>
  <si>
    <t>MoneyStream, Credit Sesame, Tala, Dream Payments, Qapital, Prosper Daily, Bondhawk Systems, MX, Moven, Check, CredoLab, Credit Karma, Lenddo, Mint.com, SigFig, Personal Capital, A-SaaS</t>
  </si>
  <si>
    <t>Developer of an asset management platform designed to aggregate and control all financial data in a single place. The company's platform connects users to bank accounts and credit cards, as well as notifies them on large transactions, low balances, soon-to-expire loyalty points and upcoming bills, enabling users to track money flows in real-time on the go.</t>
  </si>
  <si>
    <t>cash spending, credit card usage, finance app, finance management, personal finance</t>
  </si>
  <si>
    <t>www.moneytree.jp</t>
  </si>
  <si>
    <t>2016: 16</t>
  </si>
  <si>
    <t>56391-31P</t>
  </si>
  <si>
    <t>Paul Chapman</t>
  </si>
  <si>
    <t>pchapman@moneytree.jp</t>
  </si>
  <si>
    <t>3-27-15 Jingumae</t>
  </si>
  <si>
    <t>The company raised an undisclosed amount of venture funding from Global Brain on February 13, 2019.</t>
  </si>
  <si>
    <t>Baillie Gifford, Collab by LumenLab, DG Incubation, Fukuoka Financial Group, Global Brain, Hiroshima Venture Capital, Ikeda Quanzhou Capital, Individual Investor, MasterCard, MasterCard Start Path Accelerator, Mitsubishi UFJ Capital, Mizuho Capital Partners, MUFG Innovation Partners, PayPal Holdings, Salesforce Commerce Cloud, Salesforce Ventures, SBI Investment, Senshu Ikeda Capital, SMBC Venture Capital, Sumitomo Mitsui Banking</t>
  </si>
  <si>
    <t>Baillie Gifford(www.bailliegifford.com), Collab by LumenLab(www.collab.lumenlab.sg), DG Incubation(www.dgincubation.co.jp), Fukuoka Financial Group(www.fukuoka-fg.com), Global Brain(www.globalbrains.com), Hiroshima Venture Capital(www.h-vc.co.jp), Ikeda Quanzhou Capital(www.ikegin-c.jp), MasterCard(www.mastercard.us), MasterCard Start Path Accelerator(www.startpath.com), Mitsubishi UFJ Capital(www.mucap.co.jp), PayPal Holdings(www.paypal.com), Salesforce Commerce Cloud(www.demandware.com), SBI Investment(www.sbinvestment.co.jp), SMBC Venture Capital(www.smbc-vc.co.jp), Sumitomo Mitsui Banking(www.smbcgroup.com)</t>
  </si>
  <si>
    <t>EM Advisory(Advisor: General)</t>
  </si>
  <si>
    <t>99124-84</t>
  </si>
  <si>
    <t>Moloco</t>
  </si>
  <si>
    <t>AppNexus, Swirl, UberMedia, DataXu, Adello, Apsalar, AppsFlyer, Turn, Yext, Feedmob, Simpli.fi, MaxPoint Interactive, NinthDecimal, MediaMath, Quantcast, Uberall, Criteo, Exponential Interactive, Dstillery, GroundTruth, PubMatic, adjust, Sense360, Affinio, TUNE, Centro, Freckle IoT, Tamoco, Synup, The Trade Desk, Verve Wireless, Rocket Fuel, Smaato, Mobivity Holdings, UpSnap (VoodooVox), Moasis Global, ThinkNear, Gimbal, Unacast, PlaceIQ, SITO Mobile, RetailNext, Nielsen Marketing Cloud, Visual IQ, True Data (Data Application), Near (Singapore), Gravy Analytics, Cardlytics, Localytics, Blue Bite, Feedburner, Blackfox, RadiumOne, TubeMogul, Factual, NativeX Holdings, Placed</t>
  </si>
  <si>
    <t>Provider of a mobile advertisement platform designed to help mobile application execute marketing and advertising monetization programs. The company's platform uses machine learning algorithm to optimize delivery and performance across different ad creative types, while proprietary fraud tools protect ad spending, thus enabling mobile developers to monetize their user data in-house with no upfront cost and to achieve short time to market.</t>
  </si>
  <si>
    <t>advertisement software, live advertisement, mobile advertisement, mobile advertisement platform, mobile advertising software, monetize appliation ecosystem</t>
  </si>
  <si>
    <t>www.molocoads.com</t>
  </si>
  <si>
    <t>140416-03P</t>
  </si>
  <si>
    <t>Ikkjin Ahn</t>
  </si>
  <si>
    <t>ikkjin@molocoads.com</t>
  </si>
  <si>
    <t>+1 (425) 442-8566</t>
  </si>
  <si>
    <t>955 Alma Street</t>
  </si>
  <si>
    <t>contact@molocoads.com</t>
  </si>
  <si>
    <t>The company raised $11 million of Series B venture funding in a deal led by Samsung Venture Investment and Draper Athena on May 10, 2018, putting the company's pre-money valuation at $60 million. Smilegate Investment, KTB Ventures and Mirae Asset also participated in the round. The funds will be used to advance development of the their proprietary Ad Cloud platform and related solutions as well as to support expansion of sales and marketing initiatives.</t>
  </si>
  <si>
    <t>Draper Athena, Founders Den, KTB Ventures, Mirae Asset, Samsung Venture Investment, Smilegate Investment</t>
  </si>
  <si>
    <t>Draper Athena(www.dfjathena.com), Founders Den(www.foundersden.com), KTB Ventures(www.ktbvc.com), Mirae Asset(www.miraeassetmf.co.in), Samsung Venture Investment(www.samsungventures.com), Smilegate Investment(www.smilegateinvestment.com)</t>
  </si>
  <si>
    <t>233549-83</t>
  </si>
  <si>
    <t>Mollyworks</t>
  </si>
  <si>
    <t>Provider of paintings and artwork. The company offers watercolor portraits and paintings and allows personalization of school photos, pet photos, amongst others, providing portrait lovers and art enthusiasts with a customized documentation of their lives through paintings.</t>
  </si>
  <si>
    <t>Home Furnishings*, Other Consumer Durables</t>
  </si>
  <si>
    <t>art provider, artwork creation, artwork distribution, painting creation, painting provider, portrait creation, watercolor painting</t>
  </si>
  <si>
    <t>www.mollyworks.com</t>
  </si>
  <si>
    <t>molly@mollyworks.com</t>
  </si>
  <si>
    <t>The company raised an undisclosed amount of Series A venture funding from Schlumberger Technology Investments on September 1, 2017.</t>
  </si>
  <si>
    <t>234558-01</t>
  </si>
  <si>
    <t>Mojo Vision</t>
  </si>
  <si>
    <t>Tectus, Tectus corporation</t>
  </si>
  <si>
    <t>Developer of an augmented reality platform intended to invent the future of computing. The company delivers immediate, powerful and relevant information without the intrusions of today's mobile devices, enabling users to connect with others at a glance, anytime, anywhere handsfree.</t>
  </si>
  <si>
    <t>Other Communications and Networking, Other Information Technology*</t>
  </si>
  <si>
    <t>Augmented Reality</t>
  </si>
  <si>
    <t>communication technology, computing, handsfree technology, invisible computing, invisible technology</t>
  </si>
  <si>
    <t>www.mojo.vision</t>
  </si>
  <si>
    <t>196549-21P</t>
  </si>
  <si>
    <t>Drew Perkins</t>
  </si>
  <si>
    <t>dperkins@mojo.vision</t>
  </si>
  <si>
    <t>The company raised $97 million of Series B venture funding from Gradient Ventures, HP Tech Ventures and Motorola Solutions Venture Capital on March 19, 2019, putting the company's pre-money valuation at $230 million. LG Electronics, Advantech Capital Partners, Bold Capital Partners, Kakao Ventures and StartX also participated in the round. The funds will be used to propel development of its new augmented reality platform.</t>
  </si>
  <si>
    <t>8VC, Advantech Capital Partners, AME Cloud Ventures, Bold Capital Partners, Dolby Family Ventures, Fusion Fund, Gradient Ventures, HP Tech Ventures, Kakao Ventures, Khosla Ventures, LG Electronics, Liberty Global Ventures, Motorola Solutions Venture Capital, New Enterprise Associates, NewGen Capital, Open Field Capital, Shanda Group, StartX, Struck Capital</t>
  </si>
  <si>
    <t>8VC(www.8vc.com), Advantech Capital Partners(www.advantechcapital.com), AME Cloud Ventures(www.amecloudventures.com), Bold Capital Partners(www.boldcapitalpartners.com), Dolby Family Ventures(www.dolbyventures.com), Fusion Fund(www.fusionfund.com), Gradient Ventures(www.gradient.com), HP Tech Ventures(hptechventures.com), Kakao Ventures(www.kakaoventures.co.kr), Khosla Ventures(www.khoslaventures.com), New Enterprise Associates(www.nea.com), NewGen Capital(www.newgenvcm.com), Open Field Capital(www.ofcap.com), Shanda Group(www.shanda.com), StartX(www.startx.com), Struck Capital(www.struckcapital.com)</t>
  </si>
  <si>
    <t>13283-47</t>
  </si>
  <si>
    <t>Mojo Networks</t>
  </si>
  <si>
    <t>Wibhu Technologies, AirTight Networks</t>
  </si>
  <si>
    <t>VeloCloud, Relay2, Fluidmesh Network, Bigleaf Networks, Mist Systems, 7SIGNAL, Aryaka, Cato Networks, Elitecore Technologies, Ekahau, Federated Wireless, Ruckus Wireless, Talari Networks, Exinda, Xirrus</t>
  </si>
  <si>
    <t>Provider of cloud powered Wi Fi services designed to revolutionize WiFi through the power of the cloud and open standards. The company's cloud powered Wi Fi services and security networks provide wireless intrusion prevention, WLAN-management services, multiple-device protection and secure guest WiFi that eliminates the need for manual diagnosis, does root cause analysis in seconds, reducing time for a network admin and enabling WiFi users to experience a pristine and uninterrupted Wi Fi sessions.</t>
  </si>
  <si>
    <t>Network Management Software, Wireless Service Providers*</t>
  </si>
  <si>
    <t>network management, wifi, wireless intrusion prevention, wireless network, wireless security, wlan</t>
  </si>
  <si>
    <t>www.mojonetworks.com</t>
  </si>
  <si>
    <t>2004: 26, 2005: 14, 2006: 14, 2007: 14, 2008: 14, 2009: 14, 2010: 14, 2014: 174, 2015: 249</t>
  </si>
  <si>
    <t>51217-21P</t>
  </si>
  <si>
    <t>Mark Shamshoian</t>
  </si>
  <si>
    <t>Controller/Operations</t>
  </si>
  <si>
    <t>mark.shamshoian@airtightnetworks.com</t>
  </si>
  <si>
    <t>+1 (650) 961-1111</t>
  </si>
  <si>
    <t>339 North Bernardo Avenue</t>
  </si>
  <si>
    <t>+1 (650) 961-1169</t>
  </si>
  <si>
    <t>The company reached a definitive agreement to be acquired by Arista Networks (NYS: ANET) for an undisclosed amount on August 2, 2018. The acquisition is expected to close during its third quarter Previously, the company raised $30 million of Series E venture funding from Presidio Partners, Trident Capital and Granite Ventures on February 8, 2017, putting the pre-money valuation at $35 million. The company is being actively tracked by PitchBook.</t>
  </si>
  <si>
    <t>Alpha Technologies, Blueprint Ventures, Cipio Partners, Granite Ventures, Morgan Stanley Expansion Capital, Presidio Partners, Trident Capital, Walden International, WRV Capital</t>
  </si>
  <si>
    <t>Arista Networks</t>
  </si>
  <si>
    <t>Alpha Technologies(www.alpha-technologies.com), Blueprint Ventures(www.blueprintventures.com), Cipio Partners(www.cipiopartners.com), Granite Ventures(www.granitevc.com), Presidio Partners(www.presidiopartners.com), Trident Capital(www.tridentcap.com), Walden International(www.waldenintl.com), WRV Capital(www.wrvcapital.com)</t>
  </si>
  <si>
    <t>Arista Networks(www.arista.com)</t>
  </si>
  <si>
    <t>Cooley(Legal Advisor), Wilson Sonsini Goodrich &amp; Rosati(Legal Advisor)</t>
  </si>
  <si>
    <t>59996-35</t>
  </si>
  <si>
    <t>Moj.io</t>
  </si>
  <si>
    <t>Azuga, TrueMotion, Zubie, CarIQ Technologies, Carvoyant, Truvolo, TASS International, OctoTelematics, GPS Insight, Telogis, Driveway (Application Software), Vinli, Automatic (Connected Car Company), Cabify, Uber</t>
  </si>
  <si>
    <t>Developer of a connected car platform designed to offer secure connected car services. The company's cloud-based open connected car platform features auto-scaling and self-healing processes that cleanses data as it passes through the platform acting as a security gateway ensuring only authorized applications have access to the data, enabling corporate clients to provide result and information to their customers that can be counted on.</t>
  </si>
  <si>
    <t>Automotive*, Social/Platform Software</t>
  </si>
  <si>
    <t>Internet of Things, Mobile, SaaS</t>
  </si>
  <si>
    <t>iot cloud technology, secuirty innovation, security technology platform, security technology provider, security technology service, security technology systems</t>
  </si>
  <si>
    <t>www.moj.io</t>
  </si>
  <si>
    <t>2017: 48, 2018: 68, 2019: 100</t>
  </si>
  <si>
    <t>59006-35P</t>
  </si>
  <si>
    <t>Kenny Hawk</t>
  </si>
  <si>
    <t>kennyh@moj.io</t>
  </si>
  <si>
    <t>+1 (855) 556-6546</t>
  </si>
  <si>
    <t>1080 Howe Street</t>
  </si>
  <si>
    <t>V6Z 2T1</t>
  </si>
  <si>
    <t>info@moj.io</t>
  </si>
  <si>
    <t>The company raised CAD 40 million of Series B venture funding in a deal led by Kensington Capital Partners on February 20, 2019. Amazon Alexa Fund, Trend Forward Capital, TELUS Ventures, Deutsche Telekom Capital Partners, Robert Bosch, Assurant Growth Investing, T-Mobile, Innogy Venture Capital, Iris Capital, Relay Ventures and BDC Capital IT Venture Fund also participated in the round. The company intends to use the funds to drive global deployment of connected car services via mobile network operators and automotive manufacturers. The company received $7 million of debt financing from Silicon Valley Bank on January, 2018. The debt package included $5 million in term loan and $2 million revolving credit line.</t>
  </si>
  <si>
    <t>500 Startups, Amazon Alexa Fund, Assurant Growth Investing, BDC Capital, BDC Capital IT Venture Fund, C100 Association, Canadian Technology Accelerator, Deutsche Telekom Capital Partners, Gordon Peter, Innogy Innovation Hub, Innogy Venture Capital, Iris Capital, Kensington Capital Partners, Kristaps Ronka, Laurie Baggio, Plug and Play Tech Center, Relay Ventures, Robert Bosch, Robert Simon, Stephen Case, TecTerra, TELUS Ventures, TIMIA Capital, T-Mobile, Trend Forward Capital</t>
  </si>
  <si>
    <t>500 Startups(www.500.co), Amazon Alexa Fund(developer.amazon.com/alexa-fund), Assurant Growth Investing(www.assurantgrowthinvesting.com), C100 Association(www.thec100.org), Canadian Technology Accelerator(www.ctaconnects.com), Deutsche Telekom Capital Partners(www.telekom-capital.com), Innogy Innovation Hub(innovationhub.innogy.com), Innogy Venture Capital(www.innogy-ventures.com), Iris Capital(www.iriscapital.com), Kensington Capital Partners(www.kcpl.ca), Plug and Play Tech Center(www.plugandplaytechcenter.com), Relay Ventures(www.relayventures.com), Robert Bosch(www.bosch.com), TecTerra(www.tecterra.com), TELUS Ventures(ventures.telus.com), TIMIA Capital(www.timiacapital.com), T-Mobile(www.t-mobile.com), Trend Forward Capital(www.trendforward.com)</t>
  </si>
  <si>
    <t>LaBarge Weinstein(Legal Advisor), Osler, Hoskin &amp; Harcourt(Legal Advisor), Silicon Valley Bank(Debt Financing)</t>
  </si>
  <si>
    <t>92167-30</t>
  </si>
  <si>
    <t>MOFILM</t>
  </si>
  <si>
    <t>ScribbleLive, Dlvr.it, Social Native, OneSpot</t>
  </si>
  <si>
    <t>Operator of a platform intended to offer video content for various brands for social causes. The company's platform brings together ideas of experiences and insights of real people with meaningful stories to tell, enabling the audience to avail relevant, purposeful and positive content.</t>
  </si>
  <si>
    <t>Media and Information Services (B2B), Other IT Services*</t>
  </si>
  <si>
    <t>content platform, social cause, social cause promotion, social cause video, video competition</t>
  </si>
  <si>
    <t>www.mofilm.com</t>
  </si>
  <si>
    <t>2015: 29</t>
  </si>
  <si>
    <t>150905-62P</t>
  </si>
  <si>
    <t>Rebecca Sykes</t>
  </si>
  <si>
    <t>rebecca.sykes@mofilm.com</t>
  </si>
  <si>
    <t>WeWork</t>
  </si>
  <si>
    <t>54 West 40th Street</t>
  </si>
  <si>
    <t>The company was acquired by You &amp; Mr Jones Brandtech Ventures through a GBP 224.5 million LBO on June 11, 2015.</t>
  </si>
  <si>
    <t>Cooper Williamson(Auditor)</t>
  </si>
  <si>
    <t>Freeths(Legal Advisor), Odyssey Corporate Finance(Advisor: General)</t>
  </si>
  <si>
    <t>119362-24</t>
  </si>
  <si>
    <t>Mofangge</t>
  </si>
  <si>
    <t>Developer of an online education platform specifically designed for Chinese K-12 curriculum. The company's platform uses learning through gaming and offers question bank covering all the knowledge points of the three junior highs, nine colleges, and 1836 teaching materials as well as online practice, competitive PK and friend interaction for K12 students.</t>
  </si>
  <si>
    <t>Educational Software*</t>
  </si>
  <si>
    <t>e-learning platform, interactive learning, k12 education, question database, teaching materials</t>
  </si>
  <si>
    <t>www.mofangge.com</t>
  </si>
  <si>
    <t>+86 (0)186 1387 5053</t>
  </si>
  <si>
    <t>The company raised an undisclosed amount of Series C venture funding on March 29, 2018. Previously, it raised RMB 149 million of Series B angel funding from undisclosed investors on November 16, 2016.</t>
  </si>
  <si>
    <t>Baidu Ventures, Kinzon Capital, Microsoft ScaleUp</t>
  </si>
  <si>
    <t>Baidu Ventures(www.bv.ai), Kinzon Capital(www.kinzoncapital.com), Microsoft ScaleUp(startups.microsoft.com/en-us/scale-up)</t>
  </si>
  <si>
    <t>CVCapital(Advisor: General)</t>
  </si>
  <si>
    <t>114231-43</t>
  </si>
  <si>
    <t>Moduware</t>
  </si>
  <si>
    <t>Nexpaq</t>
  </si>
  <si>
    <t>Provider of a platform designed to help users to customize phone cases and battery packs with a range of smart devices. The company's platform helps the developers to build their own module and write applications for existing ones, enabling users to customize their choices to match their lifestyle.</t>
  </si>
  <si>
    <t>Electronics (B2C)*, Other Software</t>
  </si>
  <si>
    <t>customized battery pack, customized phone casing, iphones and androids, modules, phone casing</t>
  </si>
  <si>
    <t>www.moduware.com</t>
  </si>
  <si>
    <t>101225-44P</t>
  </si>
  <si>
    <t>Hubertus Wasmer</t>
  </si>
  <si>
    <t>Co-Founder &amp; Chief Scientific Officer</t>
  </si>
  <si>
    <t>max@nexpaq.com</t>
  </si>
  <si>
    <t>502/37 Swanston Street</t>
  </si>
  <si>
    <t>3000</t>
  </si>
  <si>
    <t>+61 (0)3 9663 3449</t>
  </si>
  <si>
    <t>info@moduware.com</t>
  </si>
  <si>
    <t>The company joined Muru-D on November 14, 2017.</t>
  </si>
  <si>
    <t>Hong Kong Science and Technology Parks, Maxim Ventures, Muru-D, Speedshield Technologies</t>
  </si>
  <si>
    <t>Hong Kong Science and Technology Parks(www.hkstp.org), Maxim Ventures(www.maximventures.com), Muru-D(www.muru-d.com), Speedshield Technologies(speedshield.com)</t>
  </si>
  <si>
    <t>43118-92</t>
  </si>
  <si>
    <t>Modumetal</t>
  </si>
  <si>
    <t>Manufacturer of nanolaminated alloys designed to revolutionize metal performance. The company's nanolaminated alloys are stronger and lighter than steel, more corrosion resistant, durable than other metals and redefines metals performance, enabling infrastructure, automotive, aerospace, energy and construction industries to use higher-performing alloys at a cost that is competitive with conventional metals.</t>
  </si>
  <si>
    <t>Metals, Minerals and Mining</t>
  </si>
  <si>
    <t>Other Metals, Minerals and Mining</t>
  </si>
  <si>
    <t>Other Materials, Other Metals, Minerals and Mining*</t>
  </si>
  <si>
    <t>Manufacturing, Nanotechnology, TMT</t>
  </si>
  <si>
    <t>alloy, alloy product, construction metal, defense metal, lightweight metal, metal, nanolaminated alloy, specialized alloy, specialized metal</t>
  </si>
  <si>
    <t>www.modumetal.com</t>
  </si>
  <si>
    <t>2008: 11, 2009: 15, 2010: 25, 2018: 50</t>
  </si>
  <si>
    <t>35573-32P</t>
  </si>
  <si>
    <t>Christina Lomasney</t>
  </si>
  <si>
    <t>Co-Founder, Chief Executive Officer, President, Board Member</t>
  </si>
  <si>
    <t>christina.lomasney@modumetal.com</t>
  </si>
  <si>
    <t>+1 (877) 632-4242</t>
  </si>
  <si>
    <t>1443 North Northlake Way</t>
  </si>
  <si>
    <t>+1 (206) 770-7338</t>
  </si>
  <si>
    <t>info@modumetal.com</t>
  </si>
  <si>
    <t>The company raised $17.47 million of Series B1 venture funding from undisclosed investors on February 8, 2019, putting the company's pre-money valuation at $15 million.</t>
  </si>
  <si>
    <t>Alliance of Angels, Arnold Venture Group, Bandgap Ventures, BP Ventures, Catamount Ventures, Chevron Technology Ventures, ConocoPhillips Technology Ventures, Coyote Capital, Founders Fund, Golden Seeds, Keeler Investments Group, National Science Foundation, Second Avenue Partners, Steven Singh, Sunshine Tech, U.S. Department of Energy, United States Department of Defense, WRF Capital</t>
  </si>
  <si>
    <t>Alliance of Angels(www.allianceofangels.com), Arnold Venture Group(www.arnoldventuregroup.com), Bandgap Ventures(www.bandgapventures.com), Catamount Ventures(www.catamountventures.com), Coyote Capital(www.coyotecapital.net), Founders Fund(www.foundersfund.com), Golden Seeds(www.goldenseeds.com), Keeler Investments Group(www.keelerinvestments.com), National Science Foundation(seedfund.nsf.gov), Second Avenue Partners(www.secondave.com), U.S. Department of Energy(www.energy.gov), United States Department of Defense(www.defense.gov)</t>
  </si>
  <si>
    <t>Herd Freed Hartz(Advisor: General)</t>
  </si>
  <si>
    <t>Hercules Capital(Debt Financing)</t>
  </si>
  <si>
    <t>120926-26</t>
  </si>
  <si>
    <t>Modsy</t>
  </si>
  <si>
    <t>RoomSketcher, Havenly, Hutch (Virtual Interior Designing), Planner 5D, HOVER, Cadsoft Computer, Decorist, Laurel &amp; Wolf, Houzz, Homepolish, Decor Aid, Tastemaker, Hutch, Wayfair</t>
  </si>
  <si>
    <t>Developer of 3D visualization technology designed to change the way consumers decorate and shop for their homes. The company's online platform is a personalized home design solution that utilizes advanced 3D visualization technology to show how furniture and decor would look in homes before purchasing and provides room layout, furniture and decor recommendations, enabling home renovators and interior designers to eliminate the guesswork from home design process.</t>
  </si>
  <si>
    <t>3d home design, 3d interior design, home design guidance, home design marketplace, home-decorating service, life-like visualization</t>
  </si>
  <si>
    <t>www.modsy.com</t>
  </si>
  <si>
    <t>2018: 72, 2019: 100</t>
  </si>
  <si>
    <t>55469-17P</t>
  </si>
  <si>
    <t>Shanna Tellerman</t>
  </si>
  <si>
    <t>shanna@modsy.com</t>
  </si>
  <si>
    <t>+1 (415) 340-1924</t>
  </si>
  <si>
    <t>121 Minna Street</t>
  </si>
  <si>
    <t>hello@modsy.com</t>
  </si>
  <si>
    <t>The company raised $37 million of Series C venture funding in a deal led by TCV on May 21, 2019, putting the company's pre-money valuation at $88 million. Comcast Ventures, Norwest Venture Partners, Advance Venture Partners and other undisclosed investors also participated in the round. The funds will be used to scale the business, further invest in 3D automation, expand the company's marketplace and improve design and concierge shopping services.</t>
  </si>
  <si>
    <t>Advance Venture Partners, AME Cloud Ventures, Ammunition Design Group, Astia Angels, BBG Ventures, Birchmere Ventures, Comcast Ventures, Compound, Cynthia Padnos, Eoin Harrington, GV, Joanne Wilson, Nancy Pfund, NBCUniversal, Norwest Venture Partners, Susa Ventures, Susan Feldman, TCV</t>
  </si>
  <si>
    <t>Advance Venture Partners(www.avp.vc), AME Cloud Ventures(www.amecloudventures.com), Ammunition Design Group(www.ammunitiongroup.com), Astia Angels(www.astia.org), BBG Ventures(www.bbgventures.com), Birchmere Ventures(www.birchmerevc.com), Comcast Ventures(www.comcastventures.com), Compound(www.compound.vc), GV(www.gv.com), Joanne Wilson(www.gothamgal.com), NBCUniversal(www.nbcuniversal.com), Norwest Venture Partners(www.nvp.com), Susa Ventures(www.susaventures.com), TCV(www.tcv.com)</t>
  </si>
  <si>
    <t>Chase Bank(Legal Advisor), Silicon Valley Bank(General Business Banking), Wilson Sonsini Goodrich &amp; Rosati(Legal Advisor)</t>
  </si>
  <si>
    <t>52369-39</t>
  </si>
  <si>
    <t>Mocean Mobile</t>
  </si>
  <si>
    <t>Mojiva, Mo'Jiva</t>
  </si>
  <si>
    <t>Provider of mobile marketing services for content publishers, advertisers, ad sellers, affiliates and developers. The company offers self-serve mobile advertising and mobile ad publishing services.</t>
  </si>
  <si>
    <t>Information Services (B2C), Media and Information Services (B2B)*</t>
  </si>
  <si>
    <t>content publisher, mobile advertisement, mobile content, mobile marketing</t>
  </si>
  <si>
    <t>www.mojiva.com</t>
  </si>
  <si>
    <t>2014: 40</t>
  </si>
  <si>
    <t>136 Baxter Street</t>
  </si>
  <si>
    <t>+1 (646) 862-6201</t>
  </si>
  <si>
    <t>+1 (646) 862-6130</t>
  </si>
  <si>
    <t>info@mojiva.com</t>
  </si>
  <si>
    <t>The company was acquired by PubMatic for $15.5 million on May 19, 2014. PubMatic is backed by August Capital, Draper Fisher Jurvetson, Helion Venture Partners, Nexus Venture Partners, Nokia Growth Partners and Silicon Valley Bank.</t>
  </si>
  <si>
    <t>PubMatic</t>
  </si>
  <si>
    <t>Bertelsmann Digital Media Investments, BYU Cougar Capital, Pelion Venture Partners, Shamrock Capital Advisors, Val Katayev, Vaux les Ventures</t>
  </si>
  <si>
    <t>Bertelsmann Digital Media Investments(www.bdmifund.com), BYU Cougar Capital(www.byucougarcapital.org), Pelion Venture Partners(www.pelionvp.com), Shamrock Capital Advisors(www.shamrockcap.com), Vaux les Ventures(www.vauxlesventures.com)</t>
  </si>
  <si>
    <t>Kirkland &amp; Ellis(Legal Advisor), Mooreland Partners(Advisor: General), Morgan, Lewis &amp; Bockius(Legal Advisor), Waller Capital Partners(Advisor: General)</t>
  </si>
  <si>
    <t>43017-31</t>
  </si>
  <si>
    <t>Mocana</t>
  </si>
  <si>
    <t>CyberX, Blackberry, McAfee, Bayshore Networks, Corrata, Zimperium, Blue Cedar, Contrast Security, AirWatch, Device Authority, Bradford Networks, Appdome, Veracode, Pulse Secure, Pradeo, SecureRF, AdaptiveMobile, Sophos, Wandera, Symantec, Workspot, Lookout, Citrix Systems, FireEye, Centri, Intrinsic-ID, Pivot3, TrapX Security, Palo Alto Networks, INSIDE Secure</t>
  </si>
  <si>
    <t>Developer of IoT security software intended to provide device security solutions for IoT and industrial control systems. The company's end-to-end cybersecurity software complements complement IT network and operational technology such as firewalls, IDS/IPS and threat detection, enabling organizations to secure their IoT devices and mission-critical systems easily and effectively.</t>
  </si>
  <si>
    <t>Advanced Manufacturing, Cybersecurity, Internet of Things, TMT</t>
  </si>
  <si>
    <t>cyber security, embedded security, iot security, iot security platform, iot security solutions</t>
  </si>
  <si>
    <t>www.mocana.com</t>
  </si>
  <si>
    <t>2009: 36, 2010: 62, 2011: 89, 2012: 145, 2013: 144, 2014: 160, 2015: 130, 2017: 100</t>
  </si>
  <si>
    <t>128181-34P</t>
  </si>
  <si>
    <t>William Diotte</t>
  </si>
  <si>
    <t>wwdiotte@mocana.com</t>
  </si>
  <si>
    <t>+1 (415) 617-0055</t>
  </si>
  <si>
    <t>111 West Evelyn Avenue</t>
  </si>
  <si>
    <t>The company raised $15 million of Series 2 venture funding in a deal led by Sway Ventures on March 4, 2019, putting the company's pre-money valuation at $60 million. Shasta Ventures and ForgePoint Capital also participated in the round. The funds will be used to accelerate the development of the company's IoT device security platform as well as to expand its sales, marketing and customer support teams.</t>
  </si>
  <si>
    <t>Bob Pasker, ForgePoint Capital, GE Ventures, In-Q-Tel, Intel Capital, Panasonic Ventures, Southern Cross Venture Partners, SV Angel, Sway Ventures, Symantec, Trident Capital</t>
  </si>
  <si>
    <t>Shasta Ventures</t>
  </si>
  <si>
    <t>Bob Pasker(blog.pasker.net), ForgePoint Capital(www.forgepointcap.com), GE Ventures(www.geventures.com), In-Q-Tel(www.iqt.org), Intel Capital(www.intelcapital.com), Panasonic Ventures(www.panasonicventures.com), Southern Cross Venture Partners(www.sxvp.com), SV Angel(www.svangel.com), Sway Ventures(www.swayvc.com), Symantec(www.symantec.com), Trident Capital(www.tridentcap.com)</t>
  </si>
  <si>
    <t>Shasta Ventures(www.shastaventures.com)</t>
  </si>
  <si>
    <t>The Millard Group (Connecticut)(Consulting)</t>
  </si>
  <si>
    <t>Perkins Coie(Legal Advisor), Signal Hill Capital Group(Legal Advisor)</t>
  </si>
  <si>
    <t>52125-13</t>
  </si>
  <si>
    <t>MobStac</t>
  </si>
  <si>
    <t>Beaconstac</t>
  </si>
  <si>
    <t>CleverTap, Ubudu, Monetate, Radius Networks, MixPanel, Leanplum, Amplitude, Branding Brand, Batch (Business/Productivity Software), Pushmote, Airship, Rover (Business/Productivity Software), Gimbal, Segment, Apptimize, PlaceIQ, UserVoice, Leantegra, Swrve, AppLift, Sailthru, Pulsate, MoEngage, SessionM, SiteSpect, ThinkNear, Open Market, Factual, Estimote, IconPeak, Localytics, Kahuna, ContentSquare, Optimizely, AppLovin, Pendo, mParticle, Kontakt.io</t>
  </si>
  <si>
    <t>Developer of a cloud-based mobile marketing platform designed to connect the digital and physical worlds through the use of innovative technology. The company's platform is based on the principals of proximity marketing and engage customers in a personalized, context-aware way that leverages indoor location and proximity, enabling businesses and brands to leverage BLE beacon technology to deliver context-rich experiences to their end users.</t>
  </si>
  <si>
    <t>beacons, bluetooth advertising, bluetooth application, customer engagement, ibeacon, ibeacon technology, marketing analytics, mobile marketing, proximity marketing, proximity marketing platform</t>
  </si>
  <si>
    <t>www.mobstac.com</t>
  </si>
  <si>
    <t>2014: 26, 2016: 29</t>
  </si>
  <si>
    <t>59111-11P</t>
  </si>
  <si>
    <t>Sharat Potharaju</t>
  </si>
  <si>
    <t>sharat.potharaju@mobstac.com</t>
  </si>
  <si>
    <t>+1 (646) 968-0378</t>
  </si>
  <si>
    <t>450 Lexington Avenue</t>
  </si>
  <si>
    <t>info@mobstac.com</t>
  </si>
  <si>
    <t>Kae Capital sold its stake in the company to undisclosed investors.</t>
  </si>
  <si>
    <t>Accel, Blume Venture Advisors, Cisco Investments, Kyron Global Accelerator, Mumbai Angels</t>
  </si>
  <si>
    <t>Kae Capital</t>
  </si>
  <si>
    <t>Accel(www.accel.com), Blume Venture Advisors(www.blume.vc), Cisco Investments(www.ciscoinvestments.com), Kyron Global Accelerator(www.kyronglobal.com), Mumbai Angels(www.mumbaiangels.com)</t>
  </si>
  <si>
    <t>Kae Capital(www.kae-capital.com)</t>
  </si>
  <si>
    <t>Masterkey Holdings(Advisor: General)</t>
  </si>
  <si>
    <t>54032-14</t>
  </si>
  <si>
    <t>Moblize</t>
  </si>
  <si>
    <t>Splunk</t>
  </si>
  <si>
    <t>Provider of a big data analytics platform designed to organize insights in enterprise workflows. The company's business intelligence platform automatically aggregates real-time machine data, unstructured daily dialogues from emails, other sources and historical data from third party vendor office hubs to help detect data quality issues, enabling oil and gas industry clients to drive business and operational insights and make proper decisions.</t>
  </si>
  <si>
    <t>analytics software service, artificial intelligence analytics, big data analysis platform, data aggregation, enterprise workflow</t>
  </si>
  <si>
    <t>www.moblize.com</t>
  </si>
  <si>
    <t>2014: 51, 2017: 55, 2018: 51</t>
  </si>
  <si>
    <t>40542-94P</t>
  </si>
  <si>
    <t>Amit Mehta</t>
  </si>
  <si>
    <t>amit@moblize.com</t>
  </si>
  <si>
    <t>+1 (713) 622-1082</t>
  </si>
  <si>
    <t>5177 Richmond Avenue</t>
  </si>
  <si>
    <t>Suite 1051</t>
  </si>
  <si>
    <t>+1 (713) 850-7684</t>
  </si>
  <si>
    <t>info@moblize.com</t>
  </si>
  <si>
    <t>The company raised $1.5 million of Series A venture funding from undisclosed investors in December 2005.</t>
  </si>
  <si>
    <t>Chevron Technology Ventures</t>
  </si>
  <si>
    <t>Doeren Mayhew(Auditor), Vinson &amp; Elkins(Legal Advisor)</t>
  </si>
  <si>
    <t>146716-39</t>
  </si>
  <si>
    <t>Mobkoi</t>
  </si>
  <si>
    <t>Yieldmo, AdRoll, Genesis Media, AppNexus, FreeWheel Media, Crisp Mobile, Pokkt, Innovid, Turn, Choozle, LoopMe, InMobi, SpotX, Kiip, YuMe, Exponential Interactive, Chartboost, Simpli.fi, PubMatic, ConvertMedia, Millennial Media, Ogury, Kargo Global, TubeMogul, Beachfront Media, NativeX Holdings, OpenX, LKQD Technologies, Aki (Application Software), Altitude Digital, Trion Interactive</t>
  </si>
  <si>
    <t>Operator of a mobile marketing platform created to redefine the standards of mobile and tablet advertising. The company's mobile marketing platform provides bespoke media planning and buying, custom creative services and optimized campaign delivery, enabling premium brands to create mobile advertising campaigns and messages.</t>
  </si>
  <si>
    <t>mobile campaign, mobile marketing platform, ultra-premium mobile marketing</t>
  </si>
  <si>
    <t>www.mobkoi.com</t>
  </si>
  <si>
    <t>165663-28P</t>
  </si>
  <si>
    <t>Quentin Le Pape</t>
  </si>
  <si>
    <t>quentin@mobkoi.com</t>
  </si>
  <si>
    <t>+44 (0)20 3567 1364</t>
  </si>
  <si>
    <t>Unit 211, 22 Highbury Grove</t>
  </si>
  <si>
    <t>N5 2EA</t>
  </si>
  <si>
    <t>contact@mobkoi.com</t>
  </si>
  <si>
    <t>The company was acquired by You &amp; Mr Jones Brandtech Ventures through an undisclosed amount of LBO on June 16, 2017. The deal will enable the company to expand operations into a number of major global markets, launching a New York office, before going on to open offices in Dubai, Singapore and Sydney.</t>
  </si>
  <si>
    <t>Mooreland Partners(Advisor: General), Taylor Wessing(Legal Advisor)</t>
  </si>
  <si>
    <t>52717-69</t>
  </si>
  <si>
    <t>MobiTV</t>
  </si>
  <si>
    <t>Idetic</t>
  </si>
  <si>
    <t>Entone, Anvato, Brightcove, ActiveVideo Networks</t>
  </si>
  <si>
    <t>Provider of a IP-based video delivery platform intended to bridge the gap between traditional TV and streaming TV. The company's platform includes a customizable cloud-based user interface, complies with Title VI rules for pay TV, including support for ratings, content protection and closed captioning, enabling subscribers to get content across multiple screens easily.</t>
  </si>
  <si>
    <t>Cable Service Providers, Multimedia and Design Software, Other Communications and Networking, Social/Platform Software*</t>
  </si>
  <si>
    <t>media delivery, media distribution, streaming tv, video delivery, video distribution</t>
  </si>
  <si>
    <t>www.mobitv.com</t>
  </si>
  <si>
    <t>2005: 10, 2006: 10, 2007: 100, 2008: 100, 2009: 100, 2010: 100, 2011: 276, 2012: 276</t>
  </si>
  <si>
    <t>61017-67P</t>
  </si>
  <si>
    <t>Terri Stevens</t>
  </si>
  <si>
    <t>terri@mobitv.com</t>
  </si>
  <si>
    <t>+1 (510) 450-5000</t>
  </si>
  <si>
    <t>6425 Christie Avenue</t>
  </si>
  <si>
    <t>+1 (510) 450-5001</t>
  </si>
  <si>
    <t>info@mobitv.com</t>
  </si>
  <si>
    <t>The company raised $10 million of venture funding from Oak Investment Partners and other undisclosed investors in January, 2019. Previously, the company raised $21 million of venture funding from Oak Investment Partners and Ally Corporate Finance on February 16, 2017. The company is being actively tracked by PitchBook.</t>
  </si>
  <si>
    <t>Ally Corporate Finance, Big Sky Partners, Gefinor Capital, Hearst Ventures, Jeffrey Brody, Limestone Capital Advisors, Menlo Ventures, Oak Investment Partners, Redpoint Ventures, Sorrento Associates, Stratim Capital, TriplePoint Capital, UCLA Ventures</t>
  </si>
  <si>
    <t>Adobe Ventures, Greenhouse Capital Partners, Moore Venture Partners</t>
  </si>
  <si>
    <t>Ally Corporate Finance(www.AllyCF.com), Big Sky Partners(www.bigskyvc.com), Gefinor Capital(www.gefinorcapital.com), Limestone Capital Advisors(www.limestoneca.com), Menlo Ventures(www.menlovc.com), Oak Investment Partners(www.oakinv.com), Redpoint Ventures(www.redpoint.com), Sorrento Associates(www.sorrentoventures.com), Stratim Capital(www.stratimcapital.com), TriplePoint Capital(www.triplepointcapital.com), UCLA Ventures(www.ventures.ucla.edu)</t>
  </si>
  <si>
    <t>Greenhouse Capital Partners(www.greenhousecap.com), Moore Venture Partners(www.moorevp.com)</t>
  </si>
  <si>
    <t>Connor Group(Accounting), Inertia Advisors(Advisor: General), PwC(Auditor)</t>
  </si>
  <si>
    <t>Deutsche Bank(Underwriter), Fenwick &amp; West(Legal Advisor), Gefinor Capital(Debt Financing), J.P. Morgan(Underwriter), KBCM Technology Group(Underwriter), Leader Ventures(Debt Financing), Robert W. Baird &amp; Co.(Underwriter), William Blair &amp; Company(Underwriter)</t>
  </si>
  <si>
    <t>44459-56</t>
  </si>
  <si>
    <t>MobileROI</t>
  </si>
  <si>
    <t>CleverTap, Braze, Sailthru, MediaMath, Dynamic Yield, Monetate, Sprinklr, Moz, Indicative, Evergage, MixPanel, Viafoura, Leanplum, DataXu, Searchmetrics, Rocket Fuel, ReviMedia, Batch (Business/Productivity Software), Reflektion, SessionM, Sprout Social, SocialFlow, FollowAnalytics, Dstillery, Parse.ly, Lexalytics, Epictions Transmedia, Centro, Kahuna, Criteo, Swrve, Apptimize, Carnival (Mobile), Pulsate, RadiumOne, Woopra, Heap, Simply Measured, MoEngage, Certain, SEMrush, Localytics, Trendemon, Salsify, quintly, DataFox, Chartbeat</t>
  </si>
  <si>
    <t>Developer of an artificial intelligence and context-aware mobile relationship marketing platform designed to help brands optimize every customer experience. The company's artificial intelligence and context-aware mobile relationship marketing platform helps to build stronger relationships, deepen loyalty and drive sales through an interactive AI virtual assistant, enabling businesses to increase their revenue and work efficiently.</t>
  </si>
  <si>
    <t>Automation/Workflow Software*, Business/Productivity Software, Media and Information Services (B2B)</t>
  </si>
  <si>
    <t>Artificial Intelligence &amp; Machine Learning, Marketing Tech, Mobile, SaaS, TMT</t>
  </si>
  <si>
    <t>increase sales, location aware platform, marketing platform, mobile application platform, mobile relationship management, optimize customer experience</t>
  </si>
  <si>
    <t>www.mobileroi.com</t>
  </si>
  <si>
    <t>2014: 67, 2016: 41</t>
  </si>
  <si>
    <t>35649-82P</t>
  </si>
  <si>
    <t>Sonpreet Bhatia</t>
  </si>
  <si>
    <t>Co-Founder, Chief Product Officer &amp; Chief Technology Officer</t>
  </si>
  <si>
    <t>sonpreet@mobileroi.com</t>
  </si>
  <si>
    <t>95 Morton Street</t>
  </si>
  <si>
    <t>10014</t>
  </si>
  <si>
    <t>info@mobileroi.com</t>
  </si>
  <si>
    <t>The company raised $5 million of Series A venture funding in a deal led by BMW i Ventures on February 25, 2011, putting the company's pre-money valuation at $25.25 million. FirstMark Capital and IA Ventures also participated in the round. Previously, the company raised $1 million of seed funding in a deal led by New York City Economic Development on August 6, 2010, putting the company's pre-money valuation at $2.03 million. IA Ventures and FirstMark Capital also participated in the round.</t>
  </si>
  <si>
    <t>BMW i Ventures, FirstMark Capital, IA Ventures, New York City Economic Development</t>
  </si>
  <si>
    <t>BMW i Ventures(www.bmwiventures.com), FirstMark Capital(www.firstmarkcap.com), IA Ventures(www.iaventures.com), New York City Economic Development(www.nycedc.com)</t>
  </si>
  <si>
    <t>92161-45</t>
  </si>
  <si>
    <t>MobiKwik</t>
  </si>
  <si>
    <t>Ringpay, Citrus Payment Solutions, Acculynk, FTCash, YTS Solutions, Razorpay, My Mobile Payments, Paytm, MobiSwipe, Satispay, Skrill, OnOnPay, Venmo, iKaaz, Suvidhaa, Kudo, Ezetap, Eko India Financial Services, Juspay, Freecharge Payment Technologies, Payfirma, Allied Payment Network, PayPal Holdings, Klarna, PayUMoney</t>
  </si>
  <si>
    <t>Provider of an independent mobile payments network intended to offer comprehensive and easy online monetary transactions. The company's payment gateway offers pre-paid digital wallet, enabling users to make wireless payments for phone recharges, online shopping, movie tickets without requiring a credit card number or bank account to make payments online.</t>
  </si>
  <si>
    <t>Application Software, Financial Software*</t>
  </si>
  <si>
    <t>E-Commerce, FinTech, Mobile Commerce, TMT</t>
  </si>
  <si>
    <t>bill payment, easy payment, mobile payment, online phone recharging, online transaction</t>
  </si>
  <si>
    <t>www.mobikwik.com</t>
  </si>
  <si>
    <t>2014: 90, 2015: 182, 2017: 330</t>
  </si>
  <si>
    <t>82201-78P</t>
  </si>
  <si>
    <t>Bipin Singh</t>
  </si>
  <si>
    <t>bipin@mobikwik.com</t>
  </si>
  <si>
    <t>+91 (0)94 6644 6644</t>
  </si>
  <si>
    <t>Gurgaon, India</t>
  </si>
  <si>
    <t>2nd Floor, Orchid Centre</t>
  </si>
  <si>
    <t>Golf Course Road, Sector 53</t>
  </si>
  <si>
    <t>Gurgaon</t>
  </si>
  <si>
    <t>Haryana</t>
  </si>
  <si>
    <t>122002</t>
  </si>
  <si>
    <t>contact@mobikwik.com</t>
  </si>
  <si>
    <t>The company was in talks to receive $125 million of development capital from Abraaj Group and undisclosed undisclosed investors on June 22, 2018. Existing investors might have also participated in this round. Subsequently the deal was cancelled. Previously, a 12.60% stake in the company was acquired by Bajaj Finance (BOM: 500034) for INR 2.25 billion on January 16, 2018. Bajaj Finance's investment is intended to support MobiKwik's existing lines of businesses, develop front-end applications for users availing its financial services, and to enable its customers to have a one-stop solution for all debit and credit spends.</t>
  </si>
  <si>
    <t>American Express Ventures, Bajaj Finance, Bennett Coleman and Company, Brand Capital, Cisco Investments, GMO VenturePartners, MediaTek, Net 1 UEPS Technologies, Sequoia Capital India, Tree Line Asia</t>
  </si>
  <si>
    <t>Bennett Coleman and Company(www.timesgroup.com), Brand Capital(www.brandcapital.co.in), Cisco Investments(www.ciscoinvestments.com), GMO VenturePartners(www.gmo-vp.com), MediaTek(www.mediatek.com), Net 1 UEPS Technologies(www.net1.com), Sequoia Capital India(www.sequoiacap.com/india)</t>
  </si>
  <si>
    <t>Ambit(Advisor: General), InnoVen Capital(Debt Financing)</t>
  </si>
  <si>
    <t>86688-91</t>
  </si>
  <si>
    <t>Mobeewave</t>
  </si>
  <si>
    <t>MobiKwik, Aevi International, WePay, Litle &amp; Co. (Payemnt Platform), Hyperwallet Systems, Global Payout, MineralTree, Paytm, BlueSnap, Kudo, CardinalCommerce, Square, ZooZ, Skrill, BillingTree, EBANX, Stripe, 2Checkout (Acquired), WorldPay (Global Payment Processing), PayStand, Spreedly, Sterling Payment Technologies, Venmo, BluePay, Secure Trading, Paymentwall, FastSpring, Mobivi, Freecharge Payment Technologies, GlobalCollect, NMI, Adyen</t>
  </si>
  <si>
    <t>Provider of an online mobile payment platform intended to turn any Near-Field Communication (NFC) phone into a mobile payment terminal. The company's online mobile payment platform provides businesses with access to a global banking network via application program interface (API) technology, enabling smartphones to accept contact less payments without external hardware.</t>
  </si>
  <si>
    <t>Application Software*, Financial Software</t>
  </si>
  <si>
    <t>FinTech, Internet of Things, Mobile, Mobile Commerce, TMT</t>
  </si>
  <si>
    <t>cashless payment, mobile payment platform, mobile payment technology, mobile payment terminal</t>
  </si>
  <si>
    <t>www.mobeewave.com</t>
  </si>
  <si>
    <t>2015: 22</t>
  </si>
  <si>
    <t>93531-97P</t>
  </si>
  <si>
    <t>Benjamin du Haÿs</t>
  </si>
  <si>
    <t>benjamin.du@mobeewave.com</t>
  </si>
  <si>
    <t>+1 (514) 798-5474</t>
  </si>
  <si>
    <t>80 rue Queen</t>
  </si>
  <si>
    <t>H3C 2N5</t>
  </si>
  <si>
    <t>info@mobeewave.com</t>
  </si>
  <si>
    <t>The company raised $16.5 million of Series B venture funding in a deal led by Forestay Capital, MasterCard Start Path Accelerator and NewAlpha Asset Management on November 1, 2018. Samsung Venture Investment also participated in the round. Previously, Fort Ross Ventures sold a stake in the company to an undisclosed buyer on October 30, 2018.</t>
  </si>
  <si>
    <t>Forestay Capital, MasterCard Start Path Accelerator, NewAlpha Asset Management, Samsung Venture Investment</t>
  </si>
  <si>
    <t>Fort Ross Ventures</t>
  </si>
  <si>
    <t>Forestay Capital(www.forestaycapital.com), MasterCard Start Path Accelerator(www.startpath.com), NewAlpha Asset Management(www.newalpha.net), Samsung Venture Investment(www.samsungventures.com)</t>
  </si>
  <si>
    <t>Fort Ross Ventures(www.fortross.vc)</t>
  </si>
  <si>
    <t>NovitasFTCL(Advisor: General), Oakland Partners(Advisor: General)</t>
  </si>
  <si>
    <t>86688-82</t>
  </si>
  <si>
    <t>Mobcrush</t>
  </si>
  <si>
    <t>Hitbox, OL2, Caffeine (Social Broadcasting Platform), Twitch Interactive, Xfire, Omlet Arcade, Raptr, Kamcord, Disco Melee, Douyu, Shou, Dailymotion, Plays.tv, Forge, Netflix, Rumble Entertainment, Discord, Exent</t>
  </si>
  <si>
    <t>Developer of a mobile game streaming platform designed to provide live streaming and the creator-driven media revolution. The company's platform offers a real-time online gaming application, enabling online gamers to get indulged into the world of virtual reality and play various kinds of online games, along with communicating with other gamers.</t>
  </si>
  <si>
    <t>Entertainment Software, Social Content, Social/Platform Software*</t>
  </si>
  <si>
    <t>eSports, Gaming, Mobile, SaaS, TMT, Virtual Reality</t>
  </si>
  <si>
    <t>mobile games streaming, mobile games streaming platform, video streaming</t>
  </si>
  <si>
    <t>www.mobcrush.com</t>
  </si>
  <si>
    <t>2015: 17, 2016: 30</t>
  </si>
  <si>
    <t>88783-30P</t>
  </si>
  <si>
    <t>Royce Disini</t>
  </si>
  <si>
    <t>royce@mobcrush.com</t>
  </si>
  <si>
    <t>301 Arizona Avenue</t>
  </si>
  <si>
    <t>glgp@mobcrush.com</t>
  </si>
  <si>
    <t>The company raised $20 million of Series B venture funding in a deal led by Evolution Media on September 13, 2016, putting the company's pre-money valuation at $82.09 million. Kleiner Perkins, Raine Ventures, Lowercase Capital, First Round Capital and other undisclosed investors also participated in the round. The funding will be used by the company to strengthen its market position and increase its users as well as hire more engineers. Ascolta Ventures and Preon Capital Partners also participated.</t>
  </si>
  <si>
    <t>Advancit Capital, Ascolta Ventures, BAM Ventures, CAA Ventures, Chris Carvalho, Crosscut Ventures, Evolution Media, First Round Capital, Gordon Rubenstein, Kleiner Perkins, LionsGate Entertainment, Lowercase Capital, MTGx, Mtgx Mediafactory, Preon Capital Partners, Raine Ventures, Richard Wolpert, Rincon Venture Partners, Tuesday Capital</t>
  </si>
  <si>
    <t>Advancit Capital(www.advancitcapital.com), Ascolta Ventures(www.ascoltavc.com), BAM Ventures(www.bam.vc), CAA Ventures(ventures.caa.com), Crosscut Ventures(www.crosscut.vc), Evolution Media(www.evolutionmedia.com), First Round Capital(www.firstround.com), Kleiner Perkins(www.kleinerperkins.com), LionsGate Entertainment(www.lionsgate.com), Lowercase Capital(www.lowercasecapital.com), MTGx(www.mtgx.se), Mtgx Mediafactory(www.mtgxmediafactory.com), Preon Capital Partners(www.preoncapital.com), Rincon Venture Partners(www.rinconvp.com), Tuesday Capital(www.tuesday.vc)</t>
  </si>
  <si>
    <t>108328-51</t>
  </si>
  <si>
    <t>Miyoko's Kitchen</t>
  </si>
  <si>
    <t>Miyoko's</t>
  </si>
  <si>
    <t>Follow Your Heart, Heidi Ho, Fauxmagerie Zengarry, Field Roast Grain Meat Company, Kite Hill, MorningStar Farms, Treeline</t>
  </si>
  <si>
    <t>Operator of an online and retail platform intended to offer vegan cheese and butter products. The company's platform offers premium revolutionary cheese and butter products crafted from plants, enabling people to avail a full line of handcrafted organic vegan nut and dairy products.</t>
  </si>
  <si>
    <t>Department Stores, Food Products*, Internet Retail</t>
  </si>
  <si>
    <t>cheese alternative, dairy alternative, nuts product, plant-based, specialty grocer, vegan cheese, vegan food</t>
  </si>
  <si>
    <t>www.miyokos.com</t>
  </si>
  <si>
    <t>2016: 40, 2018: 85</t>
  </si>
  <si>
    <t>146072-71P</t>
  </si>
  <si>
    <t>John Breen</t>
  </si>
  <si>
    <t>Chief Financial Officer, Finance</t>
  </si>
  <si>
    <t>john@miyokoskitchen.com</t>
  </si>
  <si>
    <t>+1 (415) 521-5313</t>
  </si>
  <si>
    <t>2086 Marina Avenue</t>
  </si>
  <si>
    <t>info@miyokoskitchen.com</t>
  </si>
  <si>
    <t>The company raised $6 million of Series B venture funding in a deal led by JMK Consumer Growth Partners via CircleUp Network on February 13, 2017, putting the company's pre-money valuation at $24 million. Obvious Ventures, Stray Dog Capital and CircleUp Network also participated in the round. The funds will be used to complete a new manufacturing facility in Petaluma as well as to support the significant growth expected in the coming years. Previously, the company raised $1.74 million of Series A1 venture funding from Obvious Ventures, New Crop Capital and Stray Dog Capital on February 29, 2016, putting the company's pre-money valuation at $6 million.</t>
  </si>
  <si>
    <t>CircleUp Network, JMK Consumer Growth Partners, New Crop Capital, Obvious Ventures, Stray Dog Capital</t>
  </si>
  <si>
    <t>CircleUp Network(www.circleup.com), JMK Consumer Growth Partners(www.jmkconsumer.com), New Crop Capital(www.newcropcapital.com), Obvious Ventures(www.obvious.com), Stray Dog Capital(www.straydogcapital.com)</t>
  </si>
  <si>
    <t>Schinner &amp; Shain(Legal Advisor)</t>
  </si>
  <si>
    <t>CircleUp Network(Lead Manager or Arranger), Schinner &amp; Shain(Legal Advisor)</t>
  </si>
  <si>
    <t>55765-90</t>
  </si>
  <si>
    <t>MiTu</t>
  </si>
  <si>
    <t>Fullscreen Media, Jukin Media, StoryChief</t>
  </si>
  <si>
    <t>Provider of a video platform designed to connect brands, content buyers, and creators to Latino youth in America. The company's video platform offers lifestyle programming for the YouTube-connected Latino audience in English and Spanish, enabling Latino users to avail the enhanced video experience.</t>
  </si>
  <si>
    <t>Movies, Music and Entertainment*, Multimedia and Design Software</t>
  </si>
  <si>
    <t>content studio, digital media, latino audience, latino youth, video platform</t>
  </si>
  <si>
    <t>www.wearemitu.com</t>
  </si>
  <si>
    <t>2014: 11, 2015: 48, 2016: 120, 2017: 100</t>
  </si>
  <si>
    <t>44877-97P</t>
  </si>
  <si>
    <t>Beatriz Acevedo</t>
  </si>
  <si>
    <t>bacevedo@mitunetworks.com</t>
  </si>
  <si>
    <t>+1 (310) 841-6488</t>
  </si>
  <si>
    <t>2105 Colorado Ave</t>
  </si>
  <si>
    <t>info@mitunetwork.com</t>
  </si>
  <si>
    <t>The company raised $27 million of Series C venture funding from AwesomenessTV, Verizon Ventures and WPP on January 13, 2016, putting the company's pre-money valuation at $78.77 million. Upfront Ventures and Northgate capital also participated in the round. The company will use funds in sales, content production and product and technology to expand its content-publishing platform and audience data tools, launch its influencer-marketing platform and expand its ecosystem of apps.</t>
  </si>
  <si>
    <t>Advancit Capital, Allen DeBevoise, AMC Networks, AwesomenessTV, Code Advisors, Daher Capital, Individual Investor, Lawrence Braitman, Northgate Australian Ventures, Northgate Capital, QueensBridge Venture Partners, The Chernin Group, Third Wave Digital, Upfront Ventures, Verizon Ventures, WPP</t>
  </si>
  <si>
    <t>Advancit Capital(www.advancitcapital.com), AwesomenessTV(www.awesomenesstvnetwork.com), Code Advisors(www.codeadvisors.com), Lawrence Braitman(www.braitman.co), Northgate Capital(www.northgate.com), QueensBridge Venture Partners(www.qbvp.com), Third Wave Digital(www.thirdwavedigital.vc), Upfront Ventures(www.upfront.com), Verizon Ventures(www.verizonventures.com), WPP(www.wpp.com)</t>
  </si>
  <si>
    <t>Gunderson Dettmer(Legal Advisor), Vaughan Capital Advisors(Advisor: General)</t>
  </si>
  <si>
    <t>223571-98</t>
  </si>
  <si>
    <t>Mitte</t>
  </si>
  <si>
    <t>Provider of a smart home water system intended to purify water through innovative distillation technologies. The company's system is designed to replicate the mineralization process of natural and pure water flows, while giving consumers the option to choose a tailored hydration experience, enabling users to personalize their daily drinking water with different mineral cartridges containing varying levels of natural minerals.</t>
  </si>
  <si>
    <t>Electronics (B2C), Household Appliances*, Water Utilities</t>
  </si>
  <si>
    <t>CleanTech, Internet of Things</t>
  </si>
  <si>
    <t>distillation-based method, mineral cartridge, mineral water, natural water cycle, smart home water system, water purification system</t>
  </si>
  <si>
    <t>www.mitte.co</t>
  </si>
  <si>
    <t>2018: 26</t>
  </si>
  <si>
    <t>178075-27P</t>
  </si>
  <si>
    <t>Faebian Bastiman</t>
  </si>
  <si>
    <t>faebian@mitte.co</t>
  </si>
  <si>
    <t>+49 (0)30 8049 3271</t>
  </si>
  <si>
    <t>Brunnenstrasse 196</t>
  </si>
  <si>
    <t>contact@mitte.co</t>
  </si>
  <si>
    <t>The company raised $10.6 million of seed funding in a deal led by Danone Manifesto Ventures on August 29, 2018. New Protein Capital and Karcher New Venture also participated in the round. Prior to that, the company joined German Accelerator as a part of its Silicon Valley Class of Fall 2018 on 2018. Previously, the company raised EUR 2.3 million of seed funding from Atlantic Food Labs and Döhler Ventures on December 18, 2017. Earlier, the company raised EUR 295,780 of product crowdfunding via Indiegogo and Kickstarter on November 23, 2017.</t>
  </si>
  <si>
    <t>Atlantic Food Labs, Danone Manifesto Ventures, Döhler Ventures, German Accelerator, Horizon 2020, Kärcher New Venture, New Protein Capital</t>
  </si>
  <si>
    <t>Atlantic Food Labs(www.foodlabs.de), Danone Manifesto Ventures(www.danoneventures.com), Döhler Ventures(www.doehler-ventures.com), German Accelerator(www.germanaccelerator.com), New Protein Capital(visviresnewprotein.com)</t>
  </si>
  <si>
    <t>Indiegogo(Lead Manager or Arranger), Kickstarter(Lead Manager or Arranger)</t>
  </si>
  <si>
    <t>160940-08</t>
  </si>
  <si>
    <t>Mist Systems</t>
  </si>
  <si>
    <t>Mist</t>
  </si>
  <si>
    <t>Aryaka, Arrayent, Aruba Networks, Ekahau, Pluribus Networks, Cato Networks, Mettle Networks, Xirrus, Exinda, Bigleaf Networks, FogHorn, Cumulus Networks, VeloCloud, Fluidmesh Network, Particle, Electric Imp, Ayla Networks, Silver Peak, Extreme Networks, Talari Networks, Aerohive Networks, Nyansa, Ruckus Wireless, Cisco Systems, Hewlett Packard Enterprise, Cisco Meraki, Mojo Diagnostics, Arris (Taiwan Manufacturing Facility)</t>
  </si>
  <si>
    <t>Provider of a AI-driven wireless platform designed to make Wi-Fi predictable, reliable and measurable. The company's platform offers unprecedented visibility into the user experience and replaces time consuming manual IT tasks with proactive automation, enabling clients to get personalized, location-based wireless services without requiring battery-powered beacons.</t>
  </si>
  <si>
    <t>Business/Productivity Software*, Network Management Software, Other Communications and Networking</t>
  </si>
  <si>
    <t>ai-powered technology, location data technology, networking, wireless network, wireless networking, wireless technology platform</t>
  </si>
  <si>
    <t>www.mist.com</t>
  </si>
  <si>
    <t>2016: 35, 2018: 100, 2019: 150</t>
  </si>
  <si>
    <t>137449-00P</t>
  </si>
  <si>
    <t>Sujai Hajela</t>
  </si>
  <si>
    <t>sujai.hajela@mist.com</t>
  </si>
  <si>
    <t>+1 (408) 326-0346</t>
  </si>
  <si>
    <t>Suite 248</t>
  </si>
  <si>
    <t>info@mist.com</t>
  </si>
  <si>
    <t>The company reached a definitive agreement to be acquired by Juniper Networks (NYS: JNPR) for $405 million on March 4, 2019. Earlier, the company raised $46 million of Series C venture funding in a deal led by Kleiner Perkins on February 28, 2018, putting the company's pre-money valuation at $200 million. GV, NTT Docomo Ventures, Dimension Data, Lightspeed Venture Partners and Norwest Venture Partners also participated in the round. The company is being actively tracked by pitchBook.</t>
  </si>
  <si>
    <t>Cisco Investments, Dimension Data, GV, Kleiner Perkins, Lightspeed Venture Partners, Norwest Venture Partners, NTT Docomo Ventures</t>
  </si>
  <si>
    <t>Juniper Networks</t>
  </si>
  <si>
    <t>Cisco Investments(www.ciscoinvestments.com), Dimension Data(www.dimensiondata.com), GV(www.gv.com), Kleiner Perkins(www.kleinerperkins.com), Lightspeed Venture Partners(www.lsvp.com), Norwest Venture Partners(www.nvp.com), NTT Docomo Ventures(www.nttdocomo-v.com)</t>
  </si>
  <si>
    <t>Juniper Networks(www.juniper.net)</t>
  </si>
  <si>
    <t>Deloitte(Auditor), Silicon Valley Bank(General Business Banking), The Millard Group (Connecticut)(Consulting)</t>
  </si>
  <si>
    <t>Cooley(Legal Advisor), Sullivan &amp; Cromwell(Legal Advisor)</t>
  </si>
  <si>
    <t>161630-11</t>
  </si>
  <si>
    <t>Mission Secure</t>
  </si>
  <si>
    <t>MSi</t>
  </si>
  <si>
    <t>Tenable, Lancope, BeyondTrust Software, Owl Cyber Defense Solutions, Ioactive, Set Solutions, ForeScout, Thycotic Software, BeyondTrust Software (Acquired), CrowdStrike, SecurityMetrics, Carbon Black, SSH Communications Security, BalaBit, Venafi, Qualys, Corsec Security</t>
  </si>
  <si>
    <t>Provider of a control system cybersecurity platform intended to offer cyber visibility and endpoint protection to operational technology (OT) and control systems. The company's platform takes operational technology cybersecurity to all levels of control systems while maintaining the benefits of a networked environment which can be deployed and managed by a non-IT professional, enabling companies to enhance their cybersecurity control systems.</t>
  </si>
  <si>
    <t>anti-theft app, control system, cyber defense, cybersecurity platform, operational technology software</t>
  </si>
  <si>
    <t>www.missionsecure.com</t>
  </si>
  <si>
    <t>52358-50P</t>
  </si>
  <si>
    <t>David Drescher</t>
  </si>
  <si>
    <t>d.drescher@missionsecure.com</t>
  </si>
  <si>
    <t>+1 (434) 284-8071</t>
  </si>
  <si>
    <t>300 Preston Avenue</t>
  </si>
  <si>
    <t>info@missionsecure.com</t>
  </si>
  <si>
    <t>The company raised $8 million of Series A venture funding in a deal led by Chevron Technology Ventures and Energy Innovation Capital on October 10, 2018, putting the company's pre-money valuation at $24 million. R/GA Ventures, Blue Bear Capital, Felton Group, Macquarie Group and UVA LVG Seed Fund also participated in the round. The company intends to use the funds to accelerate growth and expansion throughout the energy, defense, and transportation sectors.</t>
  </si>
  <si>
    <t>Blue Bear Capital, Chevron Technology Ventures, Energy Innovation Capital, Felton Group, Macquarie Group, R/GA Ventures, The Ballast Fund, United States Department of Defense, UVA Funds, UVA LVG Seed Fund</t>
  </si>
  <si>
    <t>Blue Bear Capital(www.bluebearcap.com), Energy Innovation Capital(www.energyinnovationcapital.com), Felton Group(www.feltongroup.org), Macquarie Group(www.macquarie.com), R/GA Ventures(ventures.rga.com), The Ballast Fund(www.theballastfund.com), United States Department of Defense(www.defense.gov), UVA Funds(www.uvafund.virginia.edu), UVA LVG Seed Fund(lvg.virginia.edu/uva-seed-fund/uva-seed-fund)</t>
  </si>
  <si>
    <t>96405-76</t>
  </si>
  <si>
    <t>Mirexus Biotechnologies</t>
  </si>
  <si>
    <t>Operator of a natural biomaterials company designed to commercialize nanotechnology based on polysaccharide nanoparticles. The company's natural biomaterials can be used in a wide variety of markets ranging from cosmetics to nutraceuticals to biomedical applications in animal and human health.</t>
  </si>
  <si>
    <t>Biotechnology*, Other Pharmaceuticals and Biotechnology, Pharmaceuticals</t>
  </si>
  <si>
    <t>biomaterials, nanoparticles, nanotechnology, natural biomaterial, nutraceuticals, polysaccharide nanoparticles</t>
  </si>
  <si>
    <t>www.mirexusbiotech.com</t>
  </si>
  <si>
    <t>2015: 13, 2018: 18</t>
  </si>
  <si>
    <t>99791-74P</t>
  </si>
  <si>
    <t>Greg Stewart</t>
  </si>
  <si>
    <t>Chief Financial Officer &amp; Chairman</t>
  </si>
  <si>
    <t>gstewart@greenskycapital.com</t>
  </si>
  <si>
    <t>+1 (416) 585-7850 x 136</t>
  </si>
  <si>
    <t>Guelph, Canada</t>
  </si>
  <si>
    <t>574 Hanlon Creek Boulevard</t>
  </si>
  <si>
    <t>Guelph</t>
  </si>
  <si>
    <t>N1C 0A1</t>
  </si>
  <si>
    <t>+1 (519) 829-1221</t>
  </si>
  <si>
    <t>The company raised $12 million of venture funding in a deal led by Goddard Enterprises on June 29, 2017. GreenSky Capital also participated in the round. The company will use the funds to to finance a factory to produce PhytoSpherix, to boost business development, particularly in the Personal Care market, and increase R&amp;D to develop new personal care, nutraceutical and biomedical applications. The funding was raised in the form of convertible debt.</t>
  </si>
  <si>
    <t>ArcTern Ventures, Asahi Kasei Corporate Venture Capital, Goddard Enterprises, GreenCentre Canada, GreenSky Capital, Innovation, Science and Economic Development Canada, Ontario Ministry of Agriculture, Food and Rural Affairs</t>
  </si>
  <si>
    <t>ArcTern Ventures(www.arcternventures.com), Asahi Kasei Corporate Venture Capital(www.asahikaseiventures.com), GreenCentre Canada(www.greencentrecanada.com), GreenSky Capital(www.greenskycapital.com), Innovation, Science and Economic Development Canada(www.ic.gc.ca), Ontario Ministry of Agriculture, Food and Rural Affairs(www.omafra.gov.on.ca)</t>
  </si>
  <si>
    <t>MaRS Discovery District(Advisor: General)</t>
  </si>
  <si>
    <t>55922-32</t>
  </si>
  <si>
    <t>Mirantis</t>
  </si>
  <si>
    <t>ClearLogic Software</t>
  </si>
  <si>
    <t>Hitachi Vantara, MuleSoft, NetApp, vArmour, UnitedStack, Racemi, Akamai Technologies, Sophos, QStack, CloudVelox, SwiftStack, Scality, Pluribus Networks, Zerto, OpenIO, Platform9, CoreOS, Blue Box Group, 99cloud, Oracle, Rackspace US, Apcera, Aerohive Networks, Cloudenablers, Cumulus Networks, The Cloudscaling Group, SnapLogic, ZeroStack, Arista Networks, Aruba Networks, Scalr, RackWare, City Cloud International, Eucalyptus Systems, Information Builders, Nubeliu, Ansible, Veeam, Skytap, Nexenta, Cloudian, RightScale, Caringo, Amazon Web Services, Softlayer Technologies, Diamanti, Apprenda, Green Hills Software, NephoScale, RiverMeadow, Piston Cloud Computing, Chef, CaiCloud, Infor Global Solutions, Velostrata, Seaweed File System, Nasuni, Micro Focus, Connectloud, Sigma Resources and Technologies, DataDirect Networks, ElasticBox, SUSE, Canonical, OpenStack Foundation, Kubernetes, Red Hat</t>
  </si>
  <si>
    <t>Provider of a technology platform intended to build and manage open cloud infrastructure with no vendor lock-in. The company's technology platform provides software, services, training and support to build and run open source cloud infrastructures, enabling businesses to use a hybrid cloud service while averting the many risks associated with public cloud projects.</t>
  </si>
  <si>
    <t>Database Software, Network Management Software, Systems and Information Management*</t>
  </si>
  <si>
    <t>cloud infrastructure, cloud operations, cloud sourcing application, open source cloud, open sourcing software, openstack, tools library</t>
  </si>
  <si>
    <t>www.mirantis.com</t>
  </si>
  <si>
    <t>2012: 300, 2013: 430, 2014: 501, 2015: 750, 2016: 900, 2017: 700</t>
  </si>
  <si>
    <t>45762-22P</t>
  </si>
  <si>
    <t>Alex Freedland</t>
  </si>
  <si>
    <t>afreedland@mirantis.com</t>
  </si>
  <si>
    <t>+1 (650) 963-9828</t>
  </si>
  <si>
    <t>525 Almanor Avenue</t>
  </si>
  <si>
    <t>+1 (650) 968-2997</t>
  </si>
  <si>
    <t>The company raised venture funding from Two Sigma Ventures and Black River Ventures on an undisclosed date.</t>
  </si>
  <si>
    <t>August Capital, Black River Ventures, Dell Technologies Capital, Ericsson Ventures, Insight Partners, Intel Capital, Red Hat, Russia Partners, Sapphire Ventures, Siguler Guff &amp; Company, Stratim Capital, The Goldman Sachs Group, Two Sigma Ventures, WestSummit Capital</t>
  </si>
  <si>
    <t>August Capital(www.augustcap.com), Black River Ventures(www.brv.vc), Insight Partners(www.insightpartners.com), Intel Capital(www.intelcapital.com), Red Hat(www.redhat.com), Russia Partners(www.russiapartners.com), Sapphire Ventures(www.sapphireventures.com), Siguler Guff &amp; Company(www.sigulerguff.com), Stratim Capital(www.stratimcapital.com), The Goldman Sachs Group(www.goldmansachs.com), Two Sigma Ventures(www.twosigmaventures.com), WestSummit Capital(www.westsummitcap.com)</t>
  </si>
  <si>
    <t>Launch Search Partners(Consulting), Morrison &amp; Foerster(Legal Advisor), True Capital Partners(Advisor: General)</t>
  </si>
  <si>
    <t>56328-67</t>
  </si>
  <si>
    <t>MineSense Technologies</t>
  </si>
  <si>
    <t>MineSense</t>
  </si>
  <si>
    <t>Provider of data analytics systems intended to improve the productivity and environmental footprint of mines. The company's system provides real-time, sensor-based ore sorting services, enabling clients to sort ores easily and enhance mine planning.</t>
  </si>
  <si>
    <t>Electronic Equipment and Instruments, Other Metals, Minerals and Mining*</t>
  </si>
  <si>
    <t>bulk ore sorting, metal extraction, mineral sensing platform, mining and extraction, mining technology, ore routing technology, ore sorting, sensor-based metal extraction</t>
  </si>
  <si>
    <t>www.minesense.com</t>
  </si>
  <si>
    <t>2016: 35, 2017: 39, 2018: 47</t>
  </si>
  <si>
    <t>40881-70P</t>
  </si>
  <si>
    <t>Lisa Payne</t>
  </si>
  <si>
    <t>lpayne@minesense.com</t>
  </si>
  <si>
    <t>+1 (604) 449-3780</t>
  </si>
  <si>
    <t>100-8365 Ontario Street</t>
  </si>
  <si>
    <t>V5X 3E8</t>
  </si>
  <si>
    <t>+1 (604) 738-9050</t>
  </si>
  <si>
    <t>info@minesense.com</t>
  </si>
  <si>
    <t>The company raised $18 million of Series C venture funding in a deal led by Prelude Ventures on August 7, 2018. Caterpillar Ventures, Mitsubishi, ABB Technology Ventures, Aurus Capital, Chrysalix Venture Capital and Cycle Capital Management also participated in the round.</t>
  </si>
  <si>
    <t>ABB Technology Ventures, Aurus Capital, Caterpillar Ventures, Chrysalix Venture Capital, Cycle Capital/Ecofuel, Export Development Canada, Government of Canada, Mitsubishi, New Ventures BC, Prelude Ventures, Sustainable Development Technology Canada</t>
  </si>
  <si>
    <t>Aurus Capital(www.aurus.cl), Chrysalix Venture Capital(www.chrysalix.com), Cycle Capital/Ecofuel(www.cyclecapital.com), Export Development Canada(www.edc.ca), Government of Canada(www.canada.ca), Mitsubishi(www.mitsubishicorp.com), New Ventures BC(www.newventuresbc.com), Prelude Ventures(www.preludeventures.com), Sustainable Development Technology Canada(www.sdtc.ca)</t>
  </si>
  <si>
    <t>Blake Cassels &amp; Graydon(Legal Advisor), Deloitte(Auditor)</t>
  </si>
  <si>
    <t>Blake Cassels &amp; Graydon(Legal Advisor), LaBarge Weinstein(Legal Advisor), Silicon Valley Bank(Debt Financing)</t>
  </si>
  <si>
    <t>108977-41</t>
  </si>
  <si>
    <t>Mindshow</t>
  </si>
  <si>
    <t>Visionary VR</t>
  </si>
  <si>
    <t>Wevr, NextVR, Pixvana, EON Reality, Augment (Multimedia and Design Software), Cloudhead Games, Vuforia, Resolution (Gaming Studio), Onshape, Survios</t>
  </si>
  <si>
    <t>Developer of a software designed to make story creation simple and fun. The company's software helps users to make animated movies in virtual reality, bring characters to life with voice and body movement, and record actions from different angles, enabling clients to build stories in virtual relity.</t>
  </si>
  <si>
    <t>Entertainment Software*, Multimedia and Design Software</t>
  </si>
  <si>
    <t>storytelling software, virtual reality software, virtual reality stories, virtual storytelling platform, virtualized platform</t>
  </si>
  <si>
    <t>www.mindshow.com</t>
  </si>
  <si>
    <t>2015: 10, 2016: 13, 2017: 13</t>
  </si>
  <si>
    <t>104178-16P</t>
  </si>
  <si>
    <t>Cosmo Scharf</t>
  </si>
  <si>
    <t>Co-Founder, Chief Experience Officer and Board Member</t>
  </si>
  <si>
    <t>cosmo.scharf@mindshow.com</t>
  </si>
  <si>
    <t>+1 (213) 531-0277</t>
  </si>
  <si>
    <t>333 South Grand Avenue</t>
  </si>
  <si>
    <t>Suite 4325</t>
  </si>
  <si>
    <t>90071</t>
  </si>
  <si>
    <t>hello@mindshow.com</t>
  </si>
  <si>
    <t>The company raised an estimated $8 million of Series A-1 venture funding from Pritzker Group Venture Capital and other undisclosed investors on May 24, 2017, putting the pre-money valuation at $30 million.</t>
  </si>
  <si>
    <t>Anamitra Banerji, Bertelsmann Digital Media Investments, Boost VC, Carl Rosendale, Douglas Purdy, Draper Fisher Jurvetson Management, End Cue, Ethan Beard, GC VR Gaming Tracker Fund, Greylock Partners, Jeffery Marx, Jonathan Goldman, Lee Rierson, Pritzker Group Venture Capital, The Venture Reality Fund, Vayner/RSE, Walter Kortschak</t>
  </si>
  <si>
    <t>Bertelsmann Digital Media Investments(www.bdmifund.com), Boost VC(www.boost.vc), Draper Fisher Jurvetson Management(www.dfj.com), End Cue(audaxfilms.com), Greylock Partners(www.greylock.com), Pritzker Group Venture Capital(www.pritzkergroup.com/venture-capital), The Venture Reality Fund(www.thevrfund.com), Vayner/RSE(www.vaynerrse.com), Walter Kortschak(www.kilp.vc)</t>
  </si>
  <si>
    <t>54353-26</t>
  </si>
  <si>
    <t>Milleporte</t>
  </si>
  <si>
    <t>Brands for Friends</t>
  </si>
  <si>
    <t>K.K.B4F</t>
  </si>
  <si>
    <t>Operator of an online e-commerce shopping platform. The company operates an online shopping website in Japan that sells a wide variety of products including books, accessories, clothing, lifestyle products and wine and gourmet products.</t>
  </si>
  <si>
    <t>online purchasing, shopping club, shopping platform</t>
  </si>
  <si>
    <t>www.milleporte.com</t>
  </si>
  <si>
    <t>67677-94P</t>
  </si>
  <si>
    <t>Armel Cahierre</t>
  </si>
  <si>
    <t>armel.cahierre@brands4friends.jp</t>
  </si>
  <si>
    <t>+81 (0)35 738 5350</t>
  </si>
  <si>
    <t>1-13-9 Tomigaya</t>
  </si>
  <si>
    <t>Fonte Nishi-Harajuku 5F, Shibuya-ku</t>
  </si>
  <si>
    <t>151-0063</t>
  </si>
  <si>
    <t>support@milleporte.com</t>
  </si>
  <si>
    <t>The company received an undisclosed amount of development capital from WM Partners on March 20, 2015.</t>
  </si>
  <si>
    <t>HV Holtzbrinck Ventures, Partech Partners, Recruit Strategic Partners, Tengelmann Ventures, WM Partners (Information Technology Services)</t>
  </si>
  <si>
    <t>HV Holtzbrinck Ventures(www.hvventures.com), Partech Partners(www.partechpartners.com), Recruit Strategic Partners(recruitstrategicpartners.com), Tengelmann Ventures(www.tev.de), WM Partners (Information Technology Services)(www.wmpartners.jp)</t>
  </si>
  <si>
    <t>128600-83</t>
  </si>
  <si>
    <t>Milk + Honey</t>
  </si>
  <si>
    <t>Operator of a beauty brand and spas intended to provide a design-forward environment for both men and women. The company offers a range of spa treatments including massages, facials, waxing, body treatments and natural nail therapy and has created a line of products for the body, face and hair, made with hyperclean ingredients, providing customers with effective results with long-lasting benefits.</t>
  </si>
  <si>
    <t>Personal Products, Recreational Goods*</t>
  </si>
  <si>
    <t>Beauty</t>
  </si>
  <si>
    <t>beauty and skincare product, beauty product, personal care product, spa operator, spa service provider</t>
  </si>
  <si>
    <t>www.milkandhoney.com</t>
  </si>
  <si>
    <t>204262-84P</t>
  </si>
  <si>
    <t>Alissa Bayer</t>
  </si>
  <si>
    <t>Chief Financial Officer, Owner and Founder</t>
  </si>
  <si>
    <t>alissabayer@milkandhoney.com</t>
  </si>
  <si>
    <t>+1 (512) 236-1115</t>
  </si>
  <si>
    <t>100A Guadalupe Street</t>
  </si>
  <si>
    <t>The company raised an undisclosed amount of venture funding from Emil Capital Partners, Keller Capital and Timothy Ferriss on April 29, 2019. The funds will be used to propel the expansion of milk + honey's spas as well as their organic, clean product line.</t>
  </si>
  <si>
    <t>Emil Capital Partners, Keller Capital, Timothy Ferriss</t>
  </si>
  <si>
    <t>Emil Capital Partners(www.emilcapitalpartners.com), Keller Capital(www.kellercap.com), Timothy Ferriss(www.timferriss.com)</t>
  </si>
  <si>
    <t>172443-79</t>
  </si>
  <si>
    <t>Miles (Rewards App)</t>
  </si>
  <si>
    <t>Miles</t>
  </si>
  <si>
    <t>Developer of a universal rewards application designed to empower people to earn miles automatically for all forms of travel and commute. The company's application leverages artificial intelligence for delivering value for every mile traveled across every mode of travel and allows travelers to redeem their miles from multiple retailers, enabling users to derive maximum value from their travel data regardless of where their journey takes them.</t>
  </si>
  <si>
    <t>Artificial Intelligence &amp; Machine Learning, Mobile, TMT</t>
  </si>
  <si>
    <t>frequent flyers program, miles earning platform, travel analytics, travel and commute app, travel miles, travel reward points</t>
  </si>
  <si>
    <t>www.getmiles.com</t>
  </si>
  <si>
    <t>2019: 17</t>
  </si>
  <si>
    <t>180310-60P</t>
  </si>
  <si>
    <t>Jigar Shah</t>
  </si>
  <si>
    <t>jigar@drivermiles.com</t>
  </si>
  <si>
    <t>75 East Santa Clara Street</t>
  </si>
  <si>
    <t>95113</t>
  </si>
  <si>
    <t>The company raised $2.25 million of Series A seed funding in a deal led by JetBlue Technology Ventures on April 4, 2019. Porsche, Sony Innovation Fund and SAIC Motor also participated in the round.</t>
  </si>
  <si>
    <t>Anil Gaur, Ashish Toshniwal, Gabe Klein, Harris Barton, Ikuo Hiraishi, JetBlue Technology Ventures, Kambiz Hooshmand, Keith Teare, Kimi Iwamura, Porsche, Ron Drabkin, SAIC Motor, Sanjeev Kumar, Scott Kubly, Scrum Ventures, Shigeru Urushihara, Sony Innovation Fund, Urban Us, Vincent Fantegrossi, Viral Bajaria</t>
  </si>
  <si>
    <t>JetBlue Technology Ventures(www.jetblueventures.com), Porsche(www.porsche.com), SAIC Motor(www.saicmotor.com), Scrum Ventures(www.scrum.vc), Sony Innovation Fund(www.sonyinnovationfund.com), Urban Us(www.urban.us)</t>
  </si>
  <si>
    <t>57997-45</t>
  </si>
  <si>
    <t>Microshare</t>
  </si>
  <si>
    <t>Point.io, CloudPointe</t>
  </si>
  <si>
    <t>Developer of a data management software designed for IoT smart devices. The company's software is integrated with a data governance platform that offers advanced integration techniques, business process automation, data filtering, rules and on-demand data, enabling companies to allow data access and monetisation easily.
Philadelphia-based Microshare, whose unique data management and sharing software enables secure revenue and efficiency models in facilities management, logistics and other sectors</t>
  </si>
  <si>
    <t>business process automation, data governance, data integration, data management software, data monetization, iot application integration platform</t>
  </si>
  <si>
    <t>www.microshare.io</t>
  </si>
  <si>
    <t>52976-26P</t>
  </si>
  <si>
    <t>Thomas Jackson</t>
  </si>
  <si>
    <t>tjackson@point.io</t>
  </si>
  <si>
    <t>+1 (610) 994-9660</t>
  </si>
  <si>
    <t>1900 Market Street</t>
  </si>
  <si>
    <t>Floor 8</t>
  </si>
  <si>
    <t>+1 (484) 489-2735</t>
  </si>
  <si>
    <t>info@microshare.io</t>
  </si>
  <si>
    <t>The company raised $5 million of venture funding from Motley Fool Ventures on February 12, 2019. Other investors also participated in this round.</t>
  </si>
  <si>
    <t>Jim Boyle, Kerlink, Microsoft ScaleUp, Motley Fool Ventures</t>
  </si>
  <si>
    <t>Kerlink(www.kerlink.com), Microsoft ScaleUp(startups.microsoft.com/en-us/scale-up), Motley Fool Ventures(www.foolventures.com)</t>
  </si>
  <si>
    <t>McCarter &amp; English(Legal Advisor), Viant Group(Advisor: General)</t>
  </si>
  <si>
    <t>51470-20</t>
  </si>
  <si>
    <t>MicroSeismic</t>
  </si>
  <si>
    <t>MSI</t>
  </si>
  <si>
    <t>TGC Industries, Geokinetics, Spectrum (Oslo)</t>
  </si>
  <si>
    <t>Provider of microseismic data acquisition, analysis and interpretation. The company offers real-time monitoring and mapping of hydraulic fracture operations for the development of unconventional oil and gas plays thus eliminating the expense of offset monitoring wells, allowing multi-well to field scale evaluations from a single installation and providing comprehensive microseismic-based visualization and interpretation opportunity in the market, enabling operators increase production and recovery while decreasing cost and risk.</t>
  </si>
  <si>
    <t>down-hole monitoring, hydraulic fracturing mapping, microseismic monitoring, passive seismic imaging, reservoir monitoring, seismic imaging</t>
  </si>
  <si>
    <t>www.microseismic.com</t>
  </si>
  <si>
    <t>2010: 60, 2011: 60, 2018: 60</t>
  </si>
  <si>
    <t>36319-60P</t>
  </si>
  <si>
    <t>Michael Thornton</t>
  </si>
  <si>
    <t>mthornton@microseismic.com</t>
  </si>
  <si>
    <t>+1 (713) 781-2323</t>
  </si>
  <si>
    <t>10777 Westheimer</t>
  </si>
  <si>
    <t>77042</t>
  </si>
  <si>
    <t>+1 (713) 781-2326</t>
  </si>
  <si>
    <t>The company was acquired by TA Associates and Madrone Capital through a $100 million LBO on January 10, 2011.</t>
  </si>
  <si>
    <t>Chevron Technology Ventures, Madrone Capital Partners, RockPort Capital Partners, TA Associates Management</t>
  </si>
  <si>
    <t>Altira Group</t>
  </si>
  <si>
    <t>RockPort Capital Partners(www.rockportcap.com), TA Associates Management(www.ta.com)</t>
  </si>
  <si>
    <t>Altira Group(www.altiragroup.com)</t>
  </si>
  <si>
    <t>Hobbs &amp; Towne(Consulting), Simmons Energy(Advisor: General)</t>
  </si>
  <si>
    <t>Square 1 Bank(Debt Financing), Stout Risius Ross(Advisor: General), Webb &amp; Lauterbach(Legal Advisor)</t>
  </si>
  <si>
    <t>51231-43</t>
  </si>
  <si>
    <t>Microfabrica</t>
  </si>
  <si>
    <t>Micron Devices, MEMGen</t>
  </si>
  <si>
    <t>Operator of an advanced additive manufacturing company intended to create complex three-dimensional micron-precision metal structures. The company integrates the flexibility of 3D printing with the precision of advanced semiconductor manufacturing processes to fabricate and build fully assembled, complex devices and micro-composites at a scale, enabling medical, aerospace and electronics among the other industries to access precision micro equipment.</t>
  </si>
  <si>
    <t>efab manufacturing technology, microelectromechanical systems, micromanufacturing, microscale additives, microsystem fabrication, millimeter-scale device, palette, suture instruments</t>
  </si>
  <si>
    <t>www.microfabrica.com</t>
  </si>
  <si>
    <t>35917-03P</t>
  </si>
  <si>
    <t>Michael Lockard</t>
  </si>
  <si>
    <t>President &amp; Chief Operating Officer</t>
  </si>
  <si>
    <t>mlockard@microfabrica.com</t>
  </si>
  <si>
    <t>+1 (818) 786-3322</t>
  </si>
  <si>
    <t>Van Nuys, CA</t>
  </si>
  <si>
    <t>7911 Haskell Avenue</t>
  </si>
  <si>
    <t>Van Nuys</t>
  </si>
  <si>
    <t>91406-1909</t>
  </si>
  <si>
    <t>info@microfabrica.com</t>
  </si>
  <si>
    <t>The company reached a definitive agreement to be acquired by Technoprobe for an undisclosed amount on April 18, 2019.</t>
  </si>
  <si>
    <t>ATEL Capital Group, Atherton Venture Partners, Black Diamond Ventures, Chevron Technology Ventures, Draper Fisher Jurvetson Management, DynaFund Ventures, InterWest Healthcare Partners, McDonnell, Partech Partners, Pentech Financial Services, Riordan &amp; McKinzie, Venture Law Group, Versant Venture Management, Zone Ventures</t>
  </si>
  <si>
    <t>Technoprobe</t>
  </si>
  <si>
    <t>ATEL Capital Group(www.atel.com), Black Diamond Ventures(bdventures.com), Draper Fisher Jurvetson Management(www.dfj.com), DynaFund Ventures(www.dynafundventures.com), InterWest Healthcare Partners(www.interwesthealthcare.com), Partech Partners(www.partechpartners.com), Pentech Financial Services(www.pentechfinancial.com), Riordan &amp; McKinzie(www.riordan.com), Venture Law Group(www.venturelaw.ab.ca), Versant Venture Management(www.versantventures.com), Zone Ventures(www.zonevc.com)</t>
  </si>
  <si>
    <t>Technoprobe(www.technoprobe.com)</t>
  </si>
  <si>
    <t>Globalview Advisors(Valuation/Appraiser), Heller Ehrman(Legal Advisor), Morrison &amp; Foerster(Legal Advisor), Orrick, Herrington &amp; Sutcliffe(Legal Advisor)</t>
  </si>
  <si>
    <t>Heller Ehrman(Legal Advisor), Orrick, Herrington &amp; Sutcliffe(Legal Advisor)</t>
  </si>
  <si>
    <t>60694-57</t>
  </si>
  <si>
    <t>Micro Components</t>
  </si>
  <si>
    <t>MCL</t>
  </si>
  <si>
    <t>Developer of an innovative technology platform intended to offer microelectronic packaging services. The company's platform develops, licenses and provides aluminum-based multilayer substrates, enabling businesses to achieve thermal management and reliability that result in higher, yet cost-effective, performance.</t>
  </si>
  <si>
    <t>Containers and Packaging</t>
  </si>
  <si>
    <t>Metal Containers and Packaging</t>
  </si>
  <si>
    <t>Application Specific Semiconductors, Metal Containers and Packaging*, Other Commercial Products</t>
  </si>
  <si>
    <t>led packaging, microelectronic, microelectronic packaging, microelectronic packaging services, substrates fabrication</t>
  </si>
  <si>
    <t>www.mcltek.com</t>
  </si>
  <si>
    <t>70992-91P</t>
  </si>
  <si>
    <t>Uri Mirsky</t>
  </si>
  <si>
    <t>umirsky@mcltek.com</t>
  </si>
  <si>
    <t>+972 (0)5 224 7762 9</t>
  </si>
  <si>
    <t>Migdal HaEmek, Israel</t>
  </si>
  <si>
    <t>Ramat-Gabriel Industrial Zone, P.O.Box 470</t>
  </si>
  <si>
    <t>Halavyan 4</t>
  </si>
  <si>
    <t>Migdal HaEmek</t>
  </si>
  <si>
    <t>23000</t>
  </si>
  <si>
    <t>+972 (0)52 247 7629</t>
  </si>
  <si>
    <t>+972 (0)72 274 0651</t>
  </si>
  <si>
    <t>The company raised RUB 180 million of venture funding from Russian Venture Company and Rusnano on December 30, 2010.</t>
  </si>
  <si>
    <t>Rusnano, Russian Venture Company, Samsung Venture Investment</t>
  </si>
  <si>
    <t>Rusnano(www.rusnano.com), Russian Venture Company(www.rvc.ru), Samsung Venture Investment(www.samsungventures.com)</t>
  </si>
  <si>
    <t>162074-44</t>
  </si>
  <si>
    <t>Michel et Augustin</t>
  </si>
  <si>
    <t>Producer and distributor of specialized food. The company designs and markets a premium range of biscuits, dairy products, fresh desserts and beverages.</t>
  </si>
  <si>
    <t>Beverages, Food Products*</t>
  </si>
  <si>
    <t>aperitifs, baked cookies, specialty food, yogurt</t>
  </si>
  <si>
    <t>www.micheletaugustin.com</t>
  </si>
  <si>
    <t>2013: 43, 2016: 112</t>
  </si>
  <si>
    <t>139315-96P</t>
  </si>
  <si>
    <t>Augustin Paluel-Marmont</t>
  </si>
  <si>
    <t>augustin.paluel-marmont@micheletaugustin.com</t>
  </si>
  <si>
    <t>151 Rue De Billancourt</t>
  </si>
  <si>
    <t>Boulogne Billancourt</t>
  </si>
  <si>
    <t>92100</t>
  </si>
  <si>
    <t>Groupe Artemis sold a 40% stake in the company to Groupe Danone for an undisclosed amount on June 28, 2016.</t>
  </si>
  <si>
    <t>Danone Manifesto Ventures</t>
  </si>
  <si>
    <t>Groupe Artemis</t>
  </si>
  <si>
    <t>Danone Manifesto Ventures(www.danoneventures.com)</t>
  </si>
  <si>
    <t>Groupe Artemis(www.groupeartemis.com)</t>
  </si>
  <si>
    <t>Oloryn Partners(Advisor: General)</t>
  </si>
  <si>
    <t>108228-88</t>
  </si>
  <si>
    <t>MezurX</t>
  </si>
  <si>
    <t>Developer of flow and mud monitoring technology designed to assist the drilling industry with underground oil and mineral extraction. The company's technology offers a tool which helps the oil industries and other drilling companies to detect early kick during drilling operations, enabling clients to save time and money in extraction and purification.</t>
  </si>
  <si>
    <t>Energy Exploration*, Energy Refining, Industrial Supplies and Parts, Oil and Gas Equipment, Other Commercial Services</t>
  </si>
  <si>
    <t>mineral extraction, mud monitoring, offshore drilling, onshore drilling, wellbore</t>
  </si>
  <si>
    <t>www.mezurx.com</t>
  </si>
  <si>
    <t>93374-20P</t>
  </si>
  <si>
    <t>Geoff Sokoll</t>
  </si>
  <si>
    <t>Director of Engineering</t>
  </si>
  <si>
    <t>gsokoll@mezurx.com</t>
  </si>
  <si>
    <t>+1 (713) 789-0495</t>
  </si>
  <si>
    <t>2500 Tanglewilde</t>
  </si>
  <si>
    <t>Suite 487</t>
  </si>
  <si>
    <t>77063</t>
  </si>
  <si>
    <t>info@mezurx.com</t>
  </si>
  <si>
    <t>The company raised venture funding from Chevron Technology Ventures on an undisclosed date.</t>
  </si>
  <si>
    <t>100050-85</t>
  </si>
  <si>
    <t>Metrological Group</t>
  </si>
  <si>
    <t>Provider of software services to cable operators and telecommunications companies. The company offers television app stores for cable companies, app content management, a cloud-based platform for application service deployment, Metrological application framework and open SDK for software application developers.</t>
  </si>
  <si>
    <t>Application Software*, Social/Platform Software, Software Development Applications</t>
  </si>
  <si>
    <t>app developer, app management, cloud-based platform, online platform, telecommunications-service</t>
  </si>
  <si>
    <t>www.metrological.com</t>
  </si>
  <si>
    <t>2015: 41</t>
  </si>
  <si>
    <t>113931-10P</t>
  </si>
  <si>
    <t>Rogier van Dijk</t>
  </si>
  <si>
    <t>+31 (0)10 414 2257</t>
  </si>
  <si>
    <t>Rotterdam, Netherlands</t>
  </si>
  <si>
    <t>P.O. Box 635</t>
  </si>
  <si>
    <t>Rotterdam</t>
  </si>
  <si>
    <t>3000 AP</t>
  </si>
  <si>
    <t>info@metrological.com</t>
  </si>
  <si>
    <t>The company received an undisclosed amount of development capital from Liberty Global and Liberty Global Ventures on September 5, 2013.</t>
  </si>
  <si>
    <t>Liberty Global (UK), Liberty Global Ventures</t>
  </si>
  <si>
    <t>Liberty Global (UK)(www.libertyglobal.com)</t>
  </si>
  <si>
    <t>Seasons Capital Partners(Advisor: General)</t>
  </si>
  <si>
    <t>42186-25</t>
  </si>
  <si>
    <t>MetricStream</t>
  </si>
  <si>
    <t>ComplyGlobal, ComplySci, Enviance, Compliance 360, Maclear, Allgress, MasterControl, Quantivate, ProcessUnity, Sparta Systems, LockPath, Rsam, IQS, 360factors, Mitratech Holdings, Bwise, Starcompliance, Arbour Group, Kinetix Trading Solutions, Libryo, EtQ, Domo, Hiperos, Continuity Logic, Rivo Software, Fusion Risk Management, Avalution Consulting, Merlon Intelligence, Gensuite, Pilgrim Quality Solutions, Black Mountain Systems, NAVEX Global, AssurX, Origami Risk, FinancialForce, Axiom Software Laboratories, ProcessMAP, AQMetrics, Intelex Technologies, Strategic BCP, LogicGate, Enablon, Onspring, Riskonnect, ION Group</t>
  </si>
  <si>
    <t>Provider of a cloud and enterprise based governance, risk and compliance (GRC) platform designed to manage regulatory and industry-mandated compliance and corporate governance. The company's GRC Journey application integrates GRC technologies and programs across business, IT and security functions, enabling organizations to realize the vision of Pervasive GRC, transform risk management in a business environment in real-time.</t>
  </si>
  <si>
    <t>compliance platform, corporate compliance services, enterprise quality management, enterprise risk management, grc platform, quality management application, regtech vertical, regulatory platform</t>
  </si>
  <si>
    <t>www.metricstream.com</t>
  </si>
  <si>
    <t>2000: 12, 2001: 12, 2002: 30, 2003: 30, 2004: 40, 2005: 40, 2006: 40, 2007: 120, 2008: 120, 2009: 120, 2010: 120, 2013: 1000, 2014: 1600, 2016: 1865</t>
  </si>
  <si>
    <t>32527-99P</t>
  </si>
  <si>
    <t>Steven Springsteel</t>
  </si>
  <si>
    <t>+1 (650) 620-2955</t>
  </si>
  <si>
    <t>2479 East Bayshore Road</t>
  </si>
  <si>
    <t>+1 (650) 565-8542</t>
  </si>
  <si>
    <t>info@metricstream.com</t>
  </si>
  <si>
    <t>The company received $65.35 million of development capital from Clearlake Capital Group, Sageview Capital and The Goldman Sachs Group on October 31, 2017. EDB Investments also participated in the round.</t>
  </si>
  <si>
    <t>Accenture Technology Ventures, Advanced Equities, Alpha Venture Capital, Amerindo Investment Advisors, Azure Capital Partners, Blade Ventures, C&amp;T Access Ventures Fund, Cisco Investments, Clearlake Capital Group, Comdisco Ventures, Credit Suisse, East Peak Capital, EDBI, Gold Hill Capital, Integral Capital Partners, Kaiser Permanente Ventures, Kleiner Perkins, Lighthouse Capital Partners, Montage Capital, Oracle, ORIX Growth Capital, Pelion Venture Partners, Quest Innovation Accelerator, Relay Ventures, Robertson Stephens, Sageview Capital, Saints Capital, Sands Brothers &amp; Co, The Camelot Group, The Goldman Sachs Group, TPG Capital</t>
  </si>
  <si>
    <t>QuestMark Partners</t>
  </si>
  <si>
    <t>Accenture Technology Ventures(www.accenturetechventures.com), Advanced Equities(www.advancedequities.com), Alpha Venture Capital(www.alphaventurecapital.com), Amerindo Investment Advisors(www.amerindo.com), Azure Capital Partners(www.azurecap.com), Blade Ventures(www.bladeventures.com), Cisco Investments(www.ciscoinvestments.com), Clearlake Capital Group(www.clearlakecapital.com), Comdisco Ventures(www.comdisco.com), Credit Suisse(www.credit-suisse.com), East Peak Capital(www.tamcapital.com), EDBI(www.edbi.com), Integral Capital Partners(www.icp.com), Kaiser Permanente Ventures(www.kpventures.com), Kleiner Perkins(www.kleinerperkins.com), Lighthouse Capital Partners(lcpartners.com), Montage Capital(www.montagecapital.com), Oracle(www.oracle.com), Pelion Venture Partners(www.pelionvp.com), Relay Ventures(www.relayventures.com), Robertson Stephens(www.rscapital.com), Sageview Capital(www.sageviewcapital.com), Saints Capital(www.saintscapital.com), The Camelot Group(www.thecamelotgroup.com), The Goldman Sachs Group(www.goldmansachs.com), TPG Capital(www.tpg.com)</t>
  </si>
  <si>
    <t>QuestMark Partners(www.questm.com)</t>
  </si>
  <si>
    <t>Fenwick &amp; West(Legal Advisor), OnPoint Analytics Capital Partners(Advisor: General), Venture Law Group(Legal Advisor)</t>
  </si>
  <si>
    <t>Comdisco Ventures(Debt Financing), Fenwick &amp; West(Legal Advisor), Gold Hill Capital(Debt Financing), KPMG Corporate Finance(Advisor: General), Montage Capital(Debt Financing), NXT Capital Venture Finance Group(Debt Financing), Venture Law Group(Legal Advisor)</t>
  </si>
  <si>
    <t>184847-14</t>
  </si>
  <si>
    <t>Metawave</t>
  </si>
  <si>
    <t>Developer of a wireless technology designed to revolutionize the future of wireless communications and radar sensing. The company's technology leverages adaptive meta-structures and artificial intelligence for unique beam steering antennas for the global telecommunications and automotive radar markets, enabling users faster networks and near-instant connectivity.</t>
  </si>
  <si>
    <t>Wireless Communications Equipment*, Wireless Service Providers</t>
  </si>
  <si>
    <t>Artificial Intelligence &amp; Machine Learning, Autonomous cars, Big Data, TMT</t>
  </si>
  <si>
    <t>antenna, artificial intelligence automation, communication service, metamaterial, radar, radar sensing, sensor arrays</t>
  </si>
  <si>
    <t>www.metawave.co</t>
  </si>
  <si>
    <t>35792-20P</t>
  </si>
  <si>
    <t>Maha Achour</t>
  </si>
  <si>
    <t>maha@metawave.co</t>
  </si>
  <si>
    <t>Carlsbad, CA</t>
  </si>
  <si>
    <t>5993 Avenida Encinas</t>
  </si>
  <si>
    <t>Carlsbad</t>
  </si>
  <si>
    <t>92008</t>
  </si>
  <si>
    <t>info@metawave.co</t>
  </si>
  <si>
    <t>The company raised $10 million of seed funding in a deal led by Denso on May 15, 2018, putting the company's pre-money valuation at $45 million. AGC (Tokyo), Toyota AI Ventures, Hyundai CRADLE, SAIC Motor, SAIC Capital, TSVC, Khosla Ventures, Motus Ventures, Bold Capital Partners, Alrai Capital, Autotech Ventures and Western Technology Investment also participated in the round. The funds will be used to continue to expand operations and build its products.</t>
  </si>
  <si>
    <t>AGC (Tokyo), Alrai Capital, Autotech Ventures, Bold Capital Partners, Denso, Hyundai CRADLE, Khosla Ventures, Motus Ventures, Palo Alto Research Center, Rising Tide Fund, SAIC Capital, SAIC Motor, Thyra Global Management, Toyota AI Ventures, TSVC, Western Technology Investment</t>
  </si>
  <si>
    <t>AGC (Tokyo)(www.agc.com), Alrai Capital(www.alraicap.com), Autotech Ventures(www.autotechvc.com), Bold Capital Partners(www.boldcapitalpartners.com), Denso(www.denso.com), Hyundai CRADLE(www.cradleinc.com), Khosla Ventures(www.khoslaventures.com), Motus Ventures(www.motusventures.com), Palo Alto Research Center(www.parc.com), Rising Tide Fund(www.rtf.vc), SAIC Capital(www.saicvc.com), SAIC Motor(www.saicmotor.com), Thyra Global Management(www.thyraglobal.com), Toyota AI Ventures(www.toyota-ai.ventures), TSVC(www.tsvcap.com), Western Technology Investment(www.westerntech.com)</t>
  </si>
  <si>
    <t>183244-42</t>
  </si>
  <si>
    <t>Metamoto</t>
  </si>
  <si>
    <t>ITI (Dresden), Tecplot, Gamma Technologies, Emulate3D</t>
  </si>
  <si>
    <t>Developer of a scalable simulation software for autonomous systems. The company offers simulation-centric products and services.</t>
  </si>
  <si>
    <t>autonomous systems simulation, autonomous systems simulation software, autonomous systems software, simulation software, simulation software developer, simulation software suites</t>
  </si>
  <si>
    <t>www.metamoto.com</t>
  </si>
  <si>
    <t>166973-23P</t>
  </si>
  <si>
    <t>Chad Partridge</t>
  </si>
  <si>
    <t>chad.partridge@metamoto.com</t>
  </si>
  <si>
    <t>+1 (415) 614-2600</t>
  </si>
  <si>
    <t>1049 Whipple Avenue</t>
  </si>
  <si>
    <t>94062</t>
  </si>
  <si>
    <t>The company raised $2 million of seed funding led by Motus Ventures on July 12, 2017. UL, Western Technology Investment, v1.vc, SK Ventures and Synapse Partners also participated in this round. The proceeds will fuel Metamoto's go-to-market plans.</t>
  </si>
  <si>
    <t>Alrai Capital, Motus Ventures, SK Ventures, Synapse Partners, UL Ventures, V1.vc, Western Technology Investment</t>
  </si>
  <si>
    <t>Alrai Capital(www.alraicap.com), Motus Ventures(www.motusventures.com), SK Ventures(www.skvcap.com), Synapse Partners(www.synapsepartners.co), V1.vc(www.v1.vc), Western Technology Investment(www.westerntech.com)</t>
  </si>
  <si>
    <t>Ridless Law Office(Legal Advisor)</t>
  </si>
  <si>
    <t>186223-06</t>
  </si>
  <si>
    <t>Metalenz</t>
  </si>
  <si>
    <t>Provider of undisclosed products and services.</t>
  </si>
  <si>
    <t>Other Business Products and Services</t>
  </si>
  <si>
    <t>Other Business Products and Services*, Other Consumer Products and Services</t>
  </si>
  <si>
    <t>business product, business product &amp; services, consumer product, consumer product &amp; services</t>
  </si>
  <si>
    <t>The company raised an undisclosed amount of venture funding in the form of SAFE notes from Prelude Ventures and Applied Ventures on June 16, 2017.</t>
  </si>
  <si>
    <t>Applied Ventures, Prelude Ventures</t>
  </si>
  <si>
    <t>Prelude Ventures(www.preludeventures.com)</t>
  </si>
  <si>
    <t>181609-75</t>
  </si>
  <si>
    <t>Mented Cosmetics</t>
  </si>
  <si>
    <t>Julep, Bellabox, Eyeko, Kosas Cosmetics, 100% Pure, Anastasia Beverly Hills, MAC Cosmetics, Too Faced Cosmetics, Coty, Nars Cosmetics, Mally Beauty, Oriflame Cosmetics, Benefit Cosmetics</t>
  </si>
  <si>
    <t>Operator of an online cosmetic store. The company's retail website offers a range of nude lipsticks that matches the deeper skin tones of brown women, enabling them to buy these products online and get them delivered to their homes.</t>
  </si>
  <si>
    <t>Internet Retail, Personal Products*</t>
  </si>
  <si>
    <t>beauty vertical, cosmetic product, cosmetics, cosmetics retail stores, online cosmetics seller</t>
  </si>
  <si>
    <t>www.mentedcosmetics.com</t>
  </si>
  <si>
    <t>167034-16P</t>
  </si>
  <si>
    <t>Amanda Johnson</t>
  </si>
  <si>
    <t>Co-Chief Executive Officer &amp; Co-Founder</t>
  </si>
  <si>
    <t>amanda@mentedcosmetics.com</t>
  </si>
  <si>
    <t>141 West 128th Street</t>
  </si>
  <si>
    <t>Apartment 10</t>
  </si>
  <si>
    <t>info@mentedcosmetics.com</t>
  </si>
  <si>
    <t>The company raised $4.19 million of Seed funding in a deal led by CircleUp Network on May 29, 2018. Other undisclosed investors also participated in the round.</t>
  </si>
  <si>
    <t>BAM Ventures, BBG Ventures, CircleUp Network, Corazon Capital, iSeed Ventures, Outbound Ventures, Tina Bou-Saba, Victress Capital</t>
  </si>
  <si>
    <t>BAM Ventures(www.bam.vc), BBG Ventures(www.bbgventures.com), CircleUp Network(www.circleup.com), Corazon Capital(www.corazoncap.com), iSeed Ventures(www.iseedvc.com), Outbound Ventures(www.outboundventures.com), Tina Bou-Saba(www.tinabousaba.com), Victress Capital(www.victresscapital.com)</t>
  </si>
  <si>
    <t>99583-03</t>
  </si>
  <si>
    <t>Menlo Security</t>
  </si>
  <si>
    <t>Norse, Securonix, Alert Logic, Sophos, Surfwatch Labs, Light Point Security, Comodo Group, Bromium, AVG Technologies, AnubisNetworks, WebLife Balance, WatchGuard Technologies, Lastline, SentryBay, PerimeterX, Damballa, McAfee, Kaspersky Lab, SafeBreach, ShieldSquare, InfiSecure, Invincea, Kaymera, Cryptzone Group, Cylance, Forcepoint, Barkly, Quarri, GreatHorn, Infocyte, Polyverse, iboss (Cybersecurity), Distil Networks, Skycure, Lookout, Zimperium, Qualys, Niara, Confer Technologies, CrowdStrike, DearBytes, Shape Security, Digital Guardian, Morphisec, Webroot, SentinelOne, Digital Shadows, Proofpoint, Recorded Future, Ziften, Minerva Labs, Authentic8, Flying Cloud, Thycotic Software, Cyberbit, Wandera, Dtex Systems, Cyphort, Endgame, Zvelo, Buguroo, Exabeam, SecureAuth, Malwarebytes, Lancope, AlgoSec, OneLogin, Ntrepid, Security Innovation, eSentire, E8 Security, Blueliv, ThreatConnect</t>
  </si>
  <si>
    <t>Provider of a cyber security platform designed to eliminate the threat of malware from the web and email. The company's isolation platform isolates all web content in the cloud to eliminate the threat of malware from the web and email, enabling users to surf safely and securely in a hassle free way.</t>
  </si>
  <si>
    <t>Network Management Software*, Systems and Information Management</t>
  </si>
  <si>
    <t>cyber security platform, malware, malware protection, security model, security platform</t>
  </si>
  <si>
    <t>www.menlosecurity.com</t>
  </si>
  <si>
    <t>2014: 11, 2015: 50, 2016: 67, 2017: 125</t>
  </si>
  <si>
    <t>36328-42P</t>
  </si>
  <si>
    <t>Amir Ben-Efraim</t>
  </si>
  <si>
    <t>+1 (650) 614-1705</t>
  </si>
  <si>
    <t>2300 Geng Road</t>
  </si>
  <si>
    <t>Stuite 200</t>
  </si>
  <si>
    <t>info@menlosecurity.com</t>
  </si>
  <si>
    <t>The company raised $40 million of Series C venture funding from American Express Ventures, Ericsson Ventures and HSBC on December 11, 2017, putting the company's pre-money valuation at $200. JPMorgan Chase &amp; Company, General Catalyst Partners, Sutter Hill Ventures, Baruch Future Ventures, Osage University Partners and Engineering Capital also participated in the round. The company which has raised $85 million in total funding to date, intends to use the funds to grow their sales and marketing efforts globally.</t>
  </si>
  <si>
    <t>American Express Ventures, Baruch Future Ventures, Engineering Capital, Ericsson Ventures, General Catalyst, HSBC Innovation Investments, JPMorgan Chase, Osage University Partners, Sutter Hill Ventures</t>
  </si>
  <si>
    <t>Baruch Future Ventures(www.baruch.vc), Engineering Capital(www.engineeringcapital.com), General Catalyst(www.generalcatalyst.com), JPMorgan Chase(www.jpmorganchase.com), Osage University Partners(www.oup.vc), Sutter Hill Ventures(www.shv.com)</t>
  </si>
  <si>
    <t>154278-46</t>
  </si>
  <si>
    <t>Memphis Meats</t>
  </si>
  <si>
    <t>Case Farms Of North Carolina, Finless Foods, Just (Food Products), SuperMeat, Impossible Foods, Beyond Meat</t>
  </si>
  <si>
    <t>Provider of clean meat, which is real meat directly from animal cells, without the need to raise and slaughter animals. The company's meat production process, at scale, is expected to use significantly less caloric input, water, land and energy than conventional meat production.</t>
  </si>
  <si>
    <t>Animal Husbandry, Food Products*, Other Agriculture</t>
  </si>
  <si>
    <t>AgTech, FoodTech, TMT</t>
  </si>
  <si>
    <t>cellular agriculture, clean meat, food tech, food technology, futures of food, meat, meat producer, meat product</t>
  </si>
  <si>
    <t>www.memphismeats.com</t>
  </si>
  <si>
    <t>2016: 3, 2018: 20</t>
  </si>
  <si>
    <t>128865-61P</t>
  </si>
  <si>
    <t>Uma Valeti</t>
  </si>
  <si>
    <t>uma@memphismeats.com</t>
  </si>
  <si>
    <t>San Leandro, CA</t>
  </si>
  <si>
    <t>1933 Davis Street</t>
  </si>
  <si>
    <t>Suite 312</t>
  </si>
  <si>
    <t>San Leandro</t>
  </si>
  <si>
    <t>94577</t>
  </si>
  <si>
    <t>The company raised an undisclosed amount of venture funding from Tyson Ventures on January 29, 2018. The funding will be used to accelerate product development. BoxGroup and Westcott also participated in this round. Earlier, the company raised $17 million of Series A venture funding in a deal led by Draper Fisher Jurvetson on August 23, 2017, putting the company's pre-money valuation at $43 million. BoxGroup also participated in this round.</t>
  </si>
  <si>
    <t>Advisors.Fund, Atomico, BoxGroup, Cargill, Draper Fisher Jurvetson Management, Fifty Years, Gates Ventures, IndieBio, Inevitable Ventures, Jack Welch, KBW Ventures, Kimbal Musk, Kyle Vogt, New Crop Capital, Richard Branson, SOSV, Stray Dog Capital, Tyson Ventures, Westcott</t>
  </si>
  <si>
    <t>Advisors.Fund(www.advisors.fund), Atomico(www.atomico.com), BoxGroup(www.boxgroup.com), Cargill(www.cargill.com), Draper Fisher Jurvetson Management(www.dfj.com), Fifty Years(www.fifty.vc), IndieBio(www.indiebio.co), Inevitable Ventures(www.inevitablevc.com), KBW Ventures(www.kbw-ventures.com), New Crop Capital(www.newcropcapital.com), SOSV(www.sosv.com), Stray Dog Capital(www.straydogcapital.com), Westcott(www.westcott.com)</t>
  </si>
  <si>
    <t>121034-89</t>
  </si>
  <si>
    <t>MedWand Solutions</t>
  </si>
  <si>
    <t>MedWand</t>
  </si>
  <si>
    <t>Developer of a portable physical health examination device designed to get examination and diagnosis from home. The company's device records all of the clinical data gathered in telemedicine sessions into a HIPAA-compliant secure medical record and allows doctors to hear heart and lungs, look at ears, eyes, nose or throat and take pulse and temperature, without even present physically at clinics, enabling users who live in rural areas with limited access to care get timely medical intervention for an illness that could enter an acute phase.</t>
  </si>
  <si>
    <t>HealthTech, Mobile, SaaS, TMT</t>
  </si>
  <si>
    <t>health examination, health examination device, health examiner, health monitoring, portable health device</t>
  </si>
  <si>
    <t>www.medwand.com</t>
  </si>
  <si>
    <t>108975-16P</t>
  </si>
  <si>
    <t>Robert Rose</t>
  </si>
  <si>
    <t>Chief Technology Officer &amp; President</t>
  </si>
  <si>
    <t>brose@medwand.com</t>
  </si>
  <si>
    <t>+1 (855) 211-3223</t>
  </si>
  <si>
    <t>851 South Rampart Boulevard</t>
  </si>
  <si>
    <t>Suite 110 at Sir Williams Court</t>
  </si>
  <si>
    <t>89145</t>
  </si>
  <si>
    <t>info@medwand.com</t>
  </si>
  <si>
    <t>The company was in talks to receive $2.5 million of Series A venture funding from undisclosed investors on September 28, 2016. Subsequently, the deal was cancelled. Previously, the company raised an undisclosed amount of seed funding from Maxim Ventures and Foxlink Group on September 28, 2016.</t>
  </si>
  <si>
    <t>Foxlink, Maxim Ventures</t>
  </si>
  <si>
    <t>Foxlink(www.foxlink.com), Maxim Ventures(www.maximventures.com)</t>
  </si>
  <si>
    <t>51595-03</t>
  </si>
  <si>
    <t>MedVantx</t>
  </si>
  <si>
    <t>OnSite 1st</t>
  </si>
  <si>
    <t>Developer of a medication management platform designed to streamline access to medications. The company's medication management platform provides medicines purchasing facilities through the Internet and also provides delivery of medicines at specified locations, enabling users to order and get medicines without visiting chemist shops.</t>
  </si>
  <si>
    <t>Drug Delivery*, Pharmaceuticals</t>
  </si>
  <si>
    <t>drugs mailing services, medication management, online medicine, prescription medication</t>
  </si>
  <si>
    <t>www.medvantx.com</t>
  </si>
  <si>
    <t>2001: 8, 2002: 35, 2003: 35, 2004: 35, 2005: 35, 2006: 35, 2007: 35, 2008: 35, 2009: 35, 2010: 35, 2014: 69, 2015: 64</t>
  </si>
  <si>
    <t>44003-71P</t>
  </si>
  <si>
    <t>Scott Peterson</t>
  </si>
  <si>
    <t>Chief Financial Officer &amp; Board Secretary</t>
  </si>
  <si>
    <t>scott.peterson@medvantx.com</t>
  </si>
  <si>
    <t>+1 (866) 744-0621</t>
  </si>
  <si>
    <t>9276 Scranton Road</t>
  </si>
  <si>
    <t>+1 (866) 526-1206</t>
  </si>
  <si>
    <t>info@medvantx.com</t>
  </si>
  <si>
    <t>The company raised an undisclosed amount of venture funding from ARCH Venture Partners and UPS Strategic Enterprise Fund in September 2016. Previously, the company raised $1.25 million of Series A3 venture funding from UPS Strategic Enterprise Fund, ARCH Venture Partners and Dow Employee's Pension Plan in November 2015, putting the pre-money valuation at $2.92 million. Polaris Partners and other undisclosed investors also participated in this round. As a part of this round, the company underwent a stock reclassification.</t>
  </si>
  <si>
    <t>Advent Venture Partners, ARCH Venture Partners, Beringea, Boudica Capital, CID Equity, Dow Employees' Pension Plan, Industry Ventures, InvestCare Partners, Ironwood Capital, McKesson, Oakwood Medical Investors, Polaris Partners, Rock Maple Ventures, Saints Capital, Seneca Partners, Synthesis Capital, Tenet Healthcare, TGap Ventures, UPS Strategic Enterprise Fund</t>
  </si>
  <si>
    <t>Boston Scientific</t>
  </si>
  <si>
    <t>Advent Venture Partners(www.adventventures.com/technology/overview), ARCH Venture Partners(www.archventure.com), Beringea(www.beringea.com), Industry Ventures(www.industryventures.com), Ironwood Capital(www.ironwoodcap.com), McKesson(www.mckesson.com), Oakwood Medical Investors(www.oakwoodmedical.com), Polaris Partners(www.polarispartners.com), Rock Maple Ventures(www.rockmapleventures.com), Saints Capital(www.saintscapital.com), Seneca Partners(www.senecapartners.com), Synthesis Capital(www.synthesiscapital.com), Tenet Healthcare(www.tenethealth.com), TGap Ventures(www.tgapvcfunds.com)</t>
  </si>
  <si>
    <t>Boston Scientific(www.bostonscientific.com)</t>
  </si>
  <si>
    <t>Cooley(Legal Advisor), DLA Piper(Legal Advisor), Ross &amp; Company(Consulting)</t>
  </si>
  <si>
    <t>Cascade Partners(Advisor: General), Cooley(Legal Advisor), DLA Piper(Legal Advisor)</t>
  </si>
  <si>
    <t>157564-54</t>
  </si>
  <si>
    <t>MedStack</t>
  </si>
  <si>
    <t>ClearDATA, Healthcare Blocks, Aptible, Datica, TrueVault, Medable</t>
  </si>
  <si>
    <t>Developer of cloud-based developer tools designed to offer patient-centric healthcare services. The company's cloud-based developer tools provide healthcare workflow building blocks for patient data acquisition, storage and messaging as well as offers secure structured database for alignment with Institutions, EMRs and Payers, enabling hospitals and other healthcare enterprises to onboard more digital innovations faster, by helping application developers meet privacy, security and interoperability expectations up front, before IT diligence even starts.</t>
  </si>
  <si>
    <t>Application Software, Enterprise Systems (Healthcare)*, Other Healthcare Technology Systems, Software Development Applications</t>
  </si>
  <si>
    <t>app development, cloud-based platform, digital patient data, e-healthcare, healthcare app, healthcare application, patient data, privacy application, security and compliance</t>
  </si>
  <si>
    <t>www.medstack.co</t>
  </si>
  <si>
    <t>2017: 5</t>
  </si>
  <si>
    <t>133486-39P</t>
  </si>
  <si>
    <t>Balaji Gopalan</t>
  </si>
  <si>
    <t>balaji@medstack.co</t>
  </si>
  <si>
    <t>+1 (647) 400-7268</t>
  </si>
  <si>
    <t>10 Dundas Street East</t>
  </si>
  <si>
    <t>M5B 2G9</t>
  </si>
  <si>
    <t>info@medstack.co</t>
  </si>
  <si>
    <t>The company raised $2.4 million of seed funding in a deal led by TELUS Ventures on February 26, 2019. Ontario Centres of Excellence, Panache Ventures and ScaleUP Ventures also participated in the round.</t>
  </si>
  <si>
    <t>500 Startups, Communitech Hyperdrive, Creative Destruction Lab, DreamIt Ventures, FundersClub, Highline BETA, Ontario Centres of Excellence, Panache Ventures, ScaleUP Ventures, TELUS Ventures, The DMZ, ventureLAB (Markham)</t>
  </si>
  <si>
    <t>500 Startups(www.500.co), Communitech Hyperdrive(www.communitech.ca), Creative Destruction Lab(www.creativedestructionlab.com), DreamIt Ventures(www.dreamit.com), FundersClub(www.fundersclub.com), Highline BETA(www.highlinebeta.com), Ontario Centres of Excellence(www.oce-ontario.org), Panache Ventures(www.panache.vc), ScaleUP Ventures(www.suv.vc), TELUS Ventures(ventures.telus.com), The DMZ(www.dmz.ryerson.ca), ventureLAB (Markham)(www.venturelab.ca)</t>
  </si>
  <si>
    <t>Dickinson Wright(Legal Advisor)</t>
  </si>
  <si>
    <t>92090-17</t>
  </si>
  <si>
    <t>Medscape</t>
  </si>
  <si>
    <t>Operator of a health and medical information site intended to improve patient care with comprehensive clinical information and resources. The company offers latest medical news and expert perspectives, essential point-of-care drug and disease information and relevant professional education for physicians and healthcare professionals through their online website.</t>
  </si>
  <si>
    <t>Information Services (B2C)*, Publishing</t>
  </si>
  <si>
    <t>disease information, health and medical information, medical content, medical information site, medical news, review articles</t>
  </si>
  <si>
    <t>www.medscape.com</t>
  </si>
  <si>
    <t>2014: 201, 2015: 242</t>
  </si>
  <si>
    <t>WebMD Health</t>
  </si>
  <si>
    <t>47849-68P</t>
  </si>
  <si>
    <t>George Lundberg</t>
  </si>
  <si>
    <t>Editor at Large</t>
  </si>
  <si>
    <t>+1 (212) 301-6700</t>
  </si>
  <si>
    <t>395 Hudson Street</t>
  </si>
  <si>
    <t>The company was acquired by WebMD Health (NAS: WBMD) for $10 million on December 26, 2001. The acquisition will allow WebMD's health network to reach more than 15 million cumulative visitors per month including approximately 575,000 physicians worldwide.</t>
  </si>
  <si>
    <t>Apax Partners, CBS Corporation, CIBC Oppenheimer, CSK Venture Capital Company, Hearst Ventures, Highland Capital Partners, Media Technology Ventures, MedicaLogic, Oroco Capital, TBG Information Investors, Wormser Freres</t>
  </si>
  <si>
    <t>Apax Partners(www.apax.com), CBS Corporation(www.cbscorporation.com), CSK Venture Capital Company(www.cskvc.co.jp), Highland Capital Partners(www.hcp.com), Media Technology Ventures(www.mediatechventures.com), MedicaLogic(www.medicalogic.com), Oroco Capital(www.oroco.com)</t>
  </si>
  <si>
    <t>Bank of America Merrill Lynch(Underwriter), Bear Stearns(Underwriter), Brenner Securities(Underwriter), C.E. Unterberg, Towbin Holdings(Underwriter), Credit Suisse(Underwriter), Deloitte(Accounting), Deutsche Bank(Underwriter), Doft &amp; Company(Underwriter), Donaldson, Lufkin &amp; Jenrette(Underwriter), EVEREN Securities(Underwriter), First Union National Bank(Underwriter), George K Baum &amp; Company(Underwriter), Gruntal &amp; Company(Underwriter), Hambrecht &amp; Quist(Underwriter), Harrisdirect(Underwriter), ING Barings Private Equity(Underwriter), J.P. Morgan(Underwriter), Janney(Underwriter), KeyBank(Underwriter), Lehman Brothers(Underwriter), Needham &amp; Company(Underwriter), Patterson Belknap Webb &amp; Tyler(Legal Advisor), Punk, Ziegel &amp; Company(Underwriter), Raymond James Financial(Underwriter), Robertson Stephens(Underwriter), Salomon Brothers(Underwriter), Sanders Morris Mundy(Underwriter), Sands Brothers &amp; Co(Underwriter), SG Cowen Securities(Underwriter), SunTrust Equitable Securities(Underwriter), Sutro &amp; Co.(Underwriter), The Goldman Sachs Group(Underwriter), Tucker Anthony Sutro(Underwriter), Volpe Brown Whelan(Underwriter), Wit Capital(Underwriter), Ziegler(Underwriter)</t>
  </si>
  <si>
    <t>107198-38</t>
  </si>
  <si>
    <t>MediWeb</t>
  </si>
  <si>
    <t>Developer and provider of information and communication technology intended to improve medical practice. The company's technology helps in marketing, project planning, business support consulting, development and operation of applications for smartphones and tablets, enabling medical institutions to improving patient service and clinical support service.</t>
  </si>
  <si>
    <t>ict system, information and communication technology services, information and communication technology solutions, medical service, medical services company</t>
  </si>
  <si>
    <t>www.mediweb.jp</t>
  </si>
  <si>
    <t>90789-31P</t>
  </si>
  <si>
    <t>Hao-Yung Yang</t>
  </si>
  <si>
    <t>Founder, Chairman &amp; Chief Executive Officer</t>
  </si>
  <si>
    <t>yang@mediweb.jp</t>
  </si>
  <si>
    <t>+81 (0)36 402 4770</t>
  </si>
  <si>
    <t>Hasegawa Building, Number 3, 3F</t>
  </si>
  <si>
    <t>6-13-1 Shinbashi, Minato-ku</t>
  </si>
  <si>
    <t>+81 (0)36 402 4771</t>
  </si>
  <si>
    <t>info@mediweb.jp</t>
  </si>
  <si>
    <t>The company raised venture funding in a deal led by Recruit Strategic Partners on an undisclosed date.</t>
  </si>
  <si>
    <t>97833-25</t>
  </si>
  <si>
    <t>Medium Corporation</t>
  </si>
  <si>
    <t>SheKnows Media, Refinery29, Clover Letter, Quora, Svbtle, Mashable, Instructables, Bloglovin', Brit + Co, Pinterest, Gawker Media, Flipboard, Tumblr</t>
  </si>
  <si>
    <t>Operator of a social publishing platform designed for sharing ideas and perspectives. The company's platform offers simple creation tools combined with a larger distribution network, enabling writers, thinkers and storytellers to bring out fresh thinking and unique perspectives and enables readers to follow people and topics that matter to them and receive a personalized feed of content every day.</t>
  </si>
  <si>
    <t>Publishing*</t>
  </si>
  <si>
    <t>blogging platform, internet media, online blog, online blog-hosting platform, readers community, showcase writting talent</t>
  </si>
  <si>
    <t>www.medium.com</t>
  </si>
  <si>
    <t>2014: 88, 2015: 160, 2016: 214, 2017: 100</t>
  </si>
  <si>
    <t>38107-99P</t>
  </si>
  <si>
    <t>Evan Williams</t>
  </si>
  <si>
    <t>ev@obvious.com</t>
  </si>
  <si>
    <t>info@medium.com</t>
  </si>
  <si>
    <t>The company raised $50 million of Series C venture funding in a round led by Spark Capital on April 21, 2016, putting the company's pre-money valuation at $550 million. Andreessen Horowitz, Evan Williams and GV also participated in the round. Prior to this, the company raised $57 million of Series B venture funding from lead investor Andreessen Horowitz on September 28, 2015, putting the company's pre-money valuation at $408 million. GV, Greylock Partners, Obvious Ventures, The Chernin Group and other undisclosed existing investors also participated in the round.</t>
  </si>
  <si>
    <t>Andreessen Horowitz, Betaworks, Broad Beach Ventures, CAA Ventures, Christopher Sacca, Code Advisors, Evan Williams, Gary Vaynerchuk, Greylock Partners, GV, Hinge Capital, James Hong, Kindling Capital, Lerer Hippeau, Lowercase Capital, Michael Ovitz, Mike Jones, Obvious Ventures, Philip Kaplan, Ronald Conway, Science, Spark Capital, SV Angel, The Chernin Group, Tim O'Reilly, Vayner/RSE</t>
  </si>
  <si>
    <t>Andreessen Horowitz(www.a16z.com), Betaworks(www.betaworks.com), CAA Ventures(ventures.caa.com), Code Advisors(www.codeadvisors.com), Evan Williams(evhead.com), Gary Vaynerchuk(www.garyvaynerchuk.com), Greylock Partners(www.greylock.com), GV(www.gv.com), Hinge Capital(www.hingecapital.com), Kindling Capital(www.kindlingcapital.com), Lerer Hippeau(www.lererhippeau.com), Lowercase Capital(www.lowercasecapital.com), Michael Ovitz(www.michaelovitz.com), Obvious Ventures(www.obvious.com), Science(www.science-inc.com), Spark Capital(www.sparkcapital.com), SV Angel(www.svangel.com), Tim O'Reilly(www.oreilly.com/tim), Vayner/RSE(www.vaynerrse.com)</t>
  </si>
  <si>
    <t>121684-15</t>
  </si>
  <si>
    <t>Medical Note</t>
  </si>
  <si>
    <t>Developer of a medical search site created to provide medical information and physician booking features. The company's medical search site connects doctors, hospitals and patients with a virtual or remotely based physician, enabling patients to consult the appropriate medical institution for better treatment.</t>
  </si>
  <si>
    <t>Application Software, Other Healthcare Services*</t>
  </si>
  <si>
    <t>medical search site, medical treatment, physician-booking features, telemedicine application</t>
  </si>
  <si>
    <t>medicalnote.jp</t>
  </si>
  <si>
    <t>170389-27P</t>
  </si>
  <si>
    <t>Koichi Kihata</t>
  </si>
  <si>
    <t>President &amp; Representative Director</t>
  </si>
  <si>
    <t>koichi.kihata@medicalnote.jp</t>
  </si>
  <si>
    <t>11-1 11 Shibuya 3-chome</t>
  </si>
  <si>
    <t>IVY East Building 9th Floor, Shibuya-ku</t>
  </si>
  <si>
    <t>150-0002</t>
  </si>
  <si>
    <t>info@medicalnote.co.jp</t>
  </si>
  <si>
    <t>The company raised an undisclosed amount of Series C venture funding from Aflac Ventures and Jafco on May 1, 2017.</t>
  </si>
  <si>
    <t>Aflac Ventures, Jafco</t>
  </si>
  <si>
    <t>Aflac Ventures(www.aflacventures.com), Jafco(www.jafco.co.jp)</t>
  </si>
  <si>
    <t>41647-06</t>
  </si>
  <si>
    <t>Mediamorph</t>
  </si>
  <si>
    <t>Contently, TrackMaven, NicePeopleAtWork, Ion Interactive, Kapost, Monetate, Percolate, Spredfast, NewsCred, Skyword, Progressive Content, Idio, ScribbleLive, Evergage, PublishThis, SnapApp, Viafoura, Clearleap, QuickPlay Media, Beamly, SDVI, Telestream, Visual Data Media Services, Prime Focus Technologies, Livefyre</t>
  </si>
  <si>
    <t>Provider of a cross-platform Media and Entertainment (M&amp;E) data management and analytics platform designed to manage digital distribution. The company's platform provides actionable insights into financial, rights and consumption information by streamlining data through the powerful supply chain platform, enabling content providers to stay connected to the rapidly growing ecosystem and complex world of video distribution.</t>
  </si>
  <si>
    <t>content platform, crosses platform, digital distribution, media tracking, monetize media content</t>
  </si>
  <si>
    <t>www.mediamorph.com</t>
  </si>
  <si>
    <t>2014: 61, 2016: 89</t>
  </si>
  <si>
    <t>40375-90P</t>
  </si>
  <si>
    <t>Michael Sid</t>
  </si>
  <si>
    <t>mike@mediamorph.com</t>
  </si>
  <si>
    <t>+1 (212) 643-0762</t>
  </si>
  <si>
    <t>205 Lexington Avenue</t>
  </si>
  <si>
    <t>info@mediamorph.com</t>
  </si>
  <si>
    <t>The company raised $7.90 million of venture funding from undisclosed investors on October 1, 2018.</t>
  </si>
  <si>
    <t>Advance Venture Partners, Barry Baker, Bob Wright, Liberty Global Ventures, MI Ventures, Motorola Mobility Ventures, Smedvig Capital, Windsor Street Capital</t>
  </si>
  <si>
    <t>Advance Venture Partners(www.avp.vc), MI Ventures(www.miventuresllc.com), Smedvig Capital(www.smedvigcapital.com), Windsor Street Capital(www.windsorstreetcapital.com)</t>
  </si>
  <si>
    <t>DecisionCFO(Consulting), Intuitus(Advisor: General)</t>
  </si>
  <si>
    <t>Windsor Street Capital(Advisor: General)</t>
  </si>
  <si>
    <t>51639-31</t>
  </si>
  <si>
    <t>MediaMath</t>
  </si>
  <si>
    <t>Listrak, Netsertive, Turn, AppNexus, Acronym Media, Seer, DataXu, HookLogic, AdRoll, Quantcast, iProspect, Yieldmo, Appodeal, AcuityAds Holdings, StackAdapt, Silverpop Systems, Adelphic, Pointlogic, Brandfolder, PadSquad, Dstillery, Smartology, Spongecell, PubMatic, Criteo, Merkle, Act-On, Kiip, Smart AdServer, StrikeAd, MightyHive, Centro, Sailthru, Addictive Mobility, Fyber, Simpli.fi, Aarki, The Trade Desk, Bidstalk, Webdam Solutions, Exponential Interactive, InMobi, HeyZap, Sizmek, Smaato, Choozle, MindShare Strategies, Inc., Innovid, SessionM, Harte Hanks, ADAM Software, CPC Strategy, PMX Agency, Rise Interactive, ZOG Digital, Tapad, Scoota, Epsilon Data Management, Cheetah Digital, Inneractive, Wpromote, Mobilefuse, AdLib Mediation, Periscopix, Chartboost, Reprise Media, Selligent, Pegasystems, AppLovin, Essence Digital, IntelligenceBank, Canto, The Rimm-Kaufman Group, Raleigh Inbound Marketing, Elite SEM, Havas Media, RockYou Media, Adobe Systems, ConvertMedia, Millennial Media, Latitude Digital Marketing, Adform</t>
  </si>
  <si>
    <t>Provider of a demand-side platform (DSP) designed to offer cross exchange advertising management services. The company's platform offers a marketing operating system with personalized customer-centric experiences, enabling marketers to reach the audiences and have one-to-one conversations with customers.</t>
  </si>
  <si>
    <t>AdTech, Marketing Tech, SaaS</t>
  </si>
  <si>
    <t>advertising management, customer centric marketing, data management platform, enterprise marketing, impact investing vertical, multichannel</t>
  </si>
  <si>
    <t>www.mediamath.com</t>
  </si>
  <si>
    <t>2012: 100, 2013: 300, 2014: 500, 2015: 750, 2016: 750, 2017: 700, 2018: 750</t>
  </si>
  <si>
    <t>36762-13P</t>
  </si>
  <si>
    <t>Joseph Zawadzki</t>
  </si>
  <si>
    <t>Co-Founder, Chairman of the Board &amp; Chief Executive Officer</t>
  </si>
  <si>
    <t>jzawadzki@mediamath.com</t>
  </si>
  <si>
    <t>+1 (646) 840-4200</t>
  </si>
  <si>
    <t>4 World Trade Center</t>
  </si>
  <si>
    <t>150 Greenwich Street, 45th Floor</t>
  </si>
  <si>
    <t>info@mediamath.com</t>
  </si>
  <si>
    <t>The company received $225 million of development capital from Searchlight Capital Partners and Blue Collective on July 10, 2018. The transaction values the company at $1 billion. The financing is intended to be used for acquisition purposes.</t>
  </si>
  <si>
    <t>Akamai Technologies, Azoic Ventures, Blue Collective, Catalyst Investors, CNF Investments, European Founders Fund, Gold Hill Capital, Hyde Park Venture Partners, Lead Lap Enterprises, LGT Venture Philanthropy, Observatory Capital Management, ORIX Growth Capital, Progress Ventures, QED Investors, Safeguard Scientifics, Searchlight Capital Partners, SJF Ventures, Spring Lake Equity Partners, Vocap Investment Partners</t>
  </si>
  <si>
    <t>Akamai Technologies(www.akamai.com), Azoic Ventures(www.azoicventures.com), Blue Collective(www.bluecollective.com), Catalyst Investors(www.catalyst.com), European Founders Fund(www.europeanfounders.com), Hyde Park Venture Partners(www.hydeparkvp.com), Lead Lap Enterprises(www.leadlapllc.com), LGT Venture Philanthropy(www.lgtvp.com), Observatory Capital Management(www.obcap.com), Progress Ventures(www.progressventures.com), QED Investors(www.qedinvestors.com), Safeguard Scientifics(www.safeguard.com), Searchlight Capital Partners(www.searchlightcap.com), SJF Ventures(www.sjfventures.com), Spring Lake Equity Partners(www.springlakeequitypartners.com), Vocap Investment Partners(www.vocappartners.com)</t>
  </si>
  <si>
    <t>AC Lion(Consulting), Cooley(Legal Advisor), Gesmer Updegrove(Legal Advisor), Propel London(Consulting), Winterberry Group(Consulting)</t>
  </si>
  <si>
    <t>Akin Bay Company(Advisor: General), Cooley(Legal Advisor), GCA Advisors(Advisor: General), LightTree Capital Solutions(Debt Financing), Progress Partners(Placement Agent), Reitler Kailas &amp; Rosenblatt(Legal Advisor), Royal Bank of Canada(Advisor: General), Santander Consumer Bank(Debt Financing), Silicon Valley Bank(Debt Financing), The Goldman Sachs Group(Debt Financing), TimePayment(Debt Financing)</t>
  </si>
  <si>
    <t>59959-72</t>
  </si>
  <si>
    <t>Media5</t>
  </si>
  <si>
    <t>BroadSoft, Acano, Edgewater Networks, D2 Technologies, Mitel Networks, Twilio, Plivo, Metaswitch Networks, CounterPath, Red Box Recorders</t>
  </si>
  <si>
    <t>Provider of internet protocol (IP)-based multimedia communications designed to provide reliable and secure communications. The company offers a softphone application to run on iPhone, iPod Touch or iPad to make and receive Voice over Internet Protocol (VoIP) calls, enabling users with quality, secured and low cost communication.</t>
  </si>
  <si>
    <t>Communication Software*, Telecommunications Service Providers</t>
  </si>
  <si>
    <t>internet communication, multimedia communication, multimedia over internet protocol, reliable communication, telecommunication app</t>
  </si>
  <si>
    <t>www.media5corp.com</t>
  </si>
  <si>
    <t>2005: 90</t>
  </si>
  <si>
    <t>58920-76P</t>
  </si>
  <si>
    <t>Louis Lagassé</t>
  </si>
  <si>
    <t>Founder, President &amp; Chief Executive Officer</t>
  </si>
  <si>
    <t>llagasse@media5corp.com</t>
  </si>
  <si>
    <t>+1 (877) 438-8647</t>
  </si>
  <si>
    <t>Sherbrooke, Canada</t>
  </si>
  <si>
    <t>4229 Garlock Street</t>
  </si>
  <si>
    <t>Sherbrooke</t>
  </si>
  <si>
    <t>J1L 2C8</t>
  </si>
  <si>
    <t>+1 (819) 829-5100</t>
  </si>
  <si>
    <t>The company received an undisclosed amount of debt financing on April 14, 2014.</t>
  </si>
  <si>
    <t>Canada Economic Development for Quebec Regions, Cipio Partners</t>
  </si>
  <si>
    <t>Canada Economic Development for Quebec Regions(www.dec-ced.gc.ca), Cipio Partners(www.cipiopartners.com)</t>
  </si>
  <si>
    <t>FirePower Capital(Advisor: General)</t>
  </si>
  <si>
    <t>53860-69</t>
  </si>
  <si>
    <t>Media Gobbler</t>
  </si>
  <si>
    <t>Gobbler</t>
  </si>
  <si>
    <t>Availo Technologies, Soundtrap, Vemory, Dropbox, Jammber, StudyStream Ltd, Microsoft Visio, Propellerhead Software, Urchin Software, Magix Software, Box</t>
  </si>
  <si>
    <t>Provider of an online subscription marketplace designed to offer cloud based backup solution for pro-audio and video. The company's online subscription marketplace offers cloud-based software for file backup, collaboration and media management of digital, audio and music files to the professional audio community.</t>
  </si>
  <si>
    <t>audio files sharing, cloud-based software, database software, media management, music files management, online subscription marketplace</t>
  </si>
  <si>
    <t>www.gobbler.com</t>
  </si>
  <si>
    <t>2014: 32, 2016: 22</t>
  </si>
  <si>
    <t>40221-28P</t>
  </si>
  <si>
    <t>Chris Kantrowitz</t>
  </si>
  <si>
    <t>chris@gobbler.com</t>
  </si>
  <si>
    <t>+1 (323) 654-4546</t>
  </si>
  <si>
    <t>6427 West Sunset Boulevard</t>
  </si>
  <si>
    <t>The company raised $4 million of venture funding from Acceleprise, DFJ Frontier and ff Venture Capital on January 23, 2015. Out of the total transaction a part has been raised in the form of cvonvertible debt financing from Western Digital Capital.</t>
  </si>
  <si>
    <t>Acceleprise, Black Ocean Group, Coffin Capital &amp; Ventures, Dan Rose, David Goldberg, ff Venture Capital, Frontier Venture Capital, Individual Investor, Jared Hecht, Jared Leto, Jim Wiatt, John Legend, Josh Abramowitz, Marc Weiser, Matthew Coffin, Max Burger, Mike Jones, RPM Ventures, Sky Dayton, Steve Martocci, Troy Carter, Vast Ventures, Western Digital Capital, Zachary Aarons</t>
  </si>
  <si>
    <t>Acceleprise(www.acceleprise.vc), Black Ocean Group(www.blackocean.com), Coffin Capital &amp; Ventures(www.coffincapitalandventures.com), ff Venture Capital(www.ffvc.com), Frontier Venture Capital(www.draperfrontier.com), Max Burger(www.maxburger.com), RPM Ventures(www.rpmvc.com), Sky Dayton(www.skydayton.com), Vast Ventures(www.vastvc.com), Western Digital Capital(www.westerndigitalcapital.com)</t>
  </si>
  <si>
    <t>92083-06</t>
  </si>
  <si>
    <t>Measurabl</t>
  </si>
  <si>
    <t>Green In A Box</t>
  </si>
  <si>
    <t>IQS, EcoVadis, Sparta Systems, EtQ, Enviance, CSRware, Sustrana, Pilgrim Quality Solutions, ProcessMAP</t>
  </si>
  <si>
    <t>Developer of a sustainability management software designed to empower companies to disclose and act upon their sustainability performance. The company's cloud-based software collects data, creates investment-grade sustainability reports and offer alerts regarding improvement opportunities, enabling clients to collect sustainability data, analyze and accurately report on performance and identify efficiency opportunities.</t>
  </si>
  <si>
    <t>benchmarking, sustainability management app, sustainability management platform, sustainability reporting, sustainability reporting program, sustainability standards</t>
  </si>
  <si>
    <t>www.measurabl.com</t>
  </si>
  <si>
    <t>2016: 10, 2017: 17, 2018: 22, 2019: 52</t>
  </si>
  <si>
    <t>77593-24P</t>
  </si>
  <si>
    <t>Matthew Ellis</t>
  </si>
  <si>
    <t>matt@measurabl.com</t>
  </si>
  <si>
    <t>+1 (619) 719-1716</t>
  </si>
  <si>
    <t>2150 West Washington Street</t>
  </si>
  <si>
    <t>92110</t>
  </si>
  <si>
    <t>info@measurabl.com</t>
  </si>
  <si>
    <t>The company raised $18.74 million of Series B venture funding in a deal led by Sway Ventures on January 16, 2019, putting the company's pre-money valuation at $42 million. Salesforce Ventures, Constellation Technology Ventures, S&amp;P Global, Impact Engine, Camber Creek, Concrete VC, Building Ventures and DivcoWest also participated in the round. The funds will be used by the company for product research and development, partnerships, customer service and expansion of its platform to Asia in addition to growing European and North American markets already served.</t>
  </si>
  <si>
    <t>Bill Budinger, Borealis Ventures, Building Ventures, Camber Creek, Clark Landry, Concrete VC, Constellation Technology Ventures, Crosscut Ventures, DivcoWest, Impact Engine, PLG Ventures, S&amp;P Global, Salesforce Ventures, Sway Ventures</t>
  </si>
  <si>
    <t>Borealis Ventures(www.borealisventures.com), Building Ventures(www.buildingventures.com), Camber Creek(www.cambercreek.com), Concrete VC(www.concretevc.com), Constellation Technology Ventures(www.technologyventures.constellation.com), Crosscut Ventures(www.crosscut.vc), DivcoWest(www.divcowest.com), Impact Engine(www.theimpactengine.com), PLG Ventures(www.plgventures.com), S&amp;P Global(www.spglobal.com), Sway Ventures(www.swayvc.com)</t>
  </si>
  <si>
    <t>156382-03</t>
  </si>
  <si>
    <t>MealPal</t>
  </si>
  <si>
    <t>MealPass</t>
  </si>
  <si>
    <t>Foodora</t>
  </si>
  <si>
    <t>Provider of a lunchtime meal subscription service intended to provide delicious and affordable lunch every day. The company's platform allows members to select lunch from hundreds of restaurants and offers a meal subscription for getting meals for as little as $6 per meal, enabling them to preorder the night before or in the morning, choose a time to pick up their lunch and skip the lunch lines.</t>
  </si>
  <si>
    <t>Application Software*, Food Products, Social/Platform Software</t>
  </si>
  <si>
    <t>FoodTech, Mobile, Restaurant Technology, TMT</t>
  </si>
  <si>
    <t>food ordering application, food ordering platform, meals subscription, restaurant finding application, subscription basis meals</t>
  </si>
  <si>
    <t>www.mealpal.com</t>
  </si>
  <si>
    <t>2016: 17, 2017: 75, 2018: 60</t>
  </si>
  <si>
    <t>64054-09P</t>
  </si>
  <si>
    <t>Mary Biggins</t>
  </si>
  <si>
    <t>mary@mealpal.com</t>
  </si>
  <si>
    <t>22 West 38th Street</t>
  </si>
  <si>
    <t>hello@mealpal.com</t>
  </si>
  <si>
    <t>The company raised $20 million of Series B venture funding in a deal led by Menlo Ventures on August 23, 2017. Bessemer Venture Partners, Comcast Ventures, Haystack Partners and NextView Ventures also participated in the round. The company has raised $35 million in total funding to day, the funds will be used to further team and market expansion in the United States, United Kingdom, Canada and Australia, as well as new markets throughout Europe.</t>
  </si>
  <si>
    <t>Bessemer Venture Partners, Comcast Ventures, Krillion Ventures, Menlo Ventures, NextView Ventures, Teamworthy Ventures</t>
  </si>
  <si>
    <t>Bessemer Venture Partners(www.bvp.com), Comcast Ventures(www.comcastventures.com), Krillion Ventures(www.krillionventures.com), Menlo Ventures(www.menlovc.com), NextView Ventures(www.nextviewventures.com), Teamworthy Ventures(www.teamworthy.com)</t>
  </si>
  <si>
    <t>Gunderson Dettmer(Legal Advisor), Propeller Industries(Advisor: General)</t>
  </si>
  <si>
    <t>53287-84</t>
  </si>
  <si>
    <t>MDS Global</t>
  </si>
  <si>
    <t>MDS, Martin Dawes Systems</t>
  </si>
  <si>
    <t>NetScout Systems, Comarch, ProcureStaff Technologies, Tecnotree, MYCOM OSI, Coupa, Epicor Software, SAP</t>
  </si>
  <si>
    <t>Provider of Convergent billing and customer management software for the communication market. The company also offers turnkey enabler services to MVNOs and fixed line virtual network operators worldwide.</t>
  </si>
  <si>
    <t>Business/Productivity Software, Other Information Technology*</t>
  </si>
  <si>
    <t>business assurance, customer management, infrastructure management, revenue management</t>
  </si>
  <si>
    <t>www.mdsglobal.com</t>
  </si>
  <si>
    <t>2006: 224, 2007: 261, 2008: 303, 2009: 320, 2010: 336, 2011: 347, 2012: 138, 2013: 125</t>
  </si>
  <si>
    <t>116020-81P</t>
  </si>
  <si>
    <t>Russell Hunt</t>
  </si>
  <si>
    <t>russell.hunt@mdscem.com</t>
  </si>
  <si>
    <t>+44 (0)19 2546 2300</t>
  </si>
  <si>
    <t>Warrington, United Kingdom</t>
  </si>
  <si>
    <t>The Point</t>
  </si>
  <si>
    <t>410 Birchwood Boulevard</t>
  </si>
  <si>
    <t>Warrington</t>
  </si>
  <si>
    <t>WA3 7WD</t>
  </si>
  <si>
    <t>contact@mdscem.com</t>
  </si>
  <si>
    <t>Scope Capital sold its stake in the company in 2011.</t>
  </si>
  <si>
    <t>Hummer Winblad Venture Partners, InnovationsKapital, TELUS Ventures, Vision Capital (Geneva)</t>
  </si>
  <si>
    <t>Scope Capital</t>
  </si>
  <si>
    <t>Hummer Winblad Venture Partners(www.hwvp.com), InnovationsKapital(www.innkap.se), TELUS Ventures(ventures.telus.com), Vision Capital (Geneva)(www.visioncap.com)</t>
  </si>
  <si>
    <t>Scope Capital(www.scope.se)</t>
  </si>
  <si>
    <t>Grant Thornton(Auditor), Silicon Valley Bank(General Business Banking)</t>
  </si>
  <si>
    <t>52812-91</t>
  </si>
  <si>
    <t>mCube</t>
  </si>
  <si>
    <t>InvenSense</t>
  </si>
  <si>
    <t>Developer of motion sensors and associated technology designed to measure, monitor and analyze motion and context in space. The company's motion sensors and associated technology are utilized by consumer electronics companies to improve user interactivity and enable new motion-based applications, enabling users to measure and monitor the movement of objects.</t>
  </si>
  <si>
    <t>Internet of Things, TMT, Wearables &amp; Quantified Self</t>
  </si>
  <si>
    <t>analyzing motion, electronics, measuring motion, monitor motion, motion sensor, wearables</t>
  </si>
  <si>
    <t>www.mcubemems.com</t>
  </si>
  <si>
    <t>2014: 51, 2015: 55</t>
  </si>
  <si>
    <t>60023-80P</t>
  </si>
  <si>
    <t>Ben Lee</t>
  </si>
  <si>
    <t>ben.lee@mcube-inc.com</t>
  </si>
  <si>
    <t>+1 (408) 637-5503</t>
  </si>
  <si>
    <t>investor@mcubemems.com</t>
  </si>
  <si>
    <t>The company raised an estimated $30 million of Series D1 venture funding from Kleiner Perkins Caufield &amp; Byers in the on September 28, 2017, putting the company's pre-money valuation at $275 million.</t>
  </si>
  <si>
    <t>CGP Investment, DAG Ventures, iD Ventures America, Keytone Ventures, Kleiner Perkins, Korea Investment Partners, MediaTek Ventures, Presidio Ventures, SK Telecom Americas, Spirox Ventures, Streamlined Ventures, Ullas Naik</t>
  </si>
  <si>
    <t>CGP Investment(www.cgpinvestment.com), DAG Ventures(www.dagventures.com), iD Ventures America(www.idsoftcapital.com), Keytone Ventures(www.keytonevc.com), Kleiner Perkins(www.kleinerperkins.com), Korea Investment Partners(kipvc.com/main.html), Presidio Ventures(www.presidio-ventures.com), SK Telecom Americas(www.skta.com), Spirox Ventures(spiroxventures.com), Streamlined Ventures(www.streamlinedventures.com)</t>
  </si>
  <si>
    <t>Fenwick &amp; West(Legal Advisor), O'Melveny &amp; Myers(Legal Advisor)</t>
  </si>
  <si>
    <t>180189-19</t>
  </si>
  <si>
    <t>May Mobility</t>
  </si>
  <si>
    <t>Drive.ai, Comma.Ai, nuTonomy, Truvolo, ClearMotion, AImotive, Nauto, Azuga, TrueMotion, Waymo, Moj.io, FiveAI, Zoox, WeRide (China), Automatic (Connected Car Company), DeepScale, Zubie, Ridecell, Auro, Nexar, Dash (Connected Car Platform), Optimus Ride, Cruise</t>
  </si>
  <si>
    <t>Developer of an enterprise autonomous transportation platform designed to provide mobility services. The company's platform includes shuttles which are equipped with comfortable individual seats and belts and it interacts with other road users like a human driver, enabling users to get a comfortable journey at an affordable price.</t>
  </si>
  <si>
    <t>autonomous car, autonomous technologies, autonomous vehicle, shuttles, vehicle fleet</t>
  </si>
  <si>
    <t>www.maymobility.com</t>
  </si>
  <si>
    <t>2017: 15, 2018: 21, 2019: 50</t>
  </si>
  <si>
    <t>162933-49P</t>
  </si>
  <si>
    <t>Edwin Olson</t>
  </si>
  <si>
    <t>edwin.olson@maymobility.com</t>
  </si>
  <si>
    <t>+1 (734) 369-8874</t>
  </si>
  <si>
    <t>3901 Varsity Drive</t>
  </si>
  <si>
    <t>48108</t>
  </si>
  <si>
    <t>info@maymobility.com</t>
  </si>
  <si>
    <t>The company raised $22 million through the combination of debt and Series A venture funding in a deal led by Millennium Technology Value Partners and Cyrus Capital Partners on February 12, 2019, putting the company's pre-money valuation at $40 million. BMW i Ventures, Toyota AI Ventures, LG Technology Ventures, Thayer Ventures, Maven Ventures and Y Combinator also participated in the round. The company intends to use the funds to expand engineering and operations.</t>
  </si>
  <si>
    <t>Base Ventures, BMW i Ventures, Cyrus Capital Partners, Detroit Venture Partners, Expansion Venture Capital, Gelt Venture Capital, LG Technology Ventures, Ludlow Ventures, Maven Ventures, Millennium Technology Value Partners, Scrum Ventures, SV Angel, Tandem Capital, Thayer Ventures, Toyota AI Ventures, Trucks Venture Capital, Y Combinator</t>
  </si>
  <si>
    <t>Base Ventures(www.base.ventures), BMW i Ventures(www.bmwiventures.com), Cyrus Capital Partners(www.cyruscapital.com), Detroit Venture Partners(www.detroit.vc), Expansion Venture Capital(www.expansionvc.com), Gelt Venture Capital(www.geltvc.com), Ludlow Ventures(www.ludlowventures.com), Maven Ventures(www.mavenventures.com), Millennium Technology Value Partners(www.mtvlp.com), Scrum Ventures(www.scrum.vc), SV Angel(www.svangel.com), Tandem Capital(www.tandemcap.com), Thayer Ventures(www.thayerventures.com), Toyota AI Ventures(www.toyota-ai.ventures), Trucks Venture Capital(www.trucks.vc), Y Combinator(www.ycombinator.com)</t>
  </si>
  <si>
    <t>40312-99</t>
  </si>
  <si>
    <t>Maxxtec</t>
  </si>
  <si>
    <t>Designer and manufacturer of plants and systems for power generation and transmission. The company develops and manufactures components and integrated systems for efficient energy generation from solid biomass, industrial waste heat and other renewable energy sources.</t>
  </si>
  <si>
    <t>Building Products*, Energy Infrastructure, Energy Production</t>
  </si>
  <si>
    <t>energy generation, industrial waste, integrated system developer, renewable energy sources</t>
  </si>
  <si>
    <t>www.maxxtec.com</t>
  </si>
  <si>
    <t>FY 2008</t>
  </si>
  <si>
    <t>56909-62P</t>
  </si>
  <si>
    <t>Alexander Mitsch</t>
  </si>
  <si>
    <t>Chief Financial Officer of the Supervisory Board</t>
  </si>
  <si>
    <t>alexander.mitsch@maxxtec.com</t>
  </si>
  <si>
    <t>+49 (0)72 6192 7924</t>
  </si>
  <si>
    <t>Sinsheim, Germany</t>
  </si>
  <si>
    <t>Breite Seite 1</t>
  </si>
  <si>
    <t>Sinsheim</t>
  </si>
  <si>
    <t>74889</t>
  </si>
  <si>
    <t>+49 (0)72 6192 7999</t>
  </si>
  <si>
    <t>maxxtec@maxxtec.com</t>
  </si>
  <si>
    <t>Vincitag Investment management acquired a majority stake in the company on an undisclosed date.</t>
  </si>
  <si>
    <t>Vincitag</t>
  </si>
  <si>
    <t>Concentro Management(Advisor: General), HKCF Corporate Finance(Advisor: General)</t>
  </si>
  <si>
    <t>152034-22</t>
  </si>
  <si>
    <t>Maxwell Financial Labs</t>
  </si>
  <si>
    <t>Maxwell</t>
  </si>
  <si>
    <t>Mortgagebot, BeSmartee, RealKey, SimpleNexus</t>
  </si>
  <si>
    <t>Provider of a SaaS platform designed to empower mortgage lenders to be more connected, productive and successful. The company's platform allows home-buyers to compare their mortgage offers while purchasing or refinancing, enabling loan officers to better serve their customers.</t>
  </si>
  <si>
    <t>Big Data, FinTech, Mortgage Tech, Real Estate Technology, SaaS, TMT</t>
  </si>
  <si>
    <t>mortgage, mortgage lending, mortgage lending platform, mortgage lending tools, mortgage service, saas</t>
  </si>
  <si>
    <t>www.himaxwell.com</t>
  </si>
  <si>
    <t>2016: 7, 2017: 11</t>
  </si>
  <si>
    <t>127584-91P</t>
  </si>
  <si>
    <t>John Paasonen</t>
  </si>
  <si>
    <t>john@himaxwell.com</t>
  </si>
  <si>
    <t>+1 (888) 256-6067</t>
  </si>
  <si>
    <t>1624 Market Street</t>
  </si>
  <si>
    <t>Suite 221</t>
  </si>
  <si>
    <t>meetmax@himaxwell.com</t>
  </si>
  <si>
    <t>The company raised $3 million of Seed funding in a deal led by Anthemis Group on December 6, 2017, putting the company's pre-money valuation at $12 million. Route66 Ventures, Assurant Growth Investing and other undisclosed investors also participated in the round. The funds will be used to capitalize on the company's accelerating growth and further increase its pace of innovation.</t>
  </si>
  <si>
    <t>10K investments, Anthemis Group, Assurant Growth Investing, Cantos Ventures, David Clouse, Doug Godwin, Jose Brotons, Lion's Paw Investments, Mani Honigstein, Math Venture Partners, Montero Venture Partners, Plug and Play Tech Center, Ran Landmann, Right Side Capital Management, Route 66 Ventures, Shasta Ventures, Sovereign's Capital, Techstars, ThirdStream Partners, Timberline Holdings, Zelkova Ventures</t>
  </si>
  <si>
    <t>Anthemis Group(www.anthemis.com), Assurant Growth Investing(www.assurantgrowthinvesting.com), Cantos Ventures(www.cantos.vc), Math Venture Partners(www.mathventurepartners.com), Montero Venture Partners(www.monteroventurepartners.com), Plug and Play Tech Center(www.plugandplaytechcenter.com), Right Side Capital Management(www.rightsidecapital.com), Route 66 Ventures(www.route66ventures.com), Shasta Ventures(www.shastaventures.com), Sovereign's Capital(www.sovereignscapital.com), Techstars(www.techstars.com), ThirdStream Partners(www.thirdstreampartners.com), Timberline Holdings(www.timberlineholdings.com), Zelkova Ventures(www.zelkovavc.com)</t>
  </si>
  <si>
    <t>Goodwin(Legal Advisor), Koenig, Oelsner, Taylor, Schoenfeld &amp; Gaddis(Legal Advisor)</t>
  </si>
  <si>
    <t>53351-83</t>
  </si>
  <si>
    <t>Mavenlink</t>
  </si>
  <si>
    <t>onepoint PROJECTS, MetaCommunications, Leankor, Jama Software, Clarizen, The Advantage Software Company, Screendragon, Asana, inMotionNow, Accelo, AchieveIt, Smartsheet, Upland Software, BetterWorks, Epicor Software, ConceptShare, NQI, Planview PPM Pro, Capterra, Wrike, LiquidPlanner, GenSight, i-nexus, Gridle, Envisio, Projectplace International, Adrega AS, Daptiv, Workfront, Global Shop Solutions, VersionOne, Project Insight, Kenesto, One2team, Planisware, Mitratech Holdings, Keyedin Solutions, Flow Technologies, PlanView, Producteev, Workboard, Changepoint, ECi Software Solutions, Replicon, AgileZen, Shoptech Software - Manufacturing Software, OnStrategy, Roadmunk, Airtable, Huddle (Software), productboard, CA Technologies, Upchain (Lifecycle Management Platform), Transpose, Basecamp, Wizeline, Witkit, CollateBox, Zapproved, Allthings, Insightly</t>
  </si>
  <si>
    <t>Developer of a collaborative platform designed to elevate the operational and financial performance of business. The company's platform offers an operational system of record that facilitates their entire business life cycle, including key capabilities like resource management, project management, collaboration, project accounting and business intelligence, enabling professional services organizations and other people-intensive businesses to manage the on-time and on-budget delivery of projects.</t>
  </si>
  <si>
    <t>business intelligence, project accounting, project management platform, resource management platform, task management, work management software</t>
  </si>
  <si>
    <t>www.mavenlink.com</t>
  </si>
  <si>
    <t>2017: 250</t>
  </si>
  <si>
    <t>39097-09P</t>
  </si>
  <si>
    <t>Raymond Grainger</t>
  </si>
  <si>
    <t>rgrainger@mavenlink.com</t>
  </si>
  <si>
    <t>+1 (800) 860-9544</t>
  </si>
  <si>
    <t>6501 Irvine Center Drive</t>
  </si>
  <si>
    <t>info@mavenlink.com</t>
  </si>
  <si>
    <t>The company raised $48 million of Series E venture funding in a deal led by Carrick Capital Partners, ORIX Growth Capital and The Goldman Sachs Group on April 11, 2019, putting the company's pre-money valuation at $187 million. Other undisclosed investors also participated in this round. The funds will be used to continue to expand its global workforce.</t>
  </si>
  <si>
    <t>Bruno Bowden, Carrick Capital Partners, Madden Capital Partners, ORIX Growth Capital, Quest Innovation Accelerator, The Goldman Sachs Group, Toba Capital</t>
  </si>
  <si>
    <t>Carrick Capital Partners(www.carrickcapitalpartners.com), Madden Capital Partners(www.maddencapitalpartners.com), The Goldman Sachs Group(www.goldmansachs.com), Toba Capital(www.tobacapital.com)</t>
  </si>
  <si>
    <t>K&amp;L Gates(Legal Advisor), McGuireWoods(Legal Advisor)</t>
  </si>
  <si>
    <t>K&amp;L Gates(Legal Advisor), KBCM Technology Group(Advisor: General), Silicon Valley Bank(Legal Advisor)</t>
  </si>
  <si>
    <t>170032-42</t>
  </si>
  <si>
    <t>Mattrix Technologies</t>
  </si>
  <si>
    <t>nVerPix</t>
  </si>
  <si>
    <t>Mattrix</t>
  </si>
  <si>
    <t>Operator of a semiconductor device company intended to develop breakthrough pixel architectures for flat-panel displays. The company's pixel architecture combines the drive transistor, storage capacitor and light emitting layers into a sequentially deposited, vertical, transparent stack that delivers a high aperture ratio and bottom emission display, allowing customers to enable the cost-effective production of large-area displays, simplify the manufacturing process and increase lifetime.</t>
  </si>
  <si>
    <t>drivers circuitry, emissive display technology, full-aperture olet, light-emitting transistors technologies, oled backplanes solutions, organic light-emitting transistors</t>
  </si>
  <si>
    <t>www.mattrixtech.com</t>
  </si>
  <si>
    <t>204741-37P</t>
  </si>
  <si>
    <t>Max Lemaitre</t>
  </si>
  <si>
    <t>max@mattrixtech.com</t>
  </si>
  <si>
    <t>+1 (352) 641-0557</t>
  </si>
  <si>
    <t>Gainesville, FL</t>
  </si>
  <si>
    <t>747 Southwest 2nd Avenue</t>
  </si>
  <si>
    <t>Suite 390</t>
  </si>
  <si>
    <t>Gainesville</t>
  </si>
  <si>
    <t>32601</t>
  </si>
  <si>
    <t>info@mattrixtech.com</t>
  </si>
  <si>
    <t>The company raised $3 million of Series A venture funding in a deal led by Samsung Venture Investment on April 4, 2019, putting the company's pre-money valuation at $12 million. JSR also participated in the round. The funds will be used to develop production-ready manufacturing processes and fabricate a fully-integrated display prototype based on the company's unique pixel architecture.</t>
  </si>
  <si>
    <t>JSR, Samsung Venture Investment</t>
  </si>
  <si>
    <t>JSR(www.jsr.co.jp), Samsung Venture Investment(www.samsungventures.com)</t>
  </si>
  <si>
    <t>Hutchison (United States)(Legal Advisor), Taiwan Startup Stadium(Consulting)</t>
  </si>
  <si>
    <t>Hutchison (United States)(Legal Advisor)</t>
  </si>
  <si>
    <t>55234-54</t>
  </si>
  <si>
    <t>Matterport</t>
  </si>
  <si>
    <t>Occipital, iStaging, VPiX, Cupix, SmartVizX, InsideMaps, Transported, Immoviewer</t>
  </si>
  <si>
    <t>Developer of an immersive 3D media platform designed to establish 3D and Virtual Reality (VR) models as a primary medium for experiencing, sharing and re-imagining the world. The company's all-in-one reality capture system creates realistic, interactive 3D and VR experiences and print-ready 4K photography, all with an easy-to-use automated system, enabling users across real estate, travel, engineering, construction or other industries that use, modify or communicate about real-world places, with a powerful tool to captivate customers with vivid, interactive 3D experiences that feel as real as being there.</t>
  </si>
  <si>
    <t>Artificial Intelligence &amp; Machine Learning, Construction Technology, Real Estate Technology, SaaS, TMT, Virtual Reality</t>
  </si>
  <si>
    <t>3d camera system, 3d capture systems, building scanner, computer vision tools, virtual reality platform, virtual tour</t>
  </si>
  <si>
    <t>www.matterport.com</t>
  </si>
  <si>
    <t>2015: 80</t>
  </si>
  <si>
    <t>33169-60P</t>
  </si>
  <si>
    <t>James Fay</t>
  </si>
  <si>
    <t>james@matterport.com</t>
  </si>
  <si>
    <t>+1 (408) 263-9200</t>
  </si>
  <si>
    <t>352 East Java Drive</t>
  </si>
  <si>
    <t>+1 (888) 933-8990</t>
  </si>
  <si>
    <t>info@matterport.com</t>
  </si>
  <si>
    <t>M13 sold a stake in the company to an undisclosed buyer. Previously, the company raised $48 million through the combination of debt and Series D venture funding from Qualcomm Ventures, Ericsson Ventures and News Corp on March 5, 2019, putting the company's pre-money valuation at $325 million. Sound Ventures, M13, BoxGroup, Rev1 Ventures, Lux Capital, DCM Ventures, Luminari Capital, Plug and Play Tech Center, Leila Rastegar Zegna, Prairie Management Group and CBRE Group also participated in the round.</t>
  </si>
  <si>
    <t>AMD Ventures, AME Cloud Ventures, Andrew Dunn, Blake Krikorian, BoxGroup, CBRE Group, Christina Brodbeck, Daniel Leff, DCM Ventures, Ericsson Ventures, Felicis Ventures, GIC Private, Gordon Segal, Greylock Partners, iGlobe Partners, Individual Investor, Leila Zegna, Luminari Capital, Lux Capital, Matthew Ocko, Navitas Capital, News Corp, Plug and Play Tech Center, Prairie Management Group, Qualcomm Ventures, Red Swan Ventures, Rev1 Ventures, Rothenberg Ventures, Sound Ventures, Tikhon Bernstam, Y Combinator, Yishan Wong, Yun-Fang Juan, Zarco Investment Group</t>
  </si>
  <si>
    <t>M13</t>
  </si>
  <si>
    <t>AMD Ventures(amdventures.com), AME Cloud Ventures(www.amecloudventures.com), BoxGroup(www.boxgroup.com), DCM Ventures(www.dcm.com), Felicis Ventures(www.felicis.com), GIC Private(www.gic.com.sg), Greylock Partners(www.greylock.com), iGlobe Partners(www.iglobepartners.com), Luminari Capital(www.luminaricapital.com), Lux Capital(www.luxcapital.com), Navitas Capital(www.navitascap.com), News Corp(www.newscorp.com), Plug and Play Tech Center(www.plugandplaytechcenter.com), Prairie Management Group(www.prairiemgt.com), Qualcomm Ventures(www.qualcommventures.com), Red Swan Ventures(www.redswan.vc), Rev1 Ventures(www.rev1ventures.com), Rothenberg Ventures(www.rothenbergventures.com), Sound Ventures(www.sound-ventures.com), Y Combinator(www.ycombinator.com), Yishan Wong(www.algeri-wong.com), Zarco Investment Group(www.zigfund.com)</t>
  </si>
  <si>
    <t>M13(www.m13.co)</t>
  </si>
  <si>
    <t>Pillsbury Winthrop Shaw Pittman(Legal Advisor), True Capital Partners(Advisor: General)</t>
  </si>
  <si>
    <t>Orrick, Herrington &amp; Sutcliffe(Legal Advisor), Pillsbury Winthrop Shaw Pittman(Legal Advisor), True Capital Partners(Advisor: General)</t>
  </si>
  <si>
    <t>58370-32</t>
  </si>
  <si>
    <t>Matternet</t>
  </si>
  <si>
    <t>Skycart, Flytrex, Flirtey</t>
  </si>
  <si>
    <t>Provider of an on-demand delivery platform created to make access to goods as frictionless and universal as access to information. The company's on-demand delivery platform includes a drone with a payload of up to 2 kilograms, a easy-to-use station to automate payload &amp; battery exchange and a cloud software platform for operating routes, monitors, commands and controls, enabling organizations around the world to build and operate drone logistics networks for transporting goods on demand, through the air, at a fraction of the time, cost and energy of any other transportation method used today.</t>
  </si>
  <si>
    <t>Electrical Equipment*, Logistics</t>
  </si>
  <si>
    <t>air transport, drones delivery platform, drones logistics network, transportation system, uav drones</t>
  </si>
  <si>
    <t>www.mttr.net</t>
  </si>
  <si>
    <t>2014: 10, 2015: 14, 2016: 20, 2017: 25, 2018: 35</t>
  </si>
  <si>
    <t>75702-34P</t>
  </si>
  <si>
    <t>Andreas Raptopoulos</t>
  </si>
  <si>
    <t>Co-Founder, President, Chief Executive Officer and Board Member</t>
  </si>
  <si>
    <t>andreas@matternet.us</t>
  </si>
  <si>
    <t>+1 (650) 260-2727</t>
  </si>
  <si>
    <t>3511 Edison Way</t>
  </si>
  <si>
    <t>contact@matternet.us</t>
  </si>
  <si>
    <t>The company raised $16 million of Series A venture funding in a deal led by Boeing HorizonX on June 26, 2018, putting the company's pre-money valuation at $40 million. Sony Innovation Fund, Swiss Post, TriLead Capital, UpHonest Capital and Levitate Capital also participated in the round. The company will utilize the funds to expand U.S. and global operations to further its mission of creating an on-demand urban transportation system. The company has raised $25 million in funding to date.</t>
  </si>
  <si>
    <t>Adam Pisoni, Alchemist Accelerator, Amer Haider, Anderson Tan, Andreessen Horowitz, Anthony Saleh, Arete Consulting, Ariadne Capital, Boeing HorizonX, Bright Success Capital, Bryan Johnson, Cameron Winklevoss, Comet Labs, Daimler, Dan Sutera, Eric Kwan, Fadi Ghandour, FlexTronics, Hilton Tam, Individual Investor, Levitate Capital, Loek Derks, MENA Venture Investments, MicroVentures, Nasir Jones, Network Society Ventures, OS Fund, Plug and Play Tech Center, QueensBridge Venture Partners, Rick Holliday-Smith, Scott Banister, Singularity University, Sony Innovation Fund, Swiss Post, TriLead Capital, Tyler Winklevoss, UpHonest Capital, Verizon Communications, Wei Guo, Winklevoss Capital Management, Winston Venture Capital</t>
  </si>
  <si>
    <t>Alchemist Accelerator(www.alchemistaccelerator.com), Andreessen Horowitz(www.a16z.com), Arete Consulting(www.arete-consulting.com), Ariadne Capital(www.ariadnecapitalgroup.com), Bryan Johnson(bryanjohnson.co), Comet Labs(www.cometlabs.io), Daimler(www.daimler.com), Dan Sutera(www.sutera.com), FlexTronics(www.flex.com), MENA Venture Investments(www.mvi.vc), MicroVentures(www.microventures.com), Nasir Jones(nasir.wun.io), Network Society Ventures(www.netsoc.vc), OS Fund(www.osfund.co), Plug and Play Tech Center(www.plugandplaytechcenter.com), QueensBridge Venture Partners(www.qbvp.com), Singularity University(www.su.org), Sony Innovation Fund(www.sonyinnovationfund.com), Swiss Post(www.post.ch/en), TriLead Capital(www.trileadcapital.com), UpHonest Capital(www.uphonestcapital.com), Winklevoss Capital Management(www.winklevosscapital.com), Winston Venture Capital(www.winstonventure.com)</t>
  </si>
  <si>
    <t>Singularity University(Consulting), Wilson Sonsini Goodrich &amp; Rosati(Legal Advisor)</t>
  </si>
  <si>
    <t>97355-26</t>
  </si>
  <si>
    <t>MasterClass</t>
  </si>
  <si>
    <t>Coursera, Khan Academy, Shaw Academy, Cursogram, CreativeLive, Udacity, Haiku Learning Systems, Coursmos, Imagine Math, Codecademy, OpenSesame, Xueba100, 360training.com, Learning.com, Edx, Outschool, Lynda.com, OpenStudy, Edmodo, TareasPlus, Teachers Notebook, Descomplica, Quipper, Pluralsight, Global eTraining, D2L, Curious.com, Looop Online, Udemy, Blackboard, Oja.la Edu, BenchPrep, eduK, Learnetic, Teachers Pay Teachers, Makerist, Designlab, Compass Learning, Knewton, Ignis Careers, Training Consultants (Education), Teachscape, Tutellus Technologies, Edline, Intellipaat, Train Simple, Emantras, MZed, Skillshare</t>
  </si>
  <si>
    <t>Provider of an online education platform designed to offer video based online vocational courses. The company's digital platform offers affordable, engaging, and inspirational online classes which include video lessons, interactive exercises, a series of course materials, peer interaction and more, enabling learners to access online classes taught by world-renowned instructors, making it possible for anyone to learn from the best.</t>
  </si>
  <si>
    <t>Educational and Training Services (B2C), Educational Software*</t>
  </si>
  <si>
    <t>education innovations, education technology firm, online video content, online video education, online vocational training</t>
  </si>
  <si>
    <t>www.masterclass.com</t>
  </si>
  <si>
    <t>2016: 25, 2017: 60, 2018: 100</t>
  </si>
  <si>
    <t>Competitor (New) Xueba100</t>
  </si>
  <si>
    <t>News (New) , Competitor (New) Xueba100</t>
  </si>
  <si>
    <t>40053-07P</t>
  </si>
  <si>
    <t>David Rogier</t>
  </si>
  <si>
    <t>david@masterclass.com</t>
  </si>
  <si>
    <t>+1 (855) 981-8208</t>
  </si>
  <si>
    <t>660 4th Street</t>
  </si>
  <si>
    <t>Suite 443</t>
  </si>
  <si>
    <t>info@masterclass.com</t>
  </si>
  <si>
    <t>The company raised $85 million of Series D venture funding in a deal led by IVP on September 6, 2018, putting the company's pre-money valuation at $325 million. Atomico, NEA, Javelin Venture Partners, Serena Ventures, Advancit Capital and Evolution Media also participated in the round. The funds will be used to grow its subscription service and expand into new categories, including business and politics.</t>
  </si>
  <si>
    <t>Advancit Capital, Atomico, Bloomberg Beta, Downey Ventures, Endeavor, Evolution Media, GSV AcceleraTE, Harrison Metal Capital, IVP, Javelin Venture Partners, Lee Linden, MX Investments, New Enterprise Associates, Novel TMT Ventures, Otter Rock Capital, Philip Krim, Samuel Lessin, Serena Ventures, Usher Raymond, UTA Ventures, Vectr Ventures, WME Ventures, Y Combinator, Yan-David Erlich</t>
  </si>
  <si>
    <t>Advancit Capital(www.advancitcapital.com), Atomico(www.atomico.com), Bloomberg Beta(www.bloombergbeta.com), Endeavor(www.endeavorco.com), Evolution Media(www.evolutionmedia.com), GSV AcceleraTE(www.gsvaccelerate.com), Harrison Metal Capital(www.harrisonmetal.com), IVP(www.ivp.com), Javelin Venture Partners(www.javelinvp.com), New Enterprise Associates(www.nea.com), Otter Rock Capital(www.otterrockcapital.com), Samuel Lessin(www.wlessin.com), Serena Ventures(www.serenaventures.com), UTA Ventures(ventures.unitedtalent.com), Vectr Ventures(www.vectr.co), WME Ventures(www.wmevc.com), Y Combinator(www.ycombinator.com)</t>
  </si>
  <si>
    <t>117421-21</t>
  </si>
  <si>
    <t>MassiveBio</t>
  </si>
  <si>
    <t>Provider of personalized oncology advisory services intended to offer service that will generate precise oncology plan. The company's services help cancer patients, oncologists and oncology practitioners to incorporate tumour profiling, targeted therapies and outcomes tracking into their daily decisions, enabling patients to get effective treatment without disrupting lives and a financial hindrance to cancer patients.</t>
  </si>
  <si>
    <t>Managed Care</t>
  </si>
  <si>
    <t>Managed Care*</t>
  </si>
  <si>
    <t>Life Sciences, Oncology</t>
  </si>
  <si>
    <t>oncology advisory services, oncology practice, personalized cancer advisory, personalized cancer care, targeted cancer therapy, tumor profiling technology</t>
  </si>
  <si>
    <t>www.massivebio.com</t>
  </si>
  <si>
    <t>116240-05P</t>
  </si>
  <si>
    <t>Selin Kurnaz</t>
  </si>
  <si>
    <t>Lead-Founder &amp; Chief Executive Officer</t>
  </si>
  <si>
    <t>skurnaz@massbio.io</t>
  </si>
  <si>
    <t>+1 (844) 627-7246</t>
  </si>
  <si>
    <t>90 West Street</t>
  </si>
  <si>
    <t>Suite 12M</t>
  </si>
  <si>
    <t>10006</t>
  </si>
  <si>
    <t>+1 (917) 336-3319</t>
  </si>
  <si>
    <t>The company raised $2.53 million of Series A venture funding from UL Ventures and 500 Istanbul on May 2, 2019, putting the company's pre-money valuation at $25 million.</t>
  </si>
  <si>
    <t>500 Istanbul, UL Ventures</t>
  </si>
  <si>
    <t>500 Istanbul(www.500istanbul.co)</t>
  </si>
  <si>
    <t>Ober, Kaler, Grimes &amp; Shriver(Legal Advisor), Tigress Financial Partners(General Business Banking)</t>
  </si>
  <si>
    <t>113292-82</t>
  </si>
  <si>
    <t>Mass Exchange</t>
  </si>
  <si>
    <t>MediaMath, AppNexus, C1X, AdRoll, Adelphic, DataXu, Optimatic Media, StrikeAd, PubMatic, AcuityAds Holdings, iProspect, NextMark, Rocket Fuel, Dstillery, Bidstalk, VideoAmp, Fyber, Pulpo Media, Brandfolder, Spongecell, Videology, Manage.com Group, Q1Media, Addictive Mobility, Sizmek, FreeWheel Media, SpotX, Centro, Choozle, Tapad, Smaato, Emerge Digital, InMobi, Inneractive, YuMe, Index Exchange, Feedburner, OpenX, Mediaocean, ALC, Rubicon Project, Adform</t>
  </si>
  <si>
    <t>Provider of a programmatic platform designed to support multiple addressable advertising markets. The company's platform offers superior audience segment pricing while proving optional anonymity to ensure that buyers' and sellers' advertising strategies are not exposed to the broader markets, enabling clients to receive forecasting services in a hassle free manner.</t>
  </si>
  <si>
    <t>advertising forecast, advertising transactions, audience analysis, programmatic marketplace, programmatic platform</t>
  </si>
  <si>
    <t>www.massexchange.com</t>
  </si>
  <si>
    <t>16881-85P</t>
  </si>
  <si>
    <t>Habib Khoury</t>
  </si>
  <si>
    <t>habib.khoury@massexchange.com</t>
  </si>
  <si>
    <t>+1 (646) 481-8417</t>
  </si>
  <si>
    <t>147 West 35th Street</t>
  </si>
  <si>
    <t>Suit 507</t>
  </si>
  <si>
    <t>info@massexchange.com</t>
  </si>
  <si>
    <t>The company raised venture funding from MDC Ventures and 500 Startups on an undisclosed date.</t>
  </si>
  <si>
    <t>500 Startups, MDC Ventures</t>
  </si>
  <si>
    <t>500 Startups(www.500.co), MDC Ventures(www.mdcventures.vc)</t>
  </si>
  <si>
    <t>54330-13</t>
  </si>
  <si>
    <t>Marqeta</t>
  </si>
  <si>
    <t>Boost Payment Solutions, Carta Worldwide, Integrity Payment Systems, Payfirma, Braintree, TrustCommerce, 2Checkout (Acquired), Boku, Vendorin, First Data, Klarna, Affirm, Galileo, Soldo, Zong, AvidXchange, ClickPay, YapStone, Vogogo, WePay, Dwolla, QRails, Payline Data, Judo (Payments Platform), Bill.com, SIX Payment Services, Nets, Nvoicepay, WEX, PEX Global</t>
  </si>
  <si>
    <t>Provider of a payment platform intended to offer the world's first fully documented, open API issuer payment processor. The company's open API issuer payment processor platform includes a set of controls and configurations designed to meet the needs of on-demand service companies, alternative lenders, as well as those looking for payouts for 1099 workers, flexible expense management and scalable, secure virtual card transactions, enabling developers to focus on building their products and getting to the market.</t>
  </si>
  <si>
    <t>B2B Payments, FinTech, TMT</t>
  </si>
  <si>
    <t>alternative lending, apple pay, disbursement, expense management, gig economy, incentive, incentive &amp; rewards, instant issuance, just-in-time, just-in-time funding, open api, payment, payment and processing vertical, payment api, payment platform, tokenization, transaction processing, virtual card, virtual card processing</t>
  </si>
  <si>
    <t>www.marqeta.com</t>
  </si>
  <si>
    <t>2014: 51, 2015: 61, 2016: 75, 2017: 135, 2019: 300</t>
  </si>
  <si>
    <t>44500-96P</t>
  </si>
  <si>
    <t>Jason Gardner</t>
  </si>
  <si>
    <t>jgardner@marqeta.com</t>
  </si>
  <si>
    <t>180 Grand Avenue</t>
  </si>
  <si>
    <t>+1 (510) 779-3026</t>
  </si>
  <si>
    <t>The company raised $260 million of Series E venture funding in a deal led by Coatue Management on May 21, 2019, putting the company's pre-money valuation at $1.63 billion. CommerzVentures, Visa Ventures, Vitruvian Partners, Spark Capital, CreditEase, Granite Ventures, 83North, Goldman Sachs Investment Partners, Lone Pine Capital, Greyhound Capital and ICONIQ Capital also participated in the round.</t>
  </si>
  <si>
    <t>83North, Black River Ventures, Coatue Management, Commerce Ventures, CommerzVentures, CreditEase, Geodesic Capital, Goldman Sachs Investment Partners, Granite Ventures, Greyhound Capital, Hard Yaka, IA Capital Group, ICONIQ Capital, Kow Mensah, Lone Pine Capital, Max Levchin, Sax Capital, SharesPost, Spark Capital, Sukhi Singh, Visa Ventures, Vitruvian Partners</t>
  </si>
  <si>
    <t>LionBird</t>
  </si>
  <si>
    <t>83North(www.83north.com), Black River Ventures(www.brv.vc), Coatue Management(www.coatue.com), Commerce Ventures(www.commercevc.com), CommerzVentures(www.commerzventures.de), CreditEase(www.creditease.cn), Geodesic Capital(www.geodesiccap.com), Goldman Sachs Investment Partners(www.gsipventures.com), Granite Ventures(www.granitevc.com), Greyhound Capital(www.greyhoundcapital.com), Hard Yaka(www.hardyaka.com), IA Capital Group(www.iacapgroup.com), ICONIQ Capital(www.iconiqcapital.com), Lone Pine Capital(www.lonepinecapital.com), Max Levchin(www.levchin.com), Sax Capital(saxcapital.co), SharesPost(www.sharespost.com), Spark Capital(www.sparkcapital.com), Vitruvian Partners(www.vitruvianpartners.com)</t>
  </si>
  <si>
    <t>LionBird(www.lionbird.com)</t>
  </si>
  <si>
    <t>Cooley(Legal Advisor), Goodwin(Legal Advisor), WilmerHale(Legal Advisor)</t>
  </si>
  <si>
    <t>Cooley(Legal Advisor), Financial Technology Partners(Advisor: General), Goodwin(Legal Advisor), WilmerHale(Legal Advisor)</t>
  </si>
  <si>
    <t>86974-03</t>
  </si>
  <si>
    <t>MarkForged</t>
  </si>
  <si>
    <t>Boots Industries, Nano Dimension, Formlabs, Desktop Metal, Ultimaker, Stratasys, 3D Systems, EOS</t>
  </si>
  <si>
    <t>Provider of an industrial 3D printing platform intended to simplify the manufacturing process for 3D printing. The company's platform sells a wide range of 3D printers, along with materials that include onyx, fiberglass and various metals, enabling designers and engineers liberate themselves from decades-old, slow part creation processes.</t>
  </si>
  <si>
    <t>Office Electronics*, Other Hardware</t>
  </si>
  <si>
    <t>3D Printing, Advanced Manufacturing, Manufacturing, TMT</t>
  </si>
  <si>
    <t>3d printer, composites filaments fabrication, industrial 3d printing, metal 3d printing, precision engineering, printing platform</t>
  </si>
  <si>
    <t>www.markforged.com</t>
  </si>
  <si>
    <t>2017: 120, 2018: 200, 2019: 250</t>
  </si>
  <si>
    <t>100757-62P</t>
  </si>
  <si>
    <t>Gregory Mark</t>
  </si>
  <si>
    <t>greg@markforged.com</t>
  </si>
  <si>
    <t>+1 (866) 496-1805</t>
  </si>
  <si>
    <t>480 Pleasant Street</t>
  </si>
  <si>
    <t>The company raised $82 million of Series D venture funding in a deal led by Summit Partners on March 20, 2019, putting the company's pre-money valuation at $738 million. Porsche Engineering Services, Matrix Partners, M12 and Next47 also participated in the round. The funds will be used to accelerate its product roadmap, including the introduction of mass production printers and new materials, enhance global expansion plans and strengthen its presence among global manufacturers.</t>
  </si>
  <si>
    <t>Adam Lisagor, M12, Matrix Partners, Next47, North Bridge Venture Partners, Porsche Automobil Holding, Ric Fulop, Summit Partners, Trinity Ventures</t>
  </si>
  <si>
    <t>M12(www.m12.vc), Matrix Partners(www.matrixpartners.com), Next47(Next47.com), North Bridge Venture Partners(www.northbridge.com), Porsche Automobil Holding(www.porsche-se.com), Summit Partners(www.summitpartners.com), Trinity Ventures(www.trinityventures.com)</t>
  </si>
  <si>
    <t>A/E/C Solutions(Consulting), Goodwin(Legal Advisor), PwC(Auditor)</t>
  </si>
  <si>
    <t>91695-79</t>
  </si>
  <si>
    <t>Marketing Evolution</t>
  </si>
  <si>
    <t>Origami Logic, Conversion Logic, DataXu, C3 Metrics, Allocadia, Pointlogic, ThinkVine, Hive9, Aprimo, Beckon, Datorama, i.Predictus, Infogroup, Fractal Analytics, Manthan, Velocidi, Full Circle Insights, Demandbase, Rocket Fuel, Centro, Merkle, Uberall, Birst, BrandMaker, Yext, Umbel, Segment, BrightFunnel, Visual IQ, Convertro, Synup, AgilOne, Bizible, Qualtrics, Domo, SAS Institute, MarketShare Partners, Fastly</t>
  </si>
  <si>
    <t>Developer of a return on investment (ROI) management software designed to offer insights on marketing campaigns. The company's software intelligently monitors performance while a marketing campaign is live, identifying opportunities for mid-course adjustments of media mix and creative rotation ensuring the campaign reaches the right person at the right time, with the right media and at the right price, enabling brands to enhance return on marketing spends and increase sales.</t>
  </si>
  <si>
    <t>cross-media marketing, cross-media measurement, cross-media optimization, marketing analysis, marketing analytics, marketing insights, media planning tools</t>
  </si>
  <si>
    <t>www.marketingevolution.com</t>
  </si>
  <si>
    <t>2009: 15, 2010: 57, 2011: 75, 2012: 99, 2013: 97, 2014: 125, 2015: 136</t>
  </si>
  <si>
    <t>152686-63P</t>
  </si>
  <si>
    <t>Rex Briggs</t>
  </si>
  <si>
    <t>rex.briggs@marketingevolution.com</t>
  </si>
  <si>
    <t>+1 (646) 651-4300 x7507</t>
  </si>
  <si>
    <t>122 East 42nd Street</t>
  </si>
  <si>
    <t>44th Floor</t>
  </si>
  <si>
    <t>10168</t>
  </si>
  <si>
    <t>+1 (646) 651-4300</t>
  </si>
  <si>
    <t>evolutioninfo@marketingevolution.com</t>
  </si>
  <si>
    <t>The company raised $26.1 million of Series B venture funding in a deal led by Energy Impact Partners on March 19, 2019, putting the company's pre-money valuation at $90.68 million. Insight Venture Partners and Zetta Venture Partners also participated in the round. The funds will be used to support innovation, specifically around its Marketing Measurement and Attribution Platform empowering marketers with an automated data pipeline.</t>
  </si>
  <si>
    <t>Energy Impact Partners, Insight Partners, Zetta Venture Partners</t>
  </si>
  <si>
    <t>Energy Impact Partners(www.energyimpactpartners.com), Insight Partners(www.insightpartners.com), Zetta Venture Partners(www.zettavp.com)</t>
  </si>
  <si>
    <t>Morgan, Lewis &amp; Bockius(Legal Advisor), SaaS Capital(Debt Financing)</t>
  </si>
  <si>
    <t>56598-40</t>
  </si>
  <si>
    <t>Marfeel</t>
  </si>
  <si>
    <t>Marfeel Solutions</t>
  </si>
  <si>
    <t>AdYapper, Crisp Mobile, Grapeshot, Medialets, Kiip, Jun Group, Apsalar, Say Media, Dynamic Yield, PadSquad, Exponential Interactive, HipCricket, Yieldmo, InMobi, 140 Proof, Monetate, Celtra, Lotame Solutions, PlaceIQ, Movable Ink, July Systems, Smaato, Sailthru, Manage.com Group</t>
  </si>
  <si>
    <t>Provider of an ad tech platform designed to revolutionize the way publishers create, optimize and monetize mobile websites. The company's ad tech platform develops a proprietary technology that analyzes publishers' unique audience, user habits, behavior and usage patterns and dynamically adjusts the mobile site layout, to address these, which results in maximizing readership levels, engagement, page views, loading time and ad revenue enabling clients to have access to new mobile Websites.</t>
  </si>
  <si>
    <t>Media and Information Services (B2B), Multimedia and Design Software*, Telecommunications Service Providers, Wireless Service Providers</t>
  </si>
  <si>
    <t>advertising spot, mobile monetization, mobile ux, page optimization, portrait modes, website conversion</t>
  </si>
  <si>
    <t>www.marfeel.com</t>
  </si>
  <si>
    <t>2014: 12, 2019: 200</t>
  </si>
  <si>
    <t>69019-03P</t>
  </si>
  <si>
    <t>Alberto Laguia</t>
  </si>
  <si>
    <t>+34 93 178 5950</t>
  </si>
  <si>
    <t>Avda. Josep Tarradellas 20-30</t>
  </si>
  <si>
    <t>08029</t>
  </si>
  <si>
    <t>hello@marfeel.com</t>
  </si>
  <si>
    <t>The company raised $3.5 million of Series B venture funding from Nauta Capital, Elaia Partners and Bertelsmann Digital Media Investments on October 13, 2015. The funding will be used to enhance the company's mobile website monetization technology and support its U.S. expansion.</t>
  </si>
  <si>
    <t>Bertelsmann Digital Media Investments, Elaia Partners, Individual Investor, Nauta Capital, Seedrocket</t>
  </si>
  <si>
    <t>Wayra</t>
  </si>
  <si>
    <t>Bertelsmann Digital Media Investments(www.bdmifund.com), Elaia Partners(www.elaia.com), Nauta Capital(www.nautacapital.com), Seedrocket(www.seedrocket.com)</t>
  </si>
  <si>
    <t>Wayra(de.wayra.co)</t>
  </si>
  <si>
    <t>52711-39</t>
  </si>
  <si>
    <t>MapR</t>
  </si>
  <si>
    <t>Looker, Matillion, Feature Labs, Fivetran, Unifi (Data Platform), Ngdata, Alooma, Platfora, DataStax, Opera Solutions, Cloudera, Striim, Qubole, Syncsort, Databricks, Attunity, Logz.io, Talend, SAP, Iguazio, Informatica, Pentaho, Tellius, Paxata, CognitiveScale, RapidMiner, Couchbase, Qlik Technologies, StreamSets, Alteryx, MongoDB, TIBCO Software, Cambridge Semantics, Ping Identity, Tamr, Basho, Panoply (Application Software), SparkCognition, ScyllaDB, Hortonworks, Datameer, Trifacta, Pendo Systems, ReachForce, Panaya, SigOpt, InfluxData, Astronomer, Tableau Software, Medsight Solutions, ArangoDB, Oracle</t>
  </si>
  <si>
    <t>Provider of a cloud-based converged data platform designed to offer real-time database capabilities. The company's platform offers enterprise-grade data protection and business continuity by digitally transforming data in marketing, security, information technology and business operations, enabling enterprises to harness the power of big data by combining analytics in real-time to operational applications to improve business outcomes.</t>
  </si>
  <si>
    <t>big data analytics, business optimization platform, business optimization software, business optimization system, business productivity app, business productivity service, data collaboration</t>
  </si>
  <si>
    <t>www.mapr.com</t>
  </si>
  <si>
    <t>2012: 131, 2013: 215, 2014: 400, 2018: 500</t>
  </si>
  <si>
    <t>57947-05P</t>
  </si>
  <si>
    <t>Dan Atler</t>
  </si>
  <si>
    <t>dalter@mapr.com</t>
  </si>
  <si>
    <t>+1 (408) 914-2390</t>
  </si>
  <si>
    <t>4555 Great America Parkway</t>
  </si>
  <si>
    <t>info@mapr.com</t>
  </si>
  <si>
    <t>The company raised $152.93 million of Series E venture funding in a deal led by Lightspeed Venture Partners on August 17, 2018. Quadrille Capital, Kilmahew Ventures, SharesPost, Mayfield Fund and other undisclosed investors also participated in the round. The funding will be used to continue product innovation of the industry's first modern enterprise platform for all data, accelerate country and regional growth to fulfill the demand for the MapR Converged Data Platform throughout APAC and Europe and bolster its thriving global partner community.</t>
  </si>
  <si>
    <t>Australia Future Fund, CapitalG, Cisco Investments, Greenspring Associates, GV, Kilmahew Ventures, Lightspeed Venture Partners, Mayfield Fund, New Enterprise Associates, Quadrille Capital, Qualcomm Ventures, Redpoint Ventures, SharesPost, TriplePoint Venture Growth</t>
  </si>
  <si>
    <t>Australia Future Fund(www.futurefund.gov.au), CapitalG(www.capitalg.com), Cisco Investments(www.ciscoinvestments.com), Greenspring Associates(www.greenspringassociates.com), GV(www.gv.com), Kilmahew Ventures(www.kilmahew.com), Lightspeed Venture Partners(www.lsvp.com), Mayfield Fund(www.mayfield.com), New Enterprise Associates(www.nea.com), Quadrille Capital(www.quadrillecapital.com), Qualcomm Ventures(www.qualcommventures.com), Redpoint Ventures(www.redpoint.com), SharesPost(www.sharespost.com), TriplePoint Venture Growth(www.tpvg.com)</t>
  </si>
  <si>
    <t>Daversa Partners(Consulting), Knowledgent(Advisor: General), Launch Search Partners(Advisor: General), Launch Search Partners(Consulting), The Blueshirt Group(Advisor: Communications), Vipany Group(Consulting), Wilson Sonsini Goodrich &amp; Rosati(Legal Advisor)</t>
  </si>
  <si>
    <t>Knowledgent(Advisor: General), Silicon Valley Bank(Debt Financing), TriplePoint Venture Growth(Debt Financing), Wilson Sonsini Goodrich &amp; Rosati(Legal Advisor)</t>
  </si>
  <si>
    <t>114388-75</t>
  </si>
  <si>
    <t>Mapme</t>
  </si>
  <si>
    <t>Mappedly</t>
  </si>
  <si>
    <t>Wrld, Infogram, Mapbox, HERE Global</t>
  </si>
  <si>
    <t>Provider of a platform designed to be used for building community maps. The company's platform specializes in building crowdsourced community maps, enabling people and organizations to build and develop their customized applications by combining 3D maps, words, photos and videos.</t>
  </si>
  <si>
    <t>community map, community maps, crowdsourced community maps, customized map, location building</t>
  </si>
  <si>
    <t>www.mapme.com</t>
  </si>
  <si>
    <t>101507-23P</t>
  </si>
  <si>
    <t>Philippe Lang</t>
  </si>
  <si>
    <t>13 Shenkar</t>
  </si>
  <si>
    <t>info@mapme.com</t>
  </si>
  <si>
    <t>The company raised $1 million of seed funding from Rhodium, Kima Ventures and DRW Venture Capital on June 23, 2015. Gigi Levy-Weiss and Wellborn Ventures also participated in the round.</t>
  </si>
  <si>
    <t>DRW Venture Capital, Gigi Levy-Weiss, Kima Ventures, Rhodium, Wellborn Ventures</t>
  </si>
  <si>
    <t>DRW Venture Capital(www.drwvc.com), Kima Ventures(www.kimaventures.com), Rhodium(www.rhodium.co.il), Wellborn Ventures(www.wellbornvc.com)</t>
  </si>
  <si>
    <t>86971-96</t>
  </si>
  <si>
    <t>Mapillary</t>
  </si>
  <si>
    <t>Shoebox</t>
  </si>
  <si>
    <t>Provider of a street-level imagery platform intended to build technology and tools to help understand the world's places through images and make this data available. The company's platform uses a technique that matches and combines photos across time and users and is processed with privacy preserving blurring using face and license plate detection, enabling individuals using a smartphone or action camera to collect photos that are then combined into a collective street-level photo view.</t>
  </si>
  <si>
    <t>3d photo map, 3d street-level imagery, map viewing technology, photography, photo-mapping platform, street view, street-level imagery platform</t>
  </si>
  <si>
    <t>www.mapillary.com</t>
  </si>
  <si>
    <t>2014: 2, 2015: 6, 2016: 12, 2017: 33</t>
  </si>
  <si>
    <t>90707-59P</t>
  </si>
  <si>
    <t>Jan-Erik Solem</t>
  </si>
  <si>
    <t>janerik@mapillary.com</t>
  </si>
  <si>
    <t>+1(46) 735-410101</t>
  </si>
  <si>
    <t>Malmo, Sweden</t>
  </si>
  <si>
    <t>Bredgatan 4</t>
  </si>
  <si>
    <t>Malmo</t>
  </si>
  <si>
    <t>211 30</t>
  </si>
  <si>
    <t>hello@mapillary.com</t>
  </si>
  <si>
    <t>The company raised $15 million of Series B venture funding in a deal led by BMW i Ventures on April 12, 2018. Samsung Catalyst, NavInfo Company, Playfair Capital, Sequoia Capital, Atomico and LDV Capital also participated in the round. The company intends to use the funds to continue to expand the team, develop the platform and build a global network of contributors and users of map data.</t>
  </si>
  <si>
    <t>Atomico, BMW i Ventures, Carl Silbersky, James Currier, LDV Capital, Naval Ravikant, NavInfo Company, Playfair Capital, Samsung Catalyst, Sequoia Capital, Taavet Hinrikus, Wellington Partners</t>
  </si>
  <si>
    <t>Atomico(www.atomico.com), BMW i Ventures(www.bmwiventures.com), LDV Capital(www.ldv.co), NavInfo Company(www.navinfo.com), Playfair Capital(www.playfaircapital.com), Samsung Catalyst(www.samsungcatalyst.com), Sequoia Capital(www.sequoiacap.com), Wellington Partners(www.wellington-partners.com)</t>
  </si>
  <si>
    <t>Setterwalls Advokatbyrå(Legal Advisor)</t>
  </si>
  <si>
    <t>61886-53</t>
  </si>
  <si>
    <t>MapAnything</t>
  </si>
  <si>
    <t>Saber Solutions, CloudBilt</t>
  </si>
  <si>
    <t>MapAnything, Incorporated</t>
  </si>
  <si>
    <t>Geopointe, Mapidea, Repsly, Digital Map Products, Geospin, Wrld, Map My Customers, Geoblink, CARTO, SalesRabbit, Vetro Fibermap, Badger Maps, Mapquest.com, Ansys, Boundless Spatial, Point Inside, MapLarge, mTrip, Luciad, PTC Software, GeoDigital International</t>
  </si>
  <si>
    <t>Developer of a geo-analytics and location intelligence platform designed to improve enterprises productivity. The company's platform offers a routing and scheduling engine, integrated GPS tracking capabilities and creates a location-based workflow layer that helps to answer complex spatial questions, enabling businesses to visualize their data on a map and interact with it to increase field sales efficiency by managing their sales team, improve marketing efforts and drive productivity.</t>
  </si>
  <si>
    <t>geo analytics solution, geographic data, geo-productivity software, location of things, location-based platform, map-centric user interface, sales intelligence, salesforce application</t>
  </si>
  <si>
    <t>www.mapanything.com</t>
  </si>
  <si>
    <t>2015: 43, 2016: 71, 2017: 148, 2018: 150</t>
  </si>
  <si>
    <t>62924-59P</t>
  </si>
  <si>
    <t>John Stewart</t>
  </si>
  <si>
    <t>jstewart@cloudbilt.com</t>
  </si>
  <si>
    <t>5200 77 Center Drive</t>
  </si>
  <si>
    <t>28217</t>
  </si>
  <si>
    <t>The company reached a definitive agreement to be acquired by Salesforce (NYS: CRM) for an undisclosed amount on April 19, 2019.</t>
  </si>
  <si>
    <t>Andrew Leto, Columbus Nova, David Stern, GM Ventures, Greycroft, Harbert Growth Partners, Harbert Management, Michael Lazerow, Salesforce Ventures, ServiceNow Ventures</t>
  </si>
  <si>
    <t>Salesforce</t>
  </si>
  <si>
    <t>Columbus Nova(www.columbusnova.com), GM Ventures(www.gmventures.com), Greycroft(www.greycroft.com), Harbert Management(www.harbert.net)</t>
  </si>
  <si>
    <t>Salesforce(www.salesforce.com)</t>
  </si>
  <si>
    <t>Lighter Capital(Debt Financing), Morris Manning &amp; Martin(Legal Advisor), Silicon Valley Bank(General Business Banking), Square 1 Bank(Debt Financing)</t>
  </si>
  <si>
    <t>63825-94</t>
  </si>
  <si>
    <t>Mantis Vision</t>
  </si>
  <si>
    <t>Developer of 3D capturing technologies designed to create 3D content for a wide range of applications and markets. The company's 3D capturing technologies offer 3D modeling of static objects for professional scanners as well as cameras to be used inside smartphones and tablets for face recognition access control, enabling users to get 3D dynamic volumetric content for virtual reality environment and robotic vision.</t>
  </si>
  <si>
    <t>Electronic Components, Electronics (B2C)*, Other Software</t>
  </si>
  <si>
    <t>3d capturing technologies, content creation, imaging technology, volumetric content</t>
  </si>
  <si>
    <t>www.mantis-vision.com</t>
  </si>
  <si>
    <t>2014: 29, 2015: 35, 2016: 43, 2018: 160</t>
  </si>
  <si>
    <t>40229-92P</t>
  </si>
  <si>
    <t>Moshe Zoller</t>
  </si>
  <si>
    <t>+972 (0)3 561 1660</t>
  </si>
  <si>
    <t>Petach Tikva, Israel</t>
  </si>
  <si>
    <t>Imber 24, Kiryat Arie</t>
  </si>
  <si>
    <t>Petach Tikva</t>
  </si>
  <si>
    <t>49511</t>
  </si>
  <si>
    <t>+972 (0)3 561 1126</t>
  </si>
  <si>
    <t>info@mantis-vision.com</t>
  </si>
  <si>
    <t>The company raised $55 million of Series D venture funding in a deal led by Samsung Catalyst and Luenmei Quantum Company on July 11, 2018. Glory Ventures, Sinovation Ventures and other undisclosed investors also participated in the round. The new funds will serve to extend the company's technological edge, accelerate the company's go-to-market strategy, expand its international workforce and support external growth opportunities. The round brings total raised to $84 million to date and expects to double its workforce by the end of 2020 with an additional 140 employees.</t>
  </si>
  <si>
    <t>Eclipse Ventures, Flex's Lab IX, FlexTronics, Formation 8, Glory Ventures, Jerusalem Technology Investments, Luenmei Quantum Company, Qualcomm Ventures, Samsung Catalyst, Sinovation Ventures, Sunny Group (Optical products), Titanium Investments</t>
  </si>
  <si>
    <t>Eclipse Ventures(www.eclipse.vc), Flex's Lab IX(www.labix.io/expertise/startups), FlexTronics(www.flex.com), Formation 8(www.formation8.com), Glory Ventures(www.en.glory-ventures.com), Qualcomm Ventures(www.qualcommventures.com), Samsung Catalyst(www.samsungcatalyst.com), Sinovation Ventures(www.sinovationventures.com), Sunny Group (Optical products)(www.sunnyoptical.com), Titanium Investments(www.titanium.vc)</t>
  </si>
  <si>
    <t>63995-95</t>
  </si>
  <si>
    <t>Mandaê</t>
  </si>
  <si>
    <t>uShip, PockitShip, Convoy, Transfix, ShipHawk, Cargomatic, Dolly, GoShare, DeliveryCircle, Cargo Chief</t>
  </si>
  <si>
    <t>Developer of an online platform designed to offer on-demand shipping and packaging services. The company's online platform offers services for picking up the packages to be shipped and bring them to the warehouse where those materials are professionally packed and shipped off with transporters, enabling small businesses and small-volume shippers to ship their stuff through private carriers used by the big companies and e-commerce businesses.</t>
  </si>
  <si>
    <t>freight delivery, logistics, on demand shipping, packaging services, shipping commodities</t>
  </si>
  <si>
    <t>www.mandae.com.br</t>
  </si>
  <si>
    <t>2014: 2, 2015: 19, 2016: 51</t>
  </si>
  <si>
    <t>70072-12P</t>
  </si>
  <si>
    <t>Marcelo Fujimoto</t>
  </si>
  <si>
    <t>marcelo@mandae.com.br</t>
  </si>
  <si>
    <t>+55 11 4200 2262</t>
  </si>
  <si>
    <t>Rua Padre Meliton Vigueira Penillos</t>
  </si>
  <si>
    <t>132, Vila Leopoldina</t>
  </si>
  <si>
    <t>05305-070</t>
  </si>
  <si>
    <t>contato@mandae.com.br</t>
  </si>
  <si>
    <t>The company raised $7.1 million of Series B venture funding in a deal led by International Finance Corporation on May 2, 2018. UPS Strategic Enterprise Fund, MercadoLibre, Tekton Ventures, FJ Labs, Performa Investimentos, Qualcomm Ventures, Monashees Capital and Icon Holding Company also participated in the round. The funds will be used to expand to other regions of Brazil and to accelerate growth.</t>
  </si>
  <si>
    <t>FJ Labs, Hans Hickler, Icon Holding Company, International Finance Corporation, Kima Ventures, MercadoLibre, Monashees Capital, Performa Investimentos, Qualcomm Ventures, Tekton Ventures, UPS Strategic Enterprise Fund, Valor Capital Group</t>
  </si>
  <si>
    <t>FJ Labs(www.fjlabs.com), Icon Holding Company(www.iconhc.com), International Finance Corporation(www.ifc.org), Kima Ventures(www.kimaventures.com), MercadoLibre(www.mercadolibre.com), Monashees Capital(www.monashees.com.br), Performa Investimentos(www.performainvestimentos.com), Qualcomm Ventures(www.qualcommventures.com), Tekton Ventures(www.tektonventures.com), Valor Capital Group(www.valorcapitalgroup.com)</t>
  </si>
  <si>
    <t>227056-78</t>
  </si>
  <si>
    <t>Manbang Group</t>
  </si>
  <si>
    <t>Full Truck Alliance, Manbang</t>
  </si>
  <si>
    <t>Developer of a mobile application designed to offer truck-hailing services. The company's application matches merchants and truckers for transporting cargo, as well as offers services such as stored-value toll cards and diesel cards, enabling enterprises to get trucking services for transporting bulk commodities.</t>
  </si>
  <si>
    <t>Application Software, Logistics*, Other Commercial Services</t>
  </si>
  <si>
    <t>bulk commodities logistics, transportation, truck-hauling service, trucking logistics, trucking services</t>
  </si>
  <si>
    <t>127399-78P</t>
  </si>
  <si>
    <t>Wang Gang</t>
  </si>
  <si>
    <t>Chief Executive Officer, President &amp; Chairman</t>
  </si>
  <si>
    <t>The company is reportedly seeking $1 billion of venture funding from SoftBank Group and Alphabet as of August 8, 2018, putting the company's pre-money valuation at $9 billion. The company will use the fresh funds to help it expand in China's growing logistics market. Prior to that, the company raised $1.9 billion of venture funding in a deal led by SoftBank Group and China Reform Fund Management on April 24, 2018, putting the company pre-money valuation at $4.6 billion. Tencent Holdings, GGV Capital, Sequoia Capital China, Hillhouse Capital Group, GSR Ventures, CapitalG, Ward Ferry Management, Sky9 Capital, Baillie Gifford and Farallon Capital Management also participated in this round. The company is being actively tracked by PitchBook.</t>
  </si>
  <si>
    <t>All-Stars Investment, Baidu Ventures, Baillie Gifford, CapitalG, China Reform Fund Management, DCM Ventures, Eastern Bell Venture Capital, Farallon Capital Management, Genesis Capital (Hong Kong), GGV Capital, GSR Ventures, Hillhouse Capital Group, International Finance Corporation, Lightspeed Venture Partners China, Sequoia Capital China, Sky9 Capital, SoftBank Group, Tencent Holdings, Tiger Global Management, Wang Gang, Ward Ferry Management, Xiang He Capital, Yuansheng Capital, Yunfeng Capital, Zhongding Holding Group</t>
  </si>
  <si>
    <t>All-Stars Investment(www.allstarinvestments.com), Baidu Ventures(www.bv.ai), Baillie Gifford(www.bailliegifford.com), CapitalG(www.capitalg.com), China Reform Fund Management(chinareformfund.com), DCM Ventures(www.dcm.com), Eastern Bell Venture Capital(www.ebvc.com.cn), Farallon Capital Management(www.faralloncapital.com), Genesis Capital (Hong Kong)(www.gcfunds.com), GGV Capital(www.ggvc.com), GSR Ventures(www.gsrventures.com), Hillhouse Capital Group(www.hillhousecap.com), International Finance Corporation(www.ifc.org), Lightspeed Venture Partners China(www.lightspeedcp.com), Sequoia Capital China(www.sequoiacap.com/china), Sky9 Capital(www.sky9capital.com), SoftBank Group(www.softbank.jp), Tencent Holdings(www.tencent.com), Tiger Global Management(www.tigerglobal.com), Ward Ferry Management(www.wardferry.com), Xiang He Capital(www.xianghecap.com), Yunfeng Capital(www.yfc.cn), Zhongding Holding Group(www.zhongdinggroup.com)</t>
  </si>
  <si>
    <t>58047-04</t>
  </si>
  <si>
    <t>Maker's Row</t>
  </si>
  <si>
    <t>Provider of resources intended to simplify manufacturing process. The company's resources offer a comprehensive list of factories to choose from along with an estimate of it, enabling producers to start their manufacturing process with the right factory after a thorough analysis of location and factory profile.</t>
  </si>
  <si>
    <t>business opportunities, commercial services, manufacturing space, market searching, new business model</t>
  </si>
  <si>
    <t>www.makersrow.com</t>
  </si>
  <si>
    <t>2014: 12, 2015: 12, 2016: 28</t>
  </si>
  <si>
    <t>51892-93P</t>
  </si>
  <si>
    <t>Matthew Burnett</t>
  </si>
  <si>
    <t>matthew@makersrow.com</t>
  </si>
  <si>
    <t>+1 (347) 860-9333</t>
  </si>
  <si>
    <t>Suite 313</t>
  </si>
  <si>
    <t>info@makersrow.com</t>
  </si>
  <si>
    <t>The company raised venture funding from Bodley Group, Colle Capital Partners and LocalGlobe on an undisclosed date. Initialized Capital Management also participated in the round.</t>
  </si>
  <si>
    <t>Alexis Ohanian, Bodley Group, Charles Smith, Collaborative Fund, Colle Capital Partners, Comcast Ventures, Expansion Venture Capital, Index Ventures (UK), Initialized Capital Management, Joanne Wilson, Kapor Capital, Learn Capital, LocalGlobe, Melo7 Tech Partners, MI Ventures, NYU Tandon School of Engineering, Ryan Melohn</t>
  </si>
  <si>
    <t>Alexis Ohanian(alexisohanian.com), Bodley Group(www.bodleygroup.com), Charles Smith(www.charlessmith.com), Collaborative Fund(www.collaborativefund.com), Colle Capital Partners(www.collecapital.com), Comcast Ventures(www.comcastventures.com), Expansion Venture Capital(www.expansionvc.com), Index Ventures (UK)(www.indexventures.com), Initialized Capital Management(www.initialized.com), Joanne Wilson(www.gothamgal.com), Kapor Capital(www.kaporcapital.com), Learn Capital(www.learncapital.com), LocalGlobe(www.localglobe.vc), MI Ventures(www.miventuresllc.com), NYU Tandon School of Engineering(www.engineering.nyu.edu/business/future-labs)</t>
  </si>
  <si>
    <t>55090-18</t>
  </si>
  <si>
    <t>Mailgun</t>
  </si>
  <si>
    <t>Marketo, Campaigner, Dyspatch, Keap (Saas Platform), Ontraport, iContact, Ongage, SparkPost, Campaign Monitor, ToutApp, MessageSolution, MessageGears, Cirrus Insight, Selligent, Adestra, StrongView, Vero, SendinBlue, SMTP, Mailjet, MailChimp, SendGrid</t>
  </si>
  <si>
    <t>Developer of email application programming interface technology designed to send, receive and track transactional and marketing emails. The company offers application programming interface (API) for developers designed to send, receive, track and store email within applications, enabling developers an easy way to programmatically send emails to their users enabling them to focus on their main business and leave mailing to its API.</t>
  </si>
  <si>
    <t>application programming interface, email, email validation, mailbox integration, stores email, web page management</t>
  </si>
  <si>
    <t>www.mailgun.com</t>
  </si>
  <si>
    <t>2012: 6, 2017: 31, 2018: 70</t>
  </si>
  <si>
    <t>Competitor (New) Adestra, Competitor (New) Campaign Monitor, Competitor (New) Campaigner, Competitor (New) Cirrus Insight, Competitor (New) iContact, Competitor (New) Keap (Saas Platform), Competitor (New) Marketo, Competitor (New) MessageGears, Competitor (New) MessageSolution, Competitor (New) Ongage, Competitor (New) Ontraport, Competitor (New) Selligent, Competitor (New) Vero</t>
  </si>
  <si>
    <t>43029-19P</t>
  </si>
  <si>
    <t>Sasha Klizhentas</t>
  </si>
  <si>
    <t>Co-Founder &amp; Backend Engineer</t>
  </si>
  <si>
    <t>alex@mailgun.net</t>
  </si>
  <si>
    <t>San Antonio, TX</t>
  </si>
  <si>
    <t>112 East Pecan Street</t>
  </si>
  <si>
    <t>Suite 1135</t>
  </si>
  <si>
    <t>San Antonio</t>
  </si>
  <si>
    <t>78205</t>
  </si>
  <si>
    <t>The company was acquired by Thoma Bravo through an LBO on March 26, 2019 for an undisclosed sum. TCG BDC participated in the round alongside Thoma Bravo. The Carlyle Group provided an undisclosed amount of first lien debt in support of the transaction, Goldman Sachs Middle Market Lending Corp provided a first lien senior secured debt of $19 million and revolving credit of $2 million and TCG BDC provided $11.5 million of first lien debt and $1.342 million of revolving credit. The investment and related spin out transaction will establish the company as an independent company from Rackspace US, and will be used to accelerate the company's product roadmap, drive growth initiatives, and expand customer support.</t>
  </si>
  <si>
    <t>TCG BDC, Thoma Bravo, Turn/River Capital</t>
  </si>
  <si>
    <t>Capital Factory, Elad Gil, Geoff Ralston, Matt Cutts, Othman Laraki, Paul Buchheit, Rackspace US, Salesforce Ventures, Scaleworks, Start Fund, SV Angel, Webb Investment Network, Y Combinator, Yuri Milner, Zillionize</t>
  </si>
  <si>
    <t>TCG BDC(www.tcgbdc.com), Thoma Bravo(www.thomabravo.com), Turn/River Capital(www.turnriver.com)</t>
  </si>
  <si>
    <t>Capital Factory(www.capitalfactory.com), Matt Cutts(www.mattcutts.com), Rackspace US(www.rackspace.com), Scaleworks(www.scaleworks.com), SV Angel(www.svangel.com), Webb Investment Network(www.winfunding.com), Y Combinator(www.ycombinator.com), Zillionize(www.zillionize.com)</t>
  </si>
  <si>
    <t>Choate(Legal Advisor), Goldman Sachs Middle Market Lending Corp(Debt Financing), TCG BDC(Debt Financing), The Carlyle Group(Debt Financing), William Blair &amp; Company(Advisor: General)</t>
  </si>
  <si>
    <t>102012-31</t>
  </si>
  <si>
    <t>Magnetic Insight</t>
  </si>
  <si>
    <t>Developer of a molecular imaging technology designed to bring an answer to the clinical and transnational research challenges. The company's molecular imaging technology has helped in developing a functional imaging modality where real-time biological events can be monitored, enabling customers to overcome major deficiencies with current clinical and translational research imaging techniques.</t>
  </si>
  <si>
    <t>Diagnostic Equipment*, Other Devices and Supplies</t>
  </si>
  <si>
    <t>diagnostic imaging, magnetic particle imaging, medical imaging, molecular imaging, molecular imaging technology, preclinical imaging, translational research imaging techniques</t>
  </si>
  <si>
    <t>www.magneticinsight.com</t>
  </si>
  <si>
    <t>2015: 4, 2016: 8</t>
  </si>
  <si>
    <t>103544-38P</t>
  </si>
  <si>
    <t>Anna Christensen</t>
  </si>
  <si>
    <t>achristensen@magneticinsight.com</t>
  </si>
  <si>
    <t>+1 (925) 351-5277</t>
  </si>
  <si>
    <t>980 Atlantic Avenue</t>
  </si>
  <si>
    <t>+1 (510) 291-1200</t>
  </si>
  <si>
    <t>info@magneticinsight.com</t>
  </si>
  <si>
    <t>The company raised an estimated $21 million of Series A venture funding in a deal led by 5AM Ventures on December 11, 2018, putting the company's pre-money valuation at $29 million. The proceeds will be used by the company to expand the commercial and operations teams, scale manufacturing and develop new application areas for the technology.</t>
  </si>
  <si>
    <t>5AM Ventures, Agility Labs, Amos Ben-Meir, Baidu Ventures, BayBio FAST, Brain Initiative, California Institute for Regenerative Medicine, ChinaEquity Group, ChinaRock Capital Management, Cloudstone Capital, General Electric, Innolinks Ventures, Keck foundation, National Institutes of Health, Sand Hill Angels, ShangBay Capital, StartX, SV Tech Ventures, Triple Ring Technologies, U.S. Department of Health and Human Services</t>
  </si>
  <si>
    <t>5AM Ventures(www.5amventures.com), Agility Labs(www.agilitylabs.org), Baidu Ventures(www.bv.ai), California Institute for Regenerative Medicine(www.cirm.ca.gov), ChinaEquity Group(www.chinaequity.net), ChinaRock Capital Management(www.crcm.com), Cloudstone Capital(www.cloudstonevc.com), General Electric(www.ge.com), Innolinks Ventures(www.innolinks.vc), National Institutes of Health(www.nih.gov), Sand Hill Angels(www.sandhillangels.com), ShangBay Capital(www.shangbaycapital.com), StartX(www.startx.com), SV Tech Ventures(www.svtechventures.us), Triple Ring Technologies(www.tripleringtech.com), U.S. Department of Health and Human Services(hhs.gov)</t>
  </si>
  <si>
    <t>52821-73</t>
  </si>
  <si>
    <t>Magisto</t>
  </si>
  <si>
    <t>SightEra Technologies</t>
  </si>
  <si>
    <t>Path 36, Masquerade, Directr, Wideo, Biteable, Shakr Media, TikTok, Stupeflix, Videolicious, Videogram (Video Artificial Intelligence and Blockchain), Picovico, Rocketium, StoryVine, Wibbitz, Giphy, Wochit, VivaVideo, Viddyad, Alively, Animoto, Vidme, Tumblr, Vigo Video, WeVideo</t>
  </si>
  <si>
    <t>Developer of a smart video editor application designed to transform unedited videos and photos into short movies. The company's application automatically analyzes videos and assembles the most interesting parts in a single clip, detecting and indexing people, scenes and behaviors through its computer vision technology, enabling users to automatically edit videos and share them with friends and family via email, Facebook, Twitter or YouTube.</t>
  </si>
  <si>
    <t>Application Software, Multimedia and Design Software*</t>
  </si>
  <si>
    <t>automated video editing, create video, edit video, video content distribution software, video creating, video editing, video editing application</t>
  </si>
  <si>
    <t>www.magisto.com</t>
  </si>
  <si>
    <t>2016: 60, 2019: 75</t>
  </si>
  <si>
    <t>38742-40P</t>
  </si>
  <si>
    <t>Oren Boiman</t>
  </si>
  <si>
    <t>oren@magisto.com</t>
  </si>
  <si>
    <t>+972 (0)54 656 8118</t>
  </si>
  <si>
    <t>Ness-Ziona, Israel</t>
  </si>
  <si>
    <t>3 Hamazmera Street</t>
  </si>
  <si>
    <t>PO Box 2038</t>
  </si>
  <si>
    <t>Ness-Ziona</t>
  </si>
  <si>
    <t>74120</t>
  </si>
  <si>
    <t>+972 (0)8 910 0544</t>
  </si>
  <si>
    <t>The company reached a definitive agreement to be acquired by Vimeo, a subsidiary of IAC (NAS: IAC), for $200 million on April 15, 2019.</t>
  </si>
  <si>
    <t>Doug Atkin, Horizons Ventures, Kreos Capital, Magma Venture Partners, Mail.Ru Group, Partner Communications, Qualcomm Ventures, SanDisk Ventures, Vimeo, Western Digital Capital</t>
  </si>
  <si>
    <t>Horizons Ventures(www.horizonsventures.com), Kreos Capital(www.kreoscapital.com), Magma Venture Partners(www.magmavc.com), Mail.Ru Group(www.corp.mail.ru), Partner Communications(www.partner.co.il), Qualcomm Ventures(www.qualcommventures.com), Vimeo(www.vimeo.com), Western Digital Capital(www.westerndigitalcapital.com)</t>
  </si>
  <si>
    <t>122849-65</t>
  </si>
  <si>
    <t>MagicCube</t>
  </si>
  <si>
    <t>Blue Cedar, Zimperium, Pulse Secure, Bayshore Networks, WatchGuard Technologies, Wandera, Mocana, Bradford Networks, Skycure, AdaptiveMobile, Sophos, Aruba Networks, Lookout, Contrast Security, Appdome, SonicWALL, Imperva, FireEye, Palo Alto Networks, Barracuda Networks, Symantec</t>
  </si>
  <si>
    <t>Developer of a security platform designed to secure data exchange between devices and the cloud. The company's security platform secures digital transactions on any device, hardware or operating system, enabling users to protect mobile and IoT applications against over 214 mobile &amp; IoT threats and attacks including, cloning, lifting, spoofing, tampering and other security issues.</t>
  </si>
  <si>
    <t>digital transaction, digital transaction services, secure data exchange, secure transaction, transaction platform</t>
  </si>
  <si>
    <t>www.magiccube.co</t>
  </si>
  <si>
    <t>106127-11P</t>
  </si>
  <si>
    <t>Sam Shawki</t>
  </si>
  <si>
    <t>sshawki@magiccube.co</t>
  </si>
  <si>
    <t>hello@magiccube.co</t>
  </si>
  <si>
    <t>The company raised an estimated $9.9 million of Series A funding led by Bold Capital Partners on March 7, 2017, putting the pre-money valuation at $14.85 million. Azure Capital Partners, Prado SV, EPIC Ventures, Visa Ventures, Social Starts, Bialla Venture Partners, Silicon Valley Bank, G2T3V, Nancy Zayed and Adham Fahmi also participated in the round. The company intends to use the funds to increase adoption of its mobile security solutions across the IoT sector.</t>
  </si>
  <si>
    <t>Adham Fahmi, Azure Capital Partners, Bialla Venture Partners, Bold Capital Partners, EPIC Ventures, Fifth Era, G2T3V, Prado SV, Silicon Valley Bank, Social Starts, Visa Ventures</t>
  </si>
  <si>
    <t>Azure Capital Partners(www.azurecap.com), Bialla Venture Partners(www.bialla.com), Bold Capital Partners(www.boldcapitalpartners.com), EPIC Ventures(www.epicvc.com), Fifth Era(www.fifthera.com), G2T3V(www.g2t3v.com), Prado SV(www.pradosv.com), Silicon Valley Bank(www.svb.com), Social Starts(www.socialstarts.com)</t>
  </si>
  <si>
    <t>63482-95</t>
  </si>
  <si>
    <t>Magazino</t>
  </si>
  <si>
    <t>Intelligrated, Grabit, KNAPP, Dematic Group, Exotec Solutions, Daifuku Company, RightHand Robotics, Geek+, IAM Robotics</t>
  </si>
  <si>
    <t>Manufacturer and distributor of storage and dispensing robotic machines intended to provide cost-effective and efficient robotic services. The company's storage and dispensing robotic machines include shelve robots to pick individual items directly from the shelves for mail-order, enabling logistics and pharmacy companies to automate their day to day operations.</t>
  </si>
  <si>
    <t>Logistics, Machinery (B2B)*</t>
  </si>
  <si>
    <t>commercial machinery, dispensing robotics machine, intra-logistics machine</t>
  </si>
  <si>
    <t>www.magazino.eu</t>
  </si>
  <si>
    <t>2015: 20, 2018: 80</t>
  </si>
  <si>
    <t>68239-45P</t>
  </si>
  <si>
    <t>Frederik Brantner</t>
  </si>
  <si>
    <t>brantner@magazino.eu</t>
  </si>
  <si>
    <t>+49 (0)89 2155 2415 0</t>
  </si>
  <si>
    <t>Landsberger Street 234</t>
  </si>
  <si>
    <t>80687</t>
  </si>
  <si>
    <t>info@magazino.eu</t>
  </si>
  <si>
    <t>The company received EUR 20.1 million of financing led by Körber Group on February 27, 2018. Cellcom Resources, Zalando and Fiege also participated in the round. The funds will be used to drive forward the development of robots as well as to expand the sales and distribution network in Germany and internationally.</t>
  </si>
  <si>
    <t>Cellcom Resources, Fiege, Körber, Next47, UnternehmerTUM, Zalando</t>
  </si>
  <si>
    <t>Fiege(www.fiege.com), Körber(www.koerber.de), Next47(Next47.com), UnternehmerTUM(www.unternehmertum.de), Zalando(www.zalando.com)</t>
  </si>
  <si>
    <t>Pinsent Masons(Legal Advisor), Quarton International(Advisor: General)</t>
  </si>
  <si>
    <t>56779-12</t>
  </si>
  <si>
    <t>Madison Reed</t>
  </si>
  <si>
    <t>Madison Color</t>
  </si>
  <si>
    <t>Prose, Nexxus, Dphue, eSalon, Viviscal, Vogue International, Davines, Aquage, The Wella</t>
  </si>
  <si>
    <t>Developer of professional hair coloring, styling, and care products intended to make luxurious, at-home hair color with ingredients consumers can feel good about. The company's products use a special coloring formulation that is free of ammonia, parabens, resorcinol, PPD, phthalates, and gluten, but does contain valuable nutrients such as keratin, argan oil, and ginseng root extract designed to protect and pamper hair. The company is also notable for having a mobile application that allows users to customize potential haircare solutions to their individual needs, and get suggestions about optimal hair care products.</t>
  </si>
  <si>
    <t>beauty vertical, hair color, hair dye product, hair product, home hair care, professional hair care</t>
  </si>
  <si>
    <t>www.madison-reed.com</t>
  </si>
  <si>
    <t>2014: 40, 2015: 61, 2016: 67, 2017: 100, 2019: 190</t>
  </si>
  <si>
    <t>17879-14P</t>
  </si>
  <si>
    <t>Amy Errett</t>
  </si>
  <si>
    <t>amy@madison-reed.com</t>
  </si>
  <si>
    <t>+1 (888) 550-9586</t>
  </si>
  <si>
    <t>430 Shotwell Street</t>
  </si>
  <si>
    <t>colorcrew@madison-reed.com</t>
  </si>
  <si>
    <t>The company raised $51 million of Series D venture funding in a deal led by True Ventures and Norwest Venture Partners on January 29, 2019, putting the company's pre-money valuation at $140 million. Comcast Ventures and Meaningful Partners also participated in the round. The funds will be used to expand the company's suite of hair colors, introduce new products and boost its Madison Reed Color Bars brick-and-mortar concept.</t>
  </si>
  <si>
    <t>5xmais, Alumni Ventures Group, Bossa Nova Investimentos, Christopher Michel, Comcast Ventures, Fenwick Brands, Fifth Wall Ventures, Green D Ventures, Greenspring Associates, Individual Investor, Maveron, Meaningful Partners, Nautilus Ventures, Norwest Venture Partners, Peterson Partners, Plug and Play Tech Center, Shea Ventures, True Ventures, Western Technology Investment</t>
  </si>
  <si>
    <t>5xmais(www.5xmais.com.br), Alumni Ventures Group(www.avgfunds.com), Bossa Nova Investimentos(www.bossainvest.com), Christopher Michel(www.christophermichel.com), Comcast Ventures(www.comcastventures.com), Fenwick Brands(www.fenwickbrands.com), Fifth Wall Ventures(www.fifthwall.vc), Green D Ventures(www.greendventures.com), Greenspring Associates(www.greenspringassociates.com), Maveron(www.maveron.com), Meaningful Partners(meaningfulpartners.com), Nautilus Ventures(www.nautilusventures.com), Norwest Venture Partners(www.nvp.com), Peterson Partners(www.petersonpartners.com), Plug and Play Tech Center(www.plugandplaytechcenter.com), True Ventures(www.trueventures.com), Western Technology Investment(www.westerntech.com)</t>
  </si>
  <si>
    <t>Armentum Partners(Advisor: General), Fenwick &amp; West(Legal Advisor), Rich Talent Group(Consulting)</t>
  </si>
  <si>
    <t>Fenwick &amp; West(Legal Advisor), Trinity Capital Investment(Debt Financing), Western Technology Investment(Debt Financing)</t>
  </si>
  <si>
    <t>111812-23</t>
  </si>
  <si>
    <t>Madaket</t>
  </si>
  <si>
    <t>Cerner, Change Healthcare, MedeAnalytics, Patientco Holdings, ProviderTrust, Newport Credentialing Solutions, Availity, InstaMed, ClearGage, PaySpan, Morrisey Associates</t>
  </si>
  <si>
    <t>Provider of a Web-based health insurance service platform designed to connect healthcare providers, insurance companies and intermediaries. The company's Web-based health insurance service platform automates the healthcare enrollment process and sends the right information to each applicable payer, enabling healthcare organizations to save time, correct manual errors and track down the status of enrollments.</t>
  </si>
  <si>
    <t>Business/Productivity Software, Other Healthcare Technology Systems*</t>
  </si>
  <si>
    <t>Digital Health, FinTech, TMT</t>
  </si>
  <si>
    <t>financial management, health insurance, healthcare management</t>
  </si>
  <si>
    <t>www.madakethealth.com</t>
  </si>
  <si>
    <t>2015: 17</t>
  </si>
  <si>
    <t>35581-33P</t>
  </si>
  <si>
    <t>James Dougherty</t>
  </si>
  <si>
    <t>jim@madakethealth.com</t>
  </si>
  <si>
    <t>+1 (617) 932-7577</t>
  </si>
  <si>
    <t>39 JFK Street</t>
  </si>
  <si>
    <t>info@madakethealth.com</t>
  </si>
  <si>
    <t>The company raised $10 million of Series B venture funding in a deal led by Qiming Venture Partners on July 23, 2018, putting the company's pre-money valuation at $35 million. PNC, Experian Ventures and Salesforce Ventures also participated in the round. The funds will be used to rapidly extend its platform solution deeper into the administrative inefficiencies in the payer-provider ecosystem.</t>
  </si>
  <si>
    <t>Allen &amp; Company, Andrew Palmer, Eight Roads, Experian Ventures, F-Prime Capital Partners, James Pallotta, Jerry Held, Koa Labs, Lux Capital, PNC, Qiming Venture Partners, Raptor Group, Salesforce Ventures, Waterline Ventures</t>
  </si>
  <si>
    <t>Allen &amp; Company(www.allenco.com), Eight Roads(www.eightroads.com), F-Prime Capital Partners(www.fprimecapital.com), Koa Labs(www.koalab.com), Lux Capital(www.luxcapital.com), PNC(www.pnc.com), Qiming Venture Partners(www.qimingvc.com), Raptor Group(www.raptorgroup.com), Waterline Ventures(www.waterlineventures.com)</t>
  </si>
  <si>
    <t>56108-08</t>
  </si>
  <si>
    <t>Maana</t>
  </si>
  <si>
    <t>Hitachi Vantara, Numetric, Palantir Technologies, Looker, Sisense, Arimo, InCorta, Platfora, Predixion, Sumo Logic, ExtraHop Networks, Emcien, Uptake, Logz.io, Falkonry, RapidMiner, ThoughtSpot, Predikto, Graylog, Concept Searching, Klipfolio, Loggly, Vitria Technology, DataTorrent, Skytree, BigML, SAS Institute, PredicSis, Symphony AyasdiAI</t>
  </si>
  <si>
    <t>Provider of a knowledge platform graph search engine designed to encode the world's industrial expertise and data into new digital knowledge. The company's knowledge platform is used to create a logistic optimization and contingency management application that helps to optimize assets and decisions flows, enabling clients to make better and faster decisions in an enhanced way.</t>
  </si>
  <si>
    <t>analytics platform, semantic real time indexing</t>
  </si>
  <si>
    <t>www.maana.io</t>
  </si>
  <si>
    <t>2014: 24, 2015: 30, 2016: 50, 2017: 110</t>
  </si>
  <si>
    <t>46698-22P</t>
  </si>
  <si>
    <t>Babur Ozden</t>
  </si>
  <si>
    <t>babur@maana.io</t>
  </si>
  <si>
    <t>+1 (888) 956-2262</t>
  </si>
  <si>
    <t>524 Hamilton Avenue</t>
  </si>
  <si>
    <t>info@maana.io</t>
  </si>
  <si>
    <t>The company raised $33.24 million of Series C venture funding in a deal led by China International Capital Corporation and Eight Square Capital on February 27, 2018. Intel Capital, GE Ventures, Chevron Technology Ventures, Saudi Aramco Energy Ventures, Shell Technology Ventures, Accenture Ventures, Sino Capital Group and other undisclosed investors also participated in the round. The investment will be used to scale business globally and support growing Fortune Global 500 customer base.</t>
  </si>
  <si>
    <t>Accenture Ventures, Chevron Technology Ventures, China International Capital Corporation, ConocoPhillips Technology Ventures, Eight Square Capital, Frost Data Capital, GE Ventures, Intel Capital, Saudi Aramco Energy Ventures, Shell Ventures, Sino Capital Group</t>
  </si>
  <si>
    <t>China International Capital Corporation(www.cicc.com), Eight Square Capital(www.8squarecapital.com), Frost Data Capital(www.frostdatacapital.com), GE Ventures(www.geventures.com), Intel Capital(www.intelcapital.com), Saudi Aramco Energy Ventures(www.saev.com), Sino Capital Group(www.sinocapital.com.hk)</t>
  </si>
  <si>
    <t>55381-78</t>
  </si>
  <si>
    <t>Lytics</t>
  </si>
  <si>
    <t>Developer of a customer data platform that optimizes the performance of strategic marketing initiatives. The company's machine learning-based platform allows marketers to discover insights about their prospects and customers, enabling users to orchestrate data-driven campaigns optimized for maximum ROI.</t>
  </si>
  <si>
    <t>Business/Productivity Software*, Database Software, Information Services (B2C)</t>
  </si>
  <si>
    <t>cdp, cdp management, customer data analysis, customer data analysis platform, customer data analytics platform, customer data platform, customer data software, customer insights, customer insights platform, marketing analytics platform, marketing analytics software, marketing campaign service, marketing insights platform, marketing orchestration platform, orchestration platform, orechestration software, smart marketing, smart marketing platform</t>
  </si>
  <si>
    <t>www.lytics.com</t>
  </si>
  <si>
    <t>2013: 6, 2014: 28, 2016: 35, 2017: 41, 2018: 61, 2019: 100</t>
  </si>
  <si>
    <t>45336-52P</t>
  </si>
  <si>
    <t>James McDermott</t>
  </si>
  <si>
    <t>james.mcdermott@getlytics.com</t>
  </si>
  <si>
    <t>811 Southwest 6th Avenue</t>
  </si>
  <si>
    <t>info@lytics.com</t>
  </si>
  <si>
    <t>The company raised $35 million of Series C venture funding in a deal led by JMI Equity on February 21, 2019, putting the company's pre-money valuation at $105 million. Comcast Ventures, Two Sigma Ventures, Rembrandt Venture Partners, and Voyager Capital also participated in the round. The funds will be used to scale the company's operations and expand its development efforts and business reach.</t>
  </si>
  <si>
    <t>Amazon Alexa Fund, Brett Queener, Comcast Ventures, EPIC Ventures, JMI Equity, Nick Heyman, Portland Incubator Experiment, Rembrandt Venture Partners, The Gramercy Fund, Tim Kopp, Two Sigma Ventures, Voyager Capital</t>
  </si>
  <si>
    <t>Amazon Alexa Fund(developer.amazon.com/alexa-fund), Comcast Ventures(www.comcastventures.com), EPIC Ventures(www.epicvc.com), JMI Equity(www.jmi.com), Portland Incubator Experiment(www.piepdx.com), Rembrandt Venture Partners(www.rembrandtvc.com), The Gramercy Fund(www.gramercyfund.com), Two Sigma Ventures(www.twosigmaventures.com), Voyager Capital(www.voyagercapital.com)</t>
  </si>
  <si>
    <t>92966-32</t>
  </si>
  <si>
    <t>Lyncean Technologies</t>
  </si>
  <si>
    <t>Energetiq Technology</t>
  </si>
  <si>
    <t>Manufacturer of compact accelerator-based light sources for use in industry and academia. The company's Compact Light Source (CLS) replaces the conventional "undulator" magnets in large synchrotrons via laser technology, which scales down the entire device by a factor of 200 and shrinks a machine capable of synchrotron quality experiments from stadium-sized to room-sized.</t>
  </si>
  <si>
    <t>Electrical Equipment, Other Commercial Products*</t>
  </si>
  <si>
    <t>contrast imaging, diagnostic technology, laser technology, miniature synchrotron, x-ray technology</t>
  </si>
  <si>
    <t>www.lynceantech.com</t>
  </si>
  <si>
    <t>2009: 23, 2010: 19, 2011: 15, 2013: 13, 2014: 13, 2015: 15</t>
  </si>
  <si>
    <t>130815-46P</t>
  </si>
  <si>
    <t>Michael Feser</t>
  </si>
  <si>
    <t>michael_feser@lynceantech.com</t>
  </si>
  <si>
    <t>+1 (650) 320-8300</t>
  </si>
  <si>
    <t>44755 South Grimmer Boulevard</t>
  </si>
  <si>
    <t>+1 (650) 320-9513</t>
  </si>
  <si>
    <t>info@lynceantech.com</t>
  </si>
  <si>
    <t>The company raised $21.25 million of Series B venture funding in a deal led by Samsung Venture Investment on July 18, 2018. Privilège Management, Intel Capital, EuroUS Ventures, Quintus Vermoegensverwaltung, Anchor Fund and other undisclosed investors also participated in the round. The funds will be used to install a Compact Light Source for customer demonstration purposes and to make required personnel investments to develop the EUV source.</t>
  </si>
  <si>
    <t>Anchor Fund, EuroUS Ventures, Intel Capital, Privilège Management, Quintus Vermoegensverwaltung, Samsung Venture Investment, U.S. Department of Energy, U.S. Department of Health and Human Services</t>
  </si>
  <si>
    <t>EuroUS Ventures(www.eurousventures.com), Intel Capital(www.intelcapital.com), Privilège Management(www.privilege-management.com), Samsung Venture Investment(www.samsungventures.com), U.S. Department of Energy(www.energy.gov), U.S. Department of Health and Human Services(hhs.gov)</t>
  </si>
  <si>
    <t>Cooley(Legal Advisor), Culver Pacific Capital Partners(Advisor: General)</t>
  </si>
  <si>
    <t>Cooley(Legal Advisor), Culver Pacific Capital Partners(Advisor: General), Firsthand Technology Value Fund(Advisor: General)</t>
  </si>
  <si>
    <t>93911-14</t>
  </si>
  <si>
    <t>Lygos</t>
  </si>
  <si>
    <t>KFK, Inc.</t>
  </si>
  <si>
    <t>Ginkgo Bioworks, Arzeda, DMC Biotechnologies, Ingenza, Demetrix, 22nd Century Group, Codexis, Manus Bio, BioTork, Novozymes, Noble Biomaterials, Zymergen</t>
  </si>
  <si>
    <t>Developer of a full-stack biological engineering platform intended to generate microbial catalysts and specialty chemicals. The company's platform is based on a high-throughput combination of computational modelling, unique microbe engineering and screening, combined with deep learning to identify and develop new bio-routes to chemicals, enabling medical institutions to convert agricultural feedstocks into fine and commodity chemicals.</t>
  </si>
  <si>
    <t>Agricultural Chemicals, Biotechnology*</t>
  </si>
  <si>
    <t>Artificial Intelligence &amp; Machine Learning, Big Data, Life Sciences, TMT</t>
  </si>
  <si>
    <t>biochemistry, bio-malonic acid, medical technology, specialty chemicals company, synthetic biological technique, yeast engineering, yeast technology</t>
  </si>
  <si>
    <t>www.lygos.com</t>
  </si>
  <si>
    <t>2013: 14, 2014: 19, 2015: 19, 2016: 34</t>
  </si>
  <si>
    <t>Competitor (New) BioTork</t>
  </si>
  <si>
    <t>Promotion (New) Jeffrey Dietrich, Chief Technology Officer, Co-Founder &amp; Board Member, News (New) , Competitor (New) BioTork</t>
  </si>
  <si>
    <t>128007-28P</t>
  </si>
  <si>
    <t>Eric Steen</t>
  </si>
  <si>
    <t>steen@lygos.com</t>
  </si>
  <si>
    <t>+1 (510) 416-5185</t>
  </si>
  <si>
    <t>1249 Eighth Street</t>
  </si>
  <si>
    <t>The company received $2 million of grant funding from U.S. Department of Energy on June 3, 2019. The funds will be used for the development of new artificial intelligence (AI) and machine learning approaches that combine multi-omics analysis to produce non-intuitive insights that accelerate microbial engineering research and development. Prior to that, the company received $100,000 from the United States Department of Agriculture, $150,000 from U.S. Department of Energy and $500,000 from National Science Foundation of grant funding on March 11, 2019 and raised an estimated $15 million of Series B2 venture funding from LG Technology Ventures and other undisclosed investors on November 8, 2018, putting the company's pre-money valuation at $80 million.</t>
  </si>
  <si>
    <t>California Institute for Quantitative Biosciences, Fifty Years, First Round Capital, FundersClub, IA Ventures, LG Technology Ventures, National Science Foundation, OS Fund, U.S. Department of Energy, United States Department of Agriculture, Vast Ventures, Y Combinator</t>
  </si>
  <si>
    <t>California Institute for Quantitative Biosciences(www.qb3.org), Fifty Years(www.fifty.vc), First Round Capital(www.firstround.com), FundersClub(www.fundersclub.com), IA Ventures(www.iaventures.com), National Science Foundation(seedfund.nsf.gov), OS Fund(www.osfund.co), U.S. Department of Energy(www.energy.gov), United States Department of Agriculture(www.usda.gov), Vast Ventures(www.vastvc.com), Y Combinator(www.ycombinator.com)</t>
  </si>
  <si>
    <t>82824-85</t>
  </si>
  <si>
    <t>LVL Technologies</t>
  </si>
  <si>
    <t>BSX Athletics</t>
  </si>
  <si>
    <t>LVL</t>
  </si>
  <si>
    <t>Provider of endurance sports training wearable devices and applications designed to provide insights into endurance testing. The company's sports training wearable devices and application offers real-time performance monitoring data for muscle oxygenation sensing and lactate threshold detection, enabling athletes to optimize their training down to an energy system level and track improvements over time.</t>
  </si>
  <si>
    <t>Application Software, Internet Retail, Other Consumer Durables*</t>
  </si>
  <si>
    <t>endurance testing, endurance testing application, performance monitoring device, sports monitoring device, sports training, sports training monitoring, sports wearable device, training device</t>
  </si>
  <si>
    <t>www.onelvl.com</t>
  </si>
  <si>
    <t>130388-14P</t>
  </si>
  <si>
    <t>Dustin Freckleton</t>
  </si>
  <si>
    <t>Co-Founder, Chief Executive Officer, Secretary &amp; Board Member</t>
  </si>
  <si>
    <t>dustin@trainbsx.com</t>
  </si>
  <si>
    <t>+1 (210) 836-7550</t>
  </si>
  <si>
    <t>2815 Manor Road</t>
  </si>
  <si>
    <t>78722</t>
  </si>
  <si>
    <t>+1 (512) 263-7070</t>
  </si>
  <si>
    <t>info@bsxinsight.com</t>
  </si>
  <si>
    <t>The company raised convertible debt financing from Samsung Catalyst on an undisclosed date. Previously, the company raised $7.25 million of Series A venture funding in a deal led by Samsung Catalyst on August 11, 2017. FrogVentures, Maxim Ventures, Maxim Integrated Products, Lauder Partners and other undisclosed investors also participated in the round. The company intends to use the funds to accelerate the production and manufacturing of their second consumer product, a wrist-worn band called LVL One, which simultaneously measures hydration along with heart rate and other key metrics.</t>
  </si>
  <si>
    <t>frogVentures, Lauder Partners, Maxim Integrated Products, Maxim Ventures, Samsung Catalyst</t>
  </si>
  <si>
    <t>frogVentures(www.frogdesign.com/platforms/frogventures.html), Lauder Partners(www.lauderpartners.com), Maxim Integrated Products(www.maximintegrated.com), Maxim Ventures(www.maximventures.com), Samsung Catalyst(www.samsungcatalyst.com)</t>
  </si>
  <si>
    <t>DLA Piper(Legal Advisor), Kickstarter(Lead Manager or Arranger)</t>
  </si>
  <si>
    <t>56119-96</t>
  </si>
  <si>
    <t>LUX Assure</t>
  </si>
  <si>
    <t>LUX Innovate</t>
  </si>
  <si>
    <t>SensorNet, Seismos</t>
  </si>
  <si>
    <t>Provider of chemical monitoring technologies for both offshore and onshore use in oil and gas industry. The company's technologies focus on developing software for the oil and gas industry to monitor difficult-to-detect chemicals used by the oil industry, enabling industries to identify chemical and fuel types conveniently.</t>
  </si>
  <si>
    <t>Other Chemicals and Gases, Other Energy Services*</t>
  </si>
  <si>
    <t>chemicals identification, chemicals monitoring, monitoring technology, reservoir monitoring, technology services</t>
  </si>
  <si>
    <t>www.luxassure.com</t>
  </si>
  <si>
    <t>2014: 13, 2016: 15</t>
  </si>
  <si>
    <t>127502-47P</t>
  </si>
  <si>
    <t>Raymond Cowan</t>
  </si>
  <si>
    <t>raymond@luxassure.com</t>
  </si>
  <si>
    <t>+44 (0)13 1516 7290</t>
  </si>
  <si>
    <t>Edinburgh, United Kingdom</t>
  </si>
  <si>
    <t>Unit 5.3, Heriot Watt Research Park</t>
  </si>
  <si>
    <t>Research Avenue South</t>
  </si>
  <si>
    <t>Edinburgh</t>
  </si>
  <si>
    <t>EH14 4AP</t>
  </si>
  <si>
    <t>+44 (0)13 1516 7293</t>
  </si>
  <si>
    <t>contact@luxassure.com</t>
  </si>
  <si>
    <t>The company raised GBP 2.4 million of venture funding from Chevron Technology Ventures, ConocoPhillips Technology Ventures and Statoil Technology Invest on June 24, 2016, putting the pre-money valuation at GBP 5.02 million. Archangel Investors and Scottish Enterprise also participated. The company will use the funding for development of its CoMic &amp; OMMICA technologies and will further secure a pipeline of new technology and product developments.</t>
  </si>
  <si>
    <t>Archangel Investors, Chevron Technology Ventures, ConocoPhillips Technology Ventures, Equinor Technology Ventures, Scottish Enterprise</t>
  </si>
  <si>
    <t>Archangel Investors(www.archangelsonline.com), Scottish Enterprise(www.scottish-enterprise.com)</t>
  </si>
  <si>
    <t>226726-48</t>
  </si>
  <si>
    <t>LUS Brands</t>
  </si>
  <si>
    <t>Love Ur Curls</t>
  </si>
  <si>
    <t>DevaCurl</t>
  </si>
  <si>
    <t>Operator of a cosmetic brand intended to create and sell hair products specifically for wavy and curly hair. The company's products include shampoo, conditioner and all-in-one styling products made of moringa oil, shea butter and others that are free of sulfates, silicones, parabens, paraffin, phthalates, propylene glycol, mineral oil, gluten and other synthetic dyes, enabling consumers to take care of their appearance and develop a better self image.</t>
  </si>
  <si>
    <t>Personal Products*</t>
  </si>
  <si>
    <t>beauty business, cosmetic product, cosmetic product retailer, curly hair, curly hair care, direct-to-consumer, hair care branding, hair care product, personal product retailer</t>
  </si>
  <si>
    <t>www.lusbrands.ca</t>
  </si>
  <si>
    <t>Promotion (New) Sahar Saidi, Founder, Chief Executive Officer &amp; Board Member</t>
  </si>
  <si>
    <t>182029-78P</t>
  </si>
  <si>
    <t>Sahar Saidi</t>
  </si>
  <si>
    <t>sahar@lusbrands.ca</t>
  </si>
  <si>
    <t>2 Bloor Street East</t>
  </si>
  <si>
    <t>Suite 3500</t>
  </si>
  <si>
    <t>M4W 1A8</t>
  </si>
  <si>
    <t>info@lusbrands.ca</t>
  </si>
  <si>
    <t>The company raised seed funding in the form of SAFE notes from Comcast Ventures, Kaktus Capital and Vladimir Gidirim on an undisclosed date.</t>
  </si>
  <si>
    <t>Comcast Ventures, Kaktus Capital, Vladimir Gidirim, Y Combinator</t>
  </si>
  <si>
    <t>Comcast Ventures(www.comcastventures.com), Kaktus Capital(www.kaktuscapital.com), Y Combinator(www.ycombinator.com)</t>
  </si>
  <si>
    <t>First Republic Bank(General Business Banking), Gunderson Dettmer(Legal Advisor), Osler, Hoskin &amp; Harcourt(Legal Advisor), Royal Bank of Canada(General Business Banking)</t>
  </si>
  <si>
    <t>Gunderson Dettmer(Legal Advisor), Osler, Hoskin &amp; Harcourt(Legal Advisor)</t>
  </si>
  <si>
    <t>182041-30</t>
  </si>
  <si>
    <t>Lunewave</t>
  </si>
  <si>
    <t>Tucson Microwave Innovation</t>
  </si>
  <si>
    <t>Innoluce, Princeton Lightwave, LeddarTech, Ibeo Automotive Systems, SlamTec</t>
  </si>
  <si>
    <t>Developer of an antenna and sensor technology designed for autonomous driving applications, wireless communications and drones. The company's sensor consists of custom-made Luneburg lens antennas in various sizes, with different feeds and at different operating frequencies to meet individual requirements and operates in the 76-81 GHz band, it features a small, robust design capable of high resolution, up to 360-degree field of view and a long detection range of up to 300 meters, enabling autonomous vehicle to operate safely.</t>
  </si>
  <si>
    <t>Artificial Intelligence &amp; Machine Learning, Autonomous cars, Robotics and Drones</t>
  </si>
  <si>
    <t>autonomous drives sensor, autonomous drives tools, radar and antenna technology, radar sensors system, radar technology, self drives car sensor, sensor system</t>
  </si>
  <si>
    <t>www.lunewave.com</t>
  </si>
  <si>
    <t>2019: 15</t>
  </si>
  <si>
    <t>Competitor (New) Ibeo Automotive Systems, Competitor (New) Innoluce, Competitor (New) LeddarTech</t>
  </si>
  <si>
    <t>177684-04P</t>
  </si>
  <si>
    <t>John Xin</t>
  </si>
  <si>
    <t>john@lunewave.com</t>
  </si>
  <si>
    <t>Tucson, AZ</t>
  </si>
  <si>
    <t>4991 North Fort Verde Trail</t>
  </si>
  <si>
    <t>Tucson</t>
  </si>
  <si>
    <t>85750</t>
  </si>
  <si>
    <t>The company raised $5 million of seed funding in a deal led by Fraser McCombs Capital on September 20, 2018, putting the company's pre-money valuation at $10.5 million. BMW i Ventures, Baidu Ventures, Urban Us, Plug and Play Tech Center, and Ekistic Ventures also participated in the round. The company intends to use the funds to hire top talent and accelerate development to meet demand from customers. Previously, the company received $729,492 of grant funding from National Science Foundation in 2018.</t>
  </si>
  <si>
    <t>Arizona Center for Innovation, Baidu Ventures, BMW i Ventures, Ekistic Ventures, Fraser McCombs Capital, National Science Foundation, Plug and Play Tech Center, Urban Us, Urban-X</t>
  </si>
  <si>
    <t>Arizona Center for Innovation(www.techparks.arizona.edu/azci), Baidu Ventures(www.bv.ai), BMW i Ventures(www.bmwiventures.com), Ekistic Ventures(www.ekistic.com), Fraser McCombs Capital(www.fmcap.com), National Science Foundation(seedfund.nsf.gov), Plug and Play Tech Center(www.plugandplaytechcenter.com), Urban Us(www.urban.us), Urban-X(www.urban-x.com)</t>
  </si>
  <si>
    <t>148762-18</t>
  </si>
  <si>
    <t>Lunar Wireless</t>
  </si>
  <si>
    <t>Cosmos Labs</t>
  </si>
  <si>
    <t>Developer of a pricing platform designed to offer app-based pricing for mobile Internet. The company's pricing platform is a mobile virtual network operator that leases airtime on cellular networks as well as offers smartphones with no monthly contracts and pay-as-you-go data on a per-app basis, enabling users get rid of your monthly wireless bills and providing them with mobile data plans for specific applications.</t>
  </si>
  <si>
    <t>Application Software*, Internet Software, Social/Platform Software</t>
  </si>
  <si>
    <t>bill-free smartphone, browsing software, internet service, mobile virtual network, pay-per-app, pricing platform, wifi and data</t>
  </si>
  <si>
    <t>www.lunarwireless.com</t>
  </si>
  <si>
    <t>2015: 5, 2016: 7</t>
  </si>
  <si>
    <t>122217-31P</t>
  </si>
  <si>
    <t>Hunter Rosenblume</t>
  </si>
  <si>
    <t>hunter@lunarwireless.com</t>
  </si>
  <si>
    <t>Detroit, MI</t>
  </si>
  <si>
    <t>3434 Russell Street</t>
  </si>
  <si>
    <t>Suite 406</t>
  </si>
  <si>
    <t>Detroit</t>
  </si>
  <si>
    <t>48207</t>
  </si>
  <si>
    <t>info@lunarwireless.com</t>
  </si>
  <si>
    <t>The company raised an undisclosed amount of venture funding from Precursor Ventures. Previously, the company raised $4.1 million of seed funding in a deal led by 8VC in February, 2017. Betaworks, BLU Products, Fontinalis Partners, 1517 Fund, WndrCo, Detroit Venture Partners, Core Innovation Capital, Abstract Ventures, Expansion Venture Capital, Social Starts and other undisclosed investors also participated in the round.</t>
  </si>
  <si>
    <t>1517 Fund, 8VC, Abstract Ventures, Accelerate Michigan Innovation Competition, Betaworks Ventures, BLU Products, Core Innovation Capital, Detroit Venture Partners, Expansion Venture Capital, Fontinalis Partners, Precursor Ventures, Right Side Capital Management, Social Starts, Techstars, Thiel Foundation, Verizon Ventures, WndrCo</t>
  </si>
  <si>
    <t>1517 Fund(www.1517fund.com), 8VC(www.8vc.com), Abstract Ventures(www.abstractvc.com), Accelerate Michigan Innovation Competition(www.acceleratemichigan.org), Betaworks Ventures(www.betaworksventures.com), BLU Products(bluproducts.com), Core Innovation Capital(www.corevc.com), Detroit Venture Partners(www.detroit.vc), Expansion Venture Capital(www.expansionvc.com), Fontinalis Partners(www.fontinalis.com), Precursor Ventures(www.precursorvc.com), Right Side Capital Management(www.rightsidecapital.com), Social Starts(www.socialstarts.com), Techstars(www.techstars.com), Thiel Foundation(www.thielfoundation.org), Verizon Ventures(www.verizonventures.com), WndrCo(www.wndrco.com)</t>
  </si>
  <si>
    <t>224546-32</t>
  </si>
  <si>
    <t>Lumo</t>
  </si>
  <si>
    <t>Flightsayer</t>
  </si>
  <si>
    <t>Powershop</t>
  </si>
  <si>
    <t>Developer of a smart air travel application designed to make air travel smoother, safer and more enjoyable. The company's air uses application complex algorithms and machine learning to produce detailed insights on potential flight delays months, weeks, and days ahead of time, enabling users to proactively avoid and manage disruptions.</t>
  </si>
  <si>
    <t>air traffic control system, air traffic management, air traffic system, air travel, air travel intelligence, powerful analytical product, smart air travel</t>
  </si>
  <si>
    <t>www.thinklumo.com</t>
  </si>
  <si>
    <t>178902-10P</t>
  </si>
  <si>
    <t>Loren Werner</t>
  </si>
  <si>
    <t>Chief Operating Officer &amp; Head of Product</t>
  </si>
  <si>
    <t>loren.werner@resilientops.com</t>
  </si>
  <si>
    <t>+1 (650) 248-8285</t>
  </si>
  <si>
    <t>Winchester, MA</t>
  </si>
  <si>
    <t>4 Albamont Road</t>
  </si>
  <si>
    <t>Winchester</t>
  </si>
  <si>
    <t>01890</t>
  </si>
  <si>
    <t>info@resilientops.com</t>
  </si>
  <si>
    <t>The company raised $725,000 of convertible debt funding from undisclosed investors on March 27, 2019. Previously, the company raised $2.3 million of Seed funding in a deal led by JetBlue Technology Ventures on April 16, 2018, putting the company's pre-money valuation at $3.5 million. Founders Factory, Plug and Play and an undisclosed strategic investor also participated in the round.</t>
  </si>
  <si>
    <t>Founders Factory, JetBlue Technology Ventures, National Aeronautics and Space Administration, Plug and Play Tech Center</t>
  </si>
  <si>
    <t>Founders Factory(www.foundersfactory.com), JetBlue Technology Ventures(www.jetblueventures.com), National Aeronautics and Space Administration(www.nasa.gov), Plug and Play Tech Center(www.plugandplaytechcenter.com)</t>
  </si>
  <si>
    <t>99115-57</t>
  </si>
  <si>
    <t>Lumiode</t>
  </si>
  <si>
    <t>Developer of a high brightness light engine platform designed to build head-mounted displays, pico projectors and head-up displays. The company's high brightness light engine platform made from monolithically integrating high performance silicon transistors with compound semiconductor optoelectronic materials are used for microdisplays for augmented reality and other display applications, enabling users to get high brightness, low power and compact LED displays.</t>
  </si>
  <si>
    <t>Application Specific Semiconductors*, Electrical Equipment</t>
  </si>
  <si>
    <t>high brightness display, led, led display, light engine platform, micro-display</t>
  </si>
  <si>
    <t>www.lumiode.com</t>
  </si>
  <si>
    <t>2017: 3</t>
  </si>
  <si>
    <t>83691-01P</t>
  </si>
  <si>
    <t>Vincent Lee</t>
  </si>
  <si>
    <t>vincent@lumiode.com</t>
  </si>
  <si>
    <t>+1 (732) 328-8811</t>
  </si>
  <si>
    <t>1361 Amsterdam Avenue</t>
  </si>
  <si>
    <t>+1 (212) 201-9296</t>
  </si>
  <si>
    <t>info@lumiode.com</t>
  </si>
  <si>
    <t>The company raised $7.96 million through a combination of debt and Series A venture funding from Applied Ventures, IP Group North America and Merck Ventures on May 11, 2018, putting the company's pre-money valuation at $15 million. The company will use the proceeds for working capital.</t>
  </si>
  <si>
    <t>Applied Ventures, Columbia Technology Ventures, Future Labs, IP Group North America, Merck Ventures, National Science Foundation, Startup Leadership, Urban Future Lab</t>
  </si>
  <si>
    <t>Columbia Technology Ventures(www.techventures.columbia.edu), Future Labs(www.futurelabs.nyc), IP Group North America(www.ipgroup-inc.com), Merck Ventures(www.m-ventures.com), National Science Foundation(seedfund.nsf.gov), Startup Leadership(startupleadership.com), Urban Future Lab(www.ufl.nyc)</t>
  </si>
  <si>
    <t>56969-20</t>
  </si>
  <si>
    <t>Luminoso</t>
  </si>
  <si>
    <t>Luminoso, LLC</t>
  </si>
  <si>
    <t>Idibon, Usabilla, OpenAmplify, ListenFirst Media, Talkwalker, Nanorep, Acquia, Bitext Innovations, Confluent, Verimatrix, Quid, Personagraph, ForeSee Results, Cogito (Emotional Intelligence Software), Crimson Hexagon, MaritzCX, Affectiva, SurveyMonkey, Clarabridge, ResponseTek, MetaMind, Lithium Technologies, 3radical, Sendible, Zignal Labs, nViso, Diffbot, QuestBack, MapR, InMoment, Realeyes</t>
  </si>
  <si>
    <t>Developer of a text analytics platform designed to analyze, prioritize and route contact center interactions. The company's platform uses artificial intelligence, natural language processing and machine learning to derive insights from unstructured data such as contact center interactions, chatbot, live chat transcripts, product reviews, open-ended survey responses and email, enabling companies to rapidly analyze all the comments they get through customer service messaging applications, surveys, e-mails, social media and other sources by uploading them to a browser-based application.</t>
  </si>
  <si>
    <t>browser-based application, customer service analysis, deep analytics, text analytics, text analytics portal</t>
  </si>
  <si>
    <t>www.luminoso.com</t>
  </si>
  <si>
    <t>2019: 41</t>
  </si>
  <si>
    <t>71488-90P</t>
  </si>
  <si>
    <t>Jason Alonso</t>
  </si>
  <si>
    <t>jason@luminoso.com</t>
  </si>
  <si>
    <t>+1 (617) 682-9056</t>
  </si>
  <si>
    <t>675 Massachusetts Avenue</t>
  </si>
  <si>
    <t>info@luminoso.com</t>
  </si>
  <si>
    <t>The company raised $9.40 million through a combination of Series B1 and Series B2 venture funding in a deal led by DVI Equity Partners on December 6, 2018, putting the company's pre-money valuation at $45 million. Liberty Global Ventures, Accord Ventures, Acadia Woods Partners, Raptor Group and DF Enterprises (Investor) also participated in the round. The funds will be used to expand and scale team as the customer base continues to grow internationally. Previously, the company raised $12.6 million of Series A1 venture funding in a deal led by Raptor Group and SD Porter Holdings on March 5, 2018, putting the company's pre-money valuation at $5 million.</t>
  </si>
  <si>
    <t>42.ventures, Acadia Woods Partners, Accord Ventures, Atlas Venture, DF Enterprises (Investor), DG Incubation, Digital Garage, DVI Equity Partners, Liberty Global Ventures, On Grid Ventures, Open Field Capital, Raptor Group, Rationalwave Capital Partners, SD Porter Holdings, Stex25</t>
  </si>
  <si>
    <t>42.ventures(www.42ventures.com), Accord Ventures(www.accordventures.co.jp), Atlas Venture(www.atlasventure.com), DG Incubation(www.dgincubation.co.jp), Digital Garage(www.garage.co.jp), DVI Equity Partners(www.dviequitypartners.com), On Grid Ventures(www.ongridventures.com), Open Field Capital(www.ofcap.com), Raptor Group(www.raptorgroup.com), Stex25(startupexchange.mit.edu)</t>
  </si>
  <si>
    <t>Gunderson Dettmer(Legal Advisor), MIT Venture Mentoring Service(Consulting)</t>
  </si>
  <si>
    <t>AGC Partners(Advisor: General), Gunderson Dettmer(Legal Advisor)</t>
  </si>
  <si>
    <t>184941-91</t>
  </si>
  <si>
    <t>Lumina Networks</t>
  </si>
  <si>
    <t>Adaptiv Networks, Plexxi, Pluribus Networks, Cato Networks, Nginx, Zynstra, InfoVista</t>
  </si>
  <si>
    <t>Provider of an online platform intended to offer open software networking services. The company's platform helps in the expansion of the skill set of the network engineering and operations team through hands-on experience, enabling its clients to receive tools that help to jointly develop production systems.</t>
  </si>
  <si>
    <t>5g network, nfv technology, open software networking, open software platform, open source networking platform, opendaylight, sdn</t>
  </si>
  <si>
    <t>www.luminanetworks.com</t>
  </si>
  <si>
    <t>2018: 75</t>
  </si>
  <si>
    <t>169094-62P</t>
  </si>
  <si>
    <t>Andrew Coward</t>
  </si>
  <si>
    <t>andrew@luminanetworks.com</t>
  </si>
  <si>
    <t>+1 (669) 231-3838</t>
  </si>
  <si>
    <t>2077 Gateway Place</t>
  </si>
  <si>
    <t>info@luminanetworks.com</t>
  </si>
  <si>
    <t>The company raised $10 million through a combination of Series A1 and Series A2 venture funding in a deal led by Verizon Ventures on May 24, 2018, putting the company's pre-money valuation at $35 million. AT&amp;T and Rahi Systems also participated in the round. The funding will be used to support the development of new products and innovative solutions and for expansion of business in Europe and Japan.</t>
  </si>
  <si>
    <t>AT&amp;T, Rahi Systems, Verizon Ventures</t>
  </si>
  <si>
    <t>AT&amp;T(www.att.com), Rahi Systems(www.rahisystems.com), Verizon Ventures(www.verizonventures.com)</t>
  </si>
  <si>
    <t>53840-44</t>
  </si>
  <si>
    <t>Loverly</t>
  </si>
  <si>
    <t>Wed Me Good, MyWedding</t>
  </si>
  <si>
    <t>Developer of a digital destination intended to connect modern couples, their bridal party, and wedding guests. The company's platform offers inspiration, products, celebrity insider scoops, fashion and beauty hacks, and expert advice through their website and mobile app, making wedding planning easy and fun for couples.</t>
  </si>
  <si>
    <t>Information Services (B2C), Other Consumer Products and Services*, Other Media</t>
  </si>
  <si>
    <t>party planning, wedding arrangement, wedding concierge service, wedding planner, wedding planning, wedding planning service, wedding website</t>
  </si>
  <si>
    <t>www.lover.ly</t>
  </si>
  <si>
    <t>2013: 12, 2014: 34, 2015: 33, 2016: 27</t>
  </si>
  <si>
    <t>40189-96P</t>
  </si>
  <si>
    <t>Kellee Khalil</t>
  </si>
  <si>
    <t>kellee@lover.ly</t>
  </si>
  <si>
    <t>+1 (646) 726-4395</t>
  </si>
  <si>
    <t>33 West 26th Street</t>
  </si>
  <si>
    <t>hello@lover.ly</t>
  </si>
  <si>
    <t>The company raised $2 million of Series B venture funding led by Covera Ventures on March 22, 2016. Gelt Venture Capital, Montage Ventures, GrowthX, Transmedia Capital, 645 Ventures, Great Oaks Venture Capital and Great Oaks Venture Capital also participated in this round.</t>
  </si>
  <si>
    <t>645 Ventures, Ben Lin, BNOTIONS, Charles Smith, Comcast Ventures, Covera Ventures, fcubedvc, Female Founders Fund, Floodgate Fund, Great Oaks Venture Capital, GrowthX, Initio Group, Joanne Wilson, Kevin Moore, Max Burger, MD Pham, Michael Edwards, Michael Yavonditte, Montage Ventures, Quotidian Ventures, Rick Webb, SoftBank Capital, Sonja Perkins, Steelhead Ventures, Todd Kimmel, Transmedia Capital</t>
  </si>
  <si>
    <t>Gelt Venture Capital</t>
  </si>
  <si>
    <t>645 Ventures(www.645ventures.com), BNOTIONS(www.bnotions.com), Charles Smith(www.charlessmith.com), Comcast Ventures(www.comcastventures.com), Covera Ventures(www.coveraventures.com), Female Founders Fund(www.femalefoundersfund.com), Floodgate Fund(www.floodgate.com), Great Oaks Venture Capital(www.greatoaksvc.com), GrowthX(www.growthx.com), Initio Group(www.initiogroup.com), Joanne Wilson(www.gothamgal.com), Max Burger(www.maxburger.com), Montage Ventures(www.montageventures.com), Quotidian Ventures(www.quotidian.co), Rick Webb(www.rickwebb.net), SoftBank Capital(www.softbankvc.com), Steelhead Ventures(www.steelheadvc.com), Transmedia Capital(www.transmediacapital.com)</t>
  </si>
  <si>
    <t>Gelt Venture Capital(www.geltvc.com)</t>
  </si>
  <si>
    <t>185652-64</t>
  </si>
  <si>
    <t>Louisiana Technical Instruments</t>
  </si>
  <si>
    <t>Provider of technology intended to help pipeline operators to comply with the proposed methane emissions regulations. The company's technology provides a facility for reducing pneumatic controller methane emissions and decreasing lost and unaccounted gas, enabling its clients to reduce methane bleed from pipelines and recapture lost profits.</t>
  </si>
  <si>
    <t>Energy Infrastructure*, Other Energy Services</t>
  </si>
  <si>
    <t>methane emission, methane emission capturing, oil pipeline, pneumatic control</t>
  </si>
  <si>
    <t>www.louisianatechnicalinstruments.com</t>
  </si>
  <si>
    <t>187606-81P</t>
  </si>
  <si>
    <t>Chad Deville</t>
  </si>
  <si>
    <t>cdeville@louisianatechnicalinstruments.com</t>
  </si>
  <si>
    <t>+1 (318) 237-7458</t>
  </si>
  <si>
    <t>Covington, LA</t>
  </si>
  <si>
    <t>1160 Avenue Saint Germain</t>
  </si>
  <si>
    <t>Covington</t>
  </si>
  <si>
    <t>70433</t>
  </si>
  <si>
    <t>The company raised $16,000 of venture funding from Chevron Technology Ventures on an undisclosed date.</t>
  </si>
  <si>
    <t>Chevron Technology Ventures, New Orleans BioInnovation Center, The Idea Village</t>
  </si>
  <si>
    <t>New Orleans BioInnovation Center(www.neworleansbio.com), The Idea Village(www.ideavillage.org)</t>
  </si>
  <si>
    <t>168946-66</t>
  </si>
  <si>
    <t>Lōtik</t>
  </si>
  <si>
    <t>BluCarbon</t>
  </si>
  <si>
    <t>Developer of a wireless intelligence system designed to monitor water usage. The company's smart system of wireless sensors provides point of use water monitoring with easy to understand data about when water is used, where it is used, and advanced notification of water leaks, enabling users to continually understand flow, detect anomalies and increase savings by letting them know the second there's a problem.</t>
  </si>
  <si>
    <t>water meter, water monitoring, wireless intelligence system</t>
  </si>
  <si>
    <t>www.lotik.com</t>
  </si>
  <si>
    <t>2015: 2, 2016: 6, 2017: 8</t>
  </si>
  <si>
    <t>152295-49P</t>
  </si>
  <si>
    <t>Ely Greenberg</t>
  </si>
  <si>
    <t>ely@lotik.io</t>
  </si>
  <si>
    <t>+1 (617) 913-0599</t>
  </si>
  <si>
    <t>Floor 7</t>
  </si>
  <si>
    <t>10128</t>
  </si>
  <si>
    <t>contact@lotik.com</t>
  </si>
  <si>
    <t>The company joined Dreamit as a part of first cohort of its UrbanTech accelerator program and received an undisclosed amount of funding on September 13, 2017.</t>
  </si>
  <si>
    <t>DreamIt Ventures, Samsung Accelerator, Samsung NEXT Ventures</t>
  </si>
  <si>
    <t>DreamIt Ventures(www.dreamit.com), Samsung Accelerator(www.samsungaccelerator.com), Samsung NEXT Ventures(www.samsungnext.com)</t>
  </si>
  <si>
    <t>174119-50</t>
  </si>
  <si>
    <t>Looxid Labs</t>
  </si>
  <si>
    <t>Developer of eye-brain interfaced virtual reality headsets designed to better understand unspoken emotion using human physiological signals. The company's headsets use user analytics measure various biometric data including facial expression, brainwave, eye movement and heartbeat of the user, enabling the user to enjoy various contents such as games and video.</t>
  </si>
  <si>
    <t>Electrical Equipment*, Electronics (B2C)</t>
  </si>
  <si>
    <t>Artificial Intelligence &amp; Machine Learning, TMT, Virtual Reality, Wearables &amp; Quantified Self</t>
  </si>
  <si>
    <t>ai headset, gaming headset, virtual reality, virtual reality headset</t>
  </si>
  <si>
    <t>www.looxidlabs.com</t>
  </si>
  <si>
    <t>162117-73P</t>
  </si>
  <si>
    <t>Brian Chae</t>
  </si>
  <si>
    <t>brian.chae@looxidlabs.com</t>
  </si>
  <si>
    <t>5F Tipstown, 165, Yeoksam-ro</t>
  </si>
  <si>
    <t>06247</t>
  </si>
  <si>
    <t>helpdesk@looxidlabs.com</t>
  </si>
  <si>
    <t>The company raised $4 million of Series A venture funding from Daesung Private Equity, Samsung NEXT Ventures and Vantage Infrastructure on November 13, 2018. Sejong Venture Partners also participated in the round. The company intends to use the funds to accelerate the launch of its VR user analytics solutions. Previously, the company joined Vive X Accelerator as a part of its third Batch on November 29, 2017.</t>
  </si>
  <si>
    <t>Bluepoint Partners, Daesung Private Equity, FuturePlay, KAIST Venture Investment Holdings, KITE Entrepreneurship Foundation, Samsung NEXT Ventures, Sejong Venture Partners, Vantage Infrastructure, Vive X Accelerator</t>
  </si>
  <si>
    <t>Bluepoint Partners(www.bluepoint-partners.com), Daesung Private Equity(www.daesungpe.com), FuturePlay(www.futureplay.co), Samsung NEXT Ventures(www.samsungnext.com), Vantage Infrastructure(www.vantageinfra.com), Vive X Accelerator(www.vivex.vive.com)</t>
  </si>
  <si>
    <t>56049-67</t>
  </si>
  <si>
    <t>Loop &amp; Tie</t>
  </si>
  <si>
    <t>Provider of order management platform for corporate gifting product marketplace. The company's platform offers real-time data on what recipients pick, their thank you notes and monthly budget stats, customize the collections with their own products and experiences, enabling businesses to save time and use gifting to drive engagement across their organizations.</t>
  </si>
  <si>
    <t>Business/Productivity Software, Media and Information Services (B2B), Other Commercial Services*</t>
  </si>
  <si>
    <t>digital gifting, friendship network, gifting platform, online treating</t>
  </si>
  <si>
    <t>www.loopandtie.com</t>
  </si>
  <si>
    <t>46387-27P</t>
  </si>
  <si>
    <t>Sara Rodell</t>
  </si>
  <si>
    <t>sara@loopandtie.com</t>
  </si>
  <si>
    <t>+1 (512) 217-7070</t>
  </si>
  <si>
    <t>701 Brazos Street</t>
  </si>
  <si>
    <t>+1 (844) 394-9600</t>
  </si>
  <si>
    <t>hello@loopandtie.com</t>
  </si>
  <si>
    <t>The company raised $250,000 of venture funding from Salesforce Ventures, Revolution and WISE Ventures (New York) on January 8, 2019. Previously, the company was awarded a $250,000 prize from Salesforce Ventures as part of its Dreampitch event during Dreamforce on November 13, 2017.</t>
  </si>
  <si>
    <t>Alex Iskold, Austin Technology Incubator, Capital Factory, REach Accelerator, Revolution, Salesforce Ventures, Second Century Ventures, Seth Ginns, Stephen Case, WISE Ventures (New York)</t>
  </si>
  <si>
    <t>J.V. Kodali</t>
  </si>
  <si>
    <t>Alex Iskold(www.alexiskold.net), Austin Technology Incubator(www.ati.utexas.edu), Capital Factory(www.capitalfactory.com), REach Accelerator(www.nar-reach.com), Revolution(www.revolution.com), Second Century Ventures(www.secondcenturyventures.com), WISE Ventures (New York)(www.wiseventuresllc.com)</t>
  </si>
  <si>
    <t>9Gauge Partners(Advisor: General), Wilson Sonsini Goodrich &amp; Rosati(Legal Advisor)</t>
  </si>
  <si>
    <t>161871-67</t>
  </si>
  <si>
    <t>Loom.ai</t>
  </si>
  <si>
    <t>Anthropics, WW FQ, Reallusion, Mixamo</t>
  </si>
  <si>
    <t>Developer of a 3D virtualization platform designed bring visual identity into virtual conversations and messaging. The company's 3D virtualization platform virtualizes humans into 3D digital experiences such as games, social media and virtual reality, enabling people to get a new era of virtual communication by automatically converting their selfies into their expressive 3D avatars.</t>
  </si>
  <si>
    <t>Multimedia and Design Software*, Social/Platform Software</t>
  </si>
  <si>
    <t>SaaS, TMT, Virtual Reality</t>
  </si>
  <si>
    <t>3d virtualization platform, mobile deep learning, virtual communication, virtual reality technology, vr experience</t>
  </si>
  <si>
    <t>www.loomai.com</t>
  </si>
  <si>
    <t>138997-63P</t>
  </si>
  <si>
    <t>Mahesh Ramasubramanian</t>
  </si>
  <si>
    <t>mahesh@loomai.com</t>
  </si>
  <si>
    <t>info@loomai.com</t>
  </si>
  <si>
    <t>The company raised $3 million of seed funding from Samsung Venture Investment on May 3, 2018. The company intends to use the funds to accelerate recruiting, additional partnerships and the continued development of its fully embedded SDK solution. The round brings total funding to $5.85 million to date.</t>
  </si>
  <si>
    <t>Anorak Ventures, Bradley Schwartz, Dentsu Ventures, Digital Horizon Capital, GFR Fund, Kevin Martin, Presence Capital, Projjol Bannerjea, Samsung Venture Investment, Y Combinator, Zachery Coelius, Zeitgeist Capital</t>
  </si>
  <si>
    <t>Anorak Ventures(www.anorak.vc), Dentsu Ventures(www.dentsu-v.com), Digital Horizon Capital(www.dh.vc), GFR Fund(www.gfrfund.com), Presence Capital(www.presencecap.com), Samsung Venture Investment(www.samsungventures.com), Y Combinator(www.ycombinator.com)</t>
  </si>
  <si>
    <t>Acceleron Law Group(Legal Advisor)</t>
  </si>
  <si>
    <t>164239-48</t>
  </si>
  <si>
    <t>LookLive</t>
  </si>
  <si>
    <t>Curateurs</t>
  </si>
  <si>
    <t>Lyst, Lesara, Shinesty, Zady, Xwalker, The Limited, Fashion Nova, Cuyana, Joyus</t>
  </si>
  <si>
    <t>Provider of an online shopping platform designed to discover and buy latest fashion. The company's online shopping platform allows to browse the style of celebrities and influencers, enabling users to get inspiration from their looks.</t>
  </si>
  <si>
    <t>Accessories, Internet Retail*, Other Retail</t>
  </si>
  <si>
    <t>celebrity fashion, fashion application, online media, online shopping, online shopping platform, shopping platform</t>
  </si>
  <si>
    <t>www.looklive.com</t>
  </si>
  <si>
    <t>40304-80P</t>
  </si>
  <si>
    <t>Greg Selkoe</t>
  </si>
  <si>
    <t>greg@wanderset.com</t>
  </si>
  <si>
    <t>859 Spring Street North West</t>
  </si>
  <si>
    <t>info@looklive.com</t>
  </si>
  <si>
    <t>The company raised $1 million of seed funding from undisclosed investors on August 19, 2016. Previously, the The company joined Y Combinator as a part of the 2016 Batch and received $140,000 in funding in 2016. Judge Ventures also participated in this round. Prior to that the company raised EUR 2 million of Series A venture funding in a deal led by Liberty Global Ventures and Volta Ventures on September 7, 2015. Other undisclosed investors also participated in this round.</t>
  </si>
  <si>
    <t>Judge Ventures, Liberty Global Ventures, Volta Ventures, Y Combinator</t>
  </si>
  <si>
    <t>Judge Ventures(www.judgeventures.com), Volta Ventures(www.volta.ventures), Y Combinator(www.ycombinator.com)</t>
  </si>
  <si>
    <t>223358-86</t>
  </si>
  <si>
    <t>Loock</t>
  </si>
  <si>
    <t>Developer and manufacturer of intelligent door lock and home security systems. The company focuses on providing smart home security products and services. The company's products utilizes bio-metric data, such as finger prints and facial structure, to recognize users.</t>
  </si>
  <si>
    <t>facial recognition, home security, home security product, home security system, intelligent locks, smart lock systems</t>
  </si>
  <si>
    <t>loock.cn</t>
  </si>
  <si>
    <t>2014: 21, 2015: 62</t>
  </si>
  <si>
    <t>178584-22P</t>
  </si>
  <si>
    <t>Bin Chen</t>
  </si>
  <si>
    <t>chenbin@loock.cn</t>
  </si>
  <si>
    <t>+86 (0)10 6177 9325</t>
  </si>
  <si>
    <t>5/F, Block A, Tencent Zhongchuang Space</t>
  </si>
  <si>
    <t>Changping District</t>
  </si>
  <si>
    <t>102208</t>
  </si>
  <si>
    <t>The company raised CNY 600 million of Series D venture funding from Baidu Ventures, Shunwei Capital and Susquehanna Asia Investments on December 18, 2018. Beijing Lenovo Star Venture also participated in the round.</t>
  </si>
  <si>
    <t>Baidu Ventures, Beijing Lenovo Star Venture, DT Capital Partners, Fosun RZ Capital, Harvest Investments, K2VC, Lan Fund, LeTV, Midea Group Co., Nanjing Iron &amp; Steel Company, Red Star Macalline International Furniture, Shunwei Capital, Susquehanna Asia Investments, Wu Capital, Xiaomi Ventures</t>
  </si>
  <si>
    <t>Baidu Ventures(www.bv.ai), DT Capital Partners(www.dtcap.com), Fosun RZ Capital(www.frzcapital.cn/index.php), Harvest Investments(www.harvestinvestments.com), K2VC(www.k2vc.com), Lan Fund(www.lanfund.com.cn), Midea Group Co.(www.midea.com), Nanjing Iron &amp; Steel Company(www.600282.net), Red Star Macalline International Furniture(www.chinaredstar.com), Shunwei Capital(www.shunwei.com), Susquehanna Asia Investments(www.sig-china.com), Wu Capital(www.wu-capital.com)</t>
  </si>
  <si>
    <t>51731-02</t>
  </si>
  <si>
    <t>LogRhythm</t>
  </si>
  <si>
    <t>Security Conscious</t>
  </si>
  <si>
    <t>Niara, Cyberbit, McAfee, ThreatConnect, Tripwire, Forcepoint, Blueliv, Exabeam, Kaymera, SecureAuth, Recorded Future, Rapid7, Endgame, CrowdStrike, OverWatchID, LogLogic, ObserveIT, ThreatQuotient, SentinelOne, Security Innovation, Cymmetria, Securonix, Cylance, DearBytes, GreatHorn, Ping Identity, SecureWorks, AlienVault, Illusive Networks, Tanium, BitSight Technologies, Elevate Security, PhishLabs, Barkly, Sqrrl, Area 1 Security, Webroot, OneLogin, Panaseer, Phantom Cyber, Demisto, Wandera, SafeBreach, Norse, CounterTack, Fidelis Cybersecurity, Bay Dynamics, ForgeRock, Vijilan Security, Morphisec, Cybereason, Interset, GuruCul, LookingGlass Cyber Solutions, Duo Security, eSentire, Graylog, Easy Solutions, TrapX Security, Damballa, ArcSight, Centrify, Carbon Black, Lookout, Avecto, FireEye, Moogsoft, Gemalto, BrandProtect, Veritas Technologies, Fortscale Security, Appthority, Sumo Logic, SolarWinds, Splunk, Darktrace</t>
  </si>
  <si>
    <t>Provider of a security intelligence and analytics platform designed to protect customers from the risks associated with cyber threats. The company's platform uniquely unifies next-generation SIEM, log management, network and endpoint monitoring, user entity and behavior analytics (UEBA), security automation and orchestration and advanced security analytics, enabling organizations to rapidly detect, respond to and neutralize damaging cyber threats.</t>
  </si>
  <si>
    <t>compliance management, logging management</t>
  </si>
  <si>
    <t>www.logrhythm.com</t>
  </si>
  <si>
    <t>2009: 91, 2010: 110, 2011: 218, 2012: 256, 2013: 307, 2014: 442, 2015: 660, 2017: 600</t>
  </si>
  <si>
    <t>36848-71P</t>
  </si>
  <si>
    <t>Mark Vellequette</t>
  </si>
  <si>
    <t>mark.vellequette@logrhythm.com</t>
  </si>
  <si>
    <t>+1 (303) 413-8745</t>
  </si>
  <si>
    <t>4780 Pearl East Circle</t>
  </si>
  <si>
    <t>+1 (303) 413-8791</t>
  </si>
  <si>
    <t>info@logrhythm.com</t>
  </si>
  <si>
    <t>The company was acquired by Thoma Bravo through an LBO on July 2, 2018 for an undisclosed sum. This investment is expected to support the company's future operational and product development plans.</t>
  </si>
  <si>
    <t>Access Venture Partners, Adams Street Partners, Blue Note Ventures, Croghan Investments, Delta-v Capital, EDBI, Exclusive Networks, Grotech Ventures, High Country Venture, Jeffrey Parks, Next47, Piper Jaffray, Riverwood Capital, Silver Lake Management</t>
  </si>
  <si>
    <t>Access Venture Partners(www.accessvp.com), Adams Street Partners(www.adamsstreetpartners.com), Blue Note Ventures(www.bluenotevc.com), Delta-v Capital(www.deltavcapital.com), EDBI(www.edbi.com), Exclusive Networks(www.exclusive-networks.com), Grotech Ventures(www.grotech.com), High Country Venture(www.highcountryventure.com), Next47(Next47.com), Riverwood Capital(www.riverwoodcapital.com), Silver Lake Management(www.silverlake.com)</t>
  </si>
  <si>
    <t>Cooley(Legal Advisor), Finn Partners(Advisor: Communications)</t>
  </si>
  <si>
    <t>Cooley(Legal Advisor), Key Equipment Finance(Debt Financing), Morgan Stanley(Advisor: General), Wells Fargo Commercial Distribution Finance(Debt Financing)</t>
  </si>
  <si>
    <t>120784-33</t>
  </si>
  <si>
    <t>Locus (Logistics Management Platform)</t>
  </si>
  <si>
    <t>Locus</t>
  </si>
  <si>
    <t>Sologlobe, Wise Systems, Onfleet, LogiNext, Elementum, FreightHub, ByBox, FourKites, Flexport, Arrive Logistics, GetSwift, Mojro, Cloud Logistics, Roambee, Axtria, Sparse Labs, Bringg, Fleetmatics Group, Zencargo, LTX Solutions, Mandata, E2open, Transporeon, Absolutdata Intelligent Analytics, Aljex Software, BluJay Solutions, FarEye, Juggernaut, FieldAware, GT Nexus, BRIDGEi2i Analytics Solutions, Tiramizoo Delivery, Kuebix, Proteus Software, Supply Vision, ServiceMax</t>
  </si>
  <si>
    <t>Developer of a logistics management platform designed to manage intra-city logistics for scheduled and on-demand deliveries. The company's platform uses proprietary data-driven algorithms with data analytics tools utilizing automation and geolocation to optimize logistics systems, enabling enterprises to reduce logistics cost and enable on-time deliveries and a delightful end user experience.</t>
  </si>
  <si>
    <t>intra-city logistics, logistics management software, logistics operation service, logistics operations management, logistics optimization</t>
  </si>
  <si>
    <t>locus.sh</t>
  </si>
  <si>
    <t>124052-32P</t>
  </si>
  <si>
    <t>Nishith Rastogi</t>
  </si>
  <si>
    <t>Co-Founder, Board Member, Chief Executive Officer &amp; Chief Financial Officer</t>
  </si>
  <si>
    <t>nishith@locus.sh</t>
  </si>
  <si>
    <t>+91 (0)80 4096 9779</t>
  </si>
  <si>
    <t>2nd Floor, Opposite Regional Passport Office</t>
  </si>
  <si>
    <t>80 Feet Main Road, Koramangala</t>
  </si>
  <si>
    <t>contact@locus.sh</t>
  </si>
  <si>
    <t>The company raised $25.78 million of Series B venture funding in a deal led by Falcon Edge Capital and Tiger Global Management on May 13, 2019. Exfinity Venture Partners and Blume Venture Advisors also participated in the round. The funds will be used to penetrate deeper into North America and Southeast Asia by enhancing the product and solutions for each geography and also in expanding local teams.</t>
  </si>
  <si>
    <t>Amit Ranjan, Ankit Pruthi, Badal Malick, Beenext, Beenext (Singapore), Bhupendra Shah, Blume Venture Advisors, DSP Group, Exfinity Venture Partners, Falcon Edge Capital, GrowX Ventures, Hemendra Kothari, Manish Singhal, Microsoft ScaleUp, Numa, Pi Ventures, Rajesh Ranavat, Recruit Strategic Partners, Rocketship, Sanjay Mehta, Tiger Global Management, Varun Jain</t>
  </si>
  <si>
    <t>Beenext(www.beenext.it), Beenext (Singapore)(www.beenext.com), Blume Venture Advisors(www.blume.vc), Exfinity Venture Partners(www.exfinityventures.com), Falcon Edge Capital(www.falconedgecap.com), GrowX Ventures(www.growxventures.com), Microsoft ScaleUp(startups.microsoft.com/en-us/scale-up), Numa(www.numa.co), Pi Ventures(www.piventures.in), Recruit Strategic Partners(recruitstrategicpartners.com), Rocketship(www.rocketship.vc), Tiger Global Management(www.tigerglobal.com)</t>
  </si>
  <si>
    <t>56921-32</t>
  </si>
  <si>
    <t>Local Motors</t>
  </si>
  <si>
    <t>Optimus Ride, Auro, Zoox, Cruise</t>
  </si>
  <si>
    <t>Developer of an open product innovation platform with distributed, flexible, low volume production through multiple micro-factories designed to drive rapid commercialization of high technology vehicles. The company's Olli vehicle is a self-driving, upgradeable shuttle, which can be configured and customized for passenger, cargo, and service market applications, providing a smart, safe and sustainable option for getting around.</t>
  </si>
  <si>
    <t>3d printing, advances manufacturing, advances materials, aerospace, automotive, autonomous, co-creation, composites, crowdsourcing, digital production, driverless, hardware, micro manufacturing, microfactory, mobility, product development, robotics, smart city, sustainability, urban mobility</t>
  </si>
  <si>
    <t>www.localmotors.com</t>
  </si>
  <si>
    <t>2014: 58</t>
  </si>
  <si>
    <t>65243-89P</t>
  </si>
  <si>
    <t>Jay Rogers</t>
  </si>
  <si>
    <t>jrogers@local-motors.com</t>
  </si>
  <si>
    <t>+1 (617) 314-3333</t>
  </si>
  <si>
    <t>Chandler, AZ</t>
  </si>
  <si>
    <t>1576B South Nelson Drive</t>
  </si>
  <si>
    <t>Chandler</t>
  </si>
  <si>
    <t>85226</t>
  </si>
  <si>
    <t>+1 (888) 256-2028</t>
  </si>
  <si>
    <t>phoenixlm@local-motors.com</t>
  </si>
  <si>
    <t>The company raised an undisclosed amount of Series B1 venture funding from GE Ventures and Airbus Ventures in December 2015.</t>
  </si>
  <si>
    <t>Airbus Ventures, Alex Duff, Andy White, Bre Pettis, Factory Five Racing, GE Ventures, Javest Investment Fund, Josh Abramowitz, Robert M. Bass Family Office, Scout Ventures, VTF Capital</t>
  </si>
  <si>
    <t>Airbus Ventures(www.airbusventures.vc), Bre Pettis(www.bre.co), Factory Five Racing(www.factoryfive.com), GE Ventures(www.geventures.com), Javest Investment Fund(www.javestinvestment.com), Scout Ventures(www.scoutventures.com), VTF Capital(www.vtfcapital.com)</t>
  </si>
  <si>
    <t>Gunderson Dettmer(Legal Advisor), PwC(Auditor)</t>
  </si>
  <si>
    <t>157409-83</t>
  </si>
  <si>
    <t>LO3 Energy</t>
  </si>
  <si>
    <t>LO3</t>
  </si>
  <si>
    <t>Developer of energy technology and tools designed to accelerate the proliferation of the emerging distributed energy economy. The company's energy technology and tools help in formation of community microgrids based on its own proprietary blockchain, enabling utility and energy retail clients to create, deploy and monetize differentiated and compelling energy products and customer services in increasingly open and competitive electricity markets.</t>
  </si>
  <si>
    <t>Other Commercial Services, Other Energy Services*, Other Utilities</t>
  </si>
  <si>
    <t>CleanTech, Cryptocurrency/Blockchain, TMT</t>
  </si>
  <si>
    <t>blockchain architecture, computation resources, consensus network, energy tools, ethereum, microgrids, thermodynamics</t>
  </si>
  <si>
    <t>www.lo3energy.com</t>
  </si>
  <si>
    <t>2016: 5, 2017: 2</t>
  </si>
  <si>
    <t>133181-47P</t>
  </si>
  <si>
    <t>Lawrence Orsini</t>
  </si>
  <si>
    <t>lorsini@lo3energy.com</t>
  </si>
  <si>
    <t>573 Sackett Street</t>
  </si>
  <si>
    <t>11217</t>
  </si>
  <si>
    <t>info@lo3energy.com</t>
  </si>
  <si>
    <t>The company raised $5.76 million of Series A venture funding in a deal led by Centrica Innovations and Braemar Energy Ventures on November 6, 2017, putting the company's pre-money valuation at $17.28 million. Next47 and Ascend Venture Capital also participated in the round. The company will use the funding to scale it's platform. Previously, the company joined Accelerace as part of its Cleantech program on June 26, 2017.</t>
  </si>
  <si>
    <t>Accelerace, Ascend Venture Capital, Braemar Energy Ventures, Centrica Innovations, Next47</t>
  </si>
  <si>
    <t>Accelerace(www.accelerace.io), Ascend Venture Capital(www.ascendstl.com), Braemar Energy Ventures(www.braemarenergy.com), Next47(Next47.com)</t>
  </si>
  <si>
    <t>Cooley(Legal Advisor), New Alchemy(Advisor: General)</t>
  </si>
  <si>
    <t>Cooley(Legal Advisor), McGuireWoods(Legal Advisor)</t>
  </si>
  <si>
    <t>60474-43</t>
  </si>
  <si>
    <t>LiveSafe</t>
  </si>
  <si>
    <t>xMatters, Everbridge, Omnilert, Preparis, Rave Mobile Safety, AtHoc, Desktop Alert</t>
  </si>
  <si>
    <t>Developer of a mobile social-safety application intended to create two-way interactions with safety and security professionals, preventing incidents before they occur. The company's application provides a crime-reporting mobile platform in the form of a dashboard system for schools, government entities, colleges and corporations, enabling individuals to contact safety officials and report crimes.</t>
  </si>
  <si>
    <t>Communication Software, Other Software*</t>
  </si>
  <si>
    <t>Impact Investing, Mobile, SaaS, TMT</t>
  </si>
  <si>
    <t>crime reporting platform, crime-reporting, impact investing vertical, mobile safety system, safety application, security application</t>
  </si>
  <si>
    <t>www.livesafemobile.com</t>
  </si>
  <si>
    <t>2014: 14, 2015: 31, 2016: 34, 2018: 54</t>
  </si>
  <si>
    <t>44931-52P</t>
  </si>
  <si>
    <t>Carolyn Parent</t>
  </si>
  <si>
    <t>carolyn@livesafemobile.com</t>
  </si>
  <si>
    <t>+1 (571) 312-4645</t>
  </si>
  <si>
    <t>1400 Key Boulevard</t>
  </si>
  <si>
    <t>22209</t>
  </si>
  <si>
    <t>contact@livesafemobile.com</t>
  </si>
  <si>
    <t>The company raised $13.3 million through the combination of debt and Series B1 venture funding from Hearst Ventures, Enterprise Investment Partners and IAC on September 27, 2018, putting the company's pre-money valuation at $70 million. Revolution, GXPI, Dave Duffield and the Kilberg family also participated in the round. The company intends to use the funds to accelerate strategic partnerships, expand sales and marketing and to further build out its product offerings.</t>
  </si>
  <si>
    <t>Center for Innovative Technology Gap Funds, City Light Capital, David Duffield, Enterprise Investment Partners, Evergy Ventures, Hearst Ventures, IAC, Kilberg family, Revolution, Todd Taskey</t>
  </si>
  <si>
    <t>Center for Innovative Technology Gap Funds(www.cit.org/service-lines/cit-gap-funds), City Light Capital(www.citylight.vc), Evergy Ventures(www.evergyventures.com), IAC(www.iac.com), Revolution(www.revolution.com)</t>
  </si>
  <si>
    <t>Aronson(Auditor), Cooley(Legal Advisor), Square 1 Bank(General Business Banking)</t>
  </si>
  <si>
    <t>Cooley(Legal Advisor), Square 1 Bank(Debt Financing)</t>
  </si>
  <si>
    <t>52840-27</t>
  </si>
  <si>
    <t>LiveMedia</t>
  </si>
  <si>
    <t>MATRIXX Software</t>
  </si>
  <si>
    <t>Provider of a digital portal designed to offer home advertising media. The company's portal uses LCD screen for engaging and entertaining audience, enabling advertisers to reach out to their target customers.</t>
  </si>
  <si>
    <t>Information Services (B2C)*, Media and Information Services (B2B), Movies, Music and Entertainment, Other Software</t>
  </si>
  <si>
    <t>AdTech</t>
  </si>
  <si>
    <t>advertising platform, consumer entertainment, digital media, digital portal, lcd screen</t>
  </si>
  <si>
    <t>www.livemedia.in</t>
  </si>
  <si>
    <t>2014: 201</t>
  </si>
  <si>
    <t>46773-37P</t>
  </si>
  <si>
    <t>Rajan Mehta</t>
  </si>
  <si>
    <t>rajanmehta@livemedia.in</t>
  </si>
  <si>
    <t>+91 (0)11 4601 5666</t>
  </si>
  <si>
    <t>13, 3rd floor Sant nagar</t>
  </si>
  <si>
    <t>East of Kailash</t>
  </si>
  <si>
    <t>110065</t>
  </si>
  <si>
    <t>+91 (0)11 4666 9660</t>
  </si>
  <si>
    <t>info@livemedia.in</t>
  </si>
  <si>
    <t>The company raised an undisclosed amount of venture funding from Samsung Venture Investment, Draper Fisher Jurvetson Management and Bay Partners on October 25, 2007.</t>
  </si>
  <si>
    <t>Bay Partners, Draper Fisher Jurvetson Management, Samsung Venture Investment</t>
  </si>
  <si>
    <t>Bay Partners(www.baypartners.com), Draper Fisher Jurvetson Management(www.dfj.com), Samsung Venture Investment(www.samsungventures.com)</t>
  </si>
  <si>
    <t>118154-71</t>
  </si>
  <si>
    <t>Livelike</t>
  </si>
  <si>
    <t>Boom.tv, Vreal, TheWaveVR, Against Gravity, NextVR</t>
  </si>
  <si>
    <t>Developer of an online broadcasting platform designed to help see live sports with the help of virtual reality. The company's platform offers a sports viewing application allowing sporting event organizers to deliver stadium-like viewing experience to fans at places of their choice, enabling sports lovers to leverage the immersive nature of virtual reality to bring the thrill of the game-day stadium right to their living rooms.</t>
  </si>
  <si>
    <t>Broadcasting, Radio and Television*, Entertainment Software, Social/Platform Software</t>
  </si>
  <si>
    <t>online broadcasting platform, sports platform, virtual reality, vr platform</t>
  </si>
  <si>
    <t>www.livelikevr.com</t>
  </si>
  <si>
    <t>124190-56P</t>
  </si>
  <si>
    <t>André Lorenceau</t>
  </si>
  <si>
    <t>andre@livelikevr.com</t>
  </si>
  <si>
    <t>1407 Broadway</t>
  </si>
  <si>
    <t>contact@livelikevr.com</t>
  </si>
  <si>
    <t>The company raised $9.6 million of Series B through a combination of debt and equity from Bertelsmann Digital Media Investments, CourtsideVC and Dentsu Ventures on February 15, 2018, putting the company's pre-money valuation at $20 million. Elysian Park Ventures, Evolution Media, GC VR Gaming Tracker Fund, Greycroft, Lepe Partners, National Basketball Association, David Stern and Jonathan Goldman also participated in the round.</t>
  </si>
  <si>
    <t>Bertelsmann Digital Media Investments, CAA Ventures, CourtsideVC, David Stern, Dentsu Ventures, Elysian Park Ventures, Evolution Media, GC VR Gaming Tracker Fund, Gregory Dewerpe, Greycroft, Jonathan Goldman, Lepe Partners, National Basketball Association, Pratik Gupta, Residence Ventures, Scrum Ventures, Techstars</t>
  </si>
  <si>
    <t>Bertelsmann Digital Media Investments(www.bdmifund.com), CAA Ventures(ventures.caa.com), CourtsideVC(www.courtsidevc.com), Dentsu Ventures(www.dentsu-v.com), Elysian Park Ventures(www.elysianpark.ventures), Evolution Media(www.evolutionmedia.com), Greycroft(www.greycroft.com), Lepe Partners(www.lepepartners.com), National Basketball Association(www.nba.com), Residence Ventures(www.residenceventures.com), Scrum Ventures(www.scrum.vc), Techstars(www.techstars.com)</t>
  </si>
  <si>
    <t>60763-33</t>
  </si>
  <si>
    <t>LiveAction</t>
  </si>
  <si>
    <t>ActionPacked Networks</t>
  </si>
  <si>
    <t>AppNeta, LogicMonitor, InfoVista, SignalFx, Paessler, Adaptiv Networks, Aptilo Networks, Cato Networks, Corelight, Ivanti Software, Cedexis, Kentik, ShoreGroup, AirWatch, cPacket Networks, Packet Design, Corvil, SevOne, Lancope, CloudPhysics, NS1, NetBrain Technologies, Okta, CloudGenix, AppDynamics, AppRiver, Cloudflare, Exinda, NetBeez, Nutanix, Zscaler, Resilio, Auvik Networks, Arbor Networks, ExtraHop Networks, ThousandEyes, Empirix, Ipswitch, Polystar (Sweden), Server Density, Librato, Sumo Logic, Oracle Dyn, ConnectWise, Nexthink, Soasta, Nuage Networks, Pingdom Server Monitor, EmpowerID, Sigma Resources and Technologies, Accedian Networks, CENX, Fluke Networks, Gigamon, Midokura, SonicWALL, Covata, erwin, JumpCloud, Talaia, Niksun, KEMP Technologies, Anturis, Talari Networks, Proofpoint, EnSilo, Forcepoint, Genie Networks, Splunk, ScienceLogic, Digital Guardian, CA Technologies, Nectar Services, Intermedia.net, Neotys, ContentKeeper, New Relic, NinjaRMM, Centerity Systems, Aternity, Tricentis, Riverbed Technology, Big Switch Networks, Autotask, Knoa Software, Astrocom Corporation, VeloCloud, Micro Focus, EdgeWave, Catchpoint, Rigor, ThreatConnect, iboss (Cybersecurity), Veritas Technologies, SysAid Technologies, BMC Software, Extreme Networks, Ixia, Zenoss, MobileIron, Aryaka, Tenable, Uptrends, NetApp, Pertino, Cylance, NetScout Systems, Astellia, Flowmon Networks, Mettle Networks, Samanage, SolarWinds, Box</t>
  </si>
  <si>
    <t>Provider of next generation network performance monitoring software designed to simplify network management. The company's network performance monitoring software features an innovative visual display, real-time big data analytics, enabling businesses to help in decision-making and deep integration with routers and switches for unparalleled network control.</t>
  </si>
  <si>
    <t>configuring technology area, it services, network performance monitoring, performance management service</t>
  </si>
  <si>
    <t>www.liveaction.com</t>
  </si>
  <si>
    <t>2014: 24, 2016: 52</t>
  </si>
  <si>
    <t>44446-24P</t>
  </si>
  <si>
    <t>Darren Kimura</t>
  </si>
  <si>
    <t>Vice Chairman &amp; Chief Strategy Officer</t>
  </si>
  <si>
    <t>3500 West Bayshore Road</t>
  </si>
  <si>
    <t>+1 (888) 881-1116</t>
  </si>
  <si>
    <t>info@liveaction.com</t>
  </si>
  <si>
    <t>The company raised $36 million of Series B venture funding in a deal led by Insight Venture Partners on February 16, 2016, putting the company's pre-money valuation at $38.96 million. Sway Ventures, Accel and Cisco Investments also participated in this round. The funding will be used to expand operations globally and accelerate feature product development.</t>
  </si>
  <si>
    <t>Accel, Cisco Investments, Enerdigm, Insight Partners, Sway Ventures</t>
  </si>
  <si>
    <t>Accel(www.accel.com), Cisco Investments(www.ciscoinvestments.com), Enerdigm(www.enerdigm.com), Insight Partners(www.insightpartners.com), Sway Ventures(www.swayvc.com)</t>
  </si>
  <si>
    <t>152590-96</t>
  </si>
  <si>
    <t>LIVE Soda</t>
  </si>
  <si>
    <t>LIVE Kombucha Soda</t>
  </si>
  <si>
    <t>Brew Dr. Kombucha, Humm Kombucha, KeVita, Health-Ade, REED'S, Revive Kombucha, Rowdy Mermaid Kombucha, Tazo Tea</t>
  </si>
  <si>
    <t>Manufacturer of organic soda based drinks. The company specializes in manufacturing various flavors of organic healthy drinks.</t>
  </si>
  <si>
    <t>healthy drinks, kombucha, organic soda</t>
  </si>
  <si>
    <t>livesoda.com</t>
  </si>
  <si>
    <t>126385-21P</t>
  </si>
  <si>
    <t>Andrew Gentile</t>
  </si>
  <si>
    <t>andrew.gentile@drinklive.com</t>
  </si>
  <si>
    <t>+1 (512) 888-9959</t>
  </si>
  <si>
    <t>4020 South Industrial Drive</t>
  </si>
  <si>
    <t>Suite 133</t>
  </si>
  <si>
    <t>78744</t>
  </si>
  <si>
    <t>info@livesoda.com</t>
  </si>
  <si>
    <t>The company raised $2 million of angel funding from Boulder Investment Group Reprise and other undisclosed investors on January 26, 2016.</t>
  </si>
  <si>
    <t>119164-24</t>
  </si>
  <si>
    <t>LiquidSky Software</t>
  </si>
  <si>
    <t>Developer of a gaming platform designed to provide dynamic, interactive, cross-device and compute-intensive digital user experiences. The company's platform offers a cloud-based application, enabling users to play or access any heavy graphics game or media content without having the minimum hardware required.</t>
  </si>
  <si>
    <t>cloud gaming, cloud-based gaming platform, gaming platform, media streaming, multiplayer gaming</t>
  </si>
  <si>
    <t>www.liquidsky.com</t>
  </si>
  <si>
    <t>2016: 11, 2017: 35</t>
  </si>
  <si>
    <t>105267-70P</t>
  </si>
  <si>
    <t>Ian McLoughlin</t>
  </si>
  <si>
    <t>ian@liquidsky.tv</t>
  </si>
  <si>
    <t>+1 (914) 589-6917</t>
  </si>
  <si>
    <t>315 West 36th Street</t>
  </si>
  <si>
    <t>jason@liquidsky.com</t>
  </si>
  <si>
    <t>The company raised $3.5 million of seed funding in a deal led by Samsung NEXT Ventures and William Raduchel on September 27, 2016, putting the company's pre-money valuation at $13 million. Brand Building Ventures and other undisclosed investors also participated in the round. Of the total amount, $2 million was raised via debt financing. The funding will be used by the company to scale and grow its infrastructure.</t>
  </si>
  <si>
    <t>Brand Building Ventures, Samsung NEXT Ventures, William Raduchel</t>
  </si>
  <si>
    <t>Brand Building Ventures(www.brandbuildingventures.com), Samsung NEXT Ventures(www.samsungnext.com)</t>
  </si>
  <si>
    <t>112924-99</t>
  </si>
  <si>
    <t>Liquid I.V.</t>
  </si>
  <si>
    <t>Aduna, Kuli Kuli, Sunfood Superfoods, Amazing Grass, Aloha</t>
  </si>
  <si>
    <t>Provider of hydration beverage products created to defeat global dehydration. The company's hydration products deliver water and other key nutrients directly to the bloodstream for faster more efficient hydration than water alone and better absorption of nutrients through the use of Cellular Transport Technology (CTT), providing consumers with a beverage to combat the negative effects of dehydration caused by intense physical exertion, active lifestyles, jet lag, and even alcohol consumption.</t>
  </si>
  <si>
    <t>hydration beverages, hydration product</t>
  </si>
  <si>
    <t>www.liquid-iv.com</t>
  </si>
  <si>
    <t>2016: 5, 2018: 20</t>
  </si>
  <si>
    <t>130083-13P</t>
  </si>
  <si>
    <t>Brandin Cohen</t>
  </si>
  <si>
    <t>brandin@liquid-iv.com</t>
  </si>
  <si>
    <t>+1 (310) 922-7366</t>
  </si>
  <si>
    <t>4136 Del Rey Avenue</t>
  </si>
  <si>
    <t>+1 (855) 386-4021</t>
  </si>
  <si>
    <t>info@liquid-iv.com</t>
  </si>
  <si>
    <t>The company raised $5 million of Series B venture funding in a deal led by CircleUp Network on August 28, 2018. TQ Ventures, Kyrre Gørvell-Dahll, Adam Eaton, and Myles Shear also participated in the round. The infusion of capital will be used to fuel continued growth, distribution, product innovation and product awareness.</t>
  </si>
  <si>
    <t>Adam Eaton, CircleUp Network, Kyrre Gørvell-Dahll, LMU CBA Business Incubator, Myles Shear, TQ Ventures</t>
  </si>
  <si>
    <t>CircleUp Network(www.circleup.com), LMU CBA Business Incubator(cba.lmu.edu/academicprogramscenters/centers/fredkiesnercenterforentrepreneurship/businessincubator), TQ Ventures(www.tqventures.com)</t>
  </si>
  <si>
    <t>168862-96</t>
  </si>
  <si>
    <t>Linkedsee</t>
  </si>
  <si>
    <t>Developer of intelligent monitoring tools for large enterprises to help optimize their IT infrastructures. The company utilizes technologies such as advanced cloud computing and big data, enabling companies to enjoy efficient operation and maintenance capabilities.</t>
  </si>
  <si>
    <t>cloud computing product, it services, operations and maintenance, operations and maintenance services</t>
  </si>
  <si>
    <t>www.linkedsee.com</t>
  </si>
  <si>
    <t>Room 305, Building 3, No. 18, Ziyue Road</t>
  </si>
  <si>
    <t>+86 (0)10 8414 8522</t>
  </si>
  <si>
    <t>The company raised RMB 50 million of Series A+ venture funding led by Baidu Capita and Redpoint Ventures on February 6, 2018. WI Harper Group, Red Dot Ventures and Junlian Venture Capital also participated in this round.</t>
  </si>
  <si>
    <t>Baidu Ventures, Legend Capital, Red Dot Ventures, Redpoint Ventures, Ren Xuyang, WI Harper Group</t>
  </si>
  <si>
    <t>Baidu Ventures(www.bv.ai), Legend Capital(www.legendcapital.com.cn), Red Dot Ventures(www.reddotventures.com), Redpoint Ventures(www.redpoint.com), WI Harper Group(www.wiharper.com)</t>
  </si>
  <si>
    <t>Tianshan Energy Capital Partners(Advisor: General)</t>
  </si>
  <si>
    <t>267108-58</t>
  </si>
  <si>
    <t>Linctex Digital</t>
  </si>
  <si>
    <t>Linctex</t>
  </si>
  <si>
    <t>Provider of digitized fashion retail solutions designed to enhance consumer's online shopping experience. The company produces both hardware and software products such as advanced virtual apparel try-on and 3D body scanning using machine learning &amp; deep learning, enabling consumers to enjoy customized, true to fit clothing recommendations without the hassle of traveling to a physical store.</t>
  </si>
  <si>
    <t>Business/Productivity Software*, Other Hardware</t>
  </si>
  <si>
    <t>body scanning, deep learning, digital fashion application, ecommerce, fashion retail service, machine learning, online shopping, retail solutions, virtual try-on</t>
  </si>
  <si>
    <t>www.linctex.com</t>
  </si>
  <si>
    <t>204404-50P</t>
  </si>
  <si>
    <t>Chen Liu</t>
  </si>
  <si>
    <t>Chairman &amp; Founder</t>
  </si>
  <si>
    <t>chen.liu@linctex.com</t>
  </si>
  <si>
    <t>+86 (0)21 6145 0488</t>
  </si>
  <si>
    <t>13F, Building G</t>
  </si>
  <si>
    <t>No. 7001 Zhongchun Road, Minghang District</t>
  </si>
  <si>
    <t>200331</t>
  </si>
  <si>
    <t>Baidu Ventures, IDG Capital, Vision Capital (China), Yinxinggu Capital</t>
  </si>
  <si>
    <t>Baidu Ventures(www.bv.ai), IDG Capital(en.idgcapital.com), Vision Capital (China)(www.vplus.vc), Yinxinggu Capital(www.yxgzb.com)</t>
  </si>
  <si>
    <t>66208-60</t>
  </si>
  <si>
    <t>Limelight Health</t>
  </si>
  <si>
    <t>Limelight</t>
  </si>
  <si>
    <t>Web Benefits Design, EaseCentral, Businessolver, Paycom Software, Zenefits, Collage, BambooHR, Justworks, ebenefit Marketplace, Guidewire Software, Namely, PlanSource Benefits Administration, Vertafore, EXIGIS, Insurance Technologies, Maxwell Health, Paylocity, Cornerstone OnDemand, Gusto, Flock (HR Service), Internet Pipeline, Employee Navigator, Benefit Technology Resources, Automatic Data Processing, Benefex, PayScale, bswift, Quotit</t>
  </si>
  <si>
    <t>Provider of cloud-based enterprise software designed to re-imagine the employee benefits quoting experience. The company's software offers a range of microservices that are highly configurable for business needs including quoting, rating, proposal generation, renewals, automated processing for pre-sales, underwriting, enrollment support, data analysis, among others, enabling enterprise agencies and insurance agents to shorten sales cycles, improve turnaround time and increase profit.</t>
  </si>
  <si>
    <t>HR Tech, InsurTech, Mobile, SaaS, TMT</t>
  </si>
  <si>
    <t>employee benefit technology, employee benefits facility, enterprise technology, process streamline, quote platform, quote technology, sales optimization technology, underwriting platform</t>
  </si>
  <si>
    <t>www.limelighthealth.com</t>
  </si>
  <si>
    <t>2017: 30, 2019: 110</t>
  </si>
  <si>
    <t>82078-75P</t>
  </si>
  <si>
    <t>Jason Andrew</t>
  </si>
  <si>
    <t>jason@limelighthealth.com</t>
  </si>
  <si>
    <t>+1 (877) 897-5005</t>
  </si>
  <si>
    <t>1275 Mission Street</t>
  </si>
  <si>
    <t>info@limelighthealth.com</t>
  </si>
  <si>
    <t>The company raised $33.5 million of Series C venture funding in a deal led by Principal Financial Group on January 17, 2019, putting the company's pre-money valuation at $50 million. MassMutual Ventures, Aflac Ventures, Transamerica Ventures, AXA Venture Partners, Launchpad Digital Health, Wanxiang Healthcare Investments and Wells Fargo Capital Finance also participated in this round. The funds will be used by the company for product development, customer acquisition, global expansion and hiring efforts.</t>
  </si>
  <si>
    <t>Aflac Ventures, AXA Venture Partners, Launchpad Digital Health, MassMutual Ventures, Plug and Play Tech Center, Portag3 Ventures, Principal Financial Group, Shasta Angels, Transamerica Ventures, Vet-Tech Accelerator, Wanxiang Healthcare Investments, Wells Fargo Capital Finance</t>
  </si>
  <si>
    <t>Aflac Ventures(www.aflacventures.com), AXA Venture Partners(www.axavp.com), Launchpad Digital Health(www.launchpdh.com), MassMutual Ventures(www.massmutualventures.com), Plug and Play Tech Center(www.plugandplaytechcenter.com), Portag3 Ventures(www.p3vc.com), Principal Financial Group(www.principal.com), Shasta Angels(www.shastaangels.com), Transamerica Ventures(www.transamericaventures.com), Vet-Tech Accelerator(www.vet-tech.us), Wanxiang Healthcare Investments(wanxianghealthcare.com), Wells Fargo Capital Finance(www.wellsfargocapitalfinance.com)</t>
  </si>
  <si>
    <t>White Summers Caffee &amp; James(Legal Advisor)</t>
  </si>
  <si>
    <t>178355-08</t>
  </si>
  <si>
    <t>Lime</t>
  </si>
  <si>
    <t>LimeBike</t>
  </si>
  <si>
    <t>Bird, Jump Bikes, Mobike, Ofo, Hellobike, Zagster, Bluegogo, Spin (Electric Scooter Sharing), Grin scooter, Neuron Mobility, Skip, Motivate International, Scoot and Ride</t>
  </si>
  <si>
    <t>Developer of a bike sharing platform designed to change the way people travel within blocks. The company's platform helps to locate a bike and use it by scanning its QR code with smartphones to unlock the bike, enabling users to access faster, smarter and affordable ways to get around.</t>
  </si>
  <si>
    <t>Micro-Mobility, Mobile, Ridesharing, TMT</t>
  </si>
  <si>
    <t>bikes renting platform, bikes sharing, car shares, coupons, cycle rent, cycling platform, green transportation, internet marketplace, local discovery, scooter shares, sharing economy</t>
  </si>
  <si>
    <t>www.li.me</t>
  </si>
  <si>
    <t>2017: 50, 2018: 500</t>
  </si>
  <si>
    <t>114993-37P</t>
  </si>
  <si>
    <t>Toby Sun</t>
  </si>
  <si>
    <t>toby.sun@limebike.com</t>
  </si>
  <si>
    <t>+1 (888) 546-3345</t>
  </si>
  <si>
    <t>2121 South El Camino Real</t>
  </si>
  <si>
    <t>94403</t>
  </si>
  <si>
    <t>contact@li.me</t>
  </si>
  <si>
    <t>The company raised $310 million of Series D venture funding in a deal led by GV, IVP, Andreessen Horowitz, Bain Capital Ventures and Fidelity Management &amp; Research on February 6, 2019, putting the company's pre-money valuation at $2 billion. Alphabet, FJ Labs, Bling Capital, GR Capital, DCM Ventures, GGV Capital, Trousdale Ventures, Fifth Wall Ventures, Coatue Management, GIC Private, GSV Capital, SharesPost and other undisclosed investors also participated in the round. The funding will be used for expansion in new markets, technology enhancements and investments in rider safety and city collaboration.</t>
  </si>
  <si>
    <t>All Iron Ventures, Alpha Venture Partners, Alphabet, AME Cloud Ventures, Andreessen Horowitz, Ascolta Ventures, ATEL Capital Group, Atomico, Bain Capital Ventures, Basis Set Ventures, Bling Capital, BMW i Ventures, Coatue Management, DCM Ventures, Decent Capital, Digital Horizon Capital, Fidelity Management &amp; Research, Fifth Wall Ventures, FJ Labs, Franklin Templeton Investments, Free Wu, Gang Wang, GGV Capital, GIC Private, GR Capital, Green Bay Ventures, GSV Capital, GV, IDG Capital, Immersion Ventures, IMO Ventures, IVP, Liqing Zeng, Meritech Capital Partners, Moving Capital, NGP Capital, Rainbow Technologies, Section 32, SharesPost, SignalFire, SkyDeck (Berkeley), Stanford University Venture Fund, StartX, The Durant Company, Trousdale Ventures, Uber, UpHonest Capital</t>
  </si>
  <si>
    <t>All Iron Ventures(www.alliron.vc), Alpha Venture Partners(www.alphavp.com), Alphabet(www.abc.xyz), AME Cloud Ventures(www.amecloudventures.com), Andreessen Horowitz(www.a16z.com), Ascolta Ventures(www.ascoltavc.com), ATEL Capital Group(www.atel.com), Atomico(www.atomico.com), Bain Capital Ventures(www.baincapitalventures.com), Basis Set Ventures(www.basisset.ventures), Bling Capital(www.blingcap.com), BMW i Ventures(www.bmwiventures.com), Coatue Management(www.coatue.com), DCM Ventures(www.dcm.com), Decent Capital(www.decentcapital.com), Digital Horizon Capital(www.dh.vc), Fifth Wall Ventures(www.fifthwall.vc), FJ Labs(www.fjlabs.com), Franklin Templeton Investments(www.franklinresources.com), GGV Capital(www.ggvc.com), GIC Private(www.gic.com.sg), GR Capital(www.gr.capital), Green Bay Ventures(www.greenbayventures.com), GSV Capital(www.gsvcap.com), GV(www.gv.com), IDG Capital(en.idgcapital.com), Immersion Ventures(www.immersion.vc), IMO Ventures(www.imo.vc), IVP(www.ivp.com), Meritech Capital Partners(www.meritechcapital.com), NGP Capital(www.ngpcap.com), Rainbow Technologies(www.rainbowtech.net), Section 32(www.section32.com), SharesPost(www.sharespost.com), SignalFire(www.signalfire.com), SkyDeck (Berkeley)(skydeck.berkeley.edu), StartX(www.startx.com), Trousdale Ventures(www.trousdalevc.com), Uber(www.uber.com), UpHonest Capital(www.uphonestcapital.com)</t>
  </si>
  <si>
    <t>FutureEngine(Consulting), Medora Ventures(Consulting)</t>
  </si>
  <si>
    <t>53914-60</t>
  </si>
  <si>
    <t>LightSail Energy</t>
  </si>
  <si>
    <t>Apex Compressed Air Energy, Sun Catalytix, OneEnergy Renewables, Primus Power, Eos Energy Storage, Ecoult, EnergyNest, ViZn Energy Systems, Vionx Energy, Green Charge Networks, UniEnergy Technologies, Leyden Energy, Ambri, IMEPOWER, WavElectric, Corvus Energy, Greensmith Energy, Younicos, Aquion Energy, Direct Energy</t>
  </si>
  <si>
    <t>Developer of energy storage systems designed to use compressed air for grid scale energy storage technology. The company's energy storage systems change focus from a vehicle based technology to modernizing the electrical grid world-wide and help to deliver on demand solar and wind energy, enabling clients to get low cost and efficient energy storage options.</t>
  </si>
  <si>
    <t>Energy Infrastructure, Energy Storage*, Other Energy Services</t>
  </si>
  <si>
    <t>compressed air energy, grid scale energy, mechanical energy storage, solar energy, wind energy</t>
  </si>
  <si>
    <t>www.lightsailenergy.com</t>
  </si>
  <si>
    <t>2014: 46, 2015: 39, 2016: 27</t>
  </si>
  <si>
    <t>40308-22P</t>
  </si>
  <si>
    <t>Steve Crane</t>
  </si>
  <si>
    <t>scrane@lightsailenergy.com</t>
  </si>
  <si>
    <t>+1 (510) 981-8088</t>
  </si>
  <si>
    <t>914 Heinz Avenue</t>
  </si>
  <si>
    <t>+1 (510) 981-8286</t>
  </si>
  <si>
    <t>contact@lightsailenergy.com</t>
  </si>
  <si>
    <t>The company raised $9.61 million of venture funding from TriplePoint Capital and other undisclosed investors.</t>
  </si>
  <si>
    <t>California Energy Commission, Founders Fund, Innovacorp, Khosla Ventures, OS Fund, Peter Thiel, Total Energy Ventures, TriplePoint Capital, William Gates</t>
  </si>
  <si>
    <t>California Energy Commission(www.energy.ca.gov), Founders Fund(www.foundersfund.com), Innovacorp(www.innovacorp.ca), Khosla Ventures(www.khoslaventures.com), OS Fund(www.osfund.co), TriplePoint Capital(www.triplepointcapital.com)</t>
  </si>
  <si>
    <t>Gunderson Dettmer(Legal Advisor), Hobbs &amp; Towne(Consulting)</t>
  </si>
  <si>
    <t>56551-24</t>
  </si>
  <si>
    <t>LightPointe Communications</t>
  </si>
  <si>
    <t>LightPointe</t>
  </si>
  <si>
    <t>BridgeWave Communications, Ruckus Wireless, Star2Star Communications, Nokia Networks, AOptix, Philips Broadband Networks, Ceragon Networks</t>
  </si>
  <si>
    <t>Operator of a free-space optics technology intended to offer wireless Gigabit capacity bridges. The company's technology offers optical wireless products for point-to-point connectivity, transmission of data, voice and video traffic, network backup and redundancy, radios and bridges, disaster recovery services and temporary services, enabling clients to avail efficient optical wireless products.</t>
  </si>
  <si>
    <t>capacity bridges, disaster recovery, free-space optics technology, mobile wireless, optical wireless product</t>
  </si>
  <si>
    <t>www.lightpointe.com</t>
  </si>
  <si>
    <t>48653-29P</t>
  </si>
  <si>
    <t>Heinz Willebrand</t>
  </si>
  <si>
    <t>hwillebrand@lightpointe.com</t>
  </si>
  <si>
    <t>+1 (858) 863-0337</t>
  </si>
  <si>
    <t>11696 Sorrento Valley Road</t>
  </si>
  <si>
    <t>+1 (858) 430-3458</t>
  </si>
  <si>
    <t>The company filed for Chapter 11 bankruptcy on May 1, 2008.</t>
  </si>
  <si>
    <t>Berg &amp; Berg Enterprises</t>
  </si>
  <si>
    <t>Ampersand Capital Partners, Cisco Investments, CIV, Huawei Technologies Company, Rho Ventures, Sevin Rosen Funds, Telecom Partners</t>
  </si>
  <si>
    <t>Ampersand Capital Partners(www.ampersandcapital.com), Cisco Investments(www.ciscoinvestments.com), Huawei Technologies Company(www.huawei.com), Rho Ventures(www.rhoventures.com), Sevin Rosen Funds(www.srfundstest.com), Telecom Partners(www.telecompartners.com)</t>
  </si>
  <si>
    <t>GATX/MM Venture Finance Partnership(Debt Financing), Silicon Valley Bank(Debt Financing)</t>
  </si>
  <si>
    <t>225236-89</t>
  </si>
  <si>
    <t>Lightelligence</t>
  </si>
  <si>
    <t>Developer of photonic circuits designed to speed up information processing. The company's circuits use artificial intelligence and nascent technology which uses photons rather than electrons to transmit signals, enabling users to transmit information quickly and offer significantly lower latency and higher throughput than standard electronic circuits.</t>
  </si>
  <si>
    <t>Connectivity Products*, Other Information Technology</t>
  </si>
  <si>
    <t>ai accelerator, ai circuit, high performance computing, integrated photonics, optical computing, photonics circuit, semiconductor devices</t>
  </si>
  <si>
    <t>www.lightelligence.ai</t>
  </si>
  <si>
    <t>2018: 16, 2019: 20</t>
  </si>
  <si>
    <t>179147-17P</t>
  </si>
  <si>
    <t>Paul Xie</t>
  </si>
  <si>
    <t>paul@lightelligence.ai</t>
  </si>
  <si>
    <t>268 Summer Street</t>
  </si>
  <si>
    <t>info@lightelligence.ai</t>
  </si>
  <si>
    <t>The company raised $10.7 million of Series A venture funding in a deal led by Baidu Ventures on February 2, 2018. MindWorks Ventures and ZhenFund also participated in the round.</t>
  </si>
  <si>
    <t>Baidu Ventures, MindWorks Ventures, ZhenFund</t>
  </si>
  <si>
    <t>Baidu Ventures(www.bv.ai), MindWorks Ventures(www.mindworks.vc), ZhenFund(www.zhenfund.com)</t>
  </si>
  <si>
    <t>Fish &amp; Richardson(Legal Advisor), Latham &amp; Watkins(Legal Advisor)</t>
  </si>
  <si>
    <t>233868-25</t>
  </si>
  <si>
    <t>Lightbits Labs</t>
  </si>
  <si>
    <t>ioFabric, Qumulo, Scality, VMware, Pure Storage, Nutanix, E8 Storage, StorPool, Micro Focus, Infinio Systems, NGD Systems, TIBCO Software, NetApp, Dell EMC, X-IO Storage</t>
  </si>
  <si>
    <t>Developer of a NVMe/TCP storage solution designed to reinvent the way storage and networking are conducted in cloud data centers. The company's storage solutions disaggregate compute and storage, providing private clouds and datacenters the performance of local SSDs with the hyper-scalability of public clouds.</t>
  </si>
  <si>
    <t>computer software service, data center storage, software solutions, ssd technology, storage services</t>
  </si>
  <si>
    <t>www.lightbitslabs.com</t>
  </si>
  <si>
    <t>2019: 70</t>
  </si>
  <si>
    <t>202525-21P</t>
  </si>
  <si>
    <t>Miki Avni</t>
  </si>
  <si>
    <t>miki@lightbitslabs.com</t>
  </si>
  <si>
    <t>1830 The Alameda</t>
  </si>
  <si>
    <t>95126</t>
  </si>
  <si>
    <t>info@lightbitslabs.com</t>
  </si>
  <si>
    <t>The company raised $50 million of Series A venture funding in a deal led by Dell EMC on March 12, 2019. Cisco Investments, Micron Ventures, Square Peg Capital, Walden International, WRV Capital and other undisclosed investors also participated in the round. The funds will be used by the company to find a solution to the perennial underutilization problem.</t>
  </si>
  <si>
    <t>Cisco Investments, Dell EMC, Micron Ventures, Square Peg Capital, Walden International, WRV Capital</t>
  </si>
  <si>
    <t>Cisco Investments(www.ciscoinvestments.com), Dell EMC(www.dellemc.com), Square Peg Capital(www.squarepegcap.com), Walden International(www.waldenintl.com), WRV Capital(www.wrvcapital.com)</t>
  </si>
  <si>
    <t>61699-06</t>
  </si>
  <si>
    <t>Light Table</t>
  </si>
  <si>
    <t>Provider of an integrated development environment (IDE) designed for code editing. The company's IDE is easily customizable, provides inline evaluation, provides plugins to extend capabilities, and other features, helping developers write code easily and efficiently.</t>
  </si>
  <si>
    <t>coding development tools, computer programming, ide, ide software, instant execution, integrated development environment, software development</t>
  </si>
  <si>
    <t>www.lighttable.com</t>
  </si>
  <si>
    <t>62364-34P</t>
  </si>
  <si>
    <t>Robert Attorri</t>
  </si>
  <si>
    <t>rob@lighttable.com</t>
  </si>
  <si>
    <t>chris@lighttable.com</t>
  </si>
  <si>
    <t>The company raised $2.3 million in a combination of Series AA and Series AA-1 funding from Andreessen Horowitz on October 2, 2014, putting the company's pre-money valuation at $10 million. Sam Altman, Tom Pinckney, Salesforce Ventures, Sep Kamvar and Zubair Quraishi also participated in the round. The funding will be used to bring the company's new project, Eve, into reality.</t>
  </si>
  <si>
    <t>Aaron Iba, Andreessen Horowitz, Heavybit, Salesforce Ventures, Sam Altman, Sep Kamvar, Tom Pinckney, Y Combinator, Zubair Quraishi</t>
  </si>
  <si>
    <t>Aaron Iba(aaroniba.net), Andreessen Horowitz(www.a16z.com), Heavybit(www.heavybit.com), Y Combinator(www.ycombinator.com)</t>
  </si>
  <si>
    <t>65647-18</t>
  </si>
  <si>
    <t>Life is Tech</t>
  </si>
  <si>
    <t>Provider of a boot camp program for elementary and junior high school students. The company offers an IT and programming camp designed for children to improve their coding skills and creativity through the learning of technologies such as iPhone or Android applications.</t>
  </si>
  <si>
    <t>boots camp, coding skills, education management</t>
  </si>
  <si>
    <t>lifeistech.co.jp</t>
  </si>
  <si>
    <t>2016: 24</t>
  </si>
  <si>
    <t>77763-79P</t>
  </si>
  <si>
    <t>Yusuke Mizuno</t>
  </si>
  <si>
    <t>Chief Executive Officer &amp; Represenative Director</t>
  </si>
  <si>
    <t>mizuno@lifeistech.com</t>
  </si>
  <si>
    <t>Minami Azabu 2-12-3 Minami-Azabu</t>
  </si>
  <si>
    <t>1F, Minato-ku</t>
  </si>
  <si>
    <t>106-0047</t>
  </si>
  <si>
    <t>info@lifeistech.org</t>
  </si>
  <si>
    <t>The company raised venture funding from ITOCHU Technology Ventures on an undisclosed date.</t>
  </si>
  <si>
    <t>CyberAgent Capital, DeNA, Dentsu Innovation Partners, East Ventures, ITOCHU Technology Ventures, Jafco, Kcj Group, Mistletoe, Recruit Strategic Partners</t>
  </si>
  <si>
    <t>CyberAgent Capital(www.cyberagentcapital.com), DeNA(www.dena.com), Dentsu Innovation Partners(www.dentsu-ip.co.jp), East Ventures(east.vc), ITOCHU Technology Ventures(www.techv.co.jp), Jafco(www.jafco.co.jp), Mistletoe(www.mistletoe.co), Recruit Strategic Partners(recruitstrategicpartners.com)</t>
  </si>
  <si>
    <t>228505-15</t>
  </si>
  <si>
    <t>Life House</t>
  </si>
  <si>
    <t>Operator of a vertically integrated, modern lifestyle hotel management, development and technology company. The company's technology platform features a social network for guests to meet each other prior to arrival, and is powered with a proprietary booking experience, enabling travelers to stay in boutique hotels at an affordable price point.</t>
  </si>
  <si>
    <t>Hotels and Resorts</t>
  </si>
  <si>
    <t>Hotels and Resorts*, Leisure Facilities</t>
  </si>
  <si>
    <t>boutique hotel operator, hotel chain, lifestyle boutique hotel, lifestyle branding, lifestyle hotel, lifestyle hotel company</t>
  </si>
  <si>
    <t>www.lifehousehotels.com</t>
  </si>
  <si>
    <t>185198-32P</t>
  </si>
  <si>
    <t>Rami Zeidan</t>
  </si>
  <si>
    <t>rami@friends.life-house.com</t>
  </si>
  <si>
    <t>222 Broadway Avenue</t>
  </si>
  <si>
    <t>contact@life-house.com</t>
  </si>
  <si>
    <t>The company raised an estimated $30.5 million of venture funding from Comcast Ventures, Global Founders Capital and Trinity Ventures on an undisclosed date. Henley Investments also participated in the round. Previously, the company raised $37.2 million of Series A, real estate capital and debt funding led by Global Founders Capital and Henley Investments in February 2018, putting the company's pre-money valuation at $22.8 million. Other undisclosed investors also participated in this round. The funding will be used to accelerate the development of its lifestyle boutique hotel product and proprietary technology platform.</t>
  </si>
  <si>
    <t>Comcast Ventures, Global Founders Capital, Henley Investments, Trinity Ventures</t>
  </si>
  <si>
    <t>Comcast Ventures(www.comcastventures.com), Global Founders Capital(www.globalfounders.vc), Henley Investments(www.henleyinvestments.com), Trinity Ventures(www.trinityventures.com)</t>
  </si>
  <si>
    <t>Cooley(Legal Advisor), Henley Investments(Debt Financing)</t>
  </si>
  <si>
    <t>169931-17</t>
  </si>
  <si>
    <t>LevelTen Energy</t>
  </si>
  <si>
    <t>LevelTen</t>
  </si>
  <si>
    <t>Drift</t>
  </si>
  <si>
    <t>Developer of a renewable energy transaction platform designed to connect corporate and institutional power buyers to offsite projects. The company's platform connects corporate and industrial power buyers to the universe of power purchase agreements from utility-scale wind, solar and storage projects, enabling customers to access financial security of fixed-price renewables, economic benefits of at-scale projects, portfolio advantages of geographic as well as resource diversity and analysis of respected wholesale market experts.</t>
  </si>
  <si>
    <t>Energy Traders and Brokers</t>
  </si>
  <si>
    <t>Business/Productivity Software, Energy Traders and Brokers*</t>
  </si>
  <si>
    <t>energy marketplace, energy portfolio, nonconventional energy marketplace, renewable energy marketplace, renewable energy rfps, renewable energy transactions platform, renewable procurement process, resources diversity, two-sided energy market, two-sided market</t>
  </si>
  <si>
    <t>www.leveltenenergy.com</t>
  </si>
  <si>
    <t>Deal (New) Early Stage VC (Series B), 2019|Completed, Promotion (New) Bryce Smith, Founder, Chief Executive Officer &amp; Board Member, News (New) , Filing (New) , Competitor (New) Drift</t>
  </si>
  <si>
    <t>77116-33P</t>
  </si>
  <si>
    <t>Bryce Smith</t>
  </si>
  <si>
    <t>bryce@leveltenenergy.com</t>
  </si>
  <si>
    <t>+1 (800) 995-2152</t>
  </si>
  <si>
    <t>1341 North Northlake Way</t>
  </si>
  <si>
    <t>info@leveltenenergy.com</t>
  </si>
  <si>
    <t>The company raised $20.5 million of Series B venture funding in a deal led by Prelude Ventures on June 3, 2019, putting the company's pre-money valuation at $105 million. Constellation Technology Ventures, Equinor, Totality Ventures, E8, Founders' Co-op, Wireframe Ventures, Techstars and Avista Development also participated in the round. The funds will be used by the company to expand its product suite in North America and Europe, open its platform to new channel providers, and grow the company's workforce.</t>
  </si>
  <si>
    <t>Avista Development, Constellation Technology Ventures, E8, Equinor, Founders' Co-op, Prelude Ventures, Techstars, Totality Ventures, Wireframe Ventures</t>
  </si>
  <si>
    <t>Constellation Technology Ventures(www.technologyventures.constellation.com), E8(www.e8angels.com), Equinor(www.equinor.com), Founders' Co-op(www.founderscoop.com), Prelude Ventures(www.preludeventures.com), Techstars(www.techstars.com), Totality Ventures(www.totality-ventures.com), Wireframe Ventures(www.wireframevc.com)</t>
  </si>
  <si>
    <t>55499-68</t>
  </si>
  <si>
    <t>LevelEleven</t>
  </si>
  <si>
    <t>Ambition Solutions, Compgun, Obero SPM, Optymyze, Velocify, Callidus Software, Base (Sales Platform), InsideView, BetterWorks, SaleSIM, InsideSales.com, AchieveIt, 7Geese, ConnectAndSell, Plecto, CloudApps, Sparta (Sweden), Hoopla Software</t>
  </si>
  <si>
    <t>Provider of sales activity management system. The company provides software tools that helps companies increase the capacity of their sales teams by creating real-time visibility into day-to-day performance, predicting when performance is out of line and telling salespeople and sales leaders what to do about it.</t>
  </si>
  <si>
    <t>business planning, sales activities management, sales gamification, sales performance, strategic planning</t>
  </si>
  <si>
    <t>www.leveleleven.com</t>
  </si>
  <si>
    <t>2012: 9, 2013: 30, 2014: 26, 2015: 33, 2016: 54</t>
  </si>
  <si>
    <t>43944-13P</t>
  </si>
  <si>
    <t>Robert Marsh</t>
  </si>
  <si>
    <t>Chief Executive Officer, Founder &amp; Director</t>
  </si>
  <si>
    <t>bob@leveleleven.com</t>
  </si>
  <si>
    <t>+1 (313) 662-2000</t>
  </si>
  <si>
    <t>1520 Woodward Avenue</t>
  </si>
  <si>
    <t>48226</t>
  </si>
  <si>
    <t>The company received an undisclosed amount of development capital from The Ascent Group on August 22, 2016. The funding will provide financial stability so the company can continue to progress in the emerging sales activity management category.</t>
  </si>
  <si>
    <t>Blossom Street Ventures, Cahoots Holdings, CKM Capital Partners, Dallas Angel Network, Daniel Gilbert, Detroit Venture Partners, Douglas Chait, Fifth Avenue Family Office, Gary Shiffman, HelloWorld, Mashburn Justice Capital Partners, NCT Ventures, Rock Ventures, Salesforce Ventures, Tamiami Angel Funds, The Ascent Group, Tim Kopp</t>
  </si>
  <si>
    <t>Hyde Park Venture Partners, Invest Detroit Ventures</t>
  </si>
  <si>
    <t>Blossom Street Ventures(www.blossomstreetventures.com), CKM Capital Partners(ckmcap.com), Dallas Angel Network(www.dallasangelnetwork.com), Detroit Venture Partners(www.detroit.vc), Fifth Avenue Family Office(www.fifthavenuefamily.com), HelloWorld(www.helloworld.com), NCT Ventures(www.nctventures.com), Rock Ventures(www.rockventures.com), Tamiami Angel Funds(www.tamiamiangels.com), The Ascent Group(www.ascentgroupmi.com)</t>
  </si>
  <si>
    <t>Hyde Park Venture Partners(www.hydeparkvp.com)</t>
  </si>
  <si>
    <t>170948-80</t>
  </si>
  <si>
    <t>LeoLabs</t>
  </si>
  <si>
    <t>LEO</t>
  </si>
  <si>
    <t>Provider of low Earth orbit mapping and Space Situational Awareness (SSA) services designed to track space debris and prevent collisions in low Earth orbit (LEO). The company's services leverage radar technology originally developed as part of research within SRI International to investigate the Earth's ionosphere as well as includes rapid orbit determination, early operational support and ongoing conjunction awareness, enabling commercial satellite operators, government regulatory and space agencies to deploy their services safely and to empower government space entities with detailed visibility of the LEO ecosystem.</t>
  </si>
  <si>
    <t>Other Commercial Services*, Other Communications and Networking</t>
  </si>
  <si>
    <t>Industrials, Infrastructure, Space Technology, TMT</t>
  </si>
  <si>
    <t>array radar, debris tracking service, radar monitoring, satellite protection, satellite tracking, space debris, tracking as a service</t>
  </si>
  <si>
    <t>www.leolabs.space</t>
  </si>
  <si>
    <t>2017: 8, 2018: 15</t>
  </si>
  <si>
    <t>157874-05P</t>
  </si>
  <si>
    <t>Daniel Ceperley</t>
  </si>
  <si>
    <t>dan@leolabs.space</t>
  </si>
  <si>
    <t>PO Box 998</t>
  </si>
  <si>
    <t>94026</t>
  </si>
  <si>
    <t>info@leolabs.space</t>
  </si>
  <si>
    <t>The company raised $13 million through a combination of Series A1 and Series A2 venture funding in a deal led by Airbus Ventures and WERU Investment on July 26, 2018, putting the company's pre-money valuation at $20 million. Horizons Ventures, Seraphim Capital, Marc Bell Capital Partners, Space Angels, and Space Capital also participated in the round. With this funding, the company will expand its network of next-generation radars for tracking small debris and satellites in low Earth orbit (LEO), and accelerate development of its ground-breaking LEO mapping and SSA platform.</t>
  </si>
  <si>
    <t>Airbus Ventures, Hemisphere Ventures, Horizons Ventures, Marc Bell Capital Partners, Seraphim Capital, Space Angels, Space Capital, SRI Ventures, WERU Investment</t>
  </si>
  <si>
    <t>Airbus Ventures(www.airbusventures.vc), Hemisphere Ventures(www.hemisphere.com), Horizons Ventures(www.horizonsventures.com), Marc Bell Capital Partners(www.marcbell.com), Seraphim Capital(www.seraphimcapital.co.uk), Space Angels(www.spaceangels.com), WERU Investment(www.weruinvest.com)</t>
  </si>
  <si>
    <t>51413-68</t>
  </si>
  <si>
    <t>LensVector</t>
  </si>
  <si>
    <t>Developer of a technology designed to allow light shaping and control from a mobile device. The company's technology has developed right-sized drivers and beam control applications, enabling lighting manufacturers to easily upgrade their products.</t>
  </si>
  <si>
    <t>Application Software, Electronics (B2C)*, Fiberoptic Equipment</t>
  </si>
  <si>
    <t>autofocus device, camera phone, focus lenses, laptops camera, miniature camera, optical components, video camcorder</t>
  </si>
  <si>
    <t>www.lensvector.com</t>
  </si>
  <si>
    <t>2007: 35, 2008: 35, 2009: 35, 2010: 35, 2014: 37, 2015: 51, 2016: 51</t>
  </si>
  <si>
    <t>89026-75P</t>
  </si>
  <si>
    <t>Tigran Galstian</t>
  </si>
  <si>
    <t>t.galstian@lensvector.com</t>
  </si>
  <si>
    <t>+1 (408) 542-0300</t>
  </si>
  <si>
    <t>6203 San Ignacio Avenue</t>
  </si>
  <si>
    <t>Suite Number 110</t>
  </si>
  <si>
    <t>+1 (669) 247-5095</t>
  </si>
  <si>
    <t>info@lensvector.com</t>
  </si>
  <si>
    <t>The company raised $500,000 of convertible debt financing from undisclosed investors on December 11, 2015. Previously, the company raised $19.93 million of Series C venture funding from Vencore Capital and other undisclosed investors on July 16, 2015, putting the company's pre-money valuation at $45.39 million.</t>
  </si>
  <si>
    <t>Vencore Capital</t>
  </si>
  <si>
    <t>Foxconn Technology Group, Harbor Pacific Capital, In-Q-Tel, IVP, Kodak Venture Group, Menlo Ventures, Mitsui Global Investment, Samsung Venture Investment, Silicon Valley Bank, TransLink Capital, UMC Capital</t>
  </si>
  <si>
    <t>Vencore Capital(www.vencorecapital.com)</t>
  </si>
  <si>
    <t>Foxconn Technology Group(www.foxconn.com/index_En.html), In-Q-Tel(www.iqt.org), IVP(www.ivp.com), Menlo Ventures(www.menlovc.com), Mitsui Global Investment(www.mitsui-global.com), Samsung Venture Investment(www.samsungventures.com), Silicon Valley Bank(www.svb.com), TransLink Capital(www.translinkcapital.com), UMC Capital(www.umccapital.com)</t>
  </si>
  <si>
    <t>DLA Piper(Legal Advisor), Doty Barlow Britt &amp; Thieman(Legal Advisor)</t>
  </si>
  <si>
    <t>DLA Piper(Legal Advisor), Doty Barlow Britt &amp; Thieman(Legal Advisor), Point Financial(Debt Financing), Trinity Capital Investment(Debt Financing), Woodside Capital Partners(Advisor: General)</t>
  </si>
  <si>
    <t>51606-64</t>
  </si>
  <si>
    <t>Lendio</t>
  </si>
  <si>
    <t>Funding Universe</t>
  </si>
  <si>
    <t>Camino Financial, CoinTribe, Prosper, LendingClub, Lendingkart, Fairassets Technologies, Flexiloans, Rubique, Capital Float, IndiaLends, LoanTap, Dealstruck, Fundera, CredoLab, MoneyTap (Consumer Credit Application), NerdWallet, OnDeck, Credit Sesame, Crowdcube, Funding Circle</t>
  </si>
  <si>
    <t>Developer of a financial application designed to offer online loan service. The company's application offers a platform for connecting small-business owners with active banks, credit unions and other lending sources, enabling start-ups and small size organization to get funding for their growth.</t>
  </si>
  <si>
    <t>Consumer Finance*, Financial Software, Social/Platform Software</t>
  </si>
  <si>
    <t>business loans, credit service, lending platform</t>
  </si>
  <si>
    <t>www.lendio.com</t>
  </si>
  <si>
    <t>2015: 125</t>
  </si>
  <si>
    <t>36626-59P</t>
  </si>
  <si>
    <t>Brock Blake</t>
  </si>
  <si>
    <t>brock@lendio.com</t>
  </si>
  <si>
    <t>+1 (855) 853-6346</t>
  </si>
  <si>
    <t>South Jordan, UT</t>
  </si>
  <si>
    <t>10235 South Jordan Gateway</t>
  </si>
  <si>
    <t>South Jordan</t>
  </si>
  <si>
    <t>84095</t>
  </si>
  <si>
    <t>info@lendio.com</t>
  </si>
  <si>
    <t>The company raised $19 million of Series D funding in a deal co-led by Comcast Ventures and Stereo Capital on October 1, 2016, putting the pre-money valuation at $65.6 million. Napier Park, Blumberg Capital, Coffin Capital &amp; Ventures, Tribeca Venture Partners, Pivot Investment Partners and North Hill Ventures also participated in the round. The funds will be used to accelerate the company's growth through marketing, sales and brand awareness for millions of small business owners across the U.S.</t>
  </si>
  <si>
    <t>Alan Hall, Blumberg Capital, Brian Hirsch, Brian McLoughlin, Coffin Capital &amp; Ventures, Comcast Ventures, Highway 12 Ventures, InnoVentures Capital Partners, Island Park Investments, Joshua James, Mark Madsen, Napier Park Financial Partners, Napier Park Global Capital, North Hill Ventures, Paul Allen, Peak Ventures, Pivot Investment Partners, Runa Capital, Stereo Capital, Tribeca Venture Partners</t>
  </si>
  <si>
    <t>Alan Hall(www.alanehall.com), Blumberg Capital(www.blumbergcapital.com), Coffin Capital &amp; Ventures(www.coffincapitalandventures.com), Comcast Ventures(www.comcastventures.com), Highway 12 Ventures(www.highway12ventures.com), InnoVentures Capital Partners(www.innoventurescapitalpartners.com), Island Park Investments(www.islandparkinvestments.com), Joshua James(www.joshjames.com), Napier Park Global Capital(www.napierparkglobal.com), North Hill Ventures(www.northhillventures.com), Peak Ventures(www.peakventures.vc), Pivot Investment Partners(www.pivotinvestment.com), Runa Capital(www.runacap.com), Stereo Capital(www.stereocap.vc), Tribeca Venture Partners(www.tribecavp.com)</t>
  </si>
  <si>
    <t>Gunderson Dettmer(Legal Advisor), Holland &amp; Hart(Legal Advisor), Square 1 Bank(Debt Financing)</t>
  </si>
  <si>
    <t>65294-56</t>
  </si>
  <si>
    <t>Leman Micro Devices</t>
  </si>
  <si>
    <t>LMD</t>
  </si>
  <si>
    <t>Developer of miniature sensor device designed to monitor the health of the users. The company's devices can be connected to a smartphone and it help to measure blood pressure, pulse rate, temperature, respiration rate and oxygen levels in blood accurately, enabling users to monitor their health without any painful method.</t>
  </si>
  <si>
    <t>blood pressure measurement, health monitor, micro device, miniature device, monitoring device, pulses rated measurement</t>
  </si>
  <si>
    <t>www.leman-micro.com</t>
  </si>
  <si>
    <t>73745-83P</t>
  </si>
  <si>
    <t>Mark Jones</t>
  </si>
  <si>
    <t>mej@leman-micro.com</t>
  </si>
  <si>
    <t>Lausanne, Switzerland</t>
  </si>
  <si>
    <t>EPFL Innovation Park</t>
  </si>
  <si>
    <t>Building I</t>
  </si>
  <si>
    <t>Lausanne</t>
  </si>
  <si>
    <t>1015</t>
  </si>
  <si>
    <t>The company raised an undisclosed amount of Series B venture funding from Heptagon and Samsung Electronics on January 8, 2014.</t>
  </si>
  <si>
    <t>EPFL Innovation Park, Gebrüder Mende, Heptagon, Samsung Catalyst, StartAngels Network, Venture Kick, Zühlke Ventures</t>
  </si>
  <si>
    <t>EPFL Innovation Park(www.epfl-innovationpark.ch), Gebrüder Mende(www.mende.de), Heptagon(www.hptg.com), Samsung Catalyst(www.samsungcatalyst.com), StartAngels Network(www.startangels.ch), Venture Kick(www.venturekick.ch), Zühlke Ventures(www.zuehlke.com)</t>
  </si>
  <si>
    <t>234109-27</t>
  </si>
  <si>
    <t>LegalMation</t>
  </si>
  <si>
    <t>LTLW</t>
  </si>
  <si>
    <t>Owner and operator of a software development firm intended to provide automation of legal works through various software. The company's platform utilizes artificial intelligence, allows to upload various documents, selects preferable areas of practice and performs a detailed analysis of complaint or discovery request with minimal time, enabling lawyers to draft legal documents and also provide a detailed product ready information.</t>
  </si>
  <si>
    <t>law data, legal data analysis, legal information, legal software, software development</t>
  </si>
  <si>
    <t>www.legalmation.com</t>
  </si>
  <si>
    <t>195715-09P</t>
  </si>
  <si>
    <t>James Lee</t>
  </si>
  <si>
    <t>+1 (888) 219-7239</t>
  </si>
  <si>
    <t>2 Park Plaza</t>
  </si>
  <si>
    <t>Suite 480</t>
  </si>
  <si>
    <t>92614</t>
  </si>
  <si>
    <t>demo@legalmation.com</t>
  </si>
  <si>
    <t>The company raised $3.47 million of venture funding from Motley Fool Ventures and other undisclosed investors on October 26, 2018.</t>
  </si>
  <si>
    <t>Motley Fool Ventures</t>
  </si>
  <si>
    <t>Motley Fool Ventures(www.foolventures.com)</t>
  </si>
  <si>
    <t>109108-81</t>
  </si>
  <si>
    <t>Ledger (Bitcoin Security)</t>
  </si>
  <si>
    <t>Trezor</t>
  </si>
  <si>
    <t>Developer of security products for cryptocurrencies and blockchains designed to provide a trust layer between the blockchain system and the physical world. The company's line of products for the cryptocurrency and blockchain market include hardware wallets for consumers, server appliances for enterprise and embedded technology for connected objects, which are based on a low-footprint crypto-embedded operating system built for secure elements and secure enclaves which enables full orchestration of code and systems directly from the secure core, enabling secure blockchain applications for enterprises, industrials and consumers.</t>
  </si>
  <si>
    <t>Electronic Equipment and Instruments*, Other Hardware</t>
  </si>
  <si>
    <t>Cryptocurrency/Blockchain, Cybersecurity, FinTech, TMT</t>
  </si>
  <si>
    <t>bitcoin, blockchain security, cyber security, digital blockchain</t>
  </si>
  <si>
    <t>www.ledger.com</t>
  </si>
  <si>
    <t>2017: 62, 2018: 82, 2019: 200</t>
  </si>
  <si>
    <t>93753-37P</t>
  </si>
  <si>
    <t>Eric Larchevêque</t>
  </si>
  <si>
    <t>Co-Founder and Executive Chairman</t>
  </si>
  <si>
    <t>eric.larcheveque@coinhouse.com</t>
  </si>
  <si>
    <t>+33 (0)1 53 00 92 60</t>
  </si>
  <si>
    <t>1 rue du Mail</t>
  </si>
  <si>
    <t>75002</t>
  </si>
  <si>
    <t>+33 (0)9 67 30 01 71</t>
  </si>
  <si>
    <t>The company raised EUR 2.6 million of venture funding from Samsung Venture Investment on April 25, 2019.</t>
  </si>
  <si>
    <t>Alain Tingaud Innovations, Allianz Startups Accelerator, BHB Network, Boost VC, Bpifrance, CapHorn Invest, Cathay Innovation, Digital Currency Group, Draper Associates, Draper Dragon, Draper Esprit, Draper Venture Network, FirstMark Capital, Fred Potter, GDTRE, Hi-Pay, Kima Ventures, Korelya Capital, Libertus Capital, MAIF Avenir, Nicolas Pinto, Samsung Venture Investment, Siparex Group, The Whittemore Collection, Thibaut Faurès Fustel de Coulanges, Wicklow Capital, XAnge Private Equity</t>
  </si>
  <si>
    <t>Alain Tingaud Innovations(www.alaintingaud-innovations.com), Boost VC(www.boost.vc), Bpifrance(www.bpifrance.fr), CapHorn Invest(www.caphorninvest.com), Cathay Innovation(www.cathayinnovation.com), Digital Currency Group(www.dcg.co), Draper Associates(www.draper.vc), Draper Dragon(www.draperdragon.com), Draper Esprit(www.draperesprit.com), Draper Venture Network(www.drapernetwork.com), FirstMark Capital(www.firstmarkcap.com), Kima Ventures(www.kimaventures.com), Korelya Capital(www.korelyacapital.com), Libertus Capital(www.libertuscapital.com), MAIF Avenir(www.maif-avenir.fr), Samsung Venture Investment(www.samsungventures.com), Siparex Group(www.siparex.com), The Whittemore Collection(www.whittemorecollection.com), XAnge Private Equity(www.xange.fr)</t>
  </si>
  <si>
    <t>56377-18</t>
  </si>
  <si>
    <t>Learnship</t>
  </si>
  <si>
    <t>Speexx, EF, GlobalEnglish, Learnlight Software, Lingo Live, Chronus, Linguarama International Group, Shaw Academy, Auralog, Duolingo</t>
  </si>
  <si>
    <t>Provider of SaaS-based online enterprise language training services intended to effectively improve the language skills of employees. The company's digital learning offers face-to-face foreign language training in a virtual classroom with dedicated trainers, that are cost-efficient for companies and flexible for learners, enabling employees to learn exactly what they need for their everyday working life, helping them to unleash their full potential.</t>
  </si>
  <si>
    <t>Education and Training Services (B2B)*, Educational Software</t>
  </si>
  <si>
    <t>EdTech, SaaS, TMT</t>
  </si>
  <si>
    <t>corporate language training, enterprise language training, foreign language training, language training service, learning management system, online language training</t>
  </si>
  <si>
    <t>www.learnship.de</t>
  </si>
  <si>
    <t>2014: 87, 2017: 180, 2018: 200</t>
  </si>
  <si>
    <t>47914-30P</t>
  </si>
  <si>
    <t>Sushel Bijganath</t>
  </si>
  <si>
    <t>sushel.bijganath@learnship.de</t>
  </si>
  <si>
    <t>+49 (0)22 1130 6282 0</t>
  </si>
  <si>
    <t>Köln, Germany</t>
  </si>
  <si>
    <t>Weinsbergstraße 190</t>
  </si>
  <si>
    <t>Köln</t>
  </si>
  <si>
    <t>50825</t>
  </si>
  <si>
    <t>info@learnship.com</t>
  </si>
  <si>
    <t>The company was acquired by THI Investments through an EUR 10 million LBO on January 18, 2018. The investment helped the company to accelerate its expansion plans to grow its full-service language training solutions around the globe.</t>
  </si>
  <si>
    <t>Capnamic Ventures, THI Investments</t>
  </si>
  <si>
    <t>Bertelsmann Digital Media Investments, Dumont Venture, Evoco (Zurich)</t>
  </si>
  <si>
    <t>Capnamic Ventures(www.capnamic.com), THI Investments(thi-investments.com)</t>
  </si>
  <si>
    <t>Bertelsmann Digital Media Investments(www.bdmifund.com), Evoco (Zurich)(www.evocope.com)</t>
  </si>
  <si>
    <t>Clipperton Finance(Advisor: General)</t>
  </si>
  <si>
    <t>ACXIT Capital Partners(Advisor: General)</t>
  </si>
  <si>
    <t>99423-28</t>
  </si>
  <si>
    <t>League</t>
  </si>
  <si>
    <t>WellRight, Jiff, Accolade, Spring Rain Software, Collective Health, hCentive, Oscar, Maxwell Health, Zenefits</t>
  </si>
  <si>
    <t>Provider of a health and wellness platform designed to empower people to live healthier and happier lives. The company's platform offers health benefits that brings together health insurance, spending accounts and workplace health services all through a digital platform, enabling employers to manage their health easily.</t>
  </si>
  <si>
    <t>Application Software*, Other Healthcare, Social/Platform Software</t>
  </si>
  <si>
    <t>FinTech, HR Tech, InsurTech, TMT</t>
  </si>
  <si>
    <t>digital health platform, employee engagement, group benefits, group health planning, health and wellness platform, health application, health benefits, health insurance, insurtech</t>
  </si>
  <si>
    <t>www.league.com</t>
  </si>
  <si>
    <t>2014: 4, 2015: 25, 2016: 60, 2017: 130</t>
  </si>
  <si>
    <t>39100-42P</t>
  </si>
  <si>
    <t>Michael Serbinis</t>
  </si>
  <si>
    <t>mike@league.com</t>
  </si>
  <si>
    <t>+1 (437) 222-5555</t>
  </si>
  <si>
    <t>MaRS Discovery District</t>
  </si>
  <si>
    <t>661 University Avenue, Suite 1220</t>
  </si>
  <si>
    <t>M5G 1M1</t>
  </si>
  <si>
    <t>help@league.com</t>
  </si>
  <si>
    <t>The company raised CAD 62 million of Series B venture funding in a deal led by TELUS Ventures and Wittington Investments on July 24, 2018. RBC Ventures, Infinite Potential Group, OMERS Ventures, and BDC Capital IT Venture Fund also participated in the round. The company intends to use the funds to open offices in San Francisco, New York and London with operations to begin in the United Kingdom and European Union in the next year.</t>
  </si>
  <si>
    <t>BDC Capital, BDC Capital IT Venture Fund, Foundation Capital, Infinite Potential Group, Jean-Sebastien Cournoyer, Manulife Financial, OMERS Ventures, Plug and Play Tech Center, Portag3 Ventures, Power Financial, Quantum Valley Investments, RBC Ventures, Real Ventures, Royal Bank of Canada, TELUS Ventures, Wittington Investments</t>
  </si>
  <si>
    <t>Foundation Capital(www.foundationcapital.com), Manulife Financial(manulife.com), OMERS Ventures(www.omersventures.com), Plug and Play Tech Center(www.plugandplaytechcenter.com), Portag3 Ventures(www.p3vc.com), Power Financial(www.powerfinancial.com), Quantum Valley Investments(www.quantumvalleyinvestments.com), RBC Ventures(www.rbcventures.ca), Real Ventures(www.realventures.com), Royal Bank of Canada(www.rbc.com), TELUS Ventures(ventures.telus.com), Wittington Investments(www.wittington-investments.co.uk)</t>
  </si>
  <si>
    <t>KPMG(Auditor), MaRS Discovery District(Advisor: General), Royal Bank of Canada(General Business Banking), Torys(Legal Advisor)</t>
  </si>
  <si>
    <t>Torys(Legal Advisor)</t>
  </si>
  <si>
    <t>55483-48</t>
  </si>
  <si>
    <t>LeadSift</t>
  </si>
  <si>
    <t>Bottlenose, Shareablee, Sprinklr, Sprout Social, Hootsuite, Socialbakers, Celtra, NUVI, quintly, Brand Embassy, Meltwater, Simply Measured, Zignal Labs, Opal (Marketing), Percolate, Facelift Cloud, Kapost, Tracx, ApexDrop, Brand Networks, Brandwatch, Tailwind (Marketing Platform), Nanigans, TrackMaven, Contently, HG Insights, Spredfast, DataFox, BehaviorMatrix, Medallia, Kenshoo, NewsCred, Crisp Mobile, Socialmetrix, Talkwalker, Unmetric, LeadGenius, Crimson Hexagon, Clearbit, ScribbleLive, NetBase, Dynamic Signal, Bynder, Dun &amp; Bradstreet NetProspex, Owler, Medialets, ListenFirst Media, Union Metrics Software, Synthesio, Livefyre</t>
  </si>
  <si>
    <t>Developer of an intent data mining platform. The company's platform develops social media based lead sales technology which analyzes chatter from popular social media streams and turns the data into targeted local leads for sales, enabling businesses to organizations identify and reach their customers in the buying journey.</t>
  </si>
  <si>
    <t>AdTech, Big Data, TMT</t>
  </si>
  <si>
    <t>business led identification, innovative software platform, led generation, social data mining, social media data</t>
  </si>
  <si>
    <t>www.leadsift.com</t>
  </si>
  <si>
    <t>2015: 14</t>
  </si>
  <si>
    <t>43882-30P</t>
  </si>
  <si>
    <t>Tapajyoti Das</t>
  </si>
  <si>
    <t>tdas@leadsift.com</t>
  </si>
  <si>
    <t>+1 (888) 808-8348</t>
  </si>
  <si>
    <t>1668 Barrington Street</t>
  </si>
  <si>
    <t>B3J 2A2</t>
  </si>
  <si>
    <t>hello@leadsift.com</t>
  </si>
  <si>
    <t>The company raised an undisclosed amount of venture funding from Innovacorp, OMERS Ventures and Salesforce Ventures on June 16, 2015. Previously, the company raised $388,176 of venture funding from undisclosed investors on December 22, 2014.</t>
  </si>
  <si>
    <t>C100 Association, Canadian Technology Accelerator, Dan Martell, Daniel Debow, East Valley Ventures, Innovacorp, Jevon MacDonald, OMERS Ventures, Patrick Hankinson, Permjot Valia, PropelICT, Salesforce Ventures</t>
  </si>
  <si>
    <t>C100 Association(www.thec100.org), Canadian Technology Accelerator(www.ctaconnects.com), Dan Martell(www.danmartell.com), East Valley Ventures(www.eastvalleyventures.com), Innovacorp(www.innovacorp.ca), OMERS Ventures(www.omersventures.com), PropelICT(www.propelict.com)</t>
  </si>
  <si>
    <t>54998-56</t>
  </si>
  <si>
    <t>LeadGenius</t>
  </si>
  <si>
    <t>MobileWorks</t>
  </si>
  <si>
    <t>CavalryHQ, HG Insights, FRONTLINE Selling, Showpad, Salesify, Outreach, MomentFeed, Radius (Database Software), Pipedrive, Insightly, ClearSlide, Lever (Recruitment Software), LeadCrunch, Moz, MonsterConnect, Aberdeen Group, ReviewTrackers, GrowthGenius, Zuberance, Agile CRM, Base (Sales Platform), InsideView, DiscoverOrg, BrandMaker, InsideSales.com, Hatchbuck, Velocify, Chatmeter</t>
  </si>
  <si>
    <t>Developer of an end-to-end sales software designed to offer lead data at scale to organizations. The company's software helps data experts to conduct ongoing research to automatically supply teams with accurate contact information and hard-to-acquire data points, enabling clients to generate high lead value and promote sales for their organization.</t>
  </si>
  <si>
    <t>Impact Investing, Marketing Tech, TMT</t>
  </si>
  <si>
    <t>impact investing vertical, led enrichment, led generation, marketing automation, sales acceleration, sales software</t>
  </si>
  <si>
    <t>www.leadgenius.com</t>
  </si>
  <si>
    <t>66726-37P</t>
  </si>
  <si>
    <t>Mark Godley</t>
  </si>
  <si>
    <t>mark@leadgenius.com</t>
  </si>
  <si>
    <t>+1 (888) 866-3775</t>
  </si>
  <si>
    <t>2054 University Avenue</t>
  </si>
  <si>
    <t>info@leadgenius.com</t>
  </si>
  <si>
    <t>The company received $4 million of debt financing in the form of a senior debt from Bridge Bank on August 20, 2018.</t>
  </si>
  <si>
    <t>500 Startups, Aaron Harris, Aaron Levie, Alan Braverman, Andreessen Horowitz, AngelList, Bee Partners, Better Ventures, ChinaRock Capital Management, David McClure, David Sacks, First Light Capital, FUEL Capital, FundersClub, Garry Tan, Initialized Capital Management, Jason Calacanis, Javelin Venture Partners, Joshua Baer, Jun LI, Justin Darcy, Kapor Capital, Launch fund, Lumia Capital, Maiden Lane, Pascal Capital, Paul Buchheit, Paul Holliman, Recruit Strategic Partners, Ross Baird, Sam Altman, Scott Banister, Scrum Ventures, Sierra Ventures, SJF Ventures, Start Fund, Sumit Gupta, SV Angel, Timothy Suzman, Village Capital, Y Combinator, ZenStone Venture Capital, Zillionize</t>
  </si>
  <si>
    <t>500 Startups(www.500.co), Aaron Harris(www.tutorspree.com), Alan Braverman(alanb.com), Andreessen Horowitz(www.a16z.com), AngelList(www.angel.co), Bee Partners(www.beepartners.vc), Better Ventures(www.better.vc), ChinaRock Capital Management(www.crcm.com), David McClure(www.davemcclure.com), First Light Capital(www.firstlightcapital.com), FUEL Capital(www.fuelcapital.com), FundersClub(www.fundersclub.com), Initialized Capital Management(www.initialized.com), Jason Calacanis(www.calacanis.com), Javelin Venture Partners(www.javelinvp.com), Kapor Capital(www.kaporcapital.com), Launch fund(www.launch.co), Lumia Capital(www.lumiacapital.com), Maiden Lane(www.maidenlane.com), Pascal Capital(www.pascalcap.com), Recruit Strategic Partners(recruitstrategicpartners.com), Scrum Ventures(www.scrum.vc), Sierra Ventures(www.sierraventures.com), SJF Ventures(www.sjfventures.com), SV Angel(www.svangel.com), Village Capital(www.vilcap.com), Y Combinator(www.ycombinator.com), ZenStone Venture Capital(www.zenstonevc.com), Zillionize(www.zillionize.com)</t>
  </si>
  <si>
    <t>Goodwin(Legal Advisor), Montgomery &amp; Company(Advisor: General)</t>
  </si>
  <si>
    <t>Bridge Bank(Debt Financing), Goodwin(Legal Advisor)</t>
  </si>
  <si>
    <t>59019-58</t>
  </si>
  <si>
    <t>Layer</t>
  </si>
  <si>
    <t>Phone.ly</t>
  </si>
  <si>
    <t>Welcome, SendBird, iAdvize, Tropo, Nexmo, MessageBird, VoApps, Vidyo, GupShup, Hipmob, TokBox, Firebase, Hyphenate, ValueFirst, Airship, Cequens, Shine, Infobip, Conversocial, Clique, VSee, Open Market, Applozic, Twilio, Solutions Infini Technologies India, Sinch, QuickBlox</t>
  </si>
  <si>
    <t>Developer of a fully-branded conversation and communication platform created to provide real-time messaging user experiences. The company's platform collaborates customers through all stages of the customer life-cycle by synchronizing their conversations across mobile, web, email and voice channels, enabling businesses to connect with their customers both through their products and in the customer's preferred mobile-first experience.</t>
  </si>
  <si>
    <t>Marketing Tech, Mobile</t>
  </si>
  <si>
    <t>friendly messaging toolkit, message communication, open communication platform, real time messaging, video calling, voice calling</t>
  </si>
  <si>
    <t>www.layer.com</t>
  </si>
  <si>
    <t>2013: 18, 2014: 33, 2015: 55, 2016: 81, 2018: 50</t>
  </si>
  <si>
    <t>43746-76P</t>
  </si>
  <si>
    <t>Ron Palmeri</t>
  </si>
  <si>
    <t>ron@layer.com</t>
  </si>
  <si>
    <t>hello@layer.com</t>
  </si>
  <si>
    <t>The company raised $15 million of Series B venture funding in a deal led by Greycroft on December 1, 2016, putting the company's pre-money valuation at $30 million. M12, Salesforce Ventures, SV Angel, AME Cloud Ventures, Promus Ventures, Tuesday Capital, FUEL Capital, Social Discovery Ventures, CME Ventures, Intercap, Upshift Capital, Dream Incubator, Plug, Recruit Strategic Partners and Play Tech Center and other undisclosed investors also participated in the round. The company will use this funding to continue the development of products and the acquisition of customers.</t>
  </si>
  <si>
    <t>Aaron Patzer, Adrian Aoun, AME Cloud Ventures, Anthem Venture Partners, Ashvin Patel, Bloomberg Beta, Brian Mesic, CME Ventures, Data Collective, Disrupt SF, Dream Incubator, e.ventures, FUEL Capital, Garnett Ventures, Gordon Rubenstein, Greycroft, Homebrew, Intercap, M12, MkII Ventures, Morado Venture Partners, Pacific Partners, Plug and Play Tech Center, Promus Ventures, Recruit Strategic Partners, Salesforce Ventures, Social Discovery Ventures, SV Angel, Tuesday Capital, Upshift Capital, Zhiyuan Yang</t>
  </si>
  <si>
    <t>AME Cloud Ventures(www.amecloudventures.com), Anthem Venture Partners(www.anthemvp.com), Bloomberg Beta(www.bloombergbeta.com), Data Collective(www.dcvc.com), Dream Incubator(www.dreamincubator.co.jp), e.ventures(www.eventures.vc), FUEL Capital(www.fuelcapital.com), Garnett Ventures(www.garnettventures.bislr.com), Greycroft(www.greycroft.com), Homebrew(www.homebrew.co), Intercap(www.intercap.com), M12(www.m12.vc), MkII Ventures(www.mkiiventures.com), Morado Venture Partners(www.moradoventures.com), Pacific Partners(www.pacificpartnerslp.com), Plug and Play Tech Center(www.plugandplaytechcenter.com), Promus Ventures(www.promusventures.com), Recruit Strategic Partners(recruitstrategicpartners.com), Social Discovery Ventures(www.sdventures.com), SV Angel(www.svangel.com), Tuesday Capital(www.tuesday.vc), Upshift Capital(www.upshiftcapital.com)</t>
  </si>
  <si>
    <t>55167-40</t>
  </si>
  <si>
    <t>Lastline</t>
  </si>
  <si>
    <t>Invincea, PerimeterX, Cyberfend, ShieldSquare, InfiSecure, Iovation, Cloudflare, SecureAuth, DataDome, OverWatchID, Shape Security, Simility, Securonix, Cyphort, Distil Networks, Castle (Network Management Software), Vectra AI, SpyCloud, AnChain.AI, OneLogin, Eclypsium, Signifyd, Cybersprint, ThreatMetrix, Prolexic Technologies, RioRey, Centrify</t>
  </si>
  <si>
    <t>Developer of an enterprise security platform designed to detect and defend advanced malware in network. The company's enterprise security platform defeats advanced malware that can easily evade traditional security products and infiltrate the network and delivers complete visibility of evasive malware by rapidly identifying and responding to malicious behavior before damaging data breaches occur, enabling enterprises to defend against advanced, evasive malware that cause costly data breaches, resulting in saving money and time, while protecting their valuable data and brand reputation.</t>
  </si>
  <si>
    <t>advances malware protection, malware analysis, malware detection, malware protection, secure network</t>
  </si>
  <si>
    <t>www.lastline.com</t>
  </si>
  <si>
    <t>2011: 7, 2014: 51, 2015: 55</t>
  </si>
  <si>
    <t>61286-95P</t>
  </si>
  <si>
    <t>Bert Rankin</t>
  </si>
  <si>
    <t>bert.rankin@lastline.com</t>
  </si>
  <si>
    <t>+1 (877) 671-3239</t>
  </si>
  <si>
    <t>203 Redwood Shores Parkway</t>
  </si>
  <si>
    <t>Suite 620</t>
  </si>
  <si>
    <t>info@lastline.com</t>
  </si>
  <si>
    <t>The company raised $28.5 million of Series C funding in a deal led by Thomvest Ventures on July 11, 2017, putting the pre-money valuation at $85.5 million. Osage University Partners, Redpoint Ventures, Barracuda Networks, NTT Finance and WatchGuard Technologies also participated in the round. The company intends to use the funds to accelerate the their next phase of growth, sales and marketing expansion, to bolster their development organization and to deliver on their vision of breach detection.</t>
  </si>
  <si>
    <t>Barracuda Networks, Dell Technologies Capital, e.ventures, Infinity Ventures, John Petote, NTT Finance, Osage University Partners, Pinnacle Ventures, Presidio Ventures, Redpoint Ventures, Sand Hill East, Thomvest Ventures, WatchGuard Technologies</t>
  </si>
  <si>
    <t>Barracuda Networks(www.barracuda.com), e.ventures(www.eventures.vc), Infinity Ventures(www.infinityventures.com), NTT Finance(www.ntt-finance.co.jp/eng), Osage University Partners(www.oup.vc), Pinnacle Ventures(www.pinnacleven.com), Presidio Ventures(www.presidio-ventures.com), Redpoint Ventures(www.redpoint.com), Sand Hill East(www.sandhilleast.net), Thomvest Ventures(www.thomvest.com), WatchGuard Technologies(www.watchguard.com)</t>
  </si>
  <si>
    <t>Cooley(Legal Advisor), Sand Hill East(Consulting), Stradling Yocca Carlson &amp; Rauth(Legal Advisor)</t>
  </si>
  <si>
    <t>127621-54</t>
  </si>
  <si>
    <t>Landit</t>
  </si>
  <si>
    <t>Developer of a professional career development platform designed to increase the success and engagement of women in workplaces. The company's platform offers tailored playbook that provides the tools, resources, executive coaching and human connections needed for curated skill development and opportunities, enabling women to advance and navigate their career in an effective manner.</t>
  </si>
  <si>
    <t>Educational and Training Services (B2C)*, Human Capital Services</t>
  </si>
  <si>
    <t>career advice, career coaching, career coaching services, career management, career management platform, career strategy, professional coaching services</t>
  </si>
  <si>
    <t>www.landit.com</t>
  </si>
  <si>
    <t>30751-75P</t>
  </si>
  <si>
    <t>Sheila Marcelo</t>
  </si>
  <si>
    <t>Co-Founder and Board Member</t>
  </si>
  <si>
    <t>sheila@care.com</t>
  </si>
  <si>
    <t>+1 (781) 642-5900</t>
  </si>
  <si>
    <t>hello@landit.com</t>
  </si>
  <si>
    <t>The company raised $13 million of Series A venture funding in a deal led by The We Company on February 26, 2019, putting the company's pre-money valuation at $26 million. Workday Ventures, Valo Ventures, GingerBread Capital, Connectivity Ventures Fund, New Enterprise Associates, Cue Ball, Xfund, Female Founders Fund, Wavemaker Partners, Alumni Ventures Group, The Yard Ventures, Costanoa Ventures, Uprising, Sofia Fund and Morgan Stanley also participated in the round. The funds will be used to expand the company's operations and its business reach.</t>
  </si>
  <si>
    <t>Alumni Ventures Group, Connectivity Ventures Fund, Costanoa Ventures, Cue Ball, Female Founders Fund, GingerBread Capital, Morgan Stanley, New Enterprise Associates, Pilot Mountain Ventures, Sofia Fund, The We Company, The Yard Ventures, Uprising, Valo Ventures, Village Capital, Wavemaker Partners, Workday Ventures, Xfund</t>
  </si>
  <si>
    <t>Alumni Ventures Group(www.avgfunds.com), Connectivity Ventures Fund(www.connectivitycapitalpartners.com), Costanoa Ventures(www.costanoavc.com), Cue Ball(www.cueball.com), Female Founders Fund(www.femalefoundersfund.com), GingerBread Capital(www.gingerbreadcap.com), Morgan Stanley(www.morganstanley.com), New Enterprise Associates(www.nea.com), Pilot Mountain Ventures(www.pilotmtventures.com), Sofia Fund(sofiafund.com), The We Company(www.we.co), The Yard Ventures(www.theyardventures.com), Uprising(www.uprising.us), Valo Ventures(www.valoventures.org), Village Capital(www.vilcap.com), Wavemaker Partners(www.wavemaker.vc), Xfund(www.xfund.com)</t>
  </si>
  <si>
    <t>224101-18</t>
  </si>
  <si>
    <t>Landing AI</t>
  </si>
  <si>
    <t>Operator of an artificial intelligence talent and technology platform intended to transform enterprises into artificial intelligence companies. The company's platform partners with the manufacturing industries to turn artificial intelligence into concrete value and transforms organizations into AI enterprises to develop a wide range of AI transformation programs, from the introduction of new technologies to operational processes to talent strategy, enabling organizations to reshape, structure, offer employee training and more.</t>
  </si>
  <si>
    <t>Business/Productivity Software, Other IT Services*</t>
  </si>
  <si>
    <t>ai technology, ai transformation, artificial intelligence, artificial intelligence transformation, talent and technology platform, talent strategy</t>
  </si>
  <si>
    <t>www.landing.ai</t>
  </si>
  <si>
    <t>2019: 50</t>
  </si>
  <si>
    <t>40954-06P</t>
  </si>
  <si>
    <t>Andrew Ng</t>
  </si>
  <si>
    <t>ng@landing.ai</t>
  </si>
  <si>
    <t>2445 Faber Place</t>
  </si>
  <si>
    <t>contact@landing.ai</t>
  </si>
  <si>
    <t>The company raised an undisclosed amount of venture funding from Intel Capital on April 1, 2019.</t>
  </si>
  <si>
    <t>AI Fund, Intel Capital, Samsung Catalyst</t>
  </si>
  <si>
    <t>AI Fund(www.aifund.ai), Intel Capital(www.intelcapital.com), Samsung Catalyst(www.samsungcatalyst.com)</t>
  </si>
  <si>
    <t>155878-48</t>
  </si>
  <si>
    <t>Landed</t>
  </si>
  <si>
    <t>Unison Home Ownership Investors, Patch Homes, Point</t>
  </si>
  <si>
    <t>Provider of real estate investment financing services intended to help people who are in short of funds while purchasing a house. The company offers matching down payment support to home owners who are in need of funds to buy a residential property, enabling users to return the invested amount along with 25% of the appreciation on the sale of the house.</t>
  </si>
  <si>
    <t>down payment, education, educators, home financing, housing finance, matching fund, property financing, real estate finance, real estate financing, real estate funding, shared equity, teacher</t>
  </si>
  <si>
    <t>www.landed.com</t>
  </si>
  <si>
    <t>2019: 20</t>
  </si>
  <si>
    <t>131297-77P</t>
  </si>
  <si>
    <t>Alex Lofton</t>
  </si>
  <si>
    <t>Co-Founder &amp; Head of Growth</t>
  </si>
  <si>
    <t>alex@landed.com</t>
  </si>
  <si>
    <t>Suite 79600</t>
  </si>
  <si>
    <t>hi@landed.com</t>
  </si>
  <si>
    <t>The company raised $7.5 million through the combination of Series A venture funding in a deal led by Initialized Capital Management on April 5, 2019, putting the company's pre-money valuation at $14.5 million. Comcast Ventures, Lowe's Ventures, Clocktower Technology Ventures, S28 Capital, Elefund, Arab Angel, Ulu Ventures, #Angels, OVO Fund and Chan Zuckerberg Initiative also participated in the round. The funds will be used to expand to more cities and serve educators beyond K-12.</t>
  </si>
  <si>
    <t>#Angels, Arab Angel, Chan Zuckerberg Initiative, Clocktower Technology Ventures, Comcast Ventures, Elefund, Initialized Capital Management, Lowe's Ventures, OVO Fund, S28 Capital, Ulu Ventures, Y Combinator</t>
  </si>
  <si>
    <t>#Angels(www.helloangels.co), Arab Angel(www.arabangel.vc), Chan Zuckerberg Initiative(www.chanzuckerberg.com), Clocktower Technology Ventures(www.clocktowerventures.com), Comcast Ventures(www.comcastventures.com), Elefund(www.elefund.com), Initialized Capital Management(www.initialized.com), Lowe's Ventures(www.lowesventures.com), S28 Capital(www.s28capital.com), Ulu Ventures(www.uluventures.com), Y Combinator(www.ycombinator.com)</t>
  </si>
  <si>
    <t>155402-02</t>
  </si>
  <si>
    <t>Lacework</t>
  </si>
  <si>
    <t>Lacework Security</t>
  </si>
  <si>
    <t>Threat Stack, McAfee, Eastwind, Avanan, Niara, Polyverse, AlgoSec, Dome9 Security, BitDefender, Digital Shadows, StackRox, Cloudvisory, Twistlock, RedLock, Aqua Security, Tanium, Evident.IO, Skybox Security, ShiftLeft, Sqrrl, Veracode, Saviynt, ZeroFox, ControlScan, Lumeta, Rapid7, Catbird Networks, CloudLock, Zscaler, Qingteng, Tinfoil Security, Netskope, RiskIQ, Bradford Networks, Managed Methods, CloudSploit, WhiteHat Security, Distil Networks, CloudPassage, Skyhigh Networks, Sentrix, Pulse Secure, Sophos, CipherCloud, CensorNet, Vormetric, Virtela Technology Services, Qualys, PassiveTotal, Cloudneeti, Cloudability</t>
  </si>
  <si>
    <t>Provider of a zero-touch security platform designed to redefine security for the cloud. The company's platform automates every aspect of security, including configuration assessment, behavior monitoring, anomaly and threat detection as well as incident investigation, and allows for continuous monitoring of all cloud components such as workloads, application, processes, containers, machines, users and accounts, enabling security teams to protect data and workloads in the cloud, and maintain continuous compliance.</t>
  </si>
  <si>
    <t>Big Data, Cybersecurity, SaaS</t>
  </si>
  <si>
    <t>aws security, breach detection, cloud security, cyber security platform, devops, insider threat, insider threat detection, investigation analytics</t>
  </si>
  <si>
    <t>www.lacework.com</t>
  </si>
  <si>
    <t>2017: 24, 2018: 50</t>
  </si>
  <si>
    <t>40340-89P</t>
  </si>
  <si>
    <t>Stefan Dyckerhoff</t>
  </si>
  <si>
    <t>sad@lacework.net</t>
  </si>
  <si>
    <t>+1 (888) 497-4531</t>
  </si>
  <si>
    <t>700 East El Camino Real</t>
  </si>
  <si>
    <t>info@lacework.net</t>
  </si>
  <si>
    <t>The company raised $24 million of Series B venture funding in a deal led by Sutter Hill Ventures on August 28, 2018, putting the company's pre-money valuation at $40 million. Liberty Global Ventures, Spike Ventures, Webb Investment Network, AME Cloud Ventures, Strawberry Creek Ventures, The Yard Ventures and Alumni Ventures Group also participated in the round. The company will leverage these funds to facilitate immediate growth in global sales and marketing capabilities and accelerate adoption and deployment of its game-changing security solution which empowers organizations with automated, end-to-end security and compliance for public clouds.</t>
  </si>
  <si>
    <t>Alumni Ventures Group, AME Cloud Ventures, Liberty Global Ventures, Spike Ventures, Strawberry Creek Ventures, Sutter Hill Ventures, The Yard Ventures, Webb Investment Network</t>
  </si>
  <si>
    <t>Alumni Ventures Group(www.avgfunds.com), AME Cloud Ventures(www.amecloudventures.com), Spike Ventures(www.spike-ventures.com), Sutter Hill Ventures(www.shv.com), The Yard Ventures(www.theyardventures.com), Webb Investment Network(www.winfunding.com)</t>
  </si>
  <si>
    <t>Cooley(Legal Advisor), Lumina Communications(Advisor: Communications), Silicon Valley Bank(General Business Banking)</t>
  </si>
  <si>
    <t>55284-22</t>
  </si>
  <si>
    <t>Label Insight</t>
  </si>
  <si>
    <t>EatingSafe, FoodEssentials</t>
  </si>
  <si>
    <t>Ix-One, Syndigo, Spins, ItemMaster, Mintel</t>
  </si>
  <si>
    <t>Developer of a cloud-based product data engine designed to enable CPG brands and retailers to transform basic product data into smart attributes- providing a deep understanding of their product set. The company's technology generates the largest product attribute data set available by capturing and enhancing information on the packaging of food, pet, and personal care products, generating 25,000 attributes, such as nutrients and allergens, per product, enabling customers across many industries to provide greater transparency to consumers, maximize category growth potential, easily participate in industry and government initiatives, and create more connected omni-channel experiences.</t>
  </si>
  <si>
    <t>food labels data, food labels database, nutritional data, nutritional information, product transparency, transparency platform</t>
  </si>
  <si>
    <t>www.labelinsight.com</t>
  </si>
  <si>
    <t>2014: 17, 2018: 130</t>
  </si>
  <si>
    <t>43390-00P</t>
  </si>
  <si>
    <t>Dheeraj Patri</t>
  </si>
  <si>
    <t>Chief Technology Officer &amp; Board Member</t>
  </si>
  <si>
    <t>dpatri@labelinsight.com</t>
  </si>
  <si>
    <t>+1 (888) 787-4386</t>
  </si>
  <si>
    <t>641 West Lake Street</t>
  </si>
  <si>
    <t>Suite 402</t>
  </si>
  <si>
    <t>info@labelinsight.com</t>
  </si>
  <si>
    <t>The company raised $21 million in a combination of Series C and Series C1 venture funding led by Delta-v Capital on December 19, 2017, putting the company's pre-money valuation at $49 million. River Cities Capital Funds and Mercury Fund also participated in the round. The funds will be used to fuel hiring of data science professionals, continue product development and accelerate customer growth. Renaissance Venture Capital Fund also participated in this round.</t>
  </si>
  <si>
    <t>Accelerate St. Louis, Arch Grants, Capital Innovators, Cultivation Capital, Delta-v Capital, dunnhumby Ventures, Holton Capital Group, KPMG Capital, Mercury Fund, Renaissance Venture Capital Fund, River Cities Capital Funds, Serra Ventures, St. Louis Arch Angels, Topco Associates, West Capital Advisors</t>
  </si>
  <si>
    <t>Accelerate St. Louis(www.acceleratestlouis.org), Arch Grants(www.archgrants.org), Capital Innovators(www.capitalinnovators.com), Cultivation Capital(www.cultivationcapital.com), Delta-v Capital(www.deltavcapital.com), Holton Capital Group(www.holtoncapital.com), KPMG Capital(home.kpmg.com/xx/en/home/go-beyond/kpmg-capital.html), Mercury Fund(www.mercuryfund.com), Renaissance Venture Capital Fund(www.renvcf.com), River Cities Capital Funds(www.rccf.com), Serra Ventures(www.serraventures.com), St. Louis Arch Angels(www.stlouisarchangels.com), Topco Associates(www.topco.com), West Capital Advisors(www.westcapadv.com)</t>
  </si>
  <si>
    <t>Baker Tilly Virchow Krause(Auditor), Comerica Bank(General Business Banking), Horwood Marcus &amp; Berk(Legal Advisor), ITEN(Consulting), PeopleFoundry(Consulting), T-REX(Consulting), Walker Sands Communications(Advisor: Communications)</t>
  </si>
  <si>
    <t>PeopleFoundry(Consulting), T-REX(Consulting)</t>
  </si>
  <si>
    <t>233462-53</t>
  </si>
  <si>
    <t>KZen</t>
  </si>
  <si>
    <t>Melonport</t>
  </si>
  <si>
    <t>Developer of a non-custodial digital currency wallet. The company's digital wallets let people buy and sell cryptocurrencies, generate and manage private keys that reduce and fix the problems of security breaches and human error, enabling cryptocurrency traders and investors to manage their digital assets and investment portfolios in a convenient, secure and hassle-free manner.</t>
  </si>
  <si>
    <t>Cryptocurrency/Blockchain, FinTech, Mobile, Mobile Commerce</t>
  </si>
  <si>
    <t>blockchain innovation, cryptocurrency platform, cryptocurrency wallets, digital currency wallets, financial innovation</t>
  </si>
  <si>
    <t>www.kzencorp.com</t>
  </si>
  <si>
    <t>37237-24P</t>
  </si>
  <si>
    <t>Ouriel Ohayon</t>
  </si>
  <si>
    <t>ouriel@kzencorp.com</t>
  </si>
  <si>
    <t>Arania Osvaldo 17</t>
  </si>
  <si>
    <t>6107019</t>
  </si>
  <si>
    <t>contact@kzencorp.com</t>
  </si>
  <si>
    <t>The company raised $4 million of seed funding in a deal led by Benson Oak Ventures on October 2, 2018. BlockNation, Elron Electronic Industries, Samsung NEXT Ventures, FJ Labs, Collider, Jonathan Smith, Pierre Kosciusko Morizet, Jean David Blanc, Henri Moissinac and Frank Smadja also participated in the round.</t>
  </si>
  <si>
    <t>Benson Oak Ventures, BlockNation, Collider Accelerator, Elron Electronic Industries, FJ Labs, Frank Smadja, Henri Moissinac, Jean David Blanc, Jonathan Smith, Pierre Kosciusko Morizet, Samsung NEXT Ventures</t>
  </si>
  <si>
    <t>Benson Oak Ventures(bensonoakventures.com), BlockNation(blocknation.network), Collider Accelerator(www.collider.io), Elron Electronic Industries(www.elron.com), FJ Labs(www.fjlabs.com), Samsung NEXT Ventures(www.samsungnext.com)</t>
  </si>
  <si>
    <t>156665-71</t>
  </si>
  <si>
    <t>Kyulux</t>
  </si>
  <si>
    <t>Developer of hyperfluorescence TADF (Thermally Activated Delayed Fluorescence) emitters intended to be used for organic light-emitting diode (OLED) displays and lighting. The company's hyperfluorescence TADF (Thermally Activated Delayed Fluorescence) emitters are mainly developed on the basis of exclusively-licensed technology, enabling manufactures in the display and lighting industries, to get cost-effective, durable and efficient OLEDs that do not rely on rare metals.</t>
  </si>
  <si>
    <t>Fiberoptic Equipment*</t>
  </si>
  <si>
    <t>hyperfluorescence tadf, led technology, lighting technology, organic light-emitting, thermally activated delayed fluorescence</t>
  </si>
  <si>
    <t>www.kyulux.com</t>
  </si>
  <si>
    <t>132281-47P</t>
  </si>
  <si>
    <t>Akira Minakuchi</t>
  </si>
  <si>
    <t>minakuchi@kyulux.com</t>
  </si>
  <si>
    <t>+81 (0)92 834 9518</t>
  </si>
  <si>
    <t>Fukuoka, Japan</t>
  </si>
  <si>
    <t>Suite 227, Fukuoka Industry-Academia</t>
  </si>
  <si>
    <t>Symphonicity (FiaS) Building 2, 4-1 Kyudai-Shinmachi, Nishi-ku</t>
  </si>
  <si>
    <t>Fukuoka</t>
  </si>
  <si>
    <t>819-0388</t>
  </si>
  <si>
    <t>The company raised $13.5 million of Series A venture funding in a deal led by Samsung Venture Investment on February 25, 2016. Samsung Display, LG Display, Japan Display and Joled Co., Development Bank of Japan, Entrepreneur Aid, Japan Science And Technology Agency, DBJ Capital, MS&amp;AD Insurance Group, Nippon Venture Capital and Real Tech Fund also participated in the round. The funding will be used to further develop TADF technology into the new standard for OLED displays and lighting.</t>
  </si>
  <si>
    <t>DBJ Capital, Development Bank of Japan, Entrepreneur Aid, Japan Display, Japan Science And Technology Agency, Joled Co., Lg Display, MS&amp;AD Insurance Group, Nippon Venture Capital, Real Tech Fund, Samsung Display, Samsung Venture Investment</t>
  </si>
  <si>
    <t>DBJ Capital(www.dbj-cap.jp), Development Bank of Japan(www.dbj.jp), Japan Display(www.j-display.com), Japan Science And Technology Agency(www.jst.go.jp), Joled Co.(www.j-oled.com), Lg Display(www.lgdisplay.com), MS&amp;AD Insurance Group(www.ms-ad-hd.com), Nippon Venture Capital(www.nvcc.co.jp), Real Tech Fund(www.realtech.fund), Samsung Display(www.samsungdisplay.com), Samsung Venture Investment(www.samsungventures.com)</t>
  </si>
  <si>
    <t>52304-14</t>
  </si>
  <si>
    <t>Kyruus</t>
  </si>
  <si>
    <t>Vitals, Phreesia, Influence Health</t>
  </si>
  <si>
    <t>Provider of an information exchange platform designed to help healthcare providers match patients with the best suited doctors. The company's platform helps to search for and facilitate appointments with clinically appropriate and available physicians and advanced practitioners, enabling health organizations to optimize patient-provider matching, improve provider utilization and deliver a consistent patient experience across points of access.</t>
  </si>
  <si>
    <t>Enterprise Systems (Healthcare), Information Services (B2C)*, Other Healthcare Services</t>
  </si>
  <si>
    <t>information exchange platform, information sharing, patient access, patient engagement, patient experience, physician information, referral management</t>
  </si>
  <si>
    <t>www.kyruus.com</t>
  </si>
  <si>
    <t>2013: 34, 2014: 41, 2015: 110, 2018: 140</t>
  </si>
  <si>
    <t>38085-13P</t>
  </si>
  <si>
    <t>Graham Gardner</t>
  </si>
  <si>
    <t>graham@kyruus.com</t>
  </si>
  <si>
    <t>+1 (781) 861-5528</t>
  </si>
  <si>
    <t>222 Berkeley Street</t>
  </si>
  <si>
    <t>info@kyruus.com</t>
  </si>
  <si>
    <t>The company raised $16.99 million of Series C venture funding from McKesson Ventures, Providence Ventures and Leerink Transformation Partners on March 15, 2019. F-Prime Capital Partners, Highland Capital Partners, Venrock, Lux Capital, New Leaf Venture Partners, Salesforce Ventures and other undisclosed investors also participated in the round. The funds will be used to grow the company's product development and delivery teams to support the expansion of its platform, integrations with additional leading players in the digital health ecosystem and ongoing customer success.</t>
  </si>
  <si>
    <t>Edward Park, Eight Roads, F-Prime Capital Partners, Gerson Lehrman Group, Highland Capital Partners, John Goldsmith, Jonathan Bush, Leerink Transformation Partners, Lux Capital, McKesson Ventures, Mercy Health Foundation, New Leaf Venture Partners, Providence Ventures, Salesforce Ventures, Venrock</t>
  </si>
  <si>
    <t>Eight Roads(www.eightroads.com), F-Prime Capital Partners(www.fprimecapital.com), Gerson Lehrman Group(www.glg.it), Highland Capital Partners(www.hcp.com), Leerink Transformation Partners(www.ltpequity.com), Lux Capital(www.luxcapital.com), McKesson Ventures(www.ventures.mckesson.com), Mercy Health Foundation(www.foundation.mercy.com), New Leaf Venture Partners(www.nlvpartners.com), Providence Ventures(www.providenceventures.org), Venrock(www.venrock.com)</t>
  </si>
  <si>
    <t>DLA Piper(Legal Advisor), Kindred Partners(Consulting)</t>
  </si>
  <si>
    <t>51081-58</t>
  </si>
  <si>
    <t>Kyriba</t>
  </si>
  <si>
    <t>Serrala, Calypso Technology, GTreasury, FinancialCAD Corporation, Black Mountain Systems, Reval, BELLIN Treasury International, ION Group, Exalog, FiREapps, Treasury Intelligence Solutions, AccessPay (England), OpenLink Financial, iCapital Network, Delio, FactSet Research Systems, Temenos, Indus Software Technologies, Wave Financial, Traiana, Xero, Allegro Development, Computer Services, e5 Solutions Group, Finastra, The B2 Group, BuyerQuest, Eka, FreeAgent Holdings, Trading Technologies International, FIS</t>
  </si>
  <si>
    <t>Developer of a cloud-based treasury and cash management software designed to help in supply chain finance and risk management operations. The company's treasury and cash management software offers cash positioning, forecasting management, automated general ledger posting, investment portfolio reporting, bank statement collection, bank and ledger reconciliations facilitation services, enabling corporate treasurers and finance teams to make strategic investment decisions and improve financial controls.</t>
  </si>
  <si>
    <t>cash management, dynamic discount, investment portfolio, ledger reconciliation, reverse factoring, risk management, supply chain finance, treasury management, treasury management services, treasury management software</t>
  </si>
  <si>
    <t>www.kyriba.com</t>
  </si>
  <si>
    <t>2013: 200, 2014: 249, 2015: 400, 2016: 400, 2018: 535, 2019: 700</t>
  </si>
  <si>
    <t>38211-58P</t>
  </si>
  <si>
    <t>Fabrice Lévy</t>
  </si>
  <si>
    <t>flevy@kyriba.com</t>
  </si>
  <si>
    <t>+1 (212) 784-5580</t>
  </si>
  <si>
    <t>9620 Towne Centre Drive</t>
  </si>
  <si>
    <t>+1 (858) 210-3560</t>
  </si>
  <si>
    <t>info-usa@kyriba.com</t>
  </si>
  <si>
    <t>Bridgepoint Advisers is in talks to acquire a 75% stake in the company for $160 million on March 22, 2019. The deal values the company at $1.2 billion. With the new capital, the company will enhance product development and customer support, and expand its partner ecosystem.</t>
  </si>
  <si>
    <t>Bridgepoint Advisers, Daher Capital, Iris Capital</t>
  </si>
  <si>
    <t>American Express, Bpifrance, BRED Banque Populaire, Coface Holding, Commerzbank, HSBC Innovation Investments, Mangrove Capital Partners, Mitsubishi UFJ Capital, ORIX Growth Capital, SAS Investors, Seventure Partners, Sumeru Equity Partners, Upfront Ventures</t>
  </si>
  <si>
    <t>Bridgepoint Advisers(www.bridgepoint.eu), Iris Capital(www.iriscapital.com)</t>
  </si>
  <si>
    <t>American Express(www.americanexpress.com), Bpifrance(www.bpifrance.fr), BRED Banque Populaire(www.bred.fr), Coface Holding(www.coface.com), Commerzbank(www.commerzbank.com), Mangrove Capital Partners(www.mangrove.vc), Mitsubishi UFJ Capital(www.mucap.co.jp), SAS Investors(www.sasinvestors.com), Seventure Partners(www.seventure.fr), Sumeru Equity Partners(www.sumeruequity.com), Upfront Ventures(www.upfront.com)</t>
  </si>
  <si>
    <t>Aspen Worldwide(Consulting)</t>
  </si>
  <si>
    <t>55057-87</t>
  </si>
  <si>
    <t>Kymeta</t>
  </si>
  <si>
    <t>Qualcomm, Globalstar, Kumu Networks, Astrocast, ProComm Alaska LLC, Phasor</t>
  </si>
  <si>
    <t>Developer of first-of-a-kind satellite technology designed to provide global connectivity services. The company's first-of-a-kind satellite technology leverages satellite network capacity for high bandwidth communication access while on the move, enabling its clients to keep their boats, planes and cars more connected.</t>
  </si>
  <si>
    <t>Communication Software, Other Communications and Networking, Wireless Communications Equipment*</t>
  </si>
  <si>
    <t>adaptable antenna, communication terminal, electromagnetic radiation, metamaterial, satellite terminal</t>
  </si>
  <si>
    <t>www.kymetacorp.com</t>
  </si>
  <si>
    <t>2012: 40, 2013: 40, 2014: 105, 2015: 101, 2016: 110</t>
  </si>
  <si>
    <t>30924-91P</t>
  </si>
  <si>
    <t>Marc Stolzman</t>
  </si>
  <si>
    <t>Chief Financial Officer &amp; Executive Vice President</t>
  </si>
  <si>
    <t>marcs@kymetacorp.com</t>
  </si>
  <si>
    <t>+1 (425) 896-3700</t>
  </si>
  <si>
    <t>12277 134th Center NorthEast</t>
  </si>
  <si>
    <t>+1 (866) 230-9790</t>
  </si>
  <si>
    <t>info@kymetacorp.com</t>
  </si>
  <si>
    <t>The company raised $73.57 million of Series E funding from lead investor Intelsat on March 29, 2017, putting the pre-money valuation at $350 million. Other undisclosed investors also participated. Previously, the company raised $62 million of Series D venture funding from Bill Gates, Lux Capital and Kresge Foundation on January 11, 2016, putting the company's pre-money valuation at $137 million.</t>
  </si>
  <si>
    <t>Gates Ventures, Intellectual Ventures Management, Intelsat, Liberty Global Ventures, Lux Capital, National Aeronautics and Space Administration, Osage University Partners, SPARX Group Company, Tectonic Ventures, The Kresge Foundation, William Gates</t>
  </si>
  <si>
    <t>Intellectual Ventures Management(www.intellectualventures.com), Intelsat(www.intelsat.com), Lux Capital(www.luxcapital.com), National Aeronautics and Space Administration(www.nasa.gov), Osage University Partners(www.oup.vc), SPARX Group Company(www.sparx.jp), Tectonic Ventures(www.tectonicventures.com), The Kresge Foundation(www.kresge.org)</t>
  </si>
  <si>
    <t>Davis Wright Tremaine(Legal Advisor), Latham &amp; Watkins(Legal Advisor), Perkins Coie(Legal Advisor)</t>
  </si>
  <si>
    <t>55099-63</t>
  </si>
  <si>
    <t>Kyma Technologies</t>
  </si>
  <si>
    <t>Carolina Sputter Solutions</t>
  </si>
  <si>
    <t>Kyma</t>
  </si>
  <si>
    <t>GaN Systems, EpiGaN</t>
  </si>
  <si>
    <t>Supplier of crystalline semiconductor materials designed to promote safety and energy efficiency. The company's crystalline semiconductor materials include variety of photoconductive switches, crystal growth equipment, crystal fabrication equipment, equipment for manufacturing super-abrasive diamond wire and wafers, enabling clients to have long term value of the products.</t>
  </si>
  <si>
    <t>crystal growth, crystalline semiconductor, gallium nitride, semiconductor equipment, semiconductor wafers substrates</t>
  </si>
  <si>
    <t>www.kymatech.com</t>
  </si>
  <si>
    <t>2014: 13, 2016: 12</t>
  </si>
  <si>
    <t>45216-82P</t>
  </si>
  <si>
    <t>Keith Evans</t>
  </si>
  <si>
    <t>keith@kymatech.com</t>
  </si>
  <si>
    <t>+1 (919) 789-8880</t>
  </si>
  <si>
    <t>8829 Midway West Road</t>
  </si>
  <si>
    <t>+1 (919) 789-8881</t>
  </si>
  <si>
    <t>info@kymatech.com</t>
  </si>
  <si>
    <t>The company received an undisclosed amount of debt financing in the form of two separate liens from Banc of California and Pawnee Leasing on August 2, 2016, and November 4, 2016, respectively.</t>
  </si>
  <si>
    <t>Digital Power Capital, Next47, Precision Capital Advisors, United States Department of Defense, Vencore Capital</t>
  </si>
  <si>
    <t>Digital Power Capital(www.digitalpower.com), Next47(Next47.com), Precision Capital Advisors(www.precisioncapital.com), United States Department of Defense(www.defense.gov), Vencore Capital(www.vencorecapital.com)</t>
  </si>
  <si>
    <t>Banc of California(Debt Financing), Key Equipment Finance(Debt Financing), LEAF Commercial Capital(Debt Financing), Pawnee Leasing(Debt Financing)</t>
  </si>
  <si>
    <t>101799-19</t>
  </si>
  <si>
    <t>Kwambio</t>
  </si>
  <si>
    <t>Provider of an on-demand 3D printing marketplace intended to customize and design ceramics. The company's marketplace includes glass-based material that doesn't need to be glazed and fired, enabling clients to get high-quality ceramic objects an affordable price.</t>
  </si>
  <si>
    <t>Building Products, Multimedia and Design Software*, Other Commercial Products</t>
  </si>
  <si>
    <t>3D Printing, Advanced Manufacturing, Mobile, TMT</t>
  </si>
  <si>
    <t>3d marketplace, 3d objects, 3d printing technology, creative community, on demand manufacturing platform</t>
  </si>
  <si>
    <t>www.kwambio.com</t>
  </si>
  <si>
    <t>2015: 8</t>
  </si>
  <si>
    <t>75724-12P</t>
  </si>
  <si>
    <t>Volodymyr Usov</t>
  </si>
  <si>
    <t>usov@kwamb.io</t>
  </si>
  <si>
    <t>unique@kwamb.io</t>
  </si>
  <si>
    <t>The company raised venture funding from Stanley Ventures on December 21, 2018. Earlier, the company joined Techstars as part of the 2018 class on July 16, 2018 and received $120,000 in funding. Out of the total amount, $100,000 was raised in the form of convertible debt.</t>
  </si>
  <si>
    <t>Bantam Group, Clément Cazalot, Empire State Capital Partners, Imperious Group, ImpulseVC, Right Side Capital Management, Stanley Ventures, Techstars, Wanna Biz</t>
  </si>
  <si>
    <t>Bantam Group(www.bantamgroup.com), Empire State Capital Partners(www.empirestatecap.com), Imperious Group(www.imperiousgroup.com), ImpulseVC(www.impulsevc.com), Right Side Capital Management(www.rightsidecapital.com), Stanley Ventures(www.stanleyventures.com), Techstars(www.techstars.com), Wanna Biz(www.wannabiz.com.ua)</t>
  </si>
  <si>
    <t>125506-00</t>
  </si>
  <si>
    <t>Kuyun</t>
  </si>
  <si>
    <t>Provider of consumer data platform for television and media companies. Kuyun combines media and enterprise data with consumer data, enabling TV stations, media production companies, advertising agencies to improve business intelligence in marketing and operations efforts.</t>
  </si>
  <si>
    <t>big data analysis, big data platform, data analysis, data services</t>
  </si>
  <si>
    <t>www.kuyun.com</t>
  </si>
  <si>
    <t>201357-64P</t>
  </si>
  <si>
    <t>Gao Pengcheng</t>
  </si>
  <si>
    <t>pengcheng@kuyun.com</t>
  </si>
  <si>
    <t>+86 (0)10 6590 2688</t>
  </si>
  <si>
    <t>15Floor, Block B, Yonghe Plaza</t>
  </si>
  <si>
    <t>Number 28, Andingmen East Street, Dongcheng District</t>
  </si>
  <si>
    <t>+86 (0)10 6590 1431</t>
  </si>
  <si>
    <t>marketing@kuyun.com</t>
  </si>
  <si>
    <t>The company raised an undisclosed amount of Series D venture funding from Cathay Capital Private Equity, Hongtai Capital Holdings and Keytone Ventures on August 4, 2016. Vickers Venture Partners and Rushan Venture Capital also participated in the round.</t>
  </si>
  <si>
    <t>Baidu Ventures, Cathay Capital Private Equity, CrestValue Capital, Fang Fund Partners, Hongtai Capital Holdings, Keytone Ventures</t>
  </si>
  <si>
    <t>Vickers Venture Partners</t>
  </si>
  <si>
    <t>Baidu Ventures(www.bv.ai), Cathay Capital Private Equity(www.cathay.fr), CrestValue Capital(www.crestvalue.com), Fang Fund Partners(www.fangfund.com), Hongtai Capital Holdings(www.apluscap.com), Keytone Ventures(www.keytonevc.com)</t>
  </si>
  <si>
    <t>Vickers Venture Partners(www.vickersventure.com)</t>
  </si>
  <si>
    <t>126411-40</t>
  </si>
  <si>
    <t>Kustomer</t>
  </si>
  <si>
    <t>Freshworks, Catalyst Software, Nutshell, ChurnZero, Bolstra, Gainsight, SysAid Technologies, Pendo, Customer.io, Salesforce, Zendesk, Groove Networks (Software), Verint Systems, Conversocial, JobDiva, Forethought (Automation/Workflow Software), Salsify, Help Scout, Kayako, Ancile Solutions, Asana, TeamSupport, RedBooth, WalkMe, Bullhorn, Wrike, Akita, Nimble, Marketo, SugarCRM, VanillaSoft, Maximizer Software, Keap (Saas Platform), SAP, Insightly, Totango, Cherwell Software, Appuri, ClientSuccess, Intercom, Aptrinsic, InsideView, Sellsy, Natero, CA Technologies, Basecamp, Avionté, Erecruit Holdings, First Choice Software, UserVoice, Voyager Software - Global Supplier Of Recruitment Software, Infor Global Solutions, Amplitude, Mediarails, Promoter.io, JobScience, Maru/Edr, FullContact, Epicor Software, Olark, ContactEngine, Apptentive, MixPanel, Helpshift, ReplyBuy, TOPdesk, Contactually, SalesLoft, BMC Software, iCIMS, Drift (Business/Productivity Software), SAS Institute, Sprinklr, Servoyant, Act-On, Smartsheet, Pipedrive, Avature USA, Hatchbuck, ClickSoftware Technologies, Velocify</t>
  </si>
  <si>
    <t>Developer of a CRM platform designed to offer proactive customer service and support. The company's platform provides a customer-centric tool that unifies everything that agents and teams need in one place to manage customer relationships and resolve issues, enabling clients to manage their business internally and communicate with customers externally.</t>
  </si>
  <si>
    <t>customer centric platform, customer relationship software, customer service app, flexible data model, platform integration, robust workflow</t>
  </si>
  <si>
    <t>www.kustomer.com</t>
  </si>
  <si>
    <t>News (New) , Competitor (New) FullContact</t>
  </si>
  <si>
    <t>102795-58P</t>
  </si>
  <si>
    <t>Brad Birnbaum</t>
  </si>
  <si>
    <t>brad@kustomer.com</t>
  </si>
  <si>
    <t>+1 (212) 497-1188</t>
  </si>
  <si>
    <t>530 7th Avenue</t>
  </si>
  <si>
    <t>Suite 1601</t>
  </si>
  <si>
    <t>info@kustomer.com</t>
  </si>
  <si>
    <t>The company raised $40 million of Series D venture funding in a deal led by Tiger Global Management on May 29, 2019. Battery Ventures also participated in the round. Previously, the company raised $35 million of Series C venture funding in a deal led by Battery Ventures on January 24, 2019. Cisco Investments, Social Leverage, Boldstart Ventures, Canaan Partners and Redpoint Ventures also participated in the round. The company plans to use the capital to accelerate its go-to-market strategy, expand internationally and invest in its platform, launching new products while cementing its position as the next-generation alternative to legacy solutions like Salesforce, Oracle and Zendesk.</t>
  </si>
  <si>
    <t>Alex Bard, Battery Ventures, Boldstart Ventures, BoxGroup, Canaan Partners, Cisco Investments, Gary Benitt, George Hu, Jeffrey Leventhal, Plug and Play Tech Center, Redpoint Ventures, Tiger Global Management</t>
  </si>
  <si>
    <t>Battery Ventures(www.battery.com), Boldstart Ventures(www.boldstart.vc), BoxGroup(www.boxgroup.com), Canaan Partners(www.canaan.com), Cisco Investments(www.ciscoinvestments.com), Plug and Play Tech Center(www.plugandplaytechcenter.com), Redpoint Ventures(www.redpoint.com), Tiger Global Management(www.tigerglobal.com)</t>
  </si>
  <si>
    <t>DecisionCFO(Consulting), Gunderson Dettmer(Legal Advisor)</t>
  </si>
  <si>
    <t>55974-79</t>
  </si>
  <si>
    <t>Kumu Networks</t>
  </si>
  <si>
    <t>Vubiq Networks, Kymeta, ProComm Alaska LLC</t>
  </si>
  <si>
    <t>Provider of wireless systems designed to commercialize research on Wireless Full Duplex. The company's wireless systems allow radio to transmit and receive signals at the same time using a single frequency channel and helps in cancelling unwanted energy that leaks into a radio's receiver while transmitting, enabling businesses to avail increased WiFi throughput and resiliency in dense and crowded environments.</t>
  </si>
  <si>
    <t>commercializing research, radio transition, wireless devices, wireless full duplex, wireless system</t>
  </si>
  <si>
    <t>kumunetworks.com</t>
  </si>
  <si>
    <t>2013: 18, 2014: 22, 2015: 24, 2016: 29</t>
  </si>
  <si>
    <t>31514-86P</t>
  </si>
  <si>
    <t>David Cutrer</t>
  </si>
  <si>
    <t>dcutrer@kumunetworks.com</t>
  </si>
  <si>
    <t>960 Hamlin Court</t>
  </si>
  <si>
    <t>info@kumunetworks.com</t>
  </si>
  <si>
    <t>The company raised $25 million of Series C venture funding in a deal led by Verizon Ventures, Swisscom Ventures and Cisco Investments on January 20, 2016, putting the company's pre-money valuation at $105.92 million. Deutsche Telekom Strategic Investments, SingTel Innov8, Deutsche Telekom Capital Partners, New Enterprise Associates, Third Point Ventures, Swisscom and Khosla Ventures also participated in the round. The company will use funds to enhance its center product lineup.</t>
  </si>
  <si>
    <t>Andy Rachleff, Arogyaswami Paulraj, Bernd Girod, Cisco Investments, Deutsche Telekom Capital Partners, Guru Parulkar, Khosla Ventures, New Enterprise Associates, Philip Levis, Sachin Katti, Sanjit Biswas, Singtel Innov8, Swisscom, Swisscom Ventures, Third Point Ventures, Verizon Ventures</t>
  </si>
  <si>
    <t>Cisco Investments(www.ciscoinvestments.com), Deutsche Telekom Capital Partners(www.telekom-capital.com), Khosla Ventures(www.khoslaventures.com), New Enterprise Associates(www.nea.com), Singtel Innov8(innov8.singtel.com), Swisscom(www.swisscom.ch), Third Point Ventures(www.thirdpointventures.com), Verizon Ventures(www.verizonventures.com)</t>
  </si>
  <si>
    <t>64476-10</t>
  </si>
  <si>
    <t>Kuli Kuli</t>
  </si>
  <si>
    <t>Amazing Grass, Sunfood Superfoods, Aduna, Tofurky, Element Snacks, Impossible Foods, Healthy Skoop, Follow Your Heart, Perfect Day, Vega, Soylent, Nutiva, Orgain, Beyond Meat</t>
  </si>
  <si>
    <t>Producer of nutritional moringa products intended to pioneer superfood moringa. The company's products include moringa energy bars, organic moringa powder, organic moringa green smoothie mixes and moringa green energy shots that provide a good source of plant protein, iron, vitamins and antioxidants, enabling consumers to have healthy food and improve their health.</t>
  </si>
  <si>
    <t>herbal tea, moringa, nutrients bar, nutrients powder, nutritional product, superfoods</t>
  </si>
  <si>
    <t>www.kulikulifoods.com</t>
  </si>
  <si>
    <t>97260-76P</t>
  </si>
  <si>
    <t>Lisa Curtis</t>
  </si>
  <si>
    <t>lisa@kulikulifoods.com</t>
  </si>
  <si>
    <t>+1 (510) 350-8325</t>
  </si>
  <si>
    <t>P.O. Box 32097</t>
  </si>
  <si>
    <t>94604</t>
  </si>
  <si>
    <t>hello@kulikulifoods.com</t>
  </si>
  <si>
    <t>The company raised $5 million of Series B venture funding in a deal led by Eighteen94 Capital and Griffith Foods on February 28, 2019, putting the company's pre-money valuation at $26.5 million. InvestEco Capital, Rocana Capital, Portfolia, Authentic Ventures, S2G Ventures (Seed 2 Growth), Next Wave Impact, Village Capital and Astia Angels also participated in the round. The company intends to use the funds to launch its new moringa ingredient business while continuing to scale its moringa powder, bars and shots business.</t>
  </si>
  <si>
    <t>AgFunder, Astia Angels, Authentic Ventures, Bradley Feld, Christine Lim, Don Curtis, Eighteen94 Capital, Griffith Foods, InvestEco Capital, Jordan Moncharmont, Karen Kruger, Karl Uhlig, Kirchner Food Fellowship, Next Wave Impact, Pipeline Angels, Portfolia, Radicle Capital, Rocana Capital, S2G Ventures, Terra Accelerator, Village Capital</t>
  </si>
  <si>
    <t>AgFunder(www.agfunder.com), Astia Angels(www.astia.org), Authentic Ventures(www.authentic-ventures.com), Eighteen94 Capital(www.1894capital.com), Griffith Foods(www.griffithfoods.com), InvestEco Capital(www.investeco.com), Kirchner Food Fellowship(fundthefood.com), Next Wave Impact(www.nextwaveimpact.com), Pipeline Angels(www.pipelineangels.com), Portfolia(www.portfolia.co), Rocana Capital(www.rocanacapital.com), S2G Ventures(www.s2gventures.com), Terra Accelerator(www.terraaccelerator.com), Village Capital(www.vilcap.com)</t>
  </si>
  <si>
    <t>AgFunder(Lead Manager or Arranger)</t>
  </si>
  <si>
    <t>AgFunder(Lead Manager or Arranger), Indiegogo(Lead Manager or Arranger), New Resource Bank(Debt Financing)</t>
  </si>
  <si>
    <t>111550-60</t>
  </si>
  <si>
    <t>Kujiale</t>
  </si>
  <si>
    <t>Havenly</t>
  </si>
  <si>
    <t>Provider of an online home decoration, furnishing and design platform intended to quickly generate design sketches to decorate and furnish homes. The company's platform offers information and reviews on businesses related to home decoration and furnishing, enabling users to design and furnish their homes easily.</t>
  </si>
  <si>
    <t>Multimedia and Design Software*, Other Commercial Services, Social/Platform Software</t>
  </si>
  <si>
    <t>decoration portal, design platform, home furnishing portal, online design platform, online home decoration</t>
  </si>
  <si>
    <t>www.kujiale.com</t>
  </si>
  <si>
    <t>139040-29P</t>
  </si>
  <si>
    <t>Hang Chen</t>
  </si>
  <si>
    <t>hchen@kujiale.com</t>
  </si>
  <si>
    <t>+86 (0)571 8102 1879</t>
  </si>
  <si>
    <t>Hangzhou, China</t>
  </si>
  <si>
    <t>11th Floor, Matrix International Building 1</t>
  </si>
  <si>
    <t>Gongshu District</t>
  </si>
  <si>
    <t>Hangzhou</t>
  </si>
  <si>
    <t>Zhejiang</t>
  </si>
  <si>
    <t>310012</t>
  </si>
  <si>
    <t>The company raised $100 million of Series D venture funding in a deal led by Shunwei Capital on March 9, 2018, putting the company's pre-money valuation at $500 million. GGV Capital, Hearst Ventures, IDG Capital, Yunqi Partners, Linear Venture and Pavilion Capital also participated in the round. The funds will be used to build two R&amp;D centers respectively in Hangzhou and Shanghai and expand in the international markets.</t>
  </si>
  <si>
    <t>GGV Capital, Hearst Ventures, IDG Capital, Jingwei International, Linear Venture, Matrix Partners China, Pavilion Capital, Shunwei Capital, Yunqi Partners</t>
  </si>
  <si>
    <t>GGV Capital(www.ggvc.com), IDG Capital(en.idgcapital.com), Jingwei International(www.isocialy.com), Linear Venture(www.linear.vc), Matrix Partners China(www.matrixpartners.cn), Shunwei Capital(www.shunwei.com), Yunqi Partners(www.yunqi.vc)</t>
  </si>
  <si>
    <t>97131-16</t>
  </si>
  <si>
    <t>Kuaishou</t>
  </si>
  <si>
    <t>Kwai</t>
  </si>
  <si>
    <t>BigVu, Vebbler, Picovico, Live.me, TikTok, Eversnap, Pixorial, Wibbitz, Videogram (Video Artificial Intelligence and Blockchain), Magisto, Videolicious, Vigo Video, Yogurt Labs, Bambuser, PowToon, Musical.ly (acquired)</t>
  </si>
  <si>
    <t>Developer of a photo sharing and live-streaming platform designed to offer online media sharing services. The company's platform leverages artificial intelligence to recommend and place videos into the scrolling feeds of users, enabling users to share, comment and edit photos and videos.</t>
  </si>
  <si>
    <t>mobile guide, photo editing, photo sharing application, photographs sharing, photography app, social media sharing</t>
  </si>
  <si>
    <t>www.kuaishou.com</t>
  </si>
  <si>
    <t>66835-27P</t>
  </si>
  <si>
    <t>Nicholas Chong</t>
  </si>
  <si>
    <t>Group Chief Financial Officer</t>
  </si>
  <si>
    <t>zhong.yiqi@kuaishou.com</t>
  </si>
  <si>
    <t>6 Shangdi West Road</t>
  </si>
  <si>
    <t>admin@kuaishou.com</t>
  </si>
  <si>
    <t>The company is in talks to raise venture funding on November 1, 2018, putting the company's pre-money valuation at $25 billion. Previously, the company raised $1 billion of Series E venture funding in a deal led by Tencent Holdings on an undisclosed date, putting the company's pre-money valuation at $18 billion. Alibaba Group, Sequoia Capital China and other undisclosed investors also participated in the round. The funds will be used to finance its future outbound investment and deals.</t>
  </si>
  <si>
    <t>Alibaba Group, Baidu Ventures, China Media Capital, DCM Ventures, DST Global, Morningside Venture Capital, Sequoia Capital China, Tencent Holdings</t>
  </si>
  <si>
    <t>Alibaba Group(www.alibabagroup.com), Baidu Ventures(www.bv.ai), China Media Capital(www.chinamediacapital.com), DCM Ventures(www.dcm.com), DST Global(www.dst-global.com), Morningside Venture Capital(www.morningsidevc.com), Sequoia Capital China(www.sequoiacap.com/china), Tencent Holdings(www.tencent.com)</t>
  </si>
  <si>
    <t>107198-02</t>
  </si>
  <si>
    <t>KPI Solutions</t>
  </si>
  <si>
    <t>Provider of targeted digital media and marketing services intended to contribute to the sustainability of consumer society. The company's services include marketing and advertising services for enterprises using its suite of analytics and application tools, enabling clients to attract customers in a hassle free way.</t>
  </si>
  <si>
    <t>ad technology, digital media, targeted marketing, web marketing</t>
  </si>
  <si>
    <t>www.kpis.jp</t>
  </si>
  <si>
    <t>90812-53P</t>
  </si>
  <si>
    <t>Tetsuro Ishida</t>
  </si>
  <si>
    <t>Founder, Shareholder, Chief Executive Officer, President and Representative Director</t>
  </si>
  <si>
    <t>tetsuro.ishida@kpis.jp</t>
  </si>
  <si>
    <t>+81 (0)35 565 7125</t>
  </si>
  <si>
    <t>ACN Ginza building</t>
  </si>
  <si>
    <t>Ginza 8-15-2</t>
  </si>
  <si>
    <t>Chuo-ku</t>
  </si>
  <si>
    <t>104-0061</t>
  </si>
  <si>
    <t>+81 (0)35 565 7127</t>
  </si>
  <si>
    <t>info@kpis.jp</t>
  </si>
  <si>
    <t>The company raised JPY 39 million of venture funding in a deal led by Recruit Strategic Partners on April 18, 2011. Industrial Growth Platform, Nissay Capital, SMBC Venture Capital, Sansei Capital Investment and Mitsubishi UFJ Capital also participated in the round.</t>
  </si>
  <si>
    <t>Industrial Growth Platform, Mitsubishi UFJ Capital, Nissay Capital, Recruit Strategic Partners, Sansei Capital Investment, SMBC Venture Capital</t>
  </si>
  <si>
    <t>Industrial Growth Platform(www.igpi.co.jp), Mitsubishi UFJ Capital(www.mucap.co.jp), Nissay Capital(www.nissay-cap.co.jp), Recruit Strategic Partners(recruitstrategicpartners.com), Sansei Capital Investment(www.sanseicapital.com), SMBC Venture Capital(www.smbc-vc.co.jp)</t>
  </si>
  <si>
    <t>42184-81</t>
  </si>
  <si>
    <t>Kotak Urja</t>
  </si>
  <si>
    <t>KotakSolar</t>
  </si>
  <si>
    <t>Manufacturer and provider of solar equipment intended to promote eco-friendly and environmentally safe renewable energy propagation and implement globally. The company with significant expertise in Design, Engineering, Manufacturing, Installation and Commissioning (I&amp;C) of both Solar Photovoltaic and Solar Thermal System offers solar rooftop, solar peripheral lighting and solar hot water heater, enabling customers with products to generate energy.</t>
  </si>
  <si>
    <t>solar panels, solar photovoltaic, solar roof, solar thermal system, solar unit, thermal infrastructure</t>
  </si>
  <si>
    <t>www.kotaksolar.com</t>
  </si>
  <si>
    <t>61414-30P</t>
  </si>
  <si>
    <t>Raghunandan SS</t>
  </si>
  <si>
    <t>Vice President, PV &amp; Engineering</t>
  </si>
  <si>
    <t>raghunandan@kotaksolar.com</t>
  </si>
  <si>
    <t>+91 (0)80 2836 3330</t>
  </si>
  <si>
    <t>Number 378, 10th Cross, 4th Phase</t>
  </si>
  <si>
    <t>Peenya Industrial Area</t>
  </si>
  <si>
    <t>560058</t>
  </si>
  <si>
    <t>+91 (0)80 2836 2347</t>
  </si>
  <si>
    <t>kotakurja@kotakurja.com</t>
  </si>
  <si>
    <t>The company raised $8 million of Series A venture funding from Applied Ventures, Lightbox and Kleiner Perkins on November 3, 2008. Sherpalo Ventures also participated in this round.</t>
  </si>
  <si>
    <t>Applied Ventures, Kleiner Perkins, Lightbox, Sherpalo Ventures</t>
  </si>
  <si>
    <t>Kleiner Perkins(www.kleinerperkins.com), Lightbox(www.lightbox.vc), Sherpalo Ventures(www.sherpalo.com)</t>
  </si>
  <si>
    <t>228608-47</t>
  </si>
  <si>
    <t>Kosas Cosmetics</t>
  </si>
  <si>
    <t>Kosas</t>
  </si>
  <si>
    <t>Julep, Eyeko, Mented Cosmetics, butter LONDON, Iredale Mineral Cosmetics, Anastasia Beverly Hills, Pai Skincare, Benefit Cosmetics, MAC Cosmetics, Arbonne International, ILIA, Nars Cosmetics, Oriflame Cosmetics</t>
  </si>
  <si>
    <t>Owner and operator of a cosmetics company intended to make products which protects lips from environmental damage. The company has developed a forward-thinking formula which is used to make their products with active botanicals and balanced by strategic, safe synthetics, enabling customers to purchase cosmetics from their online store which is free of preservatives and synthetic fragrances.</t>
  </si>
  <si>
    <t>beauty vertical, cosmetic product, lipstick, skincare</t>
  </si>
  <si>
    <t>www.kosas.com</t>
  </si>
  <si>
    <t>185441-50P</t>
  </si>
  <si>
    <t>Sheena Yaitanes</t>
  </si>
  <si>
    <t>Founder, Executive Officer &amp; Board Member</t>
  </si>
  <si>
    <t>sheena@kosas.com</t>
  </si>
  <si>
    <t>CA</t>
  </si>
  <si>
    <t>16255 Ventura Boulevard</t>
  </si>
  <si>
    <t>91436</t>
  </si>
  <si>
    <t>info@kosas.com</t>
  </si>
  <si>
    <t>The company raised $2 million of Series A venture funding from CircleUp Growth Partners, M3 Ventures, Tina Bou-Saba, TQ Ventures and other undisclosed investor on May 11, 2018. The funds will be used to expand its presence both domestically and internationally.</t>
  </si>
  <si>
    <t>CircleUp Network, M3 Ventures, Tina Bou-Saba, TQ Ventures</t>
  </si>
  <si>
    <t>CircleUp Network(www.circleup.com), M3 Ventures(www.m3ventures.com), Tina Bou-Saba(www.tinabousaba.com), TQ Ventures(www.tqventures.com)</t>
  </si>
  <si>
    <t>60577-75</t>
  </si>
  <si>
    <t>Korea Pionics</t>
  </si>
  <si>
    <t>KPC</t>
  </si>
  <si>
    <t>Manufacturer of industrial air-treatment equipment. The company manufactures and sells scrubbers, filtering, processing and purifying machinery for air and gas industries.</t>
  </si>
  <si>
    <t>Electrical Equipment, Machinery (B2B)*</t>
  </si>
  <si>
    <t>industrial equipment, industrial machinery, processing machinery, purifying machinery, waste gas cleaners</t>
  </si>
  <si>
    <t>www.kpc.co.kr</t>
  </si>
  <si>
    <t>117198-91P</t>
  </si>
  <si>
    <t>Ho Yang</t>
  </si>
  <si>
    <t>+82 (0)31 678 6000</t>
  </si>
  <si>
    <t>Anseong-si, South Korea</t>
  </si>
  <si>
    <t>181-2 Muneung-ri, Daedeok-myeon</t>
  </si>
  <si>
    <t>Anseong-si</t>
  </si>
  <si>
    <t>456-833</t>
  </si>
  <si>
    <t>+82 (0)31 677 7298</t>
  </si>
  <si>
    <t>Showa Manufacturing Company sold 20% stake in the company to Sanggeol Go and Yuhyeon Go for $2.25 million on March 16, 2016, putting the company's pre-money valuation at $9.25 million.</t>
  </si>
  <si>
    <t>Samsung Venture Investment, Sanggeol Go, Showa Manufacturing Company, Yuhyeon Go</t>
  </si>
  <si>
    <t>Samsung Venture Investment(www.samsungventures.com), Showa Manufacturing Company(www.showa.co.jp)</t>
  </si>
  <si>
    <t>135198-19</t>
  </si>
  <si>
    <t>Kooltra</t>
  </si>
  <si>
    <t>Cambridge Global Payments, World First UK, Ebury, Transfast, Payoneer, CurrencyCloud, Derivative Path, ION Group, Revolut, MoneyMovr, Acumatica, Airwallex, Black Mountain Systems, Payvision, Eka, OpenLink Financial, ContaAzul, Wave Financial, Currencies Direct, Tradeshift, Skrill, Kantox, TransferWise</t>
  </si>
  <si>
    <t>Provider of end-to-end cloud-based software intended to digitize and automate post-trade operations across capital markets. The company's software provides functionality to support every aspect of the foreign exchange (FX) business, with many of the applications having cross-use in other business lines, enabling businesses to effectively manage foreign exchange brokerage and reducing human error.</t>
  </si>
  <si>
    <t>capital market platform, cloud-based software, cloud-based software service, corporate foreign exchange, enterprise platform, foreign exchange brokerage</t>
  </si>
  <si>
    <t>www.kooltra.com</t>
  </si>
  <si>
    <t>137194-66P</t>
  </si>
  <si>
    <t>Adam Katz</t>
  </si>
  <si>
    <t>adam.katz@kooltra.com</t>
  </si>
  <si>
    <t>26 Soho</t>
  </si>
  <si>
    <t>The company raised CAD 6.5 million of seed funding in a deal led by Hyde Park Venture Partners on October 3, 2018. Salesforce Ventures, Real Ventures and Round 13 Capital also participated in the round. The company plans to use the funding to expand to the UK, a major hub for foreign exchange, and the US to reach more regional and community banks, and credit union customers.</t>
  </si>
  <si>
    <t>Hyde Park Venture Partners, Real Ventures, Round 13 Capital, Salesforce Ventures</t>
  </si>
  <si>
    <t>Hyde Park Venture Partners(www.hydeparkvp.com), Real Ventures(www.realventures.com), Round 13 Capital(www.round13capital.com)</t>
  </si>
  <si>
    <t>52524-73</t>
  </si>
  <si>
    <t>KoolSpan</t>
  </si>
  <si>
    <t>Secure Any Mobile, Wickr, WatchGuard Technologies, Kaspersky Lab, McAfee, Elastica, Forcepoint, Ensygnia, Digital Guardian, Avast Software, NowSecure, SonicWALL</t>
  </si>
  <si>
    <t>Developer of a mobile security encryption service platform designed to encrypt calls and messages on Android and iPhone. The company's platform protects calls and messages with end-to-end encryption facilities, enabling users to get encrypted calls that are crystal clear with HD quality video.</t>
  </si>
  <si>
    <t>Application Software*, Network Management Software</t>
  </si>
  <si>
    <t>connectivity solutions, embeddable security, mobile security encryption services platform, secure connectivity</t>
  </si>
  <si>
    <t>www.koolspan.com</t>
  </si>
  <si>
    <t>2015: 43</t>
  </si>
  <si>
    <t>61832-62P</t>
  </si>
  <si>
    <t>Nigel Jones</t>
  </si>
  <si>
    <t>Chief Executive Officer, Advisor and Board Member</t>
  </si>
  <si>
    <t>njones@koolspan.com</t>
  </si>
  <si>
    <t>+1 (301) 961-1932</t>
  </si>
  <si>
    <t>Bethesda, MD</t>
  </si>
  <si>
    <t>7735 Old Georgetown Road</t>
  </si>
  <si>
    <t>Bethesda</t>
  </si>
  <si>
    <t>20814</t>
  </si>
  <si>
    <t>+1 (240) 880-4400</t>
  </si>
  <si>
    <t>+1 (240) 880-4419</t>
  </si>
  <si>
    <t>info@koolspan.com</t>
  </si>
  <si>
    <t>The company raised $14.8 million of venture funding from undisclosed investors on January 29, 2016, putting the company's pre-money valuation at $5.5 million.</t>
  </si>
  <si>
    <t>Cisco Investments, David Rose, Individual Investor, Maryland Department of Commerce, Maryland Venture Fund, New York Angels, Nobska Venture Partners, Rose Tech Ventures, Security Growth Partners, The Supper Club, TWJ Capital</t>
  </si>
  <si>
    <t>Cisco Investments(www.ciscoinvestments.com), David Rose(www.davidsrose.com), Maryland Department of Commerce(www.commerce.maryland.gov), Maryland Venture Fund(www.marylandventurefund.com), New York Angels(www.newyorkangels.com), Nobska Venture Partners(www.nobskaventures.com), Rose Tech Ventures(www.rose.vc), Security Growth Partners(www.securitygrowth.com), The Supper Club(www.thesupperclub.com), TWJ Capital(www.twjcapital.com)</t>
  </si>
  <si>
    <t>Cooley(Legal Advisor), Evergreen Advisors(Advisor: General)</t>
  </si>
  <si>
    <t>51495-58</t>
  </si>
  <si>
    <t>Kony</t>
  </si>
  <si>
    <t>Kony Labs</t>
  </si>
  <si>
    <t>Intalio, Sencha, SkyGiraffe, Xamarin, VANTIQ, OutSystems, AnyPresence, Mendix, ProntoForms, Infor Global Solutions, LANSA (Downers Grove), CA Technologies, Kenandy, Kinvey, Alteryx, myProcess, Netcracker Technology, Corona Labs, Apigee, MobileSmith, Exadel, Quickbase, Kaonsoft, WebRatio, Backbase, Tallyfy, GoCanvas (Reston), Aptean, Betty Blocks, GoFormz, Riversand, Capriza, TIBCO Software, Bizagi, Appian, Winmore, Pegasystems, Zendesk, IBM Cloud, Odoo, Asynchrony Labs, Sapho, Branding Brand, Unit4, StarMobile, MuleSoft, Zudy, Heroku, Modo Labs, Nexmo, ChannelEyes, Genesys, Moovweb, Aspect Software, Base (Sales Platform), SAP, Deco IDE, Verint Systems, Marketo, Salesforce, Dropbox, Tableau Software, Localytics, Appcelerator, Box, Tangoe</t>
  </si>
  <si>
    <t>Developer of enterprise applications and platforms designed to help enterprises transform ideas into innovative and secure omni-channel applications.The company's cloud-based applications and platforms empower businesses to develop and manage their own applications to better engage with their customers, partners and employees by rapidly delivering applications across the broadest array of devices and systems, today and in the future, enabling organizations to grow in terms of revenue.</t>
  </si>
  <si>
    <t>Application Software, Business/Productivity Software*, Software Development Applications</t>
  </si>
  <si>
    <t>application, cloud-based, delivering application, enterprise application, omni channel</t>
  </si>
  <si>
    <t>www.kony.com</t>
  </si>
  <si>
    <t>2011: 215, 2012: 234, 2013: 1040, 2014: 1049, 2015: 1500, 2016: 1109</t>
  </si>
  <si>
    <t>135901-81P</t>
  </si>
  <si>
    <t>Carlos Carvajal</t>
  </si>
  <si>
    <t>carlos.carvajal@konysolutions.com</t>
  </si>
  <si>
    <t>+1 (407) 730-5669</t>
  </si>
  <si>
    <t>9225 Bee Cave Road</t>
  </si>
  <si>
    <t>Building A, Suite 300</t>
  </si>
  <si>
    <t>78733</t>
  </si>
  <si>
    <t>+1 (512) 792-2900</t>
  </si>
  <si>
    <t>+1 (512) 532-6315</t>
  </si>
  <si>
    <t>info@konysolutions.com</t>
  </si>
  <si>
    <t>The company raised $26.81 million of venture funding from ORIX Growth Capital and other undisclosed investors on July 24, 2018. The company will use the funding to support its global expansion.</t>
  </si>
  <si>
    <t>Delta-v Capital, Diebold Nixdorf, Georgian Partners, Hamilton Lane, Insight Partners, ORIX Growth Capital, SoftBank Capital, Stratim Capital, Telstra Ventures, W Capital Partners</t>
  </si>
  <si>
    <t>Delta-v Capital(www.deltavcapital.com), Diebold Nixdorf(www.dieboldnixdorf.com), Georgian Partners(www.georgianpartners.com), Hamilton Lane(www.hamiltonlane.com), Insight Partners(www.insightpartners.com), SoftBank Capital(www.softbankvc.com), Stratim Capital(www.stratimcapital.com), Telstra Ventures(www.telstraventures.com), W Capital Partners(www.wcapgroup.com)</t>
  </si>
  <si>
    <t>Daversa Partners(Consulting), Tallman Insights(Consulting)</t>
  </si>
  <si>
    <t>Fenwick &amp; West(Legal Advisor), Inertia Advisors(Advisor: General), Vaquero Capital(Advisor: General), Willkie Farr &amp; Gallagher(Legal Advisor)</t>
  </si>
  <si>
    <t>156549-97</t>
  </si>
  <si>
    <t>Koniku</t>
  </si>
  <si>
    <t>Developer of an organic neurocomputation platform designed to interface with the real world through real biological neurons. The company's organic neurocomputation platform is currently focused on two related technologies, the odor positioning and the odor surveillance system that will replicate sensitivity and specificity levels only seen in biological systems, delivering organ-on-chip and brain-on-chip preclinical testing services.</t>
  </si>
  <si>
    <t>Other Healthcare Technology Systems*, Other Pharmaceuticals and Biotechnology</t>
  </si>
  <si>
    <t>biological systems, cardiomyopathy, drugs therapy, neurocomputation, organic neurocomputation platform, wetware</t>
  </si>
  <si>
    <t>www.koniku.com</t>
  </si>
  <si>
    <t>134305-30P</t>
  </si>
  <si>
    <t>Oshiorenoya Agabi</t>
  </si>
  <si>
    <t>agabi@koniku.io</t>
  </si>
  <si>
    <t>+1 (209) 509-7234</t>
  </si>
  <si>
    <t>therabbithole@koniku.io</t>
  </si>
  <si>
    <t>The company joined Plug and Play Tech Center as part of their Internet of Things Batch 6 and received an undisclosed amount in funding.</t>
  </si>
  <si>
    <t>Agility Labs, Airbus Ventures, AV Capital, IndieBio, IT-Farm, LAUNCH (UC Berkeley), Massachusetts Institute of Technology, Oriza Ventures, Plug and Play Tech Center</t>
  </si>
  <si>
    <t>Agility Labs(www.agilitylabs.org), Airbus Ventures(www.airbusventures.vc), AV Capital(www.av.capital), IndieBio(www.indiebio.co), IT-Farm(www.it-farm.com), LAUNCH (UC Berkeley)(www.uclaunch.com), Massachusetts Institute of Technology(web.mit.edu), Oriza Ventures(www.orizaventures.com), Plug and Play Tech Center(www.plugandplaytechcenter.com)</t>
  </si>
  <si>
    <t>115616-17</t>
  </si>
  <si>
    <t>Komprise</t>
  </si>
  <si>
    <t>Datagres, Qumulo, Zaloni, Parsec Labs, MapR, Neo4j, ClearSky Data, Alation, Data3Sixty, TigerGraph, Rever, Syncsort, Cloudera, Riversand, Asigra, StreamSets, Dataiku, Informatica Customer 360 Insights, Xenomorph, AtScale, Pentaho, Talend, Think Big Analytics, Paxata, NooBaa, Informatica, Tamr, Panzura, Cambridge Semantics, Ab Initio, Varonis Systems, Couchbase, Aginity, Uptake, Infogix, SAP, Opera Solutions, PHI-Integration, Trifacta, Silicon Valley Data Science, Diaku, Profisee, Arkivum, Alteryx, MongoDB, Reltio, Collibra, Octopai, Avere Systems, Trillium Software, Nasuni, Peak Business Insight, Absolutdata Intelligent Analytics, Datum (Maryland), Utopia Global</t>
  </si>
  <si>
    <t>Developer of an intelligent data management platform designed to transform the way data is stored and managed. The company's cloud-based platform employs data growth analytics to identify, plan and manage hot and cold data across multi-vendor storage, enabling organizations to manage the complete data lifecycle with data analytics, replication, archive and migration.</t>
  </si>
  <si>
    <t>data analytics, data management app, data management software, data planning, data storage platform</t>
  </si>
  <si>
    <t>www.komprise.com</t>
  </si>
  <si>
    <t>103651-03P</t>
  </si>
  <si>
    <t>Kumar Goswami</t>
  </si>
  <si>
    <t>kgoswami@komprise.com</t>
  </si>
  <si>
    <t>+1 (888) 995-0290</t>
  </si>
  <si>
    <t>1901 South Bascom Avenue</t>
  </si>
  <si>
    <t>Tower 1, 4th Floor, Suite 400</t>
  </si>
  <si>
    <t>info@komprise.com</t>
  </si>
  <si>
    <t>The company raised $24 million of Series C venture funding in a deal led by Top Tier Capital Partners on February 5, 2019, putting the company's pre-money valuation at $166 million. Western Digital Capital, Canaan Partners and Walden International also participated in the round. The funds will be used to accelerate the company's sales, marketing, product development and customer support.</t>
  </si>
  <si>
    <t>Bill Moore, Canaan Partners, Sanjay Mehrotra, Top Tier Capital Partners, Walden International, Western Digital Capital, WRV Capital</t>
  </si>
  <si>
    <t>Canaan Partners(www.canaan.com), Top Tier Capital Partners(www.ttcp.com), Walden International(www.waldenintl.com), Western Digital Capital(www.westerndigitalcapital.com), WRV Capital(www.wrvcapital.com)</t>
  </si>
  <si>
    <t>226731-16</t>
  </si>
  <si>
    <t>Kombrewcha</t>
  </si>
  <si>
    <t>Maker of low-alcohol, organic kombucha drinks. The company offers hard kombucha which contains 65-75 calories, 4-6 grams of sugar and 2% ABV and is naturally gluten-free because it is made from tea as well as contains live probiotics.</t>
  </si>
  <si>
    <t>alcoholic branding, kombucha, kombucha beverages, kombucha brewery, kombucha drinks, kombucha organic juice</t>
  </si>
  <si>
    <t>kombrewcha.com</t>
  </si>
  <si>
    <t>181800-28P</t>
  </si>
  <si>
    <t>Garrett Bredenkamp</t>
  </si>
  <si>
    <t>garrett@kombrewcha.com</t>
  </si>
  <si>
    <t>134 North 4th Street</t>
  </si>
  <si>
    <t>11249</t>
  </si>
  <si>
    <t>hi@kombrewcha.com</t>
  </si>
  <si>
    <t>The company raised an undisclosed amount of venture funding from ZX Ventures.</t>
  </si>
  <si>
    <t>Nutter McClennen &amp; Fish(Legal Advisor)</t>
  </si>
  <si>
    <t>100151-47</t>
  </si>
  <si>
    <t>KodaCloud</t>
  </si>
  <si>
    <t>Art2Wave</t>
  </si>
  <si>
    <t>Mist Systems, Sputnik, Airangel, Guest-Tek Interactive Entertainment, Ruckus Wireless, Single Digits, Aerohive Networks, Spot On Networks, Gazella, Ucopia Communications, GlobalReach Technology, Aptilo Networks, Yelp WiFi, Whizz WiFi, Fon, Mimosa Networks</t>
  </si>
  <si>
    <t>Provider of cloud-based Wi-Fi services designed to manage the network connectivity and performance needs of the businesses. The company's Wi-Fi services are powered by artificial intelligence (AI) technology and consists of a network of Wi-Fi access points (APs) that are shipped directly to customer locations, without the need for a customer to buy equipment or a partner to manage an inventory or shipments, enabling businesses to optimize their performance in real time.</t>
  </si>
  <si>
    <t>Business/Productivity Software, Wireless Communications Equipment*, Wireless Service Providers</t>
  </si>
  <si>
    <t>artificial intelligence technology, optimize performance, patented artificial intelligence, wifi services, wireless networking service</t>
  </si>
  <si>
    <t>www.kodacloud.com</t>
  </si>
  <si>
    <t>86773-51P</t>
  </si>
  <si>
    <t>Yong Li</t>
  </si>
  <si>
    <t>Co-Founder &amp; Senior Software Architect</t>
  </si>
  <si>
    <t>yong.li@kodacloud.com</t>
  </si>
  <si>
    <t>+1 (613) 366-2596</t>
  </si>
  <si>
    <t>900 East Hamilton Avenue</t>
  </si>
  <si>
    <t>+1 (650) 681-1008</t>
  </si>
  <si>
    <t>info@kodacloud.com</t>
  </si>
  <si>
    <t>The company raised $400,000 of convertible debt financing from Voyager Capital on December 11, 2017. The company was in talks to raise $15 million of Series B venture funding from undisclosed investors on October 12, 2016. Subsequently, the deal was canceled. Previously, the company raised $10 million of Series A venture funding in a deal led by Comcast Ventures, Celtic House Venture Partners and Voyager Capital on October 12, 2016, putting the company's pre-money valuation at $6.69 million. The company is being actively tracked by PitchBook.</t>
  </si>
  <si>
    <t>Celtic House Venture Partners, Comcast Ventures, Voyager Capital</t>
  </si>
  <si>
    <t>Celtic House Venture Partners(www.celtic-house.com), Comcast Ventures(www.comcastventures.com), Voyager Capital(www.voyagercapital.com)</t>
  </si>
  <si>
    <t>Morgan, Lewis &amp; Bockius(Legal Advisor), O'Melveny &amp; Myers(Legal Advisor)</t>
  </si>
  <si>
    <t>93701-26</t>
  </si>
  <si>
    <t>KnowBox</t>
  </si>
  <si>
    <t>Zuoyebang, 17zuoye, Zhangmen.com, Socratic, Beijing Happy Science Technology, Xueba100</t>
  </si>
  <si>
    <t>Developer of an online educational platform created to help students and teachers better manage their assignments. The company's platform includes two mobile apps that help deliver personalized exercises to students and helps teachers manage student homework, enabling users to effectively manage their time while addressing each student's unique challenges.</t>
  </si>
  <si>
    <t>educational app, educational support, homework help, learning support app, time management</t>
  </si>
  <si>
    <t>www.knowbox.cn</t>
  </si>
  <si>
    <t>People (New) Ye Liu, Chief Executive Officer &amp; Chairman</t>
  </si>
  <si>
    <t>149113-09P</t>
  </si>
  <si>
    <t>Ye Liu</t>
  </si>
  <si>
    <t>liuye@knowbox.cn</t>
  </si>
  <si>
    <t>+86 (0)140 0010 0180</t>
  </si>
  <si>
    <t>SOHO T3 Block B 4301</t>
  </si>
  <si>
    <t>No. 1 Tongdong Street, Wangjing, Chaoyang District</t>
  </si>
  <si>
    <t>100020</t>
  </si>
  <si>
    <t>shangwu@knowbox.cn</t>
  </si>
  <si>
    <t>The company raised $150 million of Series D venture funding from Alibaba Group on May 30, 2019.</t>
  </si>
  <si>
    <t>Alibaba Group, Baidu Ventures, Bertelsmann Asia Investments, Genesis Capital, Haoweilai, Legend Star, Liu Qiangdong, New World Development, Tal Education Group, Yunfeng Capital</t>
  </si>
  <si>
    <t>Alibaba Group(www.alibabagroup.com), Baidu Ventures(www.bv.ai), Bertelsmann Asia Investments(www.baifund.com), Genesis Capital(www.genesis.cz), Legend Star(www.legendstar.com.cn), New World Development(www.nwd.com.hk), Tal Education Group(www.100tal.com), Yunfeng Capital(www.yfc.cn)</t>
  </si>
  <si>
    <t>42936-49</t>
  </si>
  <si>
    <t>Klarna</t>
  </si>
  <si>
    <t>Electronic Transaction Systems, ZooZ, Moneris Solutions, Payoneer, Marqeta, DIBS Payment Services, Affirm, BillingTree, Adyen, Divido, Integrity Payment Systems, Stripe, Total Merchant Services, Hyperwallet Systems, Zibby, Transactis, Afterpay, Quiklo, C&amp;H Financial Services, PayPal Holdings, EBANX, WePay, iPayment, Epaylater, Auka, Global Payout, Trustly Group, PPRO Financial, Blispay</t>
  </si>
  <si>
    <t>Developer of an online payment platform in Sweden. The company's payment platform offers instore, mobile and online payments as well as deliveries and returns services, providing customers a real-time decision at the point of sale just by entering simple information and enabling e-commerce stores to improve their average order value as well as conversion both in the short and long term.</t>
  </si>
  <si>
    <t>Consumer Finance, Financial Software*, Other Financial Services, Vertical Market Software</t>
  </si>
  <si>
    <t>FinTech, Mobile Commerce</t>
  </si>
  <si>
    <t>commerce transactions, credit purchasing, ecommerce payment, electronic commerce transaction, payment software</t>
  </si>
  <si>
    <t>www.klarna.com</t>
  </si>
  <si>
    <t>2010: 200, 2011: 600, 2013: 750, 2014: 1000, 2015: 1200, 2016: 1400, 2017: 1500, 2018: 2000, 2019: 2500</t>
  </si>
  <si>
    <t>33424-12P</t>
  </si>
  <si>
    <t>Sebastian Siemiatkowski</t>
  </si>
  <si>
    <t>sebastian@klarna.com</t>
  </si>
  <si>
    <t>+46 (0)556737-0431</t>
  </si>
  <si>
    <t>Sveavägen 46</t>
  </si>
  <si>
    <t>111 34</t>
  </si>
  <si>
    <t>info@klarna.com</t>
  </si>
  <si>
    <t>The company is in talks to receive financing from undisclosed investors in 2019. Previously, the company received SEK 1 billion of development capital from Bestseller, Sequoia Capital and other undisclosed investors on March 10, 2019. The transaction values the company at SEK 32 billion. The funding will enable the company to enter new markets and improve its banking proposition.</t>
  </si>
  <si>
    <t>Atomico, Bestseller, Brightfolk, Calvin Broadus, Creandum, Emil Capital Partners, FJ Labs, H &amp; M Hennes &amp; Mauritz, HarbourVest Partners, Hartford Financial Services Group (Mutual Fund Business), Harvest Growth, IVP, Klaus Hommels, L Capital (San Francisco), Lakestar, Northzone Ventures, Panorama Point Partners, Partners Group, Permira, QED Investors, Reimann Investors, Sequoia Capital, SSE Business Lab, Sven Hagströmer, Tengelmann Ventures, Visa Ventures, Walerud Ventures, Wellcome Trust</t>
  </si>
  <si>
    <t>DST Global, General Atlantic, Investment AB Öresund, Mail.Ru Group, Otiva</t>
  </si>
  <si>
    <t>Atomico(www.atomico.com), Bestseller(www.about.bestseller.com), Calvin Broadus(snoopdogg.com), Creandum(www.creandum.com), Emil Capital Partners(www.emilcapitalpartners.com), FJ Labs(www.fjlabs.com), H &amp; M Hennes &amp; Mauritz(www.hm.com), HarbourVest Partners(www.harbourvest.com), Hartford Financial Services Group (Mutual Fund Business)(www.hartfordfunds.com), IVP(www.ivp.com), L Capital (San Francisco)(www.lcapitalmgmt.com), Lakestar(www.lakestar.com), Northzone Ventures(www.northzone.com), Panorama Point Partners(www.panoramapoint.com), Partners Group(www.partnersgroup.com), Permira(www.permira.com), QED Investors(www.qedinvestors.com), Reimann Investors(www.reimann-investors.com), Sequoia Capital(www.sequoiacap.com), SSE Business Lab(www.hhs.se), Tengelmann Ventures(www.tev.de), Walerud Ventures(www.walerud.com), Wellcome Trust(www.wellcome.ac.uk)</t>
  </si>
  <si>
    <t>DST Global(www.dst-global.com), General Atlantic(www.generalatlantic.com), Investment AB Öresund(www.oresund.se), Mail.Ru Group(www.corp.mail.ru), Otiva(www.otiva.se)</t>
  </si>
  <si>
    <t>Cozen O'Connor(Legal Advisor), Integrity Power Search(Consulting), MadsenScripps(Consulting), Scede.io(Advisor: General)</t>
  </si>
  <si>
    <t>Corestar Partners(Advisor: General), Fried, Frank, Harris, Shriver &amp; Jacobson(Legal Advisor), Gentry Financial Corporation(Advisor: General), Glimstedt(Legal Advisor), Mannheimer Swartling(Legal Advisor), NOR Capital(Advisor: General), Nordea Markets(Advisor: General)</t>
  </si>
  <si>
    <t>52965-01</t>
  </si>
  <si>
    <t>KiwiCo</t>
  </si>
  <si>
    <t>Kiwi Crate</t>
  </si>
  <si>
    <t>Little Passports, Green Kid Crafts</t>
  </si>
  <si>
    <t>Provider of a subscription-based service designed to deliver hands-on activity boxes for kids. The company's service delivers entertaining and enriching experiences to kids and their families based on science activities, arts and crafts projects, that are designed to be educational and also entertaining, enabling parents to encourage their kid's natural creativity and curiosity and develop creative confidence.</t>
  </si>
  <si>
    <t>Educational and Training Services (B2C)*, Internet Retail, Other Services (B2C Non-Financial)</t>
  </si>
  <si>
    <t>activitiy boxes, educational toys, online play material, subscription service, subscription-based service</t>
  </si>
  <si>
    <t>www.kiwico.com</t>
  </si>
  <si>
    <t>2014: 33, 2016: 47</t>
  </si>
  <si>
    <t>38890-00P</t>
  </si>
  <si>
    <t>Sandra Lin</t>
  </si>
  <si>
    <t>sandra@kiwicrate.com</t>
  </si>
  <si>
    <t>+1 (650) 967-4311</t>
  </si>
  <si>
    <t>170 State Street</t>
  </si>
  <si>
    <t>Suite 1B</t>
  </si>
  <si>
    <t>info@kiwicrate.com</t>
  </si>
  <si>
    <t>The company raised $3.13 million of Series A venture funding from Brand Foundry Ventures, BBG Ventures and Edge Harris Ventures on December 12, 2014, putting the pre-money valuation at $20.83 million. Listen Ventures, FundersClub, Uprise Ventures, QueensBridge Venture Partners, Keiretsu Forum, 500 Startups, Comcast Ventures, Felicis Ventures, First Round Capital, Forerunner Ventures, Grace Beauty Capital, Mayfield Fund, UJ Ventures, Bullish, Keiretsu Capital and other undisclosed investors also participated in the round.</t>
  </si>
  <si>
    <t>500 Startups, BBG Ventures, Brand Foundry Ventures, Bullish, Comcast Ventures, Edge Harris Ventures, Eric Chen, Felicis Ventures, First Round Capital, Forerunner Ventures, FundersClub, Grace Beauty Capital, Individual Investor, Jay Eum, Jeff Cantalupo, Justin Darcy, Keiretsu Capital, Keiretsu Forum, Listen Ventures, Mayfield Fund, Mike Stevens, Paul Holliman, QueensBridge Venture Partners, Raymond Tonsing, Seth Berman, Seth Goldstein, Surender Punia, UJ Ventures, Uprise Ventures</t>
  </si>
  <si>
    <t>500 Startups(www.500.co), BBG Ventures(www.bbgventures.com), Brand Foundry Ventures(www.brandfoundryvc.com), Bullish(bullish.co), Comcast Ventures(www.comcastventures.com), Edge Harris Ventures(www.edgeharris.com), Felicis Ventures(www.felicis.com), First Round Capital(www.firstround.com), Forerunner Ventures(www.forerunnerventures.com), FundersClub(www.fundersclub.com), Grace Beauty Capital(www.gracebeautycapital.com), Keiretsu Capital(www.keiretsucapital.com), Keiretsu Forum(www.keiretsuforum.com), Listen Ventures(www.listen.co), Mayfield Fund(www.mayfield.com), QueensBridge Venture Partners(www.qbvp.com), Raymond Tonsing(www.angel.co/tonsing), Seth Goldstein(sethgoldstein.com), Uprise Ventures(www.upriseventures.com)</t>
  </si>
  <si>
    <t>160401-07</t>
  </si>
  <si>
    <t>Kittyhawk.io</t>
  </si>
  <si>
    <t>Kittyhawk</t>
  </si>
  <si>
    <t>SkyWard, AirMap, Altitude Angel, PrecisionHawk, Botlink, SkySpecs, DroneDeploy, Kespry, Atmos UAV</t>
  </si>
  <si>
    <t>Developer of a fully-native, cross-platform experience designed to empower effective drone operations. The company's drone application offers pre-flight planning, weather conditions, in-flight live traffic, airspace status, advisories, and post-flight logging and intelligence, enabling users to operate safely with full awareness of their surrounding airspace and aircraft.</t>
  </si>
  <si>
    <t>Mobile, Robotics and Drones, TMT</t>
  </si>
  <si>
    <t>drones data, drones data management, drones management, drones management app, drones management platform, flight track recorder</t>
  </si>
  <si>
    <t>www.kittyhawk.io</t>
  </si>
  <si>
    <t>2015: 3, 2016: 5, 2017: 10, 2018: 20</t>
  </si>
  <si>
    <t>136592-56P</t>
  </si>
  <si>
    <t>Jonathan Hegranes</t>
  </si>
  <si>
    <t>jon@kittyhawk.io</t>
  </si>
  <si>
    <t>+1 (628) 444-4437</t>
  </si>
  <si>
    <t>25 Taylor Street</t>
  </si>
  <si>
    <t>94012</t>
  </si>
  <si>
    <t>team@kittyhawk.io</t>
  </si>
  <si>
    <t>The company received $3 million of Seed 4 funding from Travelers Companies on June 6, 2018, putting the company's pre-money valuation at $30 million. The funding will be used to expand Kittyhawk's commercial drone operation and help Travelers improve its use of drones for inspections of insurance claims inside and outside of natural disaster zones.</t>
  </si>
  <si>
    <t>Boeing HorizonX, Bonfire Ventures, Freestyle Capital, Kluz Ventures, Travelers Companies</t>
  </si>
  <si>
    <t>Bonfire Ventures(www.bonfirevc.com), Freestyle Capital(www.freestyle.vc), Kluz Ventures(www.kluzventures.com), Travelers Companies(www.travelers.com)</t>
  </si>
  <si>
    <t>Atrium (Online Legal Platform)(Legal Advisor), First Republic Bank(General Business Banking), Walker Corporate Law Group(Legal Advisor)</t>
  </si>
  <si>
    <t>Atrium (Online Legal Platform)(Legal Advisor)</t>
  </si>
  <si>
    <t>154280-89</t>
  </si>
  <si>
    <t>Kite Power Systems</t>
  </si>
  <si>
    <t>KPS</t>
  </si>
  <si>
    <t>Provide of a disruptive technology platform designed to produce renewable energy from the wind. The company's disruptive technology platform develops onshore and offshore kite arrays and offers a technology that can be deployed in locations where conventional wind cannot reach, enabling consumers to access renewable energy, reduce dependency on fossil fuels, energy security as well as reduce the impact of climate change.</t>
  </si>
  <si>
    <t>energy renewable, kite power, renewable energy production, wind energy, wind energy production</t>
  </si>
  <si>
    <t>www.kps.energy</t>
  </si>
  <si>
    <t>2016: 10, 2017: 30</t>
  </si>
  <si>
    <t>128894-59P</t>
  </si>
  <si>
    <t>William Hampton</t>
  </si>
  <si>
    <t>+44 (0)14 1465 7633</t>
  </si>
  <si>
    <t>info@kitepowersystems.com</t>
  </si>
  <si>
    <t>The company raised GBP 2 million of venture funding from Scottish Enterprise on August 22, 2017, putting the pre-money valuation at GBP 8 million. The company intends to use the funds to further expand and demonstrate the latest iteration of its kite power technology in Scotland.</t>
  </si>
  <si>
    <t>Department for International Trade, Department of Energy and Climate Change, E.ON Strategic Co-Investments, Schlumberger, Scottish Enterprise, Shell Aviation Australia, Shell Ventures</t>
  </si>
  <si>
    <t>Department of Energy and Climate Change(www.gov.uk/government/organisations/department-of-energy-climate-change), Schlumberger(www.slb.com), Scottish Enterprise(www.scottish-enterprise.com), Shell Aviation Australia(www.shell.com.au)</t>
  </si>
  <si>
    <t>Memery Crystal(Legal Advisor)</t>
  </si>
  <si>
    <t>99334-09</t>
  </si>
  <si>
    <t>Kite Hill</t>
  </si>
  <si>
    <t>Follow Your Heart, Impossible Foods, Gardein Protein International, Miyoko's Kitchen, Yves Veggie Cuisine, Perfect Day, Beyond Meat, Daiya Foods, Forager</t>
  </si>
  <si>
    <t>Producer of plant-based dairy alternative products designed to offer cultured dairy alternatives. The company's products combine natural ingredients and patented biochemistry with traditional cheese- and dairy-making techniques to create alternative dairy products as well as to promote animal welfare by reducing reliance on industrial animal agriculture, enabling consumers to get healthier and more sustainable dairy counterparts.</t>
  </si>
  <si>
    <t>Distributors/Wholesale (B2C), Food Products*, Specialty Retail</t>
  </si>
  <si>
    <t>AgTech, FoodTech, Life Sciences, TMT</t>
  </si>
  <si>
    <t>cultured dairy product, dairy alternatives, dairy product, natural ingredients, plant-based product</t>
  </si>
  <si>
    <t>www.kite-hill.com</t>
  </si>
  <si>
    <t>2013: 18, 2014: 34, 2015: 68</t>
  </si>
  <si>
    <t>85432-42P</t>
  </si>
  <si>
    <t>Tal Ronnen</t>
  </si>
  <si>
    <t>+1 (888) 588-0994</t>
  </si>
  <si>
    <t>3180 Corporate Place</t>
  </si>
  <si>
    <t>info@kite-hill.com</t>
  </si>
  <si>
    <t>The company raised $40 million of Series C venture funding in a deal led by 301 on October 19, 2018, putting the company's pre-money valuation at $81 million. CAVU Venture Partners also participated in the round. The company intends to use the funds to increase its capacity, invest in marketing, innovation and people to accelerate growth.</t>
  </si>
  <si>
    <t>301, CAVU Venture Partners, General Mills, Khosla Ventures, M13, New Crop Capital, Stray Dog Capital</t>
  </si>
  <si>
    <t>301(www.301inc.com), CAVU Venture Partners(www.cavuventures.com), General Mills(www.generalmills.com), Khosla Ventures(www.khoslaventures.com), M13(www.m13.co), New Crop Capital(www.newcropcapital.com), Stray Dog Capital(www.straydogcapital.com)</t>
  </si>
  <si>
    <t>Propeller Industries(Advisor: General), WilmerHale(Legal Advisor)</t>
  </si>
  <si>
    <t>118358-47</t>
  </si>
  <si>
    <t>Kite and Lightning</t>
  </si>
  <si>
    <t>Wevr, NextVR, Against Gravity, EON Reality, Dverse, Boom.tv, BigScreen</t>
  </si>
  <si>
    <t>Developer of a creative development studio designed to bring revolution in cinematic virtual reality industry. The company's studio provides an interactive gaming through a story to create immersive computer-generated (CG) world and cinematic storytelling, enabling users to get a better gaming experience.</t>
  </si>
  <si>
    <t>cinematic storytelling, cinematic virtual reality, interactive gaming, reality gaming, reality visual</t>
  </si>
  <si>
    <t>www.kiteandlightning.la</t>
  </si>
  <si>
    <t>141076-27P</t>
  </si>
  <si>
    <t>Ikrima Elhassan</t>
  </si>
  <si>
    <t>ikrima@kiteandlightning.la</t>
  </si>
  <si>
    <t>+1 (424) 645-7462</t>
  </si>
  <si>
    <t>101 South La Brea Avenue</t>
  </si>
  <si>
    <t>hello@kiteandlightning.la</t>
  </si>
  <si>
    <t>The company raised $2.5 million of seed funding in a deal led by Raine Ventures on July 26, 2016. GC VR Gaming Tracker Fund, Courtside Ventures, Comcast Ventures, Social Capital, Outpost Capital, Boost VC, and Jason Rosenthal also participated in the round. The company intends to use the funding to expand its team and to create Bebylon Battle Royale.</t>
  </si>
  <si>
    <t>Boost VC, Comcast Ventures, CourtsideVC, GC VR Gaming Tracker Fund, Jason Rosenthal, Outpost Capital, Raine Ventures, Social Capital</t>
  </si>
  <si>
    <t>Boost VC(www.boost.vc), Comcast Ventures(www.comcastventures.com), CourtsideVC(www.courtsidevc.com), Outpost Capital(www.outpostvc.com), Social Capital(www.socialcapital.com)</t>
  </si>
  <si>
    <t>185684-86</t>
  </si>
  <si>
    <t>Kitalive</t>
  </si>
  <si>
    <t>Provider of an online platform intended to offer business consulting services through cloud. The company's online platform is a cloud-based system that uses Internet of things and artificial intelligence tools to register sales activities from outside while sharing results in real time, enabling businesses to speed up corporate management facilities.</t>
  </si>
  <si>
    <t>Business/Productivity Software, Consulting Services (B2B)*</t>
  </si>
  <si>
    <t>Artificial Intelligence &amp; Machine Learning, Industrials, Internet of Things, SaaS, TMT</t>
  </si>
  <si>
    <t>cloud platform, cloud-based platform, corporate management service</t>
  </si>
  <si>
    <t>www.kitalive.co.jp</t>
  </si>
  <si>
    <t>169982-92P</t>
  </si>
  <si>
    <t>Yuya Yoshiya</t>
  </si>
  <si>
    <t>Representative Director &amp; President</t>
  </si>
  <si>
    <t>+81 (0)11 727 3351</t>
  </si>
  <si>
    <t>Sapporo, Japan</t>
  </si>
  <si>
    <t>Kita-ku, Kita 7 Nishi 1-chome</t>
  </si>
  <si>
    <t>15 Maruzo Building Number 18 9 Floor</t>
  </si>
  <si>
    <t>Sapporo</t>
  </si>
  <si>
    <t>060-0807</t>
  </si>
  <si>
    <t>+81 (0)11 351 5950</t>
  </si>
  <si>
    <t>info@kitalive.co.jp</t>
  </si>
  <si>
    <t>The company raised an undisclosed amount of Series A venture funding from Salesforce Ventures on June 2, 2017. With the help of the fund the company will increase the number of employee in Hokkaido and further develop and expand their structure.</t>
  </si>
  <si>
    <t>229322-89</t>
  </si>
  <si>
    <t>Kingfisher Global</t>
  </si>
  <si>
    <t>Provider of investment management services for end-to-end mobile device financing to wireless carriers. The company's services intendeds to originate, structure, finance and administer innovative mobile device financing programs for leading wireless carriers to design and launch customized, carrier branded financing services, enabling customers to easily own and upgrade their mobile devices.</t>
  </si>
  <si>
    <t>investment management tools, mobile device finance, mobile investment, wireless carrier finance</t>
  </si>
  <si>
    <t>www.kfglobal.com</t>
  </si>
  <si>
    <t>36897-13P</t>
  </si>
  <si>
    <t>Dennis Strand</t>
  </si>
  <si>
    <t>dennis.strand@kfglobal.com</t>
  </si>
  <si>
    <t>Hong Kong, Hong Kong</t>
  </si>
  <si>
    <t>1/f Hing Lung Commercial Building</t>
  </si>
  <si>
    <t>68 - 74 Bonham Strand, Sheung WAN</t>
  </si>
  <si>
    <t>Hong Kong</t>
  </si>
  <si>
    <t>The company raised venture funding from Assurant Growth Investing on an undisclosed date.</t>
  </si>
  <si>
    <t>Assurant Growth Investing</t>
  </si>
  <si>
    <t>Assurant Growth Investing(www.assurantgrowthinvesting.com)</t>
  </si>
  <si>
    <t>52842-61</t>
  </si>
  <si>
    <t>Kin Community</t>
  </si>
  <si>
    <t>Digital Entertainment Corporation of America</t>
  </si>
  <si>
    <t>Kin</t>
  </si>
  <si>
    <t>Refinery29, StyleHaul, Fullscreen Digital</t>
  </si>
  <si>
    <t>Operator of a digital media and entertainment agency intended to offer engaging and top-quality content. The company's agency brings together the top lifestyle creators to deliver high-quality, female-focused video content across lifestyle verticals including food, health, beauty, parenting, home and entertainment, enabling users to produce custom content programs with major brand advertisers.</t>
  </si>
  <si>
    <t>Application Software*, Entertainment Software, Information Services (B2C), Social Content, Social/Platform Software</t>
  </si>
  <si>
    <t>creator network, facebook content, instagram content, original content, original programming, video content, video creation, video syndication, youtube content</t>
  </si>
  <si>
    <t>www.kincommunity.com</t>
  </si>
  <si>
    <t>2008: 16, 2014: 26, 2016: 55, 2017: 60, 2019: 15</t>
  </si>
  <si>
    <t>38855-08P</t>
  </si>
  <si>
    <t>Michael Wayne</t>
  </si>
  <si>
    <t>michael@kincommunity.com</t>
  </si>
  <si>
    <t>6300 Arizona Circle</t>
  </si>
  <si>
    <t>90045</t>
  </si>
  <si>
    <t>info@kincommunity.com</t>
  </si>
  <si>
    <t>The company raised $13.5 million of Series D venture funding in a deal led by Emil Capital Partners on June 30, 2016, putting the company's pre-money valuation at $80.5 million. Tegna, Corus Entertainment and Fairfax Media also participated in the round. The company will use funds to expand into new regions, starting with Australia this year and the U.K. in 2017.</t>
  </si>
  <si>
    <t>Atomico, Corus Entertainment, Emil Capital Partners, Fairfax Media, General Catalyst, Mayfield Fund, Rustic Canyon Partners, Tegna</t>
  </si>
  <si>
    <t>Atomico(www.atomico.com), Corus Entertainment(www.corusent.com), Emil Capital Partners(www.emilcapitalpartners.com), Fairfax Media(www.fairfaxmedia.com.au), General Catalyst(www.generalcatalyst.com), Mayfield Fund(www.mayfield.com), Rustic Canyon Partners(www.rusticcanyon.com), Tegna(www.tegna.com)</t>
  </si>
  <si>
    <t>AC Lion(Consulting), Davis Polk &amp; Wardwell(Legal Advisor), Irell &amp; Manella(Legal Advisor), Roy Moraly, CPA(Accounting), SVB Financial Group(General Business Banking)</t>
  </si>
  <si>
    <t>Davis Polk &amp; Wardwell(Legal Advisor), Irell &amp; Manella(Legal Advisor)</t>
  </si>
  <si>
    <t>60120-28</t>
  </si>
  <si>
    <t>Kimeta.de</t>
  </si>
  <si>
    <t>Kimeta</t>
  </si>
  <si>
    <t>Provider of an online job search portal intended to help people to find jobs. The company's portal offers a job search engine which uses artificial intelligence methods based on qualitative criteria and sorted timelines to suggest jobs to the applicants, enabling users to find suitable jobs in a hassle free way.</t>
  </si>
  <si>
    <t>Application Software, Human Capital Services, Information Services (B2C)*</t>
  </si>
  <si>
    <t>jobs, jobs database, jobs search engine, online jobs</t>
  </si>
  <si>
    <t>www.kimeta.de</t>
  </si>
  <si>
    <t>2013: 10, 2014: 19, 2015: 21</t>
  </si>
  <si>
    <t>57173-41P</t>
  </si>
  <si>
    <t>Torsten Hein</t>
  </si>
  <si>
    <t>torsten.hein@kimeta.de</t>
  </si>
  <si>
    <t>+49 (0)61 5178 0430</t>
  </si>
  <si>
    <t>Darmstadt, Germany</t>
  </si>
  <si>
    <t>Mina-Rees-Straße 8</t>
  </si>
  <si>
    <t>Darmstadt</t>
  </si>
  <si>
    <t>64295</t>
  </si>
  <si>
    <t>+49 (0)61 5178 0435 0</t>
  </si>
  <si>
    <t>mail@kimeta.de</t>
  </si>
  <si>
    <t>High-Tech Gründerfonds, NWZ Digital and KfW sold their stakes in the company to Heilbronner Stimme, Mannheimer Morgen, Verlagsgruppe Rhein Main, Mediengruppe Straubinger Tagblatt, Badische Zeitung, Nürnberger Presse and the Schwäbisch Media for an undisclosed amount on January 25, 2015.</t>
  </si>
  <si>
    <t>Badische Zeitung, BASF Venture Capital, Deutsche Telekom, Druck &amp; Medien, Heilbronner Stimme, MADSACK Mediengruppe, Mannheimer Morgen, Mediengruppe Straubinger Tagblatt, Next47, Nürnberger Presse, Schwäbisch Media, Verlagsgruppe Rhein Main</t>
  </si>
  <si>
    <t>High-Tech Gründerfonds, KfW Group, NWZ Digital</t>
  </si>
  <si>
    <t>Badische Zeitung(www.badische-zeitung.de), BASF Venture Capital(www.basf-vc.de), Deutsche Telekom(www.telekom.com), Druck &amp; Medien(www.druck-medien-gmbh.de), Heilbronner Stimme(www.stimme.de), MADSACK Mediengruppe(www.madsack.de), Mannheimer Morgen(www.morgenweb.de), Mediengruppe Straubinger Tagblatt(www.idowa.de), Next47(Next47.com), Nürnberger Presse(www.nuernberg.de), Schwäbisch Media(www.schwaebisch-media.de), Verlagsgruppe Rhein Main(www.vrm.de)</t>
  </si>
  <si>
    <t>High-Tech Gründerfonds(www.high-tech-gruenderfonds.de), KfW Group(www.kfw.de/kfw.de-2.html), NWZ Digital(www.nwz-digital.de)</t>
  </si>
  <si>
    <t>51206-14</t>
  </si>
  <si>
    <t>Kiip</t>
  </si>
  <si>
    <t>Pokkt, Receptiv, Swirl, Aki (Application Software), Gimbal, Tapjoy, AdMob</t>
  </si>
  <si>
    <t>Provider of moments-based in-app platform designed to offer mobile advertising services. The company's platform targets significant moments in the application people use every day and creates meaningful engagements driven by positive emotion between users, developers and advertisers, enabling them to create meaningful customer interactions and highly generate targeted, custom audiences.</t>
  </si>
  <si>
    <t>AdTech, Mobile, TMT</t>
  </si>
  <si>
    <t>customer interaction center, mobile ads app, mobile rewards, moments marketing, online advertising service, online marketing platform</t>
  </si>
  <si>
    <t>www.kiip.me</t>
  </si>
  <si>
    <t>2012: 30, 2014: 60, 2015: 86</t>
  </si>
  <si>
    <t>63521-56P</t>
  </si>
  <si>
    <t>Carol Eckardt</t>
  </si>
  <si>
    <t>carol@kiip.me</t>
  </si>
  <si>
    <t>+1 (415) 625-3785</t>
  </si>
  <si>
    <t>970 Folsom Street</t>
  </si>
  <si>
    <t>hello@kiip.me</t>
  </si>
  <si>
    <t>The company raised $11.98 million of Series C venture funding through a combination of debt and equity in a deal led by North Atlantic Capital on July 19, 2016, putting the company's pre-money valuation at $43.52 million. U.S. Cellular, Relay Ventures, Hummer Winblad Venture Partners, Verizon Ventures and True Ventures also participated in this round. The company will use the funding to ramp up product development and create better tools for developers. The funding was raised through the issuance of new Series C shares and through an additional issuance of Series B preferred shares.</t>
  </si>
  <si>
    <t>American Express Ventures, Crosslink Capital, CrossPacific Capital Partners, Dave Morin, DG Incubation, Digital Garage, Eric Chin, Hinge Capital, Hummer Winblad Venture Partners, Individual Investor, Kicklabs, Michael Lazerow, North Atlantic Capital, Paige Craig, Plug and Play Tech Center, Relay Ventures, Rohan Oza, SimpleGeo, The Interpublic Group of Companies, Transmedia Capital, True Ventures, U.S. Cellular, Vast Ventures, Verizon Ventures</t>
  </si>
  <si>
    <t>Crosslink Capital(www.crosslinkcapital.com), CrossPacific Capital Partners(www.xpcp.ca), Dave Morin(www.davemorin.com), DG Incubation(www.dgincubation.co.jp), Digital Garage(www.garage.co.jp), Hinge Capital(www.hingecapital.com), Hummer Winblad Venture Partners(www.hwvp.com), Kicklabs(www.kicklabs.com), North Atlantic Capital(www.northatlanticcapital.com), Plug and Play Tech Center(www.plugandplaytechcenter.com), Relay Ventures(www.relayventures.com), SimpleGeo(www.simplegeo.com), The Interpublic Group of Companies(www.interpublic.com), Transmedia Capital(www.transmediacapital.com), True Ventures(www.trueventures.com), Vast Ventures(www.vastvc.com), Verizon Ventures(www.verizonventures.com)</t>
  </si>
  <si>
    <t>Carpe Search Partners(Consulting)</t>
  </si>
  <si>
    <t>56920-87</t>
  </si>
  <si>
    <t>Kii</t>
  </si>
  <si>
    <t>Synclore Corporation, Servo Software</t>
  </si>
  <si>
    <t>Cumulocity, Carriots, Evrythng, Corent Technology, Afero, Thethings.Io, Ayla Networks, Itizzimo, FirstFuel Software, Aras, Unifi (Data Platform), Plat.One, Salesforce, Covisint, Lynx Software Technologies, Clearblade, WSO2, Xively, Particle, SAP, Infor Global Solutions, Mode, Opower, PTC Software, Sansa Security, FogHorn, Green Hills Software, Parse</t>
  </si>
  <si>
    <t>Provider of a mobile backend-as-a-service (MBaaS) platform designed to manage multiple vendors and SDKs for businesses. The company's mobile backend-as-a-service (MBaaS) platform adds backend functionality such as, user management and push notifications to the applications without having to manage or operate servers, enabling clients to reduce development and operational cost.</t>
  </si>
  <si>
    <t>Business/Productivity Software, Network Management Software*, Software Development Applications</t>
  </si>
  <si>
    <t>backend as a service, backend as a service platform, cloud technology, distribution service, mobile data, multiple vendors</t>
  </si>
  <si>
    <t>en.kii.com</t>
  </si>
  <si>
    <t>2013: 100, 2014: 52, 2015: 60, 2016: 66</t>
  </si>
  <si>
    <t>54857-08P</t>
  </si>
  <si>
    <t>Masaru Ohta</t>
  </si>
  <si>
    <t>masaru.ohta@kii.com</t>
  </si>
  <si>
    <t>+1 (415) 230-5300</t>
  </si>
  <si>
    <t>1900 South Norfolk Street</t>
  </si>
  <si>
    <t>+1 (650) 577-2340</t>
  </si>
  <si>
    <t>info@kii.com</t>
  </si>
  <si>
    <t>The company raised an undisclosed amount of convertible debt financing from Katalyst Ventures on March 18, 2019. The company also raised an undisclosed amount of venture funding from Cisco Investments on January 21, 2016. The company intends to use the funds to introduce its platform and various IoE solutions throughout the world. Previously, the company raised an undisclosed amount of Series B venture funding from Visionnaire Ventures in September 2015.</t>
  </si>
  <si>
    <t>Asset Management Ventures, Cisco Investments, Eight Roads, Fenox Venture Capital, Jafco, Katalyst Ventures, Mitsubishi UFJ Financial Group, Neostella Capital, Visionnaire Ventures</t>
  </si>
  <si>
    <t>Asset Management Ventures(www.assetman.com), Cisco Investments(www.ciscoinvestments.com), Eight Roads(www.eightroads.com), Fenox Venture Capital(www.fenoxvc.com), Jafco(www.jafco.co.jp), Katalyst Ventures(www.katalyst.ventures), Mitsubishi UFJ Financial Group(www.mufg.jp), Neostella Capital(www.neostella-cap.co.jp), Visionnaire Ventures(www.visionnaire.vc)</t>
  </si>
  <si>
    <t>151 Advisors(Consulting), DLA Piper(Legal Advisor)</t>
  </si>
  <si>
    <t>149993-02</t>
  </si>
  <si>
    <t>KidFresh</t>
  </si>
  <si>
    <t>Plum Organics, Babease, Kiddylicious, Gorilly Goods, Ella's Kitchen, Nud fud, KIND (Healthy Snacks), LÄRABAR, Love Child (Brands), Yumi, Raised Real, NurturMe, Sprout Foods, Baby Gourmet, Pure Spoon, Clif Bar &amp; Company</t>
  </si>
  <si>
    <t>Provider of natural and organic kids' foods designed to offer tasty and nutritious food for kids. The company's food focuses on health-conscious frozen meals, snacks, lunch and dinner items for youngsters under the age of 10, providing parents with convenient meal options for their kids.</t>
  </si>
  <si>
    <t>fresh food store, frozen meals, kids food, kids meals, nutritious meals, organic food</t>
  </si>
  <si>
    <t>www.kidfresh.com</t>
  </si>
  <si>
    <t>123504-40P</t>
  </si>
  <si>
    <t>Gilles Deloux</t>
  </si>
  <si>
    <t>Co-Founder, Chief Marketing Officer &amp; Board Member</t>
  </si>
  <si>
    <t>gilles.deloux@kidfresh.com</t>
  </si>
  <si>
    <t>+1 (212) 686-4303</t>
  </si>
  <si>
    <t>315 Fifth Avenue</t>
  </si>
  <si>
    <t>info@kidfresh.com</t>
  </si>
  <si>
    <t>The company raised $2 million of venture funding in a deal led by Monogram Capital Partners, Emil Capital Partners and AccelFoods on January 28, 2019.</t>
  </si>
  <si>
    <t>AccelFoods, Emil Capital Partners, Monogram Capital Partners</t>
  </si>
  <si>
    <t>AccelFoods(www.accelfoods.com), Emil Capital Partners(www.emilcapitalpartners.com), Monogram Capital Partners(www.monogramcapital.com)</t>
  </si>
  <si>
    <t>Cowan, Liebowitz &amp; Latman(Legal Advisor)</t>
  </si>
  <si>
    <t>110498-05</t>
  </si>
  <si>
    <t>Kickback (Entertainment)</t>
  </si>
  <si>
    <t>Provider of an online platform designed to play competitive video games and make money. The company's online platform provides users to play games against their friends, enabling them to create the game and challenge their friends to make money out of it.</t>
  </si>
  <si>
    <t>Application Software, Entertainment Software, Social/Platform Software*</t>
  </si>
  <si>
    <t>eSports, Gaming, Mobile, SaaS, TMT</t>
  </si>
  <si>
    <t>online money</t>
  </si>
  <si>
    <t>www.kickback.com</t>
  </si>
  <si>
    <t>98397-91P</t>
  </si>
  <si>
    <t>Vlad Nov</t>
  </si>
  <si>
    <t>vlad@kickback.com</t>
  </si>
  <si>
    <t>P.O. Box 70445</t>
  </si>
  <si>
    <t>The company raised an undisclosed amount of venture funding from Steelhead Ventures, Transmedia Capital and Ludlow Ventures on June 6, 2016.</t>
  </si>
  <si>
    <t>CAA Ventures, FundersClub, Great Oaks Venture Capital, JMCR Partners, Ludlow Ventures, Paul Holliman, QueensBridge Venture Partners, Soma Capital, Steelhead Ventures, Streamlined Ventures, Transmedia Capital, Y Combinator</t>
  </si>
  <si>
    <t>CAA Ventures(ventures.caa.com), FundersClub(www.fundersclub.com), Great Oaks Venture Capital(www.greatoaksvc.com), JMCR Partners(www.jmcrpartners.com), Ludlow Ventures(www.ludlowventures.com), QueensBridge Venture Partners(www.qbvp.com), Soma Capital(somacap.com), Steelhead Ventures(www.steelheadvc.com), Streamlined Ventures(www.streamlinedventures.com), Transmedia Capital(www.transmediacapital.com), Y Combinator(www.ycombinator.com)</t>
  </si>
  <si>
    <t>58974-58</t>
  </si>
  <si>
    <t>Keyssa</t>
  </si>
  <si>
    <t>WaveConnex</t>
  </si>
  <si>
    <t>Developer of contactless connectivity technology designed to provide secure and instant data flow between devices. The company's contactless connectivity technology is a wireless connector capable of 6 gigabits per second delivered across a secure, protocol agnostic EHF transmission, enabling product designers and consumers to avoid metal connectors, cables and wireless-bandwidth limits.</t>
  </si>
  <si>
    <t>Application Specific Semiconductors, Connectivity Products, Wireless Communications Equipment*</t>
  </si>
  <si>
    <t>connectivity technology, contactless connectivity technology, data conventions, data transfer, wireless technology</t>
  </si>
  <si>
    <t>www.keyssa.com</t>
  </si>
  <si>
    <t>2014: 18, 2016: 11</t>
  </si>
  <si>
    <t>40692-79P</t>
  </si>
  <si>
    <t>Gordon Almquist</t>
  </si>
  <si>
    <t>gordon.almquist@waveconnex.com</t>
  </si>
  <si>
    <t>+1 (408) 637-2300</t>
  </si>
  <si>
    <t>655 Campbell Technology Parkway</t>
  </si>
  <si>
    <t>info@keyssa.com</t>
  </si>
  <si>
    <t>The company raised venture funding from Playground Global and Flex's Lab IX on an undisclosed date.</t>
  </si>
  <si>
    <t>Alsop Louie Partners, Dolby Family Ventures, Flex's Lab IX, In-Q-Tel, Intel Capital, Peninsula Ventures, Playground Global, Samsung Catalyst, World Wide Touch Technology</t>
  </si>
  <si>
    <t>Alsop Louie Partners(www.alsop-louie.com), Dolby Family Ventures(www.dolbyventures.com), Flex's Lab IX(www.labix.io/expertise/startups), In-Q-Tel(www.iqt.org), Intel Capital(www.intelcapital.com), Peninsula Ventures(www.peninsulaventures.com), Playground Global(www.playground.global), Samsung Catalyst(www.samsungcatalyst.com), World Wide Touch Technology(www.wwtt.hk)</t>
  </si>
  <si>
    <t>219 Design(Consulting), Cooley(Legal Advisor)</t>
  </si>
  <si>
    <t>56941-39</t>
  </si>
  <si>
    <t>KeyMe</t>
  </si>
  <si>
    <t>MinuteKey</t>
  </si>
  <si>
    <t>Developer of a mobile application designed to scan, save and share a digital copy of key and order copies shipped to door. The company's mobile application has automated key copying kiosks with local retailers, enabling customers to save their personalized keys when and where they need them and solve lockout.</t>
  </si>
  <si>
    <t>encryption keys generation, keys duplication, lockout service, locksmith product, locksmith service</t>
  </si>
  <si>
    <t>www.key.me</t>
  </si>
  <si>
    <t>2014: 15, 2015: 29, 2016: 40</t>
  </si>
  <si>
    <t>52618-06P</t>
  </si>
  <si>
    <t>Gregory Marsh</t>
  </si>
  <si>
    <t>greg@keyme.net</t>
  </si>
  <si>
    <t>247 West 36th Street</t>
  </si>
  <si>
    <t>The company received $50 million of development capital from BlackRock on April 10, 2019. The funds will be used for expansion of the company's kiosk footprint in both new and existing retailers as well as the development of additional service offerings.</t>
  </si>
  <si>
    <t>7 Ventures, 7-Eleven, Amol Sarva, Avenue A Ventures, Battery Ventures, Benefit Street Partners, BlackRock, Comcast Ventures, Jens Molbak, QuestMark Partners, RiverPark Ventures, Skydeck Holdings, Teamworthy Ventures, The Michael Polsky Family Office, White Star Capital, Zachary Aarons</t>
  </si>
  <si>
    <t>7 Ventures(www.7-ventures.co), 7-Eleven(www.7-eleven.com), Amol Sarva(amolsarva.com), Avenue A Ventures(www.avenueaventures.com), Battery Ventures(www.battery.com), Benefit Street Partners(www.benefitstreetpartners.com), BlackRock(www.blackrock.com), Comcast Ventures(www.comcastventures.com), QuestMark Partners(www.questm.com), RiverPark Ventures(www.riverparkvc.com), Teamworthy Ventures(www.teamworthy.com), White Star Capital(www.whitestarvc.com)</t>
  </si>
  <si>
    <t>Gunderson Dettmer(Legal Advisor), Nomad Financial(Advisor: General)</t>
  </si>
  <si>
    <t>AGC Partners(Advisor: General), Benefit Street Partners(Debt Financing), Comerica Bank(Debt Financing), Gunderson Dettmer(Legal Advisor)</t>
  </si>
  <si>
    <t>85661-56</t>
  </si>
  <si>
    <t>Kespry</t>
  </si>
  <si>
    <t>Optibrand, Industrial SkyWorks, Skydio, DroneDeploy, FairFleet, EZ3D Technologies</t>
  </si>
  <si>
    <t>Developer of automated drone systems intended for aggregates, construction and mining. The company's systems use mine planning, reserve exploration, reserve mapping, site surveying and mapping, enabling clients to easily capture, view, analyze and share data with the touch of a button.</t>
  </si>
  <si>
    <t>Construction Technology, Robotics and Drones, SaaS, TMT</t>
  </si>
  <si>
    <t>aerial data capture, automated commercial drones, automated drones platform, cloud reporting analytics, cloud-based platform, image processing product, images processing</t>
  </si>
  <si>
    <t>www.kespry.com</t>
  </si>
  <si>
    <t>49547-89P</t>
  </si>
  <si>
    <t>George Mathew</t>
  </si>
  <si>
    <t>george@kespry.com</t>
  </si>
  <si>
    <t>4040 Campbell Avenue</t>
  </si>
  <si>
    <t>hello@kespry.com</t>
  </si>
  <si>
    <t>The company raised an undisclosed amount of venture funding from Shell Ventures, Cisco Investments and ABB Technology Ventures on March 27, 2019. Salesforce Ventures, Lightspeed Venture Partners, DCM Ventures, S28 Capital, G2VP and H. Barton Asset Management also participated in the round.</t>
  </si>
  <si>
    <t>ABB Technology Ventures, Chmod Ventures, Cisco Investments, DCM Ventures, G2VP, H. Barton Asset Management, Lightspeed Venture Partners, Rothenberg Ventures, S28 Capital, Salesforce Ventures, Shell Ventures</t>
  </si>
  <si>
    <t>Cisco Investments(www.ciscoinvestments.com), DCM Ventures(www.dcm.com), G2VP(www.g2vp.com), H. Barton Asset Management(bartonam.com), Lightspeed Venture Partners(www.lsvp.com), Rothenberg Ventures(www.rothenbergventures.com), S28 Capital(www.s28capital.com)</t>
  </si>
  <si>
    <t>Daversa Partners(Consulting), Propelland(Consulting), Wilson Sonsini Goodrich &amp; Rosati(Legal Advisor)</t>
  </si>
  <si>
    <t>166430-71</t>
  </si>
  <si>
    <t>Kensci</t>
  </si>
  <si>
    <t>Jvion, NantHealth, HealthEC, MedeAnalytics, Wellframe, HealthBI, GNS Healthcare, Vigilanz, Eagledream Health, KPI Ninja, Health Catalyst, Lightbeam Health Solutions, VitalHealth Software, eClinicalWorks, SA Ignite, Evidation Health, RxRevu</t>
  </si>
  <si>
    <t>Provider of a healthcare risk prediction platform intended to identify clinical, financial and operational risk to save costs. The company's platform uses AI and includes a library of pre-built models to integrate into existing workflows, enabling practitioners to cut costs intelligently by identifying contributing clinical and financial factors as well as analyzing data across sources like electronic medical records, public records, demographics, claims data and devices.</t>
  </si>
  <si>
    <t>Application Software, Decision/Risk Analysis*, Other Healthcare Technology Systems, Outcome Management (Healthcare)</t>
  </si>
  <si>
    <t>Artificial Intelligence &amp; Machine Learning, Big Data, HealthTech</t>
  </si>
  <si>
    <t>healthcare risk management, healthcare risk prediction, illness prediction tools, risk management platform</t>
  </si>
  <si>
    <t>www.kensci.com</t>
  </si>
  <si>
    <t>2017: 25, 2019: 70</t>
  </si>
  <si>
    <t>145673-02P</t>
  </si>
  <si>
    <t>Samir Manjure</t>
  </si>
  <si>
    <t>samir@kensci.com</t>
  </si>
  <si>
    <t>+1 (206) 790-2100</t>
  </si>
  <si>
    <t>615 2nd Avenue</t>
  </si>
  <si>
    <t>98104</t>
  </si>
  <si>
    <t>hello@kensci.com</t>
  </si>
  <si>
    <t>The company raised $22 million of Series B venture funding in a deal led by Polaris Partners on February 7, 2019, putting the company's pre-money valuation at $85 million. Ignition Partners, Mindset Ventures, Osage University Partners, and UL Ventures also participated in the round. The company intends to use the funds to further accelerate the product roadmap and global expansion.</t>
  </si>
  <si>
    <t>Ignition Partners, Microsoft ScaleUp, Mindset Ventures, Osage University Partners, Polaris Partners, UL Ventures, University of Massachusetts Amherst</t>
  </si>
  <si>
    <t>Ignition Partners(www.ignitionpartners.com), Microsoft ScaleUp(startups.microsoft.com/en-us/scale-up), Mindset Ventures(www.mindset.ventures), Osage University Partners(www.oup.vc), Polaris Partners(www.polarispartners.com), University of Massachusetts Amherst(www.umass.edu)</t>
  </si>
  <si>
    <t>54798-94</t>
  </si>
  <si>
    <t>Kenesto</t>
  </si>
  <si>
    <t>InvoShare, PLMPlus</t>
  </si>
  <si>
    <t>Arena (Solutions), Leankor, HotDocs, Aras, Omnify Software, Propel (Product Management Platform), Wrike, Smartsheet, Centric Software</t>
  </si>
  <si>
    <t>Provider of cloud-based product document management platform designed to be used as an alternative to expensive PDM systems. The company's platform can be used for document sharing across people and teams like a shared network drive and comes with adrive service, enabling engineers and designers to get a simplified collaborative file and data management across the virtual design to manufacture process.</t>
  </si>
  <si>
    <t>Automation/Workflow Software, Business/Productivity Software*, Database Software</t>
  </si>
  <si>
    <t>bid process, engineering data management, pdm system, shared drives service, shares data</t>
  </si>
  <si>
    <t>www.kenesto.com</t>
  </si>
  <si>
    <t>2014: 11, 2015: 14, 2016: 11</t>
  </si>
  <si>
    <t>44825-14P</t>
  </si>
  <si>
    <t>Michael Payne</t>
  </si>
  <si>
    <t>Founder, Chief Executive Officer and Board Member</t>
  </si>
  <si>
    <t>michael.payne@kenesto.com</t>
  </si>
  <si>
    <t>+1 (781) 780-7400</t>
  </si>
  <si>
    <t>59 West Dedham Street</t>
  </si>
  <si>
    <t>PO Box 180208</t>
  </si>
  <si>
    <t>02118</t>
  </si>
  <si>
    <t>info@kenesto.com</t>
  </si>
  <si>
    <t>The company raised $2.69 million of Series D venture funding from undisclosed investors on February 9, 2017, putting the pre-money valuation at $6.86 million.</t>
  </si>
  <si>
    <t>Cedar Fund, Hasso Plattner Ventures</t>
  </si>
  <si>
    <t>Cedar Fund(www.cedarfund.com), Hasso Plattner Ventures(www.hp-ventures.com)</t>
  </si>
  <si>
    <t>53704-72</t>
  </si>
  <si>
    <t>KEMP Technologies</t>
  </si>
  <si>
    <t>KEMP</t>
  </si>
  <si>
    <t>Nginx, Ivanti Software, SaltStack, Avi Networks, Chef, Lacuna Systems, Extreme Networks, RioRey, Arbor Networks, Cloudflare, Pulse Secure, Atlantis Computing, Incapsula, Workspot, Yottaa, Cybereason, Zscaler, Oracle Dyn, Citrix Systems, McAfee, Highwinds Network Group, F5 Networks</t>
  </si>
  <si>
    <t>Provider of application delivery controllers and application-centric load balancing services. The company's application delivers controllers and application-centric load balancing services to optimize the web and application infrastructure for high-performance, flexible scaling, security and helps in virtual infrastructure administrators to gain the control and predictability of their environment thus ensuring the highest levels of application availability and quality of experience, enabling enterprises of every size to enjoy ease of management and reduce total cost-of-ownership for highly available and optimized application infrastructure.</t>
  </si>
  <si>
    <t>application-centric loading, delivery controllers, loading balancers, loading balances, loading balances services, server loading balances</t>
  </si>
  <si>
    <t>www.kemptechnologies.com</t>
  </si>
  <si>
    <t>2014: 165</t>
  </si>
  <si>
    <t>77415-94P</t>
  </si>
  <si>
    <t>George Lo</t>
  </si>
  <si>
    <t>glo@kemptechnologies.com</t>
  </si>
  <si>
    <t>+1 (631) 345-5292</t>
  </si>
  <si>
    <t>989 6th Avenue</t>
  </si>
  <si>
    <t>16th floor</t>
  </si>
  <si>
    <t>+1 (516) 908-4142</t>
  </si>
  <si>
    <t>info@kemptechnologies.com</t>
  </si>
  <si>
    <t>The company was acquired by Mill Point Capital through an LBO on April 1, 2019 for an undisclosed sum.</t>
  </si>
  <si>
    <t>Mill Point Capital</t>
  </si>
  <si>
    <t>BRAIN FORCE Software, Edison Partners, Kennet Partners, ORIX Growth Capital</t>
  </si>
  <si>
    <t>Mill Point Capital(www.millpoint.com)</t>
  </si>
  <si>
    <t>BRAIN FORCE Software(www.brainforce.com), Edison Partners(www.edisonpartners.com), Kennet Partners(www.kennet.com)</t>
  </si>
  <si>
    <t>Reitler Kailas &amp; Rosenblatt(Legal Advisor)</t>
  </si>
  <si>
    <t>231797-98</t>
  </si>
  <si>
    <t>Kebotix</t>
  </si>
  <si>
    <t>www.kebotix.com</t>
  </si>
  <si>
    <t>147562-03P</t>
  </si>
  <si>
    <t>Jill Becker</t>
  </si>
  <si>
    <t>Chief Executive Officer, Board Member &amp; Promoter</t>
  </si>
  <si>
    <t>jbecker@kebotix.com</t>
  </si>
  <si>
    <t>+1 (617) 233-8934</t>
  </si>
  <si>
    <t>23 Perry Street</t>
  </si>
  <si>
    <t>The company raised $5.06 million of Seed funding in a deal led by One Way Ventures on November 11, 2018, putting the company's pre-money valuation at $10 million. WorldQuant Ventures, Flybridge Capital Partners and other undisclosed investors also participated in the round.</t>
  </si>
  <si>
    <t>Baidu Ventures, Embark Ventures, Flybridge Capital Partners, One Way Ventures, WorldQuant Ventures</t>
  </si>
  <si>
    <t>Baidu Ventures(www.bv.ai), Embark Ventures(www.embark.vc), Flybridge Capital Partners(www.flybridge.com), One Way Ventures(www.onewayvc.com), WorldQuant Ventures(www.worldquantventures.com)</t>
  </si>
  <si>
    <t>51506-20</t>
  </si>
  <si>
    <t>Keap (Saas Platform)</t>
  </si>
  <si>
    <t>Infusionsoft</t>
  </si>
  <si>
    <t>Ontraport, Elastic Path, eTrigue, Marketo, Adestra, ActiveCampaign, SharpSpring, SalezShark, GreenRope, Adobe Systems, Alteryx, The Advantage Software Company, Hatchbuck, Pipedrive, Close.io, Nutshell, Springbot, Integrate.com, SailPlay, Salesforce, Infor Global Solutions, Klaviyo, Bronto Software, Salesfusion, Zoho, NetSuite, Yesware, CustomerMatrix, Ubiquity New Zealand, Aprimo, Epicor Software, Demandbase, Autopilot, ConvertKit, Act-On, Kajabi, ToutApp, Silverpop Systems, InsideView, HubSpot, Constant Contact, Nimble, Kapost, Insightly, Drip, GetResponse, Drip (Marketing Software), MailChimp</t>
  </si>
  <si>
    <t>Developer of a marketing and e-commerce platform designed to simplify the user interface. The company's platform includes inventory, e-commerce, invoicing and billing tools for accounts payable, payroll and financial statements, enabling small businesses market automatically to get more customers, grow sales and save time.</t>
  </si>
  <si>
    <t>crm app, crm application, ecommerce platform, marketing advisory, marketing platform, sales and marketing software</t>
  </si>
  <si>
    <t>www.keap.com</t>
  </si>
  <si>
    <t>2013: 350, 2014: 620, 2015: 2500, 2016: 673, 2017: 600, 2018: 675</t>
  </si>
  <si>
    <t>36404-92P</t>
  </si>
  <si>
    <t>Clate Mask</t>
  </si>
  <si>
    <t>clate.mask@infusionsoft.com</t>
  </si>
  <si>
    <t>+1 (855) 557-4971</t>
  </si>
  <si>
    <t>1260 South Spectrum Boulevard</t>
  </si>
  <si>
    <t>85286</t>
  </si>
  <si>
    <t>+1 (480) 391-8177</t>
  </si>
  <si>
    <t>info@infusionsoft.com</t>
  </si>
  <si>
    <t>The company raised $20 million of venture funding from ORIX Growth Capital on October 17, 2018. MicroVentures also participated in the round. The funds will be used to fuel the company's product development and market expansion.</t>
  </si>
  <si>
    <t>Aldrich Capital Partners, Allure Venture, Arthur Ventures, Bain Capital Ventures, GSD Capital, Kickstart Seed Fund, MicroVentures, Mohr Davidow Ventures, ORIX Growth Capital, Signal Peak Ventures, The Goldman Sachs Group</t>
  </si>
  <si>
    <t>Aldrich Capital Partners(www.aldrichcap.com), Allure Venture(www.allureventures.com), Arthur Ventures(www.arthurventures.com), Bain Capital Ventures(www.baincapitalventures.com), GSD Capital(www.gsdcapital.vc), Kickstart Seed Fund(www.kickstartseedfund.com), MicroVentures(www.microventures.com), Mohr Davidow Ventures(www.mdv.com), Signal Peak Ventures(www.spv.com), The Goldman Sachs Group(www.goldmansachs.com)</t>
  </si>
  <si>
    <t>Fenwick &amp; West(Legal Advisor), Kindred Partners(Consulting), True Capital Partners(Advisor: General)</t>
  </si>
  <si>
    <t>Fenwick &amp; West(Legal Advisor), Osborne Maledon(Legal Advisor)</t>
  </si>
  <si>
    <t>63142-21</t>
  </si>
  <si>
    <t>Kazoo</t>
  </si>
  <si>
    <t>YouEarnedIt, Inc., Rockfish Rewards, YouEarnedIt</t>
  </si>
  <si>
    <t>YEI</t>
  </si>
  <si>
    <t>Teamphoria, Badgeville, Workhuman, SmashFly Technologies, Peakon, 9Lenses, Quantum Workplace, TINYpulse, TemboSocial, VoloMetrix, Culture Amp, Bonusly, Glint, Reflektive, ClearFit, Workboard, CultureIQ, Rallyteam, Zugata, SmartRecruiters, Qualtrics, Jibe, QuestBack, BetterWorks, Bonfyre, Kudos (employee recognition), SilkRoad Technology, Phenom People, Waggl, RoundPegg, Avature USA, Peoplecart, Jostle, PeopleFluent, 15Five</t>
  </si>
  <si>
    <t>Provider of a cloud-based employee engagement platform designed to redefine the way companies engage with their employees. The company's platform consolidates employee engagement initiatives into one, easy to use mobile platform for teams of all sizes through real-time recognition, meaningful rewards, enhanced insights as well as gives employees the true ownership they need to drive positive change, enabling organizations to quickly build better relationships with their employees by providing more reasons to engage.</t>
  </si>
  <si>
    <t>employee engagement, employee engagement platform, employee recognition, employee retention, employee satisfaction</t>
  </si>
  <si>
    <t>www.kazoohr.com</t>
  </si>
  <si>
    <t>2014: 14, 2017: 51, 2018: 90</t>
  </si>
  <si>
    <t>44997-67P</t>
  </si>
  <si>
    <t>James Mann</t>
  </si>
  <si>
    <t>james.mann@youearnedit.com</t>
  </si>
  <si>
    <t>+1 (512) 522-1973</t>
  </si>
  <si>
    <t>206 East 9th Street</t>
  </si>
  <si>
    <t>Suite 1502</t>
  </si>
  <si>
    <t>info@youearnedit.com</t>
  </si>
  <si>
    <t>Motley Fool Ventures sold its stake in the company to undisclosed investors. Earlier, the company raised $23.88 million of debt financing in the form of $1.88 million revolving credit line, $13 million term loan and $9 million first in last out transaction from PNC and Hercules Capital on July 17, 2018. Prior to that, the company raised an undisclosed amount of venture funding in a deal led by Vista Equity Partners on April 5, 2018. Ridge Ventures and Silverton Partners also participated in the round.</t>
  </si>
  <si>
    <t>Capital Factory, Ridge Ventures, Silverton Partners, Social Starts, Vista Equity Partners, WPP</t>
  </si>
  <si>
    <t>Capital Factory(www.capitalfactory.com), Ridge Ventures(www.ridge.vc), Silverton Partners(www.silvertonpartners.com), Social Starts(www.socialstarts.com), Vista Equity Partners(www.vistaequitypartners.com), WPP(www.wpp.com)</t>
  </si>
  <si>
    <t>9Gauge Partners(Advisor: General), Vinson &amp; Elkins(Legal Advisor)</t>
  </si>
  <si>
    <t>Hercules Capital(Debt Financing), PNC(Debt Financing), Vinson &amp; Elkins(Legal Advisor)</t>
  </si>
  <si>
    <t>112505-50</t>
  </si>
  <si>
    <t>Kazan Networks</t>
  </si>
  <si>
    <t>Excelero</t>
  </si>
  <si>
    <t>Provider of enterprise storage and networking products and services intended to be used for low latency protocols. The company's products are developed from services in the areas of iSCSI controllers, FC-to-SATA bridges, SAS controllers, and high-performance networking and offer KN-EVAL_1.0, which is a customer evaluation kit, enabling customers and partners to test the emerging NVMe (Non-volatile memory express) over Fabrics standard and also enables easy plug-and-play connectivity between host and an SSD over an Ethernet link.</t>
  </si>
  <si>
    <t>Other Hardware, Other Information Technology, Storage (IT)*</t>
  </si>
  <si>
    <t>datacenters, enterprise networking, enterprise storage, low latency protocol, networking product</t>
  </si>
  <si>
    <t>www.kazan-networks.com</t>
  </si>
  <si>
    <t>2015: 4, 2016: 15</t>
  </si>
  <si>
    <t>99603-82P</t>
  </si>
  <si>
    <t>Joe Steinmetz</t>
  </si>
  <si>
    <t>joe.steinmetz@kazan-networks.com</t>
  </si>
  <si>
    <t>+1 (916) 259-7884</t>
  </si>
  <si>
    <t>Roseville, CA</t>
  </si>
  <si>
    <t>1544 Eureka Road</t>
  </si>
  <si>
    <t>Roseville</t>
  </si>
  <si>
    <t>95661</t>
  </si>
  <si>
    <t>+1 (916) 259-0087</t>
  </si>
  <si>
    <t>kazan@kazan-networks.com</t>
  </si>
  <si>
    <t>The company raised an undisclosed amount of venture funding from Samsung Venture Investment and Western Digital Capital in November 2017. Prior to this, the company raised $4.5 million of Series A venture funding from in a deal led by Samsung Venture Investment on July 21, 2016. PV Ventures, Tahoma Ventures, Western Digital Capital and Intel Capital also participated in the round. The company is being actively tracked by PitchBook.</t>
  </si>
  <si>
    <t>FirstMile Ventures, Intel Capital, Samsung Venture Investment, Tahoma Ventures, Western Digital Capital</t>
  </si>
  <si>
    <t>FirstMile Ventures(www.firstmilevc.com), Intel Capital(www.intelcapital.com), Samsung Venture Investment(www.samsungventures.com), Western Digital Capital(www.westerndigitalcapital.com)</t>
  </si>
  <si>
    <t>52783-75</t>
  </si>
  <si>
    <t>Kateeva</t>
  </si>
  <si>
    <t>TJet Technologies</t>
  </si>
  <si>
    <t>Yieldjet</t>
  </si>
  <si>
    <t>Microvision, Seiko Epson, Panasonic, Novaled</t>
  </si>
  <si>
    <t>Developer of inkjet printing equipment designed to enable low-cost mass production of OLEDs (Organic Light Emitting Diodes). The company's precision deposition technology platform uses innovative inkjet printing to deposit coatings on complex applications with blinding speed and superb accuracy, enabling cost-effective mass production of OLED displays.</t>
  </si>
  <si>
    <t>Impact Investing, Manufacturing, TMT</t>
  </si>
  <si>
    <t>flats panel, impact investing vertical, oled technology, panel display manufacturing, printing equipment, printing technology, production equipment</t>
  </si>
  <si>
    <t>www.kateeva.com</t>
  </si>
  <si>
    <t>2014: 70, 2015: 90</t>
  </si>
  <si>
    <t>13185-91P</t>
  </si>
  <si>
    <t>Alain Harrus</t>
  </si>
  <si>
    <t>aharrus@kateeva.com</t>
  </si>
  <si>
    <t>+1 (650) 322-7595</t>
  </si>
  <si>
    <t>7015 Gateway Boulevard</t>
  </si>
  <si>
    <t>info@kateeva.com</t>
  </si>
  <si>
    <t>The company raised an estimated $128 million of Series F venture funding from Cybernaut Zfounder Ventures and other undisclosed investors in 2017, putting the pre-money at $497 million.</t>
  </si>
  <si>
    <t>Applied Materials, BOE Technology Group Company, Cybernaut (China) Investment, Cybernaut Zfounder Ventures, DBL Partners, Golden Partners Capital, Madrone Capital Partners, Musea Ventures, New Science Ventures, Redview Capital, Samsung Venture Investment, Sigma Partners, Spark Capital, TCL Venture Capital, Varian Semiconductor Equipment Associates, Veeco</t>
  </si>
  <si>
    <t>Applied Materials(www.appliedmaterials.com), BOE Technology Group Company(www.boe.com.cn), Cybernaut (China) Investment(www.cybernaut.com.cn), Cybernaut Zfounder Ventures(www.czvcapital.com), DBL Partners(www.dblpartners.vc), Golden Partners Capital(www.gpcapital.com.cn), Musea Ventures(www.museaventures.com), New Science Ventures(www.newscienceventures.com), Redview Capital(www.redviewcapital.com), Samsung Venture Investment(www.samsungventures.com), Sigma Partners(www.sigmapartners.com), Spark Capital(www.sparkcapital.com), Veeco(www.veeco.com)</t>
  </si>
  <si>
    <t>Gunderson Dettmer(Legal Advisor), Kranz &amp; Associates(Advisor: General), O'Melveny &amp; Myers(Legal Advisor)</t>
  </si>
  <si>
    <t>Gunderson Dettmer(Legal Advisor), O'Melveny &amp; Myers(Legal Advisor)</t>
  </si>
  <si>
    <t>156664-81</t>
  </si>
  <si>
    <t>Karamba Security</t>
  </si>
  <si>
    <t>Security Innovation, Polyverse, Secure Thingz, Cymulate, Dellfer, TowerSec, Blackberry, Argus Cyber Security, Regulus Cyber, Excelfore, Intrinsic-ID</t>
  </si>
  <si>
    <t>Provider of an automotive cybersecurity solutions designed for autonomous and connected cars. The company's autonomous security software products, including Carwall and SafeCAN, provide end-to-end in-vehicle cybersecurity for the endpoints and the internal messaging bus. Its solutions are designed to prevent cyberattacks with zero false positives and secure communications, including OTA updates.</t>
  </si>
  <si>
    <t>Artificial Intelligence &amp; Machine Learning, Autonomous cars, Cybersecurity, Internet of Things, TMT</t>
  </si>
  <si>
    <t>automotive security, automotive software, car security, cps, cyber physical systems, cyber security software, cyber security technology, iot cybersecurity</t>
  </si>
  <si>
    <t>www.karambasecurity.com</t>
  </si>
  <si>
    <t>2016: 14, 2017: 20, 2018: 40</t>
  </si>
  <si>
    <t>132284-62P</t>
  </si>
  <si>
    <t>Tal Ben-David</t>
  </si>
  <si>
    <t>Co-Founder &amp; Vice President of Research &amp; Development</t>
  </si>
  <si>
    <t>tal@karambasecurity.com</t>
  </si>
  <si>
    <t>+972 (0)9 886 6113</t>
  </si>
  <si>
    <t>Bloomfield Hills, MI</t>
  </si>
  <si>
    <t>41000 Woodward Avenue</t>
  </si>
  <si>
    <t>Suite 350 East</t>
  </si>
  <si>
    <t>Bloomfield Hills</t>
  </si>
  <si>
    <t>48304</t>
  </si>
  <si>
    <t>+1 (248) 574-5171</t>
  </si>
  <si>
    <t>contact@karambasecurity.com</t>
  </si>
  <si>
    <t>The company received $10 million of debt financing from Western Technology Investment on April 10, 2018. This round brings the total investment in the company to $27 million. The company is planning to use the funds for inorganic growth, including acquiring companies and technology assets to accelerate its Autonomous Security portfolio progress, as well as address the growing demand for it's platform from automotive and IoT customers. Earlier, the company raised $12 million of Series B venture funding from lead investors YL Ventures and Fontinalis Partners on May 16, 2017.</t>
  </si>
  <si>
    <t>8200 EISP, Asgent, Fontinalis Partners, GlenRock Israel, Liberty Mutual Strategic Ventures, Paladin Capital Group, Presidio Ventures, YL Ventures</t>
  </si>
  <si>
    <t>8200 EISP(www.eisp.org.il), Asgent(www.asgent.co.jp), Fontinalis Partners(www.fontinalis.com), GlenRock Israel(www.grg.co.il), Liberty Mutual Strategic Ventures(welcome.libertymutual.com/innovation/ventures), Paladin Capital Group(www.paladincapgroup.com), Presidio Ventures(www.presidio-ventures.com), YL Ventures(www.ylventures.com)</t>
  </si>
  <si>
    <t>Epstein Rosenblum Maoz(Legal Advisor), Western Technology Investment(Debt Financing)</t>
  </si>
  <si>
    <t>52146-64</t>
  </si>
  <si>
    <t>Kaminario</t>
  </si>
  <si>
    <t>Excelero, SolidFire, NGD Systems, Pavilion Data, Pure Storage, Nexenta, Violin Systems, Coho Data, Nasuni, E8 Storage, Apeiron Data Systems, Cleversafe, StorPool, Elastifile, Tegile, ScaleIO, Nimble Storage, Qumulo, Nimbus Data, CNEX Labs, Pivot3, Cohesity, Atlantis Computing, Nexsan, Datera, Dell EMC, Vexata, QASymphony, ExaGrid, 3Par, XtremIO, Primary Data, Micro Focus, Instaclustr, Extreme Networks, Box, Infinio Systems, ioFabric, SimpliVity, DataCore Software, Zephyr (Software), Infor Global Solutions, WekaIO, Aruba Networks</t>
  </si>
  <si>
    <t>Developer of a flash storage platform designed to redefine information technology standards for storage agility, scalability, performance and cost efficiency. The company's platform utilizes intelligent parallel IO processing and automated data distribution, enabling businesses to maintain data availability through any type of failure, with self-healing capacity and fast data protection.</t>
  </si>
  <si>
    <t>Business/Productivity Software, Storage (IT)*</t>
  </si>
  <si>
    <t>flash storage platform, flash storage system, professional networking, solid-state storage, storage processing</t>
  </si>
  <si>
    <t>www.kaminario.com</t>
  </si>
  <si>
    <t>2011: 50, 2014: 125, 2015: 173, 2017: 275, 2018: 220</t>
  </si>
  <si>
    <t>37048-87P</t>
  </si>
  <si>
    <t>Dani Golan</t>
  </si>
  <si>
    <t>dani@kaminario.com</t>
  </si>
  <si>
    <t>+1 (877) 982-2555</t>
  </si>
  <si>
    <t>Needham, MA</t>
  </si>
  <si>
    <t>75 Second Avenue</t>
  </si>
  <si>
    <t>6th Floor, Suite 620</t>
  </si>
  <si>
    <t>Needham</t>
  </si>
  <si>
    <t>02494</t>
  </si>
  <si>
    <t>info@kaminario.com</t>
  </si>
  <si>
    <t>The company raised $25 million of Series BB venture funding in a deal led by Western Digital Capital on October 10, 2018, putting the company's pre-money valuation at $100 million. Other undisclosed investors also participated in the round.</t>
  </si>
  <si>
    <t>ATEL Capital Group, CEIIF, CIRTech Fund, Globespan Capital Partners, Ibex Investors, Jon Borgen, Kreos Capital, Mitsui Global Investment, Pitango Venture Capital, Scale-Up Venture Capital, Sequoia Capital Israel, Silicon Valley Bank, Tenaya Capital, Waterwood Investment Management, Western Digital Capital</t>
  </si>
  <si>
    <t>ATEL Capital Group(www.atel.com), CEIIF(www.ceiif.com), CIRTech Fund(www.cirtechfund.com), Globespan Capital Partners(www.globespancapital.com), Ibex Investors(www.ibexinvestors.com), Kreos Capital(www.kreoscapital.com), Mitsui Global Investment(www.mitsui-global.com), Pitango Venture Capital(www.pitango.com), Scale-Up Venture Capital(www.scale-up.vc), Silicon Valley Bank(www.svb.com), Tenaya Capital(www.tenayacapital.com), Waterwood Investment Management(www.waterwood.hk), Western Digital Capital(www.westerndigitalcapital.com)</t>
  </si>
  <si>
    <t>Horizon Technology Finance(Debt Financing), Kreos Capital(Debt Financing), Leader Ventures(Debt Financing)</t>
  </si>
  <si>
    <t>Series BB</t>
  </si>
  <si>
    <t>51594-04</t>
  </si>
  <si>
    <t>Kaltura</t>
  </si>
  <si>
    <t>Fuze, Arkadin Cloud Communications, Qumu, Allego, Vidyo, MediaCore, Premiere Global Services, ReadyTalk, SAVO Group, Ooyala, Brightcove, Sharestream</t>
  </si>
  <si>
    <t>Developer of an open source online video platform. The company offers the tools to create and manage video that can power every department, enabling organizations from all industries to power video across the organization, both internally for employees and students, and externally for customers and partners. It also helps organizations to improve communication, drive engagement, share knowledge, increase collaboration boost creativity, and improve learning results.</t>
  </si>
  <si>
    <t>Business/Productivity Software, Communication Software*</t>
  </si>
  <si>
    <t>advertisement serving, content syndication, video management, video sharing</t>
  </si>
  <si>
    <t>www.corp.kaltura.com</t>
  </si>
  <si>
    <t>2007: 20, 2014: 228, 2015: 378, 2017: 450, 2018: 500</t>
  </si>
  <si>
    <t>36574-30P</t>
  </si>
  <si>
    <t>Ron Yekutiel</t>
  </si>
  <si>
    <t>ron.yekutiel@kaltura.com</t>
  </si>
  <si>
    <t>+1 (646) 290-5445</t>
  </si>
  <si>
    <t>250 Park Avenue South</t>
  </si>
  <si>
    <t>+1 (646) 560-5579</t>
  </si>
  <si>
    <t>info@kaltura.com</t>
  </si>
  <si>
    <t>The company received $50 million of development capital from Goldman Sachs Private Capital Investing Group on July 22, 2016. The company will use the capital for worldwide expansion and to further its unique positioning as the 'Everything Video'.</t>
  </si>
  <si>
    <t>.406 Ventures, Avalon Ventures, Commonfund, Daniel Leff, Eric Ma, Gera Venture Capital, Goldman Sachs Private Capital Investing Group, Intel Capital, Luminari Capital, Meaf Consultoria Em Educação, Mitsui Global Investment, Nexus Venture Partners, NGP Capital, ORIX Growth Capital, Sapphire Ventures, Savano Capital Partners, Silicon Valley Bank</t>
  </si>
  <si>
    <t>.406 Ventures(www.406ventures.com), Avalon Ventures(www.avalon-ventures.com), Commonfund(www.commonfund.org), Gera Venture Capital(www.geracapital.com), Intel Capital(www.intelcapital.com), Luminari Capital(www.luminaricapital.com), Mitsui Global Investment(www.mitsui-global.com), Nexus Venture Partners(www.nexusvp.com), NGP Capital(www.ngpcap.com), Sapphire Ventures(www.sapphireventures.com), Savano Capital Partners(savanocapital.com), Silicon Valley Bank(www.svb.com)</t>
  </si>
  <si>
    <t>Bounty M&amp;R(Consulting), Granite Valuations(Valuation/Appraiser), Propel London(Consulting)</t>
  </si>
  <si>
    <t>The Goldman Sachs Group(Lead Manager or Arranger)</t>
  </si>
  <si>
    <t>109556-11</t>
  </si>
  <si>
    <t>Kalooga</t>
  </si>
  <si>
    <t>Provider of an innovative technology platform intended to automatically activate website images and generate relevant displays. The company's platform employs cutting-edge semantic technology to recommend relevant articles, enabling users to share their visual content with their friends, directing more traffic to the page and attracting new users.</t>
  </si>
  <si>
    <t>Application Software*, Business/Productivity Software, Media and Information Services (B2B), Multimedia and Design Software</t>
  </si>
  <si>
    <t>integration, semantic technology, semantic technology software, visual content, visual navigation, widgets</t>
  </si>
  <si>
    <t>www.kalooga.com</t>
  </si>
  <si>
    <t>2009: 20, 2015: 17</t>
  </si>
  <si>
    <t>94782-79P</t>
  </si>
  <si>
    <t>Eldert Van Wijngaarden</t>
  </si>
  <si>
    <t>+31 (0)50 211 1622</t>
  </si>
  <si>
    <t>Groningen, Netherlands</t>
  </si>
  <si>
    <t>Helperpark 284</t>
  </si>
  <si>
    <t>Groningen</t>
  </si>
  <si>
    <t>9723 ZA</t>
  </si>
  <si>
    <t>+31 (0)50 210 3400</t>
  </si>
  <si>
    <t>info@kalooga.com</t>
  </si>
  <si>
    <t>The company raised an undisclosed amount of venture funding from Bertelsmann Digital Media Investments on May 16, 2013.</t>
  </si>
  <si>
    <t>Bertelsmann Digital Media Investments, Noordelijke Ontwikkelings Maatschappij</t>
  </si>
  <si>
    <t>Bertelsmann Digital Media Investments(www.bdmifund.com), Noordelijke Ontwikkelings Maatschappij(www.nom.nl)</t>
  </si>
  <si>
    <t>171830-44</t>
  </si>
  <si>
    <t>Kakehashi</t>
  </si>
  <si>
    <t>Provider of an electronic medicine history system designed to be used for connecting medical treatment and patients. The company's SaaS based system stores all information related to the health insurance claim and drug history management that can be accessed through mobile applications and smartphones, enabling users with the optimum medication advice and instructions for a healthy and safe future.</t>
  </si>
  <si>
    <t>Application Software*, Other Healthcare Services</t>
  </si>
  <si>
    <t>drugs management, electronic medicine storage, medical advice, medication administration, medication advice, medication app, medicine history system</t>
  </si>
  <si>
    <t>www.kakehashi.life</t>
  </si>
  <si>
    <t>161938-81P</t>
  </si>
  <si>
    <t>Yutaka Nakao</t>
  </si>
  <si>
    <t>Co-Founder, Chief Executive Officer &amp; Director</t>
  </si>
  <si>
    <t>yutaka.nakao@kakehashi.com</t>
  </si>
  <si>
    <t>+81 (0)35 357 7853</t>
  </si>
  <si>
    <t>9th Floor, Ginza Ono Building 1-17 Tsukiji</t>
  </si>
  <si>
    <t>104-0045</t>
  </si>
  <si>
    <t>The company raised $8 million of Series A venture funding from ITOCHU Technology Ventures, GE Ventures and Salesforce Ventures on May 14, 2018. Grey Ventures, Draper Nexus, Globis Capital Partners, SMBC Venture Capital and 500 Startups also participated in the round. The company intends to use the funds to strengthen their organization base with a view to further enhancing Musubi's functions, launching new businesses and expand customer support structure, accelerate business alliances and internal sales structure.</t>
  </si>
  <si>
    <t>Coral Capital, DNX Ventures, GE Ventures, Globis Capital Partners, GREE Ventures, ITOCHU Technology Ventures, Salesforce Ventures, SMBC Venture Capital</t>
  </si>
  <si>
    <t>Coral Capital(www.coralcap.co), DNX Ventures(www.dnx.vc), GE Ventures(www.geventures.com), Globis Capital Partners(www.globiscapital.co.jp), GREE Ventures(www.greeventures.com), ITOCHU Technology Ventures(www.techv.co.jp), SMBC Venture Capital(www.smbc-vc.co.jp)</t>
  </si>
  <si>
    <t>52260-49</t>
  </si>
  <si>
    <t>Kaiam</t>
  </si>
  <si>
    <t>Manufacturer of optical components designed to power the cloud technology of today as well as of future. The company develops, manufactures and markets planar light wave circuits, optical sub-assemblies, modules and transceivers for various applications in the fiber optics communications industry.</t>
  </si>
  <si>
    <t>Connectivity Products, Fiberoptic Equipment*</t>
  </si>
  <si>
    <t>optic communication, optical components</t>
  </si>
  <si>
    <t>www.kaiam.com</t>
  </si>
  <si>
    <t>2010: 4, 2014: 201, 2017: 500</t>
  </si>
  <si>
    <t>42175-00P</t>
  </si>
  <si>
    <t>Art Stein</t>
  </si>
  <si>
    <t>art@kaiamcorp.com</t>
  </si>
  <si>
    <t>+1 (510) 226-8100</t>
  </si>
  <si>
    <t>39677 Eureka Drive</t>
  </si>
  <si>
    <t>+1 (510) 474-3155</t>
  </si>
  <si>
    <t>info@kaiam.com</t>
  </si>
  <si>
    <t>The company raised an estimated $7 million of Series F1 venture funding from undisclosed investors on September 7, 2018, putting the company's pre-money valuation at $348 million.</t>
  </si>
  <si>
    <t>Agility Labs, Arista Networks, Broadex Technologies Company, Cisco Investments, DBL Partners, GV, Infinera, Marc Van Den Berg, Opnext, Palo Alto Investors, Technology Partners, Triple Ring Technologies, TriplePoint Capital, US Venture Partners</t>
  </si>
  <si>
    <t>Agility Labs(www.agilitylabs.org), Arista Networks(www.arista.com), Broadex Technologies Company(www.broadex-tech.com), Cisco Investments(www.ciscoinvestments.com), DBL Partners(www.dblpartners.vc), GV(www.gv.com), Infinera(www.infinera.com), Palo Alto Investors(www.pa-investors.com), Technology Partners(www.technologypartners.com), Triple Ring Technologies(www.tripleringtech.com), TriplePoint Capital(www.triplepointcapital.com), US Venture Partners(www.usvp.com)</t>
  </si>
  <si>
    <t>GPB Capital(Debt Financing), White Summers Caffee &amp; James(Legal Advisor)</t>
  </si>
  <si>
    <t>51481-09</t>
  </si>
  <si>
    <t>Kabbage</t>
  </si>
  <si>
    <t>QuarterSpot, LendingRobot, Currency Capital, LiftForward, BFS Capital, ZestFinance, Behalf, LendingClub, Prosper, Dealstruck, Pave, Fundbox, Fundera, RateSetter, Insikt, Avant (Online Lending Firm), Ezbob, Lendio, Dana Cita, Swift Financial, WeLab Holdings, LetsVenture Online, Lenddo, P2Binvestor, LendKey, Affirm, Credibly, Tienda Pago, Propelld, National Funding, LendingHome, CAN Capital, Propel(x), Crowdcube, FastPay Partners, Bond Street Marketplace, Zopa, Able Lending, Snap Capital, IOU Financial, Nav (Financial software), Seedrs, Direct Capital, Capify, Lighter Capital, OnDeck, SoFi, PayPal Holdings, BlueVine, Funding Circle</t>
  </si>
  <si>
    <t>Provider of an online lending platform designed to offer automated funding to small businesses. The company's online lending platform leverages data generated through business activities such as accounting data, online sales, shipping and other sources to understand performance and deliver flexible funding in real time, enabling business to access capital and cash advances.</t>
  </si>
  <si>
    <t>business loans, debt financing, working capital</t>
  </si>
  <si>
    <t>www.kabbage.com</t>
  </si>
  <si>
    <t>2011: 36, 2012: 36, 2014: 100, 2015: 230, 2016: 285, 2017: 400</t>
  </si>
  <si>
    <t>36353-98P</t>
  </si>
  <si>
    <t>Robert Frohwein</t>
  </si>
  <si>
    <t>rfrohwein@kabbage.com</t>
  </si>
  <si>
    <t>+1 (855) 278-7084</t>
  </si>
  <si>
    <t>925B Peachtree Street North East</t>
  </si>
  <si>
    <t>Suite 1688</t>
  </si>
  <si>
    <t>+1 (888) 986-8263</t>
  </si>
  <si>
    <t>info@kabbage.com</t>
  </si>
  <si>
    <t>The company completed a $700 million debt refinancing round on April 8, 2019. Undisclosed lenders provided $700 million of asset-backed securitization to the company.</t>
  </si>
  <si>
    <t>Adam Nash, Benjamin Narasin, BlueRun Ventures, Elevate Innovation Partners, Elixir Capital, Greg Kidd, Hard Yaka, Harris Barton, ING Bank, ING Ventures, Lumia Capital, Malaysia Venture Capital Management, Mohr Davidow Ventures, Northgate Capital, Recruit Strategic Partners, Reverence Capital Partners, Santander InnoVentures, Scotiabank Global Banking and Markets, SoftBank Capital, SoftBank Group, Stephens, SV Angel, TCW Capital Ventures, Thomvest Ventures, TPG Capital, TriplePoint Capital, UPS Strategic Enterprise Fund, Victory Park Capital, Western Technology Investment</t>
  </si>
  <si>
    <t>Yuan Capital</t>
  </si>
  <si>
    <t>BlueRun Ventures(www.brv.com), Elevate Innovation Partners(www.eipfund.com), Elixir Capital(www.elixircap.com), Hard Yaka(www.hardyaka.com), ING Bank(www.ing.nl), Lumia Capital(www.lumiacapital.com), Malaysia Venture Capital Management(www.mavcap.com), Mohr Davidow Ventures(www.mdv.com), Northgate Capital(www.northgate.com), Recruit Strategic Partners(recruitstrategicpartners.com), Reverence Capital Partners(www.reverencecapital.com), Santander InnoVentures(www.santanderinnoventures.com), Scotiabank Global Banking and Markets(www.gbm.scotiabank.com), SoftBank Capital(www.softbankvc.com), SoftBank Group(www.softbank.jp), Stephens(www.stephens.com), SV Angel(www.svangel.com), Thomvest Ventures(www.thomvest.com), TPG Capital(www.tpg.com), TriplePoint Capital(www.triplepointcapital.com), Victory Park Capital(www.victoryparkcapital.com), Western Technology Investment(www.westerntech.com)</t>
  </si>
  <si>
    <t>Alston &amp; Bird(Legal Advisor), DLA Piper(Legal Advisor)</t>
  </si>
  <si>
    <t>Alston &amp; Bird(Legal Advisor), BlackWatch Advisors(Advisor: General), Credit Suisse(Debt Financing), DLA Piper(Legal Advisor), Financial Technology Partners(Advisor: General), Guggenheim Partners(Debt Financing), Thomvest Ventures(Debt Financing), Victory Park Capital(Debt Financing), Western Technology Investment(Debt Financing)</t>
  </si>
  <si>
    <t>168227-92</t>
  </si>
  <si>
    <t>K Health</t>
  </si>
  <si>
    <t>Kang Health</t>
  </si>
  <si>
    <t>Grand Rounds, HealthTap, Wellbe, Aligne Health, GlobalMedia Group, Pager, SnapMD, American Well</t>
  </si>
  <si>
    <t>Developer of a crowd-sourced data diagnosing symptom software designed to provide artificial intelligence based personal health assistance. The company's software provides a trustworthy health information platform that gathers information based on individual reported symptoms and provides diagnostics and treatment suggestions, enabling medical practitioners to turn clinical health data into knowledge that can help in managing health.</t>
  </si>
  <si>
    <t>Outcome Management (Healthcare)</t>
  </si>
  <si>
    <t>Other Healthcare Technology Systems, Outcome Management (Healthcare)*</t>
  </si>
  <si>
    <t>Artificial Intelligence &amp; Machine Learning, HealthTech</t>
  </si>
  <si>
    <t>ai-powered primary care platform, diagnose symptoms, diagnostic platform, healthcare software platform, healthcare suggestion</t>
  </si>
  <si>
    <t>www.khealth.ai</t>
  </si>
  <si>
    <t>2016: 10, 2018: 40</t>
  </si>
  <si>
    <t>13513-24P</t>
  </si>
  <si>
    <t>Allon Bloch</t>
  </si>
  <si>
    <t>allon@khealth.ai</t>
  </si>
  <si>
    <t>+1 (781) 697-5352</t>
  </si>
  <si>
    <t>1133 Broadway</t>
  </si>
  <si>
    <t>The company raised $25 million of Series B venture funding in a deal co-led by Comcast Ventures, Mangrove Capital Partners and 14W on December 17, 2018, putting the company's pre-money valuation at $100 million. Bessemer Venture Partners, Lerer Hippeau Ventures, Primary Venture Partners, Max Ventures and BoxGroup also participated in the round. The funds will be used for expanding the company's platform which is meant to provide more relevant and personalized health information to patients.</t>
  </si>
  <si>
    <t>14W, Adam Singolda, Bessemer Venture Partners, BoxGroup, Comcast Ventures, Lerer Hippeau, Mangrove Capital Partners, Max Ventures, Morris Kahn and Maccabi, Primary Venture Partners</t>
  </si>
  <si>
    <t>14W(www.14w.com), Bessemer Venture Partners(www.bvp.com), BoxGroup(www.boxgroup.com), Comcast Ventures(www.comcastventures.com), Lerer Hippeau(www.lererhippeau.com), Mangrove Capital Partners(www.mangrove.vc), Max Ventures(www.maxventures.vc), Morris Kahn and Maccabi(www.mkm-research.org), Primary Venture Partners(www.primary.vc)</t>
  </si>
  <si>
    <t>117083-26</t>
  </si>
  <si>
    <t>Juvo</t>
  </si>
  <si>
    <t>Lenddo, Tala, CredoLab, MoneyStream, Kabbage, Kueski, Avant (Online Lending Firm)</t>
  </si>
  <si>
    <t>Developer of mobile identity scoring software designed to establish financial identities for the people who are creditworthy, yet financially excluded. The company's application software uses sophisticated, data science-based credit algorithms to identify previously anonymous prepaid subscribers, enable subscribers to build financial identities and gain access to basic financial services and transforms subscriber consumption with real-time credit, enabling mobile operators to deepen their relationships with subscribers and provide access to life-changing financial services.</t>
  </si>
  <si>
    <t>Application Software*, Other Financial Services</t>
  </si>
  <si>
    <t>identity scoring, mobile identity application, mobile identity management, mobile identity platform, mobile identity scoring</t>
  </si>
  <si>
    <t>www.juvo.com</t>
  </si>
  <si>
    <t>2015: 19, 2016: 28, 2017: 50</t>
  </si>
  <si>
    <t>122333-77P</t>
  </si>
  <si>
    <t>Steven Polsky</t>
  </si>
  <si>
    <t>steve@juvo.com</t>
  </si>
  <si>
    <t>+1 (415) 730-0307</t>
  </si>
  <si>
    <t>98 Battery Street</t>
  </si>
  <si>
    <t>info@juvo.com</t>
  </si>
  <si>
    <t>The company raised an undisclosed amount of venture funding from Samsung Next on January 23, 2018. The investment will enable the company to expand its business reach and enable global mobile operators to accelerate the migration to smartphones amongst prepaid mobile subscribers, offering access to digital financial services. Previously, The company raised $40 million of Series B venture funding from lead investors New Enterprise Associates (NEA) and Wing Venture Capital on July 27, 2017, putting the company's pre-money valuation at $130 million.</t>
  </si>
  <si>
    <t>Antonio Viana-Baptista, Arun Sarin, Duncan Niederauer, Frank Yeary, Freestyle Capital, Intercept Ventures, Jim Calhoun, Mohan Gyani, New Enterprise Associates, NGP Capital, Ron Suber, Samsung NEXT Ventures, Seed-Resolute, SignalFire, William Esrey, Wing Venture Capital</t>
  </si>
  <si>
    <t>Freestyle Capital(www.freestyle.vc), Intercept Ventures(www.interceptventures.com), New Enterprise Associates(www.nea.com), NGP Capital(www.ngpcap.com), Samsung NEXT Ventures(www.samsungnext.com), Seed-Resolute(www.seedresolute.com), SignalFire(www.signalfire.com), Wing Venture Capital(www.wing.vc)</t>
  </si>
  <si>
    <t>Fenwick &amp; West(Legal Advisor), Mondato(Consulting)</t>
  </si>
  <si>
    <t>55057-51</t>
  </si>
  <si>
    <t>JustPark</t>
  </si>
  <si>
    <t>ParkAtMyHouse</t>
  </si>
  <si>
    <t>MyPark, Parking Panda, SpotAngels, AppyParking, SpotHero</t>
  </si>
  <si>
    <t>Provider of a car parking application designed to match drivers with parking spaces. The company's car parking application maximizes the value of parking assets by unlocking previously inactive spaces and pricing them properly, enabling drivers to find, reserve and pay for parking seamlessly.</t>
  </si>
  <si>
    <t>car parking application, online vehicle parking, parking management, rental parking</t>
  </si>
  <si>
    <t>www.justpark.com</t>
  </si>
  <si>
    <t>2015: 45</t>
  </si>
  <si>
    <t>42919-66P</t>
  </si>
  <si>
    <t>Anthony Eskinazi</t>
  </si>
  <si>
    <t>anthony@justpark.com</t>
  </si>
  <si>
    <t>+44 (0)20 3318 9792</t>
  </si>
  <si>
    <t>Unit B Piano Yard</t>
  </si>
  <si>
    <t>30a Highgate Road</t>
  </si>
  <si>
    <t>NW5 1NS</t>
  </si>
  <si>
    <t>help@justpark.com</t>
  </si>
  <si>
    <t>The company raised GBP 2.73 million of angel funding via Crowdcube as on November 29, 2017, putting the company's pre-money valuation at GBP 33 million.</t>
  </si>
  <si>
    <t>BMW i Ventures, E.Man, Index Ventures (UK), LocalGlobe, The International Conclave of Entrepreneurs, Virgin Media</t>
  </si>
  <si>
    <t>BMW i Ventures(www.bmwiventures.com), E.Man(www.e-man.co.uk), Index Ventures (UK)(www.indexventures.com), LocalGlobe(www.localglobe.vc), The International Conclave of Entrepreneurs(www.theicelist.com), Virgin Media(www.virginmedia.com)</t>
  </si>
  <si>
    <t>Crowdcube(Lead Manager or Arranger), Finn Partners(Advisor: Communications), JAG Shaw Baker(Legal Advisor)</t>
  </si>
  <si>
    <t>60328-27</t>
  </si>
  <si>
    <t>Jukin Media</t>
  </si>
  <si>
    <t>Chiway Entertainment</t>
  </si>
  <si>
    <t>Fullscreen Media, Tempesta Media, MiTu, Storyful</t>
  </si>
  <si>
    <t>Operator of a video content site intended to work with brands, agencies, digital publishers, media and entertainment companies across the globe. The company's web videos build content brands, partners with channel creators on social sites and also provides media licensing services. It has been teaming up with entertainment, advertising and publishing professionals to develop shows, campaigns and stories that utilize the world's most compelling UGC videos.</t>
  </si>
  <si>
    <t>Broadcasting, Radio and Television, Entertainment Software, Social Content*, Social/Platform Software</t>
  </si>
  <si>
    <t>entertainment network building, multiplatform media, social video property, user generated video, video content site, viral video licensing</t>
  </si>
  <si>
    <t>www.jukinmedia.com</t>
  </si>
  <si>
    <t>2010: 22, 2014: 58, 2015: 88, 2016: 125</t>
  </si>
  <si>
    <t>81401-05P</t>
  </si>
  <si>
    <t>Jonathan Skogmo</t>
  </si>
  <si>
    <t>jonathan@jukinmedia.com</t>
  </si>
  <si>
    <t>+1 (323) 932-0960</t>
  </si>
  <si>
    <t>5764 West Jefferson Boulevard</t>
  </si>
  <si>
    <t>info@jukinmedia.com</t>
  </si>
  <si>
    <t>The company raised venture funding from Wavemaker Partners on an undisclosed date.</t>
  </si>
  <si>
    <t>Allen DeBevoise, Bertelsmann Digital Media Investments, Brad Zions, Canyon Creek Capital, Karlin Ventures, Launchpad LA, Maker Studios, Richard Wolpert, Samsung Venture Investment, SPH Ventures, Third Wave Digital, Wavemaker Partners</t>
  </si>
  <si>
    <t>Bertelsmann Digital Media Investments(www.bdmifund.com), Canyon Creek Capital(www.canyoncreekcapital.com), Karlin Ventures(www.karlinvc.com), Launchpad LA(www.launchpad.la), Maker Studios(www.makerstudios.com), Samsung Venture Investment(www.samsungventures.com), SPH Ventures(www.sphventures.com.sg), Third Wave Digital(www.thirdwavedigital.vc), Wavemaker Partners(www.wavemaker.vc)</t>
  </si>
  <si>
    <t>Moulton Moore(Legal Advisor)</t>
  </si>
  <si>
    <t>120677-77</t>
  </si>
  <si>
    <t>Jrink</t>
  </si>
  <si>
    <t>Provider of a health and wellness platform intended to offer cold-pressed juices. The company's platform offers fresh cold-pressed juices with produce sourced from local farms and served in recyclable glass bottles with no use of additives or concentrates, enabling consumers to have access to fresher tasting juice without the byproducts of plastic.</t>
  </si>
  <si>
    <t>Beverages*, Internet Retail</t>
  </si>
  <si>
    <t>cold-pressed juice, juice product, local farming produce</t>
  </si>
  <si>
    <t>www.jrink.com</t>
  </si>
  <si>
    <t>107840-71P</t>
  </si>
  <si>
    <t>Jennifer Ngai</t>
  </si>
  <si>
    <t>j.ngai@jrinkjuicery.com</t>
  </si>
  <si>
    <t>+1 (202) 459-7785</t>
  </si>
  <si>
    <t>1630 14th Street NorthWest</t>
  </si>
  <si>
    <t>Between Corcoran &amp; R Street</t>
  </si>
  <si>
    <t>info@jrinkjuicery.com</t>
  </si>
  <si>
    <t>The company raised $175,000 of convertible debt financing from undisclosed investors on July 19, 2018. Previously, the company received an undisclosed amount of development capital from GSP Group, Baltimore Angels and CircleUp Network on July 13, 2017.</t>
  </si>
  <si>
    <t>Baltimore Angels, CircleUp Network, GSP Group</t>
  </si>
  <si>
    <t>Baltimore Angels(www.baltimoreangels.com), CircleUp Network(www.circleup.com), GSP Group(www.gsp.group)</t>
  </si>
  <si>
    <t>GSP Financial(Advisor: General)</t>
  </si>
  <si>
    <t>DC Community Ventures(Debt Financing)</t>
  </si>
  <si>
    <t>231043-87</t>
  </si>
  <si>
    <t>Journey Meditation</t>
  </si>
  <si>
    <t>Sokoler Ventures, LLC</t>
  </si>
  <si>
    <t>Journey</t>
  </si>
  <si>
    <t>Provider of meditation services intended to strengthen focus and bring happiness in life. The company offers online and offline meditation courses, community events for individuals as well as stress management and mental wellbeing programs for organizations, enabling clients to reduce stress and increase productivity.</t>
  </si>
  <si>
    <t>Education and Training Services (B2B)*, Other Healthcare Services</t>
  </si>
  <si>
    <t>meditation classes, meditation community events, meditation service, mental fitness program, mental wellbeing program, online meditation courses, online meditation guide, stress management program</t>
  </si>
  <si>
    <t>www.journeymeditation.com</t>
  </si>
  <si>
    <t>123042-61P</t>
  </si>
  <si>
    <t>Stephen Sokoler</t>
  </si>
  <si>
    <t>stephen@journeymeditation.com</t>
  </si>
  <si>
    <t>+1 (646) 504-9226</t>
  </si>
  <si>
    <t>95 Horatio Street</t>
  </si>
  <si>
    <t>Suite 9E</t>
  </si>
  <si>
    <t>info@journeymeditation.com</t>
  </si>
  <si>
    <t>The company raised $2.4 million of seed funding in a deal led by Canaan Partners on May 7, 2019. Bertelsmann Digital Media Investments, New York Venture Partners, The Fund, Brooklyn Bridge Ventures, Nelstone Ventures, Betaworks and undisclosed angel investors also participated in the round. The funds will be used by the company to build out its app experience by hiring additional best-in-class meditation teachers and expanding its user base.</t>
  </si>
  <si>
    <t>Akatsuki Entertainment Technology Fund, Bertelsmann Digital Media Investments, Betaworks, Brooklyn Bridge Ventures, Canaan Partners, Nelstone Ventures, New York Venture Partners, The Fund</t>
  </si>
  <si>
    <t>Akatsuki Entertainment Technology Fund(www.aet.fund), Bertelsmann Digital Media Investments(www.bdmifund.com), Betaworks(www.betaworks.com), Brooklyn Bridge Ventures(www.brooklynbridge.vc), Canaan Partners(www.canaan.com), Nelstone Ventures(www.nelstoneventures.com), New York Venture Partners(www.nyvp.com)</t>
  </si>
  <si>
    <t>54863-65</t>
  </si>
  <si>
    <t>Jornaya</t>
  </si>
  <si>
    <t>LeadiD</t>
  </si>
  <si>
    <t>InfoScout, Streetbees, MFour, Twentify, Mobee, Quri, RoamlerRetail, Premise, BeMyEye, RetailNext, Alkemics, Bino, Jyve, Task360, Granify</t>
  </si>
  <si>
    <t>Developer of a consumer journey insight platform designed to offer marketers with unique data, insights and analytics. The company's consumer insight platform offers data and view of consumers buying journey to get customer acquisition programs, enabling marketers to make decision on every intent-driven consumer interaction.</t>
  </si>
  <si>
    <t>led buyer, led certification, led generation, led seller, open technology platform, real time decision, technology vendor, third party technology</t>
  </si>
  <si>
    <t>www.jornaya.com</t>
  </si>
  <si>
    <t>2014: 77, 2015: 89, 2016: 106, 2017: 73</t>
  </si>
  <si>
    <t>39651-04P</t>
  </si>
  <si>
    <t>Louis Desiderio</t>
  </si>
  <si>
    <t>ldesiderio@leadid.com</t>
  </si>
  <si>
    <t>+1 (267) 460-7287</t>
  </si>
  <si>
    <t>Conshohocken, PA</t>
  </si>
  <si>
    <t>1001 East Hector Street</t>
  </si>
  <si>
    <t>Conshohocken</t>
  </si>
  <si>
    <t>19428</t>
  </si>
  <si>
    <t>The company raised $10 million of Series B venture funding in a deal led by Edison Partners on June 29, 2016, putting the pre-money valuation at $40 million. Other undisclosed investors also participated in the round. The funding will be used to continue to grow its operations.</t>
  </si>
  <si>
    <t>Chip Meakem, Comcast Ventures, Edison Partners, Genacast Ventures, Tribeca Venture Partners</t>
  </si>
  <si>
    <t>Comcast Ventures(www.comcastventures.com), Edison Partners(www.edisonpartners.com), Genacast Ventures(www.genacast.com), Tribeca Venture Partners(www.tribecavp.com)</t>
  </si>
  <si>
    <t>Gunderson Dettmer(Legal Advisor), The Millard Group (Connecticut)(Consulting)</t>
  </si>
  <si>
    <t>115473-07</t>
  </si>
  <si>
    <t>Jopwell</t>
  </si>
  <si>
    <t>Mimconnect, The Muse</t>
  </si>
  <si>
    <t>Developer of a career-services platform designed to increase Black, Latinx, Hispanic and Native American students and professional representation and facilitate a national dialogue about diversity in workplaces. The company's career-services platform offers career opportunities for under-represented minority candidates seeking employment by connecting them with large companies, enabling job seekers to find career opportunities in a hassle free way, without compromising on their background.</t>
  </si>
  <si>
    <t>Human Capital Services*, Information Services (B2C), Social/Platform Software</t>
  </si>
  <si>
    <t>career advancement platform, jobs opportunities, jobs seeking platform, online jobs</t>
  </si>
  <si>
    <t>www.jopwell.com</t>
  </si>
  <si>
    <t>103481-38P</t>
  </si>
  <si>
    <t>Porter Braswell</t>
  </si>
  <si>
    <t>porter@jopwell.com</t>
  </si>
  <si>
    <t>500 Broome Street</t>
  </si>
  <si>
    <t>team@jopwell.com</t>
  </si>
  <si>
    <t>The company raised an undisclosed amount of debt financing from Western Technology Investment.</t>
  </si>
  <si>
    <t>Alumni Ventures Group, Andreessen Horowitz, Blue Ivy Ventures, Comcast Ventures, Cue Ball, Kapor Capital, Kow Mensah, Liquid 2 Ventures, Magic Johnson Enterprises, Omidyar Network, SJF Ventures, Spero Ventures, Teneo Holdings, The San Francisco 49ers, Valar Ventures, Y Combinator</t>
  </si>
  <si>
    <t>Alumni Ventures Group(www.avgfunds.com), Andreessen Horowitz(www.a16z.com), Blue Ivy Ventures(www.blueivyventures.com), Comcast Ventures(www.comcastventures.com), Cue Ball(www.cueball.com), Kapor Capital(www.kaporcapital.com), Liquid 2 Ventures(www.liquid2.vc), Magic Johnson Enterprises(www.magicjohnson.com), Omidyar Network(www.omidyar.com), SJF Ventures(www.sjfventures.com), Spero Ventures(www.spero.vc), Teneo Holdings(www.teneo.com), Valar Ventures(www.valarventures.com), Y Combinator(www.ycombinator.com)</t>
  </si>
  <si>
    <t>112659-13</t>
  </si>
  <si>
    <t>Joby Aviation</t>
  </si>
  <si>
    <t>JetPack Aviation</t>
  </si>
  <si>
    <t>Developer and manufacturer of a new generation of electric personal aircraft created to revolutionize personal mobility. The company's S2 aircraft is an environmentally-friendly personal airplane that requires 5 times less energy than conventional auto transportation at 5 times the door-to-door speed, enabling fast, safe, and affordable traveling.</t>
  </si>
  <si>
    <t>Aerospace and Defense*, Industrial Supplies and Parts</t>
  </si>
  <si>
    <t>Impact Investing, Industrials, Manufacturing</t>
  </si>
  <si>
    <t>aerodynamic, air transportation service, airframe design, battery electrochemistry, fabrication systems, impact investing vertical, landing passenger aircraft</t>
  </si>
  <si>
    <t>www.jobyaviation.com</t>
  </si>
  <si>
    <t>99858-43P</t>
  </si>
  <si>
    <t>JoeBen Bevirt</t>
  </si>
  <si>
    <t>joeben@jobyaviation.com</t>
  </si>
  <si>
    <t>340 Woodpecker Ridge</t>
  </si>
  <si>
    <t>The company completed a $10 million debt refinancing round led by Silicon Valley Bank on May 2, 2018. Latham &amp; Watkins acted as a legal advisor to the company in the transaction.</t>
  </si>
  <si>
    <t>8VC, Allen &amp; Company, AME Cloud Ventures, Capricorn Investment Group, EDBI, Intel Capital, JetBlue Technology Ventures, Paul Sciarra, Ronald Conway, Sky Dayton, SPARX Group Company, Toyota AI Ventures</t>
  </si>
  <si>
    <t>8VC(www.8vc.com), Allen &amp; Company(www.allenco.com), AME Cloud Ventures(www.amecloudventures.com), Capricorn Investment Group(www.capricornllc.com), EDBI(www.edbi.com), Intel Capital(www.intelcapital.com), JetBlue Technology Ventures(www.jetblueventures.com), Sky Dayton(www.skydayton.com), SPARX Group Company(www.sparx.jp), Toyota AI Ventures(www.toyota-ai.ventures)</t>
  </si>
  <si>
    <t>Latham &amp; Watkins(Legal Advisor), Silicon Valley Bank(Debt Financing)</t>
  </si>
  <si>
    <t>44458-21</t>
  </si>
  <si>
    <t>Jivox</t>
  </si>
  <si>
    <t>DataXu, Celtra, RevJet, AppNexus, NicePeopleAtWork, Yieldmo, AdRoll, Spongecell, Silverpush, Turn, Flite, Manage.com Group, Persado, Lotame Solutions, Adelphic, Videology, Drawbridge, StackAdapt, Innovid, Centro, YuMe, ViralGains, Sharethrough, Thunder Industries, Crisp Mobile, Boost Media, InMobi, Sizmek, Smartclip Holding, LiquidM, Flashtalking, Mixpo, SpotX, Teads, Smaato, Tapad, Kargo Global, NativeX Holdings, Bluerush Media, Metamarkets, Millennial Media, Feedburner, Chocolate, Outbrain, Adform, SAS Institute, Taboola, Unruly, BuzzCity, OpenX, Conviva, Through-Channel, Mux, Kaltura</t>
  </si>
  <si>
    <t>Developer of an interactive advertising technology platform designed to enhance the digital marketing sector. The company's platform provides an application which is generally used for big data, machine learning, dynamic creative optimization and customer journey optimization technologies, enabling digital agencies to deliver personalized digital advertising and marketing experiences.</t>
  </si>
  <si>
    <t>AdTech, Big Data, SaaS, TMT</t>
  </si>
  <si>
    <t>advertising platform, data driven advertising, interactive advertising technology, interactive advertising technology platform, marketing platform</t>
  </si>
  <si>
    <t>www.jivox.com</t>
  </si>
  <si>
    <t>36239-59P</t>
  </si>
  <si>
    <t>Diaz Nesamoney</t>
  </si>
  <si>
    <t>diaz@jivox.com</t>
  </si>
  <si>
    <t>+1 (650) 412-1125</t>
  </si>
  <si>
    <t>1810 Gateway Drive</t>
  </si>
  <si>
    <t>+1 (650) 412-1133</t>
  </si>
  <si>
    <t>info@jivox.com</t>
  </si>
  <si>
    <t>The company raised $9 million of venture funding from You &amp; Mr Jones Brandtech Ventures and Fortisure Ventures on April 16, 2019. The company intends to use the funds to invest in global growth opportunities and enhance its landmark Personalized Dynamic Creative Optimization (DCO) platform.</t>
  </si>
  <si>
    <t>Fortisure Ventures, Helion Venture Partners, Individual Investor, Opus Capital, Shah Capital Partners, You &amp; Mr Jones Brandtech Ventures</t>
  </si>
  <si>
    <t>Helion Venture Partners(www.helionvc.com), Opus Capital(www.opuscapitalventures.com), Shah Capital Partners(www.shahcap.com)</t>
  </si>
  <si>
    <t>O'Melveny &amp; Myers(Legal Advisor), Sagent Management(Consulting)</t>
  </si>
  <si>
    <t>Madison Alley Global Ventures(Advisor: General), O'Melveny &amp; Myers(Legal Advisor)</t>
  </si>
  <si>
    <t>52748-20</t>
  </si>
  <si>
    <t>Jitterbit</t>
  </si>
  <si>
    <t>Sisense, Pipemonk, MuleSoft, Feature Labs, Talend, Zepl, SnapLogic, Bedrock Data, Platfora, Unifi (Data Platform), Periscope Data, Alooma, Ryft, Logz.io, Zaloni, Paradata, Adeptia, WorkFusion, Cloudera, Couchbase, Tamr, Lavastorm, Grow (Business/Productivity Software), Yellowfin, Birst, Klipfolio, Syncsort, Domo, Splunk, Ngdata, Cambridge Semantics, Workato, MongoDB, Elastic.io, Tray.io, TIBCO Software, Paxata, Rever, Attunity, ServiceNow, Pegasystems, Qlik Technologies, Pentaho, Cast Iron Systems, BMC Software, Logi Analytics, Apigee, Tellius, SAP, Alteryx, Informatica, Aerospike, Vertica Systems, DataGravity, Datawatch, Cazoomi, Trifacta, Missions, Kx Systems, StreamSets, Datameer, Oracle, Boomi, SAS Institute, Squirro, Celigo, Segment, ProFinda, ReachForce, Elasticsearch, Waterline Data, Seva</t>
  </si>
  <si>
    <t>Provider of API integration platform designed to offer a smarter approach to business transformation. The company's API integration platform connects on-premise and cloud applications and instantly infuse artificial intelligence into any business process, enabling businesses and corporate clients to combine data with external APIs to launch innovative technology.</t>
  </si>
  <si>
    <t>Business/Productivity Software, Database Software, IT Consulting and Outsourcing*</t>
  </si>
  <si>
    <t>api integration tech, business process integration, data integration, information sharing, open source integration</t>
  </si>
  <si>
    <t>www.jitterbit.com</t>
  </si>
  <si>
    <t>2014: 38, 2018: 240</t>
  </si>
  <si>
    <t>38655-01P</t>
  </si>
  <si>
    <t>George Gallegos</t>
  </si>
  <si>
    <t>george.gallegos@jitterbit.com</t>
  </si>
  <si>
    <t>+1 (877) 852-3500</t>
  </si>
  <si>
    <t>1301 Marina Village Parkway</t>
  </si>
  <si>
    <t>info@jitterbit.com</t>
  </si>
  <si>
    <t>The company raised $25 million of Series C venture funding in a deal led by Kohlberg Kravis Roberts on November 7, 2017, putting the company's pre-money valuation at $70 million. Other undisclosed existing investors also participated in the round. The funds will be used to increase the company's sales and services teams, as well as to enhance its international presence, particularly in EMEA and APAC.</t>
  </si>
  <si>
    <t>Kohlberg Kravis Roberts, Montage Capital, New Ground Ventures, Primera Capital (Venture Capital), Salesforce Ventures</t>
  </si>
  <si>
    <t>Kohlberg Kravis Roberts(www.kkr.com), Montage Capital(www.montagecapital.com), New Ground Ventures(www.newground.vc), Primera Capital (Venture Capital)(www.primeracapital.com)</t>
  </si>
  <si>
    <t>228155-68</t>
  </si>
  <si>
    <t>Jianwei Data</t>
  </si>
  <si>
    <t>Provider of financial information services designed to offer comprehensive capital market information customized for different clients. The company 
offers its services through its unique understanding of the capital market, its information processing technology and its application development capabilities, enabling clients in various capital markets to gain convenient and reliable source.</t>
  </si>
  <si>
    <t>Database Software, Information Services (B2C)*</t>
  </si>
  <si>
    <t>capital market information, financial data, financial database, financial information, financial information service</t>
  </si>
  <si>
    <t>www.jianweidata.com</t>
  </si>
  <si>
    <t>197019-55P</t>
  </si>
  <si>
    <t>Feifei Lu</t>
  </si>
  <si>
    <t>lu.feifei@jianweidata.com</t>
  </si>
  <si>
    <t>+86 (0)10 8575 8291</t>
  </si>
  <si>
    <t>Room 1106, Building D, Ocean International Center</t>
  </si>
  <si>
    <t>Number 62 Dongsihuan Middle Road, Chaoyang District</t>
  </si>
  <si>
    <t>The company raised an undisclosed amount of seed funding in a deal led by Baidu Ventures and Next Capital on July 1, 2018. The company will use the funding for technological development.</t>
  </si>
  <si>
    <t>Baidu Ventures, Next Capital, Xintian Ventures</t>
  </si>
  <si>
    <t>Baidu Ventures(www.bv.ai), Next Capital(www.nextcapital.com.au)</t>
  </si>
  <si>
    <t>52163-83</t>
  </si>
  <si>
    <t>JazzHR</t>
  </si>
  <si>
    <t>Jazz, The Resumator</t>
  </si>
  <si>
    <t>BossZhiPin, Workable, Urbanhire, Jobr, Talent Rover, CareerBuilder, Jobbio, JobMatch, Jobhuk, RecruitLoop, Jobalign, Snag, TalentReef, ApplicantStack, Gild, BirdDogHR, Mindscope, Lever (Recruitment Software), Greenhouse Software, Hireology, ClearCompany, Jibe, SmartRecruiters, SilkRoad Technology, Recruitee, Halogen Software, Bond International Software, Blendoor, FurstPerson, PeopleMatter, PowWowHR, SmashFly Technologies, Jobvite, AkkenCloud, Ekrut, Cezanne HR, Monster Worldwide (Singapore, Malaysia and Hong Kong Operations), Anthology, Reflik, iCIMS, Ascendify, TextRecruit, JobScience, Simply Hired, Entelo, Interviewing.io, ZipRecruiter, Clustree, Recruiterbox, Avionté, Zenefits, TalentSoft, Lumesse, Zao</t>
  </si>
  <si>
    <t>Provider of an applicant tracking system designed to optimize and improve recruiting process. The company's applicant tracking system offers big data hiring tool to post jobs online and engage where qualified candidates are looking, enabling recruiters and hiring managers to build an effective recruiting process with proper hires.</t>
  </si>
  <si>
    <t>Big Data, HR Tech, Industrials, SaaS, TMT</t>
  </si>
  <si>
    <t>applicant tracking, jobs marketing, online recruitment, social recruiting</t>
  </si>
  <si>
    <t>www.jazzhr.com</t>
  </si>
  <si>
    <t>2011: 4, 2014: 64, 2015: 139, 2016: 68</t>
  </si>
  <si>
    <t>Competitor (New) Zenefits</t>
  </si>
  <si>
    <t>37111-33P</t>
  </si>
  <si>
    <t>Donald Charlton</t>
  </si>
  <si>
    <t>Founder, Chief Product Officer and Board Member</t>
  </si>
  <si>
    <t>don@jazz.co</t>
  </si>
  <si>
    <t>+1 (888) 353-0887</t>
  </si>
  <si>
    <t>1501 Reedsdale</t>
  </si>
  <si>
    <t>15233</t>
  </si>
  <si>
    <t>+1 (888) 885-5299</t>
  </si>
  <si>
    <t>hello@jazzhr.com</t>
  </si>
  <si>
    <t>The company raised $6.62 million of Series C1 venture funding from lead investor Volition Capital on October 19, 2017. Rincon Venture Partners, Riverfront Ventures, Birchmere Ventures, Blue Cloud Ventures and other undisclosed investors also participated. The funds will be used to accelerate strategic product development and continued go to market expansion.</t>
  </si>
  <si>
    <t>AlphaLab, Birchmere Ventures, Blue Cloud Ventures, Christopher Muenchhoff, ff Venture Capital, Individual Investor, Innovation Works, Paige Craig, Rincon Venture Partners, Riverfront Ventures, Salesforce Ventures, Volition Capital</t>
  </si>
  <si>
    <t>AlphaLab(www.alphalab.org), Birchmere Ventures(www.birchmerevc.com), Blue Cloud Ventures(www.bluecloudventures.com), ff Venture Capital(www.ffvc.com), Innovation Works(www.innovationworks.org), Rincon Venture Partners(www.rinconvp.com), Riverfront Ventures(www.riverfrontventures.com), Volition Capital(www.volitioncapital.com)</t>
  </si>
  <si>
    <t>51747-94</t>
  </si>
  <si>
    <t>Jana (Mobile)</t>
  </si>
  <si>
    <t>Txteagle</t>
  </si>
  <si>
    <t>Jana</t>
  </si>
  <si>
    <t>PowerLinks, StackAdapt, DataXu, Celtra, AdRoll, Terminus, AcuityAds Holdings, MediaMath, Adelphic, AppNexus, Fyber, Bidstalk, Remerge, Dstillery, Manage.com Group, Turn, Visto, iPinYou Interactive, Silverpush, Varick, Perion Network, HipCricket, Sizmek, Aarki, OwnerIQ, Apsalar, July Systems, Genesis Media, Ninja Metrics, Yext, Smaato, AppsFlyer, Simpli.fi, The Trade Desk, PubMatic, Tapad, Choozle, Kiip, SpotX, AppLift, InMobi, Criteo, Smart AdServer, Exponential Interactive, Sojern, Demandbase, Match2One, Perch Interactive, Punchh, Sharethrough, Centro, Throtle, BuzzCity, Rocket Fuel, Swrve, Airship, Contently, Flite, Ve Global UK, TapCommerce, Hipcricket (Mobile Advertising Business), RetailNext, LiquidM, Innovid, Mobvista, SITO Mobile, Appier, Millennial Media, Sense360, Go2mobi, Matomy Media Group, Feedburner, AppLovin, PlaceIQ, Action Exchange, OpenX, Index Exchange, Chartboost, i.Predictus, RadiumOne, ConvertMedia, PostBeyond, Rubicon Project, IconPeak, Drawbridge, 4INFO, Dynamic Signal, Adform, Placed</t>
  </si>
  <si>
    <t>Provider of mobile advertising services intended to provide free internet in the emerging markets. The company's mobile advertising services are offered through mCent browser which serves as a gateway to mobile content by leveraging advertising to offset user data costs, enabling clients to develop strategic mobile advertising campaigns and engage consumers in rising markets.</t>
  </si>
  <si>
    <t>Business/Productivity Software, Media and Information Services (B2B)*, Other Communications and Networking</t>
  </si>
  <si>
    <t>AdTech, Mobile, SaaS, TMT</t>
  </si>
  <si>
    <t>advertising services, leverage advertising, mobile advertising, mobile market survey, text based task, transcription</t>
  </si>
  <si>
    <t>www.jana.com</t>
  </si>
  <si>
    <t>2011: 10, 2014: 51, 2015: 75, 2016: 85</t>
  </si>
  <si>
    <t>36883-18P</t>
  </si>
  <si>
    <t>Nathan Eagle</t>
  </si>
  <si>
    <t>nathan@jana.com</t>
  </si>
  <si>
    <t>101 Arch Street</t>
  </si>
  <si>
    <t>info@jana.com</t>
  </si>
  <si>
    <t>AccelerAsia sold its stake in the company to undisclosed investors.</t>
  </si>
  <si>
    <t>AccelerAsia, Esther Dyson, Flywheel Ventures, Information Venture Partners, Jonathan Miller, Paul Sagan, Publicis Groupe, Qualcomm Ventures, Relay Ventures, Rohini Chakravarty, Royal Bank of Canada, Spark Capital, Trevor Loy, Verizon Ventures</t>
  </si>
  <si>
    <t>AccelerAsia(www.accelerasia.com), Flywheel Ventures(www.flywheelventures.com), Information Venture Partners(www.informationvp.com), Publicis Groupe(www.publicisgroupe.com), Qualcomm Ventures(www.qualcommventures.com), Relay Ventures(www.relayventures.com), Royal Bank of Canada(www.rbc.com), Spark Capital(www.sparkcapital.com), Verizon Ventures(www.verizonventures.com)</t>
  </si>
  <si>
    <t>Bowdoin Group(Consulting), Gunderson Dettmer(Legal Advisor)</t>
  </si>
  <si>
    <t>13258-63</t>
  </si>
  <si>
    <t>Jamcracker</t>
  </si>
  <si>
    <t>VitalTone</t>
  </si>
  <si>
    <t>Autotask, Automic Software, SkyKick, RightScale, Orbitera, CloudFX, Atadata, Avni, ServiceMesh, Platform9, Metalogix Software, New Relic, FireLayers, AppDirect, ActivePlatform, CloudVelox, Continuum Managed Services, Egenera, Parallels, Velostrata, BCSG, Cliqr, Odin, Ostrato, Scalr, Engine Yard, CloudHealth Technologies, Octopus Deploy, Cloudenablers, Apcera, Embotics, Fugue, Rubicon Labs, ZeroStack, XebiaLabs, RackWare, Skyhigh Networks, Neostratus, Synap Software Labs, Technology One, VCE, PacketTrap Networks, Kaseya, Ormuco, Racemi, Cloudability, Netskope, Datto</t>
  </si>
  <si>
    <t>Provider of cloud based information technology management services. The company helps organizations to manage their hybrid information technology environment by providing end-to-end cloud management services.</t>
  </si>
  <si>
    <t>Application Software, Automation/Workflow Software*, Business/Productivity Software</t>
  </si>
  <si>
    <t>delivery network, third party service, unified application</t>
  </si>
  <si>
    <t>www.jamcracker.com</t>
  </si>
  <si>
    <t>2000: 250, 2001: 200, 2015: 241</t>
  </si>
  <si>
    <t>40474-18P</t>
  </si>
  <si>
    <t>K. Chandrasekhar</t>
  </si>
  <si>
    <t>Chief Executive Officer, Chairman &amp; Founder</t>
  </si>
  <si>
    <t>+1 (408) 496-5500</t>
  </si>
  <si>
    <t>4677 Old Ironsides Drive</t>
  </si>
  <si>
    <t>information@jamcracker.com</t>
  </si>
  <si>
    <t>The company raised an undisclosed amount in the form of a loan from Western Technology Investment. Previously, MK Capital and Nautic Partners sold their stake in the company to undisclosed investors.</t>
  </si>
  <si>
    <t>Actua, Chisholm Private Capital Partners, Credit Suisse, Goldman Sachs Merchant Banking Division, Individual Investor, Intel Capital, Kohlberg Kravis Roberts, Morgan Stanley Expansion Capital, Navis Capital Partners, TowerBrook Capital Partners</t>
  </si>
  <si>
    <t>MK Capital, Nautic Partners, TELUS Ventures</t>
  </si>
  <si>
    <t>Chisholm Private Capital Partners(www.chisolmvc.com), Credit Suisse(www.credit-suisse.com), Intel Capital(www.intelcapital.com), Kohlberg Kravis Roberts(www.kkr.com), Navis Capital Partners(www.naviscapital.com), TowerBrook Capital Partners(www.towerbrook.com)</t>
  </si>
  <si>
    <t>MK Capital(www.mkcapital.com), Nautic Partners(www.nautic.com), TELUS Ventures(ventures.telus.com)</t>
  </si>
  <si>
    <t>234739-99</t>
  </si>
  <si>
    <t>iXDen</t>
  </si>
  <si>
    <t>Developer of IoT software technology designed to secure financial institutions from real-time identity theft and fraud caused by IoT payments. The company's software secures critical operations, industrial systems, smart cities and buildings against attacks and introduces patent pending approach for protecting companies from tampering with information provided by IoT devices, by altering its sensors, fake substitutions and communications hijacking, enabling credit cards companies, banks and payment gateways to get security from cyber attacks and have secure transactions.</t>
  </si>
  <si>
    <t>Network Management Software*, Other IT Services, Other Software</t>
  </si>
  <si>
    <t>Artificial Intelligence &amp; Machine Learning, Cybersecurity, FinTech, Internet of Things</t>
  </si>
  <si>
    <t>cyber risk management, cybersecurity platform, cybersecurity software, payment protection technology</t>
  </si>
  <si>
    <t>www.ixden.com</t>
  </si>
  <si>
    <t>196977-61P</t>
  </si>
  <si>
    <t>Leonid Cooperman</t>
  </si>
  <si>
    <t>+972 (0)52 745 6177</t>
  </si>
  <si>
    <t>Rishon LeZion, Israel</t>
  </si>
  <si>
    <t>Bilu Street 53</t>
  </si>
  <si>
    <t>Rishon LeZion</t>
  </si>
  <si>
    <t>info@ixden.com</t>
  </si>
  <si>
    <t>59224-69</t>
  </si>
  <si>
    <t>Itembase</t>
  </si>
  <si>
    <t>Jaggaer</t>
  </si>
  <si>
    <t>Developer of an e-commerce platform designed to enable a smoother, simpler and more secure way of trading. The company's platform service is fully integrated into the eCommerce buying process and is free for users, enabling online shoppers to organize their purchases by making data intelligence available to retailers of any size.</t>
  </si>
  <si>
    <t>Artificial Intelligence &amp; Machine Learning, Big Data, E-Commerce, TMT</t>
  </si>
  <si>
    <t>online inventory, online shopping database, personal inventory, product identity data, social internet service</t>
  </si>
  <si>
    <t>www.itembase.com</t>
  </si>
  <si>
    <t>55422-19P</t>
  </si>
  <si>
    <t>Stefan Jørgensen</t>
  </si>
  <si>
    <t>stefan@itembasehq.com</t>
  </si>
  <si>
    <t>Franklinstraße 11</t>
  </si>
  <si>
    <t>10587</t>
  </si>
  <si>
    <t>info@itembase.com</t>
  </si>
  <si>
    <t>The company joined MasterCard Start Path Accelerator in 2016.</t>
  </si>
  <si>
    <t>Born2Grow, Founder Institute, Gebrüder Mende, German Accelerator, German Startups Group, Globumbus, High-Tech Gründerfonds, HR Ventures, MasterCard Start Path Accelerator, M-Investar, Morten Lund, Mountain Partners, Plug and Play Tech Center, Rheingau Founders, Rouven Dresselhaus, UPS Strategic Enterprise Fund, Voltage Ventures, WestTech Ventures</t>
  </si>
  <si>
    <t>Born2Grow(www.born2grow.de), Founder Institute(www.fi.co), Gebrüder Mende(www.mende.de), German Accelerator(www.germanaccelerator.com), German Startups Group(www.german-startups.com), High-Tech Gründerfonds(www.high-tech-gruenderfonds.de), HR Ventures(www.hrventures.de), MasterCard Start Path Accelerator(www.startpath.com), M-Investar(www.m-investar.de), Mountain Partners(www.mountain.partners), Plug and Play Tech Center(www.plugandplaytechcenter.com), Rheingau Founders(www.rheingau-founders.com), Voltage Ventures(www.voltage.g2team.pl), WestTech Ventures(www.westtechventures.de)</t>
  </si>
  <si>
    <t>Hippocorn Partners(Advisor: General)</t>
  </si>
  <si>
    <t>Roehrborn(Legal Advisor), Tofte &amp; Company(Advisor: General)</t>
  </si>
  <si>
    <t>234587-17</t>
  </si>
  <si>
    <t>Italic</t>
  </si>
  <si>
    <t>Provider of online marketplace designed to connect luxury goods factories directly to consumers. The company's marketplace offers a platform to suppliers to sell unlabeled or private label products direct to consumers and make 3-5X more profit per order than with traditional clients and get real-time performance data, enabling consumers to buy luxury goods directly from the factories behind your favorite brands.</t>
  </si>
  <si>
    <t>Luxury Goods</t>
  </si>
  <si>
    <t>Internet Retail, Luxury Goods*, Other Apparel</t>
  </si>
  <si>
    <t>leather goods marketer, members-only marketplace, online luxury goods, product designer, shopping platform</t>
  </si>
  <si>
    <t>www.italic.com</t>
  </si>
  <si>
    <t>100876-06P</t>
  </si>
  <si>
    <t>Jeremy Cai</t>
  </si>
  <si>
    <t>Founder, Chief Executive Officer &amp; Chief Financial Officer</t>
  </si>
  <si>
    <t>jeremy@onboardiq.com</t>
  </si>
  <si>
    <t>+1 (630) 800-8207</t>
  </si>
  <si>
    <t>Walnut, CA</t>
  </si>
  <si>
    <t>340 South, Lemon Avenue</t>
  </si>
  <si>
    <t>Suite 7499</t>
  </si>
  <si>
    <t>Walnut</t>
  </si>
  <si>
    <t>91789</t>
  </si>
  <si>
    <t>+1 (323) 615-1357</t>
  </si>
  <si>
    <t>hello@italic.com</t>
  </si>
  <si>
    <t>The company raised $13 million through a combination of debt and Seed funding from Comcast Ventures, Global Founders Capital, Heartcore Capital, inovia Capital and Index Ventures (UK) on November 15, 2018, putting the company's pre-money valuation at $9 million. Ludlow Ventures, Kindred Ventures and other undisclosed investors also participated in this round.</t>
  </si>
  <si>
    <t>Comcast Ventures, Global Founders Capital, Heartcore Capital, Index Ventures (UK), Inovia Capital, Kindred Ventures, Ludlow Ventures</t>
  </si>
  <si>
    <t>Comcast Ventures(www.comcastventures.com), Global Founders Capital(www.globalfounders.vc), Heartcore Capital(www.heartcore.com), Index Ventures (UK)(www.indexventures.com), Inovia Capital(www.inovia.vc), Kindred Ventures(www.kindredvc.com), Ludlow Ventures(www.ludlowventures.com)</t>
  </si>
  <si>
    <t>154971-10</t>
  </si>
  <si>
    <t>Isotropic Systems</t>
  </si>
  <si>
    <t>ISL</t>
  </si>
  <si>
    <t>Developer of satellite antenna technology intended for mobile and high throughput satellite applications. The company's satellite antenna technology are used in designing and construction of spectrally efficient, low-profile antennas that are conformal, multi-band and electronically steerable, enabling its customers to get faster returns on bandwidth, access a much larger customer base, increased profits and market share.</t>
  </si>
  <si>
    <t>Other Business Products and Services, Wireless Communications Equipment*</t>
  </si>
  <si>
    <t>communication product, mobility sector, satellite antennas technology</t>
  </si>
  <si>
    <t>www.isotropicsystems.com</t>
  </si>
  <si>
    <t>129846-79P</t>
  </si>
  <si>
    <t>Dan Difonzo</t>
  </si>
  <si>
    <t>Executive Technical Advisor</t>
  </si>
  <si>
    <t>dan@isotropicsystems.com</t>
  </si>
  <si>
    <t>+44 (0)20 3934 6655</t>
  </si>
  <si>
    <t>15 Bishopsgate</t>
  </si>
  <si>
    <t>EC2N 3AR</t>
  </si>
  <si>
    <t>The company raised $14 million of Series A venture funding in a deal led by Boeing HorizonX on January 16, 2019. WML, Space Angels, and Space Capital also participated in the round. The funds will be used to accelerate the commercialization of the company's technology and to leverage its technology to explore new applications in adjacent markets.</t>
  </si>
  <si>
    <t>Boeing HorizonX, Horizon 2020, Space Angels, Space Capital, Waterlow Management, WML</t>
  </si>
  <si>
    <t>Space Angels(www.spaceangels.com)</t>
  </si>
  <si>
    <t>229494-07</t>
  </si>
  <si>
    <t>ishumei</t>
  </si>
  <si>
    <t>next data</t>
  </si>
  <si>
    <t>Provider of big-data services intended to facilitate financial, e-commerce, social network and payment businesses. The company's services include open-architecture-based service of risk control, anti-fraud based cloud services and targeted marketing, enabling businesses to prevent from fraud risk and credit risk control at all stages.</t>
  </si>
  <si>
    <t>Big Data, E-Commerce, FinTech, TMT</t>
  </si>
  <si>
    <t>fraud risk, fraud risk assessment, risk control</t>
  </si>
  <si>
    <t>www.ishumei.com</t>
  </si>
  <si>
    <t>187069-24P</t>
  </si>
  <si>
    <t>Tang Huijun</t>
  </si>
  <si>
    <t>tanghuijun@ishumei.com</t>
  </si>
  <si>
    <t>+86 (0)40 0610 3866</t>
  </si>
  <si>
    <t>3A, Building 1, Wangjing Chengying Center</t>
  </si>
  <si>
    <t>shumei@ishumei.com</t>
  </si>
  <si>
    <t>The company raised RMB 10 million of Series A venture funding from Baidu Ventures, Qihoo 360 Technology and Qingliu Capital in February 2018. Crystal Stream Capital and Shunwei Capital also participated in the round.</t>
  </si>
  <si>
    <t>Baidu Ventures, Crystal Stream Capital, Qihoo 360 Technology, Shunwei Capital</t>
  </si>
  <si>
    <t>Baidu Ventures(www.bv.ai), Crystal Stream Capital(crystalstreamcap.cn), Qihoo 360 Technology(www.360.cn), Shunwei Capital(www.shunwei.com)</t>
  </si>
  <si>
    <t>57384-37</t>
  </si>
  <si>
    <t>IRIS.TV</t>
  </si>
  <si>
    <t>JBTV</t>
  </si>
  <si>
    <t>Apester, Gravity, FEM, Kachingle, Hive Streaming, VBrick Systems, Yooya, Ooyala, Disqus, Rockbot, Zype, DaCast, eMusic.com, Videolicious, Anvato, SundaySky, Switch Merge, Digitalsmiths, Facebook, Eyeview, Clearleap, Affle</t>
  </si>
  <si>
    <t>Provider of a video content platform. The company manages, targets, analyzes and monetizes content for publishers, advertisers and content owners. Using data science and content mapping, the company adds individual viewers' tastes to a video's advertising value. The company's service is designed to personalize content flow, index metadata and activate user behavior.</t>
  </si>
  <si>
    <t>Social Content*, Social/Platform Software</t>
  </si>
  <si>
    <t>digital video, personalized video programming, video content portal</t>
  </si>
  <si>
    <t>www.iris.tv</t>
  </si>
  <si>
    <t>50313-70P</t>
  </si>
  <si>
    <t>Field Garthwaite</t>
  </si>
  <si>
    <t>field@iris.tv</t>
  </si>
  <si>
    <t>+1 (213) 325-3034</t>
  </si>
  <si>
    <t>453 South Spring Street</t>
  </si>
  <si>
    <t>Suite 712</t>
  </si>
  <si>
    <t>90013</t>
  </si>
  <si>
    <t>hello@iris.tv</t>
  </si>
  <si>
    <t>The company raised an undisclosed amount in the form of a loan from Western Technology Investment. Previously, the company raised $1.5 million of bridge financing from Sierra Wasatch Capital, Stage Venture Partners and other undisclosed investors on January 31, 2017.</t>
  </si>
  <si>
    <t>Allen DeBevoise, Bertelsmann Digital Media Investments, Gardner Ventures, Geoffrey Lewis, Lee Daly, Nick Rau, Plug and Play Tech Center, Progress Ventures, Quest Venture Partners, Sierra Wasatch Capital, Social Starts, SPH Ventures, Stage Venture Partners, Third Wave Digital</t>
  </si>
  <si>
    <t>Bertelsmann Digital Media Investments(www.bdmifund.com), Lee Daly(www.leeanndalybio.me), Plug and Play Tech Center(www.plugandplaytechcenter.com), Progress Ventures(www.progressventures.com), Quest Venture Partners(www.questvp.com), Sierra Wasatch Capital(www.sierrawasatch.com), Social Starts(www.socialstarts.com), SPH Ventures(www.sphventures.com.sg), Stage Venture Partners(www.stagevp.com), Third Wave Digital(www.thirdwavedigital.vc)</t>
  </si>
  <si>
    <t>Murphy Bova(Legal Advisor), Stubbs Alderton &amp; Markiles(Legal Advisor)</t>
  </si>
  <si>
    <t>MFS Capital Advisors(Advisor: General), Venture Lending &amp; Leasing(Debt Financing), Western Technology Investment(Debt Financing)</t>
  </si>
  <si>
    <t>113555-44</t>
  </si>
  <si>
    <t>IQ-Analog</t>
  </si>
  <si>
    <t>Analog Bits, Avnera, Achronix Semiconductor, Triad Semiconductor, ACCO Semiconductor, Lantiq Deutschland, Si-Ware Systems, Mixel, Brite Semiconductor, Tilera, Broadcom, Analog Devices, Texas Instruments</t>
  </si>
  <si>
    <t>Developer of high-speed data converter semiconductor components intended to focus on high-speed data conversion. The company's products include a variety of ADCs, DACs, and analog front-ends systems for various manufacturing processes, enabling clients to get next generation of carrier IP and optical networking ASICs at an affordable price.</t>
  </si>
  <si>
    <t>Application Specific Semiconductors*, Other Semiconductors, Other Software</t>
  </si>
  <si>
    <t>analog, data converter, mixed signal data convertors, mixed signal subsystems, semiconductor</t>
  </si>
  <si>
    <t>www.iqanalog.com</t>
  </si>
  <si>
    <t>2005: 1, 2006: 3, 2007: 3, 2008: 5, 2009: 5, 2010: 7, 2011: 8, 2012: 8, 2013: 10, 2014: 12, 2015: 14, 2016: 16, 2017: 22, 2018: 26, 2019: 30</t>
  </si>
  <si>
    <t>147215-08P</t>
  </si>
  <si>
    <t>Michael Kappes</t>
  </si>
  <si>
    <t>Founder, Chief Executive Officer, President &amp; Chairman</t>
  </si>
  <si>
    <t>kappes@iqanalog.com</t>
  </si>
  <si>
    <t>+1 (858) 775-9853</t>
  </si>
  <si>
    <t>12348 High Bluff Drive</t>
  </si>
  <si>
    <t>92130</t>
  </si>
  <si>
    <t>+1 (858) 200-0388</t>
  </si>
  <si>
    <t>+1 (858) 200-0390</t>
  </si>
  <si>
    <t>info@iqanalog.com</t>
  </si>
  <si>
    <t>The company raised $5.57 million of Series B venture funding in a deal led by Lockheed Martin Ventures on December 20, 2016, putting the company's pre-money valuation at $65.57 million. Other undisclosed investors also participated in the round.</t>
  </si>
  <si>
    <t>Lockheed Martin Ventures</t>
  </si>
  <si>
    <t>Bank of Southern California(General Business Banking), McKinley Scearcy CPA(Accounting), MLO(Legal Advisor), Reiter, Brunel &amp; Dunn(Legal Advisor)</t>
  </si>
  <si>
    <t>54707-05</t>
  </si>
  <si>
    <t>ip.access</t>
  </si>
  <si>
    <t>ECI Telecom, Coriant, Syniverse Technologies, BLiNQ Networks, C Spire Wireless, Consolidated Communications, Mettle Networks, iWireless, Amazon Web Services, Tarana, Microwave Networks, Nuran Wireless, Reliance Communications, Palo Alto Networks, Proxim Wireless, Atlant Telecom, Cellwize, Anam Technologies</t>
  </si>
  <si>
    <t>Provider of hardware and software services intended to extend 2G/3G/4G mobile coverage. The company's hardware and software services offer small cell coverage, capacity and presence services across all technologies, enabling the mobile operators, landlords, mobile virtual network operators (MVNO), enterprises, service providers and integrators to open up a host of new commercial opportunities for the provision of indoor cellular coverage.</t>
  </si>
  <si>
    <t>Network Management Software, Other Commercial Services*, Telecommunications Service Providers, Wireless Service Providers</t>
  </si>
  <si>
    <t>mobile cell, nano coverage, small cell coverage</t>
  </si>
  <si>
    <t>www.ipaccess.com</t>
  </si>
  <si>
    <t>2005: 70, 2012: 86, 2013: 92, 2014: 130, 2015: 191, 2016: 87</t>
  </si>
  <si>
    <t>189191-08P</t>
  </si>
  <si>
    <t>Laura Lawrence</t>
  </si>
  <si>
    <t>laura.lawrence@ipaccess.com</t>
  </si>
  <si>
    <t>+44 (0)19 5471 3700</t>
  </si>
  <si>
    <t>Building 2020</t>
  </si>
  <si>
    <t>Cambourne Business Park, Cambourne</t>
  </si>
  <si>
    <t>CB23 6DW</t>
  </si>
  <si>
    <t>+44 (0)19 5471 3799</t>
  </si>
  <si>
    <t>info@ipaccess.com</t>
  </si>
  <si>
    <t>The company received an undisclosed amount of debt financing in the form of a loan from Harbert Management on an undisclosed date.</t>
  </si>
  <si>
    <t>ADC Ventures, Amadeus Capital Partners, Frog Capital, Intel Capital, Motorola Solutions Venture Capital, Qualcomm Ventures, Rothschild &amp; Co, Scottish Equity Partners, TE Connectivity, Zouk Capital</t>
  </si>
  <si>
    <t>Cisco Investments, Keensight Capital, Kreos Capital</t>
  </si>
  <si>
    <t>Amadeus Capital Partners(www.amadeuscapital.com), Frog Capital(www.frogcapital.com), Intel Capital(www.intelcapital.com), Qualcomm Ventures(www.qualcommventures.com), Rothschild &amp; Co(www.rothschildandco.com), Scottish Equity Partners(www.sep.co.uk), TE Connectivity(www.te.com), Zouk Capital(www.zouk.com)</t>
  </si>
  <si>
    <t>Cisco Investments(www.ciscoinvestments.com), Keensight Capital(www.keensightcapital.com), Kreos Capital(www.kreoscapital.com)</t>
  </si>
  <si>
    <t>Eversheds International(Legal Advisor), EY(Auditor), Norgren Legal(Legal Advisor), Silicon Valley Bank(General Business Banking), Taylor Vinters(Legal Advisor), Taylor Wessing(Legal Advisor)</t>
  </si>
  <si>
    <t>Harbert Management(Debt Financing), Kreos Capital(Debt Financing), Partners for Growth(Debt Financing)</t>
  </si>
  <si>
    <t>64623-07</t>
  </si>
  <si>
    <t>IONIQ</t>
  </si>
  <si>
    <t>HitFox</t>
  </si>
  <si>
    <t>Provider of venture capital and investment services designed to build and grow adtech, big data and fintech companies. The company's focuses on investment in synergetic companies and provides mentoring, capital and seed funding services to young startups, enabling companies to launch in the market and grow.</t>
  </si>
  <si>
    <t>Other Capital Markets/Institutions, Other Commercial Services*</t>
  </si>
  <si>
    <t>capital funding, entrepreneurship, entrepreneurship services, performance marketing, seeds funding, startup mentoring</t>
  </si>
  <si>
    <t>ioniq.com</t>
  </si>
  <si>
    <t>2012: 35, 2015: 500, 2019: 1050</t>
  </si>
  <si>
    <t>199627-48P</t>
  </si>
  <si>
    <t>Johannes Keienburg</t>
  </si>
  <si>
    <t>johannes.keienburg@hitfoxgroup.com</t>
  </si>
  <si>
    <t>+49 (0)30 5770 2582 0</t>
  </si>
  <si>
    <t>Rosa-Luxemburg-Straße 2</t>
  </si>
  <si>
    <t>Tengelmann Ventures, Hasso Plattner Ventures and Kite Ventures sold its stake in the company on an undisclosed date.</t>
  </si>
  <si>
    <t>Digital Pioneers, Heiko Hubertz, Rouven Dresselhaus, Tengelmann E-Commerce, Tim Schumacher</t>
  </si>
  <si>
    <t>Hasso Plattner Ventures, HV Holtzbrinck Ventures, Kite Ventures, Tengelmann Ventures</t>
  </si>
  <si>
    <t>Digital Pioneers(www.digitalpioneers.de), Tim Schumacher(www.schumacher.me)</t>
  </si>
  <si>
    <t>Hasso Plattner Ventures(www.hp-ventures.com), HV Holtzbrinck Ventures(www.hvventures.com), Kite Ventures(www.kiteventures.com), Tengelmann Ventures(www.tev.de)</t>
  </si>
  <si>
    <t>58386-16</t>
  </si>
  <si>
    <t>Ionic Materials</t>
  </si>
  <si>
    <t>Enevate, Electrovaya</t>
  </si>
  <si>
    <t>Developer of cobalt-free solid-state battery materials created to provide polymers for batteries. The company's cobalt-free solid-state battery materials have developed a new solid polymer that has all of the properties required to replace the liquid electrolytes used in currently-available batteries, enabling clients to drastically improve battery safety and lowers the cost active materials using simpler and lower-cost manufacturing methods.</t>
  </si>
  <si>
    <t>climate control, plumbing, polymer film, polymer for battery, technology platform</t>
  </si>
  <si>
    <t>www.ionicmaterials.com</t>
  </si>
  <si>
    <t>2017: 25, 2018: 40</t>
  </si>
  <si>
    <t>63515-44P</t>
  </si>
  <si>
    <t>Michael Zimmerman</t>
  </si>
  <si>
    <t>michael.zimmerman@ionicmaterials.com</t>
  </si>
  <si>
    <t>+1 (781) 569-3127</t>
  </si>
  <si>
    <t>10M Commerce Way</t>
  </si>
  <si>
    <t>contact@ionicmaterials.com</t>
  </si>
  <si>
    <t>The company raised $65 million of Series C venture funding from Alliance Ventures, Bill Joy and Kleiner Perkins Caufield &amp; Byers on February 7, 2018. Total Energy Ventures, Hyundai CRADLE and other undisclosed investors also participated in the round. The funds will accelerate company's accelerated growth, support hiring plans and set up a pilot production facility in Woburn, the Boston.</t>
  </si>
  <si>
    <t>Alliance Ventures, Fairhaven Capital Partners, Franklin Templeton Investments, Hyundai CRADLE, Kleiner Perkins, Total Energy Ventures, William Joy</t>
  </si>
  <si>
    <t>Fairhaven Capital Partners(www.fairhavencapital.com), Franklin Templeton Investments(www.franklinresources.com), Hyundai CRADLE(www.cradleinc.com), Kleiner Perkins(www.kleinerperkins.com)</t>
  </si>
  <si>
    <t>Fama PR(Advisor: General), McCarter &amp; English(Legal Advisor)</t>
  </si>
  <si>
    <t>McCarter &amp; English(Legal Advisor), Wilson Sonsini Goodrich &amp; Rosati(Legal Advisor)</t>
  </si>
  <si>
    <t>55318-06</t>
  </si>
  <si>
    <t>Involvio</t>
  </si>
  <si>
    <t>CampusQuad, AdmitHub, ClearScholar</t>
  </si>
  <si>
    <t>Developer of a social awareness application designed to drive student engagement. The company's application helps to centralize programming and resources on mobile and gather critical data, enabling colleges or universities to gather insight and increase their efficiency.</t>
  </si>
  <si>
    <t>Application Software*, Educational Software, Information Services (B2C)</t>
  </si>
  <si>
    <t>EdTech, Mobile, TMT</t>
  </si>
  <si>
    <t>college social activities, events finding platform, online portal, social awareness, social awareness application</t>
  </si>
  <si>
    <t>www.involvio.com</t>
  </si>
  <si>
    <t>45394-30P</t>
  </si>
  <si>
    <t>Ari Winkleman</t>
  </si>
  <si>
    <t>ari@involvio.com</t>
  </si>
  <si>
    <t>+1 (212) 729-6670</t>
  </si>
  <si>
    <t>261 Madison Avenue</t>
  </si>
  <si>
    <t>hello@involvio.com</t>
  </si>
  <si>
    <t>The company joined DreamIt Ventures and received $50,000 in funding on September 15, 2016. As part of the transaction the funding was received in the form of convertible debt.</t>
  </si>
  <si>
    <t>Cisco Investments, DeSimone Group Investments, DreamIt Ventures, Innovation Capital Advisors, Social Venture Circle</t>
  </si>
  <si>
    <t>Cisco Investments(www.ciscoinvestments.com), DeSimone Group Investments(www.desimonegroup.com), DreamIt Ventures(www.dreamit.com), Innovation Capital Advisors(www.innovationcapital.com), Social Venture Circle(www.svcimpact.org)</t>
  </si>
  <si>
    <t>Evergreen Advisors(Advisor: General)</t>
  </si>
  <si>
    <t>230376-88</t>
  </si>
  <si>
    <t>InvolveSoft</t>
  </si>
  <si>
    <t>Glipped</t>
  </si>
  <si>
    <t>Causecast, Jellyvision, WeSpire, Good Done Great, Benevity, Catchafire</t>
  </si>
  <si>
    <t>Provider of an online platform intended to streamline corporate engagement events like team activities, volunteering, leadership and training. The company's platform helps build communities inside companies for employees to easily find, attend, share events and achievements, enabling its clients to receive human capital related opportunities fit for their particular organization.</t>
  </si>
  <si>
    <t>Human Capital Services*, Other Software</t>
  </si>
  <si>
    <t>HealthTech, Industrials, TMT</t>
  </si>
  <si>
    <t>corporate engagement platform, employee engagement, human capital, volunteering events</t>
  </si>
  <si>
    <t>www.involvesoft.com</t>
  </si>
  <si>
    <t>188383-24P</t>
  </si>
  <si>
    <t>Gaurav Bhattacharya</t>
  </si>
  <si>
    <t>gaurav@involvesoft.com</t>
  </si>
  <si>
    <t>+1 (424) 645-7525</t>
  </si>
  <si>
    <t>202 Bicknell Avenue</t>
  </si>
  <si>
    <t>The company raised $2.5 million of Seed funding in a deal led by Bonfire Ventures on June 27, 2018, putting the company's pre-money valuation at $6 million. Bertelsmann, LaunchCapital, CrowdSmart, Noname Ventures, Greycroft and Bertelsmann Digital Media Investments also participated in the round. Previously, the company previously joined Techstars on February 1, 2018 and received $120,000 in funding.</t>
  </si>
  <si>
    <t>Bertelsmann, Bertelsmann Digital Media Investments, Bonfire Ventures, CrowdSmart, DaaS Analytics, Greycroft, LaunchCapital, Mucker Capital, Noname Ventures, Techstars</t>
  </si>
  <si>
    <t>Bertelsmann(www.bertelsmann.com), Bertelsmann Digital Media Investments(www.bdmifund.com), Bonfire Ventures(www.bonfirevc.com), CrowdSmart(www.crowdsmart.io), DaaS Analytics(www.daasanalytics.com), Greycroft(www.greycroft.com), LaunchCapital(www.launchcapital.com), Mucker Capital(www.mucker.com), Noname Ventures(www.noname.ventures), Techstars(www.techstars.com)</t>
  </si>
  <si>
    <t>Sheppard Mullin Richter &amp; Hampton(Legal Advisor)</t>
  </si>
  <si>
    <t>51324-94</t>
  </si>
  <si>
    <t>Invoca</t>
  </si>
  <si>
    <t>RingRevenue</t>
  </si>
  <si>
    <t>Altocloud, CallRail, CallTrackingMetrics, ResponseTap, CallFire, iProspect, Datalot, Marchex, IOVOX Enterprise, DialogTech, Convirza</t>
  </si>
  <si>
    <t>Developer of a cloud-based call tracking and analytics platform designed to help marketers to drive inbound calls and turn them into sales. The company's call tracking and analytics platform combines voice and digital interactions to get a complete view of customer and delivers a better, more personalized experience, enabling marketers and brands to drive revenue and delight their customers.</t>
  </si>
  <si>
    <t>calling intelligence, calling intelligence platform, marketing automation, voice marketing cloud</t>
  </si>
  <si>
    <t>www.invoca.com</t>
  </si>
  <si>
    <t>2011: 28, 2012: 39, 2013: 81, 2014: 136, 2015: 133, 2016: 155</t>
  </si>
  <si>
    <t>147433-15P</t>
  </si>
  <si>
    <t>Gregg Johnson</t>
  </si>
  <si>
    <t>gjohnson@invoca.com</t>
  </si>
  <si>
    <t>Santa Barbara, CA</t>
  </si>
  <si>
    <t>1025 Chapala Street</t>
  </si>
  <si>
    <t>Santa Barbara</t>
  </si>
  <si>
    <t>93101</t>
  </si>
  <si>
    <t>+1 (855) 977-3154</t>
  </si>
  <si>
    <t>The company raised $29.5 million of Series D venture funding from lead investor Morgan Stanley Alternative Investment Partners on March 30, 2016, putting the pre-money valuation at $70.5 million. Accel Partners, Upfront Ventures, Rincon Venture Partners, Salesforce Ventures, Northgate capital and StepStone also participated. The company will use funds to expand its operations, its sales, marketing, customer success and product development and also focus on helping Fortune 500 marketers gain intelligence on callers, conversations and campaigns. Bonfire Ventures also participated in it.</t>
  </si>
  <si>
    <t>Accel, Bonfire Ventures, Greater Pacific Capital, John Petote, Mark Mullen, Morgan Stanley Investment Management, Northgate Capital, ORIX Growth Capital, Persistence Capital Partners, Persistence Partners, Rincon Venture Partners, Salesforce Ventures, StepStone, Upfront Ventures</t>
  </si>
  <si>
    <t>Accel(www.accel.com), Bonfire Ventures(www.bonfirevc.com), Greater Pacific Capital(www.greaterpacificcapital.com), Northgate Capital(www.northgate.com), Persistence Capital Partners(www.persistencecapital.com), Persistence Partners(www.persistencepartners.com), Rincon Venture Partners(www.rinconvp.com), StepStone(www.stepstone.com), Upfront Ventures(www.upfront.com)</t>
  </si>
  <si>
    <t>Petsky Prunier(Advisor: General), Square 1 Bank(Debt Financing)</t>
  </si>
  <si>
    <t>14146-21</t>
  </si>
  <si>
    <t>Inventys</t>
  </si>
  <si>
    <t>Global Thermostat, Akermin, CO2 Solutions, Mitsubishi Heavy Industries, Kawasaki Heavy Industries</t>
  </si>
  <si>
    <t>Developer of a CO2 (carbon dioxide) technology designed to lower the cost curve of CO2 captures from post-combustion industrial and power plant flue gas. The company's technology captures post-combustion CO2 from industrial fuel gas streams through the use of a rotary adsorption machine, which functions like a rotary air pre-heater, maximizing carbon capture productivity, enabling enterprises to cut capital cost and reduce energy regeneration.</t>
  </si>
  <si>
    <t>Gas Utilities</t>
  </si>
  <si>
    <t>Environmental Services (B2B), Gas Utilities*</t>
  </si>
  <si>
    <t>adsorption technology, carbon capture, carbon dioxide, carbon storage, clean technology, co2, co2 capture, gas separation, thermal adsorption</t>
  </si>
  <si>
    <t>www.inventysinc.com</t>
  </si>
  <si>
    <t>2016: 22, 2018: 60</t>
  </si>
  <si>
    <t>40024-00P</t>
  </si>
  <si>
    <t>Claude Letourneau</t>
  </si>
  <si>
    <t>Chief Executive Officer, President and Board Member</t>
  </si>
  <si>
    <t>claude.letourneau@inventysinc.com</t>
  </si>
  <si>
    <t>+1 (514) 975-8843</t>
  </si>
  <si>
    <t>8528 Glenlyon Parkway</t>
  </si>
  <si>
    <t>Unit 143</t>
  </si>
  <si>
    <t>V5J 0B6</t>
  </si>
  <si>
    <t>+1 (604) 456-0504</t>
  </si>
  <si>
    <t>info@inventysinc.com</t>
  </si>
  <si>
    <t>The company raised $16 million out of planned $21 million of Series C venture funding in a deal led by Oil and Gas Climate Initiative on February 6, 2019. The Roda Group, Chevron Technology Ventures, Chevron Technology Ventures, Chrysalix Venture Capital and BDC Industrial, Clean and Energy Technology Venture Fund also participated in this round. The funds will be used to fund the 30-tonne per day (TPD) CO2 capture pilot plant demonstration program with Husky Energy scheduled to be in operation in Q1-2019, as well as support Inventys' aggressive time-to-market strategy for 2020.</t>
  </si>
  <si>
    <t>BDC Industrial, Clean and Energy Technology Venture Fund, Chevron Technology Ventures, Chrysalix Venture Capital, E8, Emissions Reduction Alberta, Husky Energy, Mitsui Global Investment, National Research Council Canada, Natural Resources Canada, Oil and Gas Climate Initiative, Sustainable Development Technology Canada, The Roda Group, Western Economic Diversification Canada</t>
  </si>
  <si>
    <t>BDC Industrial, Clean and Energy Technology Venture Fund(www.bdc.ca/EN/bdc-capital/venture-capital/strategic-approach/Pages/energy-cleantech-venture-fund.aspx), Chrysalix Venture Capital(www.chrysalix.com), E8(www.e8angels.com), Emissions Reduction Alberta(www.eralberta.ca), Husky Energy(www.huskyenergy.com), Mitsui Global Investment(www.mitsui-global.com), National Research Council Canada(www.nrc-cnrc.gc.ca), Natural Resources Canada(www.nrcan.gc.ca), Oil and Gas Climate Initiative(www.oilandgasclimateinitiative.com), Sustainable Development Technology Canada(www.sdtc.ca), The Roda Group(www.rodagroup.com), Western Economic Diversification Canada(www.wd-deo.gc.ca)</t>
  </si>
  <si>
    <t>Blake Cassels &amp; Graydon(Legal Advisor), Canadian Imperial Bank of Commerce(General Business Banking), PwC(Auditor)</t>
  </si>
  <si>
    <t>Blake Cassels &amp; Graydon(Legal Advisor)</t>
  </si>
  <si>
    <t>62115-67</t>
  </si>
  <si>
    <t>iNurture Education Solutions</t>
  </si>
  <si>
    <t>iNurture</t>
  </si>
  <si>
    <t>iSTAR Skill Development, NH Learning Solutions, Learning Tree International, Coursera</t>
  </si>
  <si>
    <t>Provider of education programs intended to strengthen the employability quotient across the complete spectrum of adult learning. The company's education programs offer courses, in the online as well as offline formats, at undergraduate and postgraduate levels in the across sectors including information technology, mobile applications, creative industries, financial services and animation and special effects in joint partnership with well recognized universities and colleges, enabling students to become career-ready and land jobs in fast-growing sectors of the economy.</t>
  </si>
  <si>
    <t>Educational and Training Services (B2C)*</t>
  </si>
  <si>
    <t>e-learning, higher education program, higher education service, tech enabled learning</t>
  </si>
  <si>
    <t>www.inurture.co.in</t>
  </si>
  <si>
    <t>108809-02P</t>
  </si>
  <si>
    <t>Pramod Idiculla</t>
  </si>
  <si>
    <t>Chief Executive Officer–Enterprise Learning</t>
  </si>
  <si>
    <t>pramod@inurture.co.in</t>
  </si>
  <si>
    <t>+91 (0)80 4257 6666</t>
  </si>
  <si>
    <t>Niton Compound, Number 11/4A</t>
  </si>
  <si>
    <t>Block - B1, Palace Road, Vasanthnagar</t>
  </si>
  <si>
    <t>560052</t>
  </si>
  <si>
    <t>+91 (0)80 4257 6613</t>
  </si>
  <si>
    <t>info@inurture.co.in</t>
  </si>
  <si>
    <t>The company raised $4.4 million of Series C venture funding in a deal led by VenturEast on January 31, 2018. Bertelsmann India Investments and Ascent Capital also participated in this round. The company intends to use the funding to expand its e-learning platform for skill centres and distance learning, and to scale up its campuses' business.</t>
  </si>
  <si>
    <t>Ascent Capital, Bertelsmann Digital Media Investments, Bertelsmann India Investments, GVFL, VenturEast</t>
  </si>
  <si>
    <t>Ascent Capital(www.ascentcapital.in), Bertelsmann Digital Media Investments(www.bdmifund.com), Bertelsmann India Investments(www.biifund.com), GVFL(www.gvfl.com), VenturEast(www.ventureast.net)</t>
  </si>
  <si>
    <t>BlackSoil(Debt Financing)</t>
  </si>
  <si>
    <t>159288-22</t>
  </si>
  <si>
    <t>Intuition Robotics</t>
  </si>
  <si>
    <t>ElliQ</t>
  </si>
  <si>
    <t>Robart, Buddy (Robots), Anki, Jibo</t>
  </si>
  <si>
    <t>Developer of social companion technologies designed to positively impact the lives of older adults. The company's technology utilizes artificial intelligence to develop robots that, enables older adults to connect seamlessly with family and friends, making technology accessible and intuitive, and proactively promoting an active lifestyle.</t>
  </si>
  <si>
    <t>Application Software, Electronic Components*, Electronics (B2C), Social/Platform Software</t>
  </si>
  <si>
    <t>artificial intelligence, robotics, robots developer, robots technology, social robotics, social technology</t>
  </si>
  <si>
    <t>www.intuitionrobotics.com</t>
  </si>
  <si>
    <t>135646-66P</t>
  </si>
  <si>
    <t>Dor Skuler</t>
  </si>
  <si>
    <t>dor@intuitionrobotics.com</t>
  </si>
  <si>
    <t>Ramat-Gan, Israel</t>
  </si>
  <si>
    <t>18 Hayezira Street</t>
  </si>
  <si>
    <t>Ramat-Gan</t>
  </si>
  <si>
    <t>info@intuitionrobotics.com</t>
  </si>
  <si>
    <t>The company raised $20 million of Series A venture funding in a deal led by Toyota AI Ventures in January 2018. iRobot Ventures, OurCrowd, Maniv Mobility, Terra Venture Partners, Bloomberg Beta, Samsung NEXT Ventures, SPARX Group, Wolfpack Ventures and Glory Ventures (China) also participated in the round. The funds will be used to open an office in the Bay Area and begin testing ElliQ with senior citizens in San Francisco.</t>
  </si>
  <si>
    <t>Bloomberg Beta, Glory Ventures, iRobot Ventures, Maniv Mobility, OurCrowd, Samsung NEXT Ventures, SPARX Group Company, Terra Ventures, Toyota AI Ventures, Wolfpack Ventures</t>
  </si>
  <si>
    <t>Bloomberg Beta(www.bloombergbeta.com), Glory Ventures(www.en.glory-ventures.com), Maniv Mobility(www.maniv.com), OurCrowd(www.ourcrowd.com), Samsung NEXT Ventures(www.samsungnext.com), SPARX Group Company(www.sparx.jp), Toyota AI Ventures(www.toyota-ai.ventures), Wolfpack Ventures(www.wolfpackventures.com)</t>
  </si>
  <si>
    <t>125767-18</t>
  </si>
  <si>
    <t>IntSights</t>
  </si>
  <si>
    <t>Recorded Future, Exabeam, Blueliv, GuardiCore, CrowdStrike, ThreatConnect, Cylance, EnSilo, Allure Security, Digital Shadows, McAfee, Seculert, LightCyber, Verodin, Forcepoint, Attivo Networks, Nyotron Information Security, SentinelOne, ZeroNorth, Cymmetria, ObserveIT, ThreatSTOP, Interset, Versive, Terbium Labs, Illusive Networks, Securonix, LogRhythm, SecureAuth, Anomali, Flashpoint (threat intelligence), ThreatQuotient, Damballa, Cyphort, Alert Logic, Soltra Solutions, BitSight Technologies, Arbor Networks, CyberInt Technologies, E8 Security, Surfwatch Labs, TrapX Security, Panaseer, EclecticIQ, ThreatBook, OneLogin, Fidelis Cybersecurity, SecurityScorecard, Infoblox, Norse, Demisto, LookingGlass Cyber Solutions, RiskIQ, Cobalt, Axonius, Cytegic, HackerOne, ThreatMetrix, Synack, Acalvio, Votiro, Qualys, Bugcrowd</t>
  </si>
  <si>
    <t>Provider of a subscription-based intelligence platform designed to prevent cyber threats. The company's intelligence platform uses proprietary data mining algorithms and unique machine learning capabilities and delivers rapid, accurate cyberthreat intelligence and incident mitigation in real time enabling businesses to detect, analyze and remediate threats of phishing, fake application and data leakage through an intuitive dashboard.</t>
  </si>
  <si>
    <t>Artificial Intelligence &amp; Machine Learning, Big Data, Cybersecurity, TMT</t>
  </si>
  <si>
    <t>automated system, cyber intelligence, cyber threat, cyber threat information, cyberthreats, data leakage</t>
  </si>
  <si>
    <t>www.intsights.com</t>
  </si>
  <si>
    <t>2015: 11, 2016: 11, 2018: 125, 2019: 140</t>
  </si>
  <si>
    <t>116781-13P</t>
  </si>
  <si>
    <t>Guy Nizan</t>
  </si>
  <si>
    <t>guy@intsights.com</t>
  </si>
  <si>
    <t>+1 (800) 532-4617</t>
  </si>
  <si>
    <t>110 West 40th Street</t>
  </si>
  <si>
    <t>info@intsights.com</t>
  </si>
  <si>
    <t>The company raised $17 million of Series C venture funding in a deal led by Tola Capital on June 21, 2018. Wipro Ventures, Blumberg Capital, ClearSky Security, Blackstone and Glilot Capital Partners also participated in the round. The company which has raised more than $40 million in total funding to date, intends to use the funds to deliver data-mining algorithms that provide threat reconnaissance of enterprise customers' presence on the deep and dark web and drive expansion into new global markets including the Asian Pacific, Middle Eastern and South American theaters.</t>
  </si>
  <si>
    <t>Blumberg Capital, ClearSky (North Palm Beach), Glilot Capital Partners, The Blackstone Group, Tola Capital, Vintage Investment Partners, Wipro Ventures</t>
  </si>
  <si>
    <t>Blumberg Capital(www.blumbergcapital.com), ClearSky (North Palm Beach)(www.clear-sky.com), Glilot Capital Partners(www.glilotcapital.com), The Blackstone Group(www.blackstone.com), Tola Capital(www.tolacapital.com), Vintage Investment Partners(www.vintage-ip.com)</t>
  </si>
  <si>
    <t>55644-13</t>
  </si>
  <si>
    <t>Introhive</t>
  </si>
  <si>
    <t>Conga, Marketo, Octiv, SpringCM, TechValidate Software, Lua (Communication Software), InsideSales.com, Prospect (sales), Base (Sales Platform), InsideView, Keap (Saas Platform), Gwabbit, SocialChorus (Communication Platform), 86Borders, Feefo, ModuleQ, Clari, Lattice (Business/Productivity Software), Nimble, Lithium Technologies, Salesforce, Velocify, FullContact, Seismic (Business/Productivity Software), SugarCRM, CRMnext, OneSpace, BetterCloud</t>
  </si>
  <si>
    <t>Provider of a relationship data science platform designed to make relationship intelligence inevitable. The company's platform analyzes employee communications and social connections to create relationships with customers and centralizes relationship data to deliver intelligence whenever and wherever needed, enabling clients to automate processes of sales hiring, prospecting, territory assignment, renewals and lead scoring and solve CRM adoption once and for all.</t>
  </si>
  <si>
    <t>contact management, data automation, enterprise relationship management, led discovery, led generation, relationship intelligence</t>
  </si>
  <si>
    <t>www.introhive.com</t>
  </si>
  <si>
    <t>2013: 35, 2014: 41, 2016: 34, 2018: 105, 2019: 150</t>
  </si>
  <si>
    <t>Competitor (New) FullContact</t>
  </si>
  <si>
    <t>44376-40P</t>
  </si>
  <si>
    <t>Stewart Walchli</t>
  </si>
  <si>
    <t>Co-Founder &amp; Head of Business Development</t>
  </si>
  <si>
    <t>stewart.walchli@introhive.com</t>
  </si>
  <si>
    <t>+1 (866) 824-5452</t>
  </si>
  <si>
    <t>Sterling, VA</t>
  </si>
  <si>
    <t>20281 Water Mark Place</t>
  </si>
  <si>
    <t>Potomac Falls</t>
  </si>
  <si>
    <t>Sterling</t>
  </si>
  <si>
    <t>20165</t>
  </si>
  <si>
    <t>info@introhive.com</t>
  </si>
  <si>
    <t>The company raised CAD 20.2 million of venture funding through a combination of debt and equity on June 25, 2018. CAD 20.2 million of equity portion was led by Lake Bridge Capital with participation from other undisclosed investors. CAD 4 million of debt was provided by Espresso Capital. Prior to that, the company raised $50 million of venture funding from undisclosed investors on June 20, 2018. Previously, the company received $700,000 of debt financing from Espresso Capital on July 27, 2017.</t>
  </si>
  <si>
    <t>Build Ventures, Center for Innovative Technology Gap Funds, Fortify Ventures, LakeBridge Capital, New Brunswick Innovation Foundation, Ronjon Nag, Salesforce Ventures, Volta Labs (Incubator)</t>
  </si>
  <si>
    <t>Build Ventures(www.buildventures.ca), Center for Innovative Technology Gap Funds(www.cit.org/service-lines/cit-gap-funds), Fortify Ventures(www.fortifyventures.com), LakeBridge Capital(www.lakebridgecapital.com), New Brunswick Innovation Foundation(www.nbif.ca), Volta Labs (Incubator)(www.voltaeffect.com)</t>
  </si>
  <si>
    <t>WilmerHale(Legal Advisor), Wilson Sonsini Goodrich &amp; Rosati(Legal Advisor)</t>
  </si>
  <si>
    <t>Espresso Capital(Debt Financing), WilmerHale(Legal Advisor), Wilson Sonsini Goodrich &amp; Rosati(Legal Advisor)</t>
  </si>
  <si>
    <t>168970-33</t>
  </si>
  <si>
    <t>Intezer</t>
  </si>
  <si>
    <t>3xLogic</t>
  </si>
  <si>
    <t>Developer of a cyber-security software technology designed to provide malware detection and analysis capabilities. The company's technology uses DNA mapping approach for mapping and identifying the DNA of every single piece of code within seconds and provides enterprises with unparalleled threat detection that accelerates incident response and eliminates false positives, while protecting against fileless malware, APTs, code tampering and vulnerable software, enabling security team to go beyond behavioral analysis and address real threats immediately.</t>
  </si>
  <si>
    <t>cyber map, cyber security, malware detection, malware detection system, threat detection</t>
  </si>
  <si>
    <t>www.intezer.com</t>
  </si>
  <si>
    <t>152365-69P</t>
  </si>
  <si>
    <t>Itai Tevet</t>
  </si>
  <si>
    <t>itai@intezer.com</t>
  </si>
  <si>
    <t>Rothschild Boulevard 45</t>
  </si>
  <si>
    <t>contact@intezer.com</t>
  </si>
  <si>
    <t>The company raised $10.1 million of Series A venture funding in a deal led by Intel Capital on November 5, 2017. The deal also includes an undisclosed amount of convertible debt financing. Magma Venture Partners, Samsung NEXT Ventures and other undisclosed investors also participated in the round. The funds will be used to expand the company's global sales efforts and open new opportunities in targeted markets.</t>
  </si>
  <si>
    <t>Alon Cohen, Intel Capital, Magma Venture Partners, Samsung NEXT Ventures</t>
  </si>
  <si>
    <t>Intel Capital(www.intelcapital.com), Magma Venture Partners(www.magmavc.com), Samsung NEXT Ventures(www.samsungnext.com)</t>
  </si>
  <si>
    <t>54812-35</t>
  </si>
  <si>
    <t>Intersec</t>
  </si>
  <si>
    <t>Feedzai, DataTorrent, SQLstream, XPatterns, Aruba Networks, Syncsort, Whisbi, Solace, Opera Solutions, MapR, Confluent, Verint Systems, Vitria Technology, Matillion, Riversand, MemSQL, SessionM, Alteryx, GoodData, Spirion, Actian, SAS Institute, RapidMiner, CognitiveScale, Zaius, Bottlenose, V3D, Fivetran, Guavus, Flytxt, Alooma, Striim, Astute, DataStax, Globys, Base (Sales Platform), Riaktr, Devbridge, Custora, VoltDB, Data Artisans, Birst, Wilke Global, ZineOne, Wolfram Research, Evergage, Zeta Global, Databricks, Medallia, Marketo, Crimson Hexagon, Zendesk, SnapLogic, Usermind</t>
  </si>
  <si>
    <t>Developer of a streaming analytics software designed to help companies to embrace the digital revolution. The company's software empowers to leverage technical and business data to get actionable insights to produce real-time analyses of massive amounts of data, understand the experience of customers, follow and model population flows, correlate demographics and transactions, as well as uncover abnormal behaviors, enabling organizations to derive value from their network and IT big data and to facilitate services innovation.</t>
  </si>
  <si>
    <t>Business/Productivity Software, Network Management Software*, Other Communications and Networking</t>
  </si>
  <si>
    <t>business data, location-based services, network data, streaming analytics, streaming analytics platform</t>
  </si>
  <si>
    <t>www.intersec.com</t>
  </si>
  <si>
    <t>2013: 120, 2015: 148, 2016: 145</t>
  </si>
  <si>
    <t>48969-37P</t>
  </si>
  <si>
    <t>Yann Chevalier</t>
  </si>
  <si>
    <t>yann.chevalier@intersec.com</t>
  </si>
  <si>
    <t>+33 (0)1 55 70 33 33</t>
  </si>
  <si>
    <t>Tour West - 102 Terrasse Boieldieu</t>
  </si>
  <si>
    <t>La Défense Cedex</t>
  </si>
  <si>
    <t>92085</t>
  </si>
  <si>
    <t>+33 (0)1 55 70 33 32</t>
  </si>
  <si>
    <t>contact@intersec.com</t>
  </si>
  <si>
    <t>The company raised EUR 7.92 million of venture funding from Omnes Capital, CM-CIC Capital Innovation and Innovacom (Paris) on October 30, 2018, putting the company's pre-money valuation at EUR 50.15 million. Highland Europe and Turenne Capital Partenaires also participated in the round. The company will use the funding to support its talented teams in deploying their new solutions.</t>
  </si>
  <si>
    <t>Cisco Investments, Cisco Systems, CM-CIC Capital Innovation, Highland Europe, Innovacom (Paris), Omnes Capital, SFR Group, Turenne Capital Partenaires</t>
  </si>
  <si>
    <t>Cisco Investments(www.ciscoinvestments.com), Cisco Systems(www.cisco.com), Highland Europe(www.highlandeurope.com), Innovacom (Paris)(www.innovacom.com), Omnes Capital(www.omnescapital.com), SFR Group(www.sfr.com), Turenne Capital Partenaires(www.turennecapital.com)</t>
  </si>
  <si>
    <t>2CFinance(Consulting)</t>
  </si>
  <si>
    <t>Bryan, Garnier &amp; Company(Advisor: General), Cartagena Capital(Advisor: General), Harbert Management(Debt Financing), Lamartine Conseil(Legal Advisor)</t>
  </si>
  <si>
    <t>170511-40</t>
  </si>
  <si>
    <t>Intermix.io</t>
  </si>
  <si>
    <t>Provider of performance analytics for Amazon Redshift designed to empower engineers to monitor and manage cloud data warehouses. The company provides performance Analytics for Amazon Redshift analyzes disk use by node, database, schema and table, predict storage needs with data growth rates for each individual table, increases query speeds, driving up cluster resource utilization and eliminating downtimes, enabling users to predict future storage needs by optimizing their data growth.</t>
  </si>
  <si>
    <t>cloud data warehouse, data growth optimization, data streaming platform, performance analytics, redshift performance</t>
  </si>
  <si>
    <t>www.intermix.io</t>
  </si>
  <si>
    <t>60741-37P</t>
  </si>
  <si>
    <t>Paul Lappas</t>
  </si>
  <si>
    <t>paul@intermix.io</t>
  </si>
  <si>
    <t>750B Portola Street</t>
  </si>
  <si>
    <t>94129</t>
  </si>
  <si>
    <t>The company raised $4.5 million of seed funding from Richmond View Ventures, Hasso Plattner Ventures, Paua Ventures and Uncork Capital on June 27, 2018, putting the company's pre-money valuation at $7 million. s28 Capital, Correlation Ventures, Bastian Lehmann and Hasso Plattner also participated in the round.</t>
  </si>
  <si>
    <t>Bastian Lehmann, Correlation Ventures, Hasso Plattner, Hasso Plattner Ventures, Paua Ventures, Richmond View Ventures, S28 Capital, Uncork Capital</t>
  </si>
  <si>
    <t>Correlation Ventures(www.correlationvc.com), Hasso Plattner Ventures(www.hp-ventures.com), Paua Ventures(www.pauaventures.com), Richmond View Ventures(www.rvv.tv), S28 Capital(www.s28capital.com), Uncork Capital(www.uncorkcapital.com)</t>
  </si>
  <si>
    <t>42730-93</t>
  </si>
  <si>
    <t>Interactions</t>
  </si>
  <si>
    <t>Interactions Midco</t>
  </si>
  <si>
    <t>Conversica, CX Company, Inbenta, SalesLoft, Talkdesk, Flamingo AI, Yesware, Clinc, Creative Virtual, Drips, Artificial Solutions, Kore.ai, Pypestream, Juggernaut, Reply.ai, Kasisto, Nuance, Next IT, Aircall, Boost.ai</t>
  </si>
  <si>
    <t>Developer of a technology platform designed to build and deliver hosted virtual assistant applications. The company's technology platform combines artificial intelligence and human understanding to meet the growing demand for unified, multichannel customer care for brands, enabling businesses to deliver automated natural language communications for enterprise customer care.</t>
  </si>
  <si>
    <t>Business/Productivity Software, Communication Software*, Media and Information Services (B2B)</t>
  </si>
  <si>
    <t>customer care solution, interaction infrastructure, language technology, virtual assistant</t>
  </si>
  <si>
    <t>www.interactions.com</t>
  </si>
  <si>
    <t>2013: 160, 2014: 1110, 2016: 320, 2017: 1400</t>
  </si>
  <si>
    <t>38319-04P</t>
  </si>
  <si>
    <t>Joseph Gildea</t>
  </si>
  <si>
    <t>Senior Vice President of Finance &amp; Administration</t>
  </si>
  <si>
    <t>jgildea@interactions.net</t>
  </si>
  <si>
    <t>+1 (866) 637-9049</t>
  </si>
  <si>
    <t>Franklin, MA</t>
  </si>
  <si>
    <t>31 Hayward Street</t>
  </si>
  <si>
    <t>Franklin</t>
  </si>
  <si>
    <t>02038</t>
  </si>
  <si>
    <t>+1 (508) 570-4750</t>
  </si>
  <si>
    <t>webcontact@interactions.net</t>
  </si>
  <si>
    <t>The company raised an undisclosed amount of second lien debt financing from Ares Capital in March, 2017. Prior to that, the company raised $66.99 million of venture funding in a deal led by Comcast Ventures, NewSpring Capital and Revolution on August 10, 2016. Cross Atlantic Capital Partners, North Hill Ventures, ORIX Growth Capital, Lightview Capital, Sigma Partners, SoftBank Capital and Ares Capital and Hercules capital also participated in this round. The company intends to use the capital for further development in artificial intelligence technology and European expansion.</t>
  </si>
  <si>
    <t>Ares Capital, Comcast Ventures, Cross Atlantic Capital Partners, Elevate Ventures, NewSpring Capital, North Hill Ventures, ORIX Growth Capital, RED, Revolution, Sigma Partners, Sigma Prime Ventures, SoftBank Capital, Updata Partners</t>
  </si>
  <si>
    <t>Lightview Capital</t>
  </si>
  <si>
    <t>Comcast Ventures(www.comcastventures.com), Cross Atlantic Capital Partners(www.xacp.com), Elevate Ventures(www.elevateventures.com), NewSpring Capital(www.newspringcapital.com), North Hill Ventures(www.northhillventures.com), RED(ringspun.co.uk), Revolution(www.revolution.com), Sigma Partners(www.sigmapartners.com), Sigma Prime Ventures(www.sigmaprime.com), SoftBank Capital(www.softbankvc.com), Updata Partners(www.updata.com)</t>
  </si>
  <si>
    <t>Lightview Capital(www.lightviewcapital.com)</t>
  </si>
  <si>
    <t>Goodwin(Legal Advisor), Matter Communications(Advisor: General)</t>
  </si>
  <si>
    <t>Ares Capital(Debt Financing), Goodwin(Legal Advisor)</t>
  </si>
  <si>
    <t>51229-63</t>
  </si>
  <si>
    <t>Intematix</t>
  </si>
  <si>
    <t>Bright Light Systems, Revolution Lighting Technologies, Philips Saudi Lighting Company, Heliospectra, TCP International Holdings, Sunoptics Prismatic Skylights, Illumitex, Veeco, Noribachi, Schneider Electric, Finelite, Luminus Devices, Lumenpulse</t>
  </si>
  <si>
    <t>Developer of LED phosphors for white LEDs and fuel cells. The company's LED phosphors provides unprecedented blue light down selection access to the entire color spectrum, enabling users to use them in applications such as displays, general lighting and automotive lighting.</t>
  </si>
  <si>
    <t>fuel cell, imaging market, led, lighting components, phosphors materials</t>
  </si>
  <si>
    <t>www.intematix.com</t>
  </si>
  <si>
    <t>2010: 230, 2015: 201</t>
  </si>
  <si>
    <t>77192-11P</t>
  </si>
  <si>
    <t>Alex Wong</t>
  </si>
  <si>
    <t>Chief Financial Officer of Information Technology &amp; Director of Information Technology</t>
  </si>
  <si>
    <t>alex.wong@intematix.com</t>
  </si>
  <si>
    <t>+1 (510) 933-3300</t>
  </si>
  <si>
    <t>46430 Fremont Boulevard</t>
  </si>
  <si>
    <t>+1 (510) 668-0793</t>
  </si>
  <si>
    <t>info@intematix.com</t>
  </si>
  <si>
    <t>The company filed its initial public on July 13, 2012. Subsequently the offering was withdrawn on an undisclosed date. Previously, the company raised $16.2 million of Series G venture funding from Draper Fisher Jurvetson, Crosslink Capital and Shelley Zhuang on March 13, 2012, putting the comapny's pre-money valuation at $193 million. Other undisclosed investors also participated in this round.</t>
  </si>
  <si>
    <t>Crosslink Capital, Draper Fisher Jurvetson Management, East Gate Capital Management, Frontier Venture Capital, Pacifica Fund, Presidio Ventures, Samsung Venture Investment, Shelley Zhuang, Timothy Draper</t>
  </si>
  <si>
    <t>Crosslink Capital(www.crosslinkcapital.com), Draper Fisher Jurvetson Management(www.dfj.com), Frontier Venture Capital(www.draperfrontier.com), Pacifica Fund(www.pacificafund.com), Presidio Ventures(www.presidio-ventures.com), Samsung Venture Investment(www.samsungventures.com), Timothy Draper(www.timothydraper.com)</t>
  </si>
  <si>
    <t>180406-72</t>
  </si>
  <si>
    <t>Intelligent Layer</t>
  </si>
  <si>
    <t>Developer of machine learning and reinforcement learning algorithms designed to revolutionize the way companies use their data and interact with the world. The company's algorithms help organizations to experiment in real-time with their customers, products and services, promoting innovation and helping them find previously undiscovered trends and preferences at a highly granular scale.</t>
  </si>
  <si>
    <t>ai algorithm, artificial intelligence, consumer behavior analytics, customer data, customer insights, reinforcement learning algorithm</t>
  </si>
  <si>
    <t>www.intelligentlayer.com</t>
  </si>
  <si>
    <t>159302-80P</t>
  </si>
  <si>
    <t>Rob McInerney</t>
  </si>
  <si>
    <t>rob.mcinerney@intelligentlayer.com</t>
  </si>
  <si>
    <t>The company joined Techstars and ZX Ventures and received an undisclosed amount in funding on February 24, 2017.</t>
  </si>
  <si>
    <t>158754-79</t>
  </si>
  <si>
    <t>Integris</t>
  </si>
  <si>
    <t>LockPath, Starcompliance, IBM Resilient, SecurityScorecard, IQS, ProcessUnity, Bwise, Maclear, RiskVision, Convercent, Onspring, Behavox, Prevalent, CyberGRX, Riskonnect, Quantivate, Rsam, Venminder, LogicGate, Mitratech Holdings, LogicManager, Pilgrim Quality Solutions, SpatialKey, 360factors, Strohl Risk Solutions, Resolver, AuditBoard, D3 Security, EtQ, Enviance, NICE Systems, Qualys, Sparta Systems, ComplySci, Continuity Logic, Merlon Intelligence</t>
  </si>
  <si>
    <t>Provider of an automated data compliance software intended to help companies manage data privacy. The company's automated data compliance software visualizes where personal information is located across their organizations to prove adherence to regulatory standards and to fuel strategic decision making, enabling clients to handle the complexity of their data risk in an automated and proactive way.</t>
  </si>
  <si>
    <t>Automation/Workflow Software, Business/Productivity Software, Network Management Software*</t>
  </si>
  <si>
    <t>compliance, data risk intelligence, pci compliance, privacy application, privacy control, security</t>
  </si>
  <si>
    <t>www.integris.io</t>
  </si>
  <si>
    <t>2016: 4, 2017: 11, 2018: 12</t>
  </si>
  <si>
    <t>50882-41P</t>
  </si>
  <si>
    <t>Kristina Bergman</t>
  </si>
  <si>
    <t>kristina@integris.io</t>
  </si>
  <si>
    <t>+1 (206) 462-3189</t>
  </si>
  <si>
    <t>80 Yesler Way</t>
  </si>
  <si>
    <t>info@integris.io</t>
  </si>
  <si>
    <t>The company raised $10.04 million of Series A venture funding led by Aspect Ventures on July 12, 2018. Madrona Venture Group, Amplify Partners and Workday Ventures also particiapated in the round. The funds will be used to help meet demand from customers who are managing customer data.</t>
  </si>
  <si>
    <t>Amplify Partners, Antecedent Ventures, Aspect Ventures, Ignition Partners, Keeler Investments Group, Madrona Venture Group, SIAN Ventures, Workday Ventures</t>
  </si>
  <si>
    <t>Amplify Partners(www.amplifypartners.com), Antecedent Ventures(www.antecedent.vc), Aspect Ventures(www.aspectventures.com), Ignition Partners(www.ignitionpartners.com), Keeler Investments Group(www.keelerinvestments.com), Madrona Venture Group(www.madrona.com)</t>
  </si>
  <si>
    <t>DLA Piper(Legal Advisor), Silicon Valley Bank(General Business Banking)</t>
  </si>
  <si>
    <t>51390-91</t>
  </si>
  <si>
    <t>Integrate.com</t>
  </si>
  <si>
    <t>Integrate</t>
  </si>
  <si>
    <t>Salesfusion, Hatchbuck, Act-On, Listrak, Ubiquity New Zealand, Aprimo, Terminus, Outreach, Autopilot, DATAlovers, Percolate, Opal (Marketing), Reach Analytics, Triblio, 6Sense, Radius (Database Software), SalesLoft, Iterable, Maropost, Kapost, Sprinklr, Net-Results, Aberdeen Group, SailPlay, Versium, Chorus, Unomy, Contently, Salesify, Demandbase, Express Analytics, Ematic, HG Insights, Sprout Social, Silverpop Systems, Selligent, Agile CRM, Zift Solutions, The Big Willow, Mintigo, eTrigue, Bronto Software, ReachForce, EverString, ClickDimensions, Conversica, Signpost, RapidMiner, Zyme, Bynder, HubSpot, Marketo, InsideSales.com, Infer, Ontraport, GetResponse, Yext, Pure360, LeadGenius, Insightpool, Reflektion, Segment, Clearbit, SharpSpring, Leadspace, Datanyze, SmartFocus UK, Adestra, Pardot, Vendemore, Keap (Saas Platform), AgilOne, Harte Hanks, InsideView, DataFox, Lattice (Business/Productivity Software), SimplyCast, DiscoverOrg, ZenIQ, VerticalResponse, Trifacta, Insightly, Bombora, Velocify, Adobe Systems, Alteryx, Pure Incubation, True Influence, ActiveCampaign, Engagio</t>
  </si>
  <si>
    <t>Developer of a performance based closed-loop marketing software designed to orchestrate demand marketing strategy. The company's software empowers marketers to acquire prospects and customers by integrating media programs and prospect data with existing marketing and sales systems, enabling brands and marketers to build better, faster and smarter marketing strategies to deliver clear business value.</t>
  </si>
  <si>
    <t>campaign management, demand generation, demand marketing, marketing software, marketing strategy, media strategy</t>
  </si>
  <si>
    <t>www.integrate.com</t>
  </si>
  <si>
    <t>2013: 145, 2014: 4, 2017: 100, 2018: 150</t>
  </si>
  <si>
    <t>40859-74P</t>
  </si>
  <si>
    <t>David Tomizuka</t>
  </si>
  <si>
    <t>dtomizuka@integrate.com</t>
  </si>
  <si>
    <t>+1 (866) 478-0326</t>
  </si>
  <si>
    <t>Phoenix, AZ</t>
  </si>
  <si>
    <t>111 West Monroe Street</t>
  </si>
  <si>
    <t>Phoenix</t>
  </si>
  <si>
    <t>85003</t>
  </si>
  <si>
    <t>+1 (480) 304-5546</t>
  </si>
  <si>
    <t>info@integrate.com</t>
  </si>
  <si>
    <t>The company raised $25.61 million of Series E venture funding in a deal led by Foundry Group on December 26, 2018. Iron Gate Capital, Alumni Ventures Group, High Alpha, Liberty Global Ventures, Forté Ventures and other undisclosed investors also participated in the round. The money will be used in part for hiring about 50 people in the Phoenix market by the end of the year.</t>
  </si>
  <si>
    <t>Alumni Ventures Group, Chestnut Street Ventures, Comcast Ventures, Daniel Springer, David Karnstedt, Forté Ventures, Foundry Group, Green D Ventures, High Alpha, Iron Gate Capital, Liberty Global Ventures, Scott Dorsey, Trinity Capital Investment</t>
  </si>
  <si>
    <t>Alumni Ventures Group(www.avgfunds.com), Chestnut Street Ventures(www.chestnutstreetventures.com), Comcast Ventures(www.comcastventures.com), Forté Ventures(www.forteventures.com), Foundry Group(www.foundrygroup.com), Green D Ventures(www.greendventures.com), High Alpha(www.highalpha.com), Iron Gate Capital(www.irongatecapital.com), Trinity Capital Investment(www.trincapinvestment.com)</t>
  </si>
  <si>
    <t>Landmark Ventures(Advisor: General)</t>
  </si>
  <si>
    <t>Perkins Coie(Legal Advisor), Silicon Valley Bank(Debt Financing), Trinity Capital Investment(Debt Financing)</t>
  </si>
  <si>
    <t>170435-80</t>
  </si>
  <si>
    <t>Integrate.ai</t>
  </si>
  <si>
    <t>Directly, Kore.ai, Pypestream, Smooch, ForeSee Results, Nanorep, InMoment, OwnerListens, Msg.Ai, WalkMe, Clarabridge, Red e App, AnswerIQ, Rant &amp; Rave, Sapien Technologies</t>
  </si>
  <si>
    <t>Developer of AI-powered enterprise data and software platform intended to improve business outcomes. The company's platform applies machine learning to a combination of social media, alternative data and first party data to personalize and optimize customer engagement, enabling businesses to improve the interaction and relationship with their customers and solve business challenges effectively.</t>
  </si>
  <si>
    <t>customer engagement, customer engagement app, customer engagement software, customer interaction platform, customer relationship platform</t>
  </si>
  <si>
    <t>www.integrate.ai</t>
  </si>
  <si>
    <t>156630-07P</t>
  </si>
  <si>
    <t>Steve Irvine</t>
  </si>
  <si>
    <t>steve@integrate.ai</t>
  </si>
  <si>
    <t>info@integrate.ai</t>
  </si>
  <si>
    <t>The company raised an undisclosed amount of venture funding from TELUS Ventures on January 31, 2019.</t>
  </si>
  <si>
    <t>Georgian Partners, Portag3 Ventures, Real Ventures, TELUS Ventures</t>
  </si>
  <si>
    <t>Georgian Partners(www.georgianpartners.com), Portag3 Ventures(www.p3vc.com), Real Ventures(www.realventures.com), TELUS Ventures(ventures.telus.com)</t>
  </si>
  <si>
    <t>Behr &amp; Associates(Advisor: General)</t>
  </si>
  <si>
    <t>Blake Cassels &amp; Graydon(Legal Advisor), Osler, Hoskin &amp; Harcourt(Legal Advisor)</t>
  </si>
  <si>
    <t>110391-40</t>
  </si>
  <si>
    <t>Instavest</t>
  </si>
  <si>
    <t>Provider of an online investment platform designed to assist individual traders to earn a profit in the capital market. The company's platform allows investors to list and analyze their trades, share amount and the rationale behind their investments, enabling users to make smarter investment decisions.</t>
  </si>
  <si>
    <t>Financial Software*, Information Services (B2C), Other Capital Markets/Institutions</t>
  </si>
  <si>
    <t>online trading, shares amount, trading analysis, trading information, trading platform</t>
  </si>
  <si>
    <t>www.instavest.com</t>
  </si>
  <si>
    <t>96229-00P</t>
  </si>
  <si>
    <t>Saleem Khatri</t>
  </si>
  <si>
    <t>saleem.khatri@instavest.com</t>
  </si>
  <si>
    <t>+1 (650) 785-2499</t>
  </si>
  <si>
    <t>2240 California Street</t>
  </si>
  <si>
    <t>Suite 19</t>
  </si>
  <si>
    <t>hello@instavest.com</t>
  </si>
  <si>
    <t>The company raised $1.7 million of Seed funding from Y Combinator, DRW Venture Capital and Cherubic Ventures on August 18, 2016. DRW Venture Partners, TSVC Capital, Jaan Tallinn Donald, Dion and DRD Investments also participated in the round.</t>
  </si>
  <si>
    <t>Cherubic Ventures, Donald Dion, DRD Investments, DRW Venture Capital, DRW Venture Partners, FundersClub, Jaan Tallinn, TriLead Capital, TSVC, Tunistic Capital, UpHonest Capital, Wei Guo, Y Combinator</t>
  </si>
  <si>
    <t>Cherubic Ventures(www.cherubic.com), DRD Investments(www.drd-investments.com), DRW Venture Capital(www.drwvc.com), FundersClub(www.fundersclub.com), TriLead Capital(www.trileadcapital.com), TSVC(www.tsvcap.com), Tunistic Capital(www.tunistic.com), UpHonest Capital(www.uphonestcapital.com), Y Combinator(www.ycombinator.com)</t>
  </si>
  <si>
    <t>Grellas Shah(Legal Advisor)</t>
  </si>
  <si>
    <t>Clerky(Advisor: General)</t>
  </si>
  <si>
    <t>55446-58</t>
  </si>
  <si>
    <t>Instacart</t>
  </si>
  <si>
    <t>Cornershop, ShopHero, Burpy, SkipTheDishes, Fetch Rewards, Shipt, Postmates, FreshDirect, Milk And Eggs, DoorDash</t>
  </si>
  <si>
    <t>Provider of an on-demand goods delivery application designed to order and secure delivery of groceries from local stores. The company's application uses software that easily determines the right time to dispatch a shopper, based on weather, traffic, sporting events and other factors, enabling its users to shop for grocery items from over 200 retailers and have them conveniently delivered to their door in a timely manner.</t>
  </si>
  <si>
    <t>delivery application, delivery application software, goods delivery, grocery delivery, location-based shopping, online grocery delivery</t>
  </si>
  <si>
    <t>www.instacart.com</t>
  </si>
  <si>
    <t>2014: 92, 2015: 305, 2017: 300, 2018: 1016</t>
  </si>
  <si>
    <t>71954-92P</t>
  </si>
  <si>
    <t>Ravi Gupta</t>
  </si>
  <si>
    <t>ravi@instacart.com</t>
  </si>
  <si>
    <t>+1 (888) 246-7822</t>
  </si>
  <si>
    <t>help@instacart.com</t>
  </si>
  <si>
    <t>The company raised $871 million of Series F venture funding in a deal led by D1 Capital Partners in December 13, 2018, putting the company's pre-money valuation at $7 billion. Hironori Maeda, Coatue Management, Tiger Global Management, and Valiant Capital Partners also participated in the round. Previously, the company raised $350 million of Series E venture funding in a deal led by Coatue Management on April 5, 2018, putting the company's pre-money valuation at $4 billion. Glade Brook Capital Partners also participated in the round.</t>
  </si>
  <si>
    <t>Aaron Levie, American Express Ventures, Andreessen Horowitz, Beenos Partners, Canaan Partners, Capital Factory, Cito Ventures, Coatue Management, Comcast Ventures, D1 Capital Partners, Dragoneer Investment Group, FundersClub, G Squared, Garry Tan, Glade Brook Capital Partners, Harj Taggar, Haroon Mokhtarzada, Haystack, Hironori Maeda, Individual Investor, Initialized Capital Management, Jonathan Abrams, Khosla Ventures, Kleiner Perkins, Mark Hager, MicroVentures, Nima Capital, Othman Laraki, Richmond View Ventures, Sam Altman, Sequoia Capital, Seth Ginns, Sohin Shah, SV Angel, Team in Residence, Thrive Capital, Tiger Global Management, Unilever Ventures, Valiant Capital Partners, Wellcome Trust, Whole Foods Market, Y Combinator</t>
  </si>
  <si>
    <t>Andreessen Horowitz(www.a16z.com), Beenos Partners(www.beenos.com), Canaan Partners(www.canaan.com), Capital Factory(www.capitalfactory.com), Cito Ventures(www.citoventures.com), Coatue Management(www.coatue.com), Comcast Ventures(www.comcastventures.com), Dragoneer Investment Group(www.dragoneer.com), FundersClub(www.fundersclub.com), G Squared(www.gsquared.com), Glade Brook Capital Partners(www.gladebrookcapital.com), Harj Taggar(harjtaggar.com), Haroon Mokhtarzada(angel.co/haroon), Haystack(haystack.vc), Hironori Maeda(hiromaeda.com), Initialized Capital Management(www.initialized.com), Jonathan Abrams(www.jabrams.com), Khosla Ventures(www.khoslaventures.com), Kleiner Perkins(www.kleinerperkins.com), MicroVentures(www.microventures.com), Nima Capital(www.nimacap.com), Richmond View Ventures(www.rvv.tv), Sequoia Capital(www.sequoiacap.com), Sohin Shah(www.sohinshah.com), SV Angel(www.svangel.com), Team in Residence(www.teaminresidence.com), Thrive Capital(www.thrivecap.com), Tiger Global Management(www.tigerglobal.com), Unilever Ventures(www.unileverventures.com), Wellcome Trust(www.wellcome.ac.uk), Whole Foods Market(www.wholefoodsmarket.com), Y Combinator(www.ycombinator.com)</t>
  </si>
  <si>
    <t>Arete Partners(Consulting), Cooley(Legal Advisor), Daversa Partners(Consulting), Keker, Van Nest &amp; Peters(Legal Advisor), Paradigm Strategy(Consulting), Riviera Partners(Consulting), True Capital Partners(Advisor: General), Wilson Sonsini Goodrich &amp; Rosati(Legal Advisor)</t>
  </si>
  <si>
    <t>54026-56</t>
  </si>
  <si>
    <t>InsightSquared</t>
  </si>
  <si>
    <t>ClearInsight</t>
  </si>
  <si>
    <t>SalesLoft, Highspot, GoodData, Chorus, Infogroup, Origami Logic, Datameer, Beckon, Outreach, Absolutdata Intelligent Analytics, Pipedrive, RedPoint Global, Radius (Database Software), BrightFunnel, Birst, ClearSlide, Yesware, LeadGenius, Velocidi, OnCorps, Segment, Datorama, Gong.io, Tagga, SalesHood, Domo, Clearbit, Full Circle Insights, SugarCRM, Vyopta, Waterline Data, Podium (Social/Platform Software), EverString, Lattice (Business/Productivity Software), Bizible, Collibra, Clari, Aviso, InetSoft, Sailthru, BlueConic, SAS Institute, HubSpot, Vidora, Revegy, People.ai, InsideSales.com, Klipfolio, Cien, DataFox, Soley, Base (Sales Platform), Numetric, Leadspace, InsideView, Dundas Data Visualization, Profoundis Labs, Olono, Geckoboard, Ascent360, SalesChoice, Reforce International, Dimensional Insight, Salesgenie, Sisense, SAVO Group, Qlik Technologies, Insightly, Decision Lens, Pegasystems, OnStrategy, Seismic (Business/Productivity Software), Owler, Bonobo, Salesforce</t>
  </si>
  <si>
    <t>Developer of a sales performance analytic platform designed to provide business intelligence services. The company's platform offers pre-built reports including activity tracking, sales forecasts, data quality monitoring, goal setting, employee scorecards and win-loss analysis, enabling small and medium enterprises to get visual, actionable reporting on all sales and marketing KPIs to empower operations and help their leadership teams to forecast more accurately, to manage the sales pipeline and advise executives on planning and analysis.</t>
  </si>
  <si>
    <t>marketing analytics solution, marketing kpi, real time intelligence, revenue intelligence, sales analytics, sales metrics</t>
  </si>
  <si>
    <t>www.insightsquared.com</t>
  </si>
  <si>
    <t>2014: 70, 2018: 113</t>
  </si>
  <si>
    <t>40493-26P</t>
  </si>
  <si>
    <t>Frederick Shilmover</t>
  </si>
  <si>
    <t>fred@insightsquared.com</t>
  </si>
  <si>
    <t>+1 (617) 370-8100</t>
  </si>
  <si>
    <t>1 Center Plaza</t>
  </si>
  <si>
    <t>02108</t>
  </si>
  <si>
    <t>info@insightsquared.com</t>
  </si>
  <si>
    <t>The company raised $23 million of Series D venture funding in a deal led by Tola Capital on May 16, 2018, putting the company's pre-money valuation at $70 million. NextView Ventures, DFJ, Accomplice VC, and Two Sigma Ventures also participated in the round. The company which has raised $50 million in total funding to date, intends to use the funds to advance sales and marketing software, drive growth, expand to serve enterprise customers and grow its engineering and product teams, through hiring and acquires.</t>
  </si>
  <si>
    <t>Accomplice VC, Atlas Venture, Bessemer Venture Partners, Converge (Investor), Dharmesh Shah, Draper Fisher Jurvetson Management, FreshBooks, GrandBanks Capital, James Geshwiler, NextView Ventures, Salesforce Ventures, Steve Papa, Tola Capital, Two Sigma Ventures</t>
  </si>
  <si>
    <t>Accomplice VC(www.accomplice.co), Atlas Venture(www.atlasventure.com), Bessemer Venture Partners(www.bvp.com), Converge (Investor)(www.converge.vc), Draper Fisher Jurvetson Management(www.dfj.com), FreshBooks(www.freshbooks.com), GrandBanks Capital(www.grandbankscapital.com), NextView Ventures(www.nextviewventures.com), Tola Capital(www.tolacapital.com), Two Sigma Ventures(www.twosigmaventures.com)</t>
  </si>
  <si>
    <t>Foley Hoag(Legal Advisor), Timan(Valuation/Appraiser)</t>
  </si>
  <si>
    <t>54188-02</t>
  </si>
  <si>
    <t>InsideSales.com</t>
  </si>
  <si>
    <t>People.ai, Velocify, VanillaSoft, Seismic (Business/Productivity Software), Keap (Saas Platform), InsideSalesBox, WorkMarket, Clari, ActiveCampaign, Pipedrive, Aviso, OppSource.com, Outreach, RevBoss, Top of Mind Networks, Ring.io, Cien, Bonobo, DialSource, Datahug, InsightSquared, Close.io, Salesforce, Kalo, Aberdeen Group, Showpad, ConnectLeader, SalesLoft, Conversable, Cirrus Insight, Skilljar, SalesHood, Act-On, Gong.io, Engagio, Datanyze, Tenfold, Chorus, Radius (Database Software), Salesify, Autopilot, Yesware, Interactive Intelligence Group</t>
  </si>
  <si>
    <t>Provider of a SaaS sales automation and predictive analytics platform designed to create high-performance sales teams with breakthrough technology. The company's platform collects, segments and classifies data to create tailored recommendations for sales representatives who are using a customer relationship management (CRM) platform, such as Salesforce, enabling companies to acquire new customers faster, improve cross-sell/upsell conversions and rep performance.</t>
  </si>
  <si>
    <t>predictive analytics, sales acceleration, sales analytics software, sales automation, sales led management</t>
  </si>
  <si>
    <t>www.insidesales.com</t>
  </si>
  <si>
    <t>2012: 570, 2013: 300, 2014: 600, 2017: 500</t>
  </si>
  <si>
    <t>142357-96P</t>
  </si>
  <si>
    <t>Elliot Smith</t>
  </si>
  <si>
    <t>esmith@uk.insidesales.com</t>
  </si>
  <si>
    <t>+1 (385) 207-7252</t>
  </si>
  <si>
    <t>Provo, UT</t>
  </si>
  <si>
    <t>1712 South East Bay Boulevard</t>
  </si>
  <si>
    <t>Provo</t>
  </si>
  <si>
    <t>84606</t>
  </si>
  <si>
    <t>The company raised $35 million of Series F funding from Microsoft on January 18, 2018, putting the company's pre-money valuation at $1.6 billion. Previously, the company raised $50 million of Series F venture funding in a deal led by Polaris Partners on January 18, 2017, putting the company's pre-money valuation at $1.55 billion.</t>
  </si>
  <si>
    <t>Acadia Woods Partners, EPIC Ventures, Hummer Winblad Venture Partners, Ireland Strategic Investment Fund, Jeff Kearl, Joshua James, Kleiner Perkins, Microsoft, Polaris Partners, QuestMark Partners, Salesforce Ventures, SharesPost, US Venture Partners, Zetta Venture Partners</t>
  </si>
  <si>
    <t>EPIC Ventures(www.epicvc.com), Hummer Winblad Venture Partners(www.hwvp.com), Ireland Strategic Investment Fund(www.isif.ie), Joshua James(www.joshjames.com), Kleiner Perkins(www.kleinerperkins.com), Microsoft(www.microsoft.com), Polaris Partners(www.polarispartners.com), QuestMark Partners(www.questm.com), SharesPost(www.sharespost.com), US Venture Partners(www.usvp.com), Zetta Venture Partners(www.zettavp.com)</t>
  </si>
  <si>
    <t>52537-87</t>
  </si>
  <si>
    <t>INRIX</t>
  </si>
  <si>
    <t>Moovit, Citymapper, TransitScreen, Transit, Ridlr, BigRoad, CloudMade, TallyGo, Airbiquity, Parkopedia, Here</t>
  </si>
  <si>
    <t>Provider of traffic and navigation services designed to improve transportation worldwide by connecting every car and city. The company's traffic and navigation services provides better information, rerouting people around traffic problems and provides community-powered traffic application for iPhone and iPod touch, enabling drivers with access to traffic and navigation information to improve the way people travel from place to place.</t>
  </si>
  <si>
    <t>Application Software*, Information Services (B2C), Other Transportation</t>
  </si>
  <si>
    <t>automotive application, automotive application software, global positioning system, navigation application, navigation services, parking analytics, parking data, routing intelligence, traffic analytics, traffic application, traffic service</t>
  </si>
  <si>
    <t>www.inrix.com</t>
  </si>
  <si>
    <t>2005: 4, 2006: 4, 2009: 23, 2010: 23, 2011: 150, 2014: 500, 2015: 350, 2016: 400, 2017: 450</t>
  </si>
  <si>
    <t>60884-20P</t>
  </si>
  <si>
    <t>Mark Daymond</t>
  </si>
  <si>
    <t>mark.daymond@inrix.com</t>
  </si>
  <si>
    <t>+1 (425) 284-3800</t>
  </si>
  <si>
    <t>Kirkland, WA</t>
  </si>
  <si>
    <t>10210 Northeast Points Drive</t>
  </si>
  <si>
    <t>Kirkland</t>
  </si>
  <si>
    <t>98033</t>
  </si>
  <si>
    <t>info@inrix.com</t>
  </si>
  <si>
    <t>The company completed an undisclosed amount of debt refinancing round on February 04, 2015. ORIX Growth Capital provided an undisclosed amount in the form of a large term loan which gave INRIX additional flexibility to continue scaling its platform.</t>
  </si>
  <si>
    <t>Angeleno Group, August Capital, Bain Capital Ventures, Fontinalis Partners, Intel Capital, IT Ventures, Kleiner Perkins, MicroVentures, ORIX Growth Capital, Pharus Capital Management, Porsche Automobil Holding, S.A.W. Capital Partners, SharesPost, Smedvig Capital, Venrock</t>
  </si>
  <si>
    <t>Angeleno Group(www.angelenogroup.com), August Capital(www.augustcap.com), Bain Capital Ventures(www.baincapitalventures.com), Fontinalis Partners(www.fontinalis.com), Intel Capital(www.intelcapital.com), IT Ventures(www.itventures.co.nz), Kleiner Perkins(www.kleinerperkins.com), MicroVentures(www.microventures.com), Porsche Automobil Holding(www.porsche-se.com), S.A.W. Capital Partners(www.saw-capital.com), SharesPost(www.sharespost.com), Smedvig Capital(www.smedvigcapital.com), Venrock(www.venrock.com)</t>
  </si>
  <si>
    <t>Armentum Partners(Advisor: General), Barclays(Underwriter), Herd Freed Hartz(Advisor: General), Morgan Stanley(Underwriter), Wilson Sonsini Goodrich &amp; Rosati(Legal Advisor)</t>
  </si>
  <si>
    <t>ORIX Growth Capital(Debt Financing), Wilson Sonsini Goodrich &amp; Rosati(Legal Advisor)</t>
  </si>
  <si>
    <t>56355-67</t>
  </si>
  <si>
    <t>Inpria</t>
  </si>
  <si>
    <t>JSR, Tokyo Ohka Kogyo Company, Sumitomo Chemical Company, Shin-Etsu Chemical</t>
  </si>
  <si>
    <t>Provider of EUV photolithography resist materials for the semiconductor industry. The company manufactures precursors for the deposition of thin films by addressing needs in device fabrication. Its products include optical coatings, display backplane fabrication and printed electronics.</t>
  </si>
  <si>
    <t>General Purpose Semiconductors, Other Semiconductors*, Production (Semiconductors)</t>
  </si>
  <si>
    <t>electronic materials, euv lithography, extreme ultraviolet lithography, fabrication, lithography, metal oxide photoresists, optical coating, photolithography, print electronic, semiconductor manufacturer, semiconductor manufacturing</t>
  </si>
  <si>
    <t>www.inpria.com</t>
  </si>
  <si>
    <t>2011: 11, 2012: 11, 2013: 13, 2014: 17, 2015: 20, 2016: 20, 2018: 40</t>
  </si>
  <si>
    <t>48749-77P</t>
  </si>
  <si>
    <t>Ann Carney Nelson</t>
  </si>
  <si>
    <t>acn@inpria.com</t>
  </si>
  <si>
    <t>+1 (541) 844-2812</t>
  </si>
  <si>
    <t>Corvallis, OR</t>
  </si>
  <si>
    <t>1100 NE Circle Boulevard</t>
  </si>
  <si>
    <t>Suite 360</t>
  </si>
  <si>
    <t>Corvallis</t>
  </si>
  <si>
    <t>97330</t>
  </si>
  <si>
    <t>info@inpria.com</t>
  </si>
  <si>
    <t>The company raised $23.5 million of Series B venture funding from leading investor Samsung Ventures on April 20, 2017, putting the company's pre-money valuation at $65 million. ALIAD (Air Liquide's venture capital investment arm), Applied Ventures (the venture capital arm of Applied Materials), JSR and Intel Capital also participated in the round. The company will use the funding to complete its pilot manufacturing facility, commence commercial production and to grow its workforce.</t>
  </si>
  <si>
    <t>Air Liquide Venture Capital, Applied Ventures, Bandgap Ventures, Intel Capital, JSR, JSR Micro, Oregon Venture Fund, Samsung Venture Investment, Tokyo Ohka Kogyo Company</t>
  </si>
  <si>
    <t>Bandgap Ventures(www.bandgapventures.com), Intel Capital(www.intelcapital.com), JSR(www.jsr.co.jp), JSR Micro(www.jsrmicro.com), Oregon Venture Fund(www.oregonangelfund.com), Samsung Venture Investment(www.samsungventures.com), Tokyo Ohka Kogyo Company(www.tok.co.jp)</t>
  </si>
  <si>
    <t>O'Melveny &amp; Myers(Legal Advisor), Perkins Coie(Legal Advisor), Stoel Rives(Legal Advisor)</t>
  </si>
  <si>
    <t>O'Melveny &amp; Myers(Legal Advisor), Perkins Coie(Legal Advisor)</t>
  </si>
  <si>
    <t>101460-52</t>
  </si>
  <si>
    <t>Innowatts</t>
  </si>
  <si>
    <t>Stem, CODA Energy, EnergyX Solutions, PlotWatt, Enbala Power Networks, Bidgely, QOS Energy, Grid4C, Geli, Onzo, WegoWise, Verdigris, Blue Pillar, NOVEDA Technologies, AutoGrid, Neurio, GridPoint, Simple Energy, Powerley, Rockethome, OhmConnect</t>
  </si>
  <si>
    <t>Developer of a digital energy platform designed to transform and streamline the energy value chain across power markets globally. The company's platform combines machine learning enabled analytics with intelligence from utility smart meters and other critical data on customer behavior, operating environment and external factors, enabling energy providers and end-consumers to optimize total cost of energy and unlock new insights from smart meters.</t>
  </si>
  <si>
    <t>Energy Marketing</t>
  </si>
  <si>
    <t>Energy Marketing*</t>
  </si>
  <si>
    <t>digital energy platform, energy analytics, energy consumption, energy management system, energy monitoring, energy technology</t>
  </si>
  <si>
    <t>www.innowatts.com</t>
  </si>
  <si>
    <t>2017: 50, 2019: 61</t>
  </si>
  <si>
    <t>168795-82P</t>
  </si>
  <si>
    <t>Siddhartha Sachdeva</t>
  </si>
  <si>
    <t>sid@innowatts.com</t>
  </si>
  <si>
    <t>+1 (281) 661-8934</t>
  </si>
  <si>
    <t>601 Sawyer Street</t>
  </si>
  <si>
    <t>77007</t>
  </si>
  <si>
    <t>contact@innowatts.com</t>
  </si>
  <si>
    <t>The company raised $18.2 million of Series B venture funding in a deal led by Energy Impact Partners on May 14, 2019, putting the company's pre-money valuation at an estimated $44.8 million. Shell Ventures, Iberdrola - PERSEO, Evergy Ventures and Energy &amp; Environment Investment also participated in the round. The funds will be used to expand its product offerings in new and existing markets.</t>
  </si>
  <si>
    <t>Energy &amp; Environment Investment, Energy Impact Partners, Evergy Ventures, Iberdrola - PERSEO, Shell Ventures</t>
  </si>
  <si>
    <t>Energy &amp; Environment Investment(www.ee-investment.jp/en), Energy Impact Partners(www.energyimpactpartners.com), Evergy Ventures(www.evergyventures.com)</t>
  </si>
  <si>
    <t>163750-96</t>
  </si>
  <si>
    <t>Innoviz Technologies</t>
  </si>
  <si>
    <t>Innoviz</t>
  </si>
  <si>
    <t>Developer of LiDAR-based remote sensing sensors and systems designed to offer accurate mapping and localization. The company's system offers smart 3D remote sensing for fully autonomous vehicles, as well as provides real-time 3D images of the vehicle's surroundings, enabling vehicle owners to integrate the sensor systems seamlessly into any vehicle for accurate mapping.</t>
  </si>
  <si>
    <t>Application Software, Automotive, Other Consumer Durables*</t>
  </si>
  <si>
    <t>Advanced Manufacturing, Autonomous cars, Industrials, Internet of Things, TMT</t>
  </si>
  <si>
    <t>3d sensing, accurate mapping, autonomous vehicles, lidar sensor, perception software, sensors</t>
  </si>
  <si>
    <t>www.innoviz.tech</t>
  </si>
  <si>
    <t>2017: 75, 2018: 200, 2019: 240</t>
  </si>
  <si>
    <t>64306-90P</t>
  </si>
  <si>
    <t>Oren Rosenzweig</t>
  </si>
  <si>
    <t>Co-Founder and Chief Business Officer</t>
  </si>
  <si>
    <t>oren.r@innoviz.tech</t>
  </si>
  <si>
    <t>+972 (0)9 955 9218</t>
  </si>
  <si>
    <t>Rosh Ha'Ayin, Israel</t>
  </si>
  <si>
    <t>2 Amal Street</t>
  </si>
  <si>
    <t>Afek Industrial Park</t>
  </si>
  <si>
    <t>Rosh Ha'Ayin</t>
  </si>
  <si>
    <t>+972 (0)74 700 3692</t>
  </si>
  <si>
    <t>info@innoviz-tech.com</t>
  </si>
  <si>
    <t>The company raised $132 million of Series C venture funding in a deal led by China Merchants Capital on March 26, 2019. Magna International, Harel Insurance Investments &amp; Financial Services, Phoenix Insurance Company, New Alliance Capital and Shenzhen Capital Group also participated in the round. The funds will be used to scale up the company.</t>
  </si>
  <si>
    <t>360 Capital Partners, Amiti Ventures, Aptiv, China Merchants Capital, Delek Group, Gil Agmon, Glory Ventures, Harel Insurance Investments &amp; Financial Services, Magma Venture Partners, Magna International, Naver, New Alliance Capital, Phoenix Insurance Company, Plug and Play Tech Center, Samsung Catalyst, Shenzhen Capital Group, SoftBank Ventures Asia, Startup Autobahn, Vertex Ventures Israel</t>
  </si>
  <si>
    <t>360 Capital Partners(www.360capitalpartners.com), Amiti Ventures(www.amiticapital.com), Aptiv(www.aptiv.com), China Merchants Capital(www.cmcapital.com.cn), Delek Group(www.delek-group.com), Glory Ventures(www.en.glory-ventures.com), Harel Insurance Investments &amp; Financial Services(www.harel-group.com), Magma Venture Partners(www.magmavc.com), Magna International(www.magna.com), Naver(www.navercorp.com), New Alliance Capital(www.nac-capital.com), Phoenix Insurance Company(www.fnx.co.il), Plug and Play Tech Center(www.plugandplaytechcenter.com), Samsung Catalyst(www.samsungcatalyst.com), Shenzhen Capital Group(www.szvc.com.cn), SoftBank Ventures Asia(www.softbank.co.kr), Startup Autobahn(www.startup-autobahn.com), Vertex Ventures Israel(www.vertexventures.co.il)</t>
  </si>
  <si>
    <t>Meitar Liquornik Geva Leshem Tal(Legal Advisor), The Goldman Sachs Group(Lead Manager or Arranger)</t>
  </si>
  <si>
    <t>51024-25</t>
  </si>
  <si>
    <t>Innovid</t>
  </si>
  <si>
    <t>Innovid Media</t>
  </si>
  <si>
    <t>Silverpush, DataXu, AdRoll, Teads, Videology, ViralGains, Manage.com Group, Perch Interactive, Persado, Chartboost, The Trade Desk, InMobi, NicePeopleAtWork, AppNexus, Adelphic, YuMe, Iterable, SpotX, Terminus, Smartclip Holding, FreeWheel Media, Turn, Tapad, Sizmek, Centro, Dubsat, BrightRoll, PubMatic, LiquidM, i.Predictus, This Technology, Millennial Media, AppLovin, Drawbridge, Metamarkets, Smaato, Fyber, OwnerIQ, Unruly, Conviva, NativeX Holdings, Vungle, Marketo, Adform, Demandbase, Extreme Reach, Feedburner, Hightail, Mux</t>
  </si>
  <si>
    <t>Provider of video marketing platform designed to revolutionize the customer journey. The company's video marketing platform offers tools to synchronize video advertising with the other channels in the marketing cloud and create effective campaigns, enabling advertisers to solves a critical problem in today's fragmented CTV landscape by better advertisers to scale dynamic creative and to reach out more screens.</t>
  </si>
  <si>
    <t>online advertising, video ads serving, video advertising server, video campaign</t>
  </si>
  <si>
    <t>www.innovid.com</t>
  </si>
  <si>
    <t>2014: 121, 2015: 200, 2019: 220</t>
  </si>
  <si>
    <t>35525-08P</t>
  </si>
  <si>
    <t>Zvika Netter</t>
  </si>
  <si>
    <t>zvika@innovid.com</t>
  </si>
  <si>
    <t>+1 (212) 966-7555</t>
  </si>
  <si>
    <t>30 Irving Place</t>
  </si>
  <si>
    <t>+1 (646) 349-3639</t>
  </si>
  <si>
    <t>info@innovid.com</t>
  </si>
  <si>
    <t>The company received $30 million of development capital from Goldman Sachs Private Capital Investing Group on January 7, 2019. The investment will be used to further enhance innovation and leadership in the connected TV (CTV) advertising technology market, as well as to expand its global footprint.</t>
  </si>
  <si>
    <t>Cerca Partners, Cisco Investments, Deutsche Telekom Capital Partners, Genesis Partners, Goldman Sachs Private Capital Investing Group, Individual Investor, Jeffery Pulver, NewSpring Capital, Sequoia Capital Israel, Vintage Investment Partners</t>
  </si>
  <si>
    <t>Cerca Partners(www.cerca-partners.com), Cisco Investments(www.ciscoinvestments.com), Deutsche Telekom Capital Partners(www.telekom-capital.com), Genesis Partners(www.genesispartners.com), Jeffery Pulver(www.jeffpulver.com), NewSpring Capital(www.newspringcapital.com), Vintage Investment Partners(www.vintage-ip.com)</t>
  </si>
  <si>
    <t>Silicon Valley Bank(Debt Financing), TriplePoint Capital(Debt Financing)</t>
  </si>
  <si>
    <t>97042-06</t>
  </si>
  <si>
    <t>Innova (Content Marketing)</t>
  </si>
  <si>
    <t>Influential, NewsCred, Skyword, Kapost, Contently, TapInfluence, Smartology, ApexDrop, Percolate, Acorn: The Influence Company, Mavrck, Opal (Marketing), Imonomy, WideOrbit, Brandnew, Grapeshot, PulsePoint, Sprout Social, Sprinklr, SpotX, NetSeer, Octoly, Hivewyre, Speakr, YuMe, Webfluential, Bynder, VidRocket, Uberflip, Popular Pays, Vibrant (Media), Spredfast, Reelio, Q1Media, Collective Bias, Sharethrough, FameBit, SproutUp Company, BzzAgent, Little Bird, Tubular (Video Intelligence Platform), Virool, Traackr, Alinean, AdMedia Group, Innovid, FreeWheel Media, Izea, Livefyre, Outbrain, Influitive, Videology, Taboola, Kiosked, Media.net Advertising, Clicksor, Teads, Linqia, Feedburner</t>
  </si>
  <si>
    <t>Provider of an online platform designed to offer content marketing services. The company's platform helps in attracting and retaining customers by consistently creating and curating relevant and valuable content with the intention of changing or enhancing consumer behavior, enabling companies to market their products or services.</t>
  </si>
  <si>
    <t>Application Software*, Business/Productivity Software, Media and Information Services (B2B), Vertical Market Software</t>
  </si>
  <si>
    <t>Marketing Tech, SaaS</t>
  </si>
  <si>
    <t>attract customers, content marketing, content marketing service, valuable content display</t>
  </si>
  <si>
    <t>www.innova-jp.com</t>
  </si>
  <si>
    <t>153131-59P</t>
  </si>
  <si>
    <t>Atsushi Munakata</t>
  </si>
  <si>
    <t>munakata@innova-jp.com</t>
  </si>
  <si>
    <t>+81 (0)34 405 7431</t>
  </si>
  <si>
    <t>Bunkyo ku, Tokyo 1-4-1</t>
  </si>
  <si>
    <t>Koishikawa ku Sumitomo Realty Korakuen Building 18F</t>
  </si>
  <si>
    <t>112-0002</t>
  </si>
  <si>
    <t>innova@innova-jp.com</t>
  </si>
  <si>
    <t>The company raised $2.1 million of Series A venture funding in a deal led by Salesforce Ventures on September 2, 2014. Nippon Venture Capital and Draper Nexus also participated in the round.</t>
  </si>
  <si>
    <t>DNX Ventures, Nippon Venture Capital, Salesforce Ventures</t>
  </si>
  <si>
    <t>DNX Ventures(www.dnx.vc), Nippon Venture Capital(www.nvcc.co.jp)</t>
  </si>
  <si>
    <t>54699-58</t>
  </si>
  <si>
    <t>Innolume</t>
  </si>
  <si>
    <t>Manufacturer of GaAs-based laser diodes designed to help in industrial, medical, and communication applications. The company's laser diodes also manufactures laser modules for industrial, medical and communications applications with Quantum Dots Technology and advanced chip design allows fast turn-arounds in product development and modification of standard items for custom inquiries, enabling businesses to reduce the cost of optical services for short reach interconnects to the level needed by high volume, mainstream computing applications.</t>
  </si>
  <si>
    <t>Electronic Equipment and Instruments*, Other Commercial Products</t>
  </si>
  <si>
    <t>broadband light sourcing, chips design, communication application, laser module</t>
  </si>
  <si>
    <t>www.innolume.com</t>
  </si>
  <si>
    <t>2014: 17, 2016: 18</t>
  </si>
  <si>
    <t>42603-76P</t>
  </si>
  <si>
    <t>Gregory Wojcik</t>
  </si>
  <si>
    <t>gregory.wojcik@innolume.com</t>
  </si>
  <si>
    <t>+1 (408) 689-3702</t>
  </si>
  <si>
    <t>Dortmund, Germany</t>
  </si>
  <si>
    <t>Konrad-Adenauer-Allee 11</t>
  </si>
  <si>
    <t>Dortmund</t>
  </si>
  <si>
    <t>44263</t>
  </si>
  <si>
    <t>+49 (0)23 1477 3020 0</t>
  </si>
  <si>
    <t>+49 (0)23 1477 3025 0</t>
  </si>
  <si>
    <t>info@innolume.com</t>
  </si>
  <si>
    <t>The company raised €8.6 million of Series C venture funding from lead investor S-Group Capital Management and Applied Ventures on August 4, 2008. NRW Bank, PEPPERMINT Financial Partners, S-VentureCapital, S-Venture Capital Dortmund, Robert A. Young and Juergen Kurb also participated.</t>
  </si>
  <si>
    <t>Applied Ventures, Individual Investor, NRW.Bank, Peppermint Venture Partners, PolyTechnos Venture-Partners, S-Group Capital Management, S-Venture Capital Dortmund</t>
  </si>
  <si>
    <t>NRW.Bank(www.nrwbank.de), Peppermint Venture Partners(www.peppermint-vp.com), PolyTechnos Venture-Partners(www.polytechnos.com), S-Group Capital Management(www.sgcm.ru)</t>
  </si>
  <si>
    <t>SJ Berwin(Legal Advisor)</t>
  </si>
  <si>
    <t>52924-51</t>
  </si>
  <si>
    <t>InMoment</t>
  </si>
  <si>
    <t>Mindshare Technologies</t>
  </si>
  <si>
    <t>ForeSee Results, Nanorep, Pendo, Whatfix, Directly, iPerceptions, Clarabridge, Appcues, AnswerIQ, WalkMe, Toonimo, Iridize, Rant &amp; Rave</t>
  </si>
  <si>
    <t>Provider of cloud-based customer experience optimization platform. The company offers strategic technical, best practice and thought leadership services and organizes data on the customer's base and the effectiveness of their customer service, enabling the retailers to measure, manage and improve the experiences of their customers.</t>
  </si>
  <si>
    <t>customer experience optimization, customer loyalty and retention, employee engagement, enterprise feedback management, text analytics</t>
  </si>
  <si>
    <t>www.inmoment.com</t>
  </si>
  <si>
    <t>2009: 68, 2010: 76, 2011: 109, 2012: 166, 2013: 215, 2014: 276, 2015: 276</t>
  </si>
  <si>
    <t>54471-16P</t>
  </si>
  <si>
    <t>Mark Webb</t>
  </si>
  <si>
    <t>mwebb@mshare.net</t>
  </si>
  <si>
    <t>+1 (800) 530-4251</t>
  </si>
  <si>
    <t>10355 South Jordan Gateway</t>
  </si>
  <si>
    <t>info@inmoment.com</t>
  </si>
  <si>
    <t>The company was acquired by Madison Dearborn Partners through an LBO on May 15, 2019 for an undisclosed sum. The acquisition enables the company to accelerate its growth strategy, as well as continued geographic expansion in the large and growing customer experience and analytics market. Previously, the company received an undisclosed amount of debt financing in the form of a loan from undisclosed lenders on April 02, 2018. Honigman acted as a legal advisor to the company in the transaction.</t>
  </si>
  <si>
    <t>Madison Dearborn Partners, Peterson Partners</t>
  </si>
  <si>
    <t>ORIX Growth Capital, Sorenson Capital</t>
  </si>
  <si>
    <t>Madison Dearborn Partners(www.mdcp.com), Peterson Partners(www.petersonpartners.com)</t>
  </si>
  <si>
    <t>Sorenson Capital(www.sorensoncapital.com)</t>
  </si>
  <si>
    <t>Calibre One(Consulting), De Luna Partners(Placement Agent), Walker Sands Communications(Advisor: Communications)</t>
  </si>
  <si>
    <t>DLA Piper(Legal Advisor), Honigman(Legal Advisor), Union Square Advisors(Advisor: General)</t>
  </si>
  <si>
    <t>103214-35</t>
  </si>
  <si>
    <t>Inked Brands</t>
  </si>
  <si>
    <t>Studio Calico</t>
  </si>
  <si>
    <t>Distributor of paper-crafting kits designed to empower people to make through inspiration, community and innovative product. The company's kits are sold through its online platform that include crafting and paper supplies, scrapbooking kits, digital products, adhesives, albums and page protectors, class supplies, classroom products, collections, color theory products, die cutting products, embellishments and gift cards, enabling customers to avail the products in a reasonable rate.</t>
  </si>
  <si>
    <t>Internet Retail*, Other Consumer Non-Durables</t>
  </si>
  <si>
    <t>email marketing, influencer content, paper craft kits, product development, product development and design, social &amp; digital marketing</t>
  </si>
  <si>
    <t>www.inkedbrands.com</t>
  </si>
  <si>
    <t>136943-11P</t>
  </si>
  <si>
    <t>Greg Foster</t>
  </si>
  <si>
    <t>Co-Founder &amp; Co-Owner</t>
  </si>
  <si>
    <t>greg@studiocalico.com</t>
  </si>
  <si>
    <t>Bowling Green, KY</t>
  </si>
  <si>
    <t>114 Corporate Center</t>
  </si>
  <si>
    <t>Bowling Green</t>
  </si>
  <si>
    <t>42103</t>
  </si>
  <si>
    <t>info@studiocalico.com</t>
  </si>
  <si>
    <t>The company raised $200,000 of convertible debt financing from Archer Gray on June 1, 2018.</t>
  </si>
  <si>
    <t>Archer Gray, Bertelsmann Digital Media Investments, BIP Capital, Halogen Ventures, Southeast Investor Group, Vine Street Ventures</t>
  </si>
  <si>
    <t>Archer Gray(archergray.com), Bertelsmann Digital Media Investments(www.bdmifund.com), BIP Capital(www.bip-capital.com), Halogen Ventures(www.halogenvc.com), Southeast Investor Group(www.southeastinvestorgroup.com), Vine Street Ventures(www.vinestventures.com)</t>
  </si>
  <si>
    <t>Branch Banking and Trust(Debt Financing), Independence Bank of Kentucky(Debt Financing), TIAA Commercial Finance(Debt Financing), U.S. Bank(Debt Financing), Wells Fargo(Debt Financing), Western Equipment Finance(Debt Financing)</t>
  </si>
  <si>
    <t>54407-44</t>
  </si>
  <si>
    <t>Inka Entworks</t>
  </si>
  <si>
    <t>Developer of digital rights management (DRM) technologies designed to contribute to the development of digital contents. The company's PallyCon application offers content security services, supporting various contents services such as online movie services and e-learning services, the other application App Sealing is a cloud-based service which help mobile game developers to prevent their codes from being copied, enabling clients to access contents services across platforms including iOS and Android smart devices.</t>
  </si>
  <si>
    <t>Application Software*, Network Management Software, Other Software</t>
  </si>
  <si>
    <t>contents services, digital content, drm adaptors, video content</t>
  </si>
  <si>
    <t>www.inka.co.kr</t>
  </si>
  <si>
    <t>2014: 51, 2015: 51</t>
  </si>
  <si>
    <t>68246-38P</t>
  </si>
  <si>
    <t>James Ahn</t>
  </si>
  <si>
    <t>james@inka.co.kr</t>
  </si>
  <si>
    <t>+82 (0)2 538 9058</t>
  </si>
  <si>
    <t>16, Hangang-daero 44-gil</t>
  </si>
  <si>
    <t>Yongsan-gu</t>
  </si>
  <si>
    <t>140-872</t>
  </si>
  <si>
    <t>+82 (0)2 538 6728</t>
  </si>
  <si>
    <t>cbiz@inka.co.kr</t>
  </si>
  <si>
    <t>Saint Capital sold its stake in the company to undisclosed investors.</t>
  </si>
  <si>
    <t>Korea Development Bank, Samsung Venture Investment, Young Woo Communications</t>
  </si>
  <si>
    <t>Saints Capital</t>
  </si>
  <si>
    <t>Korea Development Bank(www.kdb.co.kr), Samsung Venture Investment(www.samsungventures.com)</t>
  </si>
  <si>
    <t>Saints Capital(www.saintscapital.com)</t>
  </si>
  <si>
    <t>113218-66</t>
  </si>
  <si>
    <t>InHerSight</t>
  </si>
  <si>
    <t>Fairygodboss, Glassdoor, Comparably</t>
  </si>
  <si>
    <t>Provider of an information platform designed to help women find jobs and companies where they can succeed. The company's platform is powered by anonymous company ratings, where women rate the female-friendliness of companies across 16 categories including flexibility, women in leadership, maternity leave policies, salary satisfaction and more, enabling women employees to get a space to communicate with other women about workplace issues and to find their ideal workplace which help them to thrive.</t>
  </si>
  <si>
    <t>Application Software, Business/Productivity Software, Human Capital Services, Information Services (B2C)*, Social/Platform Software</t>
  </si>
  <si>
    <t>employer data, employer rating, employer review, information platform, jobs opportunities, management opportunities, platform for women, women career enhancement, women platform, workplace information, workplace review</t>
  </si>
  <si>
    <t>www.inhersight.com</t>
  </si>
  <si>
    <t>155542-24P</t>
  </si>
  <si>
    <t>Ursula Mead</t>
  </si>
  <si>
    <t>ursula@inhersight.com</t>
  </si>
  <si>
    <t>PMB 312, 201 West Main Street</t>
  </si>
  <si>
    <t>27701</t>
  </si>
  <si>
    <t>hello@inhersight.com</t>
  </si>
  <si>
    <t>The company raised $3.65 million of Series A venture funding in a deal led by Motley Fool Ventures on February 28, 2019, putting the company's pre-money valuation at $12 million.</t>
  </si>
  <si>
    <t>Blackbox, Charlotte Angel Fund, Full Tilt Capital, GP Ventures+, GrowthX, Hunt Technology Ventures, Motley Fool Ventures</t>
  </si>
  <si>
    <t>Blackbox(www.blackbox.org), Charlotte Angel Fund(www.cltangelfund.com), Full Tilt Capital(www.fulltilt.capital), GP Ventures+(www.gpven.com), GrowthX(www.growthx.com), Motley Fool Ventures(www.foolventures.com)</t>
  </si>
  <si>
    <t>174161-17</t>
  </si>
  <si>
    <t>Infostellar</t>
  </si>
  <si>
    <t>StellarStation</t>
  </si>
  <si>
    <t>Developer of a cloud-based satellite antenna sharing platform to provide smart, efficient communications infrastructure for humanity's ongoing space expansion. The company's cloud-based satellite antenna sharing platform helping in increased transmission at lower cost, while passing on revenue to antenna owners in the network, enabling communication operators to share their antennas during idle time.</t>
  </si>
  <si>
    <t>antenna sharing platform, cloud-based, satellite antennas sharing platform, sharing platform</t>
  </si>
  <si>
    <t>www.infostellar.net</t>
  </si>
  <si>
    <t>170782-21P</t>
  </si>
  <si>
    <t>Naomi Kurahara</t>
  </si>
  <si>
    <t>naomi.kurahara@infostellar.net</t>
  </si>
  <si>
    <t>Daiichi Akatsuki Building 2 Floor</t>
  </si>
  <si>
    <t>1-19-9 Dogenzaka, Shibuya</t>
  </si>
  <si>
    <t>150-0043</t>
  </si>
  <si>
    <t>info@istellar.jp</t>
  </si>
  <si>
    <t>The company raised $7.3 million of Series A venture funding in a deal led by Airbus Ventures on September 13, 2017. WERU Investment, D4V (Design for Ventures), Sony Innovation Fund, FreakOut, and 500 Startups also participated in the round. The funds will be used to launch its flagship platform, StellarStation, expand its network of partner antennas, and hire additional new people. Previously, the company raised $550,000 of seed funding from FreakOut, 500 Startups and Kotaro Chiba on October 6, 2016.</t>
  </si>
  <si>
    <t>Airbus Ventures, Coral Capital, D4V (Design for Ventures), FreakOut, Kotaro Chiba, Ministry of Internal Affairs and Communication, Sony Innovation Fund, WERU Investment</t>
  </si>
  <si>
    <t>Airbus Ventures(www.airbusventures.vc), Coral Capital(www.coralcap.co), D4V (Design for Ventures)(www.d4v.com), FreakOut(www.fout.co.jp), Ministry of Internal Affairs and Communication(www.soumu.go.jp), Sony Innovation Fund(www.sonyinnovationfund.com), WERU Investment(www.weruinvest.com)</t>
  </si>
  <si>
    <t>41162-14</t>
  </si>
  <si>
    <t>Informatica</t>
  </si>
  <si>
    <t>SnapLogic, Dataiku, Zaloni, MapR, Experian Data Quality, Tamr, Enterworks, BlueTalon, Profisee, MongoDB, Neo4j, Datawatch, Syncsort, WSO2, Couchbase, Periscope Data, Hortonworks, Splunk, Cloudera, ServiceNow, BMC Software, TIBCO Software, Talend, Scribe Software, Riversand, Altiscale, Cambridge Semantics, Jirapong Nanta, Alation, Thomas Blommaert, Paxata, Ab Initio, Collibra, Infogix, Global Data Excellence, Pentaho, Jumio, Tavant Technologies, SevOne, Epicor Software, StreamSets, AtScale, Richard Senior, TigerGraph, Perfion, SAS Institute, Lattice (Business/Productivity Software), Cloud Elements, BEKO Holding, Cherwell Software, Alteryx, Compuware, Jitterbit, Datactics, NICE Systems, Reltio, Pimcore, Trillium Software, SAP, InfoVista, Infor Global Solutions, Zhang Jingyuan, Syniti, Vasont Systems, Automic Software, Nutanix, Trifacta, MuleSoft, Oracle, Teradata, ODI</t>
  </si>
  <si>
    <t>Developer of enterprise data integration and management software for banking, healthcare, insurance, retail, and other industries. The company's software offers cloud data integration, replication, archiving and data virtualization, enabling industries to understand sensitive data risk, analyzing data risk which includes discovering, identifying and classifying based on value, location, protection, and proliferation.</t>
  </si>
  <si>
    <t>Database Software*, Other Software</t>
  </si>
  <si>
    <t>Big Data</t>
  </si>
  <si>
    <t>big data management, cloud platform management, data exchange, data integration app, data integration tools, enterprise system</t>
  </si>
  <si>
    <t>www.informatica.com</t>
  </si>
  <si>
    <t>1998: 200, 1999: 332, 2000: 763, 2001: 838, 2002: 796, 2003: 250, 2004: 837, 2005: 1010, 2006: 1221, 2007: 1365, 2008: 1611, 2009: 1755, 2010: 2126, 2011: 2554, 2012: 2814, 2013: 3234, 2014: 3664, 2015: 3393, 2018: 3500</t>
  </si>
  <si>
    <t>34988-41P</t>
  </si>
  <si>
    <t>Douglas Barnett</t>
  </si>
  <si>
    <t>dbarnett@informatica.com</t>
  </si>
  <si>
    <t>+1 (650) 385-5000</t>
  </si>
  <si>
    <t>2100 Seaport Boulevard</t>
  </si>
  <si>
    <t>+1 (650) 385-5500</t>
  </si>
  <si>
    <t>The company received $1900 million of debt financing in the form of a loan from Merrill Lynch Pierce Fenner &amp; Smith, The Goldman Sachs Group, Credit Suisse Securities, Macquarie Capital, Morgan Stanley Senior Funding, Nomura Securities International and RBC Capital Markets on January 18, 2018. Previously the company was acquired by Permira, Canada Pension Plan Investment Board, AlpInvest Partners, Microsoft and Salesforce Ventures through a public-to-private LBO for $5.3 billion on August 6, 2015. As a part of the transaction, Corporate Capital Trust provided $7.307 million of senior debt financing to support the deal. The company went private as a result of the transaction. As part of the transaction, an arranger group led by Bank of America Merrill Lynch (BAML) finalized the company's institutional term loan at $1.71 billion, a $5 million upsizing earmarked to provide a cushion for currency fluctuations. The euro-denominated carve-out remains at €250 million. Final pricing is L/E+350, with a 1% LIBOR floor, offered at 99.75. In addition, the seven-year covenant-lite term includes a step-down to L/E+325 at 6.25x net total leverage. In addition to BAML, the arranger group includes Goldman Sachs, Credit Suisse, Macquarie Capital, Morgan Stanley, Nomura, RBC Capital Markets, and Deutsche Bank.</t>
  </si>
  <si>
    <t>AlpInvest Partners, Canada Pension Plan Investment Board, L Capital (San Francisco), Microsoft, Permira, Salesforce Ventures</t>
  </si>
  <si>
    <t>Bay Partners, Elliott Management, Integral Capital Partners, Kappa IT Ventures Consulting, Lightspeed Venture Partners, MX Gold, Opus Capital, Partech Partners, Red Rock Ventures, Sole Realisation Company, T. Rowe Price, Two Six Capital</t>
  </si>
  <si>
    <t>Advent International, Hellman &amp; Friedman, Silver Lake Management, Thoma Bravo</t>
  </si>
  <si>
    <t>AlpInvest Partners(www.alpinvest.com), Canada Pension Plan Investment Board(www.cppib.com), L Capital (San Francisco)(www.lcapitalmgmt.com), Microsoft(www.microsoft.com), Permira(www.permira.com)</t>
  </si>
  <si>
    <t>Bay Partners(www.baypartners.com), Elliott Management(www.elliottmgmt.com), Integral Capital Partners(www.icp.com), Kappa IT Ventures Consulting(www.kappa-it.com), Lightspeed Venture Partners(www.lsvp.com), MX Gold(www.mxgoldcorp.com), Opus Capital(www.opuscapitalventures.com), Partech Partners(www.partechpartners.com), Red Rock Ventures(www.redrockventures.com), Sole Realisation Company(www.svgcapital.com), T. Rowe Price(www3.troweprice.com), Two Six Capital(www.twosixcapital.com)</t>
  </si>
  <si>
    <t>Advent International(www.adventinternational.com), Hellman &amp; Friedman(www.hf.com), Silver Lake Management(www.silverlake.com), Thoma Bravo(www.thomabravo.com)</t>
  </si>
  <si>
    <t>Aspen Worldwide(Consulting), C. G. Consulting Group(Consulting), Concitor(Consulting), FBN Securities(Advisor: General), Goodwin(Legal Advisor), Knowledgent(Advisor: General), Kranz &amp; Associates(Advisor: General), Project Management Advisors(Consulting), Rigrodsky &amp; Long(Legal Advisor), RoseRyan(Consulting), Slalom Consulting(Consulting), Timan(Valuation/Appraiser)</t>
  </si>
  <si>
    <t>A&amp;L Goodbody(Legal Advisor), Bank of America Merrill Lynch(Debt Financing), Charles Schwab &amp; Co.(Underwriter), Corporate Capital Trust(Debt Financing), Credit Suisse(Debt Financing), Credit Suisse(Underwriter), Credit Suisse Securities (USA)(Debt Financing), Dain Rauscher Wessels(Underwriter), Deutsche Bank(Debt Financing), EY(Accounting), First Albany Companies(Underwriter), Fried, Frank, Harris, Shriver &amp; Jacobson(Legal Advisor), Goodwin(Legal Advisor), Invemed Associates(Underwriter), Joele Frank, Wilkinson Brimmer Katcher(Advisor: Communications), JPMorgan Chase(Advisor: General), Knowledgent(Advisor: General), Lightspeed Venture Partners(Debt Financing), Mackenzie Partners(Advisor: General), Macquarie Group(Advisor: General), Merrill Lynch Pierce Fenner &amp; Smith(Debt Financing), Morgan Stanley(Advisor: General), Morrison &amp; Foerster(Legal Advisor), Nomura Bank(Debt Financing), Nomura Securities(Underwriter), Paul, Weiss, Rifkind, Wharton &amp; Garrison(Legal Advisor), Piper Jaffray(Underwriter), Qatalyst Partners(Advisor: General), RBC Capital Markets(Debt Financing), RBC Capital Markets(Underwriter), Robertson Stephens(Underwriter), SG Cowen Securities(Underwriter), Soundview Technology Group(Underwriter), The Chapman Company(Underwriter), The Goldman Sachs Group(Debt Financing), Wilson Sonsini Goodrich &amp; Rosati(Legal Advisor)</t>
  </si>
  <si>
    <t>10134-19</t>
  </si>
  <si>
    <t>Infor Global Solutions</t>
  </si>
  <si>
    <t>Agilisys</t>
  </si>
  <si>
    <t>Infor</t>
  </si>
  <si>
    <t>Sparta Systems, CA Technologies, Ramco Systems, ECi Software Solutions, Coupa, SAP, Acumatica, Deltek, Holded, Aptean, Kenandy, Consona, Intuit, ServusConnect, Totvs, Aviso, Odoo, Macola Software, Rootstock, Tableau Software, Epicor Software, NetSuite, Lattice (Business/Productivity Software), IQMS, Plex Systems, Anaplan, Microsoft Visio, Paylocity, Aconex, Acclivity, Onestream Software, Reviewsnap, Adaptive Insights, Viewpoint (Construction Software), Global Shop Solutions, ProcessPro Software, Sisense, PearlChain.net, CCH Tagetik, American Software, BetterWorks, Deacom, HappyCo, 3PL Central, Leadspace, Payworks Incorporation, Relato, AchieveIt, Host Analytics, The Ceridian (UK and Ireland unit), Celstream Technologies, Salesforce, Godlan, Sheorey Digital Systems, Brightpearl, Paycom Software, Savi Technology, GlobeRanger, Vinculum Solutions, Industrial &amp; Financial Systems, iCIMS, Radiant RFID, Tidemark, Genpact, Polaris Consulting &amp; Services, NGA Human Resources, Procore, Urchin Software, EverString, Citrix Systems, Workday, Oracle</t>
  </si>
  <si>
    <t>Developer of an enterprise planning software created to provide cloud-based industry-specific business applications. The company's enterprise planning software includes a broad set of applications that run on the cloud with cutting-edge data science and design, enabling companies in healthcare, fashion, retail, distribution and public sector to easily manage inventory, logistics and other resources.</t>
  </si>
  <si>
    <t>cloud-based enterprise software, enterprise planning software, enterprise software, financial management system, integrated enterprise software, logistics software</t>
  </si>
  <si>
    <t>www.infor.com</t>
  </si>
  <si>
    <t>2007: 9200, 2010: 8000, 2015: 12790, 2016: 15000, 2017: 16000, 2018: 17000, 2019: 17300</t>
  </si>
  <si>
    <t>65128-33P</t>
  </si>
  <si>
    <t>Kevin Samuelson</t>
  </si>
  <si>
    <t>kevin.samuelson@infor.com</t>
  </si>
  <si>
    <t>641 Avenue of the Americas</t>
  </si>
  <si>
    <t>+1 (646) 336-1700</t>
  </si>
  <si>
    <t>+1 (678) 319-8682</t>
  </si>
  <si>
    <t>contact@infor.com</t>
  </si>
  <si>
    <t>The company entered into a definitive agreement to receive $1.5 billion of development capital from Golden Gate Capital, Kayne Anderson Capital Advisors and Koch Equity Development on January 16, 2019. The company plans to use a large portion of the investment to pay down part of that debt including $500 million in senior secured notes due in 2020, which it plans to pay off next month, and $750 million in HoldCo senior contingent cash pay notes due in 2021, which it plans to pay off in May. Previously, Symphony Technology Group, Salesforce Ventures and Kleiner Perkins Caufield &amp; Byers sold its stake in the company on an undisclosed date. The company is being actively tracked by PitchBook.</t>
  </si>
  <si>
    <t>Golden Gate Capital, Kayne Anderson Capital Advisors, Koch Equity Development, Parallax Capital Partners, Summit Partners</t>
  </si>
  <si>
    <t>Kleiner Perkins, Salesforce Ventures, STG Partners, Systems &amp; Computer Technology</t>
  </si>
  <si>
    <t>Golden Gate Capital(www.goldengatecap.com), Kayne Anderson Capital Advisors(www.kaynecapital.com), Koch Equity Development(www.kochequity.com), Parallax Capital Partners(www.parallaxcap.com), Summit Partners(www.summitpartners.com)</t>
  </si>
  <si>
    <t>Kleiner Perkins(www.kleinerperkins.com), STG Partners(www.stgpartners.com), Systems &amp; Computer Technology(www.sct.com)</t>
  </si>
  <si>
    <t>Aspen Worldwide(Consulting), Erevena(Consulting), Krogerus(Legal Advisor), Lehman Brothers(Debt Financing), Madison Street Capital(Advisor: General), ON Partners(Consulting), Skillnet(Advisor: General), Texas Consilium(Consulting), The Business Advantage Group(Consulting)</t>
  </si>
  <si>
    <t>Apollo Investment(Debt Financing), Bank of America(Advisor: General), Bank of America(Debt Financing), Bank of America Merrill Lynch(Advisor: General), Bank of America Merrill Lynch(Debt Financing), Barclays(Debt Financing), Business Development Corporation of America(Debt Financing), C.E. Unterberg, Towbin Holdings(Advisor: General), Corporate Capital Trust(Debt Financing), Credit Suisse(Advisor: General), Credit Suisse Securities (USA)(Debt Financing), Duff &amp; Phelps(Advisor: General), EY(Auditor), GE Capital(Debt Financing), Gibson, Dunn &amp; Crutcher(Legal Advisor), Gladstone Capital(Debt Financing), J.P. Morgan Securities(Debt Financing), Kirkland &amp; Ellis(Legal Advisor), Lehman Brothers(Debt Financing), Merrill Lynch Pierce Fenner &amp; Smith(Debt Financing), Morgan Stanley(Advisor: General), Pepper Hamilton(Legal Advisor), The Goldman Sachs Group(Debt Financing), Wells Fargo Capital Finance(Debt Financing)</t>
  </si>
  <si>
    <t>56364-94</t>
  </si>
  <si>
    <t>InfluxData</t>
  </si>
  <si>
    <t>Errplane Inc., InfluxDB Inc.</t>
  </si>
  <si>
    <t>InfluxDB</t>
  </si>
  <si>
    <t>Timescale, Algolia, Sumo Logic, Qubole, Loggly, Datical, Infobright, Kx Systems, OmniSci, Cloud Cruiser, Grafana Labs, Treasure Data, The MathWorks, Paradigm4 (Waltham), Logz.io, TempoIQ, DataStax, Databricks, Alteryx, MapR, Vertica Systems, ExtraHop Networks, Aginity, Kognitio, Exasol, Anova Data, Graylog, Altiscale, Xplenty, Smartlogic, Interana, Docker, ThingWorx, BMC Software, Actian, Maana, Logmatic.io, Citus Data, Exosite, Splunk, MySQL, Elasticsearch</t>
  </si>
  <si>
    <t>Developer of a time series database monitoring and analytics platform designed to manage IoT time-series data at scale. The company's platform is an open source platform designed to manage time-series data, the main type of data found in the vast majority of IoT/sensor, real-time analytics and custom monitoring, enabling developers to build next-generation monitoring, analytics, and IoT applications faster, easier and to scale delivering real business value quickly.</t>
  </si>
  <si>
    <t>Application Software, Automation/Workflow Software, Database Software*</t>
  </si>
  <si>
    <t>application performance, data visualization, database monitoring, iot, machine monitoring, performance monitoring tools, time series platform</t>
  </si>
  <si>
    <t>www.influxdata.com</t>
  </si>
  <si>
    <t>2015: 21, 2018: 80, 2019: 150</t>
  </si>
  <si>
    <t>47855-08P</t>
  </si>
  <si>
    <t>Paul Dix</t>
  </si>
  <si>
    <t>paul@influxdata.com</t>
  </si>
  <si>
    <t>+1 (415) 295-1901</t>
  </si>
  <si>
    <t>contact@influxdata.com</t>
  </si>
  <si>
    <t>The company raised $60.00 million of Series D venture funding in a deal led by Norwest Venture Partners on January 28, 2019, putting the pre-money valuation at $340 million. Sorenson Capital, Mayfield Fund, Trinity Ventures, Battery Ventures, Sapphire Ventures and Harmony Partners also participated in the round. The funds will be used to support further investment of product innovation.</t>
  </si>
  <si>
    <t>Accelerator Technology Holdings, Battery Ventures, Bloomberg Beta, Harmony Partners, Kenny Van Zant, Mayfield Fund, Norwest Venture Partners, Salesforce Ventures, Sapphire Ventures, Silicon Badia, Sorenson Capital, Trinity Ventures, Y Combinator</t>
  </si>
  <si>
    <t>Accelerator Technology Holdings(www.acceleratortech.com), Battery Ventures(www.battery.com), Bloomberg Beta(www.bloombergbeta.com), Harmony Partners(www.harmonyvp.com), Mayfield Fund(www.mayfield.com), Norwest Venture Partners(www.nvp.com), Sapphire Ventures(www.sapphireventures.com), Silicon Badia(www.siliconbadia.com), Sorenson Capital(www.sorensoncapital.com), Trinity Ventures(www.trinityventures.com), Y Combinator(www.ycombinator.com)</t>
  </si>
  <si>
    <t>Cooley(Legal Advisor), Kindred Partners(Consulting)</t>
  </si>
  <si>
    <t>60616-18</t>
  </si>
  <si>
    <t>Ineda Systems</t>
  </si>
  <si>
    <t>Kilopass, GarField Microelectronics, NXP Semiconductors</t>
  </si>
  <si>
    <t>Developer of innovative and differentiated platforms created to improve power consumption by automotive and IoT applications. The company's innovative and differentiated platforms are built on a hierarchical computing architecture (HCA) helping multiple CPU to run independently while sharing the on-board resources to offer a unified application experience to the system user, enabling users to make optimal use of CPU, peripherals, accelerators and memory banks based on use case.</t>
  </si>
  <si>
    <t>Application Software, Application Specific Semiconductors*</t>
  </si>
  <si>
    <t>computing architecture, hierarchical computing, hierarchical computing architecture, power consumption technology, virtualization technology</t>
  </si>
  <si>
    <t>www.inedasystems.com</t>
  </si>
  <si>
    <t>2014: 200, 2016: 105</t>
  </si>
  <si>
    <t>64652-32P</t>
  </si>
  <si>
    <t>Balaji Kanigicherla</t>
  </si>
  <si>
    <t>balaji@inedasystems.com</t>
  </si>
  <si>
    <t>+1 (408) 400-7375</t>
  </si>
  <si>
    <t>2901, Tasman</t>
  </si>
  <si>
    <t>Suite 113</t>
  </si>
  <si>
    <t>info@inedasystems.com</t>
  </si>
  <si>
    <t>The company raised $4 million of Series D venture funding from Walden International and other undisclosed investors on January 30, 2017, putting the pre-money valuation at $21 million.</t>
  </si>
  <si>
    <t>Cisco Investments, Imagination Technologies, IndusAge Partners, Krishna Yarlagadda, Lip-Bu Tan, Qualcomm Ventures, Samsung Catalyst, UMC Capital, Walden International, WRV Capital</t>
  </si>
  <si>
    <t>Cisco Investments(www.ciscoinvestments.com), Imagination Technologies(www.imgtec.com), IndusAge Partners(www.indusage.com), Qualcomm Ventures(www.qualcommventures.com), Samsung Catalyst(www.samsungcatalyst.com), UMC Capital(www.umccapital.com), Walden International(www.waldenintl.com), WRV Capital(www.wrvcapital.com)</t>
  </si>
  <si>
    <t>64846-99</t>
  </si>
  <si>
    <t>Indicative</t>
  </si>
  <si>
    <t>Evergage, CleverTap, MixPanel, Birst, Optimove, Amplitude, Dynamic Yield, Ometria, BlueConic, Custora, GoodData, Airship, iJento, Simon, Datameer, Monetate, Parse.ly, Leanplum, Lotame Solutions, Springbot, Yieldify, AgilOne, Klaviyo, Beckon, Segment, CoolaData, Heap, Yotpo, Aptrinsic, Resci, Movable Ink, Boxever, Bluecore, Sprout Social, OnCorps, InsightSquared, Woopra, Trustpilot, Domo, Grow (Business/Productivity Software), Sailthru, Viafoura, Simply Measured, Swrve, SAS Institute, Datascience.com, Klipfolio, Zoomdata, Customer Portfolios, MoEngage, Kissmetrics, Logi Analytics, SiteSpect, IO Analytics, Ancile Solutions, RichRelevance, Indus Insights, Geckoboard, ContentSquare, Localytics, Kahuna, ClickFox, Optimizely, Revmetrix, Mode Analytics, Grow Zippy Solutions, Sisense, Dundas Data Visualization, Chartbeat, Ngdata, Rumble (Media and Information Services), mParticle, Feefo, Windsor Circle, Arcadia Data, AtScale, Qlik Technologies, Go Squared, Pendo</t>
  </si>
  <si>
    <t>Provider of a behavioral analytics platform designed to help marketers, product managers and analysts to understand the complete customer journey. The company's platform empowers customers to build agile, responsive and intelligent product experiences through powerful web and mobile analytics, enabling businesses to work efficiently.</t>
  </si>
  <si>
    <t>Application Software, Business/Productivity Software, Media and Information Services (B2B)*</t>
  </si>
  <si>
    <t>analytical platform, analytics platform, analytics toolset, behavioral analytics, mobile analytics</t>
  </si>
  <si>
    <t>www.indicative.com</t>
  </si>
  <si>
    <t>2014: 21, 2016: 28</t>
  </si>
  <si>
    <t>72410-14P</t>
  </si>
  <si>
    <t>Jeremy Levy</t>
  </si>
  <si>
    <t>jeremy@indicative.com</t>
  </si>
  <si>
    <t>33 West 17th Street</t>
  </si>
  <si>
    <t>info@indicative.com</t>
  </si>
  <si>
    <t>The company raised $3.9 million of Series A1 venture funding from MDC Ventures in February 2016, putting the company's pre-money valuation at $17 million.</t>
  </si>
  <si>
    <t>Acadia Woods Partners, Bertelsmann Digital Media Investments, Business Forums International, Individual Investor, Jonah Goodhart, MDC Ventures, Nils Johnson, SeventySix Capital</t>
  </si>
  <si>
    <t>Bertelsmann Digital Media Investments(www.bdmifund.com), Business Forums International(www.businessforumsinternational.com), MDC Ventures(www.mdcventures.vc), SeventySix Capital(www.seventysixcapital.com)</t>
  </si>
  <si>
    <t>57221-20</t>
  </si>
  <si>
    <t>Inchron</t>
  </si>
  <si>
    <t>Provider of a suite of integrated tools designed to develop embedded systems for improving daily life. The company's integrated tool suite is easy to use and integrates into existing enterprise workflow that offers latest visualization, simulation and design optimization technologies, from evaluating design options to fixing bugs in legacy code, enabling businesses to make embedded systems development more efficient, predictable and user friendly.</t>
  </si>
  <si>
    <t>embedded software system, embedded systems, enterprise workflow, integrated tools</t>
  </si>
  <si>
    <t>www.inchron.com</t>
  </si>
  <si>
    <t>56594-71P</t>
  </si>
  <si>
    <t>Matthias Dörfel</t>
  </si>
  <si>
    <t>matthias.dorfel@inchron.com</t>
  </si>
  <si>
    <t>+49 (0)33 1279 7892 0</t>
  </si>
  <si>
    <t>Potsdam, Germany</t>
  </si>
  <si>
    <t>Karl-Liebknecht-Str. 138</t>
  </si>
  <si>
    <t>Potsdam</t>
  </si>
  <si>
    <t>14482</t>
  </si>
  <si>
    <t>+49 (0)33 1979 9224 0</t>
  </si>
  <si>
    <t>info@inchron.com</t>
  </si>
  <si>
    <t>KfW IPEX-Bank</t>
  </si>
  <si>
    <t>BFB Brandenburg Kapital, Hasso Plattner Ventures, Sobera Capital, Triginta Capital</t>
  </si>
  <si>
    <t>KfW IPEX-Bank(www.kfw-ipex-bank.de)</t>
  </si>
  <si>
    <t>BFB Brandenburg Kapital(www.brandenburg-kapital.de), Hasso Plattner Ventures(www.hp-ventures.com), Sobera Capital(www.sobera-capital.com), Triginta Capital(www.triginta-capital.com)</t>
  </si>
  <si>
    <t>231339-25</t>
  </si>
  <si>
    <t>In-Driving</t>
  </si>
  <si>
    <t>Developer of an automatic-driving technology. The company offers an autopilot system.</t>
  </si>
  <si>
    <t>Artificial Intelligence &amp; Machine Learning, Autonomous cars, Industrials, Internet of Things, TMT</t>
  </si>
  <si>
    <t>automatic drives technology, autopilot, autopilot control, autopilot software, autopilot system, drives technology</t>
  </si>
  <si>
    <t>www.in-driving.com</t>
  </si>
  <si>
    <t>191632-06P</t>
  </si>
  <si>
    <t>Li Ming</t>
  </si>
  <si>
    <t>liming@indrv.cn</t>
  </si>
  <si>
    <t>Wuhan, China</t>
  </si>
  <si>
    <t>1802, Central Creative Building</t>
  </si>
  <si>
    <t>Yuyu Road, Hongshan District</t>
  </si>
  <si>
    <t>Wuhan</t>
  </si>
  <si>
    <t>The company raised $4.4 million of Pre-series A venture funding from Baidu Ventures on July 26, 2018.</t>
  </si>
  <si>
    <t>180723-16</t>
  </si>
  <si>
    <t>Impossible Aerospace</t>
  </si>
  <si>
    <t>Developer of a long-range electric aircraft intended to be used as a fully electric alternative to commercial aviation. The company's aircraft equipped with optical and thermal sensors, as well as uses an electric commercial-grade drone with a flight time of up to two hours, enabling aviation industry to get an affordable public safety equipment easily.</t>
  </si>
  <si>
    <t>Air*, Electronics (B2C)</t>
  </si>
  <si>
    <t>alternative electric, electric flight, electric flight system, electric fuel, electricity flight, traditional fuel</t>
  </si>
  <si>
    <t>www.impossible.aero</t>
  </si>
  <si>
    <t>173252-53P</t>
  </si>
  <si>
    <t>Spencer Gore</t>
  </si>
  <si>
    <t>sg@impossible.aero</t>
  </si>
  <si>
    <t>info@impossible.aero</t>
  </si>
  <si>
    <t>The company raised $9.4 million through a combination of Series A and A1 venture funding in a deal led by Bessemer Venture Partners on September 10, 2018, putting the company's pre-money valuation at $14 million. Airbus Ventures and Eclipse Ventures also participated in the round. The company which has raised $11 million in total funding to date, intends to use the funds to scale production for the US-1 and develops new future products. Earlier, the company raised $1.6 million of venture funding from Eclipse Ventures and other undisclosed investors.</t>
  </si>
  <si>
    <t>Airbus Ventures, Bessemer Venture Partners, Eclipse Ventures</t>
  </si>
  <si>
    <t>Airbus Ventures(www.airbusventures.vc), Bessemer Venture Partners(www.bvp.com), Eclipse Ventures(www.eclipse.vc)</t>
  </si>
  <si>
    <t>109691-47</t>
  </si>
  <si>
    <t>Impartner</t>
  </si>
  <si>
    <t>TreeHouse Interactive</t>
  </si>
  <si>
    <t>Allbound, CCI Global Channel Management, Channeltivity, Entomo, Zift Solutions, Channel Portal, Birch Worldwide, Marketo, Keap (Saas Platform), eTrigue, LogicBay, Salesforce, Relayware, NetSuite, Channelinsight, Seismic (Business/Productivity Software), IntegriChain, Epicor Software, Elastic Grid, Revenew, Zendesk</t>
  </si>
  <si>
    <t>Provider of a partner relationship management (PRM) platform in the United States. The company's SaaS-based marketing automation platform enables various organizations to manage their partner relationships and accelerate growth through indirect sales channels, helping them to get a better return on their channel investment.</t>
  </si>
  <si>
    <t>marketing automation platform, partners relationship management, relationship management application, relationship management platform, relationship management service</t>
  </si>
  <si>
    <t>www.impartner.com</t>
  </si>
  <si>
    <t>2015: 27</t>
  </si>
  <si>
    <t>120146-86P</t>
  </si>
  <si>
    <t>Bert Young</t>
  </si>
  <si>
    <t>bert.young@treehousei.com</t>
  </si>
  <si>
    <t>+1 (801) 501-7000</t>
  </si>
  <si>
    <t>10619 South Jordan Gateway</t>
  </si>
  <si>
    <t>+1 (801) 576-8429</t>
  </si>
  <si>
    <t>partners@impartner.com</t>
  </si>
  <si>
    <t>The company received $1.34 million of development capital from undisclosed investors on March 12, 2018.</t>
  </si>
  <si>
    <t>Emergence Capital Partners, Kennet Partners, ORIX Growth Capital, Silicon Valley Bank</t>
  </si>
  <si>
    <t>Emergence Capital Partners(www.emcap.com), Kennet Partners(www.kennet.com), Silicon Valley Bank(www.svb.com)</t>
  </si>
  <si>
    <t>Horizon Partners1(Advisor: General), Perkins Coie(Legal Advisor), Stoel Rives(Legal Advisor)</t>
  </si>
  <si>
    <t>135942-04</t>
  </si>
  <si>
    <t>Immersv</t>
  </si>
  <si>
    <t>Vertebrae, Omnivirt, Pixvana</t>
  </si>
  <si>
    <t>Developer of a mobile 360 and virtual reality marketing platform designed to drive these new digital markets to mass consumer adoption. The company's virtual reality discovery and advertising platform combines interactive 360 advertising with programmatic real-time bidding that makes it easy to serve ads into VR apps and games, as well as augmented reality and mobile 360 content and helps advertisers connect with consumers through interactive mobile 360 and VR, enabling developers to drive both distribution and monetization for their content.</t>
  </si>
  <si>
    <t>AdTech, Augmented Reality, Mobile, TMT, Virtual Reality</t>
  </si>
  <si>
    <t>mobile virtual reality, virtual reality advertising platform, virtual reality discovery, virtual reality platform, vr advertising platform</t>
  </si>
  <si>
    <t>www.immersv.co</t>
  </si>
  <si>
    <t>2015: 7, 2016: 10, 2017: 15</t>
  </si>
  <si>
    <t>35369-20P</t>
  </si>
  <si>
    <t>Mihir Shah</t>
  </si>
  <si>
    <t>mihir@immersv.co</t>
  </si>
  <si>
    <t>info@immersv.co</t>
  </si>
  <si>
    <t>The company raised $10.5 million of Series A venture funding in a deal led by Rogers Venture Partners on August 18, 2017, putting the pre-money valuation at $8.5 million. Foundation Capital, The Venture Reality Fund, Initial Capital, East Ventures, Vive X Accelerator, MCJ Company, GFR Fund, I-mobile, Metaps and Gigi Levy-Weiss also participated in the round. The funds will be used to accelerate product development and deployment, rapidly expand available inventory through direct Publisher as well as SSP integrations and bring global brands and performance marketers into Mobile 360 and Virtual Reality. Bond Lane Merchant Bank acted as a financial advisor to the company in the transaction.</t>
  </si>
  <si>
    <t>137 Ventures, AllMobile Fund, CAA Ventures, East Ventures, Foundation Capital, GFR Fund, Gigi Levy-Weiss, I-mobile, Initial Capital, Isaac Babbs, MCJ Company, Metaps, Rising Tide Fund, Rogers Venture Partners, Rothenberg Ventures, Technicolor Ventures, TenOneTen Ventures, The Venture Reality Fund, Vive X Accelerator</t>
  </si>
  <si>
    <t>137 Ventures(www.137ventures.com), AllMobile Fund(www.allmobilefund.com), CAA Ventures(ventures.caa.com), East Ventures(east.vc), Foundation Capital(www.foundationcapital.com), GFR Fund(www.gfrfund.com), I-mobile(www.i-mobilephone.com), Initial Capital(www.initialcapital.com), MCJ Company(www.mcj.jp), Metaps(corp.metaps.com), Rising Tide Fund(www.rtf.vc), Rogers Venture Partners(www.rogersvp.com), Rothenberg Ventures(www.rothenbergventures.com), Technicolor Ventures(www.technicolor.vc), TenOneTen Ventures(www.tenoneten.net), The Venture Reality Fund(www.thevrfund.com), Vive X Accelerator(www.vivex.vive.com)</t>
  </si>
  <si>
    <t>Bond Lane Merchant Bank(Advisor: General), Gunderson Dettmer(Legal Advisor)</t>
  </si>
  <si>
    <t>90558-28</t>
  </si>
  <si>
    <t>Imagry</t>
  </si>
  <si>
    <t>Syte</t>
  </si>
  <si>
    <t>Developer of a cameras-only level 4/5 self-driving platform created to facilitate vision based autonomous driving. The company's cameras-only level 4/5 self-driving platform uses algorithms to train the driving model which controls the car, by extracting the most useful driving-parameters and abstract model of the road, utilizing data collected on simulators and on the road, enabling users to accelerate the training and performance of their unified software system.</t>
  </si>
  <si>
    <t>Other Software*, Social/Platform Software</t>
  </si>
  <si>
    <t>Artificial Intelligence &amp; Machine Learning, Autonomous cars, TMT</t>
  </si>
  <si>
    <t>autonomous drives, self drives platform, unified software system</t>
  </si>
  <si>
    <t>www.imagry.co</t>
  </si>
  <si>
    <t>80401-24P</t>
  </si>
  <si>
    <t>Adham Ghazali</t>
  </si>
  <si>
    <t>1275 Kinnear Road</t>
  </si>
  <si>
    <t>The company received $7 million venture funding from Samsung Venture Investment and Takwin Labs in July 2017.</t>
  </si>
  <si>
    <t>10Xelerator, 2B Angels, Arabreneur, Bader, Microsoft ScaleUp, Samsung Venture Investment, Takwin Labs</t>
  </si>
  <si>
    <t>10Xelerator(10xelerator.com/about), 2B Angels(www.2B-Angels.com), Arabreneur(www.arabreneur.com), Bader(www.bader.ps), Microsoft ScaleUp(startups.microsoft.com/en-us/scale-up), Samsung Venture Investment(www.samsungventures.com), Takwin Labs(www.takwinlabs.com)</t>
  </si>
  <si>
    <t>112435-03</t>
  </si>
  <si>
    <t>Illusive Networks</t>
  </si>
  <si>
    <t>Preedat.com</t>
  </si>
  <si>
    <t>Illusive</t>
  </si>
  <si>
    <t>Shape Security, Javelin (Artificial Intelligence Platform), Seculert, Carbon Black, Aves Network Security, Cymmetria, Sentryo, Bromium, SentinelOne, Lastline, Vectra AI, Topspin Security, Opswat, Bastille Networks, Cylance, Tanium, Verodin, Axonius, EnSilo, Illumio, ZeroNorth, GuardiCore, Morphisec, E8 Security, Lancope, Cyphort, Damballa, Smokescreen Technologies, LightCyber, TrapX Security, Attivo Networks, Corax, Securonix, SafeBreach, BeyondTrust Software, Allure Security, Votiro, Alert Logic, Fidelis Cybersecurity, Hyperwise Security, SecuriThings, ZingBox, Device Authority, Synack, Acalvio, vArmour</t>
  </si>
  <si>
    <t>Developer of cyber security software designed to prevent cyber attacks against enterprise systems. The company's cyber security software uses deception technology that creates an alternate reality, transparently woven into the existing network that identifies attackers, triggers high-fidelity alerts and provides an endless source of false information thereby disrupting attacks, enabling organizations to secure their network and stop advanced attacks and persistent threats from outside hackers.</t>
  </si>
  <si>
    <t>cyber security, cyber security software, cyber threat, network security, secure network, threat detection</t>
  </si>
  <si>
    <t>www.illusivenetworks.com</t>
  </si>
  <si>
    <t>2015: 40, 2017: 65</t>
  </si>
  <si>
    <t>117475-39P</t>
  </si>
  <si>
    <t>Arik Levi</t>
  </si>
  <si>
    <t>arik@illusivenetworks.com</t>
  </si>
  <si>
    <t>+972 (0)72 255 6278</t>
  </si>
  <si>
    <t>Totseret Ha-Arets Street 7</t>
  </si>
  <si>
    <t>6789104</t>
  </si>
  <si>
    <t>info@illusivenetworks.com</t>
  </si>
  <si>
    <t>The company raised an undisclosed amount of venture funding from Microsoft Ventures and NightDragon Security on January 24, 2017. The company will use the funds to advance global expansion, invest in sales and marketing and expand the engineering and support teams for the company's patent-pending cybersecurity deception technology.</t>
  </si>
  <si>
    <t>Bessemer Venture Partners, Cisco Investments, Citi Ventures, Innovation Endeavors, M12, Marker, Microsoft ScaleUp, New Enterprise Associates, NightDragon Security, Team8</t>
  </si>
  <si>
    <t>Bessemer Venture Partners(www.bvp.com), Cisco Investments(www.ciscoinvestments.com), Innovation Endeavors(www.innovationendeavors.com), M12(www.m12.vc), Marker(www.marker-llc.com), Microsoft ScaleUp(startups.microsoft.com/en-us/scale-up), New Enterprise Associates(www.nea.com), NightDragon Security(www.nightdragon.com), Team8(www.team8.vc)</t>
  </si>
  <si>
    <t>51328-63</t>
  </si>
  <si>
    <t>Illumitex</t>
  </si>
  <si>
    <t>LumiGrow, Heliospectra, P.L. Light Systems</t>
  </si>
  <si>
    <t>Developer of light emitting diode optical devices intended to provide horticultural lighting. The company's devices are mainly optics technology-based, enabling customers to improve the brightness and efficiency of flat panel televisions, portable electronic devices and digital projectors to be used for their vertical farms, greenhouses and indoor gardening.</t>
  </si>
  <si>
    <t>Electrical Equipment*, Fiberoptic Equipment, Other Commercial Products</t>
  </si>
  <si>
    <t>custom-spectra photon, light-emitting diode optical devices, optical integration, thermal management</t>
  </si>
  <si>
    <t>www.illumitex.com</t>
  </si>
  <si>
    <t>2008: 9, 2012: 35, 2014: 51, 2016: 51</t>
  </si>
  <si>
    <t>149790-34P</t>
  </si>
  <si>
    <t>Jeffrey Bisberg</t>
  </si>
  <si>
    <t>jeffrey.b@illumitex.com</t>
  </si>
  <si>
    <t>+1 (512) 279-5020</t>
  </si>
  <si>
    <t>6301 East Stassney Lane</t>
  </si>
  <si>
    <t>Building 6, Suite 400</t>
  </si>
  <si>
    <t>+1 (512) 279-5030</t>
  </si>
  <si>
    <t>info@illumitex.com</t>
  </si>
  <si>
    <t>The company raised $7 million of Series 1 venture funding in a deal led by WP Global Partners on December 27, 2017. New Enterprise Associates and other undisclosed investors also participated in the round. The funding will be used by the company to accelerate the development and deployment of its digital horticulture system.</t>
  </si>
  <si>
    <t>Apex Venture Partners, Applied Ventures, Aweida Venture Partners, Daniel Watkins, DMWMDW Interests, Forest Baskett, Gerard Lighting, IncWell, James Treybig, Mercury Fund, Morgan Creek Capital Management, Mousse Partners, New Enterprise Associates, RedHouse Associates, Syngenta Ventures, The Gideon Hixon Fund, Union Grove Venture Partners, WP Global Partners</t>
  </si>
  <si>
    <t>Apex Venture Partners(www.apexvc.com), Aweida Venture Partners(www.aweida.com), Gerard Lighting(www.gerardlighting.com.au), IncWell(www.theincwell.net), Mercury Fund(www.mercuryfund.com), Morgan Creek Capital Management(www.morgancreekcap.com), Mousse Partners(www.mousse-partners.com), New Enterprise Associates(www.nea.com), RedHouse Associates(www.redhouseassociates.com), Syngenta Ventures(www.syngentaventures.com), The Gideon Hixon Fund(www.gideonhixon.com), Union Grove Venture Partners(www.ugvp.com), WP Global Partners(www.wpglobalpartners.com)</t>
  </si>
  <si>
    <t>182980-18</t>
  </si>
  <si>
    <t>IL&amp;FS Technologies</t>
  </si>
  <si>
    <t>Provider of information technology services created to offer citizen service delivery and smart governance through smart infrastructure. The company's focus is on analytics, system integration and IT Infrastructure management services.</t>
  </si>
  <si>
    <t>IT Consulting and Outsourcing, Other IT Services*</t>
  </si>
  <si>
    <t>analytics services, it infrastructure management, it infrastructure management service, system integration development</t>
  </si>
  <si>
    <t>ilfstechnologies.com</t>
  </si>
  <si>
    <t>166531-51P</t>
  </si>
  <si>
    <t>Manoj Khanderia</t>
  </si>
  <si>
    <t>manoj.khanderia@ilfstechnologies.com</t>
  </si>
  <si>
    <t>3rd Floor, Corporate Tower</t>
  </si>
  <si>
    <t>Ambience Island</t>
  </si>
  <si>
    <t>122001</t>
  </si>
  <si>
    <t>+91 (0)12 4471 6400</t>
  </si>
  <si>
    <t>+91 (0)12 4471 6570</t>
  </si>
  <si>
    <t>info@ilfstechnologies.com</t>
  </si>
  <si>
    <t>140261-14</t>
  </si>
  <si>
    <t>Iguazio</t>
  </si>
  <si>
    <t>Diyotta, DataStax, Logmatic.io, Sitecore, Cloudyn Software, Salesforce, MapR, Cloudability, SAP, Sumo Logic, Bonsai (Software Development Applications), Feedzai, SourceCode Technology Holdings, Infor Global Solutions, VANTIQ, RightScale, Mnubo, Predixion, Databricks, Alteryx, Qubole, Logz.io, Pegasystems, Cloud Cruiser, Aptean, Appian, Odoo, Kinvey, Kenandy, CloudCheckr, Aria Systems, Aruba Networks, IBM Cloud, WebRatio, People10, Informatica, Tallyfy, StarMobile, Mendix, RapidMiner, Persado, SAS Institute, BigML, LogDNA, OutSystems, Epicor Software, LANSA (Downers Grove), Quickbase, John Galt, AnyPresence, MuleSoft, NetSuite, Kony, Capriza, PearlChain.net, IntelliCorp, CA Technologies, Zendesk, Marketo, myProcess, ChannelEyes, Zudy, Loggly, Tricentis, Box</t>
  </si>
  <si>
    <t>Developer of a cloud-based continuous data platform designed to transform businesses by analyzing data from a variety of sources and types to create actionable insights and artificial intelligence. The company's platform simplifies the development and deployment of high-volume, real-time, data-driven applications, enabling clients to deliver intelligent applications without managing infrastructure.</t>
  </si>
  <si>
    <t>big data, big data management, big data storage, cloud application management, cloud data management, cloud data services</t>
  </si>
  <si>
    <t>www.iguazio.com</t>
  </si>
  <si>
    <t>2015: 19, 2016: 50, 2019: 80</t>
  </si>
  <si>
    <t>60726-43P</t>
  </si>
  <si>
    <t>Asaf Somekh</t>
  </si>
  <si>
    <t>asafs@iguaz.io</t>
  </si>
  <si>
    <t>5 Shenkar Street</t>
  </si>
  <si>
    <t>46725</t>
  </si>
  <si>
    <t>info@iguazio.com</t>
  </si>
  <si>
    <t>The company received an undisclosed amount of financing from Samsung SDS Company on March 7, 2019.</t>
  </si>
  <si>
    <t>Amir Prescher, Chris Kemp, CME Ventures, Dell Technologies Capital, Guy Schory, Jerusalem Venture Partners, Magma Venture Partners, Pitango Venture Capital, Robert Bosch Venture Capital, Samsung SDS Company, Simone Brunozzi, Verizon Ventures</t>
  </si>
  <si>
    <t>Jerusalem Venture Partners(www.jvpvc.com), Magma Venture Partners(www.magmavc.com), Pitango Venture Capital(www.pitango.com), Robert Bosch Venture Capital(www.rbvc.com), Samsung SDS Company(www.samsungsds.com), Verizon Ventures(www.verizonventures.com)</t>
  </si>
  <si>
    <t>53580-25</t>
  </si>
  <si>
    <t>IFTTT</t>
  </si>
  <si>
    <t>Flashnode, Tray.io, Workato, Fiverr, Particle, Cloutex, Yonomi, SmartThings, Elastic.io, Alteryx, Buffer, OneSaas, Muzzley, Astronomer, Ayla Networks, Zapier, People Power, Squad (New York), WigWag, Talend, Bedrock Data, Sansa Security, Restlet, Instant API, Missions, Cazoomi, Kayako, SnapGuide, SmarterApps, YeHive, Leo, Stringify, Pinterest, Hootsuite, Workflow</t>
  </si>
  <si>
    <t>Provider of an open ended platform designed to connect applications. The company's platform create tasks on the internet and automate social media and other internet applications and offers sensor based hardware, enabling users to connect the physical and digital worlds.</t>
  </si>
  <si>
    <t>Application Software, Automation/Workflow Software*, Social/Platform Software</t>
  </si>
  <si>
    <t>digital world, online sensor data, open ended platform, open source cloud, social web application</t>
  </si>
  <si>
    <t>www.ifttt.com</t>
  </si>
  <si>
    <t>2012: 8, 2014: 36</t>
  </si>
  <si>
    <t>45148-69P</t>
  </si>
  <si>
    <t>Linden Tibbets</t>
  </si>
  <si>
    <t>Co-Founder &amp; Chief Design Officer</t>
  </si>
  <si>
    <t>linden@ifttt.com</t>
  </si>
  <si>
    <t>5th Market Street</t>
  </si>
  <si>
    <t>hello@ifttt.com</t>
  </si>
  <si>
    <t>The company raised $24 million of Series C venture funding in a deal led by Salesforce Ventures on April 26, 2018, putting the company's pre-money valuation an an estimated $225 million. The Chamberlain Group, IBM Ventures and Fenox Venture Capital also participated in the round. The funds will be used to hire top talent and expand the company's platform.</t>
  </si>
  <si>
    <t>Andreessen Horowitz, Betaworks, BoxGroup, Christopher Dixon, David Tisch, Fenox Venture Capital, Floodgate Fund, Founder Collective, Greylock Partners, Gunderson Dettmer, IBM Ventures, Joshua Schachter, Lerer Hippeau, Mark Cuban, New Enterprise Associates, Norwest Venture Partners, Raymond Tonsing, Roger Sippl, Salesforce Ventures, Seth Berman, SV Angel, The Chamberlain Group, Tuesday Capital</t>
  </si>
  <si>
    <t>Andreessen Horowitz(www.a16z.com), Betaworks(www.betaworks.com), BoxGroup(www.boxgroup.com), David Tisch(www.davidtisch.com), Fenox Venture Capital(www.fenoxvc.com), Floodgate Fund(www.floodgate.com), Founder Collective(www.foundercollective.com), Greylock Partners(www.greylock.com), Gunderson Dettmer(www.gunder.com), Joshua Schachter(joshua.schachter.org), Lerer Hippeau(www.lererhippeau.com), New Enterprise Associates(www.nea.com), Norwest Venture Partners(www.nvp.com), Raymond Tonsing(www.angel.co/tonsing), SV Angel(www.svangel.com), The Chamberlain Group(www.chamberlaingroup.com), Tuesday Capital(www.tuesday.vc)</t>
  </si>
  <si>
    <t>Cadre Talent(Consulting), Gunderson Dettmer(Legal Advisor), Montgomery &amp; Company(Advisor: General)</t>
  </si>
  <si>
    <t>54135-46</t>
  </si>
  <si>
    <t>Idilia</t>
  </si>
  <si>
    <t>Developer of artificial intelligence technology for software applications. The company offers applications for resolving ambiguity in text, as well as supporting network deployment of paraphrasing for industrial search applications and Knowledge Management Suite, which supports viewing, automatic augmentation and manual editing of the knowledge base of word senses and semantic relations. It also provides natural language processing technology, as well as logical forms extraction and reasoning and paraphrasing applications.</t>
  </si>
  <si>
    <t>artificial intelligence, automatic augmentation, disambiguation technology, knowledge management suites</t>
  </si>
  <si>
    <t>www.idilia.com</t>
  </si>
  <si>
    <t>2014: 16, 2016: 20</t>
  </si>
  <si>
    <t>40689-55P</t>
  </si>
  <si>
    <t>Gordon Buchanan</t>
  </si>
  <si>
    <t>gordon.buchanan@idilia.com</t>
  </si>
  <si>
    <t>+1 (514) 843-6897</t>
  </si>
  <si>
    <t>1470 Peel Street, Tower B</t>
  </si>
  <si>
    <t>Suite 810</t>
  </si>
  <si>
    <t>H3A 1T1</t>
  </si>
  <si>
    <t>+1 (514) 843-3347</t>
  </si>
  <si>
    <t>info@idilia.com</t>
  </si>
  <si>
    <t>The company received development capital from Sciens Capital Management on an undisclosed date.</t>
  </si>
  <si>
    <t>Hearst Ventures, Residence Ventures, Sciens Capital Management</t>
  </si>
  <si>
    <t>Residence Ventures(www.residenceventures.com), Sciens Capital Management(www.sciensam.com)</t>
  </si>
  <si>
    <t>114976-81</t>
  </si>
  <si>
    <t>Identify3D</t>
  </si>
  <si>
    <t>PKWARE, HID Global, Comply7, Trillium Software, SecureAuth</t>
  </si>
  <si>
    <t>Provider of design protection, quality assurance and secure data feedback platform intended for digital manufacturing. The company's platform allows industrial companies to encrypt designs and couple them with enforceable business and manufacturing rules, facilitate secure digital distribution and ensure production integrity, enabling manufacturers to secure and trace the IP along the digital thread from designs to movement of physical parts.</t>
  </si>
  <si>
    <t>Application Software*, Automation/Workflow Software, Software Development Applications</t>
  </si>
  <si>
    <t>3D Printing, Advanced Manufacturing, Cybersecurity, Internet of Things, TMT</t>
  </si>
  <si>
    <t>digital distribution system, digital manufacturing, digital supply chain, digital supply chain platform, digital thread, intellectual property protection, production integrity, quality control application, secure data analytics</t>
  </si>
  <si>
    <t>www.identify3d.com</t>
  </si>
  <si>
    <t>2015: 4, 2016: 12, 2017: 19, 2018: 20</t>
  </si>
  <si>
    <t>102422-53P</t>
  </si>
  <si>
    <t>Joseph Inkenbrandt</t>
  </si>
  <si>
    <t>joe.inkenbrandt@identify3d.com</t>
  </si>
  <si>
    <t>4 Joost Avenue</t>
  </si>
  <si>
    <t>94131</t>
  </si>
  <si>
    <t>+1 (866) 479-8045</t>
  </si>
  <si>
    <t>info@identify3d.com</t>
  </si>
  <si>
    <t>The company raised an undisclosed amount of venture funding from Brixia Investments on April 16, 2018. Previously, the company raised $3.25 million of seed funding in a deal led by Uncork Capital on March 1, 2017, putting the company's pre-money valuation at $9.79 million.</t>
  </si>
  <si>
    <t>Bee Partners, Brixia Investments, Dart Capital, La Famiglia, Next47, Raymond Sidney, Starburst Aerospace, UL Ventures, Uncork Capital</t>
  </si>
  <si>
    <t>Bee Partners(www.beepartners.vc), Dart Capital(www.dartcapital.co.uk), La Famiglia(www.lafamiglia.vc), Next47(Next47.com), Starburst Aerospace(www.starburst.aero), Uncork Capital(www.uncorkcapital.com)</t>
  </si>
  <si>
    <t>Silicon Valley Bank(General Business Banking), WilmerHale(Legal Advisor)</t>
  </si>
  <si>
    <t>Rowbotham International(Auditor), Wilson Sonsini Goodrich &amp; Rosati(Legal Advisor)</t>
  </si>
  <si>
    <t>52136-38</t>
  </si>
  <si>
    <t>IdeaPaint</t>
  </si>
  <si>
    <t>Provider of single-coat roller-applied paint designed to transform smooth surfaces to dry-erase writing surfaces. The company's single-coat roller-applied paint utilize advanced chemistry and is used for conference rooms, creative spaces, classrooms, open work areas, hallways, residential areas, home offices, kids rooms and playrooms, enabling clients to transform passive space into active environments.</t>
  </si>
  <si>
    <t>Other Materials</t>
  </si>
  <si>
    <t>Other Commercial Products, Other Materials*</t>
  </si>
  <si>
    <t>dry-erase paints, paints, single-coat rollers, smooth surface</t>
  </si>
  <si>
    <t>www.ideapaint.com</t>
  </si>
  <si>
    <t>2011: 23, 2014: 43, 2016: 59</t>
  </si>
  <si>
    <t>37026-82P</t>
  </si>
  <si>
    <t>Jeff Avallon</t>
  </si>
  <si>
    <t>Co-Founder, Advisor &amp; Vice President, Business Development</t>
  </si>
  <si>
    <t>javallon@ideapaint.com</t>
  </si>
  <si>
    <t>+1 (800) 393-5250</t>
  </si>
  <si>
    <t>+1 (617) 714-1070</t>
  </si>
  <si>
    <t>info@ideapaint.com</t>
  </si>
  <si>
    <t>The company raised $5 million of Series C venture funding from Breakaway Innovation Group, MDC Dream Ventures and Fireman Capital Partners on April 25, 2011. Beechwood Capital also participated in the round. Previously, the company raised $1.97 million of venture funding from undisclosed investors on October 6, 2010.</t>
  </si>
  <si>
    <t>Babson College, Beechwood Capital, Breakaway Ventures, Fireman Capital Partners, Individual Investor, MDC Ventures</t>
  </si>
  <si>
    <t>Beechwood Capital(www.beechwoodcap.com), Breakaway Ventures(www.breakawayventures.com), Fireman Capital Partners(www.firemancapital.com), MDC Ventures(www.mdcventures.vc)</t>
  </si>
  <si>
    <t>85368-07</t>
  </si>
  <si>
    <t>I.Am+</t>
  </si>
  <si>
    <t>Fugoo, Koss, Braven</t>
  </si>
  <si>
    <t>Developer of wearable devices designed to improve connected lifestyle. The company's wearable devices combine fashion and technology and employs artificial intelligence, enabling users to get most sought-after fashion accessories.</t>
  </si>
  <si>
    <t>Artificial Intelligence &amp; Machine Learning, TMT, Wearables &amp; Quantified Self</t>
  </si>
  <si>
    <t>artificial intelligence, connected devices, connected lifestyle, consumer electronics, fashion accessories</t>
  </si>
  <si>
    <t>www.iamplus.com</t>
  </si>
  <si>
    <t>2015: 80, 2016: 74, 2017: 300</t>
  </si>
  <si>
    <t>105502-87P</t>
  </si>
  <si>
    <t>Chandrasekar Rathakrishnan</t>
  </si>
  <si>
    <t>crathakrishnan@iamplus.com</t>
  </si>
  <si>
    <t>+1 (323) 210-3852</t>
  </si>
  <si>
    <t>809 North Cahuenga Boulevard</t>
  </si>
  <si>
    <t>hello@iamplus.com</t>
  </si>
  <si>
    <t>The company raised $117 million in a combination of Series B and Series B1 venture funding led by Salesforce Ventures on November 6, 2017, putting the company's pre-money valuation at $150 million. Other undisclosed investors also participated in the round. The funds will be used to enter the enterprise market with a voice assistant for customer service.</t>
  </si>
  <si>
    <t>Access Industries, Deutsche Telekom Capital Partners, GVA Capital, Jorg Mohaupt, Salesforce Ventures</t>
  </si>
  <si>
    <t>Access Industries(www.accessindustries.com), Deutsche Telekom Capital Partners(www.telekom-capital.com), GVA Capital(www.gva.capital)</t>
  </si>
  <si>
    <t>52332-49</t>
  </si>
  <si>
    <t>HyTrust</t>
  </si>
  <si>
    <t>vArmour, Norse, Big Switch Networks, Bitglass, Embrane, AlienVault, Sophos, SimpliVity, Vormetric, Symantec, ShieldX Networks, Gemalto, Dome9 Security, CensorNet, Vidder, McAfee, SingleHop, Catbird Networks, Skyport Systems, Managed Methods, Zscaler, Forcepoint, Avanan, Observable Networks, ProtectWise, WatchGuard Technologies, CloudPassage, Illumio, CloudLock, Cato Networks, Skyhigh Networks, Tanium, Aruba Networks, ShiftLeft, Digital Guardian, CipherPoint, GuardiCore, iboss (Cybersecurity), Venafi, Kaspersky Lab, ZeroFox, ContentKeeper, Arista Networks, Niara, Avast Software, Eastwind, Palo Alto Networks, Smoothwall, Netskope, Vimro Llc, Porticor, CrowdStrike</t>
  </si>
  <si>
    <t>Provider of a cloud security software designed to automate compliance and enforce security-based policies across private and public clouds. The company's cloud security software is a single-point-of-control for virtual infrastructure access, policy management and security configuration, providing an appliance for bridging the traffic between corporate and management virtual local area networks of the hypervisor and authenticates, authorizes, monitors and logs various communication bounds for the management port of the hypervisor.</t>
  </si>
  <si>
    <t>cloud security software, multi-cloud technology, virtual infrastructure, virtualization platform</t>
  </si>
  <si>
    <t>www.hytrust.com</t>
  </si>
  <si>
    <t>2008: 2, 2009: 2, 2010: 13, 2014: 91, 2015: 105</t>
  </si>
  <si>
    <t>38172-34P</t>
  </si>
  <si>
    <t>Mercedes Caprara</t>
  </si>
  <si>
    <t>mcaprara@hytrust.com</t>
  </si>
  <si>
    <t>+1 (650) 681-8100</t>
  </si>
  <si>
    <t>1975 West El Camino Real</t>
  </si>
  <si>
    <t>+1 (650) 681-8101</t>
  </si>
  <si>
    <t>info@hytrust.com</t>
  </si>
  <si>
    <t>The company raised $36 million of Series E funding in a deal led by Advance Venture Partners on July 11, 2017, putting the pre-money valuation at $204 million. Follow on Sway Ventures, Epic Ventures, Vanedge Capital, Trident Capital, Cisco Investments, Fortinet, Intel Capital and VMware also participated in the round. The company intends to use the funds to expand their sales and marketing efforts, to fund new product development and to utilize a portion of the proceeds to fund the acquisition of DataGravity.</t>
  </si>
  <si>
    <t>Advance Venture Partners, Carahsoft Technology, Cisco Investments, EPIC Ventures, Fortinet, Granite Ventures, In-Q-Tel, Intel Capital, Nex Cubed, Sway Ventures, Todd McSweeney, Trident Capital, Vanedge Capital, VMware</t>
  </si>
  <si>
    <t>Advance Venture Partners(www.avp.vc), Carahsoft Technology(www.carahsoft.com), Cisco Investments(www.ciscoinvestments.com), EPIC Ventures(www.epicvc.com), Fortinet(www.fortinet.com), Granite Ventures(www.granitevc.com), In-Q-Tel(www.iqt.org), Intel Capital(www.intelcapital.com), Nex Cubed(www.nex3.com), Sway Ventures(www.swayvc.com), Trident Capital(www.tridentcap.com), Vanedge Capital(www.vanedgecapital.com), VMware(www.vmware.com)</t>
  </si>
  <si>
    <t>City National Bank(Debt Financing), Gunderson Dettmer(Legal Advisor), Trinity Capital Investment(Debt Financing)</t>
  </si>
  <si>
    <t>101859-04</t>
  </si>
  <si>
    <t>HYPR</t>
  </si>
  <si>
    <t>OverWatchID, SecureAuth, ScaleFT, OneLogin, Duo Security, Auth0, Ping Identity, Centrify, Aware, Charismathics, Gemalto, Entrust Datacard, Okta, HP Security Voltage</t>
  </si>
  <si>
    <t>Developer of a biometric security platform created to ensure user data is kept private across the IoT. The company's biometric security platform eliminates the need for a centralized credential store to reduce the risk of an enterprise breach and decentralizes authentication to ensure that personal credentials such as biometrics, PINs and passwords always remain safe on users' desktop and mobile devices, providing enterprises with digital authentication methods without any password authentication.</t>
  </si>
  <si>
    <t>biometric authenticator, biometric security, biometric security platform, biometrics, password-less login</t>
  </si>
  <si>
    <t>www.hypr.com</t>
  </si>
  <si>
    <t>2015: 14, 2016: 15</t>
  </si>
  <si>
    <t>120692-17P</t>
  </si>
  <si>
    <t>Roman Kadinsky</t>
  </si>
  <si>
    <t>Co-Founder, Chief Operating Officer, Chief Financial Officer &amp; Board Member</t>
  </si>
  <si>
    <t>roman@hypr.com</t>
  </si>
  <si>
    <t>+1 (646) 503-5366</t>
  </si>
  <si>
    <t>45 West 34th Street</t>
  </si>
  <si>
    <t>Suite 710</t>
  </si>
  <si>
    <t>getsecured@hypr.com</t>
  </si>
  <si>
    <t>The company raised $10 million of Series A venture funding in a deal led by RRE Ventures on April 16, 2018, putting the pre-money valuation at $30 million. RTP Ventures, Mesh Ventures, MasterCard Start Path Accelerator, SKS Ventures and Samsung NEXT Ventures also participated in the round. The funds will be used to expand the company's biometric security technology, security engineering team, office space in the Herald Square area of central Manhattan and accelerate deployment of its security solutions to new verticals including online banking, ATMs, smart homes, and connected cars. The company received $2.5 million of debt financing in the form of senior debt from Silicon Valley Bank on January 2018.</t>
  </si>
  <si>
    <t>Boldstart Ventures, MasterCard Start Path Accelerator, Mesh Ventures, RRE Ventures, RTP Ventures, Samsung NEXT Ventures, SKS Ventures</t>
  </si>
  <si>
    <t>Boldstart Ventures(www.boldstart.vc), MasterCard Start Path Accelerator(www.startpath.com), Mesh Ventures(www.mesh.vc), RRE Ventures(www.rre.com), RTP Ventures(www.rtp.vc), Samsung NEXT Ventures(www.samsungnext.com), SKS Ventures(www.sksventures.co)</t>
  </si>
  <si>
    <t>159460-12</t>
  </si>
  <si>
    <t>HyET</t>
  </si>
  <si>
    <t>Producer of hydrogen compressors created to pressurize hydrogen up to 700 bar. The company's hydrogen compressors are electro-chemical compressors and decompressors which pressurize hydrogen up to 700 bar and higher with far less of the energy which is currently needed in mechanical compressors</t>
  </si>
  <si>
    <t>compressors, decompressors, hydrogen compressors</t>
  </si>
  <si>
    <t>www.hyetgroup.com</t>
  </si>
  <si>
    <t>135864-82P</t>
  </si>
  <si>
    <t>Peter Bouwman</t>
  </si>
  <si>
    <t>peter.bouwman@hyet.nl</t>
  </si>
  <si>
    <t>+31 (0)26 362 3944</t>
  </si>
  <si>
    <t>Arnhem, Netherlands</t>
  </si>
  <si>
    <t>Westervoortsedijk 71K</t>
  </si>
  <si>
    <t>Arnhem</t>
  </si>
  <si>
    <t>6827 AV</t>
  </si>
  <si>
    <t>+31 (0)26 362 3945</t>
  </si>
  <si>
    <t>info@hyetsolar.com</t>
  </si>
  <si>
    <t>The company received financing from AP Ventures, Anglo American Platinum and Shell Technology Ventures on April 16, 2018.</t>
  </si>
  <si>
    <t>Anglo American Platinum, AP Ventures, Horizon 2020, Shell Ventures</t>
  </si>
  <si>
    <t>Anglo American Platinum(www.angloamericanplatinum.com), AP Ventures(www.apventuresllp.com)</t>
  </si>
  <si>
    <t>111256-75</t>
  </si>
  <si>
    <t>Hustle</t>
  </si>
  <si>
    <t>Signal Vine, Slick Innovations, MoEngage, Zingle, Smarp, Tropo, Nexmo, Tatango, MessageBird, Zipwhip</t>
  </si>
  <si>
    <t>Provider of a mobile-based audience engagement application designed for organizations to communicate with people. The company's tool for advocacy organizations to conduct meaningful one-to-one texting conversations with their members, enabling them effectively reaching the people they serve.</t>
  </si>
  <si>
    <t>Mobile, Mobile Commerce, TMT</t>
  </si>
  <si>
    <t>audience engagement, branding engagement, human relationship, messaging technology, one-to-one text conversations, p2p text platform, peer-to-peer text, personal conversation app</t>
  </si>
  <si>
    <t>www.hustle.com</t>
  </si>
  <si>
    <t>2016: 12, 2017: 60, 2018: 200</t>
  </si>
  <si>
    <t>97747-30P</t>
  </si>
  <si>
    <t>Robert Lindsay</t>
  </si>
  <si>
    <t>roddy@hustle.com</t>
  </si>
  <si>
    <t>+1 (415) 851-4878</t>
  </si>
  <si>
    <t>251 Kearny Street</t>
  </si>
  <si>
    <t>The company raised $30 million of Series B venture funding in a deal led by Insight Venture Partners on April 1, 2018, putting the company's pre-money valuation at $120 million. Salesforce Ventures, GV and Social Capital also participated in the round. The funds will be used to invest in robust integrations and analytics, scale their sales and engineering and expand into new vertical markets. Previously, the company raised $8 million of Series A funding from lead investor Social Capital on August 2, 2017, putting the pre-money valuation at $32 million.</t>
  </si>
  <si>
    <t>Canvas Ventures, Designer Fund, Foundation Capital, GSV AcceleraTE, GV, Higher Ground SICAV, Index Ventures (UK), Insight Partners, Kapor Capital, Matrix Partners, New Media Ventures, Omidyar Network, Salesforce Ventures, Social Capital, Spero Ventures, Twilio Fund</t>
  </si>
  <si>
    <t>Canvas Ventures(www.canvas.vc), Designer Fund(www.designerfund.com), Foundation Capital(www.foundationcapital.com), GSV AcceleraTE(www.gsvaccelerate.com), GV(www.gv.com), Higher Ground SICAV(www.higherground.mt), Index Ventures (UK)(www.indexventures.com), Insight Partners(www.insightpartners.com), Kapor Capital(www.kaporcapital.com), Matrix Partners(www.matrixpartners.com), New Media Ventures(www.newmediaventures.org), Omidyar Network(www.omidyar.com), Social Capital(www.socialcapital.com), Spero Ventures(www.spero.vc), Twilio Fund(www.twilio.com)</t>
  </si>
  <si>
    <t>FutureEngine(Consulting), Inventus Law(Legal Advisor), Orrick, Herrington &amp; Sutcliffe(Legal Advisor)</t>
  </si>
  <si>
    <t>53847-37</t>
  </si>
  <si>
    <t>Husk Power Systems</t>
  </si>
  <si>
    <t>HPS</t>
  </si>
  <si>
    <t>SolarCity, Pawame, Lumos, Sunverge, EGG-energy, SunEdison, ZOLA Electric, Solarkiosk, BBOXX, Powerhive, Devergy, M-Kopa, Advanced Microgrid Solutions, PowerGen Renewable Energy</t>
  </si>
  <si>
    <t>Developer of hybrid power plant and distribution network that provides power to thousands of rural Indians. The company's hybrid power plant and distribution network offers a proprietary system by combining and synchronizing solar PV, biomass gasification system and batteries to deliver highly reliable, 24*7 power. It offers customers a flexible "pay-as-you-go" energy service, using a mobile-enabled smart metering system.</t>
  </si>
  <si>
    <t>Alternative Energy Equipment*, Electric Utilities, Energy Infrastructure</t>
  </si>
  <si>
    <t>CleanTech, Impact Investing, Industrials, Infrastructure, TMT</t>
  </si>
  <si>
    <t>hybrid power plant, impact investing vertical, power distribution network, power generation, power plant</t>
  </si>
  <si>
    <t>www.huskpowersystems.com</t>
  </si>
  <si>
    <t>41185-27P</t>
  </si>
  <si>
    <t>Gyanesh Pandey</t>
  </si>
  <si>
    <t>pandey@huskpowersystems.com</t>
  </si>
  <si>
    <t>+91 (0)61 2228 3333</t>
  </si>
  <si>
    <t>Patna, India</t>
  </si>
  <si>
    <t>14A, Patliputra Colony</t>
  </si>
  <si>
    <t>Patna</t>
  </si>
  <si>
    <t>Bihar</t>
  </si>
  <si>
    <t>800013</t>
  </si>
  <si>
    <t>info@huskpowersystems.com</t>
  </si>
  <si>
    <t>The company raised $20 million of venture funding from Shell Ventures, Engie and Swedfund International on January 15, 2018.</t>
  </si>
  <si>
    <t>Acumen Fund, Africa Enterprise Challenge Fund, Alstom Foundation, Bamboo Capital Partners, Cisco Investments, Draper Fisher Jurvetson Management, Engie, Global Social Benefit Institute, Impact Ventures UK, International Finance Corporation, LGT Impact Ventures, Shell Foundation, Shell Ventures, Swedfund International</t>
  </si>
  <si>
    <t>Acumen Fund(www.acumen.org), Africa Enterprise Challenge Fund(www.aecfafrica.org), Bamboo Capital Partners(www.bamboocp.com), Cisco Investments(www.ciscoinvestments.com), Draper Fisher Jurvetson Management(www.dfj.com), Global Social Benefit Institute(www.www.scu-social-entrepreneurship.org/accelerator-1), Impact Ventures UK(www.impactventuresuk.com), International Finance Corporation(www.ifc.org), LGT Impact Ventures(www.lgtimpact.com), Shell Foundation(www.shellfoundation.org), Swedfund International(www.swedfund.se)</t>
  </si>
  <si>
    <t>Overseas Private Investment Corporation(Debt Financing)</t>
  </si>
  <si>
    <t>163407-79</t>
  </si>
  <si>
    <t>Hush.</t>
  </si>
  <si>
    <t>Provider of an online makeup retail platform intended to sell beauty products. The company's online makeup retail platform offers beauty products for lips, eyes, face, cheeks and skincare products, enabling users to but beauty products at discounted rates.</t>
  </si>
  <si>
    <t>Internet Retail, Personal Products*, Social/Platform Software</t>
  </si>
  <si>
    <t>Beauty, E-Commerce, Mobile, TMT</t>
  </si>
  <si>
    <t>beauty product site, beauty trending items, beauty trends, beauty vertical, free makeup items, makeup retail platform, makeup retailer, new trending items</t>
  </si>
  <si>
    <t>www.shophush.com</t>
  </si>
  <si>
    <t>62417-98P</t>
  </si>
  <si>
    <t>Cooper Mor</t>
  </si>
  <si>
    <t>633 West 5th Street</t>
  </si>
  <si>
    <t>Suite 1500</t>
  </si>
  <si>
    <t>hello@shophush.com</t>
  </si>
  <si>
    <t>The company is out of business, and no longer actively tracked by PitchBook.</t>
  </si>
  <si>
    <t>500 Startups, BAM Ventures, CAA Ventures, Eniac Ventures, Golden Ventures, Index Ventures (UK), Social Starts, WME Ventures, Y Combinator</t>
  </si>
  <si>
    <t>500 Startups(www.500.co), BAM Ventures(www.bam.vc), CAA Ventures(ventures.caa.com), Eniac Ventures(www.eniac.vc), Golden Ventures(www.golden.ventures), Index Ventures (UK)(www.indexventures.com), Social Starts(www.socialstarts.com), WME Ventures(www.wmevc.com), Y Combinator(www.ycombinator.com)</t>
  </si>
  <si>
    <t>231939-73</t>
  </si>
  <si>
    <t>Hunliyun</t>
  </si>
  <si>
    <t>Provider of a platform intended to offer supply chain services to the wedding industry. The company's platform offers wedding design tools, virtual reality marketing display tools and customer relationship management systems, enabling wedding companies to reduce service costs and remove problem of wedding customization relied on human consultants.</t>
  </si>
  <si>
    <t>vr marketing, wedding design, wedding planning, wedding planning software</t>
  </si>
  <si>
    <t>www.hunliyun.cn</t>
  </si>
  <si>
    <t>191852-02P</t>
  </si>
  <si>
    <t>Li Ji</t>
  </si>
  <si>
    <t>li.ji@hunliyun.cn</t>
  </si>
  <si>
    <t>+86 (0)40 0050 8543</t>
  </si>
  <si>
    <t>602, Block 2, Block E, Blue Chip</t>
  </si>
  <si>
    <t>Number 9 Jiqingli</t>
  </si>
  <si>
    <t>vip@hunliyun.cn</t>
  </si>
  <si>
    <t>The company raised an undisclosed amount of venture funding from Baidu Ventures in July 2018. Previously, The company raised RMB 10 million of seed funding from Baidu Ventures on September 25, 2017.</t>
  </si>
  <si>
    <t>Baidu Ventures, SongHe Capital, Zhenshun Fund</t>
  </si>
  <si>
    <t>Baidu Ventures(www.bv.ai), Zhenshun Fund(www.zhenshunfund.com)</t>
  </si>
  <si>
    <t>167814-37</t>
  </si>
  <si>
    <t>Hungry Marketplace</t>
  </si>
  <si>
    <t>HUNGRY</t>
  </si>
  <si>
    <t>Oh My Green, ezCater, BerryKitchen.com, Munchery, Lish, Chewse, Foodee, DoorDash, CaterWings, Peach (Food Delivery), Sprig, Zesty, Seamless, ZeroCater, Cater2.me, EAT Club</t>
  </si>
  <si>
    <t>Provider of a office food catering and delivery platform designed to offer businesses a variety of locally prepared food. The company's platform offers a network of local chefs with curated menus to select from for office lunches or events, enabling businesses to get a fast, easy and reliable catering option.</t>
  </si>
  <si>
    <t>Other Commercial Services*, Restaurants and Bars</t>
  </si>
  <si>
    <t>chef prepared meals, food catering, food delivery platform, food delivery service, meals delivery</t>
  </si>
  <si>
    <t>www.tryhungry.com</t>
  </si>
  <si>
    <t>148975-93P</t>
  </si>
  <si>
    <t>Eman Pahlavani</t>
  </si>
  <si>
    <t>eman@tryhungry.com</t>
  </si>
  <si>
    <t>+1 (571) 429-4705</t>
  </si>
  <si>
    <t>1560 Wilson Boulevard</t>
  </si>
  <si>
    <t>hello@tryhungry.com</t>
  </si>
  <si>
    <t>The company raised $8 million of Series A venture funding in a deal led by Sands Capital Ventures and Motley Fool Ventures on March 19, 2019, putting the company's pre-money valuation at $19 million. Marcy Venture Partners, Private Access Network, James Madison University Foundation and 10 angel investors also participated in the round. The funds will be used to continue investing in digital marketplace and logistics platform and to accelerate growth in new markets across the United States.</t>
  </si>
  <si>
    <t>Ahimsa Investments, Ahmad Ishaq, Brent Hoberman, Brent Thompson, Dan Simons, Daniel Kao, Daniel Klueger, Dave Free, Eric Kessler, GP Ventures+, James Madison University Foundation, Marcy Venture Partners, Matt Sonefeldt, Ming Tsai, Motley Fool Ventures, Ndamukong Suh, OnRamp Fund, Private Access Network, RJ Jones, Robert G. Hisaoka, Sands Capital Ventures, Seth Goldman, The Syndicate Fund, Timeless Media, Tom Colicchio, Usher Raymond, Walter Robb</t>
  </si>
  <si>
    <t>Ahimsa Investments(www.ahimsainvestments.com), GP Ventures+(www.gpven.com), James Madison University Foundation(www.jmu.edu/foundation), Marcy Venture Partners(marcyvp.com), Motley Fool Ventures(www.foolventures.com), OnRamp Fund(www.onrampfund.com.tw), Private Access Network(www.privateaccessnetwork.com), Sands Capital Ventures(www.sandscapitalventures.com), The Syndicate Fund(www.thesyndicatefund.com), Timeless Media(www.timelessmedia.com)</t>
  </si>
  <si>
    <t>111568-06</t>
  </si>
  <si>
    <t>Hunan Reshine New Material</t>
  </si>
  <si>
    <t>Hunan Reshine, Reshine</t>
  </si>
  <si>
    <t>Manufacturer of cathode material for lithium batteries. The company specializes in research, development, manufacture and sale of cathode material for lithium-ion batteries, used in automotive and electronics market.</t>
  </si>
  <si>
    <t>Industrial Supplies and Parts, Other Commercial Products*, Other Commercial Services</t>
  </si>
  <si>
    <t>automotive market, lithium battery</t>
  </si>
  <si>
    <t>www.reshine.net</t>
  </si>
  <si>
    <t>97948-54P</t>
  </si>
  <si>
    <t>Tang Shunguo</t>
  </si>
  <si>
    <t>+86 (0)731 8406 4371</t>
  </si>
  <si>
    <t>Changsha, China</t>
  </si>
  <si>
    <t>Hunan Changsha Economic and Technological Development Zone</t>
  </si>
  <si>
    <t>Number 11, Tianhua South Road</t>
  </si>
  <si>
    <t>Changsha</t>
  </si>
  <si>
    <t>410100</t>
  </si>
  <si>
    <t>+86 (0)731 8406 7706</t>
  </si>
  <si>
    <t>info@reshine.net</t>
  </si>
  <si>
    <t>The company raised an undisclosed amount of venture funding from Changsha Science &amp; Technology Venture Capital, ShangHai Zenitek Science &amp; Technology and Korea Investment Partners on December 11, 2007. Samsung Venture Investment also participated in this round.</t>
  </si>
  <si>
    <t>Changsha Science &amp; Technology Venture Capital, Korea Investment Partners, Samsung Venture Investment, ShangHai Zenitek Science &amp; Technology</t>
  </si>
  <si>
    <t>Changsha Science &amp; Technology Venture Capital(csvcc.cn), Korea Investment Partners(kipvc.com/main.html), Samsung Venture Investment(www.samsungventures.com)</t>
  </si>
  <si>
    <t>96191-74</t>
  </si>
  <si>
    <t>Humavox</t>
  </si>
  <si>
    <t>Powermat Technologies, ChargeSpot, PowerbyProxi</t>
  </si>
  <si>
    <t>Developer of a wireless charging technology designed to provide a natural and easy charging experience for users. The company's wireless charging platform ETERNA enables wireless charging of the battery within the device, through the transmission of radio frequency over a broad band of frequency waves and converting it into DC energy. It allows any product design of any size to easily integrate wireless charging, enabling users to recharge their electronic devices from nearly any containing object where they instinctively drop their devices.</t>
  </si>
  <si>
    <t>charging systems, charging technology, wireless charging, wireless charging device, wireless devices</t>
  </si>
  <si>
    <t>www.humavox.com</t>
  </si>
  <si>
    <t>89815-15P</t>
  </si>
  <si>
    <t>Omri Lachman</t>
  </si>
  <si>
    <t>omri@humavox.com</t>
  </si>
  <si>
    <t>+972 (0)9 773 3049</t>
  </si>
  <si>
    <t>P.O.Box 2366</t>
  </si>
  <si>
    <t>4464008</t>
  </si>
  <si>
    <t>contact@humavox.com</t>
  </si>
  <si>
    <t>The company raised $3.25 million of venture funding led by Stanley Ventures on May 18, 2018, putting the company's pre-money valuation at $24.74 million. The funding will enable Humavox to bring wireless charging to a broad array of products and technologies, while enabling efficient and uninterrupted usage of battery power.</t>
  </si>
  <si>
    <t>Cardumen Capital, Eyal Dessou Tzafrir, Harel Prag, Pinhas Halevy, Rafi Shkolnik, Rudy Netter, Stanley Ventures, Yaniv Tal</t>
  </si>
  <si>
    <t>Aurum</t>
  </si>
  <si>
    <t>Cardumen Capital(www.cardumencapital.com), Stanley Ventures(www.stanleyventures.com)</t>
  </si>
  <si>
    <t>167229-73</t>
  </si>
  <si>
    <t>Humatics</t>
  </si>
  <si>
    <t>6 River Systems, Perception Robotics, Soft Robotics, Clearpath Robotics, Empire Robotics</t>
  </si>
  <si>
    <t>Developer of spatial intelligence platform designed to revolutionize how people and machines locate, navigate and collaborate. The company's platform comprises sensors, software and a control system which offers centimeter- and millimeter-scale positioning that is faster, more precise and affordable than any existing 3D positioning or location tracking technology, enabling clients to open up new vistas through the precise connection of the spatial and digital worlds improving safety, efficiency and productivity.</t>
  </si>
  <si>
    <t>Aerospace and Defense, Business/Productivity Software*, Electrical Equipment, Other Information Technology</t>
  </si>
  <si>
    <t>Advanced Manufacturing, Internet of Things, Robotics and Drones, SaaS, TMT</t>
  </si>
  <si>
    <t>autonomous systems, indoor localization, location-based services, location-based services application, microlocation product, microlocation sensor, microlocation system, microlocation technology</t>
  </si>
  <si>
    <t>www.humatics.com</t>
  </si>
  <si>
    <t>2017: 22, 2018: 60, 2019: 70</t>
  </si>
  <si>
    <t>147879-73P</t>
  </si>
  <si>
    <t>David Mindell</t>
  </si>
  <si>
    <t>mindell@humatics.com</t>
  </si>
  <si>
    <t>+1 (617) 401-2419</t>
  </si>
  <si>
    <t>152 Grove Street</t>
  </si>
  <si>
    <t>02453</t>
  </si>
  <si>
    <t>info@humatics.com</t>
  </si>
  <si>
    <t>The company raised $28 million through a combination of debt and Series A1 venture funding in a deal led by Tenfore Holdings on January 7, 2019, putting the company's pre-money valuation at $75 million. Airbus Ventures, Lockheed Martin Ventures, Presidio Ventures, JCI Ventures, Fontinalis Partners and Blackhorn Ventures also participated in this round. As per of the deal, the debt financing was provided by Silicon Valley Bank. The funds will be used to expand operational capacity at its new 25,000 square foot headquarters in Waltham, Massachusetts, to scale production of its KinetIQ 100 peer-to-peer ranging product and accelerate time to market for its KinetIQ 300 product for 3D positioning.</t>
  </si>
  <si>
    <t>Airbus Ventures, Alumni Ventures Group, Andy Youmans, Blackhorn Ventures, Blue Ivy Ventures, Bonaventure Capital, Castor Ventures, Fontinalis Partners, Intact Ventures, JCI Ventures, Lockheed Martin Ventures, Presidio Ventures, Ray Stata, Strawberry Creek Ventures, Tectonic Ventures, Tenfore Holdings</t>
  </si>
  <si>
    <t>Airbus Ventures(www.airbusventures.vc), Alumni Ventures Group(www.avgfunds.com), Blackhorn Ventures(www.blackhornvc.com), Blue Ivy Ventures(www.blueivyventures.com), Bonaventure Capital(www.bonaventure.capital), Castor Ventures(www.castorventures.com), Fontinalis Partners(www.fontinalis.com), Presidio Ventures(www.presidio-ventures.com), Tectonic Ventures(www.tectonicventures.com), Tenfore Holdings(www.tenforeholdings.com)</t>
  </si>
  <si>
    <t>Danforth Advisors(Consulting), Goodwin(Legal Advisor), Silicon Valley Bank(General Business Banking)</t>
  </si>
  <si>
    <t>109321-75</t>
  </si>
  <si>
    <t>Humanyze</t>
  </si>
  <si>
    <t>Sociometric Solutions</t>
  </si>
  <si>
    <t>Canary Connect</t>
  </si>
  <si>
    <t>Developer of social-sensing and analytics platform designed to analyze communication patterns of employees. The company's analytics platform has two major sources of data: digital communication and the Humanyze badge that uploads data directly to cloud where the analytics engine processes the data into valuable insight and those insights are then presented back through meaningful dashboards and reports, enabling companies to quantify social interactions to understand how communication patterns of employees impact their processes.</t>
  </si>
  <si>
    <t>Business/Productivity Software*, Electronics (B2C), Social/Platform Software</t>
  </si>
  <si>
    <t>Big Data, SaaS, TMT, Wearables &amp; Quantified Self</t>
  </si>
  <si>
    <t>communication pattern, people analytics software, sociometric analysis, wearable technology</t>
  </si>
  <si>
    <t>www.humanyze.com</t>
  </si>
  <si>
    <t>2015: 11, 2016: 12, 2017: 18</t>
  </si>
  <si>
    <t>94248-46P</t>
  </si>
  <si>
    <t>Ben Waber</t>
  </si>
  <si>
    <t>ben@sociometricsolutions.com</t>
  </si>
  <si>
    <t>+1 (617) 701-6407</t>
  </si>
  <si>
    <t>18 Tremont Street</t>
  </si>
  <si>
    <t>Suite 608</t>
  </si>
  <si>
    <t>info@humanyze.com</t>
  </si>
  <si>
    <t>The company raised $4.55 million of Series A3 venture funding in a deal led by Romulus Capital on September 29, 2016, putting the estimated pre-money valuation at $26 million. Other undisclosed investors also participated in the round. The funding will be used to help deliver its "people analytics" technology to more big businesses and their employees around the world.</t>
  </si>
  <si>
    <t>Boston Seed Capital, dunnhumby Ventures, Hanhai Studio, Romulus Capital</t>
  </si>
  <si>
    <t>Boston Seed Capital(www.bostonseed.com), Hanhai Studio(www.hanhaistudio.com), Romulus Capital(www.romuluscap.com)</t>
  </si>
  <si>
    <t>118643-41</t>
  </si>
  <si>
    <t>Humanistic Robotics</t>
  </si>
  <si>
    <t>HRI</t>
  </si>
  <si>
    <t>Developer of wireless machine controls designed to offer next-generation controls for mobile and industrial equipment. The company manufactures a family of landmine and IED clearance devices that fit a variety of vehicles and can be pushed or pulled over roads or wide areas in order to detonate hidden explosives, offering users with engineering and design that improve safety, comfort and efficiency.</t>
  </si>
  <si>
    <t>Aerospace and Defense, Machinery (B2B)*</t>
  </si>
  <si>
    <t>Industrials, Manufacturing, Mobile, Robotics and Drones</t>
  </si>
  <si>
    <t>autonomous navigation, control system, pressure-sensitive munitions, teleoperation, unmanned control system, vehicle safety</t>
  </si>
  <si>
    <t>www.humanisticrobotics.com</t>
  </si>
  <si>
    <t>2015: 15, 2018: 1</t>
  </si>
  <si>
    <t>104173-03P</t>
  </si>
  <si>
    <t>Samuel Reeves</t>
  </si>
  <si>
    <t>samuel@hrinetworks.com</t>
  </si>
  <si>
    <t>+1 (267) 515-5880</t>
  </si>
  <si>
    <t>170 South Independence Mall West</t>
  </si>
  <si>
    <t>Suite 275 W</t>
  </si>
  <si>
    <t>info@humanisticrobotics.com</t>
  </si>
  <si>
    <t>The company raised $1 million of Series A venture funding from Stanley Ventures on December 21, 2018.</t>
  </si>
  <si>
    <t>Stanley Ventures, Wharton Venture Initiation Program</t>
  </si>
  <si>
    <t>Stanley Ventures(www.stanleyventures.com), Wharton Venture Initiation Program(entrepreneurship.wharton.upenn.edu)</t>
  </si>
  <si>
    <t>152212-60</t>
  </si>
  <si>
    <t>Hum Nutrition</t>
  </si>
  <si>
    <t>HUM</t>
  </si>
  <si>
    <t>Retailer of nutritional supplements intended to offer beauty nutrition. The company's platform sells supplements and connects consumers to nutrition experts, enabling customers to look good.</t>
  </si>
  <si>
    <t>Internet Retail*, Other Pharmaceuticals and Biotechnology</t>
  </si>
  <si>
    <t>Beauty, E-Commerce, LOHAS &amp; Wellness, TMT</t>
  </si>
  <si>
    <t>beauty nutrition, beauty vertical, nutritional consulting, nutritional supplements, nutritional supplements platform, supplements retailer</t>
  </si>
  <si>
    <t>www.humnutrition.com</t>
  </si>
  <si>
    <t>2016: 12, 2017: 15</t>
  </si>
  <si>
    <t>67995-73P</t>
  </si>
  <si>
    <t>Walter Faulstroh</t>
  </si>
  <si>
    <t>walter@humnutrition.com</t>
  </si>
  <si>
    <t>Healthy Towers</t>
  </si>
  <si>
    <t>8228 Sunset Boulevard</t>
  </si>
  <si>
    <t>90046</t>
  </si>
  <si>
    <t>healthy@humnutrition.com</t>
  </si>
  <si>
    <t>The company raised $15 million of Series B venture funding in a deal led by Sonoma Brands on April 16, 2019, putting the company's pre-money valuation at $60 million. Strand Equity, Imaginary Ventures, Natalie Massenet, and CircleUp Network also participated in the round.</t>
  </si>
  <si>
    <t>CircleUp Network, Imaginary Ventures, Natalie Massenet, Sonoma Brands, Strand Equity</t>
  </si>
  <si>
    <t>CircleUp Network(www.circleup.com), Imaginary Ventures(imaginary.co), Sonoma Brands(www.sonomabrands.com), Strand Equity(www.strandequity.com)</t>
  </si>
  <si>
    <t>Cooley(Legal Advisor), Hawke Media(Consulting), Silicon Valley Bank(General Business Banking), Stubbs Alderton &amp; Markiles(Legal Advisor)</t>
  </si>
  <si>
    <t>51270-13</t>
  </si>
  <si>
    <t>Houzz</t>
  </si>
  <si>
    <t>Made.com, nousDECOR, Zaarly</t>
  </si>
  <si>
    <t>Provider of an online home furnishing marketplace intended to provide people with everything they need to improve their homes. The company's platform connects millions of homeowners, home design enthusiasts and home improvement professionals around the world, as well as features a large residential design database and a vibrant community empowered by technology, enabling users to find design inspiration, get advice, buy products and hire the professionals they need to help turn their ideas into reality.</t>
  </si>
  <si>
    <t>Home Furnishings*, Internet Retail, Media and Information Services (B2B), Other Commercial Services, Social/Platform Software</t>
  </si>
  <si>
    <t>home decoration, home design, home design apps, home design service, home improvement, home remodeling, home renovation platform, online home decoration</t>
  </si>
  <si>
    <t>www.houzz.com</t>
  </si>
  <si>
    <t>2013: 120, 2014: 307, 2015: 700, 2016: 800, 2017: 1400, 2018: 1800</t>
  </si>
  <si>
    <t>110659-06P</t>
  </si>
  <si>
    <t>Richard Wong</t>
  </si>
  <si>
    <t>richard.wong@houzz.com</t>
  </si>
  <si>
    <t>285 Hamilton Avenue</t>
  </si>
  <si>
    <t>info@houzz.com</t>
  </si>
  <si>
    <t>The company received an undisclosed amount of corporate financing from Times Bridge on October 10, 2017. Earlier, the company raised $400 million of Series E venture funding in a deal led by ICONIQ Capital on June 23, 2017, putting the company's pre-money valuation at $4 billion. Sequoia Capital, GGV Capital, Zeev Ventures, Felix Capital, Day One Ventures, Wellington Management and GIC Private also participated in the round.</t>
  </si>
  <si>
    <t>Aayush Phumbhra, Comcast Ventures, Day One Ventures, DST Global, Felix Capital, GGV Capital, GIC Private, Great Oaks Venture Capital, ICONIQ Capital, Individual Investor, Kleiner Perkins, Michael Chalfen, New Enterprise Associates, Oliver Jung, Oren Zeev, Primera Capital (Venture Capital), Sequoia Capital, T. Rowe Price, Times Bridge, Wellington Management, Zeev Ventures</t>
  </si>
  <si>
    <t>Comcast Ventures(www.comcastventures.com), Day One Ventures(dayoneventures.co), DST Global(www.dst-global.com), Felix Capital(www.felixcap.com), GGV Capital(www.ggvc.com), GIC Private(www.gic.com.sg), Great Oaks Venture Capital(www.greatoaksvc.com), ICONIQ Capital(www.iconiqcapital.com), Kleiner Perkins(www.kleinerperkins.com), New Enterprise Associates(www.nea.com), Primera Capital (Venture Capital)(www.primeracapital.com), Sequoia Capital(www.sequoiacap.com), T. Rowe Price(www3.troweprice.com), Times Bridge(www.timesbridge.com), Wellington Management(www.wellington.com), Zeev Ventures(www.zeevventures.com)</t>
  </si>
  <si>
    <t>Acelr8(Consulting), Kandidate(Consulting), O'Melveny &amp; Myers(Legal Advisor), Prokanga(Consulting), Riviera Partners(Consulting)</t>
  </si>
  <si>
    <t>Acelr8(Consulting), O'Melveny &amp; Myers(Legal Advisor), Payne &amp; Fears(Legal Advisor), Riviera Partners(Consulting)</t>
  </si>
  <si>
    <t>124143-31</t>
  </si>
  <si>
    <t>Houston Mechatronics</t>
  </si>
  <si>
    <t>HMI</t>
  </si>
  <si>
    <t>Developer of robotics systems for engineering applications. The company's robotics and mechatronics technology takes technologies from the laboratory, couples them with resourceful engineering design and creates integrated hardware and software systems, enabling companies to improve processes, increase profits and optimize electric motors and design more efficient, cost-effective and greener alternatives in automation in the energy sector.</t>
  </si>
  <si>
    <t>Advanced Manufacturing, Industrials, Robotics and Drones, TMT</t>
  </si>
  <si>
    <t>automation engineering, humanoid robots, industrial automation, mechatronics, robotics</t>
  </si>
  <si>
    <t>www.houstonmechatronics.com</t>
  </si>
  <si>
    <t>2015: 11, 2016: 25</t>
  </si>
  <si>
    <t>114064-21P</t>
  </si>
  <si>
    <t>Nicolaus Radford</t>
  </si>
  <si>
    <t>Co-Founder, Chief Technology Officer, Senior Vice President of Engineering &amp; Board Member</t>
  </si>
  <si>
    <t>nradford@houstonmechatronics.com</t>
  </si>
  <si>
    <t>+1 (713) 294-0387</t>
  </si>
  <si>
    <t>Webster, TX</t>
  </si>
  <si>
    <t>17146 Feathercraft Lane</t>
  </si>
  <si>
    <t>Webster</t>
  </si>
  <si>
    <t>77598</t>
  </si>
  <si>
    <t>+1 (281) 942-9069</t>
  </si>
  <si>
    <t>info@houstonmechatronics.com</t>
  </si>
  <si>
    <t>The company raised $19.99 million of venture funding from undisclosed investors on April 3, 2018.</t>
  </si>
  <si>
    <t>Purdue Research Foundation, Schlumberger Technology Investments</t>
  </si>
  <si>
    <t>Purdue Research Foundation(www.prf.org)</t>
  </si>
  <si>
    <t>58861-36</t>
  </si>
  <si>
    <t>Houseparty</t>
  </si>
  <si>
    <t>Yevvo, Meerkat</t>
  </si>
  <si>
    <t>Oovoo</t>
  </si>
  <si>
    <t>Developer of a mobile application designed to offer live video streaming platform. The company's mobile application helps to distribute, influence and interact with live video using their Twitter and Facebook accounts in real time, enabling users to make video calls with friends as a group.</t>
  </si>
  <si>
    <t>group video chatting app, live video platform, mobile-to-mobile live video, social network, social network app, video streaming, video streaming platform</t>
  </si>
  <si>
    <t>www.houseparty.com</t>
  </si>
  <si>
    <t>2016: 20, 2019: 87</t>
  </si>
  <si>
    <t>61261-57P</t>
  </si>
  <si>
    <t>Ben Rubin</t>
  </si>
  <si>
    <t>ben@getair.co</t>
  </si>
  <si>
    <t>683 Brannan Street</t>
  </si>
  <si>
    <t>hello@houseparty.com</t>
  </si>
  <si>
    <t>The company raised $52 million of Series C venture funding in a deal led by Sequoia Capital on December 9, 2016. Aleph, Comcast Ventures, UTA Ventures and Greylock Partners also participated in the round.</t>
  </si>
  <si>
    <t>Aleph, Arena Ventures, BoxGroup, Broadway Video Ventures, CAA Ventures, Chad Hurley, Comcast Ventures, Dave Morin, David Tisch, DreamIt Ventures, Entrée Capital, Eyal Gura, Gary Vaynerchuk, Gigi Levy-Weiss, Gordon Rubenstein, Graph Ventures, Greylock Partners, Individual Investor, Jared Leto, Kevin Colleran, Lee Linden, Ooga Labs, Paige Craig, PLUS Ventures, QueensBridge Venture Partners, Raine Ventures, Rainfall Ventures, Sequoia Capital, Shakil Khan, Sherpa, Slow Ventures, Soma Capital, Sound Ventures, The Junction, Universal Music Group, UTA Ventures, Vayner/RSE, WME Capital</t>
  </si>
  <si>
    <t>Aleph(www.aleph.vc), Arena Ventures(www.arenavc.com), BoxGroup(www.boxgroup.com), Broadway Video Ventures(www.broadwayvideo.com/ventures), CAA Ventures(ventures.caa.com), Comcast Ventures(www.comcastventures.com), Dave Morin(www.davemorin.com), David Tisch(www.davidtisch.com), DreamIt Ventures(www.dreamit.com), Entrée Capital(www.entreecap.com), Eyal Gura(www.picscout.com), Gary Vaynerchuk(www.garyvaynerchuk.com), Graph Ventures(www.graphventures.com), Greylock Partners(www.greylock.com), Kevin Colleran(facebook.com/kevin), Ooga Labs(www.oogalabs.com), PLUS Ventures(www.plusventures.co.il), QueensBridge Venture Partners(www.qbvp.com), Rainfall Ventures(www.rainfall.com), Sequoia Capital(www.sequoiacap.com), Sherpa(www.asso-sherpa.org), Slow Ventures(www.slow.co), Soma Capital(somacap.com), Sound Ventures(www.sound-ventures.com), The Junction(www.thejunction.co.il), Universal Music Group(www.universalmusic.com), UTA Ventures(ventures.unitedtalent.com), Vayner/RSE(www.vaynerrse.com)</t>
  </si>
  <si>
    <t>52932-07</t>
  </si>
  <si>
    <t>HotChalk</t>
  </si>
  <si>
    <t>Academic Partnerships, Instructure, Blackboard, Simplilearn, Noodle Partners, Foundry College, 2U, Chalk &amp; Wire, Everspring, Greenwood Hall, University of Phoenix, Atlanta Campus, Orbis Education Services, Coursera, Ellucian, Embanet, Keypath Education, Moodle, OnCourse Learning</t>
  </si>
  <si>
    <t>Provider of an education technology platform intended to grade school teachers, students and parents. The company's platform helps universities to run online degree programs, including interactive course design and content development tools, marketing,and student recruitment leveraging proprietary data analytics capabilities, enabling educational institutes to successfully run online degree programs.</t>
  </si>
  <si>
    <t>Education and Training Services (B2B), Educational Software*</t>
  </si>
  <si>
    <t>automated assignments distribution, corporate sponsorship, curriculum management, lessons planning development, public service, turnkey</t>
  </si>
  <si>
    <t>www.hotchalk.com</t>
  </si>
  <si>
    <t>2014: 166, 2015: 229, 2016: 259</t>
  </si>
  <si>
    <t>119492-65P</t>
  </si>
  <si>
    <t>John Toth</t>
  </si>
  <si>
    <t>john.toth@hotchalk.com</t>
  </si>
  <si>
    <t>+1 (888) 468-2336</t>
  </si>
  <si>
    <t>1999 South Bascom Avenue</t>
  </si>
  <si>
    <t>Suite 1020</t>
  </si>
  <si>
    <t>+1 (408) 608-1679</t>
  </si>
  <si>
    <t>The company raised $50 million of Series AA venture funding from Mohr Davidow Ventures and other undisclosed investors on February 16, 2018, putting the pre-money valuation at $35 million.</t>
  </si>
  <si>
    <t>Berg and Berg Enterprises, Bertelsmann, Comcast Ventures, Deborah Quazzo, Escalate Capital Partners, GSV AcceleraTE, Individual Investor, Meriwether Capital, Mohr Davidow Ventures, NBCUniversal, Peacock Equity, Pinnacle Ventures, Second Alpha Partners</t>
  </si>
  <si>
    <t>Bertelsmann(www.bertelsmann.com), Comcast Ventures(www.comcastventures.com), Escalate Capital Partners(www.escalatecapital.com), GSV AcceleraTE(www.gsvaccelerate.com), Meriwether Capital(www.meriwethercapital.net), Mohr Davidow Ventures(www.mdv.com), NBCUniversal(www.nbcuniversal.com), Pinnacle Ventures(www.pinnacleven.com), Second Alpha Partners(www.secondalpha.com)</t>
  </si>
  <si>
    <t>DLA Piper(Legal Advisor), Fenwick &amp; West(Legal Advisor), Gunderson Dettmer(Legal Advisor), True Capital Partners(Advisor: General)</t>
  </si>
  <si>
    <t>Citi Capital Strategies(Advisor: General), Citigroup Global Markets(Lead Manager or Arranger), Communications Equity Associates(Lead Manager or Arranger), DLA Piper(Legal Advisor), Escalate Capital Partners(Debt Financing), Fenwick &amp; West(Legal Advisor), Gunderson Dettmer(Legal Advisor), Morgan Stanley(Advisor: General), True Capital Partners(Advisor: General)</t>
  </si>
  <si>
    <t>121950-82</t>
  </si>
  <si>
    <t>Hope Foods</t>
  </si>
  <si>
    <t>Hope Hummus</t>
  </si>
  <si>
    <t>HOPE</t>
  </si>
  <si>
    <t>Tribe Mediterranean Foods, Garden Fresh Salsa Company, Way Better Snacks, New Frontier Foods, Dang</t>
  </si>
  <si>
    <t>Producer of organic foodstuffs intended to provide organic hummus and dips. The company offers allergen-friendly, gluten-free and completely vegan foods that are produced without the use of any artificial preservatives, enabling customers to enjoy totally naturally hummus and guacamole.</t>
  </si>
  <si>
    <t>healthy food, hummus food, natural food, nutrients density, organic dips, organic food producer, organic food production</t>
  </si>
  <si>
    <t>www.hopefoods.com</t>
  </si>
  <si>
    <t>2017: 70</t>
  </si>
  <si>
    <t>109994-77P</t>
  </si>
  <si>
    <t>Robert Rech</t>
  </si>
  <si>
    <t>Co-Founder, Chief Executive Officer, President, Manager &amp; Board Member</t>
  </si>
  <si>
    <t>robbie.rech@hopefoods.com</t>
  </si>
  <si>
    <t>+1 (303) 248-7019</t>
  </si>
  <si>
    <t>1850 Dogwood Street</t>
  </si>
  <si>
    <t>+1 (303) 265-9522</t>
  </si>
  <si>
    <t>The company raised $3 million of venture funding from Boulder Investment Group Reprise on May 24, 2019.</t>
  </si>
  <si>
    <t>Koenig, Oelsner, Taylor, Schoenfeld &amp; Gaddis(Legal Advisor)</t>
  </si>
  <si>
    <t>52275-43</t>
  </si>
  <si>
    <t>Hootsuite</t>
  </si>
  <si>
    <t>Sprout Social, NapoleonCat, Sprinklr, quintly, Meltwater, Bottlenose, NUVI, Shareablee, Facelift Cloud, LeadSift, Socialbakers, Simply Measured, Direct Labs Technology Communication &amp; Marketing, Stackla, Social Status, TapInfluence, Radian6 Technologies, Zignal Labs, PostBeyond, Brand Networks, Brand Embassy, GaggleAMP, Percolate, SocialFlow, Tracx, Canvs (Business/Productivity Software), Spredfast, Brand24, Engagor, Brandwatch, Socialmetrix, True Anthem, Kapost, Tubular (Video Intelligence Platform), BehaviorMatrix, Strutta.com Media, Opal (Marketing), Mention Solutions, Maventus Group, Silverpop Systems, Contently, Tailwind (Marketing Platform), Piqora, Talkwalker, Heap, Sparkcentral, Workfront, TrackMaven, Vendasta, Medallia, Main Street Hub, Crimson Hexagon, Unmetric, ApexDrop, Broadly, Sailthru, SocialMedia Networks, Synthesio, Signpost, Little Bird, Union Metrics Software, Kenshoo, Pluck, LiveWorld, Curalate, Mzinga, NewsCred, Nanigans, Shoutlet, Actiance, Bynder, Smarp, Canadian Interactive Alliance, Conversocial, Chute, ScribbleLive, NetBase, Buffer, Linkfluence, Socialware, Dynamic Signal, Viafoura, Sendible, ListenFirst Media, SEMrush, Acquia, Woopra, MutualMind, VisualDNA, Expion, Digimind, Sysomos, HubSpot, Brainsonic, Global Relay, Sprout (Media and Information Services), Owler, MeetEdgar, Everypost, Agorapulse, CoSchedule, IFTTT, Zoho, Seesmic</t>
  </si>
  <si>
    <t>Provider of a social media management system designed to make connecting with customers faster, smarter and safer. The company's social media management system execute campaigns across multiple social networks from one secure, web-based dashboard as well as offers tools to manage all social profiles and helps in finding and scheduling effective social content, enabling clients to spot trends and have an insight on relevant data.</t>
  </si>
  <si>
    <t>Marketing Tech, Restaurant Technology, SaaS, TMT</t>
  </si>
  <si>
    <t>media management, media monitoring, social media management, social media management system, social media management tools, social media platform</t>
  </si>
  <si>
    <t>www.hootsuite.com</t>
  </si>
  <si>
    <t>2008: 21, 2011: 48, 2012: 140, 2013: 320, 2014: 855, 2015: 930, 2016: 1000, 2017: 1000, 2018: 1000</t>
  </si>
  <si>
    <t>38016-01P</t>
  </si>
  <si>
    <t>Ryan Holmes</t>
  </si>
  <si>
    <t>ryan@hootsuite.com</t>
  </si>
  <si>
    <t>5 East 8th Avenue</t>
  </si>
  <si>
    <t>V5T 1R6</t>
  </si>
  <si>
    <t>The company was in talks to be acquired for $750 million on January 18, 2019. Subsequently, the deal was cancelled after preliminary offers came in below expectations.</t>
  </si>
  <si>
    <t>Accel, Bill Lee, BoomStartup, Canadian Imperial Bank of Commerce, Cloud Apps Capital Partners, Difference Capital Financial, Eden Ventures, Fidelity Investments, Geoff Entress, Hedgewood, Individual Investor, Insight Partners, Invoke Labs, Millennium Technology Value Partners, OMERS Ventures, Pine Hill Capital, Salesforce Ventures, Self Aware Games, Silicon Valley Bank, Texas Atlantic Capital</t>
  </si>
  <si>
    <t>Blumberg Capital, Hearst Ventures</t>
  </si>
  <si>
    <t>Accel(www.accel.com), Bill Lee(www.backtoreality.com), BoomStartup(www.boomstartup.com), Canadian Imperial Bank of Commerce(www.cibc.com), Cloud Apps Capital Partners(www.cloudappscapital.com), Difference Capital Financial(www.differencecapital.com), Eden Ventures(www.edenventures.co.uk), Fidelity Investments(www.fidelity.com), Hedgewood(www.hedgewood.com), Insight Partners(www.insightpartners.com), Invoke Labs(www.invokelabs.com), Millennium Technology Value Partners(www.mtvlp.com), OMERS Ventures(www.omersventures.com), Pine Hill Capital(www.pine-hill-capital.com), Self Aware Games(www.socialconcepts.com), Silicon Valley Bank(www.svb.com), Texas Atlantic Capital(www.ta.capital)</t>
  </si>
  <si>
    <t>Blumberg Capital(www.blumbergcapital.com)</t>
  </si>
  <si>
    <t>Acelr8(Consulting), Firebrick Consulting(Consulting), Gunderson Dettmer(Legal Advisor), Montgomery &amp; Company(Advisor: General), True Capital Partners(Advisor: General)</t>
  </si>
  <si>
    <t>Gunderson Dettmer(Legal Advisor), Osler, Hoskin &amp; Harcourt(Legal Advisor), The Goldman Sachs Group(Advisor: General)</t>
  </si>
  <si>
    <t>53534-80</t>
  </si>
  <si>
    <t>Hoopla Software</t>
  </si>
  <si>
    <t>Hoopla</t>
  </si>
  <si>
    <t>Incent Games, Allego, Plecto, SaleSIM, 3radical, Colabo, Bunchball, Horizn, BetterWorks, SAVO Group, Brainshark, Base (Sales Platform), ConnectAndSell, LevelEleven, Kanopy</t>
  </si>
  <si>
    <t>Provider of a SaaS based platform intended to offer gamification technology to help motivate sales teams. The company's SaaS based platform combines game mechanics, data analytic and broadcast-quality video in a sales gamification application to engage employees by pulling performance data from the applications already used and broadcasts live updates on big-screen TVs, the web, and mobile devices, enabling companies broadcasting their team's success across TVs in offices and maintain leader boards to recognize the top performers for each business metric.</t>
  </si>
  <si>
    <t>Business/Productivity Software*, Entertainment Software, Social/Platform Software</t>
  </si>
  <si>
    <t>gamification, sales contest, sales gamification, team leaderboard, team performance management, workplace games</t>
  </si>
  <si>
    <t>www.hoopla.net</t>
  </si>
  <si>
    <t>2014: 38, 2016: 40, 2017: 35</t>
  </si>
  <si>
    <t>39693-25P</t>
  </si>
  <si>
    <t>Michael Smalls</t>
  </si>
  <si>
    <t>mike@hoopla.net</t>
  </si>
  <si>
    <t>+1 (888) 748-1960</t>
  </si>
  <si>
    <t>84 West Santa Clara Street</t>
  </si>
  <si>
    <t>+1 (484) 441-1373</t>
  </si>
  <si>
    <t>info@hoopla.net</t>
  </si>
  <si>
    <t>The company raised $8 million of Series B venture funding in a deal led by Trinity Ventures on February 13, 2014, putting the pre-money valuation at $15.76 million. Safeguard Scientifics , Illuminate Ventures and other undisclosed individual investors also participated in this round.</t>
  </si>
  <si>
    <t>Cynthia Padnos, Illuminate Ventures, Individual Investor, Safeguard Scientifics, Salesforce Ventures, Trinity Ventures</t>
  </si>
  <si>
    <t>Illuminate Ventures(www.illuminate.com), Safeguard Scientifics(www.safeguard.com), Trinity Ventures(www.trinityventures.com)</t>
  </si>
  <si>
    <t>Gunderson Dettmer(Legal Advisor), Morgan, Lewis &amp; Bockius(Legal Advisor), Wilson Sonsini Goodrich &amp; Rosati(Legal Advisor)</t>
  </si>
  <si>
    <t>123783-94</t>
  </si>
  <si>
    <t>Hooked</t>
  </si>
  <si>
    <t>Blinkist, Instaread</t>
  </si>
  <si>
    <t>Developer of a mobile application intended to make reading addictive for teens. The company's online mobile reading platform presents stories as a bite-sized text message conversation, making it seem like someone else's chat history, making reading snappy, spooky and fun.</t>
  </si>
  <si>
    <t>Educational Software, Entertainment Software*</t>
  </si>
  <si>
    <t>bite sized stories, books reading, digital entertainment, fiction books reader, reading software, stories app, stories application</t>
  </si>
  <si>
    <t>www.hooked.co</t>
  </si>
  <si>
    <t>40622-77P</t>
  </si>
  <si>
    <t>Prerna Gupta</t>
  </si>
  <si>
    <t>prerna@hooked.co</t>
  </si>
  <si>
    <t>+1 (404) 385-7256</t>
  </si>
  <si>
    <t>The company raised $1.07 million of seed funding from WME Ventures, Hemisphere Ventures, 5xmais, Cowboy Ventures and Founders Fund on April 7, 2016. Rostrum Capital, Cyan Banister, Ludlow Ventures and Greg Silverman also participated in the round.</t>
  </si>
  <si>
    <t>500 Startups, 5xmais, A.Capital Ventures, Bossa Nova Investimentos, Chris Sang, Cowboy Ventures, Cyan Banister, DGNL Ventures, Eric Ries, Flight Ventures, Foundation Capital, Founders Fund, Greg Silverman, Greylock Partners, Hemisphere Ventures, Jeffrey Smith, Justin Waldron, Kevin Spacey, Ludlow Ventures, Maneesh Arora, Pat Matthews, Rick Marini, Rivet Ventures, Rostrum Capital, Sound Ventures, SV Angel, Thomas Ryan, WME Ventures, Yee Lee</t>
  </si>
  <si>
    <t>500 Startups(www.500.co), 5xmais(www.5xmais.com.br), A.Capital Ventures(www.acapital.com), Bossa Nova Investimentos(www.bossainvest.com), Chris Sang(www.chrissang.com), Cowboy Ventures(www.cowboy.vc), DGNL Ventures(www.dgnl.vc), Flight Ventures(www.flight.vc), Foundation Capital(www.foundationcapital.com), Founders Fund(www.foundersfund.com), Greylock Partners(www.greylock.com), Hemisphere Ventures(www.hemisphere.com), Ludlow Ventures(www.ludlowventures.com), Maneesh Arora(linkedin.com/in/maneesharora), Rivet Ventures(www.rivetventures.com), Rostrum Capital(www.rostrumcapital.com), Sound Ventures(www.sound-ventures.com), SV Angel(www.svangel.com), Thomas Ryan(thomasryan.org), WME Ventures(www.wmevc.com)</t>
  </si>
  <si>
    <t>110421-64</t>
  </si>
  <si>
    <t>Hometeam</t>
  </si>
  <si>
    <t>Careguardian, Inc.</t>
  </si>
  <si>
    <t>Right at Home, Contessa, VitreosHealth, Homage (Elder and Disabled Care), Medocity, Home Helpers Home Care, BrightStar Care, Accurate Home Care, Senior Helpers, AccentCare, Paradise Homecare, Comfort Keepers Franchising, A Hopeful Home, Homecare.com, HomeHero, Bring Care Home, Honor (Home Care Services), Home Instead Senior Care, Mavencare, Griswold Home Care, 24Hr HomeCare, Always Best Care Senior Services, HomeTouch, CareLinx, Home &amp; Hearth Caregivers, Vida (Home care), Home Care Assistance</t>
  </si>
  <si>
    <t>Provider of a software platform designed for caregivers and care delivery. The company's software platform increases caregiver engagement, provides actionable insights and reduces medical costs, enabling health plans, agencies and caregivers to improve health outcomes for seniors.</t>
  </si>
  <si>
    <t>Elder and Disabled Care, Outcome Management (Healthcare)*</t>
  </si>
  <si>
    <t>Digital Health, TMT</t>
  </si>
  <si>
    <t>care services platform, caregiver engagement, caregiver platform, medical cost reduction, quality of life, reducing medical cost, senior care platform, senior welfare platform</t>
  </si>
  <si>
    <t>hometeamhealth.com</t>
  </si>
  <si>
    <t>2015: 44, 2016: 66</t>
  </si>
  <si>
    <t>11627-29P</t>
  </si>
  <si>
    <t>Thomas Etergino</t>
  </si>
  <si>
    <t>tom@hometeamcare.com</t>
  </si>
  <si>
    <t>+1 (844) 226-7407</t>
  </si>
  <si>
    <t>50 West 23rd Street</t>
  </si>
  <si>
    <t>info@hometeamcare.com</t>
  </si>
  <si>
    <t>IA Ventures sold their stake to undisclosed investors in the fall of 2018.</t>
  </si>
  <si>
    <t>Brad Gillespie, IA Ventures, Kaiser Permanente Ventures, Lux Capital, Namek Zu'bi, Oak HC/FT, Recruit Strategic Partners</t>
  </si>
  <si>
    <t>IA Ventures(www.iaventures.com), Kaiser Permanente Ventures(www.kpventures.com), Lux Capital(www.luxcapital.com), Oak HC/FT(www.oakhcft.com), Recruit Strategic Partners(recruitstrategicpartners.com)</t>
  </si>
  <si>
    <t>182151-37</t>
  </si>
  <si>
    <t>Homeis</t>
  </si>
  <si>
    <t>Developer of an online community designed to connect foreign-born people with their homeland. The company's community helps users to connect with nearby people who shares the same culture, interest and needs, enabling users to get services tailored to their unique language and cultural sensibility.</t>
  </si>
  <si>
    <t>Application Software, Information Services (B2C), Social/Platform Software*</t>
  </si>
  <si>
    <t>foreign born community, foreign community, immigrants community, immigrants network, social community, social network</t>
  </si>
  <si>
    <t>www.homeis.com</t>
  </si>
  <si>
    <t>166750-48P</t>
  </si>
  <si>
    <t>Hanan Laschover</t>
  </si>
  <si>
    <t>hanan@homeis.com</t>
  </si>
  <si>
    <t>SOSA NYC</t>
  </si>
  <si>
    <t>149 5th Avenue 9th floor</t>
  </si>
  <si>
    <t>contact@homeis.com</t>
  </si>
  <si>
    <t>The company raised venture funding from Boston Seed Capital on an undisclosed date.</t>
  </si>
  <si>
    <t>Adam Singolda, Boston Seed Capital, Canaan Partners, Kaedan Capital, Samsung NEXT Ventures, Spark Capital, The Chernin Group, Tim Armstrong</t>
  </si>
  <si>
    <t>Boston Seed Capital(www.bostonseed.com), Canaan Partners(www.canaan.com), Kaedan Capital(www.kaedan.com), Samsung NEXT Ventures(www.samsungnext.com), Spark Capital(www.sparkcapital.com)</t>
  </si>
  <si>
    <t>179672-14</t>
  </si>
  <si>
    <t>Homecare.com</t>
  </si>
  <si>
    <t>CareLinx, Kindly Care, Homage (Elder and Disabled Care), HomeHero, Vida (Home care), Axxess, Honor (Home Care Services), A Hopeful Home, Bayada Home Health Care, Maxim Healthcare Services, 24Hr HomeCare, Paradise Homecare, Help At Home Senior Care, BrightStar Care, Accurate Home Care, Hometeam</t>
  </si>
  <si>
    <t>Provider of a healthcare platform intended to connect families with high-quality professional caregivers easily. The company's platform has 80,000 care providers on its network, enabling families and health care providers to interview, hire and manage fully credentialed, insured and bonded caregivers.</t>
  </si>
  <si>
    <t>Other Healthcare Services*, Social/Platform Software</t>
  </si>
  <si>
    <t>care delivery service, care delivery system, customized home care, customized home care platform, digital caregiver marketplace, in home care</t>
  </si>
  <si>
    <t>www.homecare.com</t>
  </si>
  <si>
    <t>161121-61P</t>
  </si>
  <si>
    <t>Todd Walrath</t>
  </si>
  <si>
    <t>twalrath@homecare.com</t>
  </si>
  <si>
    <t>+1 (703) 887-2191</t>
  </si>
  <si>
    <t>McLean, VA</t>
  </si>
  <si>
    <t>7925 Jones Branch Drive</t>
  </si>
  <si>
    <t>Suite 2200</t>
  </si>
  <si>
    <t>McLean</t>
  </si>
  <si>
    <t>22102</t>
  </si>
  <si>
    <t>+1 (800) 974-3458</t>
  </si>
  <si>
    <t>+1 (571) 565-3416</t>
  </si>
  <si>
    <t>The company raised $11 million of Series B venture funding in a deal led by 3TS Capital Partners on January 29, 2018, putting the company's pre-money valuation at $35 million. Blue Heron Capital, Maryland Venture Fund, Private Access Network, Motley Fool Ventures and other undisclosed investors also participated in the round. The funds will be used to support the company's growth, expand geographically and add new product offerings.</t>
  </si>
  <si>
    <t>3TS Capital Partners, Blue Heron Capital, Maryland Venture Fund, Motley Fool Ventures, Private Access Network</t>
  </si>
  <si>
    <t>3TS Capital Partners(www.3tscapital.com), Blue Heron Capital(www.blueheroncap.com), Maryland Venture Fund(www.marylandventurefund.com), Motley Fool Ventures(www.foolventures.com), Private Access Network(www.privateaccessnetwork.com)</t>
  </si>
  <si>
    <t>148753-09</t>
  </si>
  <si>
    <t>Hollar</t>
  </si>
  <si>
    <t>Letgo, Spring, Fancy, VarageSale, Depop, Wanelo, Carousell, Keaton Row, Tradesy, Wish, Five Below, Target, Walmart, TJX Companies</t>
  </si>
  <si>
    <t>Provider of an online shopping platform designed to offer products at fascinating deals starting at $1. The company's shopping platform offers a range of products and items that include toys, electronics, home and beauty products, apparel and fashion accessories, enabling customers to buy curated products at cheaper and discounted rates.</t>
  </si>
  <si>
    <t>discounted price, online marketplace, online shopping, online shopping platform</t>
  </si>
  <si>
    <t>www.hollar.com</t>
  </si>
  <si>
    <t>2015: 12, 2016: 34, 2017: 106</t>
  </si>
  <si>
    <t>56213-38P</t>
  </si>
  <si>
    <t>David Yeom</t>
  </si>
  <si>
    <t>david@hollar.com</t>
  </si>
  <si>
    <t>+1 (888) 682-5119</t>
  </si>
  <si>
    <t>Commerce, CA</t>
  </si>
  <si>
    <t>2601 South Malt Avenue</t>
  </si>
  <si>
    <t>Commerce</t>
  </si>
  <si>
    <t>90040</t>
  </si>
  <si>
    <t>The company raised $30 million of Series C venture funding from Index Ventures (UK), Pritzker Group Venture Capital, B Capital Group and other undisclosed investors on December 5, 2017, putting the company's pre-money valuation at $165 million.</t>
  </si>
  <si>
    <t>B Capital Group, BAM Ventures, Comcast Ventures, Forerunner Ventures, Greycroft, Index Ventures (UK), Kleiner Perkins, Lightspeed Venture Partners, Pritzker Group Venture Capital, Troy Capital Partners</t>
  </si>
  <si>
    <t>B Capital Group(www.bcapgroup.com), BAM Ventures(www.bam.vc), Comcast Ventures(www.comcastventures.com), Forerunner Ventures(www.forerunnerventures.com), Greycroft(www.greycroft.com), Index Ventures (UK)(www.indexventures.com), Kleiner Perkins(www.kleinerperkins.com), Lightspeed Venture Partners(www.lsvp.com), Pritzker Group Venture Capital(www.pritzkergroup.com/venture-capital), Troy Capital Partners(www.troycapitalpartners.com)</t>
  </si>
  <si>
    <t>City National Bank(General Business Banking), Comerica Bank(General Business Banking), Cooley(Legal Advisor), LKP Global Law(Legal Advisor), StartupTAP(Consulting)</t>
  </si>
  <si>
    <t>Cooley(Legal Advisor), LKP Global Law(Legal Advisor)</t>
  </si>
  <si>
    <t>56335-51</t>
  </si>
  <si>
    <t>Hired</t>
  </si>
  <si>
    <t>Developer Auction</t>
  </si>
  <si>
    <t>Triplebyte, Workshape.io, Fintros, HackerEarth, Toptal, Guru.com, Lever (Recruitment Software), Glassdoor, Jobbio, SmartRecruiters, Jobr, HireVue, HackerRank, Eightfold.ai, RecruitLoop, Snag, Greenhouse Software, Vettery, Codility, CornerJob, Restless Bandit, Appcast, PeopleMatter, Ascendify, Reflik, TalentBin, CloserIQ, WorkHands, Jobvite, Guru.com (Acquired 2003), Hireology, OnForce, Viadeo, Simply Hired, Upwork, LinkedIn</t>
  </si>
  <si>
    <t>Provider of a marketplace for recruiting software engineers. The company's platform offers a curated marketplace that matches engineers, product managers, data scientists, UX/UI designers and sales professionals with technology companies, providing job seekers with access to suitable job opportunities and allows employers to tap into a huge pool of talent.</t>
  </si>
  <si>
    <t>Human Capital Services*, Information Services (B2C)</t>
  </si>
  <si>
    <t>career marketplace, engineer recruiting, human resources tools, online recruiting, recruiting platform</t>
  </si>
  <si>
    <t>www.hired.com</t>
  </si>
  <si>
    <t>2013: 22, 2014: 172, 2015: 182</t>
  </si>
  <si>
    <t>44490-61P</t>
  </si>
  <si>
    <t>Matt Mickiewicz</t>
  </si>
  <si>
    <t>Co-Founder &amp; Chief Product Officer</t>
  </si>
  <si>
    <t>matt@hired.com</t>
  </si>
  <si>
    <t>+1 (415) 813-4987</t>
  </si>
  <si>
    <t>303 2nd Street South Tower</t>
  </si>
  <si>
    <t>info@hired.com</t>
  </si>
  <si>
    <t>The company raised an estimated $9.4 million of Series 1 venture funding from undisclosed investors on February 4, 2019, putting the company's pre-money valuation at $460.6 million.</t>
  </si>
  <si>
    <t>Aayush Phumbhra, Comcast Ventures, Crosslink Capital, G-Bar Ventures, Great Oaks VC, Great Oaks Venture Capital, GV, Haystack, Investment Management Corporation of Ontario, Lumia Capital, New Enterprise Associates, Ontario Pension Board, Sherpa Capital, Sierra Ventures, Silicon Valley Bank, Step Partners, SVB Financial Group, The Glenmede Trust Company, Uncork Capital</t>
  </si>
  <si>
    <t>Comcast Ventures(www.comcastventures.com), Crosslink Capital(www.crosslinkcapital.com), Great Oaks Venture Capital(www.greatoaksvc.com), GV(www.gv.com), Haystack(haystack.vc), Investment Management Corporation of Ontario(www.imcoinvest.com), Lumia Capital(www.lumiacapital.com), New Enterprise Associates(www.nea.com), Ontario Pension Board(www.opb.ca), Sherpa Capital(www.sherpa.com), Sierra Ventures(www.sierraventures.com), Silicon Valley Bank(www.svb.com), The Glenmede Trust Company(www.glenmede.com), Uncork Capital(www.uncorkcapital.com)</t>
  </si>
  <si>
    <t>Cooley(Legal Advisor), Launch Search Partners(Consulting), LiveCA(Accounting), Montgomery &amp; Company(Advisor: General), Sequoia Consulting Group(Consulting)</t>
  </si>
  <si>
    <t>162900-82</t>
  </si>
  <si>
    <t>Hippo Insurance</t>
  </si>
  <si>
    <t>Hippo</t>
  </si>
  <si>
    <t>Kin Insurance, Clearcover, JustInCase, Duck Creek Technologies, Clark (Digital Insurance Platform), Sure, Noblr, Wefox, benefix, Simplesurance, Neos Ventures, Lemonade</t>
  </si>
  <si>
    <t>Provider of home insurance services designed to offer smart coverage for homeowners. The company offers plans which are designed using modern technology to provide a simpler process, smarter coverage and a completely new approach, enabling homeowners and renters to get better, cheaper and modern home insurance.</t>
  </si>
  <si>
    <t>Other Software, Property and Casualty Insurance*</t>
  </si>
  <si>
    <t>condos insurance, home insurance, insurance platform, insurance policy, online insurance</t>
  </si>
  <si>
    <t>www.myhippo.com</t>
  </si>
  <si>
    <t>2015: 15, 2017: 15</t>
  </si>
  <si>
    <t>115166-80P</t>
  </si>
  <si>
    <t>Assaf Wand</t>
  </si>
  <si>
    <t>awand@myhippo.com</t>
  </si>
  <si>
    <t>+1 (800) 886-0318</t>
  </si>
  <si>
    <t>PO Box 390068</t>
  </si>
  <si>
    <t>94039</t>
  </si>
  <si>
    <t>hello@myhippo.com</t>
  </si>
  <si>
    <t>The company raised $70 million of Series C venture funding in a deal led by Lennar and Felicis Ventures on November 14, 2018, putting the company's pre-money valuation at $315 million. Comcast Ventures, Propel Venture Partners, Munich Re/HSB Ventures, Zeev Ventures, Fifth Wall Ventures, Sinai Ventures, Aquiline Technology Growth, RPM Ventures, GGV Capital, Horizons Ventures, Pipeline Capital Partners, BNSG Capital, and Abstract Ventures also participated in the round. The funds will be used to improve the company's claims flow and expand its national footprint.</t>
  </si>
  <si>
    <t>Abstract Ventures, Aquiline Technology Growth, BNSG Capital, Christopher Hill, Comcast Ventures, Felicis Ventures, Fifth Wall Ventures, GGV Capital, Horizons Ventures, iGlobe Partners, Jacob Gibson, Joshua Stech, Lennar, Louis Beryl, Mark Lefanowicz, Matt Humphrey, Moderne Ventures, Munich Re/HSB Ventures, Pete Flint, Pipeline Capital Partners, Plug and Play Tech Center, Propel Venture Partners, Ramtin Naimi, RPM Ventures, Sinai Ventures, Soo Boon Koh, Warren Hogarth, Zeev Ventures</t>
  </si>
  <si>
    <t>Abstract Ventures(www.abstractvc.com), Aquiline Technology Growth(www.atgvc.com), BNSG Capital(www.bnsgcapital.com), Comcast Ventures(www.comcastventures.com), Felicis Ventures(www.felicis.com), Fifth Wall Ventures(www.fifthwall.vc), GGV Capital(www.ggvc.com), Horizons Ventures(www.horizonsventures.com), iGlobe Partners(www.iglobepartners.com), Lennar(www.lennar.com), Moderne Ventures(www.moderneventures.com), Pipeline Capital Partners(www.pipeline.vc), Plug and Play Tech Center(www.plugandplaytechcenter.com), Propel Venture Partners(www.propel.vc), RPM Ventures(www.rpmvc.com), Sinai Ventures(www.sinaivc.com), Zeev Ventures(www.zeevventures.com)</t>
  </si>
  <si>
    <t>62158-06</t>
  </si>
  <si>
    <t>Hiogi</t>
  </si>
  <si>
    <t>hiogi solutions</t>
  </si>
  <si>
    <t>Operator of an online community intended to answer mobile questions. The company's community helps to answer questions that are submitted by Twitter, WAP and iPhone, enabling users to participate in exchanging know-how, experiences, advice, research results or plain information.</t>
  </si>
  <si>
    <t>community software, information software, knowledge community, technical know-how, web based answers, wireless email</t>
  </si>
  <si>
    <t>www.hiogi-solutions.com</t>
  </si>
  <si>
    <t>2014: 3, 2016: 3</t>
  </si>
  <si>
    <t>64082-26P</t>
  </si>
  <si>
    <t>Ofer Akerman</t>
  </si>
  <si>
    <t>Chief Executive Officer and Web Intelligence Expert</t>
  </si>
  <si>
    <t>ofer.akerman@hiogi.de</t>
  </si>
  <si>
    <t>+49 (0)30 9929 6936 0</t>
  </si>
  <si>
    <t>Schlüterstr. 45</t>
  </si>
  <si>
    <t>10707</t>
  </si>
  <si>
    <t>info@hiogi-solutions.com</t>
  </si>
  <si>
    <t>Media Ventures sold its stake in the company to an undisclosed investor in January 2012.</t>
  </si>
  <si>
    <t>A-Z Beteiligungen</t>
  </si>
  <si>
    <t>Hasso Plattner Ventures, Media Ventures</t>
  </si>
  <si>
    <t>Hasso Plattner Ventures(www.hp-ventures.com), Media Ventures(www.mediaventures.de)</t>
  </si>
  <si>
    <t>57406-33</t>
  </si>
  <si>
    <t>Highspot</t>
  </si>
  <si>
    <t>Showpad, KnowledgeTree, SalesLoft, MaestroQA, Yesware, ClearSlide, Sales Performance International, RingDNA, Outreach, Enhatch, PointDrive, Tilkee, SalesHood, CommercialTribe, OneSpot, HG Insights, Datanyze, Base (Sales Platform), Docalytics, Mindtickle, QStream, Refract, InsideSales.com, Bloomfire, Accent Technologies, Zift Solutions, Kana, Mediafly, Optymyze, LiveHive, Obero SPM, Skura, Revegy, Veelo, Allbound, Close.io, Channel Portal, Seismic (Business/Productivity Software), Entomo, Callidus Software, DialSource, Birch Worldwide, Velocify, Vendavo, Xactly, Salesvue, Octiv, Epsilon Data Management, PandaDoc, Apptus Technologies, Allego, Salesforce, DocSend, Channeltivity, LearnCore, Guru, BigTinCan, Rehearsal, Salescloser, Seismic</t>
  </si>
  <si>
    <t>Provider of a sales engagement platform designed to improve content optimization. The company's cloud-based platform offers flexible content management combined with semantic search, intelligent recommendations and customer relationship management integration, enabling businesses to engage more effectively with customers, drive increased revenue and customer satisfaction.</t>
  </si>
  <si>
    <t>content sharing, sales enablement analytics, sales enablement automation, sales enablement platform, sales engagement tool</t>
  </si>
  <si>
    <t>www.highspot.com</t>
  </si>
  <si>
    <t>2017: 75, 2018: 115, 2019: 200</t>
  </si>
  <si>
    <t>Competitor (New) BigTinCan, Competitor (New) Channeltivity, Competitor (New) DocSend, Competitor (New) Guru, Competitor (New) Rehearsal, Competitor (New) Salesforce</t>
  </si>
  <si>
    <t>Deal (New) Later Stage VC (Series D), 2019|Completed, Promotion (New) Oliver Sharp, Co-Founder, Board Member &amp; Chief Solution Architect, News (New) , Competitor (New) BigTinCan, Competitor (New) Channeltivity, Competitor (New) DocSend, Competitor (New) Guru, Competitor (New) Rehearsal, Competitor (New) Salesforce</t>
  </si>
  <si>
    <t>50408-56P</t>
  </si>
  <si>
    <t>Robert Wahbe</t>
  </si>
  <si>
    <t>robert@highspot.com</t>
  </si>
  <si>
    <t>+1 (888) 916-7768</t>
  </si>
  <si>
    <t>2401 Fourth Avenue</t>
  </si>
  <si>
    <t>98121</t>
  </si>
  <si>
    <t>The company raised $60 million of Series D venture funding in a deal led by ICONIQ Capital on June 4, 2019, putting the company's pre-money valuation at $470 million. Salesforce Ventures, OpenView Venture Partners, Sapphire Ventures, Madrona Venture Group and Shasta Ventures also participated in the round. The funds will be used for global expansion and further extension of the company's technology leadership in the sales enablement category.</t>
  </si>
  <si>
    <t>Acequia Capital, FUEL Capital, ICONIQ Capital, Madrona Venture Group, OpenView Venture Partners, Salesforce Ventures, Sapphire Ventures, Shasta Ventures, Soma Somasegar</t>
  </si>
  <si>
    <t>Acequia Capital(acecap.com), FUEL Capital(www.fuelcapital.com), ICONIQ Capital(www.iconiqcapital.com), Madrona Venture Group(www.madrona.com), OpenView Venture Partners(www.openviewpartners.com), Sapphire Ventures(www.sapphireventures.com), Shasta Ventures(www.shastaventures.com)</t>
  </si>
  <si>
    <t>Perkins Coie(Legal Advisor), Silicon Valley Bank(Debt Financing)</t>
  </si>
  <si>
    <t>58369-42</t>
  </si>
  <si>
    <t>High Mobility</t>
  </si>
  <si>
    <t>Provider of an automobile infotainment platform intended to build and test connected car applications and services easily. The company's platform includes dedicated developer workspaces of major car manufacturers as well as vehicle emulators for specific models, enabling developers to get the tools to test their applications in a virtual environment.</t>
  </si>
  <si>
    <t>Application Software, Automotive*, Social/Platform Software, Software Development Applications</t>
  </si>
  <si>
    <t>Industrials, Internet of Things, Mobile, TMT</t>
  </si>
  <si>
    <t>automobile information, automotive software, connected car, infotainment platform, internet of things</t>
  </si>
  <si>
    <t>www.high-mobility.com</t>
  </si>
  <si>
    <t>2013: 2, 2014: 3, 2016: 7</t>
  </si>
  <si>
    <t>52630-75P</t>
  </si>
  <si>
    <t>Risto Vahtra</t>
  </si>
  <si>
    <t>Co-Founder, Chief Executive Officer &amp; Managing Director</t>
  </si>
  <si>
    <t>risto@high-mobility.com</t>
  </si>
  <si>
    <t>Kastanienallee 29-30</t>
  </si>
  <si>
    <t>10435</t>
  </si>
  <si>
    <t>+49 (0)30 2656 5600</t>
  </si>
  <si>
    <t>berlin@high-mobility.com</t>
  </si>
  <si>
    <t>The company raised EUR 3 million of venture funding from IBB Beteiligungsgesellschaft, Fabian von Kuenheim and other undisclosed investors on July 3, 2018. The funding will be used to accelerate the work towards providing app developers with real car data through a standardised car API.</t>
  </si>
  <si>
    <t>Ali M.T. Alghanim, Fabian von Kuenheim, Hubraum, IBB Beteiligungsgesellschaft, Kuenheim Familiaris, Panasonic Ventures, Prototron, Startup Autobahn, Startupbootcamp</t>
  </si>
  <si>
    <t>Hubraum(www.hubraum.com), IBB Beteiligungsgesellschaft(www.ibb-bet.de), Kuenheim Familiaris(www.kuenheim.com), Panasonic Ventures(www.panasonicventures.com), Prototron(prototron.ee/en), Startup Autobahn(www.startup-autobahn.com), Startupbootcamp(www.startupbootcamp.org)</t>
  </si>
  <si>
    <t>13326-94</t>
  </si>
  <si>
    <t>High Impact CS</t>
  </si>
  <si>
    <t>DemandPoint</t>
  </si>
  <si>
    <t>High Impact</t>
  </si>
  <si>
    <t>Provider of material requirements planning software designed to manage and optimize supply chain and demand-driven manufacturing networks. The company's software includes management consulting, training and technology services for the strategic, tactical and operational management of supply chain networks and demand-driven manufacturing, enabling healthcare, manufacturing and equipment industries to reduce lead times and working capital while improving customer service levels and cash flow at the same time.</t>
  </si>
  <si>
    <t>lean operations, operations optimization, supply chain consulting, supply chain network optimization, value chain consulting service</t>
  </si>
  <si>
    <t>www.highimpactcs.com</t>
  </si>
  <si>
    <t>2006: 10, 2010: 25, 2015: 13</t>
  </si>
  <si>
    <t>155949-85P</t>
  </si>
  <si>
    <t>Sandy Goodwin</t>
  </si>
  <si>
    <t>+1 (888) 841-8621</t>
  </si>
  <si>
    <t>Ashby de la Zouch, United Kingdom</t>
  </si>
  <si>
    <t>High Impact House</t>
  </si>
  <si>
    <t>Leicestershire</t>
  </si>
  <si>
    <t>Ashby de la Zouch</t>
  </si>
  <si>
    <t>LE65 1SP</t>
  </si>
  <si>
    <t>+44 (0)78 3227 0381</t>
  </si>
  <si>
    <t>info@highimpactcs.com</t>
  </si>
  <si>
    <t>The company raised an estimated $1 million of Series D venture funding from undisclosed investors on June 1, 2012, putting the company's pre-money valuation at $8.5 million.</t>
  </si>
  <si>
    <t>Cordova Ventures, Inverness Graham, UPS Strategic Enterprise Fund</t>
  </si>
  <si>
    <t>Cordova Ventures(www.cordovaventures.com), Inverness Graham(www.invernessgraham.com)</t>
  </si>
  <si>
    <t>96983-65</t>
  </si>
  <si>
    <t>High Brew Coffee</t>
  </si>
  <si>
    <t>Armadillo Coffee Company</t>
  </si>
  <si>
    <t>Wandering Bear, Chameleon Cold Brew, Bean Box, Philz Coffee, KeVita, Peet's Coffee &amp; Tea</t>
  </si>
  <si>
    <t>Provider of coffee beverages designed to provide ready-to-drink brewed coffee drink. The company's beverages are made from Arabica beans that are cold brewed over time, resulting in a coffee that is naturally sweeter, containing more antioxidants, caffeine and less acidic, enabling consumers to enjoy a natural, refreshing and low sugar coffee drink.</t>
  </si>
  <si>
    <t>brewed coffee, brewing, caffeinated beverages, caffeinated coffee, coffee cans, coffee packs, coffeemakers, cold brew coffee, double espresso</t>
  </si>
  <si>
    <t>www.highbrewcoffee.com</t>
  </si>
  <si>
    <t>2015: 37, 2016: 40, 2017: 80, 2018: 86</t>
  </si>
  <si>
    <t>96706-00P</t>
  </si>
  <si>
    <t>david@highbrewcoffee.com</t>
  </si>
  <si>
    <t>+1 (512) 853-9696</t>
  </si>
  <si>
    <t>2810 South 1st Street</t>
  </si>
  <si>
    <t>info@highbrewcoffee.com</t>
  </si>
  <si>
    <t>The company raised an undisclosed amount of angel funding from Halsey, Huston Street and Kings of Leon on March 4, 2019. Lance Armstrong and Tim Love also participated in this round.</t>
  </si>
  <si>
    <t>Alumni Ventures Group, Ben Gaddis, Blake Wiley, Boulder Investment Group Reprise, Brian Goldberg, CAVU Venture Partners, Charles Street Partners, Chestnut Street Ventures, Halsey, Huston Street, Kings of Leon, Lance Armstrong, Strawberry Creek Ventures, The Yard Ventures, Tim Love</t>
  </si>
  <si>
    <t>Alumni Ventures Group(www.avgfunds.com), Boulder Investment Group Reprise(www.bigrventures.com), CAVU Venture Partners(www.cavuventures.com), Charles Street Partners(www.charlesstreetpartners.com), Chestnut Street Ventures(www.chestnutstreetventures.com), The Yard Ventures(www.theyardventures.com)</t>
  </si>
  <si>
    <t>9Gauge Partners(Advisor: General)</t>
  </si>
  <si>
    <t>54032-50</t>
  </si>
  <si>
    <t>Hicor</t>
  </si>
  <si>
    <t>OsComp Systems</t>
  </si>
  <si>
    <t>RIX Industries</t>
  </si>
  <si>
    <t>Provider of a next-generation gas compressor technology intended to drive natural gas into pipelines at a lower cost and with greater efficiency. The company's technology provides additional benefits including fewer moving parts, less vibration and noise, a variable pressure ratio and high suction efficiency, enabling the oil and gas companies to reduce complexity at the wellhead, leading to lower infrastructure costs and reduces fugitive emissions.</t>
  </si>
  <si>
    <t>Oil and Gas Equipment*</t>
  </si>
  <si>
    <t>artificial lift, compression technology, gas compression technology, gas equipment, oil and gas compression, wet gas compression</t>
  </si>
  <si>
    <t>www.hicor.com</t>
  </si>
  <si>
    <t>2013: 61, 2014: 38, 2015: 18, 2016: 15</t>
  </si>
  <si>
    <t>38624-23P</t>
  </si>
  <si>
    <t>Jeffrey Martini</t>
  </si>
  <si>
    <t>Chief Financial Officer, Chief Operating Officer, Secretary &amp; Treasurer</t>
  </si>
  <si>
    <t>jmartini@hicor.com</t>
  </si>
  <si>
    <t>+1 (281) 727-0250</t>
  </si>
  <si>
    <t>4140 World Houston Parkway</t>
  </si>
  <si>
    <t>77032</t>
  </si>
  <si>
    <t>info@hicor.com</t>
  </si>
  <si>
    <t>The company raised $3.1 million of venture funding from undisclosed investors on June 1, 2018. Prior to that, the company raised $4.42 million of venture funding from undisclosed investors on August 11, 2017.</t>
  </si>
  <si>
    <t>Chevron Technology Ventures, Equinor Technology Ventures, EV Private Equity, Greentown Labs, MassChallenge, Mertz Holdings, National Science Foundation, Startup Leadership</t>
  </si>
  <si>
    <t>EV Private Equity(www.evprivateequity.no), Greentown Labs(www.greentownlabs.com), MassChallenge(www.masschallenge.org), Mertz Holdings(www.mertzholdings.com), National Science Foundation(seedfund.nsf.gov), Startup Leadership(startupleadership.com)</t>
  </si>
  <si>
    <t>Amegy Bank of Texas(General Business Banking), Gesmer Updegrove(Legal Advisor), Hinckley Allen &amp; Snyder(Legal Advisor)</t>
  </si>
  <si>
    <t>152888-05</t>
  </si>
  <si>
    <t>Hibooks</t>
  </si>
  <si>
    <t>Otto Radio</t>
  </si>
  <si>
    <t>Scribd</t>
  </si>
  <si>
    <t>Provider of a personalized radio application designed to change the way users experience audio books. The company's application provides personalized playlists of news and podcasts, enabling users to see information through an augmented reality interface.</t>
  </si>
  <si>
    <t>Broadcasting, Radio and Television, Media and Information Services (B2B)*</t>
  </si>
  <si>
    <t>Augmented Reality, Mobile</t>
  </si>
  <si>
    <t>audio content, news app, personal radio app, podcast playlist, podcasting</t>
  </si>
  <si>
    <t>www.hibooks.com</t>
  </si>
  <si>
    <t>2016: 5, 2017: 10</t>
  </si>
  <si>
    <t>126781-39P</t>
  </si>
  <si>
    <t>Stanley Yuan</t>
  </si>
  <si>
    <t>stanley.yuan@ottoradio.com</t>
  </si>
  <si>
    <t>+1 (415) 988-9615</t>
  </si>
  <si>
    <t>185 Berry Street</t>
  </si>
  <si>
    <t>hello@ottoradio.com</t>
  </si>
  <si>
    <t>The company raised an undisclosed amount of venture funding from Samsung NEXT Ventures on January 4, 2017. The company intends to use the funds to expand its footprint in the personalized media space and key integrations with premium content providers. Previously, the company raised $3 million of seed funding from Morning Crest Capital, Byron Asset Management and other undisclosed family offices on January 29, 2016, putting the company's pre-money valuation at $7.5 million.</t>
  </si>
  <si>
    <t>Byron Asset Management, Morning Crest Capital, Samsung NEXT Ventures</t>
  </si>
  <si>
    <t>Morning Crest Capital(www.morningcrestcapital.com), Samsung NEXT Ventures(www.samsungnext.com)</t>
  </si>
  <si>
    <t>222055-93</t>
  </si>
  <si>
    <t>Heyday Wellness</t>
  </si>
  <si>
    <t>Heyday</t>
  </si>
  <si>
    <t>Dermalogica, Perricone MD, It Cosmetics, Milk Makeup, Burt's Bees, The Organic Pharmacy, Snowberry, Molton Brown, Jurlique, Per-fékt Beauty, Murad, SAHI Cosmetics</t>
  </si>
  <si>
    <t>Provider of customized facial treatment intended to build a healthy skincare routine. The company's customized facial treatment includes a deep cleanse, skin analysis, exfoliation, extractions, mask, hydration and SPF protection, offering users a tailored skincare treatment to keep their skin at its everyday best, by expert therapists with clean products.</t>
  </si>
  <si>
    <t>Other Consumer Non-Durables, Personal Products*</t>
  </si>
  <si>
    <t>curated product, customized facial, customized facial treatment, facial shops, skin therapist, skin therapists, skincare destination, tailored skincare treatment</t>
  </si>
  <si>
    <t>www.heydayskincare.com</t>
  </si>
  <si>
    <t>174025-99P</t>
  </si>
  <si>
    <t>Adam Ross</t>
  </si>
  <si>
    <t>adam@thinkheyday.com</t>
  </si>
  <si>
    <t>166 Bowery</t>
  </si>
  <si>
    <t>Suite 2F</t>
  </si>
  <si>
    <t>The company raised $8 million of Series A venture funding in a deal led by M3 Ventures, Fifth Wall Ventures and CircleUp Network on October 26, 2018. Lerer Hippeau Ventures and Brainchild Funding also participated in the round. The company intends to use the capital to expand its brick-and-mortar stores in California and New York, make organizational structure investments, including key new team member hires to build on an established team of 200+ across shops and a central support headquarters in New York. Previously, the company raised $3 million of seed funding in a deal led by Lerer Hippeau Ventures on November 7, 2017.</t>
  </si>
  <si>
    <t>Brainchild Holdings, CircleUp Network, Fifth Wall Ventures, Lerer Hippeau, M3 Ventures, Rosecliff Venture Partners</t>
  </si>
  <si>
    <t>Brainchild Holdings(www.brainchild.co), CircleUp Network(www.circleup.com), Fifth Wall Ventures(www.fifthwall.vc), Lerer Hippeau(www.lererhippeau.com), M3 Ventures(www.m3ventures.com), Rosecliff Venture Partners(www.rosecliffvc.com)</t>
  </si>
  <si>
    <t>Bond Street Marketplace(Debt Financing), Goodwin(Legal Advisor)</t>
  </si>
  <si>
    <t>54825-76</t>
  </si>
  <si>
    <t>Herit</t>
  </si>
  <si>
    <t>Verytech</t>
  </si>
  <si>
    <t>Provider of intelligent services and Internet of Things (IoT) tools designed to cater the needs of the telecommunication industry. The company's tools provide VoIP, including session initiation protocol, application servers, media servers, IP unified messaging systems and converged messaging services, enabling telecom carriers to connect sensors and devices and learn about complex device management structure or its network protocols.</t>
  </si>
  <si>
    <t>Internet Service Providers*, Other Communications and Networking</t>
  </si>
  <si>
    <t>Internet of Things</t>
  </si>
  <si>
    <t>application server, connectivity app, iot device, iot-solution, media server, multimedia service, telecom carrier</t>
  </si>
  <si>
    <t>www.herit.net</t>
  </si>
  <si>
    <t>68594-50P</t>
  </si>
  <si>
    <t>Han Mi-Sook</t>
  </si>
  <si>
    <t>+82 (0)26 000 9600</t>
  </si>
  <si>
    <t>4F, Jin Young Building 613</t>
  </si>
  <si>
    <t>Seolleung-ro</t>
  </si>
  <si>
    <t>135-280</t>
  </si>
  <si>
    <t>+82 (0)2 553 9635</t>
  </si>
  <si>
    <t>marketing@herit.net</t>
  </si>
  <si>
    <t>The company raised an undisclosed amount of venture funding from ePlanet Capital in June 2004.</t>
  </si>
  <si>
    <t>ePlanet Capital, InterVest Company, Samsung Venture Investment</t>
  </si>
  <si>
    <t>ePlanet Capital(www.eplanetcapital.com), InterVest Company(www.intervest.co.kr), Samsung Venture Investment(www.samsungventures.com)</t>
  </si>
  <si>
    <t>55499-23</t>
  </si>
  <si>
    <t>Helpshift</t>
  </si>
  <si>
    <t>Infinitely Beta</t>
  </si>
  <si>
    <t>Mobify, Sparkcentral, Airship, Brand Embassy, Mowingo, Medallia, UserTesting, Spredfast, Tulip, Mad Mobile, Elevio, Freshworks, Comm100, Swrve, Aptos, HappyFox, Nanorep, Leanplum, MixPanel, Help Scout, Kayako, Lithium Technologies, Zendesk, OpinionLab, Apptentive</t>
  </si>
  <si>
    <t>Provider of customer engagement services designed to help businesses to handle customer conversations for forward-thinking businesses. The company's services bridge the disconnect between conventional customer service channels like email and phone support and a growing consumer base that lives in a mobile-first, messaging-based world, enabling businesses to meet the on-demand consumer expectations and create happier customers in the process.</t>
  </si>
  <si>
    <t>Application Software, Business/Productivity Software*, Media and Information Services (B2B), Other Commercial Services</t>
  </si>
  <si>
    <t>Artificial Intelligence &amp; Machine Learning, Marketing Tech, Mobile, TMT</t>
  </si>
  <si>
    <t>customer engagement, customer expectation, customer focused, customer service, customer support, support service</t>
  </si>
  <si>
    <t>www.helpshift.com</t>
  </si>
  <si>
    <t>2014: 39, 2016: 97, 2018: 150</t>
  </si>
  <si>
    <t>43942-87P</t>
  </si>
  <si>
    <t>Abinash Tripathy</t>
  </si>
  <si>
    <t>abinash@helpshift.com</t>
  </si>
  <si>
    <t>+1 (888) 983-2664</t>
  </si>
  <si>
    <t>343 Sansome Street</t>
  </si>
  <si>
    <t>info@helpshift.com</t>
  </si>
  <si>
    <t>The company received $5 million of debt financing in the form of a senior debt from Bridge Bank on August 20, 2018.</t>
  </si>
  <si>
    <t>Cisco Investments, Intel Capital, M12, Nexus Venture Partners, Plug and Play Tech Center, Puneet Chawla, Salesforce Ventures, True Ventures, Visionnaire Ventures</t>
  </si>
  <si>
    <t>Cisco Investments(www.ciscoinvestments.com), Intel Capital(www.intelcapital.com), M12(www.m12.vc), Nexus Venture Partners(www.nexusvp.com), Plug and Play Tech Center(www.plugandplaytechcenter.com), True Ventures(www.trueventures.com), Visionnaire Ventures(www.visionnaire.vc)</t>
  </si>
  <si>
    <t>Bridge Bank(Debt Financing), Gunderson Dettmer(Legal Advisor)</t>
  </si>
  <si>
    <t>107565-40</t>
  </si>
  <si>
    <t>HelloTech</t>
  </si>
  <si>
    <t>Big Monday</t>
  </si>
  <si>
    <t>CloudFactory</t>
  </si>
  <si>
    <t>Provider of an on demand in-home tech support and technology sales service intended to simplify the process of new home technologies. The company's services include computer setup, virus removal, data backup, smart TV setup, iOS training and tech consultation, enabling consumers to get experienced tech-savvy college students at an hourly rate anytime.</t>
  </si>
  <si>
    <t>support for technology, tech support, technology consultation, technology upgradation</t>
  </si>
  <si>
    <t>www.hellotech.com</t>
  </si>
  <si>
    <t>2015: 16, 2016: 51, 2019: 90</t>
  </si>
  <si>
    <t>39008-53P</t>
  </si>
  <si>
    <t>Richard Wolpert</t>
  </si>
  <si>
    <t>richard@hellotech.com</t>
  </si>
  <si>
    <t>+1 (800) 640-9005</t>
  </si>
  <si>
    <t>1762 Westwood Boulevard</t>
  </si>
  <si>
    <t>info@hellotech.com</t>
  </si>
  <si>
    <t>The company raised $20.00 million of Series B venture funding from undisclosed investors on December 21, 2018, putting the company's pre-money valuation at $70 million.</t>
  </si>
  <si>
    <t>Accel, AI List, Amplify.LA, Assurant Growth Investing, Baroda Ventures, Basepoint Ventures, Canyon Creek Capital, Collaborative Fund, Correlation Ventures, Crosscut Ventures, Diego Berdakin, Expansion Venture Capital, Greycroft, Idealab, Karlin Ventures, Kris Bjornerud, Liberty Global Ventures, Madrona Venture Group, Michael Liou, Moderne Ventures, Ronald Burkle, Ryan Melohn, Saints Capital, Silicon Valley Bank, Thomas McInerney, Upfront Ventures, Wavemaker Partners, Wonder Ventures</t>
  </si>
  <si>
    <t>Accel(www.accel.com), AI List(www.ailist.io), Amplify.LA(www.amplify.la), Assurant Growth Investing(www.assurantgrowthinvesting.com), Baroda Ventures(www.barodaventures.com), Basepoint Ventures(www.basepointvc.com), Canyon Creek Capital(www.canyoncreekcapital.com), Collaborative Fund(www.collaborativefund.com), Correlation Ventures(www.correlationvc.com), Crosscut Ventures(www.crosscut.vc), Expansion Venture Capital(www.expansionvc.com), Greycroft(www.greycroft.com), Idealab(www.idealab.com), Karlin Ventures(www.karlinvc.com), Madrona Venture Group(www.madrona.com), Moderne Ventures(www.moderneventures.com), Saints Capital(www.saintscapital.com), Silicon Valley Bank(www.svb.com), Thomas McInerney(www.tgm.com), Upfront Ventures(www.upfront.com), Wavemaker Partners(www.wavemaker.vc), Wonder Ventures(www.wondervc.com)</t>
  </si>
  <si>
    <t>Montgomery &amp; Company(Advisor: General), Stubbs Alderton &amp; Markiles(Legal Advisor)</t>
  </si>
  <si>
    <t>Stubbs Alderton &amp; Markiles(Legal Advisor), Telos Advisors(Advisor: General)</t>
  </si>
  <si>
    <t>149131-00</t>
  </si>
  <si>
    <t>Heleo Media</t>
  </si>
  <si>
    <t>Heleo</t>
  </si>
  <si>
    <t>Provider of an online media platform designed to interact with writers and thinkers. The company's online media platform organizes online content around each creator's own personal brand into an online media hub, focusing on high-profile thought leaders, enabling readers to make changes in their lives and the world.</t>
  </si>
  <si>
    <t>Movies, Music and Entertainment, Social/Platform Software*</t>
  </si>
  <si>
    <t>ideas sharing, online media hub, online media platform, readers platform, thought leadership, viral content</t>
  </si>
  <si>
    <t>www.heleo.com</t>
  </si>
  <si>
    <t>38719-00P</t>
  </si>
  <si>
    <t>Rufus Griscom</t>
  </si>
  <si>
    <t>rufus@heleo.com</t>
  </si>
  <si>
    <t>info@heleo.com</t>
  </si>
  <si>
    <t>The company raised $2.51 million of seed funding from iNovia Capital, Comcast Ventures and Greycroft Partners on December 1, 2015, putting the company's pre-money valuation at $6.56 million. Greylock Partners, Bertelsmann Digital Media Investments, The New York Times, Betaworks, Funders Guild and Bloomberg Beta also participated in this round.</t>
  </si>
  <si>
    <t>Bertelsmann Digital Media Investments, Betaworks Ventures, Bloomberg Beta, Comcast Ventures, FoundersGuild, Greycroft, Greylock Partners, Inovia Capital, The New York Times</t>
  </si>
  <si>
    <t>Bertelsmann Digital Media Investments(www.bdmifund.com), Betaworks Ventures(www.betaworksventures.com), Bloomberg Beta(www.bloombergbeta.com), Comcast Ventures(www.comcastventures.com), FoundersGuild(www.foundersguild.com), Greycroft(www.greycroft.com), Greylock Partners(www.greylock.com), Inovia Capital(www.inovia.vc)</t>
  </si>
  <si>
    <t>64233-28</t>
  </si>
  <si>
    <t>Heetch</t>
  </si>
  <si>
    <t>Curb Mobility, Cabify, Getaround, Limos.com, Wheely, Didi Chuxing, Grab Holdings, Summon, Easy Taxi, SaferTaxi, Careem, Ola, LeCab, Uber, Djump</t>
  </si>
  <si>
    <t>Developer of a ride sharing application designed to help users enjoy their night out without worrying about transportation. The company's ride sharing application matches drivers with passengers who request rides through the application which is specifically targeted for late nights, providing users with a more convenient and safer alternative to taxis.</t>
  </si>
  <si>
    <t>ridesharing app, ridesharing application, ridesharing platform, taxi service, transportation books</t>
  </si>
  <si>
    <t>www.heetch.com</t>
  </si>
  <si>
    <t>94382-74P</t>
  </si>
  <si>
    <t>Mathieu Jacob</t>
  </si>
  <si>
    <t>mathieu@heetch.com</t>
  </si>
  <si>
    <t>6 Rue Jean Mace</t>
  </si>
  <si>
    <t>75011</t>
  </si>
  <si>
    <t>contact@heetch.com</t>
  </si>
  <si>
    <t>The company raised $38 million of Series B venture funding in a deal led by Total Energy Ventures and Cathay Innovation on May 9, 2019, putting the company's pre-money valuation at estimated $112 million. InnovAllianz, Alven Capital Partners, Felix Capital, Idinvest Partners and Via ID also participated in the round. The funds will be used to bring the company to more markets, such as Algeria, Cameroon and Senegal later this year, as well as to continue hiring, particularly engineers in Paris.</t>
  </si>
  <si>
    <t>Alven Capital Partners, Cathay Innovation, Felix Capital, Idinvest Partners, InnovAllianz, Kima Ventures, TheFamily, Total Energy Ventures, Via ID</t>
  </si>
  <si>
    <t>Alven Capital Partners(www.alven.co), Cathay Innovation(www.cathayinnovation.com), Felix Capital(www.felixcap.com), Idinvest Partners(www.idinvest.com), Kima Ventures(www.kimaventures.com), TheFamily(www.thefamily.co), Via ID(www.via-id.com)</t>
  </si>
  <si>
    <t>2CFinance(Consulting), Orrick, Herrington &amp; Sutcliffe(Legal Advisor)</t>
  </si>
  <si>
    <t>60765-31</t>
  </si>
  <si>
    <t>Heavybit</t>
  </si>
  <si>
    <t>Provider of incubation program for software startups. The company offers established startups office space, advice and other resources for B to D companies for up to nine months.</t>
  </si>
  <si>
    <t>Consulting Services (B2B)*, Education and Training Services (B2B)</t>
  </si>
  <si>
    <t>acceleration program, education training, incubation program, office space</t>
  </si>
  <si>
    <t>www.heavybit.com</t>
  </si>
  <si>
    <t>2014: 10, 2016: 13</t>
  </si>
  <si>
    <t>55686-07P</t>
  </si>
  <si>
    <t>James Lindenbaum</t>
  </si>
  <si>
    <t>Founder &amp; Part-time Partner</t>
  </si>
  <si>
    <t>james@heavybit.com</t>
  </si>
  <si>
    <t>325 9th Street</t>
  </si>
  <si>
    <t>info@heavybit.com</t>
  </si>
  <si>
    <t>The company raised an undisclosed amount of venture funding from Data Collective, Redpoint Ventures and Baseline Ventures on May 17, 2013. IA Ventures, Reed Elsevire Ventures, Lowercase Capital, John Dahl, Jeremy LaTrasse, Eric Frenkiel, Derek Collison, Harrison Metal Capital, Ignition Partners, SV Angel, Accel Partners, John Dahl, FUEL Capital and Salesforce Ventures also participated in this round.</t>
  </si>
  <si>
    <t>Accel, Baseline Ventures, Data Collective, Derek Collison, Eric Frenkiel, FUEL Capital, Harrison Metal Capital, IA Ventures, Ignition Partners, Individual Investor, Jeremy LaTrasse, John Dahl, Lowercase Capital, Redpoint Ventures, REV Venture Partners, Salesforce Ventures, SV Angel</t>
  </si>
  <si>
    <t>Accel(www.accel.com), Baseline Ventures(www.baselinev.com), Data Collective(www.dcvc.com), FUEL Capital(www.fuelcapital.com), Harrison Metal Capital(www.harrisonmetal.com), IA Ventures(www.iaventures.com), Ignition Partners(www.ignitionpartners.com), Lowercase Capital(www.lowercasecapital.com), Redpoint Ventures(www.redpoint.com), REV Venture Partners(www.rev.vc), SV Angel(www.svangel.com)</t>
  </si>
  <si>
    <t>56612-62</t>
  </si>
  <si>
    <t>Heap</t>
  </si>
  <si>
    <t>Decibel Insight, MixPanel, Amplitude, Leanplum, Segment, CleverTap, Airship, Boomtrain, Movable Ink, Monetate, Absolutdata Intelligent Analytics, RichRelevance, Aptrinsic, Clicktale, WebEngage, MoEngage, Swrve, Domo, Feedburner, Localytics, ContentSquare</t>
  </si>
  <si>
    <t>Developer of mobile and web analytics tools designed to automatically capture all user data. The company's tools automatically capture every user interaction including clicks, taps, gestures, form submissions, page views and more, with no extra code, enabling companies to identify and understand their users in-depth.</t>
  </si>
  <si>
    <t>analytics dashboard tools, app analytics, ios analytics, user analytics tools, web analytics</t>
  </si>
  <si>
    <t>heap.io</t>
  </si>
  <si>
    <t>2015: 18, 2017: 45, 2018: 100</t>
  </si>
  <si>
    <t>48551-50P</t>
  </si>
  <si>
    <t>Matin Movassate</t>
  </si>
  <si>
    <t>matin@heapanalytics.com</t>
  </si>
  <si>
    <t>+1 (415) 938-9398</t>
  </si>
  <si>
    <t>460 Bryant Street</t>
  </si>
  <si>
    <t>The company raised $27 million of Series B venture funding in a deal led by New Enterprise Associates and Menlo Ventures on May 4, 2017, putting the company's pre-money valuation at $130 million. Initialized Capital Management and Pear also participated in the round. The funds will be used for more hiring and product development. Previously, the company raised $13 million of Series A venture funding in a deal led by New Enterprise Associates on August 18, 2016, putting the company's pre-money valuation at $27 million. Menlo Ventures, Y Combinator, Endeavor Partners, Kindling Capital, SV Angel, Initialized Capital, Salesforce Ventures, William Morris Endeavor Entertainment, Signatures Capital, Redpoint Partners, Pear Ventures, StartX, Netprice, RTA Capital, Sherpalo Ventures and 7 individual investors also participated in the round</t>
  </si>
  <si>
    <t>Alexis Ohanian, Bobby Yazdani, Endeavor, Endeavour, Garry Tan, Harj Taggar, Initialized Capital Management, Joshua Reeves, Kavitark Shriram, Kindling Capital, Menlo Ventures, NetPrice, New Enterprise Associates, Pear, Redpoint Partners, RTA Capital, Salesforce Ventures, Sam Altman, Sherpalo Ventures, Signatures Capital, StartX, SV Angel, Y Combinator</t>
  </si>
  <si>
    <t>Alexis Ohanian(alexisohanian.com), Endeavor(www.endeavorco.com), Endeavour(www.endeavour.partners), Harj Taggar(harjtaggar.com), Initialized Capital Management(www.initialized.com), Kindling Capital(www.kindlingcapital.com), Menlo Ventures(www.menlovc.com), NetPrice(www.netprice.com), New Enterprise Associates(www.nea.com), Pear(www.pear.vc), RTA Capital(www.rtacapital.com), Sherpalo Ventures(www.sherpalo.com), Signatures Capital(www.signaturescapital.com), StartX(www.startx.com), SV Angel(www.svangel.com), Y Combinator(www.ycombinator.com)</t>
  </si>
  <si>
    <t>158963-50</t>
  </si>
  <si>
    <t>Healthy.io</t>
  </si>
  <si>
    <t>OwnHealth</t>
  </si>
  <si>
    <t>Developer of a urinalysis mobile application designed to help users perform home-based urine test. The company's computer vision and artificial intelligence algorithms based platform captures test strip images using smartphone camera, analyze chemical color of urine test strips and give instant reports, enabling patients with chronic kidney diseases and other urology problems to perform urine tests at home without a hassle.</t>
  </si>
  <si>
    <t>Application Software, Other Healthcare Technology Systems*</t>
  </si>
  <si>
    <t>Artificial Intelligence &amp; Machine Learning, HealthTech, Mobile, TMT</t>
  </si>
  <si>
    <t>urinalysis app, urinalysis platform, urinalysis technology, urine testing app, urine testing application</t>
  </si>
  <si>
    <t>www.healthy.io</t>
  </si>
  <si>
    <t>135235-72P</t>
  </si>
  <si>
    <t>Yonatan Adiri</t>
  </si>
  <si>
    <t>yonatan@healthy.io</t>
  </si>
  <si>
    <t>+972 (0)3 567 8910</t>
  </si>
  <si>
    <t>Ibn Gabirol 2</t>
  </si>
  <si>
    <t>6407702</t>
  </si>
  <si>
    <t>The company raised $18 million of Series B venture funding in a deal led by Aleph on February 5, 2019. Samsung NEXT Ventures and other undisclosed investors also participated in the round. The funds will be used to scale the company's operations in the US and to continue the service's rollout in the UK.</t>
  </si>
  <si>
    <t>Aleph, Ciudad De Las Ideas, Quantum Pacific Group, Samsung NEXT Ventures, The NHS Innovation Accelerator</t>
  </si>
  <si>
    <t>Aleph(www.aleph.vc), Ciudad De Las Ideas(ciudaddelasideas.com), Samsung NEXT Ventures(www.samsungnext.com), The NHS Innovation Accelerator(www.nhsaccelerator.com)</t>
  </si>
  <si>
    <t>51708-52</t>
  </si>
  <si>
    <t>Healthline Media</t>
  </si>
  <si>
    <t>Healthline Networks, InterMap Systems, YourDoctor.com</t>
  </si>
  <si>
    <t>Healthline</t>
  </si>
  <si>
    <t>Remedy Health Media, Doctor On Demand, HealthTap, Grand Rounds, Lemonaid Health, Sharecare, Healthpons, Kyruus, Lifescript, Vezeeta.com, Compass Professional Health Services, MyMedicalShopper, Vitals, Cambia Health Solutions, PokitDok, Amino (health care platform), WebMD Health, Mayo Clinic Health Solutions, Dotdash, Everyday Health Group</t>
  </si>
  <si>
    <t>Provider of health information and technology services intended to serve health seekers. The company's platform allows blue-chip pharmaceutical firms reach consumers through content marketing, branded campaigns and targeted display advertising and provides SaaS applications to health plans, providers and ACOs for mining structured and unstructured text and data, enabling people to make informed healthcare decisions.</t>
  </si>
  <si>
    <t>Information Services (B2C)*, Other Healthcare Technology Systems</t>
  </si>
  <si>
    <t>consumer health, health activation platform, health advertising, health information</t>
  </si>
  <si>
    <t>www.healthline.com</t>
  </si>
  <si>
    <t>1999: 32, 2000: 32, 2001: 32, 2002: 32, 2003: 32, 2004: 32, 2005: 3, 2006: 12, 2007: 40, 2008: 40, 2009: 40, 2010: 40, 2013: 105, 2014: 176, 2015: 192, 2016: 206, 2019: 285</t>
  </si>
  <si>
    <t>66801-25P</t>
  </si>
  <si>
    <t>David Kopp</t>
  </si>
  <si>
    <t>dkopp@healthline.com</t>
  </si>
  <si>
    <t>+1 (415) 281-3100</t>
  </si>
  <si>
    <t>info@healthline.com</t>
  </si>
  <si>
    <t>The company completed a $137 million dividend recapitalization on November 20, 2018. As part of the transaction, the company received $137 million of debt financing in the form of a first lien credit facility from Antares Capital and Barings.</t>
  </si>
  <si>
    <t>Summit Partners</t>
  </si>
  <si>
    <t>Aetna Ventures, Comcast Ventures, GE Capital, JHK Investments, Kaiser Permanente Ventures, Mitsui Global Investment, NBCUniversal, Patricia Industries, Peacock Equity, REV Venture Partners, U.S. News &amp; World Report, VantagePoint Capital Partners</t>
  </si>
  <si>
    <t>Summit Partners(www.summitpartners.com)</t>
  </si>
  <si>
    <t>Comcast Ventures(www.comcastventures.com), GE Capital(www.gecapital.com), JHK Investments(www.jhkinvestments.org), Kaiser Permanente Ventures(www.kpventures.com), Mitsui Global Investment(www.mitsui-global.com), NBCUniversal(www.nbcuniversal.com), Patricia Industries(www.patriciaindustries.com), REV Venture Partners(www.rev.vc), U.S. News &amp; World Report(www.usnews.com), VantagePoint Capital Partners(www.vpcp.com)</t>
  </si>
  <si>
    <t>Arete Partners(Consulting), Calibre One(Consulting), Morgan, Lewis &amp; Bockius(Legal Advisor)</t>
  </si>
  <si>
    <t>Antares Capital(Debt Financing), Barings(Debt Financing), GCA Advisors(Advisor: General), Houlihan Lokey(Advisor: General), Morgan, Lewis &amp; Bockius(Legal Advisor), Silicon Valley Bank(Debt Financing), Trinity Capital Investment(Debt Financing)</t>
  </si>
  <si>
    <t>98415-37</t>
  </si>
  <si>
    <t>HealthifyMe</t>
  </si>
  <si>
    <t>Caeruz Ventures</t>
  </si>
  <si>
    <t>MyFitnessPal, Runtastic, Mobiefit, GOQii, Fitso, Obino</t>
  </si>
  <si>
    <t>Provider of an online fitness application intended to help people reach their fitness goals. The company's online fitness application is a artificial intelligence-powered fitness coach uses automated analytics and track calories of Indian dishes, enabling trainers and nutritionists to get online fitness consultation and meet customized health goals easily.</t>
  </si>
  <si>
    <t>Artificial Intelligence &amp; Machine Learning, HealthTech, LOHAS &amp; Wellness, Mobile, SaaS, TMT, Wearables &amp; Quantified Self</t>
  </si>
  <si>
    <t>calorie tracking solutions, fitness application, fitness guidance services, fitness tracking, health and fitness, online fitness coaches</t>
  </si>
  <si>
    <t>www.healthifyme.com</t>
  </si>
  <si>
    <t>2015: 51, 2016: 208, 2018: 600</t>
  </si>
  <si>
    <t>116897-86P</t>
  </si>
  <si>
    <t>Tushar Vashisht</t>
  </si>
  <si>
    <t>tushar@healthifyme.com</t>
  </si>
  <si>
    <t>Number 621, 3rd Floor, 12th Main Road</t>
  </si>
  <si>
    <t>HAL 2nd Stage, Indiranagar</t>
  </si>
  <si>
    <t>560038</t>
  </si>
  <si>
    <t>info@healthifyme.com</t>
  </si>
  <si>
    <t>The company raised $18 million of Series B venture funding in a deal led by Sistema Asia Fund and InnoVen Capital on November 19, 2018. Inventus Capital Partners, Blume Venture Advisors, IDG Capital, NB Ventures, Samsung NEXT Ventures, Dream Incubator, Atlas Ventures, Chiratae Ventures and Atlas Asset Management also participated in the round. The company intends to use the funds to accelerate its presence in India by expanding into more markets and offering health foods, diagnostics and insurance products beyond its digital nutrition/fitness services portfolio, and to further its AI and Data Science capabilities.</t>
  </si>
  <si>
    <t>Amit Gupta, Arun Seth, Atlas Asset Management, Atlas Ventures, Bala Parthasarathy, Blume Venture Advisors, Chiratae Ventures, Dream Incubator, Gopal Srinivasan, IDG Capital, InnoVen Capital, Inventus Capital Partners, Kunal Bajaj, Leonie Hill Capital, Micromax Informatics, Microsoft ScaleUp, MyFitnessPal, NB Ventures, Rajesh Mushroowala, Roopa Nath, Samsung NEXT Ventures, Sistema Asia Capital, SRI Capital, Srini Koppulu</t>
  </si>
  <si>
    <t>Atlas Asset Management(www.atlasam.com.sg), Atlas Ventures(www.atlas.ventures), Blume Venture Advisors(www.blume.vc), Chiratae Ventures(www.idgvcindia.com), Dream Incubator(www.dreamincubator.co.jp), IDG Capital(en.idgcapital.com), InnoVen Capital(www.innovencapital.com), Inventus Capital Partners(www.inventuscap.com), Leonie Hill Capital(www.leoniehillcapital.com), Micromax Informatics(www.micromaxinfo.com), Microsoft ScaleUp(startups.microsoft.com/en-us/scale-up), MyFitnessPal(www.myfitnesspal.com), Samsung NEXT Ventures(www.samsungnext.com), Sistema Asia Capital(sistemaasiacapital.com), SRI Capital(www.sricapital.com)</t>
  </si>
  <si>
    <t>Gunderson Dettmer(Legal Advisor), The Rainmaker Group(Advisor: General)</t>
  </si>
  <si>
    <t>150075-91</t>
  </si>
  <si>
    <t>HeadSpin</t>
  </si>
  <si>
    <t>SmartBear, Bitbar, Postman, SonarSource, TestObject, Apiary, BlazeMeter, Mobile Labs, Ranorex, Testim.io, Vector Software, Code Climate, TestFairy, Sauce Labs, Perfecto, Kobiton, Tricentis, Apigee, Gelato.io, pCloudy.com, New Relic, Instant API, Ldra | info@ldra.com | www.ldra.com, Runscope, Micro Focus, RadView Software, Qlik Technologies, Checkmarx, Veracode, CA Technologies, MuleSoft, APImetrics, Jitterbit, Catchpoint</t>
  </si>
  <si>
    <t>Provider of a global testing platform designed to accelerate the world's transition to mobile. The company's platform uses machine learning algorithms to proactively uncover hidden insights through learning, enabling software developers to remotely test and monitor mobile applications around the world.</t>
  </si>
  <si>
    <t>Application Software, Business/Productivity Software, Software Development Applications*</t>
  </si>
  <si>
    <t>global test platform, global testing platform, mobile application management, testing platform</t>
  </si>
  <si>
    <t>www.headspin.io</t>
  </si>
  <si>
    <t>123579-01P</t>
  </si>
  <si>
    <t>Brien Colwell</t>
  </si>
  <si>
    <t>brien@headspin.io</t>
  </si>
  <si>
    <t>+1 (424) 341-4323</t>
  </si>
  <si>
    <t>777 West El Camino Real</t>
  </si>
  <si>
    <t>Suite 720</t>
  </si>
  <si>
    <t>The company raised $20 million of Series B venture funding in a deal led by ICONIQ Capital on October 30, 2018, putting the company's pre-money valuation at $490 million. GV, Wipro Ventures, Telstra Ventures, Ericsson Ventures, Battery Ventures, EQT Ventures, Digital Horizon Capital, KAAJ Ventures, Nexus Venture Partners, Next World Capital, Sierra Ventures, Adam D'Angelo, Ross Mason, Ryan Hoover and Kearny Jackson also participated in the round.</t>
  </si>
  <si>
    <t>Adam D'Angelo, Battery Ventures, Blue Collective, Digital Horizon Capital, EQT Ventures, Ericsson Ventures, Felicis Ventures, Foundation Capital, GV, ICONIQ Capital, Iconiq Lab, Ilya Sukhar, JioGenNext, KAAJ Ventures, Kearny Jackson, Next World Capital, Nexus Venture Partners, Pavan Ongole, Pratyus Patnaik, Punit Soni, Ross Mason, Ryan Hoover, Saran Chatterjee, Sierra Ventures, SV Angel, Telstra Ventures, Webb Investment Network, Wipro Ventures</t>
  </si>
  <si>
    <t>Battery Ventures(www.battery.com), Blue Collective(www.bluecollective.com), Digital Horizon Capital(www.dh.vc), EQT Ventures(www.eqtventures.com), Felicis Ventures(www.felicis.com), Foundation Capital(www.foundationcapital.com), GV(www.gv.com), ICONIQ Capital(www.iconiqcapital.com), Iconiq Lab(www.iconiqlab.com), Ilya Sukhar(ilya.sukhar.com), JioGenNext(www.jiogennext.com), KAAJ Ventures(www.kaajventures.com), Next World Capital(www.nextworldcap.com), Nexus Venture Partners(www.nexusvp.com), Sierra Ventures(www.sierraventures.com), SV Angel(www.svangel.com), Telstra Ventures(www.telstraventures.com), Webb Investment Network(www.winfunding.com)</t>
  </si>
  <si>
    <t>146494-36</t>
  </si>
  <si>
    <t>HD Medical</t>
  </si>
  <si>
    <t>Developer of a visual stethoscope designed to detect cardiac anomalies. The company's stethoscope displays heart waveforms and gives the ability to record the results, enabling users to detect cardiac anomalies in early stages.</t>
  </si>
  <si>
    <t>Diagnostic Equipment, Monitoring Equipment*, Other Healthcare Technology Systems</t>
  </si>
  <si>
    <t>cardiac condition treatment, heart monitor, medical technology, stethoscope, visual stethoscope product</t>
  </si>
  <si>
    <t>www.hdmedicalgroup.com</t>
  </si>
  <si>
    <t>119122-21P</t>
  </si>
  <si>
    <t>Arvind Thiagarajan</t>
  </si>
  <si>
    <t>arvind@hdmedicalgroup.com</t>
  </si>
  <si>
    <t>+1 (408) 338-6244</t>
  </si>
  <si>
    <t>info@hdmedicalgroup.com</t>
  </si>
  <si>
    <t>The company raised $4.38 million of Series A venture funding from Maxim Ventures and other undisclosed investors on February 1, 2019, putting the company's pre-money valuation at an estimated $17.5 million. Out of the total amount, $1.78 million was raised in the form of convertible debt and subsequently was converted to Series A preferred equity.</t>
  </si>
  <si>
    <t>Golden Impressions Marketing(Consulting)</t>
  </si>
  <si>
    <t>182469-25</t>
  </si>
  <si>
    <t>Hawthorne (Personal Care Products)</t>
  </si>
  <si>
    <t>Hawthorne</t>
  </si>
  <si>
    <t>Provider of an online marketplace intended to offer personal care products using data-driven algorithms and smart subscriptions. The company's platform leverages study-backed research and tests to develop an algorithm that identifies the right products for the users' body chemistry, skin type and lifestyle with over 95% accuracy by taking a quick survey, enabling men to receive tailored products for all of their bathroom needs right when they need them.</t>
  </si>
  <si>
    <t>cologne, fragrance, modern personal care product, online perfume seller, perfume, personal product marketplace, tailored bathroom product, tailored personal product</t>
  </si>
  <si>
    <t>www.hawthorne.co</t>
  </si>
  <si>
    <t>165705-04P</t>
  </si>
  <si>
    <t>Brian Jeong</t>
  </si>
  <si>
    <t>brian@hawthorne.co</t>
  </si>
  <si>
    <t>368 Broadway</t>
  </si>
  <si>
    <t>Suite 211</t>
  </si>
  <si>
    <t>hello@hawthorne.co</t>
  </si>
  <si>
    <t>The company raised $7.85 million of venture funding from undisclosed investors on May 2, 2019.</t>
  </si>
  <si>
    <t>Comcast Ventures, FJ Labs, Founder Collective, Kyle Vucko, Right Side Capital Management, Sarah Willersdorf, Shana Fisher, Shan-Lyn Ma, Sinai Ventures, Techstars, University of Pennsylvania Endowment</t>
  </si>
  <si>
    <t>Comcast Ventures(www.comcastventures.com), FJ Labs(www.fjlabs.com), Founder Collective(www.foundercollective.com), Right Side Capital Management(www.rightsidecapital.com), Sinai Ventures(www.sinaivc.com), Techstars(www.techstars.com), University of Pennsylvania Endowment(www.upenn.edu)</t>
  </si>
  <si>
    <t>54083-17</t>
  </si>
  <si>
    <t>Hatch Loyalty</t>
  </si>
  <si>
    <t>Belly, Hatch Royalty</t>
  </si>
  <si>
    <t>SpotOn, FiveStars, Perka</t>
  </si>
  <si>
    <t>Provider of a customer loyalty platform designed to help retailers and brands build stronger relationships with their customers. The company's platform offers reward cards and loyalty programs to leverage member data to make more informed decisions, enabling clients to drive marketing campaigns and promote customer loyalty.</t>
  </si>
  <si>
    <t>customer loyalty promotion, digital loyalty program, loyalty program, marketing campaign, relationship management</t>
  </si>
  <si>
    <t>www.hatchloyalty.com</t>
  </si>
  <si>
    <t>2011: 15, 2012: 100, 2013: 120, 2014: 132, 2015: 95</t>
  </si>
  <si>
    <t>40860-82P</t>
  </si>
  <si>
    <t>Craig Ulliott</t>
  </si>
  <si>
    <t>Co-Founder, Chief Technology Officer and Vice President of Product</t>
  </si>
  <si>
    <t>craig@codeverse.com</t>
  </si>
  <si>
    <t>+1 (844) 644-2633</t>
  </si>
  <si>
    <t>125 South Clark Street</t>
  </si>
  <si>
    <t>17th Floor</t>
  </si>
  <si>
    <t>60603</t>
  </si>
  <si>
    <t>+1 (224) 633-3641</t>
  </si>
  <si>
    <t>contact@bellycard.com</t>
  </si>
  <si>
    <t>The company is in the process of raising $3,841 of venture funding from undisclosed investors on March 7, 2019. Earlier, the company raised $15 million of Series B1 venture funding from 7 Ventures, Innovation Group and Cisco Investments on October 11, 2013, putting the company's pre-money valuation at $64.45 million. Duff Ackerman &amp; Goodrich, Pharus Capital Management, Pharus Select Venture Growth LLC, Lightbank, Andreessen Horowitz, New Enterprise Associates and Simon Property Group also participated in the round. The company is being actively tracked by PitchBook.</t>
  </si>
  <si>
    <t>7 Ventures, Andreessen Horowitz, Cisco Investments, Innovation Group, Lightbank, New Enterprise Associates, Pharus Capital Management, Pharus Select Venture Growth LLC, Silicon Valley Bank, Simon Property Group</t>
  </si>
  <si>
    <t>7 Ventures(www.7-ventures.co), Andreessen Horowitz(www.a16z.com), Cisco Investments(www.ciscoinvestments.com), Innovation Group(www.innovation.group), Lightbank(www.lightbank.com), New Enterprise Associates(www.nea.com), Silicon Valley Bank(www.svb.com), Simon Property Group(www.simon.com)</t>
  </si>
  <si>
    <t>122434-30</t>
  </si>
  <si>
    <t>Harmless Harvest</t>
  </si>
  <si>
    <t>Odwalla, Innocent Drinks, Vita Coco, Taste Nirvana International, ZICO Beverages, Graze, Fever-Tree, New Age Beverages</t>
  </si>
  <si>
    <t>Provider of non-alcoholic beverages intended to offer refrigerated premium coconut water. The company's non-alcoholic beverages include refrigerated coconut water and probiotic drinks that are nutritious, clean, organic and healthy, enabling users to access organic coconut water that are fresh and taste best.</t>
  </si>
  <si>
    <t>coconut water, healthy beverages, nutritional food, organic coconut water</t>
  </si>
  <si>
    <t>www.harmlessharvest.com</t>
  </si>
  <si>
    <t>2016: 201</t>
  </si>
  <si>
    <t>110991-16P</t>
  </si>
  <si>
    <t>Justin Guilbert</t>
  </si>
  <si>
    <t>justin@harmlessharvest.com</t>
  </si>
  <si>
    <t>+1 (347) 467-0733</t>
  </si>
  <si>
    <t>712 Sansome Street</t>
  </si>
  <si>
    <t>info@harmlessharvest.com</t>
  </si>
  <si>
    <t>The company raised $30 million of venture funding in a deal led by Danone Manifesto Ventures on October 23, 2018. Mousse Partners, AccelFoods and other undisclosed investors also participated in the round. The funds will be used to support the company's growth initiatives by increasing and optimizing sustainable production capacity in Thailand, raising brand awareness and expanding geographic distribution to meet growing consumer demand for refrigerated premium coconut water.</t>
  </si>
  <si>
    <t>AccelFoods, Danone Manifesto Ventures, Hadria Wong, Mousse Partners</t>
  </si>
  <si>
    <t>AccelFoods(www.accelfoods.com), Danone Manifesto Ventures(www.danoneventures.com), Mousse Partners(www.mousse-partners.com)</t>
  </si>
  <si>
    <t>Wells Fargo Capital Finance(General Business Banking)</t>
  </si>
  <si>
    <t>Ares Capital(Debt Financing), LSH Partners(Advisor: General), Wells Fargo Capital Finance(General Business Banking)</t>
  </si>
  <si>
    <t>230731-39</t>
  </si>
  <si>
    <t>HappyEasyGo</t>
  </si>
  <si>
    <t>Developer of an online travel portal intended for flight ticket bookings. The company's platform allows users to purchase airplane tickets at discount prices and also offers promotions for tickets booked in advance, enabling customers and air travelers to reduce their airfares and minimalize their travel expenses.</t>
  </si>
  <si>
    <t>Air, Business/Productivity Software*</t>
  </si>
  <si>
    <t>airline fare, airline ticketing books agency, domestic flight tickets, flight ticketing solution, international flight tickets, online travel agency</t>
  </si>
  <si>
    <t>www.happyeasygo.com</t>
  </si>
  <si>
    <t>190991-98P</t>
  </si>
  <si>
    <t>Vivek Prabhakar</t>
  </si>
  <si>
    <t>Founder and Board Member</t>
  </si>
  <si>
    <t>vivek@happyeasygo.com</t>
  </si>
  <si>
    <t>+91 (0)12 4640 9999</t>
  </si>
  <si>
    <t>Gurugram, India</t>
  </si>
  <si>
    <t>First Floor, Plot No.883</t>
  </si>
  <si>
    <t>Phase V, Udyog Vihar</t>
  </si>
  <si>
    <t>Gurugram</t>
  </si>
  <si>
    <t>122016</t>
  </si>
  <si>
    <t>The company raised an undisclosed amount of venture funding from Ganesh Ventures on July 6, 2018.</t>
  </si>
  <si>
    <t>10Fund, CITIC Capital, Ganesh Ventures, Korea Investment Partners, Samsung Venture Investment, Zero2IPO Partners</t>
  </si>
  <si>
    <t>CITIC Capital(www.citiccapital.com), Ganesh Ventures(www.ganeshventures.com), Korea Investment Partners(kipvc.com/main.html), Samsung Venture Investment(www.samsungventures.com)</t>
  </si>
  <si>
    <t>264533-32</t>
  </si>
  <si>
    <t>Haoqipei</t>
  </si>
  <si>
    <t>1A Auto</t>
  </si>
  <si>
    <t>Provider of an online application intended to revolutionize and transform the auto parts industry in China. The company's application matches the supplier with the customers according to one's taste and preference of auto parts, enabling users to buy car parts and avail maintenance of wearing parts in a hassle free manner.</t>
  </si>
  <si>
    <t>Application Software*, Automotive, Information Services (B2C), Internet Retail</t>
  </si>
  <si>
    <t>E-Commerce, Mobile</t>
  </si>
  <si>
    <t>auto parts, auto parts dealer, auto parts trading, car parts, online auto parts, wear parts</t>
  </si>
  <si>
    <t>www.haoqipei.com</t>
  </si>
  <si>
    <t>199072-09P</t>
  </si>
  <si>
    <t>Chen Yu</t>
  </si>
  <si>
    <t>alex@haoqipei.com</t>
  </si>
  <si>
    <t>The company raised $60 million of Series C venture funding in a deal led by DCM Ventures and Jeneration Capital on January 7, 2019. Access Technology Ventures, XVC, Susquehanna Asia Investments, and Yuri Milner also participated in the round. The fund will be used to expand the national market, with focus on speeding up expansion into northern and central areas of China. Previously, the company raised $20 million of Series B venture funding in a deal led by DCM Ventures, DST Global and Yuri Milner on October 10, 2018. Redpoint Ventures, XVC, and Susquehanna Asia Investments also participated in the round. Prior to that, the company raised an undisclosed amount of Series A+ venture funding from Susquehanna Asia Investments on February 12, 2018.</t>
  </si>
  <si>
    <t>Access Technology Ventures, DCM Ventures, DST Global, Jeneration Capital, Redpoint Ventures, Shunwei Capital, Susquehanna Asia Investments, XVC, Yuri Milner</t>
  </si>
  <si>
    <t>Access Technology Ventures(www.accesstechnologyventures.com), DCM Ventures(www.dcm.com), DST Global(www.dst-global.com), Jeneration Capital(www.jenerationcapital.com), Redpoint Ventures(www.redpoint.com), Shunwei Capital(www.shunwei.com), Susquehanna Asia Investments(www.sig-china.com), XVC(www.xvc.com)</t>
  </si>
  <si>
    <t>180405-01</t>
  </si>
  <si>
    <t>Halion Displays</t>
  </si>
  <si>
    <t>Thalo</t>
  </si>
  <si>
    <t>Halion</t>
  </si>
  <si>
    <t>Developer of low power displays that remain visible outdoors. The company's low-power outdoor visible display technology uses advanced cyan, magenta and yellow materials, uses 20x less power than LCD and delivers print-like colour quality, mimicking the way natural objects appear.</t>
  </si>
  <si>
    <t>colour display, display technology, mobile display, outdoor display, outdoor visible display, screen display, smart display</t>
  </si>
  <si>
    <t>www.haliondisplays.com</t>
  </si>
  <si>
    <t>168796-36P</t>
  </si>
  <si>
    <t>Ryan Marchewka</t>
  </si>
  <si>
    <t>ryan@haliondisplays.com</t>
  </si>
  <si>
    <t>+1 (917) 340-7398</t>
  </si>
  <si>
    <t>151 Charles Street West</t>
  </si>
  <si>
    <t>Suite 199</t>
  </si>
  <si>
    <t>N2G 1H6</t>
  </si>
  <si>
    <t>contact@haliondisplays.com</t>
  </si>
  <si>
    <t>The company raised $100,000 of venture funding in the form of convertible debt from Anorak Ventures on an undisclosed date.. Previously, the company joined Techstars as a part of its Class 86 of NYC's winter 2017 Q1 programme and received $120,000 in funding on April 6, 2017.</t>
  </si>
  <si>
    <t>Anorak Ventures, Hella Ventures, Right Side Capital Management, Techstars, University of Waterloo Velocity</t>
  </si>
  <si>
    <t>Anorak Ventures(www.anorak.vc), Hella Ventures(www.hellaventures.com), Right Side Capital Management(www.rightsidecapital.com), Techstars(www.techstars.com), University of Waterloo Velocity(www.velocity.uwaterloo.ca)</t>
  </si>
  <si>
    <t>55099-81</t>
  </si>
  <si>
    <t>HalfWave</t>
  </si>
  <si>
    <t>Det Norske Veritas</t>
  </si>
  <si>
    <t>Operator of a smart service platform intended to offer inspection services and tools. The company's smart service platform develops an ultra-wideband acoustic inspection technology for giving penetration and measurement capabilities, enabling gas and oil industry to avail premium quality services with technical excellence and integrity.</t>
  </si>
  <si>
    <t>Construction and Engineering, Oil and Gas Equipment*, Other Information Technology</t>
  </si>
  <si>
    <t>Industrials, Oil &amp; Gas, TMT</t>
  </si>
  <si>
    <t>acoustic technology, oil &amp; gas industry, oil industry tools, pipeline wall</t>
  </si>
  <si>
    <t>www.halfwave.com</t>
  </si>
  <si>
    <t>2012: 19, 2013: 21, 2014: 21, 2015: 20, 2016: 32</t>
  </si>
  <si>
    <t>47851-30P</t>
  </si>
  <si>
    <t>Thorbjorn Sand</t>
  </si>
  <si>
    <t>+47 90 82 92 07</t>
  </si>
  <si>
    <t>Ervik, Norway</t>
  </si>
  <si>
    <t>Glasskaret 1</t>
  </si>
  <si>
    <t>Øvre</t>
  </si>
  <si>
    <t>Ervik</t>
  </si>
  <si>
    <t>5106</t>
  </si>
  <si>
    <t>+47 47 66 68 00</t>
  </si>
  <si>
    <t>mail@halfwave.com</t>
  </si>
  <si>
    <t>The company raised an undisclosed amount of venture funding in a deal led by Shell Technology Ventures on March 16, 2017. University of Texas Investment Management Company and other undisclosed investors also participated in the round. The company will use the funding to support growth for Halfwave's present pipeline and subsea services and pave the way for further inspection application developments within new business areas.</t>
  </si>
  <si>
    <t>Chevron Technology Ventures, EV Private Equity, Shell Ventures, University of Texas Investment Management Company</t>
  </si>
  <si>
    <t>DNV GL</t>
  </si>
  <si>
    <t>EV Private Equity(www.evprivateequity.no), University of Texas Investment Management Company(www.utimco.org)</t>
  </si>
  <si>
    <t>DNV GL(www.dnvgl.com)</t>
  </si>
  <si>
    <t>55839-79</t>
  </si>
  <si>
    <t>Halation Photonics</t>
  </si>
  <si>
    <t>Developer of electronic display technologies and applications designed to cater the needs of people in China. The company's applications focus on development and commercialization of multi-stable liquid crystal devices and MSLC related system, enabling businesses to apply it for their industrial application system services.</t>
  </si>
  <si>
    <t>Application Software, Application Specific Semiconductors, Electronics (B2C)*, Other Semiconductors</t>
  </si>
  <si>
    <t>display application, display technology, electronic display, electronic shelves, mslc device</t>
  </si>
  <si>
    <t>www.halation.com</t>
  </si>
  <si>
    <t>67367-08P</t>
  </si>
  <si>
    <t>Liuwen Duan</t>
  </si>
  <si>
    <t>liuwen@halation.com</t>
  </si>
  <si>
    <t>+86 (0)512 6956 1805</t>
  </si>
  <si>
    <t>5th Floor, Block CB, Kowloon Business</t>
  </si>
  <si>
    <t>48 South Street, Zhongguancum</t>
  </si>
  <si>
    <t>100081</t>
  </si>
  <si>
    <t>+86 (0)10 6811 8179</t>
  </si>
  <si>
    <t>+86 (0)10 6811 8064</t>
  </si>
  <si>
    <t>info@halation.com</t>
  </si>
  <si>
    <t>The company raised an undisclosed amount of Series B venture funding in a deal led by Mitsui Global Investment and Northern Light Venture Capital on October 10, 2012. Applied Ventures, SoftBank Capital and China-Singapore Suzhou Industrial Park Ventures also participated in the round. The company will use the funding to accelerate exploring the systematic application of Electronic Shelf Label (ESL) based on Whiteon in the field of retail, warehousing, logistics and other industries.</t>
  </si>
  <si>
    <t>Applied Ventures, China National Innovation Fund, China-Singapore Suzhou Industrial Park Ventures, Ministry of Science and Technology, Taiwan, Mitsui Global Investment, Northern Light Venture Capital, SoftBank Capital</t>
  </si>
  <si>
    <t>Ministry of Science and Technology, Taiwan(www.most.gov.tw), Mitsui Global Investment(www.mitsui-global.com), Northern Light Venture Capital(www.nlvc.com), SoftBank Capital(www.softbankvc.com)</t>
  </si>
  <si>
    <t>59971-42</t>
  </si>
  <si>
    <t>Hachimenroppi</t>
  </si>
  <si>
    <t>Provider of fish delivery services designed to provide safe, secure and stable fish for everyone in the restaurant. The company's fish delivery services utilizes technology that studies the convenience of the professional food demands in the market and then offers delivery from the production center of the country, thereby enabling customers to buy fresh fishes at low price.</t>
  </si>
  <si>
    <t>Distributors/Wholesale*, Food Products</t>
  </si>
  <si>
    <t>fish delivery, fish distribution, fish supplier</t>
  </si>
  <si>
    <t>www.hachimenroppi.com</t>
  </si>
  <si>
    <t>109800-73P</t>
  </si>
  <si>
    <t>Masanari Matsuda</t>
  </si>
  <si>
    <t>m.matsuda@hachimenroppi.com</t>
  </si>
  <si>
    <t>+81 (0)36 228 2795</t>
  </si>
  <si>
    <t>Toyomi 2-24</t>
  </si>
  <si>
    <t>160-0007</t>
  </si>
  <si>
    <t>info@hachimenroppi.com</t>
  </si>
  <si>
    <t>The company raised JPY 450 million of venture funding from Recruit Strategic Partners, YJ Capital and DeNA on July 17, 2014. Monex Ventures and Shogo Kawada also participated in the round. The company will use the funds to strengthen their teams in sales and system development as well as for expanding logistics facilities. Previously, the company raised JPY 150 million from Value Create, Vector (PR Agency) and Winroader on October 9, 2013.</t>
  </si>
  <si>
    <t>DeNA, East Ventures, Monex Ventures, Recruit Strategic Partners, Rheos Capital Works, SBI Investment, Shogo Kawada, Skyland Ventures, Value Create, Vector (PR Agency), Winroader, YJ Capital</t>
  </si>
  <si>
    <t>DeNA(www.dena.com), East Ventures(east.vc), Monex Ventures(www.monexventures.com), Recruit Strategic Partners(recruitstrategicpartners.com), SBI Investment(www.sbinvestment.co.jp), Skyland Ventures(skyland.vc), Winroader(www.winroader.co.jp), YJ Capital(yj-capital.co.jp/en)</t>
  </si>
  <si>
    <t>55882-36</t>
  </si>
  <si>
    <t>H2O.ai</t>
  </si>
  <si>
    <t>0xdata</t>
  </si>
  <si>
    <t>H2O</t>
  </si>
  <si>
    <t>DataRobot</t>
  </si>
  <si>
    <t>Provider of an open-source machine learning automation platform designed to help in big data analysis. The company's open-source machine learning automation platform deploys machine learning and predictive analytics for use in predictive maintenance and operational intelligence, enabling enterprises to access critical data products.</t>
  </si>
  <si>
    <t>data analysis, deep learning platform, open sourcing deep learning platform, predictive analytics, statistics software</t>
  </si>
  <si>
    <t>www.h2o.ai</t>
  </si>
  <si>
    <t>2014: 21, 2015: 49, 2017: 81</t>
  </si>
  <si>
    <t>45519-13P</t>
  </si>
  <si>
    <t>Sri Satish Ambati</t>
  </si>
  <si>
    <t>srisatish@h2o.ai</t>
  </si>
  <si>
    <t>+1 (650) 227-4572</t>
  </si>
  <si>
    <t>2307 Leghorn Street</t>
  </si>
  <si>
    <t>The company raised $40 million of Series C venture funding in a deal led by Wells Fargo and NVIDIA on November 30, 2017, putting the company's pre-money valuation at $160 million. New York Life Investment Management, Crane Venture Partners, Nexus Venture Partners and Transamerica Ventures also participated in the round. The funds will be used to further democratize advanced machine learning and for global expansion and innovation of Driverless AI.</t>
  </si>
  <si>
    <t>Aegon, Anand Rajaraman, Ash Bhardwaj, Capital One Growth Ventures, Crane Venture Partners, New York Life Investment Management, Nexus Venture Partners, Nvidia, NVIDIA GPU Ventures, Paxion Capital, Riverwood Capital, Transamerica Ventures, Wareness Studio, Wells Fargo Securities, WRV Capital</t>
  </si>
  <si>
    <t>Capital One Growth Ventures(growthventures.capitalone.com), Crane Venture Partners(www.crane.vc), New York Life Investment Management(www.nylinvestments.com), Nexus Venture Partners(www.nexusvp.com), Nvidia(www.nvidia.com), Paxion Capital(www.paxion.com), Riverwood Capital(www.riverwoodcapital.com), Transamerica Ventures(www.transamericaventures.com), Wareness Studio(www.wareness.io), Wells Fargo Securities(www.wellsfargo.com/com/securities), WRV Capital(www.wrvcapital.com)</t>
  </si>
  <si>
    <t>55758-97</t>
  </si>
  <si>
    <t>Gusto</t>
  </si>
  <si>
    <t>Switchboard Labs</t>
  </si>
  <si>
    <t>Web Benefits Design, Zenefits, Justworks, Collage, Thomsons Online Benefits, Businessolver, Maxwell Health, Automatic Data Processing, Ceridian HCM, Paycom Software, Jellyvision, Limelight Health, Bob (People Management Platform), BambooHR, bswift, ebenefit Marketplace, Namely, Hodges-Mace, PeopleKeep, CoAdvantage, Paymentus, OnPay, NetSuite, Mitratech Holdings, IRIS Software Group, Salt Edge, Paychex, OneUp, Epicor Software, Clear Books, Kashoo Cloud Accounting, Tradeshift, Rootstock, Intuit, Exact Software, Meniga, Euronet Worldwide, LexisNexis Group, InvoiceOcean, Fiserv, MCM, SAP, The Wright Group Services, Wolters Kluwer, Aon</t>
  </si>
  <si>
    <t>Provider of a cloud-based payroll, benefits and human resource management platform designed to offer employee benefits. The company's platform provides payroll, benefits, human resource, and integration services for employers and employees, enabling businesses to provide employee benefits like health insurance and 401(k) plans to everyday people.</t>
  </si>
  <si>
    <t>Business/Productivity Software, Financial Software*, Human Capital Services, Other Commercial Services, Other Financial Services</t>
  </si>
  <si>
    <t>FinTech, HR Tech, Industrials, InsurTech, SaaS, TMT</t>
  </si>
  <si>
    <t>compliance software, fintech, onboarding, payroll, payroll application, payroll reporting</t>
  </si>
  <si>
    <t>www.gusto.com</t>
  </si>
  <si>
    <t>2014: 20, 2016: 314, 2017: 500, 2018: 600</t>
  </si>
  <si>
    <t>44832-79P</t>
  </si>
  <si>
    <t>Joshua Reeves</t>
  </si>
  <si>
    <t>joshua@gusto.com</t>
  </si>
  <si>
    <t>+1 (800) 936-0383</t>
  </si>
  <si>
    <t>525 20th Street</t>
  </si>
  <si>
    <t>info@gusto.com</t>
  </si>
  <si>
    <t>The company raised $145.15 million through the combination of Series C and Series C1 venture funding in a deal led by Dragoneer Investment Group, AME Cloud Ventures, LEAP Global Partners, SWS Venture Capital, Y Combinator and T. Rowe Price on July 31, 2018, putting the company's pre-money valuation at $1.85 billion. CapitalG, 137 Ventures, Incite Ventures (Burlingame), Cross Creek Advisors, General Catalyst, Kleiner Perkins and Emergence Capital Partners also participated in the round. The company will use the funds to drive significant additions to its all-in-one payroll, benefits and HR technology platform including new capabilities to help employees manage when and how they get paid.</t>
  </si>
  <si>
    <t>137 Ventures, Aaron Levie, Aaron Patzer, Adam Nash, Alex Bard, Alexis Ohanian, Ali Rowghani, Altimeter Capital, AME Cloud Ventures, Andrew Chen, Andrew Houston, Ariel Emanuel, Arjun Sethi, Ashton Kutcher, Aspect Ventures, Atom Factory, Benjamin Ling, Bobby Yazdani, CapitalG, Charles Cheever, Chung-Man Tam, Cota Capital, Cross Creek, Dan Rose, Daniel Veltri, Data Collective, Dave Goldberg, David Sacks, Designer Fund, Dharmesh Shah, Douglas Sleeter, Dragoneer Investment Group, Elad Gil, Emergence Capital Partners, Entrée Capital, Eric Ries, Evan Williams, Gail Goodman, General Catalyst, Glynn Capital, GV, Hiten Shah, Homebrew, Incite Ventures (Burlingame), James Beshara, Jared Kopf, Jared Leto, Jawed Karim, Jay Simmons, Jed York, Jeremy Stoppelman, Joe Greenstein, John Suhler, Joseph Walla, Joshua Schachter, Justin Rosenstein, Kal Vepuri, Karen Mills, Kavitark Shriram, Kenny Van Zant, Kevin Colleran, Kevin Hartz, Kleiner Perkins, Larry Summers, LEAP Global Partners, Lee Linden, Marco Zappacosta, Mark Britto, Mark Leslie, Matt Cutts, Matt Humphrey, Matt Mickiewicz, Matthew Mullenweg, Matthew Rogers, Max Levchin, MSD Capital, Obvious Ventures, Paige Craig, Paul Buchheit, Pear, Pejman Nozad, Pivot Investment Partners, Ribbit Capital, Rose Park Advisors, Rothenberg Ventures, Ryan Holmes, Salesforce Ventures, Sam Altman, Samuel Lessin, Sherpalo Ventures, Signatures Capital, Slow Ventures, Start Fund, Steve Loughlin, SV Angel, SWS Venture Capital, T. Rowe Price, Tobias Lutke, Trip Adler, Troy Carter, Wasabi Ventures, WME Capital, WME Ventures, Y Combinator, Zachary Bogue, Zhiyuan Yang</t>
  </si>
  <si>
    <t>137 Ventures(www.137ventures.com), Alexis Ohanian(alexisohanian.com), Altimeter Capital(www.altimeter.com), AME Cloud Ventures(www.amecloudventures.com), Andrew Chen(www.andrewchen.co), Aspect Ventures(www.aspectventures.com), Atom Factory(www.atomfactory.com), CapitalG(www.capitalg.com), Cota Capital(www.cotacapital.com), Cross Creek(www.crosscreek.vc), Data Collective(www.dcvc.com), Designer Fund(www.designerfund.com), Dragoneer Investment Group(www.dragoneer.com), Emergence Capital Partners(www.emcap.com), Entrée Capital(www.entreecap.com), Evan Williams(evhead.com), General Catalyst(www.generalcatalyst.com), Glynn Capital(www.glynncapital.com), GV(www.gv.com), Hiten Shah(hitenism.com), Homebrew(www.homebrew.co), Incite Ventures (Burlingame)(www.incite.org), James Beshara(about.me/jamesbeshara), Joshua Schachter(joshua.schachter.org), Kevin Colleran(facebook.com/kevin), Kleiner Perkins(www.kleinerperkins.com), LEAP Global Partners(www.leapglobalpartners.com), Matt Cutts(www.mattcutts.com), Matthew Mullenweg(www.ma.tt), Max Levchin(www.levchin.com), MSD Capital(www.msdcapital.com), Obvious Ventures(www.obvious.com), Pear(www.pear.vc), Pivot Investment Partners(www.pivotinvestment.com), Ribbit Capital(www.ribbitcap.com), Rose Park Advisors(www.roseparkadvisors.com), Rothenberg Ventures(www.rothenbergventures.com), Samuel Lessin(www.wlessin.com), Sherpalo Ventures(www.sherpalo.com), Signatures Capital(www.signaturescapital.com), Slow Ventures(www.slow.co), SV Angel(www.svangel.com), SWS Venture Capital(www.swsventurecap.com), T. Rowe Price(www3.troweprice.com), Wasabi Ventures(www.wasabiventures.com), WME Ventures(www.wmevc.com), Y Combinator(www.ycombinator.com)</t>
  </si>
  <si>
    <t>Daversa Partners(Consulting), FutureEngine(Consulting), Rich Talent Group(Consulting)</t>
  </si>
  <si>
    <t>60704-47</t>
  </si>
  <si>
    <t>Guru</t>
  </si>
  <si>
    <t>DocSend, Whatfix, WorkRamp, SAVO Group, Shelf (Content Sharing Platform), Skilljar, Clari, Content Raven, Symphony Communication Services, Docebo, Accent Technologies, Jive Software, Slack, WalkMe, DoxIQ, Yammer, ClearSlide, Callidus Software, SalesLoft, Atlassian, Highspot, KnowledgeTree, Bloomfire, SocialText, DNN, Collpoll, Iridize, Brainshark, DoubleDutch, LearnUpon, Northpass, BrightDoor Systems, Fiverr, Elance, Yogi</t>
  </si>
  <si>
    <t>Provider of a knowledge management platform designed to connect people for sharing information. The company's platform offers a verification workflow to automatically capture, store, share and facilitate verification of internal and external knowledge that is generated on a frequent basis with teammates and customers, enabling marketing teams to reuse and access information from multiple places in one platform.</t>
  </si>
  <si>
    <t>facts verification, information verification, knowledge management, knowledge management platform, knowledge sharing platform, revenue empowerment, revenue empowerment network</t>
  </si>
  <si>
    <t>www.getguru.com</t>
  </si>
  <si>
    <t>2018: 90</t>
  </si>
  <si>
    <t>Competitor (New) Highspot</t>
  </si>
  <si>
    <t>36944-83P</t>
  </si>
  <si>
    <t>Richard Nucci</t>
  </si>
  <si>
    <t>Co-Founder, Board Member, President and Chief Executive Officer</t>
  </si>
  <si>
    <t>rnucci@getguru.com</t>
  </si>
  <si>
    <t>+1 (267) 469-0264</t>
  </si>
  <si>
    <t>121 South Broad Street</t>
  </si>
  <si>
    <t>19107</t>
  </si>
  <si>
    <t>info@getguru.com</t>
  </si>
  <si>
    <t>The company raised $25 million of Series B venture funding in a deal led by Thrive Capital on December 7, 2018, putting the company's pre-money valuation at $149 million. Slack, Emergence Capital Partners, FirstMark Capital and MSD Capital also participated in the round. The company intends to use the funding to invest in further growth and innovation to transform how knowledge workers access the knowledge they need to do their jobs.</t>
  </si>
  <si>
    <t>Emergence Capital Partners, FirstMark Capital, MSD Capital, Salesforce Ventures, Slack, Thrive Capital</t>
  </si>
  <si>
    <t>Emergence Capital Partners(www.emcap.com), FirstMark Capital(www.firstmarkcap.com), MSD Capital(www.msdcapital.com), Slack(www.slack.com), Thrive Capital(www.thrivecap.com)</t>
  </si>
  <si>
    <t>152413-93</t>
  </si>
  <si>
    <t>Guild Education</t>
  </si>
  <si>
    <t>Udacity, Shaw Academy, EdAssist, Coursera, Khan Academy, Coursmos, Learning.com, Jigsaw Academy, OpenSesame, InsideTrack, Lynda.com, Linux Academy, Edureka, Outschool, Treehouse Island, Synergis Education, Pluralsight, ReUp Education, DataCamp, TareasPlus, 2U, Aspen Group</t>
  </si>
  <si>
    <t>Developer of an education platform designed to bridge the gap between education and employment. The company's technology makes offering education benefits and tuition reimbursement an easy choice for leading companies and includes online classes, programs, and degrees with personalized advising and retention coaching, enabling employers to offer education as a benefit to their employees.</t>
  </si>
  <si>
    <t>education and learning, education tech, online education platform</t>
  </si>
  <si>
    <t>www.guildeducation.com</t>
  </si>
  <si>
    <t>2016: 40, 2017: 58, 2018: 160</t>
  </si>
  <si>
    <t>126137-98P</t>
  </si>
  <si>
    <t>Rachel Carlson</t>
  </si>
  <si>
    <t>rachel@guildeducation.com</t>
  </si>
  <si>
    <t>+1 (720) 709-2871</t>
  </si>
  <si>
    <t>team@guildeducation.com</t>
  </si>
  <si>
    <t>The company raised $40 million of Series C venture funding in a deal led by Felicis Ventures on July 25, 2018, putting the company's pre-money valuation at $250 million. Salesforce Ventures, Workday Ventures, Cowboy Ventures, Harrison Metal Capital, Redpoint Ventures, Bessemer Venture Partners, Rethink, Entangled Group and Silicon Valley Bank also participated in the round. Earlier, the company raised $21 million of Series B venture funding in a deal led by Bessemer Venture Partners on August 14, 2017, putting the company's pre-money valuation at $104 million. Cowboy Ventures, Harrison Metal Capital, Redpoint Ventures, Vista Venture Partners, Rethink and Rethink Impact also participated in the round.</t>
  </si>
  <si>
    <t>1776, Bessemer Venture Partners, Cowboy Ventures, Entangled Group, Felicis Ventures, Fern Mandelbaum, Harrison Metal Capital, Lava Walk Ventures, Matt Glickman, Miriam Rivera, Redpoint Ventures, Rethink, Rethink Impact, Salesforce Ventures, Silicon Valley Bank, Social Capital, Ulu Ventures, Vista Venture Partners, Workday Ventures</t>
  </si>
  <si>
    <t>1776(www.1776.vc), Bessemer Venture Partners(www.bvp.com), Cowboy Ventures(www.cowboy.vc), Entangled Group(www.entangled.group), Felicis Ventures(www.felicis.com), Harrison Metal Capital(www.harrisonmetal.com), Lava Walk Ventures(www.lavawalkventures.com), Redpoint Ventures(www.redpoint.com), Rethink(www.rethink.vc/education), Rethink Impact(www.rethinkimpact.com), Silicon Valley Bank(www.svb.com), Social Capital(www.socialcapital.com), Ulu Ventures(www.uluventures.com), Vista Venture Partners(www.vistavp.com)</t>
  </si>
  <si>
    <t>181222-39</t>
  </si>
  <si>
    <t>GuardKnox</t>
  </si>
  <si>
    <t>Argus Cyber Security, Dellfer</t>
  </si>
  <si>
    <t>Developer of vehicle cyber security systems intended to detect and eliminate cyber threats faced by automotive. The company's systems combine software and hardware to defend against any type of known or unknown cyber-attacks and prevents the car from being hacked, enabling automotive owners to protect themselves from the connected vehicles against threats that can endanger their physical safety and the safety of their personal information.</t>
  </si>
  <si>
    <t>Automotive, Other Hardware*</t>
  </si>
  <si>
    <t>automotive cyber security, automotive cyber threat analysis, automotive security, automotive security system, cyber security hardware, cyber threat analysis, cyber threat detection</t>
  </si>
  <si>
    <t>www.guardknox.com</t>
  </si>
  <si>
    <t>2017: 10, 2019: 30</t>
  </si>
  <si>
    <t>Deal (New) Early Stage VC (Series A), 2019|Completed, People (New) Jillian Goldberg, Vice President Marketing and Investor Relations, Promotion (New) Dionis Teshler, Co-Founder, Board Member &amp; Chief Technology Officer, Promotion (New) Moshe Shlisel, Co-Founder, Board Member &amp; Chief Executive Officer, Primary Office (Update) Ramla, Israel, News (New)</t>
  </si>
  <si>
    <t>101245-33P</t>
  </si>
  <si>
    <t>Moshe Shlisel</t>
  </si>
  <si>
    <t>moshe@guardknox.com</t>
  </si>
  <si>
    <t>+972 (0)54 244 4914</t>
  </si>
  <si>
    <t>Ramla, Israel</t>
  </si>
  <si>
    <t>2 Hahazon Street</t>
  </si>
  <si>
    <t>POB 320</t>
  </si>
  <si>
    <t>Ramla</t>
  </si>
  <si>
    <t>7210202</t>
  </si>
  <si>
    <t>info@guardknox.com</t>
  </si>
  <si>
    <t>The company raised $21 million of Series A venture funding in a deal led by Fraser McCombs Capital on June 4, 2019. Allied, Kardan Water International Group, Cyphertech, VectoIQ, Faurecia, SAIC Capital, Glory Ventures, Next Leap Ventures, Plug and Play Tech Center, Jürgen Hambrecht, Paul Achleitner, Robert Taub, Dr. Roland Berger, Peter Loescher, Gerhard Roiss, Kurt Lauk, Michael Diekmann and Stefan Hambrecht also participated in the round. The funds will be used to expand the company's R&amp;D team and support its global expansion, opening subsidiaries in strategic locations.</t>
  </si>
  <si>
    <t>Allied, Capsula Smart Mobility, Cyphertech, Faurecia, Fraser McCombs Capital, Gerhard Roiss, Glory Ventures, Jürgen Hambrecht, Kardan Water International Group, Kurt Lauk, Michael Diekmann, Next Leap Ventures, Paul Achleitner, Peter Loescher, Plug and Play Tech Center, Robert Taub, Roland Berger, SAIC Capital, Startup Autobahn, Stefan Hambrecht, VectoIQ</t>
  </si>
  <si>
    <t>Allied(www.alliedbrasil.com.br), Capsula Smart Mobility(www.capsula.studio), Faurecia(www.faurecia.com), Fraser McCombs Capital(www.fmcap.com), Glory Ventures(www.en.glory-ventures.com), Next Leap Ventures(www.nextleapventures.com), Plug and Play Tech Center(www.plugandplaytechcenter.com), SAIC Capital(www.saicvc.com), Startup Autobahn(www.startup-autobahn.com), VectoIQ(www.vectoiq.com)</t>
  </si>
  <si>
    <t>66085-12</t>
  </si>
  <si>
    <t>GuardiCore</t>
  </si>
  <si>
    <t>EnSilo, Threat Stack, Verodin, Seculert, SentinelOne, ZeroNorth, Vidder, ShieldX Networks, Lastline, Allure Security, CrowdStrike, LightCyber, AlgoSec, Topspin Security, Barricade Security Systems, Dome9 Security, Attivo Networks, Agari, BlackRidge Technology, Cylance, Illumio, Morphisec, Cymmetria, Cryptonite, Cybereason, BeyondTrust Software, ZeroFox, Damballa, LogicHub, LogRhythm, Arctic Wolf, Illusive Networks, Javelin (Artificial Intelligence Platform), Rapid7, Zscaler, Alert Logic, Cyphort, Evident.IO, Apvera, Opswat, Pluribus Networks, Securonix, Secunia, Skyport Systems, Anicut Systems, Netskope, Smokescreen Technologies, Ridgeback, Kenna Security, SafeBreach, Axonius, vArmour, Skyhigh Networks, TrapX Security, CloudPassage, Qingteng, Carbon Black, Big Switch Networks, Cobalt, HyTrust, RiskIQ, Ayehu, Plexxi, Votiro, Cato Networks, HackerOne, Acalvio, CipherCloud, Vormetric, EclecticIQ, Bugcrowd, Qualys, Corax</t>
  </si>
  <si>
    <t>Provider of internal data center security tool designed to detect and stop advanced threats through real-time breach detection and response. The company's internal data center security tool tracks and eliminates intruders inside data center networks and automatically triggering mitigation measures for today's software-defined and virtualized data centers and clouds, providing unparalleled visibility, active breach detection and real-time response.</t>
  </si>
  <si>
    <t>breach detection, data center security, data security platform, security platform</t>
  </si>
  <si>
    <t>www.guardicore.com</t>
  </si>
  <si>
    <t>2014: 11, 2016: 49, 2018: 50</t>
  </si>
  <si>
    <t>76014-82P</t>
  </si>
  <si>
    <t>Pavel Gurvich</t>
  </si>
  <si>
    <t>pavel@guardicore.com</t>
  </si>
  <si>
    <t>+1 (628) 220-2670</t>
  </si>
  <si>
    <t>650 California Street</t>
  </si>
  <si>
    <t>info@guardicore.com</t>
  </si>
  <si>
    <t>The company raised $60 million of Series C venture funding in a deal led by Qumra Capital on May 21, 2019. Dell Technologies Capital, TPG Growth, Greenfield Partners (Israel), Partech Partners, ClalTech, 83North and Battery Ventures X also participated in the round.</t>
  </si>
  <si>
    <t>83North, Battery Ventures, Cisco Investments, ClalTech, Dell Technologies Capital, Ehud Barak, Greenfield Partners (Israel), Partech Partners, Qumra Capital, TPG Growth</t>
  </si>
  <si>
    <t>83North(www.83north.com), Battery Ventures(www.battery.com), Cisco Investments(www.ciscoinvestments.com), ClalTech(www.claltech.com), Partech Partners(www.partechpartners.com), Qumra Capital(www.qumracapital.com), TPG Growth(www.tpggrowth.com)</t>
  </si>
  <si>
    <t>156743-56</t>
  </si>
  <si>
    <t>Guardhat</t>
  </si>
  <si>
    <t>Provider of a situational awareness platform designed to protect the lives of employees and contractors. The company's situational awareness platform is an open, industrial IoT platform smart, wearable end-user device on the front end (such as a smart hard hat) with any back-end application with safety being the first application), enabling users to track each worker's location for safety and manage workers issue.</t>
  </si>
  <si>
    <t>Other Commercial Products*, Other Software</t>
  </si>
  <si>
    <t>accident prevention, alerts detection device, awareness platform, industrial safety, situational awareness platform</t>
  </si>
  <si>
    <t>www.guardhat.com</t>
  </si>
  <si>
    <t>73352-17P</t>
  </si>
  <si>
    <t>Saikat Dey</t>
  </si>
  <si>
    <t>saikat@guardhat.com</t>
  </si>
  <si>
    <t>info@guardhat.com</t>
  </si>
  <si>
    <t>The company raised $20 million through a combination of debt, Series A1 and Series A2 venture funding from lead investor RTP Ventures on September 27, 2018, putting the company's pre-money valuation at $25 million. 3M New Ventures, Caterpillar Venture Capital, Alumni Ventures Group, Silicon Valley Bank, Green D Ventures, Revolution, Detroit Venture Partners, SKS Ventures also participated in it. The company intends to use the capital to expanding its international reach, scale its engineering team and accelerate sales and marketing functions. The company has raised a total of $24 million in funding to date.</t>
  </si>
  <si>
    <t>3M Ventures, Alumni Ventures Group, Blue Collective, Caterpillar Ventures, Detroit Venture Partners, frogVentures, Green D Ventures, Mesh Ventures, Revolution, RTP Ventures, Silicon Valley Bank, SKS Ventures</t>
  </si>
  <si>
    <t>Alumni Ventures Group(www.avgfunds.com), Blue Collective(www.bluecollective.com), Detroit Venture Partners(www.detroit.vc), frogVentures(www.frogdesign.com/platforms/frogventures.html), Green D Ventures(www.greendventures.com), Mesh Ventures(www.mesh.vc), Revolution(www.revolution.com), RTP Ventures(www.rtp.vc), Silicon Valley Bank(www.svb.com), SKS Ventures(www.sksventures.co)</t>
  </si>
  <si>
    <t>61537-33</t>
  </si>
  <si>
    <t>GTUIT</t>
  </si>
  <si>
    <t>G2G Solutions</t>
  </si>
  <si>
    <t>Blue Roads Solutions</t>
  </si>
  <si>
    <t>Provider of mobile flare gas treatment services intended to reduce emissions from flare stacks. The company's natural gas capture system significantly decreases the volume of flared gas at the wellhead and uses proprietary flow control, mechanical refrigeration and compression to achieve maximum NGL recovery, enabling oil and gas industry to increase revenue while reducing negative environmental impacts.</t>
  </si>
  <si>
    <t>Environmental Services (B2B), Other Energy Services*</t>
  </si>
  <si>
    <t>flare gas, flare gas treatment, gas treatment, gas treatment services, natural gas capture</t>
  </si>
  <si>
    <t>www.gtuit.com</t>
  </si>
  <si>
    <t>2015: 41, 2017: 6</t>
  </si>
  <si>
    <t>62658-82P</t>
  </si>
  <si>
    <t>Christian Orms</t>
  </si>
  <si>
    <t>corms@gtuit.com</t>
  </si>
  <si>
    <t>+1 (406) 867-6700</t>
  </si>
  <si>
    <t>Billings, MT</t>
  </si>
  <si>
    <t>2924 Millennium Circle</t>
  </si>
  <si>
    <t>Billings</t>
  </si>
  <si>
    <t>Montana</t>
  </si>
  <si>
    <t>59102</t>
  </si>
  <si>
    <t>+1 (406) 867-6710</t>
  </si>
  <si>
    <t>info@gtuit.com</t>
  </si>
  <si>
    <t>The company closed on $3 million of convertible debt financing from undisclosed investors on January 22, 2018. Prior to that, the company raised an undisclosed amount of venture funding from Caterpillar Ventures on February 10, 2016.</t>
  </si>
  <si>
    <t>Caterpillar Ventures</t>
  </si>
  <si>
    <t>CapX Partners(Debt Financing)</t>
  </si>
  <si>
    <t>232164-82</t>
  </si>
  <si>
    <t>GTP Services</t>
  </si>
  <si>
    <t>Get The Point</t>
  </si>
  <si>
    <t>Provider of construction softwares and services designed to improve BIM, prefabrication, and layout workflows. The company's software and services helps to raise roject bids, and provide the ability to track the status of all items through the lifecycle of a project and communicate to the field directly though the model, enabling contractors to get to customized services for their ever-growing and changing MEP requirements.</t>
  </si>
  <si>
    <t>Construction Technology, Industrials, TMT</t>
  </si>
  <si>
    <t>bid software, construction software, construction software services, mep service, mep solution provider</t>
  </si>
  <si>
    <t>www.gogtp.com</t>
  </si>
  <si>
    <t>192094-57P</t>
  </si>
  <si>
    <t>Todd Liebbe</t>
  </si>
  <si>
    <t>todd.liebbe@gogtp.com</t>
  </si>
  <si>
    <t>+1 (800) 385-7131</t>
  </si>
  <si>
    <t>Larkspur, CO</t>
  </si>
  <si>
    <t>9375 Spruce Mountain Road</t>
  </si>
  <si>
    <t>Larkspur</t>
  </si>
  <si>
    <t>80118</t>
  </si>
  <si>
    <t>+1 (800) 385-8215</t>
  </si>
  <si>
    <t>The company raised $5 million of venture funding from Stanley Ventures and other undisclosed investors on August 30, 2018.</t>
  </si>
  <si>
    <t>Stanley Ventures</t>
  </si>
  <si>
    <t>113503-87</t>
  </si>
  <si>
    <t>Grover</t>
  </si>
  <si>
    <t>ByeBuy</t>
  </si>
  <si>
    <t>Newegg, reBuy reCommerce, Lumoid, Ozon.ru, ShareGrid</t>
  </si>
  <si>
    <t>Provider of a subscription based electronics rental platform designed to offer pay-as-you-go consumer electronics. The company's platform grants unlimited access to the latest tech products and offers a monthly product subscription service, enabling consumers to rent electronic products at an affordable price instead of buying them.</t>
  </si>
  <si>
    <t>Electronics (B2C), Internet Retail*, Social/Platform Software</t>
  </si>
  <si>
    <t>electronic commerce, electronic gadgets, electronics rental, online rental, tech product</t>
  </si>
  <si>
    <t>www.grover.com</t>
  </si>
  <si>
    <t>2015: 4, 2017: 40, 2019: 60</t>
  </si>
  <si>
    <t>104389-39P</t>
  </si>
  <si>
    <t>Michael Cassau</t>
  </si>
  <si>
    <t>Founder, Chief Executive Officer &amp; Managing Director</t>
  </si>
  <si>
    <t>+49 (0)30 3080 8251</t>
  </si>
  <si>
    <t>Holzmarktstraße 11</t>
  </si>
  <si>
    <t>grover@getgrover.com</t>
  </si>
  <si>
    <t>The company received EUR 20 million of debt financing in the form of a loan from Eiffel Investment Group on January 1, 2019.</t>
  </si>
  <si>
    <t>Circularity Capital, Commerzbank, Coparion, EnjoyVenture, Global Founders Capital, Hannoverimpuls, June Fund, K-Invest, KRW Schindler Private Ventures, Main Incubator, Rocket Internet, Samsung NEXT Ventures, Seedcamp, Target Global, Varengold Bank</t>
  </si>
  <si>
    <t>Circularity Capital(www.circularitycapital.com), Commerzbank(www.commerzbank.com), Coparion(www.coparion.vc), EnjoyVenture(www.enjoyventure.vc), Global Founders Capital(www.globalfounders.vc), Hannoverimpuls(www.wirtschaftsfoerderung-hannover.de/hannoverimpuls), June Fund(www.june.fund), K-Invest(www.k-invest.de), KRW Schindler Private Ventures(www.krw-schindler.com), Main Incubator(www.main-incubator.com), Rocket Internet(www.rocket-internet.com), Samsung NEXT Ventures(www.samsungnext.com), Seedcamp(www.seedcamp.com), Target Global(www.targetglobal.vc), Varengold Bank(www.varengold.de)</t>
  </si>
  <si>
    <t>Circularity Capital(Debt Financing), Commerzbank(Debt Financing), Eiffel Investment Group(Debt Financing), Varengold Bank(Debt Financing)</t>
  </si>
  <si>
    <t>60563-98</t>
  </si>
  <si>
    <t>Grokker</t>
  </si>
  <si>
    <t>Sworkit, Yogatrail, Virtuagym, MoveWith, Cody, Booya Fitness, Keep, Aaptiv, Vint, Limeade, DailyBurn, Virgin Pulse</t>
  </si>
  <si>
    <t>Developer of an online fitness platform designed to offer guidance to companies on maintaining fitness of their employees. The company's platform offers a subscription-based, personalized and expert-led video programming and a supportive community of experts and enthusiasts who are available anytime, anywhere and can be accessed through any device, enabling clients to help their employees to follow a daily routine of staying fit and healthy.</t>
  </si>
  <si>
    <t>consumer application, employee wellness, employee wellness platform, fitness and health services, online community, online community app</t>
  </si>
  <si>
    <t>www.grokker.com</t>
  </si>
  <si>
    <t>2017: 35</t>
  </si>
  <si>
    <t>16704-19P</t>
  </si>
  <si>
    <t>Lorna Borenstein</t>
  </si>
  <si>
    <t>550 South Winchester Boulevard</t>
  </si>
  <si>
    <t>The company raised $7 million of Series B venture funding from Comcast, Khosla Ventures and First Round Capital on June 24, 2016, putting the company's pre-money valuation at $13.73 million. SV Angel, Comcast Ventures, Correlation Ventures, InterWest Partners and Aspect Ventures also participated in the round. The company will use the funds to continue to expand operations.</t>
  </si>
  <si>
    <t>Aspect Ventures, Comcast, Comcast Ventures, Correlation Ventures, First Round Capital, InterWest Partners, Khosla Ventures, Ronald Conway, SV Angel</t>
  </si>
  <si>
    <t>Aspect Ventures(www.aspectventures.com), Comcast(corporate.comcast.com), Comcast Ventures(www.comcastventures.com), Correlation Ventures(www.correlationvc.com), First Round Capital(www.firstround.com), InterWest Partners(www.interwest.com), Khosla Ventures(www.khoslaventures.com), SV Angel(www.svangel.com)</t>
  </si>
  <si>
    <t>108033-94</t>
  </si>
  <si>
    <t>GrocerKey</t>
  </si>
  <si>
    <t>ShopSavvy, Stuart Delivery, Postmates, EatEasy, Rosie (Internet Retail), shopKick, ShopHero</t>
  </si>
  <si>
    <t>Developer of a grocery e-commerce software designed to help grocery stores to sell products online. The company's platform helps local and independent grocers to build an online store and implement pick up and delivery systems, enabling grocery stores to have control of their customer, track order fulfillment and delivery infrastructure.</t>
  </si>
  <si>
    <t>delivery infrastructure, ecommerce software, retail business software, web retail</t>
  </si>
  <si>
    <t>www.grocerkey.com</t>
  </si>
  <si>
    <t>2015: 16, 2017: 100, 2018: 325</t>
  </si>
  <si>
    <t>92837-53P</t>
  </si>
  <si>
    <t>Jeremy Neren</t>
  </si>
  <si>
    <t>jeremy@grocerkey.com</t>
  </si>
  <si>
    <t>+1 (608) 698-3308</t>
  </si>
  <si>
    <t>16 North Carroll Street</t>
  </si>
  <si>
    <t>53703</t>
  </si>
  <si>
    <t>contact@grocerkey.com</t>
  </si>
  <si>
    <t>The company raised $2.5 million of venture funding from dunnhumby Ventures, Woodman's Markets and other undisclosed investors on April 10, 2018. The company has raised $4.2 million to date. Previously, the company raised $700,000 of Series AA1 venture funding from undisclosed investors on January 6, 2017, putting the company's pre-money valuation at $5.14 million.</t>
  </si>
  <si>
    <t>Angels on the Water, BrightStar Wisconsin Foundation, dunnhumby Ventures, gener8tor, Mitch Eveland, SymphonyAlpha Ventures, Todd Marshall, Total Equity Capital, Wisconsin Economic Development Corporation, Woodman's Markets</t>
  </si>
  <si>
    <t>Angels on the Water(www.angelsonthewater.com), BrightStar Wisconsin Foundation(www.brightstarwi.org), gener8tor(www.gener8tor.com), SymphonyAlpha Ventures(www.symphonyalpha.com), Total Equity Capital(www.totalequitcapital.com), Wisconsin Economic Development Corporation(www.inwisconsin.com)</t>
  </si>
  <si>
    <t>53592-40</t>
  </si>
  <si>
    <t>GridEdge Networks</t>
  </si>
  <si>
    <t>Amperion</t>
  </si>
  <si>
    <t>Provider of smart grid communications services to electric utilities. The company offers station communications over transmission lines, smart grid communications over distribution lines, and distributed generation transfer trip protection services.</t>
  </si>
  <si>
    <t>Wireless Service Providers*</t>
  </si>
  <si>
    <t>grid communication, ip network, voltage distribution, wireless service</t>
  </si>
  <si>
    <t>www.gridedgenetworks.com</t>
  </si>
  <si>
    <t>2014: 11, 2015: 11</t>
  </si>
  <si>
    <t>39806-20P</t>
  </si>
  <si>
    <t>Nachum Sadan</t>
  </si>
  <si>
    <t>nachum@amperion.com</t>
  </si>
  <si>
    <t>+1 (978) 569-2000</t>
  </si>
  <si>
    <t>Westford, MA</t>
  </si>
  <si>
    <t>6 Lyberty Way</t>
  </si>
  <si>
    <t>Unit 102</t>
  </si>
  <si>
    <t>Westford</t>
  </si>
  <si>
    <t>01886</t>
  </si>
  <si>
    <t>+1 (978) 399-0030</t>
  </si>
  <si>
    <t>info@gridedgenetworks.com</t>
  </si>
  <si>
    <t>The company received an undisclosed amount of debt financing in the form of two separate liens from National Funding on February 16, 2017.</t>
  </si>
  <si>
    <t>American Electric Power Company, Argo Global Capital, Cisco Investments, Gene Zimon, GIV Venture Partners, PPL, Redleaf Group, Telkonet</t>
  </si>
  <si>
    <t>Aspen Ventures</t>
  </si>
  <si>
    <t>American Electric Power Company(www.aep.com), Argo Global Capital(www.argoglobal.com), Cisco Investments(www.ciscoinvestments.com), GIV Venture Partners(www.givventurepartners.com), PPL(www.pplweb.com), Redleaf Group(www.redleaf.com), Telkonet(www.telkonet.com)</t>
  </si>
  <si>
    <t>Aspen Ventures(www.aspenventures.com)</t>
  </si>
  <si>
    <t>National Funding(Debt Financing)</t>
  </si>
  <si>
    <t>52919-83</t>
  </si>
  <si>
    <t>Grid Net</t>
  </si>
  <si>
    <t>Nexgrid, Silver Spring Networks</t>
  </si>
  <si>
    <t>Provider of a network management software designed to offer communications products. The company's network management software offers open, interoperable, policy-based network management and communications products for delivery of secure, scalable and high-performing smart grid services, including smart metering, enabling the utility industry to manage grid devices and advanced grid applications on broadband networks.</t>
  </si>
  <si>
    <t>communication product, electric vehicle, grid application, loading management, network management software, networking technology, smart grid services</t>
  </si>
  <si>
    <t>www.grid-net.com</t>
  </si>
  <si>
    <t>2007: 15, 2008: 15, 2010: 47, 2014: 51, 2016: 51</t>
  </si>
  <si>
    <t>66788-38P</t>
  </si>
  <si>
    <t>Raymond Bell</t>
  </si>
  <si>
    <t>Chief Executive Officer, Founder &amp; Chairman</t>
  </si>
  <si>
    <t>rbell@grid-net.com</t>
  </si>
  <si>
    <t>+1 (415) 872-5097</t>
  </si>
  <si>
    <t>126 South Park Street</t>
  </si>
  <si>
    <t>+1 (415) 872-5098</t>
  </si>
  <si>
    <t>info@grid-net.com</t>
  </si>
  <si>
    <t>The company raised venture funding from Cisco Investments and GE Ventures on March 25, 2010. Prior to that, the company raised $13.84 million of Series C venture funding in a deal lead by Braemar Energy Ventures on July 29, 2009. Catamount Ventures, GE Energy Financial Services and Intel Capital also participated in this round.</t>
  </si>
  <si>
    <t>Braemar Energy Ventures, Catamount Ventures, Cisco Investments, GE Energy Financial Services, GE Ventures, Intel Capital</t>
  </si>
  <si>
    <t>Braemar Energy Ventures(www.braemarenergy.com), Catamount Ventures(www.catamountventures.com), Cisco Investments(www.ciscoinvestments.com), GE Energy Financial Services(www.geenergyfinancialservices.com), GE Ventures(www.geventures.com), Intel Capital(www.intelcapital.com)</t>
  </si>
  <si>
    <t>55199-89</t>
  </si>
  <si>
    <t>Greensbury</t>
  </si>
  <si>
    <t>Yorkshire Valley Farms, Smart Chicken</t>
  </si>
  <si>
    <t>Provider of organic meat and poultry products designed to conserve and protect the environment. The company's organic meat and poultry products are free of animal by-products and satisfy organic regulatory standards, enabling consumers to purchase organic food products online.</t>
  </si>
  <si>
    <t>farming meat, organic chicken, organic meat, organic meat product, organic poultry</t>
  </si>
  <si>
    <t>www.greensbury.com</t>
  </si>
  <si>
    <t>45158-68P</t>
  </si>
  <si>
    <t>Todd Horowitz</t>
  </si>
  <si>
    <t>thorowitz@greensburymarket.com</t>
  </si>
  <si>
    <t>+1 (646) 807-9804</t>
  </si>
  <si>
    <t>47 Murray Street</t>
  </si>
  <si>
    <t>info@greensburymarket.com</t>
  </si>
  <si>
    <t>The company raised $199,720 of Series A venture funding from undisclosed investors on December 13, 2017. Earlier, the company raised $28,989 of product crowdfunding via Kickstarter on June 9, 2017.</t>
  </si>
  <si>
    <t>Anzu Partners, CircleUp Network, Ray Rastelli, Scout Ventures</t>
  </si>
  <si>
    <t>Anzu Partners(www.anzupartners.com), CircleUp Network(www.circleup.com), Scout Ventures(www.scoutventures.com)</t>
  </si>
  <si>
    <t>CircleUp Network(Lead Manager or Arranger), First Republic Bank(General Business Banking), Robert Weinberger Law(Legal Advisor), Roberts Markel Weinburg(Legal Advisor), SeedInvest(Lead Manager or Arranger)</t>
  </si>
  <si>
    <t>Kickstarter(Lead Manager or Arranger), Roberts Markel Weinburg(Legal Advisor), SeedInvest(Lead Manager or Arranger), SI Securities(Advisor: General)</t>
  </si>
  <si>
    <t>153483-13</t>
  </si>
  <si>
    <t>GreenKey</t>
  </si>
  <si>
    <t>GK</t>
  </si>
  <si>
    <t>Slack</t>
  </si>
  <si>
    <t>Provider of a cloud-based voice collaboration platform designed to serve the financial markets. The company's platform recognizes complex financial jargon across real-time audio and text sources and transforms them into actionable insights, enabling traders and brokers to rapidly set up and instantly speak on private and secure voice networks without hardware.</t>
  </si>
  <si>
    <t>Business/Productivity Software, Financial Software*, Other Financial Services, Social/Platform Software</t>
  </si>
  <si>
    <t>regtech vertical, speech recognition, trading software, voice collaboration platform, voice recording, voice software</t>
  </si>
  <si>
    <t>www.greenkeytech.com</t>
  </si>
  <si>
    <t>127877-77P</t>
  </si>
  <si>
    <t>Anthony Tassone</t>
  </si>
  <si>
    <t>atassone@greenkeytech.com</t>
  </si>
  <si>
    <t>+1 (646) 863-4380</t>
  </si>
  <si>
    <t>55 West Monroe Street</t>
  </si>
  <si>
    <t>Suite 1650</t>
  </si>
  <si>
    <t>info@greenkeytech.com</t>
  </si>
  <si>
    <t>The company raised $3 million of Series B venture funding from IPC Systems on March 7, 2019, putting the company's pre-money valuation at $32 million.</t>
  </si>
  <si>
    <t>Dorado Analytics, DRW Venture Capital, IPC Systems</t>
  </si>
  <si>
    <t>DRW Venture Capital(www.drwvc.com), IPC Systems(www.ipc.com)</t>
  </si>
  <si>
    <t>10612-36</t>
  </si>
  <si>
    <t>GreatPoint Energy</t>
  </si>
  <si>
    <t>Developer of catalytic hydromethanation process designed to convert coal, petroleum coke and biomass into natural gas. The company's hydromethanation process offers bluegas technology, a catalytic hydromethanation process by which carbon-rich feedstocks - such as coal, petcoke, and biomass - are converted through a combination of catalytic reactions in the presence of water into a methane-rich gas stream known as Substitute Natural Gas (SNG), providing users with less expensive liquefied natural gas (LNG) that can be transported through existing pipeline infrastructure.</t>
  </si>
  <si>
    <t>Energy Production*</t>
  </si>
  <si>
    <t>CleanTech, Industrials, Infrastructure, LOHAS &amp; Wellness, Oil &amp; Gas, TMT</t>
  </si>
  <si>
    <t>catalytic gasification, catalytic hydromethanation, hydromethanation, natural gas production, substitute natural gas</t>
  </si>
  <si>
    <t>www.greatpointenergy.com</t>
  </si>
  <si>
    <t>2005: 3, 2007: 15, 2008: 15, 2009: 20, 2010: 20, 2011: 40, 2012: 30, 2014: 32, 2015: 35</t>
  </si>
  <si>
    <t>35315-92P</t>
  </si>
  <si>
    <t>Daniel Goldman</t>
  </si>
  <si>
    <t>President, Board Member &amp; Chief Financial Officer</t>
  </si>
  <si>
    <t>daniel.goldman@cleanenergyvg.com</t>
  </si>
  <si>
    <t>+1 (877) 531-9017</t>
  </si>
  <si>
    <t>101 Main Street</t>
  </si>
  <si>
    <t>14th Floor</t>
  </si>
  <si>
    <t>+1 (617) 500-2676</t>
  </si>
  <si>
    <t>info@greatpointenergy.com</t>
  </si>
  <si>
    <t>The company raised an estimated $15 million in a combination of Series E venture funding from undisclosed investors on August 31, 2016, putting the company's pre-money valuation at $740 million.</t>
  </si>
  <si>
    <t>Advanced Technology Ventures, AES, Citigroup Alternative Investments, Dow Venture Capital, Draper Fisher Jurvetson Management, Fairbridge Venture Partners, GreatPoint Ventures, Hercules Capital, Khosla Ventures, Kleiner Perkins, NGP Energy Technology Partners, Peabody Energy, Presidio Ventures, Seven Mile Capital Partners, Suncor Energy, TriplePoint Capital, Walsingham Growth Partners, Wanxiang Group, yet2Ventures</t>
  </si>
  <si>
    <t>Advanced Technology Ventures(www.atvcapital.com), Dow Venture Capital(corporate.dow.com/en-us/about/investors/venture-capital), Draper Fisher Jurvetson Management(www.dfj.com), GreatPoint Ventures(www.gpv.com), Hercules Capital(www.htgc.com), Khosla Ventures(www.khoslaventures.com), Kleiner Perkins(www.kleinerperkins.com), NGP Energy Technology Partners(www.ngpetp.com), Peabody Energy(www.peabodyenergy.com), Presidio Ventures(www.presidio-ventures.com), Seven Mile Capital Partners(www.sevenmilecp.com), Suncor Energy(www.suncor.com), TriplePoint Capital(www.triplepointcapital.com), Walsingham Growth Partners(www.walsinghampartners.com), yet2Ventures(www.yet2Ventures.com)</t>
  </si>
  <si>
    <t>Mintz, Levin, Cohn, Ferris, Glovsky and Popeo(Legal Advisor), Shields &amp; Company(Advisor: General)</t>
  </si>
  <si>
    <t>Greentech Capital Advisors(Advisor: General), Hercules Capital(Debt Financing), Mintz, Levin, Cohn, Ferris, Glovsky and Popeo(Legal Advisor)</t>
  </si>
  <si>
    <t>60276-16</t>
  </si>
  <si>
    <t>Graylog</t>
  </si>
  <si>
    <t>TORCH</t>
  </si>
  <si>
    <t>Splunk, SevOne, ExtraHop Networks, Sumo Logic, Logz.io, Logmatic.io, LogDNA, strongDM, Expert System, Cloud Cruiser, ScienceLogic, Loggly, Glassbeam, Paessler, Iguazio, Scalyr, Compose, CopperEgg, ZeroNorth, Cloudyn Software, Cloudability, Optimizely, Bay Dynamics, BMC Software, Interset, Rollbar, BEKO Holding, Micro Focus, Logentries.com, Hortonworks, LogRhythm, Stackify, Coveo, ObjectRocket, RightScale, Automic Software, Exabeam, Maana, CloudCheckr, Zabbix, SmartBear, ServiceNow, AppDynamics, Correlata Solutions, ObserveIT, Sitecore, Bonsai (Software Development Applications), Algolia, Alert Logic, Elasticsearch</t>
  </si>
  <si>
    <t>Provider of an enterprise log management platform designed to reliably collect and analyze peta bytes of machine data at high speeds. The company's management platform is used by threat hunters, operations professionals and DevOps departments to provide advanced situational awareness, issue analysis and resolution enabling users to scale and apply event processes and workflows across the whole organization.</t>
  </si>
  <si>
    <t>Business/Productivity Software, Database Software*, Network Management Software</t>
  </si>
  <si>
    <t>data analysis, data visualization, logging data, logging management, logging management platform</t>
  </si>
  <si>
    <t>www.graylog.org</t>
  </si>
  <si>
    <t>2013: 5, 2014: 8, 2015: 12</t>
  </si>
  <si>
    <t>56397-25P</t>
  </si>
  <si>
    <t>Lennart Koopmann</t>
  </si>
  <si>
    <t>lennart@graylog.com</t>
  </si>
  <si>
    <t>+1 (844) 344-2082</t>
  </si>
  <si>
    <t>708 Main Street</t>
  </si>
  <si>
    <t>77002</t>
  </si>
  <si>
    <t>hello@graylog.com</t>
  </si>
  <si>
    <t>The company raised $5 million of venture funding from Mercury Fund and other undisclosed investors on June 13, 2018, putting the company's pre-money valuation at an estimated $15 million. Previously, the company raised $3.5 million of Series A1 venture funding in a deal led by Mercury Fund on July 27, 2017. The company is being actively tracked by PitchBook.</t>
  </si>
  <si>
    <t>Crosslink Capital, Draper Associates, e.ventures, High-Tech Gründerfonds, Houston Angel Network, Lytical Ventures, Mercury Fund, Pine Hill Capital, Texas Atlantic Capital</t>
  </si>
  <si>
    <t>Crosslink Capital(www.crosslinkcapital.com), Draper Associates(www.draper.vc), e.ventures(www.eventures.vc), High-Tech Gründerfonds(www.high-tech-gruenderfonds.de), Houston Angel Network(www.houstonangelnetwork.org), Lytical Ventures(www.lyticalventures.com), Mercury Fund(www.mercuryfund.com), Pine Hill Capital(www.pine-hill-capital.com), Texas Atlantic Capital(www.ta.capital)</t>
  </si>
  <si>
    <t>Dwyer Murphy Calvert(Legal Advisor)</t>
  </si>
  <si>
    <t>Roehrborn(Legal Advisor)</t>
  </si>
  <si>
    <t>225723-16</t>
  </si>
  <si>
    <t>Graphmatech</t>
  </si>
  <si>
    <t>Aros Graphene</t>
  </si>
  <si>
    <t>Manufacturer of a graphene material technology designed to invent, develop and sell novel Graphene-based nanocomposites materials and services. The company's Aros Graphene utilizes electrical and thermal properties of graphene in 3D dimensions and features high thermal and electrical conductivity, self-lubricating, self-cooling, light-weight, extremely low friction and high wear resistance, enabling industries to develop new products using graphene hybrid materials.</t>
  </si>
  <si>
    <t>Other Commercial Services*, Other Semiconductors</t>
  </si>
  <si>
    <t>graphene hybrid materials, graphene materials technology, graphene nanocomposites</t>
  </si>
  <si>
    <t>www.graphmatech.com</t>
  </si>
  <si>
    <t>179472-16P</t>
  </si>
  <si>
    <t>Mamoun Taher</t>
  </si>
  <si>
    <t>mamoun.taher@graphmatech.com</t>
  </si>
  <si>
    <t>+46 (0)73 551 30 54</t>
  </si>
  <si>
    <t>Västerås, Sweden</t>
  </si>
  <si>
    <t>Forskargränd 7</t>
  </si>
  <si>
    <t>Västerås</t>
  </si>
  <si>
    <t>721 78</t>
  </si>
  <si>
    <t>The company raised an undisclosed amount of seed funding in a deal led by ABB Technology Ventures and Walerud Ventures on September 10, 2018. Earlier, the company joined Synerleap in January 2018.</t>
  </si>
  <si>
    <t>ABB Technology Ventures, KIC InnoEnergy, Synerleap, Vinnova, Walerud Ventures</t>
  </si>
  <si>
    <t>KIC InnoEnergy(www.innoenergy.com), Synerleap(Synnerleap.com), Vinnova(www.vinnova.se), Walerud Ventures(www.walerud.com)</t>
  </si>
  <si>
    <t>120679-39</t>
  </si>
  <si>
    <t>Graphistry</t>
  </si>
  <si>
    <t>LatentView Analytics</t>
  </si>
  <si>
    <t>Provider of a visual graph analysis service intended to change how organizations interact with their data. The company provides an event and graph analysis service to it clients that automatically assists analysts in gathering data related to an incident, linking together entities, events, interactively, visually analyzing them and handing off the findings.</t>
  </si>
  <si>
    <t>data streaming, events analysis, graphing analysis, visual graphing, visualization-as-a-service</t>
  </si>
  <si>
    <t>www.graphistry.com</t>
  </si>
  <si>
    <t>108477-55P</t>
  </si>
  <si>
    <t>Leo Meyerovich</t>
  </si>
  <si>
    <t>leo@graphistry.com</t>
  </si>
  <si>
    <t>1212 Broadway</t>
  </si>
  <si>
    <t>info@graphistry.com</t>
  </si>
  <si>
    <t>The company raised an estimated $450,000 of Seed funding from NVIDIA GPU Ventures and Greylock Capital Management on November 30, 2017, putting the company's pre-money valuation at $8.29 million.</t>
  </si>
  <si>
    <t>Andy Chou, Ben Lorica, Bloomberg Beta, Brook Conner, Clarence Granger, Dave Park, Greylock Capital Management, In-Q-Tel, Kurt Keutzer, NVIDIA GPU Ventures, Patrick O'Malley, Prasanna Srikhanta</t>
  </si>
  <si>
    <t>Bloomberg Beta(www.bloombergbeta.com), Greylock Capital Management(www.greylockcapital.com), In-Q-Tel(www.iqt.org)</t>
  </si>
  <si>
    <t>166649-68</t>
  </si>
  <si>
    <t>Graphcore</t>
  </si>
  <si>
    <t>Nvidia, Adapteva, ThinCI, Sensory</t>
  </si>
  <si>
    <t>Developer of a new generation computer processor designed to accelerate machine intelligence learning. The company's processor emphasizes massively parallel, low-precision floating-point computing and provides higher compute density than other solutions and the C++ programming framework provides seamless interface to standard machine learning frameworks, with simple integration for existing applications written for Tensorflow, enabling researchers to explore machine intelligences across a much broader front than current solutions.</t>
  </si>
  <si>
    <t>Application Software, Application Specific Semiconductors, Electronic Components*</t>
  </si>
  <si>
    <t>artificial intelligence, computer processor, ipu technology systems, machine intelligence processor, machine learning processor</t>
  </si>
  <si>
    <t>www.graphcore.ai</t>
  </si>
  <si>
    <t>2016: 11, 2017: 60, 2019: 180</t>
  </si>
  <si>
    <t>30488-50P</t>
  </si>
  <si>
    <t>Nigel Toon</t>
  </si>
  <si>
    <t>nigel.toon@graphcore.ai</t>
  </si>
  <si>
    <t>+44 (0)11 7214 1420</t>
  </si>
  <si>
    <t>Bristol, United Kingdom</t>
  </si>
  <si>
    <t>11-19 Wine Street</t>
  </si>
  <si>
    <t>Bristol</t>
  </si>
  <si>
    <t>BS1 2PH</t>
  </si>
  <si>
    <t>info@graphcore.ai</t>
  </si>
  <si>
    <t>The company raised $200 million of Series D venture funding in a deal led by Atomico and Sofina on December 18, 2018, putting the company's pre-money valuation at $2 billion. Robert Bosch Venture Capital, Samsung Catalyst, Dell Technologies Capital, BMW i Ventures, Microsoft, Merian Chrysalis Investment Company, Sequoia Capital, Amadeus Capital Partners, C4 Ventures, Draper Esprit, Foundation Capital, Pitango Venture Capital and Merian Global Investors also participated in the round. The company will use the funds to rapidly scale up, hire lots of new engineers, ramp up production and be add to the sales, marketing, finance, legal and people teams.</t>
  </si>
  <si>
    <t>Amadeus Capital Partners, Atomico, BMW i Ventures, C4 Ventures, Dell Technologies Capital, Demis Hassabis, Draper Esprit, Foundation Capital, Greg Brockman, Ilya Sutskever, Merian Chrysalis Investment, Merian Global Investors, Microsoft, Pieter Abbeel, Pitango Venture Capital, Robert Bosch Venture Capital, Samsung Catalyst, Scott Gray, Sequoia Capital, Sequoia Capital China, Sofina, Wyvern Fund, Zoubin Ghahramani</t>
  </si>
  <si>
    <t>Amadeus Capital Partners(www.amadeuscapital.com), Atomico(www.atomico.com), BMW i Ventures(www.bmwiventures.com), C4 Ventures(www.c4v.com), Draper Esprit(www.draperesprit.com), Foundation Capital(www.foundationcapital.com), Greg Brockman(www.gregbrockman.com), Merian Global Investors(www.omglobalinvestors.com), Microsoft(www.microsoft.com), Pitango Venture Capital(www.pitango.com), Robert Bosch Venture Capital(www.rbvc.com), Samsung Catalyst(www.samsungcatalyst.com), Sequoia Capital(www.sequoiacap.com), Sequoia Capital China(www.sequoiacap.com/china), Sofina(www.sofinagroup.com), Wyvern Fund(www.wyvernfund.com)</t>
  </si>
  <si>
    <t>Orrick, Herrington &amp; Sutcliffe(Legal Advisor), Sheridans(Legal Advisor)</t>
  </si>
  <si>
    <t>Orrick, Herrington &amp; Sutcliffe(Legal Advisor), The Goldman Sachs Group(Placement Agent)</t>
  </si>
  <si>
    <t>229021-84</t>
  </si>
  <si>
    <t>Grão Direto</t>
  </si>
  <si>
    <t>Developer of an agricultural platform designed to digitize the agricultural commodity chain, helping farmers and buyers to market in a more efficient, safe, modern way. The company's platform helps farmers and grain buyers to negotiate and close deals faster and more efficiently for both spot and future market or barter trades, thus improving market intelligence analysis for growers and buyers, helping them make better decisions.</t>
  </si>
  <si>
    <t>agricultural app, agricultural platform, digitizing agriculture, grain trading platform</t>
  </si>
  <si>
    <t>www.graodireto.com.br</t>
  </si>
  <si>
    <t>186230-62P</t>
  </si>
  <si>
    <t>Alexandre Borges</t>
  </si>
  <si>
    <t>alexandre.borges@graodireto.com.br</t>
  </si>
  <si>
    <t>+55 34 3331 1163</t>
  </si>
  <si>
    <t>Uberaba MG, Brazil</t>
  </si>
  <si>
    <t>R. Antônio Carlos</t>
  </si>
  <si>
    <t>390 - São Sebastiao</t>
  </si>
  <si>
    <t>Uberaba MG</t>
  </si>
  <si>
    <t>38060-355</t>
  </si>
  <si>
    <t>contato@graodireto.com.br</t>
  </si>
  <si>
    <t>The company raised BRL 2.3 million of venture funding from Monsanto Growth Ventures, OpenVC and Canary on May 23, 2018. The company intends to use the funds to increase the team by hiring new people for all areas of the company. Previously, the company joined Inovativa Brasil on June 29, 2017 and received BRL 400,000 in grant funding.</t>
  </si>
  <si>
    <t>Canary, Inovativa Brasil, Monsanto Growth Ventures, OpenVC Fund, Startup Farm</t>
  </si>
  <si>
    <t>Canary(www.canary.com.br), Inovativa Brasil(www.inovativabrasil.com.br), Startup Farm(www.startup.farm)</t>
  </si>
  <si>
    <t>61113-97</t>
  </si>
  <si>
    <t>Grainful</t>
  </si>
  <si>
    <t>BeetNPath</t>
  </si>
  <si>
    <t>Purely Elizabeth, Gorilly Goods, Nud fud, KIND (Healthy Snacks), GrandyOats, Plum Organics</t>
  </si>
  <si>
    <t>Provider of natural steel cut oat-based frozen food created to bring the goodness of oats for dinner. The company's globally-inspired, bold tasting meals are made of steel cut oats which are gluten free, chock-full of fiber and packed with complete proteins and loads of other nutrients as well as priced affordably, enabling consumer to get delicious, nourishing and convenient food options, centered on high-protein grains and clean ingredients. It also provides a video sharing app which enables consumers to share their recipes, wellness and reviews.</t>
  </si>
  <si>
    <t>Food Products*, Specialty Retail</t>
  </si>
  <si>
    <t>frozen food, nutritious food, oatmeal, oats, steel cutting oat</t>
  </si>
  <si>
    <t>www.grainful.com</t>
  </si>
  <si>
    <t>59528-08P</t>
  </si>
  <si>
    <t>Jeannine Sacco</t>
  </si>
  <si>
    <t>Co-Founder &amp; Chief Food Officer</t>
  </si>
  <si>
    <t>jeannine@grainful.com</t>
  </si>
  <si>
    <t>+1 (607) 319-5585</t>
  </si>
  <si>
    <t>Ithaca, NY</t>
  </si>
  <si>
    <t>950 Danby Road</t>
  </si>
  <si>
    <t>Ithaca</t>
  </si>
  <si>
    <t>14850</t>
  </si>
  <si>
    <t>+1 (607) 330-2319</t>
  </si>
  <si>
    <t>info@grainful.com</t>
  </si>
  <si>
    <t>The company raised an undisclosed amount of venture funding from Red Bear Angels on June 27, 2018. Previously, the company received an undisclosed amount of debt financing in the form of a lien from SIGMA Equipment on February 20, 2018.</t>
  </si>
  <si>
    <t>Advantage Capital (St. Louis), CircleUp Network, KensaGroup, Rand Capital, Red Bear Angels, Western New York Venture Association</t>
  </si>
  <si>
    <t>Advantage Capital (St. Louis)(www.advantagecap.com), CircleUp Network(www.circleup.com), KensaGroup(www.kensagroup.com), Rand Capital(www.randcapital.com), Red Bear Angels(www.rbangels.com), Western New York Venture Association(www.wnyventure.com)</t>
  </si>
  <si>
    <t>CircleUp Network(Debt Financing), Rand Capital(Debt Financing), SIGMA Equipment(Debt Financing)</t>
  </si>
  <si>
    <t>234051-94</t>
  </si>
  <si>
    <t>Gradient (Machine Learning Platform)</t>
  </si>
  <si>
    <t>Provider of digital advertising platform intended to help drive sales online. The company measures a brand's digital presence on Amazon Marketplace compared to its competitors in a particular category and then uses machine learning to make the product appear higher up in search results, enabling businesses to maximize shelf presence and customer conversion.</t>
  </si>
  <si>
    <t>AdTech, Artificial Intelligence &amp; Machine Learning, Big Data</t>
  </si>
  <si>
    <t>digital marketing, ecommerce, machine learning, marketing platform</t>
  </si>
  <si>
    <t>www.gradient.io</t>
  </si>
  <si>
    <t>195609-79P</t>
  </si>
  <si>
    <t>Bobby Figueroa</t>
  </si>
  <si>
    <t>bobby@gradient.io</t>
  </si>
  <si>
    <t>The company raised $3.5 million of Seed 1 funding in a deal led by Flying Fish Partners on October 23, 2018, putting the company's pre-money valuation at $8.4 million. MDC Ventures, Black Jays Investments and Pioneer Square Labs also participated in this round. The funds will be used to grow the team.</t>
  </si>
  <si>
    <t>Black Jays Investments, Flying Fish Partners, MDC Ventures, Pioneer Square Labs</t>
  </si>
  <si>
    <t>Black Jays Investments(www.blackjays.vc), Flying Fish Partners(www.flyingfish.vc), MDC Ventures(www.mdcventures.vc), Pioneer Square Labs(www.psl.com)</t>
  </si>
  <si>
    <t>57860-47</t>
  </si>
  <si>
    <t>Grabit</t>
  </si>
  <si>
    <t>Dematic Group, Rethink Robotics</t>
  </si>
  <si>
    <t>Developer of an industrial material-handling technology designed to transform manufacturing and warehouse logistics. The company's material-handling technology virtually handles all types of material, meshes, films, fibers and produce without having to use conventional vacuum technology or mechanical grippers, enabling industries to handle a variety of products and materials safely.</t>
  </si>
  <si>
    <t>Industrial Supplies and Parts, Logistics, Machinery (B2B)*</t>
  </si>
  <si>
    <t>industrial engineering, parts fixtures, robotics automation solutions, smart conveyor, warehouse logistics</t>
  </si>
  <si>
    <t>www.grabitinc.com</t>
  </si>
  <si>
    <t>2013: 20, 2014: 39, 2015: 14, 2016: 25</t>
  </si>
  <si>
    <t>54706-42P</t>
  </si>
  <si>
    <t>Harsha Prahlad</t>
  </si>
  <si>
    <t>Chief Technology and Products Officer, Co-Founder &amp; Board Member</t>
  </si>
  <si>
    <t>harsha.prahlad@grabitinc.com</t>
  </si>
  <si>
    <t>+1 (408) 642-1830</t>
  </si>
  <si>
    <t>1246 Reamwood Avenue</t>
  </si>
  <si>
    <t>info@grabitinc.com</t>
  </si>
  <si>
    <t>The company raised $4 million of convertible debt financing from Burke E. Porter Machinery and other undisclosed investors on June 19, 2018. Earlier, the company raised $15 million of Series B venture funding through a combination of equity and debt from NTT Docomo Ventures, Shanghai Electric (Group) and Esquel Group on March 15, 2017. Samsung Electronics, Danhua Capital, Draper Nexus, Flex's Lab IX and Plug and Play Tech Center also participated in the round.</t>
  </si>
  <si>
    <t>ABB Technology Ventures, Brother Industries, Burke E. Porter Machinery, Digital Horizon Capital, DNX Ventures, Esquel Group, Flex's Lab IX, Formation 8, Nike, NTT Docomo Ventures, Plug and Play Tech Center, Samsung Electronics, Shanghai Electric (Group), SRI Ventures</t>
  </si>
  <si>
    <t>Brother Industries(global.brother), Burke E. Porter Machinery(www.bepco.com), Digital Horizon Capital(www.dh.vc), DNX Ventures(www.dnx.vc), Esquel Group(www.esquel.com), Flex's Lab IX(www.labix.io/expertise/startups), Formation 8(www.formation8.com), Nike(www.nike.com), NTT Docomo Ventures(www.nttdocomo-v.com), Plug and Play Tech Center(www.plugandplaytechcenter.com), Samsung Electronics(www.samsung.com), Shanghai Electric (Group)(www.shanghai-electric.com)</t>
  </si>
  <si>
    <t>Ironheart Corporate Advisory(Consulting), Wilson Sonsini Goodrich &amp; Rosati(Legal Advisor)</t>
  </si>
  <si>
    <t>229810-78</t>
  </si>
  <si>
    <t>GovWorks</t>
  </si>
  <si>
    <t>govWorks.com</t>
  </si>
  <si>
    <t>Provider of a technology intended to simplify the process of expediting passports and travel visas. The company's technology involves intuitive online web platform to simplify bureaucratic processes, enabling customers to experience ease in processes.</t>
  </si>
  <si>
    <t>bureaucracy assistance, bureaucratic process, passport processing services, passport service, travel visa</t>
  </si>
  <si>
    <t>www.govworks.com</t>
  </si>
  <si>
    <t>105613-03P</t>
  </si>
  <si>
    <t>Matt Zemon</t>
  </si>
  <si>
    <t>matt@govworks.com</t>
  </si>
  <si>
    <t>+1 (212) 726-8000</t>
  </si>
  <si>
    <t>10250 Constellation Boulevard</t>
  </si>
  <si>
    <t>90067</t>
  </si>
  <si>
    <t>+1 (213) 279-8000</t>
  </si>
  <si>
    <t>The company raised $18 million of venture funding in a deal led by Kohlberg Kravis Roberts and Mayfield Fund on November 3, 1999. Publicis.Sapient, Vignette, Partnership for New York City, and Hearst Ventures also participated in the round. The funds will be used for additional development of the govWorks.com network, selected acquisitions, and to launch initial marketing and advertising efforts in select cities.</t>
  </si>
  <si>
    <t>Hearst Ventures, Kohlberg Kravis Roberts, Mayfield Fund, Partnership for New York City, Publicis Sapient, Vignette</t>
  </si>
  <si>
    <t>Kohlberg Kravis Roberts(www.kkr.com), Mayfield Fund(www.mayfield.com), Partnership for New York City(www.pfnyc.org), Publicis Sapient(www.publicissapient.com)</t>
  </si>
  <si>
    <t>97592-41</t>
  </si>
  <si>
    <t>Govini</t>
  </si>
  <si>
    <t>Mu Sigma, Absolutdata Intelligent Analytics, Looker, Icertis</t>
  </si>
  <si>
    <t>Provider of a data science platform designed to deliver decision-grade information. The company's data science platform uses strategic intelligence with the attributes of machine-scaling, robust database of record, advanced query capabilities driven by AI, powerful analytical framework and solves intractable problems with deep analysis, discovery of previously unavailable insights and the creation of accurate forecasts, enabling federal agencies to get an analytical framework that is a requisite for success.</t>
  </si>
  <si>
    <t>Government</t>
  </si>
  <si>
    <t>Business/Productivity Software, Government*, Media and Information Services (B2B)</t>
  </si>
  <si>
    <t>data science platform, decision-grade information, federal, local government, market analytics</t>
  </si>
  <si>
    <t>www.govini.com</t>
  </si>
  <si>
    <t>79485-94P</t>
  </si>
  <si>
    <t>Eric Gillespie</t>
  </si>
  <si>
    <t>eric@govini.com</t>
  </si>
  <si>
    <t>+1 (866) 209-9100</t>
  </si>
  <si>
    <t>1735 North Lynn Street</t>
  </si>
  <si>
    <t>info@govini.com</t>
  </si>
  <si>
    <t>The company raised $20 million of Series C venture funding from Accel, Ares Capital and Salesforce Ventures on May 7, 2015. Symphony Technology Group also participated in the round. The funding will be used to expand its sales and professional services teams in Washington, D.C. and further develop its platform. The company raised $5.3 million of mezzanine financing from Ares Capital on June 25, 2015.</t>
  </si>
  <si>
    <t>Accel, Ares Capital, Salesforce Ventures, STG Partners</t>
  </si>
  <si>
    <t>Accel(www.accel.com), STG Partners(www.stgpartners.com)</t>
  </si>
  <si>
    <t>Ares Capital(Debt Financing), Orrick, Herrington &amp; Sutcliffe(Legal Advisor)</t>
  </si>
  <si>
    <t>171550-72</t>
  </si>
  <si>
    <t>Gospel Technology</t>
  </si>
  <si>
    <t>Gospel</t>
  </si>
  <si>
    <t>Provider of an enterprise data management platform intended to facilitate the use of Blockchain to secure and verify sharable data. The company's blockchain-based enterprise data management platform connects digital assets including containers, applications and data to an enterprise distributed ledger, offers real-time identification of abnormal behavior and data breaches through decentralized validation, stores history of key trust indicators and prepares schedules of erasure policies based on absolute expiry dates within the ledger, enabling businesses to have a clear and transparent world state of data assets and also secure and verify shareable data.</t>
  </si>
  <si>
    <t>Business/Productivity Software*, Financial Software, Network Management Software</t>
  </si>
  <si>
    <t>Cryptocurrency/Blockchain, FinTech, SaaS</t>
  </si>
  <si>
    <t>blockchain technology, blockchain-based enterprise data, cloud security, data distribution platform, enterprise data management, enterprise data management platform, ledger technology</t>
  </si>
  <si>
    <t>www.gospel.tech</t>
  </si>
  <si>
    <t>93714-76P</t>
  </si>
  <si>
    <t>Ian Smith</t>
  </si>
  <si>
    <t>ian@gospel.tech</t>
  </si>
  <si>
    <t>+44 (0)20 7969 1459</t>
  </si>
  <si>
    <t>33 Cavendish Square</t>
  </si>
  <si>
    <t>W1G 0PW</t>
  </si>
  <si>
    <t>step.forward@gospel.tech</t>
  </si>
  <si>
    <t>The company raised GBP 5 million of Series A venture funding from Salesforce Ventures and IA Ventures on September 24, 2018. The company intends to use the funds to expand their sales, marketing and partner programs, as well as continue the development of their data collaboration platform and integration across existing and new applications and infrastructure. Earlier this year, the company raised GBP 1.4 million of seed funding in a deal led by LocalGlobe on June 18, 2018.</t>
  </si>
  <si>
    <t>IA Ventures, John Hall, Keith Robinson, Lex van Dam, LG Venture Investments, LocalGlobe, Malcolm Hopping, Michael Pennington, Salesforce Ventures, Vivek Kundra</t>
  </si>
  <si>
    <t>IA Ventures(www.iaventures.com), LocalGlobe(www.localglobe.vc)</t>
  </si>
  <si>
    <t>98343-73</t>
  </si>
  <si>
    <t>Goonies</t>
  </si>
  <si>
    <t>Developer of a smart palette intended to offer children a new way of digital art amusement. The company's palette can be accessed through an application and is easy to use, enabling users to color in an enhanced way.</t>
  </si>
  <si>
    <t>Application Software*, Electronics (B2C), Multimedia and Design Software</t>
  </si>
  <si>
    <t>color application, color palette, electronic palette, smart color palette, smart pallete</t>
  </si>
  <si>
    <t>www.goonies.kr</t>
  </si>
  <si>
    <t>706, 2497, Nambusunhwan-ro</t>
  </si>
  <si>
    <t>Seocho-gu, Republic of Korea</t>
  </si>
  <si>
    <t>all@goonies.kr</t>
  </si>
  <si>
    <t>The company raised an undisclosed amount of venture funding from Samsung Venture Investment on April 1, 2015. Previously, the company joined Digital Entertainment Ventures and raised an undisclosed amount in funding on October 14, 2014.</t>
  </si>
  <si>
    <t>Digital Entertainment Ventures, Samsung Venture Investment</t>
  </si>
  <si>
    <t>Digital Entertainment Ventures(www.devny.vc), Samsung Venture Investment(www.samsungventures.com)</t>
  </si>
  <si>
    <t>84502-81</t>
  </si>
  <si>
    <t>Goodpatch</t>
  </si>
  <si>
    <t>Vaadin, Method, Arrow Digital</t>
  </si>
  <si>
    <t>Provider of user interface design services intended to help in creating design and products. The company's user interface design services bridge cultures and industries to create quality services and include great design, clean code and effective strategies, enabling users to solve their toughest challenges in designing and provide fresh user experience.</t>
  </si>
  <si>
    <t>user experience design, user interface, user interface design, web application</t>
  </si>
  <si>
    <t>goodpatch.com</t>
  </si>
  <si>
    <t>107134-84P</t>
  </si>
  <si>
    <t>Joi Ito</t>
  </si>
  <si>
    <t>South Gate Shibuya Building 2nd Floor</t>
  </si>
  <si>
    <t>3-3 Uguisudanicho Shibuya-ku</t>
  </si>
  <si>
    <t>150-0032</t>
  </si>
  <si>
    <t>The company raised $3.61 million of Series C venture funding from Mitsui Sumitomo Insurance Venture Capital and SBI Investment on April 27, 2017. Previously, the company raised $3.52 million of Series A venture funding from DG Innovation, Salesforce Ventures, SBI Investment, Finc and SMBC Venture on February 19, 2016.</t>
  </si>
  <si>
    <t>DG Incubation, FiNC, Mitsui Sumitomo Insurance Venture Capital, Salesforce Ventures, SBI Investment, SMBC Venture Capital</t>
  </si>
  <si>
    <t>DG Incubation(www.dgincubation.co.jp), FiNC(www.finc.com), SBI Investment(www.sbinvestment.co.jp), SMBC Venture Capital(www.smbc-vc.co.jp)</t>
  </si>
  <si>
    <t>53340-40</t>
  </si>
  <si>
    <t>GoodBelly</t>
  </si>
  <si>
    <t>Ripple (Beverages), Juice Press, Urban Remedy, Organic Avenue, KeVita, Nomva, Pret A Manger, Hint, So Delicious Dairy Free, Califia Farms, Suja, BluePrint, Health-Ade, Sweetgreen, Yakult Honsha Company</t>
  </si>
  <si>
    <t>Producer of probiotic drinks and food products designed to offer scientifically substantiated health benefits. The company's probiotic drinks and food products help to establish intestinal micro-flora balance, enabling consumers to access healthy, natural and organic food products in a variety of flavors.</t>
  </si>
  <si>
    <t>natural food, organic fruits juice, organic juice, probiotic fruit drink</t>
  </si>
  <si>
    <t>www.goodbelly.com</t>
  </si>
  <si>
    <t>2014: 22, 2015: 19</t>
  </si>
  <si>
    <t>50527-18P</t>
  </si>
  <si>
    <t>Alan Murray</t>
  </si>
  <si>
    <t>alan@nextfoods.net</t>
  </si>
  <si>
    <t>+1 (303) 443-3631</t>
  </si>
  <si>
    <t>PO Box 17460</t>
  </si>
  <si>
    <t>80308</t>
  </si>
  <si>
    <t>info@goodbelly.com</t>
  </si>
  <si>
    <t>The company raised $12 million of Series D venture funding in a deal led by 301 on June 21, 2018, putting the company's pre-money valuation at $36 million. Emil Capital Partners also participated in the round. The company intends to use the funds to expand their national sales team, support capital improvements and drive product innovation.</t>
  </si>
  <si>
    <t>301, Emil Capital Partners, Maveron, Sadhu Capital</t>
  </si>
  <si>
    <t>301(www.301inc.com), Emil Capital Partners(www.emilcapitalpartners.com), Maveron(www.maveron.com)</t>
  </si>
  <si>
    <t>DLA Piper(Legal Advisor), First Beverage Financial(Advisor: General), Holland &amp; Hart(Legal Advisor), Imperial Capital(Advisor: General), Sadhu Capital(Debt Financing), Square 1 Bank(Debt Financing), Whipstitch Capital(Advisor: General)</t>
  </si>
  <si>
    <t>155187-28</t>
  </si>
  <si>
    <t>good culture</t>
  </si>
  <si>
    <t>Good Seed, GoodBelly, Organic Avenue, Juice Press, Urban Remedy, BluePrint</t>
  </si>
  <si>
    <t>Producer of healing real-food cultured dairy products intended to offer all-natural cottage cheese without the use of any artificial ingredients. The company's cottage cheese is thick, creamy and low sugar, enabling consumers to consume cheese without affecting their health.</t>
  </si>
  <si>
    <t>cheese, cottages cheese, culture cottages cheese, organic cottages cheese, savories cheese</t>
  </si>
  <si>
    <t>www.goodculture.com</t>
  </si>
  <si>
    <t>2015: 3, 2016: 6, 2017: 12, 2018: 14, 2019: 15</t>
  </si>
  <si>
    <t>130076-11P</t>
  </si>
  <si>
    <t>Jesse Merrill</t>
  </si>
  <si>
    <t>jesse@goodculture.com</t>
  </si>
  <si>
    <t>+1 (949) 545-9945</t>
  </si>
  <si>
    <t>1621 Alton Parkway</t>
  </si>
  <si>
    <t>92606</t>
  </si>
  <si>
    <t>The company raised $8 million of venture funding in a deal led by CAVU Venture Partners on February 26, 2019. 301 and Almanac Insights also participated in the round. The funds will be used to expand distribution and product development to grow in the overall dairy category.</t>
  </si>
  <si>
    <t>301, Almanac Insights, CAVU Venture Partners, Mark VC</t>
  </si>
  <si>
    <t>301(www.301inc.com), Almanac Insights(www.almanacinsights.com), CAVU Venture Partners(www.cavuventures.com), Mark VC(www.markvc.com)</t>
  </si>
  <si>
    <t>Anchin(Accounting), Bank of America(General Business Banking), Comerica Bank(General Business Banking), Propeller Industries(Advisor: General)</t>
  </si>
  <si>
    <t>161539-12</t>
  </si>
  <si>
    <t>Gong.io</t>
  </si>
  <si>
    <t>Gong</t>
  </si>
  <si>
    <t>SalesLoft, Chorus, RingDNA, SalesHood, Yesware, Outreach, Dooly, GoodData, Growbots, Agile CRM, RapidMiner, LeadCrunch, Base (Sales Platform), Tenfold, Lattice (Business/Productivity Software), Conversica, Tethr, Hatchbuck, Amplify.ai, Leadspace, People.ai, Absolutdata Intelligent Analytics, VOIQ, Clari, Spiro Technologies, InsideSales.com, EverString, Act-On, Close.io, Cien, DigitalGenius, SmartZip, Aviso, Velocify, HubSpot, ConnectAndSell, Olono, Seismic (Business/Productivity Software), Bonobo, ExecVision</t>
  </si>
  <si>
    <t>Provider of a sales conversation intelligence platform created to improve calls and demos for sales teams. The company's sales platform is cloud-based and utilizes artificial intelligence to automatically records, transcribes and analyzes every sales conversation, transcribe and analyze calls, enabling organizations to save time, increase win rates, improve strategic decision-making and increase revenue.</t>
  </si>
  <si>
    <t>b2b sales, contact center, conversation intelligence platform, customer service delivery ai, sales analysis, sales management, sales platform, speech analysis, voice recognition software</t>
  </si>
  <si>
    <t>www.gong.io</t>
  </si>
  <si>
    <t>2017: 49, 2018: 65, 2019: 120</t>
  </si>
  <si>
    <t>35482-15P</t>
  </si>
  <si>
    <t>Amit Bendov</t>
  </si>
  <si>
    <t>amit.bendov@gong.io</t>
  </si>
  <si>
    <t>814 Mission Street</t>
  </si>
  <si>
    <t>info@gong.io</t>
  </si>
  <si>
    <t>The company raised $40 million of Series B venture funding in a deal led by Battery Ventures and Dharmesh Thakker on January 17, 2019. Cisco Investments, Norwest Venture Partners, Wing Venture Partners, Next World Capital and Shlomo Kramer also participated in this round. The funds will be used by the company to invest heavily in engineering, fulfill it's long-term product vision as well as expand support, sales and marketing.</t>
  </si>
  <si>
    <t>Battery Ventures, Cisco Investments, Dharmesh Thakker, Next World Capital, Norwest Venture Partners, Shlomo Kramer, Technolera, Wing Venture Capital</t>
  </si>
  <si>
    <t>Battery Ventures(www.battery.com), Cisco Investments(www.ciscoinvestments.com), Next World Capital(www.nextworldcap.com), Norwest Venture Partners(www.nvp.com), Technolera(www.technolera.com), Wing Venture Capital(www.wing.vc)</t>
  </si>
  <si>
    <t>226732-69</t>
  </si>
  <si>
    <t>GoLive</t>
  </si>
  <si>
    <t>Provider of probiotic and prebiotic drinks intended to improve digestive, metabolic and immune functions. The company's drinks are formulated with optimal combination of complex probiotic strains and essential prebiotics, it is yeast-free, freeze-dried to ensure probiotic stability until time of consumption.</t>
  </si>
  <si>
    <t>probiotic, yeast free drinks</t>
  </si>
  <si>
    <t>www.golivebewell.com</t>
  </si>
  <si>
    <t>139A Charles Street</t>
  </si>
  <si>
    <t>info@golivebewell.com</t>
  </si>
  <si>
    <t>The company raised an undisclosed amount of venture funding from ZX Ventures on June 2, 2017.</t>
  </si>
  <si>
    <t>118031-05</t>
  </si>
  <si>
    <t>GoCo</t>
  </si>
  <si>
    <t>Zenefits, EaseCentral, Paycom Software, Justworks, Businessolver, Collage, Avionté, Ceridian HCM, iCIMS, Cezanne HR, BambooHR, Namely, Bob (People Management Platform), Lumesse, Bond International Software, Maxwell Health, Web Benefits Design, PeopleFluent, Octopus HR, Cornerstone OnDemand, Empower Software Solutions, Employee Navigator, SilkRoad Technology, PeopleHR, Limelight Health, SmartRecruiters, Avature USA, Halogen Software, CIPHR, Talent Rover, ClearCompany, Clustree, Workday, Gusto, Kronos, Payworks Incorporation, Automatic Data Processing, BQE Software, Raet, Paycor, P&amp;I Personal &amp; Informatik, PlanSource Benefits Administration, BigTime Software, Paylocity, WorkCompass, The Ceridian (UK and Ireland unit), Greenhouse Software, Peliton, bswift, PeopleAdmin, TimeClock Plus, Infiniti HR, OneUp, Concur Technologies, Reflexis Systems, Benefitter Insurance Solutions, Empyrean, Ultimate Software Group, PAYDAY Workforce Solutions, Siigo, TriNet Group, PeopleKeep</t>
  </si>
  <si>
    <t>Developer of an all-in-one HR and benefits platform designed to make business operations easy. The company's mobile-based platform provides HR functions like employee onboarding, secure cloud-storage document management, eSignature workflows, time-off tracking and HR data reporting, enabling businesses to simplify daunting, complicated insurance benefits enrollment and management.</t>
  </si>
  <si>
    <t>Business/Productivity Software*, Human Capital Services</t>
  </si>
  <si>
    <t>benefits administration, employee management, hr benefit management, hr compliance services, hr management app, hr management platform, hrms application, human capital management</t>
  </si>
  <si>
    <t>www.goco.io</t>
  </si>
  <si>
    <t>2017: 20, 2018: 24</t>
  </si>
  <si>
    <t>46414-54P</t>
  </si>
  <si>
    <t>Nir Leibovich</t>
  </si>
  <si>
    <t>Co-Founder, Chief Executive Office, President &amp; Board Member</t>
  </si>
  <si>
    <t>nir@goco.io</t>
  </si>
  <si>
    <t>+1 (888) 788-4626</t>
  </si>
  <si>
    <t>The Woodlands, TX</t>
  </si>
  <si>
    <t>4747 Research Forest Dre</t>
  </si>
  <si>
    <t>Suite 180 Number 246</t>
  </si>
  <si>
    <t>The Woodlands</t>
  </si>
  <si>
    <t>77381</t>
  </si>
  <si>
    <t>hello@goco.io</t>
  </si>
  <si>
    <t>The company raised $7 million of Series A venture funding in a deal led by ATX Seed Ventures on January 31, 2019, putting the company's pre-money valuation at $37 million. UpCurve also participated in the round.</t>
  </si>
  <si>
    <t>ATX Venture Partners, Corp Strategics, Guardian Life Insurance Company of America, Houston Angel Network, OneDigital Health and Benefits, Salesforce Ventures, UpCurve</t>
  </si>
  <si>
    <t>ATX Venture Partners(www.atxventurepartners.com), Guardian Life Insurance Company of America(www.guardianlife.com), Houston Angel Network(www.houstonangelnetwork.org), OneDigital Health and Benefits(www.onedigital.com), UpCurve(upcurve.com)</t>
  </si>
  <si>
    <t>53800-03</t>
  </si>
  <si>
    <t>GoCardless</t>
  </si>
  <si>
    <t>Zipmark, SlimPay, WePay, Aevi International, Payme (Payment Platform), Docdata Payments, Sage Pay, Previse, LevelUp, Ringpay, Payconiq, Square, Ezypay, PayLane, RevoPay, Pay and Shop, ZooZ, Paymill, Paymentwall, Paidy, WorldPay (Global Payment Processing), PayPal Holdings, Stripe, Integrity Payment Systems, Braintree, BillingTree, Affirm, Yoyo, 2Checkout (Acquired), BluePay, Sterling Payment Technologies, Tipalti, Klarna, Satispay, Paysafe Group, Adyen, BlueSnap, First Data</t>
  </si>
  <si>
    <t>Provider of an online-payment platform intended to turn payments into a competitive advantage. The company's platform offers easy payment collection through direct debit services which allows to collect funds automatically on payment dates and can be used to collect one-off or recurring payments of any amount, enabling organizations to offer recurring-payment services to their customers.</t>
  </si>
  <si>
    <t>online payment platform, online payment site, online payment system, payment and processing vertical, payment gateway</t>
  </si>
  <si>
    <t>www.gocardless.com</t>
  </si>
  <si>
    <t>2016: 80, 2018: 120, 2019: 300</t>
  </si>
  <si>
    <t>40107-07P</t>
  </si>
  <si>
    <t>Hiroki Takeuchi</t>
  </si>
  <si>
    <t>hiroki@gocardless.com</t>
  </si>
  <si>
    <t>+44 (0)20 8338 9540</t>
  </si>
  <si>
    <t>65 Goswell Road</t>
  </si>
  <si>
    <t>Sutton Yard</t>
  </si>
  <si>
    <t>EC1V 7EN</t>
  </si>
  <si>
    <t>help@gocardless.com</t>
  </si>
  <si>
    <t>The company raised $75.50 million of Series E venture funding in a deal led by GV, Salesforce Ventures and Adams Street Partners on February 18, 2019. Accel, Passion Capital, Balderton Capital, and Notion also participated in the round. The funds will be used to expand the company's presence in other countries, targeting new offices in the US and Spain this year.</t>
  </si>
  <si>
    <t>Accel, ACE &amp; Company, Adams Street Partners, Balderton Capital, Eileen Burbidge, GV, Harry Briggs, Hoxton Ventures, Kreos Capital, Mark Zaleski, Notion, Passion Capital, Salesforce Ventures, Start Fund, SV Angel, Tom Hulme, Y Combinator</t>
  </si>
  <si>
    <t>Magnolia Ventures (New York)</t>
  </si>
  <si>
    <t>Accel(www.accel.com), ACE &amp; Company(www.aceandcompany.com), Adams Street Partners(www.adamsstreetpartners.com), Balderton Capital(www.balderton.com), GV(www.gv.com), Hoxton Ventures(www.hoxtonventures.com), Kreos Capital(www.kreoscapital.com), Notion(www.notion.vc), Passion Capital(www.passioncapital.com), SV Angel(www.svangel.com), Tom Hulme(www.thulme.com), Y Combinator(www.ycombinator.com)</t>
  </si>
  <si>
    <t>Magnolia Ventures (New York)(www.magventuresllc.com)</t>
  </si>
  <si>
    <t>Future Fifty(Consulting), Maclay Murray &amp; Spens(Legal Advisor)</t>
  </si>
  <si>
    <t>Financial Technology Partners(Advisor: General), Gunderson Dettmer(Legal Advisor), Kreos Capital(Debt Financing)</t>
  </si>
  <si>
    <t>98914-69</t>
  </si>
  <si>
    <t>GoalShouter</t>
  </si>
  <si>
    <t>Visual Stats</t>
  </si>
  <si>
    <t>Developer of open sports platform designed to make communications tools accessible to the soccer universe. The company's open sports platform offers an application that collects and shares data from any game and enables users to publish content in real-time where game supporters can turns them into commercial opportunities on their website and social networking sites.</t>
  </si>
  <si>
    <t>data collection, games supporters, sports crowdsourcing platform, sports data</t>
  </si>
  <si>
    <t>www.goalshouter.com</t>
  </si>
  <si>
    <t>83166-31P</t>
  </si>
  <si>
    <t>Daniele Galiffa</t>
  </si>
  <si>
    <t>daniele@goalshouter.com</t>
  </si>
  <si>
    <t>+39 33 5575 3078</t>
  </si>
  <si>
    <t>Milan, Italy</t>
  </si>
  <si>
    <t>Piazza IV Novembre, 7</t>
  </si>
  <si>
    <t>Milan</t>
  </si>
  <si>
    <t>20124</t>
  </si>
  <si>
    <t>Italy</t>
  </si>
  <si>
    <t>info@goalshouter.com</t>
  </si>
  <si>
    <t>The company joined Virgin Media Accelerator backed by Techstars and Liberty Global Ventures, and received $120,000 in funding through combination of debt and equity, putting the companies pre-money valuation at $1.08 million on March 10, 2016.</t>
  </si>
  <si>
    <t>dPixel, IMPACT Accelerator, Liberty Global Ventures, Primomiglio SGR, Startup Sauna, Techstars, Virgin Media Business, Working Capital Accelerator</t>
  </si>
  <si>
    <t>dPixel(www.dpixel.it), IMPACT Accelerator(www.impact-accelerator.com), Primomiglio SGR(www.primomigliosgr.it), Startup Sauna(www.startupsauna.com), Techstars(www.techstars.com), Virgin Media Business(www.virginmediabusiness.co.uk), Working Capital Accelerator(www.wcap.tim.it)</t>
  </si>
  <si>
    <t>99934-12</t>
  </si>
  <si>
    <t>Goalio</t>
  </si>
  <si>
    <t>Provider of a sports club management software intended to help manage administrative tasks. The company's sports club management software eases out the tasks of managing sports club activities like membership management, contributions and accounting, enabling sports clubs to save time in the planning and organization of the match and competition operation.</t>
  </si>
  <si>
    <t>sports club management, sports management software, sports organizations software, task management software</t>
  </si>
  <si>
    <t>www.goalio.de</t>
  </si>
  <si>
    <t>86064-40P</t>
  </si>
  <si>
    <t>Philipp Dobrigkeit</t>
  </si>
  <si>
    <t>philipp.dobrigkeit@goalio.de</t>
  </si>
  <si>
    <t>+49 (0)33 1601 5256 2</t>
  </si>
  <si>
    <t>Eichenallee 14</t>
  </si>
  <si>
    <t>14469</t>
  </si>
  <si>
    <t>info@goalio.de</t>
  </si>
  <si>
    <t>Hasso Plattner Ventures sold its stake in the company to an undisclosed investor.</t>
  </si>
  <si>
    <t>Go:Incubator</t>
  </si>
  <si>
    <t>Go:Incubator(www.goincubator.de)</t>
  </si>
  <si>
    <t>108715-69</t>
  </si>
  <si>
    <t>GO-JEK</t>
  </si>
  <si>
    <t>Drivr, Gett, Grab Holdings, PickMe (Application Software), Didi Chuxing, Uber</t>
  </si>
  <si>
    <t>Developer of an on-demand mobile platform designed to offer ride-hailing services. The company's platform delivers everything from meals and groceries to cleaners, masseuses and hairdressers across Indonesia, all at a touch of a smartphone application, enabling users to access ride-hailing, logistics and digital payment services in just one tap.</t>
  </si>
  <si>
    <t>Application Software*, Logistics, Other Commercial Services</t>
  </si>
  <si>
    <t>courier service, mobile platform service, motorcycle transport, ride-hailing services, transport service, transport service software</t>
  </si>
  <si>
    <t>www.go-jek.com</t>
  </si>
  <si>
    <t>102910-42P</t>
  </si>
  <si>
    <t>Kevin Aluwi</t>
  </si>
  <si>
    <t>Jakarta Selatan, Indonesia</t>
  </si>
  <si>
    <t>Pasaraya Blok M Building B Lt. 6, Jalan Iskandarsyah II Number 7, RW. 2</t>
  </si>
  <si>
    <t>Melawai, Kebayoran Baru, RT.3/RW.1, Melawai, Kby. Baru</t>
  </si>
  <si>
    <t>Jakarta Selatan</t>
  </si>
  <si>
    <t>12160</t>
  </si>
  <si>
    <t>Indonesia</t>
  </si>
  <si>
    <t>+62 (0)21 5025 1110</t>
  </si>
  <si>
    <t>info@go-jek.com</t>
  </si>
  <si>
    <t>The company raised $1.1 billion out of planned $2 billion amount of Series F venture funding in a deal led by Tencent Holdings, JD.com and Alphabet on February 1, 2019, putting the company's pre-money valuation at $9 billion. Mitsubishi, Provident Capital Partners, French Partners, Astra International and other undisclosed existing investors also participated in this round.The capital is being raised to expand the company's services in Southeast Asia. Previously, the company received $1200 million of financing in a dead led by Tencent Holdings on October 31, 2018. Alphabet, JD.com, French Partners and other undisclosed investors also participated in this round.</t>
  </si>
  <si>
    <t>Allianz X, Alphabet, Arthur Benjamin, Astra International, Avantage Ventures, BlackRock, Capital Group Private Markets, Djarum Group, DST Global, Farallon Capital Management, Formation Group, French Partners, GDP Venture, GIC Private, Google Developers Launchpad, Hera Capital, JD.com, Kohlberg Kravis Roberts, Meituan-Dianping, Mitsubishi, Northstar(Singapore), Openspace Ventures, Provident Capital Partners, Rakuten Capital, Samsung Venture Investment, Sequoia Capital India, Temasek Holdings, Tencent Holdings, Vanedge Capital, Via ID, Warburg Pincus</t>
  </si>
  <si>
    <t>Allianz X(www.allianzx.com), Alphabet(www.abc.xyz), Astra International(www.astra.co.id), BlackRock(www.blackrock.com), Djarum Group(www.djarum.com), DST Global(www.dst-global.com), Farallon Capital Management(www.faralloncapital.com), Formation Group(www.formationgroup.com), French Partners(www.frenchpartners.com), GDP Venture(www.gdpventure.com), GIC Private(www.gic.com.sg), Google Developers Launchpad(developers.google.com/programs/launchpad), Hera Capital(www.hera-capital.com), JD.com(www.jd.com), Kohlberg Kravis Roberts(www.kkr.com), Meituan-Dianping(about.meituan.com), Mitsubishi(www.mitsubishicorp.com), Northstar(Singapore)(www.nsgroup.com), Openspace Ventures(www.openspace.vc), Provident Capital Partners(www.procap-partners.com), Rakuten Capital(capital.rakuten.com), Samsung Venture Investment(www.samsungventures.com), Sequoia Capital India(www.sequoiacap.com/india), Temasek Holdings(www.temasek.com.sg), Tencent Holdings(www.tencent.com), Vanedge Capital(www.vanedgecapital.com), Via ID(www.via-id.com), Warburg Pincus(www.warburgpincus.com)</t>
  </si>
  <si>
    <t>China International Capital Corporation(Advisor: Financial Due Diligence), Davis Polk &amp; Wardwell(Legal Advisor), EY(Advisor: General)</t>
  </si>
  <si>
    <t>52304-23</t>
  </si>
  <si>
    <t>Glympse</t>
  </si>
  <si>
    <t>Thethings.Io, LocationSmart, Localz, Bringg</t>
  </si>
  <si>
    <t>Provider of a location-driven customer experience platform intended to connect consumers, service and delivery organizations, retailers as well as the Internet of Things (IoT). The company's platform facilitates location sharing and ETA insight across a global ecosystem of automobiles, maps, navigation systems, wearables, messaging applications, voice/AI devices, household electronics, smart appliances and more, enabling sales and delivery teams around the world to make contextual location data the focal point of their digital customer experience strategies.</t>
  </si>
  <si>
    <t>customer communication tools, customer engagement app, customer satisfaction, customer satisfaction tools, interaction app</t>
  </si>
  <si>
    <t>www.glympse.com</t>
  </si>
  <si>
    <t>2014: 21, 2016: 41, 2017: 50, 2018: 45</t>
  </si>
  <si>
    <t>39865-33P</t>
  </si>
  <si>
    <t>Chris Ruff</t>
  </si>
  <si>
    <t>chris@glympse.com</t>
  </si>
  <si>
    <t>+1 (206) 237-1010</t>
  </si>
  <si>
    <t>1424 11th Avenue</t>
  </si>
  <si>
    <t>98122</t>
  </si>
  <si>
    <t>contact@glympse.com</t>
  </si>
  <si>
    <t>Curious Office, Eastward Capital Partners, Ignition Partners, Individual Investor, Liberty Global Ventures, Menlo Ventures, Naya Ventures, Presidio Ventures, UMC Capital, Verizon Ventures, XG Ventures</t>
  </si>
  <si>
    <t>Curious Office(www.curiousoffice.com), Eastward Capital Partners(www.eastwardcp.com), Ignition Partners(www.ignitionpartners.com), Menlo Ventures(www.menlovc.com), Naya Ventures(www.nayaventures.com), Presidio Ventures(www.presidio-ventures.com), UMC Capital(www.umccapital.com), Verizon Ventures(www.verizonventures.com), XG Ventures(www.xg-ventures.com)</t>
  </si>
  <si>
    <t>Perkins Coie(Legal Advisor), Spinta Capital(Advisor: General)</t>
  </si>
  <si>
    <t>104052-34</t>
  </si>
  <si>
    <t>Glossier</t>
  </si>
  <si>
    <t>Kosas Cosmetics, W3ll People, DermStore, ColourPop, Eyeko, Younique, RMS Beauty, Thrive Causemetics, Bobbi Brown Cosmetics, Paula's Choice, Charlotte Tilbury Beauty, Nars Cosmetics, Lime Crime, Too Faced Cosmetics, E.L.F. Cosmetics, MAC Cosmetics, Beiersdorf, It Cosmetics, Iconic London, The Ordinary, Drunk Elephant, First Aid Beauty, Mario Badescu, Milk Makeup</t>
  </si>
  <si>
    <t>Provider of a beauty brand intended to promote the skincare-first philosophy that celebrates beauty in real life. The company's direct-to-consumer platform offers a wide variety of personal products that are cruelty and parabens-free utilizing direct input from its customers, enabling consumers to access a wide range of products inspired by everyday women.</t>
  </si>
  <si>
    <t>beauty cosmetic, beauty product, beauty product provider, cosmetics developer, cosmetics maker, facial care product</t>
  </si>
  <si>
    <t>www.glossier.com</t>
  </si>
  <si>
    <t>2015: 38, 2016: 55, 2017: 60, 2018: 200, 2019: 200</t>
  </si>
  <si>
    <t>Competitor (New) Mario Badescu</t>
  </si>
  <si>
    <t>54074-53P</t>
  </si>
  <si>
    <t>Emily Weiss</t>
  </si>
  <si>
    <t>emily.weiss@glossier.com</t>
  </si>
  <si>
    <t>Floor 10</t>
  </si>
  <si>
    <t>contact@glossier.com</t>
  </si>
  <si>
    <t>The company raised $100 million of Series D venture funding in a deal led by Sequoia Capital on March 19, 2019, putting the company's pre-money valuation at $1.1 billion. Thrive Capital, Forerunner Ventures, IVP, Index Ventures (UK), Spark Capital and Tiger Global Management also participated in the round. The funds will be used to build the future beauty company in collaboration with the company's customers.</t>
  </si>
  <si>
    <t>14W, Andrew Dunn, BoxGroup, David Tisch, Forerunner Ventures, Imaginary Ventures, Index Ventures (UK), IVP, Jay Brown, Lerer Hippeau, Manzanita Capital, Sequoia Capital, Spark Capital, Thrive Capital, Tiger Global Management, TOMS Capital, WME Capital, WME Ventures</t>
  </si>
  <si>
    <t>14W(www.14w.com), BoxGroup(www.boxgroup.com), David Tisch(www.davidtisch.com), Forerunner Ventures(www.forerunnerventures.com), Imaginary Ventures(imaginary.co), Index Ventures (UK)(www.indexventures.com), IVP(www.ivp.com), Jay Brown(RocNation.com), Lerer Hippeau(www.lererhippeau.com), Manzanita Capital(www.manzanitacapital.com), Sequoia Capital(www.sequoiacap.com), Spark Capital(www.sparkcapital.com), Thrive Capital(www.thrivecap.com), Tiger Global Management(www.tigerglobal.com), WME Ventures(www.wmevc.com)</t>
  </si>
  <si>
    <t>ComCap(Advisor: General), FutureEngine(Consulting), Rich Talent Group(Consulting)</t>
  </si>
  <si>
    <t>53744-77</t>
  </si>
  <si>
    <t>Glooko</t>
  </si>
  <si>
    <t>Bigfoot Biomedical, Diabeto, TypeZero, Health2Sync, MySugr, Livongo, Tidepool, Diasend</t>
  </si>
  <si>
    <t>Provider of a patient-monitoring platform for people with diabetes intended to improve the lives of people with diabetes. The company's diabetes-management system, sync with diabetes devices, fitness wearables and activity trackers to enable easy data capture and provide reports and analytics that aim to drive behavior change and outcomes, enabling users to download data from their glucose meters into their mobile devices.</t>
  </si>
  <si>
    <t>Diagnostic Equipment, Monitoring Equipment*, Other Software</t>
  </si>
  <si>
    <t>blood sugar, diabetes data management, diabetes management, diabetes monitoring, glucose meter</t>
  </si>
  <si>
    <t>www.glooko.com</t>
  </si>
  <si>
    <t>2014: 22, 2015: 24, 2016: 46</t>
  </si>
  <si>
    <t>46031-23P</t>
  </si>
  <si>
    <t>Rick Altinger</t>
  </si>
  <si>
    <t>Executive Vice President, Corporate Development</t>
  </si>
  <si>
    <t>rick@glooko.com</t>
  </si>
  <si>
    <t>+1 (650) 720-5310</t>
  </si>
  <si>
    <t>303 Bryant Street</t>
  </si>
  <si>
    <t>The company raised $35 million of Series C venture funding led by Georgian Partners on June 27, 2017, putting the pre-money valuation at $105 million. Insulet, Mayo Clinic, Canaan Partner, Social Capital, Medtronic and Samsung Next also participated. The company will use the funding to accelerate growth by expanding its sales, marketing and development teams as well as to increase commercialization efforts in France, Germany, the U.K., Asia and the Middle East and further development efforts in data analytics and artificial intelligence to provide personalized insights that drive meaningful behavior change. Samsung NEXT Ventures also participated in it.</t>
  </si>
  <si>
    <t>Anand Agarawala, Anand Rajaraman, Canaan Partners, Georgian Partners, Insulet, Lifeforce Ventures, Mayo Clinic, Medtronic, Russell Hirsch, Samsung NEXT Ventures, Samsung Venture Investment, Social Capital, Sundeep Madra, Venkatesh Harinarayan, Vint Cerf, Xtreme Labs</t>
  </si>
  <si>
    <t>Canaan Partners(www.canaan.com), Georgian Partners(www.georgianpartners.com), Insulet(www.insulet.com), Mayo Clinic(www.mayoclinic.org), Medtronic(www.medtronic.com), Samsung NEXT Ventures(www.samsungnext.com), Samsung Venture Investment(www.samsungventures.com), Social Capital(www.socialcapital.com)</t>
  </si>
  <si>
    <t>Chasm Partners(Consulting)</t>
  </si>
  <si>
    <t>131292-82</t>
  </si>
  <si>
    <t>Globetouch</t>
  </si>
  <si>
    <t>Wireless Logic, Feeney Wireless, M2MBlue, Wyless Europe, Xirgo Technologies, Arkessa</t>
  </si>
  <si>
    <t>Provider of connectivity services and Internet of Things (IoT) platforms designed to offer global connectivity, communication and carrier services. The company's connectivity services and Internet of Things (IoT) platforms provides global cellular connectivity for the realization of IoT and M2M services through one connection, enabling car manufacturers and IoT enterprises to reach a global footprint.</t>
  </si>
  <si>
    <t>Other Communications and Networking*, Other IT Services</t>
  </si>
  <si>
    <t>carrier services, global connectivity</t>
  </si>
  <si>
    <t>www.globetouch.com</t>
  </si>
  <si>
    <t>68612-86P</t>
  </si>
  <si>
    <t>Anders Påls</t>
  </si>
  <si>
    <t>Senior Vice President, EMEA and Connected Devices</t>
  </si>
  <si>
    <t>anders.pals@globetouch.com</t>
  </si>
  <si>
    <t>555 12th Street</t>
  </si>
  <si>
    <t>Suite 910</t>
  </si>
  <si>
    <t>info@globetouch.com</t>
  </si>
  <si>
    <t>The company raised $40 million of Series C venture funding from Verizon Ventures, Deutsche Telekom Capital Partners and Hermes Growth Partners on December 31, 2017, putting the company's pre-money valuation at $150 million. SGVC, Impact Venture Capital, Shackleton Ventures, Zeev Ventures, Wholesale Investor and Spark Ventures also participated in the round.</t>
  </si>
  <si>
    <t>263 Network Communications, 360 total security, CK Hutchison Holdings, DCM Ventures, Deutsche Telekom Capital Partners, Digicel Group, Hermes Growth Partners, Impact Venture Capital, NTT DoCoMo, Oren Zeev, Primera Capital (Venture Capital), Qihoo 360 Technology, SGVC, Shackleton Ventures, Spark Ventures, Verizon Ventures, Wholesale Investor, Zeev Ventures</t>
  </si>
  <si>
    <t>263 Network Communications(www.net263.com), 360 total security(www.360totalsecurity.com), CK Hutchison Holdings(www.ckh.com.hk), DCM Ventures(www.dcm.com), Deutsche Telekom Capital Partners(www.telekom-capital.com), Digicel Group(www.digicelgroup.com), Hermes Growth Partners(www.hermesgrowthpartners.com), Impact Venture Capital(www.impactvc.com), NTT DoCoMo(www.nttdocomo.co.jp), Primera Capital (Venture Capital)(www.primeracapital.com), Qihoo 360 Technology(www.360.cn), SGVC(www.sg-vc.com), Shackleton Ventures(www.shackletonventures.com), Spark Ventures(www.sparkventures.org), Verizon Ventures(www.verizonventures.com), Wholesale Investor(www.wholesaleinvestor.com.au), Zeev Ventures(www.zeevventures.com)</t>
  </si>
  <si>
    <t>39605-59</t>
  </si>
  <si>
    <t>Global Talent Track</t>
  </si>
  <si>
    <t>GTT</t>
  </si>
  <si>
    <t>Operator of a platform intended to offer global educational initiative and corporate training services. The company's platform uses an assessment tool, enabling students to choose career paths based on their inherent attributes and domain proficiency.</t>
  </si>
  <si>
    <t>corporate training, corporate training platform, corporate training service, global educational initiative, learning platform</t>
  </si>
  <si>
    <t>www.gttconnect.com</t>
  </si>
  <si>
    <t>2014: 214</t>
  </si>
  <si>
    <t>46473-85P</t>
  </si>
  <si>
    <t>Uma Ganesh</t>
  </si>
  <si>
    <t>uma@gttconnect.com</t>
  </si>
  <si>
    <t>+91 (0)20 6647 2300</t>
  </si>
  <si>
    <t>401, 4th Floor, Zero One IT Park</t>
  </si>
  <si>
    <t>Mundhwa Road, Mundhwa</t>
  </si>
  <si>
    <t>411036</t>
  </si>
  <si>
    <t>+91 (0)20 6643 8114</t>
  </si>
  <si>
    <t>contactus@gttconnect.com</t>
  </si>
  <si>
    <t>The company raised $8 million of venture funding from Intel Capital, Emergic Capital and Helion Venture Partners on February 3, 2009. Cisco Investment also participated in the round.</t>
  </si>
  <si>
    <t>Cisco Investments, Emergic Capital, Helion Venture Partners, Intel Capital</t>
  </si>
  <si>
    <t>Cisco Investments(www.ciscoinvestments.com), Helion Venture Partners(www.helionvc.com), Intel Capital(www.intelcapital.com)</t>
  </si>
  <si>
    <t>97203-79</t>
  </si>
  <si>
    <t>Global Fashion Group</t>
  </si>
  <si>
    <t>GFG</t>
  </si>
  <si>
    <t>Gilt Groupe, Bag Borrow or Steal, Lesara, Everlane, Nasty Gal, Moda Operandi, Zady, Stylebop.com, Modcloth, Herring Shoes, MATCHESFASHION, eShakti, Vestiaire Collective, BOP, Reformation</t>
  </si>
  <si>
    <t>Developer of a shopping platform designed to bring fashion online. The company's shopping platform offers retail for fashion and lifestyle which operates in emerging markets through its subsidiaries, enabling customers to access over 3,000 international brands.</t>
  </si>
  <si>
    <t>Clothing, Internet Retail*</t>
  </si>
  <si>
    <t>fashion and lifestyle, lifestyle retail stores, online retail platform, shopping platform, shopping retail</t>
  </si>
  <si>
    <t>www.global-fashion-group.com</t>
  </si>
  <si>
    <t>2015: 10548, 2016: 10000</t>
  </si>
  <si>
    <t>Promotion (New) Christoph Barchewitz, Co-Chief Executive Officer and Board Member, Promotion (New) Patrick Schmidt, Co-Chief Executive Officer &amp; Board Member, News (New) , Competitor (New) Herring Shoes, Competitor (New) MATCHESFASHION, Competitor (New) Moda Operandi, Competitor (New) Modcloth, Competitor (New) Nasty Gal, Competitor (New) Stylebop.com, Competitor (New) Zady</t>
  </si>
  <si>
    <t>96466-15P</t>
  </si>
  <si>
    <t>Matthew Price</t>
  </si>
  <si>
    <t>matthew.price@global-fashion-group.com</t>
  </si>
  <si>
    <t>Senningerberg, Luxembourg</t>
  </si>
  <si>
    <t>5, Heienhaff</t>
  </si>
  <si>
    <t>Senningerberg</t>
  </si>
  <si>
    <t>1736</t>
  </si>
  <si>
    <t>Luxembourg</t>
  </si>
  <si>
    <t>info@global-fashion-group.com</t>
  </si>
  <si>
    <t>The company is planning to go public as of an undisclosed date. The offering amount is EUR 300 million. The deal is expected to close in July 2019. The company is being actively tracked by PitchBook.</t>
  </si>
  <si>
    <t>Access Industries, Access Technology Ventures, HV Holtzbrinck Ventures, Kinnevik, Lewis Trust Group, Ontario Teachers' Pension Plan, Rocket Internet, RTP Global, Summit Partners, Tengelmann Ventures, Verlinvest</t>
  </si>
  <si>
    <t>Access Industries(www.accessindustries.com), Access Technology Ventures(www.accesstechnologyventures.com), HV Holtzbrinck Ventures(www.hvventures.com), Kinnevik(www.kinnevik.com), Lewis Trust Group(www.ltg-capital.com), Ontario Teachers' Pension Plan(www.otpp.com), Rocket Internet(www.rocket-internet.com), RTP Global(rtp-global.com), Summit Partners(www.summitpartners.com), Tengelmann Ventures(www.tev.de), Verlinvest(www.verlinvest.be)</t>
  </si>
  <si>
    <t>Barclays(Debt Financing), Berenberg Bank(Advisor: General), HSBC Holdings(Advisor: General), Morgan Stanley(Advisor: General), Noerr(Legal Advisor), Paul Hastings(Legal Advisor), The Goldman Sachs Group(Advisor: General)</t>
  </si>
  <si>
    <t>54399-43</t>
  </si>
  <si>
    <t>Glimmerglass Networks</t>
  </si>
  <si>
    <t>Glimmerglass</t>
  </si>
  <si>
    <t>MixMode, ProtectWise, OneLogin, SecureAuth</t>
  </si>
  <si>
    <t>Provider of optical signal switching and network management software. The company's optical signal switching and network management software allows to rapidly and remotely create, monitor, reconfigure and protect optical paths in networks, enabling telecom service providers, government data networks, enterprise data centers to minimize lifetime CAPEX, reduce ongoing OPEX, provide faster service provisioning, increase automation and increase network availability.</t>
  </si>
  <si>
    <t>Fiberoptic Equipment*, Network Management Software, Telecommunications Service Providers</t>
  </si>
  <si>
    <t>data network, network management software, optical signal switching, optical signal switching software, optical system</t>
  </si>
  <si>
    <t>www.glimmerglass.com</t>
  </si>
  <si>
    <t>2009: 86, 2010: 89, 2011: 86, 2012: 86, 2013: 89, 2014: 41, 2015: 30, 2016: 22</t>
  </si>
  <si>
    <t>44375-32P</t>
  </si>
  <si>
    <t>Chusak Siripocanont</t>
  </si>
  <si>
    <t>+1 (510) 723-1900</t>
  </si>
  <si>
    <t>26142 Eden Landing Road</t>
  </si>
  <si>
    <t>+1 (510) 780-9851</t>
  </si>
  <si>
    <t>Loudwater Capital sold its stake in the company to Headway Capital Partners and Committed Advisors for an undisclosed amount on October 22, 2013.</t>
  </si>
  <si>
    <t>Anthem Venture Partners, Anvil Investment Associates, Applied Ventures, Ashford Capital Management, Committed Advisors, Formational Ventures, GF Private Equity Group, Headway Capital Partners, Le Centre CDP Capital, Mobius Venture Capital, NTT Leasing Capital, ONSET Ventures, Terilogy Company, VantagePoint Capital Partners</t>
  </si>
  <si>
    <t>Loudwater Capital</t>
  </si>
  <si>
    <t>Anthem Venture Partners(www.anthemvp.com), Ashford Capital Management(www.ashfordcapital.com), Committed Advisors(www.committedadvisors.com), Formational Ventures(www.formational.com), GF Private Equity Group(www.gfprivateequity.com), Headway Capital Partners(www.headwaycap.com), Le Centre CDP Capital(www.centrecdpcapital.com), Mobius Venture Capital(www.mobiusvc.com), ONSET Ventures(www.onset.com), Terilogy Company(www.terilogy.com), VantagePoint Capital Partners(www.vpcp.com)</t>
  </si>
  <si>
    <t>51021-19</t>
  </si>
  <si>
    <t>GlassPoint Solar</t>
  </si>
  <si>
    <t>CleanBoard</t>
  </si>
  <si>
    <t>GlassPoint</t>
  </si>
  <si>
    <t>Sunpreme, Enerwhere, Borrego Solar, Nanosolar, Merlin Solar Technologies, Semprius, Solaria, Sunnova Energy, Stellar Energy GP, Array Technologies (Solar Trackers)), Verengo Solar, Sungevity, Stion, REC Solar (Energy Infrastructure), Recurrent Energy, EnterSolar, SunPower Corporation Australia, ecoSolargy, SolarReserve, Next Fuel, Vista Solar, SunPower, Invenergy, Sunrun</t>
  </si>
  <si>
    <t>Manufacturer of solar steam generators intended to generate power. The company's solar steam generators use solar thermal technology to generate steam for enhanced oil recovery, providing customers with access to low-cost solar energy services in USA.</t>
  </si>
  <si>
    <t>Alternative Energy Equipment*, Oil and Gas Equipment</t>
  </si>
  <si>
    <t>CleanTech, Manufacturing, Oil &amp; Gas, TMT</t>
  </si>
  <si>
    <t>concentrated solar power, enhanced oil recovery, solar enhanced oil recovery, solar thermal technology, thermal technology</t>
  </si>
  <si>
    <t>www.glasspoint.com</t>
  </si>
  <si>
    <t>2010: 2, 2014: 100, 2015: 63, 2017: 250</t>
  </si>
  <si>
    <t>186768-73P</t>
  </si>
  <si>
    <t>Steven Moss</t>
  </si>
  <si>
    <t>steven.moss@glasspoint.com</t>
  </si>
  <si>
    <t>+1 (415) 778-2800</t>
  </si>
  <si>
    <t>47669 Fremont Boulevard</t>
  </si>
  <si>
    <t>+1 (415) 762-1966</t>
  </si>
  <si>
    <t>info@glasspoint.com</t>
  </si>
  <si>
    <t>The company raised $15 million of Series D venture funding from Chrysalix Venture Capital, Shell Technology Ventures and other undisclosed investors on September 26, 2017, putting the company's pre-money valuation at $435 million.</t>
  </si>
  <si>
    <t>Allotrope Partners, Amos Ben-Meir, BlackRock TCP Capital, Chrysalix Venture Capital, Nth Power, Oman's State General Reserve Fund, Reference Capital Management, RockPort Capital Partners, Royal Dutch Shell, Shell Ventures, T.J. Cross Engineers</t>
  </si>
  <si>
    <t>Allotrope Partners(www.allotropepartners.com), BlackRock TCP Capital(www.tcpcapital.com), Chrysalix Venture Capital(www.chrysalix.com), Nth Power(www.nthpower.com), Oman's State General Reserve Fund(www.sgrf.gov.om), Reference Capital Management(www.referencecapital.com), RockPort Capital Partners(www.rockportcap.com), Royal Dutch Shell(www.shell.com), T.J. Cross Engineers(www.tjcross.com)</t>
  </si>
  <si>
    <t>BlackRock TCP Capital(Debt Financing), Cooley(Legal Advisor)</t>
  </si>
  <si>
    <t>101654-29</t>
  </si>
  <si>
    <t>Glassbreakers</t>
  </si>
  <si>
    <t>Developer of an enterprise software intended to focus on employee resource group management. The company's enterprise software include data-driven mentorship and talent development tools enabling large companies to streamline diversity, improve retention, recruitment, leadership development, increase productivity and higher returns.</t>
  </si>
  <si>
    <t>data driven mentorship, enterprise software, enterprise software tools, inclusion software, talent development</t>
  </si>
  <si>
    <t>www.glassbreakers.co</t>
  </si>
  <si>
    <t>2015: 9, 2016: 11</t>
  </si>
  <si>
    <t>107005-51P</t>
  </si>
  <si>
    <t>Eileen Carey</t>
  </si>
  <si>
    <t>eileen@glassbreakers.co</t>
  </si>
  <si>
    <t>+1 (914) 552-0376</t>
  </si>
  <si>
    <t>2085 Sacramento Street</t>
  </si>
  <si>
    <t>Apartment 206</t>
  </si>
  <si>
    <t>94109</t>
  </si>
  <si>
    <t>info@glassbreakers.co</t>
  </si>
  <si>
    <t>The company joined The Salesforce Incubator as part of the Second Batch on May 1, 2017, and received an undisclosed amount in funding.</t>
  </si>
  <si>
    <t>Acceleprise, Andy Rappaport, April Underwood, Autochrome Ventures, Benjamin Boyer, Coleen Baik, Coyote Capital, Gerald Lema, Holly Hogan, Justin Biegel, Kapor Capital, Laraine McKinnon, Lucas Point Ventures, Marc Blinder, Matthew Mastracci, Mitali Pattnaik, MITS Fund, Rachel Conant, Right Side Capital Management, Salesforce Ventures, Social Leverage, Social Starts, Stephen Kelly, Sukhmani Bachal, Sway Ventures, Te Smith, The Salesforce Incubator, Tracy Chadwell, Ulu Ventures, Wendy Stein, Zhanna Shamis</t>
  </si>
  <si>
    <t>Acceleprise(www.acceleprise.vc), Autochrome Ventures(www.autochrome.vc), Coyote Capital(www.coyotecapital.net), Kapor Capital(www.kaporcapital.com), Lucas Point Ventures(www.lucaspointventures.com), Matthew Mastracci(angel.co/mmastrac), MITS Fund(www.mitsfund.com), Right Side Capital Management(www.rightsidecapital.com), Social Leverage(www.socialleverage.com), Social Starts(www.socialstarts.com), Sway Ventures(www.swayvc.com), Ulu Ventures(www.uluventures.com)</t>
  </si>
  <si>
    <t>Orrick, Herrington &amp; Sutcliffe(Legal Advisor), Silicon Valley Bank(General Business Banking)</t>
  </si>
  <si>
    <t>110272-60</t>
  </si>
  <si>
    <t>Gladly</t>
  </si>
  <si>
    <t>Sagan Systems</t>
  </si>
  <si>
    <t>Brand Embassy, Comm100, Tenfold, Sparkcentral, Autopilot, Sprinklr, SugarCRM, RingDNA, Helpshift, Spredfast, NewVoiceMedia, SalesLoft, UserVoice, Talkdesk, HappyFox, Kayako, Act-On, Natterbox, Nextiva, GladMinds Technologies, Insightly, Agile CRM, Kustomer, Lithium Technologies, Sellsy, Ring.io, Serenova, Freshworks, TeamSupport, Genesys, Hatchbuck, Artesian Solutions</t>
  </si>
  <si>
    <t>Developer of a cloud-based communication technology platform designed to help businesses to deliver better customer service. The company's platform gives agents a single view of the customers across all conversations, no matter what communication channel and provides companies with real-time insight into their contact center, enabling big enterprise customers to re-imagine and reinvent how customer service can be delivered.</t>
  </si>
  <si>
    <t>Business/Productivity Software, Communication Software*, Media and Information Services (B2B), Telecommunications Service Providers</t>
  </si>
  <si>
    <t>communication channel platform, communication technology, saas-based communication, social connection, unified communications channel</t>
  </si>
  <si>
    <t>www.gladly.com</t>
  </si>
  <si>
    <t>2015: 11, 2016: 23, 2017: 50</t>
  </si>
  <si>
    <t>43767-73P</t>
  </si>
  <si>
    <t>Michael Wolfe</t>
  </si>
  <si>
    <t>Co-Founder &amp; Vice President of Engineering</t>
  </si>
  <si>
    <t>michael@pointninecap.com</t>
  </si>
  <si>
    <t>201 California Street</t>
  </si>
  <si>
    <t>Suite 1300</t>
  </si>
  <si>
    <t>New Enterprise Associates sold a stake in the company to Newview Capital on December 3, 2018. Previously, the company raised $50 million of Series D venture funding in a deal led by Future Funders on May 7, 2018, putting the company's pre-money valuation at $400 million. Greylock Partners, New Enterprise Associates, GGV Capital, Glynn Capital also participated in the round.</t>
  </si>
  <si>
    <t>Future Funders, GGV Capital, Glynn Capital, Greylock Partners, JetBlue Technology Ventures, Newview Capital, Point Nine Capital</t>
  </si>
  <si>
    <t>Future Funders(givingcircles.asia), GGV Capital(www.ggvc.com), Glynn Capital(www.glynncapital.com), Greylock Partners(www.greylock.com), JetBlue Technology Ventures(www.jetblueventures.com), Newview Capital(www.newviewcap.com), Point Nine Capital(www.pointninecap.com)</t>
  </si>
  <si>
    <t>58851-01</t>
  </si>
  <si>
    <t>Giraffic</t>
  </si>
  <si>
    <t>Provider of internet broadcast technology designed to facilitate high quality stable streaming for smartphones, tablets and VR experiences. The company's broadcast technology delivers an amazing entertainment experience by outsmarting internet bandwidth limitations &amp; video ecosystem complexities entirely from the consumer's device, enabling art TVs, IP Set-Top-Boxes, tablets and smartphones to deliver HD, UHD 4K video and VR, without re-buffering pauses or streaming resolution reduction.</t>
  </si>
  <si>
    <t>Other Media</t>
  </si>
  <si>
    <t>Application Software, Other Media*, Other Software</t>
  </si>
  <si>
    <t>broadcast technology, high definition, internet broadcast, resolution, streaming resolution, video ecosystem</t>
  </si>
  <si>
    <t>www.giraffic.com</t>
  </si>
  <si>
    <t>66292-84P</t>
  </si>
  <si>
    <t>Yoel Zanger</t>
  </si>
  <si>
    <t>yoel@giraffic.com</t>
  </si>
  <si>
    <t>+972 (0)3 649 5313</t>
  </si>
  <si>
    <t>1 Kaf Gimel Yordei</t>
  </si>
  <si>
    <t>HaSira Street, Tel Aviv Port</t>
  </si>
  <si>
    <t>63508</t>
  </si>
  <si>
    <t>info@giraffic.com</t>
  </si>
  <si>
    <t>The company raised $4 million of Series A venture funding from KEC Ventures, Samsung Venture Investment and Perviz Ventures on October 28, 2013. Jerusalem Technology Investments and Bhupen Shah also participated in the transaction.</t>
  </si>
  <si>
    <t>Bhupendra Shah, Cable News Network, Jerusalem Technology Investments, KEC Ventures, Mavenir Systems, Plug and Play Tech Center, Previz Ventures, Samsung Venture Investment, Sling Media, Vonage Holdings, Warner Bros. Entertainment</t>
  </si>
  <si>
    <t>Cable News Network(www.edition.cnn.com), KEC Ventures(www.kecventures.com), Mavenir Systems(www.mavenir.com), Plug and Play Tech Center(www.plugandplaytechcenter.com), Previz Ventures(www.previzv.com), Samsung Venture Investment(www.samsungventures.com), Sling Media(www.slingbox.com), Warner Bros. Entertainment(www.warnerbros.com)</t>
  </si>
  <si>
    <t>63217-81</t>
  </si>
  <si>
    <t>Giphy</t>
  </si>
  <si>
    <t>Wideo, Directr, Magisto, Biteable, Videolicious, StoryVine, Shakr Media, TikTok, Tenor, Rocketium, Viddyad, Imgur</t>
  </si>
  <si>
    <t>Developer of an animated graphics interchange format (GIF) based platform designed to create short-form entertainment and visual communication. The company's GIF based platform helps to design graphics interchange format based sticker, cartoons and comics, enabling users to search, share and discover GIFs and share it out through their social channels.</t>
  </si>
  <si>
    <t>Application Software, Internet Software, Multimedia and Design Software*</t>
  </si>
  <si>
    <t>animated cartoon, animated graphics, animation platform, gif, graphics interchange formatting</t>
  </si>
  <si>
    <t>www.giphy.com</t>
  </si>
  <si>
    <t>2013: 11, 2014: 11, 2015: 16, 2016: 75, 2017: 75, 2018: 79</t>
  </si>
  <si>
    <t>54418-69P</t>
  </si>
  <si>
    <t>Alex Chung</t>
  </si>
  <si>
    <t>alex@giphy.com</t>
  </si>
  <si>
    <t>+1 (415) 985-4437</t>
  </si>
  <si>
    <t>416 West 13th Street</t>
  </si>
  <si>
    <t>Suite 207</t>
  </si>
  <si>
    <t>The company is rumored to raise $75 million of venture funding from undisclosed investors on December 22, 2017, putting the pre-money valuation at $925 million.</t>
  </si>
  <si>
    <t>Betaworks Ventures, CAA Ventures, China Media Capital, DFJ Growth, Draper Fisher Jurvetson Management, General Catalyst, GGV Capital, Glynn Capital, GV, Haystack, IVP, Lerer Hippeau, Lightspeed Venture Partners, RRE Ventures, Slow Ventures</t>
  </si>
  <si>
    <t>Betaworks Ventures(www.betaworksventures.com), CAA Ventures(ventures.caa.com), China Media Capital(www.chinamediacapital.com), Draper Fisher Jurvetson Management(www.dfj.com), General Catalyst(www.generalcatalyst.com), GGV Capital(www.ggvc.com), Glynn Capital(www.glynncapital.com), GV(www.gv.com), Haystack(haystack.vc), IVP(www.ivp.com), Lerer Hippeau(www.lererhippeau.com), Lightspeed Venture Partners(www.lsvp.com), RRE Ventures(www.rre.com), Slow Ventures(www.slow.co)</t>
  </si>
  <si>
    <t>Gunderson Dettmer(Legal Advisor), Propeller Industries(Accounting), Sklar Kirsh(Legal Advisor)</t>
  </si>
  <si>
    <t>Gunderson Dettmer(Legal Advisor), Quire (Social/Platform Software)(Placement Agent), Sklar Kirsh(Legal Advisor)</t>
  </si>
  <si>
    <t>96118-48</t>
  </si>
  <si>
    <t>GiftFly</t>
  </si>
  <si>
    <t>Giftly, GiftRocket</t>
  </si>
  <si>
    <t>Developer of a custom eGift card platform designed to connect today's digital customers with gift cards to local businesses. The company's platform can be access by anyone, from anywhere and at any time, enabling business owners to create, sell and market their own eGift cards, as well as track transactions in real-time.</t>
  </si>
  <si>
    <t>custom e-gift cards platform, digital gifting platform, online gift card, online gifting</t>
  </si>
  <si>
    <t>www.giftfly.com</t>
  </si>
  <si>
    <t>91812-88P</t>
  </si>
  <si>
    <t>Cory Perkins</t>
  </si>
  <si>
    <t>cory@giftfly.com</t>
  </si>
  <si>
    <t>+1 (800) 322-6201</t>
  </si>
  <si>
    <t>New Canaan, CT</t>
  </si>
  <si>
    <t>111 Cherry Street</t>
  </si>
  <si>
    <t>New Canaan</t>
  </si>
  <si>
    <t>06840</t>
  </si>
  <si>
    <t>info@giftfly.com</t>
  </si>
  <si>
    <t>The company raised venture funding from Emil Capital Partners, Consumer Equity Partners and Tod Perkins on an undisclosed date.</t>
  </si>
  <si>
    <t>Consumer Equity Partners, Emil Capital Partners, Tod Perkins</t>
  </si>
  <si>
    <t>Consumer Equity Partners(www.consumerequitypartners.com), Emil Capital Partners(www.emilcapitalpartners.com)</t>
  </si>
  <si>
    <t>107991-82</t>
  </si>
  <si>
    <t>GHGSat</t>
  </si>
  <si>
    <t>Provider of remote sensing technology intended to become the global reference for remote sensing of greenhouse gas (GHG), air quality gas, and other trace gas emissions from any source in the world. The company's technology designed to measure greenhouse gas emissions from industrial facilities around the world. It's novel technology enables GHG and air quality gas measurement with better accuracy at a fraction of the cost of comparable alternatives, enabling industries to keep the environment clean.</t>
  </si>
  <si>
    <t>Environmental Services (B2B)*, Media and Information Services (B2B), Other Commercial Services</t>
  </si>
  <si>
    <t>air quality gas, atmospheric pollutants, greenhouse gas monitoring sensors, pollution control, remote sensing, satellite technology</t>
  </si>
  <si>
    <t>www.ghgsat.com</t>
  </si>
  <si>
    <t>92770-57P</t>
  </si>
  <si>
    <t>Stephane Germain</t>
  </si>
  <si>
    <t>stephane.germain@ghgsat.com</t>
  </si>
  <si>
    <t>+1 (514) 847-9474</t>
  </si>
  <si>
    <t>3981 Saint-Laurent</t>
  </si>
  <si>
    <t>H2W 1Y5</t>
  </si>
  <si>
    <t>info@ghgsat.com</t>
  </si>
  <si>
    <t>The company raised $10 million of Series A2 venture funding in a deal led by Oil and Gas Climate Initiative on September 24, 2018. Schlumberger Technology Investments, Business Development Bank of Canada, Space Angels, and Space Capital also participated in the round. The company, which has raised over $20 million to date in total, will use the new capital to accelerate commercialization efforts, expand its custom analytics services for its customer base, as well as launch an additional GHGSat satellite.</t>
  </si>
  <si>
    <t>Business Development Bank of Canada, Oil and Gas Climate Initiative, Schlumberger Technology Investments, Space Angels, Space Capital, Sustainable Development Technology Canada</t>
  </si>
  <si>
    <t>Business Development Bank of Canada(www.bdc.ca), Oil and Gas Climate Initiative(www.oilandgasclimateinitiative.com), Space Angels(www.spaceangels.com), Sustainable Development Technology Canada(www.sdtc.ca)</t>
  </si>
  <si>
    <t>120850-48</t>
  </si>
  <si>
    <t>GfyCat</t>
  </si>
  <si>
    <t>Videolicious, TikTok, StoryVine, Picovico, Directr, Shakr Media, Tumblr, Wideo, Streamable, Magisto, Instagram, Giphy, Imgur</t>
  </si>
  <si>
    <t>Provider of a user-generated short video hosting platform designed to offer looping content to the masses. The company's platform help users to upload, download and share videos in the graphics interchange format, enabling users to play them everywhere with much faster delivery and more playback options.</t>
  </si>
  <si>
    <t>Communication Software, Multimedia and Design Software*, Social/Platform Software</t>
  </si>
  <si>
    <t>content platform, graphics interchange, graphics interchange formatting, sharing video moment, video hosting platform</t>
  </si>
  <si>
    <t>www.gfycat.com</t>
  </si>
  <si>
    <t>2015: 2, 2016: 11, 2017: 20</t>
  </si>
  <si>
    <t>70785-01P</t>
  </si>
  <si>
    <t>Richard Rabbat</t>
  </si>
  <si>
    <t>richard@gfycat.com</t>
  </si>
  <si>
    <t>+1 (650) 714-7618</t>
  </si>
  <si>
    <t>165 University Avenue</t>
  </si>
  <si>
    <t>Suite Number 6</t>
  </si>
  <si>
    <t>contact@gfycat.com</t>
  </si>
  <si>
    <t>The company raised $10 million of seed funding in a deal led by Alsop Louie Partners on September 22, 2016. StartX, Pear, You &amp; Mr Jones Brandtech Ventures, Great Oaks Venture Capital, Jeong Kim, Partech Partners, Tekton Ventures, Streamlined Ventures, Long Venture Partners and Keval Desai also participated in the round. The company will use the funding to support user-created short-form content to the viewers monthly.</t>
  </si>
  <si>
    <t>Alsop Louie Partners, Great Oaks Venture Capital, Jeong Kim, Keval Desai, Long Venture Partners, Partech Partners, Pear, StartX, Streamlined Ventures, Tekton Ventures, You &amp; Mr Jones Brandtech Ventures</t>
  </si>
  <si>
    <t>Alsop Louie Partners(www.alsop-louie.com), Great Oaks Venture Capital(www.greatoaksvc.com), Long Venture Partners(www.longvp.com), Partech Partners(www.partechpartners.com), Pear(www.pear.vc), StartX(www.startx.com), Streamlined Ventures(www.streamlinedventures.com), Tekton Ventures(www.tektonventures.com)</t>
  </si>
  <si>
    <t>54595-54</t>
  </si>
  <si>
    <t>Gett</t>
  </si>
  <si>
    <t>GetTaxi</t>
  </si>
  <si>
    <t>Taxify, GO-JEK, Didi Chuxing, GroundLink, Grab Holdings, Hailo, Uber, Juno, Addison Lee</t>
  </si>
  <si>
    <t>Operator of an online on-demand car booking platform designed to offer ride-sharing services. The company's platform helps users to order a taxi or courier either through the company's website or by using the company's GPS-based smartphone application, enabling customers to instantly book-on-demand transportation, as well as to receive deliveries of products.</t>
  </si>
  <si>
    <t>Logistics, Other Software*, Other Transportation</t>
  </si>
  <si>
    <t>Mobile, Ridesharing</t>
  </si>
  <si>
    <t>car books platform, carsharing, on demand transportation, ridesharing app, taxi books</t>
  </si>
  <si>
    <t>www.gett.com</t>
  </si>
  <si>
    <t>2016: 1000</t>
  </si>
  <si>
    <t>41606-65P</t>
  </si>
  <si>
    <t>Tal Brener</t>
  </si>
  <si>
    <t>tal@gett.com</t>
  </si>
  <si>
    <t>+972 (0)3 644 8299</t>
  </si>
  <si>
    <t>Habarzel 19D</t>
  </si>
  <si>
    <t>6971029</t>
  </si>
  <si>
    <t>The company is rumored to be in talks regarding a potential acquisition for an undisclosed amount on November 18, 2018. Previously, InVenture Partners sold an 8% stake in the company to Da Vinci Capital Management for an undisclosed amount on September 24, 2018. Before that, the company raised $80 million of venture funding in a deal led by Volkswagen on June 7, 2018, putting the company's pre-money valuation at $1.32 billion. Access Technology Ventures, Day One Ventures, Falcon Capital (London) and other undisclosed investors also participated in the round. The funds will be used to grow the company's business.</t>
  </si>
  <si>
    <t>Access Technology Ventures, Baring Vostok Capital Partners, Da Vinci Capital Management, Day One Ventures, Falcon Capital (London), Jorg Mohaupt, Kreos Capital, Leonard Blavatnik, MCI Capital, Volkswagen, Vostok New Ventures</t>
  </si>
  <si>
    <t>InVenture Partners, PrivatEquity</t>
  </si>
  <si>
    <t>Access Technology Ventures(www.accesstechnologyventures.com), Baring Vostok Capital Partners(www.baring-vostok.com), Da Vinci Capital Management(www.dvcap.com), Day One Ventures(dayoneventures.co), Falcon Capital (London)(www.falcon-capital.com), Kreos Capital(www.kreoscapital.com), MCI Capital(www.mci.pl), Volkswagen(www.volkswagenag.com), Vostok New Ventures(www.vostoknewventures.com)</t>
  </si>
  <si>
    <t>InVenture Partners(www.inventurepartners.com), PrivatEquity(privatequity.biz)</t>
  </si>
  <si>
    <t>Credit Suisse(Lead Manager or Arranger), Kreos Capital(Debt Financing)</t>
  </si>
  <si>
    <t>Baring Vostok Capital Partners(Debt Financing), DLA Piper(Legal Advisor), Gross Kleinhendler Hodak Halevy Greenberg &amp; Co.(Legal Advisor), Sberbank of Russia(Debt Financing), Wells Fargo Securities(Advisor: General)</t>
  </si>
  <si>
    <t>52765-30</t>
  </si>
  <si>
    <t>Getaround</t>
  </si>
  <si>
    <t>Cabify, Sixt Rent a Car, Silvercar, Car2go, Heetch, Curb Mobility, Limos.com, VuLog, Enterprise Rent-A-Car, Buffalo CarShare, Cars Hare Ventures, Didi Chuxing, Splend, Grab Holdings, GroundLink, Enterprise Holdings, Car Next Door, Zipcar, flinc, Carlease.com, Uber, Honcker, Roadster, Rentecarlo, Ola, myTaxi, Taxify, TND, Ubeeqo, SocialCar, Baojia (Beijing) Information Technology, Turo, Atzuche, HiyaCar</t>
  </si>
  <si>
    <t>Provider of a peer-to-peer, car-sharing marketplace intended to serve cities across the U.S. and Europe. The company offers a web-based platform and patented connected hardware system that allows users to rent out their cars on an on-demand basis, providing vehicle owners with an avenue of earning extra income through their automobiles and offering users instant access to great cars nearby.</t>
  </si>
  <si>
    <t>Car-Sharing, TMT</t>
  </si>
  <si>
    <t>automotive technology, car rental, shared transport, transport innovation, transportation technology</t>
  </si>
  <si>
    <t>www.getaround.com</t>
  </si>
  <si>
    <t>2018: 200, 2019: 400</t>
  </si>
  <si>
    <t>Competitor (New) Zipcar</t>
  </si>
  <si>
    <t>Promotion (New) Jessica Scorpio, Co-Founder, Vice President, Marketing &amp; Board Member, Competitor (New) Zipcar</t>
  </si>
  <si>
    <t>38678-59P</t>
  </si>
  <si>
    <t>Sam Zaid</t>
  </si>
  <si>
    <t>sam@getaround.com</t>
  </si>
  <si>
    <t>+1 (800) 952-5210</t>
  </si>
  <si>
    <t>55 Green Street</t>
  </si>
  <si>
    <t>+1 (650) 362-2194</t>
  </si>
  <si>
    <t>info@getaround.com</t>
  </si>
  <si>
    <t>The company raised an undisclosed amount of venture funding from Alumni Ventures Group on January 10, 2019.</t>
  </si>
  <si>
    <t>Acequia Capital, Adam Schwartz, Adrian Aoun, A-Grade Investments, Alex Bard, Alpha Venture Partners, Alumni Ventures Group, Amir Banifatemi, Angus Davis, Ashton Kutcher, Ashvin Patel, Asset Plus Capital, Barney Pell, Bobby Yazdani, Braemar Energy Ventures, Bruno Bowden, Collaborative Fund, Correlation Ventures, Cota Capital, Cox Automotive, Dan Martell, David Sacks, Dror Berman, Evolution VC Partners, Fabrice Grinda, FJ Labs, G Squared, General Catalyst, GV, Hinge Capital, Innovation Capital Advisors, Innovation Endeavors, Intercap, Invariantes Fund, Madrona Venture Group, Marc Randolph, Marc Weiser, Marissa Mayer, Matthew Mullenweg, Menlo Ventures, Michael Arrington, Morado Venture Partners, Naval Ravikant, PeopleFund, Redpoint Ventures, RPM Ventures, S.A.W. Capital Partners, SAIC Capital, Sam Shank, Shervin Pishevar, Signatures Capital, Singularity University, SoftBank Group, SOSV, SPARX Group Company, Thomas McInerney, Toyota Motor, Triangle Peak Partners, Tuesday Capital, UCLA Ventures, Vistara Capital Partners</t>
  </si>
  <si>
    <t>Acequia Capital(acecap.com), Adam Schwartz(www.adamschwartz.com), A-Grade Investments(www.agradeinvestments.com), Alpha Venture Partners(www.alphavp.com), Alumni Ventures Group(www.avgfunds.com), Angus Davis(www.angusdavis.com), Braemar Energy Ventures(www.braemarenergy.com), Collaborative Fund(www.collaborativefund.com), Correlation Ventures(www.correlationvc.com), Cota Capital(www.cotacapital.com), Cox Automotive(www.coxautoinc.com), Dan Martell(www.danmartell.com), Evolution VC Partners(www.evolutionadvisorsllc.com), Fabrice Grinda(www.fabricegrinda.com), FJ Labs(www.fjlabs.com), G Squared(www.gsquared.com), General Catalyst(www.generalcatalyst.com), GV(www.gv.com), Hinge Capital(www.hingecapital.com), Innovation Capital Advisors(www.innovationcapital.com), Innovation Endeavors(www.innovationendeavors.com), Intercap(www.intercap.com), Invariantes Fund(www.invariantes.com), Madrona Venture Group(www.madrona.com), Marc Randolph(www.marcrandolph.com), Matthew Mullenweg(www.ma.tt), Menlo Ventures(www.menlovc.com), Michael Arrington(uncrunched.com), Morado Venture Partners(www.moradoventures.com), PeopleFund(www.peoplefund.com), Redpoint Ventures(www.redpoint.com), RPM Ventures(www.rpmvc.com), S.A.W. Capital Partners(www.saw-capital.com), SAIC Capital(www.saicvc.com), Shervin Pishevar(www.pishevar.com), Signatures Capital(www.signaturescapital.com), Singularity University(www.su.org), SoftBank Group(www.softbank.jp), SOSV(www.sosv.com), SPARX Group Company(www.sparx.jp), Thomas McInerney(www.tgm.com), Toyota Motor(www.toyota.co.jp), Triangle Peak Partners(www.trianglepeakpartners.com), Tuesday Capital(www.tuesday.vc), UCLA Ventures(www.ventures.ucla.edu), Vistara Capital Partners(www.vistaracapital.com)</t>
  </si>
  <si>
    <t>Orrick, Herrington &amp; Sutcliffe(Legal Advisor), Singularity University(Consulting), VLP Law Group(Legal Advisor)</t>
  </si>
  <si>
    <t>58637-44</t>
  </si>
  <si>
    <t>Get Real Health</t>
  </si>
  <si>
    <t>Avizia, Phytel, Innovaccer, GetWellNetwork, WellCentive, Omedix, Grand Rounds, Caradigm, MEDecision, Eagledream Health, MedHOK, TriZetto, xG Health Solutions, HealthTap, VirtualHealth, GetWell Loop, CareSkore, Evariant, MDLIVE, K Health, Emmi Solutions, LifeWIRE Corp, Health Catalyst, Forward Health Group, Athenahealth, Dacadoo, Livongo, MedeAnalytics, Welltok, Cerner, Healthify, Axial Exchange, Clearwave Corporation</t>
  </si>
  <si>
    <t>Provider of collaborative healthcare technology platform designed to create ad customizes personal health applications. The company's platform combines a world of new information from patients, devices and applications with existing clinical data, enabling individuals and healthcare professionals to engage and empower each other.</t>
  </si>
  <si>
    <t>Enterprise Systems (Healthcare)*</t>
  </si>
  <si>
    <t>collaborative healthcare, collaborative healthcare platform, collaborative healthcare technology, patient engagement platform, personal health application, system integration</t>
  </si>
  <si>
    <t>www.getrealhealth.com</t>
  </si>
  <si>
    <t>2016: 60, 2017: 75, 2019: 75</t>
  </si>
  <si>
    <t>53163-01P</t>
  </si>
  <si>
    <t>Mark Heaney</t>
  </si>
  <si>
    <t>Chief Strategist &amp; Board Member</t>
  </si>
  <si>
    <t>mark@getrealhealth.com</t>
  </si>
  <si>
    <t>+1 (301) 309-0058</t>
  </si>
  <si>
    <t>Rockville, MD</t>
  </si>
  <si>
    <t>51 Monroe Street</t>
  </si>
  <si>
    <t>Rockville</t>
  </si>
  <si>
    <t>20850</t>
  </si>
  <si>
    <t>+1 (301) 309-0037</t>
  </si>
  <si>
    <t>info@getrealhealth.com</t>
  </si>
  <si>
    <t>The company reached a definitive agreement to be acquired by Computer Programs &amp; Systems for $25 million on April 24, 2019. The company will receive a contingent payout of $14 million to be paid out depending on the 2019 EBITDA performance.</t>
  </si>
  <si>
    <t>Computer Programs &amp; Systems</t>
  </si>
  <si>
    <t>Computer Programs &amp; Systems(www.cpsi.com)</t>
  </si>
  <si>
    <t>360 Degree Insights(Consulting)</t>
  </si>
  <si>
    <t>159452-02</t>
  </si>
  <si>
    <t>GeoPhy</t>
  </si>
  <si>
    <t>Hometrack Australia, CompStak, Rentlytics, Compass, RealPage, ATTOM Data Solutions, HouseCanary</t>
  </si>
  <si>
    <t>Developer of an artificial intelligence based property analytics platform designed to provide instant and accurate property valuations. The company's platform uses data and machine learning to create instant and accurate valuations for commercial real estate, enabling the real estate industry to function better with the assistance of better data and intelligent services.</t>
  </si>
  <si>
    <t>Artificial Intelligence &amp; Machine Learning, Big Data, Real Estate Technology, SaaS, TMT</t>
  </si>
  <si>
    <t>property analytics, property analytics platform, property investment service, real estate analytics, real estate data, real estate platform, real estate property, real estate technology</t>
  </si>
  <si>
    <t>www.geophy.com</t>
  </si>
  <si>
    <t>2015: 20, 2016: 26, 2019: 100</t>
  </si>
  <si>
    <t>135843-49P</t>
  </si>
  <si>
    <t>Teun van den Dries</t>
  </si>
  <si>
    <t>teun@geophy.com</t>
  </si>
  <si>
    <t>+31 (0)15 737 0293</t>
  </si>
  <si>
    <t>Phoenixstraat 28c</t>
  </si>
  <si>
    <t>2611 AL</t>
  </si>
  <si>
    <t>info@geophy.com</t>
  </si>
  <si>
    <t>The company raised $33 million of Series B venture funding in a deal led by Index Ventures (UK) on January 24, 2019. Inkef Capital and Hearst Ventures also participated in the round. The company will use the fresh capital to expand its presence in the U.S. and Europe ahead of a move into the Asia-Pacific region in the next year.</t>
  </si>
  <si>
    <t>Hearst Ventures, Index Ventures (UK), Inkef Capital</t>
  </si>
  <si>
    <t>Index Ventures (UK)(www.indexventures.com), Inkef Capital(www.inkefcapital.com)</t>
  </si>
  <si>
    <t>56500-57</t>
  </si>
  <si>
    <t>GeoDigital International</t>
  </si>
  <si>
    <t>GeoDigital</t>
  </si>
  <si>
    <t>Terra Remote Sensing, Nearmap Australia, Digital Map Products, Geoblink</t>
  </si>
  <si>
    <t>Developer of digital technology grid designed to connect critical infrastructure with people, cars and machines. The company's digital grid uses 3D data, remote sensor and spatial intelligence technologies that identify critical road features, accurately position the vehicle and update the digital roads database via crowdsourcing and industrial cloud that enables power companies to virtually monitor and inspect the widely dispersed transmission and distribution assets, and the environment that surrounds them.</t>
  </si>
  <si>
    <t>assets inspection, electric utility, field data acquisition, infrared technology, laser-based technology</t>
  </si>
  <si>
    <t>www.geodigital.com</t>
  </si>
  <si>
    <t>2012: 250</t>
  </si>
  <si>
    <t>166820-50P</t>
  </si>
  <si>
    <t>David Horn</t>
  </si>
  <si>
    <t>dhorn@geodigital.com</t>
  </si>
  <si>
    <t>+1 (404) 500-1654</t>
  </si>
  <si>
    <t>8601 Dunwoody Place</t>
  </si>
  <si>
    <t>30350</t>
  </si>
  <si>
    <t>The company received $25 million of development capital from NGP Energy Technology Partners, Emerald Technology Ventures, EnerTech Capital, GM Ventures and North Sky Capital on June 3, 2014. Emerald Technology Ventures and EnerTech Capital co-led the round of funding.</t>
  </si>
  <si>
    <t>Aston Hill Asset Management, Emerald Technology Ventures, EnerTech Capital, GM Ventures, InvestEco Capital, Mertz Holdings, NGP Energy Technology Partners, North Sky Capital, Trivaris</t>
  </si>
  <si>
    <t>Aston Hill Asset Management(www.navinaasset.com), Emerald Technology Ventures(www.emerald-ventures.com), EnerTech Capital(www.enertechcapital.com), GM Ventures(www.gmventures.com), InvestEco Capital(www.investeco.com), Mertz Holdings(www.mertzholdings.com), NGP Energy Technology Partners(www.ngpetp.com), North Sky Capital(www.northskycapital.com), Trivaris(www.trivaris.com)</t>
  </si>
  <si>
    <t>Chessiecap Securities(Advisor: General)</t>
  </si>
  <si>
    <t>51040-18</t>
  </si>
  <si>
    <t>GEO Semiconductor</t>
  </si>
  <si>
    <t>GEO</t>
  </si>
  <si>
    <t>NC &amp; Company, Socionext</t>
  </si>
  <si>
    <t>Provider of programmable camera video processors designed to offer high definition view of images and videos. The company's programmable camera video processors utilize geometric processing technology, image signal processing and video compression to deliver 360 degree view of the site, enabling clients to avail home monitoring, car monitoring and other surveillance processes in a hassle free way.</t>
  </si>
  <si>
    <t>Application Specific Semiconductors*, Network Management Software</t>
  </si>
  <si>
    <t>automotive camera, fabless semiconductor, geometry processor, images processing, system-on-chip, video processor, video systems</t>
  </si>
  <si>
    <t>www.geosemi.com</t>
  </si>
  <si>
    <t>2013: 75, 2017: 75</t>
  </si>
  <si>
    <t>48556-18P</t>
  </si>
  <si>
    <t>Zorwar Bassi</t>
  </si>
  <si>
    <t>Chief Technology Officer &amp; Vice President, Engineering</t>
  </si>
  <si>
    <t>zbassi@geosemi.com</t>
  </si>
  <si>
    <t>+1 (408) 638-0400</t>
  </si>
  <si>
    <t>101 Metro Drive</t>
  </si>
  <si>
    <t>+1 (408) 638-0443</t>
  </si>
  <si>
    <t>The company raised $2.07 M of Series C funding from Roadmap Capital on June 30, 2017.</t>
  </si>
  <si>
    <t>180 Degree Capital, Mindset Ventures, Montage Capital, Panasonic Ventures, Roadmap Capital</t>
  </si>
  <si>
    <t>180 Degree Capital(www.180degreecapital.com), Mindset Ventures(www.mindset.ventures), Montage Capital(www.montagecapital.com), Panasonic Ventures(www.panasonicventures.com), Roadmap Capital(www.roadmapcapitalinc.com)</t>
  </si>
  <si>
    <t>BDO(Auditor), Dorsey &amp; Whitney(Legal Advisor)</t>
  </si>
  <si>
    <t>180 Degree Capital(Debt Financing), Jupiter Systems(Debt Financing), Montage Capital(Debt Financing)</t>
  </si>
  <si>
    <t>187941-88</t>
  </si>
  <si>
    <t>GenXys</t>
  </si>
  <si>
    <t>Gen Xys, Gen-Xys</t>
  </si>
  <si>
    <t>OneOme, YouScript, Tabula Rasa Healthcare, ActX, Translational Software</t>
  </si>
  <si>
    <t>Provider of precision prescribing software and pharmacogenetic test intended to avoid adverse drug reactions and inappropriate prescribing. The company's software and pharmacogenetic test provide tailored, safe, effective medication options based on unique genetic makeup and personal information, assisting physicians to improve medication safety, increase drug efficacy and reduce healthcare costs.</t>
  </si>
  <si>
    <t>Biotechnology, Decision/Risk Analysis*</t>
  </si>
  <si>
    <t>clinical decision support platform, clinical decision support software, clinical decision support tool, medical decision software, medication decision support, personal medicine, personalized medicine, personalized medicine approach, personalized medicine services, pharmacogenetics, pharmacogenetics test, pharmacogenomics</t>
  </si>
  <si>
    <t>www.genxys.com</t>
  </si>
  <si>
    <t>2019: 13</t>
  </si>
  <si>
    <t>172354-24P</t>
  </si>
  <si>
    <t>Martin Dawes</t>
  </si>
  <si>
    <t>Co-Founder, Chief Scientific Officer &amp; Board Member</t>
  </si>
  <si>
    <t>martin.dawes@genxys.com</t>
  </si>
  <si>
    <t>+1 (206) 408-3099</t>
  </si>
  <si>
    <t>322 Water Street</t>
  </si>
  <si>
    <t>V6B 1B6</t>
  </si>
  <si>
    <t>info@genxys.com</t>
  </si>
  <si>
    <t>The company raised $1.77 million of seed funding from TELUS Ventures on April 2, 2019. Other undisclosed investors also participated in this round. The funds will be used by the company to expand into new regions, increase patient safety, medication effectiveness whilst reducing healthcare costs with its market leading precision prescribing software solution.</t>
  </si>
  <si>
    <t>entrepreneurship@UBC Seed Fund, TELUS Ventures</t>
  </si>
  <si>
    <t>entrepreneurship@UBC Seed Fund(www.entrepreneurship.ubc.ca/seed-fund), TELUS Ventures(ventures.telus.com)</t>
  </si>
  <si>
    <t>Royal Bank of Canada(General Business Banking), Whiteboard Law(Legal Advisor)</t>
  </si>
  <si>
    <t>Whiteboard Law(Legal Advisor)</t>
  </si>
  <si>
    <t>118590-13</t>
  </si>
  <si>
    <t>Genoplan</t>
  </si>
  <si>
    <t>Provider of an application designed to offer personal genetic testing. The company's application provides personalized products and services using biotechnology (BT) and information technology (IT) to access and utilize genetic information, enabling users to know their genetic propensity in an easy way.</t>
  </si>
  <si>
    <t>diet and fitness, genetic analysis, genetic information, personal genetic testing</t>
  </si>
  <si>
    <t>www.genoplan.com</t>
  </si>
  <si>
    <t>131335-39P</t>
  </si>
  <si>
    <t>Byungkyu Kang</t>
  </si>
  <si>
    <t>Chief Executive Officer, Director &amp; Promoter</t>
  </si>
  <si>
    <t>bk@genoplan.com</t>
  </si>
  <si>
    <t>Teheranro 216</t>
  </si>
  <si>
    <t>06221</t>
  </si>
  <si>
    <t>+82 (0)1 577 6370</t>
  </si>
  <si>
    <t>help@genoplan.com</t>
  </si>
  <si>
    <t>The company raised $4.5 million of Series A venture funding in a deal led by SoftBank Ventures Korea in January 2016, putting the company's pre-money valuation at $13.65 million. Samsung Venture Investment, SparkLabs Global Ventures, WONIK Investment Partners and CyberAgent Ventures also participated in this round. Prior to this round, the company joined Sparklabs as part of its 5th Class on June 22, 2015.</t>
  </si>
  <si>
    <t>CyberAgent Capital, Samsung Venture Investment, SoftBank Ventures Asia, SparkLabs, SparkLabs Global Ventures, Wonik IPS</t>
  </si>
  <si>
    <t>CyberAgent Capital(www.cyberagentcapital.com), Samsung Venture Investment(www.samsungventures.com), SoftBank Ventures Asia(www.softbank.co.kr), SparkLabs(www.sparklabs.co.kr), SparkLabs Global Ventures(www.sparklabsglobal.com), Wonik IPS(www.ips.co.kr)</t>
  </si>
  <si>
    <t>Wadiz(Lead Manager or Arranger)</t>
  </si>
  <si>
    <t>60138-19</t>
  </si>
  <si>
    <t>Genies</t>
  </si>
  <si>
    <t>Blend Systems, DormSwoop</t>
  </si>
  <si>
    <t>Hike (Communication Software), Dasher, Kwippit, WeChat, textPlus, Pinger (mobile communication), Kik (Application Software)</t>
  </si>
  <si>
    <t>Developer of a smart emoji application for college student created to share their experiences. The company's application offers sharing of photos, trends and the ability to nominate friends, celebrities or businesses to participate in challenges, using high definition facial and clothing collections, enabling users to create personalizable look-alike and expressive emojis that react to relevant daily happenings in real-time.</t>
  </si>
  <si>
    <t>emoji animation, emoji application, emoji maker, events sharing application, expressive emojis, messaging software</t>
  </si>
  <si>
    <t>www.genies.com</t>
  </si>
  <si>
    <t>2015: 20, 2017: 30</t>
  </si>
  <si>
    <t>55719-28P</t>
  </si>
  <si>
    <t>Akash Nigam</t>
  </si>
  <si>
    <t>akash@blend.la</t>
  </si>
  <si>
    <t>+1 (650) 996-3822</t>
  </si>
  <si>
    <t>8605 Santa Monica Boulevard</t>
  </si>
  <si>
    <t>Suite 22702</t>
  </si>
  <si>
    <t>contact@blend.la</t>
  </si>
  <si>
    <t>The company raised $6.97 million of Series A1 venture funding from undisclosed investors on May 14, 2019, putting the company's pre-money valuation at $120 million.</t>
  </si>
  <si>
    <t>Adrian Fenty, Ajay Chopra, Al Dhow Capital, ASAP Rocky, Base Ventures, Benjamin Lerer, BoxGroup, CAA Ventures, Cameron Dallas, Carmelo Anthony, Compound, Cristian Burci, Curtis Jackson, Drew Taggart, Erik Moore, Foundation Capital, Great Oaks Venture Capital, Jake Paul, Jared Morgenstern, Kiari Kendrell Cephus, Krishna Swaroop Kolluri, Kyrie Irving, Lerer Hippeau, Macro Ventures, Management 360, Maveron, Ndamukong Suh, New Enterprise Associates, Nickhil Jakatdar, Ramu Sunkara, Red Sea Ventures, Russell Westbrook, Sean Rad, Shawn Mendes, SparkLabs Global Ventures, TeamDom, Thomas Tull, Tony Robbins, Trinity Venture Group, Trinity Ventures, Upslope Ventures, Visionnaire Ventures, Waha Capital, William Wesley, WorldQuant Ventures, XG Ventures</t>
  </si>
  <si>
    <t>Al Dhow Capital(www.dhowcapital.net), Base Ventures(www.base.ventures), BoxGroup(www.boxgroup.com), CAA Ventures(ventures.caa.com), Compound(www.compound.vc), Foundation Capital(www.foundationcapital.com), Great Oaks Venture Capital(www.greatoaksvc.com), Lerer Hippeau(www.lererhippeau.com), Management 360(www.management360.com), Maveron(www.maveron.com), New Enterprise Associates(www.nea.com), Red Sea Ventures(www.redseaventures.com), SparkLabs Global Ventures(www.sparklabsglobal.com), TeamDom(www.teamdom.co), Tony Robbins(www.tonyrobbins.com), Trinity Venture Group(www.trinityventure.com), Trinity Ventures(www.trinityventures.com), Upslope Ventures(www.upslope.vc), Visionnaire Ventures(www.visionnaire.vc), Waha Capital(www.wahacapital.ae), WorldQuant Ventures(www.worldquantventures.com), XG Ventures(www.xg-ventures.com)</t>
  </si>
  <si>
    <t>63064-63</t>
  </si>
  <si>
    <t>Generation UCAN</t>
  </si>
  <si>
    <t>GlyGenix Therapeutics, GlyGenix</t>
  </si>
  <si>
    <t>Developer of energy products designed to change the nutritional landscape for everyone. The company 's energy products are natural and has the potential of slow-releasing carbohydrate that keeps the blood sugar stable and delivers steady energy for brain and body, enabling customers to burn more fat for fuel.</t>
  </si>
  <si>
    <t>Beverages, Food Products*, Internet Retail</t>
  </si>
  <si>
    <t>energy product, natural superstarch carbohydrate, post-workout craving, revolutionary superstarch, sugar-based fuel</t>
  </si>
  <si>
    <t>www.generationucan.com</t>
  </si>
  <si>
    <t>67068-64P</t>
  </si>
  <si>
    <t>Ramesh Ratan</t>
  </si>
  <si>
    <t>+1 (617) 401-3191</t>
  </si>
  <si>
    <t>Woodbridge, CT</t>
  </si>
  <si>
    <t>15 Research Drive</t>
  </si>
  <si>
    <t>Suite 3</t>
  </si>
  <si>
    <t>Woodbridge</t>
  </si>
  <si>
    <t>06525</t>
  </si>
  <si>
    <t>+1 (203) 397-8226</t>
  </si>
  <si>
    <t>+1 (203) 397-5821</t>
  </si>
  <si>
    <t>info@generationucan.com</t>
  </si>
  <si>
    <t>The company raised $5.75 million of Series D venture funding led by eighteen94 capital on May 10, 2018, putting the company's pre-money valuation at $20 million. S2G Ventures also participated in the round. The company intends to use the funds to continue to invest in the branding and distribution of its products, expand awareness of products and its market from athletes to everyday individuals.</t>
  </si>
  <si>
    <t>Eighteen94 Capital, S2G Ventures</t>
  </si>
  <si>
    <t>Eighteen94 Capital(www.1894capital.com), S2G Ventures(www.s2gventures.com)</t>
  </si>
  <si>
    <t>Wiggin and Dana(Legal Advisor)</t>
  </si>
  <si>
    <t>109473-13</t>
  </si>
  <si>
    <t>Generation Tux</t>
  </si>
  <si>
    <t>Menguin, The Black Tux</t>
  </si>
  <si>
    <t>Developer of an online tuxedo rental platform designed to offer exclusive service with tailors on demand to visit the home or office. The company's platform is distinguished by quality, style and variety, a digital-first, simple and convenient shopping and event management experience, enabling grooms to get dressed in a special way on their special day.</t>
  </si>
  <si>
    <t>Clothing*, Internet Retail, Social/Platform Software</t>
  </si>
  <si>
    <t>clothing platform, clothing rental, rental platform, tuxedo on rent, tuxedo rental</t>
  </si>
  <si>
    <t>www.generationtux.com</t>
  </si>
  <si>
    <t>41582-62P</t>
  </si>
  <si>
    <t>Christopher Hemmeter</t>
  </si>
  <si>
    <t>chris@thayerventures.com</t>
  </si>
  <si>
    <t>+1 (415) 782-1414</t>
  </si>
  <si>
    <t>+1 (844) 726-4889</t>
  </si>
  <si>
    <t>The company raised $25 million of Series B venture funding from Meritage Group, Meritage Funds and Salesforce Ventures on September 1, 2015, putting the company's pre-money valuation at $70.7 million. Lyrical Partners also participated in the round.</t>
  </si>
  <si>
    <t>Bill Duhamel, David Duffield, George Zimmer, Gisele Brisson, Ian Issacs, J. Carlo Cannell, Jeremiah Chafkin, Kevin Francis, Lyrical Partners, Meritage Funds, Meritage Group, Salesforce Ventures, Scott Spradley</t>
  </si>
  <si>
    <t>Lyrical Partners(www.lyricalpartners.com), Meritage Funds(www.meritagefunds.com)</t>
  </si>
  <si>
    <t>58078-18</t>
  </si>
  <si>
    <t>Geli</t>
  </si>
  <si>
    <t>Greensmith Energy, EnSync Energy Systems, JLM Energy, Bidgely, AutoGrid, CODA Energy, Stem, PlotWatt, Onzo, Verdigris, Primus Power, Ecoult, Rhombus Energy Solutions, Opower, Advanced Microgrid Solutions, ViZn Energy Systems, Younicos</t>
  </si>
  <si>
    <t>Developer of energy storage design &amp; automation software created to manage megawatts of projects deployed around the world. The company provides software and business solutions for designing, automating, and managing energy storage and microgrid systems, enabling users to minimize the environmental impact.</t>
  </si>
  <si>
    <t>Application Software, Business/Productivity Software*, Energy Storage</t>
  </si>
  <si>
    <t>cloud-based network operations, demand charging management, energy automation software, energy storage design, energy storage system, grid installation, microgrids software, microgrids system</t>
  </si>
  <si>
    <t>www.geli.net</t>
  </si>
  <si>
    <t>76447-36P</t>
  </si>
  <si>
    <t>Ryan Wartena</t>
  </si>
  <si>
    <t>ryan@banyan.fund</t>
  </si>
  <si>
    <t>111 New Montgomery Street</t>
  </si>
  <si>
    <t>+1 (415) 857-4354</t>
  </si>
  <si>
    <t>The company raised $6.07 million of Series A2 venture funding from Plug and Play Tech Center on December 18, 2018, putting the company's pre-money valuation at $40 million. Previously, the company joined Wells Fargo Innovation Incubator on January 11, 2017 and received $250,000 in grant funding from the Wells Fargo Foundation.</t>
  </si>
  <si>
    <t>California Energy Commission, CLI Ventures, David Gow, Elemental Excelerator, Greenstart (Other Capital Markets/Institutions), Invested Development, Momenta Partners, National Renewable Energy Laboratory, Next47, Plug and Play Tech Center, RocketSpace, Shell Ventures, Southern Cross Venture Partners, Syzygy West, Wells Fargo Innovation Incubator</t>
  </si>
  <si>
    <t>California Energy Commission(www.energy.ca.gov), CLI Ventures(www.cli.ventures), Elemental Excelerator(www.elementalexcelerator.com), Greenstart (Other Capital Markets/Institutions)(www.greenstart.com), Invested Development(www.investeddevelopment.com), Momenta Partners(www.momenta.partners), National Renewable Energy Laboratory(www.nrel.gov), Next47(Next47.com), Plug and Play Tech Center(www.plugandplaytechcenter.com), RocketSpace(www.rocketspace.com), Southern Cross Venture Partners(www.sxvp.com), Wells Fargo Innovation Incubator(www.in2ecosystem.com)</t>
  </si>
  <si>
    <t>Momenta Partners(Advisor: General), Wilson Sonsini Goodrich &amp; Rosati(Legal Advisor)</t>
  </si>
  <si>
    <t>52372-00</t>
  </si>
  <si>
    <t>GCT Semiconductor</t>
  </si>
  <si>
    <t>Global Communication Technology</t>
  </si>
  <si>
    <t>GCT</t>
  </si>
  <si>
    <t>Applied Micro Circuits, Inphi, Celeno, Sckipio, Ranovus, Microsemi, Sequans Communications, Intersil, Qorvo, MACOM Technology Solutions</t>
  </si>
  <si>
    <t>Developer of integrated circuits intended for wireless communication applications. The company's system-on-chip solutions integrate radio frequency, baseband modem, and digital signal processing functions, offering complete 4G platform solutions with small form factors, low power consumption, high performance, high reliability, and cost-effectiveness.</t>
  </si>
  <si>
    <t>Application Specific Semiconductors, Wireless Communications Equipment*</t>
  </si>
  <si>
    <t>fabless semiconductor, integrated circuit, internet of things, wireless application, wireless telecommunication</t>
  </si>
  <si>
    <t>Publicly Listed, Venture Capital</t>
  </si>
  <si>
    <t>www.gctsemi.com</t>
  </si>
  <si>
    <t>2005: 12, 2006: 12, 2007: 12, 2008: 200, 2009: 30, 2010: 30, 2011: 195, 2014: 201, 2016: 201</t>
  </si>
  <si>
    <t>TTM 2Q2012</t>
  </si>
  <si>
    <t>45048-70P</t>
  </si>
  <si>
    <t>Gene Kulzer</t>
  </si>
  <si>
    <t>Chief Financial &amp; Administrative Officer</t>
  </si>
  <si>
    <t>gene.kulzer@gctsemi.com</t>
  </si>
  <si>
    <t>+1 (408) 434-6040</t>
  </si>
  <si>
    <t>2121 Ringwood Avenue</t>
  </si>
  <si>
    <t>+1 (408) 434-6050</t>
  </si>
  <si>
    <t>WI Harper Group sold its stake in the company on an undisclosed date.</t>
  </si>
  <si>
    <t>3V SourceOne Capital, @Ventures, Anapass, Bokwang, DNX Ventures, Docomo Innovations, East Gate Capital Management, Fairbridge Venture Partners, FirstMark Capital, JAIC America, Jay Eum, KGI Partners, LG Electronics, Mizuho Capital Partners, National Semiconductor, Nexus Investment Corporation, Olympus Business Creation America, Parakletos Ventures, Pequot Ventures, Pericom Semiconductor, Samsung Venture Investment, SDL Ventures, SK Telecom, UMC Capital, UOB Venture Management, UTStarcom, yet2Ventures</t>
  </si>
  <si>
    <t>WI Harper Group</t>
  </si>
  <si>
    <t>3V SourceOne Capital(www.3vs1.com), @Ventures(www.ventures.com), Anapass(www.anapass.com), Bokwang(www.bokwang.com), DNX Ventures(www.dnx.vc), Docomo Innovations(www.docomoinnovations.com), FirstMark Capital(www.firstmarkcap.com), JAIC America(www.jaicamerica.com), KGI Partners(www.kgipartners.com), Nexus Investment Corporation(www.nexusinvestment.ca), Olympus Business Creation America(www.olympusbca.com), Parakletos Ventures(www.parakletos.com), Samsung Venture Investment(www.samsungventures.com), SDL Ventures(www.sdlventures.com), UMC Capital(www.umccapital.com), UOB Venture Management(www.uobvm.com.sg), yet2Ventures(www.yet2Ventures.com)</t>
  </si>
  <si>
    <t>WI Harper Group(www.wiharper.com)</t>
  </si>
  <si>
    <t>Bank of America Merrill Lynch(Underwriter), Cowen and Company(Underwriter), Morgan, Lewis &amp; Bockius(Legal Advisor), Oppenheimer &amp; Company(Underwriter), The Goldman Sachs Group(Underwriter)</t>
  </si>
  <si>
    <t>62074-54</t>
  </si>
  <si>
    <t>Gbatteries</t>
  </si>
  <si>
    <t>ActiveBMS</t>
  </si>
  <si>
    <t>Envia Systems, Ecoult, Eos Energy Storage, Primus Power, Leyden Energy</t>
  </si>
  <si>
    <t>Developer of a smart battery management system designed to increase battery performance. The company's battery management technology helps any existing battery to charge six times faster than conventional technology and retain longer cycle life with minimal degradation, enabling users to unlock the full potential of li-ion batteries.</t>
  </si>
  <si>
    <t>battery management, battery management system, battery performance, smart battery management</t>
  </si>
  <si>
    <t>www.gbatteries.com</t>
  </si>
  <si>
    <t>2014: 5, 2017: 10</t>
  </si>
  <si>
    <t>63681-40P</t>
  </si>
  <si>
    <t>Tim Sherstyuk</t>
  </si>
  <si>
    <t>tim@gbatteries.com</t>
  </si>
  <si>
    <t>Ottawa, Canada</t>
  </si>
  <si>
    <t>1431 Merivale Road</t>
  </si>
  <si>
    <t>Ottawa</t>
  </si>
  <si>
    <t>K2E 0B9</t>
  </si>
  <si>
    <t>hello@gbatteries.com</t>
  </si>
  <si>
    <t>The company joined Startup Autobahn as a part of its Third Class and received an undisclosed amount in funding on September 25, 2017. Previously, the company raised an undisclosed amount of venture funding from FundersClub, Airbus Ventures and Innovative Aftermarket Systems on May 8, 2017. Initialized Capital Management, SV Angels and Velorum Capital also participated in the round. Prior to that, the company joined Plug and Play Tech Center as a part of its Mobility Batch 2 of 2017 Cohort and received an undisclosed amount in funding on March 21, 2017. Earlier, the company received $1.2 million of grant funding from Sustainable Development Technology Canada on February 17, 2017. Earlier that year, the company joined Creative Destruction Lab and received an undisclosed amount in funding in 2017.</t>
  </si>
  <si>
    <t>Airbus Ventures, Bobby Goodlatte, Canadian Technology Accelerator, Creative Destruction Lab, Farzad Nazem, Flex's Lab IX, FundersClub, Initialized Capital Management, Innovative Aftermarket Systems, Michael Liou, Plug and Play Tech Center, Robert Emrich, Robert Wuttke, Saad AlSogair, Simone Syed, Startup Autobahn, Sustainable Development Technology Canada, SV Angel, TechFounders, Terrence Yang, Velorum Capital, Y Combinator</t>
  </si>
  <si>
    <t>Airbus Ventures(www.airbusventures.vc), Canadian Technology Accelerator(www.ctaconnects.com), Creative Destruction Lab(www.creativedestructionlab.com), Flex's Lab IX(www.labix.io/expertise/startups), FundersClub(www.fundersclub.com), Initialized Capital Management(www.initialized.com), Innovative Aftermarket Systems(www.iasdirect.com), Plug and Play Tech Center(www.plugandplaytechcenter.com), Robert Emrich(www.robemrich.com), Saad AlSogair(www.DrSogair.com), Startup Autobahn(www.startup-autobahn.com), Sustainable Development Technology Canada(www.sdtc.ca), SV Angel(www.svangel.com), TechFounders(www.techfounders.com), Velorum Capital(www.velorumcapital.com), Y Combinator(www.ycombinator.com)</t>
  </si>
  <si>
    <t>60515-47</t>
  </si>
  <si>
    <t>Gane</t>
  </si>
  <si>
    <t>NewBoat Technologies</t>
  </si>
  <si>
    <t>SimplyTapp</t>
  </si>
  <si>
    <t>Developer of a cloud-based mobile payment platform designed to foster a more open and friendly environment for card payments at the point of sale. The company's cloud-based mobile payment platform has developed an application utilizing host card emulation technology which augments a mobile banking application with a tap and pay feature, enabling users to tap their smart-phone at any payment terminal for a transaction and purchase their required item.</t>
  </si>
  <si>
    <t>cloud-based technology, mobile banking application, payment technology, payment terminal, taps and pay</t>
  </si>
  <si>
    <t>www.gane.io</t>
  </si>
  <si>
    <t>2013: 5, 2014: 9, 2015: 12, 2016: 23</t>
  </si>
  <si>
    <t>57161-53P</t>
  </si>
  <si>
    <t>Doug Yeager</t>
  </si>
  <si>
    <t>doug@simplytapp.com</t>
  </si>
  <si>
    <t>+1 (512) 298-2774</t>
  </si>
  <si>
    <t>1145 West 5th Street</t>
  </si>
  <si>
    <t>info@simplytapp.com</t>
  </si>
  <si>
    <t>The company raised $5.9 million of venture funding from Verizon Ventures on June 4, 2015. Previously, the company raised $8.5 million of Series B venture funding from Lightspeed Venture Partners, Mozido and Blue Sky Capital on February 5, 2015, putting the pre-money valuation at $20.16 million.</t>
  </si>
  <si>
    <t>Blue Sky Capital, Lightspeed Venture Partners, Mozido, Texas Venture Labs, Verizon Ventures</t>
  </si>
  <si>
    <t>Blue Sky Capital(docs.rpmtec.com/bluesky), Lightspeed Venture Partners(www.lsvp.com), Mozido(www.mozido.com), Texas Venture Labs(www.mccombs.utexas.edu/Centers/Texas-Venture-Labs), Verizon Ventures(www.verizonventures.com)</t>
  </si>
  <si>
    <t>Walker Sands Communications(Advisor: Communications)</t>
  </si>
  <si>
    <t>53352-37</t>
  </si>
  <si>
    <t>GaN Systems</t>
  </si>
  <si>
    <t>GaN</t>
  </si>
  <si>
    <t>Navitas Semiconductor, Newlans, Transphorm, Kyma Technologies, EpiGaN, Solantro Semiconductor</t>
  </si>
  <si>
    <t>Manufacturer of a range of gallium nitride high power transistors intended to realize all the benefits of gallium nitride in their power conversion and control applications. The company's gallium nitride high power transistors provides gallium nitride power switching diodes and transistors for cleantech power conversion applications, enabling customers to use low cost GaN-on-silicon base wafers.</t>
  </si>
  <si>
    <t>application semiconductor, cleantech power conversion, information technology, power conversion application, power conversion semiconductor, power switching diodes, switching diodes</t>
  </si>
  <si>
    <t>www.gansystems.com</t>
  </si>
  <si>
    <t>2012: 14, 2014: 23, 2016: 34</t>
  </si>
  <si>
    <t>38635-03P</t>
  </si>
  <si>
    <t>James Witham</t>
  </si>
  <si>
    <t>jwitham@gansystems.com</t>
  </si>
  <si>
    <t>+1 (613) 686-1996</t>
  </si>
  <si>
    <t>1145 Innovation Drive</t>
  </si>
  <si>
    <t>K2K 3G8</t>
  </si>
  <si>
    <t>+1 (613) 599-8067</t>
  </si>
  <si>
    <t>info@gansystems.com</t>
  </si>
  <si>
    <t>The company raised $21.5 million of Series D funding in a round led by BMW i Ventures on June 18, 2017 BDC Capital, Delta Electronics Power Supply, BDC Industrial, Clean and Energy Technology Venture Fund, Chrysalix Venture Capital, Cycle Capital Management, RockPort Capital and Tsing Capital also participated in this round. The company plans to use the funding to expand global sales and accelerate product innovation to help customers reduce system costs, increase revenue and gain market share.</t>
  </si>
  <si>
    <t>BDC Capital, BDC Healthcare Venture Fund, BDC Industrial, Clean and Energy Technology Venture Fund, BMW i Ventures, Chrysalix Venture Capital, Cycle Capital/Ecofuel, Delta Electronics Power Supply, Ontario Centres of Excellence, RockPort Capital Partners, Sustainable Development Technology Canada, Tsing Capital</t>
  </si>
  <si>
    <t>BDC Industrial, Clean and Energy Technology Venture Fund(www.bdc.ca/EN/bdc-capital/venture-capital/strategic-approach/Pages/energy-cleantech-venture-fund.aspx), BMW i Ventures(www.bmwiventures.com), Chrysalix Venture Capital(www.chrysalix.com), Cycle Capital/Ecofuel(www.cyclecapital.com), Delta Electronics Power Supply(deltapsu.com), Ontario Centres of Excellence(www.oce-ontario.org), RockPort Capital Partners(www.rockportcap.com), Sustainable Development Technology Canada(www.sdtc.ca), Tsing Capital(www.tsingcapital.com)</t>
  </si>
  <si>
    <t>MaRS Discovery District(Advisor: General), PwC(Auditor)</t>
  </si>
  <si>
    <t>221938-84</t>
  </si>
  <si>
    <t>Gamma Alloys</t>
  </si>
  <si>
    <t>Materion, DWA</t>
  </si>
  <si>
    <t>Developer of lightweight alloys designed to give a boost to next-generation aluminum alloys. The company's alloys have patented manufacturing procedures, utilizing nanotechnology, to reinforce aluminum alloys by creating metal-matrix-composites reinforced with artificial precipitates, resulting in increased stiffness, improved wear resistance, and superior strength, at both room and elevated temperatures.</t>
  </si>
  <si>
    <t>Aerospace and Defense*, Automotive, Other Commercial Products, Other Materials</t>
  </si>
  <si>
    <t>alloy, aluminum alloy, lightweight alloy, nanotechnology, reinforce metal</t>
  </si>
  <si>
    <t>www.gammaalloys.com</t>
  </si>
  <si>
    <t>2008: 2, 2009: 2, 2010: 2, 2011: 2, 2012: 2, 2013: 2, 2014: 2, 2015: 2, 2016: 3, 2017: 10, 2018: 11</t>
  </si>
  <si>
    <t>173747-08P</t>
  </si>
  <si>
    <t>Mark Sommer</t>
  </si>
  <si>
    <t>mark.sommer@gammaalloys.com</t>
  </si>
  <si>
    <t>+1 (661) 775-1210</t>
  </si>
  <si>
    <t>Valencia, CA</t>
  </si>
  <si>
    <t>28920 Avenue Penn</t>
  </si>
  <si>
    <t>Unit 103</t>
  </si>
  <si>
    <t>Valencia</t>
  </si>
  <si>
    <t>91355</t>
  </si>
  <si>
    <t>+1 (661) 294-5291</t>
  </si>
  <si>
    <t>+1 (661) 775-1223</t>
  </si>
  <si>
    <t>info@gammaalloys.com</t>
  </si>
  <si>
    <t>The company raised an undisclosed amount of seed funding from Boeing HorizonX, Del West and Al Sommer on November 1, 2017. The funds will be used to explore compelling applications across demanding industries such as aerospace while accelerating our nano-particle material development and the full-scale industrialization of our manufacturing processes.</t>
  </si>
  <si>
    <t>Al Sommer, Boeing HorizonX, Del West, Starburst Aerospace</t>
  </si>
  <si>
    <t>Del West(delwestengineering.com), Starburst Aerospace(www.starburst.aero)</t>
  </si>
  <si>
    <t>Advisors(Legal Advisor), Hutchinson &amp; Bloodgood(Accounting), Wells Fargo(General Business Banking)</t>
  </si>
  <si>
    <t>154807-39</t>
  </si>
  <si>
    <t>GameCake</t>
  </si>
  <si>
    <t>Operator of a gaming studio designed to offer party games for living rooms. The company's gaming studio develops games that require face-to-face interaction, enabling players to play computer games in group settings.</t>
  </si>
  <si>
    <t>Gaming, TMT</t>
  </si>
  <si>
    <t>gaming portal, gaming studio, party games, video games</t>
  </si>
  <si>
    <t>www.gamecakestudios.com</t>
  </si>
  <si>
    <t>129646-36P</t>
  </si>
  <si>
    <t>Eshan Mathur</t>
  </si>
  <si>
    <t>eshan@gamecakestudios.com</t>
  </si>
  <si>
    <t>+1 (408) 718-4327</t>
  </si>
  <si>
    <t>600 Wilshire Boulevard</t>
  </si>
  <si>
    <t>90017</t>
  </si>
  <si>
    <t>The company raised $630,000 of seed funding from Comcast Ventures and undisclosed investors on June 23, 2017, putting the pre-money valuation at $5 million.</t>
  </si>
  <si>
    <t>Comcast Ventures</t>
  </si>
  <si>
    <t>Comcast Ventures(www.comcastventures.com)</t>
  </si>
  <si>
    <t>54603-82</t>
  </si>
  <si>
    <t>Gainsight</t>
  </si>
  <si>
    <t>JBara</t>
  </si>
  <si>
    <t>JBara Software</t>
  </si>
  <si>
    <t>Bolstra, Catalyst Software, UserIQ, ChurnZero, CustomerMatrix, Amity, Lattice (Business/Productivity Software), Whatfix, Strikedeck, Pendo, Channel Portal, Totango, ChartMogul, Entomo, ClientSuccess, CustomerLink, Promoter.io, mParticle, Wootric, Impartner, Satmetrix Systems, AskNicely, Appuri, Localytics, Salesforce, WalkMe, Natero, Bluenose, Alation, CleverTap, Toonimo, Medallia</t>
  </si>
  <si>
    <t>Developer of management platform designed to empower the customer success movement to drive revenue and increase retention. The company's platform helps to create customer communications at scale, proactively demonstrate ROI with success plans, drive consistent action, enabling businesses to drive revenue, retain customer and scale operations.</t>
  </si>
  <si>
    <t>customer information, customer retention, customer satisfaction index, customer success management, customer success management platform</t>
  </si>
  <si>
    <t>www.gainsight.com</t>
  </si>
  <si>
    <t>2013: 25, 2014: 75, 2015: 173, 2017: 430, 2018: 500, 2019: 600</t>
  </si>
  <si>
    <t>36746-83P</t>
  </si>
  <si>
    <t>Nick Mehta</t>
  </si>
  <si>
    <t>nmehta@gainsight.com</t>
  </si>
  <si>
    <t>+1 (888) 623-8562</t>
  </si>
  <si>
    <t>1400 Bridge Parkway</t>
  </si>
  <si>
    <t>info@gainsight.com</t>
  </si>
  <si>
    <t>The company raised $25 million of venture funding in a deal led by Bessemer Venture Partners on July 27, 2018. Other undisclosed investors also participated in this round.</t>
  </si>
  <si>
    <t>Bain Capital Ventures, Battery Ventures, Bessemer Venture Partners, Cisco Investments, Cultivation Capital, Founders Circle Capital, Insight Partners, Lightspeed India Partners Advisors, Lightspeed Venture Partners, Missouri Technology, Salesforce Ventures, Silicon Valley Bank, St. Louis Arch Angels, Summit Partners, Synapse Partners</t>
  </si>
  <si>
    <t>Capital Innovators</t>
  </si>
  <si>
    <t>Bain Capital Ventures(www.baincapitalventures.com), Battery Ventures(www.battery.com), Bessemer Venture Partners(www.bvp.com), Cisco Investments(www.ciscoinvestments.com), Cultivation Capital(www.cultivationcapital.com), Founders Circle Capital(www.founderscircle.com), Insight Partners(www.insightpartners.com), Lightspeed Venture Partners(www.lsvp.com), Missouri Technology(www.missouritechnology.com), Silicon Valley Bank(www.svb.com), St. Louis Arch Angels(www.stlouisarchangels.com), Summit Partners(www.summitpartners.com), Synapse Partners(www.synapsepartners.co)</t>
  </si>
  <si>
    <t>Capital Innovators(www.capitalinnovators.com)</t>
  </si>
  <si>
    <t>Aircover Communications(Consulting), Gunderson Dettmer(Legal Advisor), Kindred Partners(Consulting), Vipany Group(Consulting), Wilson Sonsini Goodrich &amp; Rosati(Legal Advisor)</t>
  </si>
  <si>
    <t>Gunderson Dettmer(Legal Advisor), O'Melveny &amp; Myers(Legal Advisor), Wilson Sonsini Goodrich &amp; Rosati(Legal Advisor)</t>
  </si>
  <si>
    <t>170527-24</t>
  </si>
  <si>
    <t>Fyle</t>
  </si>
  <si>
    <t>Fyle Technologies Pvt. Ltd.</t>
  </si>
  <si>
    <t>Chrome River, Cardlay, Happay, SutiSoft, Xeeva, Nexonia, Coupa, ExpenseAnywhere, FreshBooks, Tallie, Journyx, eRequester, Certify, Bento Technologies, Anaplan, Concur Technologies, AppZen, Jaggaer, Shoeboxed, Numberz, ExpenseWatch, Pagero, Finly, Prepaid Expense Card Solutions, TravelBank, Interplx, Jojonomic, Oversight Systems, MakeLeaps, Informatica, Abacus (Financial Software), Taulia, Replicon, Ab Initio, AvidXchange, Captio, Monaeo, Xpenditure, Determine, Shujinko, Fraedom Holdings, Neat, Karmic</t>
  </si>
  <si>
    <t>Provider of an expense management platform intended to solve the problem of business expense reporting and management. The company's platform uses machine learning powered data extraction technology which can automatically identify and reproduce data from any kind of receipt with a single click, enabling businesses to automatically check every transaction with company policy across the entire database to ensure there is no fraud or duplicates.</t>
  </si>
  <si>
    <t>Business/Productivity Software, Database Software, Financial Software*</t>
  </si>
  <si>
    <t>compliance automation, digital transaction platform, enterprise expense management software, expense management tool, intelligent expense management platform, online expense management, paperless expense management, spend management platform</t>
  </si>
  <si>
    <t>www.fylehq.com</t>
  </si>
  <si>
    <t>Competitor (New) Ab Initio, Competitor (New) Abacus (Financial Software), Competitor (New) Anaplan, Competitor (New) AppZen, Competitor (New) AvidXchange, Competitor (New) Cardlay, Competitor (New) Concur Technologies, Competitor (New) Coupa, Competitor (New) Determine, Competitor (New) eRequester, Competitor (New) ExpenseAnywhere, Competitor (New) Finly, Competitor (New) Fraedom Holdings, Competitor (New) FreshBooks, Competitor (New) Interplx, Competitor (New) Jaggaer, Competitor (New) Journyx, Competitor (New) Karmic, Competitor (New) Monaeo, Competitor (New) Numberz, Competitor (New) Oversight Systems, Competitor (New) Pagero, Competitor (New) Prepaid Expense Card Solutions, Competitor (New) Replicon, Competitor (New) Shujinko, Competitor (New) SutiSoft, Competitor (New) Taulia, Competitor (New) TravelBank, Competitor (New) Xeeva, Competitor (New) Xpenditure</t>
  </si>
  <si>
    <t>184087-72P</t>
  </si>
  <si>
    <t>Yashwanth Madhusudan</t>
  </si>
  <si>
    <t>ymadhusudan@fyle.in</t>
  </si>
  <si>
    <t>550, 11th Cross, 2nd Main MICO Layout</t>
  </si>
  <si>
    <t>BTM 2nd Stage</t>
  </si>
  <si>
    <t>560076</t>
  </si>
  <si>
    <t>The company raised $300 million of Series A venture funding in a deal led by Tiger Global Management on February 11, 2019. Beenext (Singapore) and Pravega Ventures also participated in this round. The funds will be used to expand its sales and marketing teams, especially its US operations and also invest in R&amp;D.</t>
  </si>
  <si>
    <t>Beenext (Singapore), Bharati Balakrishnan, Freshworks, Joydeep Sen Sharma, Kedar Gavane, Phanindra Sama, Pravega Ventures, Recruit Strategic Partners, Richa Kar, Sunil Kalra, Tiger Global Management, YES FINTECH</t>
  </si>
  <si>
    <t>Beenext (Singapore)(www.beenext.com), Freshworks(www.freshworks.com), Pravega Ventures(www.pravegavc.com), Recruit Strategic Partners(recruitstrategicpartners.com), Tiger Global Management(www.tigerglobal.com), YES FINTECH(www.yesfintech.com)</t>
  </si>
  <si>
    <t>117848-17</t>
  </si>
  <si>
    <t>Futureplay Games</t>
  </si>
  <si>
    <t>Koukoi Games, Kopla Games, NYX Gaming Group, Pocket Gems, Kabam, Goodgame (Entertainment Software), Grupo Promineo, Riot Games, TinyCo, Zynga Japan, Boomlagoon, Hatch [A Rovio Subsidiary], Kixeye, CrowdStar</t>
  </si>
  <si>
    <t>Developer of a mobile application designed to offer users with interactive games. The company's application offers view-to-play ad-based mobile games, enabling players to level up and receive bonuses by viewing 15-30 second ads instead of making micropayments.</t>
  </si>
  <si>
    <t>ad monetization, mobile application advertising, mobile application monetization, mobile gaming studio, online and mobile gaming, web-to-mobile-gaming media</t>
  </si>
  <si>
    <t>www.futureplaygames.com</t>
  </si>
  <si>
    <t>2015: 5, 2016: 11, 2017: 19</t>
  </si>
  <si>
    <t>53872-93P</t>
  </si>
  <si>
    <t>Jami Laes</t>
  </si>
  <si>
    <t>jami.laes@futureplaygames.com</t>
  </si>
  <si>
    <t>Kalevankatu 34 A 10</t>
  </si>
  <si>
    <t>00180</t>
  </si>
  <si>
    <t>contact@futureplaygames.com</t>
  </si>
  <si>
    <t>The company raised $2.5 million of Series A venture funding from London Venture Partners, DN Capital and Heartcore Capital on July 1, 2016. Creandum and Cisco Investments also participated in this round. The funds will help the company to accelerate its growth by expanding its team size and production capacity while continuing to develop accessible games and an ad-boosted monetization strategy. Previously, the company raised EUR 400,000 of venture funding from Sunstone Capital and Creandum on November 13, 2015. Henric Suuronen and other undisclosed investors also participated in this round.</t>
  </si>
  <si>
    <t>Cisco Investments, Creandum, DN Capital, Heartcore Capital, London Venture Partners</t>
  </si>
  <si>
    <t>Cisco Investments(www.ciscoinvestments.com), Creandum(www.creandum.com), DN Capital(www.dncapital.com), Heartcore Capital(www.heartcore.com), London Venture Partners(www.londonvp.com)</t>
  </si>
  <si>
    <t>169853-50</t>
  </si>
  <si>
    <t>FutureFuel (student debt)</t>
  </si>
  <si>
    <t>Developer of a student debt repayment platform designed to democratize access to debt repayment and refinancing as a new normal in employee benefits. The company's platform removes intermediaries, shifting value capture from headhunters into a vesting student debt repayment program, enabling employers to offer 5-10 percent of compensation in the form of student loan payments in-turn increasing employee retention.</t>
  </si>
  <si>
    <t>Financial Software*, Other Commercial Services</t>
  </si>
  <si>
    <t>employee benefit stack, enterprise dashboard, student and professional marketplace, student loan refinance, student loan repayment, student loans repayment, talent acquisition</t>
  </si>
  <si>
    <t>www.futurefuel.io</t>
  </si>
  <si>
    <t>154934-02P</t>
  </si>
  <si>
    <t>Laurel Taylor</t>
  </si>
  <si>
    <t>laurel@futurefuel.io</t>
  </si>
  <si>
    <t>695 Atlantic Avenue</t>
  </si>
  <si>
    <t>info@futurefuel.io</t>
  </si>
  <si>
    <t>The company raised $11.2 million of Series A venture funding in a deal led by Rethink Impact on March 6, 2019, putting the company's pre-money valuation at $15.6 million. First Data, Salesforce Ventures, Vulcan Capital, Breton Capital Ventures, G9 Ventures, Impact Engine, Reach Capital and SixThirty also participated in this round.</t>
  </si>
  <si>
    <t>Breton Capital Ventures, Commerce.Innovated, DCU FinTech Innovation Center, First Data, G9 Ventures, Impact Engine, MassChallenge, Reach Capital, Rethink Impact, Salesforce Ventures, SixThirty, Vulcan Capital</t>
  </si>
  <si>
    <t>Breton Capital Ventures(www.bretoncapital.com), Commerce.Innovated(www.commerceinnovated.com), DCU FinTech Innovation Center(dcufintech.org), First Data(www.firstdata.com), Impact Engine(www.theimpactengine.com), MassChallenge(www.masschallenge.org), Reach Capital(www.reachcapital.com), Rethink Impact(www.rethinkimpact.com), SixThirty(www.sixthirty.co), Vulcan Capital(capital.vulcan.com)</t>
  </si>
  <si>
    <t>FinTech Sandbox(Advisor: General)</t>
  </si>
  <si>
    <t>228284-38</t>
  </si>
  <si>
    <t>Future Meat Technologies</t>
  </si>
  <si>
    <t>Developer of an affordable, non-GMO technology for cultured meat production. The company focuses on advancing a distributive manufacturing platform for the cost-efficient, non-GMO production of meat directly from animal cells, without the need to raise or harvest animals.</t>
  </si>
  <si>
    <t>Biotechnology*</t>
  </si>
  <si>
    <t>CleanTech, FoodTech, Life Sciences, TMT</t>
  </si>
  <si>
    <t>animal fats, cellular agriculture, cellular agriculture technology, cultured meat, cultured meat production, distributive manufacturing platform, manufacturing technology, meat production, meat production services</t>
  </si>
  <si>
    <t>www.future-meat.com</t>
  </si>
  <si>
    <t>35377-84P</t>
  </si>
  <si>
    <t>Reese Schroeder</t>
  </si>
  <si>
    <t>Board Observer</t>
  </si>
  <si>
    <t>reese.schroeder@tyson.com</t>
  </si>
  <si>
    <t>+1 (312) 614-6031</t>
  </si>
  <si>
    <t>Jerusalem, Israel</t>
  </si>
  <si>
    <t>High Tech Park</t>
  </si>
  <si>
    <t>Edmond J. Safra Campus</t>
  </si>
  <si>
    <t>Jerusalem</t>
  </si>
  <si>
    <t>The company raised $2.2 million of seed funding co-led by Tyson Ventures on May 2, 2018. Neto Malinda Trading, S2G Ventures (Seed 2 Growth), Bits x Bites, HB Ventures and Yissum also participated in this round. Future Meat Technologies expects to use the funds to establish its engineering activities and increase its biological research.</t>
  </si>
  <si>
    <t>Bits x Bites, HB Ventures, Neto Malinda Trading, S2G Ventures, Tyson Ventures, Yissum</t>
  </si>
  <si>
    <t>Bits x Bites(www.bitsxbites.com), HB Ventures(www.hbventures.org), Neto Malinda Trading(www.neto.org.il), S2G Ventures(www.s2gventures.com), Yissum(www.yissum.co.il)</t>
  </si>
  <si>
    <t>117258-22</t>
  </si>
  <si>
    <t>FunnelCake</t>
  </si>
  <si>
    <t>HubSpot, InsightSquared, Net-Results, GoodData, Aprimo, Chorus, Hive9, BrightFunnel, Allocadia, Beckon, Salesfusion, i.Predictus, Bizible, Act-On, Birst, Domo, ZoomInfo, Marketing Evolution, OnCorps, Absolutdata Intelligent Analytics, Lattice (Business/Productivity Software), Full Circle Insights, Silverpop Systems, ClickDimensions, Base (Sales Platform)</t>
  </si>
  <si>
    <t>Provider of analytics platform intended to help users align and account from lead to revenue. The company's platform helps in consolidating data from automation, CRM, campaigns and revenue operations reports to effectively collaboration between sales and marketing, enabling B2B marketing teams to increase their deal volume and conversion rates.</t>
  </si>
  <si>
    <t>b2b marketing software, marketing analytics system, marketing operations, revenue operations</t>
  </si>
  <si>
    <t>www.getfunnelcake.com</t>
  </si>
  <si>
    <t>142227-64P</t>
  </si>
  <si>
    <t>Marko Savic</t>
  </si>
  <si>
    <t>msavic@getfunnelcake.com</t>
  </si>
  <si>
    <t>+1 (877) 498-4850</t>
  </si>
  <si>
    <t>hello@getfunnelcake.com</t>
  </si>
  <si>
    <t>The company raised CAD 100,000 of seed funding from Salesforce Ventures on May 3, 2018.</t>
  </si>
  <si>
    <t>Communitech Hyperdrive, MaRS Investment Accelerator Fund, Salesforce Ventures, Trellis Capital</t>
  </si>
  <si>
    <t>Communitech Hyperdrive(www.communitech.ca), MaRS Investment Accelerator Fund(www.marsiaf.com), Trellis Capital(www.trelliscapital.com)</t>
  </si>
  <si>
    <t>170321-05</t>
  </si>
  <si>
    <t>Fungible</t>
  </si>
  <si>
    <t>Datera, CloudVelox, MarkLogic, Cloudenablers, Apache.com.au, Rubrik, Zerto, Racemi, Cloudify, SoftNAS, Micro Focus, NetApp, Velostrata, Mesosphere, Nginx, Mirantis, Veeam, Cohesity, Piston Cloud Computing, Ormuco, Caringo, RackWare, Scalr, RightScale, SwiftStack, BlueData, Scality, Infinite io, Zmanda, JFrog, Excelero, Ravello Systems, ZeroStack, Nasuni, Cristie Data, Cypherpath, Platform9, CaiCloud, CloudBolt Software, Cloudian, QStack</t>
  </si>
  <si>
    <t>Developer of full-stack infrastructure software application designed to leverage the standard components, protocols and interfaces of data centers. The company's full-stack infrastructure software application focuses to improve the economics, security and reliability of cloud data centers, enabling cloud data centers to meet the new cloud infrastructure requirements.</t>
  </si>
  <si>
    <t>cloud infrastructure, data center, data center infrastructure, infrastructure software, software application</t>
  </si>
  <si>
    <t>www.fungible.com</t>
  </si>
  <si>
    <t>35615-44P</t>
  </si>
  <si>
    <t>Pradeep Sindhu</t>
  </si>
  <si>
    <t>pradeep.sindhu@fungible.com</t>
  </si>
  <si>
    <t>3201 Scott boulevard</t>
  </si>
  <si>
    <t>The company is in the process of raising an estimated $350 million through the combination of Series C and Series C1 venture funding as of April 3, 2019, putting the company's pre-money valuation at $500 million. Previously, the company raised $65 million of Series B venture funding from Redline Capital Management and other undisclosed investors on May 12, 2017, putting the pre-money valuation at $195 million.</t>
  </si>
  <si>
    <t>Amarjit Gill, Battery Ventures, Dan Dobberpuhl, Juniper Ventures, Krishna Yarlagadda, Mayfield Fund, Redline Capital Management, Samsung Catalyst, WRV Capital</t>
  </si>
  <si>
    <t>Battery Ventures(www.battery.com), Mayfield Fund(www.mayfield.com), Redline Capital Management(www.redline-capital.com), Samsung Catalyst(www.samsungcatalyst.com), WRV Capital(www.wrvcapital.com)</t>
  </si>
  <si>
    <t>64888-93</t>
  </si>
  <si>
    <t>FullStory</t>
  </si>
  <si>
    <t>Monetology, LLC</t>
  </si>
  <si>
    <t>Usabilla, MoEngage, Go Squared, Clicktale, WebEngage, mParticle, HotJar, UsabilityTools, ContentSquare, Pendo, Localytics, Mouseflow, WhatUsersDo, Segment, UXCam, Decibel Insight, Optimizely, MixPanel, Amplitude, Kahuna, Jaco, UserTesting, WalkMe, ObservePoint, Lookback, Leanplum, Inspectlet, CleverTap, Ancile Solutions, Astronomer, Parse.ly, Airship, OpinionLab, LogRocket</t>
  </si>
  <si>
    <t>Developer of software tools designed to capture customer experience data. The company's software records user interactions on a website or application during a visit, enabling session playback that can replay everything from navigation to mouse clicks exactly as each user experienced it and offers actionable insights into the interactions of visitors and customers, enabling brands to better understand what their customers are doing on their site or application.</t>
  </si>
  <si>
    <t>customer data analysis, customer data analytics, customer data platform, session replay, user interaction platform, web data</t>
  </si>
  <si>
    <t>www.fullstory.com</t>
  </si>
  <si>
    <t>2017: 25, 2019: 175</t>
  </si>
  <si>
    <t>72538-21P</t>
  </si>
  <si>
    <t>Scott Voigt</t>
  </si>
  <si>
    <t>svoigt@fullstory.com</t>
  </si>
  <si>
    <t>120 Ottley Drive Northeast</t>
  </si>
  <si>
    <t>30324</t>
  </si>
  <si>
    <t>The company raised $32 million of Series C venture funding in a deal led by Stripes Group on April 24, 2019, putting the company's pre-money valuation at $318 million. GV, Salesforce Ventures, Dell Technologies Capital and Kleiner Perkins also participated in the round. The funds will be used to continue to scale sales and marketing and evolve the company's digital experience analytics platform into an engine for digital intelligence.</t>
  </si>
  <si>
    <t>Dell Technologies Capital, GV, Kleiner Perkins, Riva y García Financial Group, Salesforce Ventures, Stripes Group, Thomas Noonan, Wharton Venture Initiation Program</t>
  </si>
  <si>
    <t>GV(www.gv.com), Kleiner Perkins(www.kleinerperkins.com), Riva y García Financial Group(www.rivaygarcia.es), Stripes Group(www.stripesgroup.com), Wharton Venture Initiation Program(entrepreneurship.wharton.upenn.edu)</t>
  </si>
  <si>
    <t>55225-90</t>
  </si>
  <si>
    <t>Full Circle Insights</t>
  </si>
  <si>
    <t>Full Circle CRM</t>
  </si>
  <si>
    <t>Aprimo, Allocadia, Hive9, Marketing Evolution, InsightSquared, Origami Logic, Beckon, GoodData, BrandMaker, Centro, i.Predictus, Domo, Rocket Fuel, Visual IQ, BrightFunnel, Leadspace, FunnelCake, SAS Institute</t>
  </si>
  <si>
    <t>Developer of a marketing performance management platform designed to answer marketing questions in one place. The company's marketing performance management platform joins people in a marketing data revolution and gets the information they need to succeed by offering a complete funnel metrics across sales and marketing, enabling customers to ensure authentic market data that is beneficial for their efficient growth.</t>
  </si>
  <si>
    <t>authentic market data, funnel metrics, led management, salesforce marketing</t>
  </si>
  <si>
    <t>www.fullcircleinsights.com</t>
  </si>
  <si>
    <t>2012: 7, 2014: 12, 2015: 30, 2016: 28</t>
  </si>
  <si>
    <t>43302-25P</t>
  </si>
  <si>
    <t>Roan Bear</t>
  </si>
  <si>
    <t>Co-Founder &amp; Vice President of Products</t>
  </si>
  <si>
    <t>roan@fullcirclecrm.com</t>
  </si>
  <si>
    <t>+1 (650) 641-2766</t>
  </si>
  <si>
    <t>3 Waters Park Drive</t>
  </si>
  <si>
    <t>The company raised $2.3 million of venture funding from undisclosed investors.</t>
  </si>
  <si>
    <t>Aligned Partners, Golden Seeds, Individual Investor, Salesforce Ventures, WI Harper Group</t>
  </si>
  <si>
    <t>Aligned Partners(www.alignedvc.com), Golden Seeds(www.goldenseeds.com), WI Harper Group(www.wiharper.com)</t>
  </si>
  <si>
    <t>Royse Law Firm(Legal Advisor)</t>
  </si>
  <si>
    <t>Lighter Capital(Debt Financing), Royse Law Firm(Legal Advisor)</t>
  </si>
  <si>
    <t>155500-84</t>
  </si>
  <si>
    <t>FTSY</t>
  </si>
  <si>
    <t>Invertex, Fitfully, Volumental, Shoefitr, Mifitto, Truefit, VirtualU, Bodylabs, UCS d.o.o. (SafeSize - Matching people with shoes that fit.)</t>
  </si>
  <si>
    <t>Developer of a digital measure and match application designed to match people to shoes, in-store and online. The company's application measures feet in 3D to within 2mm and makes size and style recommendations accordingly, enabling brands to drive sales and enhance customer loyalty. Customer shape and post-fitting feedback inform design and inventory management or unlock bespoke and custom options for the company.</t>
  </si>
  <si>
    <t>Artificial Intelligence &amp; Machine Learning, E-Commerce, Mobile, TMT</t>
  </si>
  <si>
    <t>computer vision, deep learning, digital shopping platform, footwear measuring, machine learning, marketplace, mobile shopping app, retail technology</t>
  </si>
  <si>
    <t>www.ftsy.ai</t>
  </si>
  <si>
    <t>2015: 2, 2016: 5, 2017: 8, 2018: 9, 2019: 9</t>
  </si>
  <si>
    <t>130987-27P</t>
  </si>
  <si>
    <t>Ryan Smith</t>
  </si>
  <si>
    <t>ryan@ftsy.co</t>
  </si>
  <si>
    <t>+1 (604) 339-8227</t>
  </si>
  <si>
    <t>101-1001 West Broadway</t>
  </si>
  <si>
    <t>V6H 4E4</t>
  </si>
  <si>
    <t>capital@ftsy.co</t>
  </si>
  <si>
    <t>The company joined Farfetch on September 5, 2018 and received EUR 45,000 in convertible debt funding. Previously, the company joined NVIDIA GPU Ventures as a part of its NVIDIA Inception Program and received an undisclosed amount in funding on November 30, 2017. Earlier, the company raised an undisclosed amount of venture funding from Steve Curry and other undisclosed investors in 2017.</t>
  </si>
  <si>
    <t>Autochrome Ventures, Canadian Technology Accelerator, Creative Destruction Lab, CrossPacific Capital Partners, entrepreneurship@UBC Seed Fund, Farfetch, NVIDIA GPU Ventures, Steve Curry</t>
  </si>
  <si>
    <t>Autochrome Ventures(www.autochrome.vc), Canadian Technology Accelerator(www.ctaconnects.com), Creative Destruction Lab(www.creativedestructionlab.com), CrossPacific Capital Partners(www.xpcp.ca), entrepreneurship@UBC Seed Fund(www.entrepreneurship.ubc.ca/seed-fund), Farfetch(www.farfetch.com)</t>
  </si>
  <si>
    <t>Akeroyd Leung Amlani(Auditor), Royal Bank of Canada(General Business Banking), Smart &amp; Biggar-Fetherstonhaugh(Legal Advisor)</t>
  </si>
  <si>
    <t>52230-07</t>
  </si>
  <si>
    <t>Frequency Networks</t>
  </si>
  <si>
    <t>Frequency</t>
  </si>
  <si>
    <t>FEM, VBrick Systems, Accedo, MainStreaming, Hive Streaming, DaCast, Gracenote, IRIS.TV, Ooyala, Peer5, Alticast, Comigo, BoxCast, uStudio, ON24, Wurl, Anvato, Clearleap, Samba Tech, Wowza Media Systems</t>
  </si>
  <si>
    <t>Provider of video distribution services. The company develops a digital platform that helps users to discover, watch and share videos.</t>
  </si>
  <si>
    <t>Entertainment Software, Movies, Music and Entertainment*, Social/Platform Software</t>
  </si>
  <si>
    <t>cloud-based video, video distribution platform, video distribution service</t>
  </si>
  <si>
    <t>www.frequency.com</t>
  </si>
  <si>
    <t>2014: 17, 2016: 22</t>
  </si>
  <si>
    <t>37230-31P</t>
  </si>
  <si>
    <t>Blair Harrison</t>
  </si>
  <si>
    <t>blair@frequency.com</t>
  </si>
  <si>
    <t>4526 Wilshire Boulevard</t>
  </si>
  <si>
    <t>90010</t>
  </si>
  <si>
    <t>info@frequency.com</t>
  </si>
  <si>
    <t>The company raised an estimated $11.5 million of Series B venture funding from Presidio Ventures in May, 2018, putting the company's pre-money valuation at $40 million.</t>
  </si>
  <si>
    <t>Ideanomics, Jason Calacanis, Kaplan Group Investments, Kingdom Capital Group, Liberty Global Ventures, Oakmont (Los Angeles), Presidio Ventures</t>
  </si>
  <si>
    <t>Ideanomics(www.sevenstarscloud.com), Jason Calacanis(www.calacanis.com), Kaplan Group Investments(www.kginvest.net), Presidio Ventures(www.presidio-ventures.com)</t>
  </si>
  <si>
    <t>166367-26</t>
  </si>
  <si>
    <t>FreightWaves</t>
  </si>
  <si>
    <t>TransVix, TransRisk</t>
  </si>
  <si>
    <t>Xeneta, Convoy</t>
  </si>
  <si>
    <t>Provider of a data and content forum platform designed to provide market participants with near-time analytics on the state of the freight market and tools that provide actionable outcomes. The company's platform is a central econometric and financial market data platform that uses reference price data for trucking futures contracts and settlement, enabling trucking financial participants to hedge and speculate on the price volatility of trucking spot rates.</t>
  </si>
  <si>
    <t>Business/Productivity Software, Logistics*, Road</t>
  </si>
  <si>
    <t>data analytics, financial data analytics, financial derivative contracts, financial exchange, index based derivative, trucking platform, trucking spot rated</t>
  </si>
  <si>
    <t>www.freightwaves.com</t>
  </si>
  <si>
    <t>2017: 14, 2018: 50</t>
  </si>
  <si>
    <t>96805-99P</t>
  </si>
  <si>
    <t>Dan Piscatelli</t>
  </si>
  <si>
    <t>dpiscatelli@freightwaves.com</t>
  </si>
  <si>
    <t>+1 (423) 503-3296</t>
  </si>
  <si>
    <t>1500 Chestnut</t>
  </si>
  <si>
    <t>Suite 106</t>
  </si>
  <si>
    <t>37408</t>
  </si>
  <si>
    <t>The company raised $20.13 million of Series B venture funding in a deal led by 8VC on February 25, 2019. Prologis, Engage Ventures, Fontinalis Partners, Story Ventures, Pritzker Group Venture Capital, Revolution, Ascend Venture Capital, Hearst Ventures, Tech Square Venture Partners and Kelvin Beachum also participated in the round. The company intends to use the funds to expand data and transparency products beyond trucking to include global air, rail, maritime, port and warehousing.</t>
  </si>
  <si>
    <t>8VC, Advisors.Fund, Ascend Venture Capital, Breakthrough Fuel, LLC, Covera Ventures, Engage Ventures, Fontinalis Partners, Hearst Ventures, Hunt Technology Ventures, Kelvin Beachum, Pritzker Group Venture Capital, Prologis, Revolution, Story Ventures, Tech Square Venture Partners</t>
  </si>
  <si>
    <t>8VC(www.8vc.com), Advisors.Fund(www.advisors.fund), Ascend Venture Capital(www.ascendstl.com), Breakthrough Fuel, LLC(learnmore-breakthroughfuel.com), Covera Ventures(www.coveraventures.com), Engage Ventures(www.engage.vc), Fontinalis Partners(www.fontinalis.com), Pritzker Group Venture Capital(www.pritzkergroup.com/venture-capital), Prologis(www.prologis.com), Revolution(www.revolution.com), Story Ventures(www.storyventures.vc), Tech Square Venture Partners(www.techsquareventures.com)</t>
  </si>
  <si>
    <t>97702-75</t>
  </si>
  <si>
    <t>FreeWire Technologies</t>
  </si>
  <si>
    <t>BTCPower, Tritium (Electronic Systems), EV Connect, SemaConnect, TransPower</t>
  </si>
  <si>
    <t>Developer of products and convenient services designed to disrupt industries formerly dependent on fossil fuels. The company's solutions provide energy delivery and management services. The company's products enables customers to tackle new applications and deploy new business models, all without the complexity of traditional energy infrastructure.</t>
  </si>
  <si>
    <t>electric vehicle charging technology, energy storage system, ev battery, ev charging, mobile energy storage</t>
  </si>
  <si>
    <t>www.freewiretech.com</t>
  </si>
  <si>
    <t>2014: 7, 2015: 6, 2017: 20, 2018: 35</t>
  </si>
  <si>
    <t>79895-17P</t>
  </si>
  <si>
    <t>Arcady Sosinov</t>
  </si>
  <si>
    <t>arcady@freewiretech.com</t>
  </si>
  <si>
    <t>+1 (617) 827-5719</t>
  </si>
  <si>
    <t>Suite 301A</t>
  </si>
  <si>
    <t>+1 (415) 779-5515</t>
  </si>
  <si>
    <t>info@freewiretech.com</t>
  </si>
  <si>
    <t>The company raised $15.2 million of Series A venture funding in a deal led by Stanley Ventures and BP Ventures on October 15, 2018, putting the company's pre-money valuation at $10.99 million. Ulupono Initiative, Volvo Car, Oskie Capital, Momenta Partners, Trirec, Strawberry Creek Ventures, Spike Ventures, Alumni Ventures Group, Blue Bear Capital and Chestnut Street Ventures also participated in the round.</t>
  </si>
  <si>
    <t>Alumni Ventures Group, Andy Smith, Arjun Divecha, Blue Bear Capital, BP Ventures, Chestnut Street Ventures, Elemental Excelerator, Erik Steeb, Horizon 2020, Howard Fields, Jay Adelson, Jay Zarfoss, Jerome Engel, Los Angeles Cleantech Incubator, Momenta Partners, Niko Elmaleh, Plug and Play Tech Center, Spike Ventures, Stanley Ventures, Steve Blank, Strawberry Creek Ventures, Trirec, Ulupono Initiative, Volvo Car</t>
  </si>
  <si>
    <t>Alumni Ventures Group(www.avgfunds.com), Blue Bear Capital(www.bluebearcap.com), Chestnut Street Ventures(www.chestnutstreetventures.com), Elemental Excelerator(www.elementalexcelerator.com), Los Angeles Cleantech Incubator(www.laincubator.org), Momenta Partners(www.momenta.partners), Plug and Play Tech Center(www.plugandplaytechcenter.com), Spike Ventures(www.spike-ventures.com), Stanley Ventures(www.stanleyventures.com), Steve Blank(www.steveblank.com), Trirec(www.trirec.co), Ulupono Initiative(www.ulupono.com), Volvo Car(www.volvocars.com)</t>
  </si>
  <si>
    <t>Gunderson Dettmer(Legal Advisor), Sensiba San Filippo(Auditor), Silicon Valley Bank(General Business Banking), Wilson Sonsini Goodrich &amp; Rosati(Legal Advisor)</t>
  </si>
  <si>
    <t>58112-38</t>
  </si>
  <si>
    <t>Freee</t>
  </si>
  <si>
    <t>A-SaaS, Money Forward</t>
  </si>
  <si>
    <t>Provider of a cloud accounting software designed to enhance the efficiency of accounting. The company's cloud accounting software simplifies, corresponds to book creation, issuance of invoices, helps in posting financial statement, clearing and expense adjustment, enabling clients to grasp real-time figures.</t>
  </si>
  <si>
    <t>accounting services, accounting software, automated software, cloud accounting, cloud-based</t>
  </si>
  <si>
    <t>www.freee.co.jp</t>
  </si>
  <si>
    <t>2014: 42, 2015: 120, 2016: 58</t>
  </si>
  <si>
    <t>54807-40P</t>
  </si>
  <si>
    <t>Daisuke Sasaki</t>
  </si>
  <si>
    <t>sasaki@freee.co.jp</t>
  </si>
  <si>
    <t>Gotanda First Building</t>
  </si>
  <si>
    <t>9F 2-8-1 Nishi Gotanda</t>
  </si>
  <si>
    <t>freee@freee.co.jp</t>
  </si>
  <si>
    <t>The company raised $60 million of Series E venture funding from Salesforce Ventures, LINE and MUFG Bank on August 7, 2018. Life Card also participated in the round. The fund will be invested to fuel its continued growth as a business efficiency tool and accelerate development efforts of building a small businesses platform. Earlier, the company raised $28.6 million of Series D venture funding from SPARX Group, DCM Ventures and SBI Investment on December 26, 2016.</t>
  </si>
  <si>
    <t>Chibagin Capital, DCM Ventures, e.ventures, Infinity Ventures, Japan Co-Invest Limited Partnership, Life Card, LINE, MUFG Bank, Nissay Insurance Agency, Nissho Electronics, Pavilion Capital, Recruit Holdings, Recruit Strategic Partners, Salesforce Ventures, SBI Investment, SPARX Group Company</t>
  </si>
  <si>
    <t>Chibagin Capital(www.chibagincapital.co.jp), DCM Ventures(www.dcm.com), e.ventures(www.eventures.vc), Infinity Ventures(www.infinityventures.com), LINE(www.linecorp.com), MUFG Bank(www.bk.mufg.jp), Nissay Insurance Agency(www.nissay.co.jp), Nissho Electronics(www.nissho-ele.co.jp), Recruit Holdings(www.recruit-rgf.com), Recruit Strategic Partners(recruitstrategicpartners.com), SBI Investment(www.sbinvestment.co.jp), SPARX Group Company(www.sparx.jp)</t>
  </si>
  <si>
    <t>55418-95</t>
  </si>
  <si>
    <t>Frank &amp; Oak</t>
  </si>
  <si>
    <t>Modasuite</t>
  </si>
  <si>
    <t>Bombfell, Enclothed, Wooplr, Reformation, JackThreads, Men's Style Lab, Articles of Style, Proper Cloth, Everlane, Rue La La, The Chapar, Jane, MTailor, Apliiq, Keaton Row, HauteLook, QOR, Vastrm, Beyond the Rack, Gilt Groupe, Moda Operandi, Trumaker, Trunk Club, Stylight, Stitch Fix, Betabrand, Rent the Runway, Wanelo, Marine Layer, ThreadLab, Fancy, Polyvore, Daraz.pk, Poshmark, Black Lapel, Tobi (Clothing), Menlook Group, M.Gemi, Paul Fredrick, UNIQLO Company, Indochino, MATCHESFASHION, Tradesy, Overstock.com, Etsy</t>
  </si>
  <si>
    <t>Designer and provider of an online shopping platform intended to offer ways to shop the latest trends in menswear and women's wear. The company's online shopping platform vertically integrates brand designs, manufactures and sells Frank &amp; Oak premium clothing and accessories, proving users with a simple and personalized way to shop for clothes online.</t>
  </si>
  <si>
    <t>online accessories, online menswear, personalized clothing, personalized shopping</t>
  </si>
  <si>
    <t>www.frankandoak.com</t>
  </si>
  <si>
    <t>2012: 17, 2014: 110</t>
  </si>
  <si>
    <t>43655-59P</t>
  </si>
  <si>
    <t>Hicham Ratnani</t>
  </si>
  <si>
    <t>Co-Founder, Chief Operating Officer and Chief Financial Officer</t>
  </si>
  <si>
    <t>hicham@frankandoak.com</t>
  </si>
  <si>
    <t>+1 (855) 376-5625</t>
  </si>
  <si>
    <t>160 Saint-Viateur Est</t>
  </si>
  <si>
    <t>Suite 610</t>
  </si>
  <si>
    <t>H2T 1A8</t>
  </si>
  <si>
    <t>help@frankandoak.com</t>
  </si>
  <si>
    <t>The company is reportedly in the process of raising Series D venture funding from Rho Canada Ventures and other undisclosed investors. The company raised $16 million of Series C venture funding in a deal led by Caisse de dépôt et placement du Québec on February 13, 2018. Goodwater Capital and Investment Quebec as well as other undisclosed investors also participated in the round. These funding will allow the business to accelerate development of its digital experience and support its growth online in North America and other parts of the world. The company is being actively tracked by PitchBook.</t>
  </si>
  <si>
    <t>Anges Québec Capital, Bertelsmann Digital Media Investments, Bolidea, Boris Wertz, C100 Association, Caisse de dépôt et placement du Québec, Campfire Capital, Canadian Technology Accelerator, Daniel Robichaud, Ferst Capital Partners, Goodwater Capital, Greenoaks Capital Partners, Investment Quebec, Lightbank, Martin-Luc Archambault, Nima Capital, Pool Global Partners, Real Ventures, Rho Canada Ventures, SOT Ventures, Version One Ventures, Western Technology Investment</t>
  </si>
  <si>
    <t>Anges Québec Capital(www.angesquebeccapital.com), Bertelsmann Digital Media Investments(www.bdmifund.com), Bolidea(www.bolidea.com), C100 Association(www.thec100.org), Caisse de dépôt et placement du Québec(www.cdpq.com), Campfire Capital(www.campfire-capital.com), Canadian Technology Accelerator(www.ctaconnects.com), Daniel Robichaud(www.danrobichaud.com), Ferst Capital Partners(www.ferstcapital.com), Goodwater Capital(www.goodwatercap.com), Greenoaks Capital Partners(www.greenoakscap.com), Lightbank(www.lightbank.com), Nima Capital(www.nimacap.com), Pool Global Partners(www.poolglobalpartners.com), Real Ventures(www.realventures.com), Rho Canada Ventures(www.rhocanada.com), SOT Ventures(www.sotventures.net), Version One Ventures(www.versionone.vc), Western Technology Investment(www.westerntech.com)</t>
  </si>
  <si>
    <t>ASTRSK PR(Advisor: Communications), ComCap(Advisor: General), Osler, Hoskin &amp; Harcourt(Legal Advisor)</t>
  </si>
  <si>
    <t>LaBarge Weinstein(Legal Advisor), Osler, Hoskin &amp; Harcourt(Legal Advisor), Western Technology Investment(Debt Financing)</t>
  </si>
  <si>
    <t>104591-98</t>
  </si>
  <si>
    <t>FOVE Inc</t>
  </si>
  <si>
    <t>HTC, Avegant, Optinvent, Leap Motion, Virtuix, Magic Leap</t>
  </si>
  <si>
    <t>The company's eye tracking virtual reality headset is used to allow users and developers to target and interact with objects in a virtual world, enabling the game creator and user to navigate user interfaces - without the need for a separate input device.</t>
  </si>
  <si>
    <t>electric device, electronic hardware, eye tracking, games equipment, gaming accessories, virtual reality, vr games, vr games accessories</t>
  </si>
  <si>
    <t>www.getfove.com</t>
  </si>
  <si>
    <t>2016: 25, 2017: 26</t>
  </si>
  <si>
    <t>92605-24P</t>
  </si>
  <si>
    <t>Yuka Kojima</t>
  </si>
  <si>
    <t>yuka.kojima@fove-inc.com</t>
  </si>
  <si>
    <t>+1 (650) 270-6891</t>
  </si>
  <si>
    <t>255 South B Street</t>
  </si>
  <si>
    <t>info@getfove.com</t>
  </si>
  <si>
    <t>The company raised $6 million of Series B venture funding from undisclosed investors on May 26, 2017, putting the pre-money valuation at $85 million.</t>
  </si>
  <si>
    <t>2020 Ventures, COLOPL, Foxconn Technology Group, Microsoft ScaleUp, Mistletoe, River Accelerator, Rothenberg Ventures, Samsung Venture Investment</t>
  </si>
  <si>
    <t>2020 Ventures(www.2020.co), COLOPL(colopl.co.jp), Foxconn Technology Group(www.foxconn.com/index_En.html), Microsoft ScaleUp(startups.microsoft.com/en-us/scale-up), Mistletoe(www.mistletoe.co), River Accelerator(www.riverecosystem.com/riveraccelerator), Rothenberg Ventures(www.rothenbergventures.com), Samsung Venture Investment(www.samsungventures.com)</t>
  </si>
  <si>
    <t>Altitude (Japan)(Consulting), Orrick, Herrington &amp; Sutcliffe(Legal Advisor)</t>
  </si>
  <si>
    <t>Kickstarter(Lead Manager or Arranger), Orrick, Herrington &amp; Sutcliffe(Legal Advisor)</t>
  </si>
  <si>
    <t>97640-11</t>
  </si>
  <si>
    <t>Four Sigmatic</t>
  </si>
  <si>
    <t>Four Sigma Foods</t>
  </si>
  <si>
    <t>Moon Juice</t>
  </si>
  <si>
    <t>Provider of an online platform intended to provide mushroom based drinks. The company's platform includes herbs, mushroom coffees, mushroom elixirs, mushroom hot cacaos, medicinal mushrooms and superfood blends, enabling consumers to enjoy mushrooms in a revolutionary new way.</t>
  </si>
  <si>
    <t>health food, mushrooms, mushrooms coffee, mushrooms elixirs</t>
  </si>
  <si>
    <t>www.us.foursigmatic.com</t>
  </si>
  <si>
    <t>2014: 13, 2018: 29</t>
  </si>
  <si>
    <t>79637-50P</t>
  </si>
  <si>
    <t>Henri Nokelainen</t>
  </si>
  <si>
    <t>+1 (800) 859-4896</t>
  </si>
  <si>
    <t>Scarsdale, NY</t>
  </si>
  <si>
    <t>14 Harwood Court</t>
  </si>
  <si>
    <t>Suite 411</t>
  </si>
  <si>
    <t>Scarsdale</t>
  </si>
  <si>
    <t>10583</t>
  </si>
  <si>
    <t>The company raised $5.38 million of venture funding from undisclosed investors on December 11, 2018.</t>
  </si>
  <si>
    <t>AccelFoods, Eighteen94 Capital</t>
  </si>
  <si>
    <t>AccelFoods(www.accelfoods.com), Eighteen94 Capital(www.1894capital.com)</t>
  </si>
  <si>
    <t>185741-47</t>
  </si>
  <si>
    <t>FortressIQ</t>
  </si>
  <si>
    <t>Kofax, Narrative Science, UiPath, WorkFusion, Kryon Systems, Automation Anywhere, Contextor, Redwood Software, Thoughtonomy, OpenSpan, Taiger, Rage Frameworks, Kogentix, Automated Intelligence, Automic Software, Compli, Softomotive, Weights &amp; Biases, Diyotta, Worksoft, Metalogix Software, Adobe Systems, Network Automation, ABBYY, Yseop, Arago, Pentaho, Cinnamon, Pegasystems, HelpSystems, Infrrd, Datameer, Calabrio, Tricentis, Birst, Blue Prism</t>
  </si>
  <si>
    <t>Developer of a cognitive automation platform intended to accelerate digital transformation through imitation learning. The company's platform employs machine learning, artificial intelligence, computer vision, natural language and sequence modeling to learn how a business functions through live activity analysis, enabling organizations to quickly gain the insights necessary to improve business operations.</t>
  </si>
  <si>
    <t>artificial intelligence automation, compliance platform, onlline compliance platform, process mining, rpa</t>
  </si>
  <si>
    <t>www.fortressiq.com</t>
  </si>
  <si>
    <t>2017: 1, 2018: 15</t>
  </si>
  <si>
    <t>43833-25P</t>
  </si>
  <si>
    <t>Pankaj Chowdhry</t>
  </si>
  <si>
    <t>pankaj@fortressiq.com</t>
  </si>
  <si>
    <t>+1 (415) 906-5767</t>
  </si>
  <si>
    <t>27 Maiden Lane</t>
  </si>
  <si>
    <t>Suite 590</t>
  </si>
  <si>
    <t>hello@fortressiq.com</t>
  </si>
  <si>
    <t>The company raised $12 million of Series A venture funding in a deal led by Lightspeed Venture Partners on December 4, 2018. Comcast Ventures and Boldstart Ventures also participated in the round. The funds will be used to develop the company's robotic automation process technology.</t>
  </si>
  <si>
    <t>Boldstart Ventures, Comcast Ventures, Eniac Ventures, Lightspeed Venture Partners</t>
  </si>
  <si>
    <t>Boldstart Ventures(www.boldstart.vc), Comcast Ventures(www.comcastventures.com), Eniac Ventures(www.eniac.vc), Lightspeed Venture Partners(www.lsvp.com)</t>
  </si>
  <si>
    <t>56356-21</t>
  </si>
  <si>
    <t>Fortix</t>
  </si>
  <si>
    <t>Developer of an end-to-end cloud-based business automation software designed to automate business processes, save time and drive profits for clients. The company's software is a customer relationship management (CMR) tool that automates business system for management of loyalty programs, customer analytics, sales, communication and workflow, enabling small to medium size businesses to run and grow their business operations.</t>
  </si>
  <si>
    <t>business automation, business automation systems, cloud business software, crm data, crm platform, customer analytics platform, customer loyalty app, workflow management</t>
  </si>
  <si>
    <t>www.fortix.com.au</t>
  </si>
  <si>
    <t>2014: 19</t>
  </si>
  <si>
    <t>67777-57P</t>
  </si>
  <si>
    <t>Paul Faix</t>
  </si>
  <si>
    <t>Managing Director &amp; Founder</t>
  </si>
  <si>
    <t>paul@mineler.com</t>
  </si>
  <si>
    <t>Perth, Australia</t>
  </si>
  <si>
    <t>Level 2, 11 Mounts Bay Road</t>
  </si>
  <si>
    <t>Perth</t>
  </si>
  <si>
    <t>Western Australia</t>
  </si>
  <si>
    <t>6000</t>
  </si>
  <si>
    <t>+61 (0)13 0042 6311</t>
  </si>
  <si>
    <t>+61 (0)8 6365 4384</t>
  </si>
  <si>
    <t>The company raised an undisclosed amount of Series A venture funding from Applied Ventures on April 15, 2012.</t>
  </si>
  <si>
    <t>Applied Ventures</t>
  </si>
  <si>
    <t>166592-17</t>
  </si>
  <si>
    <t>Fortius Sport &amp; Health</t>
  </si>
  <si>
    <t>Multisport Centre for Excellence</t>
  </si>
  <si>
    <t>Fortius</t>
  </si>
  <si>
    <t>Provider of sports medicine and training services designed to optimize athlete performance for life. The company's services offer customized treatment, medicines and training plan, enabling athletes to maintain their health.</t>
  </si>
  <si>
    <t>Leisure Facilities*, Other Healthcare Services, Other Services (B2C Non-Financial)</t>
  </si>
  <si>
    <t>athletes development center, customized treatment, sports medicine, training, training planning</t>
  </si>
  <si>
    <t>www.fortiussport.com</t>
  </si>
  <si>
    <t>146114-65P</t>
  </si>
  <si>
    <t>Alex McKechnie</t>
  </si>
  <si>
    <t>Co-Founder, Institute Advisor &amp; Partner</t>
  </si>
  <si>
    <t>+1 (604) 292-2500</t>
  </si>
  <si>
    <t>3713 Kensington Avenue</t>
  </si>
  <si>
    <t>V5B 0A7</t>
  </si>
  <si>
    <t>info@fortiussport.com</t>
  </si>
  <si>
    <t>The company raised venture funding from TELUS Ventures on May 8, 2013.</t>
  </si>
  <si>
    <t>62094-97</t>
  </si>
  <si>
    <t>Forter</t>
  </si>
  <si>
    <t>Fraud.net, RevenueStream, UnFraud, Sift (San Francisco), InAuth, NoFraud, Emailage, Entersekt, Signifyd, Iovation, CyberSource, IdentityMind Global, Fraugster, IDology, Jumio, Accertify</t>
  </si>
  <si>
    <t>Provider of a decision as a service (DaaS) based online fraud prevention tool created to help online retailers detect and eliminate transaction risks. The company's online fraud prevention tool is a fully automated system that eliminates rules, scores and manual reviews covered by a full fraud charge back guarantee, enabling e-commerce companies to automate transaction risk management processes and reduce transaction frauds in real-time.</t>
  </si>
  <si>
    <t>Cybersecurity, Impact Investing, TMT</t>
  </si>
  <si>
    <t>decision as a service, fraud prevention tools, impact investing vertical, online fraud detection, online fraud prevention, online transaction security, transaction risk management</t>
  </si>
  <si>
    <t>www.forter.com</t>
  </si>
  <si>
    <t>2014: 35, 2016: 110</t>
  </si>
  <si>
    <t>63770-95P</t>
  </si>
  <si>
    <t>Michael Reitblat</t>
  </si>
  <si>
    <t>michael@forter.com</t>
  </si>
  <si>
    <t>+1 (800) 537-0601</t>
  </si>
  <si>
    <t>12 East 49th Street</t>
  </si>
  <si>
    <t>newyork@forter.com</t>
  </si>
  <si>
    <t>New Enterprise Associates sold a stake in the company to Newview Capital on December 3, 2018. Previously, the company raised $50 million of Series D venture funding in a deal led by March Capital Partners on September 26, 2018. Salesforce Ventures, New Enterprise Associates, Scale Venture Partners and Sequoia Capital Israel also participated in the round. The funding will be used to expand platform.</t>
  </si>
  <si>
    <t>11.2 Capital, Activant Capital Group, Arbor Ventures, Citi Innovation Lab, Commerce Ventures, March Capital Partners, Newview Capital, Salesforce Ventures, Scale Venture Partners, Sequoia Capital Israel</t>
  </si>
  <si>
    <t>11.2 Capital(www.112capital.com), Activant Capital Group(www.activantcapital.com), Arbor Ventures(www.arborventures.com), Commerce Ventures(www.commercevc.com), March Capital Partners(www.marchcp.com), Newview Capital(www.newviewcap.com), Scale Venture Partners(www.scalevp.com)</t>
  </si>
  <si>
    <t>Davis Polk &amp; Wardwell(Legal Advisor), Fenwick &amp; West(Legal Advisor), Landmark Ventures(Advisor: General)</t>
  </si>
  <si>
    <t>Davis Polk &amp; Wardwell(Legal Advisor), Fenwick &amp; West(Legal Advisor)</t>
  </si>
  <si>
    <t>53958-34</t>
  </si>
  <si>
    <t>Fortemedia</t>
  </si>
  <si>
    <t>Mvox Technologies</t>
  </si>
  <si>
    <t>Lantiq Deutschland, Intersil, InvenSense, NXP Semiconductors</t>
  </si>
  <si>
    <t>Providers of voice processors, microphone integrated circuits and support services designed to enhance human-to-human and human-to-machine voice communication efficiencies. The company's voice processors, microphone integrated circuits and support services is developing mixed signal system-on-chips and embedded software with its patented small array microphone technology for automotive, mobile, PC, headset and VoIP applications, enabling clients to establish better communication system.</t>
  </si>
  <si>
    <t>Application Specific Semiconductors, Communication Software*</t>
  </si>
  <si>
    <t>embedded software, voice processor</t>
  </si>
  <si>
    <t>www.fortemedia.com</t>
  </si>
  <si>
    <t>2006: 125, 2014: 67, 2016: 74</t>
  </si>
  <si>
    <t>40391-65P</t>
  </si>
  <si>
    <t>Paul Huang</t>
  </si>
  <si>
    <t>paul_huang@fortemedia.com</t>
  </si>
  <si>
    <t>+1 (408) 861-8088</t>
  </si>
  <si>
    <t>4051 Burton Drive</t>
  </si>
  <si>
    <t>info@fortemedia.com</t>
  </si>
  <si>
    <t>The company raised an estimated $30 million of Series I venture funding from undisclosed investors on March 6, 2013, putting the company's pre-money valuation at $370 million.</t>
  </si>
  <si>
    <t>Chin Shang Electric, Cipio Partners, Docomo Innovations, Dynalink Int'l, Honesty Capital investment, Huang International, iGlobe Partners, Innostream Investment, Intel Capital, Joint Fun Venture Capital, Marvell International, Pac-Link Management, Samsung Venture Investment, Tenaya Capital, Tsaida Investment, UMC Capital</t>
  </si>
  <si>
    <t>Cipio Partners(www.cipiopartners.com), Docomo Innovations(www.docomoinnovations.com), iGlobe Partners(www.iglobepartners.com), Intel Capital(www.intelcapital.com), Marvell International(www.marvell.com), Pac-Link Management(www.paclinkventure.com/default.htm), Samsung Venture Investment(www.samsungventures.com), Tenaya Capital(www.tenayacapital.com), UMC Capital(www.umccapital.com)</t>
  </si>
  <si>
    <t>Series I</t>
  </si>
  <si>
    <t>169177-15</t>
  </si>
  <si>
    <t>Fortem Technologies</t>
  </si>
  <si>
    <t>Provider of an AI-enabled drone object-detection system for airspace security and safety. The company's system is an AI-enabled real-time intrusion detection platform which delivers ultra small SWaP-C radar which enables autonomous applications by insuring a clear airspace for UAS operations such as routine infrastructure monitoring, perimeter intrusion alerting and protection, providing companies with airspace safety and critical infrastructure security.</t>
  </si>
  <si>
    <t>Artificial Intelligence &amp; Machine Learning, Industrials, Robotics and Drones, TMT</t>
  </si>
  <si>
    <t>airspace security, bvlos security, drones object-detection, intrusion detection, manned aircraft, object detection, radar detection, radar system, radar technology, radio detection</t>
  </si>
  <si>
    <t>www.fortemtech.com</t>
  </si>
  <si>
    <t>2018: 100</t>
  </si>
  <si>
    <t>91924-39P</t>
  </si>
  <si>
    <t>Timothy Bean</t>
  </si>
  <si>
    <t>tim.bean@fortemtech.com</t>
  </si>
  <si>
    <t>+1 (385) 375-3233</t>
  </si>
  <si>
    <t>Suite 325</t>
  </si>
  <si>
    <t>info@fortemtech.com</t>
  </si>
  <si>
    <t>The company raised $16.37 million of Series A venture funding in a deal led by Data Collective on March 29, 2018. Boeing HorizonX, Mubadala Investment Company, Manifest Investment Partners, New Ground Ventures, Signia Venture Partners and other undisclosed investors also participated in the round. The funds will be used to scale and support continuous improvements in airspace safety.</t>
  </si>
  <si>
    <t>Boeing HorizonX, Data Collective, Manifest Investment Partners, Mubadala Investment Company, New Ground Ventures, Signia Venture Partners</t>
  </si>
  <si>
    <t>Data Collective(www.dcvc.com), Manifest Investment Partners(www.manifestgrowth.com), Mubadala Investment Company(www.mubadala.com), New Ground Ventures(www.newground.vc), Signia Venture Partners(www.signiaventurepartners.com)</t>
  </si>
  <si>
    <t>221502-70</t>
  </si>
  <si>
    <t>Fortella</t>
  </si>
  <si>
    <t>DataLaab</t>
  </si>
  <si>
    <t>Developer of a cloud-based next generation marketing application deigned to make marketing an intelligence driven service. The company's application aligns marketing planning and execution with revenue goals and measures marketing's contribution to the business, as well as ingests first party marketing data into a single repository, enabling organizations to set up marketing goals to support revenue plan and business objectives.</t>
  </si>
  <si>
    <t>demand generation, marketing analytics, marketing application, marketing application platform, predictive marketing, revenue driven marketing</t>
  </si>
  <si>
    <t>www.fortella.ai</t>
  </si>
  <si>
    <t>60954-76P</t>
  </si>
  <si>
    <t>Rahul Sachdev</t>
  </si>
  <si>
    <t>rsachdev@datalaab.com</t>
  </si>
  <si>
    <t>+1 (650) 216-2323</t>
  </si>
  <si>
    <t>370 Convention Way</t>
  </si>
  <si>
    <t>info@fortella.com</t>
  </si>
  <si>
    <t>The company raised venture funding from Recruit Strategic Partners on an undisclosed date. Previously, the company raised an estimated $2.5 million through the combination of Seed and Seed 1 funding from BootstrapLabs and Monta Vista Capital on July 1, 2017, putting the company's pre-money valuation at $6.5 million.</t>
  </si>
  <si>
    <t>BootstrapLabs, Monta Vista Capital, Recruit Strategic Partners</t>
  </si>
  <si>
    <t>BootstrapLabs(www.bootstraplabs.com), Monta Vista Capital(www.montavc.com), Recruit Strategic Partners(recruitstrategicpartners.com)</t>
  </si>
  <si>
    <t>51554-62</t>
  </si>
  <si>
    <t>Foro Energy</t>
  </si>
  <si>
    <t>Developer of high power lasers designed to cater the needs of oil, natural gas, geothermal, and mining industries. The company's high power lasers are made by using technology to open access of the geothermal energy in deep, hard basement rock and offers capability and hardware platform to transmit over long distance fiber optic cables, enabling clients to drill, complete and work-over wells.</t>
  </si>
  <si>
    <t>Alternative Energy Equipment, Fiberoptic Equipment*</t>
  </si>
  <si>
    <t>drilling technology, geothermal drilling, geothermal energy, laser, laser light</t>
  </si>
  <si>
    <t>www.foroenergy.com</t>
  </si>
  <si>
    <t>2009: 3, 2010: 3, 2014: 31, 2016: 41</t>
  </si>
  <si>
    <t>5506 Clara Road</t>
  </si>
  <si>
    <t>+1 (713) 456-3330</t>
  </si>
  <si>
    <t>+1 (713) 456-3331</t>
  </si>
  <si>
    <t>contact@foroenergy.com</t>
  </si>
  <si>
    <t>The company raised $8 million of venture funding from Energy Technology Ventures, Baruch Future Ventures, Formation 8 and Presidio Partners on December 31, 2012. North Bridge Venture Partners, GE Ventures, ConocoPhillips Technology Ventures and Chevron Technology Ventures also participated in the round.</t>
  </si>
  <si>
    <t>Baruch Future Ventures, Chevron Technology Ventures, ConocoPhillips Technology Ventures, Energy Technology Ventures, Formation 8, GE Ventures, North Bridge Venture Partners, Presidio Partners</t>
  </si>
  <si>
    <t>Baruch Future Ventures(www.baruch.vc), Formation 8(www.formation8.com), GE Ventures(www.geventures.com), North Bridge Venture Partners(www.northbridge.com), Presidio Partners(www.presidiopartners.com)</t>
  </si>
  <si>
    <t>114295-87</t>
  </si>
  <si>
    <t>Forever Oceans</t>
  </si>
  <si>
    <t>Operator of aquafarms. The company offers a sustainable aquaculture alternative which offers complete aquaculture technologies that produce premium fish and farming techniques.</t>
  </si>
  <si>
    <t>Aquaculture</t>
  </si>
  <si>
    <t>Aquaculture*</t>
  </si>
  <si>
    <t>aquaculture alternative, aquafarm, fisheries</t>
  </si>
  <si>
    <t>www.foreveroceans.com</t>
  </si>
  <si>
    <t>2014: 5, 2016: 11</t>
  </si>
  <si>
    <t>101838-88P</t>
  </si>
  <si>
    <t>Mathew Goldsborough</t>
  </si>
  <si>
    <t>Co-Founder &amp; Director, Engineering</t>
  </si>
  <si>
    <t>mathew.goldsborough@foreveroceans.com</t>
  </si>
  <si>
    <t>+1 (703) 606-3439</t>
  </si>
  <si>
    <t>Warrenton, VA</t>
  </si>
  <si>
    <t>403 Holiday Court</t>
  </si>
  <si>
    <t>Suite 104</t>
  </si>
  <si>
    <t>Warrenton</t>
  </si>
  <si>
    <t>20186</t>
  </si>
  <si>
    <t>contact@foreveroceans.com</t>
  </si>
  <si>
    <t>The company received $9.895 million of financing from undisclosed investors on June 28, 2018.</t>
  </si>
  <si>
    <t>Bessemer Venture Partners, Lockheed Martin Ventures, Palapa Ventures, StartX, Visionary Private Equity Group</t>
  </si>
  <si>
    <t>Bessemer Venture Partners(www.bvp.com), Palapa Ventures(www.palapavc.com), StartX(www.startx.com), Visionary Private Equity Group(www.visionaryprivateequitygroup.com)</t>
  </si>
  <si>
    <t>Squire Patton Boggs(Legal Advisor), Warley &amp; Company(Advisor: General)</t>
  </si>
  <si>
    <t>222608-26</t>
  </si>
  <si>
    <t>Foresite Healthcare</t>
  </si>
  <si>
    <t>Foresite</t>
  </si>
  <si>
    <t>Provider of a healthcare platform intended to provide information about the early detection of strokes and fall prevention. The company's platform provides patient-care and eldercare consisting of the actual sensors and making use of a variety of inputs including depth-sensor technology, under mattress pads and motion detectors to continually capture a range of information, such as respiratory rate, bed restlessness, gait, motion and activity, enabling care teams to gain information they need to make better care decisions for individuals and increase the quality of care and safety while decreasing the cost of care.</t>
  </si>
  <si>
    <t>Decision/Risk Analysis*</t>
  </si>
  <si>
    <t>healthcare application, healthcare platform, healthcare platform software, stroke detection technology</t>
  </si>
  <si>
    <t>www.foresitehealthcare.com</t>
  </si>
  <si>
    <t>175309-84P</t>
  </si>
  <si>
    <t>George Chronis</t>
  </si>
  <si>
    <t>Co-Founder, Chief Executive Officer &amp; Chief Technology Officer</t>
  </si>
  <si>
    <t>george@foresitehealthcare.com</t>
  </si>
  <si>
    <t>The company received $1.99 million of development capital from Stanley Ventures and other undisclosed investors on December 14, 2018.</t>
  </si>
  <si>
    <t>54664-57</t>
  </si>
  <si>
    <t>FoodLogiQ</t>
  </si>
  <si>
    <t>YottaMark, RizePoint, iCiX, HarvestMark, Safefood 360, Sparta Systems, Plex Systems, EtQ, Intelex Technologies, LogicManager</t>
  </si>
  <si>
    <t>Developer of a SaaS supplier transparency and traceability platform designed to connect the world's food supply chain and promote food safety through traceability and sustainability. The company's platform offers supplier management, food safety compliance, quality incident management, recall management and whole chain traceability, all on a single platform built exclusively for the food industry, enabling restaurant operators, food retailers and other food companies to achieve end-to-end traceability while supporting safe and high quality food products across the supply chain.</t>
  </si>
  <si>
    <t>FoodTech, Impact Investing, Restaurant Technology, SaaS, TMT</t>
  </si>
  <si>
    <t>food safety, food traceability, impact investing vertical, supplier management software, supplier transparency, supply chain transparency, traceability platform</t>
  </si>
  <si>
    <t>www.foodlogiq.com</t>
  </si>
  <si>
    <t>Clarkston Consulting</t>
  </si>
  <si>
    <t>51313-87P</t>
  </si>
  <si>
    <t>Dean Wiltse</t>
  </si>
  <si>
    <t>dwiltse@foodlogiq.com</t>
  </si>
  <si>
    <t>+1 (866) 492-4468</t>
  </si>
  <si>
    <t>2655 Meridian Parkway</t>
  </si>
  <si>
    <t>info@foodlogiq.com</t>
  </si>
  <si>
    <t>The company raised $11.5 million of Series B venture funding from Renewal Funds on April 3, 2018. Clarkston Consulting and other undisclosed investors also participated in the round. The funding will be used to help fuel the company's rapid growth. Previously the company raised $19.5 million of venture funding in a deal led by Renewal Funds on March 29, 2018. GreenHouse Capital Partners, Nicola Wealth Management, Pontifax Agtech, Testo and Tyson Ventures also participated in the round. The funding will be used to accelerate product enhancements, research and development and expanded sales, marketing and customer success.</t>
  </si>
  <si>
    <t>Clarkston Merchant Partners, Greenhouse Capital Partners, Nicola Wealth Management, Pontifax Agtech, Renewal Funds, Testo, Tyson Ventures</t>
  </si>
  <si>
    <t>Clarkston Merchant Partners(www.clarkstonmp.com), Greenhouse Capital Partners(www.greenhousecap.com), Nicola Wealth Management(www.nicolawealth.com), Pontifax Agtech(www.pontifaxagtech.com), Renewal Funds(www.renewalfunds.com), Testo(www.testo.com)</t>
  </si>
  <si>
    <t>Bank of America(General Business Banking), Hughes Pittman &amp; Gupton(Auditor), Hutchison (United States)(Legal Advisor)</t>
  </si>
  <si>
    <t>54329-95</t>
  </si>
  <si>
    <t>Food52</t>
  </si>
  <si>
    <t>Burnt Toast</t>
  </si>
  <si>
    <t>Chefsteps, Goop, PureWow</t>
  </si>
  <si>
    <t>Operator of an online cooking community, kitchen and home brand, and podcast series designed to support, connect, and celebrate cooks and home enthusiasts. The company provides high-quality recipes and lifestyle features, a line of cookbooks, a shop with more than 2,000 kitchen and home goods, and also hosts a series of offline pop-ups, enabling consumers to access everything they need to eat thoughtfully and live joyfully in one place.</t>
  </si>
  <si>
    <t>Publishing, Social Content*, Social/Platform Software</t>
  </si>
  <si>
    <t>cooking, cooking contest, ecommerce, homewares, kitchen wares, online cooking, online cooking community, online recipe, recipes</t>
  </si>
  <si>
    <t>www.food52.com</t>
  </si>
  <si>
    <t>2014: 28, 2015: 45, 2017: 62</t>
  </si>
  <si>
    <t>42839-20P</t>
  </si>
  <si>
    <t>Amanda Hesser</t>
  </si>
  <si>
    <t>amanda@food52.com</t>
  </si>
  <si>
    <t>+1 (212) 239-5252</t>
  </si>
  <si>
    <t>122 West 26th Street</t>
  </si>
  <si>
    <t>help@food52.com</t>
  </si>
  <si>
    <t>The company raised $4.26 million of Series B venture funding from undisclosed investors on July 5, 2017, putting the pre-money valuation at $28.84 million.</t>
  </si>
  <si>
    <t>14W, Bertelsmann Digital Media Investments, Dave Lerner, Gary Vaynerchuk, Joanne Wilson, Lerer Hippeau, LocalGlobe, Panarea Capital, Scripps Networks Interactive, Teamworthy Ventures, Vayner/RSE, Vikas Taneja, Vocap Investment Partners, Walden Venture Capital, Zelkova Ventures</t>
  </si>
  <si>
    <t>14W(www.14w.com), Bertelsmann Digital Media Investments(www.bdmifund.com), Dave Lerner(www.davelerner.com), Gary Vaynerchuk(www.garyvaynerchuk.com), Joanne Wilson(www.gothamgal.com), Lerer Hippeau(www.lererhippeau.com), LocalGlobe(www.localglobe.vc), Scripps Networks Interactive(www.scrippsnetworksinteractive.com), Teamworthy Ventures(www.teamworthy.com), Vayner/RSE(www.vaynerrse.com), Vocap Investment Partners(www.vocappartners.com), Walden Venture Capital(www.waldenvc.com), Zelkova Ventures(www.zelkovavc.com)</t>
  </si>
  <si>
    <t>ComCap(Advisor: General), Gunderson Dettmer(Legal Advisor), Montgomery &amp; Company(Advisor: General)</t>
  </si>
  <si>
    <t>Gunderson Dettmer(Legal Advisor), Square 1 Bank(Debt Financing)</t>
  </si>
  <si>
    <t>58662-82</t>
  </si>
  <si>
    <t>Food Robotics</t>
  </si>
  <si>
    <t>Developer of a food-processing technology designed to offer hot meals. The company's food-processing technology is used in the area of mechantronics and specialize in designing vending machines, enabling users to prepare hot meals within a short period of time that would be available in various places and at any time.</t>
  </si>
  <si>
    <t>Electronics (B2C), Food Products, Machinery (B2B)*</t>
  </si>
  <si>
    <t>automated food distribution, food heating device, food processing, hot meals, mechatronics</t>
  </si>
  <si>
    <t>www.food-robotics.com</t>
  </si>
  <si>
    <t>53194-15P</t>
  </si>
  <si>
    <t>Monika Fabin Michalina</t>
  </si>
  <si>
    <t>Chairman of the Board</t>
  </si>
  <si>
    <t>+48 53 227 6250</t>
  </si>
  <si>
    <t>Wroclaw, Poland</t>
  </si>
  <si>
    <t>Ul. Ożynowa 34</t>
  </si>
  <si>
    <t>Wroclaw</t>
  </si>
  <si>
    <t>53-009</t>
  </si>
  <si>
    <t>The company received PLN 4.93 million of grant funding from European Regional Development Fund, Portal Funduszy Europejskich and European Union on an undisclosed date.</t>
  </si>
  <si>
    <t>European Regional Development Fund, European Union, JCI Venture, Portal Funduszy Europejskich</t>
  </si>
  <si>
    <t>European Regional Development Fund(www.efre.brandenburg.de/cms/detail.php/bb1.c.152414.de), European Union(www.europa.eu/index_en.htm), JCI Venture(www.jciventure.pl), Portal Funduszy Europejskich(www.funduszeeuropejskie.gov.pl)</t>
  </si>
  <si>
    <t>61066-90</t>
  </si>
  <si>
    <t>FollowAnalytics</t>
  </si>
  <si>
    <t>SessionM, Kahuna, Wigzo, Pendo, WebEngage, MoEngage, Pulsate, Localytics, Adobe Systems, Unbxd, LeadSquared, Seismic (Business/Productivity Software), Taplytics, Trendemon, Adikteev, MobileROI, Mediaocean, Ampush Media, Paytronix Systems, Optimizely, Braze, tapCLIQ, CleverTap, Leanplum, Iterable, Apptus Technologies, Punchh, MixPanel, Amplitude, Airship, Evergage, SLI Systems, Monetate, Swrve, Movable Ink, Sailthru, Neura (Consumer Insights), Highspot, Qubit (Social/Platform Software), Adtelligence, ClearSlide</t>
  </si>
  <si>
    <t>Developer of a mobile marketing platform designed to offer individually-catered mobile marketing engagement. The company's mobile marketing automation platform combines powerful analytics with real-time engagement, powered by machine learning to measure user behavior and mobile engagement in real-time, enabling mobile marketers to build truly personalized, omnichannel experiences by optimizing content.</t>
  </si>
  <si>
    <t>Artificial Intelligence &amp; Machine Learning, Big Data, Marketing Tech, Mobile, TMT</t>
  </si>
  <si>
    <t>communication automation, marketing automation platform, mobile analytics, mobile marketing platform</t>
  </si>
  <si>
    <t>www.followanalytics.com</t>
  </si>
  <si>
    <t>2013: 21, 2015: 24, 2016: 35</t>
  </si>
  <si>
    <t>91009-00P</t>
  </si>
  <si>
    <t>Pierre Vibert</t>
  </si>
  <si>
    <t>pierre@followanalytics.com</t>
  </si>
  <si>
    <t>+1 (844) 236-5569</t>
  </si>
  <si>
    <t>5 Third Street</t>
  </si>
  <si>
    <t>Suite 520</t>
  </si>
  <si>
    <t>info@followanalytics.com</t>
  </si>
  <si>
    <t>The company raised $11 million of Series B venture funding from Orange, Aspect Ventures and Zetta Venture Partners on December 13, 2017, putting the pre-money valuation at $40 million. Sapphire Ventures, Cathay Innovation, La Maison and Salesforce Ventures also participated in this round. The company, which has raised $27 million, intends to launch a new product, slated for end 2017, create twenty new jobs and expand geographically to the East Coast of the US and Europe.</t>
  </si>
  <si>
    <t>Aspect Ventures, Cathay Innovation, La Maison Investments, Orange Digital Ventures, Salesforce Ventures, Sapphire Ventures, Zetta Venture Partners</t>
  </si>
  <si>
    <t>Aspect Ventures(www.aspectventures.com), Cathay Innovation(www.cathayinnovation.com), Orange Digital Ventures(www.digitalventures.orange.com), Sapphire Ventures(www.sapphireventures.com), Zetta Venture Partners(www.zettavp.com)</t>
  </si>
  <si>
    <t>91962-28</t>
  </si>
  <si>
    <t>Flyr</t>
  </si>
  <si>
    <t>Hubskip</t>
  </si>
  <si>
    <t>Hipmunk, Hopper</t>
  </si>
  <si>
    <t>Provider of an online platform intended to predict air-travel fares. The company's platform combines big data algorithms to get one click booking and prediction of flight fares, as well as provides helpful information while shopping for flights including sell out risk, historical price information and price action prediction, enabling users to take profitable decision while booking a flight.</t>
  </si>
  <si>
    <t>Application Software*, Database Software, Information Services (B2C)</t>
  </si>
  <si>
    <t>fare comparison, flight books, flight fare information, online platform, predict fare</t>
  </si>
  <si>
    <t>www.flyrlabs.com</t>
  </si>
  <si>
    <t>2014: 13, 2015: 20, 2016: 21</t>
  </si>
  <si>
    <t>40222-18P</t>
  </si>
  <si>
    <t>Jean Tripier</t>
  </si>
  <si>
    <t>jean.tripier@flyrlabs.com</t>
  </si>
  <si>
    <t>821 Folsom Street</t>
  </si>
  <si>
    <t>info@getflyr.com</t>
  </si>
  <si>
    <t>The company raised $8 million of Series A venture funding in a deal led by Peter Thiel on January 18, 2017, putting the company's pre-money valuation at $24 million. JetBlue Technology Ventures, Amadeus Ventures, Chasm Capital, Plug and Play Tech Center, AXA Venture Partners, Streamlined Ventures and Western Technology Investment also participated in the round. The company intends to use the funds to expand its suite of fare prediction and booking optimization solutions. Previously, the company raised $2.05 million of seed funding from JetBlue Technology Ventures, Amadeus Ventures and Thiel Capital on September 7, 2016, putting the company's pre-money valuation at $15.04 million. Plug and Play Tech Center and AXA Venture Partners also participated in the round.</t>
  </si>
  <si>
    <t>Alireza Masrour, AllMobile Fund, Amadeus Ventures, AXA Seed Factory, AXA Venture Partners, Bobby Yazdani, Chasm Capital, Cota Capital, Hamid Borkhordhar, Haystack, Individual Investor, JetBlue Technology Ventures, Jonathan Curtis, Michael Liou, Montage Ventures, Pankaj Shah, Peter Thiel, Plug and Play Tech Center, Roger Bamford, Shawn V. Gruver, Signatures Capital, Streamlined Ventures, Thiel Capital, Todd Kimmel, Tom Rice, Ullas Naik, Western Technology Investment</t>
  </si>
  <si>
    <t>AllMobile Fund(www.allmobilefund.com), AXA Venture Partners(www.axavp.com), Chasm Capital(www.chasmcap.com), Cota Capital(www.cotacapital.com), Haystack(haystack.vc), JetBlue Technology Ventures(www.jetblueventures.com), Montage Ventures(www.montageventures.com), Plug and Play Tech Center(www.plugandplaytechcenter.com), Signatures Capital(www.signaturescapital.com), Streamlined Ventures(www.streamlinedventures.com), Thiel Capital(www.thielcapital.com), Western Technology Investment(www.westerntech.com)</t>
  </si>
  <si>
    <t>Orrick, Herrington &amp; Sutcliffe(Legal Advisor), Western Technology Investment(Debt Financing)</t>
  </si>
  <si>
    <t>91961-65</t>
  </si>
  <si>
    <t>Fluxx</t>
  </si>
  <si>
    <t>roundCorner, Foundant Technologies, StreamLink Software, SofTrek, CyberGrants, Kindful, SmartSimple, Versaic, Salesforce, Ennov, GivingData, WePay, ImpactFlow, Bromelkamp Company LLC, Stellar Technology Solutions, AssurX, WPG Solutions, WizeHive, Box</t>
  </si>
  <si>
    <t>Developer of a cloud-based grants management software designed to offer a transparent, accessible and more connected ecosystem for all funders and impact investors. The company's grants management software seamlessly integrates grants data through automated workflow management and personalized dashboards where every department can readily access critical data to make informed decisions, enabling organizations track requests, measure success and optimize crucial grants from multiple funders.</t>
  </si>
  <si>
    <t>collaboration network, community management platform, compliance information, information management platform, information operations, operations management platform, process automation platform, process efficiency, user friendly interface, website visibility</t>
  </si>
  <si>
    <t>www.fluxx.io</t>
  </si>
  <si>
    <t>180598-42P</t>
  </si>
  <si>
    <t>Madeline Duva</t>
  </si>
  <si>
    <t>madeline@fluxx.io</t>
  </si>
  <si>
    <t>+1 (855) 358-9946</t>
  </si>
  <si>
    <t>77 Maiden Lane</t>
  </si>
  <si>
    <t>info@fluxx.io</t>
  </si>
  <si>
    <t>The company raised $16 million of Series B venture funding in a round led by Canvas Venture Fund on March 8, 2017, putting the pre-money valuation at $52 million. Kresge Foundation and Felicis Ventures also participated in this round. The company intends to use the funds to accelerate its growth and develop new products for the philanthropic community.</t>
  </si>
  <si>
    <t>Canvas Ventures, Felicis Ventures, Salesforce Ventures, The Kresge Foundation</t>
  </si>
  <si>
    <t>Canvas Ventures(www.canvas.vc), Felicis Ventures(www.felicis.com), The Kresge Foundation(www.kresge.org)</t>
  </si>
  <si>
    <t>Dudnick Detwiler Rivin &amp; Stikker(Legal Advisor), Fenwick &amp; West(Legal Advisor), Western Technology Investment(Debt Financing)</t>
  </si>
  <si>
    <t>164343-88</t>
  </si>
  <si>
    <t>Flutterwave</t>
  </si>
  <si>
    <t>ZooZ, Payfirma, WorldPay (Global Payment Processing), BillingTree, DIBS Payment Services, Stripe, RedCloud Technologies, Axia Payments, Heartland Payment Systems, 2Checkout (Acquired), Gravity Payments, CurvePay, Montran, Adyen, First Data, Banking Production Center, Vocalink, Moneris Solutions, Braintree, Klarna, Paystack (Financial Software), GHL Systems, GlobalCollect, Transax, WePay, Bambora, PayCore, Affirm, Venmo, Flint, Credorax, Alpine Payment Systems, GPUK, CardFlight, Dwolla, Elavon, ROAM Data, CheckVault, Network International</t>
  </si>
  <si>
    <t>Developer of a cloud-based end-to-end digital payment platform designed to modernize payment infrastructure. The company's platform covers all aspects of processing payments, from providing the payment gateway API to managing payments risks and settlement as well as provides a payments processing system to connect directly to any local, international card schemes, mobile money and bank accounts across Africa, enabling users to accept and process payments on a website, mobile, automated teller machine (ATM) and point of sale (POS).</t>
  </si>
  <si>
    <t>digital payment application, digital payment processing, mobile payment, payment infrastructure</t>
  </si>
  <si>
    <t>www.flutterwave.com</t>
  </si>
  <si>
    <t>191035-72P</t>
  </si>
  <si>
    <t>Olugbenga Agboola</t>
  </si>
  <si>
    <t>olugbenga.agboola@flutterwave.com</t>
  </si>
  <si>
    <t>1323 Columbus Avenue</t>
  </si>
  <si>
    <t>The company raised an undisclosed amount of Series A venture funding from MasterCard, FinTech Collective and 4DX Ventures on October 14, 2018. Raba Capital, CRE Venture Capita, LoftyInc Capital Managementl and other undisclosed investors also participated in the round.</t>
  </si>
  <si>
    <t>4DX Ventures, Alrai Capital, Arab Angel, CRE Venture Capital, FinTech Collective, Glynn Capital, Golden Palm Investments, Google Developers Launchpad, Green Visor Capital, Greycroft, HOF Capital (New York), Khosla Impact, Khosla Ventures, LoftyInc Capital Management, Lynett Capital, LYVC, MasterCard, Musha Ventures, Omidyar Network, Plug and Play Tech Center, Raba Capital, Salesforce Ventures, Social Capital, Soma Capital, Tekton Ventures, The Venture Center, Y Combinator</t>
  </si>
  <si>
    <t>GreenHouse Capital</t>
  </si>
  <si>
    <t>4DX Ventures(www.4dxventures.com), Alrai Capital(www.alraicap.com), Arab Angel(www.arabangel.vc), CRE Venture Capital(www.cre.vc), FinTech Collective(www.fintech.io), Glynn Capital(www.glynncapital.com), Golden Palm Investments(www.gpalminvestments.com), Google Developers Launchpad(developers.google.com/programs/launchpad), Green Visor Capital(www.greenvisorcapital.com), Greycroft(www.greycroft.com), HOF Capital (New York)(www.hofvc.com), Khosla Impact(www.khoslaimpact.com), Khosla Ventures(www.khoslaventures.com), LoftyInc Capital Management(www.loftyinccapital.vc), Lynett Capital(www.lynettcapital.com), LYVC(www.lyvc.vc), MasterCard(www.mastercard.us), Musha Ventures(www.mushaventures.com), Omidyar Network(www.omidyar.com), Plug and Play Tech Center(www.plugandplaytechcenter.com), Raba Capital(www.rabacap.com), Social Capital(www.socialcapital.com), Soma Capital(somacap.com), Tekton Ventures(www.tektonventures.com), The Venture Center(www.venturecenter.co), Y Combinator(www.ycombinator.com)</t>
  </si>
  <si>
    <t>GreenHouse Capital(www.greenhouse.capital)</t>
  </si>
  <si>
    <t>Corporate Insight Strategy(Consulting), Orrick, Herrington &amp; Sutcliffe(Legal Advisor)</t>
  </si>
  <si>
    <t>170988-94</t>
  </si>
  <si>
    <t>FloydHub</t>
  </si>
  <si>
    <t>Floyd</t>
  </si>
  <si>
    <t>Paperspace</t>
  </si>
  <si>
    <t>Provider of a Platform-as-a-Service (PaaS) based software designed to facilitate training on deep learning models in the cloud across teams and vertical management strata. The company's software comes with fully configured CPU and GPU environments primed for deep learning, saves projects and databases automatically, allows inter and intra team cloud based interactions and has an inbuilt Web dashboard to track, monitor, edit and share project progress, job related queries and confidential codes, enabling managers to share and collaborate on their deep learning projects across single and multiple teams and increase team productivity through performance reviews and project planning.</t>
  </si>
  <si>
    <t>automated workflow, cloud interaction portal, deep learning software, employee training software, project management software, project review software, workflow automated software, workflow planning</t>
  </si>
  <si>
    <t>www.floydhub.com</t>
  </si>
  <si>
    <t>157964-05P</t>
  </si>
  <si>
    <t>Sai Soundararaj</t>
  </si>
  <si>
    <t>sai@floydhub.com</t>
  </si>
  <si>
    <t>1446 Market Street</t>
  </si>
  <si>
    <t>contact@floydhub.com</t>
  </si>
  <si>
    <t>The company raised an undisclosed amount of venture funding from Avalon Ventures, Charles River Ventures and Data Collective. Emerge Ventures, Amino Capital, Half Court Ventures, Founder Collective, Liquid 2 Ventures, Silicon Valley Data Science, Samsung NEXT Ventures, ZhenFund and 8 angel investors also participated in the round.</t>
  </si>
  <si>
    <t>Amino Capital, Avalon Ventures, Charles River Ventures, Daniel Fain, Data Collective, Emerge Ventures, Founder Collective, Hack VC, Half Court Ventures, James Tamplin, Liquid 2 Ventures, Mark Pincus, Max Hodak, Nat Friedman, Robby Walker, Samsung NEXT Ventures, Silicon Valley Data Science, Siqi Chen, Y Combinator, Yuri Sagalov, ZhenFund</t>
  </si>
  <si>
    <t>Amino Capital(www.aminocapital.com), Avalon Ventures(www.avalon-ventures.com), Charles River Ventures(www.crv.com), Data Collective(www.dcvc.com), Emerge Ventures(www.emergeout.com), Founder Collective(www.foundercollective.com), Hack VC(www.hack-vc.com), Half Court Ventures(www.halfcourt.vc), Liquid 2 Ventures(www.liquid2.vc), Samsung NEXT Ventures(www.samsungnext.com), Silicon Valley Data Science(www.svds.com), Y Combinator(www.ycombinator.com), ZhenFund(www.zhenfund.com)</t>
  </si>
  <si>
    <t>163118-17</t>
  </si>
  <si>
    <t>Flowcastings</t>
  </si>
  <si>
    <t>FLC Flowcastings</t>
  </si>
  <si>
    <t>Manufacturer of turbine airfoils for the aircraft engine industry. The company specializes in the development and investment casting of components for the High-Pressure Turbine (HPT) and Low-Pressure Turbine (LPT) sections of commercial and military aircraft engines and components of the oil and gas industry.</t>
  </si>
  <si>
    <t>Aerospace and Defense*, Machinery (B2B)</t>
  </si>
  <si>
    <t>turbine, turbine airfoils, turbine components, vacuum casting</t>
  </si>
  <si>
    <t>www.flowcastings.com</t>
  </si>
  <si>
    <t>2016: 15</t>
  </si>
  <si>
    <t>141006-25P</t>
  </si>
  <si>
    <t>Wolfram Beele</t>
  </si>
  <si>
    <t>wolfram.beele@flowcastings.com</t>
  </si>
  <si>
    <t>+49 (0)61 4720 0200 0</t>
  </si>
  <si>
    <t>Trebur, Germany</t>
  </si>
  <si>
    <t>Hessenauer Strasse 2</t>
  </si>
  <si>
    <t>Trebur</t>
  </si>
  <si>
    <t>65468</t>
  </si>
  <si>
    <t>+49 (0)61 4720 0200 7</t>
  </si>
  <si>
    <t>info@flowcastings.com</t>
  </si>
  <si>
    <t>The company raised an undislocsed amount of series C venture funding from Eastern Sun Capital Partners, Caterpillar Ventures, Energy Innovation Capital and Saudi Aramco Energy Ventures on July 10, 2018. The funding round will allow the company to expand its production capacity further to serve its growing customer base.</t>
  </si>
  <si>
    <t>Caterpillar Ventures, Eastern Sun Capital Partners, Energy Innovation Capital, Saudi Aramco Energy Ventures</t>
  </si>
  <si>
    <t>Energy Innovation Capital(www.energyinnovationcapital.com), Saudi Aramco Energy Ventures(www.saev.com)</t>
  </si>
  <si>
    <t>Leif Capital(Advisor: General)</t>
  </si>
  <si>
    <t>Fas(Advisor: General), Goerg(Legal Advisor), Leif Capital(Advisor: General), WindSail Capital Group(Debt Financing)</t>
  </si>
  <si>
    <t>231911-29</t>
  </si>
  <si>
    <t>Flow++</t>
  </si>
  <si>
    <t>Flow Plus Plus</t>
  </si>
  <si>
    <t>Developer of a big data and cybersecurity platform designed to keep organizations safe and secure. The company's platform brings together a series of fine-grained traffic identification algorithms and high-performance network processing architectures independently, enabling organizations to stay updated about the latest malware and prevent it.</t>
  </si>
  <si>
    <t>Business/Productivity Software, Database Software, Network Management Software*, Systems and Information Management</t>
  </si>
  <si>
    <t>cyber threat, cybersecurity, cybersecurity data, cybersecurity platform, malware</t>
  </si>
  <si>
    <t>www.flowplusplus.com</t>
  </si>
  <si>
    <t>197017-21P</t>
  </si>
  <si>
    <t>Vincent Cui</t>
  </si>
  <si>
    <t>vincent@flowplusplus.com</t>
  </si>
  <si>
    <t>+86 (0)10 5940 3236</t>
  </si>
  <si>
    <t>Room 23203</t>
  </si>
  <si>
    <t>Zhongguancun Software Park Building</t>
  </si>
  <si>
    <t>Haidian</t>
  </si>
  <si>
    <t>info@flowpp.com</t>
  </si>
  <si>
    <t>The company raised an undisclosed amount of Series A venture funding from Baidu Ventures and State Council on July 1, 2018.</t>
  </si>
  <si>
    <t>Baidu Ventures, THG Ventures, TusStar Incubator Investment</t>
  </si>
  <si>
    <t>Baidu Ventures(www.bv.ai), THG Ventures(www.th-vc.com), TusStar Incubator Investment(www.tusstar.com)</t>
  </si>
  <si>
    <t>87416-65</t>
  </si>
  <si>
    <t>FloSports</t>
  </si>
  <si>
    <t>Flocasts</t>
  </si>
  <si>
    <t>FS</t>
  </si>
  <si>
    <t>EverSport Media, SportVision, Meridix Creative</t>
  </si>
  <si>
    <t>Operator of a sports media and events platform intended to offer live digital sports and original content. The company's platform provides live digital sports data, game analysis and tournament statistics that allows users to stay up to date with all the latest sport related information, enabling customers to avail live and on-demand access to tens of thousands of competitions across 20+ sports in the US and abroad.</t>
  </si>
  <si>
    <t>Entertainment Software, Movies, Music and Entertainment*</t>
  </si>
  <si>
    <t>live sports streaming, live sports streaming service, ott subscription, sports media content, sports media platform</t>
  </si>
  <si>
    <t>www.flosports.tv</t>
  </si>
  <si>
    <t>2013: 24, 2014: 80, 2015: 80, 2016: 165, 2019: 250</t>
  </si>
  <si>
    <t>Deal (New) Later Stage VC (Series C), 2019|Completed, Promotion (New) Mark Floreani, Chief Executive Officer &amp; Co-Founder, News (New)</t>
  </si>
  <si>
    <t>80586-01P</t>
  </si>
  <si>
    <t>Mark Floreani</t>
  </si>
  <si>
    <t>mark.floreani@flosports.tv</t>
  </si>
  <si>
    <t>+1 (512) 220-1691</t>
  </si>
  <si>
    <t>979 Springdale Road</t>
  </si>
  <si>
    <t>The company raised $47 million of Series C venture funding in a deal led by World Wrestling Entertainment and Discovery (Mass Media) on June 3, 2019, putting the company's pre-money valuation at $213 million. Bertelsmann Digital Media Investments, Causeway Media Partners, DCM Ventures, and Fertitta Capital also participated in the round. The funds will be used by the company towards continued investment in rights in middle- and long-tail partnerships.</t>
  </si>
  <si>
    <t>Bertelsmann Digital Media Investments, Causeway Media Partners, DCM Ventures, Discovery (Mass Media), Eastward Capital Partners, Fertitta Capital, World Wrestling Entertainment</t>
  </si>
  <si>
    <t>Bertelsmann Digital Media Investments(www.bdmifund.com), Causeway Media Partners(www.causewaymp.com), DCM Ventures(www.dcm.com), Discovery (Mass Media)(www.discovery.com), Eastward Capital Partners(www.eastwardcp.com), Fertitta Capital(www.fertittacapital.com), World Wrestling Entertainment(www.wwe.com)</t>
  </si>
  <si>
    <t>DLA Piper(Legal Advisor), Silicon Valley Bank(Debt Financing)</t>
  </si>
  <si>
    <t>46488-25</t>
  </si>
  <si>
    <t>Flipboard</t>
  </si>
  <si>
    <t>Digg, ScoopWhoop Media, Bloglovin', Wiser, SoThree, Murmur App, NewsDog, Sidewire, All Day, Vatsana, Newsle, Mic (Media Platform), BuzzFeed, News360, Qutoutiao, SmartNews, Pinterest, Sports Flashes, Feedly, Tumblr, Twitter, Nuzzel, Instapaper, InShorts, Newser, News Republic, LibreDigital, Zite</t>
  </si>
  <si>
    <t>Developer of a mobile social magazine platform designed to collect and share news articles from various news sources. The company's mobile social magazine platform allows users to aggregate Web content based on personal interests and to publish the content as personalized social magazine that can be shared and followed through social media, enabling users to catch up on the news, read stories from around the world and browse the articles, videos and photos friends are sharing.</t>
  </si>
  <si>
    <t>Information Services (B2C), Social Content, Social/Platform Software*</t>
  </si>
  <si>
    <t>content sharing, digital magazine, news, social magazine, social media</t>
  </si>
  <si>
    <t>www.flipboard.com</t>
  </si>
  <si>
    <t>2011: 32, 2013: 100, 2014: 219, 2015: 220, 2016: 204</t>
  </si>
  <si>
    <t>35344-18P</t>
  </si>
  <si>
    <t>Mike McCue</t>
  </si>
  <si>
    <t>mikem@flipboard.com</t>
  </si>
  <si>
    <t>+1 (650) 488-3547</t>
  </si>
  <si>
    <t>735 Emerson Street</t>
  </si>
  <si>
    <t>info@flipboard.com</t>
  </si>
  <si>
    <t>The company raised $50 million of Series D venture funding from JPMorgan Chase &amp; Company on July 24, 2015, putting the company's pre-money valuation at $850 million. The company will use funds to expand its engineering and sales teams and to increase its investment in infrastructure.</t>
  </si>
  <si>
    <t>Access Technology Ventures, Adam Lisagor, Alfred Lin, Ashton Kutcher, Coatue Management, Comcast Ventures, Dustin Moskovitz, Ellen Pao, GGV Capital, Index Ventures (UK), Insight Partners, Jack Dorsey, JPMorgan Chase, Kleiner Perkins, Rizvi Traverse Management, Ronald Conway, SV Angel, The Chernin Group, The Goldman Sachs Group, Vernon Niven</t>
  </si>
  <si>
    <t>Access Technology Ventures(www.accesstechnologyventures.com), Coatue Management(www.coatue.com), Comcast Ventures(www.comcastventures.com), Ellen Pao(www.ellenkpao.com), GGV Capital(www.ggvc.com), Index Ventures (UK)(www.indexventures.com), Insight Partners(www.insightpartners.com), JPMorgan Chase(www.jpmorganchase.com), Kleiner Perkins(www.kleinerperkins.com), Rizvi Traverse Management(www.rizvitraverse.com), SV Angel(www.svangel.com), The Goldman Sachs Group(www.goldmansachs.com)</t>
  </si>
  <si>
    <t>Fenwick &amp; West(Legal Advisor), Gunderson Dettmer(Legal Advisor), Wilson Sonsini Goodrich &amp; Rosati(Legal Advisor)</t>
  </si>
  <si>
    <t>60452-65</t>
  </si>
  <si>
    <t>Flexis (Business/Productivity Software)</t>
  </si>
  <si>
    <t>Developer of a supply chain software designed to provide planning services for intelligent manufacturing. The company's supply chain software is transparent and follows a stable process in order to on-time delivery along with real-time planning and is mainly used for automotive, manufacturing and logistics sectors, enabling customers to get a sales and operations planning tools to empower themselves and manage the flow of their products from order to delivery and all points in between.</t>
  </si>
  <si>
    <t>automotive industry, business consulting software, operations planning software, supply chain planning</t>
  </si>
  <si>
    <t>www.flexis.com</t>
  </si>
  <si>
    <t>2014: 51, 2016: 51</t>
  </si>
  <si>
    <t>56906-29P</t>
  </si>
  <si>
    <t>Benno Ziller</t>
  </si>
  <si>
    <t>benno@flexis.com</t>
  </si>
  <si>
    <t>+49 (0)71 1782 3800</t>
  </si>
  <si>
    <t>Schockenriedstraße 46</t>
  </si>
  <si>
    <t>70565</t>
  </si>
  <si>
    <t>+49 (0)71 1782 3807 8</t>
  </si>
  <si>
    <t>info@flexis.de</t>
  </si>
  <si>
    <t>The company raised an undisclosed amount of venture funding from Next47 on November 9, 2012.</t>
  </si>
  <si>
    <t>121115-53</t>
  </si>
  <si>
    <t>FlexGen</t>
  </si>
  <si>
    <t>UNIPOWER IPS</t>
  </si>
  <si>
    <t>Developer of power equipment for oil &amp; gas, grid and industrial operations. The company's products integrate sophisticated software, advanced energy storage, and power conversion technologies to improve cost, reliability, quality, safety, and sustainability of electrical power systems, enabling consumers to reduce electricity costs and improve performance and reliability.</t>
  </si>
  <si>
    <t>Electrical Equipment, Energy Storage*, Other Energy Services</t>
  </si>
  <si>
    <t>CleanTech, Industrials, Oil &amp; Gas</t>
  </si>
  <si>
    <t>energy storage, hybrid drilling rigging, power conversion, power equipment, power product, solid-state generator</t>
  </si>
  <si>
    <t>www.flexgen.com</t>
  </si>
  <si>
    <t>2015: 30</t>
  </si>
  <si>
    <t>96948-46P</t>
  </si>
  <si>
    <t>Joshua Prueher</t>
  </si>
  <si>
    <t>jprueher@flexgen.com</t>
  </si>
  <si>
    <t>+1 (855) 327-5674</t>
  </si>
  <si>
    <t>10607 Haddington Drive</t>
  </si>
  <si>
    <t>77043</t>
  </si>
  <si>
    <t>info@flexgen.com</t>
  </si>
  <si>
    <t>The company raised $9.65 million of convertible debt financing from undisclosed investors on September 14, 2018. Of the total amount, $992,851 was originally raised in the form of convertible debt and subsequently converted equity.</t>
  </si>
  <si>
    <t>Altira Group, Caterpillar Ventures, GE Ventures</t>
  </si>
  <si>
    <t>Altira Group(www.altiragroup.com), GE Ventures(www.geventures.com)</t>
  </si>
  <si>
    <t>ADI Analytics(Consulting)</t>
  </si>
  <si>
    <t>96070-87</t>
  </si>
  <si>
    <t>FLENS</t>
  </si>
  <si>
    <t>Developer of an e-learning platform intended to deliver high quality, engaging and accessible education. The company's platform features interactive lessons and easy to understand content along with real-time progress tracker, enabling students to study in an easy and enjoyable manner.</t>
  </si>
  <si>
    <t>e-learning company, e-learning services, e-learning system, online learning system</t>
  </si>
  <si>
    <t>www.flens.ne.jp</t>
  </si>
  <si>
    <t>92202-58P</t>
  </si>
  <si>
    <t>Takahiro Obae</t>
  </si>
  <si>
    <t>obae@flens.ne.jp</t>
  </si>
  <si>
    <t>+81 (0)35 718 7500</t>
  </si>
  <si>
    <t>4-4-2 Ooi, Shinagawa-ku</t>
  </si>
  <si>
    <t>info@flens.ne.jp</t>
  </si>
  <si>
    <t>The company raised JPY 172 million of venture funding from undisclosed investors in July 2015.</t>
  </si>
  <si>
    <t>Jafco, Mobile Internet Capital, Recruit Strategic Partners</t>
  </si>
  <si>
    <t>Jafco(www.jafco.co.jp), Mobile Internet Capital(www.mickk.com), Recruit Strategic Partners(recruitstrategicpartners.com)</t>
  </si>
  <si>
    <t>166271-50</t>
  </si>
  <si>
    <t>Flect</t>
  </si>
  <si>
    <t>Provider of cloud integration services designed to manage vehicle management. The company provides provides real-time vehicle management service to handle data processing for the implementation in connected car and other devices, enabling clients to stay connected via cloud with drivers and manage information on vehicles to grasp vehicle inspections and expiration of licenses and discover long hours of work and unauthorized use of vehicles. It also detect dangerous driving such as sudden acceleration and over speed, leading to accident reduction.</t>
  </si>
  <si>
    <t>Industrials, Internet of Things, Mobile, SaaS, TMT</t>
  </si>
  <si>
    <t>app developer, cloud integration, cloud integration services, cloud platform, cloud-based app</t>
  </si>
  <si>
    <t>www.flect.co.jp</t>
  </si>
  <si>
    <t>2016: 56, 2018: 75</t>
  </si>
  <si>
    <t>145069-12P</t>
  </si>
  <si>
    <t>Koji Kurokawa</t>
  </si>
  <si>
    <t>koji.kurokawa@flect.co.jp</t>
  </si>
  <si>
    <t>+81 (0)35 159 2090</t>
  </si>
  <si>
    <t>13-10 Kyobashi MID Building</t>
  </si>
  <si>
    <t>Chuo - ku</t>
  </si>
  <si>
    <t>104-0331</t>
  </si>
  <si>
    <t>+81 (0)35 159 2091</t>
  </si>
  <si>
    <t>info@flect.co.jp</t>
  </si>
  <si>
    <t>The company raised JPY 500 million of Series B venture funding in a deal led by Draper Nexus on May 7, 2018. Salesforce Ventures also participated in the round. The company intends to use the funds for business growth and development of analysis report service and improve products through strengthening various functions and strengthening support system.</t>
  </si>
  <si>
    <t>111874-69</t>
  </si>
  <si>
    <t>Flashpoint (threat intelligence)</t>
  </si>
  <si>
    <t>Siemplify, Terbium Labs, Tanium, Opswat, CounterTack, ZeroFox, Axonius, Blueliv, Phantom Cyber, ThreatConnect, BitSight Technologies, Tenable, Cyberbit, iSIGHT Partners, Malwarebytes, Digital Shadows, Forcepoint, Cybereason, Bromium, EclecticIQ, Whistic, Recorded Future, Digital Guardian, LookingGlass Cyber Solutions, Soltra Solutions, Seculert, ThreatQuotient, Atonomi, Braintrace, IBM Resilient, Securonix, CrowdStrike, Infoblox, CybelAngel, Surfwatch Labs, Swimlane, Komand, Hexadite, Minerva Labs, Cylance, SentinelOne, Splunk, Carbon Black, CensorNet, Dtex Systems, Demisto, Symantec, Ayehu, FireEye, ThreatMetrix, Easy Solutions, Kaspersky Lab</t>
  </si>
  <si>
    <t>Provider of a business risk intelligence platform intended to empower intelligent decision making. The company's business risk intelligence (BRI) platform utilizes critical data from the Deep &amp; Dark Web to alert security teams when their organization, industry or stakeholders are at increased risk, providing companies, governments and consumers with meaningful, timely, relevant and actionable insights to improve their cyber and physical security.</t>
  </si>
  <si>
    <t>business risk intelligence, data collection, deep web analysis, physical security, security system, threat intelligence</t>
  </si>
  <si>
    <t>www.flashpoint-intel.com</t>
  </si>
  <si>
    <t>2015: 10, 2016: 64</t>
  </si>
  <si>
    <t>Competitor (New) Swimlane</t>
  </si>
  <si>
    <t>98348-41P</t>
  </si>
  <si>
    <t>Josh Lefkowitz</t>
  </si>
  <si>
    <t>josh@flashpoint-intel.com</t>
  </si>
  <si>
    <t>+1 (888) 468-3598</t>
  </si>
  <si>
    <t>111 East 14th Street</t>
  </si>
  <si>
    <t>Suite 284</t>
  </si>
  <si>
    <t>info@flashpoint-intel.com</t>
  </si>
  <si>
    <t>The company raised $28 million of Series C venture funding in a round led by Georgian Partners on July 12, 2017, putting the pre-money valuation at $75 million. Greycroft Partners, TechOperators, Leaders Fund, Jump Capital, Bloomberg Beta and Cisco Investments also participated in the round. This investment will allow the company to accelerate worldwide adoption of BRI (Business Risk Intelligence), coming on the heels of a successful expansion in EMEA and Asia Pacific in the first half of 2017. The funding will also support the company's recruitment of talent to support its sophisticated technology road-map.</t>
  </si>
  <si>
    <t>Bloomberg Beta, Cisco Investments, Georgian Partners, Greycroft, Jump Capital, K2 Intelligence, Leaders Fund, TechOperators</t>
  </si>
  <si>
    <t>Bloomberg Beta(www.bloombergbeta.com), Cisco Investments(www.ciscoinvestments.com), Georgian Partners(www.georgianpartners.com), Greycroft(www.greycroft.com), Jump Capital(www.jumpcap.com), K2 Intelligence(www.k2intelligence.com), Leaders Fund(www.leaders-fund.com), TechOperators(www.techoperators.com)</t>
  </si>
  <si>
    <t>52142-05</t>
  </si>
  <si>
    <t>Flash Networks</t>
  </si>
  <si>
    <t>Provider of a mobile internet technology designed to generate revenues from content, search and advertising. The company's technology reduces the number of RRC (radio resource control) state changes and concurrent radio connections, helping up to 35% more users to be served using the same network resources, enabling operators to improve RAN spectral efficiency, boost network speed, optimize video and web traffic and generate over-the-top revenues from the mobile Internet.</t>
  </si>
  <si>
    <t>Other Communications and Networking*, Other Software, Telecommunications Service Providers</t>
  </si>
  <si>
    <t>internet speed optimization, lte optimization, mobile internet, video optimization</t>
  </si>
  <si>
    <t>www.flashnetworks.com</t>
  </si>
  <si>
    <t>2003: 60, 2014: 260, 2015: 223</t>
  </si>
  <si>
    <t>66754-72P</t>
  </si>
  <si>
    <t>Ofer Gottfried</t>
  </si>
  <si>
    <t>oferg@flashnetworks.com</t>
  </si>
  <si>
    <t>+972 (0)9 958 0666</t>
  </si>
  <si>
    <t>Herzlia, Israel</t>
  </si>
  <si>
    <t>7 Sapir Road</t>
  </si>
  <si>
    <t>P.O.Box 2070</t>
  </si>
  <si>
    <t>Herzlia</t>
  </si>
  <si>
    <t>4685211</t>
  </si>
  <si>
    <t>+972 (0)9 956 4888</t>
  </si>
  <si>
    <t>info@flashnetworks.com</t>
  </si>
  <si>
    <t>Vertex Ventures Israel sold stake in the company to Smac Partners on an undisclosed date.</t>
  </si>
  <si>
    <t>Amiti Ventures, Argonaut Private Equity, Argoquest, Bell Mobility, Concord Ventures (Israel), Deutsche Telekom Capital Partners, Empeeric, Evergreen Venture Partners, Gilat Satellite Networks, Giza Venture Capital, HarbourVest Partners, Kreos Capital, Pitango Venture Capital, Smac Partners, The Challenge Fund - Etgar, T-Mobile, Verizon Ventures</t>
  </si>
  <si>
    <t>Vertex Ventures Israel</t>
  </si>
  <si>
    <t>Amiti Ventures(www.amiticapital.com), Argonaut Private Equity(www.argonautpe.com), Bell Mobility(www.bell.ca), Concord Ventures (Israel)(www.concordventures.com), Deutsche Telekom Capital Partners(www.telekom-capital.com), Empeeric(www.empeeric.com), Evergreen Venture Partners(www.evergreen.co.il), Giza Venture Capital(www.gizavc.com), HarbourVest Partners(www.harbourvest.com), Kreos Capital(www.kreoscapital.com), Pitango Venture Capital(www.pitango.com), Smac Partners(www.smacpartners.com), The Challenge Fund - Etgar(www.challenge.co.il), T-Mobile(www.t-mobile.com), Verizon Ventures(www.verizonventures.com)</t>
  </si>
  <si>
    <t>Vertex Ventures Israel(www.vertexventures.co.il)</t>
  </si>
  <si>
    <t>DBInv(Advisor: General)</t>
  </si>
  <si>
    <t>Kreos Capital(Debt Financing), Viola Credit(Debt Financing)</t>
  </si>
  <si>
    <t>52239-70</t>
  </si>
  <si>
    <t>Fixmo</t>
  </si>
  <si>
    <t>Pulse Secure, Cellrox, Bluebox, Avast Software, Hypori, MobileIron, Graphite Software, Remotium, Nubo, Good Technology</t>
  </si>
  <si>
    <t>Provider of infrastructure management software for enterprise mobile devices. The company provides enterprises with tools to manage the risk associated with mobile devices, giving customers device assurance, policy compliance and device auditing.</t>
  </si>
  <si>
    <t>device assurance, device auditing, infrastructure management, mobile enterprise, mobile infrastructure</t>
  </si>
  <si>
    <t>www.fixmo.com</t>
  </si>
  <si>
    <t>2014: 68</t>
  </si>
  <si>
    <t>60830-47P</t>
  </si>
  <si>
    <t>Joyce Janczyn</t>
  </si>
  <si>
    <t>Chief Operating Officer &amp; Partner</t>
  </si>
  <si>
    <t>joyce@fixmo.com</t>
  </si>
  <si>
    <t>15 Toronto Street</t>
  </si>
  <si>
    <t>Suite 1100</t>
  </si>
  <si>
    <t>M5C 2E3</t>
  </si>
  <si>
    <t>info@fixmo.com</t>
  </si>
  <si>
    <t>The company was acquired by Good Technology for an undisclosed amount on June 3, 2014. The company is no longer actively tracked by PitchBook.</t>
  </si>
  <si>
    <t>Good Technology</t>
  </si>
  <si>
    <t>Bryker Capital, Extreme Venture Partners, Horizons Ventures, Individual Investor, Inovia Capital, Kleiner Perkins, Motorola Solutions Venture Capital, Nihal Mehta, Paladin Capital Group, Panorama Capital, Rho Canada Ventures, Samsung Venture Investment, Sundeep Madra</t>
  </si>
  <si>
    <t>Bryker Capital(www.bryker.com), Extreme Venture Partners(www.evp.vc), Horizons Ventures(www.horizonsventures.com), Inovia Capital(www.inovia.vc), Kleiner Perkins(www.kleinerperkins.com), Paladin Capital Group(www.paladincapgroup.com), Panorama Capital(www.panoramacapital.com), Rho Canada Ventures(www.rhocanada.com), Samsung Venture Investment(www.samsungventures.com)</t>
  </si>
  <si>
    <t>Mooreland Partners(Advisor: General), Wilson Sonsini Goodrich &amp; Rosati(Legal Advisor)</t>
  </si>
  <si>
    <t>107206-48</t>
  </si>
  <si>
    <t>FITO</t>
  </si>
  <si>
    <t>Manufacturer of semiconductor equipment. The company manufactures and sells chip parts euipment, auto cut machine, auto reel changer, bar code lable atach machine and pcb loaders.</t>
  </si>
  <si>
    <t>chips parts equipment, pcb loaders, semiconductor equipment</t>
  </si>
  <si>
    <t>www.fito.co.kr</t>
  </si>
  <si>
    <t>Cheonan, South Korea</t>
  </si>
  <si>
    <t>#3, Chaam-dong</t>
  </si>
  <si>
    <t>Seobuk-gu</t>
  </si>
  <si>
    <t>Cheonan</t>
  </si>
  <si>
    <t>Chungcheongnam-do</t>
  </si>
  <si>
    <t>+82 (0)41 583 5900</t>
  </si>
  <si>
    <t>+82 (0)41 583 5902</t>
  </si>
  <si>
    <t>The company raised an undisclosed amount of venture funding from Samsung Venture Investment and Korea Development Bank in 2011.</t>
  </si>
  <si>
    <t>Korea Development Bank, Samsung Venture Investment</t>
  </si>
  <si>
    <t>233983-00</t>
  </si>
  <si>
    <t>Fisker</t>
  </si>
  <si>
    <t>Manufacturer of battery technology designed for electric cars. The company's technology equipped with an advanced autonomous driving system composed of multiple LIDAR sensors throughout the body, ultrasonic sensors and cameras with the capability of reacting quickly through the short-range and long-range radar, enabling users to get an electric locomotives shuttle for smart cities, campuses and other geo-fenced routes.</t>
  </si>
  <si>
    <t>Autonomous cars, Manufacturing</t>
  </si>
  <si>
    <t>autonomous shuttle, electric vehicle, global automotive company, luxury-car, premium luxury automobile, solid-state battery technology</t>
  </si>
  <si>
    <t>www.fiskerinc.com</t>
  </si>
  <si>
    <t>195486-22P</t>
  </si>
  <si>
    <t>Henrik Fisker</t>
  </si>
  <si>
    <t>Founder, Chairman, Chief Executive Officer &amp; Chief Financial Officer</t>
  </si>
  <si>
    <t>hfisker@fiskerinc.com</t>
  </si>
  <si>
    <t>1875 Century Park East</t>
  </si>
  <si>
    <t>Street 370</t>
  </si>
  <si>
    <t>The company raised an estimated $10 million of Series B venture funding from Caterpillar Ventures and Stage 1 Ventures on October 23, 2018, putting the company's pre-money valuation at $190 million. The funds will be used for the company's battery technology with applications in construction, energy storage, transportation and mining industries.</t>
  </si>
  <si>
    <t>Caterpillar Ventures, Hakim Unique Group, Stage 1 Ventures</t>
  </si>
  <si>
    <t>Wanxiang America</t>
  </si>
  <si>
    <t>Stage 1 Ventures(www.stage1ventures.com)</t>
  </si>
  <si>
    <t>58873-60</t>
  </si>
  <si>
    <t>FishBrain</t>
  </si>
  <si>
    <t>Anglr, Fishidy</t>
  </si>
  <si>
    <t>Provider of a social networking application designed to connect anglers to make their fishing dreams come true. The company's social networking application values responsible fishing by encouraging catch and release and the sustainable harvest of fish species, enabling anglers fishing forecasts based on real-catch data, the ability to track various species, share their experiences with friends, find new fishing spots, see what other people are catching and discover what bait is being used where.</t>
  </si>
  <si>
    <t>Application Software, Social Content, Social/Platform Software*</t>
  </si>
  <si>
    <t>anglers platform, fishing, fishing forecast, social networking application, sports fishing</t>
  </si>
  <si>
    <t>www.fishbrain.com</t>
  </si>
  <si>
    <t>2013: 4, 2014: 12, 2015: 13, 2016: 22, 2018: 30</t>
  </si>
  <si>
    <t>53492-86P</t>
  </si>
  <si>
    <t>Johan Attby</t>
  </si>
  <si>
    <t>johan@fishbrain.com</t>
  </si>
  <si>
    <t>+46 (0)70 22 50 22 7</t>
  </si>
  <si>
    <t>Jakobsbergsgatan 31</t>
  </si>
  <si>
    <t>111 44</t>
  </si>
  <si>
    <t>The company raised $13.5 million of Series B venture funding in a deal led by B Capital on March 7, 2018. SoftBank Ventures Korea, Northzone, Inbox Capital, Industrifonden and other undisclosed investors also participated in the round. The funds will be used to ramp up sales &amp; marketing, further develop the company's platform, and double its employee base from 30 to 60 by the end of the year. The round brings total funding to $28 million to date. Previously, the company raised SEK3.7 million of Series B venture funding from FJ Labs, Northzone Ventures and Industrifonden on April 13, 2017, putting the company's pre-money valuation at SEK 147 million.</t>
  </si>
  <si>
    <t>Active Venture Partners, Almi Invest, B Capital Group, Edastra Venture Capital, FJ Labs, GP Bullhound, Hans Lindroth, Henrik Torstensson, Inbox Capital, Industrifonden, Mathias Ackermand, Mattias Miksche, Northzone Ventures, Novel TMT Ventures, Recruit Strategic Partners, Rikard Steiber, Rouven Dresselhaus, Seedcamp, Slush, SoftBank Ventures Asia, Telenor Group, Umando, Voltage Ventures</t>
  </si>
  <si>
    <t>Active Venture Partners(www.active-vp.com), Almi Invest(www.almiinvest.se), B Capital Group(www.bcapgroup.com), Edastra Venture Capital(www.edastra.com), FJ Labs(www.fjlabs.com), GP Bullhound(www.gpbullhound.com), Inbox Capital(www.inboxcap.com), Industrifonden(www.industrifonden.com), Northzone Ventures(www.northzone.com), Recruit Strategic Partners(recruitstrategicpartners.com), Rikard Steiber(www.linkedin.com/in/rikardsteiber), Seedcamp(www.seedcamp.com), Slush(www.slush.org), SoftBank Ventures Asia(www.softbank.co.kr), Telenor Group(www.telenor.com), Voltage Ventures(www.voltage.g2team.pl)</t>
  </si>
  <si>
    <t>Scede.io(Advisor: General)</t>
  </si>
  <si>
    <t>44069-59</t>
  </si>
  <si>
    <t>Fishbowl</t>
  </si>
  <si>
    <t>Bridg, Belly, Adtelligence, Stellar Loyalty, Amperity, Capillary Technologies, Punchh, Manthan, Say Media, AppSmyth, Monetate, Satmetrix Systems, Medallia, AddShoppers, Movable Ink, Evergage, Vidyard, 9Lenses, Crownit, RichRelevance, LoyaltyPlant, Bridge2 Solutions, Merkle, Onestop, Swrve, AgilOne, Thanx, Rumble (Media and Information Services), AppCard, Kobie, Act-On, Mobivity Holdings, BrightTALK, Inxpo, Adstack, Pimcore, SAS Institute, SessionM, PosIQ, Pontis, Localytics, Acquia, SiteSpect, MISys, Mobikon, Paytronix Systems, Wayin, Convert, Adored, Zipscene, Moxie Software, Canadian Interactive Alliance, Cardfree, Sitecore, Verint Systems, Epsilon Data Management, TabbedOut, InMoment, Mojo New Media, Apptus Technologies, Whisbi, Umbraco, Inbox25, Calabrio, 500friends, TradeGecko, Optimizely, HelloWorld, Finastra</t>
  </si>
  <si>
    <t>Provider of a closed loop restaurant marketing SaaS platform designed to provide clients with actionable insights about guests, menus, pricing, media mix, and social media. The company's analytics platform uses industry-specific proprietary algorithms and ingests data quickly from various sources, including email, SMS, social, online ordering, loyalty programs and reservations enabling restaurants leverage data to drive predictable sales growth.</t>
  </si>
  <si>
    <t>FoodTech, Marketing Tech, Restaurant Technology, SaaS, TMT</t>
  </si>
  <si>
    <t>customer relationship management, guests insights, marketing software, online marketing platform, restaurant software</t>
  </si>
  <si>
    <t>www.fishbowl.com</t>
  </si>
  <si>
    <t>2014: 161, 2015: 199</t>
  </si>
  <si>
    <t>101580-67P</t>
  </si>
  <si>
    <t>Aaron Levine</t>
  </si>
  <si>
    <t>alevin@fishbowl.com</t>
  </si>
  <si>
    <t>+1 (703) 836-3421</t>
  </si>
  <si>
    <t>44 Canal Center Plaza</t>
  </si>
  <si>
    <t>The company was acquired by Symphony Technology Group through an LBO on January 27, 2017 for an undisclosed sum. Fishbowl will leverage the long standing expertise that Symphony Technology Group has to offer to the company. TCP Capital provided debt financing in the deal. The company also repaid its debt owed to Escalate Capital as part of the transaction.</t>
  </si>
  <si>
    <t>STG Partners</t>
  </si>
  <si>
    <t>DI Partners, Edison Partners, Escalate Capital Partners, ORIX Growth Capital, Valhalla Partners</t>
  </si>
  <si>
    <t>STG Partners(www.stgpartners.com)</t>
  </si>
  <si>
    <t>Edison Partners(www.edisonpartners.com), Escalate Capital Partners(www.escalatecapital.com), Valhalla Partners(www.valhallapartners.com)</t>
  </si>
  <si>
    <t>DLA Piper(Legal Advisor), Winterberry Group(Consulting)</t>
  </si>
  <si>
    <t>BlackRock TCP Capital(Debt Financing), Canaccord Genuity(Advisor: General), Escalate Capital Partners(Debt Financing), ORIX Growth Capital(Debt Financing), RBC Capital Markets(Placement Agent)</t>
  </si>
  <si>
    <t>52838-29</t>
  </si>
  <si>
    <t>FirstFuel Software</t>
  </si>
  <si>
    <t>iBLogix</t>
  </si>
  <si>
    <t>FirstFuel</t>
  </si>
  <si>
    <t>EnergySavvy, FogHorn, SAP, Capterra, Opower, XMpro, Epicor Software, Salesforce, Predixion, NetSuite, Infor Global Solutions, Switch Automation, Altizon, EnTouch, Relayr, SugarCRM, Ayla Networks, Onzo, Kii, SAS Institute, Exosite, Aquicore, Coupa, GridPoint, Retroficiency, Rifiniti, Powerley</t>
  </si>
  <si>
    <t>Developer of a cloud-based customer engagement platform intended for the energy industry. The company's platform uses proprietary analytics to turn complex data into actionable insight and is designed to supplement and strengthen customer engagement channels including digital/web, outbound marketing, phone-based sales and service, and live account management, helping clients improve business customer satisfaction, reduce service costs, and drive revenue growth.</t>
  </si>
  <si>
    <t>customer engagement, customer intelligence, customer intelligence platform, energy assessment platform, energy data science, energy intelligence</t>
  </si>
  <si>
    <t>www.firstfuel.com</t>
  </si>
  <si>
    <t>2011: 16, 2012: 20, 2013: 60, 2014: 58, 2015: 100, 2016: 101</t>
  </si>
  <si>
    <t>46344-79P</t>
  </si>
  <si>
    <t>John MacPhee</t>
  </si>
  <si>
    <t>jmacphee@firstfuel.com</t>
  </si>
  <si>
    <t>+1 (781) 862-6500</t>
  </si>
  <si>
    <t>Lexington, MA</t>
  </si>
  <si>
    <t>420 Bedford Street</t>
  </si>
  <si>
    <t>02420</t>
  </si>
  <si>
    <t>info@firstfuel.com</t>
  </si>
  <si>
    <t>The company received an undisclosed amount of grant funding from Massachusetts Clean Energy Center on October 15, 2015. Previously, the company raised raised $23 million of Series C venture funding in a deal led by IDInvest Partners on March 27, 2015, putting the company's pre-money valuation at $70.04 million. Next World Capital, Battery Ventures, Rockport Capital, Nth Power and E.ON Strategic Co-Investments also participated in the round.</t>
  </si>
  <si>
    <t>Battery Ventures, E.ON Strategic Co-Investments, Energy Impact Partners, Gene Zimon, Idinvest Partners, Individual Investor, Massachusetts Clean Energy Center, Next World Capital, Nth Power, RockPort Capital Partners, Vast Ventures</t>
  </si>
  <si>
    <t>Battery Ventures(www.battery.com), Energy Impact Partners(www.energyimpactpartners.com), Idinvest Partners(www.idinvest.com), Massachusetts Clean Energy Center(www.masscec.com), Next World Capital(www.nextworldcap.com), Nth Power(www.nthpower.com), RockPort Capital Partners(www.rockportcap.com), Vast Ventures(www.vastvc.com)</t>
  </si>
  <si>
    <t>Enertech Search Partners(Consulting), True Capital Partners(Advisor: General)</t>
  </si>
  <si>
    <t>53489-71</t>
  </si>
  <si>
    <t>First 30 Days</t>
  </si>
  <si>
    <t>First Thirty Days</t>
  </si>
  <si>
    <t>Publisher of content intended to provide inspiration and expert advice for bringing change in the user's life. The company is committed to helping anyone cope with a change, connecting people with others going through the same change and introducing experts and insights that help, inspiring users to find the positive in any change.</t>
  </si>
  <si>
    <t>experts advice, inspirational blog, lifestyle blog, online advice services, online consulting, tips sharing platform</t>
  </si>
  <si>
    <t>www.first30days.com</t>
  </si>
  <si>
    <t>39604-24P</t>
  </si>
  <si>
    <t>Ariane Debonvoisin</t>
  </si>
  <si>
    <t>ariane@first30days.com</t>
  </si>
  <si>
    <t>P.O. Box 115</t>
  </si>
  <si>
    <t>Village Station</t>
  </si>
  <si>
    <t>The company raised $5 million of Series A venture funding in a deal led by Hearst Ventures on February 11, 2008, putting the company's pre-money valuation at $6.17 million. Partnership for New York City, Richard Parsons and other undisclosed investors also participated in the round.</t>
  </si>
  <si>
    <t>Hearst Ventures, Individual Investor, Partnership for New York City</t>
  </si>
  <si>
    <t>Partnership for New York City(www.pfnyc.org)</t>
  </si>
  <si>
    <t>107206-39</t>
  </si>
  <si>
    <t>Fine (South Korea)</t>
  </si>
  <si>
    <t>Manufacturer of automotive washing machine and water treatment treatment equipment. The company is engaged in automotive manufacturing equipment, wastewater treatment equipment and rubber related new material business. It also offers automobile engineering washing machines for transmission lines, leak test machine and automating systems for domestic automobile companies.</t>
  </si>
  <si>
    <t>Machinery (B2B)*, Other Commercial Products</t>
  </si>
  <si>
    <t>automated systems, automotive equipment manufacturing, leak test machine</t>
  </si>
  <si>
    <t>www.fine-tec.com</t>
  </si>
  <si>
    <t>90802-18P</t>
  </si>
  <si>
    <t>Jee Sang-Jun</t>
  </si>
  <si>
    <t>Board of Director</t>
  </si>
  <si>
    <t>+82 (0)51 262 1237</t>
  </si>
  <si>
    <t>#60, Hwajeonsandan</t>
  </si>
  <si>
    <t>Ganseo-gu</t>
  </si>
  <si>
    <t>618-280</t>
  </si>
  <si>
    <t>+82 (0)51 262 1278</t>
  </si>
  <si>
    <t>fine@fine-tec.com</t>
  </si>
  <si>
    <t>The company raised venture funding from Samsung Venture Investment and IMM Investment on an undisclosed date.</t>
  </si>
  <si>
    <t>IMM Investment, Samsung Venture Investment</t>
  </si>
  <si>
    <t>IMM Investment(www.imm.co.kr), Samsung Venture Investment(www.samsungventures.com)</t>
  </si>
  <si>
    <t>62619-40</t>
  </si>
  <si>
    <t>FinancialForce</t>
  </si>
  <si>
    <t>SAP, Ramco Systems, Aptean, Infor Global Solutions, Lattice (Business/Productivity Software), Acumatica, Shoptech Software - Manufacturing Software, Kenandy, Odoo, Rootstock, Leadspace, NetSuite, Exact Software, Salesforce, Housecall Pro, Onestream Software, IQMS, ShareFile, Plex Systems, Epicor Software, Ciiva, Unit4, PearlChain.net, Zendesk, IntraLinks, Vinculum Solutions, Foursquare, Adaptive Insights, CCH Tagetik, The Ceridian (UK and Ireland unit), Global Shop Solutions, Accounting Seed, ECi Software Solutions, Anaplan, SnapTV, Tradeshift, Receipt Bank, ContaAzul, Host Analytics, Deacom, Aviso, Brightpearl, Taulia, Marketo, Homeaway Software, Citrix Systems, Reviewsnap, iCIMS, Genpact, Tidemark, Financial Transmission Network, Ceridian HCM, Microsoft Visio, FreshBooks, StudyStream Ltd, Microsoft, SAS Institute, Candis, Oracle, Box</t>
  </si>
  <si>
    <t>Developer of a cloud ERP software designed to assist organizations with new services economy. The company's software unifies data across the enterprise in real-time, enabling companies to rapidly evolve their business models with customers at the center.</t>
  </si>
  <si>
    <t>application service, cloud erp, cloud erp software, operating system, software management</t>
  </si>
  <si>
    <t>Debt Financed, Publicly Listed, Venture Capital</t>
  </si>
  <si>
    <t>www.financialforce.com</t>
  </si>
  <si>
    <t>2015: 650, 2016: 700, 2017: 650</t>
  </si>
  <si>
    <t>174461-95P</t>
  </si>
  <si>
    <t>Gordy Brooks</t>
  </si>
  <si>
    <t>gbrooks@financialforce.com</t>
  </si>
  <si>
    <t>+1 (866) 743-2220</t>
  </si>
  <si>
    <t>595 Market Street</t>
  </si>
  <si>
    <t>Suite 2700</t>
  </si>
  <si>
    <t>info@financialforce.com</t>
  </si>
  <si>
    <t>The company raised $21.2 million of mezzanine financing from Blackrock TCP Capital on March 31, 2019.</t>
  </si>
  <si>
    <t>Advent International, BlackRock TCP Capital, Salesforce Ventures, TCV, TriplePoint Venture Growth, Unit4</t>
  </si>
  <si>
    <t>Advent International(www.adventinternational.com), BlackRock TCP Capital(www.tcpcapital.com), TCV(www.tcv.com), TriplePoint Venture Growth(www.tpvg.com), Unit4(www.unit4.com)</t>
  </si>
  <si>
    <t>Gunderson Dettmer(Legal Advisor), TriplePoint Venture Growth(Debt Financing)</t>
  </si>
  <si>
    <t>BlackRock TCP Capital(Debt Financing), Gunderson Dettmer(Legal Advisor), TriplePoint Venture Growth(Debt Financing)</t>
  </si>
  <si>
    <t>98174-71</t>
  </si>
  <si>
    <t>Finalcad</t>
  </si>
  <si>
    <t>PlanGrid, StructionSite, AproPLAN, Rhumbix, Procore, Buildertrend, CoConstruct, Projectmates, Bentley Systems, Ayoga, Submittal Exchange, Sablono, EADOC, BidClerk, Pantera Global Technology, Assignar, ALICE Technologies, Aconex, Viewpoint (Construction Software), Jbknowledge, GCPay.com, Raken, Fieldwire, PTC Software, eSUB Construction Software, Icertis</t>
  </si>
  <si>
    <t>Developer of an innovative software platform intended to offer construction and site management services. The company's platform provides a mobile application, enabling architects, contractors and subcontractors to simplify their work, digitalize, standardize and collaborate all field processes in order to capitalize on best practice, keep the (as-built) digital model alive onsite and facilitate the collaboration between different stakeholders.</t>
  </si>
  <si>
    <t>Application Software, Construction and Engineering*</t>
  </si>
  <si>
    <t>Construction Technology, Industrials, Mobile, TMT</t>
  </si>
  <si>
    <t>construction analytics, construction software, construction technology, mobile construction application, predictive analytics</t>
  </si>
  <si>
    <t>www.finalcad.com</t>
  </si>
  <si>
    <t>2012: 5, 2014: 45, 2016: 70, 2018: 170</t>
  </si>
  <si>
    <t>81329-05P</t>
  </si>
  <si>
    <t>Jimmy Louchart</t>
  </si>
  <si>
    <t>jimmy@finalcad.com</t>
  </si>
  <si>
    <t>+33 (0)1 69 81 97 08</t>
  </si>
  <si>
    <t>92 avenue des</t>
  </si>
  <si>
    <t>Champs-Elysees</t>
  </si>
  <si>
    <t>75008</t>
  </si>
  <si>
    <t>The company raised EUR 35.5 million of Series C venture funding in a deal led by Draper Esprit on December 13, 2018, putting the pre-money valuation at EUR 65.06 million. Salesforce Ventures, Cathay Innovation, Serena Capital, CapHorn Invest, Cathay Capital Private Equity and Aster Capital Partners also participated in the round. The company will use the further funds to expand its operations across Europe and Asia. It will also invest in R&amp;D related to its Construction Insight Platform, and plans to hire an additional 100 people globally.</t>
  </si>
  <si>
    <t>Aster Capital, CapHorn Invest, Cathay Capital Private Equity, Cathay Innovation, Draper Esprit, Nicolas Louvet, Salesforce Ventures, Serena Capital</t>
  </si>
  <si>
    <t>Aster Capital(www.aster.com), CapHorn Invest(www.caphorninvest.com), Cathay Capital Private Equity(www.cathay.fr), Cathay Innovation(www.cathayinnovation.com), Draper Esprit(www.draperesprit.com), Serena Capital(www.serena.vc)</t>
  </si>
  <si>
    <t>De Pardieu Brocas Maffei(Legal Advisor), K&amp;L Gates(Legal Advisor)</t>
  </si>
  <si>
    <t>58693-51</t>
  </si>
  <si>
    <t>Filament (Network Management Software)</t>
  </si>
  <si>
    <t>Pinoccio</t>
  </si>
  <si>
    <t>Mesh Systems, SigFox, Wirepas</t>
  </si>
  <si>
    <t>Developer of blockchain hardware and software service platform designed to connect machines and devices. The company's platform offers a blocklet USB device application, enabling companies to securely connect devices and machines that interact and transact value independent of a central authority.</t>
  </si>
  <si>
    <t>Connectivity Products, Network Management Software*, Wireless Communications Equipment</t>
  </si>
  <si>
    <t>Advanced Manufacturing, Cryptocurrency/Blockchain, FinTech, Internet of Things, SaaS, TMT</t>
  </si>
  <si>
    <t>blockchain application, blockchain hardware and software service platform, communication equipment, connectivity product, hardware product, iot, iot device, payment and processing vertical, wireless network</t>
  </si>
  <si>
    <t>www.filament.com</t>
  </si>
  <si>
    <t>2015: 12, 2017: 15</t>
  </si>
  <si>
    <t>93842-02P</t>
  </si>
  <si>
    <t>Jeremie Miller</t>
  </si>
  <si>
    <t>jer@filament.com</t>
  </si>
  <si>
    <t>+1 (775) 434-0095</t>
  </si>
  <si>
    <t>Reno, NV</t>
  </si>
  <si>
    <t>50 South Virginia Street</t>
  </si>
  <si>
    <t>Suite 323</t>
  </si>
  <si>
    <t>Reno</t>
  </si>
  <si>
    <t>89501</t>
  </si>
  <si>
    <t>hello@filament.com</t>
  </si>
  <si>
    <t>The company raised $15 million of Series A1 venture funding from in a deal led by Verizon Ventures and Bullpen Capital on March 30, 2017, putting the company's pre-money valuation at $28 million. Backstage Capital, CME Ventures, Crosslink Capital, Digital Currency Group, Fenbushi Capital, Flex's Lab IX, Haystack, Hemisphere Ventures, Intel Capital, JetBlue Technology Ventures, R/GA Accelerator, Resonant Venture Partners, Samsung NEXT Ventures, Samsung Venture Investment, Tappan Hill Ventures, Techstars, VTF Capital and Working Lab Capital also participated in the round. The funding will be used by the company to enhance its platform with pinpoint GPS functionality, enabling a new generation of wide-area asset management solutions, grow the platform's smart contract capabilities, jumpstarting new revenue opportunities for industrial customers and build out a wider ecosystem of delivery partners, including large technology integrators, value-added resellers, and global industrial conglomerates.</t>
  </si>
  <si>
    <t>Amherst Fund, Backstage Capital, Bullpen Capital, CME Ventures, Crosslink Capital, David Cohen, Digital Currency Group, Fenbushi Capital, Flex's Lab IX, Haystack, Hemisphere Ventures, Intel Capital, Invest Detroit Ventures, JetBlue Technology Ventures, MD Pham, Pantera Capital, R/GA Accelerator, Resonant Venture Partners, Samsung Catalyst, Samsung NEXT Ventures, Samsung Venture Investment, SWSD, Tappan Hill Ventures, Techstars, Verizon Ventures, VTF Capital, Working Lab Capital, ZenStone Venture Capital</t>
  </si>
  <si>
    <t>Amherst Fund(www.amherstfund.com), Backstage Capital(www.backstagecapital.com), Bullpen Capital(www.bullpencap.com), Crosslink Capital(www.crosslinkcapital.com), David Cohen(www.davidgcohen.com), Digital Currency Group(www.dcg.co), Fenbushi Capital(www.fenbushi.vc), Flex's Lab IX(www.labix.io/expertise/startups), Haystack(haystack.vc), Hemisphere Ventures(www.hemisphere.com), Intel Capital(www.intelcapital.com), JetBlue Technology Ventures(www.jetblueventures.com), Pantera Capital(www.panteracapital.com), R/GA Accelerator(www.rgaaccelerator.com), Resonant Venture Partners(www.resonantvc.com), Samsung Catalyst(www.samsungcatalyst.com), Samsung NEXT Ventures(www.samsungnext.com), Samsung Venture Investment(www.samsungventures.com), Tappan Hill Ventures(www.tappanhillventures.com), Techstars(www.techstars.com), Verizon Ventures(www.verizonventures.com), VTF Capital(www.vtfcapital.com), Working Lab Capital(www.workinglabcapital.com), ZenStone Venture Capital(www.zenstonevc.com)</t>
  </si>
  <si>
    <t>Schox Patent Group(Intellectual Property), Sheppard Mullin Richter &amp; Hampton(Legal Advisor), Varnum(Legal Advisor)</t>
  </si>
  <si>
    <t>51704-92</t>
  </si>
  <si>
    <t>Figure Eight</t>
  </si>
  <si>
    <t>Dolores Labs, Crowd Flower</t>
  </si>
  <si>
    <t>Provider of an artificial intelligence based platform designed to generate customized training data. The company's platform automates a business process with easy-to-deploy models and integrated human-in-the-loop workflows, enabling data science teams to improve sentiment analysis, search relevance and business data classification.</t>
  </si>
  <si>
    <t>artificial intelligence, business data, business process automation, computer vision, data enrichment, natural language processing</t>
  </si>
  <si>
    <t>www.figure-eight.com</t>
  </si>
  <si>
    <t>2010: 77, 2011: 79, 2012: 75, 2013: 99, 2014: 97, 2015: 108</t>
  </si>
  <si>
    <t>36802-54P</t>
  </si>
  <si>
    <t>Lukas Biewald</t>
  </si>
  <si>
    <t>lukas.biewald@figure-eight.com</t>
  </si>
  <si>
    <t>+1 (415) 985-7125</t>
  </si>
  <si>
    <t>940 Howard Street</t>
  </si>
  <si>
    <t>help@figure-eight.com</t>
  </si>
  <si>
    <t>The company was acquired by Appen (ASX: APX) for $300 million on April 17, 2019. The company is no longer actively tracked by PitchBook.</t>
  </si>
  <si>
    <t>Appen</t>
  </si>
  <si>
    <t>Auren Hoffman, Barney Pell, Bessemer Venture Partners, Canvas Ventures, David McClure, Evolution VC Partners, Felicis Ventures, Founders Fund, Freestyle Capital, Gary Kremen, Harmony Partners, Industry Ventures, Jeff Hammerbacher, Josh Felser, K9 Ventures, M12, Promus Ventures, Quest Venture Partners, Salesforce Ventures, The Dcode Group, Timothy Ferriss, Travis Kalanick, Trinity Ventures</t>
  </si>
  <si>
    <t>Bessemer Venture Partners(www.bvp.com), Canvas Ventures(www.canvas.vc), David McClure(www.davemcclure.com), Evolution VC Partners(www.evolutionadvisorsllc.com), Felicis Ventures(www.felicis.com), Founders Fund(www.foundersfund.com), Freestyle Capital(www.freestyle.vc), Harmony Partners(www.harmonyvp.com), Industry Ventures(www.industryventures.com), K9 Ventures(www.k9ventures.com), M12(www.m12.vc), Promus Ventures(www.promusventures.com), Quest Venture Partners(www.questvp.com), The Dcode Group(www.dcode.co), Timothy Ferriss(www.timferriss.com), Trinity Ventures(www.trinityventures.com)</t>
  </si>
  <si>
    <t>Daversa Partners(Consulting), Moss Adams(Auditor)</t>
  </si>
  <si>
    <t>Gunderson Dettmer(Legal Advisor), Orrick, Herrington &amp; Sutcliffe(Legal Advisor), Silicon Legal Strategy(Legal Advisor)</t>
  </si>
  <si>
    <t>60633-82</t>
  </si>
  <si>
    <t>Figure 1</t>
  </si>
  <si>
    <t>Movable Science</t>
  </si>
  <si>
    <t>Docphin, DailyRounds, Sermo</t>
  </si>
  <si>
    <t>Developer of a knowledge-sharing platform designed to discover medical cases from every specialty. The company's platform enables healthcare professionals around the world to view, discuss and share medical cases, enabling them to learn about rare conditions, innovative treatments and teaching cases from around the world.</t>
  </si>
  <si>
    <t>knowledge sharing platform, medical images sharing, medical knowledge sharing</t>
  </si>
  <si>
    <t>www.figure1.com</t>
  </si>
  <si>
    <t>2015: 85</t>
  </si>
  <si>
    <t>57689-29P</t>
  </si>
  <si>
    <t>Gregory Levey</t>
  </si>
  <si>
    <t>glevey@figure1.com</t>
  </si>
  <si>
    <t>296 Richmond Street West</t>
  </si>
  <si>
    <t>M5V 1X2</t>
  </si>
  <si>
    <t>communications@figure1.com</t>
  </si>
  <si>
    <t>The company raised $10 million of Series B venture funding in a deal led by Kensington Capital Partners on June 13, 2017. Manulife Financial, Western Technology Investment, Hedgewood, Rho Canada Ventures, Version One Ventures, Union Square Ventures and Samsung NEXT Ventures also participated in the round. The company plans to use the funding to grow its user reach, and ramp up its monetization efforts by exploring new technologies and revenue streams, such as adding more sponsored content and premium features for an institution's employees.</t>
  </si>
  <si>
    <t>Allen &amp; Company, C100 Association, Daniel Debow, Graph Ventures, Hedgewood, Jevon MacDonald, Kensington Capital Partners, Manulife Financial, MaRS Investment Accelerator Fund, Rho Canada Ventures, Ryerson Futures, Samsung NEXT Ventures, The DMZ, Union Square Ventures, Version One Ventures, Western Technology Investment</t>
  </si>
  <si>
    <t>Allen &amp; Company(www.allenco.com), C100 Association(www.thec100.org), Graph Ventures(www.graphventures.com), Hedgewood(www.hedgewood.com), Kensington Capital Partners(www.kcpl.ca), Manulife Financial(manulife.com), MaRS Investment Accelerator Fund(www.marsiaf.com), Rho Canada Ventures(www.rhocanada.com), Ryerson Futures(www.ryersonfutures.ca), Samsung NEXT Ventures(www.samsungnext.com), The DMZ(www.dmz.ryerson.ca), Union Square Ventures(www.usv.com), Version One Ventures(www.versionone.vc), Western Technology Investment(www.westerntech.com)</t>
  </si>
  <si>
    <t>LaBarge Weinstein(Legal Advisor), Support Legal(Legal Advisor)</t>
  </si>
  <si>
    <t>166511-35</t>
  </si>
  <si>
    <t>FemtoMetrix</t>
  </si>
  <si>
    <t>Developer of optical inspection systems designed to offer harmonic series optical technology. The company's systems can identify sub-surface metallic contaminants, structural defects and other non-uniformities, enabling users to detect metrological stuff.</t>
  </si>
  <si>
    <t>Other Devices and Supplies*</t>
  </si>
  <si>
    <t>inspection system, metallic contaminants, metallic contaminants testing, nondestructive optical inspection, water testing tool</t>
  </si>
  <si>
    <t>www.femtometrix.com</t>
  </si>
  <si>
    <t>37213-66P</t>
  </si>
  <si>
    <t>Tyler Rubin</t>
  </si>
  <si>
    <t>tyler.rubin@femtometrix.com</t>
  </si>
  <si>
    <t>+1 (949) 534-2893</t>
  </si>
  <si>
    <t>2811 McGaw Avenue</t>
  </si>
  <si>
    <t>+1 (714) 242-9535</t>
  </si>
  <si>
    <t>info@femtometrix.com</t>
  </si>
  <si>
    <t>The company raised $5.32 million of Series A venture funding from Samsung Venture Investment, Center for Technology Transfer &amp; Commercialization and other undisclosed investors on August 31, 2016, putting the pre-money valuation at $15.65 million.</t>
  </si>
  <si>
    <t>Center for Technology Transfer &amp; Commercialization, Samsung Venture Investment</t>
  </si>
  <si>
    <t>Center for Technology Transfer &amp; Commercialization(www.cttc.co), Samsung Venture Investment(www.samsungventures.com)</t>
  </si>
  <si>
    <t>161268-31</t>
  </si>
  <si>
    <t>Felix &amp; Paul Studios</t>
  </si>
  <si>
    <t>TheWaveVR, Boom.tv, NextVR</t>
  </si>
  <si>
    <t>Operator of cinematic Virtual Reality (VR) studio in Quebec. The company is focused on providing 3D 360° live action VR filming and post-production services, collaborating with existing franchises and world-renowned personalities, enabling audiences to get an intimate, visceral and emotive cinematic VR experience.</t>
  </si>
  <si>
    <t>cinematic virtual reality studio, media production, post production software, virtual reality</t>
  </si>
  <si>
    <t>www.felixandpaul.com</t>
  </si>
  <si>
    <t>2016: 40, 2018: 65</t>
  </si>
  <si>
    <t>137915-83P</t>
  </si>
  <si>
    <t>Félix Lajeunesse</t>
  </si>
  <si>
    <t>Creative Director &amp; Co-Founder</t>
  </si>
  <si>
    <t>+1 (514) 331-7001</t>
  </si>
  <si>
    <t>350 Le Moyne Street</t>
  </si>
  <si>
    <t>H2Y 1Y3</t>
  </si>
  <si>
    <t>everyone@felixandpaul.com</t>
  </si>
  <si>
    <t>The company raised $6.8 million of Series A venture funding in a deal led by Comcast Ventures on June 15, 2016. Caisse de dépôt et placement du Québec, LDV Partners, OMERS Ventures, ChinaRock Capital Management and Phi Group also participated in the round. The funding will be used to expand the company's team and production capacity, enhance proprietary virtual reality cameras and post-production software suite and distribute a slate of cinematic virtual reality experiences across major VR platforms around the Globe.</t>
  </si>
  <si>
    <t>Caisse de dépôt et placement du Québec, ChinaRock Capital Management, Comcast Ventures, LDV Partners, OMERS Ventures, Phi Group</t>
  </si>
  <si>
    <t>Caisse de dépôt et placement du Québec(www.cdpq.com), ChinaRock Capital Management(www.crcm.com), Comcast Ventures(www.comcastventures.com), LDV Partners(www.ldvp.com), OMERS Ventures(www.omersventures.com), Phi Group(www.phiglobal.com)</t>
  </si>
  <si>
    <t>111782-62</t>
  </si>
  <si>
    <t>Feldan Therapeutics</t>
  </si>
  <si>
    <t>Feldan</t>
  </si>
  <si>
    <t>ScienCell Research Laboratories, InVivo Biotech Services, 3P Biopharmaceuticals, Hyglos</t>
  </si>
  <si>
    <t>Developer of a patented peptide-based technology designed to deliver therapeutic proteins and peptides. The company's technology develops recombinant proteins that include recombinant bio-pharmaceuticals and a variety of proteins such as E. coli, insect and mammalian cell-derived recombinant proteins, enabling physicians to deliver nucleases, transcription factors and antibodies inside cells.</t>
  </si>
  <si>
    <t>enzymes, hormones, recombinant antibody, recombinant antigens, recombinant protein</t>
  </si>
  <si>
    <t>www.feldan.com</t>
  </si>
  <si>
    <t>103172-23P</t>
  </si>
  <si>
    <t>Francois-Thomas Michaud</t>
  </si>
  <si>
    <t>+1 (418) 872-7277</t>
  </si>
  <si>
    <t>Quebec, Canada</t>
  </si>
  <si>
    <t>4975 Rideau Street</t>
  </si>
  <si>
    <t>G2E 5H5</t>
  </si>
  <si>
    <t>+1 (418) 872-7007</t>
  </si>
  <si>
    <t>inquiry@feldan.com</t>
  </si>
  <si>
    <t>The company received $2 million of grant funding from the National Heart, Lung, and Blood Institute (NHLBI) of the National Institutes of Health (NIH) on October 12, 2018. The funds will be used to carry out a three-year project using Feldan's technology, the Feldan Shuttle, to deliver CRISPR nucleases to airway epithelia. Prior to that, the company raised $13.8 million of Series A venture funding in a deal led by Green Cross Holdings on September 18, 2018. Asahi Kasei Corporate Venture Capital, Stonebridge Ventures, Anges Québec Capital and other undisclosed investors also participated in the round.</t>
  </si>
  <si>
    <t>Anges Québec, Anges Québec Capital, Asahi Kasei Corporate Venture Capital, Green Cross Holdings, National Institutes of Health, Stonebridge Ventures</t>
  </si>
  <si>
    <t>Anges Québec(www.angesquebec.com/en), Anges Québec Capital(www.angesquebeccapital.com), Asahi Kasei Corporate Venture Capital(www.asahikaseiventures.com), Green Cross Holdings(www.globalgreencross.com), National Institutes of Health(www.nih.gov)</t>
  </si>
  <si>
    <t>Novateur Ventures(Consulting)</t>
  </si>
  <si>
    <t>180866-89</t>
  </si>
  <si>
    <t>Fathom Systems (Bluetooth Device Locator)</t>
  </si>
  <si>
    <t>Provider of a cloud based Bluetooth Low Energy technology intended to locate the beacon accurately on the map. The company's technology specializes in providing data location, asset tracking, positioning accuracy, data integration and warehouse management, enabling users to locate, monitor and manage their Bluetooth beacons automatically.</t>
  </si>
  <si>
    <t>assets tracking system, bluetooth tracking device, data location control, location tracking system, warehouse management software</t>
  </si>
  <si>
    <t>www.fathomsys.com</t>
  </si>
  <si>
    <t>49461-22P</t>
  </si>
  <si>
    <t>Guylain Roy-MacHabée</t>
  </si>
  <si>
    <t>guylain@fathomsys.com</t>
  </si>
  <si>
    <t>+1 (604) 685-8988</t>
  </si>
  <si>
    <t>455 Granville Street</t>
  </si>
  <si>
    <t>V6C 1T1</t>
  </si>
  <si>
    <t>+1 (604) 699-6178</t>
  </si>
  <si>
    <t>info@fathomsys.com</t>
  </si>
  <si>
    <t>The company raised venture funding from TELUS Ventures, VOXX International and Discovery Capital on an undisclosed date.</t>
  </si>
  <si>
    <t>Discovery Capital, TELUS Ventures, VOXX International</t>
  </si>
  <si>
    <t>Discovery Capital(www.discoverycapital.com), TELUS Ventures(ventures.telus.com), VOXX International(www.voxxintl.com)</t>
  </si>
  <si>
    <t>111392-65</t>
  </si>
  <si>
    <t>Fatherly</t>
  </si>
  <si>
    <t>BabyTree, Connehito, BabyChakra, TinyStep</t>
  </si>
  <si>
    <t>Developer of an online parenting resource platform designed to help empower men to raise great kids and lead fulfilling lives. The Company offers original video series, reports, podcasts and events, where they share expert parenting advice, enabling men to have the resources and leadership they need to become better fathers.</t>
  </si>
  <si>
    <t>media &amp; conference production, online parenting advice, online parenting community, online parenting tools, parenting site</t>
  </si>
  <si>
    <t>www.fatherly.com</t>
  </si>
  <si>
    <t>2017: 40, 2018: 60</t>
  </si>
  <si>
    <t>97690-96P</t>
  </si>
  <si>
    <t>Michael Rothman</t>
  </si>
  <si>
    <t>mike@fatherly.com</t>
  </si>
  <si>
    <t>+1 (347) 599-1936</t>
  </si>
  <si>
    <t>394 Broadway</t>
  </si>
  <si>
    <t>hello@fatherly.com</t>
  </si>
  <si>
    <t>The company raised $1.79 million of venture funding in the form of convertible debt from undisclosed investors on March 15, 2019.</t>
  </si>
  <si>
    <t>Bertelsmann Digital Media Investments, Crosslink Capital, Gary Vaynerchuk, Great Oaks Venture Capital, Individual Investor, John S. and James L. Knight Foundation, Kevin Moore, Lerer Hippeau, Uncork Capital, UTA Ventures, Vayner/RSE, WPP</t>
  </si>
  <si>
    <t>Bertelsmann Digital Media Investments(www.bdmifund.com), Crosslink Capital(www.crosslinkcapital.com), Gary Vaynerchuk(www.garyvaynerchuk.com), Great Oaks Venture Capital(www.greatoaksvc.com), John S. and James L. Knight Foundation(www.knightfoundation.org), Lerer Hippeau(www.lererhippeau.com), Uncork Capital(www.uncorkcapital.com), UTA Ventures(ventures.unitedtalent.com), Vayner/RSE(www.vaynerrse.com), WPP(www.wpp.com)</t>
  </si>
  <si>
    <t>Nomad Financial(Consulting)</t>
  </si>
  <si>
    <t>DDI Capital(Debt Financing)</t>
  </si>
  <si>
    <t>168559-57</t>
  </si>
  <si>
    <t>Fastdata.io</t>
  </si>
  <si>
    <t>Cockroach Labs, VoltDB, Splunk, SnapLogic, Redis Labs, Fauna, Crate.io, Kx Systems, BlazingDB, Data Artisans, Matillion, MemSQL, Infochimps, Basho, Fivetran, OmniSci, MariaDB, Stitch, Hortonworks, MapR, Exasol, Alooma, SQLstream, Striim, Databricks, DataStax, Confluent, Talend, DataTorrent, Couchbase, Eventador, Socrata, ScaleBase</t>
  </si>
  <si>
    <t>Developer of a stream processing software designed to leverage real-time processing of big data in motion. The company's stream processing software is a GPU-native software to process complex algorithms against terabytes of live streaming data and accelerate stream processing up to 1,000 times faster than any CPU-based software, enabling users to reduce total real-time data processing costs and power and space requirements in the data center whether running in the public cloud or on private servers.</t>
  </si>
  <si>
    <t>Database Software, Network Management Software*</t>
  </si>
  <si>
    <t>big data processing engine, data processing software, real time stream processing, stream processing, stream processing software</t>
  </si>
  <si>
    <t>www.fastdata.io</t>
  </si>
  <si>
    <t>Competitor (New) Matillion</t>
  </si>
  <si>
    <t>151757-29P</t>
  </si>
  <si>
    <t>Shannon Smith</t>
  </si>
  <si>
    <t>shannon@fastdata.io</t>
  </si>
  <si>
    <t>+1 (888) 707-3346</t>
  </si>
  <si>
    <t>1639 11th Street</t>
  </si>
  <si>
    <t>Suite 254</t>
  </si>
  <si>
    <t>info@fastdata.io</t>
  </si>
  <si>
    <t>The company is in the process of raising $4.9 million of venture funding from undisclosed investors on April 11, 2018. Previously, the company raised $6.5 million of seed funding in a deal led by Crosscut Ventures and Pelion Venture Partners on March 27, 2018, putting the company's pre-money valuation at $8.5 million. NVIDIA GPU Ventures and Keiretsu Forum also participated in the round. The company is being actively tracked by PitchBook.</t>
  </si>
  <si>
    <t>Crosscut Ventures, Keiretsu Forum, NVIDIA GPU Ventures, Pelion Venture Partners</t>
  </si>
  <si>
    <t>Crosscut Ventures(www.crosscut.vc), Keiretsu Forum(www.keiretsuforum.com), Pelion Venture Partners(www.pelionvp.com)</t>
  </si>
  <si>
    <t>Guidehouse(Consulting)</t>
  </si>
  <si>
    <t>151200-19</t>
  </si>
  <si>
    <t>Fast Radius</t>
  </si>
  <si>
    <t>CloudDDM</t>
  </si>
  <si>
    <t>Developer of an on-demand production platform designed to offer end-use parts. The company's platform provides an integrated technology to produce end-use parts and leverage manufacturing tools, such as 3D-printing, injection molding and industrial quality control processes, enabling clients to manage the design, engineering, prototyping and production of end-use parts with digital manufacturing.</t>
  </si>
  <si>
    <t>3D Printing, Advanced Manufacturing, Manufacturing</t>
  </si>
  <si>
    <t>3d printing manufacturing, additives manufacturing, directing manufacturing, injection molding, on demand manufacturing</t>
  </si>
  <si>
    <t>www.fastradius.com</t>
  </si>
  <si>
    <t>128247-76P</t>
  </si>
  <si>
    <t>Lou Rassey</t>
  </si>
  <si>
    <t>lou.rassey@fastradius.com</t>
  </si>
  <si>
    <t>+1 (313) 319-4877</t>
  </si>
  <si>
    <t>113 North May Street</t>
  </si>
  <si>
    <t>+1 (866) 222-5458</t>
  </si>
  <si>
    <t>info@fastradius.com</t>
  </si>
  <si>
    <t>The company raised $48 million of Series B venture funding in a deal led by UPS Strategic Enterprise Fund on April 2, 2019, putting the company's pre-money valuation at $352 million. Drive Capital, Jump Capital, Hyde Park Venture Partners, and SkyDeck also participated in the round. The funds will be used to continue to scale up global manufacturing footprint as well as its software development, application engineering, and sales teams.</t>
  </si>
  <si>
    <t>Drive Capital, Engage Ventures, Hyde Park Venture Partners, Jump Capital, SkyDeck, Tech Square Venture Partners, Two Roads Group, UPS Strategic Enterprise Fund</t>
  </si>
  <si>
    <t>Drive Capital(www.drivecapital.com), Engage Ventures(www.engage.vc), Hyde Park Venture Partners(www.hydeparkvp.com), Jump Capital(www.jumpcap.com), SkyDeck(www.skydeckllc.com), Tech Square Venture Partners(www.techsquareventures.com), Two Roads Group(www.tworoadsgroup.com)</t>
  </si>
  <si>
    <t>86923-36</t>
  </si>
  <si>
    <t>FarmLead</t>
  </si>
  <si>
    <t>DTN Software Solutions, AgriCharts</t>
  </si>
  <si>
    <t>Operator a digital marketplace designed to change the way farmers sell grain. The company's marketplace increases market reach, offers 24-7 access, eliminates middlemen and over-the-phone haggling and reduces brokerage fees, providing the grain market with greater efficiency by identify the best possible deal for farmers and identify the grain for sale in desired location for buyers, enabling buyers and sellers to list, negotiate and finalize grain deals.</t>
  </si>
  <si>
    <t>Business/Productivity Software, Cultivation, Food Products*, Internet Retail</t>
  </si>
  <si>
    <t>AgTech, E-Commerce, Mobile, TMT</t>
  </si>
  <si>
    <t>agriculture app, agriculture marketplace, agtech, grain marketplace, grain trading, online grain market, online grain trading, online price negotiation</t>
  </si>
  <si>
    <t>www.farmlead.com</t>
  </si>
  <si>
    <t>2014: 2, 2015: 6, 2016: 11, 2017: 25</t>
  </si>
  <si>
    <t>148254-31P</t>
  </si>
  <si>
    <t>Brennan Turner</t>
  </si>
  <si>
    <t>b.turner@farmlead.com</t>
  </si>
  <si>
    <t>+1 (855) 332-7653</t>
  </si>
  <si>
    <t>240 Bank Street</t>
  </si>
  <si>
    <t>Unit 500</t>
  </si>
  <si>
    <t>K2P 1X4</t>
  </si>
  <si>
    <t>contact@farmlead.com</t>
  </si>
  <si>
    <t>The company raised $6.5 million of Series A venture funding in a deal led by Monsanto Growth Ventures on April 20, 2017. Avrio Capital, Serra Ventures, MaRS Investment Accelerator Fund, Service Provider Capital and Lewis &amp; Clark Ventures also participated in this round. The company intends to use the funds to expand into the U.S. market and open an office in Chicago.</t>
  </si>
  <si>
    <t>Avrio Capital, Invest Ottawa, Lewis &amp; Clark Ventures, MaRS Investment Accelerator Fund, Monsanto Growth Ventures, Serra Ventures, Service Provider Capital, Verus Animal Health Alliance</t>
  </si>
  <si>
    <t>Avrio Capital(www.avriocapital.com), Invest Ottawa(www.investottawa.ca), Lewis &amp; Clark Ventures(www.lewisandclarkventures.com), MaRS Investment Accelerator Fund(www.marsiaf.com), Serra Ventures(www.serraventures.com), Service Provider Capital(www.serviceprovidercapital.com)</t>
  </si>
  <si>
    <t>LaBarge Weinstein(Legal Advisor), Metabridge(Consulting)</t>
  </si>
  <si>
    <t>LaBarge Weinstein(Legal Advisor)</t>
  </si>
  <si>
    <t>149763-25</t>
  </si>
  <si>
    <t>Farmhouse Culture</t>
  </si>
  <si>
    <t>Olykraut</t>
  </si>
  <si>
    <t>Producer of fermented and organic probiotic rich foods &amp; beverages. The company's probiotic-rich foods and beverage line includes raw, organic, vegan and gluten-free sauerkraut, kimchis and fermented foods, enabling consumers to improve their immune system as well as protect the balance of bacteria in the gastrointestinal tract aiding in digestion and overall gut health.</t>
  </si>
  <si>
    <t>Impact Investing, LOHAS &amp; Wellness</t>
  </si>
  <si>
    <t>fermented food product, impact investing vertical, krauts and kimchi, organic food, organic sauerkraut, probiotic food</t>
  </si>
  <si>
    <t>www.farmhouseculture.com</t>
  </si>
  <si>
    <t>2015: 16, 2016: 27</t>
  </si>
  <si>
    <t>110138-14P</t>
  </si>
  <si>
    <t>John Tucker</t>
  </si>
  <si>
    <t>jtucker@farmhouseculture.com</t>
  </si>
  <si>
    <t>+1 (831) 466-0499</t>
  </si>
  <si>
    <t>Watsonville, CA</t>
  </si>
  <si>
    <t>182 Lewis Road</t>
  </si>
  <si>
    <t>Watsonville</t>
  </si>
  <si>
    <t>95076</t>
  </si>
  <si>
    <t>info@farmhouseculture.com</t>
  </si>
  <si>
    <t>The company raised $13.48 million of Series D venture funding in a deal led by 301 on January 3, 2018, putting the company's pre-money valuation at $25 million. White Road Investments, Renewal Funds, Oregon Angel Fund and other undisclosed investors also participated in the round. The funds will be used for sales, marketing efforts, refining the company's operations &amp; supply chain and the company's innovation pipeline. Previously, the company raised $2.44 million of Series C1A venture funding from White Road Investments and other undisclosed investors on June 20, 2016, putting the pre-money valuation at $18.48 million.</t>
  </si>
  <si>
    <t>301, Avrio Capital, Michael Kuntz, Oregon Venture Fund, Renewal Funds, White Road Investments</t>
  </si>
  <si>
    <t>301(www.301inc.com), Avrio Capital(www.avriocapital.com), Oregon Venture Fund(www.oregonangelfund.com), Renewal Funds(www.renewalfunds.com), White Road Investments(www.whiteroadinvestments.com)</t>
  </si>
  <si>
    <t>Farallon Law Group(Legal Advisor)</t>
  </si>
  <si>
    <t>Farallon Law Group(Legal Advisor), RSF Social Finance(Debt Financing)</t>
  </si>
  <si>
    <t>114700-51</t>
  </si>
  <si>
    <t>Farmer's Fridge</t>
  </si>
  <si>
    <t>Operator of meal vending machines intended to offer made-from-scratch nutritious meals and snacks. The company's fridges leverage proprietary IoT technology to communicate and provide real-time demand visibility based on data collected daily, providing customers with fresh chef-curated meals and snacks in seconds.</t>
  </si>
  <si>
    <t>Electronics (B2C), Food Products*</t>
  </si>
  <si>
    <t>Internet of Things, Restaurant Technology, TMT</t>
  </si>
  <si>
    <t>food service, food vending machine, fresh food, healthy food, snacks meals</t>
  </si>
  <si>
    <t>www.farmersfridge.com</t>
  </si>
  <si>
    <t>2017: 60, 2018: 130</t>
  </si>
  <si>
    <t>101972-80P</t>
  </si>
  <si>
    <t>Luke Saunders</t>
  </si>
  <si>
    <t>luke@farmersfridge.com</t>
  </si>
  <si>
    <t>2000 West Fulton Street</t>
  </si>
  <si>
    <t>Suite F-310</t>
  </si>
  <si>
    <t>info@farmersfridge.com</t>
  </si>
  <si>
    <t>The company raised $18.57 million of a targeted $25 million of venture funding in the form of convertible notes from undisclosed investors on May 23, 2019.</t>
  </si>
  <si>
    <t>Cleveland Avenue, Danone Manifesto Ventures, DNS Capital, DOM Capital Group, Finistere Ventures, GreatPoint Ventures, Hyde Park Angels, Innovation Endeavors, Maywic Select Investments, Powerplant Ventures, Spiral Sun Ventures</t>
  </si>
  <si>
    <t>Cleveland Avenue(www.clevelandavenue.com), Danone Manifesto Ventures(www.danoneventures.com), DNS Capital(www.dnscap.com), DOM Capital Group(www.domcapitalgroup.com), Finistere Ventures(www.finistere.com), GreatPoint Ventures(www.gpv.com), Hyde Park Angels(www.hydeparkangels.com), Innovation Endeavors(www.innovationendeavors.com), Maywic Select Investments(www.maywic.com), Powerplant Ventures(www.powerplantvc.com), Spiral Sun Ventures(www.spiralsunventures.com)</t>
  </si>
  <si>
    <t>DLA Piper(Legal Advisor), Wilson Sonsini Goodrich &amp; Rosati(Legal Advisor)</t>
  </si>
  <si>
    <t>182312-47</t>
  </si>
  <si>
    <t>FarePilot</t>
  </si>
  <si>
    <t>Operator of a mobile application created for cab service companies or licensed taxi driver to find high demand areas. The company's mobile application provides taxi and rides share drivers with information about demand hotspots for transport, in order to reduce traveled miles and time spent by them, it is based on an algorithm that uses real-time and historical pickup data to make it accurate, enabling companies to spend more time with customers and less time searching for them and increasing their earnings.</t>
  </si>
  <si>
    <t>passenger demand software, predictive software, taxi demand prediction, taxi needs prediction</t>
  </si>
  <si>
    <t>www.farepilot.com</t>
  </si>
  <si>
    <t>Departure (New) Eliron Ekstein, Chief Operating Officer &amp; Acting Chief Executive Officer</t>
  </si>
  <si>
    <t>7 Stratford Place</t>
  </si>
  <si>
    <t>Room 502, Marylebone</t>
  </si>
  <si>
    <t>W1C 1AY</t>
  </si>
  <si>
    <t>hello@farepilot.com</t>
  </si>
  <si>
    <t>The company raised an undisclosed amount of venture funding from BCG Digital Ventures and Shell Technology Ventures on January 10, 2017.</t>
  </si>
  <si>
    <t>BCG Digital Ventures, Shell Ventures</t>
  </si>
  <si>
    <t>BCG Digital Ventures(www.bcgdv.com)</t>
  </si>
  <si>
    <t>55541-08</t>
  </si>
  <si>
    <t>Faopen</t>
  </si>
  <si>
    <t>Provider of internet business support services intended to reduce cost in capital-intensive industries. The company's services include remote monitoring, maintenance, and control that helps business while performing market research, enabling clients to perform e-manufacturing and reduce time and cost while making production.</t>
  </si>
  <si>
    <t>Business/Productivity Software*, Internet Software</t>
  </si>
  <si>
    <t>equipment performance, floor manufacturing, network shops, remote engineering, remote monitoring</t>
  </si>
  <si>
    <t>www.faopen.jp</t>
  </si>
  <si>
    <t>68103-91P</t>
  </si>
  <si>
    <t>Minoru Fujihira</t>
  </si>
  <si>
    <t>Chief Executive Officer, President &amp; Representative Director</t>
  </si>
  <si>
    <t>fujihira@faopen.jp</t>
  </si>
  <si>
    <t>+81 (0)36 380 3928</t>
  </si>
  <si>
    <t>3rd Floor Takagi Building 1 - 7 Okubo 1 - chome</t>
  </si>
  <si>
    <t>Shinjuku-ku</t>
  </si>
  <si>
    <t>169-0072</t>
  </si>
  <si>
    <t>+81 (0)36 380 3929</t>
  </si>
  <si>
    <t>info@faopen.jp</t>
  </si>
  <si>
    <t>The company raised JPY 30 million of venture funding from SunBridge Partners, Presidio Ventures and ORIX Growth Capital on April 11, 2003.</t>
  </si>
  <si>
    <t>ORIX Growth Capital, Presidio Ventures, SunBridge Partners</t>
  </si>
  <si>
    <t>Presidio Ventures(www.presidio-ventures.com), SunBridge Partners(www.sunbridgepartners.com)</t>
  </si>
  <si>
    <t>54694-36</t>
  </si>
  <si>
    <t>Famous Industries</t>
  </si>
  <si>
    <t>Benchrank</t>
  </si>
  <si>
    <t>Famous</t>
  </si>
  <si>
    <t>Notorious</t>
  </si>
  <si>
    <t>Provider of an open-source JavaScript framework designed to empower brands to build bite-sized immersive application experiences so that their customers can view instantly from any advertisement, social or email campaign. The company's open-source JavaScript framework helps the consumers to instantly connect to the brand content they seek, reducing download friction, enabling brands to optimize their advertising campaigns and extend their connection to consumers.</t>
  </si>
  <si>
    <t>Application Software, Multimedia and Design Software, Software Development Applications*</t>
  </si>
  <si>
    <t>application space, games engine, javascript framework, javascript games engine, reduce downtime friction</t>
  </si>
  <si>
    <t>www.famous.co</t>
  </si>
  <si>
    <t>2014: 30, 2015: 25, 2016: 17</t>
  </si>
  <si>
    <t>40055-14P</t>
  </si>
  <si>
    <t>Steve Newcomb</t>
  </si>
  <si>
    <t>steve@famo.us</t>
  </si>
  <si>
    <t>+1 (415) 290-0787</t>
  </si>
  <si>
    <t>188 King Street</t>
  </si>
  <si>
    <t>PH2</t>
  </si>
  <si>
    <t>+1 (415) 319-3574</t>
  </si>
  <si>
    <t>engage@famous.co</t>
  </si>
  <si>
    <t>The company raised $0.9 million of venture funding from Insight Venture Partners and Javelin Venture Partners on an undisclosed date. Other undisclosed investors also participated in the round.</t>
  </si>
  <si>
    <t>Barney Pell, Greylock Partners, Individual Investor, Insight Partners, InterWest Partners, Javelin Venture Partners, Matthew Ocko, Naval Ravikant, Quest Venture Partners, Reid Hoffman, Roger Dickey, Samsung Venture Investment, Tuesday Capital</t>
  </si>
  <si>
    <t>Greylock Partners(www.greylock.com), Insight Partners(www.insightpartners.com), InterWest Partners(www.interwest.com), Javelin Venture Partners(www.javelinvp.com), Quest Venture Partners(www.questvp.com), Reid Hoffman(www.reidhoffman.org), Samsung Venture Investment(www.samsungventures.com), Tuesday Capital(www.tuesday.vc)</t>
  </si>
  <si>
    <t>168367-33</t>
  </si>
  <si>
    <t>Falkonry</t>
  </si>
  <si>
    <t>Predikto, NarrativeWave, Canvass, Sight Machine, Maana, Bit Stew Systems, ICONICS, TrendMiner, Uptake, Rubikloud</t>
  </si>
  <si>
    <t>Developer of an automatic pattern recognition software designed for industrial monitoring. The company's platform applies sophisticated signal processing with machine learning in an artificial intelligence platform that translates operational data into operating conditions without the need for programming or custom data science projects enabling companies to enhance productivity and ensure asset security.</t>
  </si>
  <si>
    <t>Advanced Manufacturing, Artificial Intelligence &amp; Machine Learning, Big Data, Internet of Things, TMT</t>
  </si>
  <si>
    <t>ai monitoring, artificial intelligence platform, assets monitoring, internet data extraction, internet data monitooring, it monitoring, pattern recognition, pattern recognition software</t>
  </si>
  <si>
    <t>www.falkonry.com</t>
  </si>
  <si>
    <t>150596-02P</t>
  </si>
  <si>
    <t>Nikunj Mehta</t>
  </si>
  <si>
    <t>nikunj@falkonry.com</t>
  </si>
  <si>
    <t>+91 (0)98 2055 2378</t>
  </si>
  <si>
    <t>1307 South Mary Avenue</t>
  </si>
  <si>
    <t>Suite 215</t>
  </si>
  <si>
    <t>94087</t>
  </si>
  <si>
    <t>+1 (408) 461-9286</t>
  </si>
  <si>
    <t>The company raised $4.6 million of Series A venture funding in a deal led by Presidio Ventures on June 19, 2018, putting the company's pre-money valuation at $32.5 million. Fortive, Basis Set Ventures, Zetta Venture Partners, Polaris Partners and Start Smart Labs also participated in the round. The funding will be used to support growth in its engineering and customer success organizations, in order to meet the increasing product demand and to expand the customer base. Earlier, the company raised $5.32 million of Seed funding from Zetta Venture Partners, Polaris Partners, Basis Set Ventures and Start Smart Labs on February 7, 2017, putting the company's pre-money valuation at $7.5 million. Plug and Play Tech Center and other undisclosed investors also participated in the round.</t>
  </si>
  <si>
    <t>Basis Set Ventures, Fortive, Plug and Play Tech Center, Polaris Partners, Presidio Ventures, SparkLabs, Start Smart Labs, Zetta Venture Partners</t>
  </si>
  <si>
    <t>Basis Set Ventures(www.basisset.ventures), Fortive(www.fortive.com), Plug and Play Tech Center(www.plugandplaytechcenter.com), Polaris Partners(www.polarispartners.com), Presidio Ventures(www.presidio-ventures.com), SparkLabs(www.sparklabs.co.kr), Zetta Venture Partners(www.zettavp.com)</t>
  </si>
  <si>
    <t>149617-18</t>
  </si>
  <si>
    <t>Falcon Computing Solutions</t>
  </si>
  <si>
    <t>Falcon Computing</t>
  </si>
  <si>
    <t>Provider of technology based management services intended to make cloud computing energy efficient for companies. The company's automated compilation tool, run time management tool and acceleration libraries enables companies to seamlessly integrate heterogeneous accelerating technologies into existing data center infrastructures.</t>
  </si>
  <si>
    <t>Other Commercial Services, Systems and Information Management*</t>
  </si>
  <si>
    <t>Artificial Intelligence &amp; Machine Learning, Big Data, CleanTech, TMT</t>
  </si>
  <si>
    <t>cloud computing, data center acceleration, data center management, deep learning, energy efficient cloud computing, it service, machine learning, runtime management, technology management</t>
  </si>
  <si>
    <t>www.falconcomputing.com</t>
  </si>
  <si>
    <t>81552-61P</t>
  </si>
  <si>
    <t>Jingsheng Cong</t>
  </si>
  <si>
    <t>Co-Founder, Chairman &amp; Chief Scientific Advisor</t>
  </si>
  <si>
    <t>jcong@falcon-computing.com</t>
  </si>
  <si>
    <t>+1 (310) 592-9638</t>
  </si>
  <si>
    <t>3979 Freedom Circle</t>
  </si>
  <si>
    <t>Suite 530</t>
  </si>
  <si>
    <t>info@falcon-computing.com</t>
  </si>
  <si>
    <t>The company raised $8 million of Series B funding in a deal led by Intel Capital on May 8, 2017, putting the pre-money valuation at $16 million. Baidu Ventures, Clear Ventures, SV Tech Ventures and Sierra Ventures also participated in the round. The funds will be use to continue building a team to productize its acceleration technology and build new solutions across multiple vertical markets. The company till date has raised more than $10 million in equity.</t>
  </si>
  <si>
    <t>Baidu Ventures, Clear Ventures, Intel Capital, National Science Foundation, Sierra Ventures, SV Tech Ventures</t>
  </si>
  <si>
    <t>Baidu Ventures(www.bv.ai), Clear Ventures(www.clear.ventures), Intel Capital(www.intelcapital.com), National Science Foundation(seedfund.nsf.gov), Sierra Ventures(www.sierraventures.com), SV Tech Ventures(www.svtechventures.us)</t>
  </si>
  <si>
    <t>168773-32</t>
  </si>
  <si>
    <t>Fair</t>
  </si>
  <si>
    <t>Roadster, YourMechanic, Otobots, Blinker (Other Software), Car2go</t>
  </si>
  <si>
    <t>Developer of a vehicles leasing platform intended to offer a new way to get a car that responds to consumer demand for more freedom. The company's platform allows users to select their car, miles and view their payments - all in a mobile and paperless end-to-end experience that's simple, transparent and affordable, providing users with the flexibility to drive the car they want for as long as they want and the ability to walk away any time, eliminating the long-term commitment of traditional financing or leasing.</t>
  </si>
  <si>
    <t>Automotive, Other Software*</t>
  </si>
  <si>
    <t>Car-Sharing, FinTech</t>
  </si>
  <si>
    <t>automotive platform, car leasing, car leasing platform, car leasing service, payment behavior, payments solution provider, subscription automation, vehicle leasing, vehicle leasing service</t>
  </si>
  <si>
    <t>www.fair.com</t>
  </si>
  <si>
    <t>2019: 400</t>
  </si>
  <si>
    <t>35767-54P</t>
  </si>
  <si>
    <t>Scott Painter</t>
  </si>
  <si>
    <t>scott@fair.com</t>
  </si>
  <si>
    <t>+1 (800) 584-5000</t>
  </si>
  <si>
    <t>1540 2nd Street</t>
  </si>
  <si>
    <t>+1 (833) 387-6677</t>
  </si>
  <si>
    <t>The company received $50 million of debt financing in the form of loan from Silicon Valley Bank on January 17, 2019. The financing will be used by the company to purchase car vehicles. Previously, the company raised $386 million of Series B venture funding in a deal led by SoftBank Group on December 17, 2018, putting the company's pre-money valuation at $750 million. Ergo (Germany), Expanding Capital, G Squared, CreditEase and Exponential Partners also participated in the round. The funds will be used to scale the company's consumer platform and Uber partnership globally.</t>
  </si>
  <si>
    <t>137 Ventures, 3Rodeo, Archer Venture Capital, Black River Ventures, BMW i Ventures, Charles River Ventures, Core Innovation Capital, CreditEase, Cross Culture Ventures, Ergo (Germany), Expanding Capital, Exponential Partners, FJ Labs, Foundation Capital, G Squared, Hambro Perks, Idealab, Javelin Venture Partners, Mercedes Benz, MicroVentures, Millennium Technology Value Partners, Moonshots Capital, Next47, NWS Holdings, Obvious Ventures, Penske Automotive Group, Sherpa Capital, SoftBank Group, Taurus Ventures, University Growth Fund, Upfront Ventures</t>
  </si>
  <si>
    <t>137 Ventures(www.137ventures.com), 3Rodeo(3rodeo.com), Archer Venture Capital(www.archervc.com), Black River Ventures(www.brv.vc), BMW i Ventures(www.bmwiventures.com), Charles River Ventures(www.crv.com), Core Innovation Capital(www.corevc.com), CreditEase(www.creditease.cn), Cross Culture Ventures(www.crossculturevc.com), Ergo (Germany)(www.ergo.com), Expanding Capital(www.xcap.vc), Exponential Partners(www.exponential.vc), FJ Labs(www.fjlabs.com), Foundation Capital(www.foundationcapital.com), G Squared(www.gsquared.com), Hambro Perks(www.hambroperks.com), Idealab(www.idealab.com), Javelin Venture Partners(www.javelinvp.com), Mercedes Benz(www.mercedes-benz.com), MicroVentures(www.microventures.com), Millennium Technology Value Partners(www.mtvlp.com), Moonshots Capital(www.moonshotscapital.com), Next47(Next47.com), NWS Holdings(www.nws.com.hk), Obvious Ventures(www.obvious.com), Penske Automotive Group(www.penskeautomotive.com), Sherpa Capital(www.sherpa.com), SoftBank Group(www.softbank.jp), Taurus Ventures(www.taurus.vc), University Growth Fund(www.ugrowthfund.com), Upfront Ventures(www.upfront.com)</t>
  </si>
  <si>
    <t>Credit Suisse(Debt Financing), Goldman Sachs (GSAM Credit Alternatives)(Debt Financing), Silicon Valley Bank(General Business Banking)</t>
  </si>
  <si>
    <t>Alston &amp; Bird(Legal Advisor), Sherpa Capital(D&amp;O Insurance), Silicon Valley Bank(General Business Banking)</t>
  </si>
  <si>
    <t>64306-99</t>
  </si>
  <si>
    <t>FACTON</t>
  </si>
  <si>
    <t>aPriori, IT &amp; T Information Technology &amp; Trust, Aras, DaySmart Software, PRICE Systems</t>
  </si>
  <si>
    <t>Developer of product costing software designed to help enterprises to track their cost during different phases of product life cycle. The company's product costing software helps to standardize the costing processes in various departments and locations, enabling businesses to accelerate their cost calculations, thus achieving cost accuracy and thereby securing their profitability.</t>
  </si>
  <si>
    <t>cost control, product costing, product costing software, product lifecycle, track cost</t>
  </si>
  <si>
    <t>www.facton.com</t>
  </si>
  <si>
    <t>2008: 70, 2014: 23, 2016: 51, 2018: 100</t>
  </si>
  <si>
    <t>70970-77P</t>
  </si>
  <si>
    <t>Alexander Swoboda</t>
  </si>
  <si>
    <t>alexander@facton.com</t>
  </si>
  <si>
    <t>+49 (0)35 1402 230</t>
  </si>
  <si>
    <t>Rudolf-Breitscheid-Str. 187</t>
  </si>
  <si>
    <t>+49 (0)33 1979 9240 0</t>
  </si>
  <si>
    <t>+49 (0)33 1979 9240 1</t>
  </si>
  <si>
    <t>info@facton.com</t>
  </si>
  <si>
    <t>The company raised venture funding from Hasso Plattner Ventures in 2006.</t>
  </si>
  <si>
    <t>Extorel, Hasso Plattner Ventures</t>
  </si>
  <si>
    <t>Extorel(www.extorel.de), Hasso Plattner Ventures(www.hp-ventures.com)</t>
  </si>
  <si>
    <t>CatCap(Advisor: General)</t>
  </si>
  <si>
    <t>171411-85</t>
  </si>
  <si>
    <t>Fabric8Labs</t>
  </si>
  <si>
    <t>Developer and manufacturer of non-thermal metal 3D printing process created to offer an alternative to the current powder bed fusion technologies. The company's process is based on electroplating and eliminates the need for metal powders, vacuum chambers and lasers, enabling customers to get improved part density, grain structure and surface finish at a reduced total cost of ownership.</t>
  </si>
  <si>
    <t>3d electroplating process, 3d printing process, electrochemical deposition, electroplating process, metal 3d printer, metal 3d printing, non-thermal metal 3d printer</t>
  </si>
  <si>
    <t>www.fabric8labs.com</t>
  </si>
  <si>
    <t>162768-52P</t>
  </si>
  <si>
    <t>Jeffrey Herman</t>
  </si>
  <si>
    <t>jeff.herman@fabric8labs.com</t>
  </si>
  <si>
    <t>+1 (858) 754-9641</t>
  </si>
  <si>
    <t>4250 Executive Square</t>
  </si>
  <si>
    <t>contact@fabric8labs.com</t>
  </si>
  <si>
    <t>The company raised $4.05 million of Series A venture funding in a deal led by Stanley Ventures on May 30, 2018, putting the company's pre-money valuation at $29.32 million. Mark Cuban, JLABS and imec.xpand also participated in the round.</t>
  </si>
  <si>
    <t>Asimov Ventures, CONNECT (Accelerator), EvoNexus, imec.xpand, JLABS, Mark Cuban, Stanley Ventures, Tech Coast Angels</t>
  </si>
  <si>
    <t>Asimov Ventures(www.asimovventures.com), CONNECT (Accelerator)(www.connect.org), EvoNexus(www.evonexus.org), imec.xpand(www.imecxpand.com), JLABS(www.jlabs.jnjinnovation.com), Stanley Ventures(www.stanleyventures.com), Tech Coast Angels(www.techcoastangels.com)</t>
  </si>
  <si>
    <t>56670-94</t>
  </si>
  <si>
    <t>F1 Pharma</t>
  </si>
  <si>
    <t>Provider of research and development services designed to develop pharmaceutical products. The company's research and development services offer quality control, drug release, marketing, verification of suppliers and contract manufacturers and registration of drugs, enabling clients to develop advanced medicines for their customers that are tested with practical experiments.</t>
  </si>
  <si>
    <t>Drug Discovery, Laboratory Services (Healthcare), Pharmaceuticals*</t>
  </si>
  <si>
    <t>advances medicine, drugs marketing, medicine development, quality control, registration of drugs</t>
  </si>
  <si>
    <t>www.f1pharma.pl</t>
  </si>
  <si>
    <t>48943-45P</t>
  </si>
  <si>
    <t>Miroslaw Strózik</t>
  </si>
  <si>
    <t>miroslaw.strozik@f1pharma.pl</t>
  </si>
  <si>
    <t>+48 60 274 7622</t>
  </si>
  <si>
    <t>Ul. Bobrzyńskiego 14</t>
  </si>
  <si>
    <t>The company raised venture funding from SATUS Venture and JCI Venture on an undisclosed date.</t>
  </si>
  <si>
    <t>European Commission, Innowacyjna Gosopodarka, JCI Venture, SATUS Venture</t>
  </si>
  <si>
    <t>European Commission(www.ec.europa.eu), Innowacyjna Gosopodarka(www.poig.2007-2013.gov.pl), JCI Venture(www.jciventure.pl), SATUS Venture(www.satus.pl)</t>
  </si>
  <si>
    <t>57443-95</t>
  </si>
  <si>
    <t>eZ Systems</t>
  </si>
  <si>
    <t>Sitecore, Nuxeo, Magnolia International, Lithium Technologies, Acquia, Hannon Hill, DNN, CoreMedia, Jive Software, Contentful, Contently, Certona, Alfresco Software, Bigcommerce, Umbraco, Pimcore, Business Catalyst, Salesforce, E-Spirit, Telligent Systems, Usabilla, Insite Software Solutions, Service Management Group (SMG), Jahia Solutions, Quark Software, Episerver, Skyword, Ektron, Ion Interactive, Squarespace, Kofax, TapClicks, Memsource, ResponseTek, Optimizely, Bold (Blog), Percolate, Zesty.io, QuestBack, Evergage, Corel, Medallia, Pantheon (Website Operations Platform), Crownpeak Technology, Kooomo, Elastic Path, Raven Tools, Kampyle, Adobe Systems, BrandMaker, eByline, Automattic, Tumblr</t>
  </si>
  <si>
    <t>Developer of a content management platform created to make content smarter and work simpler with beautiful technology. The company's content management platform enables developers, editors and marketers build content-rich websites and web applications to manage their content wisely and deliver rich customer experiences on the web and beyond, thus helping their business grow.</t>
  </si>
  <si>
    <t>content management platform, content management software, customer management, publishing software, web content</t>
  </si>
  <si>
    <t>www.ez.no</t>
  </si>
  <si>
    <t>2007: 85, 2016: 21, 2017: 85</t>
  </si>
  <si>
    <t>116843-86P</t>
  </si>
  <si>
    <t>Roland Benedetti</t>
  </si>
  <si>
    <t>Chief Marketing &amp; Product Officer</t>
  </si>
  <si>
    <t>roland.benedetti@ez.no</t>
  </si>
  <si>
    <t>+47 35 58 70 20</t>
  </si>
  <si>
    <t>Porsgrunn, Norway</t>
  </si>
  <si>
    <t>Porselensvegen 18</t>
  </si>
  <si>
    <t>Porsgrunn</t>
  </si>
  <si>
    <t>3920</t>
  </si>
  <si>
    <t>info@ez.no</t>
  </si>
  <si>
    <t>ABG Sundal Collier, Alexander Brühl, Dynamic Funds, Maturo Kapital, Skagerak Maturo</t>
  </si>
  <si>
    <t>Elvaston Capital Management, Hasso Plattner Ventures</t>
  </si>
  <si>
    <t>ABG Sundal Collier(www.abgsc.se), Dynamic Funds(www.dynamic.ca), Maturo Kapital(www.maturo.no), Skagerak Maturo(www.skagerakmaturo.no)</t>
  </si>
  <si>
    <t>Elvaston Capital Management(www.elvaston.com), Hasso Plattner Ventures(www.hp-ventures.com)</t>
  </si>
  <si>
    <t>Azets Insight(Auditor), KPMG(Auditor)</t>
  </si>
  <si>
    <t>Harbert Management(Debt Financing)</t>
  </si>
  <si>
    <t>234730-36</t>
  </si>
  <si>
    <t>Eyrus</t>
  </si>
  <si>
    <t>Developer of a real-time productivity tool intended to create actionable insights. The company's platform collects real-time data automatically and continuously from the site and establishes baseline workforce requirements according to the project schedule, enabling organizations to meet the deadlines on time and complete the project.</t>
  </si>
  <si>
    <t>Construction Technology</t>
  </si>
  <si>
    <t>productivity tracking, productivity tracking software, project scheduling, real time data feed, scheduling system</t>
  </si>
  <si>
    <t>www.eyrus.com</t>
  </si>
  <si>
    <t>198564-40P</t>
  </si>
  <si>
    <t>Hussein Cholkamy</t>
  </si>
  <si>
    <t>hussein@eyrus.com</t>
  </si>
  <si>
    <t>+1 (202) 367-9110</t>
  </si>
  <si>
    <t>2101 L Street North West</t>
  </si>
  <si>
    <t>20037</t>
  </si>
  <si>
    <t>knowmore@eyrus.com</t>
  </si>
  <si>
    <t>The company raised $500,000 of venture funding from K-Street Capital, Rokk3r Fuel ExO and Temerity Capital Partners on November 1, 2018. Previously, the company joined Shadow Ventures as part of the Q1 Cohort on March 23, 2018. Prior to that, the company raised $1.1 million of venture funding from Rokk3r Fuel ExO on January 1, 2018.</t>
  </si>
  <si>
    <t>K-Street Capital, Motley Fool Ventures, Rokk3r Fuel ExO, Shadow Ventures, Temerity Capital Partners</t>
  </si>
  <si>
    <t>K-Street Capital(www.kstreet.vc), Motley Fool Ventures(www.foolventures.com), Rokk3r Fuel ExO(www.rokk3rfuel.com), Shadow Ventures(www.shadow.vc), Temerity Capital Partners(www.temeritycap.com)</t>
  </si>
  <si>
    <t>57224-08</t>
  </si>
  <si>
    <t>Eyetronic</t>
  </si>
  <si>
    <t>Developer of medical stimulation system designed to help improve vision with weak current pulses. The company's medical stimulation therapy is a non-invasive and individually tailored stimulation method to improve eyesight by stimulating nerve cells by means of gentle electrical current pulses.</t>
  </si>
  <si>
    <t>Therapeutic Devices</t>
  </si>
  <si>
    <t>Other Devices and Supplies, Therapeutic Devices*</t>
  </si>
  <si>
    <t>electrical stimulation, medical stimulation, vision systems technology, vision therapy</t>
  </si>
  <si>
    <t>www.eyetronic-therapie.de</t>
  </si>
  <si>
    <t>2013: 10</t>
  </si>
  <si>
    <t>75494-98P</t>
  </si>
  <si>
    <t>Karl Schweitzer</t>
  </si>
  <si>
    <t>karl.schweitzer@ebstech.de</t>
  </si>
  <si>
    <t>+49 (0)33 2038 0471 1</t>
  </si>
  <si>
    <t>Kleinmachnow, Germany</t>
  </si>
  <si>
    <t>Heinrich-Hertz-Straße 4</t>
  </si>
  <si>
    <t>Kleinmachnow</t>
  </si>
  <si>
    <t>14532</t>
  </si>
  <si>
    <t>+49 (0)33 2038 0471 2</t>
  </si>
  <si>
    <t>info@ebstech.de</t>
  </si>
  <si>
    <t>The company received EUR 3 million of debt financing from Norgine Ventures on August 9, 2017. The funds will be used to accelerate growth, international expansion and the set-up of a US clinical trial.</t>
  </si>
  <si>
    <t>BA4V, BFB Brandenburg Kapital, BMW i Ventures, Companisto, Earlybird Venture Capital, European Regional Development Fund, High-Tech Gründerfonds, Rainer Christine, State of Brandenburg - Economic Development, Víctor Massó</t>
  </si>
  <si>
    <t>BA4V(www.ba4v.com), BFB Brandenburg Kapital(www.brandenburg-kapital.de), BMW i Ventures(www.bmwiventures.com), Companisto(www.companisto.com), Earlybird Venture Capital(www.earlybird.com), European Regional Development Fund(www.efre.brandenburg.de/cms/detail.php/bb1.c.152414.de), High-Tech Gründerfonds(www.high-tech-gruenderfonds.de)</t>
  </si>
  <si>
    <t>Norgine Ventures(Debt Financing)</t>
  </si>
  <si>
    <t>60124-33</t>
  </si>
  <si>
    <t>eyefactive</t>
  </si>
  <si>
    <t>Developer of interactive multi-touch displays intended to provide a touch technology tables and walls, displays, multiuser software and tracking technology. The company's interactive multi-touch displays provides display in spectacular formats, combined with innovative multi- user software, integrated on oversized screens and helps to control multimedia content intuitively with fingers and with multiple users at same time, enabling users to provide interactive advertising, exciting infotainment to their customers at trade fairs, events or at the point of sale.</t>
  </si>
  <si>
    <t>Application Software, Business/Productivity Software, Electronic Equipment and Instruments*</t>
  </si>
  <si>
    <t>display, multi touch, multi touch display, touch display, touch tables</t>
  </si>
  <si>
    <t>www.eyefactive.com</t>
  </si>
  <si>
    <t>56226-34P</t>
  </si>
  <si>
    <t>Johannes Ryks</t>
  </si>
  <si>
    <t>jryks@eyefactive.com</t>
  </si>
  <si>
    <t>+49 (0)41 0390 3800</t>
  </si>
  <si>
    <t>Wedel, Germany</t>
  </si>
  <si>
    <t>Feldstrasse 128</t>
  </si>
  <si>
    <t>Wedel</t>
  </si>
  <si>
    <t>22880</t>
  </si>
  <si>
    <t>+49 (0)41 0390 3809 9</t>
  </si>
  <si>
    <t>info@eyefactive.com</t>
  </si>
  <si>
    <t>The company raised an undisclosed amount of venture funding from High-Tech Gründerfonds and MBG Schleswig-Holstein on April 21, 2016. The company intends to use the funds for international growth of its app platform for professional touchscreens.</t>
  </si>
  <si>
    <t>BMW i Ventures, High-Tech Gründerfonds, Mittelstandische Beteiligungsgesellschaft Hessen</t>
  </si>
  <si>
    <t>BMW i Ventures(www.bmwiventures.com), High-Tech Gründerfonds(www.high-tech-gruenderfonds.de), Mittelstandische Beteiligungsgesellschaft Hessen(www.mbg-hessen.de/index.php/beteiligungen/beteiligungsprogramme)</t>
  </si>
  <si>
    <t>164096-20</t>
  </si>
  <si>
    <t>Experiment 7</t>
  </si>
  <si>
    <t>Provider of virtual reality games designed to reunite people with friends for a game night or meet new players online to form new friendships. The company's virtual reality games are tactically deep but easily accessible and has broad market appeal, enabling players to avail gaming experiences both independently and with their friends.</t>
  </si>
  <si>
    <t>Gaming, Mobile, TMT, Virtual Reality</t>
  </si>
  <si>
    <t>gaming, gaming software, online games, tactically deep, virtual reality games, vr games</t>
  </si>
  <si>
    <t>www.experiment7.com</t>
  </si>
  <si>
    <t>142922-71P</t>
  </si>
  <si>
    <t>Demetri Detsaridis</t>
  </si>
  <si>
    <t>Managing Director &amp; Co-Founder</t>
  </si>
  <si>
    <t>27 East 28th Street</t>
  </si>
  <si>
    <t>11016</t>
  </si>
  <si>
    <t>+1 (916) 445-1254</t>
  </si>
  <si>
    <t>info@experiment7.com</t>
  </si>
  <si>
    <t>The company raised an undisclosed amount of seed funding from Presence Capital on February 1, 2016. CAA Ventures also participated in this round.</t>
  </si>
  <si>
    <t>CAA Ventures, GFR Fund, Presence Capital</t>
  </si>
  <si>
    <t>CAA Ventures(ventures.caa.com), GFR Fund(www.gfrfund.com), Presence Capital(www.presencecap.com)</t>
  </si>
  <si>
    <t>164065-96</t>
  </si>
  <si>
    <t>Exo Imaging</t>
  </si>
  <si>
    <t>Philips, Canon, Butterfly Networks, Inc., General Electric, Siemens</t>
  </si>
  <si>
    <t>Developer of a medical technology intended to revolutionize the field of medical imaging. The company's technology offers an on-demand access to imaging for everyone, enabling physicians to treat their patients in an enhanced way.</t>
  </si>
  <si>
    <t>medical imaging, medical imaging device, medical imaging technology, medical imaging tools, stealth firm</t>
  </si>
  <si>
    <t>www.exo-imaging.com</t>
  </si>
  <si>
    <t>2017: 10, 2018: 23</t>
  </si>
  <si>
    <t>Promotion (New) Janusz Bryzek, Co-Founder, Executive Officer &amp; Board Member, Filing (New)</t>
  </si>
  <si>
    <t>142864-12P</t>
  </si>
  <si>
    <t>Janusz Bryzek</t>
  </si>
  <si>
    <t>Co-Founder, Executive Officer &amp; Board Member</t>
  </si>
  <si>
    <t>janusz@exo-imaging.com</t>
  </si>
  <si>
    <t>+1 (510) 299-3766</t>
  </si>
  <si>
    <t>240 Twin Dolphin Drive</t>
  </si>
  <si>
    <t>Suite D</t>
  </si>
  <si>
    <t>info@exo-imaging.com</t>
  </si>
  <si>
    <t>The company raised $32.43 million of venture funding from undisclosed investors on May 31, 2019.</t>
  </si>
  <si>
    <t>Applied Ventures, Black Diamond Ventures, Bold Capital Partners, Creative Ventures, Rising Tide Fund</t>
  </si>
  <si>
    <t>Black Diamond Ventures(bdventures.com), Bold Capital Partners(www.boldcapitalpartners.com), Creative Ventures(www.creativeventures.vc), Rising Tide Fund(www.rtf.vc)</t>
  </si>
  <si>
    <t>113526-46</t>
  </si>
  <si>
    <t>Exnodes</t>
  </si>
  <si>
    <t>Developer of a semiconductor inspection technology intended to focus on wafer inspection and computational parallel inspection. The company's technology helps semiconductor chips to detect, identify and analyze defects in semiconductor fabrication, enabling clients to avoid problems with chip yields in leading-edge semiconductor fabrication.</t>
  </si>
  <si>
    <t>Production (Semiconductors)*</t>
  </si>
  <si>
    <t>computational semiconductor, inspection technology, parallel inspection, semiconductor fabrication, semiconductor inspection</t>
  </si>
  <si>
    <t>www.exnodes.com</t>
  </si>
  <si>
    <t>148959-64P</t>
  </si>
  <si>
    <t>Prasanna Pavani</t>
  </si>
  <si>
    <t>pavani@exnodes.com</t>
  </si>
  <si>
    <t>41688 Christy Street</t>
  </si>
  <si>
    <t>contact@exnodes.com</t>
  </si>
  <si>
    <t>The company raised $2 million of seed funding Joseph Goodman, Samsung Venture Investment and SK Hynix on November 1, 2016. Gordon Eubanks also participated in the round. The company intends to use the funds to add expertise and personnel as well as deploy infrastructure upgrades in its Research and Development facilities.</t>
  </si>
  <si>
    <t>Gordon Eubanks, Joseph Goodman, Samsung Venture Investment, SK Hynix</t>
  </si>
  <si>
    <t>Samsung Venture Investment(www.samsungventures.com), SK Hynix(www.skhynix.com)</t>
  </si>
  <si>
    <t>51333-76</t>
  </si>
  <si>
    <t>Exent</t>
  </si>
  <si>
    <t>A.R.M.T. Multimedia &amp; Telecommunication</t>
  </si>
  <si>
    <t>Gaikai, Gaming Grids, Disco Melee</t>
  </si>
  <si>
    <t>Operator of a digital entertainment platform designed to offer games on demand. The company's digital entertainment platform markets, merchandises, distributes and monetizes mobile and PC games as well as offers premium subscription services, providing gamers with seamless gaming experience across multiple platforms.</t>
  </si>
  <si>
    <t>digital entertainment, entertainment media, gaming platform, on demand games, pc games</t>
  </si>
  <si>
    <t>www.exent.com</t>
  </si>
  <si>
    <t>2014: 79, 2016: 54</t>
  </si>
  <si>
    <t>FY 2002</t>
  </si>
  <si>
    <t>47113-93P</t>
  </si>
  <si>
    <t>Zvi Levgoren</t>
  </si>
  <si>
    <t>Co-Chief Executive Officer, Founder &amp; Board Member</t>
  </si>
  <si>
    <t>zvi@exent.com</t>
  </si>
  <si>
    <t>+972 (0)74 713 3133</t>
  </si>
  <si>
    <t>Petah Tikva, Israel</t>
  </si>
  <si>
    <t>14 Imber Street, Suite 44</t>
  </si>
  <si>
    <t>PO Box 10131</t>
  </si>
  <si>
    <t>Petah Tikva</t>
  </si>
  <si>
    <t>4951148</t>
  </si>
  <si>
    <t>+972 (0)3 924 3930</t>
  </si>
  <si>
    <t>information@exent.com</t>
  </si>
  <si>
    <t>Time Warner Investments sold its stake in the company on an undisclosed date.</t>
  </si>
  <si>
    <t>AOL, Avansis Ventures, Bezeq Israel Telecommunications, Cisco Investments, Comcast Ventures, Concord Ventures (Israel), Geyser Business Enterprise, Intel Capital, Magnum Communications, New Enterprise Associates, Singtel, Temasek Holdings</t>
  </si>
  <si>
    <t>General Atlantic, WarnerMedia Investments</t>
  </si>
  <si>
    <t>AOL(www.aol.com), Avansis Ventures(www.avansis.com), Bezeq Israel Telecommunications(www.bezeq.co.il), Cisco Investments(www.ciscoinvestments.com), Comcast Ventures(www.comcastventures.com), Concord Ventures (Israel)(www.concordventures.com), Intel Capital(www.intelcapital.com), New Enterprise Associates(www.nea.com), Temasek Holdings(www.temasek.com.sg)</t>
  </si>
  <si>
    <t>General Atlantic(www.generalatlantic.com), WarnerMedia Investments(www.timewarnerinvestments.com)</t>
  </si>
  <si>
    <t>84793-15</t>
  </si>
  <si>
    <t>Excelfore</t>
  </si>
  <si>
    <t>Cloud Logistics, E2open, Aljex Software, Anagog, SAP, Blackberry, 3Gtms, shipcloud, FarEye, One Network Enterprises, Transporeon, Konexial, Kuebix, GT Nexus, echo.it, Mandata, Secure Thingz, Karamba Security, AirWatch, Supply Vision, ByBox, Airbiquity, Integration Point, BluJay Solutions, Movimento Group, TowerSec, American Software</t>
  </si>
  <si>
    <t>Developer of cloud-based delivery software intended to secure networks for the automotive industry and the Internet of things. The company's middleware software technologies for smart mobility networks lets OEMs and suppliers implement standards-based, secure and scalable networks, both in the vehicle and in the cloud, enabling automotive OEMs to build the next generation of connected cars, smart cars and autonomous/self-driving cars, as well as the associated infrastructure for fleet-level learning.</t>
  </si>
  <si>
    <t>Artificial Intelligence &amp; Machine Learning, Autonomous cars, Internet of Things, SaaS</t>
  </si>
  <si>
    <t>connected infotainment technologies, lifecycle management, middleware software, networking software, over-the-air software delivery, software delivery platform</t>
  </si>
  <si>
    <t>www.excelfore.com</t>
  </si>
  <si>
    <t>2011: 15, 2012: 18, 2013: 18, 2014: 14, 2015: 14</t>
  </si>
  <si>
    <t>49020-85P</t>
  </si>
  <si>
    <t>Shrinath Acharya</t>
  </si>
  <si>
    <t>shrinath@excelfore.com</t>
  </si>
  <si>
    <t>+1 (510) 868-2500</t>
  </si>
  <si>
    <t>3155 Kearney Street</t>
  </si>
  <si>
    <t>info@excelfore.com</t>
  </si>
  <si>
    <t>The company raised $4 million of venture funding from Molex Ventures and Hella Ventures on August 31, 2018.</t>
  </si>
  <si>
    <t>Hella Ventures, Molex Ventures</t>
  </si>
  <si>
    <t>Hella Ventures(www.hellaventures.com), Molex Ventures(www.molexventures.com)</t>
  </si>
  <si>
    <t>151408-72</t>
  </si>
  <si>
    <t>Kaminario, Pavilion Data, Maxta, Pure Storage, Nasuni, StorPool, Violin Systems, Cleversafe, E8 Storage, ScaleIO, Elastifile, Backblaze, Tegile, StorageCraft Technology, Unitrends, Nimble Storage, Qumulo, SwiftStack, Nimbus Data, Atlantis Computing, Scality, Cohesity, Mesosphere, Pivot3, Veeam, Datera, Acronis, Alluxio, Fungible, DataCore Software, Imanis Data, Dell EMC, Lightbits Labs, PernixData, WekaIO, Vexata, ioFabric, Infrascale, Kazan Networks, Primary Data</t>
  </si>
  <si>
    <t>Provider of software-defined block storage services designed to meet performance and scalability requirements of the largest Web-scale and enterprise applications. The company's block storage services offer NVMesh, a distributed block layer that allows unmodified applications to utilize pooled NVMe storage devices across a network at local speeds and latencies, enabling customers to build distributed, high-performance Server SAN for mixed application workloads while avoiding proprietary hardware lock-in and reducing the overall storage.</t>
  </si>
  <si>
    <t>centralized storage, massive-scale simulation visualization, software defined blocks storage, storage infrastructure, web-scale application, web-scale customer deployment</t>
  </si>
  <si>
    <t>www.excelero.com</t>
  </si>
  <si>
    <t>2016: 23, 2017: 45</t>
  </si>
  <si>
    <t>125223-85P</t>
  </si>
  <si>
    <t>Lior Gal</t>
  </si>
  <si>
    <t>lior@excelero.com</t>
  </si>
  <si>
    <t>+1 (888) 668-6374</t>
  </si>
  <si>
    <t>Floor 6</t>
  </si>
  <si>
    <t>info@excelero.com</t>
  </si>
  <si>
    <t>The company raised an undisclosed amount of venture funding from Western Digital Capital on August 16, 2018. They will use the funds to accelerate its go-to-market activities worldwide. The round brings total funding to $35 million to date. Previously, the company raised $25 million of Series B venture funding in a deal led by Battery Ventures on October 31, 2017.</t>
  </si>
  <si>
    <t>Battery Ventures, David Flynn, Giora Yaron, Michael Boodaei, Micron Ventures, Qualcomm Ventures, Shlomo Kramer, Square Peg Capital, Western Digital Capital</t>
  </si>
  <si>
    <t>Battery Ventures(www.battery.com), Qualcomm Ventures(www.qualcommventures.com), Square Peg Capital(www.squarepegcap.com), Western Digital Capital(www.westerndigitalcapital.com)</t>
  </si>
  <si>
    <t>52952-68</t>
  </si>
  <si>
    <t>Exaware</t>
  </si>
  <si>
    <t>Compass Electro-Optical Systems</t>
  </si>
  <si>
    <t>Compass</t>
  </si>
  <si>
    <t>Provider of silicon photonic technologies designed to develop a terabit bandwidth platform for internet-based triple and quadruple play services. The company's silicon photonic technologies use electro-optical information transfer at the level of individual chips, enabling businesses to create innovative router architecture that consumes less power and occupies substantially less space than existing routers.</t>
  </si>
  <si>
    <t>Connectivity Products, Electronic Components*, Network Management Software</t>
  </si>
  <si>
    <t>chips developer, computer networking, photonics, silicon photonics technology, telecommunication system</t>
  </si>
  <si>
    <t>www.exaware.com</t>
  </si>
  <si>
    <t>2013: 150, 2014: 110, 2015: 121, 2016: 116</t>
  </si>
  <si>
    <t>122479-39P</t>
  </si>
  <si>
    <t>Itzik Zion</t>
  </si>
  <si>
    <t>+1 (888) 203-5815</t>
  </si>
  <si>
    <t>Netanya, Israel</t>
  </si>
  <si>
    <t>5 Hamelacha Street</t>
  </si>
  <si>
    <t>Netanya</t>
  </si>
  <si>
    <t>42505</t>
  </si>
  <si>
    <t>+972 (0)73 212 4500</t>
  </si>
  <si>
    <t>info@exaware.com</t>
  </si>
  <si>
    <t>The company raised $25 million of Series G venture funding from TriplePoint Capital, Marker and other undisclosed investors on November 15, 2014. Previously, the company raised $42 million of venture funding from North Bridge Venture Partners, Pitango Venture Capital and Benchmark Capital on November 18, 2013. Comcast Ventures, Marker, Rusnano and Cisco Investments also participated in the round.</t>
  </si>
  <si>
    <t>Benchmark (San Francisco), Cisco Investments, Comcast Ventures, Crescent Point Group, Deutsche Telekom, Deutsche Telekom Capital Partners, Marker, North Bridge Venture Partners, Pitango Venture Capital, Rusnano, TriplePoint Capital</t>
  </si>
  <si>
    <t>Benchmark (San Francisco)(www.benchmark.com), Cisco Investments(www.ciscoinvestments.com), Comcast Ventures(www.comcastventures.com), Crescent Point Group(www.cgcm.com), Deutsche Telekom(www.telekom.com), Deutsche Telekom Capital Partners(www.telekom-capital.com), Marker(www.marker-llc.com), North Bridge Venture Partners(www.northbridge.com), Pitango Venture Capital(www.pitango.com), Rusnano(www.rusnano.com), TriplePoint Capital(www.triplepointcapital.com)</t>
  </si>
  <si>
    <t>63778-96</t>
  </si>
  <si>
    <t>Exabeam</t>
  </si>
  <si>
    <t>GuardiCore, EnSilo, Endgame, Blueliv, Seculert, Niara, SentinelOne, ThreatConnect, CrowdStrike, Digital Shadows, LightCyber, McAfee, ObserveIT, Verodin, Digital Guardian, Forcepoint, Lancope, Area 1 Security, Attivo Networks, Cylance, Cymmetria, Interset, Dtex Systems, Cybereason, Sqrrl, Securonix, Illusive Networks, ZeroFox, Apvera, Cyphort, Agari, Swimlane, SecureWorks, Anomali, Rapid7, SecureAuth, Damballa, Malwarebytes, BitSight Technologies, Mocana, ThreatQuotient, Kaspersky Lab, RiskSense, RedOwl Analytics, GuruCul, CounterTack, Kenna Security, Arbor Networks, Soltra Solutions, TrapX Security, Awareness Technologies, Elevate Security, Saviynt, Arctic Wolf, Carbon Black, EclecticIQ, Zscaler, Caspida, Tanium, Fidelis Cybersecurity, Surfwatch Labs, E8 Security, Bay Dynamics, SafeBreach, LookingGlass Cyber Solutions, Panaseer, Infoblox, Demisto, ThreatBook, OneLogin, Norse, Cytegic, Haystax Technology, Click Security, Sophos, eSentire, Fortscale Security</t>
  </si>
  <si>
    <t>Provider of an analytics-led security intelligence platform designed to detect data breaches. The company's analytics-led security intelligence platform combines unlimited data collection of all sizes for threat detection, end-to-end detection and provides an automated incident response by minimizing their security blind spots, enabling organizations to effectively detect insider threats and data exfiltration with behavioural analytics.</t>
  </si>
  <si>
    <t>automated incident response, big data security analytics, big data technology, cyber threat, data breache detection, end-to-end detection, security intelligence, security intelligence platform, threat detection</t>
  </si>
  <si>
    <t>www.exabeam.com</t>
  </si>
  <si>
    <t>2015: 50, 2017: 110, 2019: 350</t>
  </si>
  <si>
    <t>69333-13P</t>
  </si>
  <si>
    <t>Nir Polak</t>
  </si>
  <si>
    <t>nir@exabeam.com</t>
  </si>
  <si>
    <t>+1 (844) 392-2326</t>
  </si>
  <si>
    <t>2 Waters Park Drive</t>
  </si>
  <si>
    <t>info@exabeam.com</t>
  </si>
  <si>
    <t>The company raised $75 million of Series E venture funding in a deal led by Lightspeed Venture Partners and Sapphire Ventures on May 7, 2019, putting the company's pre-money valuation at $745 million. Cisco Investments, 3737 North Capital, Norwest Venture Partners, Aspect Ventures, Icon Ventures and Shlomo Kramer also participated in the round. The funds will be used for expanding sales reach and to expedite new product features and configurations.</t>
  </si>
  <si>
    <t>3737 North Capital, Aspect Ventures, Cisco Investments, Icon Ventures, Lightspeed Venture Partners, Norwest Venture Partners, Sapphire Ventures, Shlomo Kramer</t>
  </si>
  <si>
    <t>3737 North Capital(www.3737north.com), Aspect Ventures(www.aspectventures.com), Cisco Investments(www.ciscoinvestments.com), Icon Ventures(www.iconventures.com), Lightspeed Venture Partners(www.lsvp.com), Norwest Venture Partners(www.nvp.com), Sapphire Ventures(www.sapphireventures.com)</t>
  </si>
  <si>
    <t>Goodwin(Legal Advisor), Intellenet Executive Search(Consulting), Launch Search Partners(Consulting)</t>
  </si>
  <si>
    <t>Cooley(Legal Advisor), Goodwin(Legal Advisor)</t>
  </si>
  <si>
    <t>55477-54</t>
  </si>
  <si>
    <t>Evrythng</t>
  </si>
  <si>
    <t>EVRYTHNG Incorporated</t>
  </si>
  <si>
    <t>Augury, FogHorn, SAP, Clearblade, Intalio, Infor Global Solutions, Afero, Losant, Ayla Networks, XMpro, Salesforce, Relayr, Kii, Altizon, Epicor Software, Iven, Talend, Exosite, Litmus Automation, Particle, Arrayent, NetSuite, WSO2, Plat.One, ThingWorx, BonitaSoft, Seluxit, StudyStream Ltd, Sansa Security, Microsoft Visio, Urchin Software</t>
  </si>
  <si>
    <t>Developer of a market leading platform intended to create profiles of physical objects on Web. The company's platform provides a suite of solutions to drive new digital applications, better control your supply chain, and engage directly with customers, enables organizations to create profiles for connected products, channels for personalized digital services and manage real-time data to drive applications.</t>
  </si>
  <si>
    <t>digital supply chain, digital supply chain management, digital supply chain platform, internet of things platform, iot platform, iot product platform</t>
  </si>
  <si>
    <t>www.evrythng.com</t>
  </si>
  <si>
    <t>2017: 58</t>
  </si>
  <si>
    <t>50670-19P</t>
  </si>
  <si>
    <t>Niall Murphy</t>
  </si>
  <si>
    <t>niall@evrythng.com</t>
  </si>
  <si>
    <t>+44 (0)78 6636 3873</t>
  </si>
  <si>
    <t>122 East Road</t>
  </si>
  <si>
    <t>Unit 4</t>
  </si>
  <si>
    <t>N1 6FB</t>
  </si>
  <si>
    <t>info@evrythng.com</t>
  </si>
  <si>
    <t>The company joined AccelerAsia on an undisclosed date. Prior to that, the company raised $24.8 million of Series B venture funding in a deal led by Sway Ventures on March 14, 2017. Cisco Investments, Samsung Venture Investment, Generation Ventures, Bloc Ventures, Advance Venture Partners, Atomico, BHLP and Dawn Capital also participated in the round. The funds will be used for expansion of their team and continued development of their enterprise-focused IoT platform.</t>
  </si>
  <si>
    <t>AccelerAsia, Advance Venture Partners, Atomico, BHLP, Bloc Ventures, Cisco Investments, David Heller, Dawn Capital, Generation Ventures, Jeffrey Burde, Plug and Play Tech Center, SAATCHiNVEST, Samsung Venture Investment, Sway Ventures, Vayner/RSE</t>
  </si>
  <si>
    <t>AccelerAsia(www.accelerasia.com), Advance Venture Partners(www.avp.vc), Atomico(www.atomico.com), Bloc Ventures(www.blocventures.com), Cisco Investments(www.ciscoinvestments.com), Dawn Capital(www.dawncapital.com), Generation Ventures(www.generationventures.com), Plug and Play Tech Center(www.plugandplaytechcenter.com), SAATCHiNVEST(www.saatchinvest.com), Samsung Venture Investment(www.samsungventures.com), Sway Ventures(www.swayvc.com), Vayner/RSE(www.vaynerrse.com)</t>
  </si>
  <si>
    <t>Needham &amp; Company(Advisor: General), Orrick, Herrington &amp; Sutcliffe(Legal Advisor)</t>
  </si>
  <si>
    <t>227156-68</t>
  </si>
  <si>
    <t>Evolve Additive Solutions</t>
  </si>
  <si>
    <t>Evolve</t>
  </si>
  <si>
    <t>Proto Labs, Xometry, MakeTime</t>
  </si>
  <si>
    <t>Developer of a technology platform created to produce products made from engineering plastics. The company's platform delivers the speed, quality, material selection and costs of injection molding, offering an alternative to traditional manufacturing, enabling companies to apply additive manufacturing to their process in order to cut down costs.</t>
  </si>
  <si>
    <t>Automation/Workflow Software*, Business/Productivity Software, Other Commercial Services</t>
  </si>
  <si>
    <t>3D Printing, Advanced Manufacturing, TMT</t>
  </si>
  <si>
    <t>3d printing, additives manufacturing, technology platform</t>
  </si>
  <si>
    <t>www.evolveadditive.com</t>
  </si>
  <si>
    <t>182604-79P</t>
  </si>
  <si>
    <t>Shane Glenn</t>
  </si>
  <si>
    <t>Chief Financial Officer &amp; Chief Strategy Officer</t>
  </si>
  <si>
    <t>shane.glenn@evolveadditive.com</t>
  </si>
  <si>
    <t>+1 (952) 314-2161</t>
  </si>
  <si>
    <t>Minnetonka, MN</t>
  </si>
  <si>
    <t>5600 Rowland Road</t>
  </si>
  <si>
    <t>Minnetonka</t>
  </si>
  <si>
    <t>55343</t>
  </si>
  <si>
    <t>info@evolveadditive.com</t>
  </si>
  <si>
    <t>The company raised $18.99 million of venture funding from Stanley Ventures and other undisclosed investors on March 4, 2019.</t>
  </si>
  <si>
    <t>42706-63</t>
  </si>
  <si>
    <t>Evernote</t>
  </si>
  <si>
    <t>Evernote LLC</t>
  </si>
  <si>
    <t>Dropbox, Touchtech, Strategic Motion, Help Scout, Kayako, TrackVia, Seclore, RealtimeBoard, Sunrise Atelier, Dizmo, Pocket, 6 Wunderkinder</t>
  </si>
  <si>
    <t>Provider of a cross-platform freemium application designed to take notes, organize and archive easily. The company's application captures information in a variety of forms, including photos, clips of webpages, audio, note and searchable handwriting, enabling users to synchronize their data on multiple devices and operating systems.</t>
  </si>
  <si>
    <t>archiving, imaging technology, information capture, searchable content, searchable information</t>
  </si>
  <si>
    <t>www.evernote.com</t>
  </si>
  <si>
    <t>2009: 25, 2010: 25, 2014: 455, 2015: 435</t>
  </si>
  <si>
    <t>35724-25P</t>
  </si>
  <si>
    <t>Ian Small</t>
  </si>
  <si>
    <t>ismall@evernote.com</t>
  </si>
  <si>
    <t>305 Walnut Street</t>
  </si>
  <si>
    <t>The company raised an undisclosed amount of angel funding in June 2018. Earlier, the company filed for Chapter 11 bankruptcy in 2018.</t>
  </si>
  <si>
    <t>AGC Equity Partners, Alexis Ohanian, Allen &amp; Company, AME Cloud Ventures, Ben Lin, China Broadband Capital Partners, Dave Morin, Docomo Innovations, Eastlink Capital, Esther Dyson, Glynn Capital, Hammerstone Capital, Harbor Pacific Capital, Hercules Capital, Hillhouse Capital Group, Individual Investor, Initialized Capital Management, Jason Calacanis, Kevin Colleran, Kortschak Investments, m8 Capital, Meritech Capital Partners, Morado Venture Partners, Morgenthaler Ventures, New Enterprise Associates, Nikkei Digital Media, Open Field Capital, Salesforce Ventures, Sequoia Capital, Sky Dayton, Slow Ventures, Surender Punia, T. Rowe Price, Troika Dialog Group, Valiant Capital Partners</t>
  </si>
  <si>
    <t>AGC Equity Partners(www.agcequitypartners.com), Alexis Ohanian(alexisohanian.com), Allen &amp; Company(www.allenco.com), AME Cloud Ventures(www.amecloudventures.com), China Broadband Capital Partners(www.cbc-capital.com), Dave Morin(www.davemorin.com), Docomo Innovations(www.docomoinnovations.com), Eastlink Capital(www.eastlinkcap.com), Glynn Capital(www.glynncapital.com), Hammerstone Capital(www.hammerstonecapital.com), Hercules Capital(www.htgc.com), Hillhouse Capital Group(www.hillhousecap.com), Initialized Capital Management(www.initialized.com), Jason Calacanis(www.calacanis.com), Kevin Colleran(facebook.com/kevin), Kortschak Investments(www.kortschak.com), m8 Capital(www.m8capital.com), Meritech Capital Partners(www.meritechcapital.com), Morado Venture Partners(www.moradoventures.com), Morgenthaler Ventures(www.morgenthaler.com), New Enterprise Associates(www.nea.com), Open Field Capital(www.ofcap.com), Sequoia Capital(www.sequoiacap.com), Sky Dayton(www.skydayton.com), Slow Ventures(www.slow.co), T. Rowe Price(www3.troweprice.com), Troika Dialog Group(www.troika.ru)</t>
  </si>
  <si>
    <t>Gentry Financial Corporation(Advisor: General), Gesmer Updegrove(Legal Advisor), Launch Search Partners(Consulting), Montfort Communications(Advisor: General), VPTax(Accounting)</t>
  </si>
  <si>
    <t>Goodwin(Legal Advisor), Hercules Capital(Debt Financing)</t>
  </si>
  <si>
    <t>265376-62</t>
  </si>
  <si>
    <t>Everest Networks</t>
  </si>
  <si>
    <t>Everest</t>
  </si>
  <si>
    <t>Developer of network devices designed to offer high-density Wi-Fi to large venues. The company's devices offers advanced RF and antenna features, that are proven performers providing short, mid and long-range coverage in high-density venues such as stadiums, arenas, convention centers and campuses, providing venue owners with network solutions that offer high user engagement, fast network throughput and low TCO.</t>
  </si>
  <si>
    <t>access point, hd wifi, high density access point, venue internet, venue network, venue wifi</t>
  </si>
  <si>
    <t>www.everestnetworks.com</t>
  </si>
  <si>
    <t>200861-92P</t>
  </si>
  <si>
    <t>Simon Wright</t>
  </si>
  <si>
    <t>swright@everestnetworks.com</t>
  </si>
  <si>
    <t>+1 (408) 300-9236</t>
  </si>
  <si>
    <t>205 Ravendale Drive</t>
  </si>
  <si>
    <t>info@everestnetworks.com</t>
  </si>
  <si>
    <t>The company raised venture funding from Panasonic Ventures on an undisclosed date.</t>
  </si>
  <si>
    <t>Panasonic Ventures</t>
  </si>
  <si>
    <t>Panasonic Ventures(www.panasonicventures.com)</t>
  </si>
  <si>
    <t>53401-42</t>
  </si>
  <si>
    <t>Evariant</t>
  </si>
  <si>
    <t>MedeAnalytics, Health Catalyst, PokitDok, hc1.com, Influence Health, CloudMine, Lightbeam Health Solutions, Cerner, Riversand, MD Insider, Sansoro Health, C-SATS, eClinicalWorks, NantHealth, MyHealthDirect, Redox, Tea Leaves Health, AdvancedMD, HealthEC, Healthware Group, NextGate, Welltok, Par8o, Phreesia, Phynd Technologies, SCI Solutions, PatientWisdom, CareCloud, BMS Practice Solutions, Doctible, Athenahealth, Modernizing Medicine, Definitive Healthcare</t>
  </si>
  <si>
    <t>Provider of SaaS-based enterprise platform designed to modernize physician alignment strategies with data analysis. The company's enterprise platform brings together robust business intelligence tools, comprehensive and current data and advanced analytics to produce attributable outcomes, enabling leading hospital networks make sense of big data and gives marketers and physician relationship teams actionable insights to drive volume and engagement.</t>
  </si>
  <si>
    <t>Business/Productivity Software, Database Software*, Enterprise Systems (Healthcare), Other Healthcare Technology Systems</t>
  </si>
  <si>
    <t>Big Data, HealthTech, Marketing Tech, SaaS, TMT</t>
  </si>
  <si>
    <t>attributable outcome, data integration, enterprise platform, health management software, healthcare analytics</t>
  </si>
  <si>
    <t>www.evariant.com</t>
  </si>
  <si>
    <t>60089-95P</t>
  </si>
  <si>
    <t>Clay Ritchey</t>
  </si>
  <si>
    <t>clay.ritchey@evariant.com</t>
  </si>
  <si>
    <t>+1 (888) 444-3598</t>
  </si>
  <si>
    <t>Farmington, CT</t>
  </si>
  <si>
    <t>308 Farmington Avenue</t>
  </si>
  <si>
    <t>Farmington</t>
  </si>
  <si>
    <t>06032</t>
  </si>
  <si>
    <t>The company raised $63.53 million of Series C venture fundingin a deal led by The Goldman Sachs Group on March 9, 2017, putting the company's pre-money valuation at $122.47 million. Health Enterprise Partners, McKesson Ventures, Salesforce Ventures, Lightspeed Venture Partners and other undisclosed investors also participated in the round. The company intends to use the funds to continue to grow operations.</t>
  </si>
  <si>
    <t>Dignity Health, Health Enterprise Partners, Lightspeed Venture Partners, McKesson Ventures, Salesforce Ventures, The Goldman Sachs Group</t>
  </si>
  <si>
    <t>Dignity Health(www.dignityhealth.org), Health Enterprise Partners(www.hepfund.com), Lightspeed Venture Partners(www.lsvp.com), McKesson Ventures(www.ventures.mckesson.com), The Goldman Sachs Group(www.goldmansachs.com)</t>
  </si>
  <si>
    <t>Cooley(Legal Advisor), Daversa Partners(Consulting)</t>
  </si>
  <si>
    <t>Cooley(Legal Advisor), NFS Leasing(Debt Financing), People's United Bank(Debt Financing), Simsbury Bank &amp; Trust(Debt Financing)</t>
  </si>
  <si>
    <t>58913-92</t>
  </si>
  <si>
    <t>Estarta Solutions</t>
  </si>
  <si>
    <t>Operator of a technology platform intended to offer end to end global outsourcing services (offshore and onsite). The company's platform offers specialized Cisco and Microsoft training in multiple disciplines for different levels delivered by certified Cisco and Microsoft trainers who are equipped with technical hands-on experience, enabling clients in dealing with capacity issues that are critical to their business needs and success.</t>
  </si>
  <si>
    <t>IT Consulting and Outsourcing*, Other IT Services, Systems and Information Management</t>
  </si>
  <si>
    <t>e-service, global outsourcing, global outsourcing services, information technology innovator, outsourcing, technology platform</t>
  </si>
  <si>
    <t>www.estartasolutions.com</t>
  </si>
  <si>
    <t>2014: 198</t>
  </si>
  <si>
    <t>147801-43P</t>
  </si>
  <si>
    <t>Mutaz Nabulsi</t>
  </si>
  <si>
    <t>+962 (0)65330751</t>
  </si>
  <si>
    <t>Amman, Jordan</t>
  </si>
  <si>
    <t>PO Box 941934</t>
  </si>
  <si>
    <t>Amman</t>
  </si>
  <si>
    <t>Jordan</t>
  </si>
  <si>
    <t>+962 (0)65330752</t>
  </si>
  <si>
    <t>Foursan Group sold its stake in the company on an undisclosed date.</t>
  </si>
  <si>
    <t>Cisco Investments, Microsoft</t>
  </si>
  <si>
    <t>Foursan Group</t>
  </si>
  <si>
    <t>Cisco Investments(www.ciscoinvestments.com), Microsoft(www.microsoft.com)</t>
  </si>
  <si>
    <t>Foursan Group(www.4san.com)</t>
  </si>
  <si>
    <t>Atlas Technology Group(Advisor: General)</t>
  </si>
  <si>
    <t>181930-42</t>
  </si>
  <si>
    <t>Essential</t>
  </si>
  <si>
    <t>Shenzhen OnePlus Science &amp; Technology, HTC, Meizu, Fairphone, SONY Slovakia, ASUS, Vizio, Crosscall</t>
  </si>
  <si>
    <t>Developer of smartphones and accessories designed to offer next generation premium android phones. The company's smartphones are crafted using titanium and ceramic, has a full display and captures images with a color and monochrome dual system camera, enabling consumers get a fully loaded smartphone at an affordable price.</t>
  </si>
  <si>
    <t>Manufacturing, Mobile, TMT</t>
  </si>
  <si>
    <t>android devices, cell phone manufacturer, home devices, smartphones developer</t>
  </si>
  <si>
    <t>www.essential.com</t>
  </si>
  <si>
    <t>2017: 80, 2018: 120</t>
  </si>
  <si>
    <t>47497-15P</t>
  </si>
  <si>
    <t>Meena Srinivasan</t>
  </si>
  <si>
    <t>+1 (650) 300-0000</t>
  </si>
  <si>
    <t>info@essential.com</t>
  </si>
  <si>
    <t>The company is in talks to be acquired for an undisclosed amount on May 25, 2018. Earlier, the company raised $300 million of Series B venture funding in a deal led by Tencent Holdings, Amazon Alexa Fund and Access Technology Ventures on October 12, 2017, putting the company's pre-money valuation at $700 million. Foxconn Technology Group, The House Fund, Top Tier Capital Partners, Playground Global, Redpoint Ventures, Vy Capital and Altimeter Capital also participated in the round. The company is being actively tracked by PitchBook.</t>
  </si>
  <si>
    <t>Access Technology Ventures, Altimeter Capital, Amazon Alexa Fund, Foxconn Technology Group, Playground Global, Redpoint Ventures, Tencent Holdings, The House Fund, Top Tier Capital Partners, Vy Capital</t>
  </si>
  <si>
    <t>Access Technology Ventures(www.accesstechnologyventures.com), Altimeter Capital(www.altimeter.com), Amazon Alexa Fund(developer.amazon.com/alexa-fund), Foxconn Technology Group(www.foxconn.com/index_En.html), Playground Global(www.playground.global), Redpoint Ventures(www.redpoint.com), Tencent Holdings(www.tencent.com), The House Fund(www.thehouse.fund), Top Tier Capital Partners(www.ttcp.com), Vy Capital(www.vycapital.com)</t>
  </si>
  <si>
    <t>Cooley(Legal Advisor), Credit Suisse(Advisor: General), O'Melveny &amp; Myers(Legal Advisor)</t>
  </si>
  <si>
    <t>226305-82</t>
  </si>
  <si>
    <t>Esperanto Technologies</t>
  </si>
  <si>
    <t>Esperanto</t>
  </si>
  <si>
    <t>Developer of an energy-efficient computing technology for Artificial Intelligence (AI) and Machine Learning applications based on the open standard RISC-V Instruction Set Architecture (ISA). The company develops high-performance, energy-efficient computing solutions based on the open standard RISC-V ISA, providing chip manufacturers and industrial players with access to powerful computer architecture.</t>
  </si>
  <si>
    <t>Other Hardware*, Software Development Applications</t>
  </si>
  <si>
    <t>Artificial Intelligence &amp; Machine Learning, Big Data, CleanTech, Digital Health, Manufacturing, TMT</t>
  </si>
  <si>
    <t>artificial reality systems, computer architecture design, computer innovation, et-minion, high performance processor</t>
  </si>
  <si>
    <t>www.esperanto.ai</t>
  </si>
  <si>
    <t>89775-55P</t>
  </si>
  <si>
    <t>Dave Ditzel</t>
  </si>
  <si>
    <t>Founder, Board Member, Chief Executive Officer &amp; President</t>
  </si>
  <si>
    <t>dave.ditzel@esperantotech.com</t>
  </si>
  <si>
    <t>info@esperanto.ai</t>
  </si>
  <si>
    <t>The company raised $58 million of Series B venture funding from Comet Labs, Fort Ross Ventures and Decent Capital on November 5, 2018, putting the company's pre-money valuation at $100.02 million. The company intends to use the funds for product development of its first generation 7nm solutions which will include more than a thousand energy efficient ET-Minion™ RISC-V cores on a single 7nm chip.</t>
  </si>
  <si>
    <t>Comet Labs, Decent Capital, Fort Ross Ventures, Western Digital Capital</t>
  </si>
  <si>
    <t>Comet Labs(www.cometlabs.io), Decent Capital(www.decentcapital.com), Fort Ross Ventures(www.fortross.vc), Western Digital Capital(www.westerndigitalcapital.com)</t>
  </si>
  <si>
    <t>11971-81</t>
  </si>
  <si>
    <t>eSilicon</t>
  </si>
  <si>
    <t>Maxim Integrated Products, Presto Engineering, GarField Microelectronics, Cavium, Fairchild Semiconductor International, Pericom Semiconductor, Microsemi, GlobalFoundries, Broadcom, Lattice Semiconductor, S3 Semiconductors, Triad Semiconductor, Linear Technology, Intersil, Achronix Semiconductor, VeriSilicon, Cypress Semiconductor, STATS ChipPAC, Monolithic Power Systems, Open-Silicon, Faraday Technology, QuickLogic, Analog Devices, Brite Semiconductor, Nordic Semiconductor, Wiliot, Dialog Semiconductor, Texas Instruments, Ambiq Micro, Lantiq Deutschland, Synopsys, Marvell International</t>
  </si>
  <si>
    <t>Provider of fabless semiconductors intended to offer ASIC design, custom IP and custom IC manufacturing solutions through a fast, flexible, lower-risk, automated path to volume production. The company's semiconductors offers chips to system original equipment manufacturers and fabless semiconductor companies that serve various markets, including the communications, computer, consumer, industrial products and medical sectors.</t>
  </si>
  <si>
    <t>fabless semiconductor, ic manufacturing, integrated circuit, oem</t>
  </si>
  <si>
    <t>www.esilicon.com</t>
  </si>
  <si>
    <t>2000: 20, 2001: 20, 2002: 75, 2003: 75, 2004: 80, 2005: 80, 2006: 92, 2007: 92, 2008: 92, 2009: 92, 2010: 92, 2014: 322</t>
  </si>
  <si>
    <t>FY 2004</t>
  </si>
  <si>
    <t>80773-12P</t>
  </si>
  <si>
    <t>Philippe Morali</t>
  </si>
  <si>
    <t>pmorali@esilicon.com</t>
  </si>
  <si>
    <t>+1 (408) 635-6300</t>
  </si>
  <si>
    <t>2130 Gold Street</t>
  </si>
  <si>
    <t>+1 (408) 635-6499</t>
  </si>
  <si>
    <t>info@esilicon.com</t>
  </si>
  <si>
    <t>The company raised $46.5 million of Series H venture funding from undisclosed investors on July 25, 2017, putting the company's pre-money valuation at $263.5 million. Previously, the company received $15 million of debt financing from Runway Growth Capital in July 2017. Prior to that the company raised $30 million of venture funding from undisclosed investors on October 28, 2016, putting the company's pre-money valuation at $215 million.</t>
  </si>
  <si>
    <t>Catamount Ventures, Cisco Investments, Crescendo Ventures, CrossBridge Venture Partners, Crosspoint Venture Partners, Fremont Ventures, Individual Investor, Industry Ventures, NIF Ventures, NTT Finance, Patricia Industries, RWI Ventures, Tarrant Venture Partners, TPG Growth</t>
  </si>
  <si>
    <t>Catamount Ventures(www.catamountventures.com), Cisco Investments(www.ciscoinvestments.com), Crescendo Ventures(www.crescendoventures.com), CrossBridge Venture Partners(www.crossbridgevp.com), Crosspoint Venture Partners(www.cpvp.com), Industry Ventures(www.industryventures.com), NIF Ventures(www.uif.co.jp), NTT Finance(www.ntt-finance.co.jp/eng), Patricia Industries(www.patriciaindustries.com), RWI Ventures(www.rwiventures.com), TPG Growth(www.tpggrowth.com)</t>
  </si>
  <si>
    <t>Fenwick &amp; West(Legal Advisor), Runway Growth Capital(Debt Financing)</t>
  </si>
  <si>
    <t>53308-00</t>
  </si>
  <si>
    <t>eSentire</t>
  </si>
  <si>
    <t>Securonix, Norse, E8 Security, Symantec, Cyberbit, Niara, McAfee, LogRhythm, SecureWorks, ThreatConnect, Arctic Wolf, Kaymera, Fidelis Cybersecurity, SentinelOne, Resolution1 Security, FireEye, Endgame, CrowdStrike</t>
  </si>
  <si>
    <t>Provider of managed detection and response (MDR) cyber-security services. The company offers MDR service that uses purpose-built technology and highly trained security analysts to detect, investigate and rapidly resolve cyber threats in the internal and cloud environments of insurance, legal, healthcare, biopharma, engineering, technology, manufacturing and government agencies before they become business-impacting events.</t>
  </si>
  <si>
    <t>Network Management Software*, Other IT Services, Systems and Information Management</t>
  </si>
  <si>
    <t>cybersecurity services, information security system, managed detection, managed detection and response, security consulting</t>
  </si>
  <si>
    <t>www.esentire.com</t>
  </si>
  <si>
    <t>2011: 41, 2017: 300, 2018: 50, 2019: 450</t>
  </si>
  <si>
    <t>39015-91P</t>
  </si>
  <si>
    <t>Al Foerster</t>
  </si>
  <si>
    <t>al.foerster@esentire.com</t>
  </si>
  <si>
    <t>+1 (519) 651-2200</t>
  </si>
  <si>
    <t>Cambridge, Canada</t>
  </si>
  <si>
    <t>278 Pinebush Road</t>
  </si>
  <si>
    <t>N1T 1Z6</t>
  </si>
  <si>
    <t>info@esentire.com</t>
  </si>
  <si>
    <t>The company received CAD 62 million of development capital from Warburg Pincus, Georgian Partners and Edison Partners on March 4, 2019. The funds will allow the company to further develop its managed detection and response technology through the application of artificial intelligence methodology for threat hunting and advanced automation.</t>
  </si>
  <si>
    <t>Edison Partners, Georgian Partners, Government of Canada, Warburg Pincus</t>
  </si>
  <si>
    <t>Cisco Investments, Information Venture Partners, Intrepid Equity Finance, Northleaf Capital Partners, Teralys Capital, VentureLink Fund</t>
  </si>
  <si>
    <t>Edison Partners(www.edisonpartners.com), Georgian Partners(www.georgianpartners.com), Government of Canada(www.canada.ca), Warburg Pincus(www.warburgpincus.com)</t>
  </si>
  <si>
    <t>Cisco Investments(www.ciscoinvestments.com), Information Venture Partners(www.informationvp.com), Intrepid Equity Finance(www.intrepidequity.com), Northleaf Capital Partners(www.northleafcapital.com), Teralys Capital(www.teralyscapital.com), VentureLink Fund(www.venturelinkfunds.com)</t>
  </si>
  <si>
    <t>Martyn Bassett Associates(Consulting), The Millard Group (Connecticut)(Consulting)</t>
  </si>
  <si>
    <t>Cooley(Legal Advisor), Evercore Group(Advisor: General), LaBarge Weinstein(Legal Advisor)</t>
  </si>
  <si>
    <t>233613-73</t>
  </si>
  <si>
    <t>ErisX</t>
  </si>
  <si>
    <t>Kraken</t>
  </si>
  <si>
    <t>Operator of a technology platform designed for trading digital asset spot and futures contracts. The company leverages its digital asset exchange and clearing house technology into reliable, compliant, and robust capital markets, intermediary friendly workflows and its futures markets operate under CFTC oversight and its spot market under the same rule book, which isn't regulated by the CFTC.</t>
  </si>
  <si>
    <t>Cryptocurrency/Blockchain, FinTech</t>
  </si>
  <si>
    <t>bitcoin trading, cryptocurrency exchange trading, digital assets space, futures contract trading, futures trading, spot trading</t>
  </si>
  <si>
    <t>www.erisx.com</t>
  </si>
  <si>
    <t>54431-20P</t>
  </si>
  <si>
    <t>Thomas Chippas</t>
  </si>
  <si>
    <t>thomas.chippas@erisx.com</t>
  </si>
  <si>
    <t>227 West Monroe Street</t>
  </si>
  <si>
    <t>Suite 2070</t>
  </si>
  <si>
    <t>info@erisx.com</t>
  </si>
  <si>
    <t>The company raised $27.5 million Series B venture funding from Bitmain, ConsenSys, Fidelity Investments, Nasdaq Ventures, Monex Group, CTC Group, Digital Currency Group, DRW Venture Capital, Pantera Capital and Valor Equity Partners on December 4, 2018. The investments will be used to hire staff and "build out our infrastructure and secure the appropriate steps are taken to develop a regulated market for digital assets. Previously, the company raised an undisclosed amount of venture funding from C2 Capital, Cboe Global Markets, CMT Digital, CTC Group, Digital Currency Group, DRW Venture Capital, ED&amp;F Man Capital Markets, NEX Opportunities, Pantera Capital, Susquehanna Growth Equity, TD Ameritrade Holding, Third Stone Partners, Valor Equity Partners, Virtu Financial, XR Trading, Vy Capital and Nico Securities on October 3, 2018.</t>
  </si>
  <si>
    <t>Bitmain, C2 Capital, Cboe Global Markets, CMT Digital, ConsenSys Ventures, CTC Group, Digital Currency Group, DRW Venture Capital, ED&amp;F Man Capital Markets, Fidelity Investments, Monex Group, Nasdaq Ventures, NEX Opportunities, Nico Securities, Pantera Capital, Susquehanna Growth Equity, TD Ameritrade, Third Stone Partners, Valor Equity Partners, Virtu Financial, Vy Capital, XR Trading</t>
  </si>
  <si>
    <t>Bitmain(www.bitmain.com), C2 Capital(www.c-2capital.com), CMT Digital(CMT.digital), ConsenSys Ventures(www.consensys.vc), Digital Currency Group(www.dcg.co), DRW Venture Capital(www.drwvc.com), ED&amp;F Man Capital Markets(www.edfmancapital.com), Fidelity Investments(www.fidelity.com), Monex Group(www.monexgroup.jp), NEX Opportunities(www.nexopportunities.com), Pantera Capital(www.panteracapital.com), Susquehanna Growth Equity(www.sgep.com), TD Ameritrade(www.amtd.com), Third Stone Partners(www.thirdstonepartners.com), Valor Equity Partners(www.valorep.com), Virtu Financial(www.virtu.com), Vy Capital(www.vycapital.com), XR Trading(www.xrtrading.com)</t>
  </si>
  <si>
    <t>56408-32</t>
  </si>
  <si>
    <t>Enventure (Oil and Gas Equipment)</t>
  </si>
  <si>
    <t>Provider of solid expandable technology designed to to support their drilling, completions and production objectives of oil and gas industry. The company's solid expandable technology mitigates the risk in drilling applications, increase production, provide slimmer well profiles, extend the reach of exploratory wells and remediate entire fields, enabling oil and gas exploration and production companies to extract the most value from their wells at each stage of the well's life.</t>
  </si>
  <si>
    <t>Oil and Gas Equipment*, Other Energy</t>
  </si>
  <si>
    <t>drilling equipment, drilling technology, expandable tubular, solid technology</t>
  </si>
  <si>
    <t>www.enventuregt.com</t>
  </si>
  <si>
    <t>2014: 160, 2016: 145</t>
  </si>
  <si>
    <t>47999-89P</t>
  </si>
  <si>
    <t>Alastair McClean</t>
  </si>
  <si>
    <t>amcclean@enventuregt.com</t>
  </si>
  <si>
    <t>+1 (281) 552-2200</t>
  </si>
  <si>
    <t>15995 North Barkers Landing</t>
  </si>
  <si>
    <t>77079</t>
  </si>
  <si>
    <t>+1 (281) 552-2201</t>
  </si>
  <si>
    <t>need.info@enventuregt.com</t>
  </si>
  <si>
    <t>The company raised venture funding from Kenda Capital on an undisclosed date.</t>
  </si>
  <si>
    <t>Halliburton, Kenda Capital, Shell Ventures</t>
  </si>
  <si>
    <t>Kenda Capital(www.kendacapital.com)</t>
  </si>
  <si>
    <t>The Belanger Valuation Group(Valuation/Appraiser)</t>
  </si>
  <si>
    <t>169289-11</t>
  </si>
  <si>
    <t>EntryPoint</t>
  </si>
  <si>
    <t>Blippar, Immersv, Wevr, Augment (Multimedia and Design Software), NextVR, Vuforia, Vrideo, Nurulize, YouTube</t>
  </si>
  <si>
    <t>Provider of cross-platform designed to offer distribution and analytics for virtual reality content. The company's platform offers 360 video web player, enabling creative agencies, publishers and brands to add interactive elements to their videos, animations and live-streams and then publish them via a URL which is accessible on all hardware and then analyse the content.</t>
  </si>
  <si>
    <t>content analysis, crosses platform, virtual reality, virtual reality content</t>
  </si>
  <si>
    <t>www.entrypointvr.com</t>
  </si>
  <si>
    <t>2016: 2, 2017: 8</t>
  </si>
  <si>
    <t>101 Avenue of the Americas</t>
  </si>
  <si>
    <t>The company raised $2 million of seed funding in a deal led by Samsung NEXT Ventures and Two Sigma Ventures on January 27, 2017, putting the company's pre-money valuation at $6 million. MDC Ventures, Upslope Ventures, Female Founders Fund, Virtual Reality Investments, Indicator Ventures, Social Starts, CourtsideVC and Karen Karniol-Tambour also participated in the round. The company will use the funds to bring its technology to the market.</t>
  </si>
  <si>
    <t>CourtsideVC, Female Founders Fund, Indicator Ventures, Karen Karniol-Tambour, MDC Ventures, Samsung NEXT Ventures, Social Starts, Two Sigma Ventures, Upslope Ventures, Virtual Reality Investments</t>
  </si>
  <si>
    <t>CourtsideVC(www.courtsidevc.com), Female Founders Fund(www.femalefoundersfund.com), Indicator Ventures(www.indicatorventures.com), MDC Ventures(www.mdcventures.vc), Samsung NEXT Ventures(www.samsungnext.com), Social Starts(www.socialstarts.com), Two Sigma Ventures(www.twosigmaventures.com), Upslope Ventures(www.upslope.vc), Virtual Reality Investments(www.virtualrealityinvestment.com)</t>
  </si>
  <si>
    <t>54824-32</t>
  </si>
  <si>
    <t>ENTechnologies</t>
  </si>
  <si>
    <t>Developer and manufacturer of electrical and power supply products. The company's products include plasma power supplies, power switchgears and energy storage system.</t>
  </si>
  <si>
    <t>grid system, power electronics, switchgear</t>
  </si>
  <si>
    <t>www.entek.kr</t>
  </si>
  <si>
    <t>116596-00P</t>
  </si>
  <si>
    <t>Tay Lee</t>
  </si>
  <si>
    <t>taylee@entek.kr</t>
  </si>
  <si>
    <t>+82 (0)31 429 7794</t>
  </si>
  <si>
    <t>Gunpo, South Africa</t>
  </si>
  <si>
    <t>SK Ventium 102-1101, 1102, 1103, 1303</t>
  </si>
  <si>
    <t>Dangjeong-dong 522</t>
  </si>
  <si>
    <t>Gunpo</t>
  </si>
  <si>
    <t>435 776</t>
  </si>
  <si>
    <t>South Africa</t>
  </si>
  <si>
    <t>Southern Africa</t>
  </si>
  <si>
    <t>The company raised $4.5 million of venture funding from Ilshin Investment and Samho green investment in June 2012.</t>
  </si>
  <si>
    <t>Ilshin Investment, Industrial Bank of Korea, LB Investment, LG Electronics, Samsung Venture Investment</t>
  </si>
  <si>
    <t>Industrial Bank of Korea(www.ibk.co.kr), LB Investment(www.lbinvestment.com), Samsung Venture Investment(www.samsungventures.com)</t>
  </si>
  <si>
    <t>56500-48</t>
  </si>
  <si>
    <t>Ensyn</t>
  </si>
  <si>
    <t>Fulcrum BioEnergy, Cool Planet, Coskata, LanzaTech, Iogen, BlueFire Renewables, Climeworks</t>
  </si>
  <si>
    <t>Producer of biocrude from forest and agricultural residues intended to offer sustainable energy. The company's biocrude are produced by converting the residual non-food biomass from the forest and agricultural sectors and is suitable for heating and cooling applications and further upgrading in existing oil refineries to low carbon transportation fuels.</t>
  </si>
  <si>
    <t>Alternative Energy Equipment, Energy Exploration, Energy Production*</t>
  </si>
  <si>
    <t>CleanTech, Impact Investing, Oil &amp; Gas, TMT</t>
  </si>
  <si>
    <t>biocrude oil, cellulosic biomass, energy service, impact investing vertical, non-food biomass, renewable product</t>
  </si>
  <si>
    <t>www.ensyn.com</t>
  </si>
  <si>
    <t>2014: 31, 2016: 36</t>
  </si>
  <si>
    <t>48244-15P</t>
  </si>
  <si>
    <t>Robert Graham</t>
  </si>
  <si>
    <t>Chairman &amp; Co-Founder</t>
  </si>
  <si>
    <t>rgraham@ensyn.com</t>
  </si>
  <si>
    <t>+1 (613) 248-2257</t>
  </si>
  <si>
    <t>2 Gurdwara Road</t>
  </si>
  <si>
    <t>K2E 1A2</t>
  </si>
  <si>
    <t>+1 (613) 248-2260</t>
  </si>
  <si>
    <t>info@ensyn.com</t>
  </si>
  <si>
    <t>The company raised $7.25 million of venture funding from undisclosed investors on January 12, 2016.</t>
  </si>
  <si>
    <t>Avrio Capital, Chevron Technology Ventures, Compagnie Financiere du Scribe, Credit Suisse, Felda Palm Industries, Fibria Celulose, Impax Asset Management Group, InvestEco Capital, Roseburg Forest Products, Sustainable Development Technology Canada, Western Technology Investment</t>
  </si>
  <si>
    <t>Avrio Capital(www.avriocapital.com), Credit Suisse(www.credit-suisse.com), Fibria Celulose(www.fibria.com.br), Impax Asset Management Group(ww.impaxam.com), InvestEco Capital(www.investeco.com), Roseburg Forest Products(www.roseburg.com), Sustainable Development Technology Canada(www.sdtc.ca), Western Technology Investment(www.westerntech.com)</t>
  </si>
  <si>
    <t>CIBC Capital Markets(Advisor: General), Deutsche Bank(Advisor: General)</t>
  </si>
  <si>
    <t>58246-66</t>
  </si>
  <si>
    <t>EnStream</t>
  </si>
  <si>
    <t>Wireless Payment Services</t>
  </si>
  <si>
    <t>Developer of an identity verification designed to provide secure mobile payments. The company's identity verification allows financial institutions to deliver payment credentials to the secure memory storage on SIM cards, enabling clients to get an assurance of safety transaction.</t>
  </si>
  <si>
    <t>mobile payment software, payment platform, payment service, program manager</t>
  </si>
  <si>
    <t>www.enstream.com</t>
  </si>
  <si>
    <t>2014: 17, 2016: 16</t>
  </si>
  <si>
    <t>64705-51P</t>
  </si>
  <si>
    <t>Almis Ledas</t>
  </si>
  <si>
    <t>almis.ledas@enstream.com</t>
  </si>
  <si>
    <t>+1 (416) 365-9000</t>
  </si>
  <si>
    <t>55 University Avenue</t>
  </si>
  <si>
    <t>Suite 202</t>
  </si>
  <si>
    <t>M5J 2H7</t>
  </si>
  <si>
    <t>+1 (416) 365-0074</t>
  </si>
  <si>
    <t>info@enstream.com</t>
  </si>
  <si>
    <t>The company was formed for an undisclosed amount as a joint venture between Rogers Communications, BCE and TELUS Ventures in September 19, 2005.</t>
  </si>
  <si>
    <t>BCE, Rogers Communications, TELUS Ventures</t>
  </si>
  <si>
    <t>BCE(www.bce.ca), Rogers Communications(www.rogers.com), TELUS Ventures(ventures.telus.com)</t>
  </si>
  <si>
    <t>12874-42</t>
  </si>
  <si>
    <t>EnOcean</t>
  </si>
  <si>
    <t>Stryde Technologies, Sofant Technologies, Enerbee, Energous, Solidmation</t>
  </si>
  <si>
    <t>Developer of energy harvesting wireless technology for use in building, home and industrial automation. The company's maintenance-free wireless sensor products are based on miniaturized energy converters, ultra-low power electronics and robust radio technology, used for battery-less applications in the Internet of Things, and facilitate building and industrial automation, smart homes and LED light control in an energy-efficient, affordable and secure way.</t>
  </si>
  <si>
    <t>Electronics (B2C), Wireless Communications Equipment*</t>
  </si>
  <si>
    <t>CleanTech, Internet of Things, TMT</t>
  </si>
  <si>
    <t>energy converter, energy harvesting technology, wireless devices, wireless sensor</t>
  </si>
  <si>
    <t>www.enocean.com</t>
  </si>
  <si>
    <t>2008: 40, 2018: 50</t>
  </si>
  <si>
    <t>49056-67P</t>
  </si>
  <si>
    <t>Andreas Schneider</t>
  </si>
  <si>
    <t>Co-Founder, Chief Marketing Officer &amp; Chief Executive Officer</t>
  </si>
  <si>
    <t>andreas.schneider@enocean.com</t>
  </si>
  <si>
    <t>+49 (0)89 6734 6890</t>
  </si>
  <si>
    <t>Oberhaching, Germany</t>
  </si>
  <si>
    <t>Kolpingring 18a</t>
  </si>
  <si>
    <t>Oberhaching</t>
  </si>
  <si>
    <t>D-82041</t>
  </si>
  <si>
    <t>+49 (0)89 6734 6895 0</t>
  </si>
  <si>
    <t>info@enocean.com</t>
  </si>
  <si>
    <t>The company raised an undisclosed amount of Series D venture funding from Next47 on April 30, 2015.</t>
  </si>
  <si>
    <t>3i Group, BayTech Venture Capital, Emerald Technology Ventures, Next47, SET Ventures, Siemens Technology Accelerator, Sobera Capital, Wellington Partners</t>
  </si>
  <si>
    <t>BayernLB Capital Partner, Cipio Partners, EnjoyVenture, Quadrivio SGR</t>
  </si>
  <si>
    <t>3i Group(www.3i.com), BayTech Venture Capital(www.baytechventurecapital.de), Emerald Technology Ventures(www.emerald-ventures.com), Next47(Next47.com), SET Ventures(www.setventures.com), Siemens Technology Accelerator(www.sta.siemens.com), Sobera Capital(www.sobera-capital.com), Wellington Partners(www.wellington-partners.com)</t>
  </si>
  <si>
    <t>BayernLB Capital Partner(www.bayernlb-capitalpartner.de), Cipio Partners(www.cipiopartners.com), EnjoyVenture(www.enjoyventure.vc), Quadrivio SGR(www.quadriviosgr.com)</t>
  </si>
  <si>
    <t>Gillamor Stephens(Consulting), Springer Kuss Rechtsanwälte Partnerschaft(Legal Advisor)</t>
  </si>
  <si>
    <t>86639-50</t>
  </si>
  <si>
    <t>Enmotus</t>
  </si>
  <si>
    <t>nVolo</t>
  </si>
  <si>
    <t>Kaminario, Nimbus Data, NGD Systems, Scale Computing, Microland, Winshuttle, SimpliVity, X-IO Storage, Reduxio Systems, Nexenta, BMC Software, DataCore Software, Springpath, SAP, StorPool, Neudesic, DigitalOcean, Exilant Technologies, Cogeco Peer 1, Zoxtor, Tintri, Pivot3, Tegile, Nexsan, Dell EMC</t>
  </si>
  <si>
    <t>Developer of an enterprise software designed to create fully automated intelligent hybrid volumes. The company's software is used for server systems and data centers by providing them with a virtualization layer for memory storage and optimize application performance and storage capacity.</t>
  </si>
  <si>
    <t>Business/Productivity Software*, Other IT Services</t>
  </si>
  <si>
    <t>data storage technology, data tiering, storage performance software, storage technology, storage virtualization</t>
  </si>
  <si>
    <t>www.enmotus.com</t>
  </si>
  <si>
    <t>104173-30P</t>
  </si>
  <si>
    <t>Andrew Mills</t>
  </si>
  <si>
    <t>andrew@enmotus.com</t>
  </si>
  <si>
    <t>+1 (949) 330-6220</t>
  </si>
  <si>
    <t>65 Enterprise</t>
  </si>
  <si>
    <t>info@enmotus.com</t>
  </si>
  <si>
    <t>The company raised $1.97 million of convertible debt financing from undisclosed investors on January 9, 2019.</t>
  </si>
  <si>
    <t>Catalina Ventures, Exponential Partners, Russell Van Cleve, Sam Paola, Tech Coast Angels, Western Digital Capital</t>
  </si>
  <si>
    <t>Catalina Ventures(www.catalinaventures.com), Exponential Partners(www.exponential.vc), Tech Coast Angels(www.techcoastangels.com), Western Digital Capital(www.westerndigitalcapital.com)</t>
  </si>
  <si>
    <t>56212-03</t>
  </si>
  <si>
    <t>Enigma (Data Analysis)</t>
  </si>
  <si>
    <t>Skydeo, YipitData, Macrobond Financial, Riversand, Xignite, Thinknum, Thomson Scientific, Knoema, Neudata</t>
  </si>
  <si>
    <t>Provider of operational data management and intelligence platform designed to empower people to interpret and improve the world around them. The company's platform transforms disparate, tabular data into rich representations of real-world relationships, providing a trusted source of intelligence about people, places and companies. It connects and enriches clients' internal data assets to transform their strategies and workflows, enabling businesses to remain informed and have improved daily decision making process.</t>
  </si>
  <si>
    <t>analytics, data acquisition, data management, data warehousing, data-as-a-service, data-as-a-service platform, enterprise data, machine learning analytics technology, machine learning and predictive analytics, public data analysis</t>
  </si>
  <si>
    <t>www.enigma.com</t>
  </si>
  <si>
    <t>2012: 13, 2013: 13, 2014: 16, 2015: 36, 2016: 49, 2018: 115</t>
  </si>
  <si>
    <t>47288-62P</t>
  </si>
  <si>
    <t>Marc DaCosta</t>
  </si>
  <si>
    <t>marc@enigma.com</t>
  </si>
  <si>
    <t>+1 (800) 510-2856</t>
  </si>
  <si>
    <t>245 Fifth Avenue</t>
  </si>
  <si>
    <t>Floor 17</t>
  </si>
  <si>
    <t>contact@enigma.com</t>
  </si>
  <si>
    <t>The company raised $95 million through a combination of debt, Series CC and Series CC1 venture funding in a deal led by New Enterprise Associates on September 18, 2018, putting the company's pre-money at $325 million. Comcast Ventures, Capital One Growth Ventures, MetLife, Crosslink Capital, Glynn Capital, Partnership for New York City, Two Sigma Ventures, BB&amp;T Capital Markets and Third Point also participated in the round. The company will use this investment to expand the company's core offerings, focusing on broadening the reach of its knowledge graph technology.</t>
  </si>
  <si>
    <t>American Express Ventures, Atomic Ventures, BB&amp;T Capital Markets, Benjamin Narasin, Capital One Growth Ventures, Comcast Ventures, Crosslink Capital, Digital Currency Group, Expansion Venture Capital, FinTech Innovation Lab, Glynn Capital, Lisa Deutsch, MetLife, New Enterprise Associates, NYC Seed, Partnership for New York City, Paul Sethi, PTC, Rohit Bodas, Ryan Melohn, Strauss Zelnick, The New York Times, Third Point, Third Point Ventures, TriplePoint Capital, Two Sigma Ventures</t>
  </si>
  <si>
    <t>Atomic Ventures(www.atomicventures.com), BB&amp;T Capital Markets(www.bbtcapitalmarkets.com), Capital One Growth Ventures(growthventures.capitalone.com), Comcast Ventures(www.comcastventures.com), Crosslink Capital(www.crosslinkcapital.com), Digital Currency Group(www.dcg.co), Expansion Venture Capital(www.expansionvc.com), FinTech Innovation Lab(www.fintechinnovationlab.com), Glynn Capital(www.glynncapital.com), MetLife(www.metlife.com), New Enterprise Associates(www.nea.com), NYC Seed(www.nycseed.com), Partnership for New York City(www.pfnyc.org), PTC(www.ptc.com), Third Point(www.thirdpoint.com), Third Point Ventures(www.thirdpointventures.com), TriplePoint Capital(www.triplepointcapital.com), Two Sigma Ventures(www.twosigmaventures.com)</t>
  </si>
  <si>
    <t>Series CC</t>
  </si>
  <si>
    <t>163649-71</t>
  </si>
  <si>
    <t>Engine Biosciences</t>
  </si>
  <si>
    <t>Sangamo Therapeutics, Calimmune, Dimension Therapeutics, Sharp Edge Labs, Lysogene, Minoryx Therapeutics, Renova Therapeutics</t>
  </si>
  <si>
    <t>Developer of a network biomedicine platform designed to map and decipher complex biological networks for more effective and efficient drug discovery. The company's network biomedicine platform integrates experimental biology, data science, computational AI and experimental technologies enabling researchers an efficient big data approach to map disease-relevant genetic interaction networks for ultra-high-throughput combinatorial drug discovery and optimization of cell therapies for curing complex diseases.</t>
  </si>
  <si>
    <t>Biotechnology*, Drug Discovery, Other Healthcare Technology Systems</t>
  </si>
  <si>
    <t>Big Data, Life Sciences, TMT</t>
  </si>
  <si>
    <t>antibodies, bio medicine platform, biological network, cell engineering, combinatorial drugs discovery, combinatorial gene, gene therapy, small molecules</t>
  </si>
  <si>
    <t>www.enginebio.com</t>
  </si>
  <si>
    <t>2016: 5, 2018: 6</t>
  </si>
  <si>
    <t>141943-06P</t>
  </si>
  <si>
    <t>Jeffrey Lu</t>
  </si>
  <si>
    <t>Co-Founder, Chief Executive Officer &amp; Board Director</t>
  </si>
  <si>
    <t>jeffreylu@enginebio.com</t>
  </si>
  <si>
    <t>160 Robinson Road</t>
  </si>
  <si>
    <t>23-02 SBF Center</t>
  </si>
  <si>
    <t>068914</t>
  </si>
  <si>
    <t>contact@enginebio.com</t>
  </si>
  <si>
    <t>The company raised $10 million of seed funding in a deal led by Danhua Capital and 6 Dimensions Capital on January 31, 2018. WuXi AppTec, EDBI, Pavilion Capital, Baidu Ventures, WI Harper and Nest.Bio Ventures also participated in the round. The funds will be used to build the company's drug discovery platform, expand their scientific &amp; executive team as well as pursue pre-clinical studies internally and with partners.</t>
  </si>
  <si>
    <t>6 Dimensions Capital, Baidu Ventures, Digital Horizon Capital, EDBI, Goodman Capital, Government of Singapore, MBC BioLabs, Nest.Bio Ventures, Pavilion Capital, Singapore Economic Development Board, WI Harper Group, WuXi AppTec</t>
  </si>
  <si>
    <t>6 Dimensions Capital(www.6dimensionscapital.com), Baidu Ventures(www.bv.ai), Digital Horizon Capital(www.dh.vc), EDBI(www.edbi.com), Goodman Capital(www.goodman-capital.com), MBC BioLabs(www.mbcbiolabs.com), Nest.Bio Ventures(www.nest.bio), Singapore Economic Development Board(www.edb.gov.sg), WI Harper Group(www.wiharper.com), WuXi AppTec(www.wuxiapptec.com)</t>
  </si>
  <si>
    <t>51224-41</t>
  </si>
  <si>
    <t>Enevate</t>
  </si>
  <si>
    <t>Carbon Micro Battery</t>
  </si>
  <si>
    <t>NanoGraf Technologies, Farasis Energy, Leyden Energy, EnerDel, Sion Power, Seeo, Hyperdrive Innovation, Envia Systems, Tysonic Battery, Boston Power, ZPower, Imprint Energy, Amprius, Nexeon, OXIS Energy, Infinite Power Solutions</t>
  </si>
  <si>
    <t>Operator of a silicon Lithium-ion battery technology company intended to provide high energy density rechargeable Li-ion batteries The company's technology recharges electric vehicles to 75% of its capacity in five minutes, while providing higher energy densities than the Li-ion batteries currently available, offering manufacturers and suppliers of batteries around the world, a license to quickly reach production volumes and encourage the adoption of features that will move the EVs to higher level.</t>
  </si>
  <si>
    <t>Electrical Equipment, Energy Storage*</t>
  </si>
  <si>
    <t>CleanTech, Industrials</t>
  </si>
  <si>
    <t>battery architectures, battery capacity, energy storage, li-ion rechargeable battery, lithium battery, rechargeable battery, silicon lithium-ion battery</t>
  </si>
  <si>
    <t>www.enevate.com</t>
  </si>
  <si>
    <t>2011: 30, 2016: 50, 2017: 45, 2018: 50</t>
  </si>
  <si>
    <t>146536-12P</t>
  </si>
  <si>
    <t>Sameer Rao</t>
  </si>
  <si>
    <t>sameer@enevate.com</t>
  </si>
  <si>
    <t>+1 (949) 243-0404</t>
  </si>
  <si>
    <t>101 Theory</t>
  </si>
  <si>
    <t>92617</t>
  </si>
  <si>
    <t>+1 (949) 243-0399</t>
  </si>
  <si>
    <t>info@enevate.com</t>
  </si>
  <si>
    <t>The company received undisclosed amount of financing from Bangchak Petroleum on April 16, 2019.</t>
  </si>
  <si>
    <t>Alliance Ventures, ATEL Capital Group, Bangchak Petroleum, CEC Capital, Draper Fisher Jurvetson Management, Essex Capital, Infinite Potential Group, Lenovo, LG Chem, Michael Lazaridis, Mission Ventures, Presidio Ventures, Quantum Valley Investments, Samsung Venture Investment, Tsing Capital</t>
  </si>
  <si>
    <t>ATEL Capital Group(www.atel.com), Bangchak Petroleum(www.bangchak.co.th), CEC Capital(www.cec.com.cn), Draper Fisher Jurvetson Management(www.dfj.com), Essex Capital(www.essexcapitalcorp.com), Lenovo(www.lenovo.com), LG Chem(www.lgchem.com), Mission Ventures(www.missionventures.com), Presidio Ventures(www.presidio-ventures.com), Quantum Valley Investments(www.quantumvalleyinvestments.com), Samsung Venture Investment(www.samsungventures.com), Tsing Capital(www.tsingcapital.com)</t>
  </si>
  <si>
    <t>BDO(Auditor), Hobbs &amp; Towne(Consulting), Hughes Marino(Consulting), Knobbe Martens(Legal Advisor)</t>
  </si>
  <si>
    <t>Gunderson Dettmer(Legal Advisor), Pantek Partners(Advisor: General)</t>
  </si>
  <si>
    <t>54826-39</t>
  </si>
  <si>
    <t>Enesol</t>
  </si>
  <si>
    <t>Manufacturer of the polymer aluminum capacitors. The company develops and manufactures macromolecule capacitors, electrochemical systems, elecrtic and electronic devices for the applied energy industry.</t>
  </si>
  <si>
    <t>Electronic Components*, Energy Storage</t>
  </si>
  <si>
    <t>capacitors, electrochemical system, polymer aluminum capacitors</t>
  </si>
  <si>
    <t>www.enesol.com</t>
  </si>
  <si>
    <t>116797-42P</t>
  </si>
  <si>
    <t>Jung Hae Song</t>
  </si>
  <si>
    <t>jhaesong@enesol.co.kr</t>
  </si>
  <si>
    <t>+82 (0)31 321 2370</t>
  </si>
  <si>
    <t>Yongin-si, South Korea</t>
  </si>
  <si>
    <t>19-169 Tongsaro, Namsa-Myeon</t>
  </si>
  <si>
    <t>Cheoin-ku</t>
  </si>
  <si>
    <t>Yongin-si</t>
  </si>
  <si>
    <t>Gyeongki-do</t>
  </si>
  <si>
    <t>321-237</t>
  </si>
  <si>
    <t>+82 (0)31 321 2374</t>
  </si>
  <si>
    <t>enesol@enesol.com</t>
  </si>
  <si>
    <t>The company received $5 million Export Tower Award in 2008.</t>
  </si>
  <si>
    <t>53906-32</t>
  </si>
  <si>
    <t>EnerVault</t>
  </si>
  <si>
    <t>Advanced Microgrid Solutions, Primus Power, UniEnergy Technologies, Stem, CODA Energy, ViZn Energy Systems, Younicos, Ecoult, BuildingIQ, Eos Energy Storage, Green Charge Networks, Ambri, Greensmith Energy, Aquion Energy, Sun Catalytix, Adara Power, Alevo, Sunverge, Rhombus Energy Solutions, Pika Energy, Seeo, Enevate</t>
  </si>
  <si>
    <t>Developer of large-scale energy-storage systems intended to be used for commercial, utility and grid applications with an unparalleled combination of cost-effectiveness, safety and reliability. The company's system comprises of long-duration, megawatt-hour scale energy storage services based on iron-chromium redox flow battery technology pioneered by NASA, enabling customers to obtain the maximum return on investment (ROI) for their generation and distribution assets.</t>
  </si>
  <si>
    <t>Energy Storage*, Other Commercial Services</t>
  </si>
  <si>
    <t>energy grid, energy storage, flow batteries technology, large-scale energy storage system</t>
  </si>
  <si>
    <t>www.enervault.com</t>
  </si>
  <si>
    <t>2014: 37, 2015: 11, 2016: 11</t>
  </si>
  <si>
    <t>64931-59P</t>
  </si>
  <si>
    <t>Thomas Jahn</t>
  </si>
  <si>
    <t>tjahn@enervault.com</t>
  </si>
  <si>
    <t>+1 (408) 934-6840</t>
  </si>
  <si>
    <t>1244 Reamwood Avenue</t>
  </si>
  <si>
    <t>info@enervault.com</t>
  </si>
  <si>
    <t>TEL Venture Capital sold its stake in the company on an undisclosed date.</t>
  </si>
  <si>
    <t>3M Ventures, Commercial Energy, Mitsui Global Investment, NYSERDA, Oceanshore Ventures, Total Energy Ventures, U.S. Invest</t>
  </si>
  <si>
    <t>TEL Venture Capital</t>
  </si>
  <si>
    <t>Commercial Energy(www.commercialenergy.net), Mitsui Global Investment(www.mitsui-global.com), NYSERDA(www.nyserda.ny.gov), Oceanshore Ventures(www.oceanshorevc.com), U.S. Invest(www.usinvest.com)</t>
  </si>
  <si>
    <t>TEL Venture Capital(www.tel.com/about/telvc.htm)</t>
  </si>
  <si>
    <t>161885-35</t>
  </si>
  <si>
    <t>Enervalis</t>
  </si>
  <si>
    <t>Provider of a cloud-based software designed to help electricity producers, storage providers and consumers to optimize energy efficiency. The company's cloud-based software optimizes in-house energy consumption towards locally-produced green energy supply from sun, wind, bio, deep-earth heat, deep-ocean cooling, CHP and batteries for energy efficiency, enabling home owners and power plant operators to monitor and control excess energy usage, thereby reducing energy bills.</t>
  </si>
  <si>
    <t>Business/Productivity Software*, Other Energy, Other Software</t>
  </si>
  <si>
    <t>CleanTech, Industrials, Infrastructure, LOHAS &amp; Wellness, SaaS, TMT</t>
  </si>
  <si>
    <t>energy consumption tracking, energy monitoring, energy optimization, energy software, energy storage</t>
  </si>
  <si>
    <t>www.enervalis.com</t>
  </si>
  <si>
    <t>155125-90P</t>
  </si>
  <si>
    <t>Stefan Lodeweyckx</t>
  </si>
  <si>
    <t>stefan.lodeweyckx@enervalis.com</t>
  </si>
  <si>
    <t>+32 (0)1 139 75 79</t>
  </si>
  <si>
    <t>Houthalen-Helchteren, Belgium</t>
  </si>
  <si>
    <t>Greenville Campus</t>
  </si>
  <si>
    <t>Centrum-Zuid 1111</t>
  </si>
  <si>
    <t>Houthalen-Helchteren</t>
  </si>
  <si>
    <t>3530</t>
  </si>
  <si>
    <t>info@enervalis.com</t>
  </si>
  <si>
    <t>The company raised EUR 4.2 million of venture funding from LRM Capital, ABB Technology Ventures and Limburgs klimaatbedrijf NUHMA on April 19, 2017. The company will use the capital to fund continued research into its platform and to drive its international growth.</t>
  </si>
  <si>
    <t>ABB Technology Ventures, Austin Technology Incubator, KIC InnoEnergy, Limburgs klimaatbedrijf NUHMA, LRM</t>
  </si>
  <si>
    <t>Austin Technology Incubator(www.ati.utexas.edu), KIC InnoEnergy(www.innoenergy.com), Limburgs klimaatbedrijf NUHMA(www.nuhma.be), LRM(www.lrm.be)</t>
  </si>
  <si>
    <t>Finpartners(Advisor: General)</t>
  </si>
  <si>
    <t>96017-32</t>
  </si>
  <si>
    <t>Enerbee</t>
  </si>
  <si>
    <t>Stryde Technologies, EnOcean</t>
  </si>
  <si>
    <t>Provider of an innovative motion-based energy harvesting technology intended to generate energy from speed and movement. The company's technology delivers fully autonomous energy products that can support different functions such as speed measurement, radio communication and onboard power for additional sensors and actuators, enabling users to save battery, energy and money.</t>
  </si>
  <si>
    <t>Electronics (B2C)*, Energy Production, Other Consumer Durables</t>
  </si>
  <si>
    <t>electrical microgenerator, energy harvesting, motion-based generator, radio communication, speed measurement, wireless generator</t>
  </si>
  <si>
    <t>www.enerbee.fr</t>
  </si>
  <si>
    <t>2015: 9, 2016: 13</t>
  </si>
  <si>
    <t>147374-29P</t>
  </si>
  <si>
    <t>Jocelyn Wasselin</t>
  </si>
  <si>
    <t>jocelyn@enerbee.fr</t>
  </si>
  <si>
    <t>+33 (0)8 99 37 66 81</t>
  </si>
  <si>
    <t>7 parvis Louis Néel</t>
  </si>
  <si>
    <t>CS 20050</t>
  </si>
  <si>
    <t>Cedex 9</t>
  </si>
  <si>
    <t>38040</t>
  </si>
  <si>
    <t>contact@enerbee.fr</t>
  </si>
  <si>
    <t>The company raised EUR 2.2 million of venture funding from Asahi Kasei Corporate Venture Capital, Crédit Agricole Alpes Développement and Demeter on October 31, 2018. 360 Capital Partners also participated in the round. This funding will help Enerbee to strengthen its growth by continuing to drive innovation and product roadmap, accelerating its commercial development and structure the company for industrial scale.</t>
  </si>
  <si>
    <t>360 Capital Partners, Asahi Kasei Corporate Venture Capital, Crédit Agricole Alpes Développement, Demeter, Emertec Gestion, Grenoble INP Invest, Robolution Capital</t>
  </si>
  <si>
    <t>360 Capital Partners(www.360capitalpartners.com), Asahi Kasei Corporate Venture Capital(www.asahikaseiventures.com), Crédit Agricole Alpes Développement(www.ca-alpes-developpement.fr), Demeter(www.demeter-im.com), Emertec Gestion(www.emertec.fr), Grenoble INP Invest(entreprise.grenoble-inp.fr/start-up), Robolution Capital(www.robolutioncapital.com)</t>
  </si>
  <si>
    <t>BNP Paribas(Debt Financing), Crédit Agricole Sud Rhône-Alpes(Debt Financing)</t>
  </si>
  <si>
    <t>42185-89</t>
  </si>
  <si>
    <t>Enchi</t>
  </si>
  <si>
    <t>Mascoma</t>
  </si>
  <si>
    <t>Developer of biological conversion systems to convert non-food cellulosic biomass to fuels and chemicals. The company uses thermophilic bacteria to process biomass without added enzymes and with little or no pretreatment which are converted to fuels and chemicals.</t>
  </si>
  <si>
    <t>Biotechnology, Energy Production, Environmental Services (B2B)*</t>
  </si>
  <si>
    <t>CleanTech, Industrials, Life Sciences, TMT</t>
  </si>
  <si>
    <t>biofuel, biomass wood, cellulosic ethanol, thermophilic bacteria</t>
  </si>
  <si>
    <t>www.enchicorp.com</t>
  </si>
  <si>
    <t>2008: 67, 2009: 110, 2010: 92, 2011: 106, 2013: 106</t>
  </si>
  <si>
    <t>35515-09P</t>
  </si>
  <si>
    <t>William Brady</t>
  </si>
  <si>
    <t>brady@kulabio.com</t>
  </si>
  <si>
    <t>610 Lincoln Street</t>
  </si>
  <si>
    <t>+1 (603) 676-3320</t>
  </si>
  <si>
    <t>+1 (603) 676-3321</t>
  </si>
  <si>
    <t>info@mascoma.com</t>
  </si>
  <si>
    <t>General Catalyst Partners sold its stake in the company on an undisclosed date.</t>
  </si>
  <si>
    <t>Atlas Venture, BlackRock Realty Advisors, Flagship Pioneering, General Motors, GM Ventures, Individual Investor, Khosla Ventures, Kleiner Perkins, Marathon Oil, Michigan Economic Development, Pinnacle Ventures, Spruce Capital Partners, SunOpta, The BioEnergy Science Center, U.S. Department of Energy, Valero Energy, Xeraya Capital</t>
  </si>
  <si>
    <t>General Catalyst, VantagePoint Capital Partners</t>
  </si>
  <si>
    <t>Atlas Venture(www.atlasventure.com), Flagship Pioneering(www.flagshippioneering.com), General Motors(www.gm.com), GM Ventures(www.gmventures.com), Khosla Ventures(www.khoslaventures.com), Kleiner Perkins(www.kleinerperkins.com), Marathon Oil(www.marathonoil.com), Michigan Economic Development(www.michiganbusiness.org), Pinnacle Ventures(www.pinnacleven.com), Spruce Capital Partners(www.sprucecp.com), The BioEnergy Science Center(www.bioenergycenter.org), U.S. Department of Energy(www.energy.gov), Valero Energy(www.valero.com), Xeraya Capital(www.xeraya.com)</t>
  </si>
  <si>
    <t>General Catalyst(www.generalcatalyst.com), VantagePoint Capital Partners(www.vpcp.com)</t>
  </si>
  <si>
    <t>Danforth Advisors(Consulting), Goodwin(Legal Advisor), Hobbs &amp; Towne(Consulting)</t>
  </si>
  <si>
    <t>Canaccord Genuity(Underwriter), Credit Suisse(Underwriter), Foley Hoag(Legal Advisor), Goodwin(Legal Advisor), Morgan Stanley(Underwriter), Pinnacle Ventures(Debt Financing), Piper Jaffray(Advisor: General), Robert W. Baird &amp; Co.(Underwriter), UBS(Underwriter)</t>
  </si>
  <si>
    <t>153472-06</t>
  </si>
  <si>
    <t>Enchanted Rock</t>
  </si>
  <si>
    <t>ERock</t>
  </si>
  <si>
    <t>Provider of microgrid and energy reliability services for industrial customers in the United States. The company builds and operates cost-effective reliability microgrids that help companies manage their physical and financial risk associated with electricity.</t>
  </si>
  <si>
    <t>Energy Transportation</t>
  </si>
  <si>
    <t>Energy Production, Energy Transportation*, Other Energy Services</t>
  </si>
  <si>
    <t>backup power, distributing energy, electranet system, microgrids operators, natural gas gensets, retail electricity</t>
  </si>
  <si>
    <t>www.enchantedrock.com</t>
  </si>
  <si>
    <t>2017: 40</t>
  </si>
  <si>
    <t>35905-15P</t>
  </si>
  <si>
    <t>Robert Blakely</t>
  </si>
  <si>
    <t>iblakely@erockhold.com</t>
  </si>
  <si>
    <t>+1 (713) 429-4091</t>
  </si>
  <si>
    <t>1113 Vine Strret</t>
  </si>
  <si>
    <t>Suite 239</t>
  </si>
  <si>
    <t>info@erockhold.com</t>
  </si>
  <si>
    <t>The company received $23.58 of financing from undisclosed investors on July 16, 2018. A portion of the gross proceeds was used to redeem a portion of membership interest.</t>
  </si>
  <si>
    <t>Energy Impact Partners</t>
  </si>
  <si>
    <t>Energy Impact Partners(www.energyimpactpartners.com)</t>
  </si>
  <si>
    <t>53673-13</t>
  </si>
  <si>
    <t>Enbala Power Networks</t>
  </si>
  <si>
    <t>Sempa Power Systems</t>
  </si>
  <si>
    <t>Enbala</t>
  </si>
  <si>
    <t>Stem, Eguana Technologies, Varentec, DEPsys</t>
  </si>
  <si>
    <t>Developer of a real-time energy-balancing platform designed to transform energy system operations. The company's platform captures and aggregates available customer loads, energy storage and renewable energy sources to form a network of continuously controlled energy resources, enabling clients to control, optimize and dispatch distributed energy in real time.</t>
  </si>
  <si>
    <t>Electric Utilities</t>
  </si>
  <si>
    <t>Electric Utilities*, Energy Infrastructure</t>
  </si>
  <si>
    <t>electric power grid, electrical grid, electricity network, electricity user network, power grid</t>
  </si>
  <si>
    <t>www.enbala.com</t>
  </si>
  <si>
    <t>40429-99P</t>
  </si>
  <si>
    <t>Malcolm Metcalfe</t>
  </si>
  <si>
    <t>Founder, Board Member &amp; Chief Research Officer</t>
  </si>
  <si>
    <t>mmetcalfe@enbala.com</t>
  </si>
  <si>
    <t>+1 (866) 957-3672</t>
  </si>
  <si>
    <t>North Vancouver, Canada</t>
  </si>
  <si>
    <t>930 West 1st Street</t>
  </si>
  <si>
    <t>North Vancouver</t>
  </si>
  <si>
    <t>V7P 3N4</t>
  </si>
  <si>
    <t>info@enbala.com</t>
  </si>
  <si>
    <t>The company raised $17.5 million of Series B venture funding in a round led by ABB Technology Ventures on August 1, 2017. Zoma Capital, EnerTech Capital, Export Development Canada, National Grid, GE Ventures, Chrysalix Venture Capital and Obvious Ventures also participated in this round. The funds will be used to accelerate capabilities, scope and market presence.</t>
  </si>
  <si>
    <t>ABB Technology Ventures, Chrysalix Venture Capital, Edison Energy, EnerTech Capital, Export Development Canada, GE Ventures, Individual Investor, National Grid, Obvious Ventures, Sorfina Capital, Walsingham Growth Partners, XPV Water Partners, Zoma Capital</t>
  </si>
  <si>
    <t>Chrysalix Venture Capital(www.chrysalix.com), EnerTech Capital(www.enertechcapital.com), Export Development Canada(www.edc.ca), GE Ventures(www.geventures.com), National Grid(www.nationalgrid.com), Obvious Ventures(www.obvious.com), Walsingham Growth Partners(www.walsinghampartners.com), XPV Water Partners(www.xpvwaterpartners.com)</t>
  </si>
  <si>
    <t>Export Development Canada(Advisor: General), Hobbs &amp; Towne(Consulting), MaRS Discovery District(Advisor: General), Trebuchet Group(Consulting)</t>
  </si>
  <si>
    <t>66145-33</t>
  </si>
  <si>
    <t>Emu Technology</t>
  </si>
  <si>
    <t>Emu</t>
  </si>
  <si>
    <t>Developer of a real-time big data analytics platform designed to offer efficient memory retrieval. The company's platform combines finely grained parallelism with in-Memory computing and migration of compute context to data, enabling clients to scale memory size and bandwidth simultaneously.</t>
  </si>
  <si>
    <t>big data analytics platform, big data platform, data architecture, memory retrieval, memory server technology, migratory thread technology</t>
  </si>
  <si>
    <t>www.emutechnology.com</t>
  </si>
  <si>
    <t>76186-54P</t>
  </si>
  <si>
    <t>Jay Brockman</t>
  </si>
  <si>
    <t>jbrockman@emutechnology.com</t>
  </si>
  <si>
    <t>+1 (646) 661-5252</t>
  </si>
  <si>
    <t>270 West 39th Street</t>
  </si>
  <si>
    <t>info@emutechnology.com</t>
  </si>
  <si>
    <t>The company raised $3.01 million of convertible debt financing from undisclosed investors on November 16, 2018. Earlier, the company raised $6.61 million of Series A2 and Series A3 venture funding from Samsung Venture Investment and IrishAngels on December 7, 2017, putting the company's pre-money valuation at $12.5 million.</t>
  </si>
  <si>
    <t>Berg Capital Group, Blu Venture Investors, Brent Kitts, IrishAngels, Middleburg Capital Development, Samsung Venture Investment</t>
  </si>
  <si>
    <t>Berg Capital Group(www.bergcapitalgroup.com), Blu Venture Investors(www.bluventureinvestors.com), IrishAngels(www.irishangels.com), Middleburg Capital Development(www.mcapd.com), Samsung Venture Investment(www.samsungventures.com)</t>
  </si>
  <si>
    <t>52597-63</t>
  </si>
  <si>
    <t>Empower Energies</t>
  </si>
  <si>
    <t>ViSole Energy, Sunlogics</t>
  </si>
  <si>
    <t>Designer of solar rooftops and EV charging stations designed to help people make informed decisions about solar power and other alternatives. The company's solar rooftops and EV charging stations designs, develops, builds and finances commercial and industrial-scale combined heat and power systems, enabling commercial and industrial organizations to optimize their resources while getting the most for their money.</t>
  </si>
  <si>
    <t>Alternative Energy Equipment*, Energy Infrastructure</t>
  </si>
  <si>
    <t>energy management, ev charging station, solar installation, solar rooftop</t>
  </si>
  <si>
    <t>www.empowerenergies.com</t>
  </si>
  <si>
    <t>2014: 14, 2016: 23</t>
  </si>
  <si>
    <t>127660-60P</t>
  </si>
  <si>
    <t>John Clapp</t>
  </si>
  <si>
    <t>Chief Financial Officer, Board Member &amp; President</t>
  </si>
  <si>
    <t>john@empowerenergies.com</t>
  </si>
  <si>
    <t>+1 (240) 490-4200</t>
  </si>
  <si>
    <t>Frederick, MD</t>
  </si>
  <si>
    <t>50 Citizen's Way</t>
  </si>
  <si>
    <t>Frederick</t>
  </si>
  <si>
    <t>21701</t>
  </si>
  <si>
    <t>info@empowerenergies.com</t>
  </si>
  <si>
    <t>The company raised $7.5 million of venture funding from General Motors Ventures on July 28, 2011.</t>
  </si>
  <si>
    <t>Hobbs &amp; Towne(Consulting)</t>
  </si>
  <si>
    <t>Marathon Capital(Advisor: General), TAG Energy Partners(Advisor: General)</t>
  </si>
  <si>
    <t>160742-98</t>
  </si>
  <si>
    <t>Empaua</t>
  </si>
  <si>
    <t>CRM Manager, 4C Consulting, Bluewolf Group</t>
  </si>
  <si>
    <t>Provider of salesforce strategies designed to help clients to take complex challenges to optimise cloud technology systems. The comapny's salesforce strategies leverage speed and agility to create customer and employee experiences which drive return on investment, enbaling clients to avail the opportunity to continually develop their skills in the workplace</t>
  </si>
  <si>
    <t>process consultancy, process optimization, salesforce consultancy, salesforce strategy</t>
  </si>
  <si>
    <t>www.empaua.com</t>
  </si>
  <si>
    <t>2016: 41, 2018: 47</t>
  </si>
  <si>
    <t>98191-99P</t>
  </si>
  <si>
    <t>Julian Teicke</t>
  </si>
  <si>
    <t>Co-Founder, Mentor &amp; Advisor</t>
  </si>
  <si>
    <t>julian@wefox.ch</t>
  </si>
  <si>
    <t>+49 (0)30 8878 9635</t>
  </si>
  <si>
    <t>info@empaua.com</t>
  </si>
  <si>
    <t>The company raised an undisclosed amount of seed funding from Salesforce Ventures on June 06, 2016. The funding will be used for further expansion of the business.</t>
  </si>
  <si>
    <t>BMH Bräutigam &amp; Partner(Legal Advisor)</t>
  </si>
  <si>
    <t>56413-45</t>
  </si>
  <si>
    <t>Emergent Technologies</t>
  </si>
  <si>
    <t>Operator of life sciences technology investment and management company designed to drive positive social and economic change. The company's research and management services focuses on early stage funding and development for scientific discoveries originating at universities and research institutions, enabling investors, entrepreneurs, communities, and partners to address critical issues and operational challenges.</t>
  </si>
  <si>
    <t>Holding Companies</t>
  </si>
  <si>
    <t>Holding Companies*, Other Business Products and Services, Other Financial Services</t>
  </si>
  <si>
    <t>early stage funding, financial investment, innovation hub, research and development</t>
  </si>
  <si>
    <t>www.emergenttechnologies.com</t>
  </si>
  <si>
    <t>2014: 19, 2015: 18</t>
  </si>
  <si>
    <t>65641-06P</t>
  </si>
  <si>
    <t>Edward Clark</t>
  </si>
  <si>
    <t>Chief Financial Officer &amp; General Counsel</t>
  </si>
  <si>
    <t>eclark@emergenttechnologies.com</t>
  </si>
  <si>
    <t>+1 (512) 263-3232</t>
  </si>
  <si>
    <t>7500 Rialto Boulevard</t>
  </si>
  <si>
    <t>Building 2, Suite 260</t>
  </si>
  <si>
    <t>78738</t>
  </si>
  <si>
    <t>+1 (512) 263-3236</t>
  </si>
  <si>
    <t>info@etibio.com</t>
  </si>
  <si>
    <t>The company raised an undisclosed amount of Series E venture funding from Hopewell Ventures on February 18, 2009.</t>
  </si>
  <si>
    <t>Cisco Investments, Hopewell Ventures, Jerusalem Venture Partners, McCombs Partners, Walker Ventures, Worldview Technology Partners</t>
  </si>
  <si>
    <t>Cisco Investments(www.ciscoinvestments.com), Hopewell Ventures(www.hopewellventures.com), Jerusalem Venture Partners(www.jvpvc.com), McCombs Partners(www.mccombsenterprises.com/mccombs-partners), Walker Ventures(www.walkerventures.com), Worldview Technology Partners(www.worldview.com)</t>
  </si>
  <si>
    <t>101504-35</t>
  </si>
  <si>
    <t>Embr Labs</t>
  </si>
  <si>
    <t>Embr</t>
  </si>
  <si>
    <t>Developer of wearable thermostats intended to change skin temperature according to comfort. The company's thermostats employs NASA-grade thermoelectric technology to offer immediate, precise and energy sufficient conductive heating and cooling and has tailored thermal sensations, enabling customers to adjust the temperature of their skin at the press of a button.</t>
  </si>
  <si>
    <t>Accessories, Electronics (B2C)*</t>
  </si>
  <si>
    <t>skin temperature changing device, temperature changing devices, thermostats wearables, wearable technology, wearable thermostats devices</t>
  </si>
  <si>
    <t>www.embrlabs.com</t>
  </si>
  <si>
    <t>2015: 3, 2017: 4</t>
  </si>
  <si>
    <t>104856-49P</t>
  </si>
  <si>
    <t>Matthew Smith</t>
  </si>
  <si>
    <t>Co-Founder &amp; Executive, Research &amp; Development</t>
  </si>
  <si>
    <t>matt@embrlabs.com</t>
  </si>
  <si>
    <t>+1 (413) 218-0629</t>
  </si>
  <si>
    <t>288 Norfolk Street</t>
  </si>
  <si>
    <t>Suite 4A</t>
  </si>
  <si>
    <t>hello@embrlabs.com</t>
  </si>
  <si>
    <t>The company raised an estimated $2 million of Series A1 venture funding from Joyance Partners and Social Starts on November 20, 2018, putting the company's pre-money valuation at $10.5 million.</t>
  </si>
  <si>
    <t>Bose Ventures, Garage+, Greentown Labs, Intel Capital, Joyance Partners, Massachusetts Institute of Technology, MassChallenge, MIT Delta V, National Science Foundation, Social Starts</t>
  </si>
  <si>
    <t>Bose Ventures(bose.ventures), Garage+(www.garageplus.asia/en), Greentown Labs(www.greentownlabs.com), Intel Capital(www.intelcapital.com), Joyance Partners(www.joyancepartners.com), Massachusetts Institute of Technology(web.mit.edu), MassChallenge(www.masschallenge.org), MIT Delta V(entrepreneurship.mit.edu/accelerator), National Science Foundation(seedfund.nsf.gov), Social Starts(www.socialstarts.com)</t>
  </si>
  <si>
    <t>MIT Venture Mentoring Service(Consulting), New Economy CPA(Auditor), WilmerHale(Legal Advisor)</t>
  </si>
  <si>
    <t>Kickstarter(Lead Manager or Arranger), MIT Venture Mentoring Service(Consulting), New Economy CPA(Auditor), WilmerHale(Legal Advisor)</t>
  </si>
  <si>
    <t>164396-62</t>
  </si>
  <si>
    <t>Embodied</t>
  </si>
  <si>
    <t>CareBots</t>
  </si>
  <si>
    <t>Anki, Wonder Workshop</t>
  </si>
  <si>
    <t>Developer of life-like robots designed to revolutionize care and wellness for humans. The company's robots combine state of the art robotics with artificial intelligence to redefine personal well-being, providing people with companions or motivators dependent upon their needs.</t>
  </si>
  <si>
    <t>consumer robotics, humanoid robots, robots developer, socially assistive robots</t>
  </si>
  <si>
    <t>www.embodied.me</t>
  </si>
  <si>
    <t>143680-87P</t>
  </si>
  <si>
    <t>Maja Mataric</t>
  </si>
  <si>
    <t>maja@embodied.me</t>
  </si>
  <si>
    <t>+1 (626) 657-0268</t>
  </si>
  <si>
    <t>87 North Raymond Avenue</t>
  </si>
  <si>
    <t>The company raised $22 million of Series A venture funding in a deal led by Calibrate Ventures on June 18, 2018, putting the company's pre-money valuation at $30 million. Intel Capital, Toyota AI Ventures, Grishin Robotics, Osage University Partners, JAZZ Venture Partners and other undisclosed investor salso participated in the round. The company intends to use the proceeds to continue adding to the team of robotics and AI experts, neuroscientists and creative animators.</t>
  </si>
  <si>
    <t>Amazon Alexa Fund, Calibrate Ventures, Grishin Robotics, Hive Ventures, Intel Capital, JAZZ Venture Partners, Osage University Partners, Sony Innovation Fund, Toyota AI Ventures</t>
  </si>
  <si>
    <t>Amazon Alexa Fund(developer.amazon.com/alexa-fund), Calibrate Ventures(www.calibratevc.com), Grishin Robotics(www.grishinrobotics.com), Hive Ventures(www.hiveventures.co), Intel Capital(www.intelcapital.com), JAZZ Venture Partners(www.jazzvp.com), Osage University Partners(www.oup.vc), Sony Innovation Fund(www.sonyinnovationfund.com), Toyota AI Ventures(www.toyota-ai.ventures)</t>
  </si>
  <si>
    <t>88463-35</t>
  </si>
  <si>
    <t>Emailage</t>
  </si>
  <si>
    <t>Ravelin, Iovation, Riskified, Signifyd, Simility, Easy Solutions, UnFraud, Accertify, PerimeterX, Sift (San Francisco), Feedzai, Socure, Trustev, BehavioSec, Silver Tail Systems, Shape Security, ThreatMetrix, Castle (Network Management Software), IDology, Duo Security, Forter, Fraud.net, MaxMind</t>
  </si>
  <si>
    <t>Developer of a SaaS fraud prevention and identity verification technology designed to make everyday transactions easier, more efficient and secure. The company's technology uses sophisticated machine learning and proprietary algorithms that evolve with new fraud trends to provide real-time alerts of risky transactions and delivers an intelligent risk score, enabling companies to realize significant savings from identifying and stopping fraudulent transactions, improve customer experience and drive revenue and profits.</t>
  </si>
  <si>
    <t>Artificial Intelligence &amp; Machine Learning, Big Data, Cybersecurity, SaaS, TMT</t>
  </si>
  <si>
    <t>fraud detection software, fraud reduction, fraud risk assessment, online fraud detection, risk assessment</t>
  </si>
  <si>
    <t>www.emailage.com</t>
  </si>
  <si>
    <t>86950-54P</t>
  </si>
  <si>
    <t>Reinaldo Carvalho</t>
  </si>
  <si>
    <t>rei@emailage.com</t>
  </si>
  <si>
    <t>+1 (480) 634-8437</t>
  </si>
  <si>
    <t>25 South Arizona Place</t>
  </si>
  <si>
    <t>85225</t>
  </si>
  <si>
    <t>contact@emailage.com</t>
  </si>
  <si>
    <t>The company raised $50 million of Series B venture funding in a deal led by Anthos Capital on June 19, 2018, putting the pre-money valuation at $165 million. Radian Capital, Bonfire Ventures, Wipro Ventures, Mucker Capital and Tallwave Capital also participated in the round. The funds will be used to expand existing partnerships, further advance the company's email address-based predictive scoring system and accelerate growth in North America, EMEA, LATAM and other key markets.</t>
  </si>
  <si>
    <t>Anthos Capital, Bonfire Ventures, Chung-Man Tam, Cobre Capital, Dipchand Nishar, Double M Partners, Farzad Nazem, Felicis Ventures, Gokul Rajaram, Mucker Capital, Radian Capital, Wipro Ventures</t>
  </si>
  <si>
    <t>Anthos Capital(www.anthoscapital.com), Bonfire Ventures(www.bonfirevc.com), Cobre Capital(www.cobre.vc), Dipchand Nishar(www.linkedin.com/in/deepnishar), Double M Partners(www.doublempartners.com), Felicis Ventures(www.felicis.com), Mucker Capital(www.mucker.com), Radian Capital(www.radiancapital.com)</t>
  </si>
  <si>
    <t>54830-62</t>
  </si>
  <si>
    <t>Emaen</t>
  </si>
  <si>
    <t>Seal FKM manufacturing plant and start production</t>
  </si>
  <si>
    <t>MNE, Materials Nano Engineering</t>
  </si>
  <si>
    <t>Manufacturer and provider of nano technology based semiconductors and products. The company provides industrial semiconductor and development products such as a vacuum seal, light-emitting diode (LCD) and organic light-emitting diode (OLED).</t>
  </si>
  <si>
    <t>nano perfluorinated elastomer, nano semiconductor, nanotechnology, vacuum seals</t>
  </si>
  <si>
    <t>www.mnee.com</t>
  </si>
  <si>
    <t>2015: 54</t>
  </si>
  <si>
    <t>116877-97P</t>
  </si>
  <si>
    <t>Man Ho Kim</t>
  </si>
  <si>
    <t>+82 (0)31 201 7000</t>
  </si>
  <si>
    <t>Yongin, South Korea</t>
  </si>
  <si>
    <t>Giheung-gu Top 58</t>
  </si>
  <si>
    <t>Beongil</t>
  </si>
  <si>
    <t>Yongin</t>
  </si>
  <si>
    <t>11</t>
  </si>
  <si>
    <t>+82 (0)31 201 7070</t>
  </si>
  <si>
    <t>124926-04</t>
  </si>
  <si>
    <t>Ellevest</t>
  </si>
  <si>
    <t>Ellevate Financial</t>
  </si>
  <si>
    <t>Betterment, Personal Capital, Hedgeable, Motif (Financial Software), WeInvest, AutoWealth, Mount Lucas Management, Wealthfront</t>
  </si>
  <si>
    <t>Provider of a digital investment platform designed to help women take control of their investments easily. The company's platform uses a proprietary algorithm that incorporates women's unique salary peaks, assets, recommends, goal-specific portfolios, target amounts and savings for a completely customized investment plan, enabling female investors to prioritize their financial goals and make money in the markets.</t>
  </si>
  <si>
    <t>Asset Management, Financial Software*, Other Financial Services</t>
  </si>
  <si>
    <t>FinTech, Impact Investing, TMT</t>
  </si>
  <si>
    <t>financial control, impact investing vertical, investment platform, personal finance, portfolio management platform, portfolio management technology</t>
  </si>
  <si>
    <t>www.ellevest.com</t>
  </si>
  <si>
    <t>2015: 6, 2016: 25, 2017: 38</t>
  </si>
  <si>
    <t>38245-42P</t>
  </si>
  <si>
    <t>Charles Kroll</t>
  </si>
  <si>
    <t>ckroll@ellevest.com</t>
  </si>
  <si>
    <t>+1 (844) 355-7100</t>
  </si>
  <si>
    <t>48 West 25th Street</t>
  </si>
  <si>
    <t>The company raised $28.05 million of Series A1 venture funding in a deal led by PSP Partners and Rethink Impact on March 26, 2019, putting the company's pre-money valuation at $112 million. Salesforce Ventures, Morningstar, PayPal Holdings, MasterCard, GingerBread Capital, CreditEase, Aspect Ventures, Rethink, Ulu Ventures, Khosla Ventures, Astia Angels, Elaine Wynn, Eric Schmidt, Valerie Jarrett and Pivotal Ventures also participated in the round. The funds will be used to invest in the company's technology, expand into new product categories, and work with women to develop new, non-boring financial education.</t>
  </si>
  <si>
    <t>Ajaypal Banga, Andrea Jung, Aspect Ventures, Astia, Astia Angels, Brian Finn, Broadway Angels, Contour Venture Partners, CreditEase, Eric Schmidt, GingerBread Capital, Jeff Schwarz, Karen Boezi, Karen Finerman, Khosla Ventures, LH Holdings, MasterCard, Max Levchin, Mellody Hobson, Mohamed El-Erian, Morningstar, Morningstar Capital, Nellie Levchin, PayPal Holdings, Pivotal Ventures, PSP Partners, Rethink, Rethink Impact, Robert Druskin, Salesforce Ventures, SK Impact Fund, Sonja Perkins, Ulu Ventures, Valerie Jarrett, Venus Williams, WestRiver Group</t>
  </si>
  <si>
    <t>Aspect Ventures(www.aspectventures.com), Astia Angels(www.astia.org), Broadway Angels(www.broadway-angels.com), Contour Venture Partners(www.contourventures.com), CreditEase(www.creditease.cn), GingerBread Capital(www.gingerbreadcap.com), Khosla Ventures(www.khoslaventures.com), LH Holdings(www.lhholdings.net), MasterCard(www.mastercard.us), Max Levchin(www.levchin.com), Morningstar(www.morningstar.com), Morningstar Capital(corporate1.morningstar.com), PayPal Holdings(www.paypal.com), Pivotal Ventures(www.pivotalventures.org), PSP Partners(www.psppartners.com/pspcapital), Rethink(www.rethink.vc/education), Rethink Impact(www.rethinkimpact.com), Ulu Ventures(www.uluventures.com), WestRiver Group(www.wrg.vc)</t>
  </si>
  <si>
    <t>Deloitte(Auditor), Gesmer Updegrove(Legal Advisor), Nomad Financial(Consulting), Silicon Valley Bank(General Business Banking)</t>
  </si>
  <si>
    <t>Gesmer Updegrove(Legal Advisor)</t>
  </si>
  <si>
    <t>42881-32</t>
  </si>
  <si>
    <t>Elevance Renewable Sciences</t>
  </si>
  <si>
    <t>Renewable Chemicals Corporation</t>
  </si>
  <si>
    <t>Ecovia Renewables, Rennovia, BioAmber</t>
  </si>
  <si>
    <t>Producer of a new generation bio-based specialty chemical products that outperform petrochemicals. The company's provides specialty chemical used with metathesis catalyst technology to transform renewable oils into novel and specialty chemicals, renewable olefins and a premium mixture of oleochemicals from natural renewable plant-based oils.</t>
  </si>
  <si>
    <t>Specialty Chemicals*</t>
  </si>
  <si>
    <t>natural oil, oleochemicals, petrochemical product, plant-based oils</t>
  </si>
  <si>
    <t>www.elevance.com</t>
  </si>
  <si>
    <t>2008: 40, 2009: 40, 2010: 40, 2011: 75, 2012: 73, 2014: 431, 2015: 332</t>
  </si>
  <si>
    <t>36361-72P</t>
  </si>
  <si>
    <t>K'Lynne Johnson</t>
  </si>
  <si>
    <t>kjohnson@akoyacapital.com</t>
  </si>
  <si>
    <t>+1 (630) 854-9746</t>
  </si>
  <si>
    <t>Woodridge, IL</t>
  </si>
  <si>
    <t>2501 Davey Road</t>
  </si>
  <si>
    <t>Woodridge</t>
  </si>
  <si>
    <t>60517</t>
  </si>
  <si>
    <t>+1 (866) 625-7103</t>
  </si>
  <si>
    <t>+1 (630) 633-7295</t>
  </si>
  <si>
    <t>info@elevance.com</t>
  </si>
  <si>
    <t>The company raised $89.68 million of Series E1 venture funding from undisclosed investors on June 11, 2018, putting the company's pre-money valuation at $1.4 billion.</t>
  </si>
  <si>
    <t>Cargill Ventures, Genting Genomics, Materia, Naxos Capital Partners, Saskatchewan Canola Development Commission, Total Energy Ventures, TPG Biotech, TPG Growth, U.S. Department of Energy</t>
  </si>
  <si>
    <t>Cargill Ventures(www.cargillventures.com), Materia(www.materia-inc.com), Naxos Capital Partners(www.naxos-capital.com), Saskatchewan Canola Development Commission(www.saskcanola.com), TPG Growth(www.tpggrowth.com), U.S. Department of Energy(www.energy.gov)</t>
  </si>
  <si>
    <t>J.P. Morgan(Underwriter), Jefferies Financial Group(Underwriter), Morgan Stanley(Underwriter), Piper Jaffray(Underwriter), Raymond James Financial(Underwriter)</t>
  </si>
  <si>
    <t>231773-14</t>
  </si>
  <si>
    <t>Elementary Robotics</t>
  </si>
  <si>
    <t>Meltin MMI, Kindred, TwentyBn</t>
  </si>
  <si>
    <t>Developer of humanoid robotics designed to bring physical actuation in the real-world environment. The company's platform offers cost effective, interactive and artificial intelligence powered robots, with breakthrough hardware and software, enabling robots to understand commands and respond efficiently.</t>
  </si>
  <si>
    <t>Electrical Equipment*, Other Commercial Products, Other Hardware, Other Software</t>
  </si>
  <si>
    <t>ai power, ai power robots, humanoid robotics, robotics study</t>
  </si>
  <si>
    <t>www.elementaryrobotics.com</t>
  </si>
  <si>
    <t>191190-79P</t>
  </si>
  <si>
    <t>Arye Barnehama</t>
  </si>
  <si>
    <t>arye@elementaryrobotics.com</t>
  </si>
  <si>
    <t>hello@elementaryrobotics.com</t>
  </si>
  <si>
    <t>The company raised $3.6 million of seed funding in a deal led by Fika Ventures and Fathom Capital on December 19, 2018, putting the company's pre-money valuation at $8.5 million. Toyota AI Ventures, Ubiquity Ventures, Riot Ventures, Osage University Partners, Stage Venture Partners and Idealab also participated in the round. Earlier, the company raised $1.25 million of seed funding from FoundersX Ventures on March 22, 2018, putting the company's pre-money valuation at $5 million.</t>
  </si>
  <si>
    <t>Fathom Capital, Fika Ventures, FoundersX Ventures, Idealab, KEC Ventures, Osage University Partners, Q Venture Partners, Rewired, Riot Ventures, Stage Venture Partners, Toyota AI Ventures, Ubiquity Ventures</t>
  </si>
  <si>
    <t>Fathom Capital(www.fathomcapital.com), Fika Ventures(www.fika.vc), FoundersX Ventures(www.foundersxventures.com), Idealab(www.idealab.com), KEC Ventures(www.kecventures.com), Osage University Partners(www.oup.vc), Q Venture Partners(www.qventure.partners), Rewired(www.rewired.com), Riot Ventures(riot.vc), Stage Venture Partners(www.stagevp.com), Toyota AI Ventures(www.toyota-ai.ventures), Ubiquity Ventures(www.ubiquity.vc)</t>
  </si>
  <si>
    <t>169690-51</t>
  </si>
  <si>
    <t>Element Analytics</t>
  </si>
  <si>
    <t>Versium, DATAlovers, 6Sense, Reach Analytics, RapidMiner, ReachForce, Infer, SalesLoft, Segment, HG Insights, Terminus, Unomy, Express Analytics, Clearbit, Radius (Database Software), The Big Willow, EverString, Peak Business Insight, Yext, Mintigo, True Influence, Triblio, Corporate360, AgilOne, Bombora, Lattice (Business/Productivity Software), Dun &amp; Bradstreet NetProspex, Outreach, Vendemore, Datanyze, BRIDGEi2i Analytics Solutions, Looker, FirstRain, Aviso, Zift Solutions, SproutLoud Media Networks, DiscoverOrg, OnStrategy, MeritDirect</t>
  </si>
  <si>
    <t>Provider of an industrial analytics software designed to make industrial data easy to use and turn it into insight and achieve new levels of operational performance. The company's industrial analytics software use industrial time-series data for actionable insight and blends other operational data with unprecedented high fidelity, enabling industrial organizations to surface reliability, productivity and sustainability insights for operations.</t>
  </si>
  <si>
    <t>data integration software, data management, data preparation, iiot, iiot platform, industrial analytics, industrial analytics software, industrial data analytics, industrial data analytics platform, industrial software</t>
  </si>
  <si>
    <t>www.elementanalytics.com</t>
  </si>
  <si>
    <t>2017: 22, 2018: 30</t>
  </si>
  <si>
    <t>154496-89P</t>
  </si>
  <si>
    <t>Andy Bane</t>
  </si>
  <si>
    <t>andy@elementanalytics.com</t>
  </si>
  <si>
    <t>+1 (415) 483-0310</t>
  </si>
  <si>
    <t>539 Bryant Street</t>
  </si>
  <si>
    <t>info@elementanalytics.com</t>
  </si>
  <si>
    <t>Aster Capital Partners sold a stake in the company to an undisclosed buyer. The company raised $19.5 million of in a combination of Series A, Series A1 and Series A2 funding from GE Ventures, Honeywell Ventures, ABB Technology Ventures on January 12, 2018, putting the company's pre-money valuation at an estimated $15 million. Mitsui &amp; Company, Aster and Blue Bear Capital, and Kleiner Perkins Caufield and Byers also participated in the round. The funds will be used to invest in software development, market development and operations.</t>
  </si>
  <si>
    <t>ABB Technology Ventures, Blue Bear Capital, GE Ventures, Honeywell Ventures, Kleiner Perkins, Mitsui &amp; Co.</t>
  </si>
  <si>
    <t>Aster Capital</t>
  </si>
  <si>
    <t>Blue Bear Capital(www.bluebearcap.com), GE Ventures(www.geventures.com), Kleiner Perkins(www.kleinerperkins.com), Mitsui &amp; Co.(www.mitsui.com)</t>
  </si>
  <si>
    <t>Aster Capital(www.aster.com)</t>
  </si>
  <si>
    <t>168852-25</t>
  </si>
  <si>
    <t>Element AI</t>
  </si>
  <si>
    <t>Provider of AI as a Service (AIaaS) platform designed to give deep domain expertise and access to cutting-edge technology. The company's AI as a Service (AIaaS) platform launches and incubates advanced Artificial Intelligence products in partnership with large corporations and research institutions, enabling businesses to avail premium services.</t>
  </si>
  <si>
    <t>Business/Productivity Software, Holding Companies, IT Consulting and Outsourcing*</t>
  </si>
  <si>
    <t>ai, ai for business, ai research, deep domain expertise, deep learning technology</t>
  </si>
  <si>
    <t>www.elementai.com</t>
  </si>
  <si>
    <t>2017: 190, 2018: 420</t>
  </si>
  <si>
    <t>75432-88P</t>
  </si>
  <si>
    <t>Jean-François Gagné</t>
  </si>
  <si>
    <t>jfgagne@elementai.com</t>
  </si>
  <si>
    <t>+1 (514) 379-3568</t>
  </si>
  <si>
    <t>6650 Saint-Urbain</t>
  </si>
  <si>
    <t>H2S 3G9</t>
  </si>
  <si>
    <t>The company raised $102 million of Series A venture funding in a deal led by Data Collective on June 14, 2017, putting the company's pre-money valuation at $198 million. Real Ventures, Business Development Bank of Canada, Fidelity Investments, Hanwha Investment, Intel Capital, Microsoft Ventures, National Bank of Canada, NVIDIA GPU Ventures, Tencent and other undisclosed investors also participated in the round. The company will use the funding to accelerate its capabilities and invest in large-scale AI projects internationally, solidifying its position as the global AI company in Canada and creating 250 jobs in the Canadian high tech sector by January 2018. BDC Capital also participated in it.</t>
  </si>
  <si>
    <t>500 Startups Canada, BDC Capital, Business Development Bank of Canada, Data Collective, Fidelity Investments, Hanwha Investment, Intel Capital, M12, National Bank of Canada, NVIDIA GPU Ventures, Real Ventures, Tencent Holdings</t>
  </si>
  <si>
    <t>500 Startups Canada(www.500canada.ca), Business Development Bank of Canada(www.bdc.ca), Data Collective(www.dcvc.com), Fidelity Investments(www.fidelity.com), Hanwha Investment(www.hanwhainvestment.co.kr), Intel Capital(www.intelcapital.com), M12(www.m12.vc), National Bank of Canada(www.nbc.ca), Real Ventures(www.realventures.com), Tencent Holdings(www.tencent.com)</t>
  </si>
  <si>
    <t>MaRS Discovery District(Advisor: General), Osler, Hoskin &amp; Harcourt(Legal Advisor)</t>
  </si>
  <si>
    <t>Osler, Hoskin &amp; Harcourt(Legal Advisor)</t>
  </si>
  <si>
    <t>113060-44</t>
  </si>
  <si>
    <t>Element (Mobile)</t>
  </si>
  <si>
    <t>LoginRadius, OneLogin, ForgeRock, Ping Identity, Okta, Centrify, Rsam, Onspring, Maclear, Duo Security, Alpha, SecureAuth, Gigya, OverWatchID, ScaleFT, Maestro Health, Secure Thingz, Ubisecure Solutions, Auth0, Core Security</t>
  </si>
  <si>
    <t>Developer of a mobile software created to eliminate the need for special hardware, creating a portable identity that can be used by anyone, anywhere.
 The company's software offers end-to-end biometric services that are used to build global immunization platforms, enable connected diagnostics, provide a digital identity resource for healthcare providers and empower access to financial services, enabling people who lack proper identification to be a part of the efficient and inclusive societies.</t>
  </si>
  <si>
    <t>biometric identity, biometric services, identity platform, mobile logistics, shared resources management</t>
  </si>
  <si>
    <t>www.discoverelement.com</t>
  </si>
  <si>
    <t>137501-02P</t>
  </si>
  <si>
    <t>Adam Perold</t>
  </si>
  <si>
    <t>+1 (646) 568-3231</t>
  </si>
  <si>
    <t>72 Greene Street</t>
  </si>
  <si>
    <t>hello@discoverelement.com</t>
  </si>
  <si>
    <t>The company raised $12 million of Series A1 venture funding in a deal led by PTB Ventures and GDP Venture on April 11, 2018, putting the company's pre-money valuation at $20 million. Recruit Strategic Partners, Boxgroup, MDI Ventures, Pandu Sjahrir, Scott Belsky, Box Group, SMDV and Recruit Strategic Partners and a number of large banks, telecom carriers in South East Asia and other undisclosed investors also participated in the round. Central Capital Ventura also participated in it.</t>
  </si>
  <si>
    <t>BoxGroup, Central Capital Ventura, GDP Venture, Maloekoe Ventures, MDI Ventures, PTB Ventures, Recruit Strategic Partners</t>
  </si>
  <si>
    <t>BoxGroup(www.boxgroup.com), Central Capital Ventura(www.centralcapital.vc), GDP Venture(www.gdpventure.com), Maloekoe Ventures(www.maloekoeventures.com), MDI Ventures(www.mdi.vc), PTB Ventures(www.ptbvc.com), Recruit Strategic Partners(recruitstrategicpartners.com)</t>
  </si>
  <si>
    <t>135410-32</t>
  </si>
  <si>
    <t>Electroninks</t>
  </si>
  <si>
    <t>Elephantech, Bare Conductive, Applied Nanotech Holdings, LittleBits, ANP</t>
  </si>
  <si>
    <t>Provider of a printed electronics technology intended to offer formulations, inks and products for consumer electronics. The company's printed electronics technology is engaged in the production of rollerball pens with conductive ink which are used to make electric circuits boards, enabling users to print fine resolutionized product and annealed it at low temperatures.
Provider of high-performance conductive inks based on a particle-free chemistry. This allows performance approaching bulk metal at annealing temperatures of ~100ºC using common printing techniques. There are many applications including EMI shielding, mobile display, printed antenna, as well as wearables. Electroninks also provides the conductive ink used by the Circuit Scribe product line through Electroninks Writeables - a wholly owned subsidiary.</t>
  </si>
  <si>
    <t>Application Specific Semiconductors, Electronic Components*</t>
  </si>
  <si>
    <t>circuit board, conductive ink, electric circuit board, electronics technology, e-textiles, fine resolution, print electronics</t>
  </si>
  <si>
    <t>www.electroninks.com</t>
  </si>
  <si>
    <t>2016: 4, 2017: 14</t>
  </si>
  <si>
    <t>122888-89P</t>
  </si>
  <si>
    <t>Brett Walker</t>
  </si>
  <si>
    <t>brett.walker@electroninks.com</t>
  </si>
  <si>
    <t>+1 (512) 766-7555</t>
  </si>
  <si>
    <t>3006 Longhorn Boulevard</t>
  </si>
  <si>
    <t>78754</t>
  </si>
  <si>
    <t>industrial@electroninks.com</t>
  </si>
  <si>
    <t>The company raised $3.8 million of Series A venture funding from Bandgap Ventures in November 2015, putting the company's pre-money valuation at $8.38 million. Follow on investor Applied Ventures also participated in the round.</t>
  </si>
  <si>
    <t>Applied Ventures, Bandgap Ventures, National Science Foundation</t>
  </si>
  <si>
    <t>Bandgap Ventures(www.bandgapventures.com), National Science Foundation(seedfund.nsf.gov)</t>
  </si>
  <si>
    <t>107235-19</t>
  </si>
  <si>
    <t>Electric Sky</t>
  </si>
  <si>
    <t>Producer of wine designed to disrupt the traditional wine business. The company's wine comes in recyclable bottles, reusable and BPA-free plastic as well as designed in standard sizes and shapes, enabling consumers to save themselves from buying glasses and corkscrews.</t>
  </si>
  <si>
    <t>brewery, recycling bottles, standards wine sizing, wine, wine brewery</t>
  </si>
  <si>
    <t>www.electricskywine.com</t>
  </si>
  <si>
    <t>181766-26P</t>
  </si>
  <si>
    <t>Maggie Bolin</t>
  </si>
  <si>
    <t>Director, Sales</t>
  </si>
  <si>
    <t>The company raised an undisclosed amount of venture funding from ZX Ventures in 2018.</t>
  </si>
  <si>
    <t>Anheuser-Busch, Interscope Records, ZX Ventures</t>
  </si>
  <si>
    <t>Anheuser-Busch(www.anheuser-busch.com), Interscope Records(www.interscope.com), ZX Ventures(www.zx-ventures.com)</t>
  </si>
  <si>
    <t>61080-94</t>
  </si>
  <si>
    <t>Elastifile</t>
  </si>
  <si>
    <t>Coho Data, Maxta, Datrium, Cleversafe, Pure Storage, StorPool, Excelero, E8 Storage, Cloudian, Springpath, Nasuni, Caringo, Unitrends, Qumulo, ioFabric, Dell EMC, Delphix, Nimble Storage, SwiftStack, Tegile, Cohesity, DataCore Software, Hitachi Vantara, Scale Computing, Scality, Veeam, WekaIO, Pivot3, Druva, Sumo Logic, Stratoscale, Imanis Data, VMware, Actifio, SimpliVity, Nutanix, Datera, Cloudyn Software, CloudVelox</t>
  </si>
  <si>
    <t>Developer of a data fabric storage technology for large data centers and private clouds intended to empower enterprises and their users by data. The company's Elastifile Cloud File System enables users to combine cloud services technology, virtualization and data communications components in a unified storage, enabling enterprises to enhance performace.</t>
  </si>
  <si>
    <t>Database Software, Storage (IT)*</t>
  </si>
  <si>
    <t>converged compute, primary storage, primary storage technology, private cloud storage, storage technology</t>
  </si>
  <si>
    <t>www.elastifile.com</t>
  </si>
  <si>
    <t>2016: 56, 2017: 100</t>
  </si>
  <si>
    <t>Competitor (New) VMware</t>
  </si>
  <si>
    <t>39112-66P</t>
  </si>
  <si>
    <t>Amir Aharoni</t>
  </si>
  <si>
    <t>amir.a@cukierman.co.il</t>
  </si>
  <si>
    <t>+972 (0)3 695 0666</t>
  </si>
  <si>
    <t>2880 Lakeside Drive</t>
  </si>
  <si>
    <t>Suite 228</t>
  </si>
  <si>
    <t>info@elastifile.com</t>
  </si>
  <si>
    <t>The company raised $16 million of venture funding in a round led by Western Digital Capital on September 6, 2017. CEIF, Lightspeed Venture Partners, Battery Ventures, Dell Technologies Capital and Cisco Investments also participated in this round. The company, which has raised over $65 million, intends to use the funds to continue to expand operations.</t>
  </si>
  <si>
    <t>Battery Ventures, CEIIF, Cisco Investments, Dell Technologies Capital, Lightspeed Venture Partners, Lightspeed Venture Partners Israel, SanDisk Ventures, Western Digital Capital</t>
  </si>
  <si>
    <t>Battery Ventures(www.battery.com), CEIIF(www.ceiif.com), Cisco Investments(www.ciscoinvestments.com), Lightspeed Venture Partners(www.lsvp.com), Western Digital Capital(www.westerndigitalcapital.com)</t>
  </si>
  <si>
    <t>57082-96</t>
  </si>
  <si>
    <t>eko (Entertainment Software)</t>
  </si>
  <si>
    <t>Interlude</t>
  </si>
  <si>
    <t>Developer of an online media and technology platform designed to be used as a medium where viewers shape the story as it unfolds. The company online media and technology platform is an interactive storytelling application software, enabling consumers to create in real time a unique and dynamic version of a video that is based on pre-recorded audio or video segments and it also lets creators and publishers to view a multi-branch tree structured video.</t>
  </si>
  <si>
    <t>Entertainment Software*, Movies, Music and Entertainment, Multimedia and Design Software</t>
  </si>
  <si>
    <t>online media and technology platform, online video, pre recorded audio, video creator</t>
  </si>
  <si>
    <t>company.helloeko.com</t>
  </si>
  <si>
    <t>2014: 51, 2015: 75, 2016: 60</t>
  </si>
  <si>
    <t>50896-27P</t>
  </si>
  <si>
    <t>Barak Feldman</t>
  </si>
  <si>
    <t>barak@interlude.fm</t>
  </si>
  <si>
    <t>235 Park Avenue South</t>
  </si>
  <si>
    <t>The company received $75 million of financing from Sony Pictures Entertainment on June 16, 2016. Prior to this, the company raised $18.2 million of venture funding in a deal led by MGM Studios on December 8, 2015. Warner Music Group, Marker, Samsung Venture Investment, Sequoia Capital Israel, Intel Capital, WPP and other undisclosed investors also participated in the round.</t>
  </si>
  <si>
    <t>Innovation Endeavors, Intel Capital, Marker, MGM Studios, New Enterprise Associates, Samsung Venture Investment, Sequoia Capital Israel, SGVC, Sony Pictures Entertainment, Warner Music Group, WPP</t>
  </si>
  <si>
    <t>Innovation Endeavors(www.innovationendeavors.com), Intel Capital(www.intelcapital.com), Marker(www.marker-llc.com), MGM Studios(www.mgm.com), New Enterprise Associates(www.nea.com), Samsung Venture Investment(www.samsungventures.com), SGVC(www.sg-vc.com), Sony Pictures Entertainment(www.sonypictures.com), WPP(www.wpp.com)</t>
  </si>
  <si>
    <t>Erdinast Ben Nathan Toledano &amp; Co.(Legal Advisor), Gross Kleinhendler Hodak Halevy Greenberg &amp; Co.(Legal Advisor)</t>
  </si>
  <si>
    <t>112941-64</t>
  </si>
  <si>
    <t>Eight</t>
  </si>
  <si>
    <t>Morphy, Luna Sleep</t>
  </si>
  <si>
    <t>Jawbone, Beddit, Airweave, Moov</t>
  </si>
  <si>
    <t>Developer of a smart mattress designed to innovative the sleep experience through comfort and technology. The company's mattress leverages innovation, technology and personal biometrics to restore individuals to their peak energy levels each morning, enabling users to manage and track their sleep.</t>
  </si>
  <si>
    <t>Electronics (B2C)*, Home Furnishings</t>
  </si>
  <si>
    <t>Internet of Things, LOHAS &amp; Wellness, TMT</t>
  </si>
  <si>
    <t>digital health, sleep technology, sleep tracker, smart beds, smart mattress, track sleep patterns, wearable</t>
  </si>
  <si>
    <t>www.eightsleep.com</t>
  </si>
  <si>
    <t>2015: 8, 2016: 14, 2018: 35</t>
  </si>
  <si>
    <t>91812-97P</t>
  </si>
  <si>
    <t>Matteo Franceschetti</t>
  </si>
  <si>
    <t>matteo@eightsleep.com</t>
  </si>
  <si>
    <t>+1 (646) 476-0083</t>
  </si>
  <si>
    <t>25 West 26th Street</t>
  </si>
  <si>
    <t>The company raised $14 million through a combination of debt and Series B venture funding led by Soma Capital and Khosla Ventures on March 8, 2018, putting the company's pre-money valuation at $35 million. Timeless Group, Y Combinator, Maywic Select Investments, Redo ventures and Yunqi Partners also participated in the round. The funds will be used for distribution expansion and developing the new generation of sleep enhancement products.</t>
  </si>
  <si>
    <t>AltaIR Capital, Azure Capital Partners, Blue Scorpion Investments, Brian Sheng, ChinaRock Capital Management, Claudio Cherubino, Comcast Ventures, Cota Capital, Elizabeth Hamrick, Farzam Kamel, Founders Den, Fresh VC, FundersClub, Gabriele Bodda, Gabriele Scoditti, Ironfire Ventures, Khosla Ventures, Level.VC, Luca Ferrari, Marco Scarpella, Marco Sgrignuoli, Maywic Select Investments, Mick Eddy, NKM Capital, Paul Holliman, Redo Ventures, Ruvento Ventures, SGH Capital, Sinovation Ventures, Soma Capital, Stanford University Venture Fund, StartX, SV Tech Ventures, Sway Ventures, TIA Ventures, Timeless Media, Upslope Ventures, Varsity Ventures, Vast Ventures, Will Bunker, Wills Hapsworth, Y Combinator, Yunqi Partners</t>
  </si>
  <si>
    <t>AltaIR Capital(www.altair.vc), Azure Capital Partners(www.azurecap.com), Blue Scorpion Investments(www.bluescorpioninv.com), ChinaRock Capital Management(www.crcm.com), Comcast Ventures(www.comcastventures.com), Cota Capital(www.cotacapital.com), Founders Den(www.foundersden.com), Fresh VC(www.freshvc.com), FundersClub(www.fundersclub.com), Ironfire Ventures(www.ironfireventures.com), Khosla Ventures(www.khoslaventures.com), Level.VC(www.levelvc.com), Maywic Select Investments(www.maywic.com), NKM Capital(www.nkmcap.com), Redo Ventures(www.redoventures.com), Ruvento Ventures(www.ruvento.com), SGH Capital(www.sghcapital.com), Sinovation Ventures(www.sinovationventures.com), Soma Capital(somacap.com), StartX(www.startx.com), SV Tech Ventures(www.svtechventures.us), Sway Ventures(www.swayvc.com), TIA Ventures(www.tiaventures.com), Timeless Media(www.timelessmedia.com), Upslope Ventures(www.upslope.vc), Vast Ventures(www.vastvc.com), Y Combinator(www.ycombinator.com), Yunqi Partners(www.yunqi.vc)</t>
  </si>
  <si>
    <t>ASTRSK PR(Advisor: Communications), Indiegogo(Lead Manager or Arranger)</t>
  </si>
  <si>
    <t>99071-20</t>
  </si>
  <si>
    <t>EgzoTech</t>
  </si>
  <si>
    <t>Egzo Tech</t>
  </si>
  <si>
    <t>Developer and producer of robotized rehabilitation devices and exoskeleton created to help orthopedic and neurological patients. The company's device uses reactive electromyography to train the sensorimotor cortex, enabling physiotherapists to actively train clinically weak patients and provide them with better care.</t>
  </si>
  <si>
    <t>Therapeutic Devices*</t>
  </si>
  <si>
    <t>isokinetic exercise, kinesiotherapy, neurorehabilitation device, orthopedic technology, orthopedic therapy</t>
  </si>
  <si>
    <t>www.egzotech.com</t>
  </si>
  <si>
    <t>2014: 6</t>
  </si>
  <si>
    <t>196387-48P</t>
  </si>
  <si>
    <t>Michael Mikulski</t>
  </si>
  <si>
    <t>michael@egzotech.com</t>
  </si>
  <si>
    <t>+48 32 750 4945</t>
  </si>
  <si>
    <t>Gliwice, Poland</t>
  </si>
  <si>
    <t>Ul. Traugutta 6H</t>
  </si>
  <si>
    <t>Gliwice</t>
  </si>
  <si>
    <t>44-100</t>
  </si>
  <si>
    <t>office@egzotech.com</t>
  </si>
  <si>
    <t>The company raised an undisclosed amount of venture funding in the form of convertible debt from ASI Bitspiration Booster in December, 2017.</t>
  </si>
  <si>
    <t>ASI Bitspiration Booster, Auger Venture, European Regional Development Fund, Foundation for Polish Science, Google For Entrepreneurs, JCI Venture, Portal Funduszy Europejskich, SATUS Venture</t>
  </si>
  <si>
    <t>ASI Bitspiration Booster(www.booster.bitspiration.com), Auger Venture(www.augereventure.pl), European Regional Development Fund(www.efre.brandenburg.de/cms/detail.php/bb1.c.152414.de), Google For Entrepreneurs(www.googleforentrepreneurs.com), JCI Venture(www.jciventure.pl), Portal Funduszy Europejskich(www.funduszeeuropejskie.gov.pl), SATUS Venture(www.satus.pl)</t>
  </si>
  <si>
    <t>62199-82</t>
  </si>
  <si>
    <t>Efinix</t>
  </si>
  <si>
    <t>Rigetti, 1QBit</t>
  </si>
  <si>
    <t>Developer of programmable logic cores designed to serve markets with products and technology licensing. The company's programmable logic cores offer OPM programmable devices that include mask programmable memory to store configuration files for consumer electronics, enabling the IC products market build better programmable devices and decrease the cost of development.</t>
  </si>
  <si>
    <t>ic product, programmable device, programmable logic cores, technology licensing</t>
  </si>
  <si>
    <t>www.efinixinc.com</t>
  </si>
  <si>
    <t>2014: 20, 2015: 22</t>
  </si>
  <si>
    <t>64249-39P</t>
  </si>
  <si>
    <t>Sammy Cheung</t>
  </si>
  <si>
    <t>Chief Executive Officer, Board Member, Co-Founder and President</t>
  </si>
  <si>
    <t>sammy@efinixinc.com</t>
  </si>
  <si>
    <t>+1 (408) 789-6917</t>
  </si>
  <si>
    <t>The company raised $9.5 million of venture funding in a round led by Xilinx and Hong Kong X-Tech on September 26, 2017. Samsung Ventures Investment, Hong Kong Inno Capital and Brizan Investments also participated in the round. The funds will be used to accelerate the market deployment of its Quantum™ programmable technology with a focus on deep learning and compute acceleration.</t>
  </si>
  <si>
    <t>Agensi Inovasi Malaysia, Brizan Investments, Hong Kong Inno Capital, Hong Kong X-Tech, Individual Investor, Malaysia Venture Capital Management, Samsung Venture Investment, Xilinx</t>
  </si>
  <si>
    <t>Agensi Inovasi Malaysia(innovation.my), Hong Kong X-Tech(hkxtech.com), Malaysia Venture Capital Management(www.mavcap.com), Samsung Venture Investment(www.samsungventures.com), Xilinx(www.xilinx.com)</t>
  </si>
  <si>
    <t>185202-19</t>
  </si>
  <si>
    <t>Edgybees</t>
  </si>
  <si>
    <t>Edgy Bees</t>
  </si>
  <si>
    <t>PreNav, PrecisionHawk, Identified Technologies</t>
  </si>
  <si>
    <t>Developer of an augmented reality technology created for high-speed moving platforms. The company's technology fuses 3D video generation, computer vision and multi-sensor data analytics to provide a highly contextual visual presence of non-tangible intelligence, enabling military and emergency first responders to get instant, accurate visibility and collaboration.</t>
  </si>
  <si>
    <t>Business/Productivity Software*, Government</t>
  </si>
  <si>
    <t>Augmented Reality, Robotics and Drones, TMT</t>
  </si>
  <si>
    <t>augmented real time intelligence, collaborative virtual world, multi sensor data analytics, visual augmented intelligence, visually-enhanced real time communications</t>
  </si>
  <si>
    <t>www.edgybees.com</t>
  </si>
  <si>
    <t>2018: 12, 2019: 18</t>
  </si>
  <si>
    <t>171104-32P</t>
  </si>
  <si>
    <t>Menashe Haskin</t>
  </si>
  <si>
    <t>menashe@edgybees.com</t>
  </si>
  <si>
    <t>400 Florence Street</t>
  </si>
  <si>
    <t>info@edgybees.com</t>
  </si>
  <si>
    <t>The company raised $5.5 million of seed funding from Motorola Solutions Venture Capital, Verizon Ventures and OurCrowd on February 28, 2018. 8VC, NFX, and Aspect Ventures also participated in the round. The funds will be used to bring the company's AR technology to new verticals, including defense, smart cities, automotive and broadcast media as well as expand their operations. Previously, the company joined The Bridge by Coca-Cola as part of the 2018 Class.</t>
  </si>
  <si>
    <t>8VC, Aspect Ventures, Motorola Solutions Venture Capital, NFX, OurCrowd, The Bridge by Coca-Cola, Verizon Ventures</t>
  </si>
  <si>
    <t>8VC(www.8vc.com), Aspect Ventures(www.aspectventures.com), NFX(www.nfx.com), OurCrowd(www.ourcrowd.com), The Bridge by Coca-Cola(www.thebridgebycocacola.com), Verizon Ventures(www.verizonventures.com)</t>
  </si>
  <si>
    <t>231918-85</t>
  </si>
  <si>
    <t>Edgeworx</t>
  </si>
  <si>
    <t>Edge</t>
  </si>
  <si>
    <t>Developer of a computing application platform intended to provide a standardized way to develop and remotely deploy secure micro services to edge computing devices. The company's platform standardizes running software at the edge by enabling micro services to run quickly, easily and reliably on all but the lowest powered edge devices and makes deployment simple by abstracting the underlying hardware to provide a common compute platform that enables the same software to run on any device, allowing developers to package and deploy their applications to each device using containerization technologies such as Docker and Unikernels.</t>
  </si>
  <si>
    <t>Artificial Intelligence &amp; Machine Learning, Internet of Things, SaaS, TMT</t>
  </si>
  <si>
    <t>fog computing, gateway edge, mesh network, micro data center edge, secure software platform, self-organizing software network</t>
  </si>
  <si>
    <t>www.edgeworx.io</t>
  </si>
  <si>
    <t>191604-79P</t>
  </si>
  <si>
    <t>Kilton Hopkins</t>
  </si>
  <si>
    <t>kilton.hopkins@edgeworx.io</t>
  </si>
  <si>
    <t>2933 Hillegass Avenue</t>
  </si>
  <si>
    <t>94705</t>
  </si>
  <si>
    <t>info@edgeworx.io</t>
  </si>
  <si>
    <t>The company raised an undisclosed amount of venture funding from Samsung NEXT Ventures, Sequoia Capital and CloudScale Capital Partners on October 30, 2018.</t>
  </si>
  <si>
    <t>CloudScale Capital Partners, Samsung NEXT Ventures, Sequoia Capital</t>
  </si>
  <si>
    <t>CloudScale Capital Partners(www.cloudscalecapital.com), Samsung NEXT Ventures(www.samsungnext.com), Sequoia Capital(www.sequoiacap.com)</t>
  </si>
  <si>
    <t>52793-20</t>
  </si>
  <si>
    <t>EdgeConneX</t>
  </si>
  <si>
    <t>Teraco Data Environments, Telx Group, Level 3 Communications, DuPont Fabros Technology, 365 Data Centers, Colt Technology Services, Flexential, Hostway Services, Rackspace US, Internap, C7 Data Centers, VIRTUS Data Centres, AirTrunk, Switch Datacenters Amsterdam, Stream Data Centers, ByteGrid Holdings, DataGryd Data Centers, TierPoint, vXchnge, Vantage Data Centers, Cyxtera Technologies, CDNify, Cogeco Peer 1, eStruxture Data Centers, Lumos Networks, Ajubeo, DataBank, Attenda, Trustteam, Interoute Communications, Fastly, FiberLight, EarthLink, H5 Colo, Silver Peak, Versa Networks, Nokia Networks, CDNetworks, Interxion, Radware, Aligned Energy, Datapipe</t>
  </si>
  <si>
    <t>Provider of space, power &amp; connectivity to deliver digital content. The company provides facilities for the location of telecommunications network equipment and computer servers with other co-hosting services.</t>
  </si>
  <si>
    <t>Other Communications and Networking, Systems and Information Management*</t>
  </si>
  <si>
    <t>data center location, network design, network infrastructure</t>
  </si>
  <si>
    <t>www.edgeconnex.com</t>
  </si>
  <si>
    <t>2011: 11, 2012: 15, 2013: 36, 2014: 51, 2015: 72, 2016: 86</t>
  </si>
  <si>
    <t>Competitor (New) vXchnge</t>
  </si>
  <si>
    <t>55062-46P</t>
  </si>
  <si>
    <t>Andrea Fezuk</t>
  </si>
  <si>
    <t>Vice President, Finance &amp; Treasurer</t>
  </si>
  <si>
    <t>cfezuk@edgeconnex.com</t>
  </si>
  <si>
    <t>+1 (866) 304-3217</t>
  </si>
  <si>
    <t>2201 Cooperative Way</t>
  </si>
  <si>
    <t>20171</t>
  </si>
  <si>
    <t>info@edgeconnex.com</t>
  </si>
  <si>
    <t>The company raised an undisclosed amount of venture funding from Liberty Global Ventures and Providence Equity Partners on February 3, 2015.</t>
  </si>
  <si>
    <t>Akamai Technologies, Brown Brothers Harriman Capital Partners, Comcast Ventures, Liberty Global Ventures, Meritage Funds, Providence Equity Partners, TDF Ventures, True Ventures</t>
  </si>
  <si>
    <t>Akamai Technologies(www.akamai.com), Comcast Ventures(www.comcastventures.com), Meritage Funds(www.meritagefunds.com), Providence Equity Partners(www.provequity.com), TDF Ventures(www.tdfventures.com), True Ventures(www.trueventures.com)</t>
  </si>
  <si>
    <t>CMG Partners(Consulting), Redwood Valuation Partners(Valuation/Appraiser), Square 1 Bank(Advisor: General)</t>
  </si>
  <si>
    <t>Franklin Court Partners(Advisor: General)</t>
  </si>
  <si>
    <t>113116-96</t>
  </si>
  <si>
    <t>Eden (Office Management Platform)</t>
  </si>
  <si>
    <t>Wizards Lab</t>
  </si>
  <si>
    <t>Hivy, WorkFusion, Field Nation, Gigwalk, ToutApp</t>
  </si>
  <si>
    <t>Provider of an office management services platform intended to create a better place to work, for everyone. The company's online platform that helps in addressing and solving any technology-related issue such as office cleaning, supply stocking, IT support, handyman services and taskers, enabling organization to get full-stack solution for office management.</t>
  </si>
  <si>
    <t>handyman services, office management service, supply stock, technicians marketplace</t>
  </si>
  <si>
    <t>www.eden.io</t>
  </si>
  <si>
    <t>101207-35P</t>
  </si>
  <si>
    <t>Joseph Du Bey</t>
  </si>
  <si>
    <t>joe@edentech.co</t>
  </si>
  <si>
    <t>+1 (800) 754-3166</t>
  </si>
  <si>
    <t>54 Gilbert Street</t>
  </si>
  <si>
    <t>The company raised $13.31 million of Series A venture funding in a deal led by s28 Capital on July 10, 2017, putting the company's pre-money valuation at $19.9 million. Comcast Ventures, Maven Ventures, Bessemer Venture Partners, Plug and Play Tech Center, Fifth Wall Ventures, Upshift Capital, Social Starts, Canvas Ventures, Eniac Ventures and Y Combinator also participated in the round. The company intends to use the funding to expand beyond its current markets, which include San Francisco, Los Angeles, New York and Austin, as well as hiring more engineers and professionals.</t>
  </si>
  <si>
    <t>Bessemer Venture Partners, Canvas Ventures, Comcast Ventures, Eniac Ventures, Fifth Wall Ventures, Fort Ventures, FundersClub, Index Ventures (UK), James Beshara, Kensington Capital Holdings, Kindling Capital, Liquid 2 Ventures, Maven Ventures, Paul Holliman, Plug and Play Tech Center, Redpoint Ventures, S28 Capital, Slow Ventures, Social Starts, Stanford Management Company, StartX, SV Angel, TriplePoint Capital, Upshift Capital, Wefunder, Y Combinator</t>
  </si>
  <si>
    <t>Bessemer Venture Partners(www.bvp.com), Canvas Ventures(www.canvas.vc), Comcast Ventures(www.comcastventures.com), Eniac Ventures(www.eniac.vc), Fifth Wall Ventures(www.fifthwall.vc), Fort Ventures(www.fort-ventures.com), FundersClub(www.fundersclub.com), Index Ventures (UK)(www.indexventures.com), James Beshara(about.me/jamesbeshara), Kensington Capital Holdings(www.kensingtoncapital.com), Kindling Capital(www.kindlingcapital.com), Liquid 2 Ventures(www.liquid2.vc), Maven Ventures(www.mavenventures.com), Plug and Play Tech Center(www.plugandplaytechcenter.com), Redpoint Ventures(www.redpoint.com), S28 Capital(www.s28capital.com), Slow Ventures(www.slow.co), Social Starts(www.socialstarts.com), Stanford Management Company(smc.stanford.edu), StartX(www.startx.com), SV Angel(www.svangel.com), TriplePoint Capital(www.triplepointcapital.com), Upshift Capital(www.upshiftcapital.com), Wefunder(www.wefunder.com), Y Combinator(www.ycombinator.com)</t>
  </si>
  <si>
    <t>105226-66</t>
  </si>
  <si>
    <t>EcoisMe</t>
  </si>
  <si>
    <t>Developer of a smart home energy monitoring system designed to track energy consumption for devices. The company's system detects electricity consumption of home appliances and eliminates grid and solar energy overuse, enabling home owners to reduce their electricity consumption and get alerts about devices left turned on.</t>
  </si>
  <si>
    <t>Application Software, Electronics (B2C)*, Other Equipment</t>
  </si>
  <si>
    <t>CleanTech, Internet of Things, LOHAS &amp; Wellness, TMT</t>
  </si>
  <si>
    <t>energy monitoring, energy saving technology, power efficiency device, sensors, track energy consumption</t>
  </si>
  <si>
    <t>www.ecoisme.com</t>
  </si>
  <si>
    <t>2016: 11, 2018: 7</t>
  </si>
  <si>
    <t>102567-70P</t>
  </si>
  <si>
    <t>Anton Diatlov</t>
  </si>
  <si>
    <t>anton.diatlov@ecois.me</t>
  </si>
  <si>
    <t>Kemp House</t>
  </si>
  <si>
    <t>160, City Road</t>
  </si>
  <si>
    <t>EC1V 2NX</t>
  </si>
  <si>
    <t>info@ecois.me</t>
  </si>
  <si>
    <t>The company raised an undisclosed amount of venture funding from K&amp;T Capital on October 25, 2018. Earlier, the company joined Arkley brinc and received an undisclosed amount in funding.</t>
  </si>
  <si>
    <t>408 Ventures, Arkley The Accelerator VC, Deutsche Telekom Capital Partners, Happy Farm, Horizon 2020, Hubraum, IBM SmartCamp, IDCEE, K&amp;T Capital, Liberty Global Ventures, Startup Sauna, Techstars, TURN8, Virgin Media Business</t>
  </si>
  <si>
    <t>408 Ventures(www.408ventures.com), Arkley The Accelerator VC(www.arkley.ventures), Deutsche Telekom Capital Partners(www.telekom-capital.com), Happy Farm(www.happyfarm.com.ua), Hubraum(www.hubraum.com), IBM SmartCamp(www.smartcamp2016.com), IDCEE(idcee.org), K&amp;T Capital(www.ktcapital.com), Startup Sauna(www.startupsauna.com), Techstars(www.techstars.com), TURN8(www.turn8.co), Virgin Media Business(www.virginmediabusiness.co.uk)</t>
  </si>
  <si>
    <t>184793-50</t>
  </si>
  <si>
    <t>EcoG</t>
  </si>
  <si>
    <t>Ecog Emobility</t>
  </si>
  <si>
    <t>Provider of an Internet of Things platform intended for electric vehicle charging that can be integrated into local businesses. The company's Internet of Things platform offers a customized electric vehicle fast charging experience through a PaaS for value added services and shared revenue streams, enabling high performance chargers owners and operators to differentiate their HPC business with value added services.</t>
  </si>
  <si>
    <t>Other Business Products and Services, Social/Platform Software*</t>
  </si>
  <si>
    <t>cloud platform, ev charging platform, internet of things platform, internet of things service</t>
  </si>
  <si>
    <t>www.ecog.io</t>
  </si>
  <si>
    <t>2017: 3, 2018: 20</t>
  </si>
  <si>
    <t>172943-65P</t>
  </si>
  <si>
    <t>Jorg Heuer</t>
  </si>
  <si>
    <t>jorg@ecog.io</t>
  </si>
  <si>
    <t>Furth, Germany</t>
  </si>
  <si>
    <t>Gaenslerweg 24</t>
  </si>
  <si>
    <t>Furth</t>
  </si>
  <si>
    <t>82041</t>
  </si>
  <si>
    <t>info@ecog.io</t>
  </si>
  <si>
    <t>The company joined Techstars as part of its Mobility Class of 2017 and received $120,000 in funding on July 17, 2017. As the part of transaction, the $100,000 was received in the form of convertible debt.</t>
  </si>
  <si>
    <t>Next47, Right Side Capital Management, Techstars</t>
  </si>
  <si>
    <t>Next47(Next47.com), Right Side Capital Management(www.rightsidecapital.com), Techstars(www.techstars.com)</t>
  </si>
  <si>
    <t>52917-94</t>
  </si>
  <si>
    <t>Ecobee</t>
  </si>
  <si>
    <t>Avaning</t>
  </si>
  <si>
    <t>Switchee, Venstar</t>
  </si>
  <si>
    <t>Developer of Wi-Fi enabled thermostats created to deliver intelligent energy management services to homeowners and businesses across North America. The company develops and sells Wi-Fi-enabled smart thermostats with remote sensors for residential and commercial applications. It maximizes comfort and savings without compromising customers lifestyle and keeps the home comfort while conserving energy, enabling customers to understand, manage and reduce their energy consumption and save money.</t>
  </si>
  <si>
    <t>Electronics (B2C)*, Energy Storage, Other Energy Services</t>
  </si>
  <si>
    <t>digital thermostats, energy saving devices, green technology, smart wifi thermostats, wifi enabled thermostats</t>
  </si>
  <si>
    <t>www.ecobee.com</t>
  </si>
  <si>
    <t>2014: 70, 2015: 71, 2016: 117, 2018: 350</t>
  </si>
  <si>
    <t>13517-83P</t>
  </si>
  <si>
    <t>Stuart Lombard</t>
  </si>
  <si>
    <t>stuart@ecobee.com</t>
  </si>
  <si>
    <t>+1 (877) 932-6233</t>
  </si>
  <si>
    <t>207 Queens Quay West</t>
  </si>
  <si>
    <t>M5J 1A7</t>
  </si>
  <si>
    <t>info@ecobee.com</t>
  </si>
  <si>
    <t>The company raised $98 million of Series C venture funding in a deal led by Caisse de dépôt et placement du Québec, Energy Impact Partners, AGL Energy, Business Development Bank of Canada, and Export Development Canada on May 31, 2018. Thomvest, Relay Ventures, Amazon Alexa Fund, North Leaf Capital Partners, Ontario Capital Growth Corporation, Tech Capital, GXP Investments and other undisclosed investors also participated in the round. The funds will be used to expand into different smart home categories. The Series C round included some capital raised through a secondary sale of shares. The company has raised a total of $146 million. BDC Capital also participated in it.</t>
  </si>
  <si>
    <t>AGL New Energy Investments, Amazon Alexa Fund, BDC Capital, Business Development Bank of Canada, Caisse de dépôt et placement du Québec, Carrier Corporation, Energy Impact Partners, Evergy Ventures, Export Development Canada, JLA Ventures, Just Energy Group, Northleaf Capital Partners, Ontario Capital Growth Corporation, Relay Ventures, Tech Capital Partners, The Australian Gas Light Company, Thomvest Ventures</t>
  </si>
  <si>
    <t>Amazon Alexa Fund(developer.amazon.com/alexa-fund), Business Development Bank of Canada(www.bdc.ca), Caisse de dépôt et placement du Québec(www.cdpq.com), Carrier Corporation(www.corp.carrier.com), Energy Impact Partners(www.energyimpactpartners.com), Evergy Ventures(www.evergyventures.com), Export Development Canada(www.edc.ca), JLA Ventures(www.jlaventures.com), Just Energy Group(www.justenergygroup.com), Northleaf Capital Partners(www.northleafcapital.com), Ontario Capital Growth Corporation(www.ocgc.gov.on.ca), Relay Ventures(www.relayventures.com), Tech Capital Partners(www.techcapital.com), The Australian Gas Light Company(www.agl.com.au), Thomvest Ventures(www.thomvest.com)</t>
  </si>
  <si>
    <t>Gunderson Dettmer(Legal Advisor), MaRS Discovery District(Advisor: General), Martyn Bassett Associates(Consulting)</t>
  </si>
  <si>
    <t>Barclays Bank UK(Advisor: General), Canaccord Genuity(Advisor: General), Greentech Capital Advisors(Advisor: General), Gunderson Dettmer(Legal Advisor), MaRS Discovery District(Advisor: General)</t>
  </si>
  <si>
    <t>109342-99</t>
  </si>
  <si>
    <t>Eccrine Systems</t>
  </si>
  <si>
    <t>Intelesens, VitalConnect, Multisensor Diagnostics, Sphere Medical Holding, Tricog</t>
  </si>
  <si>
    <t>Developer of a disposable electronic patch designed to measure electrolytes and stress levels. The company's sweat technology tracks certain biomarkers through wearable sensors and detects whether people are dehydrated, sick or if someone's medications aren't working properly, enabling the broadest translation of human foundational technology and IP portfolio into market leading products and solutions.</t>
  </si>
  <si>
    <t>measuring stress leveling, sweat monitor, sweat sensor</t>
  </si>
  <si>
    <t>www.eccrinesystems.com</t>
  </si>
  <si>
    <t>2015: 11, 2016: 20, 2018: 34</t>
  </si>
  <si>
    <t>94284-46P</t>
  </si>
  <si>
    <t>Richard Egan</t>
  </si>
  <si>
    <t>President &amp; Chief Financial Officer</t>
  </si>
  <si>
    <t>regan@eccrinesystems.com</t>
  </si>
  <si>
    <t>+1 (513) 549-4307</t>
  </si>
  <si>
    <t>Cincinnati, OH</t>
  </si>
  <si>
    <t>1776 Mentor Avenue</t>
  </si>
  <si>
    <t>Cincinnati</t>
  </si>
  <si>
    <t>45212</t>
  </si>
  <si>
    <t>info@eccrinesystems.com</t>
  </si>
  <si>
    <t>The company raised $6.63 million of Series B venture funding from CincyTech and Connetic Ventures on July 10, 2018.</t>
  </si>
  <si>
    <t>CincyTech, Connetic Ventures, KTECH Capital, Maxim Ventures, Ohio Innovation Fund</t>
  </si>
  <si>
    <t>CincyTech(www.cincytechusa.com), Connetic Ventures(www.connetic.ventures), KTECH Capital(www.ktechcapital.com), Maxim Ventures(www.maximventures.com), Ohio Innovation Fund(www.ohioinnovationfund.com)</t>
  </si>
  <si>
    <t>Clark Schaefer Hackett(Auditor), PNC(General Business Banking)</t>
  </si>
  <si>
    <t>Ohio Third Frontier(Debt Financing)</t>
  </si>
  <si>
    <t>158591-89</t>
  </si>
  <si>
    <t>Earny</t>
  </si>
  <si>
    <t>Boku, Kount, Wallaby Financial, Klarna, Adyen, Dosh, Paribus</t>
  </si>
  <si>
    <t>Developer of a mobile based virtual assistant application designed to automatically refund money on purchase.The company's virtual assistant application is a personal assistant taking advantage of the price protection benefit that is offered by the major credit card issuers and e-commerce stores, enabling users to get cashback on all purchases made using their mobile phones.</t>
  </si>
  <si>
    <t>Other Financial Services*, Social/Platform Software</t>
  </si>
  <si>
    <t>cash back service, mobile cash back, online purchasing benefits, personal finance service, virtual assistant</t>
  </si>
  <si>
    <t>www.earny.co</t>
  </si>
  <si>
    <t>2016: 5, 2017: 18</t>
  </si>
  <si>
    <t>134742-70P</t>
  </si>
  <si>
    <t>Dori Yona</t>
  </si>
  <si>
    <t>dori@earny.co</t>
  </si>
  <si>
    <t>+1 (415) 619-9831</t>
  </si>
  <si>
    <t>contact@earny.co</t>
  </si>
  <si>
    <t>The company raised $9 million in a combination of Series A venture funding led by Mayfield on December 5, 2017, putting the company's pre-money valuation at $15 million. Comcast Ventures, Hard Yaka and Science also participated in the round. The funds will be used to double the size of its team, expand its savings tracking tool beyond e-commerce to travel and accelerate company's growth.</t>
  </si>
  <si>
    <t>Adam Nash, Comcast Ventures, Commerce.Innovated, Hard Yaka, Mayfield Fund, Science, Sweet Capital</t>
  </si>
  <si>
    <t>Comcast Ventures(www.comcastventures.com), Commerce.Innovated(www.commerceinnovated.com), Hard Yaka(www.hardyaka.com), Mayfield Fund(www.mayfield.com), Science(www.science-inc.com), Sweet Capital(www.sweetcapital.com)</t>
  </si>
  <si>
    <t>54234-10</t>
  </si>
  <si>
    <t>EarlySense</t>
  </si>
  <si>
    <t>Sotera Wireless, VitalConnect, Multisensor Diagnostics</t>
  </si>
  <si>
    <t>Developer of patient monitoring systems designed to enhance patient safety and reduce the risk for general care patients. The company's patient monitoring systems provide continuous patient monitoring for heart rate, respiratory rate and motion, enabling clinicians to manage early detection of patient deterioration and to verify timely responses and protocol compliance.</t>
  </si>
  <si>
    <t>Distributors (Healthcare), Medical Supplies, Monitoring Equipment*</t>
  </si>
  <si>
    <t>patient monitoring, patient monitoring system, patient supervision, proactive patient-care</t>
  </si>
  <si>
    <t>www.earlysense.com</t>
  </si>
  <si>
    <t>2015: 64, 2016: 110</t>
  </si>
  <si>
    <t>40890-43P</t>
  </si>
  <si>
    <t>Avner Halperin</t>
  </si>
  <si>
    <t>avnerh@earlysense.com</t>
  </si>
  <si>
    <t>+1 (781) 373-3228</t>
  </si>
  <si>
    <t>Derech Ze'ev Jabotinsky 7</t>
  </si>
  <si>
    <t>5252007</t>
  </si>
  <si>
    <t>+972 (0)3 752 2330</t>
  </si>
  <si>
    <t>+972 (0)3 752 2340</t>
  </si>
  <si>
    <t>info@earlysense.com</t>
  </si>
  <si>
    <t>The company raised $39 million of venture funding in a deal led by Wells Fargo Strategic Capital and Hill-Rom Holdings on January 7, 2019. JK&amp;B Capital, Pitango Venture Capital, CEIIF, Israel-Colorado Innovation Fund, Hotung Venture Capital, Red &amp; Blue Ventures and Argos Capital also participated in the round.</t>
  </si>
  <si>
    <t>Argos Capital, Bank Hapoalim, Bridge Investment Fund, CEIIF, Docor International Management, Gonzalo Martinez de Azagra, Hill-Rom Holdings, Hotung Venture Capital, Impact First Investments, Israel-Colorado Innovation Fund, JK&amp;B Capital, Kreos Capital, Mitsui &amp; Co., Noaber Foundation, Perot Jain, Peter Soderberg, Pitango Venture Capital, ProSeed Venture Capital Fund, Red &amp; Blue Ventures, Samsung Venture Investment, The Challenge Fund - Etgar, TriVentures, Welch Allyn, Wells Fargo Strategic Capital</t>
  </si>
  <si>
    <t>Bank Hapoalim(www.bankhapoalim.co.il), Bridge Investment Fund(www.bridgefundllc.com), CEIIF(www.ceiif.com), Docor International Management(www.docor.com), Hill-Rom Holdings(www.hill-rom.com), Hotung Venture Capital(www.hotung.com.tw), Impact First Investments(www.impact1st.com), Israel-Colorado Innovation Fund(www.ici.fund), JK&amp;B Capital(www.jkbcapital.com), Kreos Capital(www.kreoscapital.com), Mitsui &amp; Co.(www.mitsui.com), Noaber Foundation(www.noaber.com), Perot Jain(www.perotjain.com), Pitango Venture Capital(www.pitango.com), Red &amp; Blue Ventures(www.redandblue.vc), Samsung Venture Investment(www.samsungventures.com), The Challenge Fund - Etgar(www.challenge.co.il), TriVentures(www.triventures.net), Welch Allyn(www.welchallyn.com)</t>
  </si>
  <si>
    <t>S. Horowitz &amp; Company(Legal Advisor)</t>
  </si>
  <si>
    <t>187664-68</t>
  </si>
  <si>
    <t>Eagle Engineered Solutions</t>
  </si>
  <si>
    <t>Supplier of 3D printed/additive manufactured products and services to the global metal casting industries. The company provides prototype and direct additively manufactured patterns and parts to foundries, mould and pattern shops, and related providers. Its products include stereolithography patterns, mQuast simulated die casting and quickcast, rapid ceramic cores, shell materials, ceramic foam filters, zirconia and alumina crucibles, fired shapes - ladles, tundishes, nozzles, spouts, ladle liners.</t>
  </si>
  <si>
    <t>Industrial Supplies and Parts*, Other Hardware</t>
  </si>
  <si>
    <t>3D Printing, Manufacturing, TMT</t>
  </si>
  <si>
    <t>3d print parts, additives manufacturing product, alumina crucibles, industrial parts, investment casting, metal casting, sand foundry, zirconia crucibles</t>
  </si>
  <si>
    <t>eagle-esi.com</t>
  </si>
  <si>
    <t>173139-40P</t>
  </si>
  <si>
    <t>Mike Hascher</t>
  </si>
  <si>
    <t>mikeh@eagle-esi.com</t>
  </si>
  <si>
    <t>+1 (330) 416-5275</t>
  </si>
  <si>
    <t>Medina, OH</t>
  </si>
  <si>
    <t>5000 Gateway Drive</t>
  </si>
  <si>
    <t>Suite 212</t>
  </si>
  <si>
    <t>Medina</t>
  </si>
  <si>
    <t>44256</t>
  </si>
  <si>
    <t>The company raised an undisclosed amount of Series A funding from next47 on February 7, 2017.</t>
  </si>
  <si>
    <t>MelCap Partners(Advisor: General)</t>
  </si>
  <si>
    <t>166354-30</t>
  </si>
  <si>
    <t>e-peas</t>
  </si>
  <si>
    <t>Operator of an energy harvesting platform designed to produce batteries for IoT devices. The company's energy harvesting platform offers energy harvesting, processing and sensing services as well as makes batteries for wireless devices like home automation, smart buildings, smart cities, smart metering, wearables, e-health, people and assets indoor tracking and smart agriculture, enabling users to remove the burden of battery replacement every time.</t>
  </si>
  <si>
    <t>Application Specific Semiconductors*, Electronics (B2C), Energy Storage</t>
  </si>
  <si>
    <t>battery, energy harvesting, low power semiconductors, microcontrollers</t>
  </si>
  <si>
    <t>www.e-peas.com</t>
  </si>
  <si>
    <t>2015: 2, 2016: 4</t>
  </si>
  <si>
    <t>145351-81P</t>
  </si>
  <si>
    <t>Geoffroy Gosset</t>
  </si>
  <si>
    <t>geoffroy.gosset@e-peas.com</t>
  </si>
  <si>
    <t>+32 (0)1 075 06 13</t>
  </si>
  <si>
    <t>Mont-Saint-Guibert, Belgium</t>
  </si>
  <si>
    <t>Axis Parc</t>
  </si>
  <si>
    <t>Rue Fond Cattelain, 2</t>
  </si>
  <si>
    <t>Mont-Saint-Guibert</t>
  </si>
  <si>
    <t>1435</t>
  </si>
  <si>
    <t>info@e-peas.com</t>
  </si>
  <si>
    <t>The company raised EUR 3.5 million of venture funding in a deal led by Partech Ventures on October 10, 2017, putting the pre-money valuation at EUR 10.38 million. Airbus Ventures, JCDecaux Holding, The Faktory, Semtech, Société Régionale d'Investissement de Wallonie and VIVES also participated in this round. The funds will be used to expand the engineering workforce and global business development and would also allow the company to explore product propositions and partnerships in application areas including industrial monitoring, home automation, smart agriculture, assets tracking, healthcare, smart metering and wearables.</t>
  </si>
  <si>
    <t>Airbus Ventures, Digital Wallonia, European Union, JCDecaux Holding, Partech Partners, Semtech, Société Régionale d'Investissement de Wallonie, The Faktory, Vives</t>
  </si>
  <si>
    <t>Airbus Ventures(www.airbusventures.vc), Digital Wallonia(en.digitalwallonia.be), European Union(www.europa.eu/index_en.htm), Partech Partners(www.partechpartners.com), Semtech(www.semtech.com), Société Régionale d'Investissement de Wallonie(www.sriw.be), The Faktory(www.thefaktory.com), Vives(www.vivesfund.com)</t>
  </si>
  <si>
    <t>51618-97</t>
  </si>
  <si>
    <t>Dynamic Signal</t>
  </si>
  <si>
    <t>Influentials.net</t>
  </si>
  <si>
    <t>ApexDrop, Hearsay Systems, Yotpo, TapInfluence, Ambassador, Shareablee, Crowdly, Sprout Social, SalesLoft, EveryoneSocial, PostBeyond, Zuberance, SocialChorus (Communication Platform), Extole, SocialToaster, Referral SaaSquatch, Reputation.com, Hootsuite, Influitive, GaggleAMP, Amplifinity, PeopleLinx</t>
  </si>
  <si>
    <t>Provider of a company communications platform designed to keep employees informed and engaged. The company's company communications platform offers a personalized experience based on the role, location, seniority and interests of employees, enabling them to follow the company brand across a variety of channels and stay up to speed on relevant industry news.</t>
  </si>
  <si>
    <t>Business/Productivity Software*, Communication Software, Media and Information Services (B2B)</t>
  </si>
  <si>
    <t>communication platform, company communication, consumer engagement, employee engagement, white labels platform, word of mouth</t>
  </si>
  <si>
    <t>www.dynamicsignal.com</t>
  </si>
  <si>
    <t>2013: 90, 2014: 64, 2015: 88, 2016: 110, 2018: 200</t>
  </si>
  <si>
    <t>113860-09P</t>
  </si>
  <si>
    <t>Bong Suh</t>
  </si>
  <si>
    <t>bsuh@dynamicsignal.com</t>
  </si>
  <si>
    <t>+1 (650) 231-2550</t>
  </si>
  <si>
    <t>San Bruno, CA</t>
  </si>
  <si>
    <t>1111 Bayhill Drive</t>
  </si>
  <si>
    <t>Suite 125</t>
  </si>
  <si>
    <t>San Bruno</t>
  </si>
  <si>
    <t>94066</t>
  </si>
  <si>
    <t>+1 (877) 335-9093</t>
  </si>
  <si>
    <t>info@dynamicsignal.com</t>
  </si>
  <si>
    <t>The company raised $46.5 million of Series E venture funding from Adams Street Partners, Akkadian Ventures and Cisco Investments on August 1, 2018. Deutsche Telekom Capital Partners, Focus Opportunity Fund, Founders Circle Capital, Microsoft Ventures, Rembrandt Venture Partners, Time Warner Investments, Trinity Ventures, and Venrock also participated in the round. The new funding will help drive company growth and innovation to expand the platform's capabilities and hire new people.</t>
  </si>
  <si>
    <t>Adams Street Partners, Akkadian Ventures, Brian Ascher, Charles Songhurst, Cisco Investments, Cox Enterprises, Deutsche Telekom Capital Partners, Focus Opportunity Fund, Focus Ventures (USA), Founders Circle Capital, Frank Giuliano, Jeff Kearl, Jim Larrison, Lawrence Braitman, M12, Matthew Schwingel, Rembrandt Venture Partners, Signia Venture Partners, Trinity Ventures, Venrock, WarnerMedia Investments</t>
  </si>
  <si>
    <t>Adams Street Partners(www.adamsstreetpartners.com), Akkadian Ventures(www.akkadianventures.com), Cisco Investments(www.ciscoinvestments.com), Cox Enterprises(www.coxenterprises.com), Deutsche Telekom Capital Partners(www.telekom-capital.com), Focus Opportunity Fund(www.focusopportunity.com), Focus Ventures (USA)(www.focusventures.com), Founders Circle Capital(www.founderscircle.com), Jim Larrison(larrison.org), Lawrence Braitman(www.braitman.co), M12(www.m12.vc), Rembrandt Venture Partners(www.rembrandtvc.com), Signia Venture Partners(www.signiaventurepartners.com), Trinity Ventures(www.trinityventures.com), Venrock(www.venrock.com), WarnerMedia Investments(www.timewarnerinvestments.com)</t>
  </si>
  <si>
    <t>53351-47</t>
  </si>
  <si>
    <t>Dwolla</t>
  </si>
  <si>
    <t>Payfirma, Payoneer, Braintree, Skrill, eWAY, ZooZ, Boku, Stripe, BluePay, Venmo, Integrity Payment Systems, Total Merchant Services, Authorize.Net, Adyen, PayPal Holdings, Square</t>
  </si>
  <si>
    <t>Developer of financial technology designed to change the way businesses send and receive funds. The company's white label APi platform connects to the ACH Network to initiate payments, enabling businesses to efficiently and securely send or receive money.</t>
  </si>
  <si>
    <t>Financial Software*, Other Business Products and Services, Other Financial Services</t>
  </si>
  <si>
    <t>FinTech, Mobile, Mobile Commerce, TMT</t>
  </si>
  <si>
    <t>ach, financial institution, money transfer, online money transfer, online payment, payment network, payment options</t>
  </si>
  <si>
    <t>www.dwolla.com</t>
  </si>
  <si>
    <t>2010: 2, 2012: 18, 2013: 42, 2014: 54, 2015: 69, 2018: 81</t>
  </si>
  <si>
    <t>39951-73P</t>
  </si>
  <si>
    <t>Ben Milne</t>
  </si>
  <si>
    <t>ben@dwolla.com</t>
  </si>
  <si>
    <t>+1 (515) 280-1000</t>
  </si>
  <si>
    <t>Des Moines, IA</t>
  </si>
  <si>
    <t>666 Walnut Street</t>
  </si>
  <si>
    <t>Suite 1830</t>
  </si>
  <si>
    <t>Des Moines</t>
  </si>
  <si>
    <t>Iowa</t>
  </si>
  <si>
    <t>50309</t>
  </si>
  <si>
    <t>info@dwolla.com</t>
  </si>
  <si>
    <t>The company raised venture funding from Hard Yaka on an undisclosed date. Prior to that, the company raised $12 million of Series 2 venture funding in a deal led by Foundry Group on February 12, 2018, putting the company's pre-money valuation at $33 million. Union Square Ventures, Next Level Ventures, Ludlow Ventures, High Alpha and Firebrand Ventures also participated in the round.</t>
  </si>
  <si>
    <t>A-Grade Investments, Andreessen Horowitz, Ashton Kutcher, CME Ventures, Detroit Venture Partners, Firebrand Ventures, Foundry Group, Hard Yaka, High Alpha, Ludlow Ventures, Next Level Ventures, Paige Craig, Plug and Play Tech Center, SeventySix Capital, Square One DSM, The Members Group, The Veridian Group, Thrive Capital, Union Square Ventures, Village Ventures</t>
  </si>
  <si>
    <t>A-Grade Investments(www.agradeinvestments.com), Andreessen Horowitz(www.a16z.com), Detroit Venture Partners(www.detroit.vc), Firebrand Ventures(www.firebrandvc.com), Foundry Group(www.foundrygroup.com), Hard Yaka(www.hardyaka.com), High Alpha(www.highalpha.com), Ludlow Ventures(www.ludlowventures.com), Next Level Ventures(www.nextlevelvc.com), Plug and Play Tech Center(www.plugandplaytechcenter.com), SeventySix Capital(www.seventysixcapital.com), Square One DSM(www.dsmpartnership.com/growing-business-here/startups--entrepreneurs/square-one-dsm), The Veridian Group(www.veridiancu.org), Thrive Capital(www.thrivecap.com), Union Square Ventures(www.usv.com), Village Ventures(www.villageventures.com)</t>
  </si>
  <si>
    <t>Gunderson Dettmer(Legal Advisor), LWBJ Capital Advisors(Advisor: General), True Capital Partners(Advisor: General)</t>
  </si>
  <si>
    <t>Gunderson Dettmer(Legal Advisor), LWBJ Capital Advisors(Advisor: General), Vendor Services Center(Debt Financing), WilmerHale(Legal Advisor)</t>
  </si>
  <si>
    <t>140800-42</t>
  </si>
  <si>
    <t>Duomi.com</t>
  </si>
  <si>
    <t>Developer of an employment platform designed to provide users with quality jobs and professional services. The company's platform offers time wage settlement, online bill payment, RPO recruitment, job outsourcing and online crowd-sourcing, enabling companies to find, search and recruit suitable candidates.</t>
  </si>
  <si>
    <t>Application Software*, Human Capital Services, Information Services (B2C)</t>
  </si>
  <si>
    <t>jobs search application, job-seeking site, moonlighting recruitment, recuitment and consulting, talent sharing platform</t>
  </si>
  <si>
    <t>www.doumi.com</t>
  </si>
  <si>
    <t>120978-82P</t>
  </si>
  <si>
    <t>Shiyong Zhao</t>
  </si>
  <si>
    <t>shiyong.zhao@doumi.com</t>
  </si>
  <si>
    <t>+86 (0)10 5731 7000</t>
  </si>
  <si>
    <t>The company raised $40 million of Series B venture funding from Hillhouse Capital Group, Tencent Holdings and New Hope Group on October 19, 2016. Banyan Investment Partners, Blue Lake Capital, Gaochun Capital and Baidu Capital also participated in the round. Previously, the company raised $40 million of Series A venture funding from Blue Lake Capital, Banyan Investment Partners and 58.com on November 17, 2015. Xiaoguang Wu also participated in this round.</t>
  </si>
  <si>
    <t>58.com, Baidu Ventures, Banyan Investment Partners, Blue Lake Capital, Gaochun Capital, Hillhouse Capital Group, New Hope Group, Tencent Holdings, Xiaoguang Wu</t>
  </si>
  <si>
    <t>58.com(www.g.58.com), Baidu Ventures(www.bv.ai), Banyan Investment Partners(www.banyanmezzaninefunds.com), Blue Lake Capital(www.bluelakecap.com), Hillhouse Capital Group(www.hillhousecap.com), New Hope Group(www.newhopegroup.com), Tencent Holdings(www.tencent.com)</t>
  </si>
  <si>
    <t>99936-10</t>
  </si>
  <si>
    <t>Dubsmash</t>
  </si>
  <si>
    <t>Masquerade, Magisto, Tribe App, Glide, TikTok</t>
  </si>
  <si>
    <t>Developer of a lip-syncing video app designed to let users create and share dubbed selfie videos. The company's video app enables users to select an audio clip, such as a short movie scene or part of a popular speech, record themselves lip-syncing while it is playing, and then share the resulting Dub with their friends.</t>
  </si>
  <si>
    <t>Communication Software*, Multimedia and Design Software</t>
  </si>
  <si>
    <t>lip-syncing video app, selfie video, shares video, video application, video editing app, video sharing app</t>
  </si>
  <si>
    <t>www.dubsmash.com</t>
  </si>
  <si>
    <t>2015: 16, 2016: 34</t>
  </si>
  <si>
    <t>86068-54P</t>
  </si>
  <si>
    <t>Jonas Druppel</t>
  </si>
  <si>
    <t>jonas@dubsmash.com</t>
  </si>
  <si>
    <t>Majakowskiring 55</t>
  </si>
  <si>
    <t>13156</t>
  </si>
  <si>
    <t>+49 (0)30 4883 8899</t>
  </si>
  <si>
    <t>impressum@dubsmash.com</t>
  </si>
  <si>
    <t>The company joined WHU Incubator's Roadshow program and received an undisclosed amount in seed funding.</t>
  </si>
  <si>
    <t>Balderton Capital, Eniac Ventures, Hasso Plattner Ventures, Heartcore Capital, Index Ventures (UK), Lowercase Capital, Raine Ventures, Riccardo Zacconi, WHU Incubator</t>
  </si>
  <si>
    <t>Balderton Capital(www.balderton.com), Eniac Ventures(www.eniac.vc), Hasso Plattner Ventures(www.hp-ventures.com), Heartcore Capital(www.heartcore.com), Index Ventures (UK)(www.indexventures.com), Lowercase Capital(www.lowercasecapital.com), WHU Incubator(www.whu.edu)</t>
  </si>
  <si>
    <t>56611-00</t>
  </si>
  <si>
    <t>DSTLD</t>
  </si>
  <si>
    <t>20 Jeans</t>
  </si>
  <si>
    <t>Everlane, Zady, Lyst, Marine Layer, Shinesty, The Limited, Xwalker, Tobi (Clothing), Cuyana, Lauren James, American Giant, Fashion Nova, Public Rec, MATCHESFASHION, Nasty Gal, Gypsy 05, eShakti, American Made Supply Co, TigerTrade, Reformation, Madewell, Shoes of Prey, M.Gemi, LookLive, Threadless, Teespring, Cotopaxi (Outdoor Gear)</t>
  </si>
  <si>
    <t>Provider of an online shopping platform designed to offer craft luxury-grade denim. The company's online shopping platform offers denims with simple design, superior quality and a pared-down product selection, enabling consumers to get premium denim and luxury essentials at discounted rates than the traditional retail price.</t>
  </si>
  <si>
    <t>Clothing*, Internet Retail</t>
  </si>
  <si>
    <t>denims, ecommerce, luxury-grade denim, online clothing retailer, online retail, online shopping platform</t>
  </si>
  <si>
    <t>www.dstld.com</t>
  </si>
  <si>
    <t>2013: 10, 2015: 15</t>
  </si>
  <si>
    <t>48497-68P</t>
  </si>
  <si>
    <t>Corey Epstein</t>
  </si>
  <si>
    <t>Co-Founder, Chief Marketing Officer &amp; Creative Director</t>
  </si>
  <si>
    <t>corey@dstld.la</t>
  </si>
  <si>
    <t>+1 (213) 785-3386</t>
  </si>
  <si>
    <t>537 Broadway</t>
  </si>
  <si>
    <t>90014</t>
  </si>
  <si>
    <t>info@digitalbrandsgroup.co</t>
  </si>
  <si>
    <t>The company raised $1.62 million of Series A3 angel funding via SeedInvest on October 24, 2018, putting the company's pre-money valuation at $35 million.</t>
  </si>
  <si>
    <t>Adam Lilling, Amplify.LA, Arena Ventures, Baroda Ventures, Black Oak Capital Partners, Brad Zions, CAA Ventures, Corey Epstein, Dave Berlin, Demarest, Dennis Phelps, Kris Bjornerud, Lambert Media Group, Lanoha Ventures, Michael Lastoria, Paige Craig, Patrick Falle, Plus Capital, Sam Englebardt, Structure Fund, TenOneTen Ventures, Thomas McInerney, Tuesday Capital, Wavemaker Partners, Zillion</t>
  </si>
  <si>
    <t>Amplify.LA(www.amplify.la), Arena Ventures(www.arenavc.com), Baroda Ventures(www.barodaventures.com), Black Oak Capital Partners(www.blackoakcp.com), CAA Ventures(ventures.caa.com), Demarest(www.demarestfilms.com), Lambert Media Group(www.lambertmediagroup.com), Lanoha Ventures(www.lanohaventures.com), Plus Capital(www.pluscapital.com), Structure Fund(www.structurefund.com), TenOneTen Ventures(www.tenoneten.net), Thomas McInerney(www.tgm.com), Tuesday Capital(www.tuesday.vc), Wavemaker Partners(www.wavemaker.vc)</t>
  </si>
  <si>
    <t>Strategic Law Partners(Legal Advisor)</t>
  </si>
  <si>
    <t>SeedInvest(Lead Manager or Arranger), Strategic Law Partners(Legal Advisor)</t>
  </si>
  <si>
    <t>172924-03</t>
  </si>
  <si>
    <t>DSP Concepts</t>
  </si>
  <si>
    <t>Qumu</t>
  </si>
  <si>
    <t>Developer of embedded audio digital signal processing software designed to offer microphone processing as well as playback processing. The company's voice UI technologies provide audio design platform which can cut audio software development by 90% from prototype design verification to product manufacturing validation, enabling automotive and consumer product developers to get their products to market faster while reducing risk. DSP Concepts offers the only processor agnostic platform optimized for target processors that brings plug-and-play flexibility with 3rd party algorithms partners and allows product developers to work at a systems level with an easy to understand graphical user interface.</t>
  </si>
  <si>
    <t>aduio consulting services, audio design platform, audio product developer, audio software, audio software development, audio software expertise, digital signal process technology, digital signal processing</t>
  </si>
  <si>
    <t>dspconcepts.com</t>
  </si>
  <si>
    <t>162422-65P</t>
  </si>
  <si>
    <t>Paul Beckmann</t>
  </si>
  <si>
    <t>Chief Technology Officer, Board of Director and Co-Founder</t>
  </si>
  <si>
    <t>pbeckmann@dspconcepts.com</t>
  </si>
  <si>
    <t>+1 (408) 747-5200</t>
  </si>
  <si>
    <t>1800 Wyatt Drive</t>
  </si>
  <si>
    <t>Suite 14</t>
  </si>
  <si>
    <t>info@dspconcepts.com</t>
  </si>
  <si>
    <t>The company raised $10 million Series A venture funding led by BMW i Ventures on September 19, 2017, putting the pre-money valuation at $23 million. Walden International Ventures and David Tsang also participated in this round. The company intends to use the funds to transition from an engineering services business to a technology licensing business.</t>
  </si>
  <si>
    <t>BMW i Ventures, David Tsang, Walden International</t>
  </si>
  <si>
    <t>BMW i Ventures(www.bmwiventures.com), Walden International(www.waldenintl.com)</t>
  </si>
  <si>
    <t>Cooley(Legal Advisor), Wells Fargo(General Business Banking)</t>
  </si>
  <si>
    <t>87851-35</t>
  </si>
  <si>
    <t>Drums Food International</t>
  </si>
  <si>
    <t>Hokey Pokey</t>
  </si>
  <si>
    <t>Milk Mantra, Adityaa Milk, Mars, Prabhat Dairy</t>
  </si>
  <si>
    <t>Provider of a food and beverage products intended to serve premium quality ice creams. The company's food and beverage products offers a wide range of ice creams, chilled shakes, yogurt and other chilled beverages, enabling consumers to enjoy to delectable deserts and drinks at a friendly price range.</t>
  </si>
  <si>
    <t>chilled shakes, ice cream, shakes</t>
  </si>
  <si>
    <t>www.drumsfood.com</t>
  </si>
  <si>
    <t>2015: 21, 2016: 35</t>
  </si>
  <si>
    <t>104907-88P</t>
  </si>
  <si>
    <t>Rohan Mirchandani</t>
  </si>
  <si>
    <t>rohan.mirchandani@drumsfood.com</t>
  </si>
  <si>
    <t>Office Number 2, Plot Number 9</t>
  </si>
  <si>
    <t>L.B.S Marg, Behind Samruddh CNG Pump, Kurla (West)</t>
  </si>
  <si>
    <t>Maharastra</t>
  </si>
  <si>
    <t>400070</t>
  </si>
  <si>
    <t>info@hokeypokey.in</t>
  </si>
  <si>
    <t>The company raised $25.6 million of Series C venture funding in a deal led by Danone Manifesto Ventures and Verlinvest on January 16, 2019. DSG Consumer Partners and Samina Vaziralli also participated in the round. InnoVen Capital also participated in the round providing venture debt. The funds will be used to expand the company's distribution network across 25 cities in India.</t>
  </si>
  <si>
    <t>Apurva Salarpuria, Danone Manifesto Ventures, DSG Consumer Partners, Fireside Ventures, InnoVen Capital, Kunal Kapoor, Samina Vaziralli, Shripad Nadkarni, Verlinvest, Vishwarupe Narain, Wharton Venture Initiation Program</t>
  </si>
  <si>
    <t>Danone Manifesto Ventures(www.danoneventures.com), DSG Consumer Partners(www.dsgcp.com), Fireside Ventures(www.firesideventures.com), InnoVen Capital(www.innovencapital.com), Verlinvest(www.verlinvest.be), Wharton Venture Initiation Program(entrepreneurship.wharton.upenn.edu)</t>
  </si>
  <si>
    <t>InnoVen Capital(Debt Financing)</t>
  </si>
  <si>
    <t>110585-80</t>
  </si>
  <si>
    <t>DroneBase</t>
  </si>
  <si>
    <t>senseFly</t>
  </si>
  <si>
    <t>Provider of aerial-photography services intended to offer aerial imagery, video and data through the use of unmanned aerial vehicles. The company's aerial-photography services are offered through a fleet of drones, which are used to provide custom photographs and scans as well as develop a mobile application to share the pictures and videos online, enabling customers to send descriptions of the photo tasks that are used by the companies to calculate the resulting imagery.</t>
  </si>
  <si>
    <t>aerial data capture, aerial data collection, aerial photography device, aerial photography services provider, drones service, video imagery</t>
  </si>
  <si>
    <t>www.dronebase.com</t>
  </si>
  <si>
    <t>99442-81P</t>
  </si>
  <si>
    <t>Daniel Burton</t>
  </si>
  <si>
    <t>Chief Executive Officer, Co-Founder and Board Member</t>
  </si>
  <si>
    <t>dan@dronebase.com</t>
  </si>
  <si>
    <t>2800 Olympic Boulevard</t>
  </si>
  <si>
    <t>hello@dronebase.com</t>
  </si>
  <si>
    <t>The company raised an estimated $5 million of Series B2 venture funding from FLIR Systems on April 10, 2019, putting the company's pre-money valuation at $45 million.</t>
  </si>
  <si>
    <t>Accel, FLIR Systems, Hearst Ventures, Launchpad LA, Pritzker Group Venture Capital, Rothenberg Ventures, SV Angel, SZ DJI Technology Company, Union Square Ventures, Upfront Ventures, Y Combinator</t>
  </si>
  <si>
    <t>Accel(www.accel.com), FLIR Systems(www.flir.com), Launchpad LA(www.launchpad.la), Pritzker Group Venture Capital(www.pritzkergroup.com/venture-capital), Rothenberg Ventures(www.rothenbergventures.com), SV Angel(www.svangel.com), SZ DJI Technology Company(www.dji.com), Union Square Ventures(www.usv.com), Upfront Ventures(www.upfront.com), Y Combinator(www.ycombinator.com)</t>
  </si>
  <si>
    <t>Mintz, Levin, Cohn, Ferris, Glovsky and Popeo(Legal Advisor)</t>
  </si>
  <si>
    <t>123676-66</t>
  </si>
  <si>
    <t>Drone Racing League</t>
  </si>
  <si>
    <t>DRL</t>
  </si>
  <si>
    <t>Organizer of drone racing competitions and events. The company organizes First Person View (FPV) drone racing, featuring pilots flying custom-designed, hand-built identical drones through complex, thematic, three-dimensional race courses.</t>
  </si>
  <si>
    <t>Casinos and Gaming</t>
  </si>
  <si>
    <t>Casinos and Gaming*, Electronics (B2C), Recreational Goods</t>
  </si>
  <si>
    <t>competitive gaming, drones, drones operators, drones program, drones technology, sporting events, sports league</t>
  </si>
  <si>
    <t>www.thedroneracingleague.com</t>
  </si>
  <si>
    <t>2015: 3, 2016: 8</t>
  </si>
  <si>
    <t>95977-36P</t>
  </si>
  <si>
    <t>Nicholas Horbaczewski</t>
  </si>
  <si>
    <t>nicholas@thedroneracingleague.com</t>
  </si>
  <si>
    <t>+1 (631) 238-7204</t>
  </si>
  <si>
    <t>1 State Street</t>
  </si>
  <si>
    <t>Floor 33</t>
  </si>
  <si>
    <t>The company raised an estimated $24.5 million of Series B venture funding in a round led by Sky UK, Liberty Media Group and Lux Capital on June 12, 2017, putting the pre-money valuation at $80 million. Allianz, World Wrestling Entertainment, Hearst Ventures, RSE Ventures, Lerer Hippeau Ventures, ChinaRock Capital Management and Courtside Ventures also participated in this round. The company will use the funds to expand globally. The company has now raised over $32 million to date.</t>
  </si>
  <si>
    <t>Allen DeBevoise, Allianz Group, Basset Investment Group, CAA Ventures, ChinaRock Capital Management, CourtsideVC, Grant Gittlin, Hearst Ventures, Lerer Hippeau, Liberty Media Corporation, Lux Capital, Matthew Bellamy, Max Ventures, MGM Studios, ProSiebenSat.1 Media, Rikard Steiber, RSE Ventures, SierraMaya360, Sky Startup Investments &amp; Partnerships, Sky UK, Strauss Zelnick, Third Wave Digital, Vayner/RSE, World Wrestling Entertainment</t>
  </si>
  <si>
    <t>Allianz Group(www.allianz.com), Basset Investment Group(www.bassetinvestmentgroup.com), CAA Ventures(ventures.caa.com), ChinaRock Capital Management(www.crcm.com), CourtsideVC(www.courtsidevc.com), Lerer Hippeau(www.lererhippeau.com), Liberty Media Corporation(www.libertymedia.com), Lux Capital(www.luxcapital.com), Max Ventures(www.maxventures.vc), MGM Studios(www.mgm.com), ProSiebenSat.1 Media(www.prosiebensat1.com), Rikard Steiber(www.linkedin.com/in/rikardsteiber), RSE Ventures(www.rseventures.com), SierraMaya360(www.sierramaya360.vc), Sky Startup Investments &amp; Partnerships(startups.sky.com), Sky UK(www.sky.com), Third Wave Digital(www.thirdwavedigital.vc), Vayner/RSE(www.vaynerrse.com), World Wrestling Entertainment(www.wwe.com)</t>
  </si>
  <si>
    <t>Morrison &amp; Foerster(Legal Advisor), Propeller Industries(Accounting)</t>
  </si>
  <si>
    <t>LionTree Advisors(Advisor: General), Morrison &amp; Foerster(Legal Advisor)</t>
  </si>
  <si>
    <t>125129-80</t>
  </si>
  <si>
    <t>Droit (Financial Software)</t>
  </si>
  <si>
    <t>Developer of a financial technology platform intended to officer enterprise services for OTC derivative trading processes. The company's platform provides products that facilitate the trading of derivatives across asset classes, regulators, CCP's and execution application, enabling customers to get different styles of creative intelligence to the way they build their products and their business.</t>
  </si>
  <si>
    <t>Financial Software*, Other Software</t>
  </si>
  <si>
    <t>derivative trading, derivatives trading software, financial technology, financial technology service, fintech, otc derivative processing, trading system</t>
  </si>
  <si>
    <t>www.droit.tech</t>
  </si>
  <si>
    <t>2016: 14</t>
  </si>
  <si>
    <t>115813-45P</t>
  </si>
  <si>
    <t>Satya Pemmaraju</t>
  </si>
  <si>
    <t>satya@droitfintech.com</t>
  </si>
  <si>
    <t>+1 (212) 804-8875</t>
  </si>
  <si>
    <t>145 West 28th Street</t>
  </si>
  <si>
    <t>info@droitfintech.com</t>
  </si>
  <si>
    <t>The company raised $16 million of Series A venture funding in a deal led by Goldman Sachs Principal Strategic Investments, Wells Fargo and Pivot Investment Partners in October 2016, putting the company's pre-money valuation at $27 million. DRW Venture Capital, Illuminate Financial Management and other undisclosed investors also participated in the round. The funding will be used by the company to support the expansion of its operations globally, including the planned opening of an office in Singapore and a rapid expansion of the sales, support and marketing teams.</t>
  </si>
  <si>
    <t>DRW Venture Capital, Goldman Sachs Principal Strategic Investments, Illuminate Financial Management, Pivot Investment Partners, Wells Fargo Securities</t>
  </si>
  <si>
    <t>DRW Venture Capital(www.drwvc.com), Illuminate Financial Management(www.illuminatefinancial.com), Pivot Investment Partners(www.pivotinvestment.com), Wells Fargo Securities(www.wellsfargo.com/com/securities)</t>
  </si>
  <si>
    <t>121085-11</t>
  </si>
  <si>
    <t>Drivezy</t>
  </si>
  <si>
    <t>JustRide</t>
  </si>
  <si>
    <t>Zoomcar, DriveU, GroundLink, Grab Holdings, Roder, Ola, iCarsClub, Udrive, Uber, Careem, Wheely, Savaari Car Rentals, Smove, Match Rider, Lyft, Wheelstreet, InDriver, myTaxi, SaferTaxi, Zify, Budget Rent a Car (New Jersey), Carzonrent India, Getaround, Cabify</t>
  </si>
  <si>
    <t>Provider of a self-drive vehicle rental platform designed to offer rented cars, motorbikes and scooters for trips. The company's platform offers peer-to-peer vehicle sharing services on a membership, hourly or daily basis, enabling consumers to rent and link to the vehicles of their choice.</t>
  </si>
  <si>
    <t>Application Software*, Automotive, Other Services (B2C Non-Financial)</t>
  </si>
  <si>
    <t>Car-Sharing, Micro-Mobility, Mobile</t>
  </si>
  <si>
    <t>bikes sharing, car rental, carpool, carsharing platform, self-drive car, vehicle sharing</t>
  </si>
  <si>
    <t>www.drivezy.com</t>
  </si>
  <si>
    <t>2015: 17, 2016: 11</t>
  </si>
  <si>
    <t>109500-31P</t>
  </si>
  <si>
    <t>Abhishek Mahajan</t>
  </si>
  <si>
    <t>abhishek.mahajan@drivezy.com</t>
  </si>
  <si>
    <t>+91 (0)80 6193 3715</t>
  </si>
  <si>
    <t>432A, Sankeergna Chiranthana</t>
  </si>
  <si>
    <t>4th Cross, 9th Main Road, HAL 3rd Stage</t>
  </si>
  <si>
    <t>560075</t>
  </si>
  <si>
    <t>justconnect@drivezy.com</t>
  </si>
  <si>
    <t>The company is in the process of raising $100 million of Series C venture funding from undisclosed investors on March 13, 2019, putting the company's pre-money valuation at $300 million. Earlier, the company raised $20 million of Series B venture funding in a deal led by DAS Capital on November 28, 2018, putting the company's pre-money valuation at $80 million. Yamaha Motor Ventures &amp; Laboratory Silicon Valley, IT-Farm and Axan Ventures also participated in the round. The company is being actively tracked by PitchBook.</t>
  </si>
  <si>
    <t>Alok Mittal, Amazon.com, Anirudh Damani, AnyPay, Axan Ventures, Crowdworks, DAS Capital, Dheeraj Jain, Google Developers Launchpad, Hardik Ghudhka, IT-Farm, Justin Kan, Kima Ventures, Nikunj Jain, Niraj Singh, Palaash Ventures, Parag Shah, Paul Buchheit, Pinank Kamdar, Punit Goyal, Redcliffe Capital, Rohit Chokhani, SCM Holdings, SoftBank Group, Susa Ventures, White Unicorn Ventures, Y Combinator, Yamaha Motor Ventures &amp; Laboratory Silicon Valley, Zishaan Hayaath</t>
  </si>
  <si>
    <t>Amazon.com(www.amazon.com), AnyPay(anypay.my), Crowdworks(www.crowdworks.jp), Google Developers Launchpad(developers.google.com/programs/launchpad), IT-Farm(www.it-farm.com), Justin Kan(www.justinkan.com), Kima Ventures(www.kimaventures.com), Palaash Ventures(www.palaashventures.com), Redcliffe Capital(www.redcliffecapital.com), SoftBank Group(www.softbank.jp), Susa Ventures(www.susaventures.com), White Unicorn Ventures(www.whiteunicornventures.com), Y Combinator(www.ycombinator.com), Yamaha Motor Ventures &amp; Laboratory Silicon Valley(www.ymvsv.com)</t>
  </si>
  <si>
    <t>110150-20</t>
  </si>
  <si>
    <t>Drivestream</t>
  </si>
  <si>
    <t>Preferred Systems Solutions, Apps Associates, DAZ Systems, Datavail, Synaptic Solutions, AST, Remote DBA Experts, Cap Gemini BAS, Certus Solutions, Perficient, Infosys, Version 1, Kbace Technologies, Data Intensity, Adaequare, Emtec</t>
  </si>
  <si>
    <t>Provider of cloud based management and information technology consulting services designed to provide highest quality cloud implementation experience for customers. The company's management and information technology consulting services offers advice and tactical support for implementing cloud services such as Oracle HCM Cloud, Oracle Taleo Cloud Service, and Budgeting Cloud Service, enabling clients of all sizes and industry verticals successfully move their Human Resources, Financial Management, Planning and Forecasting, and other processes to the Cloud.</t>
  </si>
  <si>
    <t>IT Consulting and Outsourcing*, Systems and Information Management</t>
  </si>
  <si>
    <t>cloud application, cloud services, cloud-based service, consulting services, ii management services, it consulting service</t>
  </si>
  <si>
    <t>www.drivestream.com</t>
  </si>
  <si>
    <t>2015: 250</t>
  </si>
  <si>
    <t>109855-09P</t>
  </si>
  <si>
    <t>Gopal Krishna</t>
  </si>
  <si>
    <t>gopal.krishna@drivestream.com</t>
  </si>
  <si>
    <t>+1 (703) 715-0150</t>
  </si>
  <si>
    <t>45610 Woodland Road</t>
  </si>
  <si>
    <t>20166</t>
  </si>
  <si>
    <t>+1 (703) 715-0168</t>
  </si>
  <si>
    <t>info@drivestream.com</t>
  </si>
  <si>
    <t>The company raised $809,690 million of venture funding from Wipro Ventures on June 13, 2017.</t>
  </si>
  <si>
    <t>125620-39</t>
  </si>
  <si>
    <t>Drive.ai</t>
  </si>
  <si>
    <t>AImotive, Comma.Ai, DeepScale, Nauto, May Mobility, nuTonomy, FiveAI, WeRide (China), DeepMap, Zoox, Optimus Ride, Waymo, Strobe (Pasadena), Ottomatika, TuSimple, Cruise</t>
  </si>
  <si>
    <t>Developer of an artificial intelligence (AI) based self-driving technology designed to make autonomous vehicles safer. The company's technology uses a deep learning-first approach to its autonomous vehicles to learn new driving scenarios and routes without engineering effort and scale to new locations, enabling vehicle drivers to safely navigate in any driving environment.</t>
  </si>
  <si>
    <t>Artificial Intelligence &amp; Machine Learning, Autonomous cars, Industrials, Ridesharing, TMT</t>
  </si>
  <si>
    <t>ai software, artificial intelligence software, automated vehicle, ridesharing, self drives car, self drives technology, software technology</t>
  </si>
  <si>
    <t>www.drive.ai</t>
  </si>
  <si>
    <t>2016: 11, 2017: 70, 2018: 150</t>
  </si>
  <si>
    <t>131653-99P</t>
  </si>
  <si>
    <t>Carol Reiley</t>
  </si>
  <si>
    <t>carol@drive.ai</t>
  </si>
  <si>
    <t>365 Ravendale Drive</t>
  </si>
  <si>
    <t>contact@drive.ai</t>
  </si>
  <si>
    <t>The company is rumored to be in talks regarding a potential acquisition for an undisclosed amount on February 28, 2019. Earlier, the company received $343,000 of grant funding from an undisclosed grantor on August 22, 2018. The company is being actively tracked by PitchBook.</t>
  </si>
  <si>
    <t>GGV Capital, Grab Holdings, HOF Capital (New York), InnoSpring, Maniv Mobility, New Enterprise Associates, Northern Light Venture Capital, NVIDIA GPU Ventures, Oriza Ventures</t>
  </si>
  <si>
    <t>GGV Capital(www.ggvc.com), Grab Holdings(www.grab.com), HOF Capital (New York)(www.hofvc.com), InnoSpring(www.innospring.com), Maniv Mobility(www.maniv.com), New Enterprise Associates(www.nea.com), Northern Light Venture Capital(www.nlvc.com), Oriza Ventures(www.orizaventures.com)</t>
  </si>
  <si>
    <t>Gunderson Dettmer(Legal Advisor), Locke Lord(Legal Advisor), Orrick, Herrington &amp; Sutcliffe(Legal Advisor)</t>
  </si>
  <si>
    <t>Gunderson Dettmer(Legal Advisor), Jefferies Financial Group(Advisor: General), Orrick, Herrington &amp; Sutcliffe(Legal Advisor)</t>
  </si>
  <si>
    <t>178727-86</t>
  </si>
  <si>
    <t>Drinkeasy</t>
  </si>
  <si>
    <t>Provider of a text-message based liquor store designed to help buy premium and craft spirits from distilleries around the world. The company's text-message based premium liquor marketplace offers crafted spirits, beverages and alcohols and makes smart recommendations based on users' tastes, enabling users to discover and buy hard-to-find spirits, from a $2000 rare scotch to a small batch tequila.</t>
  </si>
  <si>
    <t>Beverages*, Information Services (B2C)</t>
  </si>
  <si>
    <t>craft liquor, liquor marketplace, liquor platform</t>
  </si>
  <si>
    <t>www.drinkeasy.co</t>
  </si>
  <si>
    <t>159299-56P</t>
  </si>
  <si>
    <t>Harry Raymond</t>
  </si>
  <si>
    <t>harry@drinkeasy.co</t>
  </si>
  <si>
    <t>+1 (646) 350-2208</t>
  </si>
  <si>
    <t>The company joined Techstars and received $120,000 of funding on October 3, 2016. As part of the transaction, $100,000 was received in the form of convertible debt. Earlier, the company raised an undisclosed amount of venture funding from Right Side Capital Management in 2016.</t>
  </si>
  <si>
    <t>124851-34</t>
  </si>
  <si>
    <t>Dremio</t>
  </si>
  <si>
    <t>Paxata, Datameer, RapidMiner, Domo, Trifacta, SparkCognition, GoodData, Geckoboard, Birst, Dundas Data Visualization, Xplenty, Sisense, Periscope Data, Arcadia Data, Denodo, Elasticsearch, Looker, Snowflake, Logz.io, Qubole, Kyvos Insights, MemSQL, Diyotta, Syncsort, SAS Institute, Streamlio, Databricks, Talend, MapR, Striim, Zoomdata, Dataiku, DataStax, Cloudera, DataTorrent, Splunk, SlamData, Iguazio, Wagon Analytics, Confluent, VoltDB, StreamSets, Redis Labs, Panoply (Application Software), SQLstream, Couchbase, Pentaho, Klipfolio, Cask, Qlik Technologies, Basho, Yellowfin, Grow (Business/Productivity Software), Izenda, Dimensional Insight, SugarCRM, CognitiveScale, RJMetrics, Hortonworks, ArangoDB, Oracle</t>
  </si>
  <si>
    <t>Provider of a Data-as-a-Service Platform designed to to create a new approach to data analytics that prioritizes users experience, simplicity and scalability. The company's platform makes data easy, approachable and interactive, no matter how many terabytes or where it is stored, enabling businesses to extends their central access systems like LDAP, giving dynamic fine-grained access control and masking abilities on any data from any source.</t>
  </si>
  <si>
    <t>big data analysis, big data analysis software, data analytics, data analytics software, data storage platform, data-as-a-service platform</t>
  </si>
  <si>
    <t>www.dremio.com</t>
  </si>
  <si>
    <t>2015: 11, 2018: 70</t>
  </si>
  <si>
    <t>115210-54P</t>
  </si>
  <si>
    <t>Jacques Nadeau</t>
  </si>
  <si>
    <t>jnadeau@dremio.com</t>
  </si>
  <si>
    <t>+1 (650) 383-6805</t>
  </si>
  <si>
    <t>3970 Freedom Circle</t>
  </si>
  <si>
    <t>#110</t>
  </si>
  <si>
    <t>contact@dremio.com</t>
  </si>
  <si>
    <t>The company raised $30 million of Series B venture funding in a deal led by Norwest Venture Partners on July 31, 2018, putting the company's pre-money valuation at $80 million. Cisco Investments, Lightspeed Venture Partners and Redpoint Ventures also participated in the round. The company intends to use the fund to continue the data analytics market by further expanding its engineering and sales teams and increasing its international reach.</t>
  </si>
  <si>
    <t>Cisco Investments, Lightspeed Venture Partners, Norwest Venture Partners, Redpoint Ventures</t>
  </si>
  <si>
    <t>Cisco Investments(www.ciscoinvestments.com), Lightspeed Venture Partners(www.lsvp.com), Norwest Venture Partners(www.nvp.com), Redpoint Ventures(www.redpoint.com)</t>
  </si>
  <si>
    <t>Morrison &amp; Foerster(Legal Advisor), Riviera Partners(Consulting)</t>
  </si>
  <si>
    <t>Goodwin(Legal Advisor), Morrison &amp; Foerster(Legal Advisor)</t>
  </si>
  <si>
    <t>57698-74</t>
  </si>
  <si>
    <t>Dreamlines</t>
  </si>
  <si>
    <t>Netvacation</t>
  </si>
  <si>
    <t>weg.de</t>
  </si>
  <si>
    <t>Operator of an online travel agency designed for cruise bookings. The company's online cruise marketplace offers river cruises and sailing ships from around the world through its website.</t>
  </si>
  <si>
    <t>Other Restaurants, Hotels and Leisure*, Social/Platform Software</t>
  </si>
  <si>
    <t>cruise, cruise portal, online travel agency, sailing ship, travel portal</t>
  </si>
  <si>
    <t>www.dreamlines.de</t>
  </si>
  <si>
    <t>2014: 280, 2016: 350, 2018: 600</t>
  </si>
  <si>
    <t>94851-37P</t>
  </si>
  <si>
    <t>Nils Regge</t>
  </si>
  <si>
    <t>nils.regge@truventuro.de</t>
  </si>
  <si>
    <t>Hermannstrasse 9</t>
  </si>
  <si>
    <t>20095</t>
  </si>
  <si>
    <t>+49 (0)40 2093 3184</t>
  </si>
  <si>
    <t>+49 (0)40 6094 6502 5</t>
  </si>
  <si>
    <t>info@dreamlines.de</t>
  </si>
  <si>
    <t>The company received EUR 13 million of convertible loan note from Global Ports Holding on June 7, 2018. The financing will be used by Dreamlines towards further international growth and to complete the acquisition of Cruise 1st, a UK headquartered online travel agent specializing in cruises. Earlier, the company raised EUR 45 million of Series E venture funding led by Princeville Global on May 8, 2018.</t>
  </si>
  <si>
    <t>Altpoint Capital, Blue Wire Capital, China Alliance Investment, Dimaventures, European Founders Fund, Felix Schneider, Global Founders Capital, Global Ports Holding, Hasso Plattner Ventures, HV Holtzbrinck Ventures, Princeville Capital, TA Ventures, Target Global, TruVenturo</t>
  </si>
  <si>
    <t>Astutia Ventures</t>
  </si>
  <si>
    <t>Altpoint Capital(www.altpointcapital.com), Blue Wire Capital(www.bluewirecapital.com), European Founders Fund(www.europeanfounders.com), Global Founders Capital(www.globalfounders.vc), Global Ports Holding(www.globalportsholding.com), Hasso Plattner Ventures(www.hp-ventures.com), HV Holtzbrinck Ventures(www.hvventures.com), Princeville Capital(www.princeville-capital.com), TA Ventures(www.taventures.vc), Target Global(www.targetglobal.vc), TruVenturo(www.truventuro.com)</t>
  </si>
  <si>
    <t>Astutia Ventures(www.astutia.de)</t>
  </si>
  <si>
    <t>GCA Advisors(Advisor: General), Hasso Plattner Ventures(Debt Financing), Hogan Lovells(Legal Advisor), Kreos Capital(Debt Financing)</t>
  </si>
  <si>
    <t>58361-68</t>
  </si>
  <si>
    <t>DreamHammer</t>
  </si>
  <si>
    <t>DreamHammer Products</t>
  </si>
  <si>
    <t>Propeller Aerobotics</t>
  </si>
  <si>
    <t>Developer of drone management platform intended to manage remote sensing, media, broadcasting and logistics operations. The company's drone management platform is a professional grade platform with intuitive interface to balances the complexities of enterprise operations regardless of application, enabling users to manage drones safely and reduce the cost of commercial operations.</t>
  </si>
  <si>
    <t>Other Information Technology*, Social/Platform Software</t>
  </si>
  <si>
    <t>drones management platform, drones management software, software system, software system integration</t>
  </si>
  <si>
    <t>www.dreamhammer.com</t>
  </si>
  <si>
    <t>113762-35P</t>
  </si>
  <si>
    <t>Steven Kantor</t>
  </si>
  <si>
    <t>+1 (310) 890-1537</t>
  </si>
  <si>
    <t>4350 Executive Drive</t>
  </si>
  <si>
    <t>info@dreamhammer.com</t>
  </si>
  <si>
    <t>The company raised $8.73 million of venturel funding from Stanley Ventures and other undisclosed investors on November 8, 2018.</t>
  </si>
  <si>
    <t>180939-61</t>
  </si>
  <si>
    <t>DrayNow</t>
  </si>
  <si>
    <t>Shipwell</t>
  </si>
  <si>
    <t>Developer of an intermodal marketplace created to harmonize intermediaries, carriers and truck drivers. The company's intermodal marketplace uses technology to connect intermediaries to more carriers on short notice, maintain visibility of the shipment's location and status at all times, and helps truckers to compare rates, view load details and select available loads in their area in real time, providing companies in the intermodal industry with increased efficiencies to maintain capacity, service, visibility and profitability.</t>
  </si>
  <si>
    <t>Logistics, Media and Information Services (B2B)*, Social/Platform Software</t>
  </si>
  <si>
    <t>intermodal facilities, intermodal marketplace, intermodal platform, intermodal shipment, intermodal-drayage, transportation logistics</t>
  </si>
  <si>
    <t>www.draynow.com</t>
  </si>
  <si>
    <t>163134-01P</t>
  </si>
  <si>
    <t>Michael Albert</t>
  </si>
  <si>
    <t>michael.albert@draynow.com</t>
  </si>
  <si>
    <t>+1 (267) 843-1100</t>
  </si>
  <si>
    <t>Pipersville, PA</t>
  </si>
  <si>
    <t>33 Appletree Lane</t>
  </si>
  <si>
    <t>Pipersville</t>
  </si>
  <si>
    <t>18947</t>
  </si>
  <si>
    <t>main@draynow.com</t>
  </si>
  <si>
    <t>The company raised $5 million of Series A venture funding in a deal led by Comcast Ventures on August 27, 2018, putting the company's pre-money valuation at $12.5 million. Osage Venture Partners also participated in the round. The company intends to use the funds to grow its team and accelerate expansion into new geographies.</t>
  </si>
  <si>
    <t>Comcast Ventures, Genacast Ventures, Osage Venture Partners</t>
  </si>
  <si>
    <t>Comcast Ventures(www.comcastventures.com), Genacast Ventures(www.genacast.com), Osage Venture Partners(osageventurepartners.com)</t>
  </si>
  <si>
    <t>54463-24</t>
  </si>
  <si>
    <t>Drawbridge</t>
  </si>
  <si>
    <t>Reach Analytics, Signal, TruSignal, Adelphic, Throtle, Tealium, LiquidM, YuMe, Choozle, Videology, Chartboost, PushSpring, Salesforce, Bidstalk, Tapad, Adobe Systems, LiveRamp</t>
  </si>
  <si>
    <t>Developer of identity management platform designed to build democratized solutions for identity. The company's artificial intelligence and machine learning-based platform supports advertising, personalization, content management, product recommendation, authentication and risk detection to address user-focused issues like customer experience, enabling brands and enterprises to better understand their customers and create personalized experiences for them.</t>
  </si>
  <si>
    <t>crosses device identity, customer experience, identity management api, identity management system, identity validation platform</t>
  </si>
  <si>
    <t>www.drawbridge.com</t>
  </si>
  <si>
    <t>2015: 65, 2016: 110, 2017: 170, 2018: 160</t>
  </si>
  <si>
    <t>News (New) , Competitor (New) Bidstalk, Competitor (New) Chartboost, Competitor (New) Choozle, Competitor (New) PushSpring, Competitor (New) Videology, Competitor (New) YuMe</t>
  </si>
  <si>
    <t>41253-58P</t>
  </si>
  <si>
    <t>Kamakshi Sivaramakrishnan</t>
  </si>
  <si>
    <t>kamakshi@drawbridge.com</t>
  </si>
  <si>
    <t>+1 (855) 379-2734</t>
  </si>
  <si>
    <t>The company reached a definitive agreement to be acquired by LinkedIn, a subsidiary of Microsoft (NAS: MSFT), for an undisclosed amount on May 28, 2019.</t>
  </si>
  <si>
    <t>ATEL Capital Group, Ericsson Ventures, GE Ventures, Kleiner Perkins, Mitsui &amp; Co., Northgate Capital, Sequoia Capital</t>
  </si>
  <si>
    <t>LinkedIn</t>
  </si>
  <si>
    <t>ATEL Capital Group(www.atel.com), GE Ventures(www.geventures.com), Kleiner Perkins(www.kleinerperkins.com), Mitsui &amp; Co.(www.mitsui.com), Northgate Capital(www.northgate.com), Sequoia Capital(www.sequoiacap.com)</t>
  </si>
  <si>
    <t>LinkedIn(www.linkedin.com)</t>
  </si>
  <si>
    <t>AC Lion(Consulting), Silicon Valley Bank(General Business Banking), True Capital Partners(Advisor: General)</t>
  </si>
  <si>
    <t>Eaton Square(Advisor: General), Gunderson Dettmer(Legal Advisor), Runway Growth Capital(Debt Financing), Spinta Capital(Advisor: General)</t>
  </si>
  <si>
    <t>120194-29</t>
  </si>
  <si>
    <t>Dragos</t>
  </si>
  <si>
    <t>Dragos Security Services</t>
  </si>
  <si>
    <t>Developer of a threat detection and response platform designed to protect critical systems. The company's platform offers asset inventory visibility, anomaly threat detection, workflow automation and provides incident response support, analyzes malware and adversary activities and generates threat intelligence, enabling businesses and corporate clients to establish a resilient and adaptable security posture.</t>
  </si>
  <si>
    <t>Business/Productivity Software, Network Management Software, Other IT Services*</t>
  </si>
  <si>
    <t>cyber security software, cyber threat intelligence, cybersecurity, incident response services, industrial cybersecurity, network configuration, threat intelligence</t>
  </si>
  <si>
    <t>www.dragos.com</t>
  </si>
  <si>
    <t>143544-61P</t>
  </si>
  <si>
    <t>Jon Lavender</t>
  </si>
  <si>
    <t>jon@dragossecurity.com</t>
  </si>
  <si>
    <t>+1 (855) 372-4670</t>
  </si>
  <si>
    <t>Hanover, MD</t>
  </si>
  <si>
    <t>1745 Dorsey Road</t>
  </si>
  <si>
    <t>Suite R</t>
  </si>
  <si>
    <t>Hanover</t>
  </si>
  <si>
    <t>21076</t>
  </si>
  <si>
    <t>The company raised $37 million of Series B venture funding in a deal led by Canaan Partners on November 14, 2018, putting the company's pre-money valuation at $100 million. Emerson Ventures, Schweitzer Engineering Laboratories and National Grid Partners also participated in the round. The company intends to use the fund to continue the growth of the team, as well as expand internationally.</t>
  </si>
  <si>
    <t>AllegisCyber, BYU Cougar Capital, Canaan Partners, DataTribe, Emerson Ventures, Energy Impact Partners, National Grid Partners, Schweitzer Engineering Laboratories</t>
  </si>
  <si>
    <t>AllegisCyber(www.allegiscyber.com), BYU Cougar Capital(www.byucougarcapital.org), Canaan Partners(www.canaan.com), DataTribe(www.datatribe.com), Energy Impact Partners(www.energyimpactpartners.com), National Grid Partners(www.ngpartners.com), Schweitzer Engineering Laboratories(www.selinc.com)</t>
  </si>
  <si>
    <t>54846-28</t>
  </si>
  <si>
    <t>DraftKings</t>
  </si>
  <si>
    <t>FanDuel, Draftpot, DraftDay, PlayON, Skyllzone</t>
  </si>
  <si>
    <t>Provider of a skill-based daily fantasy sports (DFS) platform designed to play daily fantasy sports. The company's sports platform features brings daily and weekly fantasy contests in football, baseball, basketball, hockey, golf, soccer and auto racing for real cash prizes, enabling users to participate in the gaming contests and win money.</t>
  </si>
  <si>
    <t>college football, fantasy sports, online fantasy sports, skill-based sports, sports platform, weeklies fantasy contest</t>
  </si>
  <si>
    <t>www.draftkings.com</t>
  </si>
  <si>
    <t>2012: 7, 2013: 35, 2014: 121, 2015: 222, 2016: 333, 2017: 350, 2018: 425, 2019: 700</t>
  </si>
  <si>
    <t>52725-16P</t>
  </si>
  <si>
    <t>Timothy Dent</t>
  </si>
  <si>
    <t>Chief Financial Officer Finance &amp; Chief Compliance Officer</t>
  </si>
  <si>
    <t>tdent@draftkings.com</t>
  </si>
  <si>
    <t>+1 (508) 690-0014</t>
  </si>
  <si>
    <t>125 Summer Street</t>
  </si>
  <si>
    <t>info@draftkings.com</t>
  </si>
  <si>
    <t>The company is reportedly seeking $175 million of venture funding from Data Point Capital, Growth Technology Partners, Flybridge Capital Partners and other undisclosed investors as of June 11, 2018. Major League Baseball Ventures is also in talks to sell its stake in the company.</t>
  </si>
  <si>
    <t>111 Holdings, Accomplice VC, Agman Partners, Angel Street Capital, Atlas Venture, BDS Ventures, Boston Seed Capital, Counterview Capital, Crofton Capital, Data Point Capital, Dave Balter, DST Global, Eldridge Industries, Elysian Park Ventures, Entertainment Sports Programming Network, FirstMark Capital, Flybridge Capital Partners, GGV Capital, Growth Technology Partners, Hartford Financial Services Group (Mutual Fund Business), Hub Angels Investment Group, Icon Ventures, Jerry Jones, Joe Gallagher, John Hancock Investments, Jordan Mendell, Kohlberg Kravis Roberts, Legends Hospitality, Major League Baseball Ventures, Major League Soccer, MassMutual Financial Group, Michael Cheung, MSG Networks, National Hockey League, Principal Financial Group, Redpoint Ventures, Revolution, SOSV, Templeton Emerging Markets Group, The Hartford Financial Services Group, The Kraft Family Foundation, The Madison Square Garden Company, The Raine Group, Washington Capital Ventures, Wellington Management</t>
  </si>
  <si>
    <t>111 Holdings(www.111holdings.com), Accomplice VC(www.accomplice.co), Agman Partners(www.agmanpartners.com), Angel Street Capital(www.angelstreetcapital.com), Atlas Venture(www.atlasventure.com), BDS Ventures(www.bdsventuresltd.com), Boston Seed Capital(www.bostonseed.com), Counterview Capital(www.counterview.vc), Crofton Capital(www.croftoncap.com), Data Point Capital(www.datapointcapital.com), DST Global(www.dst-global.com), Eldridge Industries(www.eldridge.com), Elysian Park Ventures(www.elysianpark.ventures), Entertainment Sports Programming Network(www.espn.com), FirstMark Capital(www.firstmarkcap.com), Flybridge Capital Partners(www.flybridge.com), GGV Capital(www.ggvc.com), Growth Technology Partners(www.growthtechnologypartners.com), Hartford Financial Services Group (Mutual Fund Business)(www.hartfordfunds.com), Hub Angels Investment Group(www.hubangels.com), Icon Ventures(www.iconventures.com), John Hancock Investments(jhinvestments.com), Kohlberg Kravis Roberts(www.kkr.com), Legends Hospitality(www.legends.net), Major League Soccer(www.mlssoccer.com), MSG Networks(www.msgnetworks.com), National Hockey League(www.nhl.com), Principal Financial Group(www.principal.com), Redpoint Ventures(www.redpoint.com), Revolution(www.revolution.com), SOSV(www.sosv.com), The Madison Square Garden Company(www.themadisonsquaregardencompany.com), The Raine Group(www.raine.com), Washington Capital Ventures(www.wcvonline.com), Wellington Management(www.wellington.com)</t>
  </si>
  <si>
    <t>Latham &amp; Watkins(Legal Advisor), True Capital Partners(Advisor: General)</t>
  </si>
  <si>
    <t>Cooley(Legal Advisor), Latham &amp; Watkins(Legal Advisor), The Raine Group(Advisor: General)</t>
  </si>
  <si>
    <t>221996-98</t>
  </si>
  <si>
    <t>Dr. Rabbit</t>
  </si>
  <si>
    <t>Developer and operator of an online housing transaction database. The company operates a digital platform using big data technology providing real estate industry price query tool, enabling customers to know the actual price of the property based on their geographical location, facilities and other necessary information, helping them to avoid paying premium prices.</t>
  </si>
  <si>
    <t>Application Software*, Database Software, Social/Platform Software</t>
  </si>
  <si>
    <t>Big Data, Real Estate Technology, TMT</t>
  </si>
  <si>
    <t>housing transaction database, online database platform, property pricing, property valuation tool, real estate queries tools, real estate valuation, technology platform developer</t>
  </si>
  <si>
    <t>sh.2boss.cn</t>
  </si>
  <si>
    <t>Taichuang Space 3F, 10 Changtai Square</t>
  </si>
  <si>
    <t>Lane 2889, Jinke Road, Pudong New Area</t>
  </si>
  <si>
    <t>+86 (0)21 6288 8012</t>
  </si>
  <si>
    <t>The company raised $10 million of Series B venture funding from Cathay Capital Private Equity, Lightspeed Venture Partners China and Recruit Strategic Partners on January 5, 2018.</t>
  </si>
  <si>
    <t>Cathay Innovation, JadeValue Incubator, Lightspeed Venture Partners China, Recruit Strategic Partners, Share Capital</t>
  </si>
  <si>
    <t>Cathay Innovation(www.cathayinnovation.com), JadeValue Incubator(www.jadevaluefintech.com), Lightspeed Venture Partners China(www.lightspeedcp.com), Recruit Strategic Partners(recruitstrategicpartners.com), Share Capital(www.sharecapital.cn)</t>
  </si>
  <si>
    <t>138596-23</t>
  </si>
  <si>
    <t>DOmedic</t>
  </si>
  <si>
    <t>Provider of pill dispensers designed to improve the life of people. The company's dispensers help people to take the right medicine, at right time, with proper dosage and in the right way, enabling patients to avoid the mismanagement in taking the regular pillbox and increases safety to the medicated person.</t>
  </si>
  <si>
    <t>Electronics (B2C)*, Other Devices and Supplies, Other Healthcare Technology Systems</t>
  </si>
  <si>
    <t>medication guidance, medicine dispenser, medicine dispenser module, pills management</t>
  </si>
  <si>
    <t>www.domedic.ca</t>
  </si>
  <si>
    <t>146164-06P</t>
  </si>
  <si>
    <t>Michel Gregoire</t>
  </si>
  <si>
    <t>Director, Business Development</t>
  </si>
  <si>
    <t>mgregoire@domedic.ca</t>
  </si>
  <si>
    <t>+1 (514) 915-0730</t>
  </si>
  <si>
    <t>Québec, Canada</t>
  </si>
  <si>
    <t>3236 Chemin Saint-Louis</t>
  </si>
  <si>
    <t>Suite 102, Ville de Québec</t>
  </si>
  <si>
    <t>Québec</t>
  </si>
  <si>
    <t>G1W 1S2</t>
  </si>
  <si>
    <t>+1 (418) 842-3535</t>
  </si>
  <si>
    <t>+1 (418) 915-9395</t>
  </si>
  <si>
    <t>info@domedic.ca</t>
  </si>
  <si>
    <t>Pharmagest Interactive sold a 9% stake in the company to TELUS Ventures for an undisclosed amount on February 3, 2016.</t>
  </si>
  <si>
    <t>Pharmagest Interactive, TELUS Ventures</t>
  </si>
  <si>
    <t>Pharmagest Interactive(www.pharmagest.com), TELUS Ventures(ventures.telus.com)</t>
  </si>
  <si>
    <t>151974-37</t>
  </si>
  <si>
    <t>Dolmen (CRM)</t>
  </si>
  <si>
    <t>Dolmen</t>
  </si>
  <si>
    <t>Developer of customer marketing platform designed to collect and use the data provided by the customers and prospects. The company's platform builds regular events that are essential for gaining new customers and synchronizes information in centralized databases for enriched content and optimal knowledge, enabling shop-owners to know their customers better and build a long-lasting and close relationship.</t>
  </si>
  <si>
    <t>customer marketing platform, customer relationship management, digital marketing, local marketing software, marketing platform, marketing platform software</t>
  </si>
  <si>
    <t>www.dolmen-tech.com</t>
  </si>
  <si>
    <t>125489-17P</t>
  </si>
  <si>
    <t>Yannick Le Duc</t>
  </si>
  <si>
    <t>yannick.leduc@dolmen-tech.com</t>
  </si>
  <si>
    <t>+33 (0)2 99 12 15 75</t>
  </si>
  <si>
    <t>Saint-Grégoire, France</t>
  </si>
  <si>
    <t>10, parc de Brocéliande</t>
  </si>
  <si>
    <t>Immeuble Axis</t>
  </si>
  <si>
    <t>Saint-Grégoire</t>
  </si>
  <si>
    <t>35760</t>
  </si>
  <si>
    <t>hello@dolmen-tech.com</t>
  </si>
  <si>
    <t>The company raised EUR 9 million of venture funding from Mediapost and Salesforce Ventures on February 8, 2019.</t>
  </si>
  <si>
    <t>Banexi Ventures Partners, Day One Entrepreneurs &amp; Partners, Mediapost, Salesforce Ventures</t>
  </si>
  <si>
    <t>Banexi Ventures Partners(www.banexiventures.com), Day One Entrepreneurs &amp; Partners(www.dayonepartners.com), Mediapost(www.mediapost.fr)</t>
  </si>
  <si>
    <t>Lincoln International(Advisor: General), Orrick, Herrington &amp; Sutcliffe(Legal Advisor)</t>
  </si>
  <si>
    <t>54986-50</t>
  </si>
  <si>
    <t>Docufree</t>
  </si>
  <si>
    <t>Innosource Business Solutions</t>
  </si>
  <si>
    <t>Mozy, Veeam</t>
  </si>
  <si>
    <t>Developer of document management software, intended to help businesses work faster with their paper documents. The company's SaaS based platform transforms paper into text-searchable digital images, as well as capture, stores, and manages documents and digital files securely online. The company also transform faxes, paper, and emails into secure digital streams, ensuring the highest levels of security and reliability while converting paper documents into digital documents.</t>
  </si>
  <si>
    <t>Business/Productivity Software*, Database Software, Systems and Information Management</t>
  </si>
  <si>
    <t>digital files securitization, document scanning, online document management, online document management service, online storage, online storage retrieval, workflow automation</t>
  </si>
  <si>
    <t>www.docufree.com</t>
  </si>
  <si>
    <t>42791-41P</t>
  </si>
  <si>
    <t>Brad Jenkins</t>
  </si>
  <si>
    <t>bjenkins@docufree.com</t>
  </si>
  <si>
    <t>+1 (877) 819-4943</t>
  </si>
  <si>
    <t>Roswell, GA</t>
  </si>
  <si>
    <t>1175 Northmeadow Parkway</t>
  </si>
  <si>
    <t>Suite 140</t>
  </si>
  <si>
    <t>Roswell</t>
  </si>
  <si>
    <t>30076</t>
  </si>
  <si>
    <t>+1 (770) 992-0333</t>
  </si>
  <si>
    <t>info@docufree.com</t>
  </si>
  <si>
    <t>The company received an undisclosed amount of development capital from Lovett Miller &amp; Company and UPS Strategic Enterprise Fund.</t>
  </si>
  <si>
    <t>Lovett Miller &amp; Company, UPS Strategic Enterprise Fund</t>
  </si>
  <si>
    <t>Lovett Miller &amp; Company(www.lovettmiller.com)</t>
  </si>
  <si>
    <t>51655-06</t>
  </si>
  <si>
    <t>Docker</t>
  </si>
  <si>
    <t>dotCloud</t>
  </si>
  <si>
    <t>Chef, HashiCorp, RightScale, Puppet, Platform.sh, Cloud 66, NodeSource, Mesosphere, XebiaLabs, Engine Yard, Platform9, Diamanti, Egenera, Kubernetes, Nirmata, Apprenda, Apcera, CloudBees, ClusterHQ, TIBCO Software, Stratoscale, Delphix, JFrog, Cazena, DataStax, Scalr, Rancher (Container Management), Calm.io, VANTIQ, Aruba Networks, ForePaaS, MapR, Deis, Flynn, Nodejitsu, Corent Technology, Twistlock, Canonical, Cloud Technology Partners, Apigee, Cumulus Networks, SnapLogic, Fedr8, AppScale Systems, Pivotal Software, AppFog, SUSE, Openshift, DCHQ, Cloud Foundry Foundation, Heroku, DigitalOcean, Cloud Foundry, Amazon Web Services, Rocket, VMware</t>
  </si>
  <si>
    <t>Developer of a software container platform designed to eliminate problems when collaborating on code with co-workers. The company's platform offers bundle applications and dependencies into isolated, yet highly portable application packages to get better compute density, enabling businesses to reduce infrastructure and maintenance costs of supporting the existing application.</t>
  </si>
  <si>
    <t>application development platform, containerization, open source model, open sourcing coding, software containerization platform</t>
  </si>
  <si>
    <t>www.docker.com</t>
  </si>
  <si>
    <t>2013: 14, 2018: 430</t>
  </si>
  <si>
    <t>45117-91P</t>
  </si>
  <si>
    <t>Mike Gupta</t>
  </si>
  <si>
    <t>mike.gupta@docker.com</t>
  </si>
  <si>
    <t>+1 (415) 941-0376</t>
  </si>
  <si>
    <t>144 Townsend Street</t>
  </si>
  <si>
    <t>The company raised $91.93 million of Series E venture funding from Benchmark Capital, SharesPost and Greenspring Associates on October 15, 2018, putting the company's pre-money valuation at $1.225 billion. Base Partners, TheFamily, Cross Creek Advisors and other undisclosed investors also participated in the round. The funds will be used to build a sales and marketing team for corporate clients. TheFamily also participated in this round.</t>
  </si>
  <si>
    <t>ACE &amp; Company, AME Cloud Ventures, Ashvin Patel, Aster Capital, Azure Capital Partners, Base Partners, Benchmark (San Francisco), Caffeinated Capital, China Broadband Capital Partners, Coatue Management, Cross Creek, Greenspring Associates, Greylock Partners, Ignition Partners, Insight Partners, Jason Johnson, Jonathan Abrams, Kal Vepuri, Kenny Van Zant, Kima Ventures, Lightspeed Venture Partners, Lowercase Capital, Matthew Ocko, Michael Levit, Northern Trust, Raymond Tonsing, Roger Dickey, Ronald Conway, Salesforce, Salesforce Ventures, Sequoia Capital, Seth Berman, SharesPost, SV Angel, The Goldman Sachs Group, TheFamily, Trinity Ventures, Y Combinator, Zhiyuan Yang</t>
  </si>
  <si>
    <t>ACE &amp; Company(www.aceandcompany.com), AME Cloud Ventures(www.amecloudventures.com), Aster Capital(www.aster.com), Azure Capital Partners(www.azurecap.com), Base Partners(www.basepar.com), Benchmark (San Francisco)(www.benchmark.com), Caffeinated Capital(www.caffeinatedcapital.com), China Broadband Capital Partners(www.cbc-capital.com), Coatue Management(www.coatue.com), Cross Creek(www.crosscreek.vc), Greenspring Associates(www.greenspringassociates.com), Greylock Partners(www.greylock.com), Ignition Partners(www.ignitionpartners.com), Insight Partners(www.insightpartners.com), Jonathan Abrams(www.jabrams.com), Kima Ventures(www.kimaventures.com), Lightspeed Venture Partners(www.lsvp.com), Lowercase Capital(www.lowercasecapital.com), Northern Trust(www.northerntrust.com), Raymond Tonsing(www.angel.co/tonsing), Salesforce(www.salesforce.com), Sequoia Capital(www.sequoiacap.com), SharesPost(www.sharespost.com), SV Angel(www.svangel.com), The Goldman Sachs Group(www.goldmansachs.com), TheFamily(www.thefamily.co), Trinity Ventures(www.trinityventures.com), Y Combinator(www.ycombinator.com)</t>
  </si>
  <si>
    <t>Granite Valuations(Valuation/Appraiser), Launch Search Partners(Consulting), Orrick, Herrington &amp; Sutcliffe(Legal Advisor), Slalom Consulting(Consulting), Wilson Sonsini Goodrich &amp; Rosati(Legal Advisor)</t>
  </si>
  <si>
    <t>Cooley(Legal Advisor), Orrick, Herrington &amp; Sutcliffe(Legal Advisor), Wilson Sonsini Goodrich &amp; Rosati(Legal Advisor)</t>
  </si>
  <si>
    <t>84449-53</t>
  </si>
  <si>
    <t>DMetrics</t>
  </si>
  <si>
    <t>DecisionEngine</t>
  </si>
  <si>
    <t>Developer of an artificial intelligence based reading platform designed to discover consumer behaviour. The company's artificial intelligence based reading platform uses natural language processing technology to identify, classify, analyze and predict consumers' decisions hidden within the big data, enabling companies to understand customers' expectations and act properly.</t>
  </si>
  <si>
    <t>artificial intelligence, consumer behavior, consumer decision, decision prediction, reading platform</t>
  </si>
  <si>
    <t>www.dmetrics.com</t>
  </si>
  <si>
    <t>109057-33P</t>
  </si>
  <si>
    <t>Ariadna Quattoni</t>
  </si>
  <si>
    <t>Chief Technology Officer, Board Member and Co-Founder</t>
  </si>
  <si>
    <t>ariadna.quattoni@dmetrics.com</t>
  </si>
  <si>
    <t>181 North 11th Street</t>
  </si>
  <si>
    <t>info@dmetrics.com</t>
  </si>
  <si>
    <t>The company joined SAP.iO Foundry on August 15, 2018.</t>
  </si>
  <si>
    <t>Evan Schulman, FinTech Innovation Lab, National Science Foundation, Nicholas Negroponte, SAP.iO Foundry</t>
  </si>
  <si>
    <t>FinTech Innovation Lab(www.fintechinnovationlab.com), National Science Foundation(seedfund.nsf.gov), Nicholas Negroponte(web.media.mit.edu), SAP.iO Foundry(sap.io)</t>
  </si>
  <si>
    <t>64213-39</t>
  </si>
  <si>
    <t>Distractify</t>
  </si>
  <si>
    <t>Urban Times, Gawker Media, Fullscreen Media, Gimlet Media, BuzzFeed, OMG Digital</t>
  </si>
  <si>
    <t>Operator of a content publishing website designed to deliver content in various formats on various platforms. The company's content publishing website helps people reach audiences on social and mobile by adapting content for user consumption and provides shareable video, trending news and listicles, enabling clients to share content in a hassle free way.</t>
  </si>
  <si>
    <t>Business/Productivity Software, Publishing, Social Content*</t>
  </si>
  <si>
    <t>content, content platform, content publishing, content publishing website, video sharing website</t>
  </si>
  <si>
    <t>www.distractify.com</t>
  </si>
  <si>
    <t>2014: 12, 2016: 34</t>
  </si>
  <si>
    <t>70615-36P</t>
  </si>
  <si>
    <t>Quinn Hu</t>
  </si>
  <si>
    <t>quinn@distractify.com</t>
  </si>
  <si>
    <t>The company raised $7 million of Series A venture funding in a deal led by Lightspeed Venture Partners on June 23, 2014, putting the company's pre-money valuation at $18.88 million. Lerer Hippeau Ventures, Advancit Capital and CAA Ventures also participated in this round.</t>
  </si>
  <si>
    <t>Advancit Capital, CAA Ventures, Lerer Hippeau, Lightspeed Venture Partners</t>
  </si>
  <si>
    <t>Advancit Capital(www.advancitcapital.com), CAA Ventures(ventures.caa.com), Lerer Hippeau(www.lererhippeau.com), Lightspeed Venture Partners(www.lsvp.com)</t>
  </si>
  <si>
    <t>52279-93</t>
  </si>
  <si>
    <t>DisplayLink</t>
  </si>
  <si>
    <t>Newnham Research</t>
  </si>
  <si>
    <t>Developer of semiconductors and software designed to offer supporting USB devices for any computer. The company's semiconductors and software offers a technology that is embedded in a complex integrated circuit known as a system on chip that interfaces to the display monitor via any standard display connector such as HDMI or display port, enabling different users to timeshare the same desktop environment creating opportunities for saving on the costs of office space.</t>
  </si>
  <si>
    <t>Connectivity Products*, General Purpose Semiconductors, Network Management Software</t>
  </si>
  <si>
    <t>computer connectivity, connectivity technology, docking station, multiple display, network display, usb adapters, usb monitoring, wireless usb</t>
  </si>
  <si>
    <t>www.displaylink.com</t>
  </si>
  <si>
    <t>2007: 65, 2014: 103, 2015: 140</t>
  </si>
  <si>
    <t>43266-16P</t>
  </si>
  <si>
    <t>John Lee</t>
  </si>
  <si>
    <t>john.lee@displaylink.com</t>
  </si>
  <si>
    <t>+44 (0)12 2344 3999</t>
  </si>
  <si>
    <t>480 South California Avenue</t>
  </si>
  <si>
    <t>Suite 305</t>
  </si>
  <si>
    <t>+1 (650) 838-0481</t>
  </si>
  <si>
    <t>+1 (650) 838-0482</t>
  </si>
  <si>
    <t>The company received $10.4 million of venture funding in a deal led by Clydesdale Bank on September 11, 2012. Atlas Venture, Accomplice VC, Balderton Capital, Cipio Partners, DAG Ventures, Samsung Venture Investment and Draper Esprit also participated in the round. The company additionally received an undisclosed amount of debt financing in the form of a senior debt from Clydesdale Bank in the deal.</t>
  </si>
  <si>
    <t>Accomplice VC, Atlas Venture, Balderton Capital, Benchmark (San Francisco), Cipio Partners, Clydesdale Bank, DAG Ventures, Draper Esprit, Samsung Venture Investment, Western Technology Investment</t>
  </si>
  <si>
    <t>Accomplice VC(www.accomplice.co), Atlas Venture(www.atlasventure.com), Balderton Capital(www.balderton.com), Benchmark (San Francisco)(www.benchmark.com), Cipio Partners(www.cipiopartners.com), Clydesdale Bank(secure.cbonline.co.uk), DAG Ventures(www.dagventures.com), Draper Esprit(www.draperesprit.com), Samsung Venture Investment(www.samsungventures.com), Western Technology Investment(www.westerntech.com)</t>
  </si>
  <si>
    <t>Gillamor Stephens(Consulting), Wilson Sonsini Goodrich &amp; Rosati(Legal Advisor)</t>
  </si>
  <si>
    <t>Clydesdale Bank(Debt Financing), Western Technology Investment(Debt Financing), Wilson Sonsini Goodrich &amp; Rosati(Legal Advisor)</t>
  </si>
  <si>
    <t>99383-05</t>
  </si>
  <si>
    <t>Dispatch (SaaS)</t>
  </si>
  <si>
    <t>Infor Global Solutions, Kore.ai, Directly, Breezeworks, Zinier, Pypestream, Artificial Solutions, Riversand, StoreForce Solutions, Aptean, Bright Pattern, Salsify, Edgenet, FieldAware, Ramco Systems, ECi Software Solutions, Next IT, LogiNext, SAP Hybris, Boost.ai, PeopleNet, Parature, NOVAtime Technology, Onestream Software, LOKI Systems, Interactions, Paylocity, Nuance, Epicor Software, Reply.ai</t>
  </si>
  <si>
    <t>Developer of a mobile workforce software created to solve the communication gap between enterprise brands. The company's software provides data, intuitive tools, applications and services that helps users to fix their problems faster and better, enabling enterprises to get a technology that provides them access to modern service experiences throughout every step of the service lifecycle.</t>
  </si>
  <si>
    <t>mobile workflow, service managment software, workforce management</t>
  </si>
  <si>
    <t>www.dispatch.me</t>
  </si>
  <si>
    <t>2014: 15, 2016: 77</t>
  </si>
  <si>
    <t>41504-14P</t>
  </si>
  <si>
    <t>Avi Goldberg</t>
  </si>
  <si>
    <t>avi.goldberg@dispatch.me</t>
  </si>
  <si>
    <t>123 North Washington Street</t>
  </si>
  <si>
    <t>+1 (617) 580-0607</t>
  </si>
  <si>
    <t>The company raised an undisclosed amount of venture funding led by Vista Equity Partners on September 17, 2018. GrandBanks Capital also participated in the round. The company plans to use the funding to enhance its suite of products, expand partnerships, and hire across all departments in their Boston headquarters.</t>
  </si>
  <si>
    <t>32 Degrees Capital, Advisors.Fund, Assurant Growth Investing, GrandBanks Capital, Huff Capital, Kima Ventures, LaunchCapital, Liberty Mutual Strategic Ventures, Promus Ventures, Raymond Lane, Recruit Strategic Partners, Salesforce, Salesforce Ventures, ServiceMaster Global Holdings, Vista Equity Partners</t>
  </si>
  <si>
    <t>32 Degrees Capital(www.32degrees.ca), Advisors.Fund(www.advisors.fund), Assurant Growth Investing(www.assurantgrowthinvesting.com), GrandBanks Capital(www.grandbankscapital.com), Huff Capital(www.huffcapitalinc.com), Kima Ventures(www.kimaventures.com), LaunchCapital(www.launchcapital.com), Liberty Mutual Strategic Ventures(welcome.libertymutual.com/innovation/ventures), Promus Ventures(www.promusventures.com), Recruit Strategic Partners(recruitstrategicpartners.com), Salesforce(www.salesforce.com), ServiceMaster Global Holdings(www.servicemaster.com), Vista Equity Partners(www.vistaequitypartners.com)</t>
  </si>
  <si>
    <t>56226-43</t>
  </si>
  <si>
    <t>Discover.ly</t>
  </si>
  <si>
    <t>Owler, ZoomInfo</t>
  </si>
  <si>
    <t>Developer of a social enterprise tool designed to help people to discover opportunities in their connections, both personal and professional. The company's social enterprise tool are provided through an online platform for social discovery and paid services such as premium user and customer enterprise services for employers, recruiters and other businesses, enabling clients to see information from social networks as they browse.</t>
  </si>
  <si>
    <t>HR Tech, Industrials, Mobile, SaaS, TMT</t>
  </si>
  <si>
    <t>e-recruitment, social discovery, social enterprise, social enterprise tools</t>
  </si>
  <si>
    <t>www.discover.ly</t>
  </si>
  <si>
    <t>2013: 4, 2016: 3</t>
  </si>
  <si>
    <t>944 Union Street</t>
  </si>
  <si>
    <t>The company raised $1 million of seed funding from Alchemist Accelerator, Bessemer Venture Partners and Salesforce Ventures on August 13, 2014, putting the company's pre-money valuation at $7 million.</t>
  </si>
  <si>
    <t>Alchemist Accelerator, Atlas Venture, Ben Lin, Bessemer Venture Partners, Great Oaks Venture Capital, Howard Lindzon, James Patterson, Salesforce Ventures, Social Leverage, Thomas Peterson</t>
  </si>
  <si>
    <t>Alchemist Accelerator(www.alchemistaccelerator.com), Atlas Venture(www.atlasventure.com), Bessemer Venture Partners(www.bvp.com), Great Oaks Venture Capital(www.greatoaksvc.com), Howard Lindzon(www.howardlindzon.com), Social Leverage(www.socialleverage.com)</t>
  </si>
  <si>
    <t>55401-22</t>
  </si>
  <si>
    <t>DirectWithHotels</t>
  </si>
  <si>
    <t>ZimpliHotels</t>
  </si>
  <si>
    <t>Provider of an online platform designed to offer booking services to small and mid-sized hotels and lodging properties. The company's platform uses simple and effective technology that helps users to connect with the world's online travel agents, enabling independent hoteliers to deliver shared revenue and gross profit targets on a consistent basis.</t>
  </si>
  <si>
    <t>Business/Productivity Software, Hotels and Resorts, Vertical Market Software*</t>
  </si>
  <si>
    <t>Real Estate Technology, SaaS, TMT</t>
  </si>
  <si>
    <t>online marketing service, revenue management</t>
  </si>
  <si>
    <t>www.directwithhotels.com</t>
  </si>
  <si>
    <t>2014: 208, 2016: 189</t>
  </si>
  <si>
    <t>46661-95P</t>
  </si>
  <si>
    <t>Emiliano Zulberti</t>
  </si>
  <si>
    <t>emiliano.zulberti@directwithhotels.com</t>
  </si>
  <si>
    <t>+63 (0)2 8928030</t>
  </si>
  <si>
    <t>Makati City, Philippines</t>
  </si>
  <si>
    <t>109 Gloria Building</t>
  </si>
  <si>
    <t>Aguirre Street, Legaspi Village</t>
  </si>
  <si>
    <t>Makati City</t>
  </si>
  <si>
    <t>1229</t>
  </si>
  <si>
    <t>Philippines</t>
  </si>
  <si>
    <t>gpqm@directwithhotels.com</t>
  </si>
  <si>
    <t>The company raised venture funding from NTT Finance, ICCP Venture Partners and Recruit Strategic Partners on an undisclosed date.</t>
  </si>
  <si>
    <t>A. Soriano, DFJ VinaCapital, ICCP Venture Partners, NTT Finance, Recruit Strategic Partners</t>
  </si>
  <si>
    <t>A. Soriano(www.anscor.com.ph), DFJ VinaCapital(www.dfj-vinacapital.com), ICCP Venture Partners(www.iccpventurepartners.com), NTT Finance(www.ntt-finance.co.jp/eng), Recruit Strategic Partners(recruitstrategicpartners.com)</t>
  </si>
  <si>
    <t>54040-96</t>
  </si>
  <si>
    <t>Directly</t>
  </si>
  <si>
    <t>Insidr</t>
  </si>
  <si>
    <t>Help Scout, Kore.ai, Nanorep, Kayako, Pypestream, Gorgias, Smooch, Passage AI, Moxtra, Artificial Solutions, DigitalGenius, LiveVox, Sharpen Technologies, Avaamo, TeamSupport, Flamingo AI, OwnerListens, Genesys, Lithium Technologies, Spoken, Next IT, Kofax, Zendesk, Converse.AI, Sparkcentral, Automic Software, Conversocial, Vivocha, Infor Global Solutions, Ameyo, 3CLogic, Slack, Boost.ai, Zoom.ai, Bright Pattern, SugarCRM, Talkdesk, Jive Software, VanillaSoft, Msg.Ai, Vision Critical Communications, UserVoice, Calabrio, Alfresco Software, Aspect Software, FieldAware, Conversica, Asana, GripeO, Thoughtonomy, Salesforce, Reply.ai, SnapTV, Help.com, Folloze, Serenova, Rant &amp; Rave, Eidoserve, Red e App</t>
  </si>
  <si>
    <t>Developer of community powered chatbots designed to help companies transform customer service. The company's chat bot uses artificial intelligence to create and optimize automatic answers and personally answer customer questions, enabling companies to reduce support volumes and deliver a customer experience with minimal resources from their team.</t>
  </si>
  <si>
    <t>chatbot, customer assistance, customer experience, customer support</t>
  </si>
  <si>
    <t>www.directly.com</t>
  </si>
  <si>
    <t>2014: 19, 2015: 28, 2016: 56</t>
  </si>
  <si>
    <t>43605-55P</t>
  </si>
  <si>
    <t>Antony Brydon</t>
  </si>
  <si>
    <t>abrydon@directly.com</t>
  </si>
  <si>
    <t>+1 (800) 787-3176</t>
  </si>
  <si>
    <t>333 Bryant Street</t>
  </si>
  <si>
    <t>hello@directly.com</t>
  </si>
  <si>
    <t>The company raised $20 million of venture funding through a combination of debt and equity on April 10, 2018, putting the company's pre-money valuation at $40 million. $17 million of Series B funding was led by Northgate Capital with participation from Microsoft Ventures, Costanoa Ventures and True Ventures. A $3 million debt financing was provided by Silicon Valley Bank. The funding will be used to further develop the company's platform.</t>
  </si>
  <si>
    <t>Brian Witlin, Costanoa Ventures, Dan Rose, David Beyer, David Strong, Dennis DeGregor, Esther Dyson, Gene Hoffman, Gil Penchina, Karl Jacob, Kevin Moore, M12, Northgate Capital, Raymond Lane, Recruit Strategic Partners, Saad AlSogair, Sarah Imbach, Toba Capital, True Ventures, Tuesday Capital, UpHonest Capital, Wei Guo, Westlake Ventures</t>
  </si>
  <si>
    <t>Costanoa Ventures(www.costanoavc.com), M12(www.m12.vc), Northgate Capital(www.northgate.com), Recruit Strategic Partners(recruitstrategicpartners.com), Saad AlSogair(www.DrSogair.com), Toba Capital(www.tobacapital.com), True Ventures(www.trueventures.com), Tuesday Capital(www.tuesday.vc), UpHonest Capital(www.uphonestcapital.com), Westlake Ventures(www.westlake.vc)</t>
  </si>
  <si>
    <t>Cooley(Legal Advisor), RoseRyan(Consulting)</t>
  </si>
  <si>
    <t>97410-43</t>
  </si>
  <si>
    <t>DigiVision Technology</t>
  </si>
  <si>
    <t>Operator of a digital technology products designed to provide product innovation in high-definition video technology. The company digital technology products utilizes industry's systems application integration to offer high-definition video surveillance, enabling clients to record videos of high quality without losing out on any data.</t>
  </si>
  <si>
    <t>digital media, digital technology, interactive media, video platform, video surveillance</t>
  </si>
  <si>
    <t>www.shdv.com</t>
  </si>
  <si>
    <t>108821-80P</t>
  </si>
  <si>
    <t>Luke Chen</t>
  </si>
  <si>
    <t>General Manager</t>
  </si>
  <si>
    <t>lchen@shdv.com</t>
  </si>
  <si>
    <t>+86 (0)21 5167 5188</t>
  </si>
  <si>
    <t>Water Circuit 682 Tianhong Business</t>
  </si>
  <si>
    <t>Hongkou District</t>
  </si>
  <si>
    <t>200083</t>
  </si>
  <si>
    <t>+86 (0)21 5167 5120</t>
  </si>
  <si>
    <t>taiyuqiang@shdv.com</t>
  </si>
  <si>
    <t>The company was formed as a joint venture between Texas Instruments, Cisco Investment and Shanghai Information Investment in September 1999.</t>
  </si>
  <si>
    <t>Cisco Investments, Shanghai Information Investment, Texas Instruments</t>
  </si>
  <si>
    <t>Cisco Investments(www.ciscoinvestments.com), Shanghai Information Investment(sii.com.cn), Texas Instruments(www.ti.com)</t>
  </si>
  <si>
    <t>58199-41</t>
  </si>
  <si>
    <t>DigitalOcean</t>
  </si>
  <si>
    <t>Cloudways, OVH, CloudVelox, Hostway Services, QuadraNet, Hosting.com, Vultr, Rackspace US, BlackMesh, UpCloud, Liquid Web, Carbon60 Networks, Cogeco Peer 1, cPanel, Softlayer Technologies, Platform.sh, WP Engine, Cloud.com, DreamHost, Linode, OneLogin, Secure Thingz, SecureAuth, Centrify</t>
  </si>
  <si>
    <t>Developer of a cloud hosting and app management platform intended to simplify cloud computing. The company's platform features add-on storage, security and monitoring capabilities tuned to host and scale applications like blogs, web applications, testing environments, in-memory caching and databases, enabling developers to deploy, manage and scale applications of any size efficiently and quickly.</t>
  </si>
  <si>
    <t>Database Software, Software Development Applications, Systems and Information Management*</t>
  </si>
  <si>
    <t>cloud application, cloud computing platform, cloud hosting platform, cloud infrastructure, cloud infrastructure platform, cloud server hosting</t>
  </si>
  <si>
    <t>www.digitalocean.com</t>
  </si>
  <si>
    <t>2013: 30, 2014: 90, 2015: 209, 2017: 400, 2018: 450</t>
  </si>
  <si>
    <t>52447-51P</t>
  </si>
  <si>
    <t>Ben Uretsky</t>
  </si>
  <si>
    <t>ben@digitalocean.com</t>
  </si>
  <si>
    <t>101 6th Avenue</t>
  </si>
  <si>
    <t>contact@digitalocean.com</t>
  </si>
  <si>
    <t>The company raised an undisclosed amount of venture funding from Mighty Capital, Black River Ventures, Hanaco Venture Capital and EG Capital Advisors on November 12, 2017.</t>
  </si>
  <si>
    <t>Access Technology Ventures, Andreessen Horowitz, ATEL Capital Group, Black River Ventures, EG Capital Advisors, Hanaco Venture Capital, IA Ventures, Mighty Capital, Pokora Capital, Ryan McCalley, Techstars, Tuesday Capital, Viaduct Ventures</t>
  </si>
  <si>
    <t>Right Side Capital Management</t>
  </si>
  <si>
    <t>Access Technology Ventures(www.accesstechnologyventures.com), Andreessen Horowitz(www.a16z.com), ATEL Capital Group(www.atel.com), Black River Ventures(www.brv.vc), EG Capital Advisors(www.egcapitaladvisors.com), Hanaco Venture Capital(www.hanacovc.com), IA Ventures(www.iaventures.com), Mighty Capital(www.mighty.capital), Pokora Capital(www.pokoracapital.com), Techstars(www.techstars.com), Tuesday Capital(www.tuesday.vc), Viaduct Ventures(www.viaduct.vc)</t>
  </si>
  <si>
    <t>Right Side Capital Management(www.rightsidecapital.com)</t>
  </si>
  <si>
    <t>Boston Financial &amp; Equity(Advisor: General), FutureEngine(Consulting), Gunderson Dettmer(Legal Advisor), Riviera Partners(Consulting), Wilson Sonsini Goodrich &amp; Rosati(Legal Advisor)</t>
  </si>
  <si>
    <t>Barclays(Debt Financing), Boston Financial &amp; Equity(Advisor: General), CapX Partners(Debt Financing), CIT Finance(Debt Financing), De Lage Landen(Debt Financing), East West Bancorp(Debt Financing), Eastward Capital Partners(Debt Financing), Fortress Investment Group(Debt Financing), Fountain Partners(Debt Financing), Gunderson Dettmer(Legal Advisor), Hewlett-Packard(Debt Financing), HSBC Holdings(Debt Financing), KBCM Technology Group(Underwriter), KeyBank(Debt Financing), Opus Bank(Debt Financing), Pacific Western Bank (Los Angeles)(Debt Financing), Trinity Capital Investment(Debt Financing), Webster Financial(Debt Financing), Wilson Sonsini Goodrich &amp; Rosati(Legal Advisor)</t>
  </si>
  <si>
    <t>86593-15</t>
  </si>
  <si>
    <t>DigitalGenius</t>
  </si>
  <si>
    <t>Next IT, Clinc, FinGenius, Marketo, Ontraport, Artificial Solutions, Nanorep, Datoin, InsideSales.com, Keap (Saas Platform), Idiomatic, SharpSpring, nVoq, Ebsta, Kasisto, Gorgias, FuseMachines, Directly, InMoment, Talkdesk, Flamingo AI, Close.io, CognitionX, Clarabridge, AnswerIQ, Conversica, Wise.io, Elead1One, Salesforce, Nuance, Velocify, Cupenya, Inbenta, Resolvity, Pepperi, Interactions, BigML, SalesLoft, Cirrus Insight, Silverpop Systems, Yesware, Clario, Skytree, Groove Networks (Software), Outreach</t>
  </si>
  <si>
    <t>Developer of an artificial intelligence platform designed to bring practical applications of deep learning and artificial intelligence into customer service operations. The company's Human+AI customer service platform analyzes incoming messages, predicts meta-data, routes cases, provides agents with accurate suggestions and automates responses to increase the quality and efficiency of customer support conversations across text-based communication channels like email, chat, social media and mobile messaging, enabling companies to scale their customer service operations and live up to and exceed rising customer expectations.</t>
  </si>
  <si>
    <t>artificial intelligence, artificial intelligence platform, conversation automation, customer service automation, customer service technology, natural language processing</t>
  </si>
  <si>
    <t>www.digitalgenius.com</t>
  </si>
  <si>
    <t>2015: 20, 2016: 25, 2017: 65</t>
  </si>
  <si>
    <t>86513-50P</t>
  </si>
  <si>
    <t>Dmitry Aksenov</t>
  </si>
  <si>
    <t>dmitry@digitalgenius.com</t>
  </si>
  <si>
    <t>180 Sansome Street</t>
  </si>
  <si>
    <t>hello@digitalgenius.com</t>
  </si>
  <si>
    <t>The company raised $14.75 million of Series A venture funding in a deal led by Global Founders Capital on December 19, 2017. MMC Ventures, Paua Ventures, Kairos, Runa Capital, Spider Capital Partners, Salesforce Ventures, RRE Ventures, Lumia Capital, Compound VC, Lerer Hippeau Ventures and other undisclosed investors also participated in the round. The company intends to use the funds to accelerate commercial expansion and to continue to evolve its product. The startup has now raised $26 million in total since its inception</t>
  </si>
  <si>
    <t>Bloomberg Beta, Compound, Day One Ventures, Global Founders Capital, Kairos Society, Lerer Hippeau, Lowercase Capital, Lumia Capital, MMC Ventures, Novel TMT Ventures, Paua Ventures, Plug and Play Tech Center, RRE Ventures, Runa Capital, Runway Venture Partners, Salesforce Ventures, Singularity Investments, Spider Capital</t>
  </si>
  <si>
    <t>Bloomberg Beta(www.bloombergbeta.com), Compound(www.compound.vc), Day One Ventures(dayoneventures.co), Global Founders Capital(www.globalfounders.vc), Kairos Society(www.kairoshq.com), Lerer Hippeau(www.lererhippeau.com), Lowercase Capital(www.lowercasecapital.com), Lumia Capital(www.lumiacapital.com), MMC Ventures(www.mmcventures.com), Paua Ventures(www.pauaventures.com), Plug and Play Tech Center(www.plugandplaytechcenter.com), RRE Ventures(www.rre.com), Runa Capital(www.runacap.com), Runway Venture Partners(www.runwayvp.com), Singularity Investments(www.singularityinvest.com), Spider Capital(www.spidercp.com)</t>
  </si>
  <si>
    <t>176443-30</t>
  </si>
  <si>
    <t>Digital Onboarding</t>
  </si>
  <si>
    <t>Salesbrief</t>
  </si>
  <si>
    <t>DO</t>
  </si>
  <si>
    <t>Operator of a SaaS technology company intended to help banking customers activate financial services products for their new clients. The company's platform allows creating email and SMS reminders instantly that drive to personalized, digital journeys which educate and motivate customers and members to take action, enabling banks and credit unions to turn account holders into engaged and profitable relationships by making it easy to adopt account-related services.</t>
  </si>
  <si>
    <t>account activation microsite, customer onboarding, customer onboarding bot, digital marketing, onboarding platform, service activation</t>
  </si>
  <si>
    <t>www.digitalonboarding.com</t>
  </si>
  <si>
    <t>2015: 2, 2016: 2, 2017: 2, 2018: 11</t>
  </si>
  <si>
    <t>61529-86P</t>
  </si>
  <si>
    <t>Edward Brown</t>
  </si>
  <si>
    <t>ted@digitalonboarding.co</t>
  </si>
  <si>
    <t>+1 (732) 996-8394</t>
  </si>
  <si>
    <t>+1 (724) 593-1989</t>
  </si>
  <si>
    <t>info@digitalonboarding.com</t>
  </si>
  <si>
    <t>The company joined The Venture Center as part of the fourth FIS Fintech Accelerator program on May 2, 2019. Previously, the company raised $1.07 million of seed funding from Salesforce Ventures, Explorer Advisory &amp; Capital and other undisclosed investors on February 21, 2019.</t>
  </si>
  <si>
    <t>DCU FinTech Innovation Center, Explorer Advisory &amp; Capital, Finovate, Salesforce Ventures, The Venture Center</t>
  </si>
  <si>
    <t>DCU FinTech Innovation Center(dcufintech.org), Explorer Advisory &amp; Capital(www.explorer.ac), Finovate(www.finovate.com), The Venture Center(www.venturecenter.co)</t>
  </si>
  <si>
    <t>51772-51</t>
  </si>
  <si>
    <t>Digital Guardian</t>
  </si>
  <si>
    <t>Verdasys</t>
  </si>
  <si>
    <t>Flying Cloud, Watchful Software, McAfee, Forcepoint, Niara, IntSights, Safend, Cloudflare, Marble Security, SecureAuth, BitDefender, Panda Security, BullGuard, Lancope, Kaspersky Lab, WatchGuard Technologies, Recorded Future, Zscaler, SentinelOne, SearchInform, CrowdStrike, Security Innovation, Cylance, ThreatConnect, iboss (Cybersecurity), Spirion, ContentKeeper, ObserveIT, DocAuthority, Endgame, Tanium, Arbor Networks, K7 Computing (India), Elastica, Skycure, OneLogin, Confer Technologies, Shape Security, Seclore, Morphisec, Distil Networks, InfoWatch Group, Covertix, CipherCloud, Prolexic Technologies, Securonix, FinalCode, Veracode, Fidelis Cybersecurity, Exonar, Palisade Systems, Malwarebytes, Cybereason, Varonis Systems, Bay Dynamics, SecureWorks, PhishLabs, Elevate Security, Sophos, Centrify, Alert Logic, Avecto, BluePex, Intermedia.net, CounterTack, GuruCul, Aruba Networks, Veritas Technologies, TrustPort, Nexgate, Centri, Barracuda Networks, OpenDNS, Avast Software, Carbon Black, Phantom Cyber, KEMP Technologies, Devicelock Inc, Proofpoint, SonicWALL, Symantec</t>
  </si>
  <si>
    <t>Provider of a data protection platform designed to safeguards sensitive data from both insiders and external adversaries. The company's data protection platform performs across the corporate network, traditional endpoints, cloud applications, deep data visibility, real-time analytics and flexible controls, enabling enterprises to stop malicious data theft and inadvertent data loss.</t>
  </si>
  <si>
    <t>application control, black listings, content inspection, cyber defense, data protection, data security, dlp, information protection, insider threat, managed services, white listings</t>
  </si>
  <si>
    <t>www.digitalguardian.com</t>
  </si>
  <si>
    <t>2004: 24, 2005: 37, 2006: 37, 2007: 37, 2008: 37, 2009: 37, 2010: 150, 2011: 120, 2014: 167, 2015: 275, 2019: 375</t>
  </si>
  <si>
    <t>62862-76P</t>
  </si>
  <si>
    <t>Mordecai Rosen</t>
  </si>
  <si>
    <t>mrosen@digitalguardian.com</t>
  </si>
  <si>
    <t>+1 (781) 788-8180</t>
  </si>
  <si>
    <t>275 Wyman Street</t>
  </si>
  <si>
    <t>+1 (781) 788-8188</t>
  </si>
  <si>
    <t>info@digitalguardian.com</t>
  </si>
  <si>
    <t>The company received $30 million of development capital from LLR Partners, MassMutual Ventures, Brookline Venture Partners, Siemens Financial Services and Golub Capital on April 24, 2019. The company intends to use the funds to accelerate product development and innovation. Previously, the company received $55 million of debt financing in the form of a $2 million revolving credit line, a $50 million term loan and a $3 million delayed draw term loan from Golub Capital, The Goldman Sachs Group and Golub Capital BDC on June 22, 2018.</t>
  </si>
  <si>
    <t>AWM Investment, Brookline Venture Partners, Fairhaven Capital Partners, Fernwood Associates, Freya Fanning &amp; Company, General Electric Asset Management, General Electric Pension Trust, Golub Capital, LLR Partners, Loring Wolcott &amp; Coolidge Office, MassMutual Ventures, Next47, Siemens Financial Services, Special Situation Funds</t>
  </si>
  <si>
    <t>AWM Investment(www.ssfund.com), Fairhaven Capital Partners(www.fairhavencapital.com), General Electric Asset Management(www.geam.com), Golub Capital(www.golubcapital.com), LLR Partners(www.llrpartners.com), Loring Wolcott &amp; Coolidge Office(www.lwcotrust.com), MassMutual Ventures(www.massmutualventures.com), Next47(Next47.com)</t>
  </si>
  <si>
    <t>Daversa Partners(Consulting), Matter Communications(Advisor: General)</t>
  </si>
  <si>
    <t>AGC Partners(Advisor: General), Bridge Bank(Debt Financing), Golub Capital(Debt Financing), Golub Capital BDC(Debt Financing), The Goldman Sachs Group(Debt Financing)</t>
  </si>
  <si>
    <t>56560-42</t>
  </si>
  <si>
    <t>Digital Currency Group</t>
  </si>
  <si>
    <t>Bitcoin Opportunity Fund</t>
  </si>
  <si>
    <t>DCG</t>
  </si>
  <si>
    <t>Manager of multiple wholly-owned subsidiaries and investments portfolio intended to accelerate the development of a better financial system. The company builds and supports the early stage investment portfolio in the digital currency and block-chain ecosystem and support bitcoin and blockchain companies by leveraging insights, network, and access to capital.</t>
  </si>
  <si>
    <t>Holding Companies, Specialized Finance*</t>
  </si>
  <si>
    <t>bitcoin, blockchain, digital currency, digital retail, virtual currency</t>
  </si>
  <si>
    <t>www.dcg.co</t>
  </si>
  <si>
    <t>2015: 13, 2016: 12</t>
  </si>
  <si>
    <t>31436-38P</t>
  </si>
  <si>
    <t>Barry Silbert</t>
  </si>
  <si>
    <t>Founder, Chief Executive Officer, Board Member and Member of Investment Committee</t>
  </si>
  <si>
    <t>barry@dcg.co</t>
  </si>
  <si>
    <t>636 Avenue of the Americas (Entrance on 19th Street)</t>
  </si>
  <si>
    <t>info@dcg.co</t>
  </si>
  <si>
    <t>The company bought back its shares in the company from CME Ventures on January 11, 2018.</t>
  </si>
  <si>
    <t>Annox Capital, Bain Capital Ventures, CIBC Capital Partners, FirstMark Capital, Gibraltar Ventures (Toronto), HCM International, Horizons Ventures, Kingsbridge Wealth Management, MasterCard, New York Life Enterprises, New York Life Ventures, Novel TMT Ventures, Oak HC/FT, OMERS Ventures, RRE Ventures, Social Capital, Solon Mack Capital, The Whittemore Collection, Transamerica Ventures, Western Union, Wood Partners</t>
  </si>
  <si>
    <t>CME Ventures</t>
  </si>
  <si>
    <t>Annox Capital(www.annoxcapital.com), Bain Capital Ventures(www.baincapitalventures.com), FirstMark Capital(www.firstmarkcap.com), Gibraltar Ventures (Toronto)(www.gibraltarcompany.ca), HCM International(hcmintl.com), Horizons Ventures(www.horizonsventures.com), Kingsbridge Wealth Management(www.kwm.us.com), MasterCard(www.mastercard.us), New York Life Ventures(www.nylventures.com), Oak HC/FT(www.oakhcft.com), OMERS Ventures(www.omersventures.com), RRE Ventures(www.rre.com), Social Capital(www.socialcapital.com), Solon Mack Capital(www.solonmack.com), The Whittemore Collection(www.whittemorecollection.com), Transamerica Ventures(www.transamericaventures.com), Western Union(www.westernunion.com), Wood Partners(www.woodpartners.com)</t>
  </si>
  <si>
    <t>118818-37</t>
  </si>
  <si>
    <t>Digital Asset</t>
  </si>
  <si>
    <t>Blockchain, Chain, BitFury, clearmatics, Symbiont, Axoni, BitPay, Blockstream, Ripple, DrumG, Stripe, BitGo, Stellar, AlphaPoint, Bloq, e-BIT (Financial Services), R3, Bitstamp, Coinbase, Skuchain, Ultrain Technology</t>
  </si>
  <si>
    <t>Developer of distributed ledger technology intended to build distributed, encrypted straight through processing tools. The company's technology offer tools for digital ledgers to track and settle digital and mainstream financial assets in a cryptographically secure environment, enabling financial services industry to improve their efficiency, security, compliance and settlement speed.</t>
  </si>
  <si>
    <t>blockchain, blockchain platform, digital financial services, digital ledger, financial assets</t>
  </si>
  <si>
    <t>www.digitalasset.com</t>
  </si>
  <si>
    <t>2015: 22, 2016: 51, 2017: 130, 2018: 170</t>
  </si>
  <si>
    <t>49255-57P</t>
  </si>
  <si>
    <t>Daniel O'Prey</t>
  </si>
  <si>
    <t>daniel@digitalasset.com</t>
  </si>
  <si>
    <t>150 Greenwich Street, 47th Floor</t>
  </si>
  <si>
    <t>The company raised $40 million of Series B venture funding in a deal led by Jefferson River Capital on October 16, 2017.Goldman Sachs Principal Strategic Investments, Deutsche Börse Group, DRW Venture Capital, NEX Opportunities and other undisclosed investors also participated in this round. The funds will be used to grow the company's team, which is 130-strong globally.</t>
  </si>
  <si>
    <t>ABN AMRO Bank, Accenture, ASX, BNP Paribas, Broadridge Financial Solutions, Citigroup, CME Ventures, DB1 Ventures, Deutsche Börse Group, DRW Venture Capital, FinTech Innovation Lab, Goldman Sachs Principal Strategic Investments, International Business Machines, J.P. Morgan, Jefferson River Capital, Kenneth Schiciano, NEX Group, NEX Opportunities, PNC, Sand Hill East, Santander InnoVentures, The Depository Trust &amp; Clearing, The Goldman Sachs Group</t>
  </si>
  <si>
    <t>ABN AMRO Bank(www.abnamro.com), Accenture(www.accenture.com), ASX(www.asx.com.au), BNP Paribas(www.group.bnpparibas), Broadridge Financial Solutions(www.broadridge.com), Citigroup(www.citigroup.com/citi), Deutsche Börse Group(www.deutsche-boerse.com), DRW Venture Capital(www.drwvc.com), FinTech Innovation Lab(www.fintechinnovationlab.com), International Business Machines(www.ibm.com), J.P. Morgan(www.jpmorgan.com), NEX Group(www.nex.com), NEX Opportunities(www.nexopportunities.com), PNC(www.pnc.com), Sand Hill East(www.sandhilleast.net), Santander InnoVentures(www.santanderinnoventures.com), The Depository Trust &amp; Clearing(www.dtcc.com), The Goldman Sachs Group(www.goldmansachs.com)</t>
  </si>
  <si>
    <t>Rimon Law(Legal Advisor), Sand Hill East(Consulting), Sheppard Mullin Richter &amp; Hampton(Legal Advisor), WilmerHale(Legal Advisor)</t>
  </si>
  <si>
    <t>Sandler O'Neill + Partners(Placement Agent), Sheppard Mullin Richter &amp; Hampton(Legal Advisor), Sullivan &amp; Cromwell(Legal Advisor), WilmerHale(Legal Advisor)</t>
  </si>
  <si>
    <t>175779-64</t>
  </si>
  <si>
    <t>Digital Alloys</t>
  </si>
  <si>
    <t>Model Solution, Desktop Metal, Norsk Titanium</t>
  </si>
  <si>
    <t>Manufacturer of high-speed, multi-metal additive 3D printing systems designed to print production quality parts, in almost any metal. The company's systems have the ability to mix multiple metals in a solid part using low-cost wire as raw material, at a fraction of the cost of other metal 3D printers, enabling manufacturers to push the limits of design and create new products at reduced costs with optimized thermal, electrical, magnetic and mechanical properties.</t>
  </si>
  <si>
    <t>Computers, Parts and Peripherals*, Industrial Supplies and Parts, Other Commercial Products</t>
  </si>
  <si>
    <t>3d printing firm, 3d printing innovation, 3d printing technology, hard metal parts, manufacturing innovatiom, metal printing</t>
  </si>
  <si>
    <t>www.digitalalloys.com</t>
  </si>
  <si>
    <t>2018: 20, 2019: 24</t>
  </si>
  <si>
    <t>35436-07P</t>
  </si>
  <si>
    <t>Duncan McCallum</t>
  </si>
  <si>
    <t>duncan@digitalalloys.com</t>
  </si>
  <si>
    <t>+1 (781) 222-5990</t>
  </si>
  <si>
    <t>37 North Avenue</t>
  </si>
  <si>
    <t>info@digitalalloys.com</t>
  </si>
  <si>
    <t>The company raised $12.9 million of Series B venture funding in a deal led by G20 Ventures on August 7, 2018, putting the company's pre-money valuation at $22 million. Boeing HorizonX, The Lincoln Electric Company and Khosla Ventures also participated in the round. The funds from Boeing HorizonX and The Lincoln Electric Company will expand the company's expertise, technology and services. The company is being actively tracked by PitchBook.</t>
  </si>
  <si>
    <t>Boeing HorizonX, G20 Ventures, Khosla Ventures, Q Venture Partners, The Lincoln Electric Company</t>
  </si>
  <si>
    <t>G20 Ventures(www.g20vc.com), Khosla Ventures(www.khoslaventures.com), Q Venture Partners(www.qventure.partners), The Lincoln Electric Company(www.lincolnelectric.com)</t>
  </si>
  <si>
    <t>Morgan, Lewis &amp; Bockius(Legal Advisor), Silicon Valley Bank(General Business Banking)</t>
  </si>
  <si>
    <t>55605-88</t>
  </si>
  <si>
    <t>DigiLens</t>
  </si>
  <si>
    <t>SBG Labs</t>
  </si>
  <si>
    <t>TactoTek, Ubimax, Novaled, Nikon</t>
  </si>
  <si>
    <t>Developer of an electro-optical technology designed to use in mobile display and imaging applications.The company's technology is an electrically switchable holographic device which merges breakthroughs in nano material science and optical software, enabling aerospace, security and consumer electronics industries to amortize cost of development, procurement, installation and maintenance.</t>
  </si>
  <si>
    <t>Augmented Reality, Mobile, TMT, Virtual Reality, Wearables &amp; Quantified Self</t>
  </si>
  <si>
    <t>augmented reality, electro optical materials, optical engineering, optical software, switchable holographic device, virtual reality, wearable display</t>
  </si>
  <si>
    <t>www.digilens.com</t>
  </si>
  <si>
    <t>2013: 16, 2017: 42</t>
  </si>
  <si>
    <t>44235-82P</t>
  </si>
  <si>
    <t>Jonathan Waldern</t>
  </si>
  <si>
    <t>Founder, Chairman &amp; Chief Technology Officer</t>
  </si>
  <si>
    <t>jonathanw@sbglabs.com</t>
  </si>
  <si>
    <t>1288 Hammerwood Avenue</t>
  </si>
  <si>
    <t>info@digilens.com</t>
  </si>
  <si>
    <t>The company raised $50 million of Series C venture funding in a deal led by Samsung Venture Investment and Continental on May 14, 2019. Sony Innovation Fund, Universal Display, Mitsubishi, Bold Capital Partners, Niantic and Diamond Edge Ventures also participated in the round.</t>
  </si>
  <si>
    <t>Alsop Louie Partners, Arden Road Investments, Bold Capital Partners, Continental, CyberNet Venture Capital, Darwin Ventures, Diamond Edge Ventures, Dolby Family Ventures, Foxconn Technology Group, In-Q-Tel, Mitsubishi, Nautilus Venture Partners, Nautilus Ventures, Niantic, Panasonic Ventures, Puglia, Rockwell Collins, Samsung Venture Investment, Sony Corporation of America, Sony Innovation Fund, Susman Ventures, Universal Display</t>
  </si>
  <si>
    <t>Alsop Louie Partners(www.alsop-louie.com), Arden Road Investments(www.ardenrd.com), Bold Capital Partners(www.boldcapitalpartners.com), Continental(www.continental-corporation.com), Darwin Ventures(www.darwinvc.com), Diamond Edge Ventures(www.diamondedgeventures.com), Dolby Family Ventures(www.dolbyventures.com), Foxconn Technology Group(www.foxconn.com/index_En.html), In-Q-Tel(www.iqt.org), Mitsubishi(www.mitsubishicorp.com), Nautilus Venture Partners(www.nautilusvp.com), Nautilus Ventures(www.nautilusventures.com), Niantic(www.nianticlabs.com), Panasonic Ventures(www.panasonicventures.com), Rockwell Collins(www.rockwellcollins.com), Samsung Venture Investment(www.samsungventures.com), Sony Corporation of America(www.sony.com), Sony Innovation Fund(www.sonyinnovationfund.com)</t>
  </si>
  <si>
    <t>Nelson Mullins Riley &amp; Scarborough(Legal Advisor)</t>
  </si>
  <si>
    <t>Costella Kirsch(Debt Financing), DLA Piper(Legal Advisor), Dorsey &amp; Whitney(Legal Advisor), Global Capital Markets(Lead Manager or Arranger), Nelson Mullins Riley &amp; Scarborough(Legal Advisor), O'Melveny &amp; Myers(Legal Advisor), Trinity Capital Investment(Debt Financing)</t>
  </si>
  <si>
    <t>121187-26</t>
  </si>
  <si>
    <t>Dibs Technology</t>
  </si>
  <si>
    <t>Provider of a online platform designed to revolutionize the fitness industry with dynamic pricing. The company's online platform helps users to choose the price that's right for them with no commitments, memberships, or packages, enabling them to access, pay, book and manage fitness classes.</t>
  </si>
  <si>
    <t>Leisure Facilities*, Other Healthcare Services, Social/Platform Software</t>
  </si>
  <si>
    <t>fitness classes, fitness classes books, managing classes, physical fitness</t>
  </si>
  <si>
    <t>www.ondibs.com</t>
  </si>
  <si>
    <t>109284-85P</t>
  </si>
  <si>
    <t>Alicia Thomas</t>
  </si>
  <si>
    <t>athomas@ondibs.com</t>
  </si>
  <si>
    <t>+1 (646) 760-3427</t>
  </si>
  <si>
    <t>info@ondibs.com</t>
  </si>
  <si>
    <t>The company raised $1 million of seed funding in a deal led by GREE Ventures on January 4, 2016. Backstage Capital, Comcast Ventures, Caerus Investment Partners, Caerus and Dreamit Ventures also participated in this round. The company intends to use the funds to bring pricing technology to the fitness industry. Prior to that, the company joined Dreamit Ventures on August 4, 2015 and received $25,000 in funding.</t>
  </si>
  <si>
    <t>Backstage Capital, Caerus, Caerus Investment Partners, Comcast Ventures, DreamIt Ventures, GREE Ventures</t>
  </si>
  <si>
    <t>Backstage Capital(www.backstagecapital.com), Caerus(www.datingfactory.com), Caerus Investment Partners(www.caerusip.com), Comcast Ventures(www.comcastventures.com), DreamIt Ventures(www.dreamit.com), GREE Ventures(www.greeventures.com)</t>
  </si>
  <si>
    <t>102522-43</t>
  </si>
  <si>
    <t>Dialpad</t>
  </si>
  <si>
    <t>Switch Communications, Switch.co, Firespotter Labs</t>
  </si>
  <si>
    <t>Fuze, MightyCall, PanTerra Networks, Talkdesk, Nexmo, Tropo, Lua (Communication Software), BroadSoft, Nectar Desk, Aircall, 46elks, MessageBird, Vonage Holdings, 2600Hz, RingCentral, Digium, ReadyTalk, Twilio, 3CLogic, Cequens, Serenova, NetSapiens, Syntellect, Star2Star Communications, Jive Communications, Nextiva, CLX Communications, Advanced Call Processing, Infobip, Ooma, Genesys, CoreDial, Open Market, Clickatell, BluIP, Bright Pattern, Vocalcom, HeyWire, HappyFox, Mitel Networks, Shoretel, Cisco Systems, Mitel Mobile</t>
  </si>
  <si>
    <t>Provider of a next generation business phone system designed to help in workplace communications. The company's cloud-based business phone system offers voice, video, group messaging, SMS, MMS, conferencing, screen sharing and document sharing services, as well as is integrated with Microsoft Office 365 and Google applications for work, enabling employees to collaborate from anywhere across any device.</t>
  </si>
  <si>
    <t>business phone system, calling center, cloud communication, online communication system, online meeting, voiceai platform</t>
  </si>
  <si>
    <t>www.dialpad.com</t>
  </si>
  <si>
    <t>2014: 60, 2015: 90, 2017: 185, 2018: 275</t>
  </si>
  <si>
    <t>92937-25P</t>
  </si>
  <si>
    <t>Craig Walker</t>
  </si>
  <si>
    <t>craig@dialpad.com</t>
  </si>
  <si>
    <t>+1 (415) 805-2100</t>
  </si>
  <si>
    <t>100 California Street</t>
  </si>
  <si>
    <t>The company raised $50 million of Series D venture funding in a deal led by ICONIQ Capital on July 17, 2018, putting the company's pre-money valuation at $450 million. Amasia, Andreessen Horowitz, Work-Bench, Section 32 and Scale Venture Partners also participated in the round. The company which has raised $120 million in total funding to date, intends to use the funds to strengthen and expand their conversational AI services to additional products, including enterprise video chat service UberConference and grow their headcount by 100 employees. In May, the company acquired TalkIQ to incorporate the latter's VoiceAI technology into UberConference, Dialpad phone replacement, and offerings for call center customer service agents. Kickstart Ventures also participated in it.</t>
  </si>
  <si>
    <t>Amasia, Andreessen Horowitz, DoubleRock, Felicis Ventures, GV, ICONIQ Capital, Kickstart Ventures, Salesforce Ventures, Scale Venture Partners, Section 32, SoftBank Capital, UpHonest Capital, Wesley Chan, Work-Bench</t>
  </si>
  <si>
    <t>Amasia(www.amasia.vc), Andreessen Horowitz(www.a16z.com), DoubleRock(www.doublerock.com), Felicis Ventures(www.felicis.com), GV(www.gv.com), ICONIQ Capital(www.iconiqcapital.com), Kickstart Ventures(www.kickstart.ph), Scale Venture Partners(www.scalevp.com), Section 32(www.section32.com), SoftBank Capital(www.softbankvc.com), UpHonest Capital(www.uphonestcapital.com), Wesley Chan(www.weschan.com), Work-Bench(www.work-bench.com)</t>
  </si>
  <si>
    <t>FutureEngine(Consulting), Gunderson Dettmer(Legal Advisor), Propeller Industries(Accounting)</t>
  </si>
  <si>
    <t>126395-56</t>
  </si>
  <si>
    <t>Desktop Metal</t>
  </si>
  <si>
    <t>Ultimaker, Carbon, Voxel8, Vader Systems, Zortrax, MarkForged</t>
  </si>
  <si>
    <t>Developer of 3D metal printers designed to make 3D printing accessible for engineering teams. The company's 3D metal printers are office-friendly and do not require third party equipment or special facilities, enabling engineering and manufacturing teams to produce metal parts from prototyping to mass production in an affordable way.</t>
  </si>
  <si>
    <t>Business Equipment and Supplies, Electrical Equipment*, Other Commercial Products</t>
  </si>
  <si>
    <t>3D Printing, Advanced Manufacturing, Industrials, Manufacturing, TMT</t>
  </si>
  <si>
    <t>3d printer, 3d printing system, additives manufacturing, metal 3d printing, metal printing</t>
  </si>
  <si>
    <t>www.desktopmetal.com</t>
  </si>
  <si>
    <t>2015: 11, 2016: 25, 2017: 150, 2018: 225</t>
  </si>
  <si>
    <t>31064-86P</t>
  </si>
  <si>
    <t>Ric Fulop</t>
  </si>
  <si>
    <t>ricfulop@desktopmetal.com</t>
  </si>
  <si>
    <t>+1 (978) 224-1244</t>
  </si>
  <si>
    <t>63 Third Avenue</t>
  </si>
  <si>
    <t>info@desktopmetal.com</t>
  </si>
  <si>
    <t>The company raised $160 million of Series E venture funding in a deal led by Koch Disruptive Technologies on January 23, 2019, putting the company's pre-money valuation at $1.34 billion. Saudi Aramco Energy Ventures, GV, Panasonic Ventures, Techtronic Industries, Riot Ventures, Kleiner Perkins, Lux Capital and New Enterprise Associates also participated in the round. Previously, it received $20 million of debt financing in the form of term loan from undisclosed lenders on June 19, 2018. It also raised $65 million of venture funding in a deal led by Ford on March 19, 2018. Future Fund and Koa Labs also participated in the round.</t>
  </si>
  <si>
    <t>AEG, Australia Future Fund, BMW i Ventures, Bolt Innovation Group, Conductive Ventures, Data Collective, Dirt Devil, Ford, Founder Collective, GE Ventures, GV, Hoover Universal, Kleiner Perkins, Koa Labs, Koch Disruptive Technologies, Lowe's Ventures, Lux Capital, Milwaukee Electric Tool, Moonrise Venture Partners, New Enterprise Associates, Oreck Direct, Panasonic Ventures, Pillar Companies, Pro Rata Opportunity Fund, Riot Ventures, Ryobi Kiso Holdings, Saudi Aramco Energy Ventures, Shenzhen Capital Group, Stratasys (Acquired in 2012), Techtronic Industries, The Future Fund, Tyche Partners, Vertex Ventures US</t>
  </si>
  <si>
    <t>Australia Future Fund(www.futurefund.gov.au), BMW i Ventures(www.bmwiventures.com), Bolt Innovation Group(www.bolt.io), Conductive Ventures(www.conductive.vc), Data Collective(www.dcvc.com), Ford(www.ford.com), Founder Collective(www.foundercollective.com), GE Ventures(www.geventures.com), GV(www.gv.com), Kleiner Perkins(www.kleinerperkins.com), Koa Labs(www.koalab.com), Lowe's Ventures(www.lowesventures.com), Lux Capital(www.luxcapital.com), Milwaukee Electric Tool(www.milwaukeetool.com), New Enterprise Associates(www.nea.com), Oreck Direct(www.oreck.com), Panasonic Ventures(www.panasonicventures.com), Pillar Companies(www.pillar.vc), Pro Rata Opportunity Fund(www.proof.vc), Riot Ventures(riot.vc), Ryobi Kiso Holdings(www.ryobi-kiso.com), Saudi Aramco Energy Ventures(www.saev.com), Shenzhen Capital Group(www.szvc.com.cn), Techtronic Industries(www.ttigroup.com), The Future Fund(www.future-fund.com), Tyche Partners(www.tychepartners.com), Vertex Ventures US(www.vertexventures.com)</t>
  </si>
  <si>
    <t>83721-61</t>
  </si>
  <si>
    <t>Deskera</t>
  </si>
  <si>
    <t>Openbravo, SalezShark, Infor Global Solutions, Close.io, Salsify, InvoiceASAP, OneUp, Odoo, FinancialForce, Nimble, Unit4, Salesforce, Aptean, Exact Software, Rootstock, SharpSpring, ZynBit, Advanced Computer Software Group, Right On Interactive, Insightly, Nutshell, Kenandy, NetSuite, ECi Software Solutions, ZingHR, Acumatica, Epicor Software, Onestream Software, PearlChain.net, Groove Networks (Software), Shore, Ramco Systems, Global Shop Solutions, HappyCo, Intuit, InsideSales.com, Tradeshift, Paylocity, Maximizer Software, Brightpearl, Vinculum Solutions, CCH Tagetik, ToutApp, PipelineDeals, 3PL Central, SAP, Resultados Digitais, Workbooks.com, ClickDimensions, Shoptech Software - Manufacturing Software, SugarCRM, Consona, SalesLoft, inDinero, FreshBooks</t>
  </si>
  <si>
    <t>Developer of a cloud-based business management software intended to deliver services that help companies of all sizes and industries, run better. The company's cloud ERP platform develops a business application, enable the users to maintain records and track accounts for every receivable, to keeping a tab on the inventory and payments and manage customers and vendors, enabling companies to enhance productivity and operational efficiency, track finances, improve utility, and manage customer and vendor relationships.</t>
  </si>
  <si>
    <t>business management, cloud erp, erp software, record maintenance, tracking platform</t>
  </si>
  <si>
    <t>www.deskera.com</t>
  </si>
  <si>
    <t>2016: 51, 2017: 350, 2018: 300</t>
  </si>
  <si>
    <t>139810-15P</t>
  </si>
  <si>
    <t>Peter Fleming</t>
  </si>
  <si>
    <t>+65 6536 1420</t>
  </si>
  <si>
    <t>1 Raffles Place, #18-01 Tower 1</t>
  </si>
  <si>
    <t>One Raffles Place</t>
  </si>
  <si>
    <t>048616</t>
  </si>
  <si>
    <t>+65 6536 1522</t>
  </si>
  <si>
    <t>hello@deskera.com</t>
  </si>
  <si>
    <t>The company received $60 million of development capital from Cisco Investments, InnoVen Capital, Jungle Ventures, Susquehanna Growth Equity and Tembusu Partners on November 28, 2018. The deal will enable the company to continue its global expansion in the United States, Indonesia, Australia and Philippines as well as to bankroll research and development to better integrate its solutions onto Singapore's national trade information management system.</t>
  </si>
  <si>
    <t>Asset Management Singapore, Cisco Investments, InnoVen Capital, Jungle Ventures, Partners Capital, SoftBank Group, Susquehanna Growth Equity, Tembusu Partners, Tikehau Capital</t>
  </si>
  <si>
    <t>Asset Management Singapore(www.arisprime.com), Cisco Investments(www.ciscoinvestments.com), InnoVen Capital(www.innovencapital.com), Jungle Ventures(www.jungle-ventures.com), Partners Capital(www.partners-cap.com), SoftBank Group(www.softbank.jp), Susquehanna Growth Equity(www.sgep.com), Tembusu Partners(www.tembusupartners.com), Tikehau Capital(www.tikehaucapital.com)</t>
  </si>
  <si>
    <t>60196-60</t>
  </si>
  <si>
    <t>DesignLED</t>
  </si>
  <si>
    <t>Provider of LED light-guide technology intended to change the way we think about lighting systems. The company's LED light-guide technology includes unique printed LED light tiles open the doors for a whole new generation of lighting products that benefit from being extremely thin, flexible and highly efficient enabling clients to change the way of lighting systems.</t>
  </si>
  <si>
    <t>Electrical Equipment, Fiberoptic Equipment*, Other Commercial Products</t>
  </si>
  <si>
    <t>electrical equipment, lightguide product</t>
  </si>
  <si>
    <t>www.designled.com</t>
  </si>
  <si>
    <t>2014: 3, 2016: 11</t>
  </si>
  <si>
    <t>55981-99P</t>
  </si>
  <si>
    <t>Stuart Bain</t>
  </si>
  <si>
    <t>stuart.bain@designledproducts.com</t>
  </si>
  <si>
    <t>+44 (0)15 0659 2323</t>
  </si>
  <si>
    <t>Livingston, United Kingdom</t>
  </si>
  <si>
    <t>Alba Innovation Centre</t>
  </si>
  <si>
    <t>Alba Campus</t>
  </si>
  <si>
    <t>Livingston</t>
  </si>
  <si>
    <t>EH54 7GA</t>
  </si>
  <si>
    <t>+44 (0)15 0659 2311</t>
  </si>
  <si>
    <t>info@designledproducts.com</t>
  </si>
  <si>
    <t>The company raised GBP 1.64 million of venture funding from IKEA GreenTech, Scottish Enterprise and Strathtay Ventures on October 20, 2014, putting the company's pre-money valuation at GBP 2.86 million. TRI Cap and Highland Venture Capital also participated in the round. The funding will help to expand its product portfolio.</t>
  </si>
  <si>
    <t>Braveheart Investment Group, Highland Venture Capital, Individual Investor, Ingka GreenTech, Next47, Scottish Enterprise, Strathtay Ventures, TRI Cap</t>
  </si>
  <si>
    <t>Braveheart Investment Group(www.braveheartgroup.co.uk), Highland Venture Capital(www.highvc.co.uk), Ingka GreenTech(www.ikea.greentechab.com), Next47(Next47.com), Scottish Enterprise(www.scottish-enterprise.com), Strathtay Ventures(www.strathtayventures.co.uk), TRI Cap(www.tricapital.co.uk)</t>
  </si>
  <si>
    <t>13325-50</t>
  </si>
  <si>
    <t>Deposco</t>
  </si>
  <si>
    <t>Xtrascope</t>
  </si>
  <si>
    <t>JDA Software Group, ToolsGroup, Shift (Business Productivity Software), Infor Global Solutions, Kinaxis, GT Nexus, LLamasoft, Agistix, Aptean, Cadre Technologies, Activ Technologies, E2open, Coupa, LogFire, Camelot 3PL Software, 3PL Central, Exceedra, ShipXpress, Ramco Systems, ECi Software Solutions, Logiwa, HighJump, SmartTurn, Epicor Software, Global AlertLink, NetSuite, Paradata, 10-4 Systems, Market6, Fortna, Elementum, OPS Rules Management Consultants, FreightHub, Manhattan Associates, Softeon, Acsis, OM Partners, Flexport, Futurmaster, Mi9 Retail, Centrify, MercuryGate International, VictorOps, RELEX, o9 Solutions, Neogrid Europe, American Software, SAP, Apptivo, One Network Enterprises, FourKites, OpsGenie, TAKE Solutions, PagerDuty, Halo Business Intelligence, Box</t>
  </si>
  <si>
    <t>Developer of SaaS based supply chain application designed to optimize supply chain operations. The company's cloud-based order management and fulfillment software supply chain application offers warehouse management, inventory control, and order fulfillment to a trading partner, enabling manufacturers, distributors, retailers, and third-party logistics providers to reduce the cost of their operations while streamlining their supply chain and improving service levels.</t>
  </si>
  <si>
    <t>Advanced Manufacturing, Mobile, SaaS, TMT</t>
  </si>
  <si>
    <t>inventory management system, saas modes, supply chain application, supply chain model, warehouse management system</t>
  </si>
  <si>
    <t>www.deposco.com</t>
  </si>
  <si>
    <t>2014: 50, 2016: 51</t>
  </si>
  <si>
    <t>62434-63P</t>
  </si>
  <si>
    <t>William Gibson</t>
  </si>
  <si>
    <t>bgibson@deposco.com</t>
  </si>
  <si>
    <t>+1 (877) 770-1110</t>
  </si>
  <si>
    <t>11605 Haynes Bridge Road</t>
  </si>
  <si>
    <t>+1 (678) 366-4289</t>
  </si>
  <si>
    <t>info@deposco.com</t>
  </si>
  <si>
    <t>The company closed on $9 million of a planned $19 million round of development capital from undisclosed investors on October 31, 2018. Previously, the company received $500,000 of development capital from undisclosed investors on January 28, 2016. The company is being actively tracked by PitchBook.</t>
  </si>
  <si>
    <t>UPS Strategic Enterprise Fund</t>
  </si>
  <si>
    <t>63354-97</t>
  </si>
  <si>
    <t>DemandQ</t>
  </si>
  <si>
    <t>eCurv, Inc.</t>
  </si>
  <si>
    <t>Provider of a demand management platform designed to manage electricity distribution and reduce utility charges. The company's demand management platform lowers the cost of energy, improves the quality of electric service, unlocks higher operational margins and ensures the efficient, reliable and secure distribution of electricity, enabling businesses and corporate clients to integrate their building management systems and environmental equipment to manage energy efficiency.</t>
  </si>
  <si>
    <t>digital technology, electricity bills reduction, electricity distribution system, energy innovation, optimal energy utilization</t>
  </si>
  <si>
    <t>www.ecurv.com</t>
  </si>
  <si>
    <t>2014: 9, 2015: 13, 2016: 14</t>
  </si>
  <si>
    <t>153939-79P</t>
  </si>
  <si>
    <t>Gary Morsches</t>
  </si>
  <si>
    <t>gmorsches@nationwideenergypartners.com</t>
  </si>
  <si>
    <t>Suite B110</t>
  </si>
  <si>
    <t>+1 (855) 693-8377</t>
  </si>
  <si>
    <t>info@ecurv.com</t>
  </si>
  <si>
    <t>The company raised $3.74 million of Series A2 venture funding from undisclosed investors on July 17, 2018. Previously, the company received $179,500 of grant funding from Mass Gov on June 14, 2017.</t>
  </si>
  <si>
    <t>Constellation Technology Ventures, Gene Zimon, Investors Collaborative, Jean Hammond, Launchpad Venture Group, Mass Gov, Massachusetts Clean Energy Center, Vodia Ventures</t>
  </si>
  <si>
    <t>Constellation Technology Ventures(www.technologyventures.constellation.com), Investors Collaborative(www.investorscollaborative.com), Launchpad Venture Group(www.launchpadventuregroup.com), Mass Gov(www.mass.gov), Massachusetts Clean Energy Center(www.masscec.com), Vodia Ventures(www.vodiacapital.com)</t>
  </si>
  <si>
    <t>IEC Partners(Consulting)</t>
  </si>
  <si>
    <t>IEC Partners(Consulting), Stevens Capital Advisors(Advisor: General)</t>
  </si>
  <si>
    <t>52175-26</t>
  </si>
  <si>
    <t>Demandbase</t>
  </si>
  <si>
    <t>WordStream, Terminus, SweetIQ, Reach Analytics, Triblio, 6Sense, DATAlovers, Unomy, Outreach, Uberall, Yext, Radius (Database Software), The Big Willow, Salesify, Manta (Media and Information Services), HubSpot, metadata.io, Dun &amp; Bradstreet NetProspex, Brandmuscle, BusinessOptics, Swrve, HG Insights, Synup, Bizo, LocalVox Media, Harte Hanks, MixPanel, ReachForce, Mintigo, Segment, Datanyze, EverString, Madison Logic, BrightTALK, Infer, Main Street Hub, Marketo, Lead Forensics, Engagio, LeadLander</t>
  </si>
  <si>
    <t>Developer of account-based marketing (ABM) platform intended to identify customers in the market for products. The company's platform provides sales and marketing professionals with the pay-as-you-go service for buying business-to-business marketing lists, sales leads, and email marketing.</t>
  </si>
  <si>
    <t>email marketing, list buy, marketing performance, sales led, search marketing</t>
  </si>
  <si>
    <t>www.demandbase.com</t>
  </si>
  <si>
    <t>2006: 1, 2007: 1, 2008: 1, 2009: 1, 2010: 1, 2013: 80, 2014: 124, 2015: 171, 2017: 250</t>
  </si>
  <si>
    <t>37125-28P</t>
  </si>
  <si>
    <t>Christopher Golec</t>
  </si>
  <si>
    <t>cgolec@demandbase.com</t>
  </si>
  <si>
    <t>+1 (415) 683-2660</t>
  </si>
  <si>
    <t>680 Folsom</t>
  </si>
  <si>
    <t>info@demandbase.com</t>
  </si>
  <si>
    <t>The company raised $65 million of Series H venture funding in a deal led by Sageview Capital and Silver Lake Management on May 22, 2017, putting the pre-money valuation at an estimated $325 million. Altos Ventures, Adobe Ventures, Split Rock Partners, Sigma Partners, Scale Venture Partners and Greenspring Associates also participated in the round. The company which has raised almost $160 million in to total funding to date, intends to use the funds to extend their ABM leadership position, accelerate innovation of their Artificial Intelligence (AI) and machine-learning technology and expand ABM adoption worldwide.</t>
  </si>
  <si>
    <t>Adobe Ventures, Altos Ventures, Costanoa Ventures, Greenspring Associates, Jackson Square Ventures, Sageview Capital, Salesforce Ventures, Scale Venture Partners, Sigma Partners, Silver Lake Management, Split Rock Partners, Sutter Hill Ventures, Western Technology Investment</t>
  </si>
  <si>
    <t>Altos Ventures(www.altos.vc), Costanoa Ventures(www.costanoavc.com), Greenspring Associates(www.greenspringassociates.com), Jackson Square Ventures(www.jsv.com), Sageview Capital(www.sageviewcapital.com), Scale Venture Partners(www.scalevp.com), Sigma Partners(www.sigmapartners.com), Silver Lake Management(www.silverlake.com), Split Rock Partners(www.splitrock.com), Sutter Hill Ventures(www.shv.com), Western Technology Investment(www.westerntech.com)</t>
  </si>
  <si>
    <t>Gunderson Dettmer(Legal Advisor), Kohler Law Group(Legal Advisor), Launch Search Partners(Consulting), Sequoia Consulting Group(Consulting)</t>
  </si>
  <si>
    <t>56052-82</t>
  </si>
  <si>
    <t>Deliv</t>
  </si>
  <si>
    <t>Fetchsters</t>
  </si>
  <si>
    <t>Fetchr, GoGoVan, Shipsi, Stuart Delivery, Lalamove, Dropoff, Weengs, Doorman, New Dada, Convey, ShipBob, ShipHawk, Brisqq, Cargomatic, mShipper, CitizenShipper, Parcel, uShip, Fuyoukache, Roadie</t>
  </si>
  <si>
    <t>Operator of a crowdsourced, last mile logistics company that powers scheduled, same day delivery and returns for businesses. The company uses the technology advancements of omni-channel platforms and GPS-enabled smartphones to mobilize their crowd of drivers and allows partners to join their national crowdsourced delivery network, leveraging their assets as well as e-commerce technology, enabling clients to deliver on the same day promise better and faster than their competitors.</t>
  </si>
  <si>
    <t>Logistics*, Other Software</t>
  </si>
  <si>
    <t>online ordering delivery, online same day delivery platform, package delivery, same day delivery platform, same day delivery service, same day logistics delivery</t>
  </si>
  <si>
    <t>www.deliv.co</t>
  </si>
  <si>
    <t>News (New) , Competitor (New) Fuyoukache</t>
  </si>
  <si>
    <t>46115-56P</t>
  </si>
  <si>
    <t>Daphne Carmeli</t>
  </si>
  <si>
    <t>Founder, Head, Chief Executive Officer &amp; Board Member</t>
  </si>
  <si>
    <t>daphne@deliv.co</t>
  </si>
  <si>
    <t>+1 (650) 924-1270</t>
  </si>
  <si>
    <t>4400 Bohannon Drive</t>
  </si>
  <si>
    <t>The company raised $40 million of Series C venture funding from Macerich, UPS Strategic Enterprise Fund and Google on October 30, 2018, putting the company's pre-money valuation at $150 million. Clayton Venture Group, General Catalyst, PivotNorth Capital, Upfront Ventures, FirstMark Capital and RPM Ventures also participated in the round. The company intends to use the funds to continue to expand operations and its business reach.</t>
  </si>
  <si>
    <t>Alphabet, Brookfield Property, Clayton Venture Group, FirstMark Capital, General Catalyst, Gordon Tucker, Huron River Ventures, Iconica Partners, Invest Michigan, Macerich, Operators Fund, PivotNorth Capital, Plug and Play Tech Center, Redpoint Ventures, RPM Ventures, Simon Property Group, Simon Venture Group, The Taubman Company, The Windquest Group, Trinity Ventures, United Parcel Service, Upfront Ventures, UPS Strategic Enterprise Fund, Wakestream Ventures, Westfield</t>
  </si>
  <si>
    <t>Alphabet(www.abc.xyz), Brookfield Property(www.brookfieldpropertiesretail.com), FirstMark Capital(www.firstmarkcap.com), General Catalyst(www.generalcatalyst.com), Huron River Ventures(www.huronrivervc.com), Iconica Partners(www.iconicapartners.com), Invest Michigan(www.investmichigan.org), Macerich(www.macerich.com), PivotNorth Capital(www.pivotnorth.com), Plug and Play Tech Center(www.plugandplaytechcenter.com), Redpoint Ventures(www.redpoint.com), RPM Ventures(www.rpmvc.com), Simon Property Group(www.simon.com), Simon Venture Group(simonventuregroup.com), The Taubman Company(www.taubman.com), The Windquest Group(www.windquest.com), Trinity Ventures(www.trinityventures.com), United Parcel Service(www.ups.com), Upfront Ventures(www.upfront.com), Wakestream Ventures(www.wakestreamventures.com), Westfield(www.westfieldcorp.com)</t>
  </si>
  <si>
    <t>Fenwick &amp; West(Legal Advisor), Hawke Media(Consulting)</t>
  </si>
  <si>
    <t>167312-44</t>
  </si>
  <si>
    <t>DeepScale</t>
  </si>
  <si>
    <t>AImotive, TrueMotion, Drive.ai, Comma.Ai, Nauto, Zoox, FiveAI, nuTonomy, ClearMotion, Azuga, Waymo, May Mobility, Moj.io, Optimus Ride, HoloMatic, Zubie, Ottomatika, Strobe (Pasadena), Hailo Technologies, TuSimple, Momenta, Pony.ai, Cruise</t>
  </si>
  <si>
    <t>Developer of artificial intelligence based visual perception systems designed to help automakers to develop cars with advanced driver-assistance systems. The company's systems for autonomous vehicles are based on training data for machine learning algorithms, rapid deep neural network (DNN) training, ground-up redesigns of DNN architectures and efficient DNN deployment in embedded or IoT applications, enabling automakers to use industry-standard low-wattage processors to power more accurate vehicles perception.</t>
  </si>
  <si>
    <t>Application Software*, Automotive, Other Software</t>
  </si>
  <si>
    <t>Artificial Intelligence &amp; Machine Learning, Autonomous cars, Big Data, Industrials, Internet of Things, TMT</t>
  </si>
  <si>
    <t>advances drivers assistance, artificial intelligence software, autonomous drives software, autonomous vehicle software, autonomous vehicles, deep learning, perception determining software, perception software, self drives car</t>
  </si>
  <si>
    <t>www.deepscale.ai</t>
  </si>
  <si>
    <t>2016: 5, 2017: 11, 2019: 30</t>
  </si>
  <si>
    <t>148026-25P</t>
  </si>
  <si>
    <t>Forrest Iandola</t>
  </si>
  <si>
    <t>forrest@deepscale.ai</t>
  </si>
  <si>
    <t>+1 (650) 200-0082</t>
  </si>
  <si>
    <t>970 Terra Bella Avenue</t>
  </si>
  <si>
    <t>Suite 1</t>
  </si>
  <si>
    <t>contact@deepscale.ai</t>
  </si>
  <si>
    <t>The company received $750,000 of grant funding from Small Business Innovation Research on April 25, 2018. Previously, the company raised $18.00 million of Series A venture funding in a deal led by Next47 and Point72 Ventures on February 9, 2018, putting the company's pre-money valuation at $35 million. AutoTech Ventures, Plug and Play Tech Center, Trucks Venture Capital, The House Fund, Ali Partovi and Lip Bu Tan also participated in the round. The funds will be used to expand the company's engineering team and technology advancements.</t>
  </si>
  <si>
    <t>Ali Partovi, AME Cloud Ventures, Andreas Von Bechtolsheim, Autotech Ventures, Bessemer Venture Partners, Cognite ventures, Greylock Partners, Level.VC, Lip-Bu Tan, National Science Foundation, Next47, Plug and Play Tech Center, Point72 Ventures, Small Business Innovation Research, The House Fund, Trucks Venture Capital, Zhiyuan Yang</t>
  </si>
  <si>
    <t>Ali Partovi(www.partovi.org), AME Cloud Ventures(www.amecloudventures.com), Autotech Ventures(www.autotechvc.com), Bessemer Venture Partners(www.bvp.com), Cognite ventures(www.cogniteventures.com), Greylock Partners(www.greylock.com), Level.VC(www.levelvc.com), National Science Foundation(seedfund.nsf.gov), Next47(Next47.com), Plug and Play Tech Center(www.plugandplaytechcenter.com), Point72 Ventures(www.p72.vc), The House Fund(www.thehouse.fund), Trucks Venture Capital(www.trucks.vc)</t>
  </si>
  <si>
    <t>228614-41</t>
  </si>
  <si>
    <t>DeepMotion</t>
  </si>
  <si>
    <t>Midas Touch Interactive</t>
  </si>
  <si>
    <t>NaturalMotion Games, Google DeepMind</t>
  </si>
  <si>
    <t>Provider of a motion intelligence platform designed to bring 2D and 3D digital characters to life through smarter motion technology. The company's platform bridges physical and digital motion for virtual characters and machines, using physics simulation, computer vision and machine learning and reconstructs realistic motion from real-world examples, enabling AR and VR applications to create virtual characters from real world examples.</t>
  </si>
  <si>
    <t>Artificial Intelligence &amp; Machine Learning, Augmented Reality, Big Data, SaaS, TMT, Virtual Reality</t>
  </si>
  <si>
    <t>2d animation, 3d animation, augmented reality, body simulation technology, computer vision, deep learning, digital art, digital entertainment, virtual reality</t>
  </si>
  <si>
    <t>www.deepmotion.com</t>
  </si>
  <si>
    <t>2015: 2, 2016: 10, 2017: 15, 2018: 20</t>
  </si>
  <si>
    <t>185460-13P</t>
  </si>
  <si>
    <t>Kevin He</t>
  </si>
  <si>
    <t>kevin.he@deepmotion.com</t>
  </si>
  <si>
    <t>Suite 295</t>
  </si>
  <si>
    <t>contact@deepmotion.com</t>
  </si>
  <si>
    <t>The company raised $2.2 million of venture funding in a deal led by Samsung Venture Investment, Westlake Ventures and Scrum Ventures on March 20, 2019. Other undisclosed investors also participated in the round. The company intends to use the funds for the continued expansion of its Digital Avatar solutions and recruitment efforts.</t>
  </si>
  <si>
    <t>Amino Capital, ChinaRock Capital Management, Samsung Venture Investment, Scrum Ventures, TSVC, Westlake Ventures</t>
  </si>
  <si>
    <t>Amino Capital(www.aminocapital.com), ChinaRock Capital Management(www.crcm.com), Samsung Venture Investment(www.samsungventures.com), Scrum Ventures(www.scrum.vc), TSVC(www.tsvcap.com), Westlake Ventures(www.westlake.vc)</t>
  </si>
  <si>
    <t>167432-32</t>
  </si>
  <si>
    <t>DeepMap</t>
  </si>
  <si>
    <t>Quanergy, Civil Maps, Blickfeld, Hailo Technologies</t>
  </si>
  <si>
    <t>Developer of an HD mapping and localization platform designed to bring autonomous cars onto roads. The company's HD mapping and localization platform delivers the capabilities necessary for self-driving cars to navigate in the complex and unpredictable real world by addressing three important elements such as precise high-definition mapping, ultra-accurate real-time localization and the serving infrastructure to support massive global scaling, enabling car manufacturer's autonomous systems to improve safety and efficiency.</t>
  </si>
  <si>
    <t>autonomous car, car data tracking, car mapping technology, hd mapping, self drives car</t>
  </si>
  <si>
    <t>www.deepmap.ai</t>
  </si>
  <si>
    <t>2016: 10, 2018: 75</t>
  </si>
  <si>
    <t>148252-06P</t>
  </si>
  <si>
    <t>James Wu</t>
  </si>
  <si>
    <t>jameswu@deepmap.ai</t>
  </si>
  <si>
    <t>+1 (650) 678-4580</t>
  </si>
  <si>
    <t>Suite A200</t>
  </si>
  <si>
    <t>info@deepmap.ai</t>
  </si>
  <si>
    <t>The company raised an estimated $60 million of Series B venture funding from Generation Investment Management, Robert Bosch Venture Capital, Andreessen Horowitz, NVIDIA GPU Ventures and Accel on August 14, 2018, putting the company's pre-money valuation at $380 million. GSR Ventures also participated in the round.</t>
  </si>
  <si>
    <t>Accel, Andreessen Horowitz, Generation Investment Management, GSR Ventures, iSeed Ventures, NVIDIA GPU Ventures, Plug and Play Tech Center, Robert Bosch Venture Capital, SAIC Capital</t>
  </si>
  <si>
    <t>Accel(www.accel.com), Andreessen Horowitz(www.a16z.com), Generation Investment Management(www.generationim.com), GSR Ventures(www.gsrventures.com), iSeed Ventures(www.iseedvc.com), Plug and Play Tech Center(www.plugandplaytechcenter.com), Robert Bosch Venture Capital(www.rbvc.com), SAIC Capital(www.saicvc.com)</t>
  </si>
  <si>
    <t>154437-04</t>
  </si>
  <si>
    <t>Deepgram</t>
  </si>
  <si>
    <t>Artificial Solutions</t>
  </si>
  <si>
    <t>Provider of an AI-based speech-to-text search platform created to understand human speech. The company's end-to-end deep learning speech recognition system searches for keywords in transcripts by both sound and text within audio and video files, used for transcribing calls, meetings and voicemails for searchable notes, providing businesses with a fast, high accuracy speech-to-text on an easy-to-use API at affordable prices.</t>
  </si>
  <si>
    <t>Business/Productivity Software, Multimedia and Design Software*</t>
  </si>
  <si>
    <t>audio search, audio transcription, automatic speech recognition, speech text transcription, speech to text, transcription software, video transcription</t>
  </si>
  <si>
    <t>www.deepgram.com</t>
  </si>
  <si>
    <t>2016: 4, 2017: 15</t>
  </si>
  <si>
    <t>131380-39P</t>
  </si>
  <si>
    <t>Scott Stephenson</t>
  </si>
  <si>
    <t>scott@deepgram.com</t>
  </si>
  <si>
    <t>+1 (415) 849-3337</t>
  </si>
  <si>
    <t>83A Wiese Street</t>
  </si>
  <si>
    <t>The company raised an undisclosed amount of venture funding from NVIDIA GPU Ventures on March 26, 2018.</t>
  </si>
  <si>
    <t>1517 Fund, Bodley Group, Boost VC, Compound, Fenox Venture Capital, Ludlow Ventures, NKM Capital, NVIDIA GPU Ventures, Y Combinator</t>
  </si>
  <si>
    <t>1517 Fund(www.1517fund.com), Bodley Group(www.bodleygroup.com), Boost VC(www.boost.vc), Compound(www.compound.vc), Fenox Venture Capital(www.fenoxvc.com), Ludlow Ventures(www.ludlowventures.com), NKM Capital(www.nkmcap.com), Y Combinator(www.ycombinator.com)</t>
  </si>
  <si>
    <t>151111-81</t>
  </si>
  <si>
    <t>Deep Instinct</t>
  </si>
  <si>
    <t>Barkly, Wandera, Lookout, Skycure, Zvelo, Lastline, Invincea, Bromium, McAfee, EnSilo, CrowdStrike, Kaymera, Niara, Cylance, Digital Shadows, Exabeam, Nyotron Information Security, Recorded Future, Endgame, Digital Guardian, SentinelOne, Blueliv, Ziften, Forcepoint, Zimperium, Webroot, DearBytes, Cyberbit, Versive, Morphisec, ThreatConnect, Malwarebytes, Kaspersky Lab, Cybereason, AlgoSec, Avast Software, Iovation, Infocyte, Cyren, Monarx, Interset, ReversingLabs, Damballa, Sqrrl, Securonix, Centrify, LogRhythm, GreatHorn, Corrata, Elevate Security, SecureAuth, Confer Technologies, Cyphort, Alert Logic, PhishLabs, MarkMonitor, GuruCul, SecureWorks, SafeBreach, BrandProtect, ForeScout, Fidelis Cybersecurity, Tanium, White Ops, ThreatQuotient, Surfwatch Labs, CounterTack, Menlo Security, OneLogin, BitSight Technologies, Sophos, Carbon Black, Bay Dynamics, Snyk, AirWatch, Comodo Group, Pulse Secure, Phantom Cyber, Bradford Networks, Deep Secure, LookingGlass Cyber Solutions, Appthority</t>
  </si>
  <si>
    <t>Provider of cybersecurity for mobile and endpoints by applying deep learning designed to protect against the most evasive unknown malware in real-time. The company's cybersecurity for mobile protects against zero-day threats and APT attacks with unmatched accuracy by identifying malware from any data source results in comprehensive protection on any device and operating system, enabling clients to protect their mobile.</t>
  </si>
  <si>
    <t>Artificial Intelligence &amp; Machine Learning, Cybersecurity, TMT</t>
  </si>
  <si>
    <t>cyber security, cybersecurity software, deep learning technology, malware detection, mobile protection</t>
  </si>
  <si>
    <t>www.deepinstinct.com</t>
  </si>
  <si>
    <t>2016: 6, 2017: 65</t>
  </si>
  <si>
    <t>181415-62P</t>
  </si>
  <si>
    <t>Naama Geva</t>
  </si>
  <si>
    <t>naamag@deepinstinct.com</t>
  </si>
  <si>
    <t>+972 (0)3 545 6600</t>
  </si>
  <si>
    <t>Levinstein Tower</t>
  </si>
  <si>
    <t>23 Derech Menahem Begin</t>
  </si>
  <si>
    <t>66182</t>
  </si>
  <si>
    <t>contact@deepinstinct.com</t>
  </si>
  <si>
    <t>The company raised $32 million of Series B venture funding from lead investor Columbus Nova Technology Partners on July 12, 2017. Alpha Intelligence Capital, NVIDIA, Coatue Management, Cushman &amp; Wakefield, U.S. News &amp; World Report, ATW Partners, NVIDIA GPU Ventures, Naveen Jain and undisclosed existing investors also participated in the round. The company will use the funding to further develop its product as well as to accelerate deployments in the United States and global markets.</t>
  </si>
  <si>
    <t>Alon Lifshitz, Alpha Intelligence Capital Fund, ATW Partners, Blumberg Capital, CerraCap Ventures, Coatue Management, Columbus Nova Technology Partners, Cushman &amp; Wakefield (acquired by DTZ), Millennium Technology Value Partners, Naveen Jain, NVIDIA GPU Ventures, U.S. News &amp; World Report, UST Global</t>
  </si>
  <si>
    <t>Alpha Intelligence Capital Fund(www.aicapital.ai), ATW Partners(www.atwpartners.com), Blumberg Capital(www.blumbergcapital.com), CerraCap Ventures(www.cerracap.com), Coatue Management(www.coatue.com), Columbus Nova Technology Partners(www.cntp.com), Millennium Technology Value Partners(www.mtvlp.com), Naveen Jain(www.naveenjain.org), U.S. News &amp; World Report(www.usnews.com), UST Global(www.ust-global.com)</t>
  </si>
  <si>
    <t>185675-95</t>
  </si>
  <si>
    <t>Decision Engines</t>
  </si>
  <si>
    <t>Developer of an artificial intelligence platform designed to help business processes to promote automation. The company's platform automates the industrial processes by using AI powered bots and intelligent process orchestration, enabling clients to drive up their efficiency and drive down costs, thereby increase profitability.</t>
  </si>
  <si>
    <t>ai power bot, artificial intelligence platform, business automation, process automation, process orchestration</t>
  </si>
  <si>
    <t>www.decisionengines.ai</t>
  </si>
  <si>
    <t>38159-29P</t>
  </si>
  <si>
    <t>Peter Grant</t>
  </si>
  <si>
    <t>Chief Education Officer</t>
  </si>
  <si>
    <t>peter.grant@decisionengines.ai</t>
  </si>
  <si>
    <t>info@decisionengines.ai</t>
  </si>
  <si>
    <t>The company raised an undisclosed amount of seed funding from American Express, Hearst Ventures and Momenta Partners on December 1, 2018. The Hive also participated in the round.</t>
  </si>
  <si>
    <t>American Express, Hearst Ventures, March Capital Partners, Momenta Partners, The Hive</t>
  </si>
  <si>
    <t>American Express(www.americanexpress.com), March Capital Partners(www.marchcp.com), Momenta Partners(www.momenta.partners), The Hive(www.hivedata.com)</t>
  </si>
  <si>
    <t>58261-87</t>
  </si>
  <si>
    <t>Datrium</t>
  </si>
  <si>
    <t>StorPool, Coho Data, Elastifile, StarWind, Maxta, E8 Storage, Pure Storage, Nexenta, Cleversafe, Compuverde, PernixData, Nimble Storage, CA Technologies (CA Arcserve), Tegile, ioFabric, Qumulo, Nasuni, Alluxio, Springpath, HyperGrid, Unitrends, DataCore Software, Scale Computing, Veeam, Pavilion Data, Cohesity, Delphix, Dell EMC, Pivot3, Igneous Systems, WekaIO, Primary Data, Druva, Plexistor, Hitachi Vantara, Imanis Data, Mesosphere, Evtron, StorageCraft Technology, Atlantis Computing, Sumo Logic, Tintri, Nutanix</t>
  </si>
  <si>
    <t>Provider of a virtual server flash storage system designed to simplify the multi-cloud data lifecycle easily. The company's system provides unprecedented speed, agility and efficiency by converging the data lifecycle across on-prem and hyperscalar clouds, enabling users to manage data storage through processing data services in a controlled array.</t>
  </si>
  <si>
    <t>Database Software*, Other Software, Storage (IT)</t>
  </si>
  <si>
    <t>cloud infrastructure services, virtual storage, virtual storage rooms, virtualized storage services</t>
  </si>
  <si>
    <t>www.datrium.com</t>
  </si>
  <si>
    <t>2014: 23, 2015: 74, 2016: 140</t>
  </si>
  <si>
    <t>63926-02P</t>
  </si>
  <si>
    <t>Brian Biles</t>
  </si>
  <si>
    <t>brian@datrium.com</t>
  </si>
  <si>
    <t>+1 (669) 721-9444</t>
  </si>
  <si>
    <t>385 Moffett Park Drive</t>
  </si>
  <si>
    <t>info@datrium.com</t>
  </si>
  <si>
    <t>The company raised $59.24 million of Series D venture funding in a deal led by Samsung Catalyst on September 13, 2018, putting the company's pre-money valuation at $150 million. Lightspeed Venture Partners, New Enterprise Associates and Icon Ventures also participated in the round. The company will use the funds to expand operations and its business reach.</t>
  </si>
  <si>
    <t>Diane Greene, Edouard Bugnion, Frank Slootman, Icon Ventures, Kai Li, Lightspeed Venture Partners, Mendel Rosenblum, New Enterprise Associates, Samsung Catalyst</t>
  </si>
  <si>
    <t>Icon Ventures(www.iconventures.com), Lightspeed Venture Partners(www.lsvp.com), New Enterprise Associates(www.nea.com), Samsung Catalyst(www.samsungcatalyst.com)</t>
  </si>
  <si>
    <t>168983-29</t>
  </si>
  <si>
    <t>Dathena Science</t>
  </si>
  <si>
    <t>Dathena</t>
  </si>
  <si>
    <t>Egress, ShiftLeft, ObservePoint, Skyhigh Networks, Scalr, Forcepoint, McAfee, BigID, Netskope, TrustArc, Bitglass, Observable Networks, Onspring, DocAuthority, Zscaler, Abine, DPOrganizer, iboss (Cybersecurity), Cloudyn Software, CipherPoint, CipherCloud, WatchGuard Technologies, Ground Labs, Dashlane, Varonis Systems, Clarip, MyLife Digital, Symantec</t>
  </si>
  <si>
    <t>Provider of a web-platform dedicated to improving data governance and security. The company's platform uses machine learning and artificial intelligence for data classification, management and governance which identifies and classifies all documents across an organization's system, enabling business clients to protect, retain or delete documents according to customizable business-centric rules.</t>
  </si>
  <si>
    <t>Artificial Intelligence &amp; Machine Learning, Big Data, Cybersecurity</t>
  </si>
  <si>
    <t>data classification, data governance, data governance platform, data loss prevention, data management platform, data security protection, privacy and data security protection, regtech vertical</t>
  </si>
  <si>
    <t>www.dathena.io</t>
  </si>
  <si>
    <t>152391-61P</t>
  </si>
  <si>
    <t>Christopher Muffat</t>
  </si>
  <si>
    <t>christopher.muffat@dathena.io</t>
  </si>
  <si>
    <t>1 George Street</t>
  </si>
  <si>
    <t>Suite 07-02</t>
  </si>
  <si>
    <t>049145</t>
  </si>
  <si>
    <t>info@dathena.io</t>
  </si>
  <si>
    <t>The company raised an undisclosed amount of venture funding in a deal led by MS&amp;AD Ventures on March 25, 2019. Demetis and CerraCap Ventures also participated in this round. The funds will be used by the company for the global deployment of new large customers as well as pursue several significant opportunities.</t>
  </si>
  <si>
    <t>CerraCap Ventures, DBS Accelerator, Demetis, MS&amp;AD Ventures, NVIDIA GPU Ventures, Thales Digital Factory</t>
  </si>
  <si>
    <t>CerraCap Ventures(www.cerracap.com), MS&amp;AD Ventures(www.msad.vc), Thales Digital Factory(www.thalesdigital.io/en/startup-incubator)</t>
  </si>
  <si>
    <t>63509-23</t>
  </si>
  <si>
    <t>Datera</t>
  </si>
  <si>
    <t>RisingTide System</t>
  </si>
  <si>
    <t>Rubrik, Fungible, OpenIO, NetApp, Vision Solutions, Code42, SwiftStack, Igneous Systems, WekaIO, Scality, Veritas Technologies, Pivot3, Mirantis, SoftNAS, Hitachi Vantara, NooBaa, ClearSky Data, ZeroStack, Caringo, Nasuni, StorageCraft Technology, Cohesity, Maxta, Infinite io, Parsec Labs, Veeam, Panzura, Avere Systems, Peaxy, DataDirect Networks, Druva, DataCore Software, Excelero, Oracle, Primary Data, ScaleIO, Platform9, CommVault Systems, Nexenta, Pure Storage, Nexsan, Zmanda, Logicworks, NGD Systems, ioFabric, Acronis, Cloudian, Asigra, Amplidata, Tarmin, StorPool, Elastifile, Falconstor Software</t>
  </si>
  <si>
    <t>Provider application-driven data products and services intended to deliver data at scale. The company's application-driven data infrastructure places rigid storage silos with a single agile platform that automatically delivers data as a suite of continuously available data services for containers, clouds, databases, DevOps and more, providing enterprises with simple and cost-effective data scaling.</t>
  </si>
  <si>
    <t>Business/Productivity Software, Network Management Software, Systems and Information Management*</t>
  </si>
  <si>
    <t>cloud-native app, commercial storage system, content management, data services, datacenters, storage system</t>
  </si>
  <si>
    <t>www.datera.io</t>
  </si>
  <si>
    <t>2014: 16, 2015: 51, 2016: 50</t>
  </si>
  <si>
    <t>68367-34P</t>
  </si>
  <si>
    <t>Marc Fleischmann</t>
  </si>
  <si>
    <t>marc@datera.com</t>
  </si>
  <si>
    <t>+1 (650) 384-6366</t>
  </si>
  <si>
    <t>1050 Enterprise Way</t>
  </si>
  <si>
    <t>+1 (844) 432-8372</t>
  </si>
  <si>
    <t>The company raised $40 million of venture funding from Khosla Ventures, Samsung Ventures and Andy Bechtolsheim on April 12, 2016. Pradeep Sindhu also participated in the round. Previously, the company received $7.5 million of revolving credit line facility from Square 1 Bank on November 11, 2015.</t>
  </si>
  <si>
    <t>Andreas Von Bechtolsheim, Khosla Ventures, Pradeep Sindhu, Samsung Venture Investment</t>
  </si>
  <si>
    <t>Khosla Ventures(www.khoslaventures.com), Samsung Venture Investment(www.samsungventures.com)</t>
  </si>
  <si>
    <t>57824-02</t>
  </si>
  <si>
    <t>DataWeave</t>
  </si>
  <si>
    <t>GoodData, Birst, Engage3, Mu Sigma, Absolutdata Intelligent Analytics, Uptake, Shotfarm, Mozenda, import.io, Domo, TrackMaven, Clavis Insight, Edited, Factual, SAS Institute, Feedvisor, Intelligence Node, Datafiniti, Wiser (Business Software), Quad Analytix, Cuebiq, PlaceIQ, nChannel, Boomerang Commerce, Syndicated Maps, Blis Media, Profitero, LatentView Analytics, Hatch (Netherlands), Qlik Technologies, Predixion, PiinPoint, Indix, Datahero, StyleSage, Channel IQ, Salsify, Blue Yonder, DataRPM, Semantics3</t>
  </si>
  <si>
    <t>Developer of business intelligence platform designed to transform the way businesses harness public data on the web. The company's platform aggregates, organizes and analyzes millions of unstructured data points across multiple data sources and provides access to these insights through dashboards, reports, visualizations and APIs, enabling retailers and brands to better understand competition, monitor their brand, optimize offerings for their customers and increase sales.</t>
  </si>
  <si>
    <t>actionable insights, business intelligence software, data aggregation, data analytics, data curation, retail intelligence platform</t>
  </si>
  <si>
    <t>www.dataweave.com</t>
  </si>
  <si>
    <t>78527-17P</t>
  </si>
  <si>
    <t>Karthik Bettadapura</t>
  </si>
  <si>
    <t>karthik@dataweave.in</t>
  </si>
  <si>
    <t>+91 (0)97 4078 9497</t>
  </si>
  <si>
    <t>Number 1-10/A, 27th Cross</t>
  </si>
  <si>
    <t>2nd Main Road, Jayanagar 7th Block</t>
  </si>
  <si>
    <t>560070</t>
  </si>
  <si>
    <t>+91 (0)80 6708 1300</t>
  </si>
  <si>
    <t>contact@dataweave.in</t>
  </si>
  <si>
    <t>The company raised an undisclosed amount of Series A venture funding in a deal led by FreakOut on April 6, 2017. Recruit Strategic Partners, Blume Venture Advisors, Vestech Partners, NB Ventures, WaterBridge Ventures and Herbert Madan also participated in the round. The funds will be used to expand sales, marketing and customer success initiatives, especially in North America and scale data products.</t>
  </si>
  <si>
    <t>5ideas, Abhishek Gupta, Blume Venture Advisors, FreakOut, Herbert Madan, Hirokazu Mashita, Krishna Mehra, Meta Studio Advisors, MJ Aravind, NB Ventures, Pankaj Jain, Rajan Anandan, Recruit Strategic Partners, Rishi Srivastava, Teruhide Sato, TLabs, Vestech Partners, WaterBridge Ventures, Zinnov</t>
  </si>
  <si>
    <t>5ideas(www.5ideas.in), Blume Venture Advisors(www.blume.vc), FreakOut(www.fout.co.jp), Pankaj Jain(about.me/pjain), Recruit Strategic Partners(recruitstrategicpartners.com), TLabs(tlabs.in), Vestech Partners(www.vestechpartners.com), WaterBridge Ventures(www.waterbridge.vc), Zinnov(www.zinnov.com)</t>
  </si>
  <si>
    <t>53839-09</t>
  </si>
  <si>
    <t>Datavail</t>
  </si>
  <si>
    <t>Opsys Solutions</t>
  </si>
  <si>
    <t>OpenSCG, Percona, The Pythian Group, Remote DBA Experts, Datadog, Data Intensity, Progress Software, nClouds, SQS Software Quality Systems, Delphix, MiCORE Solutions, Inc, MyDBA (Pty) Ltd, MongoDB, EnterpriseDB</t>
  </si>
  <si>
    <t>Provider of data and applications management services intended to prevent downtime for businesses. The company's services include database management, cloud service management, applications and integration management and application development, enabling clients to focus on their business without worrying about their data and applications.</t>
  </si>
  <si>
    <t>Database Software, IT Consulting and Outsourcing*, Systems and Information Management</t>
  </si>
  <si>
    <t>cloud services solutions, database management provider, database management service, database management solutions, integration management services</t>
  </si>
  <si>
    <t>www.datavail.com</t>
  </si>
  <si>
    <t>2009: 52, 2010: 62, 2011: 125, 2014: 180, 2015: 188, 2017: 900, 2018: 1000</t>
  </si>
  <si>
    <t>122998-96P</t>
  </si>
  <si>
    <t>Rick Gaisser</t>
  </si>
  <si>
    <t>rick@datavail.com</t>
  </si>
  <si>
    <t>+1 (877) 722-8247</t>
  </si>
  <si>
    <t>Broomfield, CO</t>
  </si>
  <si>
    <t>11800 Ridge Parkway</t>
  </si>
  <si>
    <t>Broomfield</t>
  </si>
  <si>
    <t>80021</t>
  </si>
  <si>
    <t>+1 (303) 469-2399</t>
  </si>
  <si>
    <t>info@datavail.com</t>
  </si>
  <si>
    <t>The company raised $10 million of Series F venture funding from Boulder Ventures, ORIX Growth Capital and other undisclosed investors on July 27, 2017, putting the pre-money valuation at $80 million. The investment will be used to support the company's continued organic growth and acquisition strategy.</t>
  </si>
  <si>
    <t>Boulder Ventures, Catalyst Investors, Lumerity Capital, Meritage Funds, Montis Capital, ORIX Growth Capital, Workhorse Capital</t>
  </si>
  <si>
    <t>Bertram Capital Management</t>
  </si>
  <si>
    <t>Boulder Ventures(www.boulderventures.com), Catalyst Investors(www.catalyst.com), Lumerity Capital(www.lumerity.com), Meritage Funds(www.meritagefunds.com), Montis Capital(www.montiscapital.com), Workhorse Capital(www.workhorsegrowth.com)</t>
  </si>
  <si>
    <t>Bertram Capital Management(www.bertramcapital.com)</t>
  </si>
  <si>
    <t>DH Capital(Advisor: General), Hewlett-Packard(Debt Financing), M2 Lease Funds(Debt Financing)</t>
  </si>
  <si>
    <t>57523-60</t>
  </si>
  <si>
    <t>DataRobot LLC</t>
  </si>
  <si>
    <t>H2O.ai, Astronomer, KXEN, Skytree, Illuminate360, Prevision.io, Dataiku, Indico, BigML, CognitiveScale, Bonsai (Software Development Applications), Symphony AyasdiAI, Datoin, Drishti, Clinc, Datascience.com, Databricks, Algorithmia, Palantir Technologies, RapidMiner</t>
  </si>
  <si>
    <t>Developer of a machine learning automation platform designed to deploy accurate predictive models. The company's platform uses open source machine learning algorithms to automate, train and evaluate predictive models in parallel, delivering more accurate predictions at scale, enabling data scientists to export scoring code and operationalize models in any environment.</t>
  </si>
  <si>
    <t>Automation/Workflow Software*, Other Software</t>
  </si>
  <si>
    <t>augmented analytics, augmented analytics platform, automated machine learning platform, data science, machine learning platform, statistical modeling</t>
  </si>
  <si>
    <t>www.datarobot.com</t>
  </si>
  <si>
    <t>2016: 100, 2017: 150</t>
  </si>
  <si>
    <t>54099-55P</t>
  </si>
  <si>
    <t>Jeremy Achin</t>
  </si>
  <si>
    <t>jeremy@datarobot.com</t>
  </si>
  <si>
    <t>One International Place</t>
  </si>
  <si>
    <t>info@datarobot.com</t>
  </si>
  <si>
    <t>The company raised $100.00 million of Series D venture funding in a deal led by Meritech Capital Partners and Sapphire Ventures on October 25, 2018, putting the company's pre-money valuation at $625.00 million. Intel Capital, Cisco Investments, DFJ Growth, IA Ventures and New Enterprise Associates also participated in the round.</t>
  </si>
  <si>
    <t>Accomplice VC, Atlas Venture, Cisco Investments, CSC UpShot Ventures, Department of Homeland Security Science and Technology Directorate, DFJ Growth, Geodesic Capital, IA Ventures, In-Q-Tel, Intel Capital, Jeff Hammerbacher, Meritech Capital Partners, New Enterprise Associates, New York Life Insurance Company, Omega Venture Partners, Open Field Capital, Plug and Play Tech Center, Recruit Strategic Partners, Right Side Capital Management, Sapphire Ventures, Techstars, The Dcode Group</t>
  </si>
  <si>
    <t>Accomplice VC(www.accomplice.co), Atlas Venture(www.atlasventure.com), Cisco Investments(www.ciscoinvestments.com), CSC UpShot Ventures(www.csc-upshot.vc), Department of Homeland Security Science and Technology Directorate(www.dhs.gov), Geodesic Capital(www.geodesiccap.com), IA Ventures(www.iaventures.com), In-Q-Tel(www.iqt.org), Intel Capital(www.intelcapital.com), Meritech Capital Partners(www.meritechcapital.com), New Enterprise Associates(www.nea.com), New York Life Insurance Company(www.newyorklife.com), Omega Venture Partners(www.omegavp.com), Open Field Capital(www.ofcap.com), Plug and Play Tech Center(www.plugandplaytechcenter.com), Recruit Strategic Partners(recruitstrategicpartners.com), Right Side Capital Management(www.rightsidecapital.com), Sapphire Ventures(www.sapphireventures.com), Techstars(www.techstars.com), The Dcode Group(www.dcode.co)</t>
  </si>
  <si>
    <t>Cooley(Legal Advisor), Davis Wright Tremaine(Legal Advisor), Fama PR(Advisor: General), Nai Hunneman(Advisor: General)</t>
  </si>
  <si>
    <t>Davis Wright Tremaine(Legal Advisor)</t>
  </si>
  <si>
    <t>169539-67</t>
  </si>
  <si>
    <t>Datalogue</t>
  </si>
  <si>
    <t>Xplenty, Fivetran, Stitch, Snowflake, Periscope Data, Zaloni, Unifi (Data Platform), Syncsort, MapR, StreamSets, Platfora, BlueData, Pentaho, Cloudera, Qubole, Splunk, Vertica Systems, Koverse, Paxata, Databricks, Podium Data, Talend, Tamr, Informatica, Confluent, Trifacta, Panoply (Application Software), HyperScience, Cambridge Semantics, Ngdata, RapidMiner, DBmaestro, Hortonworks, Datameer, Kx Systems, Datascience.com, Couchbase, Collibra, InfluxData, Segment</t>
  </si>
  <si>
    <t>Developer of an artificial intelligence powered data mining platform designed to automate the process of data preparation. The company's data mining platform automates the process of finding, cleaning and normalizing data, enabling scientists, developers and researchers to save time in data formatting and wrangling and increase productivity.</t>
  </si>
  <si>
    <t>automated data formatting, data automation, data formatting, data mining platform, data preparation, data transformation, data visualization, data wrangling</t>
  </si>
  <si>
    <t>www.datalogue.io</t>
  </si>
  <si>
    <t>154095-94P</t>
  </si>
  <si>
    <t>Tim Delisle</t>
  </si>
  <si>
    <t>tim.delisle@datalogue.io</t>
  </si>
  <si>
    <t>+1 (607) 280-5370</t>
  </si>
  <si>
    <t>625 Avenue of the Americas</t>
  </si>
  <si>
    <t>contact@datalogue.io</t>
  </si>
  <si>
    <t>The company raised $4.79 million of seed funding from Flybridge Capital Partners and Red Bear Angels on October 9, 2018. Work-Bench and other undisclosed investors also participated.</t>
  </si>
  <si>
    <t>Bloomberg Beta, BR Venture Fund, Creative Destruction Lab, eLab Accelerator, Flybridge Capital Partners, NVIDIA GPU Ventures, Red Bear Angels, Work-Bench</t>
  </si>
  <si>
    <t>Bloomberg Beta(www.bloombergbeta.com), BR Venture Fund(www.brventurefund.com), Creative Destruction Lab(www.creativedestructionlab.com), eLab Accelerator(www.elabstartup.com), Flybridge Capital Partners(www.flybridge.com), Red Bear Angels(www.rbangels.com), Work-Bench(www.work-bench.com)</t>
  </si>
  <si>
    <t>56924-29</t>
  </si>
  <si>
    <t>Dataguise</t>
  </si>
  <si>
    <t>Exonar, Privitar, Prifender, Datiphy, Actifio, Anonos, BigID, Camouflage Software, McAfee, Distil Networks, Sqrrl, Avast Software, Privacy Analytics, SonicWALL, Informatica, Exabeam, DocAuthority, LeapYear Technologies, Qualys, DataSunrise, Abine</t>
  </si>
  <si>
    <t>Developer of a global sensitive data governance platform designed to provide the ability to detect, protect and monitor data in real time across all data repositories, both on premises and in the cloud. The company's platform maximizes the business value of data and provides the ability to safely and responsibly leverage all the data to drive revenue and maximize competitive advantage, enabling enterprises to achieve a complete view of their sensitive data assets across Big Data and traditional data repositories.</t>
  </si>
  <si>
    <t>adjustment of data, data manipulation, data protection, data risk management, data security, data utilization</t>
  </si>
  <si>
    <t>www.dataguise.com</t>
  </si>
  <si>
    <t>2014: 59, 2015: 70, 2016: 95</t>
  </si>
  <si>
    <t>49391-02P</t>
  </si>
  <si>
    <t>Manmeet Singh</t>
  </si>
  <si>
    <t>+1 (877) 632-0522</t>
  </si>
  <si>
    <t>2201 Walnut Avenue</t>
  </si>
  <si>
    <t>The company raised an undisclosed amount of venture funding from Samsung Venture Investment and Vestech Partners in May 2016. Prior to this, the company raised $9 million of Series B1 venture funding from undisclosed investors on July 6, 2015, putting the company's pre-money valuation at $51 million.</t>
  </si>
  <si>
    <t>Samsung Venture Investment, Toba Capital, Vestech Partners</t>
  </si>
  <si>
    <t>Samsung Venture Investment(www.samsungventures.com), Toba Capital(www.tobacapital.com), Vestech Partners(www.vestechpartners.com)</t>
  </si>
  <si>
    <t>Gunderson Dettmer(Legal Advisor), Kranz &amp; Associates(Advisor: General)</t>
  </si>
  <si>
    <t>154775-53</t>
  </si>
  <si>
    <t>data.world</t>
  </si>
  <si>
    <t>Developer of a collaborative data resource platform designed to offer a collaborative and abundant data resource in order to maximize data's societal problem-solving utility. The company's data resource platform is created using its own language, dwSQL, which allows users to access company's underlying semantic graph database using SQL, enabling users to discover and share data, connect with interesting people and work together to solve problems faster.</t>
  </si>
  <si>
    <t>Database Software*, Other Information Technology</t>
  </si>
  <si>
    <t>collaboration platform, data acess, saas</t>
  </si>
  <si>
    <t>www.data.world</t>
  </si>
  <si>
    <t>2016: 24, 2017: 30, 2018: 39</t>
  </si>
  <si>
    <t>36501-76P</t>
  </si>
  <si>
    <t>Brett Hurt</t>
  </si>
  <si>
    <t>brett@data.world</t>
  </si>
  <si>
    <t>7000 North MoPac Expressway</t>
  </si>
  <si>
    <t>Suite 425</t>
  </si>
  <si>
    <t>help@data.world</t>
  </si>
  <si>
    <t>The company raised $12 million of Series C venture funding in a deal led by Workday Ventures on September 25, 2018. Associated Press, Mark VC, Musketeer Capital and OurCrowd also participated in the round. The company will use the capital to continue building out its enterprise offering. Samsung NEXT Ventures also participated in it.</t>
  </si>
  <si>
    <t>Adam Ifshin, Adam Zeplain, Arthur Patterson, Associated Press, Capital Factory, Chicago Ventures, Clayton Christopher, Danielle Pruitt, Dwight Foster, Eric Simone, Floodgate Fund, Fyrfly Venture Partners, Homebrew, Hunt Technology Ventures, John Mackey, Joshua Kopelman, Kip Tindell, Lead Edge Capital, LiveOak Venture Partners, Mark VC, Matthew O'Hayer, Musketeer Capital, OurCrowd, Philip Berber, Ralph Mack, Robert Fabbio, Rothenberg Ventures, Samsung NEXT Ventures, Scott Kosch, Shasta Ventures, Sherpa Asset Management, Upslope Ventures, Walter Robb, Walworth Investments, Workday Ventures</t>
  </si>
  <si>
    <t>Associated Press(www.ap.org), Capital Factory(www.capitalfactory.com), Chicago Ventures(www.chicagoventures.com), Floodgate Fund(www.floodgate.com), Fyrfly Venture Partners(www.fyrfly.vc), Homebrew(www.homebrew.co), Lead Edge Capital(www.leadedgecapital.com), LiveOak Venture Partners(www.liveoakvp.com), Mark VC(www.markvc.com), Musketeer Capital(www.musketeercapital.com), OurCrowd(www.ourcrowd.com), Rothenberg Ventures(www.rothenbergventures.com), Samsung NEXT Ventures(www.samsungnext.com), Shasta Ventures(www.shastaventures.com), Sherpa Asset Management(www.sherpa-amc.com), Upslope Ventures(www.upslope.vc)</t>
  </si>
  <si>
    <t>166335-13</t>
  </si>
  <si>
    <t>Data Plus Math</t>
  </si>
  <si>
    <t>Provider of video analytics for advertisers and publishers. The company's platform uses data and science to link advertising exposure to real world customers and results, and harnesses data to map out the effects of various forms of video content in order to help drive product sales, providing new measures, unique insights and actionable intelligence.</t>
  </si>
  <si>
    <t>other business product, other consumer product, other consumer services, video metrics</t>
  </si>
  <si>
    <t>www.dataplusmath.com</t>
  </si>
  <si>
    <t>63163-45P</t>
  </si>
  <si>
    <t>John Hoctor</t>
  </si>
  <si>
    <t>john.hoctor@dataplusmath.com</t>
  </si>
  <si>
    <t>51 Melcher Street</t>
  </si>
  <si>
    <t>info@dataplusmath.com</t>
  </si>
  <si>
    <t>The company raised $4.5 million of Series A venture funding from Comcast Ventures and Greycroft on April 26, 2018, putting the company's pre-money valuation at $20 million. Previously, the company raised $3 million of seed funding from Greycroft and Comcast Ventures on September 9, 2016.</t>
  </si>
  <si>
    <t>Comcast Ventures, Greycroft</t>
  </si>
  <si>
    <t>Comcast Ventures(www.comcastventures.com), Greycroft(www.greycroft.com)</t>
  </si>
  <si>
    <t>168599-89</t>
  </si>
  <si>
    <t>Dashbot</t>
  </si>
  <si>
    <t>Botanalytics, Statsbot, Salesforce, Hunch (Business Software), Pandorabots</t>
  </si>
  <si>
    <t>Provider of a bot analytics platform intended to offer insights on user behavior, sentiment and conversational analytics. The company's platform provides bot-specific processing and metrics like conversational analytics, sentiment analysis and AI response effectiveness, enabling clients to take action on the key data like its live person takeover of chat sessions and Push Notifications for re-engagement.</t>
  </si>
  <si>
    <t>Business/Productivity Software, Social/Platform Software, Software Development Applications*</t>
  </si>
  <si>
    <t>analytics, bot, bot analytics platform, internet bot, push notifications, sentiment analysis</t>
  </si>
  <si>
    <t>www.dashbot.io</t>
  </si>
  <si>
    <t>42009-94P</t>
  </si>
  <si>
    <t>Arthur Merritt</t>
  </si>
  <si>
    <t>arte@dashbot.io</t>
  </si>
  <si>
    <t>+1 (415) 857-5010</t>
  </si>
  <si>
    <t>contact@dashbot.io</t>
  </si>
  <si>
    <t>The company raised $4.28 million through a combination of Seed 1 and Seed 2 funding in a deal led by Bessemer Venture Partners on January 4, 2019, putting the company's pre-money valuation at $10.5 million. Bertelsmann Digital Media Investments, Samsung NEXT Ventures, Runa Capital and ff Venture Capital also participated in the round. The company plans to use these funds to expand the team and product offerings, including investing more into its data science tools and predictive response algorithms to optimize customers' chatbot response effectiveness.</t>
  </si>
  <si>
    <t>Bertelsmann Digital Media Investments, Bessemer Venture Partners, ff Venture Capital, R/GA Ventures, Recruit Strategic Partners, Rembrandt Venture Partners, Runa Capital, Samsung Accelerator, Samsung NEXT Ventures, Scrum Ventures</t>
  </si>
  <si>
    <t>Bertelsmann Digital Media Investments(www.bdmifund.com), Bessemer Venture Partners(www.bvp.com), ff Venture Capital(www.ffvc.com), R/GA Ventures(ventures.rga.com), Recruit Strategic Partners(recruitstrategicpartners.com), Rembrandt Venture Partners(www.rembrandtvc.com), Runa Capital(www.runacap.com), Samsung Accelerator(www.samsungaccelerator.com), Samsung NEXT Ventures(www.samsungnext.com), Scrum Ventures(www.scrum.vc)</t>
  </si>
  <si>
    <t>108316-45</t>
  </si>
  <si>
    <t>Darktrace</t>
  </si>
  <si>
    <t>SentinelOne, Endgame, CrowdStrike, Digital Shadows, ThreatConnect, Cybeats, Carbon Black, TrapX Security, CounterTack, LogRhythm, Lancope, AlienVault, Vectra AI, LightCyber</t>
  </si>
  <si>
    <t>Provider of cyber threat defense systems designed to detect and respond to previously unidentified threats. The company's threat defense systems include detecting emerging cyber-threats and to proactively defend against in-progress cyber-attacks, enabling clients to defend against evolving threats that bypass all other systems.</t>
  </si>
  <si>
    <t>Network Management Software*, Other Information Technology</t>
  </si>
  <si>
    <t>cyber attack, cyber defense, cyber security, cyber threat defense, information security</t>
  </si>
  <si>
    <t>www.darktrace.com</t>
  </si>
  <si>
    <t>2015: 51, 2016: 300, 2017: 500, 2018: 800, 2019: 900</t>
  </si>
  <si>
    <t>95909-77P</t>
  </si>
  <si>
    <t>Poppy Gustafsson</t>
  </si>
  <si>
    <t>Co-Founder &amp; Chief Executive Officer, EMEA</t>
  </si>
  <si>
    <t>poppy.gustafsson@darktrace.com</t>
  </si>
  <si>
    <t>+44 (0)12 2339 4100</t>
  </si>
  <si>
    <t>Maurice Wilkes Building</t>
  </si>
  <si>
    <t>Cowley Road</t>
  </si>
  <si>
    <t>info@darktrace.com</t>
  </si>
  <si>
    <t>The company raised venture funding from Balderton Capital and Samsung Venture Investment on an undisclosed date. Earlier, the company raised $50 million of Series E venture funding in a deal led by Vitruvian Partners on September 26, 2018, putting the company's pre-money valuation at $1.6 billion. Kohlberg Kravis Roberts and Ten Eleven Ventures also participated in the round. Prior to that, undisclosed existing investors sold a minority take in the company to Vitruvian Partners on May 15, 2018.</t>
  </si>
  <si>
    <t>Balderton Capital, Hoxton Ventures, Insight Partners, Invoke Capital, Kohlberg Kravis Roberts, Samsung SDS Company, Samsung Venture Investment, SoftBank Capital, Summit Partners, Talis Capital, Tech Nation, Ten Eleven Ventures, Vitruvian Partners</t>
  </si>
  <si>
    <t>Balderton Capital(www.balderton.com), Hoxton Ventures(www.hoxtonventures.com), Insight Partners(www.insightpartners.com), Invoke Capital(www.invokecapital.com), Kohlberg Kravis Roberts(www.kkr.com), Samsung SDS Company(www.samsungsds.com), Samsung Venture Investment(www.samsungventures.com), SoftBank Capital(www.softbankvc.com), Summit Partners(www.summitpartners.com), Talis Capital(www.taliscapital.com), Tech Nation(www.technation.io), Ten Eleven Ventures(www.1011vc.com), Vitruvian Partners(www.vitruvianpartners.com)</t>
  </si>
  <si>
    <t>Future Fifty(Consulting), Grant Thornton UK(Auditor), Kirkland &amp; Ellis(Legal Advisor), Montgomery &amp; Company(Advisor: General)</t>
  </si>
  <si>
    <t>Bird &amp; Bird(Legal Advisor)</t>
  </si>
  <si>
    <t>182049-85</t>
  </si>
  <si>
    <t>Dandelion Energy</t>
  </si>
  <si>
    <t>Dandelion</t>
  </si>
  <si>
    <t>Developer of a smart energy platform designed to offer renewable heating and cooling services. The company's platform offers heating and cooling services and a proprietary, low-cost installation process that harnesses thermal energy from below the earth's surface to heat and cool homes and produce hot water, enabling homeowners to switch from conventional heating fuels to geothermal heating and cooling.</t>
  </si>
  <si>
    <t>energy consumption saving, energy model, heat pump systems, water cooling device, water heater</t>
  </si>
  <si>
    <t>www.dandelionenergy.com</t>
  </si>
  <si>
    <t>2018: 17</t>
  </si>
  <si>
    <t>164026-90P</t>
  </si>
  <si>
    <t>Kathleen Hannun</t>
  </si>
  <si>
    <t>kathy@dandelion.co</t>
  </si>
  <si>
    <t>+1 (617) 529-8039</t>
  </si>
  <si>
    <t>info@dandelionenergy.com</t>
  </si>
  <si>
    <t>The company raised $16 million of Series A venture funding in a deal co-led by GV and Comcast Ventures on February 12, 2019, putting the company's pre-money valuation at $48 million. Lennar, Collaborative Fund, ZhenFund, New Enterprise Associates, Ground Up Ventures, Building Ventures, and other undisclosed investors also participated in the round. The funds will be used to accelerate growth, invest in research and development, and expand its operations across New York State opening new warehouses and growing its team.</t>
  </si>
  <si>
    <t>Borealis Ventures, BoxGroup, Building Ventures, Collaborative Fund, Comcast Ventures, Correlation Ventures, Daniel Yates, Future Labs, Ground Up Ventures, GV, Lennar, New Enterprise Associates, Urban Future Lab, X Development, ZhenFund</t>
  </si>
  <si>
    <t>Borealis Ventures(www.borealisventures.com), BoxGroup(www.boxgroup.com), Building Ventures(www.buildingventures.com), Collaborative Fund(www.collaborativefund.com), Comcast Ventures(www.comcastventures.com), Correlation Ventures(www.correlationvc.com), Future Labs(www.futurelabs.nyc), Ground Up Ventures(www.groundup.vc), GV(www.gv.com), Lennar(www.lennar.com), New Enterprise Associates(www.nea.com), Urban Future Lab(www.ufl.nyc), X Development(x.company), ZhenFund(www.zhenfund.com)</t>
  </si>
  <si>
    <t>85706-92</t>
  </si>
  <si>
    <t>Daily Harvest</t>
  </si>
  <si>
    <t>GreenBlender, Green Chef, Sun Basket, Blue Apron, Hungryroot, Runa (Beverages), Plated, Freshly, Splendid Spoon, Sambazon</t>
  </si>
  <si>
    <t>Provider of subscription-based food delivery services intended to provide healthy frozen foods. The company's foods are developed by nutritionists and include smoothies, soups, bowls, lattes and breakfast options, enabling health-conscious subscribers to eat pre-portioned foods without having to cook.</t>
  </si>
  <si>
    <t>food delivery, food services, food subscription boxes, food subscription service, frozen food, healthy food, smoothies, subscription-based food</t>
  </si>
  <si>
    <t>www.daily-harvest.com</t>
  </si>
  <si>
    <t>2016: 10, 2017: 20</t>
  </si>
  <si>
    <t>129988-36P</t>
  </si>
  <si>
    <t>Rachel Drori</t>
  </si>
  <si>
    <t>rachel@daily-harvest.com</t>
  </si>
  <si>
    <t>+1 (856) 452-0175</t>
  </si>
  <si>
    <t>113 University Place</t>
  </si>
  <si>
    <t>contactus@daily-harvest.com</t>
  </si>
  <si>
    <t>The company raised $43 million of Series B venture funding in a deal led by Lightspeed Venture Partners on December 19, 2017, putting the company's pre-money valuation at $120 million. M13, VMG Partners, Bobby Flay, Serena Ventures, Shaun White and Haylie Duff also participated in the round. This funds will be used to accelerate product development, expand farm partnerships, enhance customer experience and reach more people across the country. Prior to that, the company raised $4 million of Series A venture funding from 14W, WME Venture and Collaborative Fund on June 8, 2017. Rubicon Venture Capital, Imaginary Ventures, Gwyneth Paltrow, Nick Brown, Natalie Massenet, Serena Williams and Carter Reum also participated in this round.</t>
  </si>
  <si>
    <t>14W, BAM Ventures, Bobby Flay, BrandProject, Carter Reum, Collaborative Fund, Gwyneth Paltrow, Haylie Duff, Hedgewood, Imaginary Ventures, Lightspeed Venture Partners, M13, Natalie Massenet, Nicholas Brown, Rubicon Venture Capital, Serena Ventures, Serena Williams, Shaun White, Victress Capital, Vine Street Ventures, VMG Partners, WME Ventures</t>
  </si>
  <si>
    <t>14W(www.14w.com), BAM Ventures(www.bam.vc), BrandProject(www.brandproject.com), Collaborative Fund(www.collaborativefund.com), Hedgewood(www.hedgewood.com), Imaginary Ventures(imaginary.co), Lightspeed Venture Partners(www.lsvp.com), M13(www.m13.co), Rubicon Venture Capital(www.rubicon.vc), Serena Ventures(www.serenaventures.com), Victress Capital(www.victresscapital.com), Vine Street Ventures(www.vinestventures.com), VMG Partners(www.vmgpartners.com), WME Ventures(www.wmevc.com)</t>
  </si>
  <si>
    <t>Goodwin(Legal Advisor), McCarter &amp; English(Legal Advisor)</t>
  </si>
  <si>
    <t>83544-22</t>
  </si>
  <si>
    <t>Dacadoo</t>
  </si>
  <si>
    <t>Quentiq</t>
  </si>
  <si>
    <t>Azumio, Wellsteps, Welltok, EveryMove, WellRight, Wellframe, NovuHealth, Ayogo, Jiff, SimplyWell, Axial Exchange, Ginger.io, Limeade, BettrLife, MPulse Mobile, Runtastic, Rally Health, IQ Messenger, Practice Fusion, RedBrick Health, Vivify Health, WellnessFX, PokitDok, Eliza, MD Insider, Patient IO, Shape Up, Validic, Change Healthcare, eClinicalWorks, Noom, Virgin Pulse, Emmi Solutions, Lightbeam Health Solutions, Accolade, VirtualHealth, BurstIQ, ClearCost Health, Globetrekker Challenge, MyFitnessPal, Everyday Health, Inovalon Holdings, ElationHealth, MediKeeper, Aduro</t>
  </si>
  <si>
    <t>Provider of a digital health engagement platform designed to manage and track personal health and fitness. The company's health engagement platform is based on artificial intelligence and uses motivation techniques from online games, social network dynamics, personalized feedback and an integrated reward system, enabling users to stay motivated and active and find a healthier lifestyle.</t>
  </si>
  <si>
    <t>Application Software*, Other Healthcare Technology Systems</t>
  </si>
  <si>
    <t>Artificial Intelligence &amp; Machine Learning, Digital Health, HealthTech, Mobile, TMT</t>
  </si>
  <si>
    <t>activity tracking, digital health engagement, fitness application, health engagement platform, health monitoring application</t>
  </si>
  <si>
    <t>www.dacadoo.com</t>
  </si>
  <si>
    <t>2015: 31</t>
  </si>
  <si>
    <t>103630-15P</t>
  </si>
  <si>
    <t>Peter Ohnemus</t>
  </si>
  <si>
    <t>Founder, Chairman, President &amp; Chief Executive officer</t>
  </si>
  <si>
    <t>peter.ohnemus@dacadoo.com</t>
  </si>
  <si>
    <t>+41 (0)44 251 2323</t>
  </si>
  <si>
    <t>Othmarstrasse 8</t>
  </si>
  <si>
    <t>8008</t>
  </si>
  <si>
    <t>+41 (0)44 251 0072</t>
  </si>
  <si>
    <t>info@dacadoo.com</t>
  </si>
  <si>
    <t>The company raised an undisclosed amount of venture funding in a deal led by Rakuten Capital on July 21, 2017. Other undisclosed investors also participated in the round.</t>
  </si>
  <si>
    <t>Network Capital, Rakuten Capital, Samsung Venture Investment</t>
  </si>
  <si>
    <t>Rakuten Capital(capital.rakuten.com), Samsung Venture Investment(www.samsungventures.com)</t>
  </si>
  <si>
    <t>Herax Partners(Advisor: General), Kempen &amp; Co(Advisor: General)</t>
  </si>
  <si>
    <t>164088-37</t>
  </si>
  <si>
    <t>Dable</t>
  </si>
  <si>
    <t>Provider of a content marketing platform platform designed to provide customized recommendation and contents distribution. The company's platform exposes Native Ads to areas which can attract high attention and recommends customized news and advertising content, enabling media companies to increase traffic and advertising earnings.</t>
  </si>
  <si>
    <t>advertising earnings, advertisment revenue, content marketing platform, personalization platform, website traffic</t>
  </si>
  <si>
    <t>www.dable.io</t>
  </si>
  <si>
    <t>2018: 34</t>
  </si>
  <si>
    <t>190328-32P</t>
  </si>
  <si>
    <t>Chaehyun Lee</t>
  </si>
  <si>
    <t>chaehyun@dable.io</t>
  </si>
  <si>
    <t>+82 (0)8 265 3336</t>
  </si>
  <si>
    <t>3F, 142, Teheran-ro</t>
  </si>
  <si>
    <t>bizdev@dable.io</t>
  </si>
  <si>
    <t>The company raised KRW 6 billion of venture funding from Samsung Venture Investment, Stonebridge Capital Advisors and KDB Daewoo Securities on April 17, 2018. NHN Capital, Cacao Ventures and DSC Investment also participated in the round.</t>
  </si>
  <si>
    <t>DSC Investment, Kakao Ventures, NHN Entertainment, Samsung Venture Investment, Stonebridge Capital Advisors, Tech Incubator Program for Startups</t>
  </si>
  <si>
    <t>DSC Investment(www.dscinvestment.com), Kakao Ventures(www.kakaoventures.co.kr), NHN Entertainment(www.nhnent.com), Samsung Venture Investment(www.samsungventures.com), Stonebridge Capital Advisors(www.stonebridgecap.com), Tech Incubator Program for Startups(www.jointips.or.kr)</t>
  </si>
  <si>
    <t>SEUM Law(Legal Advisor)</t>
  </si>
  <si>
    <t>52812-19</t>
  </si>
  <si>
    <t>D2S</t>
  </si>
  <si>
    <t>Direct2silicon</t>
  </si>
  <si>
    <t>Aselta Nanographics, Aveni</t>
  </si>
  <si>
    <t>Provider of a computational design platform designed to maximize existing eBeam technology to reduce mask costs for both low- and high-volume applications. The company's computational design platform offers advanced photo-mask designs at 20-nm-and-below process nodes using complex shapes for superior wafer quality but within practical, enabling businesses to accelerate the development of eBeam technology.</t>
  </si>
  <si>
    <t>Application Specific Semiconductors*, Other Software</t>
  </si>
  <si>
    <t>computational design, electronic product, integrated circuit, lithographic exposure, semiconductor tools</t>
  </si>
  <si>
    <t>www.design2silicon.com</t>
  </si>
  <si>
    <t>2009: 18, 2010: 20, 2011: 28, 2012: 28, 2013: 25, 2014: 26, 2015: 30, 2016: 33</t>
  </si>
  <si>
    <t>59657-86P</t>
  </si>
  <si>
    <t>Aki Fujimura</t>
  </si>
  <si>
    <t>aki@design2silicon.com</t>
  </si>
  <si>
    <t>+1 (408) 781-9017</t>
  </si>
  <si>
    <t>4040 Moorpark Avenue</t>
  </si>
  <si>
    <t>95117</t>
  </si>
  <si>
    <t>The company raised $12.7 million of Series C venture funding from Samsung Venture Investments and other undisclosed investors on March 12, 2012, putting the comapny's pre-money valuation at $51.2 million.</t>
  </si>
  <si>
    <t>Advantest, Benchmark (San Francisco), Cadence (Blades), DAG Ventures, NuFlare Technology, Samsung Venture Investment, Telos Venture Partners</t>
  </si>
  <si>
    <t>Advantest(www.advantest.co.jp), Benchmark (San Francisco)(www.benchmark.com), Cadence (Blades)(www.cadenceinc.com), DAG Ventures(www.dagventures.com), NuFlare Technology(www.nuflare.co.jp), Samsung Venture Investment(www.samsungventures.com), Telos Venture Partners(www.telosvp.com)</t>
  </si>
  <si>
    <t>Fenwick &amp; West(Legal Advisor), MLO(Legal Advisor)</t>
  </si>
  <si>
    <t>51244-57</t>
  </si>
  <si>
    <t>D-Wave</t>
  </si>
  <si>
    <t>ionQ</t>
  </si>
  <si>
    <t>Developer of quantum computing technologies designed to offer annealing algorithms and quantum computers. The company's technologies develop computing systems, that operates on a chipset using quantum annealing to solve optimization problems for commercial use in logistics, bioinformatics, life and physical sciences, quantitative finance and electronic design automation, enabling users to get customer support, site preparation, site installation, training packages and on-site engineering services.</t>
  </si>
  <si>
    <t>binary classification, computing system, quantum computing, quantum optimization, video compression</t>
  </si>
  <si>
    <t>www.dwavesys.com</t>
  </si>
  <si>
    <t>2013: 110, 2014: 120, 2015: 120, 2016: 138, 2017: 120</t>
  </si>
  <si>
    <t>35915-41P</t>
  </si>
  <si>
    <t>Warren Wall</t>
  </si>
  <si>
    <t>Executive Vice President, Corporate Affairs</t>
  </si>
  <si>
    <t>wwall@dwavesys.com</t>
  </si>
  <si>
    <t>+1 (604) 630-1428</t>
  </si>
  <si>
    <t>3033 Beta Avenue</t>
  </si>
  <si>
    <t>V5G 4M9</t>
  </si>
  <si>
    <t>+1 (604) 630-1434</t>
  </si>
  <si>
    <t>info@dwavesys.com</t>
  </si>
  <si>
    <t>GrowthWorks sold a 100% stake in the company to PenderFund for an undisclosed amount on March 1, 2019. Previously, the company received $10.15 million of grant funding in a deal led by Canadian Government on June 1, 2018. Innovate UK and other undisclosed investors also participated in the round. Previously, the company raised $50 million of venture funding from Public Sector Pension Investment Board on February 22, 2018</t>
  </si>
  <si>
    <t>180 Degree Capital, BC Discovery Fund, BDC Capital, BDC Healthcare Venture Fund, BDC Industrial, Clean and Energy Technology Venture Fund, Bezos Expeditions, British Columbia Investment Management, Business Development Bank of Canada, Canadian Government, Discovery Capital, Draper Fisher Jurvetson Management, Fidelity Investments, Goldman Sachs Investment Partners, Innovate UK, In-Q-Tel, International Investment and Underwriting, Jeffrey Bezos, Kensington Capital Partners, Lockheed Martin Ventures, Matthew Ocko, PenderFund, Public Sector Pension Investment Board, The Goldman Sachs Group, Vanedge Capital, Western Technology Investment</t>
  </si>
  <si>
    <t>180 Degree Capital(www.180degreecapital.com), BC Discovery Fund(www.discocap.com), BDC Industrial, Clean and Energy Technology Venture Fund(www.bdc.ca/EN/bdc-capital/venture-capital/strategic-approach/Pages/energy-cleantech-venture-fund.aspx), Bezos Expeditions(www.bezosexpeditions.com), British Columbia Investment Management(bci.ca), Business Development Bank of Canada(www.bdc.ca), Discovery Capital(www.discoverycapital.com), Draper Fisher Jurvetson Management(www.dfj.com), Fidelity Investments(www.fidelity.com), Goldman Sachs Investment Partners(www.gsipventures.com), Innovate UK(www.gov.uk/government/organisations/innovate-uk), In-Q-Tel(www.iqt.org), International Investment and Underwriting(www.iiu.ie), Kensington Capital Partners(www.kcpl.ca), PenderFund(www.penderfund.com), Public Sector Pension Investment Board(www.investpsp.com), The Goldman Sachs Group(www.goldmansachs.com), Vanedge Capital(www.vanedgecapital.com), Western Technology Investment(www.westerntech.com)</t>
  </si>
  <si>
    <t>Blake Cassels &amp; Graydon(Legal Advisor), Paradigm Capital(Placement Agent), Seed Intellectual Property Law Group(Legal Advisor), Vell Executive Search(Consulting)</t>
  </si>
  <si>
    <t>Blake Cassels &amp; Graydon(Legal Advisor), CERES Technology Advisors(Advisor: General), Paradigm Capital(Placement Agent), Western Technology Investment(Debt Financing), Wildeboer Dellelce(Legal Advisor)</t>
  </si>
  <si>
    <t>64306-54</t>
  </si>
  <si>
    <t>D-LABS</t>
  </si>
  <si>
    <t>Developer of a design and consulting platform designed to specialize in digital products and services. The company's design and consulting platform unify expertise from usability research, design agencies and software service providers in a single platform, enabling clients to enhance their interdisciplinarity.</t>
  </si>
  <si>
    <t>Application Software, Consulting Services (B2B), Other Commercial Services*</t>
  </si>
  <si>
    <t>digital product, digital services, interaction design, prototype development, software engineering</t>
  </si>
  <si>
    <t>www.d-labs.com</t>
  </si>
  <si>
    <t>2014: 16, 2016: 18</t>
  </si>
  <si>
    <t>70968-52P</t>
  </si>
  <si>
    <t>Jörn Hartwig</t>
  </si>
  <si>
    <t>hartwig@d-labs.com</t>
  </si>
  <si>
    <t>+49 (0)33 1979 9230 0</t>
  </si>
  <si>
    <t>Hasso Plattner High Tech Park</t>
  </si>
  <si>
    <t>Rudolf-Breitscheid-Strasse 185-189</t>
  </si>
  <si>
    <t>+49 (0)33 1979 9231 0</t>
  </si>
  <si>
    <t>info@d-labs.com</t>
  </si>
  <si>
    <t>The company raised venture funding from Hasso Plattner Ventures on an undisclosed date.</t>
  </si>
  <si>
    <t>54829-00</t>
  </si>
  <si>
    <t>D'strict Holdings</t>
  </si>
  <si>
    <t>d'strict</t>
  </si>
  <si>
    <t>Operator of a web designing company. The company offers user modeling and research, interactive branding, digital environment design, tangible media, service design, user interface design, visual interaction design, industrial design, PUI design, communication design, digital content design and motion design services to businesses, schools, and public organizations in Korea and worldwide.</t>
  </si>
  <si>
    <t>Media and Information Services (B2B), Other Commercial Services*</t>
  </si>
  <si>
    <t>digital content design, motion design service, visual interaction, web design</t>
  </si>
  <si>
    <t>global.dstrict.com</t>
  </si>
  <si>
    <t>2011: 126, 2015: 51</t>
  </si>
  <si>
    <t>98218-63P</t>
  </si>
  <si>
    <t>Dong-hun Lee</t>
  </si>
  <si>
    <t>dong-hun.lee@dstrict.com</t>
  </si>
  <si>
    <t>+82 (0)2 515 5456</t>
  </si>
  <si>
    <t>Dorchester Building</t>
  </si>
  <si>
    <t>961-10 Daechi-dong</t>
  </si>
  <si>
    <t>+82 (0)2 515 5256</t>
  </si>
  <si>
    <t>dstrict@dstrict.com</t>
  </si>
  <si>
    <t>The company raised KRW 7500 million of venture funding from Korea Investment Partners, Neoplux and Promotion PEF in November 2011.</t>
  </si>
  <si>
    <t>Korea Investment Partners, Neoplux, Promotion PEF, Samsung Venture Investment</t>
  </si>
  <si>
    <t>Korea Investment Partners(kipvc.com/main.html), Neoplux(www.neoplux.co.kr), Samsung Venture Investment(www.samsungventures.com)</t>
  </si>
  <si>
    <t>Widus Partners(Advisor: General)</t>
  </si>
  <si>
    <t>60304-15</t>
  </si>
  <si>
    <t>CytoVale</t>
  </si>
  <si>
    <t>Developer of biophysical markers designed to enable high throughput single cell analysis. The company's biomarkers are based on mechanical properties of individual cells, by using microfluids to route and probe cells, which can measure multiple biomarkers at one time, enabling physicians to detect early symptoms of sepsis, improving patient outcomes and reducing treatment cost.</t>
  </si>
  <si>
    <t>biomarkers, biophysical markers, cell analysis, cell development, sepsis detection</t>
  </si>
  <si>
    <t>www.cytovale.com</t>
  </si>
  <si>
    <t>2013: 2, 2014: 5</t>
  </si>
  <si>
    <t>56542-87P</t>
  </si>
  <si>
    <t>Ajay Shah</t>
  </si>
  <si>
    <t>ajay.shah@cytovale.com</t>
  </si>
  <si>
    <t>150 Executive Park Boulevard</t>
  </si>
  <si>
    <t>Suite 4100</t>
  </si>
  <si>
    <t>94134</t>
  </si>
  <si>
    <t>info@cytovale.com</t>
  </si>
  <si>
    <t>The company raised $7.24 million of Series B venture funding from undisclosed investors on December 22, 2017. Blackhorn Ventures and Breakout Ventures also participated in this round.</t>
  </si>
  <si>
    <t>Baidu Ventures, Becton, Dickinson and Company, Blackhorn Ventures, Breakout Labs, Breakout Ventures, Dolby Family Ventures, Google Developers Launchpad, IT-Farm, National Science Foundation, NetScientific, Pactolus Ventures, U.S. Department of Health and Human Services</t>
  </si>
  <si>
    <t>Baidu Ventures(www.bv.ai), Becton, Dickinson and Company(www.bd.com), Blackhorn Ventures(www.blackhornvc.com), Breakout Labs(www.breakoutlabs.org), Breakout Ventures(www.breakout.vc), Dolby Family Ventures(www.dolbyventures.com), Google Developers Launchpad(developers.google.com/programs/launchpad), IT-Farm(www.it-farm.com), National Science Foundation(seedfund.nsf.gov), NetScientific(www.netscientific.net), Pactolus Ventures(www.pactolusventures.com), U.S. Department of Health and Human Services(hhs.gov)</t>
  </si>
  <si>
    <t>56858-23</t>
  </si>
  <si>
    <t>CYNORA</t>
  </si>
  <si>
    <t>OTI Lumionics, OLEDWorks</t>
  </si>
  <si>
    <t>Developer of organic semiconductors designed to produce display and lighting equipment. The company's semiconductors focus on light-emitting diodes and organic solar cells and also produce optoelectronic materials and liquid-processable polymers which are used to produce thin films as a carrier of the light emitting diodes and the solar cells, enabling customers to get energy saving semiconductors suitable for future flexible OLED (Organic Light-Emitting Diodes) devices.</t>
  </si>
  <si>
    <t>Other Commercial Products, Specialty Chemicals*</t>
  </si>
  <si>
    <t>blue oled emitters, blue oled emitters system, emitter systems, information display technology, oled materials, oled materials innovator</t>
  </si>
  <si>
    <t>www.cynora.com</t>
  </si>
  <si>
    <t>49271-05P</t>
  </si>
  <si>
    <t>Thomas Baumann</t>
  </si>
  <si>
    <t>baumann@cynora.com</t>
  </si>
  <si>
    <t>+49 (0)72 5191 9670</t>
  </si>
  <si>
    <t>Bruchsal, Germany</t>
  </si>
  <si>
    <t>Werner-von-Siemens-Straße 2-6</t>
  </si>
  <si>
    <t>Building 5111</t>
  </si>
  <si>
    <t>Bruchsal</t>
  </si>
  <si>
    <t>76646</t>
  </si>
  <si>
    <t>+49 (0)72 5191 9679 9</t>
  </si>
  <si>
    <t>info@cynora.com</t>
  </si>
  <si>
    <t>The company raised $25 million of Series C venture funding in a deal led by SRF Partners on May 13, 2019. MIG, Wecken &amp; Cie, SBI Investment Korea Company, and DBOLED also participated in the round. The funds will be used to build a worldwide infrastructure to support the production, sales and support of the company's Thermally Activated Delayed Fluorescence (TADF) materials for next-generation OLED displays.</t>
  </si>
  <si>
    <t>DBOLED, HMW Innovations, KfW IPEX-Bank, Lg Display, MIG, Samsung Venture Investment, SBI Investment Korea Company, SRF Partners, Wecken &amp; Cie</t>
  </si>
  <si>
    <t>InnovationLab, nanoValley.eu</t>
  </si>
  <si>
    <t>HMW Innovations(www.hmw-innovations.ag), KfW IPEX-Bank(www.kfw-ipex-bank.de), Lg Display(www.lgdisplay.com), Samsung Venture Investment(www.samsungventures.com), SBI Investment Korea Company(www.sbik.co.kr)</t>
  </si>
  <si>
    <t>InnovationLab(www.innovationlab.de), nanoValley.eu(www.nanovalley.eu)</t>
  </si>
  <si>
    <t>59097-07</t>
  </si>
  <si>
    <t>Cyngn</t>
  </si>
  <si>
    <t>CyanogenMod, Cyanogen</t>
  </si>
  <si>
    <t>Waymo, Uber, Drive.ai, Apple, Alphabet</t>
  </si>
  <si>
    <t>Developer of an open source firmware distribution designed to transforming the way people move. The company's open source firmware distribution to increase performance and reliability over Android-based ROMs released by vendors and carriers, enabling users to add more features and customization to their phones.</t>
  </si>
  <si>
    <t>Automotive, Operating Systems Software, Other Software*</t>
  </si>
  <si>
    <t>Artificial Intelligence &amp; Machine Learning, Autonomous cars, Industrials, Mobile, Robotics and Drones, SaaS, TMT</t>
  </si>
  <si>
    <t>autonomous car platform, autonomous vehicle platform, industrial vehicles</t>
  </si>
  <si>
    <t>www.cyngn.com</t>
  </si>
  <si>
    <t>2013: 25, 2015: 85, 2016: 144, 2017: 40</t>
  </si>
  <si>
    <t>147444-04P</t>
  </si>
  <si>
    <t>Lior Tal</t>
  </si>
  <si>
    <t>ltal@cyngn.com</t>
  </si>
  <si>
    <t>301 High Street</t>
  </si>
  <si>
    <t>info@cyngn.com</t>
  </si>
  <si>
    <t>The company raised $80 million of Series C venture funding in a deal led by PremjiInvest on March 23, 2015, putting the pre-money valuation at $560 million. Twitter Ventures, Qualcomm Ventures, Telefónica Ventures, Smartfren Telecom, Santander InnoVentures, Index Ventures (UK), Access Industries, Rupert Murdoch, Vivi Nevo, Benchmark Capital, Andreessen Horowitz, Redpoint Ventures, Foxconn Technology, Tencent Industry Win-Win Fund, Salesforce Ventures, and other undisclosed investors also participated in this round. The company will use the fresh cash to hire employees and amp up development of its mobile software.</t>
  </si>
  <si>
    <t>Access Industries, Andreessen Horowitz, Aviv Nevo, Benchmark (San Francisco), Foxconn Technology Group, Index Ventures (UK), Nautilus Venture Partners, Premji Invest, Qualcomm Ventures, Redpoint Ventures, Salesforce Ventures, Santander InnoVentures, Smartfren Telecom, Telefónica Ventures, Tencent Industry Win-Win Fund, Twitter Ventures</t>
  </si>
  <si>
    <t>Access Industries(www.accessindustries.com), Andreessen Horowitz(www.a16z.com), Benchmark (San Francisco)(www.benchmark.com), Foxconn Technology Group(www.foxconn.com/index_En.html), Index Ventures (UK)(www.indexventures.com), Nautilus Venture Partners(www.nautilusvp.com), Qualcomm Ventures(www.qualcommventures.com), Redpoint Ventures(www.redpoint.com), Santander InnoVentures(www.santanderinnoventures.com), Smartfren Telecom(www.smartfren.com), Telefónica Ventures(www.telefonicaventures.com), Twitter Ventures(www.twitterventures.com)</t>
  </si>
  <si>
    <t>Fondue Lab(Consulting), Granite Valuations(Valuation/Appraiser), Perkins Coie(Legal Advisor)</t>
  </si>
  <si>
    <t>182055-61</t>
  </si>
  <si>
    <t>Cylera</t>
  </si>
  <si>
    <t>Provider of a cybersecurity and analytics platform intended to protect healthcare organizations and their patients from cyber-based threats. The company's platform provides machine learning-powered services to defend from cyber attacks, including zero-day exploits, data breaches and ransomware, enabling healthcare organizations to defend and manage their devices as well as connected clinical environments that are critical to providing safe and continuous patient care.</t>
  </si>
  <si>
    <t>Network Management Software*, Other Healthcare Technology Systems</t>
  </si>
  <si>
    <t>cyber attack protection, cyber-based threat, cybersecurity services, data breache detection, ransomware detection</t>
  </si>
  <si>
    <t>www.cylera.com</t>
  </si>
  <si>
    <t>2018: 11</t>
  </si>
  <si>
    <t>167803-66P</t>
  </si>
  <si>
    <t>Timur Ozekcin</t>
  </si>
  <si>
    <t>timur.ozekcin@cylera.com</t>
  </si>
  <si>
    <t>+1 (646) 580-8194</t>
  </si>
  <si>
    <t>info@cylera.com</t>
  </si>
  <si>
    <t>The company raised an estimated $4 million of Seed 1 funding from Two Sigma Ventures on August 29, 2018, putting the company's pre-money valuation at $12 million. Prior to that, the company raised $1.25 million of seed funding in a deal led by Contour Venture Partners on July 14, 2018, putting the company's pre-money valuation at $5.00 million. Great Oaks Venture Capital, Samsung NEXT Ventures, DreamIt Ventures, and Red Bear Angels also participated in the round.</t>
  </si>
  <si>
    <t>Contour Venture Partners, DreamIt Ventures, Great Oaks Venture Capital, Maverick Ventures, Red Bear Angels, Samsung NEXT Ventures, Two Sigma Ventures</t>
  </si>
  <si>
    <t>Contour Venture Partners(www.contourventures.com), DreamIt Ventures(www.dreamit.com), Great Oaks Venture Capital(www.greatoaksvc.com), Maverick Ventures(www.maverickventures.com), Red Bear Angels(www.rbangels.com), Samsung NEXT Ventures(www.samsungnext.com), Two Sigma Ventures(www.twosigmaventures.com)</t>
  </si>
  <si>
    <t>Chase Bank(General Business Banking), Lowenstein Sandler(Legal Advisor)</t>
  </si>
  <si>
    <t>Lowenstein Sandler(Legal Advisor)</t>
  </si>
  <si>
    <t>108719-92</t>
  </si>
  <si>
    <t>Cydas</t>
  </si>
  <si>
    <t>Developer of a cloud-based human resource empowerment platform intended to streamline performance evaluation and employee placement process. The company's platform provides a variety of applications whereby management, HR and the employees themselves work cohesively and in synergy for HR management optimization, enabling clients to maximize the performance of individuals and organizations.</t>
  </si>
  <si>
    <t>people management platform, performance management, performance management platform, performance monitoring, talent management platform, talent management system</t>
  </si>
  <si>
    <t>www.cydas.com</t>
  </si>
  <si>
    <t>102028-87P</t>
  </si>
  <si>
    <t>Susumu Matsuda</t>
  </si>
  <si>
    <t>Chief Executive Officer, President and Director</t>
  </si>
  <si>
    <t>smatsuda@cydas.com</t>
  </si>
  <si>
    <t>+81 (0)36 435 3953</t>
  </si>
  <si>
    <t>Shiba 2-1-33</t>
  </si>
  <si>
    <t>105-0014</t>
  </si>
  <si>
    <t>contact@cydasinc.com</t>
  </si>
  <si>
    <t>The company raised an undisclosed amount of Series B venture funding from Salesforce Ventures, Nissay Capital and JAFCO on February 7, 2014.</t>
  </si>
  <si>
    <t>Jafco, Nissay Capital, Salesforce Ventures</t>
  </si>
  <si>
    <t>Jafco(www.jafco.co.jp), Nissay Capital(www.nissay-cap.co.jp)</t>
  </si>
  <si>
    <t>Deloitte(Auditor), Nishimura &amp; Asahi(Legal Advisor)</t>
  </si>
  <si>
    <t>87076-54</t>
  </si>
  <si>
    <t>Cyclos-Semiconductor</t>
  </si>
  <si>
    <t>Cyclos</t>
  </si>
  <si>
    <t>Provider of a resonant-clock design technologies designed to offer integrated circuit design. The company's technologies deliver resonant clock mesh semiconductor intellectual property, design automation tools and design consulting services for resonant clock mesh design services, enabling customers to deliver class-leading devices to power-critical markets such as mobile, wireless, medical and general-purpose computing.</t>
  </si>
  <si>
    <t>clock design technology, clock mesh semiconductor, ic design, mobile technology, resonant clock mesh design, semiconductor</t>
  </si>
  <si>
    <t>www.cyclos-semi.com</t>
  </si>
  <si>
    <t>113077-72P</t>
  </si>
  <si>
    <t>Marios Papaefthymiou</t>
  </si>
  <si>
    <t>Co-Founder, Chief Scientist &amp; President</t>
  </si>
  <si>
    <t>marios@cyclos-semi.com</t>
  </si>
  <si>
    <t>+1 (734) 846-6292</t>
  </si>
  <si>
    <t>1995 University Avenue</t>
  </si>
  <si>
    <t>Suite 375</t>
  </si>
  <si>
    <t>+1 (510) 649-3741</t>
  </si>
  <si>
    <t>+1 (510) 665-1331</t>
  </si>
  <si>
    <t>The company received an undisclosed amount of grant funding from National Science Foundation in December 2009. Previously, the company raised $1.06 million of Series B venture funding in a deal led by ARM on July 1, 2009, putting the company's pre-money valuation at $1.83 million. Next47 and High Tech also participated in the round.</t>
  </si>
  <si>
    <t>ARM, High Tech, National Science Foundation, Next47</t>
  </si>
  <si>
    <t>ARM(www.arm.com), High Tech(www.hightechvc.com), National Science Foundation(seedfund.nsf.gov), Next47(Next47.com)</t>
  </si>
  <si>
    <t>57943-72</t>
  </si>
  <si>
    <t>Cybereason</t>
  </si>
  <si>
    <t>Interset, Versive, Illusive Networks, CounterTack, GreatHorn, CyberX, Claroty, Endgame, CrowdStrike, Mocana, Quarri, Anomali, Exabeam, Seculert, SentinelOne, Siemplify, Recorded Future, Cyberbit, Flashpoint (threat intelligence), Digital Shadows, Tanium, Carbon Black, Blueliv, Uplevel, SecurityScorecard, Cylance, 4iQ, Phantom Cyber, Secure64, ThreatConnect, OneLogin, EclecticIQ, ZeroNorth, McAfee, ObserveIT, White Ops, PhishLabs, Alert Logic, Zimperium, Webroot, BitDefender, Digital Guardian, Barkly, IBM Resilient, Panaseer, RiskIQ, DearBytes, ThreatBook, Lookout, LogRhythm, Wandera, Securonix, LookingGlass Cyber Solutions, Easy Solutions, Forcepoint, Buguroo, ThreatQuotient, Resolution1 Security, ZeroFox, SecureWorks, BrandProtect, Skybox Security, Digital Reasoning Systems, Team Cymru, Avira Operations, WatchGuard Technologies, Kaspersky Lab, Fidelis Cybersecurity, Tenable, Zvelo, Surfwatch Labs, BitSight Technologies</t>
  </si>
  <si>
    <t>Developer of a cloud-based endpoint detection and cyber-security platform designed to protect companies from highly advanced cyber attacks. The company's platform is powered by a custom-built in-memory graph, an automated hunting engine and detects behavioral patterns across every endpoint and surfaces malicious operations in an user-friendly interface, enabling enterprises to identify the root cause and the scope of the attack with minimal manual effort and spot the attacker's behavior in real time across various stages of the attack lifecycle.</t>
  </si>
  <si>
    <t>cyber attack detection, cyber security, cyber threat detection, endpoint detection, endpoint protection, endpoint security, incident response, malicious operations detection</t>
  </si>
  <si>
    <t>www.cybereason.com</t>
  </si>
  <si>
    <t>2013: 15, 2014: 19, 2015: 70, 2016: 110, 2017: 300, 2018: 450</t>
  </si>
  <si>
    <t>61158-52P</t>
  </si>
  <si>
    <t>Lior Div</t>
  </si>
  <si>
    <t>lior@cybereason.com</t>
  </si>
  <si>
    <t>+1 (855) 695-8200</t>
  </si>
  <si>
    <t>200 Clarendon Street</t>
  </si>
  <si>
    <t>info@cybereason.com</t>
  </si>
  <si>
    <t>The company raised $100 million of Series D venture funding from SoftBank Group and Greenspring Associates on June 21, 2017, putting the company's pre-money valuation at $525 million. The funds will be used to increase the company's growth through new distribution channels and to develop new technologies.</t>
  </si>
  <si>
    <t>Charles River Ventures, Greenspring Associates, Lockheed Martin Ventures, SoftBank Capital, SoftBank Group, Spark Capital</t>
  </si>
  <si>
    <t>Charles River Ventures(www.crv.com), Greenspring Associates(www.greenspringassociates.com), SoftBank Capital(www.softbankvc.com), SoftBank Group(www.softbank.jp), Spark Capital(www.sparkcapital.com)</t>
  </si>
  <si>
    <t>54691-39</t>
  </si>
  <si>
    <t>Cuyana</t>
  </si>
  <si>
    <t>Zady, Shinesty, Tobi (Clothing), Lesara, The Limited, Everlane, Fashion Nova, Scarosso, Senreve, Dagne Dover, M.Gemi, Lulu's Fashion Lounge, Lyst, Cotopaxi (Outdoor Gear), Nasty Gal, Moda Operandi, American Apparel (USA), Outdoor Voices, Lauren James, Zara, Reformation, Modcloth, eShakti, Longchamp, TigerTrade, LookLive, Bluefly, TomboyX, MATCHESFASHION, Madewell, Mytheresa, Mansur Gavriel</t>
  </si>
  <si>
    <t>Provider of an online apparel and accessories platform intended to bridge the gap between luxury goods and affordable fashion. The company's platform offers a social hub where individuals can find and buy luxury collections of women bags, wallets and footwear, enabling them to shop for accessories made from selected fabrics, precise silhouettes and attention to detail.</t>
  </si>
  <si>
    <t>Accessories, Clothing, Internet Retail*, Luxury Goods</t>
  </si>
  <si>
    <t>craftsman accessory, donation platform, online charity, online donation</t>
  </si>
  <si>
    <t>www.cuyana.com</t>
  </si>
  <si>
    <t>2013: 5, 2014: 25, 2015: 17, 2016: 32</t>
  </si>
  <si>
    <t>41968-18P</t>
  </si>
  <si>
    <t>Karla Gallardo</t>
  </si>
  <si>
    <t>karla@cuyana.com</t>
  </si>
  <si>
    <t>+1 (415) 445-3001</t>
  </si>
  <si>
    <t>291 Geary Street</t>
  </si>
  <si>
    <t>info@cuyana.com</t>
  </si>
  <si>
    <t>The company raised $30 million of Series C venture funding from D.Luxury Brands and H.I.G. Capital on February 5, 2019, putting the company's pre-money valuation at $94 million. Cuyana intends to use the new capital to extend its brick-and-mortar footprint, advance its supply chain and develop new products. The company will also use the funds to speed up its supply chain and source new factories as it considers new product categories, such as beauty, shoes, jewelry and home.</t>
  </si>
  <si>
    <t>Campfire Capital, Canaan Partners, Comcast Ventures, D.Luxury Brands, Greycroft, H.I.G. Capital, InterWest Partners</t>
  </si>
  <si>
    <t>Campfire Capital(www.campfire-capital.com), Canaan Partners(www.canaan.com), Comcast Ventures(www.comcastventures.com), D.Luxury Brands(www.dluxurybrands.com), Greycroft(www.greycroft.com), H.I.G. Capital(www.higcapital.com), InterWest Partners(www.interwest.com)</t>
  </si>
  <si>
    <t>ComCap(Advisor: General), Gunderson Dettmer(Legal Advisor)</t>
  </si>
  <si>
    <t>151469-29</t>
  </si>
  <si>
    <t>Cut (Movies, Music and Entertainment)</t>
  </si>
  <si>
    <t>Operator of production services intended to produce videos, stories and other similar contents. The company's production services direct and produces videos, enabling consumers to get financial and related help during the process of sharing their videos, stories and other contents.</t>
  </si>
  <si>
    <t>Movies, Music and Entertainment*, Other Media, Other Services (B2C Non-Financial)</t>
  </si>
  <si>
    <t>directs and produces, online video content, production company, video content production</t>
  </si>
  <si>
    <t>www.cut.com</t>
  </si>
  <si>
    <t>2016: 7, 2017: 10</t>
  </si>
  <si>
    <t>125348-14P</t>
  </si>
  <si>
    <t>Michael Gaston</t>
  </si>
  <si>
    <t>mike@cut.com</t>
  </si>
  <si>
    <t>+1 (206) 601-2927</t>
  </si>
  <si>
    <t>517 Aloha Street</t>
  </si>
  <si>
    <t>hello@cut.com</t>
  </si>
  <si>
    <t>The company raised $1,499,950 of Series A venture funding from Comcast Ventures and other undisclosed investors on January 13, 2016, putting the company's pre-money valuation at $6.54 million.</t>
  </si>
  <si>
    <t>Comcast Ventures, Stripes39</t>
  </si>
  <si>
    <t>Comcast Ventures(www.comcastventures.com), Stripes39(www.stripes39.com)</t>
  </si>
  <si>
    <t>60249-97</t>
  </si>
  <si>
    <t>CustomInk</t>
  </si>
  <si>
    <t>Threadless, Everlane, Snaptee, Lyst, Spreadshirt</t>
  </si>
  <si>
    <t>Provider of an online platform intended to help users feel good and inspire them to do good as well. The company's online platform helps to design custom t-shirts for all life's events, enabling users to upload graphics onto t-shirts and buy them.</t>
  </si>
  <si>
    <t>Accessories, Clothing*, Specialty Retail</t>
  </si>
  <si>
    <t>apparel ecommerce, custom apparel, custom t-shirts, custom-made t-shirts, online custom apparel</t>
  </si>
  <si>
    <t>www.customink.com</t>
  </si>
  <si>
    <t>2000: 10, 2004: 95, 2010: 280, 2013: 800, 2014: 1000, 2016: 1600, 2017: 1600</t>
  </si>
  <si>
    <t>29182-42P</t>
  </si>
  <si>
    <t>Kevin Cheetham</t>
  </si>
  <si>
    <t>kcheetham@customink.com</t>
  </si>
  <si>
    <t>+1 (703) 891-2205</t>
  </si>
  <si>
    <t>Fairfax, VA</t>
  </si>
  <si>
    <t>2910 District Avenue</t>
  </si>
  <si>
    <t>Fairfax</t>
  </si>
  <si>
    <t>22031</t>
  </si>
  <si>
    <t>The company entered into a definitive agreement to receive an undisclosed amount of development capital from Great Hill Partners, HarbourVest Partners and GSO Capital Partners on April 4, 2019. As a result of the transaction, the company will be recapitalized. GSO Capital Partners is providing committed debt financing as well as an equity investment in connection with the transaction. Co-Founder Marc Katz will retain the major stake in the company. Previously, the company received an undisclosed amount of debt financing from ORIX Growth Capital and Square 1 Bank on November 15, 2016. The company is being actively tracked by PitchBook.</t>
  </si>
  <si>
    <t>BAM Ventures, Frederick Perkins, I2BF Global Ventures, Lawrence Miller, Mediphase Venture Partners, ORIX Growth Capital, Revolution, SWaN &amp; Legend Venture Partners</t>
  </si>
  <si>
    <t>Great Hill Partners, GSO Capital Partners, HarbourVest Partners</t>
  </si>
  <si>
    <t>BAM Ventures(www.bam.vc), I2BF Global Ventures(www.i2bf.com), Mediphase Venture Partners(www.mediphaseventure.com), Revolution(www.revolution.com), SWaN &amp; Legend Venture Partners(www.swanandlegend.com)</t>
  </si>
  <si>
    <t>Great Hill Partners(www.greathillpartners.com), GSO Capital Partners(www.gsocap.com), HarbourVest Partners(www.harbourvest.com)</t>
  </si>
  <si>
    <t>ComCap(Advisor: General), DLA Piper(Legal Advisor), The McLean Group(Advisor: General)</t>
  </si>
  <si>
    <t>DLA Piper(Legal Advisor), GSO Capital Partners(Debt Financing), Guggenheim Securities(Advisor: General), Morgan, Lewis &amp; Bockius(Legal Advisor), Oppenheimer &amp; Company(Advisor: General), ORIX Growth Capital(Debt Financing), Raymond James Financial(Advisor: General), Square 1 Bank(Lead Manager or Arranger)</t>
  </si>
  <si>
    <t>234030-07</t>
  </si>
  <si>
    <t>Cumulus Digital Systems</t>
  </si>
  <si>
    <t>Cumulus</t>
  </si>
  <si>
    <t>Konux, Alation, Predikto, Clockwork Solutions, Kyvos Insights, Wattics, Illuminate360, Movus, Uptake, Aquicore, Mnubo, Mind Foundry, EnTouch, Domo</t>
  </si>
  <si>
    <t>Developer of an internet of tools platform designed to manage the end-to-end workflow. The company's platform collects and structures data from digitally-enabled tools to verify the quality and duration of a task for real-time quality assurance and progress tracking, enabling business clients to deliver step-change improvements in facility safety, productivity and work quality.</t>
  </si>
  <si>
    <t>digital tools, digital tools platform, operations management platform, operations management software, quality assurance system, real time data analysis, workflow management platform</t>
  </si>
  <si>
    <t>cumulusds.com</t>
  </si>
  <si>
    <t>195579-37P</t>
  </si>
  <si>
    <t>Matthew Kleiman</t>
  </si>
  <si>
    <t>+1 (781) 406-4908</t>
  </si>
  <si>
    <t>68 Moulton Street</t>
  </si>
  <si>
    <t>The company raised $4.5 million of Seed funding in a deal led by Brick &amp; Mortar Ventures on December 19, 2018, putting the company's pre-money valuation at $6.75 million. Shell Ventures and Castor Ventures also participated in this round.</t>
  </si>
  <si>
    <t>Brick &amp; Mortar Ventures, Castor Ventures, Shell Ventures</t>
  </si>
  <si>
    <t>Brick &amp; Mortar Ventures(www.brickmortar.vc), Castor Ventures(www.castorventures.com)</t>
  </si>
  <si>
    <t>264537-46</t>
  </si>
  <si>
    <t>Cultivate Technology</t>
  </si>
  <si>
    <t>Cultivate</t>
  </si>
  <si>
    <t>Operator of leadership development platform designed to extract important organizational learning and unleash leadership potential. The company's platform uses AI-powered people analytics suite that provides real-time feedback and recommendations, enabling coach managers to be better leaders and strengthen workplace relationships in the digital age.</t>
  </si>
  <si>
    <t>leadership development, leadership development platform, people analytics, people analytics platform, people analytics software</t>
  </si>
  <si>
    <t>www.trycultivate.com</t>
  </si>
  <si>
    <t>203470-57P</t>
  </si>
  <si>
    <t>Andy Horng</t>
  </si>
  <si>
    <t>andy@cultivateai.com</t>
  </si>
  <si>
    <t>2 Embarcadero Center, 8th FL</t>
  </si>
  <si>
    <t>info@cultivateai.com</t>
  </si>
  <si>
    <t>The company raised $2 million of Seed funding in a deal led by Bloomberg Beta on December 3, 2018, putting the company's pre-money valuation at $4 million. Village Global, Samsung NEXT Ventures and Silicon Valley Data Capital also participated in the round.</t>
  </si>
  <si>
    <t>Bloomberg Beta, Samsung NEXT Ventures, Silicon Valley Data Capital, Village Global</t>
  </si>
  <si>
    <t>Bloomberg Beta(www.bloombergbeta.com), Samsung NEXT Ventures(www.samsungnext.com), Village Global(www.villageglobal.vc)</t>
  </si>
  <si>
    <t>166478-32</t>
  </si>
  <si>
    <t>Cuebiq</t>
  </si>
  <si>
    <t>Beintoo Inc.</t>
  </si>
  <si>
    <t>Placed, Foursquare, Talkwalker, Target Data, True Data (Data Application), Keen (IO), WebTrends, ListenFirst Media, Localytics, Sense360, Shareablee, Indix, Affinio, Engagement Labs, Cintric, Apsalar, Moat, Gravy Analytics, Zignal Labs, Eyeota, Turn, Velocidi, Quantcast, Streetbees, Twentify, StreetLight Data, Spotright, UberMedia, Digimind, Semantics3, Tubular (Video Intelligence Platform), NinthDecimal, Tamoco, Rentlytics, PlaceIQ, Pathful, Yext, Resonate Networks, BeMyEye, AppNexus, Unomer, comScore, RetailNext, Unacast, Factual, RoamlerRetail, Visual IQ</t>
  </si>
  <si>
    <t>Developer of a data intelligence platform designed to understand the offline consumer journey and analyze anonymous location patterns. The company's SaaS data intelligence platform offers geo-behavioral insights and offline location analytics, geo-behavioral audiences for cross-platform ad targeting and offline attribution analysis from more than 160 partner applications, enabling businesses to gain actionable insights about real-world consumer behaviors and trends.</t>
  </si>
  <si>
    <t>ai-driven saas platform, attribution analysis, behavior analytics, business intelligence platform, data intelligence, data intelligence software, geo-behavioral insights, location analytics, location intelligence platform, trend analysis</t>
  </si>
  <si>
    <t>www.cuebiq.com</t>
  </si>
  <si>
    <t>2019: 168</t>
  </si>
  <si>
    <t>Competitor (New) AppNexus, Competitor (New) BeMyEye, Competitor (New) comScore, Competitor (New) Foursquare, Competitor (New) NinthDecimal, Competitor (New) Pathful, Competitor (New) PlaceIQ, Competitor (New) Tamoco, Competitor (New) Tubular (Video Intelligence Platform), Competitor (New) Unomer, Competitor (New) Yext</t>
  </si>
  <si>
    <t>41854-87P</t>
  </si>
  <si>
    <t>Antonio Tomarchio</t>
  </si>
  <si>
    <t>atomarchio@cuebiq.com</t>
  </si>
  <si>
    <t>15 West 27th Street</t>
  </si>
  <si>
    <t>9th floor</t>
  </si>
  <si>
    <t>The company raised $32.83 million through a combination of Series B venture funding in a deal led by Goldman Sachs Principal Strategic Investments (PSI), Nasdaq Ventures, DRW Venture Capital, Tribeca Venture Partners, Tribeca Angels and TLcom Capital on May 16, 2018, putting the company's pre-money valuation at $40 million. Other undisclosed investors also participated in the round. The company will use the funding for leveraging blockchain technology to create an open data marketplace to bring economic value not just to data companies and their clients, but also to end users.</t>
  </si>
  <si>
    <t>ARC Angel Fund, Balyasny Asset Management, DRW Venture Capital, Elevate Innovation Partners, Goldman Sachs Principal Strategic Investments, Innogest Capital, Nasdaq Ventures, Thomson Reuters, TLcom Capital, Tribeca Angels, Tribeca Venture Partners</t>
  </si>
  <si>
    <t>ARC Angel Fund(www.arcangelfund.com), Balyasny Asset Management(www.bamfunds.com), DRW Venture Capital(www.drwvc.com), Elevate Innovation Partners(www.eipfund.com), Innogest Capital(www.innogestcapital.com), Thomson Reuters(www.thomsonreuters.com), TLcom Capital(www.tlcomcapital.com), Tribeca Angels(www.tribecaangels.com), Tribeca Venture Partners(www.tribecavp.com)</t>
  </si>
  <si>
    <t>Koller Search Partners(Consulting)</t>
  </si>
  <si>
    <t>54032-32</t>
  </si>
  <si>
    <t>Cubility</t>
  </si>
  <si>
    <t>Virdrill</t>
  </si>
  <si>
    <t>Developer of drilling systems for the oil and gas industry. The company provides MudCube system, which replaces traditional technologies comprised of many components with a single enclosed and fully integrated system.</t>
  </si>
  <si>
    <t>Manufacturing, Oil &amp; Gas</t>
  </si>
  <si>
    <t>drilling oil, drilling system, drilling treatment, oil &amp; gas, oil and gas energy</t>
  </si>
  <si>
    <t>www.cubility.com</t>
  </si>
  <si>
    <t>2014: 32, 2016: 38</t>
  </si>
  <si>
    <t>People (New) Thomas Larsen, Chief Operating Officer &amp; Vice President, Business Development, Departure (New) Pål Sørli, Chief Operating Officer &amp; Chief Compliance Officer</t>
  </si>
  <si>
    <t>205432-48P</t>
  </si>
  <si>
    <t>Kai Preben Sæveland</t>
  </si>
  <si>
    <t>kps@cubility.com</t>
  </si>
  <si>
    <t>+47 91 31 21 60</t>
  </si>
  <si>
    <t>Sandnes, Norway</t>
  </si>
  <si>
    <t>Fabrikkveien 40</t>
  </si>
  <si>
    <t>Plan 5</t>
  </si>
  <si>
    <t>Sandnes</t>
  </si>
  <si>
    <t>4323</t>
  </si>
  <si>
    <t>+47 90 86 74 00</t>
  </si>
  <si>
    <t>info@cubility.com</t>
  </si>
  <si>
    <t>The company was acquired by Triton Partners through an LBO on March 25, 2014 for an undisclosed sum.</t>
  </si>
  <si>
    <t>Triton</t>
  </si>
  <si>
    <t>Chevron Technology Ventures, EV Private Equity, IPark</t>
  </si>
  <si>
    <t>Triton(www.triton-partners.com)</t>
  </si>
  <si>
    <t>EV Private Equity(www.evprivateequity.no), IPark(www.ipark.no/ipark)</t>
  </si>
  <si>
    <t>Alpha Corporate Finance(Advisor: General)</t>
  </si>
  <si>
    <t>171088-30</t>
  </si>
  <si>
    <t>Cuberg</t>
  </si>
  <si>
    <t>Developer of batteries intended to address the major challenges of lithium-ion battery technology. The company's batteries are based on high-performance electrolyte technology that offer increased energy density, high-power performance, improved safety, thermal stability and scalable processing, enabling its customers to get improved energy, enhanced shelf life and stability at elevated temperatures.</t>
  </si>
  <si>
    <t>Alternative Energy Equipment*, Energy Storage</t>
  </si>
  <si>
    <t>battery, battery developer, battery development, battery energy, clean energy, energy battery</t>
  </si>
  <si>
    <t>www.cuberg.net</t>
  </si>
  <si>
    <t>2017: 7</t>
  </si>
  <si>
    <t>160683-76P</t>
  </si>
  <si>
    <t>Richard Wang</t>
  </si>
  <si>
    <t>richard.wang@cuberg.net</t>
  </si>
  <si>
    <t>717 Potter Street</t>
  </si>
  <si>
    <t>info@cuberg.net</t>
  </si>
  <si>
    <t>The company raised $2 million of seed funding in a deal led by Boeing HorizonX on January 29, 2018, putting the company's pre-money valuation at $7 million. HPC Energy Services also participated in the round. The funds will be used to expand both the team and its research and development facilities. Earlier, the company received $375,000 of grant funding from CalSEED and an another undisclosed grantor in December 2017.</t>
  </si>
  <si>
    <t>Boeing HorizonX, CalSEED, Cyclotron Road, Lithion Power Group, Thomas McInerney, TomKat Center for Sustainable Energy</t>
  </si>
  <si>
    <t>CalSEED(calseed.fund), Cyclotron Road(www.cyclotronroad.org), Lithion Power Group(www.lithiongroup.com), Thomas McInerney(www.tgm.com), TomKat Center for Sustainable Energy(tomkat.stanford.edu)</t>
  </si>
  <si>
    <t>232520-23</t>
  </si>
  <si>
    <t>Cubcoats</t>
  </si>
  <si>
    <t>Manufacturer of wearable and playable sweatshirts intended to keep kids warm and entertained on every family outing. The company's sweatshirts are soft hooded that quickly convert into adorable stuffed animals which are made from soft, snuggly, machine washable fleece offered in eight variations including a Bear, Fox, Panda, Bunny, Puppy, Tiger, Whale and Kitty and includes a storytelling guide, enabling parents to leave a lasting, positive social impact and added peace of mind.</t>
  </si>
  <si>
    <t>Clothing*</t>
  </si>
  <si>
    <t>baby clothes, playable sweatshirts, stuffed animal sweatshirts, sweatshirts seller, sweatshirts selling, wearable stuffed animal</t>
  </si>
  <si>
    <t>www.cubcoats.com</t>
  </si>
  <si>
    <t>193178-98P</t>
  </si>
  <si>
    <t>Zac Park</t>
  </si>
  <si>
    <t>zac@cubcoats.com</t>
  </si>
  <si>
    <t>+1 (888) 765-5454</t>
  </si>
  <si>
    <t>2212 Corinth Avenue</t>
  </si>
  <si>
    <t>hello@cubcoats.com</t>
  </si>
  <si>
    <t>The company raised $4.85 million of seed funding from Dreamers VC, Major League Baseball Ventures and Jen Rubio on November 2, 2018. Michael Broukhim, Daniel Broukhim, Hilary Duff, Patrick Schwarzenegger and The Harmon Brothers also participated in the round. The funds will be used to expand the company's business reach.</t>
  </si>
  <si>
    <t>Daniel Broukhim, Dreamers VC, Hammerstone Capital, Hilary Duff, Jennifer Rubio, Major League Baseball Ventures, Michael Broukhim, Patrick Schwarzenegger, The Harmon Brothers</t>
  </si>
  <si>
    <t>Dreamers VC(www.dreamers.vc), Hammerstone Capital(www.hammerstonecapital.com), Michael Broukhim(www.michaelbroukhim.com), The Harmon Brothers(www.harmonbrothers.com)</t>
  </si>
  <si>
    <t>52894-81</t>
  </si>
  <si>
    <t>CTI Towers</t>
  </si>
  <si>
    <t>PCTEL</t>
  </si>
  <si>
    <t>Operator of wireless telecommunications towers intended to provide wireless carriers an opportunity to further continue network deployment. The company's wireless telecommunications towers lease tower space to wireless carriers, broadcasters, municipalities, utility companies and others with wireless communications needs, enabling them to avoid lengthy zoning processes to have towers constructed.</t>
  </si>
  <si>
    <t>telecommunication tower, tower space, wireless telecommunication tower</t>
  </si>
  <si>
    <t>www.ctitowers.com</t>
  </si>
  <si>
    <t>2015: 12, 2017: 18</t>
  </si>
  <si>
    <t>108496-99P</t>
  </si>
  <si>
    <t>Shane Ward</t>
  </si>
  <si>
    <t>sward@ctitowers.com</t>
  </si>
  <si>
    <t>+1 (508) 440-5780</t>
  </si>
  <si>
    <t>38 Pond Street</t>
  </si>
  <si>
    <t>+1 (508) 440-5765</t>
  </si>
  <si>
    <t>info@ctitowers.com</t>
  </si>
  <si>
    <t>The company received $20 million of debt financing in the form of a delayed-draw term loan (DDTL) from CTI Group on July 13, 2017. The term loan will be used to grow the company's portfolio via acquisitions, construction of new wireless towers and other wireless infrastructures as well as for working capital.</t>
  </si>
  <si>
    <t>CIT Group(Debt Financing)</t>
  </si>
  <si>
    <t>54097-12</t>
  </si>
  <si>
    <t>CTERA Networks</t>
  </si>
  <si>
    <t>Unitrends, Nasuni, Elastifile, StorPool, Dell EMC, Anuvio Technologies, ConnectWise, Nexenta, SwiftStack, Cleversafe, DataCore Software, Nutanix, Scality, E8 Storage, Syncplicity, ioFabric, Xopero, Datera, Rubrik, Druva, Symply, Box, Mirantis, NetApp, Tegile, FireLayers, Cloudian, Arkivum, Caringo, Accellion, NooBaa, Jungle Disk, Tintri, Hitachi Vantara, Continuum Managed Services, Zetta, Igneous Systems, Kofax, Parsec Labs, Reduxio Systems, IntraLinks, Citrix Systems, Intronis, ClearSky Data</t>
  </si>
  <si>
    <t>Operator of a platform intended to offer cloud storage services. The company's platform provides cloud storage enablement, revolutionizing storage, data protection and collaboration services, enabling service providers and enterprises to launch managed storage, backup, file sharing and mobile collaboration services using a single platform and based on the cloud storage infrastructure of their choice.</t>
  </si>
  <si>
    <t>cloud storage, cloud storage gateway, data protection software, files management, files management platform</t>
  </si>
  <si>
    <t>www.ctera.com</t>
  </si>
  <si>
    <t>2014: 78, 2015: 112</t>
  </si>
  <si>
    <t>62014-60P</t>
  </si>
  <si>
    <t>Shay Brin</t>
  </si>
  <si>
    <t>shay@ctera.com</t>
  </si>
  <si>
    <t>+1 (917) 768-7193</t>
  </si>
  <si>
    <t>Petah Tikvah, Israel</t>
  </si>
  <si>
    <t>25 Efal Street</t>
  </si>
  <si>
    <t>Petah Tikvah</t>
  </si>
  <si>
    <t>4951125</t>
  </si>
  <si>
    <t>+972 (0)3 679 9000</t>
  </si>
  <si>
    <t>info@ctera.com</t>
  </si>
  <si>
    <t>The company raised $30 million of Series D venture funding in a deal led by Red Dot Capital Partners on October 2, 2018. Cisco Investments, Singtel Innov8, Viola Group, Vintage Investment Partners, Benchmark Capital, Venrock and Bessemer Venture Partners also participated in the round. The new investment will be used for the expansion of company's global sales and delivery organization, with an emphasis on growth in Asia, and particularly in Southeast Asia and Singapore. In addition, it will be used to power the continued development of CTERA's patented file services technology. Previously, the company received an undisclosed amount of debt financing in the form of a secured debt from Viola Credit on January 1, 2018.</t>
  </si>
  <si>
    <t>Benchmark (San Francisco), Bessemer Venture Partners, Cisco Investments, James Altucher, Mark Hager, Red Dot Capital Partners, Singtel Innov8, Venrock, Vintage Investment Partners, Viola Group</t>
  </si>
  <si>
    <t>Benchmark (San Francisco)(www.benchmark.com), Bessemer Venture Partners(www.bvp.com), Cisco Investments(www.ciscoinvestments.com), James Altucher(jamesaltucher.com), Red Dot Capital Partners(www.red-dot.capital), Singtel Innov8(innov8.singtel.com), Venrock(www.venrock.com), Vintage Investment Partners(www.vintage-ip.com), Viola Group(www.viola-group.com)</t>
  </si>
  <si>
    <t>Gross Kleinhendler Hodak Halevy Greenberg &amp; Co.(Legal Advisor), Viola Credit(Debt Financing)</t>
  </si>
  <si>
    <t>53848-63</t>
  </si>
  <si>
    <t>Crystal Solar</t>
  </si>
  <si>
    <t>Developer of silicon solar wafer technology intended to alter the cost-efficiency equation for photovoltaics. The company's technology develops thin-film, single-crystalline silicon solar cells, enabling related industries to get high-efficiency solar panels at radically lower costs.</t>
  </si>
  <si>
    <t>silicon solar wafers, silicon solar wafers technology, single-crystalline cell, solar cell</t>
  </si>
  <si>
    <t>www.xtalsolar.com</t>
  </si>
  <si>
    <t>40195-36P</t>
  </si>
  <si>
    <t>David Bostwick</t>
  </si>
  <si>
    <t>info@xtalsolar.com</t>
  </si>
  <si>
    <t>+1 (408) 490-1340</t>
  </si>
  <si>
    <t>3050 Coronado Drive</t>
  </si>
  <si>
    <t>+1 (408) 727-1705</t>
  </si>
  <si>
    <t>The company received $3 million of grant funding from U.S. Department of Energy on September 15, 2016. Prior to this, the company raised $20 million of Series C venture funding in a deal led by Hanwha Chemical in December 2015, putting the company's pre-money valuation at $90 million. Oceanshore Ventures, Scatec, Applied Ventures, TEL Venture Capital and other undisclosed investors also participated in the round.</t>
  </si>
  <si>
    <t>Applied Ventures, Hanwha Chemical, National Renewable Energy Laboratory, Oceanshore Ventures, Scatec, SIIF, Sunshot Incubator Program, TEL Venture Capital, U.S. Department of Energy</t>
  </si>
  <si>
    <t>Hanwha Chemical(hcc.hanwha.co.kr), National Renewable Energy Laboratory(www.nrel.gov), Oceanshore Ventures(www.oceanshorevc.com), Scatec(www.scatec.no), TEL Venture Capital(www.tel.com/about/telvc.htm), U.S. Department of Energy(www.energy.gov)</t>
  </si>
  <si>
    <t>118157-50</t>
  </si>
  <si>
    <t>Crystal Knows</t>
  </si>
  <si>
    <t>Developer of an online application designed to evaluate communication techniques. The company's online application uses personality detection technology to evaluate an individual's information on public websites and match them to one of 64 personality types, enabling users to understand and communicate with each other better at work and in life.</t>
  </si>
  <si>
    <t>Application Software*, Communication Software, Media and Information Services (B2B)</t>
  </si>
  <si>
    <t>effective communication, evaluation, personality, personality detection, personality evaluation</t>
  </si>
  <si>
    <t>www.crystalknows.com</t>
  </si>
  <si>
    <t>2015: 7, 2016: 9</t>
  </si>
  <si>
    <t>50854-06P</t>
  </si>
  <si>
    <t>Andrew D'Agostino</t>
  </si>
  <si>
    <t>drew@crystalknows.com</t>
  </si>
  <si>
    <t>+1 (617) 556-3801</t>
  </si>
  <si>
    <t>Nashville, TN</t>
  </si>
  <si>
    <t>90 Oceanside Drive</t>
  </si>
  <si>
    <t>Nashville</t>
  </si>
  <si>
    <t>37024</t>
  </si>
  <si>
    <t>hello@crystalknows.com</t>
  </si>
  <si>
    <t>The company raised $5 million of Series B venture funding from Hemisphere Ventures, Birchmere Ventures, CEB and Salesforce Ventures on February 12, 2018. HubSpot also participated in the round. The funding will be used to make personality data more open, more useful and available to anyone.</t>
  </si>
  <si>
    <t>Alan Kane, Armando Biondi, Birchmere Ventures, CEB, David Hauser, Dmitry Kobyshev, Hari Raghavan, Hemisphere Ventures, HubSpot, Jake Cohen, Jeff Rich, Northeastern University's Venture Accelerator, Paul LaFontaine, Philip Beauregard, Salesforce Ventures</t>
  </si>
  <si>
    <t>Birchmere Ventures(www.birchmerevc.com), CEB(www.cebglobal.com), David Hauser(www.davidhauser.com), Hemisphere Ventures(www.hemisphere.com), HubSpot(www.hubspot.com), Northeastern University's Venture Accelerator(www.northeastern.edu/idea)</t>
  </si>
  <si>
    <t>12871-18</t>
  </si>
  <si>
    <t>Crystal Innovative Semiconductors</t>
  </si>
  <si>
    <t>Crystal IS</t>
  </si>
  <si>
    <t>Manufacturer of ultraviolet light emitting diodes (UV LEDs) based on aluminum nitride (AlN) substrate technology for water and air purification devices.</t>
  </si>
  <si>
    <t>ain substrates technology, air purification, optoelectronic devices, uv led, water purification</t>
  </si>
  <si>
    <t>cisuvc.com</t>
  </si>
  <si>
    <t>Asahi Kasei</t>
  </si>
  <si>
    <t>40355-47P</t>
  </si>
  <si>
    <t>Leo Schowalter</t>
  </si>
  <si>
    <t>leo@crystal-is.com</t>
  </si>
  <si>
    <t>+1 (518) 271-7375</t>
  </si>
  <si>
    <t>Troy, NY</t>
  </si>
  <si>
    <t>70 Cohoes Avenue</t>
  </si>
  <si>
    <t>Troy</t>
  </si>
  <si>
    <t>12183</t>
  </si>
  <si>
    <t>+1 (518) 271-7394</t>
  </si>
  <si>
    <t>The company was acquired by Asahi Kasei Corporation on January 11, 2012 for an undisclosed amount. The company is no longer tracked by PitchBook.</t>
  </si>
  <si>
    <t>180 Degree Capital, 3i Group, ARCH Venture Partners, Asahi Kasei Corporate Venture Capital, Credit Suisse, Individual Investor, Jerusalem Venture Partners, Linkmore, Lux Capital</t>
  </si>
  <si>
    <t>180 Degree Capital(www.180degreecapital.com), 3i Group(www.3i.com), ARCH Venture Partners(www.archventure.com), Asahi Kasei Corporate Venture Capital(www.asahikaseiventures.com), Credit Suisse(www.credit-suisse.com), Jerusalem Venture Partners(www.jvpvc.com), Lux Capital(www.luxcapital.com)</t>
  </si>
  <si>
    <t>Goodwin(Legal Advisor), Kidron Corporate Advisors(Advisor: General), Oppenheimer &amp; Company(Advisor: General)</t>
  </si>
  <si>
    <t>226905-76</t>
  </si>
  <si>
    <t>CryptoKitties</t>
  </si>
  <si>
    <t>Rare Bits</t>
  </si>
  <si>
    <t>Provider of an online platform intended to offer games built upon blockchain technology. The company's platform uses cryptocurrencies to buy, sell and trade virtual kittens, enabling users to track ownership securely.</t>
  </si>
  <si>
    <t>Application Software*, Entertainment Software, Financial Software</t>
  </si>
  <si>
    <t>Cryptocurrency/Blockchain, Gaming, TMT</t>
  </si>
  <si>
    <t>blockchain games, blockchain technology, cryptocurrency, gaming app</t>
  </si>
  <si>
    <t>www.cryptokitties.co</t>
  </si>
  <si>
    <t>2017: 18, 2018: 70</t>
  </si>
  <si>
    <t>182013-04P</t>
  </si>
  <si>
    <t>Bryce Bladon</t>
  </si>
  <si>
    <t>Co-Founder, Brand &amp; Communications</t>
  </si>
  <si>
    <t>bryce@dapperlabs.com</t>
  </si>
  <si>
    <t>meow@cryptokitties.co</t>
  </si>
  <si>
    <t>The company raised $15 million of Series A2 venture funding in a deal led by Venrock on November 1, 2018. Digital Currency Group, GV, Animoca Brands, HOF Capital, SV Angel, June Fund, Samsung NEXT Ventures, Rising Tide Fund, Andreessen Horowitz, Union Square Ventures, William Mougayar, Matthew Bellamy, John Pfeffer, Global Blockchain Innovative Capital, Coinfund and Hex Capital also participated in the round. The funds will be used to help Dapper Labs, a Canadian-founded company, expand locally and globally. Endeavor and aXiomatic also participated in the round.</t>
  </si>
  <si>
    <t>Andreessen Horowitz, Animoca Brands, Avichal Garg, aXiomatic, Balaji Srinavasian, Bill Tai, CAA Ventures, Coinfund, Compound, Digital Currency Group, Endeavor, Fred Ehrsam, Global Blockchain Innovative Capital, Green Bay Ventures, GV, Hex Capital, HOF Capital, Jeff Morris, John Pfeffer, Joshua Naussbaum, Joshua Stech, June Fund, Mark Pincus, Matthew Bellamy, Naval Ravikant, Rising Tide Fund, Samsung NEXT Ventures, SV Angel, Tyler Gaffney, Union Square Ventures, Venrock, Version One Ventures, William Mougayar, WndrCo, Yes VC</t>
  </si>
  <si>
    <t>Andreessen Horowitz(www.a16z.com), Animoca Brands(www.animocabrands.com), aXiomatic(www.axiomaticgaming.com), CAA Ventures(ventures.caa.com), Coinfund(coinfund.io), Compound(www.compound.vc), Digital Currency Group(www.dcg.co), Endeavor(www.endeavorco.com), Global Blockchain Innovative Capital(gbic.io), Green Bay Ventures(www.greenbayventures.com), GV(www.gv.com), HOF Capital(www.hofcap.com), June Fund(www.june.fund), Rising Tide Fund(www.rtf.vc), Samsung NEXT Ventures(www.samsungnext.com), SV Angel(www.svangel.com), Union Square Ventures(www.usv.com), Venrock(www.venrock.com), Version One Ventures(www.versionone.vc), WndrCo(www.wndrco.com), Yes VC(www.yes.vc)</t>
  </si>
  <si>
    <t>85884-22</t>
  </si>
  <si>
    <t>Crunchbase</t>
  </si>
  <si>
    <t>Dealogic, VC Experts, Zirra, DataFox, Mattermark, Craft, Infogroup, DueDil, Unomy, Owler, SalesLoft, Altares - D&amp;B, Infolegale, Yext, SugarCRM, Segment, Exitround, TransUnion Information Group, Tracx, RapidMiner, True Influence, Bombora, iCapital Network, Bureau van Dijk, Clearbit, Hoover's, Radius (Database Software), Tracxn, Oracle Data Cloud, Thomson Scientific, HubSpot, Ipreo, HG Insights, ProspectWise, Feedburner, Reach Analytics, CB Insights, AngelList</t>
  </si>
  <si>
    <t>Provider of a business information platform developed to discover innovative companies and the people behind them. The company's platform allows users to discover industry trends, investments and news about public and private companies globally, enabling clients to make data-driven business decisions.</t>
  </si>
  <si>
    <t>Financial Software, Media and Information Services (B2B)*, Vertical Market Software</t>
  </si>
  <si>
    <t>Artificial Intelligence &amp; Machine Learning, Big Data, FinTech, Mobile, SaaS, TMT</t>
  </si>
  <si>
    <t>business data analytics, business database, business information platform, company database, company information portal, data gathering platform, enterprise database, financial information, research platform</t>
  </si>
  <si>
    <t>www.crunchbase.com</t>
  </si>
  <si>
    <t>2014: 25, 2015: 29, 2017: 40</t>
  </si>
  <si>
    <t>115641-91P</t>
  </si>
  <si>
    <t>Jager McConnell</t>
  </si>
  <si>
    <t>jager@crunchbase.com</t>
  </si>
  <si>
    <t>410 Townsend Street</t>
  </si>
  <si>
    <t>feedback@crunchbase.com</t>
  </si>
  <si>
    <t>The company raised $18 million of Series B venture funding from lead investor Mayfield on April 6, 2017, putting the company's pre-money valuation at $52 million. AOL (NYSE: AOL), Emergence Capital Partners and other undisclosed investors also participated in the round. The company intends to use the funds to make more enhancements to its platform, accelerate development of new SaaS products and grow their team.</t>
  </si>
  <si>
    <t>AOL, Austin Ventures, Cowboy Ventures, Emergence Capital Partners, Felicis Ventures, Formation 8, Mayfield Fund, Salesforce Ventures, SV Angel</t>
  </si>
  <si>
    <t>AOL(www.aol.com), Austin Ventures(www.austinventures.com), Cowboy Ventures(www.cowboy.vc), Emergence Capital Partners(www.emcap.com), Felicis Ventures(www.felicis.com), Formation 8(www.formation8.com), Mayfield Fund(www.mayfield.com), SV Angel(www.svangel.com)</t>
  </si>
  <si>
    <t>52815-16</t>
  </si>
  <si>
    <t>CrowdTwist</t>
  </si>
  <si>
    <t>Bridge2 Solutions, Yotpo</t>
  </si>
  <si>
    <t>Developer of a loyalty platform designed to provide services to fan clubs. The company's platform offers a fan club model application, enabling fans to earn points for the stuff they do online and redeem those points for VIP experiences, packages and special artist promotions and contests.</t>
  </si>
  <si>
    <t>Application Software, Media and Information Services (B2B)*, Vertical Market Software</t>
  </si>
  <si>
    <t>loyalty platform, loyalty software, redeem rewards points, social networking platform</t>
  </si>
  <si>
    <t>www.crowdtwist.com</t>
  </si>
  <si>
    <t>49866-76P</t>
  </si>
  <si>
    <t>Scott Matthews</t>
  </si>
  <si>
    <t>scott@crowdtwist.com</t>
  </si>
  <si>
    <t>+1 (646) 845-0646</t>
  </si>
  <si>
    <t>110 East 23rd Street</t>
  </si>
  <si>
    <t>info@crowdtwist.com</t>
  </si>
  <si>
    <t>The company raised $9 million of Series B venture funding in a deal led by StarVest Partners on June 26, 2014, putting the company's pre-money valuation at $34.5 million. Bertelsmann Digital Media Investments, eonCapital, Fairhaven Capital Partners, MDC Ventures, SoftBank Capital and Techstars also participated in the round. Prior to this, the company raised $21,000 of angel funding from 9 individual investors on February 26, 2014.</t>
  </si>
  <si>
    <t>Andrew Frawley, Bertelsmann Digital Media Investments, Bob Pasker, Calvin Wong, Christian Brucculeri, David Carlson, Eastward Capital Partners, eonCapital, Fairhaven Capital Partners, Jason Finger, Lerer Hippeau, MDC Ventures, Peter Chen, Shaun Abrahamson, SoftBank Capital, StarVest Partners, Taylor Davidson, Techstars, Urs Cete</t>
  </si>
  <si>
    <t>Bertelsmann Digital Media Investments(www.bdmifund.com), Bob Pasker(blog.pasker.net), Eastward Capital Partners(www.eastwardcp.com), eonCapital(www.eoncapital.com), Fairhaven Capital Partners(www.fairhavencapital.com), Jason Finger(www.jasonfinger.com), Lerer Hippeau(www.lererhippeau.com), MDC Ventures(www.mdcventures.vc), SoftBank Capital(www.softbankvc.com), StarVest Partners(www.starvestpartners.com), Techstars(www.techstars.com)</t>
  </si>
  <si>
    <t>97025-32</t>
  </si>
  <si>
    <t>Crowdpac</t>
  </si>
  <si>
    <t>Developer of an online voting guide platform designed to give politics back to people. The company's platform makes it easier for citizens to learn about politicians, run for office, and to find and support political candidates that match their priorities and beliefs, enabling dollar donors to engage in the political process and get non-partisan political information.</t>
  </si>
  <si>
    <t>crowdfunding, crowdsourcing, political information, political intelligence, political news, voting guide</t>
  </si>
  <si>
    <t>www.crowdpac.com</t>
  </si>
  <si>
    <t>2014: 11, 2016: 18</t>
  </si>
  <si>
    <t>79360-30P</t>
  </si>
  <si>
    <t>Steve Hilton</t>
  </si>
  <si>
    <t>486 Bryant Street</t>
  </si>
  <si>
    <t>info@crowdpac.com</t>
  </si>
  <si>
    <t>The company raised $12.31 million of venture funding through a combination of debt and Series A equity from undisclosed investors on October 17, 2017, putting the company's pre-money valuation at $14.44 million.</t>
  </si>
  <si>
    <t>Bobby Yazdani, CAA Ventures, Correlation Ventures, Index Ventures (UK), InterWest Partners, New Enterprise Associates, Plug and Play Tech Center, SGH Capital, Signatures Capital, SV Angel</t>
  </si>
  <si>
    <t>CAA Ventures(ventures.caa.com), Correlation Ventures(www.correlationvc.com), Index Ventures (UK)(www.indexventures.com), InterWest Partners(www.interwest.com), New Enterprise Associates(www.nea.com), Plug and Play Tech Center(www.plugandplaytechcenter.com), SGH Capital(www.sghcapital.com), Signatures Capital(www.signaturescapital.com), SV Angel(www.svangel.com)</t>
  </si>
  <si>
    <t>Morrison &amp; Foerster(Legal Advisor), Odum Capital(Advisor: General)</t>
  </si>
  <si>
    <t>153333-55</t>
  </si>
  <si>
    <t>CrossLend</t>
  </si>
  <si>
    <t>LendKey, Lendio, BorrowersFirst, Prosper, Pave, Behalf, RateSetter, LendInvest, Insikt, LendingClub, Avant (Online Lending Firm), LendUp, LendingCrowd, Orchard App, Fundera, Tienda Pago, BFS Capital, CommonBond, QuarterSpot, Kabbage, IOU Financial, Credibly, Peerform, Crowdcube, MoneyKey, StreetShares, CrowdInvest (crowdfunding), InvestUP, FundedByMe, Funding Circle, OnDeck, Zopa</t>
  </si>
  <si>
    <t>Provider of a cross-border marketplace lending platform designed to make pan-European investments possible via a single platform. The company's platform connects private and institutional investors from low-interest rate countries with borrowers from high-interest rate countries and intermediates loans and securitizes them into bonds in which they can invest, enabling investors with attractive risk-return profiles and borrowers with attractive interest rates.</t>
  </si>
  <si>
    <t>Consumer Finance, Financial Software*, Social/Platform Software</t>
  </si>
  <si>
    <t>consumer lending platform, cross-border lending, crossborder lending marketplace, debt financing platform, digital credit intermediation, digital lending, digital lending platform, loans securitization, risk-return profiling</t>
  </si>
  <si>
    <t>www.crosslend.com</t>
  </si>
  <si>
    <t>2016: 55, 2017: 45, 2018: 40</t>
  </si>
  <si>
    <t>48723-76P</t>
  </si>
  <si>
    <t>Oliver Schimek</t>
  </si>
  <si>
    <t>oliver.schimek@crosslend.com</t>
  </si>
  <si>
    <t>+49 (0)30 2084 8810 0</t>
  </si>
  <si>
    <t>Kemperplatz 1</t>
  </si>
  <si>
    <t>10785</t>
  </si>
  <si>
    <t>institutional@crosslend.com</t>
  </si>
  <si>
    <t>The company raised EUR 14 million of venture funding in a deal led by Earlybird Venture Capital and ABN AMRO on September 6, 2018. SolarisBank, Luxembourg Future Fund and Lakestar also participated in the round. Previously, the company received an undisclosed amount of financing from SolarisBank in March, 2018.</t>
  </si>
  <si>
    <t>ABN AMRO Bank, Atlantic Labs, Christian Schmidt, CME Ventures, Earlybird Venture Capital, European Investment Fund, Kreos Capital, Lakestar, Luxembourg Future Fund, Northzone Ventures, Promus Ventures, SolarisBank</t>
  </si>
  <si>
    <t>ABN AMRO Bank(www.abnamro.com), Atlantic Labs(www.atlanticlabs.de), Earlybird Venture Capital(www.earlybird.com), European Investment Fund(www.eif.org), Kreos Capital(www.kreoscapital.com), Lakestar(www.lakestar.com), Northzone Ventures(www.northzone.com), Promus Ventures(www.promusventures.com), SolarisBank(www.solarisbank.com)</t>
  </si>
  <si>
    <t>172148-23</t>
  </si>
  <si>
    <t>Crossing Minds</t>
  </si>
  <si>
    <t>Developer of a cultural discovery platform designed to make the power of artificial intelligence accessible to everyone. The company's platform Hai uses advanced deep learning to understand human behavior through comprehensive taste analytics combined with technologies such as collaborative filtering, large data and data analysis, enabling users to get personalized push service recommendations.</t>
  </si>
  <si>
    <t>cultural discovery platform, discovery platform, personal artificial intelligence, personalized music, push service, recommendation engine, taste analytics</t>
  </si>
  <si>
    <t>crossingminds.com</t>
  </si>
  <si>
    <t>173120-86P</t>
  </si>
  <si>
    <t>Alexandre Robicquet</t>
  </si>
  <si>
    <t>alexandre@crossingminds.com</t>
  </si>
  <si>
    <t>Stanford, CA</t>
  </si>
  <si>
    <t>353 Serra Mall</t>
  </si>
  <si>
    <t>Stanford</t>
  </si>
  <si>
    <t>94305</t>
  </si>
  <si>
    <t>contact@crossingminds.com</t>
  </si>
  <si>
    <t>The company raised $3.5 million of seed funding from Index Ventures, Permutation Ventures, Cassius Family and You &amp; Mr Jones Brandtech Ventures on July 15, 2017, putting the pre-money valuation at $13 million.</t>
  </si>
  <si>
    <t>Cassius Family, Index Ventures (UK), Permutation Ventures, StartX, You &amp; Mr Jones Brandtech Ventures</t>
  </si>
  <si>
    <t>Cassius Family(www.cassiusfamily.com), Index Ventures (UK)(www.indexventures.com), Permutation Ventures(www.permutationventures.com), StartX(www.startx.com)</t>
  </si>
  <si>
    <t>53461-00</t>
  </si>
  <si>
    <t>Cross Pixel</t>
  </si>
  <si>
    <t>Eyeota, Lotame Solutions, Infogroup, Hivewyre, Quaero, APEX Technologies Shanghai, Throtle, Thunder Industries, Nielsen Marketing Cloud, BlueKai, Oracle Data Cloud, Altdata, Bizo</t>
  </si>
  <si>
    <t>Provider of audience data and analysis services designed to cater to the needs of programmatic advertising industry. The company's audience data and programmatic analysis services develop a digital platform that helps to improve campaign performance and analyzes the shopping and research activity, enabling clients to drive campaign engagement.</t>
  </si>
  <si>
    <t>analysis, analysis service, audience data, online audience data, programmatic advertising</t>
  </si>
  <si>
    <t>www.crosspixel.net</t>
  </si>
  <si>
    <t>39538-45P</t>
  </si>
  <si>
    <t>Alan Pearlstein</t>
  </si>
  <si>
    <t>apearlstein@crosspixel.net</t>
  </si>
  <si>
    <t>+1 (646) 380-3663</t>
  </si>
  <si>
    <t>info@crosspixel.net</t>
  </si>
  <si>
    <t>The company received an undisclosed amount of debt financing in the form of a lien from Universal Funding on December 14, 2012.</t>
  </si>
  <si>
    <t>MDC Ventures</t>
  </si>
  <si>
    <t>MDC Ventures(www.mdcventures.vc)</t>
  </si>
  <si>
    <t>Universal Funding(Debt Financing)</t>
  </si>
  <si>
    <t>55493-65</t>
  </si>
  <si>
    <t>Criquet Shirts</t>
  </si>
  <si>
    <t>Rag &amp; bone Holdings</t>
  </si>
  <si>
    <t>Developer of vintage-inspired men's apparel. The company's products include vintage-inspired golf shirts, polos, button downs and sweaters that are inspired from iconic shirts recollected from the past as well as the occasional vintage store treasure.</t>
  </si>
  <si>
    <t>Accessories, Clothing*</t>
  </si>
  <si>
    <t>buttons downs, golf shirts, men's apparel, polos, sweaters</t>
  </si>
  <si>
    <t>www.criquetshirts.com</t>
  </si>
  <si>
    <t>2014: 3, 2016: 10</t>
  </si>
  <si>
    <t>43929-01P</t>
  </si>
  <si>
    <t>Hobson Brown</t>
  </si>
  <si>
    <t>Co-Founder, Head Marketing Pro, Board Member &amp; Promoter</t>
  </si>
  <si>
    <t>hobson@criquetshirts.com</t>
  </si>
  <si>
    <t>+1 (512) 291-3385</t>
  </si>
  <si>
    <t>1603 South 1st Street</t>
  </si>
  <si>
    <t>+1 (512) 436-9669</t>
  </si>
  <si>
    <t>The company closed on a $275,000 of convertible debt financing from undisclosed investors on January 2, 2018. Previously, the company raised $1.4 million of Series A venture funding led by CircleUp on September 1, 2016.</t>
  </si>
  <si>
    <t>CircleUp Network, Hammerstone Capital, SKU, Stage One Capital</t>
  </si>
  <si>
    <t>CircleUp Network(www.circleup.com), Hammerstone Capital(www.hammerstonecapital.com), SKU(www.sku.is), Stage One Capital(www.stage1capital.com)</t>
  </si>
  <si>
    <t>42531-94</t>
  </si>
  <si>
    <t>Credant Technologies</t>
  </si>
  <si>
    <t>Blue Secure Technologies</t>
  </si>
  <si>
    <t>Digital Guardian, Becrypt, Forcepoint, McAfee, MIRACL, Zscaler, Bromium, Cloudmark, WatchGuard Technologies, Kaspersky Lab, Wandera, Quarri, AirWatch, Lastline, Fine Tec (Value-Added Distributor in Network Security), ExtraHop Networks, Kaymera, Tanium, Bluebox, Cylance, Cyberbit, Exabeam, Arxan Technologies, V-Key, Awareness Technologies, Lookout, Mocana, CrowdStrike, Avast Software, LogRhythm, DataCore Software, Prevalent, Integris, Endgame, BluePex, Cyren, SonicWALL, Appthority, LockPath, Hypori, Spamina, Sophos, Securonix, Metalogix Software, Skybox Security, Prevalent AI, Absolute Software, Proofpoint, Menlo Security, MobileIron, Nexthink, Barracuda Networks, Prevoty, Secdo, Veeam, Dell EMC, Fiberlink Communications, Comodo Group, NetApp, Apperian, Interset, Palo Alto Networks</t>
  </si>
  <si>
    <t>Provider of data protection platform. The company's platform helps its users control, manage and protect data located on desktops, laptops, smartphones, removable media or private or public cloud infrastructures.</t>
  </si>
  <si>
    <t>data control, data management, data protection, data security</t>
  </si>
  <si>
    <t>www.credant.com</t>
  </si>
  <si>
    <t>2002: 20, 2003: 20, 2004: 45, 2005: 54, 2006: 75, 2007: 150, 2008: 115, 2009: 100, 2010: 100, 2011: 144, 2012: 139</t>
  </si>
  <si>
    <t>38626-93P</t>
  </si>
  <si>
    <t>David Becker</t>
  </si>
  <si>
    <t>dbecker@credant.com</t>
  </si>
  <si>
    <t>+1 (972) 458-5400</t>
  </si>
  <si>
    <t>Addison, TX</t>
  </si>
  <si>
    <t>15303 Dallas Parkway</t>
  </si>
  <si>
    <t>Suite 1420</t>
  </si>
  <si>
    <t>Addison</t>
  </si>
  <si>
    <t>75001</t>
  </si>
  <si>
    <t>+1 (972) 458-5454</t>
  </si>
  <si>
    <t>info@credant.com</t>
  </si>
  <si>
    <t>The company was acquired by Dell (NASDAQ:DELL) for an undisclosed amount on December 20, 2012.</t>
  </si>
  <si>
    <t>Dell</t>
  </si>
  <si>
    <t>Austin Ventures, Cisco Investments, Crescendo Ventures, Industry Ventures, Intel Capital, Menlo Ventures</t>
  </si>
  <si>
    <t>Austin Ventures(www.austinventures.com), Cisco Investments(www.ciscoinvestments.com), Crescendo Ventures(www.crescendoventures.com), Industry Ventures(www.industryventures.com), Intel Capital(www.intelcapital.com), Menlo Ventures(www.menlovc.com)</t>
  </si>
  <si>
    <t>55400-50</t>
  </si>
  <si>
    <t>CreativeLive</t>
  </si>
  <si>
    <t>MasterClass, Khan Academy, Codecademy, DataCamp, Coursera, Shaw Academy, Coursmos, Edureka, OpenSesame, Haiku Learning Systems, Udacity, Imagine Math, Jigsaw Academy, Lynda.com, Quipper, Edmodo, OpenStudy, Learning.com, Linux Academy, Pluralsight, TareasPlus, Udemy, Blackboard, Curious.com, Designlab, Teachers Pay Teachers, Skillshare</t>
  </si>
  <si>
    <t>Provider of an online open-course platform designed to bring out creativity in individuals. The company's online open-course platform offer live online classes in multiple disciplines, including photography, filmmaking and Web designs, enabling users to watch the live classes for free or purchase copies of the courses for a fee to enhance their creativity.</t>
  </si>
  <si>
    <t>e-classroom, e-learning platform, open-course platform, photography, teaching software</t>
  </si>
  <si>
    <t>www.creativelive.com</t>
  </si>
  <si>
    <t>2013: 85, 2014: 129, 2015: 139</t>
  </si>
  <si>
    <t>43616-35P</t>
  </si>
  <si>
    <t>Chase Jarvis</t>
  </si>
  <si>
    <t>chase@creativelive.com</t>
  </si>
  <si>
    <t>+1 (206) 403-1395</t>
  </si>
  <si>
    <t>228 Dexter Avenue North</t>
  </si>
  <si>
    <t>+1 (206) 403-1396</t>
  </si>
  <si>
    <t>info@creativelive.com</t>
  </si>
  <si>
    <t>The company raised $25 million of Series C venture funding in a deal led by GSV Ventures May 17, 2017, putting the pre-money valuation at $110 million. REV Venture Partners, Jared Leto, Virgin.com, Greylock Partners, Creative Artists Agency, Richard Branson and Social Capital also participated in the round. The company intends to use the funds to continue growth of their consumer business, to accelerate innovation around their live and on-demand video platform and to scale their new enterprise offering. The company has raised total funding of $58.5 million to date.</t>
  </si>
  <si>
    <t>Arts Alliance, CAA Ventures, Comcast Ventures, Creative Artists Agency, Endeavor, Felicis Ventures, Greylock Partners, GSV AcceleraTE, GV, Individual Investor, Jared Leto, Learn Capital, Lepe Partners, Ramit Sethi, REV Venture Partners, Richard Branson, Social Capital, Timothy Ferriss, Tuesday Capital, Virgin (London)</t>
  </si>
  <si>
    <t>Arts Alliance(www.artsalliance.co.uk), CAA Ventures(ventures.caa.com), Comcast Ventures(www.comcastventures.com), Creative Artists Agency(www.caa.com), Endeavor(www.endeavorco.com), Felicis Ventures(www.felicis.com), Greylock Partners(www.greylock.com), GSV AcceleraTE(www.gsvaccelerate.com), GV(www.gv.com), Learn Capital(www.learncapital.com), Lepe Partners(www.lepepartners.com), Ramit Sethi(www.ramitsethi.com), REV Venture Partners(www.rev.vc), Social Capital(www.socialcapital.com), Timothy Ferriss(www.timferriss.com), Tuesday Capital(www.tuesday.vc), Virgin (London)(www.virgin.com)</t>
  </si>
  <si>
    <t>Goodwin(Legal Advisor), Lane Powell(Legal Advisor)</t>
  </si>
  <si>
    <t>59116-33</t>
  </si>
  <si>
    <t>Crave</t>
  </si>
  <si>
    <t>Lelo</t>
  </si>
  <si>
    <t>Developer of discreet sex toys for women. The company designs and manufactures intimate objects, including devices and jewelry for women.</t>
  </si>
  <si>
    <t>Electronics (B2C), Other Consumer Durables*</t>
  </si>
  <si>
    <t>FemTech, Manufacturing, TMT</t>
  </si>
  <si>
    <t>accessoriess, intimate, lifestyle product, sex toys, vibrator</t>
  </si>
  <si>
    <t>www.lovecrave.com</t>
  </si>
  <si>
    <t>2014: 11, 2015: 13, 2016: 12</t>
  </si>
  <si>
    <t>44397-28P</t>
  </si>
  <si>
    <t>Michael Topolovac</t>
  </si>
  <si>
    <t>michael@craveinnovations.com</t>
  </si>
  <si>
    <t>1234 Folsom Street</t>
  </si>
  <si>
    <t>The company raised $1.3 million of Series B angel funding from CircleUp, Angellist and other undisclosed investors on June 27, 2016. The company intends to use the funding to invest in inventory to support their increasing growth as well as make strategic long term investments to expand their product offerings. Previously, the company raised $52,976 of product crowdfunding on June 17, 2016.</t>
  </si>
  <si>
    <t>Alexander Gerko, AngelList, Chaotic Ventures, CircleUp Network, Click Ventures, Semyon Dukach</t>
  </si>
  <si>
    <t>AngelList(www.angel.co), CircleUp Network(www.circleup.com), Click Ventures(www.clickventures.vc), Semyon Dukach(www.semyon.com)</t>
  </si>
  <si>
    <t>Venture Consultants(Valuation/Appraiser)</t>
  </si>
  <si>
    <t>52250-68</t>
  </si>
  <si>
    <t>CoverHound</t>
  </si>
  <si>
    <t>CIS</t>
  </si>
  <si>
    <t>Mylo Insurance, Clark (Digital Insurance Platform), PolicyGenius, Gravie, Compare.com, CoverWallet</t>
  </si>
  <si>
    <t>Provider of an online insurance marketplace designed to offer transparent choice and competitive rates for personal insurance needs. The company's marketplace provides instant, accurate rates with easy access, backed by personalized service, enabling people to search for, compare and buy auto and property insurance both through its own site and Google's insurance search.</t>
  </si>
  <si>
    <t>Information Services (B2C)*, Other Insurance</t>
  </si>
  <si>
    <t>InsurTech, TMT</t>
  </si>
  <si>
    <t>auto insurance, comparison software, insurance comparison, insurance platform, online insurance, online insurance comparison, online insurance marketplace, online insurance sales</t>
  </si>
  <si>
    <t>www.coverhound.com</t>
  </si>
  <si>
    <t>2012: 22, 2013: 40, 2014: 56, 2015: 134, 2016: 162</t>
  </si>
  <si>
    <t>46513-09P</t>
  </si>
  <si>
    <t>Keith Moore</t>
  </si>
  <si>
    <t>Chief Executive Officer, Executive Director and Board Member</t>
  </si>
  <si>
    <t>kmoore@cyberpolicy.com</t>
  </si>
  <si>
    <t>+1 (650) 332-4644</t>
  </si>
  <si>
    <t>1 California Street</t>
  </si>
  <si>
    <t>Sutie 1100</t>
  </si>
  <si>
    <t>+1 (415) 671-8128</t>
  </si>
  <si>
    <t>The company raised $58 million of Series D venture funding in a deal led by Hiscox on January 29, 2019, putting the company's pre-money valuation at $100 million. Chubb, Aflac Ventures and MS&amp;AD Insurance Group also participated in this round. The funds will be used by the company to expand its offices beyond San Francisco and Westlake Village, California to Charlotte, North Carolina.</t>
  </si>
  <si>
    <t>Aflac Ventures, American Family Ventures, AngelPad, Blumberg Capital, Bullpen Capital, Chubb, Core Innovation Capital, Hiscox, MS&amp;AD Insurance Group, Paul Sethi, Route 66 Ventures, RRE Ventures, Source Interlink Companies, Teamworthy Ventures, Thomas Korte, Thomas Lehrman, Todd Kimmel, Tugboat Group</t>
  </si>
  <si>
    <t>Aflac Ventures(www.aflacventures.com), American Family Ventures(www.amfamventures.com), AngelPad(www.angelpad.com), Blumberg Capital(www.blumbergcapital.com), Bullpen Capital(www.bullpencap.com), Chubb(www.chubb.com), Core Innovation Capital(www.corevc.com), Hiscox(www.hiscoxgroup.com), MS&amp;AD Insurance Group(www.ms-ad-hd.com), Route 66 Ventures(www.route66ventures.com), RRE Ventures(www.rre.com), Source Interlink Companies(www.sourceinterlinkdistribution.com), Teamworthy Ventures(www.teamworthy.com), Thomas Korte(www.thomaskorte.com), Tugboat Group(www.tugboatventures.com)</t>
  </si>
  <si>
    <t>107449-57</t>
  </si>
  <si>
    <t>CoverCress</t>
  </si>
  <si>
    <t>Arvegenix</t>
  </si>
  <si>
    <t>TerViva, Agrisoma, Kaiima</t>
  </si>
  <si>
    <t>Developer of field pennycress crops designed to grow as a winter crop. The company's crop is planted after corn in the fall and harvested in May, followed by soybeans in the rotation and helps hold on to soil and nutrients, enabling farmers to grow multiple crops in a year.</t>
  </si>
  <si>
    <t>Cultivation*, Other Agriculture</t>
  </si>
  <si>
    <t>biodiesel feed crop, cover crop, crop rotation, energy crop, food crop, pennycress, pennycress oil, renewable jet fuel</t>
  </si>
  <si>
    <t>www.covercress.com</t>
  </si>
  <si>
    <t>2015: 8, 2017: 12, 2018: 13, 2019: 13</t>
  </si>
  <si>
    <t>100140-67P</t>
  </si>
  <si>
    <t>Gerald Steiner</t>
  </si>
  <si>
    <t>jsteiner@covercress.com</t>
  </si>
  <si>
    <t>+1 (314) 942-3939</t>
  </si>
  <si>
    <t>1100 Corporate Square Drive</t>
  </si>
  <si>
    <t>Suite 135</t>
  </si>
  <si>
    <t>info@arvegenix.com</t>
  </si>
  <si>
    <t>The company raised $2.92 million of Series A1 venture funding in a deal led by Monsanto Growth Ventures and BioGenerator on December 21, 2018, putting the company's pre-money valuation at $10.6 million. Prolog Ventures, Prelude Ventures, Fulcrum Global Capital, Missouri Technology, Cultivation Capital, St. Louis Arch Angels and Tim Ulmasov also participated in the round. The company raised the funding to continue its development of a new crop through the 2019 season, building on the positive results from 2018.</t>
  </si>
  <si>
    <t>BioGenerator, Black Creek Group, Cultivation Capital, Fulcrum Global Capital, Helix Center Biotech Incubator, Helix Funds, Missouri Department of Economic Development, Missouri Technology, Monsanto Growth Ventures, Prelude Ventures, Prolog Ventures, St. Louis Arch Angels, St. Louis County Economic Council, Yield Lab</t>
  </si>
  <si>
    <t>BioGenerator(www.biogenerator.org), Black Creek Group(www.blackcreekgroup.com), Cultivation Capital(www.cultivationcapital.com), Fulcrum Global Capital(www.fgcvc.com), Helix Center Biotech Incubator(www.helixcenter.com), Helix Funds(www.helixfunds.com), Missouri Department of Economic Development(www.ded.mo.gov), Missouri Technology(www.missouritechnology.com), Prelude Ventures(www.preludeventures.com), Prolog Ventures(www.prologventures.com), St. Louis Arch Angels(www.stlouisarchangels.com), St. Louis County Economic Council(www.slcec.com), Yield Lab(www.theyieldlab.com)</t>
  </si>
  <si>
    <t>Greensfelder Hemker &amp; Gale(Legal Advisor), PNC(General Business Banking), Thompson Coburn(Legal Advisor)</t>
  </si>
  <si>
    <t>Greensfelder Hemker &amp; Gale(Legal Advisor), Thompson Coburn(Legal Advisor)</t>
  </si>
  <si>
    <t>154897-84</t>
  </si>
  <si>
    <t>Cover (Financial Software)</t>
  </si>
  <si>
    <t>Provider of an online insurance brokerage platform intended to compare insurance policies easily. The company's platform takes a picture of the property users want to insure, like cars, homes, pets and jewelry and using SaaS connects them with insurance partners to get improved price and coverage, enabling clients to auto-detect, and identify their property against an existing policy or a new one on the go.</t>
  </si>
  <si>
    <t>Financial Software*, Multi-line Insurance, Property and Casualty Insurance</t>
  </si>
  <si>
    <t>FinTech, InsurTech, Mobile, SaaS, TMT</t>
  </si>
  <si>
    <t>insurance brokerage, insurance comparison website, insurance marketplace, insurance price, insurance rated app</t>
  </si>
  <si>
    <t>www.cover.com</t>
  </si>
  <si>
    <t>69223-15P</t>
  </si>
  <si>
    <t>Karn Saroya</t>
  </si>
  <si>
    <t>karn@cover.com</t>
  </si>
  <si>
    <t>137 Noe Street</t>
  </si>
  <si>
    <t>hello@usecover.com</t>
  </si>
  <si>
    <t>The company raised $16 million of Series B venture funding in a deal led by Tribe Capital on October 2, 2018, putting the company's pre-money valuation at $75 million. Social Capital, EXOR Seeds, Samsung Venture Investment, and Y Combinator also participated in the round. The new round of funding will be used to scale the team and rapidly expand its insurance product offerings.</t>
  </si>
  <si>
    <t>Cherubic Ventures, Cota Capital, EXOR Seeds, Great Oaks Venture Capital, Maveron, OneEleven, Plug and Play Tech Center, Point Reyes Management, Samsung Venture Investment, SGH Capital, Shasta Ventures, Social Capital, SV Angel, Tencent Holdings, Tribe Capital, UpHonest Capital, Y Combinator</t>
  </si>
  <si>
    <t>Cherubic Ventures(www.cherubic.com), Cota Capital(www.cotacapital.com), Great Oaks Venture Capital(www.greatoaksvc.com), Maveron(www.maveron.com), OneEleven(www.oneeleven.com), Plug and Play Tech Center(www.plugandplaytechcenter.com), Point Reyes Management(www.efund.com), Samsung Venture Investment(www.samsungventures.com), SGH Capital(www.sghcapital.com), Shasta Ventures(www.shastaventures.com), Social Capital(www.socialcapital.com), SV Angel(www.svangel.com), Tencent Holdings(www.tencent.com), Tribe Capital(www.tribecap.co), UpHonest Capital(www.uphonestcapital.com), Y Combinator(www.ycombinator.com)</t>
  </si>
  <si>
    <t>222161-32</t>
  </si>
  <si>
    <t>Covariant.ai</t>
  </si>
  <si>
    <t>Embodied Intelligence, Inc.</t>
  </si>
  <si>
    <t>Developer of an AI software designed to teach robots new and complex skills. The company's software engages in deep imitation learning, deep reinforcement learning and meta-learning, enabling users to program a robot by simply donning a VR headset and guiding a robot through a task.</t>
  </si>
  <si>
    <t>Electrical Equipment, Other Software*</t>
  </si>
  <si>
    <t>Artificial Intelligence &amp; Machine Learning, Big Data, Industrials, TMT, Virtual Reality</t>
  </si>
  <si>
    <t>ai software platform, deep imitation learning, deep reinforcement learning, meta-learning, robots platform, robots programming</t>
  </si>
  <si>
    <t>www.covariant.ai</t>
  </si>
  <si>
    <t>174286-45P</t>
  </si>
  <si>
    <t>Peter Chen</t>
  </si>
  <si>
    <t>peter@embody.ai</t>
  </si>
  <si>
    <t>info@embody.ai</t>
  </si>
  <si>
    <t>The company raised $7 million of seed funding in a deal led by Amplify Partners on July 1, 2018, putting the company's pre-money valuation at $35 million. Baidu Ventures, SV Angel, Frees Fund, A.Capital Ventures, 11.2 Capital, Samsung NEXT Ventures and Lux Capital also participated in the round. The funds will be used to develop AI software that makes it easy to teach robots new, complex skills.</t>
  </si>
  <si>
    <t>11.2 Capital, A.Capital Ventures, Amplify Partners, Baidu Ventures, Frees Fund, Lux Capital, Samsung NEXT Ventures, SV Angel</t>
  </si>
  <si>
    <t>11.2 Capital(www.112capital.com), A.Capital Ventures(www.acapital.com), Amplify Partners(www.amplifypartners.com), Baidu Ventures(www.bv.ai), Frees Fund(www.freesvc.com), Lux Capital(www.luxcapital.com), Samsung NEXT Ventures(www.samsungnext.com), SV Angel(www.svangel.com)</t>
  </si>
  <si>
    <t>63560-62</t>
  </si>
  <si>
    <t>Covacsis</t>
  </si>
  <si>
    <t>TIBCO Software, PearlChain.net, John Galt, Epicor Software, Jaggaer, Vinculum Solutions, Diyotta, SAP, Feedzai, Xeeva, Lattice (Business/Productivity Software), eRequester, Apprenda, Ansys, Zendesk, Infor Global Solutions, Krohne Oil And Gas, Kenandy, Determine, Odoo, Extreme Networks, Onestream Software, Ramco Systems, Leadspace, Sisense, BigML, SAS Institute, Aptean, StudyStream Ltd, Biwer and Associates, Vaadin, CCH Tagetik, NetSuite</t>
  </si>
  <si>
    <t>Developer of a software designed to facilitate tracking of productivity in real time and connect disparate machines, controllers and devices. The company's software is a state-of-the-art platform that conceptualizes, designs and implements the Intelligent Plant Framework (IPF), enabling the business scale across manufacturing and production industries to redefine the value of next order and measure floor economics in real time.</t>
  </si>
  <si>
    <t>Manufacturing, SaaS, TMT</t>
  </si>
  <si>
    <t>productivity measurement, productivity tracking, real time tracking, shops floor software, tracking software</t>
  </si>
  <si>
    <t>www.covacsis.com</t>
  </si>
  <si>
    <t>2012: 33, 2014: 45</t>
  </si>
  <si>
    <t>81739-00P</t>
  </si>
  <si>
    <t>Tarun Mishra</t>
  </si>
  <si>
    <t>tarun@covacsis.com</t>
  </si>
  <si>
    <t>+91 (0)44 4862 1795</t>
  </si>
  <si>
    <t>SINE Office Annexe, 201, 2nd Floor</t>
  </si>
  <si>
    <t>DELTA Building, Hiranandani Gardens</t>
  </si>
  <si>
    <t>400076</t>
  </si>
  <si>
    <t>+91 (0)22 2570 0195</t>
  </si>
  <si>
    <t>The company raised an undisclosed amount of venture funding from Cisco Investments and GenNext Ventures on June 2, 2014. Earlier this year, the company raised an undisclosed amount of Series B venture funding in a deal led by GenNext Ventures on May 29, 2014. Blume Venture Advisors and other undisclosed investors also participated in this round. The funding helped the company get the right push on the technology and business front.</t>
  </si>
  <si>
    <t>Blume Venture Advisors, Cisco Investments, GenNext Ventures, India Venture Partners, Society for Innovation and Entrepreneurship</t>
  </si>
  <si>
    <t>Blume Venture Advisors(www.blume.vc), Cisco Investments(www.ciscoinvestments.com), India Venture Partners(www.indiavp.com), Society for Innovation and Entrepreneurship(www.sineiitb.org)</t>
  </si>
  <si>
    <t>53014-15</t>
  </si>
  <si>
    <t>CouponCabin</t>
  </si>
  <si>
    <t>Ebates.com, ShopAtHome.com, Fatwallet, Mydala</t>
  </si>
  <si>
    <t>Provider of printable and grocery coupons online. The company provides e-commerce services for retailers to market discounts for online and in-store purchases, providing consumers with coupon codes, printable coupons and grocery offers.</t>
  </si>
  <si>
    <t>Internet Retail*, Other Retail</t>
  </si>
  <si>
    <t>coupons coding, coupons provider, online coupon codes, shipping coupons</t>
  </si>
  <si>
    <t>www.couponcabin.com</t>
  </si>
  <si>
    <t>2004: 5, 2005: 5, 2006: 16, 2007: 16, 2008: 16, 2009: 16, 2010: 16, 2016: 51</t>
  </si>
  <si>
    <t>38961-82P</t>
  </si>
  <si>
    <t>Scott Kluth</t>
  </si>
  <si>
    <t>Founder, Owner &amp; Chief Executive Officer</t>
  </si>
  <si>
    <t>scott.kluth@couponcabin.com</t>
  </si>
  <si>
    <t>+1 (866) 732-9566</t>
  </si>
  <si>
    <t>Highland, IN</t>
  </si>
  <si>
    <t>9445 Indianapolis Boulevard</t>
  </si>
  <si>
    <t>Suite 157</t>
  </si>
  <si>
    <t>Highland</t>
  </si>
  <si>
    <t>46322</t>
  </si>
  <si>
    <t>JMI Equity and ORIX Growth Capital sold their stake in the company to undisclosed investors.</t>
  </si>
  <si>
    <t>JMI Equity, ORIX Growth Capital</t>
  </si>
  <si>
    <t>JMI Equity(www.jmi.com)</t>
  </si>
  <si>
    <t>Signal Hill Capital Group(Advisor: General)</t>
  </si>
  <si>
    <t>53389-36</t>
  </si>
  <si>
    <t>CounterTack</t>
  </si>
  <si>
    <t>NeuralIQ</t>
  </si>
  <si>
    <t>Cybereason, Interset, Apvera, Bay Dynamics, Elevate Security, Malwarebytes, Endgame, SentinelOne, Saviynt, Carbon Black, Minerva Labs, CrowdStrike, Invincea, Hyas, Cyberbit, Tanium, Niara, Uplevel, Bromium, Nyotron Information Security, Infocyte, EnSilo, Cymulate, Morphisec, Phantom Cyber, Exabeam, PhishLabs, E8 Security, Core Security (Acquired 2015), Ping Identity, Tenable, Duo Security, LockPath, McAfee, Zimperium, OneLogin, BitSight Technologies, Cylance, Ziften, AlgoSec, HAWK Network Defense, ForgeRock, Sqrrl, Skycure, Integris, SafeBreach, Securonix, Centrify, Secure Thingz, GoSecure, Iovation, Demisto, Confer Technologies, GuruCul, Wandera, Fidelis Cybersecurity, Darktrace, ZingBox, CyberReason</t>
  </si>
  <si>
    <t>Developer of an endpoint threat platform (ETP) designed to prevent advanced threats from damaging a business. The company's portfolio of integrated endpoint security products uses a unique combination of threat context, organizational resiliency and broad visibility to mitigate endpoint risk and reduce the impact of advanced attacks, enabling organizations and security teams to detect advanced security threats and targeted threat campaigns.</t>
  </si>
  <si>
    <t>cyber threat, endpoint security, endpoint threat platform, threat detection</t>
  </si>
  <si>
    <t>www.countertack.com</t>
  </si>
  <si>
    <t>2012: 91, 2013: 100, 2014: 3000, 2016: 85, 2017: 85</t>
  </si>
  <si>
    <t>39352-69P</t>
  </si>
  <si>
    <t>James Harrison</t>
  </si>
  <si>
    <t>jharrison@countertack.com</t>
  </si>
  <si>
    <t>+1 (855) 893-5428</t>
  </si>
  <si>
    <t>100 5th Avenue</t>
  </si>
  <si>
    <t>The company is seeking an estimated $29.5 million of Series D1 venture funding from Eastward Capital Partners and other undisclosed investors as of October 5, 2018, putting the company's pre-money valuation at $160 million.</t>
  </si>
  <si>
    <t>Alcatel-Lucent, Asadel Venture Partners, Atlas Accelerator, Eastward Capital Partners, EDBI, Fairhaven Capital Partners, Lucent Asset Management, ManTech International, Mitsui Global Investment, Next47, NTT Docomo Ventures, Razor's Edge Ventures, SAP National Security Services, Singtel Innov8, Ten Eleven Ventures, The Goldman Sachs Group</t>
  </si>
  <si>
    <t>Arsenal Growth</t>
  </si>
  <si>
    <t>Alcatel-Lucent(www.al-enterprise.com/en), Asadel Venture Partners(www.asadelgroup.com), Atlas Accelerator(www.atlasaccelerator.com), Eastward Capital Partners(www.eastwardcp.com), EDBI(www.edbi.com), Fairhaven Capital Partners(www.fairhavencapital.com), Mitsui Global Investment(www.mitsui-global.com), Next47(Next47.com), NTT Docomo Ventures(www.nttdocomo-v.com), Razor's Edge Ventures(www.razorsvc.com), SAP National Security Services(www.sapns2.com), Singtel Innov8(innov8.singtel.com), Ten Eleven Ventures(www.1011vc.com), The Goldman Sachs Group(www.goldmansachs.com)</t>
  </si>
  <si>
    <t>Arsenal Growth(www.arsenalgrowth.com)</t>
  </si>
  <si>
    <t>Arete Partners(Consulting), Daversa Partners(Consulting), Landmark Ventures(Advisor: General), Latham &amp; Watkins(Legal Advisor), Mintz, Levin, Cohn, Ferris, Glovsky and Popeo(Legal Advisor), Montgomery &amp; Company(Advisor: General), WilmerHale(Legal Advisor)</t>
  </si>
  <si>
    <t>Eastward Capital Partners(Debt Financing), Latham &amp; Watkins(Legal Advisor), Square 1 Bank(Debt Financing), WilmerHale(Legal Advisor)</t>
  </si>
  <si>
    <t>62205-58</t>
  </si>
  <si>
    <t>CosmoTech</t>
  </si>
  <si>
    <t>The CoSMo Company</t>
  </si>
  <si>
    <t>Digital Reasoning Systems, CognitiveScale, Leadspace, Aucerna, Sisense, Exceedra, Lattice (Business/Productivity Software), MondoBrain, Twigkit, Pentaho, o9 Solutions, Aviso, River Logic, Platfora, Symphony AyasdiAI, Jedox, MedeAnalytics, Squirro, Alteryx, Antuit, One Network Enterprises, Tidemark, Datameer, Kinaxis, ShipXpress, Fullcast.io, Astro</t>
  </si>
  <si>
    <t>Developer of a suite of decision support software systems to make optimal business decisions in the most complex environments. The company's modeling and simulation software systems transform raw data into organized knowledge and clear insights, as well as run multiple simulations on different scenarios, enabling clients to evaluate the consequences of a decision and be able to optimize it.</t>
  </si>
  <si>
    <t>decision management, decision management software, interconnected insights, modeling platform</t>
  </si>
  <si>
    <t>www.cosmotech.com</t>
  </si>
  <si>
    <t>2011: 5, 2014: 32, 2016: 54, 2017: 70</t>
  </si>
  <si>
    <t>127029-07P</t>
  </si>
  <si>
    <t>Laurent Hours</t>
  </si>
  <si>
    <t>laurent.hours@thecosmocompany.com</t>
  </si>
  <si>
    <t>+33 (0)4 37 66 71 57</t>
  </si>
  <si>
    <t>Lyon, France</t>
  </si>
  <si>
    <t>5 passage du Vercors</t>
  </si>
  <si>
    <t>Lyon</t>
  </si>
  <si>
    <t>69007</t>
  </si>
  <si>
    <t>The company raised $21 million of Series B venture funding in a deal led by Inven Capital on September 11, 2018. Total Energy Ventures, Sofimac Partners, BNP Paribas Développement, Crédit Agricole Finistère, Cathay Innovation, Aster Capital Partners and Cemag Invest also participated in the round. The company intends to use the funds to invest in human capital, accelerate the go-to-market for their software solutions and enhance their international growth through selected partners, with a strong focus on Europe.</t>
  </si>
  <si>
    <t>Aster Capital, BNP Paribas Développement, Cathay Innovation, Cemag Invest, Crealys, Crédit Agricole Finistère, Impact USA, Inven Capital, Sofimac Innovation, Total Energy Ventures</t>
  </si>
  <si>
    <t>Aster Capital(www.aster.com), BNP Paribas Développement(www.bnpparibasdeveloppement.com), Cathay Innovation(www.cathayinnovation.com), Cemag Invest(www.cemag-invest.com), Crealys(www.crealys.com), Crédit Agricole Finistère(www.ca-finistere.fr), Impact USA(www.impact-north-america.com), Inven Capital(www.invencapital.cz), Sofimac Innovation(www.sofimacinnovation.com)</t>
  </si>
  <si>
    <t>RM Global Partners(Advisor: General)</t>
  </si>
  <si>
    <t>Apparius Corporate Finance(Advisor: General), Bellecour Conseils(Advisor: General)</t>
  </si>
  <si>
    <t>52237-81</t>
  </si>
  <si>
    <t>Corvium</t>
  </si>
  <si>
    <t>Novophage Therapeutics, Sample6, Sample6 CONTROL</t>
  </si>
  <si>
    <t>Provider of synthetic biology based bacteria diagnostic technologies. The company offers diagnostic technologies to detect and control bacterial contamination in food industry.</t>
  </si>
  <si>
    <t>Impact Investing, Life Sciences</t>
  </si>
  <si>
    <t>antimicrobial treatment, bacteria diagnostic technology, bacterial contamination, bacterial infection, impact investing vertical</t>
  </si>
  <si>
    <t>www.corvium.com</t>
  </si>
  <si>
    <t>2014: 39, 2015: 44, 2016: 20</t>
  </si>
  <si>
    <t>37250-47P</t>
  </si>
  <si>
    <t>Michael Koeris</t>
  </si>
  <si>
    <t>Co-Founder, Chief Investment Officer &amp; Board Member</t>
  </si>
  <si>
    <t>mike@sample6tech.com</t>
  </si>
  <si>
    <t>12 Gill Street</t>
  </si>
  <si>
    <t>info@sample6.com</t>
  </si>
  <si>
    <t>The company raised $12.7 million of Series C venture funding led by Acre Venture Partners on August 22, 2016. Valley Oak Investments, Canaan Partners and Cultivian Sandbox Ventures also participated. The company intends to use the funds to commercialize its food pathogen detection system for food safety. The company has raised $32 million to date.</t>
  </si>
  <si>
    <t>Acre Venture Partners, Boston University Endowment, Canaan Partners, Chevron Technology Ventures, Cultivian Sandbox Ventures, Flybridge Capital Partners, Founder Collective, MassChallenge, National Science Foundation, Sandbox Industries, The Kraft Family Foundation, Valley Oak Investments</t>
  </si>
  <si>
    <t>Acre Venture Partners(www.acre.vc), Canaan Partners(www.canaan.com), Cultivian Sandbox Ventures(www.cultiviansbx.com), Flybridge Capital Partners(www.flybridge.com), Founder Collective(www.foundercollective.com), MassChallenge(www.masschallenge.org), National Science Foundation(seedfund.nsf.gov), Sandbox Industries(www.sandboxindustries.com), Valley Oak Investments(www.valleyoakinvestments.com)</t>
  </si>
  <si>
    <t>Horizon Technology Finance(Debt Financing), Massachusetts Life Sciences Center(Debt Financing)</t>
  </si>
  <si>
    <t>52362-10</t>
  </si>
  <si>
    <t>Corvil</t>
  </si>
  <si>
    <t>Measure Technology Ireland</t>
  </si>
  <si>
    <t>Kentik, Exinda, InfoVista, Cato Networks, Pluribus Networks, Adaptiv Networks, Pingdom Server Monitor, Paessler, Niksun, Sigma Resources and Technologies, SignalFx, Rigor, CENX, Polystar (Sweden), Mist Systems, Plumbr, Cloudflare, ScienceLogic, ExtraHop Networks, MYCOM OSI, Nexthink, Micro Focus, NS1, NetScout Systems, Zscaler, Extreme Networks, Knoa Software, Napatech, Aryaka, Aternity, Pertino, Sumo Logic, Forcepoint, CloudGenix, cPacket Networks, Gigamon, BMC Software, Oracle Dyn, Lakeside Software, Arbor Networks, Netronome, AppNeta, Accedian Networks, Alteryx, Riverbed Technology, Catchpoint, Nuage Networks, Auvik Networks, Anturis, Empirix, erwin, Dynatrace, Talari Networks, VeloCloud, Zuora, Embotics, Citrix Systems, AppDynamics, ShoreGroup, Lantronix, Midokura, CA Technologies, Big Switch Networks, LogRhythm, Symantec, Astrocom Corporation, Soasta, NetSuite, Snyk, Autotask, Opvizor, SparkCognition, Epicor Software, Ixia, Stackify, ThreatTrack Security</t>
  </si>
  <si>
    <t>Provider of electronic trading and market data latency management services designed to make it easy for everyone to access the full power of network data to safeguard their business in a machine world. The company's electronic trading and market data latency management services transforms network data into streaming machine-time intelligence to run business with full transparency, assured performance and continuous cyber surveillance of users, infrastructure, applications and services, enabling companies to adopt faster and smarter machine technology to tap into richer and more granular machine data sources.</t>
  </si>
  <si>
    <t>electronic trading solutions, market data latency, market data latency management, regtech vertical</t>
  </si>
  <si>
    <t>www.corvil.com</t>
  </si>
  <si>
    <t>2004: 56, 2009: 35, 2010: 45, 2014: 97, 2015: 112, 2016: 141</t>
  </si>
  <si>
    <t>38215-81P</t>
  </si>
  <si>
    <t>Sandra Bowen</t>
  </si>
  <si>
    <t>Vice President, Finance &amp; Legal Affairs</t>
  </si>
  <si>
    <t>sandra.bowen@corvil.com</t>
  </si>
  <si>
    <t>+1 (646) 454-2770</t>
  </si>
  <si>
    <t>6 Georges Dock</t>
  </si>
  <si>
    <t>IFSC</t>
  </si>
  <si>
    <t>D01 K5C7</t>
  </si>
  <si>
    <t>+353 (0)1 859 1000</t>
  </si>
  <si>
    <t>+353 (0)1 859 1099</t>
  </si>
  <si>
    <t>info@corvil.com</t>
  </si>
  <si>
    <t>Apax Partners sold its stake in the company to Azini Capital Partners for an undisclosed amount on November 8, 2010.</t>
  </si>
  <si>
    <t>ACT Venture Capital, Azini Capital Partners, Cisco Investments, Rally Ventures, Vesbridge Partners</t>
  </si>
  <si>
    <t>Apax Partners</t>
  </si>
  <si>
    <t>ACT Venture Capital(www.actventure.com), Azini Capital Partners(www.azini.com), Cisco Investments(www.ciscoinvestments.com), Rally Ventures(www.rallyventures.com), Vesbridge Partners(www.vesbridge.com)</t>
  </si>
  <si>
    <t>Apax Partners(www.apax.com)</t>
  </si>
  <si>
    <t>Matheson(Legal Advisor), William Fry(Legal Advisor)</t>
  </si>
  <si>
    <t>86504-05</t>
  </si>
  <si>
    <t>Cortona3D</t>
  </si>
  <si>
    <t>Inition</t>
  </si>
  <si>
    <t>Developer of 3D visual tools designed to offer fast, reliable and highly interactive viewers for 3D/2D content on various platforms. The company's 3D visual tools are used to transform design data into effective 3D product maintenance and training support materials, enabling companies to create simulations and associated texts simultaneously.</t>
  </si>
  <si>
    <t>Computers, Parts and Peripherals*, Multimedia and Design Software, Other Software</t>
  </si>
  <si>
    <t>3d visual communication, 3d visual communication system, 3d visual software, 3d visual tool, design data, publishing software</t>
  </si>
  <si>
    <t>www.cortona3d.com</t>
  </si>
  <si>
    <t>101537-11P</t>
  </si>
  <si>
    <t>George Pachikov</t>
  </si>
  <si>
    <t>george@cortona3d.com</t>
  </si>
  <si>
    <t>+353 (0)1 214 3380</t>
  </si>
  <si>
    <t>Block B, Unit 2</t>
  </si>
  <si>
    <t>Broomfield Business Park, Malahide</t>
  </si>
  <si>
    <t>+353 (0)1 214 3279</t>
  </si>
  <si>
    <t>info@cortona3d.com</t>
  </si>
  <si>
    <t>The company raised an undisclosed amount of Series A venture funding from Next47 on November 5, 2015.</t>
  </si>
  <si>
    <t>Mint Capital, Next47, Troika Dialog Group</t>
  </si>
  <si>
    <t>Mint Capital(www.mintcap.ru), Next47(Next47.com), Troika Dialog Group(www.troika.ru)</t>
  </si>
  <si>
    <t>10862-02</t>
  </si>
  <si>
    <t>Cortera</t>
  </si>
  <si>
    <t>eCredit.com</t>
  </si>
  <si>
    <t>Infogroup, Infolegale, TransUnion Information Group, SalesLoft, Unomy, Reach Analytics, Mattermark, Demandbase, Radius (Database Software), VC Experts, Ellisphere, RapidMiner, ProspectWise, EverString, Merkle, Segment, Clearbit, HG Insights, Dun &amp; Bradstreet NetProspex, Manta (Media and Information Services), Yext, DueDil, Ncontracts, PitchBook Data, Crunchbase, Datanyze, Zirra, CRIF, DataFox, LeadGenius, RapidRatings, Owler, Bisnode, Datamyx, SAS Institute, True Influence</t>
  </si>
  <si>
    <t>Provider of a commercial data analytics platform designed to offer relevant and timely business-to-business insights on both public and private companies. The company's online community based commercial credit ratings helps to solve problems and improve customer acquisition processes, enabling businesses to predict opportunity and risk from point of client acquisition through payment.</t>
  </si>
  <si>
    <t>business credit, business spending habit, commercial credit, credit rating, online credit reporting</t>
  </si>
  <si>
    <t>www.cortera.com</t>
  </si>
  <si>
    <t>2009: 58, 2010: 76, 2011: 91, 2012: 97, 2013: 99, 2014: 133, 2015: 130, 2016: 136</t>
  </si>
  <si>
    <t>30717-37P</t>
  </si>
  <si>
    <t>Michael Landis</t>
  </si>
  <si>
    <t>michael@cortera.com</t>
  </si>
  <si>
    <t>+1 (813) 286-8100</t>
  </si>
  <si>
    <t>901 Yamato Road</t>
  </si>
  <si>
    <t>Suite 210East</t>
  </si>
  <si>
    <t>+1 (877) 569-7376</t>
  </si>
  <si>
    <t>+1 (561) 290-0424</t>
  </si>
  <si>
    <t>The company raised $10 million of Series B venture funding in a deal led by Hearst Communications on September 20, 2018, putting the company's pre-money valuation at $95 million. Volition Capital, Battery Ventures, TomorrowVentures, and Allen &amp; Company also participated in the round.</t>
  </si>
  <si>
    <t>Allen &amp; Company, Bain Capital, Battery Ventures, CIBC Capital Partners, Eight Roads, Garvin Hill Capital Partners, Hearst Communications, ORIX Growth Capital, TomorrowVentures, Tribeca Venture Partners, Volition Capital</t>
  </si>
  <si>
    <t>Actua, Apex Venture Partners, North Hill Ventures, Sterling Partners Private Equity</t>
  </si>
  <si>
    <t>Allen &amp; Company(www.allenco.com), Bain Capital(www.baincapital.com), Battery Ventures(www.battery.com), Eight Roads(www.eightroads.com), Hearst Communications(www.hearst.com), TomorrowVentures(www.tomorrowvc.com), Tribeca Venture Partners(www.tribecavp.com), Volition Capital(www.volitioncapital.com)</t>
  </si>
  <si>
    <t>Apex Venture Partners(www.apexvc.com), North Hill Ventures(www.northhillventures.com), Sterling Partners Private Equity(privateequity.sterlingpartners.com)</t>
  </si>
  <si>
    <t>Bridge Bank(Debt Financing), Morris Manning &amp; Martin(Legal Advisor), ORIX Growth Capital(Debt Financing)</t>
  </si>
  <si>
    <t>166730-86</t>
  </si>
  <si>
    <t>Core Wellness</t>
  </si>
  <si>
    <t>Core</t>
  </si>
  <si>
    <t>Developer of meditating devices designed to make it easy and simple to do meditation daily. The company's devices sit on the nightstand, guide through personal meditation sessions and track the progress on the application, enabling users to improve their health through daily meditation.</t>
  </si>
  <si>
    <t>Other Consumer Durables*</t>
  </si>
  <si>
    <t>meditating devices, meditation guidance, meditation guides, meditation sessions, track stress level</t>
  </si>
  <si>
    <t>www.hellocore.com</t>
  </si>
  <si>
    <t>2016: 2, 2017: 4, 2019: 2</t>
  </si>
  <si>
    <t>146567-08P</t>
  </si>
  <si>
    <t>Sarah McDevitt</t>
  </si>
  <si>
    <t>sarah@corewellness.io</t>
  </si>
  <si>
    <t>team@corewellness.io</t>
  </si>
  <si>
    <t>The company raised $4 million of seed funding in a deal led by Spero Ventures on May 16, 2019. Bose Ventures, Bolt Innovation Group, V1.vc, Corigin Ventures, StartX and Tina Bou-Saba also participated in the round.</t>
  </si>
  <si>
    <t>Bolt Innovation Group, Bose Ventures, Corigin Ventures, Spero Ventures, StartX, Tina Bou-Saba, V1.vc</t>
  </si>
  <si>
    <t>Bolt Innovation Group(www.bolt.io), Bose Ventures(bose.ventures), Corigin Ventures(www.coriginventures.com), Spero Ventures(www.spero.vc), StartX(www.startx.com), Tina Bou-Saba(www.tinabousaba.com), V1.vc(www.v1.vc)</t>
  </si>
  <si>
    <t>233120-17</t>
  </si>
  <si>
    <t>Copado</t>
  </si>
  <si>
    <t>Developer of cloud-based release management platform intended to streamlined end-to-end release management solutions. The company's platform provides a complete release management solution with agile continuous delivery, version control, automated deployments, automated regression testing and rollbacks, enabling companies to manage errors proactively and offer better visibility and traceability of Salesforce orgs.</t>
  </si>
  <si>
    <t>Impact Investing</t>
  </si>
  <si>
    <t>automated compliance scan, automated testing, impact investing vertical, release management solutions, salesforce implementation, salesforce release management</t>
  </si>
  <si>
    <t>www.copado.com</t>
  </si>
  <si>
    <t>193894-39P</t>
  </si>
  <si>
    <t>Federico Larsen</t>
  </si>
  <si>
    <t>Co-Founder, Architect &amp; Chief Technology Officer</t>
  </si>
  <si>
    <t>flarsen@copado.com</t>
  </si>
  <si>
    <t>+34 91 056 1175</t>
  </si>
  <si>
    <t>Calle Basauri 6, planta 2, local 3</t>
  </si>
  <si>
    <t>28023</t>
  </si>
  <si>
    <t>The company raised EUR 7.5 million of Series A venture funding in a deal led by Insight Venture Partners on September 20, 2018. Salesforce Ventures also participated in this round. The funds will be used to expand the functionality of the company's product suite and support its continued global growth.</t>
  </si>
  <si>
    <t>Insight Partners, Salesforce Ventures</t>
  </si>
  <si>
    <t>Insight Partners(www.insightpartners.com)</t>
  </si>
  <si>
    <t>60032-08</t>
  </si>
  <si>
    <t>CoolaData</t>
  </si>
  <si>
    <t>ActionIQ, Datameer, Domo, GoodData, Amplitude, MixPanel, Segment, Birst, Natero, CleverTap, Woopra, Dundas Data Visualization, InsightSquared, Leanplum, Heap, Looker, Kyvos Insights, Periscope Data, Treasure Data, SAS Institute, Arcadia Data, Exasol, Xplenty, mParticle, Movable Ink, Totango, Kloudio, Interana, Sumo Logic, XPatterns, Viafoura, Stitch, OnCorps, Snowflake, DataTorrent, Brandwatch, Airship, Aptrinsic, Zoomdata, SugarCRM, Cohesity, AtScale, ClientSuccess, Aginity, Dataiku, ContentSquare, Vertica Systems, Qlik Technologies, Grow (Business/Productivity Software), RJMetrics, Akita, Endor, Kissmetrics, RichRelevance, Chartbeat, Infoworks, Loggly, Anova Data, Panoply (Application Software), CloudPhysics, Kahuna, Neura (Consumer Insights), Izenda, Swrve, MoEngage, WebTrends, Astronomer, Localytics, MammothDB, Micro Focus, Infor Global Solutions, Oracle</t>
  </si>
  <si>
    <t>Provider of a big data behavioral analytics and visualization platform designed to provide an insight on how users interact with a product. The company's platform covers all infrastructure components for cloud-based analytics and data warehousing, enabling online businesses to collect and unify data from various sources, such as websites, mobile applications, marketing campaigns and in-house databases, in order to gain necessary insights to make business, product and marketing decisions.</t>
  </si>
  <si>
    <t>behavioral analysis, behavioral analytics, behavioral analytics software, big data analysis, big data analytics, business intelligence</t>
  </si>
  <si>
    <t>www.cooladata.com</t>
  </si>
  <si>
    <t>2014: 26, 2016: 32</t>
  </si>
  <si>
    <t>55190-80P</t>
  </si>
  <si>
    <t>Tomer Ben Moshe</t>
  </si>
  <si>
    <t>tomer@cooladata.com</t>
  </si>
  <si>
    <t>30 Tuval Street</t>
  </si>
  <si>
    <t>info@cooladata.com</t>
  </si>
  <si>
    <t>The company raised an undisclosed amount of convertible debt funding from 83North on May 1, 2017. Previously, the company raised $5.6 million of Series B venture funding from Salesforce Ventures, TSVC Capital and Ataria Ventures on May 1, 2017. Viola Ventures and 83North also participated in the round.</t>
  </si>
  <si>
    <t>83North, Ataria Ventures, Salesforce Ventures, The Bridge by Coca-Cola, TSVC, Viola Ventures</t>
  </si>
  <si>
    <t>83North(www.83north.com), Ataria Ventures(www.atariaventures.com), The Bridge by Coca-Cola(www.thebridgebycocacola.com), TSVC(www.tsvcap.com)</t>
  </si>
  <si>
    <t>51277-24</t>
  </si>
  <si>
    <t>Cool Planet</t>
  </si>
  <si>
    <t>Cool Planet Energy Services</t>
  </si>
  <si>
    <t>Ensyn, LanzaTech</t>
  </si>
  <si>
    <t>Developer of an engineered biocarbon platform designed to improve soil health while sequestering carbon. The company's engineered biocarbon platform produces engineered biocarbon and renewable, carbon-negative fuels from biomass, enabling farmers to increase crop productivity with lower input costs, while removing greenhouse gas from the atmosphere.</t>
  </si>
  <si>
    <t>Alternative Energy Equipment, Energy Production*, Energy Refining</t>
  </si>
  <si>
    <t>AgTech, CleanTech, Oil &amp; Gas, TMT</t>
  </si>
  <si>
    <t>biocarbon, biochar, biofuel, carbon negative, carbon neutral, clean technology, engineers biocarbon, green technology, soil health</t>
  </si>
  <si>
    <t>www.coolplanet.com</t>
  </si>
  <si>
    <t>2012: 133, 2013: 160, 2014: 88, 2015: 35, 2016: 40, 2017: 40</t>
  </si>
  <si>
    <t>113368-33P</t>
  </si>
  <si>
    <t>James Loar</t>
  </si>
  <si>
    <t>jim.loar@coolplanet.com</t>
  </si>
  <si>
    <t>+1 (303) 221-2029</t>
  </si>
  <si>
    <t>Greenwood Village, CO</t>
  </si>
  <si>
    <t>Greenwood Village</t>
  </si>
  <si>
    <t>info@coolplanet.com</t>
  </si>
  <si>
    <t>The company raised $39.6 million of Series A venture funding in a deal led by North Bridge Venture Partners and Agustin Coppel on July 25, 2018. ARB also participated in the round. The company intends to use the funds to commercialize their Cool Terra Engineered Biocarbon business.</t>
  </si>
  <si>
    <t>AE Ventures, Agustin Coppel, ARB, BP Ventures, Concord Energy Holdings, ConocoPhillips Technology Ventures, Constellation Technology Ventures, Energy Technology Ventures, Exelon, GE Energy Financial Services, GE Ventures, GV, North Bridge Venture Partners, NRG Energy, Shea Ventures, Sustainable Conversion Ventures, The Goldman Sachs Group, UBS, Yung's Enterprise</t>
  </si>
  <si>
    <t>AE Ventures(www.ae-ventures.com), ARB(www.arbcinc.com), Concord Energy Holdings(www.concordenergy.com), Constellation Technology Ventures(www.technologyventures.constellation.com), Exelon(www.exeloncorp.com), GE Energy Financial Services(www.geenergyfinancialservices.com), GE Ventures(www.geventures.com), GV(www.gv.com), North Bridge Venture Partners(www.northbridge.com), NRG Energy(www.nrg.com), Sustainable Conversion Ventures(www.scvco.com), The Goldman Sachs Group(www.goldmansachs.com), UBS(www.ubs.com)</t>
  </si>
  <si>
    <t>J.P. Morgan(General Business Banking), Silicon Valley Bank(General Business Banking), Stradling Yocca Carlson &amp; Rauth(Legal Advisor)</t>
  </si>
  <si>
    <t>Scott Equipment (Louisiana)(Debt Financing), Stradling Yocca Carlson &amp; Rauth(Legal Advisor), United States Department of Agriculture(Debt Financing), WilmerHale(Legal Advisor)</t>
  </si>
  <si>
    <t>111324-25</t>
  </si>
  <si>
    <t>Cool Dry</t>
  </si>
  <si>
    <t>Developer of a radical technology platform intended to offer electronic clothes dryers. The company's technology is focused on long-wavelength RF heating technology development for clothes dryers, cooking and industrial applications, enabling clients to directly evaporate water providing significant benefits in fabric care and efficiency.</t>
  </si>
  <si>
    <t>electronic clothes dryer, electronic clothes dryers, heating technology, heating technology service</t>
  </si>
  <si>
    <t>www.cooldryrf.com</t>
  </si>
  <si>
    <t>97588-18P</t>
  </si>
  <si>
    <t>Pablo D'Anna</t>
  </si>
  <si>
    <t>pdanna@cooldryrf.com</t>
  </si>
  <si>
    <t>+1 (650) 762-9648</t>
  </si>
  <si>
    <t>Carmel-by-the-Sea, CA</t>
  </si>
  <si>
    <t>25400 Loma Robles Drive</t>
  </si>
  <si>
    <t>Carmel-by-the-Sea</t>
  </si>
  <si>
    <t>93923</t>
  </si>
  <si>
    <t>info@cooldryrf.com</t>
  </si>
  <si>
    <t>The company raised $3 million of convertible debt financing from Samsung Venture Investment on March 10, 2015.</t>
  </si>
  <si>
    <t>154044-55</t>
  </si>
  <si>
    <t>Control Tower</t>
  </si>
  <si>
    <t>Converge</t>
  </si>
  <si>
    <t>senseFly, Measure</t>
  </si>
  <si>
    <t>Developer of drones used for commercial purposes. The company develops drones which are used by insurance companies to survey and examine properties and buildings.</t>
  </si>
  <si>
    <t>commercial drones, drones maker</t>
  </si>
  <si>
    <t>www.control-tower.co</t>
  </si>
  <si>
    <t>120478-06P</t>
  </si>
  <si>
    <t>David Pitman</t>
  </si>
  <si>
    <t>dpitman@convergeindustries.com</t>
  </si>
  <si>
    <t>+1 (650) 449-7551</t>
  </si>
  <si>
    <t>Suite 94756</t>
  </si>
  <si>
    <t>hi@control-tower.co</t>
  </si>
  <si>
    <t>The company raised $750,000 of seed funding from Samsung NEXT, Techstars and Kima Ventures on January 25, 2018. Other angel investors also participated in the deal. The company intends to use the funds to develop and refine the software and grow their team.</t>
  </si>
  <si>
    <t>Kima Ventures, Right Side Capital Management, Samsung NEXT Ventures, Techstars</t>
  </si>
  <si>
    <t>Kima Ventures(www.kimaventures.com), Right Side Capital Management(www.rightsidecapital.com), Samsung NEXT Ventures(www.samsungnext.com), Techstars(www.techstars.com)</t>
  </si>
  <si>
    <t>231522-67</t>
  </si>
  <si>
    <t>Contract Wrangler</t>
  </si>
  <si>
    <t>Provide a Contract Action System designed to analyze and ensure implementation of contracts. The company's technology uses advanced attorney-trained machine learning technology to uncover hidden data in business relationships, enabling clients to maximize profitability and reduce risk.</t>
  </si>
  <si>
    <t>Business/Productivity Software*, Other Commercial Services, Other Software</t>
  </si>
  <si>
    <t>business contracting services, contract management, contract management software</t>
  </si>
  <si>
    <t>cw.contractwrangler.com</t>
  </si>
  <si>
    <t>191015-20P</t>
  </si>
  <si>
    <t>Neil Peretz</t>
  </si>
  <si>
    <t>Founder, General Counsel &amp; Board Member</t>
  </si>
  <si>
    <t>neil@contractwrangler.com</t>
  </si>
  <si>
    <t>+1 (415) 562-5093</t>
  </si>
  <si>
    <t>925 South Eldorado Street</t>
  </si>
  <si>
    <t>The company joined Plug and Play Tech Center as part of the Winter 2018 Batch 1 on September 27, 2018 and received an undisclosed amount in funding. Earlier, the company raised $4.75 million of seed funding in a deal led by Venrock on June 18, 2018, putting the company's pre-money valuation at $4.3 million. Kauffman Fellows, Sway Ventures, AV8 Ventures, and Correlation Ventures also participated in the round.</t>
  </si>
  <si>
    <t>AV8 Ventures, Correlation Ventures, Founder Friendly Labs, Kauffman Fellows, Lex Machina, Plug and Play Tech Center, Salesforce, SAP.iO Foundry, Sway Ventures, Venrock</t>
  </si>
  <si>
    <t>AV8 Ventures(www.av8.vc), Correlation Ventures(www.correlationvc.com), Founder Friendly Labs(www.joinffl.com), Kauffman Fellows(www.kauffmanfellows.org), Lex Machina(www.lexmachina.com), Plug and Play Tech Center(www.plugandplaytechcenter.com), Salesforce(www.salesforce.com), SAP.iO Foundry(sap.io), Sway Ventures(www.swayvc.com), Venrock(www.venrock.com)</t>
  </si>
  <si>
    <t>58213-54</t>
  </si>
  <si>
    <t>Contentful</t>
  </si>
  <si>
    <t>StorageRoom</t>
  </si>
  <si>
    <t>Umbraco, Contentstack, Alfresco Software, GraphCMS, Acquia, Sitecore, ADAM Software, Canto, BEKO Holding, Magnolia International, eZ Systems, Itizzimo, Mendix, Kinvey, SAP Hybris, Sisense, ButterCMS, SAP, Zendesk, SmartVault, TapClicks, Zesty.io, Lithium Technologies, OpenRatio, ApiOmat, DNN, Raven Tools, Pegasystems, Salesforce, Backendless, AOE, Raxar Technology, Crownpeak Technology, Richard Senior, Jaggaer, Orchestrate, Okta, Adobe Systems, Matrix42, Bynder, Kony, BMC Software, Splashtop, Connect IB, Ektron, Urchin Software, E-Spirit, CA Technologies, StudyStream Ltd, Seedup Incubator, InMoment, Airship, Strapi, Prismatic</t>
  </si>
  <si>
    <t>Provider of a content management platform designed to help digital teams to ship and iterate content faster, across all of their web applications, mobile applications and connected devices. The company's API-first Content Management System (CMS) platform provides the essential content infrastructure for projects, makes content accessible via APIs and editable in a CMS-like web application, enabling users to create, edit &amp; manage content in the cloud and publish it anywhere via a powerful API.</t>
  </si>
  <si>
    <t>content delivery api, content delivery tools, content distribution, content management api, content management infrastructure, content structure</t>
  </si>
  <si>
    <t>www.contentful.com</t>
  </si>
  <si>
    <t>2016: 60, 2017: 140, 2018: 205</t>
  </si>
  <si>
    <t>55793-80P</t>
  </si>
  <si>
    <t>Sascha Konietzke</t>
  </si>
  <si>
    <t>skonietzke@contentful.com</t>
  </si>
  <si>
    <t>+49 (0)30 4672 6094 1</t>
  </si>
  <si>
    <t>Ritterstraße 12-14</t>
  </si>
  <si>
    <t>The company raised $33.5 million of Series D venture funding in a deal led by Sapphire Ventures on December 5, 2018, putting the pre-money valuation at $217.35 million. Salesforce Ventures, Hercules, Balderton Capital, Benchmark Capital, General Catalyst and OMERS Ventures also participated in the round. The funds will be used to further strategic partnerships, expanding on the company's recently announced program and also to improve the practitioner experience, with enhanced authoring workflows and integrations with tools for optimization, personalization, and more.</t>
  </si>
  <si>
    <t>Alexander Brühl, Balderton Capital, Benchmark (San Francisco), Christoph Janz, General Catalyst, Heavybit, Hercules, Hercules Capital, OMERS Ventures, Point Nine Capital, Salesforce Ventures, Sapphire Ventures, Specialized Types, Trinity Ventures</t>
  </si>
  <si>
    <t>Balderton Capital(www.balderton.com), Benchmark (San Francisco)(www.benchmark.com), General Catalyst(www.generalcatalyst.com), Heavybit(www.heavybit.com), Hercules Capital(www.htgc.com), OMERS Ventures(www.omersventures.com), Point Nine Capital(www.pointninecap.com), Sapphire Ventures(www.sapphireventures.com), Specialized Types(www.specializedtypes.com), Trinity Ventures(www.trinityventures.com)</t>
  </si>
  <si>
    <t>Acelr8(Consulting)</t>
  </si>
  <si>
    <t>Armentum Partners(Advisor: General), LACORE Rechtsanwälte(Legal Advisor), Orrick, Herrington &amp; Sutcliffe(Legal Advisor), Roehrborn(Legal Advisor)</t>
  </si>
  <si>
    <t>100097-02</t>
  </si>
  <si>
    <t>Connora</t>
  </si>
  <si>
    <t>LiquiGlide</t>
  </si>
  <si>
    <t>Developer of recyclable composite materials designed to improve performance of thermoset composites. The company's Recyclamine thermoset technology helps in eliminating thermoset waste, reduces land-fill cost and re-incorporates waste back into the product eco-system, enabling clients to avail a range of epoxy formulations for various composite manufacturing processes at a cheaper rate.</t>
  </si>
  <si>
    <t>Environmental Services (B2B), Industrial Chemicals, Other Materials*</t>
  </si>
  <si>
    <t>environmental friendly product, epoxy formulation, recyclable composites materials, recyclable materials, sustainable product</t>
  </si>
  <si>
    <t>www.connoratech.com</t>
  </si>
  <si>
    <t>2014: 3, 2016: 6</t>
  </si>
  <si>
    <t>55478-53P</t>
  </si>
  <si>
    <t>Rey Banatao</t>
  </si>
  <si>
    <t>rey@entropyresins.com</t>
  </si>
  <si>
    <t>+1 (310) 882-2120</t>
  </si>
  <si>
    <t>1488 Zephyr Ave</t>
  </si>
  <si>
    <t>+1 (415) 315-9524</t>
  </si>
  <si>
    <t>info@connoratech.com</t>
  </si>
  <si>
    <t>The company received $730,000 of grant funding from National Science Foundation on October 18, 2016. The fund will be used to design and synthesize new recyclable polyamine structures. Previously, the company joined Plug and Play as part of the Elite Batch, and received and undisclosed in funding on October 28, 2015.</t>
  </si>
  <si>
    <t>Chemical Angel Network, EHF Capital, Entropy Research Lab, Kindred Ventures, National Science Foundation, Plug and Play Tech Center, Samsung Venture Investment</t>
  </si>
  <si>
    <t>Chemical Angel Network(chemicalangels.com), EHF Capital(www.ehfcapital.com), Kindred Ventures(www.kindredvc.com), National Science Foundation(seedfund.nsf.gov), Plug and Play Tech Center(www.plugandplaytechcenter.com), Samsung Venture Investment(www.samsungventures.com)</t>
  </si>
  <si>
    <t>Montgomery &amp; Hansen(Legal Advisor), Scrubbed.net(Accounting)</t>
  </si>
  <si>
    <t>Montgomery &amp; Hansen(Legal Advisor)</t>
  </si>
  <si>
    <t>149194-63</t>
  </si>
  <si>
    <t>ConnectMyEV</t>
  </si>
  <si>
    <t>Green-Dot-Charging</t>
  </si>
  <si>
    <t>Provider of smart and hands free chargers intended to help people to run Electric Vehicles (EVs) smoothly. The company's chargers use cross-connect technology to eliminate the need for precise vehicle positioning, as well as communicate with utility servers to acquire real-time pricing information, enabling clients to get a smart charging system while minimizing the overall cost to charge.</t>
  </si>
  <si>
    <t>Automotive, Electronics (B2C)*, Other Consumer Durables</t>
  </si>
  <si>
    <t>car charging, handsfree charging, power charging technology, wireless charging technology</t>
  </si>
  <si>
    <t>www.connectmyev.com</t>
  </si>
  <si>
    <t>2015: 2, 2018: 3</t>
  </si>
  <si>
    <t>122949-01P</t>
  </si>
  <si>
    <t>Satyajit Patwardhan</t>
  </si>
  <si>
    <t>satyajit@connectmyev.com</t>
  </si>
  <si>
    <t>+1 (510) 364-8280</t>
  </si>
  <si>
    <t>info@connectmyev.com</t>
  </si>
  <si>
    <t>The company raised $2.5 million of Series A venture funding from Stanley Ventures and other undisclosed investors on February 14, 2018, putting the company's pre-money valuation at $12.5 million. Earlier, the company joined Los Angeles Cleantech Incubator on October 31, 2017 and received an undisclosed amount in funding.</t>
  </si>
  <si>
    <t>autoXLR8R, California Technology Council, Los Angeles Cleantech Incubator, Stanley Ventures</t>
  </si>
  <si>
    <t>autoXLR8R(www.autoxlr8r.com), California Technology Council(www.californiatechnology.org), Los Angeles Cleantech Incubator(www.laincubator.org), Stanley Ventures(www.stanleyventures.com)</t>
  </si>
  <si>
    <t>KG Group CPA(Accounting), Wells Fargo(General Business Banking)</t>
  </si>
  <si>
    <t>125805-16</t>
  </si>
  <si>
    <t>Connected Signals</t>
  </si>
  <si>
    <t>Green Driver</t>
  </si>
  <si>
    <t>Traffic Technology Services, Live Traffic Data</t>
  </si>
  <si>
    <t>Developer of a connected vehicle data analytics platform intended to deliver real-time, predictive traffic signal data. The company's platform collects real-time traffic signal data and uses it to build models for predicting traffic signal changes, based on history, vehicle and pedestrian calls, as well as other information, enabling clients to increase safety at intersections, improve fuel economy and reduce emissions and driver stress.</t>
  </si>
  <si>
    <t>Application Software*, Automotive, Information Services (B2C)</t>
  </si>
  <si>
    <t>autonomous vehicles, connected car technology, real time traffic, smart cars app, traffic data analytics, traffic information, v2i</t>
  </si>
  <si>
    <t>www.connectedsignals.com</t>
  </si>
  <si>
    <t>2017: 13, 2018: 13</t>
  </si>
  <si>
    <t>116826-94P</t>
  </si>
  <si>
    <t>Matthew Ginsberg</t>
  </si>
  <si>
    <t>ginsberg@connectedsignals.com</t>
  </si>
  <si>
    <t>+1 (541) 654-5829</t>
  </si>
  <si>
    <t>Eugene, OR</t>
  </si>
  <si>
    <t>355 Goodpasture Island Road</t>
  </si>
  <si>
    <t>Eugene</t>
  </si>
  <si>
    <t>97401</t>
  </si>
  <si>
    <t>+1 (541) 654-5839</t>
  </si>
  <si>
    <t>info@connectedsignals.com</t>
  </si>
  <si>
    <t>The company raised $1.80 million of convertible debt financing from Deutsche Bahn Digital Ventures, Toyota AI Ventures and Alpine Electronics on November 26, 2018. Tech Coast Angels, Radical Investments, Omron Ventures, Rebel Venture Fund, Plug and Play Tech Center, Oriza Ventures, Benhamou Global Ventures and Sand Hill Angels also participated in the round.</t>
  </si>
  <si>
    <t>Alps Alpine, Autotech Ventures, Benhamou Global Ventures, Connexus Equity Management Partners, Deutsche Bahn Digital Ventures, Evolution VC Partners, Jim Brandt, LH Ventures, Mango Solutions, Marstar Investments, Omron Ventures, Oriza Ventures, Pasadena Angels, Paul Lanyi, Plug and Play Tech Center, Radical Investments, Rebel Venture Fund, Richard Jones, Russell Van Cleve, Sand Hill Angels, Tech Coast Angels, Toyota AI Ventures</t>
  </si>
  <si>
    <t>Alps Alpine(www.alpine.co.jp), Autotech Ventures(www.autotechvc.com), Benhamou Global Ventures(www.benhamouglobalventures.com), Connexus Equity Management Partners(www.connexuspartners.com), Deutsche Bahn Digital Ventures(www.deutschebahnventures.de), Evolution VC Partners(www.evolutionadvisorsllc.com), LH Ventures(www.lhventures.us), Mango Solutions(www.mangosolution.net), Oriza Ventures(www.orizaventures.com), Pasadena Angels(www.pasadenaangels.com), Plug and Play Tech Center(www.plugandplaytechcenter.com), Rebel Venture Fund(www.rebelventurefund.com), Sand Hill Angels(www.sandhillangels.com), Tech Coast Angels(www.techcoastangels.com), Toyota AI Ventures(www.toyota-ai.ventures)</t>
  </si>
  <si>
    <t>(Summit Bank)(General Business Banking), Cooley(Legal Advisor), Fenwick &amp; West(Legal Advisor)</t>
  </si>
  <si>
    <t>107933-50</t>
  </si>
  <si>
    <t>Conga</t>
  </si>
  <si>
    <t>SpringCM, Qorus Software, Kofax, RFPIO, SirionLabs, Entomo, SeamlessGov, Templafy, Icertis, Taulia, Keap (Saas Platform), SourceDay, Loopio, Contract Guardian, Qvidian, ScoutRFP, Vroozi, Nintex Global, ZorroSign, Fabasoft, eSUB Construction Software, EchoSign, PandaDoc, Bonfire (Business/Productivity Software), Marketo, Seal Software, Lattice (Business/Productivity Software), Base (Sales Platform), DocSend, Wax Digital, Apttus, Scanmarket, IntraLinks, Jaggaer, Actual Reports, Seismic (Business/Productivity Software), Pool4tool, Proposify, Contraqer, WebMerge, BuyerQuest, Determine, Drawloop Technologies, Salesforce, Raken, Offset Market Exchange, Accellion, ShareFile, Adobe Systems, SAVO Group, CommVault Systems, Dexter &amp; Chaney, Velocify, DocuSign, BuildingConnected, CRMnext, Vendavo, Proposable, Assignar, VendorHawk, Cobblestone Systems, InsideView, Simplus, PlanGrid, WatchDox</t>
  </si>
  <si>
    <t>Provider of an intelligent document automation platform designed to help businesses optimize their customer relationship management (CRM) investments. The company's platform creates more efficient organizations by simplifying and automating data, documents, contracts and reporting, enabling clients to accelerate sales processes, address compliance regulations, protect their brand, messages and report on actionable data.</t>
  </si>
  <si>
    <t>contract creation, contract management service, document generation, document generation software, next generation contract management, report-based document, reporting software, salesforce</t>
  </si>
  <si>
    <t>www.conga.com</t>
  </si>
  <si>
    <t>2015: 65, 2016: 115, 2017: 2500</t>
  </si>
  <si>
    <t>36914-05P</t>
  </si>
  <si>
    <t>Matthew Schiltz</t>
  </si>
  <si>
    <t>mschiltz@getconga.com</t>
  </si>
  <si>
    <t>+1 (303) 465-1616</t>
  </si>
  <si>
    <t>Westminster, CO</t>
  </si>
  <si>
    <t>7403 Church Ranch Boulevard</t>
  </si>
  <si>
    <t>Westminster</t>
  </si>
  <si>
    <t>info@congamerge.com</t>
  </si>
  <si>
    <t>The company received $90 million of debt financing from PNC, Silicon Valley Bank and Wells Fargo on August 17, 2018. The debt package included $10 million in revolving credit line and $80 in term loan A.</t>
  </si>
  <si>
    <t>Matter Communications(Advisor: General)</t>
  </si>
  <si>
    <t>Global Leveraged Capital(Advisor: General), KPMG Corporate Finance(Advisor: General), PNC(Debt Financing), Silicon Valley Bank(Debt Financing), Wells Fargo(Debt Financing)</t>
  </si>
  <si>
    <t>Term Loan A</t>
  </si>
  <si>
    <t>99847-90</t>
  </si>
  <si>
    <t>Conductor Tecnologia</t>
  </si>
  <si>
    <t>Conductor</t>
  </si>
  <si>
    <t>WePay, CoreCard Software, Technisys, Indus Software Technologies, nCino, Computer Services, FreeAgent Holdings, Digiliti Money, Nymbus, Wave Financial, Ellie Mae, D3 Banking, HelloWallet, Moven, DailyPay, FreshBooks, Lenddo, Fiserv, Toshl Finance, Temenos, CheckAlt, Finastra</t>
  </si>
  <si>
    <t>Provider of credit card processing services. The company's web-based processing platform enable the customers to get access to the digital application with fast, simple and functional integration that operate in synergy with their various business systems and processes.</t>
  </si>
  <si>
    <t>billing management, credit application processing, credit card processing, fraud prevention</t>
  </si>
  <si>
    <t>www.conductor.com.br</t>
  </si>
  <si>
    <t>2014: 501</t>
  </si>
  <si>
    <t>85814-11P</t>
  </si>
  <si>
    <t>Antonio Soares</t>
  </si>
  <si>
    <t>Chief Executive Officer &amp; Executive Director</t>
  </si>
  <si>
    <t>antonio.soares@conductor.com.br</t>
  </si>
  <si>
    <t>+55 01 13889 1800</t>
  </si>
  <si>
    <t>Avenida Tamboré, 267 - 26º e 27º</t>
  </si>
  <si>
    <t>Andares - Tamboré</t>
  </si>
  <si>
    <t>06460-000</t>
  </si>
  <si>
    <t>+55 01 13889 1805</t>
  </si>
  <si>
    <t>The company raised an undisclosed amount of venture funding from Visa Ventures in October, 2018. The investment reinforces the existing partnership between Visa and the company, as well as the companies' shared vision for driving adoption of digital payments across e-commerce and mobile commerce in Brazil.</t>
  </si>
  <si>
    <t>Riverwood Capital, Visa Ventures</t>
  </si>
  <si>
    <t>TMG Capital Partners</t>
  </si>
  <si>
    <t>Riverwood Capital(www.riverwoodcapital.com)</t>
  </si>
  <si>
    <t>TMG Capital Partners(www.tmg.com.br)</t>
  </si>
  <si>
    <t>Integration Consulting(Consulting)</t>
  </si>
  <si>
    <t>IGC Partners(Advisor: General)</t>
  </si>
  <si>
    <t>64308-43</t>
  </si>
  <si>
    <t>Conatix</t>
  </si>
  <si>
    <t>Provider of business research and consulting services intended to help companies do market and investment research faster and cheaper. The company's Knowledge Management as a Service (KaaS) system utilizes machine learning to build a semi-automated business intelligence system, enabling companies to discover, source, structure and share previously unstructured data and information.</t>
  </si>
  <si>
    <t>Business/Productivity Software*, Consulting Services (B2B), IT Consulting and Outsourcing</t>
  </si>
  <si>
    <t>business intelligence, business intelligence platform, business research, data intelligence, knowledge management service</t>
  </si>
  <si>
    <t>www.conatix.com</t>
  </si>
  <si>
    <t>70961-77P</t>
  </si>
  <si>
    <t>David Lehrer</t>
  </si>
  <si>
    <t>david.lehrer@conatix.com</t>
  </si>
  <si>
    <t>+1 (703) 996-0880</t>
  </si>
  <si>
    <t>+1 (703) 896-3067</t>
  </si>
  <si>
    <t>inquiry@conatix.com</t>
  </si>
  <si>
    <t>The company joined CyLon and received an undisclosed amount of funding on September 26, 2016.</t>
  </si>
  <si>
    <t>CyLon, MACH37, Right Side Capital Management</t>
  </si>
  <si>
    <t>CyLon(www.cylonlab.com), MACH37(www.mach37.com), Right Side Capital Management(www.rightsidecapital.com)</t>
  </si>
  <si>
    <t>148824-28</t>
  </si>
  <si>
    <t>Comparably</t>
  </si>
  <si>
    <t>Glassdoor</t>
  </si>
  <si>
    <t>Developer of an online platform intended to provide anonymous and comprehensive data on compensation, and insights into work culture. The company's platform provides compensation and culture data based on gender, years of experience, region and company size, and assesses employees' values and needs with respect to work-life balance, enabling clients to easily see how they stack up against their competitors.</t>
  </si>
  <si>
    <t>employee compensation review, employee culture data, equity calculator, jobs market monitoring, workplace culture analytics, workplace culture review platform</t>
  </si>
  <si>
    <t>www.comparably.com</t>
  </si>
  <si>
    <t>39127-60P</t>
  </si>
  <si>
    <t>Jason Nazar</t>
  </si>
  <si>
    <t>1316 3rd Street Promenade</t>
  </si>
  <si>
    <t>contact@comparably.com</t>
  </si>
  <si>
    <t>The company raised $7.25 million of Series A1 venture funding in a deal led by Greycroft Partners on January 27, 2017, putting the pre-money valuation at $25.48 million. Comcast Ventures, Crosslink Capital, Upfront Ventures, Lowercase Capital, Alpha Edison, Cornerstone on Demand, Accelerator Ventures, Bonfire Ventures, Nate Redmond and Rincon Ventures also participated. The company will use the funding to further develop tools to help monitor the job market while bringing more companies on board. With the round, the company has now raised a total of $14 million in funding to date.</t>
  </si>
  <si>
    <t>500 Startups, Acadian Ventures, Accelerator Ventures, Alpha Edison, BAM Ventures, Bonfire Ventures, Comcast Ventures, Cornerstone OnDemand, Crosscut Ventures, Crosslink Capital, David Sacks, Greycroft, Lowercase Capital, Ludlow Ventures, Nate Redmond, Pritzker Group Venture Capital, Rincon Venture Partners, Upfront Ventures</t>
  </si>
  <si>
    <t>500 Startups(www.500.co), Acadian Ventures(www.acadianventures.com), Accelerator Ventures(www.acceleratorventures.com), Alpha Edison(www.alphaedison.com), BAM Ventures(www.bam.vc), Bonfire Ventures(www.bonfirevc.com), Comcast Ventures(www.comcastventures.com), Crosscut Ventures(www.crosscut.vc), Crosslink Capital(www.crosslinkcapital.com), Greycroft(www.greycroft.com), Lowercase Capital(www.lowercasecapital.com), Ludlow Ventures(www.ludlowventures.com), Pritzker Group Venture Capital(www.pritzkergroup.com/venture-capital), Rincon Venture Partners(www.rinconvp.com), Upfront Ventures(www.upfront.com)</t>
  </si>
  <si>
    <t>52919-56</t>
  </si>
  <si>
    <t>CommVerge Solutions</t>
  </si>
  <si>
    <t>Cerillion Technologies, Oracle, Tomia</t>
  </si>
  <si>
    <t>Provider of network provision services designed to help carriers and service providers in the telecommunications industry. The company's network provision services include operation services, project management, network integration, technical support and network optimization and managed services, as well as enhance technology monitoring, network device management and audit services, enabling clients to integrate technology and business provisions.</t>
  </si>
  <si>
    <t>Other Commercial Services, Systems and Information Management*, Telecommunications Service Providers</t>
  </si>
  <si>
    <t>data center design, network device management, network integration, network optimization</t>
  </si>
  <si>
    <t>www.commverge.com</t>
  </si>
  <si>
    <t>2014: 200, 2016: 131</t>
  </si>
  <si>
    <t>39430-63P</t>
  </si>
  <si>
    <t>Edmund Wei</t>
  </si>
  <si>
    <t>Chief Executive Officer, Co-Founder &amp; President</t>
  </si>
  <si>
    <t>+852 2684 9918</t>
  </si>
  <si>
    <t>Unit 2308-2310, 23/F</t>
  </si>
  <si>
    <t>K.Wah Centre, 191 Java Road</t>
  </si>
  <si>
    <t>+852 2681 4898</t>
  </si>
  <si>
    <t>info@commverge.com</t>
  </si>
  <si>
    <t>The company raised $45.6 million of Series C venture funding from Meritech Capital Partners, Walden International and Sumitomo Corporation of Americas on March 25, 2002. Newton Technology Partners, Presidio Ventures, Oak Investment Partners, Worldview Technology Partners, Kratos Defense &amp; Security Solutions, PTI Group also participated in the round.</t>
  </si>
  <si>
    <t>Bridgescale, Kratos Defense &amp; Security Solutions, Meritech Capital Partners, Newton Technology Partners, Oak Investment Partners, Presidio Ventures, PTI Group, Sumitomo Corporation of Americas, Walden International, Worldview Technology Partners</t>
  </si>
  <si>
    <t>Bridgescale(www.bridgescale.com), Kratos Defense &amp; Security Solutions(www.kratosdefense.com), Meritech Capital Partners(www.meritechcapital.com), Newton Technology Partners(www.newtontp.com), Oak Investment Partners(www.oakinv.com), Presidio Ventures(www.presidio-ventures.com), PTI Group(www.ptigroup.com), Sumitomo Corporation of Americas(www.sumitomocorpofamericas.com), Walden International(www.waldenintl.com), Worldview Technology Partners(www.worldview.com)</t>
  </si>
  <si>
    <t>100386-01</t>
  </si>
  <si>
    <t>Color (Other Healthcare Services)</t>
  </si>
  <si>
    <t>Color Global</t>
  </si>
  <si>
    <t>Developer of genetic testing kits designed to be used for hereditary health issues.The company's kits include a device to provide a saliva sample that is sent back in a postage-paid package where it is analyzed and lists a record of hereditary disorders along with personalized screening guidelines, enabling users to take control of their health and create a personalized healthcare plan anytime.</t>
  </si>
  <si>
    <t>Internet Retail, Other Healthcare Services*, Social/Platform Software</t>
  </si>
  <si>
    <t>Digital Health, HealthTech, Life Sciences, Oncology, TMT</t>
  </si>
  <si>
    <t>cancer diagnostics, genetic company, genetic counseling, genetic services, genetic test, genetic testing</t>
  </si>
  <si>
    <t>www.color.com</t>
  </si>
  <si>
    <t>2015: 21, 2016: 50</t>
  </si>
  <si>
    <t>35823-34P</t>
  </si>
  <si>
    <t>Othman Laraki</t>
  </si>
  <si>
    <t>Co-founder, Chief Executive Officer &amp; Board Member</t>
  </si>
  <si>
    <t>othman@getcolor.com</t>
  </si>
  <si>
    <t>+1 (844) 352-6567</t>
  </si>
  <si>
    <t>1801 Murchison Drive</t>
  </si>
  <si>
    <t>Suite 128</t>
  </si>
  <si>
    <t>The company raised $89.44 million of Series C and C1 venture funding in a deal led by General Catalyst on July 17, 2017, putting the company's pre-money valuation at $310 million. Comcast Ventures, Foresite Capital Management, Fenox Venture Capital, Charles River Ventures, SignalFire, Emerson Collective and other undisclosed investors also participated in the round. This new funding enables the company to continue developing new tests for hereditary conditions and provides new services that help their clients to manage their own health. Earlier, the company raised $45 million of Series B venture funding in a deal led by General Catalyst on September 27, 2016, putting the company's pre-money valuation at $105 million. Khosla Ventures, Formation 8, Innovation Endeavors, Caffeinated Capital, Shasta Ventures, Kindred Ventures, 8VC, Paul Hewson (Bono), Susan L. Wagner and Emerson Collective also participated in the round.</t>
  </si>
  <si>
    <t>8VC, Aaron Levie, AME Cloud Ventures, Andrew Houston, Ann Mather, Ben Davenport, Caffeinated Capital, Charles River Ventures, Chloe Sladden, Clara Shih, Comcast Ventures, Emerson Collective, Eric Setton, Eric Wu, Farzad Nazem, Fenox Venture Capital, Foresite Capital Management, Formation 8, General Catalyst, Gokul Rajaram, Initialized Capital Management, Innovation Endeavors, Joshua Reeves, Julia Hartz, Kenneth Langone, Khosla Ventures, Kindred Ventures, Laurene Jobs, Lee Linden, Margaret Stewart, Mariam Naficy, Max Levchin, Nathaniel Turner, Nils Johnson, Nima Capital, Padmasree Warrior, Paul Hewson, Ray Bradford, Raymond Tonsing, Resolute Ventures, RONA Holdings, Ruchi Sanghvi, Samuel Lessin, Shasta Ventures, SignalFire, Stanley Druckenmiller, Sue Wagner, Susan Wagner, Terry Angelos, Zhiyuan Yang</t>
  </si>
  <si>
    <t>8VC(www.8vc.com), AME Cloud Ventures(www.amecloudventures.com), Caffeinated Capital(www.caffeinatedcapital.com), Charles River Ventures(www.crv.com), Comcast Ventures(www.comcastventures.com), Emerson Collective(www.emersoncollective.com), Fenox Venture Capital(www.fenoxvc.com), Foresite Capital Management(www.foresitecapital.com), Formation 8(www.formation8.com), General Catalyst(www.generalcatalyst.com), Initialized Capital Management(www.initialized.com), Innovation Endeavors(www.innovationendeavors.com), Khosla Ventures(www.khoslaventures.com), Kindred Ventures(www.kindredvc.com), Max Levchin(www.levchin.com), Nathaniel Turner(www.natsturner.com), Nima Capital(www.nimacap.com), Raymond Tonsing(www.angel.co/tonsing), Resolute Ventures(www.resolute.vc), RONA Holdings(www.ronaholdings.com), Samuel Lessin(www.wlessin.com), Shasta Ventures(www.shastaventures.com), SignalFire(www.signalfire.com)</t>
  </si>
  <si>
    <t>114568-30</t>
  </si>
  <si>
    <t>College Ave Student Loans</t>
  </si>
  <si>
    <t>College Ave</t>
  </si>
  <si>
    <t>CommonBond, Dana Cita, Earnest Operations, LendingHome, Credible Labs, WeFinance, Prosper, FUTR</t>
  </si>
  <si>
    <t>Developer of an online student loan platform designed to make getting a private student loan for college better. The company's College Ave Student Loans platform offers subsidized rates, flexible terms and an effective process to get loans for students and candidates while connecting them lenders, providing them with loans which are simple, clear and personalized.</t>
  </si>
  <si>
    <t>Financial Software, Social/Platform Software, Specialized Finance*</t>
  </si>
  <si>
    <t>student lending platform, student loans platform, subsidized rated loans</t>
  </si>
  <si>
    <t>www.collegeavestudentloans.com</t>
  </si>
  <si>
    <t>2015: 18, 2016: 48</t>
  </si>
  <si>
    <t>55192-87P</t>
  </si>
  <si>
    <t>Joseph DePaulo</t>
  </si>
  <si>
    <t>Chief Executive Officer, Chairman &amp; Co-Founder</t>
  </si>
  <si>
    <t>joe@collegeavestudentloans.com</t>
  </si>
  <si>
    <t>233 North King Street</t>
  </si>
  <si>
    <t>19801</t>
  </si>
  <si>
    <t>The company received $65 million of debt financing in the form of loan from Guggenheim Investments on February 21, 2019. Previously, the company raised $30 of Series D venture funding in a deal led by Comcast Ventures and Leading Edge Ventures on April 13, 2017. The capital raised will fuel College Ave's growth and enable expansion to meet the education financing needs of new market segments.</t>
  </si>
  <si>
    <t>Albert Lord, Comcast Ventures, DW Partners, Fenway Summer Ventures, Leading Edge Ventures, Moelis &amp; Company, NexPhase Capital, Pivot Investment Partners</t>
  </si>
  <si>
    <t>Comcast Ventures(www.comcastventures.com), DW Partners(www.dwpartners.com), Fenway Summer Ventures(www.fenwaysummer.com), Leading Edge Ventures(www.leadingedgevc.com), Moelis &amp; Company(www.moelis.com), NexPhase Capital(www.nexphase.com), Pivot Investment Partners(www.pivotinvestment.com)</t>
  </si>
  <si>
    <t>Milbank, Tweed, Hadley &amp; McCloy(Legal Advisor)</t>
  </si>
  <si>
    <t>Guggenheim Investments(Debt Financing), Milbank, Tweed, Hadley &amp; McCloy(Legal Advisor), Moelis &amp; Company(Advisor: General)</t>
  </si>
  <si>
    <t>83366-83</t>
  </si>
  <si>
    <t>Collax</t>
  </si>
  <si>
    <t>VMware</t>
  </si>
  <si>
    <t>Provider of Linux-based server technologies intended to cater to the needs of small and medium-sized enterprises (SME) and freelancers. The company's server technologies offer a Linux-based server that integrates critical security, network infrastructure and communication functions via an interface to give efficient IT platforms that are flexible, adaptable, stable and secure, enabling clients to avail flexible basis for business success, while ensuring maximum stability and security.</t>
  </si>
  <si>
    <t>Business/Productivity Software, Network Management Software*, Other IT Services</t>
  </si>
  <si>
    <t>enterprise server, linux, linux-based server, network infrastructure, security</t>
  </si>
  <si>
    <t>www.collax.com</t>
  </si>
  <si>
    <t>86077-90P</t>
  </si>
  <si>
    <t>Gabi Schwarz</t>
  </si>
  <si>
    <t>Marketing Director</t>
  </si>
  <si>
    <t>gabi.schwarz@collax.com</t>
  </si>
  <si>
    <t>+49 (0)89 9901 570</t>
  </si>
  <si>
    <t>Ismaning, Germany</t>
  </si>
  <si>
    <t>Gutenbergstr. 1</t>
  </si>
  <si>
    <t>Ismaning</t>
  </si>
  <si>
    <t>85737</t>
  </si>
  <si>
    <t>+49 (0)89 9901 5711</t>
  </si>
  <si>
    <t>info@collax.com</t>
  </si>
  <si>
    <t>Hasso Plattner Ventures sold its stake in the company to undisclosed investors on December 18, 2015.</t>
  </si>
  <si>
    <t>Atlas Venture, FH Think, Intel Capital, Wega Vermögensverwaltungs, Wellington Partners, Zoom Venture</t>
  </si>
  <si>
    <t>Atlas Venture(www.atlasventure.com), Intel Capital(www.intelcapital.com), Wellington Partners(www.wellington-partners.com)</t>
  </si>
  <si>
    <t>97180-48</t>
  </si>
  <si>
    <t>Cold Bore Technology</t>
  </si>
  <si>
    <t>Developer of down-hole sonic communication tools designed to identify down-hole events. The company's down-hole sonic communication tools uses proprietary acoustic technology to paint a picture of the down-hole environment and relays information from bit to surface by sending electrical signals up through the drill pipe to the surface. Once at the surface, these signals are interpreted into usable data, enabling drilling industry to see a real-time digital image of well surface.</t>
  </si>
  <si>
    <t>Business/Productivity Software, Other Energy*</t>
  </si>
  <si>
    <t>analytics system, down-hole sonic, sonic communication tool, sonic development, sonic technology</t>
  </si>
  <si>
    <t>www.coldboretechnology.com</t>
  </si>
  <si>
    <t>2015: 8, 2016: 10, 2017: 12</t>
  </si>
  <si>
    <t>99633-70P</t>
  </si>
  <si>
    <t>Blair Layton</t>
  </si>
  <si>
    <t>blair.layton@coldboretechnology.com</t>
  </si>
  <si>
    <t>+1 (403) 806-0088</t>
  </si>
  <si>
    <t>855 42 Avenue South East</t>
  </si>
  <si>
    <t>T2G 1Y8</t>
  </si>
  <si>
    <t>+1 (403) 806-1670</t>
  </si>
  <si>
    <t>info@coldboretechnology.com</t>
  </si>
  <si>
    <t>The company raised $2.30 million of financing from Rice Investment Group and other undisclosed investors on October 24, 2018.</t>
  </si>
  <si>
    <t>Business Instincts Group, Rice Investment Group, Zone Startups Calgary</t>
  </si>
  <si>
    <t>Business Instincts Group(www.businessinstincts.com), Rice Investment Group(www.riceinvestmentgroup.com), Zone Startups Calgary(calgary.zonestartups.com)</t>
  </si>
  <si>
    <t>BDO(Auditor), Clark Wilson(Legal Advisor), TD Bank Group(General Business Banking)</t>
  </si>
  <si>
    <t>Clark Wilson(Legal Advisor), Zelos Capital(Advisor: General)</t>
  </si>
  <si>
    <t>60101-47</t>
  </si>
  <si>
    <t>Coinfloor</t>
  </si>
  <si>
    <t>Huobi, Lykke, Tech Bureau, Coinigy, Coinbase, BitPesa, Bitstamp, Korbit, SFOX, Wirex, CoinCorner, Blockstream, COBINHOOD, Safello, BitMEX, Kraken, Bitwala, Coinapult, Crypto Platform Uphold, BitPay, e-BIT (Financial Services), Bitso, Axoni, ShapeShift, Blockchain, Quoine, LedgerX, Binance, Coinify, Bittrex, Blockchain Exchange Alliance, Bittylicious</t>
  </si>
  <si>
    <t>Provider of an online regulated platform designed to assist users in buying and selling of Bitcoins. The company's platform offers digital currency exchange which focuses on asset security and compliance with anti-money laundering regulations, enabling clients to safely and simply buy bitcoins in minutes.</t>
  </si>
  <si>
    <t>Application Software*, Other Financial Services, Social/Platform Software</t>
  </si>
  <si>
    <t>bitcoin, bitcoin trade, bitcoin trading, bitcoin trading platform, commissioning rates, currency</t>
  </si>
  <si>
    <t>www.coinfloor.co.uk</t>
  </si>
  <si>
    <t>2016: 6, 2018: 40</t>
  </si>
  <si>
    <t>55565-02P</t>
  </si>
  <si>
    <t>Mark Lamb</t>
  </si>
  <si>
    <t>Co-Founder, Board Member &amp; Commercial Director</t>
  </si>
  <si>
    <t>mark@coinfloor.co.uk</t>
  </si>
  <si>
    <t>1 Quality Court</t>
  </si>
  <si>
    <t>WC2A 1HR</t>
  </si>
  <si>
    <t>info@coinfloor.co.uk</t>
  </si>
  <si>
    <t>The company raised GBP 1.26 million of venture funding from undisclosed investors on July 18, 2017, putting the company's pre-money valuation at GBP 6.28 million.</t>
  </si>
  <si>
    <t>Adam Knight, DRW Venture Capital, Individual Investor, Passion Capital, Taavet Hinrikus</t>
  </si>
  <si>
    <t>DRW Venture Capital(www.drwvc.com), Passion Capital(www.passioncapital.com)</t>
  </si>
  <si>
    <t>Portfolio Ventures(Placement Agent)</t>
  </si>
  <si>
    <t>124838-11</t>
  </si>
  <si>
    <t>CoinFlip (Financial Software)</t>
  </si>
  <si>
    <t>Developer of an innovative benefits payment platform designed to offer electronic benefits and points to be applied as payments. The company's platform offers retailers and partners a wide range of integration options, including direct point of sale, loyalty platform, payment terminal, receipt scan and use of the ISO 8583 payment standard, enabling clients to reach a national footprint quickly, with the ability to deliver pay with points, restricted spend and savings programs to their membership base.</t>
  </si>
  <si>
    <t>Application Software*, Financial Software, Other Financial Services</t>
  </si>
  <si>
    <t>credit points, loyalty currency, payment application, travel rewards, un-networked fund</t>
  </si>
  <si>
    <t>www.coinflip.network</t>
  </si>
  <si>
    <t>95964-76P</t>
  </si>
  <si>
    <t>William Catania</t>
  </si>
  <si>
    <t>bill.catania@move247.net</t>
  </si>
  <si>
    <t>+1 (515) 218-8019</t>
  </si>
  <si>
    <t>3150 Porter Drive</t>
  </si>
  <si>
    <t>info@coinflipsolutions.com</t>
  </si>
  <si>
    <t>The company raised an estimated $6 million of Seed II funding from JetBlue Technology Ventures, Shoreline Venture Management and Heads or Tails Investments on June 14, 2018, putting the company's pre-money valuation at $10 million. The funds will be used to enable electronic benefits and points to be applied as payments.</t>
  </si>
  <si>
    <t>Heads or Tails Investments, JetBlue Technology Ventures, Shoreline Venture Management</t>
  </si>
  <si>
    <t>JetBlue Technology Ventures(www.jetblueventures.com), Shoreline Venture Management(www.shorelineventures.com)</t>
  </si>
  <si>
    <t>61488-73</t>
  </si>
  <si>
    <t>Cohesity</t>
  </si>
  <si>
    <t>Qumulo, Parsec Labs, Veeam, ClearSky Data, Asigra, SwiftStack, Scality, NooBaa, Sumo Logic, Tarmin, Maxta, StorageCraft Technology, Actifio, Panzura, Pure Storage, ioFabric, Acronis, DataCore Software, Druva, Egnyte, Arkivum, WekaIO, Avere Systems, Elastifile, Datera, E8 Storage, Violin Systems, Excelero, Nasuni, StorReduce, Infinite io, Rubrik, Veritas Technologies, Nutanix, ExaGrid, Dell EMC, Data Domain, CommVault</t>
  </si>
  <si>
    <t>Developer of a hyperconverged data platform designed to consolidate and manage secondary data at web scale. The company's platform provides distributed storage and consolidates all secondary data and associated management functions on one unified system, enabling enterprises to eliminate mass data fragmentation as well as protect, manage and leverage most important digital asset.</t>
  </si>
  <si>
    <t>backup system, data consolidation, data platform software, distributing storage system, enterprise storage, secondary data management, secondary data storage</t>
  </si>
  <si>
    <t>www.cohesity.com</t>
  </si>
  <si>
    <t>2015: 50, 2017: 300, 2018: 300, 2019: 1000</t>
  </si>
  <si>
    <t>36975-79P</t>
  </si>
  <si>
    <t>Mohit Aron</t>
  </si>
  <si>
    <t>mohit@cohesity.com</t>
  </si>
  <si>
    <t>+1 (855) 926-4374</t>
  </si>
  <si>
    <t>contact@cohesity.com</t>
  </si>
  <si>
    <t>The company raised $250 million of Series D venture funding in a deal led by SoftBank Investment Advisers on June 11, 2018, putting the company's pre-money valuation at $850 million. Cisco Investments, Hewlett Packard Pathfinder, Morgan Stanley Expansion Capital, Sequoia Capital, Battery Ventures, Trinity Ventures, Wing Venture Partners and other undisclosed investors also participated in the round. The funds will be used to power large-scale global expansion by attacking a problem that enterprises currently spend an estimated $60 billion each year to address using separate point solutions. This round brings total equity raised to $410 million to date.</t>
  </si>
  <si>
    <t>Accel, ARTIS Ventures, Battery Ventures, Cisco Investments, Digital Horizon Capital, Foundation Capital, GV, Hewlett Packard Pathfinder, InstantScale Ventures, KAAJ Ventures, Morgan Stanley Expansion Capital, Peter Wagner, Qualcomm Ventures, Sequoia Capital, SoftBank Investment Advisers, Trinity Ventures, TriplePoint Venture Growth, Wing Venture Capital</t>
  </si>
  <si>
    <t>Accel(www.accel.com), ARTIS Ventures(www.av.co), Battery Ventures(www.battery.com), Cisco Investments(www.ciscoinvestments.com), Digital Horizon Capital(www.dh.vc), Foundation Capital(www.foundationcapital.com), GV(www.gv.com), Hewlett Packard Pathfinder(www.hewlettpackardpathfinder.com), InstantScale Ventures(www.instantscale.com), KAAJ Ventures(www.kaajventures.com), Qualcomm Ventures(www.qualcommventures.com), Sequoia Capital(www.sequoiacap.com), SoftBank Investment Advisers(www.visionfund.com), Trinity Ventures(www.trinityventures.com), TriplePoint Venture Growth(www.tpvg.com), Wing Venture Capital(www.wing.vc)</t>
  </si>
  <si>
    <t>Daversa Partners(Consulting), DLA Piper(Legal Advisor), FutureEngine(Consulting), Gunderson Dettmer(Legal Advisor)</t>
  </si>
  <si>
    <t>DLA Piper(Legal Advisor), Gunderson Dettmer(Legal Advisor)</t>
  </si>
  <si>
    <t>97836-76</t>
  </si>
  <si>
    <t>CoheroHealth</t>
  </si>
  <si>
    <t>CoheroHealth LLC</t>
  </si>
  <si>
    <t>AiCure, Portavita, Gecko Health Innovations, Propeller Health, QuiO, myHealthPal, Common Sensing</t>
  </si>
  <si>
    <t>Developer of a healthcare application intended to transform respiratory disease management through smart mobile technology. The company's application helps to monitor health and tracks how often one use medications, as well as measures the condition of respiratory health, enabling users to stay fit and healthy.</t>
  </si>
  <si>
    <t>Application Software, Monitoring Equipment*, Other Healthcare Technology Systems</t>
  </si>
  <si>
    <t>adherence, adherence solutions, healthcare app, healthcare application, healthcare device, healthcare platform, healthcare technology, respiratory care, respiratory health</t>
  </si>
  <si>
    <t>www.coherohealth.com</t>
  </si>
  <si>
    <t>114589-18P</t>
  </si>
  <si>
    <t>Melissa Manice</t>
  </si>
  <si>
    <t>melissa@coherohealth.com</t>
  </si>
  <si>
    <t>contact@coherohealth.com</t>
  </si>
  <si>
    <t>The company raised $4 million of venture funding from BioAdvance on July 27, 2018. Previously, the company raised $13.34 million of Series A venture funding in a deal led by Three Leaf Ventures on February 1, 2017, putting the pre-money valuation at $16.31 million. Samsung NEXT Ventures, Omron Healthcare, Zaffre Investments, BioAdvance, StartUp Health, Guardian Capital (Chicago), ProCare Pharmacy Benefit Manager, GIS Strategic Ventures, Heitkamp &amp; Thumann Group, Swanhill Capital, Andrew Burns, P5 Health Ventures and other undisclosed investors also participated in the round. The funding will be used to further evolve BreatheSmart, expand its clinical trial program the product and to build out commercial infrastructure as well as product development and differentiation across the platform.</t>
  </si>
  <si>
    <t>Andrew Burns, BioAdvance, Company (Office Space), GIS Strategic Ventures, Guardian Capital (Chicago), Heitkamp &amp; Thumann, Omron Healthcare, P5 Health Ventures, Pacific 8 Ventures, ProCare Pharmacy Benefit Manager, Samsung NEXT Ventures, Springboard Enterprises, StartUp Health, Swanhill Capital, Three Leaf Ventures, Zaffre Investments</t>
  </si>
  <si>
    <t>BioAdvance(www.bioadvance.com), Company (Office Space)(www.company.co), Guardian Capital (Chicago)(www.guardian-cap.com), Heitkamp &amp; Thumann(www.ht-group.com), Omron Healthcare(www.omronhealthcare.com), P5 Health Ventures(www.p5hv.com), Pacific 8 Ventures(www.pac8.com), ProCare Pharmacy Benefit Manager(www.procarerx.com), Samsung NEXT Ventures(www.samsungnext.com), Springboard Enterprises(www.sb.co), StartUp Health(www.startuphealth.com), Swanhill Capital(www.swanhillcapital.com), Three Leaf Ventures(www.threeleafventures.com), Zaffre Investments(www.zaffreinvestments.com)</t>
  </si>
  <si>
    <t>57899-35</t>
  </si>
  <si>
    <t>Coherent Path</t>
  </si>
  <si>
    <t>GoodData, Datameer, Mnubo, Uptake, Domo, Clear Returns, DataTorrent</t>
  </si>
  <si>
    <t>Developer of email marketing services designed to transform the email program into a modern data-driven channel focused on revenue. The company's email marketing services help in self-optimizing campaigns to cross-sell existing customers, build engagement with new ones and drive impact in the product categories, enabling clients to generate more revenue.</t>
  </si>
  <si>
    <t>customer behavior, data driven strategy, email marketing, machine learning, marketing services</t>
  </si>
  <si>
    <t>www.coherentpath.com</t>
  </si>
  <si>
    <t>2014: 20, 2016: 25</t>
  </si>
  <si>
    <t>70757-65P</t>
  </si>
  <si>
    <t>James Glover</t>
  </si>
  <si>
    <t>Co-Founder, President, Director &amp; Chief Executive Officer</t>
  </si>
  <si>
    <t>james@coherentpath.com</t>
  </si>
  <si>
    <t>+1 (781) 325-6704</t>
  </si>
  <si>
    <t>Suite 4N</t>
  </si>
  <si>
    <t>+1 (617) 299-8512</t>
  </si>
  <si>
    <t>info@coherentpath.com</t>
  </si>
  <si>
    <t>The company raised $6.25 million of Series A venture funding in a deal led by Sigma Prime Ventures and GrandBanks Capital on June 25, 2014, putting the company's pre-money valuation at $11.61 million. Acadia Woods Partners, Converge Venture Partners, Boldstart Ventures, Jere Doyle, John Landry and dunnhumby Ventures also participated in the round. The money will be used to expand the company's sales and marketing teams. Previously, the company raised $795,001 of seed funding from Boldstart Ventures, Converge Venture Partners and Stage 1 Ventures on July 9, 2013, putting the company's pre-money valuation at $6.32 million. Other undisclosed investors also participated in that round.</t>
  </si>
  <si>
    <t>Acadia Woods Partners, Boldstart Ventures, Converge (Investor), dunnhumby Ventures, GrandBanks Capital, Jere Doyle, John Landry, Sigma Prime Ventures, Stage 1 Ventures</t>
  </si>
  <si>
    <t>Boldstart Ventures(www.boldstart.vc), Converge (Investor)(www.converge.vc), GrandBanks Capital(www.grandbankscapital.com), Sigma Prime Ventures(www.sigmaprime.com), Stage 1 Ventures(www.stage1ventures.com)</t>
  </si>
  <si>
    <t>231935-32</t>
  </si>
  <si>
    <t>Coherent AI</t>
  </si>
  <si>
    <t>Provider of a technology designed to develop and commercialize of holographic full-spectrum machine vision systems. The company's technology uses optoelectronics and artificial intelligence to enhance the performance of machine vision.</t>
  </si>
  <si>
    <t>holographic, holographic display, optoelectronics</t>
  </si>
  <si>
    <t>www.coherent.ai</t>
  </si>
  <si>
    <t>191881-27P</t>
  </si>
  <si>
    <t>Ken Wang</t>
  </si>
  <si>
    <t>ken.wang@coherent.ai</t>
  </si>
  <si>
    <t>Optics Valley</t>
  </si>
  <si>
    <t>info@coherent.ai</t>
  </si>
  <si>
    <t>The company raised RMB 100 million of Series A venture funding in a deal led by Sequoia Capital China on June 27, 2018, putting the company's pre-money valuation at RMB 900 million. Baidu Ventures, Legend Star, Dark Horse Venture, Green Pine Capital Partners and Chang'an Capital also participated in the round.</t>
  </si>
  <si>
    <t>Baidu Ventures, Chang'an Capital, Dark Horse Venture, Green Pine Capital Partners, Legend Star, Sequoia Capital China</t>
  </si>
  <si>
    <t>Baidu Ventures(www.bv.ai), Dark Horse Venture(en.iheima.com), Green Pine Capital Partners(pinevc.com.cn), Legend Star(www.legendstar.com.cn), Sequoia Capital China(www.sequoiacap.com/china)</t>
  </si>
  <si>
    <t>59043-79</t>
  </si>
  <si>
    <t>Cohere Technologies</t>
  </si>
  <si>
    <t>Vasona Networks</t>
  </si>
  <si>
    <t>Provider of cable access technologies intended to address the most critical issues facing wireless communications like - capacity, coverage and cost. The company's cable access technologies are the developer of Orthogonal Time Frequency Space (OTFS), a new modulation scheme that increases the capacity of wireless networks by multiple orders of magnitude relative to current modulation schemes, such as CDMA, TDMA or OFDM, enabling the global wireless connectivity industry to fulfill the ongoing increase in wireless bandwidth demand.</t>
  </si>
  <si>
    <t>cable access technology, modulation scheme, orthogonal time frequency space, wireless network</t>
  </si>
  <si>
    <t>www.cohere-technologies.com</t>
  </si>
  <si>
    <t>2014: 15, 2015: 15, 2016: 44</t>
  </si>
  <si>
    <t>96370-66P</t>
  </si>
  <si>
    <t>Shlomo Rakib</t>
  </si>
  <si>
    <t>shlomo@cohere-technologies.com</t>
  </si>
  <si>
    <t>+1 (408) 246-1277</t>
  </si>
  <si>
    <t>2550 Walsh Avenue</t>
  </si>
  <si>
    <t>95051</t>
  </si>
  <si>
    <t>info@cohere-technologies.com</t>
  </si>
  <si>
    <t>The company raised an undisclosed amount of venture funding from Presidio Ventures on March 1, 2018.</t>
  </si>
  <si>
    <t>AME Cloud Ventures, Big Basin Partners, Lightspeed Venture Partners, Macquarie Group, New Enterprise Associates, NexStar Partners, Presidio Ventures, Telstra Ventures</t>
  </si>
  <si>
    <t>AME Cloud Ventures(www.amecloudventures.com), Big Basin Partners(www.timark.net), Lightspeed Venture Partners(www.lsvp.com), Macquarie Group(www.macquarie.com), New Enterprise Associates(www.nea.com), NexStar Partners(www.nexstarpartners.com), Presidio Ventures(www.presidio-ventures.com), Telstra Ventures(www.telstraventures.com)</t>
  </si>
  <si>
    <t>55883-80</t>
  </si>
  <si>
    <t>Cohda Wireless</t>
  </si>
  <si>
    <t>Provider of innovative software services designed to connect vehicles to each other and a smart city infrastructure. The company's platform helps vehicles to see around corners, know where they are without GPS, and interact with traffic infrastructure seamlessly in real time, enabling accurate vehicle positioning, and cooperative collision avoidance and congestion reduction.</t>
  </si>
  <si>
    <t>Automotive, Vertical Market Software*, Wireless Communications Equipment</t>
  </si>
  <si>
    <t>Industrials, Manufacturing, TMT</t>
  </si>
  <si>
    <t>automotive market, car maker, innovative software, network layer, smart city infrastructure</t>
  </si>
  <si>
    <t>www.cohdawireless.com</t>
  </si>
  <si>
    <t>2014: 26</t>
  </si>
  <si>
    <t>153681-85P</t>
  </si>
  <si>
    <t>Rhys Godbee</t>
  </si>
  <si>
    <t>+61 (0)8 7099 5500</t>
  </si>
  <si>
    <t>Wayville, Australia</t>
  </si>
  <si>
    <t>27 Greenhill Road</t>
  </si>
  <si>
    <t>Wayville</t>
  </si>
  <si>
    <t>5034</t>
  </si>
  <si>
    <t>+61 (0)8 8364 4597</t>
  </si>
  <si>
    <t>inquiry@cohdawireless.com</t>
  </si>
  <si>
    <t>The company raised an undisclosed amount of venture funding from University of Central Florida Business Incubator, Cisco Investments and NXP Semiconductors on January 4, 2013.</t>
  </si>
  <si>
    <t>Cisco Investments, Epicorp, Itek, Mooroolbark Investments, NXP Semiconductors, SciVentures Investments, University of Central Florida Business Incubator</t>
  </si>
  <si>
    <t>Cisco Investments(www.ciscoinvestments.com), Epicorp(www.epicorp.com.au), Itek(www.itek.com.au), Mooroolbark Investments(www.m-group.com.au), NXP Semiconductors(www.nxp.com), SciVentures Investments(www.sciventures.com.au), University of Central Florida Business Incubator(www.incubator.ucf.edu)</t>
  </si>
  <si>
    <t>124663-42</t>
  </si>
  <si>
    <t>Cognitec Systems</t>
  </si>
  <si>
    <t>Cognitec</t>
  </si>
  <si>
    <t>Realface, SenseTime, Applied Recognition, AnyVision</t>
  </si>
  <si>
    <t>Developer of face recognition technologies designed to perform searches in multi-million image databases and instantly create a match list of the most similar faces.. The company's face recognition software uses facial database search, video screening and analytics, border control, ICAO-compliant photo capture and facial-image quality assessment, enabling industry customers and government agencies to use facial data for identity verification, duplicate check, background check, management of identity information and acquisition of bio-metric facial photographs.</t>
  </si>
  <si>
    <t>Application Software*, Other IT Services</t>
  </si>
  <si>
    <t>background checking, biometric facial photographs, biometric identification, duplicate checking, face recognition, face recognition software, face recognition technology, identity information management, identity verification, video analytics</t>
  </si>
  <si>
    <t>www.cognitec.com</t>
  </si>
  <si>
    <t>2014: 38, 2015: 51</t>
  </si>
  <si>
    <t>114951-52P</t>
  </si>
  <si>
    <t>Alfredo Herrera</t>
  </si>
  <si>
    <t>alfredo.herrera@cognitec.com</t>
  </si>
  <si>
    <t>+49 (0)35 1862 920</t>
  </si>
  <si>
    <t>Grossenhainer Strasse 101</t>
  </si>
  <si>
    <t>Saxony</t>
  </si>
  <si>
    <t>01127</t>
  </si>
  <si>
    <t>+49 (0)35 1862 9210</t>
  </si>
  <si>
    <t>info@cognitec.com</t>
  </si>
  <si>
    <t>The company raised an undisclosed amount of venture funding from Lockheed Martin Ventures on June 19, 2007.</t>
  </si>
  <si>
    <t>DGF Investimentos, Lockheed Martin Ventures, Rio Bravo Investimentos DTVM, Spectra Investments</t>
  </si>
  <si>
    <t>DGF Investimentos(www.dgf.com.br), Rio Bravo Investimentos DTVM(www.riobravo.com.br), Spectra Investments(www.spectrainvest.com)</t>
  </si>
  <si>
    <t>181015-84</t>
  </si>
  <si>
    <t>Cognata</t>
  </si>
  <si>
    <t>Provider of a virtual reality based driving validation platform designed to the transform autonomous vehicle industry. The company's platform uses patented computer vision and deep learning algorithms to automatically generate a detailed city-simulator at scale, enabling autonomous car manufacturers to run thousands of different scenarios based on various geographic locations, driver behavior and road sharing in less time.</t>
  </si>
  <si>
    <t>Application Software, Automotive*, Business/Productivity Software</t>
  </si>
  <si>
    <t>Artificial Intelligence &amp; Machine Learning, Autonomous cars, Industrials, TMT, Virtual Reality</t>
  </si>
  <si>
    <t>artificial intelligence, computer vision technology, deep learning, drives validation platform, virtual reality platform, virtual reality simulator</t>
  </si>
  <si>
    <t>www.cognata.com</t>
  </si>
  <si>
    <t>2018: 28</t>
  </si>
  <si>
    <t>47741-32P</t>
  </si>
  <si>
    <t>Danny Atsmon</t>
  </si>
  <si>
    <t>danny@cognata.com</t>
  </si>
  <si>
    <t>The company raised $18.5 million of Series B venture funding in a deal led by Scale Venture Partners on October 17, 2018. Airbus Ventures, GiTV, Emerge, and Maniv Mobility also participated in the round. The funds will be used to grow the company's engineering team and expand its commercial operations in the United States, Europe and Asia.</t>
  </si>
  <si>
    <t>Airbus Ventures, Emerge, GiTV, Maniv Mobility, Microsoft ScaleUp, Scale Venture Partners</t>
  </si>
  <si>
    <t>Airbus Ventures(www.airbusventures.vc), Emerge(www.emerge.co.il), GiTV(www.gitv.vc), Maniv Mobility(www.maniv.com), Microsoft ScaleUp(startups.microsoft.com/en-us/scale-up), Scale Venture Partners(www.scalevp.com)</t>
  </si>
  <si>
    <t>62731-81</t>
  </si>
  <si>
    <t>Cogito (Emotional Intelligence Software)</t>
  </si>
  <si>
    <t>Endor, Artificial Solutions, Affectiva, Clinc, Crimson Hexagon, Next IT, Kasisto, DigitalGenius, Pypestream, EmotionReader, Veriato, Directly, Looker, Avaamo, nViso, Kairos (Face Recognition Software), Pendo, mParticle, SenseTime, Arcadia Data, FinGenius, IMotions, Ancile Solutions, Amplitude, Treasure Data, Converse.AI, Chartlytics, Flamingo AI, Luminoso, Interana, Localytics, Kore.ai, Automation Anywhere, SAP, SAS Institute, CleverTap, Cyara, Sumo Logic, Clarabridge, WalkMe, Panaseer, MixPanel, Interactions, PullString, E8 Security, Kanjoya, GoodData, Xplenty, Gridspace, Visier, Salesforce, CoolaData, Sprinklr</t>
  </si>
  <si>
    <t>Developer of real-time emotional intelligence software to improve customer engagement. The company's software enhances the emotional intelligence of phone professionals by applying behavioral science through artificial intelligence and machine learning. It analyzes conversational dynamics to provide live guidance for agents and a real-time measure of customer experience for every call, enabling enterprises to build better relationships with millions of customers, improve sales results and enhance quality of care.</t>
  </si>
  <si>
    <t>behavioral analytics, behavioral science, customer relationship software, emotional intelligence software</t>
  </si>
  <si>
    <t>www.cogitocorp.com</t>
  </si>
  <si>
    <t>2012: 18, 2013: 22, 2015: 37, 2016: 44, 2017: 70, 2018: 117</t>
  </si>
  <si>
    <t>66104-47P</t>
  </si>
  <si>
    <t>Joshua Feast</t>
  </si>
  <si>
    <t>jfeast@cogitocorp.com</t>
  </si>
  <si>
    <t>+1 (617) 580-3101</t>
  </si>
  <si>
    <t>100 Summer Street</t>
  </si>
  <si>
    <t>Suite 1925</t>
  </si>
  <si>
    <t>info@cogitocorp.com</t>
  </si>
  <si>
    <t>The company raised $45 million of Series C venture funding in a deal led by The Goldman Sachs Group on November 26, 2018, putting the company's pre-money valuation at $105 million. Salesforce Ventures, Avaya, OpenView Venture Partners, Hearst Ventures and Battery Ventures also participated in the round. The company will use the infusion of capital to improve its software's customization options and make its user guidance richer and more contextually aware.</t>
  </si>
  <si>
    <t>Avaya, Battery Ventures, Defense Advanced Research Projects Agency, Goldman Sachs Merchant Banking Division, Hearst Ventures, National Institutes of Mental Health, OpenView Venture Partners, Romulus Capital, Salesforce Ventures, The Goldman Sachs Group, Western Technology Investment</t>
  </si>
  <si>
    <t>Avaya(www.avaya.com), Battery Ventures(www.battery.com), Defense Advanced Research Projects Agency(www.darpa.mil), OpenView Venture Partners(www.openviewpartners.com), Romulus Capital(www.romuluscap.com), The Goldman Sachs Group(www.goldmansachs.com), Western Technology Investment(www.westerntech.com)</t>
  </si>
  <si>
    <t>MIT Venture Mentoring Service(Consulting)</t>
  </si>
  <si>
    <t>Choate(Legal Advisor), Western Technology Investment(Debt Financing)</t>
  </si>
  <si>
    <t>55353-34</t>
  </si>
  <si>
    <t>Coderwall</t>
  </si>
  <si>
    <t>Appdillo, Assembly</t>
  </si>
  <si>
    <t>Operator of a collaborative learning platform designed to improve the programming knowledge. The company's collaborative learning platform helps programmer to quantify their skills and achievements by accumulating badges, enabling software developers to share their programming knowledge.</t>
  </si>
  <si>
    <t>Application Software*, Educational Software, Software Development Applications</t>
  </si>
  <si>
    <t>collaborative learning platform, collaborative platform, learning platform, product development, programming knowledge</t>
  </si>
  <si>
    <t>www.coderwall.com</t>
  </si>
  <si>
    <t>62457-31P</t>
  </si>
  <si>
    <t>David Newman</t>
  </si>
  <si>
    <t>+1 (415) 484-2086</t>
  </si>
  <si>
    <t>Suite 45367</t>
  </si>
  <si>
    <t>94104-5401</t>
  </si>
  <si>
    <t>contact@appdillo.com</t>
  </si>
  <si>
    <t>The company raised venture funding from Xenon Ventures on an undisclosed date. Earlier, the company raised $3.6 million of Series A venture funding in a deal led by Union Square Ventures on November 26, 2014, putting the company's pre-money valuation at $10.03 million.</t>
  </si>
  <si>
    <t>BoxGroup, Collaborative Fund, Floodgate Fund, Kevin Donahue, Salesforce Ventures, SV Angel, Thrive Capital, Union Square Ventures, Xenon Partners, Y Combinator</t>
  </si>
  <si>
    <t>BoxGroup(www.boxgroup.com), Collaborative Fund(www.collaborativefund.com), Floodgate Fund(www.floodgate.com), SV Angel(www.svangel.com), Thrive Capital(www.thrivecap.com), Union Square Ventures(www.usv.com), Xenon Partners(www.xenon.io), Y Combinator(www.ycombinator.com)</t>
  </si>
  <si>
    <t>63872-11</t>
  </si>
  <si>
    <t>CNEX Labs</t>
  </si>
  <si>
    <t>CNEX</t>
  </si>
  <si>
    <t>Nimble Storage, Tegile, Kaminario, NGD Systems, StorPool, Nimbus Data, Nexsan, Dell EMC</t>
  </si>
  <si>
    <t>Developer of solid-state storage controllers and software designed to deliver innovative storage systems for cloud, hyperscale and enterprise data centers. The company's storage controllers deliver high-performance with low and predictable latency, and provide flexibility for software-defined-storage with host-based FTL and Ethernet I/O for storage fabric scalability, enabling companies to accelerate the capabilities of big data compute and analytics for the next generation of cloud, hyperscale and enterprise data centers.</t>
  </si>
  <si>
    <t>big data storage, big data storage system, cloud infrastructure, cloud storage, data server, data storage, data storage technology, mixed signal semiconductor, ssd, ssd controllers</t>
  </si>
  <si>
    <t>www.cnexlabs.com</t>
  </si>
  <si>
    <t>2014: 28, 2015: 47, 2016: 67</t>
  </si>
  <si>
    <t>71942-14P</t>
  </si>
  <si>
    <t>Alan Armstrong</t>
  </si>
  <si>
    <t>arms@cnex-labs.com</t>
  </si>
  <si>
    <t>+1 (408) 217-6136</t>
  </si>
  <si>
    <t>2880 Stevens Creek Boulevard</t>
  </si>
  <si>
    <t>Suite 108</t>
  </si>
  <si>
    <t>info@cnexlabs.com</t>
  </si>
  <si>
    <t>The company received development capital from Micron Technology and Oxbow Industries on an undisclosed date. Earlier, the company raised $25 million of Series D venture funding in a deal led by Dell Technologies Capital on October 26, 2018, putting the company's pre-money valuation at $201 million. M12, Purple Arch Ventures, Castor Ventures, Chestnut Street Ventures, Alumni Ventures Group, Brightstone Venture Capital, Walden International and Sierra Ventures also participated in the round.</t>
  </si>
  <si>
    <t>Alumni Ventures Group, Brightstone Venture Capital, Castor Ventures, Chestnut Street Ventures, Cisco Investments, Dell Technologies Capital, LDV Partners, M12, Micron Technology, Oxbow Industries, Purple Arch Ventures, Samsung Venture Investment, Seagate Venture Fund, Sierra Ventures, UMC Capital, Walden International, WRV Capital</t>
  </si>
  <si>
    <t>Alumni Ventures Group(www.avgfunds.com), Brightstone Venture Capital(www.brightstonevc.com), Castor Ventures(www.castorventures.com), Chestnut Street Ventures(www.chestnutstreetventures.com), Cisco Investments(www.ciscoinvestments.com), LDV Partners(www.ldvp.com), M12(www.m12.vc), Micron Technology(www.micron.com), Oxbow Industries(www.oxbowindustries.com), Purple Arch Ventures(www.purplearchventures.com), Samsung Venture Investment(www.samsungventures.com), Sierra Ventures(www.sierraventures.com), UMC Capital(www.umccapital.com), Walden International(www.waldenintl.com), WRV Capital(www.wrvcapital.com)</t>
  </si>
  <si>
    <t>Fenwick &amp; West(Legal Advisor), PwC(Auditor), Silicon Valley Bank(General Business Banking)</t>
  </si>
  <si>
    <t>136803-16</t>
  </si>
  <si>
    <t>CMR Surgical</t>
  </si>
  <si>
    <t>Cambridge Medical Robotics</t>
  </si>
  <si>
    <t>CMR</t>
  </si>
  <si>
    <t>Developer of next-generation universal robotic systems designed to bring the benefits of minimal access surgery to millions of patients world wide. The company's platform is making minimal access surgery universally accessible and affordable by significantly expanding the range of procedures that can be performed robotically, enabling surgeons to access 3D high-definition imagery along with force feedback during the operation.</t>
  </si>
  <si>
    <t>Surgical Devices</t>
  </si>
  <si>
    <t>Medical Supplies, Other Devices and Supplies, Surgical Devices*</t>
  </si>
  <si>
    <t>medical robotics, minimal access surgery, universal robotics systems</t>
  </si>
  <si>
    <t>www.cmrsurgical.com</t>
  </si>
  <si>
    <t>2015: 27, 2016: 48, 2017: 140, 2018: 200</t>
  </si>
  <si>
    <t>13328-29P</t>
  </si>
  <si>
    <t>Martin Frost</t>
  </si>
  <si>
    <t>martin.frost@cmedrobotics.com</t>
  </si>
  <si>
    <t>+44 (0)12 2375 5300</t>
  </si>
  <si>
    <t>Unit 2, Crome Lea Business Park</t>
  </si>
  <si>
    <t>Madingley Road</t>
  </si>
  <si>
    <t>CB23 7PH</t>
  </si>
  <si>
    <t>info@cmrsurgical.com</t>
  </si>
  <si>
    <t>The company raised GBP 74.33 million of Series B venture funding from Watrium, Cambridge Innovation Capital and Escala Capital on June 4, 2018, putting the pre-money valuation at GBP 225.46 million. Silk Road Fund Company and LGT Group also participated in this round. The company will use the proceeds to prepare its Versius system for planned commercialization. Previously, the company raised GBP 34.37 million of Series A venture funding from Cambridge Innovation Capital, LGT Group and Escala Capital on August 10, 2017, putting the pre-money valuation at GBP 32.66 million. ABB Technology Ventures and Watrium also participated in this round. The company will use the funds to progress their versatile surgical robotic system, Versius, through ongoing validation studies and to start production of further systems.</t>
  </si>
  <si>
    <t>ABB Technology Ventures, Cambridge Innovation Capital, Escala Capital, LGT Group, Silk Road Fund Company, Watrium</t>
  </si>
  <si>
    <t>Cambridge Innovation Capital(www.cicplc.co.uk), LGT Group(www.lgt.com), Silk Road Fund Company(www.silkroadfund.com.cn), Watrium(www.watrium.no)</t>
  </si>
  <si>
    <t>Grant Thornton UK(Auditor), Santander UK(General Business Banking), SVB Financial Group(General Business Banking), Vincent Sykes &amp; Higham(Legal Advisor)</t>
  </si>
  <si>
    <t>Mooreland Partners(Advisor: General), Perella Weinberg Partners(Legal Advisor)</t>
  </si>
  <si>
    <t>85762-90</t>
  </si>
  <si>
    <t>Clout</t>
  </si>
  <si>
    <t>Provider of a financial technology and cash rewards platform intended to transform the world's consumer spending industry by offering extra consumer cash back. The company's platform offers bonus cash back and VIP Perks from companies eager to earn their business, while companies get actionable data on their target demographic and their competitors' customers, enabling clients to automatically receive cash back, perks and on-platform offers from merchants competing for their business.</t>
  </si>
  <si>
    <t>cash back rewards, financial technology, online loyalty platform, online reward application, rewards</t>
  </si>
  <si>
    <t>www.clout.com</t>
  </si>
  <si>
    <t>121189-33P</t>
  </si>
  <si>
    <t>Francis König</t>
  </si>
  <si>
    <t>Co-Founder, Executive Chairman, Chief Executive Officer, President &amp; Chief Technology Officer</t>
  </si>
  <si>
    <t>francis@clout.com</t>
  </si>
  <si>
    <t>+1 (888) 752-8008</t>
  </si>
  <si>
    <t>8465 West Sahara Avenue Suite 111</t>
  </si>
  <si>
    <t>Unit Number 1080</t>
  </si>
  <si>
    <t>89117</t>
  </si>
  <si>
    <t>info@clout.com</t>
  </si>
  <si>
    <t>The company raised venture funding from Salesforce Ventures on an undisclosed date.</t>
  </si>
  <si>
    <t>Candice Yoneyama, Salesforce Ventures</t>
  </si>
  <si>
    <t>EquityNet(Lead Manager or Arranger)</t>
  </si>
  <si>
    <t>55762-12</t>
  </si>
  <si>
    <t>CloudVelox</t>
  </si>
  <si>
    <t>Denali Systems, CloudVelocity</t>
  </si>
  <si>
    <t>Zerto, Aviatrix, Racemi, Velostrata, HyTrust, RightScale, Rubrik, Big Switch Networks, Plexxi, Veeam, NetApp, StorageCraft Technology, Micro Focus, Green Cloud Technologies, Veritas Technologies, Atadata, Cohesity, Catbird Networks, Vision Solutions, Continuum Managed Services, Actifio, ioFabric, Acronis, Nasuni, Datto, Pluribus Networks, OwnBackup, Elastifile, Sureline Systems</t>
  </si>
  <si>
    <t>Developer of hybrid cloud automation platform designed to securely move and protect workloads. The company's hybrid cloud automation platform helps in automating private data centers to the public cloud by transforming multi-tier applications to run without modification in the cloud and access services that reside in the enterprise data center, enabling clients to have reduced business risk and increased IT productivity and resilience.</t>
  </si>
  <si>
    <t>Application Software, Business/Productivity Software*, Systems and Information Management</t>
  </si>
  <si>
    <t>cloud automation, cloud automation application, hybrid cloud, private data automation, public cloud, recovery software</t>
  </si>
  <si>
    <t>www.cloudvelox.com</t>
  </si>
  <si>
    <t>2011: 13, 2012: 20, 2013: 29, 2014: 16, 2015: 24</t>
  </si>
  <si>
    <t>Competitor (New) OwnBackup</t>
  </si>
  <si>
    <t>44858-26P</t>
  </si>
  <si>
    <t>Rajeev Chawla</t>
  </si>
  <si>
    <t>Chief Product Officer, Board Member &amp; Co-Founder</t>
  </si>
  <si>
    <t>rajeev@cloudvelocity.com</t>
  </si>
  <si>
    <t>+1 (408) 841-4800</t>
  </si>
  <si>
    <t>3945 Freedom Circle</t>
  </si>
  <si>
    <t>Suite 240</t>
  </si>
  <si>
    <t>info@cloudvelox.com</t>
  </si>
  <si>
    <t>The company reached a definitive agreement to be acquired by VMware (NYS:VMW) for an undisclosed amount on February 22, 2018. Earlier, the company raised $15 million of Series C venture funding from Cisco Investments, Mayfield and Pelion Venture Partners on February 13, 2015, putting the company's pre-money valuation at $48.76 million. Third Point Ventures and KAAJ Ventures also participated in the round. The company is being actively tracked by PitchBook.</t>
  </si>
  <si>
    <t>Cisco Investments, KAAJ Ventures, Mayfield Fund, Pelion Venture Partners, Third Point Ventures</t>
  </si>
  <si>
    <t>Cisco Investments(www.ciscoinvestments.com), KAAJ Ventures(www.kaajventures.com), Mayfield Fund(www.mayfield.com), Pelion Venture Partners(www.pelionvp.com), Third Point Ventures(www.thirdpointventures.com)</t>
  </si>
  <si>
    <t>VMware(www.vmware.com)</t>
  </si>
  <si>
    <t>Granite Valuations(Valuation/Appraiser)</t>
  </si>
  <si>
    <t>118114-48</t>
  </si>
  <si>
    <t>CloudSense (London)</t>
  </si>
  <si>
    <t>CloudSense</t>
  </si>
  <si>
    <t>Insite Software Solutions, Zuora, CloudCraze, Configure One, Handshake, SAP Hybris, Lattice (Business/Productivity Software), Pegasystems, Mediaocean, Nutshell, Configit, Pepperjam, Extreme Networks, Aria Systems, Monexa Services, Qvidian, Leadspace, WebLinc, FATTAIL, Vendavo, Certona, SAP, Zendesk, Verint Systems, In Mind Cloud, Obero SPM, Elastic Path, Fusebill, Zilliant, Apprenda, Channeltivity, Vistex (Illinois), Apptus Technologies, Determine, Lineup Systems, Netcracker Technology, CA Technologies, BigMachines, DocuSign, Diyotta, Sitecore, Salesforce, Entomo, Accent Technologies, FPX, Infor Global Solutions, Bigcommerce, Riversand, BuyerQuest, Pool4tool, Appian, BillingPlatform, Kibo Software, Taulia, IntegriChain, Volusion, Vlocity, Nexway, Appirio, Marketo, Scalyr, Sigma Systems Canada, Tableau Software, MarketLive, Anaplan, Endeavor Commerce, Alteryx, Monetate, Allbound, Rancher (Container Management), NetSuite, WideOrbit, Compgun, Vaadin, 360pi, TIBCO Software, ATTRAQT Group, Unit4, Bronto Software, Epicor Software, John Galt, Kooomo, Callidus Software, Dropbox, Turn, Avangate, Leeyo Software, Sisense, ScoutRFP, Highspot, ServiceNow, Salesforce Commerce Cloud, Optymyze, BMC Software, Coupa, Predixion, SteelBrick, Apttus, VMware, Box, Asknet</t>
  </si>
  <si>
    <t>Developer of sales-force native omni-channel commerce platform. The company offers cloud-based configure, price and quote platform that allows companies to configure complicated product offerings and discount packages in real time. It offers services to the eCommerce, mobile workforce, service agents, retail, re-seller and telephone operators.</t>
  </si>
  <si>
    <t>cloud-based configure, ordering management, ordering management tools</t>
  </si>
  <si>
    <t>www.cloudsense.com</t>
  </si>
  <si>
    <t>2014: 99, 2015: 129, 2016: 170, 2017: 300</t>
  </si>
  <si>
    <t>Competitor (New) ATTRAQT Group, Competitor (New) Highspot</t>
  </si>
  <si>
    <t>105175-27P</t>
  </si>
  <si>
    <t>Richard Britton</t>
  </si>
  <si>
    <t>Board Member, Co-Founder &amp; Chief Executive Officer</t>
  </si>
  <si>
    <t>richard.britton@cloudsense.com</t>
  </si>
  <si>
    <t>+44 (0)20 7580 6685</t>
  </si>
  <si>
    <t>Moray House</t>
  </si>
  <si>
    <t>23-31 Great Titchfield Street</t>
  </si>
  <si>
    <t>W1W 7PA</t>
  </si>
  <si>
    <t>info@cloudsense.com</t>
  </si>
  <si>
    <t>The company received an undisclosed amount of debt financing from Golub Capital on June 5, 2019. The funds will be used to accelerate the company's rapid global growth and product innovation.</t>
  </si>
  <si>
    <t>Hawk Investment Holdings, Liberty Global Ventures, Salesforce Ventures, Tech Nation, Vector Capital</t>
  </si>
  <si>
    <t>MMC Ventures</t>
  </si>
  <si>
    <t>Tech Nation(www.technation.io), Vector Capital(www.vectorcapital.com)</t>
  </si>
  <si>
    <t>MMC Ventures(www.mmcventures.com)</t>
  </si>
  <si>
    <t>Barclays(Debt Financing), Collard Advisory(Auditor), Future Fifty(Consulting), Silicon Valley Bank(Debt Financing), Spectrum Executive Search(Consulting), Travers Smith(Legal Advisor)</t>
  </si>
  <si>
    <t>Code Advisors(Advisor: General), Golub Capital(Debt Financing), Harbert Management(Debt Financing)</t>
  </si>
  <si>
    <t>52135-75</t>
  </si>
  <si>
    <t>CloudPassage</t>
  </si>
  <si>
    <t>RedLock, Twistlock, NeuVector, SaltStack, Fortanix, Tenable, StackRox, Dome9 Security, Sysdig, Layered Insight, Threat Stack, Polyverse, Chef, Aqua Security, CloudCheckr, Puppet, Coretelligent, Illumio, Evident.IO, ZeroFox, BMC Software, Symantec, ThreatConnect, RiskIQ, CloudLock, SingleHop, Qualys, LookingGlass Cyber Solutions, Recorded Future, Digital Shadows, CipherCloud, Trend Micro</t>
  </si>
  <si>
    <t>Developer of a public cloud security platform designed to offer out-of-the-box compliance capabilities. The company's platform delivers a comprehensive set of security and compliance capabilities that replaces single function point services, enabling global enterprises to embrace speed, flexibility and all the other benefits of modern computing models.</t>
  </si>
  <si>
    <t>Cybersecurity, SaaS</t>
  </si>
  <si>
    <t>cloud security, devops, devscops, devsecops, infrastructure visibility, leverage cloud technology, security and compliance platform, security platform</t>
  </si>
  <si>
    <t>www.cloudpassage.com</t>
  </si>
  <si>
    <t>2010: 8, 2011: 15, 2013: 35, 2014: 81, 2015: 95, 2019: 50</t>
  </si>
  <si>
    <t>Competitor (New) Recorded Future</t>
  </si>
  <si>
    <t>37026-19P</t>
  </si>
  <si>
    <t>Carson Sweet</t>
  </si>
  <si>
    <t>carson@cloudpassage.com</t>
  </si>
  <si>
    <t>+1 (800) 838-4098</t>
  </si>
  <si>
    <t>95 3rd Street</t>
  </si>
  <si>
    <t>info@cloudpassage.com</t>
  </si>
  <si>
    <t>The company raised $35.90 million of Series D venture funding from Comcast Ventures, Four Rivers Group and Lightspeed Venture Partners on August 19, 2015, putting the company's pre-money valuation at $180.00 million. Correlation Ventures, Sozo Ventures, Benchmark Capital, Tenaya Capital, Musea Ventures, Shasta Ventures, Meritech Capital Partners and Stephen J. Luczo also participated in the round.</t>
  </si>
  <si>
    <t>Benchmark (San Francisco), Benjamin Narasin, Comcast Ventures, Correlation Ventures, Four Rivers Group, Lightspeed Venture Partners, Meritech Capital Partners, Musea Ventures, Shasta Ventures, Sozo Ventures, Stephen Luczo, Tenaya Capital, US Venture Partners</t>
  </si>
  <si>
    <t>Benchmark (San Francisco)(www.benchmark.com), Comcast Ventures(www.comcastventures.com), Correlation Ventures(www.correlationvc.com), Four Rivers Group(www.fourriversgroup.com), Lightspeed Venture Partners(www.lsvp.com), Meritech Capital Partners(www.meritechcapital.com), Musea Ventures(www.museaventures.com), Shasta Ventures(www.shastaventures.com), Sozo Ventures(www.sozo.ventures), Tenaya Capital(www.tenayacapital.com), US Venture Partners(www.usvp.com)</t>
  </si>
  <si>
    <t>Gunderson Dettmer(Legal Advisor), The MitchelLake Group(Consulting)</t>
  </si>
  <si>
    <t>60042-34</t>
  </si>
  <si>
    <t>CloudFX</t>
  </si>
  <si>
    <t>ViFX APJ</t>
  </si>
  <si>
    <t>VCE, Jamcracker, Ormuco, Kaseya, Continuum Managed Services, Automic Software, RightScale, CloudBolt Software, Scalr, Embotics, Ostrato, Autotask, Velostrata, RackWare, American Internet Services, ActivePlatform, ZeroStack, Naverisk, BCSG, Orbitera, Platform9, Neostratus, AppDirect, Cliqr, PacketTrap Networks, Odin, Parallels, Cloudability</t>
  </si>
  <si>
    <t>Provider of open and adaptable multi-cloud management platform designed to offer consulting and implementation services. The company's platform re-architects entire information technology infrastructures, streamlining information technology operational management processes and provides advanced cloud service management, automation and integration services, enabling users to harness the power of multi-cloud environments and the range of SaaS of applications without losing control or insight.</t>
  </si>
  <si>
    <t>Application Software, Business/Productivity Software*, Other IT Services</t>
  </si>
  <si>
    <t>cloud services, cloud strategy consulting, implementation services, multi cloud application, multi cloud services</t>
  </si>
  <si>
    <t>www.cloudfx.com</t>
  </si>
  <si>
    <t>2014: 36, 2016: 78</t>
  </si>
  <si>
    <t>67608-46P</t>
  </si>
  <si>
    <t>Damian Crotty</t>
  </si>
  <si>
    <t>damian.crotty@cloudfx.com</t>
  </si>
  <si>
    <t>+65 6733 9886</t>
  </si>
  <si>
    <t>Winsland House I</t>
  </si>
  <si>
    <t>Number 04-05, 3 Killiney Road</t>
  </si>
  <si>
    <t>239519</t>
  </si>
  <si>
    <t>+65 6238 9075</t>
  </si>
  <si>
    <t>The company raised an undisclosed amount of venture funding from Intel Capital and Cisco Investments on October 22, 2013.</t>
  </si>
  <si>
    <t>Cisco Investments, Intel Capital</t>
  </si>
  <si>
    <t>Cisco Investments(www.ciscoinvestments.com), Intel Capital(www.intelcapital.com)</t>
  </si>
  <si>
    <t>119019-43</t>
  </si>
  <si>
    <t>CloudCherry</t>
  </si>
  <si>
    <t>CAT</t>
  </si>
  <si>
    <t>ClientSuccess, Satmetrix Systems, Clarabridge, Bluenose, Dynamic Yield, Medallia, Aptrinsic, Punchh, Fishbowl, Capillary Technologies, Evergage, SandSIV, Manthan, Bridg, 9Lenses, Monetate, Qualtrics, Sailthru, ResponseTek, InMoment, Nosto, Maru/Edr, Absolutdata Intelligent Analytics, Gainsight, TINYpulse, Revuze, QuestBack, AskNicely, RichRelevance, Baynote, Surveypal, Nanorep, Usabilla, Promoter.io, Typeform, Rant &amp; Rave, Service Management Group (SMG), Wootric</t>
  </si>
  <si>
    <t>Provider of a customer experience management software created to help brands to track customer responses. The company's platform caters to the analytics industry and helps brands with data collection and feedback regarding customer engagement and satisfaction in real time, enabling them to track, measure and improve customer loyalty and profitability in offering.</t>
  </si>
  <si>
    <t>behavior measurement service, customer analytics, customer engagement, customer experience management, customer feedback, customer feedback management, customer insights, customer loyalty tracking, customer relationship management</t>
  </si>
  <si>
    <t>www.cloudcherry.com</t>
  </si>
  <si>
    <t>2014: 8, 2015: 32, 2016: 62, 2018: 80</t>
  </si>
  <si>
    <t>104957-20P</t>
  </si>
  <si>
    <t>Vinod Muthukrishnan</t>
  </si>
  <si>
    <t>vinod@getcloudcherry.com</t>
  </si>
  <si>
    <t>+1 (385) 290-1395</t>
  </si>
  <si>
    <t>10 Broadway</t>
  </si>
  <si>
    <t>info@getcloudcherry.com</t>
  </si>
  <si>
    <t>The company raised $9 million of Series A1 venture funding from lead investor Pelion Venture Partners on Septermber 10, 2018. Cisco Investments, Vertex Ventures and IDG Ventures India also participated. The company will use the capital to build on its early successes and grow its North American Sales and Marketing teams, build out its go-to-market capabilities, and expand its technological lead through a laser focus on Data Sciences for CX.</t>
  </si>
  <si>
    <t>Capillary Technologies, Chiratae Ventures, Cisco Investments, Kyron Global Accelerator, Mast Global Business Services India, Microsoft ScaleUp, Pelion Venture Partners, Ravindra Reddy, The Chennai Angels, Vertex Ventures Southeast Asia &amp; India</t>
  </si>
  <si>
    <t>Capillary Technologies(www.capillarytech.com), Chiratae Ventures(www.idgvcindia.com), Cisco Investments(www.ciscoinvestments.com), Kyron Global Accelerator(www.kyronglobal.com), Microsoft ScaleUp(startups.microsoft.com/en-us/scale-up), Pelion Venture Partners(www.pelionvp.com), The Chennai Angels(www.thechennaiangels.com), Vertex Ventures Southeast Asia &amp; India(www.vertexventures.com/southeast-asia-india)</t>
  </si>
  <si>
    <t>Inventus Law(Legal Advisor), SAS Partners(Consulting)</t>
  </si>
  <si>
    <t>51318-10</t>
  </si>
  <si>
    <t>CloudBees</t>
  </si>
  <si>
    <t>Distelli, AppViewX, Octopus Deploy, Chef, HashiCorp, Agile Stacks, Nirmata, Sonatype, Docker, CodeFresh, XebiaLabs, Puppet, Electric Cloud, Gitlab, Itential, Circleci, Harness (Software Delivery Platform), Mphasis Stelligent, SaltStack, Wercker, JFrog, Openshift, ScaleFT, Amazon Web Services, Jelastic, Cloud Foundry</t>
  </si>
  <si>
    <t>Provider of a cloud-based platform designed to provide software delivery of businesses. The company's platform provides a wide range of continuous delivery services, enabling businesses to meet the unique security, scalability and manageability needs.</t>
  </si>
  <si>
    <t>cloud infrastructure, cloud-based platform, integration server, saas, security needs, software delivery</t>
  </si>
  <si>
    <t>www.cloudbees.com</t>
  </si>
  <si>
    <t>2012: 30, 2014: 58, 2017: 250</t>
  </si>
  <si>
    <t>51826-96P</t>
  </si>
  <si>
    <t>Laurence Poussot</t>
  </si>
  <si>
    <t>Chief Accounting Officer &amp; International Operations</t>
  </si>
  <si>
    <t>lpoussot@cloudbees.com</t>
  </si>
  <si>
    <t>+1 (323) 843-4483</t>
  </si>
  <si>
    <t>Suite 670 West</t>
  </si>
  <si>
    <t>+1 (408) 805-3552</t>
  </si>
  <si>
    <t>info@cloudbees.com</t>
  </si>
  <si>
    <t>The company received $37 million of development capital from Delta-v Capital, Lightspeed Venture Partners, Matrix Partners, Unusual Ventures, Ascent Venture Partners and Verizon Ventures on June 27, 2018. With the new funding, CloudBees will continue to innovate its modern software delivery suite, grow its strategic partnerships and accelerate its global business growth organically and through M&amp;A. The company completed a $28 million debt refinancing led by Golub Capital and Latham &amp; Watkins acted as a legal advisor to Golub Capital in the transaction.</t>
  </si>
  <si>
    <t>Ascent Venture Partners, Baseline Ventures, Blue Cloud Ventures, Delta-v Capital, Edouard Bugnion, Jeremy Allaire, John Pearce, Lightspeed Venture Partners, Marc Fleury, Matrix Partners, Michel Goossens, Robert Bickel, Unusual Ventures, Verizon Ventures</t>
  </si>
  <si>
    <t>Ascent Venture Partners(www.ascentvp.com), Baseline Ventures(www.baselinev.com), Blue Cloud Ventures(www.bluecloudventures.com), Delta-v Capital(www.deltavcapital.com), Lightspeed Venture Partners(www.lsvp.com), Matrix Partners(www.matrixpartners.com), Unusual Ventures(www.unusual.vc), Verizon Ventures(www.verizonventures.com)</t>
  </si>
  <si>
    <t>Bingham McCutchen(Legal Advisor), Daversa Partners(Consulting), FutureEngine(Consulting), Morgan, Lewis &amp; Bockius(Legal Advisor), Silicon Valley Bank(Debt Financing)</t>
  </si>
  <si>
    <t>Bingham McCutchen(Legal Advisor), Golub Capital(Debt Financing), Morgan, Lewis &amp; Bockius(Legal Advisor)</t>
  </si>
  <si>
    <t>231471-73</t>
  </si>
  <si>
    <t>Cloud Pathfinder</t>
  </si>
  <si>
    <t>Provider of salesforce consulting services intended to help manage salesforce platform. The company's services include salesforce development, implementations, administration and consulting, enabling organizations that use the Salesforce platform to get a proper guidance and improve salestream.</t>
  </si>
  <si>
    <t>Consulting Services (B2B)*, IT Consulting and Outsourcing</t>
  </si>
  <si>
    <t>salesforce administration, salesforce consultancy, salesforce consulting, salesforce consulting services, salesforce development</t>
  </si>
  <si>
    <t>www.cloudpathfinderconsulting.com</t>
  </si>
  <si>
    <t>190496-53P</t>
  </si>
  <si>
    <t>Jesse Grothaus</t>
  </si>
  <si>
    <t>jesse@cloudpathfinderconsulting.com</t>
  </si>
  <si>
    <t>+1 (408) 667-0846</t>
  </si>
  <si>
    <t>Turlock, CA</t>
  </si>
  <si>
    <t>4164 Horizon Court</t>
  </si>
  <si>
    <t>Turlock</t>
  </si>
  <si>
    <t>95382</t>
  </si>
  <si>
    <t>The company raised $250,000 of seed funding through a combination of convertible debt and SAFE notes from Salesforce Ventures on July 30, 2018.</t>
  </si>
  <si>
    <t>55035-46</t>
  </si>
  <si>
    <t>Clique (Los Angeles)</t>
  </si>
  <si>
    <t>CMG</t>
  </si>
  <si>
    <t>Operator of a global consumer brands marketing agency designed to leverage data, premium content and experiences to build engaging global communities across multiple devices. The company combines the power of data science with its editorial team to create content and products for millennial women, enabling brands to help in brand positioning, asset creation, content development, social publishing and more.</t>
  </si>
  <si>
    <t>accessories, beauty platform, consumer branding, creative agency, email newsletter, fashion media, fashion platform, influencer, influencer campaign, influencers, lifestyle media, lifestyle platform, online magazine</t>
  </si>
  <si>
    <t>www.cliquebrands.com</t>
  </si>
  <si>
    <t>2014: 32, 2015: 115, 2017: 250, 2018: 250</t>
  </si>
  <si>
    <t>42858-91P</t>
  </si>
  <si>
    <t>Hillary Kerr</t>
  </si>
  <si>
    <t>Co-Founder &amp; Chief Content Officer</t>
  </si>
  <si>
    <t>hillary@whowhatwear.com</t>
  </si>
  <si>
    <t>750 North San Vicente</t>
  </si>
  <si>
    <t>8th Floor East</t>
  </si>
  <si>
    <t>The company raised $15 million of Series C venture funding in a deal led by Greycroft and e.ventures on June 27, 2017, putting the company's pre-money valuation at $100 million. Amazon.com, Bertelsmann Digital Media Investments, WndrCo, SK Ventures and LionTree Partners also participated in the round. The company will use the new funds to build out its consumer products division as well as further expand its editorial properties and in-house creative offerings for advertisers.Bonfire Ventures also participated in it.</t>
  </si>
  <si>
    <t>Advancit Capital, Amazon.com, BAM Ventures, Bertelsmann Digital Media Investments, Bonfire Ventures, btov Partners, Double M Partners, e.ventures, Greycroft, Lerer Hippeau, LionTree Partners, Menlo Ventures, Mesa Ventures, Miroma Ventures, SK Ventures, SV Angel, The Tornante Company, WndrCo</t>
  </si>
  <si>
    <t>Advancit Capital(www.advancitcapital.com), Amazon.com(www.amazon.com), BAM Ventures(www.bam.vc), Bertelsmann Digital Media Investments(www.bdmifund.com), Bonfire Ventures(www.bonfirevc.com), btov Partners(www.btov.vc), Double M Partners(www.doublempartners.com), e.ventures(www.eventures.vc), Greycroft(www.greycroft.com), Lerer Hippeau(www.lererhippeau.com), Menlo Ventures(www.menlovc.com), Mesa Ventures(www.mesa.vc), Miroma Ventures(www.miromaventures.com), SK Ventures(www.skvcap.com), SV Angel(www.svangel.com), The Tornante Company(www.tornante.com), WndrCo(www.wndrco.com)</t>
  </si>
  <si>
    <t>Armanino(Auditor), GQR Global Markets(Consulting), Silicon Valley Bank(General Business Banking)</t>
  </si>
  <si>
    <t>120017-71</t>
  </si>
  <si>
    <t>Clipcall</t>
  </si>
  <si>
    <t>Developer of a real-time on-demand mobile video platform intended to be used for hiring locally licensed professionals. The company's on-demand mobile video platform uses artificial intelligence (AI) to offer an easy way to get quotes for required projects without picking up the phone, enabling homeowners to hire contractors and get a hassle-free way to get things done.</t>
  </si>
  <si>
    <t>Application Software*, Information Services (B2C), Other Services (B2C Non-Financial)</t>
  </si>
  <si>
    <t>artificial intelligence, household service, local services, on demand mobile video platform, on demand video streaming</t>
  </si>
  <si>
    <t>www.clipcall.it</t>
  </si>
  <si>
    <t>128276-92P</t>
  </si>
  <si>
    <t>Einat Domb-Har</t>
  </si>
  <si>
    <t>einat@clipcall.it</t>
  </si>
  <si>
    <t>info@clipcall.it</t>
  </si>
  <si>
    <t>The company raised an undisclosed amount of venture funding from O.G. Tech Ventures. Earlier, the company raised an undisclosed amount of venture funding from Verizon Ventures on January 19, 2017.</t>
  </si>
  <si>
    <t>lool Ventures, Nautilus by AOL, O.G. Tech Ventures, UpWest Labs, Verizon Ventures</t>
  </si>
  <si>
    <t>lool Ventures(www.lool.vc), O.G. Tech Ventures(www.og-tech.vc), UpWest Labs(www.upwestlabs.com), Verizon Ventures(www.verizonventures.com)</t>
  </si>
  <si>
    <t>53320-87</t>
  </si>
  <si>
    <t>Clinicient</t>
  </si>
  <si>
    <t>HEALTHCAREfirst, CareCloud, Kareo, WellSky, Homecare Homebase, WebPT, Kinnser, AdvancedMD, CollaborateMD, Net Health Systems, eClinicalWorks</t>
  </si>
  <si>
    <t>Provider of revenue cycle management software designed to reward care through partnerships with the clinicians. The company's revenue cycle management software provides an integrated service for patient registration and scheduling, clinical documentation, billing and collections, revenue management and management reporting, offering people to foster an environment for learning and growth.</t>
  </si>
  <si>
    <t>clinical documentation, patient registration, physical therapy software, web based software</t>
  </si>
  <si>
    <t>www.clinicient.com</t>
  </si>
  <si>
    <t>2014: 111, 2015: 141</t>
  </si>
  <si>
    <t>112678-12P</t>
  </si>
  <si>
    <t>Steven Sipowicz</t>
  </si>
  <si>
    <t>ssipowicz@clinicient.com</t>
  </si>
  <si>
    <t>+1 (503) 525-0275</t>
  </si>
  <si>
    <t>708 South West Third Avenue</t>
  </si>
  <si>
    <t>The company raised $10 million of a planned $12 million convertible debt financing from undisclosed investors on December 13, 2017. Previously, The company raised $262,500 of venture funding from undisclosed investors on December 13, 2017. Earlier, the company raised $5 million of convertible debt financing from undisclosed investors on December 24, 2015. The company is being actively tracked by PitchBook.</t>
  </si>
  <si>
    <t>Capybara Ventures, Catalyst Investors, Fluffco Investments, Highway 12 Ventures, Northwest Technology Ventures, ORIX Growth Capital, PT NORTHWEST, Village Ventures</t>
  </si>
  <si>
    <t>Capybara Ventures(www.capybaraventures.com), Catalyst Investors(www.catalyst.com), Fluffco Investments(www.fluffco.net), Highway 12 Ventures(www.highway12ventures.com), Northwest Technology Ventures(www.nwtechventures.com), PT NORTHWEST(www.ptnorthwest.com), Village Ventures(www.villageventures.com)</t>
  </si>
  <si>
    <t>Cascadia Capital(Advisor: General), Perkins Coie(Legal Advisor), SaaS Capital(Debt Financing), Silicon Valley Bank(Debt Financing)</t>
  </si>
  <si>
    <t>166556-35</t>
  </si>
  <si>
    <t>ClimaCell</t>
  </si>
  <si>
    <t>ClimaCell Incorporated</t>
  </si>
  <si>
    <t>Global Weather, Ubimet, Freese-Notis Weather, MeteoGroup, StormGeo, Skymet Weather Services, Planalytics, Athenium Analytics, AccuWeather, The Weather Company, Earth Networks</t>
  </si>
  <si>
    <t>Developer of a hyper-local weather forecasting platform intended to improve weather forecasting with new microweather information. The company's platform utilizes wireless signals, connected vehicles, satellite-to-ground microwave signals, street cameras and other technologies along with traditional meteorological data sources to provide accurate, real-time, location-specific and on-demand weather forecasts, enabling businesses to get real-time weather information in a hassle-free manner.</t>
  </si>
  <si>
    <t>CleanTech, Internet of Things, SaaS, TMT</t>
  </si>
  <si>
    <t>environmental sensing, short term forecasting, weather forecasting application, weather forecasting system, weather monitoring</t>
  </si>
  <si>
    <t>www.climacell.co</t>
  </si>
  <si>
    <t>2017: 13, 2018: 55</t>
  </si>
  <si>
    <t>146023-57P</t>
  </si>
  <si>
    <t>Shimon Elkabetz</t>
  </si>
  <si>
    <t>shimon@climacell.co</t>
  </si>
  <si>
    <t>+1 (800) 735-7075</t>
  </si>
  <si>
    <t>280 Summer Street</t>
  </si>
  <si>
    <t>info@climacell.co</t>
  </si>
  <si>
    <t>The company raised $7 million of Series B-1 venture funding from SBG Cleantech on April 10, 2019, putting the company's pre-money valuation at $210 million.</t>
  </si>
  <si>
    <t>Canaan Partners, Clearvision Ventures, Evergy Ventures, Fontinalis Partners, Ford Smart Mobility, Harvard i-lab, Intact Ventures, JetBlue Technology Ventures, MassChallenge, National Grid, National Grid Partners, PLUS Ventures, Project 11 Ventures, Ratan Tata, Sapir Venture Partners, SBG Cleantech, Square Peg Capital, The Graduate Syndicate</t>
  </si>
  <si>
    <t>Canaan Partners(www.canaan.com), Clearvision Ventures(www.clearvisionventures.com), Evergy Ventures(www.evergyventures.com), Fontinalis Partners(www.fontinalis.com), JetBlue Technology Ventures(www.jetblueventures.com), MassChallenge(www.masschallenge.org), National Grid(www.nationalgrid.com), National Grid Partners(www.ngpartners.com), PLUS Ventures(www.plusventures.co.il), Project 11 Ventures(www.project11.com), Sapir Venture Partners(www.sapirvp.com), SBG Cleantech(www.sbenergy.co.jp), Square Peg Capital(www.squarepegcap.com), The Graduate Syndicate(www.thegraduatesyndicate.com)</t>
  </si>
  <si>
    <t>Goodwin(Legal Advisor), Gunderson Dettmer(Legal Advisor), Pearl Cohen Zedek Latzer Baratz(Legal Advisor)</t>
  </si>
  <si>
    <t>56215-99</t>
  </si>
  <si>
    <t>Clevest Solutions</t>
  </si>
  <si>
    <t>Clevest</t>
  </si>
  <si>
    <t>EcoPlant</t>
  </si>
  <si>
    <t>Provider of innovative and configurable mobile workforce management and smart grid operations software. The company specializes in optimizing utility field operations, automating field activities and processes to improve safety, reliability and response time.</t>
  </si>
  <si>
    <t>Automation/Workflow Software*, Multi-Utilities</t>
  </si>
  <si>
    <t>mobile field force, smart grid, vehicle location, workforce automation, workforce management</t>
  </si>
  <si>
    <t>www.clevest.com</t>
  </si>
  <si>
    <t>2014: 95</t>
  </si>
  <si>
    <t>109171-45P</t>
  </si>
  <si>
    <t>Trevor Greene</t>
  </si>
  <si>
    <t>trevor.greene@clevest.com</t>
  </si>
  <si>
    <t>+1 (604) 214-9700</t>
  </si>
  <si>
    <t>13700 International Place</t>
  </si>
  <si>
    <t>V6V 2X8</t>
  </si>
  <si>
    <t>info@clevest.com</t>
  </si>
  <si>
    <t>Accel-KKR sold its stake in the company on an undisclosed date.</t>
  </si>
  <si>
    <t>Energy Impact Partners, Vancity Capital, WUTIF Capital</t>
  </si>
  <si>
    <t>Accel-KKR</t>
  </si>
  <si>
    <t>Energy Impact Partners(www.energyimpactpartners.com), Vancity Capital(www.vancity.com/BusinessBanking/Financing/GrowthCapital), WUTIF Capital(www.wutif.ca)</t>
  </si>
  <si>
    <t>Accel-KKR(www.accel-kkr.com)</t>
  </si>
  <si>
    <t>Espresso Capital(Debt Financing), Fort Capital(Advisor: Financial Due Diligence)</t>
  </si>
  <si>
    <t>54608-59</t>
  </si>
  <si>
    <t>Clearpath Robotics</t>
  </si>
  <si>
    <t>Clearpath</t>
  </si>
  <si>
    <t>6 River Systems, Bossa Nova Robotics, Humatics, Soft Robotics, Savioke, Locus Robotics</t>
  </si>
  <si>
    <t>Developer of self-driving technology, products and services designed to facilitate autonomous mobile robotics, robot development, deployment and operation. The company's technology provides self-driving vehicles that use software and sensors to collaborate with workers and intelligently deliver goods without modifying facility infrastructure or changing current processes, enabling users to access safe and efficient material transport inside factories and warehouses.</t>
  </si>
  <si>
    <t>Electrical Equipment*, Machinery (B2B), Other Software</t>
  </si>
  <si>
    <t>Artificial Intelligence &amp; Machine Learning, Autonomous cars, Industrials, Robotics and Drones, TMT</t>
  </si>
  <si>
    <t>autonomous robots, custom robotics, self drives vehicles, unmanned surface vessels</t>
  </si>
  <si>
    <t>www.clearpathrobotics.com</t>
  </si>
  <si>
    <t>2015: 107, 2016: 155, 2018: 200</t>
  </si>
  <si>
    <t>61698-88P</t>
  </si>
  <si>
    <t>Matthew Rendall</t>
  </si>
  <si>
    <t>matt@clearpathrobotics.com</t>
  </si>
  <si>
    <t>+1 (519) 513-2416</t>
  </si>
  <si>
    <t>1425 Strasburg Road</t>
  </si>
  <si>
    <t>N2R 1H2</t>
  </si>
  <si>
    <t>+1 (888) 374-0091</t>
  </si>
  <si>
    <t>info@clearpathrobotics.com</t>
  </si>
  <si>
    <t>The company joined Startup Autobahn as a part of its Program 4 on March 23, 2018 and received an undisclosed amount in funding.</t>
  </si>
  <si>
    <t>C100 Association, Canada Federal Government, Canrock Ventures, Caterpillar Ventures, Devon Galloway, Eclipse Ventures, GE Ventures, Hedgewood, Inovia Capital, Keiretsu Forum, Kensington Capital Partners, Laurence Capital, Michael Litt, Ontario Centres of Excellence, RRE Ventures, Silicon Valley Bank, Startup Autobahn, TecTerra, The Accelerator Centre</t>
  </si>
  <si>
    <t>C100 Association(www.thec100.org), Canrock Ventures(www.canrockventures.com), Eclipse Ventures(www.eclipse.vc), GE Ventures(www.geventures.com), Hedgewood(www.hedgewood.com), Inovia Capital(www.inovia.vc), Keiretsu Forum(www.keiretsuforum.com), Kensington Capital Partners(www.kcpl.ca), Laurence Capital(www.laurencecapital.com), Ontario Centres of Excellence(www.oce-ontario.org), RRE Ventures(www.rre.com), Silicon Valley Bank(www.svb.com), Startup Autobahn(www.startup-autobahn.com), TecTerra(www.tecterra.com), The Accelerator Centre(www.acceleratorcentre.com)</t>
  </si>
  <si>
    <t>Gunderson Dettmer(Legal Advisor), PCK IP(Intellectual Property)</t>
  </si>
  <si>
    <t>129255-04</t>
  </si>
  <si>
    <t>ClearMetal</t>
  </si>
  <si>
    <t>Delphix, ForePaaS, DataStax, Tutum, Apprenda, Apcera, Diamanti, Heptio, RightScale, ClusterHQ, Mesosphere, Cloudera, Puppet, Nirmata, Twistlock</t>
  </si>
  <si>
    <t>Developer of a predictive logistics platform designed to unlock unprecedented efficiencies for global trade. The company's predictive intelligence platform centralizes data from disparate systems, structures it cleanly, makes it API accessible and machine-intelligence ready, enabling organizations to increase revenue, margin and more effectively leverage container and vessel allocations.</t>
  </si>
  <si>
    <t>data science technology, logistics platform, predictive intelligence, predictive intelligence platform, predictive logistics</t>
  </si>
  <si>
    <t>www.clearmetal.com</t>
  </si>
  <si>
    <t>Competitor (New) Twistlock</t>
  </si>
  <si>
    <t>128979-19P</t>
  </si>
  <si>
    <t>Adam Compain</t>
  </si>
  <si>
    <t>adam@clearmetal.com</t>
  </si>
  <si>
    <t>+1 (415) 857-4390</t>
  </si>
  <si>
    <t>info@clearmetal.com</t>
  </si>
  <si>
    <t>The company raised $9.29 million of Series A venture funding in a deal led by Prelude Ventures and Innovation Endeavors on September 20, 2017, putting the company's pre-money valuation at $20 million. New Enterprise Associates, SAP.iO Foundry, PSA unboXed, Direct ChassisLink and John Urban also participated in the round. The funds will be used to further unlock value for the company's customers and expand its capabilities in the rapidly-growing Predictive Logistics space and beyond. Previously, the company joined Plug and Play Tech Center as a part of its Fall 2017 batch and received an undisclosed amount of funding on July 6, 2017.</t>
  </si>
  <si>
    <t>Alchemist Accelerator, David Pidwell, Direct ChassisLink, Innovation Endeavors, John Urban, Jonathan Shields, Mike Hurst, New Enterprise Associates, Plug and Play Tech Center, Prelude Ventures, PSA unboXed, SAP.iO Foundry, Skyview Fund, Stanford Venture Studio, StartX</t>
  </si>
  <si>
    <t>Alchemist Accelerator(www.alchemistaccelerator.com), Direct ChassisLink(www.dcli.com), Innovation Endeavors(www.innovationendeavors.com), New Enterprise Associates(www.nea.com), Plug and Play Tech Center(www.plugandplaytechcenter.com), Prelude Ventures(www.preludeventures.com), PSA unboXed(unboxed.globalpsa.com), SAP.iO Foundry(sap.io), Skyview Fund(www.skyviewfund.com), StartX(www.startx.com)</t>
  </si>
  <si>
    <t>92542-33</t>
  </si>
  <si>
    <t>Classy</t>
  </si>
  <si>
    <t>StayClassy</t>
  </si>
  <si>
    <t>Change Heroes, Kimbia, Community Funded, PledgeCents, Funraise, FundRazr, GoFundMe, iDonate, Razoo Global, MobileCause, Crowdfunder, Kickstarter, Kindful, DeDeo, Tilt, Indiegogo, Fundraise.com, JustGiving, Onevest, SeedInvest, Fundly, Qgiv, Salsa Labs, Network for Good, Blackbaud</t>
  </si>
  <si>
    <t>Provider of an online fundraising platform designed to mobilize and empower the world for good. The company's platform offers a fundraising suite that includes crowdfunding, peer-to-peer fundraising, online donations and event management, enabling users to raise money for a social cause.</t>
  </si>
  <si>
    <t>Application Software, Financial Software*, Other Financial Services, Social/Platform Software</t>
  </si>
  <si>
    <t>crowdfunding software, events management software, fundraising, fundraising software, nonprofit organization, online fundraising platform, peer-to-peer fundraising, social enterprise</t>
  </si>
  <si>
    <t>www.classy.org</t>
  </si>
  <si>
    <t>2014: 63, 2015: 80, 2016: 200, 2017: 212, 2018: 220</t>
  </si>
  <si>
    <t>85926-25P</t>
  </si>
  <si>
    <t>Scot Chisholm</t>
  </si>
  <si>
    <t>schisholm@classy.org</t>
  </si>
  <si>
    <t>+1 (619) 961-1892</t>
  </si>
  <si>
    <t>350 Tenth Avenue</t>
  </si>
  <si>
    <t>92101</t>
  </si>
  <si>
    <t>info@classy.org</t>
  </si>
  <si>
    <t>The company received $10 million of debt financing in the form of senior debt from Comerica Bank in April 2018. DLA Piper acted as a legal advisor to the bank in this transaction.</t>
  </si>
  <si>
    <t>Adam Garone, Alex Bard, Bullpen Capital, Chris Himes, CONNECT (Accelerator), Galileo Partners, Hinge Capital, JMI Equity, Mithril Capital Management, Rethink Impact, RHG Holdings, Salesforce Ventures, Tabreez Verjee, Western Technology Investment, Zipdragon Ventures</t>
  </si>
  <si>
    <t>Bullpen Capital(www.bullpencap.com), CONNECT (Accelerator)(www.connect.org), Galileo Partners(www.galileo.fr), Hinge Capital(www.hingecapital.com), JMI Equity(www.jmi.com), Mithril Capital Management(www.mithril.com), Rethink Impact(www.rethinkimpact.com), RHG Holdings(rhgholdings.com), Western Technology Investment(www.westerntech.com), Zipdragon Ventures(www.zipdragon.com)</t>
  </si>
  <si>
    <t>Hughes Marino(Consulting)</t>
  </si>
  <si>
    <t>Comerica Bank(Debt Financing), Procopio, Cory, Hargreaves &amp; Savitch(Legal Advisor), Western Technology Investment(Debt Financing)</t>
  </si>
  <si>
    <t>103890-70</t>
  </si>
  <si>
    <t>Classting</t>
  </si>
  <si>
    <t>Provider of an education social platform designed to accelerate the development of personalized education services. The company's platform uses Big Data and AI as well as offers a wide range of educational services, including classroom information, curriculum and counseling, enabling students to communicate with their classmates and exchange information easily.</t>
  </si>
  <si>
    <t>Educational and Training Services (B2C), Educational Software*, Information Services (B2C)</t>
  </si>
  <si>
    <t>Artificial Intelligence &amp; Machine Learning, Big Data, EdTech, SaaS, TMT</t>
  </si>
  <si>
    <t>adaptive learning, educational network, educational platform, educational services, online education</t>
  </si>
  <si>
    <t>www.classting.com</t>
  </si>
  <si>
    <t>133125-31P</t>
  </si>
  <si>
    <t>Dave Cho</t>
  </si>
  <si>
    <t>hcho@classting.com</t>
  </si>
  <si>
    <t>6F, 507 Teheran-ro</t>
  </si>
  <si>
    <t>Number 06168</t>
  </si>
  <si>
    <t>Gangnamgu</t>
  </si>
  <si>
    <t>135-889</t>
  </si>
  <si>
    <t>withus@classting.com</t>
  </si>
  <si>
    <t>The company raised $6.5 million of venture funding from Mistletoe and Korea Development Bank on October 10, 2018. The company intends to use the funds to develop personalized education services using advanced technologies, such as Big Data and AI, as well as expanding its Asian business. Earlier, SoftBank Ventures Asia sold its stake in the company to undisclosed investors in 2018.</t>
  </si>
  <si>
    <t>Korea Development Bank, Mistletoe, Partners Investment, Samsung Venture Investment</t>
  </si>
  <si>
    <t>SoftBank Ventures Asia</t>
  </si>
  <si>
    <t>Korea Development Bank(www.kdb.co.kr), Mistletoe(www.mistletoe.co), Partners Investment(www.partnersi.co.kr), Samsung Venture Investment(www.samsungventures.com)</t>
  </si>
  <si>
    <t>SoftBank Ventures Asia(www.softbank.co.kr)</t>
  </si>
  <si>
    <t>54710-65</t>
  </si>
  <si>
    <t>ClassPass</t>
  </si>
  <si>
    <t>Class Pass Inc., Classtivity Inc., DabbleNow Inc.</t>
  </si>
  <si>
    <t>Fitmob, Fitternity, FitReserve, 8fit, GAIN Fitness, MoveGB, Freeletics, GuavaPass, Wildfire Life, Peerfit</t>
  </si>
  <si>
    <t>Developer of a fitness training application designed to offer various fitness training classes. The company's application features on demand video clips of yoga, aerobics and weight training from gym and classes, enabling users to search for various fitness programs, workout and remain fit from their homes without the need of going to gym.</t>
  </si>
  <si>
    <t>Application Software*, Leisure Facilities</t>
  </si>
  <si>
    <t>fitness application, fitness classes, fitness membership program, fitness training app, workout service</t>
  </si>
  <si>
    <t>www.classpass.com</t>
  </si>
  <si>
    <t>2014: 40, 2015: 180, 2017: 211, 2018: 335, 2019: 300</t>
  </si>
  <si>
    <t>41913-46P</t>
  </si>
  <si>
    <t>Richard Lanman</t>
  </si>
  <si>
    <t>fritz@classpass.com</t>
  </si>
  <si>
    <t>+1 (917) 979-4701</t>
  </si>
  <si>
    <t>275 7th Avenue</t>
  </si>
  <si>
    <t>info@classpass.com</t>
  </si>
  <si>
    <t>The company raised $5 million of venture funding from undisclosed investors on April 1, 2019. Previously, the company raised $525,588 of Series X1 venture funding from undisclosed investors on January 28, 2019.</t>
  </si>
  <si>
    <t>Acequia Capital, Adrian Aoun, Annox Capital, Arena Ventures, Aviv Nevo, BAM Ventures, Beehive Holdings, Blake Krikorian, BluePointe Ventures, BoxGroup, Charles River Ventures, Charles Songhurst, Chris Sang, Corigin Ventures, Dave Morin, David Tisch, Eastward Capital Partners, Esther Dyson, Expanding Capital, Fifth Wall Ventures, General Catalyst, Gordon Crawford, Grace Stanat, Grey Wolf VC, GV, Hadi Partovi, Hank Vigil, Hemisphere Ventures, Hinge Capital, Jesse Middleton, Kal Vepuri, Kevin Colleran, L Catterton, M13, Mayfield Fund, Miroma Ventures, Nelstone Ventures, Otter Rock Capital, Owen Van Natta, QueensBridge Venture Partners, Recruit Strategic Partners, Richard Lanman, Right Side Capital Management, Romulus Capital, Samuel Lessin, Scott Banister, Shana Fisher, Slow Ventures, Springboard Enterprises, Springboard Growth Capital, SV Angel, Teamworthy Ventures, Techstars, Temasek Holdings, Thrive Capital, Tyler Willis, Vast Ventures</t>
  </si>
  <si>
    <t>Acequia Capital(acecap.com), Annox Capital(www.annoxcapital.com), Arena Ventures(www.arenavc.com), BAM Ventures(www.bam.vc), Beehive Holdings(www.beehiveholdings.com), BluePointe Ventures(www.bluepointeventures.com), BoxGroup(www.boxgroup.com), Charles River Ventures(www.crv.com), Chris Sang(www.chrissang.com), Corigin Ventures(www.coriginventures.com), Dave Morin(www.davemorin.com), David Tisch(www.davidtisch.com), Eastward Capital Partners(www.eastwardcp.com), Expanding Capital(www.xcap.vc), Fifth Wall Ventures(www.fifthwall.vc), General Catalyst(www.generalcatalyst.com), Grey Wolf VC(www.greywolf.vc), GV(www.gv.com), Hemisphere Ventures(www.hemisphere.com), Hinge Capital(www.hingecapital.com), Kevin Colleran(facebook.com/kevin), L Catterton(www.lcatterton.com), M13(www.m13.co), Mayfield Fund(www.mayfield.com), Miroma Ventures(www.miromaventures.com), Nelstone Ventures(www.nelstoneventures.com), Otter Rock Capital(www.otterrockcapital.com), QueensBridge Venture Partners(www.qbvp.com), Recruit Strategic Partners(recruitstrategicpartners.com), Right Side Capital Management(www.rightsidecapital.com), Romulus Capital(www.romuluscap.com), Samuel Lessin(www.wlessin.com), Slow Ventures(www.slow.co), Springboard Enterprises(www.sb.co), Springboard Growth Capital(www.springboardgc.com), SV Angel(www.svangel.com), Teamworthy Ventures(www.teamworthy.com), Techstars(www.techstars.com), Temasek Holdings(www.temasek.com.sg), Thrive Capital(www.thrivecap.com), Vast Ventures(www.vastvc.com)</t>
  </si>
  <si>
    <t>ASTRSK PR(Advisor: Communications), Hawke Media(Consulting), True Capital Partners(Advisor: General)</t>
  </si>
  <si>
    <t>Hawke Media(Consulting), True Capital Partners(Advisor: General)</t>
  </si>
  <si>
    <t>166296-07</t>
  </si>
  <si>
    <t>Claroty</t>
  </si>
  <si>
    <t>Mocana, CyberX, Tanium, SecurityMatters, Siemplify, Axonius, NextNine, OneLogin, Blackberry, NexDefense, Nozomi Networks, Radiflow, GreatHorn, Cybereason, CounterTack, Ziften, Tenable, Bastille Networks, Bayshore Networks, Verodin, McAfee, Phantom Cyber, ProtectWise, Cyberbit, Panaseer, Respond Software, GuardiCore, Interset, Indegy, Centrify, Karamba Security, Seculert, Veracity Industrial Networks, Rapid7, Uplevel, E8 Security, Guidance Software, Waterfall Security Solutions, SecureAuth, Nexthink, Attivo Networks, BeyondTrust Software, Forcepoint, Sentryo, Blue Cedar, Kaymera, Atonomi, LogRhythm, Wandera, Digital Shadows, Exabeam, Aqua Security, Endgame, DearBytes, Webroot, Rhebo, CrowdStrike, Cylance, Komand, Aternity, Lumeta, SCADAfence, Carbon Black, Pulse Secure, Gremlin, Blueliv, IBM Resilient, Sqrrl, Barkly, BeyondTrust Software (Acquired), LookingGlass Cyber Solutions, LightCyber, Recorded Future, Thycotic Software, Fidelis Cybersecurity, ExtraHop Networks, Swimlane, Skycure, D3 Security, Avecto, Damballa, TowerSec, Hexadite, Securonix, PAS Global, Votiro, Ayehu, Wurldtech Security Technologies, Cymmetria, Symantec, Apcera, ThetaRay, SafeBreach, Qualys, Demisto, Lookout, Intrinsic-ID, SecureWorks, Appthority, Lakeside Software, Snyk, FireEye</t>
  </si>
  <si>
    <t>Provider of an Operational Technology (OT) network protection platform designed to monitor network assets and communication patterns. The company's platform provides real-time monitoring, high-fidelity models and advanced analytics to detect anomalies and to rapidly alert organizations to security and process integrity issues, enabling users to control system devices, protocols and networks.</t>
  </si>
  <si>
    <t>cyber security product, high-fidelity model, ic threat detection, industrial control network, network protection, operational technology, passive monitoring</t>
  </si>
  <si>
    <t>www.claroty.com</t>
  </si>
  <si>
    <t>2016: 45</t>
  </si>
  <si>
    <t>145161-64P</t>
  </si>
  <si>
    <t>Yaron Shalom</t>
  </si>
  <si>
    <t>yaron@claroty.com</t>
  </si>
  <si>
    <t>+1 (212) 937-9095</t>
  </si>
  <si>
    <t>488 Madison</t>
  </si>
  <si>
    <t>contact@claroty.com</t>
  </si>
  <si>
    <t>The company raised an undisclosed amount of Series C1 venture funding from GM Ventures on December 31, 2018. Previously, the company raised $60 million of Series B venture funding in a deal led by Temasek Holdings on June 1, 2018. Rockwell Automation, Israel Cleantech Ventures, Next47, Tekfen Ventures, Rain Capital, Aster Capital Partners, Clearvision Ventures, Bessemer Venture Partners, GXP Investments, Innovation Endeavors, Team8, Schneider Electric and Siemens also participated in the round.</t>
  </si>
  <si>
    <t>Aster Capital, Bessemer Venture Partners, BMW i Ventures, Clearvision Ventures, Evergy Ventures, Innovation Endeavors, Israel Cleantech Ventures, Marker, Mitsui &amp; Co., Next47, NightDragon Security, Rain Capital, Red Dot Capital Partners, Rockwell Automation, Schneider Electric, Siemens, Team8, Tekfen Ventures, Temasek Holdings</t>
  </si>
  <si>
    <t>Aster Capital(www.aster.com), Bessemer Venture Partners(www.bvp.com), BMW i Ventures(www.bmwiventures.com), Clearvision Ventures(www.clearvisionventures.com), Evergy Ventures(www.evergyventures.com), Innovation Endeavors(www.innovationendeavors.com), Israel Cleantech Ventures(www.icv.vc), Marker(www.marker-llc.com), Mitsui &amp; Co.(www.mitsui.com), Next47(Next47.com), NightDragon Security(www.nightdragon.com), Rain Capital(www.raincapital.vc), Red Dot Capital Partners(www.red-dot.capital), Rockwell Automation(www.rockwellautomation.com), Schneider Electric(www.schneider-electric.com), Siemens(new.siemens.com), Team8(www.team8.vc), Tekfen Ventures(www.tekfenventures.com), Temasek Holdings(www.temasek.com.sg)</t>
  </si>
  <si>
    <t>95868-37</t>
  </si>
  <si>
    <t>Clarke Valve</t>
  </si>
  <si>
    <t>Shutter Valves</t>
  </si>
  <si>
    <t>Flowserve, Tyco Flow Control International, Cameron (Offshore Rigs Business), Emerson</t>
  </si>
  <si>
    <t>Developer of energy-saving shutter valves designed to work in a variety of industrial and aerospace applications. The company's energy-saving shutter valves offer a combination of zero pressure drop, zero flow restriction, full piggability, precise flow control, negligible turbulence, low cavitation, low water hammer, low noise, ultra-thin footprint, low power consumption, plug and play adaptability and long-term reliability, enabling power plants, oil and gas facilities and chemical plants to efficiently use these valves in various challenging applications.</t>
  </si>
  <si>
    <t>aerospace-inspired valves, industrial valves product, shutters valves, valves technology</t>
  </si>
  <si>
    <t>www.clarkevalve.com</t>
  </si>
  <si>
    <t>2016: 51, 2017: 5, 2018: 10, 2019: 17</t>
  </si>
  <si>
    <t>94351-96P</t>
  </si>
  <si>
    <t>Mark Kacer</t>
  </si>
  <si>
    <t>mark.kacer@shuttervalve.com</t>
  </si>
  <si>
    <t>+1 (401) 667-7880</t>
  </si>
  <si>
    <t>North Kingstown, RI</t>
  </si>
  <si>
    <t>42 White Cap Drive</t>
  </si>
  <si>
    <t>North Kingstown</t>
  </si>
  <si>
    <t>02852</t>
  </si>
  <si>
    <t>+1 (401) 667-0045</t>
  </si>
  <si>
    <t>info@clarkevalve.com</t>
  </si>
  <si>
    <t>The company raised $15.5 million of Series B venture funding in a deal led by Saudi Aramco Energy Ventures and Oil and Gas Climate Initiative on September 25, 2018. Chevron Technology Ventures, Ocean Azul Partners and New World Angels also participated in the round.</t>
  </si>
  <si>
    <t>Alexander Blake, Chevron Technology Ventures, Michael Chavira, New World Angels, Ocean Azul Partners, Oil and Gas Climate Initiative, Peter Livingston, Saudi Aramco Energy Ventures, Westlake Ventures (St. Petersburg)</t>
  </si>
  <si>
    <t>New World Angels(www.newworldangels.com), Ocean Azul Partners(www.oceanazulpartners.com), Oil and Gas Climate Initiative(www.oilandgasclimateinitiative.com), Saudi Aramco Energy Ventures(www.saev.com), Westlake Ventures (St. Petersburg)(www.westlakeventures.net)</t>
  </si>
  <si>
    <t>Bank of America(General Business Banking), Cherry Bekaert(Auditor), Lewis Brisbois Bisgaard &amp; Smith(Legal Advisor)</t>
  </si>
  <si>
    <t>Lewis Brisbois Bisgaard &amp; Smith(Legal Advisor)</t>
  </si>
  <si>
    <t>97832-98</t>
  </si>
  <si>
    <t>Clarifai</t>
  </si>
  <si>
    <t>Deepomatic, Valossa, Pcsso, MetaMind, Mad Street Den, Nervana Systems, Imagga</t>
  </si>
  <si>
    <t>Provider of a visual recognition artificial intelligence-based platform designed to interpret images and videos. The company's visual recognition artificial intelligence-based platform uses machine learning to offer image-based recommendations and related content in real-time, enabling clients to find similar images in uncategorized repositories using a combination of semantic and visual similarity.</t>
  </si>
  <si>
    <t>Other Information Technology, Other Software*</t>
  </si>
  <si>
    <t>artificial intelligence, machine learning system, visual search</t>
  </si>
  <si>
    <t>www.clarifai.com</t>
  </si>
  <si>
    <t>2015: 26, 2016: 34</t>
  </si>
  <si>
    <t>80336-89P</t>
  </si>
  <si>
    <t>Matthew Zeiler</t>
  </si>
  <si>
    <t>matthew@clarifai.com</t>
  </si>
  <si>
    <t>218 West 18th Street</t>
  </si>
  <si>
    <t>info@clarifai.com</t>
  </si>
  <si>
    <t>The company raised $30.00 million of Series B venture funding in a deal led by Menlo Ventures on October 12, 2016, putting the company's pre-money valuation at $90.00 million. Qualcomm Ventures, Union Square Ventures, Lux Capital, Osage University Partners, Winston Venture Capital and others undisclosed investors also participated in the round. The new funding will be used to accelerate the expansion of the company's engineering and business teams, hire key research talent and continue rapid artificial intelligence innovation with new product releases.</t>
  </si>
  <si>
    <t>Corazon Capital, GV, Jan-Erik Solem, LDV Capital, Lux Capital, Menlo Ventures, NVIDIA GPU Ventures, NYU Innovation Venture Fund, NYU Tandon School of Engineering, Osage University Partners, Qualcomm Ventures, R/GA Accelerator, Union Square Ventures, Westfield Labs, Winston Venture Capital</t>
  </si>
  <si>
    <t>Corazon Capital(www.corazoncap.com), GV(www.gv.com), LDV Capital(www.ldv.co), Lux Capital(www.luxcapital.com), Menlo Ventures(www.menlovc.com), NYU Innovation Venture Fund(ntrepreneur.nyu.edu/resource/innovation-venture-fund), NYU Tandon School of Engineering(www.engineering.nyu.edu/business/future-labs), Osage University Partners(www.oup.vc), Qualcomm Ventures(www.qualcommventures.com), R/GA Accelerator(www.rgaaccelerator.com), Union Square Ventures(www.usv.com), Westfield Labs(www.westfieldretailsolutions.com), Winston Venture Capital(www.winstonventure.com)</t>
  </si>
  <si>
    <t>154640-98</t>
  </si>
  <si>
    <t>Claire</t>
  </si>
  <si>
    <t>Developer of a travel management software designed to offer Artificial Intelligence powered travel assistant for businesses. The company's travel management software manages corporate travel as well as searches and books flights via intuitive commands, enabling small and mid-sized businesses to access personalized shortlist of trips for them and book their travel schedules via text messages.</t>
  </si>
  <si>
    <t>Business/Productivity Software*, Internet Software, Other Information Technology</t>
  </si>
  <si>
    <t>corporate travel, travel assistant, travel management, travel schedule</t>
  </si>
  <si>
    <t>www.30secondstofly.com</t>
  </si>
  <si>
    <t>129383-56P</t>
  </si>
  <si>
    <t>Riccardo Vittoria</t>
  </si>
  <si>
    <t>riccardo@30secondstofly.com</t>
  </si>
  <si>
    <t>San Carlos, CA</t>
  </si>
  <si>
    <t>999 Skyway Road</t>
  </si>
  <si>
    <t>San Carlos</t>
  </si>
  <si>
    <t>94070</t>
  </si>
  <si>
    <t>+1 (925) 334-2600</t>
  </si>
  <si>
    <t>info@30secondstofly.com</t>
  </si>
  <si>
    <t>The company joined Plug and Play Tech Center as a part of its Summer Summit 2017 on March 21, 2017.</t>
  </si>
  <si>
    <t>Alessandro Ciancimino, Andrea Rota, Cockpit Ventures, Daniele Pallocca, Flight Centre Travel Group, Founder.org, JetBlue Technology Ventures, Luca Venturini, Luis Davila, Lukas Klaschinski, NYU Tandon School of Engineering, Plug and Play Tech Center, Roberto Stazi, Salesforce Ventures</t>
  </si>
  <si>
    <t>Flight Centre Travel Group(www.fctgl.com), Founder.org(www.founder.org), JetBlue Technology Ventures(www.jetblueventures.com), NYU Tandon School of Engineering(www.engineering.nyu.edu/business/future-labs), Plug and Play Tech Center(www.plugandplaytechcenter.com)</t>
  </si>
  <si>
    <t>101176-48</t>
  </si>
  <si>
    <t>Civis Analytics</t>
  </si>
  <si>
    <t>Civis</t>
  </si>
  <si>
    <t>conDati, Emcien, Datascience.com, Dataiku, The MathWorks, Talend, HealCode, Socrata, MapR, Platfora, Palantir Technologies, Absolutdata Intelligent Analytics, Astronomer, Informatica, Think Big Analytics, Databricks, Datameer, Lattice (Business/Productivity Software), Skytree, Salesforce, 1010data, Pentaho, Opera Solutions, Symphony AyasdiAI, Konux</t>
  </si>
  <si>
    <t>Provider of a data science platform. The company offers cloud-based products that provide big data and predictive analytics for organizations in healthcare, media and education.</t>
  </si>
  <si>
    <t>big data analytics, data science platform, predictive analytics</t>
  </si>
  <si>
    <t>www.civisanalytics.com</t>
  </si>
  <si>
    <t>2015: 95, 2016: 135</t>
  </si>
  <si>
    <t>106801-30P</t>
  </si>
  <si>
    <t>Alan Fu</t>
  </si>
  <si>
    <t>afu@civisanalytics.com</t>
  </si>
  <si>
    <t>+1 (312) 985-0173</t>
  </si>
  <si>
    <t>Post Office Box 4042</t>
  </si>
  <si>
    <t>info@civisanalytics.com</t>
  </si>
  <si>
    <t>The company raised $22 million of Series A venture funding led by Drive Capital on November 30, 2016, putting the pre-money valuation at $98 million. Verizon Ventures, WPP and Eric Schmidt also participated. The company intends to use the funds to hire new people, conduct research and development activities, expand the product offerings and target new sectors.</t>
  </si>
  <si>
    <t>Drive Capital, Eric Schmidt, Verizon Ventures, WPP</t>
  </si>
  <si>
    <t>Drive Capital(www.drivecapital.com), Verizon Ventures(www.verizonventures.com), WPP(www.wpp.com)</t>
  </si>
  <si>
    <t>231662-71</t>
  </si>
  <si>
    <t>CityRow</t>
  </si>
  <si>
    <t>Operator of health and fitness studio intended to increase aerobic capacity and efficiency of the body. The company's workout plan includes alternating intervals deliver a triple threat workout of high-intensity sweat, low-impact burn and total body results using water-rower row machines which uses water to create dynamic resistance enabling clients to reach their fitness goal in a more scientific manner.</t>
  </si>
  <si>
    <t>fitness studio, health and fitness, health and fitness club, high intensity workout</t>
  </si>
  <si>
    <t>www.cityrow.com</t>
  </si>
  <si>
    <t>190835-83P</t>
  </si>
  <si>
    <t>Helaine Knapp</t>
  </si>
  <si>
    <t>Founder, Managing Member &amp; Chief Executive Officer</t>
  </si>
  <si>
    <t>helaine@cityrow.com</t>
  </si>
  <si>
    <t>+1 (212) 242-4790</t>
  </si>
  <si>
    <t>80 5th Avenue</t>
  </si>
  <si>
    <t>15th floor Suite 1501</t>
  </si>
  <si>
    <t>info@cityrow.com</t>
  </si>
  <si>
    <t>The company raised $260,000 of venture funding from The Fund, CircleUp Network and other undisclosed investors in 2017. The total amount was originally raised in the form of convertible debt and subsequently converted to equity.</t>
  </si>
  <si>
    <t>CircleUp Network, The Fund</t>
  </si>
  <si>
    <t>97410-16</t>
  </si>
  <si>
    <t>City Cloud International</t>
  </si>
  <si>
    <t>CCI</t>
  </si>
  <si>
    <t>UnitedStack, ViaWest, Trek10, Mirantis, Cloudnexa, REAN Cloud, Cloudreach Europe, AllCloud, Nubeliu</t>
  </si>
  <si>
    <t>Provider of a cloud-based platform and cloud service intended for smart and connected cities. The company's cloud-based platform and cloud service includes smart connected communities and cloud computing enabling government, finance, education, healthcare and transportation industries to get cloud computing and big data easily.</t>
  </si>
  <si>
    <t>Application Software, Other Information Technology, Systems and Information Management*</t>
  </si>
  <si>
    <t>Big Data, Internet of Things, SaaS, TMT</t>
  </si>
  <si>
    <t>cloud computing, cloud-based platform, public service platform, smart city</t>
  </si>
  <si>
    <t>www.citycloud.com.cn</t>
  </si>
  <si>
    <t>2017: 500</t>
  </si>
  <si>
    <t>173425-60P</t>
  </si>
  <si>
    <t>Xu Jiong</t>
  </si>
  <si>
    <t>xjj@citycloud.com.cn</t>
  </si>
  <si>
    <t>+86 (0)571 8890 2888</t>
  </si>
  <si>
    <t>17/18F, Hengxin Building, Number 588, Jiangnan Avenue</t>
  </si>
  <si>
    <t>Binjiang District</t>
  </si>
  <si>
    <t>310000</t>
  </si>
  <si>
    <t>+86 (0)571 8775 0168</t>
  </si>
  <si>
    <t>The company raised $30 million of Series B venture funding in a deal led by Cisco Investments and Country Garden Holdings on October 27, 2017. Magnetar AP Services also participated in the round. Earlier, the company raised CYR 500 million of debt financing from undisclosed investors in October 2017.</t>
  </si>
  <si>
    <t>Cisco Investments, Country Garden Holdings Company, Insigma, Magnetar AP Services</t>
  </si>
  <si>
    <t>Cisco Investments(www.ciscoinvestments.com), Country Garden Holdings Company(www.countrygarden.com.cn), Insigma(www.insigma.com.cn), Magnetar AP Services(www.magnetarap.com)</t>
  </si>
  <si>
    <t>117186-13</t>
  </si>
  <si>
    <t>Citodi</t>
  </si>
  <si>
    <t>Citode, Ci-todi, Ci.todi, Cetodi</t>
  </si>
  <si>
    <t>Provider of a cloud based automatic dispatch platform designed to simplify the process of courier delivery. The company's platform uses AI and offers automatic dispatch, pick up and delivery support, routing optimization, static and dynamic delivery management and time prediction of courier arrival, enabling clients to reduce the delivery time and increase profitability easily.</t>
  </si>
  <si>
    <t>courier delivery management, courier delivery platform, courier dispatch service, delivery management platform</t>
  </si>
  <si>
    <t>www.citodi.com</t>
  </si>
  <si>
    <t>172164-07P</t>
  </si>
  <si>
    <t>Jonathan Bouaziz</t>
  </si>
  <si>
    <t>jonathan@citodi.com</t>
  </si>
  <si>
    <t>+33 (0)1 85 76 20 29</t>
  </si>
  <si>
    <t>10, rue de Penthièvre</t>
  </si>
  <si>
    <t>75116</t>
  </si>
  <si>
    <t>contact@citodi.com</t>
  </si>
  <si>
    <t>The company raised venture funding from Bouygues Telecom Initiatives on an undisclosed date. Earlier, the company joined SAP.iO Foundry on October 17, 2018 and received an undisclosed amount in funding.</t>
  </si>
  <si>
    <t>Bouygues Telecom Initiatives, Paris&amp;Co Incubateurs, SAP.iO Foundry</t>
  </si>
  <si>
    <t>Bouygues Telecom Initiatives(www.btinitiatives.fr), Paris&amp;Co Incubateurs(www.incubateurs.parisandco.com), SAP.iO Foundry(sap.io)</t>
  </si>
  <si>
    <t>60145-57</t>
  </si>
  <si>
    <t>Circle (Financial Software)</t>
  </si>
  <si>
    <t>Tech Bureau, Coinbase, Blockstream, Lykke, Xapo, BitPesa, Metaco, BitPay, Bitstamp, Bitwala, Ripple, Revolut, Waves Platform, SFOX, Lendstar, Wirex, ShapeShift, Gemini (Digital Asset Exchange Platform), Coinify, Kraken, Safello, Betterment, Cryptopay, BitMEX, Elliptic, Project Investors, Dwolla, Glidera, Binance, Venmo, LedgerX, Satispay, SlicePay, BitGo, Bittrex, Yoyo, Voyager Digital, Bitfinex, Quoine, Robinhood, Gem, PayPal Holdings, Chainalysis, Ringpay, CoinDesk</t>
  </si>
  <si>
    <t>Operator of a cryptocurrency-focused finance company intended to send, receive and invest in cryptocurrency assets around the world. The company's finance processes and social payment application uses a peer-to-peer payments technology, enabling users to hold, send, and receive traditional fiat currencies.</t>
  </si>
  <si>
    <t>Cryptocurrency/Blockchain, FinTech, Mobile, Mobile Commerce, TMT</t>
  </si>
  <si>
    <t>bitcoin exchange, blockchain community, crypto assets exchange, crypto investment platform, currency exchange, digital currency, digital payment, online payment platform, open protocol software</t>
  </si>
  <si>
    <t>www.circle.com</t>
  </si>
  <si>
    <t>2016: 100, 2017: 120, 2018: 400</t>
  </si>
  <si>
    <t>15467-86P</t>
  </si>
  <si>
    <t>Jeremy Allaire</t>
  </si>
  <si>
    <t>jeremy@circle.com</t>
  </si>
  <si>
    <t>99 High Street, 17th Floor</t>
  </si>
  <si>
    <t>Suite 1701</t>
  </si>
  <si>
    <t>+1 (800) 398-7172</t>
  </si>
  <si>
    <t>info@circle.com</t>
  </si>
  <si>
    <t>The company is rumored to be seeking $250 million of venture funding in a combination of equity and debt from Digital Finance Group as of March 2, 2019.</t>
  </si>
  <si>
    <t>Accel, Baidu, Bitmain, Blockchain Capital, Breyer Capital, China Everbright, China International Capital Corporation, CreditEase, Digital Currency Group, Digital Finance Group, Fenbushi Capital, Fenway Summer Ventures, General Catalyst, Glenn Hutchins, Growth Technology Partners, IDG Capital, MicroVentures, Oak Investment Partners, Pantera Capital, PennSpring Capital, SAIC Capital, Sam Palmisano, SharesPost, The Goldman Sachs Group, Tusk Ventures, Wanxiang Group</t>
  </si>
  <si>
    <t>Accel(www.accel.com), Baidu(ir.baidu.com), Bitmain(www.bitmain.com), Blockchain Capital(www.blockchaincapital.com), Breyer Capital(www.breyercapital.com), China Everbright(www.everbright.com), China International Capital Corporation(www.cicc.com), CreditEase(www.creditease.cn), Digital Currency Group(www.dcg.co), Digital Finance Group(www.dfg.group), Fenbushi Capital(www.fenbushi.vc), Fenway Summer Ventures(www.fenwaysummer.com), General Catalyst(www.generalcatalyst.com), Growth Technology Partners(www.growthtechnologypartners.com), IDG Capital(en.idgcapital.com), MicroVentures(www.microventures.com), Oak Investment Partners(www.oakinv.com), Pantera Capital(www.panteracapital.com), PennSpring Capital(www.pennspring.com), SAIC Capital(www.saicvc.com), SharesPost(www.sharespost.com), The Goldman Sachs Group(www.goldmansachs.com), Tusk Ventures(www.tuskventures.com)</t>
  </si>
  <si>
    <t>Barclays(General Business Banking), Goodwin(Legal Advisor), Grant Thornton(Auditor)</t>
  </si>
  <si>
    <t>Arthur Cox(Legal Advisor), Goodwin(Legal Advisor)</t>
  </si>
  <si>
    <t>231334-48</t>
  </si>
  <si>
    <t>Cinuru Research</t>
  </si>
  <si>
    <t>Cinuru</t>
  </si>
  <si>
    <t>Movio, Filmgrail, ShowTime Analytics, Kinoheld</t>
  </si>
  <si>
    <t>Developer of data analytics tools designed for online campaigns to film studios. The company's tools offering artificial intelligence digital loyalty systems to cinemas by bringing the potential of recommender algorithms to identify most likely audiences for any given film, enabling film industry to target moviegoers more efficiently drastically reduce waste in campaigning, and bring more people to the theatre.</t>
  </si>
  <si>
    <t>Business/Productivity Software, Movies, Music and Entertainment*</t>
  </si>
  <si>
    <t>Artificial Intelligence &amp; Machine Learning, Mobile</t>
  </si>
  <si>
    <t>cinema loyalty app, directing marketing, loyalty programmes, movies recommender, recommender, taste based recommender algorithm</t>
  </si>
  <si>
    <t>www.cinuru.com</t>
  </si>
  <si>
    <t>200443-69P</t>
  </si>
  <si>
    <t>Jannis Funk</t>
  </si>
  <si>
    <t>jannis.funk@cinuru.com</t>
  </si>
  <si>
    <t>+49 (0)33 1582 5855 2</t>
  </si>
  <si>
    <t>August-Bebel-Street 26-53</t>
  </si>
  <si>
    <t>contact@cinuru.com</t>
  </si>
  <si>
    <t>The company raised an undisclosed amount of venture funding from BFB Brandenburg Kapital in 2019.</t>
  </si>
  <si>
    <t>BFB Brandenburg Kapital, Hasso Plattner Ventures, Next Media Accelerator, Storytek</t>
  </si>
  <si>
    <t>BFB Brandenburg Kapital(www.brandenburg-kapital.de), Hasso Plattner Ventures(www.hp-ventures.com), Next Media Accelerator(www.nma.vc), Storytek(www.storytek.eu)</t>
  </si>
  <si>
    <t>59932-81</t>
  </si>
  <si>
    <t>Cinarra</t>
  </si>
  <si>
    <t>Datalot, Guavus, GoodData, Invoca, Domo, CallRail, ResponseTap, CallTrackingMetrics, CallFire, Airsage, Zeotap, Flytxt</t>
  </si>
  <si>
    <t>Developer of a mobile data analytics technology platform designed to address the changing economics of an increasingly mobile society. The company's platform develops technologies for real-time, mobile data analytics and monetization in collaboration with mobile network operators and Internet application platforms, enabling users to get the access to unlock the real-life data that makes it possible for advertisers to match campaigns to consumers' activities in the real world.</t>
  </si>
  <si>
    <t>Application Software, Internet Software, Media and Information Services (B2B)*</t>
  </si>
  <si>
    <t>data analytics, mobile data, mobile data analytics technology platform, network operator</t>
  </si>
  <si>
    <t>www.cinarra.com</t>
  </si>
  <si>
    <t>2014: 19, 2015: 26, 2019: 55</t>
  </si>
  <si>
    <t>45066-70P</t>
  </si>
  <si>
    <t>Subramanian Sundaresh</t>
  </si>
  <si>
    <t>sundi@cinarra.com</t>
  </si>
  <si>
    <t>Suite 370</t>
  </si>
  <si>
    <t>The company raised $20 million of Series B venture funding in a deal led by SoftBank Capital on July 16, 2015. Almaz Capital, Accel-X and Siguler Guff &amp; Company also participated in the round. The funding will be used by the company to grow its product engineering team and expand its business with operators globally.</t>
  </si>
  <si>
    <t>Accel-X, Almaz Capital, Cisco Investments, Daniil Stolyarov, IncuVest, Individual Investor, Siguler Guff &amp; Company, SoftBank Capital</t>
  </si>
  <si>
    <t>Accel-X(www.accel-x.com), Almaz Capital(www.almazcapital.com), Cisco Investments(www.ciscoinvestments.com), IncuVest(www.incuvest.asia), Siguler Guff &amp; Company(www.sigulerguff.com), SoftBank Capital(www.softbankvc.com)</t>
  </si>
  <si>
    <t>115400-62</t>
  </si>
  <si>
    <t>CIMCON Lighting</t>
  </si>
  <si>
    <t>CIMCON</t>
  </si>
  <si>
    <t>Developer of lighting control systems created to save energy. The company's lighting systems offer intelligent wireless outdoor lighting controls and Internet of Things (IoT)-enabled light management systems, enabling city management to monitor, meter and even monetizing street lights and other assets to improve quality of life for city residents.</t>
  </si>
  <si>
    <t>Connectivity Products, Electronic Equipment and Instruments*, Other Software</t>
  </si>
  <si>
    <t>lighting control system, street light, street lighting management</t>
  </si>
  <si>
    <t>www.cimconlighting.com</t>
  </si>
  <si>
    <t>103246-12P</t>
  </si>
  <si>
    <t>Anil Agrawal</t>
  </si>
  <si>
    <t>aagrawal@cimconlighting.com</t>
  </si>
  <si>
    <t>+1 (978) 320-4002</t>
  </si>
  <si>
    <t>600 Technology Park Drive</t>
  </si>
  <si>
    <t>01821</t>
  </si>
  <si>
    <t>The company raised $16 million of Series B funding in a round led by Energy Impact Partners on May 15, 2017, putting the pre-money valuation at $32 million. Launchpad Venture Group, Clean Energy Ventures, TiE Boston, Massachusetts Clean Energy Center and other undisclosed investors also participated in this round. The investment will be used to support CIMCON's channel partners and accelerate development and deployment of the company's Smart City product portfolio.</t>
  </si>
  <si>
    <t>Clean Energy Venture Group, Energy Impact Partners, Launchpad Venture Group, Massachusetts Clean Energy Center, NXT Ventures, TiE-Boston</t>
  </si>
  <si>
    <t>Clean Energy Venture Group(www.cevg.com), Energy Impact Partners(www.energyimpactpartners.com), Launchpad Venture Group(www.launchpadventuregroup.com), Massachusetts Clean Energy Center(www.masscec.com), NXT Ventures(www.nxtventures.com), TiE-Boston(www.boston.tie.org)</t>
  </si>
  <si>
    <t>222024-88</t>
  </si>
  <si>
    <t>Cihon Technology</t>
  </si>
  <si>
    <t>Provider of a data intelligence platform intended to serve the automotive industry. The company's platform provides data analytics on vehicles, auto parts, and vehicle owners for car manufacturers and insurance providers, enabling them to improve their business operations.</t>
  </si>
  <si>
    <t>Other Commercial Services, Vertical Market Software*</t>
  </si>
  <si>
    <t>automotive data, big data analysis, car network, car networking</t>
  </si>
  <si>
    <t>www.cihon.cn</t>
  </si>
  <si>
    <t>198244-54P</t>
  </si>
  <si>
    <t>Liang Huang</t>
  </si>
  <si>
    <t>hl@cihon.cn</t>
  </si>
  <si>
    <t>+86 (0)10 8559 1566</t>
  </si>
  <si>
    <t>Unit 1106, Block B, Lecheng Center</t>
  </si>
  <si>
    <t>20 East Third Ring Road, Chaoyang Qu</t>
  </si>
  <si>
    <t>Beijing Shi</t>
  </si>
  <si>
    <t>110000</t>
  </si>
  <si>
    <t>contactus@cihon.cn</t>
  </si>
  <si>
    <t>The company raised an undisclosed amount of Series B venture funding from Dongfeng Asset Management and Marathon Venture Partners in August 2017.</t>
  </si>
  <si>
    <t>GAC Capital, Marathon Venture Partners, SAIC Capital, Xiamen Kingdom Capital, Xingmin Intelligent Transportation Systems Group Company, Zhongnan Capital</t>
  </si>
  <si>
    <t>GAC Capital(www.gac-capital.com), Marathon Venture Partners(www.marathonvp.com), SAIC Capital(www.saicvc.com), Xiamen Kingdom Capital(www.kingdomcapital.com.cn), Xingmin Intelligent Transportation Systems Group Company(www.xingmin.com), Zhongnan Capital(www.zhongnancapital.com)</t>
  </si>
  <si>
    <t>12749-95</t>
  </si>
  <si>
    <t>CiDRA Holdings</t>
  </si>
  <si>
    <t>CiDRA</t>
  </si>
  <si>
    <t>Developer of process monitoring technologies designed to improve the operating performance of the customer. The company's process monitoring technologies and instruments monitors the plant of oil sands, minerals processing and pulp and paper industries, provide accurate, real time data, enabling businesses to optimize industrial processes, maximize recovery and reduce costs.</t>
  </si>
  <si>
    <t>Business/Productivity Software, Industrial Supplies and Parts, Oil and Gas Equipment*</t>
  </si>
  <si>
    <t>cost reduction, maximize recovery, operating performance, plant monitoring, process industry, process monitoring, process monitoring services, process optimization</t>
  </si>
  <si>
    <t>www.cidra.com</t>
  </si>
  <si>
    <t>1997: 53, 1998: 53, 1999: 53, 2000: 102, 2001: 268, 2002: 218, 2003: 215, 2004: 132, 2005: 132, 2006: 132, 2007: 82, 2008: 95, 2009: 95, 2010: 95, 2014: 103, 2015: 112</t>
  </si>
  <si>
    <t>40248-64P</t>
  </si>
  <si>
    <t>Gary Hokunson</t>
  </si>
  <si>
    <t>ghokunson@cidra.com</t>
  </si>
  <si>
    <t>+1 (203) 265-0035</t>
  </si>
  <si>
    <t>Wallingford, CT</t>
  </si>
  <si>
    <t>50 Barnes Park North</t>
  </si>
  <si>
    <t>Wallingford</t>
  </si>
  <si>
    <t>06492</t>
  </si>
  <si>
    <t>+1 (203) 294-4211</t>
  </si>
  <si>
    <t>The company raised $9.99 million of venture funding in a deal led by Velocity Equity Partners on August 31, 2011. Other undisclosed investors also participated in the round.</t>
  </si>
  <si>
    <t>Amerindo Investment Advisors, Antar &amp; Co, Axiom Venture Partners, Cisco Investments, Connecticut Innovations, DWS Group, HRLD Venture Partners, Infosys, Invest I, Legacy Private Technology Partners, Morgan Stanley Expansion Capital, MSD Capital, Open Field Capital, Putnam Investments, Teknoinvest, Velocity Equity Partners</t>
  </si>
  <si>
    <t>First Reserve, Saints Capital</t>
  </si>
  <si>
    <t>Amerindo Investment Advisors(www.amerindo.com), Axiom Venture Partners(www.axiomventures.com), Cisco Investments(www.ciscoinvestments.com), Connecticut Innovations(www.ctinnovations.com), DWS Group(www.dws.com), Infosys(www.infosys.com), MSD Capital(www.msdcapital.com), Open Field Capital(www.ofcap.com), Putnam Investments(www.putnam.com), Velocity Equity Partners(www.velocityep.com)</t>
  </si>
  <si>
    <t>First Reserve(www.firstreserve.com), Saints Capital(www.saintscapital.com)</t>
  </si>
  <si>
    <t>CIBC Capital Markets(Underwriter), Morgan Stanley(Underwriter), Raymond James Financial(Underwriter), Thomas Weisel Partners Group(Underwriter)</t>
  </si>
  <si>
    <t>66305-80</t>
  </si>
  <si>
    <t>Cibecs</t>
  </si>
  <si>
    <t>Provider of data protection services. The company provides data protection and recovery services to protect and recover data on computers and notebooks.</t>
  </si>
  <si>
    <t>backup, data management, data protection</t>
  </si>
  <si>
    <t>www.cibecs.com</t>
  </si>
  <si>
    <t>2014: 25</t>
  </si>
  <si>
    <t>77174-02P</t>
  </si>
  <si>
    <t>Ilze Dewing</t>
  </si>
  <si>
    <t>Business Development Director &amp; Chief Financial Officer</t>
  </si>
  <si>
    <t>+27 (0)11 791 0073</t>
  </si>
  <si>
    <t>Johannesburg, South Africa</t>
  </si>
  <si>
    <t>25 Boschkop Avenue</t>
  </si>
  <si>
    <t>Randburg</t>
  </si>
  <si>
    <t>Johannesburg</t>
  </si>
  <si>
    <t>info@cibecs.com</t>
  </si>
  <si>
    <t>Hasso Plattner Ventures Africa sold a 25% stake in the company on an undisclosed date. The company is no longer actively tracked by PitchBook.</t>
  </si>
  <si>
    <t>Hasso Plattner Ventures, Howard Lindzon, Thomas Peterson</t>
  </si>
  <si>
    <t>Hasso Plattner Ventures(www.hp-ventures.com), Howard Lindzon(www.howardlindzon.com)</t>
  </si>
  <si>
    <t>61910-83</t>
  </si>
  <si>
    <t>Chrono Therapeutics</t>
  </si>
  <si>
    <t>Dipierro Ventures</t>
  </si>
  <si>
    <t>Chrono</t>
  </si>
  <si>
    <t>Developer of a digital smoking-cessation system designed to transform drug delivery services. The company's digital smoking-cessation system offers a wearable device that offers programmable, transdermal nicotine replacement therapy (NRT) in combination with real-time behavioral support, enabling people to achieve optimal clinical outcomes and lifestyle improvements.</t>
  </si>
  <si>
    <t>Application Software, Drug Delivery*, Therapeutic Devices</t>
  </si>
  <si>
    <t>cessation system, digital smoking-cessation system, digital smoking-cessation systems, drugs therapy, nicotine, smoking cessation</t>
  </si>
  <si>
    <t>www.chronothera.com</t>
  </si>
  <si>
    <t>69649-12P</t>
  </si>
  <si>
    <t>Guy DiPierro</t>
  </si>
  <si>
    <t>gdipierro@chronothera.com</t>
  </si>
  <si>
    <t>+1 (609) 838-2572</t>
  </si>
  <si>
    <t>3953 Point Eden Way</t>
  </si>
  <si>
    <t>info@chronothera.com</t>
  </si>
  <si>
    <t>The company raised $47.6 million of Series B venture funding in a deal led by Kaiser Permanente Ventures on August 26, 2016, putting the company pre-money valuation at $50 million. Endeavour Vision, Xeraya Capital, Asahi Kasei, Emergent Medical Partners, Hikma Ventures, Cota Capital, Mission Bay Capital, Canaan Partners, 5AM Ventures, Fountain Healthcare Partners, GE Ventures and Mayo Clinic Ventures also participated in this round. The company will use the funding to advance the clinical development of its smoking cessation platform and investigate other applications that can leverage its personalized drug therapy platform.</t>
  </si>
  <si>
    <t>5AM Ventures, Asahi Kasei Corporate Venture Capital, California Institute for Quantitative Biosciences, Canaan Partners, Cota Capital, Emergent Medical Partners, Endeavour Vision, Fountain Healthcare Partners, GE Ventures, Hikma Ventures, Kaiser Permanente Ventures, Mayo Clinic Ventures, Mission Bay Capital, Rock Health, U.S. Department of Health and Human Services, Xeraya Capital</t>
  </si>
  <si>
    <t>5AM Ventures(www.5amventures.com), Asahi Kasei Corporate Venture Capital(www.asahikaseiventures.com), California Institute for Quantitative Biosciences(www.qb3.org), Canaan Partners(www.canaan.com), Cota Capital(www.cotacapital.com), Emergent Medical Partners(www.emvllp.com), Endeavour Vision(www.endeavourvision.com), Fountain Healthcare Partners(www.fh-partners.com), GE Ventures(www.geventures.com), Hikma Ventures(www.hikmaventures.com), Kaiser Permanente Ventures(www.kpventures.com), Mayo Clinic Ventures(ventures.mayoclinic.org), Mission Bay Capital(www.missionbaycapital.com), Rock Health(www.rockhealth.com), U.S. Department of Health and Human Services(hhs.gov), Xeraya Capital(www.xeraya.com)</t>
  </si>
  <si>
    <t>Latham &amp; Watkins(Legal Advisor), SVB Leerink(Advisor: General)</t>
  </si>
  <si>
    <t>53845-57</t>
  </si>
  <si>
    <t>Cheribundi</t>
  </si>
  <si>
    <t>CherryPharm</t>
  </si>
  <si>
    <t>Pressed Juicery</t>
  </si>
  <si>
    <t>Provider of an online platform designed to sell tart cherry juice products. The company's platform sells products such as cherry juice, fruit refresh, tea refresh and smoothies and also offers online social content to share stories, discover recipes and other nutritional benefits, enabling consumers to get a nutrient-packed elixir that fights inflammation, improves sleep and boosts memory.</t>
  </si>
  <si>
    <t>Beverages*, Information Services (B2C), Internet Retail, Social/Platform Software</t>
  </si>
  <si>
    <t>cherries juice, tarts cherries, tarts cherries juice, tarts cherries juice product</t>
  </si>
  <si>
    <t>www.cheribundi.com</t>
  </si>
  <si>
    <t>2007: 6, 2012: 15, 2014: 8, 2015: 11, 2016: 13</t>
  </si>
  <si>
    <t>123853-60P</t>
  </si>
  <si>
    <t>Steven Pear</t>
  </si>
  <si>
    <t>steve.pear@cheribundi.com</t>
  </si>
  <si>
    <t>+1 (800) 699-0460</t>
  </si>
  <si>
    <t>Geneva, NY</t>
  </si>
  <si>
    <t>500 Technology Farm Drive</t>
  </si>
  <si>
    <t>Geneva</t>
  </si>
  <si>
    <t>14456</t>
  </si>
  <si>
    <t>info@cheribundi.com</t>
  </si>
  <si>
    <t>The company raised $19.76 million of convertible debt financing from Cayuga Venture Fund on August 8, 2018.</t>
  </si>
  <si>
    <t>Cayuga Venture Fund, Emil Capital Partners, LVMH Moët Hennessy Louis Vuitton, Seed Capital Fund of CNY, UpVentures</t>
  </si>
  <si>
    <t>Cayuga Venture Fund(www.cayugaventures.com), Emil Capital Partners(www.emilcapitalpartners.com), LVMH Moët Hennessy Louis Vuitton(www.lvmh.com), Seed Capital Fund of CNY(www.scfcny.com), UpVentures(www.upventures.com)</t>
  </si>
  <si>
    <t>Intercontinental Beverage Capital(Advisor: General), Meriwether Group(Advisor: General)</t>
  </si>
  <si>
    <t>Farm Credit East Aca(Debt Financing), Ontario County Economic Development(Debt Financing), Ontario County Revolving Loan Fund Committee(Debt Financing)</t>
  </si>
  <si>
    <t>53704-54</t>
  </si>
  <si>
    <t>Chemclin</t>
  </si>
  <si>
    <t>Manufacturer of in vitro diagnostic products. The company has developed fully automated and semi-automated chemiluminescent systems and fully registered chemiluminescent ("CLIA") assays for a range of applications, including infectious diseases, tumor markers, thyroid functions, diabetes and fertility.</t>
  </si>
  <si>
    <t>Biotechnology, Diagnostic Equipment*</t>
  </si>
  <si>
    <t>Life Sciences, Manufacturing, Oncology</t>
  </si>
  <si>
    <t>assay, chemiluminescent</t>
  </si>
  <si>
    <t>www.chemclin.com</t>
  </si>
  <si>
    <t>40025-17P</t>
  </si>
  <si>
    <t>Lin Li</t>
  </si>
  <si>
    <t>lil@chemclin.com</t>
  </si>
  <si>
    <t>+86 (0)10 5871 7511</t>
  </si>
  <si>
    <t>Number 7, Fengxian M. Road</t>
  </si>
  <si>
    <t>100094</t>
  </si>
  <si>
    <t>+86 (0)10 5871 7500</t>
  </si>
  <si>
    <t>bd@chemclin.com</t>
  </si>
  <si>
    <t>The company was acquired for $150 million on August 3, 2018 by an undisclosed investor.</t>
  </si>
  <si>
    <t>China International Capital Corporation, Legend Capital, OrbiMed, Ping An Insurance (Group) Company of China, Shanghai Free Trade Zone Equity Fund</t>
  </si>
  <si>
    <t>Actis, China Healthcare Partnership, Next47, SB China Venture Capital, WI Harper Group</t>
  </si>
  <si>
    <t>China International Capital Corporation(www.cicc.com), Legend Capital(www.legendcapital.com.cn), OrbiMed(www.orbimed.com), Ping An Insurance (Group) Company of China(www.pingan.cn/en/index.shtml), Shanghai Free Trade Zone Equity Fund(www.ftzfund.com.cn)</t>
  </si>
  <si>
    <t>Actis(www.act.is), Next47(Next47.com), SB China Venture Capital(www.sbcvc.com), WI Harper Group(www.wiharper.com)</t>
  </si>
  <si>
    <t>154543-06</t>
  </si>
  <si>
    <t>Cheddar</t>
  </si>
  <si>
    <t>VentureBeat, The Wall Street Journal, Business Insider, Axios News, Bloomberg, VICE Media, Vox Media, Tastemade</t>
  </si>
  <si>
    <t>Developer of a live post-cable network designed to focus on covering news about innovative products, technologies, services and financial news. The company's news offer information related to finance and stock exchange and is available on social networks, enabling users to get updated news related to current financial and economic affairs.</t>
  </si>
  <si>
    <t>Broadcasting, Radio and Television*, Information Services (B2C), Social Content</t>
  </si>
  <si>
    <t>financial news, live broadcast, news broadcast, news network, news platform</t>
  </si>
  <si>
    <t>Pending Transaction (M&amp;A)</t>
  </si>
  <si>
    <t>www.cheddar.com</t>
  </si>
  <si>
    <t>2016: 15, 2017: 90, 2018: 130</t>
  </si>
  <si>
    <t>Altice USA</t>
  </si>
  <si>
    <t>31753-54P</t>
  </si>
  <si>
    <t>Jonathan Steinberg</t>
  </si>
  <si>
    <t>jon@cheddar.com</t>
  </si>
  <si>
    <t>+1 (917) 267-2494</t>
  </si>
  <si>
    <t>25th Floor</t>
  </si>
  <si>
    <t>contact@cheddar.com</t>
  </si>
  <si>
    <t>The company reached a definitive agreement to be acquired by Altice USA (NYS: ATUS), a subsidiary of Altice (AMS: ATC), for $200 million on April 30, 2019.</t>
  </si>
  <si>
    <t>7 Global Capital, Amazon.com, Antenna Group, AT&amp;T, Broadway Video Ventures, Comcast Ventures, Dentsu Ventures, Homebrew, Jeffrey Sprecher and Kelly Loeffler, Liberty Global (UK), Lightspeed Venture Partners, New York Stock Exchange, Raine Ventures, Ribbit Capital, The Goldman Sachs Group, Y Combinator</t>
  </si>
  <si>
    <t>7 Global Capital(www.7globalcapital.com), Amazon.com(www.amazon.com), Antenna Group(www.antenna-group.com), AT&amp;T(www.att.com), Broadway Video Ventures(www.broadwayvideo.com/ventures), Comcast Ventures(www.comcastventures.com), Dentsu Ventures(www.dentsu-v.com), Homebrew(www.homebrew.co), Liberty Global (UK)(www.libertyglobal.com), Lightspeed Venture Partners(www.lsvp.com), New York Stock Exchange(www.nyse.com), Ribbit Capital(www.ribbitcap.com), The Goldman Sachs Group(www.goldmansachs.com), Y Combinator(www.ycombinator.com)</t>
  </si>
  <si>
    <t>Altice USA(www.alticeusa.com)</t>
  </si>
  <si>
    <t>City National Bank(General Business Banking), Cooley(Legal Advisor), Propeller Industries(Advisor: General), Wilson Sonsini Goodrich &amp; Rosati(Legal Advisor), WithumSmith+Brown(Accounting)</t>
  </si>
  <si>
    <t>58783-96</t>
  </si>
  <si>
    <t>Checkmarx</t>
  </si>
  <si>
    <t>Swascan, Zephyr (Software), Acunetix, Instana, SmartBear, Test.ai, Code Climate, Infor Global Solutions, Positive Technologies, Wallarm, Codiscope, Netsparker, Parasoft, Cigital, Veracode, Denim Group, Sumo Logic, Appvance.ai, Coverity, Runscope, Automic Software, Tricentis, Paessler, Aternity, StorageCraft Technology, QASymphony, Oracle Dyn, SimpliVity, Security Innovation, SonarSource, Electric Cloud, Bliss (software platform), CA Technologies, Madumbo, Klocwork, Qlik Technologies</t>
  </si>
  <si>
    <t>Developer of static application security testing modules platform intended for Source Code Analysis (SCA). The company's static application security testing modules platform provides an application which is used to check internal and external compliance requirements, developing and hosting platform guidelines and other criteria during the software development process, enabling organizations to secure applications from the start, reducing risk and cost along the way.</t>
  </si>
  <si>
    <t>software modeling, software security, software testing, static application security testing modules</t>
  </si>
  <si>
    <t>www.checkmarx.com</t>
  </si>
  <si>
    <t>2014: 200, 2015: 150, 2016: 214, 2017: 300, 2018: 500</t>
  </si>
  <si>
    <t>46498-06P</t>
  </si>
  <si>
    <t>Shmuel Arvatz</t>
  </si>
  <si>
    <t>shmuel.arvatz@checkmarx.com</t>
  </si>
  <si>
    <t>+1 (917) 470-9501</t>
  </si>
  <si>
    <t>Paramus, NJ</t>
  </si>
  <si>
    <t>140 East Ridgewood Avenue</t>
  </si>
  <si>
    <t>Suite 415, South Tower</t>
  </si>
  <si>
    <t>Paramus</t>
  </si>
  <si>
    <t>07652</t>
  </si>
  <si>
    <t>+1 (201) 940-7101</t>
  </si>
  <si>
    <t>contact@checkmarx.com</t>
  </si>
  <si>
    <t>The company received development capital from K1 Investment Management on an undisclosed date. Previously, XT Investmets, Naiot Venture Accelerator and Salesforce Ventures sold stake in the company to Insight Venture Partners for $84 million on June 25, 2015, putting the company's pre-money valuation at $36 million.</t>
  </si>
  <si>
    <t>Insight Partners, K1 Investment Management</t>
  </si>
  <si>
    <t>Naiot Venture Accelerator, Salesforce Ventures, XT Investments</t>
  </si>
  <si>
    <t>Naiot Venture Accelerator(www.naiot.com), XT Investments(www.xtholdings.com/AboutUs/tabid/202/Default.aspx)</t>
  </si>
  <si>
    <t>Intellenet Executive Search(Consulting)</t>
  </si>
  <si>
    <t>Herzog Fox &amp; Neeman(Legal Advisor), Mooreland Partners(Advisor: General)</t>
  </si>
  <si>
    <t>172094-59</t>
  </si>
  <si>
    <t>ChatBook</t>
  </si>
  <si>
    <t>Hecto Co., Ltd.</t>
  </si>
  <si>
    <t>Motion AI, Amplify.ai, ManyChat, Dexter, Connecto (Conversational Marketing)</t>
  </si>
  <si>
    <t>Provider of a chatbot designed to automate marketing processes without the requirement of coding. The company's chatbot integrates data with Facebook profiles and generates ready-made sample templates, which are based on successful bots, enabling businesses to analyse and accelerate possible leads and metrics.</t>
  </si>
  <si>
    <t>Automation/Workflow Software, Media and Information Services (B2B)*</t>
  </si>
  <si>
    <t>chat bot management, chatbot, chatbot creation tools, marketing automation technology</t>
  </si>
  <si>
    <t>chatbook.ai</t>
  </si>
  <si>
    <t>99567-28P</t>
  </si>
  <si>
    <t>Maiko Kojima</t>
  </si>
  <si>
    <t>2nd floor, High Community Building</t>
  </si>
  <si>
    <t>4-2-45 Roppongi, Minato-ku</t>
  </si>
  <si>
    <t>contact@chatbook.ai</t>
  </si>
  <si>
    <t>The company raised an undisclosed amount of seed funding from Salesforce Ventures, YJ Capital and East Ventures on February 24, 2018.</t>
  </si>
  <si>
    <t>AI accelerator, Code Republic, East Ventures, FbStart, Salesforce Ventures, YJ Capital</t>
  </si>
  <si>
    <t>AI accelerator(ainow.ai), East Ventures(east.vc), FbStart(developers.facebook.com/fbstart), YJ Capital(yj-capital.co.jp/en)</t>
  </si>
  <si>
    <t>53286-04</t>
  </si>
  <si>
    <t>Chartboost</t>
  </si>
  <si>
    <t>Appodeal, SteelHouse, Videology, AdRoll, Yieldmo, Beintoo, SpotX, AppNexus, Kiip, SVG Media, Exponential Interactive, Adelphic, YuMe, Sharethrough, RockYou Media, Aarki, YouAPPi, StackAdapt, Avazu, Leadbolt, Smart AdServer, Yext, StrikeAd, Criteo, Receptiv, Airship, Turn, AdLib Mediation, Manage.com Group, AppLift, Taboola, MixPanel, InMobi, HeyZap, Uberflip, July Systems, TubeMogul, Ninja Metrics, Flashstock, StartApp, Quantcast, HipCricket, Nanigans, PubMatic, Nexage, Swrve, Dstillery, Outbrain, Polar (Content Technology), Liftoff, MediaMath, Flurry, Medium Entertainment, Tapad, Fyber, Millennial Media, Inneractive, Vserv, Smaato, SITO Mobile, Aki (Application Software), Yeahmobi, NativeX Holdings, AppLovin, Vungle, AdColony, Taptica, Mobvista, Placed, Tapjoy</t>
  </si>
  <si>
    <t>Provider of a mobile game discovery and monetization platform designed to create customized video advertisements. The company's platform offers transparency into how mobile advertising campaigns are performing, enabling mobile game developers to deliver relevant content and reward video advertisements easily.</t>
  </si>
  <si>
    <t>Business/Productivity Software, Entertainment Software, Media and Information Services (B2B)*</t>
  </si>
  <si>
    <t>mobile games discovery, online gaming platform, performance track, video advertisement</t>
  </si>
  <si>
    <t>www.chartboost.com</t>
  </si>
  <si>
    <t>2013: 60, 2014: 135, 2015: 148, 2016: 150</t>
  </si>
  <si>
    <t>38980-09P</t>
  </si>
  <si>
    <t>Maria Alegre</t>
  </si>
  <si>
    <t>maria@chartboost.com</t>
  </si>
  <si>
    <t>85 2nd Street</t>
  </si>
  <si>
    <t>info@chartboost.com</t>
  </si>
  <si>
    <t>The company raised venture funding from MicroVentures on an undisclosed date.</t>
  </si>
  <si>
    <t>Finaventures, Matthew Ocko, MicroVentures, Recruit Strategic Partners, Sequoia Capital, SharesPost, SK Telecom Americas, Suleman Ali, TransLink Capital, XG Ventures</t>
  </si>
  <si>
    <t>Finaventures(www.finaventures.com), MicroVentures(www.microventures.com), Recruit Strategic Partners(recruitstrategicpartners.com), Sequoia Capital(www.sequoiacap.com), SharesPost(www.sharespost.com), SK Telecom Americas(www.skta.com), Suleman Ali(www.sulemanali.com), TransLink Capital(www.translinkcapital.com), XG Ventures(www.xg-ventures.com)</t>
  </si>
  <si>
    <t>50962-15</t>
  </si>
  <si>
    <t>ChargePoint</t>
  </si>
  <si>
    <t>Coulomb Technologies</t>
  </si>
  <si>
    <t>The Mobility House, Volta Charging, EverCharge, EVgo, ChargeHub, Greenlots, SemaConnect, JuiceBox</t>
  </si>
  <si>
    <t>Developer of an Electric Vehicle (EV) charging network designed to transform transportation and energy use by helping people choose to drive electric. The company's Electric Vehicle (EV) charging network makes it easy for drivers to charge EVs anywhere and provides independently owned charging spots that are easy for EV drivers to find and use at home, offices and outdoors, enabling users to shift away from fossil fuels and rely on EV charging which is both sustainable and eco-friendly.</t>
  </si>
  <si>
    <t>Automotive, Energy Infrastructure*, Energy Storage</t>
  </si>
  <si>
    <t>auto charging, charging network, charging port, charging station, electric vehicle charging, hybrid car service, plug-in station</t>
  </si>
  <si>
    <t>www.chargepoint.com</t>
  </si>
  <si>
    <t>2009: 43, 2010: 20, 2014: 148, 2015: 199, 2016: 224</t>
  </si>
  <si>
    <t>41373-19P</t>
  </si>
  <si>
    <t>Pasquale Romano</t>
  </si>
  <si>
    <t>pasquale.romano@chargepoint.com</t>
  </si>
  <si>
    <t>+1 (408) 841-4500</t>
  </si>
  <si>
    <t>240 East Hacienda Avenue</t>
  </si>
  <si>
    <t>+1 (408) 370-3847</t>
  </si>
  <si>
    <t>info@chargepoint.com</t>
  </si>
  <si>
    <t>The company raised $240 million of Series H venture funding through a combination of debt and equity in a deal led by Quantum Energy Partners on November 28, 2018, putting the company's pre-money valuation at $1.05 billion. BMW i Ventures, Siemens, American Electric Power Company, Chevron Technology Ventures, Braemar Energy Ventures, Clearvision Ventures, Linse Capital, Daimler Mobility Services, GIC and Canada Pension Plan Investment Board also participated in the round. The company will use the funding in part to further expand its network, continue to build its presence in Europe and North America, improve the experience for EV drivers, and expand solutions for fleets. Earlier, the company received $10.5 million of debt financing in the form of a first lien secured debt from Apollo Investment in the third quarter of 2018. Before that, the company raised $440,000 of venture funding from an undisclosed investor on July 9, 2018.</t>
  </si>
  <si>
    <t>ACE &amp; Company, Allan Schiffman, American Electric Power Company, Ares Capital, BMW i Ventures, Braemar Energy Ventures, Canada Pension Plan Investment Board, Chevron Technology Ventures, Clearvision Ventures, Constellation Technology Ventures, Daimler, Daimler Mobility Services, EG Capital Advisors, Envision Ventures, Equinor, Estag Capital, F+ Ventures, Fay Rosenberg, Global Reserve Group, Harbor Pacific Capital, Hartford Financial Services Group (Mutual Fund Business), Hercules Capital, Jan Klatten, Kleiner Perkins, Linse Capital, LS Cable &amp; System (Venture Arm), LSIS Company, Madison Parker Capital, Mark Platshon, Michael Liebreich, Next47, Northwood Ventures, NYSERDA, Partner Ventures, Quantum Energy Partners, Rho Ventures, Shumway Capital, Siemens, SociosQ, Toyota Tsusho Goreway, Western Technology Investment</t>
  </si>
  <si>
    <t>Voyager Capital</t>
  </si>
  <si>
    <t>ACE &amp; Company(www.aceandcompany.com), American Electric Power Company(www.aep.com), BMW i Ventures(www.bmwiventures.com), Braemar Energy Ventures(www.braemarenergy.com), Canada Pension Plan Investment Board(www.cppib.com), Clearvision Ventures(www.clearvisionventures.com), Constellation Technology Ventures(www.technologyventures.constellation.com), Daimler(www.daimler.com), EG Capital Advisors(www.egcapitaladvisors.com), Envision Ventures(www.envisionvc.com), Equinor(www.equinor.com), Estag Capital(www.estag.de), F+ Ventures(www.fplus.ventures), Global Reserve Group(www.globalreservegroup.com), Hartford Financial Services Group (Mutual Fund Business)(www.hartfordfunds.com), Hercules Capital(www.htgc.com), Kleiner Perkins(www.kleinerperkins.com), Linse Capital(www.linsecapital.com), LS Cable &amp; System (Venture Arm)(www.lscable.com), LSIS Company(www.lsis.com), Madison Parker Capital(www.madisonparkercapital.com), Next47(Next47.com), Northwood Ventures(www.northwoodventures.com), NYSERDA(www.nyserda.ny.gov), Partner Ventures(www.partnervc.com), Quantum Energy Partners(www.quantumep.com), Rho Ventures(www.rhoventures.com), Shumway Capital(www.shumwaycapital.com), Siemens(new.siemens.com), SociosQ(www.sociosq.com), Western Technology Investment(www.westerntech.com)</t>
  </si>
  <si>
    <t>Voyager Capital(www.voyagercapital.com)</t>
  </si>
  <si>
    <t>Aprea &amp; Micheli(Consulting), Aranca(Consulting), DeWinter Group(Consulting), Enertech Search Partners(Consulting), GCA Advisors(Advisor: General), Gunderson Dettmer(Legal Advisor), JCRA Group(Advisor: General), Pillsbury Winthrop Shaw Pittman(Legal Advisor)</t>
  </si>
  <si>
    <t>Apollo Investment(Debt Financing), Ares Capital(Debt Financing), GCA Advisors(Advisor: General), Gunderson Dettmer(Legal Advisor), Pillsbury Winthrop Shaw Pittman(Legal Advisor)</t>
  </si>
  <si>
    <t>231910-30</t>
  </si>
  <si>
    <t>Changsha Intelligent Driving Institute</t>
  </si>
  <si>
    <t>CiDi</t>
  </si>
  <si>
    <t>Developer of autonomous vehicle technology focused on logistics vehicles. The company specializes in sensor fusion, deep learning, planning and control algorithms, V2V/V2X networks, and energy harvesting; technologies central to intelligent driving and safe autonomous logistics.</t>
  </si>
  <si>
    <t>Road, Vertical Market Software*</t>
  </si>
  <si>
    <t>autonomous car, autonomous truck, driverless transportation, driverless truck, intelligent drives, smart drives technology</t>
  </si>
  <si>
    <t>www.cidi.ai</t>
  </si>
  <si>
    <t>195358-51P</t>
  </si>
  <si>
    <t>Wei Ma</t>
  </si>
  <si>
    <t>+86 (0)731 8816 9888</t>
  </si>
  <si>
    <t>Building A3, Hunan Inspection and Testing Industrial Park</t>
  </si>
  <si>
    <t>Intersection of Xueshi Road and Medical College Road, Yuelu District</t>
  </si>
  <si>
    <t>Hunan</t>
  </si>
  <si>
    <t>li.kh@cidi.ai</t>
  </si>
  <si>
    <t>The company raised CNY 348.9 million of venture funding from Baidu Ventures, Sequoia Capital China and Legend Star on June 30, 2018. Hangsheng Electronics, Lens Technology Company, Guangkong Zhongying Capital, Clearwater Capital Partners and other undisclosed investors also participated in the round.</t>
  </si>
  <si>
    <t>Baidu Ventures, Clearwater Capital Partners, Guangkong Zhongying Capital, Hangsheng Electronics, Legend Star, Lens Technology Company, Sequoia Capital China</t>
  </si>
  <si>
    <t>Baidu Ventures(www.bv.ai), Clearwater Capital Partners(www.clearwatercapitalpartners.com), Hangsheng Electronics(www.hangsheng.com.cn), Legend Star(www.legendstar.com.cn), Lens Technology Company(www.hnlens.com), Sequoia Capital China(www.sequoiacap.com/china)</t>
  </si>
  <si>
    <t>181410-04</t>
  </si>
  <si>
    <t>CesiumAstro</t>
  </si>
  <si>
    <t>Cesium</t>
  </si>
  <si>
    <t>Developer of communication systems designed for aerospace systems. The company's systems deliver space communication technology for satellites, unmanned aerial vehicle, launch vehicles and airborne platforms which combines with commercial off-the-shelf components, enabling government and military sectors to build mission-specific information systems quickly before their launch.</t>
  </si>
  <si>
    <t>Aerospace and Defense*, Government</t>
  </si>
  <si>
    <t>Robotics and Drones, Space Technology, TMT</t>
  </si>
  <si>
    <t>antenna payloads, communication processor, communication system, satellite communication, spcae communication system, transceivers</t>
  </si>
  <si>
    <t>www.cesiumastro.com</t>
  </si>
  <si>
    <t>100294-39P</t>
  </si>
  <si>
    <t>Shey Sabripour</t>
  </si>
  <si>
    <t>ssabripour@cesiumastro.com</t>
  </si>
  <si>
    <t>+1 (512) 383-5952</t>
  </si>
  <si>
    <t>13413 Galleria Circle</t>
  </si>
  <si>
    <t>info@cesiumastro.com</t>
  </si>
  <si>
    <t>The company raised $12.44 million of Series A venture funding in a deal led by Airbus Ventures on January 31, 2019. Franklin Templeton Investments (Australia), Honeywell Ventures, Analog Devices, Lavrock Ventures and Kleiner Perkins also participated in this round. The funds will be used to scale the team and expand the development of a wide range of frequency offerings and system configurations to meet the growing demand for affordable, high-throughput aerospace plug-and-play communications systems.</t>
  </si>
  <si>
    <t>Airbus Ventures, Analog Devices, Franklin Templeton Investments, Honeywell Ventures, Kleiner Perkins, Lavrock Ventures, United States Department of Defense</t>
  </si>
  <si>
    <t>Airbus Ventures(www.airbusventures.vc), Analog Devices(www.analog.com), Franklin Templeton Investments(www.franklinresources.com), Kleiner Perkins(www.kleinerperkins.com), Lavrock Ventures(www.lavrockvc.com), United States Department of Defense(www.defense.gov)</t>
  </si>
  <si>
    <t>169800-13</t>
  </si>
  <si>
    <t>Cervezas La Virgen</t>
  </si>
  <si>
    <t>Operator of brewing factory designed to produce crafted beers. The company's factory offers beer products which contains natural ingredients such as malt of barley, hops, yeast and water, enabling users to get through an online platform as well as specialty stores.</t>
  </si>
  <si>
    <t>Beverages*, Internet Retail, Specialty Retail</t>
  </si>
  <si>
    <t>E-Commerce, Manufacturing</t>
  </si>
  <si>
    <t>brew factory, brewery, craft beer</t>
  </si>
  <si>
    <t>www.cervezaslavirgen.com</t>
  </si>
  <si>
    <t>2015: 20, 2017: 45</t>
  </si>
  <si>
    <t>154786-33P</t>
  </si>
  <si>
    <t>Jaime Riesgo</t>
  </si>
  <si>
    <t>jaime@cervezaslavirgen.com</t>
  </si>
  <si>
    <t>+34 91 080 4742</t>
  </si>
  <si>
    <t>C / Turin 13A</t>
  </si>
  <si>
    <t>Las Rozas De Madrid</t>
  </si>
  <si>
    <t>28232</t>
  </si>
  <si>
    <t>tengosed@cervezaslavirgen.com</t>
  </si>
  <si>
    <t>The company was acquired by Zx Ventures through an LBO on January 1, 2017 for an undisclosed sum.</t>
  </si>
  <si>
    <t>54822-16</t>
  </si>
  <si>
    <t>Ceracomb</t>
  </si>
  <si>
    <t>Dongsu Ceracomb</t>
  </si>
  <si>
    <t>Manufacturer and provider of automotive ceramic honeycomb and catalyst products. The company offers ceramic honeycomb structure, substrate and catalyst to prevent automotive gas emission, industrial air pollutant and waste odor.</t>
  </si>
  <si>
    <t>Other Commercial Products*, Other Materials</t>
  </si>
  <si>
    <t>catalyst, ceramic honeycomb manufacturing, ceramic honeycomb product, ceramic honeycomb technology, industrial catalyst</t>
  </si>
  <si>
    <t>www.ceracomb.co.kr</t>
  </si>
  <si>
    <t>116411-32P</t>
  </si>
  <si>
    <t>Hang-Keun Cho</t>
  </si>
  <si>
    <t>hang-keun.cho@ceracomb.com</t>
  </si>
  <si>
    <t>+82 (0)41 531 0657</t>
  </si>
  <si>
    <t>Asan-si, South Korea</t>
  </si>
  <si>
    <t>312-26 Deuksan-dong</t>
  </si>
  <si>
    <t>Asan-si</t>
  </si>
  <si>
    <t>+82 (0)41 531 0659</t>
  </si>
  <si>
    <t>The company raised an undisclosed amount of funding from Samsung Venture Investment.</t>
  </si>
  <si>
    <t>52662-70</t>
  </si>
  <si>
    <t>Centrify</t>
  </si>
  <si>
    <t>Okta, OneLogin, ForgeRock, Ping Identity, Onegini, HID Global, JumpCloud, Sonrai Security, Duo Security, Keyfactor, QuickLaunch, Opswat, SecureAuth, Unloq, ScaleFT, OverWatchID, Secret Double Octopus, LogicMonitor, InAuth, Auth0, Secure Thingz, Venafi, Infor Global Solutions, Quest Software, Core Security (Acquired 2015), GigaSpaces, Core Security, TokenOne, SaltStack, TeleSign, UnboundID, Ubisecure Solutions, HashiCorp, BeyondTrust Software (Acquired), Hitachi ID Systems, LoginRadius, NodeSocket, Gigya, HP Security Voltage, BalaBit, Gemalto, DearBytes, Entrust Datacard, Imprivata, UnifyID, Chef, Symantec, Forticode, Pirean, Tuebora, LoginTC, Cybereason, Appknox, CFEngine, Proofpoint, DivvyCloud, Jamf, SailPoint Technologies, CyberArk Software</t>
  </si>
  <si>
    <t>Provider of an identity and access management platform intended to secure enterprise identities against cyberthreats. The company's identity and access management platform ensures secure access to infrastructure and applications for privileged and end users in the boundary-less hybrid enterprise through the power of identity services, enabling enterprises to redefine security from a legacy static perimeter-based approach to protecting millions of scattered connections in enterprise network.</t>
  </si>
  <si>
    <t>access management, cloud identity, cloud security, data breach, identity management, identity-as-a-service, mobile device management</t>
  </si>
  <si>
    <t>www.centrify.com</t>
  </si>
  <si>
    <t>2014: 250, 2015: 350, 2016: 360</t>
  </si>
  <si>
    <t>45402-40P</t>
  </si>
  <si>
    <t>Timothy Steinkopf</t>
  </si>
  <si>
    <t>tim.steinkopf@centrify.com</t>
  </si>
  <si>
    <t>+1 (669) 444-5200</t>
  </si>
  <si>
    <t>3300 Tannery Way</t>
  </si>
  <si>
    <t>info@centrify.com</t>
  </si>
  <si>
    <t>The company was acquired by Thoma Bravo through an LBO on August 15, 2018 for an undisclosed sum. The company completed a $80 million debt refinancing round led by Golub Capital and Latham &amp; Watkins acted as a legal advisor to Golub Capital in the transaction.</t>
  </si>
  <si>
    <t>Accel, Crossroads Liquidating Trust, Docomo Innovations, Fortinet, Index Ventures (UK), Invesco, Jackson Square Ventures, Mayfield Fund, Northgate Capital, Novirian Capital, Samsung Venture Investment, SharesPost, Sigma Partners</t>
  </si>
  <si>
    <t>Accel(www.accel.com), Crossroads Liquidating Trust(www.xroadscap.com), Docomo Innovations(www.docomoinnovations.com), Fortinet(www.fortinet.com), Index Ventures (UK)(www.indexventures.com), Invesco(www.invesco.com), Jackson Square Ventures(www.jsv.com), Mayfield Fund(www.mayfield.com), Northgate Capital(www.northgate.com), Novirian Capital(www.novirian.com), Samsung Venture Investment(www.samsungventures.com), SharesPost(www.sharespost.com), Sigma Partners(www.sigmapartners.com)</t>
  </si>
  <si>
    <t>DoublEagle Management Group(Consulting), Finn Partners(Advisor: Communications), Kranz &amp; Associates(Advisor: General), Launch Search Partners(Consulting), Wilson Sonsini Goodrich &amp; Rosati(Legal Advisor)</t>
  </si>
  <si>
    <t>Barclays Bank UK(Advisor: General), Cooley(Legal Advisor), Golub Capital(Debt Financing), Sidley Austin(Legal Advisor), Wilson Sonsini Goodrich &amp; Rosati(Legal Advisor)</t>
  </si>
  <si>
    <t>110580-76</t>
  </si>
  <si>
    <t>CelluForce</t>
  </si>
  <si>
    <t>Developer of a nano-particle research platform intended to develop cellulose nanocrystals for various industrial products. The company's platform produces bio-based nanomaterials with applications in upstream oil and gas, adhesives, paints, coatings, plastics and composites, enabling clients to extract oil and gasses with more efficiency.</t>
  </si>
  <si>
    <t>Industrial Supplies and Parts, Machinery (B2B), Other Commercial Products*, Other Energy Services</t>
  </si>
  <si>
    <t>CleanTech, Industrials, Manufacturing, Nanotechnology, Oil &amp; Gas, TMT</t>
  </si>
  <si>
    <t>adhesives, cellulose, nanocrystalline cellulose, wood pulp</t>
  </si>
  <si>
    <t>www.celluforce.com</t>
  </si>
  <si>
    <t>96480-19P</t>
  </si>
  <si>
    <t>Richard Berry</t>
  </si>
  <si>
    <t>Chief Technology Officer and Vice President of Technology</t>
  </si>
  <si>
    <t>richard.berry@celluforce.com</t>
  </si>
  <si>
    <t>+1 (514) 360-1023</t>
  </si>
  <si>
    <t>625, Président-Kennedy Avenue</t>
  </si>
  <si>
    <t>Office 1705</t>
  </si>
  <si>
    <t>H3A 1K2</t>
  </si>
  <si>
    <t>info@celluforce.com</t>
  </si>
  <si>
    <t>The company raised an undisclosed amount of Series A2 venture funding from Schlumberger Technology Investments in May, 2018.</t>
  </si>
  <si>
    <t>Domtar, Fibria Celulose, FPInnovations, Schlumberger Technology Investments, Sustainable Development Technology Canada</t>
  </si>
  <si>
    <t>Domtar(www.domtar.com), Fibria Celulose(www.fibria.com.br), FPInnovations(www.fpinnovations.ca), Sustainable Development Technology Canada(www.sdtc.ca)</t>
  </si>
  <si>
    <t>231940-18</t>
  </si>
  <si>
    <t>Celi Engineering</t>
  </si>
  <si>
    <t>C&amp;L</t>
  </si>
  <si>
    <t>Developer of an intelligent combustion system. The company manufactures thermal engineering equipment, industrial furnace system and specializes in integrating intellectualized combustion control system.</t>
  </si>
  <si>
    <t>Industrial Supplies and Parts*, Machinery (B2B)</t>
  </si>
  <si>
    <t>combustion system, combustion system equipment, combustion system manufacturer, industrial furnaces, industrial furnaces systems, thermal equipment</t>
  </si>
  <si>
    <t>www.ce-li.com</t>
  </si>
  <si>
    <t>Baoshan District</t>
  </si>
  <si>
    <t>The company raised an undisclosed amount of venture funding from Baidu Ventures in July, 2018.</t>
  </si>
  <si>
    <t>231942-07</t>
  </si>
  <si>
    <t>CelePixel</t>
  </si>
  <si>
    <t>Developer of smart sensory platforms intended to meet the needs of both high-speed sensing and real-time communicating in various real-time embedded systems. The company's platforms offers an an imagery architecture that help in pixel-parallel image processing at the focal plane, event-driven readout and a processing chipset.</t>
  </si>
  <si>
    <t>Application Software, Electrical Equipment*, Multimedia and Design Software</t>
  </si>
  <si>
    <t>high speed sensing, real time embedded system, sensory platform, smart sensory, smart sensory platform</t>
  </si>
  <si>
    <t>www.celepixel.com</t>
  </si>
  <si>
    <t>191838-25P</t>
  </si>
  <si>
    <t>Chen Shoushun</t>
  </si>
  <si>
    <t>Room 702, Block 3</t>
  </si>
  <si>
    <t>1977 Jinshajiang Road</t>
  </si>
  <si>
    <t>Putuo District</t>
  </si>
  <si>
    <t>The company raised RMB 40 million of seed funding from Baidu Ventures on July 24, 2018. The funds will be used to accelerate the construction of a million-pixel dynamic visual sensor platform, the application of automotive-related applications and promote cooperation in consumer electronics applications. Previously, the company joined ARM Innovation Ecosystem Accelerator part of fourth phase of the innovation on January 24, 2018, and received an undisclosed amount in funding.</t>
  </si>
  <si>
    <t>ARM Innovation Ecosystem Accelerator, Baidu Ventures, NTUitive</t>
  </si>
  <si>
    <t>Baidu Ventures(www.bv.ai), NTUitive(www.ntuitive.sg)</t>
  </si>
  <si>
    <t>51339-97</t>
  </si>
  <si>
    <t>Celeno</t>
  </si>
  <si>
    <t>WiVision Technologies</t>
  </si>
  <si>
    <t>Riot Micro, Sequans Communications</t>
  </si>
  <si>
    <t>Developer of wireless connectivity technologies designed to provide delivery of Internet of Things. The company offers advanced Wi-Fi chipsets, edge software and cloud technology to take Wi-Fi beyond connectivity into the realm of smart homes, smart cities, smart buildings and smart industry, delivering clients with the level of management, performance, speed, coverage, reliability and superlative user experience as demanded by Wi-Fi users.</t>
  </si>
  <si>
    <t>fabless semiconductor, home networking, managed wifi solutions, networking application, software technology, subsystems, wifi technology</t>
  </si>
  <si>
    <t>www.celeno.com</t>
  </si>
  <si>
    <t>2012: 70, 2016: 120, 2018: 120, 2019: 150</t>
  </si>
  <si>
    <t>58568-14P</t>
  </si>
  <si>
    <t>Ronny Barak</t>
  </si>
  <si>
    <t>ronny.barak@celeno.com</t>
  </si>
  <si>
    <t>+972 (0)9 745 4646</t>
  </si>
  <si>
    <t>Ra'anana, Israel</t>
  </si>
  <si>
    <t>26 Zarhin Street</t>
  </si>
  <si>
    <t>P.O. Box 4093</t>
  </si>
  <si>
    <t>Ra'anana</t>
  </si>
  <si>
    <t>4366250</t>
  </si>
  <si>
    <t>+972 (0)9 745 1941</t>
  </si>
  <si>
    <t>info@celeno.com</t>
  </si>
  <si>
    <t>The company raised $10 million of venture funding in a deal led by Iris Capital on January 2, 2019. Cisco Investments, Liberty Global Ventures and other undisclosed investors also participated in the round. The funds will be used by the company to step up its marketing efforts in Europe and develop new products for Internet of Things.</t>
  </si>
  <si>
    <t>83North, Cisco Investments, Decacorn Capital, Iris Capital, Liberty Global Ventures, Miven Venture Partners, OurCrowd, Pitango Venture Capital, Poalim Capital Markets, Red Dot Capital Partners, TriplePoint Capital, Victor Tsao, Vintage Investment Partners, Wolfpack Ventures</t>
  </si>
  <si>
    <t>83North(www.83north.com), Cisco Investments(www.ciscoinvestments.com), Decacorn Capital(www.decacorncapital.com), Iris Capital(www.iriscapital.com), OurCrowd(www.ourcrowd.com), Pitango Venture Capital(www.pitango.com), Poalim Capital Markets(www.poalimcm.com), Red Dot Capital Partners(www.red-dot.capital), TriplePoint Capital(www.triplepointcapital.com), Vintage Investment Partners(www.vintage-ip.com), Wolfpack Ventures(www.wolfpackventures.com)</t>
  </si>
  <si>
    <t>121508-02</t>
  </si>
  <si>
    <t>Catch&amp;Release</t>
  </si>
  <si>
    <t>Provider of an online platform intended to discover, curate and license film, photography and audio via the Internet itself. The company's online platform finds story driven content from artists, cinematographers and talented hobbyists creating a portfolio of content curated specifically for agencies and brands, enabling the clients to receive various audio and visual driven content required for their brand promotion.</t>
  </si>
  <si>
    <t>advertising production, audio promotion, content curation, licensing, picture content, rights acquisition, rights management, video content, video promotion activity</t>
  </si>
  <si>
    <t>www.catchandrelease.com</t>
  </si>
  <si>
    <t>2019: 40</t>
  </si>
  <si>
    <t>166385-17P</t>
  </si>
  <si>
    <t>Analisa Goodin</t>
  </si>
  <si>
    <t>analisa@catchandrelease.tv</t>
  </si>
  <si>
    <t>+1 (929) 322-4185</t>
  </si>
  <si>
    <t>39 Stillman Street</t>
  </si>
  <si>
    <t>info@catchandrelease.com</t>
  </si>
  <si>
    <t>The company raised an estimated $9.6 million through the combination of Seed funding from MDC Ventures, Streamlined Ventures and Array Ventures on March 20, 2019, putting the company's pre-money valuation at $11.5 million. Cervin Ventures, Astia Angels and Western Technology Investment also participated in the round.</t>
  </si>
  <si>
    <t>Array Ventures, Astia Angels, Cervin Ventures, MDC Ventures, Streamlined Ventures, Western Technology Investment</t>
  </si>
  <si>
    <t>Array Ventures(www.array.vc), Astia Angels(www.astia.org), Cervin Ventures(www.cervinventures.com), MDC Ventures(www.mdcventures.vc), Streamlined Ventures(www.streamlinedventures.com), Western Technology Investment(www.westerntech.com)</t>
  </si>
  <si>
    <t>169296-67</t>
  </si>
  <si>
    <t>Catalog</t>
  </si>
  <si>
    <t>Provider of a data conversion and storage platform intended to offer the next generation of digital data archives. The company's platform facilitates encoding of data and information into DNA format and makes it economically attractive to use DNA as the major medium for long-term archival of data, enabling customers to store digital information in DNA molecules.</t>
  </si>
  <si>
    <t>Database Software*, Media and Information Services (B2B), Other Healthcare Technology Systems</t>
  </si>
  <si>
    <t>data conversion, data conversion platform, data conversion product, data encoding, digital data storage</t>
  </si>
  <si>
    <t>www.catalogdna.com</t>
  </si>
  <si>
    <t>2018: 6</t>
  </si>
  <si>
    <t>153443-62P</t>
  </si>
  <si>
    <t>Hyunjun Park</t>
  </si>
  <si>
    <t>hyunjun@catalogdna.com</t>
  </si>
  <si>
    <t>127 Western Avenue</t>
  </si>
  <si>
    <t>02134</t>
  </si>
  <si>
    <t>The company raised $9 million of venture funding in a deal led by New Enterprise Associates on June 26, 2018 in the form of SAFE notes. LINE, Baidu Ventures, Prelude Ventures, Fifty Years, Cantos Ventures, Green Bay Ventures, Day One Ventures, AME Cloud Ventures, Industry Ventures, Starlight Ventures, Data Collective and OS Fund also participated in the round.</t>
  </si>
  <si>
    <t>AME Cloud Ventures, Anorak Ventures, Baidu Ventures, Cantos Ventures, Civilization Ventures, Correlation Ventures, Data Collective, Day One Ventures, Fifty Years, Green Bay Ventures, IndieBio, Industry Ventures, LINE, New Enterprise Associates, OS Fund, Pagliuca Harvard Life Lab, Pathbreaker Ventures, Prelude Ventures, Sherpa Capital, SOSV, Starlight Ventures</t>
  </si>
  <si>
    <t>AME Cloud Ventures(www.amecloudventures.com), Anorak Ventures(www.anorak.vc), Baidu Ventures(www.bv.ai), Cantos Ventures(www.cantos.vc), Civilization Ventures(www.civilizationventures.com), Correlation Ventures(www.correlationvc.com), Data Collective(www.dcvc.com), Day One Ventures(dayoneventures.co), Fifty Years(www.fifty.vc), Green Bay Ventures(www.greenbayventures.com), IndieBio(www.indiebio.co), Industry Ventures(www.industryventures.com), LINE(www.linecorp.com), New Enterprise Associates(www.nea.com), OS Fund(www.osfund.co), Pathbreaker Ventures(www.pathbreakervc.com), Prelude Ventures(www.preludeventures.com), Sherpa Capital(www.sherpa.com), SOSV(www.sosv.com), Starlight Ventures(www.starlight.vc)</t>
  </si>
  <si>
    <t>113496-94</t>
  </si>
  <si>
    <t>CarVi</t>
  </si>
  <si>
    <t>Comma.Ai</t>
  </si>
  <si>
    <t>Developer of a driving assistance device intended to put the open road into safe hands. The company's driving assistance device offers an application which tracks various aspects of driving such as lane changes, collision danger and reckless driving and quantifies them in a Big Data platform to turn any standard vehicle into a smart vehicle, enabling drivers to drive safely in a secure way.</t>
  </si>
  <si>
    <t>Application Software*, Electronics (B2C)</t>
  </si>
  <si>
    <t>drives assistance device, drives safety technology, monitoring device, smart vehicle</t>
  </si>
  <si>
    <t>www.getcarvi.com</t>
  </si>
  <si>
    <t>127144-63P</t>
  </si>
  <si>
    <t>Kevin Lee</t>
  </si>
  <si>
    <t>kevin@getcarvi.com</t>
  </si>
  <si>
    <t>info@getcarvi.com</t>
  </si>
  <si>
    <t>The company raised $5 million of Series A venture funding from Samsung Venture Investment, Korea Telecom Data and Posco on April 30, 2016. JaHyo Park also participated in the round. The company will use funds to boost production and product launch. Previously, the company joined Plug and Play Tech Centre on June 16, 2015.</t>
  </si>
  <si>
    <t>JayHyo Park, Korea Telecom Data, Plug and Play Tech Center, Posco, Samsung Venture Investment</t>
  </si>
  <si>
    <t>Plug and Play Tech Center(www.plugandplaytechcenter.com), Samsung Venture Investment(www.samsungventures.com)</t>
  </si>
  <si>
    <t>97309-09</t>
  </si>
  <si>
    <t>CARTO</t>
  </si>
  <si>
    <t>AmigoCloud, Graphisoft, MapAnything, Maps.Me, Onshape, dotscene, MapLarge, Mapquest.com, eSpatial, Geopointe, Boundless Spatial, GIS Cloud, Wrld, ESRI Holdings</t>
  </si>
  <si>
    <t>Developer of a location based service and visualization engine designed to discover and predict the key insights underlying the location data in our world. The company's location based service and visualization platform makes location an accessible and active dimension of analysis with the help of a cloud based mapping, analysis and visualization engine, enabling individuals to build spatial applications for both mobile and the web.</t>
  </si>
  <si>
    <t>cloud-based mapping, gis based platform software, visualization engine, visualization platform</t>
  </si>
  <si>
    <t>www.carto.com</t>
  </si>
  <si>
    <t>2014: 34, 2017: 100, 2018: 110</t>
  </si>
  <si>
    <t>78512-23P</t>
  </si>
  <si>
    <t>Javier de la Torre</t>
  </si>
  <si>
    <t>jatorre@carto.com</t>
  </si>
  <si>
    <t>201 Moore Street</t>
  </si>
  <si>
    <t>The company raised an estimated $5.2 million of Series B1 venture funding from undisclosed investors on January 3, 2018, putting the company's pre-money valuation at $100 million.</t>
  </si>
  <si>
    <t>Accel, Earlybird Venture Capital, Kibo Ventures Partners, Salesforce Ventures, Startup Autobahn, Torreal, Vitamina K Venture Capital, Wayra</t>
  </si>
  <si>
    <t>Accel(www.accel.com), Earlybird Venture Capital(www.earlybird.com), Kibo Ventures Partners(www.kiboventures.com), Startup Autobahn(www.startup-autobahn.com), Torreal(www.torreal.com), Vitamina K Venture Capital(www.vitaminak.com), Wayra(de.wayra.co)</t>
  </si>
  <si>
    <t>Cuatrecasas(Legal Advisor), Gunderson Dettmer(Legal Advisor)</t>
  </si>
  <si>
    <t>165921-04</t>
  </si>
  <si>
    <t>CarServ</t>
  </si>
  <si>
    <t>Shopmonkey, Alldata, Demandforce, Listen360, Kukui Newbury, Shopwareinc, Mitchell1, R.O. Writer</t>
  </si>
  <si>
    <t>Provider of an online machine-learning based platform intended for the automotive repair industry to manage their businesses easily. The company's platform uses SaaS and includes shop management, customer communication and marketing, enabling customers get repair facilities as well as a consistent and high-quality experience at an affordable price.</t>
  </si>
  <si>
    <t>Artificial Intelligence &amp; Machine Learning, Big Data, Mobile, SaaS</t>
  </si>
  <si>
    <t>auto repair platform, auto repair software, automotive repair platform, automotive software, bi tools, business intelligence, crm app, crm application, customer retention, erp cloud software, operating system, predictive analytics, ridesharing, workflow transformation</t>
  </si>
  <si>
    <t>www.carserv.com</t>
  </si>
  <si>
    <t>2015: 1, 2016: 3, 2017: 5, 2018: 12, 2019: 16</t>
  </si>
  <si>
    <t>143859-25P</t>
  </si>
  <si>
    <t>Mars Mundy</t>
  </si>
  <si>
    <t>mars@carserv.com</t>
  </si>
  <si>
    <t>+1 (540) 467-7480</t>
  </si>
  <si>
    <t>1615 East 7th Street</t>
  </si>
  <si>
    <t>Unit 304</t>
  </si>
  <si>
    <t>+1 (512) 537-6561</t>
  </si>
  <si>
    <t>info@carserv.com</t>
  </si>
  <si>
    <t>The company raised an undisclosed amount of seed funding in the form of convertible debt from Salesforce Ventures and Hatcher Plus on November 21, 2018. Previously, the company joined Quake Capital as part of the Fall 2018 sixth accelerator cohort on August 31, 2018 and received $150,000 in funding.</t>
  </si>
  <si>
    <t>Capital Factory, Hatcher Plus, Quake Capital, Right Side Capital Management, Salesforce Ventures, Techstars</t>
  </si>
  <si>
    <t>Capital Factory(www.capitalfactory.com), Hatcher Plus(hq.hatcher.com), Quake Capital(www.quakecapital.com), Right Side Capital Management(www.rightsidecapital.com), Techstars(www.techstars.com)</t>
  </si>
  <si>
    <t>167792-05</t>
  </si>
  <si>
    <t>Caroobi</t>
  </si>
  <si>
    <t>Otobots, YourMechanic, MyCarNeedsA.com, AutoMD, Whocanfixmycar.com, Servicing Stop, Wrench, GoMechanic, Autorox</t>
  </si>
  <si>
    <t>Provider of an online portal for placement of motor mechanics designed to simplify and improve the automotive after sales customer experience. The company's motor mechanics placement platform enables users to book various auto-related services such as auto body paint jobs, repairs, maintenance and inspection, enabling users to book repairs at a transparent and fixed price.</t>
  </si>
  <si>
    <t>car repair service, motor mechanics, online mechanics service, online motor mechanics, online motor repair</t>
  </si>
  <si>
    <t>www.caroobi.com</t>
  </si>
  <si>
    <t>2016: 35, 2017: 60, 2018: 130</t>
  </si>
  <si>
    <t>83283-04P</t>
  </si>
  <si>
    <t>Nico Weiler</t>
  </si>
  <si>
    <t>nico@caroobi.com</t>
  </si>
  <si>
    <t>+49 (0)30 2240 3046 0</t>
  </si>
  <si>
    <t>Ullsteinstr. 114-118</t>
  </si>
  <si>
    <t>Turm C</t>
  </si>
  <si>
    <t>12109</t>
  </si>
  <si>
    <t>+49 (0)30 1208 6557</t>
  </si>
  <si>
    <t>hello@caroobi.com</t>
  </si>
  <si>
    <t>The company raised $20 million of Series B venture funding in a deal led by NGP Capital on June 6, 2018, putting the company's pre-money valuation at $80 million. BMW i Ventures, Cavalry Ventures, MobilityFund, Target Global, Cherry Ventures Management and DN Capital also participated in the round.</t>
  </si>
  <si>
    <t>Asia Venture Group, Axel Springer Digital Ventures, BMW i Ventures, Cavalry Ventures, Cherry Ventures Management, DN Capital, Erik Heinelt, Felix Swoboda, FJ Labs, Global Conversion Group, MobilityFund, NGP Capital, TA Ventures, Target Global</t>
  </si>
  <si>
    <t>Asia Venture Group(www.asiaventuregroup.com), Axel Springer Digital Ventures(www.axelspringerdigitalventures.com), BMW i Ventures(www.bmwiventures.com), Cavalry Ventures(www.cavalry.vc), Cherry Ventures Management(www.cherry.vc), DN Capital(www.dncapital.com), FJ Labs(www.fjlabs.com), MobilityFund(www.mobility.fund), NGP Capital(www.ngpcap.com), TA Ventures(www.taventures.vc), Target Global(www.targetglobal.vc)</t>
  </si>
  <si>
    <t>161052-13</t>
  </si>
  <si>
    <t>Cargo Systems</t>
  </si>
  <si>
    <t>Cargo</t>
  </si>
  <si>
    <t>Provider of in-car commerce platform intended to offer products on the go. The company uses in-car installed vending machine and a mobile app to offer a wide range of products like snacks, personal care and magazines among the others, enabling drivers to maximize their ridesharing earnings and riders to buy products while in the car.</t>
  </si>
  <si>
    <t>Other Commercial Services*, Other Retail</t>
  </si>
  <si>
    <t>Ridesharing, TMT</t>
  </si>
  <si>
    <t>in-car food, in-car goods, in-car shopping, in-car shopping platform, ridesharing shopping</t>
  </si>
  <si>
    <t>www.drivecargo.com</t>
  </si>
  <si>
    <t>2016: 4, 2018: 30</t>
  </si>
  <si>
    <t>137623-24P</t>
  </si>
  <si>
    <t>Jasper Wheeler</t>
  </si>
  <si>
    <t>Co-Founder, Board Member &amp; Chief Product Officer</t>
  </si>
  <si>
    <t>jasper@getcargo.today</t>
  </si>
  <si>
    <t>+1 (929) 277-9140</t>
  </si>
  <si>
    <t>36 East 12th Street</t>
  </si>
  <si>
    <t>The company raised $5.45 million of venture funding in the form of SAFE notes from undisclosed investors on May 24, 2019.</t>
  </si>
  <si>
    <t>Aquiline Technology Growth, Aviv Nevo, Bleu Capital, Chaifetz Group, Charge Ventures, ChargeVC, ChinaRock Capital Management, Christina Schwarzenegger, Coatue Management, Colin Carrier, David Stern, Detroit Venture Partners, Eighteen94 Capital, Emil Michael, Fontinalis Partners, Founders Fund, Josh Mohrer, Maria Shriver, Mark Pincus, Moving Capital, New Ground Ventures, Patrick Schwarzenegger, Paul Rosenberg, Plug and Play Tech Center, Ride Ventures, RiverPark Ventures, Rosecliff Venture Partners, Steve Aoki, Techstars, The Gramercy Fund, William Barnes</t>
  </si>
  <si>
    <t>Aquiline Technology Growth(www.atgvc.com), Bleu Capital(www.bleucap.com), Chaifetz Group(www.chaifetzgroup.com), Charge Ventures(www.charge.vc), ChargeVC(www.chargevc.org), ChinaRock Capital Management(www.crcm.com), Coatue Management(www.coatue.com), Detroit Venture Partners(www.detroit.vc), Eighteen94 Capital(www.1894capital.com), Fontinalis Partners(www.fontinalis.com), Founders Fund(www.foundersfund.com), New Ground Ventures(www.newground.vc), Plug and Play Tech Center(www.plugandplaytechcenter.com), RiverPark Ventures(www.riverparkvc.com), Rosecliff Venture Partners(www.rosecliffvc.com), Techstars(www.techstars.com), The Gramercy Fund(www.gramercyfund.com)</t>
  </si>
  <si>
    <t>112496-32</t>
  </si>
  <si>
    <t>CarForce</t>
  </si>
  <si>
    <t>Provider of a cloud-based platform designed to increase customer satisfaction and retention for franchise dealerships. The company's platform leverages connected car telematics to provide dealerships with real time updates on the health of their customer's vehicles, enabling car dealers to provide their customers with a range of services including remote diagnostic, scheduled or unscheduled emergency maintenance, refueling and carwash.</t>
  </si>
  <si>
    <t>Automotive*, Business/Productivity Software</t>
  </si>
  <si>
    <t>analytics, connected car, connected car technology, on demand vehicle service, telematics, vehicle logistics</t>
  </si>
  <si>
    <t>www.thecarforce.com</t>
  </si>
  <si>
    <t>2015: 2</t>
  </si>
  <si>
    <t>99619-12P</t>
  </si>
  <si>
    <t>Jessika Lora</t>
  </si>
  <si>
    <t>jessi@thecarforce.com</t>
  </si>
  <si>
    <t>info@thecarforce.com</t>
  </si>
  <si>
    <t>The company raised an undisclosed amount of venture funding from Hella Ventures on December 4, 2017.</t>
  </si>
  <si>
    <t>Digitech Venture Capital Fund, Foundersuite, Hella Ventures, Jason Calacanis, Microsoft BizSpark, Seed Sumo, SkillGigs, The LAUNCH Incubator</t>
  </si>
  <si>
    <t>Digitech Venture Capital Fund(www.digitechvcfund.com), Foundersuite(www.foundersuite.com), Hella Ventures(www.hellaventures.com), Jason Calacanis(www.calacanis.com), Microsoft BizSpark(bizspark.microsoft.com), Seed Sumo(www.seedsumo.com), SkillGigs(www.skillgigs.com), The LAUNCH Incubator(launchincubator.co)</t>
  </si>
  <si>
    <t>52377-31</t>
  </si>
  <si>
    <t>CareDox</t>
  </si>
  <si>
    <t>Mother Knows</t>
  </si>
  <si>
    <t>Medical Information Technology, Sharecare, Sandlot Solutions, HealthJoy, Qure4u, MDLIVE, PingMD, Zipnosis, Kareo, Core Solutions, Carena, Cerner, American Well, Allscripts Healthcare Solutions, Credible Behavioral Health, Practice Fusion, eClinicalWorks, Noteworth, Myca, CareSync, Orb Health, ElationHealth, Epic Systems, Better Day Health, Zest Health, Entrada, AntWorks Healthcare, CollaborateMD</t>
  </si>
  <si>
    <t>Developer of a pediatric healthcare technology platform designed to improve children's health with technology that efficiently connects schools, families and healthcare providers. The company's secure, HIPAA and FERPA-compliant platform captures student medical charts, medications and immunizations and engages parents and providers with alerts about health events, enabling public school health programs to run more efficiently and safely so they can provide crucial health services to children in the US and improve pediatric care.</t>
  </si>
  <si>
    <t>care coordination platform, digital health platform, health record, medical data, medical information, pediatric healthcare platform</t>
  </si>
  <si>
    <t>www.caredox.com</t>
  </si>
  <si>
    <t>60051-52P</t>
  </si>
  <si>
    <t>Hesky Kutscher</t>
  </si>
  <si>
    <t>hesky@caredox.com</t>
  </si>
  <si>
    <t>+1 (650) 394-5566</t>
  </si>
  <si>
    <t>104 West 40th Street</t>
  </si>
  <si>
    <t>Suite 1030</t>
  </si>
  <si>
    <t>info@caredox.com</t>
  </si>
  <si>
    <t>The company raised $24.34 million of Series C venture funding from undisclosed investors on May 15, 2019, putting the company's pre-money valuation at $96 million.</t>
  </si>
  <si>
    <t>500 Startups, 7wire Ventures, Access Technology Ventures, AI Life Sciences Investments, Band of Angels, Charles River Ventures, Digitalis Ventures, First Round Capital, Giza Venture Capital, Jérémie Berrebi, Kima Ventures, Prolog Ventures, StartUp Health, TEXO Ventures, TJNS Capital, Wanxiang Healthcare Investments</t>
  </si>
  <si>
    <t>500 Startups(www.500.co), 7wire Ventures(www.7wireventures.com), Access Technology Ventures(www.accesstechnologyventures.com), Band of Angels(www.bandangels.com), Charles River Ventures(www.crv.com), Digitalis Ventures(www.digitalisventures.com), First Round Capital(www.firstround.com), Giza Venture Capital(www.gizavc.com), Jérémie Berrebi(www.berrebi.org), Kima Ventures(www.kimaventures.com), Prolog Ventures(www.prologventures.com), StartUp Health(www.startuphealth.com), TEXO Ventures(www.texoventures.com), TJNS Capital(www.tjnscapital.com), Wanxiang Healthcare Investments(wanxianghealthcare.com)</t>
  </si>
  <si>
    <t>Reed Smith(Legal Advisor), Wilson Sonsini Goodrich &amp; Rosati(Legal Advisor)</t>
  </si>
  <si>
    <t>Reed Smith(Legal Advisor), Western Technology Investment(Debt Financing), Wilson Sonsini Goodrich &amp; Rosati(Legal Advisor)</t>
  </si>
  <si>
    <t>108045-46</t>
  </si>
  <si>
    <t>Carbon Engineering</t>
  </si>
  <si>
    <t>CE</t>
  </si>
  <si>
    <t>Climeworks, Global Thermostat, Inventys, LanzaTech</t>
  </si>
  <si>
    <t>Provider of clean energy services intended to provide affordable and reliable energy while reducing carbon emissions. The company's services use a commercializing technology to capture carbon dioxide directly from the atmosphere which can be used for the production of ultra-low carbon fuels, enabling clients to access low carbon emitting fuel for their vehicles.</t>
  </si>
  <si>
    <t>Coal and Consumable Fuels Equipment, Environmental Services (B2B)*, Other Energy</t>
  </si>
  <si>
    <t>carbon capture equipment, carbon dioxide capturing, carbon dioxide removal, carbon dioxide removal technology, low-carbon fuel</t>
  </si>
  <si>
    <t>www.carbonengineering.com</t>
  </si>
  <si>
    <t>2016: 20, 2017: 25, 2018: 50, 2019: 50</t>
  </si>
  <si>
    <t>37092-52P</t>
  </si>
  <si>
    <t>Susan Koch</t>
  </si>
  <si>
    <t>+1 (604) 439-3003</t>
  </si>
  <si>
    <t>Squamish, Canada</t>
  </si>
  <si>
    <t>PO Box 187</t>
  </si>
  <si>
    <t>37321 Galbraith Road</t>
  </si>
  <si>
    <t>Squamish</t>
  </si>
  <si>
    <t>V8B 0A2</t>
  </si>
  <si>
    <t>info@carbonengineering.com</t>
  </si>
  <si>
    <t>The company raised $68 million of venture funding from Chevron Technology Ventures, Synergy Growth, Occidental Petroleum and Rusheen Capital Management on January 9, 2019. Starlight Ventures, Thomvest Ventures, First Round Capital, Lowercase Capital and William Gates also participated in the round.</t>
  </si>
  <si>
    <t>British Columbia Ministry of Economic Development, Chevron Technology Ventures, Emissions Reduction Alberta, First Round Capital, Lowercase Capital, N. Murray Edwards, Occidental Petroleum, Rusheen Capital Management, Starlight Ventures, Sustainable Development Technology Canada, Synergy Growth, Thomvest Ventures, William Gates</t>
  </si>
  <si>
    <t>British Columbia Ministry of Economic Development(www2.gov.bc.ca/gov/content/employment-business/economic-development), Emissions Reduction Alberta(www.eralberta.ca), First Round Capital(www.firstround.com), Lowercase Capital(www.lowercasecapital.com), Occidental Petroleum(www.oxy.com), Rusheen Capital Management(www.rusheen.com), Starlight Ventures(www.starlight.vc), Sustainable Development Technology Canada(www.sdtc.ca), Synergy Growth(www.synergy-growth.co.uk), Thomvest Ventures(www.thomvest.com)</t>
  </si>
  <si>
    <t>Fort Capital(Placement Agent), Hobbs &amp; Towne(Consulting)</t>
  </si>
  <si>
    <t>107002-72</t>
  </si>
  <si>
    <t>Carbon</t>
  </si>
  <si>
    <t>Carbon3D, EIPI Systems</t>
  </si>
  <si>
    <t>Zortrax, SLM Solutions Group, The ExOne Company, Desktop Metal</t>
  </si>
  <si>
    <t>Developer of 3D printing technologies designed to help in making advanced thinking a practical reality. The company's technology has developed Continuous Liquid Interface Production Technology (CLIP) which grows molecularly solid objects from a pool of polymeric resin and produces parts with isotropic properties that can be considered final parts, enabling manufacturers to unlock new business opportunities such as mass customization, on-demand inventory and differentiated products made with unique functional materials as well as eliminating tooling costs and decreasing time to market.</t>
  </si>
  <si>
    <t>Electrical Equipment*, Machinery (B2B)</t>
  </si>
  <si>
    <t>3d printing, 3d printing service, 3d printing software, 3d printing technology, additives manufacturing, printing devices, printing technology</t>
  </si>
  <si>
    <t>www.carbon3d.com</t>
  </si>
  <si>
    <t>2014: 42, 2015: 80, 2018: 235</t>
  </si>
  <si>
    <t>52382-80P</t>
  </si>
  <si>
    <t>Joseph DeSimone</t>
  </si>
  <si>
    <t>jdesimone@advancedchemotech.com</t>
  </si>
  <si>
    <t>+1 (650) 285-6307</t>
  </si>
  <si>
    <t>1089 Mills Way</t>
  </si>
  <si>
    <t>info@carbon3d.com</t>
  </si>
  <si>
    <t>The company is in the process of raising an estimated $300 million of Series E venture funding as of March 22, 2019, putting the company's pre-money valuation at $2.2 billion. The company raised $200 million of Series D venture funding in a deal led by ARCHina Capital on February 9, 2018, putting the company's pre-money valuation at $1.54 billion. GE Ventures, Hydra Ventures, Johnson &amp; Johnson Innovation - JJDC, JSR, Silver Lake Management, Baillie Gifford, UCLA Ventures, Sequoia Capital, Fidelity Investments, Emerson Collective, G2VP and Reinet Investments also participated in the round.</t>
  </si>
  <si>
    <t>Adidas Ventures, ARCHina Capital, Autodesk, Baillie Gifford, BMW Group, BMW i Ventures, Emerson Collective, Eshelman Ventures, Fidelity Investments, G2VP, GE Ventures, GV, Johnson &amp; Johnson Innovation - JJDC, JSR, Keywise Capital Management, Nikon, Northgate Capital, Piedmont Capital Partners, Reinet Investments, Sequoia Capital, Silver Lake Management, UCLA Ventures, Wakefield Group, Yuri Milner</t>
  </si>
  <si>
    <t>Adidas Ventures(www.hydra-ventures.com), Baillie Gifford(www.bailliegifford.com), BMW Group(www.bmwgroup.com), BMW i Ventures(www.bmwiventures.com), Emerson Collective(www.emersoncollective.com), Eshelman Ventures(www.eshelmanventures.com), Fidelity Investments(www.fidelity.com), G2VP(www.g2vp.com), GE Ventures(www.geventures.com), GV(www.gv.com), Johnson &amp; Johnson Innovation - JJDC(www.jnjinnovation.com/jjdc), JSR(www.jsr.co.jp), Keywise Capital Management(www.keywisecapital.com), Nikon(www.nikon.co.jp), Northgate Capital(www.northgate.com), Piedmont Capital Partners(www.piedmontcap.com), Reinet Investments(www.reinet.com), Sequoia Capital(www.sequoiacap.com), Silver Lake Management(www.silverlake.com), UCLA Ventures(www.ventures.ucla.edu), Wakefield Group(www.wakefieldgroup.com)</t>
  </si>
  <si>
    <t>226732-06</t>
  </si>
  <si>
    <t>Canvas (Beverages)</t>
  </si>
  <si>
    <t>Provider of plant-based beverages designed to offer balanced nourishment for a health-conscious lifestyle. The company's beverages are made from spent grains obtained from as a byproduct of beer brewing process which is rich in fiber and protein, enabling consumers to get a healthy and nutritious drink.</t>
  </si>
  <si>
    <t>barley byproduct, brewing byproduct, fibre drinks, grain drinks</t>
  </si>
  <si>
    <t>www.drinkcanvas.com</t>
  </si>
  <si>
    <t>90373-78P</t>
  </si>
  <si>
    <t>Sarah Pool</t>
  </si>
  <si>
    <t>sarah@drinkcanvas.com</t>
  </si>
  <si>
    <t>+1 (503) 395-7143</t>
  </si>
  <si>
    <t>1355 North West Everett Street</t>
  </si>
  <si>
    <t>97209</t>
  </si>
  <si>
    <t>hello@drinkcanvas.com</t>
  </si>
  <si>
    <t>The company raised $47,351 of product crowdfunding via Kickstarter on September 1, 2017. Earlier, the company raised an undisclosed amount of venture funding from ZX Ventures on August 11, 2017.</t>
  </si>
  <si>
    <t>ZX Ventures, ZXlerator</t>
  </si>
  <si>
    <t>ZX Ventures(www.zx-ventures.com), ZXlerator(www.zxlerator.com)</t>
  </si>
  <si>
    <t>169830-91</t>
  </si>
  <si>
    <t>Candid Systems</t>
  </si>
  <si>
    <t>Other Consumer Products and Services*</t>
  </si>
  <si>
    <t>business product, consumer product, consumer services</t>
  </si>
  <si>
    <t>60029-65P</t>
  </si>
  <si>
    <t>Sundar Iyer</t>
  </si>
  <si>
    <t>+1 (800) 553-6387</t>
  </si>
  <si>
    <t>The company raised an undisclosed amount of venture funding from Cisco Investments in September 2015.</t>
  </si>
  <si>
    <t>235265-86</t>
  </si>
  <si>
    <t>Campsited</t>
  </si>
  <si>
    <t>Hipcamp, Vegas.com, Camping &amp; Co, Airbnb</t>
  </si>
  <si>
    <t>Developer of a booking platform designed to book campsites and holiday parks. The company's platform personalizes the campsite search by providing access to a deep supply of information and prices, enabling travelers to make informed decisions for their vacation.</t>
  </si>
  <si>
    <t>books campsites, holiday park, online booking platform, travel and tourism, travel app</t>
  </si>
  <si>
    <t>www.campsited.com</t>
  </si>
  <si>
    <t>203999-14P</t>
  </si>
  <si>
    <t>Finán ODonoghue</t>
  </si>
  <si>
    <t>finan@campsited.com</t>
  </si>
  <si>
    <t>info@campsited.com</t>
  </si>
  <si>
    <t>The company raised $500,000 of venture funding from Motley Fool Ventures on April 20, 2019. Previously, the company raised EUR 284,482 of angel funding via crowdfunding platform Spark Crowdfunding on January 7, 2019, putting the company's pre-money valuation at EUR 5.12 million.</t>
  </si>
  <si>
    <t>Enterprise Ireland, Motley Fool Ventures</t>
  </si>
  <si>
    <t>Spark Crowdfunding(Lead Manager or Arranger)</t>
  </si>
  <si>
    <t>128377-63</t>
  </si>
  <si>
    <t>Camino Financial</t>
  </si>
  <si>
    <t>Lendio, LendKey, Pave, Upstart Network, Behalf, Prosper, Affirm, LendingClub, Lenda, Kabbage, Credible Labs, Orchard App, QuarterSpot, Earnest Operations, Fundbox, Fundera, Bolstr, CommonBond, Credibly, Tienda Pago, Oportun, WeFinance, Nav (Financial software), Dealstruck, StreetShares, SmartBiz Loans, Capify, SuperMoney, College Ave Student Loans, OnDeck, SoFi, Funding Circle</t>
  </si>
  <si>
    <t>Provider of an online credit marketplace intended to provide business funding to informally-run and under-banked small businesses. The company's online credit marketplace provides up to $500,000 credit analytics and technical assistance, enabling clients to improve their business credit in an effort to qualify for a bank loan.</t>
  </si>
  <si>
    <t>FinTech, Impact Investing, SaaS, TMT</t>
  </si>
  <si>
    <t>credit advisory platform, credit marketplace, credit monitoring, impact investing vertical, small business loans, small loans</t>
  </si>
  <si>
    <t>www.caminofinancial.com</t>
  </si>
  <si>
    <t>2015: 8, 2016: 11</t>
  </si>
  <si>
    <t>41486-41P</t>
  </si>
  <si>
    <t>Sean Salas</t>
  </si>
  <si>
    <t>ssalas@caminofinancial.com</t>
  </si>
  <si>
    <t>+1 (800) 852-0655</t>
  </si>
  <si>
    <t>309 East 8th Street</t>
  </si>
  <si>
    <t>Suite 601</t>
  </si>
  <si>
    <t>+1 (213) 260-6222</t>
  </si>
  <si>
    <t>info@caminofinancial.com</t>
  </si>
  <si>
    <t>The company closed on $9 million of convertible debt financing from DILA Capital on an undisclosed date. Earlier, the company received a $800,000 loan in a deal led by Collaborative Fund on September 10, 2018. Impact America Fund, CRÉDITO REAL USA, Capital Finance Australia and CV Catalyst Fund also participated in the deal. The company is being actively tracked by PitchBook.</t>
  </si>
  <si>
    <t>Collaborative Fund, Comcast Ventures, Harvard i-lab, Hunt Companies, Impact America Fund, The Graduate Syndicate</t>
  </si>
  <si>
    <t>DILA Capital</t>
  </si>
  <si>
    <t>Collaborative Fund(www.collaborativefund.com), Comcast Ventures(www.comcastventures.com), Hunt Companies(www.huntcompanies.com), Impact America Fund(www.impactamericafund.com), The Graduate Syndicate(www.thegraduatesyndicate.com)</t>
  </si>
  <si>
    <t>DILA Capital(www.dilacapital.com)</t>
  </si>
  <si>
    <t>Spring Street Business Law(Legal Advisor)</t>
  </si>
  <si>
    <t>Capital Finance Australia(Debt Financing), Cooley(Legal Advisor), Crédito Real USA(Debt Financing), CV Catalyst Fund(Debt Financing), Spring Street Business Law(Legal Advisor)</t>
  </si>
  <si>
    <t>53932-24</t>
  </si>
  <si>
    <t>Cambridge Broadband Networks</t>
  </si>
  <si>
    <t>Cambridge Broadband</t>
  </si>
  <si>
    <t>CBNL</t>
  </si>
  <si>
    <t>SpiderCloud Wireless, BLiNQ Networks, Mimosa Networks, Airspan Networks, Tarana, RADWIN, Ruckus Wireless, SerComm, Redline Communications, Proxim Wireless, Streakwave, Fastback Networks, Winncom Technologies, Casa Systems, Tessco Technologies, WAV Wireless Outfitters</t>
  </si>
  <si>
    <t>Provider of wireless back-haul and access provisions designed to improve telecommunication network capacity and efficiency under increasing mobile data growth. The company's wireless back-haul and access provisions offers carrier-class, point-to-multipurpose broadband wireless access equipment, enabling telecom and mobile operators to accelerate customers' return on investment.</t>
  </si>
  <si>
    <t>Connectivity Products, Other Communications and Networking*, Wireless Communications Equipment</t>
  </si>
  <si>
    <t>communication equipment, connectivity tools, microwave solution, mobile broadband backhaul, radio transmission platform, wireless access equipment</t>
  </si>
  <si>
    <t>www.cbnl.com</t>
  </si>
  <si>
    <t>2007: 100, 2009: 59, 2010: 76, 2011: 108, 2012: 93, 2014: 111</t>
  </si>
  <si>
    <t>45661-42P</t>
  </si>
  <si>
    <t>Darren Taylor</t>
  </si>
  <si>
    <t>dtaylor@cbnl.com</t>
  </si>
  <si>
    <t>+44 (0)12 2370 3000</t>
  </si>
  <si>
    <t>Byron House, Cambridge Business Park</t>
  </si>
  <si>
    <t>CB4 0WZ</t>
  </si>
  <si>
    <t>+44 (0)12 2342 3573</t>
  </si>
  <si>
    <t>info@cbnl.com</t>
  </si>
  <si>
    <t>The company raised $5 million in the form of a senior secured financing facility from BMS Finance on January 30, 2017. CBNL's new financing facility with BMS Finance will enable the company to continue its global expansion in 2017, while providing existing customers with first-class technology, services and support. Previously, the company raised $6.095 million in the form of mezzanine financing from TriplePoint Venture Growth on December 31, 2014. TriplePoint Venture Growth provided $6 million in the form of a growth capital loan and invested in 33,000 preferred shares of the company at a fair value of $0.095 million.</t>
  </si>
  <si>
    <t>Accel, Adara Ventures, Amadeus Capital Partners, AtmosClear Investments, Gilde IT, Kreos Capital, Latin Rim, Partners for Growth, Pino Venture Partners, Samsung Venture Investment, TriplePoint Venture Growth, TVM Capital</t>
  </si>
  <si>
    <t>Accel(www.accel.com), Adara Ventures(www.adaravp.com), Amadeus Capital Partners(www.amadeuscapital.com), AtmosClear Investments(www.atmosclear.com), Kreos Capital(www.kreoscapital.com), Latin Rim(www.latinrim.com), Partners for Growth(www.pfgrowth.com), Pino Venture Partners(www.pino.it), Samsung Venture Investment(www.samsungventures.com), TriplePoint Venture Growth(www.tpvg.com), TVM Capital(www.tvm-capital.com)</t>
  </si>
  <si>
    <t>Soloman Associates(Placement Agent)</t>
  </si>
  <si>
    <t>BMS Finance(Debt Financing), Kreos Capital(Debt Financing), Partners for Growth(Debt Financing), Silicon Valley Bank(Debt Financing), TriplePoint Venture Growth(Debt Financing)</t>
  </si>
  <si>
    <t>56204-65</t>
  </si>
  <si>
    <t>Calm (Meditation Application)</t>
  </si>
  <si>
    <t>Stop, Breathe &amp; Think, Pzizz, Pacifica (Application Software), Simple Habit, Aura Health, Lumosity, Memorado, Omvana, Remente</t>
  </si>
  <si>
    <t>Provider of a relaxation therapy application designed to reduce anxiety, sleep better and feel happier. The company's application provides hundreds of hours of original audio content, stories and programs which tackles some of the most important mental health issues of the modern age including anxiety, stress and insomnia, enabling users to get a healthier life.</t>
  </si>
  <si>
    <t>Digital Health, LOHAS &amp; Wellness, Mobile, TMT</t>
  </si>
  <si>
    <t>exercise software, health wellness, meditation &amp; relaxation, meditation app, meditation application, relaxation app, relaxation therapy, sleep therapy services</t>
  </si>
  <si>
    <t>www.calm.com</t>
  </si>
  <si>
    <t>2017: 9, 2018: 40, 2019: 50</t>
  </si>
  <si>
    <t>47240-65P</t>
  </si>
  <si>
    <t>Alexander Tew</t>
  </si>
  <si>
    <t>alex@calm.com</t>
  </si>
  <si>
    <t>140 2nd Street</t>
  </si>
  <si>
    <t>info@calm.com</t>
  </si>
  <si>
    <t>The company raised $88 million of Series B venture funding in a deal led by TPG Growth on February 6, 2019, putting the company's pre-money valuation at $912 million. CAA Ventures, Insight Venture Partners, Monkfish Equity and Sound Ventures also participated in this round. The funds will be used by the company to expand internationally and invest in more premium content. Previously, the company received $15 million of debt financing in the form of revolving credit line from Silicon Valley Bank on December 31, 2018.</t>
  </si>
  <si>
    <t>415x, Andrew Crichton, Andrew McLoughlin, AngelList, Bradley Feld, CAA Ventures, Cherubic Ventures, Dan Sutera, Elefund, Forefront Venture Partners, Harry Styles, Insight Partners, Jason Calacanis, Jason Seats, Jay Gould, Jeff Cantalupo, Joe Greenstein, Launch, Listen Ventures, Matthew Mullenweg, Michael Birch, Monkfish Equity, Neon Adventures, Oleg Tscheltzoff, Richard Wolpert, Sound Ventures, SSV, Stephen Pankhurst, Tabreez Verjee, TPG Growth, Yun-Fang Juan</t>
  </si>
  <si>
    <t>415x(www.415x.com), Andrew McLoughlin(www.andymcloughlin.co), AngelList(www.angel.co), CAA Ventures(ventures.caa.com), Cherubic Ventures(www.cherubic.com), Dan Sutera(www.sutera.com), Elefund(www.elefund.com), Forefront Venture Partners(www.forefrontvp.com), Insight Partners(www.insightpartners.com), Jason Calacanis(www.calacanis.com), Jason Seats(www.jasonseats.com), Launch(www.teamlaunch.com), Listen Ventures(www.listen.co), Matthew Mullenweg(www.ma.tt), Monkfish Equity(www.monkfish-equity.com), Neon Adventures(www.neon.com), Sound Ventures(www.sound-ventures.com), TPG Growth(www.tpggrowth.com)</t>
  </si>
  <si>
    <t>Fenwick &amp; West(Legal Advisor), Latham &amp; Watkins(Legal Advisor), Silicon Valley Bank(Debt Financing)</t>
  </si>
  <si>
    <t>58862-71</t>
  </si>
  <si>
    <t>Callvu</t>
  </si>
  <si>
    <t>Orodo</t>
  </si>
  <si>
    <t>Zappix, Interactive Solutions (Memphis), Mowingo</t>
  </si>
  <si>
    <t>Developer of a mobile digital engagement visual platform designed to bring visual interaction to traditional customer service systems. The company's mobile digital engagement visual platform provides a visual interaction interface for call centers that optimizes interactions between service providers and customers, enabling enterprises to interact with their customers and they can deliver visual content to smartphone devices during the IVR call session.</t>
  </si>
  <si>
    <t>Other Commercial Services, Other Communications and Networking, Systems and Information Management*</t>
  </si>
  <si>
    <t>customer service system, digital engagement, virtual world, visual content, visual interaction, visual platform</t>
  </si>
  <si>
    <t>www.callvu.com</t>
  </si>
  <si>
    <t>66286-00P</t>
  </si>
  <si>
    <t>Ori Faran</t>
  </si>
  <si>
    <t>ori.faran@callvu.com</t>
  </si>
  <si>
    <t>+1 (516) 210-4499</t>
  </si>
  <si>
    <t>Yokneam, Israel</t>
  </si>
  <si>
    <t>13 Hatnufa street</t>
  </si>
  <si>
    <t>Yokneam</t>
  </si>
  <si>
    <t>20692</t>
  </si>
  <si>
    <t>info@callvu.com</t>
  </si>
  <si>
    <t>The company raised $3 million of venture funding from lead investor Liberty Global Ventures on June 1, 2016. AfterDox Angel Investment Group, 2B Angels and NICE also participated. The company will use funds to go-to-market approach to expand its global reach and strengthen the company's marketing efforts. Previously, the company joined Citi Innovation Lab in 2016. The company joined Finovate in 2016.</t>
  </si>
  <si>
    <t>2B Angels, AfterDox, Citi Innovation Lab, Explore. Dream. Discover., Finovate, Liberty Global Ventures, NICE Systems, PLUS Ventures</t>
  </si>
  <si>
    <t>2B Angels(www.2B-Angels.com), AfterDox(www.afterdox.com), Explore. Dream. Discover.(www.exploreventures.co.il), Finovate(www.finovate.com), NICE Systems(www.nice.com), PLUS Ventures(www.plusventures.co.il)</t>
  </si>
  <si>
    <t>224207-20</t>
  </si>
  <si>
    <t>Cali'flour Foods</t>
  </si>
  <si>
    <t>Cali'flour</t>
  </si>
  <si>
    <t>Provider of cauliflower based food products intended to offer healthy alternatives. The company's offerings include three different kinds of cauliflower pizza crusts as well as over 125 recipes for pizza, pasta, cookies, and sandwiches designed for people across the dietary spectrum, enabling customers to get access to healthy foods that satisfy cravings and allow them to maintain a healthy lifestyle.</t>
  </si>
  <si>
    <t>food product, glutten free snacks, healthy food, healthy food seller, healthy pizza</t>
  </si>
  <si>
    <t>M&amp;A, Private Equity</t>
  </si>
  <si>
    <t>www.califlourfoods.com</t>
  </si>
  <si>
    <t>204791-59P</t>
  </si>
  <si>
    <t>Mike Anderson</t>
  </si>
  <si>
    <t>mike@califlourfoods.com</t>
  </si>
  <si>
    <t>+1 (866) 422-3568</t>
  </si>
  <si>
    <t>Chico, CA</t>
  </si>
  <si>
    <t>1057 Village Lane</t>
  </si>
  <si>
    <t>Chico</t>
  </si>
  <si>
    <t>95926</t>
  </si>
  <si>
    <t>hello@califlourfoods.com</t>
  </si>
  <si>
    <t>The company received an undisclosed amount of development capital from Sunrise Strategic Partners and Trilantic Capital Partners on May 2, 2019. Part of the round also included $3 million invested by CircleUp Network in February via a convertible note. The investment from will allow the company to expand grocery distribution, make additional marketing and sales investments and launch new innovation.</t>
  </si>
  <si>
    <t>CircleUp Network, Sunrise Strategic Partners, Trilantic Capital Partners</t>
  </si>
  <si>
    <t>CircleUp Network(www.circleup.com), Sunrise Strategic Partners(www.sunrisestrategicpartners.com), Trilantic Capital Partners(www.trilantic.com)</t>
  </si>
  <si>
    <t>Nutter McClennen &amp; Fish(Legal Advisor), Whipstitch Capital(Advisor: General)</t>
  </si>
  <si>
    <t>64008-73</t>
  </si>
  <si>
    <t>CAILabs</t>
  </si>
  <si>
    <t>Designer and manufacturer of light manipulators designed to reshape coherent light beams. The company's light manipulators offer a large range of light shaping components based on patented, efficient and flexible technology of multi-plane light conversion, enabling customers to solve critical industrial problems related to photonics.</t>
  </si>
  <si>
    <t>coherent light beam, industrial laser, optical design, optical fiber, optical shaping, photonics product, photonics solutions, spatial manipulation</t>
  </si>
  <si>
    <t>www.cailabs.com</t>
  </si>
  <si>
    <t>2016: 15, 2017: 23, 2018: 40, 2019: 37</t>
  </si>
  <si>
    <t>70001-47P</t>
  </si>
  <si>
    <t>Jean-François Morizur</t>
  </si>
  <si>
    <t>Co-Founder, Chairman, President &amp; Chief Executive Officer</t>
  </si>
  <si>
    <t>jf@cailabs.com</t>
  </si>
  <si>
    <t>+33 (0)6 38 82 62 89</t>
  </si>
  <si>
    <t>Rennes, France</t>
  </si>
  <si>
    <t>38 boulevard Albert 1er</t>
  </si>
  <si>
    <t>Rennes</t>
  </si>
  <si>
    <t>35200</t>
  </si>
  <si>
    <t>contact@cailabs.com</t>
  </si>
  <si>
    <t>The company raised EUR 4.55 million of Series A venture funding from Safran Corporate Ventures, Innovacom (Paris) and Starquest Capital on August 27, 2017, putting the company's pre-money valuation at EUR 9.80 million. The funds will be used to bolster its industrial and commercial development, and support international expansion.</t>
  </si>
  <si>
    <t>Agoranov, Cisco Investments, Huawei Technologies Company, Impact USA, Innovacom (Paris), Kima Ventures, Safran Corporate Ventures, Starquest Capital</t>
  </si>
  <si>
    <t>Agoranov(www.agoranov.com), Cisco Investments(www.ciscoinvestments.com), Huawei Technologies Company(www.huawei.com), Impact USA(www.impact-north-america.com), Innovacom (Paris)(www.innovacom.com), Kima Ventures(www.kimaventures.com), Starquest Capital(www.starquest-capital.com)</t>
  </si>
  <si>
    <t>Brunswick avocats(Legal Advisor), Drake Star Partners(Advisor: General), Joffe &amp; Associés(Legal Advisor)</t>
  </si>
  <si>
    <t>59232-79</t>
  </si>
  <si>
    <t>CaféX</t>
  </si>
  <si>
    <t>Glance Networks, Slack, Olark, Vivocha, Vizolution, Zinc, Vee24, Fuze, Kayako, Moxtra, RedBooth, Glia (Digital Platform), Serenova, Salesforce, BlueJeans, TechSee, Wrike, Surfly, unblu, VSee, Marketo, Zendesk, Oblong, Genesys, TemboSocial, Exotel, Netbriefings, Vidyo, Bright Pattern, Fedr8, Aspect Software, Insightly, Videxio, Basecamp, ON24, DisplayNote Technologies, Huddle (Software), TechValidate Software, Ozonetel, SugarCRM, Nextiva, Five9, Tango Networks, Jacada, Satmetrix Systems, Agora.io, Mitel Networks, SightCall, RingCentral, Phone.com, ReadyTalk, Apprenda, Kenesto, Percolate, Temasys</t>
  </si>
  <si>
    <t>Developer of a real-time digital engagement platform designed to help companies engage customers, partners and employees in new and delightful ways. The company's platform offers an online application used to enhance digital engagement services via video chats, co-browsing, on-screen drawings and instant file sharing to increase customer satisfaction and staff efficiency, enabling users to choose when and how to interact with a company's services.</t>
  </si>
  <si>
    <t>Business/Productivity Software*, Communication Software, Social/Platform Software</t>
  </si>
  <si>
    <t>b2c collaboration, communication system, customer experience management, customer management solutions, enterprise communication, real time digital engagement platform</t>
  </si>
  <si>
    <t>www.cafex.com</t>
  </si>
  <si>
    <t>2013: 30, 2015: 86</t>
  </si>
  <si>
    <t>48912-40P</t>
  </si>
  <si>
    <t>Rami Musallam</t>
  </si>
  <si>
    <t>Chief Executive Officer, President, Co-Founder &amp; Board Member</t>
  </si>
  <si>
    <t>rami@cafex.com</t>
  </si>
  <si>
    <t>+1 (646) 351-0511</t>
  </si>
  <si>
    <t>521 Fifth Avenue</t>
  </si>
  <si>
    <t>Suite 822</t>
  </si>
  <si>
    <t>10175</t>
  </si>
  <si>
    <t>+1 (646) 351-0700</t>
  </si>
  <si>
    <t>info@cafex.com</t>
  </si>
  <si>
    <t>The company raised $18 million of Series C venture funding in a deal led by Rakuten on January 26, 2017. Illuminate Ventures,USAA Ventures, Annox Capital, Intel Capital, Cisco Investments, The Westly Group, Transition Level Investments and other undisclosed investors also participated in the round. The funding will be used by the company for its globalization and development activities as well as for expansion into new geographic regions.</t>
  </si>
  <si>
    <t>Annox Capital, Cisco Investments, Cynthia Padnos, Illuminate Ventures, Individual Investor, Intel Capital, Rakuten, The Westly Group, Transition Level Investments, USAA Ventures</t>
  </si>
  <si>
    <t>Annox Capital(www.annoxcapital.com), Cisco Investments(www.ciscoinvestments.com), Illuminate Ventures(www.illuminate.com), Intel Capital(www.intelcapital.com), Rakuten(www.rakuten.co.jp), The Westly Group(www.westlygroup.com), Transition Level Investments(www.transitionlevel.com)</t>
  </si>
  <si>
    <t>157224-88</t>
  </si>
  <si>
    <t>Caavo</t>
  </si>
  <si>
    <t>Developer of a technology designed to offer in-home entertainment products. The company's technology unifies all devices, application and content into a single experience with a central hub, simple voice remote, and clean interface that makes it easy for everyone find and watch all their favorite content, enabling users to get a single platform to manage all their entertainment requirements.</t>
  </si>
  <si>
    <t>entertainment product, in home entertainment, in home entertainment product, other consumer electronics, other consumer product</t>
  </si>
  <si>
    <t>www.caavo.com</t>
  </si>
  <si>
    <t>2017: 80, 2018: 85</t>
  </si>
  <si>
    <t>40821-85P</t>
  </si>
  <si>
    <t>Vinod Gopinath</t>
  </si>
  <si>
    <t>Co-Founder &amp; Executive, Engineering</t>
  </si>
  <si>
    <t>vinod@caavo.com</t>
  </si>
  <si>
    <t>+1 (844) 462-2286</t>
  </si>
  <si>
    <t>1525 McCarthy Boulevard</t>
  </si>
  <si>
    <t>Suite 1182</t>
  </si>
  <si>
    <t>hello@caavo.com</t>
  </si>
  <si>
    <t>The company raised $15 million of venture funding from Time Warner Investments, DCM Ventures and Greylock Partners on February 15, 2017. Hearst Ventures and Lauder Partners also participated in the round. Previously, the company raised $2 million of Series A1 venture funding from Sky Startup Investments &amp; Partnerships on October 15, 2016, putting the company's pre-money valuation at $25.42 million. The company has raised $32.5 million till date.</t>
  </si>
  <si>
    <t>DCM Ventures, Greylock Partners, Hearst Ventures, Lauder Partners, Sky Startup Investments &amp; Partnerships, WarnerMedia Investments</t>
  </si>
  <si>
    <t>DCM Ventures(www.dcm.com), Greylock Partners(www.greylock.com), Lauder Partners(www.lauderpartners.com), Sky Startup Investments &amp; Partnerships(startups.sky.com), WarnerMedia Investments(www.timewarnerinvestments.com)</t>
  </si>
  <si>
    <t>168014-89</t>
  </si>
  <si>
    <t>C360 Technologies</t>
  </si>
  <si>
    <t>C360</t>
  </si>
  <si>
    <t>NextVR, Jaunt VR, Livelike, EON Sports VR</t>
  </si>
  <si>
    <t>Developer of video technology designed to deliver on-demand immersive video content across every media platform. The company's personalizes viewing experience for streaming media, watching TV, in-flight entertainment and security monitoring, enabling users to create an interactive viewing experience.</t>
  </si>
  <si>
    <t>360 degree camera, 360 degree recording, 360 degree video, ar content, ar platform, augmented reality dispplay tools, broadcast media, immersive broadcast, immersive content, personalized media content, virtual reality app, vr content, vr video</t>
  </si>
  <si>
    <t>www.c360live.com</t>
  </si>
  <si>
    <t>2015: 3, 2016: 4, 2017: 7, 2018: 8</t>
  </si>
  <si>
    <t>149440-24P</t>
  </si>
  <si>
    <t>Evan Wimer</t>
  </si>
  <si>
    <t>ewimer@c360live.com</t>
  </si>
  <si>
    <t>+1 (724) 940-3277</t>
  </si>
  <si>
    <t>Wexford, PA</t>
  </si>
  <si>
    <t>12330 Perry Highway</t>
  </si>
  <si>
    <t>Wexford</t>
  </si>
  <si>
    <t>15090</t>
  </si>
  <si>
    <t>email@c360live.com</t>
  </si>
  <si>
    <t>The company is reportedly seeking $10 million in Series B venture funding from undisclosed investors. Previously, the company raised $1.1 million of venture funding in the form of convertible debt in a deal led by Boeing HorizonX on November 30, 2018. LH Ventures and BlueTree Allied Angels also participated in the round.</t>
  </si>
  <si>
    <t>BlueTree Allied Angels, Boeing HorizonX, LH Ventures, MI-12 Ventures, Pasadena Angels, Slater Technology Fund</t>
  </si>
  <si>
    <t>BlueTree Allied Angels(www.bluetreealliedangels.com), LH Ventures(www.lhventures.us), MI-12 Ventures(www.mi12ventures.com), Pasadena Angels(www.pasadenaangels.com), Slater Technology Fund(www.slaterfund.com)</t>
  </si>
  <si>
    <t>Buchanan Ingersoll &amp; Rooney(Legal Advisor), PNC(General Business Banking), Wilke &amp; Associates(Accounting)</t>
  </si>
  <si>
    <t>55633-60</t>
  </si>
  <si>
    <t>C3 IoT</t>
  </si>
  <si>
    <t>C3 Energy</t>
  </si>
  <si>
    <t>C3</t>
  </si>
  <si>
    <t>Verint Systems, Konux, Relayr, Kayrros, Ayla Networks, Alation, Opower, Predikto, WSO2, Calabrio, Exosite, Particle, Sansa Security, Netcall Telecom, NICE Systems, PetroWEB</t>
  </si>
  <si>
    <t>Provider of a next-generation, cloud-based enterprise Platform as a Service (PaaS) designed to rapidly deploy big data, AI and IoT applications. The company's next-generation, cloud-based enterprise Platform as a Service (PaaS) is a suite of pre-built, cross-industry applications, that facilitate IoT business transformation for organizations in energy, manufacturing, aerospace, automotive, chemical, pharmaceutical, telecommunications, retail, insurance, healthcare, financial services and the public sector enabling analysts and developers to rapidly deploy custom apps, integrate with existing ones, connect data streams and manage it all from anywhere.</t>
  </si>
  <si>
    <t>Advanced Manufacturing, Artificial Intelligence &amp; Machine Learning, Big Data, Internet of Things, SaaS, TMT</t>
  </si>
  <si>
    <t>cloud-based enterprise platform, enterprise-scale big data, iot platform, machine learning software, paas enterprise software, platform as a service, pre-built saas</t>
  </si>
  <si>
    <t>www.c3.ai</t>
  </si>
  <si>
    <t>2009: 39, 2010: 95, 2011: 140, 2012: 131, 2013: 140, 2014: 118, 2015: 129, 2016: 112, 2017: 120</t>
  </si>
  <si>
    <t>41073-31P</t>
  </si>
  <si>
    <t>Thomas Siebel</t>
  </si>
  <si>
    <t>Chairman &amp; Chief Executive Officer &amp; Co-Founder</t>
  </si>
  <si>
    <t>tsiebel@c3energy.com</t>
  </si>
  <si>
    <t>+1 (650) 503-2200</t>
  </si>
  <si>
    <t>1300 Seaport Boulevard</t>
  </si>
  <si>
    <t>The company raised an estimated $63 million of Series G venture funding in a deal led by FS Investors on February 27, 2019, putting the company's pre-money valuation at $2.04 billion. TPG Growth also invested in the round.</t>
  </si>
  <si>
    <t>Breyer Capital, Constellation Technology Ventures, FS Investors, InterWest Partners, Makena Capital Management, Primera Capital (Venture Capital), Shell Ventures, Sutter Hill Ventures, The Rise Fund, Thomas Siebel, TPG Growth, Wildcat Venture Partners</t>
  </si>
  <si>
    <t>Breyer Capital(www.breyercapital.com), Constellation Technology Ventures(www.technologyventures.constellation.com), FS Investors(www.fsinvestors.com), InterWest Partners(www.interwest.com), Makena Capital Management(www.makenacap.com), Primera Capital (Venture Capital)(www.primeracapital.com), Sutter Hill Ventures(www.shv.com), The Rise Fund(www.therisefund.com), TPG Growth(www.tpggrowth.com), Wildcat Venture Partners(www.wildcat.vc)</t>
  </si>
  <si>
    <t>Cooley(Legal Advisor), Current Capital Partners(Consulting), Momenta Partners(Advisor: General)</t>
  </si>
  <si>
    <t>101006-20</t>
  </si>
  <si>
    <t>Bytemark</t>
  </si>
  <si>
    <t>Masabi, Ticketer, Ridango, KiwiTech, Netcracker Technology</t>
  </si>
  <si>
    <t>Operator of a cloud-based transit fare collection platform intended to offer mobile ticketing services. The company's cloud-based transit fare collection platform offers a comprehensive suite of products that digitize transit passes, tickets and fare media in a variety of innovative ways, enabling clients to purchase fare products in simple and instantaneous means of web-based and smartphone-based purchasing experiences.</t>
  </si>
  <si>
    <t>cloud-based platform, mobile commerce, mobile ticketing, mobile ticketing service, mobile ticketing system, ticketing books</t>
  </si>
  <si>
    <t>www.bytemark.co</t>
  </si>
  <si>
    <t>2016: 58</t>
  </si>
  <si>
    <t>135297-01P</t>
  </si>
  <si>
    <t>Gregory Valyer</t>
  </si>
  <si>
    <t>Co-Founder and Chief Business Development Officer</t>
  </si>
  <si>
    <t>gvalyer@bytemark.co</t>
  </si>
  <si>
    <t>268 West 44th Street</t>
  </si>
  <si>
    <t>info@bytemark.co</t>
  </si>
  <si>
    <t>The company raised $9.70 million of venture funding from undisclosed investors on March 5, 2018.</t>
  </si>
  <si>
    <t>Billybey Holding Company, HaCon Ingenieurges, INIT Innovation in Traffic Systems, Next47</t>
  </si>
  <si>
    <t>HaCon Ingenieurges(www.hacon.de), INIT Innovation in Traffic Systems(www.initse.com), Next47(Next47.com)</t>
  </si>
  <si>
    <t>Wachtel Missry(Legal Advisor)</t>
  </si>
  <si>
    <t>43013-80</t>
  </si>
  <si>
    <t>BuzzFeed</t>
  </si>
  <si>
    <t>Digg, Bleacher Report, Flipboard, Mic (Media Platform), Urban Times, MailOnline, Gawker Media, The Huffington Post, Upworthy, Jukin Media, NowThis Media, Newser, Elite Daily, The Daily Dot, VICE Media, Distractify, Moguldom Media Group, Axios News, Vox Media, HowStuffWorks, Newsy, The Onion, Reddit, Mashable</t>
  </si>
  <si>
    <t>Provider of a social news and entertainment platform. The company's social news and entertainment platform provides breaking news, original reporting, entertainment and video across the social Web, providing viewers with news and entertainment.</t>
  </si>
  <si>
    <t>Other Media, Publishing*, Social Content, Social/Platform Software</t>
  </si>
  <si>
    <t>internet news media, social discovery, social news, video content</t>
  </si>
  <si>
    <t>www.buzzfeed.com</t>
  </si>
  <si>
    <t>2012: 101, 2013: 180, 2014: 575, 2015: 797, 2017: 1500, 2018: 1500</t>
  </si>
  <si>
    <t>41619-79P</t>
  </si>
  <si>
    <t>Jonah Peretti</t>
  </si>
  <si>
    <t>jonah@buzzfeed.com</t>
  </si>
  <si>
    <t>111 East 18th Street</t>
  </si>
  <si>
    <t>The company is rumored to be in talks with Emerson Collective to raise an undisclosed amount of venture funding as of February 1, 2018. Previously, the company received an undisclosed amount of debt financing in the form of a lien from Canon Financial Services on May 11, 2017.</t>
  </si>
  <si>
    <t>Andreessen Horowitz, Betaworks, Capital Factory, Crosscut Ventures, Eric Paley, Founder Collective, General Atlantic, Hearst Ventures, Kenneth Lerer, Lerer Hippeau, Man Capital, Michael Lazerow, NBCUniversal, New Enterprise Associates, Paris&amp;Co Incubateurs, Ronald Conway, RRE Ventures, SoftBank Capital, SV Angel, Tower Equity</t>
  </si>
  <si>
    <t>Andreessen Horowitz(www.a16z.com), Betaworks(www.betaworks.com), Capital Factory(www.capitalfactory.com), Crosscut Ventures(www.crosscut.vc), Eric Paley(www.epaley.com), Founder Collective(www.foundercollective.com), General Atlantic(www.generalatlantic.com), Lerer Hippeau(www.lererhippeau.com), Man Capital(www.man-capital.com), NBCUniversal(www.nbcuniversal.com), New Enterprise Associates(www.nea.com), Paris&amp;Co Incubateurs(www.incubateurs.parisandco.com), RRE Ventures(www.rre.com), SoftBank Capital(www.softbankvc.com), SV Angel(www.svangel.com), Tower Equity(towerequity.com)</t>
  </si>
  <si>
    <t>Gunderson Dettmer(Legal Advisor), True Capital Partners(Consulting)</t>
  </si>
  <si>
    <t>Canon Financial Services(Debt Financing), Fenwick &amp; West(Legal Advisor), Gunderson Dettmer(Legal Advisor)</t>
  </si>
  <si>
    <t>64309-15</t>
  </si>
  <si>
    <t>Butterfly Media</t>
  </si>
  <si>
    <t>Operator of a global engagement network over Facebook. The company allows brands &amp; advertisers to engage quality fans and create loyalty, buzz, generate sales and leads thus creating social attention and loyalty.</t>
  </si>
  <si>
    <t>advertising platform, global engagement network, social advertising</t>
  </si>
  <si>
    <t>www.bmntw.com</t>
  </si>
  <si>
    <t>2014: 7</t>
  </si>
  <si>
    <t>70925-59P</t>
  </si>
  <si>
    <t>Mark Pfeffer</t>
  </si>
  <si>
    <t>mark@bmntw.com</t>
  </si>
  <si>
    <t>Hashmonaim 68</t>
  </si>
  <si>
    <t>info@bmntw.com</t>
  </si>
  <si>
    <t>Undisclosed investors purchased a minority stake in the company from HP Ventures through a secondary transaction. The company is no longer actively tracked by PitchBook.</t>
  </si>
  <si>
    <t>100949-77</t>
  </si>
  <si>
    <t>busybusy</t>
  </si>
  <si>
    <t>ClockShark, Rhumbix, Datamatics Management Services, RescueTime, Timesheets.com, Sellsy, Journyx, Replicon, TimeClock Plus, FreshBooks, BQE Software, Openhour, When I Work, Hubstaff, Exaktime, TSheets.com</t>
  </si>
  <si>
    <t>Provider of a time tracking software designed to provide construction businesses accurate information to make profitable decisions. The company's software is a simple to use application that automates the process of collecting time cards, photo documentation and tracking labor costs and offers real-time information, enabling construction customers to optimize operations and drive efficiencies and productivity.</t>
  </si>
  <si>
    <t>equipment tracking, equipment tracking system, job site data, jobs costing, labor tracking, smart business decision, time card management, time tracking software</t>
  </si>
  <si>
    <t>www.busybusy.com</t>
  </si>
  <si>
    <t>2019: 33</t>
  </si>
  <si>
    <t>139792-06P</t>
  </si>
  <si>
    <t>Isaac Barlow</t>
  </si>
  <si>
    <t>isaac@busybusy.com</t>
  </si>
  <si>
    <t>+1 (855) 287-9287</t>
  </si>
  <si>
    <t>Saint George, UT</t>
  </si>
  <si>
    <t>475 South Mall Drive</t>
  </si>
  <si>
    <t>Saint George</t>
  </si>
  <si>
    <t>84770</t>
  </si>
  <si>
    <t>info@busybusy.com</t>
  </si>
  <si>
    <t>The company raised $8.5 million of Series A venture funding from Caterpillar Ventures on March 3, 2017, putting the company's pre-money valuation at $12.5 million. The company will use the funds for rapid improvement and expansion of the offerings.</t>
  </si>
  <si>
    <t>Wefunder(Lead Manager or Arranger)</t>
  </si>
  <si>
    <t>113074-48</t>
  </si>
  <si>
    <t>Bus.com</t>
  </si>
  <si>
    <t>Sharethebus</t>
  </si>
  <si>
    <t>Provider of an online shuttle booking platform designed to organize charter bus trips for festivals and sporting events. The company's platform includes online rental, online ticketing, GPS tracking of buses so passengers know exactly when they're arriving, enabling users to book a shuttle and enhance their bus travel experience.</t>
  </si>
  <si>
    <t>bus rental, charter bus, events shuttle management, intercity transportation, shuttle bus service, shuttle bus transportation</t>
  </si>
  <si>
    <t>www.bus.com</t>
  </si>
  <si>
    <t>2015: 5, 2016: 18, 2017: 30</t>
  </si>
  <si>
    <t>100550-98P</t>
  </si>
  <si>
    <t>Kyle Boulay</t>
  </si>
  <si>
    <t>kyle@bus.com</t>
  </si>
  <si>
    <t>+1 (855) 428-7266</t>
  </si>
  <si>
    <t>4200 Boul Saint Laurent</t>
  </si>
  <si>
    <t>H2W 2R2</t>
  </si>
  <si>
    <t>info@bus.com</t>
  </si>
  <si>
    <t>The company joined The Lazaridis Institute as a part of its Second Cohort on September 14, 2017 and received an undisclosed amount in funding.</t>
  </si>
  <si>
    <t>6squared Capital, Anna Goodson, BMW i Ventures, C100 Association, Capital Angel Network, FounderFuel, Gary Pudles, Good News Ventures, Ian Jeffrey, Jackson Square Ventures, Jamie O'Hara, Jesse Kaplan, Magaly Charbonneau, Maple Leaf Angels, Mathew Rosenblatt, Mike Fuller, Philippe Telio, Real Ventures, Sophie Forest, The Lazaridis Institute, Y Combinator</t>
  </si>
  <si>
    <t>6squared Capital(www.6squared.vc), BMW i Ventures(www.bmwiventures.com), C100 Association(www.thec100.org), Capital Angel Network(www.capitalangels.ca), FounderFuel(www.founderfuel.com), Good News Ventures(www.goodnewsventures.com), Jackson Square Ventures(www.jsv.com), Maple Leaf Angels(www.mapleleafangels.com), Real Ventures(www.realventures.com), The Lazaridis Institute(lazaridisinstitute.wlu.ca), Y Combinator(www.ycombinator.com)</t>
  </si>
  <si>
    <t>157224-97</t>
  </si>
  <si>
    <t>Bunker</t>
  </si>
  <si>
    <t>Virado, Foundershield, CoverWallet, Next Insurance, Duck Creek Technologies, BizInsure, benefix, JustInCase, Sure, Simplesurance, Insureon, Clark (Digital Insurance Platform), Embroker, Trōv, Silo, Flexkeeping</t>
  </si>
  <si>
    <t>Provider of a digital business insurance platform intended to improve contract related insurance experiences. The company's platform offers a contract-related insurance marketplace which identifies small business insurance buyers before they search or click on a social media advertisements, delivering the exact policies at the moment they're needed, enabling enterprises, suppliers and independent contractors to improve the insurance experience of businesses leveraging contingent staffing models.</t>
  </si>
  <si>
    <t>Insurance Brokers</t>
  </si>
  <si>
    <t>Application Software, Business/Productivity Software, Insurance Brokers*</t>
  </si>
  <si>
    <t>commercial insurance, contract-related insurance, digital business insurance, insurance advisor, insurtech, workers insurance</t>
  </si>
  <si>
    <t>www.buildbunker.com</t>
  </si>
  <si>
    <t>2017: 19, 2018: 30</t>
  </si>
  <si>
    <t>117531-82P</t>
  </si>
  <si>
    <t>Chad Nitschke</t>
  </si>
  <si>
    <t>chad@buildbunker.com</t>
  </si>
  <si>
    <t>+1 (415) 662-8586</t>
  </si>
  <si>
    <t>+1 (877) 968-9108</t>
  </si>
  <si>
    <t>hello@buildbunker.com</t>
  </si>
  <si>
    <t>The company raised $3 million of venture funding from Chubb and other undisclosed investors on March 29, 2018. Prior to that, the company raised $6 million of Series A funding in a deal led by Omidyar Network on May 11, 2017. Route 66 Ventures, Comcast Ventures, American Family Ventures, LaunchCapital, Struck Capital, Argonautic Ventures and US Investment Partners also participated in this round. The funds will be used to expand operations.</t>
  </si>
  <si>
    <t>American Family Ventures, Antonio Derossi, Argonautic Ventures, Chubb, Clocktower Technology Ventures, Comcast Ventures, Hiscox, LaunchCapital, Omidyar Network, Route 66 Ventures, Spero Ventures, Struck Capital, US Investment Partners</t>
  </si>
  <si>
    <t>American Family Ventures(www.amfamventures.com), Argonautic Ventures(www.argonauticventures.com), Chubb(www.chubb.com), Clocktower Technology Ventures(www.clocktowerventures.com), Comcast Ventures(www.comcastventures.com), Hiscox(www.hiscoxgroup.com), LaunchCapital(www.launchcapital.com), Omidyar Network(www.omidyar.com), Route 66 Ventures(www.route66ventures.com), Spero Ventures(www.spero.vc), Struck Capital(www.struckcapital.com)</t>
  </si>
  <si>
    <t>Cooley(Legal Advisor), Dentons(Legal Advisor)</t>
  </si>
  <si>
    <t>58803-40</t>
  </si>
  <si>
    <t>Bugcrowd</t>
  </si>
  <si>
    <t>WhiteHat Security, Zerocopter, Cobalt, Checkmarx, Veracode, Verodin, Baffin Bay Networks, Detectify, YesWeHack, LogicHub, ZeroNorth, HackerOne, Acunetix, Arctic Wolf, Synack, Cloudflare, Cigital, CyberGRX, Cylance, Barricade Security Systems, LogRhythm</t>
  </si>
  <si>
    <t>Operator of a crowd-sourced security platform intended to help organizations with a customized security testing program to bolster their security posture. The company's platform offers cost-effective and security testing programs to manage bug bounty, vulnerability disclosure and next-gen pen test programs, enabling clients to commission a customized security testing program that fits their specific requirements.</t>
  </si>
  <si>
    <t>Application Software*, Business/Productivity Software, Network Management Software</t>
  </si>
  <si>
    <t>application testing, crowdsourced security testing, security software, software security, software testing</t>
  </si>
  <si>
    <t>www.bugcrowd.com</t>
  </si>
  <si>
    <t>2016: 116, 2017: 100, 2018: 120</t>
  </si>
  <si>
    <t>53386-75P</t>
  </si>
  <si>
    <t>Casey Ellis</t>
  </si>
  <si>
    <t>Chief Technology Officer, Co-Founder &amp; Chairman</t>
  </si>
  <si>
    <t>casey@bugcrowd.com</t>
  </si>
  <si>
    <t>+1 (650) 260-8443</t>
  </si>
  <si>
    <t>921 Front Street</t>
  </si>
  <si>
    <t>First Floor</t>
  </si>
  <si>
    <t>+1 (888) 361-9734</t>
  </si>
  <si>
    <t>hello@bugcrowd.com</t>
  </si>
  <si>
    <t>The company raised $26.02 million of Series C venture funding in a deal led by Triangle Peak Partners on March 2, 2018, putting the company's pre-money valuation at $89 million. Salesforce Ventures, Stanford Venture Capital Holdings, Paladin Capital Group, Rally Ventures, Costanoa Ventures, Blackbird Ventures, Industry Ventures, Hostplus Superannuation Fund and First State Super also participated in the round. The company will use the capital to scale its product innovation and program management efforts.</t>
  </si>
  <si>
    <t>ARK (Blockchain Solutions)</t>
  </si>
  <si>
    <t>Benjamin Narasin, Blackbird Ventures, Costanoa Ventures, David Beyer, First State Super, Hostplus Superannuation Fund, Individual Investor, Industry Ventures, Paladin Capital Group, Partech Partners, Rally Ventures, Saad AlSogair, Salesforce Ventures, Square Peg Capital, Stanford Venture Capital Holdings, Startmate, Tekton Ventures, Triangle Peak Partners</t>
  </si>
  <si>
    <t>Blackbird Ventures(www.blackbird.vc), Costanoa Ventures(www.costanoavc.com), First State Super(www.firststatesuper.com.au), Hostplus Superannuation Fund(www.hostplus.com.au), Industry Ventures(www.industryventures.com), Paladin Capital Group(www.paladincapgroup.com), Partech Partners(www.partechpartners.com), Rally Ventures(www.rallyventures.com), Saad AlSogair(www.DrSogair.com), Square Peg Capital(www.squarepegcap.com), Startmate(www.startmate.com.au), Tekton Ventures(www.tektonventures.com), Triangle Peak Partners(www.trianglepeakpartners.com)</t>
  </si>
  <si>
    <t>Cooley(Legal Advisor), Fenwick &amp; West(Legal Advisor)</t>
  </si>
  <si>
    <t>52922-80</t>
  </si>
  <si>
    <t>Bug Labs</t>
  </si>
  <si>
    <t>Bug</t>
  </si>
  <si>
    <t>ThingWorx, Evrythng, Exosite</t>
  </si>
  <si>
    <t>Provider of hardware platform designed to share and protect internet of things data applications. The company's platform consist of easy-to-use open source modules, each capable of producing one or more website services to build dashboards, visualizations and control panels, enabling clients to easily build a program and share innovative digital devices.</t>
  </si>
  <si>
    <t>Electronics (B2C), Network Management Software, Software Development Applications*</t>
  </si>
  <si>
    <t>Advanced Manufacturing, Cybersecurity, Internet of Things, SaaS, TMT</t>
  </si>
  <si>
    <t>device management, open source data, product development portal, website development, wireless product development platform</t>
  </si>
  <si>
    <t>www.buglabs.net</t>
  </si>
  <si>
    <t>36172-27P</t>
  </si>
  <si>
    <t>Peter Semmelhack</t>
  </si>
  <si>
    <t>peter@buglabs.net</t>
  </si>
  <si>
    <t>+1 (347) 761-4498</t>
  </si>
  <si>
    <t>511 Avenue of the Americas</t>
  </si>
  <si>
    <t>info@buglabs.net</t>
  </si>
  <si>
    <t>Union Square Ventures sold its stake in the company to undisclosed investors.</t>
  </si>
  <si>
    <t>Court Square Ventures, Individual Investor, National Science Foundation, Spark Capital, Verizon Ventures</t>
  </si>
  <si>
    <t>Union Square Ventures</t>
  </si>
  <si>
    <t>Court Square Ventures(www.courtsquareventures.com), National Science Foundation(seedfund.nsf.gov), Spark Capital(www.sparkcapital.com), Verizon Ventures(www.verizonventures.com)</t>
  </si>
  <si>
    <t>Union Square Ventures(www.usv.com)</t>
  </si>
  <si>
    <t>Morrison Cohen(Legal Advisor)</t>
  </si>
  <si>
    <t>149992-93</t>
  </si>
  <si>
    <t>Buen Sabor</t>
  </si>
  <si>
    <t>Manufacturer and provider of frozen meals. The company provides pastelons, empanadas, rice bowls, picadillo, tamales and flautas, enabling users to enjoy fresh, frozen meals of different varieties.</t>
  </si>
  <si>
    <t>Beverages*, Food Products, Specialty Retail</t>
  </si>
  <si>
    <t>frozen meals, pastelons, rice bowl</t>
  </si>
  <si>
    <t>www.buen-sabor.com</t>
  </si>
  <si>
    <t>2014: 3, 2015: 4, 2016: 1</t>
  </si>
  <si>
    <t>123502-96P</t>
  </si>
  <si>
    <t>Sarah Pike</t>
  </si>
  <si>
    <t>s.pike@buen-sabor.com</t>
  </si>
  <si>
    <t>+1 (857) 321-8730</t>
  </si>
  <si>
    <t>Newburyport, MA</t>
  </si>
  <si>
    <t>455 Crescent Street</t>
  </si>
  <si>
    <t>Newburyport</t>
  </si>
  <si>
    <t>01950</t>
  </si>
  <si>
    <t>contact@buen-sabor.com</t>
  </si>
  <si>
    <t>The company raised $1.84 million of Series A2 venture funding from undisclosed investors on May 2, 2014, putting the company's pre-money valuation at $3.59 million.</t>
  </si>
  <si>
    <t>David Furneaux, Emil Capital Partners</t>
  </si>
  <si>
    <t>54699-49</t>
  </si>
  <si>
    <t>BT Imaging</t>
  </si>
  <si>
    <t>Supplier of luminescence-based inspection and quality control systems intended to serve the photovoltaic manufacturing industry. The company's systems are used for research, product and process development, production manufacturing inspection and quality control of silicon blocks, wafers, photovoltaic cells and photovoltaic modules, enabling clients to increase factory yield and solar cell efficiencies.</t>
  </si>
  <si>
    <t>Application Specific Semiconductors, Electronic Equipment and Instruments*, Other Commercial Products</t>
  </si>
  <si>
    <t>inspection, luminescence based inspection, photovoltaic, process development, production manufacturing inspection, quality control system</t>
  </si>
  <si>
    <t>www.btimaging.com</t>
  </si>
  <si>
    <t>42589-36P</t>
  </si>
  <si>
    <t>Ian Maxwell</t>
  </si>
  <si>
    <t>Redfern, Australia</t>
  </si>
  <si>
    <t>PO Box 3008</t>
  </si>
  <si>
    <t>Redfern</t>
  </si>
  <si>
    <t>2016</t>
  </si>
  <si>
    <t>+61 (0)2 9962 8861</t>
  </si>
  <si>
    <t>+61 (0)2 9699 3760</t>
  </si>
  <si>
    <t>info@btimaging.com</t>
  </si>
  <si>
    <t>The company raised AUD 4.5 million of Series A2 venture funding from Applied Ventures, Allen &amp; Buckeridge and Uniseed on August 23, 2010. Partners for Growth also participated in the round.</t>
  </si>
  <si>
    <t>Allen &amp; Buckeridge, Applied Ventures, NewSouth Innovations, Partners for Growth, The Australian Solar Institute, Uniseed</t>
  </si>
  <si>
    <t>Allen &amp; Buckeridge(www.a-b.com.au), NewSouth Innovations(www.nsinnovations.com.au), Partners for Growth(www.pfgrowth.com), The Australian Solar Institute(www.australiansolarinstitute.com.au), Uniseed(www.uniseed.com)</t>
  </si>
  <si>
    <t>181748-17</t>
  </si>
  <si>
    <t>Brodmann17</t>
  </si>
  <si>
    <t>Xnor.ai, Aylien, Ersatz Labs, Memkite, DarwinAI, Deepomatic, Momenta, Vertex.AI, Fotonation, Mad Street Den, ViDi Systems, Imagga, GrokStyle, Seldon, Skymind, PolyAI, Syte, Scortex, Indico</t>
  </si>
  <si>
    <t>Developer of a machine learning software created to bring computer vision deep-learning to mainstream applications. The company's deep learning powered applications restructured the equations and came up with a new superior architecture, enabling deep-learning applications and services to understand their environments in real-time.</t>
  </si>
  <si>
    <t>artificial intelligence platform, artificial intelligence software, deep learning software, deep learning system, deep learning tool, machine learning system</t>
  </si>
  <si>
    <t>www.brodmann17.com</t>
  </si>
  <si>
    <t>36006-40P</t>
  </si>
  <si>
    <t>Adi Pinhas</t>
  </si>
  <si>
    <t>adi@brodmann17.com</t>
  </si>
  <si>
    <t>Rav Aluf David Elazar Street 15</t>
  </si>
  <si>
    <t>The company raised $11 million of Series A venture funding in a deal led by OurCrowd on April 24, 2019. Sony Innovation Fund, UL Ventures, Maniv Mobility, Samsung NEXT Ventures and AI Alliance also participated in the round. The funds will be used to expand partnerships, accelerate the integration of the company's deep learning solution with customers and continue the company's mission to put efficient, powerful automated driving capabilities in every vehicle.</t>
  </si>
  <si>
    <t>AI Alliance, lool Ventures, Maniv Mobility, OurCrowd, Samsung NEXT Ventures, Sony Innovation Fund, UL Ventures</t>
  </si>
  <si>
    <t>lool Ventures(www.lool.vc), Maniv Mobility(www.maniv.com), OurCrowd(www.ourcrowd.com), Samsung NEXT Ventures(www.samsungnext.com), Sony Innovation Fund(www.sonyinnovationfund.com)</t>
  </si>
  <si>
    <t>54363-70</t>
  </si>
  <si>
    <t>Brit + Co</t>
  </si>
  <si>
    <t>LinkedIn, ON24, Darby Smart, Shop.CA Network, Fullscreen Media, Refinery29, Makerist, Arcbazar, Bluprint, Clique (Los Angeles), BuzzFeed, PopSugar, Bustle Digital Group, Martha Stewart Living Omnimedia</t>
  </si>
  <si>
    <t>Provider of an online media and e-commerce platform designed to offer creative products through inspirational content. The company's platform connects users with makers, designers, chefs and inventors, to build a community of creativity, enabling consumers to purchase do-it-yourself project kits and products from a curated selection of makers.</t>
  </si>
  <si>
    <t>Internet Retail, Social Content*, Social/Platform Software</t>
  </si>
  <si>
    <t>creative community, creative content, creativity, digital media, experiential events</t>
  </si>
  <si>
    <t>www.brit.co</t>
  </si>
  <si>
    <t>2013: 18, 2014: 97, 2015: 50, 2017: 110, 2018: 72</t>
  </si>
  <si>
    <t>41118-22P</t>
  </si>
  <si>
    <t>Brittany Morin</t>
  </si>
  <si>
    <t>brit@brit.co</t>
  </si>
  <si>
    <t>+1 (415) 967-1583</t>
  </si>
  <si>
    <t>550 Sutter Street</t>
  </si>
  <si>
    <t>hello@brit.co</t>
  </si>
  <si>
    <t>The company raised an undisclosed amount of venture funding from Oak Investment Partners, Eastward Capital Partners and Stamos Capital on October 1, 2018.</t>
  </si>
  <si>
    <t>Aileen Lee, Benjamin Lerer, Cowboy Ventures, Dave Morin, Disney Accelerator, dmg ventures, Eastward Capital Partners, Founders Fund, Gary Vaynerchuk, General Catalyst, Hosain Rahman, Index Ventures (UK), Intel Capital, Karl Jacob, Kevin Colleran, Lerer Hippeau, Liberty Ventures Group, LocalGlobe, Marissa Mayer, Oak Investment Partners, Prehype, Seth Goldstein, Shervin Pishevar, Slow Ventures, Stamos Capital, Verizon Ventures</t>
  </si>
  <si>
    <t>Cowboy Ventures(www.cowboy.vc), Dave Morin(www.davemorin.com), Disney Accelerator(www.disneyaccelerator.com), dmg ventures(www.dmgventures.co.uk), Eastward Capital Partners(www.eastwardcp.com), Founders Fund(www.foundersfund.com), Gary Vaynerchuk(www.garyvaynerchuk.com), General Catalyst(www.generalcatalyst.com), Index Ventures (UK)(www.indexventures.com), Intel Capital(www.intelcapital.com), Kevin Colleran(facebook.com/kevin), Lerer Hippeau(www.lererhippeau.com), LocalGlobe(www.localglobe.vc), Oak Investment Partners(www.oakinv.com), Prehype(www.prehype.com), Seth Goldstein(sethgoldstein.com), Shervin Pishevar(www.pishevar.com), Slow Ventures(www.slow.co), Stamos Capital(www.stamoscapital.com), Verizon Ventures(www.verizonventures.com)</t>
  </si>
  <si>
    <t>82677-34</t>
  </si>
  <si>
    <t>Bringg</t>
  </si>
  <si>
    <t>LogiNext, Routific, Onfleet, Deliv, Locus (Logistics Management Platform), GetSwift, Wise Systems, DeliveryCircle</t>
  </si>
  <si>
    <t>Provider of a web-based delivery management platform designed to manage local and last mile deliveries. The company's platform offers a customizable tracking screen that seamlessly embeds into any application and provides native push notifications to track deliveries, enabling businesses to manage orders, track drivers and pull reports for performance optimization.</t>
  </si>
  <si>
    <t>Application Software, Logistics*, Media and Information Services (B2B)</t>
  </si>
  <si>
    <t>delivery ecosystem, delivery logistics platform, delivery monitoring, mobile transportation app, track delivery, ustomer-centric logistics</t>
  </si>
  <si>
    <t>www.bringg.com</t>
  </si>
  <si>
    <t>2015: 20, 2017: 50, 2018: 70, 2019: 70</t>
  </si>
  <si>
    <t>108850-15P</t>
  </si>
  <si>
    <t>Raanan Cohen</t>
  </si>
  <si>
    <t>raanan@bringg.com</t>
  </si>
  <si>
    <t>1 Habarzel Street</t>
  </si>
  <si>
    <t>69710</t>
  </si>
  <si>
    <t>info@bringg.com</t>
  </si>
  <si>
    <t>The company raised $25 million of Series C venture funding in a deal led by Next47 on January 15, 2019. Ituran Location &amp; Control, Salesforce Ventures, Cambridge Capital, O.G. Tech Ventures, Pereg Ventures, Aleph and Coca-Cola Ventures also participated in the round. Bringg plans to use the funding for geographic expansion, targeting large enterprise customers; currently, it operates in more than 50 countries. Earlier, the company raised $12 million of Series B venture funding from Salesforce Ventures, O.G. Tech Ventures and Eyal Ofer on January 16, 2018. Shmuel Harlap also participated in the round.</t>
  </si>
  <si>
    <t>Aleph, Cambridge Capital, Coca-Cola Ventures, Eyal Ofer, Ituran Location &amp; Control, Next47, O.G. Tech Ventures, Pereg Ventures, Salesforce Ventures, Shmuel Harlap, The Bridge by Coca-Cola</t>
  </si>
  <si>
    <t>Aleph(www.aleph.vc), Cambridge Capital(www.cambridgecapital.com), Ituran Location &amp; Control(www.ituran.com), Next47(Next47.com), O.G. Tech Ventures(www.og-tech.vc), Pereg Ventures(www.peregventures.com), The Bridge by Coca-Cola(www.thebridgebycocacola.com)</t>
  </si>
  <si>
    <t>45284-86</t>
  </si>
  <si>
    <t>BrightSource Energy</t>
  </si>
  <si>
    <t>Luz II</t>
  </si>
  <si>
    <t>SunEdison, Solarcentury, 8minutenergy Renewables, Verengo Solar, Stion, SolarReserve, Apex Clean Energy, EnterSolar, Terra-Gen, Geronimo Energy, First Solar, Invenergy, Sustainable Power Group, Opterra Energy Group</t>
  </si>
  <si>
    <t>Provider of solar thermal technology intended to produce high-value electricity and steam for power, petroleum and industrial-process markets worldwide. The company's solar thermal technology combines breakthrough technology with world-class solar thermal plant design capabilities to generate clean energy reliably and responsibly, enabling customers to lessen their dependency on fossil fuels.</t>
  </si>
  <si>
    <t>Electric Utilities, Energy Production*</t>
  </si>
  <si>
    <t>CleanTech, Impact Investing, Industrials, Infrastructure, LOHAS &amp; Wellness, Oil &amp; Gas, TMT</t>
  </si>
  <si>
    <t>distributing power tower, impact investing vertical, solar energy development center, solar energy generating systems, solar energy plant, solar power complex, solar power plant, solar power project, solar power tower, solar thermal electricity</t>
  </si>
  <si>
    <t>www.brightsourceenergy.com</t>
  </si>
  <si>
    <t>2008: 120, 2011: 350, 2012: 412, 2016: 201</t>
  </si>
  <si>
    <t>168190-57P</t>
  </si>
  <si>
    <t>Eitan Abramovitch</t>
  </si>
  <si>
    <t>Chief Financial Officer and Chief Administrative Officer</t>
  </si>
  <si>
    <t>eabramovitch@brightsourceenergy.com</t>
  </si>
  <si>
    <t>+1 (510) 550-8161</t>
  </si>
  <si>
    <t>1999 Harrison Street</t>
  </si>
  <si>
    <t>Suite 2150</t>
  </si>
  <si>
    <t>+1 (510) 550-8165</t>
  </si>
  <si>
    <t>info@brightsourceenergy.com</t>
  </si>
  <si>
    <t>The company closed on $9.20 million of convertible debt financing from undisclosed investors on September 12, 2017.</t>
  </si>
  <si>
    <t>ACTOM, Alpha Venture Capital, Alstom, Black River BancVenture, BP Ventures, California Clean Energy Angel Fund, California State Teachers' Retirement System, Chevron Technology Ventures, Crossroads Liquidating Trust, DBL Partners, DFJ Growth, Draper Fisher Jurvetson Management, Equinor, Google Foundation, Hercules Capital, Juvo Capital, Morgan Stanley Expansion Capital, Northport Investments, Riverwood Capital, The Goldman Sachs Group, VantagePoint Capital Partners</t>
  </si>
  <si>
    <t>ACTOM(www.actom.co.za), Alpha Venture Capital(www.alphaventurecapital.com), Alstom(www.alstom.com), California Clean Energy Angel Fund(www.calcefangelfund.com), California State Teachers' Retirement System(www.calstrs.com), Crossroads Liquidating Trust(www.xroadscap.com), DBL Partners(www.dblpartners.vc), Draper Fisher Jurvetson Management(www.dfj.com), Equinor(www.equinor.com), Google Foundation(www.google.org/foundation.html), Hercules Capital(www.htgc.com), Juvo Capital(www.juvocapital.com), Northport Investments(www.northportinvestments.com), Riverwood Capital(www.riverwoodcapital.com), The Goldman Sachs Group(www.goldmansachs.com), VantagePoint Capital Partners(www.vpcp.com)</t>
  </si>
  <si>
    <t>Advanced Equities(Lead Manager or Arranger), Barclays Investment Bank(Underwriter), Citigroup(Underwriter), Coady Diemar Partners(Lead Manager or Arranger), Crossroads Liquidating Trust(Debt Financing), Deutsche Bank(Underwriter), Hercules Capital(Debt Financing), Lazard Capital Markets(Underwriter), Morgan Stanley(Underwriter), Orrick, Herrington &amp; Sutcliffe(Legal Advisor), Raymond James Financial(Underwriter), Robert W. Baird &amp; Co.(Underwriter), The Goldman Sachs Group(Underwriter)</t>
  </si>
  <si>
    <t>228392-65</t>
  </si>
  <si>
    <t>Brightside</t>
  </si>
  <si>
    <t>PayActiv, Questis, Personal Capital, ZestFinance, FutureAdvisor, LendUp, Kabbage, DoubleNet Pay, Caissa, FlexWage Solutions, Fig Tech, HelloWallet, Clearbanc, Neighborhood Trust, Motif (Financial Software), LiftForward, Aspiration Fund Adviser, Orchard App</t>
  </si>
  <si>
    <t>Developer of an employee financial health platform designed to make a direct impact on employee financial stress, net income and quality of life. The company's platform combines personal assistants, smart technology, innovative products and provides personalized financial assistance, navigation and access to the best financial products, among others, enabling users to easily access emergency cash, consolidate credit card debt and managing loans.</t>
  </si>
  <si>
    <t>employee financial health, financial health, financial health analysis, financial health assessment, financial health platform, financial stress, financial wellness, financial wellness management, financial wellness platform</t>
  </si>
  <si>
    <t>www.gobrightside.com</t>
  </si>
  <si>
    <t>49511-71P</t>
  </si>
  <si>
    <t>Thomas Spann</t>
  </si>
  <si>
    <t>tom.spann@gobrightside.com</t>
  </si>
  <si>
    <t>+1 (855) 996-9750</t>
  </si>
  <si>
    <t>The company joined Financial Solutions Lab as part of the fifth cohort on January 15, 2019 and received $125,000 in funding.</t>
  </si>
  <si>
    <t>Comcast Ventures, Financial Solutions Lab, Trinity Ventures</t>
  </si>
  <si>
    <t>Comcast Ventures(www.comcastventures.com), Financial Solutions Lab(www.finlab.cfsinnovation.com), Trinity Ventures(www.trinityventures.com)</t>
  </si>
  <si>
    <t>53480-80</t>
  </si>
  <si>
    <t>BrightFarms</t>
  </si>
  <si>
    <t>Gotham Greens</t>
  </si>
  <si>
    <t>Builder and operator of greenhouse farms intended to help in sustainable local farming. The company's farms are mostly built in partnership with supermarkets, cities, capital sources and vendors, enabling customers to grow pesticide-free and non-GMO local produce.</t>
  </si>
  <si>
    <t>Environmental Services (B2B), Food Products*, Other Agriculture</t>
  </si>
  <si>
    <t>AgTech, CleanTech, Industrials, LOHAS &amp; Wellness, TMT</t>
  </si>
  <si>
    <t>fresh food, hydroponic greenhouse, local produce, operator of greenhouse farming, urban agriculture</t>
  </si>
  <si>
    <t>www.brightfarms.com</t>
  </si>
  <si>
    <t>2012: 15, 2014: 12, 2015: 8, 2016: 75</t>
  </si>
  <si>
    <t>58503-43P</t>
  </si>
  <si>
    <t>Neal Parikh</t>
  </si>
  <si>
    <t>Vice President Market &amp; Corporate Development</t>
  </si>
  <si>
    <t>+1 (866) 857-8745</t>
  </si>
  <si>
    <t>Irvington, NY</t>
  </si>
  <si>
    <t>One Bridge Street</t>
  </si>
  <si>
    <t>Suite 002-4</t>
  </si>
  <si>
    <t>Irvington</t>
  </si>
  <si>
    <t>10533</t>
  </si>
  <si>
    <t>+1 (212) 358-1101</t>
  </si>
  <si>
    <t>info@brightfarms.com</t>
  </si>
  <si>
    <t>The company raised $55 million of Series D venture funding in a deal led by Cox Enterprises on June 28, 2018, putting the company's pre-money valuation at $100 million. WP Global Partners, Catalyst Investors, New Ground Ventures and NGEN Partners also participated in the round. The funds will be used for the continued rapid national expansion of the company's network of local and sustainable farms.</t>
  </si>
  <si>
    <t>Allotrope Partners, Bloomberg Beta, Catalyst Investors, Clean Feet Investors, Cox Enterprises, Emil Capital Partners, Hadi Partovi, Mayfield Fund, New Ground Ventures, NGEN Partners, Prudential Financial, Theodore Caplow, Trinity Ventures, WP Global Partners</t>
  </si>
  <si>
    <t>Allotrope Partners(www.allotropepartners.com), Bloomberg Beta(www.bloombergbeta.com), Catalyst Investors(www.catalyst.com), Clean Feet Investors(www.cleanfeetinvestors.com), Cox Enterprises(www.coxenterprises.com), Emil Capital Partners(www.emilcapitalpartners.com), Mayfield Fund(www.mayfield.com), New Ground Ventures(www.newground.vc), NGEN Partners(www.ngenpartners.com), Prudential Financial(www.prudential.com), Trinity Ventures(www.trinityventures.com), WP Global Partners(www.wpglobalpartners.com)</t>
  </si>
  <si>
    <t>Barclays Bank UK(Advisor: General), BTIG(Placement Agent), Cooley(Legal Advisor)</t>
  </si>
  <si>
    <t>187516-81</t>
  </si>
  <si>
    <t>Brighter AI</t>
  </si>
  <si>
    <t>Provider of a business to business software service intended to enhance image and video materials captured from various cameras. The company's business to business software service helps in increasing the quality of existing camera systems regardless of hardware constraints using various algorithms, enabling its clients to analyse pictures removing fog and rain and removing pixelation in order to better understand them even through night vision cameras.</t>
  </si>
  <si>
    <t>b2b software, picture analysis, picture editing software, pixel processing software</t>
  </si>
  <si>
    <t>www.brighter.ai</t>
  </si>
  <si>
    <t>171821-53P</t>
  </si>
  <si>
    <t>Patrick Kern</t>
  </si>
  <si>
    <t>patrick@brighter.ai</t>
  </si>
  <si>
    <t>Torstrasse 177</t>
  </si>
  <si>
    <t>hello@brighter.ai</t>
  </si>
  <si>
    <t>The company joined Hella Ventures, and received an undisclosed amount in funding. The company also received an undisclosed amount of prize money from Alibaba Group on September 21, 2017.</t>
  </si>
  <si>
    <t>Alibaba Group, Hella Ventures</t>
  </si>
  <si>
    <t>Alibaba Group(www.alibabagroup.com), Hella Ventures(www.hellaventures.com)</t>
  </si>
  <si>
    <t>229164-40</t>
  </si>
  <si>
    <t>Bright Machines</t>
  </si>
  <si>
    <t>Autolab AI</t>
  </si>
  <si>
    <t>Developers of an intelligent manufacturing software platform designed to automate manufacturing operations and robotics. The company's platform leverages artificial intelligence, machine learning and production data to develop robots that are sensor rich, have computer vision and are highly adaptable, enabling clients to innovate faster and meet the growing demands.</t>
  </si>
  <si>
    <t>Advanced Manufacturing, Artificial Intelligence &amp; Machine Learning, Robotics and Drones</t>
  </si>
  <si>
    <t>automated robots, factory robotics, flexible robotics, manufacturing automation, smart robotics</t>
  </si>
  <si>
    <t>www.brightmachines.com</t>
  </si>
  <si>
    <t>2018: 400</t>
  </si>
  <si>
    <t>64843-30P</t>
  </si>
  <si>
    <t>Amar Hanspal</t>
  </si>
  <si>
    <t>amar.hanspal@brightmachines.com</t>
  </si>
  <si>
    <t>585 Howard Street</t>
  </si>
  <si>
    <t>info@brightmachines.com</t>
  </si>
  <si>
    <t>The company raised an undisclosed amount of venture funding from BMW i Ventures on March 14, 2019. Earlier the company raised $179 million of Series A venture funding in a deal led by Eclipse Ventures on October 23, 2018, putting the company's pre-money valuation at $500 million. FlexTronics, Lux Capital, EDBI, Geodesic Capital and Balyasny Asset Management also participated in the round. The funding will be used to expand the Bright Machines team and accelerate the company's software roadmap and its robotics operations.</t>
  </si>
  <si>
    <t>Balyasny Asset Management, BMW i Ventures, Eclipse Ventures, EDBI, FlexTronics, Geodesic Capital, Lux Capital</t>
  </si>
  <si>
    <t>Balyasny Asset Management(www.bamfunds.com), BMW i Ventures(www.bmwiventures.com), Eclipse Ventures(www.eclipse.vc), EDBI(www.edbi.com), FlexTronics(www.flex.com), Geodesic Capital(www.geodesiccap.com), Lux Capital(www.luxcapital.com)</t>
  </si>
  <si>
    <t>167644-99</t>
  </si>
  <si>
    <t>Bright Greens</t>
  </si>
  <si>
    <t>Producer of fruits and vegetables-based smoothies intended to offer people blender-free, plant-based frozen smoothies. The company's platform offers frozen smoothie cubes in bright blueberry, wintergreen, peaches and pineapples flavours, that be mixed with hot water for a cold, fresh and nutritious green smoothie, enabling consumers to make their own green and healthy smoothies without a blender.</t>
  </si>
  <si>
    <t>fat free smoothies, organic smoothies, smoothies producer, smoothies product, smoothies production</t>
  </si>
  <si>
    <t>www.brightgreens.com</t>
  </si>
  <si>
    <t>148634-92P</t>
  </si>
  <si>
    <t>Brian Mitchell</t>
  </si>
  <si>
    <t>brian@brightgreens.com</t>
  </si>
  <si>
    <t>+1 (800) 615-4139</t>
  </si>
  <si>
    <t>1101 30th Street Northwest</t>
  </si>
  <si>
    <t>20007</t>
  </si>
  <si>
    <t>hello@brightgreens.com</t>
  </si>
  <si>
    <t>The company raised an undisclosed amount of venture funding from S CAP on May 17, 2019.</t>
  </si>
  <si>
    <t>Blu Venture Investors, Eighteen94 Capital, S CAP</t>
  </si>
  <si>
    <t>Blu Venture Investors(www.bluventureinvestors.com), Eighteen94 Capital(www.1894capital.com), S CAP(www.scap.nyc)</t>
  </si>
  <si>
    <t>CircleUp Network(Lead Manager or Arranger), Kickstarter(Lead Manager or Arranger), TimePayment(Debt Financing)</t>
  </si>
  <si>
    <t>83215-63</t>
  </si>
  <si>
    <t>Bridgit</t>
  </si>
  <si>
    <t>Developer of a cloud based mobile and web application designed to bring digital transformation to construction sites. The company's mobile and web application handles construction punch list, deficiency, inspection, PDI and subcontractor management, enabling residential and commercial builders to make the right decision and ease their tasks.</t>
  </si>
  <si>
    <t>Construction Technology, Mobile, SaaS, TMT</t>
  </si>
  <si>
    <t>construction punching list, construction software, general contractor, mobile application, project management</t>
  </si>
  <si>
    <t>www.bridgitsolutions.com</t>
  </si>
  <si>
    <t>2016: 17, 2017: 34</t>
  </si>
  <si>
    <t>79039-99P</t>
  </si>
  <si>
    <t>Mallorie Brodie</t>
  </si>
  <si>
    <t>mallorie@gobridgit.com</t>
  </si>
  <si>
    <t>+1 (800) 783-2127</t>
  </si>
  <si>
    <t>240 Duke Street West</t>
  </si>
  <si>
    <t>N2H 3X6</t>
  </si>
  <si>
    <t>info@gobridgit.com</t>
  </si>
  <si>
    <t>The company raised $4.7 million of Series A venture funding in a deal led by BDC Capital on December 10, 2018. Salesforce Ventures, Sands Capital Ventures, MaRS Investment Accelerator Fund, Vanedge Capital, StandUp Ventures and Innovation Grade Ventures also participated in the round.</t>
  </si>
  <si>
    <t>BDC Capital, C100 Association, Communitech Hyperdrive, Creative Destruction Lab, Daniel Debow, FundersClub, Hedgewood, Hyde Park Venture Partners, Innovation Grade Ventures, InvestHER Ventures, Jesse Rasch, Joanne Wilson, John Francis, Justin Darcy, MaRS Investment Accelerator Fund, Pallasite Ventures, Round 13 Capital, Salesforce Ventures, Sands Capital Ventures, StandUp Ventures, Startup Ottawa, The DMZ, The Next Canada, University of Waterloo Velocity, Vanedge Capital</t>
  </si>
  <si>
    <t>C100 Association(www.thec100.org), Communitech Hyperdrive(www.communitech.ca), Creative Destruction Lab(www.creativedestructionlab.com), FundersClub(www.fundersclub.com), Hedgewood(www.hedgewood.com), Hyde Park Venture Partners(www.hydeparkvp.com), Innovation Grade Ventures(www.innovationgrade.com), InvestHER Ventures(www.investherventures.com), Joanne Wilson(www.gothamgal.com), MaRS Investment Accelerator Fund(www.marsiaf.com), Pallasite Ventures(www.pallasiteventures.com), Round 13 Capital(www.round13capital.com), Sands Capital Ventures(www.sandscapitalventures.com), StandUp Ventures(www.standupvc.com), Startup Ottawa(www.startupottawa.ca), The DMZ(www.dmz.ryerson.ca), The Next Canada(www.nextcanada.com), University of Waterloo Velocity(www.velocity.uwaterloo.ca), Vanedge Capital(www.vanedgecapital.com)</t>
  </si>
  <si>
    <t>114872-50</t>
  </si>
  <si>
    <t>BridgeSat</t>
  </si>
  <si>
    <t>Analytical Space, Kepler Communications, Kymeta, Planet, LeoSat Enterprises, Satellogic, O3B Networks</t>
  </si>
  <si>
    <t>Developer of optical communications network designed to connect satellites from space to the ground and meet accelerating demand for big data collection from LEO (Low Earth Orbit). The company's optical communications network offers secure delivery of big data from Low Earth Orbit (LEO) satellites at faster speeds and a lower cost than traditional radio frequency technology as well as provides mission analysis, upfront design work, delivery and integration of space terminals and access to a ground network that provides delivery of the operator's data directly from their satellite or UAV to their server, enabling spacecraft operators to use a worldwide network of stations, regardless of which space optical terminal is transmitting data from their satellite.</t>
  </si>
  <si>
    <t>Connectivity Products*, Electrical Equipment, Other Communications and Networking</t>
  </si>
  <si>
    <t>Big Data, Industrials, Space Technology, TMT</t>
  </si>
  <si>
    <t>data transmission, optical communication network, optical connectivity, satellite data communication, satellite operator</t>
  </si>
  <si>
    <t>www.bridgesatinc.com</t>
  </si>
  <si>
    <t>2016: 5, 2018: 10</t>
  </si>
  <si>
    <t>61237-81P</t>
  </si>
  <si>
    <t>Barry Matsumori</t>
  </si>
  <si>
    <t>barry.matsumori@bridgesatinc.com</t>
  </si>
  <si>
    <t>999 18th Street</t>
  </si>
  <si>
    <t>info@bridgesatinc.com</t>
  </si>
  <si>
    <t>The company raised $10 million of Series B venture funding in a deal led by Boeing HorizonX on September 6, 2018, putting the company's pre-money valuation at $27.5 million. Starbridge Venture Capital ands Allied Minds also participated in the round. The funding will be used to meet the need for secure delivery of big data from LEO and GEO satellites at faster speeds, and a lower cost than traditional radio frequency solutions.</t>
  </si>
  <si>
    <t>Allied Minds, Boeing HorizonX, Space Angels, Starbridge Venture Capital, Starburst Aerospace</t>
  </si>
  <si>
    <t>Allied Minds(www.alliedminds.com), Space Angels(www.spaceangels.com), Starbridge Venture Capital(www.starbridgevc.com), Starburst Aerospace(www.starburst.aero)</t>
  </si>
  <si>
    <t>54349-66</t>
  </si>
  <si>
    <t>Bridg</t>
  </si>
  <si>
    <t>Ecinity</t>
  </si>
  <si>
    <t>Fishbowl, Belly, Stellar Loyalty, Capillary Technologies, Punchh, 9Lenses, Thanx, Crownit, Kana, Onestop, Kobie, Eptica, Marketing G2, Acquia, PosIQ, Folloze, Saba Software, Pontis, Cardfree, Mobikon, Paytronix Systems, TabbedOut, TouchCommerce, Creative Virtual, Verint Systems, Moxie Software, Adored, Thunderhead, Qlik Technologies, Zipscene, Whisbi, Vizolution</t>
  </si>
  <si>
    <t>Provider of an automated online marketing platform designed to integrate discreet functions into a single platform. The company's online marketing platform include gathering of customer identities from POS transactions and enhance each profile with information from people database, thereby enabling local businesses to capture their customer information and nurture their audience through targeted campaigns automatically.</t>
  </si>
  <si>
    <t>automated online marketing, customer identities, lifecycle management platform, online marketing, people database, pos transaction</t>
  </si>
  <si>
    <t>www.bridg.com</t>
  </si>
  <si>
    <t>2014: 31, 2015: 30</t>
  </si>
  <si>
    <t>87812-74P</t>
  </si>
  <si>
    <t>Amit Jain</t>
  </si>
  <si>
    <t>amit@bridg.com</t>
  </si>
  <si>
    <t>+1 (855) 455-5522</t>
  </si>
  <si>
    <t>11390 West Olympic Boulevard</t>
  </si>
  <si>
    <t>hello@bridg.com</t>
  </si>
  <si>
    <t>The company raised $11.16 million of Series B venture funding led by Morpheus Venture on August 23, 2017. NextEquity Partners, Reimagined Ventures, March Capitals, Visa Ventures and other undisclosed investors also participated. The company intends to use the funds to further expand adoption of its platform across the U.S.</t>
  </si>
  <si>
    <t>Baroda Ventures, Canyon Creek Capital, Clearstone Venture Partners, Karlin Ventures, March Capital Partners, Morpheus Ventures, Mucker Capital, NextEquity Partners, Reimagined Ventures, The Hive, Tianxiang Zhuo, Visa Ventures, Wavemaker Partners</t>
  </si>
  <si>
    <t>Baroda Ventures(www.barodaventures.com), Canyon Creek Capital(www.canyoncreekcapital.com), Clearstone Venture Partners(www.clearstone.com), Karlin Ventures(www.karlinvc.com), March Capital Partners(www.marchcp.com), Morpheus Ventures(www.morpheus.com), Mucker Capital(www.mucker.com), NextEquity Partners(www.nextequity.com), Reimagined Ventures(www.rivc.com), The Hive(www.hivedata.com), Wavemaker Partners(www.wavemaker.vc)</t>
  </si>
  <si>
    <t>Credo Law(Legal Advisor), Montgomery &amp; Company(Advisor: General), StartupTAP(Consulting)</t>
  </si>
  <si>
    <t>Credo Law(Legal Advisor)</t>
  </si>
  <si>
    <t>82773-82</t>
  </si>
  <si>
    <t>BreezoMeter</t>
  </si>
  <si>
    <t>Plume Labs</t>
  </si>
  <si>
    <t>Provider of an air-quality analytics platform intended to offer real-time, dynamic and location-based outdoor air quality data. The company's platform uses proprietary algorithms to manage monitoring stations, readings as well as traffic patterns, wind and weather characteristic, etc, derived from governmental sensors, satellites, weather patterns, transportation dynamics and other sources, enabling businesses to add depth and value to their products or services with detailed, hyper local air quality information.</t>
  </si>
  <si>
    <t>Application Software, Environmental Services (B2B), Information Services (B2C)*, Media and Information Services (B2B)</t>
  </si>
  <si>
    <t>air pollution analysis, air quality data, analytical platform, environmental service, real time information</t>
  </si>
  <si>
    <t>www.breezometer.com</t>
  </si>
  <si>
    <t>2015: 17, 2016: 20</t>
  </si>
  <si>
    <t>83991-61P</t>
  </si>
  <si>
    <t>Ran Korber</t>
  </si>
  <si>
    <t>rank@breezometer.com</t>
  </si>
  <si>
    <t>+972 (0)50 210 5547</t>
  </si>
  <si>
    <t>Haifa, Israel</t>
  </si>
  <si>
    <t>HaMeginim Avenue 35</t>
  </si>
  <si>
    <t>P.O Box - 33887</t>
  </si>
  <si>
    <t>Haifa</t>
  </si>
  <si>
    <t>3326509</t>
  </si>
  <si>
    <t>The company raised $7.75 million of Series B venture funding in a deal led by Entrée Capital and Goldacre Ventures on September 13, 2018. Idinvest Partners, and Hella Ventures, AxessVentures, Plug and Play Tech Center and other undisclosed investors also participated in the round. The funding round will enable to expand the market offering to new and exciting markets all around Asia.</t>
  </si>
  <si>
    <t>Axess Ventures, BigBooster, Entrée Capital, Goldacre Ventures, Hella Ventures, Idinvest Partners, Jumpspeed, Launchpad Digital Health, Phi Square Holdings, Plug and Play Tech Center, SeedIL, Siftech, The Library - Tel Aviv, Uncharted</t>
  </si>
  <si>
    <t>Axess Ventures(www.axessventures.com), BigBooster(www.bigbooster.org), Entrée Capital(www.entreecap.com), Goldacre Ventures(www.goldacre.com), Hella Ventures(www.hellaventures.com), Idinvest Partners(www.idinvest.com), Jumpspeed(www.jumpspeed.co), Launchpad Digital Health(www.launchpdh.com), Plug and Play Tech Center(www.plugandplaytechcenter.com), SeedIL(www.seedil.com), Siftech(www.siftech.co), The Library - Tel Aviv(www.thelibrary.co.il), Uncharted(www.uncharted.org)</t>
  </si>
  <si>
    <t>166509-10</t>
  </si>
  <si>
    <t>Brava Home</t>
  </si>
  <si>
    <t>Brava</t>
  </si>
  <si>
    <t>Developer of IoT and domestic automation products designed to provide joyful experiences at home. The company's IoT and domestic automation products include innovative cooking devices that use physics and technology to take the guesswork and legwork out of cooking healthy and high-quality food, enabling users to cook easily using the kitchen appliances and save time and makes their cooking experience convenient, efficient and hassle-free.</t>
  </si>
  <si>
    <t>FoodTech, Impact Investing, Internet of Things, TMT</t>
  </si>
  <si>
    <t>consumer electronics, cooking accessories, home automation, impact investing vertical, internet of things, kitchen product</t>
  </si>
  <si>
    <t>www.brava.com</t>
  </si>
  <si>
    <t>2016: 14, 2017: 46</t>
  </si>
  <si>
    <t>15108-13P</t>
  </si>
  <si>
    <t>John Pleasants</t>
  </si>
  <si>
    <t>john@brava.com</t>
  </si>
  <si>
    <t>37256 Acorn Place</t>
  </si>
  <si>
    <t>The company raised an estimated $15 million of Series A2 venture funding in a deal led by TPG Growth on May 18, 2017, putting the pre-money valuation at $55 million. The Rise Fund, Lightspeed Venture Partners, Next Coast Ventures, Lead Edge Capital, DGNL Ventures, Chris Anderson, Aileen Lee and Robert Reid also participated in the round.</t>
  </si>
  <si>
    <t>Aileen Lee, CAA Ventures, Chris Anderson, Cowboy Ventures, DGNL Ventures, Lead Edge Capital, Lightspeed Venture Partners, Long Venture Partners, Next Coast Ventures, Robert Reid, The Rise Fund, TPG Growth, True Ventures</t>
  </si>
  <si>
    <t>CAA Ventures(ventures.caa.com), Cowboy Ventures(www.cowboy.vc), DGNL Ventures(www.dgnl.vc), Lead Edge Capital(www.leadedgecapital.com), Lightspeed Venture Partners(www.lsvp.com), Long Venture Partners(www.longvp.com), Next Coast Ventures(www.nextcoastventures.com), The Rise Fund(www.therisefund.com), TPG Growth(www.tpggrowth.com), True Ventures(www.trueventures.com)</t>
  </si>
  <si>
    <t>225537-40</t>
  </si>
  <si>
    <t>Brandable</t>
  </si>
  <si>
    <t>Operator of a next-generation consumer products studio intended to build good consumer products brands. The company's services help in development in categories such as toys, wellness, food, and drink, enabling clients to develop their brands effortlessly.</t>
  </si>
  <si>
    <t>cpg studio</t>
  </si>
  <si>
    <t>www.brandablela.com</t>
  </si>
  <si>
    <t>179284-33P</t>
  </si>
  <si>
    <t>Jonathan Bogner</t>
  </si>
  <si>
    <t>jonathan@brandablela.com</t>
  </si>
  <si>
    <t>+1 (310) 765-4300</t>
  </si>
  <si>
    <t>Beverly Hills, CA</t>
  </si>
  <si>
    <t>8671 Wilshire Boulevard</t>
  </si>
  <si>
    <t>Beverly Hills</t>
  </si>
  <si>
    <t>90211</t>
  </si>
  <si>
    <t>The company raised $11 million of venture funding from Advance Venture Partners, John McCarvel, Jeff Klinefelter, Lightspeed India Partners Advisors and Jenny Daly on April 23, 2018. Other undisclosed investors also participated in the round.</t>
  </si>
  <si>
    <t>Advance Venture Partners, CAA Ventures, Jeffrey Klinefelter, Jenny Daly, John McCarvel, Lightspeed India Partners Advisors</t>
  </si>
  <si>
    <t>Advance Venture Partners(www.avp.vc), CAA Ventures(ventures.caa.com)</t>
  </si>
  <si>
    <t>Chase Bank(General Business Banking), Eisner (California)(Legal Advisor), Moss Adams(Accounting)</t>
  </si>
  <si>
    <t>66223-18</t>
  </si>
  <si>
    <t>Branch (Deep-Linking)</t>
  </si>
  <si>
    <t>Pawprint Labs</t>
  </si>
  <si>
    <t>Amplitude, AppsFlyer, Monetate, URX, ChannelEyes, HOKO, SiteSpect, adjust, Cellogic, CoolaData, WebEngage, Firebase</t>
  </si>
  <si>
    <t>Developer of a deep linking technology designed to gain and retain mobile app users. The company's deep linking technology is used to build user-to-user referral programs with features, including rewarded referrals, content sharing, deep-views, download banner and personal on-boarding enabling users to customize the whole app experience that makes discovering apps and app content easier.</t>
  </si>
  <si>
    <t>app analytics, customer engagement platform, customer retention platform, deep links technology, mobile conversion, mobile growth, user routing</t>
  </si>
  <si>
    <t>www.branch.io</t>
  </si>
  <si>
    <t>2014: 6, 2015: 35, 2016: 50, 2017: 100</t>
  </si>
  <si>
    <t>76553-02P</t>
  </si>
  <si>
    <t>Alexander Austin</t>
  </si>
  <si>
    <t>alex@branch.io</t>
  </si>
  <si>
    <t>+1 (650) 209-6461</t>
  </si>
  <si>
    <t>1400 Seaport Boulevard</t>
  </si>
  <si>
    <t>Building B, 2nd Floor</t>
  </si>
  <si>
    <t>info@branch.io</t>
  </si>
  <si>
    <t>The company is in the process of raising $129 million of Series D venture funding from Digital Horizon Capital and other undisclosed investors on August 15, 2018, putting the company's pre-money valuation at an estimated $921 million. The company intends to use the funds to fund their continued platform growth.</t>
  </si>
  <si>
    <t>Benjamin Narasin, Clark Landry, Cowboy Ventures, CSC UpShot Ventures, DAG Ventures, Digital Horizon Capital, Founders Fund, Greylock Partners, Hasan Aslanoba, Hemisphere Ventures, Individual Investor, Lightspeed Venture Partners, Madrona Venture Group, New Enterprise Associates, Pear, Playground Global, Redpoint Ventures, Samsung NEXT Ventures, Sky Dayton, StartX, TriplePoint Capital, Zachery Coelius, ZenStone Venture Capital</t>
  </si>
  <si>
    <t>Cowboy Ventures(www.cowboy.vc), CSC UpShot Ventures(www.csc-upshot.vc), DAG Ventures(www.dagventures.com), Digital Horizon Capital(www.dh.vc), Founders Fund(www.foundersfund.com), Greylock Partners(www.greylock.com), Hasan Aslanoba(vt.webrazzi.com/kisi/hasan-aslanoba), Hemisphere Ventures(www.hemisphere.com), Lightspeed Venture Partners(www.lsvp.com), Madrona Venture Group(www.madrona.com), New Enterprise Associates(www.nea.com), Pear(www.pear.vc), Playground Global(www.playground.global), Redpoint Ventures(www.redpoint.com), Samsung NEXT Ventures(www.samsungnext.com), Sky Dayton(www.skydayton.com), StartX(www.startx.com), TriplePoint Capital(www.triplepointcapital.com), ZenStone Venture Capital(www.zenstonevc.com)</t>
  </si>
  <si>
    <t>42509-08</t>
  </si>
  <si>
    <t>Bramasol</t>
  </si>
  <si>
    <t>Provider of systems applications and products (SAP) software designed to offer a unique service based on SAP software for sports and venue management. The company's SAP software delivers business services and focuses on high-tech software, high-tech OEM, manufacturing for industrial machinery and components, telecom, wireless and Internet services, professional services and life sciences industries, enabling small, mid and large sized companies throughout the U.S. and India to to sell SAP products.</t>
  </si>
  <si>
    <t>Media and Information Services (B2B), Systems and Information Management*, Vertical Market Software</t>
  </si>
  <si>
    <t>cloud software, revenue recognition, sap software, venue management</t>
  </si>
  <si>
    <t>www.bramasol.com</t>
  </si>
  <si>
    <t>2014: 200, 2015: 51</t>
  </si>
  <si>
    <t>54533-62P</t>
  </si>
  <si>
    <t>Mina Farahmand</t>
  </si>
  <si>
    <t>mfarahmand@bramasol.com</t>
  </si>
  <si>
    <t>+1 (650) 636-8811</t>
  </si>
  <si>
    <t>+1 (408) 831-0046</t>
  </si>
  <si>
    <t>+1 (408) 831-0047</t>
  </si>
  <si>
    <t>info@bramasol.com</t>
  </si>
  <si>
    <t>The company raised $5.99 million of venture funding from Hasso Plattner Ventures and other undisclosed investors on December 27, 2013.</t>
  </si>
  <si>
    <t>Hasso Plattner Ventures, Loewenthal Capital Management</t>
  </si>
  <si>
    <t>Hasso Plattner Ventures(www.hp-ventures.com), Loewenthal Capital Management(www.loecapital.com)</t>
  </si>
  <si>
    <t>Howard Rice Nemerovski Canady Falk &amp; Rabkin(Legal Advisor)</t>
  </si>
  <si>
    <t>230590-81</t>
  </si>
  <si>
    <t>Braincube (artificial intelligence)</t>
  </si>
  <si>
    <t>IP Leanware</t>
  </si>
  <si>
    <t>Developer of artificial intelligence technology designed to maximize productivity. The company's technology continuously collects data in any format and structure it in a single, secure database and provide production teams with optimal equipment control settings, enabling factories to enter in the 4th industrial revolution in several steps, compilation of complex data generated by production machines, coherent aggregation of the data in secure databases and predictive algorithm optimization.</t>
  </si>
  <si>
    <t>Other Commercial Products, Other Commercial Services, Other Information Technology*, Other IT Services</t>
  </si>
  <si>
    <t>data access service, data storage, data transformation services, performance management, productivity enhancement</t>
  </si>
  <si>
    <t>www.braincube.com</t>
  </si>
  <si>
    <t>188888-32P</t>
  </si>
  <si>
    <t>Laurent Laporte</t>
  </si>
  <si>
    <t>laurent.laporte@braincube.com</t>
  </si>
  <si>
    <t>+33 (0)4 73 71 70 44</t>
  </si>
  <si>
    <t>4 boulevard de la Sub-Prefecture</t>
  </si>
  <si>
    <t>63500</t>
  </si>
  <si>
    <t>contact@braincube.com</t>
  </si>
  <si>
    <t>The company raised EUR 12 million of venture funding from Next47 and Iris Capital on October 8, 2018. The company wants to use this financing to accelerate its international expansion and increase its investments in R &amp; D to further develop its software solution for artificial intelligence and advanced analysis of production data.</t>
  </si>
  <si>
    <t>Iris Capital, Next47, Région Auvergne-Rhône-Alpes</t>
  </si>
  <si>
    <t>Iris Capital(www.iriscapital.com), Next47(Next47.com), Région Auvergne-Rhône-Alpes(www.auvergnerhonealpes.fr)</t>
  </si>
  <si>
    <t>Chammas &amp; Marcheteau Avocats(Legal Advisor)</t>
  </si>
  <si>
    <t>106904-98</t>
  </si>
  <si>
    <t>Bozza</t>
  </si>
  <si>
    <t>Alexiwiz</t>
  </si>
  <si>
    <t>Provider of new mobile and desktop platform for downloading and streaming music and videos. The company develops a mobile application that allows musicians, filmmakers and poets to connect with fans via their mobile device, desktop and radio, enabling users to start earning revenue by joining their marketplace.</t>
  </si>
  <si>
    <t>Entertainment Software, Movies, Music and Entertainment, Social/Platform Software*</t>
  </si>
  <si>
    <t>content distribution, mobile content</t>
  </si>
  <si>
    <t>www.bozza.mobi</t>
  </si>
  <si>
    <t>2015: 13</t>
  </si>
  <si>
    <t>89770-51P</t>
  </si>
  <si>
    <t>Emma Kaye</t>
  </si>
  <si>
    <t>emma@bozza.mobi</t>
  </si>
  <si>
    <t>Cape Town, South Africa</t>
  </si>
  <si>
    <t>1st Floor, Unit D, Earthlife Building</t>
  </si>
  <si>
    <t>31 Wesley Street Gardens</t>
  </si>
  <si>
    <t>Cape Town</t>
  </si>
  <si>
    <t>8001</t>
  </si>
  <si>
    <t>support@bozza.mobi</t>
  </si>
  <si>
    <t>The company raised $800,000 of angel funding via crowdfunding platform Emerging Crowd on April 22, 2015. Previously, the company raised $1.5 million of venture funding from Omidyar Network and CRE Venture Capital on July 11, 2013, putting the company's pre-money valuation at $3.5 million.</t>
  </si>
  <si>
    <t>African Transition to a New Economy, CRE Venture Capital, Hasso Plattner Ventures, Omidyar Network</t>
  </si>
  <si>
    <t>African Transition to a New Economy(www.africantransition.org), CRE Venture Capital(www.cre.vc), Hasso Plattner Ventures(www.hp-ventures.com), Omidyar Network(www.omidyar.com)</t>
  </si>
  <si>
    <t>Emerging Crowd(Lead Manager or Arranger)</t>
  </si>
  <si>
    <t>231264-82</t>
  </si>
  <si>
    <t>Boxing Cat Brewery</t>
  </si>
  <si>
    <t>Operator of craft brewery establishments designed to serve distinct ales and lagers. The company's microbreweries offer a range of craft specialties produced using in-house water filtration and malting, enabling customers and beer enthusiasts to enjoy brewed beer and craft brews along with their meal.</t>
  </si>
  <si>
    <t>Restaurants and Bars*</t>
  </si>
  <si>
    <t>alcoholic beverages, brewery operator, craft brewing, in-house brews, premium craft alcohol, premium craft brewery, premium craft lager</t>
  </si>
  <si>
    <t>www.boxingcatbrewery.com</t>
  </si>
  <si>
    <t>148363-84P</t>
  </si>
  <si>
    <t>Kelley Lee</t>
  </si>
  <si>
    <t>Co-Founder and Chairman</t>
  </si>
  <si>
    <t>klee@boxingcatbrewery.com</t>
  </si>
  <si>
    <t>+86 (0)182 0172 2392</t>
  </si>
  <si>
    <t>Sinan Mansions, Unit 26A 519 Fu Xing Road Central</t>
  </si>
  <si>
    <t>+86 (0)21 6426 0360</t>
  </si>
  <si>
    <t>info@boxingcatbrewery.com</t>
  </si>
  <si>
    <t>The company was acquired by ZX Ventures through an LBO on March 1, 2017 for an undisclosed sum.</t>
  </si>
  <si>
    <t>55485-10</t>
  </si>
  <si>
    <t>Boxfish</t>
  </si>
  <si>
    <t>Developer of a digital platform designed to search for TV shows content through captions. The company's platform offers a connecting application, enabling users to search words, which are spoken on television in real-time.</t>
  </si>
  <si>
    <t>Application Software*, Communication Software, Social Content</t>
  </si>
  <si>
    <t>live tv guide, television guide, television search engine, television show caption, tv guide</t>
  </si>
  <si>
    <t>www.boxfish.com</t>
  </si>
  <si>
    <t>2012: 13, 2014: 16, 2015: 29</t>
  </si>
  <si>
    <t>43889-05P</t>
  </si>
  <si>
    <t>Eoin Dowling</t>
  </si>
  <si>
    <t>eoin@boxfish.com</t>
  </si>
  <si>
    <t>401 Park Avenue South</t>
  </si>
  <si>
    <t>The company raised $17 million of Series B1 venture funding from Atlantic Bridge Capital, Sinovation Ventures and Deutsche Telekom Capital Partners on August 29, 2016, putting the company's pre-money valuation at $30 million.</t>
  </si>
  <si>
    <t>Atlantic Bridge Capital, Deutsche Telekom Capital Partners, Enterprise Ireland, Frontline Ventures, Naya Ventures, Samsung Venture Investment, Sinovation Ventures</t>
  </si>
  <si>
    <t>Atlantic Bridge Capital(www.abven.com), Deutsche Telekom Capital Partners(www.telekom-capital.com), Enterprise Ireland(www.enterprise-ireland.com), Frontline Ventures(www.frontline.vc), Naya Ventures(www.nayaventures.com), Samsung Venture Investment(www.samsungventures.com), Sinovation Ventures(www.sinovationventures.com)</t>
  </si>
  <si>
    <t>Fenwick &amp; West(Legal Advisor), Goodwin(Legal Advisor), William Fry(Legal Advisor)</t>
  </si>
  <si>
    <t>181533-88</t>
  </si>
  <si>
    <t>Boxbot</t>
  </si>
  <si>
    <t>Nuro, Starship Technologies</t>
  </si>
  <si>
    <t>Developer of self-driving delivery vehicles designed to solve logistics business problems, at scale. The company's vehicles incorporates the use of robotics and autonomous systems to address the last-mile problem in logistics, providing businesses and individuals with scalable end-to-end systems built to optimize the experiences of suppliers and consumers.</t>
  </si>
  <si>
    <t>auto technology, automated technology, automotive technology, autonomous vehicle delivery, robotics delivery vehicles, self drives delivery vehicles</t>
  </si>
  <si>
    <t>www.boxbot.io</t>
  </si>
  <si>
    <t>163982-17P</t>
  </si>
  <si>
    <t>Austin Oehlerking</t>
  </si>
  <si>
    <t>austin@boxbot.io</t>
  </si>
  <si>
    <t>info@boxbot.io</t>
  </si>
  <si>
    <t>The company raised $7.5 million of seed funding in a deal led by Artiman Ventures on June 4, 2018. Toyota AI Ventures, Ironfire Ventures, The House Fund, Afore Capital and Pear also participated in the round. The company has raised more than $9 million in total funding to date.</t>
  </si>
  <si>
    <t>Afore Capital, Artiman Ventures, Ironfire Ventures, Pear, The Graduate Syndicate, The House Fund, Toyota AI Ventures</t>
  </si>
  <si>
    <t>Afore Capital(www.afore.vc), Artiman Ventures(www.artiman.com), Ironfire Ventures(www.ironfireventures.com), Pear(www.pear.vc), The Graduate Syndicate(www.thegraduatesyndicate.com), The House Fund(www.thehouse.fund), Toyota AI Ventures(www.toyota-ai.ventures)</t>
  </si>
  <si>
    <t>185709-52</t>
  </si>
  <si>
    <t>BoozeBud</t>
  </si>
  <si>
    <t>Beerbud</t>
  </si>
  <si>
    <t>Minibar, Drizly, Tipple</t>
  </si>
  <si>
    <t>Developer of an alcohol discovery and delivery platform. The company's online liquor marketplace offers over 200 beers, mixed cases and exclusive limited edition releases from Australia's best breweries and delivers a range of liquor from the world's best breweries, wineries and distilleries at the lowest prices direct to the door.</t>
  </si>
  <si>
    <t>Beverages, Social/Platform Software*</t>
  </si>
  <si>
    <t>E-Commerce, FoodTech, Mobile, TMT</t>
  </si>
  <si>
    <t>alcohol delivery, alcohol delivery app, alcohol delivery platform, liquor marketplace, online alcohol buy platform, online alcohol platform</t>
  </si>
  <si>
    <t>www.boozebud.com</t>
  </si>
  <si>
    <t>176265-37P</t>
  </si>
  <si>
    <t>Mark Setchell</t>
  </si>
  <si>
    <t>mark.setchell@boozebud.com</t>
  </si>
  <si>
    <t>2023</t>
  </si>
  <si>
    <t>info@boozebud.com</t>
  </si>
  <si>
    <t>The company was acquired by ZX Ventures through an LBO on August 1, 2018. The acquisition will allow the company to increase its investment in its e-commerce platform, product range and logistics capabilities.</t>
  </si>
  <si>
    <t>CMB Capital, Lion Unleashed</t>
  </si>
  <si>
    <t>CMB Capital(www.cmbcapital.com.au), Lion Unleashed(unleashed.lionco.com)</t>
  </si>
  <si>
    <t>Pozible(Lead Manager or Arranger)</t>
  </si>
  <si>
    <t>221426-56</t>
  </si>
  <si>
    <t>Boostr (CRM)</t>
  </si>
  <si>
    <t>Provider of a customer relationship management platform intended to manage advertisement sales process. The company's platform specializes in providing delivery pacing, forecasting, pipeline management, sales activity, revenue management and client and contact management, enabling customers to save time, improve forecast accuracy and close more business.</t>
  </si>
  <si>
    <t>contact management system, customer relationship management service, pipeline management service</t>
  </si>
  <si>
    <t>www.boostr.com</t>
  </si>
  <si>
    <t>172683-55P</t>
  </si>
  <si>
    <t>Katie Scheirle</t>
  </si>
  <si>
    <t>Co-Founder &amp; Head of Marketing and Customer Success</t>
  </si>
  <si>
    <t>katie@boostr.com</t>
  </si>
  <si>
    <t>275 Old Adobe Road</t>
  </si>
  <si>
    <t>success@boostrcrm.com</t>
  </si>
  <si>
    <t>The company raised $1 million of seed funding from Bertelsmann Digital Media Investments, Jon Steinberg and WGI Group on October 13, 2017, putting the pre-money valuation at $6.7 million. Bryan Goldberg and Bradford Brown Capital Partners also participated in the round. The company will use this new funding to expand marketing, sales, and customer success with industry experts.</t>
  </si>
  <si>
    <t>Bertelsmann Digital Media Investments, Bradford Brown Capital Partners, Bryan Goldberg, Jon Steinberg, WGI Group</t>
  </si>
  <si>
    <t>Bertelsmann Digital Media Investments(www.bdmifund.com), Bradford Brown Capital Partners(www.bradfordbrown.com), WGI Group(www.wgifund.com)</t>
  </si>
  <si>
    <t>156203-47</t>
  </si>
  <si>
    <t>Bonafide Provisions</t>
  </si>
  <si>
    <t>Real Bone Broth, Real True Foods</t>
  </si>
  <si>
    <t>Boned Broth, Kettle &amp; Fire</t>
  </si>
  <si>
    <t>Developer of hand-crafted organic bone broth and drinkable veggies intended to offer nutrient-dense broth that is rich in collagen and other key amino acids. The company's product is made by simmering water, bones and apple cider vinegar for 18+ hours and is less than 100 calories, well-balanced in macronutrients including fat, carbohydrates and protein, enabling consumers to get total-body wellness, from gut health and immunity to healthy joints and supple skin.</t>
  </si>
  <si>
    <t>bone broths product, broths, drinkable veggies, frozen food, organic broths</t>
  </si>
  <si>
    <t>www.bonafideprovisions.com</t>
  </si>
  <si>
    <t>131732-74P</t>
  </si>
  <si>
    <t>Sharon Brown</t>
  </si>
  <si>
    <t>sharon@bonafideprovisions.com</t>
  </si>
  <si>
    <t>+1 (760) 683-9146</t>
  </si>
  <si>
    <t>7040 Avenida Encinas</t>
  </si>
  <si>
    <t>92011</t>
  </si>
  <si>
    <t>info@bonafideprovisions.com</t>
  </si>
  <si>
    <t>The company raised $3.75 million of venture funding from AccelFoods and Ridgeline Ventures on May 14, 2019. Other undisclosed investors also participated in this round. Out of the total amount, undisclosed amount was originally raised in the form of convertible debt and subsequently converted to equity.</t>
  </si>
  <si>
    <t>AccelFoods, Boulder Investment Group Reprise, Ridgeline Ventures</t>
  </si>
  <si>
    <t>AccelFoods(www.accelfoods.com), Boulder Investment Group Reprise(www.bigrventures.com), Ridgeline Ventures(www.ridgelinevc.com)</t>
  </si>
  <si>
    <t>Propeller Industries(Advisor: General), The Giannuzzi Group(Legal Advisor)</t>
  </si>
  <si>
    <t>56159-02</t>
  </si>
  <si>
    <t>Bolt Innovation Group</t>
  </si>
  <si>
    <t>Bolt</t>
  </si>
  <si>
    <t>Operator of a venture capital firm intended to offer investment capital to startups. The company's venture capital firm addresses to the unique needs of early-stage startups at the intersection of hardware and software, filling the gap in early stage hardware financing, providing the pre-seed and pre-product companies with investments for their product development.</t>
  </si>
  <si>
    <t>Other Financial Services, Specialized Finance*</t>
  </si>
  <si>
    <t>early stage startups, hardware financing, hardware startup, investment capital, seeds stage fund, venture capital firm</t>
  </si>
  <si>
    <t>www.bolt.io</t>
  </si>
  <si>
    <t>2014: 17, 2016: 31</t>
  </si>
  <si>
    <t>47013-76P</t>
  </si>
  <si>
    <t>Benjamin Einstein</t>
  </si>
  <si>
    <t>ben@bolt.io</t>
  </si>
  <si>
    <t>724 Brannan Street</t>
  </si>
  <si>
    <t>info@bolt.io</t>
  </si>
  <si>
    <t>The company raised $3.5 million of venture funding from Grishin Robotics, Autodesk Ventures and Logitech on February 19, 2013. Foundry Group, Taipei Angels, Bantam Group, OKM Capital, Cisco Investments and 6 angel individuals also participated in this round. V also participated in it.</t>
  </si>
  <si>
    <t>Accolade Partners, Autodesk Ventures, Bantam Group, Cisco Investments, Foundry Group, Grishin Robotics, Highland Capital Partners, Individual Investor, Joe Caruso, Logitech, OKM Capital, Robert Mason, Semyon Dukach, Taipei Angels, Walter Winshall, William Herman, William Warner</t>
  </si>
  <si>
    <t>Accolade Partners(www.accoladepartners.com), Autodesk Ventures(www3.autodesk.com/ventures), Bantam Group(www.bantamgroup.com), Cisco Investments(www.ciscoinvestments.com), Foundry Group(www.foundrygroup.com), Grishin Robotics(www.grishinrobotics.com), Highland Capital Partners(www.hcp.com), Logitech(www.logitech.com), OKM Capital(www.okmcapital.com), Semyon Dukach(www.semyon.com), Taipei Angels(www.taipeiangels.com), William Herman(www.2-speed.com)</t>
  </si>
  <si>
    <t>Aalto Capital International(Advisor: General)</t>
  </si>
  <si>
    <t>52716-97</t>
  </si>
  <si>
    <t>BodyMedia</t>
  </si>
  <si>
    <t>Sensewear</t>
  </si>
  <si>
    <t>Optibrand, Basis Science</t>
  </si>
  <si>
    <t>Provider wearable body monitoring products and services. The company provides metabolic assessment and behavioral therapy for the treatment of obesity, diabetes and CVD. Its products include calorie management system, which enables individuals and healthcare providers to monitor calories burned and compare it to calories consumed and body monitoring systems that record an array of physiological data, which is analyzed by its SenseWear software applications.</t>
  </si>
  <si>
    <t>Digital Health, LOHAS &amp; Wellness, TMT, Wearables &amp; Quantified Self</t>
  </si>
  <si>
    <t>calorie management, diabetes, fitness, healthcare provider, metabolic assessment, obesity, therapy treatment</t>
  </si>
  <si>
    <t>www.bodymedia.com</t>
  </si>
  <si>
    <t>2013: 60</t>
  </si>
  <si>
    <t>38640-34P</t>
  </si>
  <si>
    <t>Paul Quinn</t>
  </si>
  <si>
    <t>+1 (412) 288-9901</t>
  </si>
  <si>
    <t>420 Fort Duquesne Boulevard</t>
  </si>
  <si>
    <t>15222</t>
  </si>
  <si>
    <t>+1 (412) 288-9902</t>
  </si>
  <si>
    <t>partners@bodymedia.com</t>
  </si>
  <si>
    <t>The company was acquired by Jawbone, a venture backed company for $115 million on April 30, 2013.</t>
  </si>
  <si>
    <t>Jawbone</t>
  </si>
  <si>
    <t>Ascension Ventures, Comcast Ventures, DQE Enterprises, Draper Fisher Jurvetson Management, Draper Triangle Ventures, ePlanet Capital, InCube Ventures, Saturn Partners, Spring Capital Partners, University of Pittsburgh Endowment, VentureHealth</t>
  </si>
  <si>
    <t>Ascension Ventures(www.ascensionventures.org), Comcast Ventures(www.comcastventures.com), Draper Fisher Jurvetson Management(www.dfj.com), Draper Triangle Ventures(www.drapertriangle.com), ePlanet Capital(www.eplanetcapital.com), InCube Ventures(www.incubevc.com), Saturn Partners(www.saturnpartnersvc.com), Spring Capital Partners(www.springcap.com), University of Pittsburgh Endowment(www.pitt.edu), VentureHealth(www.venturehealth.com)</t>
  </si>
  <si>
    <t>Buchanan Ingersoll &amp; Rooney(Legal Advisor), GTC Law Group(Legal Advisor), Spring Capital Partners(Debt Financing), SVB Leerink(Advisor: General)</t>
  </si>
  <si>
    <t>227487-88</t>
  </si>
  <si>
    <t>Bochuangliandong</t>
  </si>
  <si>
    <t>Provider of commercial network data services intended to offer networking equipment and software services. The company's offerings include providing comprehensive solutions for vehicle machinery intelligent control system, vehicle remote IOT information terminals and vehicle big data service information, provides customers with advanced and reliable products that can be used for a variety of applications.</t>
  </si>
  <si>
    <t>Big Data, Internet of Things</t>
  </si>
  <si>
    <t>commercial vehicle network, internet of things app, internet of things device, iot platform, vehicle intelligence</t>
  </si>
  <si>
    <t>www.uml-tech.com</t>
  </si>
  <si>
    <t>202394-71P</t>
  </si>
  <si>
    <t>Wei Tao</t>
  </si>
  <si>
    <t>wtao@uml-tech.com</t>
  </si>
  <si>
    <t>+86 (0)10 8211 5827</t>
  </si>
  <si>
    <t>1st Floor, Shangdi Innovation Building</t>
  </si>
  <si>
    <t>Number 18 Shangdi Information Road, Haidian District</t>
  </si>
  <si>
    <t>The company raised $15.8 million of Series B+ venture funding in a deal led by Walden International on April 9, 2018. Baidu Ventures, Kexin Investment, Yinxinggu Investment, and The Hina Group also participated in the round.</t>
  </si>
  <si>
    <t>Baidu Ventures, Kexin Investment, The Hina Group, Walden International, Yinxinggu Capital</t>
  </si>
  <si>
    <t>Baidu Ventures(www.bv.ai), The Hina Group(www.hinagroup.com), Walden International(www.waldenintl.com), Yinxinggu Capital(www.yxgzb.com)</t>
  </si>
  <si>
    <t>147106-99</t>
  </si>
  <si>
    <t>Bobo's Oat Bars</t>
  </si>
  <si>
    <t>Bobo's</t>
  </si>
  <si>
    <t>Producer of vegan energy bars intended to never compromise quality or taste for nutrition. The company's vegan energy bars come in a variety of flavors and are wheat free, low-glycemic and contain no trans fats, enabling consumers to enjoy a nutritional bar that is satiating and organic.</t>
  </si>
  <si>
    <t>baked food, coconut bar, nutritious candy bar, oat bar</t>
  </si>
  <si>
    <t>www.eatbobos.com</t>
  </si>
  <si>
    <t>158191-66P</t>
  </si>
  <si>
    <t>Terrence McIntyre</t>
  </si>
  <si>
    <t>tj@eatbobos.com</t>
  </si>
  <si>
    <t>+1 (303) 938-1977</t>
  </si>
  <si>
    <t>6325 Gunpark Drive</t>
  </si>
  <si>
    <t>info@eatbobos.com</t>
  </si>
  <si>
    <t>The company raised $3.50 million of Series B venture funding from undisclosed investors on September 6, 2018, putting the company's pre-money valuation at $32.5 million.</t>
  </si>
  <si>
    <t>Boulder Investment Group Reprise, Ridgeline Ventures</t>
  </si>
  <si>
    <t>Boulder Investment Group Reprise(www.bigrventures.com), Ridgeline Ventures(www.ridgelinevc.com)</t>
  </si>
  <si>
    <t>Chase Bank(Debt Financing), Cooley(Legal Advisor), Koenig, Oelsner, Taylor, Schoenfeld &amp; Gaddis(Legal Advisor)</t>
  </si>
  <si>
    <t>160783-93</t>
  </si>
  <si>
    <t>Bob (People Management Platform)</t>
  </si>
  <si>
    <t>hibob</t>
  </si>
  <si>
    <t>Avature USA, Cezanne HR, Maxwell Health, Saba Software, Zenefits, Namely, Halogen Software, Bond International Software, iCIMS, Avionté, Empower Software Solutions, SilkRoad Technology, Ceridian HCM, Natural HR, SmartRecruiters, Justworks, PeopleFluent, Talent Rover, Paycom Software, Lumesse, Cornerstone OnDemand, Web Benefits Design, PeopleAdmin, BambooHR, Greenhouse Software, Kin HR, ClearCompany, Limelight Health, Clustree, Automatic Data Processing, Paycor, PeopleHR, CharlieHR, Personio, WorkCompass, Gusto, Payworks Incorporation, Octopus HR, Benefitter Insurance Solutions, Infor Global Solutions, Flock (HR Service), Workday, When I Work, 7Geese, Peliton, CIPHR, Empyrean, Sage Telecommunications, Breathe (HR Software)</t>
  </si>
  <si>
    <t>Developer of a cloud-based human resource and benefits platform designed to transform the way modern businesses understand, interact and manage their talent. The company's platform serves as a central hub for a company's HR needs and includes attendance records, time-off schedules, employees records &amp; agreements, compensation management, performance and goal settings, enabling organizations to make informed strategic decisions, increase employee engagement and drive retentions.</t>
  </si>
  <si>
    <t>Application Software, Business/Productivity Software*, Human Capital Services</t>
  </si>
  <si>
    <t>employee engagement hub, employee management platform, hr benefit management, hr platform, hr software</t>
  </si>
  <si>
    <t>www.hibob.com</t>
  </si>
  <si>
    <t>2016: 40, 2017: 50, 2018: 130, 2019: 130</t>
  </si>
  <si>
    <t>35780-41P</t>
  </si>
  <si>
    <t>Ronni Zehavi</t>
  </si>
  <si>
    <t>ronni.zehavi@hibob.com</t>
  </si>
  <si>
    <t>+972 (0)73 265 2595</t>
  </si>
  <si>
    <t>35 Luke Street</t>
  </si>
  <si>
    <t>EC2A 4LH</t>
  </si>
  <si>
    <t>+44 (0)20 3006 2303</t>
  </si>
  <si>
    <t>contact@hibob.com</t>
  </si>
  <si>
    <t>The company raised $20 million of Series A1 venture funding from Eight Roads, Presidio Ventures and Arbor Ventures on September 1, 2018. Bessemer Venture Partners and Battery Ventures also participated in the round. The company intends to use the funds to continue to scale operations and accelerate its penetration in the U.S. and across Europe.</t>
  </si>
  <si>
    <t>Arbor Ventures, Battery Ventures, Bessemer Venture Partners, Cerca Partners, Eight Roads, Entrée Capital, Fidelity International, LocalGlobe, Presidio Ventures, Taavet Hinrikus</t>
  </si>
  <si>
    <t>Arbor Ventures(www.arborventures.com), Battery Ventures(www.battery.com), Bessemer Venture Partners(www.bvp.com), Cerca Partners(www.cerca-partners.com), Eight Roads(www.eightroads.com), Entrée Capital(www.entreecap.com), Fidelity International(www.fidelityinternational.com), LocalGlobe(www.localglobe.vc), Presidio Ventures(www.presidio-ventures.com)</t>
  </si>
  <si>
    <t>bfp &amp; Company(Legal Advisor), Erevena(Consulting), EY(Auditor), Taylor Wessing(Legal Advisor)</t>
  </si>
  <si>
    <t>Taylor Wessing(Legal Advisor)</t>
  </si>
  <si>
    <t>100100-35</t>
  </si>
  <si>
    <t>Bluware</t>
  </si>
  <si>
    <t>Cegal</t>
  </si>
  <si>
    <t>Provider of technology consulting services to oil and gas industry. The company deploys scientific technology services that help the upstream oil &amp; gas industry to improve performance.</t>
  </si>
  <si>
    <t>Industrials, Oil &amp; Gas, SaaS, TMT</t>
  </si>
  <si>
    <t>network infrastructure, software application, software consulting</t>
  </si>
  <si>
    <t>www.bluware.com</t>
  </si>
  <si>
    <t>2014: 100, 2018: 100</t>
  </si>
  <si>
    <t>86581-99P</t>
  </si>
  <si>
    <t>Rick Jones</t>
  </si>
  <si>
    <t>rjones@bluware.com</t>
  </si>
  <si>
    <t>+1 (713) 335-1500</t>
  </si>
  <si>
    <t>16285 Park 10 Place</t>
  </si>
  <si>
    <t>77084</t>
  </si>
  <si>
    <t>info@bluware.com</t>
  </si>
  <si>
    <t>The company received an undisclosed amount of development capital from Shell Ventures and EV Private Equity on August 1, 2018.</t>
  </si>
  <si>
    <t>EV Private Equity, Shell Ventures</t>
  </si>
  <si>
    <t>52219-90</t>
  </si>
  <si>
    <t>BlueStack</t>
  </si>
  <si>
    <t>Gudgud</t>
  </si>
  <si>
    <t>Andy, Tencent Holdings</t>
  </si>
  <si>
    <t>Provider of an application platform intended to offer mobile marketing automation services. The company's platform combines digital and traditional advertising channels to maximize both, enabling users to run Android and Windows applications on x86-based devices and run games on bigger screens using their patented technology.</t>
  </si>
  <si>
    <t>Application Software, Movies, Music and Entertainment, Other Software, Social/Platform Software*</t>
  </si>
  <si>
    <t>E-Commerce, Marketing Tech, Mobile, TMT</t>
  </si>
  <si>
    <t>mobile games, mobile gaming, mobile gaming platform, mobile marketing automation, windows application</t>
  </si>
  <si>
    <t>www.bluestacks.com</t>
  </si>
  <si>
    <t>2012: 9, 2013: 30, 2014: 43, 2015: 105, 2016: 100, 2018: 180</t>
  </si>
  <si>
    <t>36433-54P</t>
  </si>
  <si>
    <t>Rosen Sharma</t>
  </si>
  <si>
    <t>rsharma@bluestacks.com</t>
  </si>
  <si>
    <t>2105 South Bascom Avenue</t>
  </si>
  <si>
    <t>Suite 380</t>
  </si>
  <si>
    <t>infosec@bluestacks.com</t>
  </si>
  <si>
    <t>Ignition Venture Partners sold its stake in the company to undisclosed investors.</t>
  </si>
  <si>
    <t>AMD Ventures, Andreessen Horowitz, Citrix Startup Accelerator, Helion Venture Partners, Intel Capital, Presidio Ventures, Qualcomm Ventures, Radar Partners, Redpoint Ventures, Samsung Venture Investment</t>
  </si>
  <si>
    <t>Ignition Partners</t>
  </si>
  <si>
    <t>AMD Ventures(amdventures.com), Andreessen Horowitz(www.a16z.com), Citrix Startup Accelerator(www.startupaccelerator.vc), Helion Venture Partners(www.helionvc.com), Intel Capital(www.intelcapital.com), Presidio Ventures(www.presidio-ventures.com), Qualcomm Ventures(www.qualcommventures.com), Redpoint Ventures(www.redpoint.com), Samsung Venture Investment(www.samsungventures.com)</t>
  </si>
  <si>
    <t>Ignition Partners(www.ignitionpartners.com)</t>
  </si>
  <si>
    <t>DLA Piper(Legal Advisor), Gunderson Dettmer(Legal Advisor), Pillsbury Winthrop Shaw Pittman(Legal Advisor)</t>
  </si>
  <si>
    <t>Gunderson Dettmer(Legal Advisor), Pillsbury Winthrop Shaw Pittman(Legal Advisor)</t>
  </si>
  <si>
    <t>265647-25</t>
  </si>
  <si>
    <t>Blueland</t>
  </si>
  <si>
    <t>Manufacturer of recycled products intended to eliminate plastic waste altogether. The company's platform offers a refillable cleaning kit, which includes a reusable bottle and refill tablets that create a cleaning solution when added with water, providing the customers with conventional cleaning products and personal care products to eliminate the need for wasteful plastic packaging.</t>
  </si>
  <si>
    <t>Business Equipment and Supplies</t>
  </si>
  <si>
    <t>Business Equipment and Supplies*, Other Consumer Durables</t>
  </si>
  <si>
    <t>bathroom cleaners, eco-friendly product, recycled plastic product, recycled product, waste management</t>
  </si>
  <si>
    <t>www.blueland.com</t>
  </si>
  <si>
    <t>141209-65P</t>
  </si>
  <si>
    <t>Sarah Paiji</t>
  </si>
  <si>
    <t>sarah@blueland.com</t>
  </si>
  <si>
    <t>127 West 26th Street</t>
  </si>
  <si>
    <t>hello@blueland.com</t>
  </si>
  <si>
    <t>The company raised $3 million of Seed funding from Comcast Ventures, Cross Culture Ventures and BAM Ventures on April 22, 2019, putting the company's pre-money valuation at $13.5 million. Global Founders Capital, Justin Timberlake, Nicholas Jammet and Nick Green also participated in the round. The funds will be used by the company to provide the initial marketing push and continue its product development and sales efforts.</t>
  </si>
  <si>
    <t>BAM Ventures, Comcast Ventures, Cross Culture Ventures, Global Founders Capital, Justin Timberlake, Nicholas Jammet, Nick Green</t>
  </si>
  <si>
    <t>BAM Ventures(www.bam.vc), Comcast Ventures(www.comcastventures.com), Cross Culture Ventures(www.crossculturevc.com), Global Founders Capital(www.globalfounders.vc), Justin Timberlake(www.justintimberlake.com)</t>
  </si>
  <si>
    <t>52331-23</t>
  </si>
  <si>
    <t>BlueJeans</t>
  </si>
  <si>
    <t>Videxio, Fuze, Netbriefings, Vidyo, Surfly, ReadyTalk, Zoom Video Communications, Premiere Global Services, GoToMeeting, LifeSize, Voxeet, Acano, Skype</t>
  </si>
  <si>
    <t>Provider of inter-operable video communication services designed to launch video meetings from mobile applications. The company's services are offered through a cloud-based platform that transforms any meeting space into a video-enabled hub, enabling employees and individuals to conduct meetings seamlessly on mobile, desktop and multi-vendor systems.</t>
  </si>
  <si>
    <t>Business/Productivity Software, Communication Software*, Social/Platform Software</t>
  </si>
  <si>
    <t>cloud-based conference, meeting management, video communication, video conference, video meeting</t>
  </si>
  <si>
    <t>www.bluejeans.com</t>
  </si>
  <si>
    <t>2011: 50, 2012: 70, 2014: 386, 2015: 540, 2016: 430, 2017: 500</t>
  </si>
  <si>
    <t>38153-62P</t>
  </si>
  <si>
    <t>Krish Ramakrishnan</t>
  </si>
  <si>
    <t>krish@bluejeans.com</t>
  </si>
  <si>
    <t>+1 (800) 403-9256</t>
  </si>
  <si>
    <t>516 Clyde Avenue</t>
  </si>
  <si>
    <t>+1 (408) 550-2829</t>
  </si>
  <si>
    <t>info@bluejeans.com</t>
  </si>
  <si>
    <t>Accel, AccelerAsia, AT&amp;T Ventures, Battery Ventures, Derek Jeter, Deutsche Telekom Capital Partners, Glynn Capital, Jeter Ventures, MicroVentures, New Enterprise Associates, Nexus Venture Partners, Norwest Venture Partners, Peter Wagner, Quadrille Capital, Stanford Venture Capital Holdings, Wing Venture Capital</t>
  </si>
  <si>
    <t>Accel(www.accel.com), AccelerAsia(www.accelerasia.com), Battery Ventures(www.battery.com), Deutsche Telekom Capital Partners(www.telekom-capital.com), Glynn Capital(www.glynncapital.com), MicroVentures(www.microventures.com), New Enterprise Associates(www.nea.com), Nexus Venture Partners(www.nexusvp.com), Norwest Venture Partners(www.nvp.com), Quadrille Capital(www.quadrillecapital.com), Wing Venture Capital(www.wing.vc)</t>
  </si>
  <si>
    <t>Cooley(Legal Advisor), Daversa Partners(Consulting), Kohler Law Group(Legal Advisor), Launch Search Partners(Consulting)</t>
  </si>
  <si>
    <t>57107-08</t>
  </si>
  <si>
    <t>BlueFox.io</t>
  </si>
  <si>
    <t>BlueFox</t>
  </si>
  <si>
    <t>Prodco, Clavis Insight, Pygmalios, Walkbase, Cloud4Wi, Nomi, Minodes, RetailNext, VideoMining, Taggalo, Footmarks, V-count, Decision6, Factual, SugarCRM, Profitero, Trax Image Recognition</t>
  </si>
  <si>
    <t>Provider of B2B technology designed to provide meaningful real-time click-through and performance data in addition to revenue generation tools. The company's technology detects and analyzes the mobile phones of any incoming visitor in real-time, seamlessly without any installed software and immediately send appropriate coupons and promotions to that person's phone, enabling retailers and brands to immediately handle their in-store traffic in real-time.</t>
  </si>
  <si>
    <t>big data, in-store traffic, retail technology, signage feed, traffic analytics, traffic information</t>
  </si>
  <si>
    <t>www.bluefox.io</t>
  </si>
  <si>
    <t>2014: 50, 2015: 14, 2017: 20</t>
  </si>
  <si>
    <t>49721-32P</t>
  </si>
  <si>
    <t>Guillaume de La Tour</t>
  </si>
  <si>
    <t>guillaume@bluefox.io</t>
  </si>
  <si>
    <t>info@bluefox.io</t>
  </si>
  <si>
    <t>The company raised $7 million of Series A venture funding from Baseline Ventures, Panasonic Ventures and Fusion Fund on June 14, 2017. Pentalog and Bleu Capital also participated. The company intends to use the funds to further accelerate growth.</t>
  </si>
  <si>
    <t>Alpana Ventures, Baseline Ventures, Bleu Capital, Bretagne Jeunes Entreprises, Ecosystem Ventures, Fusion Fund, GO Capital (France), Panasonic Ventures, Pentalog, PhilQuo Ventures, Plug and Play Tech Center, PolyTech Ventures</t>
  </si>
  <si>
    <t>Holland Venture</t>
  </si>
  <si>
    <t>Alpana Ventures(www.alpana-ventures.ch), Baseline Ventures(www.baselinev.com), Bleu Capital(www.bleucap.com), Bretagne Jeunes Entreprises(www.bje-capital-risque.com), Ecosystem Ventures(www.ecosystemventures.com), Fusion Fund(www.fusionfund.com), GO Capital (France)(www.gocapital.fr), Panasonic Ventures(www.panasonicventures.com), Pentalog(www.pentalog.com), PhilQuo Ventures(www.philquo.com), Plug and Play Tech Center(www.plugandplaytechcenter.com), PolyTech Ventures(www.polytechventures.ch)</t>
  </si>
  <si>
    <t>Holland Venture(www.hollandventure.com)</t>
  </si>
  <si>
    <t>51397-84</t>
  </si>
  <si>
    <t>Blue Spark Technologies</t>
  </si>
  <si>
    <t>Thin Battery Technologies</t>
  </si>
  <si>
    <t>ZPower, BrightVolt</t>
  </si>
  <si>
    <t>Manufacturer of thin and flexible printed battery technology designed to offer innovative, eco-friendly and cost effective printed power source. The company's thin and flexible printed battery technology used in smart cards, radio frequency (RF)-based sensors, RFID tags, interactive packaging, merchandising displays, consumer products and novelty items, enabling businesses to generate new and creative product designs, improve the cost structure and energize the performance of their existing products.</t>
  </si>
  <si>
    <t>battery, carbon zinc battery, flexible print battery, print battery, rapid prototyping, testing services, thin battery technology</t>
  </si>
  <si>
    <t>www.bluesparktechnologies.com</t>
  </si>
  <si>
    <t>13212-64P</t>
  </si>
  <si>
    <t>John Gannon</t>
  </si>
  <si>
    <t>john@equitekcapital.com</t>
  </si>
  <si>
    <t>+1 (216) 360-0151</t>
  </si>
  <si>
    <t>Westlake, OH</t>
  </si>
  <si>
    <t>806 Sharon Drive</t>
  </si>
  <si>
    <t>Suite G</t>
  </si>
  <si>
    <t>Westlake</t>
  </si>
  <si>
    <t>44145</t>
  </si>
  <si>
    <t>+1 (440) 249-5400</t>
  </si>
  <si>
    <t>+1 (440) 249-5421</t>
  </si>
  <si>
    <t>The company raised $15.05 million of Series D venture funding from undisclosed investors on February 12, 2019, putting the company's pre-money valuation at $56 million.</t>
  </si>
  <si>
    <t>Early Stage Partners, KeyCapital (Arizona), Ohio Third Frontier, ORIX Growth Capital, SunBridge Partners</t>
  </si>
  <si>
    <t>Early Stage Partners(www.esplp.com), KeyCapital (Arizona)(www.keycapitalgroup.com), Ohio Third Frontier(www.development.ohio.gov/bs_thirdfrontier), SunBridge Partners(www.sunbridgepartners.com)</t>
  </si>
  <si>
    <t>Jones Day(Legal Advisor), Pantek Partners(Advisor: General)</t>
  </si>
  <si>
    <t>Jones Day(Legal Advisor), Trinity Capital Investment(Debt Financing)</t>
  </si>
  <si>
    <t>110399-68</t>
  </si>
  <si>
    <t>Blue Spark Energy</t>
  </si>
  <si>
    <t>Provider of a technology tool designed to offer wellbore stimulation services. The company's technology tool offers wireline applied stimulation pulsing that enhance oil production from wells while removing scale and fines, enabling businesses to increase productivity of oil and gas wells through inventive and reliable methods of oil &amp; gas well remediation while reducing economic, environmental and safety risks.</t>
  </si>
  <si>
    <t>oil production, oil reservoir, wellbore stimulation service</t>
  </si>
  <si>
    <t>www.bluesparkenergy.com</t>
  </si>
  <si>
    <t>96251-68P</t>
  </si>
  <si>
    <t>Todd Parker</t>
  </si>
  <si>
    <t>t.parker@bluesparkenergy.net</t>
  </si>
  <si>
    <t>+1 (403) 514-8076</t>
  </si>
  <si>
    <t>300 - 903 8th Avenue South West</t>
  </si>
  <si>
    <t>T2P 0P7</t>
  </si>
  <si>
    <t>+1 (403) 719-9011</t>
  </si>
  <si>
    <t>info@bluesparkenergy.net</t>
  </si>
  <si>
    <t>The company raised venture funding from ConocoPhillips Technology Ventures on an undisclosed date.</t>
  </si>
  <si>
    <t>ConocoPhillips Technology Ventures</t>
  </si>
  <si>
    <t>57939-22</t>
  </si>
  <si>
    <t>Blue Danube Systems</t>
  </si>
  <si>
    <t>Blue Danube Labs</t>
  </si>
  <si>
    <t>BDL</t>
  </si>
  <si>
    <t>Karma (Connectivity Products), Cellcom, Cascade Networks</t>
  </si>
  <si>
    <t>Provider of mobile wireless access services designed to increase network capacity and enhance the quality of service. The company offers High Definition Active Antenna Systems (HDAAS) that combines reliable hardware and intelligent software to speed up to a 10X increase in capacity, using existing infrastructure and popular mobile devices, enabling clients to avail customizable and varying requirements.</t>
  </si>
  <si>
    <t>Connectivity Products, Wireless Communications Equipment*</t>
  </si>
  <si>
    <t>antenna system provider, beam forming mobile transmit, phased array antenna, radio access technology, wireless access solutions</t>
  </si>
  <si>
    <t>www.bluedanube.com</t>
  </si>
  <si>
    <t>2013: 14, 2014: 25, 2015: 42, 2016: 40, 2017: 51, 2018: 50</t>
  </si>
  <si>
    <t>53587-81P</t>
  </si>
  <si>
    <t>Mark Pinto</t>
  </si>
  <si>
    <t>markpinto@bluedanube.com</t>
  </si>
  <si>
    <t>+1 (650) 316-5010</t>
  </si>
  <si>
    <t>3131 Jay Street</t>
  </si>
  <si>
    <t>info@bluedanube.com</t>
  </si>
  <si>
    <t>The company raised $27 million of Series C venture funding in a deal led by Silver Lake Management on September 11, 2017, putting the company's pre-money valuation at $170 million. Other undisclosed investors also participated in the round.</t>
  </si>
  <si>
    <t>AT&amp;T Ventures, Northgate Capital, Sequoia Capital, Silver Lake Management</t>
  </si>
  <si>
    <t>Northgate Capital(www.northgate.com), Sequoia Capital(www.sequoiacap.com), Silver Lake Management(www.silverlake.com)</t>
  </si>
  <si>
    <t>53350-48</t>
  </si>
  <si>
    <t>BloomReach</t>
  </si>
  <si>
    <t>Apptus Technologies, MapR, Stitch, Rio SEO, MemSQL, Xplenty, Snowflake, Qubole, Fivetran, Zoovu, OmniSci, Tealium, DataStax, SearchSpring, Periscope Data, Unbxd, Conviva, Optimizely, Platfora, Pendo, Twigkit, Algolia, Localytics, trbo, Certona, SLI Systems, Ve Global UK, Usabilla, Linkdex, Coveo, Artificial Solutions, GroupBy, Infinite Analytics, Marketo, Q-Sensei, Dynamic Yield</t>
  </si>
  <si>
    <t>Developer of a software designed to help companies increase their Web traffic from organic or natural search results. The company's software drives customer experience to accelerate the path to conversion, increase revenue and generate customer loyalty, enabling businesses to use big data to capture online demand across channels with relevant user experiences.</t>
  </si>
  <si>
    <t>Business/Productivity Software*, Database Software, Vertical Market Software</t>
  </si>
  <si>
    <t>increase web traffic, internet marketing, internet traffic, natural search results, web traffic</t>
  </si>
  <si>
    <t>www.bloomreach.com</t>
  </si>
  <si>
    <t>2009: 60, 2010: 60, 2012: 60, 2014: 180, 2015: 247, 2016: 250, 2017: 100, 2018: 280</t>
  </si>
  <si>
    <t>43952-41P</t>
  </si>
  <si>
    <t>Stewart Ellis</t>
  </si>
  <si>
    <t>stewart@activehours.com</t>
  </si>
  <si>
    <t>82 Pioneer Way</t>
  </si>
  <si>
    <t>+1 (888) 263-3917</t>
  </si>
  <si>
    <t>+1 (650) 396-4456</t>
  </si>
  <si>
    <t>New Enterprise Associates sold a stake in the company to Newview Capital on December 3, 2018.</t>
  </si>
  <si>
    <t>Bain Capital Ventures, Battery Ventures, Christopher Dixon, Lightspeed India Partners Advisors, Lightspeed Venture Partners, Newview Capital, Salesforce Ventures</t>
  </si>
  <si>
    <t>Bain Capital Ventures(www.baincapitalventures.com), Battery Ventures(www.battery.com), Lightspeed Venture Partners(www.lsvp.com), Newview Capital(www.newviewcap.com)</t>
  </si>
  <si>
    <t>Connor Group(Accounting), Kindred Partners(Consulting), Wilson Sonsini Goodrich &amp; Rosati(Legal Advisor)</t>
  </si>
  <si>
    <t>108812-71</t>
  </si>
  <si>
    <t>Bloomlife</t>
  </si>
  <si>
    <t>Bloom Technologies</t>
  </si>
  <si>
    <t>Ava, Thalman Health, Nemo Healthcare, Nuvo Group, Monica Healthcare, Babyscripts, GE Healthcare, Advanced Maternity Innovations</t>
  </si>
  <si>
    <t>Developer of prenatal care solutions designed to improve the health of moms and babies. The company's solutions combine pregnancy specific wearables with data analytics, to reassure mom and to provide doctors with better data to earlier predict and manage pregnancy complications. Their wearable monitor is a lightweight patch that non-invasively tracks important health parameters of mom and baby throughout pregnancy (fetal movement, fetal heart rate, contractions, maternal health). The device connects to a smartphone app and backend cloud analytics, enabling population health management for providers.</t>
  </si>
  <si>
    <t>Monitoring Equipment*, Other Healthcare Technology Systems</t>
  </si>
  <si>
    <t>Digital Health, FemTech, HealthTech, TMT, Wearables &amp; Quantified Self</t>
  </si>
  <si>
    <t>consumer health, digital health device, femtech vertical, fetal monitor, maternal health care, medical device, pregnancy tracker, prenatal care, telehealth, women's health</t>
  </si>
  <si>
    <t>www.bloomlife.com</t>
  </si>
  <si>
    <t>2016: 12, 2017: 13, 2018: 15, 2019: 17</t>
  </si>
  <si>
    <t>96810-94P</t>
  </si>
  <si>
    <t>Eric Dy</t>
  </si>
  <si>
    <t>eric@bloomlife.com</t>
  </si>
  <si>
    <t>+1 (415) 215-4251</t>
  </si>
  <si>
    <t>181 2nd Street</t>
  </si>
  <si>
    <t>hello@bloomlife.com</t>
  </si>
  <si>
    <t>The company raised $8.11 million of Series A venture funding in a deal led by Lanza techVentures on July 26, 2018, putting the company's pre-money valuation at $16.5 million. SoFi, Fidimec, Valley Perinatal Services, Hanmi Healthcare, Plug and Play Tech Center, Kapor Capital, Meusinvest, SOSV, Advisors.Fund, Liquid 2 Ventures and Barney Pell also participated in the round.</t>
  </si>
  <si>
    <t>Act One Ventures, Advisors.Fund, Barney Pell, Bill Tai, CAA Ventures, Efficient Capacity, Fidimec, Hanmi IT, HealthTech Capital, Imec, Kapor Capital, Lanza techVentures, Leansquare, Liquid 2 Ventures, Marc Benioff, MedTech Innovator, Meusinvest, Pallasite Ventures, Plug and Play Tech Center, PMV, SoFi, SOSV, The Chernin Group, UCLA Ventures, Western Technology Investment, Young Sohn</t>
  </si>
  <si>
    <t>Act One Ventures(www.actoneventures.com), Advisors.Fund(www.advisors.fund), Bill Tai(www.about.me/BillTai), CAA Ventures(ventures.caa.com), Fidimec(www.fidimec.com), Hanmi IT(www.hanmiit.co.kr), HealthTech Capital(www.healthtechcapital.com), Imec(www.imec-int.com), Kapor Capital(www.kaporcapital.com), Lanza techVentures(www.lanzatechventures.com), Leansquare(www.leansquare.be), Liquid 2 Ventures(www.liquid2.vc), MedTech Innovator(www.medtechinnovator.org), Meusinvest(www.meusinvest.be), Pallasite Ventures(www.pallasiteventures.com), Plug and Play Tech Center(www.plugandplaytechcenter.com), PMV(www.pmv.eu), SoFi(www.sofi.com), SOSV(www.sosv.com), UCLA Ventures(www.ventures.ucla.edu), Western Technology Investment(www.westerntech.com)</t>
  </si>
  <si>
    <t>ETW Advisors(Consulting)</t>
  </si>
  <si>
    <t>162768-43</t>
  </si>
  <si>
    <t>Blocko</t>
  </si>
  <si>
    <t>Riot Blockchain, DMG Blockchain Solutions</t>
  </si>
  <si>
    <t>Provider of a blockchain platform intended to develop applications for bitcoin trading and blockchain currency transactions. The company's blockchain development platform, Coinstack integrates with an application user interface that supports all applications and protocols that have bitcoin blockchain and uses various functions including point management systems, electronic assets, electronic documents and user authentication, enabling businesses to build applications and services that utilize blockchain technology to boost security and transparency.</t>
  </si>
  <si>
    <t>Application Software, Financial Software*, Media and Information Services (B2B)</t>
  </si>
  <si>
    <t>bitcoin mining, bitcoin trading, blockchain app development, blockchain assets trading, blockchain development platform, blockchain monitoring, blockchain platform</t>
  </si>
  <si>
    <t>www.blocko.io</t>
  </si>
  <si>
    <t>159582-79P</t>
  </si>
  <si>
    <t>Won-Beom Kim</t>
  </si>
  <si>
    <t>+82 (0)31 714 6254</t>
  </si>
  <si>
    <t>Number 16F, 331-8 Sungnam-daero</t>
  </si>
  <si>
    <t>13558</t>
  </si>
  <si>
    <t>The company raised $8.9 million of Series B venture funding in a deal led by Posco, SparkLabs Global Ventures and Premier Partners on June 11, 2018. Samsung Venture Investment, Daesung Private Equity and Wonik Investment Partners also participated in the round. The company intends to use the new funds to further strengthen its presence in Korea as well as in Europe and East Asian markets. Previously, the company joined FinTech Innovation Lab as a part of the fourth cohort on July 25, 2017.</t>
  </si>
  <si>
    <t>Daesung Private Equity, FinTech Innovation Lab, POSCO Capital, Premier Partners, Samsung SDS Company, Samsung Venture Investment, SparkLabs, SparkLabs Global Ventures, Wonik Investment Partners</t>
  </si>
  <si>
    <t>Daesung Private Equity(www.daesungpe.com), FinTech Innovation Lab(www.fintechinnovationlab.com), POSCO Capital(www.poscocapital.com), Premier Partners(www.premierpartners.co.kr), Samsung SDS Company(www.samsungsds.com), Samsung Venture Investment(www.samsungventures.com), SparkLabs(www.sparklabs.co.kr), SparkLabs Global Ventures(www.sparklabsglobal.com), Wonik Investment Partners(wiipco.com)</t>
  </si>
  <si>
    <t>224072-83</t>
  </si>
  <si>
    <t>BlockFi</t>
  </si>
  <si>
    <t>Salt (Financial Platform), Skeps, LendKey, BTCJam, Pave, Lenddo, Fundera, Instamojo, Unchained Capital, Nexo, Celsius, ETHLend</t>
  </si>
  <si>
    <t>Developer of a blockchain based platform designed to collateralize crypto holdings and manage digital assets. The company's platform utilizes blockchain technologies to issue tokens and contracts so as to provide liquidity, transparency and efficiency to digital financial markets, enabling fintech companies and investors to ease out bitcoin trading and secure digital payments in the cloud while mitigating risks associated with financial lending.</t>
  </si>
  <si>
    <t>bitcoin ecosystem, blockchain technology investment, crypto holding collaterization, crypto investment, crypto-asset operating platform, cryptocurrency, cryptolending, financial service, lending financial service</t>
  </si>
  <si>
    <t>www.blockfi.com</t>
  </si>
  <si>
    <t>2017: 5, 2018: 10, 2019: 20</t>
  </si>
  <si>
    <t>70426-90P</t>
  </si>
  <si>
    <t>Zachary Prince</t>
  </si>
  <si>
    <t>zac@blockfi.com</t>
  </si>
  <si>
    <t>+1 (646) 779-9688</t>
  </si>
  <si>
    <t>86 Chambers Street</t>
  </si>
  <si>
    <t>The company raised $4 million of venture funding in a deal led by Akuna Capital on November 28, 2018. Recruit Strategic Partners, Morgan Creek Capital Management, Devonshire Investors, Galaxy Digital Ventures, CMT Digital and Susquehanna Government Products also participated in the round.Previously, the company raised $52.5 million of venture funding through a combination of debt and equity on June 25, 2018. $2.5 million of equity funding was led by Galaxy Digital Ventures with particiaption from ConsenSys Ventures and PJC. A $50 million of debt financing was provided by undisclosed lenders. Earlier, the company raised $1.55 million of seed funding in a deal led by ConsenSys Ventures on February 16, 2018, putting the company's pre-money valuation at $3.45 million. SoFi, Purple Arch Ventures, Alumni Ventures Group, Kenetic Capital and PJC also participated in the round.</t>
  </si>
  <si>
    <t>Akuna Capital, Alumni Ventures Group, CMT Digital, ConsenSys Ventures, Devonshire Investors, Galaxy Digital Ventures, Kenetic Capital, Morgan Creek Capital Management, PJC, Purple Arch Ventures, Recruit Strategic Partners, SoFi</t>
  </si>
  <si>
    <t>Alumni Ventures Group(www.avgfunds.com), CMT Digital(CMT.digital), ConsenSys Ventures(www.consensys.vc), Kenetic Capital(www.kenetic.capital), Morgan Creek Capital Management(www.morgancreekcap.com), PJC(www.pjc.vc), Purple Arch Ventures(www.purplearchventures.com), Recruit Strategic Partners(recruitstrategicpartners.com), SoFi(www.sofi.com)</t>
  </si>
  <si>
    <t>Foley Hoag(Legal Advisor), Haynes and Boone(Legal Advisor), Hudson Cook(Legal Advisor), Manatt Phelps &amp; Phillips(Legal Advisor), Silicon Valley Bank(General Business Banking)</t>
  </si>
  <si>
    <t>Foley Hoag(Legal Advisor), Hudson Cook(Legal Advisor), Manatt Phelps &amp; Phillips(Legal Advisor)</t>
  </si>
  <si>
    <t>184683-88</t>
  </si>
  <si>
    <t>Blockdaemon</t>
  </si>
  <si>
    <t>Loyakk, Skuchain, Amberdata (Business/Productivity Software), DataStax, MapR, BlockCypher, Interbit, Coin Sciences, fluent edgeworks</t>
  </si>
  <si>
    <t>Provider of a blockchain nodes as a service platform designed to empower businesses to simply and efficiently manage blockchain applications. The company's platform offers a multi-chain multi-cloud network management tool that can deploy nodes and connect them to blockchains within minutes and also offers its own infrastructure for select projects to offer faster deploy times and lower costs, enabling businesses to quickly deploy and iterate blockchain applications and simplify peer-to-peer network management.</t>
  </si>
  <si>
    <t>Cryptocurrency/Blockchain, TMT</t>
  </si>
  <si>
    <t>blockchain, blockchain deployment, blockchain development, blockchain integration, blockchain management platform, blockchain services platform</t>
  </si>
  <si>
    <t>www.blockdaemon.com</t>
  </si>
  <si>
    <t>168825-97P</t>
  </si>
  <si>
    <t>Konstantin Richter</t>
  </si>
  <si>
    <t>kr@blockdaemon.com</t>
  </si>
  <si>
    <t>+1 (347) 469-1530</t>
  </si>
  <si>
    <t>275 Conover Street</t>
  </si>
  <si>
    <t>5B</t>
  </si>
  <si>
    <t>11231</t>
  </si>
  <si>
    <t>hello@blockdaemon.com</t>
  </si>
  <si>
    <t>The company joined Heavybit on April 18, 2018. Previously, the company raised $3.275 million of Seed 1 funding in a deal led by Comcast Ventures on March 7, 2018, putting the company's pre-money valuation at $9 million.</t>
  </si>
  <si>
    <t>Boldstart Ventures, Comcast Ventures, Genacast Ventures, Heavybit, Jeffrey Fagnan, Lerer Hippeau, Liquid 2 Ventures, Meagan Jones, MState, Plug and Play Tech Center, Samuel Lessin</t>
  </si>
  <si>
    <t>Boldstart Ventures(www.boldstart.vc), Comcast Ventures(www.comcastventures.com), Genacast Ventures(www.genacast.com), Heavybit(www.heavybit.com), Lerer Hippeau(www.lererhippeau.com), Liquid 2 Ventures(www.liquid2.vc), MState(www.mstate.io), Plug and Play Tech Center(www.plugandplaytechcenter.com), Samuel Lessin(www.wlessin.com)</t>
  </si>
  <si>
    <t>151365-25</t>
  </si>
  <si>
    <t>BlazingDB</t>
  </si>
  <si>
    <t>Basho, Redis Labs, Fauna, MariaDB, VoltDB, Treasure Data, Xplenty, Panoply (Application Software), Crate.io, Snowflake, OmniSci, Exasol, MongoDB, MapR, Couchbase, MemSQL, Cockroach Labs, Infinidat, SQream, DataStax, Databricks, Talend, ScaleBase, Actian, Cloudera, Kinetica, NuoDB, ArangoDB, Confluent</t>
  </si>
  <si>
    <t>Provider of a database management system designed to offer high performance SQL on video graphics cards. The company's database management system stores data seamlessly and cost effectively, expands data storage, spins up and down compute servers as needed and helps to handle large data sets on consulting projects, enabling users to generate insights from data stores by using video graphic cards and gaming technology.</t>
  </si>
  <si>
    <t>consulting project, database management, sql tools</t>
  </si>
  <si>
    <t>www.blazingdb.com</t>
  </si>
  <si>
    <t>125780-23P</t>
  </si>
  <si>
    <t>Rodrigo Aramburu</t>
  </si>
  <si>
    <t>rodrigo@blazingdb.com</t>
  </si>
  <si>
    <t>+1 (832) 571-3665</t>
  </si>
  <si>
    <t>info@blazingdb.com</t>
  </si>
  <si>
    <t>The company raised $2.9 million of seed funding from Techstars, Bizrupt , Lontra Ventures (Investor), Service Provider Capital, and NVIDIA GPU Ventures on November 14, 2017, putting the company's pre-money valuation at $6.25 million. Samsung NEXT also participated. The company will use the funding to expand its team and accelerate enterprise deployments. This money will also enable BlazingDB to ramp up sales activity with enterprise users that are currently leveraging BlazingDB to operationalize tens to hundreds of terabytes of data inside their data lakes with SQL analytics.</t>
  </si>
  <si>
    <t>Alta El Dorado Emprendimiento, Angel Ventures, Bizrupt, Diego Aramburu, Escala.vc, Lontra Ventures, Lucho Torres, NVIDIA GPU Ventures, Right Side Capital Management, Samsung NEXT Ventures, Service Provider Capital, Techstars</t>
  </si>
  <si>
    <t>Alta El Dorado Emprendimiento(www.altaeldorado.com), Angel Ventures(www.angelventures.vc), Bizrupt(www.bizrupt.biz), Escala.vc(www.escalavc.co), Lontra Ventures(www.lontraventures.com), Right Side Capital Management(www.rightsidecapital.com), Samsung NEXT Ventures(www.samsungnext.com), Service Provider Capital(www.serviceprovidercapital.com), Techstars(www.techstars.com)</t>
  </si>
  <si>
    <t>Crowdstartr(Lead Manager or Arranger)</t>
  </si>
  <si>
    <t>159179-41</t>
  </si>
  <si>
    <t>Blavity</t>
  </si>
  <si>
    <t>Newsflare</t>
  </si>
  <si>
    <t>Provider of a video curating and editing platform created to economically support Black millennials across the African disapora. The company's video curating and editing platform helps to discover multi-cultural contents and videos, built for and by passionate black millennials trying to add more balance to the way Black people are represented in media and culture.</t>
  </si>
  <si>
    <t>Other Media*, Social/Platform Software</t>
  </si>
  <si>
    <t>community-based content, content editing service, cultural content, video curated platform, video editing service</t>
  </si>
  <si>
    <t>www.blavity.com</t>
  </si>
  <si>
    <t>2016: 16, 2018: 50</t>
  </si>
  <si>
    <t>135460-81P</t>
  </si>
  <si>
    <t>Morgan DeBaun</t>
  </si>
  <si>
    <t>morgan@blavity.com</t>
  </si>
  <si>
    <t>160 Brannan Street</t>
  </si>
  <si>
    <t>The company raised $6.5 million of Series A venture funding in a deal led by GV on July 20, 2018. Comcast Ventures, Macro Ventures, Baron Davis Enterprises, Cross Culture Ventures and Plexo Capital also participated in the round. An undisclosed amount of convertible debt financing converted in this round. The funding will go toward opening a new office that is strictly focused on engineering and data. It intends to triple the size of its engineering team. The office, which will likely be in Atlanta, will be home to engineers on additional products and content creation tools to facilitate better storytelling.</t>
  </si>
  <si>
    <t>500 Startups, Baron Davis Enterprises, Base Ventures, Comcast Ventures, Cross Culture Ventures, GV, Harlem Capital Partners, John S. and James L. Knight Foundation, Macro Ventures, New Media Ventures, Plexo Capital</t>
  </si>
  <si>
    <t>500 Startups(www.500.co), Baron Davis Enterprises(www.barondavisenterprises.com), Base Ventures(www.base.ventures), Comcast Ventures(www.comcastventures.com), Cross Culture Ventures(www.crossculturevc.com), GV(www.gv.com), Harlem Capital Partners(www.harlem.capital), John S. and James L. Knight Foundation(www.knightfoundation.org), New Media Ventures(www.newmediaventures.org)</t>
  </si>
  <si>
    <t>Bärí A. Williams(Legal Advisor)</t>
  </si>
  <si>
    <t>Bärí A. Williams(Legal Advisor), Stradling Yocca Carlson &amp; Rauth(Legal Advisor)</t>
  </si>
  <si>
    <t>52861-24</t>
  </si>
  <si>
    <t>Blackstratus</t>
  </si>
  <si>
    <t>NetForensics</t>
  </si>
  <si>
    <t>Provider of security-compliance management services for organizations and government agencies. The company's services include information management, database activity-monitoring and log management, and ensuring compliance with financial reporting standards.</t>
  </si>
  <si>
    <t>Security Services (B2B)</t>
  </si>
  <si>
    <t>Other Commercial Services, Security Services (B2B)*</t>
  </si>
  <si>
    <t>data monitoring, security compliance, security information</t>
  </si>
  <si>
    <t>www.blackstratus.com</t>
  </si>
  <si>
    <t>61599-43P</t>
  </si>
  <si>
    <t>John Frenville</t>
  </si>
  <si>
    <t>jfrenville@netforensics.com</t>
  </si>
  <si>
    <t>+1 (732) 393-6000</t>
  </si>
  <si>
    <t>1551 South Washington Avenue</t>
  </si>
  <si>
    <t>+1 (732) 393-6025</t>
  </si>
  <si>
    <t>info@blackstratus.com</t>
  </si>
  <si>
    <t>The company was acquired by its management in June 2015 for an undisclosed sum.</t>
  </si>
  <si>
    <t>Cisco Investments, Comcast Ventures, Dawntreader Ventures, Nomura Securities, Sigma Capital Partners, Soundview Ventures, Storm Ventures</t>
  </si>
  <si>
    <t>Cisco Investments(www.ciscoinvestments.com), Comcast Ventures(www.comcastventures.com), Dawntreader Ventures(www.dtventures.com), Nomura Securities(www.nomura.co.jp), Sigma Capital Partners(www.sigmacp.com), Storm Ventures(www.stormventures.com)</t>
  </si>
  <si>
    <t>EisnerAmper(Accounting)</t>
  </si>
  <si>
    <t>Aegis Capital(Underwriter), DLA Piper(Legal Advisor), EisnerAmper(Accounting), Sigma Capital Partners(Debt Financing)</t>
  </si>
  <si>
    <t>Investor Buyout by Management</t>
  </si>
  <si>
    <t>60765-58</t>
  </si>
  <si>
    <t>Blacklane</t>
  </si>
  <si>
    <t>Zoomcar, GroundLink, Uber, Cabify, Lyft</t>
  </si>
  <si>
    <t>Provider of online luxury chauffeur services intended to offer peace of mind for passengers and drivers. The company's state-of-the-art systems and a multi-lingual 24/7 customer service team coordinate tens of thousands of quality cars in real time, driven by commercially licensed and insured drivers, enabling the passengers to avail high-quality rides at fair, fixed and all-inclusive rates.</t>
  </si>
  <si>
    <t>Application Software, Other Transportation*</t>
  </si>
  <si>
    <t>chauffeur service, drivers service, luxury transport, professional drivers service</t>
  </si>
  <si>
    <t>www.blacklane.com</t>
  </si>
  <si>
    <t>2013: 70, 2014: 120, 2016: 200</t>
  </si>
  <si>
    <t>58121-11P</t>
  </si>
  <si>
    <t>Jens Wohltorf</t>
  </si>
  <si>
    <t>jens.wohltorf@blacklane.com</t>
  </si>
  <si>
    <t>+49 (0)30 2023 6318 0</t>
  </si>
  <si>
    <t>Feurigstrasse 59</t>
  </si>
  <si>
    <t>10827</t>
  </si>
  <si>
    <t>+49 (0)30 2023 6318 9</t>
  </si>
  <si>
    <t>info@blacklane.com</t>
  </si>
  <si>
    <t>The company raised an estimated $40 million of Series D venture funding from btov Partners, Daimler Mobility Services and Al-Fahim Technologies Group on January 24, 2018. The funds will be used to roll out a new worldwide airport concierge service, a direct pick-up service from the airport and to grow strongly, especially in the Middle East and Africa and grow its product innovation efforts.</t>
  </si>
  <si>
    <t>88 Capital &amp; Investments, Al Fahim Group, Alternative Strategic Investments, btov Partners, Car4You Holding, Daimler Mobility Services, Raffay, Recruit Strategic Partners</t>
  </si>
  <si>
    <t>88 Capital &amp; Investments(www.88capitals.com), Al Fahim Group(www.alfahim.com), Alternative Strategic Investments(www.alstin.de), btov Partners(www.btov.vc), Car4You Holding(www.car4you.at), Raffay(www.raffay.com), Recruit Strategic Partners(recruitstrategicpartners.com)</t>
  </si>
  <si>
    <t>Altium Capital(Auditor), True Capital Partners(Advisor: General)</t>
  </si>
  <si>
    <t>P+P Pöllath + Partners(Legal Advisor), Petsky Prunier(Advisor: General)</t>
  </si>
  <si>
    <t>56249-29</t>
  </si>
  <si>
    <t>BL Healthcare</t>
  </si>
  <si>
    <t>HealthEC, Doctolib, Datu Health, InQuicker, Phreesia, ClearCost Health, TeleTracking Technologies, PokitDok, Vezeeta.com, Castlight Health, Influence Health, hc1.com, Zest Health, Central Logic, MyHealthDirect, Sharecare, Medullan, Intelligent Insites, Statim Health, Awarepoint</t>
  </si>
  <si>
    <t>Provider of a remote health management platform designed to provide products and services that extend the reach of health care providers beyond the clinic walls. The company's remote health management platform provides innovative patient-facing devices that are simple to set up and deliver appropriate levels of care to individual patients, enabling patients to connect with their caregivers from where they live and work.</t>
  </si>
  <si>
    <t>Managed Care*, Other Healthcare Technology Systems, Social/Platform Software</t>
  </si>
  <si>
    <t>caregivers, healthcare management, healthcare management platform, healthcare provider, patient assessment, remote health management platform</t>
  </si>
  <si>
    <t>www.blhealthcare.com</t>
  </si>
  <si>
    <t>2014: 11</t>
  </si>
  <si>
    <t>47462-59P</t>
  </si>
  <si>
    <t>Michael Mathur</t>
  </si>
  <si>
    <t>Chief Executive Officer, Co- Founder, President &amp; Chairman</t>
  </si>
  <si>
    <t>mmathur@blhealthcare.com</t>
  </si>
  <si>
    <t>+1 (508) 543-4150</t>
  </si>
  <si>
    <t>Mansfield, MA</t>
  </si>
  <si>
    <t>89 Forbes Boulevard</t>
  </si>
  <si>
    <t>Suite Number2000</t>
  </si>
  <si>
    <t>Mansfield</t>
  </si>
  <si>
    <t>02048</t>
  </si>
  <si>
    <t>+1 (508) 543-6150</t>
  </si>
  <si>
    <t>info@blhealthcare.com</t>
  </si>
  <si>
    <t>The company raised $4.93 million of Series A venture funding in a deal led by Verizon Ventures on March 23, 2011, putting the company's pre-money valuation at $25.89 million. Other undisclosed investors also participated in the round.</t>
  </si>
  <si>
    <t>Verizon Ventures</t>
  </si>
  <si>
    <t>Verizon Ventures(www.verizonventures.com)</t>
  </si>
  <si>
    <t>54711-10</t>
  </si>
  <si>
    <t>Bizzabo</t>
  </si>
  <si>
    <t>Certain, Lanyon, Eventbase, Condeco, Attendify, Attend.com, Weemss, SpotMe, Splash, Vendini, Zkipster, EMS Software, DoubleDutch, Cvent, Eventsforce, Asure Software, Ungerboeck Software International, RegOnline, Ticketbud, Eventdex, QuickMobile, Guidebook, Wisembly, EmergingSoft</t>
  </si>
  <si>
    <t>Developer of a cloud-based event management platform designed to simplify the process of marketing events. The company's platform makes it easier to create, manage and execute every aspect of the event lifecycle and deliver unique attendee experiences through intelligent and intent-based personalized engagement, enabling enterprise and mid-market organizations across sectors to uncover the value of professional events.</t>
  </si>
  <si>
    <t>end-to-end events success platform, event management platform developer, events planning tools, events success platform, holistic platform, meeting software</t>
  </si>
  <si>
    <t>www.bizzabo.com</t>
  </si>
  <si>
    <t>2016: 40, 2017: 70, 2019: 120</t>
  </si>
  <si>
    <t>42533-29P</t>
  </si>
  <si>
    <t>Eran Ben-Shushan</t>
  </si>
  <si>
    <t>eran@bizzabo.com</t>
  </si>
  <si>
    <t>31 West 27th Street</t>
  </si>
  <si>
    <t>hello@bizzabo.com</t>
  </si>
  <si>
    <t>The company raised $27 million of Series D venture funding in a deal led by Viola Growth on April 17, 2019. Pilot Growth Equity, Maor Investments and Next47 also participated in the round. The funds will be used to expand its platform and grow its research and development.</t>
  </si>
  <si>
    <t>AfterDox, Avigdor Willenz, Barak Rabinowitz, Danny Tocatly, Eli Alroy, Eyal Ofer, Gigi Levy-Weiss, Jeffery Pulver, Kaedan Capital, LionBird, Magma Venture Partners, Maor Investments, Massa Innovations, MassMutual Financial Group, Mehrdad Piroozram, Next47, OurCrowd, Pilot Growth Equity, Star Farm Ventures, Viola Growth, Yair Tauman</t>
  </si>
  <si>
    <t>AfterDox(www.afterdox.com), Jeffery Pulver(www.jeffpulver.com), Kaedan Capital(www.kaedan.com), LionBird(www.lionbird.com), Magma Venture Partners(www.magmavc.com), Massa Innovations(www.massainnovations.com), Next47(Next47.com), OurCrowd(www.ourcrowd.com), Pilot Growth Equity(www.pilotgrowth.com), Star Farm Ventures(www.starfarmventures.com)</t>
  </si>
  <si>
    <t>OurCrowd(Lead Manager or Arranger)</t>
  </si>
  <si>
    <t>56461-96</t>
  </si>
  <si>
    <t>BizReach</t>
  </si>
  <si>
    <t>Provider of web consulting and human resource management services designed to help businesses recruit employees. The company's services specialize in offering business strategy formulation, human capital management and consultation services, enabling users to advance in their career.</t>
  </si>
  <si>
    <t>Consulting Services (B2B), Human Capital Services*</t>
  </si>
  <si>
    <t>man power, manpower management, manpower platform, recruitment</t>
  </si>
  <si>
    <t>www.bizreach.jp</t>
  </si>
  <si>
    <t>2013: 160, 2015: 553, 2018: 400</t>
  </si>
  <si>
    <t>109631-62P</t>
  </si>
  <si>
    <t>Soichiro Minami</t>
  </si>
  <si>
    <t>Co-Founder, Representative Director and President</t>
  </si>
  <si>
    <t>minami@bizreach.jp</t>
  </si>
  <si>
    <t>+81 (0)12 037 7803</t>
  </si>
  <si>
    <t>2-15-1, Shibuya, Shibuya-ku</t>
  </si>
  <si>
    <t>The company raised an undisclosed amount of venture funding from Globis Capital Partners, SMBC Venture Capital and Tokyo University of Science University in October, 2016. Previously, the company raised $32.9 million of Series A venture funding in a deal led by YJ Capital on March 29, 2016. Dentsu Innovation Partners, GREE, Rakuten, Salesforce Ventures, East Ventures, Spiral Ventures, Sumitomo Mitsui Trust Investment, Link and Motivation and EFU Investments Ltd also participated in the round.</t>
  </si>
  <si>
    <t>Dentsu Innovation Partners, East Ventures, EFU Investments Ltd, Globis Capital Partners, GREE, Jafco, Link and Motivation, Rakuten, Salesforce Ventures, SMBC Venture Capital, Spiral Ventures, Sumitomo Mitsui Trust Investment, Tokyo University of Science University, YJ Capital</t>
  </si>
  <si>
    <t>Dentsu Innovation Partners(www.dentsu-ip.co.jp), East Ventures(east.vc), Globis Capital Partners(www.globiscapital.co.jp), GREE(www.gree.co.jp), Jafco(www.jafco.co.jp), Link and Motivation(www.lmi.ne.jp), Rakuten(www.rakuten.co.jp), SMBC Venture Capital(www.smbc-vc.co.jp), Spiral Ventures(www.spiral-ventures.com), Tokyo University of Science University(tusim.co.jp), YJ Capital(yj-capital.co.jp/en)</t>
  </si>
  <si>
    <t>100937-26</t>
  </si>
  <si>
    <t>Bizer</t>
  </si>
  <si>
    <t>Biz Ground</t>
  </si>
  <si>
    <t>Provider of an online platform designed to offer cloud-based back-office services. The company's platform provides tax and legal advisory services, enabling small and medium enterprises to automatically generate documents and forms to facilitate SMEs to submit an application to the government.</t>
  </si>
  <si>
    <t>Financial Software*, Social/Platform Software</t>
  </si>
  <si>
    <t>back office, based back office service, government application</t>
  </si>
  <si>
    <t>bizer.jp</t>
  </si>
  <si>
    <t>120215-98P</t>
  </si>
  <si>
    <t>Yuichi Hatakeyama</t>
  </si>
  <si>
    <t>yuichi.hatakeyama@bizground.co.jp</t>
  </si>
  <si>
    <t>5th floor, Kuroth South Building</t>
  </si>
  <si>
    <t>3-5-3 Kurotsunan, Chiyoda-ku</t>
  </si>
  <si>
    <t>102-0074</t>
  </si>
  <si>
    <t>The company raised JPY 1 million of venture funding from Salesforce Ventures and Incubate Fund on November 16, 2015. The company intends to use the funds for larger-scale work site updates, mobile client development, as well as a 30-day free trial progam.</t>
  </si>
  <si>
    <t>55942-66</t>
  </si>
  <si>
    <t>BitSight Technologies</t>
  </si>
  <si>
    <t>BitSight</t>
  </si>
  <si>
    <t>CyberGRX, Whistic, Prevalent, ZeroFox, iSIGHT Partners, Buguroo, McAfee, Blueliv, ThreatConnect, Digital Shadows, SecurityScorecard, Flashpoint (threat intelligence), Axio, Forcepoint, Digital Guardian, Cytegic, Seculert, LockPath, Endgame, SentinelOne, Recorded Future, CrowdStrike, Soltra Solutions, Sqrrl, Tanium, Cylance, RiskRecon, CloudPassage, Mocana, CounterTack, ThreatQuotient, Infoblox, Tenable, Securonix, Avast Software, Kaspersky Lab, Skyhigh Networks, LightCyber, ProcessUnity, Maclear, Surfwatch Labs, LookingGlass Cyber Solutions, RiskIQ, E8 Security, Malwarebytes, Cybereason, UpGuard, Cyence, Rsam, Evantix GRC</t>
  </si>
  <si>
    <t>Developer of a SaaS-based security rating platform designed to scale third-party risk programs. The company's platform applies algorithms, producing daily security ratings that range from 250 to 900 and help organizations and nations worldwide to manage third-party risk, underwrite cyber insurance policies, benchmark performance, conduct M&amp;A due diligence and assess aggregate risk, enabling businesses to make better strategic security risk and business decisions.</t>
  </si>
  <si>
    <t>big data analytics, cyber security, cyber security software, data analytics, data analytics and security, risk analysis, risk analytics, security rating, security rating platform</t>
  </si>
  <si>
    <t>www.bitsight.com</t>
  </si>
  <si>
    <t>2013: 36, 2014: 61, 2015: 122, 2016: 185, 2017: 275, 2018: 350, 2019: 439</t>
  </si>
  <si>
    <t>45893-62P</t>
  </si>
  <si>
    <t>Stephen Boyer</t>
  </si>
  <si>
    <t>Co-Founder, Board Member and Chief Technology Officer</t>
  </si>
  <si>
    <t>stephen@bitsighttech.com</t>
  </si>
  <si>
    <t>+1 (617) 245-0469</t>
  </si>
  <si>
    <t>111 Huntington Avenue</t>
  </si>
  <si>
    <t>Suite 2010</t>
  </si>
  <si>
    <t>02199</t>
  </si>
  <si>
    <t>info@bitsighttech.com</t>
  </si>
  <si>
    <t>The company raised $60 million of Series D venture funding in a deal led by Warburg Pincus on October 1, 2018, putting the company's pre-money valuation at $690 million. Singtel Innov8, GGV Capital, Flybridge Capital Partners, and Menlo Ventures also participated in the round. The company intends to use the funds to continue its global expansion and extend its portfolio of security risk management solutions.</t>
  </si>
  <si>
    <t>Comcast Ventures, Commonwealth Capital Ventures, Flybridge Capital Partners, GGV Capital, Globespan Capital Partners, Liberty Global Ventures, Menlo Ventures, National Science Foundation, Portugal Ventures, Shaun McConnon, Singtel Innov8, The Perkins Fund, Warburg Pincus</t>
  </si>
  <si>
    <t>Comcast Ventures(www.comcastventures.com), Commonwealth Capital Ventures(www.commonwealthvc.com), Flybridge Capital Partners(www.flybridge.com), GGV Capital(www.ggvc.com), Globespan Capital Partners(www.globespancapital.com), Menlo Ventures(www.menlovc.com), National Science Foundation(seedfund.nsf.gov), Portugal Ventures(www.portugalventures.pt), Singtel Innov8(innov8.singtel.com), The Perkins Fund(www.theperkinsfund.com), Warburg Pincus(www.warburgpincus.com)</t>
  </si>
  <si>
    <t>Evans Resource Group(Consulting), Goodwin(Legal Advisor), Intellenet Executive Search(Consulting)</t>
  </si>
  <si>
    <t>62298-10</t>
  </si>
  <si>
    <t>BitGo</t>
  </si>
  <si>
    <t>Anchorage Hold, AlphaPoint, Spring Labs, Coinhouse, Bloq, Bittrex, Skuchain, 0xproject, Glidera, Poloniex, Digital Asset, Interbit, Blockchain, Chain, GreenAddress, Gemini (Digital Asset Exchange Platform), Coinify, BlockCypher, Symbiont, clearmatics, Bitwala, Axoni, RuPie, BitFury, Gem, Epaylater, ShapeShift, Voyager Digital, itBit, Luno, Blockstream, Xapo, Simplex (Israel), Crypto Platform Uphold, Circle (Financial Software), Lawnmower, Pave, Tierion, Bitfinex, Kissht, Quiklo, Coinbase</t>
  </si>
  <si>
    <t>Developer of a technology platform designed to make digital currencies usable for business in a regulated economy. The company's platform offers various services to keep Bitcoin secure from theft and loss and also provides an enterprise suite of services for Bitcoin-related portfolio management, corporate treasury and enterprise enablement, enabling businesses and financial institutions to integrate digital currencies into their existing financial systems.</t>
  </si>
  <si>
    <t>bitcoin security platform, bitcoin transaction, cryptocurrency investment services, cryptocurrency portfolio management, multi-signature technology, secure digital wallets</t>
  </si>
  <si>
    <t>www.bitgo.com</t>
  </si>
  <si>
    <t>2017: 40, 2018: 40</t>
  </si>
  <si>
    <t>42278-05P</t>
  </si>
  <si>
    <t>Michael Belshe</t>
  </si>
  <si>
    <t>mike@bitgo.com</t>
  </si>
  <si>
    <t>+1 (650) 847-0009</t>
  </si>
  <si>
    <t>2443 Ash Street</t>
  </si>
  <si>
    <t>info@bitgo.com</t>
  </si>
  <si>
    <t>The company raised $58.5 million of Series B venture funding in a deal led by Valor Equity Partners on October 18, 2018, putting the company's pre-money valuation at $127.5 million. Focus Opportunity Fund, Goldman Sachs Principal Strategic Investments, DRW Venture Capital, Galaxy Digital Ventures, Craft Ventures, Redpoint Ventures, Bill Lee and David Sacks also participated in the round. The funds will be used to integrate digital currencies into their existing financial systems.</t>
  </si>
  <si>
    <t>A-Grade Investments, Bill Lee, BitFury Capital, Blockchain Capital, Bridgescale, Craft Ventures, David Sacks, Digital Currency Group, DRW Venture Capital, Eric Hahn, Focus Opportunity Fund, Founders Fund, Galaxy Digital Ventures, Goldman Sachs Principal Strategic Investments, Inventures Group, James Hong, Jeffrey Skoll, Liberty City Ventures, Newtown Partners, Radar Partners, Redpoint Ventures, Valor Equity Partners, Vinny Lingham</t>
  </si>
  <si>
    <t>A-Grade Investments(www.agradeinvestments.com), Bill Lee(www.backtoreality.com), BitFury Capital(www.bitfurycap.com), Blockchain Capital(www.blockchaincapital.com), Bridgescale(www.bridgescale.com), Craft Ventures(www.craftventures.com), Digital Currency Group(www.dcg.co), DRW Venture Capital(www.drwvc.com), Focus Opportunity Fund(www.focusopportunity.com), Founders Fund(www.foundersfund.com), Inventures Group(www.ingroup.com), Liberty City Ventures(www.libertycityventures.com), Newtown Partners(www.newtownpartners.com), Redpoint Ventures(www.redpoint.com), Valor Equity Partners(www.valorep.com), Vinny Lingham(www.vinnylingham.com)</t>
  </si>
  <si>
    <t>DLA Piper(Legal Advisor), Sheppard Mullin Richter &amp; Hampton(Legal Advisor)</t>
  </si>
  <si>
    <t>112694-41</t>
  </si>
  <si>
    <t>Bitfusion</t>
  </si>
  <si>
    <t>Plexistor, Bonsai (Software Development Applications), KXEN, Cycorp, Sumo Logic, Datascience.com, DataRobot</t>
  </si>
  <si>
    <t>Developer of an AI infrastructure management software designed to make at-scale heterogeneous computing accessible to any organization and build the operating system for the next generation computing. The company's AI infrastructure management software is used for clustering, sharing, scaling and managing compute resources, enabling AI developers to reduce the costs and complexity associated with the AI application lifecycle.</t>
  </si>
  <si>
    <t>Application Software, Other Software, Software Development Applications*</t>
  </si>
  <si>
    <t>ai application, ai infrastructure, ai infrastructure management software, artificial intelligence, deep learning</t>
  </si>
  <si>
    <t>www.bitfusion.io</t>
  </si>
  <si>
    <t>41417-56P</t>
  </si>
  <si>
    <t>Subramanian Rama</t>
  </si>
  <si>
    <t>subbu@bitfusion.io</t>
  </si>
  <si>
    <t>+1 (512) 921-6645</t>
  </si>
  <si>
    <t>1250 Borregas Avenue</t>
  </si>
  <si>
    <t>The company closed on $1 million of convertible debt financing from Samsung Venture Investment, Xilinx Technology Ventures undisclosed investors on September 29, 2017. The company previously raised $5.25 million of Series A venture funding in a deal led by Vanedge Capital on May 20, 2017, putting the pre-money valuation at $10.5 million. Sierra Ventures, Data Collective, INSEAD Angels, Lontra Ventures (Investor) Emergent Ventures, Resonant Venture Partners, Geekdom Fund and other undisclosed investors also participated in the round. The company will use the funds to strengthen its research and development efforts and to focus on Bitfusion Flex, its new framework-agnostic platform for building and managing AI projects. The company is being actively tracked by PitchBook.</t>
  </si>
  <si>
    <t>186K Ventures, Avalon Ventures, Capital Factory, Data Collective, Emergent Ventures, Geekdom Fund, INSEAD Business Angels, Lontra Ventures, Resonant Venture Partners, Right Side Capital Management, Samsung Venture Investment, Sierra Ventures, Techstars, Vanedge Capital, Xilinx Ventures</t>
  </si>
  <si>
    <t>Avalon Ventures(www.avalon-ventures.com), Capital Factory(www.capitalfactory.com), Data Collective(www.dcvc.com), Emergent Ventures(www.emergent.vc), Geekdom Fund(www.geekdomfund.com), Lontra Ventures(www.lontraventures.com), Resonant Venture Partners(www.resonantvc.com), Right Side Capital Management(www.rightsidecapital.com), Samsung Venture Investment(www.samsungventures.com), Sierra Ventures(www.sierraventures.com), Techstars(www.techstars.com), Vanedge Capital(www.vanedgecapital.com)</t>
  </si>
  <si>
    <t>63607-33</t>
  </si>
  <si>
    <t>BitFury</t>
  </si>
  <si>
    <t>Digital Asset, Chain, Blockchain, Axoni, Blockstream, BitPay, R3, BlockCypher, Bloq, Ripple, BitGo, e-BIT (Financial Services), Dfinity, Tierion, Bitstamp, Amberdata (Business/Productivity Software), Skuchain, Bitmain</t>
  </si>
  <si>
    <t>Developer of full-service blockchain software and hardware solutions necessary for businesses, governments, organizations and individuals to securely move assets across the blockchain. The company designs and produces innovative hardware that keeps blockchains secure, including custom semiconductor chips and mobile data centers. The company's software solutions provide advanced analytics through a private blockchain network.</t>
  </si>
  <si>
    <t>bitcoin mining, bitcoin software, blockchain application, blockchain data, blockchain framework developer, blockchain hardware, blockchain infrastructure, blockchain security, blockchain services platform, blockchain software, blockchain technology</t>
  </si>
  <si>
    <t>www.bitfury.com</t>
  </si>
  <si>
    <t>2015: 100, 2017: 250, 2018: 700</t>
  </si>
  <si>
    <t>72105-40P</t>
  </si>
  <si>
    <t>Jeremy Sewell</t>
  </si>
  <si>
    <t>jeremy.sewell@bitfury.com</t>
  </si>
  <si>
    <t>6th Floor One London Wall</t>
  </si>
  <si>
    <t>EC2Y 5EB</t>
  </si>
  <si>
    <t>info@bitfury.com</t>
  </si>
  <si>
    <t>The company raised $80 million of venture funding in a deal led by Korelya Capital on November 6, 2018, putting the company's pre-money valuation at $920 million. Dentsu, Armat Group, Argenthal, iTech Capital, Galaxy Digital Ventures, Naver Group, Lian and Jabre Group, Foyer, Macquarie Group, Ginko Ventures and Groupe MACSF also participated in the round.</t>
  </si>
  <si>
    <t>Argenthal, Armat Group, Binary Financial, Blockchain Capital, Cherry Tree Investments, Chong Sing Holdings FinTech Group, Dentsu, DRW Venture Capital, EY Startup Challenge, Foyer, Galaxy Digital Ventures, Georgian Co-Investment Fund, Ginko Ventures, Groupe MACSF, Individual Investor, iTech Capital, Jonathan Teo, Korelya Capital, Lars Rasmussen, Lian and Jabre Group, Macquarie Group, Naver Group, QueensBridge Venture Partners, ZAD Investment Company</t>
  </si>
  <si>
    <t>Social Discovery Ventures</t>
  </si>
  <si>
    <t>Argenthal(www.argenthal.com), Armat Group(www.armatgroup.com), Binary Financial(www.binaryfin.com), Blockchain Capital(www.blockchaincapital.com), Cherry Tree Investments(www.cherrytree.vc), Chong Sing Holdings FinTech Group(www.csfgroup.com), Dentsu(www.dentsu.co.jp), DRW Venture Capital(www.drwvc.com), EY Startup Challenge(webforms.ey.com/uk/en/services/specialty-services/ey-startup-challenge), Foyer(www.foyer.lu), Georgian Co-Investment Fund(www.gcfund.ge/en), Ginko Ventures(www.ginkopartners.com), Groupe MACSF(www.macsf.fr/groupe), iTech Capital(www.itcap.vc), Jonathan Teo(generalcatalyst.com/team/jonathan-teo), Korelya Capital(www.korelyacapital.com), Macquarie Group(www.macquarie.com), QueensBridge Venture Partners(www.qbvp.com), ZAD Investment Company(www.zad.com.sa)</t>
  </si>
  <si>
    <t>Social Discovery Ventures(www.sdventures.com)</t>
  </si>
  <si>
    <t>Dechert(Legal Advisor)</t>
  </si>
  <si>
    <t>Bryan, Garnier &amp; Company(Advisor: Financial Due Diligence)</t>
  </si>
  <si>
    <t>65299-51</t>
  </si>
  <si>
    <t>bitFlyer</t>
  </si>
  <si>
    <t>Coincheck, Glidera, Unocoin, LocalBitcoins, Altquick, SmartCoin</t>
  </si>
  <si>
    <t>Operator of a bitcoin exchange marketplace designed to trade digital currencies. The company's bitcoin exchange marketplace aims to develop and design core systems that make use of block-chain technology for settlement of a financial transaction and providing convenience to buy, sell and spend bitcoins.</t>
  </si>
  <si>
    <t>bitcoin exchange platform, bitcoin marketplace, blockchain technology, digital currency exchange, digital currency trading, virtual currency</t>
  </si>
  <si>
    <t>www.bitflyer.com</t>
  </si>
  <si>
    <t>2015: 11, 2016: 23</t>
  </si>
  <si>
    <t>91189-09P</t>
  </si>
  <si>
    <t>Yuzo Kano</t>
  </si>
  <si>
    <t>yuzo.kano@bitflyer.jp</t>
  </si>
  <si>
    <t>+81 (0)36 435 5515</t>
  </si>
  <si>
    <t>Strong Akasaka Building 8th Floor</t>
  </si>
  <si>
    <t>3-5-5 Akasaka</t>
  </si>
  <si>
    <t>info@bitflyer.jp</t>
  </si>
  <si>
    <t>The company raised $1.75 million of venture funding from SMBC Venture Capital, Mizuho Capital and Dai-ichi Life Insurance Company on January 23, 2017. The company has raised $35 million in total funding to date. The company intends to use the funds to strengthen their financial base and accelerate their efforts in the Bitcoin and block-chain space. 
Previously, the company raised $27 million of Series C venture funding led by East Ventures, Venture Labo Investment and SBI Investment on April 25, 2016.</t>
  </si>
  <si>
    <t>Barry Silbert, Dai-Ichi Life Insurance, Dentsu Innovation Partners, Digital Currency Group, East Ventures, GMO VenturePartners, Incubate Fund, Mitsubishi UFJ Capital, Mitsui Sumitomo Insurance Venture Capital, Mizuho Capital Partners, QUICK Corp, Recruit Strategic Partners, SBI Investment, SMBC Venture Capital, Venture Labo Investment</t>
  </si>
  <si>
    <t>Dai-Ichi Life Insurance(www.dai-ichi-life-hd.com), Dentsu Innovation Partners(www.dentsu-ip.co.jp), Digital Currency Group(www.dcg.co), East Ventures(east.vc), GMO VenturePartners(www.gmo-vp.com), Incubate Fund(www.incubatefund.com), Mitsubishi UFJ Capital(www.mucap.co.jp), QUICK Corp(www.quick.co.jp), Recruit Strategic Partners(recruitstrategicpartners.com), SBI Investment(www.sbinvestment.co.jp), SMBC Venture Capital(www.smbc-vc.co.jp), Venture Labo Investment(www.venturelaboinvestment.co.jp)</t>
  </si>
  <si>
    <t>EY(Accounting)</t>
  </si>
  <si>
    <t>114593-41</t>
  </si>
  <si>
    <t>BiSN</t>
  </si>
  <si>
    <t>Developer of oil production metal products intended to address the shortcomings associated with using bridge plugs and cement. The company's products offers gas tight bridge plugs and also expands plugs for creating airtight (V0 rated) metal-to-metal seals downhole, enabling oil production companies to solve their oil wells abandonment problems in a cost effective way.</t>
  </si>
  <si>
    <t>bridges plug, corrosion management, energy services, metal product, pil wells plug</t>
  </si>
  <si>
    <t>www.bisn.com</t>
  </si>
  <si>
    <t>101826-01P</t>
  </si>
  <si>
    <t>Paul Carragher</t>
  </si>
  <si>
    <t>paul.carragher@bisn.co</t>
  </si>
  <si>
    <t>+44 (0)75 3568 9060</t>
  </si>
  <si>
    <t>Runcorn, United Kingdom</t>
  </si>
  <si>
    <t>12-15 Beeston Court</t>
  </si>
  <si>
    <t>Stuart Road</t>
  </si>
  <si>
    <t>Runcorn</t>
  </si>
  <si>
    <t>WA7 1SS</t>
  </si>
  <si>
    <t>+44 (0)19 2859 7807</t>
  </si>
  <si>
    <t>info@bisn.co</t>
  </si>
  <si>
    <t>The company raised GBP 5 million of venture funding from GE Ventures, BP Ventures and Schlumberger on July 26, 2017.</t>
  </si>
  <si>
    <t>BP Ventures, ConocoPhillips Technology Ventures, Energy Technology Ventures, GE Ventures, Schlumberger</t>
  </si>
  <si>
    <t>GE Ventures(www.geventures.com), Schlumberger(www.slb.com)</t>
  </si>
  <si>
    <t>Kuit Steinart Levy(Legal Advisor), Rickitt Mitchell(Advisor: General)</t>
  </si>
  <si>
    <t>51206-05</t>
  </si>
  <si>
    <t>Birchbox</t>
  </si>
  <si>
    <t>Bellabox, Julep, Beautylish, Memebox, Soko Glam, DermStore, Younique, Luxola, Boxy Charm, Ipsy, FabFitFun, Sephora, ULTA Beauty</t>
  </si>
  <si>
    <t>Provider of a monthly subscription of personalized beauty and grooming samples. The company's platform offers an easy way to discover and shop for beauty and grooming products online, enabling the customers to have the products as per their preferences without stepping outside.</t>
  </si>
  <si>
    <t>Internet Retail, Personal Products*, Specialty Retail</t>
  </si>
  <si>
    <t>beauty and wellness, beauty and wellness product, beauty vertical, customized beauty product, subscription service, wellness</t>
  </si>
  <si>
    <t>www.birchbox.com</t>
  </si>
  <si>
    <t>2012: 53, 2013: 150, 2014: 250, 2017: 250</t>
  </si>
  <si>
    <t>36483-58P</t>
  </si>
  <si>
    <t>Katia Beauchamp</t>
  </si>
  <si>
    <t>katia@birchbox.com</t>
  </si>
  <si>
    <t>+1 (877) 487-7272</t>
  </si>
  <si>
    <t>28 East 28th Street</t>
  </si>
  <si>
    <t>info@birchbox.com</t>
  </si>
  <si>
    <t>The company received an undisclosed amount of financing from Walgreens Home Care on October 4, 2018.</t>
  </si>
  <si>
    <t>Viking Global Investors, Walgreens</t>
  </si>
  <si>
    <t>Accel, Alven Capital Partners, Andrew Dunn, Aspect Ventures, Bullish, Comcast Ventures, Dave Morin, Edward Zimmerman, First Round Capital, FirstGrowth Venture Network, Forerunner Ventures, Gary Vaynerchuk, Glynn Capital, Grace Beauty Capital, Grape Arbor VC, Harrison Metal Capital, Kevin Colleran, Kirsten Green, Lerer Hippeau, M13, MicroVentures, Oleg Tscheltzoff, Red Swan Ventures, Samuel Lessin, Slow Ventures, Stanford Management Company, TriplePoint Capital, Vayner/RSE, William McClelland</t>
  </si>
  <si>
    <t>Viking Global Investors(www.vikingglobal.com), Walgreens(www.walgreens.com)</t>
  </si>
  <si>
    <t>Accel(www.accel.com), Alven Capital Partners(www.alven.co), Aspect Ventures(www.aspectventures.com), Bullish(bullish.co), Comcast Ventures(www.comcastventures.com), Dave Morin(www.davemorin.com), First Round Capital(www.firstround.com), Forerunner Ventures(www.forerunnerventures.com), Gary Vaynerchuk(www.garyvaynerchuk.com), Glynn Capital(www.glynncapital.com), Grace Beauty Capital(www.gracebeautycapital.com), Grape Arbor VC(www.grapearborvc.com), Harrison Metal Capital(www.harrisonmetal.com), Kevin Colleran(facebook.com/kevin), Lerer Hippeau(www.lererhippeau.com), M13(www.m13.co), MicroVentures(www.microventures.com), Red Swan Ventures(www.redswan.vc), Samuel Lessin(www.wlessin.com), Slow Ventures(www.slow.co), Stanford Management Company(smc.stanford.edu), TriplePoint Capital(www.triplepointcapital.com), Vayner/RSE(www.vaynerrse.com)</t>
  </si>
  <si>
    <t>Goei Group(Consulting), Morgan, Lewis &amp; Bockius(Legal Advisor), Rich Talent Group(Consulting)</t>
  </si>
  <si>
    <t>Armentum Partners(Advisor: General), Centerview Partners(Advisor: General), Morgan, Lewis &amp; Bockius(Legal Advisor), Paul, Weiss, Rifkind, Wharton &amp; Garrison(Legal Advisor), TriplePoint Venture Growth(Debt Financing)</t>
  </si>
  <si>
    <t>180908-74</t>
  </si>
  <si>
    <t>BioSymetrics</t>
  </si>
  <si>
    <t>Augusta</t>
  </si>
  <si>
    <t>Nference, GNS Healthcare, Numerate, InSilico Medicine, NuMedii, Atomwise, BERG, Qrativ, Exscientia</t>
  </si>
  <si>
    <t>Operator of a cloud-based biomedical artificial intelligence (AI) platform designed to empower healthcare and R&amp;D innovation with leading data science expertise. The company's platform offers iteration framework that addresses the cleaning and pre-processing of unstructured data for analysis, enabling customers to perform automated machine learning and data pre-processing.</t>
  </si>
  <si>
    <t>Business/Productivity Software*, Enterprise Systems (Healthcare), Other Healthcare Technology Systems, Social/Platform Software</t>
  </si>
  <si>
    <t>artificial intelligence analytics, biomedical analytics, data analytics platform, drugs development algorithm, machine learning analytics platform, medical discovery, precision medicine, predictive analytics platform</t>
  </si>
  <si>
    <t>www.biosymetrics.com</t>
  </si>
  <si>
    <t>170686-99P</t>
  </si>
  <si>
    <t>Wendy Tsai</t>
  </si>
  <si>
    <t>Vice President of Business Development</t>
  </si>
  <si>
    <t>wendy@biosymetrics.com</t>
  </si>
  <si>
    <t>+1 (647) 475-5523</t>
  </si>
  <si>
    <t>info@biosymetrics.com</t>
  </si>
  <si>
    <t>The company raised seed funding from Mogility Capital on an undisclosed date. Previously, the company joined Plug and Play Tech Center as a part of its Accelerator Program Health Batch 7 on September 11, 2018 and received an undisclosed amount in funding.</t>
  </si>
  <si>
    <t>Mogility Capital, NVIDIA GPU Ventures, Plug and Play Tech Center</t>
  </si>
  <si>
    <t>Mogility Capital(www.mogilitycapital.com), Plug and Play Tech Center(www.plugandplaytechcenter.com)</t>
  </si>
  <si>
    <t>53746-66</t>
  </si>
  <si>
    <t>BioNumerik Pharmaceuticals</t>
  </si>
  <si>
    <t>BioNumerik</t>
  </si>
  <si>
    <t>Operator of an oncology pharmaceutical company focused on discovering and developing novel pharmaceutical agents for the treatment of patients with cancer. The company offers a multi-disciplinary technology platform, which concurrently integrates chemistry, biology and quantum physics with advanced supercomputing to identify, simulate and better understand the mechanisms by which drugs and their targets interact.</t>
  </si>
  <si>
    <t>Drug Discovery</t>
  </si>
  <si>
    <t>Drug Discovery*, Other Pharmaceuticals and Biotechnology, Pharmaceuticals</t>
  </si>
  <si>
    <t>cancer treatment, disease treatment</t>
  </si>
  <si>
    <t>www.bionumerik.com</t>
  </si>
  <si>
    <t>2009: 76, 2010: 79, 2011: 77, 2012: 75, 2013: 51, 2014: 22, 2015: 14</t>
  </si>
  <si>
    <t>8023 Vantage Drive</t>
  </si>
  <si>
    <t>Suite-Lobby 1</t>
  </si>
  <si>
    <t>78230</t>
  </si>
  <si>
    <t>+1 (210) 614-1701</t>
  </si>
  <si>
    <t>+1 (210) 614-2892</t>
  </si>
  <si>
    <t>info@bnpi.com</t>
  </si>
  <si>
    <t>The company was acquired by a private equity firm through an LBO for an undisclosed sum.</t>
  </si>
  <si>
    <t>Access Venture Partners, AT&amp;T Ventures, B.P. Investment Partners, Bioven Partners, Cray, First Capital Group, Grelan Pharmaceutical, MedCare Investment Funds, Oceanic Bank International, Takeda Ventures, Texas Next Capital</t>
  </si>
  <si>
    <t>Access Venture Partners(www.accessvp.com), First Capital Group(www.firstcapitalgroup.com), MedCare Investment Funds(www.medcarefunds.com), Oceanic Bank International(www.oceanicbanknigeria.com), Takeda Ventures(www.takedaventures.com), Texas Next Capital(www.texasnextcapital.com)</t>
  </si>
  <si>
    <t>Hill Schwartz Spilker Keller(Valuation/Appraiser)</t>
  </si>
  <si>
    <t>Ladenburg Thalmann Financial Services(Accounting)</t>
  </si>
  <si>
    <t>58216-51</t>
  </si>
  <si>
    <t>BioBeats</t>
  </si>
  <si>
    <t>BioBeats Group</t>
  </si>
  <si>
    <t>Pacifica (Application Software), Livongo, NovuHealth, BrainCheck, Happify, Interaxon, Noom, Remente, Savonix</t>
  </si>
  <si>
    <t>Developer of well-being and coaching products designed to help users manage health and productivity. The company's AI based digital health products offer indicators for heart rate variability, brain function, sleep and activity and provides insights into an individual's health and well-being, enabling users to spot harmful patterns, learn how their body and mind respond to stress and how it affects their work and personal life.</t>
  </si>
  <si>
    <t>biometric feedback, digital health, health insights, psychometric feedback, wellness appkication</t>
  </si>
  <si>
    <t>www.biobeats.com</t>
  </si>
  <si>
    <t>2016: 21</t>
  </si>
  <si>
    <t>52402-33P</t>
  </si>
  <si>
    <t>Davide Morelli</t>
  </si>
  <si>
    <t>Chief Technical Officer &amp; Co-Founder</t>
  </si>
  <si>
    <t>davide.morelli@biobeats.com</t>
  </si>
  <si>
    <t>3 Fitzhardinge Street</t>
  </si>
  <si>
    <t>W1H 6EF</t>
  </si>
  <si>
    <t>help@biobeats.com</t>
  </si>
  <si>
    <t>The company raised $3 million of venture funding in a deal led by Oxford Sciences Innovation on August 14, 2018. White Cloud Capital, IQ Capital Partners, Luminous Ventures, Future Positive Capital, and inovia Capital also participated in the round. The new investment will support the company as they focus on delivering their cutting-edge wellness solutions to a global audience.</t>
  </si>
  <si>
    <t>Amir Banifatemi, AXA Venture Partners, Be Great Partners, Eniac Ventures, Future Positive Capital, Individual Investor, Inovia Capital, IQ Capital Partners, Italian Angels for Growth, James Pallotta, K5 Ventures, Kevin Colleran, Luminous Ventures, Nihal Mehta, Oxford Sciences Innovation, Plug and Play Tech Center, Raptor Group, Samsung NEXT Ventures, Scooter Braun, Slow Ventures, Smith Family Circle, White Cloud Capital, ZhenFund, Zynik Capital</t>
  </si>
  <si>
    <t>AXA Venture Partners(www.axavp.com), Be Great Partners(www.begreat.co), Eniac Ventures(www.eniac.vc), Future Positive Capital(www.futurepositivecapital.com), Inovia Capital(www.inovia.vc), IQ Capital Partners(www.iqcapital.vc), Italian Angels for Growth(www.italianangels.net), K5 Ventures(www.k5ventures.com), Kevin Colleran(facebook.com/kevin), Luminous Ventures(www.luminous.vc), Oxford Sciences Innovation(www.oxfordsciencesinnovation.com), Plug and Play Tech Center(www.plugandplaytechcenter.com), Raptor Group(www.raptorgroup.com), Samsung NEXT Ventures(www.samsungnext.com), Scooter Braun(scooterbraun.com), Slow Ventures(www.slow.co), Smith Family Circle(www.smithfamilycircle.com), White Cloud Capital(www.whcloud.com), ZhenFund(www.zhenfund.com), Zynik Capital(www.zynik.com)</t>
  </si>
  <si>
    <t>Hansen, Jacobson, Teller, Hoberman, Newman, Warren, Richman, Rush &amp; Kaller(Legal Advisor), Pillsbury Winthrop Shaw Pittman(Legal Advisor)</t>
  </si>
  <si>
    <t>Hansen, Jacobson, Teller, Hoberman, Newman, Warren, Richman, Rush &amp; Kaller(Legal Advisor), Pillsbury Winthrop Shaw Pittman(Legal Advisor), Wilson Sonsini Goodrich &amp; Rosati(Legal Advisor)</t>
  </si>
  <si>
    <t>58607-56</t>
  </si>
  <si>
    <t>BigML</t>
  </si>
  <si>
    <t>Arimo, Symphony AyasdiAI, Logz.io, Predixion, Skytree, CognitiveScale, MapR, Interana, Predikto, Platfora, Dataiku, ThoughtSpot, Databricks, Cloudera, Turi, Infinite Analytics, Whetlab, Uptake, Bonsai (Software Development Applications), PredicSis, Cycorp, UiPath, Palantir Technologies, Datascience.com, Illuminate360, Logmatic.io, RapidMiner, Automation Anywhere, Teraki, Cloud Elements, BeyondCore, Diffbot, Emcien, MyDataModels, DataRobot, Tectonic, Talend, Signals Analytics, Loggly, SnapLogic, ColdLight Solutions, CustomerMatrix, InMoment, Silicon Valley Data Science, Splunk, Quantifind, The MathWorks, Kyndi, Amplitude, Clinc, Datameer, Vidora, DigitalGenius, Indico, Sentenai, Jitterbit, Seldon, Parabole (Business Software), Kasisto, Confluent, Ersatz Labs, Fiddlehead, SAS Institute, Noodle.ai, Datoin, Cupenya, Natero</t>
  </si>
  <si>
    <t>Developer of a machine learning software designed to create predictive analytics applications. The company's machine learning software can be used to analyze and predict customer behavior, site visit behavior, hardware maintenance and many other areas enabling companies to build sophisticated Machine Learning-based systems affordably by distilling the predictive patterns from their data into real-life intelligent applications usable by anyone.</t>
  </si>
  <si>
    <t>Business/Productivity Software, Database Software*, Educational Software</t>
  </si>
  <si>
    <t>machine learning, machine learning platform, predictive analysis, predictive analytics</t>
  </si>
  <si>
    <t>www.bigml.com</t>
  </si>
  <si>
    <t>2017: 27</t>
  </si>
  <si>
    <t>147611-80P</t>
  </si>
  <si>
    <t>Adam Ashenfelter</t>
  </si>
  <si>
    <t>Co-Founder &amp; Chief Data Engineer</t>
  </si>
  <si>
    <t>ashenfelter@bigml.com</t>
  </si>
  <si>
    <t>+1 (866) 916-4218</t>
  </si>
  <si>
    <t>2851 NW 9th</t>
  </si>
  <si>
    <t>info@bigml.com</t>
  </si>
  <si>
    <t>The company raised $40,000 of Series B venture funding from undisclosed investors on May 23, 2018.</t>
  </si>
  <si>
    <t>Plug and Play Tech Center, SAIC Capital</t>
  </si>
  <si>
    <t>Plug and Play Tech Center(www.plugandplaytechcenter.com), SAIC Capital(www.saicvc.com)</t>
  </si>
  <si>
    <t>154873-45</t>
  </si>
  <si>
    <t>BigID</t>
  </si>
  <si>
    <t>Egress, Digital Guardian, Dathena Science, Forcepoint, Prifender, Abine, Netwrix, CloudHealth Technologies, DocAuthority, Seclore, Spirion, TrustArc, ObservePoint, DPOrganizer, Salesforce DMP, Bay Dynamics, Dashlane, Scalr, Exonar, LastPass, Cloudability</t>
  </si>
  <si>
    <t>Developer of data-driven protection and privacy compliance platform designed to transform how enterprise protect and manage the privacy of personal data. The company's platform uses advanced machine learning and identity intelligence to help enterprises better safeguard and assure the privacy of their most sensitive data, reducing breach risk and enabling compliance with emerging data protection regulations like the EU General Data Protection Regulation, enabling enterprises to safeguard and steward the most important asset organizations manage their customer data.</t>
  </si>
  <si>
    <t>data encryption, data governance platform, data protection platform, enterprise privacy platform, privacy management, protection compliance platform, regtech vertical</t>
  </si>
  <si>
    <t>www.bigid.com</t>
  </si>
  <si>
    <t>2016: 5, 2017: 8, 2018: 85</t>
  </si>
  <si>
    <t>Competitor (New) Dashlane</t>
  </si>
  <si>
    <t>129667-33P</t>
  </si>
  <si>
    <t>Dimitri Sirota</t>
  </si>
  <si>
    <t>dsirota@bigid.io</t>
  </si>
  <si>
    <t>+1 (917) 208-6060</t>
  </si>
  <si>
    <t>Ahad Ha'Am Street 54</t>
  </si>
  <si>
    <t>6579402</t>
  </si>
  <si>
    <t>info@bigid.com</t>
  </si>
  <si>
    <t>The company joined Plug and Play Tech Center as part of its Fintech Europe batch on October 8, 2018. Previously, the company raised $30 million of Series B venture funding in a deal led by Scale Venture Partners on June 21, 2018, putting the pre-money valuation at $90 million. Genacast Ventures, Comcast Ventures, SAP, Information Venture Partners, ClearSky (North Palm Beach) and Boldstart Ventures also participated in the round. The funds will be used to scale go-to-market and accelerate product introductions as its platform emerges as a standard for data-driven enterprise privacy management and personal data protection.</t>
  </si>
  <si>
    <t>Boldstart Ventures, ClearSky (North Palm Beach), Comcast Ventures, Deep Fork Capital, Genacast Ventures, Information Venture Partners, Microsoft ScaleUp, Plug and Play Tech Center, SAP, Scale Venture Partners, Western Technology Investment</t>
  </si>
  <si>
    <t>Boldstart Ventures(www.boldstart.vc), ClearSky (North Palm Beach)(www.clear-sky.com), Comcast Ventures(www.comcastventures.com), Deep Fork Capital(www.deepforkcapital.com), Genacast Ventures(www.genacast.com), Information Venture Partners(www.informationvp.com), Microsoft ScaleUp(startups.microsoft.com/en-us/scale-up), Plug and Play Tech Center(www.plugandplaytechcenter.com), SAP(www.sap.com), Scale Venture Partners(www.scalevp.com), Western Technology Investment(www.westerntech.com)</t>
  </si>
  <si>
    <t>Fama PR(Advisor: General), Gunderson Dettmer(Legal Advisor)</t>
  </si>
  <si>
    <t>52599-07</t>
  </si>
  <si>
    <t>Bigcommerce</t>
  </si>
  <si>
    <t>Interspire Shopping Cart</t>
  </si>
  <si>
    <t>Volusion, WebLinc, 3dcart, Weebly, Magento Commerce, Shopify</t>
  </si>
  <si>
    <t>Developer of an e-commerce software and shopping cart platform designed to help clients to build their online stores. The company's platform offers features including storefront templates, site hosting, built-in conversion optimization tools and other related marketing tools, enabling clients to create the perfect shopping experience and showcase their brand and products with beautiful and responsive templates.</t>
  </si>
  <si>
    <t>E-Commerce, SaaS</t>
  </si>
  <si>
    <t>ecommerce software, professional online store, shopping cart platform, site hosting, storefronts templates</t>
  </si>
  <si>
    <t>www.bigcommerce.com</t>
  </si>
  <si>
    <t>2012: 150, 2013: 250, 2014: 372, 2017: 500</t>
  </si>
  <si>
    <t>22117-06P</t>
  </si>
  <si>
    <t>Robert Alvarez</t>
  </si>
  <si>
    <t>robert.alvarez@bigcommerce.com</t>
  </si>
  <si>
    <t>+1 (512) 758-7588</t>
  </si>
  <si>
    <t>11305 Four Points</t>
  </si>
  <si>
    <t>+1 (888) 248-9325</t>
  </si>
  <si>
    <t>info@bigcommerce.com</t>
  </si>
  <si>
    <t>The company raised $64 million of Series F venture funding in a deal led by Goldman Sachs Private Capital Investing Group on April 25, 2018, putting the company's pre-money valuation at $450 million. General Catalyst, Tenaya Capital and GGV Capital also participated in the round. The funds will be used to expedite the company's product development and international expansion. Previously, the company raised $39.45 million of Series E venture funding in a deal led by GGV Capital on June 7, 2017, putting the company's pre-money valuation at $223.55 million. American Express Ventures, SoftBank Capital, Telstra Ventures, Millenium Partners, Samsung Venture Investment, Revolution, Millennium Technology Value Partners, Golden Gate Ventures, Split Rock Partners, Tenaya Capital, General Catalyst, Floodgate Fund and Washington University in St. Louis Endowment and other undisclosed investors also participated in the round.</t>
  </si>
  <si>
    <t>American Express Ventures, Floodgate Fund, General Catalyst, GGV Capital, Golden Gate Ventures, Goldman Sachs Private Capital Investing Group, Millenium Partners, Millennium Technology Value Partners, Revolution, Samsung Venture Investment, SoftBank Capital, Split Rock Partners, Summit Partners, Telstra Ventures, Tenaya Capital, Washington University in St. Louis Endowment</t>
  </si>
  <si>
    <t>Floodgate Fund(www.floodgate.com), General Catalyst(www.generalcatalyst.com), GGV Capital(www.ggvc.com), Golden Gate Ventures(www.goldengate.vc), Millenium Partners(www.millenniumptrs.com), Millennium Technology Value Partners(www.mtvlp.com), Revolution(www.revolution.com), Samsung Venture Investment(www.samsungventures.com), SoftBank Capital(www.softbankvc.com), Split Rock Partners(www.splitrock.com), Summit Partners(www.summitpartners.com), Telstra Ventures(www.telstraventures.com), Tenaya Capital(www.tenayacapital.com), Washington University in St. Louis Endowment(www.wustl.edu)</t>
  </si>
  <si>
    <t>Daversa Partners(Consulting), DLA Piper(Legal Advisor), Rich Talent Group(Consulting), Riviera Partners(Consulting), ScaleFactor(Accounting), True Capital Partners(Advisor: General), VPTax(Accounting)</t>
  </si>
  <si>
    <t>55490-86</t>
  </si>
  <si>
    <t>Bidgely</t>
  </si>
  <si>
    <t>MyEnerSave</t>
  </si>
  <si>
    <t>Wattvision, PlotWatt, Grid4C, QOS Energy, EnergyX Solutions, IJENKO, Onzo, Simple Energy, Geli, Geostellar, Greensmith Energy, OhmConnect, Verdigris, Powerley, Curb, EcoFactor, Opower, Enlighted, Rhombus Energy Solutions, Eyedro Green Solutions, AutoGrid</t>
  </si>
  <si>
    <t>Provider of an omni-channel engagement platform designed to offer analytics that can itemize home energy usage data to the appliance level without using any plug-level monitors. The company's platform monitors household energy data consumption patterns, identifies energy usage by individual appliance, manages peak demand, increases efficiency, enabling utilities to re-imagine customer engagement, acquire and retain customers as well as improves customer satisfaction through innovative programs and new services.</t>
  </si>
  <si>
    <t>Application Software, Other Energy Services*</t>
  </si>
  <si>
    <t>LOHAS &amp; Wellness, SaaS, TMT</t>
  </si>
  <si>
    <t>bill itemization, energy disaggregation, energy management software, energy monitoring, omnichannel engagement platform, power monitoring</t>
  </si>
  <si>
    <t>www.bidgely.com</t>
  </si>
  <si>
    <t>2014: 36, 2016: 42, 2017: 69, 2018: 111</t>
  </si>
  <si>
    <t>43914-25P</t>
  </si>
  <si>
    <t>Abhay Gupta</t>
  </si>
  <si>
    <t>abhay@bidgely.com</t>
  </si>
  <si>
    <t>+1 (408) 809-2008</t>
  </si>
  <si>
    <t>110 Pioneer Way</t>
  </si>
  <si>
    <t>info@bidgely.com</t>
  </si>
  <si>
    <t>The company raised an undisclosed amount of venture funding from Innogy Innovation Hub on September 1, 2018. The company also raised $27 million of Series C venture funding in deal led by Georgian Partners on January 16, 2018, putting the company's pre-money valuation at $135 million. Khosla Ventures, Constellation Technology Ventures, E.ON Strategic Co-Investments and Innogy also participated in the round. The company will primarily use the funds to expand its sales team and its Indian engineering centre, besides beefing up its product offerings in business intelligence and analytics and explore opportunities in newer markets in Europe and Asia Pacific.</t>
  </si>
  <si>
    <t>Constellation Technology Ventures, E.ON Strategic Co-Investments, Elemental Excelerator, Georgian Partners, Innogy, Innogy Innovation Hub, Khosla Ventures, Plug and Play Tech Center, RWE</t>
  </si>
  <si>
    <t>Constellation Technology Ventures(www.technologyventures.constellation.com), Elemental Excelerator(www.elementalexcelerator.com), Georgian Partners(www.georgianpartners.com), Innogy(www.innogy.com), Innogy Innovation Hub(innovationhub.innogy.com), Khosla Ventures(www.khoslaventures.com), Plug and Play Tech Center(www.plugandplaytechcenter.com), RWE(www.group.rwe)</t>
  </si>
  <si>
    <t>KPMG(Auditor), Silicon Valley Bank(General Business Banking), Wilson Sonsini Goodrich &amp; Rosati(Legal Advisor)</t>
  </si>
  <si>
    <t>10121-77</t>
  </si>
  <si>
    <t>BHI Energy</t>
  </si>
  <si>
    <t>Bartlett Nuclear</t>
  </si>
  <si>
    <t>BHI</t>
  </si>
  <si>
    <t>Amec Foster Wheeler, Universal Plant Services</t>
  </si>
  <si>
    <t>Provider of specialty maintenance and staffing services. The company's on-site specialty maintenance and staffing services include turbine-generator inspection and repair, turnkey projects, contract maintenance, staff augmentation, equipment repair &amp; refurbishment and installations providing customers the complete specialty maintenance, radiation protection and professional technical staff augmentation services.</t>
  </si>
  <si>
    <t>Human Capital Services*, Other Commercial Services, Other Energy Services</t>
  </si>
  <si>
    <t>professional technical staff, radiation protection, specialty maintenance, staffing services company, turbine-generator inspection</t>
  </si>
  <si>
    <t>Debt Financed, Private Equity</t>
  </si>
  <si>
    <t>www.bhienergy.com</t>
  </si>
  <si>
    <t>1995: 65, 1996: 65, 1997: 2500, 1998: 2500, 1999: 2500, 2000: 2500, 2001: 2500, 2002: 2500, 2003: 2500, 2004: 3000, 2005: 3000, 2006: 80, 2007: 80, 2008: 80, 2009: 80, 2010: 80, 2014: 593, 2016: 5001, 2017: 8500, 2018: 8000</t>
  </si>
  <si>
    <t>36027-73P</t>
  </si>
  <si>
    <t>Robert Decensi</t>
  </si>
  <si>
    <t>Board of Directors, President &amp; Chief Executive Officer</t>
  </si>
  <si>
    <t>bob.decensi@bhienergy.com</t>
  </si>
  <si>
    <t>+1 (800) 225-0385</t>
  </si>
  <si>
    <t>Weymouth, MA</t>
  </si>
  <si>
    <t>97 Libbey Industrial Parkway</t>
  </si>
  <si>
    <t>Weymouth</t>
  </si>
  <si>
    <t>02189</t>
  </si>
  <si>
    <t>The company received $20 million of first lien term loan financing from Antares Capital and an undisclosed amount of senior debt financing from Bank of Ireland on June 29, 2018. The funds will be used to support the acquisition of D&amp;D Power.</t>
  </si>
  <si>
    <t>AE Industrial Partners, AEA Investors, Credit Suisse, Energy Impact Partners</t>
  </si>
  <si>
    <t>Berkshire Partners, Harvest Partners, Summit Partners</t>
  </si>
  <si>
    <t>AE Industrial Partners(www.aeroequity.com), AEA Investors(www.aeainvestors.com), Credit Suisse(www.credit-suisse.com), Energy Impact Partners(www.energyimpactpartners.com)</t>
  </si>
  <si>
    <t>Berkshire Partners(www.berkshirepartners.com), Harvest Partners(www.harvestpartners.com), Summit Partners(www.summitpartners.com)</t>
  </si>
  <si>
    <t>AEA Investors(Debt Financing), Ally Corporate Finance(Debt Financing), Antares Capital(Debt Financing), Bank of America Merrill Lynch(Debt Financing), Bank of Ireland(Debt Financing), BNP Paribas(Debt Financing), Credit Suisse(Debt Financing), Duane Morris(Legal Advisor), Genworth Financial(Debt Financing), Goldman Sachs (GSAM Credit Alternatives)(Debt Financing), Guggenheim Partners(Debt Financing), Harris Williams(Advisor: General), ING Bank(Debt Financing), Kawesch Law Group(Legal Advisor), Matera Vopat Matera &amp; Johnson(Legal Advisor), Mirus Capital Advisors(Advisor: General), Monroe Capital(Debt Financing), New Mountain Finance(Debt Financing), Newbury Piret &amp; Co.(Advisor: General), ORIX Leveraged Finance(Debt Financing), Robert W. Baird &amp; Co.(Advisor: General), Royal Bank of Scotland(Debt Financing), Sumitomo Mitsui Banking(Debt Financing), Weil, Gotshal &amp; Manges(Legal Advisor), White &amp; Case(Legal Advisor)</t>
  </si>
  <si>
    <t>61317-37</t>
  </si>
  <si>
    <t>Beyond Games</t>
  </si>
  <si>
    <t>Machine Zone, Super Evil Megacorp, Kixeye, Supercell, Zynga, Wargaming Mobile</t>
  </si>
  <si>
    <t>Developer of mobile games intended to change the industry with a new brand of connected game design. The company's games favor production quality and strategic depth, and feature massively concurrent shared spaces where groups of players cooperate and compete to achieve group goals.</t>
  </si>
  <si>
    <t>Application Software, Entertainment Software*, Multimedia and Design Software</t>
  </si>
  <si>
    <t>gaming application, mobile gaming app, online gaming, virtual reality games</t>
  </si>
  <si>
    <t>www.beyondgames.co</t>
  </si>
  <si>
    <t>2016: 26, 2018: 41</t>
  </si>
  <si>
    <t>181858-69P</t>
  </si>
  <si>
    <t>Dale Best</t>
  </si>
  <si>
    <t>dale@beyondgames.co</t>
  </si>
  <si>
    <t>300 Brannan Street</t>
  </si>
  <si>
    <t>info@beyondgames.co</t>
  </si>
  <si>
    <t>The company raised $800,000 of seed funding from Rothenberg Ventures, Expansion Venture Capital and Social Starts in December 2013. Lightbank, GV, Greylock Partners, First Round Capital, Fresco Capital, CAA Ventures, StartCaps Ventures, Elefund and 6 individual investors also participated in the round.</t>
  </si>
  <si>
    <t>CAA Ventures, Elefund, Expansion Venture Capital, First Round Capital, Fresco Capital, Greylock Partners, GV, Joshua Buckley, Lightbank, Rothenberg Ventures, Sherpa Capital, Social Starts, StartCaps Ventures</t>
  </si>
  <si>
    <t>CAA Ventures(ventures.caa.com), Elefund(www.elefund.com), Expansion Venture Capital(www.expansionvc.com), First Round Capital(www.firstround.com), Fresco Capital(www.fresco.vc), Greylock Partners(www.greylock.com), GV(www.gv.com), Lightbank(www.lightbank.com), Rothenberg Ventures(www.rothenbergventures.com), Sherpa Capital(www.sherpa.com), Social Starts(www.socialstarts.com), StartCaps Ventures(www.startcaps.com)</t>
  </si>
  <si>
    <t>54587-17</t>
  </si>
  <si>
    <t>Betterez</t>
  </si>
  <si>
    <t>TrekkSoft, Zozi, Turnit, Rezdy, Ticketing Hub, Dashbell, Regiondo, bookingkit</t>
  </si>
  <si>
    <t>Developer of a cloud based Reservations &amp; Ticketing (RTM) platform designed to modernize the ticketing system. The company's platform provides reservations and ticketing for bus and motorcoach companies, enabling motorcoach, tour and multi-use ticketing operators to grow their business and run operations more efficiently.</t>
  </si>
  <si>
    <t>cloud-based enterprise software, enterprise software system, online ticketing sales, ticketing management platform</t>
  </si>
  <si>
    <t>www.betterez.com</t>
  </si>
  <si>
    <t>2014: 11, 2016: 15, 2017: 30, 2018: 36</t>
  </si>
  <si>
    <t>41581-18P</t>
  </si>
  <si>
    <t>Tal Shalit</t>
  </si>
  <si>
    <t>tal@betterez.com</t>
  </si>
  <si>
    <t>+1 (855) 875-7555</t>
  </si>
  <si>
    <t>2 Bloor Street West</t>
  </si>
  <si>
    <t>Suite 1923</t>
  </si>
  <si>
    <t>M4W 3E2</t>
  </si>
  <si>
    <t>info@betterez.com</t>
  </si>
  <si>
    <t>The company raised $1.1 million of venture funding from undisclosed investors on October 23, 2018.</t>
  </si>
  <si>
    <t>Amadeus Ventures, Donald Carty, JetBlue Technology Ventures</t>
  </si>
  <si>
    <t>MNP(Auditor)</t>
  </si>
  <si>
    <t>117225-73</t>
  </si>
  <si>
    <t>Bestmile</t>
  </si>
  <si>
    <t>Reveal Management Services, PeopleNet Communications, Fleetmatics Group, GPSTrackIt, FleetMind Solutions, Fleetio, Fleet Complete, Omnitracs, Zonar Systems, Invers</t>
  </si>
  <si>
    <t>Provider of a mobility services platform created to manage any autonomous and human-driven fleet. The company offers a fully customizable, on-demand cloud mobility platform that allows operators to support multi-modal, multi-service offerings by integrating autonomous vehicles in the existing transportation system with conventional vehicles to work together as fleets. It provides end-to-end fleet optimization and manages fixed-route and on-demand services regardless of the vehicle brand or type, enabling mobility service providers to coordinate and optimize journeys with little or no modification to existing operations.</t>
  </si>
  <si>
    <t>Business/Productivity Software, Other Software, Road*</t>
  </si>
  <si>
    <t>Artificial Intelligence &amp; Machine Learning, Autonomous cars, Industrials, SaaS, TMT</t>
  </si>
  <si>
    <t>automated dispatching, automated mobility, autonomous mobility platform, autonomous mobility services, fleet automation platform, fleet management platform, mobility management platform</t>
  </si>
  <si>
    <t>www.bestmile.com</t>
  </si>
  <si>
    <t>2016: 12, 2018: 60</t>
  </si>
  <si>
    <t>140506-30P</t>
  </si>
  <si>
    <t>Raphaël Gindrat</t>
  </si>
  <si>
    <t>Co-Founder &amp; Chief Executive Officer, Board Member</t>
  </si>
  <si>
    <t>raphael.gindrat@bestmile.com</t>
  </si>
  <si>
    <t>+41 (0)21 508 7001</t>
  </si>
  <si>
    <t>Avenue de Rhodanie 58</t>
  </si>
  <si>
    <t>1007</t>
  </si>
  <si>
    <t>info@bestmile.com</t>
  </si>
  <si>
    <t>The company joined Microsoft ScaleUp on September 3, 2018. Earlier, the company raised $11 million of Series A venture funding in a deal led by Road Ventures on March 22, 2018. Partech Ventures, Groupe ADP, Airbus Ventures, Serena Capital and MobilityFund also participated in the round. The funds will be used for expansion, strengthen the company's mobility cloud platform technology and extend their customer relationships with service providers, strategic OEMs and technology partners. Previously, the company joined EPFL Innovation Park on an undisclosed date.</t>
  </si>
  <si>
    <t>Aéroports de Paris, Airbus Ventures, Ennea VC, EPFL Innovation Park, Forticap, Horizon 2020, Microsoft ScaleUp, MobilityFund, One Planet Ops, Partech Partners, Perot Jain, Plug and Play Tech Center, Road Ventures, Serena Capital</t>
  </si>
  <si>
    <t>Aéroports de Paris(www.parisaeroport.fr), Airbus Ventures(www.airbusventures.vc), Ennea VC(ennea.vc), EPFL Innovation Park(www.epfl-innovationpark.ch), Microsoft ScaleUp(startups.microsoft.com/en-us/scale-up), MobilityFund(www.mobility.fund), One Planet Ops(www.oneplanetops.com), Partech Partners(www.partechpartners.com), Perot Jain(www.perotjain.com), Plug and Play Tech Center(www.plugandplaytechcenter.com), Road Ventures(www.roadventures.ch), Serena Capital(www.serena.vc)</t>
  </si>
  <si>
    <t>54695-89</t>
  </si>
  <si>
    <t>Benu Networks</t>
  </si>
  <si>
    <t>GlobalReach Technology, Sputnik</t>
  </si>
  <si>
    <t>Developer of next generation virtual service platform designed for creation and delivery of next generation IP services over a converged infrastructure. The company's next generation Virtual Service Edge (VSE) software platform combines cable modem termination system (CMTS) functions under one roof enabling network operators to dynamically scale existing networks for home and business customers.</t>
  </si>
  <si>
    <t>Network Management Software*, Other Communications and Networking</t>
  </si>
  <si>
    <t>cable modem termination system, convergence platform, network operator, networking renaissance</t>
  </si>
  <si>
    <t>www.benunetworks.com</t>
  </si>
  <si>
    <t>2012: 40, 2013: 65, 2014: 76, 2015: 103, 2016: 78</t>
  </si>
  <si>
    <t>38408-59P</t>
  </si>
  <si>
    <t>Mads Lillelund</t>
  </si>
  <si>
    <t>mlillelund@benu.net</t>
  </si>
  <si>
    <t>+1 (978) 223-4700</t>
  </si>
  <si>
    <t>300 Concord Road</t>
  </si>
  <si>
    <t>+1 (978) 663-0427</t>
  </si>
  <si>
    <t>info@benunets.com</t>
  </si>
  <si>
    <t>The company raised $10 million of Series 2018 venture funding in a deal led by Spring Lake Equity Partners on July 19, 2018, putting the company's pre-money valuation at $13 million. The funding will fuel the addition of product engineering, sales, and support resources needed to meet the rapid expansion of solution trials and deployments throughout the world.</t>
  </si>
  <si>
    <t>Arris Venture, Comcast Ventures, Costanoa Ventures, Liberty Global Ventures, Motorola Mobility Ventures, Spark Capital, Spring Lake Equity Partners, Sutter Hill Ventures</t>
  </si>
  <si>
    <t>Shaw Ventures</t>
  </si>
  <si>
    <t>Arris Venture(www.arrisventure.com), Comcast Ventures(www.comcastventures.com), Costanoa Ventures(www.costanoavc.com), Spark Capital(www.sparkcapital.com), Spring Lake Equity Partners(www.springlakeequitypartners.com), Sutter Hill Ventures(www.shv.com)</t>
  </si>
  <si>
    <t>Armentum Partners(Advisor: General), WilmerHale(Legal Advisor)</t>
  </si>
  <si>
    <t>99587-71</t>
  </si>
  <si>
    <t>Bento Technologies</t>
  </si>
  <si>
    <t>Bento</t>
  </si>
  <si>
    <t>Emburse, Divvy, Prepaid Expense Card Solutions, Itemize, Jojonomic, Shoeboxed, JP Morgan (Systems Integration Software), Trippeo, Captio, TravelBank, ExpenseWatch, Karmic, Fraedom Holdings, Happay, Certify, Tastr, Dash, Revolut, Brex, FleetCor Technologies, American Express, WEX, Comdata Group, Pex, CSI</t>
  </si>
  <si>
    <t>Provider of an expense management platform intended to provide the security and functionality of a bank with the usability and intuitive interface of a modern technology company. The company's platform modernizes, simplifies and consolidates complex financial services, enabling small and medium businesses to raise capital as well as manage and control expenses easily.</t>
  </si>
  <si>
    <t>b2b payment, business banking, business debit, card control system, cash management and payment service, cash optimization, debit card, expense management, expense management platform, expense management tool, prepaid card, smb financing, treasury, virtual card, virtual card issuing technology</t>
  </si>
  <si>
    <t>www.bentoforbusiness.com</t>
  </si>
  <si>
    <t>2015: 7, 2016: 11, 2018: 25</t>
  </si>
  <si>
    <t>85230-64P</t>
  </si>
  <si>
    <t>Farhan Ahmad</t>
  </si>
  <si>
    <t>farhan.ahmad@bentoforbusiness.com</t>
  </si>
  <si>
    <t>+1 (415) 729-4743</t>
  </si>
  <si>
    <t>P.O. Box 190608</t>
  </si>
  <si>
    <t>94119</t>
  </si>
  <si>
    <t>+1 (855) 782-1827</t>
  </si>
  <si>
    <t>The company raised $9 million of Series B venture funding led by Edison Partners on June 1, 2018, putting the company's pre-money valuation at $25 million. Comcast Ventures and MissionOG also participated in the round. The company intends to use the funds to accelerate talent expansion in marketing and engineering and development of its suite across payments, spend management and business banking.</t>
  </si>
  <si>
    <t>Anthemis Group, Blumberg Capital, Bradley Feld, Comcast Ventures, Edison Partners, Edward Panteleev, J. Carlo Cannell, Kirk Sanford, LionBird, MissionOG, Moderne Ventures, Pivot Investment Partners, Plug and Play Tech Center, Tom Brown</t>
  </si>
  <si>
    <t>Anthemis Group(www.anthemis.com), Blumberg Capital(www.blumbergcapital.com), Comcast Ventures(www.comcastventures.com), Edison Partners(www.edisonpartners.com), LionBird(www.lionbird.com), MissionOG(www.missionog.com), Moderne Ventures(www.moderneventures.com), Pivot Investment Partners(www.pivotinvestment.com), Plug and Play Tech Center(www.plugandplaytechcenter.com)</t>
  </si>
  <si>
    <t>Bank of America(General Business Banking), Erevena(Consulting), Gunderson Dettmer(Legal Advisor), Scrubbed.net(Accounting), Silicon Valley Bank(General Business Banking)</t>
  </si>
  <si>
    <t>54844-57</t>
  </si>
  <si>
    <t>Bench Accounting</t>
  </si>
  <si>
    <t>10sheet Services</t>
  </si>
  <si>
    <t>Bench</t>
  </si>
  <si>
    <t>Pilot (Bookkeeping Platform), ContaAzul, FreshBooks, OneUp, Candis, Wave Financial, FreeAgent Holdings, Ultra Consultants, xTuple, Siigo, Justworks, inDinero, Receipt Bank, Deacom, Macola Software, Dinero</t>
  </si>
  <si>
    <t>Provider of an online bookkeeping service intended to automate accounting tasks for small businesses and independent contractors. The company's bookkeeping services include a combination of custom-built software and professional online bookkeepers to organize the financials of small businesses and deliver a fully outsourced accounting process for clients.</t>
  </si>
  <si>
    <t>Accounting, Audit and Tax Services (B2B)</t>
  </si>
  <si>
    <t>Accounting, Audit and Tax Services (B2B)*, Automation/Workflow Software, Business/Productivity Software, Financial Software</t>
  </si>
  <si>
    <t>online bookkeeping, outsourced accounting, outsourced accounting service, small business accounting, virtual bookkeeping</t>
  </si>
  <si>
    <t>www.bench.co</t>
  </si>
  <si>
    <t>2016: 200, 2018: 250</t>
  </si>
  <si>
    <t>42263-56P</t>
  </si>
  <si>
    <t>Ian Crosby</t>
  </si>
  <si>
    <t>ian@bench.co</t>
  </si>
  <si>
    <t>+1 (888) 760-1940</t>
  </si>
  <si>
    <t>717 West Pender Street</t>
  </si>
  <si>
    <t>V6C 1G9</t>
  </si>
  <si>
    <t>help@bench.com</t>
  </si>
  <si>
    <t>The company raised $18 million in a combination of debt and Series B1 funding led by iNovia Capital on January 31, 2018, putting the company's pre-money valuation at $75 million. Bain Capital Ventures, Third Prime Capital, Altos Ventures, Silicon Valley Bank and other undisclosed investors also participated in the round. The funds will be used to accelerate development of the company's human-powered automation platform, grow the team and expand the service. The company has raised $53 million to date.</t>
  </si>
  <si>
    <t>Alpine Meridian, Altos Ventures, Bain Capital Ventures, Contour Venture Partners, Core Ventures Group, Daring Journey Ventures, Envestnet Yodlee, Hedgewood, Individual Investor, Inovia Capital, Jesse Rasch, Lerer Hippeau, NYC Seed, Palm Drive Capital, Primary Venture Partners, Quotidian Ventures, Recruit Strategic Partners, Right Side Capital Management, Silicon Valley Bank, Techstars, Third Prime, Ynext Incubator</t>
  </si>
  <si>
    <t>Alpine Meridian(www.alpinemeridian.com), Altos Ventures(www.altos.vc), Bain Capital Ventures(www.baincapitalventures.com), Contour Venture Partners(www.contourventures.com), Core Ventures Group(www.coreventuresgroup.com), Daring Journey Ventures(www.daringjourneyventures.com), Envestnet Yodlee(www.yodlee.com), Hedgewood(www.hedgewood.com), Inovia Capital(www.inovia.vc), Lerer Hippeau(www.lererhippeau.com), NYC Seed(www.nycseed.com), Palm Drive Capital(www.palmdrive.vc), Primary Venture Partners(www.primary.vc), Quotidian Ventures(www.quotidian.co), Recruit Strategic Partners(recruitstrategicpartners.com), Right Side Capital Management(www.rightsidecapital.com), Silicon Valley Bank(www.svb.com), Techstars(www.techstars.com), Third Prime(www.thirdprime.vc)</t>
  </si>
  <si>
    <t>54260-47</t>
  </si>
  <si>
    <t>Benbria</t>
  </si>
  <si>
    <t>Eloquant, Rant &amp; Rave</t>
  </si>
  <si>
    <t>Developer of a communication network designed to offer internet protocol based communication services for hotels and restaurants. The company's network offers mobile messaging based customer engagement and notification software, enabling restaurants to engage with customers via multi-modal notifications.</t>
  </si>
  <si>
    <t>Communication Software, Other Communications and Networking*</t>
  </si>
  <si>
    <t>communication network, communication service, ip-based communications, mass notification, paging service</t>
  </si>
  <si>
    <t>www.benbria.com</t>
  </si>
  <si>
    <t>2014: 35, 2015: 29</t>
  </si>
  <si>
    <t>40933-81P</t>
  </si>
  <si>
    <t>Andrea Baptiste</t>
  </si>
  <si>
    <t>Advisor</t>
  </si>
  <si>
    <t>abaptiste@benbria.com</t>
  </si>
  <si>
    <t>+1 (613) 271-5970</t>
  </si>
  <si>
    <t>390 March Road</t>
  </si>
  <si>
    <t>K2K 0G7</t>
  </si>
  <si>
    <t>info@benbria.com</t>
  </si>
  <si>
    <t>The company raised $3.5 million of Series A venture funding in a deal led by Verizon Ventures on July 14, 2015. Wesley Clover and BDC Healthcare Venture Fund also participated in this round. The company will use the funds to aggressively expand its sales and marketing efforts as well as further innovate its flagship solution, Loop® Text &amp; Mobile Customer Engagement.</t>
  </si>
  <si>
    <t>BDC Capital, BDC Healthcare Venture Fund, Business Development Bank of Canada, Federal Economic Development Agency for Southern Ontario, MaRS Investment Accelerator Fund, Ontario Centres of Excellence, Startup Ottawa, Verizon Ventures, Wesley Clover</t>
  </si>
  <si>
    <t>Business Development Bank of Canada(www.bdc.ca), Federal Economic Development Agency for Southern Ontario(www.feddevontario.gc.ca), MaRS Investment Accelerator Fund(www.marsiaf.com), Ontario Centres of Excellence(www.oce-ontario.org), Startup Ottawa(www.startupottawa.ca), Verizon Ventures(www.verizonventures.com), Wesley Clover(www.wesleyclover.com)</t>
  </si>
  <si>
    <t>58243-15</t>
  </si>
  <si>
    <t>BehavioSec</t>
  </si>
  <si>
    <t>SecuredTouch, UnFraud, mSIGNIA, InAuth, AimBrain, Unloq, Entersekt, UnifyID, Zighra, BioCatch, Ravelin, Averon, Forticode, Iovation, Unbotify, OverWatchID, Secret Double Octopus, Trustev, SecureAuth, Okta, PerimeterX, Socure, Jscrambler, Callsign, OneLogin, Sift (San Francisco), Centrify, Emailage, Venafi, Quarri, SMS PASSCODE, Shape Security, Nok Nok Labs, Feedzai, Plurilock, Castle (Network Management Software), Daon, TypingDNA, Easy Solutions, Duo Security, NuData Security, Riskified, Auth0, ForgeRock, JumpCloud, Buguroo, Keypasco, Signifyd, Blueliv, HID Global, NoFraud, Rippleshot, Accertify, ThreatMetrix, Gemalto, ImageWare Systems, Cybereason</t>
  </si>
  <si>
    <t>Developer of a behavioral biometric software platform designed to create strong, multilayered customer security. The company's behavioral biometric software platform uses continuous machine learning to authenticate users based, not on what they do, but on how they do and algorithm that can verify who someone is based on how they naturally interact with their device and deliver instant identity verification, along with continuous authentication, enabling users to stop fraud, prevent cyber attacks and improve verification system.</t>
  </si>
  <si>
    <t>authentication software, behavioral biometrics, biometric software, biometrics, fraud detection, it security, online verification, regtech vertical, security software, user verification</t>
  </si>
  <si>
    <t>www.behaviosec.com</t>
  </si>
  <si>
    <t>2014: 50, 2015: 23</t>
  </si>
  <si>
    <t>56244-79P</t>
  </si>
  <si>
    <t>Olov Renberg</t>
  </si>
  <si>
    <t>orenberg@behaviosec.com</t>
  </si>
  <si>
    <t>Västra Trädgårdsgatan 11</t>
  </si>
  <si>
    <t>111 53</t>
  </si>
  <si>
    <t>contact@behaviosec.com</t>
  </si>
  <si>
    <t>The company raised $17.5 million of Series B venture funding in a deal led by Trident Capital Cybersecurity on January 29, 2018. Cisco Investments, ABN AMRO Bank, Octopus Ventures and Conor Venture Partners also participated in the round. The company will use the funds to expand global operations and relocate corporate headquarters to the United States. Earlier, the company raised EUR 600,000 of Series A venture funding from Octopus Ventures and other undisclosed investors on February 13, 2017.</t>
  </si>
  <si>
    <t>ABN AMRO Bank, Arctic Business Incubator, Cisco Investments, Conor Venture Partners, FinTech Innovation Lab, ForgePoint Capital, Innovationsbron, Lunova, Norrlandsfonden, Northzone Ventures, Octopus Ventures, Partnerinvest Norr, Plug and Play Tech Center, PNF Venture Capital, PwC's Accelerator</t>
  </si>
  <si>
    <t>Almi Invest</t>
  </si>
  <si>
    <t>ABN AMRO Bank(www.abnamro.com), Arctic Business Incubator(www.abi.se), Cisco Investments(www.ciscoinvestments.com), Conor Venture Partners(www.conor.vc), FinTech Innovation Lab(www.fintechinnovationlab.com), ForgePoint Capital(www.forgepointcap.com), Innovationsbron(www.innovationsbron.se), Lunova(www.lunova.se), Norrlandsfonden(www.norrlandsfonden.se), Northzone Ventures(www.northzone.com), Octopus Ventures(www.octopusventures.com), Partnerinvest Norr(www.partnerinvestnorr.se), Plug and Play Tech Center(www.plugandplaytechcenter.com), PwC's Accelerator(www.pwcaccelerator.com/pwcsaccelerator/index.html)</t>
  </si>
  <si>
    <t>Almi Invest(www.almiinvest.se)</t>
  </si>
  <si>
    <t>55468-18</t>
  </si>
  <si>
    <t>Behalf</t>
  </si>
  <si>
    <t>Zazma</t>
  </si>
  <si>
    <t>Pave, Swift Financial, Lendio, Avant (Online Lending Firm), LendKey, Upstart Network, Kabbage, BorrowersFirst, OneMain Holdings, BFS Capital, LendUp, LendingClub, Fundbox, Biz2Credit, QuarterSpot, Credibly, Tienda Pago, LiftForward, Capify, LoanNow, Snap Capital, Fundera, Orchard App, Elevate Credit, Dealstruck, Insikt, Prosper, ZestFinance, Fundation, CommonBond, LendingPoint, OnDeck, SuperMoney, BlueVine, FastPay Partners, Lighter Capital, Earnest Operations, IOU Financial, SoFi, Behave!</t>
  </si>
  <si>
    <t>Provider of on-demand commercial credit platform designed to empower commerce for businesses. The company's on-demand commercial credit platform provides short-term financing to small businesses with additional credit and flexible repayment terms to pay their suppliers, enabling sellers to implement or expand e-commerce capabilities, close more deals, increase average order value, and de-risk themselves from the collections process.</t>
  </si>
  <si>
    <t>Consumer Finance*, Financial Software</t>
  </si>
  <si>
    <t>business equipment, business finance, online financing, payment and processing vertical, short term financing, working capital finance</t>
  </si>
  <si>
    <t>www.behalf.com</t>
  </si>
  <si>
    <t>2014: 30, 2018: 90</t>
  </si>
  <si>
    <t>43835-05P</t>
  </si>
  <si>
    <t>Benjy Feinberg</t>
  </si>
  <si>
    <t>benjy@behalf.com</t>
  </si>
  <si>
    <t>+1 (646) 561-8544</t>
  </si>
  <si>
    <t>PO Box 1804</t>
  </si>
  <si>
    <t>10159</t>
  </si>
  <si>
    <t>+1 (877) 943-9962</t>
  </si>
  <si>
    <t>marketing@behalf.com</t>
  </si>
  <si>
    <t>The company raised an undisclosed amount of Series C1 venture funding from Visa Ventures in July, 2018.</t>
  </si>
  <si>
    <t>E.Man, Maverick Ventures Israel, MissionOG, Ron Suber, Sequoia Capital Israel, Soros Fund Management, Spark Capital, Victory Park Capital, Vintage Investment Partners, Viola Credit, Viola Growth, Visa Ventures</t>
  </si>
  <si>
    <t>E.Man(www.e-man.co.uk), Maverick Ventures Israel(www.maverick.vc), MissionOG(www.missionog.com), Spark Capital(www.sparkcapital.com), Victory Park Capital(www.victoryparkcapital.com), Vintage Investment Partners(www.vintage-ip.com), Viola Credit(www.ViolaCredit.com)</t>
  </si>
  <si>
    <t>Maverick Ventures Israel(Debt Financing), MissionOG(Debt Financing), Sequoia Capital(Debt Financing), Shenhav &amp; Co. Advocates &amp; Notary(Legal Advisor), Soros Fund Management(Debt Financing), Spark Capital(Debt Financing), Victory Park Capital(Debt Financing), Viola Credit(Debt Financing), Western Technology Investment(Debt Financing)</t>
  </si>
  <si>
    <t>100918-81</t>
  </si>
  <si>
    <t>Beeswax</t>
  </si>
  <si>
    <t>Ogury, AppNexus, Meteora, SteelHouse, AdRoll, Livefyre, Genesis Media, AdGear, Simpli.fi, Geniee, Kapost, comScore, Adello, DataXu, Terminus, Q1Media, ComQi, OwnerIQ, Turn, Adsmovil, Spongecell, PubMatic, Storetail Marketing Services, Perch Interactive, Adelphic, NetSeer, MediaMath, StrikeAd, Bidstalk, StackAdapt, Sizmek, Contently, FreeWheel Media, Criteo, Innova (Content Marketing), Skyword, SpotX, Percolate, Kiip, Sojern, Tapad, Centro, Vendemore, InMobi, Yieldify, The Trade Desk, Vibrant (Media), Kwanzoo, Triblio, YuMe, Rocket Fuel, iPinYou Interactive, Radius (Database Software), Innovid, RichRelevance, 33Across, Smartclip Holding, Art of Click, Nosto, Teads, Feedburner, Clicksor, Smaato, Affinity, ConvertMedia, Caligo Technologies, i.Predictus, Ooyala, Chartboost, MobYD, Vungle, RadiumOne, Demandbase, Ve Global UK, RetailNext, NimbleCommerce, ReTargeter, Millennial Media, Infer, Virool, Unruly, Mixpo, StickyADS.tv, True Influence, Metamarkets, Altitude Digital, Rubicon Project, HoneyComb</t>
  </si>
  <si>
    <t>Provider of an advertising platform designed to combine and customize technologies from the programmatic ecosystem. The company's platform provides Bidder-as-a-Service to control programmatic advertisements without writing code and filters traffic for each individual advertiser based on the specific needs of their business, enabling enterprise customers to buy advertising space on websites, mobile applications and video players at an affordable price.</t>
  </si>
  <si>
    <t>advertising buy, advertising information, advertising technology, data information, programmatic advertising service, programmatic advertising technology</t>
  </si>
  <si>
    <t>www.beeswax.com</t>
  </si>
  <si>
    <t>2015: 6, 2019: 65</t>
  </si>
  <si>
    <t>44145-55P</t>
  </si>
  <si>
    <t>Ari Paparo</t>
  </si>
  <si>
    <t>info@beeswax.com</t>
  </si>
  <si>
    <t>The company raised $15 million of Series B venture funding in a deal led by RRE Ventures, Foundry Group and Amasia on January 22, 2019, putting the company's pre-money valuation at $85 million. You &amp; Mr Jones Brandtech Ventures also participated in the round. The company plans to use the investment to double head count this year in the U.S. and Europe and potentially hire its first employees in the Asia-Pacific Region.</t>
  </si>
  <si>
    <t>Amasia, Auren Hoffman, David Rosenblatt, Doug Knopper, Foundry Group, Grape Arbor VC, Highland Capital Partners, Jim Payne, Jonah Goodhart, Joseph Zawadzki, Lerer Hippeau, Noah Goodhardt, Revel Partners, RRE Ventures, SV Angel, You &amp; Mr Jones Brandtech Ventures</t>
  </si>
  <si>
    <t>Amasia(www.amasia.vc), Foundry Group(www.foundrygroup.com), Grape Arbor VC(www.grapearborvc.com), Highland Capital Partners(www.hcp.com), Lerer Hippeau(www.lererhippeau.com), Revel Partners(www.revelpartners.com), RRE Ventures(www.rre.com), SV Angel(www.svangel.com)</t>
  </si>
  <si>
    <t>Square 1 Bank(Advisor: General)</t>
  </si>
  <si>
    <t>226732-78</t>
  </si>
  <si>
    <t>BeerBox</t>
  </si>
  <si>
    <t>Provider of an IoT vending device intended to eliminate lines for beers. The company's device elevates beer can out of the machine and even opens the can for users at entertainment-led and outdoor occasions and accepts payments through credit card and apple way, enabling users to get beers quickly and easily.</t>
  </si>
  <si>
    <t>vending machine, vending product, vending system</t>
  </si>
  <si>
    <t>www.gobeerbox.com</t>
  </si>
  <si>
    <t>125 West 24th Street</t>
  </si>
  <si>
    <t>+1 (646) 883-5922</t>
  </si>
  <si>
    <t>hello@gobeerbox.com</t>
  </si>
  <si>
    <t>The company joined ZX Ventures as part of the 2016 cohort.</t>
  </si>
  <si>
    <t>58149-73</t>
  </si>
  <si>
    <t>Beer Hawk</t>
  </si>
  <si>
    <t>Online retailer of beer. The company has a stock of more than 400 delicious ales and offers free and fast delivery and a dedicated sommelier service to its customers.</t>
  </si>
  <si>
    <t>ales, beer, beer retailer, specialty beer</t>
  </si>
  <si>
    <t>www.beerhawk.co.uk</t>
  </si>
  <si>
    <t>54270-46P</t>
  </si>
  <si>
    <t>Mark Roberts</t>
  </si>
  <si>
    <t>Co-Founder, Director &amp; Board Member</t>
  </si>
  <si>
    <t>mark@beerhawk.co.uk</t>
  </si>
  <si>
    <t>+44 (0)14 2352 5750</t>
  </si>
  <si>
    <t>Wetherby, United Kingdom</t>
  </si>
  <si>
    <t>Unit 16 Ash Way</t>
  </si>
  <si>
    <t>Thorp Arch Industrial Estate</t>
  </si>
  <si>
    <t>Wetherby</t>
  </si>
  <si>
    <t>LS23 7FA</t>
  </si>
  <si>
    <t>info@beerhawk.co.uk</t>
  </si>
  <si>
    <t>The company was acquired by Zx Ventures through an LBO on February 29, 2016 for an undisclosed sum. The deal with Zx Ventures would enable the company to provide even more support to the breweries, partners and suppliers they work with.</t>
  </si>
  <si>
    <t>107508-07</t>
  </si>
  <si>
    <t>Beekeeper</t>
  </si>
  <si>
    <t>RedBooth, Staffbase, SocialChorus (Communication Platform), Slack, Lua (Communication Software), Crew App, Podio, StaffConnect (Communication Software), Jive Software, Zinc, Moxtra, Red e App, Pypestream, Yammer, HipChat, SkyGiraffe, Dropbox, SocialText, Igloo Software, Speakap, Bonfyre, Waggl, Sitrion, Structural, Basecamp, BetterWorks, Leankor</t>
  </si>
  <si>
    <t>Provider of a digital workplace application intended to integrate multiple operational systems and communication channels in one secure hub. The company's application is accessible from desktop and mobile devices that helps to communicate in real time, exchange information, share files and assign tasks instantly using group chats, or predetermined communication streams, enabling clients to connect or build their own custom connectors.</t>
  </si>
  <si>
    <t>communication channel, communication stream, digital workplace, real time, shares files, workplace application</t>
  </si>
  <si>
    <t>www.beekeeper.io</t>
  </si>
  <si>
    <t>2015: 12, 2016: 41, 2017: 50, 2018: 100</t>
  </si>
  <si>
    <t>91568-53P</t>
  </si>
  <si>
    <t>Cristian Grossmann</t>
  </si>
  <si>
    <t>cristian@beekeeper.io</t>
  </si>
  <si>
    <t>+41 (0)44 271 2816</t>
  </si>
  <si>
    <t>Hönggerstrasse 65</t>
  </si>
  <si>
    <t>8037</t>
  </si>
  <si>
    <t>contact@beekeeper.ch</t>
  </si>
  <si>
    <t>The company raised $13 million of Series A venture funding in a deal led by Keen Venture Partners and Atomico on September 11, 2018. Edenred Capital Partners, Swiss Post, Fyrfly Venture Partners, Investiere and Samsung NEXT Ventures also participated in the round. The company intends to use the funds to continue to invest in market growth, innovation, and its information security management system to maintain their ISO 27001:2013 certification, and to further evolve its Marketplace and plug-in ecosystem.</t>
  </si>
  <si>
    <t>Atomico, btov Partners, Christopher Obereder, Edenred Capital Partners, Fyrfly Venture Partners, Hammer Team Digital, Investiere, Keen Venture Partners, Niklas Östberg, Niklas Zennström, Plug and Play Tech Center, PolyTech Ventures, Samsung NEXT Ventures, Swiss Post, Swisscom Ventures, Venture Kick</t>
  </si>
  <si>
    <t>Atomico(www.atomico.com), btov Partners(www.btov.vc), Edenred Capital Partners(www.edenredcapitalpartners.com), Fyrfly Venture Partners(www.fyrfly.vc), Hammer Team Digital(www.hammerteam.ch/hammer-digital), Investiere(www.investiere.ch), Keen Venture Partners(www.keenventurepartners.com), Plug and Play Tech Center(www.plugandplaytechcenter.com), PolyTech Ventures(www.polytechventures.ch), Samsung NEXT Ventures(www.samsungnext.com), Swiss Post(www.post.ch/en), Venture Kick(www.venturekick.ch)</t>
  </si>
  <si>
    <t>RainMaker Securities(Advisor: General)</t>
  </si>
  <si>
    <t>RainMaker Securities(Advisor: General), Silicon Legal Strategy(Legal Advisor)</t>
  </si>
  <si>
    <t>55540-27</t>
  </si>
  <si>
    <t>Bee trend</t>
  </si>
  <si>
    <t>Betrend</t>
  </si>
  <si>
    <t>Developer of software services for coordinated mobile user marketing campaigns. The company provides SaaS services for site creation, mass emailing, market research, ecommerce and other services targeting mobile users.</t>
  </si>
  <si>
    <t>coordinated mobile, market research, marketing campaign, saas services, site creation</t>
  </si>
  <si>
    <t>www.betrend.com</t>
  </si>
  <si>
    <t>68104-45P</t>
  </si>
  <si>
    <t>Hideaki Inoue</t>
  </si>
  <si>
    <t>hinoue@betrend.com</t>
  </si>
  <si>
    <t>+81 (0)35 549 2380</t>
  </si>
  <si>
    <t>Akasaka, Minato-ku</t>
  </si>
  <si>
    <t>2-22-24 Akasaka Izumi Building 3F</t>
  </si>
  <si>
    <t>+81 (0)35 549 2381</t>
  </si>
  <si>
    <t>SunBridge Partners's stake in the company was acquired by Hideaki Inoue and Takaaki Nagayama for an undisclosed amount on December 9, 2010.</t>
  </si>
  <si>
    <t>FujiFilm, ORIX Growth Capital, SunBridge Partners</t>
  </si>
  <si>
    <t>FujiFilm(www.fujifilm.com), SunBridge Partners(www.sunbridgepartners.com)</t>
  </si>
  <si>
    <t>122370-13</t>
  </si>
  <si>
    <t>Bedrock Automation</t>
  </si>
  <si>
    <t>Developer of industrial control systems for cyber security. The company uses electro-magnetic backplane architecture and embedded cyber security for system performance.</t>
  </si>
  <si>
    <t>Electronic Components, Security Services (B2B)*</t>
  </si>
  <si>
    <t>Cybersecurity, Industrials, SaaS, TMT</t>
  </si>
  <si>
    <t>automation application, power supply, software application</t>
  </si>
  <si>
    <t>www.bedrockautomation.com</t>
  </si>
  <si>
    <t>110990-08P</t>
  </si>
  <si>
    <t>Bob Honor</t>
  </si>
  <si>
    <t>bob.honor@bedrockautomation.com</t>
  </si>
  <si>
    <t>+1 (781) 821-0280</t>
  </si>
  <si>
    <t>160 Rio Robles</t>
  </si>
  <si>
    <t>95134</t>
  </si>
  <si>
    <t>info@bedrockautomation.com</t>
  </si>
  <si>
    <t>The company joined Maxim Ventures and received an undisclosed amount of funding.</t>
  </si>
  <si>
    <t>51298-48</t>
  </si>
  <si>
    <t>Beautylish</t>
  </si>
  <si>
    <t>Julep, Memebox, SkinStore.com, Birchbox, DermStore, BH Cosmetics, Bellabox, Younique, Thrive Causemetics, Beauticontrol, MAC Cosmetics, Hermo Creative, Cult Beauty, Sleek MakeUP</t>
  </si>
  <si>
    <t>Operator of an online cosmetic retail platform designed to improve the way women discover and learn about the beauty products they use everyday. The company's platform offers a variety of cosmetic and beauty products from a variety of brands with tutorials, tips and tricks and product reviews, enabling women to choose and shop cosmetic products at discounted rates.</t>
  </si>
  <si>
    <t>Beauty, E-Commerce, Mobile</t>
  </si>
  <si>
    <t>beauty product, beauty vertical, cosmetic website, cosmetics, cosmetics retail, cosmetics retail platform, social commerce</t>
  </si>
  <si>
    <t>www.beautylish.com</t>
  </si>
  <si>
    <t>2014: 27, 2016: 53</t>
  </si>
  <si>
    <t>36940-78P</t>
  </si>
  <si>
    <t>Vu Nguyen</t>
  </si>
  <si>
    <t>vu@beautylish.com</t>
  </si>
  <si>
    <t>+1 (877) 992-5474</t>
  </si>
  <si>
    <t>Suite 21334</t>
  </si>
  <si>
    <t>info@beautylish.com</t>
  </si>
  <si>
    <t>The company raised $4.81 million of Series C venture funding from AMOREPACIFIC Ventures and other undisclosed investors on August 29, 2018, putting the company's pre-money valuation at $100 million.</t>
  </si>
  <si>
    <t>4G Ventures, Aayush Phumbhra, AMOREPACIFIC Ventures, Benjamin Ling, Bertelsmann Digital Media Investments, CAA Ventures, Costella Kirsch, David Wu, DG Incubation, Dror Berman, Elad Gil, Harbor Pacific Capital, Ignition Partners, Innovation Endeavors, iSG Investment Works, James Hong, Jeremy Stoppelman, Keith Rabois, Lightbank, Mariam Naficy, Max Levchin, Naval Ravikant, Othman Laraki, Philip Kaplan, Presidio Partners, Ronald Conway, Steve Chen, SV Angel</t>
  </si>
  <si>
    <t>AMOREPACIFIC Ventures(ventures.amorepacific.com), Bertelsmann Digital Media Investments(www.bdmifund.com), CAA Ventures(ventures.caa.com), Costella Kirsch(www.costellakirsch.com), David Wu(www.david-wu.com), DG Incubation(www.dgincubation.co.jp), Ignition Partners(www.ignitionpartners.com), Innovation Endeavors(www.innovationendeavors.com), iSG Investment Works(www.isgs-iw.com), Lightbank(www.lightbank.com), Max Levchin(www.levchin.com), Presidio Partners(www.presidiopartners.com), SV Angel(www.svangel.com)</t>
  </si>
  <si>
    <t>Cooley(Legal Advisor), Fenwick &amp; West(Legal Advisor), Latham &amp; Watkins(Legal Advisor)</t>
  </si>
  <si>
    <t>97591-33</t>
  </si>
  <si>
    <t>Beautycon Media</t>
  </si>
  <si>
    <t>Beautycon</t>
  </si>
  <si>
    <t>FabFitFun</t>
  </si>
  <si>
    <t>Developer of a fashion and beauty community portal created to connect women with beauty brands and creators. The company's portal connects a diverse global community of content creators, celebrities, fans, and brands to come together to celebrate using make-up as a tool for self-expression and share the enthusiasm with a focus on featuring innovators of all ages, races, and identities, enabling users to get latest fashion updates and stay connected.</t>
  </si>
  <si>
    <t>beauty contents, beauty vertical, ecommerce and digital content, fashion community portal, fashion portal</t>
  </si>
  <si>
    <t>www.beautycon.com</t>
  </si>
  <si>
    <t>79457-95P</t>
  </si>
  <si>
    <t>Moj Mahdara</t>
  </si>
  <si>
    <t>moj@beautycon.com</t>
  </si>
  <si>
    <t>+1 (323) 829-8742</t>
  </si>
  <si>
    <t>1161 Vine Street</t>
  </si>
  <si>
    <t>info@beautycon.com</t>
  </si>
  <si>
    <t>The company raised $6 million of venture funding in a deal led by New Voices on July 28, 2018. Other undisclosed investors participated in this round.</t>
  </si>
  <si>
    <t>A&amp;E Television Networks, BBG Ventures, C Ventures, CAA Ventures, Eric Greenspan, Fullscreen Media, Gleam Futures, Guy Oseary, Halogen Ventures, Hearst Communications, James Lassiter, James Pallotta, Jay Brown, Live Nation Labs, L'Oreal, Macromac Ventures, MainStreet Advisors, Miroma Ventures, New Voices, QueensBridge Venture Partners, Rachel Rosenzweig, Raptor Group, Storm Model Management, Superfly Advertising, Third Wave Digital, Troy Carter, TYLT Ventures, Upshift Capital</t>
  </si>
  <si>
    <t>A&amp;E Television Networks(www.aenetworks.com), BBG Ventures(www.bbgventures.com), C Ventures(www.c-venturesfund.com), CAA Ventures(ventures.caa.com), Fullscreen Media(www.fullscreenmedia.co), Gleam Futures(www.gleamfutures.com), Halogen Ventures(www.halogenvc.com), Hearst Communications(www.hearst.com), Jay Brown(RocNation.com), L'Oreal(www.loreal.com), MainStreet Advisors(www.mainstreetadv.com), Miroma Ventures(www.miromaventures.com), New Voices(www.newvoicesfund.com), QueensBridge Venture Partners(www.qbvp.com), Raptor Group(www.raptorgroup.com), Storm Model Management(www.stormmanagement.com), Third Wave Digital(www.thirdwavedigital.vc), TYLT Ventures(www.tyltventures.com), Upshift Capital(www.upshiftcapital.com)</t>
  </si>
  <si>
    <t>Hawke Media(Consulting), Wilson Sonsini Goodrich &amp; Rosati(Legal Advisor)</t>
  </si>
  <si>
    <t>55497-88</t>
  </si>
  <si>
    <t>Beamr</t>
  </si>
  <si>
    <t>ICVT</t>
  </si>
  <si>
    <t>JW Player, MainStreaming, Telestream</t>
  </si>
  <si>
    <t>Developer of a video optimization technology designed to reach out to more customers with higher quality video. The company's technology helps to reduce video bitrate and photo file size without affecting quality, enabling users to reduce the distribution costs.</t>
  </si>
  <si>
    <t>Automation/Workflow Software, Movies, Music and Entertainment, Multimedia and Design Software*</t>
  </si>
  <si>
    <t>media optimization, reduced bitrate, streaming video, video optimization, video streaming tools</t>
  </si>
  <si>
    <t>www.beamr.com</t>
  </si>
  <si>
    <t>2014: 20, 2015: 20, 2016: 80, 2018: 80</t>
  </si>
  <si>
    <t>55494-28P</t>
  </si>
  <si>
    <t>Sharon Carmel</t>
  </si>
  <si>
    <t>sharon@beamr.com</t>
  </si>
  <si>
    <t>23 Menachem Begin Road</t>
  </si>
  <si>
    <t>66183</t>
  </si>
  <si>
    <t>info@beamr.com</t>
  </si>
  <si>
    <t>The company raised $4 million of Series C venture funding from Verizon Ventures on December 6, 2016. Mybulb also participated in the round. The company will use the funding to accelerate development of services featuring its patented perceptual quality measure technology. Previously, the company raised $15 million of venture funding in a deal led by Disruptive on March 29, 2016. Innovation Endeavors Israel and Innovation Endeavors also participated in the round.</t>
  </si>
  <si>
    <t>Disruptive Technologies Venture Capital, Innovation Endeavors, Marker, Mybulb, Verizon Ventures</t>
  </si>
  <si>
    <t>Disruptive Technologies Venture Capital(www.disruptivevc.com), Innovation Endeavors(www.innovationendeavors.com), Marker(www.marker-llc.com), Mybulb(www.mybulb.vc), Verizon Ventures(www.verizonventures.com)</t>
  </si>
  <si>
    <t>Ridgecrest Capital Partners(Advisor: General)</t>
  </si>
  <si>
    <t>87979-15</t>
  </si>
  <si>
    <t>Beamery</t>
  </si>
  <si>
    <t>Seed.Jobs</t>
  </si>
  <si>
    <t>Hiretual, ENGAGE Talent, SmashFly Technologies, Mindscope, Bob (People Management Platform), SmartRecruiters, Hireology, Lever (Recruitment Software), FurstPerson, Avature USA, COMPAS Technology, TextRecruit, Bond International Software, ZipRecruiter, Greenhouse Software, Gild, JobScience, JazzHR, iCIMS, Symphony Talent, Ascendify, Avionté, Phenom People, Connectifier, Entelo, GermanPersonnel, PeopleFluent, TalentBin, CareerBuilder, Restless Bandit, Workable, Talent Rover, Jibe, SugarCRM, PowWowHR, IntraWorlds, SAS Institute, Jobvite, PeopleMatter, Applied (Employee Recruitment Platform), TalentPool, Yello, Jobhuk, Reflik, BambooHR, Guru.com, Welcome to the Jungle</t>
  </si>
  <si>
    <t>Provider of a talent engagement platform intended to help enterprises to attract, identify and engage candidates on one unified platform. The company's platform helps companies to make smart hiring decisions by deploying large-scale data-mining, 360-degree view of each candidate relationship and machine learning algorithms, enabling them to determine which prospects are most interested, in order to better nurture top candidates.</t>
  </si>
  <si>
    <t>Artificial Intelligence &amp; Machine Learning, Big Data, HR Tech, Industrials, TMT</t>
  </si>
  <si>
    <t>candidate relationship software, hr automation, recruiting software, talent acquisition</t>
  </si>
  <si>
    <t>www.beamery.com</t>
  </si>
  <si>
    <t>2014: 11, 2016: 13, 2017: 25</t>
  </si>
  <si>
    <t>79767-10P</t>
  </si>
  <si>
    <t>Abakar Saidov</t>
  </si>
  <si>
    <t>Co-Founder, Chief Executive Officer, Board Member</t>
  </si>
  <si>
    <t>abakar@beamery.com</t>
  </si>
  <si>
    <t>+44 (0)20 3289 3837</t>
  </si>
  <si>
    <t>2nd Floor, Block A Stapleton House</t>
  </si>
  <si>
    <t>110 Clifton Street</t>
  </si>
  <si>
    <t>EC2A 4HT</t>
  </si>
  <si>
    <t>info@beamery.com</t>
  </si>
  <si>
    <t>The company raised $5 million of venture funding from Workday Ventures on February 21, 2019. Prior to that, the company raised $28 million of Series B venture funding in a deal led by M12, EQT and EQT Ventures on June 20, 2018. Edenred Capital Partners, Index Ventures (UK) and AngelPad also participated in the round.</t>
  </si>
  <si>
    <t>AngelPad, Capital Factory, Edenred Capital Partners, EQT, EQT Ventures, GP Ventures, Grupa Pracuj, Index Ventures (UK), LocalGlobe, M12, Oxford Accelerator, Thomas Korte, Workday Ventures</t>
  </si>
  <si>
    <t>AngelPad(www.angelpad.com), Capital Factory(www.capitalfactory.com), Edenred Capital Partners(www.edenredcapitalpartners.com), EQT(www.eqtpartners.com), EQT Ventures(www.eqtventures.com), GP Ventures(gp-ventures.com), Grupa Pracuj(www.grupapracuj.pl), Index Ventures (UK)(www.indexventures.com), LocalGlobe(www.localglobe.vc), M12(www.m12.vc), Oxford Accelerator(www.oxfordaccelerator.com), Thomas Korte(www.thomaskorte.com)</t>
  </si>
  <si>
    <t>Seedmatch(Lead Manager or Arranger), Wilson Sonsini Goodrich &amp; Rosati(Legal Advisor)</t>
  </si>
  <si>
    <t>231141-79</t>
  </si>
  <si>
    <t>Beacon (Therapy)</t>
  </si>
  <si>
    <t>Developer of a digital therapy platform designed to overcome mental health concerns. The company's portal provides digitally-delivered cognitive behavioral therapy (CBT) with the support of a dedicated therapist all along the way, providing users with evidence-based personalized care to reduce barriers to treatment of mental health anytime, anywhere and at their own pace.</t>
  </si>
  <si>
    <t>Other Healthcare Technology Systems, Other Software*</t>
  </si>
  <si>
    <t>HealthTech, LOHAS &amp; Wellness, TMT</t>
  </si>
  <si>
    <t>digital health therapy provider, digital mental health solutions, digital therapist, digital therapy assistant, therapy provider</t>
  </si>
  <si>
    <t>www.mindbeacon.com</t>
  </si>
  <si>
    <t>CBT Associates</t>
  </si>
  <si>
    <t>14705-11P</t>
  </si>
  <si>
    <t>Samuel Duboc</t>
  </si>
  <si>
    <t>sduboc@edgestone.com</t>
  </si>
  <si>
    <t>+1 (416) 860-3773</t>
  </si>
  <si>
    <t>M5P 2N7</t>
  </si>
  <si>
    <t>The company raised an undisclosed amount of Series A venture funding from TELUS Ventures, Manulife Capital and Elkland Capital on September 25, 2018. Strauss Interests also participated in the round.</t>
  </si>
  <si>
    <t>Bryker Capital, Elkland Capital, Manulife Capital, Strauss Interests, TELUS Ventures</t>
  </si>
  <si>
    <t>Bryker Capital(www.bryker.com), Manulife Capital(www.manulifecapital.com), TELUS Ventures(ventures.telus.com)</t>
  </si>
  <si>
    <t>55095-49</t>
  </si>
  <si>
    <t>BaySpec</t>
  </si>
  <si>
    <t>Xenics</t>
  </si>
  <si>
    <t>Manufacturer of advanced spectral instruments designed to offer reliable and high-performance electrical devices. The company's advanced spectral instruments operate on OCI-UAV platform and are boosted with automation program, enabling organizations to increase their productivity.</t>
  </si>
  <si>
    <t>Automation/Workflow Software, Electrical Equipment, Industrial Supplies and Parts*</t>
  </si>
  <si>
    <t>automation tools, remote device, spectral instruments, spectrometer</t>
  </si>
  <si>
    <t>www.bayspec.com</t>
  </si>
  <si>
    <t>2016: 17</t>
  </si>
  <si>
    <t>46041-67P</t>
  </si>
  <si>
    <t>William Yang</t>
  </si>
  <si>
    <t>Founder, President and Chief Executive Officer</t>
  </si>
  <si>
    <t>wyang@bayspec.com</t>
  </si>
  <si>
    <t>+1 (408) 512-5928</t>
  </si>
  <si>
    <t>1101 McKay Drive</t>
  </si>
  <si>
    <t>+1 (408) 512-5929</t>
  </si>
  <si>
    <t>info@bayspec.com</t>
  </si>
  <si>
    <t>The company received $150,000 in grant funding from National Science Foundation in 2011.</t>
  </si>
  <si>
    <t>CDIB Venture Capital, Cisco Investments, Finisar, H&amp;Q Asia Pacific, Intel Capital, Jefferies' Broadview Technology Group, Kaiyun Group, National Science Foundation, North American Venture Fund II, Viavi Solutions</t>
  </si>
  <si>
    <t>CDIB Venture Capital(www.cdibh.com/enhtml/content/468/2387), Cisco Investments(www.ciscoinvestments.com), Finisar(www.finisar.com), H&amp;Q Asia Pacific(www.hqap.com), Intel Capital(www.intelcapital.com), Jefferies' Broadview Technology Group(www.broadview.com), National Science Foundation(seedfund.nsf.gov), Viavi Solutions(www.viavisolutions.com)</t>
  </si>
  <si>
    <t>125087-77</t>
  </si>
  <si>
    <t>Bayshore Networks</t>
  </si>
  <si>
    <t>Secure Thingz, Nozomi Networks, Karamba Security, Radiflow, Cyberbit, Indegy, Bastille Networks, Security Innovation, Seculert, Blue Cedar, Mocana, Pulse Secure, Cylance, NextNine, CyberX, Claroty, CrowdStrike, DearBytes, Axonius, Blueliv, Siemplify, Veracode, Exabeam, Recorded Future, Dellfer, GreatHorn, Barkly, SCADAfence, Blackberry, ExtraHop Networks, TowerSec, LightCyber, Wandera, Webroot, SecurityMatters, NexDefense, Lynx Software Technologies, PAS Global, Lookout, Fidelis Cybersecurity, ThetaRay, Nexthink, Phantom Cyber, Green Hills Software, SecureWorks, Cybereason, QSight IT, CounterTack, Demisto, Symantec, LookingGlass Cyber Solutions, Intrinsic-ID, Workspot, TrapX Security, Argus Cyber Security, Carbon Black</t>
  </si>
  <si>
    <t>Developer of cyber security software for the industrial Internet of things (IoT) designed to protect operational assets from internal and external cyber-threats. The company's cloud-based Bayshore IT/OIT Gateway platform addresses the IT/OT Convergence Gap by creating a secure gateway between operational and business networks while allowing operational data to be safely shared with business systems for monitoring, analysis, and other innovative business applications enabling safe and secure integration of IT and OT networks, systems, data, and infrastructure.</t>
  </si>
  <si>
    <t>cloud-based software, cyber attack, cyber security software</t>
  </si>
  <si>
    <t>www.bayshorenetworks.com</t>
  </si>
  <si>
    <t>162912-70P</t>
  </si>
  <si>
    <t>Kevin Senator</t>
  </si>
  <si>
    <t>kevin@bayshorenetworks.com</t>
  </si>
  <si>
    <t>+1 (301) 493-5424</t>
  </si>
  <si>
    <t>4505 Emperor Boulevard</t>
  </si>
  <si>
    <t>27703</t>
  </si>
  <si>
    <t>+1 (301) 493-4913</t>
  </si>
  <si>
    <t>The company raised $9 million of Series B venture funding from Benhamou Global Ventures, Samsung NEXT Ventures and Trident Capital on March 26, 2019, putting the company's pre-money valuation at $26 million.</t>
  </si>
  <si>
    <t>Benhamou Global Ventures, ForgePoint Capital, Houston Angel Network, Samsung NEXT Ventures, Trident Capital, Yokogawa Electric</t>
  </si>
  <si>
    <t>Benhamou Global Ventures(www.benhamouglobalventures.com), ForgePoint Capital(www.forgepointcap.com), Houston Angel Network(www.houstonangelnetwork.org), Samsung NEXT Ventures(www.samsungnext.com), Trident Capital(www.tridentcap.com), Yokogawa Electric(www.yokogawa.com)</t>
  </si>
  <si>
    <t>Chase Bank(General Business Banking), Cooley(Legal Advisor)</t>
  </si>
  <si>
    <t>163951-48</t>
  </si>
  <si>
    <t>Bayeco</t>
  </si>
  <si>
    <t>Gulf Environment Technology</t>
  </si>
  <si>
    <t>Provider of industrial pollution control applications designed to cater to the large scale oil and gas refinery industry. The company's applications provides air pollution control services on industrial VOC treatment, tank depot green services, marine terminal vapor recovery system and integrated environmental services, enabling petrochemical industry to control volatile organic pollutants.</t>
  </si>
  <si>
    <t>Environmental Services (B2B)*, Other Commercial Services</t>
  </si>
  <si>
    <t>green solutions, industrial pollution control, vapor recovery system, voc treatment</t>
  </si>
  <si>
    <t>www.bayeco.cn</t>
  </si>
  <si>
    <t>143693-65P</t>
  </si>
  <si>
    <t>Wei Wei</t>
  </si>
  <si>
    <t>Chief Executive Officer, General Manager and Chairman</t>
  </si>
  <si>
    <t>wei.wei@bayeco.cn</t>
  </si>
  <si>
    <t>+86 (0)10 8487 2060</t>
  </si>
  <si>
    <t>5th floor, Beijing International Convention Center</t>
  </si>
  <si>
    <t>Number 8 East Beichen Road</t>
  </si>
  <si>
    <t>100101</t>
  </si>
  <si>
    <t>+86 (0)10 8289 6405</t>
  </si>
  <si>
    <t>info@bayeco.cn</t>
  </si>
  <si>
    <t>The company received debt financing from Citi Commercial Bank China on an undisclosed date. Previously, the company raised an undisclosed amount of Series D venture funding from Next47 on June 5, 2014.</t>
  </si>
  <si>
    <t>Citi Commercial Bank China(Debt Financing)</t>
  </si>
  <si>
    <t>64954-90</t>
  </si>
  <si>
    <t>Bay Dynamics</t>
  </si>
  <si>
    <t>RiskSense, Saviynt, CounterTack, Apvera, Panaseer, Tanium, Icebrg, Interset, Illusive Networks, Kenna Security, Pandora Labs, Cybereason, Niara, Skyhigh Networks, OneLogin, E8 Security, Nyotron Information Security, Endgame, RedSeal, EnSilo, McAfee, Lastline, Minerva Labs, CrowdStrike, Tenable, LogRhythm, Carbon Black, Exabeam, Observable Networks, Forcepoint, SecureWorks, NopSec, Ziften, RedOwl Analytics, ThreatConnect, Cymmetria, Dtex Systems, Rapid7, Skybox Security, Wandera, SentinelOne, Securonix, Cylance, LookingGlass Cyber Solutions, MixMode, SecurityMetrics, Evident.IO, Sqrrl, Haystax Technology, Cyberbit, ThreatQuotient, HAWK Network Defense, Netskope, ObserveIT, GuruCul, EclecticIQ, Centrify, Prelert, Veriato, LightCyber, iboss (Cybersecurity), SecureAuth, Morphisec</t>
  </si>
  <si>
    <t>Provider of a cyber risk analytics software designed to reduce cyber risk. The company's Risk Fabric software platform calculates the value at risk associated with specific threats and vulnerabilities, that when mitigated, measurably reduces cyber risk exposure, enabling enterprises to continuously quantify the financial impact of cyber risk based on actual conditions detected in their environment.</t>
  </si>
  <si>
    <t>information security, predictive analytics software, security intelligence, sensitive information assets</t>
  </si>
  <si>
    <t>www.baydynamics.com</t>
  </si>
  <si>
    <t>2014: 51, 2016: 81</t>
  </si>
  <si>
    <t>72773-29P</t>
  </si>
  <si>
    <t>Feris Rifai</t>
  </si>
  <si>
    <t>feris.rifai@baydynamics.com</t>
  </si>
  <si>
    <t>+1 (415) 912-3130</t>
  </si>
  <si>
    <t>info@baydynamics.com</t>
  </si>
  <si>
    <t>The company raised $23 million of Series B venture funding in a deal led by Carrick Capital Partners on July 9, 2016, putting the pre-money valuation at $69 million. Comcast Ventures and The Dcode Group also participated. The funding will be used to accelerate Bay Dynamics' national and global growth, go-to-market strategy and drive further innovation to help companies measure, communicate and reduce cyber risk.</t>
  </si>
  <si>
    <t>Carrick Capital Partners, Comcast Ventures, The Dcode Group</t>
  </si>
  <si>
    <t>Carrick Capital Partners(www.carrickcapitalpartners.com), Comcast Ventures(www.comcastventures.com), The Dcode Group(www.dcode.co)</t>
  </si>
  <si>
    <t>51367-15</t>
  </si>
  <si>
    <t>BaubleBar</t>
  </si>
  <si>
    <t>eight1six</t>
  </si>
  <si>
    <t>Majorica, Kendra Scott, Charming Charlie, EvesAddiction.com</t>
  </si>
  <si>
    <t>Provider of an e-commerce jewelry platform. The company's e-commerce jewelry platform offers high-quality jewelry at affordable prices, enabling users to stay ahead of the trends with an unparalleled selection of chic fashion jewelry.</t>
  </si>
  <si>
    <t>ecommerce jewelry platform, fashion jewelry, jewelry retailer, online jewelry</t>
  </si>
  <si>
    <t>www.baublebar.com</t>
  </si>
  <si>
    <t>2016: 150</t>
  </si>
  <si>
    <t>36330-67P</t>
  </si>
  <si>
    <t>Daniella Yacobovsky</t>
  </si>
  <si>
    <t>daniella@baublebar.com</t>
  </si>
  <si>
    <t>+1 (646) 846-2044</t>
  </si>
  <si>
    <t>1115 Broadway</t>
  </si>
  <si>
    <t>The company received an undisclosed amount of debt financing in the form of a lien from Xerox Financial Services on March 26, 2018.</t>
  </si>
  <si>
    <t>Accel, Aspect Ventures, Burch Creative Capital, Comcast Ventures, DSW, Edward Zimmerman, Founder Collective, Grape Arbor VC, Greycroft, Hubert Burda Media, Individual Investor, Jonathan Teo, Lerer Hippeau, Simon Venture Group, TriplePoint Capital</t>
  </si>
  <si>
    <t>Accel(www.accel.com), Aspect Ventures(www.aspectventures.com), Burch Creative Capital(www.burchcreativecapital.com), Comcast Ventures(www.comcastventures.com), DSW(www.designerbrands.com), Founder Collective(www.foundercollective.com), Grape Arbor VC(www.grapearborvc.com), Greycroft(www.greycroft.com), Hubert Burda Media(www.burda.com), Jonathan Teo(generalcatalyst.com/team/jonathan-teo), Lerer Hippeau(www.lererhippeau.com), Simon Venture Group(simonventuregroup.com), TriplePoint Capital(www.triplepointcapital.com)</t>
  </si>
  <si>
    <t>Trinity Capital Investment(Debt Financing), Xerox Financial Services(Debt Financing)</t>
  </si>
  <si>
    <t>223032-43</t>
  </si>
  <si>
    <t>Base Culture</t>
  </si>
  <si>
    <t>The Paleo Box</t>
  </si>
  <si>
    <t>Owner and operator of an online bakery store intended to produce and market all-natural Paleo baked food products. The company's food products are centered around various muffins, almond butter, breads and granola which are gluten free, fat and sugar free containing no added preservative and artificial colors, enabling consumers to to have good sweet snacks which are nourishing.</t>
  </si>
  <si>
    <t>baked product, bakery food, bakery product, bread, confectionery, sweets snacks</t>
  </si>
  <si>
    <t>www.baseculture.com</t>
  </si>
  <si>
    <t>176239-63P</t>
  </si>
  <si>
    <t>Jordann Windschauer</t>
  </si>
  <si>
    <t>jordann@baseculture.com</t>
  </si>
  <si>
    <t>+1 (844) 697-2536 x2001</t>
  </si>
  <si>
    <t>Clearwater, FL</t>
  </si>
  <si>
    <t>5160 140th Avenue North</t>
  </si>
  <si>
    <t>Clearwater</t>
  </si>
  <si>
    <t>33760</t>
  </si>
  <si>
    <t>+1 (844) 697-2536</t>
  </si>
  <si>
    <t>social@baseculture.com</t>
  </si>
  <si>
    <t>The company closed on $250,000 of convertible debt financing on March 22, 2018. Previously, the company raised $2 million of venture funding from Bluestein &amp; Associates and Emil Capital Partners on December 13, 2017. The company is being actively tracked by PitchBook.</t>
  </si>
  <si>
    <t>Bluestein &amp; Associates, Emil Capital Partners, Spiral Sun Ventures</t>
  </si>
  <si>
    <t>Bluestein &amp; Associates(www.bluesteinassociates.com), Emil Capital Partners(www.emilcapitalpartners.com), Spiral Sun Ventures(www.spiralsunventures.com)</t>
  </si>
  <si>
    <t>54793-90</t>
  </si>
  <si>
    <t>BarkBox</t>
  </si>
  <si>
    <t>Woof Gang Bakery, Chewy, PupBox, Surprise My Pet, PetBox</t>
  </si>
  <si>
    <t>Provider of subscription based platform designed to supply treat boxes for dogs. The company's treat boxes are themed boxes which includes innovative toys, all-natural treats and chews, enabling dog owners to give best treats to their dogs.</t>
  </si>
  <si>
    <t>Other Consumer Durables, Specialty Retail*</t>
  </si>
  <si>
    <t>E-Commerce, Pet Technology, TMT</t>
  </si>
  <si>
    <t>dog product, dog toys, pet technology vertical, pet toys, subscription commerce platform, treating boxes</t>
  </si>
  <si>
    <t>www.barkbox.com</t>
  </si>
  <si>
    <t>2013: 30, 2014: 41, 2015: 75, 2016: 100</t>
  </si>
  <si>
    <t>36313-48P</t>
  </si>
  <si>
    <t>Matt Meeker</t>
  </si>
  <si>
    <t>matt@barkbox.com</t>
  </si>
  <si>
    <t>+1 (855) 520-2275</t>
  </si>
  <si>
    <t>221 Canal Street</t>
  </si>
  <si>
    <t>happy@barkbox.com</t>
  </si>
  <si>
    <t>The company raised an undisclosed amount of seed funding from Founders Circle Capital on May 17, 2018.</t>
  </si>
  <si>
    <t>500 Startups, Andrew Chen, August Capital, Bertelsmann Digital Media Investments, BoxGroup, CAA Ventures, Columbia Partners Private Capital, Daher Capital, Dave Morin, David McClure, David Tisch, Founders Circle Capital, Gary Vaynerchuk, Individual Investor, Kevin Colleran, Lerer Hippeau, Michael Katz, Nathaniel Turner, Polaris Partners, Prehype, Resolute Ventures, Rockfish Brand Ventures, RRE Ventures, Slow Ventures, Vast Ventures, Zachary Weinberg</t>
  </si>
  <si>
    <t>500 Startups(www.500.co), Andrew Chen(www.andrewchen.co), August Capital(www.augustcap.com), Bertelsmann Digital Media Investments(www.bdmifund.com), BoxGroup(www.boxgroup.com), CAA Ventures(ventures.caa.com), Columbia Partners Private Capital(www.cpprivatecap.com), Dave Morin(www.davemorin.com), David McClure(www.davemcclure.com), David Tisch(www.davidtisch.com), Founders Circle Capital(www.founderscircle.com), Gary Vaynerchuk(www.garyvaynerchuk.com), Kevin Colleran(facebook.com/kevin), Lerer Hippeau(www.lererhippeau.com), Nathaniel Turner(www.natsturner.com), Polaris Partners(www.polarispartners.com), Prehype(www.prehype.com), Resolute Ventures(www.resolute.vc), RRE Ventures(www.rre.com), Slow Ventures(www.slow.co), Vast Ventures(www.vastvc.com)</t>
  </si>
  <si>
    <t>Montgomery &amp; Company(Advisor: General), Rich Talent Group(Consulting)</t>
  </si>
  <si>
    <t>Bridge Bank(Debt Financing), City National Bank(Debt Financing), WilmerHale(Legal Advisor)</t>
  </si>
  <si>
    <t>95747-50</t>
  </si>
  <si>
    <t>Barefoot Networks</t>
  </si>
  <si>
    <t>Sixnet, ComNet, Cisco Systems, Mettle Networks, Chelsio Communications, Pica8, Plexxi, Hirschmann Automation and Control, Empirix, Qlogic, Pluribus Networks, LiveAction, Corsa, Cumulus Networks, Vasona Networks, Packet Design, Echelon (Business Productivity Software), ConteXtream, XIUS, Mellanox Technologies, GNS3 Technologies, Marvell International, Broadcom, Avago Technologies (R&amp;D Division)</t>
  </si>
  <si>
    <t>Developer of programmable switches intended for networking solutions. The company's technology lifts the logic and algorithms for forwarding plane from hardware into the software along with programmability and performance, enabling network owners and their infrastructure partners to design, optimize and innovate for specific requirements.</t>
  </si>
  <si>
    <t>computer networking service, connectivity product, ethernet switch, hyperscale data center, insights network performance, internet connectivity platform, mega data center, p4, p4-programmable intelligent network, programmable data center, programmable forwarding</t>
  </si>
  <si>
    <t>www.barefootnetworks.com</t>
  </si>
  <si>
    <t>2016: 80, 2019: 180</t>
  </si>
  <si>
    <t>36419-95P</t>
  </si>
  <si>
    <t>Craig Barratt</t>
  </si>
  <si>
    <t>Board Member and Chief Executive Officer</t>
  </si>
  <si>
    <t>craig.barratt@barefootnetworks.com</t>
  </si>
  <si>
    <t>+1 (650) 924-9363</t>
  </si>
  <si>
    <t>4750 Patrick Henry Drive</t>
  </si>
  <si>
    <t>info@barefootnetworks.com</t>
  </si>
  <si>
    <t>The company raised venture funding from Western Digital Capital and Open Field Capital on an undisclosed date.</t>
  </si>
  <si>
    <t>Alibaba Capital Partners, Alphabet, Andreessen Horowitz, Dell Technologies Capital, Digital Horizon Capital, EMC Ventures, Goldman Sachs Principal Strategic Investments, Google Foundation, Hermes Growth Partners, Hewlett Packard Pathfinder, Lightspeed Venture Partners, Open Field Capital, Otonomo Technologies, Sequoia Capital, Tencent Holdings, The Goldman Sachs Group, Western Digital Capital</t>
  </si>
  <si>
    <t>Alibaba Capital Partners(www.alibabacapital.com), Alphabet(www.abc.xyz), Andreessen Horowitz(www.a16z.com), Digital Horizon Capital(www.dh.vc), Google Foundation(www.google.org/foundation.html), Hermes Growth Partners(www.hermesgrowthpartners.com), Hewlett Packard Pathfinder(www.hewlettpackardpathfinder.com), Lightspeed Venture Partners(www.lsvp.com), Open Field Capital(www.ofcap.com), Otonomo Technologies(www.otonomo.io), Sequoia Capital(www.sequoiacap.com), Tencent Holdings(www.tencent.com), The Goldman Sachs Group(www.goldmansachs.com), Western Digital Capital(www.westerndigitalcapital.com)</t>
  </si>
  <si>
    <t>56462-23</t>
  </si>
  <si>
    <t>Bare Snacks</t>
  </si>
  <si>
    <t>Bare</t>
  </si>
  <si>
    <t>KIND (Healthy Snacks), GimMe Health Foods, Enjoy Life Foods, Crunchies Food, Robert's American Gourmet Foods, LÄRABAR, Way Better Snacks, Kishlay Foods, Kashi, Terra Chips, Barrel O' Fun Snack Foods, Biena Snacks, Quest Nutrition, Piedmont Candy Company, Dang, Annie Chun's, New Frontier Foods, Graze, Beanitos, Popchips, Pringles</t>
  </si>
  <si>
    <t>Provider of bake-dried fruit snacks to provide healthy snacks to consumers. The company's fruit and veggie chips are baked never fried, gluten free, non GMO, with no preservatives or anything artificial.</t>
  </si>
  <si>
    <t>apple chips, baked drying fruits snacks, fruits snacks, healthy snacks, healthy snacks recipe, home delivery, organic fruits, subscription delivery</t>
  </si>
  <si>
    <t>www.baresnacks.com</t>
  </si>
  <si>
    <t>2013: 12, 2014: 22, 2016: 27</t>
  </si>
  <si>
    <t>126042-67P</t>
  </si>
  <si>
    <t>Mitch Wortzman</t>
  </si>
  <si>
    <t>mitch@baresnacks.com</t>
  </si>
  <si>
    <t>+1 (509) 554-5540</t>
  </si>
  <si>
    <t>38 Keyes Avenue</t>
  </si>
  <si>
    <t>+1 (800) 940-0019</t>
  </si>
  <si>
    <t>+1 (509) 554-5510</t>
  </si>
  <si>
    <t>information@baresnacks.com</t>
  </si>
  <si>
    <t>The company reached a definitive agreement to be acquired by Pepsico (NAS: PEP) for an undisclosed amount on May 25, 2018. The transaction will expand the company's snacking portfolio. Previously, the company raised an undisclosed amount of venture funding from VMG Partners on July 8, 2014. The company is being actively tracked by PitchBook.</t>
  </si>
  <si>
    <t>Avrio Capital, Emil Capital Partners, NGEN Partners, Penny Black, Silas Capital, VMG Partners</t>
  </si>
  <si>
    <t>Pepsico</t>
  </si>
  <si>
    <t>Avrio Capital(www.avriocapital.com), Emil Capital Partners(www.emilcapitalpartners.com), NGEN Partners(www.ngenpartners.com), Penny Black(www.pennyblackllc.com), Silas Capital(www.silascapital.com), VMG Partners(www.vmgpartners.com)</t>
  </si>
  <si>
    <t>Pepsico(www.pepsico.com)</t>
  </si>
  <si>
    <t>Woodside Counsel(Legal Advisor)</t>
  </si>
  <si>
    <t>148915-00</t>
  </si>
  <si>
    <t>Baobab (Entertainment Software)</t>
  </si>
  <si>
    <t>Dreamscape Immersive, TheWaveVR, The Void, Boom.tv, NextVR</t>
  </si>
  <si>
    <t>Developer of a virtual reality studio platform designed to provide animation-based short movies and characters. The company's platform creates animated narrative movies and characters for virtual reality-based movies, enabling people to get involved in the fantastical worlds of virtual reality.</t>
  </si>
  <si>
    <t>animated movies, virtual reality, virtual reality movies, virtual reality studio, virtual reality studio platform, virtual reality video</t>
  </si>
  <si>
    <t>www.baobabstudios.com</t>
  </si>
  <si>
    <t>2015: 16, 2016: 20</t>
  </si>
  <si>
    <t>121928-23P</t>
  </si>
  <si>
    <t>Maureen Fan</t>
  </si>
  <si>
    <t>maureen@baobabstudios.com</t>
  </si>
  <si>
    <t>+1 (650) 232-7162</t>
  </si>
  <si>
    <t>info@baobabvr.com</t>
  </si>
  <si>
    <t>The company raised $25 million of Series B venture funding in a deal led by Horizons Ventures on October 18, 2016, putting the company's pre-money valuation at $50.44 million. BoxGroup, HTC, ChinaRock Capital Management, Comcast Ventures, Evolution Media, Samsung NEXT Ventures, Samsung Venture Investment, LDV Partners, Shanghai Media Group and Twentieth Century Fox Film also participated in the round. Prior to this, the company raised $6 million of Series A venture funding in a deal led by Comcast Ventures on December 3, 2015, putting the company's pre-money valuation at $18 million. Advancit Capital, Freelands Ventures, HTC, Presence Capital, Samsung Venture Investment, The Chernin Group, Mark Pincus and Peter Thiel also participated in the round. The funding will be used to fuel the company's initial slate of content for the emerging platform.</t>
  </si>
  <si>
    <t>Advancit Capital, BoxGroup, ChinaRock Capital Management, Comcast Ventures, Evolution Media, Freelands Ventures, Horizons Ventures, HTC, LDV Partners, Mark Pincus, Peter Thiel, Presence Capital, Samsung NEXT Ventures, Samsung Venture Investment, Shanghai Media Group, The Chernin Group, Twentieth Century Fox Film</t>
  </si>
  <si>
    <t>Advancit Capital(www.advancitcapital.com), BoxGroup(www.boxgroup.com), ChinaRock Capital Management(www.crcm.com), Comcast Ventures(www.comcastventures.com), Evolution Media(www.evolutionmedia.com), Freelands Ventures(www.freelandsventures.com), Horizons Ventures(www.horizonsventures.com), HTC(www.htc.com), LDV Partners(www.ldvp.com), Presence Capital(www.presencecap.com), Samsung NEXT Ventures(www.samsungnext.com), Samsung Venture Investment(www.samsungventures.com), Shanghai Media Group(www.smg.cn), Twentieth Century Fox Film(www.foxmovies.com)</t>
  </si>
  <si>
    <t>104695-57</t>
  </si>
  <si>
    <t>Band Industries</t>
  </si>
  <si>
    <t>Provider of an automatic string tuner designed to accurately tune guitar strings. The company's automatic string tuner is a tuning device for guitars and other string instruments including ukuleles, banjos and mandolins, the company also offers a mobile tunning application, enabling users to switch tuning on the fly, create and save alternate custom tuning through this application.</t>
  </si>
  <si>
    <t>automatic string tuner, guitar tuner, guitar tuner application, tuning device</t>
  </si>
  <si>
    <t>www.roadietuner.com</t>
  </si>
  <si>
    <t>90185-68P</t>
  </si>
  <si>
    <t>Hassane Slaibi</t>
  </si>
  <si>
    <t>hslaibi@bandindustries.com</t>
  </si>
  <si>
    <t>+961 (0)3 954 247</t>
  </si>
  <si>
    <t>Port Townsend, WA</t>
  </si>
  <si>
    <t>191 Saddletree Drive</t>
  </si>
  <si>
    <t>Port Townsend</t>
  </si>
  <si>
    <t>98368</t>
  </si>
  <si>
    <t>band@bandindustries.com</t>
  </si>
  <si>
    <t>The company raised $502,931 of product crowdfunding via Kickstarter on May 6, 2017.</t>
  </si>
  <si>
    <t>Berytech, UK Lebanon Tech Hub, UPS Strategic Enterprise Fund</t>
  </si>
  <si>
    <t>Berytech(www.berytech.org), UK Lebanon Tech Hub(www.uklebhub.com)</t>
  </si>
  <si>
    <t>111631-69</t>
  </si>
  <si>
    <t>Balena</t>
  </si>
  <si>
    <t>Resin.io</t>
  </si>
  <si>
    <t>Provider of a modern DevOps management platform intended to connect client, server and device software. The company's modern DevOps management platform makes it simple to deploy, update, and maintain code running on Linux-based connected devices regardless of their location, enabling businesses and developers can jumpstart their IoT projects and applications quickly, slashing development time, cost, and management overhead.</t>
  </si>
  <si>
    <t>Automation/Workflow Software, Software Development Applications*</t>
  </si>
  <si>
    <t>device software, devops management, devops software, internet embedded software, internet of things, remote device</t>
  </si>
  <si>
    <t>www.balena.io</t>
  </si>
  <si>
    <t>2015: 25, 2016: 30, 2017: 50, 2018: 50</t>
  </si>
  <si>
    <t>98012-80P</t>
  </si>
  <si>
    <t>Alexandros Marinos</t>
  </si>
  <si>
    <t>alex@resin.io</t>
  </si>
  <si>
    <t>1517 12th Avenue</t>
  </si>
  <si>
    <t>hello@resin.io</t>
  </si>
  <si>
    <t>The company raised $5 million of convertible debt funding in a deal led by Soracom and KDDI on June 11, 2018. GE Ventures, Draper Fisher Jurvetson Management and Aspect Ventures also participated in the round. The funding will be used to continue scaling global operations that allow organizations to securely deliver software over the air to provision and operate IoT devices in the field. The company raised $12 million in funding to date. Previously, the company joined Startup Autobahn on September 25, 2017 and received an undisclosed amount in funding.</t>
  </si>
  <si>
    <t>Aspect Ventures, Draper Fisher Jurvetson Management, Ericsson Ventures, GE Ventures, Gil Dibner, Global Brain, KDDI, OpenFund, Panayiotis Papadopoulos, Soracom, Startup Autobahn</t>
  </si>
  <si>
    <t>Aspect Ventures(www.aspectventures.com), Draper Fisher Jurvetson Management(www.dfj.com), GE Ventures(www.geventures.com), Global Brain(www.globalbrains.com), OpenFund(www.theopenfund.com), Soracom(www.soracom.jp), Startup Autobahn(www.startup-autobahn.com)</t>
  </si>
  <si>
    <t>JAG Shaw Baker(Legal Advisor), Osborne Clarke(Legal Advisor), Stevens &amp; Bolton(Legal Advisor)</t>
  </si>
  <si>
    <t>54633-79</t>
  </si>
  <si>
    <t>Balance (Beverages)</t>
  </si>
  <si>
    <t>Provider of flavored bottled spring water. The company's bottled spring water is made with the help of naturopathic category of Flower Essences which helps to improve emotional well-being of consumers.</t>
  </si>
  <si>
    <t>functional water, mineral water, nutritional supplements, vitamins water</t>
  </si>
  <si>
    <t>www.drinkbalance.com</t>
  </si>
  <si>
    <t>41740-48P</t>
  </si>
  <si>
    <t>Peter Maher</t>
  </si>
  <si>
    <t>pm@drinkbalance.com</t>
  </si>
  <si>
    <t>+1 (212) 564-0878</t>
  </si>
  <si>
    <t>39 West 32nd Street</t>
  </si>
  <si>
    <t>Suite 1504</t>
  </si>
  <si>
    <t>+1 (917) 720-0144</t>
  </si>
  <si>
    <t>info@drinkbalance.com</t>
  </si>
  <si>
    <t>The company raised $500,000 of Series A venture funding from undisclosed investors on May 28, 2013, putting the company's pre-money valuation at $12.37 million. Previously, the company raised $2.25 million of Series A venture funding in a deal led by Emil Capital Partners on June 13, 2012, putting the company's pre-money valuation at $10.12 million. Thomas H. Lee and Hugh Jackman also participated.</t>
  </si>
  <si>
    <t>Emil Capital Partners, Individual Investor</t>
  </si>
  <si>
    <t>Silverwood Partners(Advisor: General), Whipstitch Capital(Advisor: General)</t>
  </si>
  <si>
    <t>229672-00</t>
  </si>
  <si>
    <t>Babe</t>
  </si>
  <si>
    <t>Swish</t>
  </si>
  <si>
    <t>Maker of pink wine. The company offers an e-commerce store to retail the beverages directly. It provides a blend of Sauvignon Blanc and White Zinfandel, a canned sparkling rose and a sparkling rose in a champagne bottle.</t>
  </si>
  <si>
    <t>Beverages*, Social/Platform Software</t>
  </si>
  <si>
    <t>brewer, pink wine, sparkling rose, wine branding, wine brewer, wine maker</t>
  </si>
  <si>
    <t>www.drinkbabe.net</t>
  </si>
  <si>
    <t>187564-15P</t>
  </si>
  <si>
    <t>Born Josh Ostrovsky</t>
  </si>
  <si>
    <t>josh@swishbev.com</t>
  </si>
  <si>
    <t>Albany, NY</t>
  </si>
  <si>
    <t>911 Central Avenue</t>
  </si>
  <si>
    <t>Suite 344</t>
  </si>
  <si>
    <t>Albany</t>
  </si>
  <si>
    <t>12206</t>
  </si>
  <si>
    <t>The company raised an undisclosed amount of venture funding from ZX Ventures on March 12, 2018.</t>
  </si>
  <si>
    <t>149278-42</t>
  </si>
  <si>
    <t>b8ta</t>
  </si>
  <si>
    <t>Beta Retail</t>
  </si>
  <si>
    <t>Operator of a software-powered retail showroom designed to make physical retail accessible for all. The company's showrooms are software-driven brick-and-mortar stores that help consumers to buy hardware, internet of things and other technology products, enabling customers to discover, try and buy the latest tech products.</t>
  </si>
  <si>
    <t>Internet Retail, Specialty Retail*</t>
  </si>
  <si>
    <t>E-Commerce, Internet of Things, TMT</t>
  </si>
  <si>
    <t>consumer hardware product, retail as a service, smart device stores, wearables</t>
  </si>
  <si>
    <t>www.b8ta.com</t>
  </si>
  <si>
    <t>40870-54P</t>
  </si>
  <si>
    <t>Vibhu Norby</t>
  </si>
  <si>
    <t>vibhu@b8ta.com</t>
  </si>
  <si>
    <t>164 Townsend Street</t>
  </si>
  <si>
    <t>The company raised $3.6 million through the combination of debt and Series BB venture funding from undisclosed investors on January 24, 2019, putting the company's pre-money valuation at $100 million.</t>
  </si>
  <si>
    <t>C31 Ventures, Comcast Ventures, Eniac Ventures, Fifth Wall Ventures, Graphene Ventures, Khosla Ventures, Macerich, Macy's, Palm Drive Capital, Peak State Ventures, Plug and Play Tech Center, Sound Ventures, TriplePoint Capital, Wareness Studio</t>
  </si>
  <si>
    <t>Comcast Ventures(www.comcastventures.com), Eniac Ventures(www.eniac.vc), Fifth Wall Ventures(www.fifthwall.vc), Graphene Ventures(www.graphenevc.com), Khosla Ventures(www.khoslaventures.com), Macerich(www.macerich.com), Macy's(www.macysinc.com), Palm Drive Capital(www.palmdrive.vc), Peak State Ventures(www.peakstate.vc), Plug and Play Tech Center(www.plugandplaytechcenter.com), Sound Ventures(www.sound-ventures.com), TriplePoint Capital(www.triplepointcapital.com), Wareness Studio(www.wareness.io)</t>
  </si>
  <si>
    <t>54829-45</t>
  </si>
  <si>
    <t>B&amp;B Systems Co.</t>
  </si>
  <si>
    <t>B&amp;B</t>
  </si>
  <si>
    <t>Developer of medical lasers. The company provides technology products for dental examination and treatment.</t>
  </si>
  <si>
    <t>Diagnostic Equipment*, Medical Supplies</t>
  </si>
  <si>
    <t>dental examination, dental treatment, root canal</t>
  </si>
  <si>
    <t>www.bnbsys.co.kr</t>
  </si>
  <si>
    <t>66528-28P</t>
  </si>
  <si>
    <t>Pil Kim</t>
  </si>
  <si>
    <t>Manager, Overseas Sales Team</t>
  </si>
  <si>
    <t>+82 (0)22 113 1380</t>
  </si>
  <si>
    <t>Room 518, Byucksan, Kyungin Digital Valley II</t>
  </si>
  <si>
    <t>481-10 Gasan-Dong, Geumcheon-Gu</t>
  </si>
  <si>
    <t>153-803</t>
  </si>
  <si>
    <t>+82 (0)22 113 1388</t>
  </si>
  <si>
    <t>bnb@bnbsys.co.kr</t>
  </si>
  <si>
    <t>The company raised an undisclosed amount of venture funding from Samsung Venture Investment on an undisclosed date.</t>
  </si>
  <si>
    <t>Benefit Capital Companies(Advisor: General)</t>
  </si>
  <si>
    <t>53513-74</t>
  </si>
  <si>
    <t>Azul Systems</t>
  </si>
  <si>
    <t>Azul</t>
  </si>
  <si>
    <t>CA Technologies, New Relic, Certeon, ActOnMagic, Cazoomi, Cloudyn Software, Extreme Networks, Aternity, Checkmarx, RightScale, Dynatrace, CloudCheckr, Cloudability, NetScout Systems, Cloud Cruiser, Talligent, CloudPassage, Soasta, Aryaka, Appirio</t>
  </si>
  <si>
    <t>Developer of Java runtime products designed to deliver better business performance across industries and use cases. The company's products offer Java application scaling, web portal scalability, Java virtualization performance, zing elastic software platform for Java applications and compute appliances, enabling businesses to gain competitive advantage via cost reduction and increased revenue.</t>
  </si>
  <si>
    <t>java application, java product, online portal, scaling java application, virtualization performance</t>
  </si>
  <si>
    <t>www.azul.com</t>
  </si>
  <si>
    <t>2014: 153, 2015: 152, 2016: 164</t>
  </si>
  <si>
    <t>39727-00P</t>
  </si>
  <si>
    <t>Scott Sellers</t>
  </si>
  <si>
    <t>President, Chief Executive Officer &amp; Co-Founder</t>
  </si>
  <si>
    <t>scott.sellers@azulsystems.com</t>
  </si>
  <si>
    <t>+1 (650) 230-6511</t>
  </si>
  <si>
    <t>Suite 115</t>
  </si>
  <si>
    <t>+1 (650) 230-6500</t>
  </si>
  <si>
    <t>+1 (650) 230-6600</t>
  </si>
  <si>
    <t>info@azulsystems.com</t>
  </si>
  <si>
    <t>Redpoint Ventures sold its stake in the company to undisclosed investors.</t>
  </si>
  <si>
    <t>Accel, Austin Ventures, Bob Pasker, Credit Suisse, Fuse Capital, Fuse+Media, Individual Investor, JVax Investment Group, Lighthouse Capital Partners, Meritech Capital Partners, Partners for Growth, Presidio Ventures, Worldview Technology Partners</t>
  </si>
  <si>
    <t>Redpoint Ventures</t>
  </si>
  <si>
    <t>Accel(www.accel.com), Austin Ventures(www.austinventures.com), Bob Pasker(blog.pasker.net), Credit Suisse(www.credit-suisse.com), Fuse Capital(www.fusecapital.com), Fuse+Media(www.fuseplusmedia.com), JVax Investment Group(www.jvaxig.com), Lighthouse Capital Partners(lcpartners.com), Meritech Capital Partners(www.meritechcapital.com), Partners for Growth(www.pfgrowth.com), Presidio Ventures(www.presidio-ventures.com), Worldview Technology Partners(www.worldview.com)</t>
  </si>
  <si>
    <t>Redpoint Ventures(www.redpoint.com)</t>
  </si>
  <si>
    <t>Gunderson Dettmer(Legal Advisor), Howard Fischer Associates(Consulting), Intralink Group(Consulting)</t>
  </si>
  <si>
    <t>54160-75</t>
  </si>
  <si>
    <t>Ayla Networks</t>
  </si>
  <si>
    <t>Ayla</t>
  </si>
  <si>
    <t>TIBCO Software, Datawatch, Evrythng, Particle, WSO2, XMpro, Alteryx, Teramatrix, Qlik Technologies, FogHorn, OneLogin, Xively, Zapier, Genband, Kii, PTC Software, Cloud Elements, MuleSoft, Relayr, Auth0, SAS Institute, Gooee, Lob (Programmable Software), Fiorano Software, Exosite, SnapLogic, 2lemetry, Ping Identity, 3scale, Talend, Epicor Software, Mashery, Infor Global Solutions, Jitterbit, Aeris, ThingWorx, SecureAuth</t>
  </si>
  <si>
    <t>Provider of a a cloud platform-as-a-service (PaaS) connectivity platform designed to provide the flexibility and modularity to enable rapid changes to practically any type of device, cloud or app environment. The company has developed an end-to-end platform that helps manufacturers and service providers to turn home controls, lighting and other everyday products into intelligent devices that can collect information, be managed remotely or perform tasks automatically on behalf of consumers and businesses, enabling manufacturers support connected devices without having to build out their backend management infrastructure from scratch.</t>
  </si>
  <si>
    <t>Automation/Workflow Software, Business/Productivity Software*, Other Software</t>
  </si>
  <si>
    <t>Impact Investing, Internet of Things, SaaS, TMT</t>
  </si>
  <si>
    <t>connectivity platform, data analytics forum, impact investing vertical, internet of things</t>
  </si>
  <si>
    <t>www.aylanetworks.com</t>
  </si>
  <si>
    <t>2013: 21, 2014: 27, 2015: 55, 2016: 116</t>
  </si>
  <si>
    <t>40784-86P</t>
  </si>
  <si>
    <t>David Friedman</t>
  </si>
  <si>
    <t>Co-Founder, Executive Chairman, &amp; Chief Strategy Officer</t>
  </si>
  <si>
    <t>dave@aylanetworks.com</t>
  </si>
  <si>
    <t>+1 (408) 830-9844</t>
  </si>
  <si>
    <t>4250 Burton Drive</t>
  </si>
  <si>
    <t>+1 (408) 716-2621</t>
  </si>
  <si>
    <t>info@aylanetworks.com</t>
  </si>
  <si>
    <t>The company received $9 million of debt financing in the form of a term loan from PIUS on July 24, 2018. Goodwin acted as legal advisor to the company in the deal.</t>
  </si>
  <si>
    <t>3NOD Digital Group, Acorn Pacific Ventures, Alliance Capital Ventures, Ants Capital, Black River Ventures, Cisco Investments, Crosslink Capital, Innovative Capital Ventures, International Finance Corporation, Linear Venture, Mitsui &amp; Co., Oriza Ventures, Peter Hsing, Run Liang Tai Fund, SAIF Partners, SJF Ventures, Sunsea Telecommunications, Voyager Capital</t>
  </si>
  <si>
    <t>3NOD Digital Group(www.3nod.com.cn), Acorn Pacific Ventures(www.acornpacific.ventures), Alliance Capital Ventures(www.alliancecapitalventures.com), Ants Capital(www.antscapital.com), Black River Ventures(www.brv.vc), Cisco Investments(www.ciscoinvestments.com), Crosslink Capital(www.crosslinkcapital.com), Innovative Capital Ventures(www.icventures.net), International Finance Corporation(www.ifc.org), Linear Venture(www.linear.vc), Mitsui &amp; Co.(www.mitsui.com), Oriza Ventures(www.orizaventures.com), SAIF Partners(www.sbaif.com), SJF Ventures(www.sjfventures.com), Sunsea Telecommunications(www.sunseagroup.com), Voyager Capital(www.voyagercapital.com)</t>
  </si>
  <si>
    <t>Burkland Associates(Accounting), Goodwin(Legal Advisor)</t>
  </si>
  <si>
    <t>Goodwin(Legal Advisor), PIUS(Debt Financing)</t>
  </si>
  <si>
    <t>53692-12</t>
  </si>
  <si>
    <t>Axxana</t>
  </si>
  <si>
    <t>Provider of information disaster recovery services intended to recover data with zero data loss over any distance. The company's information disaster recovery services offer Phoenix System that complements the asynchronous replication service offered by EMC's RecoverPoint, enabling organizations to recovers data over various distance and communication lines without transaction loss.</t>
  </si>
  <si>
    <t>data recovery, information disaster recovery, information disaster recovery service, information disaster recovery services, synchronous data protection</t>
  </si>
  <si>
    <t>www.axxana.com</t>
  </si>
  <si>
    <t>2014: 31, 2016: 39</t>
  </si>
  <si>
    <t>39931-57P</t>
  </si>
  <si>
    <t>Michal Smorgik</t>
  </si>
  <si>
    <t>michal.smorgik@axxana.com</t>
  </si>
  <si>
    <t>+972 (0)74 788 7800</t>
  </si>
  <si>
    <t>Auburndale, MA</t>
  </si>
  <si>
    <t>275 Grove Street</t>
  </si>
  <si>
    <t>Suite 2-400</t>
  </si>
  <si>
    <t>Auburndale</t>
  </si>
  <si>
    <t>02466</t>
  </si>
  <si>
    <t>+1 (781) 304-4681</t>
  </si>
  <si>
    <t>info@axxana.com</t>
  </si>
  <si>
    <t>The company raised $5 million of Series C venture funding in a deal led by Presidio Ventures on November 20, 2011. Viola Ventures, Gemini Israel Ventures, Moshe Yanai and other undisclosed investors also participated in the round.</t>
  </si>
  <si>
    <t>Decima Ventures, Eilon Tirosh, Gemini Israel Ventures, Individual Investor, Kreos Capital, Presidio Ventures, Viola Ventures</t>
  </si>
  <si>
    <t>Decima Ventures(www.decimaventures.com), Gemini Israel Ventures(www.gemini.co.il), Kreos Capital(www.kreoscapital.com), Presidio Ventures(www.presidio-ventures.com)</t>
  </si>
  <si>
    <t>150761-71</t>
  </si>
  <si>
    <t>Axiom Exergy</t>
  </si>
  <si>
    <t>Stem, Green Charge Networks, Viking Cold Solutions, Ice Energy, Calmac, Tesla</t>
  </si>
  <si>
    <t>Operator of an Industrial Internet-of-Things (IoT) company designed on making the world's thermal systems flexible, intelligent, and resilient. The company utilizes a platform that transforms fleets of commercial and industrial refrigeration systems into large-scale, intelligent, cloud-connected energy storage assets, enabling cold chain customers to have access to a turnkey power management platform that reduces operational costs and business risk.</t>
  </si>
  <si>
    <t>Application Software, Energy Storage*, Other Energy Services</t>
  </si>
  <si>
    <t>Advanced Manufacturing, TMT</t>
  </si>
  <si>
    <t>cold chain, energy storage device, industrial cooling system, industrial iot, intelligent storage, managed services platform provider, power management, refrigerant, thermal energy storage</t>
  </si>
  <si>
    <t>www.axiomexergy.com</t>
  </si>
  <si>
    <t>2016: 13, 2017: 15, 2018: 19</t>
  </si>
  <si>
    <t>129979-72P</t>
  </si>
  <si>
    <t>Anthony Diamond</t>
  </si>
  <si>
    <t>anthony@axiomexergy.com</t>
  </si>
  <si>
    <t>+1 (707) 616-8125</t>
  </si>
  <si>
    <t>1387 Marina Way South</t>
  </si>
  <si>
    <t>94804</t>
  </si>
  <si>
    <t>+1 (510) 683-5200</t>
  </si>
  <si>
    <t>info@axiomexergy.com</t>
  </si>
  <si>
    <t>The company raised $7.6 million of Series A venture funding in a deal led by GXP Investments and Shell Ventures on May 9, 2018. Meson Capital Partners, SV Tech Ventures, Seabed VC and WorldQuant Ventures also participated in the round. The company which has raised around $12.5 million in total funding to date, intends to use the funds to scale their thermal energy storage solution in large, multi-site roll outs at grocery stores and cold storage facilities and to begin rolling out additional features of the Refrigeration Battery platform.</t>
  </si>
  <si>
    <t>California Institute of Technology Endowment, E8, Evergy Ventures, Harbor Street Ventures, Jeffrey Straubel, Larry Mohr, Meson Capital Partners, MIT Angels, Seabed VC, Shell Ventures, Sierra Angels, StartX, SV Tech Ventures, The Cleantech Open, Victory Capital Management, WorldQuant Ventures</t>
  </si>
  <si>
    <t>California Institute of Technology Endowment(www.caltech.edu), E8(www.e8angels.com), Evergy Ventures(www.evergyventures.com), Harbor Street Ventures(www.harborstreetventures.com), Meson Capital Partners(www.mesoncapital.com), MIT Angels(northerncalifornia.alumclub.mit.edu), Seabed VC(www.seabed.vc), Sierra Angels(www.sierraangels.com), StartX(www.startx.com), SV Tech Ventures(www.svtechventures.us), The Cleantech Open(www2.cleantechopen.org), Victory Capital Management(www.vcm.com), WorldQuant Ventures(www.worldquantventures.com)</t>
  </si>
  <si>
    <t>55192-69</t>
  </si>
  <si>
    <t>Axine</t>
  </si>
  <si>
    <t>Watertectonics, Minetek</t>
  </si>
  <si>
    <t>Developer of modular treatment systems intended to facilitate on-site treatment of toxic organics in industrial wastewater. The company's wireless and remotely monitored systems utilize advanced catalysts and electricity to oxidize pollutants to harmless trace by-product gases with zero waste generated, enabling industries to improve wastewater system performance, increase water reuse and ensure compliance in a chemical-free manner.</t>
  </si>
  <si>
    <t>Environmental Services (B2B)*</t>
  </si>
  <si>
    <t>ammonia treatment, electrolytic oxidation technology, toxic organic, treating wastewater, wastewater treatment, wastewater treatment technology</t>
  </si>
  <si>
    <t>www.axinewater.com</t>
  </si>
  <si>
    <t>2016: 18, 2017: 18</t>
  </si>
  <si>
    <t>34679-89P</t>
  </si>
  <si>
    <t>Jonathan Rhone</t>
  </si>
  <si>
    <t>jrhone@axinewater.com</t>
  </si>
  <si>
    <t>2386 East Mall</t>
  </si>
  <si>
    <t>V6T 1Z3</t>
  </si>
  <si>
    <t>+1 (604) 336-8900</t>
  </si>
  <si>
    <t>info@axinewater.com</t>
  </si>
  <si>
    <t>The company raised an undisclosed amount of Series B venture funding from Chrysalix Venture Capital on December 31, 2018. Previously, the company received $6 million of debt financing in the form of a loan from Silicon Valley Bank in July 2018. DLA Piper acted as a legal advisor to Silicon Valley Bank in the transaction.</t>
  </si>
  <si>
    <t>Asahi Kasei Corporate Venture Capital, BDC Capital, BDC Industrial, Clean and Energy Technology Venture Fund, Business Development Bank of Canada, Chen Fong, Chrysalix Venture Capital, GrowthPoint Ventures, Innovate BC, MaRS Discovery District, National Research Council Canada, Sustainable Development Technology Canada, The Roda Group, Western Economic Diversification Canada</t>
  </si>
  <si>
    <t>Asahi Kasei Corporate Venture Capital(www.asahikaseiventures.com), BDC Industrial, Clean and Energy Technology Venture Fund(www.bdc.ca/EN/bdc-capital/venture-capital/strategic-approach/Pages/energy-cleantech-venture-fund.aspx), Business Development Bank of Canada(www.bdc.ca), Chrysalix Venture Capital(www.chrysalix.com), Innovate BC(www.innovatebc.ca), MaRS Discovery District(www.marsdd.com), National Research Council Canada(www.nrc-cnrc.gc.ca), Sustainable Development Technology Canada(www.sdtc.ca), The Roda Group(www.rodagroup.com), Western Economic Diversification Canada(www.wd-deo.gc.ca)</t>
  </si>
  <si>
    <t>Blake Cassels &amp; Graydon(Legal Advisor), KPMG(Auditor), McCarthy Tétrault(Legal Advisor)</t>
  </si>
  <si>
    <t>Blake Cassels &amp; Graydon(Legal Advisor), Dorsey &amp; Whitney(Legal Advisor), McCarthy Tétrault(Legal Advisor), Silicon Valley Bank(Debt Financing)</t>
  </si>
  <si>
    <t>51016-96</t>
  </si>
  <si>
    <t>Axial</t>
  </si>
  <si>
    <t>Cathedral Partners, Axial Market</t>
  </si>
  <si>
    <t>Lateral</t>
  </si>
  <si>
    <t>Provider of an online capital market platform intended to offer advise and finance to private companies. The company's platform features search and matching technology to confidentially connect middle market CEOs to a qualified universe of M&amp;A advisors, lenders and buyers, enabling them to grow or exit their businesses.</t>
  </si>
  <si>
    <t>Application Software, Media and Information Services (B2B), Social/Platform Software*</t>
  </si>
  <si>
    <t>clinical summaries, deals management, deals origination platform, deals sourcing, online professionals network, private capital market, technology-powered application</t>
  </si>
  <si>
    <t>www.axial.net</t>
  </si>
  <si>
    <t>2014: 114, 2016: 95</t>
  </si>
  <si>
    <t>35443-90P</t>
  </si>
  <si>
    <t>Peter Lehrman</t>
  </si>
  <si>
    <t>peter.lehrman@axial.net</t>
  </si>
  <si>
    <t>+1 (800) 860-4519</t>
  </si>
  <si>
    <t>info@axial.net</t>
  </si>
  <si>
    <t>The company raised $14 million of Series C venture funding in a deal led by Edison Partners on June 1, 2016, putting the company's pre-money valuation at $28.00 million. Comcast Ventures, DLA Piper, The Courtney Group, FJ Labs, First Round Capital, Redpoint Ventures and SF Roofdeck Capital I also participated in the round.</t>
  </si>
  <si>
    <t>Capital Factory, Comcast Ventures, Cove Point Holdings, DLA Piper, Edison Partners, First Round Capital, FJ Labs, Gerson Lehrman Group, Individual Investor, Josh Abramowitz, Joshua Kopelman, Lerer Hippeau, Mark Gerson, Peter Lehrman, Ralph Mack, Redpoint Ventures, SenaHill Partners, SF Roofdeck Capital I, The Courtney Group, Vidinovo, Windcrest Partners</t>
  </si>
  <si>
    <t>Capital Factory(www.capitalfactory.com), Comcast Ventures(www.comcastventures.com), Cove Point Holdings(www.covepointholdings.net), DLA Piper(www.dlapiper.com), Edison Partners(www.edisonpartners.com), First Round Capital(www.firstround.com), FJ Labs(www.fjlabs.com), Gerson Lehrman Group(www.glg.it), Lerer Hippeau(www.lererhippeau.com), Redpoint Ventures(www.redpoint.com), SenaHill Partners(www.senahill.com), The Courtney Group(www.thecourtneygroup.com), Vidinovo(www.vidinovo.com), Windcrest Partners(www.windcrestpartners.com)</t>
  </si>
  <si>
    <t>Financial Technology Partners(Advisor: General), Gunderson Dettmer(Legal Advisor)</t>
  </si>
  <si>
    <t>111567-52</t>
  </si>
  <si>
    <t>Away</t>
  </si>
  <si>
    <t>Trunkster, Delsey, Rimowa, Samsara Luggage, Travelpro Products, Tumi</t>
  </si>
  <si>
    <t>Designer of designer travel luggage. The company's suitcases includes a range of luggage products made of a lightweight and durable polycarbonate and premium materials, an ejectable battery to charge phones and devices, a three-digit lock, four smooth spinner wheels, an interior laundry bag and compression system, providing travelers with light weight, thoughtfully designed luggage while complying with airlines.</t>
  </si>
  <si>
    <t>Internet Retail, Luxury Goods, Other Consumer Durables*</t>
  </si>
  <si>
    <t>design suitcases, light weight luggage bags, luggage accessories, luggage bags, luxury luggage bags, minimalist luggage, top-notch materials</t>
  </si>
  <si>
    <t>www.awaytravel.com</t>
  </si>
  <si>
    <t>2016: 4, 2018: 180</t>
  </si>
  <si>
    <t>98528-95P</t>
  </si>
  <si>
    <t>Stephanie Korey</t>
  </si>
  <si>
    <t>stephanie@awayluggage.com</t>
  </si>
  <si>
    <t>+1 (888) 428-2118</t>
  </si>
  <si>
    <t>419 Lafayette Street</t>
  </si>
  <si>
    <t>go@awaytravel.com</t>
  </si>
  <si>
    <t>The company raised $100 million of Series D venture funding in a deal led by Wellington Management on May 14, 2019, putting the company's pre-money valuation at $1.35 billion. Global Founders Capital, Baillie Gifford and Lone Pine Capital also participated in the round. The funds will be used by the company to support expansion into new travel product categories including apparel, wellness and lifestyle accessories as well as invest in growth of physical retail in the US and abroad, opening 50 new stores in the next three years.</t>
  </si>
  <si>
    <t>Accel, Andrew Deitchman, Andrew Dunn, Baillie Gifford, Barry Sternlicht, Battery Ventures, Brian Lee, Comcast Ventures, Compound, Forerunner Ventures, Global Founders Capital, Great Oaks Venture Capital, Jeff Kearl, Karlie Kloss, Lone Pine Capital, QueensBridge Venture Partners, Shawn Carter, Smith Family Circle, Stewart Butterfield, Wellington Management</t>
  </si>
  <si>
    <t>BAM Ventures</t>
  </si>
  <si>
    <t>Accel(www.accel.com), Baillie Gifford(www.bailliegifford.com), Battery Ventures(www.battery.com), Comcast Ventures(www.comcastventures.com), Compound(www.compound.vc), Forerunner Ventures(www.forerunnerventures.com), Global Founders Capital(www.globalfounders.vc), Great Oaks Venture Capital(www.greatoaksvc.com), Lone Pine Capital(www.lonepinecapital.com), QueensBridge Venture Partners(www.qbvp.com), Shawn Carter(lifeandtimes.com), Smith Family Circle(www.smithfamilycircle.com), Wellington Management(www.wellington.com)</t>
  </si>
  <si>
    <t>BAM Ventures(www.bam.vc)</t>
  </si>
  <si>
    <t>108709-21</t>
  </si>
  <si>
    <t>Awair</t>
  </si>
  <si>
    <t>uHoo, Foobot, NETATMO</t>
  </si>
  <si>
    <t>Developer of an indoor air monitoring device designed to empower users with the knowledge, motivation and confidence to be healthy and thrive in your environment. The company's indoor air monitoring device helps to analyze and control indoor air and measures the indoor air quality by reading five data points in the air including temperature, humidity, carbon dioxide, volatile organic compounds and dust, enabling users to optimize air quality.</t>
  </si>
  <si>
    <t>Electronics (B2C)*, Environmental Services (B2B)</t>
  </si>
  <si>
    <t>CleanTech, Industrials, Mobile</t>
  </si>
  <si>
    <t>air monitoring, air pollutants, air pollution, indoor air cleaning, indoor air pollution, pollution control</t>
  </si>
  <si>
    <t>www.getawair.com</t>
  </si>
  <si>
    <t>120270-07P</t>
  </si>
  <si>
    <t>Ronald Ro</t>
  </si>
  <si>
    <t>ron@bitfinder.co</t>
  </si>
  <si>
    <t>+1 (408) 893-8723</t>
  </si>
  <si>
    <t>40 Boardman Place</t>
  </si>
  <si>
    <t>2nd floor</t>
  </si>
  <si>
    <t>hello@getawair.com</t>
  </si>
  <si>
    <t>The company raised $10 million of Series B venture funding in a deal led by The Westly Group on December 3, 2018, putting the company's pre-money valuation at $18 million. Emerson, iRobot Ventures, Nuovo Capital, and Altos Ventures also participated in the round.</t>
  </si>
  <si>
    <t>Altos Ventures, Emerson, FuturePlay, Global Brain, iRobot Ventures, Jenny Fielding, Kakao Ventures, Korean Goverment, Plug and Play Tech Center, R/GA Accelerator, Samsung Venture Investment, StartX, Techstars, The Westly Group, VentureWell, Western Technology Investment, Younghee Noh</t>
  </si>
  <si>
    <t>Altos Ventures(www.altos.vc), Emerson(www.emerson.com), FuturePlay(www.futureplay.co), Global Brain(www.globalbrains.com), Kakao Ventures(www.kakaoventures.co.kr), Plug and Play Tech Center(www.plugandplaytechcenter.com), R/GA Accelerator(www.rgaaccelerator.com), Samsung Venture Investment(www.samsungventures.com), StartX(www.startx.com), Techstars(www.techstars.com), The Westly Group(www.westlygroup.com), VentureWell(www.venturewell.org), Western Technology Investment(www.westerntech.com)</t>
  </si>
  <si>
    <t>95735-71</t>
  </si>
  <si>
    <t>Avidbots</t>
  </si>
  <si>
    <t>Intellibot Robotics</t>
  </si>
  <si>
    <t>Developer of autonomous robots designed to automate commercial floor cleaning. The company's self driving floor scrubber cooperates to clean department stores, auto dealerships, education facilities, airports and other commercial cleaning spaces and thus automates the most labor and time intensive part of commercial cleaning, enabling cleaning crew to focus on higher value cleaning tasks and leaving repetitive and tedious floor scrubbing to robots.</t>
  </si>
  <si>
    <t>Machinery (B2B)*</t>
  </si>
  <si>
    <t>floor cleaning, floor cleaning robot, floor scrubbers, personal service robotics, robotics developer, robots systems</t>
  </si>
  <si>
    <t>www.avidbots.com</t>
  </si>
  <si>
    <t>2017: 82</t>
  </si>
  <si>
    <t>125576-74P</t>
  </si>
  <si>
    <t>Pablo Molina</t>
  </si>
  <si>
    <t>Co-Founder, Chairman &amp; Chief Technology Officer</t>
  </si>
  <si>
    <t>pablo@avidbots.com</t>
  </si>
  <si>
    <t>+1 (855) 928-4326</t>
  </si>
  <si>
    <t>975 Bleams Road</t>
  </si>
  <si>
    <t>N2E 3Z5</t>
  </si>
  <si>
    <t>info@avidbots.com</t>
  </si>
  <si>
    <t>The company raised $23.6 million of Series B venture funding in a deal led by True Ventures on March 22, 2019. Karvy Fintech, Real Ventures, SOSV, GGV Capital, Next47, BDC Capital and 500 Startups Canada also participated in the round. The funds will be used for global growth and to invest in talent acquisition, engineering, marketing and sales.</t>
  </si>
  <si>
    <t>500 Startups Canada, BDC Capital, Communitech Hyperdrive, Felicis Ventures, GGV Capital, Golden Ventures, Ian Hogarth, Karvy Fintech, Next47, Real Ventures, SOSV, Techammer, True Ventures, University of Waterloo Velocity</t>
  </si>
  <si>
    <t>500 Startups Canada(www.500canada.ca), Communitech Hyperdrive(www.communitech.ca), Felicis Ventures(www.felicis.com), GGV Capital(www.ggvc.com), Golden Ventures(www.golden.ventures), Karvy Fintech(www.karvyfintech.com), Next47(Next47.com), Real Ventures(www.realventures.com), SOSV(www.sosv.com), True Ventures(www.trueventures.com), University of Waterloo Velocity(www.velocity.uwaterloo.ca)</t>
  </si>
  <si>
    <t>Espresso Capital(Debt Financing), Osler, Hoskin &amp; Harcourt(Legal Advisor)</t>
  </si>
  <si>
    <t>111256-84</t>
  </si>
  <si>
    <t>Aviatrix</t>
  </si>
  <si>
    <t>Racemi, CloudVelox, Cohesive Networks, Rubrik, Aruba Networks, Zerto, SaltStack, Sophos, Vision Solutions, GigaSpaces, HashiCorp, Chef, Oracle, Arista Networks, Extreme Networks, StorageCraft Technology, ScaleFT, Ansible, Itential, CFEngine, Cycle Computing, Rescale, Docker, Puppet</t>
  </si>
  <si>
    <t>Provider of a cloud native networking software designed to simplify connectivity to the cloud in a secure and scalable way. The company's software reduces the time to setup new virtual private networks and provides load balanced technology, enabling enterprises to realize the benefits of agility, flexibility and simplicity when migrating applications to the cloud.</t>
  </si>
  <si>
    <t>Business/Productivity Software*, Network Management Software, Systems and Information Management</t>
  </si>
  <si>
    <t>cloud computing, cloud environment, cloud infrastructure, cloud native networking technology, hybrid cloud network, network solutions, secure cloud network</t>
  </si>
  <si>
    <t>www.aviatrix.com</t>
  </si>
  <si>
    <t>97472-26P</t>
  </si>
  <si>
    <t>Sherry Wei</t>
  </si>
  <si>
    <t>sherry.wei@aviatrix.com</t>
  </si>
  <si>
    <t>+1 (844) 262-3100</t>
  </si>
  <si>
    <t>411 High Street</t>
  </si>
  <si>
    <t>info@aviatrix.com</t>
  </si>
  <si>
    <t>The company raised $15 million of Series B venture funding in a deal led by Charles River Ventures on January 18, 2017, putting the pre-money valuation at $36.96 million. Formation 8, Steve Mullaney and Ignition Venture Partners also participated in this round. The funding will be used by the company to expand its operations to support its rapidly growing customer base, help drive new strategic partnerships, and expand the reach of its market-leading cloud networking solutions.</t>
  </si>
  <si>
    <t>Charles River Ventures, Formation 8, Ignition Partners, Liberty Global Ventures, Monta Vista Capital, Steve Mullaney</t>
  </si>
  <si>
    <t>Charles River Ventures(www.crv.com), Formation 8(www.formation8.com), Ignition Partners(www.ignitionpartners.com), Monta Vista Capital(www.montavc.com)</t>
  </si>
  <si>
    <t>57861-91</t>
  </si>
  <si>
    <t>Avi Networks</t>
  </si>
  <si>
    <t>Instart, Cloudflare, Fastly</t>
  </si>
  <si>
    <t>Developer of an application delivery platform designed to deliver cloud-like simplicity for application networking to enterprises. The company's software features per-app load balancing, predictive autoscaling, application insights, security, and automation, enabling businesses to roll out applications faster, view actionable analytics, and save costs.</t>
  </si>
  <si>
    <t>application delivery service, application deployment, content delivery platform, network virtualization, networking, networking technology</t>
  </si>
  <si>
    <t>www.avinetworks.com</t>
  </si>
  <si>
    <t>2014: 50, 2015: 61, 2016: 72</t>
  </si>
  <si>
    <t>59362-21P</t>
  </si>
  <si>
    <t>Ranga Rajagopalan</t>
  </si>
  <si>
    <t>ranga@avinetworks.com</t>
  </si>
  <si>
    <t>+1 (408) 628-1300</t>
  </si>
  <si>
    <t>5155 Old Ironsides Drive</t>
  </si>
  <si>
    <t>info@avinetworks.com</t>
  </si>
  <si>
    <t>The company raised $60 million of Series D venture funding led by Cisco Investments on June 6, 2018, putting the company's pre-money valuation at $275 million. Lightspeed Venture Partners, Greylock Partners, Menlo Ventures and DAG Ventures also participated in the round. This brings company's total funding to $115 million.</t>
  </si>
  <si>
    <t>Cisco Investments, DAG Ventures, Greylock Partners, Lightspeed Venture Partners, Menlo Ventures</t>
  </si>
  <si>
    <t>Cisco Investments(www.ciscoinvestments.com), DAG Ventures(www.dagventures.com), Greylock Partners(www.greylock.com), Lightspeed Venture Partners(www.lsvp.com), Menlo Ventures(www.menlovc.com)</t>
  </si>
  <si>
    <t>112034-89</t>
  </si>
  <si>
    <t>Avenisense</t>
  </si>
  <si>
    <t>Developer of fluidic properties sensing technologies designed to monitor liquid and gases. The company's embedded fluid property sensors help in patterning of resonating sensing elements, sensor operation firmware and miniature packaging, enabling clients to reduce environmental footprint.</t>
  </si>
  <si>
    <t>Electronic Equipment and Instruments*, Environmental Services (B2B), Oil and Gas Equipment, Other Commercial Products</t>
  </si>
  <si>
    <t>fluid property sensor, gas monitoring, sensing instruments, sensor operations</t>
  </si>
  <si>
    <t>www.avenisense.com</t>
  </si>
  <si>
    <t>2015: 20</t>
  </si>
  <si>
    <t>98898-94P</t>
  </si>
  <si>
    <t>Guillaume Granier</t>
  </si>
  <si>
    <t>Co-Founder &amp; Manager, Manufacturing and Quality</t>
  </si>
  <si>
    <t>ggranier@avenisense.com</t>
  </si>
  <si>
    <t>+33 (0)4 57 08 02 25</t>
  </si>
  <si>
    <t>Le Bourget du Lac, France</t>
  </si>
  <si>
    <t>19 rue du Lac Saint André</t>
  </si>
  <si>
    <t>Savoie Technolac BP50233</t>
  </si>
  <si>
    <t>Le Bourget du Lac</t>
  </si>
  <si>
    <t>73374</t>
  </si>
  <si>
    <t>contact@avenisense.com</t>
  </si>
  <si>
    <t>The company raised EUR 10 million of venture funding from undisclosed investors on November 2, 2016.</t>
  </si>
  <si>
    <t>Air Liquide, Air Liquide Venture Capital, Axandus, Bpifrance, Demeter, Total Energy Ventures</t>
  </si>
  <si>
    <t>Air Liquide(www.airliquide.com), Axandus(www.axandus.com), Bpifrance(www.bpifrance.fr), Demeter(www.demeter-im.com)</t>
  </si>
  <si>
    <t>Villechenon(Legal Advisor)</t>
  </si>
  <si>
    <t>56455-30</t>
  </si>
  <si>
    <t>Aveni</t>
  </si>
  <si>
    <t>Alchimer</t>
  </si>
  <si>
    <t>D2S, Memsstar, Micross Components</t>
  </si>
  <si>
    <t>Provider of innovative metallization processes designed to improve device performance and yield. The company's innovative metallization processes utilize production-ready technology that revolutionize the copper-plating process for damascene, enabling clients to avail high-quality thin films of various types.</t>
  </si>
  <si>
    <t>Application Specific Semiconductors*, Other Commercial Products</t>
  </si>
  <si>
    <t>electrochemical process, metallization process, microelectromechanical, microelectronic, nanometric film</t>
  </si>
  <si>
    <t>www.aveni.com</t>
  </si>
  <si>
    <t>2004: 17, 2005: 20, 2012: 9, 2013: 9, 2014: 9, 2015: 25</t>
  </si>
  <si>
    <t>48193-39P</t>
  </si>
  <si>
    <t>Bruno Morel</t>
  </si>
  <si>
    <t>b.morel@aveni.com</t>
  </si>
  <si>
    <t>+33 (0)1 69 75 43 43</t>
  </si>
  <si>
    <t>Massy, France</t>
  </si>
  <si>
    <t>15 rue du Buisson aux Fraises</t>
  </si>
  <si>
    <t>Massy</t>
  </si>
  <si>
    <t>91300</t>
  </si>
  <si>
    <t>+33 (0)1 60 11 07 52</t>
  </si>
  <si>
    <t>info@aveni.com</t>
  </si>
  <si>
    <t>The company raised EUR 8.9 million of Series B venture funding from Merck Ventures, Auriga Partners (Paris) and Air Liquide Investments in the Future and Demonstration on October 24, 2017. IdInvest Partners, Supernova (Cayman), Panasonic and Samsung Venture Investment also participated in this round. The company intends to use the funds to commercialize its technologies.</t>
  </si>
  <si>
    <t>Air Liquide Venture Capital, Auriga Partners (Paris), Caisse des Dépôts Group, CDC Enterprises, CEA Investissement, CEA-Valorisation, Emertec Gestion, Idinvest Partners, Intel Capital, Merck Ventures, Panasonic, Panasonic Ventures, Partech Partners, Rothschild &amp; Co, Samsung Venture Investment, Seventure Partners, Supernova (Cayman)</t>
  </si>
  <si>
    <t>Auriga Partners (Paris)(www.auriga.vc), Caisse des Dépôts Group(www.caissedesdepots.fr), CDC Enterprises(www.cdcentreprises.fr), CEA Investissement(www.cea-investissement.com), CEA-Valorisation(www.cea-valorisation.com), Emertec Gestion(www.emertec.fr), Idinvest Partners(www.idinvest.com), Intel Capital(www.intelcapital.com), Merck Ventures(www.m-ventures.com), Panasonic(www.panasonic.com), Panasonic Ventures(www.panasonicventures.com), Partech Partners(www.partechpartners.com), Rothschild &amp; Co(www.rothschildandco.com), Samsung Venture Investment(www.samsungventures.com), Seventure Partners(www.seventure.fr)</t>
  </si>
  <si>
    <t>Chammas &amp; Marcheteau Avocats(Legal Advisor), Silverpeak (London)(Advisor: General), WCPAelios(Advisor: General), Woodside Capital Partners(Advisor: General)</t>
  </si>
  <si>
    <t>60250-24</t>
  </si>
  <si>
    <t>Avegant</t>
  </si>
  <si>
    <t>Meta, Immy, Nreal, Optinvent, WaveOptics, eSight, HTC, Leap Motion, Nikon India, DAQRI</t>
  </si>
  <si>
    <t>Developer of light field display technology designed for mixed reality applications. The company's light field displays enable the visualization of virtual objects across multiple focal planes, replicating the way people see natural objects in the real world. When viewed through Avegant's light field display technology, virtual objects appear crystal clear, vivid and real - even within arm's reach.</t>
  </si>
  <si>
    <t>3d display technology, augmented reality, display technology, light field display, micromirror display technology, mixed reality, wearable display, wearable display device</t>
  </si>
  <si>
    <t>www.avegant.com</t>
  </si>
  <si>
    <t>2014: 18, 2015: 30, 2016: 39, 2017: 45</t>
  </si>
  <si>
    <t>Competitor (New) Leap Motion</t>
  </si>
  <si>
    <t>176437-36P</t>
  </si>
  <si>
    <t>Gary Larsen</t>
  </si>
  <si>
    <t>gary.larsen@avegant.com</t>
  </si>
  <si>
    <t>+1 (650) 232-7456</t>
  </si>
  <si>
    <t>Belmont, CA</t>
  </si>
  <si>
    <t>1301 Shoreway Road</t>
  </si>
  <si>
    <t>Belmont</t>
  </si>
  <si>
    <t>94002</t>
  </si>
  <si>
    <t>contact@avegant.com</t>
  </si>
  <si>
    <t>The company raised $12 million of Series AA venture funding from Digital Grid, Walden International and Bunting Family Foundation on August 28, 2018. The company intends to use the funds to expand operations and continue to build its solutions.</t>
  </si>
  <si>
    <t>500 Startups, Ann Arbor SPARK, Applied Ventures, Bunting Family Foundation, CKM Capital Partners, Digital Grid (Hong Kong) Technology, DN Capital, Intel Capital, Invest Detroit Ventures, Joseph Malcoun, Kaiwu Capital, LianLuo, Michigan Angel Fund, NHN Capital, Tuesday Capital, Walden International</t>
  </si>
  <si>
    <t>500 Startups(www.500.co), Ann Arbor SPARK(www.annarborusa.org), CKM Capital Partners(ckmcap.com), DN Capital(www.dncapital.com), Intel Capital(www.intelcapital.com), Kaiwu Capital(www.kaiwucapital.com), LianLuo(www.lianluo.com), Michigan Angel Fund(www.miangelfund.com), NHN Capital(www.nhninv.com), Tuesday Capital(www.tuesday.vc), Walden International(www.waldenintl.com)</t>
  </si>
  <si>
    <t>Gunderson Dettmer(Legal Advisor), Kickstarter(Lead Manager or Arranger), Orrick, Herrington &amp; Sutcliffe(Legal Advisor), West (San Francisco)(Consulting)</t>
  </si>
  <si>
    <t>Gunderson Dettmer(Legal Advisor), Kickstarter(Lead Manager or Arranger), Orrick, Herrington &amp; Sutcliffe(Legal Advisor)</t>
  </si>
  <si>
    <t>66180-70</t>
  </si>
  <si>
    <t>Avaamo</t>
  </si>
  <si>
    <t>Asana, Leankor, Kore.ai, Automation Anywhere, Passage AI, Lua (Communication Software), Active.AI, Smooch, Pypestream, Conversable, Mavenlink, Converse.AI, JRNI, Moxtra, Tropo, Clarizen, Allthings, PanTerra Networks, Slack, Gridle, Zoom.ai, Nexmo, Producteev, Flamingo AI, PullString, VictorOps, Chili Piper, RedBooth, Wrike, Parlo (AI Workforce Services), Arago, Podio, Symphony Communication Services, Jive Software, Dooly, Recast.AI, PagerDuty, Pandorabots, LiquidPlanner, SAP, Amplify.ai, Trello, Red e App, Basecamp, Dialogflow, International Business Machines</t>
  </si>
  <si>
    <t>Developer of an enterprise virtual assistant platform designed to reinvent the way people communicate, transact and get work done. The company's platform combines artificial intelligence, machine learning, conversation design and integration to legacy enterprise workflows, enabling enterprises to simplify the time needed to design and deploy enterprise bots or virtual assistants to employees and customers.</t>
  </si>
  <si>
    <t>ai software platform, chatbot, data protection, deep learning software, enterprise chatbot, enterprise software</t>
  </si>
  <si>
    <t>www.avaamo.ai</t>
  </si>
  <si>
    <t>2016: 27, 2017: 27, 2018: 55</t>
  </si>
  <si>
    <t>76308-67P</t>
  </si>
  <si>
    <t>Ram Menon</t>
  </si>
  <si>
    <t>ram@avaamo.com</t>
  </si>
  <si>
    <t>+1 (650) 383-5660</t>
  </si>
  <si>
    <t>280 2nd Street</t>
  </si>
  <si>
    <t>contact@avaamo.com</t>
  </si>
  <si>
    <t>The company raised $14.2 million of Series A venture funding in a deal led by Intel Capital on May 8, 2018, putting the company's pre-money valuation at $45 million. Wipro Ventures, Ericsson Ventures, Mahindra Partners, and WI Harper Group also participated in the round. The company intends to use the funds to expand its sales and marketing efforts.</t>
  </si>
  <si>
    <t>11.2 Capital, Atiq Raza, Beenos Partners, BluePointe Ventures, Eric Chen, Ericsson Ventures, Hironori Maeda, Intel Capital, Jay Sethuram, Mahindra Partners, Monta Vista Capital, OVO Fund, Raj Sandhu, Raj Singh, Rajeev Madhavan, Rembrandt Venture Partners, Streamlined Ventures, UJ Ventures, WI Harper Group, Wipro Ventures</t>
  </si>
  <si>
    <t>11.2 Capital(www.112capital.com), Beenos Partners(www.beenos.com), BluePointe Ventures(www.bluepointeventures.com), Hironori Maeda(hiromaeda.com), Intel Capital(www.intelcapital.com), Mahindra Partners(www.mahindrapartners.com), Monta Vista Capital(www.montavc.com), Rembrandt Venture Partners(www.rembrandtvc.com), Streamlined Ventures(www.streamlinedventures.com), WI Harper Group(www.wiharper.com)</t>
  </si>
  <si>
    <t>Landmark Ventures(Advisor: General), Orrick, Herrington &amp; Sutcliffe(Legal Advisor), Pillsbury Winthrop Shaw Pittman(Legal Advisor)</t>
  </si>
  <si>
    <t>172234-81</t>
  </si>
  <si>
    <t>AutoX</t>
  </si>
  <si>
    <t>Developer of an autonomous driving technology designed to offer self-driving vehicles that are reliable, affordable and accessible to people. The company's technology uses artificial intelligence, cameras and other low-cost sensors to provide safe, reliable and affordable autonomous delivery, enabling users to react rapidly and make self-driving decisions as well as make their everyday lives more convenient</t>
  </si>
  <si>
    <t>Application Software, Automotive*, Information Services (B2C)</t>
  </si>
  <si>
    <t>autonomous delivery, autonomous drives, autonomous drives technology, location-based services, self drives, self drives car technology</t>
  </si>
  <si>
    <t>www.autox.ai</t>
  </si>
  <si>
    <t>2017: 20, 2018: 90</t>
  </si>
  <si>
    <t>159546-34P</t>
  </si>
  <si>
    <t>Jianxiong Xiao</t>
  </si>
  <si>
    <t>Founder, Chief Financial Officer &amp; Chief Executive Officer</t>
  </si>
  <si>
    <t>profx@autox.ai</t>
  </si>
  <si>
    <t>1147 Wunderlich Drive</t>
  </si>
  <si>
    <t>contact@autox.ai</t>
  </si>
  <si>
    <t>The company is reportedly seeking $100 million of venture funding from undisclosed investors as of January 15, 2019. The funding will be used to finance its research and development into self-driving cars. The fresh funds will also enable AutoX to increase its fleet as tech companies race each other to teach machines how to master driving skills. Prior to that, the company raised $15 million of Series A1 venture funding in a deal led by MediaTek Ventures on December 7, 2017. SAIC Capital also participated in the round. The company is being actively tracked by PitchBook.</t>
  </si>
  <si>
    <t>Digital Horizon Capital, MediaTek Ventures, Plug and Play Tech Center, SAIC Capital</t>
  </si>
  <si>
    <t>Digital Horizon Capital(www.dh.vc), Plug and Play Tech Center(www.plugandplaytechcenter.com), SAIC Capital(www.saicvc.com)</t>
  </si>
  <si>
    <t>55315-09</t>
  </si>
  <si>
    <t>Autotalks</t>
  </si>
  <si>
    <t>Developer of fabless semiconductors intended to provide vehicle-to-vehicle (V2V) communications in autonomous driving. The company's semiconductors includes automotive-qualified chip-set that supports all the functions required from the V2X Electronic Control Unit (ECU), enabling clients to get a wide variety of devices, protocols and applications.</t>
  </si>
  <si>
    <t>Application Specific Semiconductors, Connectivity Products*, Production (Semiconductors)</t>
  </si>
  <si>
    <t>automotive communication, autonomous drives, communication processor, fabless semiconductor, vehicle communication</t>
  </si>
  <si>
    <t>www.auto-talks.com</t>
  </si>
  <si>
    <t>2013: 40, 2014: 31, 2015: 36, 2016: 60, 2018: 100</t>
  </si>
  <si>
    <t>153311-23P</t>
  </si>
  <si>
    <t>Nir Pinhas</t>
  </si>
  <si>
    <t>nir.pinhas@auto-talks.com</t>
  </si>
  <si>
    <t>+972 (0)9 886 5300</t>
  </si>
  <si>
    <t>Kfar-Netter, Israel</t>
  </si>
  <si>
    <t>4 Meir Ariel Street, Grand Netter Building</t>
  </si>
  <si>
    <t>P.O. Box 3846</t>
  </si>
  <si>
    <t>Kfar-Netter</t>
  </si>
  <si>
    <t>40593</t>
  </si>
  <si>
    <t>+972 (0)9 886 5301</t>
  </si>
  <si>
    <t>info@auto-talks.com</t>
  </si>
  <si>
    <t>The company raised an undisclosed amount of venture funding from Hyundai CRADLE on July 3, 2018.</t>
  </si>
  <si>
    <t>Amiti Ventures, Delek Motors, Fraser McCombs Capital, Gemini Israel Ventures, GlenRock Israel, Global Investment Group, Hyundai CRADLE, Liberty Ventures Group, Magma Venture Partners, Maniv Mobility, Mitsui Global Investment, Samsung Catalyst, SPARX Group Company, Toyota Motor, Vintage Investment Partners</t>
  </si>
  <si>
    <t>Amiti Ventures(www.amiticapital.com), Delek Motors(www.delek-motors.co.il), Fraser McCombs Capital(www.fmcap.com), Gemini Israel Ventures(www.gemini.co.il), GlenRock Israel(www.grg.co.il), Global Investment Group(www.standrewsgig.com), Hyundai CRADLE(www.cradleinc.com), Magma Venture Partners(www.magmavc.com), Maniv Mobility(www.maniv.com), Mitsui Global Investment(www.mitsui-global.com), Samsung Catalyst(www.samsungcatalyst.com), SPARX Group Company(www.sparx.jp), Toyota Motor(www.toyota.co.jp), Vintage Investment Partners(www.vintage-ip.com)</t>
  </si>
  <si>
    <t>55393-75</t>
  </si>
  <si>
    <t>Autopilot</t>
  </si>
  <si>
    <t>Bislr</t>
  </si>
  <si>
    <t>Iterable, Klaviyo, Percolate, Yesware, Silverpop Systems, 6Sense, Salesfusion, Hatchbuck, Radius (Database Software), Conversica, SalesLoft, Integrate.com, SugarCRM, RingDNA, Act-On, Agile CRM, Bluecore, Intercom, Tenfold, Pipedrive, GetResponse, Bronto Software, ClickDimensions, Mintigo, Demandbase, SharpSpring, Outreach, Infer, Growbots, Insightly, HubSpot, EverString, Pardot, SproutLoud Media Networks, VerticalResponse, Base (Sales Platform), SAS Institute, Marketo, ZenIQ, Lattice (Business/Productivity Software), Salesforce, eTrigue, Zift Solutions, CustomerMatrix, Close.io, Keap (Saas Platform), Kayako, InsideSales.com, HappyFox, Zendesk, ActiveCampaign</t>
  </si>
  <si>
    <t>Developer of a marketing automation software intended to automate marketing with visual customer journey. The company's platform features website tracking, customer journey map, easy to use analytics dashboard, CRM integration, lead generation and multi-channel marketing among other solutions, enabling organizations to understand their customer behavior and be more productive in the process.</t>
  </si>
  <si>
    <t>customer journey tracker, marketing automation platform, marketing automation product, marketing automation solutions, marketing software product</t>
  </si>
  <si>
    <t>www.autopilothq.com</t>
  </si>
  <si>
    <t>2015: 33</t>
  </si>
  <si>
    <t>46322-65P</t>
  </si>
  <si>
    <t>Michael Sharkey</t>
  </si>
  <si>
    <t>mike@bislr.com</t>
  </si>
  <si>
    <t>149 New Montgomery Street</t>
  </si>
  <si>
    <t>4th Floor, Suite 631</t>
  </si>
  <si>
    <t>The company joined Queen City Fintech on an undisclosed date.</t>
  </si>
  <si>
    <t>Blackbird Ventures, Draper Associates, Garnett Ventures, Individual Investor, Kane Rogers, Peregrine Ventures, Queen City Fintech, Rembrandt Venture Partners, Salesforce Ventures, Southern Cross Venture Partners, Stage One Capital, Timothy Draper</t>
  </si>
  <si>
    <t>Blackbird Ventures(www.blackbird.vc), Draper Associates(www.draper.vc), Garnett Ventures(www.garnettventures.bislr.com), Peregrine Ventures(www.peregrinevc.com), Queen City Fintech(www.qcfintech.co), Rembrandt Venture Partners(www.rembrandtvc.com), Southern Cross Venture Partners(www.sxvp.com), Stage One Capital(www.stage1capital.com), Timothy Draper(www.timothydraper.com)</t>
  </si>
  <si>
    <t>82498-69</t>
  </si>
  <si>
    <t>Automile</t>
  </si>
  <si>
    <t>Versafleet, Visirun, LogiNext, Coretex, Routific, Decisiv, KeepTruckin, Fleetmatics Group, Fleet Complete, ABAX, Earthwave Technologies, Zonar Systems, Sascar, Synx, Fleetio, Shaw Tracking, GPSTrackIt, Lytx, Geoforce, Blue Tree Systems, Cartasite</t>
  </si>
  <si>
    <t>Provider of mobile-first, design-first fleet and field service management services intended to connect vehicle drivers to fleet managers. The company's mobile-first, design-first fleet and field service management services uses Internet of Things (IoT), enabling business of all sizes to track their vehicles and assets, remove paperwork, stay compliant, improve vehicle utilization, reduce accidents and increase productivity.</t>
  </si>
  <si>
    <t>field service management, fleet maintenance, telematics, track fleet movement, track fuel consumption</t>
  </si>
  <si>
    <t>www.automile.com</t>
  </si>
  <si>
    <t>2015: 9, 2016: 22</t>
  </si>
  <si>
    <t>99940-69P</t>
  </si>
  <si>
    <t>Jens Nylander</t>
  </si>
  <si>
    <t>jens.nylander@automile.com</t>
  </si>
  <si>
    <t>+1 (415) 749-9270</t>
  </si>
  <si>
    <t>291 Alma Street</t>
  </si>
  <si>
    <t>The company raised $34 million Series B venture funding in a deal led by Insight Venture Partners on October 19, 2017, putting the company's pre-money valuation at $87 million. SaaStr, Dawn Capital, Point Nine Capital and Salesforce Ventures also participated in the round. The company which has raised $47 million in total funding to date, intends to use the funds to invest in sales, marketing and product development and open multiple new sales offices both in the US and Europe.</t>
  </si>
  <si>
    <t>Atomico, Christoph Janz, Dawn Capital, Insight Partners, Jason Lemkin, Justin Kan, Niklas Zennström, Point Nine Capital, SaaStr, Salesforce Ventures, Sam Nurmi</t>
  </si>
  <si>
    <t>Atomico(www.atomico.com), Dawn Capital(www.dawncapital.com), Insight Partners(www.insightpartners.com), Justin Kan(www.justinkan.com), Point Nine Capital(www.pointninecap.com), SaaStr(www.saastr.com)</t>
  </si>
  <si>
    <t>228074-59</t>
  </si>
  <si>
    <t>Automation Hero</t>
  </si>
  <si>
    <t>SalesHero</t>
  </si>
  <si>
    <t>InsideSales.com, Keap (Saas Platform), Ontraport, Marketo, Velocify, DigitalGenius, SharpSpring, DialSource, Outreach, Pepperi</t>
  </si>
  <si>
    <t>Provider of a sales assistant software designed to empower sales teams through artificial intelligence. The company's software called Robin uses machine learning to learn from user's actions and automate sales processes by offering new and pertinent accounts and leads, as well as important missing or outdated details, enabling users to save time from repetitive sales entering tasks.</t>
  </si>
  <si>
    <t>ai sales technology, sales ai assistant, sales assistant, sales automation, sales technology</t>
  </si>
  <si>
    <t>automationhero.ai</t>
  </si>
  <si>
    <t>37155-43P</t>
  </si>
  <si>
    <t>Stefan Groschupf</t>
  </si>
  <si>
    <t>stefan.groschupf@saleshero.ai</t>
  </si>
  <si>
    <t>+(650) 286-9100 101</t>
  </si>
  <si>
    <t>hi@saleshero.ai</t>
  </si>
  <si>
    <t>The company raised $14.5 million of Series A venture funding in a deal led by Atomico on March 13, 2019, putting the company's pre-money valuation at $25.5 million. Baidu Ventures and Cherry Ventures Management also participated in the round. The company intends to use the funds to accelerate growth, including the expansion of its international team. Earlier, the company raised $1.5 million of seed1 funding from Baidu Ventures, Comet Labs and Cherry Ventures Management on April 24, 2018, putting the company's pre-money valuation at $8.50 million. signals Venture Capital also participated in the round.</t>
  </si>
  <si>
    <t>Atomico, Baidu Ventures, Cherry Ventures Management, Comet Labs, signals Venture Capital</t>
  </si>
  <si>
    <t>Atomico(www.atomico.com), Baidu Ventures(www.bv.ai), Cherry Ventures Management(www.cherry.vc), Comet Labs(www.cometlabs.io), signals Venture Capital(www.signals.vc)</t>
  </si>
  <si>
    <t>Fenwick &amp; West(Legal Advisor), WilmerHale(Legal Advisor)</t>
  </si>
  <si>
    <t>95733-46</t>
  </si>
  <si>
    <t>Automation Anywhere</t>
  </si>
  <si>
    <t>Tethys Solutions</t>
  </si>
  <si>
    <t>UiPath, Redwood Software, Kryon Systems, OpenSpan, Contextor, WorkFusion, Thoughtonomy, Kofax, Appian, Automic Software, BMC Software, Nintex Global, DigitalGenius, Softomotive, Compli, TurnKey Solutions, Rage Frameworks, Bizagi, Electric Cloud, Appvance.ai, Worksoft, Adra Software, docSTAR, Winshuttle, Dynatrace, Marketo, TIBCO Software, QASymphony, Alfresco Software, Verint Systems, Applitools, Noble Systems, Blue Prism, Network Automation, HelpSystems, Test.ai, Ranorex, RatchetSoft, Arago, Zephyr (Software), ResponseTek, Webiplex, EnableSoft, APImetrics, Talkdesk, SAP, Pegasystems, Aspect Software, ForeSee Results, SmartBear, QuestBack, LiveVox, Madumbo</t>
  </si>
  <si>
    <t>Provider of robotic process automation designed to work side by side with people to handle repetitive routines and tasks found within many industries. The company's automation platform provides bots powered by artificial intelligence trained to automate process steps running on any application, combines robotic process automation (RPA), cognitive automation and embedded workforce analytics, enabling businesses to manage and scale their processes faster, with near-zero error rates, while dramatically reducing operational costs.</t>
  </si>
  <si>
    <t>automation execution, automation management, business process automation, cognitive bot, process automation, software bot, software robots</t>
  </si>
  <si>
    <t>www.automationanywhere.com</t>
  </si>
  <si>
    <t>2017: 127, 2018: 1500</t>
  </si>
  <si>
    <t>106059-61P</t>
  </si>
  <si>
    <t>Mihir Shukla</t>
  </si>
  <si>
    <t>mihir.shukla@automationanywhere.com</t>
  </si>
  <si>
    <t>+1 (888) 484-3535</t>
  </si>
  <si>
    <t>633 River Oaks Parkway</t>
  </si>
  <si>
    <t>contact@automationanywhere.com</t>
  </si>
  <si>
    <t>The company raised an undisclosed amount of venture funding from Workday Ventures on February 7, 2019.</t>
  </si>
  <si>
    <t>General Atlantic, Goldman Sachs Merchant Banking Division, New Enterprise Associates, SoftBank Group, WiL (World Innovation Lab), Workday Ventures</t>
  </si>
  <si>
    <t>General Atlantic(www.generalatlantic.com), New Enterprise Associates(www.nea.com), SoftBank Group(www.softbank.jp), WiL (World Innovation Lab)(www.wilab.com)</t>
  </si>
  <si>
    <t>VPTax(Accounting)</t>
  </si>
  <si>
    <t>161550-82</t>
  </si>
  <si>
    <t>Automata Technologies</t>
  </si>
  <si>
    <t>Automata</t>
  </si>
  <si>
    <t>Developer of a technology platform designed to bring the next revolution in manufacturing by making robotic automation affordable and simple. The company's platform builds simple and affordable robots for professionals in a lab, in the classroom or on a production line, enabling customers to access robots that can work beside people and make it easy to reconfigure different tasks that can be accessed from anywhere, at any time, from any device.</t>
  </si>
  <si>
    <t>industrial automation, industrial robots, robot designing tool, robotics assistants, robotics automation systems</t>
  </si>
  <si>
    <t>www.automata.tech</t>
  </si>
  <si>
    <t>2016: 7, 2018: 42, 2019: 42</t>
  </si>
  <si>
    <t>138357-46P</t>
  </si>
  <si>
    <t>Suryansh Chandra</t>
  </si>
  <si>
    <t>suryansh@getautomata.com</t>
  </si>
  <si>
    <t>+44 (0)20 3887 0254</t>
  </si>
  <si>
    <t>Unit 4 Holford Yard</t>
  </si>
  <si>
    <t>Bevin Way</t>
  </si>
  <si>
    <t>WC1X 9HD</t>
  </si>
  <si>
    <t>info@automata.tech</t>
  </si>
  <si>
    <t>The company joined Upscale (London) as a part of the Cohort class. Previously, the company raised GBP 5.3 million of Series A venture funding in a deal led by Hummingbird Ventures in March 2018, putting the pre-money valuation at GBP 12.43 million. ABB Technology Ventures, LocalGlobe, Firstminute Capital, Hardware Club and Entrepreneur First also participated in the round. The company intends to use the funds to continue the expansion of their team of 42, as well as supporting the increased production of Eva.</t>
  </si>
  <si>
    <t>ABB Technology Ventures, Entrepreneur First, Firstminute Capital, Hardware Club, Hummingbird Ventures, LocalGlobe, Upscale (London)</t>
  </si>
  <si>
    <t>Entrepreneur First(www.joinef.com), Firstminute Capital(www.firstminute.capital), Hardware Club(www.hardwareclub.co), Hummingbird Ventures(www.hummingbird.vc), LocalGlobe(www.localglobe.vc), Upscale (London)(www.upscaleuk.com)</t>
  </si>
  <si>
    <t>162899-83</t>
  </si>
  <si>
    <t>Automat.ai</t>
  </si>
  <si>
    <t>Msg.Ai, Botfuel, Reply.ai, Agent IQ, Connecto (Conversational Marketing), Conversable, Myra Labs, Motion AI, Kitt.Ai, Chatfuel, MessageUs, Pandorabots, Viv Labs, Snaps, PullString, Recast.AI, Octane AI, Assist</t>
  </si>
  <si>
    <t>Developer of a chatbot technology offer personalized one-on-one conversations at scale. The company's chatbot technology enables users to communicate with their customers, fans and employees by using a mixture of mobile messaging and artificial intelligence, enabling companies to their customers, understand them and serve them better.</t>
  </si>
  <si>
    <t>ai bot, artificial intelligence agent, bot messaging, chatbot technology, conversational commerce, conversational marketing, dialog management system, marketing optimization, marketing personalisation, messaging platform</t>
  </si>
  <si>
    <t>www.automat.ai</t>
  </si>
  <si>
    <t>140616-55P</t>
  </si>
  <si>
    <t>Andy Mauro</t>
  </si>
  <si>
    <t>andy@automat.ai</t>
  </si>
  <si>
    <t>info@automat.ai</t>
  </si>
  <si>
    <t>The company raised $8.3 million of Series A venture funding in a round led by You &amp; Mr Jones Brandtech Ventures on June 8, 2017. Comcast Ventures, Omidyar Technology Ventures, Relay Ventures, Real Ventures and USAA Ventures also participated in this round. The funding, which brings the total raised to $11 million, will be used by the company to support and expand the company's engineering, research and product teams to accelerate the development of additional features.</t>
  </si>
  <si>
    <t>C100 Association, Comcast Ventures, Creative Destruction Lab, Omidyar Technology Ventures, O'Reilly AlphaTech Ventures, Real Ventures, Relay Ventures, Slack, USAA Ventures, You &amp; Mr Jones Brandtech Ventures</t>
  </si>
  <si>
    <t>C100 Association(www.thec100.org), Comcast Ventures(www.comcastventures.com), Creative Destruction Lab(www.creativedestructionlab.com), Omidyar Technology Ventures(www.omidyarventures.com), O'Reilly AlphaTech Ventures(www.oatv.com), Real Ventures(www.realventures.com), Relay Ventures(www.relayventures.com), Slack(www.slack.com)</t>
  </si>
  <si>
    <t>53964-73</t>
  </si>
  <si>
    <t>AutoGrid</t>
  </si>
  <si>
    <t>GridCure, FirstFuel Software, SAP, NetScout Systems, Opower, Corvil, Aras, GridPoint, CloudCheckr, Geli, BMC Software, Ansys, Relayr, SysAid Technologies, Automic Software, Alation, Neurio, QASymphony, Powerley, Grid4C, SevOne, EnergyHub, Atlantis Computing, Riverbed Technology, OhmConnect, IJENKO, Ayla Networks, Jetlun, Onzo, PlotWatt, Invenia, EcoFactor, Verdigris, WegoWise, Bidgely, Smappee, EnergyX Solutions, Stem, Wattvision</t>
  </si>
  <si>
    <t>Developer of big data analytics and cloud-computing technology designed to enable a smarter distributed energy world. The company's big data analytics and cloud-computing technology use flexibility management to solve the key challenges posed by the distributed Energy Internet, enabling the energy sector to deliver clean, affordable and reliable energy by managing networked distributed energy resources (DERs) in real time and at scale.</t>
  </si>
  <si>
    <t>Big Data, CleanTech, SaaS, TMT</t>
  </si>
  <si>
    <t>electricity infrastructure, energy data, energy efficiency technology, power grid optimization, power infrastructure, predictive technology</t>
  </si>
  <si>
    <t>www.auto-grid.com</t>
  </si>
  <si>
    <t>2016: 52</t>
  </si>
  <si>
    <t>News (New) , Competitor (New) Alation, Competitor (New) Ansys, Competitor (New) Aras, Competitor (New) Automic Software, Competitor (New) Ayla Networks, Competitor (New) BMC Software, Competitor (New) CloudCheckr, Competitor (New) Corvil, Competitor (New) EnergyHub, Competitor (New) FirstFuel Software, Competitor (New) Jetlun, Competitor (New) NetScout Systems, Competitor (New) Neurio, Competitor (New) Powerley, Competitor (New) QASymphony, Competitor (New) Relayr, Competitor (New) Riverbed Technology, Competitor (New) SAP, Competitor (New) SevOne, Competitor (New) SysAid Technologies</t>
  </si>
  <si>
    <t>40443-40P</t>
  </si>
  <si>
    <t>Amit Narayan</t>
  </si>
  <si>
    <t>amit@auto-grid.com</t>
  </si>
  <si>
    <t>+1 (650) 461-9038</t>
  </si>
  <si>
    <t>255 Shoreline Drive</t>
  </si>
  <si>
    <t>+1 (650) 464-7698</t>
  </si>
  <si>
    <t>info@auto-grid.com</t>
  </si>
  <si>
    <t>The company received an undisclosed amount of financing from Schneider Electric on May 31, 2019. The funding establishes a co-innovation partnership focused on driving new AI and machine learning solutions for the utilities and commercial and industrial companies. Earlier, the company raised $32 million of Series D venture funding from E.ON Strategic Co-Investments, Envision Energy and Total Energy Ventures on January 18, 2019, putting the company's pre-money valuation at $105 million. National Grid, National Grid Partners, Shell Ventures, Tenaska Capital Management, Energy Impact Partners, Foundation Capital, ClearSky (North Palm Beach), Innogy Innovation Hub, CLP Innovation Ventures Limited, Innogy Venture Capital, Clearvision Ventures and Ørstead also participated in the round. The company intends to use the funds to hire in energy, Artificial intelligence, big data and Internet of Things areas to develop the capacity to manage large-scale and complex grid modernization and digital transformation projects across the globe and to accelerate commercial deployment of the AutoGrid Flex platform across North America, Europe and Asia-Pacific.</t>
  </si>
  <si>
    <t>ClearSky (North Palm Beach), Clearvision Ventures, CLP Innovation Ventures Limited, E.ON Strategic Co-Investments, Energy Impact Partners, Envision Energy, Envision Ventures, Foundation Capital, Innogy Innovation Hub, Innogy Venture Capital, Leland Stanford Junior University, National Grid, National Grid Partners, Ørstead, Root9B Technologies, Schneider Electric, Shell Ventures, Stanford Management Company, Tenaska Capital Management, Total Energy Ventures, U.S. Department of Energy</t>
  </si>
  <si>
    <t>ClearSky (North Palm Beach)(www.clear-sky.com), Clearvision Ventures(www.clearvisionventures.com), Energy Impact Partners(www.energyimpactpartners.com), Envision Energy(envision-energy.net), Envision Ventures(www.envisionvc.com), Foundation Capital(www.foundationcapital.com), Innogy Innovation Hub(innovationhub.innogy.com), Innogy Venture Capital(www.innogy-ventures.com), Leland Stanford Junior University(www.stanford.edu), National Grid(www.nationalgrid.com), National Grid Partners(www.ngpartners.com), Root9B Technologies(www.root9bholdings.com), Schneider Electric(www.schneider-electric.com), Stanford Management Company(smc.stanford.edu), Tenaska Capital Management(www.tenaskacapital.com), U.S. Department of Energy(www.energy.gov)</t>
  </si>
  <si>
    <t>Enertech Search Partners(Consulting)</t>
  </si>
  <si>
    <t>178930-90</t>
  </si>
  <si>
    <t>Aurora (Automotive)</t>
  </si>
  <si>
    <t>Developer of an autonomous car technology designed to create self driving cars. The company's technology uses advanced machine learning software and hardware to power self driving cars by leveraging a combination of camera, radar and LiDAR, enabling clients to make roads safer and improve access to mobility.</t>
  </si>
  <si>
    <t>Automation/Workflow Software, Automotive*, Business/Productivity Software</t>
  </si>
  <si>
    <t>autonomous car, autonomous car technology, autonomous technologies, autonomous vehicle software, car self drives platform, self drives car technology</t>
  </si>
  <si>
    <t>www.aurora.tech</t>
  </si>
  <si>
    <t>159616-45P</t>
  </si>
  <si>
    <t>Chris Urmson</t>
  </si>
  <si>
    <t>curmson@aurora.tech</t>
  </si>
  <si>
    <t>+1 (412) 983-6681</t>
  </si>
  <si>
    <t>429 Acacia Avenue</t>
  </si>
  <si>
    <t>The company raised $530 million of Series B venture funding in a deal led by Sequoia Capital on February 7, 2019, putting the company's pre-money valuation at $1.97 billion. Amazon.com, Geodesic, Shell Ventures, Reinvent Capital, Lightspeed Venture Partners, Greylock Partners, Index Ventures (UK) and T. Rowe Price also participated in the round. Earlier, the company raised $90 million through a combination of debt and equity on February 28, 2018, putting the company's pre-money valuation at $500 million. Equity portion of Series A was led by Greylock Partners and Index Ventures (UK) with participation from other undisclosed investors. A $7 debt portion was provided by undisclosed lenders.</t>
  </si>
  <si>
    <t>Amazon.com, Geodesic, Geodesic Capital, Greylock Partners, Index Ventures (UK), Lightspeed Venture Partners, Reinvent Capital, Sequoia Capital, Shell Ventures, T. Rowe Price</t>
  </si>
  <si>
    <t>Amazon.com(www.amazon.com), Geodesic(www.geodesic.com), Geodesic Capital(www.geodesiccap.com), Greylock Partners(www.greylock.com), Index Ventures (UK)(www.indexventures.com), Lightspeed Venture Partners(www.lsvp.com), Reinvent Capital(www.reinventcap.com), Sequoia Capital(www.sequoiacap.com), T. Rowe Price(www3.troweprice.com)</t>
  </si>
  <si>
    <t>170773-39</t>
  </si>
  <si>
    <t>Aunt Fannie's</t>
  </si>
  <si>
    <t>Aunt Fannie</t>
  </si>
  <si>
    <t>Burt's Bees, Clorox Argentina</t>
  </si>
  <si>
    <t>Producer of home cleaning products intended to simplify housekeeping and pest control. The company's non-toxic and food-grade cleaning products are based on natural fruits which get rid of the bad microbes and nurtures the good ones, enabling customers to keep their houses clean and free of pests without risk of chemical exposure and contamination in a healthy, environment-friendly and easy manner.</t>
  </si>
  <si>
    <t>Household Products</t>
  </si>
  <si>
    <t>Household Products*, Internet Retail</t>
  </si>
  <si>
    <t>cleaning product, home cleaning product, natural cleaning product, pest control product, pest removal, pesticides</t>
  </si>
  <si>
    <t>www.auntfannies.com</t>
  </si>
  <si>
    <t>157513-69P</t>
  </si>
  <si>
    <t>Mathew Franken</t>
  </si>
  <si>
    <t>+1 (864) 642-2079</t>
  </si>
  <si>
    <t>P.O. Box 14766</t>
  </si>
  <si>
    <t>97293</t>
  </si>
  <si>
    <t>+1 (888) 317-9832</t>
  </si>
  <si>
    <t>info@auntfannie.com</t>
  </si>
  <si>
    <t>The company raised $5 million of Series B venture funding in a deal led by Monica Nassif, Kay Hong and Stuart Erickson on February 14, 2019. Portland Seed Fund and other undisclosed investors also participated in this round. The capital will be used to accelerate the growth of the company's home cleaning, pest, and personal care lineup, to launch innovations in personal care and cleaning at Natural Products Expo West in early March.</t>
  </si>
  <si>
    <t>Brian Durst, Busch Global Ventures, CircleUp Network, David Charne, Kay Hong, Monica Nassif, Portland Seed Fund, Reynolds and Company Venture Partners, Ricardo Alvarez, Starveups, Stuart Erickson</t>
  </si>
  <si>
    <t>CircleUp Network(www.circleup.com), Portland Seed Fund(www.portlandseedfund.com), Reynolds and Company Venture Partners(www.rcvpartners.com), Starveups(www.starveups.com)</t>
  </si>
  <si>
    <t>CircleUp Network(Lead Manager or Arranger), Indiegogo(Lead Manager or Arranger)</t>
  </si>
  <si>
    <t>56626-66</t>
  </si>
  <si>
    <t>Augment (Multimedia and Design Software)</t>
  </si>
  <si>
    <t>Augment</t>
  </si>
  <si>
    <t>Wikitude, Lightform, Virtual Mobile, Zappar, Catchoom, Layar, Nurulize, Kudan, Vuforia, Onshape, Immersv</t>
  </si>
  <si>
    <t>Developer of an augmented reality platform designed to upload and manage client's 3D models. The company's augmented reality platform makes animation simple to preview and configure multimedia models, enabling users to create 3D characters from mobile or desktop.</t>
  </si>
  <si>
    <t>Application Software, Business/Productivity Software, Multimedia and Design Software*</t>
  </si>
  <si>
    <t>Augmented Reality, Mobile, TMT, Virtual Reality</t>
  </si>
  <si>
    <t>animation, augmented application, reality software</t>
  </si>
  <si>
    <t>www.augment.com</t>
  </si>
  <si>
    <t>2013: 8, 2014: 9, 2015: 12, 2016: 30, 2017: 40</t>
  </si>
  <si>
    <t>53279-02P</t>
  </si>
  <si>
    <t>Jean-François Chianetta</t>
  </si>
  <si>
    <t>jeanfrancois@agmt.co</t>
  </si>
  <si>
    <t>+33 (0)1 76 36 09 64</t>
  </si>
  <si>
    <t>107 Avenue Parmentier</t>
  </si>
  <si>
    <t>contact@agmt.co</t>
  </si>
  <si>
    <t>The company raised $5 million of venture funding in a deal led by Silicon Valley Data Capital and JAZZ Venture Partners on September 14, 2017. Other undisclosed investors also participated in this round. The company will use the funds to bolster the Augment AI platform.</t>
  </si>
  <si>
    <t>Impulse Partners, JAZZ Venture Partners, Laurent Therezien, Nicolas Vauvilliez, Numa, Olivier Mathiot, Salesforce Ventures, Silicon Valley Data Capital, Tristan Vyskoc</t>
  </si>
  <si>
    <t>Impulse Partners(www.impulse-partners.com), JAZZ Venture Partners(www.jazzvp.com), Numa(www.numa.co)</t>
  </si>
  <si>
    <t>62200-09</t>
  </si>
  <si>
    <t>Augmate</t>
  </si>
  <si>
    <t>Soti, AirWatch, OutSystems, MobileIron, 42Gears Mobility Systems</t>
  </si>
  <si>
    <t>Developer of a wearable device management platform intended to securely deploy and manage smart glasses and other wearables. The company's platform manages each variable across an entire organization and features administration of wearable devices and users, remote device locking and connection with multiple WiFi networks for increased connectivity, enabling organizations to provide a seamless experience for employees while keeping the information safe and intact.</t>
  </si>
  <si>
    <t>Internet of Things, SaaS, TMT, Wearables &amp; Quantified Self</t>
  </si>
  <si>
    <t>artificial intelligence analytics, iot, mobile, smart glass platform, wearable device management technology, wearable platform</t>
  </si>
  <si>
    <t>www.augmate.io</t>
  </si>
  <si>
    <t>2013: 9, 2014: 9, 2015: 12, 2016: 15, 2017: 16, 2018: 21, 2019: 25</t>
  </si>
  <si>
    <t>64244-98P</t>
  </si>
  <si>
    <t>Pete Wassell</t>
  </si>
  <si>
    <t>pete@augmate.com</t>
  </si>
  <si>
    <t>+1 (855) 284-6283</t>
  </si>
  <si>
    <t>Build Grand Central</t>
  </si>
  <si>
    <t>335 Madison Avenue, Floor 16</t>
  </si>
  <si>
    <t>The company raised an estimated $13 million of Seed 2 venture funding from Reflective Ventures on September 28, 2018, putting the company's pre-money valuation at $32 million.</t>
  </si>
  <si>
    <t>Archangel Venture Capital, Camp One Ventures, Company (Office Space), CounterPointe Ventures, Dean Benjamin, Edward Park, Excell Partners, FP Angels, Next47, Rothenberg Ventures, Simon Venture Group, Timothy Draper, UPS Strategic Enterprise Fund, UpVentures, Visary Capital, Westcott</t>
  </si>
  <si>
    <t>Camp One Ventures(www.camponeventures.com), Company (Office Space)(www.company.co), CounterPointe Ventures(www.counterpointeventures.com), Excell Partners(www.excellny.com), FP Angels(fpangels.com), Next47(Next47.com), Rothenberg Ventures(www.rothenbergventures.com), Simon Venture Group(simonventuregroup.com), Timothy Draper(www.timothydraper.com), UpVentures(www.upventures.com), Visary Capital(www.visary.capital), Westcott(www.westcott.com)</t>
  </si>
  <si>
    <t>McCarter &amp; English(Legal Advisor), PCG Advisory Group(Advisor: General), Sheppard Mullin Richter &amp; Hampton(Legal Advisor)</t>
  </si>
  <si>
    <t>Loeb &amp; Loeb(Legal Advisor), McCarter &amp; English(Legal Advisor), Sheppard Mullin Richter &amp; Hampton(Legal Advisor)</t>
  </si>
  <si>
    <t>150358-78</t>
  </si>
  <si>
    <t>Audioburst</t>
  </si>
  <si>
    <t>AccuRadio, Critical Mention, Volicon, Google (Radio Automation Business), Apple, Spotify</t>
  </si>
  <si>
    <t>Provider of an audio content search and discovery platform powered by AI designed to leverage the power of personalized audio. The company's platform creates a 'listening identity' based on users' unique listening patterns, interests and preferences, provides podcasters and radio show producers with a suite of tools to transcribe, edit, amplify and monetize audio content and offers SMBs easy integration of audio content playlists into an existing app or site, enabling the world's leading brands to create new opportunities with audio content.</t>
  </si>
  <si>
    <t>Application Software*, Broadcasting, Radio and Television</t>
  </si>
  <si>
    <t>Artificial Intelligence &amp; Machine Learning, AudioTech, Big Data, TMT</t>
  </si>
  <si>
    <t>audio content library, audio information, auditory media, index audio broadcast, spoken-word media, translation software</t>
  </si>
  <si>
    <t>www.audioburst.com</t>
  </si>
  <si>
    <t>Competitor (New) Apple, Competitor (New) Spotify</t>
  </si>
  <si>
    <t>News (New) , Competitor (New) Apple, Competitor (New) Spotify</t>
  </si>
  <si>
    <t>184245-94P</t>
  </si>
  <si>
    <t>Limor Lev</t>
  </si>
  <si>
    <t>limor@audioburst.com</t>
  </si>
  <si>
    <t>228 Hamilton Avenue</t>
  </si>
  <si>
    <t>info@audioburst.com</t>
  </si>
  <si>
    <t>The company raised $10 million of venture funding in a deal led by Hyundai Motor on April 22, 2019. Samsung Venture Investment, Nippon Broadcasting System, Dentsu, and Advanced Media also participated in the round. The funds will be used to further expand into advertising and in vehicles.</t>
  </si>
  <si>
    <t>2B Angels, 83North, Advanced Media, Dentsu, Elron Electronic Industries, Flint Capital, Hyundai Motor, Mobileye, Nippon Broadcasting System, Samsung Venture Investment</t>
  </si>
  <si>
    <t>2B Angels(www.2B-Angels.com), 83North(www.83north.com), Advanced Media(www.advanced-media.co.jp), Dentsu(www.dentsu.co.jp), Elron Electronic Industries(www.elron.com), Flint Capital(www.flintcap.com), Hyundai Motor(www.hyundai.com), Mobileye(www.mobileye.com), Nippon Broadcasting System(jolf.co.jp), Samsung Venture Investment(www.samsungventures.com)</t>
  </si>
  <si>
    <t>111445-30</t>
  </si>
  <si>
    <t>Atzuche</t>
  </si>
  <si>
    <t>Yi Wei Xing, Bitaksi Mobil Teknoloji, HiyaCar, Drivy, Baojia (Beijing) Information Technology, Wunder Mobility, Zoomcar, Careem, Turo, UCAR Technology, Ola, Like Chuxing, Getaround</t>
  </si>
  <si>
    <t>Provider of a P2P car rental and sharing platform. The company's platform helps car owners to rent out their cars to other drivers when unused and car renters can access vehicles in better conditions for rental. It also allows owners to track vehicle's position, see fuel usage, monitor damage alerts and get other vehicle related information enabling them earn from their cars from home while providing an easy access to rental cars.</t>
  </si>
  <si>
    <t>Car-Sharing, Mobile, TMT</t>
  </si>
  <si>
    <t>car rent, mobile-based rent forum</t>
  </si>
  <si>
    <t>www.atzuche.com</t>
  </si>
  <si>
    <t>121472-29P</t>
  </si>
  <si>
    <t>Zhang Wenjian</t>
  </si>
  <si>
    <t>hello@atzuche.com</t>
  </si>
  <si>
    <t>The company raised RMB 400 million of Series C venture funding from China Pacific Insurance (2601.HK; 601601.SH), ChinaEquity Group (833858.NEEQ) and Hangzhou Financial Investment Group on February 23, 2017. China Securities, Matrix Partners China, Hearst Capital, and Ivy Capital also participated in the round. The company will use the funding for product service upgrades and city expansion.</t>
  </si>
  <si>
    <t>Ceyuan Ventures, China Pacific Insurance, China Securities International, ChinaEquity Group, Gaorong Capital, Hangzhou Financial Investment, Hearst Ventures, Ivy Capital, Matrix Partners, Panda Capital Asia, Qing Cong Capital</t>
  </si>
  <si>
    <t>Ceyuan Ventures(www.ceyuan.com), China Pacific Insurance(www.cpic.com.cn), China Securities International(www.csci.hk), ChinaEquity Group(www.chinaequity.net), Gaorong Capital(www.gaorongvc.com), Ivy Capital(www.ivycapital.com), Matrix Partners(www.matrixpartners.com), Panda Capital Asia(www.pandavcfund.com), Qing Cong Capital(qingcongcapital.cn/about.html)</t>
  </si>
  <si>
    <t>107002-45</t>
  </si>
  <si>
    <t>Attivo Networks</t>
  </si>
  <si>
    <t>CrowdStrike, Cylance, SentinelOne, ZeroNorth, Lastline, Allure Security, Verodin, LogRhythm, YesWeHack, Baffin Bay Networks, Dome9 Security, Illusive Networks, Infocyte, Agari, Alert Logic, Smokescreen Technologies, LogicHub, Shape Security, Securonix, Barricade Security Systems, Evident.IO, Arctic Wolf, SecureWorks, Cyphort, Ridgeback, Distil Networks, Acalvio, Carbon Black, Cobalt, SafeBreach, TrapX Security, Fidelis Cybersecurity</t>
  </si>
  <si>
    <t>Developer of a deception technology designed to detect and analyze cyber-attacks easily. The company's technology detects advanced intrusions in networks, public and private data centers and specialized environments such as Industrial Control System (ICS) SCADA, Internet of Things (IoT) and Point of Sale (POS) environments, enabling enterprises to get auto-correlated analysis and lateral movement tracking for evidence-based alerts, forensic reporting, automatic blocking and quarantine of attacks.</t>
  </si>
  <si>
    <t>antivirus software, cyber attack analysis, cyberattacks protection, deception detection, deception technology, network threat management, threat detection</t>
  </si>
  <si>
    <t>www.attivonetworks.com</t>
  </si>
  <si>
    <t>2015: 25, 2019: 170</t>
  </si>
  <si>
    <t>98240-41P</t>
  </si>
  <si>
    <t>Tushar Kothari</t>
  </si>
  <si>
    <t>tushar@attivonetworks.com</t>
  </si>
  <si>
    <t>+1 (510) 623-1000</t>
  </si>
  <si>
    <t>46601 Fremont Boulevard</t>
  </si>
  <si>
    <t>The company raised an an estimated $5 million of Series C-1 venture funding from Singtel Innov8, Energy Impact Partners and Bain Capital Ventures on March 21, 2019, putting the company's pre-money valuation at $230 million. ForgePoint Capital also participated in the round. The company intends to use the funds to expand its portfolio of energy sector-specific deception technology and increase its go-to-market activities to broaden its customer base of utility companies around the world.</t>
  </si>
  <si>
    <t>Bain Capital Ventures, Energy Impact Partners, Exigent, ForgePoint Capital, KAAJ Ventures, Macnica, Omidyar Technology Ventures, Secure Octane, Singtel Innov8</t>
  </si>
  <si>
    <t>Bain Capital Ventures(www.baincapitalventures.com), Energy Impact Partners(www.energyimpactpartners.com), Exigent(www.exigenthq.com), ForgePoint Capital(www.forgepointcap.com), KAAJ Ventures(www.kaajventures.com), Macnica(www.macnica.co.jp), Omidyar Technology Ventures(www.omidyarventures.com), Secure Octane(www.secureoctane.com), Singtel Innov8(innov8.singtel.com)</t>
  </si>
  <si>
    <t>Matter Communications(Advisor: General), Wilson Sonsini Goodrich &amp; Rosati(Legal Advisor)</t>
  </si>
  <si>
    <t>Western Alliance Bank(Debt Financing), Wilson Sonsini Goodrich &amp; Rosati(Legal Advisor)</t>
  </si>
  <si>
    <t>133206-31</t>
  </si>
  <si>
    <t>AttackIQ</t>
  </si>
  <si>
    <t>Demisto, UpGuard, Fidelis Cybersecurity, Phantom Cyber, NSS Labs, Verodin, MediaPRO, LookingGlass Cyber Solutions, FireEye, Click Security, Uplevel, ZeroNorth, Tanium, Polyverse, Elastic Beam, KnowBe4, Barracuda Networks, Arctic Wolf, ThreatQuotient, McAfee, Security Innovation, Mocana, E8 Security, Saviynt, Icebrg, Thycotic Software, Dellfer, Elevate Security, Javelin (Artificial Intelligence Platform), N-Dimension Solutions, Picus Security, Versive, Comilion, BitSight Technologies</t>
  </si>
  <si>
    <t>Developer of an automated validation platform designed to help organizations measure the effectiveness of their security programs. The company's platform automates security assessment by allowing security personnel to either create scenarios or leverage the curated library of existing attack scenarios to continuously attack their environment and expose weaknesses to the security architecture, allowing clients to validate their product and service claims against a client's actual infrastructure and not in a simulated environment.</t>
  </si>
  <si>
    <t>Automation/Workflow Software*, Other Commercial Services</t>
  </si>
  <si>
    <t>automated platform, program validation, security control, security control validation, security software, security testing platform, software validation</t>
  </si>
  <si>
    <t>www.attackiq.com</t>
  </si>
  <si>
    <t>Filing (New) , Competitor (New) Arctic Wolf, Competitor (New) Barracuda Networks, Competitor (New) KnowBe4, Competitor (New) LookingGlass Cyber Solutions, Competitor (New) McAfee, Competitor (New) ThreatQuotient, Competitor (New) Uplevel</t>
  </si>
  <si>
    <t>123794-29P</t>
  </si>
  <si>
    <t>Stephan Chenette</t>
  </si>
  <si>
    <t>stephan.chenette@attackiq.com</t>
  </si>
  <si>
    <t>+1 (888) 588-9116</t>
  </si>
  <si>
    <t>info@attackiq.com</t>
  </si>
  <si>
    <t>The company raised $17.6 million of Series B venture funding in a deal led by Khosla Ventures on May 29, 2019, putting the company's pre-money valuation at $50 million. Telstra Ventures, Salesforce Ventures and Index Ventures (UK) also participated in the round. The funds will be used by the company to accelerate platform development, increase hiring across all teams and expand field operations.</t>
  </si>
  <si>
    <t>408 Ventures, Ero Carrez, EvoNexus, Index Ventures (UK), Jose Duart, Kevin Mahaffey, Khosla Ventures, Qualcomm Ventures, Salesforce Ventures, Telstra Ventures, Thomas Dullin, Tom Parker</t>
  </si>
  <si>
    <t>408 Ventures(www.408ventures.com), EvoNexus(www.evonexus.org), Index Ventures (UK)(www.indexventures.com), Khosla Ventures(www.khoslaventures.com), Qualcomm Ventures(www.qualcommventures.com), Telstra Ventures(www.telstraventures.com)</t>
  </si>
  <si>
    <t>59147-02</t>
  </si>
  <si>
    <t>AtScale</t>
  </si>
  <si>
    <t>DataTorrent, Zoomdata, Confluent, Pentaho, Sisense, MapR, Looker, Arcadia Data, Stitch, SAP, Periscope Data, Mode Analytics, Snowflake, Emanio, Xplenty, Netsil, Kyvos Insights, Platfora, Altiscale, Denodo, Qlik Technologies, DataStax, Unravel Data, Qubole, Grow (Business/Productivity Software), Datameer, Databricks, Yellowfin, SnapLogic, Logi Analytics, Dataiku, Cloudera, Astronomer, GoodData, Birst, Dremio, Splunk, RapidMiner, SAS Institute, Immuta, SignalFx, Segment, Domo, Panoply (Application Software), Jethro, JasperSoft, SlamData, Dundas Data Visualization, Basho</t>
  </si>
  <si>
    <t>Provider of a business intelligence platform designed to make business analytics work on big data. The company's platform uses machine learning that helps to query data in-place where it lands without additional data movement, scale out on big data and OLAP on Hadoop with Virtual Cubes, create models with measures and dimensions, enabling enterprises to maintain scale, performance and control across their big data or Hadoop cluster at all times.</t>
  </si>
  <si>
    <t>business analytics platform, business intelligence portal, data analytics, data federation, microstrategy</t>
  </si>
  <si>
    <t>www.atscale.com</t>
  </si>
  <si>
    <t>2016: 50, 2017: 95</t>
  </si>
  <si>
    <t>62163-10P</t>
  </si>
  <si>
    <t>David Mariani</t>
  </si>
  <si>
    <t>Co-Founder, Vice President of Technology &amp; Board Member</t>
  </si>
  <si>
    <t>dave@atscale.com</t>
  </si>
  <si>
    <t>+1 (650) 204-4959</t>
  </si>
  <si>
    <t>400 South El Camino Real</t>
  </si>
  <si>
    <t>info@atscale.com</t>
  </si>
  <si>
    <t>The company raised $50 million of Series D venture funding in a deal led by Morgan Stanley Investment Management on December 12, 2018. Atlantic Bridge Capital, UMC Capital, Storm Ventures and Wells Fargo Securities also participated in the round. The funds will be used to bolster technology lead, innovate with greater focus on accelerating insights, expand product capabilities and develop deeper relationships within the analytics ecosystem. Additionally, to accelerate investment in sales and marketing, both domestically and internationally.</t>
  </si>
  <si>
    <t>Alan Chiu, AME Cloud Ventures, Amr Awadallah, Atlantic Bridge Capital, Comcast Ventures, Industry Ventures, Michael Franklin, Morgan Stanley Investment Management, Storm Ventures, UCLA Ventures, UMC Capital, Wells Fargo Securities, XSeed Capital, Zhiyuan Yang</t>
  </si>
  <si>
    <t>AME Cloud Ventures(www.amecloudventures.com), Amr Awadallah(www.awadallah.com), Atlantic Bridge Capital(www.abven.com), Comcast Ventures(www.comcastventures.com), Industry Ventures(www.industryventures.com), Storm Ventures(www.stormventures.com), UCLA Ventures(www.ventures.ucla.edu), UMC Capital(www.umccapital.com), Wells Fargo Securities(www.wellsfargo.com/com/securities), XSeed Capital(www.xseedcap.com)</t>
  </si>
  <si>
    <t>Burkland Associates(Accounting), Cooley(Legal Advisor), Fama PR(Advisor: General), Orrick, Herrington &amp; Sutcliffe(Legal Advisor)</t>
  </si>
  <si>
    <t>55650-25</t>
  </si>
  <si>
    <t>Atox Bio</t>
  </si>
  <si>
    <t>Zyngenia, Kineta, Jounce Therapeutics, Visterra, Opsona Therapeutics, Nextera, G1 Therapeutics, Fate Therapeutics</t>
  </si>
  <si>
    <t>Developer of novel immunomodulators created to improve outcomes for serious, unmet medical conditions in the critical care setting where no, or limited, therapies are available. The company's lead product is initially being developed to treat a rare, life threatening infection with high morbidity and mortality whose results have shown a meaningful improvement across multiple end points, by significantly improving the hosts ability to effectively fight the infection and reducing the tissue damage caused to key organs during acute inflammatory situations.</t>
  </si>
  <si>
    <t>excessive inflammatory, immune response, immunomodulators, infectious disease</t>
  </si>
  <si>
    <t>www.atoxbio.com</t>
  </si>
  <si>
    <t>2014: 9, 2016: 15, 2017: 20</t>
  </si>
  <si>
    <t>55408-69P</t>
  </si>
  <si>
    <t>Dan Teleman</t>
  </si>
  <si>
    <t>dant@atoxbio.com</t>
  </si>
  <si>
    <t>+972 (0)8 648 4111</t>
  </si>
  <si>
    <t>8 Pinhas Sapir Street</t>
  </si>
  <si>
    <t>Weizmann Science Park</t>
  </si>
  <si>
    <t>7403631</t>
  </si>
  <si>
    <t>+972 (0)8 648 4555</t>
  </si>
  <si>
    <t>The company raised $30 million of Series F venture funding in a round led by Arix Bioscience on December 4, 2017. Adams Street Partners, Asahi Kasei Corporate Venture Capital, Korea Investment Partners, SR One, OrbiMed, Lundbeckfonden Ventures, Integra Holdings and other undisclosed investors also participated in this round. The company intends to use the proceeds of the financing to advance the clinical development of Reltecimod into Acute Kidney Injury (AKI).</t>
  </si>
  <si>
    <t>Adams Street Partners, Arix Bioscience, Asahi Kasei Corporate Venture Capital, Defense Advanced Research Projects Agency, Esperante Ventures, Integra Holdings, Korea Investment Partners, Lundbeckfond Ventures, National Institute Of Allergy and Infectious Diseases, OrbiMed, SR One</t>
  </si>
  <si>
    <t>Adams Street Partners(www.adamsstreetpartners.com), Arix Bioscience(www.arixbioscience.com), Asahi Kasei Corporate Venture Capital(www.asahikaseiventures.com), Defense Advanced Research Projects Agency(www.darpa.mil), Esperante Ventures(www.esperanteventures.com), Integra Holdings(www.integra-holdings.com), Korea Investment Partners(kipvc.com/main.html), OrbiMed(www.orbimed.com), SR One(www.srone.com)</t>
  </si>
  <si>
    <t>109696-60</t>
  </si>
  <si>
    <t>Atomwise</t>
  </si>
  <si>
    <t>Chematria</t>
  </si>
  <si>
    <t>Recursion Pharmaceuticals, AI Therapeutics, Avidity Biosciences, BenevolentAI, Enterprise Therapeutics, Gradalis, Aileron Therapeutics, Novo-Informatics, Exscientia, Hovione, ProclaRx, Numerate, Schrödinger, PlantForm, MedPharm, KinderPharm, Adverum Biotechnologies, Owkin, twoXAR, Just Biotherapeutics, Cyclica, Pharmatek Laboratories, Genentech</t>
  </si>
  <si>
    <t>Developer of a drug discovery platform designed to analyze new medicines. The company's platform helps in drug hit discovery, binding affinity prediction and toxicity detection, enabling scientists to discover small molecules for the treatment and investigation of human diseases.</t>
  </si>
  <si>
    <t>Biotechnology, Drug Discovery*</t>
  </si>
  <si>
    <t>Digital Health, HealthTech, Life Sciences, TMT</t>
  </si>
  <si>
    <t>deep learning platform, drugs prediction software, ebola treatment, medicine discovery, toxicity detection</t>
  </si>
  <si>
    <t>www.atomwise.com</t>
  </si>
  <si>
    <t>2017: 10, 2018: 17</t>
  </si>
  <si>
    <t>95083-39P</t>
  </si>
  <si>
    <t>Abraham Heifets</t>
  </si>
  <si>
    <t>abraham@atomwise.com</t>
  </si>
  <si>
    <t>hello@atomwise.com</t>
  </si>
  <si>
    <t>The company raised $51.49 million of Series A venture funding in a deal led by Monsanto Growth Ventures, B Capital Group and Data Collective on July 2, 2018, putting the company's pre-money valuation at $120 million. Baidu Ventures, Tencent Holdings, Khosla Ventures, Dolby Family Ventures, Draper Fisher Jurvetson Management, Vickers Venture Partners and Y Combinator also participated in the round. The funds will be used to seek new collaborators to address global health challenges using artificial intelligence and grow their technical and business organization.</t>
  </si>
  <si>
    <t>AME Cloud Ventures, B Capital Group, Baidu Ventures, Creative Destruction Lab, Data Collective, David Lee, Dolby Family Ventures, Draper Associates, Draper Fisher Jurvetson Management, Farzad Nazem, Grand Challenges Canada, Impact Centre, Khosla Ventures, Mission and Market, Monsanto Growth Ventures, OS Fund, Runway Incubator, Techno Labs, Tencent Holdings, The Next Canada, Vickers Venture Partners, Y Combinator</t>
  </si>
  <si>
    <t>AME Cloud Ventures(www.amecloudventures.com), B Capital Group(www.bcapgroup.com), Baidu Ventures(www.bv.ai), Creative Destruction Lab(www.creativedestructionlab.com), Data Collective(www.dcvc.com), David Lee(www.daslee.me), Dolby Family Ventures(www.dolbyventures.com), Draper Associates(www.draper.vc), Draper Fisher Jurvetson Management(www.dfj.com), Grand Challenges Canada(www.grandchallenges.ca), Impact Centre(www.impactcentre.ca), Khosla Ventures(www.khoslaventures.com), Mission and Market(m14t.com), OS Fund(www.osfund.co), Runway Incubator(www.runway.is), Techno Labs(www.technolabs.utoronto.ca), Tencent Holdings(www.tencent.com), The Next Canada(www.nextcanada.com), Vickers Venture Partners(www.vickersventure.com), Y Combinator(www.ycombinator.com)</t>
  </si>
  <si>
    <t>169110-64</t>
  </si>
  <si>
    <t>Atom Power</t>
  </si>
  <si>
    <t>Developer of digital and programmable circuit breakers designed to democratize commercial and industrial power distribution. The company's digital and programmable circuit breakers have AC and DC versions and developed through solid-state switching technology enables commercial and industrial building markets to make power safe, controllable, visible and simple.</t>
  </si>
  <si>
    <t>circuit breakers, digital circuit, electrical panelboards, power distribution system, programmable circuit</t>
  </si>
  <si>
    <t>www.atompower.com</t>
  </si>
  <si>
    <t>2015: 12, 2017: 12</t>
  </si>
  <si>
    <t>87388-84P</t>
  </si>
  <si>
    <t>Ryan Kennedy</t>
  </si>
  <si>
    <t>rkennedy@atompower.com</t>
  </si>
  <si>
    <t>+1 (704) 718-2268</t>
  </si>
  <si>
    <t>10420-Q Harris</t>
  </si>
  <si>
    <t>Oaks Boulevard</t>
  </si>
  <si>
    <t>28269</t>
  </si>
  <si>
    <t>+1 (844) 704-2866</t>
  </si>
  <si>
    <t>info@atompower.com</t>
  </si>
  <si>
    <t>The company raised $3.03 million of Series A-1 venture funding from undisclosed investors on October 25, 2017. The company also raised an undisclosed amount of Series A venture funding from Next47 and Siemens on February 9, 2017.</t>
  </si>
  <si>
    <t>ABB Technology Ventures, Department of Energy, Eaton, Next47, Siemens</t>
  </si>
  <si>
    <t>Eaton(www.eaton.com), Next47(Next47.com), Siemens(new.siemens.com)</t>
  </si>
  <si>
    <t>DLA Piper(Legal Advisor), Nelson Mullins Riley &amp; Scarborough(Legal Advisor)</t>
  </si>
  <si>
    <t>227972-71</t>
  </si>
  <si>
    <t>Atom Group</t>
  </si>
  <si>
    <t>Operator of a brand holding company with interests in the global drinks sector. The company specializes in overseeing a full life-cycle of spirits, from inception, prototyping, production and brand ownership as well as imports, distributes and develops the brand for its customers in the United Kingdom.</t>
  </si>
  <si>
    <t>Beverages*, Holding Companies, Internet Retail</t>
  </si>
  <si>
    <t>holding company, malted drinks, online retail</t>
  </si>
  <si>
    <t>www.atomdrinksgroup.com</t>
  </si>
  <si>
    <t>2016: 98, 2017: 123, 2018: 175</t>
  </si>
  <si>
    <t>184071-52P</t>
  </si>
  <si>
    <t>Justin Petszaft</t>
  </si>
  <si>
    <t>justin.petszaft@atomdrinksgroup.com</t>
  </si>
  <si>
    <t>+44 (0)18 9288 8376</t>
  </si>
  <si>
    <t>Tonbridge Kent, United Kingdom</t>
  </si>
  <si>
    <t>Unit 1 Ton Business Park</t>
  </si>
  <si>
    <t>2-8 Morley Road</t>
  </si>
  <si>
    <t>Tonbridge Kent</t>
  </si>
  <si>
    <t>TN9 1RA</t>
  </si>
  <si>
    <t>The company was acquired by ZX Ventures, the corporate venture arm of Anheuser-Busch InBev, through an LBO on April 18, 2018 for an undisclosed sum.</t>
  </si>
  <si>
    <t>Lindeyer Francis Ferguson(Auditor), RSM UK(Auditor)</t>
  </si>
  <si>
    <t>232083-55</t>
  </si>
  <si>
    <t>Atlas Protocol</t>
  </si>
  <si>
    <t>Provider of a blockchain infrastructure connecting advertisers, publishers and users in a token-based digital marketing system.</t>
  </si>
  <si>
    <t>AdTech, Cryptocurrency/Blockchain, Marketing Tech</t>
  </si>
  <si>
    <t>advertising, blockchain, digital marketing, marketing, open protocol</t>
  </si>
  <si>
    <t>atlasp.io</t>
  </si>
  <si>
    <t>195614-92P</t>
  </si>
  <si>
    <t>Cheng Li</t>
  </si>
  <si>
    <t>Co-Founder and Chief Technology Officer</t>
  </si>
  <si>
    <t>contact@atlasp.io</t>
  </si>
  <si>
    <t>The company announced it had secured a $3 million round of seed financing. The round was led by Soft Bank China Venture Capital and included Baidu Ventures, Consensus Lab (Blockchain investor), Danhua Ventures and Fenbushi Digital. Funds from the round will be used on product development, growing the team and expanding market channels. The company was incubated by the xGoogler Blockchain Alliance. This company is actively tracked by PitchBook.</t>
  </si>
  <si>
    <t>Baidu Ventures, Consensus Lab (Blockchain investor), Digital Horizon Capital, Fenbushi Capital, SB China Venture Capital</t>
  </si>
  <si>
    <t>Baidu Ventures(www.bv.ai), Consensus Lab (Blockchain investor)(www.consensus-lab.com), Digital Horizon Capital(www.dh.vc), Fenbushi Capital(www.fenbushi.vc), SB China Venture Capital(www.sbcvc.com)</t>
  </si>
  <si>
    <t>82493-29</t>
  </si>
  <si>
    <t>Atlas Obscura</t>
  </si>
  <si>
    <t>Vayable</t>
  </si>
  <si>
    <t>Provider of an online catalog platform designed to discover and share the world's different places. The company's platform helps users to search for world's extraordinary, weird and fascinating places, enabling them explore various obscure places.</t>
  </si>
  <si>
    <t>obscure places</t>
  </si>
  <si>
    <t>www.atlasobscura.com</t>
  </si>
  <si>
    <t>2015: 6, 2016: 18</t>
  </si>
  <si>
    <t>94358-89P</t>
  </si>
  <si>
    <t>David Plotz</t>
  </si>
  <si>
    <t>david@atlasobscura.com</t>
  </si>
  <si>
    <t>61 Greenpoint Avenue</t>
  </si>
  <si>
    <t>Suite 622</t>
  </si>
  <si>
    <t>11222</t>
  </si>
  <si>
    <t>The company received an undisclosed amount of debt financing in the form of a lien from Citibank on April 4, 2018.</t>
  </si>
  <si>
    <t>A&amp;E Television Networks, Albert Wenger, Alexis Ohanian, Bertelsmann Digital Media Investments, Daniel Gross, Floodgate Fund, Graham Holdings, Jacob Weisberg, John Battelle, Josh Spear, KBW Ventures, Kevin Ryan, Lauren Zalaznick, LionTree Partners, Nautilus Ventures, NAV.VC, North Base Media, Peter Bloom, Rob Grosser, Scott Belsky, Seth Teicher, Teamworthy Ventures, The New York Times, Thomas Lehrman, Todd Pines, Trani Capital, Treemark Capital</t>
  </si>
  <si>
    <t>A&amp;E Television Networks(www.aenetworks.com), Albert Wenger(continuations.com), Alexis Ohanian(alexisohanian.com), Bertelsmann Digital Media Investments(www.bdmifund.com), Floodgate Fund(www.floodgate.com), Graham Holdings(www.ghco.com), John Battelle(www.battellemedia.com), Josh Spear(www.joshspear.com), KBW Ventures(www.kbw-ventures.com), Nautilus Ventures(www.nautilusventures.com), NAV.VC(www.nav.vc), North Base Media(www.northbasemedia.com), Scott Belsky(www.scottbelsky.com), Teamworthy Ventures(www.teamworthy.com), Treemark Capital(www.treemarkcapital.com)</t>
  </si>
  <si>
    <t>City National Bank(General Business Banking), Freedman Legal Group(Legal Advisor)</t>
  </si>
  <si>
    <t>Citibank(Debt Financing)</t>
  </si>
  <si>
    <t>12858-31</t>
  </si>
  <si>
    <t>Athenahealth</t>
  </si>
  <si>
    <t>Healthland, PokitDok, AntWorks Healthcare, Cotiviti, Aver, Welligent, ZeOmega, Castlight Health, HealthQx, hc1.com, Streamline Health Solutions, Azalea Health, Cerner, Gebbs Healthcare Solutions, Datu Health, Inovalon Holdings, AdvancedMD, Allscripts Healthcare Solutions, HIN+AI, Attune (Enterprise Systems), SA Ignite, MEDHOST, Epic Systems, Medical Transcription Billing, Modernizing Medicine, eMDs, Welltok, Practice Fusion, TriZetto, MediGain, MEDecision, eClinicalWorks, WellCentive, InteliChart, Phytel, Yos Technologies Private, Everyday Health, Jiff, CareCloud, Kareo, Axial Exchange, Medidata Solutions, Ingenious Med, Sandlot Solutions, drchrono, MedeAnalytics, Netsmart Technologies, Extension</t>
  </si>
  <si>
    <t>Athenahealth provides healthcare IT services through cloud-based and mobile application products largely for smaller to midsize medical groups and health systems. Their services include revenue cycle and practice management, electronic health records, patient engagement, population health management, and care coordination. The business services segment generates 97% of revenue, which provides cloud-based solutions and support to healthcare providers. Athenahealth is headquartered in Waltham, Massachusetts.</t>
  </si>
  <si>
    <t>Enterprise Systems (Healthcare)*, Social/Platform Software</t>
  </si>
  <si>
    <t>patient engagement service, payment analysis service, revenue cycle management, software as a services</t>
  </si>
  <si>
    <t>www.athenahealth.com</t>
  </si>
  <si>
    <t>2000: 80, 2005: 564, 2006: 564, 2007: 610, 2008: 824, 2009: 1035, 2010: 1242, 2011: 1795, 2012: 2339, 2013: 2966, 2014: 3676, 2015: 4668, 2016: 5305, 2017: 5156</t>
  </si>
  <si>
    <t>TTM 3Q2018</t>
  </si>
  <si>
    <t>179932-78P</t>
  </si>
  <si>
    <t>Marc Levine</t>
  </si>
  <si>
    <t>Executive Vice President, Chief Financial Officer, Chief Accounting Officer and Treasurer</t>
  </si>
  <si>
    <t>malevine@athenahealth.com</t>
  </si>
  <si>
    <t>+1 (800) 981-5084</t>
  </si>
  <si>
    <t>311 Arsenal Street</t>
  </si>
  <si>
    <t>+1 (617) 402-1099</t>
  </si>
  <si>
    <t>info@athenahealth.com</t>
  </si>
  <si>
    <t>The company (NAS: ATHN) was acquired by Evergreen Coast Capital and Veritas Capital through a $5.7 billion public-to-private LBO on November 11, 2018.</t>
  </si>
  <si>
    <t>Ares Capital, Elliott Management, Evergreen Coast Capital, Veritas Capital</t>
  </si>
  <si>
    <t>Aspect Ventures, Cardinal Partners, Draper Fisher Jurvetson Management, Draper Richards, Eastside Partners, GGV Capital, Mansa Capital, Oak Investment Partners, ORIX Growth Capital, PSS World Medical, The Lambda Funds, Venrock</t>
  </si>
  <si>
    <t>Elliott Management(www.elliottmgmt.com), Veritas Capital(www.veritascapital.com)</t>
  </si>
  <si>
    <t>Aspect Ventures(www.aspectventures.com), Cardinal Partners(www.cardinalpartners.com), Draper Fisher Jurvetson Management(www.dfj.com), Draper Richards(www.draperrichards.com), Eastside Partners(www.eastsidepartners.com), GGV Capital(www.ggvc.com), Mansa Capital(www.mansaequity.com), Oak Investment Partners(www.oakinv.com), PSS World Medical(www.pssd.com), The Lambda Funds(www.lambdafund.com), Venrock(www.venrock.com)</t>
  </si>
  <si>
    <t>Deloitte(Accounting), Falcon Capital Partners(Advisor: General), Foley &amp; Lardner(Legal Advisor), SP Consulting(Consulting)</t>
  </si>
  <si>
    <t>Ares Capital(Debt Financing), Bank of America Merrill Lynch(Underwriter), Barclays Bank UK(Debt Financing), Centerview Partners(Advisor: General), Chase Bank(Debt Financing), Deloitte(Accounting), Deutsche Bank(Debt Financing), Elliott Management(Advisor: Financial Due Diligence), Goodwin(Legal Advisor), Jefferies Financial Group(Underwriter), Kahn Swick &amp; Foti(Legal Advisor), Kohlberg Kravis Roberts(Debt Financing), Lazard(Advisor: General), Merrill Lynch Pierce Fenner &amp; Smith(Underwriter), ORIX Growth Capital(Debt Financing), Piper Jaffray(Underwriter), Rigrodsky &amp; Long(Legal Advisor), Ropes &amp; Gray(Legal Advisor), Schulte Roth &amp; Zabel(Legal Advisor), Silicon Valley Bank(Debt Financing), The Goldman Sachs Group(Underwriter), Weil, Gotshal &amp; Manges(Legal Advisor)</t>
  </si>
  <si>
    <t>98236-09</t>
  </si>
  <si>
    <t>AstroPrint</t>
  </si>
  <si>
    <t>Vectorworks, Graphisoft, solidThinking, Polar3D, 3D Control Systems, Onshape</t>
  </si>
  <si>
    <t>Developer of a cloud platform and application marketplace designed to offer consumer 3D printing solutions. The company's software solutions include Multi-Printer Management for Enterprise and white labeled Operating Systems for OEMs that deliver Enterprise level analytics on how 3D Printers are used, enabling clients to manage their desktop 3D printers from any web enabled device, without requiring any technical expertise</t>
  </si>
  <si>
    <t>3D Printing, Advanced Manufacturing, Mobile, SaaS</t>
  </si>
  <si>
    <t>3d platform, 3d printer networking, 3d printing cloud platform, 3d printing software, additives manufacturing, printing platform</t>
  </si>
  <si>
    <t>www.astroprint.com</t>
  </si>
  <si>
    <t>2016: 10, 2017: 8</t>
  </si>
  <si>
    <t>81549-46P</t>
  </si>
  <si>
    <t>Drew Taylor</t>
  </si>
  <si>
    <t>drew.taylor@astroprint.com</t>
  </si>
  <si>
    <t>+1 (858) 621-3888</t>
  </si>
  <si>
    <t>101 West Broadway Street</t>
  </si>
  <si>
    <t>Suite 1120</t>
  </si>
  <si>
    <t>info@astroprint.com</t>
  </si>
  <si>
    <t>The company raised an undisclosed amount of venture funding from Stanley Ventures on December 21, 2018.</t>
  </si>
  <si>
    <t>500 Startups, CONNECT (Accelerator), EvoNexus, Revup(Fund), Stanley Ventures, SXSW Accelerator</t>
  </si>
  <si>
    <t>MicroVentures</t>
  </si>
  <si>
    <t>500 Startups(www.500.co), CONNECT (Accelerator)(www.connect.org), EvoNexus(www.evonexus.org), Revup(Fund)(www.revupfund.com), Stanley Ventures(www.stanleyventures.com), SXSW Accelerator(www.sxsw.com/apply-to-participate/sxsw-accelerator)</t>
  </si>
  <si>
    <t>MicroVentures(www.microventures.com)</t>
  </si>
  <si>
    <t>Bank of America(General Business Banking), BroadDesk Business Development(Consulting)</t>
  </si>
  <si>
    <t>Kickstarter(Lead Manager or Arranger), MicroVentures(Lead Manager or Arranger), Pillsbury Winthrop Shaw Pittman(Legal Advisor)</t>
  </si>
  <si>
    <t>109857-52</t>
  </si>
  <si>
    <t>Astrocast</t>
  </si>
  <si>
    <t>Globalstar, Kymeta</t>
  </si>
  <si>
    <t>Developer of a low earth orbit (LEO) nanosatellite constellation to provide unlimited coverage all over the planet, with no geographical limitations. The company's low earth orbit (LEO) nanosatellite constellation is a network of miniaturized satellites and collects data, which is delivered to ground stations, then distributed for access by customers through a secure Internet gateway, providing global businesses with a cost effective IoT and M2M communication platform.</t>
  </si>
  <si>
    <t>Telecommunications Service Providers*, Wireless Communications Equipment</t>
  </si>
  <si>
    <t>Internet of Things, Space Technology, TMT</t>
  </si>
  <si>
    <t>electronic product, itar-free systems, mechanical systems, miniaturized systems, nano satellites missions, nanosatellite ecosystem, systems engineering</t>
  </si>
  <si>
    <t>www.astrocast.com</t>
  </si>
  <si>
    <t>95366-80P</t>
  </si>
  <si>
    <t>Fabien Jordan</t>
  </si>
  <si>
    <t>fjordan@astrocast.net</t>
  </si>
  <si>
    <t>+1 (971) 373-0950</t>
  </si>
  <si>
    <t>Ecublens, Switzerland</t>
  </si>
  <si>
    <t>Chemin de la Raye 13</t>
  </si>
  <si>
    <t>Ecublens</t>
  </si>
  <si>
    <t>1024</t>
  </si>
  <si>
    <t>+41 (0)22 575 3010</t>
  </si>
  <si>
    <t>info@else.io</t>
  </si>
  <si>
    <t>The company is planning to raise $6 million of Series A venture funding from unknown investors as of September 1, 2016, putting the company's pre-money at $30 million. The round is expected to close by 2018. Previously, the company raised CHF 4.1 million of seed funding led by Airbus Ventures on December 14, 2017. Investiere.ch and other undisclosed Swiss-and internationally-based private investors also participated. The company intends to use the funds to support their complete business operations through the their planned demonstration mission expected in mid-2018, which will launch the first two nanosatellites into LEO. The company is being actively tracked by PitchBook.</t>
  </si>
  <si>
    <t>Airbus Ventures, EPFL Innovation Park, ESA Business Incubation Centre, Francois Stieger, Investiere, LYRACOM, Roland Loos, Starburst Aerospace</t>
  </si>
  <si>
    <t>Airbus Ventures(www.airbusventures.vc), EPFL Innovation Park(www.epfl-innovationpark.ch), Investiere(www.investiere.ch), LYRACOM(www.lyracom.fr), Starburst Aerospace(www.starburst.aero)</t>
  </si>
  <si>
    <t>Picone Advisory Group(Advisor: General), Stiftung für technologische Innovation(Debt Financing)</t>
  </si>
  <si>
    <t>54394-75</t>
  </si>
  <si>
    <t>ASSIA</t>
  </si>
  <si>
    <t>InfoVista, Savvius, Paessler, LiveAction, SolarWinds, Corvil, PLUS Location Systems, Ixia, Empirix, Nectar Services, ExtraHop Networks, NetScout Systems</t>
  </si>
  <si>
    <t>Developer of management system software designed to offer broadband services. The company's software offers a suite of software tools and intellectual property licensing, enabling service provider to qualify and optimize each line in their DSL network.</t>
  </si>
  <si>
    <t>intellectual property licensing, management interface, management system software, software tools</t>
  </si>
  <si>
    <t>www.assia-inc.com</t>
  </si>
  <si>
    <t>2009: 43, 2010: 76, 2011: 187, 2012: 193, 2013: 166, 2014: 137, 2015: 143</t>
  </si>
  <si>
    <t>41734-18P</t>
  </si>
  <si>
    <t>John Cioffi</t>
  </si>
  <si>
    <t>jcioffi@assia-inc.com</t>
  </si>
  <si>
    <t>+1 (650) 654-3400</t>
  </si>
  <si>
    <t>203 Redwood Shores</t>
  </si>
  <si>
    <t>+1 (650) 654-3404</t>
  </si>
  <si>
    <t>info@assia-inc.com</t>
  </si>
  <si>
    <t>The company raised $30 million of venture funding from undisclosed investors in November 2016.</t>
  </si>
  <si>
    <t>AT&amp;T Ventures, Deutsche Telekom, Deutsche Telekom Capital Partners, Kuwaiti, Mingxin China Growth Fund, Partners for Growth, Sandalwood Partners, Societe francaise de radiotelephone, Sofinnova Partners, Stanford Management Company, Swisscom Ventures, Telefónica Ventures, T-Ventures, ValueGate</t>
  </si>
  <si>
    <t>Deutsche Telekom(www.telekom.com), Deutsche Telekom Capital Partners(www.telekom-capital.com), Mingxin China Growth Fund(www.mcgf.com.cn), Partners for Growth(www.pfgrowth.com), Sandalwood Partners(www.sandalwoodpartners.com), Societe francaise de radiotelephone(www.sfr.lu), Sofinnova Partners(www.sofinnova.fr), Stanford Management Company(smc.stanford.edu), Telefónica Ventures(www.telefonicaventures.com)</t>
  </si>
  <si>
    <t>RoseRyan(Consulting)</t>
  </si>
  <si>
    <t>Partners for Growth(Debt Financing), Raymond James Financial(Advisor: General)</t>
  </si>
  <si>
    <t>226651-87</t>
  </si>
  <si>
    <t>Asking Data</t>
  </si>
  <si>
    <t>Provider of a data service platform intended to focus on forecasting data analytics and deep data analytics. The company's platform utilizes global external data to activate the value of internal data, efficiently, flexibly and conveniently provide data analysis and prediction services, enabling enterprises to forecast the future market to predict the market changes in advance and reduce business risks.</t>
  </si>
  <si>
    <t>data analytics platform, data forecasting, data sampling, prediction tools</t>
  </si>
  <si>
    <t>www.askingdata.com</t>
  </si>
  <si>
    <t>181393-48P</t>
  </si>
  <si>
    <t>Yan Peng</t>
  </si>
  <si>
    <t>yanpeng@askingdata.com</t>
  </si>
  <si>
    <t>+86 (0)10 8477 9655</t>
  </si>
  <si>
    <t>2803 SOHO T3A Block</t>
  </si>
  <si>
    <t>Wangjing</t>
  </si>
  <si>
    <t>The company raised RMB 35 million of Series A venture funding in a deal led by Baidu Capital on October 30, 2017. IPV Capital, Microsoft ScaleUp and other undisclosed investors also participated in the round.</t>
  </si>
  <si>
    <t>Baidu Ventures, Hongtai Capital Holdings, IPV Capital, Microsoft ScaleUp</t>
  </si>
  <si>
    <t>Baidu Ventures(www.bv.ai), Hongtai Capital Holdings(www.apluscap.com), IPV Capital(www.ipvcap.com), Microsoft ScaleUp(startups.microsoft.com/en-us/scale-up)</t>
  </si>
  <si>
    <t>95719-60</t>
  </si>
  <si>
    <t>Ascendify</t>
  </si>
  <si>
    <t>Reflik, Symphony Talent, PeopleMatter, Greenhouse Software, Snag, ClearCompany, Guru.com, Woo, OnForce, SmartRecruiters, CareerBuilder, SmashFly Technologies, Restless Bandit, ENGAGE Talent, Jobvite, Avature USA, Pymetrics, Hireology, iCIMS, HiringSolved, Recruitee, Jibe, Jobr, Lever (Recruitment Software), Phenom People, Simppler, JazzHR, TextRecruit, Calibre One, Toptal, Vantage Partners (Executive Search), RecruitLoop, MBO Partners, BossZhiPin, TalentBin, PeopleFluent, Guru.com (Acquired 2003), JobMatch, Hired</t>
  </si>
  <si>
    <t>Developer of a talent acquisition platform designed to identify and manage employee candidates. The company's talent acquisition platform is an end-to-end talent platform that for modern hiring teams, helping organizations to stay competitive with latest advancements in recruiting and to attract and engage talent and select the candidates that are most likely to succeed.</t>
  </si>
  <si>
    <t>social acquisition platform, social recruiting platform, talent acquisition, talent acquisition platform, talent management</t>
  </si>
  <si>
    <t>www.ascendify.com</t>
  </si>
  <si>
    <t>2012: 3, 2013: 3, 2014: 5, 2015: 30, 2016: 13, 2017: 13</t>
  </si>
  <si>
    <t>108702-73P</t>
  </si>
  <si>
    <t>Matt Hendrickson</t>
  </si>
  <si>
    <t>Co-Founder, Chief Executive Officer</t>
  </si>
  <si>
    <t>matt.hendrickson@ascendify.com</t>
  </si>
  <si>
    <t>+1 (303) 305-7592</t>
  </si>
  <si>
    <t>580 California Street</t>
  </si>
  <si>
    <t>+1 (415) 528-5503</t>
  </si>
  <si>
    <t>contact@ascendify.com</t>
  </si>
  <si>
    <t>The company raised $11.33 million of Series A venture funding in a deal led by Canaan Partners on May 19, 2017. Blossom Street Ventures, GE Ventures and Cisco Investments also participated in the round.</t>
  </si>
  <si>
    <t>Blossom Street Ventures, Canaan Partners, Cisco Investments, GE Ventures, Heather Brown Natsch, Mark Reinstra, Nik Divakaruni, Rick Natsch</t>
  </si>
  <si>
    <t>Blossom Street Ventures(www.blossomstreetventures.com), Canaan Partners(www.canaan.com), Cisco Investments(www.ciscoinvestments.com), GE Ventures(www.geventures.com)</t>
  </si>
  <si>
    <t>126244-81</t>
  </si>
  <si>
    <t>Aryballe Technologies</t>
  </si>
  <si>
    <t>Aryballe</t>
  </si>
  <si>
    <t>Provider of innovative technologies designed to identify, measure and represent smells and tastes. The company's technologies is based on the combination of nano, biotech, IT and cognitive sciences that offer databases, software and devices which van be applied to the identification, measurement and representation of smells and tastes, enabling users to directly analyse and quantify volatile organic compounds responsible for smells and tastes.</t>
  </si>
  <si>
    <t>Database Software, Information Services (B2C), Other Consumer Durables*</t>
  </si>
  <si>
    <t>cognitive sciences, gustatory sensors, hardware development, portable device, touch sensor</t>
  </si>
  <si>
    <t>www.aryballe-technologies.com</t>
  </si>
  <si>
    <t>2014: 3</t>
  </si>
  <si>
    <t>117782-47P</t>
  </si>
  <si>
    <t>Delphine Pau</t>
  </si>
  <si>
    <t>dpau@aryballe.com</t>
  </si>
  <si>
    <t>+33 (0)4 38 78 03 99</t>
  </si>
  <si>
    <t>17 Rue des Martyrs</t>
  </si>
  <si>
    <t>CEA/LETI</t>
  </si>
  <si>
    <t>contact@aryballe.com</t>
  </si>
  <si>
    <t>The company raised $3.5 million of Series A venture funding from Asahi Kasei Corporate Venture Capital and Innovacom (Paris) on December 1, 2016. The company intends to use the funds to grow operations, improve the capabilities of the product, industrialize the second version of NeOse and secure its globalization, accelerate the commercialization of product. Previously, the company raised EUR 2.6 million of venture funding from CEA Investissement and other undisclosed investors on June 15, 2016.</t>
  </si>
  <si>
    <t>Asahi Kasei Corporate Venture Capital, CEA Investissement, Elephants &amp; Ventures, GATE1, Hardware Club, Innovacom (Paris)</t>
  </si>
  <si>
    <t>Asahi Kasei Corporate Venture Capital(www.asahikaseiventures.com), CEA Investissement(www.cea-investissement.com), Elephants &amp; Ventures(www.elephantsandventures.com), Hardware Club(www.hardwareclub.co), Innovacom (Paris)(www.innovacom.com)</t>
  </si>
  <si>
    <t>51006-43</t>
  </si>
  <si>
    <t>Aryaka</t>
  </si>
  <si>
    <t>Pertino, Mist Systems, Empirix, Nginx, Mettle Networks, Elfiq Networks, Zentera Systems, VeloCloud, Adaptiv Networks, Cato Networks, Corvil, Okta, Virtela Technology Services, Astrocom Corporation, Zscaler, Exinda, Bigleaf Networks, Extreme Networks, Silver Peak, InfoVista, Array Networks, Circadence, Citrix Systems, Nexthink, KEMP Technologies, Nuage Networks, CloudGenix, Gluware, Masergy, Evrythng, Colt Technology Services, Aerohive Networks, NetScout Systems, Cloudflare, Polystar (Sweden), Versa Networks, NS1, SimpleWan, TEOCO, Skyriver, Talari Networks, Truphone, GlobeNet Cabos Submarinos, Cradlepoint, FiberLight, Expereo International, Interoute Communications, Auth0, Riverbed Technology, Palo Alto Networks, VMware, Viptela</t>
  </si>
  <si>
    <t>Provider of a network optimization and application acceleration platform created to address the connectivity needs of modern global enterprises. The company provides an integrated platform to address all WAN needs, including optimized connectivity of geographically dispersed offices, Application Delivery, and Cloud Networks. Its WAN Optimization as-a-Service solution provides organizations with an optimized, and fully meshed network to access on-premises applications, as well as cloud services and enable globally distributed employees, customers, partners, and mobile end users to access centralized enterprise applications and public-facing web resources from anywhere in the world.</t>
  </si>
  <si>
    <t>application acceleration, application acceleration platform, business execution demand, network optimization software, on-premises application, storage centralization</t>
  </si>
  <si>
    <t>www.aryaka.com</t>
  </si>
  <si>
    <t>2010: 75, 2015: 68, 2016: 231, 2017: 300, 2019: 312</t>
  </si>
  <si>
    <t>33889-15P</t>
  </si>
  <si>
    <t>Aidan Cullen</t>
  </si>
  <si>
    <t>aidan@aryaka.com</t>
  </si>
  <si>
    <t>1800 Gateway Drive</t>
  </si>
  <si>
    <t>info@aryaka.com</t>
  </si>
  <si>
    <t>The company raised $50 million of Series F venture funding in a deal led by Goldman Sachs Private Capital Investing Group on May 1, 2019, putting the company's pre-money valuation at $450 million. Presidio Ventures, Deutsche Telekom Capital Partners, InterWest Partners, Third Point Ventures, Trinity Ventures, Mohr Davidow Ventures and Nexus Venture Partners also participated in the round. The funds will be used to scale business operations, grow revenues and hire exceptional talent, as the company continues to see larger deal sizes and global customer expansion.</t>
  </si>
  <si>
    <t>Deutsche Telekom Capital Partners, Goldman Sachs Private Capital Investing Group, InterWest Partners, Mohr Davidow Ventures, Nexus Venture Partners, Presidio Ventures, Stanford Management Company, Third Point Ventures, Trinity Ventures</t>
  </si>
  <si>
    <t>Deutsche Telekom Capital Partners(www.telekom-capital.com), InterWest Partners(www.interwest.com), Mohr Davidow Ventures(www.mdv.com), Nexus Venture Partners(www.nexusvp.com), Presidio Ventures(www.presidio-ventures.com), Stanford Management Company(smc.stanford.edu), Third Point Ventures(www.thirdpointventures.com), Trinity Ventures(www.trinityventures.com)</t>
  </si>
  <si>
    <t>Aranca(Consulting), Finn Partners(Advisor: Communications), Gunderson Dettmer(Legal Advisor)</t>
  </si>
  <si>
    <t>Gunderson Dettmer(Legal Advisor), Union Square Advisors(Advisor: General)</t>
  </si>
  <si>
    <t>83921-86</t>
  </si>
  <si>
    <t>Arxxus</t>
  </si>
  <si>
    <t>Provider of a professional service platform intended to help companies to define and deliver their vision. The company's platform identifies, develops and implements cloud computing strategies, providing extensive expertise and ongoing support for all post-go-live requirements, including all minor and major enhancements, enabling customers to drive successful business outcomes.</t>
  </si>
  <si>
    <t>business consulting, cloud computing application, professional services, sales force services, salesforce consultancy</t>
  </si>
  <si>
    <t>www.arxxus.com</t>
  </si>
  <si>
    <t>2015: 65, 2016: 85, 2018: 120</t>
  </si>
  <si>
    <t>153134-02P</t>
  </si>
  <si>
    <t>Narendra Singh</t>
  </si>
  <si>
    <t>+61 (0)3 9097 1623</t>
  </si>
  <si>
    <t>Level 13</t>
  </si>
  <si>
    <t>333 George Street</t>
  </si>
  <si>
    <t>+61 (0)2 9146 4334</t>
  </si>
  <si>
    <t>+61 (0)2 8324 6338</t>
  </si>
  <si>
    <t>The company raised an undisclosed amount of venture funding from Salesforce Ventures on May 31, 2017. Previously, the company raised an undisclosed amount of Series A venture funding from Salesforce Ventures on December 23, 2016.</t>
  </si>
  <si>
    <t>Alexandra Novakovich, Salesforce Ventures, Syven Capital</t>
  </si>
  <si>
    <t>Syven Capital(www.syven.com)</t>
  </si>
  <si>
    <t>231810-76</t>
  </si>
  <si>
    <t>Artory</t>
  </si>
  <si>
    <t>Artory LLC</t>
  </si>
  <si>
    <t>Verisart</t>
  </si>
  <si>
    <t>Developer of an art platform designed to record significant events in the life cycle of artworks and collectibles. The company's platform utilizes blockchain technology to offer secure registry of verified information about artworks, collectibles and their history, enabling International art market to protect and grow the prosperity and enjoyment of those who buy, own and sell art and collectors to prove their ownership while maintaining anonymity that their identity is not stored in the registry.</t>
  </si>
  <si>
    <t>art market, art registry platform, artform platform, blockchain architecture, blockchain technology, digital art network, registry track</t>
  </si>
  <si>
    <t>www.artory.com</t>
  </si>
  <si>
    <t>191246-50P</t>
  </si>
  <si>
    <t>Nanne Dekking</t>
  </si>
  <si>
    <t>nanne.dekking@artory.com</t>
  </si>
  <si>
    <t>+1 (212) 905-6036</t>
  </si>
  <si>
    <t>41 East 11th Street</t>
  </si>
  <si>
    <t>contact@artory.com</t>
  </si>
  <si>
    <t>The company raised $7.36 million of Series A venture funding from 1stdibs, Hasso Plattner Ventures and 2020 Ventures on April 19, 2019. Other undisclosed investors also participated in this round.</t>
  </si>
  <si>
    <t>1stdibs, 2020 Ventures, Hasso Plattner Ventures</t>
  </si>
  <si>
    <t>1stdibs(www.1stdibs.com), 2020 Ventures(www.2020.co), Hasso Plattner Ventures(www.hp-ventures.com)</t>
  </si>
  <si>
    <t>140657-41</t>
  </si>
  <si>
    <t>ART19</t>
  </si>
  <si>
    <t>Spreaker, Acast, SnapGuide, Podbean, Anchor FM</t>
  </si>
  <si>
    <t>Operator of podcast hosting platform created to offer content creators and advertisers tools that help monetization of the medium catch up with scale. The company's podcast hosting platform provides new and improved listening metrics that bring major brands into the fold and provides features such as proprietary WarpFeed technology for dynamic ad insertion to help publishers increase revenues, enabling agencies and brands leverage the increasingly popular medium and its highly engaged audiences.</t>
  </si>
  <si>
    <t>Application Software, Movies, Music and Entertainment*</t>
  </si>
  <si>
    <t>advertising monetization platform, podcast app, podcast hosting platform, podcast technology, podcast tools</t>
  </si>
  <si>
    <t>art19.com</t>
  </si>
  <si>
    <t>169453-90P</t>
  </si>
  <si>
    <t>Sean Carr</t>
  </si>
  <si>
    <t>sean@art19.com</t>
  </si>
  <si>
    <t>+1 (866) 882-7819</t>
  </si>
  <si>
    <t>Suite 2675</t>
  </si>
  <si>
    <t>hello@art19.com</t>
  </si>
  <si>
    <t>The company raised $8.5 million of Series A and Seed funding in a deal led by Bertelsmann Digital Media Investments (BDMI) and DCM Ventures on August 23, 2017, putting the pre-money valuation at an estimated $26 million. United Talent Agency, Social Starts, Gallo Digital, UTA Ventures, Zach Coelius and Array Ventures also participated in the round. The funds will be used to accelerate product development, expand into foreign markets and continue supporting revenue growth for their customers.</t>
  </si>
  <si>
    <t>Array Ventures, Bertelsmann Digital Media Investments, DCM Ventures, Gallo Digital, Social Starts, UTA Ventures, Zachery Coelius</t>
  </si>
  <si>
    <t>Array Ventures(www.array.vc), Bertelsmann Digital Media Investments(www.bdmifund.com), DCM Ventures(www.dcm.com), Social Starts(www.socialstarts.com), UTA Ventures(ventures.unitedtalent.com)</t>
  </si>
  <si>
    <t>181269-73</t>
  </si>
  <si>
    <t>Arix Technologies</t>
  </si>
  <si>
    <t>Provider of a corrosion-identifying robot and data analytics product designed to address corrosion in manufacturing plants. The company's technology integrates robots with advanced data analytics to reinvent the way corrosion is detected and analyzed in manufacturing plants and provide improvements in safety and sustainability, enabling manufacturing companies to save billion of dollars in the cost of manufacturing.</t>
  </si>
  <si>
    <t>Environmental Services (B2B), Other Commercial Products*, Other Hardware</t>
  </si>
  <si>
    <t>CleanTech, Industrials, Robotics and Drones, TMT</t>
  </si>
  <si>
    <t>corrosion detection technology, corrosion-identifying robots, data analytics product, enivronmental technology, environment protection, environment protection technology</t>
  </si>
  <si>
    <t>www.arix-tech.com</t>
  </si>
  <si>
    <t>163679-95P</t>
  </si>
  <si>
    <t>Dianna Liu</t>
  </si>
  <si>
    <t>dianna.liu@arix-tech.com</t>
  </si>
  <si>
    <t>+1 (302) 636-5440</t>
  </si>
  <si>
    <t>The company raised $2 million of venture funding from Stanley Ventures on May 18, 2018, putting the company's pre-money valuation at $20.99 million. Follow on investor Contour Venture Partners also participated in the round.</t>
  </si>
  <si>
    <t>Contour Venture Partners, Stanley Ventures, Yale Entrepreneurial Institute</t>
  </si>
  <si>
    <t>Contour Venture Partners(www.contourventures.com), Stanley Ventures(www.stanleyventures.com), Yale Entrepreneurial Institute(yei.yale.edu)</t>
  </si>
  <si>
    <t>42704-92</t>
  </si>
  <si>
    <t>Arisdyne</t>
  </si>
  <si>
    <t>FST Fuel Technologies</t>
  </si>
  <si>
    <t>Developer of retrofit equipment designed to cater the needs of fuel ethanol and biodiesel producers. The company's retrofit equipment are small footprint devices that utilize controlled-flow hydrodynamic cavitation to be used for yield enhancement for ethanol production from starch and fiber, enabling clients to reduce particle size, disrupt cell structures, and disperse agglomerates.</t>
  </si>
  <si>
    <t>Machinery (B2B), Other Commercial Products, Other Equipment*</t>
  </si>
  <si>
    <t>alternative fuel, biodiesel, biofuel, fuel machinery, retrofit equipment</t>
  </si>
  <si>
    <t>www.arisdyne.com</t>
  </si>
  <si>
    <t>62870-23P</t>
  </si>
  <si>
    <t>Nicholas Berchtold</t>
  </si>
  <si>
    <t>nberchtold@arisdyne.com</t>
  </si>
  <si>
    <t>+1 (216) 469-4005</t>
  </si>
  <si>
    <t>Cleveland, OH</t>
  </si>
  <si>
    <t>17909 Cleveland Parkway Drive</t>
  </si>
  <si>
    <t>Cleveland</t>
  </si>
  <si>
    <t>44135</t>
  </si>
  <si>
    <t>+1 (216) 458-1991</t>
  </si>
  <si>
    <t>info@arisdyne.com</t>
  </si>
  <si>
    <t>The company raised $2.54 million of Series A angel funding from Queen City Angels and other undisclosed investors on June 13, 2013, putting the company's pre-money valuation at $3 million.</t>
  </si>
  <si>
    <t>Chevron Technology Ventures, Cordova Ventures, Early Stage Partners, Morgenthaler Ventures, Queen City Angels, Reservoir Venture Partners</t>
  </si>
  <si>
    <t>Cordova Ventures(www.cordovaventures.com), Early Stage Partners(www.esplp.com), Morgenthaler Ventures(www.morgenthaler.com), Queen City Angels(www.qca.com), Reservoir Venture Partners(www.reservoirvp.com)</t>
  </si>
  <si>
    <t>115450-21</t>
  </si>
  <si>
    <t>Ario</t>
  </si>
  <si>
    <t>Developer of a circadian lighting technology designed to improve people's health. The company's lighting technology interferes with sleep, mood, energy, appetite and long-term health and changes light color, as well as its intensity and direction, enabling people to help their body find its rhythm again and stay healthy.</t>
  </si>
  <si>
    <t>circadian lighting technology, internet of things, lamps, lighting, lighting technology, smart lighting</t>
  </si>
  <si>
    <t>www.arioliving.com</t>
  </si>
  <si>
    <t>72949-87P</t>
  </si>
  <si>
    <t>Brian Hoskins</t>
  </si>
  <si>
    <t>brian@arioliving.com</t>
  </si>
  <si>
    <t>+1 (202) 487-0600</t>
  </si>
  <si>
    <t>5333 9th Avenue North East</t>
  </si>
  <si>
    <t>98105</t>
  </si>
  <si>
    <t>info@arioliving.com</t>
  </si>
  <si>
    <t>The company raised $1.03 million of venture funding from Hella Ventures and Heuristic Capital Partners on September 26, 2016. Earlier, the company raised $201,165 of product crowdfunding via Kickstarter on November 24, 2015.</t>
  </si>
  <si>
    <t>Hella Ventures, Heuristic Capital Partners, Lab360 Hardware Incubator, StartX</t>
  </si>
  <si>
    <t>Hella Ventures(www.hellaventures.com), Heuristic Capital Partners(www.heuristiccapital.com), Lab360 Hardware Incubator(www.lab360.com), StartX(www.startx.com)</t>
  </si>
  <si>
    <t>First Republic Bank(General Business Banking)</t>
  </si>
  <si>
    <t>52935-31</t>
  </si>
  <si>
    <t>Aria Insights</t>
  </si>
  <si>
    <t>The Droid Works, CyPhy Works</t>
  </si>
  <si>
    <t>Aeryon Labs, senseFly, The Insitu Group, Meggitt Target Systems, Prox Dynamics, Hoverfly, Yuneec, AeroVironment, SkySpecs, Drone Aviation, Flyability</t>
  </si>
  <si>
    <t>Developer of unmanned air vehicles (UAVs) designed to serve search, rescue missions and bridge inspection operations. The company's unmanned air vehicles (UAVs) are used in media, public safety and security, oil and gas, telecommunications, mining and construction and defense industries, enabling clients to get aerial images of landscapes that are inaccessible to humans.</t>
  </si>
  <si>
    <t>Construction Technology, Industrials, Oil &amp; Gas, Robotics and Drones, TMT</t>
  </si>
  <si>
    <t>advances aerial platform, aerial vehicle, air drones, communication platform, defense drones, tethered drones, tethered drones systems, unmanned air vehicle, unmanned aircraft</t>
  </si>
  <si>
    <t>www.ariainsights.com</t>
  </si>
  <si>
    <t>2015: 50, 2018: 55, 2019: 35</t>
  </si>
  <si>
    <t>146225-80P</t>
  </si>
  <si>
    <t>Lance VandenBrook</t>
  </si>
  <si>
    <t>lance.vandenbrook@cyphyworks.com</t>
  </si>
  <si>
    <t>Danvers, MA</t>
  </si>
  <si>
    <t>16C Electronics Avenue</t>
  </si>
  <si>
    <t>Danvers</t>
  </si>
  <si>
    <t>01923</t>
  </si>
  <si>
    <t>info@cyphyworks.com</t>
  </si>
  <si>
    <t>The company closed on $10 million of an undisclosed amount of Series B1 venture funding from undisclosed investors on June 13, 2018. It plans to close on the remaining amount by April 30, 2019. $4.55 million of convertible debt financing was also included in this round.</t>
  </si>
  <si>
    <t>Bessemer Venture Partners, DNX Ventures, Felicis Ventures, General Catalyst, In-Q-Tel, Lux Capital, Motorola Solutions Venture Capital, UPS Strategic Enterprise Fund</t>
  </si>
  <si>
    <t>Bessemer Venture Partners(www.bvp.com), DNX Ventures(www.dnx.vc), Felicis Ventures(www.felicis.com), General Catalyst(www.generalcatalyst.com), In-Q-Tel(www.iqt.org), Lux Capital(www.luxcapital.com)</t>
  </si>
  <si>
    <t>Gunderson Dettmer(Legal Advisor), Hobbs &amp; Towne(Consulting), Silicon Legal Strategy(Legal Advisor)</t>
  </si>
  <si>
    <t>Hobbs &amp; Towne(Consulting), Kickstarter(Lead Manager or Arranger)</t>
  </si>
  <si>
    <t>124927-03</t>
  </si>
  <si>
    <t>AREVO</t>
  </si>
  <si>
    <t>AREVO Labs</t>
  </si>
  <si>
    <t>Continuous Composites, MarkForged, Impossible Objects, Mantis Composites, Hewlett Packard Enterprise</t>
  </si>
  <si>
    <t>Developer of an additive manufacturing software designed to make lightweight composite parts to replace metal parts in commercial applications. The company's software optimizes True-3D construction of parts using optimal fiber orientation in three dimensional space while concurrently minimizing the use of material using patented Additive Finite Element Analysis algorithms. It's intelligent cloud-based software tunes material properties of 3D printed objects. Its True 3D algorithms optimize fiber placement in true 3D orientations to derive the ultimate strength resulting in production parts with unique characteristics that cannot be made with conventional manufacturing techniques.</t>
  </si>
  <si>
    <t>3D Printing, Advanced Manufacturing, Manufacturing, SaaS, TMT</t>
  </si>
  <si>
    <t>3d printing composites parts, additives manufacturing materials, additives manufacturing platform, additives manufacturing technology, industrial 4, manufacturing technology, printing technology, robotic arms technology</t>
  </si>
  <si>
    <t>www.arevo.com</t>
  </si>
  <si>
    <t>2013: 1, 2014: 3, 2015: 3, 2016: 10, 2017: 28, 2018: 35, 2019: 37</t>
  </si>
  <si>
    <t>115370-83P</t>
  </si>
  <si>
    <t>Hemant Bheda</t>
  </si>
  <si>
    <t>Co-Founder &amp; Chairman of the Board</t>
  </si>
  <si>
    <t>hemant@arevolabs.com</t>
  </si>
  <si>
    <t>+1 (408) 780-3993</t>
  </si>
  <si>
    <t>1450 McCarthy Boulevard</t>
  </si>
  <si>
    <t>info@arevo.com</t>
  </si>
  <si>
    <t>The company raised $12.5 million of Series B venture funding in a deal led by Asahi Glass on May 17, 2018, putting the company's pre-money valuation at $87.5 million. Sumitomo Corporation of Americas, Leslie Ventures and Khosla Ventures also participated in the round. The funds will be used to focus on the full-scale commercialization of its technology. Previously, the company raised an undisclosed amount of venture funding from In-Q-Tel on June 1, 2017. Before that, the company raised $7 million of Series A venture funding in a deal led by Khosla Ventures on June 27, 2016, putting the company's pre-money valuation at $12.4 million.</t>
  </si>
  <si>
    <t>AGC (Tokyo), Airbus Ventures, In-Q-Tel, Khosla Ventures, Leslie Ventures, Presidio Ventures, Q Venture Partners</t>
  </si>
  <si>
    <t>AGC (Tokyo)(www.agc.com), Airbus Ventures(www.airbusventures.vc), In-Q-Tel(www.iqt.org), Khosla Ventures(www.khoslaventures.com), Presidio Ventures(www.presidio-ventures.com), Q Venture Partners(www.qventure.partners)</t>
  </si>
  <si>
    <t>Fenwick &amp; West(Legal Advisor), GreenStein, Rogoff, Olsen &amp; Co.(Accounting), Pillsbury Winthrop Shaw Pittman(Legal Advisor), Silicon Valley Bank(General Business Banking), WilmerHale(Legal Advisor)</t>
  </si>
  <si>
    <t>Fenwick &amp; West(Legal Advisor), NewCap Partners(Advisor: General), Pillsbury Winthrop Shaw Pittman(Legal Advisor), Silicon Valley Bank(General Business Banking)</t>
  </si>
  <si>
    <t>57270-34</t>
  </si>
  <si>
    <t>Ardent Capital</t>
  </si>
  <si>
    <t>Provider of early stage venture capital designed to support businesses focused on electronic commerce. The company's capital brings network of companies covering all aspects of e-commerce, enabling businesses to grow and prosper.</t>
  </si>
  <si>
    <t>Other Commercial Services, Other Financial Services, Specialized Finance*</t>
  </si>
  <si>
    <t>demand generation, investment holding, venture capital, venture capital fund, venture capital services, venture fund</t>
  </si>
  <si>
    <t>www.ardentcapital.com</t>
  </si>
  <si>
    <t>2014: 300, 2016: 21</t>
  </si>
  <si>
    <t>69249-16P</t>
  </si>
  <si>
    <t>Piers Bennett</t>
  </si>
  <si>
    <t>Co-Founder, Partner &amp; Board Member</t>
  </si>
  <si>
    <t>piers@ardentcapital.com</t>
  </si>
  <si>
    <t>+66 (0)2 2613540</t>
  </si>
  <si>
    <t>689 Bhiraj Tower, 33rd Floor</t>
  </si>
  <si>
    <t>Sukhumvit Road, Klongton Nua, Wattana</t>
  </si>
  <si>
    <t>+66 (0)2 2613549</t>
  </si>
  <si>
    <t>info@ardentcapital.com</t>
  </si>
  <si>
    <t>The company received $12.5 million of financing from Sinar Mas Indonesia on September 22, 2014.</t>
  </si>
  <si>
    <t>GMO VenturePartners, Individual Investor, Recruit Strategic Partners, Sinar Mas Indonesia, Wavemaker Partners</t>
  </si>
  <si>
    <t>GMO VenturePartners(www.gmo-vp.com), Recruit Strategic Partners(recruitstrategicpartners.com), Wavemaker Partners(www.wavemaker.vc)</t>
  </si>
  <si>
    <t>Hastings &amp; Co(Legal Advisor)</t>
  </si>
  <si>
    <t>100885-24</t>
  </si>
  <si>
    <t>Arcadia Power</t>
  </si>
  <si>
    <t>Smappee, Wattvision, Drift, Solar Analytics, Geostellar, Curb</t>
  </si>
  <si>
    <t>Developer of a digital utility platform designed to remove the complexity and unnecessary fees related to home energy usage. The company's platform connects with a users' local utility account to access automatic savings, ensure the electricity usage supports renewable energy sources and a dashboard to track bills and usage, providing renters and homeowners access to clean energy and savings.</t>
  </si>
  <si>
    <t>clean power, power supplier, renewable energy, utility account, utility bill service</t>
  </si>
  <si>
    <t>www.arcadiapower.com</t>
  </si>
  <si>
    <t>2016: 18, 2017: 32</t>
  </si>
  <si>
    <t>49370-95P</t>
  </si>
  <si>
    <t>Kiran Bhatraju</t>
  </si>
  <si>
    <t>kiran.bhatraju@arcadiapower.com</t>
  </si>
  <si>
    <t>+1 (866) 526-0083</t>
  </si>
  <si>
    <t>1255 23rd Street Northwest</t>
  </si>
  <si>
    <t>info@arcadiapower.com</t>
  </si>
  <si>
    <t>The company raised $25 million of Series B venture funding in a deal led by G2VP on August 15, 2018. Cendana Capital, BoxGroup, Wonder Ventures, Energy Impact Partners, McKnight Foundation and ValueAct Capital Management also participated in the round. The company intends to use the funds to redouble their marketing efforts and expand their array of services in the U.S.</t>
  </si>
  <si>
    <t>BoxGroup, Cendana Capital, Chris Sang, City Light Capital, Dustin Rosen, E8, Energy Impact Partners, G2VP, K Street Capital, KBW Ventures, Maiden Lane, McKnight Foundation, Mykel Nahorniak, Pro Rata Opportunity Fund, Small Ventures USA, Sohin Shah, Thomas McInerney, ValueAct Capital Management, Wonder Ventures</t>
  </si>
  <si>
    <t>BoxGroup(www.boxgroup.com), Cendana Capital(www.cendanacapital.com), Chris Sang(www.chrissang.com), City Light Capital(www.citylight.vc), E8(www.e8angels.com), Energy Impact Partners(www.energyimpactpartners.com), G2VP(www.g2vp.com), KBW Ventures(www.kbw-ventures.com), Maiden Lane(www.maidenlane.com), McKnight Foundation(www.mcknight.org), Pro Rata Opportunity Fund(www.proof.vc), Small Ventures USA(www.smallventuresusa.com), Sohin Shah(www.sohinshah.com), Thomas McInerney(www.tgm.com), ValueAct Capital Management(www.valueact.com), Wonder Ventures(www.wondervc.com)</t>
  </si>
  <si>
    <t>54770-86</t>
  </si>
  <si>
    <t>Aravo</t>
  </si>
  <si>
    <t>Exchange Wave</t>
  </si>
  <si>
    <t>Allgress, MetricStream, Optial, Sinequa, SAS Institute, ThirdPartyTrust, Xactium, ComplyGlobal, Maclear, PTC Software, Upchain (Lifecycle Management Platform), Directworks, Onspring, Ncontracts, LockPath, ProcessUnity, EtQ, ComplySci, CBX Software, Quantivate, Aras, Browz, LogicManager, Rsam, Jitterbit, Ivalua, RiskRecon, SAI Global, Oracle</t>
  </si>
  <si>
    <t>Provider of a cloud based platform designed to help organizations to manage risk and compliance. The company's platform hooks directly into SAP and Oracle and also includes option to track ISO certifications, sustainability initiatives and risk analysis, enabling clients to protect their brand, build customer trust and elevate business performance.</t>
  </si>
  <si>
    <t>cloud-based, information management tool, iso certification tracking, manage risk, regtech vertical, risk analysis</t>
  </si>
  <si>
    <t>www.aravo.com</t>
  </si>
  <si>
    <t>2009: 71, 2010: 73, 2011: 69, 2012: 67, 2013: 54, 2014: 51, 2015: 51, 2016: 51</t>
  </si>
  <si>
    <t>42823-45P</t>
  </si>
  <si>
    <t>Ralph Bryant</t>
  </si>
  <si>
    <t>rbryant@aravo.com</t>
  </si>
  <si>
    <t>+1 (415) 835-7600</t>
  </si>
  <si>
    <t>555 California Street</t>
  </si>
  <si>
    <t>+1 (415) 835-7610</t>
  </si>
  <si>
    <t>info@aravo.com</t>
  </si>
  <si>
    <t>The company raised $3.86 million of Series D venture funding from undisclosed investors on August 11, 2012, putting the pre-money valuation at $86.59 million.</t>
  </si>
  <si>
    <t>Big Sky Partners, Blue Hill Ventures, BrainStorm Ventures, Chess Ventures, Cisco Investments, Flywheel Ventures, Greenhouse Capital Partners, Individual Investor, Pequot Capital Management, The Angels' Forum, The Halo Fund, WS Investments</t>
  </si>
  <si>
    <t>B Cubed Ventures</t>
  </si>
  <si>
    <t>Big Sky Partners(www.bigskyvc.com), BrainStorm Ventures(www.brainstorm.vc), Chess Ventures(www.chessventures.com), Cisco Investments(www.ciscoinvestments.com), Flywheel Ventures(www.flywheelventures.com), Greenhouse Capital Partners(www.greenhousecap.com), Pequot Capital Management(www.pequotcap.com), The Angels' Forum(www.angelsforum.com), The Halo Fund(www.halofund.com)</t>
  </si>
  <si>
    <t>B Cubed Ventures(www.b3ventures.com)</t>
  </si>
  <si>
    <t>65340-91</t>
  </si>
  <si>
    <t>Aquam</t>
  </si>
  <si>
    <t>Provider of pipe rehabilitation technologies and maintenance service. The company provides a comprehensive range of proven technologies and services, including pipe diagnostics, condition assessment and analytics, remote water metering and data management to owners and operators of both water and natural gas pipe infrastructures, enabling them to solve some of their most significant challenges including leakage, condition assessment, contamination and shrinkage.</t>
  </si>
  <si>
    <t>eehabilitation technology, pipes rehabilitation, pipes rehabilitation services, water clean technology, water purification</t>
  </si>
  <si>
    <t>www.aquamcorp.com</t>
  </si>
  <si>
    <t>2014: 250</t>
  </si>
  <si>
    <t>50878-72P</t>
  </si>
  <si>
    <t>Cameron Manners</t>
  </si>
  <si>
    <t>Chief Technology Officer, Business Development &amp; Board Member</t>
  </si>
  <si>
    <t>cmanners@aquamcorp.com</t>
  </si>
  <si>
    <t>+1 (888) 683-5691</t>
  </si>
  <si>
    <t>7710 Kenamar Court</t>
  </si>
  <si>
    <t>info@aquamcorp.com</t>
  </si>
  <si>
    <t>The company raised $26 million of venture funding in a deal led by NewWorld Capital Group on November 6, 2017. Credit Suisse also participated in the round. The funds will be used to further product development and geographic expansion of the company's key businesses. Compass Partners International also participated in it.</t>
  </si>
  <si>
    <t>Compass Partners International, Credit Suisse, Energy Impact Partners, Flow Capital, GLH Asset Management, NewWorld Capital Group, Rancilio Cube, Turtle Creek Asset Management, Walsingham Growth Partners</t>
  </si>
  <si>
    <t>Grenville Strategic Royalty</t>
  </si>
  <si>
    <t>Compass Partners International(cpil.co.uk), Credit Suisse(www.credit-suisse.com), Energy Impact Partners(www.energyimpactpartners.com), Flow Capital(www.flowcap.com), NewWorld Capital Group(www.newworldcapital.net), Rancilio Cube(www.ranciliocube.com), Turtle Creek Asset Management(www.turtlecreek.ca), Walsingham Growth Partners(www.walsinghampartners.com)</t>
  </si>
  <si>
    <t>Grenville Strategic Royalty(www.grenvillesrc.com)</t>
  </si>
  <si>
    <t>ProFinance Associates(Advisor: General), Wellington Financial(Debt Financing)</t>
  </si>
  <si>
    <t>224203-78</t>
  </si>
  <si>
    <t>Aqrose Technology</t>
  </si>
  <si>
    <t>Maker of industrial robots and automation technologies. The company focuses on robotics and computer vision. It offers defect detection and robot disorder sorting technologies.</t>
  </si>
  <si>
    <t>Electronic Equipment and Instruments*, Other Commercial Products, Other Software</t>
  </si>
  <si>
    <t>3d camera, computer vision, defect detection, defect detection software, defect detection system, detection system, robotics, robotics and computer vision, robots inspector, visual sorting system</t>
  </si>
  <si>
    <t>www.aqrose.com</t>
  </si>
  <si>
    <t>190591-66P</t>
  </si>
  <si>
    <t>Yao Huang</t>
  </si>
  <si>
    <t>Room 2051, B, Building 2, Building 768, Industrial Park, No. 5</t>
  </si>
  <si>
    <t>Xueqing Road, Haidian District</t>
  </si>
  <si>
    <t>contact@aqrose.com</t>
  </si>
  <si>
    <t>The company raised $8 million of Series A venture funding in a deal led by Baidu Ventures and DCM Ventures on January 18, 2018. Long Capital, PowerCloud Venture Capital and Innoangel Fund also participated in the round.</t>
  </si>
  <si>
    <t>Baidu Ventures, DCM Ventures, Innoangel Fund, Long Capital, PowerCloud Venture Capital</t>
  </si>
  <si>
    <t>Baidu Ventures(www.bv.ai), DCM Ventures(www.dcm.com), Innoangel Fund(www.innoangel.com), Long Capital(www.longcapital.cn), PowerCloud Venture Capital(www.powercloudvc.com)</t>
  </si>
  <si>
    <t>59077-90</t>
  </si>
  <si>
    <t>Apttus</t>
  </si>
  <si>
    <t>FPX, Taulia, Cincom Systems, Conga, Entomo, Vistex (Illinois), Vroozi, BuyerQuest, BigMachines, SourceDay, Zift Solutions, PROS Holdings, Icertis, Zuora, CloudSense (London), SteelBrick</t>
  </si>
  <si>
    <t>Provider of a cloud-based Quote-to-Cash (QTC) software services. The company's software optimizes revenue operation by driving behavior and providing prescriptive data to company decision makers, enabling businesses to manage processes for making, documenting, signing and managing commitments with their trading partners.</t>
  </si>
  <si>
    <t>Automation/Workflow Software, Financial Software*</t>
  </si>
  <si>
    <t>automated quote-to-cash software, contract management service, quote to cash software, quote-to-cash software, revenue management</t>
  </si>
  <si>
    <t>www.apttus.com</t>
  </si>
  <si>
    <t>2013: 150, 2014: 340, 2015: 1200, 2016: 1200, 2017: 1200, 2018: 1100</t>
  </si>
  <si>
    <t>89099-11P</t>
  </si>
  <si>
    <t>Gregg Hampton</t>
  </si>
  <si>
    <t>ghampton@apttus.com</t>
  </si>
  <si>
    <t>1400 Fashion Island Boulevard</t>
  </si>
  <si>
    <t>info@apttus.com</t>
  </si>
  <si>
    <t>The company was acquired by Thoma Bravo through an LBO on October 3, 2018 for an undisclosed sum. Deutsche Bank provided loan financing in this transaction.</t>
  </si>
  <si>
    <t>Golub Capital, Gulf Islamic Investments, IBM Ventures, ICONIQ Capital, K1 Investment Management, Kuwaiti Investment Authority, Premji Invest, Salesforce Ventures, Tower Equity</t>
  </si>
  <si>
    <t>Golub Capital(www.golubcapital.com), Gulf Islamic Investments(www.gii.ae), ICONIQ Capital(www.iconiqcapital.com), K1 Investment Management(www.k1capital.com), Tower Equity(towerequity.com)</t>
  </si>
  <si>
    <t>Coit Group(Consulting), Wilson Sonsini Goodrich &amp; Rosati(Legal Advisor)</t>
  </si>
  <si>
    <t>Cooley(Legal Advisor), Deutsche Bank(Debt Financing), The Goldman Sachs Group(Placement Agent), Wilson Sonsini Goodrich &amp; Rosati(Legal Advisor)</t>
  </si>
  <si>
    <t>110661-67</t>
  </si>
  <si>
    <t>Apton Biosystems</t>
  </si>
  <si>
    <t>Developer of instruments focused on bio-marker identification and qualification. The company's molecular profiling platform is enabled by a proprietary super-resolution, high-speed imaging system combined with unique, low-cost flow cells, providing healthcare industry players and medical professionals with tools for autoimmune, inflammatory, blood and lymphatic diseases as well as cancer.</t>
  </si>
  <si>
    <t>Biotechnology, Diagnostic Equipment, Discovery Tools (Healthcare)*</t>
  </si>
  <si>
    <t>bio tools, disease identification, healthcare innovation, medical innovation, stem cell research</t>
  </si>
  <si>
    <t>www.aptonbio.com</t>
  </si>
  <si>
    <t>2015: 15</t>
  </si>
  <si>
    <t>103605-94P</t>
  </si>
  <si>
    <t>Bryan Staker</t>
  </si>
  <si>
    <t>bryan.staker@aptonbio.com</t>
  </si>
  <si>
    <t>+1 (925) 223-8458</t>
  </si>
  <si>
    <t>6670 Owens Drive</t>
  </si>
  <si>
    <t>info@aptonbio.com</t>
  </si>
  <si>
    <t>The company raised an estimated $8 million of venture funding from Samsung Catalyst and Delphi Automotive on April 6, 2017, putting the pre-money valuation at $16 million. MediaTek Ventures and The Goldman Sachs Group also participated in the round.</t>
  </si>
  <si>
    <t>Aptiv, Cenova Capital, Khosla Ventures, MediaTek Ventures, Samsung Catalyst, The Goldman Sachs Group</t>
  </si>
  <si>
    <t>Aptiv(www.aptiv.com), Cenova Capital(www.cenovaventures.com), Khosla Ventures(www.khoslaventures.com), Samsung Catalyst(www.samsungcatalyst.com), The Goldman Sachs Group(www.goldmansachs.com)</t>
  </si>
  <si>
    <t>Biology for Global Good(Consulting), Fenwick &amp; West(Legal Advisor)</t>
  </si>
  <si>
    <t>61592-23</t>
  </si>
  <si>
    <t>AptDeco</t>
  </si>
  <si>
    <t>Move Loot, Viyet, Chairish, Kaiyo</t>
  </si>
  <si>
    <t>Provider of an online platform designed for buying and selling pre-owned furniture. The company offers an end-to-end process including a trusted and verified community of buyers and sellers, pre-arranged pick up and delivery and a secure payment process, enabling a hassle free furniture purchasing and selling.</t>
  </si>
  <si>
    <t>online home furnishings, pre-owned furniture, secondhand market</t>
  </si>
  <si>
    <t>www.aptdeco.com</t>
  </si>
  <si>
    <t>2014: 6, 2016: 9</t>
  </si>
  <si>
    <t>61954-75P</t>
  </si>
  <si>
    <t>Fagiri Reham</t>
  </si>
  <si>
    <t>reham@aptdeco.com</t>
  </si>
  <si>
    <t>330 West 38th Street</t>
  </si>
  <si>
    <t>Room 1504</t>
  </si>
  <si>
    <t>hello@aptdeco.com</t>
  </si>
  <si>
    <t>The company raised $3.58 million of Series A funding from Great Oaks Venture Capital, Forefront Venture Partner, Red &amp; Blue Ventures and other undisclosed investors on October 6, 2017. Previously the company joined The Multicultural Innovation Lab by Morgan Stanley and received an undisclosed amount in funding on August 1, 2017.</t>
  </si>
  <si>
    <t>645 Ventures, Comcast Ventures, FJ Labs, Forefront Venture Partners, Gabriel Investments, Great Oaks Venture Capital, Kevin Hale, Morgan Stanley, Paul Buchheit, Red &amp; Blue Ventures, SV Angel, Y Combinator</t>
  </si>
  <si>
    <t>645 Ventures(www.645ventures.com), Comcast Ventures(www.comcastventures.com), FJ Labs(www.fjlabs.com), Forefront Venture Partners(www.forefrontvp.com), Gabriel Investments(www.gabriel-investments.com), Great Oaks Venture Capital(www.greatoaksvc.com), Kevin Hale(roundedbygravity.com), Morgan Stanley(www.morganstanley.com), Red &amp; Blue Ventures(www.redandblue.vc), SV Angel(www.svangel.com), Y Combinator(www.ycombinator.com)</t>
  </si>
  <si>
    <t>13228-48</t>
  </si>
  <si>
    <t>Aprimo</t>
  </si>
  <si>
    <t>Percolate, Netsertive, Opal (Marketing), Skyword, Allocadia, Kapost, Tailwind (Marketing Platform), Iterable, Turn, Bridg, Origami Logic, Workfront, Shareablee, Salesfusion, Sprinklr, NewsCred, Bulldog Solutions, Contently, Hive9, WorkSpan, Net-Results, Beckon, i.Predictus, BrandMaker, Marketing Evolution, Silverpop Systems, Act-On, Sprout Social, One2team, Bynder, Demandbase, Full Circle Insights, Datorama, SellPoints, Domo, RapidMiner, LiquidPixels, Hootsuite, Storystream, Sailthru, BrightFunnel, AgilOne, HubSpot, Webdam Solutions, Pardot, Spredfast, Simply Measured, Workboard, Kenshoo, Ansira, SproutLoud Media Networks, Leadspace, Swrve, Wizeline, Bizible, Acquia, Relayware, SAS Institute, Socialbakers, SmartFocus UK, Zift Solutions, Lattice (Business/Productivity Software), Harte Hanks, Epicor Software, Marketo, Clarizen, Prophix Software, Averetek, Gridle, Ceridian HCM, NGA Human Resources, DivvyHQ, Keap (Saas Platform), Agorapulse, Entomo, Sitecore, inMotionNow, Livefyre, Optimizely, NetSuite, productboard, Salesforce, Leankor, Infor Global Solutions, WorkZone (Business/Productivity Software), Glia (Digital Platform)</t>
  </si>
  <si>
    <t>Developer of a web-based enterprise marketing management application designed to govern and grow the brand value. The company's technology addresses marketing platform manage budgets, people, data and content throughout the idealization, workflow and campaign delivery of the brand experience while maximizing provable returns assisting marketers the advantage to govern and grow their brand.</t>
  </si>
  <si>
    <t>marketing management, product lifecycle, web based enterprise</t>
  </si>
  <si>
    <t>www.aprimo.com</t>
  </si>
  <si>
    <t>2006: 355, 2007: 355, 2009: 500, 2010: 570</t>
  </si>
  <si>
    <t>122410-63P</t>
  </si>
  <si>
    <t>Robert McLaughlin</t>
  </si>
  <si>
    <t>robert.mclaughlin@aprimo.com</t>
  </si>
  <si>
    <t>+1 (877) 794-8556</t>
  </si>
  <si>
    <t>230 West Monroe Street</t>
  </si>
  <si>
    <t>info@aprimo.com</t>
  </si>
  <si>
    <t>The company was acquired by Marlin Equity Partners through an LBO in July 2016 for an undisclosed sum.</t>
  </si>
  <si>
    <t>Allos Ventures, Blue Chip Venture, Collina Ventures, First Analysis, Frazier Technology Ventures, MK Capital, ORIX Growth Capital, Poplar Ventures, PricewaterhouseCoopers Venture Partners, Sigma Partners, Sigma Prime Ventures, Silicon Valley Bank, Staenberg Venture Partners, Teradata, The Jordan, Edmiston Group</t>
  </si>
  <si>
    <t>Allos Ventures(www.allosventures.com), Blue Chip Venture(www.bcvc.com), Collina Ventures(www.collinaventures.com), First Analysis(www.firstanalysis.com), MK Capital(www.mkcapital.com), Poplar Ventures(www.poplarventures.com), Sigma Partners(www.sigmapartners.com), Sigma Prime Ventures(www.sigmaprime.com), Silicon Valley Bank(www.svb.com), Staenberg Venture Partners(www.staenberg.com), The Jordan, Edmiston Group(www.jegi.com)</t>
  </si>
  <si>
    <t>Bengur Bryan &amp; Co.(Advisor: General), Goodwin(Legal Advisor), Summative Executive Search(Consulting)</t>
  </si>
  <si>
    <t>12655-99</t>
  </si>
  <si>
    <t>Apptio</t>
  </si>
  <si>
    <t>Cherwell Software, TIBCO Software, Pegasystems, SAP, Zendesk, BMC Software, Opera Solutions, RightScale, Cloudyn Software, LeanIX, Clarizen, GenSight, CA Technologies, Spotinst, Velostrata, ComSci, Salesforce, Scalr, Casewise Systems, Serena Software, Alteryx, CloudCheckr, FyrSoft, OpsLogix, SysAid Technologies, Pentaho, Orbitera, SevOne, CloudHealth Technologies, Freshworks, EasyVista, Samanage, Redwood Software, Qlik Technologies, Wolken Software, Appian, Digital Fuel, ServiceNow, Cloud Cruiser, Nicus Software, DivvyCloud, VMware, Troux Technologies</t>
  </si>
  <si>
    <t>Apptio Inc develops and sells Technology Business Management solutions. Its cloud-based platform and SaaS applications enable IT leaders to analyze, optimize and plan technology investments, and to benchmark their financial and operational performance against peers. It empowers IT, leaders, to transform IT into a service provider, to navigate the cloud transition, and to shift technology resources to drive more business innovation. The firm SaaS applications are Cost Transparency, IT Benchmarking, Business Insights, Bill of IT and IT Planning. The company derived its revenue from North Amerca. It serves the customers from North America, Europe, and Australia.</t>
  </si>
  <si>
    <t>cloud computing, cost management application, financial management, technology business management</t>
  </si>
  <si>
    <t>www.apptio.com</t>
  </si>
  <si>
    <t>2010: 115, 2011: 85, 2013: 350, 2014: 511, 2015: 694, 2016: 731, 2017: 756, 2018: 852, 2019: 850</t>
  </si>
  <si>
    <t>40547-35P</t>
  </si>
  <si>
    <t>Kurt Shintaffer</t>
  </si>
  <si>
    <t>Co-Founder &amp; Chief Financial Officer</t>
  </si>
  <si>
    <t>kshintaffer@apptio.com</t>
  </si>
  <si>
    <t>+1 (866) 470-0320</t>
  </si>
  <si>
    <t>11100 Northeast 8th Street</t>
  </si>
  <si>
    <t>The company was acquired by Vista Equity Partners through a $1.94 billion public-to-private LBO on January 10, 2019. As a result of the closing, Apptio will no longer trade on the NASDAQ.</t>
  </si>
  <si>
    <t>137 Ventures, Akkadian Ventures, Andreessen Horowitz, Cisco Investments, Clear Fir Partners, Fidelity Investments, Greylock Partners, Ignition Partners, Industry Ventures, Janus Capital Group, Madrona Venture Group, ORIX Growth Capital, S.A.W. Capital Partners, SharesPost, Shasta Ventures, T. Rowe Price, The Hillman Company, Variable Annuity Life Insurance Company</t>
  </si>
  <si>
    <t>137 Ventures(www.137ventures.com), Akkadian Ventures(www.akkadianventures.com), Andreessen Horowitz(www.a16z.com), Cisco Investments(www.ciscoinvestments.com), Fidelity Investments(www.fidelity.com), Greylock Partners(www.greylock.com), Ignition Partners(www.ignitionpartners.com), Industry Ventures(www.industryventures.com), Janus Capital Group(www.janus.com), Madrona Venture Group(www.madrona.com), S.A.W. Capital Partners(www.saw-capital.com), SharesPost(www.sharespost.com), Shasta Ventures(www.shastaventures.com), T. Rowe Price(www3.troweprice.com), The Hillman Company(www.hillmancompany.com), Variable Annuity Life Insurance Company(www.valic.com)</t>
  </si>
  <si>
    <t>Allen &amp; Company(Advisor: General), Ares Capital(Debt Financing), Bank of America Merrill Lynch(Underwriter), Barclays Investment Bank(Underwriter), Bragar Eagel &amp; Squire(Legal Advisor), Cooley(Legal Advisor), D. F. King(Advisor: General), J.P. Morgan(Underwriter), Jefferies Hoare Govett(Underwriter), Kahn Swick &amp; Foti(Legal Advisor), KBCM Technology Group(Underwriter), PwC(Accounting), Qatalyst Partners(Advisor: General), RBC Capital Markets(Underwriter), The Carlyle Group(Debt Financing), The Goldman Sachs Group(Underwriter), WeissLaw(Legal Advisor), Wilson Sonsini Goodrich &amp; Rosati(Legal Advisor)</t>
  </si>
  <si>
    <t>12235-96</t>
  </si>
  <si>
    <t>AppNeta</t>
  </si>
  <si>
    <t>Apparent Networks, jaalaM Technologies</t>
  </si>
  <si>
    <t>LiveAction, AppEnsure, LogicMonitor, AppDynamics, Cedexis, Skipjaq, InfoVista, SignalFx, Paessler, Pepperdata, Aptilo Networks, Soasta, BlazeMeter, SimpliVity, Pingdom Server Monitor, Corvil, Aternity, NetBrain Technologies, Opbeat, Cato Networks, Instana, Adaptiv Networks, Neotys, Kentik, cPacket Networks, ShoreGroup, Exinda, Cloudflare, Rigor, Lancope, NS1, Oracle Dyn, ExtraHop Networks, SevOne, App Enlight, Knoa Software, ThousandEyes, Sumo Logic, SmartBear, Moogsoft, Ipswitch, Performance Vision, Polystar (Sweden), Zscaler, eG Innovations, Empirix, Nexthink, Graylog, Nutanix, Niksun, CloudGenix, Uptrends, Riverbed Technology, Catchpoint, SonicWALL, Loggly, Splunk, Rubrik, Gigamon, Global App Testing, erwin, Arbor Networks, Scalr, Dynatrace, PagerDuty, OpsGenie, New Relic, SolarWinds</t>
  </si>
  <si>
    <t>Provider of end-user performance monitoring platform created for business-critical applications over any network. The company develops and markets application performance monitoring and performance management software to monitor and measure the performance of their web, mobile and cloud-delivered application environments and offers complete performance visibility from the end user's perspective, providing details into the usage, delivery and experience of cloud and SaaS applications, offering better end-user experience, faster ROI and more productivity.</t>
  </si>
  <si>
    <t>application performance, cloud-delivered application, network performance, performance monitoring, performance monitoring software</t>
  </si>
  <si>
    <t>www.appneta.com</t>
  </si>
  <si>
    <t>2013: 150, 2014: 127, 2015: 150</t>
  </si>
  <si>
    <t>37039-24P</t>
  </si>
  <si>
    <t>Fred Klassen</t>
  </si>
  <si>
    <t>Co-Founder &amp; Vice President Advanced Technologies</t>
  </si>
  <si>
    <t>fklassen@appneta.com</t>
  </si>
  <si>
    <t>+1 (800) 508-5233</t>
  </si>
  <si>
    <t>285 Summer Street</t>
  </si>
  <si>
    <t>Fourth Floor</t>
  </si>
  <si>
    <t>info@appneta.com</t>
  </si>
  <si>
    <t>The company received an undisclosed amount of development capital from Rubicon Technology Partners on January 4, 2018. The latest financing will accelerate AppNeta's investment into R&amp;D to further enhance its market-leading solutions and go-to-market capacity.</t>
  </si>
  <si>
    <t>Aden Investments, Amplify Partners, Bain Capital Ventures, Battery Ventures, BDC Capital IT Venture Fund, David Beyer, Egan-Managed Capital, GrowthWorks, JMI Equity, John Landry, RUBICON Technology Partners, SolarWinds</t>
  </si>
  <si>
    <t>Flybridge Capital Partners, TELUS Ventures</t>
  </si>
  <si>
    <t>Amplify Partners(www.amplifypartners.com), Bain Capital Ventures(www.baincapitalventures.com), Battery Ventures(www.battery.com), Egan-Managed Capital(www.egancapital.com), GrowthWorks(www.growthworks.ca), JMI Equity(www.jmi.com), RUBICON Technology Partners(www.rubicontp.com), SolarWinds(www.solarwinds.com)</t>
  </si>
  <si>
    <t>Flybridge Capital Partners(www.flybridge.com), TELUS Ventures(ventures.telus.com)</t>
  </si>
  <si>
    <t>Goodwin(Legal Advisor), Perkins Coie(Legal Advisor)</t>
  </si>
  <si>
    <t>Comerica Bank(Debt Financing), Goodwin(Legal Advisor), KeyBanc Capital Markets(Advisor: General), Latham &amp; Watkins(Legal Advisor), McDermott Will &amp; Emery(Legal Advisor), Perkins Coie(Legal Advisor), Shasta Partners(Advisor: General)</t>
  </si>
  <si>
    <t>82279-81</t>
  </si>
  <si>
    <t>Appiphony</t>
  </si>
  <si>
    <t>Cloud Sherpas, Intertech (IT service management), Tribridge, Fluido, Reynolds and Reynolds Infosystems, 110 Consulting</t>
  </si>
  <si>
    <t>Provider of Product Development Outsourcer (PDO) services. The company's products focus on the development of salesforce integration framework specializing in custom applications using Salesforce App Cloud, enabling independent software vendors to build and launch their apps quickly.</t>
  </si>
  <si>
    <t>Application Software, IT Consulting and Outsourcing*</t>
  </si>
  <si>
    <t>commercial app development, product development outsourcer, salesforce application, salesforce integration, salesforce product</t>
  </si>
  <si>
    <t>www.appiphony.com</t>
  </si>
  <si>
    <t>167231-35P</t>
  </si>
  <si>
    <t>George Kenessey</t>
  </si>
  <si>
    <t>Chief Executive Officer &amp; Architecture</t>
  </si>
  <si>
    <t>george@appiphony.com</t>
  </si>
  <si>
    <t>+1 (773) 661-4100</t>
  </si>
  <si>
    <t>1142 West Madison Street</t>
  </si>
  <si>
    <t>info@appiphony.com</t>
  </si>
  <si>
    <t>The company raised $500,000 of venture funding from Salesforce Ventures on June 1, 2017, putting the pre-money valuation at $10 million. This investment will allow Appiphony to continue to support the Salesforce developer ecosystem with new tools and services.</t>
  </si>
  <si>
    <t>58134-88</t>
  </si>
  <si>
    <t>AppHarbor</t>
  </si>
  <si>
    <t>AppFog, Xamarin, Heroku, Appcelerator, TechJini, OutSystems, LANSA (Downers Grove), Mendix, Zudy, Menlo Technologies, Deis, Apprenda, Sencha, Agile Stacks, Pantheon (Website Operations Platform), CloudBees, VANTIQ, Kony, Docker, Nodejitsu, DigitalOcean, XebiaLabs, Appian, STRV, Exadel, AppScale Systems, Kitematic, WebRatio, MuleSoft, Openshift, Raizlabs, Pivotal Software, Engine Yard, Cloud Foundry Foundation, Amazon Web Services</t>
  </si>
  <si>
    <t>Developer of a cloud-based Platform designed to help .NET applications grow and prosper. The company's platform helps developers in deploying .NET applications without any code modification, enabling developers and businesses to host anything from personal blogs to high traffic web applications.</t>
  </si>
  <si>
    <t>coding development platform, coding modification, coding modification platform, coding platform, coding software, coding solutions</t>
  </si>
  <si>
    <t>www.appharbor.com</t>
  </si>
  <si>
    <t>62475-49P</t>
  </si>
  <si>
    <t>Rune Sorensen</t>
  </si>
  <si>
    <t>rs@appharbor.com</t>
  </si>
  <si>
    <t>The company raised $1.4 million of seed funding from Salesforce Ventures, Accel and Ignition Partners on June 28, 2011. SV Angel, Start Fund, Y Combinator and Quest Innovation Accelerator also participated in the round. Prior to that, the company joined Y Combinator as part of the Winter 2011 Class and received $120,000 in funding on January 20, 2011.</t>
  </si>
  <si>
    <t>Accel, Ignition Partners, Quest Innovation Accelerator, Salesforce Ventures, Start Fund, SV Angel, Y Combinator</t>
  </si>
  <si>
    <t>Accel(www.accel.com), Ignition Partners(www.ignitionpartners.com), SV Angel(www.svangel.com), Y Combinator(www.ycombinator.com)</t>
  </si>
  <si>
    <t>157322-08</t>
  </si>
  <si>
    <t>Aporeto</t>
  </si>
  <si>
    <t>Tigera, Ziften, Threat Stack, Dome9 Security, Bromium, Polyverse, Layered Insight, Capsule8, SignalFx, Kaspersky Lab, Forcepoint, Twistlock, Cylance, Rapid7, Cyberbit, Digital Guardian, Damballa, Kaymera, Veracode, NeuVector, Aqua Security, Niara, GuardiCore, Thycotic Software, DearBytes, Barkly, Nok Nok Labs, CrowdStrike, RedLock, Shape Security, ZeroFox, Illumio, Fortanix, CloudPassage, Recorded Future, Blueliv, Webroot, StackRox, vArmour, Invincea, Datadog, Lookout, Exabeam, Wandera, GreatHorn, Aviatrix, Kahuna Group, Distil Networks, Sysdig, Endgame, LogRhythm, Evident.IO, Cohesive Networks, SentinelOne, Morphisec, Big Switch Networks, Infocyte, Avast Software, Tanium, SaltStack, Dtex Systems, Sophos, Embrane, Avecto, Tenable, Apcera, Securonix, CoreSec Systems, SonicWALL, Appthority, Menlo Security, IOPipe, Diamanti, Qualys, Proofpoint, Cybereason, CloudVelox</t>
  </si>
  <si>
    <t>Developer of a comprehensive cloud-native security software designed to deploy and operate cloud-native applications. The company's platform works on public, private or hybrid clouds that makes distributed applications secure by default without impacting developer speed and is easy to manage and purpose-built for modern, agile distributed systems based on containers, microservices, among others, enabling clients to protect cloud applications from attack by authenticating and authorizing all communications.</t>
  </si>
  <si>
    <t>cloud native application, cloud-native security, cloud-native security software, cyber security app, security model</t>
  </si>
  <si>
    <t>www.aporeto.com</t>
  </si>
  <si>
    <t>92768-77P</t>
  </si>
  <si>
    <t>Dimitri Stiliadis</t>
  </si>
  <si>
    <t>dimitri@aporeto.com</t>
  </si>
  <si>
    <t>+1 (866) 300-0224</t>
  </si>
  <si>
    <t>info@aporeto.com</t>
  </si>
  <si>
    <t>The company raised $20 million of Series B venture funding in a deal led by Comcast Ventures on December 20, 2018. National Grid Partners, Telia Company, Wing Venture Partners, and Norwest Venture Partners also participated in this round. The funds will be used by the company to expand adoption of its solution, capitalize on significant momentum in securing both cloud and hybrid environments with their infrastructure-agnostic approach to Zero Trust security.</t>
  </si>
  <si>
    <t>Comcast Ventures, Data Collective, Inspovation Ventures, National Grid Partners, Telia Company, Wing Venture Capital</t>
  </si>
  <si>
    <t>Comcast Ventures(www.comcastventures.com), Data Collective(www.dcvc.com), Inspovation Ventures(www.inspovation.com), National Grid Partners(www.ngpartners.com), Telia Company(www.teliacompany.com), Wing Venture Capital(www.wing.vc)</t>
  </si>
  <si>
    <t>234601-03</t>
  </si>
  <si>
    <t>Apex.AI</t>
  </si>
  <si>
    <t>PolySync, Renovo Auto, AImotive</t>
  </si>
  <si>
    <t>Developer of an operating system designed for self-driving vehicles. The company's system horizontal platform that enables software developers to write safe and secure applications based on robot operating system 2 and provides functional building blocks for autonomous vehicles, enabling automotive developers to implement complex artificial intelligence software and implement safety-critical applications.</t>
  </si>
  <si>
    <t>Operating Systems Software</t>
  </si>
  <si>
    <t>Automotive, Operating Systems Software*</t>
  </si>
  <si>
    <t>automated passenger cars, autonomous logistics, autonomous mobility platform, autonomous vehicles systems, platform, realtime application, robotaxis, software &amp; system development</t>
  </si>
  <si>
    <t>www.apex.ai</t>
  </si>
  <si>
    <t>196660-81P</t>
  </si>
  <si>
    <t>Jan Becker</t>
  </si>
  <si>
    <t>Co-Founder, President, Chief Executive Officer &amp; Chief Financial Officer</t>
  </si>
  <si>
    <t>jan@apex.ai</t>
  </si>
  <si>
    <t>979 Commercial Street</t>
  </si>
  <si>
    <t>info@apex.ai</t>
  </si>
  <si>
    <t>The company raised $15.5 million of Series A venture funding in a deal led by Canaan Partners on November 12, 2018, putting the company's pre-money valuation at $33.5 million. Toyota AI Ventures, Airbus Ventures, Lightspeed Venture Partners, and Webb Investment Network also participated in the round.</t>
  </si>
  <si>
    <t>Airbus Ventures, Canaan Partners, Lightspeed Venture Partners, Toyota AI Ventures, Webb Investment Network</t>
  </si>
  <si>
    <t>Airbus Ventures(www.airbusventures.vc), Canaan Partners(www.canaan.com), Lightspeed Venture Partners(www.lsvp.com), Toyota AI Ventures(www.toyota-ai.ventures), Webb Investment Network(www.winfunding.com)</t>
  </si>
  <si>
    <t>87241-51</t>
  </si>
  <si>
    <t>Apervita</t>
  </si>
  <si>
    <t>Pervasive Health</t>
  </si>
  <si>
    <t>Proskriptive, Health Catalyst, QualMetrix, ArborMetrix, Eagledream Health, Healthentic, Lumiata, SCIO Health Analytics, Hospital IQ, NantHealth, Lumere, MedHOK, Innovaccer, MedeAnalytics, SCI Solutions, Cotiviti, ZeOmega, HealthEC, Explorys, Zakipoint Health, SAS Institute</t>
  </si>
  <si>
    <t>Provider of a healthcare analytics platform intended to deliver health insights. The company's healthcare analytics platform de-couples analytics from data and significantly reduces the barriers to create, improve and re-purpose them, enabling health professionals to deploy health insight and deliver better care.</t>
  </si>
  <si>
    <t>Database Software, Enterprise Systems (Healthcare), Media and Information Services (B2B)*</t>
  </si>
  <si>
    <t>algorithm and measures, health datasets, healthcare analytics, healthcare platform</t>
  </si>
  <si>
    <t>www.apervita.com</t>
  </si>
  <si>
    <t>2015: 15, 2018: 40, 2019: 60</t>
  </si>
  <si>
    <t>45500-50P</t>
  </si>
  <si>
    <t>Paul Magelli</t>
  </si>
  <si>
    <t>paul.magelli@apervita.com</t>
  </si>
  <si>
    <t>+1 (312) 257-2967</t>
  </si>
  <si>
    <t>1 North LaSalle Street</t>
  </si>
  <si>
    <t>Suite 1400</t>
  </si>
  <si>
    <t>60602</t>
  </si>
  <si>
    <t>info@apervita.com</t>
  </si>
  <si>
    <t>The company closed on $16.5 million of Series A venture funding from Optum Ventures, Illinois Ventures, Bootstrap Venture Partners and other undisclosed investors on September 1, 2017, putting the company's pre-money valuation at $33 million.</t>
  </si>
  <si>
    <t>Baird Capital, Bootstrap Venture Partners, DRW Venture Capital, GE Ventures, Graphene Ventures, IllinoisVENTURES, Math Venture Partners, Mayo Clinic Ventures, Optum Ventures, Pritzker Group Venture Capital</t>
  </si>
  <si>
    <t>Baird Capital(www.bairdcapital.com), Bootstrap Venture Partners(www.bootstrapventurepartners.com), DRW Venture Capital(www.drwvc.com), GE Ventures(www.geventures.com), Graphene Ventures(www.graphenevc.com), IllinoisVENTURES(www.illinoisventures.com), Math Venture Partners(www.mathventurepartners.com), Mayo Clinic Ventures(ventures.mayoclinic.org), Optum Ventures(www.optumventures.com), Pritzker Group Venture Capital(www.pritzkergroup.com/venture-capital)</t>
  </si>
  <si>
    <t>Baker Tilly(Auditor)</t>
  </si>
  <si>
    <t>Manor Park Securities(Advisor: General), Match Point Partners(Advisor: General)</t>
  </si>
  <si>
    <t>54157-42</t>
  </si>
  <si>
    <t>Antengo</t>
  </si>
  <si>
    <t>Provider of mobile application designed for commercial exchanges and transactions. The company's mobile application facilitates real-time, location-based, person-to-person and business-to-consumer exchanges and transactions.</t>
  </si>
  <si>
    <t>Application Software, Internet Retail, Social Content*</t>
  </si>
  <si>
    <t>internet retail, mobile application, real time exchange</t>
  </si>
  <si>
    <t>www.antengo.com</t>
  </si>
  <si>
    <t>40742-74P</t>
  </si>
  <si>
    <t>Marcus Wandell</t>
  </si>
  <si>
    <t>marcus@antengo.com</t>
  </si>
  <si>
    <t>+1 (858) 762-5580 x115</t>
  </si>
  <si>
    <t>4225 Executive Square</t>
  </si>
  <si>
    <t>Suite 470</t>
  </si>
  <si>
    <t>info@antengo.com</t>
  </si>
  <si>
    <t>The company raised $75,000 of convertible debt financing from Verizon Ventures and other undisclosed investors on July 21, 2014. Previously, the company raised $420,000 of seed funding from New York Angels and other undisclosed investors on December 14, 2011.</t>
  </si>
  <si>
    <t>CONNECT (Accelerator), EvoNexus, Kicklabs, Laconia Ventures, Michael Wandell, New York Angels, Steve Hart, Verizon Ventures</t>
  </si>
  <si>
    <t>CONNECT (Accelerator)(www.connect.org), EvoNexus(www.evonexus.org), Kicklabs(www.kicklabs.com), New York Angels(www.newyorkangels.com), Verizon Ventures(www.verizonventures.com)</t>
  </si>
  <si>
    <t>99609-31</t>
  </si>
  <si>
    <t>Ant Financial</t>
  </si>
  <si>
    <t>Zhejiang Ant Small and Micro Financial Services Group</t>
  </si>
  <si>
    <t>Alipay, Ant</t>
  </si>
  <si>
    <t>Zong, Transactis, BillingTree, Payoneer, Stripe, Affirm, VersaPay, Paysafe Group, First Data, Transfast, Codapay, Pay and Shop, WorldPay (Global Payment Processing), TrustCommerce, Boku, 2Checkout (Acquired), FastSpring, Fortumo, EBANX, Klarna, YapStone, Adyen, Paytm, WePay</t>
  </si>
  <si>
    <t>Operator of a cloud-based financial platform designed to provide cloud computing services to financial enterprises. The company's platform uses cloud-based computing and mobile internet technologies to integrate basic capacities with customized research and development needs, enabling financial institutions to build safer and more efficient IT infrastructures to serve their customers.</t>
  </si>
  <si>
    <t>FinTech, Mobile Commerce, SaaS, TMT</t>
  </si>
  <si>
    <t>microfinance company, mobile payment platform, payment service, peer-to-peer payment platform, utility payment</t>
  </si>
  <si>
    <t>www.antfin.com</t>
  </si>
  <si>
    <t>2016: 2033, 2017: 6000</t>
  </si>
  <si>
    <t>131090-23P</t>
  </si>
  <si>
    <t>Eric Jing</t>
  </si>
  <si>
    <t>Chief Executive Officer &amp; Executive Chairman</t>
  </si>
  <si>
    <t>eric.jing@alipay.com</t>
  </si>
  <si>
    <t>+86 (0)571 2688 8888</t>
  </si>
  <si>
    <t>Z Space, Number 556 Xixi Road</t>
  </si>
  <si>
    <t>+86 (0)571 8643 2811</t>
  </si>
  <si>
    <t>The company raised $14 billion of Series C venture funding led by Warburg Pincus on June 7, 2018, putting the company's pre-money valuation at $136 billion. Silver Lake Management, General Atlantic Khazanah Nasional, FJ Labs, Boyu Capital, T. Rowe Price, The Carlyle Group, Primavera Capital, Discovery Capital Management, Janchor Partners, Baillie Gifford, Canada Pension Plan Investment Board, GIC Private, Access Technology Ventures and Temasek Holdings also participated in the round. The company will use the funds towards extending its global expansion and deepening its presence in non-China markets it has already entered, developing technology and hiring.</t>
  </si>
  <si>
    <t>Access Technology Ventures, Baillie Gifford, Boyu Capital Advisory Company, Canada Pension Plan Investment Board, China Construction Bank, China Development Bank, China Investment Corporation, China Life Insurance, China Pacific Insurance, China People's Insurance Group Company, China Post Group, Discovery Capital Management, FJ Labs, General Atlantic, GIC Private, GP Investments, Janchor Partners, Khazanah Nasional, National Social Security Fund, Primavera Capital Group, Sequoia Capital China, Silver Lake Management, T. Rowe Price, Temasek Holdings, The Carlyle Group, Warburg Pincus, Xinhua Life Insurance Company, Yunfeng Capital</t>
  </si>
  <si>
    <t>Access Technology Ventures(www.accesstechnologyventures.com), Baillie Gifford(www.bailliegifford.com), Boyu Capital Advisory Company(www.boyucapital.com), Canada Pension Plan Investment Board(www.cppib.com), China Construction Bank(www.ccb.com), China Development Bank(www.cdb.com.cn), China Investment Corporation(www.china-inv.cn), China Life Insurance(www.chinalife.com.cn), China Pacific Insurance(www.cpic.com.cn), China People's Insurance Group Company(www.picc.com.cn), China Post Group(english.chinapost.com.cn), FJ Labs(www.fjlabs.com), General Atlantic(www.generalatlantic.com), GIC Private(www.gic.com.sg), GP Investments(www.gp-investments.com), Khazanah Nasional(www.khazanah.com), National Social Security Fund(www.nssfug.org), Primavera Capital Group(www.primavera-capital.com), Sequoia Capital China(www.sequoiacap.com/china), Silver Lake Management(www.silverlake.com), T. Rowe Price(www3.troweprice.com), Temasek Holdings(www.temasek.com.sg), The Carlyle Group(www.carlyle.com), Warburg Pincus(www.warburgpincus.com), Xinhua Life Insurance Company(www.newchinalife.com/ncl/cn/new/about/index.shtml), Yunfeng Capital(www.yfc.cn)</t>
  </si>
  <si>
    <t>Fish &amp; Richardson(Legal Advisor), King &amp; Wood Mallesons(Legal Advisor), Morrison &amp; Foerster(Legal Advisor), Sidley Austin(Legal Advisor), Wachtell, Lipton, Rosen &amp; Katz(Legal Advisor)</t>
  </si>
  <si>
    <t>China International Capital Corporation(Advisor: General), CITIC Securities Corporate Finance (HK)(Advisor: General), Citigroup(Advisor: General), Deutsche Bank(Advisor: General), FangDa Partners(Legal Advisor), J.P. Morgan(Advisor: General), King &amp; Wood Mallesons(Legal Advisor), Morgan Stanley(Advisor: General), Morrison &amp; Foerster(Legal Advisor), Sidley Austin(Legal Advisor), Simpson Thacher &amp; Bartlett(Legal Advisor), The Goldman Sachs Group(Advisor: General), Wachtell, Lipton, Rosen &amp; Katz(Legal Advisor)</t>
  </si>
  <si>
    <t>82217-17</t>
  </si>
  <si>
    <t>Anphabe</t>
  </si>
  <si>
    <t>Anphabe.com</t>
  </si>
  <si>
    <t>Provider of a professional networking platform. The company operates a social networking platform that matches professionals in Vietnam through matching them with right contacts, right information and right opportunities. It also hosts events, a forum and helps with head hunting for local companies.</t>
  </si>
  <si>
    <t>networking platform, professional connectors, professional networking</t>
  </si>
  <si>
    <t>www.anphabe.com</t>
  </si>
  <si>
    <t>90775-36P</t>
  </si>
  <si>
    <t>Thanh Nguyen</t>
  </si>
  <si>
    <t>Founder, Chief Opportunity Connector &amp; Chief Executive Officer</t>
  </si>
  <si>
    <t>thanh@anphabe.com</t>
  </si>
  <si>
    <t>+84 (0)8 62682222</t>
  </si>
  <si>
    <t>Ho Chi Minh, Vietnam</t>
  </si>
  <si>
    <t>6th Floor, 52 Dong Du, Ben Nghe Ward</t>
  </si>
  <si>
    <t>District 1</t>
  </si>
  <si>
    <t>Ho Chi Minh</t>
  </si>
  <si>
    <t>Vietnam</t>
  </si>
  <si>
    <t>contact@anphabe.com</t>
  </si>
  <si>
    <t>The company raised an undisclosed amount of venture funding from Recruit Strategic Partners on September 13, 2013.</t>
  </si>
  <si>
    <t>51444-01</t>
  </si>
  <si>
    <t>Anova Data</t>
  </si>
  <si>
    <t>Movik Networks, Lyra Networks</t>
  </si>
  <si>
    <t>Empirix, CENX, Treasure Data, Exasol, CommProve, MapR, Edge Intelligence Software, Gigamon, Dataiku, Xplenty, InfoVista, Emcien, Aginity, Platfora, Qubole, Feature Labs, Actian, Predixion, Kx Systems, Vertica Systems, Databricks, Accedian Networks, RapidMiner, DataStax, StreamSets, Kognitio, InfluxData, Quid, Unifi (Data Platform), Altiscale, Tellius, Hortonworks, XPatterns, Vitria Technology, Digital Reasoning Systems, Rever, cPacket Networks, Think Big Analytics, Silicon Valley Data Science, Polystar (Sweden)</t>
  </si>
  <si>
    <t>Developer of an end-to-end analytics software designed to extract the full value of subscriber and network data insight. The cloud-native company's software uses predictive analytics and dynamic learning to capitalize on network efficiencies necessary to manage customer experience and future growth, enabling network operators to capture usage records and performance metrics across both signaling and data planes.</t>
  </si>
  <si>
    <t>Database Software, Network Management Software*, Other Communications and Networking</t>
  </si>
  <si>
    <t>Big Data, Mobile, TMT</t>
  </si>
  <si>
    <t>mobile content distribution, network analytics, network data, network data insights, predictive analytics</t>
  </si>
  <si>
    <t>www.anovadata.com</t>
  </si>
  <si>
    <t>2009: 20, 2010: 28, 2011: 56, 2012: 54, 2013: 44, 2014: 39, 2015: 30</t>
  </si>
  <si>
    <t>16240-69P</t>
  </si>
  <si>
    <t>John St. Amand</t>
  </si>
  <si>
    <t>jstamand@anovadata.com</t>
  </si>
  <si>
    <t>+1 (978) 577-6600</t>
  </si>
  <si>
    <t>5 Lyberty Way</t>
  </si>
  <si>
    <t>+1 (978) 923-7911</t>
  </si>
  <si>
    <t>info@anovadata.com</t>
  </si>
  <si>
    <t>The company reached a definitive agreement to be acquired by Ribbon Communications (NAS: RBBN) for an undisclosed amount on February 4, 2019.</t>
  </si>
  <si>
    <t>DRW Venture Capital, Highland Capital Partners, Jump Capital, North Bridge Venture Partners, Oak Investment Partners, Steamboat Ventures, Voyager Capital</t>
  </si>
  <si>
    <t>Ribbon Communications</t>
  </si>
  <si>
    <t>DRW Venture Capital(www.drwvc.com), Highland Capital Partners(www.hcp.com), Jump Capital(www.jumpcap.com), North Bridge Venture Partners(www.northbridge.com), Oak Investment Partners(www.oakinv.com), Steamboat Ventures(www.steamboatvc.com), Voyager Capital(www.voyagercapital.com)</t>
  </si>
  <si>
    <t>Ribbon Communications(www.ribboncommunications.com)</t>
  </si>
  <si>
    <t>Bowen Advisors(Advisor: General), Highland Capital Partners(Debt Financing), North Bridge Venture Partners(Debt Financing)</t>
  </si>
  <si>
    <t>54823-06</t>
  </si>
  <si>
    <t>ANI</t>
  </si>
  <si>
    <t>Developer and manufacturer of inspection equipment for Flat Panel Display (FPD). The company provides inspection equipment for LCD (Liquid-crystal-display), LED (Light-emitting diode) and semiconductors.</t>
  </si>
  <si>
    <t>Application Specific Semiconductors, Electrical Equipment*, Industrial Supplies and Parts</t>
  </si>
  <si>
    <t>inspection equipment, semiconductor equipment, semiconductor inspection equipment</t>
  </si>
  <si>
    <t>www.anieng.com</t>
  </si>
  <si>
    <t>116788-15P</t>
  </si>
  <si>
    <t>Byunghde Park</t>
  </si>
  <si>
    <t>byunghde.park@anieng.com</t>
  </si>
  <si>
    <t>+82 (0)31 831 0300</t>
  </si>
  <si>
    <t>Suwon-si, South Korea</t>
  </si>
  <si>
    <t>197-45, Saneop-ro 156beon-gil, Gwonseon-gu</t>
  </si>
  <si>
    <t>Suwon-si</t>
  </si>
  <si>
    <t>16648</t>
  </si>
  <si>
    <t>+82 (0)31 831 0400</t>
  </si>
  <si>
    <t>108935-11</t>
  </si>
  <si>
    <t>Angaza (Solar Energy Systems)</t>
  </si>
  <si>
    <t>Solar Works!, EGG-energy, Fenix International (Alternative Energy Equipment), Mobisol, ZOLA Electric, M-Kopa, BBOXX, d.light, Pawame, SolarNow, Lightsource, Oxford PV, Lumos, ZOLAR</t>
  </si>
  <si>
    <t>Developer of high-quality solar energy systems designed to increase clean energy access in off-grid markets. The company's energy systems deploy pay-as-you-go technology services to provide charging systems to off-grid families and its system helps to run LED lights and power mobile phones, enabling manufacturers and distributors to make energy products affordable to the world's 1 billion off-grid consumers.</t>
  </si>
  <si>
    <t>clean energy, energy, energy product, environment friendly, solar energy, solar lighting</t>
  </si>
  <si>
    <t>www.angaza.com</t>
  </si>
  <si>
    <t>2015: 10, 2017: 28</t>
  </si>
  <si>
    <t>106307-92P</t>
  </si>
  <si>
    <t>Lesley Marincola</t>
  </si>
  <si>
    <t>lesley@angazadesign.com</t>
  </si>
  <si>
    <t>972 Mission Street</t>
  </si>
  <si>
    <t>Mission Social, 5th Floor</t>
  </si>
  <si>
    <t>The company raised $10.51 million of Series B venture funding in a deal led by Emerson Collective on October 4, 2017, putting the company's pre-money valuation at $25 million. Rethink Impact, Salesforce Ventures, Social Capital, StartX and other undisclosed investors also participated in the round. The company will be using the funds to expand its operations and business reach. Rethink also participated in it.</t>
  </si>
  <si>
    <t>Don Weil, Emerson Collective, Flywheel Ventures, Global Social Benefit Institute, Julie Chin, Karen Kaushansky, Kiki Tidwell, Linseed Capital, Michal Kopec, Nebraska Angels, North Bay Angels, Orange Fab, Rethink, Rethink Impact, Salesforce Ventures, San Jose Tech Museum, Sand Hill Angels, Social Capital, StartX, Steven Grimm, The Social Entrepreneurs Fund</t>
  </si>
  <si>
    <t>Emerson Collective(www.emersoncollective.com), Flywheel Ventures(www.flywheelventures.com), Global Social Benefit Institute(www.www.scu-social-entrepreneurship.org/accelerator-1), Kiki Tidwell(www.kikitidwell.com), Linseed Capital(www.linseedcapital.com), Nebraska Angels(www.nebraskaangels.org), North Bay Angels(www.northbayangels.com), Orange Fab(www.orangefab.com), Rethink(www.rethink.vc/education), Rethink Impact(www.rethinkimpact.com), Sand Hill Angels(www.sandhillangels.com), Social Capital(www.socialcapital.com), StartX(www.startx.com), The Social Entrepreneurs Fund(www.tsef.com)</t>
  </si>
  <si>
    <t>226888-84</t>
  </si>
  <si>
    <t>Andpad</t>
  </si>
  <si>
    <t>OCT</t>
  </si>
  <si>
    <t>PlanGrid</t>
  </si>
  <si>
    <t>Developer of a construction management mobile application. The company's application provides information on construction work, materials such as drawings, process charts, photograph information on the site and on people involved in the construction site such as on-site craftsmen, on-site supervision, personnel at the construction, enabling customers to browse and share that information anytime and anywhere.</t>
  </si>
  <si>
    <t>Application Software*, Information Services (B2C), Media and Information Services (B2B)</t>
  </si>
  <si>
    <t>Construction Technology, Mobile, TMT</t>
  </si>
  <si>
    <t>construction management application, construction project management, project management application</t>
  </si>
  <si>
    <t>andpad.jp</t>
  </si>
  <si>
    <t>182134-09P</t>
  </si>
  <si>
    <t>Takeo Inada</t>
  </si>
  <si>
    <t>Representative Director &amp; Chief Executive Officer</t>
  </si>
  <si>
    <t>takeo.inada@88oct.co.jp</t>
  </si>
  <si>
    <t>+81 (0)36 759 2071</t>
  </si>
  <si>
    <t>8-4-14, 4th Floor, Ohashi Building</t>
  </si>
  <si>
    <t>Nishi Gotanda, Shinagawa-ku</t>
  </si>
  <si>
    <t>The company raised JPY 400 million of Series A venture funding in a deal led by Draper Nexus on March 6, 2018. Salesforce Ventures, Beenext Ventures and Yang Kurayashi also participated in the round.</t>
  </si>
  <si>
    <t>Beenext (Singapore), DNX Ventures, Salesforce Ventures, Yang Kurayashi</t>
  </si>
  <si>
    <t>Beenext (Singapore)(www.beenext.com), DNX Ventures(www.dnx.vc)</t>
  </si>
  <si>
    <t>127674-82</t>
  </si>
  <si>
    <t>Andjaro</t>
  </si>
  <si>
    <t>OuiTeam</t>
  </si>
  <si>
    <t>Provider of an online platform intended to ensure that every staff transfer encourages the business growth. The company's platform offers to manage and optimize real-time contract when one is awaiting a new contract, enabling recruiters of hospitality and construction sectors to connect with candidates and save time and cost.</t>
  </si>
  <si>
    <t>Application Software*, Human Capital Services</t>
  </si>
  <si>
    <t>mobile recruitment, recruitment application, recruitment platform, staffing application</t>
  </si>
  <si>
    <t>www.andjaro.com</t>
  </si>
  <si>
    <t>2016: 9, 2018: 30</t>
  </si>
  <si>
    <t>120134-62P</t>
  </si>
  <si>
    <t>Benoit Ozan</t>
  </si>
  <si>
    <t>benoit@ouiteam.com</t>
  </si>
  <si>
    <t>27 rue Lacépède</t>
  </si>
  <si>
    <t>75005</t>
  </si>
  <si>
    <t>contact@andjaro.com</t>
  </si>
  <si>
    <t>The company raised EUR 5 million of Series A venture funding in a deal led by Balderton Capital on March 27, 2018. SAP.iO Foundry and Edenred Capital Partners also participated in the round. The company will be using the funds to focus efforts on accelerating growth, hiring and expansion into international markets.</t>
  </si>
  <si>
    <t>Balderton Capital, Edenred Capital Partners, Kima Ventures, Paris&amp;Co Incubateurs, SAP.iO Foundry, Welcome City Lab</t>
  </si>
  <si>
    <t>Balderton Capital(www.balderton.com), Edenred Capital Partners(www.edenredcapitalpartners.com), Kima Ventures(www.kimaventures.com), Paris&amp;Co Incubateurs(www.incubateurs.parisandco.com), SAP.iO Foundry(sap.io), Welcome City Lab(welcomecitylab.parisandco.paris)</t>
  </si>
  <si>
    <t>97696-90</t>
  </si>
  <si>
    <t>Andela</t>
  </si>
  <si>
    <t>Hired, CyberCoders, Spencer Ogden, RecruitLoop</t>
  </si>
  <si>
    <t>Provider of software development training services intended to help leading tech companies build high-performing distributed engineering teams and solve global technical talent shortage. The company's developers operate as dedicated remote team members that work using software development tools and adhere to SDLC processes, offering clients with insights about the performance of their software engineers along with the data and tools they need to quantify output and understand the impact.</t>
  </si>
  <si>
    <t>engineering platform, learning community, software engineering, software engineering service, technical training program, technological training</t>
  </si>
  <si>
    <t>www.andela.com</t>
  </si>
  <si>
    <t>2017: 800, 2018: 1200, 2019: 1500</t>
  </si>
  <si>
    <t>55527-49P</t>
  </si>
  <si>
    <t>Jeremy Johnson</t>
  </si>
  <si>
    <t>jeremy@andela.co</t>
  </si>
  <si>
    <t>129 West 29th Street</t>
  </si>
  <si>
    <t>info@andela.com</t>
  </si>
  <si>
    <t>The company raised $100 million of Series D venture funding in a deal led by Generation Investment Management on January 23, 2019, putting the company's pre-money valuation at $600 million. Salesforce Ventures, GV, DBL Partners, Amplo (Spring), Spark Capital, CRE Venture Capital, TLcom Capital, Serena Ventures, Social Impact Capital, Summer Capital, Highline BETA, Mark VC, LoftyInc Capital Management, Village Capital, Entangled Group and Chan Zuckerberg Initiative also participated in the round. The funds will be used by the company to accelerate the development of its technology platform to identify, develop and match talent at scale and to expand its presence across Africa.</t>
  </si>
  <si>
    <t>Amplo (Spring), Arena Ventures, Chad Byers, Chan Zuckerberg Initiative, CRE Venture Capital, DBL Partners, Entangled Group, Federico Pirzio-Biroli, Founder Collective, Future\Perfect Ventures, Generation Investment Management, GSV AcceleraTE, GV, Highline, Highline BETA, Learn Capital, LoftyInc Capital Management, Mark VC, Melo7 Tech Partners, MITS Fund, Omidyar Network, Paige Craig, Peak Ventures, Playfair Capital, Rothenberg Ventures, Salesforce Ventures, Sangu Delle, Serena Ventures, Social Impact Capital, Spark Capital, SparkLabs Global Ventures, Stephen Case, Summer Capital, Summit, Susa Ventures, TLcom Capital, Village Capital, Vista Venture Partners</t>
  </si>
  <si>
    <t>Amplo (Spring)(amplovc.com), Arena Ventures(www.arenavc.com), Chan Zuckerberg Initiative(www.chanzuckerberg.com), CRE Venture Capital(www.cre.vc), DBL Partners(www.dblpartners.vc), Entangled Group(www.entangled.group), Founder Collective(www.foundercollective.com), Future\Perfect Ventures(www.futureperfectventures.com), Generation Investment Management(www.generationim.com), GSV AcceleraTE(www.gsvaccelerate.com), GV(www.gv.com), Highline(www.highline.vc), Highline BETA(www.highlinebeta.com), Learn Capital(www.learncapital.com), LoftyInc Capital Management(www.loftyinccapital.vc), Mark VC(www.markvc.com), MITS Fund(www.mitsfund.com), Omidyar Network(www.omidyar.com), Peak Ventures(www.peakventures.vc), Playfair Capital(www.playfaircapital.com), Rothenberg Ventures(www.rothenbergventures.com), Serena Ventures(www.serenaventures.com), Social Impact Capital(www.social-impact-capital.com), Spark Capital(www.sparkcapital.com), SparkLabs Global Ventures(www.sparklabsglobal.com), Summer Capital(www.summercapital.com), Summit(www.summit.co), Susa Ventures(www.susaventures.com), TLcom Capital(www.tlcomcapital.com), Village Capital(www.vilcap.com), Vista Venture Partners(www.vistavp.com)</t>
  </si>
  <si>
    <t>Odum Capital(Advisor: General), Team Theory(Consulting), True Capital Partners(Consulting)</t>
  </si>
  <si>
    <t>Reitler Kailas &amp; Rosenblatt(Legal Advisor), Western Technology Investment(Debt Financing), WilmerHale(Legal Advisor)</t>
  </si>
  <si>
    <t>99193-87</t>
  </si>
  <si>
    <t>AnDAPT</t>
  </si>
  <si>
    <t>Provider of analog and digital adaptive platform technologies intended to offer designers with the means for fast, accurate reuse in multi-generational power designs. The company's technologies are used to produce analog adaptive products for multifunction sensor integration and integrated system power management, enabling clients to optimize their user applications and monitor, control and manage power thus accelerate time to market and offer flexibility for rapid changes, keeping pace with user design requirements while all this is provided while maintaining a competitive advantage for lower device cost, board real estate reduction, lower-power and analog digital function integration.</t>
  </si>
  <si>
    <t>Electronic Components, General Purpose Semiconductors*</t>
  </si>
  <si>
    <t>analog platform, digital adaptive platform, electronic product, enterprise application, semiconductor, sensor integration</t>
  </si>
  <si>
    <t>www.andapt.com</t>
  </si>
  <si>
    <t>35492-95P</t>
  </si>
  <si>
    <t>Kapil Shankar</t>
  </si>
  <si>
    <t>kapil.shankar@andapt.com</t>
  </si>
  <si>
    <t>950 South Bascom Avenue</t>
  </si>
  <si>
    <t>info@andapt.com</t>
  </si>
  <si>
    <t>The company raised an estimated $12 million of Series B venture funding from Atlantic Bridge Capital and other undisclosed investors in on July 5, 2017, putting the company's pre-money valuation at $24 million.</t>
  </si>
  <si>
    <t>Atlantic Bridge Capital, Cisco Investments, Intel Capital, Vanguard International Semiconductor</t>
  </si>
  <si>
    <t>Atlantic Bridge Capital(www.abven.com), Cisco Investments(www.ciscoinvestments.com), Intel Capital(www.intelcapital.com), Vanguard International Semiconductor(www.vis.com.tw)</t>
  </si>
  <si>
    <t>13290-67</t>
  </si>
  <si>
    <t>Anark</t>
  </si>
  <si>
    <t>Developer of an automated 3D CAD transformation and visualization software designed to help companies to unlock the potential of their engineering and manufacturing data. The company's visual collaboration software allows its customers to combine PLM and ERP data to generate role-specific engineering release, supply chain, manufacturing, inspection and field service/IIOT content for use throughout the extended enterprise and supply chain, enabling them to communicate and collaborate more effectively, resulting in higher quality products, shortened product release cycles and reduced scrap and material waste.</t>
  </si>
  <si>
    <t>3D Printing, Advanced Manufacturing, Big Data, TMT</t>
  </si>
  <si>
    <t>cad transformation, design collaboration, marketing visualization, product configuration, visual collaboration software, visualization software, visualization software service, visualization software tools</t>
  </si>
  <si>
    <t>www.anark.com</t>
  </si>
  <si>
    <t>1996: 5, 1997: 5, 1998: 5, 1999: 6, 2000: 6, 2001: 20, 2002: 20, 2003: 20, 2004: 20, 2005: 20, 2006: 23, 2007: 27, 2008: 27, 2009: 27, 2010: 27, 2015: 21, 2016: 23</t>
  </si>
  <si>
    <t>38762-38P</t>
  </si>
  <si>
    <t>Sharon Young</t>
  </si>
  <si>
    <t>sharon.young@anark.com</t>
  </si>
  <si>
    <t>+1 (303) 545-2592</t>
  </si>
  <si>
    <t>2970 Wilderness Place</t>
  </si>
  <si>
    <t>+1 (303) 545-2575</t>
  </si>
  <si>
    <t>info@anark.com</t>
  </si>
  <si>
    <t>The company received an undisclosed amount of debt financing in the form of a lien from Aptilla on December 15, 2015.</t>
  </si>
  <si>
    <t>5280 Partners, Advantage Capital (St. Louis), Geometric Software, Holden Ventures, Individual Investor, Murphree Venture Partners, NVIDIA GPU Ventures, Presidio Ventures, Wolf Ventures</t>
  </si>
  <si>
    <t>5280 Partners(www.5280partners.com), Advantage Capital (St. Louis)(www.advantagecap.com), Geometric Software(www.geometricglobal.com), Holden Ventures(www.holdenventures.com), Murphree Venture Partners(www.murphreeventures.com), Presidio Ventures(www.presidio-ventures.com), Wolf Ventures(www.wolfventures.com)</t>
  </si>
  <si>
    <t>Aptilla(Debt Financing), Hadley Partners(Advisor: General)</t>
  </si>
  <si>
    <t>118441-54</t>
  </si>
  <si>
    <t>Analytical Flavor Systems</t>
  </si>
  <si>
    <t>Gastrograph</t>
  </si>
  <si>
    <t>AFS</t>
  </si>
  <si>
    <t>International Business Machines</t>
  </si>
  <si>
    <t>Operator of an artificial intelligence based sensory analytics software intended to help producers in the food and beverage industry make their products better. The company's software offers producers with the tools they need to improve their formulation and production methods through new product development, demographic targeting and portfolio management, enabling food and beverage companies to fine-tune production to eliminate flaws, visualize flavor profiles and optimize each brand to capture the right market.</t>
  </si>
  <si>
    <t>Beverages, Business/Productivity Software*, Food Products</t>
  </si>
  <si>
    <t>demographic targeting, product development, quality control tools, sensory analytics software</t>
  </si>
  <si>
    <t>www.gastrograph.com</t>
  </si>
  <si>
    <t>103803-49P</t>
  </si>
  <si>
    <t>Jason Cohen</t>
  </si>
  <si>
    <t>jasonceo@gastrograph.com</t>
  </si>
  <si>
    <t>+1 (305) 794-8392</t>
  </si>
  <si>
    <t>200 Water Street</t>
  </si>
  <si>
    <t>Suite 2314</t>
  </si>
  <si>
    <t>info@gastrograph.com</t>
  </si>
  <si>
    <t>The company raised $4 million of Series A1 venture funding in a deal led by Leawood Venture Capital and Global Brain on November 8, 2018, putting the company's pre-money valuation at $10 million. Anheuser-Busch InBev, Cornes Technologies, Right Side Capital Management, Hyperplane Venture Capital, Better Food Ventures, Bits x Bites and WorldQuant Ventures also participated in the round. The capital will be used to attract new talent and expertise and further develop the AI system.</t>
  </si>
  <si>
    <t>Anheuser-Busch InBev, Better Food Ventures, Bits x Bites, Cornes Technologies, Global Brain, Hyperplane Venture Capital, Innovation Park at Penn State, Leawood Venture Capital, Right Side Capital Management, Summer Founders Program, Techstars, WorldQuant Ventures, ZX Ventures</t>
  </si>
  <si>
    <t>Anheuser-Busch InBev(www.ab-inbev.com), Better Food Ventures(www.betterfoodventures.com), Bits x Bites(www.bitsxbites.com), Cornes Technologies(www.cornestech.co.jp), Global Brain(www.globalbrains.com), Hyperplane Venture Capital(www.hyperplane.vc), Innovation Park at Penn State(www.innovationpark.psu.edu), Leawood Venture Capital(www.leawoodvc.com), Right Side Capital Management(www.rightsidecapital.com), Summer Founders Program(psufounders.weebly.com), Techstars(www.techstars.com), WorldQuant Ventures(www.worldquantventures.com), ZX Ventures(www.zx-ventures.com)</t>
  </si>
  <si>
    <t>53298-55</t>
  </si>
  <si>
    <t>Analogix</t>
  </si>
  <si>
    <t>AnSem, Cactus Semiconductor, Syntiant, SiTime, Active-Semi</t>
  </si>
  <si>
    <t>Manufacturer of semiconductors for digital multimedia market. The company's semiconductors include analog and mixed-signal semiconductors that enable higher definition everywhere, the go-anywhere, any-mobile-to-any-screen, high-definition experience for multimedia and communications applications.</t>
  </si>
  <si>
    <t>digital multimedia, ethernet converter, mixed signal semiconductor</t>
  </si>
  <si>
    <t>www.analogix.com</t>
  </si>
  <si>
    <t>2009: 24, 2011: 29, 2012: 25, 2013: 29, 2014: 84, 2015: 99, 2016: 201</t>
  </si>
  <si>
    <t>164737-18P</t>
  </si>
  <si>
    <t>Hang Zhou Wang</t>
  </si>
  <si>
    <t>wang@analogix.com</t>
  </si>
  <si>
    <t>+86 (0)10 5162 6868</t>
  </si>
  <si>
    <t>3211 Scott Boulevard</t>
  </si>
  <si>
    <t>+1 (408) 988-8848</t>
  </si>
  <si>
    <t>+1 (408) 988-8686</t>
  </si>
  <si>
    <t>info@analogixsemi.com</t>
  </si>
  <si>
    <t>The company was in talks to be acquired by Zhejiang Wansheng Company (SHG: 603010) for $547 million on May 25, 2017. Subsequently the deal was cancelled. Previously, the company was acquired by Shanghai Capital through a $500 million LBO on March 30, 2017.</t>
  </si>
  <si>
    <t>Beijing Shanhai Capital Management</t>
  </si>
  <si>
    <t>CDC Group, DCM Ventures, DNX Ventures, Globespan Capital Partners, IDG Capital, JAIC America, Keytone Ventures, Samsung Venture Investment, Western Technology Investment, Woodside Fund, yet2Ventures</t>
  </si>
  <si>
    <t>Beijing Shanhai Capital Management(www.beijingcapital.org)</t>
  </si>
  <si>
    <t>CDC Group(www.cdcgroup.com), DCM Ventures(www.dcm.com), DNX Ventures(www.dnx.vc), Globespan Capital Partners(www.globespancapital.com), IDG Capital(en.idgcapital.com), JAIC America(www.jaicamerica.com), Keytone Ventures(www.keytonevc.com), Samsung Venture Investment(www.samsungventures.com), Western Technology Investment(www.westerntech.com), Woodside Fund(www.woodsidefund.com), yet2Ventures(www.yet2Ventures.com)</t>
  </si>
  <si>
    <t>Connor Group(Accounting), Fenwick &amp; West(Legal Advisor), Jones Day(Legal Advisor), O'Melveny &amp; Myers(Legal Advisor)</t>
  </si>
  <si>
    <t>Connor Group(Accounting), Fenwick &amp; West(Legal Advisor), Jones Day(Legal Advisor), Needham &amp; Company(Advisor: General), O'Melveny &amp; Myers(Legal Advisor), Sino-American International Investment(Advisor: General), Western Technology Investment(Debt Financing)</t>
  </si>
  <si>
    <t>60549-76</t>
  </si>
  <si>
    <t>Anaeropharma Science</t>
  </si>
  <si>
    <t>Sitka Biopharma, TILT Biotherapeutics, Boston Biomedical, Kite Pharma, Affimed Therapeutics, Jounce Therapeutics, OncoResponse, Peloton Therapeutics, Blueprint Medicines, Spark Therapeutics, Gilead Sciences, Dimension Therapeutics, Apexian Pharmaceuticals, Adaptive Biotechnologies</t>
  </si>
  <si>
    <t>Developer of biopharmaceuticals to provide safer therapies in oncology. The company's therapy is a genetically enhanced bacteria that fights tumors and proliferate in the hypoxic core of solid tumors, where it secretes the enzyme cytosine deaminase turning a systemically administered pro-drug into a cytotoxic agent, which hollows out the tumor from the inside.</t>
  </si>
  <si>
    <t>Drug Delivery*</t>
  </si>
  <si>
    <t>bifidobacterium technology, biopharmaceutical, cancer treatment, hypoxic microenvironment, novel therapeutic</t>
  </si>
  <si>
    <t>www.anaeropharma.co.jp</t>
  </si>
  <si>
    <t>116414-29P</t>
  </si>
  <si>
    <t>Tetsuya Mishima</t>
  </si>
  <si>
    <t>tetsuya.mishima@anaeropharma.co.jp</t>
  </si>
  <si>
    <t>+81 (0)35 642 8081</t>
  </si>
  <si>
    <t>The company raised $13.2 million of venture funding from Seventure Partners, Shinsei Corporate Investment and Novartis Pharma on July 5, 2017. Mitsubishi UFJ Capital and Innovation Network Corporation of Japan also participated. The company intends to use the funds to accelerate the development of multiple programs based on their proprietary platform technology.</t>
  </si>
  <si>
    <t>Dow Chemical, Hachijuni Capital, Innovation Network Corporation of Japan, Mitsubishi UFJ Capital, Mitsui Global Investment, Novartis Pharma, ORIX Growth Capital, Seventure Partners, Shinsei Corporate Investment, Yasuda Enterprise Development</t>
  </si>
  <si>
    <t>Dow Chemical(www.dow.com), Innovation Network Corporation of Japan(www.incj.co.jp), Mitsubishi UFJ Capital(www.mucap.co.jp), Mitsui Global Investment(www.mitsui-global.com), Seventure Partners(www.seventure.fr), Shinsei Corporate Investment(www.shinsei-ci.com/en), Yasuda Enterprise Development(www.yedvc.co.jp)</t>
  </si>
  <si>
    <t>56456-38</t>
  </si>
  <si>
    <t>Amplitude Laser</t>
  </si>
  <si>
    <t>Amplitude, Lasertronix</t>
  </si>
  <si>
    <t>Fianium, Svensk Industriautomation, Modutek Corporation, Epilog Laser, Menlo Systems, CVI Melles Griot</t>
  </si>
  <si>
    <t>Manufacturer of laser systems designed for a variety of specialist applications. The company's solid-state laser systems are made for vacuum chambers, cryogenic cooling of the power amplifiers as well as in active control of the phase and amplitude of the output pulse among other industrial and scientific applications, enabling industries to access laser systems as per their requirements.</t>
  </si>
  <si>
    <t>advances laser systems, laser product, modular laser, nanosecond laser, nanosecond laser module</t>
  </si>
  <si>
    <t>www.amplitude-laser.com</t>
  </si>
  <si>
    <t>2004: 18, 2010: 31, 2011: 31, 2012: 40, 2013: 130, 2014: 200, 2017: 300, 2019: 330</t>
  </si>
  <si>
    <t>48202-84P</t>
  </si>
  <si>
    <t>Eric Mottay</t>
  </si>
  <si>
    <t>eric.mottay@amplitude-technologies.com</t>
  </si>
  <si>
    <t>+33 (0)1 69 11 27 90</t>
  </si>
  <si>
    <t>Pessac, France</t>
  </si>
  <si>
    <t>11, avenue de Canteranne</t>
  </si>
  <si>
    <t>Cité de la Photonique</t>
  </si>
  <si>
    <t>Pessac</t>
  </si>
  <si>
    <t>33600</t>
  </si>
  <si>
    <t>+33 (0)5 56 46 40 60</t>
  </si>
  <si>
    <t>+33 (0)5 56 46 06 94</t>
  </si>
  <si>
    <t>info@amplitude-laser.com</t>
  </si>
  <si>
    <t>Auriga Partners (Paris), Cathay Capital Private Equity, Mérieux Développement and Bpifrance sold their stake in the company to L-GAM Advisers on an undisclosed date. Previously. the company joined Incubateur Régional d'Aquitaine on September 27, 2013.</t>
  </si>
  <si>
    <t>CDC Enterprises, Horizon 2020, Incubateur Régional d'Aquitaine, L-GAM Advisers, Samsung Venture Investment</t>
  </si>
  <si>
    <t>Auriga Partners (Paris), Bpifrance, Cathay Capital Private Equity, Mérieux Développement</t>
  </si>
  <si>
    <t>CDC Enterprises(www.cdcentreprises.fr), Incubateur Régional d'Aquitaine(www.incubateur-aquitaine.com), L-GAM Advisers(www.l-gam.com), Samsung Venture Investment(www.samsungventures.com)</t>
  </si>
  <si>
    <t>Auriga Partners (Paris)(www.auriga.vc), Bpifrance(www.bpifrance.fr), Cathay Capital Private Equity(www.cathay.fr), Mérieux Développement(www.merieux-developpement.com)</t>
  </si>
  <si>
    <t>ACA Nexia(Advisor: General), Go4Venture(Advisor: General), Silverpeak (London)(Advisor: General)</t>
  </si>
  <si>
    <t>162681-22</t>
  </si>
  <si>
    <t>Amplero</t>
  </si>
  <si>
    <t>Iterable, Optimove, Dynamic Yield, Reflektion, Listrak, IgnitionOne, Amplitude, Ometria, Adtelligence, Reach Analytics, Springbot, Simon, GoodData, Evergage, Silverpop Systems, Klaviyo, Radius (Database Software), Monetate, Custora, MixPanel, Resci, Birst, Indicative, Infogroup, AddShoppers, Integrate.com, Yieldify, Bluecore, Personyze, BusinessOptics, Vidora, Boxever, Act-On, Movable Ink, AgilOne, Maropost, WordStream, Zaius, Sailthru, CoolaData, Umbel, Pure360, Demandbase, Signpost, SmartFocus UK, Zyme, Indus Insights, Zodiac, Swrve, Gainsight, Windsor Circle, Domo, SiteSpect, Bronto Software, Customer Portfolios, Selligent, Adstack, Grow Zippy Solutions, HubSpot, Marketo, Contentwise</t>
  </si>
  <si>
    <t>Provider of a predictive customer lifetime value management platform designed to help marketers to achieve what's not humanly possible. The company's artificial intelligence marketing platform leverages machine learning and multi-armed bandit experimentation to dynamically test thousands of permutations to adaptively optimize every customer interaction and maximize customer lifetime value and loyalty, enabling business-to-consumer (B2C) marketers at global brands to optimize customer interaction and maximize customer lifetime value and loyalty.</t>
  </si>
  <si>
    <t>artificial intelligence marketing platform, customer management platform, maximize customer loyalty</t>
  </si>
  <si>
    <t>www.amplero.com</t>
  </si>
  <si>
    <t>2016: 28, 2017: 50</t>
  </si>
  <si>
    <t>55146-07P</t>
  </si>
  <si>
    <t>Oliver Downs</t>
  </si>
  <si>
    <t>Founder, Chief Technology Officer &amp; Chief Scientist</t>
  </si>
  <si>
    <t>odowns@amplero.com</t>
  </si>
  <si>
    <t>1218 Third Avenue</t>
  </si>
  <si>
    <t>info@amplero.com</t>
  </si>
  <si>
    <t>The company raised $17 million of Series B venture funding from lead investors Greycroft Partners and Ignition Venture Partners on August 22, 2017, putting the pre-money valuation at $40 million. Wildcat Venture Partners, Seven Peaks Ventures and Trilogy Equity Partners, Clear Fir Partners also participated. The company will use the capital to scale its business, rapid growth, accelerate global expansion of its Artificial Intelligence Marketing (AIM) platform and technology infrastructure to meet the demand from Fortune 1000 organizations for AIM technologies.</t>
  </si>
  <si>
    <t>Clear Fir Partners, Globys, Greycroft, Ignition Partners, Salesforce Ventures, Seven Peaks Ventures, Trilogy Equity Partners, Wildcat Venture Partners</t>
  </si>
  <si>
    <t>Globys(www.globys.com), Greycroft(www.greycroft.com), Ignition Partners(www.ignitionpartners.com), Seven Peaks Ventures(www.sevenpeaksventures.com), Trilogy Equity Partners(www.trilogyequity.com), Wildcat Venture Partners(www.wildcat.vc)</t>
  </si>
  <si>
    <t>Seed Intellectual Property Law Group(Legal Advisor), Wilson Sonsini Goodrich &amp; Rosati(Legal Advisor)</t>
  </si>
  <si>
    <t>180134-83</t>
  </si>
  <si>
    <t>Ample</t>
  </si>
  <si>
    <t>Developer of a technology platform intended to offer electric car battery swapping technology. The company is currently operating in Stealth mode.</t>
  </si>
  <si>
    <t>battery swap technology, battery swapping machine, car batteries charger, car batteries replacement, car technology</t>
  </si>
  <si>
    <t>www.getample.com</t>
  </si>
  <si>
    <t>190878-67P</t>
  </si>
  <si>
    <t>Khaled Hassounah</t>
  </si>
  <si>
    <t>khassounah@getample.com</t>
  </si>
  <si>
    <t>+1 (617) 504-3557</t>
  </si>
  <si>
    <t>2505 Mariposa Street</t>
  </si>
  <si>
    <t>info@getample.com</t>
  </si>
  <si>
    <t>The company raised $31 million of Series A venture funding in a deal led by Shell Ventures on August 6, 2018, putting the company's pre-money valuation at $60 million. Trirec, Civilization Ventures, LivWell Ventures, Start Capital, New Ground Ventures, Moore Strategic Ventures, Repsol New Energy Ventures, Hemi Ventures and WorldQuant Ventures also participated in the round. The funds will be used to deploy Ample's technology in multiple locations over the coming months.</t>
  </si>
  <si>
    <t>Civilization Ventures, Hemi Ventures, LivWell Ventures, Moore Strategic Ventures, New Ground Ventures, Repsol Energy Ventures, Shell Ventures, Start Capital, Trirec, WorldQuant Ventures</t>
  </si>
  <si>
    <t>Civilization Ventures(www.civilizationventures.com), Hemi Ventures(www.hemi.vc), LivWell Ventures(www.livwell.vc), New Ground Ventures(www.newground.vc), Start Capital(www.start-capital.com), Trirec(www.trirec.co), WorldQuant Ventures(www.worldquantventures.com)</t>
  </si>
  <si>
    <t>172127-35</t>
  </si>
  <si>
    <t>AMP Robotics</t>
  </si>
  <si>
    <t>Cognitive Robotics</t>
  </si>
  <si>
    <t>Developer of recycling robots intended to make recycling scalable, profitable and environmentally sustainable. The company's product cortex can rapidly pick recyclable materials off a conveyor belt for recovery by using artificial intelligence that peers into the recyclable stream to identify individual pieces of recoverable material and is designed to work in single stream, mixed waste, construction, demolition and e-waste facilities , enabling businesses to collect and recycle bulk wastes, while lowering labor needs</t>
  </si>
  <si>
    <t>Artificial Intelligence &amp; Machine Learning, CleanTech, Robotics and Drones, TMT</t>
  </si>
  <si>
    <t>deep learning, path planning, recyclable materials, recycling robots</t>
  </si>
  <si>
    <t>www.amprobotics.com</t>
  </si>
  <si>
    <t>173369-08P</t>
  </si>
  <si>
    <t>Matanya Horowitz</t>
  </si>
  <si>
    <t>matanya@amprobotics.com</t>
  </si>
  <si>
    <t>+1 (720) 470-0812</t>
  </si>
  <si>
    <t>1870 West 64TH Lane</t>
  </si>
  <si>
    <t>80221</t>
  </si>
  <si>
    <t>The company raised $6.57 million of angel funding from Baidu Ventures, Closed Loop Partners, Congruent Ventures and other undisclosed investors on January 22, 2019.</t>
  </si>
  <si>
    <t>Baidu Ventures, Closed Loop Partners, Comet Labs, Congruent Ventures, Innosphere</t>
  </si>
  <si>
    <t>Baidu Ventures(www.bv.ai), Closed Loop Partners(www.closedlooppartners.com), Comet Labs(www.cometlabs.io), Congruent Ventures(www.congruentvc.com), Innosphere(www.innosphere.org)</t>
  </si>
  <si>
    <t>59256-73</t>
  </si>
  <si>
    <t>Amour Vert</t>
  </si>
  <si>
    <t>Provider of textiles and blended fabrics designed to offer eco-friendly apparel. The company's textiles and blended fabrics are crafted to be soft, flattering and long-lasting, enabling users to get products which use non-toxic dyes and sustainable fabrics.</t>
  </si>
  <si>
    <t>Clothing*, Internet Retail, Other Textiles</t>
  </si>
  <si>
    <t>apparel retailer, eco-friendly apparel, eco-friendly clothing, organic clothing, sustainable fabrics, women apparel</t>
  </si>
  <si>
    <t>www.amourvert.com</t>
  </si>
  <si>
    <t>2014: 22, 2016: 24</t>
  </si>
  <si>
    <t>62217-64P</t>
  </si>
  <si>
    <t>Christoph Frehsee</t>
  </si>
  <si>
    <t>christoph@amourvert.com</t>
  </si>
  <si>
    <t>+1 (415) 800-8576</t>
  </si>
  <si>
    <t>437 Hayes Street</t>
  </si>
  <si>
    <t>hello@amourvert.com</t>
  </si>
  <si>
    <t>The company raised $3 million of Series B venture funding from Beehive Holdings, Catamount Ventures and Zak Holdsworth on December 16, 2015, putting the company's pre-money valuation at $9 million. Stuart Coulson, Henri Deshays and Chris Klomp also participated in this round.</t>
  </si>
  <si>
    <t>Beehive Holdings, Catamount Ventures, Chris Klomp, Emil Capital Partners</t>
  </si>
  <si>
    <t>Beehive Holdings(www.beehiveholdings.com), Catamount Ventures(www.catamountventures.com), Emil Capital Partners(www.emilcapitalpartners.com)</t>
  </si>
  <si>
    <t>184278-34</t>
  </si>
  <si>
    <t>Amino Payments</t>
  </si>
  <si>
    <t>Curren-C</t>
  </si>
  <si>
    <t>Developer of a digital media supply chain platform designed to provide transparency to online advertising. The company's digital media supply chain platform removes the intermediaries that exist between the company and the advertising platforms and tracks every penny between the advertiser and the publisher thereby removing loss of money and it also offers an online wallet for the companies to deposit their money, enabling the companies to keep track of how their money are being used for their purpose.</t>
  </si>
  <si>
    <t>advertisement publishing, advertising platform, digital media supply chain, online advertising, online wallets for advertising</t>
  </si>
  <si>
    <t>www.aminopay.com</t>
  </si>
  <si>
    <t>2017: 19</t>
  </si>
  <si>
    <t>58075-30P</t>
  </si>
  <si>
    <t>Christopher Chapman</t>
  </si>
  <si>
    <t>Co-Founder and Senior Vice President of Engineering</t>
  </si>
  <si>
    <t>cchapman@aminopay.com</t>
  </si>
  <si>
    <t>info@aminopayments.com</t>
  </si>
  <si>
    <t>The company raised $4.5 million of venture funding in a deal led by First Round Capital on February 20, 2018, putting the company's pre-money valuation at $25.5 million. Richard Vague, Startup PHL, You &amp; Mr Jones Brandtech Ventures, Nyca Partners, Tessera Capital Partners, Ben Franklin Technology Partners of Southeastern Pennsylvania, Auren Hoffman, Gabriel Investments and Tod Sacerdoti also participated in the round. The funds will be used to to expand the company's presence throughout the digital advertising ecosystem.</t>
  </si>
  <si>
    <t>Auren Hoffman, Ben Franklin Technology Partners of Southeastern Pennsylvania, First Round Capital, Gabriel Investments, Nyca Partners, Richard Vague, Startup PHL, Tessera Venture Partners, Tod Sacerdoti, Western Technology Investment, You &amp; Mr Jones Brandtech Ventures</t>
  </si>
  <si>
    <t>Ben Franklin Technology Partners of Southeastern Pennsylvania(www.sep.benfranklin.org), First Round Capital(www.firstround.com), Gabriel Investments(www.gabriel-investments.com), Nyca Partners(www.nyca.com), Startup PHL(www.startupphl.com), Tessera Venture Partners(www.tesseravp.com), Western Technology Investment(www.westerntech.com)</t>
  </si>
  <si>
    <t>62658-55</t>
  </si>
  <si>
    <t>Amino</t>
  </si>
  <si>
    <t>Amino Apps</t>
  </si>
  <si>
    <t>Ning, PlaceSpeak</t>
  </si>
  <si>
    <t>Developer of a mobile community application for sharing interests. The company's application offers a network of communities that lets users explore, discover, and obsess over the things they're into.</t>
  </si>
  <si>
    <t>community app, community application, community platform, sharing app</t>
  </si>
  <si>
    <t>www.aminoapps.com</t>
  </si>
  <si>
    <t>2014: 5, 2015: 9</t>
  </si>
  <si>
    <t>65886-13P</t>
  </si>
  <si>
    <t>Benjamin Anderson</t>
  </si>
  <si>
    <t>President, Co-Founder &amp; Chief Executive Officer</t>
  </si>
  <si>
    <t>ben@narvii.com</t>
  </si>
  <si>
    <t>6 West 18th Street</t>
  </si>
  <si>
    <t>The company raised $45 million through a combination of Series C and Series C1 venture funding from GV, Time Warner Investments and Goodwater Capital in April of 2018, putting the company's pre-money valuation at $100 million. Hearst Ventures, Venrock and Union Square Ventures also participated in the round.</t>
  </si>
  <si>
    <t>Alumni Ventures Group, Bantam Group, BoxGroup, Bridge Boys, Dave Morin, David Chang, Goodwater Capital, GV, Haystack, Hearst Ventures, Individual Investor, Joe Caruso, Kal Vepuri, Kevin Colleran, Northeastern University's Venture Accelerator, Paul English, Right Side Capital Management, Scott Belsky, Semyon Dukach, Slow Ventures, Stage 1 Ventures, SV Angel, Techstars, Union Square Ventures, Venrock, WarnerMedia Investments, William Herman, YFM Equity Partners</t>
  </si>
  <si>
    <t>Alumni Ventures Group(www.avgfunds.com), Bantam Group(www.bantamgroup.com), BoxGroup(www.boxgroup.com), Dave Morin(www.davemorin.com), Goodwater Capital(www.goodwatercap.com), GV(www.gv.com), Haystack(haystack.vc), Kevin Colleran(facebook.com/kevin), Northeastern University's Venture Accelerator(www.northeastern.edu/idea), Paul English(www.paulenglish.com), Right Side Capital Management(www.rightsidecapital.com), Scott Belsky(www.scottbelsky.com), Semyon Dukach(www.semyon.com), Slow Ventures(www.slow.co), Stage 1 Ventures(www.stage1ventures.com), SV Angel(www.svangel.com), Techstars(www.techstars.com), Union Square Ventures(www.usv.com), Venrock(www.venrock.com), WarnerMedia Investments(www.timewarnerinvestments.com), William Herman(www.2-speed.com), YFM Equity Partners(www.yfmep.com)</t>
  </si>
  <si>
    <t>228436-30</t>
  </si>
  <si>
    <t>Amexci</t>
  </si>
  <si>
    <t>Provider of technology intended to focus on designing of additive manufacturing. The company's technology focuses on additive manufacturing in metal within three different manufacturing technologies, enabling its clients to receive support for industries that focus on applying additive manufacturing technology.</t>
  </si>
  <si>
    <t>Other Commercial Services*, Other Metals, Minerals and Mining</t>
  </si>
  <si>
    <t>additives manufacturing, additives manufacturing design, metal</t>
  </si>
  <si>
    <t>www.amexci.com</t>
  </si>
  <si>
    <t>185026-24P</t>
  </si>
  <si>
    <t>Edvin Resebo</t>
  </si>
  <si>
    <t>edvin.resebo@amexci.com</t>
  </si>
  <si>
    <t>+46 (0)76 127 85 55</t>
  </si>
  <si>
    <t>Karlskoga, Sweden</t>
  </si>
  <si>
    <t>Gammelbackavägen 2</t>
  </si>
  <si>
    <t>Karlskoga</t>
  </si>
  <si>
    <t>691 51</t>
  </si>
  <si>
    <t>info@amexci.com</t>
  </si>
  <si>
    <t>The company was formed as a joint venture between ABB Technology Ventures, Atlas Copco, Electrolux, Hoganas, Husqvarna, Saab, Scania, SKF, Stora Enso, Foundation Asset Management and Wärtsilä on December 21, 2017.</t>
  </si>
  <si>
    <t>ABB Technology Ventures, Atlas Copco, Electrolux, Foundation Asset Management, Hoganas, Husqvarna, Saab, Scania, SKF, Stora Enso, Wärtsilä</t>
  </si>
  <si>
    <t>Atlas Copco(www.atlascopcogroup.com), Electrolux(www.electrolux.com), Foundation Asset Management(www.fam.se), Hoganas(www.hoganas.com), Husqvarna(www.husqvarnagroup.com), Saab(www.saabgroup.com), Scania(www.scania.com), Stora Enso(www.storaenso.com), Wärtsilä(www.wartsila.com)</t>
  </si>
  <si>
    <t>53772-40</t>
  </si>
  <si>
    <t>American Giant</t>
  </si>
  <si>
    <t>Everlane, Outdoor Voices, Humble Fashion, Buck Mason, Articles of Style, UNIQLO Company, Pistol Lake, Trumaker, Tobi (Clothing), Apliiq, Bonobos, American Made Supply Co, Bailey44, Betabrand, &amp; other Stories, Patagonia, Tracksmith, Carve Designs, Zady, Ministry, Mahabis, Next Level Apparel, Edit Suits, Shinesty, Beyond the Rack, UNTUCKit, Cotopaxi (Outdoor Gear), The Limited, Eddie Bauer, Cuyana, eShakti, Nasty Gal, Reformation, Madewell, Trunk Club, Zara, prAna (Yoga), J. Crew, Boohoo</t>
  </si>
  <si>
    <t>Provider of an online shopping platform designed to offer apparel and active wear at fair prices. The company's shopping platform offers apparel and active wear for both men and women, enabling customers to buy quality casual wear at discounted prices from a wide range of designs and colors.</t>
  </si>
  <si>
    <t>Clothing*, Internet Retail, Other Apparel</t>
  </si>
  <si>
    <t>active wear, apparel &amp; fashion, casual wear, mens apparel, mens sweatshirts, womens apparel</t>
  </si>
  <si>
    <t>www.american-giant.com</t>
  </si>
  <si>
    <t>2015: 16, 2016: 35</t>
  </si>
  <si>
    <t>40051-27P</t>
  </si>
  <si>
    <t>Bayard Winthrop</t>
  </si>
  <si>
    <t>bayard@american-giant.com</t>
  </si>
  <si>
    <t>+1 (415) 529-2429</t>
  </si>
  <si>
    <t>161 Natoma Street</t>
  </si>
  <si>
    <t>The company raised $9.34 million of Series B venture funding from undisclosed investors on December 27, 2018, putting the company's pre-money valuation at $29 million.</t>
  </si>
  <si>
    <t>Emil Capital Partners, Vator</t>
  </si>
  <si>
    <t>Emil Capital Partners(www.emilcapitalpartners.com), Vator(www.vator.tv)</t>
  </si>
  <si>
    <t>DLA Piper(Legal Advisor), Scrubbed.net(Accounting)</t>
  </si>
  <si>
    <t>54537-94</t>
  </si>
  <si>
    <t>Ambri</t>
  </si>
  <si>
    <t>Liquid Metal Battery</t>
  </si>
  <si>
    <t>24M, ClearEdge Power, Vionx Energy, Primus Power, K2 Energy Solutions, XALT Energy, UniEnergy Technologies, Boston Power, Leyden Energy, BeVault, Eos Energy Storage, Infinite Power Solutions, Sun Catalytix, Microvast, EnerDel, Bloom Energy, Aquion Energy</t>
  </si>
  <si>
    <t>Developer of an electric storage system designed to reserve energy for the smooth flow of productivity. The company's system includes a commercial battery which uses liquid metal technology for grid-scale power storage, enabling users to store electricity easily.</t>
  </si>
  <si>
    <t>electric storage system, electricity storage, grid scale battery, power storage</t>
  </si>
  <si>
    <t>www.ambri.com</t>
  </si>
  <si>
    <t>2010: 3, 2012: 23, 2014: 40, 2015: 50, 2016: 37, 2017: 40</t>
  </si>
  <si>
    <t>41449-60P</t>
  </si>
  <si>
    <t>Philip Giudice</t>
  </si>
  <si>
    <t>+1 (617) 714-5723</t>
  </si>
  <si>
    <t>Marlborough, MA</t>
  </si>
  <si>
    <t>53 Brigham Street</t>
  </si>
  <si>
    <t>Unit 8</t>
  </si>
  <si>
    <t>Marlborough</t>
  </si>
  <si>
    <t>01752</t>
  </si>
  <si>
    <t>info@ambri.com</t>
  </si>
  <si>
    <t>The company raised $17.29 million of Series D venture funding from undisclosed investors on December 28, 2018, putting the company's pre-money valuation at $48 million.</t>
  </si>
  <si>
    <t>Bill &amp; Melinda Gates Foundation, Building Insurance Bern, Elemental Excelerator, Khosla Ventures, KLP Enterprises, NYSERDA, Stex25, Total Energy Ventures, William Gates</t>
  </si>
  <si>
    <t>Bill &amp; Melinda Gates Foundation(www.gatesfoundation.org), Elemental Excelerator(www.elementalexcelerator.com), Khosla Ventures(www.khoslaventures.com), NYSERDA(www.nyserda.ny.gov), Stex25(startupexchange.mit.edu)</t>
  </si>
  <si>
    <t>Cooley(Legal Advisor), Hobbs &amp; Towne(Custodian)</t>
  </si>
  <si>
    <t>Cooley(Legal Advisor), LEAF Commercial Capital(Debt Financing), Southwestern Industries(Debt Financing)</t>
  </si>
  <si>
    <t>50927-41</t>
  </si>
  <si>
    <t>Ambiq Micro</t>
  </si>
  <si>
    <t>Cubiq Microchip</t>
  </si>
  <si>
    <t>Lattice Semiconductor, Analog Devices, Microchip Technology, Linear Technology, QuickLogic, Atmel, Mobiveil, Texas Instruments, Cypress Semiconductor, Presto Engineering, Monolithic Power Systems, Intersil, Maxim Integrated Products, Silego Technology, Silicon Laboratories (Aero business unit), Silicon Mobility, Broadcom, Cactus Semiconductor, ICsense, Intel, Marvell International, Syntiant, Silicon Labs, eSilicon, AnSem, Nordic Semiconductor</t>
  </si>
  <si>
    <t>Developer of integrated circuits designed to reduce the power consumption of semiconductors. The company's integrated circuits are developed based on a patented Subthreshold Power Optimized Technology platform that dramatically reduce the amount of power consumed by semiconductors, enabling wearables, smart cards, wireless sensors and IoT industries to save power and adopted a customer-focused approach which is line according to the needs of customers with smaller, less expensive products with much longer battery life.</t>
  </si>
  <si>
    <t>General Purpose Semiconductors*</t>
  </si>
  <si>
    <t>battery life, fabless semiconductor, integrated circuit, microcontroller, power consumption</t>
  </si>
  <si>
    <t>www.ambiqmicro.com</t>
  </si>
  <si>
    <t>2013: 10, 2014: 25, 2015: 34, 2016: 53, 2017: 75</t>
  </si>
  <si>
    <t>58141-45P</t>
  </si>
  <si>
    <t>Fumihide Esaka</t>
  </si>
  <si>
    <t>fesaka@ambiqmicro.com</t>
  </si>
  <si>
    <t>+1 (512) 879-2850</t>
  </si>
  <si>
    <t>6500 River Place Boulevard</t>
  </si>
  <si>
    <t>Building 7, Suite 200</t>
  </si>
  <si>
    <t>78730</t>
  </si>
  <si>
    <t>+1 (512) 879-2856</t>
  </si>
  <si>
    <t>info@ambiqmicro.com</t>
  </si>
  <si>
    <t>The company raised $29.05 million of Series E venture funding from Kleiner Perkins, Mercury Fund and other undisclosed investors on October 26, 2018. Previously, the company raised $34.06 million of Series D venture funding in a deal led by Tsing Capital on January 17, 2018, putting the company's pre-money valuation at $100 million. Mercury Fund, Panasonic Ventures, Kleiner Perkins Caufield &amp; Byers, Conductive Ventures and other undisclosed investors also participated in the round.</t>
  </si>
  <si>
    <t>ARM, Austin Ventures, Big Basin Partners, Cisco Investments, Conductive Ventures, Draper Fisher Jurvetson Management, EDBI, Fujitsu, Grand Angels, Huron River Ventures, Kleiner Perkins, Mercury Fund, Michigan Investment in New Technology Startups, Osage University Partners, Panasonic Ventures, Q Venture Partners, Timothy Draper, Tsing Capital, Tyche Partners, University of Michigan Endowment</t>
  </si>
  <si>
    <t>Grand Ventures</t>
  </si>
  <si>
    <t>ARM(www.arm.com), Austin Ventures(www.austinventures.com), Big Basin Partners(www.timark.net), Cisco Investments(www.ciscoinvestments.com), Conductive Ventures(www.conductive.vc), Draper Fisher Jurvetson Management(www.dfj.com), EDBI(www.edbi.com), Fujitsu(www.fujitsu.com), Grand Angels(www.grandangels.org), Huron River Ventures(www.huronrivervc.com), Kleiner Perkins(www.kleinerperkins.com), Mercury Fund(www.mercuryfund.com), Osage University Partners(www.oup.vc), Panasonic Ventures(www.panasonicventures.com), Q Venture Partners(www.qventure.partners), Timothy Draper(www.timothydraper.com), Tsing Capital(www.tsingcapital.com), Tyche Partners(www.tychepartners.com), University of Michigan Endowment(www.umich.edu)</t>
  </si>
  <si>
    <t>Grand Ventures(www.grandvcp.com)</t>
  </si>
  <si>
    <t>Comerica Bank(General Business Banking), Cooley(Legal Advisor), Holtzman Partners(Auditor)</t>
  </si>
  <si>
    <t>221567-23</t>
  </si>
  <si>
    <t>Amberdata (Business/Productivity Software)</t>
  </si>
  <si>
    <t>MapR, Bloq, Dfinity, ShoCard, Skuchain, BitFury, Factom, SAP, Symbiont, Interbit</t>
  </si>
  <si>
    <t>Provider of an online platform intended for monitoring, searching, analyzing and secure public and private blockchains. The company's platform uses SaaS, enabling blockchains to solve unique industry problems and to power the services of the modern world.</t>
  </si>
  <si>
    <t>Application Software, Business/Productivity Software*, Database Software</t>
  </si>
  <si>
    <t>Big Data, Cryptocurrency/Blockchain, FinTech, SaaS, TMT</t>
  </si>
  <si>
    <t>blockchain, blockchain infrastructure technology, blockchain monitoring technology, private blockchain</t>
  </si>
  <si>
    <t>www.amberdata.io</t>
  </si>
  <si>
    <t>40032-46P</t>
  </si>
  <si>
    <t>Shawn Douglass</t>
  </si>
  <si>
    <t>shawn@amberdata.io</t>
  </si>
  <si>
    <t>801 California Street</t>
  </si>
  <si>
    <t>hello@amberdata.io</t>
  </si>
  <si>
    <t>The company joined SAP.iO Foundry as part of the first cohort on August 14, 2018 and received an undisclosed amount in funding. Earlier, the company raised $2.09 million of seed funding from Hummer Winblad Venture Partners on October 19, 2017, putting the pre-money valuation at $11.85 million.</t>
  </si>
  <si>
    <t>Hummer Winblad Venture Partners, SAP.iO Foundry</t>
  </si>
  <si>
    <t>Hummer Winblad Venture Partners(www.hwvp.com), SAP.iO Foundry(sap.io)</t>
  </si>
  <si>
    <t>60577-57</t>
  </si>
  <si>
    <t>Amber Precision Instruments</t>
  </si>
  <si>
    <t>API</t>
  </si>
  <si>
    <t>Developer of measurement technologies designed to manufacture IC, module and system level energy management control (EMC) and energy management system (EMS) evaluation tool. The company's measurement technologies are equipped with unique combination of IC level and system level expertise, enabling industries to resolve their urgent and long-sought-after problems.</t>
  </si>
  <si>
    <t>Application Specific Semiconductors*, Electronic Components</t>
  </si>
  <si>
    <t>detection capabilities, measurement technology, scanner</t>
  </si>
  <si>
    <t>www.amberpi.com</t>
  </si>
  <si>
    <t>75351-97P</t>
  </si>
  <si>
    <t>Harris Park</t>
  </si>
  <si>
    <t>Director</t>
  </si>
  <si>
    <t>harris.park@amberpi.com</t>
  </si>
  <si>
    <t>+1 (408) 752-0199 x103</t>
  </si>
  <si>
    <t>101 Bonaventura Drive</t>
  </si>
  <si>
    <t>+1 (408) 752-0335</t>
  </si>
  <si>
    <t>amberpi@amberpi.com</t>
  </si>
  <si>
    <t>The company raised venture funding from Samsung Ventures Investment on an undisclosed date.</t>
  </si>
  <si>
    <t>264572-56</t>
  </si>
  <si>
    <t>AmazeVR</t>
  </si>
  <si>
    <t>Off2</t>
  </si>
  <si>
    <t>Developer of a virtual reality entertainment platform designed to create virtual and mixed reality contents. The company features a wide range of interactive VR content curated and developed by VR creators among the world, enabling users to experience immersive content and live the stories they watch.</t>
  </si>
  <si>
    <t>Mobile, Virtual Reality</t>
  </si>
  <si>
    <t>virtual reality, virtual reality movies, virtual reality space, virtual reality video technology, vr video creation</t>
  </si>
  <si>
    <t>www.amaze.us</t>
  </si>
  <si>
    <t>199237-24P</t>
  </si>
  <si>
    <t>Seung Joon Lee</t>
  </si>
  <si>
    <t>joon@amaze.us</t>
  </si>
  <si>
    <t>+1 (650) 946-6187</t>
  </si>
  <si>
    <t>333 West El Camino Real</t>
  </si>
  <si>
    <t>contact@amazevr.com</t>
  </si>
  <si>
    <t>The company raised $7 million of Series A venture funding in a deal led by Mirae Asset Financial Group on February 28, 2019. LG Technology Ventures, Timewise Investment and Smilegate Investment also participated in the round.</t>
  </si>
  <si>
    <t>LG Technology Ventures, Mirae Asset Financial Group, Smilegate Investment, Timewise Investment</t>
  </si>
  <si>
    <t>Mirae Asset Financial Group(www.miraeasset.com), Smilegate Investment(www.smilegateinvestment.com)</t>
  </si>
  <si>
    <t>97476-58</t>
  </si>
  <si>
    <t>Altizon</t>
  </si>
  <si>
    <t>SnapLogic, Iven, MapR, Aureus Analytics, Crayon Data, Informatica, Tamr, Krypton, Matillion, Switchboard Software, Platfora, Paradata, Databricks, Fivetran, Unifi (Data Platform), Periscope Data, Hortonworks, Striim, Cloudera, Exosite, DC Systems, Panoply (Application Software), InfluxData, Infoworks, Pendo Systems, Talend, Qubole, Aras, Alooma, Rever, FogHorn, Relayr, Plat.One, Apigee, Cloud Elements, Clarizen, Thethings.Io, Syncsort, ThingWorx, Cumulocity, Carriots, SAP, Itizzimo, XMpro, 2lemetry, WSO2, Flutura Business Solutions, Xively, GridPoint, Alteryx, Flytxt, Astronomer, Paxata, Fedr8, Worldsensing, Litmus Automation, Corent Technology, Formcept, Kaaiot, Clearblade</t>
  </si>
  <si>
    <t>Developer of a big data-focused platform designed to enhance digital transformation. The company's big data-focused platform is focused on the industrial internet, which offers a scalable platform to manufacturers to build intelligent connected devices and manage them from the cloud, enabling organizations to take operational decisions based on real-time data.
The company helps enterprises use machine data to drive business decisions with a view to enable digital transformation by accelerating smart manufacturing initiatives, modernising asset performance management, and adopting new business models for service delivery.</t>
  </si>
  <si>
    <t>Advanced Manufacturing, Big Data, Internet of Things, SaaS, TMT</t>
  </si>
  <si>
    <t>application development framework, assets performance management, big data technology, big data-focused platform, digital transformation platform, industrial digital revolution, industrial internet, industrial internet platform</t>
  </si>
  <si>
    <t>www.altizon.com</t>
  </si>
  <si>
    <t>111376-81P</t>
  </si>
  <si>
    <t>Vinay Nathan</t>
  </si>
  <si>
    <t>Co-Founder &amp; Chief Executive Officer, Sales &amp; Strategy</t>
  </si>
  <si>
    <t>vinay@altizon.com</t>
  </si>
  <si>
    <t>+91 (0)20 6790 3700</t>
  </si>
  <si>
    <t>Number 101, Galore Tech Park, Off NDA Pashan Road, Bavdhan</t>
  </si>
  <si>
    <t>Baner Road</t>
  </si>
  <si>
    <t>411021</t>
  </si>
  <si>
    <t>The company raised $7 million of Series A venture funding in a deal led by TVS Motor Company on April 27, 2019. Wipro Ventures, Lumis Partners and The Hive also participated in this round. The funds will be used by the company to strengthen its international presence and IP development.</t>
  </si>
  <si>
    <t>Centre for Innovation Incubation and Entrepreneurship, Infuse Ventures, Lumis Partners, Microsoft ScaleUp, Persistent Systems, Pi Ventures, Sada Kshirsagar, The Hive, TVS Motor Company, Wipro Ventures</t>
  </si>
  <si>
    <t>Centre for Innovation Incubation and Entrepreneurship(www.ciie.co), Infuse Ventures(www.infuseventures.in), Lumis Partners(www.lumispartners.com), Microsoft ScaleUp(startups.microsoft.com/en-us/scale-up), Persistent Systems(www.persistent.com), Pi Ventures(www.piventures.in), The Hive(www.hivedata.com), TVS Motor Company(www.tvsmotor.com)</t>
  </si>
  <si>
    <t>54335-26</t>
  </si>
  <si>
    <t>Altiostar</t>
  </si>
  <si>
    <t>Radio Mobile Access, Inc.</t>
  </si>
  <si>
    <t>Parallel Wireless, ASOCS, Ranzure Networks</t>
  </si>
  <si>
    <t>Developer of Radio Area Network (RNA) software intended to improve the and enhance the quality of telecommunication network. The company's software supports open interfaces and disaggregates the hardware from the software to build an open multi-vendor web-scale network along with offering a Virtual RAN for software-intensive LTE eNodeB for elastic scalability, enabling mobile network providers to deploy and expand their LTE networks quickly and efficiently in a feature-rich, future-proof and cost-effective way.</t>
  </si>
  <si>
    <t>Business/Productivity Software*, Other Communications and Networking, Wireless Communications Equipment</t>
  </si>
  <si>
    <t>ethernet, mobile broadband, spectral efficiency, virtual ran, wireless equipment</t>
  </si>
  <si>
    <t>www.altiostar.com</t>
  </si>
  <si>
    <t>2015: 40, 2018: 220</t>
  </si>
  <si>
    <t>53147-44P</t>
  </si>
  <si>
    <t>John Delea</t>
  </si>
  <si>
    <t>jdelea@altiostar.com</t>
  </si>
  <si>
    <t>+1 (855) 709-0701</t>
  </si>
  <si>
    <t>Tewksbury, MA</t>
  </si>
  <si>
    <t>200 Ames Pond Drive</t>
  </si>
  <si>
    <t>Tewksbury</t>
  </si>
  <si>
    <t>01876</t>
  </si>
  <si>
    <t>+1 (978) 254-6546</t>
  </si>
  <si>
    <t>info@altiostar.com</t>
  </si>
  <si>
    <t>The company raised $114 million of Series C venture funding from Tech Mahindra, Qualcomm Ventures and Rakuten on May 8, 2019. The funds will be used to expand the company's virtual Radio Access Network solutions for 4G and 5G to accelerate the industry paradigm shift to web-scale cloud-native mobile networks</t>
  </si>
  <si>
    <t>Cisco Investments, Excelestar Ventures, Fidelity Investments, Qualcomm Ventures, Rakuten, Tech Mahindra</t>
  </si>
  <si>
    <t>Cisco Investments(www.ciscoinvestments.com), Excelestar Ventures(www.excelestarventures.com), Fidelity Investments(www.fidelity.com), Qualcomm Ventures(www.qualcommventures.com), Rakuten(www.rakuten.co.jp), Tech Mahindra(www.techmahindra.com)</t>
  </si>
  <si>
    <t>TRS-RenTelco(Debt Financing), WilmerHale(Legal Advisor)</t>
  </si>
  <si>
    <t>57271-42</t>
  </si>
  <si>
    <t>Aloha</t>
  </si>
  <si>
    <t>Kuli Kuli, Amazing Grass, Liquid I.V., The Honest Company, Burt's Bees, California Baby</t>
  </si>
  <si>
    <t>Producer of nutritional supplements intended to ensure a healthy lifestyle. The company's supplements include whole-food powders, nutrient capsules and protein powders as well as advice on nutrition and lifestyle, enabling consumers to buy the products through an online platform and focus on a healthy lifestyle.</t>
  </si>
  <si>
    <t>Food Products*, Internet Retail, Personal Products</t>
  </si>
  <si>
    <t>health food, nutritional food items, organic food product, plant-based protein, protein powder</t>
  </si>
  <si>
    <t>www.aloha.com</t>
  </si>
  <si>
    <t>84412-72P</t>
  </si>
  <si>
    <t>Brad Charron</t>
  </si>
  <si>
    <t>bcharron@nbty.com</t>
  </si>
  <si>
    <t>+1 (631) 200-2000</t>
  </si>
  <si>
    <t>40 Exchange Place</t>
  </si>
  <si>
    <t>care@aloha.com</t>
  </si>
  <si>
    <t>The company raised $3.85 million of Series B venture funding from undisclosed investors on February 1, 2019, putting the company's pre-money valuation at $17 million.</t>
  </si>
  <si>
    <t>Andrew Wang, Angel Capital Management, Anthony Saleh, Aydin Senkut, Bill Tai, Bobby Goodlatte, BoxGroup, BrandProject, Brendan Wallace, Bullish, Cherry Ventures Management, Corigin Ventures, David Gilboa, David Tisch, Emil Capital Partners, Felicis Ventures, First Round Capital, Forerunner Ventures, Founders Fund, Great Oaks Venture Capital, Highland Capital Partners, Jeff Cantalupo, Khosla Ventures, Konstantin Othmer, Listen Ventures, M13, Maurice Werdegar, Maywic Select Investments, New Ground Ventures, NJF Capital, Otter Rock Capital, Pankaj Shah, Robert Wuttke, Shasta Ventures, Shervin Pishevar, Sumit Gupta, Surender Punia, Thomas Lehrman, U-Start, VGC Partners, Western Technology Investment, Winklevoss Capital Management</t>
  </si>
  <si>
    <t>Angel Capital Management(www.acm.capital), Bill Tai(www.about.me/BillTai), BoxGroup(www.boxgroup.com), BrandProject(www.brandproject.com), Brendan Wallace(identified.com/brendan), Bullish(bullish.co), Cherry Ventures Management(www.cherry.vc), Corigin Ventures(www.coriginventures.com), David Tisch(www.davidtisch.com), Emil Capital Partners(www.emilcapitalpartners.com), Felicis Ventures(www.felicis.com), First Round Capital(www.firstround.com), Forerunner Ventures(www.forerunnerventures.com), Founders Fund(www.foundersfund.com), Great Oaks Venture Capital(www.greatoaksvc.com), Highland Capital Partners(www.hcp.com), Khosla Ventures(www.khoslaventures.com), Konstantin Othmer(www.othmer.com), Listen Ventures(www.listen.co), M13(www.m13.co), Maywic Select Investments(www.maywic.com), New Ground Ventures(www.newground.vc), NJF Capital(www.njfcapital.com), Otter Rock Capital(www.otterrockcapital.com), Shasta Ventures(www.shastaventures.com), Shervin Pishevar(www.pishevar.com), U-Start(www.u-start.biz), VGC Partners(www.vgcp.co.uk), Western Technology Investment(www.westerntech.com), Winklevoss Capital Management(www.winklevosscapital.com)</t>
  </si>
  <si>
    <t>ComCap(Advisor: General), Fenwick &amp; West(Legal Advisor), Gunderson Dettmer(Legal Advisor), Rich Talent Group(Consulting), U-Start(Lead Manager or Arranger)</t>
  </si>
  <si>
    <t>180504-10</t>
  </si>
  <si>
    <t>Allegro.AI</t>
  </si>
  <si>
    <t>Seematics</t>
  </si>
  <si>
    <t>Sentient (Business/Productivity Software), SAS Institute, Viisights, IcecreamLabs, ViSenze, TapInfluence, Contently, PulsePoint, Xnor.ai, Blackbird Technologies, MapR, ZeroStack, SiteSpect, NewsCred, Velostrata, DataStax, Clusterone, Netra, Ditto Technologies, Curalate, Imonomy, Databricks, Qubole, Scalr, NetSeer, Quali, Deepomatic, Trax Image Recognition</t>
  </si>
  <si>
    <t>Developer of an AI based life-cycle management platform designed to connect the physical world to the digital cloud in real time. The company's platform simplifies the process of developing and managing deep learning-powered services, such as autonomous vehicles, drones, security and logistics, enabling clients to manage their data-sets and build deep learning-based services while guaranteeing complete and confidential control of their data easily.</t>
  </si>
  <si>
    <t>Artificial Intelligence &amp; Machine Learning, Autonomous cars, Robotics and Drones, SaaS, TMT</t>
  </si>
  <si>
    <t>computer vision platform, deep learning engine, digital cloud services, product lifecycle management platform, temporal deep learning</t>
  </si>
  <si>
    <t>www.allegro.ai</t>
  </si>
  <si>
    <t>184406-05P</t>
  </si>
  <si>
    <t>Nir Bar-Lev</t>
  </si>
  <si>
    <t>nir@allegro.ai</t>
  </si>
  <si>
    <t>Menachem Begin 7</t>
  </si>
  <si>
    <t>The company raised an undisclosed amount of venture funding from Hyundai CRADLE on November 5, 2018. The funding will be used for more rapid deployment of AI technology in many business areas and will improve the quality of Hyundai's products, thereby increasing customer satisfaction while creating a safer driving environment. Prior to that, the company raised $7 million of Series A venture funding in a deal led by MizMaa Ventures on April 25, 2018. Robert Bosch Venture Capital, Samsung Catalyst, Dynamic Loop Capital, and Gandyr Investments also participated in the round.</t>
  </si>
  <si>
    <t>Dynamic Loop Capital, Gandyr Investments, Hyundai CRADLE, MizMaa Ventures, Robert Bosch Venture Capital, Samsung Catalyst</t>
  </si>
  <si>
    <t>Dynamic Loop Capital(www.dlcap.com), Gandyr Investments(www.gandyr.com), Hyundai CRADLE(www.cradleinc.com), MizMaa Ventures(www.mizmaa.com), Robert Bosch Venture Capital(www.rbvc.com), Samsung Catalyst(www.samsungcatalyst.com)</t>
  </si>
  <si>
    <t>181009-18</t>
  </si>
  <si>
    <t>All Turtles</t>
  </si>
  <si>
    <t>Operator of an AI startup studio created to build early-stage AI companies. The company's AI-based studio offers in-house operations and shared resources to founders to concentrate on the unique aspects of their idea, enabling young companies to build products that use AI to solve everyday problems.</t>
  </si>
  <si>
    <t>ai-based studio, ai-centric product, in-house operations, shared resources</t>
  </si>
  <si>
    <t>www.all-turtles.com</t>
  </si>
  <si>
    <t>38251-00P</t>
  </si>
  <si>
    <t>Philip Libin</t>
  </si>
  <si>
    <t>phil@all-turtles.com</t>
  </si>
  <si>
    <t>The company has raised an undisclosed amount of Series A1 venture funding from Salesforce Ventures, Kima Ventures and other investors as of October 16, 2017, putting the pre-money valuation at an estimated $50.8 million.</t>
  </si>
  <si>
    <t>Digital Garage, General Catalyst, Kima Ventures, Salesforce Ventures</t>
  </si>
  <si>
    <t>Digital Garage(www.garage.co.jp), General Catalyst(www.generalcatalyst.com), Kima Ventures(www.kimaventures.com)</t>
  </si>
  <si>
    <t>61338-25</t>
  </si>
  <si>
    <t>Alignable</t>
  </si>
  <si>
    <t>TownSquared, LinkedIn</t>
  </si>
  <si>
    <t>Provider of a small business networking platform designed to connect business owners to each other and the resources they need to succeed. The company's business networking platform offer to get business advice and recommendations from fellow business owners all over the world, as well as connects with based on location, industry, target customer, current needs, and opportunities, enabling users to get valuable information and grow in terms in revenue.</t>
  </si>
  <si>
    <t>Application Software, Media and Information Services (B2B), Social Content*</t>
  </si>
  <si>
    <t>business network, business networking platform, connecting business, local business, networking platform</t>
  </si>
  <si>
    <t>www.alignable.com</t>
  </si>
  <si>
    <t>2014: 11, 2015: 12, 2016: 20</t>
  </si>
  <si>
    <t>60637-96P</t>
  </si>
  <si>
    <t>Eric Groves</t>
  </si>
  <si>
    <t>eric@alignable.com</t>
  </si>
  <si>
    <t>+1 (617) 556-3826</t>
  </si>
  <si>
    <t>205 Portland Street</t>
  </si>
  <si>
    <t>Suite 504</t>
  </si>
  <si>
    <t>+1 (617) 556-3889</t>
  </si>
  <si>
    <t>info@alignable.com</t>
  </si>
  <si>
    <t>The company raised $5.87 million of Series D venture funding from KIC and other undisclosed investors on July 27, 2018, putting the company's pre-money valuation at $40 million.</t>
  </si>
  <si>
    <t>Boston Seed Capital, Lead Edge Capital, Longworth Venture Partners, Mayfield Fund, NextView Ventures, Recruit Strategic Partners, Saturn Partners, Tuesday Capital</t>
  </si>
  <si>
    <t>Boston Seed Capital(www.bostonseed.com), Lead Edge Capital(www.leadedgecapital.com), Longworth Venture Partners(www.longworth.com), Mayfield Fund(www.mayfield.com), NextView Ventures(www.nextviewventures.com), Recruit Strategic Partners(recruitstrategicpartners.com), Saturn Partners(www.saturnpartnersvc.com), Tuesday Capital(www.tuesday.vc)</t>
  </si>
  <si>
    <t>65905-66</t>
  </si>
  <si>
    <t>Algolux</t>
  </si>
  <si>
    <t>Developer of an autonomous vision and imaging technology designed to empower vehicles and devices to see more clearly. The company's technology uses machine learning to develop deep perception technology, computational imaging, image processing, photography and graphics, enabling vehicles and devices to address the difficulties posed by every-day scenarios like extreme lighting and adverse weather conditions easily.</t>
  </si>
  <si>
    <t>Automation/Workflow Software*, Multimedia and Design Software, Other Software</t>
  </si>
  <si>
    <t>automation platform, computational imaging, computer vision, computer vision systems, images processing, imaging software, vision systems</t>
  </si>
  <si>
    <t>www.algolux.com</t>
  </si>
  <si>
    <t>2014: 15, 2018: 25</t>
  </si>
  <si>
    <t>75620-26P</t>
  </si>
  <si>
    <t>Domenic Durante</t>
  </si>
  <si>
    <t>domenic.durante@algolux.com</t>
  </si>
  <si>
    <t>+1 (877) 424-9107 x201</t>
  </si>
  <si>
    <t>1751 Richardson</t>
  </si>
  <si>
    <t>Suite 5.200</t>
  </si>
  <si>
    <t>H3K 1G6</t>
  </si>
  <si>
    <t>+1 (514) 316-2688</t>
  </si>
  <si>
    <t>info@algolux.com</t>
  </si>
  <si>
    <t>An undisclosed investor sold its stake in the company to Generation Ventures on August 2, 2018. Earlier, the company raised $10.01 million of Series A1 venture funding in a deal led by GM Ventures on April 2, 2018. Intact Ventures, Real Ventures and Drive Capital also participated in the round. Before that, the company joined C100 Association as a part of its Winter 2017 Cohort on October 16, 2017 and received an undisclosed amount in funding. Prior to that, the company raised $825,000 of venture funding from Playground Global on September 27, 2017.</t>
  </si>
  <si>
    <t>Anges Québec, C100 Association, Columbia Technology Ventures, Drive Capital, Ferst Capital Partners, Generation Ventures, GM Ventures, Intact Ventures, Playground Global, Plug and Play Tech Center, Real Ventures, TandemLaunch</t>
  </si>
  <si>
    <t>Anges Québec(www.angesquebec.com/en), C100 Association(www.thec100.org), Columbia Technology Ventures(www.techventures.columbia.edu), Drive Capital(www.drivecapital.com), Ferst Capital Partners(www.ferstcapital.com), Generation Ventures(www.generationventures.com), GM Ventures(www.gmventures.com), Playground Global(www.playground.global), Plug and Play Tech Center(www.plugandplaytechcenter.com), Real Ventures(www.realventures.com), TandemLaunch(www.tandemlaunch.com)</t>
  </si>
  <si>
    <t>blue HF(Legal Advisor)</t>
  </si>
  <si>
    <t>53386-21</t>
  </si>
  <si>
    <t>Alereon</t>
  </si>
  <si>
    <t>Bandspeed, WiSpry, Quantance, ACCO Semiconductor, Skyworks Solutions</t>
  </si>
  <si>
    <t>Developer of ultra wideband (UWB) wireless chipsets and Certified Wireless USB designed to develop low-power, wireless services for connecting media rich products and displays. The company's ultra wideband (UWB) wireless chipsets is use to simplify networking by connecting personal computers, consumer electronics, personal computer peripherals and mobile devices, enabling consumers to simply and wirelessly stream real-time video and data from consumer electronics to HDTVs, monitors and laptops.</t>
  </si>
  <si>
    <t>communication equipment, electronic product, networking provision, simplify networking, wireless service, wirelessly stream video</t>
  </si>
  <si>
    <t>www.alereon.com</t>
  </si>
  <si>
    <t>2012: 36, 2014: 51</t>
  </si>
  <si>
    <t>61516-18P</t>
  </si>
  <si>
    <t>David Shoemaker</t>
  </si>
  <si>
    <t>david.shoemaker@alereon.com</t>
  </si>
  <si>
    <t>+1 (512) 345-4200</t>
  </si>
  <si>
    <t>10800 Pecan Park Boulevard</t>
  </si>
  <si>
    <t>78750</t>
  </si>
  <si>
    <t>The company raised $500,000 of venture funding in a deal led by Pharos Capital Group on November 26, 2013. Western Technology Investment also participated in the round. The deal also includes an undisclosed amount of debt financing from Western Technology Investment.</t>
  </si>
  <si>
    <t>Austin Ventures, Centennial Ventures, Duchossois Technology Partners, eCentury Capital Partners, Enhanced Capital Partners, Genesis Campus, Genesis Partners, Kinetic Ventures, Mobility Ventures, Pharos Capital Group, PTV Healthcare Capital, Samsung Venture Investment, SK Telecom, Western Technology Investment</t>
  </si>
  <si>
    <t>Austin Ventures(www.austinventures.com), Centennial Ventures(www.centennial.com), Duchossois Technology Partners(www.duchtec.com), eCentury Capital Partners(www.ecenturycapital.com), Enhanced Capital Partners(www.enhancedcapital.com), Genesis Campus(www.genesiscampus.com), Genesis Partners(www.genesispartners.com), Kinetic Ventures(www.kineticventures.com), Mobility Ventures(www.mobilityventures.com), Pharos Capital Group(www.pharosfunds.com), PTV Healthcare Capital(www.ptvhc.com), Samsung Venture Investment(www.samsungventures.com), Western Technology Investment(www.westerntech.com)</t>
  </si>
  <si>
    <t>DLA Piper(Legal Advisor), Westlake Securities(Advisor: General)</t>
  </si>
  <si>
    <t>DLA Piper(Legal Advisor), Western Technology Investment(Debt Financing)</t>
  </si>
  <si>
    <t>55003-87</t>
  </si>
  <si>
    <t>Alchemist Accelerator</t>
  </si>
  <si>
    <t>Alchemist</t>
  </si>
  <si>
    <t>Capital Innovators, GSVlabs</t>
  </si>
  <si>
    <t>Provider of incubator services intended to accelerate the development of seed-stage ventures that monetize from enterprises. The company's incubator services focus on accelerating startups, whose revenue come from enterprises, not consumers by offering them a 6-month program with financial support from other investors, enabling startups to have wider access to start their businesses.</t>
  </si>
  <si>
    <t>accelerator, accelerator program, business accelerator, customer development, fundraising, seeds accelerator, startup incubator</t>
  </si>
  <si>
    <t>www.alchemistaccelerator.com</t>
  </si>
  <si>
    <t>2014: 6, 2015: 10</t>
  </si>
  <si>
    <t>76868-56P</t>
  </si>
  <si>
    <t>Danielle D'Agostaro</t>
  </si>
  <si>
    <t>Managing Partner &amp; Chief Operating Officer</t>
  </si>
  <si>
    <t>danielle@alchemistaccelerator.com</t>
  </si>
  <si>
    <t>+1 (415) 527-0158</t>
  </si>
  <si>
    <t>Market Square, 1355 Market Street</t>
  </si>
  <si>
    <t>The company received $4 million of financing from BASF and Qatar Development Bank on May 16, 2019. Previously, the company raised $2.5 million of venture funding in a deal led by Juniper Networks on January 22, 2019. Next47 also participated in the round.</t>
  </si>
  <si>
    <t>BASF, Cisco Investments, Draper Fisher Jurvetson Management, Foundation Capital, GE Ventures, Incendium Capital, Iowa City Capital Partners, JCI Ventures, Juniper Networks, Juniper Ventures, Khosla Ventures, Mayfield Fund, Next47, Qatar Development Bank, Salesforce Ventures, Sapphire Ventures, US Venture Partners</t>
  </si>
  <si>
    <t>BASF(www.basf.com), Cisco Investments(www.ciscoinvestments.com), Draper Fisher Jurvetson Management(www.dfj.com), Foundation Capital(www.foundationcapital.com), GE Ventures(www.geventures.com), Incendium Capital(www.incendiumcap.com), Iowa City Capital Partners(www.iowacitycapitalpartners.com), Juniper Networks(www.juniper.net), Khosla Ventures(www.khoslaventures.com), Mayfield Fund(www.mayfield.com), Next47(Next47.com), Qatar Development Bank(www.qdb.qa), Sapphire Ventures(www.sapphireventures.com), US Venture Partners(www.usvp.com)</t>
  </si>
  <si>
    <t>156679-66</t>
  </si>
  <si>
    <t>AlcaCruz</t>
  </si>
  <si>
    <t>NextVR, Twitch Interactive, DirecTV, YouTube, Intel, Mixer</t>
  </si>
  <si>
    <t>Developer and an Esports and sports streaming platform designed to enable better team play as well as delight fans who want to watch multiple players or games at the same time. The company's platform uses multiView technology to livestream four or more esports, games, sports, events or other videos so that they can be watched simultaneously in one interactive screen using a fraction of the bandwidth without buffering, enabling fans to watch what they want, how they want.</t>
  </si>
  <si>
    <t>Augmented Reality, eSports, TMT, Virtual Reality</t>
  </si>
  <si>
    <t>augmented reality, esport games, esport orginization, gaming, multi-view capture, sports activities, streaming, video streaming, video streaming technology, virtual reality, virtual reality streaming, vr streaming</t>
  </si>
  <si>
    <t>www.alcacruz.com</t>
  </si>
  <si>
    <t>2019: 9</t>
  </si>
  <si>
    <t>Promotion (New) Emily Ward, Chief Executive Officer, President &amp; Chairman, Promotion (New) Victor Ward, Chief Operating Officer &amp; Head of Sports and eSports, Competitor (New) Mixer, Competitor (New) Twitch Interactive</t>
  </si>
  <si>
    <t>179243-29P</t>
  </si>
  <si>
    <t>Emily Ward</t>
  </si>
  <si>
    <t>emily@alcacruz.com</t>
  </si>
  <si>
    <t>+1 (650) 670-2885</t>
  </si>
  <si>
    <t>551 Pilgrim Drive</t>
  </si>
  <si>
    <t>contact@alcacruz.com</t>
  </si>
  <si>
    <t>The company joined Tech Incubator Program for Startups on an undisclosed date and received an undisclosed amount of funding. Previously, the company raised an undisclosed amount of seed funding from Samsung Venture Investment, GT Five Stones and Kakao Ventures on June 20, 2018. FuturePlay also participated in the round.</t>
  </si>
  <si>
    <t>FuturePlay, Google Campus, GT Five Stones, Kakao Ventures, Samsung Venture Investment, Tech Incubator Program for Startups</t>
  </si>
  <si>
    <t>FuturePlay(www.futureplay.co), Google Campus(campus.co), Kakao Ventures(www.kakaoventures.co.kr), Samsung Venture Investment(www.samsungventures.com), Tech Incubator Program for Startups(www.jointips.or.kr)</t>
  </si>
  <si>
    <t>Catalyst Law Group(Legal Advisor), Royse Law Firm(Legal Advisor), Schwegman Lundberg &amp; Woessner(Legal Advisor)</t>
  </si>
  <si>
    <t>Schwegman Lundberg &amp; Woessner(Legal Advisor)</t>
  </si>
  <si>
    <t>61490-17</t>
  </si>
  <si>
    <t>Alation</t>
  </si>
  <si>
    <t>Sisense, Mode Analytics, Feature Labs, Looker, MapR, Periscope Data, BIME Analytics, Riversand, Kyvos Insights, Platfora, Data3Sixty, Rever, Unifi (Data Platform), Zaloni, Podium Data, DataGravity, Qubole, Dataiku, DataTorrent, AtScale, Klipfolio, Syncsort, Cloudera, Paradata, SnapLogic, Databricks, Datascience.com, Notion Data, Predikto, Koverse, Tellius, Talend, Couchbase, Paxata, Perfion, Opera Solutions, Silicon Valley Data Science, StreamSets, Uptake, Cambridge Semantics, Verint Systems, RapidMiner, Tamr, FinancialForce, Grow (Business/Productivity Software), Index Engines, Astute, Pentaho, Qlik Technologies, Cask, Trifacta, Think Big Analytics, Feedzai, Konux, Teraki, SigOpt, Attunity, Informatica, Illuminate360, Apprenda, Datameer, Acumatica, Sense Enterprise, GoodData, Domo, Alteryx, Ab Initio, WorkFusion, Squirro, Octopai, Collibra, Panoply (Application Software), Infogix, SAP, Guavus, Varonis Systems, Salesforce, Astronomer, Pendo Systems, Calabrio, Datum (Maryland), Absolutdata Intelligent Analytics, Mnubo, TIBCO Software, Segment, 1010data, Domino Data Lab, DataRobot, Vyopta</t>
  </si>
  <si>
    <t>Developer of an enterprise collaborative data platform designed to find, understand and use the right data. The company's platform employs machine learning with human insight to automatically capture information and drive business outcomes from self-service analytics about where the data comes from, who's using it and how it's used, enabling analysts to find, collaborate and govern data for better, faster decisions.</t>
  </si>
  <si>
    <t>collaborative platform, data collaboration platform, enterprise collaborative database, enterprise collaborative platform, enterprise collaborative software</t>
  </si>
  <si>
    <t>www.alation.com</t>
  </si>
  <si>
    <t>2017: 85, 2018: 89, 2019: 200</t>
  </si>
  <si>
    <t>61476-13P</t>
  </si>
  <si>
    <t>Venkatesh Ganti</t>
  </si>
  <si>
    <t>vg@alation.com</t>
  </si>
  <si>
    <t>Suite 307</t>
  </si>
  <si>
    <t>info@alation.com</t>
  </si>
  <si>
    <t>The company raised $50 million of Series C venture funding in a deal led by Salesforce Ventures and Sapphire Ventures on January 17, 2019, putting the company's pre-money valuation at $240 million. Costanoa Ventures, Data Collective, Icon Ventures, and Harmony Partners also participated in the round. The funds will be used to further the company's leadership in the Machine Learning Data Catalog market and accelerate engineering investment in the Alation Data Catalog.</t>
  </si>
  <si>
    <t>Andreessen Horowitz, Bloomberg Beta, Costanoa Ventures, Data Collective, Elad Gil, General Catalyst, Gil Elbaz, Gokul Rajaram, Harmony Partners, Icon Ventures, Naval Ravikant, Salesforce Ventures, Sapphire Ventures, StartX, Steve Papa, TenOneTen Ventures, The Dcode Group</t>
  </si>
  <si>
    <t>Andreessen Horowitz(www.a16z.com), Bloomberg Beta(www.bloombergbeta.com), Costanoa Ventures(www.costanoavc.com), Data Collective(www.dcvc.com), General Catalyst(www.generalcatalyst.com), Harmony Partners(www.harmonyvp.com), Icon Ventures(www.iconventures.com), Sapphire Ventures(www.sapphireventures.com), StartX(www.startx.com), TenOneTen Ventures(www.tenoneten.net), The Dcode Group(www.dcode.co)</t>
  </si>
  <si>
    <t>56376-01</t>
  </si>
  <si>
    <t>alaTest</t>
  </si>
  <si>
    <t>Provider of an online database of consumer reviews about various products designed to make it easy for anyone to be a well informed shopper. The company's quality rating platform alaScore is a complex algorithm that measures product reviews for their relevance, accuracy and reliability and then weights them accordingly before combining them into a single result, enabling customers to take decisions regarding a product based on the reviews.</t>
  </si>
  <si>
    <t>Information Services (B2C)*, Other Media</t>
  </si>
  <si>
    <t>consumer review, online database, price comparison, review aggregator</t>
  </si>
  <si>
    <t>www.alatest.com</t>
  </si>
  <si>
    <t>2006: 4, 2007: 9, 2008: 12, 2009: 15, 2010: 20, 2011: 27, 2012: 21, 2013: 16, 2014: 14, 2015: 14, 2016: 13</t>
  </si>
  <si>
    <t>47913-49P</t>
  </si>
  <si>
    <t>Arie Struik</t>
  </si>
  <si>
    <t>arie.struik@alatest.com</t>
  </si>
  <si>
    <t>+46 (0)8 34 31 15</t>
  </si>
  <si>
    <t>Söder Mälarstrand 21</t>
  </si>
  <si>
    <t>118 20</t>
  </si>
  <si>
    <t>info@alatest.com</t>
  </si>
  <si>
    <t>Bertelsmann Digital Media Investments sold a stake in the company to an undisclosed buyer. Earlier, the company raised an undisclosed amount of venture funding from Bertelsmann Digital Media Investments, b-to-v Partners and Curtis Newton in December 2006.</t>
  </si>
  <si>
    <t>BA4V, btov Partners, Curtis Newton, M10 Partners</t>
  </si>
  <si>
    <t>BA4V(www.ba4v.com), btov Partners(www.btov.vc), Curtis Newton(www.curtis-newton.com), M10 Partners(www.m10-partners.com)</t>
  </si>
  <si>
    <t>98619-58</t>
  </si>
  <si>
    <t>Akselos</t>
  </si>
  <si>
    <t>Rescale, Reltio, Fieldscale, 3DSIM, Ansys, CD-Adapco Group, SaltStack, PTC Software, Solidworks, Aras</t>
  </si>
  <si>
    <t>Provider of engineering simulation technology intended to offer simulation software for engineering design and virtual prototyping of complex products. The company's technology helps in engineering design and virtual prototyping of complex products, monitoring mission critical systems in real-time, anticipating and preventing system failures, enabling clients to save money by predicting maintenance in reality.</t>
  </si>
  <si>
    <t>Business/Productivity Software*, Media and Information Services (B2B), Multimedia and Design Software</t>
  </si>
  <si>
    <t>design product, engineering simulation, engineering technology, simulation platform, simulation software, simulation technology, virtual prototyping</t>
  </si>
  <si>
    <t>www.akselos.com</t>
  </si>
  <si>
    <t>82372-51P</t>
  </si>
  <si>
    <t>Thomas Leurent</t>
  </si>
  <si>
    <t>thomas.leurent@akselos.com</t>
  </si>
  <si>
    <t>+41 (0)21 510 2460</t>
  </si>
  <si>
    <t>Building D</t>
  </si>
  <si>
    <t>info@akselos.com</t>
  </si>
  <si>
    <t>The company raised $10 million of venture funding in a deal led by Innogy Venture Capital on September 27, 2018. Shell Ventures and Alumni Ventures Group also participated in the round. The new round of financing will be used to help increase the sustainability of critical assets in the energy sector, by empowering predictive maintenance with structural analysis software, big data analytics and machine learning.</t>
  </si>
  <si>
    <t>Alumni Ventures Group, Castor Ventures, EPFL Innovation Park, Eurostars, EuroUS Ventures, Forticap, Government of Switzerland, Horizon 2020, Innogy Innovation Hub, Innogy Venture Capital, MassChallenge, Shell Ventures, Stex25, United States Department of Defense</t>
  </si>
  <si>
    <t>Alumni Ventures Group(www.avgfunds.com), Castor Ventures(www.castorventures.com), EPFL Innovation Park(www.epfl-innovationpark.ch), Eurostars(www.eurostars-eureka.eu), EuroUS Ventures(www.eurousventures.com), Innogy Innovation Hub(innovationhub.innogy.com), Innogy Venture Capital(www.innogy-ventures.com), MassChallenge(www.masschallenge.org), Stex25(startupexchange.mit.edu), United States Department of Defense(www.defense.gov)</t>
  </si>
  <si>
    <t>62510-41</t>
  </si>
  <si>
    <t>Akeneo</t>
  </si>
  <si>
    <t>Shotfarm, MomentFeed, Products Up, ChannelEyes, Ion Interactive, Infoverity, Sprout Social, Syndigo, Satmetrix Systems, Medallia, Cambridge Semantics, Bottlenose, Episerver, Orckestra, Webdam Solutions, Bluestone (PIM), Salesforce Commerce Cloud, Pimcore, Reltio, Paxata, Plytix, Zignal Labs, Insite Software Solutions, Salsify, Perfion, Spredfast, ItemMaster, Mojo New Media, ADAM Software, Contentserv, Ab Initio, SAP Hybris, Canto, Mapbox, inRiver, HICX Solutions, Umbraco, Edgenet, Widen Enterprises, Sitecore, Trifacta, Digital Map Products, Censhare, Riversand, MapR, Elastic Path, Agility Multichannel, Mag+, Contentful, Indix, NetBase, Emeldi Group, Jaggaer, Brandwatch, Informatica Customer 360 Insights, Jitterbit, Datactics, Oracle</t>
  </si>
  <si>
    <t>Developer of a product information management platform designed to manage in-store product information online as well as offline. The company's cloud-based open-source platform centralizes and harmonizes all the marketing and technical information for product listings and catalogs, enabling retailers and corporate brands to deliver an enriched customer experience across all sales channels, including e-commerce, mobile, print and retail points of sale.</t>
  </si>
  <si>
    <t>product info management, product information management software, product information management system, sales channel, sales channel management</t>
  </si>
  <si>
    <t>www.akeneo.com</t>
  </si>
  <si>
    <t>2017: 70, 2018: 130</t>
  </si>
  <si>
    <t>65475-46P</t>
  </si>
  <si>
    <t>Frederic de Gombert</t>
  </si>
  <si>
    <t>frederic@akeneo.com</t>
  </si>
  <si>
    <t>+33 (0)2 55 59 00 00</t>
  </si>
  <si>
    <t>Nantes, France</t>
  </si>
  <si>
    <t>2 place Général Mellinet</t>
  </si>
  <si>
    <t>Nantes</t>
  </si>
  <si>
    <t>44100</t>
  </si>
  <si>
    <t>hello@akeneo.com</t>
  </si>
  <si>
    <t>The company raised EUR 5.20 million of venture funding from Salesforce Ventures and Stephan Dietrich on December 19, 2018, putting the company's pre-money valuation at EUR 48.61 million. The funds will be used by the company for continued AI research and development as well as for the hiring of new employees to expand its presence in North America.</t>
  </si>
  <si>
    <t>Alven Capital Partners, Impact USA, Kima Ventures, Nestadio Capital, Partech Partners, Salesforce Ventures, Stephan Dietrich</t>
  </si>
  <si>
    <t>Alven Capital Partners(www.alven.co), Impact USA(www.impact-north-america.com), Kima Ventures(www.kimaventures.com), Nestadio Capital(www.nestadio-capital.jimdo.com), Partech Partners(www.partechpartners.com)</t>
  </si>
  <si>
    <t>SB Avocats(Legal Advisor)</t>
  </si>
  <si>
    <t>62020-72</t>
  </si>
  <si>
    <t>Aislelabs</t>
  </si>
  <si>
    <t>Presence Aware Tech</t>
  </si>
  <si>
    <t>Provider of a data analytics platform designed to make retailers understand customer traffic patterns and behavior inside and outside their physical stores. The company's data analytics platform deliver highly personalized marketing tailored for individual in-store customers and transforms retail locations to smart stores, resulting in effective marketing, increased sales, and better customer satisfaction, enabling retailers to increase sales through the power of big data analytics.</t>
  </si>
  <si>
    <t>Database Software, Other Retail, Social/Platform Software*</t>
  </si>
  <si>
    <t>analytics platform, big data, big data analytics, computer software, customer satisfaction, in-store marketing</t>
  </si>
  <si>
    <t>www.aislelabs.com</t>
  </si>
  <si>
    <t>33918-40P</t>
  </si>
  <si>
    <t>Nick Koudas</t>
  </si>
  <si>
    <t>koudas@aislelabs.com</t>
  </si>
  <si>
    <t>+1 (647) 557-3510</t>
  </si>
  <si>
    <t>111 Berkeley Street</t>
  </si>
  <si>
    <t>M5A 2W8</t>
  </si>
  <si>
    <t>+1 (647) 557-3511</t>
  </si>
  <si>
    <t>contact@aislelabs.com</t>
  </si>
  <si>
    <t>The company raised $1.5 million of seed funding from MaRS Investment Accelerator Fund, Rho Canada Ventures and Salesforce Ventures on March 19, 2014. Round 13 Capital and other undisclosed investors also participated.</t>
  </si>
  <si>
    <t>Individual Investor, MaRS Investment Accelerator Fund, Rho Canada Ventures, Round 13 Capital, Salesforce Ventures</t>
  </si>
  <si>
    <t>MaRS Investment Accelerator Fund(www.marsiaf.com), Rho Canada Ventures(www.rhocanada.com), Round 13 Capital(www.round13capital.com)</t>
  </si>
  <si>
    <t>54437-95</t>
  </si>
  <si>
    <t>Airtime (Application Software)</t>
  </si>
  <si>
    <t>Supyo</t>
  </si>
  <si>
    <t>DabKick, LiveFoundry, WeChat, TokBox, Oovoo, Tribe App, Kik (Application Software), VSee, Glide, Hike (Communication Software), Pinger (mobile communication), Zoom Video Communications, Fring, WhatsApp, Chatimity, Vidyo, Kwippit, Agora.io, Temasys, Voxeet</t>
  </si>
  <si>
    <t>Provider of an application software designed to help people to share music and videos. The company's software helps to watch videos and listen to music together while chatting, enabling users to share the moments of their life in real time with family and friends.</t>
  </si>
  <si>
    <t>AudioTech, Mobile, TMT</t>
  </si>
  <si>
    <t>live video platform, social video, video chat, video platform, video technology</t>
  </si>
  <si>
    <t>www.airtime.com</t>
  </si>
  <si>
    <t>2015: 42</t>
  </si>
  <si>
    <t>17870-23P</t>
  </si>
  <si>
    <t>Sean Parker</t>
  </si>
  <si>
    <t>32 East 31 Street</t>
  </si>
  <si>
    <t>+1 (646) 717-0442</t>
  </si>
  <si>
    <t>+1 (646) 390-7125</t>
  </si>
  <si>
    <t>info@airtime.com</t>
  </si>
  <si>
    <t>The company raised an undisclosed amount of venture funding from Slow Ventures on January 8, 2015.</t>
  </si>
  <si>
    <t>Accel, Alexis Ohanian, Andreessen Horowitz, Ashton Kutcher, CAA Ventures, Dave Morin, Donald Dodge, Founders Fund, Gary Vaynerchuk, GV, Karl Jacob, Kevin Colleran, Kleiner Perkins, Lerer Hippeau, Marissa Mayer, Michael Arrington, Michael Parekh, Scott Braun, Silicon Straits, Slow Ventures, Social Capital, SV Angel, Timothy Draper, Tuesday Capital, Y Combinator, Yuri Milner</t>
  </si>
  <si>
    <t>Accel(www.accel.com), Alexis Ohanian(alexisohanian.com), Andreessen Horowitz(www.a16z.com), CAA Ventures(ventures.caa.com), Dave Morin(www.davemorin.com), Donald Dodge(dondodge.typepad.com/about.html), Founders Fund(www.foundersfund.com), Gary Vaynerchuk(www.garyvaynerchuk.com), GV(www.gv.com), Kevin Colleran(facebook.com/kevin), Kleiner Perkins(www.kleinerperkins.com), Lerer Hippeau(www.lererhippeau.com), Michael Arrington(uncrunched.com), Michael Parekh(www.michaelparekh.com), Silicon Straits(www.siliconstraits.com), Slow Ventures(www.slow.co), Social Capital(www.socialcapital.com), SV Angel(www.svangel.com), Timothy Draper(www.timothydraper.com), Tuesday Capital(www.tuesday.vc), Y Combinator(www.ycombinator.com)</t>
  </si>
  <si>
    <t>Montgomery &amp; Company(Advisor: General), O'Melveny &amp; Myers(Legal Advisor), Orrick, Herrington &amp; Sutcliffe(Legal Advisor)</t>
  </si>
  <si>
    <t>43016-41</t>
  </si>
  <si>
    <t>Airship</t>
  </si>
  <si>
    <t>Urban Airship, Urban Airship Incorporated</t>
  </si>
  <si>
    <t>Braze, Evergage, Leanplum, CleverTap, Mobify, Batch (Business/Productivity Software), mGage, July Systems, MixPanel, InMobi, Swrve, Carnival (Mobile), Plumb5, MoEngage, Chartboost, Sailthru, CoolaData, FoneSense, Bronto Software, PlaceIQ, WebEngage, Localytics, Pulsate, Pardot, Fyber, Marketo, IconPeak, SessionM, HubSpot, Zendesk, Kahuna, Selligent, OneSignal, Salesforce, Velti, Twilio, Oracle, International Business Machines</t>
  </si>
  <si>
    <t>Developer of a customer engagement platform designed to create deeper connections with customers by delivering relevant, orchestrated messages on any channel. The company's platform gives brands the user-level data, engagement channels, AI orchestration and services they need to deliver push notifications, emails, SMS, in-app messages, mobile wallet cards and more to the right person in the right moment, enabling companies to build trust, boost engagement, drive action and grow value.</t>
  </si>
  <si>
    <t>Big Data, FinTech, Marketing Tech, Mobile, TMT</t>
  </si>
  <si>
    <t>consumer engagement, cross-channel messaging, customer intelligence, digital marketing platform, digital wallet - andriod/ios, loyalty program, mar tech, marketing automation, mobile analytics, mobile email, mobile wallets marketing, orchestration platform, predictive analytics, push messaging, rcs messaging, real time messaging service, sms messaging, web notification</t>
  </si>
  <si>
    <t>www.airship.com</t>
  </si>
  <si>
    <t>2012: 100, 2017: 190, 2018: 208, 2019: 300</t>
  </si>
  <si>
    <t>91706-05P</t>
  </si>
  <si>
    <t>Scott Allen</t>
  </si>
  <si>
    <t>scott.allen@airship.com</t>
  </si>
  <si>
    <t>1225 West Burnside</t>
  </si>
  <si>
    <t>+1 (855) 385-3155</t>
  </si>
  <si>
    <t>contact@airship.com</t>
  </si>
  <si>
    <t>The company raised $25 million of Series F venture funding in a deal led by Foundry Group on June 21, 2018, putting the company's pre-money valuation at $140 million. Intel Capital, Verizon Ventures, Franklin Park Associates, QuestMark Partners, August Capital and True Ventures also participated in the round. The company which has raised $100 million in total funding to date, intends to use the funds to accelerate global sales, marketing, customer success and product innovation by integrating new customer engagement channels while extending their growth into new industries and markets.</t>
  </si>
  <si>
    <t>August Capital, Bullpen Capital, Christopher Sacca, First Round Capital, Founders' Co-op, Foundry Group, Franklin Park Associates, Intel Capital, Lowercase Capital, ORIX Growth Capital, Portland Incubator Experiment, QuestMark Partners, Rick Webb, Salesforce Ventures, Transmedia Capital, True Ventures, Verizon Ventures</t>
  </si>
  <si>
    <t>August Capital(www.augustcap.com), Bullpen Capital(www.bullpencap.com), First Round Capital(www.firstround.com), Founders' Co-op(www.founderscoop.com), Foundry Group(www.foundrygroup.com), Franklin Park Associates(www.franklinparkllc.com), Intel Capital(www.intelcapital.com), Lowercase Capital(www.lowercasecapital.com), Portland Incubator Experiment(www.piepdx.com), QuestMark Partners(www.questm.com), Rick Webb(www.rickwebb.net), Transmedia Capital(www.transmediacapital.com), True Ventures(www.trueventures.com), Verizon Ventures(www.verizonventures.com)</t>
  </si>
  <si>
    <t>Crestmark Equipment Finance(Debt Financing), Fenwick &amp; West(Legal Advisor), KPMG(Auditor), Matter Communications(Advisor: General), Perkins Coie(Legal Advisor), Silicon Valley Bank(General Business Banking), Summative Executive Search(Consulting), True Capital Partners(Advisor: General)</t>
  </si>
  <si>
    <t>55329-22</t>
  </si>
  <si>
    <t>AirPR</t>
  </si>
  <si>
    <t>TrendKite, Sprinklr, VoloMetrix, Bottlenose, Meltwater, Sprout Social, Prime Research International, LeadSift, Hootsuite, kpi6, NextMark, BehaviorMatrix, Tracx, Socialbakers, Simply Measured, Brand24, Traackr, NUVI, NetBase, Brandwatch, Mention Solutions, Brandtology, Socialmetrix, Zignal Labs, Spredfast, Crimson Hexagon, Unmetric, Engagor</t>
  </si>
  <si>
    <t>Provider of analytics tools intended to offer analytics, insights and measurement services for the evolving Public Relations (PR) industry. The company's platform helps businesses showcase the impact of their PR efforts through a streamlined public relations measurement software, enabling companies to understand the impact of PR on business objectives and increase overall PR performance through applying big data.</t>
  </si>
  <si>
    <t>drives engagement, pr efforts, pr software, public relation analysis, public relations</t>
  </si>
  <si>
    <t>www.airpr.com</t>
  </si>
  <si>
    <t>2014: 50, 2016: 21</t>
  </si>
  <si>
    <t>43457-14P</t>
  </si>
  <si>
    <t>Sharam Fouladgar-Mercer</t>
  </si>
  <si>
    <t>sharam@airpr.com</t>
  </si>
  <si>
    <t>+1 (415) 545-8247</t>
  </si>
  <si>
    <t>111 Maiden Lane</t>
  </si>
  <si>
    <t>info@airpr.com</t>
  </si>
  <si>
    <t>The company raised $6.11 million of Series C venture funding from Correlation Ventures and Mohr Davidow Ventures on May 29, 2018, putting the company's pre-money valuation at $10 million.</t>
  </si>
  <si>
    <t>500 Startups, Correlation Ventures, Crosslink Capital, David McClure, Eric Chin, Individual Investor, Konstantin Othmer, Lodestar Ventures, Matthew Mullenweg, Mohr Davidow Ventures, Pereg Ventures, Peter Lehrman, Salesforce Ventures, Samir Kaji, Scott Hartley, Storm Ventures, Telemachus Luu, The Gramercy Fund, Thomas Lehrman, William Maw</t>
  </si>
  <si>
    <t>500 Startups(www.500.co), Correlation Ventures(www.correlationvc.com), Crosslink Capital(www.crosslinkcapital.com), David McClure(www.davemcclure.com), Konstantin Othmer(www.othmer.com), Lodestar Ventures(www.lodestarvc.com), Matthew Mullenweg(www.ma.tt), Mohr Davidow Ventures(www.mdv.com), Pereg Ventures(www.peregventures.com), Storm Ventures(www.stormventures.com), The Gramercy Fund(www.gramercyfund.com), William Maw(www.billmaw.com)</t>
  </si>
  <si>
    <t>119756-53</t>
  </si>
  <si>
    <t>AirMap</t>
  </si>
  <si>
    <t>Altitude Angel, Kittyhawk.io, Unifly, Identified Technologies, Botlink, SkyWard, DroneDeploy, DreamHammer, Thales Group, General Electric, Amazon.com</t>
  </si>
  <si>
    <t>Developer of an airspace management platform for drones and electric vehicles. The company's platform connects airspace authorities with the drone ecosystem to unlock safe, efficient and salable drone operations, automates traffic management with an easy-to-use cloud-based dashboard and develops resources to make integration easy. It also publishes airspace rules and advisories directly to drone operators on the industry-leading airspace intelligence database and coordinates air traffic.</t>
  </si>
  <si>
    <t>LOHAS &amp; Wellness, Robotics and Drones</t>
  </si>
  <si>
    <t>air navigation tools, airspace database, airspace management tools, airspace navigation, drones product</t>
  </si>
  <si>
    <t>www.airmap.com</t>
  </si>
  <si>
    <t>2015: 10, 2016: 50, 2017: 55, 2018: 65</t>
  </si>
  <si>
    <t>79216-57P</t>
  </si>
  <si>
    <t>Benjamin Marcus</t>
  </si>
  <si>
    <t>ben@airmap.com</t>
  </si>
  <si>
    <t>+1 (844) 424-7627</t>
  </si>
  <si>
    <t>409 Santa Monica Boulevard</t>
  </si>
  <si>
    <t>The company received an undisclosed amount of development capital from Macquarie Group, Temasek Holdings and Honeywell Ventures on February 19, 2019.</t>
  </si>
  <si>
    <t>Airbus Ventures, Alpha Edison, Baidu Ventures, Bullpen Capital, Comet Labs, General Catalyst, Haystack, Honeywell Ventures, Legend Star, Lux Capital, M12, Macquarie Group, One Planet Ops, Pritzker Group Venture Capital, Pritzker Private Capital, Qualcomm Ventures, Rakuten, Social Capital, Sony, Sony Innovation Fund, Starbridge Venture Capital, Starburst Aerospace, SZ DJI Technology Company, Teamworthy Ventures, Temasek Holdings, TenOneTen Ventures, Wonder Ventures, Yuneec</t>
  </si>
  <si>
    <t>Airbus Ventures(www.airbusventures.vc), Alpha Edison(www.alphaedison.com), Baidu Ventures(www.bv.ai), Bullpen Capital(www.bullpencap.com), Comet Labs(www.cometlabs.io), General Catalyst(www.generalcatalyst.com), Haystack(haystack.vc), Legend Star(www.legendstar.com.cn), Lux Capital(www.luxcapital.com), M12(www.m12.vc), Macquarie Group(www.macquarie.com), One Planet Ops(www.oneplanetops.com), Pritzker Group Venture Capital(www.pritzkergroup.com/venture-capital), Pritzker Private Capital(www.ppcpartners.com), Qualcomm Ventures(www.qualcommventures.com), Rakuten(www.rakuten.co.jp), Social Capital(www.socialcapital.com), Sony(www.sony.net), Sony Innovation Fund(www.sonyinnovationfund.com), Starbridge Venture Capital(www.starbridgevc.com), Starburst Aerospace(www.starburst.aero), SZ DJI Technology Company(www.dji.com), Teamworthy Ventures(www.teamworthy.com), Temasek Holdings(www.temasek.com.sg), TenOneTen Ventures(www.tenoneten.net), Wonder Ventures(www.wondervc.com), Yuneec(us.yuneec.com)</t>
  </si>
  <si>
    <t>Montgomery &amp; Company(Advisor: General), Silicon Valley Bank(General Business Banking)</t>
  </si>
  <si>
    <t>229494-52</t>
  </si>
  <si>
    <t>Airlook</t>
  </si>
  <si>
    <t>Provider of aeronautical data collection services intended to support the development of aircraft manufacturing, space systems and navigation services. The company's services leverage the acquisition of high-precision data to develop a variety of flight control, drone and avionics systems, providing government and industrial aviation companies with data acquisition, multi-dimensional image data production services in addition to airspace application and flight management services.</t>
  </si>
  <si>
    <t>Aerospace and Defense*, Other Hardware</t>
  </si>
  <si>
    <t>Big Data, Manufacturing, Robotics and Drones</t>
  </si>
  <si>
    <t>3d online platform, air data collection service, drones data, flight systems, spatial data, spatial data mining, spatial data services</t>
  </si>
  <si>
    <t>www.airlook.com</t>
  </si>
  <si>
    <t>195220-72P</t>
  </si>
  <si>
    <t>Wang Yuze</t>
  </si>
  <si>
    <t>wang.yuze@airlook.com</t>
  </si>
  <si>
    <t>+86 (0)10 5382 2880</t>
  </si>
  <si>
    <t>5th Floor, Building 7</t>
  </si>
  <si>
    <t>4th District, Hanwei International Plaza, Fengtai District</t>
  </si>
  <si>
    <t>bd@airlook.com</t>
  </si>
  <si>
    <t>The company raised an undisclosed amount of Series A extension venture funding from Baidu Ventures on September 22, 2017.</t>
  </si>
  <si>
    <t>Baidu Ventures, Boyu Capital Advisory Company, Western Securities</t>
  </si>
  <si>
    <t>Baidu Ventures(www.bv.ai), Boyu Capital Advisory Company(www.boyucapital.com)</t>
  </si>
  <si>
    <t>63343-90</t>
  </si>
  <si>
    <t>Airborne Oil &amp; Gas</t>
  </si>
  <si>
    <t>Airborne International</t>
  </si>
  <si>
    <t>AOG, Airborne</t>
  </si>
  <si>
    <t>Fiberspar, Flexpipe Systems</t>
  </si>
  <si>
    <t>Manufacturer of thermoplastic composite pipe. The company's products include downlines, well intervention hoses, jumpers, spools, offshore flowlines and risers free of corrosion for oil and gas operators and service companies.</t>
  </si>
  <si>
    <t>composites pipe manufacturer, pipes manufacturing company, thermoplastic pipes manufacturer</t>
  </si>
  <si>
    <t>www.airborneoilandgas.com</t>
  </si>
  <si>
    <t>2014: 51, 2015: 59, 2016: 51, 2019: 110</t>
  </si>
  <si>
    <t>176172-40P</t>
  </si>
  <si>
    <t>Aleksandra Wrobel</t>
  </si>
  <si>
    <t>a.wrobel@airborne-oilandgas.com</t>
  </si>
  <si>
    <t>+31 (0)25 576 3500</t>
  </si>
  <si>
    <t>IJmuiden, Netherlands</t>
  </si>
  <si>
    <t>Monnickendamkade 1</t>
  </si>
  <si>
    <t>IJmuiden</t>
  </si>
  <si>
    <t>1976 EC</t>
  </si>
  <si>
    <t>info@airborneoilandgas.com</t>
  </si>
  <si>
    <t>The company received an undisclosed amount of financing from Aker Solutions on March 15, 2019. The collaboration will see the firm utilizing TCP to improve field development economics globally.</t>
  </si>
  <si>
    <t>Aker Solutions, Chevron Technology Ventures, Evonik Venture Capital, HPE Growth Capital, Saudi Aramco Energy Ventures, Schroder Adveq Management, Shell Ventures, Subsea 7, Sumitomo Corporation</t>
  </si>
  <si>
    <t>Aker Solutions(www.akersolutions.com), HPE Growth Capital(www.hpegrowthcapital.com), Saudi Aramco Energy Ventures(www.saev.com), Schroder Adveq Management(www.schroderadveq.com), Subsea 7(www.subsea7.com), Sumitomo Corporation(www.sumitomocorp.com)</t>
  </si>
  <si>
    <t>AKD(Legal Advisor), AXECO Corporate Finance(Advisor: General), Stibbe(Legal Advisor)</t>
  </si>
  <si>
    <t>13231-27</t>
  </si>
  <si>
    <t>Airbiquity</t>
  </si>
  <si>
    <t>Integrated Data Communications</t>
  </si>
  <si>
    <t>Excelfore, Novero Automotive</t>
  </si>
  <si>
    <t>Developer of an automotive telematics technology designed to deliver global positioning system data to any wireless network. The company's technology offers a range of connected car technologies and services, enabling automotive customers to automate the increasingly complex task of planning and executing multi-ECU OTA software updates and data management easily.</t>
  </si>
  <si>
    <t>Application Software*, Communication Software, Connectivity Products, Information Services (B2C), Wireless Communications Equipment</t>
  </si>
  <si>
    <t>auto technology, car connectivity, connected car, connected vehicles, connectivity technology, digital car, gps, location software, location technology</t>
  </si>
  <si>
    <t>www.airbiquity.com</t>
  </si>
  <si>
    <t>2000: 80, 2007: 45, 2008: 80, 2009: 80, 2011: 100, 2013: 80, 2014: 122, 2015: 110, 2019: 70</t>
  </si>
  <si>
    <t>39806-29P</t>
  </si>
  <si>
    <t>John Atherly</t>
  </si>
  <si>
    <t>jatherly@airbiquity.com</t>
  </si>
  <si>
    <t>+1 (206) 219-2702</t>
  </si>
  <si>
    <t>1191 Second Avenue</t>
  </si>
  <si>
    <t>+1 (206) 219-2700</t>
  </si>
  <si>
    <t>+1 (206) 842-9259</t>
  </si>
  <si>
    <t>contact@airbiquity.com</t>
  </si>
  <si>
    <t>The company raised $15 million of Series C venture funding from Toyota Motor, Denso and Toyota Tsusho on March 7, 2019, putting the company's pre-money valuation at $90 million. This investment will support Airbiquity's expansion of the development of connected vehicle software technology and cloud-based services.</t>
  </si>
  <si>
    <t>Acorn Ventures, Alliance of Angels, Denso, Ignition Partners, Individual Investor, Industry Ventures, Kirnaf, ORIX Growth Capital, Shell Internet Ventures, Staenberg Venture Partners, TAPCO Ventures, Toyota Motor, Toyota Tsusho</t>
  </si>
  <si>
    <t>Acorn Ventures(www.acornventures.net), Alliance of Angels(www.allianceofangels.com), Denso(www.denso.com), Ignition Partners(www.ignitionpartners.com), Industry Ventures(www.industryventures.com), Staenberg Venture Partners(www.staenberg.com), Toyota Motor(www.toyota.co.jp), Toyota Tsusho(www.toyota-tsusho.com)</t>
  </si>
  <si>
    <t>DLA Piper(Legal Advisor), Graham &amp; Dunn(Legal Advisor), NXT Capital Venture Finance Group(Debt Financing), ORIX Growth Capital(Debt Financing)</t>
  </si>
  <si>
    <t>110642-95</t>
  </si>
  <si>
    <t>Aira</t>
  </si>
  <si>
    <t>eyeSight, Be My Eyes, Leap Motion, Magic Leap</t>
  </si>
  <si>
    <t>Developer of a wearable assistive product designed to help visually impaired and low-vision people. The company's wearable assistive product connects the blind with a network of certified agents via wearable smart glasses and an augmented reality dashboard that helps agents to see what the blind person sees in real time, enabling visually impaired people to accomplish a wide range of daily tasks and activities, from navigating busy streets to recognizing faces and literally traveling the world with mobility and independence.</t>
  </si>
  <si>
    <t>Application Software, Electronics (B2C)*, Social/Platform Software</t>
  </si>
  <si>
    <t>Augmented Reality, Internet of Things, TMT, Wearables &amp; Quantified Self</t>
  </si>
  <si>
    <t>assistive technology, blinds assistance, remote assistive technology, visual interpreter, wearable, wearable glass</t>
  </si>
  <si>
    <t>www.aira.io</t>
  </si>
  <si>
    <t>2015: 11, 2016: 10, 2018: 40</t>
  </si>
  <si>
    <t>104156-83P</t>
  </si>
  <si>
    <t>Suman Kanuganti</t>
  </si>
  <si>
    <t>suman@aira.io</t>
  </si>
  <si>
    <t>+1 (800) 835-1934</t>
  </si>
  <si>
    <t>contact@aira.io</t>
  </si>
  <si>
    <t>The company raised $17.16 million of Series B1 venture funding from undisclosed investors on December 27, 2018, putting the company's pre-money valuation at $40 million. Earlier, the company received $225,000 of grant funding from National Science Foundation in January 2018.</t>
  </si>
  <si>
    <t>Arboretum Ventures, ARCH Venture Partners, Bock Family Ventures, Bose Ventures, EvoNexus, Felicis Ventures, JAZZ Venture Partners, Lux Capital, National Federation Of The Blind, National Science Foundation, StartR</t>
  </si>
  <si>
    <t>Arboretum Ventures(www.arboretumvc.com), ARCH Venture Partners(www.archventure.com), Bose Ventures(bose.ventures), EvoNexus(www.evonexus.org), Felicis Ventures(www.felicis.com), JAZZ Venture Partners(www.jazzvp.com), Lux Capital(www.luxcapital.com), National Federation Of The Blind(nfb.org), National Science Foundation(seedfund.nsf.gov), StartR(www.rady.ucsd.edu/invest/startr)</t>
  </si>
  <si>
    <t>3LP Advisors(Intellectual Property), Bank of America(General Business Banking), Kilpatrick Townsend &amp; Stockton(Legal Advisor), Morrison &amp; Foerster(Legal Advisor)</t>
  </si>
  <si>
    <t>120982-15</t>
  </si>
  <si>
    <t>AImotive</t>
  </si>
  <si>
    <t>AdasWorks</t>
  </si>
  <si>
    <t>DeepScale, Drive.ai, Comma.Ai, Argo AI, nuTonomy, Nauto, FiveAI, May Mobility, Zoox, Optimus Ride, Waymo, Local Motors, TuSimple, Ottomatika, Cruise</t>
  </si>
  <si>
    <t>Developer of an artificial intelligence-based software designed to offer comfortable rides across diverse climates and cultures. The company's artificial intelligence-based software is used for self-driving vehicles and powers fully autonomous cars under various weather conditions, enabling consumers to access full spectrum of automated driving functionalities, from environment recognition, localization and path planning to low-level control.</t>
  </si>
  <si>
    <t>automated software, autonomous car, global positioning system, self drives car</t>
  </si>
  <si>
    <t>www.aimotive.com</t>
  </si>
  <si>
    <t>2015: 31, 2016: 120, 2018: 200</t>
  </si>
  <si>
    <t>136809-64P</t>
  </si>
  <si>
    <t>Daniella Redei</t>
  </si>
  <si>
    <t>Communications Manager</t>
  </si>
  <si>
    <t>daniella.redei@adasworks.com</t>
  </si>
  <si>
    <t>+36 (06)1 770 7245</t>
  </si>
  <si>
    <t>Budapest, Hungary</t>
  </si>
  <si>
    <t>Szépvölgyi útca 18-22</t>
  </si>
  <si>
    <t>Budapest</t>
  </si>
  <si>
    <t>1025</t>
  </si>
  <si>
    <t>Hungary</t>
  </si>
  <si>
    <t>+36 (06)1 770 7201</t>
  </si>
  <si>
    <t>info@aimotive.com</t>
  </si>
  <si>
    <t>The company raised EUR 32 million of Series C venture funding in a deal led by B Capital Group and Prime Ventures on January 4, 2018. Cisco Investments, Samsung Catalyst, Robert Bosch Venture Capital, Inventure, Draper Associates, PortfoLion and Day One Capital also participated in the round. The funds will be used to increase global scale and accelerate autonomous driving software via simulation technology.</t>
  </si>
  <si>
    <t>B Capital Group, Cisco Investments, Day One Capital, Draper Associates, Inventure, NVIDIA GPU Ventures, PortfoLion, Prime Ventures, Robert Bosch Venture Capital, Samsung Catalyst, Tamares Group</t>
  </si>
  <si>
    <t>Kishonti</t>
  </si>
  <si>
    <t>B Capital Group(www.bcapgroup.com), Cisco Investments(www.ciscoinvestments.com), Day One Capital(www.dayonecapital.com), Draper Associates(www.draper.vc), Inventure(www.inventure.fi), PortfoLion(www.portfolion.hu), Prime Ventures(www.primeventures.com), Robert Bosch Venture Capital(www.rbvc.com), Samsung Catalyst(www.samsungcatalyst.com), Tamares Group(www.tamares.com)</t>
  </si>
  <si>
    <t>Kishonti(www.kishonti.net)</t>
  </si>
  <si>
    <t>Baker Tilly Roelfs(Auditor), Vogel Heerma Waitz(Legal Advisor)</t>
  </si>
  <si>
    <t>Vogel Heerma Waitz(Legal Advisor)</t>
  </si>
  <si>
    <t>179658-19</t>
  </si>
  <si>
    <t>aiCTX</t>
  </si>
  <si>
    <t>Developer of neuromorphic processors designed to provide a combination of ultra low power consumption and low latency performance. The company's processors are mixed-signal/fully digital neuromorphic processors that overcome the limitations of legacy von Neumann computers, enabling enterprises to reduce power consumption and latency.</t>
  </si>
  <si>
    <t>computer processor, neuromorphic computer, neuromorphic engineering, neuromorphic hardware, neuromorphic processor</t>
  </si>
  <si>
    <t>www.aictx.ai</t>
  </si>
  <si>
    <t>Thurgauerstrasse 40</t>
  </si>
  <si>
    <t>info@ai-ctx.com</t>
  </si>
  <si>
    <t>The company raised $1.5 million of seed funding from Baidu Ventures in November 2018. The funds will be used to develop commercial applications for low-power neuromorphic computing and processor designs. Previously, the company raised $1.2 million of seed funding from Pre Angel Capital on January 21, 2018. The funds will be used to expand team at Zurich head office.</t>
  </si>
  <si>
    <t>Baidu Ventures, Pre Angel Capital, Venture Kick</t>
  </si>
  <si>
    <t>Baidu Ventures(www.bv.ai), Venture Kick(www.venturekick.ch)</t>
  </si>
  <si>
    <t>229236-04</t>
  </si>
  <si>
    <t>AI Foundation</t>
  </si>
  <si>
    <t>Provider of an online platform intended to focus on the improvement of artificial intelligence powered jobs. The company's platform helps in rapid creation and evolution of complex intelligent agents for highly personal jobs with easy reusability of skills and data, enabling its clients to incubate and contribute in the research, design and development of personal artificial intelligence related jobs.</t>
  </si>
  <si>
    <t>ai tools, artificial intelligence app, artificial intelligence skills</t>
  </si>
  <si>
    <t>www.aifoundation.com</t>
  </si>
  <si>
    <t>30928-24P</t>
  </si>
  <si>
    <t>Lars Buttler</t>
  </si>
  <si>
    <t>lars@aifoundation.com</t>
  </si>
  <si>
    <t>+1 (702) 670-2891</t>
  </si>
  <si>
    <t>6130 West Flamingo Road</t>
  </si>
  <si>
    <t>Suite 861</t>
  </si>
  <si>
    <t>89103</t>
  </si>
  <si>
    <t>inquiry@realitydefender.org</t>
  </si>
  <si>
    <t>The company raised $10 million of venture funding from You &amp; Mr Jones Brandtech Ventures, Endeavor and Founders Fund on September 18, 2018. Biz Stone and Charles King also participated in the round.</t>
  </si>
  <si>
    <t>1821 MEDIA, Abstract Ventures, Adrian Fenty, Alpha Edison, Arroyo Energy Investment Partners, Biz Stone, Charles King, Correlation Ventures, Cyan Banister, Endeavor, Eric Chen, Founders Fund, Joe Drake, Merck Ventures, Mike Palank, Trevor Kienzle, You &amp; Mr Jones Brandtech Ventures</t>
  </si>
  <si>
    <t>1821 MEDIA(www.1821media.com), Abstract Ventures(www.abstractvc.com), Alpha Edison(www.alphaedison.com), Arroyo Energy Investment Partners(www.arroyoenergygroup.com), Correlation Ventures(www.correlationvc.com), Endeavor(www.endeavorco.com), Founders Fund(www.foundersfund.com), Merck Ventures(www.m-ventures.com)</t>
  </si>
  <si>
    <t>229157-83</t>
  </si>
  <si>
    <t>Agylstor</t>
  </si>
  <si>
    <t>Provider of a computational storage systems designed to secure data storage and transfer. The company's storage systems are self-contained storage system with no moving parts or connectors that are shock-proof, vibration-proof and self-powered, and offer data storage for video and film production, geoscience, infrastructure mapping and aerospace applications, including more capable piloted and autonomous systems, enabling users to get save cost spent on conventional disks.</t>
  </si>
  <si>
    <t>Storage (IT)*</t>
  </si>
  <si>
    <t>computational storage system, peta-scale computational storage, shocks proof storage, storage, storage system</t>
  </si>
  <si>
    <t>www.agylstor.com</t>
  </si>
  <si>
    <t>70157-98P</t>
  </si>
  <si>
    <t>Frederic Carlson</t>
  </si>
  <si>
    <t>fcarlson@agylstor.com</t>
  </si>
  <si>
    <t>+1 (669) 900-5150</t>
  </si>
  <si>
    <t>100 Century Center Court</t>
  </si>
  <si>
    <t>95122</t>
  </si>
  <si>
    <t>info@agylstor.com</t>
  </si>
  <si>
    <t>The company raised an estimated $8.5 million of Series A venture funding in a deal led by Boeing HorizonX on May 30, 2018, putting the company's pre-money valuation at $12 million. Other undisclosed investors also participated in the round. The funding will be used to support the company's development of ruggedized computational storage systems, expand both team and research and development facilities, as well as scale technology for a future product release.</t>
  </si>
  <si>
    <t>Amazon Web Services, Boeing HorizonX</t>
  </si>
  <si>
    <t>Amazon Web Services(aws.amazon.com)</t>
  </si>
  <si>
    <t>52811-92</t>
  </si>
  <si>
    <t>Agrivida</t>
  </si>
  <si>
    <t>CometBio</t>
  </si>
  <si>
    <t>Developer of renewable chemicals, fuels and bio-products to simplify the process of enzyme production. The company develops seeds engineered with pretreatment and cellulose-degrading traits for activating the plants cell and wall-degrading enzymes in industrial and agricultural processes improving performance of animal nutrition enzyme products and feed.</t>
  </si>
  <si>
    <t>Agricultural Chemicals, Other Agriculture*</t>
  </si>
  <si>
    <t>AgTech, CleanTech, TMT</t>
  </si>
  <si>
    <t>agricultural product, animal nutrition, biochemistry, biological molecules, cellulosic biomass, feed production, plant biology, renewable chemicals</t>
  </si>
  <si>
    <t>www.agrivida.com</t>
  </si>
  <si>
    <t>2009: 47, 2010: 66, 2011: 73, 2012: 70, 2013: 73, 2014: 73, 2015: 66, 2016: 37, 2017: 31</t>
  </si>
  <si>
    <t>56681-38P</t>
  </si>
  <si>
    <t>Daniel Meagher</t>
  </si>
  <si>
    <t>dan.meagher@agrivida.com</t>
  </si>
  <si>
    <t>+1 (781) 391-1262</t>
  </si>
  <si>
    <t>78E Olympia Avenue</t>
  </si>
  <si>
    <t>The company raised $4.92 million of venture funding from undisclosed investors on June 3, 2019. Previously, t he company raised an undisclosed amount of venture funding from Kleiner Perkins Caufield &amp; Byers in October, 2017. Previously, the company raised an undisclosed amount of venture funding from Northgate Capital, ARCH Venture Partners and Cultivian Sandbox Ventures on February 9, 2017.</t>
  </si>
  <si>
    <t>Alexandria Venture Investments, ARCH Venture Partners, Bright Capital, Cornerstone Angels, Cultivian Sandbox Ventures, DAG Ventures, G Squared, Gentry Venture Partners, Global Foods Holding, Hercules Capital, incTANK Ventures, Iowa Corn Opportunities, Kleiner Perkins, Maschhoff Family Foods, Massachusetts Technology Collaborative, Middleland Capital, National Science Foundation, Northgate Capital, NYSERDA, PrairieGold Venture Partners, Presidio Ventures, Sandbox Industries, Shin Nippon Biomedical Laboratories, Sontag Family Trust, Syngenta Ventures, Technology Acceleration Partners, TriplePoint Capital, U.S. Department of Energy, United States Department of Agriculture, University of Texas Investment Management Company</t>
  </si>
  <si>
    <t>ARCH Venture Partners(www.archventure.com), Bright Capital(www.bright-capital.com), Cornerstone Angels(www.cornerstoneangels.com), Cultivian Sandbox Ventures(www.cultiviansbx.com), DAG Ventures(www.dagventures.com), G Squared(www.gsquared.com), Global Foods Holding(www.globalfoodsholding.com), Hercules Capital(www.htgc.com), incTANK Ventures(inctank.com), Iowa Corn Opportunities(iowacornopportunities.com), Kleiner Perkins(www.kleinerperkins.com), Massachusetts Technology Collaborative(www.masstech.org), Middleland Capital(www.middlelandcap.com), National Science Foundation(seedfund.nsf.gov), Northgate Capital(www.northgate.com), NYSERDA(www.nyserda.ny.gov), PrairieGold Venture Partners(www.pgvp.com), Presidio Ventures(www.presidio-ventures.com), Sandbox Industries(www.sandboxindustries.com), Shin Nippon Biomedical Laboratories(www.snbljapan.com), Sontag Family Trust(www.sontagfoundation.org), Syngenta Ventures(www.syngentaventures.com), Technology Acceleration Partners(www.techaccel.net), TriplePoint Capital(www.triplepointcapital.com), U.S. Department of Energy(www.energy.gov), United States Department of Agriculture(www.usda.gov), University of Texas Investment Management Company(www.utimco.org)</t>
  </si>
  <si>
    <t>Hobbs &amp; Towne(Consulting), MIT Venture Mentoring Service(Consulting)</t>
  </si>
  <si>
    <t>Gentry Financial Corporation(Advisor: General), Hercules Capital(Debt Financing), Hobbs &amp; Towne(Consulting), MIT Venture Mentoring Service(Consulting), Morse Law(Legal Advisor), Pharus Advisors(Advisor: General)</t>
  </si>
  <si>
    <t>154990-45</t>
  </si>
  <si>
    <t>Agricool</t>
  </si>
  <si>
    <t>Provider of upcycles containers intended to produce organic strawberries in a controlled atmosphere. The company's containers include fruit and vegetable shipping containers with optimized growing conditions in terms of irrigation, lighting, carbon dioxide, etc., which do not use pesticides, reduce the amount of water needed by 90% and only use renewable energy sources, enabling users to produce fruits and vegetables locally.</t>
  </si>
  <si>
    <t>Other Containers and Packaging</t>
  </si>
  <si>
    <t>Horticulture, Other Agriculture, Other Containers and Packaging*</t>
  </si>
  <si>
    <t>cooltivator, fruits container, indoor agriculture, organic fruits, vegetables container</t>
  </si>
  <si>
    <t>www.agricool.co</t>
  </si>
  <si>
    <t>2016: 30, 2017: 44, 2018: 55</t>
  </si>
  <si>
    <t>129968-20P</t>
  </si>
  <si>
    <t>Guillaume Fourdinier</t>
  </si>
  <si>
    <t>guillaume@agricool.co</t>
  </si>
  <si>
    <t>+33 (0)6 77 13 59 74</t>
  </si>
  <si>
    <t>20th arrondissement.</t>
  </si>
  <si>
    <t>hello@agricool.co</t>
  </si>
  <si>
    <t>The company raised $28 million of venture funding from Kima Ventures, Techmind,Daphni and XAnge Private Equity on December 4, 2018. Bpifrance and Danone Manifesto Ventures also participated in the round. The funds will be used to to grow fruits in containers.</t>
  </si>
  <si>
    <t>Bpifrance, CMA CGM, Cyril Grislain, Danone Manifesto Ventures, Daphni, Henri Seydoux, Jacques Antoine Granjon, Jean-Daniel Guyot, Kima Ventures, TheFamily, Thibaud Elziere, XAnge Private Equity</t>
  </si>
  <si>
    <t>Bpifrance(www.bpifrance.fr), CMA CGM(www.cma-cgm.com), Danone Manifesto Ventures(www.danoneventures.com), Daphni(www.daphni.com), Kima Ventures(www.kimaventures.com), TheFamily(www.thefamily.co), XAnge Private Equity(www.xange.fr)</t>
  </si>
  <si>
    <t>42954-31</t>
  </si>
  <si>
    <t>Agilyx</t>
  </si>
  <si>
    <t>Plas2Fuel</t>
  </si>
  <si>
    <t>Advanced Plasma Power, Rational Energies, Renmatix, InEnTec</t>
  </si>
  <si>
    <t>Developer of an alternative energy process intended to convert mixed waste plastics into synthetic crude oil and other petrochemical commodities. The company's process is environmentally and economically sustainable and creates chemical and circular recycling pathways for end of life plastics, enabling clients to be environmentally responsible for plastics and polymers and eliminate plastic waste.</t>
  </si>
  <si>
    <t>Energy Production*, Environmental Services (B2B), Other Energy Services</t>
  </si>
  <si>
    <t>petrochemical product, plastic recycling, plastic waste, recyling, synthetic crude oil</t>
  </si>
  <si>
    <t>www.agilyx.com</t>
  </si>
  <si>
    <t>2014: 46, 2015: 39, 2016: 30</t>
  </si>
  <si>
    <t>59251-69P</t>
  </si>
  <si>
    <t>Ross Patten</t>
  </si>
  <si>
    <t>+1 (503) 217-3160</t>
  </si>
  <si>
    <t>Tigard, OR</t>
  </si>
  <si>
    <t>7904 South West Hunziker Street</t>
  </si>
  <si>
    <t>Tigard</t>
  </si>
  <si>
    <t>97223</t>
  </si>
  <si>
    <t>+1 (503) 217-3161</t>
  </si>
  <si>
    <t>info@agilyx.com</t>
  </si>
  <si>
    <t>The company received $3.05 million of grant funding from Pennsylvania's redevelopment assistance program and Foam Recycling Coalition on November 1, 2017. The funds will be used to convert difficult-to-recycle waste plastics into synthetic crude oil.</t>
  </si>
  <si>
    <t>Chrysalix Venture Capital, Crossroads Liquidating Trust, Drew Bernard, Foam Recycling Coalition, Kleiner Perkins, Pivotal Investments, Point Financial, Reference Capital Management, Saffron Hill Ventures, Starveups, Total Energy Ventures, TriplePoint Capital, Virgin (London), Waste Management</t>
  </si>
  <si>
    <t>Chrysalix Venture Capital(www.chrysalix.com), Crossroads Liquidating Trust(www.xroadscap.com), Foam Recycling Coalition(www.recyclefoam.org), Kleiner Perkins(www.kleinerperkins.com), Pivotal Investments(www.pivotal-investments.com), Point Financial(www.pointfin.com), Reference Capital Management(www.referencecapital.com), Saffron Hill Ventures(www.saffronhill.com), Starveups(www.starveups.com), TriplePoint Capital(www.triplepointcapital.com), Virgin (London)(www.virgin.com), Waste Management(www.wm.com)</t>
  </si>
  <si>
    <t>180one(Advisor: General), Hobbs &amp; Towne(Consulting), World Search Consultancy(Consulting)</t>
  </si>
  <si>
    <t>Hobbs &amp; Towne(Consulting), Point Financial(Debt Financing)</t>
  </si>
  <si>
    <t>12800-35</t>
  </si>
  <si>
    <t>Agillion</t>
  </si>
  <si>
    <t>Provider of customer management services. The company supports in creation of websites.</t>
  </si>
  <si>
    <t>customer management, internet service, website creation</t>
  </si>
  <si>
    <t>+1 (888) 647-7484</t>
  </si>
  <si>
    <t>The company filed for Chapter 11 bankruptcy in 2001. The company is no longer actively tracked by PitchBook.</t>
  </si>
  <si>
    <t>Austin Ventures, Chase Capital Partners, Cisco Investments, Comdisco Ventures, Insight Partners, Integrated Capital, Morgan Stanley Expansion Capital, MSD Capital, The Goldman Sachs Group</t>
  </si>
  <si>
    <t>Austin Ventures(www.austinventures.com), Cisco Investments(www.ciscoinvestments.com), Comdisco Ventures(www.comdisco.com), Insight Partners(www.insightpartners.com), Integrated Capital(www.intcapllc.com), MSD Capital(www.msdcapital.com), The Goldman Sachs Group(www.goldmansachs.com)</t>
  </si>
  <si>
    <t>60962-50</t>
  </si>
  <si>
    <t>Agilience Group</t>
  </si>
  <si>
    <t>AGiLiENCE</t>
  </si>
  <si>
    <t>Provider of products and services for expertise location, smart information management and collaboration. The company also provides enterprise productivity suite and a building-block system that integrates services on a single platform.</t>
  </si>
  <si>
    <t>email, email-based location, expertise location, single platform</t>
  </si>
  <si>
    <t>www.agilience.com</t>
  </si>
  <si>
    <t>58872-88P</t>
  </si>
  <si>
    <t>Olivier Raiman</t>
  </si>
  <si>
    <t>or@agilience.com</t>
  </si>
  <si>
    <t>+49 (0)89 7677 4808</t>
  </si>
  <si>
    <t>Zenettistraße 47 Rgb</t>
  </si>
  <si>
    <t>80337</t>
  </si>
  <si>
    <t>+49 (0)89 7677 4811</t>
  </si>
  <si>
    <t>contact@agilience.com</t>
  </si>
  <si>
    <t>Siemens (venture Arm) sold its stake in the company for an undisclosed amount on an undisclosed date. The company is no longer actively tracked by PitchBook.</t>
  </si>
  <si>
    <t>167788-00</t>
  </si>
  <si>
    <t>Agildata</t>
  </si>
  <si>
    <t>Provider of a database software and services designed to help firms deliver on the promise of big data and complex data infrastructures. The company's software and services offer big data tools based on a cloud platform that combines database with 24×7 remote managed services for DBA/DevOps, enabling firms and organizations to convert the client's data into meaningful insights, accelerate projects and transform IT operations to new technologies.</t>
  </si>
  <si>
    <t>cloud database, database infrastructure, database processing</t>
  </si>
  <si>
    <t>www.agildata.com</t>
  </si>
  <si>
    <t>2014: 10, 2015: 18</t>
  </si>
  <si>
    <t>40091-50P</t>
  </si>
  <si>
    <t>Dan Lynn</t>
  </si>
  <si>
    <t>dan.lynn@agildata.com</t>
  </si>
  <si>
    <t>+1 (303) 625-4084</t>
  </si>
  <si>
    <t>11001 West 120th Avenue</t>
  </si>
  <si>
    <t>info@agildata.com</t>
  </si>
  <si>
    <t>The company raised an undisclosed amount of convertible debt financing from Western Digital Capital on May 1, 2015.</t>
  </si>
  <si>
    <t>Western Digital Capital</t>
  </si>
  <si>
    <t>Western Digital Capital(www.westerndigitalcapital.com)</t>
  </si>
  <si>
    <t>56577-43</t>
  </si>
  <si>
    <t>AgBiome</t>
  </si>
  <si>
    <t>AgInnovation</t>
  </si>
  <si>
    <t>Cibus, Indigo Agriculture, Syngenta, Ginkgo Bioworks, VoloAgri, Agrinos, Benson Hill Biosystems</t>
  </si>
  <si>
    <t>Developer of innovative biological and trait products designed to leverage the plant microbiome for novel agricultural pest services. The company's products include the most diverse and microbial collection for agriculturally relevant applications, coupled to screens for insect, disease and nematode control, enabling farmers to get biological fungicide for disease control in a broad variety of specialty crops and the turf and ornamental markets.</t>
  </si>
  <si>
    <t>Biotechnology*, Other Agriculture</t>
  </si>
  <si>
    <t>agriculture research, biological data, crispr technology, screening technology, trait product</t>
  </si>
  <si>
    <t>www.agbiome.com</t>
  </si>
  <si>
    <t>2013: 10, 2015: 36, 2016: 55, 2017: 87</t>
  </si>
  <si>
    <t>44549-11P</t>
  </si>
  <si>
    <t>Scott Uknes</t>
  </si>
  <si>
    <t>suknes@agbiome.com</t>
  </si>
  <si>
    <t>PO Box 14069</t>
  </si>
  <si>
    <t>Research Triangle Park</t>
  </si>
  <si>
    <t>info@agbiome.com</t>
  </si>
  <si>
    <t>The company raised $65 million of Series C venture funding from Monsanto Growth Ventures, Pontifax Agtech and Polaris Partners on July 17, 2018. ARCH Venture Partners, Innotech Advisers, University of Texas Investment Management Company, Fidelity Management &amp; Research and Leaps by Bayer also participated in the round. The company plans to use the funds to bring its crop protection products and solutions to the market.</t>
  </si>
  <si>
    <t>180 Degree Capital, ARCH Venture Partners, Bill &amp; Melinda Gates Foundation, Fidelity Management &amp; Research, Innotech Advisers, Leaps by Bayer, Monsanto Growth Ventures, Novozymes, Polaris Partners, Pontifax Agtech, Syngenta Ventures, University of Texas Investment Management Company</t>
  </si>
  <si>
    <t>180 Degree Capital(www.180degreecapital.com), ARCH Venture Partners(www.archventure.com), Bill &amp; Melinda Gates Foundation(www.gatesfoundation.org), Leaps by Bayer(leaps.bayer.com), Novozymes(www.novozymes.com), Polaris Partners(www.polarispartners.com), Pontifax Agtech(www.pontifaxagtech.com), Syngenta Ventures(www.syngentaventures.com), University of Texas Investment Management Company(www.utimco.org)</t>
  </si>
  <si>
    <t>Jenner &amp; Block(Legal Advisor), Smith, Anderson, Blount, Dorsett, Mitchell &amp; Jernigan(Legal Advisor)</t>
  </si>
  <si>
    <t>Jenner &amp; Block(Legal Advisor), Smith, Anderson, Blount, Dorsett, Mitchell &amp; Jernigan(Legal Advisor), The Goldman Sachs Group(Advisor: General), Wyrick Robbins Yates &amp; Ponton(Legal Advisor)</t>
  </si>
  <si>
    <t>54122-14</t>
  </si>
  <si>
    <t>After School</t>
  </si>
  <si>
    <t>whatis1</t>
  </si>
  <si>
    <t>Uolo, SayerApp, Seesaw Decisions, Whisper, Bakfy</t>
  </si>
  <si>
    <t>Developer of mobile application intended to offer fun and creative online and offline experiences for America's teens. The company's mobile application notifies when people around, share similar interests as well as helps high school student to safely and privately share text based posts with students within their schools, enabling users to connect with each other in hassle free way.</t>
  </si>
  <si>
    <t>Application Software*, Information Services (B2C), Social Content</t>
  </si>
  <si>
    <t>message sharing, mobile application, online community, social interaction, social networking application</t>
  </si>
  <si>
    <t>www.afterschoolapp.com</t>
  </si>
  <si>
    <t>40669-57P</t>
  </si>
  <si>
    <t>Michael Callahan</t>
  </si>
  <si>
    <t>michael@whatis1.com</t>
  </si>
  <si>
    <t>PO Box 7775</t>
  </si>
  <si>
    <t>Suite 34501</t>
  </si>
  <si>
    <t>The company raised $16.4 million of Series A venture funding in a deal led by Accomplice VC on February 3, 2016. Tikhon Bernstam, UpHonest Capital, Rocketship.vc, Naval Ravikant, Cowboy Ventures, Samsung NEXT Ventures, Mark VC, Lee Linen and HitForge also participated in the round. The company will use the funding to continue to expand operations and release new programs and features.</t>
  </si>
  <si>
    <t>Accomplice VC, Camp One Ventures, Charles River Ventures, Cowboy Ventures, David Lee, E-Merge, Gary Vaynerchuk, General Catalyst, H&amp;Q Asia Pacific, HitForge, Kae Capital, Keith Rabois, Khosla Ventures, Kima Ventures, Lee Linden, Marc Randolph, Mark VC, Michael Dearing, Naval Ravikant, Rocketship, Samsung NEXT Ventures, Soma Capital, SV Angel, Tikhon Bernstam, True Ventures, UpHonest Capital</t>
  </si>
  <si>
    <t>Accomplice VC(www.accomplice.co), Camp One Ventures(www.camponeventures.com), Charles River Ventures(www.crv.com), Cowboy Ventures(www.cowboy.vc), David Lee(www.daslee.me), E-Merge(www.emerge.be), Gary Vaynerchuk(www.garyvaynerchuk.com), General Catalyst(www.generalcatalyst.com), H&amp;Q Asia Pacific(www.hqap.com), HitForge(www.hitforge.com), Kae Capital(www.kae-capital.com), Khosla Ventures(www.khoslaventures.com), Kima Ventures(www.kimaventures.com), Marc Randolph(www.marcrandolph.com), Mark VC(www.markvc.com), Rocketship(www.rocketship.vc), Samsung NEXT Ventures(www.samsungnext.com), Soma Capital(somacap.com), SV Angel(www.svangel.com), True Ventures(www.trueventures.com), UpHonest Capital(www.uphonestcapital.com)</t>
  </si>
  <si>
    <t>100830-61</t>
  </si>
  <si>
    <t>Afineur</t>
  </si>
  <si>
    <t>Producer of sustainable food products using microbiomes intended to naturally improve the quality of plant-based foods The company selects and teams-up microbes to transform fermentation into a process that is controllable and can be tailored to naturally improve specific characteristics of a food product, enabling production better food products economically and sustainable by unlocking the full value of plant-based foods.</t>
  </si>
  <si>
    <t>Beverages*, Biotechnology</t>
  </si>
  <si>
    <t>Life Sciences, LOHAS &amp; Wellness</t>
  </si>
  <si>
    <t>food nutrition, microbiome, natural fermentation, naturally fermented food, naturally produced coffee, naturally produced food, superfoods, sustainable food product</t>
  </si>
  <si>
    <t>www.afineur.com</t>
  </si>
  <si>
    <t>134176-69P</t>
  </si>
  <si>
    <t>Sophie Deterre</t>
  </si>
  <si>
    <t>sophie@afineur.com</t>
  </si>
  <si>
    <t>47 Bergen Street</t>
  </si>
  <si>
    <t>hello@afineur.com</t>
  </si>
  <si>
    <t>The company joined Techstars as part of the First Class which was in partnership with ZX Ventures of AB InBev and received $120,000 in funding.</t>
  </si>
  <si>
    <t>SOSV, Techstars, ZX Ventures</t>
  </si>
  <si>
    <t>SOSV(www.sosv.com), Techstars(www.techstars.com), ZX Ventures(www.zx-ventures.com)</t>
  </si>
  <si>
    <t>52500-34</t>
  </si>
  <si>
    <t>Affectiva</t>
  </si>
  <si>
    <t>EmotionReader, Cogito (Emotional Intelligence Software), Kairos (Face Recognition Software), Talkwalker, Realeyes, Crimson Hexagon, nViso, CrowdEmotion, Beyond Verbal Communication, Luminoso, SenseTime, IMotions, Entropik Tech, Yitu, Realface</t>
  </si>
  <si>
    <t>Developer of an emotion-recognition software designed to analyze subtle facial and vocal expressions to identify human emotions. The company's software uses computer vision, machine learning and deep learning methodologies to train algorithms that classify emotions and analyze complex and nuanced human emotions and cognitive states from face and voice, enabling creators of digital experiences to build stronger connections with their users in an engaging, interactive and effective manner.</t>
  </si>
  <si>
    <t>emotional data, emotions analysis, emotions metrics, emotions tracking application, voice recognition api</t>
  </si>
  <si>
    <t>www.affectiva.com</t>
  </si>
  <si>
    <t>2011: 20, 2017: 50, 2019: 45</t>
  </si>
  <si>
    <t>41565-70P</t>
  </si>
  <si>
    <t>Rana el Kaliouby</t>
  </si>
  <si>
    <t>kaliouby@affectiva.com</t>
  </si>
  <si>
    <t>294 Washington Street</t>
  </si>
  <si>
    <t>info@affectiva.com</t>
  </si>
  <si>
    <t>The company raised $26 million of Series B venture funding in a deal led by Aptiv on April 11, 2019, putting the company's pre-money valuation at $90 million. CAC Holdings, Trend Forward Capital and Motley Fool Ventures also participated in the round. The funds will be used to advance the company's emotion and object detection AI for monitoring vehicle passengers.</t>
  </si>
  <si>
    <t>Andrew Palmer, Aptiv, B&amp;Y Venture Partners, Bandai Namco Entertainment, CAC Holdings, E14 Fund Management, Fenox Venture Capital, Horizons Ventures, Individual Investor, Kantar Media, Kleiner Perkins, Koa Labs, Motley Fool Ventures, Myrian Capital, National Science Foundation, Sega Sammy Holdings, Startup Autobahn, Stex25, Trend Forward Capital, WPP Ventures</t>
  </si>
  <si>
    <t>Aptiv(www.aptiv.com), B&amp;Y Venture Partners(www.byvp.com), CAC Holdings(www.cac-holdings.com), E14 Fund Management(www.e14fund.com), Fenox Venture Capital(www.fenoxvc.com), Horizons Ventures(www.horizonsventures.com), Kantar Media(www.kantarmedia.com), Kleiner Perkins(www.kleinerperkins.com), Koa Labs(www.koalab.com), Motley Fool Ventures(www.foolventures.com), Myrian Capital(www.myriancapital.com), National Science Foundation(seedfund.nsf.gov), Sega Sammy Holdings(www.segasammy.co.jp), Startup Autobahn(www.startup-autobahn.com), Stex25(startupexchange.mit.edu), Trend Forward Capital(www.trendforward.com)</t>
  </si>
  <si>
    <t>Gunderson Dettmer(Legal Advisor), MIT Venture Mentoring Service(Consulting), True Capital Partners(Advisor: General)</t>
  </si>
  <si>
    <t>Foley &amp; Lardner(Legal Advisor), GCA Advisors(Advisor: General), Gunderson Dettmer(Legal Advisor), True Capital Partners(Advisor: General)</t>
  </si>
  <si>
    <t>157320-46</t>
  </si>
  <si>
    <t>Afero</t>
  </si>
  <si>
    <t>Ayla Networks, Particle, ForgeRock, Kii, Plat.One, FogHorn, Relayr, ThingWorx, Litmus Automation</t>
  </si>
  <si>
    <t>Developer of a secure platform designed to connect cloud-based devices in any industry. The company's secure platform offers a turnkey architecture that incorporates a secure bluetooth smart module, scalable cloud services and a range of development tools that helps companies and developers to quickly prototype and build connected devices and gather meaningful analytics, enabling entrepreneurs and companies to improve the way people communicate with each other and everything around them.</t>
  </si>
  <si>
    <t>bluetooth module, cloud services, internet of things, meaningful analytics</t>
  </si>
  <si>
    <t>www.afero.io</t>
  </si>
  <si>
    <t>2016: 42</t>
  </si>
  <si>
    <t>45509-50P</t>
  </si>
  <si>
    <t>Joe Britt</t>
  </si>
  <si>
    <t>britt@afero.io</t>
  </si>
  <si>
    <t>+1 (650) 899-0092</t>
  </si>
  <si>
    <t>4970 West El Camino Real</t>
  </si>
  <si>
    <t>info@afero.io</t>
  </si>
  <si>
    <t>The company raised $20.3 million of Series A venture funding in a deal led by Samsung Catalyst on May 18, 2016, putting the company's pre-money valuation at $121 million. SoftBank Capital, Fenox Venture Capital, Visionnaire Ventures, Presidio Ventures, Mistletoe, Sanshin Electronics, Robert Dobkin and Assembly Partners also participated in the round. Previously, the company raised $1.3 million of seed funding from Intuitive Private Equity and other undisclosed investors on November 12, 2015, putting the company's pre-money valuation at $125 million.</t>
  </si>
  <si>
    <t>Assembly Partners, Fenox Venture Capital, Intuitive Private Equity, Mistletoe, Presidio Ventures, Robert Dobkin, Samsung Catalyst, Sanshin Electronics, SoftBank Capital, Visionnaire Ventures</t>
  </si>
  <si>
    <t>Assembly Partners(www.assemblyllc.com), Fenox Venture Capital(www.fenoxvc.com), Intuitive Private Equity(www.intuitivepe.com), Mistletoe(www.mistletoe.co), Presidio Ventures(www.presidio-ventures.com), Samsung Catalyst(www.samsungcatalyst.com), Sanshin Electronics(www.sanshin.co.jp), SoftBank Capital(www.softbankvc.com), Visionnaire Ventures(www.visionnaire.vc)</t>
  </si>
  <si>
    <t>168182-38</t>
  </si>
  <si>
    <t>AEye</t>
  </si>
  <si>
    <t>US LADAR</t>
  </si>
  <si>
    <t>Blackmore, Ouster, Princeton Lightwave, TetraVue, Oryx Vision, Velodyne LiDAR</t>
  </si>
  <si>
    <t>Developer and manufacturer of light detection and ranging vision systems for autonomous vehicles. The company's robotic vision systems leverage computer vision and solid state MEMS-based LiDAR together with compressive sensing algorithms and deep learning software, enabling vehicle owners to ensure safety for autonomous vehicles.</t>
  </si>
  <si>
    <t>Electrical Equipment*, Electronic Equipment and Instruments</t>
  </si>
  <si>
    <t>Artificial Intelligence &amp; Machine Learning, Autonomous cars, Manufacturing</t>
  </si>
  <si>
    <t>3d mapping, advances vision hardware, autonomous drives, lidar system, sensor fusion, sensor system, vision hardware</t>
  </si>
  <si>
    <t>www.aeye.ai</t>
  </si>
  <si>
    <t>149995-27P</t>
  </si>
  <si>
    <t>Ransom Wuller</t>
  </si>
  <si>
    <t>Co-Founder, Board Member &amp; Chief Financial Officer</t>
  </si>
  <si>
    <t>rwuller@aeye.ai</t>
  </si>
  <si>
    <t>+1 (925) 400-4366</t>
  </si>
  <si>
    <t>5700 Stoneridge Drive</t>
  </si>
  <si>
    <t>info@aeye.ai</t>
  </si>
  <si>
    <t>The company raised an undisclosed amount of venture funding from Pegasus Tech Ventures on May 14, 2019. Previously, the company raised $40.15 million of Series B venture funding in a deal led by Taiwania Capital Management on January 2, 2019, putting the company's pre-money valuation at $180 million. Hella Ventures, Subaru, LG Electronics, SK Hynix, Airbus Ventures, Intel Capital, Tyche Partners and Kleiner Perkins also participated in the round. The funds will be used by the company to scale its operations internationally via manufacturing partnerships.</t>
  </si>
  <si>
    <t>Airbus Ventures, ATP Fund, Band of Angels, BootstrapLabs, Hella Ventures, Intel Capital, Kleiner Perkins, LG Electronics, Pegasus Tech Ventures, R7 Partners, SK Hynix, Subaru, Taiwania Capital Management, Tri-Valley Ventures, Trucks Venture Capital, Tyche Partners</t>
  </si>
  <si>
    <t>Airbus Ventures(www.airbusventures.vc), ATP Fund(www.atpfund.com), Band of Angels(www.bandangels.com), BootstrapLabs(www.bootstraplabs.com), Hella Ventures(www.hellaventures.com), Intel Capital(www.intelcapital.com), Kleiner Perkins(www.kleinerperkins.com), R7 Partners(www.r7partners.com), SK Hynix(www.skhynix.com), Subaru(www.subaru-global.com), Taiwania Capital Management(www.taiwaniacapital.com), Tri-Valley Ventures(www.trivalleyventures.com), Trucks Venture Capital(www.trucks.vc), Tyche Partners(www.tychepartners.com)</t>
  </si>
  <si>
    <t>54824-59</t>
  </si>
  <si>
    <t>AET Company</t>
  </si>
  <si>
    <t>AnyEquip</t>
  </si>
  <si>
    <t>Provider of services related to semiconductor equipment and fabrication. The company provides services regarding dismantlement, modification and installation of equipments and supplies equipments, parts and sub modules for mass production. It also provides appropriate software and systems for improved integration environment.</t>
  </si>
  <si>
    <t>semiconductor equipment, semiconductor fabrication, semiconductor services</t>
  </si>
  <si>
    <t>www.ae-tech.net</t>
  </si>
  <si>
    <t>117779-59P</t>
  </si>
  <si>
    <t>John Choi</t>
  </si>
  <si>
    <t>john.choi@ae-tech.net</t>
  </si>
  <si>
    <t>+82 (0)51 329 3500</t>
  </si>
  <si>
    <t>YongIn-Si, South Korea</t>
  </si>
  <si>
    <t>280-4, JuBuk-Ri, YangJi-Myeon</t>
  </si>
  <si>
    <t>CheoIn-Gu</t>
  </si>
  <si>
    <t>YongIn-Si</t>
  </si>
  <si>
    <t>GyeongGi-Do</t>
  </si>
  <si>
    <t>449-822</t>
  </si>
  <si>
    <t>+82 (0)31 321 9200</t>
  </si>
  <si>
    <t>aetech@ae-tech.net</t>
  </si>
  <si>
    <t>The company raised an undisclosed amount of venture funding from Samsung Venture Investments.</t>
  </si>
  <si>
    <t>55803-43</t>
  </si>
  <si>
    <t>Adverity</t>
  </si>
  <si>
    <t>Adspired Technologies, pMediaNetwork, Ciuvo</t>
  </si>
  <si>
    <t>Penetrace, Birst, GoodData, Datameer, InsightSquared, Clarabridge, Domo, AgilOne, Noodle.ai, Geckoboard, InetSoft, OnCorps, TapClicks, Wise.io, Dundas Data Visualization, Klipfolio, Dasheroo, Qlik Technologies, Sentenai, Grow (Business/Productivity Software), Logi Analytics, Soley, Kyvos Insights, Zoomdata, Numetric, Izenda, RJMetrics, Sisense, Yellowfin, AtScale, Arcadia Data, MicroStrategy, Datoin, Looker, Exago</t>
  </si>
  <si>
    <t>Provider of an online marketing platform designed to manage client campaigns seamlessly across all channels. The company's platform collects and normalises all data from marketing or media tools, databases, spreadsheets and partner ecosystem by using a web based marketing intelligence and advanced analytics that analyses information on a granular level, enabling clients to have better decision making and an improved marketing performance.</t>
  </si>
  <si>
    <t>advertising platform, e-marketing platform, marketing analytics, marketing service provider, online advertising, web based marketing</t>
  </si>
  <si>
    <t>www.adverity.com</t>
  </si>
  <si>
    <t>45241-48P</t>
  </si>
  <si>
    <t>Andreas Glanzer</t>
  </si>
  <si>
    <t>Co-Founder &amp; Chief Sales Officer</t>
  </si>
  <si>
    <t>andreas@adverity.com</t>
  </si>
  <si>
    <t>+43 (0)1 890 3155</t>
  </si>
  <si>
    <t>Mariahilfer Straße 41-43/Top B6</t>
  </si>
  <si>
    <t>1060</t>
  </si>
  <si>
    <t>hello@adverity.com</t>
  </si>
  <si>
    <t>The company raised $12.4 million of Series B venture funding in a deal led by Felix Capital on April 18, 2019. Sapphire Ventures, aws Gründerfonds and SAP.iO Foundry also participated in the round. The funds will be used to expand into the US market.</t>
  </si>
  <si>
    <t>42CAP, aws Gründerfonds, Felix Capital, i5invest, Mangrove Capital Partners, SAP.iO Foundry, Sapphire Ventures, Speedinvest</t>
  </si>
  <si>
    <t>42CAP(www.42cap.com), aws Gründerfonds(www.gruenderfonds.at), Felix Capital(www.felixcap.com), i5invest(www.i5invest.com), Mangrove Capital Partners(www.mangrove.vc), SAP.iO Foundry(sap.io), Sapphire Ventures(www.sapphireventures.com), Speedinvest(www.speedinvest.com)</t>
  </si>
  <si>
    <t>11371-87</t>
  </si>
  <si>
    <t>AdvantEdge Healthcare Solutions</t>
  </si>
  <si>
    <t>AdvantEdge Healthcare, AdvantEdge</t>
  </si>
  <si>
    <t>AGS Health, Physician Billing Partners, M-Scribe Technologies, Access Healthcare, Nuesoft Technologies, Medusind Solutions, NextServices, TMG Health, Episource, Etransmedia Technology, Change Healthcare, APS, Zotec Partners</t>
  </si>
  <si>
    <t>Provider of revenue cycle management and practice management services. The company offers medical claims transaction processing services through its proprietary web-based practice management system to physicians and third-party physician billing companies.</t>
  </si>
  <si>
    <t>Practice Management (Healthcare)</t>
  </si>
  <si>
    <t>Other Healthcare Services, Practice Management (Healthcare)*</t>
  </si>
  <si>
    <t>medical billing technology, revenue cycle management</t>
  </si>
  <si>
    <t>www.ahsrcm.com</t>
  </si>
  <si>
    <t>2013: 675, 2014: 177, 2015: 625, 2016: 501, 2018: 800</t>
  </si>
  <si>
    <t>134234-29P</t>
  </si>
  <si>
    <t>Terence Halloran</t>
  </si>
  <si>
    <t>Chief Financial and Administrative Officer</t>
  </si>
  <si>
    <t>thalloran@ahsrcm.com</t>
  </si>
  <si>
    <t>+1 (908) 279-8111</t>
  </si>
  <si>
    <t>Warren, NJ</t>
  </si>
  <si>
    <t>30 Technology Drive</t>
  </si>
  <si>
    <t>Warren</t>
  </si>
  <si>
    <t>07059</t>
  </si>
  <si>
    <t>+1 (908) 791-3330</t>
  </si>
  <si>
    <t>info@ahsrcm.com</t>
  </si>
  <si>
    <t>The company was acquired by Founders Equity and Headway Capital Partners through an LBO on July 26, 2019 for an undisclosed sum.</t>
  </si>
  <si>
    <t>Founders Equity, Headway Capital Partners</t>
  </si>
  <si>
    <t>ORIX Growth Capital, Safeguard Scientifics</t>
  </si>
  <si>
    <t>Founders Equity(www.fequity.com), Headway Capital Partners(www.headwaycap.com)</t>
  </si>
  <si>
    <t>Safeguard Scientifics(www.safeguard.com)</t>
  </si>
  <si>
    <t>Duff &amp; Phelps(Advisor: General)</t>
  </si>
  <si>
    <t>ORIX Growth Capital(Debt Financing)</t>
  </si>
  <si>
    <t>11072-53</t>
  </si>
  <si>
    <t>Advanced Power</t>
  </si>
  <si>
    <t>Developer and manager of power generation projects. The company in engaged in developing, acquiring and managing power generation and related infrastructure projects throughout Europe and North America.</t>
  </si>
  <si>
    <t>Industrials, Infrastructure</t>
  </si>
  <si>
    <t>electricity generation, power generation, power generation plant, power generation project, power plant</t>
  </si>
  <si>
    <t>www.advancedpower.ch</t>
  </si>
  <si>
    <t>2014: 37, 2015: 31</t>
  </si>
  <si>
    <t>39517-93P</t>
  </si>
  <si>
    <t>Martin Giesen</t>
  </si>
  <si>
    <t>mgiesen@advancedpower.ch</t>
  </si>
  <si>
    <t>+41 (0)41 588 0094</t>
  </si>
  <si>
    <t>Baarer Street 78</t>
  </si>
  <si>
    <t>info@advancedpower.ch</t>
  </si>
  <si>
    <t>The company received $1.3 billion of debt financing in the form of a senior debt from Crédit Agricole Corporate and Investment Bank, CIT Group, GE Energy Financial Services, NH Investment &amp; Securities Company and ten other commercial banks on August 30, 2018.</t>
  </si>
  <si>
    <t>Chubu Electric Power, Next47, Prudential Capital Group, TIAA-CREF Asset Management</t>
  </si>
  <si>
    <t>3i Group</t>
  </si>
  <si>
    <t>Chubu Electric Power(www.chuden.co.jp), Next47(Next47.com), Prudential Capital Group(www.prudentialcapitalgroup.com), TIAA-CREF Asset Management(www.tiaa.org/public/assetmanagement)</t>
  </si>
  <si>
    <t>3i Group(www.3i.com)</t>
  </si>
  <si>
    <t>BNP Paribas(Debt Financing), CIT Group(Debt Financing), Corbett Keeling(Advisor: General), Credit Agricole(Debt Financing), Crédit Agricole Corporate &amp; Investment Bank(Debt Financing), GE Energy Financial Services(Debt Financing), Lenz &amp; Staehelin(Legal Advisor), Simmons &amp; Simmons(Legal Advisor), Whitehall &amp; Company(Advisor: General), Woori Investment &amp; Securities Company(Debt Financing)</t>
  </si>
  <si>
    <t>64846-45</t>
  </si>
  <si>
    <t>Advanced Microgrid Solutions</t>
  </si>
  <si>
    <t>AMS</t>
  </si>
  <si>
    <t>Younicos, Green Charge Networks, Sunverge, EnerVault, Stem, Primus Power, CODA Energy, Ecoult, JLM Energy, Greensmith Energy, Rhombus Energy Solutions, Verdigris, Aquion Energy, Geli, Powin Energy</t>
  </si>
  <si>
    <t>Developer of energy storage systems designed to make energy cleaner, more affordable and more reliable. The company's energy storage systems uses advanced energy storage, load control technologies and data analytics to design, build and operate customized fleets of energy storage, enabling commercial and industrial users and utilities to to lower energy costs and provide clean energy.</t>
  </si>
  <si>
    <t>Alternative Energy Equipment, Energy Storage*, Environmental Services (B2B)</t>
  </si>
  <si>
    <t>CleanTech, Impact Investing, Industrials, LOHAS &amp; Wellness, TMT</t>
  </si>
  <si>
    <t>clean energy, clean technology, energy storage system, energy systems, impact investing vertical</t>
  </si>
  <si>
    <t>www.advmicrogrid.com</t>
  </si>
  <si>
    <t>2015: 12</t>
  </si>
  <si>
    <t>72388-63P</t>
  </si>
  <si>
    <t>Susan Kennedy</t>
  </si>
  <si>
    <t>susank@advmicrogrid.com</t>
  </si>
  <si>
    <t>+1 (415) 638-6146</t>
  </si>
  <si>
    <t>25 Stillman Street</t>
  </si>
  <si>
    <t>info@advmicrogrid.com</t>
  </si>
  <si>
    <t>The company raised over $34 million of Series B venture funding in a deal led by Energy Impact Partners, Southern Company (NYSE: SO) and DBL Partners on July 10, 2017, putting the pre-money valuation at $54.3 million. Cthulhu Ventures, GE Ventures, The Australian Gas Light Company, Arnold Schwarzenegger and Macquarie Group also participated in this round. The company plans to use the new funding to expand its platform services to new markets. The round brings total funding to $52 million to date. Previously, the company raised $200 million of venture funding from Macquarie Group on July 11, 2016.</t>
  </si>
  <si>
    <t>Arnold Schwarzenegger, Cthulhu Ventures, DBL Partners, Energy Impact Partners, ENGIE New Ventures, GE Ventures, Macquarie Group, Southern Company, The Australian Gas Light Company, U.S. Department of Energy</t>
  </si>
  <si>
    <t>Cthulhu Ventures(www.cthulhuventures.com), DBL Partners(www.dblpartners.vc), Energy Impact Partners(www.energyimpactpartners.com), ENGIE New Ventures(www.engieventures.com), GE Ventures(www.geventures.com), Macquarie Group(www.macquarie.com), Southern Company(www.southerncompany.com), The Australian Gas Light Company(www.agl.com.au), U.S. Department of Energy(www.energy.gov)</t>
  </si>
  <si>
    <t>NorthBridge Energy Partners(Consulting)</t>
  </si>
  <si>
    <t>60577-93</t>
  </si>
  <si>
    <t>Advanced Micro-Fabrication Equipment</t>
  </si>
  <si>
    <t>AMEC</t>
  </si>
  <si>
    <t>Siemens India Ltd, Veeco</t>
  </si>
  <si>
    <t>Developer of a micro-fabrication equipment designed for use in semiconductor fabrication plants. The company's equipment offers plasma etching, chemical vapor deposition technology, and tiny nano-scale devices that provide intelligence and memory for the inventive products that improve the lives of the people and sustain the earth, enabling clients to bring economic efficiency and offer advanced technologies to their customers.</t>
  </si>
  <si>
    <t>Electrical Equipment*, Other Semiconductors</t>
  </si>
  <si>
    <t>Industrials, Nanotechnology, TMT</t>
  </si>
  <si>
    <t>chemicals vapor deposition technology, inventive product, micro-fabrication equipment, semiconductor equipment, semiconductor fabrication</t>
  </si>
  <si>
    <t>www.amec-inc.com</t>
  </si>
  <si>
    <t>2014: 15896</t>
  </si>
  <si>
    <t>58443-85P</t>
  </si>
  <si>
    <t>Andrew Chen</t>
  </si>
  <si>
    <t>+86 (0)121 6100 1199</t>
  </si>
  <si>
    <t>188 Taihua Road</t>
  </si>
  <si>
    <t>Jinqiao Export Processing Zone (South Area), 5001 Huadong Road, Pudong</t>
  </si>
  <si>
    <t>201201</t>
  </si>
  <si>
    <t>InterWest Partners and Global Catalyst Partners sold their stake in the company to an undisclosed buyer.</t>
  </si>
  <si>
    <t>Bay Partners, KT Venture Group, Lightspeed Venture Partners, Qualcomm Ventures, Redpoint Ventures, Samsung Venture Investment, Shanghai Free Trade Zone Equity Fund, Shanghai Pudong Science and Technology Investment Company, Shanghai Venture Capital, Shenzhen Capital Group, Sino IC Capital, The Goldman Sachs Group, Venture Capital Fund of America, Walden International</t>
  </si>
  <si>
    <t>Global Catalyst Partners, InterWest Partners</t>
  </si>
  <si>
    <t>Bay Partners(www.baypartners.com), KT Venture Group(www.ktventuregroup.com), Lightspeed Venture Partners(www.lsvp.com), Qualcomm Ventures(www.qualcommventures.com), Redpoint Ventures(www.redpoint.com), Samsung Venture Investment(www.samsungventures.com), Shanghai Free Trade Zone Equity Fund(www.ftzfund.com.cn), Shanghai Pudong Science and Technology Investment Company(www.pdsti.com), Shanghai Venture Capital(www.shvc.com.cn), Shenzhen Capital Group(www.szvc.com.cn), The Goldman Sachs Group(www.goldmansachs.com), Venture Capital Fund of America(www.vcfa.com), Walden International(www.waldenintl.com)</t>
  </si>
  <si>
    <t>Global Catalyst Partners(www.gc-partners.com), InterWest Partners(www.interwest.com)</t>
  </si>
  <si>
    <t>Berwin Leighton Paisner(Legal Advisor), Morrison &amp; Foerster(Legal Advisor)</t>
  </si>
  <si>
    <t>Galileo Global Securities(Advisor: General), O'Melveny &amp; Myers(Legal Advisor)</t>
  </si>
  <si>
    <t>58302-82</t>
  </si>
  <si>
    <t>AdTheorent</t>
  </si>
  <si>
    <t>Simple Audience, adTheorem</t>
  </si>
  <si>
    <t>Dstillery, Kiip, AppNexus, Clavis Insight, Adello, Apsalar, Receptiv, Genesis Media, SweetIQ, Centro, NinthDecimal, AppLift, DataXu, AppsFlyer, UberMedia, Smaato, Turn, MaxPoint Interactive, Swirl, Rocket Fuel, MediaMath, Quantcast, Mobilewalla, Yext, Exponential Interactive, SpotX, Freckle IoT, Sense360, adjust, Simpli.fi, Criteo, ConvertMedia, GroundTruth, Uberall, Ogury, Choozle, ThinkNear, Aki (Application Software), Near (Singapore), SITO Mobile, TUNE, PlaceIQ, Vistar Media, Gravy Analytics, Moasis Global, Synup, Gimbal, Blis Media, Altitude Digital, Tapad, RadiumOne, Mobivity Holdings, Cardlytics, Kochava, Localytics, RetailNext, Nielsen Marketing Cloud, SessionM, TubeMogul, Factual, Placed</t>
  </si>
  <si>
    <t>Operator of a Real Time Bidding (RTB) enabled mobile advertising network that uses predictive targeting to drive engagement and ROI for advertisers. The company's predictive technology platform utilizes Big Data, adaptive models, and device and environment mapping to identify the audiences that are most likely to engage with a given digital advertisement and then deliver only those intelligent impressions. It has commercialized Barometric, a SaaS offering which leverages proprietary cross-channel tracking and attribution technology to help brands identify consumers and track performance of media across all environments, including desktop, mobile, TV, radio, and in-home.</t>
  </si>
  <si>
    <t>AdTech, Artificial Intelligence &amp; Machine Learning, Big Data, EdTech, SaaS, TMT</t>
  </si>
  <si>
    <t>advertising impression, digital advertising, intelligent impression platform, machine learning platform, real-time-bidding platform</t>
  </si>
  <si>
    <t>www.adtheorent.com</t>
  </si>
  <si>
    <t>2013: 108, 2014: 108, 2016: 112</t>
  </si>
  <si>
    <t>156976-84P</t>
  </si>
  <si>
    <t>Patrick Albano</t>
  </si>
  <si>
    <t>patrick@adtheorent.com</t>
  </si>
  <si>
    <t>+1 (646) 676-4767</t>
  </si>
  <si>
    <t>330 Hudson Street</t>
  </si>
  <si>
    <t>info@adtheorent.com</t>
  </si>
  <si>
    <t>The company received an undisclosed amount of development capital from H.I.G. Capital on December 22, 2016. Monroe Capital provided senior debt financing to support the acquisition. The company used the proceeds to continue to build and grow operations and its technology solutions.</t>
  </si>
  <si>
    <t>H.I.G. Capital, H.I.G. Growth Partners, Mogility Capital, OmniCapital Group, Verizon Ventures</t>
  </si>
  <si>
    <t>H.I.G. Capital(www.higcapital.com), H.I.G. Growth Partners(www.higgrowth.com), Mogility Capital(www.mogilitycapital.com), OmniCapital Group(www.omnivc.com), Verizon Ventures(www.verizonventures.com)</t>
  </si>
  <si>
    <t>Bowdoin Group(Consulting), Engro Partners(Advisor: General)</t>
  </si>
  <si>
    <t>Bulger Partners(Advisor: General), Monroe Capital(Debt Financing)</t>
  </si>
  <si>
    <t>56133-10</t>
  </si>
  <si>
    <t>AdStage</t>
  </si>
  <si>
    <t>AdHawk, AdRoll, Shareablee, TrackMaven, WordStream, Acquisio, Sparkcentral, StackAdapt, Brand Embassy, Nanigans, Tubular (Video Intelligence Platform), Marin Software, Sprinklr, Nativo, StitcherAds, inPowered, Adspert, Hootsuite, Criteo, Direct Labs Technology Communication &amp; Marketing, Sprout Social, Simply Measured, Facelift Cloud, Sharethrough, quintly, AdEspresso, Socialbakers, Kenshoo, Spredfast, TapClicks, Main Street Hub, Polar (Content Technology), Virool, Ampush Media, Kuhcoon, SocialMedia Networks, TripleLift, CompanionLabs</t>
  </si>
  <si>
    <t>Provider of a closed-loop reporting and automation platform designed to know return on ad spend. The company's reporting and automation platform is a self-serve cross-network online advertising platform which helps to create and manage campaigns across networks as well as automate the workflow, enabling enterprises to measure the performance of Ads, gain full insight into their campaign performance and streamline campaign optimization.</t>
  </si>
  <si>
    <t>advertising data analytics, advertising data analytics platform, advertising software, campaign optimization, campaign performance analysis, closed-loop reporting, paid marketing measurement</t>
  </si>
  <si>
    <t>www.adstage.io</t>
  </si>
  <si>
    <t>2013: 10, 2014: 17, 2015: 20, 2016: 33</t>
  </si>
  <si>
    <t>46850-59P</t>
  </si>
  <si>
    <t>Sahil Jain</t>
  </si>
  <si>
    <t>sahil@adstage.io</t>
  </si>
  <si>
    <t>+1 (415) 212-9162</t>
  </si>
  <si>
    <t>461 Bush Street</t>
  </si>
  <si>
    <t>The company raised $3 million of venture funding in a deal led by Forté Ventures, HubSpot, and Verizon Ventures on March 22, 2018. Other undisclosed investors also participated in the round. The company intends to use the funds to further develop their core products to meet the growing demand for paid marketing measurement and analytics technology. Bonfire Ventures also participated in it.</t>
  </si>
  <si>
    <t>500 Startups, Bonfire Ventures, David Sacks, DG Incubation, Digital Garage, Double M Partners, Evolution VC Partners, Forté Ventures, Freestyle Capital, HubSpot, James Patterson, Jason Calacanis, Josh Felser, Launch fund, Mark Mullen, Newbury Ventures, Owen Van Natta, Paul Singh, Quest Venture Partners, Reinmkr, Rich LeFurgy, Rising Tide Fund, Roham Gharegozlou, Stewart Alsop, Verizon Communications, Verizon Ventures, XG Ventures</t>
  </si>
  <si>
    <t>500 Startups(www.500.co), Bonfire Ventures(www.bonfirevc.com), DG Incubation(www.dgincubation.co.jp), Digital Garage(www.garage.co.jp), Double M Partners(www.doublempartners.com), Evolution VC Partners(www.evolutionadvisorsllc.com), Forté Ventures(www.forteventures.com), Freestyle Capital(www.freestyle.vc), HubSpot(www.hubspot.com), Jason Calacanis(www.calacanis.com), Launch fund(www.launch.co), Newbury Ventures(www.newburyven.com), Quest Venture Partners(www.questvp.com), Reinmkr(www.reinmkr.com), Rising Tide Fund(www.rtf.vc), Verizon Ventures(www.verizonventures.com), XG Ventures(www.xg-ventures.com)</t>
  </si>
  <si>
    <t>Archer Advisors(Consulting), Gunderson Dettmer(Legal Advisor)</t>
  </si>
  <si>
    <t>Gunderson Dettmer(Legal Advisor), Silicon Valley Bank(Debt Financing)</t>
  </si>
  <si>
    <t>54599-68</t>
  </si>
  <si>
    <t>Adspert</t>
  </si>
  <si>
    <t>Nanigans, AdStage, Shareablee, Sprout Social, Brand Embassy, Nativo, StitcherAds, Hootsuite, AdEspresso</t>
  </si>
  <si>
    <t>Provider of a bid management software designed to get the maximum performance out of every SEM budget. The company's bid management software offers an online marketing and an indispensable tool for digital campaigns by adjusting bids for search terms and placements for national and international companies in the e-commerce industry, providing them with significant increase in performance as well as a sustainable optimization of earnings.</t>
  </si>
  <si>
    <t>Business/Productivity Software*, Financial Software, Media and Information Services (B2B)</t>
  </si>
  <si>
    <t>advertising software, bid management tool, digital campaign, ecommerce industry, it services</t>
  </si>
  <si>
    <t>www.adspert.net</t>
  </si>
  <si>
    <t>2014: 12, 2016: 12</t>
  </si>
  <si>
    <t>41607-55P</t>
  </si>
  <si>
    <t>Marcel Pirlich</t>
  </si>
  <si>
    <t>Chief Executive Officer, Managing Director &amp; Co-Founder</t>
  </si>
  <si>
    <t>marcel.pirlich@adspert.de</t>
  </si>
  <si>
    <t>+49 (0)40 8171 5516</t>
  </si>
  <si>
    <t>Chausseestraße 22</t>
  </si>
  <si>
    <t>+49 (0)40 8171 5555</t>
  </si>
  <si>
    <t>info@adspert.de</t>
  </si>
  <si>
    <t>The company received financing from European Social Fund on an undisclosed date.</t>
  </si>
  <si>
    <t>Bertelsmann Digital Media Investments, European Social Fund, Investitionsbank Berlin, Jan Borgstaedt, K-Invest</t>
  </si>
  <si>
    <t>Bertelsmann Digital Media Investments(www.bdmifund.com), European Social Fund(www.esf.de), Investitionsbank Berlin(www.ibb.de), K-Invest(www.k-invest.de)</t>
  </si>
  <si>
    <t>56465-47</t>
  </si>
  <si>
    <t>Adarza BioSystems</t>
  </si>
  <si>
    <t>Pathologics Associates</t>
  </si>
  <si>
    <t>Affymetrix, MBio Diagnostics, Rheonix, Sorrento Tech, ChipCare, GenapSys</t>
  </si>
  <si>
    <t>Developer of a biological assay platform intended to measure clinical and point-of-care samples. The company's label-free diagnostic platform is capable of simultaneous detection of hundreds of analytes in a single drop of fluid, enabling highly multiplexed protein detection with high sensitivity and specificity.</t>
  </si>
  <si>
    <t>Biotechnology, Diagnostic Equipment*, Laboratory Services (Healthcare)</t>
  </si>
  <si>
    <t>Life Sciences, Manufacturing</t>
  </si>
  <si>
    <t>biological assay, biosensor device, biosensor technology, diagnostic testing, medical diagnostics, protein detection</t>
  </si>
  <si>
    <t>www.adarzabio.com</t>
  </si>
  <si>
    <t>76664-26P</t>
  </si>
  <si>
    <t>Bryan Witherbee</t>
  </si>
  <si>
    <t>bryan_witherbee@adarzabio.com</t>
  </si>
  <si>
    <t>+1 (314) 925-7800</t>
  </si>
  <si>
    <t>2184 Welsch Industrial Court</t>
  </si>
  <si>
    <t>63146</t>
  </si>
  <si>
    <t>info@adarzabio.com</t>
  </si>
  <si>
    <t>The company raised $17 million of Series C venture funding in a round led by RiverVest Venture Partners and Hemisphere Ventures on July 18, 2018, putting the company's pre-money valuation at $13 million. BioGenerator, Lewis &amp; Clark Ventures, Genoa Ventures, 3X5 Partners, Jenny Rooke, CSC UpShot Ventures and Serra Ventures also participated in the round. The funds will be used to further expand production capacity in its St. Peters, MO manufacturing facility and fund final development and commercialization of the company's first immunoassay product consumable and instrument platform.</t>
  </si>
  <si>
    <t>3x5 Partners, Arch Grants, BioGenerator, CSC UpShot Ventures, Cultivation Capital, Excell Partners, Genoa Ventures, Hemisphere Ventures, Holton Capital Group, Individual Investor, Jenny Rooke, Lewis &amp; Clark Ventures, Missouri Technology, National Institutes of Health, Next47, RiverVest Venture Partners, Serra Ventures, St. Louis Arch Angels</t>
  </si>
  <si>
    <t>3x5 Partners(www.3x5partners.com), Arch Grants(www.archgrants.org), BioGenerator(www.biogenerator.org), CSC UpShot Ventures(www.csc-upshot.vc), Cultivation Capital(www.cultivationcapital.com), Excell Partners(www.excellny.com), Genoa Ventures(www.genoavc.com), Hemisphere Ventures(www.hemisphere.com), Holton Capital Group(www.holtoncapital.com), Lewis &amp; Clark Ventures(www.lewisandclarkventures.com), Missouri Technology(www.missouritechnology.com), National Institutes of Health(www.nih.gov), Next47(Next47.com), RiverVest Venture Partners(www.rivervest.com), Serra Ventures(www.serraventures.com), St. Louis Arch Angels(www.stlouisarchangels.com)</t>
  </si>
  <si>
    <t>225914-95</t>
  </si>
  <si>
    <t>Adaptive3D</t>
  </si>
  <si>
    <t>Supplier of premium additive manufacturing polymer resins intended to empower high volume additive manufacturing through optimized materials. The company's polymer resins are of the highest quality, made using pioneering technologies by world-class, talented professionals, enabling clients to deliver unlimited differentiated products and unprecedented part performance through precise internal geometries and economical customized parts.</t>
  </si>
  <si>
    <t>Industrial Supplies and Parts*, Raw Materials (Non-Wood)</t>
  </si>
  <si>
    <t>3d printable materials, additives manufacturing, damping materials, manufacturing polymer resins, photopolymer, polymer supplier, rubber supplier, thermosets</t>
  </si>
  <si>
    <t>www.adaptive3d.com</t>
  </si>
  <si>
    <t>2018: 4</t>
  </si>
  <si>
    <t>179916-49P</t>
  </si>
  <si>
    <t>Walter Voit</t>
  </si>
  <si>
    <t>walter@adaptive3d.com</t>
  </si>
  <si>
    <t>+1 (469) 573-0024</t>
  </si>
  <si>
    <t>17217 Waterview Parkway</t>
  </si>
  <si>
    <t>Suite 1202</t>
  </si>
  <si>
    <t>75252</t>
  </si>
  <si>
    <t>info@adaptive3d.com</t>
  </si>
  <si>
    <t>The company raised an undisclosed amount of Series A venture funding in a deal led by DSM Venturing and Applied Ventures on February 5, 2019. Chemence and Patterson Thoma Family Office also participated in the round.</t>
  </si>
  <si>
    <t>Applied Ventures, Chemence, Defense Advanced Research Projects Agency, DSM Venturing, National Institutes of Health, National Science Foundation, Patterson Thoma Family Office</t>
  </si>
  <si>
    <t>Chemence(www.chemence.com), Defense Advanced Research Projects Agency(www.darpa.mil), National Institutes of Health(www.nih.gov), National Science Foundation(seedfund.nsf.gov), Patterson Thoma Family Office(www.pattersonthomafamilyoffice.com)</t>
  </si>
  <si>
    <t>53308-63</t>
  </si>
  <si>
    <t>Adaptive Insights</t>
  </si>
  <si>
    <t>Adaptive Planning</t>
  </si>
  <si>
    <t>Anaplan, Onestream Software, NetSuite, SAP, Acclivity, Tidemark, Lattice (Business/Productivity Software), Cognos, Klipfolio, Qlik Technologies, Corporate360, Epicor Software, Logic9s, Nathean, CCH Tagetik, Centage, BlackLine, TIBCO Software, Salesforce, People.ai, Sisense, Questica, Host Analytics, Axiom EPM, InsideSales.com, Corporater, Vena Solutions</t>
  </si>
  <si>
    <t>Adaptive Insights Inc provides cloud-based services. It provides various solutions such as Data Accuracy, Scalability, Data Visualization, Professional Development and others. The company provides its services to healthcare, Energy and Utilities, insurance, manufacturing, software and technology, Retail, and other industries. It generates a majority of its revenue from subscriptions.</t>
  </si>
  <si>
    <t>budgeting and forecasting, business planning software, cloud planning software, financial planning and analysis, management software, model building, on demand business software, reporting and analysis</t>
  </si>
  <si>
    <t>www.adaptiveinsights.com</t>
  </si>
  <si>
    <t>2004: 25, 2005: 25, 2006: 25, 2007: 25, 2008: 45, 2009: 65, 2010: 65, 2013: 200, 2014: 373, 2015: 425, 2016: 458, 2018: 521</t>
  </si>
  <si>
    <t>Workday</t>
  </si>
  <si>
    <t>TTM 1Q2019</t>
  </si>
  <si>
    <t>147887-38P</t>
  </si>
  <si>
    <t>Jim Johnson</t>
  </si>
  <si>
    <t>jjohnson@adaptiveplanning.com</t>
  </si>
  <si>
    <t>+1 (650) 528-7500</t>
  </si>
  <si>
    <t>3350 West Bayshore Road</t>
  </si>
  <si>
    <t>info@adaptiveinsights.com</t>
  </si>
  <si>
    <t>The company was acquired by Workday (NAS: WDAY) for $1.6 billion on August 1, 2018. With Adaptive Insights as part of the acquirer, organizations will have a more comprehensive planning system that further fuels finance and business transformation to drive competitive advantage</t>
  </si>
  <si>
    <t>Bessemer Venture Partners, Cardinal Venture Capital, Cedar Springs Capital, Clairmont Capital, Founders Circle Capital, Information Venture Partners, JMI Equity, Monitor Ventures, Norwest Venture Partners, ONSET Ventures, RBC Mezzanine Finance, Salesforce Ventures, Western Technology Investment</t>
  </si>
  <si>
    <t>Bessemer Venture Partners(www.bvp.com), Cardinal Venture Capital(www.cardinalvc.com), Cedar Springs Capital(www.cedarspringscapital.com), Clairmont Capital(www.clairmontcapital.com), Founders Circle Capital(www.founderscircle.com), Information Venture Partners(www.informationvp.com), JMI Equity(www.jmi.com), Monitor Ventures(www.monitorventures.com), Norwest Venture Partners(www.nvp.com), ONSET Ventures(www.onset.com), Western Technology Investment(www.westerntech.com)</t>
  </si>
  <si>
    <t>Bank of America Merrill Lynch(Underwriter), Cooley(Legal Advisor), Jefferies Financial Group(Underwriter), JMP Securities(Underwriter), Morgan Stanley(Advisor: General), Oppenheimer &amp; Company(Underwriter), PwC(Accounting), RBC Capital Markets(Underwriter), Western Technology Investment(Debt Financing)</t>
  </si>
  <si>
    <t>54610-03</t>
  </si>
  <si>
    <t>Adapteva</t>
  </si>
  <si>
    <t>Tilera</t>
  </si>
  <si>
    <t>Provider of multicore microprocessors and computer modules designed to offer an open source, credit card-sized computer for parallel programming. The company's microprocessors help in extreme energy efficiency requirements such as real-time image classification, machine learning, autonomous navigation and software-defined radio, enabling clients to avail parallel programming in heterogeneous environments.</t>
  </si>
  <si>
    <t>Electronic Components*</t>
  </si>
  <si>
    <t>computer chip technology, computer chipsets, computing, multi-core processor chips, parallel processing system</t>
  </si>
  <si>
    <t>www.adapteva.com</t>
  </si>
  <si>
    <t>2011: 5, 2012: 5, 2013: 8, 2014: 9</t>
  </si>
  <si>
    <t>75231-64P</t>
  </si>
  <si>
    <t>Mike Noonen</t>
  </si>
  <si>
    <t>mnoonen@silego.com</t>
  </si>
  <si>
    <t>+1 (408) 493-0653</t>
  </si>
  <si>
    <t>1 Broadway</t>
  </si>
  <si>
    <t>The company raised $3.6 million of Series B venture funding from Ericsson Ventures and Viola Ventures on January 16, 2014. The funds will be used to complete prototypes for the company's chips that it touts as energy-efficient parallel computing chips.</t>
  </si>
  <si>
    <t>BittWare, Ericsson Ventures, Viola Ventures</t>
  </si>
  <si>
    <t>BittWare(www.bittware.com)</t>
  </si>
  <si>
    <t>Kickstarter(Lead Manager or Arranger), Morse Law(Legal Advisor)</t>
  </si>
  <si>
    <t>54031-96</t>
  </si>
  <si>
    <t>Acumentrics Holding</t>
  </si>
  <si>
    <t>Advanced Power Solutions</t>
  </si>
  <si>
    <t>Acumentrics</t>
  </si>
  <si>
    <t>Developer of solid oxide fuel cells and uninterrupted power systems designed to offer clean power under extreme harsh conditions. The company's solid oxide fuel cells and uninterrupted power systems provide servers, communications, ISR devices, military and industrial power conditioning, backup power supplies, command, control, communications, computers, intelligence, surveillance, reconnaissance and other mission-critical applications with DC or AC power, industrial-UPS for transportation, exploration, mining and remote monitoring applications, enabling businesses to get trusted, reliable and rugged back up power solutions.</t>
  </si>
  <si>
    <t>Aerospace and Defense, Industrial Supplies and Parts*, Other Commercial Products</t>
  </si>
  <si>
    <t>advances power and energy technology, hybrid cell, industrial supplies, power systems, uninterrupted power systems</t>
  </si>
  <si>
    <t>www.acumentrics.com</t>
  </si>
  <si>
    <t>2014: 66, 2015: 75</t>
  </si>
  <si>
    <t>40498-30P</t>
  </si>
  <si>
    <t>John Cerulli</t>
  </si>
  <si>
    <t>jcerulli@acumentrics.com</t>
  </si>
  <si>
    <t>+1 (844) 787-7872</t>
  </si>
  <si>
    <t>South Walpole, MA</t>
  </si>
  <si>
    <t>20 Southwest Park</t>
  </si>
  <si>
    <t>South Walpole</t>
  </si>
  <si>
    <t>02081</t>
  </si>
  <si>
    <t>+1 (781) 461-1261</t>
  </si>
  <si>
    <t>cs@acumentrics.com</t>
  </si>
  <si>
    <t>The company received $3 million of debt financing from CapX Partners and Clean Energy Venture Group on September 26, 2014. Previously the company raised Series B venture funding from undisclosed investors on August 1, 2012.</t>
  </si>
  <si>
    <t>Chevron Technology Ventures, Clean Energy Venture Group, Connecticut Innovations, Corbetti Capital Equity, Eversource Energy, Laconic, Massachusetts Technology Collaborative, NiSource, Presidio Ventures, Source UK Services, TRMI</t>
  </si>
  <si>
    <t>Clean Energy Venture Group(www.cevg.com), Connecticut Innovations(www.ctinnovations.com), Eversource Energy(www.eversource.com), Massachusetts Technology Collaborative(www.masstech.org), NiSource(www.nisource.com), Presidio Ventures(www.presidio-ventures.com), Source UK Services(www.sourceetf.com)</t>
  </si>
  <si>
    <t>55381-51</t>
  </si>
  <si>
    <t>Actility</t>
  </si>
  <si>
    <t>Senet, Sensorberg, SigFox</t>
  </si>
  <si>
    <t>Provider of network services and information systems designed for the Internet of Things market. The company's network services and information systems implement a set of applications designed to optimize the management of electricity demand in the grid to reduce peak demand, reduce the amount of CO2 emitted by kilowatt-hour and limiting new investments necessary instrumentation of buildings to meet the standards as well as offers core infrastructure components and software, enabling mass scale deployment of internet applications.</t>
  </si>
  <si>
    <t>Application Software, Other Commercial Services*, Other Communications and Networking</t>
  </si>
  <si>
    <t>information systems, infrastructure components, sensor device, wireless network</t>
  </si>
  <si>
    <t>www.actility.com</t>
  </si>
  <si>
    <t>2013: 18, 2014: 24, 2015: 51</t>
  </si>
  <si>
    <t>48423-79P</t>
  </si>
  <si>
    <t>Olivier Hersent</t>
  </si>
  <si>
    <t>Co-Founder, Chairman &amp; Chief Technology Officer and Chief Executive Officer</t>
  </si>
  <si>
    <t>olivier.hersent@actility.com</t>
  </si>
  <si>
    <t>+33 (0)1 83 64 65 41</t>
  </si>
  <si>
    <t>65-67 rue de la Victoire</t>
  </si>
  <si>
    <t>75009</t>
  </si>
  <si>
    <t>The company raised $75 million of Series D venture funding from Swisscom, Foxconn Technology and Orange Digital Ventures on April 12, 2017. Cisco Investments, BNP Paribas, Robert Bosch Venture Capital, Creadev, Bpifrance, Ginko Ventures, KPN Ventures, IDInvest Partners, Truffle Capital and Inmarsat also participated in this round. The company will use the funds to enhance its portfolio of industrial IoT solutions across different verticals, accelerate in the US and boost its position in China.</t>
  </si>
  <si>
    <t>BNP Paribas, Bouygues Telecom Initiatives, Bpifrance, CDC Enterprises, Cisco Investments, Creadev, Foxconn Technology Group, Ginko Ventures, Idinvest Partners, Inmarsat, KPN Ventures, Orange Digital Ventures, Paris&amp;Co Incubateurs, Robert Bosch Venture Capital, Swisscom, Swisscom Ventures, Truffle Capital</t>
  </si>
  <si>
    <t>BNP Paribas(www.group.bnpparibas), Bouygues Telecom Initiatives(www.btinitiatives.fr), Bpifrance(www.bpifrance.fr), CDC Enterprises(www.cdcentreprises.fr), Cisco Investments(www.ciscoinvestments.com), Creadev(www.creadev.com), Foxconn Technology Group(www.foxconn.com/index_En.html), Ginko Ventures(www.ginkopartners.com), Idinvest Partners(www.idinvest.com), Inmarsat(www.inmarsat.com), KPN Ventures(www.kpnventures.com), Orange Digital Ventures(www.digitalventures.orange.com), Paris&amp;Co Incubateurs(www.incubateurs.parisandco.com), Robert Bosch Venture Capital(www.rbvc.com), Swisscom(www.swisscom.ch), Truffle Capital(www.truffle.com)</t>
  </si>
  <si>
    <t>Goodwin(Legal Advisor), HBC Avocats(Legal Advisor), Villechenon(Legal Advisor)</t>
  </si>
  <si>
    <t>51271-30</t>
  </si>
  <si>
    <t>Act-On</t>
  </si>
  <si>
    <t>Ubiquity New Zealand, Sailthru, Betaout, GreenRope, Salesfusion, Hatchbuck, Autopilot, Buzz360, Resultados Digitais, Aprimo, Pipedrive, Percolate, Opal (Marketing), SailPlay, Allocadia, Bulldog Solutions, CleverTap, Outreach, Iterable, Turn, Skyword, Tailwind (Marketing Platform), ClickDimensions, Sprinklr, Growbots, Net-Results, Shareablee, Radius (Database Software), Agile CRM, SugarCRM, Kapost, Spredfast, Brand Embassy, Nanigans, SalesLoft, Ematic, Dynamic Yield, Yotpo, Contently, Webdam Solutions, RingDNA, Kenshoo, Uberflip, Sparkcentral, Silverpop Systems, Yesware, Launch Digital Marketing, Adapt Technologies, Dimelo, Adestra, Persado, AgilOne, Pardot, EdgeTheory, Lotame Solutions, SV Conquistadors, Pure360, Conversica, DataFox, NewsCred, Bronto Software, Datameer, SimplyCast, Evergage, SproutLoud Media Networks, VerticalResponse, Sprout Social, Attentive.ly, Demandbase, Kahuna, GetResponse, Ontraport, Bynder, Ingenious Technologies, Swrve, RapidMiner, Marketo, eTrigue, ActiveCampaign, Madison Logic, Dynamic Signal, EverString, SharpSpring, HubSpot, Cvent, Brand Networks, PostBeyond, Naehas, Insightpool, Loyal zoo, Hootsuite, Sprightx, NeoReach, Leadspace, Insightly, RedEye International, Emarsys eMarketing Systems, SmartFocus UK, Keap (Saas Platform), Gyro, Agorapulse</t>
  </si>
  <si>
    <t>Developer of a SaaS marketing automation platform designed to provide marketing teams with the value of marketing automation, without the complexity big enterprise systems impose. The company's marketing automation platform assists in building a company's brand, driving demand and expanding customer relationships through a platform that doesn't require a dedicated IT resource, enabling marketers to simplify cross-channel customer engagement, provide their sales team mission-critical information and boost their company's success.</t>
  </si>
  <si>
    <t>automation technology, integrated marketing platform, marketing automation, online marketing platform</t>
  </si>
  <si>
    <t>www.act-on.com</t>
  </si>
  <si>
    <t>2008: 10, 2009: 10, 2010: 11, 2011: 35, 2012: 140, 2013: 400, 2014: 425, 2015: 395, 2016: 320, 2017: 240, 2018: 180</t>
  </si>
  <si>
    <t>59248-27P</t>
  </si>
  <si>
    <t>Roger Rowe</t>
  </si>
  <si>
    <t>roger.rowe@act-on.net</t>
  </si>
  <si>
    <t>+1 (877) 530-1555</t>
  </si>
  <si>
    <t>121 Southwest Morrison Street</t>
  </si>
  <si>
    <t>info@act-on.com</t>
  </si>
  <si>
    <t>The company is seeking to raise an estimated $7 million of Series E-1 venture funding from undisclosed investors as of June 8, 2018, putting the company's pre-money valuation at $125 million. Previously, the company received $9 million of debt financing from Silicon Valley Bank on February, 2018. The debt package included $7.5 million in revolving credit line and $1.5 million term loan.</t>
  </si>
  <si>
    <t>Cisco Investments, Marco DeMeireles, Norwest Venture Partners, Partners for Growth, Stanford Management Company, Stratim Capital, TCV, Trinity Ventures, US Venture Partners, Voyager Capital</t>
  </si>
  <si>
    <t>Cisco Investments(www.ciscoinvestments.com), Norwest Venture Partners(www.nvp.com), Partners for Growth(www.pfgrowth.com), Stanford Management Company(smc.stanford.edu), Stratim Capital(www.stratimcapital.com), TCV(www.tcv.com), Trinity Ventures(www.trinityventures.com), US Venture Partners(www.usvp.com), Voyager Capital(www.voyagercapital.com)</t>
  </si>
  <si>
    <t>Fenwick &amp; West(Legal Advisor), KPMG(Auditor), Silicon Valley Bank(General Business Banking), Stoel Rives(Legal Advisor)</t>
  </si>
  <si>
    <t>Fenwick &amp; West(Legal Advisor), Silicon Valley Bank(General Business Banking), Stoel Rives(Legal Advisor)</t>
  </si>
  <si>
    <t>61927-03</t>
  </si>
  <si>
    <t>Acorns</t>
  </si>
  <si>
    <t>Wealthfront, Addepar, Even (Financial Software), Clarity Money, HelloWallet, Black Mountain Systems, Asset Vantage Systems, DailyPay, Openfolio, SmartyPig, Ginmon, Level Money, Stash (Investment Application), Betterment, Robinhood, Digit, WiseBanyan, Qapital, Stockpile</t>
  </si>
  <si>
    <t>Developer of a mobile application designed to automate micro investments into exchange traded funds (ETF). The company's software application uses a proprietary financial engine, which allows customers to round up spare change from everyday purchases and invest these sub-dollar amounts into a professionally managed portfolio of index funds, enabling users to connect any credit or debit card and a checking account easily.</t>
  </si>
  <si>
    <t>financial software system, investing platform, investment application, investment software, micro investment application</t>
  </si>
  <si>
    <t>www.acorns.com</t>
  </si>
  <si>
    <t>2018: 150</t>
  </si>
  <si>
    <t>36123-49P</t>
  </si>
  <si>
    <t>Noah Kerner</t>
  </si>
  <si>
    <t>Co-Chief Executive Officer and Board Member</t>
  </si>
  <si>
    <t>noah.kerner@acorns.com</t>
  </si>
  <si>
    <t>+1 (949) 399-9000</t>
  </si>
  <si>
    <t>5300 California Avenue</t>
  </si>
  <si>
    <t>info@acorns.com</t>
  </si>
  <si>
    <t>The company raised $180 million of Series E venture funding in a deal led by NBCUniversal on February 7, 2019, putting the company's pre-money valuation at an estimated $870 million. Comcast Ventures, MSD Capital, DST Global, The Rise Fund, Bain Capital Ventures, Blackrock, Inside Capital and other undisclosed investors also participated in this round. The funds will be used to expand company's product offering and team.</t>
  </si>
  <si>
    <t>Bain Capital Ventures, Balyasny Asset Management, BlackRock, Capital Group, Comcast Ventures, Cruttenden Partners, DST Global, e.ventures, Garland Capital Group, Great Oaks Venture Capital, Greycroft, Groundswell Investments, Hemisphere Ventures, Inside Capital, Jacobs Asset Management, Kaplan Group Investments, Math Venture Partners, Michael Shore, MSD Capital, NBCUniversal, Nyca Partners, Owen Van Natta, PayPal Ventures, Point72 Ventures, Rakuten Capital, Sound Ventures, Steelpoint Capital Partners, The Durant Company, The Rise Fund, Thomas Arrix, TPG Capital</t>
  </si>
  <si>
    <t>Sekits Capital</t>
  </si>
  <si>
    <t>Bain Capital Ventures(www.baincapitalventures.com), Balyasny Asset Management(www.bamfunds.com), BlackRock(www.blackrock.com), Capital Group(www.capitalgrp.cn), Comcast Ventures(www.comcastventures.com), Cruttenden Partners(www.cruttendenpartners.com), DST Global(www.dst-global.com), e.ventures(www.eventures.vc), Garland Capital Group(www.garlandcg.com), Great Oaks Venture Capital(www.greatoaksvc.com), Greycroft(www.greycroft.com), Hemisphere Ventures(www.hemisphere.com), Inside Capital(www.inside.capital), Jacobs Asset Management(www.jampartners.com), Kaplan Group Investments(www.kginvest.net), Math Venture Partners(www.mathventurepartners.com), MSD Capital(www.msdcapital.com), NBCUniversal(www.nbcuniversal.com), Nyca Partners(www.nyca.com), Point72 Ventures(www.p72.vc), Rakuten Capital(capital.rakuten.com), Sound Ventures(www.sound-ventures.com), Steelpoint Capital Partners(www.steelpointcp.com), The Rise Fund(www.therisefund.com), TPG Capital(www.tpg.com)</t>
  </si>
  <si>
    <t>Sekits Capital(www.sekitscapital.com)</t>
  </si>
  <si>
    <t>FutureEngine(Consulting), Mintz, Levin, Cohn, Ferris, Glovsky and Popeo(Legal Advisor), Ropes &amp; Gray(Legal Advisor)</t>
  </si>
  <si>
    <t>Mintz, Levin, Cohn, Ferris, Glovsky and Popeo(Legal Advisor), Morgan, Lewis &amp; Bockius(Legal Advisor), Paul Hastings(Legal Advisor), Ropes &amp; Gray(Legal Advisor)</t>
  </si>
  <si>
    <t>60805-81</t>
  </si>
  <si>
    <t>aCommerce</t>
  </si>
  <si>
    <t>Provider of an electronic commerce logistics services intended to deliver customized e-commerce platform for global brands. The company's e-commerce service offers end-to-end logistics and inventory management services, enabling e-commerce brands to bring brands into online retail and automate and optimize aspects of business processes.</t>
  </si>
  <si>
    <t>E-Commerce, Industrials, Mobile, TMT</t>
  </si>
  <si>
    <t>ecommerce solutions, electronic commerce logistic, logistics services, warehouse unit</t>
  </si>
  <si>
    <t>www.acommerce.asia</t>
  </si>
  <si>
    <t>2013: 100, 2014: 300, 2015: 850, 2016: 1000, 2017: 1400</t>
  </si>
  <si>
    <t>Chief Financial Officer (Group)</t>
  </si>
  <si>
    <t>689 Bhiraj Tower, 33rd Floor, 651 Sukhumvit Road, Klongton Nua, Wattana</t>
  </si>
  <si>
    <t>Khwaeng Khlong Tan Nuea, Khet Watthana, Krung Thep Maha Nakhon</t>
  </si>
  <si>
    <t>+66 (0)2 6834964</t>
  </si>
  <si>
    <t>The company raised $65 million of Series B venture funding in a deal led by Emerald Media on November 20, 2017. Blue Sky Alternative Investments, MDI Ventures and DKSH also participated in the round. The funds will be used to improve company's online software that allows merchants to sell and distribute goods through a number of ecommerce platforms, establish more partnerships in the startup's current markets and seek out clients in new markets like Malaysia and Vietnam.</t>
  </si>
  <si>
    <t>Ardent Capital, Asia Pacific Digital, Blue Sky Alternative Investments, CyberAgent Capital, DKSH, Emerald Media, GMO VenturePartners, Ideosource, JL Capital, Maloekoe Ventures, MDI Ventures, NTT Docomo Ventures, Presidio Ventures, Sinar Mas Indonesia, Sumitomo Corporation Equity Asia</t>
  </si>
  <si>
    <t>Ardent Capital(www.ardentcapital.com), Asia Pacific Digital(www.apdgroup.com), Blue Sky Alternative Investments(www.blueskyfunds.com.au), CyberAgent Capital(www.cyberagentcapital.com), DKSH(www.dksh.com), Emerald Media(www.emeraldmedia.asia), GMO VenturePartners(www.gmo-vp.com), Ideosource(www.ideosource.com), Maloekoe Ventures(www.maloekoeventures.com), MDI Ventures(www.mdi.vc), NTT Docomo Ventures(www.nttdocomo-v.com), Presidio Ventures(www.presidio-ventures.com), Sumitomo Corporation Equity Asia(scequity.com.hk)</t>
  </si>
  <si>
    <t>Hastings &amp; Co(Legal Advisor), Widus Partners(Advisor: General)</t>
  </si>
  <si>
    <t>Ardent Capital(Lead Manager or Arranger), Hastings &amp; Co(Legal Advisor), North Ridge Partners(Advisor: General)</t>
  </si>
  <si>
    <t>54826-03</t>
  </si>
  <si>
    <t>Acodis</t>
  </si>
  <si>
    <t>Producer of processing machines. The company offers toner catridges and OPC drums.</t>
  </si>
  <si>
    <t>Other Commercial Products*, Printing Services (B2B)</t>
  </si>
  <si>
    <t>opc drums, processing equipment, toner cartridge</t>
  </si>
  <si>
    <t>www.acodis.co.kr</t>
  </si>
  <si>
    <t>66427-57P</t>
  </si>
  <si>
    <t>Man Kang</t>
  </si>
  <si>
    <t>mykang@acodis.co.kr</t>
  </si>
  <si>
    <t>+82 (0)54 460 0700</t>
  </si>
  <si>
    <t>Gumi-si, South Korea</t>
  </si>
  <si>
    <t>121-10 Gongdan-dong</t>
  </si>
  <si>
    <t>Gumi-si</t>
  </si>
  <si>
    <t>730-030</t>
  </si>
  <si>
    <t>+82 (0)54 460 0799</t>
  </si>
  <si>
    <t>acodis@acodis.co.kr</t>
  </si>
  <si>
    <t>56993-50</t>
  </si>
  <si>
    <t>Accolade</t>
  </si>
  <si>
    <t>Seamless Mobile Health, ClearCost Health, Jiff, Pager, American Well, Grand Rounds, Zipnosis, Health Catalyst, HealthJoy, PokitDok, Evive Health, Doctolib, Spring Rain Software, Acclaim</t>
  </si>
  <si>
    <t>Provider of a personalized health and benefits platform designed to improve the experience, outcomes and cost of healthcare. The company's platform empowers individuals and families to make the right decision about their healthcare and stay connected to the resources they need, enabling people to have increased engagement, higher satisfaction, better health outcomes, and lower healthcare costs.</t>
  </si>
  <si>
    <t>Media and Information Services (B2B), Other Healthcare Technology Systems, Social/Platform Software*</t>
  </si>
  <si>
    <t>Artificial Intelligence &amp; Machine Learning, HealthTech, SaaS, TMT</t>
  </si>
  <si>
    <t>care management program, healthcare engagement platform, healthcare information service, healthcare system navigation, personalized health care</t>
  </si>
  <si>
    <t>www.accolade.com</t>
  </si>
  <si>
    <t>2009: 62, 2013: 500, 2014: 520, 2015: 501, 2016: 700, 2018: 1000</t>
  </si>
  <si>
    <t>13788-55P</t>
  </si>
  <si>
    <t>Stephen Barnes</t>
  </si>
  <si>
    <t>steve.barnes@accolade.com</t>
  </si>
  <si>
    <t>+1 (484) 534-2594</t>
  </si>
  <si>
    <t>Plymouth Meeting, PA</t>
  </si>
  <si>
    <t>660 West Germantown Pike</t>
  </si>
  <si>
    <t>Plymouth Meeting</t>
  </si>
  <si>
    <t>19462</t>
  </si>
  <si>
    <t>+1 (610) 834-2989</t>
  </si>
  <si>
    <t>howcanwehelp@accolade.com</t>
  </si>
  <si>
    <t>The company raised $50 million of Series E venture funding in a deal led by McKesson Ventures, Carrick Capital Partners and Andreessen Horowitz on April 12, 2018, putting the company's pre-money valuation at $570.84 million. Castor Ventures, Chestnut Street Ventures, Green D Ventures, Spike Ventures, Strawberry Creek Ventures, Alumni Ventures Group, Cross Creek Advisors and Madera Technology Partners also participated in the round. The funds will be used to grow the company's workforce and expand their Personalized Advocacy solution.</t>
  </si>
  <si>
    <t>Accretive, Alumni Ventures Group, Andreessen Horowitz, Ben Franklin Technology Partners of Southeastern Pennsylvania, Carrick Capital Partners, Castor Ventures, Chestnut Street Ventures, Comcast Ventures, Cross Creek, Escalate Capital Partners, Green D Ventures, Independence Blue Cross, Madden Capital Partners, Madera Technology Partners, Madrona Venture Group, McKesson Ventures, Oak Hill Capital Partners, Spencer Stuart, Spike Ventures, SRI Capital, Strawberry Creek Ventures</t>
  </si>
  <si>
    <t>Accretive(www.accretivellc.com), Alumni Ventures Group(www.avgfunds.com), Andreessen Horowitz(www.a16z.com), Ben Franklin Technology Partners of Southeastern Pennsylvania(www.sep.benfranklin.org), Carrick Capital Partners(www.carrickcapitalpartners.com), Castor Ventures(www.castorventures.com), Chestnut Street Ventures(www.chestnutstreetventures.com), Comcast Ventures(www.comcastventures.com), Cross Creek(www.crosscreek.vc), Escalate Capital Partners(www.escalatecapital.com), Green D Ventures(www.greendventures.com), Independence Blue Cross(www.ibx.com), Madden Capital Partners(www.maddencapitalpartners.com), Madera Technology Partners(www.maderatp.com), Madrona Venture Group(www.madrona.com), McKesson Ventures(www.ventures.mckesson.com), Oak Hill Capital Partners(oakhill.com), Spencer Stuart(www.spencerstuart.com), Spike Ventures(www.spike-ventures.com), SRI Capital(www.sricapital.com)</t>
  </si>
  <si>
    <t>Cooley(Legal Advisor), Escalate Capital Partners(Debt Financing), MTS Health Partners(Legal Advisor)</t>
  </si>
  <si>
    <t>64424-17</t>
  </si>
  <si>
    <t>Accion Systems</t>
  </si>
  <si>
    <t>Phase Four, Enpulsion, Busek, Apollo Fusion</t>
  </si>
  <si>
    <t>Developer of advanced technologies designed to accelerate the exploration of space. The company's technologies are used to develop propulsion systems for satellites based on a proprietary ion beam technology that can turn affordable satellites into capable ones, enabling clients to optimize scalability, performance and efficiency.</t>
  </si>
  <si>
    <t>Industrials, Manufacturing, Nanotechnology, Space Technology, TMT</t>
  </si>
  <si>
    <t>customizable propulsion systems, propulsion, propulsion systems, propulsion systems manufacturer, satellite, space industry, space technology</t>
  </si>
  <si>
    <t>www.accion-systems.com</t>
  </si>
  <si>
    <t>2015: 10, 2017: 20, 2018: 30</t>
  </si>
  <si>
    <t>89480-71P</t>
  </si>
  <si>
    <t>Natalya Bailey</t>
  </si>
  <si>
    <t>natalya@accion-systems.com</t>
  </si>
  <si>
    <t>+1 (617) 500-2563</t>
  </si>
  <si>
    <t>529 Main Street</t>
  </si>
  <si>
    <t>Suite 114</t>
  </si>
  <si>
    <t>02129</t>
  </si>
  <si>
    <t>info@accion-systems.com</t>
  </si>
  <si>
    <t>The company raised $3 million of venture funding in a deal led by Boeing HorizonX on October 10, 2018. GettyLab also participated in the round.</t>
  </si>
  <si>
    <t>Aaron Zucker, AME Cloud Ventures, Boeing HorizonX, BoomStartup, Founder Collective, Founders Fund, GettyLab, Greentown Labs, Kevin Colleran, Marek Oszlewski, Matthew Wilkerson, MIT Delta V, Rene Reinsberg, RRE Ventures, Samuel Lessin, Sapir Venture Partners, SDF Ventures, Shasta Ventures, Slow Ventures, Space Angels, Starburst Aerospace, Stex25, TechU, Tim Tokarsky, United States Department of Defense, Upslope Ventures</t>
  </si>
  <si>
    <t>AME Cloud Ventures(www.amecloudventures.com), BoomStartup(www.boomstartup.com), Founder Collective(www.foundercollective.com), Founders Fund(www.foundersfund.com), GettyLab(www.gettylab.com), Greentown Labs(www.greentownlabs.com), Kevin Colleran(facebook.com/kevin), MIT Delta V(entrepreneurship.mit.edu/accelerator), RRE Ventures(www.rre.com), Samuel Lessin(www.wlessin.com), Sapir Venture Partners(www.sapirvp.com), Shasta Ventures(www.shastaventures.com), Slow Ventures(www.slow.co), Space Angels(www.spaceangels.com), Starburst Aerospace(www.starburst.aero), Stex25(startupexchange.mit.edu), TechU(www.techuventures.com), United States Department of Defense(www.defense.gov), Upslope Ventures(www.upslope.vc)</t>
  </si>
  <si>
    <t>MIT Venture Mentoring Service(Consulting), WilmerHale(Legal Advisor)</t>
  </si>
  <si>
    <t>51621-22</t>
  </si>
  <si>
    <t>Access Media 3</t>
  </si>
  <si>
    <t>AM3, AccessMedia3, Access Media</t>
  </si>
  <si>
    <t>Provider of high-speed internet, DIRECTV television and voice services to multi-tenant residential properties in the United States. The company offers customized cable television and digital home phone services to multifamily property owners, management companies, homeowners associations, retirement communities and off-campus student housing.</t>
  </si>
  <si>
    <t>digital media, directing broadcast satellite, high speed internet, voice bundling</t>
  </si>
  <si>
    <t>www.accessmedia3.com</t>
  </si>
  <si>
    <t>2007: 4, 2008: 4, 2009: 15, 2010: 15, 2014: 116, 2015: 106</t>
  </si>
  <si>
    <t>120703-15P</t>
  </si>
  <si>
    <t>Samantha Katzbeck</t>
  </si>
  <si>
    <t>skatzbeck@accessmedia3.com</t>
  </si>
  <si>
    <t>+1 (630) 230-0555</t>
  </si>
  <si>
    <t>Oak Brook, IL</t>
  </si>
  <si>
    <t>900 Commerce Drive</t>
  </si>
  <si>
    <t>Oak Brook</t>
  </si>
  <si>
    <t>60523</t>
  </si>
  <si>
    <t>+1 (630) 230-0558</t>
  </si>
  <si>
    <t>info@accessmedia3.com</t>
  </si>
  <si>
    <t>The company received $21.554 million in mezzanine financing from Main Street on December 31, 2015. As part of the transaction, the company received $14.131 million of debt financing in the form of First Lien from Sierra Income and Medley Capital.</t>
  </si>
  <si>
    <t>Main Street Capital, Meritage Funds, ORIX Growth Capital</t>
  </si>
  <si>
    <t>Petra Capital Partners, WP Global Partners</t>
  </si>
  <si>
    <t>Main Street Capital(www.mainstcapital.com), Meritage Funds(www.meritagefunds.com)</t>
  </si>
  <si>
    <t>Petra Capital Partners(www.petracapital.com), WP Global Partners(www.wpglobalpartners.com)</t>
  </si>
  <si>
    <t>Main Street Capital(Debt Financing), Medley Capital(Debt Financing), Q Advisors(Placement Agent), Sierra Income(Debt Financing)</t>
  </si>
  <si>
    <t>55539-55</t>
  </si>
  <si>
    <t>Accela Technology</t>
  </si>
  <si>
    <t>Accela</t>
  </si>
  <si>
    <t>Provider of an infrastructure software designed to cater the needs of IT sector. The company's software focuses on research and development of business search and knowledge base, enabling corporations to search, manage and leverage their internal unstructured data located in various repositories.</t>
  </si>
  <si>
    <t>Application Software*, Other Business Products and Services, Vertical Market Software</t>
  </si>
  <si>
    <t>business promotion app, information portal, infrastructure solution, translation engine, unstructured data</t>
  </si>
  <si>
    <t>www.accelatech.com</t>
  </si>
  <si>
    <t>68206-96P</t>
  </si>
  <si>
    <t>Tatsuya Shindo</t>
  </si>
  <si>
    <t>Founder, President &amp; Representative Director</t>
  </si>
  <si>
    <t>shindo@accelatech.com</t>
  </si>
  <si>
    <t>+81 (0)35 793 5411</t>
  </si>
  <si>
    <t>Shibuya-ku, Japan</t>
  </si>
  <si>
    <t>Ebisu 1-19-19 Ebisu Business Tower 13F</t>
  </si>
  <si>
    <t>Yubinbango</t>
  </si>
  <si>
    <t>150-0013</t>
  </si>
  <si>
    <t>+81 (0)35 793 5412</t>
  </si>
  <si>
    <t>marketing@accelatech.com</t>
  </si>
  <si>
    <t>The company raised an undisclosed amount of venture funding from Presidio Ventures, Mitsui Global Investment and SunBridge Partners on December 1, 2002.</t>
  </si>
  <si>
    <t>Fujitsu (Corporate Venture), Mitsui Global Investment, Presidio Ventures, SunBridge Partners</t>
  </si>
  <si>
    <t>Mitsui Global Investment(www.mitsui-global.com), Presidio Ventures(www.presidio-ventures.com), SunBridge Partners(www.sunbridgepartners.com)</t>
  </si>
  <si>
    <t>163896-13</t>
  </si>
  <si>
    <t>Abundant Robotics</t>
  </si>
  <si>
    <t>Agrobot</t>
  </si>
  <si>
    <t>Developer of apple-picking robots designed to perform hardest jobs in agriculture. The company's apple-picking robots offers automated harvesting for apple orchards, enabling agricultural growers to shoulder the task of apple picking.</t>
  </si>
  <si>
    <t>Cultivation, Other Agriculture, Other Commercial Products*</t>
  </si>
  <si>
    <t>agricultural harvesting system, apple picking robots, automated harvesting, automated harvesting system, harvesting robots</t>
  </si>
  <si>
    <t>www.abundantrobotics.com</t>
  </si>
  <si>
    <t>2016: 5, 2017: 8</t>
  </si>
  <si>
    <t>31833-37P</t>
  </si>
  <si>
    <t>Dan Steere</t>
  </si>
  <si>
    <t>dan@abundantrobotics.com</t>
  </si>
  <si>
    <t>3521 Investment Boulevard</t>
  </si>
  <si>
    <t>Unit 5</t>
  </si>
  <si>
    <t>The company raised $10 million of Series A venture funding in a round led by GV on May 3, 2017, putting the pre-money valuation at $25 million. BayWa, Tellus Partners, Yamaha Motor Ventures &amp; Laboratory Silicon Valley, KPCB Edge and Comet Labs also participated in this round. The company will use the funds to commercialize research initiatives in agricultural robotics and continue preparing its first product for commercial launch.</t>
  </si>
  <si>
    <t>BayWa, Comet Labs, GV, KPCB Edge, Perot Jain, SRI Ventures, Tellus Partners, Yamaha Motor Ventures &amp; Laboratory Silicon Valley</t>
  </si>
  <si>
    <t>BayWa(www.baywa.com), Comet Labs(www.cometlabs.io), GV(www.gv.com), KPCB Edge(www.kpcbedge.com), Perot Jain(www.perotjain.com), Tellus Partners(www.tellus.partners), Yamaha Motor Ventures &amp; Laboratory Silicon Valley(www.ymvsv.com)</t>
  </si>
  <si>
    <t>108643-87</t>
  </si>
  <si>
    <t>ABEJA</t>
  </si>
  <si>
    <t>Sentient (Business/Productivity Software), Stackla, Tailwind (Marketing Platform), Evergage, Viisights, Monetate, Blackbird Technologies, Jetlore, Ahalogy, ViSenze, Curalate, Piqora, GumGum, Qubit (Social/Platform Software), Chute, Netra, Graymatics, Ditto Technologies, Xineoh, SiteSpect, Xnor.ai, Adobe Systems, Optimizely, Catchoom</t>
  </si>
  <si>
    <t>Provider of a retail analytics platform intended to develop AI business services utilizing deep learning. The company's platform uses deep learning to collect, analyze and visualize various kinds of information in a real store, enabling retail firms to learn more about their customers buying habits and interests.</t>
  </si>
  <si>
    <t>Artificial Intelligence &amp; Machine Learning, Big Data, Marketing Tech, TMT</t>
  </si>
  <si>
    <t>artificial intelligence technology, data analytics platform, in-store marketing, machine learning technology, retail analytics</t>
  </si>
  <si>
    <t>www.abejainc.com</t>
  </si>
  <si>
    <t>2016: 11, 2018: 50</t>
  </si>
  <si>
    <t>102008-80P</t>
  </si>
  <si>
    <t>Yousuke Okada</t>
  </si>
  <si>
    <t>Co-Founder, Chief Executive Officer, Chief Technology Officer, President &amp; Board Member</t>
  </si>
  <si>
    <t>yousuke@abejainc.com</t>
  </si>
  <si>
    <t>+81 (0)36 452 8848</t>
  </si>
  <si>
    <t>NBF Platinum Tower</t>
  </si>
  <si>
    <t>1-17-3 Shirokane, Minato-ku</t>
  </si>
  <si>
    <t>108-0072</t>
  </si>
  <si>
    <t>+81 (0)36 452 8849</t>
  </si>
  <si>
    <t>info@abejainc.com</t>
  </si>
  <si>
    <t>The company raised $38.4 million of Series C venture funding from Salesforce Ventures, NVIDIA GPU Ventures and Topcon on June 29, 2018. Daikin Industries, Musashi Seimitsu Industry Company, Japan Post Holdings, Alphabet, TBS Innovation Partners, SBI Investment, Innovation Network Corporation of Japan and PNB Inspire Partners also participated in the round.</t>
  </si>
  <si>
    <t>Alphabet, Archetype, Daikin Industries, Innovation Network Corporation of Japan, Inspire Corp, Japan Post Holdings, Mitsubishi UFJ Capital, Mizuho Capital Partners, Musashi Seimitsu Industry Company, NTT Docomo Ventures, NVIDIA GPU Ventures, Orange Fab, PNB Inspire Partners, Sakura Internet, Salesforce Ventures, SBI Investment, TBS Innovation Partners, Topcon</t>
  </si>
  <si>
    <t>Alphabet(www.abc.xyz), Archetype(www.archetype.co.jp), Daikin Industries(www.daikin.com), Innovation Network Corporation of Japan(www.incj.co.jp), Inspire Corp(www.inspirecorp.co.jp/eg), Japan Post Holdings(www.japanpost.jp), Mitsubishi UFJ Capital(www.mucap.co.jp), Musashi Seimitsu Industry Company(www.musashi.co.jp), NTT Docomo Ventures(www.nttdocomo-v.com), Orange Fab(www.orangefab.com), Sakura Internet(sakura.ne.jp), SBI Investment(www.sbinvestment.co.jp), TBS Innovation Partners(www.tbs-ip.co.jp), Topcon(www.topcon.co.jp)</t>
  </si>
  <si>
    <t>113724-55</t>
  </si>
  <si>
    <t>Aaptiv</t>
  </si>
  <si>
    <t>Skyfit Sports</t>
  </si>
  <si>
    <t>Freeletics, GAIN Fitness, Sworkit, Booya Fitness, Yoga International, 8fit, Fitbod, MoveWith, Grokker, Gixo, FitStar Labs, Peloton, Sweat! Union</t>
  </si>
  <si>
    <t>Provider of an audio-based mobile fitness application designed to offer personal training sessions. The company's application synchronizes the motivational guidance of a trainer with the perfect playlist, as well as offers classes in running, indoor cycling, elliptical and yoga, enabling users to experience a studio class right from their phone.</t>
  </si>
  <si>
    <t>Application Software*, Educational and Training Services (B2C)</t>
  </si>
  <si>
    <t>digital health, fitness application, fitness mobile application, mobile sports application, online yoga, wellness</t>
  </si>
  <si>
    <t>www.aaptiv.com</t>
  </si>
  <si>
    <t>2016: 13, 2018: 100</t>
  </si>
  <si>
    <t>136289-80P</t>
  </si>
  <si>
    <t>Ethan Agarwal</t>
  </si>
  <si>
    <t>ethan@aaptiv.com</t>
  </si>
  <si>
    <t>One WTC, 49A</t>
  </si>
  <si>
    <t>help@aaptiv.com</t>
  </si>
  <si>
    <t>The company joined Disney Accelerator on June 20, 2018 and received an undisclosed amount in funding. Previously, The company raised $23 million of Series C venture funding in a deal led by Millennium Technology Value Partners on June 20, 2018, putting the company's pre-money valuation at $177 million. Amazon Alexa Fund, The Walt Disney Company, Warner Music Group, NWS Holdings, Bose ventures, Insight Venture Partners and 14W also participated in the round. The company will use the funds to continue to improve the world class product experience and to further the company's technology innovation, product growth and customer acquisition.</t>
  </si>
  <si>
    <t>14W, Amazon Alexa Fund, Arena Ventures, Bose Ventures, Bracket Capital, Disney Accelerator, Insight Partners, Millennium Technology Value Partners, Nelstone Ventures, NWS Holdings, Pear, Switch Ventures, The Walt Disney Company, Warner Music Group</t>
  </si>
  <si>
    <t>14W(www.14w.com), Amazon Alexa Fund(developer.amazon.com/alexa-fund), Arena Ventures(www.arenavc.com), Bose Ventures(bose.ventures), Bracket Capital(www.bracketcapital.com), Disney Accelerator(www.disneyaccelerator.com), Insight Partners(www.insightpartners.com), Millennium Technology Value Partners(www.mtvlp.com), Nelstone Ventures(www.nelstoneventures.com), NWS Holdings(www.nws.com.hk), Pear(www.pear.vc), Switch Ventures(www.switch.vc), The Walt Disney Company(www.thewaltdisneycompany.com)</t>
  </si>
  <si>
    <t>ASTRSK PR(Advisor: Communications)</t>
  </si>
  <si>
    <t>57456-64</t>
  </si>
  <si>
    <t>A-SaaS</t>
  </si>
  <si>
    <t>Provider of cloud-based accounting and tax applications software designed to help people to get connected with advisors in real time. The company's accounting and tax applications software offers an all-in-one system with accounting, salary, and tax functions, enabling users easily to perform data migration work from their current system in a hassle free way.</t>
  </si>
  <si>
    <t>Business/Productivity Software*, Financial Software, Other Financial Services</t>
  </si>
  <si>
    <t>accounting software, cloud computing application, cloud-based, tax application software</t>
  </si>
  <si>
    <t>www.a-saas.com</t>
  </si>
  <si>
    <t>178555-42P</t>
  </si>
  <si>
    <t>Keisuke Tanaka</t>
  </si>
  <si>
    <t>Chief Executive Officer, Board Member, Representative Director &amp; President</t>
  </si>
  <si>
    <t>keisuke.tanaka@a-saas.com</t>
  </si>
  <si>
    <t>+81 (0)36 240 9433</t>
  </si>
  <si>
    <t>Toyo Pier Iwamoto Town 2-14-2</t>
  </si>
  <si>
    <t>Iwamoto cho, ANNEX 7F</t>
  </si>
  <si>
    <t>101-0032</t>
  </si>
  <si>
    <t>info@a-saas.com</t>
  </si>
  <si>
    <t>The company raised JPY 300 million of venture funding from AG Capital, Eight Roads Ventures and Arbor Ventures on December 6, 2016.</t>
  </si>
  <si>
    <t>AG Capital, Arbor Ventures, Eight Roads, GREE Ventures, iMercury Capital, Mobile Internet Capital, OPT SEA, Salesforce Ventures, SMBC Venture Capital</t>
  </si>
  <si>
    <t>AG Capital(www.agcapital.bg), Arbor Ventures(www.arborventures.com), Eight Roads(www.eightroads.com), GREE Ventures(www.greeventures.com), Mobile Internet Capital(www.mickk.com), OPT SEA(www.optsea.com), SMBC Venture Capital(www.smbc-vc.co.jp)</t>
  </si>
  <si>
    <t>168962-86</t>
  </si>
  <si>
    <t>A Million Ads</t>
  </si>
  <si>
    <t>AdsWizz, Yieldmo, PowerLinks, Simulmedia, WideOrbit, Adelphic, SpotX, Innovid, Optimatic Media, Sharethrough, AcuityAds Holdings, StackAdapt, ExoClick, Adcash, Manage.com Group, Polar (Content Technology), Jun Group, PayTunes, Emerge Digital, PubMatic, Bidstalk, TubeMogul, Feedburner, Taboola, BuzzCity, TripleLift, Outbrain, Pulpo Media, Matomy Media Group, Inneractive, Metamarkets, ShareThis, Jelli</t>
  </si>
  <si>
    <t>Provider of digital audio advertising services designed to offer dynamic creative and personalisation for digital audio. The company's services combine the data points known about the user, their environment and the campaign and then creates digital advertisement relevant to the users, enabling brands to engage people with the right content at any given moment.</t>
  </si>
  <si>
    <t>advertising services, audio advertisement, creative advertising services, digital advertising, digital audio, digital audio advertisement, digital audio advertising, personalized advertisement</t>
  </si>
  <si>
    <t>www.amillionads.com</t>
  </si>
  <si>
    <t>152350-03P</t>
  </si>
  <si>
    <t>Steve Dunlop</t>
  </si>
  <si>
    <t>steve@amillionads.com</t>
  </si>
  <si>
    <t>136 High Holborn</t>
  </si>
  <si>
    <t>WC1V 6PX</t>
  </si>
  <si>
    <t>The company raised GBP 2.35 million of seed funding in a deal led by GMG Ventures on June 25, 2018, putting the pre-money valuation at GBP 4.58 million. Bertelsmann Digital Media Investments, Force Over Mass Capital, Ascension Ventures (UK) and Edge Investments also participated in the round. The company will use the funds in product development in its core audio offering, the launch of a personalized video product and US market expansion.</t>
  </si>
  <si>
    <t>Ascension Ventures (UK), Bertelsmann Digital Media Investments, Edge Investments, Force Over Mass Capital, Founders Factory, GMG Ventures, The Sandpit</t>
  </si>
  <si>
    <t>Ascension Ventures (UK)(www.ascensionventures.com), Bertelsmann Digital Media Investments(www.bdmifund.com), Edge Investments(www.edge.uk.com), Force Over Mass Capital(www.fomcap.com), Founders Factory(www.foundersfactory.com), GMG Ventures(www.gmgventures.co), The Sandpit(thesandpit.com)</t>
  </si>
  <si>
    <t>52141-06</t>
  </si>
  <si>
    <t>99designs</t>
  </si>
  <si>
    <t>LogoGarden, SketchDeck, Crowdspring, Canva, Muzy, PicMonkey, Happy Studio, Dreame, DesignCrowd, Infoactive, Looka, BeFunky, Infogram, Fiverr</t>
  </si>
  <si>
    <t>Provider of an online graphic design platform intended to offer custom designs. The company's online graphic design platform offers logos, websites, applications, business cards, book covers, vehicle wraps and other design services, enabling businesses freelance designers to connect with creative people and entrepreneurs.</t>
  </si>
  <si>
    <t>design, logo design, merchandise design, online graphics design, online graphics design platform</t>
  </si>
  <si>
    <t>www.99designs.com</t>
  </si>
  <si>
    <t>2011: 26, 2012: 55, 2014: 665, 2015: 801, 2016: 1104</t>
  </si>
  <si>
    <t>37036-36P</t>
  </si>
  <si>
    <t>Patrick Llewellyn</t>
  </si>
  <si>
    <t>patrick.llewellyn@99designs.com</t>
  </si>
  <si>
    <t>+1 (800) 513-1678</t>
  </si>
  <si>
    <t>41-43 Stewart Street</t>
  </si>
  <si>
    <t>Level 2, Richmond</t>
  </si>
  <si>
    <t>+61 (0)180 0513 1678</t>
  </si>
  <si>
    <t>The company raised $15 million of Series B venture funding in a deal led by Recruit Strategic Partners and Accel on April 15, 2015. Grupo Intercom also participated in the round.</t>
  </si>
  <si>
    <t>Accel, Andrew Walsh, Dave Goldberg, Grupo Intercom, Harrison Metal Capital, Jeff Kearl, Michael Dearing, Recruit Strategic Partners, Stewart Butterfield</t>
  </si>
  <si>
    <t>Accel(www.accel.com), Grupo Intercom(www.grupointercom.com), Harrison Metal Capital(www.harrisonmetal.com), Recruit Strategic Partners(recruitstrategicpartners.com)</t>
  </si>
  <si>
    <t>Cooley(Legal Advisor), The MitchelLake Group(Consulting), True Capital Partners(Advisor: General)</t>
  </si>
  <si>
    <t>55145-80</t>
  </si>
  <si>
    <t>908 Devices</t>
  </si>
  <si>
    <t>VUV Analytics</t>
  </si>
  <si>
    <t>Developer of analytical devices designed to facilitate chemical and biomolecular analysis. The company offers a trace-level threat detection device which detects compounds at sensitivity levels comparable to ion mobility spectrometry to deliver real-time actionable intelligence and a front-end separation platform to measure multiple critical quality attributes in a single assay, enabling pharmaceutical, forensics and other industries players to accurately discriminate priority threats from the myriad of interferents and make fast, high-efficiency analysis.</t>
  </si>
  <si>
    <t>analytical devices, chemicals analysis, chemicals analysis devices, chemicals detection tools, mass spectrometry, mass spectrometry imaging, mass spectrometry platform</t>
  </si>
  <si>
    <t>www.908devices.com</t>
  </si>
  <si>
    <t>2012: 9, 2013: 24, 2014: 48, 2015: 73, 2017: 80</t>
  </si>
  <si>
    <t>35287-03P</t>
  </si>
  <si>
    <t>Kevin Knopp</t>
  </si>
  <si>
    <t>kevin@908devices.com</t>
  </si>
  <si>
    <t>+1 (857) 254-1500</t>
  </si>
  <si>
    <t>645 Summer Street</t>
  </si>
  <si>
    <t>info@908devices.com</t>
  </si>
  <si>
    <t>The company raised $17.5 million of Series E venture funding in a deal led by Northpond Ventures on April 29, 2019. Saudi Aramco Energy Ventures, Schlumberger Technology Investments, Tao Capital Partners, Sands Capital Ventures, Casdin Capital, ARCH Venture Partners and Razor's Edge Ventures also participated in the round. The funds will be used to deepen the company's application support and broaden the capabilities of its MX908 and ZipChip product lines.</t>
  </si>
  <si>
    <t>Alan Marshall, ARCH Venture Partners, Artur Stankiewicz, Casdin Capital, Corey Steffek, Cormorant Asset Management, Daryoosh Vakhshoori, David Walt, Hercules Capital, In-Q-Tel, J. Michael Ramsey, James Jorgenson, Jay Flatley, Kevin Hrusovsky, Manuel Méndez, Mark Spoto, Martin D. Madaus, Nicolas Barthelemy, Nicolas Roelofs, Northpond Ventures, Paul Meister, R. Douglas Kahn, Razor's Edge Ventures, Sands Capital Ventures, Saudi Aramco Energy Ventures, Schlumberger Technology Investments, Stephen Reeves, Tao Capital Partners, The University of Tokyo Edge Capital</t>
  </si>
  <si>
    <t>ARCH Venture Partners(www.archventure.com), Casdin Capital(www.casdincapital.com), Hercules Capital(www.htgc.com), In-Q-Tel(www.iqt.org), Northpond Ventures(www.northpondventures.com), Razor's Edge Ventures(www.razorsvc.com), Sands Capital Ventures(www.sandscapitalventures.com), Saudi Aramco Energy Ventures(www.saev.com), Tao Capital Partners(www.taocap.com), The University of Tokyo Edge Capital(www.ut-ec.co.jp)</t>
  </si>
  <si>
    <t>118655-29</t>
  </si>
  <si>
    <t>8i</t>
  </si>
  <si>
    <t>vTime, AltSpaceVR, FaceRig, Pixvana, BigScreen, NextVR, Faceware, Boom.tv, C360 Technologies</t>
  </si>
  <si>
    <t>Developer of a software platform designed to create and share 3D videos for virtual reality augmented reality and the web. The company's platform transforms HD video from multiple cameras into a fully volumetric recording, enabling viewers to create, distribute and experience human holograms that look real and feel as if they are in the same room.</t>
  </si>
  <si>
    <t>augmented reality, augmented reality app, interactive content, software platform, virtual reality, virtual reality app</t>
  </si>
  <si>
    <t>www.8i.com</t>
  </si>
  <si>
    <t>2015: 27, 2016: 56, 2017: 70</t>
  </si>
  <si>
    <t>Co-Founder &amp; Advisor</t>
  </si>
  <si>
    <t>5340 Alla Road</t>
  </si>
  <si>
    <t>90066</t>
  </si>
  <si>
    <t>hi@8i.com</t>
  </si>
  <si>
    <t>The company raised $26.74 million through a combination of Series B and Series B1 venture funding in a deal led by Time Warner investments on February 13, 2017, putting the company's pre-money valuation at $55 million. Baidu Ventures, Samsung NEXT Ventures, Hearst Ventures, Verizon Ventures, seed + speed Ventures and other undisclosed investors also participated in the round. The funding will be used to complete beta testing of its Holo app and then launch it globally this year.</t>
  </si>
  <si>
    <t>Advancit Capital, Andrew Hendricks, Baidu Ventures, Bertelsmann Digital Media Investments, Boost VC, Dolby Family Ventures, End Cue, Founders Fund, Freelands Ventures, Hearst Ventures, Horizons Ventures, ICE Angels, Inevitable Ventures, Jeremy Stoppelman, John Hendricks, Kevin Wall, Kortschak Investments, PTK Capital, Right Click Capital, Rothenberg Ventures, RRE Ventures, Samsung NEXT Ventures, Samsung Venture Investment, seed + speed Ventures, Signia Venture Partners, Sound Ventures, Verizon Ventures, Walter Kortschak, WarnerMedia Investments</t>
  </si>
  <si>
    <t>Advancit Capital(www.advancitcapital.com), Baidu Ventures(www.bv.ai), Bertelsmann Digital Media Investments(www.bdmifund.com), Boost VC(www.boost.vc), Dolby Family Ventures(www.dolbyventures.com), End Cue(audaxfilms.com), Founders Fund(www.foundersfund.com), Freelands Ventures(www.freelandsventures.com), Horizons Ventures(www.horizonsventures.com), ICE Angels(www.iceangels.co.nz), Inevitable Ventures(www.inevitablevc.com), Kortschak Investments(www.kortschak.com), PTK Capital(www.ptkcapital.com), Right Click Capital(www.rightclickcapital.com), Rothenberg Ventures(www.rothenbergventures.com), RRE Ventures(www.rre.com), Samsung NEXT Ventures(www.samsungnext.com), Samsung Venture Investment(www.samsungventures.com), seed + speed Ventures(www.seedandspeed.com), Signia Venture Partners(www.signiaventurepartners.com), Sound Ventures(www.sound-ventures.com), Verizon Ventures(www.verizonventures.com), Walter Kortschak(www.kilp.vc), WarnerMedia Investments(www.timewarnerinvestments.com)</t>
  </si>
  <si>
    <t>168654-70</t>
  </si>
  <si>
    <t>88Rising</t>
  </si>
  <si>
    <t>CXSHXNLY</t>
  </si>
  <si>
    <t>Producer of digital content catering to the Asian millennial market. The company produces content and offers media services for brands including music videos and clips with a focus on Asian culture, enabling viewers and artists get more diverse musical expressions as well as shift western perceptions of Asian popular music.</t>
  </si>
  <si>
    <t>Broadcasting, Radio and Television*, Movies, Music and Entertainment, Social/Platform Software</t>
  </si>
  <si>
    <t>branding content management, cultural content, digital content platform, global asian culture, media production, media production company, musicals labels, musicals platform</t>
  </si>
  <si>
    <t>www.88rising.com</t>
  </si>
  <si>
    <t>151421-68P</t>
  </si>
  <si>
    <t>Sean Miyashiro</t>
  </si>
  <si>
    <t>sean@88rising.com</t>
  </si>
  <si>
    <t>The company raised $4.5 million of venture funding in a deal led by WPP on August 1, 2017, putting the company's pre-money valuation at $15.5 million. Presidio Ventures also participated in the round.</t>
  </si>
  <si>
    <t>Presidio Ventures, Third Wave Digital, WPP</t>
  </si>
  <si>
    <t>Presidio Ventures(www.presidio-ventures.com), Third Wave Digital(www.thirdwavedigital.vc), WPP(www.wpp.com)</t>
  </si>
  <si>
    <t>52908-67</t>
  </si>
  <si>
    <t>800APPs</t>
  </si>
  <si>
    <t>Vox Mobile, CA Technologies, Sparta Systems, Intellectsoft, Intrepid Pursuits, Innovapptive, Infogain, Peloton Document Solutions, SummitWorks Technologies, AssurX, Cygnet Infotech, OSSCube, Wavelink, The App Geeks, BMC Software, Market Data Services, RealDolmen, TechJini, SAP, Menlo Technologies, GoCanvas (Reston), Y Media Labs</t>
  </si>
  <si>
    <t>Developer of software applications designed to be used for customer relationship management (CRM) services. The company's software applications provides OA, SCM, DRP, human resources, call center, point-of-sale and other BIS consulting services, enabling companies of all sizes, to automate sales force management and facilitate customer services, help customers to accelerate revenue growth and improve customer satisfaction.</t>
  </si>
  <si>
    <t>cloud computing, customer relationship management, customer relationship management system, social enterprise</t>
  </si>
  <si>
    <t>www.800apps.com</t>
  </si>
  <si>
    <t>38817-28P</t>
  </si>
  <si>
    <t>George Li</t>
  </si>
  <si>
    <t>+86 (0)10 5885 8938</t>
  </si>
  <si>
    <t>Suite E207</t>
  </si>
  <si>
    <t>Ying-Chuang-Dong-Li Plaza, Number 1,Shang-Di Road</t>
  </si>
  <si>
    <t>kefu@800app.com</t>
  </si>
  <si>
    <t>The company raised an undisclosed amount of Series B venture funding from Salesforce Ventures and Sierra Ventures on September 21, 2011.</t>
  </si>
  <si>
    <t>Ivy Capital Partners, Salesforce Ventures, Sierra Ventures</t>
  </si>
  <si>
    <t>Ivy Capital Partners(www.ivycapitalpartners.com), Sierra Ventures(www.sierraventures.com)</t>
  </si>
  <si>
    <t>60770-89</t>
  </si>
  <si>
    <t>7Summits</t>
  </si>
  <si>
    <t>Statera (Cloud Management), SideraWorks, LiquidHub, Magnet 360, Summa Technologies, West Monroe Partners, The North Highland Company</t>
  </si>
  <si>
    <t>Provider of social business service in the United States. The company's social business services include community experience design, platform development and integration as well as community activation which enable other companies to engage customers, partners and employees to help grow their businesses.</t>
  </si>
  <si>
    <t>Consulting Services (B2B), Other Commercial Services*, Other IT Services</t>
  </si>
  <si>
    <t>business strategy, social business, social media</t>
  </si>
  <si>
    <t>www.7summitsinc.com</t>
  </si>
  <si>
    <t>58144-42P</t>
  </si>
  <si>
    <t>Paul Stillmank</t>
  </si>
  <si>
    <t>paul@7summitsagency.com</t>
  </si>
  <si>
    <t>+1 (877) 803-9286</t>
  </si>
  <si>
    <t>Milwaukee, WI</t>
  </si>
  <si>
    <t>1110 Old World Third Street</t>
  </si>
  <si>
    <t>Milwaukee</t>
  </si>
  <si>
    <t>53203</t>
  </si>
  <si>
    <t>The company raised an undisclosed amount of Series A venture funding from Salesforce Ventures on February 10, 2017.</t>
  </si>
  <si>
    <t>Holton Investments, Salesforce Ventures, Sverica Capital Management</t>
  </si>
  <si>
    <t>Sverica Capital Management(www.sverica.com)</t>
  </si>
  <si>
    <t>Economics Partners(Consulting)</t>
  </si>
  <si>
    <t>Global Leveraged Capital(Advisor: General)</t>
  </si>
  <si>
    <t>55201-69</t>
  </si>
  <si>
    <t>6WIND</t>
  </si>
  <si>
    <t>VeloCloud, Extreme Networks, Atos Convergence Creators, Plexxi, Aryaka, Mitel Networks, Pertino, Cradlepoint, SaltStack, Apprenda, Corvil, Aruba Networks, Coriant, Pegasystems, Chef, Apcera, Adaptiv Networks, Nokia, Riverbed Technology, Astrocom Corporation, Corsa, BMC Software, Pluribus Networks, Star2Star Communications, TIBCO Software, Green Hills Software, SAP, Platform9, Cato Networks, ExterNetworks, Pure Storage, Mettle Networks, InfoVista, Kentik, Ericsson, Mesosphere, A10 Networks, Cumulus Networks, Open-Mesh, AppViewX, Exinda, Epicor Software, NetSuite, Nutanix, VMware, Box</t>
  </si>
  <si>
    <t>Provider of commercial networking software designed to offer networking and telecommunications services. The company's commercial networking software provides packet processing tools used by leading OEMs to meet both the wire‐speed performance and time‐to‐market requirements of mobile infrastructure, network securit and high‐frequency trading, enabling network vendors in telecom, enterprise and cloud infrastructure markets to enhance operational performance and solve time-to-market challenges.</t>
  </si>
  <si>
    <t>Business/Productivity Software, Telecommunications Service Providers*, Wireless Service Providers</t>
  </si>
  <si>
    <t>linux, mobile infrastructure, multi-core software, packet processing software, wireless service</t>
  </si>
  <si>
    <t>www.6wind.com</t>
  </si>
  <si>
    <t>2012: 8, 2014: 52, 2015: 77</t>
  </si>
  <si>
    <t>43733-98P</t>
  </si>
  <si>
    <t>Eric Carmès</t>
  </si>
  <si>
    <t>eric.carmes@6wind.com</t>
  </si>
  <si>
    <t>+33 (0)1 39 30 92 10</t>
  </si>
  <si>
    <t>Montigny-le-Bretonneux, France</t>
  </si>
  <si>
    <t>Immeuble Central Gare, Bat A</t>
  </si>
  <si>
    <t>1, place Charles de Gaulle</t>
  </si>
  <si>
    <t>Montigny-le-Bretonneux</t>
  </si>
  <si>
    <t>78180</t>
  </si>
  <si>
    <t>6wind-contact@6wind.com</t>
  </si>
  <si>
    <t>The company raised undisclosed amount of venture funding from Cisco Investments on July 6, 2015. The company plans to use the investment to advance technology innovation as well as expand international growth.</t>
  </si>
  <si>
    <t>ACE Management Equity Partner, Cisco Investments, Cross Atlantic Ventures, Innovation Capital (Paris), Sofinnova Partners, TechFund Europe, Thales Group</t>
  </si>
  <si>
    <t>Financière de Brienne</t>
  </si>
  <si>
    <t>ACE Management Equity Partner(www.acemanagement.fr), Cisco Investments(www.ciscoinvestments.com), Innovation Capital (Paris)(www.innovationcapital.fr), Sofinnova Partners(www.sofinnova.fr), TechFund Europe(www.techfund.com), Thales Group(www.thalesgroup.com)</t>
  </si>
  <si>
    <t>63251-83</t>
  </si>
  <si>
    <t>6Sense</t>
  </si>
  <si>
    <t>Grepdata</t>
  </si>
  <si>
    <t>Growth Intelligence, Versium, SalesLoft, Reach Analytics, DATAlovers, Infogroup, Terminus, RingDNA, Unomy, Datameer, Salesify, MixPanel, Chorus, Segment, Radius (Database Software), RapidMiner, Infer, ReachForce, HG Insights, Aberdeen Group, Express Analytics, BusinessOptics, The Big Willow, Outreach, Yext, Vendemore, EverString, Uberall, Mintigo, Boxever, Triblio, Clearbit, ConnectLeader, AgilOne, Demandbase, Datanyze, SalesHood, LeadGenius, Peak Business Insight, Lattice (Business/Productivity Software), Episerver, Brandmuscle, Dun &amp; Bradstreet NetProspex, Synup, DataFox, Corporate360, True Influence, Swrve, DiscoverOrg, LeanData, Bombora, Leadspace, Clari, InsideSales.com, FirstRain, Aviso, Zift Solutions, Angoss Software, InsideView, SproutLoud Media Networks, Epsilon Data Management, Tectonic, iProfile, Gainsight, mParticle, Harte Hanks, Velos.io, Actian, DialSource, LocalVox Media, Looker, Placeable, ContactUs Reviews, Predixion, Alteryx, Owler, RelPro, BetterWorks, Clear Link Technologies, OnStrategy, Main Street Hub, Velocify, Pentaho, MadKudu, Infinite Analytics, Seismic (Business/Productivity Software), Keap (Saas Platform), Colabo, OppSource.com, Leadiq, ConnectAndSell, CrunchTime! Information Systems, AchieveIt, Expert360</t>
  </si>
  <si>
    <t>Provider of a predictive intelligence platform designed to empower marketing and sales teams with 100 percent visibility into buyers. The company's platform provides omni-channel connectivity and visibility from brand to demand to revenue and offers customer insights such as anonymous website activity, buyer intent data and predictive analytics, enabling enterprises to achieve higher marketing to sales conversions.</t>
  </si>
  <si>
    <t>behavioral data, predictive analysis, predictive intelligence engine, predictive intelligence platform, predictive marketing, predictive marketing platform, sales intelligence</t>
  </si>
  <si>
    <t>www.6sense.com</t>
  </si>
  <si>
    <t>2015: 46</t>
  </si>
  <si>
    <t>96658-03P</t>
  </si>
  <si>
    <t>Robert Goldenberg</t>
  </si>
  <si>
    <t>rgoldenberg@6sense.com</t>
  </si>
  <si>
    <t>450 Mission Street</t>
  </si>
  <si>
    <t>+1 (415) 212-9225</t>
  </si>
  <si>
    <t>contactus@6sense.com</t>
  </si>
  <si>
    <t>The company raised $27 million of venture funding in a deal led by Industry Ventures on April 16, 2019. Salesforce Ventures, Simplexity Services, Costanoa Ventures, Battery Ventures, Venrock and Bain Capital Ventures also participated in this round. The funds will be used by the company to expand its product, including transforming the traditional email nurture track into multi-channel next-best-action suggestions that adjust in real-time based on buyers' behavior.</t>
  </si>
  <si>
    <t>Bain Capital Ventures, Base Ventures, Battery Ventures, Costanoa Ventures, Industry Ventures, Salesforce Ventures, Silicon Valley Bank, Simplexity Services, The Team Group, Venrock, Y Combinator</t>
  </si>
  <si>
    <t>Bain Capital Ventures(www.baincapitalventures.com), Base Ventures(www.base.ventures), Battery Ventures(www.battery.com), Costanoa Ventures(www.costanoavc.com), Industry Ventures(www.industryventures.com), Silicon Valley Bank(www.svb.com), Simplexity Services(simplexity.co), The Team Group(www.theteamgrp.com), Venrock(www.venrock.com), Y Combinator(www.ycombinator.com)</t>
  </si>
  <si>
    <t>100709-11</t>
  </si>
  <si>
    <t>55</t>
  </si>
  <si>
    <t>Provider of web and media analytics services created to helps brands leverage data and technology, to engage people better, faster and cheaper. The company's web and media analytics services design a tailored approach to data-driven marketing, increase programmatic budgets across online and offline channels, building a lasting tech framework and creating a seamless shopping experience, enabling businesses to adopt a smarter marketing approach.</t>
  </si>
  <si>
    <t>Consulting Services (B2B)*, Media and Information Services (B2B)</t>
  </si>
  <si>
    <t>Big Data, Industrials, Marketing Tech, TMT</t>
  </si>
  <si>
    <t>customer analytics, marketing analytics, marketing analytics services, marketing insights service, media analytics, web analytics</t>
  </si>
  <si>
    <t>www.fifty-five.com</t>
  </si>
  <si>
    <t>128592-64P</t>
  </si>
  <si>
    <t>Fabrice Dumas</t>
  </si>
  <si>
    <t>fabrice@fifty-five.com</t>
  </si>
  <si>
    <t>+33 (0)1 76 21 91 37</t>
  </si>
  <si>
    <t>5-7 rue d'athènes</t>
  </si>
  <si>
    <t>The company was acquired by You &amp; Mr Jones Brandtech Ventures through an LBO on January 29, 2016 for an undisclosed sum.</t>
  </si>
  <si>
    <t>Clipperton Finance(Advisor: General), Gide Loyrette Nouel(Legal Advisor)</t>
  </si>
  <si>
    <t>51220-45</t>
  </si>
  <si>
    <t>4INFO</t>
  </si>
  <si>
    <t>UDolt, SMSLocate</t>
  </si>
  <si>
    <t>Blue Bite, PlaceIQ, Blackfox, BlueCava, Boost Media, Visual IQ, AdRoll, mobileStorm, AdYapper, InMobi, Jana (Mobile)</t>
  </si>
  <si>
    <t>Provider of SMS based mobile search and alert services designed to make it a core component of media mix. The company's mobile search and alert services offers consumers free access to real-time sports scores, stock quotes, campaigns, advertising networks and demographics, weather updates and horoscopes, enabling marketers to generate additional sales.</t>
  </si>
  <si>
    <t>advertising network, mobile campaign, mobile search, sms advertising, sms alerts, sms publishing, targeted advertising</t>
  </si>
  <si>
    <t>www.4info.com</t>
  </si>
  <si>
    <t>2008: 60, 2014: 57</t>
  </si>
  <si>
    <t>43761-16P</t>
  </si>
  <si>
    <t>Tim Jenkins</t>
  </si>
  <si>
    <t>tjenkins@4info.com</t>
  </si>
  <si>
    <t>+1 (650) 350-4800</t>
  </si>
  <si>
    <t>155 Bovet Road</t>
  </si>
  <si>
    <t>contact@4info.com</t>
  </si>
  <si>
    <t>The company raised $1.5 million of debt refinancing from Avidbank on August 05, 2014. The funding will be used to renew the Line of Credit and support the Company's continued revenue growth plans. Previously, Rogers Venture Partners sold its stake in the company on an undisclosed date.</t>
  </si>
  <si>
    <t>Big Basin Partners, Comcast Ventures, Costella Kirsch, Draper Fisher Jurvetson Management, Gannett Company, Mezzanine Capital Partners, Mitsui Global Investment, Peacock Equity, Rogers Venture Partners, Sand Hill Capital, Selby Ventures, Solution Financial, US Venture Partners, Vulcan Capital</t>
  </si>
  <si>
    <t>Big Basin Partners(www.timark.net), Comcast Ventures(www.comcastventures.com), Costella Kirsch(www.costellakirsch.com), Draper Fisher Jurvetson Management(www.dfj.com), Gannett Company(www.gannett.com), Mitsui Global Investment(www.mitsui-global.com), Rogers Venture Partners(www.rogersvp.com), Sand Hill Capital(www.sandhillcapital.com), Selby Ventures(www.selbyventures.com), Solution Financial(www.shellbyventures.com), US Venture Partners(www.usvp.com), Vulcan Capital(capital.vulcan.com)</t>
  </si>
  <si>
    <t>Carpe Search Partners(Consulting), Goodwin(Legal Advisor), Gunderson Dettmer(Legal Advisor)</t>
  </si>
  <si>
    <t>Avidbank(Debt Financing), Goodwin(Legal Advisor), Gunderson Dettmer(Legal Advisor)</t>
  </si>
  <si>
    <t>170005-69</t>
  </si>
  <si>
    <t>4C Consulting</t>
  </si>
  <si>
    <t>4C</t>
  </si>
  <si>
    <t>Provider of Salesforce integration services intended to build customer-centric companies through Salesforce, data analytics, and business consulting. The company is involved in the design, consultation, implementation, and follow-up of Salesforce services and solutions, helping companies create intelligent, omnichannel platforms that focus on creating customer-centric experiences.</t>
  </si>
  <si>
    <t>Business/Productivity Software, Consulting Services (B2B)*, IT Consulting and Outsourcing</t>
  </si>
  <si>
    <t>salesforce consulting, salesforce development, salesforce integration, salesforce management, salesforce transformation</t>
  </si>
  <si>
    <t>www.weare4c.com</t>
  </si>
  <si>
    <t>2006: 9, 2007: 10, 2008: 15, 2009: 17, 2010: 19, 2011: 23, 2013: 27, 2015: 36, 2017: 46</t>
  </si>
  <si>
    <t>155456-20P</t>
  </si>
  <si>
    <t>Johan Genechten</t>
  </si>
  <si>
    <t>Founder &amp; Group Chief Executive Officer</t>
  </si>
  <si>
    <t>genechten@weare4c.com</t>
  </si>
  <si>
    <t>+32 (0)1 528 12 81</t>
  </si>
  <si>
    <t>Mechelen, Belgium</t>
  </si>
  <si>
    <t>Stationsstraat 60/5</t>
  </si>
  <si>
    <t>Mechelen</t>
  </si>
  <si>
    <t>2800</t>
  </si>
  <si>
    <t>mechelen@weare4c.com</t>
  </si>
  <si>
    <t>The company received an undisclosed amount of development capital from Trocadero Capital Partners on January 12, 2017. Trocadero Capital Partners had arranged the whole financing of CloudSocius acquisition.</t>
  </si>
  <si>
    <t>Salesforce Ventures, Trocadero Capital Partners</t>
  </si>
  <si>
    <t>Trocadero Capital Partners(www.trocaderocp.com)</t>
  </si>
  <si>
    <t>BDO UK(Advisor: Financial Due Diligence), Vista Capital Advisors(Advisor: General)</t>
  </si>
  <si>
    <t>109106-56</t>
  </si>
  <si>
    <t>479 Degrees</t>
  </si>
  <si>
    <t>LesserEvil, Pop Gourmet</t>
  </si>
  <si>
    <t>Provider of an online snack platform intended to sell popcorn's. The company online snack platform produces organic popcorn at 479 degrees Fahrenheit that are gluten and also offers other popcorn products like gourmet popcorn, pop kits and corporate popcorn gifts, providing consumers with mouthwatering popcorn's of different flavors.</t>
  </si>
  <si>
    <t>Distributors/Wholesale (B2C), Food Products*</t>
  </si>
  <si>
    <t>gluten-free popcorn's, gluten-free snacks, popcorn</t>
  </si>
  <si>
    <t>www.479degrees.com</t>
  </si>
  <si>
    <t>104336-65P</t>
  </si>
  <si>
    <t>Jean Arnold</t>
  </si>
  <si>
    <t>jean@479degrees.com</t>
  </si>
  <si>
    <t>+1 (815) 552-6039</t>
  </si>
  <si>
    <t>3450 Sacramento Street</t>
  </si>
  <si>
    <t>94118</t>
  </si>
  <si>
    <t>The company raised $1.85 million of venture funding in a deal led by Emil Capital Partners on February 13, 2015. Daniel Lubetzky also participated in the round.</t>
  </si>
  <si>
    <t>Daniel Lubetzky, Emil Capital Partners</t>
  </si>
  <si>
    <t>Burkland Associates(Accounting)</t>
  </si>
  <si>
    <t>221946-31</t>
  </si>
  <si>
    <t>4505 Meats</t>
  </si>
  <si>
    <t>Producer of pork rinds and meat products. The company's offerings include a wide variety of pork snacks and chicharrones seasoned with spices and prepared using quality ingredients and meat sourced from a collective of small ranchers that practice sustainable and humane husbandry techniques, enabling customers to get access to natural delicious meaty snacks.</t>
  </si>
  <si>
    <t>chicharrones, meat food items, meat food product, meat product, salty snacks</t>
  </si>
  <si>
    <t>4505meats.com</t>
  </si>
  <si>
    <t>173766-79P</t>
  </si>
  <si>
    <t>Ryan Farr</t>
  </si>
  <si>
    <t>rfarr@4505meats.com</t>
  </si>
  <si>
    <t>+1 (415) 255-3094</t>
  </si>
  <si>
    <t>360 Guerrero Apartment 408</t>
  </si>
  <si>
    <t>meats@4505meats.com</t>
  </si>
  <si>
    <t>The company received $8.45 million of development capital from Encore Consumer Capital and CircleUp Network on April 5, 2019. Previously, the company raised an estimated $3 million of Series A venture funding from CircleUp Network on October 2, 2017, putting the pre-money valuation at $7 million.</t>
  </si>
  <si>
    <t>CircleUp Network, Encore Consumer Capital</t>
  </si>
  <si>
    <t>CircleUp Network(www.circleup.com), Encore Consumer Capital(www.encoreconsumercapital.com)</t>
  </si>
  <si>
    <t>181655-83</t>
  </si>
  <si>
    <t>Milestone Systems, WiZR, Envysion, DIGIOP, Verint Systems, Leverage Information Systems, VidSys, Agilence, Genetec, Modcam, 3VR, CNL Software</t>
  </si>
  <si>
    <t>Provider of business intelligence platform intended to offer various forms of security technology. The company's business intelligence platform offers surveillance and business intelligence software that seamlessly integrate video, access control, alarm audio and video verification and disparate data sets such as ATM, Point-of-Sale, analytics, enabling clients to extract more value from already-collected data.</t>
  </si>
  <si>
    <t>data security platform, data security tool, ip video surveillance, video management, video surveillance services</t>
  </si>
  <si>
    <t>www.3xlogic.com</t>
  </si>
  <si>
    <t>164341-81P</t>
  </si>
  <si>
    <t>Matt Kushner</t>
  </si>
  <si>
    <t>matt.kushner@3xlogic.com</t>
  </si>
  <si>
    <t>+1 (303) 430-1969</t>
  </si>
  <si>
    <t>12000 Pecos Street</t>
  </si>
  <si>
    <t>Suite 290</t>
  </si>
  <si>
    <t>80234</t>
  </si>
  <si>
    <t>+1 (303) 957-1969</t>
  </si>
  <si>
    <t>The company raised $7.9 million of Series A venture funding from Stanley Ventures on May 18, 2017, putting the pre-money valuation at $24 million.</t>
  </si>
  <si>
    <t>Stanley Black &amp; Decker</t>
  </si>
  <si>
    <t>54310-69</t>
  </si>
  <si>
    <t>3Scan</t>
  </si>
  <si>
    <t>Developer of a robotic microscope technology designed to develop 3-D digital reconstruction of brain tissue. The company's robotic microscope Knife Edge Scanning Microscope (KESM) brings together elements of machine vision, automated serial sectioning, micro-machining and advanced optics, it slices the tissue samples very precisely, it's system then derives 10,000 slices from each tissue sample and then uses machine vision to generate a digital, 3-D spatial map which researchers can review and explore on a screen, providing scientists with a better view and more comprehensive data set from any given tissue sample.</t>
  </si>
  <si>
    <t>3D Printing, Life Sciences, Robotics and Drones, TMT</t>
  </si>
  <si>
    <t>3-d spatial map, brain-tissue 3d maps, robotics microscope</t>
  </si>
  <si>
    <t>www.3scan.com</t>
  </si>
  <si>
    <t>2015: 24, 2016: 30</t>
  </si>
  <si>
    <t>40996-90P</t>
  </si>
  <si>
    <t>Megan Klimen</t>
  </si>
  <si>
    <t>megan@3scan.com</t>
  </si>
  <si>
    <t>+1 (415) 851-5376</t>
  </si>
  <si>
    <t>2122 Bryant Street</t>
  </si>
  <si>
    <t>info@3scan.com</t>
  </si>
  <si>
    <t>The company raised an undisclosed amount of venture funding from Baidu Ventures on July 1, 2018. The company also raised an undisclosed amount of corporate financing from UPMC Enterprises. Previously, the company raised $14 million of Series B venture funding from lead investors Lux Capital and Data Collective on July 8, 2016, putting the company's pre-money valuation at $66 million.</t>
  </si>
  <si>
    <t>Alchemist Accelerator, Baidu Ventures, Breakout Labs, Breakout Ventures, Comet Labs, Data Collective, Dolby Family Ventures, Iron Yard Ventures, Lux Capital, MBC BioLabs, OS Fund, SK Ventures, Social Impact Capital, Start-Up Chile, UPMC Enterprises</t>
  </si>
  <si>
    <t>Alchemist Accelerator(www.alchemistaccelerator.com), Baidu Ventures(www.bv.ai), Breakout Labs(www.breakoutlabs.org), Breakout Ventures(www.breakout.vc), Comet Labs(www.cometlabs.io), Data Collective(www.dcvc.com), Dolby Family Ventures(www.dolbyventures.com), Iron Yard Ventures(www.ironyardventures.com), Lux Capital(www.luxcapital.com), MBC BioLabs(www.mbcbiolabs.com), OS Fund(www.osfund.co), SK Ventures(www.skvcap.com), Social Impact Capital(www.social-impact-capital.com), Start-Up Chile(www.startupchile.org), UPMC Enterprises(enterprises.upmc.com)</t>
  </si>
  <si>
    <t>55546-03</t>
  </si>
  <si>
    <t>3DR</t>
  </si>
  <si>
    <t>3D Robotics</t>
  </si>
  <si>
    <t>Provider of smart drones intended to offer site scanning and land mapping services. The company's drones helps users in land mapping and site scanning services that collect accurate aerial data of the jobsite, turns the drone photos into maps, models, point clouds and provides comprehensive onboarding and ongoing support, enabling clients to take batter and informed decisions related to construction sites.</t>
  </si>
  <si>
    <t>Business/Productivity Software, Electronic Equipment and Instruments, Media and Information Services (B2B)*</t>
  </si>
  <si>
    <t>drones, robotics manufacturer, smart device</t>
  </si>
  <si>
    <t>www.3dr.com</t>
  </si>
  <si>
    <t>2015: 350, 2016: 100</t>
  </si>
  <si>
    <t>44090-56P</t>
  </si>
  <si>
    <t>Gregory Anderson</t>
  </si>
  <si>
    <t>chris@3drobotics.com</t>
  </si>
  <si>
    <t>+1 (510) 990-8096</t>
  </si>
  <si>
    <t>1608 4th Street</t>
  </si>
  <si>
    <t>+1 (858) 605-4541</t>
  </si>
  <si>
    <t>help@3dr.com</t>
  </si>
  <si>
    <t>The company raised $53 million of Series D venture funding in a deal led by Atlantic Bridge Capital on April 28, 2017, putting the company's pre-money valuation at $65 million. Qualcomm Ventures, Shea Ventures, Autodesk, Industry Ventures, WestSummit Capital, O'Reilly AlphaTech Ventures, Foundry Group, Mayfield Fund and True Ventures also participated in the round. The company plans to use the funds in building out Site Scan and marketing it within construction and engineering industries.</t>
  </si>
  <si>
    <t>Atlantic Bridge Capital, Autodesk, Beijing Daqi Fortune Investment Company, Christopher Michel, Digital Horizon Capital, Foundry Group, Industry Ventures, Mayfield Fund, Nautilus Ventures, Ooga Labs, O'Reilly AlphaTech Ventures, Qualcomm Ventures, Richard Branson, SanDisk Ventures, Shea Ventures, SK Ventures, True Ventures, Two Sigma Ventures, Union Grove Venture Partners, Virgin (London), Western Digital Capital, WestSummit Capital</t>
  </si>
  <si>
    <t>Atlantic Bridge Capital(www.abven.com), Beijing Daqi Fortune Investment Company(www.daqi-group.com), Christopher Michel(www.christophermichel.com), Digital Horizon Capital(www.dh.vc), Foundry Group(www.foundrygroup.com), Industry Ventures(www.industryventures.com), Mayfield Fund(www.mayfield.com), Nautilus Ventures(www.nautilusventures.com), Ooga Labs(www.oogalabs.com), O'Reilly AlphaTech Ventures(www.oatv.com), Qualcomm Ventures(www.qualcommventures.com), SK Ventures(www.skvcap.com), True Ventures(www.trueventures.com), Two Sigma Ventures(www.twosigmaventures.com), Union Grove Venture Partners(www.ugvp.com), Virgin (London)(www.virgin.com), Western Digital Capital(www.westerndigitalcapital.com), WestSummit Capital(www.westsummitcap.com)</t>
  </si>
  <si>
    <t>Arete Partners(Consulting), Daversa Partners(Consulting), DLA Piper(Legal Advisor), Wilson Sonsini Goodrich &amp; Rosati(Legal Advisor)</t>
  </si>
  <si>
    <t>Nautilus Ventures(Debt Financing), Wilson Sonsini Goodrich &amp; Rosati(Legal Advisor)</t>
  </si>
  <si>
    <t>58634-74</t>
  </si>
  <si>
    <t>3D Hubs</t>
  </si>
  <si>
    <t>Shapeways, Makexyz, Pzartech, Sculpteo, Trinckle, Voodoo Manufacturing, Fictiv, Formlabs</t>
  </si>
  <si>
    <t>Developer of an online marketplace designed to provide three-dimensional printing productions. The company's online marketplace connects and facilitates transactions between 3D printer owners (hubs) and people who want to make 3D prints, enabling product designers and engineers to find the right 3D print service for their prototyping and small production runs, printer owners to join the hubs listing in their city to offer 3D printing services in their neighbourhood and customers to locate printer owners to get stuff printed.</t>
  </si>
  <si>
    <t>Application Software, Printing Services (B2B)*</t>
  </si>
  <si>
    <t>3D Printing, E-Commerce, Industrials, SaaS, TMT</t>
  </si>
  <si>
    <t>3d printing firm, dimensional platform, printing platform, printing service platform, rapid prototyping tools</t>
  </si>
  <si>
    <t>www.3dhubs.com</t>
  </si>
  <si>
    <t>2016: 34</t>
  </si>
  <si>
    <t>53148-61P</t>
  </si>
  <si>
    <t>Abram de Zwart</t>
  </si>
  <si>
    <t>bram@3dhubs.com</t>
  </si>
  <si>
    <t>Frederiksplein 42</t>
  </si>
  <si>
    <t>1017 XN</t>
  </si>
  <si>
    <t>info@3dhubs.com</t>
  </si>
  <si>
    <t>The company raised $18 million of Series C venture funding in a deal led by Endeit Capital on March 26, 2019. Balderton Capital, EQT Ventures, Hearst Ventures, Erik de Bruijn and Arthur Kosten also participated in the round. The funds will be used to advance automation of key manufacturing processes, expand the team and open a new office in the U.S.</t>
  </si>
  <si>
    <t>Arthur Kosten, Balderton Capital, Endeit Capital, EQT Ventures, Erik de Bruijn, Hearst Ventures, Michiel Dekkers, RockStart, Sander van der Blonk, Stichting DOEN, Zeeburg Investments</t>
  </si>
  <si>
    <t>Balderton Capital(www.balderton.com), Endeit Capital(www.endeit.com), EQT Ventures(www.eqtventures.com), RockStart(www.rockstart.com), Stichting DOEN(www.doen.nl)</t>
  </si>
  <si>
    <t>223372-99</t>
  </si>
  <si>
    <t>3D Glass Solutions</t>
  </si>
  <si>
    <t>3DGS</t>
  </si>
  <si>
    <t>Developer of electronic systems and devices designed for photo-definable glass-ceramics. The company manufactures a wide variety of glass-based system-in-package (SiP) devices and components using its patented low-loss photosensitive technology, enabling clients access to complete glass system integration services.</t>
  </si>
  <si>
    <t>Other Commercial Services*, Production (Semiconductors)</t>
  </si>
  <si>
    <t>glass system integration, glass system manufacturing, glass-enabled systems, integrative technology, manufacturing services</t>
  </si>
  <si>
    <t>www.3dglasssolutions.com</t>
  </si>
  <si>
    <t>2015: 15, 2019: 18</t>
  </si>
  <si>
    <t>176448-70P</t>
  </si>
  <si>
    <t>Adam Gushard</t>
  </si>
  <si>
    <t>adam.gushard@3dglasssolutions.com</t>
  </si>
  <si>
    <t>+1 (505) 916-5592</t>
  </si>
  <si>
    <t>5201 Venice Avenue Northeast</t>
  </si>
  <si>
    <t>87113</t>
  </si>
  <si>
    <t>+1 (505) 916-5590</t>
  </si>
  <si>
    <t>+1 (866) 561-0975</t>
  </si>
  <si>
    <t>info@3dglasssolutions.com</t>
  </si>
  <si>
    <t>The company raised $5 million of Series B venture funding from Sun Mountain Capital, Samsung Venture Investment and Nagase &amp; Company on May 30, 2018.</t>
  </si>
  <si>
    <t>Nagase &amp; Company, National Science Foundation, New Mexico Economic Development Department, Samsung Venture Investment, Sun Mountain Capital, U.S. Department of Health and Human Services</t>
  </si>
  <si>
    <t>Nagase &amp; Company(www.nagase.co.jp), National Science Foundation(seedfund.nsf.gov), New Mexico Economic Development Department(gonm.biz), Samsung Venture Investment(www.samsungventures.com), Sun Mountain Capital(www.sunmountaincapital.com), U.S. Department of Health and Human Services(hhs.gov)</t>
  </si>
  <si>
    <t>98400-25</t>
  </si>
  <si>
    <t>3Bar Biologics</t>
  </si>
  <si>
    <t>Developer of a microbe inoculant system designed to increase crop yield and reduce dependency on synthetic chemicals. The company's sustainable system uses naturally occurring microbes that are precisely matched to specific crops and soil environments for activation at the time of planting, enabling farmers to produce healthier crops and higher yields without altering the way they plant.</t>
  </si>
  <si>
    <t>AgTech, Life Sciences</t>
  </si>
  <si>
    <t>crop health, ecological product, increase crop yield, inoculants system, microbe inoculants system, microbial inoculants, sustainable crop</t>
  </si>
  <si>
    <t>www.3barbiologics.com</t>
  </si>
  <si>
    <t>2014: 1, 2015: 2, 2016: 2</t>
  </si>
  <si>
    <t>81881-02P</t>
  </si>
  <si>
    <t>Bruce Caldwell</t>
  </si>
  <si>
    <t>Chief Executive Officer, President &amp; Co-Founder</t>
  </si>
  <si>
    <t>bruce.caldwell@3barbiologics.com</t>
  </si>
  <si>
    <t>+1 (614) 271-9388</t>
  </si>
  <si>
    <t>info@3barbiologics.com</t>
  </si>
  <si>
    <t>The company received $600,000 in grant funding from the United States Department of Agriculture's (USDA) National Institute of Food and Agriculture on October 18, 2017. Prior to this, the company raised $2 million of Series A venture funding in a deal led by Rev1 Ventures on August 16, 2017, putting the company's pre-money valuation at $3.5 million. Maumee Ventures, SVG Partners, Ohio Tech Angels, Queen City Angels and Carmen Innovation also participated in the round. The company intends to use the funds to help farmers improve the quantity and quality of crop production.</t>
  </si>
  <si>
    <t>Carmen Innovation, Maumee Ventures, Ohio Tech Angels, Ohio Third Frontier, Queen City Angels, Rev1 Ventures, SVG Ventures, Thrive Accelerator, United States Department of Agriculture, Village Capital</t>
  </si>
  <si>
    <t>Maumee Ventures(www.maumeeventures.com), Ohio Tech Angels(www.ohiotechangels.com), Ohio Third Frontier(www.development.ohio.gov/bs_thirdfrontier), Queen City Angels(www.qca.com), Rev1 Ventures(www.rev1ventures.com), SVG Ventures(www.svgventures.com), Thrive Accelerator(www.thriveagtech.com), United States Department of Agriculture(www.usda.gov), Village Capital(www.vilcap.com)</t>
  </si>
  <si>
    <t>Dickinson Wright(Legal Advisor), JPMorgan Chase(General Business Banking)</t>
  </si>
  <si>
    <t>Billion &amp; Armitage(Legal Advisor)</t>
  </si>
  <si>
    <t>169555-60</t>
  </si>
  <si>
    <t>2Sens</t>
  </si>
  <si>
    <t>Developer of real time video processing technology. The company develops a video processing technology which helps to capture mobile videos in 3D, as well as 3D Stereoscopic videos, enabling users to use 3D videos for advertising.</t>
  </si>
  <si>
    <t>3d video, video process technology, video processing, vr video</t>
  </si>
  <si>
    <t>www.2sens.co</t>
  </si>
  <si>
    <t>46401-13P</t>
  </si>
  <si>
    <t>Moshe Meyassed</t>
  </si>
  <si>
    <t>moshe@2sens.co</t>
  </si>
  <si>
    <t>Sarona</t>
  </si>
  <si>
    <t>The company raised venture funding from Samsung NEXT Ventures and KDC Media Fund on an undisclosed date.</t>
  </si>
  <si>
    <t>KDC Media Fund, Samsung NEXT Ventures</t>
  </si>
  <si>
    <t>KDC Media Fund(www.kdc.fund), Samsung NEXT Ventures(www.samsungnext.com)</t>
  </si>
  <si>
    <t>56463-04</t>
  </si>
  <si>
    <t>2beans</t>
  </si>
  <si>
    <t>2|beans</t>
  </si>
  <si>
    <t>Operator of a chocolate and coffee outlet. The company's products include raw chocolates, almond milk coffees, wines and pastries among others which are gluten-free, organic and sugar-free which can be ordered through iPad based ordering system, enabling its customer to relax and spend good time with their loved ones.</t>
  </si>
  <si>
    <t>Beverages*, Food Products, Restaurants and Bars</t>
  </si>
  <si>
    <t>business gift item, business gifts cards, chocolate shops, eatable product, gift, gift card</t>
  </si>
  <si>
    <t>www.2beans.com</t>
  </si>
  <si>
    <t>48104-83P</t>
  </si>
  <si>
    <t>Hans Heer</t>
  </si>
  <si>
    <t>hans.heer@2beans.com</t>
  </si>
  <si>
    <t>+1 (212) 937-8914</t>
  </si>
  <si>
    <t>100 Park Avenue</t>
  </si>
  <si>
    <t>Between 40th and 41st Streets</t>
  </si>
  <si>
    <t>info@2beans.com</t>
  </si>
  <si>
    <t>The company received an undisclosed amount of debt financing in the form of two separate liens from The Sam Tell Companies and Illycaffe in the second half of 2012.</t>
  </si>
  <si>
    <t>Illycaffè(Debt Financing), The Sam Tell Companies(Debt Financing)</t>
  </si>
  <si>
    <t>56695-78</t>
  </si>
  <si>
    <t>2-B Energy</t>
  </si>
  <si>
    <t>2-B</t>
  </si>
  <si>
    <t>Developer of wind turbine generators and power plants designed to drive down costs and make offshore wind sustainable. The company's generators and power plants include fully-integrated towers and foundation designs which provides harmony in hoisting process through rotor orientation methods to access wind turbines in higher sea, enabling the renewable energy industry to reduce the cost of power generation, thereby producing sustainable energy.</t>
  </si>
  <si>
    <t>Alternative Energy Equipment*, Energy Infrastructure, Energy Production, Environmental Services (B2B)</t>
  </si>
  <si>
    <t>CleanTech, Impact Investing, Infrastructure</t>
  </si>
  <si>
    <t>impact investing vertical, offshore power plant, power plant, power plant site, renewable energy, turbine generator, wind turbine, wind turbine mast</t>
  </si>
  <si>
    <t>www.2benergy.com</t>
  </si>
  <si>
    <t>49763-26P</t>
  </si>
  <si>
    <t>Herbert Peels</t>
  </si>
  <si>
    <t>herbert.peels@2-benergy.com</t>
  </si>
  <si>
    <t>+31 (0)74 256 6330</t>
  </si>
  <si>
    <t>Hengelo, Netherlands</t>
  </si>
  <si>
    <t>Welbergweg 54</t>
  </si>
  <si>
    <t>Hengelo</t>
  </si>
  <si>
    <t>7556 PE</t>
  </si>
  <si>
    <t>+31 (0)74 250 7451</t>
  </si>
  <si>
    <t>info@2-benergy.com</t>
  </si>
  <si>
    <t>The company was in talks to receive an undisclosed amount of venture funding from Scottish Enterprise on July 4, 2017. Subsequently the deal was cancelled. Previously, the company raised GBP 22.2 million of venture funding from Truffle Capital, Oost NL and Rabobank Group on March 18, 2014. Shell Ventures, Netherlands Enterprise Agency, Scottish Enterprise and Department for International Trade also participated in this round. The funding was used to commercialize its cutting-edge offshore wind technology in a bid to significantly drive down the cost of offshore wind.</t>
  </si>
  <si>
    <t>Department for International Trade, Mainstream Renewable Power, Netherlands Enterprise Agency, Oost NL, Rabobank Group, Scottish Enterprise, Shell Ventures, Truffle Capital</t>
  </si>
  <si>
    <t>Mainstream Renewable Power(www.mainstreamrp.com), Netherlands Enterprise Agency(english.rvo.nl), Oost NL(www.oostnl.com), Rabobank Group(www.rabobank.com), Scottish Enterprise(www.scottish-enterprise.com), Truffle Capital(www.truffle.com)</t>
  </si>
  <si>
    <t>112586-59</t>
  </si>
  <si>
    <t>1QBit</t>
  </si>
  <si>
    <t>Rigetti, KnuEdge, Teradici, QC Ware, Cambridge Quantum Computing, QxBranch, BrainChip Holdings</t>
  </si>
  <si>
    <t>The company's quantum computing software uses machine intelligence and optimization science through a widely accessible, hardware-agnostic platform to develop novel approaches to applications, enabling clients and hardware providers to get improved applications with the advancements in both classical and quantum computing architectures.</t>
  </si>
  <si>
    <t>Other IT Services, Software Development Applications*</t>
  </si>
  <si>
    <t>computing architecture, computing software, quantum computing, quantum computing hardware, quantum computing software, software developer</t>
  </si>
  <si>
    <t>www.1qbit.com</t>
  </si>
  <si>
    <t>2014: 40, 2015: 19, 2017: 50</t>
  </si>
  <si>
    <t>95627-26P</t>
  </si>
  <si>
    <t>Andrew Fursman</t>
  </si>
  <si>
    <t>andrew.fursman@1qbit.com</t>
  </si>
  <si>
    <t>+1 (646) 820-8865</t>
  </si>
  <si>
    <t>458-550 Burrard Street</t>
  </si>
  <si>
    <t>V6C 2B5</t>
  </si>
  <si>
    <t>info@1qbit.com</t>
  </si>
  <si>
    <t>The company raised an undisclosed amount of venture funding in a deal led by Digital Ventures (Bangkok) on April 10, 2018.</t>
  </si>
  <si>
    <t>Accenture, Allianz Global Investors, Allianz X, Breakoff Capital, CME Ventures, Digital Ventures (Bangkok), Fujitsu, OneEleven, Royal Bank of Scotland, Singularity University, Tiny Capital</t>
  </si>
  <si>
    <t>Accenture(www.accenture.com), Allianz Global Investors(www.allianzgi.com), Allianz X(www.allianzx.com), Breakoff Capital(www.breakoffcapital.com), Digital Ventures (Bangkok)(www.dv.co.th), Fujitsu(www.fujitsu.com), OneEleven(www.oneeleven.com), Royal Bank of Scotland(www.rbs.com), Singularity University(www.su.org), Tiny Capital(tinycapital.co)</t>
  </si>
  <si>
    <t>Singularity University(Consulting)</t>
  </si>
  <si>
    <t>Arkema</t>
  </si>
  <si>
    <t xml:space="preserve"> Defense Advanced Research Projects Agency</t>
  </si>
  <si>
    <t xml:space="preserve"> Lockheed Martin Ventures</t>
  </si>
  <si>
    <t xml:space="preserve"> National Aeronautics and Space Administration</t>
  </si>
  <si>
    <t xml:space="preserve"> State of Ohio Department of Development</t>
  </si>
  <si>
    <t xml:space="preserve"> U.S. Navy</t>
  </si>
  <si>
    <t xml:space="preserve"> United States Army</t>
  </si>
  <si>
    <t>Khosla Ventures</t>
  </si>
  <si>
    <t xml:space="preserve"> Samsung Catalyst</t>
  </si>
  <si>
    <t>Bessemer Venture Partners</t>
  </si>
  <si>
    <t xml:space="preserve"> Collina Ventures</t>
  </si>
  <si>
    <t xml:space="preserve"> Donald Brown</t>
  </si>
  <si>
    <t xml:space="preserve"> GGV Capital</t>
  </si>
  <si>
    <t xml:space="preserve"> Haystack</t>
  </si>
  <si>
    <t xml:space="preserve"> High Alpha</t>
  </si>
  <si>
    <t xml:space="preserve"> Hyde Park Venture Partners</t>
  </si>
  <si>
    <t xml:space="preserve"> Peter McCormick</t>
  </si>
  <si>
    <t xml:space="preserve"> Revolution</t>
  </si>
  <si>
    <t xml:space="preserve"> Router Ventures</t>
  </si>
  <si>
    <t xml:space="preserve"> Salesforce Ventures</t>
  </si>
  <si>
    <t xml:space="preserve"> Slack</t>
  </si>
  <si>
    <t xml:space="preserve"> SV Angel</t>
  </si>
  <si>
    <t xml:space="preserve"> The Gramercy Fund</t>
  </si>
  <si>
    <t>500 Startups</t>
  </si>
  <si>
    <t xml:space="preserve"> Individual Investor</t>
  </si>
  <si>
    <t xml:space="preserve"> Intel Capital</t>
  </si>
  <si>
    <t xml:space="preserve"> Liberty Global Ventures</t>
  </si>
  <si>
    <t xml:space="preserve"> Shea Ventures</t>
  </si>
  <si>
    <t>Boeing HorizonX</t>
  </si>
  <si>
    <t xml:space="preserve"> JetBlue Technology Ventures</t>
  </si>
  <si>
    <t xml:space="preserve"> Washington State Department Of Commerce</t>
  </si>
  <si>
    <t>All Iron Ventures</t>
  </si>
  <si>
    <t xml:space="preserve"> AngelPad</t>
  </si>
  <si>
    <t xml:space="preserve"> BMW i Ventures</t>
  </si>
  <si>
    <t xml:space="preserve"> Citi Ventures</t>
  </si>
  <si>
    <t xml:space="preserve"> Clearvision Ventures</t>
  </si>
  <si>
    <t xml:space="preserve"> DNX Ventures</t>
  </si>
  <si>
    <t xml:space="preserve"> FundersClub</t>
  </si>
  <si>
    <t xml:space="preserve"> Graphene Ventures</t>
  </si>
  <si>
    <t xml:space="preserve"> Hemisphere Ventures</t>
  </si>
  <si>
    <t xml:space="preserve"> NGP Capital</t>
  </si>
  <si>
    <t xml:space="preserve"> Richmond View Ventures</t>
  </si>
  <si>
    <t xml:space="preserve"> Sand Hill Angels</t>
  </si>
  <si>
    <t xml:space="preserve"> Sequoia Capital</t>
  </si>
  <si>
    <t xml:space="preserve"> Spark Capital</t>
  </si>
  <si>
    <t xml:space="preserve"> Stanford Angels and Entrepreneurs</t>
  </si>
  <si>
    <t xml:space="preserve"> TSVC</t>
  </si>
  <si>
    <t xml:space="preserve"> Ulu Ventures</t>
  </si>
  <si>
    <t xml:space="preserve"> Volvo Car</t>
  </si>
  <si>
    <t>Accel</t>
  </si>
  <si>
    <t xml:space="preserve"> B7</t>
  </si>
  <si>
    <t xml:space="preserve"> B7 Ventures</t>
  </si>
  <si>
    <t xml:space="preserve"> Blue Tiger Ventures</t>
  </si>
  <si>
    <t xml:space="preserve"> Bobby Yazdani</t>
  </si>
  <si>
    <t xml:space="preserve"> Center for Innovative Technology Gap Funds</t>
  </si>
  <si>
    <t xml:space="preserve"> Cisco Entrepreneurs in Residence</t>
  </si>
  <si>
    <t xml:space="preserve"> Columbus Nova Technology Partners</t>
  </si>
  <si>
    <t xml:space="preserve"> Comcast Ventures</t>
  </si>
  <si>
    <t xml:space="preserve"> Cota Capital</t>
  </si>
  <si>
    <t xml:space="preserve"> Goldman Sachs Principal Strategic Investments</t>
  </si>
  <si>
    <t xml:space="preserve"> In-Q-Tel</t>
  </si>
  <si>
    <t xml:space="preserve"> Jennifer O'Daniel</t>
  </si>
  <si>
    <t xml:space="preserve"> New Enterprise Associates</t>
  </si>
  <si>
    <t xml:space="preserve"> New MainStream Capital</t>
  </si>
  <si>
    <t xml:space="preserve"> Peter Thorp</t>
  </si>
  <si>
    <t xml:space="preserve"> Razor's Edge Ventures</t>
  </si>
  <si>
    <t xml:space="preserve"> Sean Glass</t>
  </si>
  <si>
    <t xml:space="preserve"> Signatures Capital</t>
  </si>
  <si>
    <t xml:space="preserve"> Stonehaven Capital</t>
  </si>
  <si>
    <t xml:space="preserve"> Anschutz Investment</t>
  </si>
  <si>
    <t xml:space="preserve"> Canaan Partners</t>
  </si>
  <si>
    <t xml:space="preserve"> Cipio Partners</t>
  </si>
  <si>
    <t xml:space="preserve"> Crescendo Ventures</t>
  </si>
  <si>
    <t xml:space="preserve"> Department of Energy</t>
  </si>
  <si>
    <t xml:space="preserve"> Duke Energy</t>
  </si>
  <si>
    <t xml:space="preserve"> El Dorado Ventures</t>
  </si>
  <si>
    <t xml:space="preserve"> Morgenthaler Ventures</t>
  </si>
  <si>
    <t xml:space="preserve"> Next47</t>
  </si>
  <si>
    <t xml:space="preserve"> Telecom Partners</t>
  </si>
  <si>
    <t xml:space="preserve"> United States Department of Defense</t>
  </si>
  <si>
    <t>Africa Enterprise Challenge Fund</t>
  </si>
  <si>
    <t xml:space="preserve"> Aster Capital</t>
  </si>
  <si>
    <t xml:space="preserve"> BWE-JV Investments</t>
  </si>
  <si>
    <t xml:space="preserve"> CH Group</t>
  </si>
  <si>
    <t xml:space="preserve"> DBL Partners</t>
  </si>
  <si>
    <t xml:space="preserve"> Électricité de France</t>
  </si>
  <si>
    <t xml:space="preserve"> Energy Access Ventures</t>
  </si>
  <si>
    <t xml:space="preserve"> Energy and Environment Partnership</t>
  </si>
  <si>
    <t xml:space="preserve"> Factor[e] Ventures</t>
  </si>
  <si>
    <t xml:space="preserve"> GE Ventures</t>
  </si>
  <si>
    <t xml:space="preserve"> Girl Effect Accelerator</t>
  </si>
  <si>
    <t xml:space="preserve"> Givia</t>
  </si>
  <si>
    <t xml:space="preserve"> Helios Investment Partners</t>
  </si>
  <si>
    <t xml:space="preserve"> Idinvest Partners</t>
  </si>
  <si>
    <t xml:space="preserve"> International Finance Corporation</t>
  </si>
  <si>
    <t xml:space="preserve"> Jasmine Social Investments</t>
  </si>
  <si>
    <t xml:space="preserve"> Mulago Foundation</t>
  </si>
  <si>
    <t xml:space="preserve"> Omidyar Network</t>
  </si>
  <si>
    <t xml:space="preserve"> Performance Management</t>
  </si>
  <si>
    <t xml:space="preserve"> Persistent Energy</t>
  </si>
  <si>
    <t xml:space="preserve"> Runway Incubator</t>
  </si>
  <si>
    <t xml:space="preserve"> Segal Family Foundation</t>
  </si>
  <si>
    <t xml:space="preserve"> Serious Change</t>
  </si>
  <si>
    <t xml:space="preserve"> SolarCity</t>
  </si>
  <si>
    <t xml:space="preserve"> Temitopé Lawani</t>
  </si>
  <si>
    <t xml:space="preserve"> The World We Want Foundation</t>
  </si>
  <si>
    <t xml:space="preserve"> Total Energy Ventures</t>
  </si>
  <si>
    <t xml:space="preserve"> U.S. Agency for International Development</t>
  </si>
  <si>
    <t xml:space="preserve"> Vulcan Capital</t>
  </si>
  <si>
    <t xml:space="preserve"> Western Technology Investment</t>
  </si>
  <si>
    <t xml:space="preserve"> Zayed Future Energy Prize</t>
  </si>
  <si>
    <t xml:space="preserve"> Zouk Capital</t>
  </si>
  <si>
    <t>Balyasny Asset Management</t>
  </si>
  <si>
    <t xml:space="preserve"> BAM Ventures</t>
  </si>
  <si>
    <t xml:space="preserve"> BBG Ventures</t>
  </si>
  <si>
    <t xml:space="preserve"> Canvas Ventures</t>
  </si>
  <si>
    <t xml:space="preserve"> Female Founders Fund</t>
  </si>
  <si>
    <t xml:space="preserve"> Forerunner Ventures</t>
  </si>
  <si>
    <t xml:space="preserve"> GingerBread Capital</t>
  </si>
  <si>
    <t xml:space="preserve"> Goldman Sachs Investment Partners</t>
  </si>
  <si>
    <t xml:space="preserve"> Kevin Ryan</t>
  </si>
  <si>
    <t xml:space="preserve"> Lightspeed Venture Partners</t>
  </si>
  <si>
    <t xml:space="preserve"> NBCUniversal</t>
  </si>
  <si>
    <t xml:space="preserve"> Thrive Capital</t>
  </si>
  <si>
    <t xml:space="preserve"> Zhiyuan Yang</t>
  </si>
  <si>
    <t>Ibex Investors</t>
  </si>
  <si>
    <t xml:space="preserve"> Olive Tree Ventures</t>
  </si>
  <si>
    <t xml:space="preserve"> Samsung Electronics</t>
  </si>
  <si>
    <t xml:space="preserve"> Samsung NEXT Ventures</t>
  </si>
  <si>
    <t xml:space="preserve"> Sierra Ventures</t>
  </si>
  <si>
    <t xml:space="preserve"> SoftBank Capital</t>
  </si>
  <si>
    <t xml:space="preserve"> Telstra Ventures</t>
  </si>
  <si>
    <t xml:space="preserve"> Toyo(Japan)</t>
  </si>
  <si>
    <t xml:space="preserve"> Warburg Pincus</t>
  </si>
  <si>
    <t xml:space="preserve"> Cisco Systems</t>
  </si>
  <si>
    <t xml:space="preserve"> Energy Technology Ventures</t>
  </si>
  <si>
    <t xml:space="preserve"> EV Private Equity</t>
  </si>
  <si>
    <t xml:space="preserve"> Investinor</t>
  </si>
  <si>
    <t xml:space="preserve"> Jebsen Asset Management</t>
  </si>
  <si>
    <t xml:space="preserve"> Saudi Aramco Energy Ventures</t>
  </si>
  <si>
    <t xml:space="preserve"> Viking Venture</t>
  </si>
  <si>
    <t>Aviel Rubin</t>
  </si>
  <si>
    <t xml:space="preserve"> Baltimore Angels</t>
  </si>
  <si>
    <t xml:space="preserve"> Core Capital</t>
  </si>
  <si>
    <t xml:space="preserve"> Core Capital Partners</t>
  </si>
  <si>
    <t xml:space="preserve"> Dingman Center Angels</t>
  </si>
  <si>
    <t xml:space="preserve"> Enrique Salem</t>
  </si>
  <si>
    <t xml:space="preserve"> Genacast Ventures</t>
  </si>
  <si>
    <t xml:space="preserve"> Highland Capital Partners</t>
  </si>
  <si>
    <t xml:space="preserve"> Lane Bess</t>
  </si>
  <si>
    <t xml:space="preserve"> Michael Fey</t>
  </si>
  <si>
    <t xml:space="preserve"> Red Abbey Venture Partners</t>
  </si>
  <si>
    <t xml:space="preserve"> Redline Capital Management</t>
  </si>
  <si>
    <t xml:space="preserve"> Silicon Valley Bank</t>
  </si>
  <si>
    <t xml:space="preserve"> Silver Lake Management</t>
  </si>
  <si>
    <t xml:space="preserve"> TCP Venture Capital</t>
  </si>
  <si>
    <t xml:space="preserve"> TechBuzz</t>
  </si>
  <si>
    <t xml:space="preserve"> The Mid-Atlantic Venture Association</t>
  </si>
  <si>
    <t xml:space="preserve"> Timothy Eades</t>
  </si>
  <si>
    <t xml:space="preserve"> Greycroft</t>
  </si>
  <si>
    <t xml:space="preserve"> Lerer Hippeau</t>
  </si>
  <si>
    <t xml:space="preserve"> Mark Cuban</t>
  </si>
  <si>
    <t>Amplifier Ventures</t>
  </si>
  <si>
    <t xml:space="preserve"> Boulder Ventures</t>
  </si>
  <si>
    <t xml:space="preserve"> Grotech Ventures</t>
  </si>
  <si>
    <t xml:space="preserve"> Industry Ventures</t>
  </si>
  <si>
    <t xml:space="preserve"> Intersouth Partners</t>
  </si>
  <si>
    <t xml:space="preserve"> Maryland Department of Commerce</t>
  </si>
  <si>
    <t xml:space="preserve"> Maryland Venture Fund</t>
  </si>
  <si>
    <t xml:space="preserve"> ORIX Growth Capital</t>
  </si>
  <si>
    <t xml:space="preserve"> Summit Partners</t>
  </si>
  <si>
    <t>Aaron Levie</t>
  </si>
  <si>
    <t xml:space="preserve"> Alexis Ohanian</t>
  </si>
  <si>
    <t xml:space="preserve"> Alvin Tse</t>
  </si>
  <si>
    <t xml:space="preserve"> Andreessen Horowitz</t>
  </si>
  <si>
    <t xml:space="preserve"> Benjamin Ling</t>
  </si>
  <si>
    <t xml:space="preserve"> Benjamin Narasin</t>
  </si>
  <si>
    <t xml:space="preserve"> Brendan Wallace</t>
  </si>
  <si>
    <t xml:space="preserve"> Charles Cheever</t>
  </si>
  <si>
    <t xml:space="preserve"> David Sacks</t>
  </si>
  <si>
    <t xml:space="preserve"> Elad Gil</t>
  </si>
  <si>
    <t xml:space="preserve"> EPIC Ventures</t>
  </si>
  <si>
    <t xml:space="preserve"> Fidelity Investments</t>
  </si>
  <si>
    <t xml:space="preserve"> FJ Labs</t>
  </si>
  <si>
    <t xml:space="preserve"> Foresite Capital Management</t>
  </si>
  <si>
    <t xml:space="preserve"> Founders Fund</t>
  </si>
  <si>
    <t xml:space="preserve"> Garry Tan</t>
  </si>
  <si>
    <t xml:space="preserve"> General Catalyst</t>
  </si>
  <si>
    <t xml:space="preserve"> Harj Taggar</t>
  </si>
  <si>
    <t xml:space="preserve"> Hydrazine Capital</t>
  </si>
  <si>
    <t xml:space="preserve"> Initialized Capital Management</t>
  </si>
  <si>
    <t xml:space="preserve"> Insight Partners</t>
  </si>
  <si>
    <t xml:space="preserve"> IVP</t>
  </si>
  <si>
    <t xml:space="preserve"> Jared Leto</t>
  </si>
  <si>
    <t xml:space="preserve"> John Rusenko</t>
  </si>
  <si>
    <t xml:space="preserve"> Jules Maltz</t>
  </si>
  <si>
    <t xml:space="preserve"> Justin Kan</t>
  </si>
  <si>
    <t xml:space="preserve"> Justin Mateen</t>
  </si>
  <si>
    <t xml:space="preserve"> Khosla Ventures</t>
  </si>
  <si>
    <t xml:space="preserve"> Mark Hager</t>
  </si>
  <si>
    <t xml:space="preserve"> Matt Cutts</t>
  </si>
  <si>
    <t xml:space="preserve"> Maverick Capital</t>
  </si>
  <si>
    <t xml:space="preserve"> Maverick Ventures</t>
  </si>
  <si>
    <t xml:space="preserve"> Otter Rock Capital</t>
  </si>
  <si>
    <t xml:space="preserve"> Palm Drive Capital</t>
  </si>
  <si>
    <t xml:space="preserve"> Panorama Point Partners</t>
  </si>
  <si>
    <t xml:space="preserve"> Paul Buchheit</t>
  </si>
  <si>
    <t xml:space="preserve"> Perceptive Advisors</t>
  </si>
  <si>
    <t xml:space="preserve"> Peregrine Ventures (California)</t>
  </si>
  <si>
    <t xml:space="preserve"> Sound Ventures</t>
  </si>
  <si>
    <t xml:space="preserve"> Tao Capital Partners</t>
  </si>
  <si>
    <t xml:space="preserve"> Team in Residence</t>
  </si>
  <si>
    <t xml:space="preserve"> TPG Growth</t>
  </si>
  <si>
    <t xml:space="preserve"> Venrock</t>
  </si>
  <si>
    <t xml:space="preserve"> Y Combinator</t>
  </si>
  <si>
    <t xml:space="preserve"> Yuri Milner</t>
  </si>
  <si>
    <t>Adrian Aoun</t>
  </si>
  <si>
    <t xml:space="preserve"> AME Cloud Ventures</t>
  </si>
  <si>
    <t xml:space="preserve"> Amitt Mahajan</t>
  </si>
  <si>
    <t xml:space="preserve"> Bill Tai</t>
  </si>
  <si>
    <t xml:space="preserve"> Bill Trenchard</t>
  </si>
  <si>
    <t xml:space="preserve"> Chris Hulls</t>
  </si>
  <si>
    <t xml:space="preserve"> Collaborative Fund</t>
  </si>
  <si>
    <t xml:space="preserve"> Expansion Venture Capital</t>
  </si>
  <si>
    <t xml:space="preserve"> First Round Capital</t>
  </si>
  <si>
    <t xml:space="preserve"> Fontinalis Partners</t>
  </si>
  <si>
    <t xml:space="preserve"> Franklin Montross</t>
  </si>
  <si>
    <t xml:space="preserve"> IT-Farm</t>
  </si>
  <si>
    <t xml:space="preserve"> Konstantin Othmer</t>
  </si>
  <si>
    <t xml:space="preserve"> Lars Rasmussen</t>
  </si>
  <si>
    <t xml:space="preserve"> Lee Linden</t>
  </si>
  <si>
    <t xml:space="preserve"> Loic Le Meur</t>
  </si>
  <si>
    <t xml:space="preserve"> Lotus Lake Ventures</t>
  </si>
  <si>
    <t xml:space="preserve"> Max Levchin</t>
  </si>
  <si>
    <t xml:space="preserve"> Nyca Partners</t>
  </si>
  <si>
    <t xml:space="preserve"> Othman Laraki</t>
  </si>
  <si>
    <t xml:space="preserve"> Plug and Play Tech Center</t>
  </si>
  <si>
    <t xml:space="preserve"> Ryan Melohn</t>
  </si>
  <si>
    <t xml:space="preserve"> Samuel Lessin</t>
  </si>
  <si>
    <t xml:space="preserve"> Sherpa Capital</t>
  </si>
  <si>
    <t xml:space="preserve"> SignalFire</t>
  </si>
  <si>
    <t xml:space="preserve"> TechLab at Mcity</t>
  </si>
  <si>
    <t xml:space="preserve"> Thomvest Ventures</t>
  </si>
  <si>
    <t xml:space="preserve"> Timothy Ferriss</t>
  </si>
  <si>
    <t xml:space="preserve"> Trucks Venture Capital</t>
  </si>
  <si>
    <t xml:space="preserve"> Veronorte</t>
  </si>
  <si>
    <t>Burch Creative Capital</t>
  </si>
  <si>
    <t xml:space="preserve"> Chris Burch</t>
  </si>
  <si>
    <t xml:space="preserve"> Corigin Ventures</t>
  </si>
  <si>
    <t xml:space="preserve"> Emil Capital Partners</t>
  </si>
  <si>
    <t xml:space="preserve"> Esther Dyson</t>
  </si>
  <si>
    <t xml:space="preserve"> Hone Capital</t>
  </si>
  <si>
    <t xml:space="preserve"> Jonathan Gordon</t>
  </si>
  <si>
    <t xml:space="preserve"> Julien Coustaury</t>
  </si>
  <si>
    <t xml:space="preserve"> KBW Ventures</t>
  </si>
  <si>
    <t xml:space="preserve"> Kevin Colleran</t>
  </si>
  <si>
    <t xml:space="preserve"> Lightbank</t>
  </si>
  <si>
    <t xml:space="preserve"> Mark Oldman</t>
  </si>
  <si>
    <t xml:space="preserve"> Matthew Ocko</t>
  </si>
  <si>
    <t xml:space="preserve"> NAV.VC</t>
  </si>
  <si>
    <t xml:space="preserve"> NYC Seed</t>
  </si>
  <si>
    <t xml:space="preserve"> Palisades Growth Capital</t>
  </si>
  <si>
    <t xml:space="preserve"> Partech Partners</t>
  </si>
  <si>
    <t xml:space="preserve"> Paul Holliman</t>
  </si>
  <si>
    <t xml:space="preserve"> Prolog Ventures</t>
  </si>
  <si>
    <t xml:space="preserve"> Ravi Mhatre</t>
  </si>
  <si>
    <t xml:space="preserve"> Ritesh Veera</t>
  </si>
  <si>
    <t xml:space="preserve"> Sean Black</t>
  </si>
  <si>
    <t xml:space="preserve"> Slow Ventures</t>
  </si>
  <si>
    <t xml:space="preserve"> SpaFinder Wellness</t>
  </si>
  <si>
    <t xml:space="preserve"> STAR Angel Network</t>
  </si>
  <si>
    <t xml:space="preserve"> StartUp Health</t>
  </si>
  <si>
    <t xml:space="preserve"> SWAT Equity Partners</t>
  </si>
  <si>
    <t xml:space="preserve"> Tim Kendall</t>
  </si>
  <si>
    <t xml:space="preserve"> Vision Ventures</t>
  </si>
  <si>
    <t xml:space="preserve"> Zachary Aarons</t>
  </si>
  <si>
    <t>Advisors.Fund</t>
  </si>
  <si>
    <t xml:space="preserve"> aMoon Fund</t>
  </si>
  <si>
    <t xml:space="preserve"> Aurum Ventures MKI</t>
  </si>
  <si>
    <t xml:space="preserve"> Cognitiv Ventures</t>
  </si>
  <si>
    <t xml:space="preserve"> Decacorn Capital</t>
  </si>
  <si>
    <t xml:space="preserve"> Deep Fork Capital</t>
  </si>
  <si>
    <t xml:space="preserve"> Dolby Family Ventures</t>
  </si>
  <si>
    <t xml:space="preserve"> Fei-Fei Li</t>
  </si>
  <si>
    <t xml:space="preserve"> Intermountain Healthcare</t>
  </si>
  <si>
    <t xml:space="preserve"> Johnson &amp; Johnson Innovation - JJDC</t>
  </si>
  <si>
    <t xml:space="preserve"> Marc Benioff</t>
  </si>
  <si>
    <t xml:space="preserve"> NVIDIA GPU Ventures</t>
  </si>
  <si>
    <t xml:space="preserve"> OurCrowd</t>
  </si>
  <si>
    <t xml:space="preserve"> Qure Ventures</t>
  </si>
  <si>
    <t xml:space="preserve"> Richard Socher</t>
  </si>
  <si>
    <t>Eklos (by AB InBev)</t>
  </si>
  <si>
    <t xml:space="preserve"> ZX Ventures</t>
  </si>
  <si>
    <t>01vc</t>
  </si>
  <si>
    <t xml:space="preserve"> EMC Ventures</t>
  </si>
  <si>
    <t xml:space="preserve"> Hearst Ventures</t>
  </si>
  <si>
    <t xml:space="preserve"> IDG Capital</t>
  </si>
  <si>
    <t xml:space="preserve"> Shutterstock</t>
  </si>
  <si>
    <t xml:space="preserve"> Trends Media Group</t>
  </si>
  <si>
    <t>Andreessen Horowitz</t>
  </si>
  <si>
    <t xml:space="preserve"> Kleiner Perkins</t>
  </si>
  <si>
    <t xml:space="preserve"> Northgate Capital</t>
  </si>
  <si>
    <t xml:space="preserve"> Pinnacle Ventures</t>
  </si>
  <si>
    <t xml:space="preserve"> Recruit Strategic Partners</t>
  </si>
  <si>
    <t xml:space="preserve"> Saints Capital</t>
  </si>
  <si>
    <t xml:space="preserve"> Sherpalo Ventures</t>
  </si>
  <si>
    <t xml:space="preserve"> Trans Cosmos USA</t>
  </si>
  <si>
    <t>Chrysalis VCT</t>
  </si>
  <si>
    <t xml:space="preserve"> Hargreave Hale</t>
  </si>
  <si>
    <t xml:space="preserve"> iDreamSky Technology</t>
  </si>
  <si>
    <t xml:space="preserve"> Milamber Ventures</t>
  </si>
  <si>
    <t xml:space="preserve"> You &amp; Mr Jones Brandtech Ventures</t>
  </si>
  <si>
    <t>Adventur.es</t>
  </si>
  <si>
    <t xml:space="preserve"> Bessemer Venture Partners</t>
  </si>
  <si>
    <t xml:space="preserve"> Draper Fisher Jurvetson Management</t>
  </si>
  <si>
    <t xml:space="preserve"> Kevin Hale</t>
  </si>
  <si>
    <t xml:space="preserve"> Michael Liou</t>
  </si>
  <si>
    <t>BASF Venture Capital</t>
  </si>
  <si>
    <t xml:space="preserve"> Pillar Companies</t>
  </si>
  <si>
    <t xml:space="preserve"> Pillar Ventures</t>
  </si>
  <si>
    <t xml:space="preserve"> Pitango Venture Capital</t>
  </si>
  <si>
    <t xml:space="preserve"> Prelude Ventures</t>
  </si>
  <si>
    <t xml:space="preserve"> Raptor Group</t>
  </si>
  <si>
    <t xml:space="preserve"> Robert Bosch Venture Capital</t>
  </si>
  <si>
    <t xml:space="preserve"> The Engine</t>
  </si>
  <si>
    <t xml:space="preserve"> Cemex</t>
  </si>
  <si>
    <t xml:space="preserve"> Golden Flake</t>
  </si>
  <si>
    <t xml:space="preserve"> Hella Ventures</t>
  </si>
  <si>
    <t xml:space="preserve"> PV Seed Fund</t>
  </si>
  <si>
    <t xml:space="preserve"> K2VC</t>
  </si>
  <si>
    <t xml:space="preserve"> Next Capital</t>
  </si>
  <si>
    <t xml:space="preserve"> Qianhai Equity Exchange</t>
  </si>
  <si>
    <t>Andrew Appelbaum</t>
  </si>
  <si>
    <t xml:space="preserve"> Apple Core Holdings</t>
  </si>
  <si>
    <t xml:space="preserve"> Danone Manifesto Ventures</t>
  </si>
  <si>
    <t xml:space="preserve"> LaunchCapital</t>
  </si>
  <si>
    <t xml:space="preserve"> Martin Lautman</t>
  </si>
  <si>
    <t xml:space="preserve"> New Ground Ventures</t>
  </si>
  <si>
    <t xml:space="preserve"> RiverPark Ventures</t>
  </si>
  <si>
    <t xml:space="preserve"> Sonoma Brands</t>
  </si>
  <si>
    <t>A-Grade Investments</t>
  </si>
  <si>
    <t xml:space="preserve"> Alexander Goldstein</t>
  </si>
  <si>
    <t xml:space="preserve"> American Family Mutual Insurance Company</t>
  </si>
  <si>
    <t xml:space="preserve"> American Family Ventures</t>
  </si>
  <si>
    <t xml:space="preserve"> Ashton Kutcher</t>
  </si>
  <si>
    <t xml:space="preserve"> Chasm Capital</t>
  </si>
  <si>
    <t xml:space="preserve"> Dan Martell</t>
  </si>
  <si>
    <t xml:space="preserve"> Data Point Capital</t>
  </si>
  <si>
    <t xml:space="preserve"> Dave Lerner</t>
  </si>
  <si>
    <t xml:space="preserve"> David Gilboa</t>
  </si>
  <si>
    <t xml:space="preserve"> David Shen</t>
  </si>
  <si>
    <t xml:space="preserve"> Great Oaks Venture Capital</t>
  </si>
  <si>
    <t xml:space="preserve"> Greylock Partners</t>
  </si>
  <si>
    <t xml:space="preserve"> Hubrix Ventures</t>
  </si>
  <si>
    <t xml:space="preserve"> Jared Kopf</t>
  </si>
  <si>
    <t xml:space="preserve"> Jawed Karim</t>
  </si>
  <si>
    <t xml:space="preserve"> Jean-Francois Clavier</t>
  </si>
  <si>
    <t xml:space="preserve"> Jeffrey Jordan</t>
  </si>
  <si>
    <t xml:space="preserve"> Joshua Baer</t>
  </si>
  <si>
    <t xml:space="preserve"> Joshua Schachter</t>
  </si>
  <si>
    <t xml:space="preserve"> Justin Waldron</t>
  </si>
  <si>
    <t xml:space="preserve"> Kevin Henrikson</t>
  </si>
  <si>
    <t xml:space="preserve"> Marc Bell Capital Partners</t>
  </si>
  <si>
    <t xml:space="preserve"> Mark Friedgan</t>
  </si>
  <si>
    <t xml:space="preserve"> Matthew Mullenweg</t>
  </si>
  <si>
    <t xml:space="preserve"> Michael Arrington</t>
  </si>
  <si>
    <t xml:space="preserve"> Paige Craig</t>
  </si>
  <si>
    <t xml:space="preserve"> Paul Sethi</t>
  </si>
  <si>
    <t xml:space="preserve"> PG Ventures</t>
  </si>
  <si>
    <t xml:space="preserve"> Promus Ventures</t>
  </si>
  <si>
    <t xml:space="preserve"> Rany Raviv</t>
  </si>
  <si>
    <t xml:space="preserve"> RBC Ventures</t>
  </si>
  <si>
    <t xml:space="preserve"> Rick Wagoner</t>
  </si>
  <si>
    <t xml:space="preserve"> Rob Wang</t>
  </si>
  <si>
    <t xml:space="preserve"> Robert Wang</t>
  </si>
  <si>
    <t xml:space="preserve"> SAIC Capital</t>
  </si>
  <si>
    <t xml:space="preserve"> Sam Angus</t>
  </si>
  <si>
    <t xml:space="preserve"> Scott Kosch</t>
  </si>
  <si>
    <t xml:space="preserve"> Seth Goldstein</t>
  </si>
  <si>
    <t xml:space="preserve"> Start Fund</t>
  </si>
  <si>
    <t xml:space="preserve"> The R-Group</t>
  </si>
  <si>
    <t xml:space="preserve"> Tuesday Capital</t>
  </si>
  <si>
    <t xml:space="preserve"> Uncork Capital</t>
  </si>
  <si>
    <t xml:space="preserve"> Verizon Ventures</t>
  </si>
  <si>
    <t>Activate Venture Partners</t>
  </si>
  <si>
    <t xml:space="preserve"> Broadway Video Ventures</t>
  </si>
  <si>
    <t xml:space="preserve"> Founder Collective</t>
  </si>
  <si>
    <t xml:space="preserve"> Hashed (Accelerator)</t>
  </si>
  <si>
    <t xml:space="preserve"> Juvo Capital</t>
  </si>
  <si>
    <t xml:space="preserve"> Mark Wachen</t>
  </si>
  <si>
    <t xml:space="preserve"> Oren Zeev</t>
  </si>
  <si>
    <t xml:space="preserve"> Orens Capital</t>
  </si>
  <si>
    <t xml:space="preserve"> Primera Capital (Venture Capital)</t>
  </si>
  <si>
    <t xml:space="preserve"> SGVC</t>
  </si>
  <si>
    <t xml:space="preserve"> Silicon Alley Venture Partners</t>
  </si>
  <si>
    <t xml:space="preserve"> Union Square Ventures</t>
  </si>
  <si>
    <t xml:space="preserve"> Upstage Ventures</t>
  </si>
  <si>
    <t xml:space="preserve"> Visary Capital</t>
  </si>
  <si>
    <t>Ali Rowghani</t>
  </si>
  <si>
    <t xml:space="preserve"> AltaIR Capital</t>
  </si>
  <si>
    <t xml:space="preserve"> Arab Angel</t>
  </si>
  <si>
    <t xml:space="preserve"> ExxonMobil</t>
  </si>
  <si>
    <t xml:space="preserve"> GM Ventures</t>
  </si>
  <si>
    <t xml:space="preserve"> Liquid 2 Ventures</t>
  </si>
  <si>
    <t xml:space="preserve"> SGH Capital</t>
  </si>
  <si>
    <t xml:space="preserve"> Soma Capital</t>
  </si>
  <si>
    <t xml:space="preserve"> The Durant Company</t>
  </si>
  <si>
    <t xml:space="preserve"> ZhenFund</t>
  </si>
  <si>
    <t>Aquitaine Developpement Innovation</t>
  </si>
  <si>
    <t xml:space="preserve"> AQUITI Gestion</t>
  </si>
  <si>
    <t xml:space="preserve"> Capagro</t>
  </si>
  <si>
    <t xml:space="preserve"> Caravelle</t>
  </si>
  <si>
    <t>Betaworks</t>
  </si>
  <si>
    <t xml:space="preserve"> BoxGroup</t>
  </si>
  <si>
    <t xml:space="preserve"> City National Bank</t>
  </si>
  <si>
    <t xml:space="preserve"> Converge (Investor)</t>
  </si>
  <si>
    <t xml:space="preserve"> David Tisch</t>
  </si>
  <si>
    <t xml:space="preserve"> Howard Lindzon</t>
  </si>
  <si>
    <t xml:space="preserve"> Jerry Neumann</t>
  </si>
  <si>
    <t xml:space="preserve"> Lindzon Capital Partners</t>
  </si>
  <si>
    <t xml:space="preserve"> MDC Ventures</t>
  </si>
  <si>
    <t xml:space="preserve"> Neu Venture Capital</t>
  </si>
  <si>
    <t xml:space="preserve"> RRE Ventures</t>
  </si>
  <si>
    <t xml:space="preserve"> SJF Ventures</t>
  </si>
  <si>
    <t xml:space="preserve"> Staley Capital</t>
  </si>
  <si>
    <t xml:space="preserve"> Fengshion Capital Partners</t>
  </si>
  <si>
    <t xml:space="preserve"> Kinzon Capital</t>
  </si>
  <si>
    <t xml:space="preserve"> Microsoft ScaleUp</t>
  </si>
  <si>
    <t>Japan Asia Investment</t>
  </si>
  <si>
    <t xml:space="preserve"> Kestrel Investments</t>
  </si>
  <si>
    <t>CP Capital Securities</t>
  </si>
  <si>
    <t xml:space="preserve"> Fondo de Fondos</t>
  </si>
  <si>
    <t xml:space="preserve"> LIV Capital</t>
  </si>
  <si>
    <t xml:space="preserve"> Sun Mountain Capital</t>
  </si>
  <si>
    <t xml:space="preserve"> Visa Ventures</t>
  </si>
  <si>
    <t xml:space="preserve"> Volta Global</t>
  </si>
  <si>
    <t>GV</t>
  </si>
  <si>
    <t xml:space="preserve"> Menlo Ventures</t>
  </si>
  <si>
    <t xml:space="preserve"> Samsung Venture Investment</t>
  </si>
  <si>
    <t xml:space="preserve"> Third Point Ventures</t>
  </si>
  <si>
    <t>Globis Capital Partners</t>
  </si>
  <si>
    <t xml:space="preserve"> ITOCHU Technology Ventures</t>
  </si>
  <si>
    <t xml:space="preserve"> Shogo Kawada</t>
  </si>
  <si>
    <t xml:space="preserve"> YJ Capital</t>
  </si>
  <si>
    <t>Andreas Von Bechtolsheim</t>
  </si>
  <si>
    <t xml:space="preserve"> Andy Nowka</t>
  </si>
  <si>
    <t xml:space="preserve"> Charlie McKittrick</t>
  </si>
  <si>
    <t xml:space="preserve"> Compound</t>
  </si>
  <si>
    <t xml:space="preserve"> Cyan Banister</t>
  </si>
  <si>
    <t xml:space="preserve"> Dave Scially</t>
  </si>
  <si>
    <t xml:space="preserve"> Derek Collison</t>
  </si>
  <si>
    <t xml:space="preserve"> Diane Greene</t>
  </si>
  <si>
    <t xml:space="preserve"> Elysian Park Ventures</t>
  </si>
  <si>
    <t xml:space="preserve"> Fox Hollow Ventures</t>
  </si>
  <si>
    <t xml:space="preserve"> Garrett Camp</t>
  </si>
  <si>
    <t xml:space="preserve"> Gary Green</t>
  </si>
  <si>
    <t xml:space="preserve"> Global Sports Venture Studio</t>
  </si>
  <si>
    <t xml:space="preserve"> Highland Capital Management</t>
  </si>
  <si>
    <t xml:space="preserve"> Hope Taitz</t>
  </si>
  <si>
    <t xml:space="preserve"> John Hennessy</t>
  </si>
  <si>
    <t xml:space="preserve"> Kavitark Shriram</t>
  </si>
  <si>
    <t xml:space="preserve"> Major League Baseball Ventures</t>
  </si>
  <si>
    <t xml:space="preserve"> Sacramento Kings</t>
  </si>
  <si>
    <t xml:space="preserve"> Sarah Imbach</t>
  </si>
  <si>
    <t xml:space="preserve"> Scott Cook</t>
  </si>
  <si>
    <t xml:space="preserve"> Shona Brown</t>
  </si>
  <si>
    <t xml:space="preserve"> Tiny Capital</t>
  </si>
  <si>
    <t>Almaz Capital</t>
  </si>
  <si>
    <t xml:space="preserve"> Dell Technologies Capital</t>
  </si>
  <si>
    <t xml:space="preserve"> Foundry Group</t>
  </si>
  <si>
    <t xml:space="preserve"> Greenspring Associates</t>
  </si>
  <si>
    <t>10X Venture Partners</t>
  </si>
  <si>
    <t xml:space="preserve"> Constellation Technology Ventures</t>
  </si>
  <si>
    <t xml:space="preserve"> Delaware Ladera Management Company</t>
  </si>
  <si>
    <t xml:space="preserve"> IKEA Group</t>
  </si>
  <si>
    <t xml:space="preserve"> Johnson Controls International</t>
  </si>
  <si>
    <t xml:space="preserve"> NatVans</t>
  </si>
  <si>
    <t xml:space="preserve"> Peter O'Brien</t>
  </si>
  <si>
    <t xml:space="preserve"> U.S. Department of Energy</t>
  </si>
  <si>
    <t xml:space="preserve"> Verge Accelerate</t>
  </si>
  <si>
    <t>HenQ</t>
  </si>
  <si>
    <t xml:space="preserve"> United Broadcast Facilities</t>
  </si>
  <si>
    <t xml:space="preserve"> V-Ventures</t>
  </si>
  <si>
    <t>Archetype</t>
  </si>
  <si>
    <t xml:space="preserve"> Dentsu Innovation Partners</t>
  </si>
  <si>
    <t xml:space="preserve"> Bojiang Capital</t>
  </si>
  <si>
    <t xml:space="preserve"> Chengdu Technology Transfer Group</t>
  </si>
  <si>
    <t xml:space="preserve"> Lucion Venture Capital</t>
  </si>
  <si>
    <t xml:space="preserve"> Mango TV</t>
  </si>
  <si>
    <t xml:space="preserve"> Matrix Partners China</t>
  </si>
  <si>
    <t xml:space="preserve"> Panlin Capital</t>
  </si>
  <si>
    <t xml:space="preserve"> Sailing Capital</t>
  </si>
  <si>
    <t xml:space="preserve"> Shenzhen CDF Capital</t>
  </si>
  <si>
    <t xml:space="preserve"> Sichuan Culture Industry Fund</t>
  </si>
  <si>
    <t xml:space="preserve"> Tianfu Software Park</t>
  </si>
  <si>
    <t>AdvancedStage Capital</t>
  </si>
  <si>
    <t xml:space="preserve"> Ann Arbor SPARK</t>
  </si>
  <si>
    <t xml:space="preserve"> Jericho Capital</t>
  </si>
  <si>
    <t xml:space="preserve"> Northern Michigan Angels</t>
  </si>
  <si>
    <t xml:space="preserve"> Posco</t>
  </si>
  <si>
    <t>Dalus Capital</t>
  </si>
  <si>
    <t xml:space="preserve"> EMTV</t>
  </si>
  <si>
    <t xml:space="preserve"> Endeavor Catalyst</t>
  </si>
  <si>
    <t>Bridgestone</t>
  </si>
  <si>
    <t xml:space="preserve"> Cofip</t>
  </si>
  <si>
    <t xml:space="preserve"> Via ID</t>
  </si>
  <si>
    <t>EnCap Investments</t>
  </si>
  <si>
    <t xml:space="preserve"> Rice Investment Group</t>
  </si>
  <si>
    <t>Chris Siege</t>
  </si>
  <si>
    <t xml:space="preserve"> Kodiak Financial Group</t>
  </si>
  <si>
    <t xml:space="preserve"> Maxim Ventures</t>
  </si>
  <si>
    <t xml:space="preserve"> Thomas Arrix</t>
  </si>
  <si>
    <t>Asahi Kasei Corporate Venture Capital</t>
  </si>
  <si>
    <t>AlphaPrime Ventures</t>
  </si>
  <si>
    <t xml:space="preserve"> Bulger Partners</t>
  </si>
  <si>
    <t xml:space="preserve"> Edison Partners</t>
  </si>
  <si>
    <t xml:space="preserve"> Mesco</t>
  </si>
  <si>
    <t xml:space="preserve"> Windcrest Partners</t>
  </si>
  <si>
    <t>Arthur Mai</t>
  </si>
  <si>
    <t xml:space="preserve"> Axel Springer Digital Ventures</t>
  </si>
  <si>
    <t xml:space="preserve"> Björn Kolbmüller</t>
  </si>
  <si>
    <t xml:space="preserve"> Creathor Venture</t>
  </si>
  <si>
    <t xml:space="preserve"> Dr. Otto Suwelack Nachf.</t>
  </si>
  <si>
    <t xml:space="preserve"> ECONA</t>
  </si>
  <si>
    <t xml:space="preserve"> Hasso Plattner Ventures</t>
  </si>
  <si>
    <t xml:space="preserve"> IBB Beteiligungsgesellschaft</t>
  </si>
  <si>
    <t xml:space="preserve"> Michael Goldapp</t>
  </si>
  <si>
    <t xml:space="preserve"> Monkfish Equity</t>
  </si>
  <si>
    <t xml:space="preserve"> Paul Schwarzenholz</t>
  </si>
  <si>
    <t xml:space="preserve"> TA Ventures</t>
  </si>
  <si>
    <t xml:space="preserve"> Pacific Control Systems</t>
  </si>
  <si>
    <t xml:space="preserve"> Quest Innovation Accelerator</t>
  </si>
  <si>
    <t xml:space="preserve"> Toba Capital</t>
  </si>
  <si>
    <t>ACC1O</t>
  </si>
  <si>
    <t xml:space="preserve"> Agència de Gestió d'Ajuts Universitaris i de Recerca</t>
  </si>
  <si>
    <t xml:space="preserve"> Black River Ventures</t>
  </si>
  <si>
    <t xml:space="preserve"> BR Venture Fund</t>
  </si>
  <si>
    <t xml:space="preserve"> Cisco Investments</t>
  </si>
  <si>
    <t xml:space="preserve"> Endeavor Global</t>
  </si>
  <si>
    <t xml:space="preserve"> ETF Partners</t>
  </si>
  <si>
    <t xml:space="preserve"> European Commission</t>
  </si>
  <si>
    <t xml:space="preserve"> European Union Seventh Framework Programme</t>
  </si>
  <si>
    <t xml:space="preserve"> Finaves</t>
  </si>
  <si>
    <t xml:space="preserve"> Fundacion Jose Manuel Entrecanales</t>
  </si>
  <si>
    <t xml:space="preserve"> Horizon 2020</t>
  </si>
  <si>
    <t xml:space="preserve"> IMPACT Accelerator</t>
  </si>
  <si>
    <t xml:space="preserve"> Inncorpora</t>
  </si>
  <si>
    <t xml:space="preserve"> JME Venture Capital</t>
  </si>
  <si>
    <t xml:space="preserve"> Kibo Ventures Partners</t>
  </si>
  <si>
    <t xml:space="preserve"> McRock Capital</t>
  </si>
  <si>
    <t xml:space="preserve"> Mitsui Sumitomo Insurance Venture Capital</t>
  </si>
  <si>
    <t xml:space="preserve"> Wayra</t>
  </si>
  <si>
    <t>Cloud Capital Partners</t>
  </si>
  <si>
    <t xml:space="preserve"> Follow [the] Seed</t>
  </si>
  <si>
    <t xml:space="preserve"> Gaurav Garg</t>
  </si>
  <si>
    <t xml:space="preserve"> Helion Venture Partners</t>
  </si>
  <si>
    <t xml:space="preserve"> Ignition Partners</t>
  </si>
  <si>
    <t xml:space="preserve"> Norwest Venture Partners</t>
  </si>
  <si>
    <t xml:space="preserve"> Peter Wagner</t>
  </si>
  <si>
    <t xml:space="preserve"> Presidio Ventures</t>
  </si>
  <si>
    <t xml:space="preserve"> Qualcomm Ventures</t>
  </si>
  <si>
    <t xml:space="preserve"> Redpoint Ventures</t>
  </si>
  <si>
    <t xml:space="preserve"> TransLink Capital</t>
  </si>
  <si>
    <t xml:space="preserve"> Webb Investment Network</t>
  </si>
  <si>
    <t xml:space="preserve"> Wing Venture Capital</t>
  </si>
  <si>
    <t xml:space="preserve"> WTI</t>
  </si>
  <si>
    <t>Insight Partners</t>
  </si>
  <si>
    <t xml:space="preserve"> K1 Investment Management</t>
  </si>
  <si>
    <t>Cherry Tree Investments</t>
  </si>
  <si>
    <t xml:space="preserve"> Crosslink Capital</t>
  </si>
  <si>
    <t xml:space="preserve"> Floodgate Fund</t>
  </si>
  <si>
    <t xml:space="preserve"> Granite Ventures</t>
  </si>
  <si>
    <t xml:space="preserve"> M12</t>
  </si>
  <si>
    <t xml:space="preserve"> Opus Capital</t>
  </si>
  <si>
    <t xml:space="preserve"> Rusty Rueff</t>
  </si>
  <si>
    <t xml:space="preserve"> Workday Ventures</t>
  </si>
  <si>
    <t>Anshu Sharma</t>
  </si>
  <si>
    <t xml:space="preserve"> Battery Ventures</t>
  </si>
  <si>
    <t xml:space="preserve"> Bhaskar Roy</t>
  </si>
  <si>
    <t xml:space="preserve"> Rishi Mallik</t>
  </si>
  <si>
    <t xml:space="preserve"> ServiceNow</t>
  </si>
  <si>
    <t xml:space="preserve"> Storm Ventures</t>
  </si>
  <si>
    <t>Alumni Ventures Group</t>
  </si>
  <si>
    <t xml:space="preserve"> ArcheMatrix Ventures</t>
  </si>
  <si>
    <t xml:space="preserve"> Array Ventures</t>
  </si>
  <si>
    <t xml:space="preserve"> Cloud Apps Capital Partners</t>
  </si>
  <si>
    <t xml:space="preserve"> CSC UpShot Ventures</t>
  </si>
  <si>
    <t xml:space="preserve"> Green D Ventures</t>
  </si>
  <si>
    <t xml:space="preserve"> The Salesforce Incubator</t>
  </si>
  <si>
    <t>Google Developers Launchpad</t>
  </si>
  <si>
    <t xml:space="preserve"> InVent by Intouch Holding</t>
  </si>
  <si>
    <t>Advancit Capital</t>
  </si>
  <si>
    <t xml:space="preserve"> Bertelsmann Digital Media Investments</t>
  </si>
  <si>
    <t xml:space="preserve"> Fox Networks Group</t>
  </si>
  <si>
    <t xml:space="preserve"> Michael Kassan</t>
  </si>
  <si>
    <t xml:space="preserve"> NXTP Labs</t>
  </si>
  <si>
    <t xml:space="preserve"> Patagonia Ventures</t>
  </si>
  <si>
    <t xml:space="preserve"> Stanley Shuman</t>
  </si>
  <si>
    <t xml:space="preserve"> Watertower Ventures</t>
  </si>
  <si>
    <t>BCG Digital Ventures</t>
  </si>
  <si>
    <t xml:space="preserve"> NEF Fast Track</t>
  </si>
  <si>
    <t xml:space="preserve"> Shell Ventures</t>
  </si>
  <si>
    <t xml:space="preserve"> Betaworks</t>
  </si>
  <si>
    <t xml:space="preserve"> Bloomberg Beta</t>
  </si>
  <si>
    <t xml:space="preserve"> Boldstart Ventures</t>
  </si>
  <si>
    <t xml:space="preserve"> ff Venture Capital</t>
  </si>
  <si>
    <t xml:space="preserve"> GC VR Gaming Tracker Fund</t>
  </si>
  <si>
    <t xml:space="preserve"> Montage Ventures</t>
  </si>
  <si>
    <t xml:space="preserve"> Tribeca Venture Partners</t>
  </si>
  <si>
    <t xml:space="preserve"> Techstars</t>
  </si>
  <si>
    <t xml:space="preserve"> Virgin Media Business</t>
  </si>
  <si>
    <t>ACE &amp; Company</t>
  </si>
  <si>
    <t xml:space="preserve"> Argonaut Ventures</t>
  </si>
  <si>
    <t xml:space="preserve"> Chartline Capital Partners</t>
  </si>
  <si>
    <t xml:space="preserve"> China Everbright</t>
  </si>
  <si>
    <t xml:space="preserve"> Delta Electronics</t>
  </si>
  <si>
    <t xml:space="preserve"> Foley Ventures</t>
  </si>
  <si>
    <t xml:space="preserve"> Foxconn Technology Group</t>
  </si>
  <si>
    <t xml:space="preserve"> Haier</t>
  </si>
  <si>
    <t xml:space="preserve"> Haiyin Venture Partners</t>
  </si>
  <si>
    <t xml:space="preserve"> OMZEST Group</t>
  </si>
  <si>
    <t xml:space="preserve"> Schlumberger Technology Investments</t>
  </si>
  <si>
    <t xml:space="preserve"> Stage 1 Ventures</t>
  </si>
  <si>
    <t xml:space="preserve"> Stata Venture Partners</t>
  </si>
  <si>
    <t xml:space="preserve"> Stex25</t>
  </si>
  <si>
    <t xml:space="preserve"> Systech Electronics</t>
  </si>
  <si>
    <t xml:space="preserve"> Toyota Motor</t>
  </si>
  <si>
    <t>21st Century Fox</t>
  </si>
  <si>
    <t xml:space="preserve"> Annapurna Pictures</t>
  </si>
  <si>
    <t xml:space="preserve"> Emerson Collective</t>
  </si>
  <si>
    <t xml:space="preserve"> Endeavor</t>
  </si>
  <si>
    <t xml:space="preserve"> Freelands Ventures</t>
  </si>
  <si>
    <t xml:space="preserve"> Gordon Rubenstein</t>
  </si>
  <si>
    <t xml:space="preserve"> Legendary Entertainment</t>
  </si>
  <si>
    <t xml:space="preserve"> Live Nation Entertainment</t>
  </si>
  <si>
    <t xml:space="preserve"> Macro Ventures</t>
  </si>
  <si>
    <t xml:space="preserve"> Marker</t>
  </si>
  <si>
    <t xml:space="preserve"> Raine Ventures</t>
  </si>
  <si>
    <t xml:space="preserve"> Steve Chen</t>
  </si>
  <si>
    <t xml:space="preserve"> Temasek Holdings</t>
  </si>
  <si>
    <t xml:space="preserve"> Tribeca Enterprises</t>
  </si>
  <si>
    <t xml:space="preserve"> VICE Media</t>
  </si>
  <si>
    <t xml:space="preserve"> WME Ventures</t>
  </si>
  <si>
    <t xml:space="preserve"> WPP Ventures</t>
  </si>
  <si>
    <t>8VC</t>
  </si>
  <si>
    <t xml:space="preserve"> Acequia Capital</t>
  </si>
  <si>
    <t xml:space="preserve"> AFSquare</t>
  </si>
  <si>
    <t xml:space="preserve"> All Blue Capital</t>
  </si>
  <si>
    <t xml:space="preserve"> Alpha Venture Partners</t>
  </si>
  <si>
    <t xml:space="preserve"> Caffeinated Capital</t>
  </si>
  <si>
    <t xml:space="preserve"> Charles River Ventures</t>
  </si>
  <si>
    <t xml:space="preserve"> Cherubic Ventures</t>
  </si>
  <si>
    <t xml:space="preserve"> China Growth Capital</t>
  </si>
  <si>
    <t xml:space="preserve"> Digital Garage</t>
  </si>
  <si>
    <t xml:space="preserve"> Digital Horizon Capital</t>
  </si>
  <si>
    <t xml:space="preserve"> DST Global</t>
  </si>
  <si>
    <t xml:space="preserve"> Felicis Ventures</t>
  </si>
  <si>
    <t xml:space="preserve"> Formation 8</t>
  </si>
  <si>
    <t xml:space="preserve"> Gil Elbaz</t>
  </si>
  <si>
    <t xml:space="preserve"> Growth Technology Partners</t>
  </si>
  <si>
    <t xml:space="preserve"> Hank Vigil</t>
  </si>
  <si>
    <t xml:space="preserve"> JD.com</t>
  </si>
  <si>
    <t xml:space="preserve"> Keith Rabois</t>
  </si>
  <si>
    <t xml:space="preserve"> Legend Capital</t>
  </si>
  <si>
    <t xml:space="preserve"> Michael Stoppelman</t>
  </si>
  <si>
    <t xml:space="preserve"> Morado Venture Partners</t>
  </si>
  <si>
    <t xml:space="preserve"> Naval Ravikant</t>
  </si>
  <si>
    <t xml:space="preserve"> Nils Johnson</t>
  </si>
  <si>
    <t xml:space="preserve"> Nima Capital</t>
  </si>
  <si>
    <t xml:space="preserve"> Paul Bricault</t>
  </si>
  <si>
    <t xml:space="preserve"> Raymond Tonsing</t>
  </si>
  <si>
    <t xml:space="preserve"> Richard Lanman</t>
  </si>
  <si>
    <t xml:space="preserve"> Sizhao Yang</t>
  </si>
  <si>
    <t xml:space="preserve"> Tengelmann Ventures</t>
  </si>
  <si>
    <t xml:space="preserve"> TenOneTen Ventures</t>
  </si>
  <si>
    <t xml:space="preserve"> Transmedia Capital</t>
  </si>
  <si>
    <t xml:space="preserve"> XG Ventures</t>
  </si>
  <si>
    <t>Institute of Energy Technology</t>
  </si>
  <si>
    <t xml:space="preserve"> Procom Venture</t>
  </si>
  <si>
    <t xml:space="preserve"> SakorninVest</t>
  </si>
  <si>
    <t xml:space="preserve"> Siemens</t>
  </si>
  <si>
    <t>B Capital Group</t>
  </si>
  <si>
    <t xml:space="preserve"> Jackson Square Ventures</t>
  </si>
  <si>
    <t xml:space="preserve"> Reinhard Lange</t>
  </si>
  <si>
    <t xml:space="preserve"> Sigma Partners</t>
  </si>
  <si>
    <t xml:space="preserve"> Vertical Venture Partners</t>
  </si>
  <si>
    <t xml:space="preserve"> William Fisher</t>
  </si>
  <si>
    <t>83North</t>
  </si>
  <si>
    <t xml:space="preserve"> Amazon Web Services</t>
  </si>
  <si>
    <t xml:space="preserve"> Avery Dennison</t>
  </si>
  <si>
    <t xml:space="preserve"> Grove Ventures</t>
  </si>
  <si>
    <t xml:space="preserve"> Merck Ventures</t>
  </si>
  <si>
    <t>5AM Ventures</t>
  </si>
  <si>
    <t xml:space="preserve"> A123 Systems</t>
  </si>
  <si>
    <t xml:space="preserve"> Infield Capital</t>
  </si>
  <si>
    <t xml:space="preserve"> Presidio Partners</t>
  </si>
  <si>
    <t xml:space="preserve"> Virgin Green Fund</t>
  </si>
  <si>
    <t xml:space="preserve"> Vision Ridge Partners</t>
  </si>
  <si>
    <t xml:space="preserve"> Wanxiang Group</t>
  </si>
  <si>
    <t>Barbara Corcoran</t>
  </si>
  <si>
    <t xml:space="preserve"> Cambridge Companies</t>
  </si>
  <si>
    <t xml:space="preserve"> CircleUp Network</t>
  </si>
  <si>
    <t xml:space="preserve"> Echo Capital</t>
  </si>
  <si>
    <t xml:space="preserve"> Echo Capital Group</t>
  </si>
  <si>
    <t xml:space="preserve"> Jaime Schmidt</t>
  </si>
  <si>
    <t xml:space="preserve"> John Foraker</t>
  </si>
  <si>
    <t xml:space="preserve"> Katjesgreenfood</t>
  </si>
  <si>
    <t xml:space="preserve"> Portland Seed Fund</t>
  </si>
  <si>
    <t xml:space="preserve"> Stephen Hughes</t>
  </si>
  <si>
    <t xml:space="preserve"> Tony Robbins</t>
  </si>
  <si>
    <t>Ali Partovi</t>
  </si>
  <si>
    <t xml:space="preserve"> Georges Harik</t>
  </si>
  <si>
    <t xml:space="preserve"> Hadi Partovi</t>
  </si>
  <si>
    <t xml:space="preserve"> Liberty Venture Partners</t>
  </si>
  <si>
    <t xml:space="preserve"> Mayfield Fund</t>
  </si>
  <si>
    <t xml:space="preserve"> Meredith</t>
  </si>
  <si>
    <t xml:space="preserve"> Scott Banister</t>
  </si>
  <si>
    <t xml:space="preserve"> SharesPost</t>
  </si>
  <si>
    <t xml:space="preserve"> The New York Times</t>
  </si>
  <si>
    <t xml:space="preserve"> Three Point Group</t>
  </si>
  <si>
    <t>Alsop Louie Partners</t>
  </si>
  <si>
    <t xml:space="preserve"> Amit Yoran</t>
  </si>
  <si>
    <t xml:space="preserve"> Breyer Capital</t>
  </si>
  <si>
    <t xml:space="preserve"> CME Ventures</t>
  </si>
  <si>
    <t xml:space="preserve"> Dan Kaminsky</t>
  </si>
  <si>
    <t xml:space="preserve"> Daniel Loeb</t>
  </si>
  <si>
    <t xml:space="preserve"> Eileen Burbidge</t>
  </si>
  <si>
    <t xml:space="preserve"> Enterprise Development Center</t>
  </si>
  <si>
    <t xml:space="preserve"> Erik Prince</t>
  </si>
  <si>
    <t xml:space="preserve"> Jeff Moss</t>
  </si>
  <si>
    <t xml:space="preserve"> Jeffrey Parks</t>
  </si>
  <si>
    <t xml:space="preserve"> Jerry Dixon</t>
  </si>
  <si>
    <t xml:space="preserve"> John S. and James L. Knight Foundation</t>
  </si>
  <si>
    <t xml:space="preserve"> Juniper Ventures</t>
  </si>
  <si>
    <t xml:space="preserve"> Merlin International</t>
  </si>
  <si>
    <t xml:space="preserve"> Michele Burns</t>
  </si>
  <si>
    <t xml:space="preserve"> OODA Ventures</t>
  </si>
  <si>
    <t xml:space="preserve"> Paul Kocher</t>
  </si>
  <si>
    <t xml:space="preserve"> Peninsula Ventures</t>
  </si>
  <si>
    <t xml:space="preserve"> Richard Clarke</t>
  </si>
  <si>
    <t xml:space="preserve"> Riverwood Capital</t>
  </si>
  <si>
    <t xml:space="preserve"> Sam Palmisano</t>
  </si>
  <si>
    <t xml:space="preserve"> Sand Hill East</t>
  </si>
  <si>
    <t xml:space="preserve"> Singtel Innov8</t>
  </si>
  <si>
    <t xml:space="preserve"> Thomas Tull</t>
  </si>
  <si>
    <t xml:space="preserve"> Whit Diffie</t>
  </si>
  <si>
    <t>Intel Capital</t>
  </si>
  <si>
    <t xml:space="preserve"> KT</t>
  </si>
  <si>
    <t>Associated Press</t>
  </si>
  <si>
    <t xml:space="preserve"> Horizons Ventures</t>
  </si>
  <si>
    <t xml:space="preserve"> Initial:Capital</t>
  </si>
  <si>
    <t xml:space="preserve"> Jérémie Berrebi</t>
  </si>
  <si>
    <t xml:space="preserve"> Kima Ventures</t>
  </si>
  <si>
    <t xml:space="preserve"> lool Ventures</t>
  </si>
  <si>
    <t xml:space="preserve"> NantWorks</t>
  </si>
  <si>
    <t xml:space="preserve"> TF1 Group</t>
  </si>
  <si>
    <t xml:space="preserve"> Weather Group Television</t>
  </si>
  <si>
    <t>Accomplice VC</t>
  </si>
  <si>
    <t xml:space="preserve"> Atlas Venture</t>
  </si>
  <si>
    <t xml:space="preserve"> Bose Ventures</t>
  </si>
  <si>
    <t xml:space="preserve"> David Stern</t>
  </si>
  <si>
    <t xml:space="preserve"> Eric Paley</t>
  </si>
  <si>
    <t xml:space="preserve"> Infosys</t>
  </si>
  <si>
    <t xml:space="preserve"> Jack Dorsey</t>
  </si>
  <si>
    <t xml:space="preserve"> Mike Novogratz</t>
  </si>
  <si>
    <t xml:space="preserve"> Mousse Partners</t>
  </si>
  <si>
    <t xml:space="preserve"> NextView Ventures</t>
  </si>
  <si>
    <t xml:space="preserve"> NFL Players Association</t>
  </si>
  <si>
    <t xml:space="preserve"> Nicholas Negroponte</t>
  </si>
  <si>
    <t xml:space="preserve"> OneTeam Collective</t>
  </si>
  <si>
    <t xml:space="preserve"> Resolute Ventures</t>
  </si>
  <si>
    <t xml:space="preserve"> Russell Okung</t>
  </si>
  <si>
    <t xml:space="preserve"> Thursday Ventures</t>
  </si>
  <si>
    <t xml:space="preserve"> Two Sigma Investments</t>
  </si>
  <si>
    <t xml:space="preserve"> Two Sigma Ventures</t>
  </si>
  <si>
    <t xml:space="preserve"> UAE71 Capital</t>
  </si>
  <si>
    <t xml:space="preserve"> Valley Oak Investments</t>
  </si>
  <si>
    <t xml:space="preserve"> Mill Town Capital</t>
  </si>
  <si>
    <t>Active Partners</t>
  </si>
  <si>
    <t xml:space="preserve"> Trevor Chinn</t>
  </si>
  <si>
    <t xml:space="preserve"> Venrex Investment Management</t>
  </si>
  <si>
    <t>Altos Ventures</t>
  </si>
  <si>
    <t xml:space="preserve"> American Pacific Ventures</t>
  </si>
  <si>
    <t xml:space="preserve"> Authosis Ventures</t>
  </si>
  <si>
    <t xml:space="preserve"> Garage Technology Ventures</t>
  </si>
  <si>
    <t xml:space="preserve"> Horizon Ventures</t>
  </si>
  <si>
    <t xml:space="preserve"> JMI Equity</t>
  </si>
  <si>
    <t xml:space="preserve"> Patricia Industries</t>
  </si>
  <si>
    <t xml:space="preserve"> Startup Capital Ventures</t>
  </si>
  <si>
    <t xml:space="preserve"> Tuputele Ventures</t>
  </si>
  <si>
    <t xml:space="preserve"> ZAP Ventures</t>
  </si>
  <si>
    <t>Aser Media</t>
  </si>
  <si>
    <t xml:space="preserve"> Beringea</t>
  </si>
  <si>
    <t xml:space="preserve"> Derek Jeter</t>
  </si>
  <si>
    <t xml:space="preserve"> Geraldine Laybourne</t>
  </si>
  <si>
    <t xml:space="preserve"> Liberty Global (UK)</t>
  </si>
  <si>
    <t xml:space="preserve"> NBC Sports Ventures</t>
  </si>
  <si>
    <t xml:space="preserve"> Peyton Manning</t>
  </si>
  <si>
    <t xml:space="preserve"> Rabil Ventures</t>
  </si>
  <si>
    <t xml:space="preserve"> Robert Pittman</t>
  </si>
  <si>
    <t xml:space="preserve"> SeventySix Capital</t>
  </si>
  <si>
    <t xml:space="preserve"> Sky Startup Investments &amp; Partnerships</t>
  </si>
  <si>
    <t xml:space="preserve"> Tegna</t>
  </si>
  <si>
    <t xml:space="preserve"> Vineyard Point Associates</t>
  </si>
  <si>
    <t xml:space="preserve"> WndrCo</t>
  </si>
  <si>
    <t xml:space="preserve"> PreSeed Ventures</t>
  </si>
  <si>
    <t>Brian Lee</t>
  </si>
  <si>
    <t xml:space="preserve"> CAA Ventures</t>
  </si>
  <si>
    <t xml:space="preserve"> Chad Byers</t>
  </si>
  <si>
    <t xml:space="preserve"> Coffin Capital &amp; Ventures</t>
  </si>
  <si>
    <t xml:space="preserve"> Diego Berdakin</t>
  </si>
  <si>
    <t xml:space="preserve"> Ellis Capital</t>
  </si>
  <si>
    <t xml:space="preserve"> Jason Calacanis</t>
  </si>
  <si>
    <t xml:space="preserve"> Joe Greenstein</t>
  </si>
  <si>
    <t xml:space="preserve"> Matthew Coffin</t>
  </si>
  <si>
    <t xml:space="preserve"> Michael Broukhim</t>
  </si>
  <si>
    <t xml:space="preserve"> Rani Aliahmad</t>
  </si>
  <si>
    <t xml:space="preserve"> Shasta Ventures</t>
  </si>
  <si>
    <t xml:space="preserve"> Susa Ventures</t>
  </si>
  <si>
    <t xml:space="preserve"> Tencent Industry Win-Win Fund</t>
  </si>
  <si>
    <t xml:space="preserve"> Trinity Ventures</t>
  </si>
  <si>
    <t xml:space="preserve"> Venkatesh Harinarayan</t>
  </si>
  <si>
    <t>Active Venture Partners</t>
  </si>
  <si>
    <t xml:space="preserve"> Columbia Lake Partners</t>
  </si>
  <si>
    <t xml:space="preserve"> Institut Català de Finances</t>
  </si>
  <si>
    <t>Aneesh Reddy</t>
  </si>
  <si>
    <t xml:space="preserve"> Anupam Mittal</t>
  </si>
  <si>
    <t xml:space="preserve"> Dinesh Agarwal</t>
  </si>
  <si>
    <t xml:space="preserve"> Eight Roads</t>
  </si>
  <si>
    <t xml:space="preserve"> F-Prime Capital Partners</t>
  </si>
  <si>
    <t xml:space="preserve"> Girish Mathrubootham</t>
  </si>
  <si>
    <t xml:space="preserve"> Gokul Rajaram</t>
  </si>
  <si>
    <t xml:space="preserve"> GSF India</t>
  </si>
  <si>
    <t xml:space="preserve"> Hanwha</t>
  </si>
  <si>
    <t xml:space="preserve"> Nandita Jhaveri</t>
  </si>
  <si>
    <t xml:space="preserve"> Powerhouse Ventures</t>
  </si>
  <si>
    <t xml:space="preserve"> Rajesh Sawhney</t>
  </si>
  <si>
    <t xml:space="preserve"> Stellaris Venture Partners</t>
  </si>
  <si>
    <t xml:space="preserve"> Vatsal Sonecha</t>
  </si>
  <si>
    <t xml:space="preserve"> Vispi Daver</t>
  </si>
  <si>
    <t>Al Dhow Capital</t>
  </si>
  <si>
    <t xml:space="preserve"> Alps Alpine</t>
  </si>
  <si>
    <t xml:space="preserve"> Aramex</t>
  </si>
  <si>
    <t xml:space="preserve"> Daimler</t>
  </si>
  <si>
    <t xml:space="preserve"> Deutsche Bahn Digital Ventures</t>
  </si>
  <si>
    <t xml:space="preserve"> Dominic Perks</t>
  </si>
  <si>
    <t xml:space="preserve"> Edward Tinsley</t>
  </si>
  <si>
    <t xml:space="preserve"> Force Over Mass Capital</t>
  </si>
  <si>
    <t xml:space="preserve"> Fraser McCombs Capital</t>
  </si>
  <si>
    <t xml:space="preserve"> Future Positive Capital</t>
  </si>
  <si>
    <t xml:space="preserve"> Guy Westlake</t>
  </si>
  <si>
    <t xml:space="preserve"> Hambro Perks</t>
  </si>
  <si>
    <t xml:space="preserve"> Henry Wigan</t>
  </si>
  <si>
    <t xml:space="preserve"> Innova Kapital</t>
  </si>
  <si>
    <t xml:space="preserve"> Intercapital (Portugal)</t>
  </si>
  <si>
    <t xml:space="preserve"> Ivan Mazour</t>
  </si>
  <si>
    <t xml:space="preserve"> JamJar Investments</t>
  </si>
  <si>
    <t xml:space="preserve"> Keiretsu Forum</t>
  </si>
  <si>
    <t xml:space="preserve"> Liil Ventures</t>
  </si>
  <si>
    <t xml:space="preserve"> Mike Lebus</t>
  </si>
  <si>
    <t xml:space="preserve"> Mustard Seed Impact</t>
  </si>
  <si>
    <t xml:space="preserve"> Nico Rosberg</t>
  </si>
  <si>
    <t xml:space="preserve"> Richard Fearn</t>
  </si>
  <si>
    <t xml:space="preserve"> Sony Innovation Fund</t>
  </si>
  <si>
    <t xml:space="preserve"> Startup Autobahn</t>
  </si>
  <si>
    <t xml:space="preserve"> TURN8</t>
  </si>
  <si>
    <t xml:space="preserve"> Wildcat Venture Partners</t>
  </si>
  <si>
    <t xml:space="preserve"> Empower Investment (China)</t>
  </si>
  <si>
    <t xml:space="preserve"> GSR Ventures</t>
  </si>
  <si>
    <t xml:space="preserve"> Yunfeng Capital</t>
  </si>
  <si>
    <t>Allen DeBevoise</t>
  </si>
  <si>
    <t xml:space="preserve"> Basset Investment Group</t>
  </si>
  <si>
    <t xml:space="preserve"> Colle Capital Partners</t>
  </si>
  <si>
    <t xml:space="preserve"> Dragoneer Investment Group</t>
  </si>
  <si>
    <t xml:space="preserve"> Evolution Media</t>
  </si>
  <si>
    <t xml:space="preserve"> HTC</t>
  </si>
  <si>
    <t xml:space="preserve"> Joichi Ito</t>
  </si>
  <si>
    <t xml:space="preserve"> Leo Spiegel</t>
  </si>
  <si>
    <t xml:space="preserve"> Max Ventures</t>
  </si>
  <si>
    <t xml:space="preserve"> MWM (USA)</t>
  </si>
  <si>
    <t xml:space="preserve"> Orange Digital Ventures</t>
  </si>
  <si>
    <t xml:space="preserve"> Palantir Capital</t>
  </si>
  <si>
    <t xml:space="preserve"> Plus Capital</t>
  </si>
  <si>
    <t xml:space="preserve"> Rothenberg Ventures</t>
  </si>
  <si>
    <t xml:space="preserve"> Spiegel Capital Management</t>
  </si>
  <si>
    <t xml:space="preserve"> Third Wave Digital</t>
  </si>
  <si>
    <t>Alliance Ventures</t>
  </si>
  <si>
    <t xml:space="preserve"> Atop Capital</t>
  </si>
  <si>
    <t xml:space="preserve"> Hanfor Capital</t>
  </si>
  <si>
    <t xml:space="preserve"> Hongtai Capital Holdings</t>
  </si>
  <si>
    <t xml:space="preserve"> Innoangel Fund</t>
  </si>
  <si>
    <t xml:space="preserve"> Johnson Electric Holdings</t>
  </si>
  <si>
    <t xml:space="preserve"> Nautilus Venture Partners</t>
  </si>
  <si>
    <t xml:space="preserve"> OceanIQ Capital</t>
  </si>
  <si>
    <t xml:space="preserve"> Qiming Venture Partners</t>
  </si>
  <si>
    <t xml:space="preserve"> Tsingyuan Ventures</t>
  </si>
  <si>
    <t xml:space="preserve"> Wisemont Capital</t>
  </si>
  <si>
    <t xml:space="preserve"> XiaoPeng He</t>
  </si>
  <si>
    <t>Alibaba Group</t>
  </si>
  <si>
    <t xml:space="preserve"> Ameba Capital</t>
  </si>
  <si>
    <t xml:space="preserve"> Baidu</t>
  </si>
  <si>
    <t xml:space="preserve"> Baidu Ventures</t>
  </si>
  <si>
    <t xml:space="preserve"> China Minmetals Corporation</t>
  </si>
  <si>
    <t xml:space="preserve"> China Structural Reform Fund</t>
  </si>
  <si>
    <t xml:space="preserve"> Envision Energy</t>
  </si>
  <si>
    <t xml:space="preserve"> Linear Venture</t>
  </si>
  <si>
    <t xml:space="preserve"> Sequoia Capital China</t>
  </si>
  <si>
    <t xml:space="preserve"> Seven Seas Partners</t>
  </si>
  <si>
    <t xml:space="preserve"> Shanxi financial Holding Group</t>
  </si>
  <si>
    <t xml:space="preserve"> Susquehanna Asia Investments</t>
  </si>
  <si>
    <t xml:space="preserve"> Bill Winkenwerder</t>
  </si>
  <si>
    <t xml:space="preserve"> Brett Rosen</t>
  </si>
  <si>
    <t xml:space="preserve"> Enmi Kendall</t>
  </si>
  <si>
    <t xml:space="preserve"> Geraldine McGinty</t>
  </si>
  <si>
    <t xml:space="preserve"> Healthy Ventures</t>
  </si>
  <si>
    <t xml:space="preserve"> IA Capital Group</t>
  </si>
  <si>
    <t xml:space="preserve"> Jimmy Lee</t>
  </si>
  <si>
    <t xml:space="preserve"> Ken Goulet</t>
  </si>
  <si>
    <t xml:space="preserve"> Pacific 8 Ventures</t>
  </si>
  <si>
    <t xml:space="preserve"> Peter Frishauf</t>
  </si>
  <si>
    <t xml:space="preserve"> Philip Edmundson</t>
  </si>
  <si>
    <t xml:space="preserve"> Sam Havens</t>
  </si>
  <si>
    <t xml:space="preserve"> Sanjay Pingle</t>
  </si>
  <si>
    <t xml:space="preserve"> Various Angels</t>
  </si>
  <si>
    <t>Brisbane Angels</t>
  </si>
  <si>
    <t xml:space="preserve"> Melbourne Angels</t>
  </si>
  <si>
    <t xml:space="preserve"> MicroVentures</t>
  </si>
  <si>
    <t xml:space="preserve"> Sacramento Angels</t>
  </si>
  <si>
    <t>Adage Capital Management</t>
  </si>
  <si>
    <t xml:space="preserve"> Alexandria Venture Investments</t>
  </si>
  <si>
    <t xml:space="preserve"> Asset Management Ventures</t>
  </si>
  <si>
    <t xml:space="preserve"> DigiTx Partners</t>
  </si>
  <si>
    <t xml:space="preserve"> Excel Venture Management</t>
  </si>
  <si>
    <t xml:space="preserve"> Hudson River Capital Partners</t>
  </si>
  <si>
    <t xml:space="preserve"> Merck Global Health Innovation Fund</t>
  </si>
  <si>
    <t xml:space="preserve"> The Maryland Business Incubation Association</t>
  </si>
  <si>
    <t xml:space="preserve"> Windham Venture Partners</t>
  </si>
  <si>
    <t>Gemini Israel Ventures</t>
  </si>
  <si>
    <t xml:space="preserve"> Hewlett Packard Pathfinder</t>
  </si>
  <si>
    <t xml:space="preserve"> Mellanox Technologies</t>
  </si>
  <si>
    <t xml:space="preserve"> Nvidia</t>
  </si>
  <si>
    <t xml:space="preserve"> Qualcomm</t>
  </si>
  <si>
    <t xml:space="preserve"> Seagate Venture Fund</t>
  </si>
  <si>
    <t xml:space="preserve"> Western Digital Capital</t>
  </si>
  <si>
    <t xml:space="preserve"> WRV Capital</t>
  </si>
  <si>
    <t>AngelList</t>
  </si>
  <si>
    <t xml:space="preserve"> CreditEase</t>
  </si>
  <si>
    <t xml:space="preserve"> Mountain Partners</t>
  </si>
  <si>
    <t xml:space="preserve"> Mubadala Investment Company</t>
  </si>
  <si>
    <t xml:space="preserve"> Samuel Skoblo</t>
  </si>
  <si>
    <t xml:space="preserve"> SBI Investment</t>
  </si>
  <si>
    <t xml:space="preserve"> Seedcamp</t>
  </si>
  <si>
    <t xml:space="preserve"> SoftBank Investment Advisers</t>
  </si>
  <si>
    <t xml:space="preserve"> Speedinvest</t>
  </si>
  <si>
    <t xml:space="preserve"> Target Global</t>
  </si>
  <si>
    <t xml:space="preserve"> Victory Park Capital</t>
  </si>
  <si>
    <t>GMO VenturePartners</t>
  </si>
  <si>
    <t xml:space="preserve"> Incubate Fund</t>
  </si>
  <si>
    <t>Acequia Capital</t>
  </si>
  <si>
    <t xml:space="preserve"> Index Ventures (UK)</t>
  </si>
  <si>
    <t xml:space="preserve"> Kal Vepuri</t>
  </si>
  <si>
    <t xml:space="preserve"> Maveron</t>
  </si>
  <si>
    <t xml:space="preserve"> Nihal Mehta</t>
  </si>
  <si>
    <t xml:space="preserve"> Red Sea Ventures</t>
  </si>
  <si>
    <t xml:space="preserve"> Tikhon Bernstam</t>
  </si>
  <si>
    <t xml:space="preserve"> TIBCO Software</t>
  </si>
  <si>
    <t xml:space="preserve"> US Venture Partners</t>
  </si>
  <si>
    <t xml:space="preserve"> WS Investments</t>
  </si>
  <si>
    <t>Oakmont (Los Angeles)</t>
  </si>
  <si>
    <t xml:space="preserve"> Southern Cross Venture Partners</t>
  </si>
  <si>
    <t xml:space="preserve"> Tallwood Venture Capital</t>
  </si>
  <si>
    <t>American Express Ventures</t>
  </si>
  <si>
    <t xml:space="preserve"> Andrew Boszhardt</t>
  </si>
  <si>
    <t xml:space="preserve"> Andrew Dunn</t>
  </si>
  <si>
    <t xml:space="preserve"> Andrew Fine</t>
  </si>
  <si>
    <t xml:space="preserve"> Bullish</t>
  </si>
  <si>
    <t xml:space="preserve"> Christopher Dixon</t>
  </si>
  <si>
    <t xml:space="preserve"> Cross Culture Ventures</t>
  </si>
  <si>
    <t xml:space="preserve"> Grace Beauty Capital</t>
  </si>
  <si>
    <t xml:space="preserve"> Hartford Financial Services Group (Mutual Fund Business)</t>
  </si>
  <si>
    <t xml:space="preserve"> Inside Capital</t>
  </si>
  <si>
    <t xml:space="preserve"> Interplay Ventures</t>
  </si>
  <si>
    <t xml:space="preserve"> John Hancock Investments</t>
  </si>
  <si>
    <t xml:space="preserve"> Josh Spear</t>
  </si>
  <si>
    <t xml:space="preserve"> M13</t>
  </si>
  <si>
    <t xml:space="preserve"> MentorTech Ventures</t>
  </si>
  <si>
    <t xml:space="preserve"> Red Swan Ventures</t>
  </si>
  <si>
    <t xml:space="preserve"> Scott Belsky</t>
  </si>
  <si>
    <t xml:space="preserve"> Shervin Pishevar</t>
  </si>
  <si>
    <t xml:space="preserve"> Suffolk Equity Partners</t>
  </si>
  <si>
    <t xml:space="preserve"> T. Rowe Price</t>
  </si>
  <si>
    <t xml:space="preserve"> Tiger Global Management</t>
  </si>
  <si>
    <t xml:space="preserve"> Troy Carter</t>
  </si>
  <si>
    <t xml:space="preserve"> Variable Annuity Life Insurance Company</t>
  </si>
  <si>
    <t xml:space="preserve"> Wellington Management</t>
  </si>
  <si>
    <t xml:space="preserve"> Wharton Venture Initiation Program</t>
  </si>
  <si>
    <t>Audacia</t>
  </si>
  <si>
    <t xml:space="preserve"> Light Warrior</t>
  </si>
  <si>
    <t>Altice</t>
  </si>
  <si>
    <t xml:space="preserve"> East Africa Capital Partners</t>
  </si>
  <si>
    <t xml:space="preserve"> Emerging Capital Partners</t>
  </si>
  <si>
    <t xml:space="preserve"> OppenheimerFunds</t>
  </si>
  <si>
    <t xml:space="preserve"> Prudence Holdings</t>
  </si>
  <si>
    <t xml:space="preserve"> Sarona Asset Management</t>
  </si>
  <si>
    <t>LGE Community Credit Union</t>
  </si>
  <si>
    <t xml:space="preserve"> Sustainable Development Technology Canada</t>
  </si>
  <si>
    <t xml:space="preserve"> Veeco</t>
  </si>
  <si>
    <t>Individual Investor</t>
  </si>
  <si>
    <t xml:space="preserve"> National Science Foundation</t>
  </si>
  <si>
    <t>Douglas Weintraub</t>
  </si>
  <si>
    <t xml:space="preserve"> Glouston Capital Partners</t>
  </si>
  <si>
    <t xml:space="preserve"> JumpStart</t>
  </si>
  <si>
    <t xml:space="preserve"> Mutual Capital Partners</t>
  </si>
  <si>
    <t xml:space="preserve"> TELUS Ventures</t>
  </si>
  <si>
    <t xml:space="preserve"> Allen &amp; Company</t>
  </si>
  <si>
    <t xml:space="preserve"> Brent Jones</t>
  </si>
  <si>
    <t xml:space="preserve"> Daniel Rosensweig</t>
  </si>
  <si>
    <t xml:space="preserve"> General Atlantic</t>
  </si>
  <si>
    <t xml:space="preserve"> Jeffrey Weiner</t>
  </si>
  <si>
    <t xml:space="preserve"> Providence Equity Partners</t>
  </si>
  <si>
    <t xml:space="preserve"> Theodore Leonsis</t>
  </si>
  <si>
    <t>Anzu Partners</t>
  </si>
  <si>
    <t xml:space="preserve"> Bee Partners</t>
  </si>
  <si>
    <t xml:space="preserve"> NYU Tandon School of Engineering</t>
  </si>
  <si>
    <t xml:space="preserve"> Powerhouse (Incubator &amp; Accelerator)</t>
  </si>
  <si>
    <t xml:space="preserve"> UL Ventures</t>
  </si>
  <si>
    <t xml:space="preserve"> Urban Future Lab</t>
  </si>
  <si>
    <t xml:space="preserve"> Zipdragon Ventures</t>
  </si>
  <si>
    <t>Commerce Ventures</t>
  </si>
  <si>
    <t xml:space="preserve"> Tina Bou-Saba</t>
  </si>
  <si>
    <t>AVRO Accelerator</t>
  </si>
  <si>
    <t xml:space="preserve"> David Baggett</t>
  </si>
  <si>
    <t xml:space="preserve"> Hangar51</t>
  </si>
  <si>
    <t xml:space="preserve"> Ingleside Investors</t>
  </si>
  <si>
    <t xml:space="preserve"> International Airlines Group</t>
  </si>
  <si>
    <t xml:space="preserve"> Metro Atlanta Chamber</t>
  </si>
  <si>
    <t xml:space="preserve"> Qantas Airways</t>
  </si>
  <si>
    <t xml:space="preserve"> Slingshot Accelerator</t>
  </si>
  <si>
    <t>AME Cloud Ventures</t>
  </si>
  <si>
    <t xml:space="preserve"> Dubai Angel Investors</t>
  </si>
  <si>
    <t xml:space="preserve"> e.ventures</t>
  </si>
  <si>
    <t xml:space="preserve"> GV</t>
  </si>
  <si>
    <t xml:space="preserve"> Rising Tide Fund</t>
  </si>
  <si>
    <t>Lockheed Martin</t>
  </si>
  <si>
    <t xml:space="preserve"> NYSERDA</t>
  </si>
  <si>
    <t xml:space="preserve"> Primary Venture Partners</t>
  </si>
  <si>
    <t xml:space="preserve"> Rochester Angel Network</t>
  </si>
  <si>
    <t>Accenture</t>
  </si>
  <si>
    <t xml:space="preserve"> Kennet Partners</t>
  </si>
  <si>
    <t xml:space="preserve"> New York Life Enterprises</t>
  </si>
  <si>
    <t xml:space="preserve"> New York Life Ventures</t>
  </si>
  <si>
    <t xml:space="preserve"> Sutter Hill Ventures</t>
  </si>
  <si>
    <t xml:space="preserve"> TDF Ventures</t>
  </si>
  <si>
    <t>Morgan Stanley Expansion Capital</t>
  </si>
  <si>
    <t xml:space="preserve"> Stanley Ventures</t>
  </si>
  <si>
    <t xml:space="preserve"> Baxter Ventures</t>
  </si>
  <si>
    <t xml:space="preserve"> MVM Partners</t>
  </si>
  <si>
    <t>Apex Mutavim</t>
  </si>
  <si>
    <t>F2 Capital</t>
  </si>
  <si>
    <t xml:space="preserve"> SAP.iO Foundry</t>
  </si>
  <si>
    <t>Angus Reid</t>
  </si>
  <si>
    <t xml:space="preserve"> Bridgescale</t>
  </si>
  <si>
    <t xml:space="preserve"> Difference Capital Financial</t>
  </si>
  <si>
    <t xml:space="preserve"> Georgian Partners</t>
  </si>
  <si>
    <t xml:space="preserve"> Gibraltar Ventures (Toronto)</t>
  </si>
  <si>
    <t xml:space="preserve"> Kensington Capital Partners</t>
  </si>
  <si>
    <t xml:space="preserve"> Northleaf Capital Partners</t>
  </si>
  <si>
    <t xml:space="preserve"> OMERS Ventures</t>
  </si>
  <si>
    <t xml:space="preserve"> RecapHealth Ventures</t>
  </si>
  <si>
    <t xml:space="preserve"> W Capital Partners</t>
  </si>
  <si>
    <t xml:space="preserve"> Wellington Financial</t>
  </si>
  <si>
    <t>Apex Venture Partners</t>
  </si>
  <si>
    <t xml:space="preserve"> Armando Pauker</t>
  </si>
  <si>
    <t xml:space="preserve"> Brian Hirsch</t>
  </si>
  <si>
    <t xml:space="preserve"> Caerus Investment Partners</t>
  </si>
  <si>
    <t xml:space="preserve"> Catapult Chicago</t>
  </si>
  <si>
    <t xml:space="preserve"> Chicago Ventures</t>
  </si>
  <si>
    <t xml:space="preserve"> Corazon Capital</t>
  </si>
  <si>
    <t xml:space="preserve"> Craig Duchossois</t>
  </si>
  <si>
    <t xml:space="preserve"> DRW Venture Capital</t>
  </si>
  <si>
    <t xml:space="preserve"> Duchossois Capital Management</t>
  </si>
  <si>
    <t xml:space="preserve"> Healthbox</t>
  </si>
  <si>
    <t xml:space="preserve"> Jump Capital</t>
  </si>
  <si>
    <t xml:space="preserve"> Lakewest Venture Partners</t>
  </si>
  <si>
    <t xml:space="preserve"> Lon Chow</t>
  </si>
  <si>
    <t xml:space="preserve"> McNally Capital</t>
  </si>
  <si>
    <t xml:space="preserve"> NextGen Venture Partners</t>
  </si>
  <si>
    <t xml:space="preserve"> Pallasite Ventures</t>
  </si>
  <si>
    <t xml:space="preserve"> Pritzker Group Venture Capital</t>
  </si>
  <si>
    <t xml:space="preserve"> Sam Yagan</t>
  </si>
  <si>
    <t xml:space="preserve"> Service Provider Capital</t>
  </si>
  <si>
    <t xml:space="preserve"> TLSG Investments</t>
  </si>
  <si>
    <t xml:space="preserve"> Trebuchet Fund</t>
  </si>
  <si>
    <t xml:space="preserve"> Trust Ventures</t>
  </si>
  <si>
    <t xml:space="preserve"> United Enterprise Fund</t>
  </si>
  <si>
    <t xml:space="preserve"> Wasson Enterprise</t>
  </si>
  <si>
    <t xml:space="preserve"> Wayne Boulais</t>
  </si>
  <si>
    <t xml:space="preserve"> Blue Delta Capital Partners</t>
  </si>
  <si>
    <t xml:space="preserve"> ICONIQ Capital</t>
  </si>
  <si>
    <t xml:space="preserve"> Portage Partners</t>
  </si>
  <si>
    <t xml:space="preserve"> Quadrant Capital Advisors</t>
  </si>
  <si>
    <t xml:space="preserve"> Soros Fund Management</t>
  </si>
  <si>
    <t xml:space="preserve"> Teamworthy Ventures</t>
  </si>
  <si>
    <t xml:space="preserve"> Tenfore Holdings</t>
  </si>
  <si>
    <t xml:space="preserve"> Thyra Global Management</t>
  </si>
  <si>
    <t xml:space="preserve"> Vidinovo</t>
  </si>
  <si>
    <t>Acumen Fund</t>
  </si>
  <si>
    <t xml:space="preserve"> Carver Family Office</t>
  </si>
  <si>
    <t xml:space="preserve"> Chong Park</t>
  </si>
  <si>
    <t xml:space="preserve"> CNF Investments</t>
  </si>
  <si>
    <t xml:space="preserve"> Entangled Group</t>
  </si>
  <si>
    <t xml:space="preserve"> Future\Perfect Ventures</t>
  </si>
  <si>
    <t xml:space="preserve"> Impact Engine</t>
  </si>
  <si>
    <t xml:space="preserve"> Kenneth Hicks</t>
  </si>
  <si>
    <t xml:space="preserve"> Lumina Foundation</t>
  </si>
  <si>
    <t xml:space="preserve"> NVC Investment</t>
  </si>
  <si>
    <t xml:space="preserve"> Thayer Ventures</t>
  </si>
  <si>
    <t xml:space="preserve"> University Ventures</t>
  </si>
  <si>
    <t>Breesaap Green Link</t>
  </si>
  <si>
    <t xml:space="preserve"> EIT Climate-KIC</t>
  </si>
  <si>
    <t xml:space="preserve"> Energy Impact Partners</t>
  </si>
  <si>
    <t xml:space="preserve"> Mainport Innovation Fund II</t>
  </si>
  <si>
    <t xml:space="preserve"> NBI Investors</t>
  </si>
  <si>
    <t xml:space="preserve"> Utrechtinc</t>
  </si>
  <si>
    <t>Mentors Fund</t>
  </si>
  <si>
    <t xml:space="preserve"> UpOver Ventures</t>
  </si>
  <si>
    <t>Frank Siegmund</t>
  </si>
  <si>
    <t xml:space="preserve"> High-Tech Gründerfonds</t>
  </si>
  <si>
    <t xml:space="preserve"> KfW Group</t>
  </si>
  <si>
    <t>ABB Group</t>
  </si>
  <si>
    <t xml:space="preserve"> ABB Technology Ventures</t>
  </si>
  <si>
    <t xml:space="preserve"> Beijing Semiconductor Design and Testing Investment Center</t>
  </si>
  <si>
    <t xml:space="preserve"> Shenzhen Fortune Venture Capital</t>
  </si>
  <si>
    <t xml:space="preserve"> Tsing Capital</t>
  </si>
  <si>
    <t xml:space="preserve"> Waterwood Investment Management</t>
  </si>
  <si>
    <t>Beechwood Capital</t>
  </si>
  <si>
    <t xml:space="preserve"> FernBrook</t>
  </si>
  <si>
    <t>Continental</t>
  </si>
  <si>
    <t xml:space="preserve"> Cox Automotive</t>
  </si>
  <si>
    <t xml:space="preserve"> Deep Space Ventures</t>
  </si>
  <si>
    <t xml:space="preserve"> Dialexa</t>
  </si>
  <si>
    <t xml:space="preserve"> Disrupt SF</t>
  </si>
  <si>
    <t xml:space="preserve"> E.ON</t>
  </si>
  <si>
    <t xml:space="preserve"> Hal Brierley</t>
  </si>
  <si>
    <t xml:space="preserve"> Hersh Family Investments</t>
  </si>
  <si>
    <t xml:space="preserve"> The Westly Group</t>
  </si>
  <si>
    <t xml:space="preserve"> Environmental Business Cluster</t>
  </si>
  <si>
    <t xml:space="preserve"> TiE Silicon Valley</t>
  </si>
  <si>
    <t xml:space="preserve"> Inovia Capital</t>
  </si>
  <si>
    <t xml:space="preserve"> Reinmkr</t>
  </si>
  <si>
    <t xml:space="preserve"> University of Waterloo Velocity</t>
  </si>
  <si>
    <t>Atlanta Equity</t>
  </si>
  <si>
    <t xml:space="preserve"> Eastward Capital Partners</t>
  </si>
  <si>
    <t xml:space="preserve"> Flybridge Capital Partners</t>
  </si>
  <si>
    <t xml:space="preserve"> Harmony Partners</t>
  </si>
  <si>
    <t xml:space="preserve"> JVax Investment Group</t>
  </si>
  <si>
    <t xml:space="preserve"> Motorola Solutions Venture Capital</t>
  </si>
  <si>
    <t xml:space="preserve"> NewSpring Capital</t>
  </si>
  <si>
    <t>Bernd Girod</t>
  </si>
  <si>
    <t xml:space="preserve"> Columbia Technology Ventures</t>
  </si>
  <si>
    <t xml:space="preserve"> Dorm Room Fund</t>
  </si>
  <si>
    <t xml:space="preserve"> NYC Media Lab</t>
  </si>
  <si>
    <t xml:space="preserve"> Publicis Groupe</t>
  </si>
  <si>
    <t xml:space="preserve"> R/GA Accelerator</t>
  </si>
  <si>
    <t xml:space="preserve"> Right Side Capital Management</t>
  </si>
  <si>
    <t xml:space="preserve"> Rough Draft Ventures</t>
  </si>
  <si>
    <t xml:space="preserve"> Social Starts</t>
  </si>
  <si>
    <t xml:space="preserve"> Verizon Media Tech Venture Studio with R/GA</t>
  </si>
  <si>
    <t>Acadia Woods Partners</t>
  </si>
  <si>
    <t xml:space="preserve"> Foundation Capital</t>
  </si>
  <si>
    <t xml:space="preserve"> George Rose</t>
  </si>
  <si>
    <t xml:space="preserve"> Interlock Partners</t>
  </si>
  <si>
    <t xml:space="preserve"> Macanta Investments</t>
  </si>
  <si>
    <t xml:space="preserve"> Manifest Investment Partners</t>
  </si>
  <si>
    <t xml:space="preserve"> Stampede Ventures</t>
  </si>
  <si>
    <t xml:space="preserve"> Structure Fund</t>
  </si>
  <si>
    <t xml:space="preserve"> GenNext Ventures</t>
  </si>
  <si>
    <t xml:space="preserve"> Reliance Industries</t>
  </si>
  <si>
    <t xml:space="preserve"> West Bengal Electronic Industry Development Corporation</t>
  </si>
  <si>
    <t xml:space="preserve"> ABC Dream Ventures</t>
  </si>
  <si>
    <t xml:space="preserve"> D4V (Design for Ventures)</t>
  </si>
  <si>
    <t xml:space="preserve"> Fierce Capital Markets</t>
  </si>
  <si>
    <t xml:space="preserve"> Jun LI</t>
  </si>
  <si>
    <t xml:space="preserve"> Jungle Ventures</t>
  </si>
  <si>
    <t xml:space="preserve"> Masi Oka</t>
  </si>
  <si>
    <t xml:space="preserve"> Media Camp</t>
  </si>
  <si>
    <t xml:space="preserve"> NTT Docomo Ventures</t>
  </si>
  <si>
    <t xml:space="preserve"> Turner Venture Group</t>
  </si>
  <si>
    <t xml:space="preserve"> Aspect Ventures</t>
  </si>
  <si>
    <t xml:space="preserve"> Maynard Webb</t>
  </si>
  <si>
    <t xml:space="preserve"> Oxeon Partners</t>
  </si>
  <si>
    <t xml:space="preserve"> Signia Venture Partners</t>
  </si>
  <si>
    <t xml:space="preserve"> StartX</t>
  </si>
  <si>
    <t xml:space="preserve"> The Valley Fund</t>
  </si>
  <si>
    <t xml:space="preserve"> Adam D'Angelo</t>
  </si>
  <si>
    <t xml:space="preserve"> A-Grade Investments</t>
  </si>
  <si>
    <t xml:space="preserve"> Amino Capital</t>
  </si>
  <si>
    <t xml:space="preserve"> Anduin Ventures</t>
  </si>
  <si>
    <t xml:space="preserve"> Bezos Expeditions</t>
  </si>
  <si>
    <t xml:space="preserve"> Bryan Johnson</t>
  </si>
  <si>
    <t xml:space="preserve"> Coral Group</t>
  </si>
  <si>
    <t xml:space="preserve"> Crescent Enterprises</t>
  </si>
  <si>
    <t xml:space="preserve"> Data Collective</t>
  </si>
  <si>
    <t xml:space="preserve"> Dustin Moskovitz</t>
  </si>
  <si>
    <t xml:space="preserve"> Elon Musk</t>
  </si>
  <si>
    <t xml:space="preserve"> Faridan</t>
  </si>
  <si>
    <t xml:space="preserve"> Fenox Venture Capital</t>
  </si>
  <si>
    <t xml:space="preserve"> Good Ventures</t>
  </si>
  <si>
    <t xml:space="preserve"> Janus Friis</t>
  </si>
  <si>
    <t xml:space="preserve"> Jeffrey Bezos</t>
  </si>
  <si>
    <t xml:space="preserve"> Mark Zuckerberg</t>
  </si>
  <si>
    <t xml:space="preserve"> Metaplanet Holdings</t>
  </si>
  <si>
    <t xml:space="preserve"> Morpheus Ventures</t>
  </si>
  <si>
    <t xml:space="preserve"> Open Field Capital</t>
  </si>
  <si>
    <t xml:space="preserve"> Orfin Ventures</t>
  </si>
  <si>
    <t xml:space="preserve"> OS Fund</t>
  </si>
  <si>
    <t xml:space="preserve"> Peter Diamandis</t>
  </si>
  <si>
    <t xml:space="preserve"> Peter Thiel</t>
  </si>
  <si>
    <t xml:space="preserve"> Presence Capital</t>
  </si>
  <si>
    <t xml:space="preserve"> Sam Altman</t>
  </si>
  <si>
    <t xml:space="preserve"> Vinod Khosla</t>
  </si>
  <si>
    <t xml:space="preserve"> Wipro Ventures</t>
  </si>
  <si>
    <t xml:space="preserve"> Zarco Investment Group</t>
  </si>
  <si>
    <t>Keiretsu Capital</t>
  </si>
  <si>
    <t xml:space="preserve"> PivotNorth Capital</t>
  </si>
  <si>
    <t xml:space="preserve"> C4 Ventures</t>
  </si>
  <si>
    <t xml:space="preserve"> Ervington Investments</t>
  </si>
  <si>
    <t xml:space="preserve"> Evolution VC Partners</t>
  </si>
  <si>
    <t xml:space="preserve"> Hanaco Venture Capital</t>
  </si>
  <si>
    <t xml:space="preserve"> Kapor Capital</t>
  </si>
  <si>
    <t xml:space="preserve"> Lauder Partners</t>
  </si>
  <si>
    <t xml:space="preserve"> Mill Point Capital</t>
  </si>
  <si>
    <t xml:space="preserve"> Nelstone Ventures</t>
  </si>
  <si>
    <t xml:space="preserve"> Planven Investments</t>
  </si>
  <si>
    <t xml:space="preserve"> Poalim Capital Markets</t>
  </si>
  <si>
    <t xml:space="preserve"> Hewlett-Packard</t>
  </si>
  <si>
    <t xml:space="preserve"> Intuit</t>
  </si>
  <si>
    <t>AAC Technologies</t>
  </si>
  <si>
    <t xml:space="preserve"> Accomplice VC</t>
  </si>
  <si>
    <t xml:space="preserve"> Alumni Ventures Group</t>
  </si>
  <si>
    <t xml:space="preserve"> Amazon Alexa Fund</t>
  </si>
  <si>
    <t xml:space="preserve"> Castor Ventures</t>
  </si>
  <si>
    <t xml:space="preserve"> Hyperplane Venture Capital</t>
  </si>
  <si>
    <t xml:space="preserve"> Michigan Investment in New Technology Startups</t>
  </si>
  <si>
    <t xml:space="preserve"> Miraenano Tech</t>
  </si>
  <si>
    <t xml:space="preserve"> National Institutes of Health</t>
  </si>
  <si>
    <t xml:space="preserve"> Sands Capital Ventures</t>
  </si>
  <si>
    <t xml:space="preserve"> Shure</t>
  </si>
  <si>
    <t xml:space="preserve"> Synaptics</t>
  </si>
  <si>
    <t xml:space="preserve"> U.S. Department of Health and Human Services</t>
  </si>
  <si>
    <t xml:space="preserve"> Vivjan Myrto</t>
  </si>
  <si>
    <t xml:space="preserve"> XinGang Electronics</t>
  </si>
  <si>
    <t xml:space="preserve"> ZZ Capital</t>
  </si>
  <si>
    <t>AngelPad</t>
  </si>
  <si>
    <t xml:space="preserve"> MITS Fund</t>
  </si>
  <si>
    <t>ARTIS Ventures</t>
  </si>
  <si>
    <t xml:space="preserve"> Stuart Peterson</t>
  </si>
  <si>
    <t>Austin Ventures</t>
  </si>
  <si>
    <t xml:space="preserve"> Chevron Technology Ventures</t>
  </si>
  <si>
    <t xml:space="preserve"> Houston Technology Center</t>
  </si>
  <si>
    <t xml:space="preserve"> Kenda Capital</t>
  </si>
  <si>
    <t xml:space="preserve"> LiveOak Venture Partners</t>
  </si>
  <si>
    <t xml:space="preserve"> Texas Emerging Technology Fund</t>
  </si>
  <si>
    <t>First Round Capital</t>
  </si>
  <si>
    <t xml:space="preserve"> Hans Robertson</t>
  </si>
  <si>
    <t xml:space="preserve"> Hector Garcia-Molina</t>
  </si>
  <si>
    <t xml:space="preserve"> Meritech Capital Partners</t>
  </si>
  <si>
    <t>Airbus Ventures</t>
  </si>
  <si>
    <t xml:space="preserve"> Bascom Ventures</t>
  </si>
  <si>
    <t xml:space="preserve"> Chestnut Street Ventures</t>
  </si>
  <si>
    <t xml:space="preserve"> Kitty Hawk Capital</t>
  </si>
  <si>
    <t xml:space="preserve"> The Yard Ventures</t>
  </si>
  <si>
    <t>Archer Gray</t>
  </si>
  <si>
    <t xml:space="preserve"> Forefront Venture Partners</t>
  </si>
  <si>
    <t xml:space="preserve"> Frederick Soneya</t>
  </si>
  <si>
    <t xml:space="preserve"> Haatch</t>
  </si>
  <si>
    <t xml:space="preserve"> Imagination Capital</t>
  </si>
  <si>
    <t xml:space="preserve"> Newark Venture Partners</t>
  </si>
  <si>
    <t xml:space="preserve"> Scott Weavers-Wright</t>
  </si>
  <si>
    <t xml:space="preserve"> Stage One Capital</t>
  </si>
  <si>
    <t xml:space="preserve"> SWaN &amp; Legend Venture Partners</t>
  </si>
  <si>
    <t xml:space="preserve"> Tuhaye Venture Partners</t>
  </si>
  <si>
    <t>Amos Ben-Meir</t>
  </si>
  <si>
    <t xml:space="preserve"> Founder.org</t>
  </si>
  <si>
    <t xml:space="preserve"> Jabil</t>
  </si>
  <si>
    <t xml:space="preserve"> Long Venture Partners</t>
  </si>
  <si>
    <t xml:space="preserve"> Orange Fab</t>
  </si>
  <si>
    <t xml:space="preserve"> SV Latam Fund</t>
  </si>
  <si>
    <t>Amplify Partners</t>
  </si>
  <si>
    <t xml:space="preserve"> Ashok Krishnamurthi</t>
  </si>
  <si>
    <t xml:space="preserve"> Capital One Growth Ventures</t>
  </si>
  <si>
    <t xml:space="preserve"> Christopher Rust</t>
  </si>
  <si>
    <t xml:space="preserve"> Clear Ventures</t>
  </si>
  <si>
    <t xml:space="preserve"> Fishtech Labs</t>
  </si>
  <si>
    <t xml:space="preserve"> Leslie Ventures</t>
  </si>
  <si>
    <t xml:space="preserve"> Lux Capital</t>
  </si>
  <si>
    <t xml:space="preserve"> Nikon</t>
  </si>
  <si>
    <t>Aruba Networks</t>
  </si>
  <si>
    <t xml:space="preserve"> Aurum Partners</t>
  </si>
  <si>
    <t xml:space="preserve"> Causeway Media Partners</t>
  </si>
  <si>
    <t xml:space="preserve"> Compass Group USA</t>
  </si>
  <si>
    <t xml:space="preserve"> Sharks Sports &amp; Entertainment</t>
  </si>
  <si>
    <t xml:space="preserve"> Twitter Ventures</t>
  </si>
  <si>
    <t xml:space="preserve"> WISE Ventures (New York)</t>
  </si>
  <si>
    <t>Brian O'Halloran</t>
  </si>
  <si>
    <t xml:space="preserve"> Building Global Innovators</t>
  </si>
  <si>
    <t xml:space="preserve"> Caixa Capital</t>
  </si>
  <si>
    <t xml:space="preserve"> Cane Investments</t>
  </si>
  <si>
    <t xml:space="preserve"> Carnegie Mellon Portugal Program</t>
  </si>
  <si>
    <t xml:space="preserve"> True Ventures</t>
  </si>
  <si>
    <t xml:space="preserve"> UPTEC</t>
  </si>
  <si>
    <t xml:space="preserve"> UTEN Portugal</t>
  </si>
  <si>
    <t xml:space="preserve"> Yamaha Motor Ventures &amp; Laboratory Silicon Valley</t>
  </si>
  <si>
    <t>Foundation Capital</t>
  </si>
  <si>
    <t xml:space="preserve"> Highway 12 Ventures</t>
  </si>
  <si>
    <t xml:space="preserve"> Mercato Partners</t>
  </si>
  <si>
    <t xml:space="preserve"> NextEquity Partners</t>
  </si>
  <si>
    <t xml:space="preserve"> Origin Partners</t>
  </si>
  <si>
    <t xml:space="preserve"> Pelion Venture Partners</t>
  </si>
  <si>
    <t xml:space="preserve"> QuestMark Partners</t>
  </si>
  <si>
    <t xml:space="preserve"> TCV</t>
  </si>
  <si>
    <t xml:space="preserve"> Utah Angels</t>
  </si>
  <si>
    <t xml:space="preserve"> iGan Partners</t>
  </si>
  <si>
    <t xml:space="preserve"> SpotX</t>
  </si>
  <si>
    <t xml:space="preserve"> Upfront Ventures</t>
  </si>
  <si>
    <t xml:space="preserve"> WarnerMedia Investments</t>
  </si>
  <si>
    <t>Alec Petro</t>
  </si>
  <si>
    <t xml:space="preserve"> B&amp;Y Venture Partners</t>
  </si>
  <si>
    <t xml:space="preserve"> Bayhill Capital Management</t>
  </si>
  <si>
    <t xml:space="preserve"> Boost VC</t>
  </si>
  <si>
    <t xml:space="preserve"> Daniel Chen</t>
  </si>
  <si>
    <t xml:space="preserve"> Digital Currency Group</t>
  </si>
  <si>
    <t xml:space="preserve"> Extol Capital</t>
  </si>
  <si>
    <t xml:space="preserve"> FarSight Ventures</t>
  </si>
  <si>
    <t xml:space="preserve"> Fenbushi Capital</t>
  </si>
  <si>
    <t xml:space="preserve"> Fenway Summer Ventures</t>
  </si>
  <si>
    <t xml:space="preserve"> Firestartr</t>
  </si>
  <si>
    <t xml:space="preserve"> Jere Doyle</t>
  </si>
  <si>
    <t xml:space="preserve"> Korea Investment Partners</t>
  </si>
  <si>
    <t xml:space="preserve"> Mark Lodish</t>
  </si>
  <si>
    <t xml:space="preserve"> National Australian Bank Ventures</t>
  </si>
  <si>
    <t xml:space="preserve"> Pantera Capital</t>
  </si>
  <si>
    <t xml:space="preserve"> Paul Veradittakit</t>
  </si>
  <si>
    <t xml:space="preserve"> Philippe Suchet</t>
  </si>
  <si>
    <t xml:space="preserve"> Pivot Investment Partners</t>
  </si>
  <si>
    <t xml:space="preserve"> RF7</t>
  </si>
  <si>
    <t xml:space="preserve"> Spike Ventures</t>
  </si>
  <si>
    <t xml:space="preserve"> Strawberry Creek Ventures</t>
  </si>
  <si>
    <t xml:space="preserve"> SVB Financial Group</t>
  </si>
  <si>
    <t xml:space="preserve"> The Whittemore Collection</t>
  </si>
  <si>
    <t xml:space="preserve"> Todd McDonald</t>
  </si>
  <si>
    <t xml:space="preserve"> Trend Forward Capital</t>
  </si>
  <si>
    <t xml:space="preserve"> Atlantic Bridge Capital</t>
  </si>
  <si>
    <t xml:space="preserve"> DAG Ventures</t>
  </si>
  <si>
    <t xml:space="preserve"> IA Ventures</t>
  </si>
  <si>
    <t xml:space="preserve"> Ireland Strategic Investment Fund</t>
  </si>
  <si>
    <t xml:space="preserve"> Juniper Networks</t>
  </si>
  <si>
    <t xml:space="preserve"> Nissho Electronics</t>
  </si>
  <si>
    <t>Atomico</t>
  </si>
  <si>
    <t xml:space="preserve"> Bragiel Brothers</t>
  </si>
  <si>
    <t xml:space="preserve"> EQT Ventures</t>
  </si>
  <si>
    <t xml:space="preserve"> Foobar Technologies</t>
  </si>
  <si>
    <t xml:space="preserve"> Lifeline Ventures</t>
  </si>
  <si>
    <t xml:space="preserve"> Sisu Game Ventures</t>
  </si>
  <si>
    <t xml:space="preserve"> Tekes</t>
  </si>
  <si>
    <t xml:space="preserve"> The Venture Reality Fund</t>
  </si>
  <si>
    <t xml:space="preserve"> Ville Miettinen</t>
  </si>
  <si>
    <t xml:space="preserve"> SAP Startup Focus</t>
  </si>
  <si>
    <t>Amiti Ventures</t>
  </si>
  <si>
    <t xml:space="preserve"> Aptiv</t>
  </si>
  <si>
    <t xml:space="preserve"> Aviv Venture Capital</t>
  </si>
  <si>
    <t xml:space="preserve"> EG Capital Advisors</t>
  </si>
  <si>
    <t xml:space="preserve"> F+ Ventures</t>
  </si>
  <si>
    <t xml:space="preserve"> Genesis Partners</t>
  </si>
  <si>
    <t xml:space="preserve"> Israel Growth Partners</t>
  </si>
  <si>
    <t xml:space="preserve"> Linse Capital</t>
  </si>
  <si>
    <t xml:space="preserve"> Magma Venture Partners</t>
  </si>
  <si>
    <t xml:space="preserve"> MediaTek</t>
  </si>
  <si>
    <t xml:space="preserve"> Mitsui Global Investment</t>
  </si>
  <si>
    <t xml:space="preserve"> Oppenheimer &amp; Company</t>
  </si>
  <si>
    <t xml:space="preserve"> Pegatron</t>
  </si>
  <si>
    <t xml:space="preserve"> The Goldman Sachs Group</t>
  </si>
  <si>
    <t xml:space="preserve"> Level Equity</t>
  </si>
  <si>
    <t xml:space="preserve"> Cool Planet</t>
  </si>
  <si>
    <t xml:space="preserve"> Exelon</t>
  </si>
  <si>
    <t>Iconica Partners</t>
  </si>
  <si>
    <t xml:space="preserve"> Novak Djokovic</t>
  </si>
  <si>
    <t xml:space="preserve"> Tennis Australia</t>
  </si>
  <si>
    <t xml:space="preserve"> Tennis Channel</t>
  </si>
  <si>
    <t>Emerald Technology Ventures</t>
  </si>
  <si>
    <t xml:space="preserve"> EnerTech Capital</t>
  </si>
  <si>
    <t xml:space="preserve"> Forté Ventures</t>
  </si>
  <si>
    <t>Excelerate Health Ventures</t>
  </si>
  <si>
    <t xml:space="preserve"> Omphalos Venture Partners</t>
  </si>
  <si>
    <t>Allianz X</t>
  </si>
  <si>
    <t xml:space="preserve"> American Tire Distributors</t>
  </si>
  <si>
    <t xml:space="preserve"> AOL Fishbowl Labs</t>
  </si>
  <si>
    <t xml:space="preserve"> Blu Venture Investors</t>
  </si>
  <si>
    <t xml:space="preserve"> InMotion Ventures</t>
  </si>
  <si>
    <t xml:space="preserve"> Jonathan Ebinger</t>
  </si>
  <si>
    <t xml:space="preserve"> Lawrence Williamson</t>
  </si>
  <si>
    <t xml:space="preserve"> Michael Cirrito</t>
  </si>
  <si>
    <t xml:space="preserve"> Michael Holmes</t>
  </si>
  <si>
    <t xml:space="preserve"> Michael Smith</t>
  </si>
  <si>
    <t xml:space="preserve"> Rocketship</t>
  </si>
  <si>
    <t xml:space="preserve"> Select Venture Partners</t>
  </si>
  <si>
    <t xml:space="preserve"> Steven Chen</t>
  </si>
  <si>
    <t xml:space="preserve"> The K Fund</t>
  </si>
  <si>
    <t xml:space="preserve"> Fifth Wall Ventures</t>
  </si>
  <si>
    <t xml:space="preserve"> MetaProp NYC</t>
  </si>
  <si>
    <t xml:space="preserve"> Urban Us</t>
  </si>
  <si>
    <t>Gabriel Investments</t>
  </si>
  <si>
    <t xml:space="preserve"> Goldin Ventures</t>
  </si>
  <si>
    <t xml:space="preserve"> GSW</t>
  </si>
  <si>
    <t xml:space="preserve"> Haas Portman</t>
  </si>
  <si>
    <t xml:space="preserve"> Hammerstone Capital</t>
  </si>
  <si>
    <t xml:space="preserve"> Idris Mokhtarzada</t>
  </si>
  <si>
    <t xml:space="preserve"> MCVC Partners</t>
  </si>
  <si>
    <t xml:space="preserve"> Middleland Capital</t>
  </si>
  <si>
    <t xml:space="preserve"> Motley Fool Ventures</t>
  </si>
  <si>
    <t xml:space="preserve"> Private Access Network</t>
  </si>
  <si>
    <t xml:space="preserve"> Sagamore Ventures</t>
  </si>
  <si>
    <t xml:space="preserve"> University Growth Fund</t>
  </si>
  <si>
    <t xml:space="preserve"> Beechwood Capital</t>
  </si>
  <si>
    <t xml:space="preserve"> Hinge Capital</t>
  </si>
  <si>
    <t xml:space="preserve"> Mike Jones</t>
  </si>
  <si>
    <t xml:space="preserve"> Mindfull Investors</t>
  </si>
  <si>
    <t xml:space="preserve"> Obvious Ventures</t>
  </si>
  <si>
    <t xml:space="preserve"> Osborn Companies</t>
  </si>
  <si>
    <t xml:space="preserve"> Science</t>
  </si>
  <si>
    <t xml:space="preserve"> Simon Equity Partners</t>
  </si>
  <si>
    <t xml:space="preserve"> The Builders Fund</t>
  </si>
  <si>
    <t>CyberAgent Capital</t>
  </si>
  <si>
    <t xml:space="preserve"> Mizuho Capital Partners</t>
  </si>
  <si>
    <t xml:space="preserve"> Nippon Venture Capital</t>
  </si>
  <si>
    <t xml:space="preserve"> SMBC Venture Capital</t>
  </si>
  <si>
    <t xml:space="preserve"> ForgePoint Capital</t>
  </si>
  <si>
    <t xml:space="preserve"> Alexander Gerko</t>
  </si>
  <si>
    <t xml:space="preserve"> Autonomy Ventures</t>
  </si>
  <si>
    <t xml:space="preserve"> Boeing HorizonX</t>
  </si>
  <si>
    <t xml:space="preserve"> Clark Enterprises</t>
  </si>
  <si>
    <t xml:space="preserve"> District Ventures</t>
  </si>
  <si>
    <t xml:space="preserve"> First Star Ventures</t>
  </si>
  <si>
    <t xml:space="preserve"> Kelly Perdew</t>
  </si>
  <si>
    <t xml:space="preserve"> LDV Capital</t>
  </si>
  <si>
    <t xml:space="preserve"> Martin Ventures</t>
  </si>
  <si>
    <t xml:space="preserve"> S3 Ventures</t>
  </si>
  <si>
    <t xml:space="preserve"> SineWave Ventures</t>
  </si>
  <si>
    <t xml:space="preserve"> Stony Lonesome Group</t>
  </si>
  <si>
    <t xml:space="preserve"> Tom Eckert</t>
  </si>
  <si>
    <t xml:space="preserve"> Work-Bench</t>
  </si>
  <si>
    <t>C4 Ventures</t>
  </si>
  <si>
    <t xml:space="preserve"> Charles-Antoine Beyney</t>
  </si>
  <si>
    <t xml:space="preserve"> Credit Agricole</t>
  </si>
  <si>
    <t xml:space="preserve"> New Technology Venture Accelerator</t>
  </si>
  <si>
    <t xml:space="preserve"> Supernova Invest</t>
  </si>
  <si>
    <t xml:space="preserve"> Cathay Capital Private Equity</t>
  </si>
  <si>
    <t xml:space="preserve"> Legend Star</t>
  </si>
  <si>
    <t xml:space="preserve"> Lenovo Capital and Incubator Group</t>
  </si>
  <si>
    <t xml:space="preserve"> Shunwei Capital</t>
  </si>
  <si>
    <t xml:space="preserve"> THG Ventures</t>
  </si>
  <si>
    <t xml:space="preserve"> TusStar Incubator Investment</t>
  </si>
  <si>
    <t xml:space="preserve"> Zhongguancun Qihang Fund</t>
  </si>
  <si>
    <t xml:space="preserve"> Waverley Capital</t>
  </si>
  <si>
    <t>Breakaway Ventures</t>
  </si>
  <si>
    <t xml:space="preserve"> Jason Port</t>
  </si>
  <si>
    <t xml:space="preserve"> CourtsideVC</t>
  </si>
  <si>
    <t xml:space="preserve"> Crosscut Ventures</t>
  </si>
  <si>
    <t xml:space="preserve"> Robert Kirkman</t>
  </si>
  <si>
    <t>Eight Roads</t>
  </si>
  <si>
    <t xml:space="preserve"> MOOR Capital</t>
  </si>
  <si>
    <t xml:space="preserve"> Northzone Ventures</t>
  </si>
  <si>
    <t>Equinor</t>
  </si>
  <si>
    <t xml:space="preserve"> Forum Equity Partners</t>
  </si>
  <si>
    <t xml:space="preserve"> Future Labs</t>
  </si>
  <si>
    <t xml:space="preserve"> Phoenix Fund</t>
  </si>
  <si>
    <t xml:space="preserve"> Talco Electronics</t>
  </si>
  <si>
    <t xml:space="preserve"> Tokyo Electric Power Company</t>
  </si>
  <si>
    <t xml:space="preserve"> Wind Products</t>
  </si>
  <si>
    <t>Capital Institute</t>
  </si>
  <si>
    <t xml:space="preserve"> Connected VC</t>
  </si>
  <si>
    <t xml:space="preserve"> DeSimone Group Investments</t>
  </si>
  <si>
    <t xml:space="preserve"> Gabriel Investments</t>
  </si>
  <si>
    <t xml:space="preserve"> Golda Darty Partners</t>
  </si>
  <si>
    <t xml:space="preserve"> Social Venture Circle</t>
  </si>
  <si>
    <t xml:space="preserve"> SustainVC</t>
  </si>
  <si>
    <t>Houston Angel Network</t>
  </si>
  <si>
    <t xml:space="preserve"> Jerusalem Venture Partners</t>
  </si>
  <si>
    <t xml:space="preserve"> Tel Aviv University Endowment</t>
  </si>
  <si>
    <t>ACXIT Capital Partners</t>
  </si>
  <si>
    <t xml:space="preserve"> Akkadian Ventures</t>
  </si>
  <si>
    <t xml:space="preserve"> Allison Bhusri</t>
  </si>
  <si>
    <t xml:space="preserve"> Broadway Angels</t>
  </si>
  <si>
    <t xml:space="preserve"> CBRE Group</t>
  </si>
  <si>
    <t xml:space="preserve"> Daniel Gutenberg</t>
  </si>
  <si>
    <t xml:space="preserve"> Igniting Innovation</t>
  </si>
  <si>
    <t xml:space="preserve"> Kevin O'Leary</t>
  </si>
  <si>
    <t xml:space="preserve"> Oriza Ventures</t>
  </si>
  <si>
    <t xml:space="preserve"> Six Fold Ventures</t>
  </si>
  <si>
    <t xml:space="preserve"> Sumit Gupta</t>
  </si>
  <si>
    <t xml:space="preserve"> The Strand Partners</t>
  </si>
  <si>
    <t xml:space="preserve"> University of Central Florida Business Incubator</t>
  </si>
  <si>
    <t>Advance Venture Partners</t>
  </si>
  <si>
    <t xml:space="preserve"> Advanced Network Solutions</t>
  </si>
  <si>
    <t xml:space="preserve"> Andy Getsey</t>
  </si>
  <si>
    <t xml:space="preserve"> iHeartMedia</t>
  </si>
  <si>
    <t xml:space="preserve"> Jay Baer</t>
  </si>
  <si>
    <t xml:space="preserve"> UCLA Ventures</t>
  </si>
  <si>
    <t xml:space="preserve"> Prado SV</t>
  </si>
  <si>
    <t xml:space="preserve"> Turquaz Angels</t>
  </si>
  <si>
    <t>4490 Ventures</t>
  </si>
  <si>
    <t xml:space="preserve"> Andy White</t>
  </si>
  <si>
    <t xml:space="preserve"> Bolt Innovation Group</t>
  </si>
  <si>
    <t xml:space="preserve"> CSA Partners</t>
  </si>
  <si>
    <t xml:space="preserve"> gener8tor</t>
  </si>
  <si>
    <t xml:space="preserve"> Greentown Labs</t>
  </si>
  <si>
    <t xml:space="preserve"> Monsanto Growth Ventures</t>
  </si>
  <si>
    <t xml:space="preserve"> SK Ventures</t>
  </si>
  <si>
    <t xml:space="preserve"> VTF Capital</t>
  </si>
  <si>
    <t xml:space="preserve"> Wisconsin Economic Development Corporation</t>
  </si>
  <si>
    <t>Amino Capital</t>
  </si>
  <si>
    <t xml:space="preserve"> Beta-i</t>
  </si>
  <si>
    <t xml:space="preserve"> DG Incubation</t>
  </si>
  <si>
    <t xml:space="preserve"> Faber Ventures</t>
  </si>
  <si>
    <t xml:space="preserve"> Investo</t>
  </si>
  <si>
    <t xml:space="preserve"> Justin Darcy</t>
  </si>
  <si>
    <t xml:space="preserve"> Kevin Rose</t>
  </si>
  <si>
    <t xml:space="preserve"> Klaus von Sayn-Wittgenstein</t>
  </si>
  <si>
    <t xml:space="preserve"> Matrix Partners</t>
  </si>
  <si>
    <t xml:space="preserve"> Notion</t>
  </si>
  <si>
    <t xml:space="preserve"> Rakesh Agrawal</t>
  </si>
  <si>
    <t xml:space="preserve"> Robert Emrich</t>
  </si>
  <si>
    <t xml:space="preserve"> Roger Dickey</t>
  </si>
  <si>
    <t xml:space="preserve"> Saad AlSogair</t>
  </si>
  <si>
    <t xml:space="preserve"> Scale Venture Partners</t>
  </si>
  <si>
    <t xml:space="preserve"> Seth Ginns</t>
  </si>
  <si>
    <t xml:space="preserve"> Shilling Capital Partners</t>
  </si>
  <si>
    <t xml:space="preserve"> Stephan Morais</t>
  </si>
  <si>
    <t xml:space="preserve"> Structure Capital</t>
  </si>
  <si>
    <t xml:space="preserve"> Terrence Yang</t>
  </si>
  <si>
    <t xml:space="preserve"> Tong Li</t>
  </si>
  <si>
    <t xml:space="preserve"> Wefunder</t>
  </si>
  <si>
    <t>Arizona Tech Investors</t>
  </si>
  <si>
    <t xml:space="preserve"> Astia Angels</t>
  </si>
  <si>
    <t xml:space="preserve"> Central Texas Angel Network</t>
  </si>
  <si>
    <t xml:space="preserve"> Houston Angel Network</t>
  </si>
  <si>
    <t xml:space="preserve"> Keiretsu Capital</t>
  </si>
  <si>
    <t xml:space="preserve"> MedTech Innovator</t>
  </si>
  <si>
    <t xml:space="preserve"> Next Wave Impact</t>
  </si>
  <si>
    <t xml:space="preserve"> Portfolia</t>
  </si>
  <si>
    <t xml:space="preserve"> True Wealth Ventures</t>
  </si>
  <si>
    <t>6 Dimensions Capital</t>
  </si>
  <si>
    <t xml:space="preserve"> Applied Ventures</t>
  </si>
  <si>
    <t xml:space="preserve"> ARCH Venture Partners</t>
  </si>
  <si>
    <t xml:space="preserve"> Hansjoerg Wyss</t>
  </si>
  <si>
    <t xml:space="preserve"> Sangel Capital</t>
  </si>
  <si>
    <t xml:space="preserve"> Yonghua Capital</t>
  </si>
  <si>
    <t>Access Industries</t>
  </si>
  <si>
    <t xml:space="preserve"> Access Technology Ventures</t>
  </si>
  <si>
    <t xml:space="preserve"> Burch Creative Capital</t>
  </si>
  <si>
    <t xml:space="preserve"> Jorg Mohaupt</t>
  </si>
  <si>
    <t xml:space="preserve"> TOM Group Limited</t>
  </si>
  <si>
    <t>Dentsu Innovation Partners</t>
  </si>
  <si>
    <t xml:space="preserve"> Mitsui &amp; Co.</t>
  </si>
  <si>
    <t xml:space="preserve"> NEC Corporation</t>
  </si>
  <si>
    <t xml:space="preserve"> SoftBank Group</t>
  </si>
  <si>
    <t>Fosun RZ Capital</t>
  </si>
  <si>
    <t xml:space="preserve"> Monta Vista Capital</t>
  </si>
  <si>
    <t>Deutsche Telekom Capital Partners</t>
  </si>
  <si>
    <t xml:space="preserve"> Baillie Gifford</t>
  </si>
  <si>
    <t xml:space="preserve"> Cox Enterprises</t>
  </si>
  <si>
    <t xml:space="preserve"> Drive Capital</t>
  </si>
  <si>
    <t xml:space="preserve"> Steve Blank</t>
  </si>
  <si>
    <t xml:space="preserve"> Valor Capital Group</t>
  </si>
  <si>
    <t>Birch Venture Capital</t>
  </si>
  <si>
    <t xml:space="preserve"> Substance Capital</t>
  </si>
  <si>
    <t>Earlybird Venture Capital</t>
  </si>
  <si>
    <t xml:space="preserve"> Ecosummit</t>
  </si>
  <si>
    <t xml:space="preserve"> Heinz Dürr</t>
  </si>
  <si>
    <t xml:space="preserve"> Honda Motor Company</t>
  </si>
  <si>
    <t>Kronos Fund</t>
  </si>
  <si>
    <t xml:space="preserve"> Nissay Capital</t>
  </si>
  <si>
    <t xml:space="preserve"> Voyage Ventures</t>
  </si>
  <si>
    <t xml:space="preserve"> Blue Chip Venture</t>
  </si>
  <si>
    <t xml:space="preserve"> Burda Digital Ventures</t>
  </si>
  <si>
    <t xml:space="preserve"> Gordon Crawford</t>
  </si>
  <si>
    <t xml:space="preserve"> Idealab</t>
  </si>
  <si>
    <t xml:space="preserve"> Mark Kingdon</t>
  </si>
  <si>
    <t xml:space="preserve"> Stephen Case</t>
  </si>
  <si>
    <t xml:space="preserve"> TriplePoint Capital</t>
  </si>
  <si>
    <t xml:space="preserve"> Anthony Hsieh</t>
  </si>
  <si>
    <t xml:space="preserve"> Beanstalk Ventures</t>
  </si>
  <si>
    <t xml:space="preserve"> Daniel Gilbert</t>
  </si>
  <si>
    <t xml:space="preserve"> Elefund</t>
  </si>
  <si>
    <t xml:space="preserve"> Ellen Levy</t>
  </si>
  <si>
    <t xml:space="preserve"> Infocus Capital Partners</t>
  </si>
  <si>
    <t xml:space="preserve"> Lab22</t>
  </si>
  <si>
    <t xml:space="preserve"> Ludlow Ventures</t>
  </si>
  <si>
    <t xml:space="preserve"> Lumia Capital</t>
  </si>
  <si>
    <t xml:space="preserve"> Machine Shop Ventures</t>
  </si>
  <si>
    <t xml:space="preserve"> Marissa Mayer</t>
  </si>
  <si>
    <t xml:space="preserve"> Patricia Hedley</t>
  </si>
  <si>
    <t xml:space="preserve"> Shawn Fanning</t>
  </si>
  <si>
    <t xml:space="preserve"> Weiss Tech House</t>
  </si>
  <si>
    <t xml:space="preserve"> Wolfpack Ventures</t>
  </si>
  <si>
    <t xml:space="preserve"> Playground Global</t>
  </si>
  <si>
    <t xml:space="preserve"> Bpifrance</t>
  </si>
  <si>
    <t xml:space="preserve"> EIT Digital</t>
  </si>
  <si>
    <t xml:space="preserve"> IMT Starter</t>
  </si>
  <si>
    <t xml:space="preserve"> Sofimac Investment Managers</t>
  </si>
  <si>
    <t xml:space="preserve"> Diomede Equity</t>
  </si>
  <si>
    <t xml:space="preserve"> LG CNS</t>
  </si>
  <si>
    <t xml:space="preserve"> New Songdo International City Development</t>
  </si>
  <si>
    <t>Composite Capital Partners</t>
  </si>
  <si>
    <t xml:space="preserve"> Sina</t>
  </si>
  <si>
    <t xml:space="preserve"> ZP Capital</t>
  </si>
  <si>
    <t xml:space="preserve"> Activant Capital Group</t>
  </si>
  <si>
    <t xml:space="preserve"> Firebolt Ventures</t>
  </si>
  <si>
    <t xml:space="preserve"> Future Shape</t>
  </si>
  <si>
    <t xml:space="preserve"> G2VP</t>
  </si>
  <si>
    <t xml:space="preserve"> Ravi Venkatesan</t>
  </si>
  <si>
    <t xml:space="preserve"> Sina Kevin Nazemi</t>
  </si>
  <si>
    <t xml:space="preserve"> Upside Partnership</t>
  </si>
  <si>
    <t xml:space="preserve"> August Capital</t>
  </si>
  <si>
    <t xml:space="preserve"> DA Investments Company</t>
  </si>
  <si>
    <t xml:space="preserve"> Dave Balter</t>
  </si>
  <si>
    <t xml:space="preserve"> Founders Circle Capital</t>
  </si>
  <si>
    <t xml:space="preserve"> G Squared</t>
  </si>
  <si>
    <t xml:space="preserve"> Intact Ventures</t>
  </si>
  <si>
    <t xml:space="preserve"> Kevin Donahue</t>
  </si>
  <si>
    <t xml:space="preserve"> Liberty Mutual Strategic Ventures</t>
  </si>
  <si>
    <t xml:space="preserve"> Lisa Gansky</t>
  </si>
  <si>
    <t xml:space="preserve"> Maniv Mobility</t>
  </si>
  <si>
    <t xml:space="preserve"> MassChallenge</t>
  </si>
  <si>
    <t xml:space="preserve"> SK Group</t>
  </si>
  <si>
    <t xml:space="preserve"> Sumitomo Corporation of Americas</t>
  </si>
  <si>
    <t>Bain Capital Ventures</t>
  </si>
  <si>
    <t xml:space="preserve"> Globespan Capital Partners</t>
  </si>
  <si>
    <t xml:space="preserve"> Red Hat</t>
  </si>
  <si>
    <t>Causeway Media Partners</t>
  </si>
  <si>
    <t xml:space="preserve"> Expanding Capital</t>
  </si>
  <si>
    <t xml:space="preserve"> Graph Ventures</t>
  </si>
  <si>
    <t xml:space="preserve"> ICCP Venture Partners</t>
  </si>
  <si>
    <t xml:space="preserve"> Icon Ventures</t>
  </si>
  <si>
    <t xml:space="preserve"> Motus Ventures</t>
  </si>
  <si>
    <t xml:space="preserve"> Tech Ventures</t>
  </si>
  <si>
    <t xml:space="preserve"> Align Ventures</t>
  </si>
  <si>
    <t xml:space="preserve"> BufferBox</t>
  </si>
  <si>
    <t xml:space="preserve"> C100 Association</t>
  </si>
  <si>
    <t xml:space="preserve"> Canadian Technology Accelerator</t>
  </si>
  <si>
    <t xml:space="preserve"> Commerce Ventures</t>
  </si>
  <si>
    <t xml:space="preserve"> Fung Capital</t>
  </si>
  <si>
    <t xml:space="preserve"> Greg Kidd</t>
  </si>
  <si>
    <t xml:space="preserve"> Hard Yaka</t>
  </si>
  <si>
    <t xml:space="preserve"> Math Venture Partners</t>
  </si>
  <si>
    <t xml:space="preserve"> Michael McCauley</t>
  </si>
  <si>
    <t xml:space="preserve"> OneEleven</t>
  </si>
  <si>
    <t xml:space="preserve"> The Lazaridis Institute</t>
  </si>
  <si>
    <t xml:space="preserve"> XDL Capital Group</t>
  </si>
  <si>
    <t>Aptiv</t>
  </si>
  <si>
    <t xml:space="preserve"> Franklin Templeton Investments</t>
  </si>
  <si>
    <t xml:space="preserve"> General Motors</t>
  </si>
  <si>
    <t xml:space="preserve"> Georgia State Government</t>
  </si>
  <si>
    <t>AltaIR Capital</t>
  </si>
  <si>
    <t>Gary Gauba</t>
  </si>
  <si>
    <t xml:space="preserve"> The CXO Fund</t>
  </si>
  <si>
    <t xml:space="preserve"> The Hive</t>
  </si>
  <si>
    <t>DiNova Venture Capital</t>
  </si>
  <si>
    <t xml:space="preserve"> Skai Ventures</t>
  </si>
  <si>
    <t xml:space="preserve"> U.S. Army Medical Research &amp; Material Command</t>
  </si>
  <si>
    <t xml:space="preserve"> WuXi Healthcare Ventures</t>
  </si>
  <si>
    <t>Arbor Ventures</t>
  </si>
  <si>
    <t xml:space="preserve"> Assurant Growth Investing</t>
  </si>
  <si>
    <t xml:space="preserve"> Homebrew</t>
  </si>
  <si>
    <t xml:space="preserve"> Hunter Walk</t>
  </si>
  <si>
    <t xml:space="preserve"> Ilya Sukhar</t>
  </si>
  <si>
    <t xml:space="preserve"> James Pallotta</t>
  </si>
  <si>
    <t xml:space="preserve"> Matt Humphrey</t>
  </si>
  <si>
    <t xml:space="preserve"> Trusted Insight</t>
  </si>
  <si>
    <t>Black Jays Investments</t>
  </si>
  <si>
    <t xml:space="preserve"> Capitol Post</t>
  </si>
  <si>
    <t xml:space="preserve"> Hivers &amp; Strivers</t>
  </si>
  <si>
    <t xml:space="preserve"> JAB Brands</t>
  </si>
  <si>
    <t xml:space="preserve"> New York Angels</t>
  </si>
  <si>
    <t xml:space="preserve"> SOSV</t>
  </si>
  <si>
    <t xml:space="preserve"> The University of Texas at Austin Endowment</t>
  </si>
  <si>
    <t>Antonio Moreira Salles Family Office</t>
  </si>
  <si>
    <t xml:space="preserve"> Bits x Bites</t>
  </si>
  <si>
    <t xml:space="preserve"> Emerald Technology Ventures</t>
  </si>
  <si>
    <t xml:space="preserve"> Five Seasons Ventures</t>
  </si>
  <si>
    <t xml:space="preserve"> Gigi Levy-Weiss</t>
  </si>
  <si>
    <t xml:space="preserve"> Midven (Birmingham)</t>
  </si>
  <si>
    <t xml:space="preserve"> Pontifax Agtech</t>
  </si>
  <si>
    <t xml:space="preserve"> Tekfen Ventures</t>
  </si>
  <si>
    <t xml:space="preserve"> UK Innovation &amp; Science Seed Fund</t>
  </si>
  <si>
    <t xml:space="preserve"> DBJ Capital</t>
  </si>
  <si>
    <t xml:space="preserve"> Global Brain</t>
  </si>
  <si>
    <t xml:space="preserve"> Jafco</t>
  </si>
  <si>
    <t xml:space="preserve"> Mitsubishi UFJ Capital</t>
  </si>
  <si>
    <t xml:space="preserve"> Tokyo Century</t>
  </si>
  <si>
    <t>ABB Technology Ventures</t>
  </si>
  <si>
    <t xml:space="preserve"> Hercules Capital</t>
  </si>
  <si>
    <t xml:space="preserve"> MissionPoint Partners</t>
  </si>
  <si>
    <t xml:space="preserve"> Selby Ventures</t>
  </si>
  <si>
    <t xml:space="preserve"> UMC Capital</t>
  </si>
  <si>
    <t xml:space="preserve"> VantagePoint Capital Partners</t>
  </si>
  <si>
    <t xml:space="preserve"> Alphabet</t>
  </si>
  <si>
    <t xml:space="preserve"> Anand Rajaraman</t>
  </si>
  <si>
    <t xml:space="preserve"> Cathay Innovation</t>
  </si>
  <si>
    <t xml:space="preserve"> Columbia Pacific Management</t>
  </si>
  <si>
    <t xml:space="preserve"> Dave Goldberg</t>
  </si>
  <si>
    <t xml:space="preserve"> DB1 Ventures</t>
  </si>
  <si>
    <t xml:space="preserve"> Deutsche Börse Group</t>
  </si>
  <si>
    <t xml:space="preserve"> Ericsson Ventures</t>
  </si>
  <si>
    <t xml:space="preserve"> Milliways Ventures</t>
  </si>
  <si>
    <t xml:space="preserve"> Ridge Ventures</t>
  </si>
  <si>
    <t xml:space="preserve"> XSeed Capital</t>
  </si>
  <si>
    <t>Fulcrum Equity Partners</t>
  </si>
  <si>
    <t xml:space="preserve"> Nelson Chu</t>
  </si>
  <si>
    <t xml:space="preserve"> KT Venture Group</t>
  </si>
  <si>
    <t xml:space="preserve"> Northwest Technology Ventures</t>
  </si>
  <si>
    <t xml:space="preserve"> OVP Venture Partners</t>
  </si>
  <si>
    <t xml:space="preserve"> TL Ventures</t>
  </si>
  <si>
    <t xml:space="preserve"> Active Venture Partners</t>
  </si>
  <si>
    <t xml:space="preserve"> Angel Garcia</t>
  </si>
  <si>
    <t xml:space="preserve"> BBVA Open Innovation</t>
  </si>
  <si>
    <t xml:space="preserve"> Carlos Espinal</t>
  </si>
  <si>
    <t xml:space="preserve"> Christine Tsai</t>
  </si>
  <si>
    <t xml:space="preserve"> Dalibor Siroky</t>
  </si>
  <si>
    <t xml:space="preserve"> Jan Borgstaedt</t>
  </si>
  <si>
    <t xml:space="preserve"> Juan López-Valcárcel</t>
  </si>
  <si>
    <t xml:space="preserve"> KRW Schindler Private Ventures</t>
  </si>
  <si>
    <t xml:space="preserve"> Lanta Digital Ventures</t>
  </si>
  <si>
    <t xml:space="preserve"> Matthew Bothner</t>
  </si>
  <si>
    <t>Chicago Angel Group</t>
  </si>
  <si>
    <t xml:space="preserve"> David McGowan</t>
  </si>
  <si>
    <t xml:space="preserve"> IrishAngels</t>
  </si>
  <si>
    <t xml:space="preserve"> iTech Capital</t>
  </si>
  <si>
    <t xml:space="preserve"> Jeff Pomeranz</t>
  </si>
  <si>
    <t xml:space="preserve"> Jeff Racho</t>
  </si>
  <si>
    <t xml:space="preserve"> Lauren DeLuca</t>
  </si>
  <si>
    <t xml:space="preserve"> Orlando Saez</t>
  </si>
  <si>
    <t xml:space="preserve"> Paul DeLuca</t>
  </si>
  <si>
    <t xml:space="preserve"> Troy Henikoff</t>
  </si>
  <si>
    <t xml:space="preserve"> Anzen Private Equity</t>
  </si>
  <si>
    <t xml:space="preserve"> Black Swan Equity Partners</t>
  </si>
  <si>
    <t xml:space="preserve"> Fin Venture Capital</t>
  </si>
  <si>
    <t xml:space="preserve"> GP Bullhound</t>
  </si>
  <si>
    <t xml:space="preserve"> Gray Swan</t>
  </si>
  <si>
    <t xml:space="preserve"> Holding14</t>
  </si>
  <si>
    <t xml:space="preserve"> HSBC Holdings</t>
  </si>
  <si>
    <t xml:space="preserve"> HSBC Innovation Investments</t>
  </si>
  <si>
    <t xml:space="preserve"> Kite Ventures</t>
  </si>
  <si>
    <t xml:space="preserve"> Megadon</t>
  </si>
  <si>
    <t xml:space="preserve"> Morten Lund</t>
  </si>
  <si>
    <t xml:space="preserve"> Pavilion Capital</t>
  </si>
  <si>
    <t xml:space="preserve"> PayPal Holdings</t>
  </si>
  <si>
    <t xml:space="preserve"> Public Sector Pension Investment Board</t>
  </si>
  <si>
    <t xml:space="preserve"> Recruit Holdings</t>
  </si>
  <si>
    <t xml:space="preserve"> Robert Wuttke</t>
  </si>
  <si>
    <t xml:space="preserve"> Rouven Dresselhaus</t>
  </si>
  <si>
    <t xml:space="preserve"> RTP Global</t>
  </si>
  <si>
    <t xml:space="preserve"> Santander InnoVentures</t>
  </si>
  <si>
    <t xml:space="preserve"> Scentan Ventures</t>
  </si>
  <si>
    <t xml:space="preserve"> Voltage Ventures</t>
  </si>
  <si>
    <t>Andy Getsey</t>
  </si>
  <si>
    <t xml:space="preserve"> Christopher Muenchhoff</t>
  </si>
  <si>
    <t xml:space="preserve"> Richard Kain</t>
  </si>
  <si>
    <t xml:space="preserve"> Tollman Capital Partners</t>
  </si>
  <si>
    <t xml:space="preserve"> Workhorse Capital</t>
  </si>
  <si>
    <t xml:space="preserve"> Zev Laderman</t>
  </si>
  <si>
    <t xml:space="preserve"> Craig Wortmann</t>
  </si>
  <si>
    <t xml:space="preserve"> Daniel Veltri</t>
  </si>
  <si>
    <t xml:space="preserve"> GREE</t>
  </si>
  <si>
    <t xml:space="preserve"> Joseph Mansueto</t>
  </si>
  <si>
    <t xml:space="preserve"> Larry Levy</t>
  </si>
  <si>
    <t xml:space="preserve"> Michael Staenberg</t>
  </si>
  <si>
    <t xml:space="preserve"> New Stack Ventures</t>
  </si>
  <si>
    <t xml:space="preserve"> Origin Ventures</t>
  </si>
  <si>
    <t xml:space="preserve"> Patrick Cadariu</t>
  </si>
  <si>
    <t xml:space="preserve"> Seamless</t>
  </si>
  <si>
    <t xml:space="preserve"> Tyson Ventures</t>
  </si>
  <si>
    <t xml:space="preserve"> Valor Equity Partners</t>
  </si>
  <si>
    <t>Access Technology Ventures</t>
  </si>
  <si>
    <t xml:space="preserve"> BDT Capital Partners</t>
  </si>
  <si>
    <t xml:space="preserve"> Three Ocean Partners</t>
  </si>
  <si>
    <t xml:space="preserve"> Femto Growth Capital</t>
  </si>
  <si>
    <t xml:space="preserve"> iSG Investment Works</t>
  </si>
  <si>
    <t xml:space="preserve"> Itochu</t>
  </si>
  <si>
    <t xml:space="preserve"> WiL (World Innovation Lab)</t>
  </si>
  <si>
    <t>316 Investments</t>
  </si>
  <si>
    <t xml:space="preserve"> Elevate Ventures</t>
  </si>
  <si>
    <t xml:space="preserve"> Innovatemap</t>
  </si>
  <si>
    <t xml:space="preserve"> Scott McCorkle</t>
  </si>
  <si>
    <t>Alex Viall</t>
  </si>
  <si>
    <t xml:space="preserve"> Beacon Capital</t>
  </si>
  <si>
    <t xml:space="preserve"> Bregal Sagemount</t>
  </si>
  <si>
    <t xml:space="preserve"> Dale Murray</t>
  </si>
  <si>
    <t xml:space="preserve"> David Windley</t>
  </si>
  <si>
    <t xml:space="preserve"> FutureFund Capital</t>
  </si>
  <si>
    <t xml:space="preserve"> Kevin Eyres</t>
  </si>
  <si>
    <t xml:space="preserve"> Newview Capital</t>
  </si>
  <si>
    <t xml:space="preserve"> Sean Park</t>
  </si>
  <si>
    <t xml:space="preserve"> Sherry Coutu</t>
  </si>
  <si>
    <t xml:space="preserve"> Tom Hulme</t>
  </si>
  <si>
    <t xml:space="preserve"> Allianz Life Ventures</t>
  </si>
  <si>
    <t xml:space="preserve"> Center For Financial Services Innovation</t>
  </si>
  <si>
    <t xml:space="preserve"> Clocktower Technology Ventures</t>
  </si>
  <si>
    <t xml:space="preserve"> Curious</t>
  </si>
  <si>
    <t xml:space="preserve"> Echelon Capital</t>
  </si>
  <si>
    <t xml:space="preserve"> Financial Solutions Lab</t>
  </si>
  <si>
    <t xml:space="preserve"> Flying Fish Partners</t>
  </si>
  <si>
    <t xml:space="preserve"> JPMorgan Chase</t>
  </si>
  <si>
    <t xml:space="preserve"> Maschmeyer Group Ventures</t>
  </si>
  <si>
    <t xml:space="preserve"> NFP</t>
  </si>
  <si>
    <t xml:space="preserve"> Sinai Ventures</t>
  </si>
  <si>
    <t xml:space="preserve"> Union Bay Partners</t>
  </si>
  <si>
    <t xml:space="preserve"> David McClure</t>
  </si>
  <si>
    <t xml:space="preserve"> GaiaX Global Marketing Ventures</t>
  </si>
  <si>
    <t xml:space="preserve"> Maneesh Arora</t>
  </si>
  <si>
    <t xml:space="preserve"> Michael Edelhart</t>
  </si>
  <si>
    <t xml:space="preserve"> Ministry of Economy</t>
  </si>
  <si>
    <t xml:space="preserve"> Trade and Industry</t>
  </si>
  <si>
    <t xml:space="preserve"> Paul Singh</t>
  </si>
  <si>
    <t xml:space="preserve"> Richard Chen</t>
  </si>
  <si>
    <t xml:space="preserve"> Sun Eight Investment</t>
  </si>
  <si>
    <t xml:space="preserve"> William Lohse</t>
  </si>
  <si>
    <t>Andrew Zimmern</t>
  </si>
  <si>
    <t xml:space="preserve"> Daniel Humm</t>
  </si>
  <si>
    <t xml:space="preserve"> G2T3V</t>
  </si>
  <si>
    <t xml:space="preserve"> Howard Tullman</t>
  </si>
  <si>
    <t xml:space="preserve"> Jason Fried</t>
  </si>
  <si>
    <t xml:space="preserve"> Kimbal Musk</t>
  </si>
  <si>
    <t xml:space="preserve"> Lettuce Entertain You Enterprises</t>
  </si>
  <si>
    <t xml:space="preserve"> Ming Tsai</t>
  </si>
  <si>
    <t xml:space="preserve"> Pritzker Private Capital</t>
  </si>
  <si>
    <t xml:space="preserve"> The Melman Family</t>
  </si>
  <si>
    <t xml:space="preserve"> Thomas Keller</t>
  </si>
  <si>
    <t xml:space="preserve"> Will Guidara</t>
  </si>
  <si>
    <t>Bayerische Beteiligungsgesellschaft</t>
  </si>
  <si>
    <t xml:space="preserve"> Bayern Kapital</t>
  </si>
  <si>
    <t xml:space="preserve"> Burkhard Blum</t>
  </si>
  <si>
    <t xml:space="preserve"> Dirk Reiche</t>
  </si>
  <si>
    <t xml:space="preserve"> Dynamic Parcel Distribution</t>
  </si>
  <si>
    <t xml:space="preserve"> ESA Business Incubation Centre Bavaria</t>
  </si>
  <si>
    <t xml:space="preserve"> Beijing Automotive Group Co</t>
  </si>
  <si>
    <t xml:space="preserve"> Beijing Shiji Beiguang Advertising</t>
  </si>
  <si>
    <t xml:space="preserve"> Ping An Insurance (Group) Company of China</t>
  </si>
  <si>
    <t>Alon Ventures</t>
  </si>
  <si>
    <t xml:space="preserve"> Clal Energy</t>
  </si>
  <si>
    <t xml:space="preserve"> Generation Investment Management</t>
  </si>
  <si>
    <t xml:space="preserve"> Inventech Investment</t>
  </si>
  <si>
    <t xml:space="preserve"> Israel Cleantech Ventures</t>
  </si>
  <si>
    <t xml:space="preserve"> SMA Solar Technology</t>
  </si>
  <si>
    <t xml:space="preserve"> Sunshot Incubator Program</t>
  </si>
  <si>
    <t xml:space="preserve"> Ant Financial</t>
  </si>
  <si>
    <t xml:space="preserve"> Beijing Daqi Fortune Investment Company</t>
  </si>
  <si>
    <t xml:space="preserve"> David Chen</t>
  </si>
  <si>
    <t xml:space="preserve"> Eastlink Capital</t>
  </si>
  <si>
    <t xml:space="preserve"> Farzad Nazem</t>
  </si>
  <si>
    <t xml:space="preserve"> Feng Peng</t>
  </si>
  <si>
    <t xml:space="preserve"> Jinlong Wang</t>
  </si>
  <si>
    <t xml:space="preserve"> Shelley Zhuang</t>
  </si>
  <si>
    <t xml:space="preserve"> Steven Xi</t>
  </si>
  <si>
    <t xml:space="preserve"> Westlake Ventures</t>
  </si>
  <si>
    <t xml:space="preserve"> Yunqi Partners</t>
  </si>
  <si>
    <t>Accolade Partners</t>
  </si>
  <si>
    <t xml:space="preserve"> Black Granite Capital</t>
  </si>
  <si>
    <t xml:space="preserve"> Easton Capital Investment Group</t>
  </si>
  <si>
    <t xml:space="preserve"> Montreux Equity Partners</t>
  </si>
  <si>
    <t xml:space="preserve"> New Leaf Venture Partners</t>
  </si>
  <si>
    <t xml:space="preserve"> New Science Ventures</t>
  </si>
  <si>
    <t xml:space="preserve"> OrbiMed</t>
  </si>
  <si>
    <t xml:space="preserve"> REV Venture Partners</t>
  </si>
  <si>
    <t xml:space="preserve"> The Invus Group</t>
  </si>
  <si>
    <t>MassMutual Ventures</t>
  </si>
  <si>
    <t xml:space="preserve"> Wavecrest Growth Partners</t>
  </si>
  <si>
    <t xml:space="preserve"> Citrix Startup Accelerator</t>
  </si>
  <si>
    <t xml:space="preserve"> Hummer Winblad Venture Partners</t>
  </si>
  <si>
    <t xml:space="preserve"> SAP</t>
  </si>
  <si>
    <t xml:space="preserve"> Sapphire Ventures</t>
  </si>
  <si>
    <t xml:space="preserve"> SK Hynix</t>
  </si>
  <si>
    <t>Ben Lin</t>
  </si>
  <si>
    <t xml:space="preserve"> DreamIt Ventures</t>
  </si>
  <si>
    <t xml:space="preserve"> Supernode Ventures</t>
  </si>
  <si>
    <t xml:space="preserve"> Vayner/RSE</t>
  </si>
  <si>
    <t>Donald Green</t>
  </si>
  <si>
    <t xml:space="preserve"> John Webley</t>
  </si>
  <si>
    <t>Virgo Capital</t>
  </si>
  <si>
    <t xml:space="preserve"> Vista Equity Partners</t>
  </si>
  <si>
    <t>Draper Fisher Jurvetson Management</t>
  </si>
  <si>
    <t xml:space="preserve"> Frontier Venture Capital</t>
  </si>
  <si>
    <t xml:space="preserve"> GoAhead Ventures</t>
  </si>
  <si>
    <t xml:space="preserve"> Reimagined Ventures</t>
  </si>
  <si>
    <t xml:space="preserve"> Timothy Draper</t>
  </si>
  <si>
    <t>Adams Street Partners</t>
  </si>
  <si>
    <t xml:space="preserve"> Lavrock Ventures</t>
  </si>
  <si>
    <t xml:space="preserve"> Virginia Tech Investor Network</t>
  </si>
  <si>
    <t>Four Rivers Group</t>
  </si>
  <si>
    <t xml:space="preserve"> Jonathan Heiliger</t>
  </si>
  <si>
    <t xml:space="preserve"> Tenaya Capital</t>
  </si>
  <si>
    <t>Eclipse Ventures</t>
  </si>
  <si>
    <t xml:space="preserve"> Toyota AI Ventures</t>
  </si>
  <si>
    <t>Gimv</t>
  </si>
  <si>
    <t>Daimler</t>
  </si>
  <si>
    <t xml:space="preserve"> Daniel Rubin</t>
  </si>
  <si>
    <t xml:space="preserve"> David Perlmutter</t>
  </si>
  <si>
    <t xml:space="preserve"> Denso</t>
  </si>
  <si>
    <t xml:space="preserve"> Denso International America</t>
  </si>
  <si>
    <t xml:space="preserve"> Diosdado Banatao</t>
  </si>
  <si>
    <t xml:space="preserve"> Gerhard Roiss</t>
  </si>
  <si>
    <t xml:space="preserve"> Intercept Ventures</t>
  </si>
  <si>
    <t xml:space="preserve"> Jose Delgado</t>
  </si>
  <si>
    <t xml:space="preserve"> Juergen Hambrecht</t>
  </si>
  <si>
    <t xml:space="preserve"> Magna International</t>
  </si>
  <si>
    <t xml:space="preserve"> Mark Templeton</t>
  </si>
  <si>
    <t xml:space="preserve"> Mike Levinthal</t>
  </si>
  <si>
    <t xml:space="preserve"> Nsitexe</t>
  </si>
  <si>
    <t xml:space="preserve"> Paul Achleitner</t>
  </si>
  <si>
    <t xml:space="preserve"> Peter Loescher</t>
  </si>
  <si>
    <t xml:space="preserve"> Sashi Reddi</t>
  </si>
  <si>
    <t xml:space="preserve"> SG Innovate</t>
  </si>
  <si>
    <t xml:space="preserve"> SPARX Group Company</t>
  </si>
  <si>
    <t xml:space="preserve"> SRI Capital</t>
  </si>
  <si>
    <t xml:space="preserve"> Wavemaker Partners</t>
  </si>
  <si>
    <t xml:space="preserve"> Base Ventures</t>
  </si>
  <si>
    <t xml:space="preserve"> Enspire Capital</t>
  </si>
  <si>
    <t xml:space="preserve"> iSherpa Capital</t>
  </si>
  <si>
    <t xml:space="preserve"> Naver</t>
  </si>
  <si>
    <t xml:space="preserve"> Paul Graham</t>
  </si>
  <si>
    <t xml:space="preserve"> QueensBridge Venture Partners</t>
  </si>
  <si>
    <t xml:space="preserve"> Safa Rashtchy</t>
  </si>
  <si>
    <t xml:space="preserve"> Scrum Ventures</t>
  </si>
  <si>
    <t xml:space="preserve"> Streamlined Ventures</t>
  </si>
  <si>
    <t xml:space="preserve"> Think +</t>
  </si>
  <si>
    <t xml:space="preserve"> Tom Chiu</t>
  </si>
  <si>
    <t xml:space="preserve"> Ullas Naik</t>
  </si>
  <si>
    <t>Korea Investment Partners</t>
  </si>
  <si>
    <t xml:space="preserve"> LB Investment</t>
  </si>
  <si>
    <t xml:space="preserve"> Cinemark Theatres</t>
  </si>
  <si>
    <t xml:space="preserve"> Disney Accelerator</t>
  </si>
  <si>
    <t xml:space="preserve"> Fair Capital</t>
  </si>
  <si>
    <t xml:space="preserve"> Fidelity Management &amp; Research</t>
  </si>
  <si>
    <t xml:space="preserve"> Genting Malaysia</t>
  </si>
  <si>
    <t xml:space="preserve"> Ithaca Media Ventures</t>
  </si>
  <si>
    <t xml:space="preserve"> Lambert Media Group</t>
  </si>
  <si>
    <t xml:space="preserve"> Lion Capital</t>
  </si>
  <si>
    <t xml:space="preserve"> Meraas</t>
  </si>
  <si>
    <t xml:space="preserve"> Pickled Entertainment</t>
  </si>
  <si>
    <t xml:space="preserve"> Shanda Group</t>
  </si>
  <si>
    <t xml:space="preserve"> The Walt Disney Company</t>
  </si>
  <si>
    <t xml:space="preserve"> UTA Ventures</t>
  </si>
  <si>
    <t xml:space="preserve"> dunnhumby Ventures</t>
  </si>
  <si>
    <t xml:space="preserve"> Ihar Mahaniok</t>
  </si>
  <si>
    <t xml:space="preserve"> Navneet Aron</t>
  </si>
  <si>
    <t xml:space="preserve"> Purav Patel</t>
  </si>
  <si>
    <t>Alex Chesterman</t>
  </si>
  <si>
    <t xml:space="preserve"> BGF Ventures</t>
  </si>
  <si>
    <t xml:space="preserve"> Business Growth Fund</t>
  </si>
  <si>
    <t xml:space="preserve"> Delin Ventures</t>
  </si>
  <si>
    <t xml:space="preserve"> Errol Damelin</t>
  </si>
  <si>
    <t xml:space="preserve"> Latitude Investments</t>
  </si>
  <si>
    <t xml:space="preserve"> LocalGlobe</t>
  </si>
  <si>
    <t xml:space="preserve"> LoveFilm International</t>
  </si>
  <si>
    <t xml:space="preserve"> Octopus Ventures</t>
  </si>
  <si>
    <t xml:space="preserve"> Talis Capital</t>
  </si>
  <si>
    <t xml:space="preserve"> Upscale (London)</t>
  </si>
  <si>
    <t xml:space="preserve"> ZPG</t>
  </si>
  <si>
    <t xml:space="preserve"> FoundersPad</t>
  </si>
  <si>
    <t xml:space="preserve"> Jason Seats</t>
  </si>
  <si>
    <t xml:space="preserve"> Joanne Wilson</t>
  </si>
  <si>
    <t xml:space="preserve"> Morris Wheeler</t>
  </si>
  <si>
    <t xml:space="preserve"> Richard Wolpert</t>
  </si>
  <si>
    <t xml:space="preserve"> WPP Health &amp; Wellness</t>
  </si>
  <si>
    <t>@WalmartLabs</t>
  </si>
  <si>
    <t xml:space="preserve"> Facebook</t>
  </si>
  <si>
    <t xml:space="preserve"> March Capital Partners</t>
  </si>
  <si>
    <t xml:space="preserve"> Microsoft</t>
  </si>
  <si>
    <t xml:space="preserve"> Paul Maritz</t>
  </si>
  <si>
    <t xml:space="preserve"> Pivotal Asia Ventures</t>
  </si>
  <si>
    <t xml:space="preserve"> Provence Capital</t>
  </si>
  <si>
    <t xml:space="preserve"> RAAY Global Investments</t>
  </si>
  <si>
    <t xml:space="preserve"> Stanford Management Company</t>
  </si>
  <si>
    <t xml:space="preserve"> Steltec Capital</t>
  </si>
  <si>
    <t xml:space="preserve"> UC Berkeley Center for Entrepreneurship and Technology</t>
  </si>
  <si>
    <t xml:space="preserve"> Yahoo</t>
  </si>
  <si>
    <t xml:space="preserve"> Citrix Systems</t>
  </si>
  <si>
    <t xml:space="preserve"> EVO Venture Partners</t>
  </si>
  <si>
    <t xml:space="preserve"> Hitachi Corporate Venture Capital Fund</t>
  </si>
  <si>
    <t xml:space="preserve"> KAAJ Ventures</t>
  </si>
  <si>
    <t xml:space="preserve"> Sand Hill Group</t>
  </si>
  <si>
    <t xml:space="preserve"> SDxCentral</t>
  </si>
  <si>
    <t xml:space="preserve"> Víctor Massó</t>
  </si>
  <si>
    <t xml:space="preserve"> Ali Rowghani</t>
  </si>
  <si>
    <t xml:space="preserve"> Amasia</t>
  </si>
  <si>
    <t xml:space="preserve"> Bedrock</t>
  </si>
  <si>
    <t xml:space="preserve"> Chris Silbermann</t>
  </si>
  <si>
    <t xml:space="preserve"> LionTree Partners</t>
  </si>
  <si>
    <t xml:space="preserve"> Luminari Capital</t>
  </si>
  <si>
    <t xml:space="preserve"> Michael Horvath</t>
  </si>
  <si>
    <t xml:space="preserve"> Ore Ventures</t>
  </si>
  <si>
    <t xml:space="preserve"> Precursor Ventures</t>
  </si>
  <si>
    <t xml:space="preserve"> Switch Ventures</t>
  </si>
  <si>
    <t xml:space="preserve"> The Chernin Group</t>
  </si>
  <si>
    <t>Berenson &amp; Company</t>
  </si>
  <si>
    <t xml:space="preserve"> Sagewind Capital</t>
  </si>
  <si>
    <t>Benchmark (San Francisco)</t>
  </si>
  <si>
    <t xml:space="preserve"> California Technology Ventures</t>
  </si>
  <si>
    <t xml:space="preserve"> Capital Today</t>
  </si>
  <si>
    <t xml:space="preserve"> SummitView Capital</t>
  </si>
  <si>
    <t>Cherubic Ventures</t>
  </si>
  <si>
    <t xml:space="preserve"> David Chuen</t>
  </si>
  <si>
    <t xml:space="preserve"> Eminence Capital</t>
  </si>
  <si>
    <t xml:space="preserve"> Fenghou Capital</t>
  </si>
  <si>
    <t xml:space="preserve"> George Battle</t>
  </si>
  <si>
    <t xml:space="preserve"> Integral Venture</t>
  </si>
  <si>
    <t xml:space="preserve"> EvoNexus</t>
  </si>
  <si>
    <t xml:space="preserve"> Fluxunit - OSRAM Ventures</t>
  </si>
  <si>
    <t xml:space="preserve"> KLA-Tencor</t>
  </si>
  <si>
    <t xml:space="preserve"> LAM Research Capital</t>
  </si>
  <si>
    <t xml:space="preserve"> BV Jagadeesh</t>
  </si>
  <si>
    <t xml:space="preserve"> Guido Appenzeller</t>
  </si>
  <si>
    <t xml:space="preserve"> Pankaj Patel</t>
  </si>
  <si>
    <t xml:space="preserve"> Rain Capital</t>
  </si>
  <si>
    <t xml:space="preserve"> Shiva Rajaraman</t>
  </si>
  <si>
    <t xml:space="preserve"> Andrew Koven</t>
  </si>
  <si>
    <t xml:space="preserve"> Dan Blank</t>
  </si>
  <si>
    <t xml:space="preserve"> Disruption</t>
  </si>
  <si>
    <t xml:space="preserve"> Hanson Li</t>
  </si>
  <si>
    <t xml:space="preserve"> John Sabotta</t>
  </si>
  <si>
    <t xml:space="preserve"> LDR Ventures</t>
  </si>
  <si>
    <t xml:space="preserve"> Lewis &amp; Clark Ventures</t>
  </si>
  <si>
    <t xml:space="preserve"> Mark Sisson</t>
  </si>
  <si>
    <t xml:space="preserve"> Michael Chasen</t>
  </si>
  <si>
    <t xml:space="preserve"> NRV</t>
  </si>
  <si>
    <t xml:space="preserve"> Ric Fleisher</t>
  </si>
  <si>
    <t xml:space="preserve"> Tucker Bailey</t>
  </si>
  <si>
    <t xml:space="preserve"> Wild Ventures</t>
  </si>
  <si>
    <t>Beach Point Capital Management</t>
  </si>
  <si>
    <t xml:space="preserve"> Roarks Drift</t>
  </si>
  <si>
    <t xml:space="preserve"> Staton Capital</t>
  </si>
  <si>
    <t>ACA Investments</t>
  </si>
  <si>
    <t xml:space="preserve"> Bold Capital Partners</t>
  </si>
  <si>
    <t xml:space="preserve"> entrepreneurship@UBC Seed Fund</t>
  </si>
  <si>
    <t xml:space="preserve"> Export Development Canada</t>
  </si>
  <si>
    <t xml:space="preserve"> Ingka GreenTech</t>
  </si>
  <si>
    <t xml:space="preserve"> Maumee Ventures</t>
  </si>
  <si>
    <t xml:space="preserve"> National Research Council Canada</t>
  </si>
  <si>
    <t xml:space="preserve"> Renewal Funds</t>
  </si>
  <si>
    <t xml:space="preserve"> S2G Ventures</t>
  </si>
  <si>
    <t>Adapt Low Carbon Group</t>
  </si>
  <si>
    <t xml:space="preserve"> Amadeus Capital Partners</t>
  </si>
  <si>
    <t xml:space="preserve"> Avlar BioVentures</t>
  </si>
  <si>
    <t xml:space="preserve"> Cambridge Enterprise</t>
  </si>
  <si>
    <t xml:space="preserve"> Cambridge Gateway Fund</t>
  </si>
  <si>
    <t xml:space="preserve"> Cambridge Research and Innovation</t>
  </si>
  <si>
    <t xml:space="preserve"> Coherent</t>
  </si>
  <si>
    <t xml:space="preserve"> ET Capital</t>
  </si>
  <si>
    <t xml:space="preserve"> Full Circle Investments</t>
  </si>
  <si>
    <t xml:space="preserve"> Gresham House Strategic Public Equity</t>
  </si>
  <si>
    <t xml:space="preserve"> New Hill Management</t>
  </si>
  <si>
    <t xml:space="preserve"> Nordson</t>
  </si>
  <si>
    <t xml:space="preserve"> Q Street Capital</t>
  </si>
  <si>
    <t xml:space="preserve"> Quester</t>
  </si>
  <si>
    <t xml:space="preserve"> Toshiba Research Europe</t>
  </si>
  <si>
    <t xml:space="preserve"> TSB</t>
  </si>
  <si>
    <t xml:space="preserve"> TTP Venture Managers</t>
  </si>
  <si>
    <t xml:space="preserve"> Turquoise International</t>
  </si>
  <si>
    <t xml:space="preserve"> YFM Equity Partners</t>
  </si>
  <si>
    <t>Alloy Ventures</t>
  </si>
  <si>
    <t xml:space="preserve"> Alta Berkeley</t>
  </si>
  <si>
    <t xml:space="preserve"> BDC Capital</t>
  </si>
  <si>
    <t xml:space="preserve"> BDC Healthcare Venture Fund</t>
  </si>
  <si>
    <t xml:space="preserve"> BDC Industrial</t>
  </si>
  <si>
    <t xml:space="preserve"> Clean and Energy Technology Venture Fund</t>
  </si>
  <si>
    <t xml:space="preserve"> Beedie Capital</t>
  </si>
  <si>
    <t xml:space="preserve"> Business Development Bank of Canada</t>
  </si>
  <si>
    <t xml:space="preserve"> Lyra Capital</t>
  </si>
  <si>
    <t xml:space="preserve"> PenderFund</t>
  </si>
  <si>
    <t xml:space="preserve"> Sandy Li</t>
  </si>
  <si>
    <t xml:space="preserve"> Skypoint Capital</t>
  </si>
  <si>
    <t xml:space="preserve"> Exploit Technologies</t>
  </si>
  <si>
    <t xml:space="preserve"> Extream Ventures</t>
  </si>
  <si>
    <t xml:space="preserve"> Kisco</t>
  </si>
  <si>
    <t>Aspect Ventures</t>
  </si>
  <si>
    <t xml:space="preserve"> Uprising</t>
  </si>
  <si>
    <t xml:space="preserve"> Vista Venture Partners</t>
  </si>
  <si>
    <t xml:space="preserve"> Bodley Group</t>
  </si>
  <si>
    <t xml:space="preserve"> ESW Capital</t>
  </si>
  <si>
    <t xml:space="preserve"> Geekdom Fund</t>
  </si>
  <si>
    <t xml:space="preserve"> Jared Slosberg</t>
  </si>
  <si>
    <t xml:space="preserve"> Lew Moorman</t>
  </si>
  <si>
    <t xml:space="preserve"> Next Coast Ventures</t>
  </si>
  <si>
    <t xml:space="preserve"> Pat Condon</t>
  </si>
  <si>
    <t xml:space="preserve"> Pat Matthews</t>
  </si>
  <si>
    <t xml:space="preserve"> Patrick Condon</t>
  </si>
  <si>
    <t>Morgan Stanley Investment Management</t>
  </si>
  <si>
    <t xml:space="preserve"> RUBICON Technology Partners</t>
  </si>
  <si>
    <t xml:space="preserve"> Zoma Capital</t>
  </si>
  <si>
    <t>Al Boschulte</t>
  </si>
  <si>
    <t xml:space="preserve"> Harvey Jones</t>
  </si>
  <si>
    <t xml:space="preserve"> Robert Pavey</t>
  </si>
  <si>
    <t xml:space="preserve"> S-Cubed Capital</t>
  </si>
  <si>
    <t xml:space="preserve"> DCM Ventures</t>
  </si>
  <si>
    <t xml:space="preserve"> Rogers Venture Partners</t>
  </si>
  <si>
    <t>CableLabs</t>
  </si>
  <si>
    <t xml:space="preserve"> FirstMile Ventures</t>
  </si>
  <si>
    <t xml:space="preserve"> GAN Ventures</t>
  </si>
  <si>
    <t xml:space="preserve"> Southern Sun Angel Capital</t>
  </si>
  <si>
    <t xml:space="preserve"> Startup Next</t>
  </si>
  <si>
    <t xml:space="preserve"> Stout Street Capital</t>
  </si>
  <si>
    <t xml:space="preserve"> Tetuan Valley</t>
  </si>
  <si>
    <t xml:space="preserve"> Deepcore</t>
  </si>
  <si>
    <t xml:space="preserve"> Japan Science And Technology Agency</t>
  </si>
  <si>
    <t xml:space="preserve"> JTB Group</t>
  </si>
  <si>
    <t xml:space="preserve"> KDDI Ventures Program</t>
  </si>
  <si>
    <t xml:space="preserve"> Maeda</t>
  </si>
  <si>
    <t xml:space="preserve"> Monoful Inc.</t>
  </si>
  <si>
    <t xml:space="preserve"> The University of Tokyo</t>
  </si>
  <si>
    <t xml:space="preserve"> Alliance Ventures</t>
  </si>
  <si>
    <t xml:space="preserve"> BluePointe Ventures</t>
  </si>
  <si>
    <t xml:space="preserve"> Exor</t>
  </si>
  <si>
    <t xml:space="preserve"> EXOR Seeds</t>
  </si>
  <si>
    <t xml:space="preserve"> PartnerRe</t>
  </si>
  <si>
    <t>Fortitude MB</t>
  </si>
  <si>
    <t>Cognitiv Ventures</t>
  </si>
  <si>
    <t xml:space="preserve"> Comdata Group</t>
  </si>
  <si>
    <t xml:space="preserve"> Innogy Innovation Hub</t>
  </si>
  <si>
    <t xml:space="preserve"> Innogy Venture Capital</t>
  </si>
  <si>
    <t>Andrus Purde</t>
  </si>
  <si>
    <t xml:space="preserve"> Black Pearls VC</t>
  </si>
  <si>
    <t xml:space="preserve"> Jaan Tallinn</t>
  </si>
  <si>
    <t xml:space="preserve"> Lauri Isotamm</t>
  </si>
  <si>
    <t xml:space="preserve"> Startup Wise Guys</t>
  </si>
  <si>
    <t xml:space="preserve"> Airbus</t>
  </si>
  <si>
    <t xml:space="preserve"> AT&amp;T</t>
  </si>
  <si>
    <t xml:space="preserve"> Barclays</t>
  </si>
  <si>
    <t xml:space="preserve"> Citigroup</t>
  </si>
  <si>
    <t xml:space="preserve"> Innovation Endeavors</t>
  </si>
  <si>
    <t xml:space="preserve"> Lucent Asset Management</t>
  </si>
  <si>
    <t xml:space="preserve"> Moody's</t>
  </si>
  <si>
    <t xml:space="preserve"> Munich Re</t>
  </si>
  <si>
    <t xml:space="preserve"> Nokia</t>
  </si>
  <si>
    <t xml:space="preserve"> Scotiabank Peru</t>
  </si>
  <si>
    <t xml:space="preserve"> Walmart</t>
  </si>
  <si>
    <t>ABN AMRO Bank</t>
  </si>
  <si>
    <t xml:space="preserve"> Bain Capital Ventures</t>
  </si>
  <si>
    <t xml:space="preserve"> Declaration Partners</t>
  </si>
  <si>
    <t xml:space="preserve"> eValue</t>
  </si>
  <si>
    <t xml:space="preserve"> Omega Venture Partners</t>
  </si>
  <si>
    <t xml:space="preserve"> Parkwood</t>
  </si>
  <si>
    <t xml:space="preserve"> Thomas Falk</t>
  </si>
  <si>
    <t>Anchorage Capital Group</t>
  </si>
  <si>
    <t xml:space="preserve"> Band of Angels</t>
  </si>
  <si>
    <t xml:space="preserve"> David Wu</t>
  </si>
  <si>
    <t xml:space="preserve"> EDBI</t>
  </si>
  <si>
    <t xml:space="preserve"> Harbor Pacific Capital</t>
  </si>
  <si>
    <t xml:space="preserve"> Lakestar</t>
  </si>
  <si>
    <t xml:space="preserve"> Propel Venture Partners</t>
  </si>
  <si>
    <t xml:space="preserve"> Thanos Triant</t>
  </si>
  <si>
    <t xml:space="preserve"> The Angels' Forum</t>
  </si>
  <si>
    <t xml:space="preserve"> The Woodside Financial Group</t>
  </si>
  <si>
    <t xml:space="preserve"> Amazon.com</t>
  </si>
  <si>
    <t xml:space="preserve"> Cool Japan Fund</t>
  </si>
  <si>
    <t xml:space="preserve"> Liberty Media Corporation</t>
  </si>
  <si>
    <t xml:space="preserve"> Liberty Ventures Group</t>
  </si>
  <si>
    <t xml:space="preserve"> Scripps Networks Interactive</t>
  </si>
  <si>
    <t xml:space="preserve"> Starz Entertainment</t>
  </si>
  <si>
    <t xml:space="preserve"> Tohokushinsha Film Corporation</t>
  </si>
  <si>
    <t>11-11 Ventures</t>
  </si>
  <si>
    <t xml:space="preserve"> AlgoLedge</t>
  </si>
  <si>
    <t xml:space="preserve"> Blockchain Capital</t>
  </si>
  <si>
    <t xml:space="preserve"> Draft Ventures</t>
  </si>
  <si>
    <t xml:space="preserve"> Multicoin Capital</t>
  </si>
  <si>
    <t xml:space="preserve"> Roca Capital</t>
  </si>
  <si>
    <t xml:space="preserve"> Sora Ventures</t>
  </si>
  <si>
    <t xml:space="preserve"> Spagni</t>
  </si>
  <si>
    <t xml:space="preserve"> Sparkart</t>
  </si>
  <si>
    <t xml:space="preserve"> Tapas Capital</t>
  </si>
  <si>
    <t xml:space="preserve"> Vy Capital</t>
  </si>
  <si>
    <t>Global Brain</t>
  </si>
  <si>
    <t xml:space="preserve"> Iconica Partners</t>
  </si>
  <si>
    <t xml:space="preserve"> InterWest Partners</t>
  </si>
  <si>
    <t xml:space="preserve"> J.P. Morgan</t>
  </si>
  <si>
    <t xml:space="preserve"> North Bridge Venture Partners</t>
  </si>
  <si>
    <t xml:space="preserve"> Rho Ventures</t>
  </si>
  <si>
    <t xml:space="preserve"> The D. E. Shaw Group</t>
  </si>
  <si>
    <t xml:space="preserve"> Alejandro Zubillaga</t>
  </si>
  <si>
    <t xml:space="preserve"> Alibaba Capital Partners</t>
  </si>
  <si>
    <t xml:space="preserve"> AMD Ventures</t>
  </si>
  <si>
    <t xml:space="preserve"> Jay Eum</t>
  </si>
  <si>
    <t xml:space="preserve"> Leonard Blavatnik</t>
  </si>
  <si>
    <t xml:space="preserve"> Maven Ventures</t>
  </si>
  <si>
    <t xml:space="preserve"> Michael Birch</t>
  </si>
  <si>
    <t xml:space="preserve"> Nicholas Brown</t>
  </si>
  <si>
    <t xml:space="preserve"> Amgen</t>
  </si>
  <si>
    <t xml:space="preserve"> Andrew Palmer</t>
  </si>
  <si>
    <t xml:space="preserve"> Granite Hill Capital Partners</t>
  </si>
  <si>
    <t xml:space="preserve"> GSK Ventures</t>
  </si>
  <si>
    <t xml:space="preserve"> INTAGE Open Innovation Fund</t>
  </si>
  <si>
    <t xml:space="preserve"> Koa Labs</t>
  </si>
  <si>
    <t xml:space="preserve"> Lakshmikanth Ananth</t>
  </si>
  <si>
    <t xml:space="preserve"> MassMutual Ventures</t>
  </si>
  <si>
    <t xml:space="preserve"> Pear Tree Partners</t>
  </si>
  <si>
    <t xml:space="preserve"> Thomson Reuters</t>
  </si>
  <si>
    <t xml:space="preserve"> Working Lab Capital</t>
  </si>
  <si>
    <t xml:space="preserve"> Alexander Khein</t>
  </si>
  <si>
    <t xml:space="preserve"> Amity Ventures</t>
  </si>
  <si>
    <t xml:space="preserve"> Jason Lemkin</t>
  </si>
  <si>
    <t xml:space="preserve"> SaaStr</t>
  </si>
  <si>
    <t xml:space="preserve"> Twilio Fund</t>
  </si>
  <si>
    <t xml:space="preserve"> Viking Global Investors</t>
  </si>
  <si>
    <t>Aetna Ventures</t>
  </si>
  <si>
    <t xml:space="preserve"> Ardian</t>
  </si>
  <si>
    <t xml:space="preserve"> Kaiser Permanente Ventures</t>
  </si>
  <si>
    <t xml:space="preserve"> PeakSpan Capital</t>
  </si>
  <si>
    <t xml:space="preserve"> Stella Health</t>
  </si>
  <si>
    <t xml:space="preserve"> Tufts Health Ventures</t>
  </si>
  <si>
    <t>Doug Scott</t>
  </si>
  <si>
    <t xml:space="preserve"> Enterprise Ireland</t>
  </si>
  <si>
    <t xml:space="preserve"> Ignite</t>
  </si>
  <si>
    <t xml:space="preserve"> IGNITE Graduate Business Innovation Programme</t>
  </si>
  <si>
    <t xml:space="preserve"> Tom Kelly</t>
  </si>
  <si>
    <t>3M Ventures</t>
  </si>
  <si>
    <t xml:space="preserve"> Gemini Israel Ventures</t>
  </si>
  <si>
    <t xml:space="preserve"> Giza Venture Capital</t>
  </si>
  <si>
    <t>Benhamou Global Ventures</t>
  </si>
  <si>
    <t xml:space="preserve"> Quintus Capital</t>
  </si>
  <si>
    <t xml:space="preserve"> Salesforce</t>
  </si>
  <si>
    <t xml:space="preserve"> Zebra Ventures</t>
  </si>
  <si>
    <t>Amazon Alexa Fund</t>
  </si>
  <si>
    <t xml:space="preserve"> Bayerische Beteiligungsgesellschaft</t>
  </si>
  <si>
    <t xml:space="preserve"> Energy Innovation Capital</t>
  </si>
  <si>
    <t xml:space="preserve"> European Investment Bank</t>
  </si>
  <si>
    <t xml:space="preserve"> Inven Capital</t>
  </si>
  <si>
    <t xml:space="preserve"> LBBW Venture Capital</t>
  </si>
  <si>
    <t xml:space="preserve"> LMU Entrepreneurship Center</t>
  </si>
  <si>
    <t xml:space="preserve"> Montrose Capital Partners</t>
  </si>
  <si>
    <t xml:space="preserve"> Shortcut Ventures</t>
  </si>
  <si>
    <t xml:space="preserve"> Statkraft Ventures</t>
  </si>
  <si>
    <t xml:space="preserve"> Target Partners</t>
  </si>
  <si>
    <t xml:space="preserve"> Focus Opportunity Fund</t>
  </si>
  <si>
    <t xml:space="preserve"> Kevin Efrusy</t>
  </si>
  <si>
    <t xml:space="preserve"> Mark Suster</t>
  </si>
  <si>
    <t xml:space="preserve"> Rashmi Gopinath</t>
  </si>
  <si>
    <t xml:space="preserve"> Subrah Iyar</t>
  </si>
  <si>
    <t xml:space="preserve"> Bearing Capital</t>
  </si>
  <si>
    <t xml:space="preserve"> Carlo De Benedetti</t>
  </si>
  <si>
    <t xml:space="preserve"> Crescent Point Group</t>
  </si>
  <si>
    <t xml:space="preserve"> dmg ventures</t>
  </si>
  <si>
    <t xml:space="preserve"> Evergreen Venture Partners</t>
  </si>
  <si>
    <t xml:space="preserve"> Eyal Gura</t>
  </si>
  <si>
    <t xml:space="preserve"> Groupe Arnault</t>
  </si>
  <si>
    <t xml:space="preserve"> MailOnline</t>
  </si>
  <si>
    <t xml:space="preserve"> Qumra Capital</t>
  </si>
  <si>
    <t xml:space="preserve"> Star Farm Ventures</t>
  </si>
  <si>
    <t xml:space="preserve"> Steadfast Capital</t>
  </si>
  <si>
    <t xml:space="preserve"> WGI Group</t>
  </si>
  <si>
    <t xml:space="preserve"> Yahoo Japan</t>
  </si>
  <si>
    <t xml:space="preserve"> Underscore VC</t>
  </si>
  <si>
    <t xml:space="preserve"> CrowdSmart</t>
  </si>
  <si>
    <t xml:space="preserve"> DaaS Analytics</t>
  </si>
  <si>
    <t xml:space="preserve"> Embark Ventures</t>
  </si>
  <si>
    <t xml:space="preserve"> Seraph Group</t>
  </si>
  <si>
    <t xml:space="preserve"> Sunstone Management</t>
  </si>
  <si>
    <t>ACGT Sdn Bhd</t>
  </si>
  <si>
    <t xml:space="preserve"> Biotechonomy</t>
  </si>
  <si>
    <t xml:space="preserve"> BP Ventures</t>
  </si>
  <si>
    <t xml:space="preserve"> Genting Genomics</t>
  </si>
  <si>
    <t xml:space="preserve"> Invitrogen</t>
  </si>
  <si>
    <t xml:space="preserve"> Jean Hammond</t>
  </si>
  <si>
    <t xml:space="preserve"> Lung Biotechnology</t>
  </si>
  <si>
    <t xml:space="preserve"> Plenus</t>
  </si>
  <si>
    <t xml:space="preserve"> The Meteor Group</t>
  </si>
  <si>
    <t xml:space="preserve"> Thermo Electron</t>
  </si>
  <si>
    <t xml:space="preserve"> United Therapeutics</t>
  </si>
  <si>
    <t>Aquillian Investments</t>
  </si>
  <si>
    <t xml:space="preserve"> Caterpillar Ventures</t>
  </si>
  <si>
    <t xml:space="preserve"> FullCycle Energy Fund</t>
  </si>
  <si>
    <t xml:space="preserve"> The Ecosystem Integrity Fund</t>
  </si>
  <si>
    <t>General Catalyst</t>
  </si>
  <si>
    <t xml:space="preserve"> Longworth Venture Partners</t>
  </si>
  <si>
    <t xml:space="preserve"> Simon Venture Group</t>
  </si>
  <si>
    <t>Aviva Ventures</t>
  </si>
  <si>
    <t xml:space="preserve"> Bass Investment</t>
  </si>
  <si>
    <t xml:space="preserve"> Big Basin Capital</t>
  </si>
  <si>
    <t xml:space="preserve"> SparkLabs</t>
  </si>
  <si>
    <t xml:space="preserve"> Walden International</t>
  </si>
  <si>
    <t>3Lines</t>
  </si>
  <si>
    <t xml:space="preserve"> Arizona Innovation Challenge</t>
  </si>
  <si>
    <t xml:space="preserve"> Krishna Kunapuli</t>
  </si>
  <si>
    <t xml:space="preserve"> Rockies Venture Club</t>
  </si>
  <si>
    <t>BootUP Ventures</t>
  </si>
  <si>
    <t xml:space="preserve"> G Ventures</t>
  </si>
  <si>
    <t xml:space="preserve"> SeedInvest</t>
  </si>
  <si>
    <t xml:space="preserve"> Elemental Excelerator</t>
  </si>
  <si>
    <t xml:space="preserve"> Ford Smart Mobility</t>
  </si>
  <si>
    <t xml:space="preserve"> Gary Swart</t>
  </si>
  <si>
    <t xml:space="preserve"> Kartheek Raju</t>
  </si>
  <si>
    <t xml:space="preserve"> Mehdi Maghsoodnia</t>
  </si>
  <si>
    <t xml:space="preserve"> Michael Leeman</t>
  </si>
  <si>
    <t xml:space="preserve"> Millennium Strategic Group</t>
  </si>
  <si>
    <t xml:space="preserve"> Nik Parekh</t>
  </si>
  <si>
    <t xml:space="preserve"> Raju Indukuri</t>
  </si>
  <si>
    <t xml:space="preserve"> RATP Developpement</t>
  </si>
  <si>
    <t xml:space="preserve"> Robert Brannigan</t>
  </si>
  <si>
    <t xml:space="preserve"> Shishir Mehrotra</t>
  </si>
  <si>
    <t xml:space="preserve"> Vinny Lingham</t>
  </si>
  <si>
    <t xml:space="preserve"> Wind Capital</t>
  </si>
  <si>
    <t>1955 Capital</t>
  </si>
  <si>
    <t xml:space="preserve"> ADM Ventures</t>
  </si>
  <si>
    <t xml:space="preserve"> Breakthrough Energy Ventures</t>
  </si>
  <si>
    <t xml:space="preserve"> Liebelson family office</t>
  </si>
  <si>
    <t xml:space="preserve"> U.S. Environmental Protection Agency</t>
  </si>
  <si>
    <t xml:space="preserve"> United States Department of Agriculture</t>
  </si>
  <si>
    <t xml:space="preserve"> Dentsu Ventures</t>
  </si>
  <si>
    <t xml:space="preserve"> MGM Studios</t>
  </si>
  <si>
    <t xml:space="preserve"> Michael Chang</t>
  </si>
  <si>
    <t xml:space="preserve"> Shanda Interactive Entertainment</t>
  </si>
  <si>
    <t>Amtrust Ventures</t>
  </si>
  <si>
    <t xml:space="preserve"> Berkeley Ventures</t>
  </si>
  <si>
    <t xml:space="preserve"> Fosun RZ Capital</t>
  </si>
  <si>
    <t xml:space="preserve"> Nationwide Ventures</t>
  </si>
  <si>
    <t xml:space="preserve"> Continental Advisors</t>
  </si>
  <si>
    <t xml:space="preserve"> Draper Associates</t>
  </si>
  <si>
    <t xml:space="preserve"> Marc Weiser</t>
  </si>
  <si>
    <t xml:space="preserve"> Moneta Ventures</t>
  </si>
  <si>
    <t xml:space="preserve"> RPM Ventures</t>
  </si>
  <si>
    <t xml:space="preserve"> T5 Capital</t>
  </si>
  <si>
    <t xml:space="preserve"> TEC Ventures</t>
  </si>
  <si>
    <t xml:space="preserve"> The Entrepreneurs' Club</t>
  </si>
  <si>
    <t xml:space="preserve"> Madrona Venture Group</t>
  </si>
  <si>
    <t>Australian Renewable Energy Agency</t>
  </si>
  <si>
    <t xml:space="preserve"> Kokam</t>
  </si>
  <si>
    <t xml:space="preserve"> SB China Venture Capital</t>
  </si>
  <si>
    <t xml:space="preserve"> The Australian Gas Light Company</t>
  </si>
  <si>
    <t xml:space="preserve"> VisIR Capital Partners</t>
  </si>
  <si>
    <t>Banpu Public Company</t>
  </si>
  <si>
    <t xml:space="preserve"> Chow Tai Fook Enterprises</t>
  </si>
  <si>
    <t xml:space="preserve"> Isoteam (Singapore)</t>
  </si>
  <si>
    <t xml:space="preserve"> Trirec</t>
  </si>
  <si>
    <t xml:space="preserve"> Baldwin Brothers</t>
  </si>
  <si>
    <t xml:space="preserve"> Barnaby Olson</t>
  </si>
  <si>
    <t xml:space="preserve"> Better Ventures</t>
  </si>
  <si>
    <t xml:space="preserve"> Ceniarth</t>
  </si>
  <si>
    <t xml:space="preserve"> Chad DeChant</t>
  </si>
  <si>
    <t xml:space="preserve"> CR Boardman</t>
  </si>
  <si>
    <t xml:space="preserve"> Deutsche Bank</t>
  </si>
  <si>
    <t xml:space="preserve"> Iberdrola - PERSEO</t>
  </si>
  <si>
    <t xml:space="preserve"> ImpactAssets</t>
  </si>
  <si>
    <t xml:space="preserve"> Ivy Main</t>
  </si>
  <si>
    <t xml:space="preserve"> Jim Davidson</t>
  </si>
  <si>
    <t xml:space="preserve"> Kathy Washienko</t>
  </si>
  <si>
    <t xml:space="preserve"> Khosla Impact</t>
  </si>
  <si>
    <t xml:space="preserve"> Marius Gjerset</t>
  </si>
  <si>
    <t xml:space="preserve"> MCE Social Capital</t>
  </si>
  <si>
    <t xml:space="preserve"> Radicle Capital</t>
  </si>
  <si>
    <t xml:space="preserve"> Schneider Electric</t>
  </si>
  <si>
    <t xml:space="preserve"> Stichting DOEN</t>
  </si>
  <si>
    <t xml:space="preserve"> Stiefel Family Foundation</t>
  </si>
  <si>
    <t xml:space="preserve"> Thad Curtz</t>
  </si>
  <si>
    <t xml:space="preserve"> Treehouse Investments</t>
  </si>
  <si>
    <t xml:space="preserve"> Zac Zeitlin</t>
  </si>
  <si>
    <t xml:space="preserve"> Investiere</t>
  </si>
  <si>
    <t xml:space="preserve"> Noriyuki Matsuda</t>
  </si>
  <si>
    <t xml:space="preserve"> Philip Libin</t>
  </si>
  <si>
    <t xml:space="preserve"> Social Discovery Ventures</t>
  </si>
  <si>
    <t>Idinvest Partners</t>
  </si>
  <si>
    <t xml:space="preserve"> Paul Wurth</t>
  </si>
  <si>
    <t xml:space="preserve"> Sunfire Entrepreneurs Club</t>
  </si>
  <si>
    <t xml:space="preserve"> Vintage Investment Partners</t>
  </si>
  <si>
    <t xml:space="preserve"> Viola Growth</t>
  </si>
  <si>
    <t xml:space="preserve"> Viola Ventures</t>
  </si>
  <si>
    <t>Correlation Ventures</t>
  </si>
  <si>
    <t xml:space="preserve"> Gilt Groupe</t>
  </si>
  <si>
    <t xml:space="preserve"> Houzz</t>
  </si>
  <si>
    <t xml:space="preserve"> Massachusetts Institute of Technology</t>
  </si>
  <si>
    <t xml:space="preserve"> Moda Operandi</t>
  </si>
  <si>
    <t xml:space="preserve"> New York Fashion Tech Lab</t>
  </si>
  <si>
    <t xml:space="preserve"> Plug and Play-Fashion for Good</t>
  </si>
  <si>
    <t xml:space="preserve"> Vectr Ventures</t>
  </si>
  <si>
    <t xml:space="preserve"> Walter Winshall</t>
  </si>
  <si>
    <t xml:space="preserve"> Cube Venture Partners</t>
  </si>
  <si>
    <t xml:space="preserve"> Hanwha Investment</t>
  </si>
  <si>
    <t xml:space="preserve"> Asheem Chandna</t>
  </si>
  <si>
    <t xml:space="preserve"> Cross Creek</t>
  </si>
  <si>
    <t xml:space="preserve"> DFJ Growth</t>
  </si>
  <si>
    <t xml:space="preserve"> Glynn Capital</t>
  </si>
  <si>
    <t xml:space="preserve"> Shlomo Kramer</t>
  </si>
  <si>
    <t xml:space="preserve"> Beenos Partners</t>
  </si>
  <si>
    <t xml:space="preserve"> Georgia Tech VentureLab</t>
  </si>
  <si>
    <t xml:space="preserve"> Owen Van Natta</t>
  </si>
  <si>
    <t>Boulder Brands</t>
  </si>
  <si>
    <t xml:space="preserve"> Boulder Investment Group Reprise</t>
  </si>
  <si>
    <t xml:space="preserve"> Coca-Cola</t>
  </si>
  <si>
    <t xml:space="preserve"> FS Investors</t>
  </si>
  <si>
    <t xml:space="preserve"> Leonardo DiCaprio</t>
  </si>
  <si>
    <t xml:space="preserve"> Sofia Vergara</t>
  </si>
  <si>
    <t xml:space="preserve"> Advanced Technology Development Center</t>
  </si>
  <si>
    <t xml:space="preserve"> Atlanta Seed Company</t>
  </si>
  <si>
    <t xml:space="preserve"> Engage Ventures</t>
  </si>
  <si>
    <t xml:space="preserve"> Georgia-Pacific</t>
  </si>
  <si>
    <t xml:space="preserve"> Harlem Capital Partners</t>
  </si>
  <si>
    <t xml:space="preserve"> Loki Equity Ventures</t>
  </si>
  <si>
    <t xml:space="preserve"> Tech Square Venture Partners</t>
  </si>
  <si>
    <t xml:space="preserve"> Tony Catalfano</t>
  </si>
  <si>
    <t xml:space="preserve"> United Parcel Service</t>
  </si>
  <si>
    <t xml:space="preserve"> Fusion Fund</t>
  </si>
  <si>
    <t>Area 31 Incubator</t>
  </si>
  <si>
    <t xml:space="preserve"> Gagnon Securities</t>
  </si>
  <si>
    <t xml:space="preserve"> Sonae IM</t>
  </si>
  <si>
    <t xml:space="preserve"> Sunrise R. S. International</t>
  </si>
  <si>
    <t xml:space="preserve"> Trammell Ventures</t>
  </si>
  <si>
    <t>Keio University Shonan Fujisawa Campus</t>
  </si>
  <si>
    <t xml:space="preserve"> Nippon Information</t>
  </si>
  <si>
    <t xml:space="preserve"> Bodhi Capital</t>
  </si>
  <si>
    <t xml:space="preserve"> Excell Partners</t>
  </si>
  <si>
    <t xml:space="preserve"> Gambit Ventures</t>
  </si>
  <si>
    <t xml:space="preserve"> Heartland Ventures (South Bend)</t>
  </si>
  <si>
    <t xml:space="preserve"> I2BF Global Ventures</t>
  </si>
  <si>
    <t xml:space="preserve"> New Lab</t>
  </si>
  <si>
    <t xml:space="preserve"> Q Venture Partners</t>
  </si>
  <si>
    <t xml:space="preserve"> Semyon Dukach</t>
  </si>
  <si>
    <t xml:space="preserve"> Velorum Capital</t>
  </si>
  <si>
    <t>32 Equity</t>
  </si>
  <si>
    <t xml:space="preserve"> Advancit Capital</t>
  </si>
  <si>
    <t xml:space="preserve"> David Shaw</t>
  </si>
  <si>
    <t xml:space="preserve"> GreatPoint Ventures</t>
  </si>
  <si>
    <t xml:space="preserve"> National Football League</t>
  </si>
  <si>
    <t xml:space="preserve"> Purple Arch Ventures</t>
  </si>
  <si>
    <t xml:space="preserve"> Aaron Levie</t>
  </si>
  <si>
    <t xml:space="preserve"> Alven Capital Partners</t>
  </si>
  <si>
    <t xml:space="preserve"> American Express Ventures</t>
  </si>
  <si>
    <t xml:space="preserve"> Atomico</t>
  </si>
  <si>
    <t xml:space="preserve"> Capital Factory</t>
  </si>
  <si>
    <t xml:space="preserve"> CapitalG</t>
  </si>
  <si>
    <t xml:space="preserve"> Connect Ventures</t>
  </si>
  <si>
    <t xml:space="preserve"> Dave Morin</t>
  </si>
  <si>
    <t xml:space="preserve"> Designer Fund</t>
  </si>
  <si>
    <t xml:space="preserve"> Entrée Capital</t>
  </si>
  <si>
    <t xml:space="preserve"> Golden Gate Ventures</t>
  </si>
  <si>
    <t xml:space="preserve"> Heavybit</t>
  </si>
  <si>
    <t xml:space="preserve"> Hemant Taneja</t>
  </si>
  <si>
    <t xml:space="preserve"> Jeremy Uzan</t>
  </si>
  <si>
    <t xml:space="preserve"> Lowercase Capital</t>
  </si>
  <si>
    <t xml:space="preserve"> Moment Ventures</t>
  </si>
  <si>
    <t xml:space="preserve"> Paua Ventures</t>
  </si>
  <si>
    <t xml:space="preserve"> Playfair Capital</t>
  </si>
  <si>
    <t xml:space="preserve"> Proioxis Ventures</t>
  </si>
  <si>
    <t xml:space="preserve"> Ronald Conway</t>
  </si>
  <si>
    <t xml:space="preserve"> Scott Raney</t>
  </si>
  <si>
    <t xml:space="preserve"> Square Peg Capital</t>
  </si>
  <si>
    <t xml:space="preserve"> Sumitomo Mitsui Trust Club Company</t>
  </si>
  <si>
    <t>Adam Goldstein</t>
  </si>
  <si>
    <t xml:space="preserve"> Baris Gultekin</t>
  </si>
  <si>
    <t xml:space="preserve"> John Owen</t>
  </si>
  <si>
    <t xml:space="preserve"> Lava Walk Ventures</t>
  </si>
  <si>
    <t xml:space="preserve"> NFX</t>
  </si>
  <si>
    <t xml:space="preserve"> TDG Ventures</t>
  </si>
  <si>
    <t>DBJ Capital</t>
  </si>
  <si>
    <t xml:space="preserve"> Aman Thapar</t>
  </si>
  <si>
    <t xml:space="preserve"> Craig Sherman</t>
  </si>
  <si>
    <t xml:space="preserve"> Edward Fu</t>
  </si>
  <si>
    <t xml:space="preserve"> Eric Hsia</t>
  </si>
  <si>
    <t xml:space="preserve"> Heiko Hubertz</t>
  </si>
  <si>
    <t xml:space="preserve"> Joe Kraus</t>
  </si>
  <si>
    <t xml:space="preserve"> Jonathan Siegel</t>
  </si>
  <si>
    <t xml:space="preserve"> Kevin Moore</t>
  </si>
  <si>
    <t xml:space="preserve"> Mark Gold</t>
  </si>
  <si>
    <t xml:space="preserve"> Mark Pincus</t>
  </si>
  <si>
    <t xml:space="preserve"> Patrick Murphy</t>
  </si>
  <si>
    <t xml:space="preserve"> Right Ventures</t>
  </si>
  <si>
    <t xml:space="preserve"> Sam Kokin</t>
  </si>
  <si>
    <t xml:space="preserve"> Suleman Ali</t>
  </si>
  <si>
    <t xml:space="preserve"> Universal Music Group</t>
  </si>
  <si>
    <t>Pitango Venture Capital</t>
  </si>
  <si>
    <t xml:space="preserve"> Rainfall Ventures</t>
  </si>
  <si>
    <t xml:space="preserve"> SigmaLabs Accelerator</t>
  </si>
  <si>
    <t xml:space="preserve"> State Of Mind Ventures</t>
  </si>
  <si>
    <t>Battery Ventures</t>
  </si>
  <si>
    <t xml:space="preserve"> SanDisk Ventures</t>
  </si>
  <si>
    <t>Ascend Venture Capital</t>
  </si>
  <si>
    <t xml:space="preserve"> Fred Seibert</t>
  </si>
  <si>
    <t xml:space="preserve"> John Maloney</t>
  </si>
  <si>
    <t xml:space="preserve"> Learn Capital</t>
  </si>
  <si>
    <t xml:space="preserve"> Real Ventures</t>
  </si>
  <si>
    <t xml:space="preserve"> Third Kind Venture Capital</t>
  </si>
  <si>
    <t xml:space="preserve"> GlenRock Israel</t>
  </si>
  <si>
    <t xml:space="preserve"> Millhouse</t>
  </si>
  <si>
    <t xml:space="preserve"> Nation-E</t>
  </si>
  <si>
    <t xml:space="preserve"> Norma Investments</t>
  </si>
  <si>
    <t xml:space="preserve"> Rhodium</t>
  </si>
  <si>
    <t xml:space="preserve"> Singulariteam</t>
  </si>
  <si>
    <t xml:space="preserve"> TDK</t>
  </si>
  <si>
    <t xml:space="preserve"> VI Ventures</t>
  </si>
  <si>
    <t>Connect Ventures</t>
  </si>
  <si>
    <t>Activate Capital Partners</t>
  </si>
  <si>
    <t xml:space="preserve"> Angeleno Group</t>
  </si>
  <si>
    <t xml:space="preserve"> BNP Paribas</t>
  </si>
  <si>
    <t xml:space="preserve"> Clean Feet Investors</t>
  </si>
  <si>
    <t xml:space="preserve"> Greener Capital</t>
  </si>
  <si>
    <t xml:space="preserve"> Iberdrola</t>
  </si>
  <si>
    <t xml:space="preserve"> Magnesium Capital</t>
  </si>
  <si>
    <t xml:space="preserve"> Mithril Capital Management</t>
  </si>
  <si>
    <t xml:space="preserve"> Ontario Teachers' Pension Plan</t>
  </si>
  <si>
    <t xml:space="preserve"> RWE</t>
  </si>
  <si>
    <t xml:space="preserve"> Starwood Energy Group</t>
  </si>
  <si>
    <t xml:space="preserve"> Brand Foundry Ventures</t>
  </si>
  <si>
    <t xml:space="preserve"> Gotham Ventures</t>
  </si>
  <si>
    <t xml:space="preserve"> Harbert Growth Partners</t>
  </si>
  <si>
    <t xml:space="preserve"> Novel TMT Ventures</t>
  </si>
  <si>
    <t xml:space="preserve"> Peak Opportunity Partners</t>
  </si>
  <si>
    <t xml:space="preserve"> Zendesk</t>
  </si>
  <si>
    <t xml:space="preserve"> ARUN</t>
  </si>
  <si>
    <t xml:space="preserve"> Beenext (Singapore)</t>
  </si>
  <si>
    <t xml:space="preserve"> Bill &amp; Melinda Gates Foundation</t>
  </si>
  <si>
    <t xml:space="preserve"> Binny Bansal</t>
  </si>
  <si>
    <t xml:space="preserve"> Blume Venture Advisors</t>
  </si>
  <si>
    <t xml:space="preserve"> IIT Madras Incubation Cell</t>
  </si>
  <si>
    <t xml:space="preserve"> IndusAge Partners</t>
  </si>
  <si>
    <t xml:space="preserve"> Omnivore Partners</t>
  </si>
  <si>
    <t xml:space="preserve"> RTBI</t>
  </si>
  <si>
    <t xml:space="preserve"> Telecom Centres of Excellence (TCOE India)</t>
  </si>
  <si>
    <t xml:space="preserve"> Venture Highway (New Delhi)</t>
  </si>
  <si>
    <t>Andrew Reicher</t>
  </si>
  <si>
    <t xml:space="preserve"> George Potts</t>
  </si>
  <si>
    <t xml:space="preserve"> The Ashden Trust</t>
  </si>
  <si>
    <t>AT&amp;T Ventures</t>
  </si>
  <si>
    <t xml:space="preserve"> Ewing Marion Kauffman Foundation</t>
  </si>
  <si>
    <t xml:space="preserve"> Groupon</t>
  </si>
  <si>
    <t xml:space="preserve"> Innolinks Ventures</t>
  </si>
  <si>
    <t>Arvato Financial Solutions</t>
  </si>
  <si>
    <t xml:space="preserve"> AVG Technologies</t>
  </si>
  <si>
    <t xml:space="preserve"> Chang Ng</t>
  </si>
  <si>
    <t xml:space="preserve"> Conor Stanley</t>
  </si>
  <si>
    <t xml:space="preserve"> Eos Venture Partners</t>
  </si>
  <si>
    <t xml:space="preserve"> Eric Van Der Maten</t>
  </si>
  <si>
    <t xml:space="preserve"> Fort Ross Ventures</t>
  </si>
  <si>
    <t xml:space="preserve"> GoBeyond</t>
  </si>
  <si>
    <t xml:space="preserve"> Jose Cobian</t>
  </si>
  <si>
    <t xml:space="preserve"> Lloyds Banking Group</t>
  </si>
  <si>
    <t xml:space="preserve"> MasterCard</t>
  </si>
  <si>
    <t xml:space="preserve"> Pix Vine Capital</t>
  </si>
  <si>
    <t xml:space="preserve"> Rabo Frontier Ventures</t>
  </si>
  <si>
    <t xml:space="preserve"> Rabobank Group</t>
  </si>
  <si>
    <t xml:space="preserve"> Route 66 Ventures</t>
  </si>
  <si>
    <t xml:space="preserve"> SGInnovate</t>
  </si>
  <si>
    <t xml:space="preserve"> Summer Capital</t>
  </si>
  <si>
    <t xml:space="preserve"> The Victorian Government</t>
  </si>
  <si>
    <t xml:space="preserve"> Venista Ventures</t>
  </si>
  <si>
    <t xml:space="preserve"> WestTech Ventures</t>
  </si>
  <si>
    <t xml:space="preserve"> Gary Barber</t>
  </si>
  <si>
    <t xml:space="preserve"> Grishin Robotics</t>
  </si>
  <si>
    <t xml:space="preserve"> HOF Capital (New York)</t>
  </si>
  <si>
    <t xml:space="preserve"> Nathan Blecharczyk</t>
  </si>
  <si>
    <t>Clearstone Venture Partners</t>
  </si>
  <si>
    <t xml:space="preserve"> Kinetic Ventures</t>
  </si>
  <si>
    <t xml:space="preserve"> Pereg Ventures</t>
  </si>
  <si>
    <t xml:space="preserve"> Revel Partners</t>
  </si>
  <si>
    <t>Company (Office Space)</t>
  </si>
  <si>
    <t xml:space="preserve"> Story Ventures</t>
  </si>
  <si>
    <t xml:space="preserve"> Urban-X</t>
  </si>
  <si>
    <t>Ecosystem Ventures</t>
  </si>
  <si>
    <t xml:space="preserve"> Finch Capital</t>
  </si>
  <si>
    <t xml:space="preserve"> FinTech Innovation Lab</t>
  </si>
  <si>
    <t xml:space="preserve"> FormulaVC Venture Fund</t>
  </si>
  <si>
    <t xml:space="preserve"> Hammer Team Digital</t>
  </si>
  <si>
    <t xml:space="preserve"> Icos Capital</t>
  </si>
  <si>
    <t xml:space="preserve"> SuperCharger FinTech Accelerator</t>
  </si>
  <si>
    <t xml:space="preserve"> Swiss Finance Startups</t>
  </si>
  <si>
    <t>Dipcom Investments</t>
  </si>
  <si>
    <t xml:space="preserve"> Nike</t>
  </si>
  <si>
    <t xml:space="preserve"> NikeFuel Lab</t>
  </si>
  <si>
    <t xml:space="preserve"> NorthSpring Capital Partners</t>
  </si>
  <si>
    <t xml:space="preserve"> Optimé International</t>
  </si>
  <si>
    <t xml:space="preserve"> Roboson Capital</t>
  </si>
  <si>
    <t>Piped Bits</t>
  </si>
  <si>
    <t xml:space="preserve"> Sprinklr</t>
  </si>
  <si>
    <t xml:space="preserve"> Suneight Investment</t>
  </si>
  <si>
    <t>Accelerate St. Louis</t>
  </si>
  <si>
    <t xml:space="preserve"> Accenture</t>
  </si>
  <si>
    <t xml:space="preserve"> Accenture Ventures</t>
  </si>
  <si>
    <t xml:space="preserve"> Allen Miner</t>
  </si>
  <si>
    <t xml:space="preserve"> Concur Technologies</t>
  </si>
  <si>
    <t xml:space="preserve"> Correlation Ventures</t>
  </si>
  <si>
    <t xml:space="preserve"> Helix Center Biotech Incubator</t>
  </si>
  <si>
    <t xml:space="preserve"> Mohr Davidow Ventures</t>
  </si>
  <si>
    <t xml:space="preserve"> Roger Bamford</t>
  </si>
  <si>
    <t xml:space="preserve"> Salesforce Commerce Cloud</t>
  </si>
  <si>
    <t xml:space="preserve"> Wells Fargo Startup Accelerator</t>
  </si>
  <si>
    <t>Acer Group</t>
  </si>
  <si>
    <t xml:space="preserve"> ASUS</t>
  </si>
  <si>
    <t xml:space="preserve"> Dragon Venture</t>
  </si>
  <si>
    <t xml:space="preserve"> Draper Dragon</t>
  </si>
  <si>
    <t xml:space="preserve"> Harbinger Venture Management</t>
  </si>
  <si>
    <t xml:space="preserve"> Kai Huang</t>
  </si>
  <si>
    <t xml:space="preserve"> Merus Capital</t>
  </si>
  <si>
    <t xml:space="preserve"> Sumitomo Corporation</t>
  </si>
  <si>
    <t xml:space="preserve"> WR Hambrecht + Co.</t>
  </si>
  <si>
    <t xml:space="preserve"> Trident Capital</t>
  </si>
  <si>
    <t xml:space="preserve"> Airbus Ventures</t>
  </si>
  <si>
    <t xml:space="preserve"> ATW Partners</t>
  </si>
  <si>
    <t xml:space="preserve"> Avanu Venture Capital Management</t>
  </si>
  <si>
    <t xml:space="preserve"> Neotribe Ventures</t>
  </si>
  <si>
    <t xml:space="preserve"> Starlight Ventures</t>
  </si>
  <si>
    <t xml:space="preserve"> Tyche Partners</t>
  </si>
  <si>
    <t>Abies Ventures</t>
  </si>
  <si>
    <t xml:space="preserve"> Aim Management Group</t>
  </si>
  <si>
    <t xml:space="preserve"> Allied Minds</t>
  </si>
  <si>
    <t xml:space="preserve"> Invesco Perpetual</t>
  </si>
  <si>
    <t xml:space="preserve"> SandAire</t>
  </si>
  <si>
    <t xml:space="preserve"> Woodford Investment Management</t>
  </si>
  <si>
    <t>DRW Venture Capital</t>
  </si>
  <si>
    <t xml:space="preserve"> KCRise Fund</t>
  </si>
  <si>
    <t xml:space="preserve"> Method Capital</t>
  </si>
  <si>
    <t xml:space="preserve"> OCA Ventures</t>
  </si>
  <si>
    <t>Noridian Mutual Insurance Company</t>
  </si>
  <si>
    <t xml:space="preserve"> STG Partners</t>
  </si>
  <si>
    <t>Axel Springer Digital Ventures</t>
  </si>
  <si>
    <t xml:space="preserve"> Jens Schumann</t>
  </si>
  <si>
    <t xml:space="preserve"> Next Media Accelerator</t>
  </si>
  <si>
    <t xml:space="preserve"> North Base Media</t>
  </si>
  <si>
    <t>Andy Hertzfeld</t>
  </si>
  <si>
    <t xml:space="preserve"> E14 Fund Management</t>
  </si>
  <si>
    <t xml:space="preserve"> FuturePlay</t>
  </si>
  <si>
    <t xml:space="preserve"> Leaders Fund</t>
  </si>
  <si>
    <t xml:space="preserve"> E8</t>
  </si>
  <si>
    <t xml:space="preserve"> Pi Investments</t>
  </si>
  <si>
    <t xml:space="preserve"> Richard Graves</t>
  </si>
  <si>
    <t>Alameda Ventures</t>
  </si>
  <si>
    <t xml:space="preserve"> Bob Stearns</t>
  </si>
  <si>
    <t xml:space="preserve"> Boiler Riffle Investments</t>
  </si>
  <si>
    <t xml:space="preserve"> Brevan Howard Asset Management</t>
  </si>
  <si>
    <t xml:space="preserve"> DBV Investments</t>
  </si>
  <si>
    <t xml:space="preserve"> DW Investments</t>
  </si>
  <si>
    <t xml:space="preserve"> Energize Ventures</t>
  </si>
  <si>
    <t xml:space="preserve"> FF SPARK</t>
  </si>
  <si>
    <t xml:space="preserve"> Glacier Systems LLC</t>
  </si>
  <si>
    <t xml:space="preserve"> Hudson Sustainable Investment Management</t>
  </si>
  <si>
    <t xml:space="preserve"> JC2 Ventures</t>
  </si>
  <si>
    <t xml:space="preserve"> John Chambers</t>
  </si>
  <si>
    <t xml:space="preserve"> MKN Investments</t>
  </si>
  <si>
    <t xml:space="preserve"> Morse VIII</t>
  </si>
  <si>
    <t xml:space="preserve"> LLC</t>
  </si>
  <si>
    <t xml:space="preserve"> MSD Capital</t>
  </si>
  <si>
    <t xml:space="preserve"> Rome Capital Partners</t>
  </si>
  <si>
    <t xml:space="preserve"> Sunshine Accelerator</t>
  </si>
  <si>
    <t xml:space="preserve"> T. Boone Pickens</t>
  </si>
  <si>
    <t xml:space="preserve"> The Entrepreneurs' Fund</t>
  </si>
  <si>
    <t>Boost VC</t>
  </si>
  <si>
    <t xml:space="preserve"> Canyon Creek Capital</t>
  </si>
  <si>
    <t xml:space="preserve"> ChinaRock Capital Management</t>
  </si>
  <si>
    <t xml:space="preserve"> COLOPL</t>
  </si>
  <si>
    <t xml:space="preserve"> GFR Fund</t>
  </si>
  <si>
    <t xml:space="preserve"> Sinovation Ventures</t>
  </si>
  <si>
    <t xml:space="preserve"> Songcheng Performance Development Company</t>
  </si>
  <si>
    <t xml:space="preserve"> OPT Ventures</t>
  </si>
  <si>
    <t xml:space="preserve"> ORIX Corporation</t>
  </si>
  <si>
    <t>Adam Pisoni</t>
  </si>
  <si>
    <t xml:space="preserve"> Alchemist Accelerator</t>
  </si>
  <si>
    <t xml:space="preserve"> Jeff Heitzman</t>
  </si>
  <si>
    <t xml:space="preserve"> Johnny Goodman</t>
  </si>
  <si>
    <t xml:space="preserve"> Joseph Lonsdale</t>
  </si>
  <si>
    <t xml:space="preserve"> Kilmahew Ventures</t>
  </si>
  <si>
    <t xml:space="preserve"> Palantir Technologies</t>
  </si>
  <si>
    <t xml:space="preserve"> Rubicon Venture Capital</t>
  </si>
  <si>
    <t xml:space="preserve"> Steadfast Venture Capital</t>
  </si>
  <si>
    <t xml:space="preserve"> Surender Punia</t>
  </si>
  <si>
    <t xml:space="preserve"> The California Endowment</t>
  </si>
  <si>
    <t xml:space="preserve"> Xenon Partners</t>
  </si>
  <si>
    <t>Bloomberg Beta</t>
  </si>
  <si>
    <t>Amidzad Partners</t>
  </si>
  <si>
    <t xml:space="preserve"> Global Catalyst Partners</t>
  </si>
  <si>
    <t xml:space="preserve"> GVA Capital</t>
  </si>
  <si>
    <t xml:space="preserve"> Hyundai CRADLE</t>
  </si>
  <si>
    <t xml:space="preserve"> Hyundai Motor</t>
  </si>
  <si>
    <t xml:space="preserve"> JAIC America</t>
  </si>
  <si>
    <t xml:space="preserve"> LINE</t>
  </si>
  <si>
    <t xml:space="preserve"> Midea Group Co.</t>
  </si>
  <si>
    <t xml:space="preserve"> MKaNN</t>
  </si>
  <si>
    <t xml:space="preserve"> Nomura Holdings</t>
  </si>
  <si>
    <t xml:space="preserve"> Orange</t>
  </si>
  <si>
    <t xml:space="preserve"> Pear</t>
  </si>
  <si>
    <t xml:space="preserve"> Sompo Japan Nipponkoa Insurance</t>
  </si>
  <si>
    <t xml:space="preserve"> Tencent Holdings</t>
  </si>
  <si>
    <t xml:space="preserve"> Walden Venture Capital</t>
  </si>
  <si>
    <t xml:space="preserve"> Atlantic Labs</t>
  </si>
  <si>
    <t xml:space="preserve"> Cayuga Venture Fund</t>
  </si>
  <si>
    <t xml:space="preserve"> Christophe Maire</t>
  </si>
  <si>
    <t xml:space="preserve"> DH Private Equity Partners</t>
  </si>
  <si>
    <t xml:space="preserve"> Eniac Ventures</t>
  </si>
  <si>
    <t xml:space="preserve"> German Startups Group</t>
  </si>
  <si>
    <t xml:space="preserve"> Spotify</t>
  </si>
  <si>
    <t xml:space="preserve"> The Raine Group</t>
  </si>
  <si>
    <t>Addor Capital</t>
  </si>
  <si>
    <t xml:space="preserve"> Frees Fund</t>
  </si>
  <si>
    <t xml:space="preserve"> Linekong Interactive Group Company</t>
  </si>
  <si>
    <t xml:space="preserve"> Runzhe Capital</t>
  </si>
  <si>
    <t>AccelFoods</t>
  </si>
  <si>
    <t xml:space="preserve"> FedEx</t>
  </si>
  <si>
    <t>In-Q-Tel</t>
  </si>
  <si>
    <t xml:space="preserve"> KCK Group</t>
  </si>
  <si>
    <t xml:space="preserve"> Panasonic Ventures</t>
  </si>
  <si>
    <t xml:space="preserve"> Tsuha Capital</t>
  </si>
  <si>
    <t>East Gate Capital Management</t>
  </si>
  <si>
    <t xml:space="preserve"> H&amp;Q Asia Pacific</t>
  </si>
  <si>
    <t xml:space="preserve"> Newlight Management</t>
  </si>
  <si>
    <t xml:space="preserve"> Omninet Capital</t>
  </si>
  <si>
    <t xml:space="preserve"> Pacesetter Capital</t>
  </si>
  <si>
    <t xml:space="preserve"> Partners for Growth</t>
  </si>
  <si>
    <t xml:space="preserve"> Phoenix Partners</t>
  </si>
  <si>
    <t xml:space="preserve"> Smart Technology Ventures</t>
  </si>
  <si>
    <t xml:space="preserve"> Spinnaker Ventures</t>
  </si>
  <si>
    <t xml:space="preserve"> Toshiba</t>
  </si>
  <si>
    <t>Air Liquide Venture Capital</t>
  </si>
  <si>
    <t xml:space="preserve"> BASF Venture Capital</t>
  </si>
  <si>
    <t xml:space="preserve"> Bright Capital</t>
  </si>
  <si>
    <t xml:space="preserve"> Emissions Reduction Alberta</t>
  </si>
  <si>
    <t xml:space="preserve"> Lafarge</t>
  </si>
  <si>
    <t xml:space="preserve"> Oil and Gas Climate Initiative</t>
  </si>
  <si>
    <t>Anderson Investments</t>
  </si>
  <si>
    <t xml:space="preserve"> Massachusetts Clean Energy Center</t>
  </si>
  <si>
    <t xml:space="preserve"> North Shore InnoVentures</t>
  </si>
  <si>
    <t xml:space="preserve"> Vertex Ventures China</t>
  </si>
  <si>
    <t>A123 Systems</t>
  </si>
  <si>
    <t xml:space="preserve"> Colorado Office of Economic Development &amp; International Trade</t>
  </si>
  <si>
    <t xml:space="preserve"> Ford</t>
  </si>
  <si>
    <t xml:space="preserve"> Innosphere</t>
  </si>
  <si>
    <t xml:space="preserve"> Missile Defense Agency/Air Force</t>
  </si>
  <si>
    <t xml:space="preserve"> Sanoh Industrial Company</t>
  </si>
  <si>
    <t xml:space="preserve"> Solvay Ventures</t>
  </si>
  <si>
    <t xml:space="preserve"> Volta Energy Technologies</t>
  </si>
  <si>
    <t xml:space="preserve"> Africa Enterprise Challenge Fund</t>
  </si>
  <si>
    <t xml:space="preserve"> Invested Development</t>
  </si>
  <si>
    <t xml:space="preserve"> NovaStar Ventures</t>
  </si>
  <si>
    <t xml:space="preserve"> SpringHill Equity Partners</t>
  </si>
  <si>
    <t xml:space="preserve"> UK Aid</t>
  </si>
  <si>
    <t xml:space="preserve"> Arvato</t>
  </si>
  <si>
    <t xml:space="preserve"> Banco Bilbao Vizcaya Argentaria</t>
  </si>
  <si>
    <t xml:space="preserve"> FinLeap</t>
  </si>
  <si>
    <t xml:space="preserve"> Hegus</t>
  </si>
  <si>
    <t xml:space="preserve"> IONIQ</t>
  </si>
  <si>
    <t xml:space="preserve"> Maria Pennanen</t>
  </si>
  <si>
    <t xml:space="preserve"> SBI Holdings</t>
  </si>
  <si>
    <t xml:space="preserve"> UniCredit</t>
  </si>
  <si>
    <t xml:space="preserve"> Yabeo Capital</t>
  </si>
  <si>
    <t>Acacia Capital Partners</t>
  </si>
  <si>
    <t xml:space="preserve"> Accel</t>
  </si>
  <si>
    <t xml:space="preserve"> Anthem Venture Partners</t>
  </si>
  <si>
    <t xml:space="preserve"> Miramar Ventures</t>
  </si>
  <si>
    <t xml:space="preserve"> Oak Investment Partners</t>
  </si>
  <si>
    <t xml:space="preserve"> Windward Ventures</t>
  </si>
  <si>
    <t xml:space="preserve"> Xilinx</t>
  </si>
  <si>
    <t>Ben Tarbell</t>
  </si>
  <si>
    <t xml:space="preserve"> Core Innovation Capital</t>
  </si>
  <si>
    <t xml:space="preserve"> Donald Hutchison</t>
  </si>
  <si>
    <t xml:space="preserve"> J.D. Fagan</t>
  </si>
  <si>
    <t xml:space="preserve"> Jesse Rasch</t>
  </si>
  <si>
    <t xml:space="preserve"> Matt Henderson</t>
  </si>
  <si>
    <t xml:space="preserve"> MD Pham</t>
  </si>
  <si>
    <t xml:space="preserve"> Michael Hennessey</t>
  </si>
  <si>
    <t xml:space="preserve"> Regenerative Investment</t>
  </si>
  <si>
    <t xml:space="preserve"> Spring Ventures (London)</t>
  </si>
  <si>
    <t xml:space="preserve"> Village Capital</t>
  </si>
  <si>
    <t xml:space="preserve"> Yun-Fang Juan</t>
  </si>
  <si>
    <t xml:space="preserve"> Great Elm Capital</t>
  </si>
  <si>
    <t xml:space="preserve"> Startive Ventures</t>
  </si>
  <si>
    <t xml:space="preserve"> WashingtonVC</t>
  </si>
  <si>
    <t xml:space="preserve"> Calibrate Ventures</t>
  </si>
  <si>
    <t xml:space="preserve"> Honeywell Ventures</t>
  </si>
  <si>
    <t xml:space="preserve"> Material Impact Fund</t>
  </si>
  <si>
    <t xml:space="preserve"> Taylor Ventures</t>
  </si>
  <si>
    <t xml:space="preserve"> Yamaha Motor</t>
  </si>
  <si>
    <t>Ares Capital</t>
  </si>
  <si>
    <t xml:space="preserve"> Fairhaven Capital Partners</t>
  </si>
  <si>
    <t xml:space="preserve"> Joshua Stylman</t>
  </si>
  <si>
    <t xml:space="preserve"> Michael Lazerow</t>
  </si>
  <si>
    <t xml:space="preserve"> Peter Hershberg</t>
  </si>
  <si>
    <t xml:space="preserve"> Rand Capital</t>
  </si>
  <si>
    <t xml:space="preserve"> Hawaii Angels</t>
  </si>
  <si>
    <t xml:space="preserve"> Intervale Capital</t>
  </si>
  <si>
    <t xml:space="preserve"> Kolohala Ventures</t>
  </si>
  <si>
    <t xml:space="preserve"> Phoenix Venture Partners</t>
  </si>
  <si>
    <t xml:space="preserve"> CTIA Startup Lab</t>
  </si>
  <si>
    <t xml:space="preserve"> GrowthX</t>
  </si>
  <si>
    <t xml:space="preserve"> JFE Accelerator</t>
  </si>
  <si>
    <t xml:space="preserve"> XRC Labs</t>
  </si>
  <si>
    <t>Alibaba Capital Partners</t>
  </si>
  <si>
    <t xml:space="preserve"> Bennett Coleman and Company</t>
  </si>
  <si>
    <t xml:space="preserve"> BlackRock Private Equity Partners</t>
  </si>
  <si>
    <t xml:space="preserve"> Brand Capital</t>
  </si>
  <si>
    <t xml:space="preserve"> Brother Fortune Apparel</t>
  </si>
  <si>
    <t xml:space="preserve"> Clouse</t>
  </si>
  <si>
    <t xml:space="preserve"> eBay</t>
  </si>
  <si>
    <t xml:space="preserve"> IndoUS Venture Partners</t>
  </si>
  <si>
    <t xml:space="preserve"> Iron Pillar</t>
  </si>
  <si>
    <t xml:space="preserve"> Kalaari Capital</t>
  </si>
  <si>
    <t xml:space="preserve"> Myriad Group</t>
  </si>
  <si>
    <t xml:space="preserve"> Nexus Venture Partners</t>
  </si>
  <si>
    <t xml:space="preserve"> Premji Invest</t>
  </si>
  <si>
    <t xml:space="preserve"> Ratan Tata</t>
  </si>
  <si>
    <t xml:space="preserve"> Saama Capital India Advisors</t>
  </si>
  <si>
    <t xml:space="preserve"> Sequoia Capital India</t>
  </si>
  <si>
    <t xml:space="preserve"> Tybourne Capital Management</t>
  </si>
  <si>
    <t>Clark Enterprises</t>
  </si>
  <si>
    <t xml:space="preserve"> Jean Case</t>
  </si>
  <si>
    <t xml:space="preserve"> Robert G. Hisaoka</t>
  </si>
  <si>
    <t xml:space="preserve"> Terry Semel</t>
  </si>
  <si>
    <t xml:space="preserve"> The Case Foundation</t>
  </si>
  <si>
    <t xml:space="preserve"> Weekapaug Partners</t>
  </si>
  <si>
    <t>Claremont Creek Ventures</t>
  </si>
  <si>
    <t xml:space="preserve"> Costella Kirsch</t>
  </si>
  <si>
    <t xml:space="preserve"> Crest Capital Ventures</t>
  </si>
  <si>
    <t xml:space="preserve"> Cue Ball</t>
  </si>
  <si>
    <t xml:space="preserve"> Javelin Venture Partners</t>
  </si>
  <si>
    <t xml:space="preserve"> REach Accelerator</t>
  </si>
  <si>
    <t xml:space="preserve"> Second Century Ventures</t>
  </si>
  <si>
    <t>Arash Shiva</t>
  </si>
  <si>
    <t xml:space="preserve"> Breakwater Management</t>
  </si>
  <si>
    <t xml:space="preserve"> Kishore Ganji</t>
  </si>
  <si>
    <t xml:space="preserve"> Lei Dei</t>
  </si>
  <si>
    <t xml:space="preserve"> Morgan Stanley Expansion Capital</t>
  </si>
  <si>
    <t xml:space="preserve"> North Castle Partners</t>
  </si>
  <si>
    <t xml:space="preserve"> Tao Zhang</t>
  </si>
  <si>
    <t xml:space="preserve"> Thomas Varghese</t>
  </si>
  <si>
    <t>Dubilier &amp; Company</t>
  </si>
  <si>
    <t xml:space="preserve"> FTV Capital</t>
  </si>
  <si>
    <t>Counterview Capital</t>
  </si>
  <si>
    <t xml:space="preserve"> Rajeev Batra</t>
  </si>
  <si>
    <t xml:space="preserve"> Rembrandt Venture Partners</t>
  </si>
  <si>
    <t xml:space="preserve"> Rick Marini</t>
  </si>
  <si>
    <t xml:space="preserve"> Guojin Capital</t>
  </si>
  <si>
    <t xml:space="preserve"> Shenzhen Qihang Capital Investment Fund Management</t>
  </si>
  <si>
    <t xml:space="preserve"> Bridge Link Capital</t>
  </si>
  <si>
    <t xml:space="preserve"> Green Pine Capital Partners</t>
  </si>
  <si>
    <t xml:space="preserve"> Heuristic Capital Partners</t>
  </si>
  <si>
    <t xml:space="preserve"> Rizwan Virk</t>
  </si>
  <si>
    <t xml:space="preserve"> Sparkland Capital</t>
  </si>
  <si>
    <t xml:space="preserve"> UpHonest Capital</t>
  </si>
  <si>
    <t>Horizons Ventures</t>
  </si>
  <si>
    <t xml:space="preserve"> Munich Re/HSB Ventures</t>
  </si>
  <si>
    <t xml:space="preserve"> The Co-operators</t>
  </si>
  <si>
    <t xml:space="preserve"> XL Innovate</t>
  </si>
  <si>
    <t>Amadeus Capital Partners</t>
  </si>
  <si>
    <t xml:space="preserve"> MMC Ventures</t>
  </si>
  <si>
    <t xml:space="preserve"> Touchstone Innovations</t>
  </si>
  <si>
    <t>Allen &amp; Company</t>
  </si>
  <si>
    <t xml:space="preserve"> American Public Media</t>
  </si>
  <si>
    <t xml:space="preserve"> Cox Media Group</t>
  </si>
  <si>
    <t xml:space="preserve"> Florida Gulfshore Capital</t>
  </si>
  <si>
    <t xml:space="preserve"> John Landry</t>
  </si>
  <si>
    <t xml:space="preserve"> Lead Dog Ventures</t>
  </si>
  <si>
    <t xml:space="preserve"> Pilot House Associates</t>
  </si>
  <si>
    <t xml:space="preserve"> Progress Ventures</t>
  </si>
  <si>
    <t xml:space="preserve"> S&amp;P Global</t>
  </si>
  <si>
    <t xml:space="preserve"> Southern California Public Radio</t>
  </si>
  <si>
    <t xml:space="preserve"> F2 Capital</t>
  </si>
  <si>
    <t xml:space="preserve"> Hartford InsurTech Hub</t>
  </si>
  <si>
    <t xml:space="preserve"> Kaedan Capital</t>
  </si>
  <si>
    <t>Accelerate Michigan Innovation Competition</t>
  </si>
  <si>
    <t xml:space="preserve"> Amherst Fund</t>
  </si>
  <si>
    <t xml:space="preserve"> Capital Midwest Fund</t>
  </si>
  <si>
    <t xml:space="preserve"> Dakota Venture Group</t>
  </si>
  <si>
    <t xml:space="preserve"> Huron River Ventures</t>
  </si>
  <si>
    <t xml:space="preserve"> IncWell</t>
  </si>
  <si>
    <t xml:space="preserve"> Invest Detroit Ventures</t>
  </si>
  <si>
    <t xml:space="preserve"> Invest Michigan</t>
  </si>
  <si>
    <t xml:space="preserve"> Michigan Angel Fund</t>
  </si>
  <si>
    <t xml:space="preserve"> Venture Investors</t>
  </si>
  <si>
    <t>Flightradar24</t>
  </si>
  <si>
    <t>FundersClub</t>
  </si>
  <si>
    <t xml:space="preserve"> GMO VenturePartners</t>
  </si>
  <si>
    <t xml:space="preserve"> Govtech Fund</t>
  </si>
  <si>
    <t xml:space="preserve"> Hemi Ventures</t>
  </si>
  <si>
    <t xml:space="preserve"> Jiguang</t>
  </si>
  <si>
    <t xml:space="preserve"> Kevin Mahaffey</t>
  </si>
  <si>
    <t xml:space="preserve"> Mandra Capital</t>
  </si>
  <si>
    <t xml:space="preserve"> Matthew Bellamy</t>
  </si>
  <si>
    <t xml:space="preserve"> Pi Campus</t>
  </si>
  <si>
    <t xml:space="preserve"> ServiceNow Ventures</t>
  </si>
  <si>
    <t xml:space="preserve"> Shu Duan</t>
  </si>
  <si>
    <t xml:space="preserve"> The Dcode Group</t>
  </si>
  <si>
    <t xml:space="preserve"> Wei Guo</t>
  </si>
  <si>
    <t>Airbus</t>
  </si>
  <si>
    <t xml:space="preserve"> AngelSquare</t>
  </si>
  <si>
    <t xml:space="preserve"> Bragel Brothers</t>
  </si>
  <si>
    <t xml:space="preserve"> David Gurlé</t>
  </si>
  <si>
    <t xml:space="preserve"> Incubateur Iot Valley</t>
  </si>
  <si>
    <t xml:space="preserve"> Off The Grid Ventures</t>
  </si>
  <si>
    <t xml:space="preserve"> Starburst Aerospace</t>
  </si>
  <si>
    <t xml:space="preserve"> Kevin Durant</t>
  </si>
  <si>
    <t>ICONIQ Capital</t>
  </si>
  <si>
    <t xml:space="preserve"> Marlin Equity Partners</t>
  </si>
  <si>
    <t>Campbell Scientific</t>
  </si>
  <si>
    <t xml:space="preserve"> Cottonwood Technology Fund</t>
  </si>
  <si>
    <t xml:space="preserve"> Deutsche Telekom Capital Partners</t>
  </si>
  <si>
    <t xml:space="preserve"> New Mexico Economic Development Department</t>
  </si>
  <si>
    <t xml:space="preserve"> Nokia Networks</t>
  </si>
  <si>
    <t xml:space="preserve"> Scotiabank Private Equity</t>
  </si>
  <si>
    <t xml:space="preserve"> Semtech</t>
  </si>
  <si>
    <t xml:space="preserve"> Square 1 Bank</t>
  </si>
  <si>
    <t xml:space="preserve"> Alexander Hoye</t>
  </si>
  <si>
    <t xml:space="preserve"> Barney Pell</t>
  </si>
  <si>
    <t xml:space="preserve"> Duncan Jennings</t>
  </si>
  <si>
    <t xml:space="preserve"> Forum Foundry</t>
  </si>
  <si>
    <t xml:space="preserve"> Forward Partners</t>
  </si>
  <si>
    <t xml:space="preserve"> Frog Capital</t>
  </si>
  <si>
    <t xml:space="preserve"> Hironori Maeda</t>
  </si>
  <si>
    <t xml:space="preserve"> Nesta</t>
  </si>
  <si>
    <t xml:space="preserve"> Richard Jalichandra</t>
  </si>
  <si>
    <t xml:space="preserve"> Robin Klein</t>
  </si>
  <si>
    <t xml:space="preserve"> Sussex Place Ventures</t>
  </si>
  <si>
    <t xml:space="preserve"> The Acceleration Group</t>
  </si>
  <si>
    <t xml:space="preserve"> The International Conclave of Entrepreneurs</t>
  </si>
  <si>
    <t xml:space="preserve"> Agman Partners</t>
  </si>
  <si>
    <t xml:space="preserve"> Andy Miller</t>
  </si>
  <si>
    <t xml:space="preserve"> Arizona Bay</t>
  </si>
  <si>
    <t xml:space="preserve"> ATEL Capital Group</t>
  </si>
  <si>
    <t xml:space="preserve"> Bridge Bank</t>
  </si>
  <si>
    <t xml:space="preserve"> Marc Lasry</t>
  </si>
  <si>
    <t xml:space="preserve"> Pro Rata Opportunity Fund</t>
  </si>
  <si>
    <t xml:space="preserve"> The Kraft Family Foundation</t>
  </si>
  <si>
    <t xml:space="preserve"> Wildcat Capital Management</t>
  </si>
  <si>
    <t>Garage Technology Ventures</t>
  </si>
  <si>
    <t>Energize Ventures</t>
  </si>
  <si>
    <t xml:space="preserve"> National Grid</t>
  </si>
  <si>
    <t xml:space="preserve"> National Grid Partners</t>
  </si>
  <si>
    <t xml:space="preserve"> Wells Fargo</t>
  </si>
  <si>
    <t>B37 Ventures</t>
  </si>
  <si>
    <t xml:space="preserve"> Boeing</t>
  </si>
  <si>
    <t xml:space="preserve"> Kuan Capital</t>
  </si>
  <si>
    <t xml:space="preserve"> Network Society Ventures</t>
  </si>
  <si>
    <t xml:space="preserve"> PeopleFund</t>
  </si>
  <si>
    <t xml:space="preserve"> Tal Education Group</t>
  </si>
  <si>
    <t xml:space="preserve"> The Halo Fund</t>
  </si>
  <si>
    <t xml:space="preserve"> WestRiver Group</t>
  </si>
  <si>
    <t>Norwest Venture Partners</t>
  </si>
  <si>
    <t xml:space="preserve"> Simplion Technologies</t>
  </si>
  <si>
    <t>Alan Hall</t>
  </si>
  <si>
    <t xml:space="preserve"> Christopher Pitzak</t>
  </si>
  <si>
    <t xml:space="preserve"> Eric Morgan</t>
  </si>
  <si>
    <t xml:space="preserve"> Godard Abel</t>
  </si>
  <si>
    <t xml:space="preserve"> Infinite Investments</t>
  </si>
  <si>
    <t xml:space="preserve"> Joshua James</t>
  </si>
  <si>
    <t xml:space="preserve"> JW Capital</t>
  </si>
  <si>
    <t xml:space="preserve"> Kensington Capital Ventures</t>
  </si>
  <si>
    <t xml:space="preserve"> Kent Madsen</t>
  </si>
  <si>
    <t xml:space="preserve"> PreludeDx</t>
  </si>
  <si>
    <t xml:space="preserve"> Savano Capital Partners</t>
  </si>
  <si>
    <t xml:space="preserve"> Travis Johnson</t>
  </si>
  <si>
    <t>Agile Wings</t>
  </si>
  <si>
    <t xml:space="preserve"> Bitmain</t>
  </si>
  <si>
    <t xml:space="preserve"> Cumberland Mining</t>
  </si>
  <si>
    <t xml:space="preserve"> iAngels</t>
  </si>
  <si>
    <t xml:space="preserve"> Israel Innovation Authority</t>
  </si>
  <si>
    <t xml:space="preserve"> Tunistic Capital</t>
  </si>
  <si>
    <t xml:space="preserve"> Yaron Lemelbaum</t>
  </si>
  <si>
    <t xml:space="preserve"> Born2Grow</t>
  </si>
  <si>
    <t xml:space="preserve"> Florian Schulte</t>
  </si>
  <si>
    <t xml:space="preserve"> Gebrüder Mende</t>
  </si>
  <si>
    <t xml:space="preserve"> Gröger Management</t>
  </si>
  <si>
    <t xml:space="preserve"> KfW IPEX-Bank</t>
  </si>
  <si>
    <t xml:space="preserve"> ODDO BHF Group</t>
  </si>
  <si>
    <t xml:space="preserve"> Rakuten Capital</t>
  </si>
  <si>
    <t xml:space="preserve"> Rheingau Founders</t>
  </si>
  <si>
    <t xml:space="preserve"> Rudolf Gröger</t>
  </si>
  <si>
    <t xml:space="preserve"> Tokio Marine Holdings</t>
  </si>
  <si>
    <t>JCI Venture</t>
  </si>
  <si>
    <t xml:space="preserve"> SATUS Venture</t>
  </si>
  <si>
    <t>Pamlico Capital</t>
  </si>
  <si>
    <t>Air Liquide Global E&amp;C Solutions Germany</t>
  </si>
  <si>
    <t xml:space="preserve"> Alexandria Real Estate Equities</t>
  </si>
  <si>
    <t xml:space="preserve"> Alloy Ventures</t>
  </si>
  <si>
    <t xml:space="preserve"> Bock Family Ventures</t>
  </si>
  <si>
    <t xml:space="preserve"> California Institute for Quantitative Biosciences</t>
  </si>
  <si>
    <t xml:space="preserve"> Individual</t>
  </si>
  <si>
    <t xml:space="preserve"> Lighthouse Capital Partners</t>
  </si>
  <si>
    <t xml:space="preserve"> Maire Tecnimont</t>
  </si>
  <si>
    <t xml:space="preserve"> National Petrochemical Industrial Company</t>
  </si>
  <si>
    <t xml:space="preserve"> Wellcome Trust</t>
  </si>
  <si>
    <t xml:space="preserve"> Equinor Technology Ventures</t>
  </si>
  <si>
    <t xml:space="preserve"> Lime Rock Partners</t>
  </si>
  <si>
    <t xml:space="preserve"> ATL</t>
  </si>
  <si>
    <t xml:space="preserve"> Chengwei Capital</t>
  </si>
  <si>
    <t xml:space="preserve"> Contemporary Amperex Technology</t>
  </si>
  <si>
    <t xml:space="preserve"> Intuitive Private Equity</t>
  </si>
  <si>
    <t xml:space="preserve"> Riot Ventures</t>
  </si>
  <si>
    <t>Andrew Jennings</t>
  </si>
  <si>
    <t xml:space="preserve"> Andrew Phillipps</t>
  </si>
  <si>
    <t xml:space="preserve"> Frontline Ventures</t>
  </si>
  <si>
    <t xml:space="preserve"> GMG Ventures</t>
  </si>
  <si>
    <t xml:space="preserve"> Jonathan Goodwin</t>
  </si>
  <si>
    <t xml:space="preserve"> Jonathan Moulton</t>
  </si>
  <si>
    <t xml:space="preserve"> Kreos Capital</t>
  </si>
  <si>
    <t xml:space="preserve"> Perscitus</t>
  </si>
  <si>
    <t xml:space="preserve"> Rahul Powar</t>
  </si>
  <si>
    <t xml:space="preserve"> Samos Investments</t>
  </si>
  <si>
    <t xml:space="preserve"> E.ON Strategic Co-Investments</t>
  </si>
  <si>
    <t xml:space="preserve"> eLab Ventures</t>
  </si>
  <si>
    <t xml:space="preserve"> LS Holdings</t>
  </si>
  <si>
    <t xml:space="preserve"> Mercury Fund</t>
  </si>
  <si>
    <t xml:space="preserve"> Momenta Partners</t>
  </si>
  <si>
    <t xml:space="preserve"> Musketeer Capital</t>
  </si>
  <si>
    <t xml:space="preserve"> O'Reilly AlphaTech Ventures</t>
  </si>
  <si>
    <t xml:space="preserve"> Third Shore Group</t>
  </si>
  <si>
    <t xml:space="preserve"> Two Roads Group</t>
  </si>
  <si>
    <t>Air Liquide</t>
  </si>
  <si>
    <t xml:space="preserve"> Air Liquide Venture Capital</t>
  </si>
  <si>
    <t xml:space="preserve"> Alto Invest</t>
  </si>
  <si>
    <t xml:space="preserve"> Elaia Partners</t>
  </si>
  <si>
    <t xml:space="preserve"> Elliott Management</t>
  </si>
  <si>
    <t xml:space="preserve"> ENGIE New Ventures</t>
  </si>
  <si>
    <t xml:space="preserve"> Eutelsat Communications</t>
  </si>
  <si>
    <t xml:space="preserve"> Fonds Ambition Numerérique</t>
  </si>
  <si>
    <t xml:space="preserve"> Henri Seydoux</t>
  </si>
  <si>
    <t xml:space="preserve"> iXO Private Equity</t>
  </si>
  <si>
    <t xml:space="preserve"> Khazanah Nasional</t>
  </si>
  <si>
    <t xml:space="preserve"> Nubbo</t>
  </si>
  <si>
    <t xml:space="preserve"> Omnes Capital</t>
  </si>
  <si>
    <t xml:space="preserve"> SK Telecom</t>
  </si>
  <si>
    <t xml:space="preserve"> SWEN Capital Partners</t>
  </si>
  <si>
    <t xml:space="preserve"> Tamer Group</t>
  </si>
  <si>
    <t xml:space="preserve"> Telefónica Ventures</t>
  </si>
  <si>
    <t>Chengwei Capital</t>
  </si>
  <si>
    <t xml:space="preserve"> Huami</t>
  </si>
  <si>
    <t xml:space="preserve"> Osage University Partners</t>
  </si>
  <si>
    <t>Empower Investment (China)</t>
  </si>
  <si>
    <t xml:space="preserve"> LG Technology Ventures</t>
  </si>
  <si>
    <t xml:space="preserve"> Peacock Capital</t>
  </si>
  <si>
    <t>Activant Capital Group</t>
  </si>
  <si>
    <t xml:space="preserve"> Brian McLoughlin</t>
  </si>
  <si>
    <t xml:space="preserve"> Contour Venture Partners</t>
  </si>
  <si>
    <t xml:space="preserve"> First Data</t>
  </si>
  <si>
    <t xml:space="preserve"> Horizon Technology Finance</t>
  </si>
  <si>
    <t xml:space="preserve"> Thayer Street Partners</t>
  </si>
  <si>
    <t xml:space="preserve"> Thomas Glocer</t>
  </si>
  <si>
    <t xml:space="preserve"> TTV Capital</t>
  </si>
  <si>
    <t xml:space="preserve"> Keith Nilsson</t>
  </si>
  <si>
    <t xml:space="preserve"> Robert Tinker</t>
  </si>
  <si>
    <t xml:space="preserve"> Bluestein &amp; Associates</t>
  </si>
  <si>
    <t xml:space="preserve"> BoomStartup</t>
  </si>
  <si>
    <t xml:space="preserve"> Harbor Street Ventures</t>
  </si>
  <si>
    <t xml:space="preserve"> Hyde Park Angels</t>
  </si>
  <si>
    <t xml:space="preserve"> Joseph Montana</t>
  </si>
  <si>
    <t xml:space="preserve"> Network Ventures</t>
  </si>
  <si>
    <t xml:space="preserve"> NFQ Technologies</t>
  </si>
  <si>
    <t xml:space="preserve"> Reynolds and Company Venture Partners</t>
  </si>
  <si>
    <t xml:space="preserve"> Russell Long</t>
  </si>
  <si>
    <t xml:space="preserve"> Sohin Shah</t>
  </si>
  <si>
    <t xml:space="preserve"> StartCaps Ventures</t>
  </si>
  <si>
    <t>BBG Ventures</t>
  </si>
  <si>
    <t xml:space="preserve"> Betaworks Ventures</t>
  </si>
  <si>
    <t xml:space="preserve"> Felix Capital</t>
  </si>
  <si>
    <t xml:space="preserve"> Grape Arbor VC</t>
  </si>
  <si>
    <t>Catapult Chicago</t>
  </si>
  <si>
    <t xml:space="preserve"> Dundee Venture Capital</t>
  </si>
  <si>
    <t xml:space="preserve"> Fabrice Grinda</t>
  </si>
  <si>
    <t xml:space="preserve"> FireStarter Fund</t>
  </si>
  <si>
    <t xml:space="preserve"> Garland Capital Group</t>
  </si>
  <si>
    <t xml:space="preserve"> Jumpstart Ventures</t>
  </si>
  <si>
    <t xml:space="preserve"> KGC Capital</t>
  </si>
  <si>
    <t xml:space="preserve"> Red Barn Investments</t>
  </si>
  <si>
    <t xml:space="preserve"> Renren</t>
  </si>
  <si>
    <t xml:space="preserve"> Wicklow Capital</t>
  </si>
  <si>
    <t xml:space="preserve"> William Blair &amp; Company</t>
  </si>
  <si>
    <t>ChinaRock Capital Management</t>
  </si>
  <si>
    <t>Adam Nash</t>
  </si>
  <si>
    <t xml:space="preserve"> Alexandra Herbert</t>
  </si>
  <si>
    <t xml:space="preserve"> Amtrust Ventures</t>
  </si>
  <si>
    <t xml:space="preserve"> Angela Zäh</t>
  </si>
  <si>
    <t xml:space="preserve"> Apostolos Apostolakis</t>
  </si>
  <si>
    <t xml:space="preserve"> Ben Davenport</t>
  </si>
  <si>
    <t xml:space="preserve"> Brian Pokorny</t>
  </si>
  <si>
    <t xml:space="preserve"> Bryant Stibel</t>
  </si>
  <si>
    <t xml:space="preserve"> Charlie Neiman</t>
  </si>
  <si>
    <t xml:space="preserve"> Chris Barton</t>
  </si>
  <si>
    <t xml:space="preserve"> Craig Isakow</t>
  </si>
  <si>
    <t xml:space="preserve"> David Friedberg</t>
  </si>
  <si>
    <t xml:space="preserve"> David Roeske</t>
  </si>
  <si>
    <t xml:space="preserve"> Dennis Phelps</t>
  </si>
  <si>
    <t xml:space="preserve"> Elizabeth Hamrick</t>
  </si>
  <si>
    <t xml:space="preserve"> Eva Ho</t>
  </si>
  <si>
    <t xml:space="preserve"> Jing Chen</t>
  </si>
  <si>
    <t xml:space="preserve"> Julie Chin</t>
  </si>
  <si>
    <t xml:space="preserve"> Kyle Lui</t>
  </si>
  <si>
    <t xml:space="preserve"> Lithia Motors</t>
  </si>
  <si>
    <t xml:space="preserve"> Mark Jamison</t>
  </si>
  <si>
    <t xml:space="preserve"> Natala Menezes</t>
  </si>
  <si>
    <t xml:space="preserve"> Neil Mehta</t>
  </si>
  <si>
    <t xml:space="preserve"> Nick Grabenstein</t>
  </si>
  <si>
    <t xml:space="preserve"> Panayiotis Papadopoulos</t>
  </si>
  <si>
    <t xml:space="preserve"> Stephanie Hannon</t>
  </si>
  <si>
    <t xml:space="preserve"> Sumit Agarwal</t>
  </si>
  <si>
    <t xml:space="preserve"> Northpond Ventures</t>
  </si>
  <si>
    <t xml:space="preserve"> Open Philanthropy Project</t>
  </si>
  <si>
    <t xml:space="preserve"> Carefirst of Maryland</t>
  </si>
  <si>
    <t xml:space="preserve"> Claritas Capital</t>
  </si>
  <si>
    <t xml:space="preserve"> Clayton Associates</t>
  </si>
  <si>
    <t xml:space="preserve"> Discovery Communications Ventures</t>
  </si>
  <si>
    <t xml:space="preserve"> Galen Partners</t>
  </si>
  <si>
    <t xml:space="preserve"> Harbert Credit Solutions</t>
  </si>
  <si>
    <t xml:space="preserve"> Hartford Funds</t>
  </si>
  <si>
    <t xml:space="preserve"> Heritage Group</t>
  </si>
  <si>
    <t xml:space="preserve"> InvestMichigan! Program</t>
  </si>
  <si>
    <t xml:space="preserve"> New Evolution Ventures</t>
  </si>
  <si>
    <t xml:space="preserve"> Swiss Re Alternative Assets</t>
  </si>
  <si>
    <t xml:space="preserve"> The Trinity Health</t>
  </si>
  <si>
    <t xml:space="preserve"> TomorrowVentures</t>
  </si>
  <si>
    <t xml:space="preserve"> UNC Kenan-Flagler Private Equity Fund</t>
  </si>
  <si>
    <t>3D Printing Ventures</t>
  </si>
  <si>
    <t xml:space="preserve"> Inkef Capital</t>
  </si>
  <si>
    <t xml:space="preserve"> Partnership for New York City</t>
  </si>
  <si>
    <t>AllegisCyber</t>
  </si>
  <si>
    <t xml:space="preserve"> Baseline Ventures</t>
  </si>
  <si>
    <t xml:space="preserve"> Crops Inc</t>
  </si>
  <si>
    <t xml:space="preserve"> David Carter</t>
  </si>
  <si>
    <t xml:space="preserve"> Eric Schmidt</t>
  </si>
  <si>
    <t xml:space="preserve"> Kevin Mandia</t>
  </si>
  <si>
    <t xml:space="preserve"> Northern Light Venture Capital</t>
  </si>
  <si>
    <t xml:space="preserve"> Raging Capital Management</t>
  </si>
  <si>
    <t xml:space="preserve"> Robert Ackerman</t>
  </si>
  <si>
    <t xml:space="preserve"> Top Tier Capital Partners</t>
  </si>
  <si>
    <t>BHG Long Hills Capital</t>
  </si>
  <si>
    <t xml:space="preserve"> CDH Investments</t>
  </si>
  <si>
    <t xml:space="preserve"> Hearst Communications</t>
  </si>
  <si>
    <t xml:space="preserve"> Hike Capital</t>
  </si>
  <si>
    <t xml:space="preserve"> Hualian Group</t>
  </si>
  <si>
    <t xml:space="preserve"> Kunwu Jiuding Capital</t>
  </si>
  <si>
    <t xml:space="preserve"> Lighthouse Ventures</t>
  </si>
  <si>
    <t xml:space="preserve"> N5Capital</t>
  </si>
  <si>
    <t xml:space="preserve"> Prometheus Capital Partners</t>
  </si>
  <si>
    <t xml:space="preserve"> Shihaisong Capital</t>
  </si>
  <si>
    <t xml:space="preserve"> Tiantu Capital</t>
  </si>
  <si>
    <t xml:space="preserve"> V Star Capital</t>
  </si>
  <si>
    <t xml:space="preserve"> WestSummit Capital</t>
  </si>
  <si>
    <t xml:space="preserve"> Yi Capital</t>
  </si>
  <si>
    <t>Cultivation Capital</t>
  </si>
  <si>
    <t xml:space="preserve"> Holton Capital Group</t>
  </si>
  <si>
    <t xml:space="preserve"> Missouri Technology</t>
  </si>
  <si>
    <t xml:space="preserve"> Transdev</t>
  </si>
  <si>
    <t>Fast Track Asia</t>
  </si>
  <si>
    <t xml:space="preserve"> Smilegate Investment</t>
  </si>
  <si>
    <t xml:space="preserve"> SoftBank Ventures Asia</t>
  </si>
  <si>
    <t xml:space="preserve"> Wonik Investment Partners</t>
  </si>
  <si>
    <t>Flagship Pioneering</t>
  </si>
  <si>
    <t xml:space="preserve"> Ionis Pharmaceuticals</t>
  </si>
  <si>
    <t xml:space="preserve"> Laboratory Corporation of America Holdings</t>
  </si>
  <si>
    <t xml:space="preserve"> Novartis Venture Fund</t>
  </si>
  <si>
    <t xml:space="preserve"> Polaris Partners</t>
  </si>
  <si>
    <t xml:space="preserve"> Siemens Financial Services</t>
  </si>
  <si>
    <t xml:space="preserve"> Third Rock Ventures</t>
  </si>
  <si>
    <t>Adam Rothenberg</t>
  </si>
  <si>
    <t xml:space="preserve"> Chasella</t>
  </si>
  <si>
    <t xml:space="preserve"> Kathy Reilly</t>
  </si>
  <si>
    <t xml:space="preserve"> Michael Breault</t>
  </si>
  <si>
    <t xml:space="preserve"> Shawn Kolodny</t>
  </si>
  <si>
    <t xml:space="preserve"> Elm Ridge Capital Management</t>
  </si>
  <si>
    <t xml:space="preserve"> Fortress Investment Group</t>
  </si>
  <si>
    <t xml:space="preserve"> M/C Partners</t>
  </si>
  <si>
    <t xml:space="preserve"> SAIF Partners</t>
  </si>
  <si>
    <t xml:space="preserve"> Porsche Automobil Holding</t>
  </si>
  <si>
    <t xml:space="preserve"> CRV</t>
  </si>
  <si>
    <t xml:space="preserve"> LogMeIn</t>
  </si>
  <si>
    <t xml:space="preserve"> Everstone Capital</t>
  </si>
  <si>
    <t xml:space="preserve"> Solmark</t>
  </si>
  <si>
    <t xml:space="preserve"> Lead Edge Capital</t>
  </si>
  <si>
    <t xml:space="preserve"> TriSpan Partners</t>
  </si>
  <si>
    <t>Frost Capital Group</t>
  </si>
  <si>
    <t xml:space="preserve"> Frost Data Capital</t>
  </si>
  <si>
    <t xml:space="preserve"> Gordon Clemons</t>
  </si>
  <si>
    <t xml:space="preserve"> Jim Brandt</t>
  </si>
  <si>
    <t xml:space="preserve"> Kami Parsa</t>
  </si>
  <si>
    <t xml:space="preserve"> LH Ventures</t>
  </si>
  <si>
    <t xml:space="preserve"> Michael Green</t>
  </si>
  <si>
    <t xml:space="preserve"> Singularity University</t>
  </si>
  <si>
    <t xml:space="preserve"> Tan Rezaei</t>
  </si>
  <si>
    <t xml:space="preserve"> Tech Coast Angels</t>
  </si>
  <si>
    <t xml:space="preserve"> Vincent Elsevier</t>
  </si>
  <si>
    <t xml:space="preserve"> Westway Capital</t>
  </si>
  <si>
    <t xml:space="preserve"> Andreas Von Bechtolsheim</t>
  </si>
  <si>
    <t xml:space="preserve"> UpWest Labs</t>
  </si>
  <si>
    <t xml:space="preserve"> Eric Di Benedetto</t>
  </si>
  <si>
    <t xml:space="preserve"> NJF Capital</t>
  </si>
  <si>
    <t xml:space="preserve"> Tata Communications</t>
  </si>
  <si>
    <t>Duval Union CVBA</t>
  </si>
  <si>
    <t xml:space="preserve"> GGM Capital</t>
  </si>
  <si>
    <t xml:space="preserve"> KPN Ventures</t>
  </si>
  <si>
    <t xml:space="preserve"> NOVA Participations</t>
  </si>
  <si>
    <t xml:space="preserve"> Pamica</t>
  </si>
  <si>
    <t xml:space="preserve"> Qbic Fund</t>
  </si>
  <si>
    <t xml:space="preserve"> Seamless Accelerator</t>
  </si>
  <si>
    <t xml:space="preserve"> Triggers</t>
  </si>
  <si>
    <t xml:space="preserve"> Volta Ventures</t>
  </si>
  <si>
    <t>Fuse Capital</t>
  </si>
  <si>
    <t xml:space="preserve"> Gruener Ventures</t>
  </si>
  <si>
    <t xml:space="preserve"> Voyager Capital</t>
  </si>
  <si>
    <t xml:space="preserve"> Chaos Investment</t>
  </si>
  <si>
    <t xml:space="preserve"> New World Development</t>
  </si>
  <si>
    <t xml:space="preserve"> Ariel Poler</t>
  </si>
  <si>
    <t xml:space="preserve"> Pejman Nozad</t>
  </si>
  <si>
    <t xml:space="preserve"> Inlandsinnovation</t>
  </si>
  <si>
    <t xml:space="preserve"> Innovations' Accelerator</t>
  </si>
  <si>
    <t xml:space="preserve"> Investa Företagskapital</t>
  </si>
  <si>
    <t xml:space="preserve"> New Cosmos Electric</t>
  </si>
  <si>
    <t xml:space="preserve"> Vinnova Programme Sustainable Production Technology</t>
  </si>
  <si>
    <t xml:space="preserve"> Congruent Ventures</t>
  </si>
  <si>
    <t xml:space="preserve"> Creative Ventures</t>
  </si>
  <si>
    <t xml:space="preserve"> IDEA Fund Partners</t>
  </si>
  <si>
    <t xml:space="preserve"> Capricorn Investment Group</t>
  </si>
  <si>
    <t xml:space="preserve"> iRobot Ventures</t>
  </si>
  <si>
    <t xml:space="preserve"> Landis+Gyr</t>
  </si>
  <si>
    <t xml:space="preserve"> Arpa-E</t>
  </si>
  <si>
    <t xml:space="preserve"> Global Venture Capital</t>
  </si>
  <si>
    <t xml:space="preserve"> Halo Companies</t>
  </si>
  <si>
    <t xml:space="preserve"> IllinoisVENTURES</t>
  </si>
  <si>
    <t xml:space="preserve"> John Regan</t>
  </si>
  <si>
    <t xml:space="preserve"> Morgan Creek Capital Management</t>
  </si>
  <si>
    <t xml:space="preserve"> National Renewable Energy Laboratory</t>
  </si>
  <si>
    <t xml:space="preserve"> Union Grove Venture Partners</t>
  </si>
  <si>
    <t xml:space="preserve"> X-FAB Semiconductor Foundries</t>
  </si>
  <si>
    <t xml:space="preserve"> HV Holtzbrinck Ventures</t>
  </si>
  <si>
    <t xml:space="preserve"> Project A</t>
  </si>
  <si>
    <t>Benjamin Lerer</t>
  </si>
  <si>
    <t xml:space="preserve"> Eric Porres</t>
  </si>
  <si>
    <t>BrookPark Holdings</t>
  </si>
  <si>
    <t xml:space="preserve"> Emanuel Mond</t>
  </si>
  <si>
    <t xml:space="preserve"> Lee Olesky</t>
  </si>
  <si>
    <t xml:space="preserve"> Mark Faulkner</t>
  </si>
  <si>
    <t xml:space="preserve"> Roger Ehrenberg</t>
  </si>
  <si>
    <t xml:space="preserve"> Sharon Rowlands</t>
  </si>
  <si>
    <t xml:space="preserve"> Startups@KSTC</t>
  </si>
  <si>
    <t xml:space="preserve"> VisionTech Partners</t>
  </si>
  <si>
    <t xml:space="preserve"> XLerateHealth</t>
  </si>
  <si>
    <t xml:space="preserve"> Clear Fir Partners</t>
  </si>
  <si>
    <t xml:space="preserve"> Second Avenue Partners</t>
  </si>
  <si>
    <t>Blue Sky Capital</t>
  </si>
  <si>
    <t xml:space="preserve"> BMO Financial Group</t>
  </si>
  <si>
    <t xml:space="preserve"> CIBC Capital Markets</t>
  </si>
  <si>
    <t xml:space="preserve"> Command Control and Interoperability Center for Advanced Data Analytics</t>
  </si>
  <si>
    <t xml:space="preserve"> Desjardins Group</t>
  </si>
  <si>
    <t xml:space="preserve"> Digital ID and Authentication Council of Canada</t>
  </si>
  <si>
    <t xml:space="preserve"> Discover</t>
  </si>
  <si>
    <t xml:space="preserve"> Royal Bank of Canada</t>
  </si>
  <si>
    <t xml:space="preserve"> Scotiabank</t>
  </si>
  <si>
    <t xml:space="preserve"> TD Bank Group</t>
  </si>
  <si>
    <t>Andy Rappaport</t>
  </si>
  <si>
    <t xml:space="preserve"> Becky Hammon</t>
  </si>
  <si>
    <t xml:space="preserve"> Mark Stevens</t>
  </si>
  <si>
    <t xml:space="preserve"> Paul Christensen</t>
  </si>
  <si>
    <t xml:space="preserve"> Ross Levinsohn</t>
  </si>
  <si>
    <t xml:space="preserve"> Steve Bornstein</t>
  </si>
  <si>
    <t xml:space="preserve"> Steve Pagliuca</t>
  </si>
  <si>
    <t xml:space="preserve"> Steven Ballmer</t>
  </si>
  <si>
    <t xml:space="preserve"> Trifecta Capital Partners</t>
  </si>
  <si>
    <t xml:space="preserve"> USC Viterbi School of Engineering</t>
  </si>
  <si>
    <t>El Al Airlines</t>
  </si>
  <si>
    <t xml:space="preserve"> Founder Institute</t>
  </si>
  <si>
    <t xml:space="preserve"> Opus Faveo Innovation Development</t>
  </si>
  <si>
    <t xml:space="preserve"> TechNexus Venture Collaborative</t>
  </si>
  <si>
    <t xml:space="preserve"> TLV Partners</t>
  </si>
  <si>
    <t>Axel Springer (Germany)</t>
  </si>
  <si>
    <t xml:space="preserve"> Gannett Company</t>
  </si>
  <si>
    <t xml:space="preserve"> New York Times Digital</t>
  </si>
  <si>
    <t xml:space="preserve"> News Corp (Australia)</t>
  </si>
  <si>
    <t>Capital Factory</t>
  </si>
  <si>
    <t xml:space="preserve"> Drummond Road Capital</t>
  </si>
  <si>
    <t xml:space="preserve"> ProAirus</t>
  </si>
  <si>
    <t xml:space="preserve"> Richard King</t>
  </si>
  <si>
    <t xml:space="preserve"> Techammer</t>
  </si>
  <si>
    <t xml:space="preserve"> Zapis Capital Group</t>
  </si>
  <si>
    <t>3one4 Capital</t>
  </si>
  <si>
    <t xml:space="preserve"> 500 Startups</t>
  </si>
  <si>
    <t xml:space="preserve"> Andrea Weiss</t>
  </si>
  <si>
    <t xml:space="preserve"> Asha Jadeja Motwani</t>
  </si>
  <si>
    <t xml:space="preserve"> Elevate Innovation Partners</t>
  </si>
  <si>
    <t xml:space="preserve"> Global Reach Investments</t>
  </si>
  <si>
    <t xml:space="preserve"> Margaret Atkins</t>
  </si>
  <si>
    <t xml:space="preserve"> Michael Seibel</t>
  </si>
  <si>
    <t xml:space="preserve"> Ray Bradford</t>
  </si>
  <si>
    <t xml:space="preserve"> Social Capital</t>
  </si>
  <si>
    <t xml:space="preserve"> David Ko</t>
  </si>
  <si>
    <t xml:space="preserve"> Jeffrey Johnson</t>
  </si>
  <si>
    <t xml:space="preserve"> Richard Thompson</t>
  </si>
  <si>
    <t xml:space="preserve"> Zachary Weinberg</t>
  </si>
  <si>
    <t>Brown Brothers Harriman Capital Partners</t>
  </si>
  <si>
    <t xml:space="preserve"> Greenlight Capital</t>
  </si>
  <si>
    <t xml:space="preserve"> Aviv Garten</t>
  </si>
  <si>
    <t xml:space="preserve"> Ilan Israelstam</t>
  </si>
  <si>
    <t xml:space="preserve"> LIP Ventures Boutique</t>
  </si>
  <si>
    <t xml:space="preserve"> Mistral Equity Partners</t>
  </si>
  <si>
    <t xml:space="preserve"> Qihoo 360 Technology</t>
  </si>
  <si>
    <t xml:space="preserve"> Spruce Capital Partners</t>
  </si>
  <si>
    <t xml:space="preserve"> Xeraya Capital</t>
  </si>
  <si>
    <t>Baroda Ventures</t>
  </si>
  <si>
    <t xml:space="preserve"> Blue Bright Ventures</t>
  </si>
  <si>
    <t xml:space="preserve"> Jonathan Miller</t>
  </si>
  <si>
    <t xml:space="preserve"> Rustic Canyon Partners</t>
  </si>
  <si>
    <t xml:space="preserve"> Smith Family Circle</t>
  </si>
  <si>
    <t xml:space="preserve"> Venture Kick</t>
  </si>
  <si>
    <t>Axel Japan Investment</t>
  </si>
  <si>
    <t xml:space="preserve"> Daiwa Corporate Investment</t>
  </si>
  <si>
    <t xml:space="preserve"> Itochu Finance</t>
  </si>
  <si>
    <t xml:space="preserve"> Marubeni</t>
  </si>
  <si>
    <t xml:space="preserve"> Meiji Capital</t>
  </si>
  <si>
    <t xml:space="preserve"> Next Hands-on Partners</t>
  </si>
  <si>
    <t xml:space="preserve"> Risk Monsters</t>
  </si>
  <si>
    <t xml:space="preserve"> Yasuda Business Investment</t>
  </si>
  <si>
    <t xml:space="preserve"> Rock Hankin</t>
  </si>
  <si>
    <t xml:space="preserve"> TEL Venture Capital</t>
  </si>
  <si>
    <t>Eastward Capital Partners</t>
  </si>
  <si>
    <t xml:space="preserve"> SGS</t>
  </si>
  <si>
    <t xml:space="preserve"> FlexTronics</t>
  </si>
  <si>
    <t xml:space="preserve"> Centerview Capital Technology</t>
  </si>
  <si>
    <t xml:space="preserve"> Hack VC</t>
  </si>
  <si>
    <t xml:space="preserve"> The Contrarian Group</t>
  </si>
  <si>
    <t xml:space="preserve"> Triage Ventures</t>
  </si>
  <si>
    <t>CTW Venture Partners</t>
  </si>
  <si>
    <t>ARCH Venture Partners</t>
  </si>
  <si>
    <t xml:space="preserve"> ArrowMark Partners</t>
  </si>
  <si>
    <t xml:space="preserve"> Black Point Group</t>
  </si>
  <si>
    <t xml:space="preserve"> Cascade Investment</t>
  </si>
  <si>
    <t xml:space="preserve"> Energy &amp; Environment Investment</t>
  </si>
  <si>
    <t xml:space="preserve"> Innovation Network Corporation of Japan</t>
  </si>
  <si>
    <t xml:space="preserve"> Japan Post Capital</t>
  </si>
  <si>
    <t xml:space="preserve"> Nikkei Digital Media</t>
  </si>
  <si>
    <t xml:space="preserve"> The Japan Times</t>
  </si>
  <si>
    <t>A&amp;E Television Networks</t>
  </si>
  <si>
    <t xml:space="preserve"> Ambition.vc</t>
  </si>
  <si>
    <t xml:space="preserve"> David Marquardt</t>
  </si>
  <si>
    <t xml:space="preserve"> Richard Yoo</t>
  </si>
  <si>
    <t xml:space="preserve"> Ronald Bouganim</t>
  </si>
  <si>
    <t xml:space="preserve"> The Interpublic Group of Companies</t>
  </si>
  <si>
    <t xml:space="preserve"> Thomas McInerney</t>
  </si>
  <si>
    <t xml:space="preserve"> Xenia Venture Capital</t>
  </si>
  <si>
    <t>Alberta Innovates</t>
  </si>
  <si>
    <t xml:space="preserve"> British Columbia Ministry of Economic Development</t>
  </si>
  <si>
    <t xml:space="preserve"> Cenovus Energy</t>
  </si>
  <si>
    <t xml:space="preserve"> ConocoPhillips Technology Ventures</t>
  </si>
  <si>
    <t xml:space="preserve"> New Ventures BC</t>
  </si>
  <si>
    <t xml:space="preserve"> Teck Resources</t>
  </si>
  <si>
    <t xml:space="preserve"> WUTIF Capital</t>
  </si>
  <si>
    <t>Mobile Internet Capital</t>
  </si>
  <si>
    <t xml:space="preserve"> Shinsei Bank</t>
  </si>
  <si>
    <t>Eden Rock Group</t>
  </si>
  <si>
    <t xml:space="preserve"> Frontive Holding</t>
  </si>
  <si>
    <t xml:space="preserve"> MCAAA Holding</t>
  </si>
  <si>
    <t>General Motors</t>
  </si>
  <si>
    <t xml:space="preserve"> Liuzhou Wuling Motors</t>
  </si>
  <si>
    <t xml:space="preserve"> Cross Atlantic Capital Partners</t>
  </si>
  <si>
    <t>Bunge Ventures</t>
  </si>
  <si>
    <t xml:space="preserve"> City Light Capital</t>
  </si>
  <si>
    <t xml:space="preserve"> I-GATE Innovation Hub</t>
  </si>
  <si>
    <t xml:space="preserve"> Spero Ventures</t>
  </si>
  <si>
    <t xml:space="preserve"> Tuscan Management</t>
  </si>
  <si>
    <t xml:space="preserve"> CAV Angels</t>
  </si>
  <si>
    <t xml:space="preserve"> Harbert Management</t>
  </si>
  <si>
    <t xml:space="preserve"> NightDragon Security</t>
  </si>
  <si>
    <t>Kaedan Capital</t>
  </si>
  <si>
    <t xml:space="preserve"> Leon Waisbein</t>
  </si>
  <si>
    <t xml:space="preserve"> Marius Nacht</t>
  </si>
  <si>
    <t xml:space="preserve"> StageOne Ventures</t>
  </si>
  <si>
    <t>EIT Digital</t>
  </si>
  <si>
    <t xml:space="preserve"> Nemetschek Group</t>
  </si>
  <si>
    <t xml:space="preserve"> Basis Set Ventures</t>
  </si>
  <si>
    <t xml:space="preserve"> Jose Cong</t>
  </si>
  <si>
    <t xml:space="preserve"> SV Tech Ventures</t>
  </si>
  <si>
    <t>Cabify</t>
  </si>
  <si>
    <t xml:space="preserve"> Nubank</t>
  </si>
  <si>
    <t xml:space="preserve"> Tekton Ventures</t>
  </si>
  <si>
    <t xml:space="preserve"> The We Company</t>
  </si>
  <si>
    <t>Avondhu IFL</t>
  </si>
  <si>
    <t xml:space="preserve"> Paul Coburn</t>
  </si>
  <si>
    <t xml:space="preserve"> Exponential Partners</t>
  </si>
  <si>
    <t xml:space="preserve"> Brown Advisory</t>
  </si>
  <si>
    <t xml:space="preserve"> Johns Hopkins University Endowment</t>
  </si>
  <si>
    <t xml:space="preserve"> Kormeli</t>
  </si>
  <si>
    <t xml:space="preserve"> Philly Startup Leaders</t>
  </si>
  <si>
    <t xml:space="preserve"> The Abell Foundation</t>
  </si>
  <si>
    <t xml:space="preserve"> TMC Innovation</t>
  </si>
  <si>
    <t xml:space="preserve"> Dentons</t>
  </si>
  <si>
    <t xml:space="preserve"> Dream Maker Ventures</t>
  </si>
  <si>
    <t xml:space="preserve"> Hedgewood</t>
  </si>
  <si>
    <t xml:space="preserve"> Nextlaw Ventures</t>
  </si>
  <si>
    <t xml:space="preserve"> Nicolas Pinto</t>
  </si>
  <si>
    <t xml:space="preserve"> TheFamily</t>
  </si>
  <si>
    <t>Cross Atlantic Capital Partners</t>
  </si>
  <si>
    <t xml:space="preserve"> Montage Capital</t>
  </si>
  <si>
    <t xml:space="preserve"> Nest.Bio Ventures</t>
  </si>
  <si>
    <t xml:space="preserve"> Volcanics Venture</t>
  </si>
  <si>
    <t>Hard Yaka</t>
  </si>
  <si>
    <t xml:space="preserve"> Jotter Investment</t>
  </si>
  <si>
    <t xml:space="preserve"> Rocket Venture Fund</t>
  </si>
  <si>
    <t xml:space="preserve"> Scott Heller</t>
  </si>
  <si>
    <t xml:space="preserve"> University of Toledo Foundation</t>
  </si>
  <si>
    <t xml:space="preserve"> btov Partners</t>
  </si>
  <si>
    <t xml:space="preserve"> Vattenfall</t>
  </si>
  <si>
    <t xml:space="preserve"> Yellow&amp;Blue</t>
  </si>
  <si>
    <t>Deloitte</t>
  </si>
  <si>
    <t xml:space="preserve"> Ely Keskus</t>
  </si>
  <si>
    <t xml:space="preserve"> European Union</t>
  </si>
  <si>
    <t xml:space="preserve"> Finnvera</t>
  </si>
  <si>
    <t xml:space="preserve"> Repsol Energy Ventures</t>
  </si>
  <si>
    <t xml:space="preserve"> Takeoff Partners</t>
  </si>
  <si>
    <t xml:space="preserve"> Cianna Capital</t>
  </si>
  <si>
    <t xml:space="preserve"> Engineering and Physical Sciences Research Council</t>
  </si>
  <si>
    <t xml:space="preserve"> Morningside Group</t>
  </si>
  <si>
    <t xml:space="preserve"> Rockley Group (Oxford)</t>
  </si>
  <si>
    <t xml:space="preserve"> University of Southampton</t>
  </si>
  <si>
    <t>Accident Compensation Corporation</t>
  </si>
  <si>
    <t xml:space="preserve"> Australia Future Fund</t>
  </si>
  <si>
    <t xml:space="preserve"> Callaghan Innovation</t>
  </si>
  <si>
    <t xml:space="preserve"> K1W1</t>
  </si>
  <si>
    <t xml:space="preserve"> Mark Rocket</t>
  </si>
  <si>
    <t>Callaghan Innovation</t>
  </si>
  <si>
    <t xml:space="preserve"> Ministry of Business Innovation and Employment</t>
  </si>
  <si>
    <t xml:space="preserve"> T&amp;G Foods</t>
  </si>
  <si>
    <t xml:space="preserve"> University of Auckland</t>
  </si>
  <si>
    <t xml:space="preserve"> Waikato University</t>
  </si>
  <si>
    <t xml:space="preserve"> Kickstart Seed Fund</t>
  </si>
  <si>
    <t xml:space="preserve"> Beichang Investment</t>
  </si>
  <si>
    <t xml:space="preserve"> Panda Capital Asia</t>
  </si>
  <si>
    <t xml:space="preserve"> Zhi Neng Dian Wang Venture Capital</t>
  </si>
  <si>
    <t>Ashu Garg</t>
  </si>
  <si>
    <t xml:space="preserve"> Cambrian Ventures</t>
  </si>
  <si>
    <t xml:space="preserve"> CloudScale Capital Partners</t>
  </si>
  <si>
    <t xml:space="preserve"> Dave Stevens</t>
  </si>
  <si>
    <t xml:space="preserve"> DN Capital</t>
  </si>
  <si>
    <t xml:space="preserve"> Farooq Abbasi</t>
  </si>
  <si>
    <t xml:space="preserve"> Fred van den Bosch</t>
  </si>
  <si>
    <t xml:space="preserve"> Raj Sandhu</t>
  </si>
  <si>
    <t xml:space="preserve"> Steve Schlenker</t>
  </si>
  <si>
    <t xml:space="preserve"> USAA Ventures</t>
  </si>
  <si>
    <t xml:space="preserve"> Allegion Ventures</t>
  </si>
  <si>
    <t xml:space="preserve"> Autodesk Ventures</t>
  </si>
  <si>
    <t xml:space="preserve"> Brennan White</t>
  </si>
  <si>
    <t xml:space="preserve"> FirstMark Capital</t>
  </si>
  <si>
    <t xml:space="preserve"> FundFire</t>
  </si>
  <si>
    <t xml:space="preserve"> Herman Miller</t>
  </si>
  <si>
    <t xml:space="preserve"> Konica Minolta</t>
  </si>
  <si>
    <t xml:space="preserve"> Matt Peters</t>
  </si>
  <si>
    <t xml:space="preserve"> Space Pirates</t>
  </si>
  <si>
    <t xml:space="preserve"> Tola Capital</t>
  </si>
  <si>
    <t xml:space="preserve"> Tony Kriesel</t>
  </si>
  <si>
    <t xml:space="preserve"> Trani Capital</t>
  </si>
  <si>
    <t xml:space="preserve"> Walter Danco</t>
  </si>
  <si>
    <t xml:space="preserve"> R7 Partners</t>
  </si>
  <si>
    <t xml:space="preserve"> Venture Investment Associates</t>
  </si>
  <si>
    <t>Alan Schwartz</t>
  </si>
  <si>
    <t xml:space="preserve"> Christopher Bridges</t>
  </si>
  <si>
    <t xml:space="preserve"> David Bonderman</t>
  </si>
  <si>
    <t xml:space="preserve"> H. Barton Asset Management</t>
  </si>
  <si>
    <t xml:space="preserve"> Mellon Serbia</t>
  </si>
  <si>
    <t xml:space="preserve"> QuarterMoore</t>
  </si>
  <si>
    <t xml:space="preserve"> The Home Depot</t>
  </si>
  <si>
    <t xml:space="preserve"> Thomas Noonan</t>
  </si>
  <si>
    <t xml:space="preserve"> UPS Strategic Enterprise Fund</t>
  </si>
  <si>
    <t xml:space="preserve"> Warren Stephens</t>
  </si>
  <si>
    <t>Applied Venture Capital</t>
  </si>
  <si>
    <t xml:space="preserve"> Mark Rosenblatt</t>
  </si>
  <si>
    <t xml:space="preserve"> Violin Systems</t>
  </si>
  <si>
    <t>CenturyLink</t>
  </si>
  <si>
    <t xml:space="preserve"> Lakewood &amp; Company</t>
  </si>
  <si>
    <t xml:space="preserve"> Paladin Capital Group</t>
  </si>
  <si>
    <t xml:space="preserve"> Spring Mountain Capital</t>
  </si>
  <si>
    <t>2020 Ventures</t>
  </si>
  <si>
    <t xml:space="preserve"> Abstract Ventures</t>
  </si>
  <si>
    <t xml:space="preserve"> Camp One Ventures</t>
  </si>
  <si>
    <t xml:space="preserve"> Celtic Media Group</t>
  </si>
  <si>
    <t xml:space="preserve"> Digital Ventures (Bangkok)</t>
  </si>
  <si>
    <t xml:space="preserve"> Ed Roman</t>
  </si>
  <si>
    <t xml:space="preserve"> Explorer Equity Group</t>
  </si>
  <si>
    <t xml:space="preserve"> Kaplan Group Investments</t>
  </si>
  <si>
    <t xml:space="preserve"> NKM Capital</t>
  </si>
  <si>
    <t xml:space="preserve"> Ramesh Haridas</t>
  </si>
  <si>
    <t xml:space="preserve"> Rosemoor Capital</t>
  </si>
  <si>
    <t xml:space="preserve"> SC Ventures</t>
  </si>
  <si>
    <t xml:space="preserve"> ThirdStream Partners</t>
  </si>
  <si>
    <t xml:space="preserve"> Tower Equity</t>
  </si>
  <si>
    <t xml:space="preserve"> Vast Ventures</t>
  </si>
  <si>
    <t xml:space="preserve"> Vikas Taneja</t>
  </si>
  <si>
    <t>Ascolta Ventures</t>
  </si>
  <si>
    <t xml:space="preserve"> Bruce Scott</t>
  </si>
  <si>
    <t xml:space="preserve"> Chris Kemp</t>
  </si>
  <si>
    <t xml:space="preserve"> Comet Labs</t>
  </si>
  <si>
    <t xml:space="preserve"> Jon Callas</t>
  </si>
  <si>
    <t xml:space="preserve"> Steve Wozniak</t>
  </si>
  <si>
    <t>Accelerator Ventures</t>
  </si>
  <si>
    <t xml:space="preserve"> Arena Ventures</t>
  </si>
  <si>
    <t xml:space="preserve"> Aslanoba Capital</t>
  </si>
  <si>
    <t xml:space="preserve"> Hasan Aslanoba</t>
  </si>
  <si>
    <t xml:space="preserve"> Jared Luxenberg</t>
  </si>
  <si>
    <t xml:space="preserve"> Jeff Enquist</t>
  </si>
  <si>
    <t xml:space="preserve"> Joshua Langsam</t>
  </si>
  <si>
    <t xml:space="preserve"> Lance White</t>
  </si>
  <si>
    <t xml:space="preserve"> Lisa Sweeney</t>
  </si>
  <si>
    <t xml:space="preserve"> Llana Stern</t>
  </si>
  <si>
    <t xml:space="preserve"> Matt Wilsey</t>
  </si>
  <si>
    <t xml:space="preserve"> Mesa Ventures</t>
  </si>
  <si>
    <t xml:space="preserve"> Musha Ventures</t>
  </si>
  <si>
    <t xml:space="preserve"> Oliver Nordlinger</t>
  </si>
  <si>
    <t xml:space="preserve"> Paul Janzer</t>
  </si>
  <si>
    <t xml:space="preserve"> Peter Livingston</t>
  </si>
  <si>
    <t xml:space="preserve"> Sorush Abboud</t>
  </si>
  <si>
    <t xml:space="preserve"> Will Bressman</t>
  </si>
  <si>
    <t xml:space="preserve"> Brooklyn Bridge Ventures</t>
  </si>
  <si>
    <t xml:space="preserve"> Highway1</t>
  </si>
  <si>
    <t xml:space="preserve"> PCH</t>
  </si>
  <si>
    <t xml:space="preserve"> Silas Capital</t>
  </si>
  <si>
    <t xml:space="preserve"> Wareness Studio</t>
  </si>
  <si>
    <t xml:space="preserve"> William McClelland</t>
  </si>
  <si>
    <t xml:space="preserve"> Steven Berger</t>
  </si>
  <si>
    <t>GreenSky Capital</t>
  </si>
  <si>
    <t>Andras Forgacs</t>
  </si>
  <si>
    <t xml:space="preserve"> Bioeconomy Capital</t>
  </si>
  <si>
    <t xml:space="preserve"> Tyson Hendricksen</t>
  </si>
  <si>
    <t xml:space="preserve"> Una Ryan</t>
  </si>
  <si>
    <t xml:space="preserve"> Waters</t>
  </si>
  <si>
    <t>Graph Ventures</t>
  </si>
  <si>
    <t xml:space="preserve"> ST Engineering Ventures</t>
  </si>
  <si>
    <t xml:space="preserve"> Ally Ventures</t>
  </si>
  <si>
    <t xml:space="preserve"> Mark Platshon</t>
  </si>
  <si>
    <t xml:space="preserve"> Michael Granoff</t>
  </si>
  <si>
    <t xml:space="preserve"> Navneet Dalal</t>
  </si>
  <si>
    <t xml:space="preserve"> Penske Media</t>
  </si>
  <si>
    <t xml:space="preserve"> Japan Asia Investment</t>
  </si>
  <si>
    <t xml:space="preserve"> Mobile Internet Capital</t>
  </si>
  <si>
    <t xml:space="preserve"> Affinity link</t>
  </si>
  <si>
    <t xml:space="preserve"> Baylor Angel Network</t>
  </si>
  <si>
    <t xml:space="preserve"> Blueberry Ventures</t>
  </si>
  <si>
    <t xml:space="preserve"> Concho Valley Angel Network</t>
  </si>
  <si>
    <t xml:space="preserve"> Juice Investments</t>
  </si>
  <si>
    <t>270 Strategies</t>
  </si>
  <si>
    <t xml:space="preserve"> Andrew Bleeker</t>
  </si>
  <si>
    <t xml:space="preserve"> Bradley Crate</t>
  </si>
  <si>
    <t xml:space="preserve"> Bruce Nilson</t>
  </si>
  <si>
    <t xml:space="preserve"> Chris Kelly</t>
  </si>
  <si>
    <t xml:space="preserve"> Drew Perkins</t>
  </si>
  <si>
    <t xml:space="preserve"> Evan Goldberg</t>
  </si>
  <si>
    <t xml:space="preserve"> Harris Barton</t>
  </si>
  <si>
    <t xml:space="preserve"> Jeremy Bird</t>
  </si>
  <si>
    <t xml:space="preserve"> Joe Rospars</t>
  </si>
  <si>
    <t xml:space="preserve"> Joe Trippi</t>
  </si>
  <si>
    <t xml:space="preserve"> John Riccitiello</t>
  </si>
  <si>
    <t xml:space="preserve"> John Shallman</t>
  </si>
  <si>
    <t xml:space="preserve"> John Simms</t>
  </si>
  <si>
    <t xml:space="preserve"> John Yob</t>
  </si>
  <si>
    <t xml:space="preserve"> Lily Sarafan</t>
  </si>
  <si>
    <t xml:space="preserve"> Max Schireson</t>
  </si>
  <si>
    <t xml:space="preserve"> Michael Beach</t>
  </si>
  <si>
    <t xml:space="preserve"> Reid Hoffman</t>
  </si>
  <si>
    <t xml:space="preserve"> Ronald Lott</t>
  </si>
  <si>
    <t xml:space="preserve"> Royal Street Ventures</t>
  </si>
  <si>
    <t xml:space="preserve"> Sean Parker</t>
  </si>
  <si>
    <t xml:space="preserve"> Steven Luczo</t>
  </si>
  <si>
    <t xml:space="preserve"> Todd Bradley</t>
  </si>
  <si>
    <t xml:space="preserve"> Vertical Strategies Consulting</t>
  </si>
  <si>
    <t xml:space="preserve"> WPP</t>
  </si>
  <si>
    <t xml:space="preserve"> WPP Luxembourg Gamma Three</t>
  </si>
  <si>
    <t xml:space="preserve"> Zac Moffat</t>
  </si>
  <si>
    <t>Andy Donner</t>
  </si>
  <si>
    <t xml:space="preserve"> ARB</t>
  </si>
  <si>
    <t xml:space="preserve"> Catamount Ventures</t>
  </si>
  <si>
    <t xml:space="preserve"> Christina LaMontagne</t>
  </si>
  <si>
    <t xml:space="preserve"> Eric Quick</t>
  </si>
  <si>
    <t xml:space="preserve"> John Danner</t>
  </si>
  <si>
    <t xml:space="preserve"> NewSchools Venture Fund</t>
  </si>
  <si>
    <t xml:space="preserve"> NGEN Partners</t>
  </si>
  <si>
    <t xml:space="preserve"> Nuveen Investments</t>
  </si>
  <si>
    <t xml:space="preserve"> PaoCapital</t>
  </si>
  <si>
    <t xml:space="preserve"> Patrick Fitzgerald</t>
  </si>
  <si>
    <t xml:space="preserve"> Physic Ventures</t>
  </si>
  <si>
    <t xml:space="preserve"> Seth Miller</t>
  </si>
  <si>
    <t xml:space="preserve"> The TCW Group</t>
  </si>
  <si>
    <t xml:space="preserve"> Tory Patterson</t>
  </si>
  <si>
    <t xml:space="preserve"> Tracy Barba</t>
  </si>
  <si>
    <t xml:space="preserve"> Unilever Ventures</t>
  </si>
  <si>
    <t xml:space="preserve"> William Rosenzweig</t>
  </si>
  <si>
    <t>Bill Tai</t>
  </si>
  <si>
    <t xml:space="preserve"> Elliot Richmond</t>
  </si>
  <si>
    <t xml:space="preserve"> Frank Jarolimek-Proner</t>
  </si>
  <si>
    <t xml:space="preserve"> frogVentures</t>
  </si>
  <si>
    <t xml:space="preserve"> James Lindenbaum</t>
  </si>
  <si>
    <t xml:space="preserve"> Kizoo Technology Ventures</t>
  </si>
  <si>
    <t xml:space="preserve"> Luma Launch</t>
  </si>
  <si>
    <t xml:space="preserve"> Ruvento Ventures</t>
  </si>
  <si>
    <t xml:space="preserve"> Moonshots Capital</t>
  </si>
  <si>
    <t xml:space="preserve"> Stage Venture Partners</t>
  </si>
  <si>
    <t>Build Ventures</t>
  </si>
  <si>
    <t xml:space="preserve"> East Valley Ventures</t>
  </si>
  <si>
    <t xml:space="preserve"> Mahindra &amp; Mahindra</t>
  </si>
  <si>
    <t xml:space="preserve"> McCain Foods</t>
  </si>
  <si>
    <t xml:space="preserve"> New Brunswick Innovation Foundation</t>
  </si>
  <si>
    <t xml:space="preserve"> Planet Hatch</t>
  </si>
  <si>
    <t xml:space="preserve"> PropelICT</t>
  </si>
  <si>
    <t xml:space="preserve"> Rho Canada Ventures</t>
  </si>
  <si>
    <t xml:space="preserve"> The Pond-Deshpande Centre</t>
  </si>
  <si>
    <t>Bright Success Capital</t>
  </si>
  <si>
    <t xml:space="preserve"> Inventus Capital Partners</t>
  </si>
  <si>
    <t xml:space="preserve"> Springboard Enterprises</t>
  </si>
  <si>
    <t xml:space="preserve"> Supply Chain Ventures</t>
  </si>
  <si>
    <t xml:space="preserve"> Advance Publications</t>
  </si>
  <si>
    <t xml:space="preserve"> Advance Venture Partners</t>
  </si>
  <si>
    <t xml:space="preserve"> Bain Capital</t>
  </si>
  <si>
    <t xml:space="preserve"> Blue Pool Capital</t>
  </si>
  <si>
    <t xml:space="preserve"> Condé Nast</t>
  </si>
  <si>
    <t xml:space="preserve"> Gil Penchina</t>
  </si>
  <si>
    <t xml:space="preserve"> Hamilton Lane</t>
  </si>
  <si>
    <t xml:space="preserve"> Nurzhas Makishev</t>
  </si>
  <si>
    <t xml:space="preserve"> TriplePoint Venture Growth</t>
  </si>
  <si>
    <t>Intact Ventures</t>
  </si>
  <si>
    <t xml:space="preserve"> Synapse Partners</t>
  </si>
  <si>
    <t>Hitachi High-Technologies</t>
  </si>
  <si>
    <t xml:space="preserve"> Innovacorp</t>
  </si>
  <si>
    <t xml:space="preserve"> Mks Instruments</t>
  </si>
  <si>
    <t xml:space="preserve"> Xipu Hanxin</t>
  </si>
  <si>
    <t xml:space="preserve"> David Haas</t>
  </si>
  <si>
    <t xml:space="preserve"> Waste Management</t>
  </si>
  <si>
    <t xml:space="preserve"> William Gates</t>
  </si>
  <si>
    <t xml:space="preserve"> Code For America</t>
  </si>
  <si>
    <t>Barry Sternlicht</t>
  </si>
  <si>
    <t xml:space="preserve"> C.V. Starr &amp; Company</t>
  </si>
  <si>
    <t xml:space="preserve"> David Komansky</t>
  </si>
  <si>
    <t xml:space="preserve"> Ernest Pomerantz</t>
  </si>
  <si>
    <t xml:space="preserve"> Gaspar Global Ventures</t>
  </si>
  <si>
    <t xml:space="preserve"> Harvey Golub</t>
  </si>
  <si>
    <t xml:space="preserve"> Henry Kravis</t>
  </si>
  <si>
    <t xml:space="preserve"> Kenneth Langone</t>
  </si>
  <si>
    <t xml:space="preserve"> Loeb Partners</t>
  </si>
  <si>
    <t xml:space="preserve"> MacAndrews &amp; Forbes</t>
  </si>
  <si>
    <t xml:space="preserve"> RIT Capital Partners</t>
  </si>
  <si>
    <t xml:space="preserve"> Ronald Burkle</t>
  </si>
  <si>
    <t xml:space="preserve"> Stanley Druckenmiller</t>
  </si>
  <si>
    <t xml:space="preserve"> Stephen Luczo</t>
  </si>
  <si>
    <t xml:space="preserve"> TABLE Holdings</t>
  </si>
  <si>
    <t xml:space="preserve"> Weld North</t>
  </si>
  <si>
    <t xml:space="preserve"> William Rudin</t>
  </si>
  <si>
    <t>A&amp;C Ventures</t>
  </si>
  <si>
    <t xml:space="preserve"> Ant Capital Partners</t>
  </si>
  <si>
    <t xml:space="preserve"> Chibagin Capital</t>
  </si>
  <si>
    <t xml:space="preserve"> CSK Venture Capital Company</t>
  </si>
  <si>
    <t xml:space="preserve"> Daiwa Enterprise</t>
  </si>
  <si>
    <t xml:space="preserve"> Fund Creation Company</t>
  </si>
  <si>
    <t xml:space="preserve"> GH Holdings KK</t>
  </si>
  <si>
    <t xml:space="preserve"> Hiroshima Venture Capital</t>
  </si>
  <si>
    <t xml:space="preserve"> Iyo-Gin Capital</t>
  </si>
  <si>
    <t xml:space="preserve"> KSP</t>
  </si>
  <si>
    <t xml:space="preserve"> Kyoritsu Captal</t>
  </si>
  <si>
    <t xml:space="preserve"> Medinet Company</t>
  </si>
  <si>
    <t xml:space="preserve"> Miyako Capital</t>
  </si>
  <si>
    <t xml:space="preserve"> National Institute of Biomedical Innovation (NIBIO)</t>
  </si>
  <si>
    <t xml:space="preserve"> New Business Investment</t>
  </si>
  <si>
    <t xml:space="preserve"> Oita Venture Capital</t>
  </si>
  <si>
    <t xml:space="preserve"> Shinkin Capital</t>
  </si>
  <si>
    <t xml:space="preserve"> Strategic Incubation Partners</t>
  </si>
  <si>
    <t xml:space="preserve"> The Resona Group</t>
  </si>
  <si>
    <t xml:space="preserve"> Yasuda Enterprise Development</t>
  </si>
  <si>
    <t xml:space="preserve"> Eduardo Castro-Wright</t>
  </si>
  <si>
    <t xml:space="preserve"> Rajeev Madhavan</t>
  </si>
  <si>
    <t xml:space="preserve"> Raymond Lane</t>
  </si>
  <si>
    <t>Brooklyn Bridge Ventures</t>
  </si>
  <si>
    <t xml:space="preserve"> Shana Fisher</t>
  </si>
  <si>
    <t xml:space="preserve"> Shaun Abrahamson</t>
  </si>
  <si>
    <t xml:space="preserve"> Stripes Group</t>
  </si>
  <si>
    <t xml:space="preserve"> Turner Broadcasting System</t>
  </si>
  <si>
    <t xml:space="preserve"> WarnerMedia</t>
  </si>
  <si>
    <t>Charles River Ventures</t>
  </si>
  <si>
    <t xml:space="preserve"> Global Ventures</t>
  </si>
  <si>
    <t xml:space="preserve"> Impact Venture Partners</t>
  </si>
  <si>
    <t>DRW Investors</t>
  </si>
  <si>
    <t xml:space="preserve"> HighBar Partners</t>
  </si>
  <si>
    <t xml:space="preserve"> JCI Ventures</t>
  </si>
  <si>
    <t xml:space="preserve"> Leapfrog Ventures</t>
  </si>
  <si>
    <t>BHY Investment</t>
  </si>
  <si>
    <t>Barney Harford</t>
  </si>
  <si>
    <t xml:space="preserve"> Cobre Capital</t>
  </si>
  <si>
    <t xml:space="preserve"> John Love</t>
  </si>
  <si>
    <t xml:space="preserve"> Rob Torres</t>
  </si>
  <si>
    <t xml:space="preserve"> Russel Sach</t>
  </si>
  <si>
    <t xml:space="preserve"> Thomas See</t>
  </si>
  <si>
    <t>Binary Capital</t>
  </si>
  <si>
    <t>Capnamic Ventures</t>
  </si>
  <si>
    <t xml:space="preserve"> Dumont Venture</t>
  </si>
  <si>
    <t xml:space="preserve"> Elkstone Partners</t>
  </si>
  <si>
    <t xml:space="preserve"> Evoco (Zurich)</t>
  </si>
  <si>
    <t xml:space="preserve"> Headway Capital Partners</t>
  </si>
  <si>
    <t xml:space="preserve"> Iris Capital</t>
  </si>
  <si>
    <t xml:space="preserve"> Jadeberg Partners</t>
  </si>
  <si>
    <t xml:space="preserve"> Keyhaven Capital Partners</t>
  </si>
  <si>
    <t xml:space="preserve"> Orange-Publicis Venture Fund</t>
  </si>
  <si>
    <t xml:space="preserve"> TheMediaLab</t>
  </si>
  <si>
    <t xml:space="preserve"> Tiburon</t>
  </si>
  <si>
    <t>Blueberry Ventures</t>
  </si>
  <si>
    <t xml:space="preserve"> CAVU Venture Partners</t>
  </si>
  <si>
    <t xml:space="preserve"> Döhler Ventures</t>
  </si>
  <si>
    <t xml:space="preserve"> Powerplant Ventures</t>
  </si>
  <si>
    <t>Mitsubishi Electric</t>
  </si>
  <si>
    <t>Alison Murdock</t>
  </si>
  <si>
    <t xml:space="preserve"> Chris Lalli</t>
  </si>
  <si>
    <t xml:space="preserve"> Clive Downie</t>
  </si>
  <si>
    <t xml:space="preserve"> Doug Barry</t>
  </si>
  <si>
    <t xml:space="preserve"> Ian Balso</t>
  </si>
  <si>
    <t xml:space="preserve"> John Coelho</t>
  </si>
  <si>
    <t xml:space="preserve"> Paul Wattis</t>
  </si>
  <si>
    <t xml:space="preserve"> Ricardo Sagrera</t>
  </si>
  <si>
    <t xml:space="preserve"> Viceroy Ventures</t>
  </si>
  <si>
    <t xml:space="preserve"> NorthCap Partners</t>
  </si>
  <si>
    <t>BAE Systems</t>
  </si>
  <si>
    <t xml:space="preserve"> Government of the United Kingdom</t>
  </si>
  <si>
    <t xml:space="preserve"> Rolls-Royce</t>
  </si>
  <si>
    <t>Comcast Spotlight</t>
  </si>
  <si>
    <t xml:space="preserve"> Time Warner Cable</t>
  </si>
  <si>
    <t>Abstract Ventures</t>
  </si>
  <si>
    <t xml:space="preserve"> Blacktop Capital</t>
  </si>
  <si>
    <t xml:space="preserve"> Entrenext Ventures</t>
  </si>
  <si>
    <t xml:space="preserve"> Olive Tree Capital</t>
  </si>
  <si>
    <t xml:space="preserve"> V1.vc</t>
  </si>
  <si>
    <t xml:space="preserve"> Augment Ventures</t>
  </si>
  <si>
    <t xml:space="preserve"> IPV Capital</t>
  </si>
  <si>
    <t xml:space="preserve"> Tolero Ventures</t>
  </si>
  <si>
    <t xml:space="preserve"> Xunuo Capital USA</t>
  </si>
  <si>
    <t>BRV Aster and Lotus</t>
  </si>
  <si>
    <t>Pico Partners</t>
  </si>
  <si>
    <t xml:space="preserve"> Royal Dutch Shell</t>
  </si>
  <si>
    <t xml:space="preserve"> Scottish Enterprise</t>
  </si>
  <si>
    <t xml:space="preserve"> Delivery Hero</t>
  </si>
  <si>
    <t xml:space="preserve"> Erik Torenberg</t>
  </si>
  <si>
    <t xml:space="preserve"> Grupo Bolívar</t>
  </si>
  <si>
    <t xml:space="preserve"> Monashees Capital</t>
  </si>
  <si>
    <t xml:space="preserve"> ONEVC</t>
  </si>
  <si>
    <t xml:space="preserve"> Redpoint eventures</t>
  </si>
  <si>
    <t xml:space="preserve"> Sentido Empresarial</t>
  </si>
  <si>
    <t>GreatPoint Ventures</t>
  </si>
  <si>
    <t xml:space="preserve"> BBN Technologies</t>
  </si>
  <si>
    <t xml:space="preserve"> Commonwealth Capital Ventures</t>
  </si>
  <si>
    <t xml:space="preserve"> Peacock Equity</t>
  </si>
  <si>
    <t xml:space="preserve"> StarVest Partners</t>
  </si>
  <si>
    <t xml:space="preserve"> Stubbs Alderton &amp; Markiles Preccelerator</t>
  </si>
  <si>
    <t xml:space="preserve"> Tomorrow Lab</t>
  </si>
  <si>
    <t xml:space="preserve"> Chan Zuckerberg Initiative</t>
  </si>
  <si>
    <t xml:space="preserve"> Deborah Quazzo</t>
  </si>
  <si>
    <t xml:space="preserve"> Education Design Studio</t>
  </si>
  <si>
    <t xml:space="preserve"> Geoff Ralston</t>
  </si>
  <si>
    <t xml:space="preserve"> GSV AcceleraTE</t>
  </si>
  <si>
    <t xml:space="preserve"> Imagine K12</t>
  </si>
  <si>
    <t xml:space="preserve"> Mark Goines</t>
  </si>
  <si>
    <t xml:space="preserve"> Owl Ventures</t>
  </si>
  <si>
    <t xml:space="preserve"> Strada Education Network</t>
  </si>
  <si>
    <t xml:space="preserve"> Thomas Lehrman</t>
  </si>
  <si>
    <t xml:space="preserve"> Wharton Impact Investing Partners</t>
  </si>
  <si>
    <t xml:space="preserve"> KarpReilly</t>
  </si>
  <si>
    <t xml:space="preserve"> Alan Braverman</t>
  </si>
  <si>
    <t xml:space="preserve"> Andrew Oetting</t>
  </si>
  <si>
    <t xml:space="preserve"> BBVA Ventures</t>
  </si>
  <si>
    <t xml:space="preserve"> BlueRun Ventures</t>
  </si>
  <si>
    <t xml:space="preserve"> Capital Yuan Tao</t>
  </si>
  <si>
    <t xml:space="preserve"> Charles Songhurst</t>
  </si>
  <si>
    <t xml:space="preserve"> Darian Shirazi</t>
  </si>
  <si>
    <t xml:space="preserve"> John Mack</t>
  </si>
  <si>
    <t>Alrai Capital</t>
  </si>
  <si>
    <t xml:space="preserve"> Amy Tan</t>
  </si>
  <si>
    <t xml:space="preserve"> Bon Angels</t>
  </si>
  <si>
    <t xml:space="preserve"> Company (Office Space)</t>
  </si>
  <si>
    <t xml:space="preserve"> Duncan Clark</t>
  </si>
  <si>
    <t xml:space="preserve"> Eric Li</t>
  </si>
  <si>
    <t xml:space="preserve"> Jaewoong Lee</t>
  </si>
  <si>
    <t xml:space="preserve"> Jeremy Yap</t>
  </si>
  <si>
    <t xml:space="preserve"> Kairos Society</t>
  </si>
  <si>
    <t xml:space="preserve"> Michael Penington</t>
  </si>
  <si>
    <t xml:space="preserve"> Nicolas Berggruen</t>
  </si>
  <si>
    <t xml:space="preserve"> Peter Bazalgette</t>
  </si>
  <si>
    <t xml:space="preserve"> Seojoon Kim</t>
  </si>
  <si>
    <t>American Public Media</t>
  </si>
  <si>
    <t xml:space="preserve"> Andrew Mason</t>
  </si>
  <si>
    <t xml:space="preserve"> CompanyOn</t>
  </si>
  <si>
    <t xml:space="preserve"> George Overholser</t>
  </si>
  <si>
    <t xml:space="preserve"> Graham Holdings</t>
  </si>
  <si>
    <t xml:space="preserve"> Matter Ventures</t>
  </si>
  <si>
    <t xml:space="preserve"> Project 11 Ventures</t>
  </si>
  <si>
    <t xml:space="preserve"> The McClatchy Company</t>
  </si>
  <si>
    <t xml:space="preserve"> UP2398</t>
  </si>
  <si>
    <t xml:space="preserve"> WGBH</t>
  </si>
  <si>
    <t>Anisha Mittal</t>
  </si>
  <si>
    <t xml:space="preserve"> Singapore Angel Network</t>
  </si>
  <si>
    <t xml:space="preserve"> Varun Singhi</t>
  </si>
  <si>
    <t xml:space="preserve"> Disruptive Technologies Venture Capital</t>
  </si>
  <si>
    <t xml:space="preserve"> Dror Berman</t>
  </si>
  <si>
    <t>Alternative Strategic Investments</t>
  </si>
  <si>
    <t xml:space="preserve"> Amiti Ventures</t>
  </si>
  <si>
    <t xml:space="preserve"> Delek Motors</t>
  </si>
  <si>
    <t xml:space="preserve"> German Accelerator</t>
  </si>
  <si>
    <t xml:space="preserve"> Global Investment Group</t>
  </si>
  <si>
    <t xml:space="preserve"> BlackRock</t>
  </si>
  <si>
    <t xml:space="preserve"> Osprey Investors</t>
  </si>
  <si>
    <t xml:space="preserve"> Sujal Patel</t>
  </si>
  <si>
    <t xml:space="preserve"> Valhalla Partners</t>
  </si>
  <si>
    <t>Allen Morgan</t>
  </si>
  <si>
    <t xml:space="preserve"> ARTIS Ventures</t>
  </si>
  <si>
    <t xml:space="preserve"> Buchanan Investments</t>
  </si>
  <si>
    <t xml:space="preserve"> Endeavour Vision</t>
  </si>
  <si>
    <t xml:space="preserve"> James Hong</t>
  </si>
  <si>
    <t xml:space="preserve"> Julian Robertson</t>
  </si>
  <si>
    <t xml:space="preserve"> Lixil Group</t>
  </si>
  <si>
    <t xml:space="preserve"> Michael Patsalos-Fox</t>
  </si>
  <si>
    <t xml:space="preserve"> Oakhouse Partners</t>
  </si>
  <si>
    <t xml:space="preserve"> Thomas H. Lee Partners</t>
  </si>
  <si>
    <t xml:space="preserve"> Tiger Infrastructure Partners</t>
  </si>
  <si>
    <t xml:space="preserve"> Balderton Capital</t>
  </si>
  <si>
    <t xml:space="preserve"> Daniel Cobley</t>
  </si>
  <si>
    <t xml:space="preserve"> Westminster Growth Capital</t>
  </si>
  <si>
    <t xml:space="preserve"> ICF Novastar International</t>
  </si>
  <si>
    <t xml:space="preserve"> Nomura Securities</t>
  </si>
  <si>
    <t xml:space="preserve"> StreetEdge Capital</t>
  </si>
  <si>
    <t>Equinor Technology Ventures</t>
  </si>
  <si>
    <t xml:space="preserve"> Michael Hirshland</t>
  </si>
  <si>
    <t xml:space="preserve"> Cloudstone Capital</t>
  </si>
  <si>
    <t xml:space="preserve"> PBM Capital Group</t>
  </si>
  <si>
    <t xml:space="preserve"> TVM Capital Life Science</t>
  </si>
  <si>
    <t>Alisher Usmanov</t>
  </si>
  <si>
    <t xml:space="preserve"> Alrai Capital</t>
  </si>
  <si>
    <t xml:space="preserve"> Golden Partners Capital</t>
  </si>
  <si>
    <t xml:space="preserve"> Lahlouh</t>
  </si>
  <si>
    <t xml:space="preserve"> Markis</t>
  </si>
  <si>
    <t xml:space="preserve"> Newbury Ventures</t>
  </si>
  <si>
    <t xml:space="preserve"> San Feliu Partners</t>
  </si>
  <si>
    <t xml:space="preserve"> Sensata Technologies</t>
  </si>
  <si>
    <t xml:space="preserve"> Studio VC</t>
  </si>
  <si>
    <t xml:space="preserve"> Tesla Capital</t>
  </si>
  <si>
    <t xml:space="preserve"> Wardenclyffe Partners</t>
  </si>
  <si>
    <t>C100 Association</t>
  </si>
  <si>
    <t xml:space="preserve"> Jevon MacDonald</t>
  </si>
  <si>
    <t>Agility Labs</t>
  </si>
  <si>
    <t xml:space="preserve"> BRV Aster and Lotus</t>
  </si>
  <si>
    <t xml:space="preserve"> RockPort Capital Partners</t>
  </si>
  <si>
    <t xml:space="preserve"> Sony Mobile Communications</t>
  </si>
  <si>
    <t xml:space="preserve"> Terawatt Ventures</t>
  </si>
  <si>
    <t xml:space="preserve"> Triple Ring Technologies</t>
  </si>
  <si>
    <t>AllMobile Fund</t>
  </si>
  <si>
    <t xml:space="preserve"> AXA Venture Partners</t>
  </si>
  <si>
    <t xml:space="preserve"> Barry Sternlicht</t>
  </si>
  <si>
    <t xml:space="preserve"> John Suhler</t>
  </si>
  <si>
    <t xml:space="preserve"> Kindler Capital</t>
  </si>
  <si>
    <t xml:space="preserve"> Pierre Lagrange</t>
  </si>
  <si>
    <t xml:space="preserve"> Numa</t>
  </si>
  <si>
    <t xml:space="preserve"> PACEIM</t>
  </si>
  <si>
    <t xml:space="preserve"> Focus Media Information Technology</t>
  </si>
  <si>
    <t xml:space="preserve"> Guolong Capital</t>
  </si>
  <si>
    <t xml:space="preserve"> Xizi United Holdings</t>
  </si>
  <si>
    <t xml:space="preserve"> XY Capital</t>
  </si>
  <si>
    <t xml:space="preserve"> Siparex Group</t>
  </si>
  <si>
    <t xml:space="preserve"> XAnge Private Equity</t>
  </si>
  <si>
    <t>Beteiligungsmanagement Thuringen</t>
  </si>
  <si>
    <t xml:space="preserve"> JAZZ Venture Partners</t>
  </si>
  <si>
    <t xml:space="preserve"> Jeff Hammerbacher</t>
  </si>
  <si>
    <t xml:space="preserve"> Jina Ventures</t>
  </si>
  <si>
    <t xml:space="preserve"> Mercer</t>
  </si>
  <si>
    <t xml:space="preserve"> Randstad Innovation Fund</t>
  </si>
  <si>
    <t xml:space="preserve"> Rockefeller Foundation</t>
  </si>
  <si>
    <t xml:space="preserve"> Terry McGuire</t>
  </si>
  <si>
    <t xml:space="preserve"> Emerson Street Partners</t>
  </si>
  <si>
    <t xml:space="preserve"> Kenny Van Zant</t>
  </si>
  <si>
    <t xml:space="preserve"> Radar Partners</t>
  </si>
  <si>
    <t xml:space="preserve"> Triangle Peak Partners</t>
  </si>
  <si>
    <t xml:space="preserve"> VMware</t>
  </si>
  <si>
    <t>Delta Partners</t>
  </si>
  <si>
    <t xml:space="preserve"> Startlab</t>
  </si>
  <si>
    <t>Hamilton Lane</t>
  </si>
  <si>
    <t xml:space="preserve"> Maverick Ventures Israel</t>
  </si>
  <si>
    <t xml:space="preserve"> Red Dot Capital Partners</t>
  </si>
  <si>
    <t xml:space="preserve"> Robert Antokol</t>
  </si>
  <si>
    <t xml:space="preserve"> Sequoia Capital Israel</t>
  </si>
  <si>
    <t xml:space="preserve"> Envision Ventures</t>
  </si>
  <si>
    <t xml:space="preserve"> Relay Ventures</t>
  </si>
  <si>
    <t xml:space="preserve"> Vikas Gupta</t>
  </si>
  <si>
    <t xml:space="preserve"> VKRM</t>
  </si>
  <si>
    <t>15/16 Group</t>
  </si>
  <si>
    <t>88 Green Ventures</t>
  </si>
  <si>
    <t xml:space="preserve"> California Energy Commission</t>
  </si>
  <si>
    <t xml:space="preserve"> Conductive Ventures</t>
  </si>
  <si>
    <t xml:space="preserve"> Constellation Energy Group</t>
  </si>
  <si>
    <t xml:space="preserve"> Edison Energy</t>
  </si>
  <si>
    <t xml:space="preserve"> Hennessey Capital</t>
  </si>
  <si>
    <t xml:space="preserve"> Hishtil Ltd</t>
  </si>
  <si>
    <t xml:space="preserve"> EGORA Holding</t>
  </si>
  <si>
    <t xml:space="preserve"> Kortschak Investments</t>
  </si>
  <si>
    <t>3E Bioventures Capital</t>
  </si>
  <si>
    <t xml:space="preserve"> Army Research Office - U.S. Army Research Laboratory</t>
  </si>
  <si>
    <t xml:space="preserve"> Atinum Investment</t>
  </si>
  <si>
    <t xml:space="preserve"> CampVentures</t>
  </si>
  <si>
    <t xml:space="preserve"> Dasman Diabetes Institute</t>
  </si>
  <si>
    <t xml:space="preserve"> Tasly Holding Group</t>
  </si>
  <si>
    <t xml:space="preserve"> Technology Ventures Corporation</t>
  </si>
  <si>
    <t xml:space="preserve"> VMS Investment Group</t>
  </si>
  <si>
    <t>Horizon 2020</t>
  </si>
  <si>
    <t xml:space="preserve"> JCI Venture</t>
  </si>
  <si>
    <t xml:space="preserve"> Warsaw Equity Group</t>
  </si>
  <si>
    <t xml:space="preserve"> Joyance Partners</t>
  </si>
  <si>
    <t>24Haymarket</t>
  </si>
  <si>
    <t xml:space="preserve"> Cambridge Angels</t>
  </si>
  <si>
    <t xml:space="preserve"> David Cleevely</t>
  </si>
  <si>
    <t xml:space="preserve"> David Gammon</t>
  </si>
  <si>
    <t xml:space="preserve"> Illuminate Financial Management</t>
  </si>
  <si>
    <t xml:space="preserve"> IQ Capital Partners</t>
  </si>
  <si>
    <t xml:space="preserve"> O2h Ventures</t>
  </si>
  <si>
    <t xml:space="preserve"> Rockspring</t>
  </si>
  <si>
    <t xml:space="preserve"> Sir Peter Job</t>
  </si>
  <si>
    <t>Aaron Patzer</t>
  </si>
  <si>
    <t xml:space="preserve"> Anthony Saleh</t>
  </si>
  <si>
    <t xml:space="preserve"> Brad Garlinghouse</t>
  </si>
  <si>
    <t xml:space="preserve"> David Ulevitch</t>
  </si>
  <si>
    <t xml:space="preserve"> Eagle Ventures</t>
  </si>
  <si>
    <t xml:space="preserve"> Expa Labs</t>
  </si>
  <si>
    <t xml:space="preserve"> MkII Ventures</t>
  </si>
  <si>
    <t xml:space="preserve"> Nasir Jones</t>
  </si>
  <si>
    <t xml:space="preserve"> Pacific Partners</t>
  </si>
  <si>
    <t xml:space="preserve"> SeriesG</t>
  </si>
  <si>
    <t xml:space="preserve"> SRI International</t>
  </si>
  <si>
    <t>Baylor Angel Network</t>
  </si>
  <si>
    <t xml:space="preserve"> Clayton Christopher</t>
  </si>
  <si>
    <t xml:space="preserve"> Scott Jensen</t>
  </si>
  <si>
    <t xml:space="preserve"> SKU</t>
  </si>
  <si>
    <t xml:space="preserve"> Tasty Ventures</t>
  </si>
  <si>
    <t xml:space="preserve"> Texas Venture Labs</t>
  </si>
  <si>
    <t xml:space="preserve"> William Morgan</t>
  </si>
  <si>
    <t>Bohemian Companies</t>
  </si>
  <si>
    <t xml:space="preserve"> Consolidated Investment Group</t>
  </si>
  <si>
    <t>Arthur Ventures</t>
  </si>
  <si>
    <t xml:space="preserve"> Boston Scientific</t>
  </si>
  <si>
    <t xml:space="preserve"> CRG</t>
  </si>
  <si>
    <t xml:space="preserve"> Mayo Clinic Ventures</t>
  </si>
  <si>
    <t>Accelerace</t>
  </si>
  <si>
    <t xml:space="preserve"> Deutsche Telekom</t>
  </si>
  <si>
    <t xml:space="preserve"> eStrategy Consult</t>
  </si>
  <si>
    <t xml:space="preserve"> Location Based Marketing Association (LBMA)</t>
  </si>
  <si>
    <t xml:space="preserve"> Next Step Challenge</t>
  </si>
  <si>
    <t xml:space="preserve"> Robert Bosch Stiftung</t>
  </si>
  <si>
    <t xml:space="preserve"> Century Equity Partners</t>
  </si>
  <si>
    <t xml:space="preserve"> DuPont Pioneer</t>
  </si>
  <si>
    <t xml:space="preserve"> Hippo Ventures</t>
  </si>
  <si>
    <t xml:space="preserve"> Imagine H2O</t>
  </si>
  <si>
    <t xml:space="preserve"> Indiana University Foundation</t>
  </si>
  <si>
    <t xml:space="preserve"> Innovate Indiana Fund</t>
  </si>
  <si>
    <t xml:space="preserve"> Innovate Partners</t>
  </si>
  <si>
    <t xml:space="preserve"> Millennium Technology Value Partners</t>
  </si>
  <si>
    <t xml:space="preserve"> Oberlin Holdings</t>
  </si>
  <si>
    <t xml:space="preserve"> Senator Ventures</t>
  </si>
  <si>
    <t xml:space="preserve"> Syngenta Ventures</t>
  </si>
  <si>
    <t xml:space="preserve"> Zmv Holdings</t>
  </si>
  <si>
    <t>Equity Venture Partners</t>
  </si>
  <si>
    <t xml:space="preserve"> MicroEquities</t>
  </si>
  <si>
    <t>Crosslink Capital</t>
  </si>
  <si>
    <t xml:space="preserve"> Don Graham</t>
  </si>
  <si>
    <t xml:space="preserve"> Jonah Peretti</t>
  </si>
  <si>
    <t xml:space="preserve"> Xcel Energy</t>
  </si>
  <si>
    <t xml:space="preserve"> MTI Partners</t>
  </si>
  <si>
    <t xml:space="preserve"> OCP Group</t>
  </si>
  <si>
    <t xml:space="preserve"> Oxford Capital Partners</t>
  </si>
  <si>
    <t xml:space="preserve"> Innova Memphis</t>
  </si>
  <si>
    <t xml:space="preserve"> Innovestor</t>
  </si>
  <si>
    <t xml:space="preserve"> Navitas Capital</t>
  </si>
  <si>
    <t xml:space="preserve"> Richard Stone</t>
  </si>
  <si>
    <t xml:space="preserve"> Ron Ferber</t>
  </si>
  <si>
    <t xml:space="preserve"> Tivona Capital</t>
  </si>
  <si>
    <t xml:space="preserve"> Delaware Crossing Investor Group</t>
  </si>
  <si>
    <t xml:space="preserve"> First Solar</t>
  </si>
  <si>
    <t>Adaxia Capital Partners</t>
  </si>
  <si>
    <t xml:space="preserve"> BG Group</t>
  </si>
  <si>
    <t xml:space="preserve"> Climate Change Capital</t>
  </si>
  <si>
    <t xml:space="preserve"> KALO (Germany)</t>
  </si>
  <si>
    <t xml:space="preserve"> New York Ventures</t>
  </si>
  <si>
    <t xml:space="preserve"> Richmond Capital Partners</t>
  </si>
  <si>
    <t xml:space="preserve"> Ulf Ivarsson</t>
  </si>
  <si>
    <t>Callais Capital Management</t>
  </si>
  <si>
    <t xml:space="preserve"> GAF</t>
  </si>
  <si>
    <t xml:space="preserve"> Goldman Sachs Merchant Banking Division</t>
  </si>
  <si>
    <t xml:space="preserve"> Highland Ventures Group</t>
  </si>
  <si>
    <t xml:space="preserve"> NewWorld Capital Group</t>
  </si>
  <si>
    <t xml:space="preserve"> Stonehenge Capital</t>
  </si>
  <si>
    <t xml:space="preserve"> Hewlett Packard Enterprise</t>
  </si>
  <si>
    <t xml:space="preserve"> Michael Dell</t>
  </si>
  <si>
    <t xml:space="preserve"> NetApp</t>
  </si>
  <si>
    <t>Ben Tibbits</t>
  </si>
  <si>
    <t xml:space="preserve"> Fashion Angel</t>
  </si>
  <si>
    <t xml:space="preserve"> Gabbi Cahane</t>
  </si>
  <si>
    <t xml:space="preserve"> Meyer Bergman</t>
  </si>
  <si>
    <t xml:space="preserve"> Revolt Ventures</t>
  </si>
  <si>
    <t xml:space="preserve"> Smedvig Capital</t>
  </si>
  <si>
    <t>Adrian Cheng</t>
  </si>
  <si>
    <t xml:space="preserve"> China Merchants Kunlun Capital</t>
  </si>
  <si>
    <t xml:space="preserve"> ClearVue Partners</t>
  </si>
  <si>
    <t xml:space="preserve"> Delong Capital</t>
  </si>
  <si>
    <t xml:space="preserve"> Hongtai Capital</t>
  </si>
  <si>
    <t xml:space="preserve"> Morningside Venture Capital</t>
  </si>
  <si>
    <t xml:space="preserve"> NIO Capital</t>
  </si>
  <si>
    <t xml:space="preserve"> Polaris Capital</t>
  </si>
  <si>
    <t xml:space="preserve"> Puhua Capital</t>
  </si>
  <si>
    <t xml:space="preserve"> Silicon Valley Future Capital</t>
  </si>
  <si>
    <t>Andrew Crichton</t>
  </si>
  <si>
    <t xml:space="preserve"> Bradley Greenwald</t>
  </si>
  <si>
    <t xml:space="preserve"> C2 Ventures</t>
  </si>
  <si>
    <t xml:space="preserve"> Dan Shapiro</t>
  </si>
  <si>
    <t xml:space="preserve"> David Carlson</t>
  </si>
  <si>
    <t xml:space="preserve"> David Williams</t>
  </si>
  <si>
    <t xml:space="preserve"> Exhilarator</t>
  </si>
  <si>
    <t xml:space="preserve"> Hilltop Venture Partners</t>
  </si>
  <si>
    <t xml:space="preserve"> Jonathan Abrams</t>
  </si>
  <si>
    <t xml:space="preserve"> ONSET Ventures</t>
  </si>
  <si>
    <t xml:space="preserve"> Peter Kellner</t>
  </si>
  <si>
    <t xml:space="preserve"> Rant</t>
  </si>
  <si>
    <t xml:space="preserve"> Robert Kunz</t>
  </si>
  <si>
    <t xml:space="preserve"> SkyDeck (Berkeley)</t>
  </si>
  <si>
    <t xml:space="preserve"> Sourabh Niyogi</t>
  </si>
  <si>
    <t xml:space="preserve"> Stan Miroshnik</t>
  </si>
  <si>
    <t xml:space="preserve"> Startup Studio Ventures</t>
  </si>
  <si>
    <t xml:space="preserve"> Stefan Koenig</t>
  </si>
  <si>
    <t xml:space="preserve"> Susan Heilbronner</t>
  </si>
  <si>
    <t xml:space="preserve"> Tyler Willis</t>
  </si>
  <si>
    <t>Advanced Technology Ventures</t>
  </si>
  <si>
    <t xml:space="preserve"> Firsthand Capital Management</t>
  </si>
  <si>
    <t xml:space="preserve"> KTB Ventures</t>
  </si>
  <si>
    <t xml:space="preserve"> Lake Street Capital</t>
  </si>
  <si>
    <t xml:space="preserve"> Pac-Link Management</t>
  </si>
  <si>
    <t xml:space="preserve"> Riverside Management Group</t>
  </si>
  <si>
    <t xml:space="preserve"> WK Technology Fund</t>
  </si>
  <si>
    <t xml:space="preserve"> EMV Capital</t>
  </si>
  <si>
    <t xml:space="preserve"> Flex's Lab IX</t>
  </si>
  <si>
    <t xml:space="preserve"> Oshri Kaplan</t>
  </si>
  <si>
    <t xml:space="preserve"> Signify Holding</t>
  </si>
  <si>
    <t>Anchor Equity Partners</t>
  </si>
  <si>
    <t xml:space="preserve"> GIC Private</t>
  </si>
  <si>
    <t xml:space="preserve"> MVP Capital Partners (Korea)</t>
  </si>
  <si>
    <t>GSR Ventures</t>
  </si>
  <si>
    <t xml:space="preserve"> China Broadband Capital Partners</t>
  </si>
  <si>
    <t xml:space="preserve"> Lenovo</t>
  </si>
  <si>
    <t xml:space="preserve"> Mark Siegel</t>
  </si>
  <si>
    <t xml:space="preserve"> Newtech</t>
  </si>
  <si>
    <t>Axiom Zen</t>
  </si>
  <si>
    <t xml:space="preserve"> Comcast</t>
  </si>
  <si>
    <t xml:space="preserve"> Deutsche Invest Capital Partners</t>
  </si>
  <si>
    <t xml:space="preserve"> Shaw Ventures</t>
  </si>
  <si>
    <t>1333712 Ontario Inc.</t>
  </si>
  <si>
    <t xml:space="preserve"> 2009583 Ontario Ltd.</t>
  </si>
  <si>
    <t xml:space="preserve"> 43North</t>
  </si>
  <si>
    <t xml:space="preserve"> 8269033 Canada Ltd.</t>
  </si>
  <si>
    <t xml:space="preserve"> Angel One Investor Network</t>
  </si>
  <si>
    <t xml:space="preserve"> Blackbox</t>
  </si>
  <si>
    <t xml:space="preserve"> Building Repport Consultants Limited</t>
  </si>
  <si>
    <t xml:space="preserve"> Canrock Ventures</t>
  </si>
  <si>
    <t xml:space="preserve"> Chasing Unicorns</t>
  </si>
  <si>
    <t xml:space="preserve"> CO Fairbank Inc.</t>
  </si>
  <si>
    <t xml:space="preserve"> Communitech Hyperdrive</t>
  </si>
  <si>
    <t xml:space="preserve"> Conconi FT Holding</t>
  </si>
  <si>
    <t xml:space="preserve"> Conconi Growth Partners</t>
  </si>
  <si>
    <t xml:space="preserve"> Creative Destruction Lab</t>
  </si>
  <si>
    <t xml:space="preserve"> Daveni Investments Ltd.</t>
  </si>
  <si>
    <t xml:space="preserve"> Monticule Information Technology &amp; Consultation</t>
  </si>
  <si>
    <t xml:space="preserve"> Nalaco Corporation</t>
  </si>
  <si>
    <t xml:space="preserve"> Ontario Centres of Excellence</t>
  </si>
  <si>
    <t xml:space="preserve"> Stonemark Ventures</t>
  </si>
  <si>
    <t xml:space="preserve"> The Accelerator Centre</t>
  </si>
  <si>
    <t xml:space="preserve"> Ventured Synergy</t>
  </si>
  <si>
    <t xml:space="preserve"> MHS Capital</t>
  </si>
  <si>
    <t xml:space="preserve"> Vanedge Capital</t>
  </si>
  <si>
    <t>CEIIF</t>
  </si>
  <si>
    <t xml:space="preserve"> Xilinx Ventures</t>
  </si>
  <si>
    <t>Adidas</t>
  </si>
  <si>
    <t xml:space="preserve"> Baron Davis</t>
  </si>
  <si>
    <t xml:space="preserve"> Coatue Management</t>
  </si>
  <si>
    <t xml:space="preserve"> David Drummond</t>
  </si>
  <si>
    <t xml:space="preserve"> Johnny Hou</t>
  </si>
  <si>
    <t xml:space="preserve"> Kelvin Beachum</t>
  </si>
  <si>
    <t xml:space="preserve"> Kevin Lin</t>
  </si>
  <si>
    <t xml:space="preserve"> Michael Dubin</t>
  </si>
  <si>
    <t xml:space="preserve"> MTGx</t>
  </si>
  <si>
    <t xml:space="preserve"> Nasir Dara Jones</t>
  </si>
  <si>
    <t xml:space="preserve"> Nathaniel Turner</t>
  </si>
  <si>
    <t xml:space="preserve"> Paul Judge</t>
  </si>
  <si>
    <t xml:space="preserve"> Plexo Capital</t>
  </si>
  <si>
    <t xml:space="preserve"> Rahul Mehta</t>
  </si>
  <si>
    <t xml:space="preserve"> Richelieu Dennis</t>
  </si>
  <si>
    <t xml:space="preserve"> Sean Combs</t>
  </si>
  <si>
    <t xml:space="preserve"> The San Francisco 49ers</t>
  </si>
  <si>
    <t xml:space="preserve"> Wakestream Ventures</t>
  </si>
  <si>
    <t xml:space="preserve"> D5 Capital</t>
  </si>
  <si>
    <t xml:space="preserve"> David Chessler</t>
  </si>
  <si>
    <t xml:space="preserve"> Greg Norman</t>
  </si>
  <si>
    <t xml:space="preserve"> Third Prime</t>
  </si>
  <si>
    <t>Aubrey Graham</t>
  </si>
  <si>
    <t xml:space="preserve"> LAUNCH (UC Berkeley)</t>
  </si>
  <si>
    <t xml:space="preserve"> Strauss Zelnick</t>
  </si>
  <si>
    <t xml:space="preserve"> The Pioneer Fund</t>
  </si>
  <si>
    <t>Caixa Capital Risc</t>
  </si>
  <si>
    <t xml:space="preserve"> iSelect</t>
  </si>
  <si>
    <t xml:space="preserve"> iSelect Fund</t>
  </si>
  <si>
    <t xml:space="preserve"> Novozymes</t>
  </si>
  <si>
    <t xml:space="preserve"> Yara International</t>
  </si>
  <si>
    <t xml:space="preserve"> Archer Venture Capital</t>
  </si>
  <si>
    <t xml:space="preserve"> Social Leverage</t>
  </si>
  <si>
    <t xml:space="preserve"> Thomas Peterson</t>
  </si>
  <si>
    <t xml:space="preserve"> Soma Somasegar</t>
  </si>
  <si>
    <t>Alan Chiu</t>
  </si>
  <si>
    <t xml:space="preserve"> Andrew Barkett</t>
  </si>
  <si>
    <t xml:space="preserve"> GS Shop</t>
  </si>
  <si>
    <t xml:space="preserve"> Guthrie Paterson</t>
  </si>
  <si>
    <t xml:space="preserve"> InstantScale Ventures</t>
  </si>
  <si>
    <t xml:space="preserve"> Mark Gorenberg</t>
  </si>
  <si>
    <t xml:space="preserve"> RTA Capital</t>
  </si>
  <si>
    <t xml:space="preserve"> TheVentureCity</t>
  </si>
  <si>
    <t xml:space="preserve"> WorldQuant Ventures</t>
  </si>
  <si>
    <t xml:space="preserve"> Zetta Venture Partners</t>
  </si>
  <si>
    <t>Flex's Lab IX</t>
  </si>
  <si>
    <t>Argonaut Private Equity</t>
  </si>
  <si>
    <t xml:space="preserve"> Focus Ventures (USA)</t>
  </si>
  <si>
    <t xml:space="preserve"> Mesirow Financial</t>
  </si>
  <si>
    <t xml:space="preserve"> Silver Creek Ventures</t>
  </si>
  <si>
    <t>Bill &amp; Melinda Gates Foundation</t>
  </si>
  <si>
    <t xml:space="preserve"> Jenny Rooke</t>
  </si>
  <si>
    <t xml:space="preserve"> Karl Handelsman</t>
  </si>
  <si>
    <t>BDC Capital</t>
  </si>
  <si>
    <t xml:space="preserve"> Extreme Venture Partners</t>
  </si>
  <si>
    <t xml:space="preserve"> Hike Ventures</t>
  </si>
  <si>
    <t xml:space="preserve"> MaRS Investment Accelerator Fund</t>
  </si>
  <si>
    <t xml:space="preserve"> Michael Castellarin</t>
  </si>
  <si>
    <t xml:space="preserve"> Ripple Ventures</t>
  </si>
  <si>
    <t xml:space="preserve"> MIT Sandbox</t>
  </si>
  <si>
    <t xml:space="preserve"> The ALS Association</t>
  </si>
  <si>
    <t>BioAdvance</t>
  </si>
  <si>
    <t xml:space="preserve"> Centrica Innovations</t>
  </si>
  <si>
    <t xml:space="preserve"> Civilization Ventures</t>
  </si>
  <si>
    <t xml:space="preserve"> Hackensack Meridian Health</t>
  </si>
  <si>
    <t xml:space="preserve"> Hikma Ventures</t>
  </si>
  <si>
    <t xml:space="preserve"> Thompson Family Foundation</t>
  </si>
  <si>
    <t xml:space="preserve"> Andrew Kress</t>
  </si>
  <si>
    <t xml:space="preserve"> BlueCross BlueShield Venture Partners</t>
  </si>
  <si>
    <t xml:space="preserve"> Bruce Perkins</t>
  </si>
  <si>
    <t xml:space="preserve"> Paul Kusserow</t>
  </si>
  <si>
    <t xml:space="preserve"> Sandbox Industries</t>
  </si>
  <si>
    <t xml:space="preserve"> Trevor Fettter</t>
  </si>
  <si>
    <t>Goodworks Ventures</t>
  </si>
  <si>
    <t xml:space="preserve"> Spring Creek Investment Management</t>
  </si>
  <si>
    <t>Maritime</t>
  </si>
  <si>
    <t>BrandProject</t>
  </si>
  <si>
    <t xml:space="preserve"> L Catterton</t>
  </si>
  <si>
    <t>Brian Trautschold</t>
  </si>
  <si>
    <t xml:space="preserve"> Florence Venture Partners</t>
  </si>
  <si>
    <t xml:space="preserve"> Mark Scianna</t>
  </si>
  <si>
    <t xml:space="preserve"> Matthew Brezina</t>
  </si>
  <si>
    <t xml:space="preserve"> Point Nine Capital</t>
  </si>
  <si>
    <t xml:space="preserve"> Zillionize</t>
  </si>
  <si>
    <t xml:space="preserve"> Marcy Simon</t>
  </si>
  <si>
    <t xml:space="preserve"> Target + METRO Retail Accelerator</t>
  </si>
  <si>
    <t xml:space="preserve"> Torch Capital</t>
  </si>
  <si>
    <t>BMW Group</t>
  </si>
  <si>
    <t xml:space="preserve"> Harvard Innovation Launch Lab</t>
  </si>
  <si>
    <t xml:space="preserve"> Level.VC</t>
  </si>
  <si>
    <t>Matrix Partners China</t>
  </si>
  <si>
    <t xml:space="preserve"> Tsinghua University Education Foundation</t>
  </si>
  <si>
    <t>Deborah Midanek</t>
  </si>
  <si>
    <t xml:space="preserve"> Innovation Works</t>
  </si>
  <si>
    <t xml:space="preserve"> ITU Ventures</t>
  </si>
  <si>
    <t xml:space="preserve"> Kevin Joseph</t>
  </si>
  <si>
    <t xml:space="preserve"> Modeo</t>
  </si>
  <si>
    <t xml:space="preserve"> BIRD Foundation</t>
  </si>
  <si>
    <t xml:space="preserve"> Cedar Fund</t>
  </si>
  <si>
    <t xml:space="preserve"> Israel's Ministry of National Infrastructure</t>
  </si>
  <si>
    <t xml:space="preserve"> Energy and Water Resources</t>
  </si>
  <si>
    <t>ATX Venture Partners</t>
  </si>
  <si>
    <t xml:space="preserve"> Mick Mountz</t>
  </si>
  <si>
    <t xml:space="preserve"> REVTECH Accelerator</t>
  </si>
  <si>
    <t xml:space="preserve"> Yechiam Yemini</t>
  </si>
  <si>
    <t xml:space="preserve"> Geodesic Capital</t>
  </si>
  <si>
    <t xml:space="preserve"> B37 Ventures</t>
  </si>
  <si>
    <t xml:space="preserve"> Birchmere Ventures</t>
  </si>
  <si>
    <t xml:space="preserve"> Breakthrough Fuel</t>
  </si>
  <si>
    <t xml:space="preserve"> Gordon Chaffee</t>
  </si>
  <si>
    <t xml:space="preserve"> Grupo Bimbo</t>
  </si>
  <si>
    <t xml:space="preserve"> Innovation Camp</t>
  </si>
  <si>
    <t xml:space="preserve"> Jonas Landstrom</t>
  </si>
  <si>
    <t xml:space="preserve"> Jonathan Tudor</t>
  </si>
  <si>
    <t xml:space="preserve"> Ken Arnold</t>
  </si>
  <si>
    <t xml:space="preserve"> Lockheed Martin</t>
  </si>
  <si>
    <t xml:space="preserve"> Michael Palmer</t>
  </si>
  <si>
    <t xml:space="preserve"> Nicola Corzine</t>
  </si>
  <si>
    <t xml:space="preserve"> Okaya &amp; Company</t>
  </si>
  <si>
    <t xml:space="preserve"> Omnitracs</t>
  </si>
  <si>
    <t xml:space="preserve"> Prashant Aggarwal</t>
  </si>
  <si>
    <t xml:space="preserve"> Praveen Kumar</t>
  </si>
  <si>
    <t xml:space="preserve"> Sarosh Kumana</t>
  </si>
  <si>
    <t xml:space="preserve"> Schlumberger</t>
  </si>
  <si>
    <t xml:space="preserve"> U.S. Venture</t>
  </si>
  <si>
    <t xml:space="preserve"> Volvo Group Venture Capital</t>
  </si>
  <si>
    <t xml:space="preserve"> Xplorer Capital</t>
  </si>
  <si>
    <t xml:space="preserve"> Harrison Metal Capital</t>
  </si>
  <si>
    <t>Al Hamra Group</t>
  </si>
  <si>
    <t xml:space="preserve"> Bradley Gerstner</t>
  </si>
  <si>
    <t xml:space="preserve"> Cameron Yuill</t>
  </si>
  <si>
    <t xml:space="preserve"> Carl Sparks</t>
  </si>
  <si>
    <t xml:space="preserve"> Caspian Venture Capital</t>
  </si>
  <si>
    <t xml:space="preserve"> DNS Capital</t>
  </si>
  <si>
    <t xml:space="preserve"> Geoff Donaker</t>
  </si>
  <si>
    <t xml:space="preserve"> Halogen Ventures</t>
  </si>
  <si>
    <t xml:space="preserve"> Jaguarundi Partners</t>
  </si>
  <si>
    <t xml:space="preserve"> Jean Pritzker</t>
  </si>
  <si>
    <t xml:space="preserve"> JUMP Investors</t>
  </si>
  <si>
    <t xml:space="preserve"> Manta Ray Ventures</t>
  </si>
  <si>
    <t xml:space="preserve"> Michael Pucker</t>
  </si>
  <si>
    <t xml:space="preserve"> Paul English</t>
  </si>
  <si>
    <t xml:space="preserve"> Pete Flint</t>
  </si>
  <si>
    <t xml:space="preserve"> Todd Kimmel</t>
  </si>
  <si>
    <t xml:space="preserve"> VGC Partners</t>
  </si>
  <si>
    <t xml:space="preserve"> Launchpad Venture Group</t>
  </si>
  <si>
    <t xml:space="preserve"> Moodoos Investments</t>
  </si>
  <si>
    <t xml:space="preserve"> Race Point Capital</t>
  </si>
  <si>
    <t xml:space="preserve"> William Herman</t>
  </si>
  <si>
    <t>Barikuta Partners</t>
  </si>
  <si>
    <t xml:space="preserve"> CommerzVentures</t>
  </si>
  <si>
    <t xml:space="preserve"> Daniel Keiper-Knorr</t>
  </si>
  <si>
    <t xml:space="preserve"> Erik Bovee</t>
  </si>
  <si>
    <t xml:space="preserve"> Finparx</t>
  </si>
  <si>
    <t xml:space="preserve"> Germany's Federal Ministry of Economics and Technology</t>
  </si>
  <si>
    <t xml:space="preserve"> HW Capital</t>
  </si>
  <si>
    <t xml:space="preserve"> Marcel van der Heijden</t>
  </si>
  <si>
    <t xml:space="preserve"> Markus Rinderer</t>
  </si>
  <si>
    <t xml:space="preserve"> Oliver Holle</t>
  </si>
  <si>
    <t xml:space="preserve"> Pamela Patsley</t>
  </si>
  <si>
    <t xml:space="preserve"> Rumford</t>
  </si>
  <si>
    <t xml:space="preserve"> Werner Zahnt</t>
  </si>
  <si>
    <t>Blue Haven Initiative</t>
  </si>
  <si>
    <t xml:space="preserve"> Blue Rinc Capital</t>
  </si>
  <si>
    <t xml:space="preserve"> Dale Mathias</t>
  </si>
  <si>
    <t xml:space="preserve"> DraperDarkFlow</t>
  </si>
  <si>
    <t xml:space="preserve"> Gbenga Oyebode</t>
  </si>
  <si>
    <t xml:space="preserve"> Google Developers Launchpad</t>
  </si>
  <si>
    <t xml:space="preserve"> KIBS-CFY Partners</t>
  </si>
  <si>
    <t xml:space="preserve"> Leonard Stiegeler</t>
  </si>
  <si>
    <t xml:space="preserve"> M&amp;S Partners</t>
  </si>
  <si>
    <t xml:space="preserve"> Michael Siebel</t>
  </si>
  <si>
    <t xml:space="preserve"> Olumide Soyombo</t>
  </si>
  <si>
    <t xml:space="preserve"> Pave Investments</t>
  </si>
  <si>
    <t xml:space="preserve"> Singularity Investments</t>
  </si>
  <si>
    <t xml:space="preserve"> Stripe</t>
  </si>
  <si>
    <t xml:space="preserve"> Tokyo Founders Fund</t>
  </si>
  <si>
    <t xml:space="preserve"> Tom Stafford</t>
  </si>
  <si>
    <t xml:space="preserve"> Ventures Platform</t>
  </si>
  <si>
    <t>Alexandre Carel</t>
  </si>
  <si>
    <t xml:space="preserve"> Collin Wallace</t>
  </si>
  <si>
    <t xml:space="preserve"> Dan Bragiel</t>
  </si>
  <si>
    <t xml:space="preserve"> Draper Fintech Connection</t>
  </si>
  <si>
    <t xml:space="preserve"> EchoVC Partners</t>
  </si>
  <si>
    <t xml:space="preserve"> Eric Chen</t>
  </si>
  <si>
    <t xml:space="preserve"> Frank Lee</t>
  </si>
  <si>
    <t xml:space="preserve"> John Dukellis</t>
  </si>
  <si>
    <t xml:space="preserve"> Mindset Ventures</t>
  </si>
  <si>
    <t xml:space="preserve"> Pascal Levy-Garboua</t>
  </si>
  <si>
    <t xml:space="preserve"> Runway Venture Partners</t>
  </si>
  <si>
    <t xml:space="preserve"> Stephen Ciesinski</t>
  </si>
  <si>
    <t xml:space="preserve"> Terry Duryea</t>
  </si>
  <si>
    <t xml:space="preserve"> The Pool</t>
  </si>
  <si>
    <t xml:space="preserve"> Three Fish Capital</t>
  </si>
  <si>
    <t xml:space="preserve"> Vance Bjorn</t>
  </si>
  <si>
    <t>American Express</t>
  </si>
  <si>
    <t xml:space="preserve"> Andrew Prozes</t>
  </si>
  <si>
    <t xml:space="preserve"> Anil Aggarwal</t>
  </si>
  <si>
    <t xml:space="preserve"> IDology</t>
  </si>
  <si>
    <t xml:space="preserve"> Jonathan Weiner</t>
  </si>
  <si>
    <t xml:space="preserve"> Maclab Development Group</t>
  </si>
  <si>
    <t xml:space="preserve"> Rogers</t>
  </si>
  <si>
    <t xml:space="preserve"> Synchrony Financial</t>
  </si>
  <si>
    <t xml:space="preserve"> Transaction Network Services</t>
  </si>
  <si>
    <t xml:space="preserve"> TransUnion</t>
  </si>
  <si>
    <t xml:space="preserve"> Zelle</t>
  </si>
  <si>
    <t xml:space="preserve"> AirTree Ventures</t>
  </si>
  <si>
    <t xml:space="preserve"> CrossContinental Ventures</t>
  </si>
  <si>
    <t xml:space="preserve"> Sanju Bansal</t>
  </si>
  <si>
    <t xml:space="preserve"> Standard Chartered</t>
  </si>
  <si>
    <t>FirstMile Ventures</t>
  </si>
  <si>
    <t xml:space="preserve"> David Marcus</t>
  </si>
  <si>
    <t xml:space="preserve"> Freestyle Capital</t>
  </si>
  <si>
    <t xml:space="preserve"> Jonathan Teo</t>
  </si>
  <si>
    <t xml:space="preserve"> Josh Felser</t>
  </si>
  <si>
    <t xml:space="preserve"> Joshua Reeves</t>
  </si>
  <si>
    <t xml:space="preserve"> Kindling Capital</t>
  </si>
  <si>
    <t xml:space="preserve"> Stan Chudnovsky</t>
  </si>
  <si>
    <t>American River Ventures</t>
  </si>
  <si>
    <t xml:space="preserve"> Camden Partners</t>
  </si>
  <si>
    <t xml:space="preserve"> Integral Capital Partners</t>
  </si>
  <si>
    <t xml:space="preserve"> North Bay Angels</t>
  </si>
  <si>
    <t xml:space="preserve"> Psilos Group Managers</t>
  </si>
  <si>
    <t xml:space="preserve"> Shoreline Venture Management</t>
  </si>
  <si>
    <t xml:space="preserve"> TPG Biotech</t>
  </si>
  <si>
    <t xml:space="preserve"> TPG Capital</t>
  </si>
  <si>
    <t>Andy Rankin</t>
  </si>
  <si>
    <t xml:space="preserve"> Baroda Ventures</t>
  </si>
  <si>
    <t xml:space="preserve"> Bonfire Ventures</t>
  </si>
  <si>
    <t xml:space="preserve"> Clark Landry</t>
  </si>
  <si>
    <t xml:space="preserve"> Daher Capital</t>
  </si>
  <si>
    <t xml:space="preserve"> Double M Partners</t>
  </si>
  <si>
    <t xml:space="preserve"> Karlin Ventures</t>
  </si>
  <si>
    <t xml:space="preserve"> Launchpad LA</t>
  </si>
  <si>
    <t xml:space="preserve"> Manatt Digital Media Ventures</t>
  </si>
  <si>
    <t xml:space="preserve"> Mintel</t>
  </si>
  <si>
    <t xml:space="preserve"> Seth Demsey</t>
  </si>
  <si>
    <t xml:space="preserve"> SPH Ventures</t>
  </si>
  <si>
    <t xml:space="preserve"> Tianxiang Zhuo</t>
  </si>
  <si>
    <t>Advantage Capital (St. Louis)</t>
  </si>
  <si>
    <t xml:space="preserve"> Barshop Ventures</t>
  </si>
  <si>
    <t xml:space="preserve"> Keen Growth Capital</t>
  </si>
  <si>
    <t xml:space="preserve"> Commons Capital</t>
  </si>
  <si>
    <t xml:space="preserve"> MIT Investment Management Company</t>
  </si>
  <si>
    <t xml:space="preserve"> Shiprock Capital</t>
  </si>
  <si>
    <t xml:space="preserve"> Topspin Partners</t>
  </si>
  <si>
    <t xml:space="preserve"> Topspin Venture</t>
  </si>
  <si>
    <t>Anheuser-Busch InBev</t>
  </si>
  <si>
    <t xml:space="preserve"> Bessemer Trust</t>
  </si>
  <si>
    <t xml:space="preserve"> Costanoa Ventures</t>
  </si>
  <si>
    <t xml:space="preserve"> Ubiquity Ventures</t>
  </si>
  <si>
    <t>Ameet Patel</t>
  </si>
  <si>
    <t xml:space="preserve"> Mark Santora</t>
  </si>
  <si>
    <t>Bayern LB</t>
  </si>
  <si>
    <t xml:space="preserve"> BayTech Venture Capital</t>
  </si>
  <si>
    <t xml:space="preserve"> Digital First Ventures</t>
  </si>
  <si>
    <t>JKL Partners</t>
  </si>
  <si>
    <t xml:space="preserve"> Partners Investment</t>
  </si>
  <si>
    <t xml:space="preserve"> Partners Venture Capital</t>
  </si>
  <si>
    <t xml:space="preserve"> Quintessa Investment</t>
  </si>
  <si>
    <t>Albion Capital</t>
  </si>
  <si>
    <t xml:space="preserve"> C5 Capital</t>
  </si>
  <si>
    <t xml:space="preserve"> Elixirr</t>
  </si>
  <si>
    <t xml:space="preserve"> Evolution Equity Partners</t>
  </si>
  <si>
    <t xml:space="preserve"> Paul Staples</t>
  </si>
  <si>
    <t xml:space="preserve"> SwiftScale</t>
  </si>
  <si>
    <t xml:space="preserve"> Winton Ventures</t>
  </si>
  <si>
    <t>Centennial Ventures</t>
  </si>
  <si>
    <t xml:space="preserve"> Dowroc Partners</t>
  </si>
  <si>
    <t xml:space="preserve"> Evercore Group</t>
  </si>
  <si>
    <t xml:space="preserve"> Kewa Financial</t>
  </si>
  <si>
    <t xml:space="preserve"> NCD Partners</t>
  </si>
  <si>
    <t xml:space="preserve"> Novak Biddle Venture Partners</t>
  </si>
  <si>
    <t>Deerfield Management</t>
  </si>
  <si>
    <t xml:space="preserve"> ACE &amp; Company</t>
  </si>
  <si>
    <t xml:space="preserve"> Arbor Ventures</t>
  </si>
  <si>
    <t xml:space="preserve"> CyberAgent Capital</t>
  </si>
  <si>
    <t xml:space="preserve"> MS Capital</t>
  </si>
  <si>
    <t xml:space="preserve"> MS Seed Capital</t>
  </si>
  <si>
    <t xml:space="preserve"> SIG Susquehanna</t>
  </si>
  <si>
    <t xml:space="preserve"> Blue Ant Investments</t>
  </si>
  <si>
    <t xml:space="preserve"> David Wadler</t>
  </si>
  <si>
    <t xml:space="preserve"> JA Mitsui Leasing</t>
  </si>
  <si>
    <t>Alpha Associates</t>
  </si>
  <si>
    <t xml:space="preserve"> Baring Vostok Capital Partners</t>
  </si>
  <si>
    <t xml:space="preserve"> Hartmann Holdings</t>
  </si>
  <si>
    <t xml:space="preserve"> Infinity Ventures</t>
  </si>
  <si>
    <t xml:space="preserve"> PJC</t>
  </si>
  <si>
    <t xml:space="preserve"> Rakuten</t>
  </si>
  <si>
    <t xml:space="preserve"> Sistema</t>
  </si>
  <si>
    <t xml:space="preserve"> Sistema Venture Capital</t>
  </si>
  <si>
    <t>Innovation Endeavors</t>
  </si>
  <si>
    <t xml:space="preserve"> Oryzn Capital</t>
  </si>
  <si>
    <t xml:space="preserve"> Vertex Ventures Israel</t>
  </si>
  <si>
    <t>Cambridge Companies</t>
  </si>
  <si>
    <t xml:space="preserve"> Crimson Seed Capital</t>
  </si>
  <si>
    <t xml:space="preserve"> Don Duberstein</t>
  </si>
  <si>
    <t xml:space="preserve"> Michael Stillman</t>
  </si>
  <si>
    <t>Amity Ventures</t>
  </si>
  <si>
    <t xml:space="preserve"> Carthona Capital</t>
  </si>
  <si>
    <t xml:space="preserve"> Cthulhu Ventures</t>
  </si>
  <si>
    <t xml:space="preserve"> Redbus Group</t>
  </si>
  <si>
    <t xml:space="preserve"> Runway Growth Capital</t>
  </si>
  <si>
    <t xml:space="preserve"> Cerca Partners</t>
  </si>
  <si>
    <t xml:space="preserve"> Delphi Midstream Partners</t>
  </si>
  <si>
    <t xml:space="preserve"> Delphi Technologies (Powertrain Systems segment)</t>
  </si>
  <si>
    <t xml:space="preserve"> Stephen Girsky</t>
  </si>
  <si>
    <t>ESAS Ventures</t>
  </si>
  <si>
    <t xml:space="preserve"> Ken Sobajima</t>
  </si>
  <si>
    <t xml:space="preserve"> Molex Ventures</t>
  </si>
  <si>
    <t xml:space="preserve"> Motherson Innovations</t>
  </si>
  <si>
    <t xml:space="preserve"> TechCrunch</t>
  </si>
  <si>
    <t xml:space="preserve"> Westcott</t>
  </si>
  <si>
    <t xml:space="preserve"> Chrysalis Capital Advisors</t>
  </si>
  <si>
    <t xml:space="preserve"> Evok Innovations</t>
  </si>
  <si>
    <t xml:space="preserve"> InterGen</t>
  </si>
  <si>
    <t xml:space="preserve"> TecTerra</t>
  </si>
  <si>
    <t xml:space="preserve"> Zone Startups Calgary</t>
  </si>
  <si>
    <t>Business Development Bank of Canada</t>
  </si>
  <si>
    <t xml:space="preserve"> Delta-v Capital</t>
  </si>
  <si>
    <t xml:space="preserve"> Adam Weissman</t>
  </si>
  <si>
    <t xml:space="preserve"> Alpha Intelligence Capital Fund</t>
  </si>
  <si>
    <t xml:space="preserve"> Bossa Nova Investimentos</t>
  </si>
  <si>
    <t xml:space="preserve"> Nicholas Berggruen</t>
  </si>
  <si>
    <t>Alexandre Massart</t>
  </si>
  <si>
    <t xml:space="preserve"> Alternative Strategic Investments</t>
  </si>
  <si>
    <t xml:space="preserve"> Concardis</t>
  </si>
  <si>
    <t xml:space="preserve"> Digital+ Partners</t>
  </si>
  <si>
    <t xml:space="preserve"> European Regional Development Fund</t>
  </si>
  <si>
    <t xml:space="preserve"> LeadX Capital Partners</t>
  </si>
  <si>
    <t xml:space="preserve"> Metro (Supermarkets)</t>
  </si>
  <si>
    <t xml:space="preserve"> Patrick Mielmann</t>
  </si>
  <si>
    <t xml:space="preserve"> Bonheur Holding</t>
  </si>
  <si>
    <t xml:space="preserve"> DP Energy Ireland</t>
  </si>
  <si>
    <t xml:space="preserve"> Fred. Olsen</t>
  </si>
  <si>
    <t xml:space="preserve"> Ganger Rolf</t>
  </si>
  <si>
    <t xml:space="preserve"> Harland And Wolff Heavy Industries</t>
  </si>
  <si>
    <t xml:space="preserve"> Scotmarine</t>
  </si>
  <si>
    <t xml:space="preserve"> The Scottish Government</t>
  </si>
  <si>
    <t xml:space="preserve"> Citizen.VC</t>
  </si>
  <si>
    <t xml:space="preserve"> Intellectus Partners</t>
  </si>
  <si>
    <t xml:space="preserve"> Comcast LIFT labs</t>
  </si>
  <si>
    <t xml:space="preserve"> Microsoft Imagine Cup</t>
  </si>
  <si>
    <t xml:space="preserve"> Prototype Capital</t>
  </si>
  <si>
    <t xml:space="preserve"> Emera Maine</t>
  </si>
  <si>
    <t xml:space="preserve"> Government of Canada</t>
  </si>
  <si>
    <t xml:space="preserve"> Innovation Centre for Urban Energy</t>
  </si>
  <si>
    <t xml:space="preserve"> Nova Scotia Power</t>
  </si>
  <si>
    <t xml:space="preserve"> Smarter Grid Solutions</t>
  </si>
  <si>
    <t xml:space="preserve"> Toronto Hydro</t>
  </si>
  <si>
    <t>Franklin Templeton Investments</t>
  </si>
  <si>
    <t xml:space="preserve"> Joseph Zawadzki</t>
  </si>
  <si>
    <t>Department of Energy</t>
  </si>
  <si>
    <t xml:space="preserve"> MassVentures</t>
  </si>
  <si>
    <t xml:space="preserve"> Small Business Innovation Research</t>
  </si>
  <si>
    <t xml:space="preserve"> UJ Ventures</t>
  </si>
  <si>
    <t xml:space="preserve"> Benchmark (San Francisco)</t>
  </si>
  <si>
    <t xml:space="preserve"> Brian Sugar</t>
  </si>
  <si>
    <t xml:space="preserve"> Christopher Sacca</t>
  </si>
  <si>
    <t xml:space="preserve"> Corsa Ventures</t>
  </si>
  <si>
    <t xml:space="preserve"> Dipchand Nishar</t>
  </si>
  <si>
    <t xml:space="preserve"> Mitchell Kapor</t>
  </si>
  <si>
    <t xml:space="preserve"> Pharus Capital Management</t>
  </si>
  <si>
    <t xml:space="preserve"> Seth Berman</t>
  </si>
  <si>
    <t xml:space="preserve"> ZGC Innovation Center</t>
  </si>
  <si>
    <t xml:space="preserve"> IBM Alpha Zone accelerator</t>
  </si>
  <si>
    <t xml:space="preserve"> New Era Capital Partners</t>
  </si>
  <si>
    <t xml:space="preserve"> Ronald Cohen</t>
  </si>
  <si>
    <t xml:space="preserve"> Adam Smith</t>
  </si>
  <si>
    <t xml:space="preserve"> Amish Jani</t>
  </si>
  <si>
    <t xml:space="preserve"> Amit Shah</t>
  </si>
  <si>
    <t xml:space="preserve"> AOL</t>
  </si>
  <si>
    <t xml:space="preserve"> Cyber Communications</t>
  </si>
  <si>
    <t xml:space="preserve"> iGOTHAM</t>
  </si>
  <si>
    <t xml:space="preserve"> Indicator Ventures</t>
  </si>
  <si>
    <t xml:space="preserve"> IT Ventures</t>
  </si>
  <si>
    <t xml:space="preserve"> Josh Stomel</t>
  </si>
  <si>
    <t xml:space="preserve"> Mangrove Capital Partners</t>
  </si>
  <si>
    <t xml:space="preserve"> Saul Klein</t>
  </si>
  <si>
    <t xml:space="preserve"> Second Alpha Partners</t>
  </si>
  <si>
    <t xml:space="preserve"> yet2Ventures</t>
  </si>
  <si>
    <t xml:space="preserve"> Goldcrest Capital</t>
  </si>
  <si>
    <t xml:space="preserve"> SterlingVC</t>
  </si>
  <si>
    <t xml:space="preserve"> Cristóbal Conde</t>
  </si>
  <si>
    <t xml:space="preserve"> Dawn Capital</t>
  </si>
  <si>
    <t xml:space="preserve"> Japan Exchange Group</t>
  </si>
  <si>
    <t xml:space="preserve"> NEX Group</t>
  </si>
  <si>
    <t xml:space="preserve"> NEX Opportunities</t>
  </si>
  <si>
    <t xml:space="preserve"> David Brown</t>
  </si>
  <si>
    <t xml:space="preserve"> FirstGrowth Venture Network</t>
  </si>
  <si>
    <t>Demeter</t>
  </si>
  <si>
    <t xml:space="preserve"> Vermeer Energy</t>
  </si>
  <si>
    <t xml:space="preserve"> Access Venture Partners</t>
  </si>
  <si>
    <t xml:space="preserve"> Bracket Capital</t>
  </si>
  <si>
    <t xml:space="preserve"> Charmides Capital</t>
  </si>
  <si>
    <t xml:space="preserve"> Grey Wolf VC</t>
  </si>
  <si>
    <t xml:space="preserve"> Hawk Equity</t>
  </si>
  <si>
    <t xml:space="preserve"> Invitation Homes</t>
  </si>
  <si>
    <t xml:space="preserve"> Lennar</t>
  </si>
  <si>
    <t xml:space="preserve"> Solon Mack Capital</t>
  </si>
  <si>
    <t xml:space="preserve"> Start-Up Chile</t>
  </si>
  <si>
    <t xml:space="preserve"> Tank Hill Ventures</t>
  </si>
  <si>
    <t xml:space="preserve"> Travis Kalanick</t>
  </si>
  <si>
    <t xml:space="preserve"> Y Ventures</t>
  </si>
  <si>
    <t xml:space="preserve"> Aurinvest</t>
  </si>
  <si>
    <t xml:space="preserve"> Open Data Institute</t>
  </si>
  <si>
    <t xml:space="preserve"> The Connected Traveler</t>
  </si>
  <si>
    <t xml:space="preserve"> Boston Seed Capital</t>
  </si>
  <si>
    <t xml:space="preserve"> Gad Liwerant</t>
  </si>
  <si>
    <t>AlphaBlock Investments</t>
  </si>
  <si>
    <t xml:space="preserve"> Arrington XRP Capital</t>
  </si>
  <si>
    <t xml:space="preserve"> Consellior</t>
  </si>
  <si>
    <t xml:space="preserve"> Consensus FinTech Group</t>
  </si>
  <si>
    <t xml:space="preserve"> Elena Baronoff</t>
  </si>
  <si>
    <t xml:space="preserve"> François Paulus</t>
  </si>
  <si>
    <t xml:space="preserve"> Genesis Block Capital</t>
  </si>
  <si>
    <t xml:space="preserve"> MI Ventures</t>
  </si>
  <si>
    <t xml:space="preserve"> Tseung Kwan Ventures</t>
  </si>
  <si>
    <t xml:space="preserve"> Vanbex Group</t>
  </si>
  <si>
    <t xml:space="preserve"> Yeoman's Capital</t>
  </si>
  <si>
    <t xml:space="preserve"> Amrish Rau</t>
  </si>
  <si>
    <t xml:space="preserve"> AngelList</t>
  </si>
  <si>
    <t xml:space="preserve"> Apremaya Radhakrishnan</t>
  </si>
  <si>
    <t xml:space="preserve"> Archana Priyadarshini</t>
  </si>
  <si>
    <t xml:space="preserve"> Chiranth Patil</t>
  </si>
  <si>
    <t xml:space="preserve"> ISME Ace</t>
  </si>
  <si>
    <t xml:space="preserve"> Jitendra Gupta</t>
  </si>
  <si>
    <t xml:space="preserve"> Unicorn India Ventures</t>
  </si>
  <si>
    <t xml:space="preserve"> Vaibhav Domkudkar</t>
  </si>
  <si>
    <t>42CAP</t>
  </si>
  <si>
    <t xml:space="preserve"> All Iron Ventures</t>
  </si>
  <si>
    <t xml:space="preserve"> Ecomobility Ventures</t>
  </si>
  <si>
    <t xml:space="preserve"> La Famiglia</t>
  </si>
  <si>
    <t xml:space="preserve"> Samaipata</t>
  </si>
  <si>
    <t xml:space="preserve"> DEFTA Partners</t>
  </si>
  <si>
    <t>5xmais</t>
  </si>
  <si>
    <t xml:space="preserve"> Andy Rachleff</t>
  </si>
  <si>
    <t xml:space="preserve"> Arzan Venture Capital</t>
  </si>
  <si>
    <t xml:space="preserve"> Bradley Feld</t>
  </si>
  <si>
    <t xml:space="preserve"> Fadi Ghandour</t>
  </si>
  <si>
    <t xml:space="preserve"> Federico Pirzio-Biroli</t>
  </si>
  <si>
    <t xml:space="preserve"> Geekdom SF</t>
  </si>
  <si>
    <t xml:space="preserve"> Jason Cahill</t>
  </si>
  <si>
    <t xml:space="preserve"> Joshua Greenough</t>
  </si>
  <si>
    <t xml:space="preserve"> Peter Lehrman</t>
  </si>
  <si>
    <t xml:space="preserve"> Semil Shah</t>
  </si>
  <si>
    <t xml:space="preserve"> Will Bunker</t>
  </si>
  <si>
    <t xml:space="preserve"> Winklevoss Capital Management</t>
  </si>
  <si>
    <t xml:space="preserve"> Akash Gupta</t>
  </si>
  <si>
    <t xml:space="preserve"> Brent Hoberman</t>
  </si>
  <si>
    <t xml:space="preserve"> Brightbridge Ventures</t>
  </si>
  <si>
    <t xml:space="preserve"> Crane Venture Partners</t>
  </si>
  <si>
    <t xml:space="preserve"> Dominic Myers</t>
  </si>
  <si>
    <t xml:space="preserve"> Frédéric Mazzella</t>
  </si>
  <si>
    <t xml:space="preserve"> Hays Technology Ventures</t>
  </si>
  <si>
    <t xml:space="preserve"> John Horan</t>
  </si>
  <si>
    <t xml:space="preserve"> Manara Capital</t>
  </si>
  <si>
    <t xml:space="preserve"> Manoj Badale</t>
  </si>
  <si>
    <t xml:space="preserve"> Mark Hand</t>
  </si>
  <si>
    <t xml:space="preserve"> Matteo Berlucchi</t>
  </si>
  <si>
    <t xml:space="preserve"> Oxford Accelerator</t>
  </si>
  <si>
    <t xml:space="preserve"> Oxford University Innovation</t>
  </si>
  <si>
    <t xml:space="preserve"> Saïd Business School</t>
  </si>
  <si>
    <t xml:space="preserve"> Simon Heath</t>
  </si>
  <si>
    <t xml:space="preserve"> Spencer Hyman</t>
  </si>
  <si>
    <t xml:space="preserve"> Startup Funding Club</t>
  </si>
  <si>
    <t xml:space="preserve"> Steve Bailey</t>
  </si>
  <si>
    <t xml:space="preserve"> Tempo Capital Partners</t>
  </si>
  <si>
    <t xml:space="preserve"> Tony Kaye</t>
  </si>
  <si>
    <t xml:space="preserve"> University of Oxford Endowment</t>
  </si>
  <si>
    <t xml:space="preserve"> Wellington Partners</t>
  </si>
  <si>
    <t xml:space="preserve"> Amos Ben-Meir</t>
  </si>
  <si>
    <t xml:space="preserve"> Benhamou Global Ventures</t>
  </si>
  <si>
    <t xml:space="preserve"> Frank Willemsen</t>
  </si>
  <si>
    <t xml:space="preserve"> Nick Mehta</t>
  </si>
  <si>
    <t xml:space="preserve"> Lightspeed India Partners Advisors</t>
  </si>
  <si>
    <t xml:space="preserve"> Everplus Capital</t>
  </si>
  <si>
    <t xml:space="preserve"> Gil Fronzaglia</t>
  </si>
  <si>
    <t xml:space="preserve"> Halcyon Incubator</t>
  </si>
  <si>
    <t xml:space="preserve"> Harbinger Ventures</t>
  </si>
  <si>
    <t xml:space="preserve"> Robert Craig</t>
  </si>
  <si>
    <t>.406 Ventures</t>
  </si>
  <si>
    <t xml:space="preserve"> Arsenal Growth</t>
  </si>
  <si>
    <t xml:space="preserve"> Investment Group of Santa Barbara</t>
  </si>
  <si>
    <t xml:space="preserve"> LLR Partners</t>
  </si>
  <si>
    <t xml:space="preserve"> Mark Galperin</t>
  </si>
  <si>
    <t xml:space="preserve"> Lawrence Braitman</t>
  </si>
  <si>
    <t xml:space="preserve"> Virtual Reality Investments</t>
  </si>
  <si>
    <t xml:space="preserve"> Wonder Ventures</t>
  </si>
  <si>
    <t>Atlantic Labs</t>
  </si>
  <si>
    <t xml:space="preserve"> Eric Wahlforss</t>
  </si>
  <si>
    <t xml:space="preserve"> Gene Zimon</t>
  </si>
  <si>
    <t xml:space="preserve"> Hillhouse Capital Group</t>
  </si>
  <si>
    <t xml:space="preserve"> Kinnevik</t>
  </si>
  <si>
    <t xml:space="preserve"> Sebastian Siemiatkowski</t>
  </si>
  <si>
    <t xml:space="preserve"> Witt Capital Partners</t>
  </si>
  <si>
    <t xml:space="preserve"> Frances Helgesen</t>
  </si>
  <si>
    <t xml:space="preserve"> Joshua Buckley</t>
  </si>
  <si>
    <t xml:space="preserve"> Kenneth Hertz</t>
  </si>
  <si>
    <t xml:space="preserve"> M&amp;Y Growth Partners</t>
  </si>
  <si>
    <t xml:space="preserve"> Macro (Media Platform)</t>
  </si>
  <si>
    <t xml:space="preserve"> Will Sternlicht</t>
  </si>
  <si>
    <t>Adam Press</t>
  </si>
  <si>
    <t xml:space="preserve"> Jason Finger</t>
  </si>
  <si>
    <t xml:space="preserve"> PTK Capital</t>
  </si>
  <si>
    <t xml:space="preserve"> Rancilio Cube</t>
  </si>
  <si>
    <t xml:space="preserve"> Rick Heitzmann</t>
  </si>
  <si>
    <t xml:space="preserve"> RSE Ventures</t>
  </si>
  <si>
    <t xml:space="preserve"> Saturn Partners</t>
  </si>
  <si>
    <t xml:space="preserve"> The Eisner Foundation</t>
  </si>
  <si>
    <t xml:space="preserve"> The Tornante Company</t>
  </si>
  <si>
    <t>ARC Angel Fund</t>
  </si>
  <si>
    <t xml:space="preserve"> Rosecliff Venture Partners</t>
  </si>
  <si>
    <t xml:space="preserve"> Alliance of Angels</t>
  </si>
  <si>
    <t xml:space="preserve"> Altimeter Capital</t>
  </si>
  <si>
    <t xml:space="preserve"> Amit Mital</t>
  </si>
  <si>
    <t xml:space="preserve"> Andrew Wright</t>
  </si>
  <si>
    <t xml:space="preserve"> Aniruddha Rudy Gadre</t>
  </si>
  <si>
    <t xml:space="preserve"> Joe Giordano</t>
  </si>
  <si>
    <t xml:space="preserve"> John Keister</t>
  </si>
  <si>
    <t xml:space="preserve"> Serena Glover</t>
  </si>
  <si>
    <t xml:space="preserve"> Tihan Seale</t>
  </si>
  <si>
    <t xml:space="preserve"> Serena Capital</t>
  </si>
  <si>
    <t>Comet Labs</t>
  </si>
  <si>
    <t xml:space="preserve"> Decent Capital</t>
  </si>
  <si>
    <t xml:space="preserve"> F50</t>
  </si>
  <si>
    <t xml:space="preserve"> Li Qing Zeng</t>
  </si>
  <si>
    <t xml:space="preserve"> PreAngel</t>
  </si>
  <si>
    <t xml:space="preserve"> Radiant Venture Capital</t>
  </si>
  <si>
    <t>Kleiner Perkins</t>
  </si>
  <si>
    <t>Abbe Raven</t>
  </si>
  <si>
    <t xml:space="preserve"> Akatsuki Entertainment Technology Fund</t>
  </si>
  <si>
    <t xml:space="preserve"> Anheuser-Busch InBev</t>
  </si>
  <si>
    <t xml:space="preserve"> Day One Ventures</t>
  </si>
  <si>
    <t xml:space="preserve"> Human Ventures</t>
  </si>
  <si>
    <t xml:space="preserve"> Joshua Kushner</t>
  </si>
  <si>
    <t>Energy Innovation Capital</t>
  </si>
  <si>
    <t xml:space="preserve"> Teledyne Technologies</t>
  </si>
  <si>
    <t xml:space="preserve"> Daniel Debow</t>
  </si>
  <si>
    <t xml:space="preserve"> GII Tech</t>
  </si>
  <si>
    <t xml:space="preserve"> Lee Lau</t>
  </si>
  <si>
    <t xml:space="preserve"> MasterCard Start Path Accelerator</t>
  </si>
  <si>
    <t xml:space="preserve"> The Next Canada</t>
  </si>
  <si>
    <t xml:space="preserve"> Melissa Hartwig</t>
  </si>
  <si>
    <t xml:space="preserve"> Reason Venture Partners</t>
  </si>
  <si>
    <t xml:space="preserve"> Stray Dog Capital</t>
  </si>
  <si>
    <t xml:space="preserve"> Trail Post Ventures</t>
  </si>
  <si>
    <t xml:space="preserve"> VegInvest</t>
  </si>
  <si>
    <t>Aileen Lee</t>
  </si>
  <si>
    <t xml:space="preserve"> Brian Spaly</t>
  </si>
  <si>
    <t xml:space="preserve"> Cowboy Ventures</t>
  </si>
  <si>
    <t xml:space="preserve"> Creative Artists Agency</t>
  </si>
  <si>
    <t xml:space="preserve"> Ellie Wheeler</t>
  </si>
  <si>
    <t xml:space="preserve"> Noah Lichtenstein</t>
  </si>
  <si>
    <t xml:space="preserve"> Rachel Rosenzweig</t>
  </si>
  <si>
    <t xml:space="preserve"> The Argentum Group</t>
  </si>
  <si>
    <t>Blue Ant Investments</t>
  </si>
  <si>
    <t xml:space="preserve"> Center Electric</t>
  </si>
  <si>
    <t xml:space="preserve"> Mango Capital (Venture Capital)</t>
  </si>
  <si>
    <t xml:space="preserve"> Sigma Prime Ventures</t>
  </si>
  <si>
    <t xml:space="preserve"> Wayne Chang</t>
  </si>
  <si>
    <t>2B Angels</t>
  </si>
  <si>
    <t>Ben Franklin Technology Partners of Central and Northern Pennsylvania</t>
  </si>
  <si>
    <t xml:space="preserve"> Kemet</t>
  </si>
  <si>
    <t xml:space="preserve"> Life Sciences Greenhouse of Central Pennsylvania</t>
  </si>
  <si>
    <t>Acceleprise</t>
  </si>
  <si>
    <t xml:space="preserve"> Bialla Venture Partners</t>
  </si>
  <si>
    <t xml:space="preserve"> FoundersX Ventures</t>
  </si>
  <si>
    <t xml:space="preserve"> Energimyndigheten</t>
  </si>
  <si>
    <t xml:space="preserve"> KIC InnoEnergy</t>
  </si>
  <si>
    <t xml:space="preserve"> Scania</t>
  </si>
  <si>
    <t xml:space="preserve"> Skelleftea Kraft</t>
  </si>
  <si>
    <t xml:space="preserve"> Stena</t>
  </si>
  <si>
    <t xml:space="preserve"> Vargas</t>
  </si>
  <si>
    <t xml:space="preserve"> Vinnova</t>
  </si>
  <si>
    <t>Aljomaih Holding</t>
  </si>
  <si>
    <t xml:space="preserve"> Arconic</t>
  </si>
  <si>
    <t xml:space="preserve"> Empire State Development</t>
  </si>
  <si>
    <t xml:space="preserve"> Insight Equity</t>
  </si>
  <si>
    <t xml:space="preserve"> Rose Park Advisors</t>
  </si>
  <si>
    <t xml:space="preserve"> KPMG Capital</t>
  </si>
  <si>
    <t>European Union</t>
  </si>
  <si>
    <t xml:space="preserve"> Aon</t>
  </si>
  <si>
    <t xml:space="preserve"> Belle Capital</t>
  </si>
  <si>
    <t xml:space="preserve"> Hanhai Studio</t>
  </si>
  <si>
    <t xml:space="preserve"> Lucas Point Ventures</t>
  </si>
  <si>
    <t xml:space="preserve"> US-China Association of High-Level Professionals</t>
  </si>
  <si>
    <t>Aglaé Ventures</t>
  </si>
  <si>
    <t xml:space="preserve"> Han-Sing Hi-Tech Fund</t>
  </si>
  <si>
    <t xml:space="preserve"> InterVest Company</t>
  </si>
  <si>
    <t xml:space="preserve"> Jan Koum</t>
  </si>
  <si>
    <t xml:space="preserve"> LaunchTime</t>
  </si>
  <si>
    <t xml:space="preserve"> m8 Capital</t>
  </si>
  <si>
    <t xml:space="preserve"> New York Digital Health Innovation Lab</t>
  </si>
  <si>
    <t xml:space="preserve"> Scooter Braun</t>
  </si>
  <si>
    <t xml:space="preserve"> Tony Xu</t>
  </si>
  <si>
    <t>Bullish</t>
  </si>
  <si>
    <t xml:space="preserve"> Stephen Chamberlin</t>
  </si>
  <si>
    <t xml:space="preserve"> Tandem Capital</t>
  </si>
  <si>
    <t xml:space="preserve"> Adam Schwartz</t>
  </si>
  <si>
    <t xml:space="preserve"> Advisors.Fund</t>
  </si>
  <si>
    <t xml:space="preserve"> Backstage Capital</t>
  </si>
  <si>
    <t xml:space="preserve"> Eric Kwan</t>
  </si>
  <si>
    <t xml:space="preserve"> Incite Ventures (Burlingame)</t>
  </si>
  <si>
    <t xml:space="preserve"> Katalyst Ventures</t>
  </si>
  <si>
    <t xml:space="preserve"> NewDo Venture</t>
  </si>
  <si>
    <t xml:space="preserve"> Oliver Thylmann</t>
  </si>
  <si>
    <t xml:space="preserve"> XFactor Ventures</t>
  </si>
  <si>
    <t>Anschutz Ventures Group</t>
  </si>
  <si>
    <t xml:space="preserve"> Avalon Ventures</t>
  </si>
  <si>
    <t xml:space="preserve"> Aventura VC</t>
  </si>
  <si>
    <t xml:space="preserve"> CEB</t>
  </si>
  <si>
    <t xml:space="preserve"> David Brewer</t>
  </si>
  <si>
    <t xml:space="preserve"> Dreamers VC</t>
  </si>
  <si>
    <t xml:space="preserve"> Falmouth Ventures</t>
  </si>
  <si>
    <t xml:space="preserve"> Linnea Roberts</t>
  </si>
  <si>
    <t xml:space="preserve"> Marc Weiss</t>
  </si>
  <si>
    <t xml:space="preserve"> Michael Stark</t>
  </si>
  <si>
    <t xml:space="preserve"> SierraMaya360</t>
  </si>
  <si>
    <t xml:space="preserve"> Sway Ventures</t>
  </si>
  <si>
    <t xml:space="preserve"> Otto Capital</t>
  </si>
  <si>
    <t>2x Consumer Products Growth Partners</t>
  </si>
  <si>
    <t>Breakaway Growth</t>
  </si>
  <si>
    <t xml:space="preserve"> CNET Networks</t>
  </si>
  <si>
    <t xml:space="preserve"> Geoff Judge</t>
  </si>
  <si>
    <t xml:space="preserve"> North Atlantic Capital</t>
  </si>
  <si>
    <t xml:space="preserve"> Panorama Capital</t>
  </si>
  <si>
    <t xml:space="preserve"> Peter Bordes</t>
  </si>
  <si>
    <t xml:space="preserve"> Strategis Early Ventures</t>
  </si>
  <si>
    <t>Monsanto Growth Ventures</t>
  </si>
  <si>
    <t xml:space="preserve"> Nimbus Therapeutics</t>
  </si>
  <si>
    <t xml:space="preserve"> aXiomatic</t>
  </si>
  <si>
    <t xml:space="preserve"> Fuji Television Network</t>
  </si>
  <si>
    <t xml:space="preserve"> Javelin Ventures</t>
  </si>
  <si>
    <t xml:space="preserve"> NetEase</t>
  </si>
  <si>
    <t xml:space="preserve"> Nintendo</t>
  </si>
  <si>
    <t xml:space="preserve"> The Pokemon Company</t>
  </si>
  <si>
    <t>City Light Capital</t>
  </si>
  <si>
    <t xml:space="preserve"> DSM Venturing</t>
  </si>
  <si>
    <t xml:space="preserve"> King Abdulaziz City For Science &amp; Technology</t>
  </si>
  <si>
    <t xml:space="preserve"> Koninklijke DSM</t>
  </si>
  <si>
    <t xml:space="preserve"> McClendon Children's Trust</t>
  </si>
  <si>
    <t xml:space="preserve"> McClendon Venture Company</t>
  </si>
  <si>
    <t xml:space="preserve"> Morgan Stanley</t>
  </si>
  <si>
    <t xml:space="preserve"> Shashi Shetty</t>
  </si>
  <si>
    <t xml:space="preserve"> Taqnia International</t>
  </si>
  <si>
    <t>Capital Union Investments</t>
  </si>
  <si>
    <t xml:space="preserve"> China Assets (Holdings)</t>
  </si>
  <si>
    <t xml:space="preserve"> China Media Capital</t>
  </si>
  <si>
    <t xml:space="preserve"> CITIC Guoan Information Industry Company</t>
  </si>
  <si>
    <t xml:space="preserve"> Clarence Ling</t>
  </si>
  <si>
    <t xml:space="preserve"> Dick Clark Productions</t>
  </si>
  <si>
    <t xml:space="preserve"> Formation Group</t>
  </si>
  <si>
    <t xml:space="preserve"> Founder Group</t>
  </si>
  <si>
    <t xml:space="preserve"> Ironfire Ventures</t>
  </si>
  <si>
    <t xml:space="preserve"> Lyon Wong</t>
  </si>
  <si>
    <t xml:space="preserve"> MSG Networks</t>
  </si>
  <si>
    <t xml:space="preserve"> Next Play Capital</t>
  </si>
  <si>
    <t xml:space="preserve"> Peter Guber</t>
  </si>
  <si>
    <t xml:space="preserve"> S28 Capital</t>
  </si>
  <si>
    <t xml:space="preserve"> Pokora Capital</t>
  </si>
  <si>
    <t xml:space="preserve"> Ventura Capital</t>
  </si>
  <si>
    <t xml:space="preserve"> Bio Research &amp; Development Growth Park</t>
  </si>
  <si>
    <t xml:space="preserve"> Open Prairie Ventures</t>
  </si>
  <si>
    <t xml:space="preserve"> Otter Capital</t>
  </si>
  <si>
    <t xml:space="preserve"> Palo Alto Investors</t>
  </si>
  <si>
    <t xml:space="preserve"> Pangaea Ventures</t>
  </si>
  <si>
    <t xml:space="preserve"> St. Louis Arch Angels</t>
  </si>
  <si>
    <t>Cambridge Angels</t>
  </si>
  <si>
    <t xml:space="preserve"> Draper Esprit</t>
  </si>
  <si>
    <t xml:space="preserve"> Spinner Asset Management</t>
  </si>
  <si>
    <t xml:space="preserve"> Spring Lake Equity Partners</t>
  </si>
  <si>
    <t xml:space="preserve"> Tran Ventures</t>
  </si>
  <si>
    <t>Gidi Shenholz</t>
  </si>
  <si>
    <t xml:space="preserve"> SmartDrive</t>
  </si>
  <si>
    <t xml:space="preserve"> Tel Aviv Angel Group</t>
  </si>
  <si>
    <t xml:space="preserve"> The Bridge by Coca-Cola</t>
  </si>
  <si>
    <t xml:space="preserve"> Zahi Zloter</t>
  </si>
  <si>
    <t>Alan Shor</t>
  </si>
  <si>
    <t xml:space="preserve"> Global Founders Capital</t>
  </si>
  <si>
    <t xml:space="preserve"> Serena Ventures</t>
  </si>
  <si>
    <t>Innovation Industries</t>
  </si>
  <si>
    <t xml:space="preserve"> Innovation Industries (Amsterdam)</t>
  </si>
  <si>
    <t xml:space="preserve"> The Netherlands Organisation</t>
  </si>
  <si>
    <t xml:space="preserve"> JP Morgan Asset Management</t>
  </si>
  <si>
    <t>Accenture Ventures</t>
  </si>
  <si>
    <t xml:space="preserve"> Canapi</t>
  </si>
  <si>
    <t xml:space="preserve"> Eugene Ludwig</t>
  </si>
  <si>
    <t xml:space="preserve"> Harbor Island Equity Partners</t>
  </si>
  <si>
    <t xml:space="preserve"> James Mahan</t>
  </si>
  <si>
    <t>Amicus Capital</t>
  </si>
  <si>
    <t xml:space="preserve"> Arba Seed Investment Group</t>
  </si>
  <si>
    <t xml:space="preserve"> KEC Ventures</t>
  </si>
  <si>
    <t xml:space="preserve"> IDEO Futures</t>
  </si>
  <si>
    <t>Arpa-E</t>
  </si>
  <si>
    <t xml:space="preserve"> Fluxus Ventures</t>
  </si>
  <si>
    <t xml:space="preserve"> NanoDimension</t>
  </si>
  <si>
    <t xml:space="preserve"> RezVen Partners</t>
  </si>
  <si>
    <t xml:space="preserve"> Alex Bard</t>
  </si>
  <si>
    <t xml:space="preserve"> Hero City at Draper University</t>
  </si>
  <si>
    <t xml:space="preserve"> Specialized Types</t>
  </si>
  <si>
    <t>Act One Ventures</t>
  </si>
  <si>
    <t xml:space="preserve"> Blue Collective</t>
  </si>
  <si>
    <t>180 Degree Capital</t>
  </si>
  <si>
    <t xml:space="preserve"> Bantam Group</t>
  </si>
  <si>
    <t xml:space="preserve"> China Fortune-Tech Capital</t>
  </si>
  <si>
    <t xml:space="preserve"> Joe Caruso</t>
  </si>
  <si>
    <t xml:space="preserve"> Joseph Sanberg</t>
  </si>
  <si>
    <t xml:space="preserve"> Kingston Technology Company</t>
  </si>
  <si>
    <t xml:space="preserve"> ZMT Capital</t>
  </si>
  <si>
    <t xml:space="preserve"> BOE Optoelectronics</t>
  </si>
  <si>
    <t xml:space="preserve"> California Public Employees Retirement System</t>
  </si>
  <si>
    <t xml:space="preserve"> CDIB BioScience Venture Management</t>
  </si>
  <si>
    <t xml:space="preserve"> CDIB Capital Group</t>
  </si>
  <si>
    <t xml:space="preserve"> Chiao Tung Bank</t>
  </si>
  <si>
    <t xml:space="preserve"> Coreo</t>
  </si>
  <si>
    <t xml:space="preserve"> CW Group</t>
  </si>
  <si>
    <t xml:space="preserve"> Docomo Innovations</t>
  </si>
  <si>
    <t xml:space="preserve"> H.B. Fuller Ventures</t>
  </si>
  <si>
    <t xml:space="preserve"> Kodak Venture Group</t>
  </si>
  <si>
    <t xml:space="preserve"> Masters Capital Management</t>
  </si>
  <si>
    <t xml:space="preserve"> Medtronic</t>
  </si>
  <si>
    <t xml:space="preserve"> Prospect Venture Partners</t>
  </si>
  <si>
    <t xml:space="preserve"> Quanta Computer</t>
  </si>
  <si>
    <t xml:space="preserve"> SAIC Venture Capital</t>
  </si>
  <si>
    <t xml:space="preserve"> Three Arch Partners</t>
  </si>
  <si>
    <t xml:space="preserve"> UOB Venture Management</t>
  </si>
  <si>
    <t xml:space="preserve"> Wasatch Advisors</t>
  </si>
  <si>
    <t xml:space="preserve"> Chrysalix Venture Capital</t>
  </si>
  <si>
    <t xml:space="preserve"> Cycad Group</t>
  </si>
  <si>
    <t xml:space="preserve"> D'Ieteren</t>
  </si>
  <si>
    <t xml:space="preserve"> Ervin Industries</t>
  </si>
  <si>
    <t xml:space="preserve"> Lear</t>
  </si>
  <si>
    <t xml:space="preserve"> Octane Capital Management</t>
  </si>
  <si>
    <t xml:space="preserve"> Société de Participation et de Gestion</t>
  </si>
  <si>
    <t>Deepwork Capital</t>
  </si>
  <si>
    <t xml:space="preserve"> Florida Institute for the Commercialization of Public Research</t>
  </si>
  <si>
    <t xml:space="preserve"> Apax Partners</t>
  </si>
  <si>
    <t xml:space="preserve"> Northstar Ventures</t>
  </si>
  <si>
    <t xml:space="preserve"> Physio-Control</t>
  </si>
  <si>
    <t xml:space="preserve"> Sevin Rosen Funds</t>
  </si>
  <si>
    <t xml:space="preserve"> Star Ventures</t>
  </si>
  <si>
    <t xml:space="preserve"> Cultivation Capital</t>
  </si>
  <si>
    <t xml:space="preserve"> Fulcrum Global Capital</t>
  </si>
  <si>
    <t xml:space="preserve"> Yield Lab</t>
  </si>
  <si>
    <t xml:space="preserve"> VertueLab</t>
  </si>
  <si>
    <t xml:space="preserve"> Hardy Capital Partners</t>
  </si>
  <si>
    <t xml:space="preserve"> Picus Capital</t>
  </si>
  <si>
    <t xml:space="preserve"> ScaleUP Ventures</t>
  </si>
  <si>
    <t xml:space="preserve"> Village Global</t>
  </si>
  <si>
    <t xml:space="preserve"> Korea-Seoul Life Science Fund</t>
  </si>
  <si>
    <t xml:space="preserve"> Half Court Ventures</t>
  </si>
  <si>
    <t xml:space="preserve"> United States Air Force</t>
  </si>
  <si>
    <t xml:space="preserve"> University of Michigan Endowment</t>
  </si>
  <si>
    <t>Blue Sky Alternative Investments</t>
  </si>
  <si>
    <t xml:space="preserve"> exactEarth</t>
  </si>
  <si>
    <t xml:space="preserve"> Main Sequence Ventures</t>
  </si>
  <si>
    <t xml:space="preserve"> Right Click Capital</t>
  </si>
  <si>
    <t xml:space="preserve"> University of South Australia Endowment</t>
  </si>
  <si>
    <t>Bokwang</t>
  </si>
  <si>
    <t xml:space="preserve"> DT Capital Partners</t>
  </si>
  <si>
    <t xml:space="preserve"> KTB Network</t>
  </si>
  <si>
    <t xml:space="preserve"> Startup Sauna</t>
  </si>
  <si>
    <t xml:space="preserve"> Stonebridge Capital</t>
  </si>
  <si>
    <t xml:space="preserve"> Timewise Investment</t>
  </si>
  <si>
    <t xml:space="preserve"> Ambient Sound Investments</t>
  </si>
  <si>
    <t xml:space="preserve"> Neuhaus Partners</t>
  </si>
  <si>
    <t xml:space="preserve"> Bertelsmann Asia Investments</t>
  </si>
  <si>
    <t>ADM Capital</t>
  </si>
  <si>
    <t xml:space="preserve"> Ajinomoto</t>
  </si>
  <si>
    <t xml:space="preserve"> Bunge (US)</t>
  </si>
  <si>
    <t xml:space="preserve"> Bunge Ventures</t>
  </si>
  <si>
    <t xml:space="preserve"> Closed Loop Capital</t>
  </si>
  <si>
    <t xml:space="preserve"> Continental Grain Company</t>
  </si>
  <si>
    <t xml:space="preserve"> DNS-Hiitake LLC</t>
  </si>
  <si>
    <t xml:space="preserve"> Eighteen94 Capital</t>
  </si>
  <si>
    <t xml:space="preserve"> Ephraim Lindenbaum</t>
  </si>
  <si>
    <t xml:space="preserve"> Eric Mccarthey</t>
  </si>
  <si>
    <t xml:space="preserve"> Kingdom Capital Group</t>
  </si>
  <si>
    <t xml:space="preserve"> Paul Grossinger</t>
  </si>
  <si>
    <t xml:space="preserve"> Seventure Partners</t>
  </si>
  <si>
    <t xml:space="preserve"> TML-Invest</t>
  </si>
  <si>
    <t xml:space="preserve"> Windy City</t>
  </si>
  <si>
    <t>FinTech Global</t>
  </si>
  <si>
    <t xml:space="preserve"> Iyo Bank</t>
  </si>
  <si>
    <t xml:space="preserve"> Shigagin Lease Capital</t>
  </si>
  <si>
    <t xml:space="preserve"> Venture United</t>
  </si>
  <si>
    <t xml:space="preserve"> Clean Energy Venture Group</t>
  </si>
  <si>
    <t xml:space="preserve"> Ensys Capital</t>
  </si>
  <si>
    <t xml:space="preserve"> LakeBridge Capital</t>
  </si>
  <si>
    <t xml:space="preserve"> Northwater Capital Management</t>
  </si>
  <si>
    <t xml:space="preserve"> Point Financial</t>
  </si>
  <si>
    <t xml:space="preserve"> SABIC Ventures</t>
  </si>
  <si>
    <t xml:space="preserve"> Spinnaker Capital Group</t>
  </si>
  <si>
    <t xml:space="preserve"> Venture Development Center at the University of Massachusetts Boston</t>
  </si>
  <si>
    <t>Adam Bain</t>
  </si>
  <si>
    <t xml:space="preserve"> Bowery Capital</t>
  </si>
  <si>
    <t xml:space="preserve"> Chris Wiggins</t>
  </si>
  <si>
    <t xml:space="preserve"> Demis Hassabis</t>
  </si>
  <si>
    <t xml:space="preserve"> Greg Brockman</t>
  </si>
  <si>
    <t xml:space="preserve"> Mustafa Suleyman</t>
  </si>
  <si>
    <t xml:space="preserve"> Nikesh Arora</t>
  </si>
  <si>
    <t xml:space="preserve"> Richard Costolo</t>
  </si>
  <si>
    <t xml:space="preserve"> Sterling Partners Private Equity</t>
  </si>
  <si>
    <t xml:space="preserve"> Upslope Ventures</t>
  </si>
  <si>
    <t xml:space="preserve"> Blake Woodard</t>
  </si>
  <si>
    <t xml:space="preserve"> Bradley Schwartz</t>
  </si>
  <si>
    <t xml:space="preserve"> David Bellet</t>
  </si>
  <si>
    <t xml:space="preserve"> HOWZAT Partners</t>
  </si>
  <si>
    <t xml:space="preserve"> J.R. Johnson</t>
  </si>
  <si>
    <t xml:space="preserve"> Jeffrey Clarke</t>
  </si>
  <si>
    <t xml:space="preserve"> Summit</t>
  </si>
  <si>
    <t xml:space="preserve"> Robert Bosch</t>
  </si>
  <si>
    <t xml:space="preserve"> Jaws Ventures</t>
  </si>
  <si>
    <t xml:space="preserve"> Plug and Play-Singapore</t>
  </si>
  <si>
    <t>Anschutz Investment</t>
  </si>
  <si>
    <t xml:space="preserve"> Northport Investments</t>
  </si>
  <si>
    <t xml:space="preserve"> PointGuard Ventures</t>
  </si>
  <si>
    <t xml:space="preserve"> Sony Corporation of America</t>
  </si>
  <si>
    <t xml:space="preserve"> TeleSoft Partners</t>
  </si>
  <si>
    <t xml:space="preserve"> Waveland Capital Group</t>
  </si>
  <si>
    <t xml:space="preserve"> QED Investors</t>
  </si>
  <si>
    <t xml:space="preserve"> Fred Cheng</t>
  </si>
  <si>
    <t xml:space="preserve"> Min Wei</t>
  </si>
  <si>
    <t xml:space="preserve"> Thianh Lu</t>
  </si>
  <si>
    <t xml:space="preserve"> Sigma Labs</t>
  </si>
  <si>
    <t>Agricultural Bank of China</t>
  </si>
  <si>
    <t xml:space="preserve"> CITIC Capital</t>
  </si>
  <si>
    <t xml:space="preserve"> Wuxi government</t>
  </si>
  <si>
    <t>Ashton Kutcher</t>
  </si>
  <si>
    <t xml:space="preserve"> BRM Group</t>
  </si>
  <si>
    <t xml:space="preserve"> Guy Oseary</t>
  </si>
  <si>
    <t xml:space="preserve"> Keolis</t>
  </si>
  <si>
    <t xml:space="preserve"> LVMH Moët Hennessy Louis Vuitton</t>
  </si>
  <si>
    <t xml:space="preserve"> EMC Ireland Holdings</t>
  </si>
  <si>
    <t xml:space="preserve"> HCL Technologies</t>
  </si>
  <si>
    <t xml:space="preserve"> Michael Chalfen</t>
  </si>
  <si>
    <t xml:space="preserve"> Michael Tardif</t>
  </si>
  <si>
    <t xml:space="preserve"> ST Telemedia</t>
  </si>
  <si>
    <t xml:space="preserve"> Al Jazeera Al Hadina</t>
  </si>
  <si>
    <t xml:space="preserve"> Dario Suter</t>
  </si>
  <si>
    <t xml:space="preserve"> DCM Startups</t>
  </si>
  <si>
    <t xml:space="preserve"> Raffay</t>
  </si>
  <si>
    <t>European Venture Investment Group</t>
  </si>
  <si>
    <t xml:space="preserve"> Investin</t>
  </si>
  <si>
    <t xml:space="preserve"> Silvermedia</t>
  </si>
  <si>
    <t>Baillie Gifford</t>
  </si>
  <si>
    <t xml:space="preserve"> Collab by LumenLab</t>
  </si>
  <si>
    <t xml:space="preserve"> Fukuoka Financial Group</t>
  </si>
  <si>
    <t xml:space="preserve"> Ikeda Quanzhou Capital</t>
  </si>
  <si>
    <t xml:space="preserve"> MUFG Innovation Partners</t>
  </si>
  <si>
    <t xml:space="preserve"> Senshu Ikeda Capital</t>
  </si>
  <si>
    <t xml:space="preserve"> Sumitomo Mitsui Banking</t>
  </si>
  <si>
    <t>Draper Athena</t>
  </si>
  <si>
    <t xml:space="preserve"> Founders Den</t>
  </si>
  <si>
    <t xml:space="preserve"> Mirae Asset</t>
  </si>
  <si>
    <t xml:space="preserve"> Advantech Capital Partners</t>
  </si>
  <si>
    <t xml:space="preserve"> Gradient Ventures</t>
  </si>
  <si>
    <t xml:space="preserve"> HP Tech Ventures</t>
  </si>
  <si>
    <t xml:space="preserve"> Kakao Ventures</t>
  </si>
  <si>
    <t xml:space="preserve"> LG Electronics</t>
  </si>
  <si>
    <t xml:space="preserve"> NewGen Capital</t>
  </si>
  <si>
    <t xml:space="preserve"> Struck Capital</t>
  </si>
  <si>
    <t>Alpha Technologies</t>
  </si>
  <si>
    <t xml:space="preserve"> Blueprint Ventures</t>
  </si>
  <si>
    <t xml:space="preserve"> BDC Capital IT Venture Fund</t>
  </si>
  <si>
    <t xml:space="preserve"> Gordon Peter</t>
  </si>
  <si>
    <t xml:space="preserve"> Kristaps Ronka</t>
  </si>
  <si>
    <t xml:space="preserve"> Laurie Baggio</t>
  </si>
  <si>
    <t xml:space="preserve"> Robert Simon</t>
  </si>
  <si>
    <t xml:space="preserve"> TIMIA Capital</t>
  </si>
  <si>
    <t xml:space="preserve"> T-Mobile</t>
  </si>
  <si>
    <t>Hong Kong Science and Technology Parks</t>
  </si>
  <si>
    <t xml:space="preserve"> Muru-D</t>
  </si>
  <si>
    <t xml:space="preserve"> Speedshield Technologies</t>
  </si>
  <si>
    <t>Alliance of Angels</t>
  </si>
  <si>
    <t xml:space="preserve"> Arnold Venture Group</t>
  </si>
  <si>
    <t xml:space="preserve"> Bandgap Ventures</t>
  </si>
  <si>
    <t xml:space="preserve"> Coyote Capital</t>
  </si>
  <si>
    <t xml:space="preserve"> Golden Seeds</t>
  </si>
  <si>
    <t xml:space="preserve"> Keeler Investments Group</t>
  </si>
  <si>
    <t xml:space="preserve"> Steven Singh</t>
  </si>
  <si>
    <t xml:space="preserve"> Sunshine Tech</t>
  </si>
  <si>
    <t xml:space="preserve"> WRF Capital</t>
  </si>
  <si>
    <t xml:space="preserve"> Ammunition Design Group</t>
  </si>
  <si>
    <t xml:space="preserve"> Cynthia Padnos</t>
  </si>
  <si>
    <t xml:space="preserve"> Eoin Harrington</t>
  </si>
  <si>
    <t xml:space="preserve"> Nancy Pfund</t>
  </si>
  <si>
    <t xml:space="preserve"> Susan Feldman</t>
  </si>
  <si>
    <t>Bob Pasker</t>
  </si>
  <si>
    <t xml:space="preserve"> Symantec</t>
  </si>
  <si>
    <t xml:space="preserve"> Kyron Global Accelerator</t>
  </si>
  <si>
    <t xml:space="preserve"> Mumbai Angels</t>
  </si>
  <si>
    <t>Ally Corporate Finance</t>
  </si>
  <si>
    <t xml:space="preserve"> Big Sky Partners</t>
  </si>
  <si>
    <t xml:space="preserve"> Gefinor Capital</t>
  </si>
  <si>
    <t xml:space="preserve"> Jeffrey Brody</t>
  </si>
  <si>
    <t xml:space="preserve"> Limestone Capital Advisors</t>
  </si>
  <si>
    <t xml:space="preserve"> Sorrento Associates</t>
  </si>
  <si>
    <t xml:space="preserve"> Stratim Capital</t>
  </si>
  <si>
    <t xml:space="preserve"> New York City Economic Development</t>
  </si>
  <si>
    <t xml:space="preserve"> Bajaj Finance</t>
  </si>
  <si>
    <t xml:space="preserve"> Net 1 UEPS Technologies</t>
  </si>
  <si>
    <t xml:space="preserve"> Tree Line Asia</t>
  </si>
  <si>
    <t>Forestay Capital</t>
  </si>
  <si>
    <t xml:space="preserve"> NewAlpha Asset Management</t>
  </si>
  <si>
    <t xml:space="preserve"> Ascolta Ventures</t>
  </si>
  <si>
    <t xml:space="preserve"> Chris Carvalho</t>
  </si>
  <si>
    <t xml:space="preserve"> LionsGate Entertainment</t>
  </si>
  <si>
    <t xml:space="preserve"> Mtgx Mediafactory</t>
  </si>
  <si>
    <t xml:space="preserve"> Preon Capital Partners</t>
  </si>
  <si>
    <t xml:space="preserve"> Rincon Venture Partners</t>
  </si>
  <si>
    <t xml:space="preserve"> JMK Consumer Growth Partners</t>
  </si>
  <si>
    <t xml:space="preserve"> New Crop Capital</t>
  </si>
  <si>
    <t xml:space="preserve"> Allen DeBevoise</t>
  </si>
  <si>
    <t xml:space="preserve"> AMC Networks</t>
  </si>
  <si>
    <t xml:space="preserve"> AwesomenessTV</t>
  </si>
  <si>
    <t xml:space="preserve"> Code Advisors</t>
  </si>
  <si>
    <t xml:space="preserve"> Northgate Australian Ventures</t>
  </si>
  <si>
    <t>Atlantic Food Labs</t>
  </si>
  <si>
    <t xml:space="preserve"> Kärcher New Venture</t>
  </si>
  <si>
    <t xml:space="preserve"> New Protein Capital</t>
  </si>
  <si>
    <t xml:space="preserve"> Dimension Data</t>
  </si>
  <si>
    <t>Blue Bear Capital</t>
  </si>
  <si>
    <t xml:space="preserve"> Felton Group</t>
  </si>
  <si>
    <t xml:space="preserve"> Macquarie Group</t>
  </si>
  <si>
    <t xml:space="preserve"> R/GA Ventures</t>
  </si>
  <si>
    <t xml:space="preserve"> The Ballast Fund</t>
  </si>
  <si>
    <t xml:space="preserve"> UVA Funds</t>
  </si>
  <si>
    <t xml:space="preserve"> UVA LVG Seed Fund</t>
  </si>
  <si>
    <t>ArcTern Ventures</t>
  </si>
  <si>
    <t xml:space="preserve"> Asahi Kasei Corporate Venture Capital</t>
  </si>
  <si>
    <t xml:space="preserve"> Goddard Enterprises</t>
  </si>
  <si>
    <t xml:space="preserve"> GreenCentre Canada</t>
  </si>
  <si>
    <t xml:space="preserve"> GreenSky Capital</t>
  </si>
  <si>
    <t xml:space="preserve"> Innovation</t>
  </si>
  <si>
    <t xml:space="preserve"> Science and Economic Development Canada</t>
  </si>
  <si>
    <t xml:space="preserve"> Ontario Ministry of Agriculture</t>
  </si>
  <si>
    <t xml:space="preserve"> Food and Rural Affairs</t>
  </si>
  <si>
    <t>August Capital</t>
  </si>
  <si>
    <t xml:space="preserve"> Russia Partners</t>
  </si>
  <si>
    <t xml:space="preserve"> Siguler Guff &amp; Company</t>
  </si>
  <si>
    <t xml:space="preserve"> Aurus Capital</t>
  </si>
  <si>
    <t xml:space="preserve"> Cycle Capital/Ecofuel</t>
  </si>
  <si>
    <t xml:space="preserve"> Mitsubishi</t>
  </si>
  <si>
    <t>Anamitra Banerji</t>
  </si>
  <si>
    <t xml:space="preserve"> Carl Rosendale</t>
  </si>
  <si>
    <t xml:space="preserve"> Douglas Purdy</t>
  </si>
  <si>
    <t xml:space="preserve"> End Cue</t>
  </si>
  <si>
    <t xml:space="preserve"> Ethan Beard</t>
  </si>
  <si>
    <t xml:space="preserve"> Jeffery Marx</t>
  </si>
  <si>
    <t xml:space="preserve"> Jonathan Goldman</t>
  </si>
  <si>
    <t xml:space="preserve"> Lee Rierson</t>
  </si>
  <si>
    <t xml:space="preserve"> Walter Kortschak</t>
  </si>
  <si>
    <t>HV Holtzbrinck Ventures</t>
  </si>
  <si>
    <t xml:space="preserve"> WM Partners (Information Technology Services)</t>
  </si>
  <si>
    <t xml:space="preserve"> Keller Capital</t>
  </si>
  <si>
    <t>Anil Gaur</t>
  </si>
  <si>
    <t xml:space="preserve"> Ashish Toshniwal</t>
  </si>
  <si>
    <t xml:space="preserve"> Gabe Klein</t>
  </si>
  <si>
    <t xml:space="preserve"> Ikuo Hiraishi</t>
  </si>
  <si>
    <t xml:space="preserve"> Kambiz Hooshmand</t>
  </si>
  <si>
    <t xml:space="preserve"> Keith Teare</t>
  </si>
  <si>
    <t xml:space="preserve"> Kimi Iwamura</t>
  </si>
  <si>
    <t xml:space="preserve"> Porsche</t>
  </si>
  <si>
    <t xml:space="preserve"> Ron Drabkin</t>
  </si>
  <si>
    <t xml:space="preserve"> SAIC Motor</t>
  </si>
  <si>
    <t xml:space="preserve"> Sanjeev Kumar</t>
  </si>
  <si>
    <t xml:space="preserve"> Scott Kubly</t>
  </si>
  <si>
    <t xml:space="preserve"> Shigeru Urushihara</t>
  </si>
  <si>
    <t xml:space="preserve"> Vincent Fantegrossi</t>
  </si>
  <si>
    <t xml:space="preserve"> Viral Bajaria</t>
  </si>
  <si>
    <t>Jim Boyle</t>
  </si>
  <si>
    <t xml:space="preserve"> Kerlink</t>
  </si>
  <si>
    <t xml:space="preserve"> Madrone Capital Partners</t>
  </si>
  <si>
    <t xml:space="preserve"> TA Associates Management</t>
  </si>
  <si>
    <t>ATEL Capital Group</t>
  </si>
  <si>
    <t xml:space="preserve"> Atherton Venture Partners</t>
  </si>
  <si>
    <t xml:space="preserve"> Black Diamond Ventures</t>
  </si>
  <si>
    <t xml:space="preserve"> DynaFund Ventures</t>
  </si>
  <si>
    <t xml:space="preserve"> InterWest Healthcare Partners</t>
  </si>
  <si>
    <t xml:space="preserve"> McDonnell</t>
  </si>
  <si>
    <t xml:space="preserve"> Pentech Financial Services</t>
  </si>
  <si>
    <t xml:space="preserve"> Riordan &amp; McKinzie</t>
  </si>
  <si>
    <t xml:space="preserve"> Venture Law Group</t>
  </si>
  <si>
    <t xml:space="preserve"> Versant Venture Management</t>
  </si>
  <si>
    <t xml:space="preserve"> Zone Ventures</t>
  </si>
  <si>
    <t>Rusnano</t>
  </si>
  <si>
    <t xml:space="preserve"> Russian Venture Company</t>
  </si>
  <si>
    <t>Liberty Global (UK)</t>
  </si>
  <si>
    <t>Accenture Technology Ventures</t>
  </si>
  <si>
    <t xml:space="preserve"> Advanced Equities</t>
  </si>
  <si>
    <t xml:space="preserve"> Alpha Venture Capital</t>
  </si>
  <si>
    <t xml:space="preserve"> Amerindo Investment Advisors</t>
  </si>
  <si>
    <t xml:space="preserve"> Azure Capital Partners</t>
  </si>
  <si>
    <t xml:space="preserve"> Blade Ventures</t>
  </si>
  <si>
    <t xml:space="preserve"> C&amp;T Access Ventures Fund</t>
  </si>
  <si>
    <t xml:space="preserve"> Clearlake Capital Group</t>
  </si>
  <si>
    <t xml:space="preserve"> Comdisco Ventures</t>
  </si>
  <si>
    <t xml:space="preserve"> Credit Suisse</t>
  </si>
  <si>
    <t xml:space="preserve"> East Peak Capital</t>
  </si>
  <si>
    <t xml:space="preserve"> Gold Hill Capital</t>
  </si>
  <si>
    <t xml:space="preserve"> Oracle</t>
  </si>
  <si>
    <t xml:space="preserve"> Robertson Stephens</t>
  </si>
  <si>
    <t xml:space="preserve"> Sageview Capital</t>
  </si>
  <si>
    <t xml:space="preserve"> Sands Brothers &amp; Co</t>
  </si>
  <si>
    <t xml:space="preserve"> The Camelot Group</t>
  </si>
  <si>
    <t>AGC (Tokyo)</t>
  </si>
  <si>
    <t xml:space="preserve"> Autotech Ventures</t>
  </si>
  <si>
    <t xml:space="preserve"> Palo Alto Research Center</t>
  </si>
  <si>
    <t xml:space="preserve"> iSeed Ventures</t>
  </si>
  <si>
    <t xml:space="preserve"> Outbound Ventures</t>
  </si>
  <si>
    <t xml:space="preserve"> Victress Capital</t>
  </si>
  <si>
    <t xml:space="preserve"> Baruch Future Ventures</t>
  </si>
  <si>
    <t xml:space="preserve"> Engineering Capital</t>
  </si>
  <si>
    <t xml:space="preserve"> Cargill</t>
  </si>
  <si>
    <t xml:space="preserve"> Fifty Years</t>
  </si>
  <si>
    <t xml:space="preserve"> Gates Ventures</t>
  </si>
  <si>
    <t xml:space="preserve"> IndieBio</t>
  </si>
  <si>
    <t xml:space="preserve"> Inevitable Ventures</t>
  </si>
  <si>
    <t xml:space="preserve"> Jack Welch</t>
  </si>
  <si>
    <t xml:space="preserve"> Kyle Vogt</t>
  </si>
  <si>
    <t xml:space="preserve"> Richard Branson</t>
  </si>
  <si>
    <t>Foxlink</t>
  </si>
  <si>
    <t>Advent Venture Partners</t>
  </si>
  <si>
    <t xml:space="preserve"> Boudica Capital</t>
  </si>
  <si>
    <t xml:space="preserve"> CID Equity</t>
  </si>
  <si>
    <t xml:space="preserve"> Dow Employees' Pension Plan</t>
  </si>
  <si>
    <t xml:space="preserve"> InvestCare Partners</t>
  </si>
  <si>
    <t xml:space="preserve"> Ironwood Capital</t>
  </si>
  <si>
    <t xml:space="preserve"> McKesson</t>
  </si>
  <si>
    <t xml:space="preserve"> Oakwood Medical Investors</t>
  </si>
  <si>
    <t xml:space="preserve"> Rock Maple Ventures</t>
  </si>
  <si>
    <t xml:space="preserve"> Seneca Partners</t>
  </si>
  <si>
    <t xml:space="preserve"> Synthesis Capital</t>
  </si>
  <si>
    <t xml:space="preserve"> Tenet Healthcare</t>
  </si>
  <si>
    <t xml:space="preserve"> TGap Ventures</t>
  </si>
  <si>
    <t xml:space="preserve"> Highline BETA</t>
  </si>
  <si>
    <t xml:space="preserve"> Panache Ventures</t>
  </si>
  <si>
    <t xml:space="preserve"> The DMZ</t>
  </si>
  <si>
    <t xml:space="preserve"> ventureLAB (Markham)</t>
  </si>
  <si>
    <t xml:space="preserve"> Broad Beach Ventures</t>
  </si>
  <si>
    <t xml:space="preserve"> Evan Williams</t>
  </si>
  <si>
    <t xml:space="preserve"> Gary Vaynerchuk</t>
  </si>
  <si>
    <t xml:space="preserve"> Michael Ovitz</t>
  </si>
  <si>
    <t xml:space="preserve"> Philip Kaplan</t>
  </si>
  <si>
    <t xml:space="preserve"> Tim O'Reilly</t>
  </si>
  <si>
    <t xml:space="preserve"> Barry Baker</t>
  </si>
  <si>
    <t xml:space="preserve"> Bob Wright</t>
  </si>
  <si>
    <t xml:space="preserve"> Motorola Mobility Ventures</t>
  </si>
  <si>
    <t xml:space="preserve"> Windsor Street Capital</t>
  </si>
  <si>
    <t>Akamai Technologies</t>
  </si>
  <si>
    <t xml:space="preserve"> Azoic Ventures</t>
  </si>
  <si>
    <t xml:space="preserve"> Catalyst Investors</t>
  </si>
  <si>
    <t xml:space="preserve"> European Founders Fund</t>
  </si>
  <si>
    <t xml:space="preserve"> Lead Lap Enterprises</t>
  </si>
  <si>
    <t xml:space="preserve"> LGT Venture Philanthropy</t>
  </si>
  <si>
    <t xml:space="preserve"> Observatory Capital Management</t>
  </si>
  <si>
    <t xml:space="preserve"> Safeguard Scientifics</t>
  </si>
  <si>
    <t xml:space="preserve"> Searchlight Capital Partners</t>
  </si>
  <si>
    <t xml:space="preserve"> Vocap Investment Partners</t>
  </si>
  <si>
    <t>Canada Economic Development for Quebec Regions</t>
  </si>
  <si>
    <t xml:space="preserve"> Black Ocean Group</t>
  </si>
  <si>
    <t xml:space="preserve"> Dan Rose</t>
  </si>
  <si>
    <t xml:space="preserve"> David Goldberg</t>
  </si>
  <si>
    <t xml:space="preserve"> Jared Hecht</t>
  </si>
  <si>
    <t xml:space="preserve"> Jim Wiatt</t>
  </si>
  <si>
    <t xml:space="preserve"> John Legend</t>
  </si>
  <si>
    <t xml:space="preserve"> Josh Abramowitz</t>
  </si>
  <si>
    <t xml:space="preserve"> Max Burger</t>
  </si>
  <si>
    <t xml:space="preserve"> Sky Dayton</t>
  </si>
  <si>
    <t xml:space="preserve"> Steve Martocci</t>
  </si>
  <si>
    <t>Bill Budinger</t>
  </si>
  <si>
    <t xml:space="preserve"> Borealis Ventures</t>
  </si>
  <si>
    <t xml:space="preserve"> Building Ventures</t>
  </si>
  <si>
    <t xml:space="preserve"> Camber Creek</t>
  </si>
  <si>
    <t xml:space="preserve"> Concrete VC</t>
  </si>
  <si>
    <t xml:space="preserve"> DivcoWest</t>
  </si>
  <si>
    <t xml:space="preserve"> PLG Ventures</t>
  </si>
  <si>
    <t xml:space="preserve"> Krillion Ventures</t>
  </si>
  <si>
    <t>Hummer Winblad Venture Partners</t>
  </si>
  <si>
    <t xml:space="preserve"> InnovationsKapital</t>
  </si>
  <si>
    <t xml:space="preserve"> Vision Capital (Geneva)</t>
  </si>
  <si>
    <t>CGP Investment</t>
  </si>
  <si>
    <t xml:space="preserve"> iD Ventures America</t>
  </si>
  <si>
    <t xml:space="preserve"> Keytone Ventures</t>
  </si>
  <si>
    <t xml:space="preserve"> MediaTek Ventures</t>
  </si>
  <si>
    <t xml:space="preserve"> SK Telecom Americas</t>
  </si>
  <si>
    <t xml:space="preserve"> Spirox Ventures</t>
  </si>
  <si>
    <t>Base Ventures</t>
  </si>
  <si>
    <t xml:space="preserve"> Cyrus Capital Partners</t>
  </si>
  <si>
    <t xml:space="preserve"> Detroit Venture Partners</t>
  </si>
  <si>
    <t xml:space="preserve"> Gelt Venture Capital</t>
  </si>
  <si>
    <t>10K investments</t>
  </si>
  <si>
    <t xml:space="preserve"> Anthemis Group</t>
  </si>
  <si>
    <t xml:space="preserve"> Cantos Ventures</t>
  </si>
  <si>
    <t xml:space="preserve"> David Clouse</t>
  </si>
  <si>
    <t xml:space="preserve"> Doug Godwin</t>
  </si>
  <si>
    <t xml:space="preserve"> Jose Brotons</t>
  </si>
  <si>
    <t xml:space="preserve"> Lion's Paw Investments</t>
  </si>
  <si>
    <t xml:space="preserve"> Mani Honigstein</t>
  </si>
  <si>
    <t xml:space="preserve"> Montero Venture Partners</t>
  </si>
  <si>
    <t xml:space="preserve"> Ran Landmann</t>
  </si>
  <si>
    <t xml:space="preserve"> Sovereign's Capital</t>
  </si>
  <si>
    <t xml:space="preserve"> Timberline Holdings</t>
  </si>
  <si>
    <t xml:space="preserve"> Zelkova Ventures</t>
  </si>
  <si>
    <t>Bruno Bowden</t>
  </si>
  <si>
    <t xml:space="preserve"> Carrick Capital Partners</t>
  </si>
  <si>
    <t xml:space="preserve"> Madden Capital Partners</t>
  </si>
  <si>
    <t>JSR</t>
  </si>
  <si>
    <t>AMD Ventures</t>
  </si>
  <si>
    <t xml:space="preserve"> Blake Krikorian</t>
  </si>
  <si>
    <t xml:space="preserve"> Christina Brodbeck</t>
  </si>
  <si>
    <t xml:space="preserve"> Daniel Leff</t>
  </si>
  <si>
    <t xml:space="preserve"> Gordon Segal</t>
  </si>
  <si>
    <t xml:space="preserve"> iGlobe Partners</t>
  </si>
  <si>
    <t xml:space="preserve"> Leila Zegna</t>
  </si>
  <si>
    <t xml:space="preserve"> News Corp</t>
  </si>
  <si>
    <t xml:space="preserve"> Prairie Management Group</t>
  </si>
  <si>
    <t xml:space="preserve"> Rev1 Ventures</t>
  </si>
  <si>
    <t xml:space="preserve"> Yishan Wong</t>
  </si>
  <si>
    <t xml:space="preserve"> Amer Haider</t>
  </si>
  <si>
    <t xml:space="preserve"> Anderson Tan</t>
  </si>
  <si>
    <t xml:space="preserve"> Arete Consulting</t>
  </si>
  <si>
    <t xml:space="preserve"> Ariadne Capital</t>
  </si>
  <si>
    <t xml:space="preserve"> Bright Success Capital</t>
  </si>
  <si>
    <t xml:space="preserve"> Cameron Winklevoss</t>
  </si>
  <si>
    <t xml:space="preserve"> Dan Sutera</t>
  </si>
  <si>
    <t xml:space="preserve"> Hilton Tam</t>
  </si>
  <si>
    <t xml:space="preserve"> Levitate Capital</t>
  </si>
  <si>
    <t xml:space="preserve"> Loek Derks</t>
  </si>
  <si>
    <t xml:space="preserve"> MENA Venture Investments</t>
  </si>
  <si>
    <t xml:space="preserve"> Rick Holliday-Smith</t>
  </si>
  <si>
    <t xml:space="preserve"> Swiss Post</t>
  </si>
  <si>
    <t xml:space="preserve"> TriLead Capital</t>
  </si>
  <si>
    <t xml:space="preserve"> Tyler Winklevoss</t>
  </si>
  <si>
    <t xml:space="preserve"> Verizon Communications</t>
  </si>
  <si>
    <t xml:space="preserve"> Winston Venture Capital</t>
  </si>
  <si>
    <t xml:space="preserve"> Downey Ventures</t>
  </si>
  <si>
    <t xml:space="preserve"> MX Investments</t>
  </si>
  <si>
    <t xml:space="preserve"> Philip Krim</t>
  </si>
  <si>
    <t xml:space="preserve"> Usher Raymond</t>
  </si>
  <si>
    <t xml:space="preserve"> Yan-David Erlich</t>
  </si>
  <si>
    <t>500 Istanbul</t>
  </si>
  <si>
    <t xml:space="preserve"> Greyhound Capital</t>
  </si>
  <si>
    <t xml:space="preserve"> Kow Mensah</t>
  </si>
  <si>
    <t xml:space="preserve"> Lone Pine Capital</t>
  </si>
  <si>
    <t xml:space="preserve"> Sax Capital</t>
  </si>
  <si>
    <t xml:space="preserve"> Sukhi Singh</t>
  </si>
  <si>
    <t xml:space="preserve"> Vitruvian Partners</t>
  </si>
  <si>
    <t>Adam Lisagor</t>
  </si>
  <si>
    <t xml:space="preserve"> Ric Fulop</t>
  </si>
  <si>
    <t xml:space="preserve"> Nauta Capital</t>
  </si>
  <si>
    <t xml:space="preserve"> Seedrocket</t>
  </si>
  <si>
    <t>Australia Future Fund</t>
  </si>
  <si>
    <t xml:space="preserve"> Quadrille Capital</t>
  </si>
  <si>
    <t xml:space="preserve"> Wellborn Ventures</t>
  </si>
  <si>
    <t xml:space="preserve"> Carl Silbersky</t>
  </si>
  <si>
    <t xml:space="preserve"> James Currier</t>
  </si>
  <si>
    <t xml:space="preserve"> NavInfo Company</t>
  </si>
  <si>
    <t xml:space="preserve"> Taavet Hinrikus</t>
  </si>
  <si>
    <t>Andrew Leto</t>
  </si>
  <si>
    <t xml:space="preserve"> Columbus Nova</t>
  </si>
  <si>
    <t xml:space="preserve"> Glory Ventures</t>
  </si>
  <si>
    <t xml:space="preserve"> Jerusalem Technology Investments</t>
  </si>
  <si>
    <t xml:space="preserve"> Luenmei Quantum Company</t>
  </si>
  <si>
    <t xml:space="preserve"> Sunny Group (Optical products)</t>
  </si>
  <si>
    <t xml:space="preserve"> Titanium Investments</t>
  </si>
  <si>
    <t>FJ Labs</t>
  </si>
  <si>
    <t xml:space="preserve"> Hans Hickler</t>
  </si>
  <si>
    <t xml:space="preserve"> Icon Holding Company</t>
  </si>
  <si>
    <t xml:space="preserve"> MercadoLibre</t>
  </si>
  <si>
    <t xml:space="preserve"> Performa Investimentos</t>
  </si>
  <si>
    <t>All-Stars Investment</t>
  </si>
  <si>
    <t xml:space="preserve"> China Reform Fund Management</t>
  </si>
  <si>
    <t xml:space="preserve"> Eastern Bell Venture Capital</t>
  </si>
  <si>
    <t xml:space="preserve"> Farallon Capital Management</t>
  </si>
  <si>
    <t xml:space="preserve"> Genesis Capital (Hong Kong)</t>
  </si>
  <si>
    <t xml:space="preserve"> Lightspeed Venture Partners China</t>
  </si>
  <si>
    <t xml:space="preserve"> Sky9 Capital</t>
  </si>
  <si>
    <t xml:space="preserve"> Wang Gang</t>
  </si>
  <si>
    <t xml:space="preserve"> Ward Ferry Management</t>
  </si>
  <si>
    <t xml:space="preserve"> Xiang He Capital</t>
  </si>
  <si>
    <t xml:space="preserve"> Yuansheng Capital</t>
  </si>
  <si>
    <t xml:space="preserve"> Zhongding Holding Group</t>
  </si>
  <si>
    <t>Alexis Ohanian</t>
  </si>
  <si>
    <t xml:space="preserve"> Charles Smith</t>
  </si>
  <si>
    <t xml:space="preserve"> Melo7 Tech Partners</t>
  </si>
  <si>
    <t>TCG BDC</t>
  </si>
  <si>
    <t xml:space="preserve"> Thoma Bravo</t>
  </si>
  <si>
    <t xml:space="preserve"> Turn/River Capital</t>
  </si>
  <si>
    <t xml:space="preserve"> Agility Labs</t>
  </si>
  <si>
    <t xml:space="preserve"> BayBio FAST</t>
  </si>
  <si>
    <t xml:space="preserve"> Brain Initiative</t>
  </si>
  <si>
    <t xml:space="preserve"> California Institute for Regenerative Medicine</t>
  </si>
  <si>
    <t xml:space="preserve"> ChinaEquity Group</t>
  </si>
  <si>
    <t xml:space="preserve"> General Electric</t>
  </si>
  <si>
    <t xml:space="preserve"> Keck foundation</t>
  </si>
  <si>
    <t xml:space="preserve"> ShangBay Capital</t>
  </si>
  <si>
    <t>Doug Atkin</t>
  </si>
  <si>
    <t xml:space="preserve"> Mail.Ru Group</t>
  </si>
  <si>
    <t xml:space="preserve"> Partner Communications</t>
  </si>
  <si>
    <t xml:space="preserve"> Vimeo</t>
  </si>
  <si>
    <t>Adham Fahmi</t>
  </si>
  <si>
    <t xml:space="preserve"> Fifth Era</t>
  </si>
  <si>
    <t>Cellcom Resources</t>
  </si>
  <si>
    <t xml:space="preserve"> Fiege</t>
  </si>
  <si>
    <t xml:space="preserve"> Körber</t>
  </si>
  <si>
    <t xml:space="preserve"> UnternehmerTUM</t>
  </si>
  <si>
    <t xml:space="preserve"> Zalando</t>
  </si>
  <si>
    <t xml:space="preserve"> Christopher Michel</t>
  </si>
  <si>
    <t xml:space="preserve"> Fenwick Brands</t>
  </si>
  <si>
    <t xml:space="preserve"> Meaningful Partners</t>
  </si>
  <si>
    <t xml:space="preserve"> Nautilus Ventures</t>
  </si>
  <si>
    <t xml:space="preserve"> Peterson Partners</t>
  </si>
  <si>
    <t xml:space="preserve"> Experian Ventures</t>
  </si>
  <si>
    <t xml:space="preserve"> Jerry Held</t>
  </si>
  <si>
    <t xml:space="preserve"> PNC</t>
  </si>
  <si>
    <t xml:space="preserve"> Waterline Ventures</t>
  </si>
  <si>
    <t xml:space="preserve"> China International Capital Corporation</t>
  </si>
  <si>
    <t xml:space="preserve"> Eight Square Capital</t>
  </si>
  <si>
    <t xml:space="preserve"> Sino Capital Group</t>
  </si>
  <si>
    <t xml:space="preserve"> Brett Queener</t>
  </si>
  <si>
    <t xml:space="preserve"> Nick Heyman</t>
  </si>
  <si>
    <t xml:space="preserve"> Portland Incubator Experiment</t>
  </si>
  <si>
    <t xml:space="preserve"> Tim Kopp</t>
  </si>
  <si>
    <t>Anchor Fund</t>
  </si>
  <si>
    <t xml:space="preserve"> EuroUS Ventures</t>
  </si>
  <si>
    <t xml:space="preserve"> Privilège Management</t>
  </si>
  <si>
    <t xml:space="preserve"> Quintus Vermoegensverwaltung</t>
  </si>
  <si>
    <t>California Institute for Quantitative Biosciences</t>
  </si>
  <si>
    <t>frogVentures</t>
  </si>
  <si>
    <t xml:space="preserve"> Maxim Integrated Products</t>
  </si>
  <si>
    <t>Archangel Investors</t>
  </si>
  <si>
    <t xml:space="preserve"> Kaktus Capital</t>
  </si>
  <si>
    <t xml:space="preserve"> Vladimir Gidirim</t>
  </si>
  <si>
    <t>Arizona Center for Innovation</t>
  </si>
  <si>
    <t xml:space="preserve"> Ekistic Ventures</t>
  </si>
  <si>
    <t>1517 Fund</t>
  </si>
  <si>
    <t xml:space="preserve"> 8VC</t>
  </si>
  <si>
    <t xml:space="preserve"> Accelerate Michigan Innovation Competition</t>
  </si>
  <si>
    <t xml:space="preserve"> BLU Products</t>
  </si>
  <si>
    <t xml:space="preserve"> Thiel Foundation</t>
  </si>
  <si>
    <t>Founders Factory</t>
  </si>
  <si>
    <t xml:space="preserve"> IP Group North America</t>
  </si>
  <si>
    <t xml:space="preserve"> Startup Leadership</t>
  </si>
  <si>
    <t>42.ventures</t>
  </si>
  <si>
    <t xml:space="preserve"> Acadia Woods Partners</t>
  </si>
  <si>
    <t xml:space="preserve"> Accord Ventures</t>
  </si>
  <si>
    <t xml:space="preserve"> DF Enterprises (Investor)</t>
  </si>
  <si>
    <t xml:space="preserve"> DVI Equity Partners</t>
  </si>
  <si>
    <t xml:space="preserve"> On Grid Ventures</t>
  </si>
  <si>
    <t xml:space="preserve"> Rationalwave Capital Partners</t>
  </si>
  <si>
    <t xml:space="preserve"> SD Porter Holdings</t>
  </si>
  <si>
    <t>AT&amp;T</t>
  </si>
  <si>
    <t xml:space="preserve"> Rahi Systems</t>
  </si>
  <si>
    <t>645 Ventures</t>
  </si>
  <si>
    <t xml:space="preserve"> Ben Lin</t>
  </si>
  <si>
    <t xml:space="preserve"> BNOTIONS</t>
  </si>
  <si>
    <t xml:space="preserve"> Covera Ventures</t>
  </si>
  <si>
    <t xml:space="preserve"> fcubedvc</t>
  </si>
  <si>
    <t xml:space="preserve"> Initio Group</t>
  </si>
  <si>
    <t xml:space="preserve"> Michael Edwards</t>
  </si>
  <si>
    <t xml:space="preserve"> Michael Yavonditte</t>
  </si>
  <si>
    <t xml:space="preserve"> Quotidian Ventures</t>
  </si>
  <si>
    <t xml:space="preserve"> Rick Webb</t>
  </si>
  <si>
    <t xml:space="preserve"> Sonja Perkins</t>
  </si>
  <si>
    <t xml:space="preserve"> Steelhead Ventures</t>
  </si>
  <si>
    <t xml:space="preserve"> New Orleans BioInnovation Center</t>
  </si>
  <si>
    <t xml:space="preserve"> The Idea Village</t>
  </si>
  <si>
    <t>DreamIt Ventures</t>
  </si>
  <si>
    <t xml:space="preserve"> Samsung Accelerator</t>
  </si>
  <si>
    <t>Bluepoint Partners</t>
  </si>
  <si>
    <t xml:space="preserve"> Daesung Private Equity</t>
  </si>
  <si>
    <t xml:space="preserve"> KAIST Venture Investment Holdings</t>
  </si>
  <si>
    <t xml:space="preserve"> KITE Entrepreneurship Foundation</t>
  </si>
  <si>
    <t xml:space="preserve"> Sejong Venture Partners</t>
  </si>
  <si>
    <t xml:space="preserve"> Vantage Infrastructure</t>
  </si>
  <si>
    <t xml:space="preserve"> Vive X Accelerator</t>
  </si>
  <si>
    <t>Alex Iskold</t>
  </si>
  <si>
    <t xml:space="preserve"> Austin Technology Incubator</t>
  </si>
  <si>
    <t>Anorak Ventures</t>
  </si>
  <si>
    <t xml:space="preserve"> Kevin Martin</t>
  </si>
  <si>
    <t xml:space="preserve"> Projjol Bannerjea</t>
  </si>
  <si>
    <t xml:space="preserve"> Zachery Coelius</t>
  </si>
  <si>
    <t xml:space="preserve"> Zeitgeist Capital</t>
  </si>
  <si>
    <t>Judge Ventures</t>
  </si>
  <si>
    <t xml:space="preserve"> Beijing Lenovo Star Venture</t>
  </si>
  <si>
    <t xml:space="preserve"> Harvest Investments</t>
  </si>
  <si>
    <t xml:space="preserve"> Lan Fund</t>
  </si>
  <si>
    <t xml:space="preserve"> LeTV</t>
  </si>
  <si>
    <t xml:space="preserve"> Nanjing Iron &amp; Steel Company</t>
  </si>
  <si>
    <t xml:space="preserve"> Red Star Macalline International Furniture</t>
  </si>
  <si>
    <t xml:space="preserve"> Wu Capital</t>
  </si>
  <si>
    <t xml:space="preserve"> Xiaomi Ventures</t>
  </si>
  <si>
    <t>Amit Ranjan</t>
  </si>
  <si>
    <t xml:space="preserve"> Ankit Pruthi</t>
  </si>
  <si>
    <t xml:space="preserve"> Badal Malick</t>
  </si>
  <si>
    <t xml:space="preserve"> Beenext</t>
  </si>
  <si>
    <t xml:space="preserve"> Bhupendra Shah</t>
  </si>
  <si>
    <t xml:space="preserve"> DSP Group</t>
  </si>
  <si>
    <t xml:space="preserve"> Exfinity Venture Partners</t>
  </si>
  <si>
    <t xml:space="preserve"> Falcon Edge Capital</t>
  </si>
  <si>
    <t xml:space="preserve"> GrowX Ventures</t>
  </si>
  <si>
    <t xml:space="preserve"> Hemendra Kothari</t>
  </si>
  <si>
    <t xml:space="preserve"> Manish Singhal</t>
  </si>
  <si>
    <t xml:space="preserve"> Pi Ventures</t>
  </si>
  <si>
    <t xml:space="preserve"> Rajesh Ranavat</t>
  </si>
  <si>
    <t xml:space="preserve"> Sanjay Mehta</t>
  </si>
  <si>
    <t xml:space="preserve"> Varun Jain</t>
  </si>
  <si>
    <t xml:space="preserve"> Alex Duff</t>
  </si>
  <si>
    <t xml:space="preserve"> Bre Pettis</t>
  </si>
  <si>
    <t xml:space="preserve"> Factory Five Racing</t>
  </si>
  <si>
    <t xml:space="preserve"> Javest Investment Fund</t>
  </si>
  <si>
    <t xml:space="preserve"> Robert M. Bass Family Office</t>
  </si>
  <si>
    <t xml:space="preserve"> Scout Ventures</t>
  </si>
  <si>
    <t xml:space="preserve"> Ascend Venture Capital</t>
  </si>
  <si>
    <t xml:space="preserve"> Braemar Energy Ventures</t>
  </si>
  <si>
    <t>Center for Innovative Technology Gap Funds</t>
  </si>
  <si>
    <t xml:space="preserve"> David Duffield</t>
  </si>
  <si>
    <t xml:space="preserve"> Enterprise Investment Partners</t>
  </si>
  <si>
    <t xml:space="preserve"> Evergy Ventures</t>
  </si>
  <si>
    <t xml:space="preserve"> IAC</t>
  </si>
  <si>
    <t xml:space="preserve"> Kilberg family</t>
  </si>
  <si>
    <t xml:space="preserve"> Todd Taskey</t>
  </si>
  <si>
    <t>Bay Partners</t>
  </si>
  <si>
    <t xml:space="preserve"> Gregory Dewerpe</t>
  </si>
  <si>
    <t xml:space="preserve"> Lepe Partners</t>
  </si>
  <si>
    <t xml:space="preserve"> National Basketball Association</t>
  </si>
  <si>
    <t xml:space="preserve"> Pratik Gupta</t>
  </si>
  <si>
    <t xml:space="preserve"> Residence Ventures</t>
  </si>
  <si>
    <t xml:space="preserve"> Enerdigm</t>
  </si>
  <si>
    <t>Brand Building Ventures</t>
  </si>
  <si>
    <t xml:space="preserve"> William Raduchel</t>
  </si>
  <si>
    <t>Adam Eaton</t>
  </si>
  <si>
    <t xml:space="preserve"> Kyrre Gørvell-Dahll</t>
  </si>
  <si>
    <t xml:space="preserve"> LMU CBA Business Incubator</t>
  </si>
  <si>
    <t xml:space="preserve"> Myles Shear</t>
  </si>
  <si>
    <t xml:space="preserve"> TQ Ventures</t>
  </si>
  <si>
    <t xml:space="preserve"> Red Dot Ventures</t>
  </si>
  <si>
    <t xml:space="preserve"> Ren Xuyang</t>
  </si>
  <si>
    <t xml:space="preserve"> WI Harper Group</t>
  </si>
  <si>
    <t xml:space="preserve"> Vision Capital (China)</t>
  </si>
  <si>
    <t xml:space="preserve"> Yinxinggu Capital</t>
  </si>
  <si>
    <t xml:space="preserve"> Launchpad Digital Health</t>
  </si>
  <si>
    <t xml:space="preserve"> Portag3 Ventures</t>
  </si>
  <si>
    <t xml:space="preserve"> Principal Financial Group</t>
  </si>
  <si>
    <t xml:space="preserve"> Shasta Angels</t>
  </si>
  <si>
    <t xml:space="preserve"> Transamerica Ventures</t>
  </si>
  <si>
    <t xml:space="preserve"> Vet-Tech Accelerator</t>
  </si>
  <si>
    <t xml:space="preserve"> Wanxiang Healthcare Investments</t>
  </si>
  <si>
    <t xml:space="preserve"> Wells Fargo Capital Finance</t>
  </si>
  <si>
    <t xml:space="preserve"> Bling Capital</t>
  </si>
  <si>
    <t xml:space="preserve"> Free Wu</t>
  </si>
  <si>
    <t xml:space="preserve"> Gang Wang</t>
  </si>
  <si>
    <t xml:space="preserve"> GR Capital</t>
  </si>
  <si>
    <t xml:space="preserve"> Green Bay Ventures</t>
  </si>
  <si>
    <t xml:space="preserve"> GSV Capital</t>
  </si>
  <si>
    <t xml:space="preserve"> Immersion Ventures</t>
  </si>
  <si>
    <t xml:space="preserve"> IMO Ventures</t>
  </si>
  <si>
    <t xml:space="preserve"> Liqing Zeng</t>
  </si>
  <si>
    <t xml:space="preserve"> Moving Capital</t>
  </si>
  <si>
    <t xml:space="preserve"> Rainbow Technologies</t>
  </si>
  <si>
    <t xml:space="preserve"> Section 32</t>
  </si>
  <si>
    <t xml:space="preserve"> Stanford University Venture Fund</t>
  </si>
  <si>
    <t xml:space="preserve"> Trousdale Ventures</t>
  </si>
  <si>
    <t xml:space="preserve"> Uber</t>
  </si>
  <si>
    <t>California Energy Commission</t>
  </si>
  <si>
    <t xml:space="preserve"> MindWorks Ventures</t>
  </si>
  <si>
    <t xml:space="preserve"> Dell EMC</t>
  </si>
  <si>
    <t xml:space="preserve"> Micron Ventures</t>
  </si>
  <si>
    <t>Aaron Iba</t>
  </si>
  <si>
    <t xml:space="preserve"> Sep Kamvar</t>
  </si>
  <si>
    <t xml:space="preserve"> Tom Pinckney</t>
  </si>
  <si>
    <t xml:space="preserve"> Zubair Quraishi</t>
  </si>
  <si>
    <t xml:space="preserve"> DeNA</t>
  </si>
  <si>
    <t xml:space="preserve"> East Ventures</t>
  </si>
  <si>
    <t xml:space="preserve"> Kcj Group</t>
  </si>
  <si>
    <t xml:space="preserve"> Mistletoe</t>
  </si>
  <si>
    <t xml:space="preserve"> Henley Investments</t>
  </si>
  <si>
    <t>Avista Development</t>
  </si>
  <si>
    <t xml:space="preserve"> Equinor</t>
  </si>
  <si>
    <t xml:space="preserve"> Founders' Co-op</t>
  </si>
  <si>
    <t xml:space="preserve"> Totality Ventures</t>
  </si>
  <si>
    <t xml:space="preserve"> Wireframe Ventures</t>
  </si>
  <si>
    <t>Blossom Street Ventures</t>
  </si>
  <si>
    <t xml:space="preserve"> Cahoots Holdings</t>
  </si>
  <si>
    <t xml:space="preserve"> CKM Capital Partners</t>
  </si>
  <si>
    <t xml:space="preserve"> Dallas Angel Network</t>
  </si>
  <si>
    <t xml:space="preserve"> Douglas Chait</t>
  </si>
  <si>
    <t xml:space="preserve"> Fifth Avenue Family Office</t>
  </si>
  <si>
    <t xml:space="preserve"> Gary Shiffman</t>
  </si>
  <si>
    <t xml:space="preserve"> HelloWorld</t>
  </si>
  <si>
    <t xml:space="preserve"> Mashburn Justice Capital Partners</t>
  </si>
  <si>
    <t xml:space="preserve"> NCT Ventures</t>
  </si>
  <si>
    <t xml:space="preserve"> Rock Ventures</t>
  </si>
  <si>
    <t xml:space="preserve"> Tamiami Angel Funds</t>
  </si>
  <si>
    <t xml:space="preserve"> The Ascent Group</t>
  </si>
  <si>
    <t xml:space="preserve"> Seraphim Capital</t>
  </si>
  <si>
    <t xml:space="preserve"> Space Angels</t>
  </si>
  <si>
    <t xml:space="preserve"> Space Capital</t>
  </si>
  <si>
    <t xml:space="preserve"> SRI Ventures</t>
  </si>
  <si>
    <t xml:space="preserve"> WERU Investment</t>
  </si>
  <si>
    <t xml:space="preserve"> Blumberg Capital</t>
  </si>
  <si>
    <t xml:space="preserve"> InnoVentures Capital Partners</t>
  </si>
  <si>
    <t xml:space="preserve"> Island Park Investments</t>
  </si>
  <si>
    <t xml:space="preserve"> Mark Madsen</t>
  </si>
  <si>
    <t xml:space="preserve"> Napier Park Financial Partners</t>
  </si>
  <si>
    <t xml:space="preserve"> Napier Park Global Capital</t>
  </si>
  <si>
    <t xml:space="preserve"> North Hill Ventures</t>
  </si>
  <si>
    <t xml:space="preserve"> Paul Allen</t>
  </si>
  <si>
    <t xml:space="preserve"> Peak Ventures</t>
  </si>
  <si>
    <t xml:space="preserve"> Runa Capital</t>
  </si>
  <si>
    <t xml:space="preserve"> Stereo Capital</t>
  </si>
  <si>
    <t xml:space="preserve"> Heptagon</t>
  </si>
  <si>
    <t xml:space="preserve"> StartAngels Network</t>
  </si>
  <si>
    <t xml:space="preserve"> Zühlke Ventures</t>
  </si>
  <si>
    <t>Alain Tingaud Innovations</t>
  </si>
  <si>
    <t xml:space="preserve"> Allianz Startups Accelerator</t>
  </si>
  <si>
    <t xml:space="preserve"> BHB Network</t>
  </si>
  <si>
    <t xml:space="preserve"> CapHorn Invest</t>
  </si>
  <si>
    <t xml:space="preserve"> Draper Venture Network</t>
  </si>
  <si>
    <t xml:space="preserve"> Fred Potter</t>
  </si>
  <si>
    <t xml:space="preserve"> GDTRE</t>
  </si>
  <si>
    <t xml:space="preserve"> Hi-Pay</t>
  </si>
  <si>
    <t xml:space="preserve"> Korelya Capital</t>
  </si>
  <si>
    <t xml:space="preserve"> Libertus Capital</t>
  </si>
  <si>
    <t xml:space="preserve"> MAIF Avenir</t>
  </si>
  <si>
    <t xml:space="preserve"> Thibaut Faurès Fustel de Coulanges</t>
  </si>
  <si>
    <t xml:space="preserve"> THI Investments</t>
  </si>
  <si>
    <t xml:space="preserve"> Infinite Potential Group</t>
  </si>
  <si>
    <t xml:space="preserve"> Jean-Sebastien Cournoyer</t>
  </si>
  <si>
    <t xml:space="preserve"> Manulife Financial</t>
  </si>
  <si>
    <t xml:space="preserve"> Power Financial</t>
  </si>
  <si>
    <t xml:space="preserve"> Quantum Valley Investments</t>
  </si>
  <si>
    <t xml:space="preserve"> Wittington Investments</t>
  </si>
  <si>
    <t xml:space="preserve"> Patrick Hankinson</t>
  </si>
  <si>
    <t xml:space="preserve"> Permjot Valia</t>
  </si>
  <si>
    <t xml:space="preserve"> Aaron Harris</t>
  </si>
  <si>
    <t xml:space="preserve"> First Light Capital</t>
  </si>
  <si>
    <t xml:space="preserve"> FUEL Capital</t>
  </si>
  <si>
    <t xml:space="preserve"> Launch fund</t>
  </si>
  <si>
    <t xml:space="preserve"> Maiden Lane</t>
  </si>
  <si>
    <t xml:space="preserve"> Pascal Capital</t>
  </si>
  <si>
    <t xml:space="preserve"> Ross Baird</t>
  </si>
  <si>
    <t xml:space="preserve"> Timothy Suzman</t>
  </si>
  <si>
    <t xml:space="preserve"> ZenStone Venture Capital</t>
  </si>
  <si>
    <t xml:space="preserve"> Adrian Aoun</t>
  </si>
  <si>
    <t xml:space="preserve"> Ashvin Patel</t>
  </si>
  <si>
    <t xml:space="preserve"> Brian Mesic</t>
  </si>
  <si>
    <t xml:space="preserve"> Dream Incubator</t>
  </si>
  <si>
    <t xml:space="preserve"> Garnett Ventures</t>
  </si>
  <si>
    <t xml:space="preserve"> Intercap</t>
  </si>
  <si>
    <t xml:space="preserve"> Upshift Capital</t>
  </si>
  <si>
    <t>Barracuda Networks</t>
  </si>
  <si>
    <t xml:space="preserve"> John Petote</t>
  </si>
  <si>
    <t xml:space="preserve"> NTT Finance</t>
  </si>
  <si>
    <t xml:space="preserve"> WatchGuard Technologies</t>
  </si>
  <si>
    <t xml:space="preserve"> Connectivity Ventures Fund</t>
  </si>
  <si>
    <t xml:space="preserve"> Pilot Mountain Ventures</t>
  </si>
  <si>
    <t xml:space="preserve"> Sofia Fund</t>
  </si>
  <si>
    <t xml:space="preserve"> Valo Ventures</t>
  </si>
  <si>
    <t xml:space="preserve"> Xfund</t>
  </si>
  <si>
    <t>AI Fund</t>
  </si>
  <si>
    <t>#Angels</t>
  </si>
  <si>
    <t xml:space="preserve"> Lowe's Ventures</t>
  </si>
  <si>
    <t xml:space="preserve"> OVO Fund</t>
  </si>
  <si>
    <t xml:space="preserve"> Arch Grants</t>
  </si>
  <si>
    <t xml:space="preserve"> Capital Innovators</t>
  </si>
  <si>
    <t xml:space="preserve"> Renaissance Venture Capital Fund</t>
  </si>
  <si>
    <t xml:space="preserve"> River Cities Capital Funds</t>
  </si>
  <si>
    <t xml:space="preserve"> Serra Ventures</t>
  </si>
  <si>
    <t xml:space="preserve"> Topco Associates</t>
  </si>
  <si>
    <t xml:space="preserve"> West Capital Advisors</t>
  </si>
  <si>
    <t>Benson Oak Ventures</t>
  </si>
  <si>
    <t xml:space="preserve"> BlockNation</t>
  </si>
  <si>
    <t xml:space="preserve"> Collider Accelerator</t>
  </si>
  <si>
    <t xml:space="preserve"> Elron Electronic Industries</t>
  </si>
  <si>
    <t xml:space="preserve"> Frank Smadja</t>
  </si>
  <si>
    <t xml:space="preserve"> Henri Moissinac</t>
  </si>
  <si>
    <t xml:space="preserve"> Jean David Blanc</t>
  </si>
  <si>
    <t xml:space="preserve"> Jonathan Smith</t>
  </si>
  <si>
    <t xml:space="preserve"> Pierre Kosciusko Morizet</t>
  </si>
  <si>
    <t xml:space="preserve"> Development Bank of Japan</t>
  </si>
  <si>
    <t xml:space="preserve"> Entrepreneur Aid</t>
  </si>
  <si>
    <t xml:space="preserve"> Japan Display</t>
  </si>
  <si>
    <t xml:space="preserve"> Joled Co.</t>
  </si>
  <si>
    <t xml:space="preserve"> Lg Display</t>
  </si>
  <si>
    <t xml:space="preserve"> MS&amp;AD Insurance Group</t>
  </si>
  <si>
    <t xml:space="preserve"> Real Tech Fund</t>
  </si>
  <si>
    <t xml:space="preserve"> Samsung Display</t>
  </si>
  <si>
    <t>Edward Park</t>
  </si>
  <si>
    <t xml:space="preserve"> Gerson Lehrman Group</t>
  </si>
  <si>
    <t xml:space="preserve"> John Goldsmith</t>
  </si>
  <si>
    <t xml:space="preserve"> Jonathan Bush</t>
  </si>
  <si>
    <t xml:space="preserve"> Leerink Transformation Partners</t>
  </si>
  <si>
    <t xml:space="preserve"> McKesson Ventures</t>
  </si>
  <si>
    <t xml:space="preserve"> Mercy Health Foundation</t>
  </si>
  <si>
    <t xml:space="preserve"> Providence Ventures</t>
  </si>
  <si>
    <t>Bridgepoint Advisers</t>
  </si>
  <si>
    <t>Gates Ventures</t>
  </si>
  <si>
    <t xml:space="preserve"> Intellectual Ventures Management</t>
  </si>
  <si>
    <t xml:space="preserve"> Intelsat</t>
  </si>
  <si>
    <t xml:space="preserve"> Tectonic Ventures</t>
  </si>
  <si>
    <t xml:space="preserve"> The Kresge Foundation</t>
  </si>
  <si>
    <t>Digital Power Capital</t>
  </si>
  <si>
    <t xml:space="preserve"> Precision Capital Advisors</t>
  </si>
  <si>
    <t xml:space="preserve"> Vencore Capital</t>
  </si>
  <si>
    <t>Bantam Group</t>
  </si>
  <si>
    <t xml:space="preserve"> Clément Cazalot</t>
  </si>
  <si>
    <t xml:space="preserve"> Empire State Capital Partners</t>
  </si>
  <si>
    <t xml:space="preserve"> Imperious Group</t>
  </si>
  <si>
    <t xml:space="preserve"> ImpulseVC</t>
  </si>
  <si>
    <t xml:space="preserve"> Wanna Biz</t>
  </si>
  <si>
    <t xml:space="preserve"> CrestValue Capital</t>
  </si>
  <si>
    <t xml:space="preserve"> Fang Fund Partners</t>
  </si>
  <si>
    <t>Alex Bard</t>
  </si>
  <si>
    <t xml:space="preserve"> Gary Benitt</t>
  </si>
  <si>
    <t xml:space="preserve"> George Hu</t>
  </si>
  <si>
    <t xml:space="preserve"> Jeffrey Leventhal</t>
  </si>
  <si>
    <t>Andy Rachleff</t>
  </si>
  <si>
    <t xml:space="preserve"> Arogyaswami Paulraj</t>
  </si>
  <si>
    <t xml:space="preserve"> Bernd Girod</t>
  </si>
  <si>
    <t xml:space="preserve"> Guru Parulkar</t>
  </si>
  <si>
    <t xml:space="preserve"> Philip Levis</t>
  </si>
  <si>
    <t xml:space="preserve"> Sachin Katti</t>
  </si>
  <si>
    <t xml:space="preserve"> Sanjit Biswas</t>
  </si>
  <si>
    <t xml:space="preserve"> Swisscom</t>
  </si>
  <si>
    <t xml:space="preserve"> Swisscom Ventures</t>
  </si>
  <si>
    <t>AgFunder</t>
  </si>
  <si>
    <t xml:space="preserve"> Authentic Ventures</t>
  </si>
  <si>
    <t xml:space="preserve"> Christine Lim</t>
  </si>
  <si>
    <t xml:space="preserve"> Don Curtis</t>
  </si>
  <si>
    <t xml:space="preserve"> Griffith Foods</t>
  </si>
  <si>
    <t xml:space="preserve"> InvestEco Capital</t>
  </si>
  <si>
    <t xml:space="preserve"> Jordan Moncharmont</t>
  </si>
  <si>
    <t xml:space="preserve"> Karen Kruger</t>
  </si>
  <si>
    <t xml:space="preserve"> Karl Uhlig</t>
  </si>
  <si>
    <t xml:space="preserve"> Kirchner Food Fellowship</t>
  </si>
  <si>
    <t xml:space="preserve"> Pipeline Angels</t>
  </si>
  <si>
    <t xml:space="preserve"> Rocana Capital</t>
  </si>
  <si>
    <t xml:space="preserve"> Terra Accelerator</t>
  </si>
  <si>
    <t>GGV Capital</t>
  </si>
  <si>
    <t xml:space="preserve"> Jingwei International</t>
  </si>
  <si>
    <t>Industrial Growth Platform</t>
  </si>
  <si>
    <t xml:space="preserve"> Sansei Capital Investment</t>
  </si>
  <si>
    <t xml:space="preserve"> Lightbox</t>
  </si>
  <si>
    <t xml:space="preserve"> M3 Ventures</t>
  </si>
  <si>
    <t xml:space="preserve"> Sanggeol Go</t>
  </si>
  <si>
    <t xml:space="preserve"> Showa Manufacturing Company</t>
  </si>
  <si>
    <t xml:space="preserve"> Yuhyeon Go</t>
  </si>
  <si>
    <t>Hyde Park Venture Partners</t>
  </si>
  <si>
    <t xml:space="preserve"> Round 13 Capital</t>
  </si>
  <si>
    <t xml:space="preserve"> David Rose</t>
  </si>
  <si>
    <t xml:space="preserve"> Nobska Venture Partners</t>
  </si>
  <si>
    <t xml:space="preserve"> Rose Tech Ventures</t>
  </si>
  <si>
    <t xml:space="preserve"> Security Growth Partners</t>
  </si>
  <si>
    <t xml:space="preserve"> The Supper Club</t>
  </si>
  <si>
    <t xml:space="preserve"> TWJ Capital</t>
  </si>
  <si>
    <t>Delta-v Capital</t>
  </si>
  <si>
    <t xml:space="preserve"> Diebold Nixdorf</t>
  </si>
  <si>
    <t xml:space="preserve"> AV Capital</t>
  </si>
  <si>
    <t>Bill Moore</t>
  </si>
  <si>
    <t xml:space="preserve"> Sanjay Mehrotra</t>
  </si>
  <si>
    <t>Celtic House Venture Partners</t>
  </si>
  <si>
    <t xml:space="preserve"> Genesis Capital</t>
  </si>
  <si>
    <t xml:space="preserve"> Haoweilai</t>
  </si>
  <si>
    <t xml:space="preserve"> Liu Qiangdong</t>
  </si>
  <si>
    <t xml:space="preserve"> Bestseller</t>
  </si>
  <si>
    <t xml:space="preserve"> Brightfolk</t>
  </si>
  <si>
    <t xml:space="preserve"> Calvin Broadus</t>
  </si>
  <si>
    <t xml:space="preserve"> Creandum</t>
  </si>
  <si>
    <t xml:space="preserve"> H &amp; M Hennes &amp; Mauritz</t>
  </si>
  <si>
    <t xml:space="preserve"> HarbourVest Partners</t>
  </si>
  <si>
    <t xml:space="preserve"> Harvest Growth</t>
  </si>
  <si>
    <t xml:space="preserve"> Klaus Hommels</t>
  </si>
  <si>
    <t xml:space="preserve"> L Capital (San Francisco)</t>
  </si>
  <si>
    <t xml:space="preserve"> Partners Group</t>
  </si>
  <si>
    <t xml:space="preserve"> Permira</t>
  </si>
  <si>
    <t xml:space="preserve"> Reimann Investors</t>
  </si>
  <si>
    <t xml:space="preserve"> SSE Business Lab</t>
  </si>
  <si>
    <t xml:space="preserve"> Sven Hagströmer</t>
  </si>
  <si>
    <t xml:space="preserve"> Walerud Ventures</t>
  </si>
  <si>
    <t xml:space="preserve"> Edge Harris Ventures</t>
  </si>
  <si>
    <t xml:space="preserve"> Jeff Cantalupo</t>
  </si>
  <si>
    <t xml:space="preserve"> Listen Ventures</t>
  </si>
  <si>
    <t xml:space="preserve"> Mike Stevens</t>
  </si>
  <si>
    <t xml:space="preserve"> Uprise Ventures</t>
  </si>
  <si>
    <t xml:space="preserve"> Kluz Ventures</t>
  </si>
  <si>
    <t xml:space="preserve"> Travelers Companies</t>
  </si>
  <si>
    <t>Department for International Trade</t>
  </si>
  <si>
    <t xml:space="preserve"> Department of Energy and Climate Change</t>
  </si>
  <si>
    <t xml:space="preserve"> Shell Aviation Australia</t>
  </si>
  <si>
    <t xml:space="preserve"> General Mills</t>
  </si>
  <si>
    <t xml:space="preserve"> Jason Rosenthal</t>
  </si>
  <si>
    <t xml:space="preserve"> Outpost Capital</t>
  </si>
  <si>
    <t xml:space="preserve"> Corus Entertainment</t>
  </si>
  <si>
    <t xml:space="preserve"> Fairfax Media</t>
  </si>
  <si>
    <t>Badische Zeitung</t>
  </si>
  <si>
    <t xml:space="preserve"> Druck &amp; Medien</t>
  </si>
  <si>
    <t xml:space="preserve"> Heilbronner Stimme</t>
  </si>
  <si>
    <t xml:space="preserve"> MADSACK Mediengruppe</t>
  </si>
  <si>
    <t xml:space="preserve"> Mannheimer Morgen</t>
  </si>
  <si>
    <t xml:space="preserve"> Mediengruppe Straubinger Tagblatt</t>
  </si>
  <si>
    <t xml:space="preserve"> Nürnberger Presse</t>
  </si>
  <si>
    <t xml:space="preserve"> Schwäbisch Media</t>
  </si>
  <si>
    <t xml:space="preserve"> Verlagsgruppe Rhein Main</t>
  </si>
  <si>
    <t xml:space="preserve"> CrossPacific Capital Partners</t>
  </si>
  <si>
    <t xml:space="preserve"> Eric Chin</t>
  </si>
  <si>
    <t xml:space="preserve"> Kicklabs</t>
  </si>
  <si>
    <t xml:space="preserve"> Rohan Oza</t>
  </si>
  <si>
    <t xml:space="preserve"> SimpleGeo</t>
  </si>
  <si>
    <t xml:space="preserve"> U.S. Cellular</t>
  </si>
  <si>
    <t>Asset Management Ventures</t>
  </si>
  <si>
    <t xml:space="preserve"> Mitsubishi UFJ Financial Group</t>
  </si>
  <si>
    <t xml:space="preserve"> Neostella Capital</t>
  </si>
  <si>
    <t xml:space="preserve"> Visionnaire Ventures</t>
  </si>
  <si>
    <t xml:space="preserve"> Monogram Capital Partners</t>
  </si>
  <si>
    <t>CAA Ventures</t>
  </si>
  <si>
    <t xml:space="preserve"> JMCR Partners</t>
  </si>
  <si>
    <t xml:space="preserve"> World Wide Touch Technology</t>
  </si>
  <si>
    <t>7 Ventures</t>
  </si>
  <si>
    <t xml:space="preserve"> 7-Eleven</t>
  </si>
  <si>
    <t xml:space="preserve"> Amol Sarva</t>
  </si>
  <si>
    <t xml:space="preserve"> Avenue A Ventures</t>
  </si>
  <si>
    <t xml:space="preserve"> Benefit Street Partners</t>
  </si>
  <si>
    <t xml:space="preserve"> Jens Molbak</t>
  </si>
  <si>
    <t xml:space="preserve"> Skydeck Holdings</t>
  </si>
  <si>
    <t xml:space="preserve"> The Michael Polsky Family Office</t>
  </si>
  <si>
    <t xml:space="preserve"> White Star Capital</t>
  </si>
  <si>
    <t xml:space="preserve"> Chmod Ventures</t>
  </si>
  <si>
    <t xml:space="preserve"> University of Massachusetts Amherst</t>
  </si>
  <si>
    <t>Cedar Fund</t>
  </si>
  <si>
    <t xml:space="preserve"> One Way Ventures</t>
  </si>
  <si>
    <t>Aldrich Capital Partners</t>
  </si>
  <si>
    <t xml:space="preserve"> Allure Venture</t>
  </si>
  <si>
    <t xml:space="preserve"> Arthur Ventures</t>
  </si>
  <si>
    <t xml:space="preserve"> GSD Capital</t>
  </si>
  <si>
    <t xml:space="preserve"> Signal Peak Ventures</t>
  </si>
  <si>
    <t xml:space="preserve"> Silverton Partners</t>
  </si>
  <si>
    <t xml:space="preserve"> Tahoma Ventures</t>
  </si>
  <si>
    <t>Applied Materials</t>
  </si>
  <si>
    <t xml:space="preserve"> BOE Technology Group Company</t>
  </si>
  <si>
    <t xml:space="preserve"> Cybernaut (China) Investment</t>
  </si>
  <si>
    <t xml:space="preserve"> Cybernaut Zfounder Ventures</t>
  </si>
  <si>
    <t xml:space="preserve"> Musea Ventures</t>
  </si>
  <si>
    <t xml:space="preserve"> Redview Capital</t>
  </si>
  <si>
    <t xml:space="preserve"> TCL Venture Capital</t>
  </si>
  <si>
    <t xml:space="preserve"> Varian Semiconductor Equipment Associates</t>
  </si>
  <si>
    <t>8200 EISP</t>
  </si>
  <si>
    <t xml:space="preserve"> Asgent</t>
  </si>
  <si>
    <t xml:space="preserve"> YL Ventures</t>
  </si>
  <si>
    <t xml:space="preserve"> CEIIF</t>
  </si>
  <si>
    <t xml:space="preserve"> CIRTech Fund</t>
  </si>
  <si>
    <t xml:space="preserve"> Ibex Investors</t>
  </si>
  <si>
    <t xml:space="preserve"> Jon Borgen</t>
  </si>
  <si>
    <t xml:space="preserve"> Scale-Up Venture Capital</t>
  </si>
  <si>
    <t xml:space="preserve"> Commonfund</t>
  </si>
  <si>
    <t xml:space="preserve"> Eric Ma</t>
  </si>
  <si>
    <t xml:space="preserve"> Gera Venture Capital</t>
  </si>
  <si>
    <t xml:space="preserve"> Goldman Sachs Private Capital Investing Group</t>
  </si>
  <si>
    <t xml:space="preserve"> Meaf Consultoria Em Educação</t>
  </si>
  <si>
    <t xml:space="preserve"> Noordelijke Ontwikkelings Maatschappij</t>
  </si>
  <si>
    <t>Coral Capital</t>
  </si>
  <si>
    <t xml:space="preserve"> Globis Capital Partners</t>
  </si>
  <si>
    <t xml:space="preserve"> GREE Ventures</t>
  </si>
  <si>
    <t xml:space="preserve"> Arista Networks</t>
  </si>
  <si>
    <t xml:space="preserve"> Broadex Technologies Company</t>
  </si>
  <si>
    <t xml:space="preserve"> Infinera</t>
  </si>
  <si>
    <t xml:space="preserve"> Marc Van Den Berg</t>
  </si>
  <si>
    <t xml:space="preserve"> Opnext</t>
  </si>
  <si>
    <t xml:space="preserve"> Technology Partners</t>
  </si>
  <si>
    <t xml:space="preserve"> Elixir Capital</t>
  </si>
  <si>
    <t xml:space="preserve"> ING Bank</t>
  </si>
  <si>
    <t xml:space="preserve"> ING Ventures</t>
  </si>
  <si>
    <t xml:space="preserve"> Malaysia Venture Capital Management</t>
  </si>
  <si>
    <t xml:space="preserve"> Reverence Capital Partners</t>
  </si>
  <si>
    <t xml:space="preserve"> Scotiabank Global Banking and Markets</t>
  </si>
  <si>
    <t xml:space="preserve"> Stephens</t>
  </si>
  <si>
    <t xml:space="preserve"> TCW Capital Ventures</t>
  </si>
  <si>
    <t>14W</t>
  </si>
  <si>
    <t xml:space="preserve"> Adam Singolda</t>
  </si>
  <si>
    <t xml:space="preserve"> Morris Kahn and Maccabi</t>
  </si>
  <si>
    <t>Antonio Viana-Baptista</t>
  </si>
  <si>
    <t xml:space="preserve"> Arun Sarin</t>
  </si>
  <si>
    <t xml:space="preserve"> Duncan Niederauer</t>
  </si>
  <si>
    <t xml:space="preserve"> Frank Yeary</t>
  </si>
  <si>
    <t xml:space="preserve"> Jim Calhoun</t>
  </si>
  <si>
    <t xml:space="preserve"> Mohan Gyani</t>
  </si>
  <si>
    <t xml:space="preserve"> Ron Suber</t>
  </si>
  <si>
    <t xml:space="preserve"> Seed-Resolute</t>
  </si>
  <si>
    <t xml:space="preserve"> William Esrey</t>
  </si>
  <si>
    <t xml:space="preserve"> E.Man</t>
  </si>
  <si>
    <t xml:space="preserve"> Virgin Media</t>
  </si>
  <si>
    <t xml:space="preserve"> Brad Zions</t>
  </si>
  <si>
    <t xml:space="preserve"> Maker Studios</t>
  </si>
  <si>
    <t>Baltimore Angels</t>
  </si>
  <si>
    <t xml:space="preserve"> GSP Group</t>
  </si>
  <si>
    <t>Akatsuki Entertainment Technology Fund</t>
  </si>
  <si>
    <t xml:space="preserve"> New York Venture Partners</t>
  </si>
  <si>
    <t xml:space="preserve"> The Fund</t>
  </si>
  <si>
    <t>Chip Meakem</t>
  </si>
  <si>
    <t xml:space="preserve"> Blue Ivy Ventures</t>
  </si>
  <si>
    <t xml:space="preserve"> Magic Johnson Enterprises</t>
  </si>
  <si>
    <t xml:space="preserve"> Teneo Holdings</t>
  </si>
  <si>
    <t xml:space="preserve"> Valar Ventures</t>
  </si>
  <si>
    <t xml:space="preserve"> Paul Sciarra</t>
  </si>
  <si>
    <t>Fortisure Ventures</t>
  </si>
  <si>
    <t xml:space="preserve"> Shah Capital Partners</t>
  </si>
  <si>
    <t>Kohlberg Kravis Roberts</t>
  </si>
  <si>
    <t xml:space="preserve"> Xintian Ventures</t>
  </si>
  <si>
    <t>AlphaLab</t>
  </si>
  <si>
    <t xml:space="preserve"> Blue Cloud Ventures</t>
  </si>
  <si>
    <t xml:space="preserve"> Riverfront Ventures</t>
  </si>
  <si>
    <t xml:space="preserve"> Volition Capital</t>
  </si>
  <si>
    <t>AccelerAsia</t>
  </si>
  <si>
    <t xml:space="preserve"> Flywheel Ventures</t>
  </si>
  <si>
    <t xml:space="preserve"> Information Venture Partners</t>
  </si>
  <si>
    <t xml:space="preserve"> Paul Sagan</t>
  </si>
  <si>
    <t xml:space="preserve"> Rohini Chakravarty</t>
  </si>
  <si>
    <t xml:space="preserve"> Trevor Loy</t>
  </si>
  <si>
    <t>Actua</t>
  </si>
  <si>
    <t xml:space="preserve"> Chisholm Private Capital Partners</t>
  </si>
  <si>
    <t xml:space="preserve"> Kohlberg Kravis Roberts</t>
  </si>
  <si>
    <t xml:space="preserve"> Navis Capital Partners</t>
  </si>
  <si>
    <t xml:space="preserve"> TowerBrook Capital Partners</t>
  </si>
  <si>
    <t>Born2Grow</t>
  </si>
  <si>
    <t xml:space="preserve"> Globumbus</t>
  </si>
  <si>
    <t xml:space="preserve"> HR Ventures</t>
  </si>
  <si>
    <t xml:space="preserve"> M-Investar</t>
  </si>
  <si>
    <t xml:space="preserve"> Heartcore Capital</t>
  </si>
  <si>
    <t xml:space="preserve"> Kindred Ventures</t>
  </si>
  <si>
    <t xml:space="preserve"> Waterlow Management</t>
  </si>
  <si>
    <t xml:space="preserve"> WML</t>
  </si>
  <si>
    <t xml:space="preserve"> Crystal Stream Capital</t>
  </si>
  <si>
    <t xml:space="preserve"> Gardner Ventures</t>
  </si>
  <si>
    <t xml:space="preserve"> Geoffrey Lewis</t>
  </si>
  <si>
    <t xml:space="preserve"> Lee Daly</t>
  </si>
  <si>
    <t xml:space="preserve"> Nick Rau</t>
  </si>
  <si>
    <t xml:space="preserve"> Quest Venture Partners</t>
  </si>
  <si>
    <t xml:space="preserve"> Sierra Wasatch Capital</t>
  </si>
  <si>
    <t>ADC Ventures</t>
  </si>
  <si>
    <t xml:space="preserve"> Rothschild &amp; Co</t>
  </si>
  <si>
    <t xml:space="preserve"> Scottish Equity Partners</t>
  </si>
  <si>
    <t xml:space="preserve"> TE Connectivity</t>
  </si>
  <si>
    <t>Digital Pioneers</t>
  </si>
  <si>
    <t xml:space="preserve"> Tengelmann E-Commerce</t>
  </si>
  <si>
    <t xml:space="preserve"> Tim Schumacher</t>
  </si>
  <si>
    <t xml:space="preserve"> William Joy</t>
  </si>
  <si>
    <t xml:space="preserve"> Innovation Capital Advisors</t>
  </si>
  <si>
    <t>Bertelsmann</t>
  </si>
  <si>
    <t xml:space="preserve"> Mucker Capital</t>
  </si>
  <si>
    <t xml:space="preserve"> Noname Ventures</t>
  </si>
  <si>
    <t xml:space="preserve"> Greater Pacific Capital</t>
  </si>
  <si>
    <t xml:space="preserve"> Mark Mullen</t>
  </si>
  <si>
    <t xml:space="preserve"> Morgan Stanley Investment Management</t>
  </si>
  <si>
    <t xml:space="preserve"> Persistence Capital Partners</t>
  </si>
  <si>
    <t xml:space="preserve"> Persistence Partners</t>
  </si>
  <si>
    <t xml:space="preserve"> StepStone</t>
  </si>
  <si>
    <t>BDC Industrial</t>
  </si>
  <si>
    <t xml:space="preserve"> Husky Energy</t>
  </si>
  <si>
    <t xml:space="preserve"> Natural Resources Canada</t>
  </si>
  <si>
    <t xml:space="preserve"> The Roda Group</t>
  </si>
  <si>
    <t xml:space="preserve"> Western Economic Diversification Canada</t>
  </si>
  <si>
    <t>Ascent Capital</t>
  </si>
  <si>
    <t xml:space="preserve"> Bertelsmann India Investments</t>
  </si>
  <si>
    <t xml:space="preserve"> GVFL</t>
  </si>
  <si>
    <t xml:space="preserve"> VenturEast</t>
  </si>
  <si>
    <t xml:space="preserve"> Terra Ventures</t>
  </si>
  <si>
    <t>Blumberg Capital</t>
  </si>
  <si>
    <t xml:space="preserve"> ClearSky (North Palm Beach)</t>
  </si>
  <si>
    <t xml:space="preserve"> Glilot Capital Partners</t>
  </si>
  <si>
    <t xml:space="preserve"> The Blackstone Group</t>
  </si>
  <si>
    <t xml:space="preserve"> Fortify Ventures</t>
  </si>
  <si>
    <t xml:space="preserve"> Ronjon Nag</t>
  </si>
  <si>
    <t xml:space="preserve"> Volta Labs (Incubator)</t>
  </si>
  <si>
    <t>Alon Cohen</t>
  </si>
  <si>
    <t xml:space="preserve"> CM-CIC Capital Innovation</t>
  </si>
  <si>
    <t xml:space="preserve"> Highland Europe</t>
  </si>
  <si>
    <t xml:space="preserve"> Innovacom (Paris)</t>
  </si>
  <si>
    <t xml:space="preserve"> SFR Group</t>
  </si>
  <si>
    <t xml:space="preserve"> Turenne Capital Partenaires</t>
  </si>
  <si>
    <t>Bastian Lehmann</t>
  </si>
  <si>
    <t xml:space="preserve"> Hasso Plattner</t>
  </si>
  <si>
    <t xml:space="preserve"> RED</t>
  </si>
  <si>
    <t xml:space="preserve"> Updata Partners</t>
  </si>
  <si>
    <t xml:space="preserve"> East Gate Capital Management</t>
  </si>
  <si>
    <t xml:space="preserve"> Pacifica Fund</t>
  </si>
  <si>
    <t xml:space="preserve"> Antecedent Ventures</t>
  </si>
  <si>
    <t xml:space="preserve"> SIAN Ventures</t>
  </si>
  <si>
    <t xml:space="preserve"> Daniel Springer</t>
  </si>
  <si>
    <t xml:space="preserve"> David Karnstedt</t>
  </si>
  <si>
    <t xml:space="preserve"> Iron Gate Capital</t>
  </si>
  <si>
    <t xml:space="preserve"> Scott Dorsey</t>
  </si>
  <si>
    <t xml:space="preserve"> Trinity Capital Investment</t>
  </si>
  <si>
    <t>Georgian Partners</t>
  </si>
  <si>
    <t xml:space="preserve"> Donald Dion</t>
  </si>
  <si>
    <t xml:space="preserve"> DRD Investments</t>
  </si>
  <si>
    <t xml:space="preserve"> DRW Venture Partners</t>
  </si>
  <si>
    <t xml:space="preserve"> Cito Ventures</t>
  </si>
  <si>
    <t xml:space="preserve"> D1 Capital Partners</t>
  </si>
  <si>
    <t xml:space="preserve"> Glade Brook Capital Partners</t>
  </si>
  <si>
    <t xml:space="preserve"> Haroon Mokhtarzada</t>
  </si>
  <si>
    <t xml:space="preserve"> Valiant Capital Partners</t>
  </si>
  <si>
    <t xml:space="preserve"> Whole Foods Market</t>
  </si>
  <si>
    <t xml:space="preserve"> Dharmesh Shah</t>
  </si>
  <si>
    <t xml:space="preserve"> FreshBooks</t>
  </si>
  <si>
    <t xml:space="preserve"> GrandBanks Capital</t>
  </si>
  <si>
    <t xml:space="preserve"> James Geshwiler</t>
  </si>
  <si>
    <t xml:space="preserve"> Steve Papa</t>
  </si>
  <si>
    <t xml:space="preserve"> Jeff Kearl</t>
  </si>
  <si>
    <t>Angeleno Group</t>
  </si>
  <si>
    <t xml:space="preserve"> S.A.W. Capital Partners</t>
  </si>
  <si>
    <t xml:space="preserve"> JSR</t>
  </si>
  <si>
    <t xml:space="preserve"> JSR Micro</t>
  </si>
  <si>
    <t xml:space="preserve"> Oregon Venture Fund</t>
  </si>
  <si>
    <t xml:space="preserve"> Tokyo Ohka Kogyo Company</t>
  </si>
  <si>
    <t>Energy &amp; Environment Investment</t>
  </si>
  <si>
    <t>360 Capital Partners</t>
  </si>
  <si>
    <t xml:space="preserve"> China Merchants Capital</t>
  </si>
  <si>
    <t xml:space="preserve"> Delek Group</t>
  </si>
  <si>
    <t xml:space="preserve"> Gil Agmon</t>
  </si>
  <si>
    <t xml:space="preserve"> Harel Insurance Investments &amp; Financial Services</t>
  </si>
  <si>
    <t xml:space="preserve"> New Alliance Capital</t>
  </si>
  <si>
    <t xml:space="preserve"> Phoenix Insurance Company</t>
  </si>
  <si>
    <t xml:space="preserve"> Shenzhen Capital Group</t>
  </si>
  <si>
    <t>Cerca Partners</t>
  </si>
  <si>
    <t xml:space="preserve"> Jeffery Pulver</t>
  </si>
  <si>
    <t xml:space="preserve"> NRW.Bank</t>
  </si>
  <si>
    <t xml:space="preserve"> Peppermint Venture Partners</t>
  </si>
  <si>
    <t xml:space="preserve"> PolyTechnos Venture-Partners</t>
  </si>
  <si>
    <t xml:space="preserve"> S-Group Capital Management</t>
  </si>
  <si>
    <t xml:space="preserve"> S-Venture Capital Dortmund</t>
  </si>
  <si>
    <t>Madison Dearborn Partners</t>
  </si>
  <si>
    <t xml:space="preserve"> BIP Capital</t>
  </si>
  <si>
    <t xml:space="preserve"> Southeast Investor Group</t>
  </si>
  <si>
    <t xml:space="preserve"> Vine Street Ventures</t>
  </si>
  <si>
    <t>Korea Development Bank</t>
  </si>
  <si>
    <t xml:space="preserve"> Young Woo Communications</t>
  </si>
  <si>
    <t>Blackbox</t>
  </si>
  <si>
    <t xml:space="preserve"> Charlotte Angel Fund</t>
  </si>
  <si>
    <t xml:space="preserve"> Full Tilt Capital</t>
  </si>
  <si>
    <t xml:space="preserve"> GP Ventures+</t>
  </si>
  <si>
    <t xml:space="preserve"> Hunt Technology Ventures</t>
  </si>
  <si>
    <t xml:space="preserve"> Coral Capital</t>
  </si>
  <si>
    <t xml:space="preserve"> FreakOut</t>
  </si>
  <si>
    <t xml:space="preserve"> Kotaro Chiba</t>
  </si>
  <si>
    <t xml:space="preserve"> Ministry of Internal Affairs and Communication</t>
  </si>
  <si>
    <t>AlpInvest Partners</t>
  </si>
  <si>
    <t xml:space="preserve"> Canada Pension Plan Investment Board</t>
  </si>
  <si>
    <t>Golden Gate Capital</t>
  </si>
  <si>
    <t xml:space="preserve"> Kayne Anderson Capital Advisors</t>
  </si>
  <si>
    <t xml:space="preserve"> Koch Equity Development</t>
  </si>
  <si>
    <t xml:space="preserve"> Parallax Capital Partners</t>
  </si>
  <si>
    <t>Accelerator Technology Holdings</t>
  </si>
  <si>
    <t xml:space="preserve"> Silicon Badia</t>
  </si>
  <si>
    <t xml:space="preserve"> Sorenson Capital</t>
  </si>
  <si>
    <t xml:space="preserve"> Imagination Technologies</t>
  </si>
  <si>
    <t xml:space="preserve"> Krishna Yarlagadda</t>
  </si>
  <si>
    <t xml:space="preserve"> Lip-Bu Tan</t>
  </si>
  <si>
    <t xml:space="preserve"> Business Forums International</t>
  </si>
  <si>
    <t xml:space="preserve"> Jonah Goodhart</t>
  </si>
  <si>
    <t xml:space="preserve"> Eclipse Ventures</t>
  </si>
  <si>
    <t>137 Ventures</t>
  </si>
  <si>
    <t xml:space="preserve"> AllMobile Fund</t>
  </si>
  <si>
    <t xml:space="preserve"> I-mobile</t>
  </si>
  <si>
    <t xml:space="preserve"> Initial Capital</t>
  </si>
  <si>
    <t xml:space="preserve"> Isaac Babbs</t>
  </si>
  <si>
    <t xml:space="preserve"> MCJ Company</t>
  </si>
  <si>
    <t xml:space="preserve"> Metaps</t>
  </si>
  <si>
    <t xml:space="preserve"> Technicolor Ventures</t>
  </si>
  <si>
    <t>10Xelerator</t>
  </si>
  <si>
    <t xml:space="preserve"> 2B Angels</t>
  </si>
  <si>
    <t xml:space="preserve"> Arabreneur</t>
  </si>
  <si>
    <t xml:space="preserve"> Bader</t>
  </si>
  <si>
    <t xml:space="preserve"> Takwin Labs</t>
  </si>
  <si>
    <t xml:space="preserve"> Team8</t>
  </si>
  <si>
    <t xml:space="preserve"> Aweida Venture Partners</t>
  </si>
  <si>
    <t xml:space="preserve"> Daniel Watkins</t>
  </si>
  <si>
    <t xml:space="preserve"> DMWMDW Interests</t>
  </si>
  <si>
    <t xml:space="preserve"> Forest Baskett</t>
  </si>
  <si>
    <t xml:space="preserve"> Gerard Lighting</t>
  </si>
  <si>
    <t xml:space="preserve"> James Treybig</t>
  </si>
  <si>
    <t xml:space="preserve"> RedHouse Associates</t>
  </si>
  <si>
    <t xml:space="preserve"> The Gideon Hixon Fund</t>
  </si>
  <si>
    <t xml:space="preserve"> WP Global Partners</t>
  </si>
  <si>
    <t>Amir Prescher</t>
  </si>
  <si>
    <t xml:space="preserve"> Guy Schory</t>
  </si>
  <si>
    <t xml:space="preserve"> Samsung SDS Company</t>
  </si>
  <si>
    <t xml:space="preserve"> Simone Brunozzi</t>
  </si>
  <si>
    <t xml:space="preserve"> Gunderson Dettmer</t>
  </si>
  <si>
    <t xml:space="preserve"> IBM Ventures</t>
  </si>
  <si>
    <t xml:space="preserve"> Roger Sippl</t>
  </si>
  <si>
    <t xml:space="preserve"> The Chamberlain Group</t>
  </si>
  <si>
    <t xml:space="preserve"> Sciens Capital Management</t>
  </si>
  <si>
    <t>Bee Partners</t>
  </si>
  <si>
    <t xml:space="preserve"> Brixia Investments</t>
  </si>
  <si>
    <t xml:space="preserve"> Dart Capital</t>
  </si>
  <si>
    <t xml:space="preserve"> Raymond Sidney</t>
  </si>
  <si>
    <t>Babson College</t>
  </si>
  <si>
    <t xml:space="preserve"> Breakaway Ventures</t>
  </si>
  <si>
    <t xml:space="preserve"> Fireman Capital Partners</t>
  </si>
  <si>
    <t xml:space="preserve"> Carahsoft Technology</t>
  </si>
  <si>
    <t xml:space="preserve"> Fortinet</t>
  </si>
  <si>
    <t xml:space="preserve"> Nex Cubed</t>
  </si>
  <si>
    <t xml:space="preserve"> Todd McSweeney</t>
  </si>
  <si>
    <t>Boldstart Ventures</t>
  </si>
  <si>
    <t xml:space="preserve"> Mesh Ventures</t>
  </si>
  <si>
    <t xml:space="preserve"> RTP Ventures</t>
  </si>
  <si>
    <t xml:space="preserve"> SKS Ventures</t>
  </si>
  <si>
    <t>Anglo American Platinum</t>
  </si>
  <si>
    <t xml:space="preserve"> AP Ventures</t>
  </si>
  <si>
    <t>Canvas Ventures</t>
  </si>
  <si>
    <t xml:space="preserve"> Higher Ground SICAV</t>
  </si>
  <si>
    <t xml:space="preserve"> New Media Ventures</t>
  </si>
  <si>
    <t xml:space="preserve"> Alstom Foundation</t>
  </si>
  <si>
    <t xml:space="preserve"> Bamboo Capital Partners</t>
  </si>
  <si>
    <t xml:space="preserve"> Engie</t>
  </si>
  <si>
    <t xml:space="preserve"> Global Social Benefit Institute</t>
  </si>
  <si>
    <t xml:space="preserve"> Impact Ventures UK</t>
  </si>
  <si>
    <t xml:space="preserve"> LGT Impact Ventures</t>
  </si>
  <si>
    <t xml:space="preserve"> Shell Foundation</t>
  </si>
  <si>
    <t xml:space="preserve"> Swedfund International</t>
  </si>
  <si>
    <t xml:space="preserve"> SongHe Capital</t>
  </si>
  <si>
    <t xml:space="preserve"> Zhenshun Fund</t>
  </si>
  <si>
    <t>Ahimsa Investments</t>
  </si>
  <si>
    <t xml:space="preserve"> Ahmad Ishaq</t>
  </si>
  <si>
    <t xml:space="preserve"> Brent Thompson</t>
  </si>
  <si>
    <t xml:space="preserve"> Dan Simons</t>
  </si>
  <si>
    <t xml:space="preserve"> Daniel Kao</t>
  </si>
  <si>
    <t xml:space="preserve"> Daniel Klueger</t>
  </si>
  <si>
    <t xml:space="preserve"> Dave Free</t>
  </si>
  <si>
    <t xml:space="preserve"> Eric Kessler</t>
  </si>
  <si>
    <t xml:space="preserve"> James Madison University Foundation</t>
  </si>
  <si>
    <t xml:space="preserve"> Marcy Venture Partners</t>
  </si>
  <si>
    <t xml:space="preserve"> Matt Sonefeldt</t>
  </si>
  <si>
    <t xml:space="preserve"> Ndamukong Suh</t>
  </si>
  <si>
    <t xml:space="preserve"> OnRamp Fund</t>
  </si>
  <si>
    <t xml:space="preserve"> RJ Jones</t>
  </si>
  <si>
    <t xml:space="preserve"> Seth Goldman</t>
  </si>
  <si>
    <t xml:space="preserve"> The Syndicate Fund</t>
  </si>
  <si>
    <t xml:space="preserve"> Timeless Media</t>
  </si>
  <si>
    <t xml:space="preserve"> Tom Colicchio</t>
  </si>
  <si>
    <t xml:space="preserve"> Walter Robb</t>
  </si>
  <si>
    <t>Changsha Science &amp; Technology Venture Capital</t>
  </si>
  <si>
    <t xml:space="preserve"> ShangHai Zenitek Science &amp; Technology</t>
  </si>
  <si>
    <t>Cardumen Capital</t>
  </si>
  <si>
    <t xml:space="preserve"> Eyal Dessou Tzafrir</t>
  </si>
  <si>
    <t xml:space="preserve"> Harel Prag</t>
  </si>
  <si>
    <t xml:space="preserve"> Pinhas Halevy</t>
  </si>
  <si>
    <t xml:space="preserve"> Rafi Shkolnik</t>
  </si>
  <si>
    <t xml:space="preserve"> Rudy Netter</t>
  </si>
  <si>
    <t xml:space="preserve"> Yaniv Tal</t>
  </si>
  <si>
    <t xml:space="preserve"> Andy Youmans</t>
  </si>
  <si>
    <t xml:space="preserve"> Blackhorn Ventures</t>
  </si>
  <si>
    <t xml:space="preserve"> Bonaventure Capital</t>
  </si>
  <si>
    <t xml:space="preserve"> Ray Stata</t>
  </si>
  <si>
    <t>Boston Seed Capital</t>
  </si>
  <si>
    <t xml:space="preserve"> Romulus Capital</t>
  </si>
  <si>
    <t xml:space="preserve"> Imaginary Ventures</t>
  </si>
  <si>
    <t xml:space="preserve"> Natalie Massenet</t>
  </si>
  <si>
    <t xml:space="preserve"> Strand Equity</t>
  </si>
  <si>
    <t>Aayush Phumbhra</t>
  </si>
  <si>
    <t xml:space="preserve"> Oliver Jung</t>
  </si>
  <si>
    <t xml:space="preserve"> Times Bridge</t>
  </si>
  <si>
    <t xml:space="preserve"> Zeev Ventures</t>
  </si>
  <si>
    <t>Purdue Research Foundation</t>
  </si>
  <si>
    <t>Aleph</t>
  </si>
  <si>
    <t xml:space="preserve"> Chad Hurley</t>
  </si>
  <si>
    <t xml:space="preserve"> Ooga Labs</t>
  </si>
  <si>
    <t xml:space="preserve"> PLUS Ventures</t>
  </si>
  <si>
    <t xml:space="preserve"> Shakil Khan</t>
  </si>
  <si>
    <t xml:space="preserve"> Sherpa</t>
  </si>
  <si>
    <t xml:space="preserve"> The Junction</t>
  </si>
  <si>
    <t xml:space="preserve"> WME Capital</t>
  </si>
  <si>
    <t>Berg and Berg Enterprises</t>
  </si>
  <si>
    <t xml:space="preserve"> Bertelsmann</t>
  </si>
  <si>
    <t xml:space="preserve"> Escalate Capital Partners</t>
  </si>
  <si>
    <t xml:space="preserve"> Meriwether Capital</t>
  </si>
  <si>
    <t xml:space="preserve"> Bill Lee</t>
  </si>
  <si>
    <t xml:space="preserve"> Canadian Imperial Bank of Commerce</t>
  </si>
  <si>
    <t xml:space="preserve"> Eden Ventures</t>
  </si>
  <si>
    <t xml:space="preserve"> Geoff Entress</t>
  </si>
  <si>
    <t xml:space="preserve"> Invoke Labs</t>
  </si>
  <si>
    <t xml:space="preserve"> Pine Hill Capital</t>
  </si>
  <si>
    <t xml:space="preserve"> Self Aware Games</t>
  </si>
  <si>
    <t xml:space="preserve"> Texas Atlantic Capital</t>
  </si>
  <si>
    <t>Cynthia Padnos</t>
  </si>
  <si>
    <t xml:space="preserve"> Illuminate Ventures</t>
  </si>
  <si>
    <t xml:space="preserve"> 5xmais</t>
  </si>
  <si>
    <t xml:space="preserve"> A.Capital Ventures</t>
  </si>
  <si>
    <t xml:space="preserve"> Chris Sang</t>
  </si>
  <si>
    <t xml:space="preserve"> DGNL Ventures</t>
  </si>
  <si>
    <t xml:space="preserve"> Eric Ries</t>
  </si>
  <si>
    <t xml:space="preserve"> Flight Ventures</t>
  </si>
  <si>
    <t xml:space="preserve"> Greg Silverman</t>
  </si>
  <si>
    <t xml:space="preserve"> Jeffrey Smith</t>
  </si>
  <si>
    <t xml:space="preserve"> Kevin Spacey</t>
  </si>
  <si>
    <t xml:space="preserve"> Rivet Ventures</t>
  </si>
  <si>
    <t xml:space="preserve"> Rostrum Capital</t>
  </si>
  <si>
    <t xml:space="preserve"> Thomas Ryan</t>
  </si>
  <si>
    <t xml:space="preserve"> Yee Lee</t>
  </si>
  <si>
    <t>Brad Gillespie</t>
  </si>
  <si>
    <t xml:space="preserve"> Namek Zu'bi</t>
  </si>
  <si>
    <t xml:space="preserve"> Oak HC/FT</t>
  </si>
  <si>
    <t>Adam Singolda</t>
  </si>
  <si>
    <t xml:space="preserve"> Tim Armstrong</t>
  </si>
  <si>
    <t>3TS Capital Partners</t>
  </si>
  <si>
    <t xml:space="preserve"> Blue Heron Capital</t>
  </si>
  <si>
    <t xml:space="preserve"> Troy Capital Partners</t>
  </si>
  <si>
    <t xml:space="preserve"> G-Bar Ventures</t>
  </si>
  <si>
    <t xml:space="preserve"> Great Oaks VC</t>
  </si>
  <si>
    <t xml:space="preserve"> Investment Management Corporation of Ontario</t>
  </si>
  <si>
    <t xml:space="preserve"> Ontario Pension Board</t>
  </si>
  <si>
    <t xml:space="preserve"> Step Partners</t>
  </si>
  <si>
    <t xml:space="preserve"> The Glenmede Trust Company</t>
  </si>
  <si>
    <t xml:space="preserve"> Aquiline Technology Growth</t>
  </si>
  <si>
    <t xml:space="preserve"> BNSG Capital</t>
  </si>
  <si>
    <t xml:space="preserve"> Christopher Hill</t>
  </si>
  <si>
    <t xml:space="preserve"> Jacob Gibson</t>
  </si>
  <si>
    <t xml:space="preserve"> Joshua Stech</t>
  </si>
  <si>
    <t xml:space="preserve"> Louis Beryl</t>
  </si>
  <si>
    <t xml:space="preserve"> Mark Lefanowicz</t>
  </si>
  <si>
    <t xml:space="preserve"> Moderne Ventures</t>
  </si>
  <si>
    <t xml:space="preserve"> Pipeline Capital Partners</t>
  </si>
  <si>
    <t xml:space="preserve"> Ramtin Naimi</t>
  </si>
  <si>
    <t xml:space="preserve"> Soo Boon Koh</t>
  </si>
  <si>
    <t xml:space="preserve"> Warren Hogarth</t>
  </si>
  <si>
    <t xml:space="preserve"> OpenView Venture Partners</t>
  </si>
  <si>
    <t>Ali M.T. Alghanim</t>
  </si>
  <si>
    <t xml:space="preserve"> Fabian von Kuenheim</t>
  </si>
  <si>
    <t xml:space="preserve"> Hubraum</t>
  </si>
  <si>
    <t xml:space="preserve"> Kuenheim Familiaris</t>
  </si>
  <si>
    <t xml:space="preserve"> Prototron</t>
  </si>
  <si>
    <t xml:space="preserve"> Startupbootcamp</t>
  </si>
  <si>
    <t>Cordova Ventures</t>
  </si>
  <si>
    <t xml:space="preserve"> Inverness Graham</t>
  </si>
  <si>
    <t xml:space="preserve"> Ben Gaddis</t>
  </si>
  <si>
    <t xml:space="preserve"> Blake Wiley</t>
  </si>
  <si>
    <t xml:space="preserve"> Brian Goldberg</t>
  </si>
  <si>
    <t xml:space="preserve"> Charles Street Partners</t>
  </si>
  <si>
    <t xml:space="preserve"> Halsey</t>
  </si>
  <si>
    <t xml:space="preserve"> Huston Street</t>
  </si>
  <si>
    <t xml:space="preserve"> Kings of Leon</t>
  </si>
  <si>
    <t xml:space="preserve"> Lance Armstrong</t>
  </si>
  <si>
    <t xml:space="preserve"> Tim Love</t>
  </si>
  <si>
    <t xml:space="preserve"> Mertz Holdings</t>
  </si>
  <si>
    <t>Byron Asset Management</t>
  </si>
  <si>
    <t xml:space="preserve"> Morning Crest Capital</t>
  </si>
  <si>
    <t>Brainchild Holdings</t>
  </si>
  <si>
    <t>ePlanet Capital</t>
  </si>
  <si>
    <t xml:space="preserve"> Puneet Chawla</t>
  </si>
  <si>
    <t xml:space="preserve"> AI List</t>
  </si>
  <si>
    <t xml:space="preserve"> Amplify.LA</t>
  </si>
  <si>
    <t xml:space="preserve"> Basepoint Ventures</t>
  </si>
  <si>
    <t xml:space="preserve"> Kris Bjornerud</t>
  </si>
  <si>
    <t xml:space="preserve"> FoundersGuild</t>
  </si>
  <si>
    <t>Alven Capital Partners</t>
  </si>
  <si>
    <t xml:space="preserve"> InnovAllianz</t>
  </si>
  <si>
    <t xml:space="preserve"> Eric Frenkiel</t>
  </si>
  <si>
    <t xml:space="preserve"> Jeremy LaTrasse</t>
  </si>
  <si>
    <t xml:space="preserve"> John Dahl</t>
  </si>
  <si>
    <t xml:space="preserve"> Endeavour</t>
  </si>
  <si>
    <t xml:space="preserve"> NetPrice</t>
  </si>
  <si>
    <t xml:space="preserve"> Redpoint Partners</t>
  </si>
  <si>
    <t xml:space="preserve"> Ciudad De Las Ideas</t>
  </si>
  <si>
    <t xml:space="preserve"> Quantum Pacific Group</t>
  </si>
  <si>
    <t xml:space="preserve"> The NHS Innovation Accelerator</t>
  </si>
  <si>
    <t>Amit Gupta</t>
  </si>
  <si>
    <t xml:space="preserve"> Arun Seth</t>
  </si>
  <si>
    <t xml:space="preserve"> Atlas Asset Management</t>
  </si>
  <si>
    <t xml:space="preserve"> Atlas Ventures</t>
  </si>
  <si>
    <t xml:space="preserve"> Bala Parthasarathy</t>
  </si>
  <si>
    <t xml:space="preserve"> Chiratae Ventures</t>
  </si>
  <si>
    <t xml:space="preserve"> Gopal Srinivasan</t>
  </si>
  <si>
    <t xml:space="preserve"> InnoVen Capital</t>
  </si>
  <si>
    <t xml:space="preserve"> Kunal Bajaj</t>
  </si>
  <si>
    <t xml:space="preserve"> Leonie Hill Capital</t>
  </si>
  <si>
    <t xml:space="preserve"> Micromax Informatics</t>
  </si>
  <si>
    <t xml:space="preserve"> MyFitnessPal</t>
  </si>
  <si>
    <t xml:space="preserve"> NB Ventures</t>
  </si>
  <si>
    <t xml:space="preserve"> Rajesh Mushroowala</t>
  </si>
  <si>
    <t xml:space="preserve"> Roopa Nath</t>
  </si>
  <si>
    <t xml:space="preserve"> Sistema Asia Capital</t>
  </si>
  <si>
    <t xml:space="preserve"> Srini Koppulu</t>
  </si>
  <si>
    <t>Adam D'Angelo</t>
  </si>
  <si>
    <t xml:space="preserve"> Iconiq Lab</t>
  </si>
  <si>
    <t xml:space="preserve"> JioGenNext</t>
  </si>
  <si>
    <t xml:space="preserve"> Kearny Jackson</t>
  </si>
  <si>
    <t xml:space="preserve"> Next World Capital</t>
  </si>
  <si>
    <t xml:space="preserve"> Pavan Ongole</t>
  </si>
  <si>
    <t xml:space="preserve"> Pratyus Patnaik</t>
  </si>
  <si>
    <t xml:space="preserve"> Punit Soni</t>
  </si>
  <si>
    <t xml:space="preserve"> Ross Mason</t>
  </si>
  <si>
    <t xml:space="preserve"> Ryan Hoover</t>
  </si>
  <si>
    <t xml:space="preserve"> Saran Chatterjee</t>
  </si>
  <si>
    <t xml:space="preserve"> Kyle Vucko</t>
  </si>
  <si>
    <t xml:space="preserve"> Sarah Willersdorf</t>
  </si>
  <si>
    <t xml:space="preserve"> Shan-Lyn Ma</t>
  </si>
  <si>
    <t xml:space="preserve"> University of Pennsylvania Endowment</t>
  </si>
  <si>
    <t xml:space="preserve"> Innovation Group</t>
  </si>
  <si>
    <t xml:space="preserve"> Pharus Select Venture Growth LLC</t>
  </si>
  <si>
    <t xml:space="preserve"> Simon Property Group</t>
  </si>
  <si>
    <t xml:space="preserve"> Hadria Wong</t>
  </si>
  <si>
    <t>10Fund</t>
  </si>
  <si>
    <t xml:space="preserve"> Ganesh Ventures</t>
  </si>
  <si>
    <t xml:space="preserve"> Zero2IPO Partners</t>
  </si>
  <si>
    <t xml:space="preserve"> Jeneration Capital</t>
  </si>
  <si>
    <t xml:space="preserve"> XVC</t>
  </si>
  <si>
    <t xml:space="preserve"> University of Texas Investment Management Company</t>
  </si>
  <si>
    <t xml:space="preserve"> China National Innovation Fund</t>
  </si>
  <si>
    <t xml:space="preserve"> China-Singapore Suzhou Industrial Park Ventures</t>
  </si>
  <si>
    <t xml:space="preserve"> Ministry of Science and Technology</t>
  </si>
  <si>
    <t xml:space="preserve"> Taiwan</t>
  </si>
  <si>
    <t>DeNA</t>
  </si>
  <si>
    <t xml:space="preserve"> Monex Ventures</t>
  </si>
  <si>
    <t xml:space="preserve"> Rheos Capital Works</t>
  </si>
  <si>
    <t xml:space="preserve"> Skyland Ventures</t>
  </si>
  <si>
    <t xml:space="preserve"> Value Create</t>
  </si>
  <si>
    <t xml:space="preserve"> Vector (PR Agency)</t>
  </si>
  <si>
    <t xml:space="preserve"> Winroader</t>
  </si>
  <si>
    <t>Aegon</t>
  </si>
  <si>
    <t xml:space="preserve"> Ash Bhardwaj</t>
  </si>
  <si>
    <t xml:space="preserve"> New York Life Investment Management</t>
  </si>
  <si>
    <t xml:space="preserve"> Paxion Capital</t>
  </si>
  <si>
    <t xml:space="preserve"> Wells Fargo Securities</t>
  </si>
  <si>
    <t xml:space="preserve"> Aaron Patzer</t>
  </si>
  <si>
    <t xml:space="preserve"> Adam Nash</t>
  </si>
  <si>
    <t xml:space="preserve"> Andrew Chen</t>
  </si>
  <si>
    <t xml:space="preserve"> Andrew Houston</t>
  </si>
  <si>
    <t xml:space="preserve"> Ariel Emanuel</t>
  </si>
  <si>
    <t xml:space="preserve"> Arjun Sethi</t>
  </si>
  <si>
    <t xml:space="preserve"> Atom Factory</t>
  </si>
  <si>
    <t xml:space="preserve"> Chung-Man Tam</t>
  </si>
  <si>
    <t xml:space="preserve"> Douglas Sleeter</t>
  </si>
  <si>
    <t xml:space="preserve"> Emergence Capital Partners</t>
  </si>
  <si>
    <t xml:space="preserve"> Gail Goodman</t>
  </si>
  <si>
    <t xml:space="preserve"> Hiten Shah</t>
  </si>
  <si>
    <t xml:space="preserve"> James Beshara</t>
  </si>
  <si>
    <t xml:space="preserve"> Jay Simmons</t>
  </si>
  <si>
    <t xml:space="preserve"> Jed York</t>
  </si>
  <si>
    <t xml:space="preserve"> Jeremy Stoppelman</t>
  </si>
  <si>
    <t xml:space="preserve"> Joseph Walla</t>
  </si>
  <si>
    <t xml:space="preserve"> Justin Rosenstein</t>
  </si>
  <si>
    <t xml:space="preserve"> Karen Mills</t>
  </si>
  <si>
    <t xml:space="preserve"> Kevin Hartz</t>
  </si>
  <si>
    <t xml:space="preserve"> Larry Summers</t>
  </si>
  <si>
    <t xml:space="preserve"> LEAP Global Partners</t>
  </si>
  <si>
    <t xml:space="preserve"> Marco Zappacosta</t>
  </si>
  <si>
    <t xml:space="preserve"> Mark Britto</t>
  </si>
  <si>
    <t xml:space="preserve"> Mark Leslie</t>
  </si>
  <si>
    <t xml:space="preserve"> Matt Mickiewicz</t>
  </si>
  <si>
    <t xml:space="preserve"> Matthew Rogers</t>
  </si>
  <si>
    <t xml:space="preserve"> Ribbit Capital</t>
  </si>
  <si>
    <t xml:space="preserve"> Ryan Holmes</t>
  </si>
  <si>
    <t xml:space="preserve"> Steve Loughlin</t>
  </si>
  <si>
    <t xml:space="preserve"> SWS Venture Capital</t>
  </si>
  <si>
    <t xml:space="preserve"> Tobias Lutke</t>
  </si>
  <si>
    <t xml:space="preserve"> Trip Adler</t>
  </si>
  <si>
    <t xml:space="preserve"> Wasabi Ventures</t>
  </si>
  <si>
    <t xml:space="preserve"> Zachary Bogue</t>
  </si>
  <si>
    <t xml:space="preserve"> Fern Mandelbaum</t>
  </si>
  <si>
    <t xml:space="preserve"> Matt Glickman</t>
  </si>
  <si>
    <t xml:space="preserve"> Miriam Rivera</t>
  </si>
  <si>
    <t xml:space="preserve"> Rethink</t>
  </si>
  <si>
    <t xml:space="preserve"> Rethink Impact</t>
  </si>
  <si>
    <t>Allied</t>
  </si>
  <si>
    <t xml:space="preserve"> Capsula Smart Mobility</t>
  </si>
  <si>
    <t xml:space="preserve"> Cyphertech</t>
  </si>
  <si>
    <t xml:space="preserve"> Faurecia</t>
  </si>
  <si>
    <t xml:space="preserve"> Jürgen Hambrecht</t>
  </si>
  <si>
    <t xml:space="preserve"> Kardan Water International Group</t>
  </si>
  <si>
    <t xml:space="preserve"> Kurt Lauk</t>
  </si>
  <si>
    <t xml:space="preserve"> Michael Diekmann</t>
  </si>
  <si>
    <t xml:space="preserve"> Next Leap Ventures</t>
  </si>
  <si>
    <t xml:space="preserve"> Robert Taub</t>
  </si>
  <si>
    <t xml:space="preserve"> Roland Berger</t>
  </si>
  <si>
    <t xml:space="preserve"> Stefan Hambrecht</t>
  </si>
  <si>
    <t xml:space="preserve"> VectoIQ</t>
  </si>
  <si>
    <t xml:space="preserve"> ClalTech</t>
  </si>
  <si>
    <t xml:space="preserve"> Ehud Barak</t>
  </si>
  <si>
    <t xml:space="preserve"> Greenfield Partners (Israel)</t>
  </si>
  <si>
    <t>Circularity Capital</t>
  </si>
  <si>
    <t xml:space="preserve"> Commerzbank</t>
  </si>
  <si>
    <t xml:space="preserve"> Coparion</t>
  </si>
  <si>
    <t xml:space="preserve"> EnjoyVenture</t>
  </si>
  <si>
    <t xml:space="preserve"> Hannoverimpuls</t>
  </si>
  <si>
    <t xml:space="preserve"> June Fund</t>
  </si>
  <si>
    <t xml:space="preserve"> K-Invest</t>
  </si>
  <si>
    <t xml:space="preserve"> Main Incubator</t>
  </si>
  <si>
    <t xml:space="preserve"> Rocket Internet</t>
  </si>
  <si>
    <t xml:space="preserve"> Varengold Bank</t>
  </si>
  <si>
    <t>Angels on the Water</t>
  </si>
  <si>
    <t xml:space="preserve"> BrightStar Wisconsin Foundation</t>
  </si>
  <si>
    <t xml:space="preserve"> Mitch Eveland</t>
  </si>
  <si>
    <t xml:space="preserve"> SymphonyAlpha Ventures</t>
  </si>
  <si>
    <t xml:space="preserve"> Todd Marshall</t>
  </si>
  <si>
    <t xml:space="preserve"> Total Equity Capital</t>
  </si>
  <si>
    <t xml:space="preserve"> Woodman's Markets</t>
  </si>
  <si>
    <t>American Electric Power Company</t>
  </si>
  <si>
    <t xml:space="preserve"> Argo Global Capital</t>
  </si>
  <si>
    <t xml:space="preserve"> GIV Venture Partners</t>
  </si>
  <si>
    <t xml:space="preserve"> PPL</t>
  </si>
  <si>
    <t xml:space="preserve"> Redleaf Group</t>
  </si>
  <si>
    <t xml:space="preserve"> Telkonet</t>
  </si>
  <si>
    <t>Braemar Energy Ventures</t>
  </si>
  <si>
    <t xml:space="preserve"> GE Energy Financial Services</t>
  </si>
  <si>
    <t xml:space="preserve"> Ray Rastelli</t>
  </si>
  <si>
    <t>Dorado Analytics</t>
  </si>
  <si>
    <t xml:space="preserve"> IPC Systems</t>
  </si>
  <si>
    <t xml:space="preserve"> AES</t>
  </si>
  <si>
    <t xml:space="preserve"> Citigroup Alternative Investments</t>
  </si>
  <si>
    <t xml:space="preserve"> Dow Venture Capital</t>
  </si>
  <si>
    <t xml:space="preserve"> Fairbridge Venture Partners</t>
  </si>
  <si>
    <t xml:space="preserve"> NGP Energy Technology Partners</t>
  </si>
  <si>
    <t xml:space="preserve"> Peabody Energy</t>
  </si>
  <si>
    <t xml:space="preserve"> Seven Mile Capital Partners</t>
  </si>
  <si>
    <t xml:space="preserve"> Suncor Energy</t>
  </si>
  <si>
    <t xml:space="preserve"> Walsingham Growth Partners</t>
  </si>
  <si>
    <t xml:space="preserve"> Lytical Ventures</t>
  </si>
  <si>
    <t xml:space="preserve"> Synerleap</t>
  </si>
  <si>
    <t>Andy Chou</t>
  </si>
  <si>
    <t xml:space="preserve"> Ben Lorica</t>
  </si>
  <si>
    <t xml:space="preserve"> Brook Conner</t>
  </si>
  <si>
    <t xml:space="preserve"> Clarence Granger</t>
  </si>
  <si>
    <t xml:space="preserve"> Dave Park</t>
  </si>
  <si>
    <t xml:space="preserve"> Greylock Capital Management</t>
  </si>
  <si>
    <t xml:space="preserve"> Kurt Keutzer</t>
  </si>
  <si>
    <t xml:space="preserve"> Patrick O'Malley</t>
  </si>
  <si>
    <t xml:space="preserve"> Prasanna Srikhanta</t>
  </si>
  <si>
    <t xml:space="preserve"> Ilya Sutskever</t>
  </si>
  <si>
    <t xml:space="preserve"> Merian Chrysalis Investment</t>
  </si>
  <si>
    <t xml:space="preserve"> Merian Global Investors</t>
  </si>
  <si>
    <t xml:space="preserve"> Pieter Abbeel</t>
  </si>
  <si>
    <t xml:space="preserve"> Scott Gray</t>
  </si>
  <si>
    <t xml:space="preserve"> Sofina</t>
  </si>
  <si>
    <t xml:space="preserve"> Wyvern Fund</t>
  </si>
  <si>
    <t xml:space="preserve"> Zoubin Ghahramani</t>
  </si>
  <si>
    <t>Canary</t>
  </si>
  <si>
    <t xml:space="preserve"> Inovativa Brasil</t>
  </si>
  <si>
    <t xml:space="preserve"> OpenVC Fund</t>
  </si>
  <si>
    <t xml:space="preserve"> Startup Farm</t>
  </si>
  <si>
    <t xml:space="preserve"> KensaGroup</t>
  </si>
  <si>
    <t xml:space="preserve"> Red Bear Angels</t>
  </si>
  <si>
    <t xml:space="preserve"> Western New York Venture Association</t>
  </si>
  <si>
    <t xml:space="preserve"> Pioneer Square Labs</t>
  </si>
  <si>
    <t xml:space="preserve"> Brother Industries</t>
  </si>
  <si>
    <t xml:space="preserve"> Burke E. Porter Machinery</t>
  </si>
  <si>
    <t xml:space="preserve"> Esquel Group</t>
  </si>
  <si>
    <t xml:space="preserve"> Shanghai Electric (Group)</t>
  </si>
  <si>
    <t xml:space="preserve"> Publicis Sapient</t>
  </si>
  <si>
    <t xml:space="preserve"> Vignette</t>
  </si>
  <si>
    <t xml:space="preserve"> Ares Capital</t>
  </si>
  <si>
    <t>IA Ventures</t>
  </si>
  <si>
    <t xml:space="preserve"> John Hall</t>
  </si>
  <si>
    <t xml:space="preserve"> Keith Robinson</t>
  </si>
  <si>
    <t xml:space="preserve"> Lex van Dam</t>
  </si>
  <si>
    <t xml:space="preserve"> LG Venture Investments</t>
  </si>
  <si>
    <t xml:space="preserve"> Malcolm Hopping</t>
  </si>
  <si>
    <t xml:space="preserve"> Michael Pennington</t>
  </si>
  <si>
    <t xml:space="preserve"> Vivek Kundra</t>
  </si>
  <si>
    <t>Digital Entertainment Ventures</t>
  </si>
  <si>
    <t>DG Incubation</t>
  </si>
  <si>
    <t xml:space="preserve"> FiNC</t>
  </si>
  <si>
    <t xml:space="preserve"> Sadhu Capital</t>
  </si>
  <si>
    <t xml:space="preserve"> Almanac Insights</t>
  </si>
  <si>
    <t xml:space="preserve"> Mark VC</t>
  </si>
  <si>
    <t xml:space="preserve"> Dharmesh Thakker</t>
  </si>
  <si>
    <t xml:space="preserve"> Technolera</t>
  </si>
  <si>
    <t xml:space="preserve"> Corp Strategics</t>
  </si>
  <si>
    <t xml:space="preserve"> Guardian Life Insurance Company of America</t>
  </si>
  <si>
    <t xml:space="preserve"> OneDigital Health and Benefits</t>
  </si>
  <si>
    <t xml:space="preserve"> UpCurve</t>
  </si>
  <si>
    <t xml:space="preserve"> Adams Street Partners</t>
  </si>
  <si>
    <t xml:space="preserve"> Harry Briggs</t>
  </si>
  <si>
    <t xml:space="preserve"> Hoxton Ventures</t>
  </si>
  <si>
    <t xml:space="preserve"> Mark Zaleski</t>
  </si>
  <si>
    <t xml:space="preserve"> Passion Capital</t>
  </si>
  <si>
    <t>dPixel</t>
  </si>
  <si>
    <t xml:space="preserve"> Primomiglio SGR</t>
  </si>
  <si>
    <t xml:space="preserve"> Working Capital Accelerator</t>
  </si>
  <si>
    <t xml:space="preserve"> Arthur Benjamin</t>
  </si>
  <si>
    <t xml:space="preserve"> Astra International</t>
  </si>
  <si>
    <t xml:space="preserve"> Avantage Ventures</t>
  </si>
  <si>
    <t xml:space="preserve"> Capital Group Private Markets</t>
  </si>
  <si>
    <t xml:space="preserve"> Djarum Group</t>
  </si>
  <si>
    <t xml:space="preserve"> French Partners</t>
  </si>
  <si>
    <t xml:space="preserve"> GDP Venture</t>
  </si>
  <si>
    <t xml:space="preserve"> Hera Capital</t>
  </si>
  <si>
    <t xml:space="preserve"> Meituan-Dianping</t>
  </si>
  <si>
    <t xml:space="preserve"> Northstar(Singapore)</t>
  </si>
  <si>
    <t xml:space="preserve"> Openspace Ventures</t>
  </si>
  <si>
    <t xml:space="preserve"> Provident Capital Partners</t>
  </si>
  <si>
    <t>Curious Office</t>
  </si>
  <si>
    <t xml:space="preserve"> Naya Ventures</t>
  </si>
  <si>
    <t xml:space="preserve"> Jay Brown</t>
  </si>
  <si>
    <t xml:space="preserve"> Manzanita Capital</t>
  </si>
  <si>
    <t xml:space="preserve"> TOMS Capital</t>
  </si>
  <si>
    <t xml:space="preserve"> Insulet</t>
  </si>
  <si>
    <t xml:space="preserve"> Lifeforce Ventures</t>
  </si>
  <si>
    <t xml:space="preserve"> Mayo Clinic</t>
  </si>
  <si>
    <t xml:space="preserve"> Russell Hirsch</t>
  </si>
  <si>
    <t xml:space="preserve"> Sundeep Madra</t>
  </si>
  <si>
    <t xml:space="preserve"> Vint Cerf</t>
  </si>
  <si>
    <t xml:space="preserve"> Xtreme Labs</t>
  </si>
  <si>
    <t>263 Network Communications</t>
  </si>
  <si>
    <t xml:space="preserve"> 360 total security</t>
  </si>
  <si>
    <t xml:space="preserve"> CK Hutchison Holdings</t>
  </si>
  <si>
    <t xml:space="preserve"> Digicel Group</t>
  </si>
  <si>
    <t xml:space="preserve"> Hermes Growth Partners</t>
  </si>
  <si>
    <t xml:space="preserve"> Impact Venture Capital</t>
  </si>
  <si>
    <t xml:space="preserve"> NTT DoCoMo</t>
  </si>
  <si>
    <t xml:space="preserve"> Shackleton Ventures</t>
  </si>
  <si>
    <t xml:space="preserve"> Spark Ventures</t>
  </si>
  <si>
    <t xml:space="preserve"> Wholesale Investor</t>
  </si>
  <si>
    <t xml:space="preserve"> Emergic Capital</t>
  </si>
  <si>
    <t xml:space="preserve"> Lewis Trust Group</t>
  </si>
  <si>
    <t xml:space="preserve"> Verlinvest</t>
  </si>
  <si>
    <t>Anthem Venture Partners</t>
  </si>
  <si>
    <t xml:space="preserve"> Anvil Investment Associates</t>
  </si>
  <si>
    <t xml:space="preserve"> Ashford Capital Management</t>
  </si>
  <si>
    <t xml:space="preserve"> Committed Advisors</t>
  </si>
  <si>
    <t xml:space="preserve"> Formational Ventures</t>
  </si>
  <si>
    <t xml:space="preserve"> GF Private Equity Group</t>
  </si>
  <si>
    <t xml:space="preserve"> Le Centre CDP Capital</t>
  </si>
  <si>
    <t xml:space="preserve"> Mobius Venture Capital</t>
  </si>
  <si>
    <t xml:space="preserve"> NTT Leasing Capital</t>
  </si>
  <si>
    <t xml:space="preserve"> Terilogy Company</t>
  </si>
  <si>
    <t>Allotrope Partners</t>
  </si>
  <si>
    <t xml:space="preserve"> BlackRock TCP Capital</t>
  </si>
  <si>
    <t xml:space="preserve"> Nth Power</t>
  </si>
  <si>
    <t xml:space="preserve"> Oman's State General Reserve Fund</t>
  </si>
  <si>
    <t xml:space="preserve"> Reference Capital Management</t>
  </si>
  <si>
    <t xml:space="preserve"> T.J. Cross Engineers</t>
  </si>
  <si>
    <t xml:space="preserve"> Andy Rappaport</t>
  </si>
  <si>
    <t xml:space="preserve"> April Underwood</t>
  </si>
  <si>
    <t xml:space="preserve"> Autochrome Ventures</t>
  </si>
  <si>
    <t xml:space="preserve"> Benjamin Boyer</t>
  </si>
  <si>
    <t xml:space="preserve"> Coleen Baik</t>
  </si>
  <si>
    <t xml:space="preserve"> Gerald Lema</t>
  </si>
  <si>
    <t xml:space="preserve"> Holly Hogan</t>
  </si>
  <si>
    <t xml:space="preserve"> Justin Biegel</t>
  </si>
  <si>
    <t xml:space="preserve"> Laraine McKinnon</t>
  </si>
  <si>
    <t xml:space="preserve"> Marc Blinder</t>
  </si>
  <si>
    <t xml:space="preserve"> Matthew Mastracci</t>
  </si>
  <si>
    <t xml:space="preserve"> Mitali Pattnaik</t>
  </si>
  <si>
    <t xml:space="preserve"> Rachel Conant</t>
  </si>
  <si>
    <t xml:space="preserve"> Stephen Kelly</t>
  </si>
  <si>
    <t xml:space="preserve"> Sukhmani Bachal</t>
  </si>
  <si>
    <t xml:space="preserve"> Te Smith</t>
  </si>
  <si>
    <t xml:space="preserve"> Tracy Chadwell</t>
  </si>
  <si>
    <t xml:space="preserve"> Wendy Stein</t>
  </si>
  <si>
    <t xml:space="preserve"> Zhanna Shamis</t>
  </si>
  <si>
    <t>Future Funders</t>
  </si>
  <si>
    <t>Bhupendra Shah</t>
  </si>
  <si>
    <t xml:space="preserve"> Cable News Network</t>
  </si>
  <si>
    <t xml:space="preserve"> Mavenir Systems</t>
  </si>
  <si>
    <t xml:space="preserve"> Previz Ventures</t>
  </si>
  <si>
    <t xml:space="preserve"> Sling Media</t>
  </si>
  <si>
    <t xml:space="preserve"> Vonage Holdings</t>
  </si>
  <si>
    <t xml:space="preserve"> Warner Bros. Entertainment</t>
  </si>
  <si>
    <t>Betaworks Ventures</t>
  </si>
  <si>
    <t>Consumer Equity Partners</t>
  </si>
  <si>
    <t xml:space="preserve"> Tod Perkins</t>
  </si>
  <si>
    <t xml:space="preserve"> Jeong Kim</t>
  </si>
  <si>
    <t xml:space="preserve"> Keval Desai</t>
  </si>
  <si>
    <t xml:space="preserve"> Da Vinci Capital Management</t>
  </si>
  <si>
    <t xml:space="preserve"> Falcon Capital (London)</t>
  </si>
  <si>
    <t xml:space="preserve"> MCI Capital</t>
  </si>
  <si>
    <t xml:space="preserve"> Volkswagen</t>
  </si>
  <si>
    <t xml:space="preserve"> Vostok New Ventures</t>
  </si>
  <si>
    <t xml:space="preserve"> Amir Banifatemi</t>
  </si>
  <si>
    <t xml:space="preserve"> Angus Davis</t>
  </si>
  <si>
    <t xml:space="preserve"> Asset Plus Capital</t>
  </si>
  <si>
    <t xml:space="preserve"> Bruno Bowden</t>
  </si>
  <si>
    <t xml:space="preserve"> Invariantes Fund</t>
  </si>
  <si>
    <t xml:space="preserve"> Marc Randolph</t>
  </si>
  <si>
    <t xml:space="preserve"> Sam Shank</t>
  </si>
  <si>
    <t xml:space="preserve"> Vistara Capital Partners</t>
  </si>
  <si>
    <t>Aston Hill Asset Management</t>
  </si>
  <si>
    <t xml:space="preserve"> North Sky Capital</t>
  </si>
  <si>
    <t xml:space="preserve"> Trivaris</t>
  </si>
  <si>
    <t xml:space="preserve"> Roadmap Capital</t>
  </si>
  <si>
    <t>entrepreneurship@UBC Seed Fund</t>
  </si>
  <si>
    <t xml:space="preserve"> SparkLabs Global Ventures</t>
  </si>
  <si>
    <t xml:space="preserve"> Wonik IPS</t>
  </si>
  <si>
    <t>Adrian Fenty</t>
  </si>
  <si>
    <t xml:space="preserve"> Ajay Chopra</t>
  </si>
  <si>
    <t xml:space="preserve"> Al Dhow Capital</t>
  </si>
  <si>
    <t xml:space="preserve"> ASAP Rocky</t>
  </si>
  <si>
    <t xml:space="preserve"> Benjamin Lerer</t>
  </si>
  <si>
    <t xml:space="preserve"> Cameron Dallas</t>
  </si>
  <si>
    <t xml:space="preserve"> Carmelo Anthony</t>
  </si>
  <si>
    <t xml:space="preserve"> Cristian Burci</t>
  </si>
  <si>
    <t xml:space="preserve"> Curtis Jackson</t>
  </si>
  <si>
    <t xml:space="preserve"> Drew Taggart</t>
  </si>
  <si>
    <t xml:space="preserve"> Erik Moore</t>
  </si>
  <si>
    <t xml:space="preserve"> Jake Paul</t>
  </si>
  <si>
    <t xml:space="preserve"> Jared Morgenstern</t>
  </si>
  <si>
    <t xml:space="preserve"> Kiari Kendrell Cephus</t>
  </si>
  <si>
    <t xml:space="preserve"> Krishna Swaroop Kolluri</t>
  </si>
  <si>
    <t xml:space="preserve"> Kyrie Irving</t>
  </si>
  <si>
    <t xml:space="preserve"> Management 360</t>
  </si>
  <si>
    <t xml:space="preserve"> Nickhil Jakatdar</t>
  </si>
  <si>
    <t xml:space="preserve"> Ramu Sunkara</t>
  </si>
  <si>
    <t xml:space="preserve"> Russell Westbrook</t>
  </si>
  <si>
    <t xml:space="preserve"> Sean Rad</t>
  </si>
  <si>
    <t xml:space="preserve"> Shawn Mendes</t>
  </si>
  <si>
    <t xml:space="preserve"> TeamDom</t>
  </si>
  <si>
    <t xml:space="preserve"> Trinity Venture Group</t>
  </si>
  <si>
    <t xml:space="preserve"> Waha Capital</t>
  </si>
  <si>
    <t xml:space="preserve"> William Wesley</t>
  </si>
  <si>
    <t>Eighteen94 Capital</t>
  </si>
  <si>
    <t>Bill Duhamel</t>
  </si>
  <si>
    <t xml:space="preserve"> George Zimmer</t>
  </si>
  <si>
    <t xml:space="preserve"> Gisele Brisson</t>
  </si>
  <si>
    <t xml:space="preserve"> Ian Issacs</t>
  </si>
  <si>
    <t xml:space="preserve"> J. Carlo Cannell</t>
  </si>
  <si>
    <t xml:space="preserve"> Jeremiah Chafkin</t>
  </si>
  <si>
    <t xml:space="preserve"> Kevin Francis</t>
  </si>
  <si>
    <t xml:space="preserve"> Lyrical Partners</t>
  </si>
  <si>
    <t xml:space="preserve"> Meritage Funds</t>
  </si>
  <si>
    <t xml:space="preserve"> Meritage Group</t>
  </si>
  <si>
    <t xml:space="preserve"> Scott Spradley</t>
  </si>
  <si>
    <t xml:space="preserve"> CLI Ventures</t>
  </si>
  <si>
    <t xml:space="preserve"> David Gow</t>
  </si>
  <si>
    <t xml:space="preserve"> Greenstart (Other Capital Markets/Institutions)</t>
  </si>
  <si>
    <t xml:space="preserve"> RocketSpace</t>
  </si>
  <si>
    <t xml:space="preserve"> Syzygy West</t>
  </si>
  <si>
    <t xml:space="preserve"> Wells Fargo Innovation Incubator</t>
  </si>
  <si>
    <t>3V SourceOne Capital</t>
  </si>
  <si>
    <t xml:space="preserve"> @Ventures</t>
  </si>
  <si>
    <t xml:space="preserve"> Anapass</t>
  </si>
  <si>
    <t xml:space="preserve"> Bokwang</t>
  </si>
  <si>
    <t xml:space="preserve"> KGI Partners</t>
  </si>
  <si>
    <t xml:space="preserve"> National Semiconductor</t>
  </si>
  <si>
    <t xml:space="preserve"> Nexus Investment Corporation</t>
  </si>
  <si>
    <t xml:space="preserve"> Olympus Business Creation America</t>
  </si>
  <si>
    <t xml:space="preserve"> Parakletos Ventures</t>
  </si>
  <si>
    <t xml:space="preserve"> Pequot Ventures</t>
  </si>
  <si>
    <t xml:space="preserve"> Pericom Semiconductor</t>
  </si>
  <si>
    <t xml:space="preserve"> SDL Ventures</t>
  </si>
  <si>
    <t xml:space="preserve"> UTStarcom</t>
  </si>
  <si>
    <t xml:space="preserve"> Bobby Goodlatte</t>
  </si>
  <si>
    <t xml:space="preserve"> Innovative Aftermarket Systems</t>
  </si>
  <si>
    <t xml:space="preserve"> Simone Syed</t>
  </si>
  <si>
    <t xml:space="preserve"> TechFounders</t>
  </si>
  <si>
    <t xml:space="preserve"> Mozido</t>
  </si>
  <si>
    <t xml:space="preserve"> Delta Electronics Power Supply</t>
  </si>
  <si>
    <t>Al Sommer</t>
  </si>
  <si>
    <t xml:space="preserve"> Del West</t>
  </si>
  <si>
    <t>Beenext (Singapore)</t>
  </si>
  <si>
    <t xml:space="preserve"> Bharati Balakrishnan</t>
  </si>
  <si>
    <t xml:space="preserve"> Freshworks</t>
  </si>
  <si>
    <t xml:space="preserve"> Joydeep Sen Sharma</t>
  </si>
  <si>
    <t xml:space="preserve"> Kedar Gavane</t>
  </si>
  <si>
    <t xml:space="preserve"> Phanindra Sama</t>
  </si>
  <si>
    <t xml:space="preserve"> Pravega Ventures</t>
  </si>
  <si>
    <t xml:space="preserve"> Richa Kar</t>
  </si>
  <si>
    <t xml:space="preserve"> Sunil Kalra</t>
  </si>
  <si>
    <t xml:space="preserve"> YES FINTECH</t>
  </si>
  <si>
    <t xml:space="preserve"> London Venture Partners</t>
  </si>
  <si>
    <t>Breton Capital Ventures</t>
  </si>
  <si>
    <t xml:space="preserve"> Commerce.Innovated</t>
  </si>
  <si>
    <t xml:space="preserve"> DCU FinTech Innovation Center</t>
  </si>
  <si>
    <t xml:space="preserve"> G9 Ventures</t>
  </si>
  <si>
    <t xml:space="preserve"> Reach Capital</t>
  </si>
  <si>
    <t xml:space="preserve"> SixThirty</t>
  </si>
  <si>
    <t>Bits x Bites</t>
  </si>
  <si>
    <t xml:space="preserve"> HB Ventures</t>
  </si>
  <si>
    <t xml:space="preserve"> Neto Malinda Trading</t>
  </si>
  <si>
    <t xml:space="preserve"> Yissum</t>
  </si>
  <si>
    <t>Communitech Hyperdrive</t>
  </si>
  <si>
    <t xml:space="preserve"> Trellis Capital</t>
  </si>
  <si>
    <t>Amarjit Gill</t>
  </si>
  <si>
    <t xml:space="preserve"> Dan Dobberpuhl</t>
  </si>
  <si>
    <t>Dell Technologies Capital</t>
  </si>
  <si>
    <t xml:space="preserve"> Riva y García Financial Group</t>
  </si>
  <si>
    <t>Aligned Partners</t>
  </si>
  <si>
    <t>Autochrome Ventures</t>
  </si>
  <si>
    <t xml:space="preserve"> Farfetch</t>
  </si>
  <si>
    <t xml:space="preserve"> Steve Curry</t>
  </si>
  <si>
    <t>Ideanomics</t>
  </si>
  <si>
    <t xml:space="preserve"> Oakmont (Los Angeles)</t>
  </si>
  <si>
    <t xml:space="preserve"> Prologis</t>
  </si>
  <si>
    <t xml:space="preserve"> Andy Smith</t>
  </si>
  <si>
    <t xml:space="preserve"> Arjun Divecha</t>
  </si>
  <si>
    <t xml:space="preserve"> Blue Bear Capital</t>
  </si>
  <si>
    <t xml:space="preserve"> Erik Steeb</t>
  </si>
  <si>
    <t xml:space="preserve"> Howard Fields</t>
  </si>
  <si>
    <t xml:space="preserve"> Jay Adelson</t>
  </si>
  <si>
    <t xml:space="preserve"> Jay Zarfoss</t>
  </si>
  <si>
    <t xml:space="preserve"> Jerome Engel</t>
  </si>
  <si>
    <t xml:space="preserve"> Los Angeles Cleantech Incubator</t>
  </si>
  <si>
    <t xml:space="preserve"> Niko Elmaleh</t>
  </si>
  <si>
    <t xml:space="preserve"> Ulupono Initiative</t>
  </si>
  <si>
    <t>Chibagin Capital</t>
  </si>
  <si>
    <t xml:space="preserve"> Japan Co-Invest Limited Partnership</t>
  </si>
  <si>
    <t xml:space="preserve"> Life Card</t>
  </si>
  <si>
    <t xml:space="preserve"> MUFG Bank</t>
  </si>
  <si>
    <t xml:space="preserve"> Nissay Insurance Agency</t>
  </si>
  <si>
    <t>Anges Québec Capital</t>
  </si>
  <si>
    <t xml:space="preserve"> Bolidea</t>
  </si>
  <si>
    <t xml:space="preserve"> Boris Wertz</t>
  </si>
  <si>
    <t xml:space="preserve"> Caisse de dépôt et placement du Québec</t>
  </si>
  <si>
    <t xml:space="preserve"> Campfire Capital</t>
  </si>
  <si>
    <t xml:space="preserve"> Daniel Robichaud</t>
  </si>
  <si>
    <t xml:space="preserve"> Ferst Capital Partners</t>
  </si>
  <si>
    <t xml:space="preserve"> Goodwater Capital</t>
  </si>
  <si>
    <t xml:space="preserve"> Greenoaks Capital Partners</t>
  </si>
  <si>
    <t xml:space="preserve"> Investment Quebec</t>
  </si>
  <si>
    <t xml:space="preserve"> Martin-Luc Archambault</t>
  </si>
  <si>
    <t xml:space="preserve"> Pool Global Partners</t>
  </si>
  <si>
    <t xml:space="preserve"> SOT Ventures</t>
  </si>
  <si>
    <t xml:space="preserve"> Version One Ventures</t>
  </si>
  <si>
    <t xml:space="preserve"> River Accelerator</t>
  </si>
  <si>
    <t xml:space="preserve"> Citi Innovation Lab</t>
  </si>
  <si>
    <t>Chin Shang Electric</t>
  </si>
  <si>
    <t xml:space="preserve"> Dynalink Int'l</t>
  </si>
  <si>
    <t xml:space="preserve"> Honesty Capital investment</t>
  </si>
  <si>
    <t xml:space="preserve"> Huang International</t>
  </si>
  <si>
    <t xml:space="preserve"> Innostream Investment</t>
  </si>
  <si>
    <t xml:space="preserve"> Joint Fun Venture Capital</t>
  </si>
  <si>
    <t xml:space="preserve"> Marvell International</t>
  </si>
  <si>
    <t xml:space="preserve"> Tsaida Investment</t>
  </si>
  <si>
    <t>BootstrapLabs</t>
  </si>
  <si>
    <t>Baruch Future Ventures</t>
  </si>
  <si>
    <t xml:space="preserve"> Palapa Ventures</t>
  </si>
  <si>
    <t xml:space="preserve"> Visionary Private Equity Group</t>
  </si>
  <si>
    <t>Clarkston Merchant Partners</t>
  </si>
  <si>
    <t xml:space="preserve"> Greenhouse Capital Partners</t>
  </si>
  <si>
    <t xml:space="preserve"> Nicola Wealth Management</t>
  </si>
  <si>
    <t xml:space="preserve"> Testo</t>
  </si>
  <si>
    <t xml:space="preserve"> Panarea Capital</t>
  </si>
  <si>
    <t>European Regional Development Fund</t>
  </si>
  <si>
    <t xml:space="preserve"> Portal Funduszy Europejskich</t>
  </si>
  <si>
    <t xml:space="preserve"> La Maison Investments</t>
  </si>
  <si>
    <t>Alireza Masrour</t>
  </si>
  <si>
    <t xml:space="preserve"> Amadeus Ventures</t>
  </si>
  <si>
    <t xml:space="preserve"> AXA Seed Factory</t>
  </si>
  <si>
    <t xml:space="preserve"> Hamid Borkhordhar</t>
  </si>
  <si>
    <t xml:space="preserve"> Jonathan Curtis</t>
  </si>
  <si>
    <t xml:space="preserve"> Pankaj Shah</t>
  </si>
  <si>
    <t xml:space="preserve"> Shawn V. Gruver</t>
  </si>
  <si>
    <t xml:space="preserve"> Thiel Capital</t>
  </si>
  <si>
    <t xml:space="preserve"> Tom Rice</t>
  </si>
  <si>
    <t>4DX Ventures</t>
  </si>
  <si>
    <t xml:space="preserve"> CRE Venture Capital</t>
  </si>
  <si>
    <t xml:space="preserve"> FinTech Collective</t>
  </si>
  <si>
    <t xml:space="preserve"> Golden Palm Investments</t>
  </si>
  <si>
    <t xml:space="preserve"> Green Visor Capital</t>
  </si>
  <si>
    <t xml:space="preserve"> LoftyInc Capital Management</t>
  </si>
  <si>
    <t xml:space="preserve"> Lynett Capital</t>
  </si>
  <si>
    <t xml:space="preserve"> LYVC</t>
  </si>
  <si>
    <t xml:space="preserve"> Raba Capital</t>
  </si>
  <si>
    <t xml:space="preserve"> The Venture Center</t>
  </si>
  <si>
    <t xml:space="preserve"> Daniel Fain</t>
  </si>
  <si>
    <t xml:space="preserve"> Emerge Ventures</t>
  </si>
  <si>
    <t xml:space="preserve"> James Tamplin</t>
  </si>
  <si>
    <t xml:space="preserve"> Max Hodak</t>
  </si>
  <si>
    <t xml:space="preserve"> Nat Friedman</t>
  </si>
  <si>
    <t xml:space="preserve"> Robby Walker</t>
  </si>
  <si>
    <t xml:space="preserve"> Silicon Valley Data Science</t>
  </si>
  <si>
    <t xml:space="preserve"> Siqi Chen</t>
  </si>
  <si>
    <t xml:space="preserve"> Yuri Sagalov</t>
  </si>
  <si>
    <t xml:space="preserve"> Eastern Sun Capital Partners</t>
  </si>
  <si>
    <t xml:space="preserve"> Discovery (Mass Media)</t>
  </si>
  <si>
    <t xml:space="preserve"> Fertitta Capital</t>
  </si>
  <si>
    <t xml:space="preserve"> World Wrestling Entertainment</t>
  </si>
  <si>
    <t xml:space="preserve"> Adam Lisagor</t>
  </si>
  <si>
    <t xml:space="preserve"> Alfred Lin</t>
  </si>
  <si>
    <t xml:space="preserve"> Ellen Pao</t>
  </si>
  <si>
    <t xml:space="preserve"> Rizvi Traverse Management</t>
  </si>
  <si>
    <t xml:space="preserve"> Vernon Niven</t>
  </si>
  <si>
    <t>Jafco</t>
  </si>
  <si>
    <t xml:space="preserve"> K2 Intelligence</t>
  </si>
  <si>
    <t xml:space="preserve"> TechOperators</t>
  </si>
  <si>
    <t xml:space="preserve"> Argonaut Private Equity</t>
  </si>
  <si>
    <t xml:space="preserve"> Argoquest</t>
  </si>
  <si>
    <t xml:space="preserve"> Bell Mobility</t>
  </si>
  <si>
    <t xml:space="preserve"> Concord Ventures (Israel)</t>
  </si>
  <si>
    <t xml:space="preserve"> Empeeric</t>
  </si>
  <si>
    <t xml:space="preserve"> Gilat Satellite Networks</t>
  </si>
  <si>
    <t xml:space="preserve"> Smac Partners</t>
  </si>
  <si>
    <t xml:space="preserve"> The Challenge Fund - Etgar</t>
  </si>
  <si>
    <t xml:space="preserve"> Hakim Unique Group</t>
  </si>
  <si>
    <t xml:space="preserve"> Almi Invest</t>
  </si>
  <si>
    <t xml:space="preserve"> B Capital Group</t>
  </si>
  <si>
    <t xml:space="preserve"> Edastra Venture Capital</t>
  </si>
  <si>
    <t xml:space="preserve"> Hans Lindroth</t>
  </si>
  <si>
    <t xml:space="preserve"> Henrik Torstensson</t>
  </si>
  <si>
    <t xml:space="preserve"> Inbox Capital</t>
  </si>
  <si>
    <t xml:space="preserve"> Industrifonden</t>
  </si>
  <si>
    <t xml:space="preserve"> Mathias Ackermand</t>
  </si>
  <si>
    <t xml:space="preserve"> Mattias Miksche</t>
  </si>
  <si>
    <t xml:space="preserve"> Rikard Steiber</t>
  </si>
  <si>
    <t xml:space="preserve"> Slush</t>
  </si>
  <si>
    <t xml:space="preserve"> Telenor Group</t>
  </si>
  <si>
    <t xml:space="preserve"> Umando</t>
  </si>
  <si>
    <t>IMM Investment</t>
  </si>
  <si>
    <t>Advent International</t>
  </si>
  <si>
    <t xml:space="preserve"> Unit4</t>
  </si>
  <si>
    <t xml:space="preserve"> Nicolas Louvet</t>
  </si>
  <si>
    <t>Amherst Fund</t>
  </si>
  <si>
    <t xml:space="preserve"> Bullpen Capital</t>
  </si>
  <si>
    <t xml:space="preserve"> David Cohen</t>
  </si>
  <si>
    <t xml:space="preserve"> Resonant Venture Partners</t>
  </si>
  <si>
    <t xml:space="preserve"> SWSD</t>
  </si>
  <si>
    <t xml:space="preserve"> Tappan Hill Ventures</t>
  </si>
  <si>
    <t xml:space="preserve"> Ryerson Futures</t>
  </si>
  <si>
    <t>Center for Technology Transfer &amp; Commercialization</t>
  </si>
  <si>
    <t>Caisse de dépôt et placement du Québec</t>
  </si>
  <si>
    <t xml:space="preserve"> LDV Partners</t>
  </si>
  <si>
    <t xml:space="preserve"> Phi Group</t>
  </si>
  <si>
    <t>Anges Québec</t>
  </si>
  <si>
    <t xml:space="preserve"> Anges Québec Capital</t>
  </si>
  <si>
    <t xml:space="preserve"> Green Cross Holdings</t>
  </si>
  <si>
    <t xml:space="preserve"> Stonebridge Ventures</t>
  </si>
  <si>
    <t>Discovery Capital</t>
  </si>
  <si>
    <t xml:space="preserve"> VOXX International</t>
  </si>
  <si>
    <t>Crosscut Ventures</t>
  </si>
  <si>
    <t>Drive Capital</t>
  </si>
  <si>
    <t xml:space="preserve"> SkyDeck</t>
  </si>
  <si>
    <t>Avrio Capital</t>
  </si>
  <si>
    <t xml:space="preserve"> Invest Ottawa</t>
  </si>
  <si>
    <t xml:space="preserve"> Verus Animal Health Alliance</t>
  </si>
  <si>
    <t xml:space="preserve"> Avrio Capital</t>
  </si>
  <si>
    <t xml:space="preserve"> Michael Kuntz</t>
  </si>
  <si>
    <t xml:space="preserve"> White Road Investments</t>
  </si>
  <si>
    <t>Cleveland Avenue</t>
  </si>
  <si>
    <t xml:space="preserve"> DOM Capital Group</t>
  </si>
  <si>
    <t xml:space="preserve"> Finistere Ventures</t>
  </si>
  <si>
    <t xml:space="preserve"> Maywic Select Investments</t>
  </si>
  <si>
    <t xml:space="preserve"> Spiral Sun Ventures</t>
  </si>
  <si>
    <t>ORIX Growth Capital</t>
  </si>
  <si>
    <t xml:space="preserve"> SunBridge Partners</t>
  </si>
  <si>
    <t>Barney Pell</t>
  </si>
  <si>
    <t>Basis Set Ventures</t>
  </si>
  <si>
    <t xml:space="preserve"> Fortive</t>
  </si>
  <si>
    <t xml:space="preserve"> Start Smart Labs</t>
  </si>
  <si>
    <t xml:space="preserve"> 3Rodeo</t>
  </si>
  <si>
    <t xml:space="preserve"> Ergo (Germany)</t>
  </si>
  <si>
    <t xml:space="preserve"> Mercedes Benz</t>
  </si>
  <si>
    <t xml:space="preserve"> NWS Holdings</t>
  </si>
  <si>
    <t xml:space="preserve"> Penske Automotive Group</t>
  </si>
  <si>
    <t xml:space="preserve"> Taurus Ventures</t>
  </si>
  <si>
    <t>Extorel</t>
  </si>
  <si>
    <t>Asimov Ventures</t>
  </si>
  <si>
    <t xml:space="preserve"> CONNECT (Accelerator)</t>
  </si>
  <si>
    <t xml:space="preserve"> imec.xpand</t>
  </si>
  <si>
    <t xml:space="preserve"> JLABS</t>
  </si>
  <si>
    <t>European Commission</t>
  </si>
  <si>
    <t xml:space="preserve"> Innowacyjna Gosopodarka</t>
  </si>
  <si>
    <t>ABG Sundal Collier</t>
  </si>
  <si>
    <t xml:space="preserve"> Alexander Brühl</t>
  </si>
  <si>
    <t xml:space="preserve"> Dynamic Funds</t>
  </si>
  <si>
    <t xml:space="preserve"> Maturo Kapital</t>
  </si>
  <si>
    <t xml:space="preserve"> Skagerak Maturo</t>
  </si>
  <si>
    <t>K-Street Capital</t>
  </si>
  <si>
    <t xml:space="preserve"> Rokk3r Fuel ExO</t>
  </si>
  <si>
    <t xml:space="preserve"> Shadow Ventures</t>
  </si>
  <si>
    <t xml:space="preserve"> Temerity Capital Partners</t>
  </si>
  <si>
    <t>BA4V</t>
  </si>
  <si>
    <t xml:space="preserve"> BFB Brandenburg Kapital</t>
  </si>
  <si>
    <t xml:space="preserve"> Companisto</t>
  </si>
  <si>
    <t xml:space="preserve"> Earlybird Venture Capital</t>
  </si>
  <si>
    <t xml:space="preserve"> Rainer Christine</t>
  </si>
  <si>
    <t xml:space="preserve"> State of Brandenburg - Economic Development</t>
  </si>
  <si>
    <t xml:space="preserve"> Mittelstandische Beteiligungsgesellschaft Hessen</t>
  </si>
  <si>
    <t>Gordon Eubanks</t>
  </si>
  <si>
    <t xml:space="preserve"> Joseph Goodman</t>
  </si>
  <si>
    <t>AOL</t>
  </si>
  <si>
    <t xml:space="preserve"> Avansis Ventures</t>
  </si>
  <si>
    <t xml:space="preserve"> Bezeq Israel Telecommunications</t>
  </si>
  <si>
    <t xml:space="preserve"> Geyser Business Enterprise</t>
  </si>
  <si>
    <t xml:space="preserve"> Magnum Communications</t>
  </si>
  <si>
    <t xml:space="preserve"> Singtel</t>
  </si>
  <si>
    <t xml:space="preserve"> David Flynn</t>
  </si>
  <si>
    <t xml:space="preserve"> Giora Yaron</t>
  </si>
  <si>
    <t xml:space="preserve"> Michael Boodaei</t>
  </si>
  <si>
    <t xml:space="preserve"> Rusnano</t>
  </si>
  <si>
    <t>3737 North Capital</t>
  </si>
  <si>
    <t xml:space="preserve"> BHLP</t>
  </si>
  <si>
    <t xml:space="preserve"> Bloc Ventures</t>
  </si>
  <si>
    <t xml:space="preserve"> David Heller</t>
  </si>
  <si>
    <t xml:space="preserve"> Generation Ventures</t>
  </si>
  <si>
    <t xml:space="preserve"> Jeffrey Burde</t>
  </si>
  <si>
    <t xml:space="preserve"> SAATCHiNVEST</t>
  </si>
  <si>
    <t>Dignity Health</t>
  </si>
  <si>
    <t xml:space="preserve"> Health Enterprise Partners</t>
  </si>
  <si>
    <t xml:space="preserve"> The House Fund</t>
  </si>
  <si>
    <t>Catamount Ventures</t>
  </si>
  <si>
    <t xml:space="preserve"> CrossBridge Venture Partners</t>
  </si>
  <si>
    <t xml:space="preserve"> Crosspoint Venture Partners</t>
  </si>
  <si>
    <t xml:space="preserve"> Fremont Ventures</t>
  </si>
  <si>
    <t xml:space="preserve"> NIF Ventures</t>
  </si>
  <si>
    <t xml:space="preserve"> RWI Ventures</t>
  </si>
  <si>
    <t xml:space="preserve"> Tarrant Venture Partners</t>
  </si>
  <si>
    <t>Edison Partners</t>
  </si>
  <si>
    <t>Bitmain</t>
  </si>
  <si>
    <t xml:space="preserve"> C2 Capital</t>
  </si>
  <si>
    <t xml:space="preserve"> Cboe Global Markets</t>
  </si>
  <si>
    <t xml:space="preserve"> CMT Digital</t>
  </si>
  <si>
    <t xml:space="preserve"> ConsenSys Ventures</t>
  </si>
  <si>
    <t xml:space="preserve"> CTC Group</t>
  </si>
  <si>
    <t xml:space="preserve"> ED&amp;F Man Capital Markets</t>
  </si>
  <si>
    <t xml:space="preserve"> Monex Group</t>
  </si>
  <si>
    <t xml:space="preserve"> Nasdaq Ventures</t>
  </si>
  <si>
    <t xml:space="preserve"> Nico Securities</t>
  </si>
  <si>
    <t xml:space="preserve"> Susquehanna Growth Equity</t>
  </si>
  <si>
    <t xml:space="preserve"> TD Ameritrade</t>
  </si>
  <si>
    <t xml:space="preserve"> Third Stone Partners</t>
  </si>
  <si>
    <t xml:space="preserve"> Virtu Financial</t>
  </si>
  <si>
    <t xml:space="preserve"> XR Trading</t>
  </si>
  <si>
    <t>Halliburton</t>
  </si>
  <si>
    <t>CourtsideVC</t>
  </si>
  <si>
    <t xml:space="preserve"> Karen Karniol-Tambour</t>
  </si>
  <si>
    <t>Ilshin Investment</t>
  </si>
  <si>
    <t xml:space="preserve"> Industrial Bank of Korea</t>
  </si>
  <si>
    <t xml:space="preserve"> Compagnie Financiere du Scribe</t>
  </si>
  <si>
    <t xml:space="preserve"> Felda Palm Industries</t>
  </si>
  <si>
    <t xml:space="preserve"> Fibria Celulose</t>
  </si>
  <si>
    <t xml:space="preserve"> Impax Asset Management Group</t>
  </si>
  <si>
    <t xml:space="preserve"> Roseburg Forest Products</t>
  </si>
  <si>
    <t>BCE</t>
  </si>
  <si>
    <t xml:space="preserve"> Rogers Communications</t>
  </si>
  <si>
    <t xml:space="preserve"> SET Ventures</t>
  </si>
  <si>
    <t xml:space="preserve"> Siemens Technology Accelerator</t>
  </si>
  <si>
    <t xml:space="preserve"> Sobera Capital</t>
  </si>
  <si>
    <t>Catalina Ventures</t>
  </si>
  <si>
    <t xml:space="preserve"> Russell Van Cleve</t>
  </si>
  <si>
    <t xml:space="preserve"> Sam Paola</t>
  </si>
  <si>
    <t xml:space="preserve"> Atomic Ventures</t>
  </si>
  <si>
    <t xml:space="preserve"> BB&amp;T Capital Markets</t>
  </si>
  <si>
    <t xml:space="preserve"> Lisa Deutsch</t>
  </si>
  <si>
    <t xml:space="preserve"> MetLife</t>
  </si>
  <si>
    <t xml:space="preserve"> PTC</t>
  </si>
  <si>
    <t xml:space="preserve"> Rohit Bodas</t>
  </si>
  <si>
    <t xml:space="preserve"> Third Point</t>
  </si>
  <si>
    <t xml:space="preserve"> Goodman Capital</t>
  </si>
  <si>
    <t xml:space="preserve"> Government of Singapore</t>
  </si>
  <si>
    <t xml:space="preserve"> MBC BioLabs</t>
  </si>
  <si>
    <t xml:space="preserve"> Singapore Economic Development Board</t>
  </si>
  <si>
    <t xml:space="preserve"> WuXi AppTec</t>
  </si>
  <si>
    <t xml:space="preserve"> Bangchak Petroleum</t>
  </si>
  <si>
    <t xml:space="preserve"> CEC Capital</t>
  </si>
  <si>
    <t xml:space="preserve"> Essex Capital</t>
  </si>
  <si>
    <t xml:space="preserve"> LG Chem</t>
  </si>
  <si>
    <t xml:space="preserve"> Michael Lazaridis</t>
  </si>
  <si>
    <t xml:space="preserve"> Mission Ventures</t>
  </si>
  <si>
    <t xml:space="preserve"> Commercial Energy</t>
  </si>
  <si>
    <t xml:space="preserve"> Oceanshore Ventures</t>
  </si>
  <si>
    <t xml:space="preserve"> U.S. Invest</t>
  </si>
  <si>
    <t xml:space="preserve"> Limburgs klimaatbedrijf NUHMA</t>
  </si>
  <si>
    <t xml:space="preserve"> LRM</t>
  </si>
  <si>
    <t xml:space="preserve"> Crédit Agricole Alpes Développement</t>
  </si>
  <si>
    <t xml:space="preserve"> Demeter</t>
  </si>
  <si>
    <t xml:space="preserve"> Emertec Gestion</t>
  </si>
  <si>
    <t xml:space="preserve"> Grenoble INP Invest</t>
  </si>
  <si>
    <t xml:space="preserve"> Robolution Capital</t>
  </si>
  <si>
    <t>Atlas Venture</t>
  </si>
  <si>
    <t xml:space="preserve"> BlackRock Realty Advisors</t>
  </si>
  <si>
    <t xml:space="preserve"> Flagship Pioneering</t>
  </si>
  <si>
    <t xml:space="preserve"> Marathon Oil</t>
  </si>
  <si>
    <t xml:space="preserve"> Michigan Economic Development</t>
  </si>
  <si>
    <t xml:space="preserve"> SunOpta</t>
  </si>
  <si>
    <t xml:space="preserve"> The BioEnergy Science Center</t>
  </si>
  <si>
    <t xml:space="preserve"> Valero Energy</t>
  </si>
  <si>
    <t xml:space="preserve"> Sorfina Capital</t>
  </si>
  <si>
    <t xml:space="preserve"> XPV Water Partners</t>
  </si>
  <si>
    <t>Berg Capital Group</t>
  </si>
  <si>
    <t xml:space="preserve"> Brent Kitts</t>
  </si>
  <si>
    <t xml:space="preserve"> Middleburg Capital Development</t>
  </si>
  <si>
    <t xml:space="preserve"> Hopewell Ventures</t>
  </si>
  <si>
    <t xml:space="preserve"> McCombs Partners</t>
  </si>
  <si>
    <t xml:space="preserve"> Walker Ventures</t>
  </si>
  <si>
    <t xml:space="preserve"> Worldview Technology Partners</t>
  </si>
  <si>
    <t xml:space="preserve"> Garage+</t>
  </si>
  <si>
    <t xml:space="preserve"> MIT Delta V</t>
  </si>
  <si>
    <t xml:space="preserve"> Hive Ventures</t>
  </si>
  <si>
    <t>Anthos Capital</t>
  </si>
  <si>
    <t xml:space="preserve"> Radian Capital</t>
  </si>
  <si>
    <t>Ajaypal Banga</t>
  </si>
  <si>
    <t xml:space="preserve"> Andrea Jung</t>
  </si>
  <si>
    <t xml:space="preserve"> Astia</t>
  </si>
  <si>
    <t xml:space="preserve"> Brian Finn</t>
  </si>
  <si>
    <t xml:space="preserve"> Jeff Schwarz</t>
  </si>
  <si>
    <t xml:space="preserve"> Karen Boezi</t>
  </si>
  <si>
    <t xml:space="preserve"> Karen Finerman</t>
  </si>
  <si>
    <t xml:space="preserve"> LH Holdings</t>
  </si>
  <si>
    <t xml:space="preserve"> Mellody Hobson</t>
  </si>
  <si>
    <t xml:space="preserve"> Mohamed El-Erian</t>
  </si>
  <si>
    <t xml:space="preserve"> Morningstar</t>
  </si>
  <si>
    <t xml:space="preserve"> Morningstar Capital</t>
  </si>
  <si>
    <t xml:space="preserve"> Nellie Levchin</t>
  </si>
  <si>
    <t xml:space="preserve"> Pivotal Ventures</t>
  </si>
  <si>
    <t xml:space="preserve"> PSP Partners</t>
  </si>
  <si>
    <t xml:space="preserve"> Robert Druskin</t>
  </si>
  <si>
    <t xml:space="preserve"> SK Impact Fund</t>
  </si>
  <si>
    <t xml:space="preserve"> Valerie Jarrett</t>
  </si>
  <si>
    <t xml:space="preserve"> Venus Williams</t>
  </si>
  <si>
    <t>Cargill Ventures</t>
  </si>
  <si>
    <t xml:space="preserve"> Materia</t>
  </si>
  <si>
    <t xml:space="preserve"> Naxos Capital Partners</t>
  </si>
  <si>
    <t xml:space="preserve"> Saskatchewan Canola Development Commission</t>
  </si>
  <si>
    <t>Fathom Capital</t>
  </si>
  <si>
    <t xml:space="preserve"> Fika Ventures</t>
  </si>
  <si>
    <t xml:space="preserve"> Rewired</t>
  </si>
  <si>
    <t>500 Startups Canada</t>
  </si>
  <si>
    <t xml:space="preserve"> National Bank of Canada</t>
  </si>
  <si>
    <t>BoxGroup</t>
  </si>
  <si>
    <t xml:space="preserve"> Central Capital Ventura</t>
  </si>
  <si>
    <t xml:space="preserve"> Maloekoe Ventures</t>
  </si>
  <si>
    <t xml:space="preserve"> MDI Ventures</t>
  </si>
  <si>
    <t xml:space="preserve"> PTB Ventures</t>
  </si>
  <si>
    <t>Anheuser-Busch</t>
  </si>
  <si>
    <t xml:space="preserve"> Interscope Records</t>
  </si>
  <si>
    <t xml:space="preserve"> Lightspeed Venture Partners Israel</t>
  </si>
  <si>
    <t xml:space="preserve"> Sony Pictures Entertainment</t>
  </si>
  <si>
    <t xml:space="preserve"> Warner Music Group</t>
  </si>
  <si>
    <t xml:space="preserve"> Blue Scorpion Investments</t>
  </si>
  <si>
    <t xml:space="preserve"> Brian Sheng</t>
  </si>
  <si>
    <t xml:space="preserve"> Claudio Cherubino</t>
  </si>
  <si>
    <t xml:space="preserve"> Farzam Kamel</t>
  </si>
  <si>
    <t xml:space="preserve"> Fresh VC</t>
  </si>
  <si>
    <t xml:space="preserve"> Gabriele Bodda</t>
  </si>
  <si>
    <t xml:space="preserve"> Gabriele Scoditti</t>
  </si>
  <si>
    <t xml:space="preserve"> Luca Ferrari</t>
  </si>
  <si>
    <t xml:space="preserve"> Marco Scarpella</t>
  </si>
  <si>
    <t xml:space="preserve"> Marco Sgrignuoli</t>
  </si>
  <si>
    <t xml:space="preserve"> Mick Eddy</t>
  </si>
  <si>
    <t xml:space="preserve"> Redo Ventures</t>
  </si>
  <si>
    <t xml:space="preserve"> TIA Ventures</t>
  </si>
  <si>
    <t xml:space="preserve"> Varsity Ventures</t>
  </si>
  <si>
    <t xml:space="preserve"> Wills Hapsworth</t>
  </si>
  <si>
    <t>ASI Bitspiration Booster</t>
  </si>
  <si>
    <t xml:space="preserve"> Auger Venture</t>
  </si>
  <si>
    <t xml:space="preserve"> Foundation for Polish Science</t>
  </si>
  <si>
    <t xml:space="preserve"> Google For Entrepreneurs</t>
  </si>
  <si>
    <t>Agensi Inovasi Malaysia</t>
  </si>
  <si>
    <t xml:space="preserve"> Brizan Investments</t>
  </si>
  <si>
    <t xml:space="preserve"> Hong Kong Inno Capital</t>
  </si>
  <si>
    <t xml:space="preserve"> Hong Kong X-Tech</t>
  </si>
  <si>
    <t>CloudScale Capital Partners</t>
  </si>
  <si>
    <t xml:space="preserve"> Brown Brothers Harriman Capital Partners</t>
  </si>
  <si>
    <t xml:space="preserve"> Fort Ventures</t>
  </si>
  <si>
    <t xml:space="preserve"> Kensington Capital Holdings</t>
  </si>
  <si>
    <t>408 Ventures</t>
  </si>
  <si>
    <t xml:space="preserve"> Arkley The Accelerator VC</t>
  </si>
  <si>
    <t xml:space="preserve"> Happy Farm</t>
  </si>
  <si>
    <t xml:space="preserve"> IBM SmartCamp</t>
  </si>
  <si>
    <t xml:space="preserve"> IDCEE</t>
  </si>
  <si>
    <t xml:space="preserve"> K&amp;T Capital</t>
  </si>
  <si>
    <t>AGL New Energy Investments</t>
  </si>
  <si>
    <t xml:space="preserve"> Carrier Corporation</t>
  </si>
  <si>
    <t xml:space="preserve"> JLA Ventures</t>
  </si>
  <si>
    <t xml:space="preserve"> Just Energy Group</t>
  </si>
  <si>
    <t xml:space="preserve"> Ontario Capital Growth Corporation</t>
  </si>
  <si>
    <t xml:space="preserve"> Tech Capital Partners</t>
  </si>
  <si>
    <t>CincyTech</t>
  </si>
  <si>
    <t xml:space="preserve"> Connetic Ventures</t>
  </si>
  <si>
    <t xml:space="preserve"> KTECH Capital</t>
  </si>
  <si>
    <t xml:space="preserve"> Ohio Innovation Fund</t>
  </si>
  <si>
    <t xml:space="preserve"> Sweet Capital</t>
  </si>
  <si>
    <t>Argos Capital</t>
  </si>
  <si>
    <t xml:space="preserve"> Bank Hapoalim</t>
  </si>
  <si>
    <t xml:space="preserve"> Bridge Investment Fund</t>
  </si>
  <si>
    <t xml:space="preserve"> Docor International Management</t>
  </si>
  <si>
    <t xml:space="preserve"> Gonzalo Martinez de Azagra</t>
  </si>
  <si>
    <t xml:space="preserve"> Hill-Rom Holdings</t>
  </si>
  <si>
    <t xml:space="preserve"> Hotung Venture Capital</t>
  </si>
  <si>
    <t xml:space="preserve"> Impact First Investments</t>
  </si>
  <si>
    <t xml:space="preserve"> Israel-Colorado Innovation Fund</t>
  </si>
  <si>
    <t xml:space="preserve"> JK&amp;B Capital</t>
  </si>
  <si>
    <t xml:space="preserve"> Noaber Foundation</t>
  </si>
  <si>
    <t xml:space="preserve"> Perot Jain</t>
  </si>
  <si>
    <t xml:space="preserve"> Peter Soderberg</t>
  </si>
  <si>
    <t xml:space="preserve"> ProSeed Venture Capital Fund</t>
  </si>
  <si>
    <t xml:space="preserve"> Red &amp; Blue Ventures</t>
  </si>
  <si>
    <t xml:space="preserve"> TriVentures</t>
  </si>
  <si>
    <t xml:space="preserve"> Welch Allyn</t>
  </si>
  <si>
    <t xml:space="preserve"> Wells Fargo Strategic Capital</t>
  </si>
  <si>
    <t xml:space="preserve"> Digital Wallonia</t>
  </si>
  <si>
    <t xml:space="preserve"> JCDecaux Holding</t>
  </si>
  <si>
    <t xml:space="preserve"> Société Régionale d'Investissement de Wallonie</t>
  </si>
  <si>
    <t xml:space="preserve"> The Faktory</t>
  </si>
  <si>
    <t xml:space="preserve"> Vives</t>
  </si>
  <si>
    <t xml:space="preserve"> Brian Ascher</t>
  </si>
  <si>
    <t xml:space="preserve"> Frank Giuliano</t>
  </si>
  <si>
    <t xml:space="preserve"> Jim Larrison</t>
  </si>
  <si>
    <t xml:space="preserve"> Matthew Schwingel</t>
  </si>
  <si>
    <t xml:space="preserve"> Firebrand Ventures</t>
  </si>
  <si>
    <t xml:space="preserve"> Next Level Ventures</t>
  </si>
  <si>
    <t xml:space="preserve"> Square One DSM</t>
  </si>
  <si>
    <t xml:space="preserve"> The Members Group</t>
  </si>
  <si>
    <t xml:space="preserve"> The Veridian Group</t>
  </si>
  <si>
    <t xml:space="preserve"> Village Ventures</t>
  </si>
  <si>
    <t>58.com</t>
  </si>
  <si>
    <t xml:space="preserve"> Banyan Investment Partners</t>
  </si>
  <si>
    <t xml:space="preserve"> Blue Lake Capital</t>
  </si>
  <si>
    <t xml:space="preserve"> Gaochun Capital</t>
  </si>
  <si>
    <t xml:space="preserve"> New Hope Group</t>
  </si>
  <si>
    <t xml:space="preserve"> Xiaoguang Wu</t>
  </si>
  <si>
    <t>Balderton Capital</t>
  </si>
  <si>
    <t xml:space="preserve"> Riccardo Zacconi</t>
  </si>
  <si>
    <t xml:space="preserve"> WHU Incubator</t>
  </si>
  <si>
    <t>Adam Lilling</t>
  </si>
  <si>
    <t xml:space="preserve"> Black Oak Capital Partners</t>
  </si>
  <si>
    <t xml:space="preserve"> Corey Epstein</t>
  </si>
  <si>
    <t xml:space="preserve"> Dave Berlin</t>
  </si>
  <si>
    <t xml:space="preserve"> Demarest</t>
  </si>
  <si>
    <t xml:space="preserve"> Lanoha Ventures</t>
  </si>
  <si>
    <t xml:space="preserve"> Michael Lastoria</t>
  </si>
  <si>
    <t xml:space="preserve"> Patrick Falle</t>
  </si>
  <si>
    <t xml:space="preserve"> Sam Englebardt</t>
  </si>
  <si>
    <t xml:space="preserve"> Zillion</t>
  </si>
  <si>
    <t xml:space="preserve"> David Tsang</t>
  </si>
  <si>
    <t>Apurva Salarpuria</t>
  </si>
  <si>
    <t xml:space="preserve"> DSG Consumer Partners</t>
  </si>
  <si>
    <t xml:space="preserve"> Fireside Ventures</t>
  </si>
  <si>
    <t xml:space="preserve"> Kunal Kapoor</t>
  </si>
  <si>
    <t xml:space="preserve"> Samina Vaziralli</t>
  </si>
  <si>
    <t xml:space="preserve"> Shripad Nadkarni</t>
  </si>
  <si>
    <t xml:space="preserve"> Vishwarupe Narain</t>
  </si>
  <si>
    <t xml:space="preserve"> FLIR Systems</t>
  </si>
  <si>
    <t xml:space="preserve"> SZ DJI Technology Company</t>
  </si>
  <si>
    <t xml:space="preserve"> Allianz Group</t>
  </si>
  <si>
    <t xml:space="preserve"> Grant Gittlin</t>
  </si>
  <si>
    <t xml:space="preserve"> ProSiebenSat.1 Media</t>
  </si>
  <si>
    <t xml:space="preserve"> Sky UK</t>
  </si>
  <si>
    <t>Alok Mittal</t>
  </si>
  <si>
    <t xml:space="preserve"> Anirudh Damani</t>
  </si>
  <si>
    <t xml:space="preserve"> AnyPay</t>
  </si>
  <si>
    <t xml:space="preserve"> Axan Ventures</t>
  </si>
  <si>
    <t xml:space="preserve"> Crowdworks</t>
  </si>
  <si>
    <t xml:space="preserve"> DAS Capital</t>
  </si>
  <si>
    <t xml:space="preserve"> Dheeraj Jain</t>
  </si>
  <si>
    <t xml:space="preserve"> Hardik Ghudhka</t>
  </si>
  <si>
    <t xml:space="preserve"> Nikunj Jain</t>
  </si>
  <si>
    <t xml:space="preserve"> Niraj Singh</t>
  </si>
  <si>
    <t xml:space="preserve"> Palaash Ventures</t>
  </si>
  <si>
    <t xml:space="preserve"> Parag Shah</t>
  </si>
  <si>
    <t xml:space="preserve"> Pinank Kamdar</t>
  </si>
  <si>
    <t xml:space="preserve"> Punit Goyal</t>
  </si>
  <si>
    <t xml:space="preserve"> Redcliffe Capital</t>
  </si>
  <si>
    <t xml:space="preserve"> Rohit Chokhani</t>
  </si>
  <si>
    <t xml:space="preserve"> SCM Holdings</t>
  </si>
  <si>
    <t xml:space="preserve"> White Unicorn Ventures</t>
  </si>
  <si>
    <t xml:space="preserve"> Zishaan Hayaath</t>
  </si>
  <si>
    <t xml:space="preserve"> Grab Holdings</t>
  </si>
  <si>
    <t xml:space="preserve"> InnoSpring</t>
  </si>
  <si>
    <t>Altpoint Capital</t>
  </si>
  <si>
    <t xml:space="preserve"> Blue Wire Capital</t>
  </si>
  <si>
    <t xml:space="preserve"> China Alliance Investment</t>
  </si>
  <si>
    <t xml:space="preserve"> Dimaventures</t>
  </si>
  <si>
    <t xml:space="preserve"> Felix Schneider</t>
  </si>
  <si>
    <t xml:space="preserve"> Global Ports Holding</t>
  </si>
  <si>
    <t xml:space="preserve"> Princeville Capital</t>
  </si>
  <si>
    <t xml:space="preserve"> TruVenturo</t>
  </si>
  <si>
    <t xml:space="preserve"> Osage Venture Partners</t>
  </si>
  <si>
    <t xml:space="preserve"> BYU Cougar Capital</t>
  </si>
  <si>
    <t xml:space="preserve"> DataTribe</t>
  </si>
  <si>
    <t xml:space="preserve"> Emerson Ventures</t>
  </si>
  <si>
    <t xml:space="preserve"> Schweitzer Engineering Laboratories</t>
  </si>
  <si>
    <t>111 Holdings</t>
  </si>
  <si>
    <t xml:space="preserve"> Angel Street Capital</t>
  </si>
  <si>
    <t xml:space="preserve"> BDS Ventures</t>
  </si>
  <si>
    <t xml:space="preserve"> Counterview Capital</t>
  </si>
  <si>
    <t xml:space="preserve"> Crofton Capital</t>
  </si>
  <si>
    <t xml:space="preserve"> Eldridge Industries</t>
  </si>
  <si>
    <t xml:space="preserve"> Entertainment Sports Programming Network</t>
  </si>
  <si>
    <t xml:space="preserve"> Hub Angels Investment Group</t>
  </si>
  <si>
    <t xml:space="preserve"> Jerry Jones</t>
  </si>
  <si>
    <t xml:space="preserve"> Joe Gallagher</t>
  </si>
  <si>
    <t xml:space="preserve"> Jordan Mendell</t>
  </si>
  <si>
    <t xml:space="preserve"> Legends Hospitality</t>
  </si>
  <si>
    <t xml:space="preserve"> Major League Soccer</t>
  </si>
  <si>
    <t xml:space="preserve"> MassMutual Financial Group</t>
  </si>
  <si>
    <t xml:space="preserve"> Michael Cheung</t>
  </si>
  <si>
    <t xml:space="preserve"> National Hockey League</t>
  </si>
  <si>
    <t xml:space="preserve"> Templeton Emerging Markets Group</t>
  </si>
  <si>
    <t xml:space="preserve"> The Hartford Financial Services Group</t>
  </si>
  <si>
    <t xml:space="preserve"> The Madison Square Garden Company</t>
  </si>
  <si>
    <t xml:space="preserve"> Washington Capital Ventures</t>
  </si>
  <si>
    <t>Cathay Innovation</t>
  </si>
  <si>
    <t xml:space="preserve"> JadeValue Incubator</t>
  </si>
  <si>
    <t xml:space="preserve"> Share Capital</t>
  </si>
  <si>
    <t>Pharmagest Interactive</t>
  </si>
  <si>
    <t>Banexi Ventures Partners</t>
  </si>
  <si>
    <t xml:space="preserve"> Day One Entrepreneurs &amp; Partners</t>
  </si>
  <si>
    <t xml:space="preserve"> Mediapost</t>
  </si>
  <si>
    <t>Lovett Miller &amp; Company</t>
  </si>
  <si>
    <t xml:space="preserve"> Base Partners</t>
  </si>
  <si>
    <t xml:space="preserve"> Jason Johnson</t>
  </si>
  <si>
    <t xml:space="preserve"> Michael Levit</t>
  </si>
  <si>
    <t xml:space="preserve"> Northern Trust</t>
  </si>
  <si>
    <t>Evan Schulman</t>
  </si>
  <si>
    <t xml:space="preserve"> Clydesdale Bank</t>
  </si>
  <si>
    <t>32 Degrees Capital</t>
  </si>
  <si>
    <t xml:space="preserve"> Huff Capital</t>
  </si>
  <si>
    <t xml:space="preserve"> ServiceMaster Global Holdings</t>
  </si>
  <si>
    <t xml:space="preserve"> James Patterson</t>
  </si>
  <si>
    <t>A. Soriano</t>
  </si>
  <si>
    <t xml:space="preserve"> DFJ VinaCapital</t>
  </si>
  <si>
    <t>Brian Witlin</t>
  </si>
  <si>
    <t xml:space="preserve"> David Beyer</t>
  </si>
  <si>
    <t xml:space="preserve"> David Strong</t>
  </si>
  <si>
    <t xml:space="preserve"> Dennis DeGregor</t>
  </si>
  <si>
    <t xml:space="preserve"> Gene Hoffman</t>
  </si>
  <si>
    <t xml:space="preserve"> Karl Jacob</t>
  </si>
  <si>
    <t xml:space="preserve"> Shanghai Information Investment</t>
  </si>
  <si>
    <t xml:space="preserve"> Texas Instruments</t>
  </si>
  <si>
    <t xml:space="preserve"> Mighty Capital</t>
  </si>
  <si>
    <t xml:space="preserve"> Ryan McCalley</t>
  </si>
  <si>
    <t xml:space="preserve"> Viaduct Ventures</t>
  </si>
  <si>
    <t xml:space="preserve"> Spider Capital</t>
  </si>
  <si>
    <t>DCU FinTech Innovation Center</t>
  </si>
  <si>
    <t xml:space="preserve"> Explorer Advisory &amp; Capital</t>
  </si>
  <si>
    <t xml:space="preserve"> Finovate</t>
  </si>
  <si>
    <t>AWM Investment</t>
  </si>
  <si>
    <t xml:space="preserve"> Brookline Venture Partners</t>
  </si>
  <si>
    <t xml:space="preserve"> Fernwood Associates</t>
  </si>
  <si>
    <t xml:space="preserve"> Freya Fanning &amp; Company</t>
  </si>
  <si>
    <t xml:space="preserve"> General Electric Asset Management</t>
  </si>
  <si>
    <t xml:space="preserve"> General Electric Pension Trust</t>
  </si>
  <si>
    <t xml:space="preserve"> Golub Capital</t>
  </si>
  <si>
    <t xml:space="preserve"> Loring Wolcott &amp; Coolidge Office</t>
  </si>
  <si>
    <t xml:space="preserve"> Special Situation Funds</t>
  </si>
  <si>
    <t>Annox Capital</t>
  </si>
  <si>
    <t xml:space="preserve"> CIBC Capital Partners</t>
  </si>
  <si>
    <t xml:space="preserve"> HCM International</t>
  </si>
  <si>
    <t xml:space="preserve"> Kingsbridge Wealth Management</t>
  </si>
  <si>
    <t xml:space="preserve"> Western Union</t>
  </si>
  <si>
    <t xml:space="preserve"> Wood Partners</t>
  </si>
  <si>
    <t xml:space="preserve"> ASX</t>
  </si>
  <si>
    <t xml:space="preserve"> Broadridge Financial Solutions</t>
  </si>
  <si>
    <t xml:space="preserve"> International Business Machines</t>
  </si>
  <si>
    <t xml:space="preserve"> Jefferson River Capital</t>
  </si>
  <si>
    <t xml:space="preserve"> Kenneth Schiciano</t>
  </si>
  <si>
    <t xml:space="preserve"> The Depository Trust &amp; Clearing</t>
  </si>
  <si>
    <t xml:space="preserve"> G20 Ventures</t>
  </si>
  <si>
    <t xml:space="preserve"> The Lincoln Electric Company</t>
  </si>
  <si>
    <t xml:space="preserve"> Arden Road Investments</t>
  </si>
  <si>
    <t xml:space="preserve"> Continental</t>
  </si>
  <si>
    <t xml:space="preserve"> CyberNet Venture Capital</t>
  </si>
  <si>
    <t xml:space="preserve"> Darwin Ventures</t>
  </si>
  <si>
    <t xml:space="preserve"> Diamond Edge Ventures</t>
  </si>
  <si>
    <t xml:space="preserve"> Niantic</t>
  </si>
  <si>
    <t xml:space="preserve"> Puglia</t>
  </si>
  <si>
    <t xml:space="preserve"> Rockwell Collins</t>
  </si>
  <si>
    <t xml:space="preserve"> Susman Ventures</t>
  </si>
  <si>
    <t xml:space="preserve"> Universal Display</t>
  </si>
  <si>
    <t>Backstage Capital</t>
  </si>
  <si>
    <t xml:space="preserve"> Caerus</t>
  </si>
  <si>
    <t>Amasia</t>
  </si>
  <si>
    <t xml:space="preserve"> DoubleRock</t>
  </si>
  <si>
    <t xml:space="preserve"> Kickstart Ventures</t>
  </si>
  <si>
    <t xml:space="preserve"> Wesley Chan</t>
  </si>
  <si>
    <t>AEG</t>
  </si>
  <si>
    <t xml:space="preserve"> Dirt Devil</t>
  </si>
  <si>
    <t xml:space="preserve"> Hoover Universal</t>
  </si>
  <si>
    <t xml:space="preserve"> Koch Disruptive Technologies</t>
  </si>
  <si>
    <t xml:space="preserve"> Milwaukee Electric Tool</t>
  </si>
  <si>
    <t xml:space="preserve"> Moonrise Venture Partners</t>
  </si>
  <si>
    <t xml:space="preserve"> Oreck Direct</t>
  </si>
  <si>
    <t xml:space="preserve"> Ryobi Kiso Holdings</t>
  </si>
  <si>
    <t xml:space="preserve"> Stratasys (Acquired in 2012)</t>
  </si>
  <si>
    <t xml:space="preserve"> Techtronic Industries</t>
  </si>
  <si>
    <t xml:space="preserve"> The Future Fund</t>
  </si>
  <si>
    <t xml:space="preserve"> Vertex Ventures US</t>
  </si>
  <si>
    <t>Asset Management Singapore</t>
  </si>
  <si>
    <t xml:space="preserve"> Partners Capital</t>
  </si>
  <si>
    <t xml:space="preserve"> Tembusu Partners</t>
  </si>
  <si>
    <t xml:space="preserve"> Tikehau Capital</t>
  </si>
  <si>
    <t>Braveheart Investment Group</t>
  </si>
  <si>
    <t xml:space="preserve"> Highland Venture Capital</t>
  </si>
  <si>
    <t xml:space="preserve"> Strathtay Ventures</t>
  </si>
  <si>
    <t xml:space="preserve"> TRI Cap</t>
  </si>
  <si>
    <t xml:space="preserve"> Investors Collaborative</t>
  </si>
  <si>
    <t xml:space="preserve"> Mass Gov</t>
  </si>
  <si>
    <t xml:space="preserve"> Vodia Ventures</t>
  </si>
  <si>
    <t>Adobe Ventures</t>
  </si>
  <si>
    <t xml:space="preserve"> Altos Ventures</t>
  </si>
  <si>
    <t xml:space="preserve"> Split Rock Partners</t>
  </si>
  <si>
    <t>Alphabet</t>
  </si>
  <si>
    <t xml:space="preserve"> Brookfield Property</t>
  </si>
  <si>
    <t xml:space="preserve"> Clayton Venture Group</t>
  </si>
  <si>
    <t xml:space="preserve"> Gordon Tucker</t>
  </si>
  <si>
    <t xml:space="preserve"> Macerich</t>
  </si>
  <si>
    <t xml:space="preserve"> Operators Fund</t>
  </si>
  <si>
    <t xml:space="preserve"> The Taubman Company</t>
  </si>
  <si>
    <t xml:space="preserve"> The Windquest Group</t>
  </si>
  <si>
    <t xml:space="preserve"> Westfield</t>
  </si>
  <si>
    <t xml:space="preserve"> Cognite ventures</t>
  </si>
  <si>
    <t xml:space="preserve"> Point72 Ventures</t>
  </si>
  <si>
    <t>Alon Lifshitz</t>
  </si>
  <si>
    <t xml:space="preserve"> CerraCap Ventures</t>
  </si>
  <si>
    <t xml:space="preserve"> Cushman &amp; Wakefield (acquired by DTZ)</t>
  </si>
  <si>
    <t xml:space="preserve"> Naveen Jain</t>
  </si>
  <si>
    <t xml:space="preserve"> U.S. News &amp; World Report</t>
  </si>
  <si>
    <t xml:space="preserve"> UST Global</t>
  </si>
  <si>
    <t>Diane Greene</t>
  </si>
  <si>
    <t xml:space="preserve"> Edouard Bugnion</t>
  </si>
  <si>
    <t xml:space="preserve"> Frank Slootman</t>
  </si>
  <si>
    <t xml:space="preserve"> Kai Li</t>
  </si>
  <si>
    <t xml:space="preserve"> Mendel Rosenblum</t>
  </si>
  <si>
    <t>CerraCap Ventures</t>
  </si>
  <si>
    <t xml:space="preserve"> DBS Accelerator</t>
  </si>
  <si>
    <t xml:space="preserve"> Demetis</t>
  </si>
  <si>
    <t xml:space="preserve"> MS&amp;AD Ventures</t>
  </si>
  <si>
    <t xml:space="preserve"> Thales Digital Factory</t>
  </si>
  <si>
    <t xml:space="preserve"> Pradeep Sindhu</t>
  </si>
  <si>
    <t>5ideas</t>
  </si>
  <si>
    <t xml:space="preserve"> Abhishek Gupta</t>
  </si>
  <si>
    <t xml:space="preserve"> Herbert Madan</t>
  </si>
  <si>
    <t xml:space="preserve"> Hirokazu Mashita</t>
  </si>
  <si>
    <t xml:space="preserve"> Krishna Mehra</t>
  </si>
  <si>
    <t xml:space="preserve"> Meta Studio Advisors</t>
  </si>
  <si>
    <t xml:space="preserve"> MJ Aravind</t>
  </si>
  <si>
    <t xml:space="preserve"> Pankaj Jain</t>
  </si>
  <si>
    <t xml:space="preserve"> Rajan Anandan</t>
  </si>
  <si>
    <t xml:space="preserve"> Rishi Srivastava</t>
  </si>
  <si>
    <t xml:space="preserve"> Teruhide Sato</t>
  </si>
  <si>
    <t xml:space="preserve"> TLabs</t>
  </si>
  <si>
    <t xml:space="preserve"> Vestech Partners</t>
  </si>
  <si>
    <t xml:space="preserve"> WaterBridge Ventures</t>
  </si>
  <si>
    <t xml:space="preserve"> Zinnov</t>
  </si>
  <si>
    <t>Boulder Ventures</t>
  </si>
  <si>
    <t xml:space="preserve"> Lumerity Capital</t>
  </si>
  <si>
    <t xml:space="preserve"> Montis Capital</t>
  </si>
  <si>
    <t xml:space="preserve"> Department of Homeland Security Science and Technology Directorate</t>
  </si>
  <si>
    <t xml:space="preserve"> New York Life Insurance Company</t>
  </si>
  <si>
    <t xml:space="preserve"> eLab Accelerator</t>
  </si>
  <si>
    <t>Adam Ifshin</t>
  </si>
  <si>
    <t xml:space="preserve"> Adam Zeplain</t>
  </si>
  <si>
    <t xml:space="preserve"> Arthur Patterson</t>
  </si>
  <si>
    <t xml:space="preserve"> Associated Press</t>
  </si>
  <si>
    <t xml:space="preserve"> Danielle Pruitt</t>
  </si>
  <si>
    <t xml:space="preserve"> Dwight Foster</t>
  </si>
  <si>
    <t xml:space="preserve"> Eric Simone</t>
  </si>
  <si>
    <t xml:space="preserve"> Fyrfly Venture Partners</t>
  </si>
  <si>
    <t xml:space="preserve"> John Mackey</t>
  </si>
  <si>
    <t xml:space="preserve"> Joshua Kopelman</t>
  </si>
  <si>
    <t xml:space="preserve"> Kip Tindell</t>
  </si>
  <si>
    <t xml:space="preserve"> Matthew O'Hayer</t>
  </si>
  <si>
    <t xml:space="preserve"> Philip Berber</t>
  </si>
  <si>
    <t xml:space="preserve"> Ralph Mack</t>
  </si>
  <si>
    <t xml:space="preserve"> Robert Fabbio</t>
  </si>
  <si>
    <t xml:space="preserve"> Sherpa Asset Management</t>
  </si>
  <si>
    <t xml:space="preserve"> Walworth Investments</t>
  </si>
  <si>
    <t xml:space="preserve"> Invoke Capital</t>
  </si>
  <si>
    <t xml:space="preserve"> Tech Nation</t>
  </si>
  <si>
    <t xml:space="preserve"> Ten Eleven Ventures</t>
  </si>
  <si>
    <t>Borealis Ventures</t>
  </si>
  <si>
    <t xml:space="preserve"> Daniel Yates</t>
  </si>
  <si>
    <t xml:space="preserve"> Ground Up Ventures</t>
  </si>
  <si>
    <t xml:space="preserve"> X Development</t>
  </si>
  <si>
    <t xml:space="preserve"> Bobby Flay</t>
  </si>
  <si>
    <t xml:space="preserve"> BrandProject</t>
  </si>
  <si>
    <t xml:space="preserve"> Carter Reum</t>
  </si>
  <si>
    <t xml:space="preserve"> Gwyneth Paltrow</t>
  </si>
  <si>
    <t xml:space="preserve"> Haylie Duff</t>
  </si>
  <si>
    <t xml:space="preserve"> Serena Williams</t>
  </si>
  <si>
    <t xml:space="preserve"> Shaun White</t>
  </si>
  <si>
    <t xml:space="preserve"> VMG Partners</t>
  </si>
  <si>
    <t>Network Capital</t>
  </si>
  <si>
    <t>DSC Investment</t>
  </si>
  <si>
    <t xml:space="preserve"> NHN Entertainment</t>
  </si>
  <si>
    <t xml:space="preserve"> Stonebridge Capital Advisors</t>
  </si>
  <si>
    <t xml:space="preserve"> Tech Incubator Program for Startups</t>
  </si>
  <si>
    <t>Advantest</t>
  </si>
  <si>
    <t xml:space="preserve"> Cadence (Blades)</t>
  </si>
  <si>
    <t xml:space="preserve"> NuFlare Technology</t>
  </si>
  <si>
    <t xml:space="preserve"> Telos Venture Partners</t>
  </si>
  <si>
    <t xml:space="preserve"> BC Discovery Fund</t>
  </si>
  <si>
    <t xml:space="preserve"> British Columbia Investment Management</t>
  </si>
  <si>
    <t xml:space="preserve"> Canadian Government</t>
  </si>
  <si>
    <t xml:space="preserve"> Discovery Capital</t>
  </si>
  <si>
    <t xml:space="preserve"> Innovate UK</t>
  </si>
  <si>
    <t xml:space="preserve"> International Investment and Underwriting</t>
  </si>
  <si>
    <t xml:space="preserve"> Neoplux</t>
  </si>
  <si>
    <t xml:space="preserve"> Promotion PEF</t>
  </si>
  <si>
    <t xml:space="preserve"> Becton</t>
  </si>
  <si>
    <t xml:space="preserve"> Dickinson and Company</t>
  </si>
  <si>
    <t xml:space="preserve"> Breakout Labs</t>
  </si>
  <si>
    <t xml:space="preserve"> Breakout Ventures</t>
  </si>
  <si>
    <t xml:space="preserve"> NetScientific</t>
  </si>
  <si>
    <t xml:space="preserve"> Pactolus Ventures</t>
  </si>
  <si>
    <t>DBOLED</t>
  </si>
  <si>
    <t xml:space="preserve"> HMW Innovations</t>
  </si>
  <si>
    <t xml:space="preserve"> MIG</t>
  </si>
  <si>
    <t xml:space="preserve"> SBI Investment Korea Company</t>
  </si>
  <si>
    <t xml:space="preserve"> SRF Partners</t>
  </si>
  <si>
    <t xml:space="preserve"> Wecken &amp; Cie</t>
  </si>
  <si>
    <t xml:space="preserve"> Aviv Nevo</t>
  </si>
  <si>
    <t xml:space="preserve"> Smartfren Telecom</t>
  </si>
  <si>
    <t>Contour Venture Partners</t>
  </si>
  <si>
    <t>ARM</t>
  </si>
  <si>
    <t xml:space="preserve"> High Tech</t>
  </si>
  <si>
    <t>Campfire Capital</t>
  </si>
  <si>
    <t xml:space="preserve"> D.Luxury Brands</t>
  </si>
  <si>
    <t xml:space="preserve"> H.I.G. Capital</t>
  </si>
  <si>
    <t xml:space="preserve"> Stripes39</t>
  </si>
  <si>
    <t xml:space="preserve"> Frederick Perkins</t>
  </si>
  <si>
    <t xml:space="preserve"> Lawrence Miller</t>
  </si>
  <si>
    <t xml:space="preserve"> Mediphase Venture Partners</t>
  </si>
  <si>
    <t>Brick &amp; Mortar Ventures</t>
  </si>
  <si>
    <t xml:space="preserve"> Silicon Valley Data Capital</t>
  </si>
  <si>
    <t xml:space="preserve"> Balyasny Asset Management</t>
  </si>
  <si>
    <t xml:space="preserve"> Innogest Capital</t>
  </si>
  <si>
    <t xml:space="preserve"> TLcom Capital</t>
  </si>
  <si>
    <t xml:space="preserve"> Tribeca Angels</t>
  </si>
  <si>
    <t xml:space="preserve"> CalSEED</t>
  </si>
  <si>
    <t xml:space="preserve"> Cyclotron Road</t>
  </si>
  <si>
    <t xml:space="preserve"> Lithion Power Group</t>
  </si>
  <si>
    <t xml:space="preserve"> TomKat Center for Sustainable Energy</t>
  </si>
  <si>
    <t>Daniel Broukhim</t>
  </si>
  <si>
    <t xml:space="preserve"> Hilary Duff</t>
  </si>
  <si>
    <t xml:space="preserve"> Jennifer Rubio</t>
  </si>
  <si>
    <t xml:space="preserve"> Patrick Schwarzenegger</t>
  </si>
  <si>
    <t xml:space="preserve"> The Harmon Brothers</t>
  </si>
  <si>
    <t xml:space="preserve"> James Altucher</t>
  </si>
  <si>
    <t xml:space="preserve"> Viola Group</t>
  </si>
  <si>
    <t xml:space="preserve"> Hanwha Chemical</t>
  </si>
  <si>
    <t xml:space="preserve"> Scatec</t>
  </si>
  <si>
    <t xml:space="preserve"> SIIF</t>
  </si>
  <si>
    <t>Alan Kane</t>
  </si>
  <si>
    <t xml:space="preserve"> Armando Biondi</t>
  </si>
  <si>
    <t xml:space="preserve"> David Hauser</t>
  </si>
  <si>
    <t xml:space="preserve"> Dmitry Kobyshev</t>
  </si>
  <si>
    <t xml:space="preserve"> Hari Raghavan</t>
  </si>
  <si>
    <t xml:space="preserve"> HubSpot</t>
  </si>
  <si>
    <t xml:space="preserve"> Jake Cohen</t>
  </si>
  <si>
    <t xml:space="preserve"> Jeff Rich</t>
  </si>
  <si>
    <t xml:space="preserve"> Northeastern University's Venture Accelerator</t>
  </si>
  <si>
    <t xml:space="preserve"> Paul LaFontaine</t>
  </si>
  <si>
    <t xml:space="preserve"> Philip Beauregard</t>
  </si>
  <si>
    <t xml:space="preserve"> Animoca Brands</t>
  </si>
  <si>
    <t xml:space="preserve"> Avichal Garg</t>
  </si>
  <si>
    <t xml:space="preserve"> Balaji Srinavasian</t>
  </si>
  <si>
    <t xml:space="preserve"> Coinfund</t>
  </si>
  <si>
    <t xml:space="preserve"> Fred Ehrsam</t>
  </si>
  <si>
    <t xml:space="preserve"> Global Blockchain Innovative Capital</t>
  </si>
  <si>
    <t xml:space="preserve"> Hex Capital</t>
  </si>
  <si>
    <t xml:space="preserve"> HOF Capital</t>
  </si>
  <si>
    <t xml:space="preserve"> Jeff Morris</t>
  </si>
  <si>
    <t xml:space="preserve"> John Pfeffer</t>
  </si>
  <si>
    <t xml:space="preserve"> Joshua Naussbaum</t>
  </si>
  <si>
    <t xml:space="preserve"> Tyler Gaffney</t>
  </si>
  <si>
    <t xml:space="preserve"> William Mougayar</t>
  </si>
  <si>
    <t xml:space="preserve"> Yes VC</t>
  </si>
  <si>
    <t xml:space="preserve"> Austin Ventures</t>
  </si>
  <si>
    <t>Andrew Frawley</t>
  </si>
  <si>
    <t xml:space="preserve"> Bob Pasker</t>
  </si>
  <si>
    <t xml:space="preserve"> Calvin Wong</t>
  </si>
  <si>
    <t xml:space="preserve"> Christian Brucculeri</t>
  </si>
  <si>
    <t xml:space="preserve"> eonCapital</t>
  </si>
  <si>
    <t xml:space="preserve"> Peter Chen</t>
  </si>
  <si>
    <t xml:space="preserve"> Taylor Davidson</t>
  </si>
  <si>
    <t xml:space="preserve"> Urs Cete</t>
  </si>
  <si>
    <t>Bobby Yazdani</t>
  </si>
  <si>
    <t xml:space="preserve"> Christian Schmidt</t>
  </si>
  <si>
    <t xml:space="preserve"> European Investment Fund</t>
  </si>
  <si>
    <t xml:space="preserve"> Luxembourg Future Fund</t>
  </si>
  <si>
    <t xml:space="preserve"> SolarisBank</t>
  </si>
  <si>
    <t>Cassius Family</t>
  </si>
  <si>
    <t xml:space="preserve"> Permutation Ventures</t>
  </si>
  <si>
    <t>Arts Alliance</t>
  </si>
  <si>
    <t xml:space="preserve"> Ramit Sethi</t>
  </si>
  <si>
    <t xml:space="preserve"> Virgin (London)</t>
  </si>
  <si>
    <t>Alexander Gerko</t>
  </si>
  <si>
    <t xml:space="preserve"> Chaotic Ventures</t>
  </si>
  <si>
    <t xml:space="preserve"> Click Ventures</t>
  </si>
  <si>
    <t xml:space="preserve"> Chubb</t>
  </si>
  <si>
    <t xml:space="preserve"> Hiscox</t>
  </si>
  <si>
    <t xml:space="preserve"> Source Interlink Companies</t>
  </si>
  <si>
    <t xml:space="preserve"> Thomas Korte</t>
  </si>
  <si>
    <t xml:space="preserve"> Tugboat Group</t>
  </si>
  <si>
    <t>BioGenerator</t>
  </si>
  <si>
    <t xml:space="preserve"> Black Creek Group</t>
  </si>
  <si>
    <t xml:space="preserve"> Helix Funds</t>
  </si>
  <si>
    <t xml:space="preserve"> Missouri Department of Economic Development</t>
  </si>
  <si>
    <t xml:space="preserve"> St. Louis County Economic Council</t>
  </si>
  <si>
    <t xml:space="preserve"> Point Reyes Management</t>
  </si>
  <si>
    <t xml:space="preserve"> Tribe Capital</t>
  </si>
  <si>
    <t xml:space="preserve"> Amplify Partners</t>
  </si>
  <si>
    <t>Blume Venture Advisors</t>
  </si>
  <si>
    <t xml:space="preserve"> India Venture Partners</t>
  </si>
  <si>
    <t xml:space="preserve"> Society for Innovation and Entrepreneurship</t>
  </si>
  <si>
    <t>Alcatel-Lucent</t>
  </si>
  <si>
    <t xml:space="preserve"> Asadel Venture Partners</t>
  </si>
  <si>
    <t xml:space="preserve"> Atlas Accelerator</t>
  </si>
  <si>
    <t xml:space="preserve"> ManTech International</t>
  </si>
  <si>
    <t xml:space="preserve"> SAP National Security Services</t>
  </si>
  <si>
    <t xml:space="preserve"> BNP Paribas Développement</t>
  </si>
  <si>
    <t xml:space="preserve"> Cemag Invest</t>
  </si>
  <si>
    <t xml:space="preserve"> Crealys</t>
  </si>
  <si>
    <t xml:space="preserve"> Crédit Agricole Finistère</t>
  </si>
  <si>
    <t xml:space="preserve"> Impact USA</t>
  </si>
  <si>
    <t xml:space="preserve"> Sofimac Innovation</t>
  </si>
  <si>
    <t>Acre Venture Partners</t>
  </si>
  <si>
    <t xml:space="preserve"> Boston University Endowment</t>
  </si>
  <si>
    <t xml:space="preserve"> Cultivian Sandbox Ventures</t>
  </si>
  <si>
    <t>ACT Venture Capital</t>
  </si>
  <si>
    <t xml:space="preserve"> Azini Capital Partners</t>
  </si>
  <si>
    <t xml:space="preserve"> Rally Ventures</t>
  </si>
  <si>
    <t xml:space="preserve"> Vesbridge Partners</t>
  </si>
  <si>
    <t>Mint Capital</t>
  </si>
  <si>
    <t xml:space="preserve"> Troika Dialog Group</t>
  </si>
  <si>
    <t xml:space="preserve"> Garvin Hill Capital Partners</t>
  </si>
  <si>
    <t xml:space="preserve"> Ataria Ventures</t>
  </si>
  <si>
    <t>AE Ventures</t>
  </si>
  <si>
    <t xml:space="preserve"> Agustin Coppel</t>
  </si>
  <si>
    <t xml:space="preserve"> Concord Energy Holdings</t>
  </si>
  <si>
    <t xml:space="preserve"> NRG Energy</t>
  </si>
  <si>
    <t xml:space="preserve"> Sustainable Conversion Ventures</t>
  </si>
  <si>
    <t xml:space="preserve"> UBS</t>
  </si>
  <si>
    <t xml:space="preserve"> Yung's Enterprise</t>
  </si>
  <si>
    <t>Kima Ventures</t>
  </si>
  <si>
    <t>AV8 Ventures</t>
  </si>
  <si>
    <t xml:space="preserve"> Founder Friendly Labs</t>
  </si>
  <si>
    <t xml:space="preserve"> Kauffman Fellows</t>
  </si>
  <si>
    <t xml:space="preserve"> Lex Machina</t>
  </si>
  <si>
    <t>Alexander Brühl</t>
  </si>
  <si>
    <t xml:space="preserve"> Christoph Janz</t>
  </si>
  <si>
    <t xml:space="preserve"> Hercules</t>
  </si>
  <si>
    <t>Chemical Angel Network</t>
  </si>
  <si>
    <t xml:space="preserve"> EHF Capital</t>
  </si>
  <si>
    <t xml:space="preserve"> Entropy Research Lab</t>
  </si>
  <si>
    <t>autoXLR8R</t>
  </si>
  <si>
    <t xml:space="preserve"> California Technology Council</t>
  </si>
  <si>
    <t>Alps Alpine</t>
  </si>
  <si>
    <t xml:space="preserve"> Connexus Equity Management Partners</t>
  </si>
  <si>
    <t xml:space="preserve"> Mango Solutions</t>
  </si>
  <si>
    <t xml:space="preserve"> Marstar Investments</t>
  </si>
  <si>
    <t xml:space="preserve"> Omron Ventures</t>
  </si>
  <si>
    <t xml:space="preserve"> Pasadena Angels</t>
  </si>
  <si>
    <t xml:space="preserve"> Paul Lanyi</t>
  </si>
  <si>
    <t xml:space="preserve"> Radical Investments</t>
  </si>
  <si>
    <t xml:space="preserve"> Rebel Venture Fund</t>
  </si>
  <si>
    <t xml:space="preserve"> Richard Jones</t>
  </si>
  <si>
    <t>Riverwood Capital</t>
  </si>
  <si>
    <t>CyLon</t>
  </si>
  <si>
    <t xml:space="preserve"> MACH37</t>
  </si>
  <si>
    <t xml:space="preserve"> Acadian Ventures</t>
  </si>
  <si>
    <t xml:space="preserve"> Accelerator Ventures</t>
  </si>
  <si>
    <t xml:space="preserve"> Alpha Edison</t>
  </si>
  <si>
    <t xml:space="preserve"> Cornerstone OnDemand</t>
  </si>
  <si>
    <t xml:space="preserve"> Nate Redmond</t>
  </si>
  <si>
    <t>Bridgescale</t>
  </si>
  <si>
    <t xml:space="preserve"> Kratos Defense &amp; Security Solutions</t>
  </si>
  <si>
    <t xml:space="preserve"> Newton Technology Partners</t>
  </si>
  <si>
    <t xml:space="preserve"> PTI Group</t>
  </si>
  <si>
    <t xml:space="preserve"> Ann Mather</t>
  </si>
  <si>
    <t xml:space="preserve"> Chloe Sladden</t>
  </si>
  <si>
    <t xml:space="preserve"> Clara Shih</t>
  </si>
  <si>
    <t xml:space="preserve"> Eric Setton</t>
  </si>
  <si>
    <t xml:space="preserve"> Eric Wu</t>
  </si>
  <si>
    <t xml:space="preserve"> Julia Hartz</t>
  </si>
  <si>
    <t xml:space="preserve"> Laurene Jobs</t>
  </si>
  <si>
    <t xml:space="preserve"> Margaret Stewart</t>
  </si>
  <si>
    <t xml:space="preserve"> Mariam Naficy</t>
  </si>
  <si>
    <t xml:space="preserve"> Padmasree Warrior</t>
  </si>
  <si>
    <t xml:space="preserve"> Paul Hewson</t>
  </si>
  <si>
    <t xml:space="preserve"> RONA Holdings</t>
  </si>
  <si>
    <t xml:space="preserve"> Ruchi Sanghvi</t>
  </si>
  <si>
    <t xml:space="preserve"> Sue Wagner</t>
  </si>
  <si>
    <t xml:space="preserve"> Susan Wagner</t>
  </si>
  <si>
    <t xml:space="preserve"> Terry Angelos</t>
  </si>
  <si>
    <t>Albert Lord</t>
  </si>
  <si>
    <t xml:space="preserve"> DW Partners</t>
  </si>
  <si>
    <t xml:space="preserve"> Leading Edge Ventures</t>
  </si>
  <si>
    <t xml:space="preserve"> Moelis &amp; Company</t>
  </si>
  <si>
    <t xml:space="preserve"> NexPhase Capital</t>
  </si>
  <si>
    <t xml:space="preserve"> FH Think</t>
  </si>
  <si>
    <t xml:space="preserve"> Wega Vermögensverwaltungs</t>
  </si>
  <si>
    <t xml:space="preserve"> Zoom Venture</t>
  </si>
  <si>
    <t>Business Instincts Group</t>
  </si>
  <si>
    <t>Adam Knight</t>
  </si>
  <si>
    <t>Heads or Tails Investments</t>
  </si>
  <si>
    <t>Andrew Burns</t>
  </si>
  <si>
    <t xml:space="preserve"> BioAdvance</t>
  </si>
  <si>
    <t xml:space="preserve"> GIS Strategic Ventures</t>
  </si>
  <si>
    <t xml:space="preserve"> Guardian Capital (Chicago)</t>
  </si>
  <si>
    <t xml:space="preserve"> Heitkamp &amp; Thumann</t>
  </si>
  <si>
    <t xml:space="preserve"> Omron Healthcare</t>
  </si>
  <si>
    <t xml:space="preserve"> P5 Health Ventures</t>
  </si>
  <si>
    <t xml:space="preserve"> ProCare Pharmacy Benefit Manager</t>
  </si>
  <si>
    <t xml:space="preserve"> Swanhill Capital</t>
  </si>
  <si>
    <t xml:space="preserve"> Three Leaf Ventures</t>
  </si>
  <si>
    <t xml:space="preserve"> Zaffre Investments</t>
  </si>
  <si>
    <t xml:space="preserve"> Chang'an Capital</t>
  </si>
  <si>
    <t xml:space="preserve"> Dark Horse Venture</t>
  </si>
  <si>
    <t xml:space="preserve"> Big Basin Partners</t>
  </si>
  <si>
    <t xml:space="preserve"> NexStar Partners</t>
  </si>
  <si>
    <t xml:space="preserve"> Epicorp</t>
  </si>
  <si>
    <t xml:space="preserve"> Itek</t>
  </si>
  <si>
    <t xml:space="preserve"> Mooroolbark Investments</t>
  </si>
  <si>
    <t xml:space="preserve"> NXP Semiconductors</t>
  </si>
  <si>
    <t xml:space="preserve"> SciVentures Investments</t>
  </si>
  <si>
    <t>DGF Investimentos</t>
  </si>
  <si>
    <t xml:space="preserve"> Rio Bravo Investimentos DTVM</t>
  </si>
  <si>
    <t xml:space="preserve"> Spectra Investments</t>
  </si>
  <si>
    <t xml:space="preserve"> Emerge</t>
  </si>
  <si>
    <t xml:space="preserve"> GiTV</t>
  </si>
  <si>
    <t>Avaya</t>
  </si>
  <si>
    <t xml:space="preserve"> National Institutes of Mental Health</t>
  </si>
  <si>
    <t xml:space="preserve"> Brightstone Venture Capital</t>
  </si>
  <si>
    <t xml:space="preserve"> Micron Technology</t>
  </si>
  <si>
    <t xml:space="preserve"> Oxbow Industries</t>
  </si>
  <si>
    <t xml:space="preserve"> Cambridge Innovation Capital</t>
  </si>
  <si>
    <t xml:space="preserve"> Escala Capital</t>
  </si>
  <si>
    <t xml:space="preserve"> LGT Group</t>
  </si>
  <si>
    <t xml:space="preserve"> Silk Road Fund Company</t>
  </si>
  <si>
    <t xml:space="preserve"> Watrium</t>
  </si>
  <si>
    <t>Candice Yoneyama</t>
  </si>
  <si>
    <t>Hawk Investment Holdings</t>
  </si>
  <si>
    <t xml:space="preserve"> Vector Capital</t>
  </si>
  <si>
    <t xml:space="preserve"> Four Rivers Group</t>
  </si>
  <si>
    <t xml:space="preserve"> Sozo Ventures</t>
  </si>
  <si>
    <t>Capillary Technologies</t>
  </si>
  <si>
    <t xml:space="preserve"> Mast Global Business Services India</t>
  </si>
  <si>
    <t xml:space="preserve"> Ravindra Reddy</t>
  </si>
  <si>
    <t xml:space="preserve"> The Chennai Angels</t>
  </si>
  <si>
    <t xml:space="preserve"> Vertex Ventures Southeast Asia &amp; India</t>
  </si>
  <si>
    <t>Ascent Venture Partners</t>
  </si>
  <si>
    <t xml:space="preserve"> Jeremy Allaire</t>
  </si>
  <si>
    <t xml:space="preserve"> John Pearce</t>
  </si>
  <si>
    <t xml:space="preserve"> Marc Fleury</t>
  </si>
  <si>
    <t xml:space="preserve"> Michel Goossens</t>
  </si>
  <si>
    <t xml:space="preserve"> Robert Bickel</t>
  </si>
  <si>
    <t xml:space="preserve"> Unusual Ventures</t>
  </si>
  <si>
    <t xml:space="preserve"> Miroma Ventures</t>
  </si>
  <si>
    <t>lool Ventures</t>
  </si>
  <si>
    <t xml:space="preserve"> Nautilus by AOL</t>
  </si>
  <si>
    <t xml:space="preserve"> O.G. Tech Ventures</t>
  </si>
  <si>
    <t>Capybara Ventures</t>
  </si>
  <si>
    <t xml:space="preserve"> Fluffco Investments</t>
  </si>
  <si>
    <t xml:space="preserve"> PT NORTHWEST</t>
  </si>
  <si>
    <t xml:space="preserve"> Harvard i-lab</t>
  </si>
  <si>
    <t xml:space="preserve"> Sapir Venture Partners</t>
  </si>
  <si>
    <t xml:space="preserve"> SBG Cleantech</t>
  </si>
  <si>
    <t xml:space="preserve"> The Graduate Syndicate</t>
  </si>
  <si>
    <t xml:space="preserve"> Vancity Capital</t>
  </si>
  <si>
    <t xml:space="preserve"> Canada Federal Government</t>
  </si>
  <si>
    <t xml:space="preserve"> Devon Galloway</t>
  </si>
  <si>
    <t xml:space="preserve"> Laurence Capital</t>
  </si>
  <si>
    <t xml:space="preserve"> Michael Litt</t>
  </si>
  <si>
    <t xml:space="preserve"> David Pidwell</t>
  </si>
  <si>
    <t xml:space="preserve"> Direct ChassisLink</t>
  </si>
  <si>
    <t xml:space="preserve"> John Urban</t>
  </si>
  <si>
    <t xml:space="preserve"> Jonathan Shields</t>
  </si>
  <si>
    <t xml:space="preserve"> Mike Hurst</t>
  </si>
  <si>
    <t xml:space="preserve"> PSA unboXed</t>
  </si>
  <si>
    <t xml:space="preserve"> Skyview Fund</t>
  </si>
  <si>
    <t xml:space="preserve"> Stanford Venture Studio</t>
  </si>
  <si>
    <t>Adam Garone</t>
  </si>
  <si>
    <t xml:space="preserve"> Chris Himes</t>
  </si>
  <si>
    <t xml:space="preserve"> Galileo Partners</t>
  </si>
  <si>
    <t xml:space="preserve"> RHG Holdings</t>
  </si>
  <si>
    <t xml:space="preserve"> Tabreez Verjee</t>
  </si>
  <si>
    <t xml:space="preserve"> Annox Capital</t>
  </si>
  <si>
    <t xml:space="preserve"> Beehive Holdings</t>
  </si>
  <si>
    <t xml:space="preserve"> Grace Stanat</t>
  </si>
  <si>
    <t xml:space="preserve"> Jesse Middleton</t>
  </si>
  <si>
    <t xml:space="preserve"> Springboard Growth Capital</t>
  </si>
  <si>
    <t xml:space="preserve"> Rockwell Automation</t>
  </si>
  <si>
    <t>Alexander Blake</t>
  </si>
  <si>
    <t xml:space="preserve"> Michael Chavira</t>
  </si>
  <si>
    <t xml:space="preserve"> New World Angels</t>
  </si>
  <si>
    <t xml:space="preserve"> Ocean Azul Partners</t>
  </si>
  <si>
    <t xml:space="preserve"> Westlake Ventures (St. Petersburg)</t>
  </si>
  <si>
    <t>Corazon Capital</t>
  </si>
  <si>
    <t xml:space="preserve"> Jan-Erik Solem</t>
  </si>
  <si>
    <t xml:space="preserve"> NYU Innovation Venture Fund</t>
  </si>
  <si>
    <t xml:space="preserve"> Westfield Labs</t>
  </si>
  <si>
    <t>Alessandro Ciancimino</t>
  </si>
  <si>
    <t xml:space="preserve"> Andrea Rota</t>
  </si>
  <si>
    <t xml:space="preserve"> Cockpit Ventures</t>
  </si>
  <si>
    <t xml:space="preserve"> Daniele Pallocca</t>
  </si>
  <si>
    <t xml:space="preserve"> Flight Centre Travel Group</t>
  </si>
  <si>
    <t xml:space="preserve"> Luca Venturini</t>
  </si>
  <si>
    <t xml:space="preserve"> Luis Davila</t>
  </si>
  <si>
    <t xml:space="preserve"> Lukas Klaschinski</t>
  </si>
  <si>
    <t xml:space="preserve"> Roberto Stazi</t>
  </si>
  <si>
    <t xml:space="preserve"> Country Garden Holdings Company</t>
  </si>
  <si>
    <t xml:space="preserve"> Insigma</t>
  </si>
  <si>
    <t xml:space="preserve"> Magnetar AP Services</t>
  </si>
  <si>
    <t>Bouygues Telecom Initiatives</t>
  </si>
  <si>
    <t xml:space="preserve"> Paris&amp;Co Incubateurs</t>
  </si>
  <si>
    <t xml:space="preserve"> Digital Finance Group</t>
  </si>
  <si>
    <t xml:space="preserve"> Glenn Hutchins</t>
  </si>
  <si>
    <t xml:space="preserve"> PennSpring Capital</t>
  </si>
  <si>
    <t xml:space="preserve"> Tusk Ventures</t>
  </si>
  <si>
    <t>BFB Brandenburg Kapital</t>
  </si>
  <si>
    <t xml:space="preserve"> Storytek</t>
  </si>
  <si>
    <t>Accel-X</t>
  </si>
  <si>
    <t xml:space="preserve"> Almaz Capital</t>
  </si>
  <si>
    <t xml:space="preserve"> Daniil Stolyarov</t>
  </si>
  <si>
    <t xml:space="preserve"> IncuVest</t>
  </si>
  <si>
    <t>Clean Energy Venture Group</t>
  </si>
  <si>
    <t xml:space="preserve"> NXT Ventures</t>
  </si>
  <si>
    <t xml:space="preserve"> TiE-Boston</t>
  </si>
  <si>
    <t>GAC Capital</t>
  </si>
  <si>
    <t xml:space="preserve"> Marathon Venture Partners</t>
  </si>
  <si>
    <t xml:space="preserve"> Xiamen Kingdom Capital</t>
  </si>
  <si>
    <t xml:space="preserve"> Xingmin Intelligent Transportation Systems Group Company</t>
  </si>
  <si>
    <t xml:space="preserve"> Zhongnan Capital</t>
  </si>
  <si>
    <t>Amerindo Investment Advisors</t>
  </si>
  <si>
    <t xml:space="preserve"> Antar &amp; Co</t>
  </si>
  <si>
    <t xml:space="preserve"> Axiom Venture Partners</t>
  </si>
  <si>
    <t xml:space="preserve"> Connecticut Innovations</t>
  </si>
  <si>
    <t xml:space="preserve"> DWS Group</t>
  </si>
  <si>
    <t xml:space="preserve"> HRLD Venture Partners</t>
  </si>
  <si>
    <t xml:space="preserve"> Invest I</t>
  </si>
  <si>
    <t xml:space="preserve"> Legacy Private Technology Partners</t>
  </si>
  <si>
    <t xml:space="preserve"> Putnam Investments</t>
  </si>
  <si>
    <t xml:space="preserve"> Teknoinvest</t>
  </si>
  <si>
    <t xml:space="preserve"> Velocity Equity Partners</t>
  </si>
  <si>
    <t xml:space="preserve"> Emergent Medical Partners</t>
  </si>
  <si>
    <t xml:space="preserve"> Fountain Healthcare Partners</t>
  </si>
  <si>
    <t xml:space="preserve"> Mission Bay Capital</t>
  </si>
  <si>
    <t xml:space="preserve"> Rock Health</t>
  </si>
  <si>
    <t>Cayuga Venture Fund</t>
  </si>
  <si>
    <t xml:space="preserve"> Seed Capital Fund of CNY</t>
  </si>
  <si>
    <t xml:space="preserve"> UpVentures</t>
  </si>
  <si>
    <t>China International Capital Corporation</t>
  </si>
  <si>
    <t xml:space="preserve"> Shanghai Free Trade Zone Equity Fund</t>
  </si>
  <si>
    <t>7 Global Capital</t>
  </si>
  <si>
    <t xml:space="preserve"> Antenna Group</t>
  </si>
  <si>
    <t xml:space="preserve"> Jeffrey Sprecher and Kelly Loeffler</t>
  </si>
  <si>
    <t xml:space="preserve"> New York Stock Exchange</t>
  </si>
  <si>
    <t>AI accelerator</t>
  </si>
  <si>
    <t xml:space="preserve"> Code Republic</t>
  </si>
  <si>
    <t xml:space="preserve"> FbStart</t>
  </si>
  <si>
    <t>Finaventures</t>
  </si>
  <si>
    <t xml:space="preserve"> Allan Schiffman</t>
  </si>
  <si>
    <t xml:space="preserve"> American Electric Power Company</t>
  </si>
  <si>
    <t xml:space="preserve"> Daimler Mobility Services</t>
  </si>
  <si>
    <t xml:space="preserve"> Estag Capital</t>
  </si>
  <si>
    <t xml:space="preserve"> Fay Rosenberg</t>
  </si>
  <si>
    <t xml:space="preserve"> Global Reserve Group</t>
  </si>
  <si>
    <t xml:space="preserve"> Jan Klatten</t>
  </si>
  <si>
    <t xml:space="preserve"> LS Cable &amp; System (Venture Arm)</t>
  </si>
  <si>
    <t xml:space="preserve"> LSIS Company</t>
  </si>
  <si>
    <t xml:space="preserve"> Madison Parker Capital</t>
  </si>
  <si>
    <t xml:space="preserve"> Michael Liebreich</t>
  </si>
  <si>
    <t xml:space="preserve"> Northwood Ventures</t>
  </si>
  <si>
    <t xml:space="preserve"> Partner Ventures</t>
  </si>
  <si>
    <t xml:space="preserve"> Quantum Energy Partners</t>
  </si>
  <si>
    <t xml:space="preserve"> Shumway Capital</t>
  </si>
  <si>
    <t xml:space="preserve"> SociosQ</t>
  </si>
  <si>
    <t xml:space="preserve"> Toyota Tsusho Goreway</t>
  </si>
  <si>
    <t xml:space="preserve"> Clearwater Capital Partners</t>
  </si>
  <si>
    <t xml:space="preserve"> Guangkong Zhongying Capital</t>
  </si>
  <si>
    <t xml:space="preserve"> Hangsheng Electronics</t>
  </si>
  <si>
    <t xml:space="preserve"> Lens Technology Company</t>
  </si>
  <si>
    <t xml:space="preserve"> Analog Devices</t>
  </si>
  <si>
    <t>Domtar</t>
  </si>
  <si>
    <t xml:space="preserve"> FPInnovations</t>
  </si>
  <si>
    <t>ARM Innovation Ecosystem Accelerator</t>
  </si>
  <si>
    <t xml:space="preserve"> NTUitive</t>
  </si>
  <si>
    <t xml:space="preserve"> Miven Venture Partners</t>
  </si>
  <si>
    <t xml:space="preserve"> Victor Tsao</t>
  </si>
  <si>
    <t>Array Ventures</t>
  </si>
  <si>
    <t xml:space="preserve"> Cervin Ventures</t>
  </si>
  <si>
    <t xml:space="preserve"> Anorak Ventures</t>
  </si>
  <si>
    <t xml:space="preserve"> Pagliuca Harvard Life Lab</t>
  </si>
  <si>
    <t xml:space="preserve"> Pathbreaker Ventures</t>
  </si>
  <si>
    <t>JayHyo Park</t>
  </si>
  <si>
    <t xml:space="preserve"> Korea Telecom Data</t>
  </si>
  <si>
    <t xml:space="preserve"> Torreal</t>
  </si>
  <si>
    <t xml:space="preserve"> Vitamina K Venture Capital</t>
  </si>
  <si>
    <t xml:space="preserve"> Hatcher Plus</t>
  </si>
  <si>
    <t xml:space="preserve"> Quake Capital</t>
  </si>
  <si>
    <t>Asia Venture Group</t>
  </si>
  <si>
    <t xml:space="preserve"> Cavalry Ventures</t>
  </si>
  <si>
    <t xml:space="preserve"> Cherry Ventures Management</t>
  </si>
  <si>
    <t xml:space="preserve"> Erik Heinelt</t>
  </si>
  <si>
    <t xml:space="preserve"> Felix Swoboda</t>
  </si>
  <si>
    <t xml:space="preserve"> Global Conversion Group</t>
  </si>
  <si>
    <t xml:space="preserve"> MobilityFund</t>
  </si>
  <si>
    <t>Aquiline Technology Growth</t>
  </si>
  <si>
    <t xml:space="preserve"> Bleu Capital</t>
  </si>
  <si>
    <t xml:space="preserve"> Chaifetz Group</t>
  </si>
  <si>
    <t xml:space="preserve"> Charge Ventures</t>
  </si>
  <si>
    <t xml:space="preserve"> ChargeVC</t>
  </si>
  <si>
    <t xml:space="preserve"> Christina Schwarzenegger</t>
  </si>
  <si>
    <t xml:space="preserve"> Colin Carrier</t>
  </si>
  <si>
    <t xml:space="preserve"> Emil Michael</t>
  </si>
  <si>
    <t xml:space="preserve"> Josh Mohrer</t>
  </si>
  <si>
    <t xml:space="preserve"> Maria Shriver</t>
  </si>
  <si>
    <t xml:space="preserve"> Paul Rosenberg</t>
  </si>
  <si>
    <t xml:space="preserve"> Ride Ventures</t>
  </si>
  <si>
    <t xml:space="preserve"> Steve Aoki</t>
  </si>
  <si>
    <t xml:space="preserve"> William Barnes</t>
  </si>
  <si>
    <t>Digitech Venture Capital Fund</t>
  </si>
  <si>
    <t xml:space="preserve"> Foundersuite</t>
  </si>
  <si>
    <t xml:space="preserve"> Microsoft BizSpark</t>
  </si>
  <si>
    <t xml:space="preserve"> Seed Sumo</t>
  </si>
  <si>
    <t xml:space="preserve"> SkillGigs</t>
  </si>
  <si>
    <t xml:space="preserve"> The LAUNCH Incubator</t>
  </si>
  <si>
    <t xml:space="preserve"> 7wire Ventures</t>
  </si>
  <si>
    <t xml:space="preserve"> AI Life Sciences Investments</t>
  </si>
  <si>
    <t xml:space="preserve"> Digitalis Ventures</t>
  </si>
  <si>
    <t xml:space="preserve"> TEXO Ventures</t>
  </si>
  <si>
    <t xml:space="preserve"> TJNS Capital</t>
  </si>
  <si>
    <t>British Columbia Ministry of Economic Development</t>
  </si>
  <si>
    <t xml:space="preserve"> N. Murray Edwards</t>
  </si>
  <si>
    <t xml:space="preserve"> Occidental Petroleum</t>
  </si>
  <si>
    <t xml:space="preserve"> Rusheen Capital Management</t>
  </si>
  <si>
    <t xml:space="preserve"> Synergy Growth</t>
  </si>
  <si>
    <t>Adidas Ventures</t>
  </si>
  <si>
    <t xml:space="preserve"> ARCHina Capital</t>
  </si>
  <si>
    <t xml:space="preserve"> Autodesk</t>
  </si>
  <si>
    <t xml:space="preserve"> BMW Group</t>
  </si>
  <si>
    <t xml:space="preserve"> Eshelman Ventures</t>
  </si>
  <si>
    <t xml:space="preserve"> Keywise Capital Management</t>
  </si>
  <si>
    <t xml:space="preserve"> Piedmont Capital Partners</t>
  </si>
  <si>
    <t xml:space="preserve"> Reinet Investments</t>
  </si>
  <si>
    <t xml:space="preserve"> Wakefield Group</t>
  </si>
  <si>
    <t xml:space="preserve"> ZXlerator</t>
  </si>
  <si>
    <t>Enterprise Ireland</t>
  </si>
  <si>
    <t>Collaborative Fund</t>
  </si>
  <si>
    <t xml:space="preserve"> Hunt Companies</t>
  </si>
  <si>
    <t xml:space="preserve"> Impact America Fund</t>
  </si>
  <si>
    <t xml:space="preserve"> Adara Ventures</t>
  </si>
  <si>
    <t xml:space="preserve"> AtmosClear Investments</t>
  </si>
  <si>
    <t xml:space="preserve"> Gilde IT</t>
  </si>
  <si>
    <t xml:space="preserve"> Latin Rim</t>
  </si>
  <si>
    <t xml:space="preserve"> Pino Venture Partners</t>
  </si>
  <si>
    <t xml:space="preserve"> TVM Capital</t>
  </si>
  <si>
    <t>415x</t>
  </si>
  <si>
    <t xml:space="preserve"> Andrew Crichton</t>
  </si>
  <si>
    <t xml:space="preserve"> Andrew McLoughlin</t>
  </si>
  <si>
    <t xml:space="preserve"> Harry Styles</t>
  </si>
  <si>
    <t xml:space="preserve"> Jay Gould</t>
  </si>
  <si>
    <t xml:space="preserve"> Launch</t>
  </si>
  <si>
    <t xml:space="preserve"> Neon Adventures</t>
  </si>
  <si>
    <t xml:space="preserve"> Oleg Tscheltzoff</t>
  </si>
  <si>
    <t xml:space="preserve"> SSV</t>
  </si>
  <si>
    <t xml:space="preserve"> Stephen Pankhurst</t>
  </si>
  <si>
    <t xml:space="preserve"> AfterDox</t>
  </si>
  <si>
    <t xml:space="preserve"> Explore. Dream. Discover.</t>
  </si>
  <si>
    <t xml:space="preserve"> NICE Systems</t>
  </si>
  <si>
    <t xml:space="preserve"> Sunrise Strategic Partners</t>
  </si>
  <si>
    <t xml:space="preserve"> Trilantic Capital Partners</t>
  </si>
  <si>
    <t>Agoranov</t>
  </si>
  <si>
    <t xml:space="preserve"> Huawei Technologies Company</t>
  </si>
  <si>
    <t xml:space="preserve"> Safran Corporate Ventures</t>
  </si>
  <si>
    <t xml:space="preserve"> Starquest Capital</t>
  </si>
  <si>
    <t xml:space="preserve"> Transition Level Investments</t>
  </si>
  <si>
    <t>DCM Ventures</t>
  </si>
  <si>
    <t>BlueTree Allied Angels</t>
  </si>
  <si>
    <t xml:space="preserve"> MI-12 Ventures</t>
  </si>
  <si>
    <t xml:space="preserve"> Slater Technology Fund</t>
  </si>
  <si>
    <t>Breyer Capital</t>
  </si>
  <si>
    <t xml:space="preserve"> Makena Capital Management</t>
  </si>
  <si>
    <t xml:space="preserve"> The Rise Fund</t>
  </si>
  <si>
    <t xml:space="preserve"> Thomas Siebel</t>
  </si>
  <si>
    <t>Billybey Holding Company</t>
  </si>
  <si>
    <t xml:space="preserve"> HaCon Ingenieurges</t>
  </si>
  <si>
    <t xml:space="preserve"> INIT Innovation in Traffic Systems</t>
  </si>
  <si>
    <t xml:space="preserve"> Kenneth Lerer</t>
  </si>
  <si>
    <t xml:space="preserve"> Man Capital</t>
  </si>
  <si>
    <t>6squared Capital</t>
  </si>
  <si>
    <t xml:space="preserve"> Anna Goodson</t>
  </si>
  <si>
    <t xml:space="preserve"> Capital Angel Network</t>
  </si>
  <si>
    <t xml:space="preserve"> FounderFuel</t>
  </si>
  <si>
    <t xml:space="preserve"> Gary Pudles</t>
  </si>
  <si>
    <t xml:space="preserve"> Good News Ventures</t>
  </si>
  <si>
    <t xml:space="preserve"> Ian Jeffrey</t>
  </si>
  <si>
    <t xml:space="preserve"> Jamie O'Hara</t>
  </si>
  <si>
    <t xml:space="preserve"> Jesse Kaplan</t>
  </si>
  <si>
    <t xml:space="preserve"> Magaly Charbonneau</t>
  </si>
  <si>
    <t xml:space="preserve"> Maple Leaf Angels</t>
  </si>
  <si>
    <t xml:space="preserve"> Mathew Rosenblatt</t>
  </si>
  <si>
    <t xml:space="preserve"> Mike Fuller</t>
  </si>
  <si>
    <t xml:space="preserve"> Philippe Telio</t>
  </si>
  <si>
    <t xml:space="preserve"> Sophie Forest</t>
  </si>
  <si>
    <t>American Family Ventures</t>
  </si>
  <si>
    <t xml:space="preserve"> Antonio Derossi</t>
  </si>
  <si>
    <t xml:space="preserve"> Argonautic Ventures</t>
  </si>
  <si>
    <t xml:space="preserve"> US Investment Partners</t>
  </si>
  <si>
    <t>Court Square Ventures</t>
  </si>
  <si>
    <t>David Furneaux</t>
  </si>
  <si>
    <t>Allen &amp; Buckeridge</t>
  </si>
  <si>
    <t xml:space="preserve"> NewSouth Innovations</t>
  </si>
  <si>
    <t xml:space="preserve"> The Australian Solar Institute</t>
  </si>
  <si>
    <t xml:space="preserve"> Uniseed</t>
  </si>
  <si>
    <t>AI Alliance</t>
  </si>
  <si>
    <t xml:space="preserve"> Hosain Rahman</t>
  </si>
  <si>
    <t xml:space="preserve"> Prehype</t>
  </si>
  <si>
    <t xml:space="preserve"> Stamos Capital</t>
  </si>
  <si>
    <t xml:space="preserve"> Cambridge Capital</t>
  </si>
  <si>
    <t xml:space="preserve"> Coca-Cola Ventures</t>
  </si>
  <si>
    <t xml:space="preserve"> Eyal Ofer</t>
  </si>
  <si>
    <t xml:space="preserve"> Ituran Location &amp; Control</t>
  </si>
  <si>
    <t xml:space="preserve"> Shmuel Harlap</t>
  </si>
  <si>
    <t>ACTOM</t>
  </si>
  <si>
    <t xml:space="preserve"> Alstom</t>
  </si>
  <si>
    <t xml:space="preserve"> Black River BancVenture</t>
  </si>
  <si>
    <t xml:space="preserve"> California Clean Energy Angel Fund</t>
  </si>
  <si>
    <t xml:space="preserve"> California State Teachers' Retirement System</t>
  </si>
  <si>
    <t xml:space="preserve"> Crossroads Liquidating Trust</t>
  </si>
  <si>
    <t xml:space="preserve"> Google Foundation</t>
  </si>
  <si>
    <t xml:space="preserve"> Prudential Financial</t>
  </si>
  <si>
    <t xml:space="preserve"> Theodore Caplow</t>
  </si>
  <si>
    <t>Blu Venture Investors</t>
  </si>
  <si>
    <t xml:space="preserve"> S CAP</t>
  </si>
  <si>
    <t xml:space="preserve"> Innovation Grade Ventures</t>
  </si>
  <si>
    <t xml:space="preserve"> InvestHER Ventures</t>
  </si>
  <si>
    <t xml:space="preserve"> John Francis</t>
  </si>
  <si>
    <t xml:space="preserve"> StandUp Ventures</t>
  </si>
  <si>
    <t xml:space="preserve"> Startup Ottawa</t>
  </si>
  <si>
    <t xml:space="preserve"> Starbridge Venture Capital</t>
  </si>
  <si>
    <t xml:space="preserve"> Clearstone Venture Partners</t>
  </si>
  <si>
    <t>Axess Ventures</t>
  </si>
  <si>
    <t xml:space="preserve"> BigBooster</t>
  </si>
  <si>
    <t xml:space="preserve"> Goldacre Ventures</t>
  </si>
  <si>
    <t xml:space="preserve"> Jumpspeed</t>
  </si>
  <si>
    <t xml:space="preserve"> Phi Square Holdings</t>
  </si>
  <si>
    <t xml:space="preserve"> SeedIL</t>
  </si>
  <si>
    <t xml:space="preserve"> Siftech</t>
  </si>
  <si>
    <t xml:space="preserve"> The Library - Tel Aviv</t>
  </si>
  <si>
    <t xml:space="preserve"> Uncharted</t>
  </si>
  <si>
    <t xml:space="preserve"> Chris Anderson</t>
  </si>
  <si>
    <t xml:space="preserve"> Robert Reid</t>
  </si>
  <si>
    <t xml:space="preserve"> Jeffrey Klinefelter</t>
  </si>
  <si>
    <t xml:space="preserve"> Jenny Daly</t>
  </si>
  <si>
    <t xml:space="preserve"> John McCarvel</t>
  </si>
  <si>
    <t>Benjamin Narasin</t>
  </si>
  <si>
    <t xml:space="preserve"> Loewenthal Capital Management</t>
  </si>
  <si>
    <t>Iris Capital</t>
  </si>
  <si>
    <t xml:space="preserve"> Région Auvergne-Rhône-Alpes</t>
  </si>
  <si>
    <t>African Transition to a New Economy</t>
  </si>
  <si>
    <t>Atlantic Bridge Capital</t>
  </si>
  <si>
    <t>Afore Capital</t>
  </si>
  <si>
    <t xml:space="preserve"> Artiman Ventures</t>
  </si>
  <si>
    <t xml:space="preserve"> Bradford Brown Capital Partners</t>
  </si>
  <si>
    <t xml:space="preserve"> Bryan Goldberg</t>
  </si>
  <si>
    <t xml:space="preserve"> Jon Steinberg</t>
  </si>
  <si>
    <t xml:space="preserve"> Ridgeline Ventures</t>
  </si>
  <si>
    <t xml:space="preserve"> Logitech</t>
  </si>
  <si>
    <t xml:space="preserve"> OKM Capital</t>
  </si>
  <si>
    <t xml:space="preserve"> Robert Mason</t>
  </si>
  <si>
    <t xml:space="preserve"> Taipei Angels</t>
  </si>
  <si>
    <t xml:space="preserve"> William Warner</t>
  </si>
  <si>
    <t xml:space="preserve"> Kexin Investment</t>
  </si>
  <si>
    <t xml:space="preserve"> The Hina Group</t>
  </si>
  <si>
    <t xml:space="preserve"> Fidelity International</t>
  </si>
  <si>
    <t>EV Private Equity</t>
  </si>
  <si>
    <t xml:space="preserve"> Justin Timberlake</t>
  </si>
  <si>
    <t xml:space="preserve"> Nicholas Jammet</t>
  </si>
  <si>
    <t xml:space="preserve"> Nick Green</t>
  </si>
  <si>
    <t xml:space="preserve"> AccelerAsia</t>
  </si>
  <si>
    <t xml:space="preserve"> AT&amp;T Ventures</t>
  </si>
  <si>
    <t xml:space="preserve"> Jeter Ventures</t>
  </si>
  <si>
    <t xml:space="preserve"> Stanford Venture Capital Holdings</t>
  </si>
  <si>
    <t>Alpana Ventures</t>
  </si>
  <si>
    <t xml:space="preserve"> Bretagne Jeunes Entreprises</t>
  </si>
  <si>
    <t xml:space="preserve"> Ecosystem Ventures</t>
  </si>
  <si>
    <t xml:space="preserve"> GO Capital (France)</t>
  </si>
  <si>
    <t xml:space="preserve"> Pentalog</t>
  </si>
  <si>
    <t xml:space="preserve"> PhilQuo Ventures</t>
  </si>
  <si>
    <t xml:space="preserve"> PolyTech Ventures</t>
  </si>
  <si>
    <t>Early Stage Partners</t>
  </si>
  <si>
    <t xml:space="preserve"> KeyCapital (Arizona)</t>
  </si>
  <si>
    <t xml:space="preserve"> Ohio Third Frontier</t>
  </si>
  <si>
    <t xml:space="preserve"> Efficient Capacity</t>
  </si>
  <si>
    <t xml:space="preserve"> Fidimec</t>
  </si>
  <si>
    <t xml:space="preserve"> Hanmi IT</t>
  </si>
  <si>
    <t xml:space="preserve"> HealthTech Capital</t>
  </si>
  <si>
    <t xml:space="preserve"> Imec</t>
  </si>
  <si>
    <t xml:space="preserve"> Lanza techVentures</t>
  </si>
  <si>
    <t xml:space="preserve"> Leansquare</t>
  </si>
  <si>
    <t xml:space="preserve"> Meusinvest</t>
  </si>
  <si>
    <t xml:space="preserve"> PMV</t>
  </si>
  <si>
    <t xml:space="preserve"> SoFi</t>
  </si>
  <si>
    <t xml:space="preserve"> Young Sohn</t>
  </si>
  <si>
    <t>Daesung Private Equity</t>
  </si>
  <si>
    <t xml:space="preserve"> POSCO Capital</t>
  </si>
  <si>
    <t xml:space="preserve"> Premier Partners</t>
  </si>
  <si>
    <t>Akuna Capital</t>
  </si>
  <si>
    <t xml:space="preserve"> Devonshire Investors</t>
  </si>
  <si>
    <t xml:space="preserve"> Galaxy Digital Ventures</t>
  </si>
  <si>
    <t xml:space="preserve"> Kenetic Capital</t>
  </si>
  <si>
    <t xml:space="preserve"> Jeffrey Fagnan</t>
  </si>
  <si>
    <t xml:space="preserve"> Meagan Jones</t>
  </si>
  <si>
    <t xml:space="preserve"> MState</t>
  </si>
  <si>
    <t>Alta El Dorado Emprendimiento</t>
  </si>
  <si>
    <t xml:space="preserve"> Angel Ventures</t>
  </si>
  <si>
    <t xml:space="preserve"> Bizrupt</t>
  </si>
  <si>
    <t xml:space="preserve"> Diego Aramburu</t>
  </si>
  <si>
    <t xml:space="preserve"> Escala.vc</t>
  </si>
  <si>
    <t xml:space="preserve"> Lontra Ventures</t>
  </si>
  <si>
    <t xml:space="preserve"> Lucho Torres</t>
  </si>
  <si>
    <t xml:space="preserve"> Baron Davis Enterprises</t>
  </si>
  <si>
    <t>88 Capital &amp; Investments</t>
  </si>
  <si>
    <t xml:space="preserve"> Al Fahim Group</t>
  </si>
  <si>
    <t xml:space="preserve"> Car4You Holding</t>
  </si>
  <si>
    <t>AfterDox</t>
  </si>
  <si>
    <t xml:space="preserve"> Avigdor Willenz</t>
  </si>
  <si>
    <t xml:space="preserve"> Barak Rabinowitz</t>
  </si>
  <si>
    <t xml:space="preserve"> Danny Tocatly</t>
  </si>
  <si>
    <t xml:space="preserve"> Eli Alroy</t>
  </si>
  <si>
    <t xml:space="preserve"> LionBird</t>
  </si>
  <si>
    <t xml:space="preserve"> Maor Investments</t>
  </si>
  <si>
    <t xml:space="preserve"> Massa Innovations</t>
  </si>
  <si>
    <t xml:space="preserve"> Mehrdad Piroozram</t>
  </si>
  <si>
    <t xml:space="preserve"> Pilot Growth Equity</t>
  </si>
  <si>
    <t xml:space="preserve"> Yair Tauman</t>
  </si>
  <si>
    <t xml:space="preserve"> EFU Investments Ltd</t>
  </si>
  <si>
    <t xml:space="preserve"> Link and Motivation</t>
  </si>
  <si>
    <t xml:space="preserve"> Spiral Ventures</t>
  </si>
  <si>
    <t xml:space="preserve"> Sumitomo Mitsui Trust Investment</t>
  </si>
  <si>
    <t xml:space="preserve"> Tokyo University of Science University</t>
  </si>
  <si>
    <t xml:space="preserve"> Portugal Ventures</t>
  </si>
  <si>
    <t xml:space="preserve"> Shaun McConnon</t>
  </si>
  <si>
    <t xml:space="preserve"> The Perkins Fund</t>
  </si>
  <si>
    <t xml:space="preserve"> BitFury Capital</t>
  </si>
  <si>
    <t xml:space="preserve"> Craft Ventures</t>
  </si>
  <si>
    <t xml:space="preserve"> Eric Hahn</t>
  </si>
  <si>
    <t xml:space="preserve"> Inventures Group</t>
  </si>
  <si>
    <t xml:space="preserve"> Jeffrey Skoll</t>
  </si>
  <si>
    <t xml:space="preserve"> Liberty City Ventures</t>
  </si>
  <si>
    <t xml:space="preserve"> Newtown Partners</t>
  </si>
  <si>
    <t>186K Ventures</t>
  </si>
  <si>
    <t xml:space="preserve"> Emergent Ventures</t>
  </si>
  <si>
    <t xml:space="preserve"> INSEAD Business Angels</t>
  </si>
  <si>
    <t>Argenthal</t>
  </si>
  <si>
    <t xml:space="preserve"> Armat Group</t>
  </si>
  <si>
    <t xml:space="preserve"> Binary Financial</t>
  </si>
  <si>
    <t xml:space="preserve"> Cherry Tree Investments</t>
  </si>
  <si>
    <t xml:space="preserve"> Chong Sing Holdings FinTech Group</t>
  </si>
  <si>
    <t xml:space="preserve"> Dentsu</t>
  </si>
  <si>
    <t xml:space="preserve"> EY Startup Challenge</t>
  </si>
  <si>
    <t xml:space="preserve"> Foyer</t>
  </si>
  <si>
    <t xml:space="preserve"> Georgian Co-Investment Fund</t>
  </si>
  <si>
    <t xml:space="preserve"> Ginko Ventures</t>
  </si>
  <si>
    <t xml:space="preserve"> Groupe MACSF</t>
  </si>
  <si>
    <t xml:space="preserve"> Lian and Jabre Group</t>
  </si>
  <si>
    <t xml:space="preserve"> Naver Group</t>
  </si>
  <si>
    <t xml:space="preserve"> ZAD Investment Company</t>
  </si>
  <si>
    <t xml:space="preserve"> Dai-Ichi Life Insurance</t>
  </si>
  <si>
    <t xml:space="preserve"> QUICK Corp</t>
  </si>
  <si>
    <t xml:space="preserve"> Venture Labo Investment</t>
  </si>
  <si>
    <t>BP Ventures</t>
  </si>
  <si>
    <t>Viking Global Investors</t>
  </si>
  <si>
    <t xml:space="preserve"> Walgreens</t>
  </si>
  <si>
    <t>Mogility Capital</t>
  </si>
  <si>
    <t>Amir Banifatemi</t>
  </si>
  <si>
    <t xml:space="preserve"> Be Great Partners</t>
  </si>
  <si>
    <t xml:space="preserve"> Italian Angels for Growth</t>
  </si>
  <si>
    <t xml:space="preserve"> K5 Ventures</t>
  </si>
  <si>
    <t xml:space="preserve"> Luminous Ventures</t>
  </si>
  <si>
    <t xml:space="preserve"> Oxford Sciences Innovation</t>
  </si>
  <si>
    <t xml:space="preserve"> White Cloud Capital</t>
  </si>
  <si>
    <t xml:space="preserve"> Zynik Capital</t>
  </si>
  <si>
    <t>Plug and Play Tech Center</t>
  </si>
  <si>
    <t xml:space="preserve"> Millenium Partners</t>
  </si>
  <si>
    <t xml:space="preserve"> Washington University in St. Louis Endowment</t>
  </si>
  <si>
    <t xml:space="preserve"> Innogy</t>
  </si>
  <si>
    <t>AE Industrial Partners</t>
  </si>
  <si>
    <t xml:space="preserve"> AEA Investors</t>
  </si>
  <si>
    <t xml:space="preserve"> Fresco Capital</t>
  </si>
  <si>
    <t>Amadeus Ventures</t>
  </si>
  <si>
    <t xml:space="preserve"> Donald Carty</t>
  </si>
  <si>
    <t>Aéroports de Paris</t>
  </si>
  <si>
    <t xml:space="preserve"> Ennea VC</t>
  </si>
  <si>
    <t xml:space="preserve"> EPFL Innovation Park</t>
  </si>
  <si>
    <t xml:space="preserve"> Forticap</t>
  </si>
  <si>
    <t xml:space="preserve"> One Planet Ops</t>
  </si>
  <si>
    <t xml:space="preserve"> Road Ventures</t>
  </si>
  <si>
    <t>Arris Venture</t>
  </si>
  <si>
    <t>Anthemis Group</t>
  </si>
  <si>
    <t xml:space="preserve"> Edward Panteleev</t>
  </si>
  <si>
    <t xml:space="preserve"> Kirk Sanford</t>
  </si>
  <si>
    <t xml:space="preserve"> MissionOG</t>
  </si>
  <si>
    <t xml:space="preserve"> Tom Brown</t>
  </si>
  <si>
    <t>Alpine Meridian</t>
  </si>
  <si>
    <t xml:space="preserve"> Core Ventures Group</t>
  </si>
  <si>
    <t xml:space="preserve"> Daring Journey Ventures</t>
  </si>
  <si>
    <t xml:space="preserve"> Envestnet Yodlee</t>
  </si>
  <si>
    <t xml:space="preserve"> Ynext Incubator</t>
  </si>
  <si>
    <t xml:space="preserve"> Federal Economic Development Agency for Southern Ontario</t>
  </si>
  <si>
    <t xml:space="preserve"> Wesley Clover</t>
  </si>
  <si>
    <t xml:space="preserve"> Arctic Business Incubator</t>
  </si>
  <si>
    <t xml:space="preserve"> Conor Venture Partners</t>
  </si>
  <si>
    <t xml:space="preserve"> Innovationsbron</t>
  </si>
  <si>
    <t xml:space="preserve"> Lunova</t>
  </si>
  <si>
    <t xml:space="preserve"> Norrlandsfonden</t>
  </si>
  <si>
    <t xml:space="preserve"> Partnerinvest Norr</t>
  </si>
  <si>
    <t xml:space="preserve"> PNF Venture Capital</t>
  </si>
  <si>
    <t xml:space="preserve"> PwC's Accelerator</t>
  </si>
  <si>
    <t>E.Man</t>
  </si>
  <si>
    <t xml:space="preserve"> Viola Credit</t>
  </si>
  <si>
    <t xml:space="preserve"> Auren Hoffman</t>
  </si>
  <si>
    <t xml:space="preserve"> David Rosenblatt</t>
  </si>
  <si>
    <t xml:space="preserve"> Doug Knopper</t>
  </si>
  <si>
    <t xml:space="preserve"> Jim Payne</t>
  </si>
  <si>
    <t xml:space="preserve"> Noah Goodhardt</t>
  </si>
  <si>
    <t xml:space="preserve"> Christopher Obereder</t>
  </si>
  <si>
    <t xml:space="preserve"> Edenred Capital Partners</t>
  </si>
  <si>
    <t xml:space="preserve"> Keen Venture Partners</t>
  </si>
  <si>
    <t xml:space="preserve"> Niklas Östberg</t>
  </si>
  <si>
    <t xml:space="preserve"> Niklas Zennström</t>
  </si>
  <si>
    <t>4G Ventures</t>
  </si>
  <si>
    <t xml:space="preserve"> Aayush Phumbhra</t>
  </si>
  <si>
    <t xml:space="preserve"> AMOREPACIFIC Ventures</t>
  </si>
  <si>
    <t xml:space="preserve"> C Ventures</t>
  </si>
  <si>
    <t xml:space="preserve"> Eric Greenspan</t>
  </si>
  <si>
    <t xml:space="preserve"> Fullscreen Media</t>
  </si>
  <si>
    <t xml:space="preserve"> Gleam Futures</t>
  </si>
  <si>
    <t xml:space="preserve"> James Lassiter</t>
  </si>
  <si>
    <t xml:space="preserve"> Live Nation Labs</t>
  </si>
  <si>
    <t xml:space="preserve"> L'Oreal</t>
  </si>
  <si>
    <t xml:space="preserve"> Macromac Ventures</t>
  </si>
  <si>
    <t xml:space="preserve"> MainStreet Advisors</t>
  </si>
  <si>
    <t xml:space="preserve"> New Voices</t>
  </si>
  <si>
    <t xml:space="preserve"> Storm Model Management</t>
  </si>
  <si>
    <t xml:space="preserve"> Superfly Advertising</t>
  </si>
  <si>
    <t xml:space="preserve"> TYLT Ventures</t>
  </si>
  <si>
    <t>Disruptive Technologies Venture Capital</t>
  </si>
  <si>
    <t xml:space="preserve"> Mybulb</t>
  </si>
  <si>
    <t xml:space="preserve"> EQT</t>
  </si>
  <si>
    <t xml:space="preserve"> GP Ventures</t>
  </si>
  <si>
    <t xml:space="preserve"> Grupa Pracuj</t>
  </si>
  <si>
    <t>Bryker Capital</t>
  </si>
  <si>
    <t xml:space="preserve"> Elkland Capital</t>
  </si>
  <si>
    <t xml:space="preserve"> Manulife Capital</t>
  </si>
  <si>
    <t xml:space="preserve"> Strauss Interests</t>
  </si>
  <si>
    <t>CDIB Venture Capital</t>
  </si>
  <si>
    <t xml:space="preserve"> Finisar</t>
  </si>
  <si>
    <t xml:space="preserve"> Jefferies' Broadview Technology Group</t>
  </si>
  <si>
    <t xml:space="preserve"> Kaiyun Group</t>
  </si>
  <si>
    <t xml:space="preserve"> North American Venture Fund II</t>
  </si>
  <si>
    <t xml:space="preserve"> Viavi Solutions</t>
  </si>
  <si>
    <t xml:space="preserve"> Yokogawa Electric</t>
  </si>
  <si>
    <t>Carrick Capital Partners</t>
  </si>
  <si>
    <t xml:space="preserve"> DSW</t>
  </si>
  <si>
    <t xml:space="preserve"> Edward Zimmerman</t>
  </si>
  <si>
    <t xml:space="preserve"> Hubert Burda Media</t>
  </si>
  <si>
    <t>Bluestein &amp; Associates</t>
  </si>
  <si>
    <t xml:space="preserve"> Columbia Partners Private Capital</t>
  </si>
  <si>
    <t xml:space="preserve"> Michael Katz</t>
  </si>
  <si>
    <t xml:space="preserve"> Rockfish Brand Ventures</t>
  </si>
  <si>
    <t xml:space="preserve"> Otonomo Technologies</t>
  </si>
  <si>
    <t xml:space="preserve"> Penny Black</t>
  </si>
  <si>
    <t xml:space="preserve"> Shanghai Media Group</t>
  </si>
  <si>
    <t xml:space="preserve"> Twentieth Century Fox Film</t>
  </si>
  <si>
    <t>Berytech</t>
  </si>
  <si>
    <t xml:space="preserve"> UK Lebanon Tech Hub</t>
  </si>
  <si>
    <t xml:space="preserve"> Gil Dibner</t>
  </si>
  <si>
    <t xml:space="preserve"> KDDI</t>
  </si>
  <si>
    <t xml:space="preserve"> OpenFund</t>
  </si>
  <si>
    <t xml:space="preserve"> Soracom</t>
  </si>
  <si>
    <t>C31 Ventures</t>
  </si>
  <si>
    <t xml:space="preserve"> Macy's</t>
  </si>
  <si>
    <t xml:space="preserve"> Peak State Ventures</t>
  </si>
  <si>
    <t xml:space="preserve"> Fuse Capital</t>
  </si>
  <si>
    <t xml:space="preserve"> Fuse+Media</t>
  </si>
  <si>
    <t>3NOD Digital Group</t>
  </si>
  <si>
    <t xml:space="preserve"> Acorn Pacific Ventures</t>
  </si>
  <si>
    <t xml:space="preserve"> Alliance Capital Ventures</t>
  </si>
  <si>
    <t xml:space="preserve"> Ants Capital</t>
  </si>
  <si>
    <t xml:space="preserve"> Innovative Capital Ventures</t>
  </si>
  <si>
    <t xml:space="preserve"> Peter Hsing</t>
  </si>
  <si>
    <t xml:space="preserve"> Run Liang Tai Fund</t>
  </si>
  <si>
    <t xml:space="preserve"> Sunsea Telecommunications</t>
  </si>
  <si>
    <t>Decima Ventures</t>
  </si>
  <si>
    <t xml:space="preserve"> Eilon Tirosh</t>
  </si>
  <si>
    <t>California Institute of Technology Endowment</t>
  </si>
  <si>
    <t xml:space="preserve"> Jeffrey Straubel</t>
  </si>
  <si>
    <t xml:space="preserve"> Larry Mohr</t>
  </si>
  <si>
    <t xml:space="preserve"> Meson Capital Partners</t>
  </si>
  <si>
    <t xml:space="preserve"> MIT Angels</t>
  </si>
  <si>
    <t xml:space="preserve"> Seabed VC</t>
  </si>
  <si>
    <t xml:space="preserve"> Sierra Angels</t>
  </si>
  <si>
    <t xml:space="preserve"> The Cleantech Open</t>
  </si>
  <si>
    <t xml:space="preserve"> Victory Capital Management</t>
  </si>
  <si>
    <t xml:space="preserve"> Chen Fong</t>
  </si>
  <si>
    <t xml:space="preserve"> GrowthPoint Ventures</t>
  </si>
  <si>
    <t xml:space="preserve"> Innovate BC</t>
  </si>
  <si>
    <t xml:space="preserve"> MaRS Discovery District</t>
  </si>
  <si>
    <t xml:space="preserve"> Cove Point Holdings</t>
  </si>
  <si>
    <t xml:space="preserve"> DLA Piper</t>
  </si>
  <si>
    <t xml:space="preserve"> Mark Gerson</t>
  </si>
  <si>
    <t xml:space="preserve"> SenaHill Partners</t>
  </si>
  <si>
    <t xml:space="preserve"> SF Roofdeck Capital I</t>
  </si>
  <si>
    <t xml:space="preserve"> The Courtney Group</t>
  </si>
  <si>
    <t xml:space="preserve"> Andrew Deitchman</t>
  </si>
  <si>
    <t xml:space="preserve"> Brian Lee</t>
  </si>
  <si>
    <t xml:space="preserve"> Karlie Kloss</t>
  </si>
  <si>
    <t xml:space="preserve"> Shawn Carter</t>
  </si>
  <si>
    <t xml:space="preserve"> Stewart Butterfield</t>
  </si>
  <si>
    <t xml:space="preserve"> Emerson</t>
  </si>
  <si>
    <t xml:space="preserve"> Jenny Fielding</t>
  </si>
  <si>
    <t xml:space="preserve"> Korean Goverment</t>
  </si>
  <si>
    <t xml:space="preserve"> VentureWell</t>
  </si>
  <si>
    <t xml:space="preserve"> Younghee Noh</t>
  </si>
  <si>
    <t xml:space="preserve"> Golden Ventures</t>
  </si>
  <si>
    <t xml:space="preserve"> Ian Hogarth</t>
  </si>
  <si>
    <t xml:space="preserve"> Karvy Fintech</t>
  </si>
  <si>
    <t xml:space="preserve"> Steve Mullaney</t>
  </si>
  <si>
    <t xml:space="preserve"> Axandus</t>
  </si>
  <si>
    <t xml:space="preserve"> Auriga Partners (Paris)</t>
  </si>
  <si>
    <t xml:space="preserve"> Caisse des Dépôts Group</t>
  </si>
  <si>
    <t xml:space="preserve"> CDC Enterprises</t>
  </si>
  <si>
    <t xml:space="preserve"> CEA Investissement</t>
  </si>
  <si>
    <t xml:space="preserve"> CEA-Valorisation</t>
  </si>
  <si>
    <t xml:space="preserve"> Panasonic</t>
  </si>
  <si>
    <t xml:space="preserve"> Supernova (Cayman)</t>
  </si>
  <si>
    <t xml:space="preserve"> Bunting Family Foundation</t>
  </si>
  <si>
    <t xml:space="preserve"> Digital Grid (Hong Kong) Technology</t>
  </si>
  <si>
    <t xml:space="preserve"> Joseph Malcoun</t>
  </si>
  <si>
    <t xml:space="preserve"> Kaiwu Capital</t>
  </si>
  <si>
    <t xml:space="preserve"> LianLuo</t>
  </si>
  <si>
    <t xml:space="preserve"> NHN Capital</t>
  </si>
  <si>
    <t xml:space="preserve"> Atiq Raza</t>
  </si>
  <si>
    <t xml:space="preserve"> Jay Sethuram</t>
  </si>
  <si>
    <t xml:space="preserve"> Mahindra Partners</t>
  </si>
  <si>
    <t xml:space="preserve"> Raj Singh</t>
  </si>
  <si>
    <t>Digital Horizon Capital</t>
  </si>
  <si>
    <t>Blackbird Ventures</t>
  </si>
  <si>
    <t xml:space="preserve"> Kane Rogers</t>
  </si>
  <si>
    <t xml:space="preserve"> Peregrine Ventures</t>
  </si>
  <si>
    <t xml:space="preserve"> Queen City Fintech</t>
  </si>
  <si>
    <t xml:space="preserve"> Sam Nurmi</t>
  </si>
  <si>
    <t xml:space="preserve"> signals Venture Capital</t>
  </si>
  <si>
    <t>General Atlantic</t>
  </si>
  <si>
    <t xml:space="preserve"> Entrepreneur First</t>
  </si>
  <si>
    <t xml:space="preserve"> Firstminute Capital</t>
  </si>
  <si>
    <t xml:space="preserve"> Hardware Club</t>
  </si>
  <si>
    <t xml:space="preserve"> Hummingbird Ventures</t>
  </si>
  <si>
    <t xml:space="preserve"> Omidyar Technology Ventures</t>
  </si>
  <si>
    <t>ClearSky (North Palm Beach)</t>
  </si>
  <si>
    <t xml:space="preserve"> CLP Innovation Ventures Limited</t>
  </si>
  <si>
    <t xml:space="preserve"> Leland Stanford Junior University</t>
  </si>
  <si>
    <t xml:space="preserve"> Ørstead</t>
  </si>
  <si>
    <t xml:space="preserve"> Root9B Technologies</t>
  </si>
  <si>
    <t xml:space="preserve"> Tenaska Capital Management</t>
  </si>
  <si>
    <t>Amazon.com</t>
  </si>
  <si>
    <t xml:space="preserve"> Geodesic</t>
  </si>
  <si>
    <t xml:space="preserve"> Reinvent Capital</t>
  </si>
  <si>
    <t>Brian Durst</t>
  </si>
  <si>
    <t xml:space="preserve"> Busch Global Ventures</t>
  </si>
  <si>
    <t xml:space="preserve"> David Charne</t>
  </si>
  <si>
    <t xml:space="preserve"> Kay Hong</t>
  </si>
  <si>
    <t xml:space="preserve"> Monica Nassif</t>
  </si>
  <si>
    <t xml:space="preserve"> Ricardo Alvarez</t>
  </si>
  <si>
    <t xml:space="preserve"> Starveups</t>
  </si>
  <si>
    <t xml:space="preserve"> Stuart Erickson</t>
  </si>
  <si>
    <t>Impulse Partners</t>
  </si>
  <si>
    <t xml:space="preserve"> Laurent Therezien</t>
  </si>
  <si>
    <t xml:space="preserve"> Nicolas Vauvilliez</t>
  </si>
  <si>
    <t xml:space="preserve"> Olivier Mathiot</t>
  </si>
  <si>
    <t xml:space="preserve"> Tristan Vyskoc</t>
  </si>
  <si>
    <t>Archangel Venture Capital</t>
  </si>
  <si>
    <t xml:space="preserve"> CounterPointe Ventures</t>
  </si>
  <si>
    <t xml:space="preserve"> Dean Benjamin</t>
  </si>
  <si>
    <t xml:space="preserve"> Edward Park</t>
  </si>
  <si>
    <t xml:space="preserve"> FP Angels</t>
  </si>
  <si>
    <t xml:space="preserve"> 83North</t>
  </si>
  <si>
    <t xml:space="preserve"> Advanced Media</t>
  </si>
  <si>
    <t xml:space="preserve"> Flint Capital</t>
  </si>
  <si>
    <t xml:space="preserve"> Mobileye</t>
  </si>
  <si>
    <t xml:space="preserve"> Nippon Broadcasting System</t>
  </si>
  <si>
    <t>Ceyuan Ventures</t>
  </si>
  <si>
    <t xml:space="preserve"> China Pacific Insurance</t>
  </si>
  <si>
    <t xml:space="preserve"> China Securities International</t>
  </si>
  <si>
    <t xml:space="preserve"> Gaorong Capital</t>
  </si>
  <si>
    <t xml:space="preserve"> Hangzhou Financial Investment</t>
  </si>
  <si>
    <t xml:space="preserve"> Ivy Capital</t>
  </si>
  <si>
    <t xml:space="preserve"> Qing Cong Capital</t>
  </si>
  <si>
    <t xml:space="preserve"> Exigent</t>
  </si>
  <si>
    <t xml:space="preserve"> Macnica</t>
  </si>
  <si>
    <t xml:space="preserve"> Secure Octane</t>
  </si>
  <si>
    <t xml:space="preserve"> Ero Carrez</t>
  </si>
  <si>
    <t xml:space="preserve"> Jose Duart</t>
  </si>
  <si>
    <t xml:space="preserve"> Thomas Dullin</t>
  </si>
  <si>
    <t xml:space="preserve"> Tom Parker</t>
  </si>
  <si>
    <t xml:space="preserve"> Amr Awadallah</t>
  </si>
  <si>
    <t xml:space="preserve"> Michael Franklin</t>
  </si>
  <si>
    <t xml:space="preserve"> Arix Bioscience</t>
  </si>
  <si>
    <t xml:space="preserve"> Esperante Ventures</t>
  </si>
  <si>
    <t xml:space="preserve"> Integra Holdings</t>
  </si>
  <si>
    <t xml:space="preserve"> Lundbeckfond Ventures</t>
  </si>
  <si>
    <t xml:space="preserve"> National Institute Of Allergy and Infectious Diseases</t>
  </si>
  <si>
    <t xml:space="preserve"> SR One</t>
  </si>
  <si>
    <t xml:space="preserve"> David Lee</t>
  </si>
  <si>
    <t xml:space="preserve"> Grand Challenges Canada</t>
  </si>
  <si>
    <t xml:space="preserve"> Impact Centre</t>
  </si>
  <si>
    <t xml:space="preserve"> Mission and Market</t>
  </si>
  <si>
    <t xml:space="preserve"> Techno Labs</t>
  </si>
  <si>
    <t xml:space="preserve"> Vickers Venture Partners</t>
  </si>
  <si>
    <t xml:space="preserve"> Eaton</t>
  </si>
  <si>
    <t xml:space="preserve"> Consensus Lab (Blockchain investor)</t>
  </si>
  <si>
    <t xml:space="preserve"> Albert Wenger</t>
  </si>
  <si>
    <t xml:space="preserve"> Daniel Gross</t>
  </si>
  <si>
    <t xml:space="preserve"> Jacob Weisberg</t>
  </si>
  <si>
    <t xml:space="preserve"> John Battelle</t>
  </si>
  <si>
    <t xml:space="preserve"> Lauren Zalaznick</t>
  </si>
  <si>
    <t xml:space="preserve"> Peter Bloom</t>
  </si>
  <si>
    <t xml:space="preserve"> Rob Grosser</t>
  </si>
  <si>
    <t xml:space="preserve"> Seth Teicher</t>
  </si>
  <si>
    <t xml:space="preserve"> Todd Pines</t>
  </si>
  <si>
    <t xml:space="preserve"> Treemark Capital</t>
  </si>
  <si>
    <t xml:space="preserve"> Evergreen Coast Capital</t>
  </si>
  <si>
    <t xml:space="preserve"> Veritas Capital</t>
  </si>
  <si>
    <t xml:space="preserve"> Revup(Fund)</t>
  </si>
  <si>
    <t xml:space="preserve"> SXSW Accelerator</t>
  </si>
  <si>
    <t xml:space="preserve"> ESA Business Incubation Centre</t>
  </si>
  <si>
    <t xml:space="preserve"> Francois Stieger</t>
  </si>
  <si>
    <t xml:space="preserve"> LYRACOM</t>
  </si>
  <si>
    <t xml:space="preserve"> Roland Loos</t>
  </si>
  <si>
    <t xml:space="preserve"> Kuwaiti</t>
  </si>
  <si>
    <t xml:space="preserve"> Mingxin China Growth Fund</t>
  </si>
  <si>
    <t xml:space="preserve"> Sandalwood Partners</t>
  </si>
  <si>
    <t xml:space="preserve"> Societe francaise de radiotelephone</t>
  </si>
  <si>
    <t xml:space="preserve"> Sofinnova Partners</t>
  </si>
  <si>
    <t xml:space="preserve"> T-Ventures</t>
  </si>
  <si>
    <t xml:space="preserve"> ValueGate</t>
  </si>
  <si>
    <t xml:space="preserve"> Heather Brown Natsch</t>
  </si>
  <si>
    <t xml:space="preserve"> Mark Reinstra</t>
  </si>
  <si>
    <t xml:space="preserve"> Nik Divakaruni</t>
  </si>
  <si>
    <t xml:space="preserve"> Rick Natsch</t>
  </si>
  <si>
    <t xml:space="preserve"> Elephants &amp; Ventures</t>
  </si>
  <si>
    <t xml:space="preserve"> GATE1</t>
  </si>
  <si>
    <t>Alexandra Novakovich</t>
  </si>
  <si>
    <t xml:space="preserve"> Syven Capital</t>
  </si>
  <si>
    <t>1stdibs</t>
  </si>
  <si>
    <t xml:space="preserve"> 2020 Ventures</t>
  </si>
  <si>
    <t xml:space="preserve"> Gallo Digital</t>
  </si>
  <si>
    <t xml:space="preserve"> Yale Entrepreneurial Institute</t>
  </si>
  <si>
    <t xml:space="preserve"> Cordova Ventures</t>
  </si>
  <si>
    <t xml:space="preserve"> Early Stage Partners</t>
  </si>
  <si>
    <t xml:space="preserve"> Queen City Angels</t>
  </si>
  <si>
    <t xml:space="preserve"> Reservoir Venture Partners</t>
  </si>
  <si>
    <t xml:space="preserve"> Lab360 Hardware Incubator</t>
  </si>
  <si>
    <t xml:space="preserve"> Sinar Mas Indonesia</t>
  </si>
  <si>
    <t xml:space="preserve"> Cendana Capital</t>
  </si>
  <si>
    <t xml:space="preserve"> Dustin Rosen</t>
  </si>
  <si>
    <t xml:space="preserve"> K Street Capital</t>
  </si>
  <si>
    <t xml:space="preserve"> McKnight Foundation</t>
  </si>
  <si>
    <t xml:space="preserve"> Mykel Nahorniak</t>
  </si>
  <si>
    <t xml:space="preserve"> Small Ventures USA</t>
  </si>
  <si>
    <t xml:space="preserve"> ValueAct Capital Management</t>
  </si>
  <si>
    <t>Big Sky Partners</t>
  </si>
  <si>
    <t xml:space="preserve"> Blue Hill Ventures</t>
  </si>
  <si>
    <t xml:space="preserve"> BrainStorm Ventures</t>
  </si>
  <si>
    <t xml:space="preserve"> Chess Ventures</t>
  </si>
  <si>
    <t xml:space="preserve"> Pequot Capital Management</t>
  </si>
  <si>
    <t>Compass Partners International</t>
  </si>
  <si>
    <t xml:space="preserve"> Flow Capital</t>
  </si>
  <si>
    <t xml:space="preserve"> GLH Asset Management</t>
  </si>
  <si>
    <t xml:space="preserve"> Turtle Creek Asset Management</t>
  </si>
  <si>
    <t xml:space="preserve"> Long Capital</t>
  </si>
  <si>
    <t xml:space="preserve"> PowerCloud Venture Capital</t>
  </si>
  <si>
    <t xml:space="preserve"> Cenova Capital</t>
  </si>
  <si>
    <t>Aden Investments</t>
  </si>
  <si>
    <t xml:space="preserve"> Egan-Managed Capital</t>
  </si>
  <si>
    <t xml:space="preserve"> GrowthWorks</t>
  </si>
  <si>
    <t xml:space="preserve"> SolarWinds</t>
  </si>
  <si>
    <t xml:space="preserve"> Inspovation Ventures</t>
  </si>
  <si>
    <t xml:space="preserve"> Telia Company</t>
  </si>
  <si>
    <t>Baird Capital</t>
  </si>
  <si>
    <t xml:space="preserve"> Bootstrap Venture Partners</t>
  </si>
  <si>
    <t xml:space="preserve"> Optum Ventures</t>
  </si>
  <si>
    <t>CONNECT (Accelerator)</t>
  </si>
  <si>
    <t xml:space="preserve"> Laconia Ventures</t>
  </si>
  <si>
    <t xml:space="preserve"> Michael Wandell</t>
  </si>
  <si>
    <t xml:space="preserve"> Steve Hart</t>
  </si>
  <si>
    <t xml:space="preserve"> Boyu Capital Advisory Company</t>
  </si>
  <si>
    <t xml:space="preserve"> China Construction Bank</t>
  </si>
  <si>
    <t xml:space="preserve"> China Development Bank</t>
  </si>
  <si>
    <t xml:space="preserve"> China Investment Corporation</t>
  </si>
  <si>
    <t xml:space="preserve"> China Life Insurance</t>
  </si>
  <si>
    <t xml:space="preserve"> China People's Insurance Group Company</t>
  </si>
  <si>
    <t xml:space="preserve"> China Post Group</t>
  </si>
  <si>
    <t xml:space="preserve"> Discovery Capital Management</t>
  </si>
  <si>
    <t xml:space="preserve"> GP Investments</t>
  </si>
  <si>
    <t xml:space="preserve"> Janchor Partners</t>
  </si>
  <si>
    <t xml:space="preserve"> National Social Security Fund</t>
  </si>
  <si>
    <t xml:space="preserve"> Primavera Capital Group</t>
  </si>
  <si>
    <t xml:space="preserve"> The Carlyle Group</t>
  </si>
  <si>
    <t xml:space="preserve"> Xinhua Life Insurance Company</t>
  </si>
  <si>
    <t xml:space="preserve"> Steamboat Ventures</t>
  </si>
  <si>
    <t>Don Weil</t>
  </si>
  <si>
    <t xml:space="preserve"> Karen Kaushansky</t>
  </si>
  <si>
    <t xml:space="preserve"> Kiki Tidwell</t>
  </si>
  <si>
    <t xml:space="preserve"> Linseed Capital</t>
  </si>
  <si>
    <t xml:space="preserve"> Michal Kopec</t>
  </si>
  <si>
    <t xml:space="preserve"> Nebraska Angels</t>
  </si>
  <si>
    <t xml:space="preserve"> San Jose Tech Museum</t>
  </si>
  <si>
    <t xml:space="preserve"> Steven Grimm</t>
  </si>
  <si>
    <t xml:space="preserve"> The Social Entrepreneurs Fund</t>
  </si>
  <si>
    <t xml:space="preserve"> Yang Kurayashi</t>
  </si>
  <si>
    <t xml:space="preserve"> Welcome City Lab</t>
  </si>
  <si>
    <t>Amplo (Spring)</t>
  </si>
  <si>
    <t xml:space="preserve"> Highline</t>
  </si>
  <si>
    <t xml:space="preserve"> Sangu Delle</t>
  </si>
  <si>
    <t xml:space="preserve"> Social Impact Capital</t>
  </si>
  <si>
    <t xml:space="preserve"> Vanguard International Semiconductor</t>
  </si>
  <si>
    <t>5280 Partners</t>
  </si>
  <si>
    <t xml:space="preserve"> Advantage Capital (St. Louis)</t>
  </si>
  <si>
    <t xml:space="preserve"> Geometric Software</t>
  </si>
  <si>
    <t xml:space="preserve"> Holden Ventures</t>
  </si>
  <si>
    <t xml:space="preserve"> Murphree Venture Partners</t>
  </si>
  <si>
    <t xml:space="preserve"> Wolf Ventures</t>
  </si>
  <si>
    <t xml:space="preserve"> Better Food Ventures</t>
  </si>
  <si>
    <t xml:space="preserve"> Cornes Technologies</t>
  </si>
  <si>
    <t xml:space="preserve"> Innovation Park at Penn State</t>
  </si>
  <si>
    <t xml:space="preserve"> Leawood Venture Capital</t>
  </si>
  <si>
    <t xml:space="preserve"> Summer Founders Program</t>
  </si>
  <si>
    <t>Dow Chemical</t>
  </si>
  <si>
    <t xml:space="preserve"> Hachijuni Capital</t>
  </si>
  <si>
    <t xml:space="preserve"> Novartis Pharma</t>
  </si>
  <si>
    <t xml:space="preserve"> Shinsei Corporate Investment</t>
  </si>
  <si>
    <t>CDC Enterprises</t>
  </si>
  <si>
    <t xml:space="preserve"> Incubateur Régional d'Aquitaine</t>
  </si>
  <si>
    <t xml:space="preserve"> L-GAM Advisers</t>
  </si>
  <si>
    <t>Clear Fir Partners</t>
  </si>
  <si>
    <t xml:space="preserve"> Globys</t>
  </si>
  <si>
    <t xml:space="preserve"> Seven Peaks Ventures</t>
  </si>
  <si>
    <t xml:space="preserve"> Trilogy Equity Partners</t>
  </si>
  <si>
    <t>Civilization Ventures</t>
  </si>
  <si>
    <t xml:space="preserve"> LivWell Ventures</t>
  </si>
  <si>
    <t xml:space="preserve"> Moore Strategic Ventures</t>
  </si>
  <si>
    <t xml:space="preserve"> Start Capital</t>
  </si>
  <si>
    <t xml:space="preserve"> Closed Loop Partners</t>
  </si>
  <si>
    <t>Beehive Holdings</t>
  </si>
  <si>
    <t xml:space="preserve"> Chris Klomp</t>
  </si>
  <si>
    <t>Auren Hoffman</t>
  </si>
  <si>
    <t xml:space="preserve"> Ben Franklin Technology Partners of Southeastern Pennsylvania</t>
  </si>
  <si>
    <t xml:space="preserve"> Richard Vague</t>
  </si>
  <si>
    <t xml:space="preserve"> Startup PHL</t>
  </si>
  <si>
    <t xml:space="preserve"> Tessera Venture Partners</t>
  </si>
  <si>
    <t xml:space="preserve"> Tod Sacerdoti</t>
  </si>
  <si>
    <t xml:space="preserve"> Bridge Boys</t>
  </si>
  <si>
    <t xml:space="preserve"> David Chang</t>
  </si>
  <si>
    <t xml:space="preserve"> Atlas Copco</t>
  </si>
  <si>
    <t xml:space="preserve"> Electrolux</t>
  </si>
  <si>
    <t xml:space="preserve"> Foundation Asset Management</t>
  </si>
  <si>
    <t xml:space="preserve"> Hoganas</t>
  </si>
  <si>
    <t xml:space="preserve"> Husqvarna</t>
  </si>
  <si>
    <t xml:space="preserve"> Saab</t>
  </si>
  <si>
    <t xml:space="preserve"> SKF</t>
  </si>
  <si>
    <t xml:space="preserve"> Stora Enso</t>
  </si>
  <si>
    <t xml:space="preserve"> Wärtsilä</t>
  </si>
  <si>
    <t xml:space="preserve"> Vator</t>
  </si>
  <si>
    <t xml:space="preserve"> Building Insurance Bern</t>
  </si>
  <si>
    <t xml:space="preserve"> KLP Enterprises</t>
  </si>
  <si>
    <t xml:space="preserve"> Fujitsu</t>
  </si>
  <si>
    <t xml:space="preserve"> Grand Angels</t>
  </si>
  <si>
    <t>LG Technology Ventures</t>
  </si>
  <si>
    <t xml:space="preserve"> Mirae Asset Financial Group</t>
  </si>
  <si>
    <t>Centre for Innovation Incubation and Entrepreneurship</t>
  </si>
  <si>
    <t xml:space="preserve"> Infuse Ventures</t>
  </si>
  <si>
    <t xml:space="preserve"> Lumis Partners</t>
  </si>
  <si>
    <t xml:space="preserve"> Persistent Systems</t>
  </si>
  <si>
    <t xml:space="preserve"> Sada Kshirsagar</t>
  </si>
  <si>
    <t xml:space="preserve"> TVS Motor Company</t>
  </si>
  <si>
    <t xml:space="preserve"> Excelestar Ventures</t>
  </si>
  <si>
    <t xml:space="preserve"> Tech Mahindra</t>
  </si>
  <si>
    <t>Andrew Wang</t>
  </si>
  <si>
    <t xml:space="preserve"> Angel Capital Management</t>
  </si>
  <si>
    <t xml:space="preserve"> Aydin Senkut</t>
  </si>
  <si>
    <t xml:space="preserve"> Maurice Werdegar</t>
  </si>
  <si>
    <t xml:space="preserve"> U-Start</t>
  </si>
  <si>
    <t>Dynamic Loop Capital</t>
  </si>
  <si>
    <t xml:space="preserve"> Gandyr Investments</t>
  </si>
  <si>
    <t xml:space="preserve"> MizMaa Ventures</t>
  </si>
  <si>
    <t>Digital Garage</t>
  </si>
  <si>
    <t xml:space="preserve"> TandemLaunch</t>
  </si>
  <si>
    <t xml:space="preserve"> Centennial Ventures</t>
  </si>
  <si>
    <t xml:space="preserve"> Duchossois Technology Partners</t>
  </si>
  <si>
    <t xml:space="preserve"> eCentury Capital Partners</t>
  </si>
  <si>
    <t xml:space="preserve"> Enhanced Capital Partners</t>
  </si>
  <si>
    <t xml:space="preserve"> Genesis Campus</t>
  </si>
  <si>
    <t xml:space="preserve"> Mobility Ventures</t>
  </si>
  <si>
    <t xml:space="preserve"> Pharos Capital Group</t>
  </si>
  <si>
    <t xml:space="preserve"> PTV Healthcare Capital</t>
  </si>
  <si>
    <t>BASF</t>
  </si>
  <si>
    <t xml:space="preserve"> Incendium Capital</t>
  </si>
  <si>
    <t xml:space="preserve"> Iowa City Capital Partners</t>
  </si>
  <si>
    <t xml:space="preserve"> Qatar Development Bank</t>
  </si>
  <si>
    <t>FuturePlay</t>
  </si>
  <si>
    <t xml:space="preserve"> Google Campus</t>
  </si>
  <si>
    <t xml:space="preserve"> GT Five Stones</t>
  </si>
  <si>
    <t xml:space="preserve"> Curtis Newton</t>
  </si>
  <si>
    <t xml:space="preserve"> M10 Partners</t>
  </si>
  <si>
    <t xml:space="preserve"> Eurostars</t>
  </si>
  <si>
    <t xml:space="preserve"> Government of Switzerland</t>
  </si>
  <si>
    <t xml:space="preserve"> Nestadio Capital</t>
  </si>
  <si>
    <t xml:space="preserve"> Stephan Dietrich</t>
  </si>
  <si>
    <t xml:space="preserve"> Donald Dodge</t>
  </si>
  <si>
    <t xml:space="preserve"> Michael Parekh</t>
  </si>
  <si>
    <t xml:space="preserve"> Scott Braun</t>
  </si>
  <si>
    <t xml:space="preserve"> Silicon Straits</t>
  </si>
  <si>
    <t xml:space="preserve"> Franklin Park Associates</t>
  </si>
  <si>
    <t xml:space="preserve"> Lodestar Ventures</t>
  </si>
  <si>
    <t xml:space="preserve"> Samir Kaji</t>
  </si>
  <si>
    <t xml:space="preserve"> Scott Hartley</t>
  </si>
  <si>
    <t xml:space="preserve"> Telemachus Luu</t>
  </si>
  <si>
    <t xml:space="preserve"> William Maw</t>
  </si>
  <si>
    <t xml:space="preserve"> Sony</t>
  </si>
  <si>
    <t xml:space="preserve"> Yuneec</t>
  </si>
  <si>
    <t xml:space="preserve"> Western Securities</t>
  </si>
  <si>
    <t>Aker Solutions</t>
  </si>
  <si>
    <t xml:space="preserve"> Evonik Venture Capital</t>
  </si>
  <si>
    <t xml:space="preserve"> HPE Growth Capital</t>
  </si>
  <si>
    <t xml:space="preserve"> Schroder Adveq Management</t>
  </si>
  <si>
    <t xml:space="preserve"> Subsea 7</t>
  </si>
  <si>
    <t>Acorn Ventures</t>
  </si>
  <si>
    <t xml:space="preserve"> Kirnaf</t>
  </si>
  <si>
    <t xml:space="preserve"> Shell Internet Ventures</t>
  </si>
  <si>
    <t xml:space="preserve"> Staenberg Venture Partners</t>
  </si>
  <si>
    <t xml:space="preserve"> TAPCO Ventures</t>
  </si>
  <si>
    <t xml:space="preserve"> Toyota Tsusho</t>
  </si>
  <si>
    <t>Arboretum Ventures</t>
  </si>
  <si>
    <t xml:space="preserve"> National Federation Of The Blind</t>
  </si>
  <si>
    <t xml:space="preserve"> StartR</t>
  </si>
  <si>
    <t xml:space="preserve"> Day One Capital</t>
  </si>
  <si>
    <t xml:space="preserve"> Inventure</t>
  </si>
  <si>
    <t xml:space="preserve"> PortfoLion</t>
  </si>
  <si>
    <t xml:space="preserve"> Prime Ventures</t>
  </si>
  <si>
    <t xml:space="preserve"> Tamares Group</t>
  </si>
  <si>
    <t xml:space="preserve"> Pre Angel Capital</t>
  </si>
  <si>
    <t>1821 MEDIA</t>
  </si>
  <si>
    <t xml:space="preserve"> Adrian Fenty</t>
  </si>
  <si>
    <t xml:space="preserve"> Arroyo Energy Investment Partners</t>
  </si>
  <si>
    <t xml:space="preserve"> Biz Stone</t>
  </si>
  <si>
    <t xml:space="preserve"> Charles King</t>
  </si>
  <si>
    <t xml:space="preserve"> Joe Drake</t>
  </si>
  <si>
    <t xml:space="preserve"> Mike Palank</t>
  </si>
  <si>
    <t xml:space="preserve"> Trevor Kienzle</t>
  </si>
  <si>
    <t>Amazon Web Services</t>
  </si>
  <si>
    <t>Alexandria Venture Investments</t>
  </si>
  <si>
    <t xml:space="preserve"> Cornerstone Angels</t>
  </si>
  <si>
    <t xml:space="preserve"> Gentry Venture Partners</t>
  </si>
  <si>
    <t xml:space="preserve"> Global Foods Holding</t>
  </si>
  <si>
    <t xml:space="preserve"> incTANK Ventures</t>
  </si>
  <si>
    <t xml:space="preserve"> Iowa Corn Opportunities</t>
  </si>
  <si>
    <t xml:space="preserve"> Maschhoff Family Foods</t>
  </si>
  <si>
    <t xml:space="preserve"> Massachusetts Technology Collaborative</t>
  </si>
  <si>
    <t xml:space="preserve"> PrairieGold Venture Partners</t>
  </si>
  <si>
    <t xml:space="preserve"> Shin Nippon Biomedical Laboratories</t>
  </si>
  <si>
    <t xml:space="preserve"> Sontag Family Trust</t>
  </si>
  <si>
    <t xml:space="preserve"> Technology Acceleration Partners</t>
  </si>
  <si>
    <t>Bpifrance</t>
  </si>
  <si>
    <t xml:space="preserve"> CMA CGM</t>
  </si>
  <si>
    <t xml:space="preserve"> Cyril Grislain</t>
  </si>
  <si>
    <t xml:space="preserve"> Daphni</t>
  </si>
  <si>
    <t xml:space="preserve"> Jacques Antoine Granjon</t>
  </si>
  <si>
    <t xml:space="preserve"> Jean-Daniel Guyot</t>
  </si>
  <si>
    <t xml:space="preserve"> Thibaud Elziere</t>
  </si>
  <si>
    <t>Chrysalix Venture Capital</t>
  </si>
  <si>
    <t xml:space="preserve"> Drew Bernard</t>
  </si>
  <si>
    <t xml:space="preserve"> Foam Recycling Coalition</t>
  </si>
  <si>
    <t xml:space="preserve"> Pivotal Investments</t>
  </si>
  <si>
    <t xml:space="preserve"> Saffron Hill Ventures</t>
  </si>
  <si>
    <t xml:space="preserve"> Innotech Advisers</t>
  </si>
  <si>
    <t xml:space="preserve"> Leaps by Bayer</t>
  </si>
  <si>
    <t xml:space="preserve"> E-Merge</t>
  </si>
  <si>
    <t xml:space="preserve"> HitForge</t>
  </si>
  <si>
    <t xml:space="preserve"> Kae Capital</t>
  </si>
  <si>
    <t xml:space="preserve"> Michael Dearing</t>
  </si>
  <si>
    <t>SOSV</t>
  </si>
  <si>
    <t xml:space="preserve"> Bandai Namco Entertainment</t>
  </si>
  <si>
    <t xml:space="preserve"> CAC Holdings</t>
  </si>
  <si>
    <t xml:space="preserve"> Kantar Media</t>
  </si>
  <si>
    <t xml:space="preserve"> Myrian Capital</t>
  </si>
  <si>
    <t xml:space="preserve"> Sega Sammy Holdings</t>
  </si>
  <si>
    <t>Assembly Partners</t>
  </si>
  <si>
    <t xml:space="preserve"> Robert Dobkin</t>
  </si>
  <si>
    <t xml:space="preserve"> Sanshin Electronics</t>
  </si>
  <si>
    <t xml:space="preserve"> ATP Fund</t>
  </si>
  <si>
    <t xml:space="preserve"> BootstrapLabs</t>
  </si>
  <si>
    <t xml:space="preserve"> Pegasus Tech Ventures</t>
  </si>
  <si>
    <t xml:space="preserve"> Subaru</t>
  </si>
  <si>
    <t xml:space="preserve"> Taiwania Capital Management</t>
  </si>
  <si>
    <t xml:space="preserve"> Tri-Valley Ventures</t>
  </si>
  <si>
    <t xml:space="preserve"> aws Gründerfonds</t>
  </si>
  <si>
    <t xml:space="preserve"> i5invest</t>
  </si>
  <si>
    <t>Founders Equity</t>
  </si>
  <si>
    <t>Chubu Electric Power</t>
  </si>
  <si>
    <t xml:space="preserve"> Prudential Capital Group</t>
  </si>
  <si>
    <t xml:space="preserve"> TIAA-CREF Asset Management</t>
  </si>
  <si>
    <t>Arnold Schwarzenegger</t>
  </si>
  <si>
    <t xml:space="preserve"> Southern Company</t>
  </si>
  <si>
    <t xml:space="preserve"> Shanghai Pudong Science and Technology Investment Company</t>
  </si>
  <si>
    <t xml:space="preserve"> Shanghai Venture Capital</t>
  </si>
  <si>
    <t xml:space="preserve"> Sino IC Capital</t>
  </si>
  <si>
    <t xml:space="preserve"> Venture Capital Fund of America</t>
  </si>
  <si>
    <t>H.I.G. Capital</t>
  </si>
  <si>
    <t xml:space="preserve"> H.I.G. Growth Partners</t>
  </si>
  <si>
    <t xml:space="preserve"> Mogility Capital</t>
  </si>
  <si>
    <t xml:space="preserve"> OmniCapital Group</t>
  </si>
  <si>
    <t xml:space="preserve"> Rich LeFurgy</t>
  </si>
  <si>
    <t xml:space="preserve"> Roham Gharegozlou</t>
  </si>
  <si>
    <t xml:space="preserve"> Stewart Alsop</t>
  </si>
  <si>
    <t xml:space="preserve"> European Social Fund</t>
  </si>
  <si>
    <t xml:space="preserve"> Investitionsbank Berlin</t>
  </si>
  <si>
    <t>3x5 Partners</t>
  </si>
  <si>
    <t xml:space="preserve"> BioGenerator</t>
  </si>
  <si>
    <t xml:space="preserve"> Genoa Ventures</t>
  </si>
  <si>
    <t xml:space="preserve"> RiverVest Venture Partners</t>
  </si>
  <si>
    <t xml:space="preserve"> Chemence</t>
  </si>
  <si>
    <t xml:space="preserve"> Patterson Thoma Family Office</t>
  </si>
  <si>
    <t>BittWare</t>
  </si>
  <si>
    <t xml:space="preserve"> Corbetti Capital Equity</t>
  </si>
  <si>
    <t xml:space="preserve"> Eversource Energy</t>
  </si>
  <si>
    <t xml:space="preserve"> Laconic</t>
  </si>
  <si>
    <t xml:space="preserve"> NiSource</t>
  </si>
  <si>
    <t xml:space="preserve"> Source UK Services</t>
  </si>
  <si>
    <t xml:space="preserve"> TRMI</t>
  </si>
  <si>
    <t>BNP Paribas</t>
  </si>
  <si>
    <t xml:space="preserve"> Bouygues Telecom Initiatives</t>
  </si>
  <si>
    <t xml:space="preserve"> Creadev</t>
  </si>
  <si>
    <t xml:space="preserve"> Inmarsat</t>
  </si>
  <si>
    <t xml:space="preserve"> Truffle Capital</t>
  </si>
  <si>
    <t xml:space="preserve"> Marco DeMeireles</t>
  </si>
  <si>
    <t xml:space="preserve"> Capital Group</t>
  </si>
  <si>
    <t xml:space="preserve"> Cruttenden Partners</t>
  </si>
  <si>
    <t xml:space="preserve"> Groundswell Investments</t>
  </si>
  <si>
    <t xml:space="preserve"> Jacobs Asset Management</t>
  </si>
  <si>
    <t xml:space="preserve"> Michael Shore</t>
  </si>
  <si>
    <t xml:space="preserve"> PayPal Ventures</t>
  </si>
  <si>
    <t xml:space="preserve"> Steelpoint Capital Partners</t>
  </si>
  <si>
    <t xml:space="preserve"> Asia Pacific Digital</t>
  </si>
  <si>
    <t xml:space="preserve"> Blue Sky Alternative Investments</t>
  </si>
  <si>
    <t xml:space="preserve"> DKSH</t>
  </si>
  <si>
    <t xml:space="preserve"> Emerald Media</t>
  </si>
  <si>
    <t xml:space="preserve"> Ideosource</t>
  </si>
  <si>
    <t xml:space="preserve"> JL Capital</t>
  </si>
  <si>
    <t xml:space="preserve"> Sumitomo Corporation Equity Asia</t>
  </si>
  <si>
    <t>Accretive</t>
  </si>
  <si>
    <t xml:space="preserve"> Independence Blue Cross</t>
  </si>
  <si>
    <t xml:space="preserve"> Madera Technology Partners</t>
  </si>
  <si>
    <t xml:space="preserve"> Oak Hill Capital Partners</t>
  </si>
  <si>
    <t xml:space="preserve"> Spencer Stuart</t>
  </si>
  <si>
    <t>Aaron Zucker</t>
  </si>
  <si>
    <t xml:space="preserve"> GettyLab</t>
  </si>
  <si>
    <t xml:space="preserve"> Marek Oszlewski</t>
  </si>
  <si>
    <t xml:space="preserve"> Matthew Wilkerson</t>
  </si>
  <si>
    <t xml:space="preserve"> Rene Reinsberg</t>
  </si>
  <si>
    <t xml:space="preserve"> SDF Ventures</t>
  </si>
  <si>
    <t xml:space="preserve"> TechU</t>
  </si>
  <si>
    <t xml:space="preserve"> Tim Tokarsky</t>
  </si>
  <si>
    <t>Main Street Capital</t>
  </si>
  <si>
    <t>Fujitsu (Corporate Venture)</t>
  </si>
  <si>
    <t>BayWa</t>
  </si>
  <si>
    <t xml:space="preserve"> KPCB Edge</t>
  </si>
  <si>
    <t xml:space="preserve"> Tellus Partners</t>
  </si>
  <si>
    <t xml:space="preserve"> Archetype</t>
  </si>
  <si>
    <t xml:space="preserve"> Daikin Industries</t>
  </si>
  <si>
    <t xml:space="preserve"> Inspire Corp</t>
  </si>
  <si>
    <t xml:space="preserve"> Japan Post Holdings</t>
  </si>
  <si>
    <t xml:space="preserve"> Musashi Seimitsu Industry Company</t>
  </si>
  <si>
    <t xml:space="preserve"> PNB Inspire Partners</t>
  </si>
  <si>
    <t xml:space="preserve"> Sakura Internet</t>
  </si>
  <si>
    <t xml:space="preserve"> TBS Innovation Partners</t>
  </si>
  <si>
    <t xml:space="preserve"> Topcon</t>
  </si>
  <si>
    <t>AG Capital</t>
  </si>
  <si>
    <t xml:space="preserve"> iMercury Capital</t>
  </si>
  <si>
    <t xml:space="preserve"> OPT SEA</t>
  </si>
  <si>
    <t>Ascension Ventures (UK)</t>
  </si>
  <si>
    <t xml:space="preserve"> Edge Investments</t>
  </si>
  <si>
    <t xml:space="preserve"> Founders Factory</t>
  </si>
  <si>
    <t xml:space="preserve"> The Sandpit</t>
  </si>
  <si>
    <t xml:space="preserve"> Andrew Walsh</t>
  </si>
  <si>
    <t xml:space="preserve"> Grupo Intercom</t>
  </si>
  <si>
    <t>Alan Marshall</t>
  </si>
  <si>
    <t xml:space="preserve"> Artur Stankiewicz</t>
  </si>
  <si>
    <t xml:space="preserve"> Casdin Capital</t>
  </si>
  <si>
    <t xml:space="preserve"> Corey Steffek</t>
  </si>
  <si>
    <t xml:space="preserve"> Cormorant Asset Management</t>
  </si>
  <si>
    <t xml:space="preserve"> Daryoosh Vakhshoori</t>
  </si>
  <si>
    <t xml:space="preserve"> David Walt</t>
  </si>
  <si>
    <t xml:space="preserve"> J. Michael Ramsey</t>
  </si>
  <si>
    <t xml:space="preserve"> James Jorgenson</t>
  </si>
  <si>
    <t xml:space="preserve"> Jay Flatley</t>
  </si>
  <si>
    <t xml:space="preserve"> Kevin Hrusovsky</t>
  </si>
  <si>
    <t xml:space="preserve"> Manuel Méndez</t>
  </si>
  <si>
    <t xml:space="preserve"> Mark Spoto</t>
  </si>
  <si>
    <t xml:space="preserve"> Martin D. Madaus</t>
  </si>
  <si>
    <t xml:space="preserve"> Nicolas Barthelemy</t>
  </si>
  <si>
    <t xml:space="preserve"> Nicolas Roelofs</t>
  </si>
  <si>
    <t xml:space="preserve"> Paul Meister</t>
  </si>
  <si>
    <t xml:space="preserve"> R. Douglas Kahn</t>
  </si>
  <si>
    <t xml:space="preserve"> Stephen Reeves</t>
  </si>
  <si>
    <t xml:space="preserve"> The University of Tokyo Edge Capital</t>
  </si>
  <si>
    <t xml:space="preserve"> Andrew Hendricks</t>
  </si>
  <si>
    <t xml:space="preserve"> ICE Angels</t>
  </si>
  <si>
    <t xml:space="preserve"> John Hendricks</t>
  </si>
  <si>
    <t xml:space="preserve"> Kevin Wall</t>
  </si>
  <si>
    <t xml:space="preserve"> seed + speed Ventures</t>
  </si>
  <si>
    <t>Presidio Ventures</t>
  </si>
  <si>
    <t>Ivy Capital Partners</t>
  </si>
  <si>
    <t>Holton Investments</t>
  </si>
  <si>
    <t xml:space="preserve"> Sverica Capital Management</t>
  </si>
  <si>
    <t>ACE Management Equity Partner</t>
  </si>
  <si>
    <t xml:space="preserve"> Cross Atlantic Ventures</t>
  </si>
  <si>
    <t xml:space="preserve"> Innovation Capital (Paris)</t>
  </si>
  <si>
    <t xml:space="preserve"> TechFund Europe</t>
  </si>
  <si>
    <t xml:space="preserve"> Thales Group</t>
  </si>
  <si>
    <t xml:space="preserve"> Simplexity Services</t>
  </si>
  <si>
    <t xml:space="preserve"> The Team Group</t>
  </si>
  <si>
    <t>Big Basin Partners</t>
  </si>
  <si>
    <t xml:space="preserve"> Mezzanine Capital Partners</t>
  </si>
  <si>
    <t xml:space="preserve"> Sand Hill Capital</t>
  </si>
  <si>
    <t xml:space="preserve"> Solution Financial</t>
  </si>
  <si>
    <t xml:space="preserve"> Trocadero Capital Partners</t>
  </si>
  <si>
    <t>Daniel Lubetzky</t>
  </si>
  <si>
    <t xml:space="preserve"> Encore Consumer Capital</t>
  </si>
  <si>
    <t xml:space="preserve"> Iron Yard Ventures</t>
  </si>
  <si>
    <t xml:space="preserve"> UPMC Enterprises</t>
  </si>
  <si>
    <t>Arthur Kosten</t>
  </si>
  <si>
    <t xml:space="preserve"> Endeit Capital</t>
  </si>
  <si>
    <t xml:space="preserve"> Erik de Bruijn</t>
  </si>
  <si>
    <t xml:space="preserve"> Michiel Dekkers</t>
  </si>
  <si>
    <t xml:space="preserve"> RockStart</t>
  </si>
  <si>
    <t xml:space="preserve"> Sander van der Blonk</t>
  </si>
  <si>
    <t xml:space="preserve"> Zeeburg Investments</t>
  </si>
  <si>
    <t>Nagase &amp; Company</t>
  </si>
  <si>
    <t>Carmen Innovation</t>
  </si>
  <si>
    <t xml:space="preserve"> Ohio Tech Angels</t>
  </si>
  <si>
    <t xml:space="preserve"> SVG Ventures</t>
  </si>
  <si>
    <t xml:space="preserve"> Thrive Accelerator</t>
  </si>
  <si>
    <t>KDC Media Fund</t>
  </si>
  <si>
    <t xml:space="preserve"> Mainstream Renewable Power</t>
  </si>
  <si>
    <t xml:space="preserve"> Netherlands Enterprise Agency</t>
  </si>
  <si>
    <t xml:space="preserve"> Oost NL</t>
  </si>
  <si>
    <t xml:space="preserve"> Allianz Global Investors</t>
  </si>
  <si>
    <t xml:space="preserve"> Allianz X</t>
  </si>
  <si>
    <t xml:space="preserve"> Breakoff Capital</t>
  </si>
  <si>
    <t xml:space="preserve"> Royal Bank of Scotland</t>
  </si>
  <si>
    <t>Active Investors by Column</t>
  </si>
  <si>
    <t>All Active Investors</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</si>
</sst>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0.00;[Red]\(#,##0.00\)"/>
    <numFmt numFmtId="165" formatCode="#,##0;[Red]\(#,##0\)"/>
    <numFmt numFmtId="166" formatCode="0000"/>
    <numFmt numFmtId="167" formatCode="#,###"/>
    <numFmt numFmtId="168" formatCode="dd\-mmm\-yyyy"/>
    <numFmt numFmtId="169" formatCode="#,##0.00&quot;%&quot;;[Red]\-#,##0.00&quot;%&quot;"/>
    <numFmt numFmtId="170" formatCode="#,##0;"/>
    <numFmt numFmtId="171" formatCode="#,##0.00\x;[Red]\-#,##0.00\x"/>
  </numFmts>
  <fonts count="17" x14ac:knownFonts="1">
    <font>
      <sz val="11"/>
      <color theme="1"/>
      <name val="Calibri"/>
      <family val="2"/>
      <scheme val="minor"/>
    </font>
    <font>
      <sz val="10"/>
      <name val="Arial"/>
      <family val="2"/>
      <charset val="204"/>
    </font>
    <font>
      <b/>
      <sz val="8"/>
      <color indexed="9"/>
      <name val="Arial"/>
    </font>
    <font>
      <sz val="8"/>
      <name val="Arial"/>
    </font>
    <font>
      <sz val="8"/>
      <name val="Arial"/>
    </font>
    <font>
      <sz val="8"/>
      <name val="Arial"/>
    </font>
    <font>
      <sz val="8"/>
      <name val="Arial"/>
    </font>
    <font>
      <sz val="8"/>
      <name val="Arial"/>
    </font>
    <font>
      <sz val="8"/>
      <name val="Arial"/>
    </font>
    <font>
      <sz val="8"/>
      <name val="Arial"/>
    </font>
    <font>
      <sz val="8"/>
      <name val="Arial"/>
    </font>
    <font>
      <sz val="8"/>
      <name val="Arial"/>
    </font>
    <font>
      <sz val="8"/>
      <name val="Arial"/>
    </font>
    <font>
      <sz val="8"/>
      <name val="Arial"/>
    </font>
    <font>
      <sz val="8"/>
      <name val="Arial"/>
    </font>
    <font>
      <sz val="8"/>
      <name val="Arial"/>
    </font>
    <font>
      <sz val="8"/>
      <color rgb="FF0000FF"/>
      <name val="Calibri"/>
    </font>
  </fonts>
  <fills count="5">
    <fill>
      <patternFill patternType="none"/>
    </fill>
    <fill>
      <patternFill patternType="gray125"/>
    </fill>
    <fill>
      <patternFill patternType="solid">
        <fgColor rgb="FF4F81BD"/>
      </patternFill>
    </fill>
    <fill>
      <patternFill patternType="solid">
        <fgColor rgb="FFEEF3F8"/>
      </patternFill>
    </fill>
    <fill>
      <patternFill patternType="solid">
        <fgColor rgb="FFFFFFFF"/>
      </patternFill>
    </fill>
  </fills>
  <borders count="4">
    <border>
      <left/>
      <right/>
      <top/>
      <bottom/>
      <diagonal/>
    </border>
    <border>
      <left/>
      <right/>
      <top style="thin">
        <color indexed="8"/>
      </top>
      <bottom/>
      <diagonal/>
    </border>
    <border>
      <left/>
      <right style="thin">
        <color indexed="8"/>
      </right>
      <top style="thin">
        <color indexed="8"/>
      </top>
      <bottom/>
      <diagonal/>
    </border>
    <border>
      <left/>
      <right style="dotted">
        <color rgb="FF969696"/>
      </right>
      <top/>
      <bottom/>
      <diagonal/>
    </border>
  </borders>
  <cellStyleXfs count="2">
    <xf numFmtId="0" fontId="0" fillId="0" borderId="0"/>
    <xf numFmtId="0" fontId="1" fillId="0" borderId="0"/>
  </cellStyleXfs>
  <cellXfs count="41">
    <xf numFmtId="0" fontId="0" fillId="0" borderId="0" xfId="0"/>
    <xf numFmtId="0" fontId="2" fillId="2" borderId="1" xfId="0" applyFont="1" applyFill="1" applyBorder="1" applyAlignment="1">
      <alignment horizontal="center" vertical="center" wrapText="1"/>
    </xf>
    <xf numFmtId="0" fontId="4" fillId="3" borderId="3" xfId="0" applyFont="1" applyFill="1" applyBorder="1" applyAlignment="1">
      <alignment vertical="top" indent="1"/>
    </xf>
    <xf numFmtId="0" fontId="5" fillId="3" borderId="3" xfId="0" applyFont="1" applyFill="1" applyBorder="1" applyAlignment="1">
      <alignment vertical="top" indent="1"/>
    </xf>
    <xf numFmtId="0" fontId="6" fillId="3" borderId="3" xfId="0" applyFont="1" applyFill="1" applyBorder="1" applyAlignment="1">
      <alignment vertical="top" indent="1"/>
    </xf>
    <xf numFmtId="0" fontId="7" fillId="3" borderId="3" xfId="0" applyFont="1" applyFill="1" applyBorder="1" applyAlignment="1">
      <alignment vertical="top" indent="1"/>
    </xf>
    <xf numFmtId="0" fontId="8" fillId="3" borderId="3" xfId="0" applyFont="1" applyFill="1" applyBorder="1" applyAlignment="1">
      <alignment vertical="top" indent="1"/>
    </xf>
    <xf numFmtId="167" fontId="9" fillId="3" borderId="3" xfId="0" applyNumberFormat="1" applyFont="1" applyFill="1" applyBorder="1" applyAlignment="1">
      <alignment horizontal="right" vertical="top" indent="1"/>
    </xf>
    <xf numFmtId="0" fontId="10" fillId="4" borderId="3" xfId="0" applyFont="1" applyFill="1" applyBorder="1" applyAlignment="1">
      <alignment vertical="top" indent="1"/>
    </xf>
    <xf numFmtId="0" fontId="11" fillId="4" borderId="3" xfId="0" applyFont="1" applyFill="1" applyBorder="1" applyAlignment="1">
      <alignment vertical="top" indent="1"/>
    </xf>
    <xf numFmtId="0" fontId="12" fillId="4" borderId="3" xfId="0" applyFont="1" applyFill="1" applyBorder="1" applyAlignment="1">
      <alignment vertical="top" indent="1"/>
    </xf>
    <xf numFmtId="0" fontId="13" fillId="4" borderId="3" xfId="0" applyFont="1" applyFill="1" applyBorder="1" applyAlignment="1">
      <alignment vertical="top" indent="1"/>
    </xf>
    <xf numFmtId="0" fontId="14" fillId="4" borderId="3" xfId="0" applyFont="1" applyFill="1" applyBorder="1" applyAlignment="1">
      <alignment vertical="top" indent="1"/>
    </xf>
    <xf numFmtId="167" fontId="15" fillId="4" borderId="3" xfId="0" applyNumberFormat="1" applyFont="1" applyFill="1" applyBorder="1" applyAlignment="1">
      <alignment horizontal="right" vertical="top" indent="1"/>
    </xf>
    <xf numFmtId="0" fontId="16" fillId="3" borderId="3" xfId="0" applyFont="1" applyFill="1" applyBorder="1" applyAlignment="1">
      <alignment horizontal="left" vertical="top" indent="1"/>
    </xf>
    <xf numFmtId="0" fontId="3" fillId="3" borderId="3" xfId="0" applyFont="1" applyFill="1" applyBorder="1" applyAlignment="1">
      <alignment vertical="top" indent="1"/>
    </xf>
    <xf numFmtId="0" fontId="2" fillId="2" borderId="2" xfId="0" applyFont="1" applyFill="1" applyBorder="1" applyAlignment="1">
      <alignment horizontal="center" vertical="center" wrapText="1"/>
    </xf>
    <xf numFmtId="164" fontId="3" fillId="3" borderId="3" xfId="0" applyNumberFormat="1" applyFont="1" applyFill="1" applyBorder="1" applyAlignment="1">
      <alignment horizontal="right" vertical="top" indent="1"/>
    </xf>
    <xf numFmtId="165" fontId="3" fillId="3" borderId="3" xfId="0" applyNumberFormat="1" applyFont="1" applyFill="1" applyBorder="1" applyAlignment="1">
      <alignment horizontal="right" vertical="top" indent="1"/>
    </xf>
    <xf numFmtId="166" fontId="3" fillId="3" borderId="3" xfId="0" applyNumberFormat="1" applyFont="1" applyFill="1" applyBorder="1" applyAlignment="1">
      <alignment horizontal="right" vertical="top" indent="1"/>
    </xf>
    <xf numFmtId="4" fontId="3" fillId="3" borderId="3" xfId="0" applyNumberFormat="1" applyFont="1" applyFill="1" applyBorder="1" applyAlignment="1">
      <alignment horizontal="right" vertical="top" indent="1"/>
    </xf>
    <xf numFmtId="167" fontId="3" fillId="3" borderId="3" xfId="0" applyNumberFormat="1" applyFont="1" applyFill="1" applyBorder="1" applyAlignment="1">
      <alignment horizontal="right" vertical="top" indent="1"/>
    </xf>
    <xf numFmtId="168" fontId="3" fillId="3" borderId="3" xfId="0" applyNumberFormat="1" applyFont="1" applyFill="1" applyBorder="1" applyAlignment="1">
      <alignment horizontal="right" vertical="top" indent="1"/>
    </xf>
    <xf numFmtId="169" fontId="3" fillId="3" borderId="3" xfId="0" applyNumberFormat="1" applyFont="1" applyFill="1" applyBorder="1" applyAlignment="1">
      <alignment horizontal="right" vertical="top" indent="1"/>
    </xf>
    <xf numFmtId="170" fontId="3" fillId="3" borderId="3" xfId="0" applyNumberFormat="1" applyFont="1" applyFill="1" applyBorder="1" applyAlignment="1">
      <alignment horizontal="right" vertical="top" indent="1"/>
    </xf>
    <xf numFmtId="171" fontId="3" fillId="3" borderId="3" xfId="0" applyNumberFormat="1" applyFont="1" applyFill="1" applyBorder="1" applyAlignment="1">
      <alignment horizontal="right" vertical="top" indent="1"/>
    </xf>
    <xf numFmtId="38" fontId="3" fillId="3" borderId="3" xfId="0" applyNumberFormat="1" applyFont="1" applyFill="1" applyBorder="1" applyAlignment="1">
      <alignment horizontal="right" vertical="top" indent="1"/>
    </xf>
    <xf numFmtId="40" fontId="3" fillId="3" borderId="3" xfId="0" applyNumberFormat="1" applyFont="1" applyFill="1" applyBorder="1" applyAlignment="1">
      <alignment horizontal="right" vertical="top" indent="1"/>
    </xf>
    <xf numFmtId="0" fontId="3" fillId="4" borderId="3" xfId="0" applyFont="1" applyFill="1" applyBorder="1" applyAlignment="1">
      <alignment vertical="top" indent="1"/>
    </xf>
    <xf numFmtId="164" fontId="3" fillId="4" borderId="3" xfId="0" applyNumberFormat="1" applyFont="1" applyFill="1" applyBorder="1" applyAlignment="1">
      <alignment horizontal="right" vertical="top" indent="1"/>
    </xf>
    <xf numFmtId="165" fontId="3" fillId="4" borderId="3" xfId="0" applyNumberFormat="1" applyFont="1" applyFill="1" applyBorder="1" applyAlignment="1">
      <alignment horizontal="right" vertical="top" indent="1"/>
    </xf>
    <xf numFmtId="166" fontId="3" fillId="4" borderId="3" xfId="0" applyNumberFormat="1" applyFont="1" applyFill="1" applyBorder="1" applyAlignment="1">
      <alignment horizontal="right" vertical="top" indent="1"/>
    </xf>
    <xf numFmtId="4" fontId="3" fillId="4" borderId="3" xfId="0" applyNumberFormat="1" applyFont="1" applyFill="1" applyBorder="1" applyAlignment="1">
      <alignment horizontal="right" vertical="top" indent="1"/>
    </xf>
    <xf numFmtId="167" fontId="3" fillId="4" borderId="3" xfId="0" applyNumberFormat="1" applyFont="1" applyFill="1" applyBorder="1" applyAlignment="1">
      <alignment horizontal="right" vertical="top" indent="1"/>
    </xf>
    <xf numFmtId="168" fontId="3" fillId="4" borderId="3" xfId="0" applyNumberFormat="1" applyFont="1" applyFill="1" applyBorder="1" applyAlignment="1">
      <alignment horizontal="right" vertical="top" indent="1"/>
    </xf>
    <xf numFmtId="169" fontId="3" fillId="4" borderId="3" xfId="0" applyNumberFormat="1" applyFont="1" applyFill="1" applyBorder="1" applyAlignment="1">
      <alignment horizontal="right" vertical="top" indent="1"/>
    </xf>
    <xf numFmtId="170" fontId="3" fillId="4" borderId="3" xfId="0" applyNumberFormat="1" applyFont="1" applyFill="1" applyBorder="1" applyAlignment="1">
      <alignment horizontal="right" vertical="top" indent="1"/>
    </xf>
    <xf numFmtId="171" fontId="3" fillId="4" borderId="3" xfId="0" applyNumberFormat="1" applyFont="1" applyFill="1" applyBorder="1" applyAlignment="1">
      <alignment horizontal="right" vertical="top" indent="1"/>
    </xf>
    <xf numFmtId="38" fontId="3" fillId="4" borderId="3" xfId="0" applyNumberFormat="1" applyFont="1" applyFill="1" applyBorder="1" applyAlignment="1">
      <alignment horizontal="right" vertical="top" indent="1"/>
    </xf>
    <xf numFmtId="40" fontId="3" fillId="4" borderId="3" xfId="0" applyNumberFormat="1" applyFont="1" applyFill="1" applyBorder="1" applyAlignment="1">
      <alignment horizontal="right" vertical="top" indent="1"/>
    </xf>
    <xf numFmtId="0" fontId="16" fillId="4" borderId="3" xfId="0" applyFont="1" applyFill="1" applyBorder="1" applyAlignment="1">
      <alignment horizontal="left" vertical="top" indent="1"/>
    </xf>
  </cellXfs>
  <cellStyles count="2">
    <cellStyle name="Normal" xfId="0" builtinId="0"/>
    <cellStyle name="Norma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1998"/>
  <sheetViews>
    <sheetView showGridLines="0" topLeftCell="CI1" workbookViewId="0">
      <selection activeCell="A2" sqref="A1:DK1998"/>
    </sheetView>
  </sheetViews>
  <sheetFormatPr baseColWidth="10" defaultColWidth="8.83203125" defaultRowHeight="14" x14ac:dyDescent="0"/>
  <cols>
    <col min="1" max="1" width="54.5" customWidth="1" collapsed="1"/>
    <col min="2" max="2" width="21.5" customWidth="1"/>
    <col min="3" max="3" width="30.5" customWidth="1" collapsed="1"/>
    <col min="4" max="4" width="29.5" customWidth="1" collapsed="1"/>
    <col min="5" max="7" width="29.5" customWidth="1"/>
    <col min="8" max="8" width="23.5" customWidth="1"/>
    <col min="9" max="72" width="28.83203125" customWidth="1"/>
  </cols>
  <sheetData>
    <row r="1" spans="1:72" ht="35" customHeight="1">
      <c r="A1" s="1" t="s">
        <v>1</v>
      </c>
      <c r="B1" s="1" t="s">
        <v>18</v>
      </c>
      <c r="C1" s="1" t="s">
        <v>2</v>
      </c>
      <c r="D1" s="1" t="s">
        <v>3</v>
      </c>
      <c r="E1" s="1" t="s">
        <v>44</v>
      </c>
      <c r="F1" s="1" t="s">
        <v>45</v>
      </c>
      <c r="G1" s="1" t="s">
        <v>47</v>
      </c>
      <c r="H1" s="1" t="s">
        <v>55</v>
      </c>
      <c r="I1" s="1" t="s">
        <v>46365</v>
      </c>
      <c r="J1" s="1" t="s">
        <v>46364</v>
      </c>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row>
    <row r="2" spans="1:72">
      <c r="A2" s="2" t="s">
        <v>136</v>
      </c>
      <c r="B2" s="5" t="s">
        <v>151</v>
      </c>
      <c r="C2" s="3" t="s">
        <v>137</v>
      </c>
      <c r="D2" s="4" t="s">
        <v>138</v>
      </c>
      <c r="E2" s="15" t="s">
        <v>159</v>
      </c>
      <c r="F2" s="15" t="s">
        <v>160</v>
      </c>
      <c r="G2" s="15" t="s">
        <v>162</v>
      </c>
      <c r="H2" s="7">
        <v>7</v>
      </c>
      <c r="I2" s="6" t="s">
        <v>167</v>
      </c>
      <c r="J2" s="6" t="s">
        <v>37762</v>
      </c>
      <c r="K2" s="6" t="s">
        <v>37763</v>
      </c>
      <c r="L2" s="6" t="s">
        <v>37764</v>
      </c>
      <c r="M2" s="6" t="s">
        <v>37765</v>
      </c>
      <c r="N2" s="6" t="s">
        <v>37766</v>
      </c>
      <c r="O2" s="6" t="s">
        <v>37767</v>
      </c>
      <c r="P2" s="6" t="s">
        <v>37768</v>
      </c>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c r="A3" s="8" t="s">
        <v>180</v>
      </c>
      <c r="B3" s="11" t="s">
        <v>190</v>
      </c>
      <c r="C3" s="9" t="s">
        <v>138</v>
      </c>
      <c r="D3" s="10" t="s">
        <v>138</v>
      </c>
      <c r="E3" s="28" t="s">
        <v>199</v>
      </c>
      <c r="F3" s="28" t="s">
        <v>200</v>
      </c>
      <c r="G3" s="28" t="s">
        <v>162</v>
      </c>
      <c r="H3" s="13">
        <v>2</v>
      </c>
      <c r="I3" s="12" t="s">
        <v>202</v>
      </c>
      <c r="J3" s="12" t="s">
        <v>37769</v>
      </c>
      <c r="K3" s="12" t="s">
        <v>37770</v>
      </c>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row>
    <row r="4" spans="1:72">
      <c r="A4" s="2" t="s">
        <v>209</v>
      </c>
      <c r="B4" s="5" t="s">
        <v>217</v>
      </c>
      <c r="C4" s="3" t="s">
        <v>138</v>
      </c>
      <c r="D4" s="4" t="s">
        <v>138</v>
      </c>
      <c r="E4" s="15" t="s">
        <v>227</v>
      </c>
      <c r="F4" s="15" t="s">
        <v>228</v>
      </c>
      <c r="G4" s="15" t="s">
        <v>162</v>
      </c>
      <c r="H4" s="7">
        <v>14</v>
      </c>
      <c r="I4" s="6" t="s">
        <v>232</v>
      </c>
      <c r="J4" s="6" t="s">
        <v>37771</v>
      </c>
      <c r="K4" s="6" t="s">
        <v>37772</v>
      </c>
      <c r="L4" s="6" t="s">
        <v>37773</v>
      </c>
      <c r="M4" s="6" t="s">
        <v>37774</v>
      </c>
      <c r="N4" s="6" t="s">
        <v>37775</v>
      </c>
      <c r="O4" s="6" t="s">
        <v>37776</v>
      </c>
      <c r="P4" s="6" t="s">
        <v>37777</v>
      </c>
      <c r="Q4" s="6" t="s">
        <v>37778</v>
      </c>
      <c r="R4" s="6" t="s">
        <v>37779</v>
      </c>
      <c r="S4" s="6" t="s">
        <v>37780</v>
      </c>
      <c r="T4" s="6" t="s">
        <v>37781</v>
      </c>
      <c r="U4" s="6" t="s">
        <v>37782</v>
      </c>
      <c r="V4" s="6" t="s">
        <v>37783</v>
      </c>
      <c r="W4" s="6" t="s">
        <v>37784</v>
      </c>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c r="A5" s="8" t="s">
        <v>236</v>
      </c>
      <c r="B5" s="11" t="s">
        <v>245</v>
      </c>
      <c r="C5" s="9" t="s">
        <v>138</v>
      </c>
      <c r="D5" s="10" t="s">
        <v>138</v>
      </c>
      <c r="E5" s="28" t="s">
        <v>254</v>
      </c>
      <c r="F5" s="28" t="s">
        <v>200</v>
      </c>
      <c r="G5" s="28" t="s">
        <v>162</v>
      </c>
      <c r="H5" s="13">
        <v>5</v>
      </c>
      <c r="I5" s="12" t="s">
        <v>259</v>
      </c>
      <c r="J5" s="12" t="s">
        <v>37785</v>
      </c>
      <c r="K5" s="12" t="s">
        <v>37786</v>
      </c>
      <c r="L5" s="12" t="s">
        <v>37787</v>
      </c>
      <c r="M5" s="12" t="s">
        <v>37788</v>
      </c>
      <c r="N5" s="12" t="s">
        <v>37789</v>
      </c>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row>
    <row r="6" spans="1:72">
      <c r="A6" s="2" t="s">
        <v>267</v>
      </c>
      <c r="B6" s="5" t="s">
        <v>274</v>
      </c>
      <c r="C6" s="3" t="s">
        <v>138</v>
      </c>
      <c r="D6" s="4" t="s">
        <v>138</v>
      </c>
      <c r="E6" s="15" t="s">
        <v>283</v>
      </c>
      <c r="F6" s="15" t="s">
        <v>284</v>
      </c>
      <c r="G6" s="15" t="s">
        <v>162</v>
      </c>
      <c r="H6" s="7">
        <v>3</v>
      </c>
      <c r="I6" s="6" t="s">
        <v>288</v>
      </c>
      <c r="J6" s="6" t="s">
        <v>37790</v>
      </c>
      <c r="K6" s="6" t="s">
        <v>37791</v>
      </c>
      <c r="L6" s="6" t="s">
        <v>37792</v>
      </c>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c r="A7" s="8" t="s">
        <v>292</v>
      </c>
      <c r="B7" s="11" t="s">
        <v>300</v>
      </c>
      <c r="C7" s="9" t="s">
        <v>293</v>
      </c>
      <c r="D7" s="10" t="s">
        <v>138</v>
      </c>
      <c r="E7" s="28" t="s">
        <v>310</v>
      </c>
      <c r="F7" s="28" t="s">
        <v>200</v>
      </c>
      <c r="G7" s="28" t="s">
        <v>162</v>
      </c>
      <c r="H7" s="13">
        <v>18</v>
      </c>
      <c r="I7" s="12" t="s">
        <v>313</v>
      </c>
      <c r="J7" s="12" t="s">
        <v>37793</v>
      </c>
      <c r="K7" s="12" t="s">
        <v>37794</v>
      </c>
      <c r="L7" s="12" t="s">
        <v>37795</v>
      </c>
      <c r="M7" s="12" t="s">
        <v>37796</v>
      </c>
      <c r="N7" s="12" t="s">
        <v>37797</v>
      </c>
      <c r="O7" s="12" t="s">
        <v>37798</v>
      </c>
      <c r="P7" s="12" t="s">
        <v>37799</v>
      </c>
      <c r="Q7" s="12" t="s">
        <v>37800</v>
      </c>
      <c r="R7" s="12" t="s">
        <v>37801</v>
      </c>
      <c r="S7" s="12" t="s">
        <v>37802</v>
      </c>
      <c r="T7" s="12" t="s">
        <v>37803</v>
      </c>
      <c r="U7" s="12" t="s">
        <v>37804</v>
      </c>
      <c r="V7" s="12" t="s">
        <v>37805</v>
      </c>
      <c r="W7" s="12" t="s">
        <v>37806</v>
      </c>
      <c r="X7" s="12" t="s">
        <v>37807</v>
      </c>
      <c r="Y7" s="12" t="s">
        <v>37808</v>
      </c>
      <c r="Z7" s="12" t="s">
        <v>37809</v>
      </c>
      <c r="AA7" s="12" t="s">
        <v>37810</v>
      </c>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row>
    <row r="8" spans="1:72">
      <c r="A8" s="2" t="s">
        <v>319</v>
      </c>
      <c r="B8" s="5" t="s">
        <v>329</v>
      </c>
      <c r="C8" s="3" t="s">
        <v>138</v>
      </c>
      <c r="D8" s="4" t="s">
        <v>138</v>
      </c>
      <c r="E8" s="15" t="s">
        <v>338</v>
      </c>
      <c r="F8" s="15" t="s">
        <v>339</v>
      </c>
      <c r="G8" s="15" t="s">
        <v>162</v>
      </c>
      <c r="H8" s="7">
        <v>20</v>
      </c>
      <c r="I8" s="6" t="s">
        <v>343</v>
      </c>
      <c r="J8" s="6" t="s">
        <v>37811</v>
      </c>
      <c r="K8" s="6" t="s">
        <v>37812</v>
      </c>
      <c r="L8" s="6" t="s">
        <v>37813</v>
      </c>
      <c r="M8" s="6" t="s">
        <v>37814</v>
      </c>
      <c r="N8" s="6" t="s">
        <v>37815</v>
      </c>
      <c r="O8" s="6" t="s">
        <v>37816</v>
      </c>
      <c r="P8" s="6" t="s">
        <v>37817</v>
      </c>
      <c r="Q8" s="6" t="s">
        <v>37818</v>
      </c>
      <c r="R8" s="6" t="s">
        <v>37819</v>
      </c>
      <c r="S8" s="6" t="s">
        <v>37820</v>
      </c>
      <c r="T8" s="6" t="s">
        <v>37821</v>
      </c>
      <c r="U8" s="6" t="s">
        <v>37822</v>
      </c>
      <c r="V8" s="6" t="s">
        <v>37823</v>
      </c>
      <c r="W8" s="6" t="s">
        <v>37824</v>
      </c>
      <c r="X8" s="6" t="s">
        <v>37825</v>
      </c>
      <c r="Y8" s="6" t="s">
        <v>37826</v>
      </c>
      <c r="Z8" s="6" t="s">
        <v>37827</v>
      </c>
      <c r="AA8" s="6" t="s">
        <v>37828</v>
      </c>
      <c r="AB8" s="6" t="s">
        <v>37829</v>
      </c>
      <c r="AC8" s="6" t="s">
        <v>37830</v>
      </c>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c r="A9" s="8" t="s">
        <v>354</v>
      </c>
      <c r="B9" s="11" t="s">
        <v>361</v>
      </c>
      <c r="C9" s="9" t="s">
        <v>138</v>
      </c>
      <c r="D9" s="10" t="s">
        <v>138</v>
      </c>
      <c r="E9" s="28" t="s">
        <v>370</v>
      </c>
      <c r="F9" s="28" t="s">
        <v>371</v>
      </c>
      <c r="G9" s="28" t="s">
        <v>162</v>
      </c>
      <c r="H9" s="13">
        <v>12</v>
      </c>
      <c r="I9" s="12" t="s">
        <v>375</v>
      </c>
      <c r="J9" s="12" t="s">
        <v>36904</v>
      </c>
      <c r="K9" s="12" t="s">
        <v>37831</v>
      </c>
      <c r="L9" s="12" t="s">
        <v>37832</v>
      </c>
      <c r="M9" s="12" t="s">
        <v>37833</v>
      </c>
      <c r="N9" s="12" t="s">
        <v>37834</v>
      </c>
      <c r="O9" s="12" t="s">
        <v>37835</v>
      </c>
      <c r="P9" s="12" t="s">
        <v>37836</v>
      </c>
      <c r="Q9" s="12" t="s">
        <v>37837</v>
      </c>
      <c r="R9" s="12" t="s">
        <v>37838</v>
      </c>
      <c r="S9" s="12" t="s">
        <v>37839</v>
      </c>
      <c r="T9" s="12" t="s">
        <v>37840</v>
      </c>
      <c r="U9" s="12" t="s">
        <v>37841</v>
      </c>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row>
    <row r="10" spans="1:72">
      <c r="A10" s="2" t="s">
        <v>381</v>
      </c>
      <c r="B10" s="5" t="s">
        <v>391</v>
      </c>
      <c r="C10" s="3" t="s">
        <v>382</v>
      </c>
      <c r="D10" s="4" t="s">
        <v>138</v>
      </c>
      <c r="E10" s="15" t="s">
        <v>399</v>
      </c>
      <c r="F10" s="15" t="s">
        <v>138</v>
      </c>
      <c r="G10" s="15" t="s">
        <v>400</v>
      </c>
      <c r="H10" s="7">
        <v>32</v>
      </c>
      <c r="I10" s="6" t="s">
        <v>404</v>
      </c>
      <c r="J10" s="6" t="s">
        <v>37842</v>
      </c>
      <c r="K10" s="6" t="s">
        <v>37843</v>
      </c>
      <c r="L10" s="6" t="s">
        <v>37844</v>
      </c>
      <c r="M10" s="6" t="s">
        <v>37845</v>
      </c>
      <c r="N10" s="6" t="s">
        <v>37846</v>
      </c>
      <c r="O10" s="6" t="s">
        <v>37847</v>
      </c>
      <c r="P10" s="6" t="s">
        <v>37848</v>
      </c>
      <c r="Q10" s="6" t="s">
        <v>37849</v>
      </c>
      <c r="R10" s="6" t="s">
        <v>37850</v>
      </c>
      <c r="S10" s="6" t="s">
        <v>37851</v>
      </c>
      <c r="T10" s="6" t="s">
        <v>37852</v>
      </c>
      <c r="U10" s="6" t="s">
        <v>37853</v>
      </c>
      <c r="V10" s="6" t="s">
        <v>37854</v>
      </c>
      <c r="W10" s="6" t="s">
        <v>37855</v>
      </c>
      <c r="X10" s="6" t="s">
        <v>37856</v>
      </c>
      <c r="Y10" s="6" t="s">
        <v>37857</v>
      </c>
      <c r="Z10" s="6" t="s">
        <v>37858</v>
      </c>
      <c r="AA10" s="6" t="s">
        <v>37859</v>
      </c>
      <c r="AB10" s="6" t="s">
        <v>37860</v>
      </c>
      <c r="AC10" s="6" t="s">
        <v>37861</v>
      </c>
      <c r="AD10" s="6" t="s">
        <v>37862</v>
      </c>
      <c r="AE10" s="6" t="s">
        <v>37863</v>
      </c>
      <c r="AF10" s="6" t="s">
        <v>37864</v>
      </c>
      <c r="AG10" s="6" t="s">
        <v>37865</v>
      </c>
      <c r="AH10" s="6" t="s">
        <v>37866</v>
      </c>
      <c r="AI10" s="6" t="s">
        <v>37867</v>
      </c>
      <c r="AJ10" s="6" t="s">
        <v>37868</v>
      </c>
      <c r="AK10" s="6" t="s">
        <v>37869</v>
      </c>
      <c r="AL10" s="6" t="s">
        <v>37870</v>
      </c>
      <c r="AM10" s="6" t="s">
        <v>37871</v>
      </c>
      <c r="AN10" s="6" t="s">
        <v>37872</v>
      </c>
      <c r="AO10" s="6" t="s">
        <v>37873</v>
      </c>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c r="A11" s="8" t="s">
        <v>410</v>
      </c>
      <c r="B11" s="11" t="s">
        <v>417</v>
      </c>
      <c r="C11" s="9" t="s">
        <v>138</v>
      </c>
      <c r="D11" s="10" t="s">
        <v>138</v>
      </c>
      <c r="E11" s="28" t="s">
        <v>426</v>
      </c>
      <c r="F11" s="28" t="s">
        <v>426</v>
      </c>
      <c r="G11" s="28" t="s">
        <v>162</v>
      </c>
      <c r="H11" s="13">
        <v>14</v>
      </c>
      <c r="I11" s="12" t="s">
        <v>429</v>
      </c>
      <c r="J11" s="12" t="s">
        <v>37874</v>
      </c>
      <c r="K11" s="12" t="s">
        <v>37875</v>
      </c>
      <c r="L11" s="12" t="s">
        <v>37876</v>
      </c>
      <c r="M11" s="12" t="s">
        <v>37877</v>
      </c>
      <c r="N11" s="12" t="s">
        <v>37819</v>
      </c>
      <c r="O11" s="12" t="s">
        <v>37878</v>
      </c>
      <c r="P11" s="12" t="s">
        <v>37879</v>
      </c>
      <c r="Q11" s="12" t="s">
        <v>37880</v>
      </c>
      <c r="R11" s="12" t="s">
        <v>37881</v>
      </c>
      <c r="S11" s="12" t="s">
        <v>37882</v>
      </c>
      <c r="T11" s="12" t="s">
        <v>37883</v>
      </c>
      <c r="U11" s="12" t="s">
        <v>37884</v>
      </c>
      <c r="V11" s="12" t="s">
        <v>37885</v>
      </c>
      <c r="W11" s="12" t="s">
        <v>37886</v>
      </c>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row>
    <row r="12" spans="1:72">
      <c r="A12" s="2" t="s">
        <v>435</v>
      </c>
      <c r="B12" s="5" t="s">
        <v>441</v>
      </c>
      <c r="C12" s="3" t="s">
        <v>138</v>
      </c>
      <c r="D12" s="4" t="s">
        <v>138</v>
      </c>
      <c r="E12" s="15" t="s">
        <v>449</v>
      </c>
      <c r="F12" s="15" t="s">
        <v>138</v>
      </c>
      <c r="G12" s="15" t="s">
        <v>450</v>
      </c>
      <c r="H12" s="7">
        <v>1</v>
      </c>
      <c r="I12" s="6" t="s">
        <v>455</v>
      </c>
      <c r="J12" s="6" t="s">
        <v>455</v>
      </c>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row>
    <row r="13" spans="1:72">
      <c r="A13" s="8" t="s">
        <v>458</v>
      </c>
      <c r="B13" s="11" t="s">
        <v>465</v>
      </c>
      <c r="C13" s="9" t="s">
        <v>138</v>
      </c>
      <c r="D13" s="10" t="s">
        <v>138</v>
      </c>
      <c r="E13" s="28" t="s">
        <v>473</v>
      </c>
      <c r="F13" s="28" t="s">
        <v>474</v>
      </c>
      <c r="G13" s="28" t="s">
        <v>162</v>
      </c>
      <c r="H13" s="13">
        <v>9</v>
      </c>
      <c r="I13" s="12" t="s">
        <v>478</v>
      </c>
      <c r="J13" s="12" t="s">
        <v>37887</v>
      </c>
      <c r="K13" s="12" t="s">
        <v>37888</v>
      </c>
      <c r="L13" s="12" t="s">
        <v>37889</v>
      </c>
      <c r="M13" s="12" t="s">
        <v>37890</v>
      </c>
      <c r="N13" s="12" t="s">
        <v>37891</v>
      </c>
      <c r="O13" s="12" t="s">
        <v>37892</v>
      </c>
      <c r="P13" s="12" t="s">
        <v>37893</v>
      </c>
      <c r="Q13" s="12" t="s">
        <v>37894</v>
      </c>
      <c r="R13" s="12" t="s">
        <v>37895</v>
      </c>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row>
    <row r="14" spans="1:72">
      <c r="A14" s="2" t="s">
        <v>484</v>
      </c>
      <c r="B14" s="5" t="s">
        <v>490</v>
      </c>
      <c r="C14" s="3" t="s">
        <v>138</v>
      </c>
      <c r="D14" s="4" t="s">
        <v>138</v>
      </c>
      <c r="E14" s="15" t="s">
        <v>499</v>
      </c>
      <c r="F14" s="15" t="s">
        <v>138</v>
      </c>
      <c r="G14" s="15" t="s">
        <v>450</v>
      </c>
      <c r="H14" s="7">
        <v>2</v>
      </c>
      <c r="I14" s="6" t="s">
        <v>503</v>
      </c>
      <c r="J14" s="6" t="s">
        <v>16877</v>
      </c>
      <c r="K14" s="6" t="s">
        <v>37896</v>
      </c>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row>
    <row r="15" spans="1:72">
      <c r="A15" s="8" t="s">
        <v>506</v>
      </c>
      <c r="B15" s="11" t="s">
        <v>512</v>
      </c>
      <c r="C15" s="9" t="s">
        <v>138</v>
      </c>
      <c r="D15" s="10" t="s">
        <v>138</v>
      </c>
      <c r="E15" s="28" t="s">
        <v>523</v>
      </c>
      <c r="F15" s="28" t="s">
        <v>524</v>
      </c>
      <c r="G15" s="28" t="s">
        <v>526</v>
      </c>
      <c r="H15" s="13">
        <v>8</v>
      </c>
      <c r="I15" s="12" t="s">
        <v>533</v>
      </c>
      <c r="J15" s="12" t="s">
        <v>18057</v>
      </c>
      <c r="K15" s="12" t="s">
        <v>37897</v>
      </c>
      <c r="L15" s="12" t="s">
        <v>37898</v>
      </c>
      <c r="M15" s="12" t="s">
        <v>37851</v>
      </c>
      <c r="N15" s="12" t="s">
        <v>37899</v>
      </c>
      <c r="O15" s="12" t="s">
        <v>37900</v>
      </c>
      <c r="P15" s="12" t="s">
        <v>37901</v>
      </c>
      <c r="Q15" s="12" t="s">
        <v>37902</v>
      </c>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row>
    <row r="16" spans="1:72">
      <c r="A16" s="2" t="s">
        <v>537</v>
      </c>
      <c r="B16" s="5" t="s">
        <v>544</v>
      </c>
      <c r="C16" s="3" t="s">
        <v>138</v>
      </c>
      <c r="D16" s="4" t="s">
        <v>138</v>
      </c>
      <c r="E16" s="15" t="s">
        <v>426</v>
      </c>
      <c r="F16" s="15" t="s">
        <v>426</v>
      </c>
      <c r="G16" s="15" t="s">
        <v>162</v>
      </c>
      <c r="H16" s="7">
        <v>1</v>
      </c>
      <c r="I16" s="6" t="s">
        <v>552</v>
      </c>
      <c r="J16" s="6" t="s">
        <v>552</v>
      </c>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row>
    <row r="17" spans="1:72">
      <c r="A17" s="8" t="s">
        <v>555</v>
      </c>
      <c r="B17" s="11" t="s">
        <v>562</v>
      </c>
      <c r="C17" s="9" t="s">
        <v>556</v>
      </c>
      <c r="D17" s="10" t="s">
        <v>138</v>
      </c>
      <c r="E17" s="28" t="s">
        <v>571</v>
      </c>
      <c r="F17" s="28" t="s">
        <v>138</v>
      </c>
      <c r="G17" s="28" t="s">
        <v>573</v>
      </c>
      <c r="H17" s="13" t="s">
        <v>138</v>
      </c>
      <c r="I17" s="12" t="s">
        <v>138</v>
      </c>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row>
    <row r="18" spans="1:72">
      <c r="A18" s="2" t="s">
        <v>582</v>
      </c>
      <c r="B18" s="5" t="s">
        <v>588</v>
      </c>
      <c r="C18" s="3" t="s">
        <v>583</v>
      </c>
      <c r="D18" s="4" t="s">
        <v>138</v>
      </c>
      <c r="E18" s="15" t="s">
        <v>596</v>
      </c>
      <c r="F18" s="15" t="s">
        <v>597</v>
      </c>
      <c r="G18" s="15" t="s">
        <v>162</v>
      </c>
      <c r="H18" s="7">
        <v>20</v>
      </c>
      <c r="I18" s="6" t="s">
        <v>601</v>
      </c>
      <c r="J18" s="6" t="s">
        <v>37903</v>
      </c>
      <c r="K18" s="6" t="s">
        <v>37904</v>
      </c>
      <c r="L18" s="6" t="s">
        <v>37819</v>
      </c>
      <c r="M18" s="6" t="s">
        <v>37905</v>
      </c>
      <c r="N18" s="6" t="s">
        <v>37906</v>
      </c>
      <c r="O18" s="6" t="s">
        <v>37907</v>
      </c>
      <c r="P18" s="6" t="s">
        <v>37908</v>
      </c>
      <c r="Q18" s="6" t="s">
        <v>37909</v>
      </c>
      <c r="R18" s="6" t="s">
        <v>37910</v>
      </c>
      <c r="S18" s="6" t="s">
        <v>37911</v>
      </c>
      <c r="T18" s="6" t="s">
        <v>37912</v>
      </c>
      <c r="U18" s="6" t="s">
        <v>37824</v>
      </c>
      <c r="V18" s="6" t="s">
        <v>37913</v>
      </c>
      <c r="W18" s="6" t="s">
        <v>37914</v>
      </c>
      <c r="X18" s="6" t="s">
        <v>37915</v>
      </c>
      <c r="Y18" s="6" t="s">
        <v>37916</v>
      </c>
      <c r="Z18" s="6" t="s">
        <v>37917</v>
      </c>
      <c r="AA18" s="6" t="s">
        <v>37918</v>
      </c>
      <c r="AB18" s="6" t="s">
        <v>37919</v>
      </c>
      <c r="AC18" s="6" t="s">
        <v>37920</v>
      </c>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row>
    <row r="19" spans="1:72">
      <c r="A19" s="8" t="s">
        <v>605</v>
      </c>
      <c r="B19" s="11" t="s">
        <v>611</v>
      </c>
      <c r="C19" s="9" t="s">
        <v>138</v>
      </c>
      <c r="D19" s="10" t="s">
        <v>138</v>
      </c>
      <c r="E19" s="28" t="s">
        <v>426</v>
      </c>
      <c r="F19" s="28" t="s">
        <v>426</v>
      </c>
      <c r="G19" s="28" t="s">
        <v>162</v>
      </c>
      <c r="H19" s="13">
        <v>5</v>
      </c>
      <c r="I19" s="12" t="s">
        <v>621</v>
      </c>
      <c r="J19" s="12" t="s">
        <v>13176</v>
      </c>
      <c r="K19" s="12" t="s">
        <v>37921</v>
      </c>
      <c r="L19" s="12" t="s">
        <v>37786</v>
      </c>
      <c r="M19" s="12" t="s">
        <v>37922</v>
      </c>
      <c r="N19" s="12" t="s">
        <v>37923</v>
      </c>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row>
    <row r="20" spans="1:72">
      <c r="A20" s="2" t="s">
        <v>625</v>
      </c>
      <c r="B20" s="5" t="s">
        <v>631</v>
      </c>
      <c r="C20" s="3" t="s">
        <v>626</v>
      </c>
      <c r="D20" s="4" t="s">
        <v>138</v>
      </c>
      <c r="E20" s="15" t="s">
        <v>642</v>
      </c>
      <c r="F20" s="15" t="s">
        <v>474</v>
      </c>
      <c r="G20" s="15" t="s">
        <v>162</v>
      </c>
      <c r="H20" s="7">
        <v>11</v>
      </c>
      <c r="I20" s="6" t="s">
        <v>647</v>
      </c>
      <c r="J20" s="6" t="s">
        <v>37924</v>
      </c>
      <c r="K20" s="6" t="s">
        <v>37925</v>
      </c>
      <c r="L20" s="6" t="s">
        <v>37926</v>
      </c>
      <c r="M20" s="6" t="s">
        <v>37786</v>
      </c>
      <c r="N20" s="6" t="s">
        <v>37927</v>
      </c>
      <c r="O20" s="6" t="s">
        <v>37928</v>
      </c>
      <c r="P20" s="6" t="s">
        <v>37929</v>
      </c>
      <c r="Q20" s="6" t="s">
        <v>37930</v>
      </c>
      <c r="R20" s="6" t="s">
        <v>37931</v>
      </c>
      <c r="S20" s="6" t="s">
        <v>37915</v>
      </c>
      <c r="T20" s="6" t="s">
        <v>37932</v>
      </c>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row>
    <row r="21" spans="1:72">
      <c r="A21" s="8" t="s">
        <v>652</v>
      </c>
      <c r="B21" s="11" t="s">
        <v>659</v>
      </c>
      <c r="C21" s="9" t="s">
        <v>138</v>
      </c>
      <c r="D21" s="10" t="s">
        <v>138</v>
      </c>
      <c r="E21" s="28" t="s">
        <v>668</v>
      </c>
      <c r="F21" s="28" t="s">
        <v>200</v>
      </c>
      <c r="G21" s="28" t="s">
        <v>162</v>
      </c>
      <c r="H21" s="13">
        <v>47</v>
      </c>
      <c r="I21" s="12" t="s">
        <v>671</v>
      </c>
      <c r="J21" s="12" t="s">
        <v>37933</v>
      </c>
      <c r="K21" s="12" t="s">
        <v>37934</v>
      </c>
      <c r="L21" s="12" t="s">
        <v>37935</v>
      </c>
      <c r="M21" s="12" t="s">
        <v>37936</v>
      </c>
      <c r="N21" s="12" t="s">
        <v>37937</v>
      </c>
      <c r="O21" s="12" t="s">
        <v>37938</v>
      </c>
      <c r="P21" s="12" t="s">
        <v>37939</v>
      </c>
      <c r="Q21" s="12" t="s">
        <v>37940</v>
      </c>
      <c r="R21" s="12" t="s">
        <v>37819</v>
      </c>
      <c r="S21" s="12" t="s">
        <v>37941</v>
      </c>
      <c r="T21" s="12" t="s">
        <v>37942</v>
      </c>
      <c r="U21" s="12" t="s">
        <v>37943</v>
      </c>
      <c r="V21" s="12" t="s">
        <v>37944</v>
      </c>
      <c r="W21" s="12" t="s">
        <v>37945</v>
      </c>
      <c r="X21" s="12" t="s">
        <v>37946</v>
      </c>
      <c r="Y21" s="12" t="s">
        <v>37947</v>
      </c>
      <c r="Z21" s="12" t="s">
        <v>37948</v>
      </c>
      <c r="AA21" s="12" t="s">
        <v>37949</v>
      </c>
      <c r="AB21" s="12" t="s">
        <v>37950</v>
      </c>
      <c r="AC21" s="12" t="s">
        <v>37951</v>
      </c>
      <c r="AD21" s="12" t="s">
        <v>37952</v>
      </c>
      <c r="AE21" s="12" t="s">
        <v>37953</v>
      </c>
      <c r="AF21" s="12" t="s">
        <v>37954</v>
      </c>
      <c r="AG21" s="12" t="s">
        <v>37955</v>
      </c>
      <c r="AH21" s="12" t="s">
        <v>37956</v>
      </c>
      <c r="AI21" s="12" t="s">
        <v>37957</v>
      </c>
      <c r="AJ21" s="12" t="s">
        <v>37958</v>
      </c>
      <c r="AK21" s="12" t="s">
        <v>37959</v>
      </c>
      <c r="AL21" s="12" t="s">
        <v>37960</v>
      </c>
      <c r="AM21" s="12" t="s">
        <v>37961</v>
      </c>
      <c r="AN21" s="12" t="s">
        <v>37962</v>
      </c>
      <c r="AO21" s="12" t="s">
        <v>37963</v>
      </c>
      <c r="AP21" s="12" t="s">
        <v>37964</v>
      </c>
      <c r="AQ21" s="12" t="s">
        <v>37965</v>
      </c>
      <c r="AR21" s="12" t="s">
        <v>37966</v>
      </c>
      <c r="AS21" s="12" t="s">
        <v>37967</v>
      </c>
      <c r="AT21" s="12" t="s">
        <v>37968</v>
      </c>
      <c r="AU21" s="12" t="s">
        <v>37969</v>
      </c>
      <c r="AV21" s="12" t="s">
        <v>37970</v>
      </c>
      <c r="AW21" s="12" t="s">
        <v>37971</v>
      </c>
      <c r="AX21" s="12" t="s">
        <v>37783</v>
      </c>
      <c r="AY21" s="12" t="s">
        <v>37972</v>
      </c>
      <c r="AZ21" s="12" t="s">
        <v>37973</v>
      </c>
      <c r="BA21" s="12" t="s">
        <v>37974</v>
      </c>
      <c r="BB21" s="12" t="s">
        <v>37975</v>
      </c>
      <c r="BC21" s="12" t="s">
        <v>37976</v>
      </c>
      <c r="BD21" s="12" t="s">
        <v>37977</v>
      </c>
      <c r="BE21" s="12"/>
      <c r="BF21" s="12"/>
      <c r="BG21" s="12"/>
      <c r="BH21" s="12"/>
      <c r="BI21" s="12"/>
      <c r="BJ21" s="12"/>
      <c r="BK21" s="12"/>
      <c r="BL21" s="12"/>
      <c r="BM21" s="12"/>
      <c r="BN21" s="12"/>
      <c r="BO21" s="12"/>
      <c r="BP21" s="12"/>
      <c r="BQ21" s="12"/>
      <c r="BR21" s="12"/>
      <c r="BS21" s="12"/>
      <c r="BT21" s="12"/>
    </row>
    <row r="22" spans="1:72">
      <c r="A22" s="2" t="s">
        <v>678</v>
      </c>
      <c r="B22" s="5" t="s">
        <v>685</v>
      </c>
      <c r="C22" s="3" t="s">
        <v>679</v>
      </c>
      <c r="D22" s="4" t="s">
        <v>138</v>
      </c>
      <c r="E22" s="15" t="s">
        <v>668</v>
      </c>
      <c r="F22" s="15" t="s">
        <v>200</v>
      </c>
      <c r="G22" s="15" t="s">
        <v>162</v>
      </c>
      <c r="H22" s="7">
        <v>33</v>
      </c>
      <c r="I22" s="6" t="s">
        <v>694</v>
      </c>
      <c r="J22" s="6" t="s">
        <v>37978</v>
      </c>
      <c r="K22" s="6" t="s">
        <v>37979</v>
      </c>
      <c r="L22" s="6" t="s">
        <v>37980</v>
      </c>
      <c r="M22" s="6" t="s">
        <v>37981</v>
      </c>
      <c r="N22" s="6" t="s">
        <v>37982</v>
      </c>
      <c r="O22" s="6" t="s">
        <v>37795</v>
      </c>
      <c r="P22" s="6" t="s">
        <v>37983</v>
      </c>
      <c r="Q22" s="6" t="s">
        <v>37984</v>
      </c>
      <c r="R22" s="6" t="s">
        <v>37985</v>
      </c>
      <c r="S22" s="6" t="s">
        <v>37986</v>
      </c>
      <c r="T22" s="6" t="s">
        <v>37987</v>
      </c>
      <c r="U22" s="6" t="s">
        <v>37988</v>
      </c>
      <c r="V22" s="6" t="s">
        <v>37786</v>
      </c>
      <c r="W22" s="6" t="s">
        <v>37989</v>
      </c>
      <c r="X22" s="6" t="s">
        <v>37990</v>
      </c>
      <c r="Y22" s="6" t="s">
        <v>37991</v>
      </c>
      <c r="Z22" s="6" t="s">
        <v>37992</v>
      </c>
      <c r="AA22" s="6" t="s">
        <v>37993</v>
      </c>
      <c r="AB22" s="6" t="s">
        <v>37994</v>
      </c>
      <c r="AC22" s="6" t="s">
        <v>37995</v>
      </c>
      <c r="AD22" s="6" t="s">
        <v>37996</v>
      </c>
      <c r="AE22" s="6" t="s">
        <v>37997</v>
      </c>
      <c r="AF22" s="6" t="s">
        <v>37998</v>
      </c>
      <c r="AG22" s="6" t="s">
        <v>37999</v>
      </c>
      <c r="AH22" s="6" t="s">
        <v>38000</v>
      </c>
      <c r="AI22" s="6" t="s">
        <v>38001</v>
      </c>
      <c r="AJ22" s="6" t="s">
        <v>38002</v>
      </c>
      <c r="AK22" s="6" t="s">
        <v>38003</v>
      </c>
      <c r="AL22" s="6" t="s">
        <v>38004</v>
      </c>
      <c r="AM22" s="6" t="s">
        <v>38005</v>
      </c>
      <c r="AN22" s="6" t="s">
        <v>38006</v>
      </c>
      <c r="AO22" s="6" t="s">
        <v>38007</v>
      </c>
      <c r="AP22" s="6" t="s">
        <v>37886</v>
      </c>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row>
    <row r="23" spans="1:72">
      <c r="A23" s="8" t="s">
        <v>699</v>
      </c>
      <c r="B23" s="11" t="s">
        <v>705</v>
      </c>
      <c r="C23" s="9" t="s">
        <v>138</v>
      </c>
      <c r="D23" s="10" t="s">
        <v>138</v>
      </c>
      <c r="E23" s="28" t="s">
        <v>426</v>
      </c>
      <c r="F23" s="28" t="s">
        <v>426</v>
      </c>
      <c r="G23" s="28" t="s">
        <v>162</v>
      </c>
      <c r="H23" s="13">
        <v>33</v>
      </c>
      <c r="I23" s="12" t="s">
        <v>718</v>
      </c>
      <c r="J23" s="12" t="s">
        <v>38008</v>
      </c>
      <c r="K23" s="12" t="s">
        <v>38009</v>
      </c>
      <c r="L23" s="12" t="s">
        <v>38010</v>
      </c>
      <c r="M23" s="12" t="s">
        <v>38011</v>
      </c>
      <c r="N23" s="12" t="s">
        <v>38012</v>
      </c>
      <c r="O23" s="12" t="s">
        <v>37945</v>
      </c>
      <c r="P23" s="12" t="s">
        <v>37801</v>
      </c>
      <c r="Q23" s="12" t="s">
        <v>38013</v>
      </c>
      <c r="R23" s="12" t="s">
        <v>37786</v>
      </c>
      <c r="S23" s="12" t="s">
        <v>38014</v>
      </c>
      <c r="T23" s="12" t="s">
        <v>38015</v>
      </c>
      <c r="U23" s="12" t="s">
        <v>38016</v>
      </c>
      <c r="V23" s="12" t="s">
        <v>38017</v>
      </c>
      <c r="W23" s="12" t="s">
        <v>38018</v>
      </c>
      <c r="X23" s="12" t="s">
        <v>38019</v>
      </c>
      <c r="Y23" s="12" t="s">
        <v>38020</v>
      </c>
      <c r="Z23" s="12" t="s">
        <v>38021</v>
      </c>
      <c r="AA23" s="12" t="s">
        <v>38022</v>
      </c>
      <c r="AB23" s="12" t="s">
        <v>38023</v>
      </c>
      <c r="AC23" s="12" t="s">
        <v>38024</v>
      </c>
      <c r="AD23" s="12" t="s">
        <v>38025</v>
      </c>
      <c r="AE23" s="12" t="s">
        <v>38026</v>
      </c>
      <c r="AF23" s="12" t="s">
        <v>38027</v>
      </c>
      <c r="AG23" s="12" t="s">
        <v>38028</v>
      </c>
      <c r="AH23" s="12" t="s">
        <v>38029</v>
      </c>
      <c r="AI23" s="12" t="s">
        <v>38030</v>
      </c>
      <c r="AJ23" s="12" t="s">
        <v>38031</v>
      </c>
      <c r="AK23" s="12" t="s">
        <v>38032</v>
      </c>
      <c r="AL23" s="12" t="s">
        <v>38033</v>
      </c>
      <c r="AM23" s="12" t="s">
        <v>38034</v>
      </c>
      <c r="AN23" s="12" t="s">
        <v>38035</v>
      </c>
      <c r="AO23" s="12" t="s">
        <v>38036</v>
      </c>
      <c r="AP23" s="12" t="s">
        <v>38037</v>
      </c>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row>
    <row r="24" spans="1:72">
      <c r="A24" s="2" t="s">
        <v>722</v>
      </c>
      <c r="B24" s="5" t="s">
        <v>730</v>
      </c>
      <c r="C24" s="3" t="s">
        <v>138</v>
      </c>
      <c r="D24" s="4" t="s">
        <v>138</v>
      </c>
      <c r="E24" s="15" t="s">
        <v>738</v>
      </c>
      <c r="F24" s="15" t="s">
        <v>138</v>
      </c>
      <c r="G24" s="15" t="s">
        <v>740</v>
      </c>
      <c r="H24" s="7">
        <v>16</v>
      </c>
      <c r="I24" s="6" t="s">
        <v>744</v>
      </c>
      <c r="J24" s="6" t="s">
        <v>38038</v>
      </c>
      <c r="K24" s="6" t="s">
        <v>38039</v>
      </c>
      <c r="L24" s="6" t="s">
        <v>38040</v>
      </c>
      <c r="M24" s="6" t="s">
        <v>38041</v>
      </c>
      <c r="N24" s="6" t="s">
        <v>38042</v>
      </c>
      <c r="O24" s="6" t="s">
        <v>38043</v>
      </c>
      <c r="P24" s="6" t="s">
        <v>38044</v>
      </c>
      <c r="Q24" s="6" t="s">
        <v>38045</v>
      </c>
      <c r="R24" s="6" t="s">
        <v>38046</v>
      </c>
      <c r="S24" s="6" t="s">
        <v>38047</v>
      </c>
      <c r="T24" s="6" t="s">
        <v>37960</v>
      </c>
      <c r="U24" s="6" t="s">
        <v>38048</v>
      </c>
      <c r="V24" s="6" t="s">
        <v>38049</v>
      </c>
      <c r="W24" s="6" t="s">
        <v>38050</v>
      </c>
      <c r="X24" s="6" t="s">
        <v>38051</v>
      </c>
      <c r="Y24" s="6" t="s">
        <v>38052</v>
      </c>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row>
    <row r="25" spans="1:72">
      <c r="A25" s="8" t="s">
        <v>747</v>
      </c>
      <c r="B25" s="11" t="s">
        <v>754</v>
      </c>
      <c r="C25" s="9" t="s">
        <v>138</v>
      </c>
      <c r="D25" s="10" t="s">
        <v>138</v>
      </c>
      <c r="E25" s="28" t="s">
        <v>759</v>
      </c>
      <c r="F25" s="28" t="s">
        <v>760</v>
      </c>
      <c r="G25" s="28" t="s">
        <v>162</v>
      </c>
      <c r="H25" s="13">
        <v>2</v>
      </c>
      <c r="I25" s="12" t="s">
        <v>763</v>
      </c>
      <c r="J25" s="12" t="s">
        <v>38053</v>
      </c>
      <c r="K25" s="12" t="s">
        <v>38054</v>
      </c>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row>
    <row r="26" spans="1:72">
      <c r="A26" s="2" t="s">
        <v>767</v>
      </c>
      <c r="B26" s="5" t="s">
        <v>771</v>
      </c>
      <c r="C26" s="3" t="s">
        <v>138</v>
      </c>
      <c r="D26" s="4" t="s">
        <v>138</v>
      </c>
      <c r="E26" s="15" t="s">
        <v>138</v>
      </c>
      <c r="F26" s="15" t="s">
        <v>138</v>
      </c>
      <c r="G26" s="15" t="s">
        <v>450</v>
      </c>
      <c r="H26" s="7">
        <v>6</v>
      </c>
      <c r="I26" s="6" t="s">
        <v>778</v>
      </c>
      <c r="J26" s="6" t="s">
        <v>38055</v>
      </c>
      <c r="K26" s="6" t="s">
        <v>38056</v>
      </c>
      <c r="L26" s="6" t="s">
        <v>38057</v>
      </c>
      <c r="M26" s="6" t="s">
        <v>38058</v>
      </c>
      <c r="N26" s="6" t="s">
        <v>38059</v>
      </c>
      <c r="O26" s="6" t="s">
        <v>38060</v>
      </c>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row>
    <row r="27" spans="1:72">
      <c r="A27" s="8" t="s">
        <v>782</v>
      </c>
      <c r="B27" s="11" t="s">
        <v>790</v>
      </c>
      <c r="C27" s="9" t="s">
        <v>138</v>
      </c>
      <c r="D27" s="10" t="s">
        <v>138</v>
      </c>
      <c r="E27" s="28" t="s">
        <v>310</v>
      </c>
      <c r="F27" s="28" t="s">
        <v>200</v>
      </c>
      <c r="G27" s="28" t="s">
        <v>162</v>
      </c>
      <c r="H27" s="13">
        <v>8</v>
      </c>
      <c r="I27" s="12" t="s">
        <v>801</v>
      </c>
      <c r="J27" s="12" t="s">
        <v>38061</v>
      </c>
      <c r="K27" s="12" t="s">
        <v>38062</v>
      </c>
      <c r="L27" s="12" t="s">
        <v>38063</v>
      </c>
      <c r="M27" s="12" t="s">
        <v>38064</v>
      </c>
      <c r="N27" s="12" t="s">
        <v>38065</v>
      </c>
      <c r="O27" s="12" t="s">
        <v>38066</v>
      </c>
      <c r="P27" s="12" t="s">
        <v>38067</v>
      </c>
      <c r="Q27" s="12" t="s">
        <v>38068</v>
      </c>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row>
    <row r="28" spans="1:72">
      <c r="A28" s="2" t="s">
        <v>804</v>
      </c>
      <c r="B28" s="5" t="s">
        <v>813</v>
      </c>
      <c r="C28" s="3" t="s">
        <v>138</v>
      </c>
      <c r="D28" s="4" t="s">
        <v>138</v>
      </c>
      <c r="E28" s="15" t="s">
        <v>823</v>
      </c>
      <c r="F28" s="15" t="s">
        <v>824</v>
      </c>
      <c r="G28" s="15" t="s">
        <v>526</v>
      </c>
      <c r="H28" s="7">
        <v>5</v>
      </c>
      <c r="I28" s="6" t="s">
        <v>828</v>
      </c>
      <c r="J28" s="6" t="s">
        <v>38069</v>
      </c>
      <c r="K28" s="6" t="s">
        <v>38070</v>
      </c>
      <c r="L28" s="6" t="s">
        <v>38071</v>
      </c>
      <c r="M28" s="6" t="s">
        <v>38072</v>
      </c>
      <c r="N28" s="6" t="s">
        <v>38073</v>
      </c>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row>
    <row r="29" spans="1:72">
      <c r="A29" s="8" t="s">
        <v>831</v>
      </c>
      <c r="B29" s="11" t="s">
        <v>835</v>
      </c>
      <c r="C29" s="9" t="s">
        <v>138</v>
      </c>
      <c r="D29" s="10" t="s">
        <v>138</v>
      </c>
      <c r="E29" s="28" t="s">
        <v>668</v>
      </c>
      <c r="F29" s="28" t="s">
        <v>200</v>
      </c>
      <c r="G29" s="28" t="s">
        <v>162</v>
      </c>
      <c r="H29" s="13">
        <v>8</v>
      </c>
      <c r="I29" s="12" t="s">
        <v>847</v>
      </c>
      <c r="J29" s="12" t="s">
        <v>38074</v>
      </c>
      <c r="K29" s="12" t="s">
        <v>38075</v>
      </c>
      <c r="L29" s="12" t="s">
        <v>38076</v>
      </c>
      <c r="M29" s="12" t="s">
        <v>37786</v>
      </c>
      <c r="N29" s="12" t="s">
        <v>38077</v>
      </c>
      <c r="O29" s="12" t="s">
        <v>38078</v>
      </c>
      <c r="P29" s="12" t="s">
        <v>37781</v>
      </c>
      <c r="Q29" s="12" t="s">
        <v>37976</v>
      </c>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row>
    <row r="30" spans="1:72">
      <c r="A30" s="2" t="s">
        <v>852</v>
      </c>
      <c r="B30" s="5" t="s">
        <v>857</v>
      </c>
      <c r="C30" s="3" t="s">
        <v>138</v>
      </c>
      <c r="D30" s="4" t="s">
        <v>853</v>
      </c>
      <c r="E30" s="15" t="s">
        <v>863</v>
      </c>
      <c r="F30" s="15" t="s">
        <v>864</v>
      </c>
      <c r="G30" s="15" t="s">
        <v>162</v>
      </c>
      <c r="H30" s="7">
        <v>10</v>
      </c>
      <c r="I30" s="6" t="s">
        <v>868</v>
      </c>
      <c r="J30" s="6" t="s">
        <v>38079</v>
      </c>
      <c r="K30" s="6" t="s">
        <v>37819</v>
      </c>
      <c r="L30" s="6" t="s">
        <v>37947</v>
      </c>
      <c r="M30" s="6" t="s">
        <v>38080</v>
      </c>
      <c r="N30" s="6" t="s">
        <v>38081</v>
      </c>
      <c r="O30" s="6" t="s">
        <v>38082</v>
      </c>
      <c r="P30" s="6" t="s">
        <v>38083</v>
      </c>
      <c r="Q30" s="6" t="s">
        <v>38084</v>
      </c>
      <c r="R30" s="6" t="s">
        <v>38085</v>
      </c>
      <c r="S30" s="6" t="s">
        <v>38086</v>
      </c>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row>
    <row r="31" spans="1:72">
      <c r="A31" s="8" t="s">
        <v>872</v>
      </c>
      <c r="B31" s="11" t="s">
        <v>877</v>
      </c>
      <c r="C31" s="9" t="s">
        <v>138</v>
      </c>
      <c r="D31" s="10" t="s">
        <v>138</v>
      </c>
      <c r="E31" s="28" t="s">
        <v>310</v>
      </c>
      <c r="F31" s="28" t="s">
        <v>200</v>
      </c>
      <c r="G31" s="28" t="s">
        <v>162</v>
      </c>
      <c r="H31" s="13">
        <v>7</v>
      </c>
      <c r="I31" s="12" t="s">
        <v>885</v>
      </c>
      <c r="J31" s="12" t="s">
        <v>36284</v>
      </c>
      <c r="K31" s="12" t="s">
        <v>37979</v>
      </c>
      <c r="L31" s="12" t="s">
        <v>38087</v>
      </c>
      <c r="M31" s="12" t="s">
        <v>38088</v>
      </c>
      <c r="N31" s="12" t="s">
        <v>38089</v>
      </c>
      <c r="O31" s="12" t="s">
        <v>38090</v>
      </c>
      <c r="P31" s="12" t="s">
        <v>37892</v>
      </c>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row>
    <row r="32" spans="1:72">
      <c r="A32" s="2" t="s">
        <v>888</v>
      </c>
      <c r="B32" s="5" t="s">
        <v>894</v>
      </c>
      <c r="C32" s="3" t="s">
        <v>138</v>
      </c>
      <c r="D32" s="4" t="s">
        <v>138</v>
      </c>
      <c r="E32" s="15" t="s">
        <v>898</v>
      </c>
      <c r="F32" s="15" t="s">
        <v>899</v>
      </c>
      <c r="G32" s="15" t="s">
        <v>450</v>
      </c>
      <c r="H32" s="7">
        <v>4</v>
      </c>
      <c r="I32" s="6" t="s">
        <v>902</v>
      </c>
      <c r="J32" s="6" t="s">
        <v>455</v>
      </c>
      <c r="K32" s="6" t="s">
        <v>38091</v>
      </c>
      <c r="L32" s="6" t="s">
        <v>38092</v>
      </c>
      <c r="M32" s="6" t="s">
        <v>38093</v>
      </c>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row>
    <row r="33" spans="1:72">
      <c r="A33" s="8" t="s">
        <v>905</v>
      </c>
      <c r="B33" s="11" t="s">
        <v>912</v>
      </c>
      <c r="C33" s="9" t="s">
        <v>138</v>
      </c>
      <c r="D33" s="10" t="s">
        <v>906</v>
      </c>
      <c r="E33" s="28" t="s">
        <v>426</v>
      </c>
      <c r="F33" s="28" t="s">
        <v>426</v>
      </c>
      <c r="G33" s="28" t="s">
        <v>162</v>
      </c>
      <c r="H33" s="13">
        <v>8</v>
      </c>
      <c r="I33" s="12" t="s">
        <v>924</v>
      </c>
      <c r="J33" s="12" t="s">
        <v>38094</v>
      </c>
      <c r="K33" s="12" t="s">
        <v>38095</v>
      </c>
      <c r="L33" s="12" t="s">
        <v>38096</v>
      </c>
      <c r="M33" s="12" t="s">
        <v>38097</v>
      </c>
      <c r="N33" s="12" t="s">
        <v>38098</v>
      </c>
      <c r="O33" s="12" t="s">
        <v>38099</v>
      </c>
      <c r="P33" s="12" t="s">
        <v>38100</v>
      </c>
      <c r="Q33" s="12" t="s">
        <v>38101</v>
      </c>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row>
    <row r="34" spans="1:72">
      <c r="A34" s="2" t="s">
        <v>929</v>
      </c>
      <c r="B34" s="5" t="s">
        <v>935</v>
      </c>
      <c r="C34" s="3" t="s">
        <v>138</v>
      </c>
      <c r="D34" s="4" t="s">
        <v>138</v>
      </c>
      <c r="E34" s="15" t="s">
        <v>944</v>
      </c>
      <c r="F34" s="15" t="s">
        <v>138</v>
      </c>
      <c r="G34" s="15" t="s">
        <v>946</v>
      </c>
      <c r="H34" s="7">
        <v>1</v>
      </c>
      <c r="I34" s="6" t="s">
        <v>948</v>
      </c>
      <c r="J34" s="6" t="s">
        <v>948</v>
      </c>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row>
    <row r="35" spans="1:72">
      <c r="A35" s="8" t="s">
        <v>951</v>
      </c>
      <c r="B35" s="11" t="s">
        <v>957</v>
      </c>
      <c r="C35" s="9" t="s">
        <v>138</v>
      </c>
      <c r="D35" s="10" t="s">
        <v>138</v>
      </c>
      <c r="E35" s="28" t="s">
        <v>966</v>
      </c>
      <c r="F35" s="28" t="s">
        <v>200</v>
      </c>
      <c r="G35" s="28" t="s">
        <v>162</v>
      </c>
      <c r="H35" s="13">
        <v>55</v>
      </c>
      <c r="I35" s="12" t="s">
        <v>970</v>
      </c>
      <c r="J35" s="12" t="s">
        <v>38102</v>
      </c>
      <c r="K35" s="12" t="s">
        <v>38103</v>
      </c>
      <c r="L35" s="12" t="s">
        <v>38104</v>
      </c>
      <c r="M35" s="12" t="s">
        <v>38105</v>
      </c>
      <c r="N35" s="12" t="s">
        <v>37936</v>
      </c>
      <c r="O35" s="12" t="s">
        <v>38106</v>
      </c>
      <c r="P35" s="12" t="s">
        <v>38107</v>
      </c>
      <c r="Q35" s="12" t="s">
        <v>38108</v>
      </c>
      <c r="R35" s="12" t="s">
        <v>38109</v>
      </c>
      <c r="S35" s="12" t="s">
        <v>38110</v>
      </c>
      <c r="T35" s="12" t="s">
        <v>38111</v>
      </c>
      <c r="U35" s="12" t="s">
        <v>38112</v>
      </c>
      <c r="V35" s="12" t="s">
        <v>38076</v>
      </c>
      <c r="W35" s="12" t="s">
        <v>38113</v>
      </c>
      <c r="X35" s="12" t="s">
        <v>38114</v>
      </c>
      <c r="Y35" s="12" t="s">
        <v>38013</v>
      </c>
      <c r="Z35" s="12" t="s">
        <v>38115</v>
      </c>
      <c r="AA35" s="12" t="s">
        <v>38116</v>
      </c>
      <c r="AB35" s="12" t="s">
        <v>38117</v>
      </c>
      <c r="AC35" s="12" t="s">
        <v>38118</v>
      </c>
      <c r="AD35" s="12" t="s">
        <v>38119</v>
      </c>
      <c r="AE35" s="12" t="s">
        <v>38120</v>
      </c>
      <c r="AF35" s="12" t="s">
        <v>38121</v>
      </c>
      <c r="AG35" s="12" t="s">
        <v>38122</v>
      </c>
      <c r="AH35" s="12" t="s">
        <v>38123</v>
      </c>
      <c r="AI35" s="12" t="s">
        <v>38097</v>
      </c>
      <c r="AJ35" s="12" t="s">
        <v>37922</v>
      </c>
      <c r="AK35" s="12" t="s">
        <v>38124</v>
      </c>
      <c r="AL35" s="12" t="s">
        <v>38125</v>
      </c>
      <c r="AM35" s="12" t="s">
        <v>38126</v>
      </c>
      <c r="AN35" s="12" t="s">
        <v>38127</v>
      </c>
      <c r="AO35" s="12" t="s">
        <v>38128</v>
      </c>
      <c r="AP35" s="12" t="s">
        <v>38129</v>
      </c>
      <c r="AQ35" s="12" t="s">
        <v>38130</v>
      </c>
      <c r="AR35" s="12" t="s">
        <v>38131</v>
      </c>
      <c r="AS35" s="12" t="s">
        <v>38132</v>
      </c>
      <c r="AT35" s="12" t="s">
        <v>38133</v>
      </c>
      <c r="AU35" s="12" t="s">
        <v>37803</v>
      </c>
      <c r="AV35" s="12" t="s">
        <v>38134</v>
      </c>
      <c r="AW35" s="12" t="s">
        <v>38135</v>
      </c>
      <c r="AX35" s="12" t="s">
        <v>38136</v>
      </c>
      <c r="AY35" s="12" t="s">
        <v>38137</v>
      </c>
      <c r="AZ35" s="12" t="s">
        <v>38138</v>
      </c>
      <c r="BA35" s="12" t="s">
        <v>38139</v>
      </c>
      <c r="BB35" s="12" t="s">
        <v>38140</v>
      </c>
      <c r="BC35" s="12" t="s">
        <v>37915</v>
      </c>
      <c r="BD35" s="12" t="s">
        <v>37892</v>
      </c>
      <c r="BE35" s="12" t="s">
        <v>38141</v>
      </c>
      <c r="BF35" s="12" t="s">
        <v>37783</v>
      </c>
      <c r="BG35" s="12" t="s">
        <v>38142</v>
      </c>
      <c r="BH35" s="12" t="s">
        <v>38143</v>
      </c>
      <c r="BI35" s="12" t="s">
        <v>38144</v>
      </c>
      <c r="BJ35" s="12" t="s">
        <v>38145</v>
      </c>
      <c r="BK35" s="12" t="s">
        <v>37976</v>
      </c>
      <c r="BL35" s="12" t="s">
        <v>37977</v>
      </c>
      <c r="BM35" s="12"/>
      <c r="BN35" s="12"/>
      <c r="BO35" s="12"/>
      <c r="BP35" s="12"/>
      <c r="BQ35" s="12"/>
      <c r="BR35" s="12"/>
      <c r="BS35" s="12"/>
      <c r="BT35" s="12"/>
    </row>
    <row r="36" spans="1:72">
      <c r="A36" s="2" t="s">
        <v>976</v>
      </c>
      <c r="B36" s="5" t="s">
        <v>982</v>
      </c>
      <c r="C36" s="3" t="s">
        <v>138</v>
      </c>
      <c r="D36" s="4" t="s">
        <v>977</v>
      </c>
      <c r="E36" s="15" t="s">
        <v>426</v>
      </c>
      <c r="F36" s="15" t="s">
        <v>426</v>
      </c>
      <c r="G36" s="15" t="s">
        <v>162</v>
      </c>
      <c r="H36" s="7">
        <v>18</v>
      </c>
      <c r="I36" s="6" t="s">
        <v>991</v>
      </c>
      <c r="J36" s="6" t="s">
        <v>38146</v>
      </c>
      <c r="K36" s="6" t="s">
        <v>38147</v>
      </c>
      <c r="L36" s="6" t="s">
        <v>37984</v>
      </c>
      <c r="M36" s="6" t="s">
        <v>37819</v>
      </c>
      <c r="N36" s="6" t="s">
        <v>38148</v>
      </c>
      <c r="O36" s="6" t="s">
        <v>38149</v>
      </c>
      <c r="P36" s="6" t="s">
        <v>38150</v>
      </c>
      <c r="Q36" s="6" t="s">
        <v>38151</v>
      </c>
      <c r="R36" s="6" t="s">
        <v>38152</v>
      </c>
      <c r="S36" s="6" t="s">
        <v>38153</v>
      </c>
      <c r="T36" s="6" t="s">
        <v>38154</v>
      </c>
      <c r="U36" s="6" t="s">
        <v>38155</v>
      </c>
      <c r="V36" s="6" t="s">
        <v>38156</v>
      </c>
      <c r="W36" s="6" t="s">
        <v>37973</v>
      </c>
      <c r="X36" s="6" t="s">
        <v>38157</v>
      </c>
      <c r="Y36" s="6" t="s">
        <v>38158</v>
      </c>
      <c r="Z36" s="6" t="s">
        <v>37975</v>
      </c>
      <c r="AA36" s="6" t="s">
        <v>38159</v>
      </c>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row>
    <row r="37" spans="1:72">
      <c r="A37" s="8" t="s">
        <v>995</v>
      </c>
      <c r="B37" s="11" t="s">
        <v>1001</v>
      </c>
      <c r="C37" s="9" t="s">
        <v>138</v>
      </c>
      <c r="D37" s="10" t="s">
        <v>138</v>
      </c>
      <c r="E37" s="28" t="s">
        <v>1008</v>
      </c>
      <c r="F37" s="28" t="s">
        <v>138</v>
      </c>
      <c r="G37" s="28" t="s">
        <v>946</v>
      </c>
      <c r="H37" s="13">
        <v>1</v>
      </c>
      <c r="I37" s="12" t="s">
        <v>1012</v>
      </c>
      <c r="J37" s="12" t="s">
        <v>1012</v>
      </c>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row>
    <row r="38" spans="1:72">
      <c r="A38" s="2" t="s">
        <v>1015</v>
      </c>
      <c r="B38" s="5" t="s">
        <v>1023</v>
      </c>
      <c r="C38" s="3" t="s">
        <v>138</v>
      </c>
      <c r="D38" s="4" t="s">
        <v>138</v>
      </c>
      <c r="E38" s="15" t="s">
        <v>1031</v>
      </c>
      <c r="F38" s="15" t="s">
        <v>1032</v>
      </c>
      <c r="G38" s="15" t="s">
        <v>162</v>
      </c>
      <c r="H38" s="7">
        <v>11</v>
      </c>
      <c r="I38" s="6" t="s">
        <v>1036</v>
      </c>
      <c r="J38" s="6" t="s">
        <v>38160</v>
      </c>
      <c r="K38" s="6" t="s">
        <v>38161</v>
      </c>
      <c r="L38" s="6" t="s">
        <v>38162</v>
      </c>
      <c r="M38" s="6" t="s">
        <v>38163</v>
      </c>
      <c r="N38" s="6" t="s">
        <v>38164</v>
      </c>
      <c r="O38" s="6" t="s">
        <v>38165</v>
      </c>
      <c r="P38" s="6" t="s">
        <v>38166</v>
      </c>
      <c r="Q38" s="6" t="s">
        <v>38167</v>
      </c>
      <c r="R38" s="6" t="s">
        <v>38168</v>
      </c>
      <c r="S38" s="6" t="s">
        <v>37976</v>
      </c>
      <c r="T38" s="6" t="s">
        <v>38169</v>
      </c>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row>
    <row r="39" spans="1:72">
      <c r="A39" s="8" t="s">
        <v>1040</v>
      </c>
      <c r="B39" s="11" t="s">
        <v>1043</v>
      </c>
      <c r="C39" s="9" t="s">
        <v>138</v>
      </c>
      <c r="D39" s="10" t="s">
        <v>138</v>
      </c>
      <c r="E39" s="28" t="s">
        <v>1052</v>
      </c>
      <c r="F39" s="28" t="s">
        <v>138</v>
      </c>
      <c r="G39" s="28" t="s">
        <v>1054</v>
      </c>
      <c r="H39" s="13">
        <v>5</v>
      </c>
      <c r="I39" s="12" t="s">
        <v>1057</v>
      </c>
      <c r="J39" s="12" t="s">
        <v>38170</v>
      </c>
      <c r="K39" s="12" t="s">
        <v>38171</v>
      </c>
      <c r="L39" s="12" t="s">
        <v>38172</v>
      </c>
      <c r="M39" s="12" t="s">
        <v>38173</v>
      </c>
      <c r="N39" s="12" t="s">
        <v>38096</v>
      </c>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row>
    <row r="40" spans="1:72">
      <c r="A40" s="2" t="s">
        <v>1061</v>
      </c>
      <c r="B40" s="5" t="s">
        <v>1067</v>
      </c>
      <c r="C40" s="3" t="s">
        <v>138</v>
      </c>
      <c r="D40" s="4" t="s">
        <v>138</v>
      </c>
      <c r="E40" s="15" t="s">
        <v>426</v>
      </c>
      <c r="F40" s="15" t="s">
        <v>426</v>
      </c>
      <c r="G40" s="15" t="s">
        <v>162</v>
      </c>
      <c r="H40" s="7">
        <v>15</v>
      </c>
      <c r="I40" s="6" t="s">
        <v>1077</v>
      </c>
      <c r="J40" s="6" t="s">
        <v>38174</v>
      </c>
      <c r="K40" s="6" t="s">
        <v>38175</v>
      </c>
      <c r="L40" s="6" t="s">
        <v>38176</v>
      </c>
      <c r="M40" s="6" t="s">
        <v>38177</v>
      </c>
      <c r="N40" s="6" t="s">
        <v>38178</v>
      </c>
      <c r="O40" s="6" t="s">
        <v>38179</v>
      </c>
      <c r="P40" s="6" t="s">
        <v>37786</v>
      </c>
      <c r="Q40" s="6" t="s">
        <v>38180</v>
      </c>
      <c r="R40" s="6" t="s">
        <v>38181</v>
      </c>
      <c r="S40" s="6" t="s">
        <v>38182</v>
      </c>
      <c r="T40" s="6" t="s">
        <v>38021</v>
      </c>
      <c r="U40" s="6" t="s">
        <v>38183</v>
      </c>
      <c r="V40" s="6" t="s">
        <v>38184</v>
      </c>
      <c r="W40" s="6" t="s">
        <v>38185</v>
      </c>
      <c r="X40" s="6" t="s">
        <v>38186</v>
      </c>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row>
    <row r="41" spans="1:72">
      <c r="A41" s="8" t="s">
        <v>1082</v>
      </c>
      <c r="B41" s="11" t="s">
        <v>1087</v>
      </c>
      <c r="C41" s="9" t="s">
        <v>138</v>
      </c>
      <c r="D41" s="10" t="s">
        <v>138</v>
      </c>
      <c r="E41" s="28" t="s">
        <v>449</v>
      </c>
      <c r="F41" s="28" t="s">
        <v>448</v>
      </c>
      <c r="G41" s="28" t="s">
        <v>450</v>
      </c>
      <c r="H41" s="13">
        <v>4</v>
      </c>
      <c r="I41" s="12" t="s">
        <v>1096</v>
      </c>
      <c r="J41" s="12" t="s">
        <v>455</v>
      </c>
      <c r="K41" s="12" t="s">
        <v>38187</v>
      </c>
      <c r="L41" s="12" t="s">
        <v>38188</v>
      </c>
      <c r="M41" s="12" t="s">
        <v>38189</v>
      </c>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row>
    <row r="42" spans="1:72">
      <c r="A42" s="2" t="s">
        <v>1099</v>
      </c>
      <c r="B42" s="5" t="s">
        <v>1106</v>
      </c>
      <c r="C42" s="3" t="s">
        <v>138</v>
      </c>
      <c r="D42" s="4" t="s">
        <v>1100</v>
      </c>
      <c r="E42" s="15" t="s">
        <v>1116</v>
      </c>
      <c r="F42" s="15" t="s">
        <v>864</v>
      </c>
      <c r="G42" s="15" t="s">
        <v>162</v>
      </c>
      <c r="H42" s="7">
        <v>2</v>
      </c>
      <c r="I42" s="6" t="s">
        <v>1122</v>
      </c>
      <c r="J42" s="6" t="s">
        <v>38190</v>
      </c>
      <c r="K42" s="6" t="s">
        <v>38191</v>
      </c>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row>
    <row r="43" spans="1:72">
      <c r="A43" s="8" t="s">
        <v>1129</v>
      </c>
      <c r="B43" s="11" t="s">
        <v>1136</v>
      </c>
      <c r="C43" s="9" t="s">
        <v>138</v>
      </c>
      <c r="D43" s="10" t="s">
        <v>138</v>
      </c>
      <c r="E43" s="28" t="s">
        <v>1145</v>
      </c>
      <c r="F43" s="28" t="s">
        <v>1146</v>
      </c>
      <c r="G43" s="28" t="s">
        <v>162</v>
      </c>
      <c r="H43" s="13">
        <v>7</v>
      </c>
      <c r="I43" s="12" t="s">
        <v>1150</v>
      </c>
      <c r="J43" s="12" t="s">
        <v>38192</v>
      </c>
      <c r="K43" s="12" t="s">
        <v>38193</v>
      </c>
      <c r="L43" s="12" t="s">
        <v>37856</v>
      </c>
      <c r="M43" s="12" t="s">
        <v>38194</v>
      </c>
      <c r="N43" s="12" t="s">
        <v>38195</v>
      </c>
      <c r="O43" s="12" t="s">
        <v>38196</v>
      </c>
      <c r="P43" s="12" t="s">
        <v>38197</v>
      </c>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row>
    <row r="44" spans="1:72">
      <c r="A44" s="2" t="s">
        <v>1155</v>
      </c>
      <c r="B44" s="5" t="s">
        <v>1161</v>
      </c>
      <c r="C44" s="3" t="s">
        <v>138</v>
      </c>
      <c r="D44" s="4" t="s">
        <v>1156</v>
      </c>
      <c r="E44" s="15" t="s">
        <v>1171</v>
      </c>
      <c r="F44" s="15" t="s">
        <v>200</v>
      </c>
      <c r="G44" s="15" t="s">
        <v>162</v>
      </c>
      <c r="H44" s="7">
        <v>5</v>
      </c>
      <c r="I44" s="6" t="s">
        <v>1175</v>
      </c>
      <c r="J44" s="6" t="s">
        <v>38198</v>
      </c>
      <c r="K44" s="6" t="s">
        <v>38199</v>
      </c>
      <c r="L44" s="6" t="s">
        <v>37839</v>
      </c>
      <c r="M44" s="6" t="s">
        <v>38200</v>
      </c>
      <c r="N44" s="6" t="s">
        <v>38201</v>
      </c>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row>
    <row r="45" spans="1:72">
      <c r="A45" s="8" t="s">
        <v>1180</v>
      </c>
      <c r="B45" s="11" t="s">
        <v>1188</v>
      </c>
      <c r="C45" s="9" t="s">
        <v>1181</v>
      </c>
      <c r="D45" s="10" t="s">
        <v>138</v>
      </c>
      <c r="E45" s="28" t="s">
        <v>1198</v>
      </c>
      <c r="F45" s="28" t="s">
        <v>138</v>
      </c>
      <c r="G45" s="28" t="s">
        <v>1200</v>
      </c>
      <c r="H45" s="13">
        <v>5</v>
      </c>
      <c r="I45" s="12" t="s">
        <v>1203</v>
      </c>
      <c r="J45" s="12" t="s">
        <v>38202</v>
      </c>
      <c r="K45" s="12" t="s">
        <v>38203</v>
      </c>
      <c r="L45" s="12" t="s">
        <v>37781</v>
      </c>
      <c r="M45" s="12" t="s">
        <v>38204</v>
      </c>
      <c r="N45" s="12" t="s">
        <v>38205</v>
      </c>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row>
    <row r="46" spans="1:72">
      <c r="A46" s="2" t="s">
        <v>1206</v>
      </c>
      <c r="B46" s="5" t="s">
        <v>1214</v>
      </c>
      <c r="C46" s="3" t="s">
        <v>138</v>
      </c>
      <c r="D46" s="4" t="s">
        <v>138</v>
      </c>
      <c r="E46" s="15" t="s">
        <v>1223</v>
      </c>
      <c r="F46" s="15" t="s">
        <v>200</v>
      </c>
      <c r="G46" s="15" t="s">
        <v>162</v>
      </c>
      <c r="H46" s="7" t="s">
        <v>138</v>
      </c>
      <c r="I46" s="6" t="s">
        <v>138</v>
      </c>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row>
    <row r="47" spans="1:72">
      <c r="A47" s="8" t="s">
        <v>1232</v>
      </c>
      <c r="B47" s="11" t="s">
        <v>1238</v>
      </c>
      <c r="C47" s="9" t="s">
        <v>138</v>
      </c>
      <c r="D47" s="10" t="s">
        <v>138</v>
      </c>
      <c r="E47" s="28" t="s">
        <v>1246</v>
      </c>
      <c r="F47" s="28" t="s">
        <v>200</v>
      </c>
      <c r="G47" s="28" t="s">
        <v>162</v>
      </c>
      <c r="H47" s="13">
        <v>24</v>
      </c>
      <c r="I47" s="12" t="s">
        <v>1249</v>
      </c>
      <c r="J47" s="12" t="s">
        <v>38206</v>
      </c>
      <c r="K47" s="12" t="s">
        <v>38207</v>
      </c>
      <c r="L47" s="12" t="s">
        <v>38208</v>
      </c>
      <c r="M47" s="12" t="s">
        <v>38209</v>
      </c>
      <c r="N47" s="12" t="s">
        <v>38210</v>
      </c>
      <c r="O47" s="12" t="s">
        <v>38211</v>
      </c>
      <c r="P47" s="12" t="s">
        <v>38212</v>
      </c>
      <c r="Q47" s="12" t="s">
        <v>38213</v>
      </c>
      <c r="R47" s="12" t="s">
        <v>38214</v>
      </c>
      <c r="S47" s="12" t="s">
        <v>38215</v>
      </c>
      <c r="T47" s="12" t="s">
        <v>38216</v>
      </c>
      <c r="U47" s="12" t="s">
        <v>38217</v>
      </c>
      <c r="V47" s="12" t="s">
        <v>38218</v>
      </c>
      <c r="W47" s="12" t="s">
        <v>38219</v>
      </c>
      <c r="X47" s="12" t="s">
        <v>38220</v>
      </c>
      <c r="Y47" s="12" t="s">
        <v>38221</v>
      </c>
      <c r="Z47" s="12" t="s">
        <v>38222</v>
      </c>
      <c r="AA47" s="12" t="s">
        <v>38223</v>
      </c>
      <c r="AB47" s="12" t="s">
        <v>38224</v>
      </c>
      <c r="AC47" s="12" t="s">
        <v>38225</v>
      </c>
      <c r="AD47" s="12" t="s">
        <v>38226</v>
      </c>
      <c r="AE47" s="12" t="s">
        <v>38227</v>
      </c>
      <c r="AF47" s="12" t="s">
        <v>38228</v>
      </c>
      <c r="AG47" s="12" t="s">
        <v>37871</v>
      </c>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row>
    <row r="48" spans="1:72">
      <c r="A48" s="2" t="s">
        <v>1253</v>
      </c>
      <c r="B48" s="5" t="s">
        <v>1260</v>
      </c>
      <c r="C48" s="3" t="s">
        <v>1254</v>
      </c>
      <c r="D48" s="4" t="s">
        <v>138</v>
      </c>
      <c r="E48" s="15" t="s">
        <v>1269</v>
      </c>
      <c r="F48" s="15" t="s">
        <v>597</v>
      </c>
      <c r="G48" s="15" t="s">
        <v>162</v>
      </c>
      <c r="H48" s="7">
        <v>8</v>
      </c>
      <c r="I48" s="6" t="s">
        <v>1273</v>
      </c>
      <c r="J48" s="6" t="s">
        <v>38229</v>
      </c>
      <c r="K48" s="6" t="s">
        <v>37795</v>
      </c>
      <c r="L48" s="6" t="s">
        <v>38230</v>
      </c>
      <c r="M48" s="6" t="s">
        <v>38231</v>
      </c>
      <c r="N48" s="6" t="s">
        <v>37851</v>
      </c>
      <c r="O48" s="6" t="s">
        <v>38232</v>
      </c>
      <c r="P48" s="6" t="s">
        <v>37910</v>
      </c>
      <c r="Q48" s="6" t="s">
        <v>37930</v>
      </c>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row>
    <row r="49" spans="1:72">
      <c r="A49" s="8" t="s">
        <v>1277</v>
      </c>
      <c r="B49" s="11" t="s">
        <v>1286</v>
      </c>
      <c r="C49" s="9" t="s">
        <v>1278</v>
      </c>
      <c r="D49" s="10" t="s">
        <v>1279</v>
      </c>
      <c r="E49" s="28" t="s">
        <v>1294</v>
      </c>
      <c r="F49" s="28" t="s">
        <v>864</v>
      </c>
      <c r="G49" s="28" t="s">
        <v>162</v>
      </c>
      <c r="H49" s="13">
        <v>9</v>
      </c>
      <c r="I49" s="12" t="s">
        <v>1299</v>
      </c>
      <c r="J49" s="12" t="s">
        <v>38233</v>
      </c>
      <c r="K49" s="12" t="s">
        <v>38234</v>
      </c>
      <c r="L49" s="12" t="s">
        <v>38235</v>
      </c>
      <c r="M49" s="12" t="s">
        <v>38236</v>
      </c>
      <c r="N49" s="12" t="s">
        <v>38237</v>
      </c>
      <c r="O49" s="12" t="s">
        <v>38238</v>
      </c>
      <c r="P49" s="12" t="s">
        <v>38239</v>
      </c>
      <c r="Q49" s="12" t="s">
        <v>38240</v>
      </c>
      <c r="R49" s="12" t="s">
        <v>38241</v>
      </c>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row>
    <row r="50" spans="1:72">
      <c r="A50" s="2" t="s">
        <v>1304</v>
      </c>
      <c r="B50" s="5" t="s">
        <v>1309</v>
      </c>
      <c r="C50" s="3" t="s">
        <v>138</v>
      </c>
      <c r="D50" s="4" t="s">
        <v>138</v>
      </c>
      <c r="E50" s="15" t="s">
        <v>1317</v>
      </c>
      <c r="F50" s="15" t="s">
        <v>138</v>
      </c>
      <c r="G50" s="15" t="s">
        <v>1319</v>
      </c>
      <c r="H50" s="7">
        <v>5</v>
      </c>
      <c r="I50" s="6" t="s">
        <v>1323</v>
      </c>
      <c r="J50" s="6" t="s">
        <v>38242</v>
      </c>
      <c r="K50" s="6" t="s">
        <v>37786</v>
      </c>
      <c r="L50" s="6" t="s">
        <v>37788</v>
      </c>
      <c r="M50" s="6" t="s">
        <v>38243</v>
      </c>
      <c r="N50" s="6" t="s">
        <v>38244</v>
      </c>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row>
    <row r="51" spans="1:72">
      <c r="A51" s="8" t="s">
        <v>1330</v>
      </c>
      <c r="B51" s="11" t="s">
        <v>1333</v>
      </c>
      <c r="C51" s="9" t="s">
        <v>138</v>
      </c>
      <c r="D51" s="10" t="s">
        <v>138</v>
      </c>
      <c r="E51" s="28" t="s">
        <v>1198</v>
      </c>
      <c r="F51" s="28" t="s">
        <v>138</v>
      </c>
      <c r="G51" s="28" t="s">
        <v>1200</v>
      </c>
      <c r="H51" s="13">
        <v>6</v>
      </c>
      <c r="I51" s="12" t="s">
        <v>1345</v>
      </c>
      <c r="J51" s="12" t="s">
        <v>38245</v>
      </c>
      <c r="K51" s="12" t="s">
        <v>38246</v>
      </c>
      <c r="L51" s="12" t="s">
        <v>37798</v>
      </c>
      <c r="M51" s="12" t="s">
        <v>38203</v>
      </c>
      <c r="N51" s="12" t="s">
        <v>38065</v>
      </c>
      <c r="O51" s="12" t="s">
        <v>37781</v>
      </c>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row>
    <row r="52" spans="1:72">
      <c r="A52" s="2" t="s">
        <v>1348</v>
      </c>
      <c r="B52" s="5" t="s">
        <v>1355</v>
      </c>
      <c r="C52" s="3" t="s">
        <v>138</v>
      </c>
      <c r="D52" s="4" t="s">
        <v>138</v>
      </c>
      <c r="E52" s="15" t="s">
        <v>1364</v>
      </c>
      <c r="F52" s="15" t="s">
        <v>138</v>
      </c>
      <c r="G52" s="15" t="s">
        <v>450</v>
      </c>
      <c r="H52" s="7">
        <v>11</v>
      </c>
      <c r="I52" s="6" t="s">
        <v>1368</v>
      </c>
      <c r="J52" s="6" t="s">
        <v>455</v>
      </c>
      <c r="K52" s="6" t="s">
        <v>38247</v>
      </c>
      <c r="L52" s="6" t="s">
        <v>38248</v>
      </c>
      <c r="M52" s="6" t="s">
        <v>38249</v>
      </c>
      <c r="N52" s="6" t="s">
        <v>38250</v>
      </c>
      <c r="O52" s="6" t="s">
        <v>38251</v>
      </c>
      <c r="P52" s="6" t="s">
        <v>38252</v>
      </c>
      <c r="Q52" s="6" t="s">
        <v>38253</v>
      </c>
      <c r="R52" s="6" t="s">
        <v>38254</v>
      </c>
      <c r="S52" s="6" t="s">
        <v>38255</v>
      </c>
      <c r="T52" s="6" t="s">
        <v>38256</v>
      </c>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row>
    <row r="53" spans="1:72">
      <c r="A53" s="8" t="s">
        <v>1372</v>
      </c>
      <c r="B53" s="11" t="s">
        <v>1379</v>
      </c>
      <c r="C53" s="9" t="s">
        <v>138</v>
      </c>
      <c r="D53" s="10" t="s">
        <v>138</v>
      </c>
      <c r="E53" s="28" t="s">
        <v>1388</v>
      </c>
      <c r="F53" s="28" t="s">
        <v>1389</v>
      </c>
      <c r="G53" s="28" t="s">
        <v>162</v>
      </c>
      <c r="H53" s="13">
        <v>8</v>
      </c>
      <c r="I53" s="12" t="s">
        <v>1394</v>
      </c>
      <c r="J53" s="12" t="s">
        <v>38257</v>
      </c>
      <c r="K53" s="12" t="s">
        <v>38258</v>
      </c>
      <c r="L53" s="12" t="s">
        <v>37786</v>
      </c>
      <c r="M53" s="12" t="s">
        <v>38259</v>
      </c>
      <c r="N53" s="12" t="s">
        <v>38260</v>
      </c>
      <c r="O53" s="12" t="s">
        <v>38261</v>
      </c>
      <c r="P53" s="12" t="s">
        <v>38200</v>
      </c>
      <c r="Q53" s="12" t="s">
        <v>38240</v>
      </c>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row>
    <row r="54" spans="1:72">
      <c r="A54" s="2" t="s">
        <v>1399</v>
      </c>
      <c r="B54" s="5" t="s">
        <v>1406</v>
      </c>
      <c r="C54" s="3" t="s">
        <v>1400</v>
      </c>
      <c r="D54" s="4" t="s">
        <v>1401</v>
      </c>
      <c r="E54" s="15" t="s">
        <v>1415</v>
      </c>
      <c r="F54" s="15" t="s">
        <v>1416</v>
      </c>
      <c r="G54" s="15" t="s">
        <v>1416</v>
      </c>
      <c r="H54" s="7">
        <v>4</v>
      </c>
      <c r="I54" s="6" t="s">
        <v>1419</v>
      </c>
      <c r="J54" s="6" t="s">
        <v>38262</v>
      </c>
      <c r="K54" s="6" t="s">
        <v>38263</v>
      </c>
      <c r="L54" s="6" t="s">
        <v>38264</v>
      </c>
      <c r="M54" s="6" t="s">
        <v>37781</v>
      </c>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row>
    <row r="55" spans="1:72">
      <c r="A55" s="8" t="s">
        <v>1425</v>
      </c>
      <c r="B55" s="11" t="s">
        <v>1430</v>
      </c>
      <c r="C55" s="9" t="s">
        <v>138</v>
      </c>
      <c r="D55" s="10" t="s">
        <v>138</v>
      </c>
      <c r="E55" s="28" t="s">
        <v>1438</v>
      </c>
      <c r="F55" s="28" t="s">
        <v>138</v>
      </c>
      <c r="G55" s="28" t="s">
        <v>1054</v>
      </c>
      <c r="H55" s="13">
        <v>4</v>
      </c>
      <c r="I55" s="12" t="s">
        <v>1442</v>
      </c>
      <c r="J55" s="12" t="s">
        <v>38265</v>
      </c>
      <c r="K55" s="12" t="s">
        <v>38266</v>
      </c>
      <c r="L55" s="12" t="s">
        <v>37868</v>
      </c>
      <c r="M55" s="12" t="s">
        <v>38267</v>
      </c>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row>
    <row r="56" spans="1:72">
      <c r="A56" s="2" t="s">
        <v>1446</v>
      </c>
      <c r="B56" s="5" t="s">
        <v>1453</v>
      </c>
      <c r="C56" s="3" t="s">
        <v>138</v>
      </c>
      <c r="D56" s="4" t="s">
        <v>138</v>
      </c>
      <c r="E56" s="15" t="s">
        <v>1460</v>
      </c>
      <c r="F56" s="15" t="s">
        <v>474</v>
      </c>
      <c r="G56" s="15" t="s">
        <v>162</v>
      </c>
      <c r="H56" s="7">
        <v>2</v>
      </c>
      <c r="I56" s="6" t="s">
        <v>1463</v>
      </c>
      <c r="J56" s="6" t="s">
        <v>38268</v>
      </c>
      <c r="K56" s="6" t="s">
        <v>38269</v>
      </c>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row>
    <row r="57" spans="1:72">
      <c r="A57" s="8" t="s">
        <v>1467</v>
      </c>
      <c r="B57" s="11" t="s">
        <v>1475</v>
      </c>
      <c r="C57" s="9" t="s">
        <v>138</v>
      </c>
      <c r="D57" s="10" t="s">
        <v>138</v>
      </c>
      <c r="E57" s="28" t="s">
        <v>1223</v>
      </c>
      <c r="F57" s="28" t="s">
        <v>200</v>
      </c>
      <c r="G57" s="28" t="s">
        <v>162</v>
      </c>
      <c r="H57" s="13">
        <v>1</v>
      </c>
      <c r="I57" s="12" t="s">
        <v>1489</v>
      </c>
      <c r="J57" s="12" t="s">
        <v>1489</v>
      </c>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row>
    <row r="58" spans="1:72">
      <c r="A58" s="2" t="s">
        <v>1500</v>
      </c>
      <c r="B58" s="5" t="s">
        <v>1508</v>
      </c>
      <c r="C58" s="3" t="s">
        <v>1501</v>
      </c>
      <c r="D58" s="4" t="s">
        <v>138</v>
      </c>
      <c r="E58" s="15" t="s">
        <v>1516</v>
      </c>
      <c r="F58" s="15" t="s">
        <v>284</v>
      </c>
      <c r="G58" s="15" t="s">
        <v>162</v>
      </c>
      <c r="H58" s="7">
        <v>5</v>
      </c>
      <c r="I58" s="6" t="s">
        <v>1521</v>
      </c>
      <c r="J58" s="6" t="s">
        <v>38270</v>
      </c>
      <c r="K58" s="6" t="s">
        <v>38271</v>
      </c>
      <c r="L58" s="6" t="s">
        <v>38272</v>
      </c>
      <c r="M58" s="6" t="s">
        <v>38099</v>
      </c>
      <c r="N58" s="6" t="s">
        <v>38273</v>
      </c>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row>
    <row r="59" spans="1:72">
      <c r="A59" s="8" t="s">
        <v>1525</v>
      </c>
      <c r="B59" s="11" t="s">
        <v>1529</v>
      </c>
      <c r="C59" s="9" t="s">
        <v>138</v>
      </c>
      <c r="D59" s="10" t="s">
        <v>1526</v>
      </c>
      <c r="E59" s="28" t="s">
        <v>1198</v>
      </c>
      <c r="F59" s="28" t="s">
        <v>138</v>
      </c>
      <c r="G59" s="28" t="s">
        <v>1200</v>
      </c>
      <c r="H59" s="13">
        <v>2</v>
      </c>
      <c r="I59" s="12" t="s">
        <v>1536</v>
      </c>
      <c r="J59" s="12" t="s">
        <v>38274</v>
      </c>
      <c r="K59" s="12" t="s">
        <v>37976</v>
      </c>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row>
    <row r="60" spans="1:72">
      <c r="A60" s="2" t="s">
        <v>1539</v>
      </c>
      <c r="B60" s="5" t="s">
        <v>1546</v>
      </c>
      <c r="C60" s="3" t="s">
        <v>1540</v>
      </c>
      <c r="D60" s="4" t="s">
        <v>138</v>
      </c>
      <c r="E60" s="15" t="s">
        <v>426</v>
      </c>
      <c r="F60" s="15" t="s">
        <v>426</v>
      </c>
      <c r="G60" s="15" t="s">
        <v>162</v>
      </c>
      <c r="H60" s="7">
        <v>8</v>
      </c>
      <c r="I60" s="6" t="s">
        <v>1554</v>
      </c>
      <c r="J60" s="6" t="s">
        <v>38275</v>
      </c>
      <c r="K60" s="6" t="s">
        <v>38276</v>
      </c>
      <c r="L60" s="6" t="s">
        <v>38177</v>
      </c>
      <c r="M60" s="6" t="s">
        <v>38277</v>
      </c>
      <c r="N60" s="6" t="s">
        <v>38057</v>
      </c>
      <c r="O60" s="6" t="s">
        <v>38278</v>
      </c>
      <c r="P60" s="6" t="s">
        <v>37781</v>
      </c>
      <c r="Q60" s="6" t="s">
        <v>38279</v>
      </c>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row>
    <row r="61" spans="1:72">
      <c r="A61" s="8" t="s">
        <v>1559</v>
      </c>
      <c r="B61" s="11" t="s">
        <v>1564</v>
      </c>
      <c r="C61" s="9" t="s">
        <v>138</v>
      </c>
      <c r="D61" s="10" t="s">
        <v>138</v>
      </c>
      <c r="E61" s="28" t="s">
        <v>944</v>
      </c>
      <c r="F61" s="28" t="s">
        <v>138</v>
      </c>
      <c r="G61" s="28" t="s">
        <v>946</v>
      </c>
      <c r="H61" s="13">
        <v>13</v>
      </c>
      <c r="I61" s="12" t="s">
        <v>1573</v>
      </c>
      <c r="J61" s="12" t="s">
        <v>38280</v>
      </c>
      <c r="K61" s="12" t="s">
        <v>38281</v>
      </c>
      <c r="L61" s="12" t="s">
        <v>38282</v>
      </c>
      <c r="M61" s="12" t="s">
        <v>38283</v>
      </c>
      <c r="N61" s="12" t="s">
        <v>38284</v>
      </c>
      <c r="O61" s="12" t="s">
        <v>38285</v>
      </c>
      <c r="P61" s="12" t="s">
        <v>38286</v>
      </c>
      <c r="Q61" s="12" t="s">
        <v>38287</v>
      </c>
      <c r="R61" s="12" t="s">
        <v>38288</v>
      </c>
      <c r="S61" s="12" t="s">
        <v>38189</v>
      </c>
      <c r="T61" s="12" t="s">
        <v>38289</v>
      </c>
      <c r="U61" s="12" t="s">
        <v>38290</v>
      </c>
      <c r="V61" s="12" t="s">
        <v>38291</v>
      </c>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row>
    <row r="62" spans="1:72">
      <c r="A62" s="2" t="s">
        <v>1576</v>
      </c>
      <c r="B62" s="5" t="s">
        <v>1582</v>
      </c>
      <c r="C62" s="3" t="s">
        <v>138</v>
      </c>
      <c r="D62" s="4" t="s">
        <v>138</v>
      </c>
      <c r="E62" s="15" t="s">
        <v>966</v>
      </c>
      <c r="F62" s="15" t="s">
        <v>200</v>
      </c>
      <c r="G62" s="15" t="s">
        <v>162</v>
      </c>
      <c r="H62" s="7">
        <v>5</v>
      </c>
      <c r="I62" s="6" t="s">
        <v>1593</v>
      </c>
      <c r="J62" s="6" t="s">
        <v>16877</v>
      </c>
      <c r="K62" s="6" t="s">
        <v>37787</v>
      </c>
      <c r="L62" s="6" t="s">
        <v>38292</v>
      </c>
      <c r="M62" s="6" t="s">
        <v>38293</v>
      </c>
      <c r="N62" s="6" t="s">
        <v>38294</v>
      </c>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row>
    <row r="63" spans="1:72">
      <c r="A63" s="8" t="s">
        <v>1598</v>
      </c>
      <c r="B63" s="11" t="s">
        <v>1604</v>
      </c>
      <c r="C63" s="9" t="s">
        <v>138</v>
      </c>
      <c r="D63" s="10" t="s">
        <v>138</v>
      </c>
      <c r="E63" s="28" t="s">
        <v>1612</v>
      </c>
      <c r="F63" s="28" t="s">
        <v>138</v>
      </c>
      <c r="G63" s="28" t="s">
        <v>1614</v>
      </c>
      <c r="H63" s="13">
        <v>19</v>
      </c>
      <c r="I63" s="12" t="s">
        <v>1618</v>
      </c>
      <c r="J63" s="12" t="s">
        <v>38295</v>
      </c>
      <c r="K63" s="12" t="s">
        <v>38296</v>
      </c>
      <c r="L63" s="12" t="s">
        <v>38297</v>
      </c>
      <c r="M63" s="12" t="s">
        <v>38298</v>
      </c>
      <c r="N63" s="12" t="s">
        <v>38299</v>
      </c>
      <c r="O63" s="12" t="s">
        <v>38300</v>
      </c>
      <c r="P63" s="12" t="s">
        <v>38301</v>
      </c>
      <c r="Q63" s="12" t="s">
        <v>38302</v>
      </c>
      <c r="R63" s="12" t="s">
        <v>38303</v>
      </c>
      <c r="S63" s="12" t="s">
        <v>38304</v>
      </c>
      <c r="T63" s="12" t="s">
        <v>38305</v>
      </c>
      <c r="U63" s="12" t="s">
        <v>38306</v>
      </c>
      <c r="V63" s="12" t="s">
        <v>38307</v>
      </c>
      <c r="W63" s="12" t="s">
        <v>38308</v>
      </c>
      <c r="X63" s="12" t="s">
        <v>38309</v>
      </c>
      <c r="Y63" s="12" t="s">
        <v>38310</v>
      </c>
      <c r="Z63" s="12" t="s">
        <v>38311</v>
      </c>
      <c r="AA63" s="12" t="s">
        <v>38312</v>
      </c>
      <c r="AB63" s="12" t="s">
        <v>38313</v>
      </c>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row>
    <row r="64" spans="1:72">
      <c r="A64" s="2" t="s">
        <v>1623</v>
      </c>
      <c r="B64" s="5" t="s">
        <v>1628</v>
      </c>
      <c r="C64" s="3" t="s">
        <v>1624</v>
      </c>
      <c r="D64" s="4" t="s">
        <v>138</v>
      </c>
      <c r="E64" s="15" t="s">
        <v>1638</v>
      </c>
      <c r="F64" s="15" t="s">
        <v>200</v>
      </c>
      <c r="G64" s="15" t="s">
        <v>162</v>
      </c>
      <c r="H64" s="7">
        <v>15</v>
      </c>
      <c r="I64" s="6" t="s">
        <v>1641</v>
      </c>
      <c r="J64" s="6" t="s">
        <v>38314</v>
      </c>
      <c r="K64" s="6" t="s">
        <v>38315</v>
      </c>
      <c r="L64" s="6" t="s">
        <v>38316</v>
      </c>
      <c r="M64" s="6" t="s">
        <v>38317</v>
      </c>
      <c r="N64" s="6" t="s">
        <v>38318</v>
      </c>
      <c r="O64" s="6" t="s">
        <v>38062</v>
      </c>
      <c r="P64" s="6" t="s">
        <v>38319</v>
      </c>
      <c r="Q64" s="6" t="s">
        <v>38320</v>
      </c>
      <c r="R64" s="6" t="s">
        <v>38321</v>
      </c>
      <c r="S64" s="6" t="s">
        <v>38322</v>
      </c>
      <c r="T64" s="6" t="s">
        <v>38323</v>
      </c>
      <c r="U64" s="6" t="s">
        <v>38324</v>
      </c>
      <c r="V64" s="6" t="s">
        <v>38325</v>
      </c>
      <c r="W64" s="6" t="s">
        <v>38326</v>
      </c>
      <c r="X64" s="6" t="s">
        <v>38327</v>
      </c>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row>
    <row r="65" spans="1:72">
      <c r="A65" s="8" t="s">
        <v>1646</v>
      </c>
      <c r="B65" s="11" t="s">
        <v>1653</v>
      </c>
      <c r="C65" s="9" t="s">
        <v>138</v>
      </c>
      <c r="D65" s="10" t="s">
        <v>138</v>
      </c>
      <c r="E65" s="28" t="s">
        <v>1661</v>
      </c>
      <c r="F65" s="28" t="s">
        <v>1389</v>
      </c>
      <c r="G65" s="28" t="s">
        <v>162</v>
      </c>
      <c r="H65" s="13">
        <v>3</v>
      </c>
      <c r="I65" s="12" t="s">
        <v>1667</v>
      </c>
      <c r="J65" s="12" t="s">
        <v>38328</v>
      </c>
      <c r="K65" s="12" t="s">
        <v>38329</v>
      </c>
      <c r="L65" s="12" t="s">
        <v>37931</v>
      </c>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row>
    <row r="66" spans="1:72">
      <c r="A66" s="2" t="s">
        <v>1675</v>
      </c>
      <c r="B66" s="5" t="s">
        <v>1680</v>
      </c>
      <c r="C66" s="3" t="s">
        <v>138</v>
      </c>
      <c r="D66" s="4" t="s">
        <v>138</v>
      </c>
      <c r="E66" s="15" t="s">
        <v>310</v>
      </c>
      <c r="F66" s="15" t="s">
        <v>200</v>
      </c>
      <c r="G66" s="15" t="s">
        <v>162</v>
      </c>
      <c r="H66" s="7">
        <v>10</v>
      </c>
      <c r="I66" s="6" t="s">
        <v>1689</v>
      </c>
      <c r="J66" s="6" t="s">
        <v>38330</v>
      </c>
      <c r="K66" s="6" t="s">
        <v>38331</v>
      </c>
      <c r="L66" s="6" t="s">
        <v>38332</v>
      </c>
      <c r="M66" s="6" t="s">
        <v>37774</v>
      </c>
      <c r="N66" s="6" t="s">
        <v>38333</v>
      </c>
      <c r="O66" s="6" t="s">
        <v>38334</v>
      </c>
      <c r="P66" s="6" t="s">
        <v>38335</v>
      </c>
      <c r="Q66" s="6" t="s">
        <v>38336</v>
      </c>
      <c r="R66" s="6" t="s">
        <v>37789</v>
      </c>
      <c r="S66" s="6" t="s">
        <v>38337</v>
      </c>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row>
    <row r="67" spans="1:72">
      <c r="A67" s="8" t="s">
        <v>1694</v>
      </c>
      <c r="B67" s="11" t="s">
        <v>1699</v>
      </c>
      <c r="C67" s="9" t="s">
        <v>138</v>
      </c>
      <c r="D67" s="10" t="s">
        <v>138</v>
      </c>
      <c r="E67" s="28" t="s">
        <v>1638</v>
      </c>
      <c r="F67" s="28" t="s">
        <v>200</v>
      </c>
      <c r="G67" s="28" t="s">
        <v>162</v>
      </c>
      <c r="H67" s="13">
        <v>8</v>
      </c>
      <c r="I67" s="12" t="s">
        <v>1708</v>
      </c>
      <c r="J67" s="12" t="s">
        <v>38338</v>
      </c>
      <c r="K67" s="12" t="s">
        <v>38339</v>
      </c>
      <c r="L67" s="12" t="s">
        <v>38340</v>
      </c>
      <c r="M67" s="12" t="s">
        <v>38341</v>
      </c>
      <c r="N67" s="12" t="s">
        <v>37781</v>
      </c>
      <c r="O67" s="12" t="s">
        <v>38342</v>
      </c>
      <c r="P67" s="12" t="s">
        <v>38343</v>
      </c>
      <c r="Q67" s="12" t="s">
        <v>38337</v>
      </c>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row>
    <row r="68" spans="1:72">
      <c r="A68" s="2" t="s">
        <v>1712</v>
      </c>
      <c r="B68" s="5" t="s">
        <v>1717</v>
      </c>
      <c r="C68" s="3" t="s">
        <v>138</v>
      </c>
      <c r="D68" s="4" t="s">
        <v>138</v>
      </c>
      <c r="E68" s="15" t="s">
        <v>668</v>
      </c>
      <c r="F68" s="15" t="s">
        <v>200</v>
      </c>
      <c r="G68" s="15" t="s">
        <v>162</v>
      </c>
      <c r="H68" s="7">
        <v>8</v>
      </c>
      <c r="I68" s="6" t="s">
        <v>1725</v>
      </c>
      <c r="J68" s="6" t="s">
        <v>38344</v>
      </c>
      <c r="K68" s="6" t="s">
        <v>38345</v>
      </c>
      <c r="L68" s="6" t="s">
        <v>38346</v>
      </c>
      <c r="M68" s="6" t="s">
        <v>38347</v>
      </c>
      <c r="N68" s="6" t="s">
        <v>38348</v>
      </c>
      <c r="O68" s="6" t="s">
        <v>38349</v>
      </c>
      <c r="P68" s="6" t="s">
        <v>37781</v>
      </c>
      <c r="Q68" s="6" t="s">
        <v>38350</v>
      </c>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row>
    <row r="69" spans="1:72">
      <c r="A69" s="8" t="s">
        <v>1729</v>
      </c>
      <c r="B69" s="11" t="s">
        <v>1734</v>
      </c>
      <c r="C69" s="9" t="s">
        <v>138</v>
      </c>
      <c r="D69" s="10" t="s">
        <v>138</v>
      </c>
      <c r="E69" s="28" t="s">
        <v>1744</v>
      </c>
      <c r="F69" s="28" t="s">
        <v>138</v>
      </c>
      <c r="G69" s="28" t="s">
        <v>1746</v>
      </c>
      <c r="H69" s="13">
        <v>3</v>
      </c>
      <c r="I69" s="12" t="s">
        <v>1750</v>
      </c>
      <c r="J69" s="12" t="s">
        <v>38351</v>
      </c>
      <c r="K69" s="12" t="s">
        <v>38352</v>
      </c>
      <c r="L69" s="12" t="s">
        <v>38065</v>
      </c>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row>
    <row r="70" spans="1:72">
      <c r="A70" s="2" t="s">
        <v>1753</v>
      </c>
      <c r="B70" s="5" t="s">
        <v>1759</v>
      </c>
      <c r="C70" s="3" t="s">
        <v>138</v>
      </c>
      <c r="D70" s="4" t="s">
        <v>138</v>
      </c>
      <c r="E70" s="15" t="s">
        <v>1768</v>
      </c>
      <c r="F70" s="15" t="s">
        <v>200</v>
      </c>
      <c r="G70" s="15" t="s">
        <v>162</v>
      </c>
      <c r="H70" s="7">
        <v>11</v>
      </c>
      <c r="I70" s="6" t="s">
        <v>1772</v>
      </c>
      <c r="J70" s="6" t="s">
        <v>38353</v>
      </c>
      <c r="K70" s="6" t="s">
        <v>37875</v>
      </c>
      <c r="L70" s="6" t="s">
        <v>38354</v>
      </c>
      <c r="M70" s="6" t="s">
        <v>38355</v>
      </c>
      <c r="N70" s="6" t="s">
        <v>37921</v>
      </c>
      <c r="O70" s="6" t="s">
        <v>37922</v>
      </c>
      <c r="P70" s="6" t="s">
        <v>38356</v>
      </c>
      <c r="Q70" s="6" t="s">
        <v>38357</v>
      </c>
      <c r="R70" s="6" t="s">
        <v>38358</v>
      </c>
      <c r="S70" s="6" t="s">
        <v>38359</v>
      </c>
      <c r="T70" s="6" t="s">
        <v>38360</v>
      </c>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row>
    <row r="71" spans="1:72">
      <c r="A71" s="8" t="s">
        <v>1775</v>
      </c>
      <c r="B71" s="11" t="s">
        <v>1779</v>
      </c>
      <c r="C71" s="9" t="s">
        <v>138</v>
      </c>
      <c r="D71" s="10" t="s">
        <v>138</v>
      </c>
      <c r="E71" s="28" t="s">
        <v>823</v>
      </c>
      <c r="F71" s="28" t="s">
        <v>824</v>
      </c>
      <c r="G71" s="28" t="s">
        <v>526</v>
      </c>
      <c r="H71" s="13">
        <v>3</v>
      </c>
      <c r="I71" s="12" t="s">
        <v>1789</v>
      </c>
      <c r="J71" s="12" t="s">
        <v>38361</v>
      </c>
      <c r="K71" s="12" t="s">
        <v>38362</v>
      </c>
      <c r="L71" s="12" t="s">
        <v>38363</v>
      </c>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row>
    <row r="72" spans="1:72">
      <c r="A72" s="2" t="s">
        <v>1793</v>
      </c>
      <c r="B72" s="5" t="s">
        <v>1798</v>
      </c>
      <c r="C72" s="3" t="s">
        <v>138</v>
      </c>
      <c r="D72" s="4" t="s">
        <v>138</v>
      </c>
      <c r="E72" s="15" t="s">
        <v>426</v>
      </c>
      <c r="F72" s="15" t="s">
        <v>426</v>
      </c>
      <c r="G72" s="15" t="s">
        <v>162</v>
      </c>
      <c r="H72" s="7">
        <v>9</v>
      </c>
      <c r="I72" s="6" t="s">
        <v>1807</v>
      </c>
      <c r="J72" s="6" t="s">
        <v>13176</v>
      </c>
      <c r="K72" s="6" t="s">
        <v>38364</v>
      </c>
      <c r="L72" s="6" t="s">
        <v>38365</v>
      </c>
      <c r="M72" s="6" t="s">
        <v>38366</v>
      </c>
      <c r="N72" s="6" t="s">
        <v>38367</v>
      </c>
      <c r="O72" s="6" t="s">
        <v>37986</v>
      </c>
      <c r="P72" s="6" t="s">
        <v>38368</v>
      </c>
      <c r="Q72" s="6" t="s">
        <v>38369</v>
      </c>
      <c r="R72" s="6" t="s">
        <v>38370</v>
      </c>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row>
    <row r="73" spans="1:72">
      <c r="A73" s="8" t="s">
        <v>1810</v>
      </c>
      <c r="B73" s="11" t="s">
        <v>1817</v>
      </c>
      <c r="C73" s="9" t="s">
        <v>138</v>
      </c>
      <c r="D73" s="10" t="s">
        <v>1811</v>
      </c>
      <c r="E73" s="28" t="s">
        <v>1823</v>
      </c>
      <c r="F73" s="28" t="s">
        <v>824</v>
      </c>
      <c r="G73" s="28" t="s">
        <v>526</v>
      </c>
      <c r="H73" s="13">
        <v>3</v>
      </c>
      <c r="I73" s="12" t="s">
        <v>1827</v>
      </c>
      <c r="J73" s="12" t="s">
        <v>6673</v>
      </c>
      <c r="K73" s="12" t="s">
        <v>38371</v>
      </c>
      <c r="L73" s="12" t="s">
        <v>38372</v>
      </c>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row>
    <row r="74" spans="1:72">
      <c r="A74" s="2" t="s">
        <v>1833</v>
      </c>
      <c r="B74" s="5" t="s">
        <v>1839</v>
      </c>
      <c r="C74" s="3" t="s">
        <v>138</v>
      </c>
      <c r="D74" s="4" t="s">
        <v>138</v>
      </c>
      <c r="E74" s="15" t="s">
        <v>1847</v>
      </c>
      <c r="F74" s="15" t="s">
        <v>864</v>
      </c>
      <c r="G74" s="15" t="s">
        <v>162</v>
      </c>
      <c r="H74" s="7">
        <v>18</v>
      </c>
      <c r="I74" s="6" t="s">
        <v>1852</v>
      </c>
      <c r="J74" s="6" t="s">
        <v>38373</v>
      </c>
      <c r="K74" s="6" t="s">
        <v>38374</v>
      </c>
      <c r="L74" s="6" t="s">
        <v>38375</v>
      </c>
      <c r="M74" s="6" t="s">
        <v>38376</v>
      </c>
      <c r="N74" s="6" t="s">
        <v>38377</v>
      </c>
      <c r="O74" s="6" t="s">
        <v>38378</v>
      </c>
      <c r="P74" s="6" t="s">
        <v>38379</v>
      </c>
      <c r="Q74" s="6" t="s">
        <v>37851</v>
      </c>
      <c r="R74" s="6" t="s">
        <v>38380</v>
      </c>
      <c r="S74" s="6" t="s">
        <v>38381</v>
      </c>
      <c r="T74" s="6" t="s">
        <v>37787</v>
      </c>
      <c r="U74" s="6" t="s">
        <v>38382</v>
      </c>
      <c r="V74" s="6" t="s">
        <v>38383</v>
      </c>
      <c r="W74" s="6" t="s">
        <v>38384</v>
      </c>
      <c r="X74" s="6" t="s">
        <v>38385</v>
      </c>
      <c r="Y74" s="6" t="s">
        <v>38386</v>
      </c>
      <c r="Z74" s="6" t="s">
        <v>38387</v>
      </c>
      <c r="AA74" s="6" t="s">
        <v>38388</v>
      </c>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row>
    <row r="75" spans="1:72">
      <c r="A75" s="8" t="s">
        <v>1857</v>
      </c>
      <c r="B75" s="11" t="s">
        <v>1864</v>
      </c>
      <c r="C75" s="9" t="s">
        <v>1858</v>
      </c>
      <c r="D75" s="10" t="s">
        <v>138</v>
      </c>
      <c r="E75" s="28" t="s">
        <v>1872</v>
      </c>
      <c r="F75" s="28" t="s">
        <v>200</v>
      </c>
      <c r="G75" s="28" t="s">
        <v>162</v>
      </c>
      <c r="H75" s="13">
        <v>18</v>
      </c>
      <c r="I75" s="12" t="s">
        <v>1876</v>
      </c>
      <c r="J75" s="12" t="s">
        <v>38389</v>
      </c>
      <c r="K75" s="12" t="s">
        <v>37936</v>
      </c>
      <c r="L75" s="12" t="s">
        <v>38390</v>
      </c>
      <c r="M75" s="12" t="s">
        <v>38391</v>
      </c>
      <c r="N75" s="12" t="s">
        <v>38392</v>
      </c>
      <c r="O75" s="12" t="s">
        <v>38393</v>
      </c>
      <c r="P75" s="12" t="s">
        <v>38394</v>
      </c>
      <c r="Q75" s="12" t="s">
        <v>38395</v>
      </c>
      <c r="R75" s="12" t="s">
        <v>38396</v>
      </c>
      <c r="S75" s="12" t="s">
        <v>38397</v>
      </c>
      <c r="T75" s="12" t="s">
        <v>38398</v>
      </c>
      <c r="U75" s="12" t="s">
        <v>38399</v>
      </c>
      <c r="V75" s="12" t="s">
        <v>38400</v>
      </c>
      <c r="W75" s="12" t="s">
        <v>38401</v>
      </c>
      <c r="X75" s="12" t="s">
        <v>38402</v>
      </c>
      <c r="Y75" s="12" t="s">
        <v>38403</v>
      </c>
      <c r="Z75" s="12" t="s">
        <v>38404</v>
      </c>
      <c r="AA75" s="12" t="s">
        <v>38405</v>
      </c>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row>
    <row r="76" spans="1:72">
      <c r="A76" s="2" t="s">
        <v>1880</v>
      </c>
      <c r="B76" s="5" t="s">
        <v>1886</v>
      </c>
      <c r="C76" s="3" t="s">
        <v>138</v>
      </c>
      <c r="D76" s="4" t="s">
        <v>138</v>
      </c>
      <c r="E76" s="15" t="s">
        <v>668</v>
      </c>
      <c r="F76" s="15" t="s">
        <v>200</v>
      </c>
      <c r="G76" s="15" t="s">
        <v>162</v>
      </c>
      <c r="H76" s="7">
        <v>51</v>
      </c>
      <c r="I76" s="6" t="s">
        <v>1895</v>
      </c>
      <c r="J76" s="6" t="s">
        <v>38406</v>
      </c>
      <c r="K76" s="6" t="s">
        <v>38407</v>
      </c>
      <c r="L76" s="6" t="s">
        <v>38408</v>
      </c>
      <c r="M76" s="6" t="s">
        <v>38409</v>
      </c>
      <c r="N76" s="6" t="s">
        <v>38410</v>
      </c>
      <c r="O76" s="6" t="s">
        <v>37979</v>
      </c>
      <c r="P76" s="6" t="s">
        <v>37981</v>
      </c>
      <c r="Q76" s="6" t="s">
        <v>38411</v>
      </c>
      <c r="R76" s="6" t="s">
        <v>38412</v>
      </c>
      <c r="S76" s="6" t="s">
        <v>38413</v>
      </c>
      <c r="T76" s="6" t="s">
        <v>38376</v>
      </c>
      <c r="U76" s="6" t="s">
        <v>38414</v>
      </c>
      <c r="V76" s="6" t="s">
        <v>38415</v>
      </c>
      <c r="W76" s="6" t="s">
        <v>38416</v>
      </c>
      <c r="X76" s="6" t="s">
        <v>38417</v>
      </c>
      <c r="Y76" s="6" t="s">
        <v>37942</v>
      </c>
      <c r="Z76" s="6" t="s">
        <v>38011</v>
      </c>
      <c r="AA76" s="6" t="s">
        <v>38418</v>
      </c>
      <c r="AB76" s="6" t="s">
        <v>37945</v>
      </c>
      <c r="AC76" s="6" t="s">
        <v>38419</v>
      </c>
      <c r="AD76" s="6" t="s">
        <v>37947</v>
      </c>
      <c r="AE76" s="6" t="s">
        <v>37774</v>
      </c>
      <c r="AF76" s="6" t="s">
        <v>38420</v>
      </c>
      <c r="AG76" s="6" t="s">
        <v>38421</v>
      </c>
      <c r="AH76" s="6" t="s">
        <v>38422</v>
      </c>
      <c r="AI76" s="6" t="s">
        <v>38058</v>
      </c>
      <c r="AJ76" s="6" t="s">
        <v>37989</v>
      </c>
      <c r="AK76" s="6" t="s">
        <v>37955</v>
      </c>
      <c r="AL76" s="6" t="s">
        <v>38423</v>
      </c>
      <c r="AM76" s="6" t="s">
        <v>38424</v>
      </c>
      <c r="AN76" s="6" t="s">
        <v>38425</v>
      </c>
      <c r="AO76" s="6" t="s">
        <v>38426</v>
      </c>
      <c r="AP76" s="6" t="s">
        <v>38427</v>
      </c>
      <c r="AQ76" s="6" t="s">
        <v>38428</v>
      </c>
      <c r="AR76" s="6" t="s">
        <v>38429</v>
      </c>
      <c r="AS76" s="6" t="s">
        <v>38430</v>
      </c>
      <c r="AT76" s="6" t="s">
        <v>38128</v>
      </c>
      <c r="AU76" s="6" t="s">
        <v>38431</v>
      </c>
      <c r="AV76" s="6" t="s">
        <v>38084</v>
      </c>
      <c r="AW76" s="6" t="s">
        <v>38432</v>
      </c>
      <c r="AX76" s="6" t="s">
        <v>38433</v>
      </c>
      <c r="AY76" s="6" t="s">
        <v>38434</v>
      </c>
      <c r="AZ76" s="6" t="s">
        <v>38400</v>
      </c>
      <c r="BA76" s="6" t="s">
        <v>37783</v>
      </c>
      <c r="BB76" s="6" t="s">
        <v>38401</v>
      </c>
      <c r="BC76" s="6" t="s">
        <v>38435</v>
      </c>
      <c r="BD76" s="6" t="s">
        <v>38436</v>
      </c>
      <c r="BE76" s="6" t="s">
        <v>38201</v>
      </c>
      <c r="BF76" s="6" t="s">
        <v>38437</v>
      </c>
      <c r="BG76" s="6" t="s">
        <v>37871</v>
      </c>
      <c r="BH76" s="6" t="s">
        <v>38438</v>
      </c>
      <c r="BI76" s="6"/>
      <c r="BJ76" s="6"/>
      <c r="BK76" s="6"/>
      <c r="BL76" s="6"/>
      <c r="BM76" s="6"/>
      <c r="BN76" s="6"/>
      <c r="BO76" s="6"/>
      <c r="BP76" s="6"/>
      <c r="BQ76" s="6"/>
      <c r="BR76" s="6"/>
      <c r="BS76" s="6"/>
      <c r="BT76" s="6"/>
    </row>
    <row r="77" spans="1:72">
      <c r="A77" s="8" t="s">
        <v>1899</v>
      </c>
      <c r="B77" s="11" t="s">
        <v>1904</v>
      </c>
      <c r="C77" s="9" t="s">
        <v>138</v>
      </c>
      <c r="D77" s="10" t="s">
        <v>138</v>
      </c>
      <c r="E77" s="28" t="s">
        <v>1913</v>
      </c>
      <c r="F77" s="28" t="s">
        <v>138</v>
      </c>
      <c r="G77" s="28" t="s">
        <v>573</v>
      </c>
      <c r="H77" s="13">
        <v>6</v>
      </c>
      <c r="I77" s="12" t="s">
        <v>1917</v>
      </c>
      <c r="J77" s="12" t="s">
        <v>38439</v>
      </c>
      <c r="K77" s="12" t="s">
        <v>37839</v>
      </c>
      <c r="L77" s="12" t="s">
        <v>38440</v>
      </c>
      <c r="M77" s="12" t="s">
        <v>38441</v>
      </c>
      <c r="N77" s="12" t="s">
        <v>38383</v>
      </c>
      <c r="O77" s="12" t="s">
        <v>38442</v>
      </c>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row>
    <row r="78" spans="1:72">
      <c r="A78" s="2" t="s">
        <v>1922</v>
      </c>
      <c r="B78" s="5" t="s">
        <v>1927</v>
      </c>
      <c r="C78" s="3" t="s">
        <v>138</v>
      </c>
      <c r="D78" s="4" t="s">
        <v>138</v>
      </c>
      <c r="E78" s="15" t="s">
        <v>1937</v>
      </c>
      <c r="F78" s="15" t="s">
        <v>474</v>
      </c>
      <c r="G78" s="15" t="s">
        <v>162</v>
      </c>
      <c r="H78" s="7">
        <v>3</v>
      </c>
      <c r="I78" s="15" t="s">
        <v>1942</v>
      </c>
      <c r="J78" s="15" t="s">
        <v>7637</v>
      </c>
      <c r="K78" s="15" t="s">
        <v>37898</v>
      </c>
      <c r="L78" s="15" t="s">
        <v>37868</v>
      </c>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row>
    <row r="79" spans="1:72">
      <c r="A79" s="8" t="s">
        <v>1945</v>
      </c>
      <c r="B79" s="11" t="s">
        <v>1951</v>
      </c>
      <c r="C79" s="9" t="s">
        <v>1946</v>
      </c>
      <c r="D79" s="10" t="s">
        <v>138</v>
      </c>
      <c r="E79" s="28" t="s">
        <v>668</v>
      </c>
      <c r="F79" s="28" t="s">
        <v>200</v>
      </c>
      <c r="G79" s="28" t="s">
        <v>162</v>
      </c>
      <c r="H79" s="13">
        <v>9</v>
      </c>
      <c r="I79" s="12" t="s">
        <v>1964</v>
      </c>
      <c r="J79" s="12" t="s">
        <v>38443</v>
      </c>
      <c r="K79" s="12" t="s">
        <v>38444</v>
      </c>
      <c r="L79" s="12" t="s">
        <v>37998</v>
      </c>
      <c r="M79" s="12" t="s">
        <v>38154</v>
      </c>
      <c r="N79" s="12" t="s">
        <v>38445</v>
      </c>
      <c r="O79" s="12" t="s">
        <v>37781</v>
      </c>
      <c r="P79" s="12" t="s">
        <v>38446</v>
      </c>
      <c r="Q79" s="12" t="s">
        <v>38447</v>
      </c>
      <c r="R79" s="12" t="s">
        <v>38448</v>
      </c>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row>
    <row r="80" spans="1:72">
      <c r="A80" s="2" t="s">
        <v>1968</v>
      </c>
      <c r="B80" s="5" t="s">
        <v>1974</v>
      </c>
      <c r="C80" s="3" t="s">
        <v>138</v>
      </c>
      <c r="D80" s="4" t="s">
        <v>138</v>
      </c>
      <c r="E80" s="15" t="s">
        <v>1981</v>
      </c>
      <c r="F80" s="15" t="s">
        <v>138</v>
      </c>
      <c r="G80" s="15" t="s">
        <v>740</v>
      </c>
      <c r="H80" s="7">
        <v>8</v>
      </c>
      <c r="I80" s="6" t="s">
        <v>1984</v>
      </c>
      <c r="J80" s="6" t="s">
        <v>38449</v>
      </c>
      <c r="K80" s="6" t="s">
        <v>38450</v>
      </c>
      <c r="L80" s="6" t="s">
        <v>38451</v>
      </c>
      <c r="M80" s="6" t="s">
        <v>38452</v>
      </c>
      <c r="N80" s="6" t="s">
        <v>38453</v>
      </c>
      <c r="O80" s="6" t="s">
        <v>38319</v>
      </c>
      <c r="P80" s="6" t="s">
        <v>38322</v>
      </c>
      <c r="Q80" s="6" t="s">
        <v>38200</v>
      </c>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row>
    <row r="81" spans="1:72">
      <c r="A81" s="8" t="s">
        <v>1987</v>
      </c>
      <c r="B81" s="11" t="s">
        <v>1996</v>
      </c>
      <c r="C81" s="9" t="s">
        <v>138</v>
      </c>
      <c r="D81" s="10" t="s">
        <v>1988</v>
      </c>
      <c r="E81" s="28" t="s">
        <v>2005</v>
      </c>
      <c r="F81" s="28" t="s">
        <v>200</v>
      </c>
      <c r="G81" s="28" t="s">
        <v>162</v>
      </c>
      <c r="H81" s="13">
        <v>9</v>
      </c>
      <c r="I81" s="12" t="s">
        <v>2010</v>
      </c>
      <c r="J81" s="12" t="s">
        <v>38454</v>
      </c>
      <c r="K81" s="12" t="s">
        <v>38455</v>
      </c>
      <c r="L81" s="12" t="s">
        <v>38456</v>
      </c>
      <c r="M81" s="12" t="s">
        <v>38457</v>
      </c>
      <c r="N81" s="12" t="s">
        <v>38200</v>
      </c>
      <c r="O81" s="12" t="s">
        <v>38240</v>
      </c>
      <c r="P81" s="12" t="s">
        <v>38458</v>
      </c>
      <c r="Q81" s="12" t="s">
        <v>38459</v>
      </c>
      <c r="R81" s="12" t="s">
        <v>38460</v>
      </c>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row>
    <row r="82" spans="1:72">
      <c r="A82" s="2" t="s">
        <v>2014</v>
      </c>
      <c r="B82" s="5" t="s">
        <v>2020</v>
      </c>
      <c r="C82" s="3" t="s">
        <v>2015</v>
      </c>
      <c r="D82" s="4" t="s">
        <v>2016</v>
      </c>
      <c r="E82" s="15" t="s">
        <v>2030</v>
      </c>
      <c r="F82" s="15" t="s">
        <v>2031</v>
      </c>
      <c r="G82" s="15" t="s">
        <v>162</v>
      </c>
      <c r="H82" s="7">
        <v>11</v>
      </c>
      <c r="I82" s="6" t="s">
        <v>2035</v>
      </c>
      <c r="J82" s="6" t="s">
        <v>38461</v>
      </c>
      <c r="K82" s="6" t="s">
        <v>38462</v>
      </c>
      <c r="L82" s="6" t="s">
        <v>38463</v>
      </c>
      <c r="M82" s="6" t="s">
        <v>38464</v>
      </c>
      <c r="N82" s="6" t="s">
        <v>38465</v>
      </c>
      <c r="O82" s="6" t="s">
        <v>38466</v>
      </c>
      <c r="P82" s="6" t="s">
        <v>38467</v>
      </c>
      <c r="Q82" s="6" t="s">
        <v>38468</v>
      </c>
      <c r="R82" s="6" t="s">
        <v>38469</v>
      </c>
      <c r="S82" s="6" t="s">
        <v>38470</v>
      </c>
      <c r="T82" s="6" t="s">
        <v>38471</v>
      </c>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row>
    <row r="83" spans="1:72">
      <c r="A83" s="8" t="s">
        <v>2040</v>
      </c>
      <c r="B83" s="11" t="s">
        <v>2045</v>
      </c>
      <c r="C83" s="9" t="s">
        <v>138</v>
      </c>
      <c r="D83" s="10" t="s">
        <v>138</v>
      </c>
      <c r="E83" s="28" t="s">
        <v>668</v>
      </c>
      <c r="F83" s="28" t="s">
        <v>200</v>
      </c>
      <c r="G83" s="28" t="s">
        <v>162</v>
      </c>
      <c r="H83" s="13">
        <v>14</v>
      </c>
      <c r="I83" s="12" t="s">
        <v>2056</v>
      </c>
      <c r="J83" s="12" t="s">
        <v>38472</v>
      </c>
      <c r="K83" s="12" t="s">
        <v>38473</v>
      </c>
      <c r="L83" s="12" t="s">
        <v>37921</v>
      </c>
      <c r="M83" s="12" t="s">
        <v>38474</v>
      </c>
      <c r="N83" s="12" t="s">
        <v>38057</v>
      </c>
      <c r="O83" s="12" t="s">
        <v>37960</v>
      </c>
      <c r="P83" s="12" t="s">
        <v>38475</v>
      </c>
      <c r="Q83" s="12" t="s">
        <v>38476</v>
      </c>
      <c r="R83" s="12" t="s">
        <v>38477</v>
      </c>
      <c r="S83" s="12" t="s">
        <v>38431</v>
      </c>
      <c r="T83" s="12" t="s">
        <v>38478</v>
      </c>
      <c r="U83" s="12" t="s">
        <v>38479</v>
      </c>
      <c r="V83" s="12" t="s">
        <v>38480</v>
      </c>
      <c r="W83" s="12" t="s">
        <v>38481</v>
      </c>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row>
    <row r="84" spans="1:72">
      <c r="A84" s="2" t="s">
        <v>2059</v>
      </c>
      <c r="B84" s="5" t="s">
        <v>2064</v>
      </c>
      <c r="C84" s="3" t="s">
        <v>138</v>
      </c>
      <c r="D84" s="4" t="s">
        <v>138</v>
      </c>
      <c r="E84" s="15" t="s">
        <v>2068</v>
      </c>
      <c r="F84" s="15" t="s">
        <v>2069</v>
      </c>
      <c r="G84" s="15" t="s">
        <v>2071</v>
      </c>
      <c r="H84" s="7">
        <v>1</v>
      </c>
      <c r="I84" s="6" t="s">
        <v>2075</v>
      </c>
      <c r="J84" s="6" t="s">
        <v>2075</v>
      </c>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row>
    <row r="85" spans="1:72">
      <c r="A85" s="8" t="s">
        <v>2081</v>
      </c>
      <c r="B85" s="11" t="s">
        <v>2088</v>
      </c>
      <c r="C85" s="9" t="s">
        <v>138</v>
      </c>
      <c r="D85" s="10" t="s">
        <v>138</v>
      </c>
      <c r="E85" s="28" t="s">
        <v>668</v>
      </c>
      <c r="F85" s="28" t="s">
        <v>200</v>
      </c>
      <c r="G85" s="28" t="s">
        <v>162</v>
      </c>
      <c r="H85" s="13">
        <v>27</v>
      </c>
      <c r="I85" s="12" t="s">
        <v>2098</v>
      </c>
      <c r="J85" s="12" t="s">
        <v>38482</v>
      </c>
      <c r="K85" s="12" t="s">
        <v>38483</v>
      </c>
      <c r="L85" s="12" t="s">
        <v>38484</v>
      </c>
      <c r="M85" s="12" t="s">
        <v>38485</v>
      </c>
      <c r="N85" s="12" t="s">
        <v>38486</v>
      </c>
      <c r="O85" s="12" t="s">
        <v>38487</v>
      </c>
      <c r="P85" s="12" t="s">
        <v>38044</v>
      </c>
      <c r="Q85" s="12" t="s">
        <v>38488</v>
      </c>
      <c r="R85" s="12" t="s">
        <v>38489</v>
      </c>
      <c r="S85" s="12" t="s">
        <v>38490</v>
      </c>
      <c r="T85" s="12" t="s">
        <v>38491</v>
      </c>
      <c r="U85" s="12" t="s">
        <v>38492</v>
      </c>
      <c r="V85" s="12" t="s">
        <v>38493</v>
      </c>
      <c r="W85" s="12" t="s">
        <v>38494</v>
      </c>
      <c r="X85" s="12" t="s">
        <v>38495</v>
      </c>
      <c r="Y85" s="12" t="s">
        <v>38496</v>
      </c>
      <c r="Z85" s="12" t="s">
        <v>38497</v>
      </c>
      <c r="AA85" s="12" t="s">
        <v>38498</v>
      </c>
      <c r="AB85" s="12" t="s">
        <v>38499</v>
      </c>
      <c r="AC85" s="12" t="s">
        <v>38500</v>
      </c>
      <c r="AD85" s="12" t="s">
        <v>38501</v>
      </c>
      <c r="AE85" s="12" t="s">
        <v>38502</v>
      </c>
      <c r="AF85" s="12" t="s">
        <v>38503</v>
      </c>
      <c r="AG85" s="12" t="s">
        <v>38504</v>
      </c>
      <c r="AH85" s="12" t="s">
        <v>38505</v>
      </c>
      <c r="AI85" s="12" t="s">
        <v>38506</v>
      </c>
      <c r="AJ85" s="12" t="s">
        <v>38507</v>
      </c>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row>
    <row r="86" spans="1:72">
      <c r="A86" s="2" t="s">
        <v>2103</v>
      </c>
      <c r="B86" s="5" t="s">
        <v>138</v>
      </c>
      <c r="C86" s="3" t="s">
        <v>138</v>
      </c>
      <c r="D86" s="4" t="s">
        <v>2104</v>
      </c>
      <c r="E86" s="15" t="s">
        <v>2112</v>
      </c>
      <c r="F86" s="15" t="s">
        <v>138</v>
      </c>
      <c r="G86" s="15" t="s">
        <v>2071</v>
      </c>
      <c r="H86" s="7">
        <v>3</v>
      </c>
      <c r="I86" s="6" t="s">
        <v>2115</v>
      </c>
      <c r="J86" s="6" t="s">
        <v>38508</v>
      </c>
      <c r="K86" s="6" t="s">
        <v>38509</v>
      </c>
      <c r="L86" s="6" t="s">
        <v>38200</v>
      </c>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row>
    <row r="87" spans="1:72">
      <c r="A87" s="8" t="s">
        <v>2118</v>
      </c>
      <c r="B87" s="11" t="s">
        <v>2123</v>
      </c>
      <c r="C87" s="9" t="s">
        <v>138</v>
      </c>
      <c r="D87" s="10" t="s">
        <v>138</v>
      </c>
      <c r="E87" s="28" t="s">
        <v>426</v>
      </c>
      <c r="F87" s="28" t="s">
        <v>426</v>
      </c>
      <c r="G87" s="28" t="s">
        <v>162</v>
      </c>
      <c r="H87" s="13">
        <v>10</v>
      </c>
      <c r="I87" s="12" t="s">
        <v>2133</v>
      </c>
      <c r="J87" s="12" t="s">
        <v>38510</v>
      </c>
      <c r="K87" s="12" t="s">
        <v>38354</v>
      </c>
      <c r="L87" s="12" t="s">
        <v>38511</v>
      </c>
      <c r="M87" s="12" t="s">
        <v>38512</v>
      </c>
      <c r="N87" s="12" t="s">
        <v>38513</v>
      </c>
      <c r="O87" s="12" t="s">
        <v>38514</v>
      </c>
      <c r="P87" s="12" t="s">
        <v>38515</v>
      </c>
      <c r="Q87" s="12" t="s">
        <v>38516</v>
      </c>
      <c r="R87" s="12" t="s">
        <v>38517</v>
      </c>
      <c r="S87" s="12" t="s">
        <v>38518</v>
      </c>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row>
    <row r="88" spans="1:72">
      <c r="A88" s="2" t="s">
        <v>2137</v>
      </c>
      <c r="B88" s="5" t="s">
        <v>2145</v>
      </c>
      <c r="C88" s="3" t="s">
        <v>2138</v>
      </c>
      <c r="D88" s="4" t="s">
        <v>138</v>
      </c>
      <c r="E88" s="15" t="s">
        <v>1294</v>
      </c>
      <c r="F88" s="15" t="s">
        <v>864</v>
      </c>
      <c r="G88" s="15" t="s">
        <v>162</v>
      </c>
      <c r="H88" s="7">
        <v>24</v>
      </c>
      <c r="I88" s="6" t="s">
        <v>2157</v>
      </c>
      <c r="J88" s="6" t="s">
        <v>38519</v>
      </c>
      <c r="K88" s="6" t="s">
        <v>38520</v>
      </c>
      <c r="L88" s="6" t="s">
        <v>38521</v>
      </c>
      <c r="M88" s="6" t="s">
        <v>37984</v>
      </c>
      <c r="N88" s="6" t="s">
        <v>38522</v>
      </c>
      <c r="O88" s="6" t="s">
        <v>38523</v>
      </c>
      <c r="P88" s="6" t="s">
        <v>38148</v>
      </c>
      <c r="Q88" s="6" t="s">
        <v>38524</v>
      </c>
      <c r="R88" s="6" t="s">
        <v>38525</v>
      </c>
      <c r="S88" s="6" t="s">
        <v>38526</v>
      </c>
      <c r="T88" s="6" t="s">
        <v>38527</v>
      </c>
      <c r="U88" s="6" t="s">
        <v>38528</v>
      </c>
      <c r="V88" s="6" t="s">
        <v>38529</v>
      </c>
      <c r="W88" s="6" t="s">
        <v>38530</v>
      </c>
      <c r="X88" s="6" t="s">
        <v>38531</v>
      </c>
      <c r="Y88" s="6" t="s">
        <v>38131</v>
      </c>
      <c r="Z88" s="6" t="s">
        <v>38532</v>
      </c>
      <c r="AA88" s="6" t="s">
        <v>38533</v>
      </c>
      <c r="AB88" s="6" t="s">
        <v>38168</v>
      </c>
      <c r="AC88" s="6" t="s">
        <v>38534</v>
      </c>
      <c r="AD88" s="6" t="s">
        <v>38535</v>
      </c>
      <c r="AE88" s="6" t="s">
        <v>38536</v>
      </c>
      <c r="AF88" s="6" t="s">
        <v>38537</v>
      </c>
      <c r="AG88" s="6" t="s">
        <v>38538</v>
      </c>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row>
    <row r="89" spans="1:72">
      <c r="A89" s="8" t="s">
        <v>2162</v>
      </c>
      <c r="B89" s="11" t="s">
        <v>2166</v>
      </c>
      <c r="C89" s="9" t="s">
        <v>138</v>
      </c>
      <c r="D89" s="10" t="s">
        <v>138</v>
      </c>
      <c r="E89" s="28" t="s">
        <v>2174</v>
      </c>
      <c r="F89" s="28" t="s">
        <v>864</v>
      </c>
      <c r="G89" s="28" t="s">
        <v>162</v>
      </c>
      <c r="H89" s="13">
        <v>2</v>
      </c>
      <c r="I89" s="12" t="s">
        <v>2179</v>
      </c>
      <c r="J89" s="12" t="s">
        <v>6235</v>
      </c>
      <c r="K89" s="12" t="s">
        <v>38539</v>
      </c>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row>
    <row r="90" spans="1:72">
      <c r="A90" s="2" t="s">
        <v>2183</v>
      </c>
      <c r="B90" s="5" t="s">
        <v>2190</v>
      </c>
      <c r="C90" s="3" t="s">
        <v>138</v>
      </c>
      <c r="D90" s="4" t="s">
        <v>2184</v>
      </c>
      <c r="E90" s="15" t="s">
        <v>2200</v>
      </c>
      <c r="F90" s="15" t="s">
        <v>824</v>
      </c>
      <c r="G90" s="15" t="s">
        <v>526</v>
      </c>
      <c r="H90" s="7">
        <v>4</v>
      </c>
      <c r="I90" s="6" t="s">
        <v>2203</v>
      </c>
      <c r="J90" s="6" t="s">
        <v>38540</v>
      </c>
      <c r="K90" s="6" t="s">
        <v>38363</v>
      </c>
      <c r="L90" s="6" t="s">
        <v>38541</v>
      </c>
      <c r="M90" s="6" t="s">
        <v>38542</v>
      </c>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row>
    <row r="91" spans="1:72">
      <c r="A91" s="8" t="s">
        <v>2206</v>
      </c>
      <c r="B91" s="11" t="s">
        <v>2212</v>
      </c>
      <c r="C91" s="9" t="s">
        <v>138</v>
      </c>
      <c r="D91" s="10" t="s">
        <v>138</v>
      </c>
      <c r="E91" s="28" t="s">
        <v>1223</v>
      </c>
      <c r="F91" s="28" t="s">
        <v>200</v>
      </c>
      <c r="G91" s="28" t="s">
        <v>162</v>
      </c>
      <c r="H91" s="13">
        <v>12</v>
      </c>
      <c r="I91" s="12" t="s">
        <v>2222</v>
      </c>
      <c r="J91" s="12" t="s">
        <v>38543</v>
      </c>
      <c r="K91" s="12" t="s">
        <v>38544</v>
      </c>
      <c r="L91" s="12" t="s">
        <v>38545</v>
      </c>
      <c r="M91" s="12" t="s">
        <v>38546</v>
      </c>
      <c r="N91" s="12" t="s">
        <v>38547</v>
      </c>
      <c r="O91" s="12" t="s">
        <v>37786</v>
      </c>
      <c r="P91" s="12" t="s">
        <v>38548</v>
      </c>
      <c r="Q91" s="12" t="s">
        <v>37931</v>
      </c>
      <c r="R91" s="12" t="s">
        <v>38549</v>
      </c>
      <c r="S91" s="12" t="s">
        <v>38550</v>
      </c>
      <c r="T91" s="12" t="s">
        <v>38551</v>
      </c>
      <c r="U91" s="12" t="s">
        <v>38552</v>
      </c>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row>
    <row r="92" spans="1:72">
      <c r="A92" s="2" t="s">
        <v>2230</v>
      </c>
      <c r="B92" s="5" t="s">
        <v>2238</v>
      </c>
      <c r="C92" s="3" t="s">
        <v>2231</v>
      </c>
      <c r="D92" s="4" t="s">
        <v>138</v>
      </c>
      <c r="E92" s="15" t="s">
        <v>426</v>
      </c>
      <c r="F92" s="15" t="s">
        <v>426</v>
      </c>
      <c r="G92" s="15" t="s">
        <v>162</v>
      </c>
      <c r="H92" s="7">
        <v>17</v>
      </c>
      <c r="I92" s="6" t="s">
        <v>2247</v>
      </c>
      <c r="J92" s="6" t="s">
        <v>38553</v>
      </c>
      <c r="K92" s="6" t="s">
        <v>38554</v>
      </c>
      <c r="L92" s="6" t="s">
        <v>38555</v>
      </c>
      <c r="M92" s="6" t="s">
        <v>38011</v>
      </c>
      <c r="N92" s="6" t="s">
        <v>38378</v>
      </c>
      <c r="O92" s="6" t="s">
        <v>38556</v>
      </c>
      <c r="P92" s="6" t="s">
        <v>38557</v>
      </c>
      <c r="Q92" s="6" t="s">
        <v>37788</v>
      </c>
      <c r="R92" s="6" t="s">
        <v>38558</v>
      </c>
      <c r="S92" s="6" t="s">
        <v>38559</v>
      </c>
      <c r="T92" s="6" t="s">
        <v>38560</v>
      </c>
      <c r="U92" s="6" t="s">
        <v>38561</v>
      </c>
      <c r="V92" s="6" t="s">
        <v>38562</v>
      </c>
      <c r="W92" s="6" t="s">
        <v>38563</v>
      </c>
      <c r="X92" s="6" t="s">
        <v>38564</v>
      </c>
      <c r="Y92" s="6" t="s">
        <v>38565</v>
      </c>
      <c r="Z92" s="6" t="s">
        <v>38566</v>
      </c>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row>
    <row r="93" spans="1:72">
      <c r="A93" s="8" t="s">
        <v>2252</v>
      </c>
      <c r="B93" s="11" t="s">
        <v>2257</v>
      </c>
      <c r="C93" s="9" t="s">
        <v>138</v>
      </c>
      <c r="D93" s="10" t="s">
        <v>138</v>
      </c>
      <c r="E93" s="28" t="s">
        <v>2263</v>
      </c>
      <c r="F93" s="28" t="s">
        <v>138</v>
      </c>
      <c r="G93" s="28" t="s">
        <v>2265</v>
      </c>
      <c r="H93" s="13">
        <v>2</v>
      </c>
      <c r="I93" s="12" t="s">
        <v>2267</v>
      </c>
      <c r="J93" s="12" t="s">
        <v>10378</v>
      </c>
      <c r="K93" s="12" t="s">
        <v>38567</v>
      </c>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row>
    <row r="94" spans="1:72">
      <c r="A94" s="2" t="s">
        <v>2270</v>
      </c>
      <c r="B94" s="5" t="s">
        <v>2276</v>
      </c>
      <c r="C94" s="3" t="s">
        <v>138</v>
      </c>
      <c r="D94" s="4" t="s">
        <v>138</v>
      </c>
      <c r="E94" s="15" t="s">
        <v>1872</v>
      </c>
      <c r="F94" s="15" t="s">
        <v>200</v>
      </c>
      <c r="G94" s="15" t="s">
        <v>162</v>
      </c>
      <c r="H94" s="7">
        <v>20</v>
      </c>
      <c r="I94" s="6" t="s">
        <v>2288</v>
      </c>
      <c r="J94" s="6" t="s">
        <v>38568</v>
      </c>
      <c r="K94" s="6" t="s">
        <v>38569</v>
      </c>
      <c r="L94" s="6" t="s">
        <v>38570</v>
      </c>
      <c r="M94" s="6" t="s">
        <v>38571</v>
      </c>
      <c r="N94" s="6" t="s">
        <v>38572</v>
      </c>
      <c r="O94" s="6" t="s">
        <v>38573</v>
      </c>
      <c r="P94" s="6" t="s">
        <v>37786</v>
      </c>
      <c r="Q94" s="6" t="s">
        <v>38574</v>
      </c>
      <c r="R94" s="6" t="s">
        <v>38575</v>
      </c>
      <c r="S94" s="6" t="s">
        <v>37883</v>
      </c>
      <c r="T94" s="6" t="s">
        <v>38576</v>
      </c>
      <c r="U94" s="6" t="s">
        <v>38577</v>
      </c>
      <c r="V94" s="6" t="s">
        <v>38578</v>
      </c>
      <c r="W94" s="6" t="s">
        <v>37805</v>
      </c>
      <c r="X94" s="6" t="s">
        <v>38579</v>
      </c>
      <c r="Y94" s="6" t="s">
        <v>38580</v>
      </c>
      <c r="Z94" s="6" t="s">
        <v>38581</v>
      </c>
      <c r="AA94" s="6" t="s">
        <v>37885</v>
      </c>
      <c r="AB94" s="6" t="s">
        <v>38582</v>
      </c>
      <c r="AC94" s="6" t="s">
        <v>38583</v>
      </c>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row>
    <row r="95" spans="1:72">
      <c r="A95" s="8" t="s">
        <v>2294</v>
      </c>
      <c r="B95" s="11" t="s">
        <v>2300</v>
      </c>
      <c r="C95" s="9" t="s">
        <v>138</v>
      </c>
      <c r="D95" s="10" t="s">
        <v>138</v>
      </c>
      <c r="E95" s="28" t="s">
        <v>1612</v>
      </c>
      <c r="F95" s="28" t="s">
        <v>138</v>
      </c>
      <c r="G95" s="28" t="s">
        <v>1614</v>
      </c>
      <c r="H95" s="13">
        <v>4</v>
      </c>
      <c r="I95" s="12" t="s">
        <v>2311</v>
      </c>
      <c r="J95" s="12" t="s">
        <v>38584</v>
      </c>
      <c r="K95" s="12" t="s">
        <v>38354</v>
      </c>
      <c r="L95" s="12" t="s">
        <v>38585</v>
      </c>
      <c r="M95" s="12" t="s">
        <v>38586</v>
      </c>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row>
    <row r="96" spans="1:72">
      <c r="A96" s="2" t="s">
        <v>2316</v>
      </c>
      <c r="B96" s="5" t="s">
        <v>2321</v>
      </c>
      <c r="C96" s="3" t="s">
        <v>138</v>
      </c>
      <c r="D96" s="4" t="s">
        <v>2317</v>
      </c>
      <c r="E96" s="15" t="s">
        <v>2330</v>
      </c>
      <c r="F96" s="15" t="s">
        <v>2331</v>
      </c>
      <c r="G96" s="15" t="s">
        <v>2333</v>
      </c>
      <c r="H96" s="7">
        <v>18</v>
      </c>
      <c r="I96" s="6" t="s">
        <v>2337</v>
      </c>
      <c r="J96" s="6" t="s">
        <v>38587</v>
      </c>
      <c r="K96" s="6" t="s">
        <v>38588</v>
      </c>
      <c r="L96" s="6" t="s">
        <v>38299</v>
      </c>
      <c r="M96" s="6" t="s">
        <v>38589</v>
      </c>
      <c r="N96" s="6" t="s">
        <v>38590</v>
      </c>
      <c r="O96" s="6" t="s">
        <v>38591</v>
      </c>
      <c r="P96" s="6" t="s">
        <v>38592</v>
      </c>
      <c r="Q96" s="6" t="s">
        <v>38593</v>
      </c>
      <c r="R96" s="6" t="s">
        <v>38594</v>
      </c>
      <c r="S96" s="6" t="s">
        <v>38595</v>
      </c>
      <c r="T96" s="6" t="s">
        <v>38317</v>
      </c>
      <c r="U96" s="6" t="s">
        <v>38596</v>
      </c>
      <c r="V96" s="6" t="s">
        <v>38597</v>
      </c>
      <c r="W96" s="6" t="s">
        <v>38598</v>
      </c>
      <c r="X96" s="6" t="s">
        <v>38599</v>
      </c>
      <c r="Y96" s="6" t="s">
        <v>38291</v>
      </c>
      <c r="Z96" s="6" t="s">
        <v>38600</v>
      </c>
      <c r="AA96" s="6" t="s">
        <v>38601</v>
      </c>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row>
    <row r="97" spans="1:72">
      <c r="A97" s="8" t="s">
        <v>2340</v>
      </c>
      <c r="B97" s="11" t="s">
        <v>2345</v>
      </c>
      <c r="C97" s="9" t="s">
        <v>138</v>
      </c>
      <c r="D97" s="10" t="s">
        <v>138</v>
      </c>
      <c r="E97" s="28" t="s">
        <v>823</v>
      </c>
      <c r="F97" s="28" t="s">
        <v>824</v>
      </c>
      <c r="G97" s="28" t="s">
        <v>526</v>
      </c>
      <c r="H97" s="13">
        <v>32</v>
      </c>
      <c r="I97" s="12" t="s">
        <v>2355</v>
      </c>
      <c r="J97" s="12" t="s">
        <v>38602</v>
      </c>
      <c r="K97" s="12" t="s">
        <v>38603</v>
      </c>
      <c r="L97" s="12" t="s">
        <v>38604</v>
      </c>
      <c r="M97" s="12" t="s">
        <v>38605</v>
      </c>
      <c r="N97" s="12" t="s">
        <v>38606</v>
      </c>
      <c r="O97" s="12" t="s">
        <v>38607</v>
      </c>
      <c r="P97" s="12" t="s">
        <v>38608</v>
      </c>
      <c r="Q97" s="12" t="s">
        <v>38609</v>
      </c>
      <c r="R97" s="12" t="s">
        <v>38610</v>
      </c>
      <c r="S97" s="12" t="s">
        <v>38611</v>
      </c>
      <c r="T97" s="12" t="s">
        <v>38612</v>
      </c>
      <c r="U97" s="12" t="s">
        <v>38613</v>
      </c>
      <c r="V97" s="12" t="s">
        <v>38614</v>
      </c>
      <c r="W97" s="12" t="s">
        <v>38547</v>
      </c>
      <c r="X97" s="12" t="s">
        <v>38511</v>
      </c>
      <c r="Y97" s="12" t="s">
        <v>38615</v>
      </c>
      <c r="Z97" s="12" t="s">
        <v>37787</v>
      </c>
      <c r="AA97" s="12" t="s">
        <v>38616</v>
      </c>
      <c r="AB97" s="12" t="s">
        <v>38617</v>
      </c>
      <c r="AC97" s="12" t="s">
        <v>38618</v>
      </c>
      <c r="AD97" s="12" t="s">
        <v>38619</v>
      </c>
      <c r="AE97" s="12" t="s">
        <v>38620</v>
      </c>
      <c r="AF97" s="12" t="s">
        <v>38621</v>
      </c>
      <c r="AG97" s="12" t="s">
        <v>38622</v>
      </c>
      <c r="AH97" s="12" t="s">
        <v>38623</v>
      </c>
      <c r="AI97" s="12" t="s">
        <v>37998</v>
      </c>
      <c r="AJ97" s="12" t="s">
        <v>38624</v>
      </c>
      <c r="AK97" s="12" t="s">
        <v>38137</v>
      </c>
      <c r="AL97" s="12" t="s">
        <v>38625</v>
      </c>
      <c r="AM97" s="12" t="s">
        <v>38626</v>
      </c>
      <c r="AN97" s="12" t="s">
        <v>38627</v>
      </c>
      <c r="AO97" s="12" t="s">
        <v>38628</v>
      </c>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row>
    <row r="98" spans="1:72">
      <c r="A98" s="2" t="s">
        <v>2361</v>
      </c>
      <c r="B98" s="5" t="s">
        <v>2366</v>
      </c>
      <c r="C98" s="3" t="s">
        <v>138</v>
      </c>
      <c r="D98" s="4" t="s">
        <v>2362</v>
      </c>
      <c r="E98" s="15" t="s">
        <v>898</v>
      </c>
      <c r="F98" s="15" t="s">
        <v>138</v>
      </c>
      <c r="G98" s="15" t="s">
        <v>450</v>
      </c>
      <c r="H98" s="7">
        <v>4</v>
      </c>
      <c r="I98" s="6" t="s">
        <v>2371</v>
      </c>
      <c r="J98" s="6" t="s">
        <v>455</v>
      </c>
      <c r="K98" s="6" t="s">
        <v>38629</v>
      </c>
      <c r="L98" s="6" t="s">
        <v>38630</v>
      </c>
      <c r="M98" s="6" t="s">
        <v>38631</v>
      </c>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row>
    <row r="99" spans="1:72">
      <c r="A99" s="8" t="s">
        <v>2374</v>
      </c>
      <c r="B99" s="11" t="s">
        <v>2381</v>
      </c>
      <c r="C99" s="9" t="s">
        <v>2375</v>
      </c>
      <c r="D99" s="10" t="s">
        <v>138</v>
      </c>
      <c r="E99" s="28" t="s">
        <v>2391</v>
      </c>
      <c r="F99" s="28" t="s">
        <v>200</v>
      </c>
      <c r="G99" s="28" t="s">
        <v>162</v>
      </c>
      <c r="H99" s="13">
        <v>1</v>
      </c>
      <c r="I99" s="12" t="s">
        <v>2394</v>
      </c>
      <c r="J99" s="12" t="s">
        <v>2394</v>
      </c>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row>
    <row r="100" spans="1:72">
      <c r="A100" s="2" t="s">
        <v>2402</v>
      </c>
      <c r="B100" s="5" t="s">
        <v>2409</v>
      </c>
      <c r="C100" s="3" t="s">
        <v>2403</v>
      </c>
      <c r="D100" s="4" t="s">
        <v>138</v>
      </c>
      <c r="E100" s="15" t="s">
        <v>1872</v>
      </c>
      <c r="F100" s="15" t="s">
        <v>200</v>
      </c>
      <c r="G100" s="15" t="s">
        <v>162</v>
      </c>
      <c r="H100" s="7">
        <v>26</v>
      </c>
      <c r="I100" s="6" t="s">
        <v>2419</v>
      </c>
      <c r="J100" s="6" t="s">
        <v>38632</v>
      </c>
      <c r="K100" s="6" t="s">
        <v>37979</v>
      </c>
      <c r="L100" s="6" t="s">
        <v>38633</v>
      </c>
      <c r="M100" s="6" t="s">
        <v>38366</v>
      </c>
      <c r="N100" s="6" t="s">
        <v>38634</v>
      </c>
      <c r="O100" s="6" t="s">
        <v>38210</v>
      </c>
      <c r="P100" s="6" t="s">
        <v>38043</v>
      </c>
      <c r="Q100" s="6" t="s">
        <v>38415</v>
      </c>
      <c r="R100" s="6" t="s">
        <v>38635</v>
      </c>
      <c r="S100" s="6" t="s">
        <v>38636</v>
      </c>
      <c r="T100" s="6" t="s">
        <v>38637</v>
      </c>
      <c r="U100" s="6" t="s">
        <v>38638</v>
      </c>
      <c r="V100" s="6" t="s">
        <v>38639</v>
      </c>
      <c r="W100" s="6" t="s">
        <v>38640</v>
      </c>
      <c r="X100" s="6" t="s">
        <v>38641</v>
      </c>
      <c r="Y100" s="6" t="s">
        <v>38642</v>
      </c>
      <c r="Z100" s="6" t="s">
        <v>38643</v>
      </c>
      <c r="AA100" s="6" t="s">
        <v>38644</v>
      </c>
      <c r="AB100" s="6" t="s">
        <v>38645</v>
      </c>
      <c r="AC100" s="6" t="s">
        <v>37890</v>
      </c>
      <c r="AD100" s="6" t="s">
        <v>38200</v>
      </c>
      <c r="AE100" s="6" t="s">
        <v>38478</v>
      </c>
      <c r="AF100" s="6" t="s">
        <v>38646</v>
      </c>
      <c r="AG100" s="6" t="s">
        <v>38436</v>
      </c>
      <c r="AH100" s="6" t="s">
        <v>38647</v>
      </c>
      <c r="AI100" s="6" t="s">
        <v>37886</v>
      </c>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row>
    <row r="101" spans="1:72">
      <c r="A101" s="8" t="s">
        <v>2422</v>
      </c>
      <c r="B101" s="11" t="s">
        <v>2429</v>
      </c>
      <c r="C101" s="9" t="s">
        <v>2423</v>
      </c>
      <c r="D101" s="10" t="s">
        <v>138</v>
      </c>
      <c r="E101" s="28" t="s">
        <v>1246</v>
      </c>
      <c r="F101" s="28" t="s">
        <v>200</v>
      </c>
      <c r="G101" s="28" t="s">
        <v>162</v>
      </c>
      <c r="H101" s="13">
        <v>15</v>
      </c>
      <c r="I101" s="12" t="s">
        <v>2441</v>
      </c>
      <c r="J101" s="12" t="s">
        <v>38648</v>
      </c>
      <c r="K101" s="12" t="s">
        <v>38649</v>
      </c>
      <c r="L101" s="12" t="s">
        <v>38414</v>
      </c>
      <c r="M101" s="12" t="s">
        <v>38650</v>
      </c>
      <c r="N101" s="12" t="s">
        <v>38651</v>
      </c>
      <c r="O101" s="12" t="s">
        <v>37855</v>
      </c>
      <c r="P101" s="12" t="s">
        <v>38652</v>
      </c>
      <c r="Q101" s="12" t="s">
        <v>38653</v>
      </c>
      <c r="R101" s="12" t="s">
        <v>38654</v>
      </c>
      <c r="S101" s="12" t="s">
        <v>38049</v>
      </c>
      <c r="T101" s="12" t="s">
        <v>38655</v>
      </c>
      <c r="U101" s="12" t="s">
        <v>38656</v>
      </c>
      <c r="V101" s="12" t="s">
        <v>38657</v>
      </c>
      <c r="W101" s="12" t="s">
        <v>38658</v>
      </c>
      <c r="X101" s="12" t="s">
        <v>38659</v>
      </c>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row>
    <row r="102" spans="1:72">
      <c r="A102" s="2" t="s">
        <v>2445</v>
      </c>
      <c r="B102" s="5" t="s">
        <v>2448</v>
      </c>
      <c r="C102" s="3" t="s">
        <v>138</v>
      </c>
      <c r="D102" s="4" t="s">
        <v>138</v>
      </c>
      <c r="E102" s="15" t="s">
        <v>499</v>
      </c>
      <c r="F102" s="15" t="s">
        <v>138</v>
      </c>
      <c r="G102" s="15" t="s">
        <v>450</v>
      </c>
      <c r="H102" s="7">
        <v>13</v>
      </c>
      <c r="I102" s="6" t="s">
        <v>2457</v>
      </c>
      <c r="J102" s="6" t="s">
        <v>38660</v>
      </c>
      <c r="K102" s="6" t="s">
        <v>38661</v>
      </c>
      <c r="L102" s="6" t="s">
        <v>38662</v>
      </c>
      <c r="M102" s="6" t="s">
        <v>38663</v>
      </c>
      <c r="N102" s="6" t="s">
        <v>38664</v>
      </c>
      <c r="O102" s="6" t="s">
        <v>38665</v>
      </c>
      <c r="P102" s="6" t="s">
        <v>38666</v>
      </c>
      <c r="Q102" s="6" t="s">
        <v>38667</v>
      </c>
      <c r="R102" s="6" t="s">
        <v>38668</v>
      </c>
      <c r="S102" s="6" t="s">
        <v>38669</v>
      </c>
      <c r="T102" s="6" t="s">
        <v>38670</v>
      </c>
      <c r="U102" s="6" t="s">
        <v>38671</v>
      </c>
      <c r="V102" s="6" t="s">
        <v>38581</v>
      </c>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row>
    <row r="103" spans="1:72">
      <c r="A103" s="8" t="s">
        <v>2461</v>
      </c>
      <c r="B103" s="11" t="s">
        <v>2467</v>
      </c>
      <c r="C103" s="9" t="s">
        <v>138</v>
      </c>
      <c r="D103" s="10" t="s">
        <v>138</v>
      </c>
      <c r="E103" s="28" t="s">
        <v>426</v>
      </c>
      <c r="F103" s="28" t="s">
        <v>426</v>
      </c>
      <c r="G103" s="28" t="s">
        <v>162</v>
      </c>
      <c r="H103" s="13">
        <v>17</v>
      </c>
      <c r="I103" s="12" t="s">
        <v>2478</v>
      </c>
      <c r="J103" s="12" t="s">
        <v>17579</v>
      </c>
      <c r="K103" s="12" t="s">
        <v>38672</v>
      </c>
      <c r="L103" s="12" t="s">
        <v>38673</v>
      </c>
      <c r="M103" s="12" t="s">
        <v>38674</v>
      </c>
      <c r="N103" s="12" t="s">
        <v>38675</v>
      </c>
      <c r="O103" s="12" t="s">
        <v>38676</v>
      </c>
      <c r="P103" s="12" t="s">
        <v>38677</v>
      </c>
      <c r="Q103" s="12" t="s">
        <v>38678</v>
      </c>
      <c r="R103" s="12" t="s">
        <v>38679</v>
      </c>
      <c r="S103" s="12" t="s">
        <v>38680</v>
      </c>
      <c r="T103" s="12" t="s">
        <v>38681</v>
      </c>
      <c r="U103" s="12" t="s">
        <v>38682</v>
      </c>
      <c r="V103" s="12" t="s">
        <v>37998</v>
      </c>
      <c r="W103" s="12" t="s">
        <v>38683</v>
      </c>
      <c r="X103" s="12" t="s">
        <v>38684</v>
      </c>
      <c r="Y103" s="12" t="s">
        <v>38033</v>
      </c>
      <c r="Z103" s="12" t="s">
        <v>38685</v>
      </c>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row>
    <row r="104" spans="1:72">
      <c r="A104" s="2" t="s">
        <v>2481</v>
      </c>
      <c r="B104" s="5" t="s">
        <v>2488</v>
      </c>
      <c r="C104" s="3" t="s">
        <v>138</v>
      </c>
      <c r="D104" s="4" t="s">
        <v>138</v>
      </c>
      <c r="E104" s="15" t="s">
        <v>2493</v>
      </c>
      <c r="F104" s="15" t="s">
        <v>371</v>
      </c>
      <c r="G104" s="15" t="s">
        <v>162</v>
      </c>
      <c r="H104" s="7">
        <v>5</v>
      </c>
      <c r="I104" s="6" t="s">
        <v>2498</v>
      </c>
      <c r="J104" s="6" t="s">
        <v>38686</v>
      </c>
      <c r="K104" s="6" t="s">
        <v>38687</v>
      </c>
      <c r="L104" s="6" t="s">
        <v>38688</v>
      </c>
      <c r="M104" s="6" t="s">
        <v>38689</v>
      </c>
      <c r="N104" s="6" t="s">
        <v>38363</v>
      </c>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row>
    <row r="105" spans="1:72">
      <c r="A105" s="8" t="s">
        <v>2504</v>
      </c>
      <c r="B105" s="11" t="s">
        <v>2512</v>
      </c>
      <c r="C105" s="9" t="s">
        <v>2505</v>
      </c>
      <c r="D105" s="10" t="s">
        <v>138</v>
      </c>
      <c r="E105" s="28" t="s">
        <v>2520</v>
      </c>
      <c r="F105" s="28" t="s">
        <v>597</v>
      </c>
      <c r="G105" s="28" t="s">
        <v>162</v>
      </c>
      <c r="H105" s="13">
        <v>12</v>
      </c>
      <c r="I105" s="12" t="s">
        <v>2524</v>
      </c>
      <c r="J105" s="12" t="s">
        <v>38690</v>
      </c>
      <c r="K105" s="12" t="s">
        <v>38691</v>
      </c>
      <c r="L105" s="12" t="s">
        <v>38692</v>
      </c>
      <c r="M105" s="12" t="s">
        <v>38693</v>
      </c>
      <c r="N105" s="12" t="s">
        <v>38694</v>
      </c>
      <c r="O105" s="12" t="s">
        <v>38695</v>
      </c>
      <c r="P105" s="12" t="s">
        <v>38047</v>
      </c>
      <c r="Q105" s="12" t="s">
        <v>38696</v>
      </c>
      <c r="R105" s="12" t="s">
        <v>38200</v>
      </c>
      <c r="S105" s="12" t="s">
        <v>37917</v>
      </c>
      <c r="T105" s="12" t="s">
        <v>38697</v>
      </c>
      <c r="U105" s="12" t="s">
        <v>38698</v>
      </c>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row>
    <row r="106" spans="1:72">
      <c r="A106" s="2" t="s">
        <v>2530</v>
      </c>
      <c r="B106" s="5" t="s">
        <v>2537</v>
      </c>
      <c r="C106" s="3" t="s">
        <v>138</v>
      </c>
      <c r="D106" s="4" t="s">
        <v>2531</v>
      </c>
      <c r="E106" s="15" t="s">
        <v>1223</v>
      </c>
      <c r="F106" s="15" t="s">
        <v>200</v>
      </c>
      <c r="G106" s="15" t="s">
        <v>162</v>
      </c>
      <c r="H106" s="7">
        <v>10</v>
      </c>
      <c r="I106" s="6" t="s">
        <v>2547</v>
      </c>
      <c r="J106" s="6" t="s">
        <v>38699</v>
      </c>
      <c r="K106" s="6" t="s">
        <v>38700</v>
      </c>
      <c r="L106" s="6" t="s">
        <v>38701</v>
      </c>
      <c r="M106" s="6" t="s">
        <v>38319</v>
      </c>
      <c r="N106" s="6" t="s">
        <v>38702</v>
      </c>
      <c r="O106" s="6" t="s">
        <v>38703</v>
      </c>
      <c r="P106" s="6" t="s">
        <v>38322</v>
      </c>
      <c r="Q106" s="6" t="s">
        <v>38704</v>
      </c>
      <c r="R106" s="6" t="s">
        <v>38705</v>
      </c>
      <c r="S106" s="6" t="s">
        <v>38706</v>
      </c>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row>
    <row r="107" spans="1:72">
      <c r="A107" s="8" t="s">
        <v>2552</v>
      </c>
      <c r="B107" s="11" t="s">
        <v>2559</v>
      </c>
      <c r="C107" s="9" t="s">
        <v>2553</v>
      </c>
      <c r="D107" s="10" t="s">
        <v>138</v>
      </c>
      <c r="E107" s="28" t="s">
        <v>944</v>
      </c>
      <c r="F107" s="28" t="s">
        <v>138</v>
      </c>
      <c r="G107" s="28" t="s">
        <v>946</v>
      </c>
      <c r="H107" s="13">
        <v>16</v>
      </c>
      <c r="I107" s="12" t="s">
        <v>2571</v>
      </c>
      <c r="J107" s="12" t="s">
        <v>38707</v>
      </c>
      <c r="K107" s="12" t="s">
        <v>38106</v>
      </c>
      <c r="L107" s="12" t="s">
        <v>38708</v>
      </c>
      <c r="M107" s="12" t="s">
        <v>38511</v>
      </c>
      <c r="N107" s="12" t="s">
        <v>37855</v>
      </c>
      <c r="O107" s="12" t="s">
        <v>38709</v>
      </c>
      <c r="P107" s="12" t="s">
        <v>38710</v>
      </c>
      <c r="Q107" s="12" t="s">
        <v>37781</v>
      </c>
      <c r="R107" s="12" t="s">
        <v>38711</v>
      </c>
      <c r="S107" s="12" t="s">
        <v>38712</v>
      </c>
      <c r="T107" s="12" t="s">
        <v>38713</v>
      </c>
      <c r="U107" s="12" t="s">
        <v>38714</v>
      </c>
      <c r="V107" s="12" t="s">
        <v>37971</v>
      </c>
      <c r="W107" s="12" t="s">
        <v>38715</v>
      </c>
      <c r="X107" s="12" t="s">
        <v>38716</v>
      </c>
      <c r="Y107" s="12" t="s">
        <v>38717</v>
      </c>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row>
    <row r="108" spans="1:72">
      <c r="A108" s="2" t="s">
        <v>2575</v>
      </c>
      <c r="B108" s="5" t="s">
        <v>2581</v>
      </c>
      <c r="C108" s="3" t="s">
        <v>138</v>
      </c>
      <c r="D108" s="4" t="s">
        <v>138</v>
      </c>
      <c r="E108" s="15" t="s">
        <v>1198</v>
      </c>
      <c r="F108" s="15" t="s">
        <v>138</v>
      </c>
      <c r="G108" s="15" t="s">
        <v>1200</v>
      </c>
      <c r="H108" s="7">
        <v>3</v>
      </c>
      <c r="I108" s="6" t="s">
        <v>2591</v>
      </c>
      <c r="J108" s="6" t="s">
        <v>38718</v>
      </c>
      <c r="K108" s="6" t="s">
        <v>38719</v>
      </c>
      <c r="L108" s="6" t="s">
        <v>38065</v>
      </c>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row>
    <row r="109" spans="1:72">
      <c r="A109" s="8" t="s">
        <v>2594</v>
      </c>
      <c r="B109" s="11" t="s">
        <v>2601</v>
      </c>
      <c r="C109" s="9" t="s">
        <v>2595</v>
      </c>
      <c r="D109" s="10" t="s">
        <v>138</v>
      </c>
      <c r="E109" s="28" t="s">
        <v>426</v>
      </c>
      <c r="F109" s="28" t="s">
        <v>426</v>
      </c>
      <c r="G109" s="28" t="s">
        <v>162</v>
      </c>
      <c r="H109" s="13">
        <v>21</v>
      </c>
      <c r="I109" s="12" t="s">
        <v>2613</v>
      </c>
      <c r="J109" s="12" t="s">
        <v>38720</v>
      </c>
      <c r="K109" s="12" t="s">
        <v>38281</v>
      </c>
      <c r="L109" s="12" t="s">
        <v>38175</v>
      </c>
      <c r="M109" s="12" t="s">
        <v>38569</v>
      </c>
      <c r="N109" s="12" t="s">
        <v>38042</v>
      </c>
      <c r="O109" s="12" t="s">
        <v>37878</v>
      </c>
      <c r="P109" s="12" t="s">
        <v>37949</v>
      </c>
      <c r="Q109" s="12" t="s">
        <v>38721</v>
      </c>
      <c r="R109" s="12" t="s">
        <v>37786</v>
      </c>
      <c r="S109" s="12" t="s">
        <v>38722</v>
      </c>
      <c r="T109" s="12" t="s">
        <v>37922</v>
      </c>
      <c r="U109" s="12" t="s">
        <v>38723</v>
      </c>
      <c r="V109" s="12" t="s">
        <v>38724</v>
      </c>
      <c r="W109" s="12" t="s">
        <v>38050</v>
      </c>
      <c r="X109" s="12" t="s">
        <v>38725</v>
      </c>
      <c r="Y109" s="12" t="s">
        <v>38184</v>
      </c>
      <c r="Z109" s="12" t="s">
        <v>38030</v>
      </c>
      <c r="AA109" s="12" t="s">
        <v>37783</v>
      </c>
      <c r="AB109" s="12" t="s">
        <v>38726</v>
      </c>
      <c r="AC109" s="12" t="s">
        <v>38582</v>
      </c>
      <c r="AD109" s="12" t="s">
        <v>37976</v>
      </c>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row>
    <row r="110" spans="1:72">
      <c r="A110" s="2" t="s">
        <v>2617</v>
      </c>
      <c r="B110" s="5" t="s">
        <v>2622</v>
      </c>
      <c r="C110" s="3" t="s">
        <v>138</v>
      </c>
      <c r="D110" s="4" t="s">
        <v>138</v>
      </c>
      <c r="E110" s="15" t="s">
        <v>2493</v>
      </c>
      <c r="F110" s="15" t="s">
        <v>371</v>
      </c>
      <c r="G110" s="15" t="s">
        <v>162</v>
      </c>
      <c r="H110" s="7">
        <v>6</v>
      </c>
      <c r="I110" s="6" t="s">
        <v>2631</v>
      </c>
      <c r="J110" s="6" t="s">
        <v>2912</v>
      </c>
      <c r="K110" s="6" t="s">
        <v>37786</v>
      </c>
      <c r="L110" s="6" t="s">
        <v>38727</v>
      </c>
      <c r="M110" s="6" t="s">
        <v>38728</v>
      </c>
      <c r="N110" s="6" t="s">
        <v>38313</v>
      </c>
      <c r="O110" s="6" t="s">
        <v>38729</v>
      </c>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row>
    <row r="111" spans="1:72">
      <c r="A111" s="8" t="s">
        <v>2635</v>
      </c>
      <c r="B111" s="11" t="s">
        <v>2643</v>
      </c>
      <c r="C111" s="9" t="s">
        <v>2636</v>
      </c>
      <c r="D111" s="10" t="s">
        <v>2637</v>
      </c>
      <c r="E111" s="28" t="s">
        <v>2651</v>
      </c>
      <c r="F111" s="28" t="s">
        <v>200</v>
      </c>
      <c r="G111" s="28" t="s">
        <v>162</v>
      </c>
      <c r="H111" s="13">
        <v>4</v>
      </c>
      <c r="I111" s="12" t="s">
        <v>2654</v>
      </c>
      <c r="J111" s="12" t="s">
        <v>38730</v>
      </c>
      <c r="K111" s="12" t="s">
        <v>38200</v>
      </c>
      <c r="L111" s="12" t="s">
        <v>38731</v>
      </c>
      <c r="M111" s="12" t="s">
        <v>38732</v>
      </c>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row>
    <row r="112" spans="1:72">
      <c r="A112" s="2" t="s">
        <v>2658</v>
      </c>
      <c r="B112" s="5" t="s">
        <v>2667</v>
      </c>
      <c r="C112" s="3" t="s">
        <v>138</v>
      </c>
      <c r="D112" s="4" t="s">
        <v>2659</v>
      </c>
      <c r="E112" s="15" t="s">
        <v>426</v>
      </c>
      <c r="F112" s="15" t="s">
        <v>426</v>
      </c>
      <c r="G112" s="15" t="s">
        <v>162</v>
      </c>
      <c r="H112" s="7">
        <v>43</v>
      </c>
      <c r="I112" s="6" t="s">
        <v>2676</v>
      </c>
      <c r="J112" s="6" t="s">
        <v>38733</v>
      </c>
      <c r="K112" s="6" t="s">
        <v>38734</v>
      </c>
      <c r="L112" s="6" t="s">
        <v>38735</v>
      </c>
      <c r="M112" s="6" t="s">
        <v>38736</v>
      </c>
      <c r="N112" s="6" t="s">
        <v>38175</v>
      </c>
      <c r="O112" s="6" t="s">
        <v>38737</v>
      </c>
      <c r="P112" s="6" t="s">
        <v>38738</v>
      </c>
      <c r="Q112" s="6" t="s">
        <v>38739</v>
      </c>
      <c r="R112" s="6" t="s">
        <v>38110</v>
      </c>
      <c r="S112" s="6" t="s">
        <v>38178</v>
      </c>
      <c r="T112" s="6" t="s">
        <v>38418</v>
      </c>
      <c r="U112" s="6" t="s">
        <v>37986</v>
      </c>
      <c r="V112" s="6" t="s">
        <v>37879</v>
      </c>
      <c r="W112" s="6" t="s">
        <v>37949</v>
      </c>
      <c r="X112" s="6" t="s">
        <v>38740</v>
      </c>
      <c r="Y112" s="6" t="s">
        <v>38113</v>
      </c>
      <c r="Z112" s="6" t="s">
        <v>38741</v>
      </c>
      <c r="AA112" s="6" t="s">
        <v>37786</v>
      </c>
      <c r="AB112" s="6" t="s">
        <v>38742</v>
      </c>
      <c r="AC112" s="6" t="s">
        <v>38743</v>
      </c>
      <c r="AD112" s="6" t="s">
        <v>38744</v>
      </c>
      <c r="AE112" s="6" t="s">
        <v>38745</v>
      </c>
      <c r="AF112" s="6" t="s">
        <v>38722</v>
      </c>
      <c r="AG112" s="6" t="s">
        <v>37922</v>
      </c>
      <c r="AH112" s="6" t="s">
        <v>38746</v>
      </c>
      <c r="AI112" s="6" t="s">
        <v>38199</v>
      </c>
      <c r="AJ112" s="6" t="s">
        <v>38747</v>
      </c>
      <c r="AK112" s="6" t="s">
        <v>38429</v>
      </c>
      <c r="AL112" s="6" t="s">
        <v>38748</v>
      </c>
      <c r="AM112" s="6" t="s">
        <v>38749</v>
      </c>
      <c r="AN112" s="6" t="s">
        <v>38750</v>
      </c>
      <c r="AO112" s="6" t="s">
        <v>37806</v>
      </c>
      <c r="AP112" s="6" t="s">
        <v>38751</v>
      </c>
      <c r="AQ112" s="6" t="s">
        <v>37783</v>
      </c>
      <c r="AR112" s="6" t="s">
        <v>38752</v>
      </c>
      <c r="AS112" s="6" t="s">
        <v>37972</v>
      </c>
      <c r="AT112" s="6" t="s">
        <v>37885</v>
      </c>
      <c r="AU112" s="6" t="s">
        <v>38753</v>
      </c>
      <c r="AV112" s="6" t="s">
        <v>38754</v>
      </c>
      <c r="AW112" s="6" t="s">
        <v>38755</v>
      </c>
      <c r="AX112" s="6" t="s">
        <v>38756</v>
      </c>
      <c r="AY112" s="6" t="s">
        <v>38757</v>
      </c>
      <c r="AZ112" s="6" t="s">
        <v>38404</v>
      </c>
      <c r="BA112" s="6"/>
      <c r="BB112" s="6"/>
      <c r="BC112" s="6"/>
      <c r="BD112" s="6"/>
      <c r="BE112" s="6"/>
      <c r="BF112" s="6"/>
      <c r="BG112" s="6"/>
      <c r="BH112" s="6"/>
      <c r="BI112" s="6"/>
      <c r="BJ112" s="6"/>
      <c r="BK112" s="6"/>
      <c r="BL112" s="6"/>
      <c r="BM112" s="6"/>
      <c r="BN112" s="6"/>
      <c r="BO112" s="6"/>
      <c r="BP112" s="6"/>
      <c r="BQ112" s="6"/>
      <c r="BR112" s="6"/>
      <c r="BS112" s="6"/>
      <c r="BT112" s="6"/>
    </row>
    <row r="113" spans="1:72">
      <c r="A113" s="8" t="s">
        <v>2681</v>
      </c>
      <c r="B113" s="11" t="s">
        <v>2686</v>
      </c>
      <c r="C113" s="9" t="s">
        <v>138</v>
      </c>
      <c r="D113" s="10" t="s">
        <v>138</v>
      </c>
      <c r="E113" s="28" t="s">
        <v>2694</v>
      </c>
      <c r="F113" s="28" t="s">
        <v>138</v>
      </c>
      <c r="G113" s="28" t="s">
        <v>1054</v>
      </c>
      <c r="H113" s="13">
        <v>3</v>
      </c>
      <c r="I113" s="12" t="s">
        <v>2698</v>
      </c>
      <c r="J113" s="12" t="s">
        <v>38758</v>
      </c>
      <c r="K113" s="12" t="s">
        <v>38759</v>
      </c>
      <c r="L113" s="12" t="s">
        <v>38065</v>
      </c>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row>
    <row r="114" spans="1:72">
      <c r="A114" s="2" t="s">
        <v>2701</v>
      </c>
      <c r="B114" s="5" t="s">
        <v>2709</v>
      </c>
      <c r="C114" s="3" t="s">
        <v>138</v>
      </c>
      <c r="D114" s="4" t="s">
        <v>2702</v>
      </c>
      <c r="E114" s="15" t="s">
        <v>2718</v>
      </c>
      <c r="F114" s="15" t="s">
        <v>2718</v>
      </c>
      <c r="G114" s="15" t="s">
        <v>2719</v>
      </c>
      <c r="H114" s="7">
        <v>8</v>
      </c>
      <c r="I114" s="6" t="s">
        <v>2722</v>
      </c>
      <c r="J114" s="6" t="s">
        <v>38760</v>
      </c>
      <c r="K114" s="6" t="s">
        <v>38761</v>
      </c>
      <c r="L114" s="6" t="s">
        <v>38762</v>
      </c>
      <c r="M114" s="6" t="s">
        <v>37854</v>
      </c>
      <c r="N114" s="6" t="s">
        <v>37788</v>
      </c>
      <c r="O114" s="6" t="s">
        <v>38763</v>
      </c>
      <c r="P114" s="6" t="s">
        <v>38764</v>
      </c>
      <c r="Q114" s="6" t="s">
        <v>38765</v>
      </c>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row>
    <row r="115" spans="1:72">
      <c r="A115" s="8" t="s">
        <v>2727</v>
      </c>
      <c r="B115" s="11" t="s">
        <v>2731</v>
      </c>
      <c r="C115" s="9" t="s">
        <v>138</v>
      </c>
      <c r="D115" s="10" t="s">
        <v>138</v>
      </c>
      <c r="E115" s="28" t="s">
        <v>2739</v>
      </c>
      <c r="F115" s="28" t="s">
        <v>2740</v>
      </c>
      <c r="G115" s="28" t="s">
        <v>2742</v>
      </c>
      <c r="H115" s="13">
        <v>4</v>
      </c>
      <c r="I115" s="12" t="s">
        <v>2745</v>
      </c>
      <c r="J115" s="12" t="s">
        <v>38766</v>
      </c>
      <c r="K115" s="12" t="s">
        <v>38200</v>
      </c>
      <c r="L115" s="12" t="s">
        <v>38767</v>
      </c>
      <c r="M115" s="12" t="s">
        <v>38768</v>
      </c>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row>
    <row r="116" spans="1:72">
      <c r="A116" s="2" t="s">
        <v>2750</v>
      </c>
      <c r="B116" s="5" t="s">
        <v>2755</v>
      </c>
      <c r="C116" s="3" t="s">
        <v>138</v>
      </c>
      <c r="D116" s="4" t="s">
        <v>138</v>
      </c>
      <c r="E116" s="15" t="s">
        <v>1246</v>
      </c>
      <c r="F116" s="15" t="s">
        <v>200</v>
      </c>
      <c r="G116" s="15" t="s">
        <v>162</v>
      </c>
      <c r="H116" s="7">
        <v>4</v>
      </c>
      <c r="I116" s="6" t="s">
        <v>2765</v>
      </c>
      <c r="J116" s="6" t="s">
        <v>38769</v>
      </c>
      <c r="K116" s="6" t="s">
        <v>37822</v>
      </c>
      <c r="L116" s="6" t="s">
        <v>38770</v>
      </c>
      <c r="M116" s="6" t="s">
        <v>37781</v>
      </c>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row>
    <row r="117" spans="1:72">
      <c r="A117" s="8" t="s">
        <v>2769</v>
      </c>
      <c r="B117" s="11" t="s">
        <v>2773</v>
      </c>
      <c r="C117" s="9" t="s">
        <v>138</v>
      </c>
      <c r="D117" s="10" t="s">
        <v>138</v>
      </c>
      <c r="E117" s="28" t="s">
        <v>2779</v>
      </c>
      <c r="F117" s="28" t="s">
        <v>138</v>
      </c>
      <c r="G117" s="28" t="s">
        <v>2780</v>
      </c>
      <c r="H117" s="13">
        <v>1</v>
      </c>
      <c r="I117" s="12" t="s">
        <v>2783</v>
      </c>
      <c r="J117" s="12" t="s">
        <v>2783</v>
      </c>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row>
    <row r="118" spans="1:72">
      <c r="A118" s="2" t="s">
        <v>2786</v>
      </c>
      <c r="B118" s="5" t="s">
        <v>2790</v>
      </c>
      <c r="C118" s="3" t="s">
        <v>138</v>
      </c>
      <c r="D118" s="4" t="s">
        <v>138</v>
      </c>
      <c r="E118" s="15" t="s">
        <v>2799</v>
      </c>
      <c r="F118" s="15" t="s">
        <v>160</v>
      </c>
      <c r="G118" s="15" t="s">
        <v>162</v>
      </c>
      <c r="H118" s="7">
        <v>6</v>
      </c>
      <c r="I118" s="6" t="s">
        <v>2803</v>
      </c>
      <c r="J118" s="6" t="s">
        <v>38771</v>
      </c>
      <c r="K118" s="6" t="s">
        <v>38277</v>
      </c>
      <c r="L118" s="6" t="s">
        <v>38772</v>
      </c>
      <c r="M118" s="6" t="s">
        <v>38773</v>
      </c>
      <c r="N118" s="6" t="s">
        <v>38774</v>
      </c>
      <c r="O118" s="6" t="s">
        <v>38775</v>
      </c>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row>
    <row r="119" spans="1:72">
      <c r="A119" s="8" t="s">
        <v>2806</v>
      </c>
      <c r="B119" s="11" t="s">
        <v>2813</v>
      </c>
      <c r="C119" s="9" t="s">
        <v>2807</v>
      </c>
      <c r="D119" s="10" t="s">
        <v>2808</v>
      </c>
      <c r="E119" s="28" t="s">
        <v>284</v>
      </c>
      <c r="F119" s="28" t="s">
        <v>2822</v>
      </c>
      <c r="G119" s="28" t="s">
        <v>162</v>
      </c>
      <c r="H119" s="13">
        <v>11</v>
      </c>
      <c r="I119" s="12" t="s">
        <v>2826</v>
      </c>
      <c r="J119" s="12" t="s">
        <v>37811</v>
      </c>
      <c r="K119" s="12" t="s">
        <v>38776</v>
      </c>
      <c r="L119" s="12" t="s">
        <v>38777</v>
      </c>
      <c r="M119" s="12" t="s">
        <v>37819</v>
      </c>
      <c r="N119" s="12" t="s">
        <v>38778</v>
      </c>
      <c r="O119" s="12" t="s">
        <v>38779</v>
      </c>
      <c r="P119" s="12" t="s">
        <v>38780</v>
      </c>
      <c r="Q119" s="12" t="s">
        <v>37960</v>
      </c>
      <c r="R119" s="12" t="s">
        <v>37884</v>
      </c>
      <c r="S119" s="12" t="s">
        <v>38781</v>
      </c>
      <c r="T119" s="12" t="s">
        <v>38782</v>
      </c>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row>
    <row r="120" spans="1:72">
      <c r="A120" s="2" t="s">
        <v>2832</v>
      </c>
      <c r="B120" s="5" t="s">
        <v>2837</v>
      </c>
      <c r="C120" s="3" t="s">
        <v>2833</v>
      </c>
      <c r="D120" s="4" t="s">
        <v>138</v>
      </c>
      <c r="E120" s="15" t="s">
        <v>2845</v>
      </c>
      <c r="F120" s="15" t="s">
        <v>200</v>
      </c>
      <c r="G120" s="15" t="s">
        <v>162</v>
      </c>
      <c r="H120" s="7">
        <v>10</v>
      </c>
      <c r="I120" s="6" t="s">
        <v>2849</v>
      </c>
      <c r="J120" s="6" t="s">
        <v>38783</v>
      </c>
      <c r="K120" s="6" t="s">
        <v>38784</v>
      </c>
      <c r="L120" s="6" t="s">
        <v>38770</v>
      </c>
      <c r="M120" s="6" t="s">
        <v>38785</v>
      </c>
      <c r="N120" s="6" t="s">
        <v>38786</v>
      </c>
      <c r="O120" s="6" t="s">
        <v>38185</v>
      </c>
      <c r="P120" s="6" t="s">
        <v>38240</v>
      </c>
      <c r="Q120" s="6" t="s">
        <v>38787</v>
      </c>
      <c r="R120" s="6" t="s">
        <v>38788</v>
      </c>
      <c r="S120" s="6" t="s">
        <v>38789</v>
      </c>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row>
    <row r="121" spans="1:72">
      <c r="A121" s="8" t="s">
        <v>2852</v>
      </c>
      <c r="B121" s="11" t="s">
        <v>2859</v>
      </c>
      <c r="C121" s="9" t="s">
        <v>138</v>
      </c>
      <c r="D121" s="10" t="s">
        <v>2853</v>
      </c>
      <c r="E121" s="28" t="s">
        <v>668</v>
      </c>
      <c r="F121" s="28" t="s">
        <v>200</v>
      </c>
      <c r="G121" s="28" t="s">
        <v>162</v>
      </c>
      <c r="H121" s="13">
        <v>3</v>
      </c>
      <c r="I121" s="12" t="s">
        <v>2865</v>
      </c>
      <c r="J121" s="12" t="s">
        <v>38790</v>
      </c>
      <c r="K121" s="12" t="s">
        <v>38011</v>
      </c>
      <c r="L121" s="12" t="s">
        <v>38791</v>
      </c>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row>
    <row r="122" spans="1:72">
      <c r="A122" s="2" t="s">
        <v>2868</v>
      </c>
      <c r="B122" s="5" t="s">
        <v>2874</v>
      </c>
      <c r="C122" s="3" t="s">
        <v>2869</v>
      </c>
      <c r="D122" s="4" t="s">
        <v>138</v>
      </c>
      <c r="E122" s="15" t="s">
        <v>2882</v>
      </c>
      <c r="F122" s="15" t="s">
        <v>2883</v>
      </c>
      <c r="G122" s="15" t="s">
        <v>162</v>
      </c>
      <c r="H122" s="7">
        <v>10</v>
      </c>
      <c r="I122" s="6" t="s">
        <v>2887</v>
      </c>
      <c r="J122" s="6" t="s">
        <v>38792</v>
      </c>
      <c r="K122" s="6" t="s">
        <v>38793</v>
      </c>
      <c r="L122" s="6" t="s">
        <v>38794</v>
      </c>
      <c r="M122" s="6" t="s">
        <v>38795</v>
      </c>
      <c r="N122" s="6" t="s">
        <v>38796</v>
      </c>
      <c r="O122" s="6" t="s">
        <v>37791</v>
      </c>
      <c r="P122" s="6" t="s">
        <v>38797</v>
      </c>
      <c r="Q122" s="6" t="s">
        <v>38798</v>
      </c>
      <c r="R122" s="6" t="s">
        <v>38799</v>
      </c>
      <c r="S122" s="6" t="s">
        <v>37976</v>
      </c>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row>
    <row r="123" spans="1:72">
      <c r="A123" s="8" t="s">
        <v>2892</v>
      </c>
      <c r="B123" s="11" t="s">
        <v>2898</v>
      </c>
      <c r="C123" s="9" t="s">
        <v>138</v>
      </c>
      <c r="D123" s="10" t="s">
        <v>138</v>
      </c>
      <c r="E123" s="28" t="s">
        <v>2907</v>
      </c>
      <c r="F123" s="28" t="s">
        <v>138</v>
      </c>
      <c r="G123" s="28" t="s">
        <v>946</v>
      </c>
      <c r="H123" s="13">
        <v>1</v>
      </c>
      <c r="I123" s="12" t="s">
        <v>2911</v>
      </c>
      <c r="J123" s="12" t="s">
        <v>2911</v>
      </c>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row>
    <row r="124" spans="1:72">
      <c r="A124" s="2" t="s">
        <v>2916</v>
      </c>
      <c r="B124" s="5" t="s">
        <v>2923</v>
      </c>
      <c r="C124" s="3" t="s">
        <v>2917</v>
      </c>
      <c r="D124" s="4" t="s">
        <v>138</v>
      </c>
      <c r="E124" s="15" t="s">
        <v>2931</v>
      </c>
      <c r="F124" s="15" t="s">
        <v>200</v>
      </c>
      <c r="G124" s="15" t="s">
        <v>162</v>
      </c>
      <c r="H124" s="7">
        <v>12</v>
      </c>
      <c r="I124" s="6" t="s">
        <v>2934</v>
      </c>
      <c r="J124" s="6" t="s">
        <v>38800</v>
      </c>
      <c r="K124" s="6" t="s">
        <v>38339</v>
      </c>
      <c r="L124" s="6" t="s">
        <v>38299</v>
      </c>
      <c r="M124" s="6" t="s">
        <v>38801</v>
      </c>
      <c r="N124" s="6" t="s">
        <v>38802</v>
      </c>
      <c r="O124" s="6" t="s">
        <v>37774</v>
      </c>
      <c r="P124" s="6" t="s">
        <v>37921</v>
      </c>
      <c r="Q124" s="6" t="s">
        <v>38803</v>
      </c>
      <c r="R124" s="6" t="s">
        <v>38334</v>
      </c>
      <c r="S124" s="6" t="s">
        <v>38804</v>
      </c>
      <c r="T124" s="6" t="s">
        <v>37781</v>
      </c>
      <c r="U124" s="6" t="s">
        <v>38337</v>
      </c>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row>
    <row r="125" spans="1:72">
      <c r="A125" s="8" t="s">
        <v>2938</v>
      </c>
      <c r="B125" s="11" t="s">
        <v>2945</v>
      </c>
      <c r="C125" s="9" t="s">
        <v>2939</v>
      </c>
      <c r="D125" s="10" t="s">
        <v>138</v>
      </c>
      <c r="E125" s="28" t="s">
        <v>2954</v>
      </c>
      <c r="F125" s="28" t="s">
        <v>426</v>
      </c>
      <c r="G125" s="28" t="s">
        <v>162</v>
      </c>
      <c r="H125" s="13">
        <v>6</v>
      </c>
      <c r="I125" s="12" t="s">
        <v>2958</v>
      </c>
      <c r="J125" s="12" t="s">
        <v>38805</v>
      </c>
      <c r="K125" s="12" t="s">
        <v>37764</v>
      </c>
      <c r="L125" s="12" t="s">
        <v>38770</v>
      </c>
      <c r="M125" s="12" t="s">
        <v>38806</v>
      </c>
      <c r="N125" s="12" t="s">
        <v>38807</v>
      </c>
      <c r="O125" s="12" t="s">
        <v>38808</v>
      </c>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row>
    <row r="126" spans="1:72">
      <c r="A126" s="2" t="s">
        <v>2961</v>
      </c>
      <c r="B126" s="5" t="s">
        <v>2966</v>
      </c>
      <c r="C126" s="3" t="s">
        <v>138</v>
      </c>
      <c r="D126" s="4" t="s">
        <v>138</v>
      </c>
      <c r="E126" s="15" t="s">
        <v>668</v>
      </c>
      <c r="F126" s="15" t="s">
        <v>200</v>
      </c>
      <c r="G126" s="15" t="s">
        <v>162</v>
      </c>
      <c r="H126" s="7">
        <v>9</v>
      </c>
      <c r="I126" s="6" t="s">
        <v>2976</v>
      </c>
      <c r="J126" s="6" t="s">
        <v>38809</v>
      </c>
      <c r="K126" s="6" t="s">
        <v>38075</v>
      </c>
      <c r="L126" s="6" t="s">
        <v>38810</v>
      </c>
      <c r="M126" s="6" t="s">
        <v>38811</v>
      </c>
      <c r="N126" s="6" t="s">
        <v>38812</v>
      </c>
      <c r="O126" s="6" t="s">
        <v>37781</v>
      </c>
      <c r="P126" s="6" t="s">
        <v>38813</v>
      </c>
      <c r="Q126" s="6" t="s">
        <v>38814</v>
      </c>
      <c r="R126" s="6" t="s">
        <v>38628</v>
      </c>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row>
    <row r="127" spans="1:72">
      <c r="A127" s="8" t="s">
        <v>2980</v>
      </c>
      <c r="B127" s="11" t="s">
        <v>2988</v>
      </c>
      <c r="C127" s="9" t="s">
        <v>2981</v>
      </c>
      <c r="D127" s="10" t="s">
        <v>138</v>
      </c>
      <c r="E127" s="28" t="s">
        <v>2005</v>
      </c>
      <c r="F127" s="28" t="s">
        <v>200</v>
      </c>
      <c r="G127" s="28" t="s">
        <v>162</v>
      </c>
      <c r="H127" s="13">
        <v>2</v>
      </c>
      <c r="I127" s="12" t="s">
        <v>3000</v>
      </c>
      <c r="J127" s="12" t="s">
        <v>38815</v>
      </c>
      <c r="K127" s="12" t="s">
        <v>38816</v>
      </c>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row>
    <row r="128" spans="1:72">
      <c r="A128" s="2" t="s">
        <v>3005</v>
      </c>
      <c r="B128" s="5" t="s">
        <v>3012</v>
      </c>
      <c r="C128" s="3" t="s">
        <v>3006</v>
      </c>
      <c r="D128" s="4" t="s">
        <v>138</v>
      </c>
      <c r="E128" s="15" t="s">
        <v>1223</v>
      </c>
      <c r="F128" s="15" t="s">
        <v>200</v>
      </c>
      <c r="G128" s="15" t="s">
        <v>162</v>
      </c>
      <c r="H128" s="7">
        <v>3</v>
      </c>
      <c r="I128" s="6" t="s">
        <v>3022</v>
      </c>
      <c r="J128" s="6" t="s">
        <v>38274</v>
      </c>
      <c r="K128" s="6" t="s">
        <v>38817</v>
      </c>
      <c r="L128" s="6" t="s">
        <v>38818</v>
      </c>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row>
    <row r="129" spans="1:72">
      <c r="A129" s="8" t="s">
        <v>3028</v>
      </c>
      <c r="B129" s="11" t="s">
        <v>3033</v>
      </c>
      <c r="C129" s="9" t="s">
        <v>138</v>
      </c>
      <c r="D129" s="10" t="s">
        <v>138</v>
      </c>
      <c r="E129" s="28" t="s">
        <v>3042</v>
      </c>
      <c r="F129" s="28" t="s">
        <v>138</v>
      </c>
      <c r="G129" s="28" t="s">
        <v>740</v>
      </c>
      <c r="H129" s="13">
        <v>2</v>
      </c>
      <c r="I129" s="12" t="s">
        <v>3046</v>
      </c>
      <c r="J129" s="12" t="s">
        <v>38819</v>
      </c>
      <c r="K129" s="12" t="s">
        <v>37833</v>
      </c>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row>
    <row r="130" spans="1:72">
      <c r="A130" s="2" t="s">
        <v>3051</v>
      </c>
      <c r="B130" s="5" t="s">
        <v>3056</v>
      </c>
      <c r="C130" s="3" t="s">
        <v>138</v>
      </c>
      <c r="D130" s="4" t="s">
        <v>138</v>
      </c>
      <c r="E130" s="15" t="s">
        <v>3063</v>
      </c>
      <c r="F130" s="15" t="s">
        <v>138</v>
      </c>
      <c r="G130" s="15" t="s">
        <v>740</v>
      </c>
      <c r="H130" s="7">
        <v>2</v>
      </c>
      <c r="I130" s="6" t="s">
        <v>3066</v>
      </c>
      <c r="J130" s="6" t="s">
        <v>38820</v>
      </c>
      <c r="K130" s="6" t="s">
        <v>38821</v>
      </c>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row>
    <row r="131" spans="1:72">
      <c r="A131" s="8" t="s">
        <v>3069</v>
      </c>
      <c r="B131" s="11" t="s">
        <v>3075</v>
      </c>
      <c r="C131" s="9" t="s">
        <v>3070</v>
      </c>
      <c r="D131" s="10" t="s">
        <v>138</v>
      </c>
      <c r="E131" s="28" t="s">
        <v>426</v>
      </c>
      <c r="F131" s="28" t="s">
        <v>426</v>
      </c>
      <c r="G131" s="28" t="s">
        <v>162</v>
      </c>
      <c r="H131" s="13">
        <v>1</v>
      </c>
      <c r="I131" s="12" t="s">
        <v>3086</v>
      </c>
      <c r="J131" s="12" t="s">
        <v>3086</v>
      </c>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row>
    <row r="132" spans="1:72">
      <c r="A132" s="2" t="s">
        <v>3095</v>
      </c>
      <c r="B132" s="5" t="s">
        <v>3101</v>
      </c>
      <c r="C132" s="3" t="s">
        <v>138</v>
      </c>
      <c r="D132" s="4" t="s">
        <v>3096</v>
      </c>
      <c r="E132" s="15" t="s">
        <v>3111</v>
      </c>
      <c r="F132" s="15" t="s">
        <v>3112</v>
      </c>
      <c r="G132" s="15" t="s">
        <v>2742</v>
      </c>
      <c r="H132" s="7">
        <v>13</v>
      </c>
      <c r="I132" s="6" t="s">
        <v>3117</v>
      </c>
      <c r="J132" s="6" t="s">
        <v>38822</v>
      </c>
      <c r="K132" s="6" t="s">
        <v>38823</v>
      </c>
      <c r="L132" s="6" t="s">
        <v>38824</v>
      </c>
      <c r="M132" s="6" t="s">
        <v>38825</v>
      </c>
      <c r="N132" s="6" t="s">
        <v>38826</v>
      </c>
      <c r="O132" s="6" t="s">
        <v>37786</v>
      </c>
      <c r="P132" s="6" t="s">
        <v>38827</v>
      </c>
      <c r="Q132" s="6" t="s">
        <v>38828</v>
      </c>
      <c r="R132" s="6" t="s">
        <v>38829</v>
      </c>
      <c r="S132" s="6" t="s">
        <v>38830</v>
      </c>
      <c r="T132" s="6" t="s">
        <v>38775</v>
      </c>
      <c r="U132" s="6" t="s">
        <v>38831</v>
      </c>
      <c r="V132" s="6" t="s">
        <v>38832</v>
      </c>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row>
    <row r="133" spans="1:72">
      <c r="A133" s="8" t="s">
        <v>3124</v>
      </c>
      <c r="B133" s="11" t="s">
        <v>3130</v>
      </c>
      <c r="C133" s="9" t="s">
        <v>3125</v>
      </c>
      <c r="D133" s="10" t="s">
        <v>138</v>
      </c>
      <c r="E133" s="28" t="s">
        <v>3139</v>
      </c>
      <c r="F133" s="28" t="s">
        <v>3140</v>
      </c>
      <c r="G133" s="28" t="s">
        <v>162</v>
      </c>
      <c r="H133" s="13">
        <v>27</v>
      </c>
      <c r="I133" s="12" t="s">
        <v>3144</v>
      </c>
      <c r="J133" s="12" t="s">
        <v>38833</v>
      </c>
      <c r="K133" s="12" t="s">
        <v>38834</v>
      </c>
      <c r="L133" s="12" t="s">
        <v>38835</v>
      </c>
      <c r="M133" s="12" t="s">
        <v>38836</v>
      </c>
      <c r="N133" s="12" t="s">
        <v>38837</v>
      </c>
      <c r="O133" s="12" t="s">
        <v>38838</v>
      </c>
      <c r="P133" s="12" t="s">
        <v>38839</v>
      </c>
      <c r="Q133" s="12" t="s">
        <v>38840</v>
      </c>
      <c r="R133" s="12" t="s">
        <v>38841</v>
      </c>
      <c r="S133" s="12" t="s">
        <v>38842</v>
      </c>
      <c r="T133" s="12" t="s">
        <v>38843</v>
      </c>
      <c r="U133" s="12" t="s">
        <v>38844</v>
      </c>
      <c r="V133" s="12" t="s">
        <v>38845</v>
      </c>
      <c r="W133" s="12" t="s">
        <v>38846</v>
      </c>
      <c r="X133" s="12" t="s">
        <v>38847</v>
      </c>
      <c r="Y133" s="12" t="s">
        <v>38848</v>
      </c>
      <c r="Z133" s="12" t="s">
        <v>38849</v>
      </c>
      <c r="AA133" s="12" t="s">
        <v>38850</v>
      </c>
      <c r="AB133" s="12" t="s">
        <v>38851</v>
      </c>
      <c r="AC133" s="12" t="s">
        <v>38852</v>
      </c>
      <c r="AD133" s="12" t="s">
        <v>38853</v>
      </c>
      <c r="AE133" s="12" t="s">
        <v>38854</v>
      </c>
      <c r="AF133" s="12" t="s">
        <v>38370</v>
      </c>
      <c r="AG133" s="12" t="s">
        <v>38855</v>
      </c>
      <c r="AH133" s="12" t="s">
        <v>38856</v>
      </c>
      <c r="AI133" s="12" t="s">
        <v>38857</v>
      </c>
      <c r="AJ133" s="12" t="s">
        <v>38858</v>
      </c>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row>
    <row r="134" spans="1:72">
      <c r="A134" s="2" t="s">
        <v>3148</v>
      </c>
      <c r="B134" s="5" t="s">
        <v>3152</v>
      </c>
      <c r="C134" s="3" t="s">
        <v>138</v>
      </c>
      <c r="D134" s="4" t="s">
        <v>138</v>
      </c>
      <c r="E134" s="15" t="s">
        <v>284</v>
      </c>
      <c r="F134" s="15" t="s">
        <v>2822</v>
      </c>
      <c r="G134" s="15" t="s">
        <v>162</v>
      </c>
      <c r="H134" s="7">
        <v>13</v>
      </c>
      <c r="I134" s="6" t="s">
        <v>3162</v>
      </c>
      <c r="J134" s="6" t="s">
        <v>37771</v>
      </c>
      <c r="K134" s="6" t="s">
        <v>38859</v>
      </c>
      <c r="L134" s="6" t="s">
        <v>38860</v>
      </c>
      <c r="M134" s="6" t="s">
        <v>38189</v>
      </c>
      <c r="N134" s="6" t="s">
        <v>37824</v>
      </c>
      <c r="O134" s="6" t="s">
        <v>38861</v>
      </c>
      <c r="P134" s="6" t="s">
        <v>38862</v>
      </c>
      <c r="Q134" s="6" t="s">
        <v>37890</v>
      </c>
      <c r="R134" s="6" t="s">
        <v>38863</v>
      </c>
      <c r="S134" s="6" t="s">
        <v>38864</v>
      </c>
      <c r="T134" s="6" t="s">
        <v>38865</v>
      </c>
      <c r="U134" s="6" t="s">
        <v>38866</v>
      </c>
      <c r="V134" s="6" t="s">
        <v>38867</v>
      </c>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row>
    <row r="135" spans="1:72">
      <c r="A135" s="8" t="s">
        <v>3166</v>
      </c>
      <c r="B135" s="11" t="s">
        <v>3173</v>
      </c>
      <c r="C135" s="9" t="s">
        <v>138</v>
      </c>
      <c r="D135" s="10" t="s">
        <v>138</v>
      </c>
      <c r="E135" s="28" t="s">
        <v>3181</v>
      </c>
      <c r="F135" s="28" t="s">
        <v>3182</v>
      </c>
      <c r="G135" s="28" t="s">
        <v>162</v>
      </c>
      <c r="H135" s="13">
        <v>1</v>
      </c>
      <c r="I135" s="12" t="s">
        <v>3186</v>
      </c>
      <c r="J135" s="12" t="s">
        <v>3186</v>
      </c>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row>
    <row r="136" spans="1:72">
      <c r="A136" s="2" t="s">
        <v>3188</v>
      </c>
      <c r="B136" s="5" t="s">
        <v>3195</v>
      </c>
      <c r="C136" s="3" t="s">
        <v>3189</v>
      </c>
      <c r="D136" s="4" t="s">
        <v>138</v>
      </c>
      <c r="E136" s="15" t="s">
        <v>138</v>
      </c>
      <c r="F136" s="15" t="s">
        <v>138</v>
      </c>
      <c r="G136" s="15" t="s">
        <v>138</v>
      </c>
      <c r="H136" s="7">
        <v>18</v>
      </c>
      <c r="I136" s="6" t="s">
        <v>3202</v>
      </c>
      <c r="J136" s="6" t="s">
        <v>38868</v>
      </c>
      <c r="K136" s="6" t="s">
        <v>38869</v>
      </c>
      <c r="L136" s="6" t="s">
        <v>38870</v>
      </c>
      <c r="M136" s="6" t="s">
        <v>38871</v>
      </c>
      <c r="N136" s="6" t="s">
        <v>37819</v>
      </c>
      <c r="O136" s="6" t="s">
        <v>38872</v>
      </c>
      <c r="P136" s="6" t="s">
        <v>37985</v>
      </c>
      <c r="Q136" s="6" t="s">
        <v>38873</v>
      </c>
      <c r="R136" s="6" t="s">
        <v>38874</v>
      </c>
      <c r="S136" s="6" t="s">
        <v>38875</v>
      </c>
      <c r="T136" s="6" t="s">
        <v>38876</v>
      </c>
      <c r="U136" s="6" t="s">
        <v>38877</v>
      </c>
      <c r="V136" s="6" t="s">
        <v>37999</v>
      </c>
      <c r="W136" s="6" t="s">
        <v>37781</v>
      </c>
      <c r="X136" s="6" t="s">
        <v>37864</v>
      </c>
      <c r="Y136" s="6" t="s">
        <v>38878</v>
      </c>
      <c r="Z136" s="6" t="s">
        <v>37809</v>
      </c>
      <c r="AA136" s="6" t="s">
        <v>38879</v>
      </c>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row>
    <row r="137" spans="1:72">
      <c r="A137" s="8" t="s">
        <v>3206</v>
      </c>
      <c r="B137" s="11" t="s">
        <v>3210</v>
      </c>
      <c r="C137" s="9" t="s">
        <v>138</v>
      </c>
      <c r="D137" s="10" t="s">
        <v>138</v>
      </c>
      <c r="E137" s="28" t="s">
        <v>1317</v>
      </c>
      <c r="F137" s="28" t="s">
        <v>138</v>
      </c>
      <c r="G137" s="28" t="s">
        <v>1319</v>
      </c>
      <c r="H137" s="13">
        <v>6</v>
      </c>
      <c r="I137" s="12" t="s">
        <v>3219</v>
      </c>
      <c r="J137" s="12" t="s">
        <v>38880</v>
      </c>
      <c r="K137" s="12" t="s">
        <v>38881</v>
      </c>
      <c r="L137" s="12" t="s">
        <v>38882</v>
      </c>
      <c r="M137" s="12" t="s">
        <v>38883</v>
      </c>
      <c r="N137" s="12" t="s">
        <v>38884</v>
      </c>
      <c r="O137" s="12" t="s">
        <v>38885</v>
      </c>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row>
    <row r="138" spans="1:72">
      <c r="A138" s="2" t="s">
        <v>3223</v>
      </c>
      <c r="B138" s="5" t="s">
        <v>3228</v>
      </c>
      <c r="C138" s="3" t="s">
        <v>138</v>
      </c>
      <c r="D138" s="4" t="s">
        <v>138</v>
      </c>
      <c r="E138" s="15" t="s">
        <v>227</v>
      </c>
      <c r="F138" s="15" t="s">
        <v>228</v>
      </c>
      <c r="G138" s="15" t="s">
        <v>162</v>
      </c>
      <c r="H138" s="7">
        <v>4</v>
      </c>
      <c r="I138" s="6" t="s">
        <v>3238</v>
      </c>
      <c r="J138" s="6" t="s">
        <v>38886</v>
      </c>
      <c r="K138" s="6" t="s">
        <v>37781</v>
      </c>
      <c r="L138" s="6" t="s">
        <v>38865</v>
      </c>
      <c r="M138" s="6" t="s">
        <v>38887</v>
      </c>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row>
    <row r="139" spans="1:72">
      <c r="A139" s="8" t="s">
        <v>3241</v>
      </c>
      <c r="B139" s="11" t="s">
        <v>3245</v>
      </c>
      <c r="C139" s="9" t="s">
        <v>138</v>
      </c>
      <c r="D139" s="10" t="s">
        <v>138</v>
      </c>
      <c r="E139" s="28" t="s">
        <v>3253</v>
      </c>
      <c r="F139" s="28" t="s">
        <v>138</v>
      </c>
      <c r="G139" s="28" t="s">
        <v>946</v>
      </c>
      <c r="H139" s="13">
        <v>4</v>
      </c>
      <c r="I139" s="12" t="s">
        <v>3258</v>
      </c>
      <c r="J139" s="12" t="s">
        <v>38888</v>
      </c>
      <c r="K139" s="12" t="s">
        <v>38286</v>
      </c>
      <c r="L139" s="12" t="s">
        <v>38889</v>
      </c>
      <c r="M139" s="12" t="s">
        <v>38890</v>
      </c>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row>
    <row r="140" spans="1:72">
      <c r="A140" s="2" t="s">
        <v>3261</v>
      </c>
      <c r="B140" s="5" t="s">
        <v>3267</v>
      </c>
      <c r="C140" s="3" t="s">
        <v>138</v>
      </c>
      <c r="D140" s="4" t="s">
        <v>3262</v>
      </c>
      <c r="E140" s="15" t="s">
        <v>449</v>
      </c>
      <c r="F140" s="15" t="s">
        <v>138</v>
      </c>
      <c r="G140" s="15" t="s">
        <v>450</v>
      </c>
      <c r="H140" s="7">
        <v>7</v>
      </c>
      <c r="I140" s="6" t="s">
        <v>3277</v>
      </c>
      <c r="J140" s="6" t="s">
        <v>38891</v>
      </c>
      <c r="K140" s="6" t="s">
        <v>38892</v>
      </c>
      <c r="L140" s="6" t="s">
        <v>38893</v>
      </c>
      <c r="M140" s="6" t="s">
        <v>37889</v>
      </c>
      <c r="N140" s="6" t="s">
        <v>38894</v>
      </c>
      <c r="O140" s="6" t="s">
        <v>38895</v>
      </c>
      <c r="P140" s="6" t="s">
        <v>38896</v>
      </c>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row>
    <row r="141" spans="1:72">
      <c r="A141" s="8" t="s">
        <v>3280</v>
      </c>
      <c r="B141" s="11" t="s">
        <v>3287</v>
      </c>
      <c r="C141" s="9" t="s">
        <v>3281</v>
      </c>
      <c r="D141" s="10" t="s">
        <v>138</v>
      </c>
      <c r="E141" s="28" t="s">
        <v>1768</v>
      </c>
      <c r="F141" s="28" t="s">
        <v>200</v>
      </c>
      <c r="G141" s="28" t="s">
        <v>162</v>
      </c>
      <c r="H141" s="13">
        <v>9</v>
      </c>
      <c r="I141" s="12" t="s">
        <v>3296</v>
      </c>
      <c r="J141" s="12" t="s">
        <v>38897</v>
      </c>
      <c r="K141" s="12" t="s">
        <v>38898</v>
      </c>
      <c r="L141" s="12" t="s">
        <v>37922</v>
      </c>
      <c r="M141" s="12" t="s">
        <v>38746</v>
      </c>
      <c r="N141" s="12" t="s">
        <v>38398</v>
      </c>
      <c r="O141" s="12" t="s">
        <v>38182</v>
      </c>
      <c r="P141" s="12" t="s">
        <v>38725</v>
      </c>
      <c r="Q141" s="12" t="s">
        <v>37783</v>
      </c>
      <c r="R141" s="12" t="s">
        <v>38169</v>
      </c>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row>
    <row r="142" spans="1:72">
      <c r="A142" s="2" t="s">
        <v>3299</v>
      </c>
      <c r="B142" s="5" t="s">
        <v>3305</v>
      </c>
      <c r="C142" s="3" t="s">
        <v>3300</v>
      </c>
      <c r="D142" s="4" t="s">
        <v>138</v>
      </c>
      <c r="E142" s="15" t="s">
        <v>473</v>
      </c>
      <c r="F142" s="15" t="s">
        <v>474</v>
      </c>
      <c r="G142" s="15" t="s">
        <v>162</v>
      </c>
      <c r="H142" s="7">
        <v>13</v>
      </c>
      <c r="I142" s="6" t="s">
        <v>3313</v>
      </c>
      <c r="J142" s="6" t="s">
        <v>38899</v>
      </c>
      <c r="K142" s="6" t="s">
        <v>38900</v>
      </c>
      <c r="L142" s="6" t="s">
        <v>38901</v>
      </c>
      <c r="M142" s="6" t="s">
        <v>38902</v>
      </c>
      <c r="N142" s="6" t="s">
        <v>38903</v>
      </c>
      <c r="O142" s="6" t="s">
        <v>38904</v>
      </c>
      <c r="P142" s="6" t="s">
        <v>37986</v>
      </c>
      <c r="Q142" s="6" t="s">
        <v>38905</v>
      </c>
      <c r="R142" s="6" t="s">
        <v>38906</v>
      </c>
      <c r="S142" s="6" t="s">
        <v>37998</v>
      </c>
      <c r="T142" s="6" t="s">
        <v>37890</v>
      </c>
      <c r="U142" s="6" t="s">
        <v>38200</v>
      </c>
      <c r="V142" s="6" t="s">
        <v>38907</v>
      </c>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row>
    <row r="143" spans="1:72">
      <c r="A143" s="8" t="s">
        <v>3316</v>
      </c>
      <c r="B143" s="11" t="s">
        <v>3322</v>
      </c>
      <c r="C143" s="9" t="s">
        <v>3317</v>
      </c>
      <c r="D143" s="10" t="s">
        <v>138</v>
      </c>
      <c r="E143" s="28" t="s">
        <v>3330</v>
      </c>
      <c r="F143" s="28" t="s">
        <v>200</v>
      </c>
      <c r="G143" s="28" t="s">
        <v>162</v>
      </c>
      <c r="H143" s="13">
        <v>8</v>
      </c>
      <c r="I143" s="12" t="s">
        <v>3334</v>
      </c>
      <c r="J143" s="12" t="s">
        <v>37811</v>
      </c>
      <c r="K143" s="12" t="s">
        <v>38908</v>
      </c>
      <c r="L143" s="12" t="s">
        <v>38316</v>
      </c>
      <c r="M143" s="12" t="s">
        <v>37786</v>
      </c>
      <c r="N143" s="12" t="s">
        <v>37839</v>
      </c>
      <c r="O143" s="12" t="s">
        <v>38320</v>
      </c>
      <c r="P143" s="12" t="s">
        <v>38775</v>
      </c>
      <c r="Q143" s="12" t="s">
        <v>38909</v>
      </c>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row>
    <row r="144" spans="1:72">
      <c r="A144" s="2" t="s">
        <v>3339</v>
      </c>
      <c r="B144" s="5" t="s">
        <v>3345</v>
      </c>
      <c r="C144" s="3" t="s">
        <v>3340</v>
      </c>
      <c r="D144" s="4" t="s">
        <v>138</v>
      </c>
      <c r="E144" s="15" t="s">
        <v>3354</v>
      </c>
      <c r="F144" s="15" t="s">
        <v>2740</v>
      </c>
      <c r="G144" s="15" t="s">
        <v>2742</v>
      </c>
      <c r="H144" s="7">
        <v>15</v>
      </c>
      <c r="I144" s="6" t="s">
        <v>3358</v>
      </c>
      <c r="J144" s="6" t="s">
        <v>38061</v>
      </c>
      <c r="K144" s="6" t="s">
        <v>38339</v>
      </c>
      <c r="L144" s="6" t="s">
        <v>38075</v>
      </c>
      <c r="M144" s="6" t="s">
        <v>37786</v>
      </c>
      <c r="N144" s="6" t="s">
        <v>38910</v>
      </c>
      <c r="O144" s="6" t="s">
        <v>38117</v>
      </c>
      <c r="P144" s="6" t="s">
        <v>38118</v>
      </c>
      <c r="Q144" s="6" t="s">
        <v>38829</v>
      </c>
      <c r="R144" s="6" t="s">
        <v>37968</v>
      </c>
      <c r="S144" s="6" t="s">
        <v>38911</v>
      </c>
      <c r="T144" s="6" t="s">
        <v>37781</v>
      </c>
      <c r="U144" s="6" t="s">
        <v>37783</v>
      </c>
      <c r="V144" s="6" t="s">
        <v>38144</v>
      </c>
      <c r="W144" s="6" t="s">
        <v>38912</v>
      </c>
      <c r="X144" s="6" t="s">
        <v>37976</v>
      </c>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row>
    <row r="145" spans="1:72">
      <c r="A145" s="8" t="s">
        <v>3363</v>
      </c>
      <c r="B145" s="11" t="s">
        <v>3367</v>
      </c>
      <c r="C145" s="9" t="s">
        <v>138</v>
      </c>
      <c r="D145" s="10" t="s">
        <v>138</v>
      </c>
      <c r="E145" s="28" t="s">
        <v>3375</v>
      </c>
      <c r="F145" s="28" t="s">
        <v>339</v>
      </c>
      <c r="G145" s="28" t="s">
        <v>162</v>
      </c>
      <c r="H145" s="13">
        <v>10</v>
      </c>
      <c r="I145" s="12" t="s">
        <v>3381</v>
      </c>
      <c r="J145" s="12" t="s">
        <v>38913</v>
      </c>
      <c r="K145" s="12" t="s">
        <v>38375</v>
      </c>
      <c r="L145" s="12" t="s">
        <v>38299</v>
      </c>
      <c r="M145" s="12" t="s">
        <v>38914</v>
      </c>
      <c r="N145" s="12" t="s">
        <v>38915</v>
      </c>
      <c r="O145" s="12" t="s">
        <v>38916</v>
      </c>
      <c r="P145" s="12" t="s">
        <v>37786</v>
      </c>
      <c r="Q145" s="12" t="s">
        <v>38917</v>
      </c>
      <c r="R145" s="12" t="s">
        <v>38918</v>
      </c>
      <c r="S145" s="12" t="s">
        <v>38919</v>
      </c>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row>
    <row r="146" spans="1:72">
      <c r="A146" s="2" t="s">
        <v>3386</v>
      </c>
      <c r="B146" s="5" t="s">
        <v>3390</v>
      </c>
      <c r="C146" s="3" t="s">
        <v>138</v>
      </c>
      <c r="D146" s="4" t="s">
        <v>138</v>
      </c>
      <c r="E146" s="15" t="s">
        <v>426</v>
      </c>
      <c r="F146" s="15" t="s">
        <v>426</v>
      </c>
      <c r="G146" s="15" t="s">
        <v>162</v>
      </c>
      <c r="H146" s="7">
        <v>14</v>
      </c>
      <c r="I146" s="6" t="s">
        <v>3397</v>
      </c>
      <c r="J146" s="6" t="s">
        <v>38920</v>
      </c>
      <c r="K146" s="6" t="s">
        <v>38921</v>
      </c>
      <c r="L146" s="6" t="s">
        <v>38922</v>
      </c>
      <c r="M146" s="6" t="s">
        <v>38770</v>
      </c>
      <c r="N146" s="6" t="s">
        <v>38923</v>
      </c>
      <c r="O146" s="6" t="s">
        <v>38924</v>
      </c>
      <c r="P146" s="6" t="s">
        <v>38925</v>
      </c>
      <c r="Q146" s="6" t="s">
        <v>38926</v>
      </c>
      <c r="R146" s="6" t="s">
        <v>38927</v>
      </c>
      <c r="S146" s="6" t="s">
        <v>37890</v>
      </c>
      <c r="T146" s="6" t="s">
        <v>38928</v>
      </c>
      <c r="U146" s="6" t="s">
        <v>38371</v>
      </c>
      <c r="V146" s="6" t="s">
        <v>38929</v>
      </c>
      <c r="W146" s="6" t="s">
        <v>38145</v>
      </c>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row>
    <row r="147" spans="1:72">
      <c r="A147" s="8" t="s">
        <v>3400</v>
      </c>
      <c r="B147" s="11" t="s">
        <v>3405</v>
      </c>
      <c r="C147" s="9" t="s">
        <v>138</v>
      </c>
      <c r="D147" s="10" t="s">
        <v>138</v>
      </c>
      <c r="E147" s="28" t="s">
        <v>426</v>
      </c>
      <c r="F147" s="28" t="s">
        <v>426</v>
      </c>
      <c r="G147" s="28" t="s">
        <v>162</v>
      </c>
      <c r="H147" s="13">
        <v>9</v>
      </c>
      <c r="I147" s="12" t="s">
        <v>3413</v>
      </c>
      <c r="J147" s="12" t="s">
        <v>38930</v>
      </c>
      <c r="K147" s="12" t="s">
        <v>38931</v>
      </c>
      <c r="L147" s="12" t="s">
        <v>38932</v>
      </c>
      <c r="M147" s="12" t="s">
        <v>38933</v>
      </c>
      <c r="N147" s="12" t="s">
        <v>38934</v>
      </c>
      <c r="O147" s="12" t="s">
        <v>38935</v>
      </c>
      <c r="P147" s="12" t="s">
        <v>38936</v>
      </c>
      <c r="Q147" s="12" t="s">
        <v>38937</v>
      </c>
      <c r="R147" s="12" t="s">
        <v>38073</v>
      </c>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row>
    <row r="148" spans="1:72">
      <c r="A148" s="2" t="s">
        <v>3416</v>
      </c>
      <c r="B148" s="5" t="s">
        <v>3421</v>
      </c>
      <c r="C148" s="3" t="s">
        <v>138</v>
      </c>
      <c r="D148" s="4" t="s">
        <v>138</v>
      </c>
      <c r="E148" s="15" t="s">
        <v>3429</v>
      </c>
      <c r="F148" s="15" t="s">
        <v>3430</v>
      </c>
      <c r="G148" s="15" t="s">
        <v>2333</v>
      </c>
      <c r="H148" s="7">
        <v>4</v>
      </c>
      <c r="I148" s="6" t="s">
        <v>3434</v>
      </c>
      <c r="J148" s="6" t="s">
        <v>16877</v>
      </c>
      <c r="K148" s="6" t="s">
        <v>38938</v>
      </c>
      <c r="L148" s="6" t="s">
        <v>38939</v>
      </c>
      <c r="M148" s="6" t="s">
        <v>38940</v>
      </c>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row>
    <row r="149" spans="1:72">
      <c r="A149" s="8" t="s">
        <v>3437</v>
      </c>
      <c r="B149" s="11" t="s">
        <v>3444</v>
      </c>
      <c r="C149" s="9" t="s">
        <v>3438</v>
      </c>
      <c r="D149" s="10" t="s">
        <v>138</v>
      </c>
      <c r="E149" s="28" t="s">
        <v>3452</v>
      </c>
      <c r="F149" s="28" t="s">
        <v>3453</v>
      </c>
      <c r="G149" s="28" t="s">
        <v>2333</v>
      </c>
      <c r="H149" s="13">
        <v>11</v>
      </c>
      <c r="I149" s="12" t="s">
        <v>3458</v>
      </c>
      <c r="J149" s="12" t="s">
        <v>37785</v>
      </c>
      <c r="K149" s="12" t="s">
        <v>38941</v>
      </c>
      <c r="L149" s="12" t="s">
        <v>38942</v>
      </c>
      <c r="M149" s="12" t="s">
        <v>38943</v>
      </c>
      <c r="N149" s="12" t="s">
        <v>38944</v>
      </c>
      <c r="O149" s="12" t="s">
        <v>38945</v>
      </c>
      <c r="P149" s="12" t="s">
        <v>38946</v>
      </c>
      <c r="Q149" s="12" t="s">
        <v>38947</v>
      </c>
      <c r="R149" s="12" t="s">
        <v>38948</v>
      </c>
      <c r="S149" s="12" t="s">
        <v>38200</v>
      </c>
      <c r="T149" s="12" t="s">
        <v>38949</v>
      </c>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row>
    <row r="150" spans="1:72">
      <c r="A150" s="2" t="s">
        <v>3462</v>
      </c>
      <c r="B150" s="5" t="s">
        <v>3471</v>
      </c>
      <c r="C150" s="3" t="s">
        <v>138</v>
      </c>
      <c r="D150" s="4" t="s">
        <v>3463</v>
      </c>
      <c r="E150" s="15" t="s">
        <v>668</v>
      </c>
      <c r="F150" s="15" t="s">
        <v>200</v>
      </c>
      <c r="G150" s="15" t="s">
        <v>162</v>
      </c>
      <c r="H150" s="7">
        <v>15</v>
      </c>
      <c r="I150" s="6" t="s">
        <v>3479</v>
      </c>
      <c r="J150" s="6" t="s">
        <v>38800</v>
      </c>
      <c r="K150" s="6" t="s">
        <v>38950</v>
      </c>
      <c r="L150" s="6" t="s">
        <v>37877</v>
      </c>
      <c r="M150" s="6" t="s">
        <v>37786</v>
      </c>
      <c r="N150" s="6" t="s">
        <v>37960</v>
      </c>
      <c r="O150" s="6" t="s">
        <v>38951</v>
      </c>
      <c r="P150" s="6" t="s">
        <v>37802</v>
      </c>
      <c r="Q150" s="6" t="s">
        <v>38952</v>
      </c>
      <c r="R150" s="6" t="s">
        <v>37998</v>
      </c>
      <c r="S150" s="6" t="s">
        <v>38953</v>
      </c>
      <c r="T150" s="6" t="s">
        <v>38954</v>
      </c>
      <c r="U150" s="6" t="s">
        <v>38955</v>
      </c>
      <c r="V150" s="6" t="s">
        <v>38325</v>
      </c>
      <c r="W150" s="6" t="s">
        <v>38337</v>
      </c>
      <c r="X150" s="6" t="s">
        <v>37886</v>
      </c>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row>
    <row r="151" spans="1:72">
      <c r="A151" s="8" t="s">
        <v>3484</v>
      </c>
      <c r="B151" s="11" t="s">
        <v>3492</v>
      </c>
      <c r="C151" s="9" t="s">
        <v>3485</v>
      </c>
      <c r="D151" s="10" t="s">
        <v>138</v>
      </c>
      <c r="E151" s="28" t="s">
        <v>1171</v>
      </c>
      <c r="F151" s="28" t="s">
        <v>200</v>
      </c>
      <c r="G151" s="28" t="s">
        <v>162</v>
      </c>
      <c r="H151" s="13">
        <v>46</v>
      </c>
      <c r="I151" s="12" t="s">
        <v>3501</v>
      </c>
      <c r="J151" s="12" t="s">
        <v>37933</v>
      </c>
      <c r="K151" s="12" t="s">
        <v>38892</v>
      </c>
      <c r="L151" s="12" t="s">
        <v>38956</v>
      </c>
      <c r="M151" s="12" t="s">
        <v>38957</v>
      </c>
      <c r="N151" s="12" t="s">
        <v>37979</v>
      </c>
      <c r="O151" s="12" t="s">
        <v>38958</v>
      </c>
      <c r="P151" s="12" t="s">
        <v>38959</v>
      </c>
      <c r="Q151" s="12" t="s">
        <v>38106</v>
      </c>
      <c r="R151" s="12" t="s">
        <v>38960</v>
      </c>
      <c r="S151" s="12" t="s">
        <v>38961</v>
      </c>
      <c r="T151" s="12" t="s">
        <v>38962</v>
      </c>
      <c r="U151" s="12" t="s">
        <v>38963</v>
      </c>
      <c r="V151" s="12" t="s">
        <v>38964</v>
      </c>
      <c r="W151" s="12" t="s">
        <v>38212</v>
      </c>
      <c r="X151" s="12" t="s">
        <v>38965</v>
      </c>
      <c r="Y151" s="12" t="s">
        <v>38966</v>
      </c>
      <c r="Z151" s="12" t="s">
        <v>38967</v>
      </c>
      <c r="AA151" s="12" t="s">
        <v>38418</v>
      </c>
      <c r="AB151" s="12" t="s">
        <v>38968</v>
      </c>
      <c r="AC151" s="12" t="s">
        <v>38419</v>
      </c>
      <c r="AD151" s="12" t="s">
        <v>37947</v>
      </c>
      <c r="AE151" s="12" t="s">
        <v>38969</v>
      </c>
      <c r="AF151" s="12" t="s">
        <v>38421</v>
      </c>
      <c r="AG151" s="12" t="s">
        <v>37786</v>
      </c>
      <c r="AH151" s="12" t="s">
        <v>37952</v>
      </c>
      <c r="AI151" s="12" t="s">
        <v>38970</v>
      </c>
      <c r="AJ151" s="12" t="s">
        <v>38971</v>
      </c>
      <c r="AK151" s="12" t="s">
        <v>37960</v>
      </c>
      <c r="AL151" s="12" t="s">
        <v>38048</v>
      </c>
      <c r="AM151" s="12" t="s">
        <v>38972</v>
      </c>
      <c r="AN151" s="12" t="s">
        <v>38973</v>
      </c>
      <c r="AO151" s="12" t="s">
        <v>38974</v>
      </c>
      <c r="AP151" s="12" t="s">
        <v>38975</v>
      </c>
      <c r="AQ151" s="12" t="s">
        <v>38976</v>
      </c>
      <c r="AR151" s="12" t="s">
        <v>38977</v>
      </c>
      <c r="AS151" s="12" t="s">
        <v>38978</v>
      </c>
      <c r="AT151" s="12" t="s">
        <v>38979</v>
      </c>
      <c r="AU151" s="12" t="s">
        <v>38980</v>
      </c>
      <c r="AV151" s="12" t="s">
        <v>38137</v>
      </c>
      <c r="AW151" s="12" t="s">
        <v>38981</v>
      </c>
      <c r="AX151" s="12" t="s">
        <v>38200</v>
      </c>
      <c r="AY151" s="12" t="s">
        <v>38982</v>
      </c>
      <c r="AZ151" s="12" t="s">
        <v>38983</v>
      </c>
      <c r="BA151" s="12" t="s">
        <v>37976</v>
      </c>
      <c r="BB151" s="12" t="s">
        <v>38984</v>
      </c>
      <c r="BC151" s="12" t="s">
        <v>37886</v>
      </c>
      <c r="BD151" s="12"/>
      <c r="BE151" s="12"/>
      <c r="BF151" s="12"/>
      <c r="BG151" s="12"/>
      <c r="BH151" s="12"/>
      <c r="BI151" s="12"/>
      <c r="BJ151" s="12"/>
      <c r="BK151" s="12"/>
      <c r="BL151" s="12"/>
      <c r="BM151" s="12"/>
      <c r="BN151" s="12"/>
      <c r="BO151" s="12"/>
      <c r="BP151" s="12"/>
      <c r="BQ151" s="12"/>
      <c r="BR151" s="12"/>
      <c r="BS151" s="12"/>
      <c r="BT151" s="12"/>
    </row>
    <row r="152" spans="1:72">
      <c r="A152" s="2" t="s">
        <v>3506</v>
      </c>
      <c r="B152" s="5" t="s">
        <v>3511</v>
      </c>
      <c r="C152" s="3" t="s">
        <v>138</v>
      </c>
      <c r="D152" s="4" t="s">
        <v>138</v>
      </c>
      <c r="E152" s="15" t="s">
        <v>966</v>
      </c>
      <c r="F152" s="15" t="s">
        <v>200</v>
      </c>
      <c r="G152" s="15" t="s">
        <v>162</v>
      </c>
      <c r="H152" s="7">
        <v>4</v>
      </c>
      <c r="I152" s="6" t="s">
        <v>3521</v>
      </c>
      <c r="J152" s="6" t="s">
        <v>38985</v>
      </c>
      <c r="K152" s="6" t="s">
        <v>38619</v>
      </c>
      <c r="L152" s="6" t="s">
        <v>38986</v>
      </c>
      <c r="M152" s="6" t="s">
        <v>38816</v>
      </c>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row>
    <row r="153" spans="1:72">
      <c r="A153" s="8" t="s">
        <v>3524</v>
      </c>
      <c r="B153" s="11" t="s">
        <v>3529</v>
      </c>
      <c r="C153" s="9" t="s">
        <v>138</v>
      </c>
      <c r="D153" s="10" t="s">
        <v>138</v>
      </c>
      <c r="E153" s="28" t="s">
        <v>426</v>
      </c>
      <c r="F153" s="28" t="s">
        <v>426</v>
      </c>
      <c r="G153" s="28" t="s">
        <v>162</v>
      </c>
      <c r="H153" s="13">
        <v>19</v>
      </c>
      <c r="I153" s="12" t="s">
        <v>3537</v>
      </c>
      <c r="J153" s="12" t="s">
        <v>38449</v>
      </c>
      <c r="K153" s="12" t="s">
        <v>38987</v>
      </c>
      <c r="L153" s="12" t="s">
        <v>38605</v>
      </c>
      <c r="M153" s="12" t="s">
        <v>38988</v>
      </c>
      <c r="N153" s="12" t="s">
        <v>38989</v>
      </c>
      <c r="O153" s="12" t="s">
        <v>37985</v>
      </c>
      <c r="P153" s="12" t="s">
        <v>38610</v>
      </c>
      <c r="Q153" s="12" t="s">
        <v>38990</v>
      </c>
      <c r="R153" s="12" t="s">
        <v>38057</v>
      </c>
      <c r="S153" s="12" t="s">
        <v>38991</v>
      </c>
      <c r="T153" s="12" t="s">
        <v>38992</v>
      </c>
      <c r="U153" s="12" t="s">
        <v>38993</v>
      </c>
      <c r="V153" s="12" t="s">
        <v>38994</v>
      </c>
      <c r="W153" s="12" t="s">
        <v>38082</v>
      </c>
      <c r="X153" s="12" t="s">
        <v>38995</v>
      </c>
      <c r="Y153" s="12" t="s">
        <v>38996</v>
      </c>
      <c r="Z153" s="12" t="s">
        <v>38100</v>
      </c>
      <c r="AA153" s="12" t="s">
        <v>37999</v>
      </c>
      <c r="AB153" s="12" t="s">
        <v>38137</v>
      </c>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row>
    <row r="154" spans="1:72">
      <c r="A154" s="2" t="s">
        <v>3544</v>
      </c>
      <c r="B154" s="5" t="s">
        <v>3550</v>
      </c>
      <c r="C154" s="3" t="s">
        <v>138</v>
      </c>
      <c r="D154" s="4" t="s">
        <v>3545</v>
      </c>
      <c r="E154" s="15" t="s">
        <v>668</v>
      </c>
      <c r="F154" s="15" t="s">
        <v>200</v>
      </c>
      <c r="G154" s="15" t="s">
        <v>162</v>
      </c>
      <c r="H154" s="7">
        <v>5</v>
      </c>
      <c r="I154" s="6" t="s">
        <v>3560</v>
      </c>
      <c r="J154" s="6" t="s">
        <v>38061</v>
      </c>
      <c r="K154" s="6" t="s">
        <v>38299</v>
      </c>
      <c r="L154" s="6" t="s">
        <v>38997</v>
      </c>
      <c r="M154" s="6" t="s">
        <v>38998</v>
      </c>
      <c r="N154" s="6" t="s">
        <v>37781</v>
      </c>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row>
    <row r="155" spans="1:72">
      <c r="A155" s="8" t="s">
        <v>3563</v>
      </c>
      <c r="B155" s="11" t="s">
        <v>3571</v>
      </c>
      <c r="C155" s="9" t="s">
        <v>3564</v>
      </c>
      <c r="D155" s="10" t="s">
        <v>3565</v>
      </c>
      <c r="E155" s="28" t="s">
        <v>1294</v>
      </c>
      <c r="F155" s="28" t="s">
        <v>864</v>
      </c>
      <c r="G155" s="28" t="s">
        <v>162</v>
      </c>
      <c r="H155" s="13">
        <v>23</v>
      </c>
      <c r="I155" s="12" t="s">
        <v>3582</v>
      </c>
      <c r="J155" s="12" t="s">
        <v>38999</v>
      </c>
      <c r="K155" s="12" t="s">
        <v>39000</v>
      </c>
      <c r="L155" s="12" t="s">
        <v>39001</v>
      </c>
      <c r="M155" s="12" t="s">
        <v>39002</v>
      </c>
      <c r="N155" s="12" t="s">
        <v>38105</v>
      </c>
      <c r="O155" s="12" t="s">
        <v>38520</v>
      </c>
      <c r="P155" s="12" t="s">
        <v>38662</v>
      </c>
      <c r="Q155" s="12" t="s">
        <v>38521</v>
      </c>
      <c r="R155" s="12" t="s">
        <v>39003</v>
      </c>
      <c r="S155" s="12" t="s">
        <v>38348</v>
      </c>
      <c r="T155" s="12" t="s">
        <v>39004</v>
      </c>
      <c r="U155" s="12" t="s">
        <v>39005</v>
      </c>
      <c r="V155" s="12" t="s">
        <v>39006</v>
      </c>
      <c r="W155" s="12" t="s">
        <v>37765</v>
      </c>
      <c r="X155" s="12" t="s">
        <v>39007</v>
      </c>
      <c r="Y155" s="12" t="s">
        <v>38770</v>
      </c>
      <c r="Z155" s="12" t="s">
        <v>39008</v>
      </c>
      <c r="AA155" s="12" t="s">
        <v>39009</v>
      </c>
      <c r="AB155" s="12" t="s">
        <v>39010</v>
      </c>
      <c r="AC155" s="12" t="s">
        <v>39011</v>
      </c>
      <c r="AD155" s="12" t="s">
        <v>39012</v>
      </c>
      <c r="AE155" s="12" t="s">
        <v>39013</v>
      </c>
      <c r="AF155" s="12" t="s">
        <v>39014</v>
      </c>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row>
    <row r="156" spans="1:72">
      <c r="A156" s="2" t="s">
        <v>3565</v>
      </c>
      <c r="B156" s="5" t="s">
        <v>3591</v>
      </c>
      <c r="C156" s="3" t="s">
        <v>138</v>
      </c>
      <c r="D156" s="4" t="s">
        <v>138</v>
      </c>
      <c r="E156" s="15" t="s">
        <v>426</v>
      </c>
      <c r="F156" s="15" t="s">
        <v>426</v>
      </c>
      <c r="G156" s="15" t="s">
        <v>162</v>
      </c>
      <c r="H156" s="7">
        <v>6</v>
      </c>
      <c r="I156" s="6" t="s">
        <v>3600</v>
      </c>
      <c r="J156" s="6" t="s">
        <v>39015</v>
      </c>
      <c r="K156" s="6" t="s">
        <v>38663</v>
      </c>
      <c r="L156" s="6" t="s">
        <v>38514</v>
      </c>
      <c r="M156" s="6" t="s">
        <v>38688</v>
      </c>
      <c r="N156" s="6" t="s">
        <v>39016</v>
      </c>
      <c r="O156" s="6" t="s">
        <v>37965</v>
      </c>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row>
    <row r="157" spans="1:72">
      <c r="A157" s="8" t="s">
        <v>3603</v>
      </c>
      <c r="B157" s="11" t="s">
        <v>3606</v>
      </c>
      <c r="C157" s="9" t="s">
        <v>138</v>
      </c>
      <c r="D157" s="10" t="s">
        <v>138</v>
      </c>
      <c r="E157" s="28" t="s">
        <v>3614</v>
      </c>
      <c r="F157" s="28" t="s">
        <v>138</v>
      </c>
      <c r="G157" s="28" t="s">
        <v>946</v>
      </c>
      <c r="H157" s="13" t="s">
        <v>138</v>
      </c>
      <c r="I157" s="12" t="s">
        <v>138</v>
      </c>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row>
    <row r="158" spans="1:72">
      <c r="A158" s="2" t="s">
        <v>3619</v>
      </c>
      <c r="B158" s="5" t="s">
        <v>3624</v>
      </c>
      <c r="C158" s="3" t="s">
        <v>138</v>
      </c>
      <c r="D158" s="4" t="s">
        <v>138</v>
      </c>
      <c r="E158" s="15" t="s">
        <v>1223</v>
      </c>
      <c r="F158" s="15" t="s">
        <v>200</v>
      </c>
      <c r="G158" s="15" t="s">
        <v>162</v>
      </c>
      <c r="H158" s="7">
        <v>6</v>
      </c>
      <c r="I158" s="6" t="s">
        <v>3633</v>
      </c>
      <c r="J158" s="6" t="s">
        <v>39017</v>
      </c>
      <c r="K158" s="6" t="s">
        <v>37788</v>
      </c>
      <c r="L158" s="6" t="s">
        <v>38476</v>
      </c>
      <c r="M158" s="6" t="s">
        <v>37805</v>
      </c>
      <c r="N158" s="6" t="s">
        <v>39018</v>
      </c>
      <c r="O158" s="6" t="s">
        <v>38145</v>
      </c>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row>
    <row r="159" spans="1:72">
      <c r="A159" s="8" t="s">
        <v>3637</v>
      </c>
      <c r="B159" s="11" t="s">
        <v>3642</v>
      </c>
      <c r="C159" s="9" t="s">
        <v>138</v>
      </c>
      <c r="D159" s="10" t="s">
        <v>138</v>
      </c>
      <c r="E159" s="28" t="s">
        <v>642</v>
      </c>
      <c r="F159" s="28" t="s">
        <v>474</v>
      </c>
      <c r="G159" s="28" t="s">
        <v>162</v>
      </c>
      <c r="H159" s="13">
        <v>7</v>
      </c>
      <c r="I159" s="12" t="s">
        <v>3652</v>
      </c>
      <c r="J159" s="12" t="s">
        <v>39019</v>
      </c>
      <c r="K159" s="12" t="s">
        <v>39020</v>
      </c>
      <c r="L159" s="12" t="s">
        <v>39021</v>
      </c>
      <c r="M159" s="12" t="s">
        <v>39022</v>
      </c>
      <c r="N159" s="12" t="s">
        <v>39023</v>
      </c>
      <c r="O159" s="12" t="s">
        <v>38363</v>
      </c>
      <c r="P159" s="12" t="s">
        <v>39024</v>
      </c>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row>
    <row r="160" spans="1:72">
      <c r="A160" s="2" t="s">
        <v>3656</v>
      </c>
      <c r="B160" s="5" t="s">
        <v>3662</v>
      </c>
      <c r="C160" s="3" t="s">
        <v>138</v>
      </c>
      <c r="D160" s="4" t="s">
        <v>138</v>
      </c>
      <c r="E160" s="15" t="s">
        <v>3670</v>
      </c>
      <c r="F160" s="15" t="s">
        <v>200</v>
      </c>
      <c r="G160" s="15" t="s">
        <v>162</v>
      </c>
      <c r="H160" s="7">
        <v>8</v>
      </c>
      <c r="I160" s="6" t="s">
        <v>3674</v>
      </c>
      <c r="J160" s="6" t="s">
        <v>39025</v>
      </c>
      <c r="K160" s="6" t="s">
        <v>38148</v>
      </c>
      <c r="L160" s="6" t="s">
        <v>39026</v>
      </c>
      <c r="M160" s="6" t="s">
        <v>39027</v>
      </c>
      <c r="N160" s="6" t="s">
        <v>39028</v>
      </c>
      <c r="O160" s="6" t="s">
        <v>37839</v>
      </c>
      <c r="P160" s="6" t="s">
        <v>37805</v>
      </c>
      <c r="Q160" s="6" t="s">
        <v>38325</v>
      </c>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row>
    <row r="161" spans="1:72">
      <c r="A161" s="8" t="s">
        <v>3677</v>
      </c>
      <c r="B161" s="11" t="s">
        <v>3683</v>
      </c>
      <c r="C161" s="9" t="s">
        <v>138</v>
      </c>
      <c r="D161" s="10" t="s">
        <v>138</v>
      </c>
      <c r="E161" s="28" t="s">
        <v>3691</v>
      </c>
      <c r="F161" s="28" t="s">
        <v>138</v>
      </c>
      <c r="G161" s="28" t="s">
        <v>3693</v>
      </c>
      <c r="H161" s="13">
        <v>10</v>
      </c>
      <c r="I161" s="12" t="s">
        <v>3696</v>
      </c>
      <c r="J161" s="12" t="s">
        <v>39029</v>
      </c>
      <c r="K161" s="12" t="s">
        <v>39001</v>
      </c>
      <c r="L161" s="12" t="s">
        <v>39030</v>
      </c>
      <c r="M161" s="12" t="s">
        <v>39003</v>
      </c>
      <c r="N161" s="12" t="s">
        <v>39031</v>
      </c>
      <c r="O161" s="12" t="s">
        <v>37987</v>
      </c>
      <c r="P161" s="12" t="s">
        <v>38349</v>
      </c>
      <c r="Q161" s="12" t="s">
        <v>39032</v>
      </c>
      <c r="R161" s="12" t="s">
        <v>38625</v>
      </c>
      <c r="S161" s="12" t="s">
        <v>39033</v>
      </c>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row>
    <row r="162" spans="1:72">
      <c r="A162" s="2" t="s">
        <v>3699</v>
      </c>
      <c r="B162" s="5" t="s">
        <v>3703</v>
      </c>
      <c r="C162" s="3" t="s">
        <v>138</v>
      </c>
      <c r="D162" s="4" t="s">
        <v>138</v>
      </c>
      <c r="E162" s="15" t="s">
        <v>3711</v>
      </c>
      <c r="F162" s="15" t="s">
        <v>3712</v>
      </c>
      <c r="G162" s="15" t="s">
        <v>162</v>
      </c>
      <c r="H162" s="7">
        <v>12</v>
      </c>
      <c r="I162" s="6" t="s">
        <v>3716</v>
      </c>
      <c r="J162" s="6" t="s">
        <v>39034</v>
      </c>
      <c r="K162" s="6" t="s">
        <v>39035</v>
      </c>
      <c r="L162" s="6" t="s">
        <v>39036</v>
      </c>
      <c r="M162" s="6" t="s">
        <v>39037</v>
      </c>
      <c r="N162" s="6" t="s">
        <v>39038</v>
      </c>
      <c r="O162" s="6" t="s">
        <v>38182</v>
      </c>
      <c r="P162" s="6" t="s">
        <v>39039</v>
      </c>
      <c r="Q162" s="6" t="s">
        <v>39040</v>
      </c>
      <c r="R162" s="6" t="s">
        <v>39041</v>
      </c>
      <c r="S162" s="6" t="s">
        <v>39042</v>
      </c>
      <c r="T162" s="6" t="s">
        <v>39043</v>
      </c>
      <c r="U162" s="6" t="s">
        <v>38158</v>
      </c>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row>
    <row r="163" spans="1:72">
      <c r="A163" s="8" t="s">
        <v>3719</v>
      </c>
      <c r="B163" s="11" t="s">
        <v>3724</v>
      </c>
      <c r="C163" s="9" t="s">
        <v>138</v>
      </c>
      <c r="D163" s="10" t="s">
        <v>138</v>
      </c>
      <c r="E163" s="28" t="s">
        <v>3733</v>
      </c>
      <c r="F163" s="28" t="s">
        <v>138</v>
      </c>
      <c r="G163" s="28" t="s">
        <v>946</v>
      </c>
      <c r="H163" s="13">
        <v>1</v>
      </c>
      <c r="I163" s="12" t="s">
        <v>3737</v>
      </c>
      <c r="J163" s="12" t="s">
        <v>3737</v>
      </c>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row>
    <row r="164" spans="1:72">
      <c r="A164" s="2" t="s">
        <v>3740</v>
      </c>
      <c r="B164" s="5" t="s">
        <v>3746</v>
      </c>
      <c r="C164" s="3" t="s">
        <v>138</v>
      </c>
      <c r="D164" s="4" t="s">
        <v>138</v>
      </c>
      <c r="E164" s="15" t="s">
        <v>966</v>
      </c>
      <c r="F164" s="15" t="s">
        <v>200</v>
      </c>
      <c r="G164" s="15" t="s">
        <v>162</v>
      </c>
      <c r="H164" s="7">
        <v>9</v>
      </c>
      <c r="I164" s="6" t="s">
        <v>3757</v>
      </c>
      <c r="J164" s="6" t="s">
        <v>39044</v>
      </c>
      <c r="K164" s="6" t="s">
        <v>38964</v>
      </c>
      <c r="L164" s="6" t="s">
        <v>39045</v>
      </c>
      <c r="M164" s="6" t="s">
        <v>39046</v>
      </c>
      <c r="N164" s="6" t="s">
        <v>39047</v>
      </c>
      <c r="O164" s="6" t="s">
        <v>39048</v>
      </c>
      <c r="P164" s="6" t="s">
        <v>38954</v>
      </c>
      <c r="Q164" s="6" t="s">
        <v>39049</v>
      </c>
      <c r="R164" s="6" t="s">
        <v>38145</v>
      </c>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row>
    <row r="165" spans="1:72">
      <c r="A165" s="8" t="s">
        <v>3760</v>
      </c>
      <c r="B165" s="11" t="s">
        <v>3766</v>
      </c>
      <c r="C165" s="9" t="s">
        <v>138</v>
      </c>
      <c r="D165" s="10" t="s">
        <v>138</v>
      </c>
      <c r="E165" s="28" t="s">
        <v>3774</v>
      </c>
      <c r="F165" s="28" t="s">
        <v>864</v>
      </c>
      <c r="G165" s="28" t="s">
        <v>162</v>
      </c>
      <c r="H165" s="13">
        <v>1</v>
      </c>
      <c r="I165" s="12" t="s">
        <v>3779</v>
      </c>
      <c r="J165" s="12" t="s">
        <v>3779</v>
      </c>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row>
    <row r="166" spans="1:72">
      <c r="A166" s="2" t="s">
        <v>3787</v>
      </c>
      <c r="B166" s="5" t="s">
        <v>3792</v>
      </c>
      <c r="C166" s="3" t="s">
        <v>3788</v>
      </c>
      <c r="D166" s="4" t="s">
        <v>138</v>
      </c>
      <c r="E166" s="15" t="s">
        <v>1171</v>
      </c>
      <c r="F166" s="15" t="s">
        <v>200</v>
      </c>
      <c r="G166" s="15" t="s">
        <v>162</v>
      </c>
      <c r="H166" s="7">
        <v>11</v>
      </c>
      <c r="I166" s="6" t="s">
        <v>3803</v>
      </c>
      <c r="J166" s="6" t="s">
        <v>39050</v>
      </c>
      <c r="K166" s="6" t="s">
        <v>39051</v>
      </c>
      <c r="L166" s="6" t="s">
        <v>38339</v>
      </c>
      <c r="M166" s="6" t="s">
        <v>37795</v>
      </c>
      <c r="N166" s="6" t="s">
        <v>39052</v>
      </c>
      <c r="O166" s="6" t="s">
        <v>39053</v>
      </c>
      <c r="P166" s="6" t="s">
        <v>39054</v>
      </c>
      <c r="Q166" s="6" t="s">
        <v>39055</v>
      </c>
      <c r="R166" s="6" t="s">
        <v>38286</v>
      </c>
      <c r="S166" s="6" t="s">
        <v>39056</v>
      </c>
      <c r="T166" s="6" t="s">
        <v>38813</v>
      </c>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row>
    <row r="167" spans="1:72">
      <c r="A167" s="8" t="s">
        <v>3806</v>
      </c>
      <c r="B167" s="11" t="s">
        <v>3813</v>
      </c>
      <c r="C167" s="9" t="s">
        <v>138</v>
      </c>
      <c r="D167" s="10" t="s">
        <v>3807</v>
      </c>
      <c r="E167" s="28" t="s">
        <v>3820</v>
      </c>
      <c r="F167" s="28" t="s">
        <v>864</v>
      </c>
      <c r="G167" s="28" t="s">
        <v>162</v>
      </c>
      <c r="H167" s="13">
        <v>6</v>
      </c>
      <c r="I167" s="12" t="s">
        <v>3823</v>
      </c>
      <c r="J167" s="12" t="s">
        <v>455</v>
      </c>
      <c r="K167" s="12" t="s">
        <v>38803</v>
      </c>
      <c r="L167" s="12" t="s">
        <v>39057</v>
      </c>
      <c r="M167" s="12" t="s">
        <v>37839</v>
      </c>
      <c r="N167" s="12" t="s">
        <v>39058</v>
      </c>
      <c r="O167" s="12" t="s">
        <v>38712</v>
      </c>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row>
    <row r="168" spans="1:72">
      <c r="A168" s="2" t="s">
        <v>3828</v>
      </c>
      <c r="B168" s="5" t="s">
        <v>3833</v>
      </c>
      <c r="C168" s="3" t="s">
        <v>138</v>
      </c>
      <c r="D168" s="4" t="s">
        <v>138</v>
      </c>
      <c r="E168" s="15" t="s">
        <v>3841</v>
      </c>
      <c r="F168" s="15" t="s">
        <v>200</v>
      </c>
      <c r="G168" s="15" t="s">
        <v>162</v>
      </c>
      <c r="H168" s="7">
        <v>10</v>
      </c>
      <c r="I168" s="6" t="s">
        <v>3845</v>
      </c>
      <c r="J168" s="6" t="s">
        <v>39059</v>
      </c>
      <c r="K168" s="6" t="s">
        <v>39060</v>
      </c>
      <c r="L168" s="6" t="s">
        <v>39061</v>
      </c>
      <c r="M168" s="6" t="s">
        <v>39062</v>
      </c>
      <c r="N168" s="6" t="s">
        <v>37787</v>
      </c>
      <c r="O168" s="6" t="s">
        <v>38396</v>
      </c>
      <c r="P168" s="6" t="s">
        <v>38746</v>
      </c>
      <c r="Q168" s="6" t="s">
        <v>39063</v>
      </c>
      <c r="R168" s="6" t="s">
        <v>39064</v>
      </c>
      <c r="S168" s="6" t="s">
        <v>39065</v>
      </c>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row>
    <row r="169" spans="1:72">
      <c r="A169" s="8" t="s">
        <v>3849</v>
      </c>
      <c r="B169" s="11" t="s">
        <v>3855</v>
      </c>
      <c r="C169" s="9" t="s">
        <v>138</v>
      </c>
      <c r="D169" s="10" t="s">
        <v>138</v>
      </c>
      <c r="E169" s="28" t="s">
        <v>966</v>
      </c>
      <c r="F169" s="28" t="s">
        <v>200</v>
      </c>
      <c r="G169" s="28" t="s">
        <v>162</v>
      </c>
      <c r="H169" s="13">
        <v>14</v>
      </c>
      <c r="I169" s="12" t="s">
        <v>3865</v>
      </c>
      <c r="J169" s="12" t="s">
        <v>39066</v>
      </c>
      <c r="K169" s="12" t="s">
        <v>39067</v>
      </c>
      <c r="L169" s="12" t="s">
        <v>39068</v>
      </c>
      <c r="M169" s="12" t="s">
        <v>39069</v>
      </c>
      <c r="N169" s="12" t="s">
        <v>39070</v>
      </c>
      <c r="O169" s="12" t="s">
        <v>38299</v>
      </c>
      <c r="P169" s="12" t="s">
        <v>37788</v>
      </c>
      <c r="Q169" s="12" t="s">
        <v>38642</v>
      </c>
      <c r="R169" s="12" t="s">
        <v>39071</v>
      </c>
      <c r="S169" s="12" t="s">
        <v>38157</v>
      </c>
      <c r="T169" s="12" t="s">
        <v>39072</v>
      </c>
      <c r="U169" s="12" t="s">
        <v>39073</v>
      </c>
      <c r="V169" s="12" t="s">
        <v>38145</v>
      </c>
      <c r="W169" s="12" t="s">
        <v>39074</v>
      </c>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row>
    <row r="170" spans="1:72">
      <c r="A170" s="2" t="s">
        <v>3868</v>
      </c>
      <c r="B170" s="5" t="s">
        <v>3874</v>
      </c>
      <c r="C170" s="3" t="s">
        <v>3869</v>
      </c>
      <c r="D170" s="4" t="s">
        <v>138</v>
      </c>
      <c r="E170" s="15" t="s">
        <v>3428</v>
      </c>
      <c r="F170" s="15" t="s">
        <v>3883</v>
      </c>
      <c r="G170" s="15" t="s">
        <v>162</v>
      </c>
      <c r="H170" s="7">
        <v>12</v>
      </c>
      <c r="I170" s="6" t="s">
        <v>3887</v>
      </c>
      <c r="J170" s="6" t="s">
        <v>39075</v>
      </c>
      <c r="K170" s="6" t="s">
        <v>39076</v>
      </c>
      <c r="L170" s="6" t="s">
        <v>37787</v>
      </c>
      <c r="M170" s="6" t="s">
        <v>39077</v>
      </c>
      <c r="N170" s="6" t="s">
        <v>39078</v>
      </c>
      <c r="O170" s="6" t="s">
        <v>39079</v>
      </c>
      <c r="P170" s="6" t="s">
        <v>37931</v>
      </c>
      <c r="Q170" s="6" t="s">
        <v>39080</v>
      </c>
      <c r="R170" s="6" t="s">
        <v>39081</v>
      </c>
      <c r="S170" s="6" t="s">
        <v>37916</v>
      </c>
      <c r="T170" s="6" t="s">
        <v>39082</v>
      </c>
      <c r="U170" s="6" t="s">
        <v>39083</v>
      </c>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row>
    <row r="171" spans="1:72">
      <c r="A171" s="8" t="s">
        <v>3892</v>
      </c>
      <c r="B171" s="11" t="s">
        <v>3898</v>
      </c>
      <c r="C171" s="9" t="s">
        <v>3893</v>
      </c>
      <c r="D171" s="10" t="s">
        <v>138</v>
      </c>
      <c r="E171" s="28" t="s">
        <v>3907</v>
      </c>
      <c r="F171" s="28" t="s">
        <v>2740</v>
      </c>
      <c r="G171" s="28" t="s">
        <v>2742</v>
      </c>
      <c r="H171" s="13">
        <v>6</v>
      </c>
      <c r="I171" s="12" t="s">
        <v>3911</v>
      </c>
      <c r="J171" s="12" t="s">
        <v>13176</v>
      </c>
      <c r="K171" s="12" t="s">
        <v>39084</v>
      </c>
      <c r="L171" s="12" t="s">
        <v>38494</v>
      </c>
      <c r="M171" s="12" t="s">
        <v>39085</v>
      </c>
      <c r="N171" s="12" t="s">
        <v>39086</v>
      </c>
      <c r="O171" s="12" t="s">
        <v>39087</v>
      </c>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row>
    <row r="172" spans="1:72">
      <c r="A172" s="2" t="s">
        <v>3914</v>
      </c>
      <c r="B172" s="5" t="s">
        <v>3921</v>
      </c>
      <c r="C172" s="3" t="s">
        <v>3915</v>
      </c>
      <c r="D172" s="4" t="s">
        <v>138</v>
      </c>
      <c r="E172" s="15" t="s">
        <v>668</v>
      </c>
      <c r="F172" s="15" t="s">
        <v>200</v>
      </c>
      <c r="G172" s="15" t="s">
        <v>162</v>
      </c>
      <c r="H172" s="7">
        <v>34</v>
      </c>
      <c r="I172" s="6" t="s">
        <v>3931</v>
      </c>
      <c r="J172" s="6" t="s">
        <v>39088</v>
      </c>
      <c r="K172" s="6" t="s">
        <v>39001</v>
      </c>
      <c r="L172" s="6" t="s">
        <v>39089</v>
      </c>
      <c r="M172" s="6" t="s">
        <v>39090</v>
      </c>
      <c r="N172" s="6" t="s">
        <v>39091</v>
      </c>
      <c r="O172" s="6" t="s">
        <v>39092</v>
      </c>
      <c r="P172" s="6" t="s">
        <v>39093</v>
      </c>
      <c r="Q172" s="6" t="s">
        <v>39094</v>
      </c>
      <c r="R172" s="6" t="s">
        <v>39095</v>
      </c>
      <c r="S172" s="6" t="s">
        <v>39096</v>
      </c>
      <c r="T172" s="6" t="s">
        <v>39097</v>
      </c>
      <c r="U172" s="6" t="s">
        <v>39098</v>
      </c>
      <c r="V172" s="6" t="s">
        <v>37821</v>
      </c>
      <c r="W172" s="6" t="s">
        <v>38803</v>
      </c>
      <c r="X172" s="6" t="s">
        <v>39099</v>
      </c>
      <c r="Y172" s="6" t="s">
        <v>38062</v>
      </c>
      <c r="Z172" s="6" t="s">
        <v>39100</v>
      </c>
      <c r="AA172" s="6" t="s">
        <v>39101</v>
      </c>
      <c r="AB172" s="6" t="s">
        <v>39102</v>
      </c>
      <c r="AC172" s="6" t="s">
        <v>37996</v>
      </c>
      <c r="AD172" s="6" t="s">
        <v>39103</v>
      </c>
      <c r="AE172" s="6" t="s">
        <v>39104</v>
      </c>
      <c r="AF172" s="6" t="s">
        <v>39105</v>
      </c>
      <c r="AG172" s="6" t="s">
        <v>39106</v>
      </c>
      <c r="AH172" s="6" t="s">
        <v>38065</v>
      </c>
      <c r="AI172" s="6" t="s">
        <v>39107</v>
      </c>
      <c r="AJ172" s="6" t="s">
        <v>38712</v>
      </c>
      <c r="AK172" s="6" t="s">
        <v>37915</v>
      </c>
      <c r="AL172" s="6" t="s">
        <v>39108</v>
      </c>
      <c r="AM172" s="6" t="s">
        <v>39109</v>
      </c>
      <c r="AN172" s="6" t="s">
        <v>39110</v>
      </c>
      <c r="AO172" s="6" t="s">
        <v>39111</v>
      </c>
      <c r="AP172" s="6" t="s">
        <v>39112</v>
      </c>
      <c r="AQ172" s="6" t="s">
        <v>39113</v>
      </c>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row>
    <row r="173" spans="1:72">
      <c r="A173" s="8" t="s">
        <v>3937</v>
      </c>
      <c r="B173" s="11" t="s">
        <v>3945</v>
      </c>
      <c r="C173" s="9" t="s">
        <v>3938</v>
      </c>
      <c r="D173" s="10" t="s">
        <v>3939</v>
      </c>
      <c r="E173" s="28" t="s">
        <v>1223</v>
      </c>
      <c r="F173" s="28" t="s">
        <v>200</v>
      </c>
      <c r="G173" s="28" t="s">
        <v>162</v>
      </c>
      <c r="H173" s="13">
        <v>11</v>
      </c>
      <c r="I173" s="12" t="s">
        <v>3956</v>
      </c>
      <c r="J173" s="12" t="s">
        <v>37811</v>
      </c>
      <c r="K173" s="12" t="s">
        <v>37979</v>
      </c>
      <c r="L173" s="12" t="s">
        <v>39114</v>
      </c>
      <c r="M173" s="12" t="s">
        <v>39115</v>
      </c>
      <c r="N173" s="12" t="s">
        <v>39116</v>
      </c>
      <c r="O173" s="12" t="s">
        <v>37787</v>
      </c>
      <c r="P173" s="12" t="s">
        <v>39117</v>
      </c>
      <c r="Q173" s="12" t="s">
        <v>39118</v>
      </c>
      <c r="R173" s="12" t="s">
        <v>37960</v>
      </c>
      <c r="S173" s="12" t="s">
        <v>39119</v>
      </c>
      <c r="T173" s="12" t="s">
        <v>38983</v>
      </c>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row>
    <row r="174" spans="1:72">
      <c r="A174" s="2" t="s">
        <v>3961</v>
      </c>
      <c r="B174" s="5" t="s">
        <v>3964</v>
      </c>
      <c r="C174" s="3" t="s">
        <v>138</v>
      </c>
      <c r="D174" s="4" t="s">
        <v>138</v>
      </c>
      <c r="E174" s="15" t="s">
        <v>3972</v>
      </c>
      <c r="F174" s="15" t="s">
        <v>138</v>
      </c>
      <c r="G174" s="15" t="s">
        <v>740</v>
      </c>
      <c r="H174" s="7">
        <v>1</v>
      </c>
      <c r="I174" s="6" t="s">
        <v>3975</v>
      </c>
      <c r="J174" s="6" t="s">
        <v>3975</v>
      </c>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row>
    <row r="175" spans="1:72">
      <c r="A175" s="8" t="s">
        <v>3978</v>
      </c>
      <c r="B175" s="11" t="s">
        <v>3984</v>
      </c>
      <c r="C175" s="9" t="s">
        <v>138</v>
      </c>
      <c r="D175" s="10" t="s">
        <v>138</v>
      </c>
      <c r="E175" s="28" t="s">
        <v>3994</v>
      </c>
      <c r="F175" s="28" t="s">
        <v>138</v>
      </c>
      <c r="G175" s="28" t="s">
        <v>3996</v>
      </c>
      <c r="H175" s="13">
        <v>12</v>
      </c>
      <c r="I175" s="12" t="s">
        <v>3999</v>
      </c>
      <c r="J175" s="12" t="s">
        <v>39120</v>
      </c>
      <c r="K175" s="12" t="s">
        <v>39121</v>
      </c>
      <c r="L175" s="12" t="s">
        <v>39122</v>
      </c>
      <c r="M175" s="12" t="s">
        <v>39123</v>
      </c>
      <c r="N175" s="12" t="s">
        <v>38306</v>
      </c>
      <c r="O175" s="12" t="s">
        <v>39124</v>
      </c>
      <c r="P175" s="12" t="s">
        <v>37839</v>
      </c>
      <c r="Q175" s="12" t="s">
        <v>38980</v>
      </c>
      <c r="R175" s="12" t="s">
        <v>39125</v>
      </c>
      <c r="S175" s="12" t="s">
        <v>39126</v>
      </c>
      <c r="T175" s="12" t="s">
        <v>39127</v>
      </c>
      <c r="U175" s="12" t="s">
        <v>39128</v>
      </c>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row>
    <row r="176" spans="1:72">
      <c r="A176" s="2" t="s">
        <v>4002</v>
      </c>
      <c r="B176" s="5" t="s">
        <v>4008</v>
      </c>
      <c r="C176" s="3" t="s">
        <v>138</v>
      </c>
      <c r="D176" s="4" t="s">
        <v>4003</v>
      </c>
      <c r="E176" s="15" t="s">
        <v>4015</v>
      </c>
      <c r="F176" s="15" t="s">
        <v>4016</v>
      </c>
      <c r="G176" s="15" t="s">
        <v>162</v>
      </c>
      <c r="H176" s="7" t="s">
        <v>138</v>
      </c>
      <c r="I176" s="6" t="s">
        <v>138</v>
      </c>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row>
    <row r="177" spans="1:72">
      <c r="A177" s="8" t="s">
        <v>4022</v>
      </c>
      <c r="B177" s="11" t="s">
        <v>4027</v>
      </c>
      <c r="C177" s="9" t="s">
        <v>138</v>
      </c>
      <c r="D177" s="10" t="s">
        <v>138</v>
      </c>
      <c r="E177" s="28" t="s">
        <v>944</v>
      </c>
      <c r="F177" s="28" t="s">
        <v>138</v>
      </c>
      <c r="G177" s="28" t="s">
        <v>946</v>
      </c>
      <c r="H177" s="13">
        <v>2</v>
      </c>
      <c r="I177" s="12" t="s">
        <v>4037</v>
      </c>
      <c r="J177" s="12" t="s">
        <v>2912</v>
      </c>
      <c r="K177" s="12" t="s">
        <v>39129</v>
      </c>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row>
    <row r="178" spans="1:72">
      <c r="A178" s="2" t="s">
        <v>4040</v>
      </c>
      <c r="B178" s="5" t="s">
        <v>4045</v>
      </c>
      <c r="C178" s="3" t="s">
        <v>138</v>
      </c>
      <c r="D178" s="4" t="s">
        <v>138</v>
      </c>
      <c r="E178" s="15" t="s">
        <v>4052</v>
      </c>
      <c r="F178" s="15" t="s">
        <v>4053</v>
      </c>
      <c r="G178" s="15" t="s">
        <v>162</v>
      </c>
      <c r="H178" s="7">
        <v>1</v>
      </c>
      <c r="I178" s="6" t="s">
        <v>4056</v>
      </c>
      <c r="J178" s="6" t="s">
        <v>4056</v>
      </c>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row>
    <row r="179" spans="1:72">
      <c r="A179" s="8" t="s">
        <v>4059</v>
      </c>
      <c r="B179" s="11" t="s">
        <v>4063</v>
      </c>
      <c r="C179" s="9" t="s">
        <v>138</v>
      </c>
      <c r="D179" s="10" t="s">
        <v>138</v>
      </c>
      <c r="E179" s="28" t="s">
        <v>4072</v>
      </c>
      <c r="F179" s="28" t="s">
        <v>138</v>
      </c>
      <c r="G179" s="28" t="s">
        <v>740</v>
      </c>
      <c r="H179" s="13">
        <v>15</v>
      </c>
      <c r="I179" s="12" t="s">
        <v>4077</v>
      </c>
      <c r="J179" s="12" t="s">
        <v>39130</v>
      </c>
      <c r="K179" s="12" t="s">
        <v>39131</v>
      </c>
      <c r="L179" s="12" t="s">
        <v>39132</v>
      </c>
      <c r="M179" s="12" t="s">
        <v>39133</v>
      </c>
      <c r="N179" s="12" t="s">
        <v>39134</v>
      </c>
      <c r="O179" s="12" t="s">
        <v>39135</v>
      </c>
      <c r="P179" s="12" t="s">
        <v>39136</v>
      </c>
      <c r="Q179" s="12" t="s">
        <v>39137</v>
      </c>
      <c r="R179" s="12" t="s">
        <v>39138</v>
      </c>
      <c r="S179" s="12" t="s">
        <v>39139</v>
      </c>
      <c r="T179" s="12" t="s">
        <v>39140</v>
      </c>
      <c r="U179" s="12" t="s">
        <v>39141</v>
      </c>
      <c r="V179" s="12" t="s">
        <v>39142</v>
      </c>
      <c r="W179" s="12" t="s">
        <v>37770</v>
      </c>
      <c r="X179" s="12" t="s">
        <v>39143</v>
      </c>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row>
    <row r="180" spans="1:72">
      <c r="A180" s="2" t="s">
        <v>4084</v>
      </c>
      <c r="B180" s="5" t="s">
        <v>4090</v>
      </c>
      <c r="C180" s="3" t="s">
        <v>138</v>
      </c>
      <c r="D180" s="4" t="s">
        <v>138</v>
      </c>
      <c r="E180" s="15" t="s">
        <v>2030</v>
      </c>
      <c r="F180" s="15" t="s">
        <v>2031</v>
      </c>
      <c r="G180" s="15" t="s">
        <v>162</v>
      </c>
      <c r="H180" s="7">
        <v>4</v>
      </c>
      <c r="I180" s="6" t="s">
        <v>4101</v>
      </c>
      <c r="J180" s="6" t="s">
        <v>21198</v>
      </c>
      <c r="K180" s="6" t="s">
        <v>39144</v>
      </c>
      <c r="L180" s="6" t="s">
        <v>38919</v>
      </c>
      <c r="M180" s="6" t="s">
        <v>38502</v>
      </c>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row>
    <row r="181" spans="1:72">
      <c r="A181" s="8" t="s">
        <v>4105</v>
      </c>
      <c r="B181" s="11" t="s">
        <v>4111</v>
      </c>
      <c r="C181" s="9" t="s">
        <v>138</v>
      </c>
      <c r="D181" s="10" t="s">
        <v>4106</v>
      </c>
      <c r="E181" s="28" t="s">
        <v>4119</v>
      </c>
      <c r="F181" s="28" t="s">
        <v>200</v>
      </c>
      <c r="G181" s="28" t="s">
        <v>162</v>
      </c>
      <c r="H181" s="13">
        <v>3</v>
      </c>
      <c r="I181" s="12" t="s">
        <v>4123</v>
      </c>
      <c r="J181" s="12" t="s">
        <v>15335</v>
      </c>
      <c r="K181" s="12" t="s">
        <v>39145</v>
      </c>
      <c r="L181" s="12" t="s">
        <v>39146</v>
      </c>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row>
    <row r="182" spans="1:72">
      <c r="A182" s="2" t="s">
        <v>4127</v>
      </c>
      <c r="B182" s="5" t="s">
        <v>4133</v>
      </c>
      <c r="C182" s="3" t="s">
        <v>138</v>
      </c>
      <c r="D182" s="4" t="s">
        <v>4128</v>
      </c>
      <c r="E182" s="15" t="s">
        <v>449</v>
      </c>
      <c r="F182" s="15" t="s">
        <v>4136</v>
      </c>
      <c r="G182" s="15" t="s">
        <v>450</v>
      </c>
      <c r="H182" s="7">
        <v>1</v>
      </c>
      <c r="I182" s="6" t="s">
        <v>455</v>
      </c>
      <c r="J182" s="6" t="s">
        <v>455</v>
      </c>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row>
    <row r="183" spans="1:72">
      <c r="A183" s="8" t="s">
        <v>4140</v>
      </c>
      <c r="B183" s="11" t="s">
        <v>4145</v>
      </c>
      <c r="C183" s="9" t="s">
        <v>138</v>
      </c>
      <c r="D183" s="10" t="s">
        <v>4141</v>
      </c>
      <c r="E183" s="28" t="s">
        <v>1171</v>
      </c>
      <c r="F183" s="28" t="s">
        <v>200</v>
      </c>
      <c r="G183" s="28" t="s">
        <v>162</v>
      </c>
      <c r="H183" s="13">
        <v>5</v>
      </c>
      <c r="I183" s="12" t="s">
        <v>4156</v>
      </c>
      <c r="J183" s="12" t="s">
        <v>39147</v>
      </c>
      <c r="K183" s="12" t="s">
        <v>38223</v>
      </c>
      <c r="L183" s="12" t="s">
        <v>39148</v>
      </c>
      <c r="M183" s="12" t="s">
        <v>39149</v>
      </c>
      <c r="N183" s="12" t="s">
        <v>39150</v>
      </c>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row>
    <row r="184" spans="1:72">
      <c r="A184" s="2" t="s">
        <v>4161</v>
      </c>
      <c r="B184" s="5" t="s">
        <v>4167</v>
      </c>
      <c r="C184" s="3" t="s">
        <v>138</v>
      </c>
      <c r="D184" s="4" t="s">
        <v>138</v>
      </c>
      <c r="E184" s="15" t="s">
        <v>1661</v>
      </c>
      <c r="F184" s="15" t="s">
        <v>1389</v>
      </c>
      <c r="G184" s="15" t="s">
        <v>162</v>
      </c>
      <c r="H184" s="7">
        <v>4</v>
      </c>
      <c r="I184" s="6" t="s">
        <v>4176</v>
      </c>
      <c r="J184" s="6" t="s">
        <v>39151</v>
      </c>
      <c r="K184" s="6" t="s">
        <v>39152</v>
      </c>
      <c r="L184" s="6" t="s">
        <v>39153</v>
      </c>
      <c r="M184" s="6" t="s">
        <v>38164</v>
      </c>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row>
    <row r="185" spans="1:72">
      <c r="A185" s="8" t="s">
        <v>4181</v>
      </c>
      <c r="B185" s="11" t="s">
        <v>4188</v>
      </c>
      <c r="C185" s="9" t="s">
        <v>138</v>
      </c>
      <c r="D185" s="10" t="s">
        <v>138</v>
      </c>
      <c r="E185" s="28" t="s">
        <v>4197</v>
      </c>
      <c r="F185" s="28" t="s">
        <v>1146</v>
      </c>
      <c r="G185" s="28" t="s">
        <v>162</v>
      </c>
      <c r="H185" s="13">
        <v>3</v>
      </c>
      <c r="I185" s="12" t="s">
        <v>4201</v>
      </c>
      <c r="J185" s="12" t="s">
        <v>39154</v>
      </c>
      <c r="K185" s="12" t="s">
        <v>37839</v>
      </c>
      <c r="L185" s="12" t="s">
        <v>39155</v>
      </c>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row>
    <row r="186" spans="1:72">
      <c r="A186" s="2" t="s">
        <v>4205</v>
      </c>
      <c r="B186" s="5" t="s">
        <v>4210</v>
      </c>
      <c r="C186" s="3" t="s">
        <v>138</v>
      </c>
      <c r="D186" s="4" t="s">
        <v>4206</v>
      </c>
      <c r="E186" s="15" t="s">
        <v>3375</v>
      </c>
      <c r="F186" s="15" t="s">
        <v>339</v>
      </c>
      <c r="G186" s="15" t="s">
        <v>162</v>
      </c>
      <c r="H186" s="7">
        <v>18</v>
      </c>
      <c r="I186" s="6" t="s">
        <v>4218</v>
      </c>
      <c r="J186" s="6" t="s">
        <v>39156</v>
      </c>
      <c r="K186" s="6" t="s">
        <v>39157</v>
      </c>
      <c r="L186" s="6" t="s">
        <v>39158</v>
      </c>
      <c r="M186" s="6" t="s">
        <v>39159</v>
      </c>
      <c r="N186" s="6" t="s">
        <v>37795</v>
      </c>
      <c r="O186" s="6" t="s">
        <v>37816</v>
      </c>
      <c r="P186" s="6" t="s">
        <v>39153</v>
      </c>
      <c r="Q186" s="6" t="s">
        <v>39160</v>
      </c>
      <c r="R186" s="6" t="s">
        <v>39161</v>
      </c>
      <c r="S186" s="6" t="s">
        <v>39162</v>
      </c>
      <c r="T186" s="6" t="s">
        <v>39163</v>
      </c>
      <c r="U186" s="6" t="s">
        <v>39164</v>
      </c>
      <c r="V186" s="6" t="s">
        <v>39165</v>
      </c>
      <c r="W186" s="6" t="s">
        <v>39166</v>
      </c>
      <c r="X186" s="6" t="s">
        <v>39167</v>
      </c>
      <c r="Y186" s="6" t="s">
        <v>39168</v>
      </c>
      <c r="Z186" s="6" t="s">
        <v>39169</v>
      </c>
      <c r="AA186" s="6" t="s">
        <v>38145</v>
      </c>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row>
    <row r="187" spans="1:72">
      <c r="A187" s="8" t="s">
        <v>4221</v>
      </c>
      <c r="B187" s="11" t="s">
        <v>4225</v>
      </c>
      <c r="C187" s="9" t="s">
        <v>4222</v>
      </c>
      <c r="D187" s="10" t="s">
        <v>138</v>
      </c>
      <c r="E187" s="28" t="s">
        <v>426</v>
      </c>
      <c r="F187" s="28" t="s">
        <v>426</v>
      </c>
      <c r="G187" s="28" t="s">
        <v>162</v>
      </c>
      <c r="H187" s="13">
        <v>4</v>
      </c>
      <c r="I187" s="12" t="s">
        <v>4234</v>
      </c>
      <c r="J187" s="12" t="s">
        <v>27608</v>
      </c>
      <c r="K187" s="12" t="s">
        <v>39170</v>
      </c>
      <c r="L187" s="12" t="s">
        <v>39171</v>
      </c>
      <c r="M187" s="12" t="s">
        <v>39172</v>
      </c>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row>
    <row r="188" spans="1:72">
      <c r="A188" s="2" t="s">
        <v>4237</v>
      </c>
      <c r="B188" s="5" t="s">
        <v>4244</v>
      </c>
      <c r="C188" s="3" t="s">
        <v>4238</v>
      </c>
      <c r="D188" s="4" t="s">
        <v>138</v>
      </c>
      <c r="E188" s="15" t="s">
        <v>284</v>
      </c>
      <c r="F188" s="15" t="s">
        <v>2822</v>
      </c>
      <c r="G188" s="15" t="s">
        <v>162</v>
      </c>
      <c r="H188" s="7">
        <v>17</v>
      </c>
      <c r="I188" s="6" t="s">
        <v>4254</v>
      </c>
      <c r="J188" s="6" t="s">
        <v>39173</v>
      </c>
      <c r="K188" s="6" t="s">
        <v>39174</v>
      </c>
      <c r="L188" s="6" t="s">
        <v>38113</v>
      </c>
      <c r="M188" s="6" t="s">
        <v>37926</v>
      </c>
      <c r="N188" s="6" t="s">
        <v>39175</v>
      </c>
      <c r="O188" s="6" t="s">
        <v>39176</v>
      </c>
      <c r="P188" s="6" t="s">
        <v>39177</v>
      </c>
      <c r="Q188" s="6" t="s">
        <v>39178</v>
      </c>
      <c r="R188" s="6" t="s">
        <v>38743</v>
      </c>
      <c r="S188" s="6" t="s">
        <v>39179</v>
      </c>
      <c r="T188" s="6" t="s">
        <v>39180</v>
      </c>
      <c r="U188" s="6" t="s">
        <v>39181</v>
      </c>
      <c r="V188" s="6" t="s">
        <v>38848</v>
      </c>
      <c r="W188" s="6" t="s">
        <v>39182</v>
      </c>
      <c r="X188" s="6" t="s">
        <v>39183</v>
      </c>
      <c r="Y188" s="6" t="s">
        <v>39042</v>
      </c>
      <c r="Z188" s="6" t="s">
        <v>39184</v>
      </c>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row>
    <row r="189" spans="1:72">
      <c r="A189" s="8" t="s">
        <v>4258</v>
      </c>
      <c r="B189" s="11" t="s">
        <v>4265</v>
      </c>
      <c r="C189" s="9" t="s">
        <v>138</v>
      </c>
      <c r="D189" s="10" t="s">
        <v>138</v>
      </c>
      <c r="E189" s="28" t="s">
        <v>4273</v>
      </c>
      <c r="F189" s="28" t="s">
        <v>200</v>
      </c>
      <c r="G189" s="28" t="s">
        <v>162</v>
      </c>
      <c r="H189" s="13">
        <v>12</v>
      </c>
      <c r="I189" s="12" t="s">
        <v>4276</v>
      </c>
      <c r="J189" s="12">
        <v>301</v>
      </c>
      <c r="K189" s="12" t="s">
        <v>39185</v>
      </c>
      <c r="L189" s="12" t="s">
        <v>39186</v>
      </c>
      <c r="M189" s="12" t="s">
        <v>38746</v>
      </c>
      <c r="N189" s="12" t="s">
        <v>39187</v>
      </c>
      <c r="O189" s="12" t="s">
        <v>39188</v>
      </c>
      <c r="P189" s="12" t="s">
        <v>39189</v>
      </c>
      <c r="Q189" s="12" t="s">
        <v>39190</v>
      </c>
      <c r="R189" s="12" t="s">
        <v>39191</v>
      </c>
      <c r="S189" s="12" t="s">
        <v>39192</v>
      </c>
      <c r="T189" s="12" t="s">
        <v>38030</v>
      </c>
      <c r="U189" s="12" t="s">
        <v>39193</v>
      </c>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row>
    <row r="190" spans="1:72">
      <c r="A190" s="2" t="s">
        <v>4280</v>
      </c>
      <c r="B190" s="5" t="s">
        <v>4285</v>
      </c>
      <c r="C190" s="3" t="s">
        <v>4281</v>
      </c>
      <c r="D190" s="4" t="s">
        <v>138</v>
      </c>
      <c r="E190" s="15" t="s">
        <v>1198</v>
      </c>
      <c r="F190" s="15" t="s">
        <v>138</v>
      </c>
      <c r="G190" s="15" t="s">
        <v>1200</v>
      </c>
      <c r="H190" s="7">
        <v>6</v>
      </c>
      <c r="I190" s="6" t="s">
        <v>4296</v>
      </c>
      <c r="J190" s="6" t="s">
        <v>39194</v>
      </c>
      <c r="K190" s="6" t="s">
        <v>37798</v>
      </c>
      <c r="L190" s="6" t="s">
        <v>39195</v>
      </c>
      <c r="M190" s="6" t="s">
        <v>39196</v>
      </c>
      <c r="N190" s="6" t="s">
        <v>37781</v>
      </c>
      <c r="O190" s="6" t="s">
        <v>39197</v>
      </c>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row>
    <row r="191" spans="1:72">
      <c r="A191" s="8" t="s">
        <v>4300</v>
      </c>
      <c r="B191" s="11" t="s">
        <v>4304</v>
      </c>
      <c r="C191" s="9" t="s">
        <v>138</v>
      </c>
      <c r="D191" s="10" t="s">
        <v>138</v>
      </c>
      <c r="E191" s="28" t="s">
        <v>3820</v>
      </c>
      <c r="F191" s="28" t="s">
        <v>864</v>
      </c>
      <c r="G191" s="28" t="s">
        <v>162</v>
      </c>
      <c r="H191" s="13">
        <v>4</v>
      </c>
      <c r="I191" s="12" t="s">
        <v>4313</v>
      </c>
      <c r="J191" s="12" t="s">
        <v>25482</v>
      </c>
      <c r="K191" s="12" t="s">
        <v>39198</v>
      </c>
      <c r="L191" s="12" t="s">
        <v>38148</v>
      </c>
      <c r="M191" s="12" t="s">
        <v>37909</v>
      </c>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row>
    <row r="192" spans="1:72">
      <c r="A192" s="2" t="s">
        <v>4316</v>
      </c>
      <c r="B192" s="5" t="s">
        <v>4322</v>
      </c>
      <c r="C192" s="3" t="s">
        <v>4317</v>
      </c>
      <c r="D192" s="4" t="s">
        <v>138</v>
      </c>
      <c r="E192" s="15" t="s">
        <v>3375</v>
      </c>
      <c r="F192" s="15" t="s">
        <v>339</v>
      </c>
      <c r="G192" s="15" t="s">
        <v>162</v>
      </c>
      <c r="H192" s="7">
        <v>24</v>
      </c>
      <c r="I192" s="6" t="s">
        <v>4333</v>
      </c>
      <c r="J192" s="6" t="s">
        <v>38809</v>
      </c>
      <c r="K192" s="6" t="s">
        <v>39199</v>
      </c>
      <c r="L192" s="6" t="s">
        <v>39200</v>
      </c>
      <c r="M192" s="6" t="s">
        <v>39201</v>
      </c>
      <c r="N192" s="6" t="s">
        <v>38299</v>
      </c>
      <c r="O192" s="6" t="s">
        <v>39202</v>
      </c>
      <c r="P192" s="6" t="s">
        <v>38871</v>
      </c>
      <c r="Q192" s="6" t="s">
        <v>39203</v>
      </c>
      <c r="R192" s="6" t="s">
        <v>39204</v>
      </c>
      <c r="S192" s="6" t="s">
        <v>37851</v>
      </c>
      <c r="T192" s="6" t="s">
        <v>39205</v>
      </c>
      <c r="U192" s="6" t="s">
        <v>39206</v>
      </c>
      <c r="V192" s="6" t="s">
        <v>39207</v>
      </c>
      <c r="W192" s="6" t="s">
        <v>39181</v>
      </c>
      <c r="X192" s="6" t="s">
        <v>37824</v>
      </c>
      <c r="Y192" s="6" t="s">
        <v>38848</v>
      </c>
      <c r="Z192" s="6" t="s">
        <v>39182</v>
      </c>
      <c r="AA192" s="6" t="s">
        <v>37779</v>
      </c>
      <c r="AB192" s="6" t="s">
        <v>39208</v>
      </c>
      <c r="AC192" s="6" t="s">
        <v>37781</v>
      </c>
      <c r="AD192" s="6" t="s">
        <v>39209</v>
      </c>
      <c r="AE192" s="6" t="s">
        <v>39210</v>
      </c>
      <c r="AF192" s="6" t="s">
        <v>39211</v>
      </c>
      <c r="AG192" s="6" t="s">
        <v>39212</v>
      </c>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row>
    <row r="193" spans="1:72">
      <c r="A193" s="8" t="s">
        <v>4338</v>
      </c>
      <c r="B193" s="11" t="s">
        <v>4343</v>
      </c>
      <c r="C193" s="9" t="s">
        <v>138</v>
      </c>
      <c r="D193" s="10" t="s">
        <v>138</v>
      </c>
      <c r="E193" s="28" t="s">
        <v>4349</v>
      </c>
      <c r="F193" s="28" t="s">
        <v>138</v>
      </c>
      <c r="G193" s="28" t="s">
        <v>1054</v>
      </c>
      <c r="H193" s="13">
        <v>7</v>
      </c>
      <c r="I193" s="12" t="s">
        <v>4352</v>
      </c>
      <c r="J193" s="12" t="s">
        <v>39213</v>
      </c>
      <c r="K193" s="12" t="s">
        <v>39214</v>
      </c>
      <c r="L193" s="12" t="s">
        <v>39215</v>
      </c>
      <c r="M193" s="12" t="s">
        <v>39216</v>
      </c>
      <c r="N193" s="12" t="s">
        <v>38024</v>
      </c>
      <c r="O193" s="12" t="s">
        <v>39217</v>
      </c>
      <c r="P193" s="12" t="s">
        <v>38705</v>
      </c>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row>
    <row r="194" spans="1:72">
      <c r="A194" s="2" t="s">
        <v>4355</v>
      </c>
      <c r="B194" s="5" t="s">
        <v>4360</v>
      </c>
      <c r="C194" s="3" t="s">
        <v>138</v>
      </c>
      <c r="D194" s="4" t="s">
        <v>138</v>
      </c>
      <c r="E194" s="15" t="s">
        <v>449</v>
      </c>
      <c r="F194" s="15" t="s">
        <v>138</v>
      </c>
      <c r="G194" s="15" t="s">
        <v>450</v>
      </c>
      <c r="H194" s="7">
        <v>9</v>
      </c>
      <c r="I194" s="6" t="s">
        <v>4368</v>
      </c>
      <c r="J194" s="6" t="s">
        <v>455</v>
      </c>
      <c r="K194" s="6" t="s">
        <v>39218</v>
      </c>
      <c r="L194" s="6" t="s">
        <v>39219</v>
      </c>
      <c r="M194" s="6" t="s">
        <v>39220</v>
      </c>
      <c r="N194" s="6" t="s">
        <v>39221</v>
      </c>
      <c r="O194" s="6" t="s">
        <v>39222</v>
      </c>
      <c r="P194" s="6" t="s">
        <v>39223</v>
      </c>
      <c r="Q194" s="6" t="s">
        <v>38169</v>
      </c>
      <c r="R194" s="6" t="s">
        <v>39224</v>
      </c>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row>
    <row r="195" spans="1:72">
      <c r="A195" s="8" t="s">
        <v>4371</v>
      </c>
      <c r="B195" s="11" t="s">
        <v>4376</v>
      </c>
      <c r="C195" s="9" t="s">
        <v>138</v>
      </c>
      <c r="D195" s="10" t="s">
        <v>138</v>
      </c>
      <c r="E195" s="28" t="s">
        <v>1872</v>
      </c>
      <c r="F195" s="28" t="s">
        <v>200</v>
      </c>
      <c r="G195" s="28" t="s">
        <v>162</v>
      </c>
      <c r="H195" s="13">
        <v>6</v>
      </c>
      <c r="I195" s="12" t="s">
        <v>4386</v>
      </c>
      <c r="J195" s="12" t="s">
        <v>34505</v>
      </c>
      <c r="K195" s="12" t="s">
        <v>37819</v>
      </c>
      <c r="L195" s="12" t="s">
        <v>38901</v>
      </c>
      <c r="M195" s="12" t="s">
        <v>39038</v>
      </c>
      <c r="N195" s="12" t="s">
        <v>38360</v>
      </c>
      <c r="O195" s="12" t="s">
        <v>39225</v>
      </c>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row>
    <row r="196" spans="1:72">
      <c r="A196" s="2" t="s">
        <v>4389</v>
      </c>
      <c r="B196" s="5" t="s">
        <v>4395</v>
      </c>
      <c r="C196" s="3" t="s">
        <v>138</v>
      </c>
      <c r="D196" s="4" t="s">
        <v>4390</v>
      </c>
      <c r="E196" s="15" t="s">
        <v>1294</v>
      </c>
      <c r="F196" s="15" t="s">
        <v>864</v>
      </c>
      <c r="G196" s="15" t="s">
        <v>162</v>
      </c>
      <c r="H196" s="7">
        <v>7</v>
      </c>
      <c r="I196" s="6" t="s">
        <v>4407</v>
      </c>
      <c r="J196" s="6" t="s">
        <v>39226</v>
      </c>
      <c r="K196" s="6" t="s">
        <v>37786</v>
      </c>
      <c r="L196" s="6" t="s">
        <v>39227</v>
      </c>
      <c r="M196" s="6" t="s">
        <v>38745</v>
      </c>
      <c r="N196" s="6" t="s">
        <v>37960</v>
      </c>
      <c r="O196" s="6" t="s">
        <v>38182</v>
      </c>
      <c r="P196" s="6" t="s">
        <v>38084</v>
      </c>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row>
    <row r="197" spans="1:72">
      <c r="A197" s="8" t="s">
        <v>4412</v>
      </c>
      <c r="B197" s="11" t="s">
        <v>4416</v>
      </c>
      <c r="C197" s="9" t="s">
        <v>138</v>
      </c>
      <c r="D197" s="10" t="s">
        <v>138</v>
      </c>
      <c r="E197" s="28" t="s">
        <v>1872</v>
      </c>
      <c r="F197" s="28" t="s">
        <v>200</v>
      </c>
      <c r="G197" s="28" t="s">
        <v>162</v>
      </c>
      <c r="H197" s="13">
        <v>9</v>
      </c>
      <c r="I197" s="12" t="s">
        <v>4426</v>
      </c>
      <c r="J197" s="12" t="s">
        <v>13176</v>
      </c>
      <c r="K197" s="12" t="s">
        <v>38364</v>
      </c>
      <c r="L197" s="12" t="s">
        <v>37819</v>
      </c>
      <c r="M197" s="12" t="s">
        <v>39228</v>
      </c>
      <c r="N197" s="12" t="s">
        <v>39229</v>
      </c>
      <c r="O197" s="12" t="s">
        <v>38522</v>
      </c>
      <c r="P197" s="12" t="s">
        <v>37921</v>
      </c>
      <c r="Q197" s="12" t="s">
        <v>38114</v>
      </c>
      <c r="R197" s="12" t="s">
        <v>39230</v>
      </c>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row>
    <row r="198" spans="1:72">
      <c r="A198" s="2" t="s">
        <v>4429</v>
      </c>
      <c r="B198" s="5" t="s">
        <v>4435</v>
      </c>
      <c r="C198" s="3" t="s">
        <v>138</v>
      </c>
      <c r="D198" s="4" t="s">
        <v>4430</v>
      </c>
      <c r="E198" s="15" t="s">
        <v>4442</v>
      </c>
      <c r="F198" s="15" t="s">
        <v>138</v>
      </c>
      <c r="G198" s="15" t="s">
        <v>4444</v>
      </c>
      <c r="H198" s="7">
        <v>4</v>
      </c>
      <c r="I198" s="6" t="s">
        <v>4446</v>
      </c>
      <c r="J198" s="6" t="s">
        <v>39231</v>
      </c>
      <c r="K198" s="6" t="s">
        <v>39232</v>
      </c>
      <c r="L198" s="6" t="s">
        <v>39233</v>
      </c>
      <c r="M198" s="6" t="s">
        <v>37781</v>
      </c>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row>
    <row r="199" spans="1:72">
      <c r="A199" s="8" t="s">
        <v>4450</v>
      </c>
      <c r="B199" s="11" t="s">
        <v>4457</v>
      </c>
      <c r="C199" s="9" t="s">
        <v>138</v>
      </c>
      <c r="D199" s="10" t="s">
        <v>4451</v>
      </c>
      <c r="E199" s="28" t="s">
        <v>4466</v>
      </c>
      <c r="F199" s="28" t="s">
        <v>426</v>
      </c>
      <c r="G199" s="28" t="s">
        <v>162</v>
      </c>
      <c r="H199" s="13">
        <v>9</v>
      </c>
      <c r="I199" s="12" t="s">
        <v>4471</v>
      </c>
      <c r="J199" s="12" t="s">
        <v>39234</v>
      </c>
      <c r="K199" s="12" t="s">
        <v>39235</v>
      </c>
      <c r="L199" s="12" t="s">
        <v>39236</v>
      </c>
      <c r="M199" s="12" t="s">
        <v>39237</v>
      </c>
      <c r="N199" s="12" t="s">
        <v>39238</v>
      </c>
      <c r="O199" s="12" t="s">
        <v>39239</v>
      </c>
      <c r="P199" s="12" t="s">
        <v>37868</v>
      </c>
      <c r="Q199" s="12" t="s">
        <v>38788</v>
      </c>
      <c r="R199" s="12" t="s">
        <v>39240</v>
      </c>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row>
    <row r="200" spans="1:72">
      <c r="A200" s="2" t="s">
        <v>4475</v>
      </c>
      <c r="B200" s="5" t="s">
        <v>4483</v>
      </c>
      <c r="C200" s="3" t="s">
        <v>138</v>
      </c>
      <c r="D200" s="4" t="s">
        <v>4476</v>
      </c>
      <c r="E200" s="15" t="s">
        <v>4492</v>
      </c>
      <c r="F200" s="15" t="s">
        <v>4493</v>
      </c>
      <c r="G200" s="15" t="s">
        <v>162</v>
      </c>
      <c r="H200" s="7">
        <v>9</v>
      </c>
      <c r="I200" s="6" t="s">
        <v>4497</v>
      </c>
      <c r="J200" s="6" t="s">
        <v>39241</v>
      </c>
      <c r="K200" s="6" t="s">
        <v>38463</v>
      </c>
      <c r="L200" s="6" t="s">
        <v>39242</v>
      </c>
      <c r="M200" s="6" t="s">
        <v>39243</v>
      </c>
      <c r="N200" s="6" t="s">
        <v>38011</v>
      </c>
      <c r="O200" s="6" t="s">
        <v>39244</v>
      </c>
      <c r="P200" s="6" t="s">
        <v>39245</v>
      </c>
      <c r="Q200" s="6" t="s">
        <v>39246</v>
      </c>
      <c r="R200" s="6" t="s">
        <v>39247</v>
      </c>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row>
    <row r="201" spans="1:72">
      <c r="A201" s="8" t="s">
        <v>4500</v>
      </c>
      <c r="B201" s="11" t="s">
        <v>4505</v>
      </c>
      <c r="C201" s="9" t="s">
        <v>138</v>
      </c>
      <c r="D201" s="10" t="s">
        <v>138</v>
      </c>
      <c r="E201" s="28" t="s">
        <v>1198</v>
      </c>
      <c r="F201" s="28" t="s">
        <v>138</v>
      </c>
      <c r="G201" s="28" t="s">
        <v>1200</v>
      </c>
      <c r="H201" s="13">
        <v>1</v>
      </c>
      <c r="I201" s="12" t="s">
        <v>3186</v>
      </c>
      <c r="J201" s="12" t="s">
        <v>3186</v>
      </c>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row>
    <row r="202" spans="1:72">
      <c r="A202" s="2" t="s">
        <v>4518</v>
      </c>
      <c r="B202" s="5" t="s">
        <v>4522</v>
      </c>
      <c r="C202" s="3" t="s">
        <v>138</v>
      </c>
      <c r="D202" s="4" t="s">
        <v>138</v>
      </c>
      <c r="E202" s="15" t="s">
        <v>3972</v>
      </c>
      <c r="F202" s="15" t="s">
        <v>138</v>
      </c>
      <c r="G202" s="15" t="s">
        <v>740</v>
      </c>
      <c r="H202" s="7">
        <v>5</v>
      </c>
      <c r="I202" s="6" t="s">
        <v>4532</v>
      </c>
      <c r="J202" s="6" t="s">
        <v>39248</v>
      </c>
      <c r="K202" s="6" t="s">
        <v>39249</v>
      </c>
      <c r="L202" s="6" t="s">
        <v>38085</v>
      </c>
      <c r="M202" s="6" t="s">
        <v>37770</v>
      </c>
      <c r="N202" s="6" t="s">
        <v>39250</v>
      </c>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row>
    <row r="203" spans="1:72">
      <c r="A203" s="8" t="s">
        <v>4535</v>
      </c>
      <c r="B203" s="11" t="s">
        <v>4539</v>
      </c>
      <c r="C203" s="9" t="s">
        <v>138</v>
      </c>
      <c r="D203" s="10" t="s">
        <v>4536</v>
      </c>
      <c r="E203" s="28" t="s">
        <v>4548</v>
      </c>
      <c r="F203" s="28" t="s">
        <v>1146</v>
      </c>
      <c r="G203" s="28" t="s">
        <v>162</v>
      </c>
      <c r="H203" s="13">
        <v>25</v>
      </c>
      <c r="I203" s="12" t="s">
        <v>4552</v>
      </c>
      <c r="J203" s="12" t="s">
        <v>39251</v>
      </c>
      <c r="K203" s="12" t="s">
        <v>39252</v>
      </c>
      <c r="L203" s="12" t="s">
        <v>39253</v>
      </c>
      <c r="M203" s="12" t="s">
        <v>38692</v>
      </c>
      <c r="N203" s="12" t="s">
        <v>39254</v>
      </c>
      <c r="O203" s="12" t="s">
        <v>39255</v>
      </c>
      <c r="P203" s="12" t="s">
        <v>39256</v>
      </c>
      <c r="Q203" s="12" t="s">
        <v>38110</v>
      </c>
      <c r="R203" s="12" t="s">
        <v>38367</v>
      </c>
      <c r="S203" s="12" t="s">
        <v>39176</v>
      </c>
      <c r="T203" s="12" t="s">
        <v>39257</v>
      </c>
      <c r="U203" s="12" t="s">
        <v>37786</v>
      </c>
      <c r="V203" s="12" t="s">
        <v>39258</v>
      </c>
      <c r="W203" s="12" t="s">
        <v>38992</v>
      </c>
      <c r="X203" s="12" t="s">
        <v>37923</v>
      </c>
      <c r="Y203" s="12" t="s">
        <v>38078</v>
      </c>
      <c r="Z203" s="12" t="s">
        <v>39259</v>
      </c>
      <c r="AA203" s="12" t="s">
        <v>38129</v>
      </c>
      <c r="AB203" s="12" t="s">
        <v>38578</v>
      </c>
      <c r="AC203" s="12" t="s">
        <v>37889</v>
      </c>
      <c r="AD203" s="12" t="s">
        <v>37890</v>
      </c>
      <c r="AE203" s="12" t="s">
        <v>39260</v>
      </c>
      <c r="AF203" s="12" t="s">
        <v>39261</v>
      </c>
      <c r="AG203" s="12" t="s">
        <v>39262</v>
      </c>
      <c r="AH203" s="12" t="s">
        <v>39263</v>
      </c>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2"/>
    </row>
    <row r="204" spans="1:72">
      <c r="A204" s="2" t="s">
        <v>4557</v>
      </c>
      <c r="B204" s="5" t="s">
        <v>4563</v>
      </c>
      <c r="C204" s="3" t="s">
        <v>138</v>
      </c>
      <c r="D204" s="4" t="s">
        <v>4558</v>
      </c>
      <c r="E204" s="15" t="s">
        <v>426</v>
      </c>
      <c r="F204" s="15" t="s">
        <v>426</v>
      </c>
      <c r="G204" s="15" t="s">
        <v>162</v>
      </c>
      <c r="H204" s="7">
        <v>11</v>
      </c>
      <c r="I204" s="6" t="s">
        <v>4574</v>
      </c>
      <c r="J204" s="6" t="s">
        <v>39264</v>
      </c>
      <c r="K204" s="6" t="s">
        <v>39265</v>
      </c>
      <c r="L204" s="6" t="s">
        <v>39266</v>
      </c>
      <c r="M204" s="6" t="s">
        <v>38231</v>
      </c>
      <c r="N204" s="6" t="s">
        <v>39267</v>
      </c>
      <c r="O204" s="6" t="s">
        <v>39268</v>
      </c>
      <c r="P204" s="6" t="s">
        <v>38329</v>
      </c>
      <c r="Q204" s="6" t="s">
        <v>38182</v>
      </c>
      <c r="R204" s="6" t="s">
        <v>39269</v>
      </c>
      <c r="S204" s="6" t="s">
        <v>39086</v>
      </c>
      <c r="T204" s="6" t="s">
        <v>38832</v>
      </c>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row>
    <row r="205" spans="1:72">
      <c r="A205" s="8" t="s">
        <v>4579</v>
      </c>
      <c r="B205" s="11" t="s">
        <v>4583</v>
      </c>
      <c r="C205" s="9" t="s">
        <v>138</v>
      </c>
      <c r="D205" s="10" t="s">
        <v>138</v>
      </c>
      <c r="E205" s="28" t="s">
        <v>1246</v>
      </c>
      <c r="F205" s="28" t="s">
        <v>200</v>
      </c>
      <c r="G205" s="28" t="s">
        <v>162</v>
      </c>
      <c r="H205" s="13">
        <v>6</v>
      </c>
      <c r="I205" s="12" t="s">
        <v>4592</v>
      </c>
      <c r="J205" s="12" t="s">
        <v>9407</v>
      </c>
      <c r="K205" s="12" t="s">
        <v>39259</v>
      </c>
      <c r="L205" s="12" t="s">
        <v>37998</v>
      </c>
      <c r="M205" s="12" t="s">
        <v>39270</v>
      </c>
      <c r="N205" s="12" t="s">
        <v>38926</v>
      </c>
      <c r="O205" s="12" t="s">
        <v>39271</v>
      </c>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row>
    <row r="206" spans="1:72">
      <c r="A206" s="2" t="s">
        <v>4595</v>
      </c>
      <c r="B206" s="5" t="s">
        <v>4600</v>
      </c>
      <c r="C206" s="3" t="s">
        <v>138</v>
      </c>
      <c r="D206" s="4" t="s">
        <v>4596</v>
      </c>
      <c r="E206" s="15" t="s">
        <v>4604</v>
      </c>
      <c r="F206" s="15" t="s">
        <v>138</v>
      </c>
      <c r="G206" s="15" t="s">
        <v>2071</v>
      </c>
      <c r="H206" s="7">
        <v>1</v>
      </c>
      <c r="I206" s="6" t="s">
        <v>2075</v>
      </c>
      <c r="J206" s="6" t="s">
        <v>2075</v>
      </c>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row>
    <row r="207" spans="1:72">
      <c r="A207" s="8" t="s">
        <v>4611</v>
      </c>
      <c r="B207" s="11" t="s">
        <v>4618</v>
      </c>
      <c r="C207" s="9" t="s">
        <v>4612</v>
      </c>
      <c r="D207" s="10" t="s">
        <v>138</v>
      </c>
      <c r="E207" s="28" t="s">
        <v>4627</v>
      </c>
      <c r="F207" s="28" t="s">
        <v>4628</v>
      </c>
      <c r="G207" s="28" t="s">
        <v>162</v>
      </c>
      <c r="H207" s="13">
        <v>14</v>
      </c>
      <c r="I207" s="12" t="s">
        <v>4632</v>
      </c>
      <c r="J207" s="12" t="s">
        <v>39272</v>
      </c>
      <c r="K207" s="12" t="s">
        <v>39273</v>
      </c>
      <c r="L207" s="12" t="s">
        <v>39274</v>
      </c>
      <c r="M207" s="12" t="s">
        <v>39275</v>
      </c>
      <c r="N207" s="12" t="s">
        <v>39276</v>
      </c>
      <c r="O207" s="12" t="s">
        <v>39277</v>
      </c>
      <c r="P207" s="12" t="s">
        <v>39278</v>
      </c>
      <c r="Q207" s="12" t="s">
        <v>37998</v>
      </c>
      <c r="R207" s="12" t="s">
        <v>37779</v>
      </c>
      <c r="S207" s="12" t="s">
        <v>38184</v>
      </c>
      <c r="T207" s="12" t="s">
        <v>39279</v>
      </c>
      <c r="U207" s="12" t="s">
        <v>39071</v>
      </c>
      <c r="V207" s="12" t="s">
        <v>39280</v>
      </c>
      <c r="W207" s="12" t="s">
        <v>39281</v>
      </c>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2"/>
    </row>
    <row r="208" spans="1:72">
      <c r="A208" s="2" t="s">
        <v>4636</v>
      </c>
      <c r="B208" s="5" t="s">
        <v>4642</v>
      </c>
      <c r="C208" s="3" t="s">
        <v>138</v>
      </c>
      <c r="D208" s="4" t="s">
        <v>138</v>
      </c>
      <c r="E208" s="15" t="s">
        <v>4649</v>
      </c>
      <c r="F208" s="15" t="s">
        <v>138</v>
      </c>
      <c r="G208" s="15" t="s">
        <v>4651</v>
      </c>
      <c r="H208" s="7">
        <v>35</v>
      </c>
      <c r="I208" s="6" t="s">
        <v>4654</v>
      </c>
      <c r="J208" s="6" t="s">
        <v>39282</v>
      </c>
      <c r="K208" s="6" t="s">
        <v>39283</v>
      </c>
      <c r="L208" s="6" t="s">
        <v>39068</v>
      </c>
      <c r="M208" s="6" t="s">
        <v>39284</v>
      </c>
      <c r="N208" s="6" t="s">
        <v>38415</v>
      </c>
      <c r="O208" s="6" t="s">
        <v>37942</v>
      </c>
      <c r="P208" s="6" t="s">
        <v>39285</v>
      </c>
      <c r="Q208" s="6" t="s">
        <v>37799</v>
      </c>
      <c r="R208" s="6" t="s">
        <v>38803</v>
      </c>
      <c r="S208" s="6" t="s">
        <v>39286</v>
      </c>
      <c r="T208" s="6" t="s">
        <v>39287</v>
      </c>
      <c r="U208" s="6" t="s">
        <v>39288</v>
      </c>
      <c r="V208" s="6" t="s">
        <v>39289</v>
      </c>
      <c r="W208" s="6" t="s">
        <v>38334</v>
      </c>
      <c r="X208" s="6" t="s">
        <v>39290</v>
      </c>
      <c r="Y208" s="6" t="s">
        <v>38189</v>
      </c>
      <c r="Z208" s="6" t="s">
        <v>39291</v>
      </c>
      <c r="AA208" s="6" t="s">
        <v>38025</v>
      </c>
      <c r="AB208" s="6" t="s">
        <v>39292</v>
      </c>
      <c r="AC208" s="6" t="s">
        <v>38432</v>
      </c>
      <c r="AD208" s="6" t="s">
        <v>39293</v>
      </c>
      <c r="AE208" s="6" t="s">
        <v>39294</v>
      </c>
      <c r="AF208" s="6" t="s">
        <v>39295</v>
      </c>
      <c r="AG208" s="6" t="s">
        <v>37781</v>
      </c>
      <c r="AH208" s="6" t="s">
        <v>37890</v>
      </c>
      <c r="AI208" s="6" t="s">
        <v>39296</v>
      </c>
      <c r="AJ208" s="6" t="s">
        <v>39297</v>
      </c>
      <c r="AK208" s="6" t="s">
        <v>39298</v>
      </c>
      <c r="AL208" s="6" t="s">
        <v>39299</v>
      </c>
      <c r="AM208" s="6" t="s">
        <v>39300</v>
      </c>
      <c r="AN208" s="6" t="s">
        <v>39301</v>
      </c>
      <c r="AO208" s="6" t="s">
        <v>39302</v>
      </c>
      <c r="AP208" s="6" t="s">
        <v>39303</v>
      </c>
      <c r="AQ208" s="6" t="s">
        <v>38337</v>
      </c>
      <c r="AR208" s="6" t="s">
        <v>37976</v>
      </c>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row>
    <row r="209" spans="1:72">
      <c r="A209" s="8" t="s">
        <v>4658</v>
      </c>
      <c r="B209" s="11" t="s">
        <v>4664</v>
      </c>
      <c r="C209" s="9" t="s">
        <v>4659</v>
      </c>
      <c r="D209" s="10" t="s">
        <v>138</v>
      </c>
      <c r="E209" s="28" t="s">
        <v>642</v>
      </c>
      <c r="F209" s="28" t="s">
        <v>474</v>
      </c>
      <c r="G209" s="28" t="s">
        <v>162</v>
      </c>
      <c r="H209" s="13">
        <v>14</v>
      </c>
      <c r="I209" s="12" t="s">
        <v>4674</v>
      </c>
      <c r="J209" s="12" t="s">
        <v>39304</v>
      </c>
      <c r="K209" s="12" t="s">
        <v>39305</v>
      </c>
      <c r="L209" s="12" t="s">
        <v>39306</v>
      </c>
      <c r="M209" s="12" t="s">
        <v>39307</v>
      </c>
      <c r="N209" s="12" t="s">
        <v>39308</v>
      </c>
      <c r="O209" s="12" t="s">
        <v>38619</v>
      </c>
      <c r="P209" s="12" t="s">
        <v>38272</v>
      </c>
      <c r="Q209" s="12" t="s">
        <v>39309</v>
      </c>
      <c r="R209" s="12" t="s">
        <v>39310</v>
      </c>
      <c r="S209" s="12" t="s">
        <v>37998</v>
      </c>
      <c r="T209" s="12" t="s">
        <v>39311</v>
      </c>
      <c r="U209" s="12" t="s">
        <v>38928</v>
      </c>
      <c r="V209" s="12" t="s">
        <v>38033</v>
      </c>
      <c r="W209" s="12" t="s">
        <v>39312</v>
      </c>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row>
    <row r="210" spans="1:72">
      <c r="A210" s="2" t="s">
        <v>4679</v>
      </c>
      <c r="B210" s="5" t="s">
        <v>4686</v>
      </c>
      <c r="C210" s="3" t="s">
        <v>138</v>
      </c>
      <c r="D210" s="4" t="s">
        <v>138</v>
      </c>
      <c r="E210" s="15" t="s">
        <v>863</v>
      </c>
      <c r="F210" s="15" t="s">
        <v>864</v>
      </c>
      <c r="G210" s="15" t="s">
        <v>162</v>
      </c>
      <c r="H210" s="7">
        <v>6</v>
      </c>
      <c r="I210" s="6" t="s">
        <v>4696</v>
      </c>
      <c r="J210" s="6" t="s">
        <v>39313</v>
      </c>
      <c r="K210" s="6" t="s">
        <v>39314</v>
      </c>
      <c r="L210" s="6" t="s">
        <v>39315</v>
      </c>
      <c r="M210" s="6" t="s">
        <v>39316</v>
      </c>
      <c r="N210" s="6" t="s">
        <v>39317</v>
      </c>
      <c r="O210" s="6" t="s">
        <v>39318</v>
      </c>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row>
    <row r="211" spans="1:72">
      <c r="A211" s="8" t="s">
        <v>4699</v>
      </c>
      <c r="B211" s="11" t="s">
        <v>4705</v>
      </c>
      <c r="C211" s="9" t="s">
        <v>138</v>
      </c>
      <c r="D211" s="10" t="s">
        <v>4700</v>
      </c>
      <c r="E211" s="28" t="s">
        <v>499</v>
      </c>
      <c r="F211" s="28" t="s">
        <v>138</v>
      </c>
      <c r="G211" s="28" t="s">
        <v>450</v>
      </c>
      <c r="H211" s="13">
        <v>5</v>
      </c>
      <c r="I211" s="12" t="s">
        <v>4707</v>
      </c>
      <c r="J211" s="12" t="s">
        <v>39319</v>
      </c>
      <c r="K211" s="12" t="s">
        <v>39320</v>
      </c>
      <c r="L211" s="12" t="s">
        <v>39321</v>
      </c>
      <c r="M211" s="12" t="s">
        <v>39322</v>
      </c>
      <c r="N211" s="12" t="s">
        <v>39323</v>
      </c>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row>
    <row r="212" spans="1:72">
      <c r="A212" s="2" t="s">
        <v>4710</v>
      </c>
      <c r="B212" s="5" t="s">
        <v>4714</v>
      </c>
      <c r="C212" s="3" t="s">
        <v>138</v>
      </c>
      <c r="D212" s="4" t="s">
        <v>138</v>
      </c>
      <c r="E212" s="15" t="s">
        <v>668</v>
      </c>
      <c r="F212" s="15" t="s">
        <v>200</v>
      </c>
      <c r="G212" s="15" t="s">
        <v>162</v>
      </c>
      <c r="H212" s="7">
        <v>1</v>
      </c>
      <c r="I212" s="6" t="s">
        <v>4723</v>
      </c>
      <c r="J212" s="6" t="s">
        <v>4723</v>
      </c>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row>
    <row r="213" spans="1:72">
      <c r="A213" s="8" t="s">
        <v>4725</v>
      </c>
      <c r="B213" s="11" t="s">
        <v>4728</v>
      </c>
      <c r="C213" s="9" t="s">
        <v>138</v>
      </c>
      <c r="D213" s="10" t="s">
        <v>138</v>
      </c>
      <c r="E213" s="28" t="s">
        <v>1198</v>
      </c>
      <c r="F213" s="28" t="s">
        <v>138</v>
      </c>
      <c r="G213" s="28" t="s">
        <v>1200</v>
      </c>
      <c r="H213" s="13">
        <v>5</v>
      </c>
      <c r="I213" s="12" t="s">
        <v>4739</v>
      </c>
      <c r="J213" s="12" t="s">
        <v>39324</v>
      </c>
      <c r="K213" s="12" t="s">
        <v>39325</v>
      </c>
      <c r="L213" s="12" t="s">
        <v>39326</v>
      </c>
      <c r="M213" s="12" t="s">
        <v>37781</v>
      </c>
      <c r="N213" s="12" t="s">
        <v>39327</v>
      </c>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row>
    <row r="214" spans="1:72">
      <c r="A214" s="2" t="s">
        <v>4742</v>
      </c>
      <c r="B214" s="5" t="s">
        <v>4747</v>
      </c>
      <c r="C214" s="3" t="s">
        <v>138</v>
      </c>
      <c r="D214" s="4" t="s">
        <v>138</v>
      </c>
      <c r="E214" s="15" t="s">
        <v>642</v>
      </c>
      <c r="F214" s="15" t="s">
        <v>474</v>
      </c>
      <c r="G214" s="15" t="s">
        <v>162</v>
      </c>
      <c r="H214" s="7">
        <v>3</v>
      </c>
      <c r="I214" s="6" t="s">
        <v>4756</v>
      </c>
      <c r="J214" s="6" t="s">
        <v>39328</v>
      </c>
      <c r="K214" s="6" t="s">
        <v>39329</v>
      </c>
      <c r="L214" s="6" t="s">
        <v>38137</v>
      </c>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row>
    <row r="215" spans="1:72">
      <c r="A215" s="8" t="s">
        <v>4759</v>
      </c>
      <c r="B215" s="11" t="s">
        <v>4764</v>
      </c>
      <c r="C215" s="9" t="s">
        <v>138</v>
      </c>
      <c r="D215" s="10" t="s">
        <v>138</v>
      </c>
      <c r="E215" s="28" t="s">
        <v>1171</v>
      </c>
      <c r="F215" s="28" t="s">
        <v>200</v>
      </c>
      <c r="G215" s="28" t="s">
        <v>162</v>
      </c>
      <c r="H215" s="13">
        <v>4</v>
      </c>
      <c r="I215" s="12" t="s">
        <v>4774</v>
      </c>
      <c r="J215" s="12" t="s">
        <v>39330</v>
      </c>
      <c r="K215" s="12" t="s">
        <v>37824</v>
      </c>
      <c r="L215" s="12" t="s">
        <v>38321</v>
      </c>
      <c r="M215" s="12" t="s">
        <v>37893</v>
      </c>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c r="BR215" s="12"/>
      <c r="BS215" s="12"/>
      <c r="BT215" s="12"/>
    </row>
    <row r="216" spans="1:72">
      <c r="A216" s="2" t="s">
        <v>4777</v>
      </c>
      <c r="B216" s="5" t="s">
        <v>4784</v>
      </c>
      <c r="C216" s="3" t="s">
        <v>138</v>
      </c>
      <c r="D216" s="4" t="s">
        <v>138</v>
      </c>
      <c r="E216" s="15" t="s">
        <v>966</v>
      </c>
      <c r="F216" s="15" t="s">
        <v>200</v>
      </c>
      <c r="G216" s="15" t="s">
        <v>162</v>
      </c>
      <c r="H216" s="7">
        <v>12</v>
      </c>
      <c r="I216" s="6" t="s">
        <v>4795</v>
      </c>
      <c r="J216" s="6" t="s">
        <v>38061</v>
      </c>
      <c r="K216" s="6" t="s">
        <v>39331</v>
      </c>
      <c r="L216" s="6" t="s">
        <v>38354</v>
      </c>
      <c r="M216" s="6" t="s">
        <v>38412</v>
      </c>
      <c r="N216" s="6" t="s">
        <v>39332</v>
      </c>
      <c r="O216" s="6" t="s">
        <v>39333</v>
      </c>
      <c r="P216" s="6" t="s">
        <v>38391</v>
      </c>
      <c r="Q216" s="6" t="s">
        <v>38803</v>
      </c>
      <c r="R216" s="6" t="s">
        <v>38065</v>
      </c>
      <c r="S216" s="6" t="s">
        <v>38479</v>
      </c>
      <c r="T216" s="6" t="s">
        <v>39334</v>
      </c>
      <c r="U216" s="6" t="s">
        <v>39335</v>
      </c>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row>
    <row r="217" spans="1:72">
      <c r="A217" s="8" t="s">
        <v>4800</v>
      </c>
      <c r="B217" s="11" t="s">
        <v>4806</v>
      </c>
      <c r="C217" s="9" t="s">
        <v>138</v>
      </c>
      <c r="D217" s="10" t="s">
        <v>138</v>
      </c>
      <c r="E217" s="28" t="s">
        <v>4815</v>
      </c>
      <c r="F217" s="28" t="s">
        <v>4816</v>
      </c>
      <c r="G217" s="28" t="s">
        <v>4818</v>
      </c>
      <c r="H217" s="13">
        <v>5</v>
      </c>
      <c r="I217" s="12" t="s">
        <v>4822</v>
      </c>
      <c r="J217" s="12" t="s">
        <v>39336</v>
      </c>
      <c r="K217" s="12" t="s">
        <v>37989</v>
      </c>
      <c r="L217" s="12" t="s">
        <v>38948</v>
      </c>
      <c r="M217" s="12" t="s">
        <v>38200</v>
      </c>
      <c r="N217" s="12" t="s">
        <v>39337</v>
      </c>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12"/>
      <c r="BH217" s="12"/>
      <c r="BI217" s="12"/>
      <c r="BJ217" s="12"/>
      <c r="BK217" s="12"/>
      <c r="BL217" s="12"/>
      <c r="BM217" s="12"/>
      <c r="BN217" s="12"/>
      <c r="BO217" s="12"/>
      <c r="BP217" s="12"/>
      <c r="BQ217" s="12"/>
      <c r="BR217" s="12"/>
      <c r="BS217" s="12"/>
      <c r="BT217" s="12"/>
    </row>
    <row r="218" spans="1:72">
      <c r="A218" s="2" t="s">
        <v>4825</v>
      </c>
      <c r="B218" s="5" t="s">
        <v>4830</v>
      </c>
      <c r="C218" s="3" t="s">
        <v>138</v>
      </c>
      <c r="D218" s="4" t="s">
        <v>138</v>
      </c>
      <c r="E218" s="15" t="s">
        <v>944</v>
      </c>
      <c r="F218" s="15" t="s">
        <v>138</v>
      </c>
      <c r="G218" s="15" t="s">
        <v>946</v>
      </c>
      <c r="H218" s="7">
        <v>7</v>
      </c>
      <c r="I218" s="6" t="s">
        <v>4842</v>
      </c>
      <c r="J218" s="6" t="s">
        <v>39338</v>
      </c>
      <c r="K218" s="6" t="s">
        <v>39339</v>
      </c>
      <c r="L218" s="6" t="s">
        <v>37847</v>
      </c>
      <c r="M218" s="6" t="s">
        <v>39340</v>
      </c>
      <c r="N218" s="6" t="s">
        <v>39341</v>
      </c>
      <c r="O218" s="6" t="s">
        <v>38287</v>
      </c>
      <c r="P218" s="6" t="s">
        <v>37839</v>
      </c>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row>
    <row r="219" spans="1:72">
      <c r="A219" s="8" t="s">
        <v>4846</v>
      </c>
      <c r="B219" s="11" t="s">
        <v>4850</v>
      </c>
      <c r="C219" s="9" t="s">
        <v>138</v>
      </c>
      <c r="D219" s="10" t="s">
        <v>138</v>
      </c>
      <c r="E219" s="28" t="s">
        <v>1198</v>
      </c>
      <c r="F219" s="28" t="s">
        <v>4858</v>
      </c>
      <c r="G219" s="28" t="s">
        <v>1200</v>
      </c>
      <c r="H219" s="13">
        <v>4</v>
      </c>
      <c r="I219" s="12" t="s">
        <v>4863</v>
      </c>
      <c r="J219" s="12" t="s">
        <v>39342</v>
      </c>
      <c r="K219" s="12" t="s">
        <v>39343</v>
      </c>
      <c r="L219" s="12" t="s">
        <v>37781</v>
      </c>
      <c r="M219" s="12" t="s">
        <v>39344</v>
      </c>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12"/>
      <c r="BH219" s="12"/>
      <c r="BI219" s="12"/>
      <c r="BJ219" s="12"/>
      <c r="BK219" s="12"/>
      <c r="BL219" s="12"/>
      <c r="BM219" s="12"/>
      <c r="BN219" s="12"/>
      <c r="BO219" s="12"/>
      <c r="BP219" s="12"/>
      <c r="BQ219" s="12"/>
      <c r="BR219" s="12"/>
      <c r="BS219" s="12"/>
      <c r="BT219" s="12"/>
    </row>
    <row r="220" spans="1:72">
      <c r="A220" s="2" t="s">
        <v>4866</v>
      </c>
      <c r="B220" s="5" t="s">
        <v>4872</v>
      </c>
      <c r="C220" s="3" t="s">
        <v>4867</v>
      </c>
      <c r="D220" s="4" t="s">
        <v>138</v>
      </c>
      <c r="E220" s="15" t="s">
        <v>4878</v>
      </c>
      <c r="F220" s="15" t="s">
        <v>200</v>
      </c>
      <c r="G220" s="15" t="s">
        <v>162</v>
      </c>
      <c r="H220" s="7">
        <v>17</v>
      </c>
      <c r="I220" s="6" t="s">
        <v>4882</v>
      </c>
      <c r="J220" s="6" t="s">
        <v>37811</v>
      </c>
      <c r="K220" s="6" t="s">
        <v>38364</v>
      </c>
      <c r="L220" s="6" t="s">
        <v>39345</v>
      </c>
      <c r="M220" s="6" t="s">
        <v>38484</v>
      </c>
      <c r="N220" s="6" t="s">
        <v>39346</v>
      </c>
      <c r="O220" s="6" t="s">
        <v>37819</v>
      </c>
      <c r="P220" s="6" t="s">
        <v>37986</v>
      </c>
      <c r="Q220" s="6" t="s">
        <v>39347</v>
      </c>
      <c r="R220" s="6" t="s">
        <v>39348</v>
      </c>
      <c r="S220" s="6" t="s">
        <v>38721</v>
      </c>
      <c r="T220" s="6" t="s">
        <v>37786</v>
      </c>
      <c r="U220" s="6" t="s">
        <v>38574</v>
      </c>
      <c r="V220" s="6" t="s">
        <v>37922</v>
      </c>
      <c r="W220" s="6" t="s">
        <v>39349</v>
      </c>
      <c r="X220" s="6" t="s">
        <v>37779</v>
      </c>
      <c r="Y220" s="6" t="s">
        <v>39350</v>
      </c>
      <c r="Z220" s="6" t="s">
        <v>39351</v>
      </c>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row>
    <row r="221" spans="1:72">
      <c r="A221" s="8" t="s">
        <v>4886</v>
      </c>
      <c r="B221" s="11" t="s">
        <v>4891</v>
      </c>
      <c r="C221" s="9" t="s">
        <v>138</v>
      </c>
      <c r="D221" s="10" t="s">
        <v>138</v>
      </c>
      <c r="E221" s="28" t="s">
        <v>4900</v>
      </c>
      <c r="F221" s="28" t="s">
        <v>200</v>
      </c>
      <c r="G221" s="28" t="s">
        <v>162</v>
      </c>
      <c r="H221" s="13">
        <v>26</v>
      </c>
      <c r="I221" s="12" t="s">
        <v>4903</v>
      </c>
      <c r="J221" s="12" t="s">
        <v>38061</v>
      </c>
      <c r="K221" s="12" t="s">
        <v>39352</v>
      </c>
      <c r="L221" s="12" t="s">
        <v>37812</v>
      </c>
      <c r="M221" s="12" t="s">
        <v>39353</v>
      </c>
      <c r="N221" s="12" t="s">
        <v>39069</v>
      </c>
      <c r="O221" s="12" t="s">
        <v>39354</v>
      </c>
      <c r="P221" s="12" t="s">
        <v>39355</v>
      </c>
      <c r="Q221" s="12" t="s">
        <v>39356</v>
      </c>
      <c r="R221" s="12" t="s">
        <v>38392</v>
      </c>
      <c r="S221" s="12" t="s">
        <v>37947</v>
      </c>
      <c r="T221" s="12" t="s">
        <v>39357</v>
      </c>
      <c r="U221" s="12" t="s">
        <v>39358</v>
      </c>
      <c r="V221" s="12" t="s">
        <v>39359</v>
      </c>
      <c r="W221" s="12" t="s">
        <v>39360</v>
      </c>
      <c r="X221" s="12" t="s">
        <v>39361</v>
      </c>
      <c r="Y221" s="12" t="s">
        <v>39362</v>
      </c>
      <c r="Z221" s="12" t="s">
        <v>37923</v>
      </c>
      <c r="AA221" s="12" t="s">
        <v>39363</v>
      </c>
      <c r="AB221" s="12" t="s">
        <v>38978</v>
      </c>
      <c r="AC221" s="12" t="s">
        <v>39364</v>
      </c>
      <c r="AD221" s="12" t="s">
        <v>38754</v>
      </c>
      <c r="AE221" s="12" t="s">
        <v>38143</v>
      </c>
      <c r="AF221" s="12" t="s">
        <v>39086</v>
      </c>
      <c r="AG221" s="12" t="s">
        <v>39365</v>
      </c>
      <c r="AH221" s="12" t="s">
        <v>38404</v>
      </c>
      <c r="AI221" s="12" t="s">
        <v>39366</v>
      </c>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12"/>
      <c r="BH221" s="12"/>
      <c r="BI221" s="12"/>
      <c r="BJ221" s="12"/>
      <c r="BK221" s="12"/>
      <c r="BL221" s="12"/>
      <c r="BM221" s="12"/>
      <c r="BN221" s="12"/>
      <c r="BO221" s="12"/>
      <c r="BP221" s="12"/>
      <c r="BQ221" s="12"/>
      <c r="BR221" s="12"/>
      <c r="BS221" s="12"/>
      <c r="BT221" s="12"/>
    </row>
    <row r="222" spans="1:72">
      <c r="A222" s="2" t="s">
        <v>4907</v>
      </c>
      <c r="B222" s="5" t="s">
        <v>4914</v>
      </c>
      <c r="C222" s="3" t="s">
        <v>138</v>
      </c>
      <c r="D222" s="4" t="s">
        <v>138</v>
      </c>
      <c r="E222" s="15" t="s">
        <v>1171</v>
      </c>
      <c r="F222" s="15" t="s">
        <v>200</v>
      </c>
      <c r="G222" s="15" t="s">
        <v>162</v>
      </c>
      <c r="H222" s="7">
        <v>3</v>
      </c>
      <c r="I222" s="6" t="s">
        <v>4922</v>
      </c>
      <c r="J222" s="6" t="s">
        <v>39029</v>
      </c>
      <c r="K222" s="6" t="s">
        <v>39367</v>
      </c>
      <c r="L222" s="6" t="s">
        <v>38323</v>
      </c>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row>
    <row r="223" spans="1:72">
      <c r="A223" s="8" t="s">
        <v>4925</v>
      </c>
      <c r="B223" s="11" t="s">
        <v>4931</v>
      </c>
      <c r="C223" s="9" t="s">
        <v>138</v>
      </c>
      <c r="D223" s="10" t="s">
        <v>138</v>
      </c>
      <c r="E223" s="28" t="s">
        <v>4939</v>
      </c>
      <c r="F223" s="28" t="s">
        <v>138</v>
      </c>
      <c r="G223" s="28" t="s">
        <v>1054</v>
      </c>
      <c r="H223" s="13">
        <v>5</v>
      </c>
      <c r="I223" s="12" t="s">
        <v>4943</v>
      </c>
      <c r="J223" s="12" t="s">
        <v>39029</v>
      </c>
      <c r="K223" s="12" t="s">
        <v>39368</v>
      </c>
      <c r="L223" s="12" t="s">
        <v>39369</v>
      </c>
      <c r="M223" s="12" t="s">
        <v>39370</v>
      </c>
      <c r="N223" s="12" t="s">
        <v>39371</v>
      </c>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2"/>
    </row>
    <row r="224" spans="1:72">
      <c r="A224" s="2" t="s">
        <v>4946</v>
      </c>
      <c r="B224" s="5" t="s">
        <v>4951</v>
      </c>
      <c r="C224" s="3" t="s">
        <v>138</v>
      </c>
      <c r="D224" s="4" t="s">
        <v>4947</v>
      </c>
      <c r="E224" s="15" t="s">
        <v>4954</v>
      </c>
      <c r="F224" s="15" t="s">
        <v>4955</v>
      </c>
      <c r="G224" s="15" t="s">
        <v>2071</v>
      </c>
      <c r="H224" s="7">
        <v>4</v>
      </c>
      <c r="I224" s="6" t="s">
        <v>4958</v>
      </c>
      <c r="J224" s="6" t="s">
        <v>16877</v>
      </c>
      <c r="K224" s="6" t="s">
        <v>39372</v>
      </c>
      <c r="L224" s="6" t="s">
        <v>39373</v>
      </c>
      <c r="M224" s="6" t="s">
        <v>39374</v>
      </c>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row>
    <row r="225" spans="1:72">
      <c r="A225" s="8" t="s">
        <v>4961</v>
      </c>
      <c r="B225" s="11" t="s">
        <v>4966</v>
      </c>
      <c r="C225" s="9" t="s">
        <v>138</v>
      </c>
      <c r="D225" s="10" t="s">
        <v>138</v>
      </c>
      <c r="E225" s="28" t="s">
        <v>2005</v>
      </c>
      <c r="F225" s="28" t="s">
        <v>200</v>
      </c>
      <c r="G225" s="28" t="s">
        <v>162</v>
      </c>
      <c r="H225" s="13">
        <v>5</v>
      </c>
      <c r="I225" s="12" t="s">
        <v>4978</v>
      </c>
      <c r="J225" s="12" t="s">
        <v>39375</v>
      </c>
      <c r="K225" s="12" t="s">
        <v>38049</v>
      </c>
      <c r="L225" s="12" t="s">
        <v>37998</v>
      </c>
      <c r="M225" s="12" t="s">
        <v>39376</v>
      </c>
      <c r="N225" s="12" t="s">
        <v>39377</v>
      </c>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12"/>
      <c r="BH225" s="12"/>
      <c r="BI225" s="12"/>
      <c r="BJ225" s="12"/>
      <c r="BK225" s="12"/>
      <c r="BL225" s="12"/>
      <c r="BM225" s="12"/>
      <c r="BN225" s="12"/>
      <c r="BO225" s="12"/>
      <c r="BP225" s="12"/>
      <c r="BQ225" s="12"/>
      <c r="BR225" s="12"/>
      <c r="BS225" s="12"/>
      <c r="BT225" s="12"/>
    </row>
    <row r="226" spans="1:72">
      <c r="A226" s="2" t="s">
        <v>4981</v>
      </c>
      <c r="B226" s="5" t="s">
        <v>4986</v>
      </c>
      <c r="C226" s="3" t="s">
        <v>138</v>
      </c>
      <c r="D226" s="4" t="s">
        <v>138</v>
      </c>
      <c r="E226" s="15" t="s">
        <v>1246</v>
      </c>
      <c r="F226" s="15" t="s">
        <v>200</v>
      </c>
      <c r="G226" s="15" t="s">
        <v>162</v>
      </c>
      <c r="H226" s="7">
        <v>12</v>
      </c>
      <c r="I226" s="6" t="s">
        <v>4995</v>
      </c>
      <c r="J226" s="6" t="s">
        <v>37933</v>
      </c>
      <c r="K226" s="6" t="s">
        <v>39378</v>
      </c>
      <c r="L226" s="6" t="s">
        <v>38418</v>
      </c>
      <c r="M226" s="6" t="s">
        <v>39379</v>
      </c>
      <c r="N226" s="6" t="s">
        <v>39380</v>
      </c>
      <c r="O226" s="6" t="s">
        <v>39381</v>
      </c>
      <c r="P226" s="6" t="s">
        <v>38710</v>
      </c>
      <c r="Q226" s="6" t="s">
        <v>37839</v>
      </c>
      <c r="R226" s="6" t="s">
        <v>39382</v>
      </c>
      <c r="S226" s="6" t="s">
        <v>39383</v>
      </c>
      <c r="T226" s="6" t="s">
        <v>38030</v>
      </c>
      <c r="U226" s="6" t="s">
        <v>39384</v>
      </c>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row>
    <row r="227" spans="1:72">
      <c r="A227" s="8" t="s">
        <v>4998</v>
      </c>
      <c r="B227" s="11" t="s">
        <v>5005</v>
      </c>
      <c r="C227" s="9" t="s">
        <v>4999</v>
      </c>
      <c r="D227" s="10" t="s">
        <v>138</v>
      </c>
      <c r="E227" s="28" t="s">
        <v>668</v>
      </c>
      <c r="F227" s="28" t="s">
        <v>200</v>
      </c>
      <c r="G227" s="28" t="s">
        <v>162</v>
      </c>
      <c r="H227" s="13">
        <v>29</v>
      </c>
      <c r="I227" s="12" t="s">
        <v>5014</v>
      </c>
      <c r="J227" s="12" t="s">
        <v>38733</v>
      </c>
      <c r="K227" s="12" t="s">
        <v>39385</v>
      </c>
      <c r="L227" s="12" t="s">
        <v>37795</v>
      </c>
      <c r="M227" s="12" t="s">
        <v>37832</v>
      </c>
      <c r="N227" s="12" t="s">
        <v>39386</v>
      </c>
      <c r="O227" s="12" t="s">
        <v>39387</v>
      </c>
      <c r="P227" s="12" t="s">
        <v>37985</v>
      </c>
      <c r="Q227" s="12" t="s">
        <v>37987</v>
      </c>
      <c r="R227" s="12" t="s">
        <v>39388</v>
      </c>
      <c r="S227" s="12" t="s">
        <v>39389</v>
      </c>
      <c r="T227" s="12" t="s">
        <v>38803</v>
      </c>
      <c r="U227" s="12" t="s">
        <v>39390</v>
      </c>
      <c r="V227" s="12" t="s">
        <v>39391</v>
      </c>
      <c r="W227" s="12" t="s">
        <v>38062</v>
      </c>
      <c r="X227" s="12" t="s">
        <v>39392</v>
      </c>
      <c r="Y227" s="12" t="s">
        <v>39393</v>
      </c>
      <c r="Z227" s="12" t="s">
        <v>39394</v>
      </c>
      <c r="AA227" s="12" t="s">
        <v>39395</v>
      </c>
      <c r="AB227" s="12" t="s">
        <v>38688</v>
      </c>
      <c r="AC227" s="12" t="s">
        <v>38319</v>
      </c>
      <c r="AD227" s="12" t="s">
        <v>38748</v>
      </c>
      <c r="AE227" s="12" t="s">
        <v>37999</v>
      </c>
      <c r="AF227" s="12" t="s">
        <v>38479</v>
      </c>
      <c r="AG227" s="12" t="s">
        <v>38579</v>
      </c>
      <c r="AH227" s="12" t="s">
        <v>39396</v>
      </c>
      <c r="AI227" s="12" t="s">
        <v>39397</v>
      </c>
      <c r="AJ227" s="12" t="s">
        <v>37972</v>
      </c>
      <c r="AK227" s="12" t="s">
        <v>38582</v>
      </c>
      <c r="AL227" s="12" t="s">
        <v>38325</v>
      </c>
      <c r="AM227" s="12"/>
      <c r="AN227" s="12"/>
      <c r="AO227" s="12"/>
      <c r="AP227" s="12"/>
      <c r="AQ227" s="12"/>
      <c r="AR227" s="12"/>
      <c r="AS227" s="12"/>
      <c r="AT227" s="12"/>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row>
    <row r="228" spans="1:72">
      <c r="A228" s="2" t="s">
        <v>5019</v>
      </c>
      <c r="B228" s="5" t="s">
        <v>5025</v>
      </c>
      <c r="C228" s="3" t="s">
        <v>5020</v>
      </c>
      <c r="D228" s="4" t="s">
        <v>138</v>
      </c>
      <c r="E228" s="15" t="s">
        <v>1294</v>
      </c>
      <c r="F228" s="15" t="s">
        <v>864</v>
      </c>
      <c r="G228" s="15" t="s">
        <v>162</v>
      </c>
      <c r="H228" s="7">
        <v>9</v>
      </c>
      <c r="I228" s="6" t="s">
        <v>5034</v>
      </c>
      <c r="J228" s="6" t="s">
        <v>39398</v>
      </c>
      <c r="K228" s="6" t="s">
        <v>38299</v>
      </c>
      <c r="L228" s="6" t="s">
        <v>38779</v>
      </c>
      <c r="M228" s="6" t="s">
        <v>39399</v>
      </c>
      <c r="N228" s="6" t="s">
        <v>37910</v>
      </c>
      <c r="O228" s="6" t="s">
        <v>38860</v>
      </c>
      <c r="P228" s="6" t="s">
        <v>37786</v>
      </c>
      <c r="Q228" s="6" t="s">
        <v>39400</v>
      </c>
      <c r="R228" s="6" t="s">
        <v>39113</v>
      </c>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row>
    <row r="229" spans="1:72">
      <c r="A229" s="8" t="s">
        <v>5039</v>
      </c>
      <c r="B229" s="11" t="s">
        <v>5045</v>
      </c>
      <c r="C229" s="9" t="s">
        <v>5040</v>
      </c>
      <c r="D229" s="10" t="s">
        <v>138</v>
      </c>
      <c r="E229" s="28" t="s">
        <v>668</v>
      </c>
      <c r="F229" s="28" t="s">
        <v>200</v>
      </c>
      <c r="G229" s="28" t="s">
        <v>162</v>
      </c>
      <c r="H229" s="13">
        <v>16</v>
      </c>
      <c r="I229" s="12" t="s">
        <v>5053</v>
      </c>
      <c r="J229" s="12" t="s">
        <v>39401</v>
      </c>
      <c r="K229" s="12" t="s">
        <v>37819</v>
      </c>
      <c r="L229" s="12" t="s">
        <v>38636</v>
      </c>
      <c r="M229" s="12" t="s">
        <v>39402</v>
      </c>
      <c r="N229" s="12" t="s">
        <v>37949</v>
      </c>
      <c r="O229" s="12" t="s">
        <v>39403</v>
      </c>
      <c r="P229" s="12" t="s">
        <v>38803</v>
      </c>
      <c r="Q229" s="12" t="s">
        <v>39404</v>
      </c>
      <c r="R229" s="12" t="s">
        <v>39405</v>
      </c>
      <c r="S229" s="12" t="s">
        <v>37954</v>
      </c>
      <c r="T229" s="12" t="s">
        <v>38398</v>
      </c>
      <c r="U229" s="12" t="s">
        <v>39406</v>
      </c>
      <c r="V229" s="12" t="s">
        <v>37805</v>
      </c>
      <c r="W229" s="12" t="s">
        <v>38550</v>
      </c>
      <c r="X229" s="12" t="s">
        <v>39407</v>
      </c>
      <c r="Y229" s="12" t="s">
        <v>39071</v>
      </c>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row>
    <row r="230" spans="1:72">
      <c r="A230" s="2" t="s">
        <v>5058</v>
      </c>
      <c r="B230" s="5" t="s">
        <v>5063</v>
      </c>
      <c r="C230" s="3" t="s">
        <v>138</v>
      </c>
      <c r="D230" s="4" t="s">
        <v>138</v>
      </c>
      <c r="E230" s="15" t="s">
        <v>3907</v>
      </c>
      <c r="F230" s="15" t="s">
        <v>2740</v>
      </c>
      <c r="G230" s="15" t="s">
        <v>2742</v>
      </c>
      <c r="H230" s="7">
        <v>27</v>
      </c>
      <c r="I230" s="6" t="s">
        <v>5073</v>
      </c>
      <c r="J230" s="6" t="s">
        <v>38720</v>
      </c>
      <c r="K230" s="6" t="s">
        <v>39408</v>
      </c>
      <c r="L230" s="6" t="s">
        <v>38175</v>
      </c>
      <c r="M230" s="6" t="s">
        <v>39409</v>
      </c>
      <c r="N230" s="6" t="s">
        <v>39410</v>
      </c>
      <c r="O230" s="6" t="s">
        <v>39411</v>
      </c>
      <c r="P230" s="6" t="s">
        <v>39412</v>
      </c>
      <c r="Q230" s="6" t="s">
        <v>38178</v>
      </c>
      <c r="R230" s="6" t="s">
        <v>38148</v>
      </c>
      <c r="S230" s="6" t="s">
        <v>39413</v>
      </c>
      <c r="T230" s="6" t="s">
        <v>39414</v>
      </c>
      <c r="U230" s="6" t="s">
        <v>39415</v>
      </c>
      <c r="V230" s="6" t="s">
        <v>38910</v>
      </c>
      <c r="W230" s="6" t="s">
        <v>38513</v>
      </c>
      <c r="X230" s="6" t="s">
        <v>38844</v>
      </c>
      <c r="Y230" s="6" t="s">
        <v>38514</v>
      </c>
      <c r="Z230" s="6" t="s">
        <v>38062</v>
      </c>
      <c r="AA230" s="6" t="s">
        <v>37922</v>
      </c>
      <c r="AB230" s="6" t="s">
        <v>39416</v>
      </c>
      <c r="AC230" s="6" t="s">
        <v>38126</v>
      </c>
      <c r="AD230" s="6" t="s">
        <v>39417</v>
      </c>
      <c r="AE230" s="6" t="s">
        <v>39418</v>
      </c>
      <c r="AF230" s="6" t="s">
        <v>38131</v>
      </c>
      <c r="AG230" s="6" t="s">
        <v>37781</v>
      </c>
      <c r="AH230" s="6" t="s">
        <v>39419</v>
      </c>
      <c r="AI230" s="6" t="s">
        <v>38144</v>
      </c>
      <c r="AJ230" s="6" t="s">
        <v>39420</v>
      </c>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row>
    <row r="231" spans="1:72">
      <c r="A231" s="8" t="s">
        <v>5076</v>
      </c>
      <c r="B231" s="11" t="s">
        <v>5081</v>
      </c>
      <c r="C231" s="9" t="s">
        <v>138</v>
      </c>
      <c r="D231" s="10" t="s">
        <v>138</v>
      </c>
      <c r="E231" s="28" t="s">
        <v>1223</v>
      </c>
      <c r="F231" s="28" t="s">
        <v>200</v>
      </c>
      <c r="G231" s="28" t="s">
        <v>162</v>
      </c>
      <c r="H231" s="13">
        <v>8</v>
      </c>
      <c r="I231" s="12" t="s">
        <v>5091</v>
      </c>
      <c r="J231" s="12" t="s">
        <v>39421</v>
      </c>
      <c r="K231" s="12" t="s">
        <v>39422</v>
      </c>
      <c r="L231" s="12" t="s">
        <v>39423</v>
      </c>
      <c r="M231" s="12" t="s">
        <v>38164</v>
      </c>
      <c r="N231" s="12" t="s">
        <v>37960</v>
      </c>
      <c r="O231" s="12" t="s">
        <v>37805</v>
      </c>
      <c r="P231" s="12" t="s">
        <v>38446</v>
      </c>
      <c r="Q231" s="12" t="s">
        <v>39351</v>
      </c>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row>
    <row r="232" spans="1:72">
      <c r="A232" s="2" t="s">
        <v>5095</v>
      </c>
      <c r="B232" s="5" t="s">
        <v>5103</v>
      </c>
      <c r="C232" s="3" t="s">
        <v>5096</v>
      </c>
      <c r="D232" s="4" t="s">
        <v>5097</v>
      </c>
      <c r="E232" s="15" t="s">
        <v>2882</v>
      </c>
      <c r="F232" s="15" t="s">
        <v>2883</v>
      </c>
      <c r="G232" s="15" t="s">
        <v>162</v>
      </c>
      <c r="H232" s="7">
        <v>2</v>
      </c>
      <c r="I232" s="6" t="s">
        <v>5115</v>
      </c>
      <c r="J232" s="6" t="s">
        <v>17579</v>
      </c>
      <c r="K232" s="6" t="s">
        <v>39424</v>
      </c>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row>
    <row r="233" spans="1:72">
      <c r="A233" s="8" t="s">
        <v>5119</v>
      </c>
      <c r="B233" s="11" t="s">
        <v>5123</v>
      </c>
      <c r="C233" s="9" t="s">
        <v>138</v>
      </c>
      <c r="D233" s="10" t="s">
        <v>138</v>
      </c>
      <c r="E233" s="28" t="s">
        <v>5131</v>
      </c>
      <c r="F233" s="28" t="s">
        <v>138</v>
      </c>
      <c r="G233" s="28" t="s">
        <v>740</v>
      </c>
      <c r="H233" s="13">
        <v>2</v>
      </c>
      <c r="I233" s="12" t="s">
        <v>5134</v>
      </c>
      <c r="J233" s="12" t="s">
        <v>39425</v>
      </c>
      <c r="K233" s="12" t="s">
        <v>38841</v>
      </c>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row>
    <row r="234" spans="1:72">
      <c r="A234" s="2" t="s">
        <v>5137</v>
      </c>
      <c r="B234" s="5" t="s">
        <v>5141</v>
      </c>
      <c r="C234" s="3" t="s">
        <v>138</v>
      </c>
      <c r="D234" s="4" t="s">
        <v>138</v>
      </c>
      <c r="E234" s="15" t="s">
        <v>1171</v>
      </c>
      <c r="F234" s="15" t="s">
        <v>200</v>
      </c>
      <c r="G234" s="15" t="s">
        <v>162</v>
      </c>
      <c r="H234" s="7">
        <v>4</v>
      </c>
      <c r="I234" s="6" t="s">
        <v>5149</v>
      </c>
      <c r="J234" s="6" t="s">
        <v>39426</v>
      </c>
      <c r="K234" s="6" t="s">
        <v>38816</v>
      </c>
      <c r="L234" s="6" t="s">
        <v>39427</v>
      </c>
      <c r="M234" s="6" t="s">
        <v>39428</v>
      </c>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row>
    <row r="235" spans="1:72">
      <c r="A235" s="8" t="s">
        <v>5152</v>
      </c>
      <c r="B235" s="11" t="s">
        <v>5157</v>
      </c>
      <c r="C235" s="9" t="s">
        <v>138</v>
      </c>
      <c r="D235" s="10" t="s">
        <v>138</v>
      </c>
      <c r="E235" s="28" t="s">
        <v>5166</v>
      </c>
      <c r="F235" s="28" t="s">
        <v>5167</v>
      </c>
      <c r="G235" s="28" t="s">
        <v>162</v>
      </c>
      <c r="H235" s="13">
        <v>5</v>
      </c>
      <c r="I235" s="12" t="s">
        <v>5172</v>
      </c>
      <c r="J235" s="12" t="s">
        <v>39429</v>
      </c>
      <c r="K235" s="12" t="s">
        <v>38321</v>
      </c>
      <c r="L235" s="12" t="s">
        <v>39430</v>
      </c>
      <c r="M235" s="12" t="s">
        <v>39431</v>
      </c>
      <c r="N235" s="12" t="s">
        <v>39432</v>
      </c>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2"/>
    </row>
    <row r="236" spans="1:72">
      <c r="A236" s="2" t="s">
        <v>5175</v>
      </c>
      <c r="B236" s="5" t="s">
        <v>5180</v>
      </c>
      <c r="C236" s="3" t="s">
        <v>138</v>
      </c>
      <c r="D236" s="4" t="s">
        <v>138</v>
      </c>
      <c r="E236" s="15" t="s">
        <v>668</v>
      </c>
      <c r="F236" s="15" t="s">
        <v>200</v>
      </c>
      <c r="G236" s="15" t="s">
        <v>162</v>
      </c>
      <c r="H236" s="7">
        <v>24</v>
      </c>
      <c r="I236" s="6" t="s">
        <v>5190</v>
      </c>
      <c r="J236" s="6" t="s">
        <v>39433</v>
      </c>
      <c r="K236" s="6" t="s">
        <v>39434</v>
      </c>
      <c r="L236" s="6" t="s">
        <v>37937</v>
      </c>
      <c r="M236" s="6" t="s">
        <v>38175</v>
      </c>
      <c r="N236" s="6" t="s">
        <v>38961</v>
      </c>
      <c r="O236" s="6" t="s">
        <v>38411</v>
      </c>
      <c r="P236" s="6" t="s">
        <v>39052</v>
      </c>
      <c r="Q236" s="6" t="s">
        <v>38418</v>
      </c>
      <c r="R236" s="6" t="s">
        <v>39435</v>
      </c>
      <c r="S236" s="6" t="s">
        <v>39436</v>
      </c>
      <c r="T236" s="6" t="s">
        <v>39437</v>
      </c>
      <c r="U236" s="6" t="s">
        <v>39438</v>
      </c>
      <c r="V236" s="6" t="s">
        <v>37960</v>
      </c>
      <c r="W236" s="6" t="s">
        <v>37992</v>
      </c>
      <c r="X236" s="6" t="s">
        <v>39439</v>
      </c>
      <c r="Y236" s="6" t="s">
        <v>37995</v>
      </c>
      <c r="Z236" s="6" t="s">
        <v>38078</v>
      </c>
      <c r="AA236" s="6" t="s">
        <v>37996</v>
      </c>
      <c r="AB236" s="6" t="s">
        <v>37998</v>
      </c>
      <c r="AC236" s="6" t="s">
        <v>38432</v>
      </c>
      <c r="AD236" s="6" t="s">
        <v>38436</v>
      </c>
      <c r="AE236" s="6" t="s">
        <v>38726</v>
      </c>
      <c r="AF236" s="6" t="s">
        <v>39440</v>
      </c>
      <c r="AG236" s="6" t="s">
        <v>38325</v>
      </c>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row>
    <row r="237" spans="1:72">
      <c r="A237" s="8" t="s">
        <v>5193</v>
      </c>
      <c r="B237" s="11" t="s">
        <v>5198</v>
      </c>
      <c r="C237" s="9" t="s">
        <v>138</v>
      </c>
      <c r="D237" s="10" t="s">
        <v>138</v>
      </c>
      <c r="E237" s="28" t="s">
        <v>5207</v>
      </c>
      <c r="F237" s="28" t="s">
        <v>339</v>
      </c>
      <c r="G237" s="28" t="s">
        <v>162</v>
      </c>
      <c r="H237" s="13">
        <v>9</v>
      </c>
      <c r="I237" s="12" t="s">
        <v>5210</v>
      </c>
      <c r="J237" s="12" t="s">
        <v>39441</v>
      </c>
      <c r="K237" s="12" t="s">
        <v>39442</v>
      </c>
      <c r="L237" s="12" t="s">
        <v>39306</v>
      </c>
      <c r="M237" s="12" t="s">
        <v>38463</v>
      </c>
      <c r="N237" s="12" t="s">
        <v>39443</v>
      </c>
      <c r="O237" s="12" t="s">
        <v>39444</v>
      </c>
      <c r="P237" s="12" t="s">
        <v>39445</v>
      </c>
      <c r="Q237" s="12" t="s">
        <v>39446</v>
      </c>
      <c r="R237" s="12" t="s">
        <v>39447</v>
      </c>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12"/>
      <c r="BH237" s="12"/>
      <c r="BI237" s="12"/>
      <c r="BJ237" s="12"/>
      <c r="BK237" s="12"/>
      <c r="BL237" s="12"/>
      <c r="BM237" s="12"/>
      <c r="BN237" s="12"/>
      <c r="BO237" s="12"/>
      <c r="BP237" s="12"/>
      <c r="BQ237" s="12"/>
      <c r="BR237" s="12"/>
      <c r="BS237" s="12"/>
      <c r="BT237" s="12"/>
    </row>
    <row r="238" spans="1:72">
      <c r="A238" s="2" t="s">
        <v>5216</v>
      </c>
      <c r="B238" s="5" t="s">
        <v>5225</v>
      </c>
      <c r="C238" s="3" t="s">
        <v>138</v>
      </c>
      <c r="D238" s="4" t="s">
        <v>138</v>
      </c>
      <c r="E238" s="15" t="s">
        <v>5233</v>
      </c>
      <c r="F238" s="15" t="s">
        <v>824</v>
      </c>
      <c r="G238" s="15" t="s">
        <v>526</v>
      </c>
      <c r="H238" s="7">
        <v>9</v>
      </c>
      <c r="I238" s="6" t="s">
        <v>5237</v>
      </c>
      <c r="J238" s="6" t="s">
        <v>39448</v>
      </c>
      <c r="K238" s="6" t="s">
        <v>39449</v>
      </c>
      <c r="L238" s="6" t="s">
        <v>39450</v>
      </c>
      <c r="M238" s="6" t="s">
        <v>39451</v>
      </c>
      <c r="N238" s="6" t="s">
        <v>39452</v>
      </c>
      <c r="O238" s="6" t="s">
        <v>39453</v>
      </c>
      <c r="P238" s="6" t="s">
        <v>39454</v>
      </c>
      <c r="Q238" s="6" t="s">
        <v>39455</v>
      </c>
      <c r="R238" s="6" t="s">
        <v>39456</v>
      </c>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row>
    <row r="239" spans="1:72">
      <c r="A239" s="8" t="s">
        <v>5240</v>
      </c>
      <c r="B239" s="11" t="s">
        <v>5245</v>
      </c>
      <c r="C239" s="9" t="s">
        <v>138</v>
      </c>
      <c r="D239" s="10" t="s">
        <v>138</v>
      </c>
      <c r="E239" s="28" t="s">
        <v>1246</v>
      </c>
      <c r="F239" s="28" t="s">
        <v>200</v>
      </c>
      <c r="G239" s="28" t="s">
        <v>162</v>
      </c>
      <c r="H239" s="13">
        <v>9</v>
      </c>
      <c r="I239" s="12" t="s">
        <v>5253</v>
      </c>
      <c r="J239" s="12" t="s">
        <v>39029</v>
      </c>
      <c r="K239" s="12" t="s">
        <v>39457</v>
      </c>
      <c r="L239" s="12" t="s">
        <v>38606</v>
      </c>
      <c r="M239" s="12" t="s">
        <v>39458</v>
      </c>
      <c r="N239" s="12" t="s">
        <v>39459</v>
      </c>
      <c r="O239" s="12" t="s">
        <v>39460</v>
      </c>
      <c r="P239" s="12" t="s">
        <v>39195</v>
      </c>
      <c r="Q239" s="12" t="s">
        <v>37998</v>
      </c>
      <c r="R239" s="12" t="s">
        <v>39461</v>
      </c>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row>
    <row r="240" spans="1:72">
      <c r="A240" s="2" t="s">
        <v>5256</v>
      </c>
      <c r="B240" s="5" t="s">
        <v>5261</v>
      </c>
      <c r="C240" s="3" t="s">
        <v>138</v>
      </c>
      <c r="D240" s="4" t="s">
        <v>138</v>
      </c>
      <c r="E240" s="15" t="s">
        <v>5270</v>
      </c>
      <c r="F240" s="15" t="s">
        <v>5271</v>
      </c>
      <c r="G240" s="15" t="s">
        <v>162</v>
      </c>
      <c r="H240" s="7">
        <v>9</v>
      </c>
      <c r="I240" s="6" t="s">
        <v>5276</v>
      </c>
      <c r="J240" s="6" t="s">
        <v>39462</v>
      </c>
      <c r="K240" s="6" t="s">
        <v>37851</v>
      </c>
      <c r="L240" s="6" t="s">
        <v>39463</v>
      </c>
      <c r="M240" s="6" t="s">
        <v>39464</v>
      </c>
      <c r="N240" s="6" t="s">
        <v>38549</v>
      </c>
      <c r="O240" s="6" t="s">
        <v>39465</v>
      </c>
      <c r="P240" s="6" t="s">
        <v>39466</v>
      </c>
      <c r="Q240" s="6" t="s">
        <v>39467</v>
      </c>
      <c r="R240" s="6" t="s">
        <v>37873</v>
      </c>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row>
    <row r="241" spans="1:72">
      <c r="A241" s="8" t="s">
        <v>5282</v>
      </c>
      <c r="B241" s="11" t="s">
        <v>5287</v>
      </c>
      <c r="C241" s="9" t="s">
        <v>138</v>
      </c>
      <c r="D241" s="10" t="s">
        <v>138</v>
      </c>
      <c r="E241" s="28" t="s">
        <v>668</v>
      </c>
      <c r="F241" s="28" t="s">
        <v>200</v>
      </c>
      <c r="G241" s="28" t="s">
        <v>162</v>
      </c>
      <c r="H241" s="13">
        <v>19</v>
      </c>
      <c r="I241" s="12" t="s">
        <v>5297</v>
      </c>
      <c r="J241" s="12" t="s">
        <v>37811</v>
      </c>
      <c r="K241" s="12" t="s">
        <v>39468</v>
      </c>
      <c r="L241" s="12" t="s">
        <v>39469</v>
      </c>
      <c r="M241" s="12" t="s">
        <v>39470</v>
      </c>
      <c r="N241" s="12" t="s">
        <v>39471</v>
      </c>
      <c r="O241" s="12" t="s">
        <v>38964</v>
      </c>
      <c r="P241" s="12" t="s">
        <v>39472</v>
      </c>
      <c r="Q241" s="12" t="s">
        <v>39473</v>
      </c>
      <c r="R241" s="12" t="s">
        <v>39474</v>
      </c>
      <c r="S241" s="12" t="s">
        <v>39475</v>
      </c>
      <c r="T241" s="12" t="s">
        <v>38114</v>
      </c>
      <c r="U241" s="12" t="s">
        <v>38318</v>
      </c>
      <c r="V241" s="12" t="s">
        <v>38524</v>
      </c>
      <c r="W241" s="12" t="s">
        <v>39476</v>
      </c>
      <c r="X241" s="12" t="s">
        <v>38812</v>
      </c>
      <c r="Y241" s="12" t="s">
        <v>39477</v>
      </c>
      <c r="Z241" s="12" t="s">
        <v>39351</v>
      </c>
      <c r="AA241" s="12" t="s">
        <v>38583</v>
      </c>
      <c r="AB241" s="12" t="s">
        <v>39478</v>
      </c>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row>
    <row r="242" spans="1:72">
      <c r="A242" s="2" t="s">
        <v>5301</v>
      </c>
      <c r="B242" s="5" t="s">
        <v>5306</v>
      </c>
      <c r="C242" s="3" t="s">
        <v>138</v>
      </c>
      <c r="D242" s="4" t="s">
        <v>138</v>
      </c>
      <c r="E242" s="15" t="s">
        <v>3375</v>
      </c>
      <c r="F242" s="15" t="s">
        <v>138</v>
      </c>
      <c r="G242" s="15" t="s">
        <v>5311</v>
      </c>
      <c r="H242" s="7">
        <v>3</v>
      </c>
      <c r="I242" s="6" t="s">
        <v>5316</v>
      </c>
      <c r="J242" s="6" t="s">
        <v>39479</v>
      </c>
      <c r="K242" s="6" t="s">
        <v>37953</v>
      </c>
      <c r="L242" s="6" t="s">
        <v>38983</v>
      </c>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row>
    <row r="243" spans="1:72">
      <c r="A243" s="8" t="s">
        <v>5322</v>
      </c>
      <c r="B243" s="11" t="s">
        <v>5330</v>
      </c>
      <c r="C243" s="9" t="s">
        <v>138</v>
      </c>
      <c r="D243" s="10" t="s">
        <v>138</v>
      </c>
      <c r="E243" s="28" t="s">
        <v>5338</v>
      </c>
      <c r="F243" s="28" t="s">
        <v>200</v>
      </c>
      <c r="G243" s="28" t="s">
        <v>162</v>
      </c>
      <c r="H243" s="13">
        <v>2</v>
      </c>
      <c r="I243" s="12" t="s">
        <v>5343</v>
      </c>
      <c r="J243" s="12" t="s">
        <v>38274</v>
      </c>
      <c r="K243" s="12" t="s">
        <v>39480</v>
      </c>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12"/>
      <c r="BH243" s="12"/>
      <c r="BI243" s="12"/>
      <c r="BJ243" s="12"/>
      <c r="BK243" s="12"/>
      <c r="BL243" s="12"/>
      <c r="BM243" s="12"/>
      <c r="BN243" s="12"/>
      <c r="BO243" s="12"/>
      <c r="BP243" s="12"/>
      <c r="BQ243" s="12"/>
      <c r="BR243" s="12"/>
      <c r="BS243" s="12"/>
      <c r="BT243" s="12"/>
    </row>
    <row r="244" spans="1:72">
      <c r="A244" s="2" t="s">
        <v>5347</v>
      </c>
      <c r="B244" s="5" t="s">
        <v>5352</v>
      </c>
      <c r="C244" s="3" t="s">
        <v>5348</v>
      </c>
      <c r="D244" s="4" t="s">
        <v>138</v>
      </c>
      <c r="E244" s="15" t="s">
        <v>5362</v>
      </c>
      <c r="F244" s="15" t="s">
        <v>3453</v>
      </c>
      <c r="G244" s="15" t="s">
        <v>2333</v>
      </c>
      <c r="H244" s="7">
        <v>1</v>
      </c>
      <c r="I244" s="6" t="s">
        <v>3047</v>
      </c>
      <c r="J244" s="6" t="s">
        <v>3047</v>
      </c>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row>
    <row r="245" spans="1:72">
      <c r="A245" s="8" t="s">
        <v>5368</v>
      </c>
      <c r="B245" s="11" t="s">
        <v>5374</v>
      </c>
      <c r="C245" s="9" t="s">
        <v>5369</v>
      </c>
      <c r="D245" s="10" t="s">
        <v>138</v>
      </c>
      <c r="E245" s="28" t="s">
        <v>5382</v>
      </c>
      <c r="F245" s="28" t="s">
        <v>200</v>
      </c>
      <c r="G245" s="28" t="s">
        <v>162</v>
      </c>
      <c r="H245" s="13">
        <v>6</v>
      </c>
      <c r="I245" s="12" t="s">
        <v>5386</v>
      </c>
      <c r="J245" s="12" t="s">
        <v>25820</v>
      </c>
      <c r="K245" s="12" t="s">
        <v>37787</v>
      </c>
      <c r="L245" s="12" t="s">
        <v>39481</v>
      </c>
      <c r="M245" s="12" t="s">
        <v>39482</v>
      </c>
      <c r="N245" s="12" t="s">
        <v>39483</v>
      </c>
      <c r="O245" s="12" t="s">
        <v>39484</v>
      </c>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12"/>
      <c r="BH245" s="12"/>
      <c r="BI245" s="12"/>
      <c r="BJ245" s="12"/>
      <c r="BK245" s="12"/>
      <c r="BL245" s="12"/>
      <c r="BM245" s="12"/>
      <c r="BN245" s="12"/>
      <c r="BO245" s="12"/>
      <c r="BP245" s="12"/>
      <c r="BQ245" s="12"/>
      <c r="BR245" s="12"/>
      <c r="BS245" s="12"/>
      <c r="BT245" s="12"/>
    </row>
    <row r="246" spans="1:72">
      <c r="A246" s="2" t="s">
        <v>5391</v>
      </c>
      <c r="B246" s="5" t="s">
        <v>5397</v>
      </c>
      <c r="C246" s="3" t="s">
        <v>138</v>
      </c>
      <c r="D246" s="4" t="s">
        <v>138</v>
      </c>
      <c r="E246" s="15" t="s">
        <v>5382</v>
      </c>
      <c r="F246" s="15" t="s">
        <v>200</v>
      </c>
      <c r="G246" s="15" t="s">
        <v>162</v>
      </c>
      <c r="H246" s="7">
        <v>1</v>
      </c>
      <c r="I246" s="6" t="s">
        <v>2075</v>
      </c>
      <c r="J246" s="6" t="s">
        <v>2075</v>
      </c>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row>
    <row r="247" spans="1:72">
      <c r="A247" s="8" t="s">
        <v>5409</v>
      </c>
      <c r="B247" s="11" t="s">
        <v>5414</v>
      </c>
      <c r="C247" s="9" t="s">
        <v>138</v>
      </c>
      <c r="D247" s="10" t="s">
        <v>138</v>
      </c>
      <c r="E247" s="28" t="s">
        <v>966</v>
      </c>
      <c r="F247" s="28" t="s">
        <v>200</v>
      </c>
      <c r="G247" s="28" t="s">
        <v>162</v>
      </c>
      <c r="H247" s="13">
        <v>18</v>
      </c>
      <c r="I247" s="12" t="s">
        <v>5421</v>
      </c>
      <c r="J247" s="12" t="s">
        <v>37785</v>
      </c>
      <c r="K247" s="12" t="s">
        <v>39485</v>
      </c>
      <c r="L247" s="12" t="s">
        <v>39486</v>
      </c>
      <c r="M247" s="12" t="s">
        <v>39487</v>
      </c>
      <c r="N247" s="12" t="s">
        <v>38354</v>
      </c>
      <c r="O247" s="12" t="s">
        <v>39488</v>
      </c>
      <c r="P247" s="12" t="s">
        <v>39489</v>
      </c>
      <c r="Q247" s="12" t="s">
        <v>39490</v>
      </c>
      <c r="R247" s="12" t="s">
        <v>38511</v>
      </c>
      <c r="S247" s="12" t="s">
        <v>37786</v>
      </c>
      <c r="T247" s="12" t="s">
        <v>39491</v>
      </c>
      <c r="U247" s="12" t="s">
        <v>39492</v>
      </c>
      <c r="V247" s="12" t="s">
        <v>39493</v>
      </c>
      <c r="W247" s="12" t="s">
        <v>39494</v>
      </c>
      <c r="X247" s="12" t="s">
        <v>39393</v>
      </c>
      <c r="Y247" s="12" t="s">
        <v>39495</v>
      </c>
      <c r="Z247" s="12" t="s">
        <v>38713</v>
      </c>
      <c r="AA247" s="12" t="s">
        <v>38313</v>
      </c>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12"/>
      <c r="BH247" s="12"/>
      <c r="BI247" s="12"/>
      <c r="BJ247" s="12"/>
      <c r="BK247" s="12"/>
      <c r="BL247" s="12"/>
      <c r="BM247" s="12"/>
      <c r="BN247" s="12"/>
      <c r="BO247" s="12"/>
      <c r="BP247" s="12"/>
      <c r="BQ247" s="12"/>
      <c r="BR247" s="12"/>
      <c r="BS247" s="12"/>
      <c r="BT247" s="12"/>
    </row>
    <row r="248" spans="1:72">
      <c r="A248" s="2" t="s">
        <v>5424</v>
      </c>
      <c r="B248" s="5" t="s">
        <v>5429</v>
      </c>
      <c r="C248" s="3" t="s">
        <v>138</v>
      </c>
      <c r="D248" s="4" t="s">
        <v>138</v>
      </c>
      <c r="E248" s="15" t="s">
        <v>426</v>
      </c>
      <c r="F248" s="15" t="s">
        <v>426</v>
      </c>
      <c r="G248" s="15" t="s">
        <v>162</v>
      </c>
      <c r="H248" s="7">
        <v>17</v>
      </c>
      <c r="I248" s="6" t="s">
        <v>5437</v>
      </c>
      <c r="J248" s="6" t="s">
        <v>39496</v>
      </c>
      <c r="K248" s="6" t="s">
        <v>39497</v>
      </c>
      <c r="L248" s="6" t="s">
        <v>38841</v>
      </c>
      <c r="M248" s="6" t="s">
        <v>37953</v>
      </c>
      <c r="N248" s="6" t="s">
        <v>39498</v>
      </c>
      <c r="O248" s="6" t="s">
        <v>39499</v>
      </c>
      <c r="P248" s="6" t="s">
        <v>39500</v>
      </c>
      <c r="Q248" s="6" t="s">
        <v>39501</v>
      </c>
      <c r="R248" s="6" t="s">
        <v>38844</v>
      </c>
      <c r="S248" s="6" t="s">
        <v>39502</v>
      </c>
      <c r="T248" s="6" t="s">
        <v>39503</v>
      </c>
      <c r="U248" s="6" t="s">
        <v>38849</v>
      </c>
      <c r="V248" s="6" t="s">
        <v>39504</v>
      </c>
      <c r="W248" s="6" t="s">
        <v>38926</v>
      </c>
      <c r="X248" s="6" t="s">
        <v>38851</v>
      </c>
      <c r="Y248" s="6" t="s">
        <v>38371</v>
      </c>
      <c r="Z248" s="6" t="s">
        <v>39505</v>
      </c>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row>
    <row r="249" spans="1:72">
      <c r="A249" s="8" t="s">
        <v>5441</v>
      </c>
      <c r="B249" s="11" t="s">
        <v>5447</v>
      </c>
      <c r="C249" s="9" t="s">
        <v>138</v>
      </c>
      <c r="D249" s="10" t="s">
        <v>138</v>
      </c>
      <c r="E249" s="28" t="s">
        <v>668</v>
      </c>
      <c r="F249" s="28" t="s">
        <v>200</v>
      </c>
      <c r="G249" s="28" t="s">
        <v>162</v>
      </c>
      <c r="H249" s="13">
        <v>31</v>
      </c>
      <c r="I249" s="12" t="s">
        <v>5456</v>
      </c>
      <c r="J249" s="12" t="s">
        <v>38733</v>
      </c>
      <c r="K249" s="12" t="s">
        <v>39506</v>
      </c>
      <c r="L249" s="12" t="s">
        <v>39507</v>
      </c>
      <c r="M249" s="12" t="s">
        <v>38708</v>
      </c>
      <c r="N249" s="12" t="s">
        <v>38964</v>
      </c>
      <c r="O249" s="12" t="s">
        <v>39508</v>
      </c>
      <c r="P249" s="12" t="s">
        <v>37821</v>
      </c>
      <c r="Q249" s="12" t="s">
        <v>39509</v>
      </c>
      <c r="R249" s="12" t="s">
        <v>39510</v>
      </c>
      <c r="S249" s="12" t="s">
        <v>39511</v>
      </c>
      <c r="T249" s="12" t="s">
        <v>39512</v>
      </c>
      <c r="U249" s="12" t="s">
        <v>39513</v>
      </c>
      <c r="V249" s="12" t="s">
        <v>38998</v>
      </c>
      <c r="W249" s="12" t="s">
        <v>39514</v>
      </c>
      <c r="X249" s="12" t="s">
        <v>38062</v>
      </c>
      <c r="Y249" s="12" t="s">
        <v>39515</v>
      </c>
      <c r="Z249" s="12" t="s">
        <v>39516</v>
      </c>
      <c r="AA249" s="12" t="s">
        <v>39291</v>
      </c>
      <c r="AB249" s="12" t="s">
        <v>39517</v>
      </c>
      <c r="AC249" s="12" t="s">
        <v>39518</v>
      </c>
      <c r="AD249" s="12" t="s">
        <v>39519</v>
      </c>
      <c r="AE249" s="12" t="s">
        <v>39520</v>
      </c>
      <c r="AF249" s="12" t="s">
        <v>38065</v>
      </c>
      <c r="AG249" s="12" t="s">
        <v>39521</v>
      </c>
      <c r="AH249" s="12" t="s">
        <v>39522</v>
      </c>
      <c r="AI249" s="12" t="s">
        <v>39523</v>
      </c>
      <c r="AJ249" s="12" t="s">
        <v>39524</v>
      </c>
      <c r="AK249" s="12" t="s">
        <v>39525</v>
      </c>
      <c r="AL249" s="12" t="s">
        <v>39143</v>
      </c>
      <c r="AM249" s="12" t="s">
        <v>39526</v>
      </c>
      <c r="AN249" s="12" t="s">
        <v>38983</v>
      </c>
      <c r="AO249" s="12"/>
      <c r="AP249" s="12"/>
      <c r="AQ249" s="12"/>
      <c r="AR249" s="12"/>
      <c r="AS249" s="12"/>
      <c r="AT249" s="12"/>
      <c r="AU249" s="12"/>
      <c r="AV249" s="12"/>
      <c r="AW249" s="12"/>
      <c r="AX249" s="12"/>
      <c r="AY249" s="12"/>
      <c r="AZ249" s="12"/>
      <c r="BA249" s="12"/>
      <c r="BB249" s="12"/>
      <c r="BC249" s="12"/>
      <c r="BD249" s="12"/>
      <c r="BE249" s="12"/>
      <c r="BF249" s="12"/>
      <c r="BG249" s="12"/>
      <c r="BH249" s="12"/>
      <c r="BI249" s="12"/>
      <c r="BJ249" s="12"/>
      <c r="BK249" s="12"/>
      <c r="BL249" s="12"/>
      <c r="BM249" s="12"/>
      <c r="BN249" s="12"/>
      <c r="BO249" s="12"/>
      <c r="BP249" s="12"/>
      <c r="BQ249" s="12"/>
      <c r="BR249" s="12"/>
      <c r="BS249" s="12"/>
      <c r="BT249" s="12"/>
    </row>
    <row r="250" spans="1:72">
      <c r="A250" s="2" t="s">
        <v>5461</v>
      </c>
      <c r="B250" s="5" t="s">
        <v>5465</v>
      </c>
      <c r="C250" s="3" t="s">
        <v>138</v>
      </c>
      <c r="D250" s="4" t="s">
        <v>138</v>
      </c>
      <c r="E250" s="15" t="s">
        <v>5473</v>
      </c>
      <c r="F250" s="15" t="s">
        <v>3112</v>
      </c>
      <c r="G250" s="15" t="s">
        <v>2742</v>
      </c>
      <c r="H250" s="7">
        <v>1</v>
      </c>
      <c r="I250" s="6" t="s">
        <v>3186</v>
      </c>
      <c r="J250" s="6" t="s">
        <v>3186</v>
      </c>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row>
    <row r="251" spans="1:72">
      <c r="A251" s="8" t="s">
        <v>5478</v>
      </c>
      <c r="B251" s="11" t="s">
        <v>5482</v>
      </c>
      <c r="C251" s="9" t="s">
        <v>138</v>
      </c>
      <c r="D251" s="10" t="s">
        <v>138</v>
      </c>
      <c r="E251" s="28" t="s">
        <v>668</v>
      </c>
      <c r="F251" s="28" t="s">
        <v>200</v>
      </c>
      <c r="G251" s="28" t="s">
        <v>162</v>
      </c>
      <c r="H251" s="13">
        <v>8</v>
      </c>
      <c r="I251" s="12" t="s">
        <v>5494</v>
      </c>
      <c r="J251" s="12" t="s">
        <v>39527</v>
      </c>
      <c r="K251" s="12" t="s">
        <v>39528</v>
      </c>
      <c r="L251" s="12" t="s">
        <v>38097</v>
      </c>
      <c r="M251" s="12" t="s">
        <v>39529</v>
      </c>
      <c r="N251" s="12" t="s">
        <v>39530</v>
      </c>
      <c r="O251" s="12" t="s">
        <v>39531</v>
      </c>
      <c r="P251" s="12" t="s">
        <v>38073</v>
      </c>
      <c r="Q251" s="12" t="s">
        <v>39532</v>
      </c>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12"/>
      <c r="BH251" s="12"/>
      <c r="BI251" s="12"/>
      <c r="BJ251" s="12"/>
      <c r="BK251" s="12"/>
      <c r="BL251" s="12"/>
      <c r="BM251" s="12"/>
      <c r="BN251" s="12"/>
      <c r="BO251" s="12"/>
      <c r="BP251" s="12"/>
      <c r="BQ251" s="12"/>
      <c r="BR251" s="12"/>
      <c r="BS251" s="12"/>
      <c r="BT251" s="12"/>
    </row>
    <row r="252" spans="1:72">
      <c r="A252" s="2" t="s">
        <v>5499</v>
      </c>
      <c r="B252" s="5" t="s">
        <v>5507</v>
      </c>
      <c r="C252" s="3" t="s">
        <v>5500</v>
      </c>
      <c r="D252" s="4" t="s">
        <v>138</v>
      </c>
      <c r="E252" s="15" t="s">
        <v>3139</v>
      </c>
      <c r="F252" s="15" t="s">
        <v>3140</v>
      </c>
      <c r="G252" s="15" t="s">
        <v>162</v>
      </c>
      <c r="H252" s="7">
        <v>18</v>
      </c>
      <c r="I252" s="6" t="s">
        <v>5518</v>
      </c>
      <c r="J252" s="6" t="s">
        <v>38094</v>
      </c>
      <c r="K252" s="6" t="s">
        <v>39533</v>
      </c>
      <c r="L252" s="6" t="s">
        <v>39534</v>
      </c>
      <c r="M252" s="6" t="s">
        <v>39535</v>
      </c>
      <c r="N252" s="6" t="s">
        <v>39536</v>
      </c>
      <c r="O252" s="6" t="s">
        <v>39537</v>
      </c>
      <c r="P252" s="6" t="s">
        <v>39538</v>
      </c>
      <c r="Q252" s="6" t="s">
        <v>39539</v>
      </c>
      <c r="R252" s="6" t="s">
        <v>39540</v>
      </c>
      <c r="S252" s="6" t="s">
        <v>39541</v>
      </c>
      <c r="T252" s="6" t="s">
        <v>37968</v>
      </c>
      <c r="U252" s="6" t="s">
        <v>38850</v>
      </c>
      <c r="V252" s="6" t="s">
        <v>38100</v>
      </c>
      <c r="W252" s="6" t="s">
        <v>39542</v>
      </c>
      <c r="X252" s="6" t="s">
        <v>38852</v>
      </c>
      <c r="Y252" s="6" t="s">
        <v>39543</v>
      </c>
      <c r="Z252" s="6" t="s">
        <v>39544</v>
      </c>
      <c r="AA252" s="6" t="s">
        <v>37976</v>
      </c>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row>
    <row r="253" spans="1:72">
      <c r="A253" s="8" t="s">
        <v>5523</v>
      </c>
      <c r="B253" s="11" t="s">
        <v>5530</v>
      </c>
      <c r="C253" s="9" t="s">
        <v>5524</v>
      </c>
      <c r="D253" s="10" t="s">
        <v>138</v>
      </c>
      <c r="E253" s="28" t="s">
        <v>426</v>
      </c>
      <c r="F253" s="28" t="s">
        <v>426</v>
      </c>
      <c r="G253" s="28" t="s">
        <v>162</v>
      </c>
      <c r="H253" s="13">
        <v>8</v>
      </c>
      <c r="I253" s="12" t="s">
        <v>5540</v>
      </c>
      <c r="J253" s="12" t="s">
        <v>39545</v>
      </c>
      <c r="K253" s="12" t="s">
        <v>39546</v>
      </c>
      <c r="L253" s="12" t="s">
        <v>39321</v>
      </c>
      <c r="M253" s="12" t="s">
        <v>37944</v>
      </c>
      <c r="N253" s="12" t="s">
        <v>38779</v>
      </c>
      <c r="O253" s="12" t="s">
        <v>38741</v>
      </c>
      <c r="P253" s="12" t="s">
        <v>39322</v>
      </c>
      <c r="Q253" s="12" t="s">
        <v>39547</v>
      </c>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2"/>
    </row>
    <row r="254" spans="1:72">
      <c r="A254" s="2" t="s">
        <v>5549</v>
      </c>
      <c r="B254" s="5" t="s">
        <v>5554</v>
      </c>
      <c r="C254" s="3" t="s">
        <v>138</v>
      </c>
      <c r="D254" s="4" t="s">
        <v>138</v>
      </c>
      <c r="E254" s="15" t="s">
        <v>1198</v>
      </c>
      <c r="F254" s="15" t="s">
        <v>138</v>
      </c>
      <c r="G254" s="15" t="s">
        <v>1200</v>
      </c>
      <c r="H254" s="7">
        <v>9</v>
      </c>
      <c r="I254" s="6" t="s">
        <v>5567</v>
      </c>
      <c r="J254" s="6" t="s">
        <v>39324</v>
      </c>
      <c r="K254" s="6" t="s">
        <v>38590</v>
      </c>
      <c r="L254" s="6" t="s">
        <v>39548</v>
      </c>
      <c r="M254" s="6" t="s">
        <v>39549</v>
      </c>
      <c r="N254" s="6" t="s">
        <v>39550</v>
      </c>
      <c r="O254" s="6" t="s">
        <v>38312</v>
      </c>
      <c r="P254" s="6" t="s">
        <v>38948</v>
      </c>
      <c r="Q254" s="6" t="s">
        <v>37781</v>
      </c>
      <c r="R254" s="6" t="s">
        <v>39551</v>
      </c>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row>
    <row r="255" spans="1:72">
      <c r="A255" s="8" t="s">
        <v>5570</v>
      </c>
      <c r="B255" s="11" t="s">
        <v>5575</v>
      </c>
      <c r="C255" s="9" t="s">
        <v>138</v>
      </c>
      <c r="D255" s="10" t="s">
        <v>5571</v>
      </c>
      <c r="E255" s="28" t="s">
        <v>227</v>
      </c>
      <c r="F255" s="28" t="s">
        <v>228</v>
      </c>
      <c r="G255" s="28" t="s">
        <v>162</v>
      </c>
      <c r="H255" s="13">
        <v>6</v>
      </c>
      <c r="I255" s="12" t="s">
        <v>5585</v>
      </c>
      <c r="J255" s="12" t="s">
        <v>39552</v>
      </c>
      <c r="K255" s="12" t="s">
        <v>37772</v>
      </c>
      <c r="L255" s="12" t="s">
        <v>39553</v>
      </c>
      <c r="M255" s="12" t="s">
        <v>39554</v>
      </c>
      <c r="N255" s="12" t="s">
        <v>37781</v>
      </c>
      <c r="O255" s="12" t="s">
        <v>39555</v>
      </c>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12"/>
      <c r="BH255" s="12"/>
      <c r="BI255" s="12"/>
      <c r="BJ255" s="12"/>
      <c r="BK255" s="12"/>
      <c r="BL255" s="12"/>
      <c r="BM255" s="12"/>
      <c r="BN255" s="12"/>
      <c r="BO255" s="12"/>
      <c r="BP255" s="12"/>
      <c r="BQ255" s="12"/>
      <c r="BR255" s="12"/>
      <c r="BS255" s="12"/>
      <c r="BT255" s="12"/>
    </row>
    <row r="256" spans="1:72">
      <c r="A256" s="2" t="s">
        <v>5588</v>
      </c>
      <c r="B256" s="5" t="s">
        <v>5592</v>
      </c>
      <c r="C256" s="3" t="s">
        <v>5589</v>
      </c>
      <c r="D256" s="4" t="s">
        <v>138</v>
      </c>
      <c r="E256" s="15" t="s">
        <v>668</v>
      </c>
      <c r="F256" s="15" t="s">
        <v>200</v>
      </c>
      <c r="G256" s="15" t="s">
        <v>162</v>
      </c>
      <c r="H256" s="7">
        <v>14</v>
      </c>
      <c r="I256" s="6" t="s">
        <v>5603</v>
      </c>
      <c r="J256" s="6" t="s">
        <v>39556</v>
      </c>
      <c r="K256" s="6" t="s">
        <v>39557</v>
      </c>
      <c r="L256" s="6" t="s">
        <v>39558</v>
      </c>
      <c r="M256" s="6" t="s">
        <v>39559</v>
      </c>
      <c r="N256" s="6" t="s">
        <v>39560</v>
      </c>
      <c r="O256" s="6" t="s">
        <v>39561</v>
      </c>
      <c r="P256" s="6" t="s">
        <v>37786</v>
      </c>
      <c r="Q256" s="6" t="s">
        <v>39562</v>
      </c>
      <c r="R256" s="6" t="s">
        <v>39563</v>
      </c>
      <c r="S256" s="6" t="s">
        <v>39291</v>
      </c>
      <c r="T256" s="6" t="s">
        <v>39564</v>
      </c>
      <c r="U256" s="6" t="s">
        <v>39565</v>
      </c>
      <c r="V256" s="6" t="s">
        <v>39566</v>
      </c>
      <c r="W256" s="6" t="s">
        <v>38337</v>
      </c>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row>
    <row r="257" spans="1:72">
      <c r="A257" s="8" t="s">
        <v>5610</v>
      </c>
      <c r="B257" s="11" t="s">
        <v>5616</v>
      </c>
      <c r="C257" s="9" t="s">
        <v>138</v>
      </c>
      <c r="D257" s="10" t="s">
        <v>138</v>
      </c>
      <c r="E257" s="28" t="s">
        <v>1516</v>
      </c>
      <c r="F257" s="28" t="s">
        <v>284</v>
      </c>
      <c r="G257" s="28" t="s">
        <v>162</v>
      </c>
      <c r="H257" s="13">
        <v>15</v>
      </c>
      <c r="I257" s="12" t="s">
        <v>5626</v>
      </c>
      <c r="J257" s="12" t="s">
        <v>17579</v>
      </c>
      <c r="K257" s="12" t="s">
        <v>39567</v>
      </c>
      <c r="L257" s="12" t="s">
        <v>39568</v>
      </c>
      <c r="M257" s="12" t="s">
        <v>39569</v>
      </c>
      <c r="N257" s="12" t="s">
        <v>39570</v>
      </c>
      <c r="O257" s="12" t="s">
        <v>39571</v>
      </c>
      <c r="P257" s="12" t="s">
        <v>39572</v>
      </c>
      <c r="Q257" s="12" t="s">
        <v>39573</v>
      </c>
      <c r="R257" s="12" t="s">
        <v>39574</v>
      </c>
      <c r="S257" s="12" t="s">
        <v>39575</v>
      </c>
      <c r="T257" s="12" t="s">
        <v>38723</v>
      </c>
      <c r="U257" s="12" t="s">
        <v>39576</v>
      </c>
      <c r="V257" s="12" t="s">
        <v>37998</v>
      </c>
      <c r="W257" s="12" t="s">
        <v>39577</v>
      </c>
      <c r="X257" s="12" t="s">
        <v>39578</v>
      </c>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2"/>
    </row>
    <row r="258" spans="1:72">
      <c r="A258" s="2" t="s">
        <v>5630</v>
      </c>
      <c r="B258" s="5" t="s">
        <v>5636</v>
      </c>
      <c r="C258" s="3" t="s">
        <v>138</v>
      </c>
      <c r="D258" s="4" t="s">
        <v>5631</v>
      </c>
      <c r="E258" s="15" t="s">
        <v>2030</v>
      </c>
      <c r="F258" s="15" t="s">
        <v>2031</v>
      </c>
      <c r="G258" s="15" t="s">
        <v>162</v>
      </c>
      <c r="H258" s="7">
        <v>19</v>
      </c>
      <c r="I258" s="6" t="s">
        <v>5645</v>
      </c>
      <c r="J258" s="6" t="s">
        <v>37785</v>
      </c>
      <c r="K258" s="6" t="s">
        <v>39489</v>
      </c>
      <c r="L258" s="6" t="s">
        <v>39579</v>
      </c>
      <c r="M258" s="6" t="s">
        <v>39284</v>
      </c>
      <c r="N258" s="6" t="s">
        <v>39580</v>
      </c>
      <c r="O258" s="6" t="s">
        <v>38203</v>
      </c>
      <c r="P258" s="6" t="s">
        <v>39581</v>
      </c>
      <c r="Q258" s="6" t="s">
        <v>39582</v>
      </c>
      <c r="R258" s="6" t="s">
        <v>39583</v>
      </c>
      <c r="S258" s="6" t="s">
        <v>39584</v>
      </c>
      <c r="T258" s="6" t="s">
        <v>39460</v>
      </c>
      <c r="U258" s="6" t="s">
        <v>39343</v>
      </c>
      <c r="V258" s="6" t="s">
        <v>39585</v>
      </c>
      <c r="W258" s="6" t="s">
        <v>38065</v>
      </c>
      <c r="X258" s="6" t="s">
        <v>39586</v>
      </c>
      <c r="Y258" s="6" t="s">
        <v>38204</v>
      </c>
      <c r="Z258" s="6" t="s">
        <v>38928</v>
      </c>
      <c r="AA258" s="6" t="s">
        <v>39587</v>
      </c>
      <c r="AB258" s="6" t="s">
        <v>39588</v>
      </c>
      <c r="AC258" s="6" t="s">
        <v>38205</v>
      </c>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row>
    <row r="259" spans="1:72">
      <c r="A259" s="8" t="s">
        <v>5648</v>
      </c>
      <c r="B259" s="11" t="s">
        <v>5654</v>
      </c>
      <c r="C259" s="9" t="s">
        <v>138</v>
      </c>
      <c r="D259" s="10" t="s">
        <v>138</v>
      </c>
      <c r="E259" s="28" t="s">
        <v>3139</v>
      </c>
      <c r="F259" s="28" t="s">
        <v>3140</v>
      </c>
      <c r="G259" s="28" t="s">
        <v>162</v>
      </c>
      <c r="H259" s="13">
        <v>18</v>
      </c>
      <c r="I259" s="12" t="s">
        <v>5665</v>
      </c>
      <c r="J259" s="12" t="s">
        <v>39589</v>
      </c>
      <c r="K259" s="12" t="s">
        <v>38838</v>
      </c>
      <c r="L259" s="12" t="s">
        <v>39590</v>
      </c>
      <c r="M259" s="12" t="s">
        <v>39591</v>
      </c>
      <c r="N259" s="12" t="s">
        <v>39592</v>
      </c>
      <c r="O259" s="12" t="s">
        <v>37777</v>
      </c>
      <c r="P259" s="12" t="s">
        <v>39593</v>
      </c>
      <c r="Q259" s="12" t="s">
        <v>39594</v>
      </c>
      <c r="R259" s="12" t="s">
        <v>39595</v>
      </c>
      <c r="S259" s="12" t="s">
        <v>39596</v>
      </c>
      <c r="T259" s="12" t="s">
        <v>39540</v>
      </c>
      <c r="U259" s="12" t="s">
        <v>38850</v>
      </c>
      <c r="V259" s="12" t="s">
        <v>39597</v>
      </c>
      <c r="W259" s="12" t="s">
        <v>37781</v>
      </c>
      <c r="X259" s="12" t="s">
        <v>39598</v>
      </c>
      <c r="Y259" s="12" t="s">
        <v>39599</v>
      </c>
      <c r="Z259" s="12" t="s">
        <v>39544</v>
      </c>
      <c r="AA259" s="12" t="s">
        <v>39600</v>
      </c>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12"/>
      <c r="BH259" s="12"/>
      <c r="BI259" s="12"/>
      <c r="BJ259" s="12"/>
      <c r="BK259" s="12"/>
      <c r="BL259" s="12"/>
      <c r="BM259" s="12"/>
      <c r="BN259" s="12"/>
      <c r="BO259" s="12"/>
      <c r="BP259" s="12"/>
      <c r="BQ259" s="12"/>
      <c r="BR259" s="12"/>
      <c r="BS259" s="12"/>
      <c r="BT259" s="12"/>
    </row>
    <row r="260" spans="1:72">
      <c r="A260" s="2" t="s">
        <v>5668</v>
      </c>
      <c r="B260" s="5" t="s">
        <v>5673</v>
      </c>
      <c r="C260" s="3" t="s">
        <v>138</v>
      </c>
      <c r="D260" s="4" t="s">
        <v>138</v>
      </c>
      <c r="E260" s="15" t="s">
        <v>1198</v>
      </c>
      <c r="F260" s="15" t="s">
        <v>138</v>
      </c>
      <c r="G260" s="15" t="s">
        <v>1200</v>
      </c>
      <c r="H260" s="7">
        <v>2</v>
      </c>
      <c r="I260" s="6" t="s">
        <v>5683</v>
      </c>
      <c r="J260" s="6" t="s">
        <v>8682</v>
      </c>
      <c r="K260" s="6" t="s">
        <v>37781</v>
      </c>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row>
    <row r="261" spans="1:72">
      <c r="A261" s="8" t="s">
        <v>5686</v>
      </c>
      <c r="B261" s="11" t="s">
        <v>5691</v>
      </c>
      <c r="C261" s="9" t="s">
        <v>138</v>
      </c>
      <c r="D261" s="10" t="s">
        <v>138</v>
      </c>
      <c r="E261" s="28" t="s">
        <v>5700</v>
      </c>
      <c r="F261" s="28" t="s">
        <v>138</v>
      </c>
      <c r="G261" s="28" t="s">
        <v>740</v>
      </c>
      <c r="H261" s="13">
        <v>1</v>
      </c>
      <c r="I261" s="12" t="s">
        <v>5703</v>
      </c>
      <c r="J261" s="12" t="s">
        <v>5703</v>
      </c>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12"/>
      <c r="BH261" s="12"/>
      <c r="BI261" s="12"/>
      <c r="BJ261" s="12"/>
      <c r="BK261" s="12"/>
      <c r="BL261" s="12"/>
      <c r="BM261" s="12"/>
      <c r="BN261" s="12"/>
      <c r="BO261" s="12"/>
      <c r="BP261" s="12"/>
      <c r="BQ261" s="12"/>
      <c r="BR261" s="12"/>
      <c r="BS261" s="12"/>
      <c r="BT261" s="12"/>
    </row>
    <row r="262" spans="1:72">
      <c r="A262" s="2" t="s">
        <v>5705</v>
      </c>
      <c r="B262" s="5" t="s">
        <v>5711</v>
      </c>
      <c r="C262" s="3" t="s">
        <v>138</v>
      </c>
      <c r="D262" s="4" t="s">
        <v>5706</v>
      </c>
      <c r="E262" s="15" t="s">
        <v>5720</v>
      </c>
      <c r="F262" s="15" t="s">
        <v>138</v>
      </c>
      <c r="G262" s="15" t="s">
        <v>946</v>
      </c>
      <c r="H262" s="7">
        <v>8</v>
      </c>
      <c r="I262" s="6" t="s">
        <v>5724</v>
      </c>
      <c r="J262" s="6" t="s">
        <v>39601</v>
      </c>
      <c r="K262" s="6" t="s">
        <v>39602</v>
      </c>
      <c r="L262" s="6" t="s">
        <v>39603</v>
      </c>
      <c r="M262" s="6" t="s">
        <v>38605</v>
      </c>
      <c r="N262" s="6" t="s">
        <v>39604</v>
      </c>
      <c r="O262" s="6" t="s">
        <v>39605</v>
      </c>
      <c r="P262" s="6" t="s">
        <v>39606</v>
      </c>
      <c r="Q262" s="6" t="s">
        <v>38363</v>
      </c>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row>
    <row r="263" spans="1:72">
      <c r="A263" s="8" t="s">
        <v>5729</v>
      </c>
      <c r="B263" s="11" t="s">
        <v>5734</v>
      </c>
      <c r="C263" s="9" t="s">
        <v>138</v>
      </c>
      <c r="D263" s="10" t="s">
        <v>138</v>
      </c>
      <c r="E263" s="28" t="s">
        <v>426</v>
      </c>
      <c r="F263" s="28" t="s">
        <v>426</v>
      </c>
      <c r="G263" s="28" t="s">
        <v>162</v>
      </c>
      <c r="H263" s="13">
        <v>2</v>
      </c>
      <c r="I263" s="12" t="s">
        <v>5742</v>
      </c>
      <c r="J263" s="12">
        <v>301</v>
      </c>
      <c r="K263" s="12" t="s">
        <v>38463</v>
      </c>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12"/>
      <c r="BH263" s="12"/>
      <c r="BI263" s="12"/>
      <c r="BJ263" s="12"/>
      <c r="BK263" s="12"/>
      <c r="BL263" s="12"/>
      <c r="BM263" s="12"/>
      <c r="BN263" s="12"/>
      <c r="BO263" s="12"/>
      <c r="BP263" s="12"/>
      <c r="BQ263" s="12"/>
      <c r="BR263" s="12"/>
      <c r="BS263" s="12"/>
      <c r="BT263" s="12"/>
    </row>
    <row r="264" spans="1:72">
      <c r="A264" s="2" t="s">
        <v>5746</v>
      </c>
      <c r="B264" s="5" t="s">
        <v>5750</v>
      </c>
      <c r="C264" s="3" t="s">
        <v>138</v>
      </c>
      <c r="D264" s="4" t="s">
        <v>138</v>
      </c>
      <c r="E264" s="15" t="s">
        <v>449</v>
      </c>
      <c r="F264" s="15" t="s">
        <v>448</v>
      </c>
      <c r="G264" s="15" t="s">
        <v>450</v>
      </c>
      <c r="H264" s="7">
        <v>6</v>
      </c>
      <c r="I264" s="6" t="s">
        <v>5758</v>
      </c>
      <c r="J264" s="6" t="s">
        <v>455</v>
      </c>
      <c r="K264" s="6" t="s">
        <v>39607</v>
      </c>
      <c r="L264" s="6" t="s">
        <v>39608</v>
      </c>
      <c r="M264" s="6" t="s">
        <v>38058</v>
      </c>
      <c r="N264" s="6" t="s">
        <v>39609</v>
      </c>
      <c r="O264" s="6" t="s">
        <v>37805</v>
      </c>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row>
    <row r="265" spans="1:72">
      <c r="A265" s="8" t="s">
        <v>5761</v>
      </c>
      <c r="B265" s="11" t="s">
        <v>5766</v>
      </c>
      <c r="C265" s="9" t="s">
        <v>5762</v>
      </c>
      <c r="D265" s="10" t="s">
        <v>138</v>
      </c>
      <c r="E265" s="28" t="s">
        <v>2391</v>
      </c>
      <c r="F265" s="28" t="s">
        <v>200</v>
      </c>
      <c r="G265" s="28" t="s">
        <v>162</v>
      </c>
      <c r="H265" s="13">
        <v>11</v>
      </c>
      <c r="I265" s="12" t="s">
        <v>5774</v>
      </c>
      <c r="J265" s="12" t="s">
        <v>39610</v>
      </c>
      <c r="K265" s="12" t="s">
        <v>38075</v>
      </c>
      <c r="L265" s="12" t="s">
        <v>39611</v>
      </c>
      <c r="M265" s="12" t="s">
        <v>39612</v>
      </c>
      <c r="N265" s="12" t="s">
        <v>39613</v>
      </c>
      <c r="O265" s="12" t="s">
        <v>39614</v>
      </c>
      <c r="P265" s="12" t="s">
        <v>39290</v>
      </c>
      <c r="Q265" s="12" t="s">
        <v>39483</v>
      </c>
      <c r="R265" s="12" t="s">
        <v>38200</v>
      </c>
      <c r="S265" s="12" t="s">
        <v>39615</v>
      </c>
      <c r="T265" s="12" t="s">
        <v>39616</v>
      </c>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2"/>
    </row>
    <row r="266" spans="1:72">
      <c r="A266" s="2" t="s">
        <v>5779</v>
      </c>
      <c r="B266" s="5" t="s">
        <v>5785</v>
      </c>
      <c r="C266" s="3" t="s">
        <v>5780</v>
      </c>
      <c r="D266" s="4" t="s">
        <v>138</v>
      </c>
      <c r="E266" s="15" t="s">
        <v>310</v>
      </c>
      <c r="F266" s="15" t="s">
        <v>200</v>
      </c>
      <c r="G266" s="15" t="s">
        <v>162</v>
      </c>
      <c r="H266" s="7">
        <v>21</v>
      </c>
      <c r="I266" s="6" t="s">
        <v>5795</v>
      </c>
      <c r="J266" s="6" t="s">
        <v>38800</v>
      </c>
      <c r="K266" s="6" t="s">
        <v>39617</v>
      </c>
      <c r="L266" s="6" t="s">
        <v>38663</v>
      </c>
      <c r="M266" s="6" t="s">
        <v>39618</v>
      </c>
      <c r="N266" s="6" t="s">
        <v>38964</v>
      </c>
      <c r="O266" s="6" t="s">
        <v>39619</v>
      </c>
      <c r="P266" s="6" t="s">
        <v>38416</v>
      </c>
      <c r="Q266" s="6" t="s">
        <v>39620</v>
      </c>
      <c r="R266" s="6" t="s">
        <v>39621</v>
      </c>
      <c r="S266" s="6" t="s">
        <v>39622</v>
      </c>
      <c r="T266" s="6" t="s">
        <v>37989</v>
      </c>
      <c r="U266" s="6" t="s">
        <v>39623</v>
      </c>
      <c r="V266" s="6" t="s">
        <v>39476</v>
      </c>
      <c r="W266" s="6" t="s">
        <v>38427</v>
      </c>
      <c r="X266" s="6" t="s">
        <v>38770</v>
      </c>
      <c r="Y266" s="6" t="s">
        <v>38656</v>
      </c>
      <c r="Z266" s="6" t="s">
        <v>39624</v>
      </c>
      <c r="AA266" s="6" t="s">
        <v>39625</v>
      </c>
      <c r="AB266" s="6" t="s">
        <v>38580</v>
      </c>
      <c r="AC266" s="6" t="s">
        <v>39626</v>
      </c>
      <c r="AD266" s="6" t="s">
        <v>39627</v>
      </c>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row>
    <row r="267" spans="1:72">
      <c r="A267" s="8" t="s">
        <v>5800</v>
      </c>
      <c r="B267" s="11" t="s">
        <v>5806</v>
      </c>
      <c r="C267" s="9" t="s">
        <v>5801</v>
      </c>
      <c r="D267" s="10" t="s">
        <v>138</v>
      </c>
      <c r="E267" s="28" t="s">
        <v>4900</v>
      </c>
      <c r="F267" s="28" t="s">
        <v>200</v>
      </c>
      <c r="G267" s="28" t="s">
        <v>162</v>
      </c>
      <c r="H267" s="13">
        <v>14</v>
      </c>
      <c r="I267" s="12" t="s">
        <v>5816</v>
      </c>
      <c r="J267" s="12" t="s">
        <v>39628</v>
      </c>
      <c r="K267" s="12" t="s">
        <v>39629</v>
      </c>
      <c r="L267" s="12" t="s">
        <v>38572</v>
      </c>
      <c r="M267" s="12" t="s">
        <v>39630</v>
      </c>
      <c r="N267" s="12" t="s">
        <v>38573</v>
      </c>
      <c r="O267" s="12" t="s">
        <v>39631</v>
      </c>
      <c r="P267" s="12" t="s">
        <v>39632</v>
      </c>
      <c r="Q267" s="12" t="s">
        <v>39633</v>
      </c>
      <c r="R267" s="12" t="s">
        <v>38319</v>
      </c>
      <c r="S267" s="12" t="s">
        <v>39634</v>
      </c>
      <c r="T267" s="12" t="s">
        <v>39635</v>
      </c>
      <c r="U267" s="12" t="s">
        <v>38579</v>
      </c>
      <c r="V267" s="12" t="s">
        <v>39636</v>
      </c>
      <c r="W267" s="12" t="s">
        <v>38832</v>
      </c>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row>
    <row r="268" spans="1:72">
      <c r="A268" s="2" t="s">
        <v>5823</v>
      </c>
      <c r="B268" s="5" t="s">
        <v>5830</v>
      </c>
      <c r="C268" s="3" t="s">
        <v>138</v>
      </c>
      <c r="D268" s="4" t="s">
        <v>5824</v>
      </c>
      <c r="E268" s="15" t="s">
        <v>3907</v>
      </c>
      <c r="F268" s="15" t="s">
        <v>2740</v>
      </c>
      <c r="G268" s="15" t="s">
        <v>2742</v>
      </c>
      <c r="H268" s="7">
        <v>3</v>
      </c>
      <c r="I268" s="6" t="s">
        <v>5841</v>
      </c>
      <c r="J268" s="6" t="s">
        <v>39637</v>
      </c>
      <c r="K268" s="6" t="s">
        <v>37781</v>
      </c>
      <c r="L268" s="6" t="s">
        <v>39638</v>
      </c>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row>
    <row r="269" spans="1:72">
      <c r="A269" s="8" t="s">
        <v>5845</v>
      </c>
      <c r="B269" s="11" t="s">
        <v>5850</v>
      </c>
      <c r="C269" s="9" t="s">
        <v>138</v>
      </c>
      <c r="D269" s="10" t="s">
        <v>138</v>
      </c>
      <c r="E269" s="28" t="s">
        <v>2651</v>
      </c>
      <c r="F269" s="28" t="s">
        <v>200</v>
      </c>
      <c r="G269" s="28" t="s">
        <v>162</v>
      </c>
      <c r="H269" s="13">
        <v>9</v>
      </c>
      <c r="I269" s="12" t="s">
        <v>5860</v>
      </c>
      <c r="J269" s="12" t="s">
        <v>39398</v>
      </c>
      <c r="K269" s="12" t="s">
        <v>39639</v>
      </c>
      <c r="L269" s="12" t="s">
        <v>39153</v>
      </c>
      <c r="M269" s="12" t="s">
        <v>39640</v>
      </c>
      <c r="N269" s="12" t="s">
        <v>38524</v>
      </c>
      <c r="O269" s="12" t="s">
        <v>37770</v>
      </c>
      <c r="P269" s="12" t="s">
        <v>39641</v>
      </c>
      <c r="Q269" s="12" t="s">
        <v>39642</v>
      </c>
      <c r="R269" s="12" t="s">
        <v>39643</v>
      </c>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12"/>
      <c r="BH269" s="12"/>
      <c r="BI269" s="12"/>
      <c r="BJ269" s="12"/>
      <c r="BK269" s="12"/>
      <c r="BL269" s="12"/>
      <c r="BM269" s="12"/>
      <c r="BN269" s="12"/>
      <c r="BO269" s="12"/>
      <c r="BP269" s="12"/>
      <c r="BQ269" s="12"/>
      <c r="BR269" s="12"/>
      <c r="BS269" s="12"/>
      <c r="BT269" s="12"/>
    </row>
    <row r="270" spans="1:72">
      <c r="A270" s="2" t="s">
        <v>5863</v>
      </c>
      <c r="B270" s="5" t="s">
        <v>5868</v>
      </c>
      <c r="C270" s="3" t="s">
        <v>138</v>
      </c>
      <c r="D270" s="4" t="s">
        <v>5864</v>
      </c>
      <c r="E270" s="15" t="s">
        <v>426</v>
      </c>
      <c r="F270" s="15" t="s">
        <v>426</v>
      </c>
      <c r="G270" s="15" t="s">
        <v>162</v>
      </c>
      <c r="H270" s="7">
        <v>6</v>
      </c>
      <c r="I270" s="6" t="s">
        <v>5876</v>
      </c>
      <c r="J270" s="6" t="s">
        <v>39644</v>
      </c>
      <c r="K270" s="6" t="s">
        <v>39645</v>
      </c>
      <c r="L270" s="6" t="s">
        <v>38113</v>
      </c>
      <c r="M270" s="6" t="s">
        <v>38182</v>
      </c>
      <c r="N270" s="6" t="s">
        <v>39646</v>
      </c>
      <c r="O270" s="6" t="s">
        <v>39647</v>
      </c>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row>
    <row r="271" spans="1:72">
      <c r="A271" s="8" t="s">
        <v>5880</v>
      </c>
      <c r="B271" s="11" t="s">
        <v>5885</v>
      </c>
      <c r="C271" s="9" t="s">
        <v>138</v>
      </c>
      <c r="D271" s="10" t="s">
        <v>5881</v>
      </c>
      <c r="E271" s="28" t="s">
        <v>5338</v>
      </c>
      <c r="F271" s="28" t="s">
        <v>200</v>
      </c>
      <c r="G271" s="28" t="s">
        <v>162</v>
      </c>
      <c r="H271" s="13">
        <v>5</v>
      </c>
      <c r="I271" s="12" t="s">
        <v>5895</v>
      </c>
      <c r="J271" s="12" t="s">
        <v>39648</v>
      </c>
      <c r="K271" s="12" t="s">
        <v>37787</v>
      </c>
      <c r="L271" s="12" t="s">
        <v>39649</v>
      </c>
      <c r="M271" s="12" t="s">
        <v>38495</v>
      </c>
      <c r="N271" s="12" t="s">
        <v>37788</v>
      </c>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12"/>
      <c r="BH271" s="12"/>
      <c r="BI271" s="12"/>
      <c r="BJ271" s="12"/>
      <c r="BK271" s="12"/>
      <c r="BL271" s="12"/>
      <c r="BM271" s="12"/>
      <c r="BN271" s="12"/>
      <c r="BO271" s="12"/>
      <c r="BP271" s="12"/>
      <c r="BQ271" s="12"/>
      <c r="BR271" s="12"/>
      <c r="BS271" s="12"/>
      <c r="BT271" s="12"/>
    </row>
    <row r="272" spans="1:72">
      <c r="A272" s="2" t="s">
        <v>5898</v>
      </c>
      <c r="B272" s="5" t="s">
        <v>5905</v>
      </c>
      <c r="C272" s="3" t="s">
        <v>138</v>
      </c>
      <c r="D272" s="4" t="s">
        <v>5899</v>
      </c>
      <c r="E272" s="15" t="s">
        <v>1171</v>
      </c>
      <c r="F272" s="15" t="s">
        <v>200</v>
      </c>
      <c r="G272" s="15" t="s">
        <v>162</v>
      </c>
      <c r="H272" s="7">
        <v>2</v>
      </c>
      <c r="I272" s="6" t="s">
        <v>5917</v>
      </c>
      <c r="J272" s="6" t="s">
        <v>39650</v>
      </c>
      <c r="K272" s="6" t="s">
        <v>39651</v>
      </c>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row>
    <row r="273" spans="1:72">
      <c r="A273" s="8" t="s">
        <v>5924</v>
      </c>
      <c r="B273" s="11" t="s">
        <v>5929</v>
      </c>
      <c r="C273" s="9" t="s">
        <v>138</v>
      </c>
      <c r="D273" s="10" t="s">
        <v>138</v>
      </c>
      <c r="E273" s="28" t="s">
        <v>1171</v>
      </c>
      <c r="F273" s="28" t="s">
        <v>200</v>
      </c>
      <c r="G273" s="28" t="s">
        <v>162</v>
      </c>
      <c r="H273" s="13">
        <v>7</v>
      </c>
      <c r="I273" s="12" t="s">
        <v>5938</v>
      </c>
      <c r="J273" s="12" t="s">
        <v>39652</v>
      </c>
      <c r="K273" s="12" t="s">
        <v>39653</v>
      </c>
      <c r="L273" s="12" t="s">
        <v>39654</v>
      </c>
      <c r="M273" s="12" t="s">
        <v>38203</v>
      </c>
      <c r="N273" s="12" t="s">
        <v>37788</v>
      </c>
      <c r="O273" s="12" t="s">
        <v>39655</v>
      </c>
      <c r="P273" s="12" t="s">
        <v>39656</v>
      </c>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row>
    <row r="274" spans="1:72">
      <c r="A274" s="2" t="s">
        <v>5942</v>
      </c>
      <c r="B274" s="5" t="s">
        <v>5947</v>
      </c>
      <c r="C274" s="3" t="s">
        <v>138</v>
      </c>
      <c r="D274" s="4" t="s">
        <v>138</v>
      </c>
      <c r="E274" s="15" t="s">
        <v>338</v>
      </c>
      <c r="F274" s="15" t="s">
        <v>339</v>
      </c>
      <c r="G274" s="15" t="s">
        <v>162</v>
      </c>
      <c r="H274" s="7">
        <v>10</v>
      </c>
      <c r="I274" s="6" t="s">
        <v>5957</v>
      </c>
      <c r="J274" s="6" t="s">
        <v>39657</v>
      </c>
      <c r="K274" s="6" t="s">
        <v>39159</v>
      </c>
      <c r="L274" s="6" t="s">
        <v>37816</v>
      </c>
      <c r="M274" s="6" t="s">
        <v>38299</v>
      </c>
      <c r="N274" s="6" t="s">
        <v>39658</v>
      </c>
      <c r="O274" s="6" t="s">
        <v>37824</v>
      </c>
      <c r="P274" s="6" t="s">
        <v>38948</v>
      </c>
      <c r="Q274" s="6" t="s">
        <v>37915</v>
      </c>
      <c r="R274" s="6" t="s">
        <v>37830</v>
      </c>
      <c r="S274" s="6" t="s">
        <v>39659</v>
      </c>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row>
    <row r="275" spans="1:72">
      <c r="A275" s="8" t="s">
        <v>5962</v>
      </c>
      <c r="B275" s="11" t="s">
        <v>5967</v>
      </c>
      <c r="C275" s="9" t="s">
        <v>138</v>
      </c>
      <c r="D275" s="10" t="s">
        <v>138</v>
      </c>
      <c r="E275" s="28" t="s">
        <v>668</v>
      </c>
      <c r="F275" s="28" t="s">
        <v>200</v>
      </c>
      <c r="G275" s="28" t="s">
        <v>162</v>
      </c>
      <c r="H275" s="13">
        <v>9</v>
      </c>
      <c r="I275" s="12" t="s">
        <v>5977</v>
      </c>
      <c r="J275" s="12" t="s">
        <v>39660</v>
      </c>
      <c r="K275" s="12" t="s">
        <v>38803</v>
      </c>
      <c r="L275" s="12" t="s">
        <v>37786</v>
      </c>
      <c r="M275" s="12" t="s">
        <v>39661</v>
      </c>
      <c r="N275" s="12" t="s">
        <v>37781</v>
      </c>
      <c r="O275" s="12" t="s">
        <v>37805</v>
      </c>
      <c r="P275" s="12" t="s">
        <v>38813</v>
      </c>
      <c r="Q275" s="12" t="s">
        <v>39662</v>
      </c>
      <c r="R275" s="12" t="s">
        <v>38004</v>
      </c>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row>
    <row r="276" spans="1:72">
      <c r="A276" s="2" t="s">
        <v>5982</v>
      </c>
      <c r="B276" s="5" t="s">
        <v>5988</v>
      </c>
      <c r="C276" s="3" t="s">
        <v>138</v>
      </c>
      <c r="D276" s="4" t="s">
        <v>5983</v>
      </c>
      <c r="E276" s="15" t="s">
        <v>5995</v>
      </c>
      <c r="F276" s="15" t="s">
        <v>200</v>
      </c>
      <c r="G276" s="15" t="s">
        <v>162</v>
      </c>
      <c r="H276" s="7">
        <v>3</v>
      </c>
      <c r="I276" s="6" t="s">
        <v>5999</v>
      </c>
      <c r="J276" s="6" t="s">
        <v>39663</v>
      </c>
      <c r="K276" s="6" t="s">
        <v>39435</v>
      </c>
      <c r="L276" s="6" t="s">
        <v>39664</v>
      </c>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row>
    <row r="277" spans="1:72">
      <c r="A277" s="8" t="s">
        <v>6002</v>
      </c>
      <c r="B277" s="11" t="s">
        <v>6008</v>
      </c>
      <c r="C277" s="9" t="s">
        <v>6003</v>
      </c>
      <c r="D277" s="10" t="s">
        <v>138</v>
      </c>
      <c r="E277" s="28" t="s">
        <v>6017</v>
      </c>
      <c r="F277" s="28" t="s">
        <v>6018</v>
      </c>
      <c r="G277" s="28" t="s">
        <v>946</v>
      </c>
      <c r="H277" s="13">
        <v>2</v>
      </c>
      <c r="I277" s="12" t="s">
        <v>6023</v>
      </c>
      <c r="J277" s="12" t="s">
        <v>39665</v>
      </c>
      <c r="K277" s="12" t="s">
        <v>37839</v>
      </c>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12"/>
      <c r="BH277" s="12"/>
      <c r="BI277" s="12"/>
      <c r="BJ277" s="12"/>
      <c r="BK277" s="12"/>
      <c r="BL277" s="12"/>
      <c r="BM277" s="12"/>
      <c r="BN277" s="12"/>
      <c r="BO277" s="12"/>
      <c r="BP277" s="12"/>
      <c r="BQ277" s="12"/>
      <c r="BR277" s="12"/>
      <c r="BS277" s="12"/>
      <c r="BT277" s="12"/>
    </row>
    <row r="278" spans="1:72">
      <c r="A278" s="2" t="s">
        <v>6027</v>
      </c>
      <c r="B278" s="5" t="s">
        <v>6033</v>
      </c>
      <c r="C278" s="3" t="s">
        <v>138</v>
      </c>
      <c r="D278" s="4" t="s">
        <v>138</v>
      </c>
      <c r="E278" s="15" t="s">
        <v>6041</v>
      </c>
      <c r="F278" s="15" t="s">
        <v>200</v>
      </c>
      <c r="G278" s="15" t="s">
        <v>162</v>
      </c>
      <c r="H278" s="7">
        <v>24</v>
      </c>
      <c r="I278" s="6" t="s">
        <v>6045</v>
      </c>
      <c r="J278" s="6" t="s">
        <v>39666</v>
      </c>
      <c r="K278" s="6" t="s">
        <v>39667</v>
      </c>
      <c r="L278" s="6" t="s">
        <v>39668</v>
      </c>
      <c r="M278" s="6" t="s">
        <v>39669</v>
      </c>
      <c r="N278" s="6" t="s">
        <v>39670</v>
      </c>
      <c r="O278" s="6" t="s">
        <v>39671</v>
      </c>
      <c r="P278" s="6" t="s">
        <v>39672</v>
      </c>
      <c r="Q278" s="6" t="s">
        <v>37774</v>
      </c>
      <c r="R278" s="6" t="s">
        <v>39673</v>
      </c>
      <c r="S278" s="6" t="s">
        <v>39674</v>
      </c>
      <c r="T278" s="6" t="s">
        <v>39675</v>
      </c>
      <c r="U278" s="6" t="s">
        <v>39676</v>
      </c>
      <c r="V278" s="6" t="s">
        <v>39677</v>
      </c>
      <c r="W278" s="6" t="s">
        <v>39678</v>
      </c>
      <c r="X278" s="6" t="s">
        <v>39679</v>
      </c>
      <c r="Y278" s="6" t="s">
        <v>39680</v>
      </c>
      <c r="Z278" s="6" t="s">
        <v>39681</v>
      </c>
      <c r="AA278" s="6" t="s">
        <v>37770</v>
      </c>
      <c r="AB278" s="6" t="s">
        <v>39682</v>
      </c>
      <c r="AC278" s="6" t="s">
        <v>39683</v>
      </c>
      <c r="AD278" s="6" t="s">
        <v>39684</v>
      </c>
      <c r="AE278" s="6" t="s">
        <v>39685</v>
      </c>
      <c r="AF278" s="6" t="s">
        <v>38401</v>
      </c>
      <c r="AG278" s="6" t="s">
        <v>39686</v>
      </c>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row>
    <row r="279" spans="1:72">
      <c r="A279" s="8" t="s">
        <v>6048</v>
      </c>
      <c r="B279" s="11" t="s">
        <v>6054</v>
      </c>
      <c r="C279" s="9" t="s">
        <v>138</v>
      </c>
      <c r="D279" s="10" t="s">
        <v>138</v>
      </c>
      <c r="E279" s="28" t="s">
        <v>966</v>
      </c>
      <c r="F279" s="28" t="s">
        <v>200</v>
      </c>
      <c r="G279" s="28" t="s">
        <v>162</v>
      </c>
      <c r="H279" s="13">
        <v>23</v>
      </c>
      <c r="I279" s="12" t="s">
        <v>6061</v>
      </c>
      <c r="J279" s="12" t="s">
        <v>5796</v>
      </c>
      <c r="K279" s="12" t="s">
        <v>38958</v>
      </c>
      <c r="L279" s="12" t="s">
        <v>39687</v>
      </c>
      <c r="M279" s="12" t="s">
        <v>39688</v>
      </c>
      <c r="N279" s="12" t="s">
        <v>39621</v>
      </c>
      <c r="O279" s="12" t="s">
        <v>39437</v>
      </c>
      <c r="P279" s="12" t="s">
        <v>39689</v>
      </c>
      <c r="Q279" s="12" t="s">
        <v>38078</v>
      </c>
      <c r="R279" s="12" t="s">
        <v>38427</v>
      </c>
      <c r="S279" s="12" t="s">
        <v>39690</v>
      </c>
      <c r="T279" s="12" t="s">
        <v>39691</v>
      </c>
      <c r="U279" s="12" t="s">
        <v>39692</v>
      </c>
      <c r="V279" s="12" t="s">
        <v>39521</v>
      </c>
      <c r="W279" s="12" t="s">
        <v>39693</v>
      </c>
      <c r="X279" s="12" t="s">
        <v>39694</v>
      </c>
      <c r="Y279" s="12" t="s">
        <v>39624</v>
      </c>
      <c r="Z279" s="12" t="s">
        <v>39695</v>
      </c>
      <c r="AA279" s="12" t="s">
        <v>37973</v>
      </c>
      <c r="AB279" s="12" t="s">
        <v>39696</v>
      </c>
      <c r="AC279" s="12" t="s">
        <v>39697</v>
      </c>
      <c r="AD279" s="12" t="s">
        <v>39698</v>
      </c>
      <c r="AE279" s="12" t="s">
        <v>38337</v>
      </c>
      <c r="AF279" s="12" t="s">
        <v>37976</v>
      </c>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12"/>
      <c r="BH279" s="12"/>
      <c r="BI279" s="12"/>
      <c r="BJ279" s="12"/>
      <c r="BK279" s="12"/>
      <c r="BL279" s="12"/>
      <c r="BM279" s="12"/>
      <c r="BN279" s="12"/>
      <c r="BO279" s="12"/>
      <c r="BP279" s="12"/>
      <c r="BQ279" s="12"/>
      <c r="BR279" s="12"/>
      <c r="BS279" s="12"/>
      <c r="BT279" s="12"/>
    </row>
    <row r="280" spans="1:72">
      <c r="A280" s="2" t="s">
        <v>6065</v>
      </c>
      <c r="B280" s="5" t="s">
        <v>6070</v>
      </c>
      <c r="C280" s="3" t="s">
        <v>138</v>
      </c>
      <c r="D280" s="4" t="s">
        <v>138</v>
      </c>
      <c r="E280" s="15" t="s">
        <v>6079</v>
      </c>
      <c r="F280" s="15" t="s">
        <v>200</v>
      </c>
      <c r="G280" s="15" t="s">
        <v>162</v>
      </c>
      <c r="H280" s="7">
        <v>1</v>
      </c>
      <c r="I280" s="6" t="s">
        <v>6083</v>
      </c>
      <c r="J280" s="6" t="s">
        <v>6083</v>
      </c>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row>
    <row r="281" spans="1:72">
      <c r="A281" s="8" t="s">
        <v>6085</v>
      </c>
      <c r="B281" s="11" t="s">
        <v>6089</v>
      </c>
      <c r="C281" s="9" t="s">
        <v>138</v>
      </c>
      <c r="D281" s="10" t="s">
        <v>138</v>
      </c>
      <c r="E281" s="28" t="s">
        <v>6098</v>
      </c>
      <c r="F281" s="28" t="s">
        <v>6099</v>
      </c>
      <c r="G281" s="28" t="s">
        <v>2071</v>
      </c>
      <c r="H281" s="13">
        <v>3</v>
      </c>
      <c r="I281" s="12" t="s">
        <v>6103</v>
      </c>
      <c r="J281" s="12" t="s">
        <v>39699</v>
      </c>
      <c r="K281" s="12" t="s">
        <v>39700</v>
      </c>
      <c r="L281" s="12" t="s">
        <v>38200</v>
      </c>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12"/>
      <c r="BH281" s="12"/>
      <c r="BI281" s="12"/>
      <c r="BJ281" s="12"/>
      <c r="BK281" s="12"/>
      <c r="BL281" s="12"/>
      <c r="BM281" s="12"/>
      <c r="BN281" s="12"/>
      <c r="BO281" s="12"/>
      <c r="BP281" s="12"/>
      <c r="BQ281" s="12"/>
      <c r="BR281" s="12"/>
      <c r="BS281" s="12"/>
      <c r="BT281" s="12"/>
    </row>
    <row r="282" spans="1:72">
      <c r="A282" s="2" t="s">
        <v>6106</v>
      </c>
      <c r="B282" s="5" t="s">
        <v>6113</v>
      </c>
      <c r="C282" s="3" t="s">
        <v>138</v>
      </c>
      <c r="D282" s="4" t="s">
        <v>6107</v>
      </c>
      <c r="E282" s="15" t="s">
        <v>6121</v>
      </c>
      <c r="F282" s="15" t="s">
        <v>3883</v>
      </c>
      <c r="G282" s="15" t="s">
        <v>162</v>
      </c>
      <c r="H282" s="7">
        <v>17</v>
      </c>
      <c r="I282" s="6" t="s">
        <v>6125</v>
      </c>
      <c r="J282" s="6" t="s">
        <v>38008</v>
      </c>
      <c r="K282" s="6" t="s">
        <v>39701</v>
      </c>
      <c r="L282" s="6" t="s">
        <v>39702</v>
      </c>
      <c r="M282" s="6" t="s">
        <v>39703</v>
      </c>
      <c r="N282" s="6" t="s">
        <v>39704</v>
      </c>
      <c r="O282" s="6" t="s">
        <v>39705</v>
      </c>
      <c r="P282" s="6" t="s">
        <v>39706</v>
      </c>
      <c r="Q282" s="6" t="s">
        <v>39707</v>
      </c>
      <c r="R282" s="6" t="s">
        <v>39708</v>
      </c>
      <c r="S282" s="6" t="s">
        <v>39709</v>
      </c>
      <c r="T282" s="6" t="s">
        <v>38641</v>
      </c>
      <c r="U282" s="6" t="s">
        <v>39710</v>
      </c>
      <c r="V282" s="6" t="s">
        <v>38322</v>
      </c>
      <c r="W282" s="6" t="s">
        <v>39711</v>
      </c>
      <c r="X282" s="6" t="s">
        <v>39712</v>
      </c>
      <c r="Y282" s="6" t="s">
        <v>39713</v>
      </c>
      <c r="Z282" s="6" t="s">
        <v>38145</v>
      </c>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row>
    <row r="283" spans="1:72">
      <c r="A283" s="8" t="s">
        <v>6129</v>
      </c>
      <c r="B283" s="11" t="s">
        <v>6134</v>
      </c>
      <c r="C283" s="9" t="s">
        <v>138</v>
      </c>
      <c r="D283" s="10" t="s">
        <v>6130</v>
      </c>
      <c r="E283" s="28" t="s">
        <v>426</v>
      </c>
      <c r="F283" s="28" t="s">
        <v>426</v>
      </c>
      <c r="G283" s="28" t="s">
        <v>162</v>
      </c>
      <c r="H283" s="13">
        <v>11</v>
      </c>
      <c r="I283" s="12" t="s">
        <v>6143</v>
      </c>
      <c r="J283" s="12" t="s">
        <v>37785</v>
      </c>
      <c r="K283" s="12" t="s">
        <v>39273</v>
      </c>
      <c r="L283" s="12" t="s">
        <v>37794</v>
      </c>
      <c r="M283" s="12" t="s">
        <v>39687</v>
      </c>
      <c r="N283" s="12" t="s">
        <v>39387</v>
      </c>
      <c r="O283" s="12" t="s">
        <v>39714</v>
      </c>
      <c r="P283" s="12" t="s">
        <v>39715</v>
      </c>
      <c r="Q283" s="12" t="s">
        <v>37786</v>
      </c>
      <c r="R283" s="12" t="s">
        <v>39716</v>
      </c>
      <c r="S283" s="12" t="s">
        <v>39717</v>
      </c>
      <c r="T283" s="12" t="s">
        <v>39280</v>
      </c>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12"/>
      <c r="BH283" s="12"/>
      <c r="BI283" s="12"/>
      <c r="BJ283" s="12"/>
      <c r="BK283" s="12"/>
      <c r="BL283" s="12"/>
      <c r="BM283" s="12"/>
      <c r="BN283" s="12"/>
      <c r="BO283" s="12"/>
      <c r="BP283" s="12"/>
      <c r="BQ283" s="12"/>
      <c r="BR283" s="12"/>
      <c r="BS283" s="12"/>
      <c r="BT283" s="12"/>
    </row>
    <row r="284" spans="1:72">
      <c r="A284" s="2" t="s">
        <v>6146</v>
      </c>
      <c r="B284" s="5" t="s">
        <v>6152</v>
      </c>
      <c r="C284" s="3" t="s">
        <v>138</v>
      </c>
      <c r="D284" s="4" t="s">
        <v>138</v>
      </c>
      <c r="E284" s="15" t="s">
        <v>823</v>
      </c>
      <c r="F284" s="15" t="s">
        <v>824</v>
      </c>
      <c r="G284" s="15" t="s">
        <v>526</v>
      </c>
      <c r="H284" s="7">
        <v>13</v>
      </c>
      <c r="I284" s="6" t="s">
        <v>6162</v>
      </c>
      <c r="J284" s="6" t="s">
        <v>39718</v>
      </c>
      <c r="K284" s="6" t="s">
        <v>39719</v>
      </c>
      <c r="L284" s="6" t="s">
        <v>39720</v>
      </c>
      <c r="M284" s="6" t="s">
        <v>39721</v>
      </c>
      <c r="N284" s="6" t="s">
        <v>39722</v>
      </c>
      <c r="O284" s="6" t="s">
        <v>38057</v>
      </c>
      <c r="P284" s="6" t="s">
        <v>39723</v>
      </c>
      <c r="Q284" s="6" t="s">
        <v>39724</v>
      </c>
      <c r="R284" s="6" t="s">
        <v>39725</v>
      </c>
      <c r="S284" s="6" t="s">
        <v>39726</v>
      </c>
      <c r="T284" s="6" t="s">
        <v>39727</v>
      </c>
      <c r="U284" s="6" t="s">
        <v>39728</v>
      </c>
      <c r="V284" s="6" t="s">
        <v>39729</v>
      </c>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row>
    <row r="285" spans="1:72">
      <c r="A285" s="8" t="s">
        <v>6165</v>
      </c>
      <c r="B285" s="11" t="s">
        <v>6168</v>
      </c>
      <c r="C285" s="9" t="s">
        <v>138</v>
      </c>
      <c r="D285" s="10" t="s">
        <v>138</v>
      </c>
      <c r="E285" s="28" t="s">
        <v>6174</v>
      </c>
      <c r="F285" s="28" t="s">
        <v>2031</v>
      </c>
      <c r="G285" s="28" t="s">
        <v>162</v>
      </c>
      <c r="H285" s="13">
        <v>2</v>
      </c>
      <c r="I285" s="12" t="s">
        <v>6177</v>
      </c>
      <c r="J285" s="12" t="s">
        <v>6235</v>
      </c>
      <c r="K285" s="12" t="s">
        <v>39730</v>
      </c>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row>
    <row r="286" spans="1:72">
      <c r="A286" s="2" t="s">
        <v>6181</v>
      </c>
      <c r="B286" s="5" t="s">
        <v>6185</v>
      </c>
      <c r="C286" s="3" t="s">
        <v>138</v>
      </c>
      <c r="D286" s="4" t="s">
        <v>138</v>
      </c>
      <c r="E286" s="15" t="s">
        <v>6194</v>
      </c>
      <c r="F286" s="15" t="s">
        <v>200</v>
      </c>
      <c r="G286" s="15" t="s">
        <v>162</v>
      </c>
      <c r="H286" s="7">
        <v>10</v>
      </c>
      <c r="I286" s="6" t="s">
        <v>6198</v>
      </c>
      <c r="J286" s="6" t="s">
        <v>13176</v>
      </c>
      <c r="K286" s="6" t="s">
        <v>38231</v>
      </c>
      <c r="L286" s="6" t="s">
        <v>37774</v>
      </c>
      <c r="M286" s="6" t="s">
        <v>39731</v>
      </c>
      <c r="N286" s="6" t="s">
        <v>39732</v>
      </c>
      <c r="O286" s="6" t="s">
        <v>39733</v>
      </c>
      <c r="P286" s="6" t="s">
        <v>39734</v>
      </c>
      <c r="Q286" s="6" t="s">
        <v>38647</v>
      </c>
      <c r="R286" s="6" t="s">
        <v>39086</v>
      </c>
      <c r="S286" s="6" t="s">
        <v>39735</v>
      </c>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row>
    <row r="287" spans="1:72">
      <c r="A287" s="8" t="s">
        <v>6201</v>
      </c>
      <c r="B287" s="11" t="s">
        <v>6205</v>
      </c>
      <c r="C287" s="9" t="s">
        <v>138</v>
      </c>
      <c r="D287" s="10" t="s">
        <v>138</v>
      </c>
      <c r="E287" s="28" t="s">
        <v>1171</v>
      </c>
      <c r="F287" s="28" t="s">
        <v>200</v>
      </c>
      <c r="G287" s="28" t="s">
        <v>162</v>
      </c>
      <c r="H287" s="13">
        <v>19</v>
      </c>
      <c r="I287" s="12" t="s">
        <v>6215</v>
      </c>
      <c r="J287" s="12" t="s">
        <v>39736</v>
      </c>
      <c r="K287" s="12" t="s">
        <v>39468</v>
      </c>
      <c r="L287" s="12" t="s">
        <v>37979</v>
      </c>
      <c r="M287" s="12" t="s">
        <v>39737</v>
      </c>
      <c r="N287" s="12" t="s">
        <v>37851</v>
      </c>
      <c r="O287" s="12" t="s">
        <v>39738</v>
      </c>
      <c r="P287" s="12" t="s">
        <v>38182</v>
      </c>
      <c r="Q287" s="12" t="s">
        <v>39739</v>
      </c>
      <c r="R287" s="12" t="s">
        <v>39740</v>
      </c>
      <c r="S287" s="12" t="s">
        <v>39741</v>
      </c>
      <c r="T287" s="12" t="s">
        <v>39742</v>
      </c>
      <c r="U287" s="12" t="s">
        <v>39743</v>
      </c>
      <c r="V287" s="12" t="s">
        <v>37804</v>
      </c>
      <c r="W287" s="12" t="s">
        <v>39744</v>
      </c>
      <c r="X287" s="12" t="s">
        <v>39745</v>
      </c>
      <c r="Y287" s="12" t="s">
        <v>39746</v>
      </c>
      <c r="Z287" s="12" t="s">
        <v>39335</v>
      </c>
      <c r="AA287" s="12" t="s">
        <v>38145</v>
      </c>
      <c r="AB287" s="12" t="s">
        <v>39747</v>
      </c>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row>
    <row r="288" spans="1:72">
      <c r="A288" s="2" t="s">
        <v>6219</v>
      </c>
      <c r="B288" s="5" t="s">
        <v>6226</v>
      </c>
      <c r="C288" s="3" t="s">
        <v>6220</v>
      </c>
      <c r="D288" s="4" t="s">
        <v>138</v>
      </c>
      <c r="E288" s="15" t="s">
        <v>6232</v>
      </c>
      <c r="F288" s="15" t="s">
        <v>371</v>
      </c>
      <c r="G288" s="15" t="s">
        <v>162</v>
      </c>
      <c r="H288" s="7">
        <v>1</v>
      </c>
      <c r="I288" s="6" t="s">
        <v>6235</v>
      </c>
      <c r="J288" s="6" t="s">
        <v>6235</v>
      </c>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row>
    <row r="289" spans="1:72">
      <c r="A289" s="8" t="s">
        <v>6239</v>
      </c>
      <c r="B289" s="11" t="s">
        <v>6244</v>
      </c>
      <c r="C289" s="9" t="s">
        <v>138</v>
      </c>
      <c r="D289" s="10" t="s">
        <v>138</v>
      </c>
      <c r="E289" s="28" t="s">
        <v>966</v>
      </c>
      <c r="F289" s="28" t="s">
        <v>200</v>
      </c>
      <c r="G289" s="28" t="s">
        <v>162</v>
      </c>
      <c r="H289" s="13">
        <v>11</v>
      </c>
      <c r="I289" s="12" t="s">
        <v>6251</v>
      </c>
      <c r="J289" s="12" t="s">
        <v>39059</v>
      </c>
      <c r="K289" s="12" t="s">
        <v>39748</v>
      </c>
      <c r="L289" s="12" t="s">
        <v>39749</v>
      </c>
      <c r="M289" s="12" t="s">
        <v>39750</v>
      </c>
      <c r="N289" s="12" t="s">
        <v>39751</v>
      </c>
      <c r="O289" s="12" t="s">
        <v>39738</v>
      </c>
      <c r="P289" s="12" t="s">
        <v>37804</v>
      </c>
      <c r="Q289" s="12" t="s">
        <v>39752</v>
      </c>
      <c r="R289" s="12" t="s">
        <v>39753</v>
      </c>
      <c r="S289" s="12" t="s">
        <v>38145</v>
      </c>
      <c r="T289" s="12" t="s">
        <v>39754</v>
      </c>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12"/>
      <c r="BH289" s="12"/>
      <c r="BI289" s="12"/>
      <c r="BJ289" s="12"/>
      <c r="BK289" s="12"/>
      <c r="BL289" s="12"/>
      <c r="BM289" s="12"/>
      <c r="BN289" s="12"/>
      <c r="BO289" s="12"/>
      <c r="BP289" s="12"/>
      <c r="BQ289" s="12"/>
      <c r="BR289" s="12"/>
      <c r="BS289" s="12"/>
      <c r="BT289" s="12"/>
    </row>
    <row r="290" spans="1:72">
      <c r="A290" s="2" t="s">
        <v>6254</v>
      </c>
      <c r="B290" s="5" t="s">
        <v>6257</v>
      </c>
      <c r="C290" s="3" t="s">
        <v>138</v>
      </c>
      <c r="D290" s="4" t="s">
        <v>138</v>
      </c>
      <c r="E290" s="15" t="s">
        <v>6262</v>
      </c>
      <c r="F290" s="15" t="s">
        <v>200</v>
      </c>
      <c r="G290" s="15" t="s">
        <v>162</v>
      </c>
      <c r="H290" s="7">
        <v>1</v>
      </c>
      <c r="I290" s="6" t="s">
        <v>6235</v>
      </c>
      <c r="J290" s="6" t="s">
        <v>6235</v>
      </c>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row>
    <row r="291" spans="1:72">
      <c r="A291" s="8" t="s">
        <v>6266</v>
      </c>
      <c r="B291" s="11" t="s">
        <v>6271</v>
      </c>
      <c r="C291" s="9" t="s">
        <v>138</v>
      </c>
      <c r="D291" s="10" t="s">
        <v>138</v>
      </c>
      <c r="E291" s="28" t="s">
        <v>668</v>
      </c>
      <c r="F291" s="28" t="s">
        <v>200</v>
      </c>
      <c r="G291" s="28" t="s">
        <v>162</v>
      </c>
      <c r="H291" s="13">
        <v>19</v>
      </c>
      <c r="I291" s="12" t="s">
        <v>6281</v>
      </c>
      <c r="J291" s="12" t="s">
        <v>38353</v>
      </c>
      <c r="K291" s="12" t="s">
        <v>39755</v>
      </c>
      <c r="L291" s="12" t="s">
        <v>39756</v>
      </c>
      <c r="M291" s="12" t="s">
        <v>39757</v>
      </c>
      <c r="N291" s="12" t="s">
        <v>38354</v>
      </c>
      <c r="O291" s="12" t="s">
        <v>39758</v>
      </c>
      <c r="P291" s="12" t="s">
        <v>37819</v>
      </c>
      <c r="Q291" s="12" t="s">
        <v>39228</v>
      </c>
      <c r="R291" s="12" t="s">
        <v>38636</v>
      </c>
      <c r="S291" s="12" t="s">
        <v>37947</v>
      </c>
      <c r="T291" s="12" t="s">
        <v>39759</v>
      </c>
      <c r="U291" s="12" t="s">
        <v>39760</v>
      </c>
      <c r="V291" s="12" t="s">
        <v>39761</v>
      </c>
      <c r="W291" s="12" t="s">
        <v>39762</v>
      </c>
      <c r="X291" s="12" t="s">
        <v>39763</v>
      </c>
      <c r="Y291" s="12" t="s">
        <v>38560</v>
      </c>
      <c r="Z291" s="12" t="s">
        <v>39764</v>
      </c>
      <c r="AA291" s="12" t="s">
        <v>39765</v>
      </c>
      <c r="AB291" s="12" t="s">
        <v>37976</v>
      </c>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2"/>
    </row>
    <row r="292" spans="1:72">
      <c r="A292" s="2" t="s">
        <v>6285</v>
      </c>
      <c r="B292" s="5" t="s">
        <v>6290</v>
      </c>
      <c r="C292" s="3" t="s">
        <v>138</v>
      </c>
      <c r="D292" s="4" t="s">
        <v>6286</v>
      </c>
      <c r="E292" s="15" t="s">
        <v>6299</v>
      </c>
      <c r="F292" s="15" t="s">
        <v>339</v>
      </c>
      <c r="G292" s="15" t="s">
        <v>162</v>
      </c>
      <c r="H292" s="7">
        <v>4</v>
      </c>
      <c r="I292" s="6" t="s">
        <v>6303</v>
      </c>
      <c r="J292" s="6" t="s">
        <v>39766</v>
      </c>
      <c r="K292" s="6" t="s">
        <v>37953</v>
      </c>
      <c r="L292" s="6" t="s">
        <v>39767</v>
      </c>
      <c r="M292" s="6" t="s">
        <v>37781</v>
      </c>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row>
    <row r="293" spans="1:72">
      <c r="A293" s="8" t="s">
        <v>6306</v>
      </c>
      <c r="B293" s="11" t="s">
        <v>6310</v>
      </c>
      <c r="C293" s="9" t="s">
        <v>138</v>
      </c>
      <c r="D293" s="10" t="s">
        <v>6307</v>
      </c>
      <c r="E293" s="28" t="s">
        <v>1872</v>
      </c>
      <c r="F293" s="28" t="s">
        <v>200</v>
      </c>
      <c r="G293" s="28" t="s">
        <v>162</v>
      </c>
      <c r="H293" s="13">
        <v>7</v>
      </c>
      <c r="I293" s="12" t="s">
        <v>6321</v>
      </c>
      <c r="J293" s="12" t="s">
        <v>39768</v>
      </c>
      <c r="K293" s="12" t="s">
        <v>38569</v>
      </c>
      <c r="L293" s="12" t="s">
        <v>39769</v>
      </c>
      <c r="M293" s="12" t="s">
        <v>39770</v>
      </c>
      <c r="N293" s="12" t="s">
        <v>37786</v>
      </c>
      <c r="O293" s="12" t="s">
        <v>38322</v>
      </c>
      <c r="P293" s="12" t="s">
        <v>39771</v>
      </c>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2"/>
    </row>
    <row r="294" spans="1:72">
      <c r="A294" s="2" t="s">
        <v>6324</v>
      </c>
      <c r="B294" s="5" t="s">
        <v>6327</v>
      </c>
      <c r="C294" s="3" t="s">
        <v>138</v>
      </c>
      <c r="D294" s="4" t="s">
        <v>138</v>
      </c>
      <c r="E294" s="15" t="s">
        <v>499</v>
      </c>
      <c r="F294" s="15" t="s">
        <v>138</v>
      </c>
      <c r="G294" s="15" t="s">
        <v>450</v>
      </c>
      <c r="H294" s="7">
        <v>10</v>
      </c>
      <c r="I294" s="6" t="s">
        <v>6334</v>
      </c>
      <c r="J294" s="6" t="s">
        <v>39772</v>
      </c>
      <c r="K294" s="6" t="s">
        <v>38414</v>
      </c>
      <c r="L294" s="6" t="s">
        <v>39773</v>
      </c>
      <c r="M294" s="6" t="s">
        <v>39774</v>
      </c>
      <c r="N294" s="6" t="s">
        <v>39775</v>
      </c>
      <c r="O294" s="6" t="s">
        <v>39776</v>
      </c>
      <c r="P294" s="6" t="s">
        <v>38057</v>
      </c>
      <c r="Q294" s="6" t="s">
        <v>39777</v>
      </c>
      <c r="R294" s="6" t="s">
        <v>38667</v>
      </c>
      <c r="S294" s="6" t="s">
        <v>38668</v>
      </c>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row>
    <row r="295" spans="1:72">
      <c r="A295" s="8" t="s">
        <v>6337</v>
      </c>
      <c r="B295" s="11" t="s">
        <v>6342</v>
      </c>
      <c r="C295" s="9" t="s">
        <v>138</v>
      </c>
      <c r="D295" s="10" t="s">
        <v>138</v>
      </c>
      <c r="E295" s="28" t="s">
        <v>6351</v>
      </c>
      <c r="F295" s="28" t="s">
        <v>200</v>
      </c>
      <c r="G295" s="28" t="s">
        <v>162</v>
      </c>
      <c r="H295" s="13">
        <v>14</v>
      </c>
      <c r="I295" s="12" t="s">
        <v>6354</v>
      </c>
      <c r="J295" s="12" t="s">
        <v>25820</v>
      </c>
      <c r="K295" s="12" t="s">
        <v>39778</v>
      </c>
      <c r="L295" s="12" t="s">
        <v>39779</v>
      </c>
      <c r="M295" s="12" t="s">
        <v>38379</v>
      </c>
      <c r="N295" s="12" t="s">
        <v>39780</v>
      </c>
      <c r="O295" s="12" t="s">
        <v>39781</v>
      </c>
      <c r="P295" s="12" t="s">
        <v>37765</v>
      </c>
      <c r="Q295" s="12" t="s">
        <v>38770</v>
      </c>
      <c r="R295" s="12" t="s">
        <v>38654</v>
      </c>
      <c r="S295" s="12" t="s">
        <v>38085</v>
      </c>
      <c r="T295" s="12" t="s">
        <v>37770</v>
      </c>
      <c r="U295" s="12" t="s">
        <v>38895</v>
      </c>
      <c r="V295" s="12" t="s">
        <v>38240</v>
      </c>
      <c r="W295" s="12" t="s">
        <v>37841</v>
      </c>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row>
    <row r="296" spans="1:72">
      <c r="A296" s="2" t="s">
        <v>6358</v>
      </c>
      <c r="B296" s="5" t="s">
        <v>6362</v>
      </c>
      <c r="C296" s="3" t="s">
        <v>138</v>
      </c>
      <c r="D296" s="4" t="s">
        <v>138</v>
      </c>
      <c r="E296" s="15" t="s">
        <v>668</v>
      </c>
      <c r="F296" s="15" t="s">
        <v>200</v>
      </c>
      <c r="G296" s="15" t="s">
        <v>162</v>
      </c>
      <c r="H296" s="7">
        <v>9</v>
      </c>
      <c r="I296" s="6" t="s">
        <v>6370</v>
      </c>
      <c r="J296" s="6" t="s">
        <v>38406</v>
      </c>
      <c r="K296" s="6" t="s">
        <v>39782</v>
      </c>
      <c r="L296" s="6" t="s">
        <v>38230</v>
      </c>
      <c r="M296" s="6" t="s">
        <v>39783</v>
      </c>
      <c r="N296" s="6" t="s">
        <v>37787</v>
      </c>
      <c r="O296" s="6" t="s">
        <v>39784</v>
      </c>
      <c r="P296" s="6" t="s">
        <v>39785</v>
      </c>
      <c r="Q296" s="6" t="s">
        <v>37890</v>
      </c>
      <c r="R296" s="6" t="s">
        <v>39786</v>
      </c>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row>
    <row r="297" spans="1:72">
      <c r="A297" s="8" t="s">
        <v>6373</v>
      </c>
      <c r="B297" s="11" t="s">
        <v>6378</v>
      </c>
      <c r="C297" s="9" t="s">
        <v>138</v>
      </c>
      <c r="D297" s="10" t="s">
        <v>138</v>
      </c>
      <c r="E297" s="28" t="s">
        <v>5207</v>
      </c>
      <c r="F297" s="28" t="s">
        <v>339</v>
      </c>
      <c r="G297" s="28" t="s">
        <v>162</v>
      </c>
      <c r="H297" s="13">
        <v>21</v>
      </c>
      <c r="I297" s="12" t="s">
        <v>6388</v>
      </c>
      <c r="J297" s="12" t="s">
        <v>37785</v>
      </c>
      <c r="K297" s="12" t="s">
        <v>39787</v>
      </c>
      <c r="L297" s="12" t="s">
        <v>37816</v>
      </c>
      <c r="M297" s="12" t="s">
        <v>39788</v>
      </c>
      <c r="N297" s="12" t="s">
        <v>39789</v>
      </c>
      <c r="O297" s="12" t="s">
        <v>39790</v>
      </c>
      <c r="P297" s="12" t="s">
        <v>37823</v>
      </c>
      <c r="Q297" s="12" t="s">
        <v>39791</v>
      </c>
      <c r="R297" s="12" t="s">
        <v>39792</v>
      </c>
      <c r="S297" s="12" t="s">
        <v>39793</v>
      </c>
      <c r="T297" s="12" t="s">
        <v>39794</v>
      </c>
      <c r="U297" s="12" t="s">
        <v>39795</v>
      </c>
      <c r="V297" s="12" t="s">
        <v>39180</v>
      </c>
      <c r="W297" s="12" t="s">
        <v>39181</v>
      </c>
      <c r="X297" s="12" t="s">
        <v>39796</v>
      </c>
      <c r="Y297" s="12" t="s">
        <v>39585</v>
      </c>
      <c r="Z297" s="12" t="s">
        <v>39797</v>
      </c>
      <c r="AA297" s="12" t="s">
        <v>37828</v>
      </c>
      <c r="AB297" s="12" t="s">
        <v>39798</v>
      </c>
      <c r="AC297" s="12" t="s">
        <v>39086</v>
      </c>
      <c r="AD297" s="12" t="s">
        <v>39799</v>
      </c>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12"/>
      <c r="BH297" s="12"/>
      <c r="BI297" s="12"/>
      <c r="BJ297" s="12"/>
      <c r="BK297" s="12"/>
      <c r="BL297" s="12"/>
      <c r="BM297" s="12"/>
      <c r="BN297" s="12"/>
      <c r="BO297" s="12"/>
      <c r="BP297" s="12"/>
      <c r="BQ297" s="12"/>
      <c r="BR297" s="12"/>
      <c r="BS297" s="12"/>
      <c r="BT297" s="12"/>
    </row>
    <row r="298" spans="1:72">
      <c r="A298" s="2" t="s">
        <v>6392</v>
      </c>
      <c r="B298" s="5" t="s">
        <v>6397</v>
      </c>
      <c r="C298" s="3" t="s">
        <v>138</v>
      </c>
      <c r="D298" s="4" t="s">
        <v>138</v>
      </c>
      <c r="E298" s="15" t="s">
        <v>6404</v>
      </c>
      <c r="F298" s="15" t="s">
        <v>200</v>
      </c>
      <c r="G298" s="15" t="s">
        <v>162</v>
      </c>
      <c r="H298" s="7">
        <v>6</v>
      </c>
      <c r="I298" s="6" t="s">
        <v>6408</v>
      </c>
      <c r="J298" s="6" t="s">
        <v>39800</v>
      </c>
      <c r="K298" s="6" t="s">
        <v>37764</v>
      </c>
      <c r="L298" s="6" t="s">
        <v>38124</v>
      </c>
      <c r="M298" s="6" t="s">
        <v>39801</v>
      </c>
      <c r="N298" s="6" t="s">
        <v>39802</v>
      </c>
      <c r="O298" s="6" t="s">
        <v>39143</v>
      </c>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row>
    <row r="299" spans="1:72">
      <c r="A299" s="8" t="s">
        <v>6412</v>
      </c>
      <c r="B299" s="11" t="s">
        <v>6420</v>
      </c>
      <c r="C299" s="9" t="s">
        <v>138</v>
      </c>
      <c r="D299" s="10" t="s">
        <v>138</v>
      </c>
      <c r="E299" s="28" t="s">
        <v>3111</v>
      </c>
      <c r="F299" s="28" t="s">
        <v>3112</v>
      </c>
      <c r="G299" s="28" t="s">
        <v>2742</v>
      </c>
      <c r="H299" s="13">
        <v>12</v>
      </c>
      <c r="I299" s="12" t="s">
        <v>6432</v>
      </c>
      <c r="J299" s="12" t="s">
        <v>39803</v>
      </c>
      <c r="K299" s="12" t="s">
        <v>39804</v>
      </c>
      <c r="L299" s="12" t="s">
        <v>39411</v>
      </c>
      <c r="M299" s="12" t="s">
        <v>39805</v>
      </c>
      <c r="N299" s="12" t="s">
        <v>39806</v>
      </c>
      <c r="O299" s="12" t="s">
        <v>39807</v>
      </c>
      <c r="P299" s="12" t="s">
        <v>39808</v>
      </c>
      <c r="Q299" s="12" t="s">
        <v>39809</v>
      </c>
      <c r="R299" s="12" t="s">
        <v>39810</v>
      </c>
      <c r="S299" s="12" t="s">
        <v>39811</v>
      </c>
      <c r="T299" s="12" t="s">
        <v>38767</v>
      </c>
      <c r="U299" s="12" t="s">
        <v>39419</v>
      </c>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row>
    <row r="300" spans="1:72">
      <c r="A300" s="2" t="s">
        <v>6438</v>
      </c>
      <c r="B300" s="5" t="s">
        <v>6443</v>
      </c>
      <c r="C300" s="3" t="s">
        <v>138</v>
      </c>
      <c r="D300" s="4" t="s">
        <v>138</v>
      </c>
      <c r="E300" s="15" t="s">
        <v>863</v>
      </c>
      <c r="F300" s="15" t="s">
        <v>824</v>
      </c>
      <c r="G300" s="15" t="s">
        <v>526</v>
      </c>
      <c r="H300" s="7">
        <v>21</v>
      </c>
      <c r="I300" s="6" t="s">
        <v>6456</v>
      </c>
      <c r="J300" s="6" t="s">
        <v>39812</v>
      </c>
      <c r="K300" s="6" t="s">
        <v>39813</v>
      </c>
      <c r="L300" s="6" t="s">
        <v>39814</v>
      </c>
      <c r="M300" s="6" t="s">
        <v>39815</v>
      </c>
      <c r="N300" s="6" t="s">
        <v>39816</v>
      </c>
      <c r="O300" s="6" t="s">
        <v>39817</v>
      </c>
      <c r="P300" s="6" t="s">
        <v>39818</v>
      </c>
      <c r="Q300" s="6" t="s">
        <v>39819</v>
      </c>
      <c r="R300" s="6" t="s">
        <v>39820</v>
      </c>
      <c r="S300" s="6" t="s">
        <v>39821</v>
      </c>
      <c r="T300" s="6" t="s">
        <v>39780</v>
      </c>
      <c r="U300" s="6" t="s">
        <v>39822</v>
      </c>
      <c r="V300" s="6" t="s">
        <v>39823</v>
      </c>
      <c r="W300" s="6" t="s">
        <v>39824</v>
      </c>
      <c r="X300" s="6" t="s">
        <v>39825</v>
      </c>
      <c r="Y300" s="6" t="s">
        <v>38200</v>
      </c>
      <c r="Z300" s="6" t="s">
        <v>39826</v>
      </c>
      <c r="AA300" s="6" t="s">
        <v>39827</v>
      </c>
      <c r="AB300" s="6" t="s">
        <v>39828</v>
      </c>
      <c r="AC300" s="6" t="s">
        <v>39829</v>
      </c>
      <c r="AD300" s="6" t="s">
        <v>39830</v>
      </c>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row>
    <row r="301" spans="1:72">
      <c r="A301" s="8" t="s">
        <v>6461</v>
      </c>
      <c r="B301" s="11" t="s">
        <v>6466</v>
      </c>
      <c r="C301" s="9" t="s">
        <v>138</v>
      </c>
      <c r="D301" s="10" t="s">
        <v>138</v>
      </c>
      <c r="E301" s="28" t="s">
        <v>5473</v>
      </c>
      <c r="F301" s="28" t="s">
        <v>3112</v>
      </c>
      <c r="G301" s="28" t="s">
        <v>2742</v>
      </c>
      <c r="H301" s="13">
        <v>15</v>
      </c>
      <c r="I301" s="12" t="s">
        <v>6476</v>
      </c>
      <c r="J301" s="12" t="s">
        <v>39831</v>
      </c>
      <c r="K301" s="12" t="s">
        <v>39832</v>
      </c>
      <c r="L301" s="12" t="s">
        <v>39833</v>
      </c>
      <c r="M301" s="12" t="s">
        <v>39834</v>
      </c>
      <c r="N301" s="12" t="s">
        <v>39835</v>
      </c>
      <c r="O301" s="12" t="s">
        <v>39836</v>
      </c>
      <c r="P301" s="12" t="s">
        <v>39837</v>
      </c>
      <c r="Q301" s="12" t="s">
        <v>39838</v>
      </c>
      <c r="R301" s="12" t="s">
        <v>38299</v>
      </c>
      <c r="S301" s="12" t="s">
        <v>37822</v>
      </c>
      <c r="T301" s="12" t="s">
        <v>39839</v>
      </c>
      <c r="U301" s="12" t="s">
        <v>38020</v>
      </c>
      <c r="V301" s="12" t="s">
        <v>39840</v>
      </c>
      <c r="W301" s="12" t="s">
        <v>39841</v>
      </c>
      <c r="X301" s="12" t="s">
        <v>39842</v>
      </c>
      <c r="Y301" s="12" t="s">
        <v>38775</v>
      </c>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12"/>
      <c r="BH301" s="12"/>
      <c r="BI301" s="12"/>
      <c r="BJ301" s="12"/>
      <c r="BK301" s="12"/>
      <c r="BL301" s="12"/>
      <c r="BM301" s="12"/>
      <c r="BN301" s="12"/>
      <c r="BO301" s="12"/>
      <c r="BP301" s="12"/>
      <c r="BQ301" s="12"/>
      <c r="BR301" s="12"/>
      <c r="BS301" s="12"/>
      <c r="BT301" s="12"/>
    </row>
    <row r="302" spans="1:72">
      <c r="A302" s="2" t="s">
        <v>6483</v>
      </c>
      <c r="B302" s="5" t="s">
        <v>6487</v>
      </c>
      <c r="C302" s="3" t="s">
        <v>138</v>
      </c>
      <c r="D302" s="4" t="s">
        <v>138</v>
      </c>
      <c r="E302" s="15" t="s">
        <v>6495</v>
      </c>
      <c r="F302" s="15" t="s">
        <v>138</v>
      </c>
      <c r="G302" s="15" t="s">
        <v>6495</v>
      </c>
      <c r="H302" s="7">
        <v>4</v>
      </c>
      <c r="I302" s="6" t="s">
        <v>6498</v>
      </c>
      <c r="J302" s="6" t="s">
        <v>25820</v>
      </c>
      <c r="K302" s="6" t="s">
        <v>39843</v>
      </c>
      <c r="L302" s="6" t="s">
        <v>39844</v>
      </c>
      <c r="M302" s="6" t="s">
        <v>39845</v>
      </c>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row>
    <row r="303" spans="1:72">
      <c r="A303" s="8" t="s">
        <v>6501</v>
      </c>
      <c r="B303" s="11" t="s">
        <v>6507</v>
      </c>
      <c r="C303" s="9" t="s">
        <v>138</v>
      </c>
      <c r="D303" s="10" t="s">
        <v>138</v>
      </c>
      <c r="E303" s="28" t="s">
        <v>3330</v>
      </c>
      <c r="F303" s="28" t="s">
        <v>200</v>
      </c>
      <c r="G303" s="28" t="s">
        <v>162</v>
      </c>
      <c r="H303" s="13">
        <v>7</v>
      </c>
      <c r="I303" s="12" t="s">
        <v>6514</v>
      </c>
      <c r="J303" s="12" t="s">
        <v>39846</v>
      </c>
      <c r="K303" s="12" t="s">
        <v>38991</v>
      </c>
      <c r="L303" s="12" t="s">
        <v>39181</v>
      </c>
      <c r="M303" s="12" t="s">
        <v>37809</v>
      </c>
      <c r="N303" s="12" t="s">
        <v>39847</v>
      </c>
      <c r="O303" s="12" t="s">
        <v>39848</v>
      </c>
      <c r="P303" s="12" t="s">
        <v>37976</v>
      </c>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row>
    <row r="304" spans="1:72">
      <c r="A304" s="2" t="s">
        <v>6517</v>
      </c>
      <c r="B304" s="5" t="s">
        <v>6523</v>
      </c>
      <c r="C304" s="3" t="s">
        <v>6518</v>
      </c>
      <c r="D304" s="4" t="s">
        <v>138</v>
      </c>
      <c r="E304" s="15" t="s">
        <v>642</v>
      </c>
      <c r="F304" s="15" t="s">
        <v>474</v>
      </c>
      <c r="G304" s="15" t="s">
        <v>162</v>
      </c>
      <c r="H304" s="7">
        <v>12</v>
      </c>
      <c r="I304" s="6" t="s">
        <v>6532</v>
      </c>
      <c r="J304" s="6" t="s">
        <v>38061</v>
      </c>
      <c r="K304" s="6" t="s">
        <v>39849</v>
      </c>
      <c r="L304" s="6" t="s">
        <v>39850</v>
      </c>
      <c r="M304" s="6" t="s">
        <v>39851</v>
      </c>
      <c r="N304" s="6" t="s">
        <v>39852</v>
      </c>
      <c r="O304" s="6" t="s">
        <v>39853</v>
      </c>
      <c r="P304" s="6" t="s">
        <v>39854</v>
      </c>
      <c r="Q304" s="6" t="s">
        <v>39855</v>
      </c>
      <c r="R304" s="6" t="s">
        <v>39856</v>
      </c>
      <c r="S304" s="6" t="s">
        <v>39857</v>
      </c>
      <c r="T304" s="6" t="s">
        <v>37781</v>
      </c>
      <c r="U304" s="6" t="s">
        <v>38371</v>
      </c>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row>
    <row r="305" spans="1:72">
      <c r="A305" s="8" t="s">
        <v>6537</v>
      </c>
      <c r="B305" s="11" t="s">
        <v>6544</v>
      </c>
      <c r="C305" s="9" t="s">
        <v>138</v>
      </c>
      <c r="D305" s="10" t="s">
        <v>6538</v>
      </c>
      <c r="E305" s="28" t="s">
        <v>6232</v>
      </c>
      <c r="F305" s="28" t="s">
        <v>371</v>
      </c>
      <c r="G305" s="28" t="s">
        <v>162</v>
      </c>
      <c r="H305" s="13">
        <v>3</v>
      </c>
      <c r="I305" s="12" t="s">
        <v>6556</v>
      </c>
      <c r="J305" s="12" t="s">
        <v>39858</v>
      </c>
      <c r="K305" s="12" t="s">
        <v>39859</v>
      </c>
      <c r="L305" s="12" t="s">
        <v>39860</v>
      </c>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2"/>
    </row>
    <row r="306" spans="1:72">
      <c r="A306" s="2" t="s">
        <v>6562</v>
      </c>
      <c r="B306" s="5" t="s">
        <v>6567</v>
      </c>
      <c r="C306" s="3" t="s">
        <v>138</v>
      </c>
      <c r="D306" s="4" t="s">
        <v>6563</v>
      </c>
      <c r="E306" s="15" t="s">
        <v>6575</v>
      </c>
      <c r="F306" s="15" t="s">
        <v>6576</v>
      </c>
      <c r="G306" s="15" t="s">
        <v>162</v>
      </c>
      <c r="H306" s="7">
        <v>5</v>
      </c>
      <c r="I306" s="6" t="s">
        <v>6580</v>
      </c>
      <c r="J306" s="6" t="s">
        <v>39861</v>
      </c>
      <c r="K306" s="6" t="s">
        <v>39862</v>
      </c>
      <c r="L306" s="6" t="s">
        <v>38049</v>
      </c>
      <c r="M306" s="6" t="s">
        <v>39863</v>
      </c>
      <c r="N306" s="6" t="s">
        <v>39864</v>
      </c>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row>
    <row r="307" spans="1:72">
      <c r="A307" s="8" t="s">
        <v>6583</v>
      </c>
      <c r="B307" s="11" t="s">
        <v>6589</v>
      </c>
      <c r="C307" s="9" t="s">
        <v>6584</v>
      </c>
      <c r="D307" s="10" t="s">
        <v>138</v>
      </c>
      <c r="E307" s="28" t="s">
        <v>310</v>
      </c>
      <c r="F307" s="28" t="s">
        <v>200</v>
      </c>
      <c r="G307" s="28" t="s">
        <v>162</v>
      </c>
      <c r="H307" s="13">
        <v>3</v>
      </c>
      <c r="I307" s="12" t="s">
        <v>6597</v>
      </c>
      <c r="J307" s="12" t="s">
        <v>25482</v>
      </c>
      <c r="K307" s="12" t="s">
        <v>39865</v>
      </c>
      <c r="L307" s="12" t="s">
        <v>39866</v>
      </c>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row>
    <row r="308" spans="1:72">
      <c r="A308" s="2" t="s">
        <v>6600</v>
      </c>
      <c r="B308" s="5" t="s">
        <v>6604</v>
      </c>
      <c r="C308" s="3" t="s">
        <v>138</v>
      </c>
      <c r="D308" s="4" t="s">
        <v>138</v>
      </c>
      <c r="E308" s="15" t="s">
        <v>6611</v>
      </c>
      <c r="F308" s="15" t="s">
        <v>138</v>
      </c>
      <c r="G308" s="15" t="s">
        <v>1614</v>
      </c>
      <c r="H308" s="7">
        <v>11</v>
      </c>
      <c r="I308" s="6" t="s">
        <v>6615</v>
      </c>
      <c r="J308" s="6" t="s">
        <v>39867</v>
      </c>
      <c r="K308" s="6" t="s">
        <v>39868</v>
      </c>
      <c r="L308" s="6" t="s">
        <v>39869</v>
      </c>
      <c r="M308" s="6" t="s">
        <v>37788</v>
      </c>
      <c r="N308" s="6" t="s">
        <v>39870</v>
      </c>
      <c r="O308" s="6" t="s">
        <v>39871</v>
      </c>
      <c r="P308" s="6" t="s">
        <v>39872</v>
      </c>
      <c r="Q308" s="6" t="s">
        <v>38371</v>
      </c>
      <c r="R308" s="6" t="s">
        <v>39873</v>
      </c>
      <c r="S308" s="6" t="s">
        <v>38372</v>
      </c>
      <c r="T308" s="6" t="s">
        <v>38313</v>
      </c>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row>
    <row r="309" spans="1:72">
      <c r="A309" s="8" t="s">
        <v>6619</v>
      </c>
      <c r="B309" s="11" t="s">
        <v>6624</v>
      </c>
      <c r="C309" s="9" t="s">
        <v>138</v>
      </c>
      <c r="D309" s="10" t="s">
        <v>138</v>
      </c>
      <c r="E309" s="28" t="s">
        <v>1198</v>
      </c>
      <c r="F309" s="28" t="s">
        <v>138</v>
      </c>
      <c r="G309" s="28" t="s">
        <v>1200</v>
      </c>
      <c r="H309" s="13">
        <v>10</v>
      </c>
      <c r="I309" s="12" t="s">
        <v>6634</v>
      </c>
      <c r="J309" s="12" t="s">
        <v>39029</v>
      </c>
      <c r="K309" s="12" t="s">
        <v>39874</v>
      </c>
      <c r="L309" s="12" t="s">
        <v>39458</v>
      </c>
      <c r="M309" s="12" t="s">
        <v>39875</v>
      </c>
      <c r="N309" s="12" t="s">
        <v>39876</v>
      </c>
      <c r="O309" s="12" t="s">
        <v>39877</v>
      </c>
      <c r="P309" s="12" t="s">
        <v>39878</v>
      </c>
      <c r="Q309" s="12" t="s">
        <v>39195</v>
      </c>
      <c r="R309" s="12" t="s">
        <v>39879</v>
      </c>
      <c r="S309" s="12" t="s">
        <v>39880</v>
      </c>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row>
    <row r="310" spans="1:72">
      <c r="A310" s="2" t="s">
        <v>6638</v>
      </c>
      <c r="B310" s="5" t="s">
        <v>6642</v>
      </c>
      <c r="C310" s="3" t="s">
        <v>138</v>
      </c>
      <c r="D310" s="4" t="s">
        <v>138</v>
      </c>
      <c r="E310" s="15" t="s">
        <v>6650</v>
      </c>
      <c r="F310" s="15" t="s">
        <v>200</v>
      </c>
      <c r="G310" s="15" t="s">
        <v>162</v>
      </c>
      <c r="H310" s="7">
        <v>8</v>
      </c>
      <c r="I310" s="6" t="s">
        <v>6655</v>
      </c>
      <c r="J310" s="6" t="s">
        <v>39029</v>
      </c>
      <c r="K310" s="6" t="s">
        <v>39881</v>
      </c>
      <c r="L310" s="6" t="s">
        <v>37979</v>
      </c>
      <c r="M310" s="6" t="s">
        <v>39882</v>
      </c>
      <c r="N310" s="6" t="s">
        <v>39883</v>
      </c>
      <c r="O310" s="6" t="s">
        <v>39884</v>
      </c>
      <c r="P310" s="6" t="s">
        <v>39329</v>
      </c>
      <c r="Q310" s="6" t="s">
        <v>39885</v>
      </c>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row>
    <row r="311" spans="1:72">
      <c r="A311" s="8" t="s">
        <v>6658</v>
      </c>
      <c r="B311" s="11" t="s">
        <v>6662</v>
      </c>
      <c r="C311" s="9" t="s">
        <v>138</v>
      </c>
      <c r="D311" s="10" t="s">
        <v>138</v>
      </c>
      <c r="E311" s="28" t="s">
        <v>3691</v>
      </c>
      <c r="F311" s="28" t="s">
        <v>138</v>
      </c>
      <c r="G311" s="28" t="s">
        <v>3693</v>
      </c>
      <c r="H311" s="13">
        <v>1</v>
      </c>
      <c r="I311" s="12" t="s">
        <v>6673</v>
      </c>
      <c r="J311" s="12" t="s">
        <v>6673</v>
      </c>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row>
    <row r="312" spans="1:72">
      <c r="A312" s="2" t="s">
        <v>6675</v>
      </c>
      <c r="B312" s="5" t="s">
        <v>6681</v>
      </c>
      <c r="C312" s="3" t="s">
        <v>138</v>
      </c>
      <c r="D312" s="4" t="s">
        <v>138</v>
      </c>
      <c r="E312" s="15" t="s">
        <v>2493</v>
      </c>
      <c r="F312" s="15" t="s">
        <v>371</v>
      </c>
      <c r="G312" s="15" t="s">
        <v>162</v>
      </c>
      <c r="H312" s="7">
        <v>2</v>
      </c>
      <c r="I312" s="6" t="s">
        <v>6691</v>
      </c>
      <c r="J312" s="6" t="s">
        <v>39886</v>
      </c>
      <c r="K312" s="6" t="s">
        <v>37781</v>
      </c>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row>
    <row r="313" spans="1:72">
      <c r="A313" s="8" t="s">
        <v>6696</v>
      </c>
      <c r="B313" s="11" t="s">
        <v>6701</v>
      </c>
      <c r="C313" s="9" t="s">
        <v>138</v>
      </c>
      <c r="D313" s="10" t="s">
        <v>138</v>
      </c>
      <c r="E313" s="28" t="s">
        <v>6707</v>
      </c>
      <c r="F313" s="28" t="s">
        <v>138</v>
      </c>
      <c r="G313" s="28" t="s">
        <v>740</v>
      </c>
      <c r="H313" s="13">
        <v>8</v>
      </c>
      <c r="I313" s="12" t="s">
        <v>6710</v>
      </c>
      <c r="J313" s="12" t="s">
        <v>39887</v>
      </c>
      <c r="K313" s="12" t="s">
        <v>39888</v>
      </c>
      <c r="L313" s="12" t="s">
        <v>39889</v>
      </c>
      <c r="M313" s="12" t="s">
        <v>39890</v>
      </c>
      <c r="N313" s="12" t="s">
        <v>38050</v>
      </c>
      <c r="O313" s="12" t="s">
        <v>38995</v>
      </c>
      <c r="P313" s="12" t="s">
        <v>37781</v>
      </c>
      <c r="Q313" s="12" t="s">
        <v>39296</v>
      </c>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12"/>
      <c r="BH313" s="12"/>
      <c r="BI313" s="12"/>
      <c r="BJ313" s="12"/>
      <c r="BK313" s="12"/>
      <c r="BL313" s="12"/>
      <c r="BM313" s="12"/>
      <c r="BN313" s="12"/>
      <c r="BO313" s="12"/>
      <c r="BP313" s="12"/>
      <c r="BQ313" s="12"/>
      <c r="BR313" s="12"/>
      <c r="BS313" s="12"/>
      <c r="BT313" s="12"/>
    </row>
    <row r="314" spans="1:72">
      <c r="A314" s="2" t="s">
        <v>6713</v>
      </c>
      <c r="B314" s="5" t="s">
        <v>6718</v>
      </c>
      <c r="C314" s="3" t="s">
        <v>138</v>
      </c>
      <c r="D314" s="4" t="s">
        <v>6714</v>
      </c>
      <c r="E314" s="15" t="s">
        <v>6726</v>
      </c>
      <c r="F314" s="15" t="s">
        <v>824</v>
      </c>
      <c r="G314" s="15" t="s">
        <v>526</v>
      </c>
      <c r="H314" s="7">
        <v>1</v>
      </c>
      <c r="I314" s="6" t="s">
        <v>6673</v>
      </c>
      <c r="J314" s="6" t="s">
        <v>6673</v>
      </c>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row>
    <row r="315" spans="1:72">
      <c r="A315" s="8" t="s">
        <v>6732</v>
      </c>
      <c r="B315" s="11" t="s">
        <v>6737</v>
      </c>
      <c r="C315" s="9" t="s">
        <v>138</v>
      </c>
      <c r="D315" s="10" t="s">
        <v>138</v>
      </c>
      <c r="E315" s="28" t="s">
        <v>823</v>
      </c>
      <c r="F315" s="28" t="s">
        <v>824</v>
      </c>
      <c r="G315" s="28" t="s">
        <v>526</v>
      </c>
      <c r="H315" s="13">
        <v>7</v>
      </c>
      <c r="I315" s="12" t="s">
        <v>6745</v>
      </c>
      <c r="J315" s="12" t="s">
        <v>39891</v>
      </c>
      <c r="K315" s="12" t="s">
        <v>39892</v>
      </c>
      <c r="L315" s="12" t="s">
        <v>39893</v>
      </c>
      <c r="M315" s="12" t="s">
        <v>39894</v>
      </c>
      <c r="N315" s="12" t="s">
        <v>38821</v>
      </c>
      <c r="O315" s="12" t="s">
        <v>39895</v>
      </c>
      <c r="P315" s="12" t="s">
        <v>38371</v>
      </c>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12"/>
      <c r="BH315" s="12"/>
      <c r="BI315" s="12"/>
      <c r="BJ315" s="12"/>
      <c r="BK315" s="12"/>
      <c r="BL315" s="12"/>
      <c r="BM315" s="12"/>
      <c r="BN315" s="12"/>
      <c r="BO315" s="12"/>
      <c r="BP315" s="12"/>
      <c r="BQ315" s="12"/>
      <c r="BR315" s="12"/>
      <c r="BS315" s="12"/>
      <c r="BT315" s="12"/>
    </row>
    <row r="316" spans="1:72">
      <c r="A316" s="2" t="s">
        <v>6748</v>
      </c>
      <c r="B316" s="5" t="s">
        <v>6752</v>
      </c>
      <c r="C316" s="3" t="s">
        <v>138</v>
      </c>
      <c r="D316" s="4" t="s">
        <v>138</v>
      </c>
      <c r="E316" s="15" t="s">
        <v>5131</v>
      </c>
      <c r="F316" s="15" t="s">
        <v>138</v>
      </c>
      <c r="G316" s="15" t="s">
        <v>740</v>
      </c>
      <c r="H316" s="7">
        <v>22</v>
      </c>
      <c r="I316" s="6" t="s">
        <v>6760</v>
      </c>
      <c r="J316" s="6" t="s">
        <v>38809</v>
      </c>
      <c r="K316" s="6" t="s">
        <v>39896</v>
      </c>
      <c r="L316" s="6" t="s">
        <v>39897</v>
      </c>
      <c r="M316" s="6" t="s">
        <v>39898</v>
      </c>
      <c r="N316" s="6" t="s">
        <v>38075</v>
      </c>
      <c r="O316" s="6" t="s">
        <v>38299</v>
      </c>
      <c r="P316" s="6" t="s">
        <v>39899</v>
      </c>
      <c r="Q316" s="6" t="s">
        <v>39900</v>
      </c>
      <c r="R316" s="6" t="s">
        <v>39901</v>
      </c>
      <c r="S316" s="6" t="s">
        <v>38334</v>
      </c>
      <c r="T316" s="6" t="s">
        <v>38398</v>
      </c>
      <c r="U316" s="6" t="s">
        <v>39325</v>
      </c>
      <c r="V316" s="6" t="s">
        <v>39902</v>
      </c>
      <c r="W316" s="6" t="s">
        <v>39903</v>
      </c>
      <c r="X316" s="6" t="s">
        <v>37824</v>
      </c>
      <c r="Y316" s="6" t="s">
        <v>39904</v>
      </c>
      <c r="Z316" s="6" t="s">
        <v>38322</v>
      </c>
      <c r="AA316" s="6" t="s">
        <v>39905</v>
      </c>
      <c r="AB316" s="6" t="s">
        <v>39327</v>
      </c>
      <c r="AC316" s="6" t="s">
        <v>38863</v>
      </c>
      <c r="AD316" s="6" t="s">
        <v>38401</v>
      </c>
      <c r="AE316" s="6" t="s">
        <v>39906</v>
      </c>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row>
    <row r="317" spans="1:72">
      <c r="A317" s="8" t="s">
        <v>6765</v>
      </c>
      <c r="B317" s="11" t="s">
        <v>6769</v>
      </c>
      <c r="C317" s="9" t="s">
        <v>138</v>
      </c>
      <c r="D317" s="10" t="s">
        <v>138</v>
      </c>
      <c r="E317" s="28" t="s">
        <v>2005</v>
      </c>
      <c r="F317" s="28" t="s">
        <v>200</v>
      </c>
      <c r="G317" s="28" t="s">
        <v>162</v>
      </c>
      <c r="H317" s="13">
        <v>16</v>
      </c>
      <c r="I317" s="12" t="s">
        <v>6780</v>
      </c>
      <c r="J317" s="12" t="s">
        <v>39907</v>
      </c>
      <c r="K317" s="12" t="s">
        <v>39908</v>
      </c>
      <c r="L317" s="12" t="s">
        <v>38339</v>
      </c>
      <c r="M317" s="12" t="s">
        <v>37796</v>
      </c>
      <c r="N317" s="12" t="s">
        <v>39909</v>
      </c>
      <c r="O317" s="12" t="s">
        <v>39910</v>
      </c>
      <c r="P317" s="12" t="s">
        <v>38825</v>
      </c>
      <c r="Q317" s="12" t="s">
        <v>37786</v>
      </c>
      <c r="R317" s="12" t="s">
        <v>37927</v>
      </c>
      <c r="S317" s="12" t="s">
        <v>39911</v>
      </c>
      <c r="T317" s="12" t="s">
        <v>39912</v>
      </c>
      <c r="U317" s="12" t="s">
        <v>38321</v>
      </c>
      <c r="V317" s="12" t="s">
        <v>37915</v>
      </c>
      <c r="W317" s="12" t="s">
        <v>37916</v>
      </c>
      <c r="X317" s="12" t="s">
        <v>39662</v>
      </c>
      <c r="Y317" s="12" t="s">
        <v>39913</v>
      </c>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12"/>
      <c r="BH317" s="12"/>
      <c r="BI317" s="12"/>
      <c r="BJ317" s="12"/>
      <c r="BK317" s="12"/>
      <c r="BL317" s="12"/>
      <c r="BM317" s="12"/>
      <c r="BN317" s="12"/>
      <c r="BO317" s="12"/>
      <c r="BP317" s="12"/>
      <c r="BQ317" s="12"/>
      <c r="BR317" s="12"/>
      <c r="BS317" s="12"/>
      <c r="BT317" s="12"/>
    </row>
    <row r="318" spans="1:72">
      <c r="A318" s="2" t="s">
        <v>6785</v>
      </c>
      <c r="B318" s="5" t="s">
        <v>6790</v>
      </c>
      <c r="C318" s="3" t="s">
        <v>138</v>
      </c>
      <c r="D318" s="4" t="s">
        <v>138</v>
      </c>
      <c r="E318" s="15" t="s">
        <v>668</v>
      </c>
      <c r="F318" s="15" t="s">
        <v>200</v>
      </c>
      <c r="G318" s="15" t="s">
        <v>162</v>
      </c>
      <c r="H318" s="7">
        <v>18</v>
      </c>
      <c r="I318" s="6" t="s">
        <v>6800</v>
      </c>
      <c r="J318" s="6" t="s">
        <v>39914</v>
      </c>
      <c r="K318" s="6" t="s">
        <v>39915</v>
      </c>
      <c r="L318" s="6" t="s">
        <v>38708</v>
      </c>
      <c r="M318" s="6" t="s">
        <v>39115</v>
      </c>
      <c r="N318" s="6" t="s">
        <v>39916</v>
      </c>
      <c r="O318" s="6" t="s">
        <v>39917</v>
      </c>
      <c r="P318" s="6" t="s">
        <v>39918</v>
      </c>
      <c r="Q318" s="6" t="s">
        <v>39919</v>
      </c>
      <c r="R318" s="6" t="s">
        <v>39290</v>
      </c>
      <c r="S318" s="6" t="s">
        <v>39920</v>
      </c>
      <c r="T318" s="6" t="s">
        <v>39081</v>
      </c>
      <c r="U318" s="6" t="s">
        <v>38775</v>
      </c>
      <c r="V318" s="6" t="s">
        <v>39921</v>
      </c>
      <c r="W318" s="6" t="s">
        <v>39922</v>
      </c>
      <c r="X318" s="6" t="s">
        <v>39923</v>
      </c>
      <c r="Y318" s="6" t="s">
        <v>38582</v>
      </c>
      <c r="Z318" s="6" t="s">
        <v>37809</v>
      </c>
      <c r="AA318" s="6" t="s">
        <v>37873</v>
      </c>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row>
    <row r="319" spans="1:72">
      <c r="A319" s="8" t="s">
        <v>6807</v>
      </c>
      <c r="B319" s="11" t="s">
        <v>6812</v>
      </c>
      <c r="C319" s="9" t="s">
        <v>138</v>
      </c>
      <c r="D319" s="10" t="s">
        <v>138</v>
      </c>
      <c r="E319" s="28" t="s">
        <v>4900</v>
      </c>
      <c r="F319" s="28" t="s">
        <v>200</v>
      </c>
      <c r="G319" s="28" t="s">
        <v>162</v>
      </c>
      <c r="H319" s="13">
        <v>14</v>
      </c>
      <c r="I319" s="12" t="s">
        <v>6822</v>
      </c>
      <c r="J319" s="12" t="s">
        <v>38632</v>
      </c>
      <c r="K319" s="12" t="s">
        <v>39924</v>
      </c>
      <c r="L319" s="12" t="s">
        <v>38571</v>
      </c>
      <c r="M319" s="12" t="s">
        <v>37819</v>
      </c>
      <c r="N319" s="12" t="s">
        <v>39925</v>
      </c>
      <c r="O319" s="12" t="s">
        <v>39926</v>
      </c>
      <c r="P319" s="12" t="s">
        <v>39927</v>
      </c>
      <c r="Q319" s="12" t="s">
        <v>38399</v>
      </c>
      <c r="R319" s="12" t="s">
        <v>38323</v>
      </c>
      <c r="S319" s="12" t="s">
        <v>39928</v>
      </c>
      <c r="T319" s="12" t="s">
        <v>39929</v>
      </c>
      <c r="U319" s="12" t="s">
        <v>39143</v>
      </c>
      <c r="V319" s="12" t="s">
        <v>38647</v>
      </c>
      <c r="W319" s="12" t="s">
        <v>39930</v>
      </c>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12"/>
      <c r="BH319" s="12"/>
      <c r="BI319" s="12"/>
      <c r="BJ319" s="12"/>
      <c r="BK319" s="12"/>
      <c r="BL319" s="12"/>
      <c r="BM319" s="12"/>
      <c r="BN319" s="12"/>
      <c r="BO319" s="12"/>
      <c r="BP319" s="12"/>
      <c r="BQ319" s="12"/>
      <c r="BR319" s="12"/>
      <c r="BS319" s="12"/>
      <c r="BT319" s="12"/>
    </row>
    <row r="320" spans="1:72">
      <c r="A320" s="2" t="s">
        <v>6825</v>
      </c>
      <c r="B320" s="5" t="s">
        <v>6829</v>
      </c>
      <c r="C320" s="3" t="s">
        <v>138</v>
      </c>
      <c r="D320" s="4" t="s">
        <v>138</v>
      </c>
      <c r="E320" s="15" t="s">
        <v>3330</v>
      </c>
      <c r="F320" s="15" t="s">
        <v>200</v>
      </c>
      <c r="G320" s="15" t="s">
        <v>162</v>
      </c>
      <c r="H320" s="7">
        <v>25</v>
      </c>
      <c r="I320" s="6" t="s">
        <v>6834</v>
      </c>
      <c r="J320" s="6" t="s">
        <v>39931</v>
      </c>
      <c r="K320" s="6" t="s">
        <v>39932</v>
      </c>
      <c r="L320" s="6" t="s">
        <v>39001</v>
      </c>
      <c r="M320" s="6" t="s">
        <v>38950</v>
      </c>
      <c r="N320" s="6" t="s">
        <v>38784</v>
      </c>
      <c r="O320" s="6" t="s">
        <v>39933</v>
      </c>
      <c r="P320" s="6" t="s">
        <v>37832</v>
      </c>
      <c r="Q320" s="6" t="s">
        <v>39031</v>
      </c>
      <c r="R320" s="6" t="s">
        <v>39934</v>
      </c>
      <c r="S320" s="6" t="s">
        <v>38841</v>
      </c>
      <c r="T320" s="6" t="s">
        <v>38873</v>
      </c>
      <c r="U320" s="6" t="s">
        <v>38397</v>
      </c>
      <c r="V320" s="6" t="s">
        <v>39935</v>
      </c>
      <c r="W320" s="6" t="s">
        <v>39103</v>
      </c>
      <c r="X320" s="6" t="s">
        <v>38323</v>
      </c>
      <c r="Y320" s="6" t="s">
        <v>39936</v>
      </c>
      <c r="Z320" s="6" t="s">
        <v>38030</v>
      </c>
      <c r="AA320" s="6" t="s">
        <v>39937</v>
      </c>
      <c r="AB320" s="6" t="s">
        <v>39938</v>
      </c>
      <c r="AC320" s="6" t="s">
        <v>39939</v>
      </c>
      <c r="AD320" s="6" t="s">
        <v>39108</v>
      </c>
      <c r="AE320" s="6" t="s">
        <v>39940</v>
      </c>
      <c r="AF320" s="6" t="s">
        <v>38582</v>
      </c>
      <c r="AG320" s="6" t="s">
        <v>38159</v>
      </c>
      <c r="AH320" s="6" t="s">
        <v>39941</v>
      </c>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row>
    <row r="321" spans="1:72">
      <c r="A321" s="8" t="s">
        <v>6838</v>
      </c>
      <c r="B321" s="11" t="s">
        <v>6844</v>
      </c>
      <c r="C321" s="9" t="s">
        <v>138</v>
      </c>
      <c r="D321" s="10" t="s">
        <v>6839</v>
      </c>
      <c r="E321" s="28" t="s">
        <v>6852</v>
      </c>
      <c r="F321" s="28" t="s">
        <v>138</v>
      </c>
      <c r="G321" s="28" t="s">
        <v>573</v>
      </c>
      <c r="H321" s="13">
        <v>2</v>
      </c>
      <c r="I321" s="12" t="s">
        <v>6856</v>
      </c>
      <c r="J321" s="12" t="s">
        <v>18057</v>
      </c>
      <c r="K321" s="12" t="s">
        <v>37901</v>
      </c>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row>
    <row r="322" spans="1:72">
      <c r="A322" s="2" t="s">
        <v>6859</v>
      </c>
      <c r="B322" s="5" t="s">
        <v>6866</v>
      </c>
      <c r="C322" s="3" t="s">
        <v>6860</v>
      </c>
      <c r="D322" s="4" t="s">
        <v>138</v>
      </c>
      <c r="E322" s="15" t="s">
        <v>668</v>
      </c>
      <c r="F322" s="15" t="s">
        <v>200</v>
      </c>
      <c r="G322" s="15" t="s">
        <v>162</v>
      </c>
      <c r="H322" s="7">
        <v>11</v>
      </c>
      <c r="I322" s="6" t="s">
        <v>6877</v>
      </c>
      <c r="J322" s="6" t="s">
        <v>39942</v>
      </c>
      <c r="K322" s="6" t="s">
        <v>39463</v>
      </c>
      <c r="L322" s="6" t="s">
        <v>39943</v>
      </c>
      <c r="M322" s="6" t="s">
        <v>39944</v>
      </c>
      <c r="N322" s="6" t="s">
        <v>39945</v>
      </c>
      <c r="O322" s="6" t="s">
        <v>39946</v>
      </c>
      <c r="P322" s="6" t="s">
        <v>37931</v>
      </c>
      <c r="Q322" s="6" t="s">
        <v>39947</v>
      </c>
      <c r="R322" s="6" t="s">
        <v>37789</v>
      </c>
      <c r="S322" s="6" t="s">
        <v>38446</v>
      </c>
      <c r="T322" s="6" t="s">
        <v>39948</v>
      </c>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row>
    <row r="323" spans="1:72">
      <c r="A323" s="8" t="s">
        <v>6882</v>
      </c>
      <c r="B323" s="11" t="s">
        <v>6888</v>
      </c>
      <c r="C323" s="9" t="s">
        <v>6883</v>
      </c>
      <c r="D323" s="10" t="s">
        <v>138</v>
      </c>
      <c r="E323" s="28" t="s">
        <v>6897</v>
      </c>
      <c r="F323" s="28" t="s">
        <v>6898</v>
      </c>
      <c r="G323" s="28" t="s">
        <v>162</v>
      </c>
      <c r="H323" s="13">
        <v>1</v>
      </c>
      <c r="I323" s="12" t="s">
        <v>6904</v>
      </c>
      <c r="J323" s="12" t="s">
        <v>6904</v>
      </c>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row>
    <row r="324" spans="1:72">
      <c r="A324" s="2" t="s">
        <v>6913</v>
      </c>
      <c r="B324" s="5" t="s">
        <v>6919</v>
      </c>
      <c r="C324" s="3" t="s">
        <v>6914</v>
      </c>
      <c r="D324" s="4" t="s">
        <v>138</v>
      </c>
      <c r="E324" s="15" t="s">
        <v>966</v>
      </c>
      <c r="F324" s="15" t="s">
        <v>200</v>
      </c>
      <c r="G324" s="15" t="s">
        <v>162</v>
      </c>
      <c r="H324" s="7">
        <v>21</v>
      </c>
      <c r="I324" s="6" t="s">
        <v>6927</v>
      </c>
      <c r="J324" s="6" t="s">
        <v>39545</v>
      </c>
      <c r="K324" s="6" t="s">
        <v>39949</v>
      </c>
      <c r="L324" s="6" t="s">
        <v>39950</v>
      </c>
      <c r="M324" s="6" t="s">
        <v>39951</v>
      </c>
      <c r="N324" s="6" t="s">
        <v>37979</v>
      </c>
      <c r="O324" s="6" t="s">
        <v>37981</v>
      </c>
      <c r="P324" s="6" t="s">
        <v>38076</v>
      </c>
      <c r="Q324" s="6" t="s">
        <v>37786</v>
      </c>
      <c r="R324" s="6" t="s">
        <v>37989</v>
      </c>
      <c r="S324" s="6" t="s">
        <v>39952</v>
      </c>
      <c r="T324" s="6" t="s">
        <v>39661</v>
      </c>
      <c r="U324" s="6" t="s">
        <v>39322</v>
      </c>
      <c r="V324" s="6" t="s">
        <v>39953</v>
      </c>
      <c r="W324" s="6" t="s">
        <v>38020</v>
      </c>
      <c r="X324" s="6" t="s">
        <v>39954</v>
      </c>
      <c r="Y324" s="6" t="s">
        <v>39955</v>
      </c>
      <c r="Z324" s="6" t="s">
        <v>39956</v>
      </c>
      <c r="AA324" s="6" t="s">
        <v>38322</v>
      </c>
      <c r="AB324" s="6" t="s">
        <v>39656</v>
      </c>
      <c r="AC324" s="6" t="s">
        <v>38324</v>
      </c>
      <c r="AD324" s="6" t="s">
        <v>37886</v>
      </c>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row>
    <row r="325" spans="1:72">
      <c r="A325" s="8" t="s">
        <v>6931</v>
      </c>
      <c r="B325" s="11" t="s">
        <v>6937</v>
      </c>
      <c r="C325" s="9" t="s">
        <v>6932</v>
      </c>
      <c r="D325" s="10" t="s">
        <v>138</v>
      </c>
      <c r="E325" s="28" t="s">
        <v>1294</v>
      </c>
      <c r="F325" s="28" t="s">
        <v>864</v>
      </c>
      <c r="G325" s="28" t="s">
        <v>162</v>
      </c>
      <c r="H325" s="13">
        <v>22</v>
      </c>
      <c r="I325" s="12" t="s">
        <v>6947</v>
      </c>
      <c r="J325" s="12" t="s">
        <v>38344</v>
      </c>
      <c r="K325" s="12" t="s">
        <v>39957</v>
      </c>
      <c r="L325" s="12" t="s">
        <v>39958</v>
      </c>
      <c r="M325" s="12" t="s">
        <v>38968</v>
      </c>
      <c r="N325" s="12" t="s">
        <v>37851</v>
      </c>
      <c r="O325" s="12" t="s">
        <v>39959</v>
      </c>
      <c r="P325" s="12" t="s">
        <v>38349</v>
      </c>
      <c r="Q325" s="12" t="s">
        <v>39960</v>
      </c>
      <c r="R325" s="12" t="s">
        <v>38803</v>
      </c>
      <c r="S325" s="12" t="s">
        <v>38700</v>
      </c>
      <c r="T325" s="12" t="s">
        <v>39961</v>
      </c>
      <c r="U325" s="12" t="s">
        <v>39962</v>
      </c>
      <c r="V325" s="12" t="s">
        <v>39963</v>
      </c>
      <c r="W325" s="12" t="s">
        <v>39964</v>
      </c>
      <c r="X325" s="12" t="s">
        <v>37824</v>
      </c>
      <c r="Y325" s="12" t="s">
        <v>39965</v>
      </c>
      <c r="Z325" s="12" t="s">
        <v>38200</v>
      </c>
      <c r="AA325" s="12" t="s">
        <v>38712</v>
      </c>
      <c r="AB325" s="12" t="s">
        <v>39209</v>
      </c>
      <c r="AC325" s="12" t="s">
        <v>39966</v>
      </c>
      <c r="AD325" s="12" t="s">
        <v>39212</v>
      </c>
      <c r="AE325" s="12" t="s">
        <v>39967</v>
      </c>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row>
    <row r="326" spans="1:72">
      <c r="A326" s="2" t="s">
        <v>6950</v>
      </c>
      <c r="B326" s="5" t="s">
        <v>6955</v>
      </c>
      <c r="C326" s="3" t="s">
        <v>138</v>
      </c>
      <c r="D326" s="4" t="s">
        <v>138</v>
      </c>
      <c r="E326" s="15" t="s">
        <v>1198</v>
      </c>
      <c r="F326" s="15" t="s">
        <v>138</v>
      </c>
      <c r="G326" s="15" t="s">
        <v>1200</v>
      </c>
      <c r="H326" s="7">
        <v>1</v>
      </c>
      <c r="I326" s="6" t="s">
        <v>3186</v>
      </c>
      <c r="J326" s="6" t="s">
        <v>3186</v>
      </c>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row>
    <row r="327" spans="1:72">
      <c r="A327" s="8" t="s">
        <v>6966</v>
      </c>
      <c r="B327" s="11" t="s">
        <v>6971</v>
      </c>
      <c r="C327" s="9" t="s">
        <v>138</v>
      </c>
      <c r="D327" s="10" t="s">
        <v>138</v>
      </c>
      <c r="E327" s="28" t="s">
        <v>668</v>
      </c>
      <c r="F327" s="28" t="s">
        <v>200</v>
      </c>
      <c r="G327" s="28" t="s">
        <v>162</v>
      </c>
      <c r="H327" s="13">
        <v>11</v>
      </c>
      <c r="I327" s="12" t="s">
        <v>6981</v>
      </c>
      <c r="J327" s="12" t="s">
        <v>37785</v>
      </c>
      <c r="K327" s="12" t="s">
        <v>39968</v>
      </c>
      <c r="L327" s="12" t="s">
        <v>39969</v>
      </c>
      <c r="M327" s="12" t="s">
        <v>38076</v>
      </c>
      <c r="N327" s="12" t="s">
        <v>39970</v>
      </c>
      <c r="O327" s="12" t="s">
        <v>39048</v>
      </c>
      <c r="P327" s="12" t="s">
        <v>39971</v>
      </c>
      <c r="Q327" s="12" t="s">
        <v>37781</v>
      </c>
      <c r="R327" s="12" t="s">
        <v>38343</v>
      </c>
      <c r="S327" s="12" t="s">
        <v>39972</v>
      </c>
      <c r="T327" s="12" t="s">
        <v>39973</v>
      </c>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row>
    <row r="328" spans="1:72">
      <c r="A328" s="2" t="s">
        <v>6984</v>
      </c>
      <c r="B328" s="5" t="s">
        <v>6991</v>
      </c>
      <c r="C328" s="3" t="s">
        <v>6985</v>
      </c>
      <c r="D328" s="4" t="s">
        <v>138</v>
      </c>
      <c r="E328" s="15" t="s">
        <v>668</v>
      </c>
      <c r="F328" s="15" t="s">
        <v>200</v>
      </c>
      <c r="G328" s="15" t="s">
        <v>162</v>
      </c>
      <c r="H328" s="7">
        <v>11</v>
      </c>
      <c r="I328" s="6" t="s">
        <v>7001</v>
      </c>
      <c r="J328" s="6" t="s">
        <v>39974</v>
      </c>
      <c r="K328" s="6" t="s">
        <v>39975</v>
      </c>
      <c r="L328" s="6" t="s">
        <v>37819</v>
      </c>
      <c r="M328" s="6" t="s">
        <v>37855</v>
      </c>
      <c r="N328" s="6" t="s">
        <v>39976</v>
      </c>
      <c r="O328" s="6" t="s">
        <v>38549</v>
      </c>
      <c r="P328" s="6" t="s">
        <v>39977</v>
      </c>
      <c r="Q328" s="6" t="s">
        <v>39635</v>
      </c>
      <c r="R328" s="6" t="s">
        <v>39978</v>
      </c>
      <c r="S328" s="6" t="s">
        <v>39979</v>
      </c>
      <c r="T328" s="6" t="s">
        <v>39467</v>
      </c>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row>
    <row r="329" spans="1:72">
      <c r="A329" s="8" t="s">
        <v>7007</v>
      </c>
      <c r="B329" s="11" t="s">
        <v>7011</v>
      </c>
      <c r="C329" s="9" t="s">
        <v>7008</v>
      </c>
      <c r="D329" s="10" t="s">
        <v>138</v>
      </c>
      <c r="E329" s="28" t="s">
        <v>7019</v>
      </c>
      <c r="F329" s="28" t="s">
        <v>138</v>
      </c>
      <c r="G329" s="28" t="s">
        <v>7021</v>
      </c>
      <c r="H329" s="13">
        <v>8</v>
      </c>
      <c r="I329" s="12" t="s">
        <v>7024</v>
      </c>
      <c r="J329" s="12" t="s">
        <v>39980</v>
      </c>
      <c r="K329" s="12" t="s">
        <v>39981</v>
      </c>
      <c r="L329" s="12" t="s">
        <v>39982</v>
      </c>
      <c r="M329" s="12" t="s">
        <v>39983</v>
      </c>
      <c r="N329" s="12" t="s">
        <v>37788</v>
      </c>
      <c r="O329" s="12" t="s">
        <v>38371</v>
      </c>
      <c r="P329" s="12" t="s">
        <v>39984</v>
      </c>
      <c r="Q329" s="12" t="s">
        <v>38372</v>
      </c>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row>
    <row r="330" spans="1:72">
      <c r="A330" s="2" t="s">
        <v>7027</v>
      </c>
      <c r="B330" s="5" t="s">
        <v>7031</v>
      </c>
      <c r="C330" s="3" t="s">
        <v>138</v>
      </c>
      <c r="D330" s="4" t="s">
        <v>138</v>
      </c>
      <c r="E330" s="15" t="s">
        <v>7036</v>
      </c>
      <c r="F330" s="15" t="s">
        <v>138</v>
      </c>
      <c r="G330" s="15" t="s">
        <v>1200</v>
      </c>
      <c r="H330" s="7" t="s">
        <v>138</v>
      </c>
      <c r="I330" s="6" t="s">
        <v>138</v>
      </c>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row>
    <row r="331" spans="1:72">
      <c r="A331" s="8" t="s">
        <v>7046</v>
      </c>
      <c r="B331" s="11" t="s">
        <v>7051</v>
      </c>
      <c r="C331" s="9" t="s">
        <v>138</v>
      </c>
      <c r="D331" s="10" t="s">
        <v>138</v>
      </c>
      <c r="E331" s="28" t="s">
        <v>7059</v>
      </c>
      <c r="F331" s="28" t="s">
        <v>138</v>
      </c>
      <c r="G331" s="28" t="s">
        <v>740</v>
      </c>
      <c r="H331" s="13">
        <v>5</v>
      </c>
      <c r="I331" s="12" t="s">
        <v>7063</v>
      </c>
      <c r="J331" s="12" t="s">
        <v>39985</v>
      </c>
      <c r="K331" s="12" t="s">
        <v>38892</v>
      </c>
      <c r="L331" s="12" t="s">
        <v>39450</v>
      </c>
      <c r="M331" s="12" t="s">
        <v>39986</v>
      </c>
      <c r="N331" s="12" t="s">
        <v>39987</v>
      </c>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12"/>
      <c r="BH331" s="12"/>
      <c r="BI331" s="12"/>
      <c r="BJ331" s="12"/>
      <c r="BK331" s="12"/>
      <c r="BL331" s="12"/>
      <c r="BM331" s="12"/>
      <c r="BN331" s="12"/>
      <c r="BO331" s="12"/>
      <c r="BP331" s="12"/>
      <c r="BQ331" s="12"/>
      <c r="BR331" s="12"/>
      <c r="BS331" s="12"/>
      <c r="BT331" s="12"/>
    </row>
    <row r="332" spans="1:72">
      <c r="A332" s="2" t="s">
        <v>7066</v>
      </c>
      <c r="B332" s="5" t="s">
        <v>7072</v>
      </c>
      <c r="C332" s="3" t="s">
        <v>138</v>
      </c>
      <c r="D332" s="4" t="s">
        <v>138</v>
      </c>
      <c r="E332" s="15" t="s">
        <v>7079</v>
      </c>
      <c r="F332" s="15" t="s">
        <v>200</v>
      </c>
      <c r="G332" s="15" t="s">
        <v>162</v>
      </c>
      <c r="H332" s="7">
        <v>8</v>
      </c>
      <c r="I332" s="6" t="s">
        <v>7083</v>
      </c>
      <c r="J332" s="6" t="s">
        <v>39988</v>
      </c>
      <c r="K332" s="6" t="s">
        <v>37817</v>
      </c>
      <c r="L332" s="6" t="s">
        <v>38299</v>
      </c>
      <c r="M332" s="6" t="s">
        <v>39778</v>
      </c>
      <c r="N332" s="6" t="s">
        <v>38974</v>
      </c>
      <c r="O332" s="6" t="s">
        <v>39989</v>
      </c>
      <c r="P332" s="6" t="s">
        <v>39990</v>
      </c>
      <c r="Q332" s="6" t="s">
        <v>39991</v>
      </c>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row>
    <row r="333" spans="1:72">
      <c r="A333" s="8" t="s">
        <v>7086</v>
      </c>
      <c r="B333" s="11" t="s">
        <v>7091</v>
      </c>
      <c r="C333" s="9" t="s">
        <v>138</v>
      </c>
      <c r="D333" s="10" t="s">
        <v>138</v>
      </c>
      <c r="E333" s="28" t="s">
        <v>5720</v>
      </c>
      <c r="F333" s="28" t="s">
        <v>138</v>
      </c>
      <c r="G333" s="28" t="s">
        <v>946</v>
      </c>
      <c r="H333" s="13">
        <v>15</v>
      </c>
      <c r="I333" s="12" t="s">
        <v>7103</v>
      </c>
      <c r="J333" s="12" t="s">
        <v>39992</v>
      </c>
      <c r="K333" s="12" t="s">
        <v>39993</v>
      </c>
      <c r="L333" s="12" t="s">
        <v>38904</v>
      </c>
      <c r="M333" s="12" t="s">
        <v>38881</v>
      </c>
      <c r="N333" s="12" t="s">
        <v>39994</v>
      </c>
      <c r="O333" s="12" t="s">
        <v>39995</v>
      </c>
      <c r="P333" s="12" t="s">
        <v>39996</v>
      </c>
      <c r="Q333" s="12" t="s">
        <v>39997</v>
      </c>
      <c r="R333" s="12" t="s">
        <v>39998</v>
      </c>
      <c r="S333" s="12" t="s">
        <v>39999</v>
      </c>
      <c r="T333" s="12" t="s">
        <v>37839</v>
      </c>
      <c r="U333" s="12" t="s">
        <v>40000</v>
      </c>
      <c r="V333" s="12" t="s">
        <v>40001</v>
      </c>
      <c r="W333" s="12" t="s">
        <v>40002</v>
      </c>
      <c r="X333" s="12" t="s">
        <v>37868</v>
      </c>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12"/>
      <c r="BH333" s="12"/>
      <c r="BI333" s="12"/>
      <c r="BJ333" s="12"/>
      <c r="BK333" s="12"/>
      <c r="BL333" s="12"/>
      <c r="BM333" s="12"/>
      <c r="BN333" s="12"/>
      <c r="BO333" s="12"/>
      <c r="BP333" s="12"/>
      <c r="BQ333" s="12"/>
      <c r="BR333" s="12"/>
      <c r="BS333" s="12"/>
      <c r="BT333" s="12"/>
    </row>
    <row r="334" spans="1:72">
      <c r="A334" s="2" t="s">
        <v>7108</v>
      </c>
      <c r="B334" s="5" t="s">
        <v>7114</v>
      </c>
      <c r="C334" s="3" t="s">
        <v>7109</v>
      </c>
      <c r="D334" s="4" t="s">
        <v>138</v>
      </c>
      <c r="E334" s="15" t="s">
        <v>310</v>
      </c>
      <c r="F334" s="15" t="s">
        <v>200</v>
      </c>
      <c r="G334" s="15" t="s">
        <v>162</v>
      </c>
      <c r="H334" s="7">
        <v>12</v>
      </c>
      <c r="I334" s="6" t="s">
        <v>7124</v>
      </c>
      <c r="J334" s="6" t="s">
        <v>37811</v>
      </c>
      <c r="K334" s="6" t="s">
        <v>39002</v>
      </c>
      <c r="L334" s="6" t="s">
        <v>37819</v>
      </c>
      <c r="M334" s="6" t="s">
        <v>40003</v>
      </c>
      <c r="N334" s="6" t="s">
        <v>40004</v>
      </c>
      <c r="O334" s="6" t="s">
        <v>38334</v>
      </c>
      <c r="P334" s="6" t="s">
        <v>40005</v>
      </c>
      <c r="Q334" s="6" t="s">
        <v>40006</v>
      </c>
      <c r="R334" s="6" t="s">
        <v>38323</v>
      </c>
      <c r="S334" s="6" t="s">
        <v>37781</v>
      </c>
      <c r="T334" s="6" t="s">
        <v>40007</v>
      </c>
      <c r="U334" s="6" t="s">
        <v>39086</v>
      </c>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row>
    <row r="335" spans="1:72">
      <c r="A335" s="8" t="s">
        <v>7127</v>
      </c>
      <c r="B335" s="11" t="s">
        <v>7132</v>
      </c>
      <c r="C335" s="9" t="s">
        <v>138</v>
      </c>
      <c r="D335" s="10" t="s">
        <v>138</v>
      </c>
      <c r="E335" s="28" t="s">
        <v>426</v>
      </c>
      <c r="F335" s="28" t="s">
        <v>426</v>
      </c>
      <c r="G335" s="28" t="s">
        <v>162</v>
      </c>
      <c r="H335" s="13">
        <v>23</v>
      </c>
      <c r="I335" s="12" t="s">
        <v>7141</v>
      </c>
      <c r="J335" s="12" t="s">
        <v>39264</v>
      </c>
      <c r="K335" s="12" t="s">
        <v>39265</v>
      </c>
      <c r="L335" s="12" t="s">
        <v>38662</v>
      </c>
      <c r="M335" s="12" t="s">
        <v>40008</v>
      </c>
      <c r="N335" s="12" t="s">
        <v>40009</v>
      </c>
      <c r="O335" s="12" t="s">
        <v>38376</v>
      </c>
      <c r="P335" s="12" t="s">
        <v>37819</v>
      </c>
      <c r="Q335" s="12" t="s">
        <v>40010</v>
      </c>
      <c r="R335" s="12" t="s">
        <v>40011</v>
      </c>
      <c r="S335" s="12" t="s">
        <v>40012</v>
      </c>
      <c r="T335" s="12" t="s">
        <v>40013</v>
      </c>
      <c r="U335" s="12" t="s">
        <v>37944</v>
      </c>
      <c r="V335" s="12" t="s">
        <v>40014</v>
      </c>
      <c r="W335" s="12" t="s">
        <v>37786</v>
      </c>
      <c r="X335" s="12" t="s">
        <v>40015</v>
      </c>
      <c r="Y335" s="12" t="s">
        <v>38398</v>
      </c>
      <c r="Z335" s="12" t="s">
        <v>38082</v>
      </c>
      <c r="AA335" s="12" t="s">
        <v>38995</v>
      </c>
      <c r="AB335" s="12" t="s">
        <v>40016</v>
      </c>
      <c r="AC335" s="12" t="s">
        <v>40017</v>
      </c>
      <c r="AD335" s="12" t="s">
        <v>40018</v>
      </c>
      <c r="AE335" s="12" t="s">
        <v>40019</v>
      </c>
      <c r="AF335" s="12" t="s">
        <v>40020</v>
      </c>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12"/>
      <c r="BH335" s="12"/>
      <c r="BI335" s="12"/>
      <c r="BJ335" s="12"/>
      <c r="BK335" s="12"/>
      <c r="BL335" s="12"/>
      <c r="BM335" s="12"/>
      <c r="BN335" s="12"/>
      <c r="BO335" s="12"/>
      <c r="BP335" s="12"/>
      <c r="BQ335" s="12"/>
      <c r="BR335" s="12"/>
      <c r="BS335" s="12"/>
      <c r="BT335" s="12"/>
    </row>
    <row r="336" spans="1:72">
      <c r="A336" s="2" t="s">
        <v>7147</v>
      </c>
      <c r="B336" s="5" t="s">
        <v>7152</v>
      </c>
      <c r="C336" s="3" t="s">
        <v>138</v>
      </c>
      <c r="D336" s="4" t="s">
        <v>7148</v>
      </c>
      <c r="E336" s="15" t="s">
        <v>227</v>
      </c>
      <c r="F336" s="15" t="s">
        <v>228</v>
      </c>
      <c r="G336" s="15" t="s">
        <v>162</v>
      </c>
      <c r="H336" s="7">
        <v>1</v>
      </c>
      <c r="I336" s="6" t="s">
        <v>3779</v>
      </c>
      <c r="J336" s="6" t="s">
        <v>3779</v>
      </c>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row>
    <row r="337" spans="1:72">
      <c r="A337" s="8" t="s">
        <v>7169</v>
      </c>
      <c r="B337" s="11" t="s">
        <v>7172</v>
      </c>
      <c r="C337" s="9" t="s">
        <v>138</v>
      </c>
      <c r="D337" s="10" t="s">
        <v>138</v>
      </c>
      <c r="E337" s="28" t="s">
        <v>7180</v>
      </c>
      <c r="F337" s="28" t="s">
        <v>474</v>
      </c>
      <c r="G337" s="28" t="s">
        <v>162</v>
      </c>
      <c r="H337" s="13">
        <v>2</v>
      </c>
      <c r="I337" s="12" t="s">
        <v>7184</v>
      </c>
      <c r="J337" s="12" t="s">
        <v>7802</v>
      </c>
      <c r="K337" s="12" t="s">
        <v>40021</v>
      </c>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row>
    <row r="338" spans="1:72">
      <c r="A338" s="2" t="s">
        <v>7187</v>
      </c>
      <c r="B338" s="5" t="s">
        <v>7191</v>
      </c>
      <c r="C338" s="3" t="s">
        <v>138</v>
      </c>
      <c r="D338" s="4" t="s">
        <v>138</v>
      </c>
      <c r="E338" s="15" t="s">
        <v>7079</v>
      </c>
      <c r="F338" s="15" t="s">
        <v>200</v>
      </c>
      <c r="G338" s="15" t="s">
        <v>162</v>
      </c>
      <c r="H338" s="7">
        <v>15</v>
      </c>
      <c r="I338" s="6" t="s">
        <v>7199</v>
      </c>
      <c r="J338" s="6" t="s">
        <v>39992</v>
      </c>
      <c r="K338" s="6" t="s">
        <v>39924</v>
      </c>
      <c r="L338" s="6" t="s">
        <v>39314</v>
      </c>
      <c r="M338" s="6" t="s">
        <v>40022</v>
      </c>
      <c r="N338" s="6" t="s">
        <v>40023</v>
      </c>
      <c r="O338" s="6" t="s">
        <v>38416</v>
      </c>
      <c r="P338" s="6" t="s">
        <v>40024</v>
      </c>
      <c r="Q338" s="6" t="s">
        <v>39778</v>
      </c>
      <c r="R338" s="6" t="s">
        <v>37787</v>
      </c>
      <c r="S338" s="6" t="s">
        <v>38334</v>
      </c>
      <c r="T338" s="6" t="s">
        <v>39739</v>
      </c>
      <c r="U338" s="6" t="s">
        <v>38918</v>
      </c>
      <c r="V338" s="6" t="s">
        <v>38085</v>
      </c>
      <c r="W338" s="6" t="s">
        <v>40025</v>
      </c>
      <c r="X338" s="6" t="s">
        <v>40026</v>
      </c>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row>
    <row r="339" spans="1:72">
      <c r="A339" s="8" t="s">
        <v>7202</v>
      </c>
      <c r="B339" s="11" t="s">
        <v>7209</v>
      </c>
      <c r="C339" s="9" t="s">
        <v>7203</v>
      </c>
      <c r="D339" s="10" t="s">
        <v>7204</v>
      </c>
      <c r="E339" s="28" t="s">
        <v>7217</v>
      </c>
      <c r="F339" s="28" t="s">
        <v>200</v>
      </c>
      <c r="G339" s="28" t="s">
        <v>162</v>
      </c>
      <c r="H339" s="13">
        <v>18</v>
      </c>
      <c r="I339" s="12" t="s">
        <v>7221</v>
      </c>
      <c r="J339" s="12" t="s">
        <v>40027</v>
      </c>
      <c r="K339" s="12" t="s">
        <v>40028</v>
      </c>
      <c r="L339" s="12" t="s">
        <v>40029</v>
      </c>
      <c r="M339" s="12" t="s">
        <v>38076</v>
      </c>
      <c r="N339" s="12" t="s">
        <v>38694</v>
      </c>
      <c r="O339" s="12" t="s">
        <v>38163</v>
      </c>
      <c r="P339" s="12" t="s">
        <v>39653</v>
      </c>
      <c r="Q339" s="12" t="s">
        <v>40030</v>
      </c>
      <c r="R339" s="12" t="s">
        <v>37786</v>
      </c>
      <c r="S339" s="12" t="s">
        <v>40031</v>
      </c>
      <c r="T339" s="12" t="s">
        <v>40032</v>
      </c>
      <c r="U339" s="12" t="s">
        <v>40033</v>
      </c>
      <c r="V339" s="12" t="s">
        <v>39278</v>
      </c>
      <c r="W339" s="12" t="s">
        <v>38977</v>
      </c>
      <c r="X339" s="12" t="s">
        <v>40034</v>
      </c>
      <c r="Y339" s="12" t="s">
        <v>40035</v>
      </c>
      <c r="Z339" s="12" t="s">
        <v>40036</v>
      </c>
      <c r="AA339" s="12" t="s">
        <v>40037</v>
      </c>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row>
    <row r="340" spans="1:72">
      <c r="A340" s="2" t="s">
        <v>7226</v>
      </c>
      <c r="B340" s="5" t="s">
        <v>7230</v>
      </c>
      <c r="C340" s="3" t="s">
        <v>138</v>
      </c>
      <c r="D340" s="4" t="s">
        <v>138</v>
      </c>
      <c r="E340" s="15" t="s">
        <v>7237</v>
      </c>
      <c r="F340" s="15" t="s">
        <v>138</v>
      </c>
      <c r="G340" s="15" t="s">
        <v>1319</v>
      </c>
      <c r="H340" s="7">
        <v>4</v>
      </c>
      <c r="I340" s="6" t="s">
        <v>7241</v>
      </c>
      <c r="J340" s="6" t="s">
        <v>40038</v>
      </c>
      <c r="K340" s="6" t="s">
        <v>40039</v>
      </c>
      <c r="L340" s="6" t="s">
        <v>40040</v>
      </c>
      <c r="M340" s="6" t="s">
        <v>40041</v>
      </c>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row>
    <row r="341" spans="1:72">
      <c r="A341" s="8" t="s">
        <v>7244</v>
      </c>
      <c r="B341" s="11" t="s">
        <v>7251</v>
      </c>
      <c r="C341" s="9" t="s">
        <v>7245</v>
      </c>
      <c r="D341" s="10" t="s">
        <v>138</v>
      </c>
      <c r="E341" s="28" t="s">
        <v>7259</v>
      </c>
      <c r="F341" s="28" t="s">
        <v>824</v>
      </c>
      <c r="G341" s="28" t="s">
        <v>526</v>
      </c>
      <c r="H341" s="13">
        <v>1</v>
      </c>
      <c r="I341" s="12" t="s">
        <v>7262</v>
      </c>
      <c r="J341" s="12" t="s">
        <v>7262</v>
      </c>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12"/>
      <c r="BH341" s="12"/>
      <c r="BI341" s="12"/>
      <c r="BJ341" s="12"/>
      <c r="BK341" s="12"/>
      <c r="BL341" s="12"/>
      <c r="BM341" s="12"/>
      <c r="BN341" s="12"/>
      <c r="BO341" s="12"/>
      <c r="BP341" s="12"/>
      <c r="BQ341" s="12"/>
      <c r="BR341" s="12"/>
      <c r="BS341" s="12"/>
      <c r="BT341" s="12"/>
    </row>
    <row r="342" spans="1:72">
      <c r="A342" s="2" t="s">
        <v>7270</v>
      </c>
      <c r="B342" s="5" t="s">
        <v>7274</v>
      </c>
      <c r="C342" s="3" t="s">
        <v>138</v>
      </c>
      <c r="D342" s="4" t="s">
        <v>138</v>
      </c>
      <c r="E342" s="15" t="s">
        <v>1294</v>
      </c>
      <c r="F342" s="15" t="s">
        <v>864</v>
      </c>
      <c r="G342" s="15" t="s">
        <v>162</v>
      </c>
      <c r="H342" s="7">
        <v>6</v>
      </c>
      <c r="I342" s="6" t="s">
        <v>7286</v>
      </c>
      <c r="J342" s="6" t="s">
        <v>40042</v>
      </c>
      <c r="K342" s="6" t="s">
        <v>38057</v>
      </c>
      <c r="L342" s="6" t="s">
        <v>40043</v>
      </c>
      <c r="M342" s="6" t="s">
        <v>40044</v>
      </c>
      <c r="N342" s="6" t="s">
        <v>37892</v>
      </c>
      <c r="O342" s="6" t="s">
        <v>39064</v>
      </c>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row>
    <row r="343" spans="1:72">
      <c r="A343" s="8" t="s">
        <v>7290</v>
      </c>
      <c r="B343" s="11" t="s">
        <v>7295</v>
      </c>
      <c r="C343" s="9" t="s">
        <v>138</v>
      </c>
      <c r="D343" s="10" t="s">
        <v>138</v>
      </c>
      <c r="E343" s="28" t="s">
        <v>7302</v>
      </c>
      <c r="F343" s="28" t="s">
        <v>138</v>
      </c>
      <c r="G343" s="28" t="s">
        <v>7304</v>
      </c>
      <c r="H343" s="13">
        <v>6</v>
      </c>
      <c r="I343" s="12" t="s">
        <v>7306</v>
      </c>
      <c r="J343" s="12" t="s">
        <v>40045</v>
      </c>
      <c r="K343" s="12" t="s">
        <v>40046</v>
      </c>
      <c r="L343" s="12" t="s">
        <v>40047</v>
      </c>
      <c r="M343" s="12" t="s">
        <v>38200</v>
      </c>
      <c r="N343" s="12" t="s">
        <v>40048</v>
      </c>
      <c r="O343" s="12" t="s">
        <v>40049</v>
      </c>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row>
    <row r="344" spans="1:72">
      <c r="A344" s="2" t="s">
        <v>7309</v>
      </c>
      <c r="B344" s="5" t="s">
        <v>7313</v>
      </c>
      <c r="C344" s="3" t="s">
        <v>138</v>
      </c>
      <c r="D344" s="4" t="s">
        <v>138</v>
      </c>
      <c r="E344" s="15" t="s">
        <v>370</v>
      </c>
      <c r="F344" s="15" t="s">
        <v>371</v>
      </c>
      <c r="G344" s="15" t="s">
        <v>162</v>
      </c>
      <c r="H344" s="7">
        <v>5</v>
      </c>
      <c r="I344" s="6" t="s">
        <v>7324</v>
      </c>
      <c r="J344" s="6" t="s">
        <v>40050</v>
      </c>
      <c r="K344" s="6" t="s">
        <v>40051</v>
      </c>
      <c r="L344" s="6" t="s">
        <v>38882</v>
      </c>
      <c r="M344" s="6" t="s">
        <v>40052</v>
      </c>
      <c r="N344" s="6" t="s">
        <v>40053</v>
      </c>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row>
    <row r="345" spans="1:72">
      <c r="A345" s="8" t="s">
        <v>7328</v>
      </c>
      <c r="B345" s="11" t="s">
        <v>7334</v>
      </c>
      <c r="C345" s="9" t="s">
        <v>138</v>
      </c>
      <c r="D345" s="10" t="s">
        <v>138</v>
      </c>
      <c r="E345" s="28" t="s">
        <v>966</v>
      </c>
      <c r="F345" s="28" t="s">
        <v>200</v>
      </c>
      <c r="G345" s="28" t="s">
        <v>162</v>
      </c>
      <c r="H345" s="13">
        <v>6</v>
      </c>
      <c r="I345" s="12" t="s">
        <v>7345</v>
      </c>
      <c r="J345" s="12" t="s">
        <v>40054</v>
      </c>
      <c r="K345" s="12" t="s">
        <v>40055</v>
      </c>
      <c r="L345" s="12" t="s">
        <v>37998</v>
      </c>
      <c r="M345" s="12" t="s">
        <v>40056</v>
      </c>
      <c r="N345" s="12" t="s">
        <v>39577</v>
      </c>
      <c r="O345" s="12" t="s">
        <v>38145</v>
      </c>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row>
    <row r="346" spans="1:72">
      <c r="A346" s="2" t="s">
        <v>7351</v>
      </c>
      <c r="B346" s="5" t="s">
        <v>7356</v>
      </c>
      <c r="C346" s="3" t="s">
        <v>138</v>
      </c>
      <c r="D346" s="4" t="s">
        <v>138</v>
      </c>
      <c r="E346" s="15" t="s">
        <v>668</v>
      </c>
      <c r="F346" s="15" t="s">
        <v>200</v>
      </c>
      <c r="G346" s="15" t="s">
        <v>162</v>
      </c>
      <c r="H346" s="7">
        <v>23</v>
      </c>
      <c r="I346" s="6" t="s">
        <v>7364</v>
      </c>
      <c r="J346" s="6">
        <v>1776</v>
      </c>
      <c r="K346" s="6" t="s">
        <v>37843</v>
      </c>
      <c r="L346" s="6" t="s">
        <v>39091</v>
      </c>
      <c r="M346" s="6" t="s">
        <v>40057</v>
      </c>
      <c r="N346" s="6" t="s">
        <v>40058</v>
      </c>
      <c r="O346" s="6" t="s">
        <v>40059</v>
      </c>
      <c r="P346" s="6" t="s">
        <v>40060</v>
      </c>
      <c r="Q346" s="6" t="s">
        <v>38619</v>
      </c>
      <c r="R346" s="6" t="s">
        <v>40061</v>
      </c>
      <c r="S346" s="6" t="s">
        <v>40062</v>
      </c>
      <c r="T346" s="6" t="s">
        <v>40063</v>
      </c>
      <c r="U346" s="6" t="s">
        <v>40064</v>
      </c>
      <c r="V346" s="6" t="s">
        <v>37998</v>
      </c>
      <c r="W346" s="6" t="s">
        <v>40065</v>
      </c>
      <c r="X346" s="6" t="s">
        <v>40066</v>
      </c>
      <c r="Y346" s="6" t="s">
        <v>40067</v>
      </c>
      <c r="Z346" s="6" t="s">
        <v>37890</v>
      </c>
      <c r="AA346" s="6" t="s">
        <v>40068</v>
      </c>
      <c r="AB346" s="6" t="s">
        <v>38954</v>
      </c>
      <c r="AC346" s="6" t="s">
        <v>38267</v>
      </c>
      <c r="AD346" s="6" t="s">
        <v>40069</v>
      </c>
      <c r="AE346" s="6" t="s">
        <v>40070</v>
      </c>
      <c r="AF346" s="6" t="s">
        <v>38789</v>
      </c>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row>
    <row r="347" spans="1:72">
      <c r="A347" s="8" t="s">
        <v>7368</v>
      </c>
      <c r="B347" s="11" t="s">
        <v>7374</v>
      </c>
      <c r="C347" s="9" t="s">
        <v>7369</v>
      </c>
      <c r="D347" s="10" t="s">
        <v>7370</v>
      </c>
      <c r="E347" s="28" t="s">
        <v>3139</v>
      </c>
      <c r="F347" s="28" t="s">
        <v>3140</v>
      </c>
      <c r="G347" s="28" t="s">
        <v>162</v>
      </c>
      <c r="H347" s="13">
        <v>9</v>
      </c>
      <c r="I347" s="12" t="s">
        <v>7384</v>
      </c>
      <c r="J347" s="12" t="s">
        <v>40071</v>
      </c>
      <c r="K347" s="12" t="s">
        <v>40072</v>
      </c>
      <c r="L347" s="12" t="s">
        <v>40073</v>
      </c>
      <c r="M347" s="12" t="s">
        <v>38096</v>
      </c>
      <c r="N347" s="12" t="s">
        <v>38992</v>
      </c>
      <c r="O347" s="12" t="s">
        <v>40074</v>
      </c>
      <c r="P347" s="12" t="s">
        <v>38770</v>
      </c>
      <c r="Q347" s="12" t="s">
        <v>40075</v>
      </c>
      <c r="R347" s="12" t="s">
        <v>40076</v>
      </c>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2"/>
    </row>
    <row r="348" spans="1:72">
      <c r="A348" s="2" t="s">
        <v>7387</v>
      </c>
      <c r="B348" s="5" t="s">
        <v>7393</v>
      </c>
      <c r="C348" s="3" t="s">
        <v>138</v>
      </c>
      <c r="D348" s="4" t="s">
        <v>138</v>
      </c>
      <c r="E348" s="15" t="s">
        <v>1872</v>
      </c>
      <c r="F348" s="15" t="s">
        <v>200</v>
      </c>
      <c r="G348" s="15" t="s">
        <v>162</v>
      </c>
      <c r="H348" s="7">
        <v>12</v>
      </c>
      <c r="I348" s="6" t="s">
        <v>7402</v>
      </c>
      <c r="J348" s="6" t="s">
        <v>38330</v>
      </c>
      <c r="K348" s="6" t="s">
        <v>40077</v>
      </c>
      <c r="L348" s="6" t="s">
        <v>38416</v>
      </c>
      <c r="M348" s="6" t="s">
        <v>38418</v>
      </c>
      <c r="N348" s="6" t="s">
        <v>38333</v>
      </c>
      <c r="O348" s="6" t="s">
        <v>39057</v>
      </c>
      <c r="P348" s="6" t="s">
        <v>40078</v>
      </c>
      <c r="Q348" s="6" t="s">
        <v>40079</v>
      </c>
      <c r="R348" s="6" t="s">
        <v>37890</v>
      </c>
      <c r="S348" s="6" t="s">
        <v>40080</v>
      </c>
      <c r="T348" s="6" t="s">
        <v>38579</v>
      </c>
      <c r="U348" s="6" t="s">
        <v>39551</v>
      </c>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row>
    <row r="349" spans="1:72">
      <c r="A349" s="8" t="s">
        <v>7407</v>
      </c>
      <c r="B349" s="11" t="s">
        <v>7414</v>
      </c>
      <c r="C349" s="9" t="s">
        <v>138</v>
      </c>
      <c r="D349" s="10" t="s">
        <v>138</v>
      </c>
      <c r="E349" s="28" t="s">
        <v>426</v>
      </c>
      <c r="F349" s="28" t="s">
        <v>426</v>
      </c>
      <c r="G349" s="28" t="s">
        <v>162</v>
      </c>
      <c r="H349" s="13">
        <v>14</v>
      </c>
      <c r="I349" s="12" t="s">
        <v>7421</v>
      </c>
      <c r="J349" s="12" t="s">
        <v>40081</v>
      </c>
      <c r="K349" s="12" t="s">
        <v>38162</v>
      </c>
      <c r="L349" s="12" t="s">
        <v>39434</v>
      </c>
      <c r="M349" s="12" t="s">
        <v>40082</v>
      </c>
      <c r="N349" s="12" t="s">
        <v>38367</v>
      </c>
      <c r="O349" s="12" t="s">
        <v>40083</v>
      </c>
      <c r="P349" s="12" t="s">
        <v>37801</v>
      </c>
      <c r="Q349" s="12" t="s">
        <v>38677</v>
      </c>
      <c r="R349" s="12" t="s">
        <v>38188</v>
      </c>
      <c r="S349" s="12" t="s">
        <v>38199</v>
      </c>
      <c r="T349" s="12" t="s">
        <v>38369</v>
      </c>
      <c r="U349" s="12" t="s">
        <v>40084</v>
      </c>
      <c r="V349" s="12" t="s">
        <v>39483</v>
      </c>
      <c r="W349" s="12" t="s">
        <v>37998</v>
      </c>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row>
    <row r="350" spans="1:72">
      <c r="A350" s="2" t="s">
        <v>7424</v>
      </c>
      <c r="B350" s="5" t="s">
        <v>7428</v>
      </c>
      <c r="C350" s="3" t="s">
        <v>138</v>
      </c>
      <c r="D350" s="4" t="s">
        <v>138</v>
      </c>
      <c r="E350" s="15" t="s">
        <v>7436</v>
      </c>
      <c r="F350" s="15" t="s">
        <v>200</v>
      </c>
      <c r="G350" s="15" t="s">
        <v>162</v>
      </c>
      <c r="H350" s="7">
        <v>14</v>
      </c>
      <c r="I350" s="6" t="s">
        <v>7440</v>
      </c>
      <c r="J350" s="6" t="s">
        <v>39846</v>
      </c>
      <c r="K350" s="6" t="s">
        <v>39254</v>
      </c>
      <c r="L350" s="6" t="s">
        <v>40085</v>
      </c>
      <c r="M350" s="6" t="s">
        <v>40086</v>
      </c>
      <c r="N350" s="6" t="s">
        <v>39097</v>
      </c>
      <c r="O350" s="6" t="s">
        <v>39572</v>
      </c>
      <c r="P350" s="6" t="s">
        <v>37786</v>
      </c>
      <c r="Q350" s="6" t="s">
        <v>40087</v>
      </c>
      <c r="R350" s="6" t="s">
        <v>40088</v>
      </c>
      <c r="S350" s="6" t="s">
        <v>40089</v>
      </c>
      <c r="T350" s="6" t="s">
        <v>37781</v>
      </c>
      <c r="U350" s="6" t="s">
        <v>40090</v>
      </c>
      <c r="V350" s="6" t="s">
        <v>40091</v>
      </c>
      <c r="W350" s="6" t="s">
        <v>40092</v>
      </c>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row>
    <row r="351" spans="1:72">
      <c r="A351" s="8" t="s">
        <v>7448</v>
      </c>
      <c r="B351" s="11" t="s">
        <v>7454</v>
      </c>
      <c r="C351" s="9" t="s">
        <v>138</v>
      </c>
      <c r="D351" s="10" t="s">
        <v>138</v>
      </c>
      <c r="E351" s="28" t="s">
        <v>7463</v>
      </c>
      <c r="F351" s="28" t="s">
        <v>4493</v>
      </c>
      <c r="G351" s="28" t="s">
        <v>162</v>
      </c>
      <c r="H351" s="13">
        <v>4</v>
      </c>
      <c r="I351" s="12" t="s">
        <v>7467</v>
      </c>
      <c r="J351" s="12" t="s">
        <v>30367</v>
      </c>
      <c r="K351" s="12" t="s">
        <v>37819</v>
      </c>
      <c r="L351" s="12" t="s">
        <v>38331</v>
      </c>
      <c r="M351" s="12" t="s">
        <v>39726</v>
      </c>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row>
    <row r="352" spans="1:72">
      <c r="A352" s="2" t="s">
        <v>7470</v>
      </c>
      <c r="B352" s="5" t="s">
        <v>7474</v>
      </c>
      <c r="C352" s="3" t="s">
        <v>138</v>
      </c>
      <c r="D352" s="4" t="s">
        <v>138</v>
      </c>
      <c r="E352" s="15" t="s">
        <v>1516</v>
      </c>
      <c r="F352" s="15" t="s">
        <v>284</v>
      </c>
      <c r="G352" s="15" t="s">
        <v>162</v>
      </c>
      <c r="H352" s="7">
        <v>5</v>
      </c>
      <c r="I352" s="6" t="s">
        <v>7484</v>
      </c>
      <c r="J352" s="6" t="s">
        <v>39050</v>
      </c>
      <c r="K352" s="6" t="s">
        <v>40093</v>
      </c>
      <c r="L352" s="6" t="s">
        <v>38579</v>
      </c>
      <c r="M352" s="6" t="s">
        <v>38536</v>
      </c>
      <c r="N352" s="6" t="s">
        <v>38337</v>
      </c>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row>
    <row r="353" spans="1:72">
      <c r="A353" s="8" t="s">
        <v>7487</v>
      </c>
      <c r="B353" s="11" t="s">
        <v>7493</v>
      </c>
      <c r="C353" s="9" t="s">
        <v>138</v>
      </c>
      <c r="D353" s="10" t="s">
        <v>138</v>
      </c>
      <c r="E353" s="28" t="s">
        <v>668</v>
      </c>
      <c r="F353" s="28" t="s">
        <v>200</v>
      </c>
      <c r="G353" s="28" t="s">
        <v>162</v>
      </c>
      <c r="H353" s="13">
        <v>9</v>
      </c>
      <c r="I353" s="12" t="s">
        <v>7501</v>
      </c>
      <c r="J353" s="12" t="s">
        <v>40094</v>
      </c>
      <c r="K353" s="12" t="s">
        <v>40095</v>
      </c>
      <c r="L353" s="12" t="s">
        <v>39325</v>
      </c>
      <c r="M353" s="12" t="s">
        <v>37839</v>
      </c>
      <c r="N353" s="12" t="s">
        <v>40096</v>
      </c>
      <c r="O353" s="12" t="s">
        <v>38731</v>
      </c>
      <c r="P353" s="12" t="s">
        <v>40097</v>
      </c>
      <c r="Q353" s="12" t="s">
        <v>37868</v>
      </c>
      <c r="R353" s="12" t="s">
        <v>40098</v>
      </c>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12"/>
      <c r="BH353" s="12"/>
      <c r="BI353" s="12"/>
      <c r="BJ353" s="12"/>
      <c r="BK353" s="12"/>
      <c r="BL353" s="12"/>
      <c r="BM353" s="12"/>
      <c r="BN353" s="12"/>
      <c r="BO353" s="12"/>
      <c r="BP353" s="12"/>
      <c r="BQ353" s="12"/>
      <c r="BR353" s="12"/>
      <c r="BS353" s="12"/>
      <c r="BT353" s="12"/>
    </row>
    <row r="354" spans="1:72">
      <c r="A354" s="2" t="s">
        <v>7506</v>
      </c>
      <c r="B354" s="5" t="s">
        <v>7510</v>
      </c>
      <c r="C354" s="3" t="s">
        <v>138</v>
      </c>
      <c r="D354" s="4" t="s">
        <v>138</v>
      </c>
      <c r="E354" s="15" t="s">
        <v>6495</v>
      </c>
      <c r="F354" s="15" t="s">
        <v>138</v>
      </c>
      <c r="G354" s="15" t="s">
        <v>6495</v>
      </c>
      <c r="H354" s="7">
        <v>6</v>
      </c>
      <c r="I354" s="6" t="s">
        <v>7521</v>
      </c>
      <c r="J354" s="6" t="s">
        <v>40099</v>
      </c>
      <c r="K354" s="6" t="s">
        <v>40100</v>
      </c>
      <c r="L354" s="6" t="s">
        <v>39688</v>
      </c>
      <c r="M354" s="6" t="s">
        <v>40101</v>
      </c>
      <c r="N354" s="6" t="s">
        <v>38363</v>
      </c>
      <c r="O354" s="6" t="s">
        <v>40102</v>
      </c>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row>
    <row r="355" spans="1:72">
      <c r="A355" s="8" t="s">
        <v>7525</v>
      </c>
      <c r="B355" s="11" t="s">
        <v>7533</v>
      </c>
      <c r="C355" s="9" t="s">
        <v>138</v>
      </c>
      <c r="D355" s="10" t="s">
        <v>138</v>
      </c>
      <c r="E355" s="28" t="s">
        <v>2718</v>
      </c>
      <c r="F355" s="28" t="s">
        <v>138</v>
      </c>
      <c r="G355" s="28" t="s">
        <v>2719</v>
      </c>
      <c r="H355" s="13">
        <v>25</v>
      </c>
      <c r="I355" s="12" t="s">
        <v>7541</v>
      </c>
      <c r="J355" s="12" t="s">
        <v>27849</v>
      </c>
      <c r="K355" s="12" t="s">
        <v>40103</v>
      </c>
      <c r="L355" s="12" t="s">
        <v>40104</v>
      </c>
      <c r="M355" s="12" t="s">
        <v>40105</v>
      </c>
      <c r="N355" s="12" t="s">
        <v>40106</v>
      </c>
      <c r="O355" s="12" t="s">
        <v>40107</v>
      </c>
      <c r="P355" s="12" t="s">
        <v>40108</v>
      </c>
      <c r="Q355" s="12" t="s">
        <v>40109</v>
      </c>
      <c r="R355" s="12" t="s">
        <v>40110</v>
      </c>
      <c r="S355" s="12" t="s">
        <v>40111</v>
      </c>
      <c r="T355" s="12" t="s">
        <v>40112</v>
      </c>
      <c r="U355" s="12" t="s">
        <v>40113</v>
      </c>
      <c r="V355" s="12" t="s">
        <v>40114</v>
      </c>
      <c r="W355" s="12" t="s">
        <v>40115</v>
      </c>
      <c r="X355" s="12" t="s">
        <v>40116</v>
      </c>
      <c r="Y355" s="12" t="s">
        <v>40117</v>
      </c>
      <c r="Z355" s="12" t="s">
        <v>40118</v>
      </c>
      <c r="AA355" s="12" t="s">
        <v>40119</v>
      </c>
      <c r="AB355" s="12" t="s">
        <v>38363</v>
      </c>
      <c r="AC355" s="12" t="s">
        <v>39246</v>
      </c>
      <c r="AD355" s="12" t="s">
        <v>40120</v>
      </c>
      <c r="AE355" s="12" t="s">
        <v>40121</v>
      </c>
      <c r="AF355" s="12" t="s">
        <v>40122</v>
      </c>
      <c r="AG355" s="12" t="s">
        <v>40123</v>
      </c>
      <c r="AH355" s="12" t="s">
        <v>40124</v>
      </c>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2"/>
    </row>
    <row r="356" spans="1:72">
      <c r="A356" s="2" t="s">
        <v>7545</v>
      </c>
      <c r="B356" s="5" t="s">
        <v>7551</v>
      </c>
      <c r="C356" s="3" t="s">
        <v>138</v>
      </c>
      <c r="D356" s="4" t="s">
        <v>138</v>
      </c>
      <c r="E356" s="15" t="s">
        <v>668</v>
      </c>
      <c r="F356" s="15" t="s">
        <v>200</v>
      </c>
      <c r="G356" s="15" t="s">
        <v>162</v>
      </c>
      <c r="H356" s="7">
        <v>8</v>
      </c>
      <c r="I356" s="6" t="s">
        <v>7559</v>
      </c>
      <c r="J356" s="6" t="s">
        <v>36216</v>
      </c>
      <c r="K356" s="6" t="s">
        <v>37949</v>
      </c>
      <c r="L356" s="6" t="s">
        <v>40125</v>
      </c>
      <c r="M356" s="6" t="s">
        <v>40126</v>
      </c>
      <c r="N356" s="6" t="s">
        <v>40127</v>
      </c>
      <c r="O356" s="6" t="s">
        <v>40128</v>
      </c>
      <c r="P356" s="6" t="s">
        <v>38816</v>
      </c>
      <c r="Q356" s="6" t="s">
        <v>37976</v>
      </c>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row>
    <row r="357" spans="1:72">
      <c r="A357" s="8" t="s">
        <v>7563</v>
      </c>
      <c r="B357" s="11" t="s">
        <v>7569</v>
      </c>
      <c r="C357" s="9" t="s">
        <v>138</v>
      </c>
      <c r="D357" s="10" t="s">
        <v>138</v>
      </c>
      <c r="E357" s="28" t="s">
        <v>7578</v>
      </c>
      <c r="F357" s="28" t="s">
        <v>138</v>
      </c>
      <c r="G357" s="28" t="s">
        <v>946</v>
      </c>
      <c r="H357" s="13">
        <v>7</v>
      </c>
      <c r="I357" s="12" t="s">
        <v>7583</v>
      </c>
      <c r="J357" s="12" t="s">
        <v>40129</v>
      </c>
      <c r="K357" s="12" t="s">
        <v>37786</v>
      </c>
      <c r="L357" s="12" t="s">
        <v>39996</v>
      </c>
      <c r="M357" s="12" t="s">
        <v>38890</v>
      </c>
      <c r="N357" s="12" t="s">
        <v>40130</v>
      </c>
      <c r="O357" s="12" t="s">
        <v>40131</v>
      </c>
      <c r="P357" s="12" t="s">
        <v>37868</v>
      </c>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2"/>
    </row>
    <row r="358" spans="1:72">
      <c r="A358" s="2" t="s">
        <v>7588</v>
      </c>
      <c r="B358" s="5" t="s">
        <v>7595</v>
      </c>
      <c r="C358" s="3" t="s">
        <v>7589</v>
      </c>
      <c r="D358" s="4" t="s">
        <v>138</v>
      </c>
      <c r="E358" s="15" t="s">
        <v>7604</v>
      </c>
      <c r="F358" s="15" t="s">
        <v>7605</v>
      </c>
      <c r="G358" s="15" t="s">
        <v>162</v>
      </c>
      <c r="H358" s="7" t="s">
        <v>138</v>
      </c>
      <c r="I358" s="6" t="s">
        <v>138</v>
      </c>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row>
    <row r="359" spans="1:72">
      <c r="A359" s="8" t="s">
        <v>7616</v>
      </c>
      <c r="B359" s="11" t="s">
        <v>7623</v>
      </c>
      <c r="C359" s="9" t="s">
        <v>7617</v>
      </c>
      <c r="D359" s="10" t="s">
        <v>7618</v>
      </c>
      <c r="E359" s="28" t="s">
        <v>7632</v>
      </c>
      <c r="F359" s="28" t="s">
        <v>371</v>
      </c>
      <c r="G359" s="28" t="s">
        <v>162</v>
      </c>
      <c r="H359" s="13">
        <v>1</v>
      </c>
      <c r="I359" s="12" t="s">
        <v>7637</v>
      </c>
      <c r="J359" s="12" t="s">
        <v>7637</v>
      </c>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row>
    <row r="360" spans="1:72">
      <c r="A360" s="2" t="s">
        <v>7641</v>
      </c>
      <c r="B360" s="5" t="s">
        <v>7646</v>
      </c>
      <c r="C360" s="3" t="s">
        <v>138</v>
      </c>
      <c r="D360" s="4" t="s">
        <v>138</v>
      </c>
      <c r="E360" s="15" t="s">
        <v>426</v>
      </c>
      <c r="F360" s="15" t="s">
        <v>426</v>
      </c>
      <c r="G360" s="15" t="s">
        <v>162</v>
      </c>
      <c r="H360" s="7">
        <v>8</v>
      </c>
      <c r="I360" s="6" t="s">
        <v>7656</v>
      </c>
      <c r="J360" s="6" t="s">
        <v>25482</v>
      </c>
      <c r="K360" s="6" t="s">
        <v>39399</v>
      </c>
      <c r="L360" s="6" t="s">
        <v>37788</v>
      </c>
      <c r="M360" s="6" t="s">
        <v>38319</v>
      </c>
      <c r="N360" s="6" t="s">
        <v>38948</v>
      </c>
      <c r="O360" s="6" t="s">
        <v>40132</v>
      </c>
      <c r="P360" s="6" t="s">
        <v>40133</v>
      </c>
      <c r="Q360" s="6" t="s">
        <v>40134</v>
      </c>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row>
    <row r="361" spans="1:72">
      <c r="A361" s="8" t="s">
        <v>7660</v>
      </c>
      <c r="B361" s="11" t="s">
        <v>7664</v>
      </c>
      <c r="C361" s="9" t="s">
        <v>138</v>
      </c>
      <c r="D361" s="10" t="s">
        <v>138</v>
      </c>
      <c r="E361" s="28" t="s">
        <v>426</v>
      </c>
      <c r="F361" s="28" t="s">
        <v>426</v>
      </c>
      <c r="G361" s="28" t="s">
        <v>162</v>
      </c>
      <c r="H361" s="13">
        <v>14</v>
      </c>
      <c r="I361" s="12" t="s">
        <v>7674</v>
      </c>
      <c r="J361" s="12" t="s">
        <v>40135</v>
      </c>
      <c r="K361" s="12" t="s">
        <v>40136</v>
      </c>
      <c r="L361" s="12" t="s">
        <v>40137</v>
      </c>
      <c r="M361" s="12" t="s">
        <v>40138</v>
      </c>
      <c r="N361" s="12" t="s">
        <v>40139</v>
      </c>
      <c r="O361" s="12" t="s">
        <v>37824</v>
      </c>
      <c r="P361" s="12" t="s">
        <v>40140</v>
      </c>
      <c r="Q361" s="12" t="s">
        <v>37998</v>
      </c>
      <c r="R361" s="12" t="s">
        <v>40141</v>
      </c>
      <c r="S361" s="12" t="s">
        <v>38926</v>
      </c>
      <c r="T361" s="12" t="s">
        <v>38821</v>
      </c>
      <c r="U361" s="12" t="s">
        <v>38371</v>
      </c>
      <c r="V361" s="12" t="s">
        <v>40142</v>
      </c>
      <c r="W361" s="12" t="s">
        <v>40143</v>
      </c>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row>
    <row r="362" spans="1:72">
      <c r="A362" s="2" t="s">
        <v>7677</v>
      </c>
      <c r="B362" s="5" t="s">
        <v>7681</v>
      </c>
      <c r="C362" s="3" t="s">
        <v>138</v>
      </c>
      <c r="D362" s="4" t="s">
        <v>138</v>
      </c>
      <c r="E362" s="15" t="s">
        <v>7689</v>
      </c>
      <c r="F362" s="15" t="s">
        <v>7690</v>
      </c>
      <c r="G362" s="15" t="s">
        <v>2071</v>
      </c>
      <c r="H362" s="7">
        <v>3</v>
      </c>
      <c r="I362" s="6" t="s">
        <v>7694</v>
      </c>
      <c r="J362" s="6" t="s">
        <v>25820</v>
      </c>
      <c r="K362" s="6" t="s">
        <v>40144</v>
      </c>
      <c r="L362" s="6" t="s">
        <v>40145</v>
      </c>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row>
    <row r="363" spans="1:72">
      <c r="A363" s="8" t="s">
        <v>7697</v>
      </c>
      <c r="B363" s="11" t="s">
        <v>7702</v>
      </c>
      <c r="C363" s="9" t="s">
        <v>138</v>
      </c>
      <c r="D363" s="10" t="s">
        <v>138</v>
      </c>
      <c r="E363" s="28" t="s">
        <v>310</v>
      </c>
      <c r="F363" s="28" t="s">
        <v>200</v>
      </c>
      <c r="G363" s="28" t="s">
        <v>162</v>
      </c>
      <c r="H363" s="13">
        <v>17</v>
      </c>
      <c r="I363" s="12" t="s">
        <v>7713</v>
      </c>
      <c r="J363" s="12" t="s">
        <v>37811</v>
      </c>
      <c r="K363" s="12" t="s">
        <v>38776</v>
      </c>
      <c r="L363" s="12" t="s">
        <v>40146</v>
      </c>
      <c r="M363" s="12" t="s">
        <v>38339</v>
      </c>
      <c r="N363" s="12" t="s">
        <v>40147</v>
      </c>
      <c r="O363" s="12" t="s">
        <v>40148</v>
      </c>
      <c r="P363" s="12" t="s">
        <v>39422</v>
      </c>
      <c r="Q363" s="12" t="s">
        <v>40149</v>
      </c>
      <c r="R363" s="12" t="s">
        <v>38114</v>
      </c>
      <c r="S363" s="12" t="s">
        <v>37954</v>
      </c>
      <c r="T363" s="12" t="s">
        <v>39642</v>
      </c>
      <c r="U363" s="12" t="s">
        <v>37805</v>
      </c>
      <c r="V363" s="12" t="s">
        <v>40150</v>
      </c>
      <c r="W363" s="12" t="s">
        <v>38813</v>
      </c>
      <c r="X363" s="12" t="s">
        <v>39662</v>
      </c>
      <c r="Y363" s="12" t="s">
        <v>38753</v>
      </c>
      <c r="Z363" s="12" t="s">
        <v>38337</v>
      </c>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2"/>
    </row>
    <row r="364" spans="1:72">
      <c r="A364" s="2" t="s">
        <v>7717</v>
      </c>
      <c r="B364" s="5" t="s">
        <v>7723</v>
      </c>
      <c r="C364" s="3" t="s">
        <v>7718</v>
      </c>
      <c r="D364" s="4" t="s">
        <v>138</v>
      </c>
      <c r="E364" s="15" t="s">
        <v>668</v>
      </c>
      <c r="F364" s="15" t="s">
        <v>200</v>
      </c>
      <c r="G364" s="15" t="s">
        <v>162</v>
      </c>
      <c r="H364" s="7">
        <v>13</v>
      </c>
      <c r="I364" s="6" t="s">
        <v>7731</v>
      </c>
      <c r="J364" s="6" t="s">
        <v>38061</v>
      </c>
      <c r="K364" s="6" t="s">
        <v>40151</v>
      </c>
      <c r="L364" s="6" t="s">
        <v>37795</v>
      </c>
      <c r="M364" s="6" t="s">
        <v>37949</v>
      </c>
      <c r="N364" s="6" t="s">
        <v>40152</v>
      </c>
      <c r="O364" s="6" t="s">
        <v>39414</v>
      </c>
      <c r="P364" s="6" t="s">
        <v>37952</v>
      </c>
      <c r="Q364" s="6" t="s">
        <v>38121</v>
      </c>
      <c r="R364" s="6" t="s">
        <v>37960</v>
      </c>
      <c r="S364" s="6" t="s">
        <v>39394</v>
      </c>
      <c r="T364" s="6" t="s">
        <v>40153</v>
      </c>
      <c r="U364" s="6" t="s">
        <v>38323</v>
      </c>
      <c r="V364" s="6" t="s">
        <v>37976</v>
      </c>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row>
    <row r="365" spans="1:72">
      <c r="A365" s="8" t="s">
        <v>7735</v>
      </c>
      <c r="B365" s="11" t="s">
        <v>7740</v>
      </c>
      <c r="C365" s="9" t="s">
        <v>138</v>
      </c>
      <c r="D365" s="10" t="s">
        <v>138</v>
      </c>
      <c r="E365" s="28" t="s">
        <v>7748</v>
      </c>
      <c r="F365" s="28" t="s">
        <v>200</v>
      </c>
      <c r="G365" s="28" t="s">
        <v>162</v>
      </c>
      <c r="H365" s="13">
        <v>9</v>
      </c>
      <c r="I365" s="12" t="s">
        <v>7752</v>
      </c>
      <c r="J365" s="12" t="s">
        <v>40154</v>
      </c>
      <c r="K365" s="12" t="s">
        <v>40155</v>
      </c>
      <c r="L365" s="12" t="s">
        <v>40156</v>
      </c>
      <c r="M365" s="12" t="s">
        <v>40157</v>
      </c>
      <c r="N365" s="12" t="s">
        <v>37955</v>
      </c>
      <c r="O365" s="12" t="s">
        <v>40158</v>
      </c>
      <c r="P365" s="12" t="s">
        <v>38746</v>
      </c>
      <c r="Q365" s="12" t="s">
        <v>40159</v>
      </c>
      <c r="R365" s="12" t="s">
        <v>39143</v>
      </c>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row>
    <row r="366" spans="1:72">
      <c r="A366" s="2" t="s">
        <v>7758</v>
      </c>
      <c r="B366" s="5" t="s">
        <v>7762</v>
      </c>
      <c r="C366" s="3" t="s">
        <v>138</v>
      </c>
      <c r="D366" s="4" t="s">
        <v>138</v>
      </c>
      <c r="E366" s="15" t="s">
        <v>2882</v>
      </c>
      <c r="F366" s="15" t="s">
        <v>2883</v>
      </c>
      <c r="G366" s="15" t="s">
        <v>162</v>
      </c>
      <c r="H366" s="7">
        <v>13</v>
      </c>
      <c r="I366" s="6" t="s">
        <v>7772</v>
      </c>
      <c r="J366" s="6" t="s">
        <v>39931</v>
      </c>
      <c r="K366" s="6" t="s">
        <v>40160</v>
      </c>
      <c r="L366" s="6" t="s">
        <v>40161</v>
      </c>
      <c r="M366" s="6" t="s">
        <v>37819</v>
      </c>
      <c r="N366" s="6" t="s">
        <v>39332</v>
      </c>
      <c r="O366" s="6" t="s">
        <v>40162</v>
      </c>
      <c r="P366" s="6" t="s">
        <v>40163</v>
      </c>
      <c r="Q366" s="6" t="s">
        <v>40164</v>
      </c>
      <c r="R366" s="6" t="s">
        <v>40165</v>
      </c>
      <c r="S366" s="6" t="s">
        <v>37998</v>
      </c>
      <c r="T366" s="6" t="s">
        <v>40166</v>
      </c>
      <c r="U366" s="6" t="s">
        <v>40167</v>
      </c>
      <c r="V366" s="6" t="s">
        <v>40168</v>
      </c>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row>
    <row r="367" spans="1:72">
      <c r="A367" s="8" t="s">
        <v>7775</v>
      </c>
      <c r="B367" s="11" t="s">
        <v>7778</v>
      </c>
      <c r="C367" s="9" t="s">
        <v>138</v>
      </c>
      <c r="D367" s="10" t="s">
        <v>138</v>
      </c>
      <c r="E367" s="28" t="s">
        <v>2931</v>
      </c>
      <c r="F367" s="28" t="s">
        <v>200</v>
      </c>
      <c r="G367" s="28" t="s">
        <v>162</v>
      </c>
      <c r="H367" s="13">
        <v>10</v>
      </c>
      <c r="I367" s="12" t="s">
        <v>7786</v>
      </c>
      <c r="J367" s="12" t="s">
        <v>455</v>
      </c>
      <c r="K367" s="12" t="s">
        <v>38075</v>
      </c>
      <c r="L367" s="12" t="s">
        <v>38484</v>
      </c>
      <c r="M367" s="12" t="s">
        <v>38964</v>
      </c>
      <c r="N367" s="12" t="s">
        <v>40169</v>
      </c>
      <c r="O367" s="12" t="s">
        <v>38702</v>
      </c>
      <c r="P367" s="12" t="s">
        <v>38954</v>
      </c>
      <c r="Q367" s="12" t="s">
        <v>38657</v>
      </c>
      <c r="R367" s="12" t="s">
        <v>38658</v>
      </c>
      <c r="S367" s="12" t="s">
        <v>38169</v>
      </c>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12"/>
      <c r="BH367" s="12"/>
      <c r="BI367" s="12"/>
      <c r="BJ367" s="12"/>
      <c r="BK367" s="12"/>
      <c r="BL367" s="12"/>
      <c r="BM367" s="12"/>
      <c r="BN367" s="12"/>
      <c r="BO367" s="12"/>
      <c r="BP367" s="12"/>
      <c r="BQ367" s="12"/>
      <c r="BR367" s="12"/>
      <c r="BS367" s="12"/>
      <c r="BT367" s="12"/>
    </row>
    <row r="368" spans="1:72">
      <c r="A368" s="2" t="s">
        <v>7789</v>
      </c>
      <c r="B368" s="5" t="s">
        <v>7794</v>
      </c>
      <c r="C368" s="3" t="s">
        <v>138</v>
      </c>
      <c r="D368" s="4" t="s">
        <v>138</v>
      </c>
      <c r="E368" s="15" t="s">
        <v>823</v>
      </c>
      <c r="F368" s="15" t="s">
        <v>824</v>
      </c>
      <c r="G368" s="15" t="s">
        <v>526</v>
      </c>
      <c r="H368" s="7">
        <v>1</v>
      </c>
      <c r="I368" s="6" t="s">
        <v>7802</v>
      </c>
      <c r="J368" s="6" t="s">
        <v>7802</v>
      </c>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row>
    <row r="369" spans="1:72">
      <c r="A369" s="8" t="s">
        <v>7804</v>
      </c>
      <c r="B369" s="11" t="s">
        <v>7809</v>
      </c>
      <c r="C369" s="9" t="s">
        <v>138</v>
      </c>
      <c r="D369" s="10" t="s">
        <v>138</v>
      </c>
      <c r="E369" s="28" t="s">
        <v>426</v>
      </c>
      <c r="F369" s="28" t="s">
        <v>426</v>
      </c>
      <c r="G369" s="28" t="s">
        <v>162</v>
      </c>
      <c r="H369" s="13">
        <v>11</v>
      </c>
      <c r="I369" s="12" t="s">
        <v>7818</v>
      </c>
      <c r="J369" s="12" t="s">
        <v>40170</v>
      </c>
      <c r="K369" s="12" t="s">
        <v>40171</v>
      </c>
      <c r="L369" s="12" t="s">
        <v>39851</v>
      </c>
      <c r="M369" s="12" t="s">
        <v>40140</v>
      </c>
      <c r="N369" s="12" t="s">
        <v>38785</v>
      </c>
      <c r="O369" s="12" t="s">
        <v>38926</v>
      </c>
      <c r="P369" s="12" t="s">
        <v>38821</v>
      </c>
      <c r="Q369" s="12" t="s">
        <v>40172</v>
      </c>
      <c r="R369" s="12" t="s">
        <v>40173</v>
      </c>
      <c r="S369" s="12" t="s">
        <v>38371</v>
      </c>
      <c r="T369" s="12" t="s">
        <v>40174</v>
      </c>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12"/>
      <c r="BH369" s="12"/>
      <c r="BI369" s="12"/>
      <c r="BJ369" s="12"/>
      <c r="BK369" s="12"/>
      <c r="BL369" s="12"/>
      <c r="BM369" s="12"/>
      <c r="BN369" s="12"/>
      <c r="BO369" s="12"/>
      <c r="BP369" s="12"/>
      <c r="BQ369" s="12"/>
      <c r="BR369" s="12"/>
      <c r="BS369" s="12"/>
      <c r="BT369" s="12"/>
    </row>
    <row r="370" spans="1:72">
      <c r="A370" s="2" t="s">
        <v>7821</v>
      </c>
      <c r="B370" s="5" t="s">
        <v>7825</v>
      </c>
      <c r="C370" s="3" t="s">
        <v>138</v>
      </c>
      <c r="D370" s="4" t="s">
        <v>138</v>
      </c>
      <c r="E370" s="15" t="s">
        <v>1198</v>
      </c>
      <c r="F370" s="15" t="s">
        <v>138</v>
      </c>
      <c r="G370" s="15" t="s">
        <v>1200</v>
      </c>
      <c r="H370" s="7">
        <v>4</v>
      </c>
      <c r="I370" s="6" t="s">
        <v>7834</v>
      </c>
      <c r="J370" s="6" t="s">
        <v>8682</v>
      </c>
      <c r="K370" s="6" t="s">
        <v>39460</v>
      </c>
      <c r="L370" s="6" t="s">
        <v>39196</v>
      </c>
      <c r="M370" s="6" t="s">
        <v>37781</v>
      </c>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row>
    <row r="371" spans="1:72">
      <c r="A371" s="8" t="s">
        <v>7837</v>
      </c>
      <c r="B371" s="11" t="s">
        <v>7840</v>
      </c>
      <c r="C371" s="9" t="s">
        <v>138</v>
      </c>
      <c r="D371" s="10" t="s">
        <v>138</v>
      </c>
      <c r="E371" s="28" t="s">
        <v>1198</v>
      </c>
      <c r="F371" s="28" t="s">
        <v>138</v>
      </c>
      <c r="G371" s="28" t="s">
        <v>1200</v>
      </c>
      <c r="H371" s="13">
        <v>4</v>
      </c>
      <c r="I371" s="12" t="s">
        <v>7849</v>
      </c>
      <c r="J371" s="12" t="s">
        <v>40175</v>
      </c>
      <c r="K371" s="12" t="s">
        <v>40176</v>
      </c>
      <c r="L371" s="12" t="s">
        <v>39343</v>
      </c>
      <c r="M371" s="12" t="s">
        <v>38200</v>
      </c>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row>
    <row r="372" spans="1:72">
      <c r="A372" s="2" t="s">
        <v>7852</v>
      </c>
      <c r="B372" s="5" t="s">
        <v>7858</v>
      </c>
      <c r="C372" s="3" t="s">
        <v>138</v>
      </c>
      <c r="D372" s="4" t="s">
        <v>7853</v>
      </c>
      <c r="E372" s="15" t="s">
        <v>4466</v>
      </c>
      <c r="F372" s="15" t="s">
        <v>426</v>
      </c>
      <c r="G372" s="15" t="s">
        <v>162</v>
      </c>
      <c r="H372" s="7">
        <v>16</v>
      </c>
      <c r="I372" s="6" t="s">
        <v>7869</v>
      </c>
      <c r="J372" s="6" t="s">
        <v>39985</v>
      </c>
      <c r="K372" s="6" t="s">
        <v>39378</v>
      </c>
      <c r="L372" s="6" t="s">
        <v>40177</v>
      </c>
      <c r="M372" s="6" t="s">
        <v>40178</v>
      </c>
      <c r="N372" s="6" t="s">
        <v>40179</v>
      </c>
      <c r="O372" s="6" t="s">
        <v>40180</v>
      </c>
      <c r="P372" s="6" t="s">
        <v>40181</v>
      </c>
      <c r="Q372" s="6" t="s">
        <v>39395</v>
      </c>
      <c r="R372" s="6" t="s">
        <v>40182</v>
      </c>
      <c r="S372" s="6" t="s">
        <v>39039</v>
      </c>
      <c r="T372" s="6" t="s">
        <v>40183</v>
      </c>
      <c r="U372" s="6" t="s">
        <v>37804</v>
      </c>
      <c r="V372" s="6" t="s">
        <v>40184</v>
      </c>
      <c r="W372" s="6" t="s">
        <v>38625</v>
      </c>
      <c r="X372" s="6" t="s">
        <v>39455</v>
      </c>
      <c r="Y372" s="6" t="s">
        <v>40185</v>
      </c>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row>
    <row r="373" spans="1:72">
      <c r="A373" s="8" t="s">
        <v>7874</v>
      </c>
      <c r="B373" s="11" t="s">
        <v>7880</v>
      </c>
      <c r="C373" s="9" t="s">
        <v>7875</v>
      </c>
      <c r="D373" s="10" t="s">
        <v>138</v>
      </c>
      <c r="E373" s="28" t="s">
        <v>2931</v>
      </c>
      <c r="F373" s="28" t="s">
        <v>200</v>
      </c>
      <c r="G373" s="28" t="s">
        <v>162</v>
      </c>
      <c r="H373" s="13">
        <v>12</v>
      </c>
      <c r="I373" s="12" t="s">
        <v>7888</v>
      </c>
      <c r="J373" s="12" t="s">
        <v>40186</v>
      </c>
      <c r="K373" s="12" t="s">
        <v>40187</v>
      </c>
      <c r="L373" s="12" t="s">
        <v>37795</v>
      </c>
      <c r="M373" s="12" t="s">
        <v>40188</v>
      </c>
      <c r="N373" s="12" t="s">
        <v>40189</v>
      </c>
      <c r="O373" s="12" t="s">
        <v>38349</v>
      </c>
      <c r="P373" s="12" t="s">
        <v>40190</v>
      </c>
      <c r="Q373" s="12" t="s">
        <v>38980</v>
      </c>
      <c r="R373" s="12" t="s">
        <v>40191</v>
      </c>
      <c r="S373" s="12" t="s">
        <v>38953</v>
      </c>
      <c r="T373" s="12" t="s">
        <v>39108</v>
      </c>
      <c r="U373" s="12" t="s">
        <v>39033</v>
      </c>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row>
    <row r="374" spans="1:72">
      <c r="A374" s="2" t="s">
        <v>7892</v>
      </c>
      <c r="B374" s="5" t="s">
        <v>7898</v>
      </c>
      <c r="C374" s="3" t="s">
        <v>7893</v>
      </c>
      <c r="D374" s="4" t="s">
        <v>138</v>
      </c>
      <c r="E374" s="15" t="s">
        <v>668</v>
      </c>
      <c r="F374" s="15" t="s">
        <v>200</v>
      </c>
      <c r="G374" s="15" t="s">
        <v>162</v>
      </c>
      <c r="H374" s="7">
        <v>50</v>
      </c>
      <c r="I374" s="6" t="s">
        <v>7907</v>
      </c>
      <c r="J374" s="6" t="s">
        <v>37785</v>
      </c>
      <c r="K374" s="6" t="s">
        <v>40192</v>
      </c>
      <c r="L374" s="6" t="s">
        <v>38776</v>
      </c>
      <c r="M374" s="6" t="s">
        <v>40193</v>
      </c>
      <c r="N374" s="6" t="s">
        <v>40194</v>
      </c>
      <c r="O374" s="6" t="s">
        <v>37936</v>
      </c>
      <c r="P374" s="6" t="s">
        <v>40195</v>
      </c>
      <c r="Q374" s="6" t="s">
        <v>38175</v>
      </c>
      <c r="R374" s="6" t="s">
        <v>40196</v>
      </c>
      <c r="S374" s="6" t="s">
        <v>40197</v>
      </c>
      <c r="T374" s="6" t="s">
        <v>38738</v>
      </c>
      <c r="U374" s="6" t="s">
        <v>40198</v>
      </c>
      <c r="V374" s="6" t="s">
        <v>40199</v>
      </c>
      <c r="W374" s="6" t="s">
        <v>39579</v>
      </c>
      <c r="X374" s="6" t="s">
        <v>40200</v>
      </c>
      <c r="Y374" s="6" t="s">
        <v>38417</v>
      </c>
      <c r="Z374" s="6" t="s">
        <v>37942</v>
      </c>
      <c r="AA374" s="6" t="s">
        <v>38966</v>
      </c>
      <c r="AB374" s="6" t="s">
        <v>40201</v>
      </c>
      <c r="AC374" s="6" t="s">
        <v>37945</v>
      </c>
      <c r="AD374" s="6" t="s">
        <v>37947</v>
      </c>
      <c r="AE374" s="6" t="s">
        <v>37949</v>
      </c>
      <c r="AF374" s="6" t="s">
        <v>40202</v>
      </c>
      <c r="AG374" s="6" t="s">
        <v>38803</v>
      </c>
      <c r="AH374" s="6" t="s">
        <v>40203</v>
      </c>
      <c r="AI374" s="6" t="s">
        <v>40204</v>
      </c>
      <c r="AJ374" s="6" t="s">
        <v>40205</v>
      </c>
      <c r="AK374" s="6" t="s">
        <v>37960</v>
      </c>
      <c r="AL374" s="6" t="s">
        <v>38062</v>
      </c>
      <c r="AM374" s="6" t="s">
        <v>40206</v>
      </c>
      <c r="AN374" s="6" t="s">
        <v>37995</v>
      </c>
      <c r="AO374" s="6" t="s">
        <v>40207</v>
      </c>
      <c r="AP374" s="6" t="s">
        <v>40208</v>
      </c>
      <c r="AQ374" s="6" t="s">
        <v>38979</v>
      </c>
      <c r="AR374" s="6" t="s">
        <v>40209</v>
      </c>
      <c r="AS374" s="6" t="s">
        <v>40210</v>
      </c>
      <c r="AT374" s="6" t="s">
        <v>38323</v>
      </c>
      <c r="AU374" s="6" t="s">
        <v>40211</v>
      </c>
      <c r="AV374" s="6" t="s">
        <v>37781</v>
      </c>
      <c r="AW374" s="6" t="s">
        <v>40212</v>
      </c>
      <c r="AX374" s="6" t="s">
        <v>37805</v>
      </c>
      <c r="AY374" s="6" t="s">
        <v>38067</v>
      </c>
      <c r="AZ374" s="6" t="s">
        <v>40213</v>
      </c>
      <c r="BA374" s="6" t="s">
        <v>40214</v>
      </c>
      <c r="BB374" s="6" t="s">
        <v>37783</v>
      </c>
      <c r="BC374" s="6" t="s">
        <v>37885</v>
      </c>
      <c r="BD374" s="6" t="s">
        <v>38753</v>
      </c>
      <c r="BE374" s="6" t="s">
        <v>38157</v>
      </c>
      <c r="BF374" s="6" t="s">
        <v>38196</v>
      </c>
      <c r="BG374" s="6" t="s">
        <v>37976</v>
      </c>
      <c r="BH374" s="6"/>
      <c r="BI374" s="6"/>
      <c r="BJ374" s="6"/>
      <c r="BK374" s="6"/>
      <c r="BL374" s="6"/>
      <c r="BM374" s="6"/>
      <c r="BN374" s="6"/>
      <c r="BO374" s="6"/>
      <c r="BP374" s="6"/>
      <c r="BQ374" s="6"/>
      <c r="BR374" s="6"/>
      <c r="BS374" s="6"/>
      <c r="BT374" s="6"/>
    </row>
    <row r="375" spans="1:72">
      <c r="A375" s="8" t="s">
        <v>7912</v>
      </c>
      <c r="B375" s="11" t="s">
        <v>7916</v>
      </c>
      <c r="C375" s="9" t="s">
        <v>138</v>
      </c>
      <c r="D375" s="10" t="s">
        <v>138</v>
      </c>
      <c r="E375" s="28" t="s">
        <v>668</v>
      </c>
      <c r="F375" s="28" t="s">
        <v>200</v>
      </c>
      <c r="G375" s="28" t="s">
        <v>162</v>
      </c>
      <c r="H375" s="13">
        <v>10</v>
      </c>
      <c r="I375" s="12" t="s">
        <v>7924</v>
      </c>
      <c r="J375" s="12" t="s">
        <v>40215</v>
      </c>
      <c r="K375" s="12" t="s">
        <v>40216</v>
      </c>
      <c r="L375" s="12" t="s">
        <v>37791</v>
      </c>
      <c r="M375" s="12" t="s">
        <v>40217</v>
      </c>
      <c r="N375" s="12" t="s">
        <v>40218</v>
      </c>
      <c r="O375" s="12" t="s">
        <v>40219</v>
      </c>
      <c r="P375" s="12" t="s">
        <v>37998</v>
      </c>
      <c r="Q375" s="12" t="s">
        <v>37804</v>
      </c>
      <c r="R375" s="12" t="s">
        <v>38166</v>
      </c>
      <c r="S375" s="12" t="s">
        <v>40220</v>
      </c>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row>
    <row r="376" spans="1:72">
      <c r="A376" s="2" t="s">
        <v>7927</v>
      </c>
      <c r="B376" s="5" t="s">
        <v>7932</v>
      </c>
      <c r="C376" s="3" t="s">
        <v>138</v>
      </c>
      <c r="D376" s="4" t="s">
        <v>138</v>
      </c>
      <c r="E376" s="15" t="s">
        <v>1198</v>
      </c>
      <c r="F376" s="15" t="s">
        <v>138</v>
      </c>
      <c r="G376" s="15" t="s">
        <v>1200</v>
      </c>
      <c r="H376" s="7">
        <v>2</v>
      </c>
      <c r="I376" s="6" t="s">
        <v>7945</v>
      </c>
      <c r="J376" s="6" t="s">
        <v>40221</v>
      </c>
      <c r="K376" s="6" t="s">
        <v>38065</v>
      </c>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row>
    <row r="377" spans="1:72">
      <c r="A377" s="8" t="s">
        <v>7948</v>
      </c>
      <c r="B377" s="11" t="s">
        <v>7954</v>
      </c>
      <c r="C377" s="9" t="s">
        <v>7949</v>
      </c>
      <c r="D377" s="10" t="s">
        <v>138</v>
      </c>
      <c r="E377" s="28" t="s">
        <v>668</v>
      </c>
      <c r="F377" s="28" t="s">
        <v>200</v>
      </c>
      <c r="G377" s="28" t="s">
        <v>162</v>
      </c>
      <c r="H377" s="13">
        <v>28</v>
      </c>
      <c r="I377" s="12" t="s">
        <v>7962</v>
      </c>
      <c r="J377" s="12" t="s">
        <v>37785</v>
      </c>
      <c r="K377" s="12" t="s">
        <v>40222</v>
      </c>
      <c r="L377" s="12" t="s">
        <v>38339</v>
      </c>
      <c r="M377" s="12" t="s">
        <v>38569</v>
      </c>
      <c r="N377" s="12" t="s">
        <v>40223</v>
      </c>
      <c r="O377" s="12" t="s">
        <v>39229</v>
      </c>
      <c r="P377" s="12" t="s">
        <v>39579</v>
      </c>
      <c r="Q377" s="12" t="s">
        <v>38802</v>
      </c>
      <c r="R377" s="12" t="s">
        <v>40224</v>
      </c>
      <c r="S377" s="12" t="s">
        <v>40225</v>
      </c>
      <c r="T377" s="12" t="s">
        <v>40226</v>
      </c>
      <c r="U377" s="12" t="s">
        <v>39952</v>
      </c>
      <c r="V377" s="12" t="s">
        <v>40227</v>
      </c>
      <c r="W377" s="12" t="s">
        <v>40228</v>
      </c>
      <c r="X377" s="12" t="s">
        <v>40229</v>
      </c>
      <c r="Y377" s="12" t="s">
        <v>39359</v>
      </c>
      <c r="Z377" s="12" t="s">
        <v>40230</v>
      </c>
      <c r="AA377" s="12" t="s">
        <v>40231</v>
      </c>
      <c r="AB377" s="12" t="s">
        <v>39290</v>
      </c>
      <c r="AC377" s="12" t="s">
        <v>38428</v>
      </c>
      <c r="AD377" s="12" t="s">
        <v>40232</v>
      </c>
      <c r="AE377" s="12" t="s">
        <v>40233</v>
      </c>
      <c r="AF377" s="12" t="s">
        <v>39294</v>
      </c>
      <c r="AG377" s="12" t="s">
        <v>40234</v>
      </c>
      <c r="AH377" s="12" t="s">
        <v>37805</v>
      </c>
      <c r="AI377" s="12" t="s">
        <v>40235</v>
      </c>
      <c r="AJ377" s="12" t="s">
        <v>39261</v>
      </c>
      <c r="AK377" s="12" t="s">
        <v>40236</v>
      </c>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row>
    <row r="378" spans="1:72">
      <c r="A378" s="2" t="s">
        <v>7965</v>
      </c>
      <c r="B378" s="5" t="s">
        <v>7970</v>
      </c>
      <c r="C378" s="3" t="s">
        <v>138</v>
      </c>
      <c r="D378" s="4" t="s">
        <v>138</v>
      </c>
      <c r="E378" s="15" t="s">
        <v>5700</v>
      </c>
      <c r="F378" s="15" t="s">
        <v>138</v>
      </c>
      <c r="G378" s="15" t="s">
        <v>740</v>
      </c>
      <c r="H378" s="7">
        <v>5</v>
      </c>
      <c r="I378" s="6" t="s">
        <v>7978</v>
      </c>
      <c r="J378" s="6" t="s">
        <v>40237</v>
      </c>
      <c r="K378" s="6" t="s">
        <v>40238</v>
      </c>
      <c r="L378" s="6" t="s">
        <v>37890</v>
      </c>
      <c r="M378" s="6" t="s">
        <v>40239</v>
      </c>
      <c r="N378" s="6" t="s">
        <v>40240</v>
      </c>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row>
    <row r="379" spans="1:72">
      <c r="A379" s="8" t="s">
        <v>7981</v>
      </c>
      <c r="B379" s="11" t="s">
        <v>7986</v>
      </c>
      <c r="C379" s="9" t="s">
        <v>138</v>
      </c>
      <c r="D379" s="10" t="s">
        <v>138</v>
      </c>
      <c r="E379" s="28" t="s">
        <v>7994</v>
      </c>
      <c r="F379" s="28" t="s">
        <v>138</v>
      </c>
      <c r="G379" s="28" t="s">
        <v>740</v>
      </c>
      <c r="H379" s="13">
        <v>8</v>
      </c>
      <c r="I379" s="12" t="s">
        <v>7998</v>
      </c>
      <c r="J379" s="12" t="s">
        <v>40241</v>
      </c>
      <c r="K379" s="12" t="s">
        <v>38075</v>
      </c>
      <c r="L379" s="12" t="s">
        <v>38299</v>
      </c>
      <c r="M379" s="12" t="s">
        <v>37787</v>
      </c>
      <c r="N379" s="12" t="s">
        <v>39056</v>
      </c>
      <c r="O379" s="12" t="s">
        <v>38322</v>
      </c>
      <c r="P379" s="12" t="s">
        <v>40242</v>
      </c>
      <c r="Q379" s="12" t="s">
        <v>38705</v>
      </c>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row>
    <row r="380" spans="1:72">
      <c r="A380" s="2" t="s">
        <v>8001</v>
      </c>
      <c r="B380" s="5" t="s">
        <v>8006</v>
      </c>
      <c r="C380" s="3" t="s">
        <v>8002</v>
      </c>
      <c r="D380" s="4" t="s">
        <v>138</v>
      </c>
      <c r="E380" s="15" t="s">
        <v>642</v>
      </c>
      <c r="F380" s="15" t="s">
        <v>474</v>
      </c>
      <c r="G380" s="15" t="s">
        <v>162</v>
      </c>
      <c r="H380" s="7">
        <v>6</v>
      </c>
      <c r="I380" s="6" t="s">
        <v>8015</v>
      </c>
      <c r="J380" s="6" t="s">
        <v>40243</v>
      </c>
      <c r="K380" s="6" t="s">
        <v>38354</v>
      </c>
      <c r="L380" s="6" t="s">
        <v>40196</v>
      </c>
      <c r="M380" s="6" t="s">
        <v>38367</v>
      </c>
      <c r="N380" s="6" t="s">
        <v>38371</v>
      </c>
      <c r="O380" s="6" t="s">
        <v>40143</v>
      </c>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row>
    <row r="381" spans="1:72">
      <c r="A381" s="8" t="s">
        <v>8018</v>
      </c>
      <c r="B381" s="11" t="s">
        <v>8021</v>
      </c>
      <c r="C381" s="9" t="s">
        <v>138</v>
      </c>
      <c r="D381" s="10" t="s">
        <v>138</v>
      </c>
      <c r="E381" s="28" t="s">
        <v>3907</v>
      </c>
      <c r="F381" s="28" t="s">
        <v>2740</v>
      </c>
      <c r="G381" s="28" t="s">
        <v>2742</v>
      </c>
      <c r="H381" s="13">
        <v>11</v>
      </c>
      <c r="I381" s="12" t="s">
        <v>8031</v>
      </c>
      <c r="J381" s="12" t="s">
        <v>38353</v>
      </c>
      <c r="K381" s="12" t="s">
        <v>39410</v>
      </c>
      <c r="L381" s="12" t="s">
        <v>38569</v>
      </c>
      <c r="M381" s="12" t="s">
        <v>40244</v>
      </c>
      <c r="N381" s="12" t="s">
        <v>38721</v>
      </c>
      <c r="O381" s="12" t="s">
        <v>40245</v>
      </c>
      <c r="P381" s="12" t="s">
        <v>40246</v>
      </c>
      <c r="Q381" s="12" t="s">
        <v>37922</v>
      </c>
      <c r="R381" s="12" t="s">
        <v>39724</v>
      </c>
      <c r="S381" s="12" t="s">
        <v>40247</v>
      </c>
      <c r="T381" s="12" t="s">
        <v>40248</v>
      </c>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2"/>
    </row>
    <row r="382" spans="1:72">
      <c r="A382" s="2" t="s">
        <v>8035</v>
      </c>
      <c r="B382" s="5" t="s">
        <v>8040</v>
      </c>
      <c r="C382" s="3" t="s">
        <v>138</v>
      </c>
      <c r="D382" s="4" t="s">
        <v>138</v>
      </c>
      <c r="E382" s="15" t="s">
        <v>6707</v>
      </c>
      <c r="F382" s="15" t="s">
        <v>138</v>
      </c>
      <c r="G382" s="15" t="s">
        <v>740</v>
      </c>
      <c r="H382" s="7">
        <v>14</v>
      </c>
      <c r="I382" s="6" t="s">
        <v>8051</v>
      </c>
      <c r="J382" s="6" t="s">
        <v>39425</v>
      </c>
      <c r="K382" s="6" t="s">
        <v>40029</v>
      </c>
      <c r="L382" s="6" t="s">
        <v>38605</v>
      </c>
      <c r="M382" s="6" t="s">
        <v>39133</v>
      </c>
      <c r="N382" s="6" t="s">
        <v>40249</v>
      </c>
      <c r="O382" s="6" t="s">
        <v>38249</v>
      </c>
      <c r="P382" s="6" t="s">
        <v>40250</v>
      </c>
      <c r="Q382" s="6" t="s">
        <v>40251</v>
      </c>
      <c r="R382" s="6" t="s">
        <v>40252</v>
      </c>
      <c r="S382" s="6" t="s">
        <v>40253</v>
      </c>
      <c r="T382" s="6" t="s">
        <v>38200</v>
      </c>
      <c r="U382" s="6" t="s">
        <v>40254</v>
      </c>
      <c r="V382" s="6" t="s">
        <v>40255</v>
      </c>
      <c r="W382" s="6" t="s">
        <v>40256</v>
      </c>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row>
    <row r="383" spans="1:72">
      <c r="A383" s="8" t="s">
        <v>8055</v>
      </c>
      <c r="B383" s="11" t="s">
        <v>8059</v>
      </c>
      <c r="C383" s="9" t="s">
        <v>138</v>
      </c>
      <c r="D383" s="10" t="s">
        <v>138</v>
      </c>
      <c r="E383" s="28" t="s">
        <v>8068</v>
      </c>
      <c r="F383" s="28" t="s">
        <v>138</v>
      </c>
      <c r="G383" s="28" t="s">
        <v>946</v>
      </c>
      <c r="H383" s="13">
        <v>1</v>
      </c>
      <c r="I383" s="12" t="s">
        <v>3047</v>
      </c>
      <c r="J383" s="12" t="s">
        <v>3047</v>
      </c>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row>
    <row r="384" spans="1:72">
      <c r="A384" s="2" t="s">
        <v>8074</v>
      </c>
      <c r="B384" s="5" t="s">
        <v>8077</v>
      </c>
      <c r="C384" s="3" t="s">
        <v>138</v>
      </c>
      <c r="D384" s="4" t="s">
        <v>138</v>
      </c>
      <c r="E384" s="15" t="s">
        <v>823</v>
      </c>
      <c r="F384" s="15" t="s">
        <v>824</v>
      </c>
      <c r="G384" s="15" t="s">
        <v>526</v>
      </c>
      <c r="H384" s="7">
        <v>4</v>
      </c>
      <c r="I384" s="6" t="s">
        <v>8086</v>
      </c>
      <c r="J384" s="6" t="s">
        <v>40257</v>
      </c>
      <c r="K384" s="6" t="s">
        <v>37788</v>
      </c>
      <c r="L384" s="6" t="s">
        <v>38371</v>
      </c>
      <c r="M384" s="6" t="s">
        <v>38372</v>
      </c>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row>
    <row r="385" spans="1:72">
      <c r="A385" s="8" t="s">
        <v>8090</v>
      </c>
      <c r="B385" s="11" t="s">
        <v>8096</v>
      </c>
      <c r="C385" s="9" t="s">
        <v>8091</v>
      </c>
      <c r="D385" s="10" t="s">
        <v>138</v>
      </c>
      <c r="E385" s="28" t="s">
        <v>8105</v>
      </c>
      <c r="F385" s="28" t="s">
        <v>200</v>
      </c>
      <c r="G385" s="28" t="s">
        <v>162</v>
      </c>
      <c r="H385" s="13">
        <v>21</v>
      </c>
      <c r="I385" s="12" t="s">
        <v>8109</v>
      </c>
      <c r="J385" s="12" t="s">
        <v>40258</v>
      </c>
      <c r="K385" s="12" t="s">
        <v>40259</v>
      </c>
      <c r="L385" s="12" t="s">
        <v>40260</v>
      </c>
      <c r="M385" s="12" t="s">
        <v>40261</v>
      </c>
      <c r="N385" s="12" t="s">
        <v>38234</v>
      </c>
      <c r="O385" s="12" t="s">
        <v>40057</v>
      </c>
      <c r="P385" s="12" t="s">
        <v>37851</v>
      </c>
      <c r="Q385" s="12" t="s">
        <v>40262</v>
      </c>
      <c r="R385" s="12" t="s">
        <v>40263</v>
      </c>
      <c r="S385" s="12" t="s">
        <v>40110</v>
      </c>
      <c r="T385" s="12" t="s">
        <v>40264</v>
      </c>
      <c r="U385" s="12" t="s">
        <v>40265</v>
      </c>
      <c r="V385" s="12" t="s">
        <v>39325</v>
      </c>
      <c r="W385" s="12" t="s">
        <v>40266</v>
      </c>
      <c r="X385" s="12" t="s">
        <v>40267</v>
      </c>
      <c r="Y385" s="12" t="s">
        <v>40268</v>
      </c>
      <c r="Z385" s="12" t="s">
        <v>39616</v>
      </c>
      <c r="AA385" s="12" t="s">
        <v>38401</v>
      </c>
      <c r="AB385" s="12" t="s">
        <v>37868</v>
      </c>
      <c r="AC385" s="12" t="s">
        <v>38240</v>
      </c>
      <c r="AD385" s="12" t="s">
        <v>37841</v>
      </c>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12"/>
      <c r="BH385" s="12"/>
      <c r="BI385" s="12"/>
      <c r="BJ385" s="12"/>
      <c r="BK385" s="12"/>
      <c r="BL385" s="12"/>
      <c r="BM385" s="12"/>
      <c r="BN385" s="12"/>
      <c r="BO385" s="12"/>
      <c r="BP385" s="12"/>
      <c r="BQ385" s="12"/>
      <c r="BR385" s="12"/>
      <c r="BS385" s="12"/>
      <c r="BT385" s="12"/>
    </row>
    <row r="386" spans="1:72">
      <c r="A386" s="2" t="s">
        <v>8113</v>
      </c>
      <c r="B386" s="5" t="s">
        <v>8119</v>
      </c>
      <c r="C386" s="3" t="s">
        <v>8114</v>
      </c>
      <c r="D386" s="4" t="s">
        <v>138</v>
      </c>
      <c r="E386" s="15" t="s">
        <v>426</v>
      </c>
      <c r="F386" s="15" t="s">
        <v>426</v>
      </c>
      <c r="G386" s="15" t="s">
        <v>162</v>
      </c>
      <c r="H386" s="7">
        <v>20</v>
      </c>
      <c r="I386" s="6" t="s">
        <v>8128</v>
      </c>
      <c r="J386" s="6" t="s">
        <v>38344</v>
      </c>
      <c r="K386" s="6" t="s">
        <v>38339</v>
      </c>
      <c r="L386" s="6" t="s">
        <v>40269</v>
      </c>
      <c r="M386" s="6" t="s">
        <v>38737</v>
      </c>
      <c r="N386" s="6" t="s">
        <v>37819</v>
      </c>
      <c r="O386" s="6" t="s">
        <v>37879</v>
      </c>
      <c r="P386" s="6" t="s">
        <v>39153</v>
      </c>
      <c r="Q386" s="6" t="s">
        <v>40270</v>
      </c>
      <c r="R386" s="6" t="s">
        <v>38740</v>
      </c>
      <c r="S386" s="6" t="s">
        <v>38349</v>
      </c>
      <c r="T386" s="6" t="s">
        <v>40271</v>
      </c>
      <c r="U386" s="6" t="s">
        <v>38151</v>
      </c>
      <c r="V386" s="6" t="s">
        <v>38319</v>
      </c>
      <c r="W386" s="6" t="s">
        <v>40272</v>
      </c>
      <c r="X386" s="6" t="s">
        <v>40273</v>
      </c>
      <c r="Y386" s="6" t="s">
        <v>38184</v>
      </c>
      <c r="Z386" s="6" t="s">
        <v>37784</v>
      </c>
      <c r="AA386" s="6" t="s">
        <v>38294</v>
      </c>
      <c r="AB386" s="6" t="s">
        <v>38158</v>
      </c>
      <c r="AC386" s="6" t="s">
        <v>40274</v>
      </c>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row>
    <row r="387" spans="1:72">
      <c r="A387" s="8" t="s">
        <v>8132</v>
      </c>
      <c r="B387" s="11" t="s">
        <v>8137</v>
      </c>
      <c r="C387" s="9" t="s">
        <v>138</v>
      </c>
      <c r="D387" s="10" t="s">
        <v>138</v>
      </c>
      <c r="E387" s="28" t="s">
        <v>8145</v>
      </c>
      <c r="F387" s="28" t="s">
        <v>2331</v>
      </c>
      <c r="G387" s="28" t="s">
        <v>2333</v>
      </c>
      <c r="H387" s="13">
        <v>14</v>
      </c>
      <c r="I387" s="12" t="s">
        <v>8149</v>
      </c>
      <c r="J387" s="12" t="s">
        <v>37785</v>
      </c>
      <c r="K387" s="12" t="s">
        <v>38892</v>
      </c>
      <c r="L387" s="12" t="s">
        <v>40275</v>
      </c>
      <c r="M387" s="12" t="s">
        <v>40276</v>
      </c>
      <c r="N387" s="12" t="s">
        <v>40277</v>
      </c>
      <c r="O387" s="12" t="s">
        <v>40278</v>
      </c>
      <c r="P387" s="12" t="s">
        <v>40279</v>
      </c>
      <c r="Q387" s="12" t="s">
        <v>40280</v>
      </c>
      <c r="R387" s="12" t="s">
        <v>40281</v>
      </c>
      <c r="S387" s="12" t="s">
        <v>40282</v>
      </c>
      <c r="T387" s="12" t="s">
        <v>38322</v>
      </c>
      <c r="U387" s="12" t="s">
        <v>40283</v>
      </c>
      <c r="V387" s="12" t="s">
        <v>40284</v>
      </c>
      <c r="W387" s="12" t="s">
        <v>40285</v>
      </c>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2"/>
    </row>
    <row r="388" spans="1:72">
      <c r="A388" s="2" t="s">
        <v>8152</v>
      </c>
      <c r="B388" s="5" t="s">
        <v>8157</v>
      </c>
      <c r="C388" s="3" t="s">
        <v>8153</v>
      </c>
      <c r="D388" s="4" t="s">
        <v>138</v>
      </c>
      <c r="E388" s="15" t="s">
        <v>8165</v>
      </c>
      <c r="F388" s="15" t="s">
        <v>824</v>
      </c>
      <c r="G388" s="15" t="s">
        <v>526</v>
      </c>
      <c r="H388" s="7">
        <v>5</v>
      </c>
      <c r="I388" s="6" t="s">
        <v>8169</v>
      </c>
      <c r="J388" s="6" t="s">
        <v>40286</v>
      </c>
      <c r="K388" s="6" t="s">
        <v>40287</v>
      </c>
      <c r="L388" s="6" t="s">
        <v>37863</v>
      </c>
      <c r="M388" s="6" t="s">
        <v>38363</v>
      </c>
      <c r="N388" s="6" t="s">
        <v>40288</v>
      </c>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row>
    <row r="389" spans="1:72">
      <c r="A389" s="8" t="s">
        <v>8173</v>
      </c>
      <c r="B389" s="11" t="s">
        <v>8179</v>
      </c>
      <c r="C389" s="9" t="s">
        <v>8174</v>
      </c>
      <c r="D389" s="10" t="s">
        <v>138</v>
      </c>
      <c r="E389" s="28" t="s">
        <v>668</v>
      </c>
      <c r="F389" s="28" t="s">
        <v>200</v>
      </c>
      <c r="G389" s="28" t="s">
        <v>162</v>
      </c>
      <c r="H389" s="13">
        <v>3</v>
      </c>
      <c r="I389" s="12" t="s">
        <v>8188</v>
      </c>
      <c r="J389" s="12" t="s">
        <v>21198</v>
      </c>
      <c r="K389" s="12" t="s">
        <v>39170</v>
      </c>
      <c r="L389" s="12" t="s">
        <v>38931</v>
      </c>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row>
    <row r="390" spans="1:72">
      <c r="A390" s="2" t="s">
        <v>8191</v>
      </c>
      <c r="B390" s="5" t="s">
        <v>8196</v>
      </c>
      <c r="C390" s="3" t="s">
        <v>8192</v>
      </c>
      <c r="D390" s="4" t="s">
        <v>138</v>
      </c>
      <c r="E390" s="15" t="s">
        <v>1171</v>
      </c>
      <c r="F390" s="15" t="s">
        <v>200</v>
      </c>
      <c r="G390" s="15" t="s">
        <v>162</v>
      </c>
      <c r="H390" s="7">
        <v>10</v>
      </c>
      <c r="I390" s="6" t="s">
        <v>8204</v>
      </c>
      <c r="J390" s="6" t="s">
        <v>40289</v>
      </c>
      <c r="K390" s="6" t="s">
        <v>38299</v>
      </c>
      <c r="L390" s="6" t="s">
        <v>40290</v>
      </c>
      <c r="M390" s="6" t="s">
        <v>39045</v>
      </c>
      <c r="N390" s="6" t="s">
        <v>37947</v>
      </c>
      <c r="O390" s="6" t="s">
        <v>38114</v>
      </c>
      <c r="P390" s="6" t="s">
        <v>40291</v>
      </c>
      <c r="Q390" s="6" t="s">
        <v>40292</v>
      </c>
      <c r="R390" s="6" t="s">
        <v>39739</v>
      </c>
      <c r="S390" s="6" t="s">
        <v>39697</v>
      </c>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row>
    <row r="391" spans="1:72">
      <c r="A391" s="8" t="s">
        <v>8210</v>
      </c>
      <c r="B391" s="11" t="s">
        <v>8216</v>
      </c>
      <c r="C391" s="9" t="s">
        <v>138</v>
      </c>
      <c r="D391" s="10" t="s">
        <v>8211</v>
      </c>
      <c r="E391" s="28" t="s">
        <v>823</v>
      </c>
      <c r="F391" s="28" t="s">
        <v>824</v>
      </c>
      <c r="G391" s="28" t="s">
        <v>526</v>
      </c>
      <c r="H391" s="13">
        <v>22</v>
      </c>
      <c r="I391" s="12" t="s">
        <v>8227</v>
      </c>
      <c r="J391" s="12" t="s">
        <v>40293</v>
      </c>
      <c r="K391" s="12" t="s">
        <v>40294</v>
      </c>
      <c r="L391" s="12" t="s">
        <v>40295</v>
      </c>
      <c r="M391" s="12" t="s">
        <v>38299</v>
      </c>
      <c r="N391" s="12" t="s">
        <v>40296</v>
      </c>
      <c r="O391" s="12" t="s">
        <v>40297</v>
      </c>
      <c r="P391" s="12" t="s">
        <v>40298</v>
      </c>
      <c r="Q391" s="12" t="s">
        <v>40299</v>
      </c>
      <c r="R391" s="12" t="s">
        <v>40300</v>
      </c>
      <c r="S391" s="12" t="s">
        <v>40301</v>
      </c>
      <c r="T391" s="12" t="s">
        <v>40302</v>
      </c>
      <c r="U391" s="12" t="s">
        <v>40303</v>
      </c>
      <c r="V391" s="12" t="s">
        <v>40304</v>
      </c>
      <c r="W391" s="12" t="s">
        <v>40305</v>
      </c>
      <c r="X391" s="12" t="s">
        <v>40306</v>
      </c>
      <c r="Y391" s="12" t="s">
        <v>40307</v>
      </c>
      <c r="Z391" s="12" t="s">
        <v>40184</v>
      </c>
      <c r="AA391" s="12" t="s">
        <v>40308</v>
      </c>
      <c r="AB391" s="12" t="s">
        <v>40309</v>
      </c>
      <c r="AC391" s="12" t="s">
        <v>40310</v>
      </c>
      <c r="AD391" s="12" t="s">
        <v>40311</v>
      </c>
      <c r="AE391" s="12" t="s">
        <v>40312</v>
      </c>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2"/>
    </row>
    <row r="392" spans="1:72">
      <c r="A392" s="2" t="s">
        <v>8232</v>
      </c>
      <c r="B392" s="5" t="s">
        <v>8239</v>
      </c>
      <c r="C392" s="3" t="s">
        <v>138</v>
      </c>
      <c r="D392" s="4" t="s">
        <v>8233</v>
      </c>
      <c r="E392" s="15" t="s">
        <v>668</v>
      </c>
      <c r="F392" s="15" t="s">
        <v>200</v>
      </c>
      <c r="G392" s="15" t="s">
        <v>162</v>
      </c>
      <c r="H392" s="7">
        <v>11</v>
      </c>
      <c r="I392" s="6" t="s">
        <v>8248</v>
      </c>
      <c r="J392" s="6" t="s">
        <v>39666</v>
      </c>
      <c r="K392" s="6" t="s">
        <v>40313</v>
      </c>
      <c r="L392" s="6" t="s">
        <v>40314</v>
      </c>
      <c r="M392" s="6" t="s">
        <v>40315</v>
      </c>
      <c r="N392" s="6" t="s">
        <v>39893</v>
      </c>
      <c r="O392" s="6" t="s">
        <v>39290</v>
      </c>
      <c r="P392" s="6" t="s">
        <v>38974</v>
      </c>
      <c r="Q392" s="6" t="s">
        <v>40316</v>
      </c>
      <c r="R392" s="6" t="s">
        <v>40209</v>
      </c>
      <c r="S392" s="6" t="s">
        <v>38579</v>
      </c>
      <c r="T392" s="6" t="s">
        <v>38054</v>
      </c>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row>
    <row r="393" spans="1:72">
      <c r="A393" s="8" t="s">
        <v>8252</v>
      </c>
      <c r="B393" s="11" t="s">
        <v>8257</v>
      </c>
      <c r="C393" s="9" t="s">
        <v>8253</v>
      </c>
      <c r="D393" s="10" t="s">
        <v>138</v>
      </c>
      <c r="E393" s="28" t="s">
        <v>426</v>
      </c>
      <c r="F393" s="28" t="s">
        <v>426</v>
      </c>
      <c r="G393" s="28" t="s">
        <v>162</v>
      </c>
      <c r="H393" s="13">
        <v>9</v>
      </c>
      <c r="I393" s="12" t="s">
        <v>8268</v>
      </c>
      <c r="J393" s="12" t="s">
        <v>40317</v>
      </c>
      <c r="K393" s="12" t="s">
        <v>37819</v>
      </c>
      <c r="L393" s="12" t="s">
        <v>37906</v>
      </c>
      <c r="M393" s="12" t="s">
        <v>37909</v>
      </c>
      <c r="N393" s="12" t="s">
        <v>40318</v>
      </c>
      <c r="O393" s="12" t="s">
        <v>38189</v>
      </c>
      <c r="P393" s="12" t="s">
        <v>40319</v>
      </c>
      <c r="Q393" s="12" t="s">
        <v>40320</v>
      </c>
      <c r="R393" s="12" t="s">
        <v>39428</v>
      </c>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2"/>
    </row>
    <row r="394" spans="1:72">
      <c r="A394" s="2" t="s">
        <v>8271</v>
      </c>
      <c r="B394" s="5" t="s">
        <v>8275</v>
      </c>
      <c r="C394" s="3" t="s">
        <v>138</v>
      </c>
      <c r="D394" s="4" t="s">
        <v>138</v>
      </c>
      <c r="E394" s="15" t="s">
        <v>426</v>
      </c>
      <c r="F394" s="15" t="s">
        <v>426</v>
      </c>
      <c r="G394" s="15" t="s">
        <v>162</v>
      </c>
      <c r="H394" s="7">
        <v>8</v>
      </c>
      <c r="I394" s="6" t="s">
        <v>8282</v>
      </c>
      <c r="J394" s="6" t="s">
        <v>40321</v>
      </c>
      <c r="K394" s="6" t="s">
        <v>38367</v>
      </c>
      <c r="L394" s="6" t="s">
        <v>37987</v>
      </c>
      <c r="M394" s="6" t="s">
        <v>37890</v>
      </c>
      <c r="N394" s="6" t="s">
        <v>39446</v>
      </c>
      <c r="O394" s="6" t="s">
        <v>40322</v>
      </c>
      <c r="P394" s="6" t="s">
        <v>38787</v>
      </c>
      <c r="Q394" s="6" t="s">
        <v>40323</v>
      </c>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row>
    <row r="395" spans="1:72">
      <c r="A395" s="8" t="s">
        <v>8285</v>
      </c>
      <c r="B395" s="11" t="s">
        <v>8290</v>
      </c>
      <c r="C395" s="9" t="s">
        <v>138</v>
      </c>
      <c r="D395" s="10" t="s">
        <v>138</v>
      </c>
      <c r="E395" s="28" t="s">
        <v>3691</v>
      </c>
      <c r="F395" s="28" t="s">
        <v>138</v>
      </c>
      <c r="G395" s="28" t="s">
        <v>3693</v>
      </c>
      <c r="H395" s="13">
        <v>10</v>
      </c>
      <c r="I395" s="12" t="s">
        <v>8300</v>
      </c>
      <c r="J395" s="12" t="s">
        <v>40324</v>
      </c>
      <c r="K395" s="12" t="s">
        <v>40325</v>
      </c>
      <c r="L395" s="12" t="s">
        <v>40326</v>
      </c>
      <c r="M395" s="12" t="s">
        <v>40327</v>
      </c>
      <c r="N395" s="12" t="s">
        <v>40328</v>
      </c>
      <c r="O395" s="12" t="s">
        <v>40329</v>
      </c>
      <c r="P395" s="12" t="s">
        <v>37998</v>
      </c>
      <c r="Q395" s="12" t="s">
        <v>37781</v>
      </c>
      <c r="R395" s="12" t="s">
        <v>40330</v>
      </c>
      <c r="S395" s="12" t="s">
        <v>40331</v>
      </c>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row>
    <row r="396" spans="1:72">
      <c r="A396" s="2" t="s">
        <v>8306</v>
      </c>
      <c r="B396" s="5" t="s">
        <v>8312</v>
      </c>
      <c r="C396" s="3" t="s">
        <v>138</v>
      </c>
      <c r="D396" s="4" t="s">
        <v>8307</v>
      </c>
      <c r="E396" s="15" t="s">
        <v>3907</v>
      </c>
      <c r="F396" s="15" t="s">
        <v>2740</v>
      </c>
      <c r="G396" s="15" t="s">
        <v>2742</v>
      </c>
      <c r="H396" s="7">
        <v>8</v>
      </c>
      <c r="I396" s="6" t="s">
        <v>8322</v>
      </c>
      <c r="J396" s="6" t="s">
        <v>40332</v>
      </c>
      <c r="K396" s="6" t="s">
        <v>40333</v>
      </c>
      <c r="L396" s="6" t="s">
        <v>40334</v>
      </c>
      <c r="M396" s="6" t="s">
        <v>40335</v>
      </c>
      <c r="N396" s="6" t="s">
        <v>40336</v>
      </c>
      <c r="O396" s="6" t="s">
        <v>40337</v>
      </c>
      <c r="P396" s="6" t="s">
        <v>38371</v>
      </c>
      <c r="Q396" s="6" t="s">
        <v>38775</v>
      </c>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row>
    <row r="397" spans="1:72">
      <c r="A397" s="8" t="s">
        <v>8326</v>
      </c>
      <c r="B397" s="11" t="s">
        <v>8331</v>
      </c>
      <c r="C397" s="9" t="s">
        <v>138</v>
      </c>
      <c r="D397" s="10" t="s">
        <v>138</v>
      </c>
      <c r="E397" s="28" t="s">
        <v>1198</v>
      </c>
      <c r="F397" s="28" t="s">
        <v>8339</v>
      </c>
      <c r="G397" s="28" t="s">
        <v>1200</v>
      </c>
      <c r="H397" s="13">
        <v>4</v>
      </c>
      <c r="I397" s="12" t="s">
        <v>8343</v>
      </c>
      <c r="J397" s="12" t="s">
        <v>40338</v>
      </c>
      <c r="K397" s="12" t="s">
        <v>38065</v>
      </c>
      <c r="L397" s="12" t="s">
        <v>40339</v>
      </c>
      <c r="M397" s="12" t="s">
        <v>40340</v>
      </c>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12"/>
      <c r="BH397" s="12"/>
      <c r="BI397" s="12"/>
      <c r="BJ397" s="12"/>
      <c r="BK397" s="12"/>
      <c r="BL397" s="12"/>
      <c r="BM397" s="12"/>
      <c r="BN397" s="12"/>
      <c r="BO397" s="12"/>
      <c r="BP397" s="12"/>
      <c r="BQ397" s="12"/>
      <c r="BR397" s="12"/>
      <c r="BS397" s="12"/>
      <c r="BT397" s="12"/>
    </row>
    <row r="398" spans="1:72">
      <c r="A398" s="2" t="s">
        <v>8346</v>
      </c>
      <c r="B398" s="5" t="s">
        <v>8350</v>
      </c>
      <c r="C398" s="3" t="s">
        <v>138</v>
      </c>
      <c r="D398" s="4" t="s">
        <v>138</v>
      </c>
      <c r="E398" s="15" t="s">
        <v>944</v>
      </c>
      <c r="F398" s="15" t="s">
        <v>138</v>
      </c>
      <c r="G398" s="15" t="s">
        <v>946</v>
      </c>
      <c r="H398" s="7">
        <v>3</v>
      </c>
      <c r="I398" s="6" t="s">
        <v>1827</v>
      </c>
      <c r="J398" s="6" t="s">
        <v>6673</v>
      </c>
      <c r="K398" s="6" t="s">
        <v>38371</v>
      </c>
      <c r="L398" s="6" t="s">
        <v>38372</v>
      </c>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row>
    <row r="399" spans="1:72">
      <c r="A399" s="8" t="s">
        <v>8358</v>
      </c>
      <c r="B399" s="11" t="s">
        <v>8363</v>
      </c>
      <c r="C399" s="9" t="s">
        <v>138</v>
      </c>
      <c r="D399" s="10" t="s">
        <v>8359</v>
      </c>
      <c r="E399" s="28" t="s">
        <v>1198</v>
      </c>
      <c r="F399" s="28" t="s">
        <v>138</v>
      </c>
      <c r="G399" s="28" t="s">
        <v>1200</v>
      </c>
      <c r="H399" s="13">
        <v>1</v>
      </c>
      <c r="I399" s="12" t="s">
        <v>8373</v>
      </c>
      <c r="J399" s="12" t="s">
        <v>8373</v>
      </c>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12"/>
      <c r="BH399" s="12"/>
      <c r="BI399" s="12"/>
      <c r="BJ399" s="12"/>
      <c r="BK399" s="12"/>
      <c r="BL399" s="12"/>
      <c r="BM399" s="12"/>
      <c r="BN399" s="12"/>
      <c r="BO399" s="12"/>
      <c r="BP399" s="12"/>
      <c r="BQ399" s="12"/>
      <c r="BR399" s="12"/>
      <c r="BS399" s="12"/>
      <c r="BT399" s="12"/>
    </row>
    <row r="400" spans="1:72">
      <c r="A400" s="2" t="s">
        <v>8376</v>
      </c>
      <c r="B400" s="5" t="s">
        <v>8382</v>
      </c>
      <c r="C400" s="3" t="s">
        <v>138</v>
      </c>
      <c r="D400" s="4" t="s">
        <v>8377</v>
      </c>
      <c r="E400" s="15" t="s">
        <v>668</v>
      </c>
      <c r="F400" s="15" t="s">
        <v>200</v>
      </c>
      <c r="G400" s="15" t="s">
        <v>162</v>
      </c>
      <c r="H400" s="7">
        <v>14</v>
      </c>
      <c r="I400" s="6" t="s">
        <v>8391</v>
      </c>
      <c r="J400" s="6" t="s">
        <v>40341</v>
      </c>
      <c r="K400" s="6" t="s">
        <v>40342</v>
      </c>
      <c r="L400" s="6" t="s">
        <v>40343</v>
      </c>
      <c r="M400" s="6" t="s">
        <v>40344</v>
      </c>
      <c r="N400" s="6" t="s">
        <v>40345</v>
      </c>
      <c r="O400" s="6" t="s">
        <v>40346</v>
      </c>
      <c r="P400" s="6" t="s">
        <v>40189</v>
      </c>
      <c r="Q400" s="6" t="s">
        <v>40347</v>
      </c>
      <c r="R400" s="6" t="s">
        <v>39944</v>
      </c>
      <c r="S400" s="6" t="s">
        <v>40348</v>
      </c>
      <c r="T400" s="6" t="s">
        <v>40349</v>
      </c>
      <c r="U400" s="6" t="s">
        <v>40350</v>
      </c>
      <c r="V400" s="6" t="s">
        <v>37781</v>
      </c>
      <c r="W400" s="6" t="s">
        <v>40351</v>
      </c>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row>
    <row r="401" spans="1:72">
      <c r="A401" s="8" t="s">
        <v>8394</v>
      </c>
      <c r="B401" s="11" t="s">
        <v>8400</v>
      </c>
      <c r="C401" s="9" t="s">
        <v>8395</v>
      </c>
      <c r="D401" s="10" t="s">
        <v>138</v>
      </c>
      <c r="E401" s="28" t="s">
        <v>1223</v>
      </c>
      <c r="F401" s="28" t="s">
        <v>200</v>
      </c>
      <c r="G401" s="28" t="s">
        <v>162</v>
      </c>
      <c r="H401" s="13">
        <v>17</v>
      </c>
      <c r="I401" s="12" t="s">
        <v>8409</v>
      </c>
      <c r="J401" s="12" t="s">
        <v>40352</v>
      </c>
      <c r="K401" s="12" t="s">
        <v>40353</v>
      </c>
      <c r="L401" s="12" t="s">
        <v>40354</v>
      </c>
      <c r="M401" s="12" t="s">
        <v>40355</v>
      </c>
      <c r="N401" s="12" t="s">
        <v>38593</v>
      </c>
      <c r="O401" s="12" t="s">
        <v>40356</v>
      </c>
      <c r="P401" s="12" t="s">
        <v>37786</v>
      </c>
      <c r="Q401" s="12" t="s">
        <v>40357</v>
      </c>
      <c r="R401" s="12" t="s">
        <v>40358</v>
      </c>
      <c r="S401" s="12" t="s">
        <v>37824</v>
      </c>
      <c r="T401" s="12" t="s">
        <v>38321</v>
      </c>
      <c r="U401" s="12" t="s">
        <v>39642</v>
      </c>
      <c r="V401" s="12" t="s">
        <v>38550</v>
      </c>
      <c r="W401" s="12" t="s">
        <v>38343</v>
      </c>
      <c r="X401" s="12" t="s">
        <v>40359</v>
      </c>
      <c r="Y401" s="12" t="s">
        <v>39656</v>
      </c>
      <c r="Z401" s="12" t="s">
        <v>40360</v>
      </c>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row>
    <row r="402" spans="1:72">
      <c r="A402" s="2" t="s">
        <v>8413</v>
      </c>
      <c r="B402" s="5" t="s">
        <v>138</v>
      </c>
      <c r="C402" s="3" t="s">
        <v>138</v>
      </c>
      <c r="D402" s="4" t="s">
        <v>8414</v>
      </c>
      <c r="E402" s="15" t="s">
        <v>1294</v>
      </c>
      <c r="F402" s="15" t="s">
        <v>864</v>
      </c>
      <c r="G402" s="15" t="s">
        <v>162</v>
      </c>
      <c r="H402" s="7">
        <v>4</v>
      </c>
      <c r="I402" s="6" t="s">
        <v>8423</v>
      </c>
      <c r="J402" s="6" t="s">
        <v>7802</v>
      </c>
      <c r="K402" s="6" t="s">
        <v>38844</v>
      </c>
      <c r="L402" s="6" t="s">
        <v>39484</v>
      </c>
      <c r="M402" s="6" t="s">
        <v>40361</v>
      </c>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row>
    <row r="403" spans="1:72">
      <c r="A403" s="8" t="s">
        <v>8428</v>
      </c>
      <c r="B403" s="11" t="s">
        <v>8433</v>
      </c>
      <c r="C403" s="9" t="s">
        <v>138</v>
      </c>
      <c r="D403" s="10" t="s">
        <v>138</v>
      </c>
      <c r="E403" s="28" t="s">
        <v>1246</v>
      </c>
      <c r="F403" s="28" t="s">
        <v>200</v>
      </c>
      <c r="G403" s="28" t="s">
        <v>162</v>
      </c>
      <c r="H403" s="13">
        <v>11</v>
      </c>
      <c r="I403" s="12" t="s">
        <v>8442</v>
      </c>
      <c r="J403" s="12" t="s">
        <v>37978</v>
      </c>
      <c r="K403" s="12" t="s">
        <v>40362</v>
      </c>
      <c r="L403" s="12" t="s">
        <v>40363</v>
      </c>
      <c r="M403" s="12" t="s">
        <v>40364</v>
      </c>
      <c r="N403" s="12" t="s">
        <v>39274</v>
      </c>
      <c r="O403" s="12" t="s">
        <v>38803</v>
      </c>
      <c r="P403" s="12" t="s">
        <v>38062</v>
      </c>
      <c r="Q403" s="12" t="s">
        <v>38992</v>
      </c>
      <c r="R403" s="12" t="s">
        <v>40365</v>
      </c>
      <c r="S403" s="12" t="s">
        <v>40366</v>
      </c>
      <c r="T403" s="12" t="s">
        <v>40367</v>
      </c>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12"/>
      <c r="BH403" s="12"/>
      <c r="BI403" s="12"/>
      <c r="BJ403" s="12"/>
      <c r="BK403" s="12"/>
      <c r="BL403" s="12"/>
      <c r="BM403" s="12"/>
      <c r="BN403" s="12"/>
      <c r="BO403" s="12"/>
      <c r="BP403" s="12"/>
      <c r="BQ403" s="12"/>
      <c r="BR403" s="12"/>
      <c r="BS403" s="12"/>
      <c r="BT403" s="12"/>
    </row>
    <row r="404" spans="1:72">
      <c r="A404" s="2" t="s">
        <v>8446</v>
      </c>
      <c r="B404" s="5" t="s">
        <v>8451</v>
      </c>
      <c r="C404" s="3" t="s">
        <v>8447</v>
      </c>
      <c r="D404" s="4" t="s">
        <v>138</v>
      </c>
      <c r="E404" s="15" t="s">
        <v>5382</v>
      </c>
      <c r="F404" s="15" t="s">
        <v>200</v>
      </c>
      <c r="G404" s="15" t="s">
        <v>162</v>
      </c>
      <c r="H404" s="7">
        <v>7</v>
      </c>
      <c r="I404" s="6" t="s">
        <v>8462</v>
      </c>
      <c r="J404" s="6" t="s">
        <v>40368</v>
      </c>
      <c r="K404" s="6" t="s">
        <v>40369</v>
      </c>
      <c r="L404" s="6" t="s">
        <v>40370</v>
      </c>
      <c r="M404" s="6" t="s">
        <v>39314</v>
      </c>
      <c r="N404" s="6" t="s">
        <v>40371</v>
      </c>
      <c r="O404" s="6" t="s">
        <v>40372</v>
      </c>
      <c r="P404" s="6" t="s">
        <v>40373</v>
      </c>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row>
    <row r="405" spans="1:72">
      <c r="A405" s="8" t="s">
        <v>8465</v>
      </c>
      <c r="B405" s="11" t="s">
        <v>8470</v>
      </c>
      <c r="C405" s="9" t="s">
        <v>8466</v>
      </c>
      <c r="D405" s="10" t="s">
        <v>138</v>
      </c>
      <c r="E405" s="28" t="s">
        <v>8478</v>
      </c>
      <c r="F405" s="28" t="s">
        <v>8479</v>
      </c>
      <c r="G405" s="28" t="s">
        <v>162</v>
      </c>
      <c r="H405" s="13">
        <v>4</v>
      </c>
      <c r="I405" s="12" t="s">
        <v>8484</v>
      </c>
      <c r="J405" s="12" t="s">
        <v>40374</v>
      </c>
      <c r="K405" s="12" t="s">
        <v>40375</v>
      </c>
      <c r="L405" s="12" t="s">
        <v>40376</v>
      </c>
      <c r="M405" s="12" t="s">
        <v>40377</v>
      </c>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12"/>
      <c r="BH405" s="12"/>
      <c r="BI405" s="12"/>
      <c r="BJ405" s="12"/>
      <c r="BK405" s="12"/>
      <c r="BL405" s="12"/>
      <c r="BM405" s="12"/>
      <c r="BN405" s="12"/>
      <c r="BO405" s="12"/>
      <c r="BP405" s="12"/>
      <c r="BQ405" s="12"/>
      <c r="BR405" s="12"/>
      <c r="BS405" s="12"/>
      <c r="BT405" s="12"/>
    </row>
    <row r="406" spans="1:72">
      <c r="A406" s="2" t="s">
        <v>8487</v>
      </c>
      <c r="B406" s="5" t="s">
        <v>8495</v>
      </c>
      <c r="C406" s="3" t="s">
        <v>8488</v>
      </c>
      <c r="D406" s="4" t="s">
        <v>8489</v>
      </c>
      <c r="E406" s="15" t="s">
        <v>8502</v>
      </c>
      <c r="F406" s="15" t="s">
        <v>2883</v>
      </c>
      <c r="G406" s="15" t="s">
        <v>162</v>
      </c>
      <c r="H406" s="7">
        <v>2</v>
      </c>
      <c r="I406" s="6" t="s">
        <v>8508</v>
      </c>
      <c r="J406" s="6" t="s">
        <v>40378</v>
      </c>
      <c r="K406" s="6" t="s">
        <v>40379</v>
      </c>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row>
    <row r="407" spans="1:72">
      <c r="A407" s="8" t="s">
        <v>8514</v>
      </c>
      <c r="B407" s="11" t="s">
        <v>8519</v>
      </c>
      <c r="C407" s="9" t="s">
        <v>138</v>
      </c>
      <c r="D407" s="10" t="s">
        <v>138</v>
      </c>
      <c r="E407" s="28" t="s">
        <v>8525</v>
      </c>
      <c r="F407" s="28" t="s">
        <v>138</v>
      </c>
      <c r="G407" s="28" t="s">
        <v>946</v>
      </c>
      <c r="H407" s="13">
        <v>8</v>
      </c>
      <c r="I407" s="12" t="s">
        <v>8529</v>
      </c>
      <c r="J407" s="12" t="s">
        <v>40380</v>
      </c>
      <c r="K407" s="12" t="s">
        <v>38354</v>
      </c>
      <c r="L407" s="12" t="s">
        <v>38803</v>
      </c>
      <c r="M407" s="12" t="s">
        <v>40381</v>
      </c>
      <c r="N407" s="12" t="s">
        <v>37922</v>
      </c>
      <c r="O407" s="12" t="s">
        <v>40382</v>
      </c>
      <c r="P407" s="12" t="s">
        <v>40383</v>
      </c>
      <c r="Q407" s="12" t="s">
        <v>39871</v>
      </c>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row>
    <row r="408" spans="1:72">
      <c r="A408" s="2" t="s">
        <v>8532</v>
      </c>
      <c r="B408" s="5" t="s">
        <v>8536</v>
      </c>
      <c r="C408" s="3" t="s">
        <v>138</v>
      </c>
      <c r="D408" s="4" t="s">
        <v>138</v>
      </c>
      <c r="E408" s="15" t="s">
        <v>426</v>
      </c>
      <c r="F408" s="15" t="s">
        <v>426</v>
      </c>
      <c r="G408" s="15" t="s">
        <v>162</v>
      </c>
      <c r="H408" s="7">
        <v>9</v>
      </c>
      <c r="I408" s="6" t="s">
        <v>8543</v>
      </c>
      <c r="J408" s="6" t="s">
        <v>40384</v>
      </c>
      <c r="K408" s="6" t="s">
        <v>40385</v>
      </c>
      <c r="L408" s="6" t="s">
        <v>40386</v>
      </c>
      <c r="M408" s="6" t="s">
        <v>38216</v>
      </c>
      <c r="N408" s="6" t="s">
        <v>38910</v>
      </c>
      <c r="O408" s="6" t="s">
        <v>38638</v>
      </c>
      <c r="P408" s="6" t="s">
        <v>40387</v>
      </c>
      <c r="Q408" s="6" t="s">
        <v>40231</v>
      </c>
      <c r="R408" s="6" t="s">
        <v>37890</v>
      </c>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c r="BQ408" s="6"/>
      <c r="BR408" s="6"/>
      <c r="BS408" s="6"/>
      <c r="BT408" s="6"/>
    </row>
    <row r="409" spans="1:72">
      <c r="A409" s="8" t="s">
        <v>8546</v>
      </c>
      <c r="B409" s="11" t="s">
        <v>8550</v>
      </c>
      <c r="C409" s="9" t="s">
        <v>138</v>
      </c>
      <c r="D409" s="10" t="s">
        <v>138</v>
      </c>
      <c r="E409" s="28" t="s">
        <v>1294</v>
      </c>
      <c r="F409" s="28" t="s">
        <v>864</v>
      </c>
      <c r="G409" s="28" t="s">
        <v>162</v>
      </c>
      <c r="H409" s="13">
        <v>3</v>
      </c>
      <c r="I409" s="12" t="s">
        <v>8558</v>
      </c>
      <c r="J409" s="12" t="s">
        <v>39226</v>
      </c>
      <c r="K409" s="12" t="s">
        <v>38057</v>
      </c>
      <c r="L409" s="12" t="s">
        <v>38084</v>
      </c>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12"/>
      <c r="BH409" s="12"/>
      <c r="BI409" s="12"/>
      <c r="BJ409" s="12"/>
      <c r="BK409" s="12"/>
      <c r="BL409" s="12"/>
      <c r="BM409" s="12"/>
      <c r="BN409" s="12"/>
      <c r="BO409" s="12"/>
      <c r="BP409" s="12"/>
      <c r="BQ409" s="12"/>
      <c r="BR409" s="12"/>
      <c r="BS409" s="12"/>
      <c r="BT409" s="12"/>
    </row>
    <row r="410" spans="1:72">
      <c r="A410" s="2" t="s">
        <v>8563</v>
      </c>
      <c r="B410" s="5" t="s">
        <v>8569</v>
      </c>
      <c r="C410" s="3" t="s">
        <v>138</v>
      </c>
      <c r="D410" s="4" t="s">
        <v>138</v>
      </c>
      <c r="E410" s="15" t="s">
        <v>284</v>
      </c>
      <c r="F410" s="15" t="s">
        <v>2822</v>
      </c>
      <c r="G410" s="15" t="s">
        <v>162</v>
      </c>
      <c r="H410" s="7">
        <v>8</v>
      </c>
      <c r="I410" s="6" t="s">
        <v>8579</v>
      </c>
      <c r="J410" s="6" t="s">
        <v>38344</v>
      </c>
      <c r="K410" s="6" t="s">
        <v>38234</v>
      </c>
      <c r="L410" s="6" t="s">
        <v>40388</v>
      </c>
      <c r="M410" s="6" t="s">
        <v>38882</v>
      </c>
      <c r="N410" s="6" t="s">
        <v>38349</v>
      </c>
      <c r="O410" s="6" t="s">
        <v>40389</v>
      </c>
      <c r="P410" s="6" t="s">
        <v>40390</v>
      </c>
      <c r="Q410" s="6" t="s">
        <v>38459</v>
      </c>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row>
    <row r="411" spans="1:72">
      <c r="A411" s="8" t="s">
        <v>8582</v>
      </c>
      <c r="B411" s="11" t="s">
        <v>8588</v>
      </c>
      <c r="C411" s="9" t="s">
        <v>138</v>
      </c>
      <c r="D411" s="10" t="s">
        <v>138</v>
      </c>
      <c r="E411" s="28" t="s">
        <v>642</v>
      </c>
      <c r="F411" s="28" t="s">
        <v>474</v>
      </c>
      <c r="G411" s="28" t="s">
        <v>162</v>
      </c>
      <c r="H411" s="13">
        <v>23</v>
      </c>
      <c r="I411" s="12" t="s">
        <v>8599</v>
      </c>
      <c r="J411" s="12" t="s">
        <v>40391</v>
      </c>
      <c r="K411" s="12" t="s">
        <v>40392</v>
      </c>
      <c r="L411" s="12" t="s">
        <v>39201</v>
      </c>
      <c r="M411" s="12" t="s">
        <v>40393</v>
      </c>
      <c r="N411" s="12" t="s">
        <v>40394</v>
      </c>
      <c r="O411" s="12" t="s">
        <v>38485</v>
      </c>
      <c r="P411" s="12" t="s">
        <v>40395</v>
      </c>
      <c r="Q411" s="12" t="s">
        <v>40396</v>
      </c>
      <c r="R411" s="12" t="s">
        <v>40397</v>
      </c>
      <c r="S411" s="12" t="s">
        <v>40398</v>
      </c>
      <c r="T411" s="12" t="s">
        <v>40399</v>
      </c>
      <c r="U411" s="12" t="s">
        <v>40400</v>
      </c>
      <c r="V411" s="12" t="s">
        <v>40401</v>
      </c>
      <c r="W411" s="12" t="s">
        <v>40402</v>
      </c>
      <c r="X411" s="12" t="s">
        <v>40403</v>
      </c>
      <c r="Y411" s="12" t="s">
        <v>40404</v>
      </c>
      <c r="Z411" s="12" t="s">
        <v>40405</v>
      </c>
      <c r="AA411" s="12" t="s">
        <v>40406</v>
      </c>
      <c r="AB411" s="12" t="s">
        <v>39784</v>
      </c>
      <c r="AC411" s="12" t="s">
        <v>40407</v>
      </c>
      <c r="AD411" s="12" t="s">
        <v>40408</v>
      </c>
      <c r="AE411" s="12" t="s">
        <v>40409</v>
      </c>
      <c r="AF411" s="12" t="s">
        <v>40410</v>
      </c>
      <c r="AG411" s="12" t="s">
        <v>38145</v>
      </c>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12"/>
      <c r="BH411" s="12"/>
      <c r="BI411" s="12"/>
      <c r="BJ411" s="12"/>
      <c r="BK411" s="12"/>
      <c r="BL411" s="12"/>
      <c r="BM411" s="12"/>
      <c r="BN411" s="12"/>
      <c r="BO411" s="12"/>
      <c r="BP411" s="12"/>
      <c r="BQ411" s="12"/>
      <c r="BR411" s="12"/>
      <c r="BS411" s="12"/>
      <c r="BT411" s="12"/>
    </row>
    <row r="412" spans="1:72">
      <c r="A412" s="2" t="s">
        <v>8603</v>
      </c>
      <c r="B412" s="5" t="s">
        <v>8607</v>
      </c>
      <c r="C412" s="3" t="s">
        <v>138</v>
      </c>
      <c r="D412" s="4" t="s">
        <v>138</v>
      </c>
      <c r="E412" s="15" t="s">
        <v>6404</v>
      </c>
      <c r="F412" s="15" t="s">
        <v>200</v>
      </c>
      <c r="G412" s="15" t="s">
        <v>162</v>
      </c>
      <c r="H412" s="7">
        <v>10</v>
      </c>
      <c r="I412" s="6" t="s">
        <v>8614</v>
      </c>
      <c r="J412" s="6" t="s">
        <v>40411</v>
      </c>
      <c r="K412" s="6" t="s">
        <v>40412</v>
      </c>
      <c r="L412" s="6" t="s">
        <v>40413</v>
      </c>
      <c r="M412" s="6" t="s">
        <v>40414</v>
      </c>
      <c r="N412" s="6" t="s">
        <v>37819</v>
      </c>
      <c r="O412" s="6" t="s">
        <v>40415</v>
      </c>
      <c r="P412" s="6" t="s">
        <v>40357</v>
      </c>
      <c r="Q412" s="6" t="s">
        <v>40416</v>
      </c>
      <c r="R412" s="6" t="s">
        <v>40417</v>
      </c>
      <c r="S412" s="6" t="s">
        <v>39127</v>
      </c>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c r="BS412" s="6"/>
      <c r="BT412" s="6"/>
    </row>
    <row r="413" spans="1:72">
      <c r="A413" s="8" t="s">
        <v>8617</v>
      </c>
      <c r="B413" s="11" t="s">
        <v>8621</v>
      </c>
      <c r="C413" s="9" t="s">
        <v>138</v>
      </c>
      <c r="D413" s="10" t="s">
        <v>138</v>
      </c>
      <c r="E413" s="28" t="s">
        <v>1198</v>
      </c>
      <c r="F413" s="28" t="s">
        <v>138</v>
      </c>
      <c r="G413" s="28" t="s">
        <v>1200</v>
      </c>
      <c r="H413" s="13">
        <v>6</v>
      </c>
      <c r="I413" s="12" t="s">
        <v>8630</v>
      </c>
      <c r="J413" s="12" t="s">
        <v>39194</v>
      </c>
      <c r="K413" s="12" t="s">
        <v>39195</v>
      </c>
      <c r="L413" s="12" t="s">
        <v>40418</v>
      </c>
      <c r="M413" s="12" t="s">
        <v>40419</v>
      </c>
      <c r="N413" s="12" t="s">
        <v>38065</v>
      </c>
      <c r="O413" s="12" t="s">
        <v>38712</v>
      </c>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row>
    <row r="414" spans="1:72">
      <c r="A414" s="2" t="s">
        <v>8633</v>
      </c>
      <c r="B414" s="5" t="s">
        <v>8640</v>
      </c>
      <c r="C414" s="3" t="s">
        <v>138</v>
      </c>
      <c r="D414" s="4" t="s">
        <v>8634</v>
      </c>
      <c r="E414" s="15" t="s">
        <v>668</v>
      </c>
      <c r="F414" s="15" t="s">
        <v>200</v>
      </c>
      <c r="G414" s="15" t="s">
        <v>162</v>
      </c>
      <c r="H414" s="7">
        <v>24</v>
      </c>
      <c r="I414" s="6" t="s">
        <v>8649</v>
      </c>
      <c r="J414" s="6" t="s">
        <v>40420</v>
      </c>
      <c r="K414" s="6" t="s">
        <v>40421</v>
      </c>
      <c r="L414" s="6" t="s">
        <v>38175</v>
      </c>
      <c r="M414" s="6" t="s">
        <v>37945</v>
      </c>
      <c r="N414" s="6" t="s">
        <v>37799</v>
      </c>
      <c r="O414" s="6" t="s">
        <v>40422</v>
      </c>
      <c r="P414" s="6" t="s">
        <v>40423</v>
      </c>
      <c r="Q414" s="6" t="s">
        <v>40424</v>
      </c>
      <c r="R414" s="6" t="s">
        <v>40425</v>
      </c>
      <c r="S414" s="6" t="s">
        <v>38398</v>
      </c>
      <c r="T414" s="6" t="s">
        <v>38427</v>
      </c>
      <c r="U414" s="6" t="s">
        <v>40426</v>
      </c>
      <c r="V414" s="6" t="s">
        <v>38025</v>
      </c>
      <c r="W414" s="6" t="s">
        <v>38065</v>
      </c>
      <c r="X414" s="6" t="s">
        <v>40427</v>
      </c>
      <c r="Y414" s="6" t="s">
        <v>39297</v>
      </c>
      <c r="Z414" s="6" t="s">
        <v>40428</v>
      </c>
      <c r="AA414" s="6" t="s">
        <v>39695</v>
      </c>
      <c r="AB414" s="6" t="s">
        <v>40429</v>
      </c>
      <c r="AC414" s="6" t="s">
        <v>40430</v>
      </c>
      <c r="AD414" s="6" t="s">
        <v>39698</v>
      </c>
      <c r="AE414" s="6" t="s">
        <v>38538</v>
      </c>
      <c r="AF414" s="6" t="s">
        <v>40431</v>
      </c>
      <c r="AG414" s="6" t="s">
        <v>37976</v>
      </c>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row>
    <row r="415" spans="1:72">
      <c r="A415" s="8" t="s">
        <v>8652</v>
      </c>
      <c r="B415" s="11" t="s">
        <v>8656</v>
      </c>
      <c r="C415" s="9" t="s">
        <v>138</v>
      </c>
      <c r="D415" s="10" t="s">
        <v>138</v>
      </c>
      <c r="E415" s="28" t="s">
        <v>7079</v>
      </c>
      <c r="F415" s="28" t="s">
        <v>200</v>
      </c>
      <c r="G415" s="28" t="s">
        <v>162</v>
      </c>
      <c r="H415" s="13">
        <v>3</v>
      </c>
      <c r="I415" s="12" t="s">
        <v>8665</v>
      </c>
      <c r="J415" s="12" t="s">
        <v>40432</v>
      </c>
      <c r="K415" s="12" t="s">
        <v>39763</v>
      </c>
      <c r="L415" s="12" t="s">
        <v>38821</v>
      </c>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12"/>
      <c r="BH415" s="12"/>
      <c r="BI415" s="12"/>
      <c r="BJ415" s="12"/>
      <c r="BK415" s="12"/>
      <c r="BL415" s="12"/>
      <c r="BM415" s="12"/>
      <c r="BN415" s="12"/>
      <c r="BO415" s="12"/>
      <c r="BP415" s="12"/>
      <c r="BQ415" s="12"/>
      <c r="BR415" s="12"/>
      <c r="BS415" s="12"/>
      <c r="BT415" s="12"/>
    </row>
    <row r="416" spans="1:72">
      <c r="A416" s="2" t="s">
        <v>8668</v>
      </c>
      <c r="B416" s="5" t="s">
        <v>8673</v>
      </c>
      <c r="C416" s="3" t="s">
        <v>8669</v>
      </c>
      <c r="D416" s="4" t="s">
        <v>138</v>
      </c>
      <c r="E416" s="15" t="s">
        <v>3841</v>
      </c>
      <c r="F416" s="15" t="s">
        <v>200</v>
      </c>
      <c r="G416" s="15" t="s">
        <v>162</v>
      </c>
      <c r="H416" s="7">
        <v>32</v>
      </c>
      <c r="I416" s="6" t="s">
        <v>8681</v>
      </c>
      <c r="J416" s="6" t="s">
        <v>40433</v>
      </c>
      <c r="K416" s="6" t="s">
        <v>37815</v>
      </c>
      <c r="L416" s="6" t="s">
        <v>37820</v>
      </c>
      <c r="M416" s="6" t="s">
        <v>39386</v>
      </c>
      <c r="N416" s="6" t="s">
        <v>38605</v>
      </c>
      <c r="O416" s="6" t="s">
        <v>38418</v>
      </c>
      <c r="P416" s="6" t="s">
        <v>40434</v>
      </c>
      <c r="Q416" s="6" t="s">
        <v>40435</v>
      </c>
      <c r="R416" s="6" t="s">
        <v>38637</v>
      </c>
      <c r="S416" s="6" t="s">
        <v>40436</v>
      </c>
      <c r="T416" s="6" t="s">
        <v>40437</v>
      </c>
      <c r="U416" s="6" t="s">
        <v>40438</v>
      </c>
      <c r="V416" s="6" t="s">
        <v>38827</v>
      </c>
      <c r="W416" s="6" t="s">
        <v>38062</v>
      </c>
      <c r="X416" s="6" t="s">
        <v>40439</v>
      </c>
      <c r="Y416" s="6" t="s">
        <v>40440</v>
      </c>
      <c r="Z416" s="6" t="s">
        <v>40441</v>
      </c>
      <c r="AA416" s="6" t="s">
        <v>39690</v>
      </c>
      <c r="AB416" s="6" t="s">
        <v>40442</v>
      </c>
      <c r="AC416" s="6" t="s">
        <v>38049</v>
      </c>
      <c r="AD416" s="6" t="s">
        <v>40443</v>
      </c>
      <c r="AE416" s="6" t="s">
        <v>40444</v>
      </c>
      <c r="AF416" s="6" t="s">
        <v>37998</v>
      </c>
      <c r="AG416" s="6" t="s">
        <v>39520</v>
      </c>
      <c r="AH416" s="6" t="s">
        <v>37770</v>
      </c>
      <c r="AI416" s="6" t="s">
        <v>38479</v>
      </c>
      <c r="AJ416" s="6" t="s">
        <v>37829</v>
      </c>
      <c r="AK416" s="6" t="s">
        <v>40445</v>
      </c>
      <c r="AL416" s="6" t="s">
        <v>40446</v>
      </c>
      <c r="AM416" s="6" t="s">
        <v>38324</v>
      </c>
      <c r="AN416" s="6" t="s">
        <v>40447</v>
      </c>
      <c r="AO416" s="6" t="s">
        <v>37871</v>
      </c>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row>
    <row r="417" spans="1:72">
      <c r="A417" s="8" t="s">
        <v>8687</v>
      </c>
      <c r="B417" s="11" t="s">
        <v>8693</v>
      </c>
      <c r="C417" s="9" t="s">
        <v>138</v>
      </c>
      <c r="D417" s="10" t="s">
        <v>138</v>
      </c>
      <c r="E417" s="28" t="s">
        <v>944</v>
      </c>
      <c r="F417" s="28" t="s">
        <v>138</v>
      </c>
      <c r="G417" s="28" t="s">
        <v>946</v>
      </c>
      <c r="H417" s="13">
        <v>18</v>
      </c>
      <c r="I417" s="12" t="s">
        <v>8703</v>
      </c>
      <c r="J417" s="12" t="s">
        <v>38102</v>
      </c>
      <c r="K417" s="12" t="s">
        <v>40448</v>
      </c>
      <c r="L417" s="12" t="s">
        <v>40449</v>
      </c>
      <c r="M417" s="12" t="s">
        <v>40450</v>
      </c>
      <c r="N417" s="12" t="s">
        <v>40451</v>
      </c>
      <c r="O417" s="12" t="s">
        <v>40452</v>
      </c>
      <c r="P417" s="12" t="s">
        <v>40453</v>
      </c>
      <c r="Q417" s="12" t="s">
        <v>37774</v>
      </c>
      <c r="R417" s="12" t="s">
        <v>38721</v>
      </c>
      <c r="S417" s="12" t="s">
        <v>37954</v>
      </c>
      <c r="T417" s="12" t="s">
        <v>38062</v>
      </c>
      <c r="U417" s="12" t="s">
        <v>38724</v>
      </c>
      <c r="V417" s="12" t="s">
        <v>40454</v>
      </c>
      <c r="W417" s="12" t="s">
        <v>38401</v>
      </c>
      <c r="X417" s="12" t="s">
        <v>39765</v>
      </c>
      <c r="Y417" s="12" t="s">
        <v>40455</v>
      </c>
      <c r="Z417" s="12" t="s">
        <v>39064</v>
      </c>
      <c r="AA417" s="12" t="s">
        <v>38157</v>
      </c>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12"/>
      <c r="BH417" s="12"/>
      <c r="BI417" s="12"/>
      <c r="BJ417" s="12"/>
      <c r="BK417" s="12"/>
      <c r="BL417" s="12"/>
      <c r="BM417" s="12"/>
      <c r="BN417" s="12"/>
      <c r="BO417" s="12"/>
      <c r="BP417" s="12"/>
      <c r="BQ417" s="12"/>
      <c r="BR417" s="12"/>
      <c r="BS417" s="12"/>
      <c r="BT417" s="12"/>
    </row>
    <row r="418" spans="1:72">
      <c r="A418" s="2" t="s">
        <v>8708</v>
      </c>
      <c r="B418" s="5" t="s">
        <v>8713</v>
      </c>
      <c r="C418" s="3" t="s">
        <v>138</v>
      </c>
      <c r="D418" s="4" t="s">
        <v>138</v>
      </c>
      <c r="E418" s="15" t="s">
        <v>449</v>
      </c>
      <c r="F418" s="15" t="s">
        <v>138</v>
      </c>
      <c r="G418" s="15" t="s">
        <v>450</v>
      </c>
      <c r="H418" s="7">
        <v>6</v>
      </c>
      <c r="I418" s="6" t="s">
        <v>8722</v>
      </c>
      <c r="J418" s="6" t="s">
        <v>40456</v>
      </c>
      <c r="K418" s="6" t="s">
        <v>38663</v>
      </c>
      <c r="L418" s="6" t="s">
        <v>40457</v>
      </c>
      <c r="M418" s="6" t="s">
        <v>38651</v>
      </c>
      <c r="N418" s="6" t="s">
        <v>40458</v>
      </c>
      <c r="O418" s="6" t="s">
        <v>40459</v>
      </c>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row>
    <row r="419" spans="1:72">
      <c r="A419" s="8" t="s">
        <v>8726</v>
      </c>
      <c r="B419" s="11" t="s">
        <v>8733</v>
      </c>
      <c r="C419" s="9" t="s">
        <v>8727</v>
      </c>
      <c r="D419" s="10" t="s">
        <v>8728</v>
      </c>
      <c r="E419" s="28" t="s">
        <v>2005</v>
      </c>
      <c r="F419" s="28" t="s">
        <v>200</v>
      </c>
      <c r="G419" s="28" t="s">
        <v>162</v>
      </c>
      <c r="H419" s="13" t="s">
        <v>138</v>
      </c>
      <c r="I419" s="12" t="s">
        <v>138</v>
      </c>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row>
    <row r="420" spans="1:72">
      <c r="A420" s="2" t="s">
        <v>8748</v>
      </c>
      <c r="B420" s="5" t="s">
        <v>8751</v>
      </c>
      <c r="C420" s="3" t="s">
        <v>138</v>
      </c>
      <c r="D420" s="4" t="s">
        <v>138</v>
      </c>
      <c r="E420" s="15" t="s">
        <v>426</v>
      </c>
      <c r="F420" s="15" t="s">
        <v>426</v>
      </c>
      <c r="G420" s="15" t="s">
        <v>162</v>
      </c>
      <c r="H420" s="7">
        <v>3</v>
      </c>
      <c r="I420" s="6" t="s">
        <v>8760</v>
      </c>
      <c r="J420" s="6" t="s">
        <v>40460</v>
      </c>
      <c r="K420" s="6" t="s">
        <v>40155</v>
      </c>
      <c r="L420" s="6" t="s">
        <v>40461</v>
      </c>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row>
    <row r="421" spans="1:72">
      <c r="A421" s="8" t="s">
        <v>8764</v>
      </c>
      <c r="B421" s="11" t="s">
        <v>8768</v>
      </c>
      <c r="C421" s="9" t="s">
        <v>138</v>
      </c>
      <c r="D421" s="10" t="s">
        <v>138</v>
      </c>
      <c r="E421" s="28" t="s">
        <v>3670</v>
      </c>
      <c r="F421" s="28" t="s">
        <v>200</v>
      </c>
      <c r="G421" s="28" t="s">
        <v>162</v>
      </c>
      <c r="H421" s="13">
        <v>4</v>
      </c>
      <c r="I421" s="12" t="s">
        <v>8777</v>
      </c>
      <c r="J421" s="12" t="s">
        <v>40462</v>
      </c>
      <c r="K421" s="12" t="s">
        <v>40463</v>
      </c>
      <c r="L421" s="12" t="s">
        <v>40464</v>
      </c>
      <c r="M421" s="12" t="s">
        <v>40465</v>
      </c>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12"/>
      <c r="BH421" s="12"/>
      <c r="BI421" s="12"/>
      <c r="BJ421" s="12"/>
      <c r="BK421" s="12"/>
      <c r="BL421" s="12"/>
      <c r="BM421" s="12"/>
      <c r="BN421" s="12"/>
      <c r="BO421" s="12"/>
      <c r="BP421" s="12"/>
      <c r="BQ421" s="12"/>
      <c r="BR421" s="12"/>
      <c r="BS421" s="12"/>
      <c r="BT421" s="12"/>
    </row>
    <row r="422" spans="1:72">
      <c r="A422" s="2" t="s">
        <v>8781</v>
      </c>
      <c r="B422" s="5" t="s">
        <v>8786</v>
      </c>
      <c r="C422" s="3" t="s">
        <v>138</v>
      </c>
      <c r="D422" s="4" t="s">
        <v>138</v>
      </c>
      <c r="E422" s="15" t="s">
        <v>1223</v>
      </c>
      <c r="F422" s="15" t="s">
        <v>200</v>
      </c>
      <c r="G422" s="15" t="s">
        <v>162</v>
      </c>
      <c r="H422" s="7">
        <v>13</v>
      </c>
      <c r="I422" s="6" t="s">
        <v>8795</v>
      </c>
      <c r="J422" s="6" t="s">
        <v>40466</v>
      </c>
      <c r="K422" s="6" t="s">
        <v>39630</v>
      </c>
      <c r="L422" s="6" t="s">
        <v>39399</v>
      </c>
      <c r="M422" s="6" t="s">
        <v>40467</v>
      </c>
      <c r="N422" s="6" t="s">
        <v>40468</v>
      </c>
      <c r="O422" s="6" t="s">
        <v>40469</v>
      </c>
      <c r="P422" s="6" t="s">
        <v>40470</v>
      </c>
      <c r="Q422" s="6" t="s">
        <v>40471</v>
      </c>
      <c r="R422" s="6" t="s">
        <v>40472</v>
      </c>
      <c r="S422" s="6" t="s">
        <v>38200</v>
      </c>
      <c r="T422" s="6" t="s">
        <v>40473</v>
      </c>
      <c r="U422" s="6" t="s">
        <v>40474</v>
      </c>
      <c r="V422" s="6" t="s">
        <v>40475</v>
      </c>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row>
    <row r="423" spans="1:72">
      <c r="A423" s="8" t="s">
        <v>8801</v>
      </c>
      <c r="B423" s="11" t="s">
        <v>8808</v>
      </c>
      <c r="C423" s="9" t="s">
        <v>8802</v>
      </c>
      <c r="D423" s="10" t="s">
        <v>138</v>
      </c>
      <c r="E423" s="28" t="s">
        <v>8816</v>
      </c>
      <c r="F423" s="28" t="s">
        <v>6898</v>
      </c>
      <c r="G423" s="28" t="s">
        <v>162</v>
      </c>
      <c r="H423" s="13">
        <v>10</v>
      </c>
      <c r="I423" s="12" t="s">
        <v>8821</v>
      </c>
      <c r="J423" s="12" t="s">
        <v>40476</v>
      </c>
      <c r="K423" s="12" t="s">
        <v>40477</v>
      </c>
      <c r="L423" s="12" t="s">
        <v>40029</v>
      </c>
      <c r="M423" s="12" t="s">
        <v>40478</v>
      </c>
      <c r="N423" s="12" t="s">
        <v>40479</v>
      </c>
      <c r="O423" s="12" t="s">
        <v>37786</v>
      </c>
      <c r="P423" s="12" t="s">
        <v>38062</v>
      </c>
      <c r="Q423" s="12" t="s">
        <v>40480</v>
      </c>
      <c r="R423" s="12" t="s">
        <v>40481</v>
      </c>
      <c r="S423" s="12" t="s">
        <v>37868</v>
      </c>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12"/>
      <c r="BH423" s="12"/>
      <c r="BI423" s="12"/>
      <c r="BJ423" s="12"/>
      <c r="BK423" s="12"/>
      <c r="BL423" s="12"/>
      <c r="BM423" s="12"/>
      <c r="BN423" s="12"/>
      <c r="BO423" s="12"/>
      <c r="BP423" s="12"/>
      <c r="BQ423" s="12"/>
      <c r="BR423" s="12"/>
      <c r="BS423" s="12"/>
      <c r="BT423" s="12"/>
    </row>
    <row r="424" spans="1:72">
      <c r="A424" s="2" t="s">
        <v>8824</v>
      </c>
      <c r="B424" s="5" t="s">
        <v>8829</v>
      </c>
      <c r="C424" s="3" t="s">
        <v>138</v>
      </c>
      <c r="D424" s="4" t="s">
        <v>138</v>
      </c>
      <c r="E424" s="15" t="s">
        <v>8837</v>
      </c>
      <c r="F424" s="15" t="s">
        <v>864</v>
      </c>
      <c r="G424" s="15" t="s">
        <v>162</v>
      </c>
      <c r="H424" s="7">
        <v>8</v>
      </c>
      <c r="I424" s="6" t="s">
        <v>8842</v>
      </c>
      <c r="J424" s="6" t="s">
        <v>40482</v>
      </c>
      <c r="K424" s="6" t="s">
        <v>39314</v>
      </c>
      <c r="L424" s="6" t="s">
        <v>38164</v>
      </c>
      <c r="M424" s="6" t="s">
        <v>40483</v>
      </c>
      <c r="N424" s="6" t="s">
        <v>40484</v>
      </c>
      <c r="O424" s="6" t="s">
        <v>38137</v>
      </c>
      <c r="P424" s="6" t="s">
        <v>38401</v>
      </c>
      <c r="Q424" s="6" t="s">
        <v>40485</v>
      </c>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row>
    <row r="425" spans="1:72">
      <c r="A425" s="8" t="s">
        <v>8846</v>
      </c>
      <c r="B425" s="11" t="s">
        <v>8852</v>
      </c>
      <c r="C425" s="9" t="s">
        <v>138</v>
      </c>
      <c r="D425" s="10" t="s">
        <v>138</v>
      </c>
      <c r="E425" s="28" t="s">
        <v>370</v>
      </c>
      <c r="F425" s="28" t="s">
        <v>371</v>
      </c>
      <c r="G425" s="28" t="s">
        <v>162</v>
      </c>
      <c r="H425" s="13">
        <v>14</v>
      </c>
      <c r="I425" s="12" t="s">
        <v>8861</v>
      </c>
      <c r="J425" s="12" t="s">
        <v>40486</v>
      </c>
      <c r="K425" s="12" t="s">
        <v>40487</v>
      </c>
      <c r="L425" s="12" t="s">
        <v>40488</v>
      </c>
      <c r="M425" s="12" t="s">
        <v>40436</v>
      </c>
      <c r="N425" s="12" t="s">
        <v>40489</v>
      </c>
      <c r="O425" s="12" t="s">
        <v>40490</v>
      </c>
      <c r="P425" s="12" t="s">
        <v>37765</v>
      </c>
      <c r="Q425" s="12" t="s">
        <v>38770</v>
      </c>
      <c r="R425" s="12" t="s">
        <v>38200</v>
      </c>
      <c r="S425" s="12" t="s">
        <v>40491</v>
      </c>
      <c r="T425" s="12" t="s">
        <v>40492</v>
      </c>
      <c r="U425" s="12" t="s">
        <v>38240</v>
      </c>
      <c r="V425" s="12" t="s">
        <v>37768</v>
      </c>
      <c r="W425" s="12" t="s">
        <v>40493</v>
      </c>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row>
    <row r="426" spans="1:72">
      <c r="A426" s="2" t="s">
        <v>8865</v>
      </c>
      <c r="B426" s="5" t="s">
        <v>8871</v>
      </c>
      <c r="C426" s="3" t="s">
        <v>138</v>
      </c>
      <c r="D426" s="4" t="s">
        <v>138</v>
      </c>
      <c r="E426" s="15" t="s">
        <v>8880</v>
      </c>
      <c r="F426" s="15" t="s">
        <v>138</v>
      </c>
      <c r="G426" s="15" t="s">
        <v>8881</v>
      </c>
      <c r="H426" s="7">
        <v>7</v>
      </c>
      <c r="I426" s="6" t="s">
        <v>8884</v>
      </c>
      <c r="J426" s="6" t="s">
        <v>38868</v>
      </c>
      <c r="K426" s="6" t="s">
        <v>40494</v>
      </c>
      <c r="L426" s="6" t="s">
        <v>40495</v>
      </c>
      <c r="M426" s="6" t="s">
        <v>40496</v>
      </c>
      <c r="N426" s="6" t="s">
        <v>38363</v>
      </c>
      <c r="O426" s="6" t="s">
        <v>40497</v>
      </c>
      <c r="P426" s="6" t="s">
        <v>40498</v>
      </c>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row>
    <row r="427" spans="1:72">
      <c r="A427" s="8" t="s">
        <v>8888</v>
      </c>
      <c r="B427" s="11" t="s">
        <v>8894</v>
      </c>
      <c r="C427" s="9" t="s">
        <v>138</v>
      </c>
      <c r="D427" s="10" t="s">
        <v>8889</v>
      </c>
      <c r="E427" s="28" t="s">
        <v>944</v>
      </c>
      <c r="F427" s="28" t="s">
        <v>138</v>
      </c>
      <c r="G427" s="28" t="s">
        <v>946</v>
      </c>
      <c r="H427" s="13">
        <v>12</v>
      </c>
      <c r="I427" s="12" t="s">
        <v>8904</v>
      </c>
      <c r="J427" s="12" t="s">
        <v>39907</v>
      </c>
      <c r="K427" s="12" t="s">
        <v>40499</v>
      </c>
      <c r="L427" s="12" t="s">
        <v>40500</v>
      </c>
      <c r="M427" s="12" t="s">
        <v>40501</v>
      </c>
      <c r="N427" s="12" t="s">
        <v>40502</v>
      </c>
      <c r="O427" s="12" t="s">
        <v>40503</v>
      </c>
      <c r="P427" s="12" t="s">
        <v>39919</v>
      </c>
      <c r="Q427" s="12" t="s">
        <v>40504</v>
      </c>
      <c r="R427" s="12" t="s">
        <v>40505</v>
      </c>
      <c r="S427" s="12" t="s">
        <v>40506</v>
      </c>
      <c r="T427" s="12" t="s">
        <v>38196</v>
      </c>
      <c r="U427" s="12" t="s">
        <v>40507</v>
      </c>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12"/>
      <c r="BH427" s="12"/>
      <c r="BI427" s="12"/>
      <c r="BJ427" s="12"/>
      <c r="BK427" s="12"/>
      <c r="BL427" s="12"/>
      <c r="BM427" s="12"/>
      <c r="BN427" s="12"/>
      <c r="BO427" s="12"/>
      <c r="BP427" s="12"/>
      <c r="BQ427" s="12"/>
      <c r="BR427" s="12"/>
      <c r="BS427" s="12"/>
      <c r="BT427" s="12"/>
    </row>
    <row r="428" spans="1:72">
      <c r="A428" s="2" t="s">
        <v>8908</v>
      </c>
      <c r="B428" s="5" t="s">
        <v>8913</v>
      </c>
      <c r="C428" s="3" t="s">
        <v>138</v>
      </c>
      <c r="D428" s="4" t="s">
        <v>138</v>
      </c>
      <c r="E428" s="15" t="s">
        <v>6404</v>
      </c>
      <c r="F428" s="15" t="s">
        <v>200</v>
      </c>
      <c r="G428" s="15" t="s">
        <v>162</v>
      </c>
      <c r="H428" s="7">
        <v>14</v>
      </c>
      <c r="I428" s="6" t="s">
        <v>8922</v>
      </c>
      <c r="J428" s="6" t="s">
        <v>40508</v>
      </c>
      <c r="K428" s="6" t="s">
        <v>40509</v>
      </c>
      <c r="L428" s="6" t="s">
        <v>39813</v>
      </c>
      <c r="M428" s="6" t="s">
        <v>40510</v>
      </c>
      <c r="N428" s="6" t="s">
        <v>38841</v>
      </c>
      <c r="O428" s="6" t="s">
        <v>38914</v>
      </c>
      <c r="P428" s="6" t="s">
        <v>38931</v>
      </c>
      <c r="Q428" s="6" t="s">
        <v>39463</v>
      </c>
      <c r="R428" s="6" t="s">
        <v>37787</v>
      </c>
      <c r="S428" s="6" t="s">
        <v>40511</v>
      </c>
      <c r="T428" s="6" t="s">
        <v>40512</v>
      </c>
      <c r="U428" s="6" t="s">
        <v>37805</v>
      </c>
      <c r="V428" s="6" t="s">
        <v>40513</v>
      </c>
      <c r="W428" s="6" t="s">
        <v>40514</v>
      </c>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row>
    <row r="429" spans="1:72">
      <c r="A429" s="8" t="s">
        <v>8928</v>
      </c>
      <c r="B429" s="11" t="s">
        <v>8936</v>
      </c>
      <c r="C429" s="9" t="s">
        <v>138</v>
      </c>
      <c r="D429" s="10" t="s">
        <v>8929</v>
      </c>
      <c r="E429" s="28" t="s">
        <v>3330</v>
      </c>
      <c r="F429" s="28" t="s">
        <v>200</v>
      </c>
      <c r="G429" s="28" t="s">
        <v>162</v>
      </c>
      <c r="H429" s="13">
        <v>20</v>
      </c>
      <c r="I429" s="12" t="s">
        <v>8945</v>
      </c>
      <c r="J429" s="12" t="s">
        <v>40515</v>
      </c>
      <c r="K429" s="12" t="s">
        <v>40516</v>
      </c>
      <c r="L429" s="12" t="s">
        <v>40517</v>
      </c>
      <c r="M429" s="12" t="s">
        <v>38882</v>
      </c>
      <c r="N429" s="12" t="s">
        <v>40518</v>
      </c>
      <c r="O429" s="12" t="s">
        <v>40519</v>
      </c>
      <c r="P429" s="12" t="s">
        <v>39393</v>
      </c>
      <c r="Q429" s="12" t="s">
        <v>40520</v>
      </c>
      <c r="R429" s="12" t="s">
        <v>40521</v>
      </c>
      <c r="S429" s="12" t="s">
        <v>40522</v>
      </c>
      <c r="T429" s="12" t="s">
        <v>39189</v>
      </c>
      <c r="U429" s="12" t="s">
        <v>40389</v>
      </c>
      <c r="V429" s="12" t="s">
        <v>38786</v>
      </c>
      <c r="W429" s="12" t="s">
        <v>40523</v>
      </c>
      <c r="X429" s="12" t="s">
        <v>37864</v>
      </c>
      <c r="Y429" s="12" t="s">
        <v>40524</v>
      </c>
      <c r="Z429" s="12" t="s">
        <v>38241</v>
      </c>
      <c r="AA429" s="12" t="s">
        <v>40525</v>
      </c>
      <c r="AB429" s="12" t="s">
        <v>37895</v>
      </c>
      <c r="AC429" s="12" t="s">
        <v>40526</v>
      </c>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2"/>
    </row>
    <row r="430" spans="1:72">
      <c r="A430" s="2" t="s">
        <v>8950</v>
      </c>
      <c r="B430" s="5" t="s">
        <v>8954</v>
      </c>
      <c r="C430" s="3" t="s">
        <v>138</v>
      </c>
      <c r="D430" s="4" t="s">
        <v>138</v>
      </c>
      <c r="E430" s="15" t="s">
        <v>668</v>
      </c>
      <c r="F430" s="15" t="s">
        <v>200</v>
      </c>
      <c r="G430" s="15" t="s">
        <v>162</v>
      </c>
      <c r="H430" s="7">
        <v>5</v>
      </c>
      <c r="I430" s="6" t="s">
        <v>8957</v>
      </c>
      <c r="J430" s="6" t="s">
        <v>38406</v>
      </c>
      <c r="K430" s="6" t="s">
        <v>40527</v>
      </c>
      <c r="L430" s="6" t="s">
        <v>37839</v>
      </c>
      <c r="M430" s="6" t="s">
        <v>40528</v>
      </c>
      <c r="N430" s="6" t="s">
        <v>40529</v>
      </c>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row>
    <row r="431" spans="1:72">
      <c r="A431" s="8" t="s">
        <v>8962</v>
      </c>
      <c r="B431" s="11" t="s">
        <v>8968</v>
      </c>
      <c r="C431" s="9" t="s">
        <v>138</v>
      </c>
      <c r="D431" s="10" t="s">
        <v>138</v>
      </c>
      <c r="E431" s="28" t="s">
        <v>8977</v>
      </c>
      <c r="F431" s="28" t="s">
        <v>864</v>
      </c>
      <c r="G431" s="28" t="s">
        <v>162</v>
      </c>
      <c r="H431" s="13">
        <v>14</v>
      </c>
      <c r="I431" s="12" t="s">
        <v>8981</v>
      </c>
      <c r="J431" s="12" t="s">
        <v>39462</v>
      </c>
      <c r="K431" s="12" t="s">
        <v>40530</v>
      </c>
      <c r="L431" s="12" t="s">
        <v>38381</v>
      </c>
      <c r="M431" s="12" t="s">
        <v>40531</v>
      </c>
      <c r="N431" s="12" t="s">
        <v>39004</v>
      </c>
      <c r="O431" s="12" t="s">
        <v>37822</v>
      </c>
      <c r="P431" s="12" t="s">
        <v>40532</v>
      </c>
      <c r="Q431" s="12" t="s">
        <v>38770</v>
      </c>
      <c r="R431" s="12" t="s">
        <v>39296</v>
      </c>
      <c r="S431" s="12" t="s">
        <v>40533</v>
      </c>
      <c r="T431" s="12" t="s">
        <v>39455</v>
      </c>
      <c r="U431" s="12" t="s">
        <v>37841</v>
      </c>
      <c r="V431" s="12" t="s">
        <v>40534</v>
      </c>
      <c r="W431" s="12" t="s">
        <v>39074</v>
      </c>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row>
    <row r="432" spans="1:72">
      <c r="A432" s="2" t="s">
        <v>8985</v>
      </c>
      <c r="B432" s="5" t="s">
        <v>8988</v>
      </c>
      <c r="C432" s="3" t="s">
        <v>138</v>
      </c>
      <c r="D432" s="4" t="s">
        <v>138</v>
      </c>
      <c r="E432" s="15" t="s">
        <v>8996</v>
      </c>
      <c r="F432" s="15" t="s">
        <v>8997</v>
      </c>
      <c r="G432" s="15" t="s">
        <v>8999</v>
      </c>
      <c r="H432" s="7">
        <v>1</v>
      </c>
      <c r="I432" s="6" t="s">
        <v>3186</v>
      </c>
      <c r="J432" s="6" t="s">
        <v>3186</v>
      </c>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row>
    <row r="433" spans="1:72">
      <c r="A433" s="8" t="s">
        <v>9004</v>
      </c>
      <c r="B433" s="11" t="s">
        <v>9009</v>
      </c>
      <c r="C433" s="9" t="s">
        <v>138</v>
      </c>
      <c r="D433" s="10" t="s">
        <v>138</v>
      </c>
      <c r="E433" s="28" t="s">
        <v>426</v>
      </c>
      <c r="F433" s="28" t="s">
        <v>426</v>
      </c>
      <c r="G433" s="28" t="s">
        <v>162</v>
      </c>
      <c r="H433" s="13">
        <v>18</v>
      </c>
      <c r="I433" s="12" t="s">
        <v>9019</v>
      </c>
      <c r="J433" s="12" t="s">
        <v>40535</v>
      </c>
      <c r="K433" s="12" t="s">
        <v>38364</v>
      </c>
      <c r="L433" s="12" t="s">
        <v>40449</v>
      </c>
      <c r="M433" s="12" t="s">
        <v>38914</v>
      </c>
      <c r="N433" s="12" t="s">
        <v>40536</v>
      </c>
      <c r="O433" s="12" t="s">
        <v>37786</v>
      </c>
      <c r="P433" s="12" t="s">
        <v>40537</v>
      </c>
      <c r="Q433" s="12" t="s">
        <v>37922</v>
      </c>
      <c r="R433" s="12" t="s">
        <v>38182</v>
      </c>
      <c r="S433" s="12" t="s">
        <v>40538</v>
      </c>
      <c r="T433" s="12" t="s">
        <v>40539</v>
      </c>
      <c r="U433" s="12" t="s">
        <v>40540</v>
      </c>
      <c r="V433" s="12" t="s">
        <v>38184</v>
      </c>
      <c r="W433" s="12" t="s">
        <v>38928</v>
      </c>
      <c r="X433" s="12" t="s">
        <v>37892</v>
      </c>
      <c r="Y433" s="12" t="s">
        <v>37783</v>
      </c>
      <c r="Z433" s="12" t="s">
        <v>40248</v>
      </c>
      <c r="AA433" s="12" t="s">
        <v>39588</v>
      </c>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row>
    <row r="434" spans="1:72">
      <c r="A434" s="2" t="s">
        <v>9026</v>
      </c>
      <c r="B434" s="5" t="s">
        <v>9032</v>
      </c>
      <c r="C434" s="3" t="s">
        <v>138</v>
      </c>
      <c r="D434" s="4" t="s">
        <v>138</v>
      </c>
      <c r="E434" s="15" t="s">
        <v>863</v>
      </c>
      <c r="F434" s="15" t="s">
        <v>864</v>
      </c>
      <c r="G434" s="15" t="s">
        <v>162</v>
      </c>
      <c r="H434" s="7">
        <v>5</v>
      </c>
      <c r="I434" s="6" t="s">
        <v>9042</v>
      </c>
      <c r="J434" s="6" t="s">
        <v>18057</v>
      </c>
      <c r="K434" s="6" t="s">
        <v>40541</v>
      </c>
      <c r="L434" s="6" t="s">
        <v>40542</v>
      </c>
      <c r="M434" s="6" t="s">
        <v>40543</v>
      </c>
      <c r="N434" s="6" t="s">
        <v>40544</v>
      </c>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row>
    <row r="435" spans="1:72">
      <c r="A435" s="8" t="s">
        <v>9045</v>
      </c>
      <c r="B435" s="11" t="s">
        <v>9048</v>
      </c>
      <c r="C435" s="9" t="s">
        <v>138</v>
      </c>
      <c r="D435" s="10" t="s">
        <v>138</v>
      </c>
      <c r="E435" s="28" t="s">
        <v>426</v>
      </c>
      <c r="F435" s="28" t="s">
        <v>426</v>
      </c>
      <c r="G435" s="28" t="s">
        <v>162</v>
      </c>
      <c r="H435" s="13">
        <v>6</v>
      </c>
      <c r="I435" s="12" t="s">
        <v>9056</v>
      </c>
      <c r="J435" s="12" t="s">
        <v>38449</v>
      </c>
      <c r="K435" s="12" t="s">
        <v>40545</v>
      </c>
      <c r="L435" s="12" t="s">
        <v>40546</v>
      </c>
      <c r="M435" s="12" t="s">
        <v>38057</v>
      </c>
      <c r="N435" s="12" t="s">
        <v>40547</v>
      </c>
      <c r="O435" s="12" t="s">
        <v>40548</v>
      </c>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12"/>
      <c r="BH435" s="12"/>
      <c r="BI435" s="12"/>
      <c r="BJ435" s="12"/>
      <c r="BK435" s="12"/>
      <c r="BL435" s="12"/>
      <c r="BM435" s="12"/>
      <c r="BN435" s="12"/>
      <c r="BO435" s="12"/>
      <c r="BP435" s="12"/>
      <c r="BQ435" s="12"/>
      <c r="BR435" s="12"/>
      <c r="BS435" s="12"/>
      <c r="BT435" s="12"/>
    </row>
    <row r="436" spans="1:72">
      <c r="A436" s="2" t="s">
        <v>9059</v>
      </c>
      <c r="B436" s="5" t="s">
        <v>9064</v>
      </c>
      <c r="C436" s="3" t="s">
        <v>138</v>
      </c>
      <c r="D436" s="4" t="s">
        <v>138</v>
      </c>
      <c r="E436" s="15" t="s">
        <v>9073</v>
      </c>
      <c r="F436" s="15" t="s">
        <v>9074</v>
      </c>
      <c r="G436" s="15" t="s">
        <v>2333</v>
      </c>
      <c r="H436" s="7">
        <v>26</v>
      </c>
      <c r="I436" s="6" t="s">
        <v>9078</v>
      </c>
      <c r="J436" s="6" t="s">
        <v>40549</v>
      </c>
      <c r="K436" s="6" t="s">
        <v>40550</v>
      </c>
      <c r="L436" s="6" t="s">
        <v>38075</v>
      </c>
      <c r="M436" s="6" t="s">
        <v>40551</v>
      </c>
      <c r="N436" s="6" t="s">
        <v>40552</v>
      </c>
      <c r="O436" s="6" t="s">
        <v>40553</v>
      </c>
      <c r="P436" s="6" t="s">
        <v>40554</v>
      </c>
      <c r="Q436" s="6" t="s">
        <v>40555</v>
      </c>
      <c r="R436" s="6" t="s">
        <v>38379</v>
      </c>
      <c r="S436" s="6" t="s">
        <v>40556</v>
      </c>
      <c r="T436" s="6" t="s">
        <v>37787</v>
      </c>
      <c r="U436" s="6" t="s">
        <v>40557</v>
      </c>
      <c r="V436" s="6" t="s">
        <v>40558</v>
      </c>
      <c r="W436" s="6" t="s">
        <v>40559</v>
      </c>
      <c r="X436" s="6" t="s">
        <v>40560</v>
      </c>
      <c r="Y436" s="6" t="s">
        <v>40266</v>
      </c>
      <c r="Z436" s="6" t="s">
        <v>40561</v>
      </c>
      <c r="AA436" s="6" t="s">
        <v>40562</v>
      </c>
      <c r="AB436" s="6" t="s">
        <v>39520</v>
      </c>
      <c r="AC436" s="6" t="s">
        <v>38065</v>
      </c>
      <c r="AD436" s="6" t="s">
        <v>39523</v>
      </c>
      <c r="AE436" s="6" t="s">
        <v>40563</v>
      </c>
      <c r="AF436" s="6" t="s">
        <v>40564</v>
      </c>
      <c r="AG436" s="6" t="s">
        <v>37892</v>
      </c>
      <c r="AH436" s="6" t="s">
        <v>38401</v>
      </c>
      <c r="AI436" s="6" t="s">
        <v>40565</v>
      </c>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c r="BS436" s="6"/>
      <c r="BT436" s="6"/>
    </row>
    <row r="437" spans="1:72">
      <c r="A437" s="8" t="s">
        <v>9087</v>
      </c>
      <c r="B437" s="11" t="s">
        <v>9093</v>
      </c>
      <c r="C437" s="9" t="s">
        <v>138</v>
      </c>
      <c r="D437" s="10" t="s">
        <v>9088</v>
      </c>
      <c r="E437" s="28" t="s">
        <v>284</v>
      </c>
      <c r="F437" s="28" t="s">
        <v>2822</v>
      </c>
      <c r="G437" s="28" t="s">
        <v>162</v>
      </c>
      <c r="H437" s="13">
        <v>15</v>
      </c>
      <c r="I437" s="12" t="s">
        <v>9102</v>
      </c>
      <c r="J437" s="12" t="s">
        <v>40566</v>
      </c>
      <c r="K437" s="12" t="s">
        <v>38871</v>
      </c>
      <c r="L437" s="12" t="s">
        <v>37819</v>
      </c>
      <c r="M437" s="12" t="s">
        <v>37949</v>
      </c>
      <c r="N437" s="12" t="s">
        <v>37786</v>
      </c>
      <c r="O437" s="12" t="s">
        <v>40567</v>
      </c>
      <c r="P437" s="12" t="s">
        <v>38494</v>
      </c>
      <c r="Q437" s="12" t="s">
        <v>39563</v>
      </c>
      <c r="R437" s="12" t="s">
        <v>37779</v>
      </c>
      <c r="S437" s="12" t="s">
        <v>40568</v>
      </c>
      <c r="T437" s="12" t="s">
        <v>39350</v>
      </c>
      <c r="U437" s="12" t="s">
        <v>40569</v>
      </c>
      <c r="V437" s="12" t="s">
        <v>40570</v>
      </c>
      <c r="W437" s="12" t="s">
        <v>38782</v>
      </c>
      <c r="X437" s="12" t="s">
        <v>40571</v>
      </c>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row>
    <row r="438" spans="1:72">
      <c r="A438" s="2" t="s">
        <v>9105</v>
      </c>
      <c r="B438" s="5" t="s">
        <v>9109</v>
      </c>
      <c r="C438" s="3" t="s">
        <v>138</v>
      </c>
      <c r="D438" s="4" t="s">
        <v>138</v>
      </c>
      <c r="E438" s="15" t="s">
        <v>944</v>
      </c>
      <c r="F438" s="15" t="s">
        <v>138</v>
      </c>
      <c r="G438" s="15" t="s">
        <v>946</v>
      </c>
      <c r="H438" s="7">
        <v>1</v>
      </c>
      <c r="I438" s="6" t="s">
        <v>9119</v>
      </c>
      <c r="J438" s="6" t="s">
        <v>9119</v>
      </c>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row>
    <row r="439" spans="1:72">
      <c r="A439" s="8" t="s">
        <v>9122</v>
      </c>
      <c r="B439" s="11" t="s">
        <v>9128</v>
      </c>
      <c r="C439" s="9" t="s">
        <v>138</v>
      </c>
      <c r="D439" s="10" t="s">
        <v>138</v>
      </c>
      <c r="E439" s="28" t="s">
        <v>9136</v>
      </c>
      <c r="F439" s="28" t="s">
        <v>200</v>
      </c>
      <c r="G439" s="28" t="s">
        <v>162</v>
      </c>
      <c r="H439" s="13">
        <v>10</v>
      </c>
      <c r="I439" s="12" t="s">
        <v>9140</v>
      </c>
      <c r="J439" s="12" t="s">
        <v>40572</v>
      </c>
      <c r="K439" s="12" t="s">
        <v>40573</v>
      </c>
      <c r="L439" s="12" t="s">
        <v>40574</v>
      </c>
      <c r="M439" s="12" t="s">
        <v>40575</v>
      </c>
      <c r="N439" s="12" t="s">
        <v>37787</v>
      </c>
      <c r="O439" s="12" t="s">
        <v>40576</v>
      </c>
      <c r="P439" s="12" t="s">
        <v>37931</v>
      </c>
      <c r="Q439" s="12" t="s">
        <v>40577</v>
      </c>
      <c r="R439" s="12" t="s">
        <v>40578</v>
      </c>
      <c r="S439" s="12" t="s">
        <v>38294</v>
      </c>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12"/>
      <c r="BH439" s="12"/>
      <c r="BI439" s="12"/>
      <c r="BJ439" s="12"/>
      <c r="BK439" s="12"/>
      <c r="BL439" s="12"/>
      <c r="BM439" s="12"/>
      <c r="BN439" s="12"/>
      <c r="BO439" s="12"/>
      <c r="BP439" s="12"/>
      <c r="BQ439" s="12"/>
      <c r="BR439" s="12"/>
      <c r="BS439" s="12"/>
      <c r="BT439" s="12"/>
    </row>
    <row r="440" spans="1:72">
      <c r="A440" s="2" t="s">
        <v>9146</v>
      </c>
      <c r="B440" s="5" t="s">
        <v>9149</v>
      </c>
      <c r="C440" s="3" t="s">
        <v>138</v>
      </c>
      <c r="D440" s="4" t="s">
        <v>138</v>
      </c>
      <c r="E440" s="15" t="s">
        <v>9158</v>
      </c>
      <c r="F440" s="15" t="s">
        <v>200</v>
      </c>
      <c r="G440" s="15" t="s">
        <v>162</v>
      </c>
      <c r="H440" s="7">
        <v>11</v>
      </c>
      <c r="I440" s="6" t="s">
        <v>9161</v>
      </c>
      <c r="J440" s="6" t="s">
        <v>40579</v>
      </c>
      <c r="K440" s="6" t="s">
        <v>40580</v>
      </c>
      <c r="L440" s="6" t="s">
        <v>38463</v>
      </c>
      <c r="M440" s="6" t="s">
        <v>37984</v>
      </c>
      <c r="N440" s="6" t="s">
        <v>40425</v>
      </c>
      <c r="O440" s="6" t="s">
        <v>40581</v>
      </c>
      <c r="P440" s="6" t="s">
        <v>40582</v>
      </c>
      <c r="Q440" s="6" t="s">
        <v>40583</v>
      </c>
      <c r="R440" s="6" t="s">
        <v>40584</v>
      </c>
      <c r="S440" s="6" t="s">
        <v>40585</v>
      </c>
      <c r="T440" s="6" t="s">
        <v>40586</v>
      </c>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row>
    <row r="441" spans="1:72">
      <c r="A441" s="8" t="s">
        <v>9164</v>
      </c>
      <c r="B441" s="11" t="s">
        <v>9170</v>
      </c>
      <c r="C441" s="9" t="s">
        <v>9165</v>
      </c>
      <c r="D441" s="10" t="s">
        <v>138</v>
      </c>
      <c r="E441" s="28" t="s">
        <v>668</v>
      </c>
      <c r="F441" s="28" t="s">
        <v>200</v>
      </c>
      <c r="G441" s="28" t="s">
        <v>162</v>
      </c>
      <c r="H441" s="13">
        <v>7</v>
      </c>
      <c r="I441" s="12" t="s">
        <v>9179</v>
      </c>
      <c r="J441" s="12" t="s">
        <v>40587</v>
      </c>
      <c r="K441" s="12" t="s">
        <v>40588</v>
      </c>
      <c r="L441" s="12" t="s">
        <v>38593</v>
      </c>
      <c r="M441" s="12" t="s">
        <v>38057</v>
      </c>
      <c r="N441" s="12" t="s">
        <v>37786</v>
      </c>
      <c r="O441" s="12" t="s">
        <v>38144</v>
      </c>
      <c r="P441" s="12" t="s">
        <v>37975</v>
      </c>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row>
    <row r="442" spans="1:72">
      <c r="A442" s="2" t="s">
        <v>9183</v>
      </c>
      <c r="B442" s="5" t="s">
        <v>9187</v>
      </c>
      <c r="C442" s="3" t="s">
        <v>138</v>
      </c>
      <c r="D442" s="4" t="s">
        <v>138</v>
      </c>
      <c r="E442" s="15" t="s">
        <v>668</v>
      </c>
      <c r="F442" s="15" t="s">
        <v>200</v>
      </c>
      <c r="G442" s="15" t="s">
        <v>162</v>
      </c>
      <c r="H442" s="7">
        <v>8</v>
      </c>
      <c r="I442" s="6" t="s">
        <v>9195</v>
      </c>
      <c r="J442" s="6" t="s">
        <v>40589</v>
      </c>
      <c r="K442" s="6" t="s">
        <v>37953</v>
      </c>
      <c r="L442" s="6" t="s">
        <v>38476</v>
      </c>
      <c r="M442" s="6" t="s">
        <v>40590</v>
      </c>
      <c r="N442" s="6" t="s">
        <v>40591</v>
      </c>
      <c r="O442" s="6" t="s">
        <v>40592</v>
      </c>
      <c r="P442" s="6" t="s">
        <v>37781</v>
      </c>
      <c r="Q442" s="6" t="s">
        <v>38279</v>
      </c>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row>
    <row r="443" spans="1:72">
      <c r="A443" s="8" t="s">
        <v>9198</v>
      </c>
      <c r="B443" s="11" t="s">
        <v>9202</v>
      </c>
      <c r="C443" s="9" t="s">
        <v>138</v>
      </c>
      <c r="D443" s="10" t="s">
        <v>138</v>
      </c>
      <c r="E443" s="28" t="s">
        <v>449</v>
      </c>
      <c r="F443" s="28" t="s">
        <v>448</v>
      </c>
      <c r="G443" s="28" t="s">
        <v>450</v>
      </c>
      <c r="H443" s="13">
        <v>4</v>
      </c>
      <c r="I443" s="12" t="s">
        <v>9211</v>
      </c>
      <c r="J443" s="12" t="s">
        <v>455</v>
      </c>
      <c r="K443" s="12" t="s">
        <v>40593</v>
      </c>
      <c r="L443" s="12" t="s">
        <v>39220</v>
      </c>
      <c r="M443" s="12" t="s">
        <v>40594</v>
      </c>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12"/>
      <c r="BH443" s="12"/>
      <c r="BI443" s="12"/>
      <c r="BJ443" s="12"/>
      <c r="BK443" s="12"/>
      <c r="BL443" s="12"/>
      <c r="BM443" s="12"/>
      <c r="BN443" s="12"/>
      <c r="BO443" s="12"/>
      <c r="BP443" s="12"/>
      <c r="BQ443" s="12"/>
      <c r="BR443" s="12"/>
      <c r="BS443" s="12"/>
      <c r="BT443" s="12"/>
    </row>
    <row r="444" spans="1:72">
      <c r="A444" s="2" t="s">
        <v>9214</v>
      </c>
      <c r="B444" s="5" t="s">
        <v>9218</v>
      </c>
      <c r="C444" s="3" t="s">
        <v>138</v>
      </c>
      <c r="D444" s="4" t="s">
        <v>138</v>
      </c>
      <c r="E444" s="15" t="s">
        <v>1198</v>
      </c>
      <c r="F444" s="15" t="s">
        <v>138</v>
      </c>
      <c r="G444" s="15" t="s">
        <v>1200</v>
      </c>
      <c r="H444" s="7">
        <v>2</v>
      </c>
      <c r="I444" s="6" t="s">
        <v>9227</v>
      </c>
      <c r="J444" s="6" t="s">
        <v>16877</v>
      </c>
      <c r="K444" s="6" t="s">
        <v>39459</v>
      </c>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row>
    <row r="445" spans="1:72">
      <c r="A445" s="8" t="s">
        <v>9230</v>
      </c>
      <c r="B445" s="11" t="s">
        <v>9235</v>
      </c>
      <c r="C445" s="9" t="s">
        <v>138</v>
      </c>
      <c r="D445" s="10" t="s">
        <v>138</v>
      </c>
      <c r="E445" s="28" t="s">
        <v>1638</v>
      </c>
      <c r="F445" s="28" t="s">
        <v>200</v>
      </c>
      <c r="G445" s="28" t="s">
        <v>162</v>
      </c>
      <c r="H445" s="13">
        <v>20</v>
      </c>
      <c r="I445" s="12" t="s">
        <v>9244</v>
      </c>
      <c r="J445" s="12" t="s">
        <v>38353</v>
      </c>
      <c r="K445" s="12" t="s">
        <v>38354</v>
      </c>
      <c r="L445" s="12" t="s">
        <v>40595</v>
      </c>
      <c r="M445" s="12" t="s">
        <v>38569</v>
      </c>
      <c r="N445" s="12" t="s">
        <v>40414</v>
      </c>
      <c r="O445" s="12" t="s">
        <v>39865</v>
      </c>
      <c r="P445" s="12" t="s">
        <v>38416</v>
      </c>
      <c r="Q445" s="12" t="s">
        <v>38368</v>
      </c>
      <c r="R445" s="12" t="s">
        <v>40415</v>
      </c>
      <c r="S445" s="12" t="s">
        <v>40596</v>
      </c>
      <c r="T445" s="12" t="s">
        <v>40597</v>
      </c>
      <c r="U445" s="12" t="s">
        <v>40598</v>
      </c>
      <c r="V445" s="12" t="s">
        <v>37889</v>
      </c>
      <c r="W445" s="12" t="s">
        <v>37890</v>
      </c>
      <c r="X445" s="12" t="s">
        <v>37891</v>
      </c>
      <c r="Y445" s="12" t="s">
        <v>38625</v>
      </c>
      <c r="Z445" s="12" t="s">
        <v>40599</v>
      </c>
      <c r="AA445" s="12" t="s">
        <v>39127</v>
      </c>
      <c r="AB445" s="12" t="s">
        <v>40600</v>
      </c>
      <c r="AC445" s="12" t="s">
        <v>39377</v>
      </c>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12"/>
      <c r="BH445" s="12"/>
      <c r="BI445" s="12"/>
      <c r="BJ445" s="12"/>
      <c r="BK445" s="12"/>
      <c r="BL445" s="12"/>
      <c r="BM445" s="12"/>
      <c r="BN445" s="12"/>
      <c r="BO445" s="12"/>
      <c r="BP445" s="12"/>
      <c r="BQ445" s="12"/>
      <c r="BR445" s="12"/>
      <c r="BS445" s="12"/>
      <c r="BT445" s="12"/>
    </row>
    <row r="446" spans="1:72">
      <c r="A446" s="2" t="s">
        <v>9248</v>
      </c>
      <c r="B446" s="5" t="s">
        <v>9256</v>
      </c>
      <c r="C446" s="3" t="s">
        <v>138</v>
      </c>
      <c r="D446" s="4" t="s">
        <v>9249</v>
      </c>
      <c r="E446" s="15" t="s">
        <v>426</v>
      </c>
      <c r="F446" s="15" t="s">
        <v>426</v>
      </c>
      <c r="G446" s="15" t="s">
        <v>162</v>
      </c>
      <c r="H446" s="7">
        <v>8</v>
      </c>
      <c r="I446" s="6" t="s">
        <v>9267</v>
      </c>
      <c r="J446" s="6" t="s">
        <v>40601</v>
      </c>
      <c r="K446" s="6" t="s">
        <v>37791</v>
      </c>
      <c r="L446" s="6" t="s">
        <v>40602</v>
      </c>
      <c r="M446" s="6" t="s">
        <v>37998</v>
      </c>
      <c r="N446" s="6" t="s">
        <v>40445</v>
      </c>
      <c r="O446" s="6" t="s">
        <v>40603</v>
      </c>
      <c r="P446" s="6" t="s">
        <v>38007</v>
      </c>
      <c r="Q446" s="6" t="s">
        <v>40604</v>
      </c>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row>
    <row r="447" spans="1:72">
      <c r="A447" s="8" t="s">
        <v>9272</v>
      </c>
      <c r="B447" s="11" t="s">
        <v>9278</v>
      </c>
      <c r="C447" s="9" t="s">
        <v>138</v>
      </c>
      <c r="D447" s="10" t="s">
        <v>138</v>
      </c>
      <c r="E447" s="28" t="s">
        <v>823</v>
      </c>
      <c r="F447" s="28" t="s">
        <v>824</v>
      </c>
      <c r="G447" s="28" t="s">
        <v>526</v>
      </c>
      <c r="H447" s="13">
        <v>6</v>
      </c>
      <c r="I447" s="12" t="s">
        <v>9289</v>
      </c>
      <c r="J447" s="12" t="s">
        <v>40605</v>
      </c>
      <c r="K447" s="12" t="s">
        <v>40606</v>
      </c>
      <c r="L447" s="12" t="s">
        <v>39726</v>
      </c>
      <c r="M447" s="12" t="s">
        <v>39684</v>
      </c>
      <c r="N447" s="12" t="s">
        <v>40607</v>
      </c>
      <c r="O447" s="12" t="s">
        <v>39664</v>
      </c>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12"/>
      <c r="BH447" s="12"/>
      <c r="BI447" s="12"/>
      <c r="BJ447" s="12"/>
      <c r="BK447" s="12"/>
      <c r="BL447" s="12"/>
      <c r="BM447" s="12"/>
      <c r="BN447" s="12"/>
      <c r="BO447" s="12"/>
      <c r="BP447" s="12"/>
      <c r="BQ447" s="12"/>
      <c r="BR447" s="12"/>
      <c r="BS447" s="12"/>
      <c r="BT447" s="12"/>
    </row>
    <row r="448" spans="1:72">
      <c r="A448" s="2" t="s">
        <v>9293</v>
      </c>
      <c r="B448" s="5" t="s">
        <v>9297</v>
      </c>
      <c r="C448" s="3" t="s">
        <v>138</v>
      </c>
      <c r="D448" s="4" t="s">
        <v>138</v>
      </c>
      <c r="E448" s="15" t="s">
        <v>1294</v>
      </c>
      <c r="F448" s="15" t="s">
        <v>864</v>
      </c>
      <c r="G448" s="15" t="s">
        <v>162</v>
      </c>
      <c r="H448" s="7">
        <v>13</v>
      </c>
      <c r="I448" s="6" t="s">
        <v>9306</v>
      </c>
      <c r="J448" s="6" t="s">
        <v>40608</v>
      </c>
      <c r="K448" s="6" t="s">
        <v>40609</v>
      </c>
      <c r="L448" s="6" t="s">
        <v>40610</v>
      </c>
      <c r="M448" s="6" t="s">
        <v>40611</v>
      </c>
      <c r="N448" s="6" t="s">
        <v>38057</v>
      </c>
      <c r="O448" s="6" t="s">
        <v>37786</v>
      </c>
      <c r="P448" s="6" t="s">
        <v>40612</v>
      </c>
      <c r="Q448" s="6" t="s">
        <v>40613</v>
      </c>
      <c r="R448" s="6" t="s">
        <v>40614</v>
      </c>
      <c r="S448" s="6" t="s">
        <v>40615</v>
      </c>
      <c r="T448" s="6" t="s">
        <v>39947</v>
      </c>
      <c r="U448" s="6" t="s">
        <v>40616</v>
      </c>
      <c r="V448" s="6" t="s">
        <v>40617</v>
      </c>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row>
    <row r="449" spans="1:72">
      <c r="A449" s="8" t="s">
        <v>9311</v>
      </c>
      <c r="B449" s="11" t="s">
        <v>9316</v>
      </c>
      <c r="C449" s="9" t="s">
        <v>138</v>
      </c>
      <c r="D449" s="10" t="s">
        <v>138</v>
      </c>
      <c r="E449" s="28" t="s">
        <v>5700</v>
      </c>
      <c r="F449" s="28" t="s">
        <v>138</v>
      </c>
      <c r="G449" s="28" t="s">
        <v>740</v>
      </c>
      <c r="H449" s="13">
        <v>6</v>
      </c>
      <c r="I449" s="12" t="s">
        <v>9322</v>
      </c>
      <c r="J449" s="12" t="s">
        <v>39433</v>
      </c>
      <c r="K449" s="12" t="s">
        <v>40618</v>
      </c>
      <c r="L449" s="12" t="s">
        <v>40619</v>
      </c>
      <c r="M449" s="12" t="s">
        <v>40620</v>
      </c>
      <c r="N449" s="12" t="s">
        <v>37998</v>
      </c>
      <c r="O449" s="12" t="s">
        <v>38145</v>
      </c>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12"/>
      <c r="BH449" s="12"/>
      <c r="BI449" s="12"/>
      <c r="BJ449" s="12"/>
      <c r="BK449" s="12"/>
      <c r="BL449" s="12"/>
      <c r="BM449" s="12"/>
      <c r="BN449" s="12"/>
      <c r="BO449" s="12"/>
      <c r="BP449" s="12"/>
      <c r="BQ449" s="12"/>
      <c r="BR449" s="12"/>
      <c r="BS449" s="12"/>
      <c r="BT449" s="12"/>
    </row>
    <row r="450" spans="1:72">
      <c r="A450" s="2" t="s">
        <v>9325</v>
      </c>
      <c r="B450" s="5" t="s">
        <v>9330</v>
      </c>
      <c r="C450" s="3" t="s">
        <v>138</v>
      </c>
      <c r="D450" s="4" t="s">
        <v>138</v>
      </c>
      <c r="E450" s="15" t="s">
        <v>9338</v>
      </c>
      <c r="F450" s="15" t="s">
        <v>1389</v>
      </c>
      <c r="G450" s="15" t="s">
        <v>162</v>
      </c>
      <c r="H450" s="7">
        <v>16</v>
      </c>
      <c r="I450" s="6" t="s">
        <v>9342</v>
      </c>
      <c r="J450" s="6" t="s">
        <v>40621</v>
      </c>
      <c r="K450" s="6" t="s">
        <v>40622</v>
      </c>
      <c r="L450" s="6" t="s">
        <v>40623</v>
      </c>
      <c r="M450" s="6" t="s">
        <v>40624</v>
      </c>
      <c r="N450" s="6" t="s">
        <v>38300</v>
      </c>
      <c r="O450" s="6" t="s">
        <v>40625</v>
      </c>
      <c r="P450" s="6" t="s">
        <v>40626</v>
      </c>
      <c r="Q450" s="6" t="s">
        <v>40627</v>
      </c>
      <c r="R450" s="6" t="s">
        <v>40628</v>
      </c>
      <c r="S450" s="6" t="s">
        <v>40629</v>
      </c>
      <c r="T450" s="6" t="s">
        <v>38770</v>
      </c>
      <c r="U450" s="6" t="s">
        <v>38925</v>
      </c>
      <c r="V450" s="6" t="s">
        <v>40001</v>
      </c>
      <c r="W450" s="6" t="s">
        <v>38371</v>
      </c>
      <c r="X450" s="6" t="s">
        <v>38787</v>
      </c>
      <c r="Y450" s="6" t="s">
        <v>40630</v>
      </c>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row>
    <row r="451" spans="1:72">
      <c r="A451" s="8" t="s">
        <v>9345</v>
      </c>
      <c r="B451" s="11" t="s">
        <v>9349</v>
      </c>
      <c r="C451" s="9" t="s">
        <v>138</v>
      </c>
      <c r="D451" s="10" t="s">
        <v>138</v>
      </c>
      <c r="E451" s="28" t="s">
        <v>9355</v>
      </c>
      <c r="F451" s="28" t="s">
        <v>138</v>
      </c>
      <c r="G451" s="28" t="s">
        <v>4444</v>
      </c>
      <c r="H451" s="13">
        <v>2</v>
      </c>
      <c r="I451" s="12" t="s">
        <v>9359</v>
      </c>
      <c r="J451" s="12" t="s">
        <v>40631</v>
      </c>
      <c r="K451" s="12" t="s">
        <v>38816</v>
      </c>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12"/>
      <c r="BH451" s="12"/>
      <c r="BI451" s="12"/>
      <c r="BJ451" s="12"/>
      <c r="BK451" s="12"/>
      <c r="BL451" s="12"/>
      <c r="BM451" s="12"/>
      <c r="BN451" s="12"/>
      <c r="BO451" s="12"/>
      <c r="BP451" s="12"/>
      <c r="BQ451" s="12"/>
      <c r="BR451" s="12"/>
      <c r="BS451" s="12"/>
      <c r="BT451" s="12"/>
    </row>
    <row r="452" spans="1:72">
      <c r="A452" s="2" t="s">
        <v>9362</v>
      </c>
      <c r="B452" s="5" t="s">
        <v>9367</v>
      </c>
      <c r="C452" s="3" t="s">
        <v>138</v>
      </c>
      <c r="D452" s="4" t="s">
        <v>138</v>
      </c>
      <c r="E452" s="15" t="s">
        <v>668</v>
      </c>
      <c r="F452" s="15" t="s">
        <v>200</v>
      </c>
      <c r="G452" s="15" t="s">
        <v>162</v>
      </c>
      <c r="H452" s="7">
        <v>27</v>
      </c>
      <c r="I452" s="6" t="s">
        <v>9377</v>
      </c>
      <c r="J452" s="6" t="s">
        <v>40632</v>
      </c>
      <c r="K452" s="6" t="s">
        <v>40633</v>
      </c>
      <c r="L452" s="6" t="s">
        <v>40634</v>
      </c>
      <c r="M452" s="6" t="s">
        <v>40189</v>
      </c>
      <c r="N452" s="6" t="s">
        <v>40635</v>
      </c>
      <c r="O452" s="6" t="s">
        <v>40636</v>
      </c>
      <c r="P452" s="6" t="s">
        <v>40637</v>
      </c>
      <c r="Q452" s="6" t="s">
        <v>38165</v>
      </c>
      <c r="R452" s="6" t="s">
        <v>40638</v>
      </c>
      <c r="S452" s="6" t="s">
        <v>40639</v>
      </c>
      <c r="T452" s="6" t="s">
        <v>40640</v>
      </c>
      <c r="U452" s="6" t="s">
        <v>37998</v>
      </c>
      <c r="V452" s="6" t="s">
        <v>38321</v>
      </c>
      <c r="W452" s="6" t="s">
        <v>38804</v>
      </c>
      <c r="X452" s="6" t="s">
        <v>40641</v>
      </c>
      <c r="Y452" s="6" t="s">
        <v>40642</v>
      </c>
      <c r="Z452" s="6" t="s">
        <v>38167</v>
      </c>
      <c r="AA452" s="6" t="s">
        <v>39695</v>
      </c>
      <c r="AB452" s="6" t="s">
        <v>37783</v>
      </c>
      <c r="AC452" s="6" t="s">
        <v>40446</v>
      </c>
      <c r="AD452" s="6" t="s">
        <v>40643</v>
      </c>
      <c r="AE452" s="6" t="s">
        <v>38324</v>
      </c>
      <c r="AF452" s="6" t="s">
        <v>39698</v>
      </c>
      <c r="AG452" s="6" t="s">
        <v>40600</v>
      </c>
      <c r="AH452" s="6" t="s">
        <v>40644</v>
      </c>
      <c r="AI452" s="6" t="s">
        <v>39626</v>
      </c>
      <c r="AJ452" s="6" t="s">
        <v>37976</v>
      </c>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row>
    <row r="453" spans="1:72">
      <c r="A453" s="8" t="s">
        <v>9381</v>
      </c>
      <c r="B453" s="11" t="s">
        <v>9385</v>
      </c>
      <c r="C453" s="9" t="s">
        <v>138</v>
      </c>
      <c r="D453" s="10" t="s">
        <v>138</v>
      </c>
      <c r="E453" s="28" t="s">
        <v>668</v>
      </c>
      <c r="F453" s="28" t="s">
        <v>200</v>
      </c>
      <c r="G453" s="28" t="s">
        <v>162</v>
      </c>
      <c r="H453" s="13">
        <v>11</v>
      </c>
      <c r="I453" s="12" t="s">
        <v>9392</v>
      </c>
      <c r="J453" s="12" t="s">
        <v>40645</v>
      </c>
      <c r="K453" s="12" t="s">
        <v>40646</v>
      </c>
      <c r="L453" s="12" t="s">
        <v>40647</v>
      </c>
      <c r="M453" s="12" t="s">
        <v>37819</v>
      </c>
      <c r="N453" s="12" t="s">
        <v>40648</v>
      </c>
      <c r="O453" s="12" t="s">
        <v>40649</v>
      </c>
      <c r="P453" s="12" t="s">
        <v>40650</v>
      </c>
      <c r="Q453" s="12" t="s">
        <v>37998</v>
      </c>
      <c r="R453" s="12" t="s">
        <v>38980</v>
      </c>
      <c r="S453" s="12" t="s">
        <v>40651</v>
      </c>
      <c r="T453" s="12" t="s">
        <v>37976</v>
      </c>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12"/>
      <c r="BH453" s="12"/>
      <c r="BI453" s="12"/>
      <c r="BJ453" s="12"/>
      <c r="BK453" s="12"/>
      <c r="BL453" s="12"/>
      <c r="BM453" s="12"/>
      <c r="BN453" s="12"/>
      <c r="BO453" s="12"/>
      <c r="BP453" s="12"/>
      <c r="BQ453" s="12"/>
      <c r="BR453" s="12"/>
      <c r="BS453" s="12"/>
      <c r="BT453" s="12"/>
    </row>
    <row r="454" spans="1:72">
      <c r="A454" s="2" t="s">
        <v>9397</v>
      </c>
      <c r="B454" s="5" t="s">
        <v>9400</v>
      </c>
      <c r="C454" s="3" t="s">
        <v>138</v>
      </c>
      <c r="D454" s="4" t="s">
        <v>138</v>
      </c>
      <c r="E454" s="15" t="s">
        <v>1294</v>
      </c>
      <c r="F454" s="15" t="s">
        <v>864</v>
      </c>
      <c r="G454" s="15" t="s">
        <v>162</v>
      </c>
      <c r="H454" s="7">
        <v>1</v>
      </c>
      <c r="I454" s="6" t="s">
        <v>9407</v>
      </c>
      <c r="J454" s="6" t="s">
        <v>9407</v>
      </c>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row>
    <row r="455" spans="1:72">
      <c r="A455" s="8" t="s">
        <v>9410</v>
      </c>
      <c r="B455" s="11" t="s">
        <v>9416</v>
      </c>
      <c r="C455" s="9" t="s">
        <v>138</v>
      </c>
      <c r="D455" s="10" t="s">
        <v>138</v>
      </c>
      <c r="E455" s="28" t="s">
        <v>310</v>
      </c>
      <c r="F455" s="28" t="s">
        <v>200</v>
      </c>
      <c r="G455" s="28" t="s">
        <v>162</v>
      </c>
      <c r="H455" s="13">
        <v>7</v>
      </c>
      <c r="I455" s="12" t="s">
        <v>9424</v>
      </c>
      <c r="J455" s="12" t="s">
        <v>37811</v>
      </c>
      <c r="K455" s="12" t="s">
        <v>37936</v>
      </c>
      <c r="L455" s="12" t="s">
        <v>38569</v>
      </c>
      <c r="M455" s="12" t="s">
        <v>37954</v>
      </c>
      <c r="N455" s="12" t="s">
        <v>40652</v>
      </c>
      <c r="O455" s="12" t="s">
        <v>38049</v>
      </c>
      <c r="P455" s="12" t="s">
        <v>39367</v>
      </c>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12"/>
      <c r="BH455" s="12"/>
      <c r="BI455" s="12"/>
      <c r="BJ455" s="12"/>
      <c r="BK455" s="12"/>
      <c r="BL455" s="12"/>
      <c r="BM455" s="12"/>
      <c r="BN455" s="12"/>
      <c r="BO455" s="12"/>
      <c r="BP455" s="12"/>
      <c r="BQ455" s="12"/>
      <c r="BR455" s="12"/>
      <c r="BS455" s="12"/>
      <c r="BT455" s="12"/>
    </row>
    <row r="456" spans="1:72">
      <c r="A456" s="2" t="s">
        <v>9428</v>
      </c>
      <c r="B456" s="5" t="s">
        <v>9432</v>
      </c>
      <c r="C456" s="3" t="s">
        <v>138</v>
      </c>
      <c r="D456" s="4" t="s">
        <v>138</v>
      </c>
      <c r="E456" s="15" t="s">
        <v>9440</v>
      </c>
      <c r="F456" s="15" t="s">
        <v>3182</v>
      </c>
      <c r="G456" s="15" t="s">
        <v>162</v>
      </c>
      <c r="H456" s="7">
        <v>5</v>
      </c>
      <c r="I456" s="6" t="s">
        <v>9444</v>
      </c>
      <c r="J456" s="6" t="s">
        <v>40653</v>
      </c>
      <c r="K456" s="6" t="s">
        <v>37786</v>
      </c>
      <c r="L456" s="6" t="s">
        <v>38329</v>
      </c>
      <c r="M456" s="6" t="s">
        <v>40654</v>
      </c>
      <c r="N456" s="6" t="s">
        <v>37781</v>
      </c>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row>
    <row r="457" spans="1:72">
      <c r="A457" s="8" t="s">
        <v>9449</v>
      </c>
      <c r="B457" s="11" t="s">
        <v>9455</v>
      </c>
      <c r="C457" s="9" t="s">
        <v>138</v>
      </c>
      <c r="D457" s="10" t="s">
        <v>9450</v>
      </c>
      <c r="E457" s="28" t="s">
        <v>9463</v>
      </c>
      <c r="F457" s="28" t="s">
        <v>9464</v>
      </c>
      <c r="G457" s="28" t="s">
        <v>162</v>
      </c>
      <c r="H457" s="13">
        <v>11</v>
      </c>
      <c r="I457" s="12" t="s">
        <v>9468</v>
      </c>
      <c r="J457" s="12" t="s">
        <v>40655</v>
      </c>
      <c r="K457" s="12" t="s">
        <v>38299</v>
      </c>
      <c r="L457" s="12" t="s">
        <v>40656</v>
      </c>
      <c r="M457" s="12" t="s">
        <v>40657</v>
      </c>
      <c r="N457" s="12" t="s">
        <v>39475</v>
      </c>
      <c r="O457" s="12" t="s">
        <v>40658</v>
      </c>
      <c r="P457" s="12" t="s">
        <v>40659</v>
      </c>
      <c r="Q457" s="12" t="s">
        <v>40660</v>
      </c>
      <c r="R457" s="12" t="s">
        <v>40661</v>
      </c>
      <c r="S457" s="12" t="s">
        <v>40662</v>
      </c>
      <c r="T457" s="12" t="s">
        <v>38195</v>
      </c>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12"/>
      <c r="BH457" s="12"/>
      <c r="BI457" s="12"/>
      <c r="BJ457" s="12"/>
      <c r="BK457" s="12"/>
      <c r="BL457" s="12"/>
      <c r="BM457" s="12"/>
      <c r="BN457" s="12"/>
      <c r="BO457" s="12"/>
      <c r="BP457" s="12"/>
      <c r="BQ457" s="12"/>
      <c r="BR457" s="12"/>
      <c r="BS457" s="12"/>
      <c r="BT457" s="12"/>
    </row>
    <row r="458" spans="1:72">
      <c r="A458" s="2" t="s">
        <v>9473</v>
      </c>
      <c r="B458" s="5" t="s">
        <v>9478</v>
      </c>
      <c r="C458" s="3" t="s">
        <v>138</v>
      </c>
      <c r="D458" s="4" t="s">
        <v>138</v>
      </c>
      <c r="E458" s="15" t="s">
        <v>823</v>
      </c>
      <c r="F458" s="15" t="s">
        <v>824</v>
      </c>
      <c r="G458" s="15" t="s">
        <v>526</v>
      </c>
      <c r="H458" s="7">
        <v>20</v>
      </c>
      <c r="I458" s="6" t="s">
        <v>9490</v>
      </c>
      <c r="J458" s="6" t="s">
        <v>37785</v>
      </c>
      <c r="K458" s="6" t="s">
        <v>40663</v>
      </c>
      <c r="L458" s="6" t="s">
        <v>40664</v>
      </c>
      <c r="M458" s="6" t="s">
        <v>40151</v>
      </c>
      <c r="N458" s="6" t="s">
        <v>38354</v>
      </c>
      <c r="O458" s="6" t="s">
        <v>40665</v>
      </c>
      <c r="P458" s="6" t="s">
        <v>40666</v>
      </c>
      <c r="Q458" s="6" t="s">
        <v>40667</v>
      </c>
      <c r="R458" s="6" t="s">
        <v>40668</v>
      </c>
      <c r="S458" s="6" t="s">
        <v>37921</v>
      </c>
      <c r="T458" s="6" t="s">
        <v>40669</v>
      </c>
      <c r="U458" s="6" t="s">
        <v>39724</v>
      </c>
      <c r="V458" s="6" t="s">
        <v>40670</v>
      </c>
      <c r="W458" s="6" t="s">
        <v>40671</v>
      </c>
      <c r="X458" s="6" t="s">
        <v>40672</v>
      </c>
      <c r="Y458" s="6" t="s">
        <v>37915</v>
      </c>
      <c r="Z458" s="6" t="s">
        <v>40673</v>
      </c>
      <c r="AA458" s="6" t="s">
        <v>40674</v>
      </c>
      <c r="AB458" s="6" t="s">
        <v>40675</v>
      </c>
      <c r="AC458" s="6" t="s">
        <v>38542</v>
      </c>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row>
    <row r="459" spans="1:72">
      <c r="A459" s="8" t="s">
        <v>9495</v>
      </c>
      <c r="B459" s="11" t="s">
        <v>9500</v>
      </c>
      <c r="C459" s="9" t="s">
        <v>138</v>
      </c>
      <c r="D459" s="10" t="s">
        <v>138</v>
      </c>
      <c r="E459" s="28" t="s">
        <v>668</v>
      </c>
      <c r="F459" s="28" t="s">
        <v>200</v>
      </c>
      <c r="G459" s="28" t="s">
        <v>162</v>
      </c>
      <c r="H459" s="13">
        <v>1</v>
      </c>
      <c r="I459" s="12" t="s">
        <v>8373</v>
      </c>
      <c r="J459" s="12" t="s">
        <v>8373</v>
      </c>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row>
    <row r="460" spans="1:72">
      <c r="A460" s="2" t="s">
        <v>9508</v>
      </c>
      <c r="B460" s="5" t="s">
        <v>9513</v>
      </c>
      <c r="C460" s="3" t="s">
        <v>9509</v>
      </c>
      <c r="D460" s="4" t="s">
        <v>138</v>
      </c>
      <c r="E460" s="15" t="s">
        <v>668</v>
      </c>
      <c r="F460" s="15" t="s">
        <v>200</v>
      </c>
      <c r="G460" s="15" t="s">
        <v>162</v>
      </c>
      <c r="H460" s="7">
        <v>16</v>
      </c>
      <c r="I460" s="6" t="s">
        <v>9520</v>
      </c>
      <c r="J460" s="6" t="s">
        <v>38519</v>
      </c>
      <c r="K460" s="6" t="s">
        <v>40676</v>
      </c>
      <c r="L460" s="6" t="s">
        <v>40677</v>
      </c>
      <c r="M460" s="6" t="s">
        <v>40678</v>
      </c>
      <c r="N460" s="6" t="s">
        <v>40679</v>
      </c>
      <c r="O460" s="6" t="s">
        <v>38520</v>
      </c>
      <c r="P460" s="6" t="s">
        <v>40680</v>
      </c>
      <c r="Q460" s="6" t="s">
        <v>37788</v>
      </c>
      <c r="R460" s="6" t="s">
        <v>40681</v>
      </c>
      <c r="S460" s="6" t="s">
        <v>38528</v>
      </c>
      <c r="T460" s="6" t="s">
        <v>40682</v>
      </c>
      <c r="U460" s="6" t="s">
        <v>37804</v>
      </c>
      <c r="V460" s="6" t="s">
        <v>37805</v>
      </c>
      <c r="W460" s="6" t="s">
        <v>37893</v>
      </c>
      <c r="X460" s="6" t="s">
        <v>40683</v>
      </c>
      <c r="Y460" s="6" t="s">
        <v>40684</v>
      </c>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row>
    <row r="461" spans="1:72">
      <c r="A461" s="8" t="s">
        <v>9525</v>
      </c>
      <c r="B461" s="11" t="s">
        <v>9531</v>
      </c>
      <c r="C461" s="9" t="s">
        <v>138</v>
      </c>
      <c r="D461" s="10" t="s">
        <v>9526</v>
      </c>
      <c r="E461" s="28" t="s">
        <v>2391</v>
      </c>
      <c r="F461" s="28" t="s">
        <v>200</v>
      </c>
      <c r="G461" s="28" t="s">
        <v>162</v>
      </c>
      <c r="H461" s="13">
        <v>2</v>
      </c>
      <c r="I461" s="12" t="s">
        <v>9541</v>
      </c>
      <c r="J461" s="12" t="s">
        <v>40685</v>
      </c>
      <c r="K461" s="12" t="s">
        <v>37890</v>
      </c>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row>
    <row r="462" spans="1:72">
      <c r="A462" s="2" t="s">
        <v>9545</v>
      </c>
      <c r="B462" s="5" t="s">
        <v>9549</v>
      </c>
      <c r="C462" s="3" t="s">
        <v>138</v>
      </c>
      <c r="D462" s="4" t="s">
        <v>138</v>
      </c>
      <c r="E462" s="15" t="s">
        <v>9556</v>
      </c>
      <c r="F462" s="15" t="s">
        <v>6898</v>
      </c>
      <c r="G462" s="15" t="s">
        <v>162</v>
      </c>
      <c r="H462" s="7">
        <v>7</v>
      </c>
      <c r="I462" s="6" t="s">
        <v>9560</v>
      </c>
      <c r="J462" s="6" t="s">
        <v>40686</v>
      </c>
      <c r="K462" s="6" t="s">
        <v>40687</v>
      </c>
      <c r="L462" s="6" t="s">
        <v>40688</v>
      </c>
      <c r="M462" s="6" t="s">
        <v>37824</v>
      </c>
      <c r="N462" s="6" t="s">
        <v>37781</v>
      </c>
      <c r="O462" s="6" t="s">
        <v>40643</v>
      </c>
      <c r="P462" s="6" t="s">
        <v>40689</v>
      </c>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row>
    <row r="463" spans="1:72">
      <c r="A463" s="8" t="s">
        <v>9563</v>
      </c>
      <c r="B463" s="11" t="s">
        <v>9568</v>
      </c>
      <c r="C463" s="9" t="s">
        <v>138</v>
      </c>
      <c r="D463" s="10" t="s">
        <v>9564</v>
      </c>
      <c r="E463" s="28" t="s">
        <v>9575</v>
      </c>
      <c r="F463" s="28" t="s">
        <v>4493</v>
      </c>
      <c r="G463" s="28" t="s">
        <v>162</v>
      </c>
      <c r="H463" s="13">
        <v>1</v>
      </c>
      <c r="I463" s="12" t="s">
        <v>1012</v>
      </c>
      <c r="J463" s="12" t="s">
        <v>1012</v>
      </c>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12"/>
      <c r="BH463" s="12"/>
      <c r="BI463" s="12"/>
      <c r="BJ463" s="12"/>
      <c r="BK463" s="12"/>
      <c r="BL463" s="12"/>
      <c r="BM463" s="12"/>
      <c r="BN463" s="12"/>
      <c r="BO463" s="12"/>
      <c r="BP463" s="12"/>
      <c r="BQ463" s="12"/>
      <c r="BR463" s="12"/>
      <c r="BS463" s="12"/>
      <c r="BT463" s="12"/>
    </row>
    <row r="464" spans="1:72">
      <c r="A464" s="2" t="s">
        <v>9581</v>
      </c>
      <c r="B464" s="5" t="s">
        <v>9588</v>
      </c>
      <c r="C464" s="3" t="s">
        <v>138</v>
      </c>
      <c r="D464" s="4" t="s">
        <v>9582</v>
      </c>
      <c r="E464" s="15" t="s">
        <v>966</v>
      </c>
      <c r="F464" s="15" t="s">
        <v>200</v>
      </c>
      <c r="G464" s="15" t="s">
        <v>162</v>
      </c>
      <c r="H464" s="7">
        <v>16</v>
      </c>
      <c r="I464" s="6" t="s">
        <v>9600</v>
      </c>
      <c r="J464" s="6" t="s">
        <v>40690</v>
      </c>
      <c r="K464" s="6" t="s">
        <v>40691</v>
      </c>
      <c r="L464" s="6" t="s">
        <v>39201</v>
      </c>
      <c r="M464" s="6" t="s">
        <v>39804</v>
      </c>
      <c r="N464" s="6" t="s">
        <v>38961</v>
      </c>
      <c r="O464" s="6" t="s">
        <v>38010</v>
      </c>
      <c r="P464" s="6" t="s">
        <v>38042</v>
      </c>
      <c r="Q464" s="6" t="s">
        <v>40692</v>
      </c>
      <c r="R464" s="6" t="s">
        <v>40246</v>
      </c>
      <c r="S464" s="6" t="s">
        <v>38688</v>
      </c>
      <c r="T464" s="6" t="s">
        <v>40693</v>
      </c>
      <c r="U464" s="6" t="s">
        <v>40694</v>
      </c>
      <c r="V464" s="6" t="s">
        <v>37915</v>
      </c>
      <c r="W464" s="6" t="s">
        <v>40695</v>
      </c>
      <c r="X464" s="6" t="s">
        <v>40696</v>
      </c>
      <c r="Y464" s="6" t="s">
        <v>40697</v>
      </c>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row>
    <row r="465" spans="1:72">
      <c r="A465" s="8" t="s">
        <v>9605</v>
      </c>
      <c r="B465" s="11" t="s">
        <v>9610</v>
      </c>
      <c r="C465" s="9" t="s">
        <v>138</v>
      </c>
      <c r="D465" s="10" t="s">
        <v>138</v>
      </c>
      <c r="E465" s="28" t="s">
        <v>310</v>
      </c>
      <c r="F465" s="28" t="s">
        <v>200</v>
      </c>
      <c r="G465" s="28" t="s">
        <v>162</v>
      </c>
      <c r="H465" s="13">
        <v>3</v>
      </c>
      <c r="I465" s="12" t="s">
        <v>9618</v>
      </c>
      <c r="J465" s="12" t="s">
        <v>40698</v>
      </c>
      <c r="K465" s="12" t="s">
        <v>37781</v>
      </c>
      <c r="L465" s="12" t="s">
        <v>40699</v>
      </c>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12"/>
      <c r="BH465" s="12"/>
      <c r="BI465" s="12"/>
      <c r="BJ465" s="12"/>
      <c r="BK465" s="12"/>
      <c r="BL465" s="12"/>
      <c r="BM465" s="12"/>
      <c r="BN465" s="12"/>
      <c r="BO465" s="12"/>
      <c r="BP465" s="12"/>
      <c r="BQ465" s="12"/>
      <c r="BR465" s="12"/>
      <c r="BS465" s="12"/>
      <c r="BT465" s="12"/>
    </row>
    <row r="466" spans="1:72">
      <c r="A466" s="2" t="s">
        <v>9621</v>
      </c>
      <c r="B466" s="5" t="s">
        <v>9627</v>
      </c>
      <c r="C466" s="3" t="s">
        <v>9622</v>
      </c>
      <c r="D466" s="4" t="s">
        <v>138</v>
      </c>
      <c r="E466" s="15" t="s">
        <v>3428</v>
      </c>
      <c r="F466" s="15" t="s">
        <v>3883</v>
      </c>
      <c r="G466" s="15" t="s">
        <v>162</v>
      </c>
      <c r="H466" s="7">
        <v>18</v>
      </c>
      <c r="I466" s="6" t="s">
        <v>9634</v>
      </c>
      <c r="J466" s="6" t="s">
        <v>40700</v>
      </c>
      <c r="K466" s="6" t="s">
        <v>40701</v>
      </c>
      <c r="L466" s="6" t="s">
        <v>40147</v>
      </c>
      <c r="M466" s="6" t="s">
        <v>37943</v>
      </c>
      <c r="N466" s="6" t="s">
        <v>40702</v>
      </c>
      <c r="O466" s="6" t="s">
        <v>40703</v>
      </c>
      <c r="P466" s="6" t="s">
        <v>40704</v>
      </c>
      <c r="Q466" s="6" t="s">
        <v>40705</v>
      </c>
      <c r="R466" s="6" t="s">
        <v>40706</v>
      </c>
      <c r="S466" s="6" t="s">
        <v>40707</v>
      </c>
      <c r="T466" s="6" t="s">
        <v>40708</v>
      </c>
      <c r="U466" s="6" t="s">
        <v>40709</v>
      </c>
      <c r="V466" s="6" t="s">
        <v>37781</v>
      </c>
      <c r="W466" s="6" t="s">
        <v>40710</v>
      </c>
      <c r="X466" s="6" t="s">
        <v>38852</v>
      </c>
      <c r="Y466" s="6" t="s">
        <v>37915</v>
      </c>
      <c r="Z466" s="6" t="s">
        <v>40711</v>
      </c>
      <c r="AA466" s="6" t="s">
        <v>39184</v>
      </c>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row>
    <row r="467" spans="1:72">
      <c r="A467" s="8" t="s">
        <v>9637</v>
      </c>
      <c r="B467" s="11" t="s">
        <v>9643</v>
      </c>
      <c r="C467" s="9" t="s">
        <v>138</v>
      </c>
      <c r="D467" s="10" t="s">
        <v>138</v>
      </c>
      <c r="E467" s="28" t="s">
        <v>3972</v>
      </c>
      <c r="F467" s="28" t="s">
        <v>138</v>
      </c>
      <c r="G467" s="28" t="s">
        <v>740</v>
      </c>
      <c r="H467" s="13">
        <v>9</v>
      </c>
      <c r="I467" s="12" t="s">
        <v>9650</v>
      </c>
      <c r="J467" s="12" t="s">
        <v>40712</v>
      </c>
      <c r="K467" s="12" t="s">
        <v>40713</v>
      </c>
      <c r="L467" s="12" t="s">
        <v>40714</v>
      </c>
      <c r="M467" s="12" t="s">
        <v>38841</v>
      </c>
      <c r="N467" s="12" t="s">
        <v>37799</v>
      </c>
      <c r="O467" s="12" t="s">
        <v>40715</v>
      </c>
      <c r="P467" s="12" t="s">
        <v>40716</v>
      </c>
      <c r="Q467" s="12" t="s">
        <v>40717</v>
      </c>
      <c r="R467" s="12" t="s">
        <v>40718</v>
      </c>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row>
    <row r="468" spans="1:72">
      <c r="A468" s="2" t="s">
        <v>9653</v>
      </c>
      <c r="B468" s="5" t="s">
        <v>9659</v>
      </c>
      <c r="C468" s="3" t="s">
        <v>138</v>
      </c>
      <c r="D468" s="4" t="s">
        <v>138</v>
      </c>
      <c r="E468" s="15" t="s">
        <v>944</v>
      </c>
      <c r="F468" s="15" t="s">
        <v>138</v>
      </c>
      <c r="G468" s="15" t="s">
        <v>946</v>
      </c>
      <c r="H468" s="7">
        <v>17</v>
      </c>
      <c r="I468" s="6" t="s">
        <v>9670</v>
      </c>
      <c r="J468" s="6" t="s">
        <v>39156</v>
      </c>
      <c r="K468" s="6" t="s">
        <v>39434</v>
      </c>
      <c r="L468" s="6" t="s">
        <v>40719</v>
      </c>
      <c r="M468" s="6" t="s">
        <v>40720</v>
      </c>
      <c r="N468" s="6" t="s">
        <v>40721</v>
      </c>
      <c r="O468" s="6" t="s">
        <v>40453</v>
      </c>
      <c r="P468" s="6" t="s">
        <v>40722</v>
      </c>
      <c r="Q468" s="6" t="s">
        <v>40723</v>
      </c>
      <c r="R468" s="6" t="s">
        <v>38709</v>
      </c>
      <c r="S468" s="6" t="s">
        <v>40724</v>
      </c>
      <c r="T468" s="6" t="s">
        <v>40725</v>
      </c>
      <c r="U468" s="6" t="s">
        <v>40726</v>
      </c>
      <c r="V468" s="6" t="s">
        <v>40307</v>
      </c>
      <c r="W468" s="6" t="s">
        <v>39522</v>
      </c>
      <c r="X468" s="6" t="s">
        <v>40727</v>
      </c>
      <c r="Y468" s="6" t="s">
        <v>40728</v>
      </c>
      <c r="Z468" s="6" t="s">
        <v>39526</v>
      </c>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row>
    <row r="469" spans="1:72">
      <c r="A469" s="8" t="s">
        <v>9674</v>
      </c>
      <c r="B469" s="11" t="s">
        <v>9679</v>
      </c>
      <c r="C469" s="9" t="s">
        <v>138</v>
      </c>
      <c r="D469" s="10" t="s">
        <v>138</v>
      </c>
      <c r="E469" s="28" t="s">
        <v>9684</v>
      </c>
      <c r="F469" s="28" t="s">
        <v>138</v>
      </c>
      <c r="G469" s="28" t="s">
        <v>9686</v>
      </c>
      <c r="H469" s="13">
        <v>2</v>
      </c>
      <c r="I469" s="12" t="s">
        <v>9689</v>
      </c>
      <c r="J469" s="12" t="s">
        <v>40729</v>
      </c>
      <c r="K469" s="12" t="s">
        <v>40730</v>
      </c>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row>
    <row r="470" spans="1:72">
      <c r="A470" s="2" t="s">
        <v>9692</v>
      </c>
      <c r="B470" s="5" t="s">
        <v>9697</v>
      </c>
      <c r="C470" s="3" t="s">
        <v>138</v>
      </c>
      <c r="D470" s="4" t="s">
        <v>138</v>
      </c>
      <c r="E470" s="15" t="s">
        <v>426</v>
      </c>
      <c r="F470" s="15" t="s">
        <v>426</v>
      </c>
      <c r="G470" s="15" t="s">
        <v>162</v>
      </c>
      <c r="H470" s="7">
        <v>2</v>
      </c>
      <c r="I470" s="6" t="s">
        <v>9705</v>
      </c>
      <c r="J470" s="6" t="s">
        <v>40731</v>
      </c>
      <c r="K470" s="6" t="s">
        <v>37781</v>
      </c>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c r="BS470" s="6"/>
      <c r="BT470" s="6"/>
    </row>
    <row r="471" spans="1:72">
      <c r="A471" s="8" t="s">
        <v>9709</v>
      </c>
      <c r="B471" s="11" t="s">
        <v>9714</v>
      </c>
      <c r="C471" s="9" t="s">
        <v>138</v>
      </c>
      <c r="D471" s="10" t="s">
        <v>9710</v>
      </c>
      <c r="E471" s="28" t="s">
        <v>668</v>
      </c>
      <c r="F471" s="28" t="s">
        <v>200</v>
      </c>
      <c r="G471" s="28" t="s">
        <v>162</v>
      </c>
      <c r="H471" s="13">
        <v>17</v>
      </c>
      <c r="I471" s="12" t="s">
        <v>9723</v>
      </c>
      <c r="J471" s="12" t="s">
        <v>40732</v>
      </c>
      <c r="K471" s="12" t="s">
        <v>40733</v>
      </c>
      <c r="L471" s="12" t="s">
        <v>40734</v>
      </c>
      <c r="M471" s="12" t="s">
        <v>39315</v>
      </c>
      <c r="N471" s="12" t="s">
        <v>40735</v>
      </c>
      <c r="O471" s="12" t="s">
        <v>40478</v>
      </c>
      <c r="P471" s="12" t="s">
        <v>40736</v>
      </c>
      <c r="Q471" s="12" t="s">
        <v>40737</v>
      </c>
      <c r="R471" s="12" t="s">
        <v>38062</v>
      </c>
      <c r="S471" s="12" t="s">
        <v>40738</v>
      </c>
      <c r="T471" s="12" t="s">
        <v>39057</v>
      </c>
      <c r="U471" s="12" t="s">
        <v>40739</v>
      </c>
      <c r="V471" s="12" t="s">
        <v>40740</v>
      </c>
      <c r="W471" s="12" t="s">
        <v>38321</v>
      </c>
      <c r="X471" s="12" t="s">
        <v>37901</v>
      </c>
      <c r="Y471" s="12" t="s">
        <v>37870</v>
      </c>
      <c r="Z471" s="12" t="s">
        <v>40741</v>
      </c>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12"/>
      <c r="BH471" s="12"/>
      <c r="BI471" s="12"/>
      <c r="BJ471" s="12"/>
      <c r="BK471" s="12"/>
      <c r="BL471" s="12"/>
      <c r="BM471" s="12"/>
      <c r="BN471" s="12"/>
      <c r="BO471" s="12"/>
      <c r="BP471" s="12"/>
      <c r="BQ471" s="12"/>
      <c r="BR471" s="12"/>
      <c r="BS471" s="12"/>
      <c r="BT471" s="12"/>
    </row>
    <row r="472" spans="1:72">
      <c r="A472" s="2" t="s">
        <v>9728</v>
      </c>
      <c r="B472" s="5" t="s">
        <v>9732</v>
      </c>
      <c r="C472" s="3" t="s">
        <v>138</v>
      </c>
      <c r="D472" s="4" t="s">
        <v>138</v>
      </c>
      <c r="E472" s="15" t="s">
        <v>9740</v>
      </c>
      <c r="F472" s="15" t="s">
        <v>824</v>
      </c>
      <c r="G472" s="15" t="s">
        <v>526</v>
      </c>
      <c r="H472" s="7">
        <v>3</v>
      </c>
      <c r="I472" s="6" t="s">
        <v>9744</v>
      </c>
      <c r="J472" s="6" t="s">
        <v>18057</v>
      </c>
      <c r="K472" s="6" t="s">
        <v>40742</v>
      </c>
      <c r="L472" s="6" t="s">
        <v>40743</v>
      </c>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row>
    <row r="473" spans="1:72">
      <c r="A473" s="8" t="s">
        <v>9748</v>
      </c>
      <c r="B473" s="11" t="s">
        <v>9755</v>
      </c>
      <c r="C473" s="9" t="s">
        <v>138</v>
      </c>
      <c r="D473" s="10" t="s">
        <v>9749</v>
      </c>
      <c r="E473" s="28" t="s">
        <v>9763</v>
      </c>
      <c r="F473" s="28" t="s">
        <v>200</v>
      </c>
      <c r="G473" s="28" t="s">
        <v>162</v>
      </c>
      <c r="H473" s="13">
        <v>13</v>
      </c>
      <c r="I473" s="12" t="s">
        <v>9768</v>
      </c>
      <c r="J473" s="12" t="s">
        <v>38406</v>
      </c>
      <c r="K473" s="12" t="s">
        <v>40160</v>
      </c>
      <c r="L473" s="12" t="s">
        <v>40744</v>
      </c>
      <c r="M473" s="12" t="s">
        <v>40745</v>
      </c>
      <c r="N473" s="12" t="s">
        <v>40746</v>
      </c>
      <c r="O473" s="12" t="s">
        <v>38605</v>
      </c>
      <c r="P473" s="12" t="s">
        <v>40152</v>
      </c>
      <c r="Q473" s="12" t="s">
        <v>37822</v>
      </c>
      <c r="R473" s="12" t="s">
        <v>40747</v>
      </c>
      <c r="S473" s="12" t="s">
        <v>39290</v>
      </c>
      <c r="T473" s="12" t="s">
        <v>37839</v>
      </c>
      <c r="U473" s="12" t="s">
        <v>38200</v>
      </c>
      <c r="V473" s="12" t="s">
        <v>38813</v>
      </c>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12"/>
      <c r="BH473" s="12"/>
      <c r="BI473" s="12"/>
      <c r="BJ473" s="12"/>
      <c r="BK473" s="12"/>
      <c r="BL473" s="12"/>
      <c r="BM473" s="12"/>
      <c r="BN473" s="12"/>
      <c r="BO473" s="12"/>
      <c r="BP473" s="12"/>
      <c r="BQ473" s="12"/>
      <c r="BR473" s="12"/>
      <c r="BS473" s="12"/>
      <c r="BT473" s="12"/>
    </row>
    <row r="474" spans="1:72">
      <c r="A474" s="2" t="s">
        <v>9771</v>
      </c>
      <c r="B474" s="5" t="s">
        <v>138</v>
      </c>
      <c r="C474" s="3" t="s">
        <v>138</v>
      </c>
      <c r="D474" s="4" t="s">
        <v>138</v>
      </c>
      <c r="E474" s="15" t="s">
        <v>1294</v>
      </c>
      <c r="F474" s="15" t="s">
        <v>864</v>
      </c>
      <c r="G474" s="15" t="s">
        <v>162</v>
      </c>
      <c r="H474" s="7">
        <v>3</v>
      </c>
      <c r="I474" s="6" t="s">
        <v>9779</v>
      </c>
      <c r="J474" s="6" t="s">
        <v>8453</v>
      </c>
      <c r="K474" s="6" t="s">
        <v>38521</v>
      </c>
      <c r="L474" s="6" t="s">
        <v>40748</v>
      </c>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row>
    <row r="475" spans="1:72">
      <c r="A475" s="8" t="s">
        <v>9782</v>
      </c>
      <c r="B475" s="11" t="s">
        <v>9787</v>
      </c>
      <c r="C475" s="9" t="s">
        <v>138</v>
      </c>
      <c r="D475" s="10" t="s">
        <v>9783</v>
      </c>
      <c r="E475" s="28" t="s">
        <v>823</v>
      </c>
      <c r="F475" s="28" t="s">
        <v>824</v>
      </c>
      <c r="G475" s="28" t="s">
        <v>526</v>
      </c>
      <c r="H475" s="13">
        <v>15</v>
      </c>
      <c r="I475" s="12" t="s">
        <v>9797</v>
      </c>
      <c r="J475" s="12" t="s">
        <v>40749</v>
      </c>
      <c r="K475" s="12" t="s">
        <v>40750</v>
      </c>
      <c r="L475" s="12" t="s">
        <v>40751</v>
      </c>
      <c r="M475" s="12" t="s">
        <v>40752</v>
      </c>
      <c r="N475" s="12" t="s">
        <v>38057</v>
      </c>
      <c r="O475" s="12" t="s">
        <v>40753</v>
      </c>
      <c r="P475" s="12" t="s">
        <v>40754</v>
      </c>
      <c r="Q475" s="12" t="s">
        <v>40755</v>
      </c>
      <c r="R475" s="12" t="s">
        <v>39724</v>
      </c>
      <c r="S475" s="12" t="s">
        <v>40606</v>
      </c>
      <c r="T475" s="12" t="s">
        <v>40756</v>
      </c>
      <c r="U475" s="12" t="s">
        <v>40757</v>
      </c>
      <c r="V475" s="12" t="s">
        <v>39635</v>
      </c>
      <c r="W475" s="12" t="s">
        <v>40672</v>
      </c>
      <c r="X475" s="12" t="s">
        <v>40758</v>
      </c>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12"/>
      <c r="BH475" s="12"/>
      <c r="BI475" s="12"/>
      <c r="BJ475" s="12"/>
      <c r="BK475" s="12"/>
      <c r="BL475" s="12"/>
      <c r="BM475" s="12"/>
      <c r="BN475" s="12"/>
      <c r="BO475" s="12"/>
      <c r="BP475" s="12"/>
      <c r="BQ475" s="12"/>
      <c r="BR475" s="12"/>
      <c r="BS475" s="12"/>
      <c r="BT475" s="12"/>
    </row>
    <row r="476" spans="1:72">
      <c r="A476" s="2" t="s">
        <v>9802</v>
      </c>
      <c r="B476" s="5" t="s">
        <v>9807</v>
      </c>
      <c r="C476" s="3" t="s">
        <v>9803</v>
      </c>
      <c r="D476" s="4" t="s">
        <v>138</v>
      </c>
      <c r="E476" s="15" t="s">
        <v>668</v>
      </c>
      <c r="F476" s="15" t="s">
        <v>200</v>
      </c>
      <c r="G476" s="15" t="s">
        <v>162</v>
      </c>
      <c r="H476" s="7">
        <v>21</v>
      </c>
      <c r="I476" s="6" t="s">
        <v>9816</v>
      </c>
      <c r="J476" s="6" t="s">
        <v>8682</v>
      </c>
      <c r="K476" s="6" t="s">
        <v>40759</v>
      </c>
      <c r="L476" s="6" t="s">
        <v>40760</v>
      </c>
      <c r="M476" s="6" t="s">
        <v>37799</v>
      </c>
      <c r="N476" s="6" t="s">
        <v>37851</v>
      </c>
      <c r="O476" s="6" t="s">
        <v>40625</v>
      </c>
      <c r="P476" s="6" t="s">
        <v>39116</v>
      </c>
      <c r="Q476" s="6" t="s">
        <v>38844</v>
      </c>
      <c r="R476" s="6" t="s">
        <v>40761</v>
      </c>
      <c r="S476" s="6" t="s">
        <v>40762</v>
      </c>
      <c r="T476" s="6" t="s">
        <v>39325</v>
      </c>
      <c r="U476" s="6" t="s">
        <v>40763</v>
      </c>
      <c r="V476" s="6" t="s">
        <v>40764</v>
      </c>
      <c r="W476" s="6" t="s">
        <v>40765</v>
      </c>
      <c r="X476" s="6" t="s">
        <v>38976</v>
      </c>
      <c r="Y476" s="6" t="s">
        <v>38025</v>
      </c>
      <c r="Z476" s="6" t="s">
        <v>38850</v>
      </c>
      <c r="AA476" s="6" t="s">
        <v>39297</v>
      </c>
      <c r="AB476" s="6" t="s">
        <v>39455</v>
      </c>
      <c r="AC476" s="6" t="s">
        <v>40766</v>
      </c>
      <c r="AD476" s="6" t="s">
        <v>40767</v>
      </c>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row>
    <row r="477" spans="1:72">
      <c r="A477" s="8" t="s">
        <v>9820</v>
      </c>
      <c r="B477" s="11" t="s">
        <v>9825</v>
      </c>
      <c r="C477" s="9" t="s">
        <v>138</v>
      </c>
      <c r="D477" s="10" t="s">
        <v>138</v>
      </c>
      <c r="E477" s="28" t="s">
        <v>9834</v>
      </c>
      <c r="F477" s="28" t="s">
        <v>138</v>
      </c>
      <c r="G477" s="28" t="s">
        <v>1054</v>
      </c>
      <c r="H477" s="13">
        <v>27</v>
      </c>
      <c r="I477" s="12" t="s">
        <v>9838</v>
      </c>
      <c r="J477" s="12" t="s">
        <v>40768</v>
      </c>
      <c r="K477" s="12" t="s">
        <v>40769</v>
      </c>
      <c r="L477" s="12" t="s">
        <v>40770</v>
      </c>
      <c r="M477" s="12" t="s">
        <v>39368</v>
      </c>
      <c r="N477" s="12" t="s">
        <v>40771</v>
      </c>
      <c r="O477" s="12" t="s">
        <v>40772</v>
      </c>
      <c r="P477" s="12" t="s">
        <v>40773</v>
      </c>
      <c r="Q477" s="12" t="s">
        <v>40774</v>
      </c>
      <c r="R477" s="12" t="s">
        <v>40775</v>
      </c>
      <c r="S477" s="12" t="s">
        <v>40776</v>
      </c>
      <c r="T477" s="12" t="s">
        <v>37855</v>
      </c>
      <c r="U477" s="12" t="s">
        <v>37787</v>
      </c>
      <c r="V477" s="12" t="s">
        <v>37856</v>
      </c>
      <c r="W477" s="12" t="s">
        <v>40777</v>
      </c>
      <c r="X477" s="12" t="s">
        <v>40778</v>
      </c>
      <c r="Y477" s="12" t="s">
        <v>38948</v>
      </c>
      <c r="Z477" s="12" t="s">
        <v>40779</v>
      </c>
      <c r="AA477" s="12" t="s">
        <v>40780</v>
      </c>
      <c r="AB477" s="12" t="s">
        <v>38024</v>
      </c>
      <c r="AC477" s="12" t="s">
        <v>37781</v>
      </c>
      <c r="AD477" s="12" t="s">
        <v>37889</v>
      </c>
      <c r="AE477" s="12" t="s">
        <v>40781</v>
      </c>
      <c r="AF477" s="12" t="s">
        <v>40782</v>
      </c>
      <c r="AG477" s="12" t="s">
        <v>40783</v>
      </c>
      <c r="AH477" s="12" t="s">
        <v>40784</v>
      </c>
      <c r="AI477" s="12" t="s">
        <v>37868</v>
      </c>
      <c r="AJ477" s="12" t="s">
        <v>37873</v>
      </c>
      <c r="AK477" s="12"/>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12"/>
      <c r="BH477" s="12"/>
      <c r="BI477" s="12"/>
      <c r="BJ477" s="12"/>
      <c r="BK477" s="12"/>
      <c r="BL477" s="12"/>
      <c r="BM477" s="12"/>
      <c r="BN477" s="12"/>
      <c r="BO477" s="12"/>
      <c r="BP477" s="12"/>
      <c r="BQ477" s="12"/>
      <c r="BR477" s="12"/>
      <c r="BS477" s="12"/>
      <c r="BT477" s="12"/>
    </row>
    <row r="478" spans="1:72">
      <c r="A478" s="2" t="s">
        <v>9843</v>
      </c>
      <c r="B478" s="5" t="s">
        <v>9847</v>
      </c>
      <c r="C478" s="3" t="s">
        <v>138</v>
      </c>
      <c r="D478" s="4" t="s">
        <v>138</v>
      </c>
      <c r="E478" s="15" t="s">
        <v>3670</v>
      </c>
      <c r="F478" s="15" t="s">
        <v>200</v>
      </c>
      <c r="G478" s="15" t="s">
        <v>162</v>
      </c>
      <c r="H478" s="7">
        <v>9</v>
      </c>
      <c r="I478" s="6" t="s">
        <v>9855</v>
      </c>
      <c r="J478" s="6" t="s">
        <v>40785</v>
      </c>
      <c r="K478" s="6" t="s">
        <v>40786</v>
      </c>
      <c r="L478" s="6" t="s">
        <v>37787</v>
      </c>
      <c r="M478" s="6" t="s">
        <v>40787</v>
      </c>
      <c r="N478" s="6" t="s">
        <v>38200</v>
      </c>
      <c r="O478" s="6" t="s">
        <v>40781</v>
      </c>
      <c r="P478" s="6" t="s">
        <v>37806</v>
      </c>
      <c r="Q478" s="6" t="s">
        <v>38813</v>
      </c>
      <c r="R478" s="6" t="s">
        <v>38705</v>
      </c>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c r="BM478" s="6"/>
      <c r="BN478" s="6"/>
      <c r="BO478" s="6"/>
      <c r="BP478" s="6"/>
      <c r="BQ478" s="6"/>
      <c r="BR478" s="6"/>
      <c r="BS478" s="6"/>
      <c r="BT478" s="6"/>
    </row>
    <row r="479" spans="1:72">
      <c r="A479" s="8" t="s">
        <v>9860</v>
      </c>
      <c r="B479" s="11" t="s">
        <v>9865</v>
      </c>
      <c r="C479" s="9" t="s">
        <v>138</v>
      </c>
      <c r="D479" s="10" t="s">
        <v>138</v>
      </c>
      <c r="E479" s="28" t="s">
        <v>668</v>
      </c>
      <c r="F479" s="28" t="s">
        <v>200</v>
      </c>
      <c r="G479" s="28" t="s">
        <v>162</v>
      </c>
      <c r="H479" s="13">
        <v>3</v>
      </c>
      <c r="I479" s="12" t="s">
        <v>9872</v>
      </c>
      <c r="J479" s="12" t="s">
        <v>40788</v>
      </c>
      <c r="K479" s="12" t="s">
        <v>40789</v>
      </c>
      <c r="L479" s="12" t="s">
        <v>40790</v>
      </c>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12"/>
      <c r="BH479" s="12"/>
      <c r="BI479" s="12"/>
      <c r="BJ479" s="12"/>
      <c r="BK479" s="12"/>
      <c r="BL479" s="12"/>
      <c r="BM479" s="12"/>
      <c r="BN479" s="12"/>
      <c r="BO479" s="12"/>
      <c r="BP479" s="12"/>
      <c r="BQ479" s="12"/>
      <c r="BR479" s="12"/>
      <c r="BS479" s="12"/>
      <c r="BT479" s="12"/>
    </row>
    <row r="480" spans="1:72">
      <c r="A480" s="2" t="s">
        <v>9876</v>
      </c>
      <c r="B480" s="5" t="s">
        <v>9882</v>
      </c>
      <c r="C480" s="3" t="s">
        <v>138</v>
      </c>
      <c r="D480" s="4" t="s">
        <v>138</v>
      </c>
      <c r="E480" s="15" t="s">
        <v>426</v>
      </c>
      <c r="F480" s="15" t="s">
        <v>426</v>
      </c>
      <c r="G480" s="15" t="s">
        <v>162</v>
      </c>
      <c r="H480" s="7">
        <v>16</v>
      </c>
      <c r="I480" s="6" t="s">
        <v>9891</v>
      </c>
      <c r="J480" s="6" t="s">
        <v>40791</v>
      </c>
      <c r="K480" s="6" t="s">
        <v>38835</v>
      </c>
      <c r="L480" s="6" t="s">
        <v>40792</v>
      </c>
      <c r="M480" s="6" t="s">
        <v>37832</v>
      </c>
      <c r="N480" s="6" t="s">
        <v>38571</v>
      </c>
      <c r="O480" s="6" t="s">
        <v>40793</v>
      </c>
      <c r="P480" s="6" t="s">
        <v>40794</v>
      </c>
      <c r="Q480" s="6" t="s">
        <v>40795</v>
      </c>
      <c r="R480" s="6" t="s">
        <v>38576</v>
      </c>
      <c r="S480" s="6" t="s">
        <v>38099</v>
      </c>
      <c r="T480" s="6" t="s">
        <v>37781</v>
      </c>
      <c r="U480" s="6" t="s">
        <v>40796</v>
      </c>
      <c r="V480" s="6" t="s">
        <v>37784</v>
      </c>
      <c r="W480" s="6" t="s">
        <v>40797</v>
      </c>
      <c r="X480" s="6" t="s">
        <v>38370</v>
      </c>
      <c r="Y480" s="6" t="s">
        <v>40798</v>
      </c>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c r="BS480" s="6"/>
      <c r="BT480" s="6"/>
    </row>
    <row r="481" spans="1:72">
      <c r="A481" s="8" t="s">
        <v>9896</v>
      </c>
      <c r="B481" s="11" t="s">
        <v>9901</v>
      </c>
      <c r="C481" s="9" t="s">
        <v>138</v>
      </c>
      <c r="D481" s="10" t="s">
        <v>138</v>
      </c>
      <c r="E481" s="28" t="s">
        <v>1638</v>
      </c>
      <c r="F481" s="28" t="s">
        <v>200</v>
      </c>
      <c r="G481" s="28" t="s">
        <v>162</v>
      </c>
      <c r="H481" s="13">
        <v>13</v>
      </c>
      <c r="I481" s="12" t="s">
        <v>9910</v>
      </c>
      <c r="J481" s="12" t="s">
        <v>38800</v>
      </c>
      <c r="K481" s="12" t="s">
        <v>40346</v>
      </c>
      <c r="L481" s="12" t="s">
        <v>39093</v>
      </c>
      <c r="M481" s="12" t="s">
        <v>38416</v>
      </c>
      <c r="N481" s="12" t="s">
        <v>39688</v>
      </c>
      <c r="O481" s="12" t="s">
        <v>40799</v>
      </c>
      <c r="P481" s="12" t="s">
        <v>38427</v>
      </c>
      <c r="Q481" s="12" t="s">
        <v>37998</v>
      </c>
      <c r="R481" s="12" t="s">
        <v>38065</v>
      </c>
      <c r="S481" s="12" t="s">
        <v>40800</v>
      </c>
      <c r="T481" s="12" t="s">
        <v>38343</v>
      </c>
      <c r="U481" s="12" t="s">
        <v>39697</v>
      </c>
      <c r="V481" s="12" t="s">
        <v>39466</v>
      </c>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row>
    <row r="482" spans="1:72">
      <c r="A482" s="2" t="s">
        <v>9915</v>
      </c>
      <c r="B482" s="5" t="s">
        <v>9919</v>
      </c>
      <c r="C482" s="3" t="s">
        <v>138</v>
      </c>
      <c r="D482" s="4" t="s">
        <v>138</v>
      </c>
      <c r="E482" s="15" t="s">
        <v>3139</v>
      </c>
      <c r="F482" s="15" t="s">
        <v>3140</v>
      </c>
      <c r="G482" s="15" t="s">
        <v>162</v>
      </c>
      <c r="H482" s="7">
        <v>26</v>
      </c>
      <c r="I482" s="6" t="s">
        <v>9929</v>
      </c>
      <c r="J482" s="6" t="s">
        <v>39398</v>
      </c>
      <c r="K482" s="6" t="s">
        <v>40801</v>
      </c>
      <c r="L482" s="6" t="s">
        <v>40802</v>
      </c>
      <c r="M482" s="6" t="s">
        <v>37939</v>
      </c>
      <c r="N482" s="6" t="s">
        <v>37945</v>
      </c>
      <c r="O482" s="6" t="s">
        <v>37799</v>
      </c>
      <c r="P482" s="6" t="s">
        <v>40803</v>
      </c>
      <c r="Q482" s="6" t="s">
        <v>40804</v>
      </c>
      <c r="R482" s="6" t="s">
        <v>37777</v>
      </c>
      <c r="S482" s="6" t="s">
        <v>40805</v>
      </c>
      <c r="T482" s="6" t="s">
        <v>40229</v>
      </c>
      <c r="U482" s="6" t="s">
        <v>38199</v>
      </c>
      <c r="V482" s="6" t="s">
        <v>40806</v>
      </c>
      <c r="W482" s="6" t="s">
        <v>40807</v>
      </c>
      <c r="X482" s="6" t="s">
        <v>37965</v>
      </c>
      <c r="Y482" s="6" t="s">
        <v>38025</v>
      </c>
      <c r="Z482" s="6" t="s">
        <v>38065</v>
      </c>
      <c r="AA482" s="6" t="s">
        <v>40808</v>
      </c>
      <c r="AB482" s="6" t="s">
        <v>40809</v>
      </c>
      <c r="AC482" s="6" t="s">
        <v>39295</v>
      </c>
      <c r="AD482" s="6" t="s">
        <v>38852</v>
      </c>
      <c r="AE482" s="6" t="s">
        <v>40810</v>
      </c>
      <c r="AF482" s="6" t="s">
        <v>40811</v>
      </c>
      <c r="AG482" s="6" t="s">
        <v>37783</v>
      </c>
      <c r="AH482" s="6" t="s">
        <v>39303</v>
      </c>
      <c r="AI482" s="6" t="s">
        <v>37976</v>
      </c>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row>
    <row r="483" spans="1:72">
      <c r="A483" s="8" t="s">
        <v>9934</v>
      </c>
      <c r="B483" s="11" t="s">
        <v>9938</v>
      </c>
      <c r="C483" s="9" t="s">
        <v>138</v>
      </c>
      <c r="D483" s="10" t="s">
        <v>138</v>
      </c>
      <c r="E483" s="28" t="s">
        <v>4466</v>
      </c>
      <c r="F483" s="28" t="s">
        <v>426</v>
      </c>
      <c r="G483" s="28" t="s">
        <v>162</v>
      </c>
      <c r="H483" s="13">
        <v>11</v>
      </c>
      <c r="I483" s="12" t="s">
        <v>9946</v>
      </c>
      <c r="J483" s="12" t="s">
        <v>40812</v>
      </c>
      <c r="K483" s="12" t="s">
        <v>40813</v>
      </c>
      <c r="L483" s="12" t="s">
        <v>37819</v>
      </c>
      <c r="M483" s="12" t="s">
        <v>40452</v>
      </c>
      <c r="N483" s="12" t="s">
        <v>40814</v>
      </c>
      <c r="O483" s="12" t="s">
        <v>37878</v>
      </c>
      <c r="P483" s="12" t="s">
        <v>38915</v>
      </c>
      <c r="Q483" s="12" t="s">
        <v>37774</v>
      </c>
      <c r="R483" s="12" t="s">
        <v>40815</v>
      </c>
      <c r="S483" s="12" t="s">
        <v>38097</v>
      </c>
      <c r="T483" s="12" t="s">
        <v>38480</v>
      </c>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row>
    <row r="484" spans="1:72">
      <c r="A484" s="2" t="s">
        <v>9949</v>
      </c>
      <c r="B484" s="5" t="s">
        <v>9955</v>
      </c>
      <c r="C484" s="3" t="s">
        <v>138</v>
      </c>
      <c r="D484" s="4" t="s">
        <v>138</v>
      </c>
      <c r="E484" s="15" t="s">
        <v>3139</v>
      </c>
      <c r="F484" s="15" t="s">
        <v>3140</v>
      </c>
      <c r="G484" s="15" t="s">
        <v>162</v>
      </c>
      <c r="H484" s="7">
        <v>23</v>
      </c>
      <c r="I484" s="6" t="s">
        <v>9964</v>
      </c>
      <c r="J484" s="6" t="s">
        <v>40816</v>
      </c>
      <c r="K484" s="6" t="s">
        <v>38838</v>
      </c>
      <c r="L484" s="6" t="s">
        <v>38839</v>
      </c>
      <c r="M484" s="6" t="s">
        <v>40147</v>
      </c>
      <c r="N484" s="6" t="s">
        <v>38841</v>
      </c>
      <c r="O484" s="6" t="s">
        <v>40817</v>
      </c>
      <c r="P484" s="6" t="s">
        <v>40818</v>
      </c>
      <c r="Q484" s="6" t="s">
        <v>40819</v>
      </c>
      <c r="R484" s="6" t="s">
        <v>37945</v>
      </c>
      <c r="S484" s="6" t="s">
        <v>38378</v>
      </c>
      <c r="T484" s="6" t="s">
        <v>40820</v>
      </c>
      <c r="U484" s="6" t="s">
        <v>37774</v>
      </c>
      <c r="V484" s="6" t="s">
        <v>40821</v>
      </c>
      <c r="W484" s="6" t="s">
        <v>40822</v>
      </c>
      <c r="X484" s="6" t="s">
        <v>38845</v>
      </c>
      <c r="Y484" s="6" t="s">
        <v>38846</v>
      </c>
      <c r="Z484" s="6" t="s">
        <v>40376</v>
      </c>
      <c r="AA484" s="6" t="s">
        <v>38850</v>
      </c>
      <c r="AB484" s="6" t="s">
        <v>40823</v>
      </c>
      <c r="AC484" s="6" t="s">
        <v>40824</v>
      </c>
      <c r="AD484" s="6" t="s">
        <v>38851</v>
      </c>
      <c r="AE484" s="6" t="s">
        <v>40825</v>
      </c>
      <c r="AF484" s="6" t="s">
        <v>40826</v>
      </c>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row>
    <row r="485" spans="1:72">
      <c r="A485" s="8" t="s">
        <v>9968</v>
      </c>
      <c r="B485" s="11" t="s">
        <v>9973</v>
      </c>
      <c r="C485" s="9" t="s">
        <v>138</v>
      </c>
      <c r="D485" s="10" t="s">
        <v>138</v>
      </c>
      <c r="E485" s="28" t="s">
        <v>668</v>
      </c>
      <c r="F485" s="28" t="s">
        <v>200</v>
      </c>
      <c r="G485" s="28" t="s">
        <v>162</v>
      </c>
      <c r="H485" s="13">
        <v>6</v>
      </c>
      <c r="I485" s="12" t="s">
        <v>9980</v>
      </c>
      <c r="J485" s="12" t="s">
        <v>40827</v>
      </c>
      <c r="K485" s="12" t="s">
        <v>39415</v>
      </c>
      <c r="L485" s="12" t="s">
        <v>38991</v>
      </c>
      <c r="M485" s="12" t="s">
        <v>38065</v>
      </c>
      <c r="N485" s="12" t="s">
        <v>39694</v>
      </c>
      <c r="O485" s="12" t="s">
        <v>37976</v>
      </c>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row>
    <row r="486" spans="1:72">
      <c r="A486" s="2" t="s">
        <v>9983</v>
      </c>
      <c r="B486" s="5" t="s">
        <v>9988</v>
      </c>
      <c r="C486" s="3" t="s">
        <v>138</v>
      </c>
      <c r="D486" s="4" t="s">
        <v>138</v>
      </c>
      <c r="E486" s="15" t="s">
        <v>668</v>
      </c>
      <c r="F486" s="15" t="s">
        <v>200</v>
      </c>
      <c r="G486" s="15" t="s">
        <v>162</v>
      </c>
      <c r="H486" s="7">
        <v>50</v>
      </c>
      <c r="I486" s="6" t="s">
        <v>9998</v>
      </c>
      <c r="J486" s="6" t="s">
        <v>40828</v>
      </c>
      <c r="K486" s="6" t="s">
        <v>40829</v>
      </c>
      <c r="L486" s="6" t="s">
        <v>39881</v>
      </c>
      <c r="M486" s="6" t="s">
        <v>39001</v>
      </c>
      <c r="N486" s="6" t="s">
        <v>40830</v>
      </c>
      <c r="O486" s="6" t="s">
        <v>38734</v>
      </c>
      <c r="P486" s="6" t="s">
        <v>40831</v>
      </c>
      <c r="Q486" s="6" t="s">
        <v>40832</v>
      </c>
      <c r="R486" s="6" t="s">
        <v>40833</v>
      </c>
      <c r="S486" s="6" t="s">
        <v>37795</v>
      </c>
      <c r="T486" s="6" t="s">
        <v>40834</v>
      </c>
      <c r="U486" s="6" t="s">
        <v>40835</v>
      </c>
      <c r="V486" s="6" t="s">
        <v>39052</v>
      </c>
      <c r="W486" s="6" t="s">
        <v>40836</v>
      </c>
      <c r="X486" s="6" t="s">
        <v>39031</v>
      </c>
      <c r="Y486" s="6" t="s">
        <v>40837</v>
      </c>
      <c r="Z486" s="6" t="s">
        <v>40838</v>
      </c>
      <c r="AA486" s="6" t="s">
        <v>40839</v>
      </c>
      <c r="AB486" s="6" t="s">
        <v>40840</v>
      </c>
      <c r="AC486" s="6" t="s">
        <v>39865</v>
      </c>
      <c r="AD486" s="6" t="s">
        <v>40841</v>
      </c>
      <c r="AE486" s="6" t="s">
        <v>38076</v>
      </c>
      <c r="AF486" s="6" t="s">
        <v>40842</v>
      </c>
      <c r="AG486" s="6" t="s">
        <v>40843</v>
      </c>
      <c r="AH486" s="6" t="s">
        <v>37945</v>
      </c>
      <c r="AI486" s="6" t="s">
        <v>39381</v>
      </c>
      <c r="AJ486" s="6" t="s">
        <v>37881</v>
      </c>
      <c r="AK486" s="6" t="s">
        <v>38113</v>
      </c>
      <c r="AL486" s="6" t="s">
        <v>39414</v>
      </c>
      <c r="AM486" s="6" t="s">
        <v>39026</v>
      </c>
      <c r="AN486" s="6" t="s">
        <v>37910</v>
      </c>
      <c r="AO486" s="6" t="s">
        <v>38116</v>
      </c>
      <c r="AP486" s="6" t="s">
        <v>40844</v>
      </c>
      <c r="AQ486" s="6" t="s">
        <v>40845</v>
      </c>
      <c r="AR486" s="6" t="s">
        <v>40637</v>
      </c>
      <c r="AS486" s="6" t="s">
        <v>37990</v>
      </c>
      <c r="AT486" s="6" t="s">
        <v>40846</v>
      </c>
      <c r="AU486" s="6" t="s">
        <v>37991</v>
      </c>
      <c r="AV486" s="6" t="s">
        <v>37992</v>
      </c>
      <c r="AW486" s="6" t="s">
        <v>40847</v>
      </c>
      <c r="AX486" s="6" t="s">
        <v>40848</v>
      </c>
      <c r="AY486" s="6" t="s">
        <v>39180</v>
      </c>
      <c r="AZ486" s="6" t="s">
        <v>40849</v>
      </c>
      <c r="BA486" s="6" t="s">
        <v>40850</v>
      </c>
      <c r="BB486" s="6" t="s">
        <v>40851</v>
      </c>
      <c r="BC486" s="6" t="s">
        <v>40852</v>
      </c>
      <c r="BD486" s="6" t="s">
        <v>40853</v>
      </c>
      <c r="BE486" s="6" t="s">
        <v>40854</v>
      </c>
      <c r="BF486" s="6" t="s">
        <v>37783</v>
      </c>
      <c r="BG486" s="6" t="s">
        <v>38438</v>
      </c>
      <c r="BH486" s="6"/>
      <c r="BI486" s="6"/>
      <c r="BJ486" s="6"/>
      <c r="BK486" s="6"/>
      <c r="BL486" s="6"/>
      <c r="BM486" s="6"/>
      <c r="BN486" s="6"/>
      <c r="BO486" s="6"/>
      <c r="BP486" s="6"/>
      <c r="BQ486" s="6"/>
      <c r="BR486" s="6"/>
      <c r="BS486" s="6"/>
      <c r="BT486" s="6"/>
    </row>
    <row r="487" spans="1:72">
      <c r="A487" s="8" t="s">
        <v>10005</v>
      </c>
      <c r="B487" s="11" t="s">
        <v>10011</v>
      </c>
      <c r="C487" s="9" t="s">
        <v>138</v>
      </c>
      <c r="D487" s="10" t="s">
        <v>10006</v>
      </c>
      <c r="E487" s="28" t="s">
        <v>863</v>
      </c>
      <c r="F487" s="28" t="s">
        <v>864</v>
      </c>
      <c r="G487" s="28" t="s">
        <v>162</v>
      </c>
      <c r="H487" s="13">
        <v>3</v>
      </c>
      <c r="I487" s="12" t="s">
        <v>10020</v>
      </c>
      <c r="J487" s="12" t="s">
        <v>455</v>
      </c>
      <c r="K487" s="12" t="s">
        <v>40855</v>
      </c>
      <c r="L487" s="12" t="s">
        <v>40856</v>
      </c>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row>
    <row r="488" spans="1:72">
      <c r="A488" s="2" t="s">
        <v>10023</v>
      </c>
      <c r="B488" s="5" t="s">
        <v>10028</v>
      </c>
      <c r="C488" s="3" t="s">
        <v>138</v>
      </c>
      <c r="D488" s="4" t="s">
        <v>138</v>
      </c>
      <c r="E488" s="15" t="s">
        <v>2882</v>
      </c>
      <c r="F488" s="15" t="s">
        <v>2883</v>
      </c>
      <c r="G488" s="15" t="s">
        <v>162</v>
      </c>
      <c r="H488" s="7">
        <v>18</v>
      </c>
      <c r="I488" s="6" t="s">
        <v>10038</v>
      </c>
      <c r="J488" s="6" t="s">
        <v>30302</v>
      </c>
      <c r="K488" s="6" t="s">
        <v>38554</v>
      </c>
      <c r="L488" s="6" t="s">
        <v>40857</v>
      </c>
      <c r="M488" s="6" t="s">
        <v>40858</v>
      </c>
      <c r="N488" s="6" t="s">
        <v>40859</v>
      </c>
      <c r="O488" s="6" t="s">
        <v>40860</v>
      </c>
      <c r="P488" s="6" t="s">
        <v>40861</v>
      </c>
      <c r="Q488" s="6" t="s">
        <v>40862</v>
      </c>
      <c r="R488" s="6" t="s">
        <v>40863</v>
      </c>
      <c r="S488" s="6" t="s">
        <v>38057</v>
      </c>
      <c r="T488" s="6" t="s">
        <v>40864</v>
      </c>
      <c r="U488" s="6" t="s">
        <v>40865</v>
      </c>
      <c r="V488" s="6" t="s">
        <v>40866</v>
      </c>
      <c r="W488" s="6" t="s">
        <v>37932</v>
      </c>
      <c r="X488" s="6" t="s">
        <v>40867</v>
      </c>
      <c r="Y488" s="6" t="s">
        <v>40868</v>
      </c>
      <c r="Z488" s="6" t="s">
        <v>40869</v>
      </c>
      <c r="AA488" s="6" t="s">
        <v>40870</v>
      </c>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row>
    <row r="489" spans="1:72">
      <c r="A489" s="8" t="s">
        <v>10043</v>
      </c>
      <c r="B489" s="11" t="s">
        <v>10050</v>
      </c>
      <c r="C489" s="9" t="s">
        <v>138</v>
      </c>
      <c r="D489" s="10" t="s">
        <v>138</v>
      </c>
      <c r="E489" s="28" t="s">
        <v>426</v>
      </c>
      <c r="F489" s="28" t="s">
        <v>426</v>
      </c>
      <c r="G489" s="28" t="s">
        <v>162</v>
      </c>
      <c r="H489" s="13">
        <v>10</v>
      </c>
      <c r="I489" s="12" t="s">
        <v>10058</v>
      </c>
      <c r="J489" s="12" t="s">
        <v>40871</v>
      </c>
      <c r="K489" s="12" t="s">
        <v>37936</v>
      </c>
      <c r="L489" s="12" t="s">
        <v>38997</v>
      </c>
      <c r="M489" s="12" t="s">
        <v>38721</v>
      </c>
      <c r="N489" s="12" t="s">
        <v>40872</v>
      </c>
      <c r="O489" s="12" t="s">
        <v>39057</v>
      </c>
      <c r="P489" s="12" t="s">
        <v>38688</v>
      </c>
      <c r="Q489" s="12" t="s">
        <v>40873</v>
      </c>
      <c r="R489" s="12" t="s">
        <v>38321</v>
      </c>
      <c r="S489" s="12" t="s">
        <v>38157</v>
      </c>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2"/>
    </row>
    <row r="490" spans="1:72">
      <c r="A490" s="2" t="s">
        <v>10063</v>
      </c>
      <c r="B490" s="5" t="s">
        <v>10068</v>
      </c>
      <c r="C490" s="3" t="s">
        <v>138</v>
      </c>
      <c r="D490" s="4" t="s">
        <v>10064</v>
      </c>
      <c r="E490" s="15" t="s">
        <v>966</v>
      </c>
      <c r="F490" s="15" t="s">
        <v>200</v>
      </c>
      <c r="G490" s="15" t="s">
        <v>162</v>
      </c>
      <c r="H490" s="7">
        <v>26</v>
      </c>
      <c r="I490" s="6" t="s">
        <v>10078</v>
      </c>
      <c r="J490" s="6" t="s">
        <v>40874</v>
      </c>
      <c r="K490" s="6" t="s">
        <v>40875</v>
      </c>
      <c r="L490" s="6" t="s">
        <v>40876</v>
      </c>
      <c r="M490" s="6" t="s">
        <v>40877</v>
      </c>
      <c r="N490" s="6" t="s">
        <v>39917</v>
      </c>
      <c r="O490" s="6" t="s">
        <v>37908</v>
      </c>
      <c r="P490" s="6" t="s">
        <v>37943</v>
      </c>
      <c r="Q490" s="6" t="s">
        <v>40878</v>
      </c>
      <c r="R490" s="6" t="s">
        <v>40003</v>
      </c>
      <c r="S490" s="6" t="s">
        <v>38593</v>
      </c>
      <c r="T490" s="6" t="s">
        <v>38803</v>
      </c>
      <c r="U490" s="6" t="s">
        <v>38700</v>
      </c>
      <c r="V490" s="6" t="s">
        <v>37791</v>
      </c>
      <c r="W490" s="6" t="s">
        <v>40879</v>
      </c>
      <c r="X490" s="6" t="s">
        <v>38062</v>
      </c>
      <c r="Y490" s="6" t="s">
        <v>40880</v>
      </c>
      <c r="Z490" s="6" t="s">
        <v>38319</v>
      </c>
      <c r="AA490" s="6" t="s">
        <v>38320</v>
      </c>
      <c r="AB490" s="6" t="s">
        <v>40881</v>
      </c>
      <c r="AC490" s="6" t="s">
        <v>40882</v>
      </c>
      <c r="AD490" s="6" t="s">
        <v>37891</v>
      </c>
      <c r="AE490" s="6" t="s">
        <v>38505</v>
      </c>
      <c r="AF490" s="6" t="s">
        <v>40869</v>
      </c>
      <c r="AG490" s="6" t="s">
        <v>40883</v>
      </c>
      <c r="AH490" s="6" t="s">
        <v>37975</v>
      </c>
      <c r="AI490" s="6" t="s">
        <v>38326</v>
      </c>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6"/>
      <c r="BT490" s="6"/>
    </row>
    <row r="491" spans="1:72">
      <c r="A491" s="8" t="s">
        <v>10081</v>
      </c>
      <c r="B491" s="11" t="s">
        <v>10087</v>
      </c>
      <c r="C491" s="9" t="s">
        <v>138</v>
      </c>
      <c r="D491" s="10" t="s">
        <v>10082</v>
      </c>
      <c r="E491" s="28" t="s">
        <v>449</v>
      </c>
      <c r="F491" s="28" t="s">
        <v>138</v>
      </c>
      <c r="G491" s="28" t="s">
        <v>450</v>
      </c>
      <c r="H491" s="13">
        <v>17</v>
      </c>
      <c r="I491" s="12" t="s">
        <v>10092</v>
      </c>
      <c r="J491" s="12" t="s">
        <v>40884</v>
      </c>
      <c r="K491" s="12" t="s">
        <v>40885</v>
      </c>
      <c r="L491" s="12" t="s">
        <v>40886</v>
      </c>
      <c r="M491" s="12" t="s">
        <v>38057</v>
      </c>
      <c r="N491" s="12" t="s">
        <v>40887</v>
      </c>
      <c r="O491" s="12" t="s">
        <v>40888</v>
      </c>
      <c r="P491" s="12" t="s">
        <v>40889</v>
      </c>
      <c r="Q491" s="12" t="s">
        <v>40890</v>
      </c>
      <c r="R491" s="12" t="s">
        <v>40891</v>
      </c>
      <c r="S491" s="12" t="s">
        <v>40892</v>
      </c>
      <c r="T491" s="12" t="s">
        <v>40893</v>
      </c>
      <c r="U491" s="12" t="s">
        <v>39221</v>
      </c>
      <c r="V491" s="12" t="s">
        <v>38671</v>
      </c>
      <c r="W491" s="12" t="s">
        <v>40894</v>
      </c>
      <c r="X491" s="12" t="s">
        <v>40895</v>
      </c>
      <c r="Y491" s="12" t="s">
        <v>40896</v>
      </c>
      <c r="Z491" s="12" t="s">
        <v>40897</v>
      </c>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row>
    <row r="492" spans="1:72">
      <c r="A492" s="2" t="s">
        <v>10095</v>
      </c>
      <c r="B492" s="5" t="s">
        <v>10099</v>
      </c>
      <c r="C492" s="3" t="s">
        <v>10096</v>
      </c>
      <c r="D492" s="4" t="s">
        <v>138</v>
      </c>
      <c r="E492" s="15" t="s">
        <v>10108</v>
      </c>
      <c r="F492" s="15" t="s">
        <v>6898</v>
      </c>
      <c r="G492" s="15" t="s">
        <v>162</v>
      </c>
      <c r="H492" s="7">
        <v>7</v>
      </c>
      <c r="I492" s="6" t="s">
        <v>10112</v>
      </c>
      <c r="J492" s="6" t="s">
        <v>40898</v>
      </c>
      <c r="K492" s="6" t="s">
        <v>40899</v>
      </c>
      <c r="L492" s="6" t="s">
        <v>40111</v>
      </c>
      <c r="M492" s="6" t="s">
        <v>37922</v>
      </c>
      <c r="N492" s="6" t="s">
        <v>40900</v>
      </c>
      <c r="O492" s="6" t="s">
        <v>40901</v>
      </c>
      <c r="P492" s="6" t="s">
        <v>38145</v>
      </c>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6"/>
      <c r="BT492" s="6"/>
    </row>
    <row r="493" spans="1:72">
      <c r="A493" s="8" t="s">
        <v>10116</v>
      </c>
      <c r="B493" s="11" t="s">
        <v>10121</v>
      </c>
      <c r="C493" s="9" t="s">
        <v>138</v>
      </c>
      <c r="D493" s="10" t="s">
        <v>138</v>
      </c>
      <c r="E493" s="28" t="s">
        <v>668</v>
      </c>
      <c r="F493" s="28" t="s">
        <v>200</v>
      </c>
      <c r="G493" s="28" t="s">
        <v>162</v>
      </c>
      <c r="H493" s="13">
        <v>6</v>
      </c>
      <c r="I493" s="12" t="s">
        <v>10129</v>
      </c>
      <c r="J493" s="12" t="s">
        <v>40902</v>
      </c>
      <c r="K493" s="12" t="s">
        <v>38322</v>
      </c>
      <c r="L493" s="12" t="s">
        <v>38200</v>
      </c>
      <c r="M493" s="12" t="s">
        <v>40903</v>
      </c>
      <c r="N493" s="12" t="s">
        <v>40904</v>
      </c>
      <c r="O493" s="12" t="s">
        <v>40905</v>
      </c>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row>
    <row r="494" spans="1:72">
      <c r="A494" s="2" t="s">
        <v>10133</v>
      </c>
      <c r="B494" s="5" t="s">
        <v>10138</v>
      </c>
      <c r="C494" s="3" t="s">
        <v>138</v>
      </c>
      <c r="D494" s="4" t="s">
        <v>138</v>
      </c>
      <c r="E494" s="15" t="s">
        <v>10147</v>
      </c>
      <c r="F494" s="15" t="s">
        <v>864</v>
      </c>
      <c r="G494" s="15" t="s">
        <v>162</v>
      </c>
      <c r="H494" s="7">
        <v>11</v>
      </c>
      <c r="I494" s="6" t="s">
        <v>10152</v>
      </c>
      <c r="J494" s="6" t="s">
        <v>40906</v>
      </c>
      <c r="K494" s="6" t="s">
        <v>37822</v>
      </c>
      <c r="L494" s="6" t="s">
        <v>40907</v>
      </c>
      <c r="M494" s="6" t="s">
        <v>40908</v>
      </c>
      <c r="N494" s="6" t="s">
        <v>40738</v>
      </c>
      <c r="O494" s="6" t="s">
        <v>37839</v>
      </c>
      <c r="P494" s="6" t="s">
        <v>40909</v>
      </c>
      <c r="Q494" s="6" t="s">
        <v>40910</v>
      </c>
      <c r="R494" s="6" t="s">
        <v>38084</v>
      </c>
      <c r="S494" s="6" t="s">
        <v>40911</v>
      </c>
      <c r="T494" s="6" t="s">
        <v>40912</v>
      </c>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c r="BS494" s="6"/>
      <c r="BT494" s="6"/>
    </row>
    <row r="495" spans="1:72">
      <c r="A495" s="8" t="s">
        <v>10155</v>
      </c>
      <c r="B495" s="11" t="s">
        <v>10161</v>
      </c>
      <c r="C495" s="9" t="s">
        <v>10156</v>
      </c>
      <c r="D495" s="10" t="s">
        <v>138</v>
      </c>
      <c r="E495" s="28" t="s">
        <v>426</v>
      </c>
      <c r="F495" s="28" t="s">
        <v>426</v>
      </c>
      <c r="G495" s="28" t="s">
        <v>162</v>
      </c>
      <c r="H495" s="13">
        <v>9</v>
      </c>
      <c r="I495" s="12" t="s">
        <v>10169</v>
      </c>
      <c r="J495" s="12" t="s">
        <v>40913</v>
      </c>
      <c r="K495" s="12" t="s">
        <v>39002</v>
      </c>
      <c r="L495" s="12" t="s">
        <v>39924</v>
      </c>
      <c r="M495" s="12" t="s">
        <v>38175</v>
      </c>
      <c r="N495" s="12" t="s">
        <v>40914</v>
      </c>
      <c r="O495" s="12" t="s">
        <v>37819</v>
      </c>
      <c r="P495" s="12" t="s">
        <v>40915</v>
      </c>
      <c r="Q495" s="12" t="s">
        <v>40916</v>
      </c>
      <c r="R495" s="12" t="s">
        <v>40917</v>
      </c>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row>
    <row r="496" spans="1:72">
      <c r="A496" s="2" t="s">
        <v>10172</v>
      </c>
      <c r="B496" s="5" t="s">
        <v>10178</v>
      </c>
      <c r="C496" s="3" t="s">
        <v>10173</v>
      </c>
      <c r="D496" s="4" t="s">
        <v>138</v>
      </c>
      <c r="E496" s="15" t="s">
        <v>10186</v>
      </c>
      <c r="F496" s="15" t="s">
        <v>474</v>
      </c>
      <c r="G496" s="15" t="s">
        <v>162</v>
      </c>
      <c r="H496" s="7">
        <v>9</v>
      </c>
      <c r="I496" s="6" t="s">
        <v>10190</v>
      </c>
      <c r="J496" s="6" t="s">
        <v>40605</v>
      </c>
      <c r="K496" s="6" t="s">
        <v>40918</v>
      </c>
      <c r="L496" s="6" t="s">
        <v>40919</v>
      </c>
      <c r="M496" s="6" t="s">
        <v>38114</v>
      </c>
      <c r="N496" s="6" t="s">
        <v>39463</v>
      </c>
      <c r="O496" s="6" t="s">
        <v>40920</v>
      </c>
      <c r="P496" s="6" t="s">
        <v>40921</v>
      </c>
      <c r="Q496" s="6" t="s">
        <v>38066</v>
      </c>
      <c r="R496" s="6" t="s">
        <v>38200</v>
      </c>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row>
    <row r="497" spans="1:72">
      <c r="A497" s="8" t="s">
        <v>10196</v>
      </c>
      <c r="B497" s="11" t="s">
        <v>10201</v>
      </c>
      <c r="C497" s="9" t="s">
        <v>138</v>
      </c>
      <c r="D497" s="10" t="s">
        <v>138</v>
      </c>
      <c r="E497" s="28" t="s">
        <v>966</v>
      </c>
      <c r="F497" s="28" t="s">
        <v>200</v>
      </c>
      <c r="G497" s="28" t="s">
        <v>162</v>
      </c>
      <c r="H497" s="13">
        <v>5</v>
      </c>
      <c r="I497" s="12" t="s">
        <v>10209</v>
      </c>
      <c r="J497" s="12" t="s">
        <v>5015</v>
      </c>
      <c r="K497" s="12" t="s">
        <v>39394</v>
      </c>
      <c r="L497" s="12" t="s">
        <v>37839</v>
      </c>
      <c r="M497" s="12" t="s">
        <v>40922</v>
      </c>
      <c r="N497" s="12" t="s">
        <v>39071</v>
      </c>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row>
    <row r="498" spans="1:72">
      <c r="A498" s="2" t="s">
        <v>10212</v>
      </c>
      <c r="B498" s="5" t="s">
        <v>10215</v>
      </c>
      <c r="C498" s="3" t="s">
        <v>138</v>
      </c>
      <c r="D498" s="4" t="s">
        <v>138</v>
      </c>
      <c r="E498" s="15" t="s">
        <v>5720</v>
      </c>
      <c r="F498" s="15" t="s">
        <v>138</v>
      </c>
      <c r="G498" s="15" t="s">
        <v>946</v>
      </c>
      <c r="H498" s="7" t="s">
        <v>138</v>
      </c>
      <c r="I498" s="6" t="s">
        <v>138</v>
      </c>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c r="BS498" s="6"/>
      <c r="BT498" s="6"/>
    </row>
    <row r="499" spans="1:72">
      <c r="A499" s="8" t="s">
        <v>10227</v>
      </c>
      <c r="B499" s="11" t="s">
        <v>10231</v>
      </c>
      <c r="C499" s="9" t="s">
        <v>138</v>
      </c>
      <c r="D499" s="10" t="s">
        <v>138</v>
      </c>
      <c r="E499" s="28" t="s">
        <v>1294</v>
      </c>
      <c r="F499" s="28" t="s">
        <v>864</v>
      </c>
      <c r="G499" s="28" t="s">
        <v>162</v>
      </c>
      <c r="H499" s="13">
        <v>11</v>
      </c>
      <c r="I499" s="12" t="s">
        <v>10240</v>
      </c>
      <c r="J499" s="12" t="s">
        <v>39401</v>
      </c>
      <c r="K499" s="12" t="s">
        <v>38412</v>
      </c>
      <c r="L499" s="12" t="s">
        <v>39412</v>
      </c>
      <c r="M499" s="12" t="s">
        <v>40923</v>
      </c>
      <c r="N499" s="12" t="s">
        <v>38779</v>
      </c>
      <c r="O499" s="12" t="s">
        <v>37910</v>
      </c>
      <c r="P499" s="12" t="s">
        <v>38062</v>
      </c>
      <c r="Q499" s="12" t="s">
        <v>37992</v>
      </c>
      <c r="R499" s="12" t="s">
        <v>40924</v>
      </c>
      <c r="S499" s="12" t="s">
        <v>38948</v>
      </c>
      <c r="T499" s="12" t="s">
        <v>37781</v>
      </c>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row>
    <row r="500" spans="1:72">
      <c r="A500" s="2" t="s">
        <v>10245</v>
      </c>
      <c r="B500" s="5" t="s">
        <v>10250</v>
      </c>
      <c r="C500" s="3" t="s">
        <v>138</v>
      </c>
      <c r="D500" s="4" t="s">
        <v>10246</v>
      </c>
      <c r="E500" s="15" t="s">
        <v>10259</v>
      </c>
      <c r="F500" s="15" t="s">
        <v>10260</v>
      </c>
      <c r="G500" s="15" t="s">
        <v>2333</v>
      </c>
      <c r="H500" s="7">
        <v>3</v>
      </c>
      <c r="I500" s="6" t="s">
        <v>10264</v>
      </c>
      <c r="J500" s="6" t="s">
        <v>16877</v>
      </c>
      <c r="K500" s="6" t="s">
        <v>40925</v>
      </c>
      <c r="L500" s="6" t="s">
        <v>40926</v>
      </c>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row>
    <row r="501" spans="1:72">
      <c r="A501" s="8" t="s">
        <v>10272</v>
      </c>
      <c r="B501" s="11" t="s">
        <v>10278</v>
      </c>
      <c r="C501" s="9" t="s">
        <v>10273</v>
      </c>
      <c r="D501" s="10" t="s">
        <v>138</v>
      </c>
      <c r="E501" s="28" t="s">
        <v>6650</v>
      </c>
      <c r="F501" s="28" t="s">
        <v>200</v>
      </c>
      <c r="G501" s="28" t="s">
        <v>162</v>
      </c>
      <c r="H501" s="13">
        <v>1</v>
      </c>
      <c r="I501" s="12" t="s">
        <v>10289</v>
      </c>
      <c r="J501" s="12" t="s">
        <v>10289</v>
      </c>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row>
    <row r="502" spans="1:72">
      <c r="A502" s="2" t="s">
        <v>10298</v>
      </c>
      <c r="B502" s="5" t="s">
        <v>10304</v>
      </c>
      <c r="C502" s="3" t="s">
        <v>138</v>
      </c>
      <c r="D502" s="4" t="s">
        <v>138</v>
      </c>
      <c r="E502" s="15" t="s">
        <v>10312</v>
      </c>
      <c r="F502" s="15" t="s">
        <v>200</v>
      </c>
      <c r="G502" s="15" t="s">
        <v>162</v>
      </c>
      <c r="H502" s="7">
        <v>5</v>
      </c>
      <c r="I502" s="6" t="s">
        <v>10317</v>
      </c>
      <c r="J502" s="6" t="s">
        <v>40241</v>
      </c>
      <c r="K502" s="6" t="s">
        <v>37879</v>
      </c>
      <c r="L502" s="6" t="s">
        <v>40927</v>
      </c>
      <c r="M502" s="6" t="s">
        <v>38182</v>
      </c>
      <c r="N502" s="6" t="s">
        <v>40928</v>
      </c>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row>
    <row r="503" spans="1:72">
      <c r="A503" s="8" t="s">
        <v>10323</v>
      </c>
      <c r="B503" s="11" t="s">
        <v>10330</v>
      </c>
      <c r="C503" s="9" t="s">
        <v>10324</v>
      </c>
      <c r="D503" s="10" t="s">
        <v>138</v>
      </c>
      <c r="E503" s="28" t="s">
        <v>7079</v>
      </c>
      <c r="F503" s="28" t="s">
        <v>200</v>
      </c>
      <c r="G503" s="28" t="s">
        <v>162</v>
      </c>
      <c r="H503" s="13">
        <v>15</v>
      </c>
      <c r="I503" s="12" t="s">
        <v>10338</v>
      </c>
      <c r="J503" s="12" t="s">
        <v>40929</v>
      </c>
      <c r="K503" s="12" t="s">
        <v>40930</v>
      </c>
      <c r="L503" s="12" t="s">
        <v>40931</v>
      </c>
      <c r="M503" s="12" t="s">
        <v>40189</v>
      </c>
      <c r="N503" s="12" t="s">
        <v>40932</v>
      </c>
      <c r="O503" s="12" t="s">
        <v>40933</v>
      </c>
      <c r="P503" s="12" t="s">
        <v>40934</v>
      </c>
      <c r="Q503" s="12" t="s">
        <v>40935</v>
      </c>
      <c r="R503" s="12" t="s">
        <v>40693</v>
      </c>
      <c r="S503" s="12" t="s">
        <v>39635</v>
      </c>
      <c r="T503" s="12" t="s">
        <v>40936</v>
      </c>
      <c r="U503" s="12" t="s">
        <v>40937</v>
      </c>
      <c r="V503" s="12" t="s">
        <v>40938</v>
      </c>
      <c r="W503" s="12" t="s">
        <v>40939</v>
      </c>
      <c r="X503" s="12" t="s">
        <v>40940</v>
      </c>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row>
    <row r="504" spans="1:72">
      <c r="A504" s="2" t="s">
        <v>10344</v>
      </c>
      <c r="B504" s="5" t="s">
        <v>10349</v>
      </c>
      <c r="C504" s="3" t="s">
        <v>138</v>
      </c>
      <c r="D504" s="4" t="s">
        <v>138</v>
      </c>
      <c r="E504" s="15" t="s">
        <v>966</v>
      </c>
      <c r="F504" s="15" t="s">
        <v>200</v>
      </c>
      <c r="G504" s="15" t="s">
        <v>162</v>
      </c>
      <c r="H504" s="7">
        <v>17</v>
      </c>
      <c r="I504" s="6" t="s">
        <v>10361</v>
      </c>
      <c r="J504" s="6" t="s">
        <v>37811</v>
      </c>
      <c r="K504" s="6" t="s">
        <v>40941</v>
      </c>
      <c r="L504" s="6" t="s">
        <v>38106</v>
      </c>
      <c r="M504" s="6" t="s">
        <v>38964</v>
      </c>
      <c r="N504" s="6" t="s">
        <v>39959</v>
      </c>
      <c r="O504" s="6" t="s">
        <v>37786</v>
      </c>
      <c r="P504" s="6" t="s">
        <v>37953</v>
      </c>
      <c r="Q504" s="6" t="s">
        <v>38203</v>
      </c>
      <c r="R504" s="6" t="s">
        <v>39078</v>
      </c>
      <c r="S504" s="6" t="s">
        <v>38323</v>
      </c>
      <c r="T504" s="6" t="s">
        <v>38200</v>
      </c>
      <c r="U504" s="6" t="s">
        <v>39209</v>
      </c>
      <c r="V504" s="6" t="s">
        <v>37971</v>
      </c>
      <c r="W504" s="6" t="s">
        <v>38907</v>
      </c>
      <c r="X504" s="6" t="s">
        <v>38201</v>
      </c>
      <c r="Y504" s="6" t="s">
        <v>38753</v>
      </c>
      <c r="Z504" s="6" t="s">
        <v>40942</v>
      </c>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row>
    <row r="505" spans="1:72">
      <c r="A505" s="8" t="s">
        <v>10365</v>
      </c>
      <c r="B505" s="11" t="s">
        <v>10369</v>
      </c>
      <c r="C505" s="9" t="s">
        <v>138</v>
      </c>
      <c r="D505" s="10" t="s">
        <v>138</v>
      </c>
      <c r="E505" s="28" t="s">
        <v>642</v>
      </c>
      <c r="F505" s="28" t="s">
        <v>474</v>
      </c>
      <c r="G505" s="28" t="s">
        <v>162</v>
      </c>
      <c r="H505" s="13">
        <v>1</v>
      </c>
      <c r="I505" s="12" t="s">
        <v>10378</v>
      </c>
      <c r="J505" s="12" t="s">
        <v>10378</v>
      </c>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row>
    <row r="506" spans="1:72">
      <c r="A506" s="2" t="s">
        <v>10381</v>
      </c>
      <c r="B506" s="5" t="s">
        <v>10386</v>
      </c>
      <c r="C506" s="3" t="s">
        <v>10382</v>
      </c>
      <c r="D506" s="4" t="s">
        <v>138</v>
      </c>
      <c r="E506" s="15" t="s">
        <v>668</v>
      </c>
      <c r="F506" s="15" t="s">
        <v>200</v>
      </c>
      <c r="G506" s="15" t="s">
        <v>162</v>
      </c>
      <c r="H506" s="7">
        <v>5</v>
      </c>
      <c r="I506" s="6" t="s">
        <v>10398</v>
      </c>
      <c r="J506" s="6" t="s">
        <v>39545</v>
      </c>
      <c r="K506" s="6" t="s">
        <v>40943</v>
      </c>
      <c r="L506" s="6" t="s">
        <v>38511</v>
      </c>
      <c r="M506" s="6" t="s">
        <v>40944</v>
      </c>
      <c r="N506" s="6" t="s">
        <v>40945</v>
      </c>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row>
    <row r="507" spans="1:72">
      <c r="A507" s="8" t="s">
        <v>10403</v>
      </c>
      <c r="B507" s="11" t="s">
        <v>10408</v>
      </c>
      <c r="C507" s="9" t="s">
        <v>10404</v>
      </c>
      <c r="D507" s="10" t="s">
        <v>138</v>
      </c>
      <c r="E507" s="28" t="s">
        <v>10416</v>
      </c>
      <c r="F507" s="28" t="s">
        <v>138</v>
      </c>
      <c r="G507" s="28" t="s">
        <v>10418</v>
      </c>
      <c r="H507" s="13">
        <v>12</v>
      </c>
      <c r="I507" s="12" t="s">
        <v>10421</v>
      </c>
      <c r="J507" s="12" t="s">
        <v>40946</v>
      </c>
      <c r="K507" s="12" t="s">
        <v>40947</v>
      </c>
      <c r="L507" s="12" t="s">
        <v>40948</v>
      </c>
      <c r="M507" s="12" t="s">
        <v>40949</v>
      </c>
      <c r="N507" s="12" t="s">
        <v>40950</v>
      </c>
      <c r="O507" s="12" t="s">
        <v>37998</v>
      </c>
      <c r="P507" s="12" t="s">
        <v>40951</v>
      </c>
      <c r="Q507" s="12" t="s">
        <v>37770</v>
      </c>
      <c r="R507" s="12" t="s">
        <v>40952</v>
      </c>
      <c r="S507" s="12" t="s">
        <v>38626</v>
      </c>
      <c r="T507" s="12" t="s">
        <v>40953</v>
      </c>
      <c r="U507" s="12" t="s">
        <v>40954</v>
      </c>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row>
    <row r="508" spans="1:72">
      <c r="A508" s="2" t="s">
        <v>10425</v>
      </c>
      <c r="B508" s="5" t="s">
        <v>10430</v>
      </c>
      <c r="C508" s="3" t="s">
        <v>138</v>
      </c>
      <c r="D508" s="4" t="s">
        <v>138</v>
      </c>
      <c r="E508" s="15" t="s">
        <v>2845</v>
      </c>
      <c r="F508" s="15" t="s">
        <v>200</v>
      </c>
      <c r="G508" s="15" t="s">
        <v>162</v>
      </c>
      <c r="H508" s="7">
        <v>7</v>
      </c>
      <c r="I508" s="6" t="s">
        <v>10441</v>
      </c>
      <c r="J508" s="6" t="s">
        <v>40955</v>
      </c>
      <c r="K508" s="6" t="s">
        <v>40956</v>
      </c>
      <c r="L508" s="6" t="s">
        <v>38547</v>
      </c>
      <c r="M508" s="6" t="s">
        <v>40737</v>
      </c>
      <c r="N508" s="6" t="s">
        <v>38770</v>
      </c>
      <c r="O508" s="6" t="s">
        <v>37839</v>
      </c>
      <c r="P508" s="6" t="s">
        <v>40957</v>
      </c>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row>
    <row r="509" spans="1:72">
      <c r="A509" s="8" t="s">
        <v>10448</v>
      </c>
      <c r="B509" s="11" t="s">
        <v>10452</v>
      </c>
      <c r="C509" s="9" t="s">
        <v>138</v>
      </c>
      <c r="D509" s="10" t="s">
        <v>138</v>
      </c>
      <c r="E509" s="28" t="s">
        <v>1516</v>
      </c>
      <c r="F509" s="28" t="s">
        <v>284</v>
      </c>
      <c r="G509" s="28" t="s">
        <v>162</v>
      </c>
      <c r="H509" s="13">
        <v>11</v>
      </c>
      <c r="I509" s="12" t="s">
        <v>10462</v>
      </c>
      <c r="J509" s="12" t="s">
        <v>455</v>
      </c>
      <c r="K509" s="12" t="s">
        <v>40958</v>
      </c>
      <c r="L509" s="12" t="s">
        <v>37774</v>
      </c>
      <c r="M509" s="12" t="s">
        <v>40638</v>
      </c>
      <c r="N509" s="12" t="s">
        <v>38189</v>
      </c>
      <c r="O509" s="12" t="s">
        <v>40959</v>
      </c>
      <c r="P509" s="12" t="s">
        <v>37802</v>
      </c>
      <c r="Q509" s="12" t="s">
        <v>40880</v>
      </c>
      <c r="R509" s="12" t="s">
        <v>38085</v>
      </c>
      <c r="S509" s="12" t="s">
        <v>40359</v>
      </c>
      <c r="T509" s="12" t="s">
        <v>38895</v>
      </c>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row>
    <row r="510" spans="1:72">
      <c r="A510" s="2" t="s">
        <v>10465</v>
      </c>
      <c r="B510" s="5" t="s">
        <v>10470</v>
      </c>
      <c r="C510" s="3" t="s">
        <v>10466</v>
      </c>
      <c r="D510" s="4" t="s">
        <v>138</v>
      </c>
      <c r="E510" s="15" t="s">
        <v>668</v>
      </c>
      <c r="F510" s="15" t="s">
        <v>200</v>
      </c>
      <c r="G510" s="15" t="s">
        <v>162</v>
      </c>
      <c r="H510" s="7">
        <v>9</v>
      </c>
      <c r="I510" s="6" t="s">
        <v>10479</v>
      </c>
      <c r="J510" s="6" t="s">
        <v>39015</v>
      </c>
      <c r="K510" s="6" t="s">
        <v>40960</v>
      </c>
      <c r="L510" s="6" t="s">
        <v>38354</v>
      </c>
      <c r="M510" s="6" t="s">
        <v>37786</v>
      </c>
      <c r="N510" s="6" t="s">
        <v>39581</v>
      </c>
      <c r="O510" s="6" t="s">
        <v>40358</v>
      </c>
      <c r="P510" s="6" t="s">
        <v>40444</v>
      </c>
      <c r="Q510" s="6" t="s">
        <v>40961</v>
      </c>
      <c r="R510" s="6" t="s">
        <v>40591</v>
      </c>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row>
    <row r="511" spans="1:72">
      <c r="A511" s="8" t="s">
        <v>10482</v>
      </c>
      <c r="B511" s="11" t="s">
        <v>10488</v>
      </c>
      <c r="C511" s="9" t="s">
        <v>138</v>
      </c>
      <c r="D511" s="10" t="s">
        <v>138</v>
      </c>
      <c r="E511" s="28" t="s">
        <v>1638</v>
      </c>
      <c r="F511" s="28" t="s">
        <v>200</v>
      </c>
      <c r="G511" s="28" t="s">
        <v>162</v>
      </c>
      <c r="H511" s="13">
        <v>3</v>
      </c>
      <c r="I511" s="12" t="s">
        <v>10497</v>
      </c>
      <c r="J511" s="12" t="s">
        <v>3737</v>
      </c>
      <c r="K511" s="12" t="s">
        <v>38324</v>
      </c>
      <c r="L511" s="12" t="s">
        <v>39466</v>
      </c>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row>
    <row r="512" spans="1:72">
      <c r="A512" s="2" t="s">
        <v>10501</v>
      </c>
      <c r="B512" s="5" t="s">
        <v>10504</v>
      </c>
      <c r="C512" s="3" t="s">
        <v>138</v>
      </c>
      <c r="D512" s="4" t="s">
        <v>138</v>
      </c>
      <c r="E512" s="15" t="s">
        <v>10514</v>
      </c>
      <c r="F512" s="15" t="s">
        <v>138</v>
      </c>
      <c r="G512" s="15" t="s">
        <v>4444</v>
      </c>
      <c r="H512" s="7">
        <v>6</v>
      </c>
      <c r="I512" s="6" t="s">
        <v>10519</v>
      </c>
      <c r="J512" s="6" t="s">
        <v>38274</v>
      </c>
      <c r="K512" s="6" t="s">
        <v>40962</v>
      </c>
      <c r="L512" s="6" t="s">
        <v>40963</v>
      </c>
      <c r="M512" s="6" t="s">
        <v>40964</v>
      </c>
      <c r="N512" s="6" t="s">
        <v>40965</v>
      </c>
      <c r="O512" s="6" t="s">
        <v>40966</v>
      </c>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row>
    <row r="513" spans="1:72">
      <c r="A513" s="8" t="s">
        <v>10524</v>
      </c>
      <c r="B513" s="11" t="s">
        <v>10530</v>
      </c>
      <c r="C513" s="9" t="s">
        <v>138</v>
      </c>
      <c r="D513" s="10" t="s">
        <v>138</v>
      </c>
      <c r="E513" s="28" t="s">
        <v>10537</v>
      </c>
      <c r="F513" s="28" t="s">
        <v>5271</v>
      </c>
      <c r="G513" s="28" t="s">
        <v>162</v>
      </c>
      <c r="H513" s="13">
        <v>9</v>
      </c>
      <c r="I513" s="12" t="s">
        <v>10541</v>
      </c>
      <c r="J513" s="12" t="s">
        <v>38930</v>
      </c>
      <c r="K513" s="12" t="s">
        <v>38162</v>
      </c>
      <c r="L513" s="12" t="s">
        <v>40967</v>
      </c>
      <c r="M513" s="12" t="s">
        <v>40968</v>
      </c>
      <c r="N513" s="12" t="s">
        <v>40635</v>
      </c>
      <c r="O513" s="12" t="s">
        <v>40969</v>
      </c>
      <c r="P513" s="12" t="s">
        <v>38083</v>
      </c>
      <c r="Q513" s="12" t="s">
        <v>38200</v>
      </c>
      <c r="R513" s="12" t="s">
        <v>38852</v>
      </c>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row>
    <row r="514" spans="1:72">
      <c r="A514" s="2" t="s">
        <v>10544</v>
      </c>
      <c r="B514" s="5" t="s">
        <v>10551</v>
      </c>
      <c r="C514" s="3" t="s">
        <v>10545</v>
      </c>
      <c r="D514" s="4" t="s">
        <v>138</v>
      </c>
      <c r="E514" s="15" t="s">
        <v>863</v>
      </c>
      <c r="F514" s="15" t="s">
        <v>864</v>
      </c>
      <c r="G514" s="15" t="s">
        <v>162</v>
      </c>
      <c r="H514" s="7">
        <v>11</v>
      </c>
      <c r="I514" s="6" t="s">
        <v>10560</v>
      </c>
      <c r="J514" s="6" t="s">
        <v>32972</v>
      </c>
      <c r="K514" s="6" t="s">
        <v>40970</v>
      </c>
      <c r="L514" s="6" t="s">
        <v>38412</v>
      </c>
      <c r="M514" s="6" t="s">
        <v>38882</v>
      </c>
      <c r="N514" s="6" t="s">
        <v>39277</v>
      </c>
      <c r="O514" s="6" t="s">
        <v>38803</v>
      </c>
      <c r="P514" s="6" t="s">
        <v>40971</v>
      </c>
      <c r="Q514" s="6" t="s">
        <v>40972</v>
      </c>
      <c r="R514" s="6" t="s">
        <v>38083</v>
      </c>
      <c r="S514" s="6" t="s">
        <v>40119</v>
      </c>
      <c r="T514" s="6" t="s">
        <v>38363</v>
      </c>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row>
    <row r="515" spans="1:72">
      <c r="A515" s="8" t="s">
        <v>10564</v>
      </c>
      <c r="B515" s="11" t="s">
        <v>10571</v>
      </c>
      <c r="C515" s="9" t="s">
        <v>10565</v>
      </c>
      <c r="D515" s="10" t="s">
        <v>138</v>
      </c>
      <c r="E515" s="28" t="s">
        <v>10537</v>
      </c>
      <c r="F515" s="28" t="s">
        <v>5271</v>
      </c>
      <c r="G515" s="28" t="s">
        <v>162</v>
      </c>
      <c r="H515" s="13">
        <v>14</v>
      </c>
      <c r="I515" s="12" t="s">
        <v>10577</v>
      </c>
      <c r="J515" s="12" t="s">
        <v>25820</v>
      </c>
      <c r="K515" s="12" t="s">
        <v>39315</v>
      </c>
      <c r="L515" s="12" t="s">
        <v>40973</v>
      </c>
      <c r="M515" s="12" t="s">
        <v>40974</v>
      </c>
      <c r="N515" s="12" t="s">
        <v>40975</v>
      </c>
      <c r="O515" s="12" t="s">
        <v>40976</v>
      </c>
      <c r="P515" s="12" t="s">
        <v>37822</v>
      </c>
      <c r="Q515" s="12" t="s">
        <v>37928</v>
      </c>
      <c r="R515" s="12" t="s">
        <v>40977</v>
      </c>
      <c r="S515" s="12" t="s">
        <v>40978</v>
      </c>
      <c r="T515" s="12" t="s">
        <v>40979</v>
      </c>
      <c r="U515" s="12" t="s">
        <v>37839</v>
      </c>
      <c r="V515" s="12" t="s">
        <v>40980</v>
      </c>
      <c r="W515" s="12" t="s">
        <v>40981</v>
      </c>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row>
    <row r="516" spans="1:72">
      <c r="A516" s="2" t="s">
        <v>10582</v>
      </c>
      <c r="B516" s="5" t="s">
        <v>10586</v>
      </c>
      <c r="C516" s="3" t="s">
        <v>138</v>
      </c>
      <c r="D516" s="4" t="s">
        <v>138</v>
      </c>
      <c r="E516" s="15" t="s">
        <v>2907</v>
      </c>
      <c r="F516" s="15" t="s">
        <v>138</v>
      </c>
      <c r="G516" s="15" t="s">
        <v>946</v>
      </c>
      <c r="H516" s="7">
        <v>4</v>
      </c>
      <c r="I516" s="6" t="s">
        <v>10597</v>
      </c>
      <c r="J516" s="6" t="s">
        <v>13176</v>
      </c>
      <c r="K516" s="6" t="s">
        <v>38889</v>
      </c>
      <c r="L516" s="6" t="s">
        <v>40982</v>
      </c>
      <c r="M516" s="6" t="s">
        <v>40983</v>
      </c>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row>
    <row r="517" spans="1:72">
      <c r="A517" s="8" t="s">
        <v>10601</v>
      </c>
      <c r="B517" s="11" t="s">
        <v>10606</v>
      </c>
      <c r="C517" s="9" t="s">
        <v>138</v>
      </c>
      <c r="D517" s="10" t="s">
        <v>138</v>
      </c>
      <c r="E517" s="28" t="s">
        <v>10614</v>
      </c>
      <c r="F517" s="28" t="s">
        <v>10615</v>
      </c>
      <c r="G517" s="28" t="s">
        <v>162</v>
      </c>
      <c r="H517" s="13">
        <v>6</v>
      </c>
      <c r="I517" s="12" t="s">
        <v>10618</v>
      </c>
      <c r="J517" s="12" t="s">
        <v>40984</v>
      </c>
      <c r="K517" s="12" t="s">
        <v>38412</v>
      </c>
      <c r="L517" s="12" t="s">
        <v>40985</v>
      </c>
      <c r="M517" s="12" t="s">
        <v>37922</v>
      </c>
      <c r="N517" s="12" t="s">
        <v>38182</v>
      </c>
      <c r="O517" s="12" t="s">
        <v>37892</v>
      </c>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row>
    <row r="518" spans="1:72">
      <c r="A518" s="2" t="s">
        <v>10621</v>
      </c>
      <c r="B518" s="5" t="s">
        <v>10627</v>
      </c>
      <c r="C518" s="3" t="s">
        <v>10622</v>
      </c>
      <c r="D518" s="4" t="s">
        <v>138</v>
      </c>
      <c r="E518" s="15" t="s">
        <v>426</v>
      </c>
      <c r="F518" s="15" t="s">
        <v>426</v>
      </c>
      <c r="G518" s="15" t="s">
        <v>162</v>
      </c>
      <c r="H518" s="7">
        <v>9</v>
      </c>
      <c r="I518" s="6" t="s">
        <v>10636</v>
      </c>
      <c r="J518" s="6" t="s">
        <v>40986</v>
      </c>
      <c r="K518" s="6" t="s">
        <v>39899</v>
      </c>
      <c r="L518" s="6" t="s">
        <v>38841</v>
      </c>
      <c r="M518" s="6" t="s">
        <v>40987</v>
      </c>
      <c r="N518" s="6" t="s">
        <v>40988</v>
      </c>
      <c r="O518" s="6" t="s">
        <v>40989</v>
      </c>
      <c r="P518" s="6" t="s">
        <v>40990</v>
      </c>
      <c r="Q518" s="6" t="s">
        <v>40991</v>
      </c>
      <c r="R518" s="6" t="s">
        <v>40797</v>
      </c>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row>
    <row r="519" spans="1:72">
      <c r="A519" s="8" t="s">
        <v>10639</v>
      </c>
      <c r="B519" s="11" t="s">
        <v>10644</v>
      </c>
      <c r="C519" s="9" t="s">
        <v>138</v>
      </c>
      <c r="D519" s="10" t="s">
        <v>138</v>
      </c>
      <c r="E519" s="28" t="s">
        <v>10653</v>
      </c>
      <c r="F519" s="28" t="s">
        <v>10654</v>
      </c>
      <c r="G519" s="28" t="s">
        <v>162</v>
      </c>
      <c r="H519" s="13">
        <v>4</v>
      </c>
      <c r="I519" s="12" t="s">
        <v>10658</v>
      </c>
      <c r="J519" s="12" t="s">
        <v>18057</v>
      </c>
      <c r="K519" s="12" t="s">
        <v>40992</v>
      </c>
      <c r="L519" s="12" t="s">
        <v>40993</v>
      </c>
      <c r="M519" s="12" t="s">
        <v>40994</v>
      </c>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row>
    <row r="520" spans="1:72">
      <c r="A520" s="2" t="s">
        <v>10663</v>
      </c>
      <c r="B520" s="5" t="s">
        <v>10670</v>
      </c>
      <c r="C520" s="3" t="s">
        <v>10664</v>
      </c>
      <c r="D520" s="4" t="s">
        <v>138</v>
      </c>
      <c r="E520" s="15" t="s">
        <v>1516</v>
      </c>
      <c r="F520" s="15" t="s">
        <v>284</v>
      </c>
      <c r="G520" s="15" t="s">
        <v>162</v>
      </c>
      <c r="H520" s="7">
        <v>6</v>
      </c>
      <c r="I520" s="6" t="s">
        <v>10681</v>
      </c>
      <c r="J520" s="6" t="s">
        <v>18441</v>
      </c>
      <c r="K520" s="6" t="s">
        <v>39020</v>
      </c>
      <c r="L520" s="6" t="s">
        <v>40995</v>
      </c>
      <c r="M520" s="6" t="s">
        <v>40093</v>
      </c>
      <c r="N520" s="6" t="s">
        <v>37839</v>
      </c>
      <c r="O520" s="6" t="s">
        <v>40996</v>
      </c>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row>
    <row r="521" spans="1:72">
      <c r="A521" s="8" t="s">
        <v>10684</v>
      </c>
      <c r="B521" s="11" t="s">
        <v>10690</v>
      </c>
      <c r="C521" s="9" t="s">
        <v>138</v>
      </c>
      <c r="D521" s="10" t="s">
        <v>10685</v>
      </c>
      <c r="E521" s="28" t="s">
        <v>10698</v>
      </c>
      <c r="F521" s="28" t="s">
        <v>474</v>
      </c>
      <c r="G521" s="28" t="s">
        <v>162</v>
      </c>
      <c r="H521" s="13">
        <v>1</v>
      </c>
      <c r="I521" s="12" t="s">
        <v>4056</v>
      </c>
      <c r="J521" s="12" t="s">
        <v>4056</v>
      </c>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row>
    <row r="522" spans="1:72">
      <c r="A522" s="2" t="s">
        <v>10704</v>
      </c>
      <c r="B522" s="5" t="s">
        <v>10709</v>
      </c>
      <c r="C522" s="3" t="s">
        <v>138</v>
      </c>
      <c r="D522" s="4" t="s">
        <v>138</v>
      </c>
      <c r="E522" s="15" t="s">
        <v>3907</v>
      </c>
      <c r="F522" s="15" t="s">
        <v>2740</v>
      </c>
      <c r="G522" s="15" t="s">
        <v>2742</v>
      </c>
      <c r="H522" s="7">
        <v>15</v>
      </c>
      <c r="I522" s="6" t="s">
        <v>10720</v>
      </c>
      <c r="J522" s="6" t="s">
        <v>40997</v>
      </c>
      <c r="K522" s="6" t="s">
        <v>40998</v>
      </c>
      <c r="L522" s="6" t="s">
        <v>40999</v>
      </c>
      <c r="M522" s="6" t="s">
        <v>41000</v>
      </c>
      <c r="N522" s="6" t="s">
        <v>41001</v>
      </c>
      <c r="O522" s="6" t="s">
        <v>41002</v>
      </c>
      <c r="P522" s="6" t="s">
        <v>41003</v>
      </c>
      <c r="Q522" s="6" t="s">
        <v>37787</v>
      </c>
      <c r="R522" s="6" t="s">
        <v>40303</v>
      </c>
      <c r="S522" s="6" t="s">
        <v>39866</v>
      </c>
      <c r="T522" s="6" t="s">
        <v>41004</v>
      </c>
      <c r="U522" s="6" t="s">
        <v>41005</v>
      </c>
      <c r="V522" s="6" t="s">
        <v>41006</v>
      </c>
      <c r="W522" s="6" t="s">
        <v>38775</v>
      </c>
      <c r="X522" s="6" t="s">
        <v>38196</v>
      </c>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row>
    <row r="523" spans="1:72">
      <c r="A523" s="8" t="s">
        <v>10724</v>
      </c>
      <c r="B523" s="11" t="s">
        <v>10729</v>
      </c>
      <c r="C523" s="9" t="s">
        <v>138</v>
      </c>
      <c r="D523" s="10" t="s">
        <v>138</v>
      </c>
      <c r="E523" s="28" t="s">
        <v>1872</v>
      </c>
      <c r="F523" s="28" t="s">
        <v>200</v>
      </c>
      <c r="G523" s="28" t="s">
        <v>162</v>
      </c>
      <c r="H523" s="13">
        <v>18</v>
      </c>
      <c r="I523" s="12" t="s">
        <v>10739</v>
      </c>
      <c r="J523" s="12" t="s">
        <v>41007</v>
      </c>
      <c r="K523" s="12" t="s">
        <v>39385</v>
      </c>
      <c r="L523" s="12" t="s">
        <v>41008</v>
      </c>
      <c r="M523" s="12" t="s">
        <v>38569</v>
      </c>
      <c r="N523" s="12" t="s">
        <v>38214</v>
      </c>
      <c r="O523" s="12" t="s">
        <v>38394</v>
      </c>
      <c r="P523" s="12" t="s">
        <v>41009</v>
      </c>
      <c r="Q523" s="12" t="s">
        <v>41010</v>
      </c>
      <c r="R523" s="12" t="s">
        <v>38399</v>
      </c>
      <c r="S523" s="12" t="s">
        <v>41011</v>
      </c>
      <c r="T523" s="12" t="s">
        <v>39864</v>
      </c>
      <c r="U523" s="12" t="s">
        <v>41012</v>
      </c>
      <c r="V523" s="12" t="s">
        <v>41013</v>
      </c>
      <c r="W523" s="12" t="s">
        <v>41014</v>
      </c>
      <c r="X523" s="12" t="s">
        <v>38436</v>
      </c>
      <c r="Y523" s="12" t="s">
        <v>39765</v>
      </c>
      <c r="Z523" s="12" t="s">
        <v>41015</v>
      </c>
      <c r="AA523" s="12" t="s">
        <v>41016</v>
      </c>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row>
    <row r="524" spans="1:72">
      <c r="A524" s="2" t="s">
        <v>10743</v>
      </c>
      <c r="B524" s="5" t="s">
        <v>10746</v>
      </c>
      <c r="C524" s="3" t="s">
        <v>138</v>
      </c>
      <c r="D524" s="4" t="s">
        <v>138</v>
      </c>
      <c r="E524" s="15" t="s">
        <v>426</v>
      </c>
      <c r="F524" s="15" t="s">
        <v>426</v>
      </c>
      <c r="G524" s="15" t="s">
        <v>162</v>
      </c>
      <c r="H524" s="7">
        <v>4</v>
      </c>
      <c r="I524" s="6" t="s">
        <v>10755</v>
      </c>
      <c r="J524" s="6" t="s">
        <v>41017</v>
      </c>
      <c r="K524" s="6" t="s">
        <v>41018</v>
      </c>
      <c r="L524" s="6" t="s">
        <v>37791</v>
      </c>
      <c r="M524" s="6" t="s">
        <v>37998</v>
      </c>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row>
    <row r="525" spans="1:72">
      <c r="A525" s="8" t="s">
        <v>10758</v>
      </c>
      <c r="B525" s="11" t="s">
        <v>10764</v>
      </c>
      <c r="C525" s="9" t="s">
        <v>10759</v>
      </c>
      <c r="D525" s="10" t="s">
        <v>138</v>
      </c>
      <c r="E525" s="28" t="s">
        <v>1294</v>
      </c>
      <c r="F525" s="28" t="s">
        <v>864</v>
      </c>
      <c r="G525" s="28" t="s">
        <v>162</v>
      </c>
      <c r="H525" s="13">
        <v>12</v>
      </c>
      <c r="I525" s="12" t="s">
        <v>10775</v>
      </c>
      <c r="J525" s="12" t="s">
        <v>38519</v>
      </c>
      <c r="K525" s="12" t="s">
        <v>40452</v>
      </c>
      <c r="L525" s="12" t="s">
        <v>39851</v>
      </c>
      <c r="M525" s="12" t="s">
        <v>38097</v>
      </c>
      <c r="N525" s="12" t="s">
        <v>39206</v>
      </c>
      <c r="O525" s="12" t="s">
        <v>39395</v>
      </c>
      <c r="P525" s="12" t="s">
        <v>38848</v>
      </c>
      <c r="Q525" s="12" t="s">
        <v>41019</v>
      </c>
      <c r="R525" s="12" t="s">
        <v>38926</v>
      </c>
      <c r="S525" s="12" t="s">
        <v>41020</v>
      </c>
      <c r="T525" s="12" t="s">
        <v>38371</v>
      </c>
      <c r="U525" s="12" t="s">
        <v>39664</v>
      </c>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row>
    <row r="526" spans="1:72">
      <c r="A526" s="2" t="s">
        <v>10780</v>
      </c>
      <c r="B526" s="5" t="s">
        <v>10786</v>
      </c>
      <c r="C526" s="3" t="s">
        <v>10781</v>
      </c>
      <c r="D526" s="4" t="s">
        <v>138</v>
      </c>
      <c r="E526" s="15" t="s">
        <v>1171</v>
      </c>
      <c r="F526" s="15" t="s">
        <v>200</v>
      </c>
      <c r="G526" s="15" t="s">
        <v>162</v>
      </c>
      <c r="H526" s="7">
        <v>9</v>
      </c>
      <c r="I526" s="6" t="s">
        <v>10797</v>
      </c>
      <c r="J526" s="6" t="s">
        <v>37771</v>
      </c>
      <c r="K526" s="6" t="s">
        <v>39900</v>
      </c>
      <c r="L526" s="6" t="s">
        <v>39138</v>
      </c>
      <c r="M526" s="6" t="s">
        <v>38320</v>
      </c>
      <c r="N526" s="6" t="s">
        <v>38322</v>
      </c>
      <c r="O526" s="6" t="s">
        <v>38200</v>
      </c>
      <c r="P526" s="6" t="s">
        <v>41021</v>
      </c>
      <c r="Q526" s="6" t="s">
        <v>38705</v>
      </c>
      <c r="R526" s="6" t="s">
        <v>38326</v>
      </c>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row>
    <row r="527" spans="1:72">
      <c r="A527" s="8" t="s">
        <v>10800</v>
      </c>
      <c r="B527" s="11" t="s">
        <v>10804</v>
      </c>
      <c r="C527" s="9" t="s">
        <v>138</v>
      </c>
      <c r="D527" s="10" t="s">
        <v>138</v>
      </c>
      <c r="E527" s="28" t="s">
        <v>426</v>
      </c>
      <c r="F527" s="28" t="s">
        <v>426</v>
      </c>
      <c r="G527" s="28" t="s">
        <v>162</v>
      </c>
      <c r="H527" s="13">
        <v>12</v>
      </c>
      <c r="I527" s="12" t="s">
        <v>10810</v>
      </c>
      <c r="J527" s="12" t="s">
        <v>41022</v>
      </c>
      <c r="K527" s="12" t="s">
        <v>38354</v>
      </c>
      <c r="L527" s="12" t="s">
        <v>38148</v>
      </c>
      <c r="M527" s="12" t="s">
        <v>41023</v>
      </c>
      <c r="N527" s="12" t="s">
        <v>41024</v>
      </c>
      <c r="O527" s="12" t="s">
        <v>41025</v>
      </c>
      <c r="P527" s="12" t="s">
        <v>40765</v>
      </c>
      <c r="Q527" s="12" t="s">
        <v>37890</v>
      </c>
      <c r="R527" s="12" t="s">
        <v>38480</v>
      </c>
      <c r="S527" s="12" t="s">
        <v>40797</v>
      </c>
      <c r="T527" s="12" t="s">
        <v>38144</v>
      </c>
      <c r="U527" s="12" t="s">
        <v>38157</v>
      </c>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12"/>
      <c r="BH527" s="12"/>
      <c r="BI527" s="12"/>
      <c r="BJ527" s="12"/>
      <c r="BK527" s="12"/>
      <c r="BL527" s="12"/>
      <c r="BM527" s="12"/>
      <c r="BN527" s="12"/>
      <c r="BO527" s="12"/>
      <c r="BP527" s="12"/>
      <c r="BQ527" s="12"/>
      <c r="BR527" s="12"/>
      <c r="BS527" s="12"/>
      <c r="BT527" s="12"/>
    </row>
    <row r="528" spans="1:72">
      <c r="A528" s="2" t="s">
        <v>10813</v>
      </c>
      <c r="B528" s="5" t="s">
        <v>10818</v>
      </c>
      <c r="C528" s="3" t="s">
        <v>138</v>
      </c>
      <c r="D528" s="4" t="s">
        <v>138</v>
      </c>
      <c r="E528" s="15" t="s">
        <v>668</v>
      </c>
      <c r="F528" s="15" t="s">
        <v>200</v>
      </c>
      <c r="G528" s="15" t="s">
        <v>162</v>
      </c>
      <c r="H528" s="7">
        <v>13</v>
      </c>
      <c r="I528" s="6" t="s">
        <v>10828</v>
      </c>
      <c r="J528" s="6" t="s">
        <v>41026</v>
      </c>
      <c r="K528" s="6" t="s">
        <v>41027</v>
      </c>
      <c r="L528" s="6" t="s">
        <v>38803</v>
      </c>
      <c r="M528" s="6" t="s">
        <v>39348</v>
      </c>
      <c r="N528" s="6" t="s">
        <v>38199</v>
      </c>
      <c r="O528" s="6" t="s">
        <v>39563</v>
      </c>
      <c r="P528" s="6" t="s">
        <v>41028</v>
      </c>
      <c r="Q528" s="6" t="s">
        <v>41029</v>
      </c>
      <c r="R528" s="6" t="s">
        <v>37781</v>
      </c>
      <c r="S528" s="6" t="s">
        <v>39296</v>
      </c>
      <c r="T528" s="6" t="s">
        <v>41030</v>
      </c>
      <c r="U528" s="6" t="s">
        <v>38337</v>
      </c>
      <c r="V528" s="6" t="s">
        <v>41031</v>
      </c>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row>
    <row r="529" spans="1:72">
      <c r="A529" s="8" t="s">
        <v>10831</v>
      </c>
      <c r="B529" s="11" t="s">
        <v>10836</v>
      </c>
      <c r="C529" s="9" t="s">
        <v>10832</v>
      </c>
      <c r="D529" s="10" t="s">
        <v>138</v>
      </c>
      <c r="E529" s="28" t="s">
        <v>1171</v>
      </c>
      <c r="F529" s="28" t="s">
        <v>200</v>
      </c>
      <c r="G529" s="28" t="s">
        <v>162</v>
      </c>
      <c r="H529" s="13">
        <v>9</v>
      </c>
      <c r="I529" s="12" t="s">
        <v>10844</v>
      </c>
      <c r="J529" s="12" t="s">
        <v>41032</v>
      </c>
      <c r="K529" s="12" t="s">
        <v>41033</v>
      </c>
      <c r="L529" s="12" t="s">
        <v>41034</v>
      </c>
      <c r="M529" s="12" t="s">
        <v>41035</v>
      </c>
      <c r="N529" s="12" t="s">
        <v>39051</v>
      </c>
      <c r="O529" s="12" t="s">
        <v>41036</v>
      </c>
      <c r="P529" s="12" t="s">
        <v>41037</v>
      </c>
      <c r="Q529" s="12" t="s">
        <v>41038</v>
      </c>
      <c r="R529" s="12" t="s">
        <v>38065</v>
      </c>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2"/>
    </row>
    <row r="530" spans="1:72">
      <c r="A530" s="2" t="s">
        <v>10847</v>
      </c>
      <c r="B530" s="5" t="s">
        <v>10851</v>
      </c>
      <c r="C530" s="3" t="s">
        <v>138</v>
      </c>
      <c r="D530" s="4" t="s">
        <v>138</v>
      </c>
      <c r="E530" s="15" t="s">
        <v>668</v>
      </c>
      <c r="F530" s="15" t="s">
        <v>200</v>
      </c>
      <c r="G530" s="15" t="s">
        <v>162</v>
      </c>
      <c r="H530" s="7">
        <v>9</v>
      </c>
      <c r="I530" s="6" t="s">
        <v>10858</v>
      </c>
      <c r="J530" s="6" t="s">
        <v>38344</v>
      </c>
      <c r="K530" s="6" t="s">
        <v>37992</v>
      </c>
      <c r="L530" s="6" t="s">
        <v>38199</v>
      </c>
      <c r="M530" s="6" t="s">
        <v>41039</v>
      </c>
      <c r="N530" s="6" t="s">
        <v>41040</v>
      </c>
      <c r="O530" s="6" t="s">
        <v>37781</v>
      </c>
      <c r="P530" s="6" t="s">
        <v>41041</v>
      </c>
      <c r="Q530" s="6" t="s">
        <v>39033</v>
      </c>
      <c r="R530" s="6" t="s">
        <v>37976</v>
      </c>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row>
    <row r="531" spans="1:72">
      <c r="A531" s="8" t="s">
        <v>10861</v>
      </c>
      <c r="B531" s="11" t="s">
        <v>10867</v>
      </c>
      <c r="C531" s="9" t="s">
        <v>138</v>
      </c>
      <c r="D531" s="10" t="s">
        <v>10862</v>
      </c>
      <c r="E531" s="28" t="s">
        <v>668</v>
      </c>
      <c r="F531" s="28" t="s">
        <v>200</v>
      </c>
      <c r="G531" s="28" t="s">
        <v>162</v>
      </c>
      <c r="H531" s="13">
        <v>10</v>
      </c>
      <c r="I531" s="12" t="s">
        <v>10876</v>
      </c>
      <c r="J531" s="12" t="s">
        <v>38146</v>
      </c>
      <c r="K531" s="12" t="s">
        <v>37795</v>
      </c>
      <c r="L531" s="12" t="s">
        <v>41042</v>
      </c>
      <c r="M531" s="12" t="s">
        <v>39381</v>
      </c>
      <c r="N531" s="12" t="s">
        <v>38721</v>
      </c>
      <c r="O531" s="12" t="s">
        <v>41043</v>
      </c>
      <c r="P531" s="12" t="s">
        <v>38083</v>
      </c>
      <c r="Q531" s="12" t="s">
        <v>41044</v>
      </c>
      <c r="R531" s="12" t="s">
        <v>38337</v>
      </c>
      <c r="S531" s="12" t="s">
        <v>41045</v>
      </c>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row>
    <row r="532" spans="1:72">
      <c r="A532" s="2" t="s">
        <v>10880</v>
      </c>
      <c r="B532" s="5" t="s">
        <v>10885</v>
      </c>
      <c r="C532" s="3" t="s">
        <v>138</v>
      </c>
      <c r="D532" s="4" t="s">
        <v>138</v>
      </c>
      <c r="E532" s="15" t="s">
        <v>10893</v>
      </c>
      <c r="F532" s="15" t="s">
        <v>6898</v>
      </c>
      <c r="G532" s="15" t="s">
        <v>162</v>
      </c>
      <c r="H532" s="7">
        <v>4</v>
      </c>
      <c r="I532" s="6" t="s">
        <v>10897</v>
      </c>
      <c r="J532" s="6" t="s">
        <v>41046</v>
      </c>
      <c r="K532" s="6" t="s">
        <v>38277</v>
      </c>
      <c r="L532" s="6" t="s">
        <v>41047</v>
      </c>
      <c r="M532" s="6" t="s">
        <v>37931</v>
      </c>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row>
    <row r="533" spans="1:72">
      <c r="A533" s="8" t="s">
        <v>10901</v>
      </c>
      <c r="B533" s="11" t="s">
        <v>10907</v>
      </c>
      <c r="C533" s="9" t="s">
        <v>138</v>
      </c>
      <c r="D533" s="10" t="s">
        <v>10902</v>
      </c>
      <c r="E533" s="28" t="s">
        <v>10916</v>
      </c>
      <c r="F533" s="28" t="s">
        <v>138</v>
      </c>
      <c r="G533" s="28" t="s">
        <v>740</v>
      </c>
      <c r="H533" s="13">
        <v>16</v>
      </c>
      <c r="I533" s="12" t="s">
        <v>10919</v>
      </c>
      <c r="J533" s="12" t="s">
        <v>38038</v>
      </c>
      <c r="K533" s="12" t="s">
        <v>39001</v>
      </c>
      <c r="L533" s="12" t="s">
        <v>41048</v>
      </c>
      <c r="M533" s="12" t="s">
        <v>39003</v>
      </c>
      <c r="N533" s="12" t="s">
        <v>38011</v>
      </c>
      <c r="O533" s="12" t="s">
        <v>41049</v>
      </c>
      <c r="P533" s="12" t="s">
        <v>37960</v>
      </c>
      <c r="Q533" s="12" t="s">
        <v>41050</v>
      </c>
      <c r="R533" s="12" t="s">
        <v>41051</v>
      </c>
      <c r="S533" s="12" t="s">
        <v>38050</v>
      </c>
      <c r="T533" s="12" t="s">
        <v>39609</v>
      </c>
      <c r="U533" s="12" t="s">
        <v>41052</v>
      </c>
      <c r="V533" s="12" t="s">
        <v>41053</v>
      </c>
      <c r="W533" s="12" t="s">
        <v>38142</v>
      </c>
      <c r="X533" s="12" t="s">
        <v>39366</v>
      </c>
      <c r="Y533" s="12" t="s">
        <v>41054</v>
      </c>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row>
    <row r="534" spans="1:72">
      <c r="A534" s="2" t="s">
        <v>10923</v>
      </c>
      <c r="B534" s="5" t="s">
        <v>10928</v>
      </c>
      <c r="C534" s="3" t="s">
        <v>138</v>
      </c>
      <c r="D534" s="4" t="s">
        <v>138</v>
      </c>
      <c r="E534" s="15" t="s">
        <v>4900</v>
      </c>
      <c r="F534" s="15" t="s">
        <v>200</v>
      </c>
      <c r="G534" s="15" t="s">
        <v>162</v>
      </c>
      <c r="H534" s="7">
        <v>15</v>
      </c>
      <c r="I534" s="6" t="s">
        <v>10937</v>
      </c>
      <c r="J534" s="6" t="s">
        <v>41055</v>
      </c>
      <c r="K534" s="6" t="s">
        <v>41056</v>
      </c>
      <c r="L534" s="6" t="s">
        <v>38571</v>
      </c>
      <c r="M534" s="6" t="s">
        <v>39229</v>
      </c>
      <c r="N534" s="6" t="s">
        <v>38393</v>
      </c>
      <c r="O534" s="6" t="s">
        <v>38057</v>
      </c>
      <c r="P534" s="6" t="s">
        <v>37786</v>
      </c>
      <c r="Q534" s="6" t="s">
        <v>41057</v>
      </c>
      <c r="R534" s="6" t="s">
        <v>38576</v>
      </c>
      <c r="S534" s="6" t="s">
        <v>41058</v>
      </c>
      <c r="T534" s="6" t="s">
        <v>37916</v>
      </c>
      <c r="U534" s="6" t="s">
        <v>41059</v>
      </c>
      <c r="V534" s="6" t="s">
        <v>41041</v>
      </c>
      <c r="W534" s="6" t="s">
        <v>40869</v>
      </c>
      <c r="X534" s="6" t="s">
        <v>39686</v>
      </c>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row>
    <row r="535" spans="1:72">
      <c r="A535" s="8" t="s">
        <v>10943</v>
      </c>
      <c r="B535" s="11" t="s">
        <v>10949</v>
      </c>
      <c r="C535" s="9" t="s">
        <v>138</v>
      </c>
      <c r="D535" s="10" t="s">
        <v>138</v>
      </c>
      <c r="E535" s="28" t="s">
        <v>3691</v>
      </c>
      <c r="F535" s="28" t="s">
        <v>138</v>
      </c>
      <c r="G535" s="28" t="s">
        <v>3693</v>
      </c>
      <c r="H535" s="13">
        <v>6</v>
      </c>
      <c r="I535" s="12" t="s">
        <v>10959</v>
      </c>
      <c r="J535" s="12" t="s">
        <v>39120</v>
      </c>
      <c r="K535" s="12" t="s">
        <v>38803</v>
      </c>
      <c r="L535" s="12" t="s">
        <v>40328</v>
      </c>
      <c r="M535" s="12" t="s">
        <v>37802</v>
      </c>
      <c r="N535" s="12" t="s">
        <v>37781</v>
      </c>
      <c r="O535" s="12" t="s">
        <v>41060</v>
      </c>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row>
    <row r="536" spans="1:72">
      <c r="A536" s="2" t="s">
        <v>10962</v>
      </c>
      <c r="B536" s="5" t="s">
        <v>10968</v>
      </c>
      <c r="C536" s="3" t="s">
        <v>10963</v>
      </c>
      <c r="D536" s="4" t="s">
        <v>138</v>
      </c>
      <c r="E536" s="15" t="s">
        <v>1198</v>
      </c>
      <c r="F536" s="15" t="s">
        <v>138</v>
      </c>
      <c r="G536" s="15" t="s">
        <v>1200</v>
      </c>
      <c r="H536" s="7">
        <v>12</v>
      </c>
      <c r="I536" s="6" t="s">
        <v>10973</v>
      </c>
      <c r="J536" s="6" t="s">
        <v>41061</v>
      </c>
      <c r="K536" s="6" t="s">
        <v>41062</v>
      </c>
      <c r="L536" s="6" t="s">
        <v>39550</v>
      </c>
      <c r="M536" s="6" t="s">
        <v>41063</v>
      </c>
      <c r="N536" s="6" t="s">
        <v>41064</v>
      </c>
      <c r="O536" s="6" t="s">
        <v>41065</v>
      </c>
      <c r="P536" s="6" t="s">
        <v>39460</v>
      </c>
      <c r="Q536" s="6" t="s">
        <v>41066</v>
      </c>
      <c r="R536" s="6" t="s">
        <v>41067</v>
      </c>
      <c r="S536" s="6" t="s">
        <v>40505</v>
      </c>
      <c r="T536" s="6" t="s">
        <v>39197</v>
      </c>
      <c r="U536" s="6" t="s">
        <v>41068</v>
      </c>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row>
    <row r="537" spans="1:72">
      <c r="A537" s="8" t="s">
        <v>10978</v>
      </c>
      <c r="B537" s="11" t="s">
        <v>10982</v>
      </c>
      <c r="C537" s="9" t="s">
        <v>138</v>
      </c>
      <c r="D537" s="10" t="s">
        <v>138</v>
      </c>
      <c r="E537" s="28" t="s">
        <v>1223</v>
      </c>
      <c r="F537" s="28" t="s">
        <v>200</v>
      </c>
      <c r="G537" s="28" t="s">
        <v>162</v>
      </c>
      <c r="H537" s="13">
        <v>8</v>
      </c>
      <c r="I537" s="12" t="s">
        <v>10988</v>
      </c>
      <c r="J537" s="12" t="s">
        <v>40476</v>
      </c>
      <c r="K537" s="12" t="s">
        <v>37787</v>
      </c>
      <c r="L537" s="12" t="s">
        <v>40464</v>
      </c>
      <c r="M537" s="12" t="s">
        <v>41069</v>
      </c>
      <c r="N537" s="12" t="s">
        <v>38200</v>
      </c>
      <c r="O537" s="12" t="s">
        <v>38731</v>
      </c>
      <c r="P537" s="12" t="s">
        <v>38195</v>
      </c>
      <c r="Q537" s="12" t="s">
        <v>41070</v>
      </c>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row>
    <row r="538" spans="1:72">
      <c r="A538" s="2" t="s">
        <v>10994</v>
      </c>
      <c r="B538" s="5" t="s">
        <v>11000</v>
      </c>
      <c r="C538" s="3" t="s">
        <v>138</v>
      </c>
      <c r="D538" s="4" t="s">
        <v>10995</v>
      </c>
      <c r="E538" s="15" t="s">
        <v>5207</v>
      </c>
      <c r="F538" s="15" t="s">
        <v>339</v>
      </c>
      <c r="G538" s="15" t="s">
        <v>162</v>
      </c>
      <c r="H538" s="7">
        <v>2</v>
      </c>
      <c r="I538" s="6" t="s">
        <v>11013</v>
      </c>
      <c r="J538" s="6" t="s">
        <v>41071</v>
      </c>
      <c r="K538" s="6" t="s">
        <v>41072</v>
      </c>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row>
    <row r="539" spans="1:72">
      <c r="A539" s="8" t="s">
        <v>11021</v>
      </c>
      <c r="B539" s="11" t="s">
        <v>11027</v>
      </c>
      <c r="C539" s="9" t="s">
        <v>138</v>
      </c>
      <c r="D539" s="10" t="s">
        <v>138</v>
      </c>
      <c r="E539" s="28" t="s">
        <v>3841</v>
      </c>
      <c r="F539" s="28" t="s">
        <v>200</v>
      </c>
      <c r="G539" s="28" t="s">
        <v>162</v>
      </c>
      <c r="H539" s="13">
        <v>6</v>
      </c>
      <c r="I539" s="12" t="s">
        <v>11038</v>
      </c>
      <c r="J539" s="12" t="s">
        <v>40045</v>
      </c>
      <c r="K539" s="12" t="s">
        <v>38377</v>
      </c>
      <c r="L539" s="12" t="s">
        <v>41073</v>
      </c>
      <c r="M539" s="12" t="s">
        <v>38164</v>
      </c>
      <c r="N539" s="12" t="s">
        <v>37998</v>
      </c>
      <c r="O539" s="12" t="s">
        <v>38137</v>
      </c>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row>
    <row r="540" spans="1:72">
      <c r="A540" s="2" t="s">
        <v>11041</v>
      </c>
      <c r="B540" s="5" t="s">
        <v>11046</v>
      </c>
      <c r="C540" s="3" t="s">
        <v>138</v>
      </c>
      <c r="D540" s="4" t="s">
        <v>11042</v>
      </c>
      <c r="E540" s="15" t="s">
        <v>668</v>
      </c>
      <c r="F540" s="15" t="s">
        <v>200</v>
      </c>
      <c r="G540" s="15" t="s">
        <v>162</v>
      </c>
      <c r="H540" s="7">
        <v>14</v>
      </c>
      <c r="I540" s="6" t="s">
        <v>11054</v>
      </c>
      <c r="J540" s="6" t="s">
        <v>39657</v>
      </c>
      <c r="K540" s="6" t="s">
        <v>40196</v>
      </c>
      <c r="L540" s="6" t="s">
        <v>41074</v>
      </c>
      <c r="M540" s="6" t="s">
        <v>41075</v>
      </c>
      <c r="N540" s="6" t="s">
        <v>37786</v>
      </c>
      <c r="O540" s="6" t="s">
        <v>37954</v>
      </c>
      <c r="P540" s="6" t="s">
        <v>38116</v>
      </c>
      <c r="Q540" s="6" t="s">
        <v>39731</v>
      </c>
      <c r="R540" s="6" t="s">
        <v>38502</v>
      </c>
      <c r="S540" s="6" t="s">
        <v>37781</v>
      </c>
      <c r="T540" s="6" t="s">
        <v>38478</v>
      </c>
      <c r="U540" s="6" t="s">
        <v>41076</v>
      </c>
      <c r="V540" s="6" t="s">
        <v>38294</v>
      </c>
      <c r="W540" s="6" t="s">
        <v>41077</v>
      </c>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row>
    <row r="541" spans="1:72">
      <c r="A541" s="8" t="s">
        <v>11058</v>
      </c>
      <c r="B541" s="11" t="s">
        <v>11065</v>
      </c>
      <c r="C541" s="9" t="s">
        <v>138</v>
      </c>
      <c r="D541" s="10" t="s">
        <v>138</v>
      </c>
      <c r="E541" s="28" t="s">
        <v>2882</v>
      </c>
      <c r="F541" s="28" t="s">
        <v>2883</v>
      </c>
      <c r="G541" s="28" t="s">
        <v>162</v>
      </c>
      <c r="H541" s="13">
        <v>4</v>
      </c>
      <c r="I541" s="12" t="s">
        <v>11074</v>
      </c>
      <c r="J541" s="12" t="s">
        <v>41078</v>
      </c>
      <c r="K541" s="12" t="s">
        <v>38573</v>
      </c>
      <c r="L541" s="12" t="s">
        <v>38272</v>
      </c>
      <c r="M541" s="12" t="s">
        <v>39329</v>
      </c>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row>
    <row r="542" spans="1:72">
      <c r="A542" s="2" t="s">
        <v>11077</v>
      </c>
      <c r="B542" s="5" t="s">
        <v>11083</v>
      </c>
      <c r="C542" s="3" t="s">
        <v>138</v>
      </c>
      <c r="D542" s="4" t="s">
        <v>11078</v>
      </c>
      <c r="E542" s="15" t="s">
        <v>2005</v>
      </c>
      <c r="F542" s="15" t="s">
        <v>200</v>
      </c>
      <c r="G542" s="15" t="s">
        <v>162</v>
      </c>
      <c r="H542" s="7">
        <v>11</v>
      </c>
      <c r="I542" s="6" t="s">
        <v>11091</v>
      </c>
      <c r="J542" s="6" t="s">
        <v>41079</v>
      </c>
      <c r="K542" s="6" t="s">
        <v>41080</v>
      </c>
      <c r="L542" s="6" t="s">
        <v>38960</v>
      </c>
      <c r="M542" s="6" t="s">
        <v>41081</v>
      </c>
      <c r="N542" s="6" t="s">
        <v>40735</v>
      </c>
      <c r="O542" s="6" t="s">
        <v>41082</v>
      </c>
      <c r="P542" s="6" t="s">
        <v>40541</v>
      </c>
      <c r="Q542" s="6" t="s">
        <v>39278</v>
      </c>
      <c r="R542" s="6" t="s">
        <v>38240</v>
      </c>
      <c r="S542" s="6" t="s">
        <v>37975</v>
      </c>
      <c r="T542" s="6" t="s">
        <v>40741</v>
      </c>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row>
    <row r="543" spans="1:72">
      <c r="A543" s="8" t="s">
        <v>11096</v>
      </c>
      <c r="B543" s="11" t="s">
        <v>11100</v>
      </c>
      <c r="C543" s="9" t="s">
        <v>138</v>
      </c>
      <c r="D543" s="10" t="s">
        <v>138</v>
      </c>
      <c r="E543" s="28" t="s">
        <v>1198</v>
      </c>
      <c r="F543" s="28" t="s">
        <v>138</v>
      </c>
      <c r="G543" s="28" t="s">
        <v>1200</v>
      </c>
      <c r="H543" s="13">
        <v>16</v>
      </c>
      <c r="I543" s="12" t="s">
        <v>11110</v>
      </c>
      <c r="J543" s="12" t="s">
        <v>39194</v>
      </c>
      <c r="K543" s="12" t="s">
        <v>39865</v>
      </c>
      <c r="L543" s="12" t="s">
        <v>41083</v>
      </c>
      <c r="M543" s="12" t="s">
        <v>40633</v>
      </c>
      <c r="N543" s="12" t="s">
        <v>38719</v>
      </c>
      <c r="O543" s="12" t="s">
        <v>41084</v>
      </c>
      <c r="P543" s="12" t="s">
        <v>41085</v>
      </c>
      <c r="Q543" s="12" t="s">
        <v>41086</v>
      </c>
      <c r="R543" s="12" t="s">
        <v>39343</v>
      </c>
      <c r="S543" s="12" t="s">
        <v>38065</v>
      </c>
      <c r="T543" s="12" t="s">
        <v>37781</v>
      </c>
      <c r="U543" s="12" t="s">
        <v>38712</v>
      </c>
      <c r="V543" s="12" t="s">
        <v>39684</v>
      </c>
      <c r="W543" s="12" t="s">
        <v>38752</v>
      </c>
      <c r="X543" s="12" t="s">
        <v>39143</v>
      </c>
      <c r="Y543" s="12" t="s">
        <v>41087</v>
      </c>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row>
    <row r="544" spans="1:72">
      <c r="A544" s="2" t="s">
        <v>11114</v>
      </c>
      <c r="B544" s="5" t="s">
        <v>11120</v>
      </c>
      <c r="C544" s="3" t="s">
        <v>11115</v>
      </c>
      <c r="D544" s="4" t="s">
        <v>138</v>
      </c>
      <c r="E544" s="15" t="s">
        <v>668</v>
      </c>
      <c r="F544" s="15" t="s">
        <v>200</v>
      </c>
      <c r="G544" s="15" t="s">
        <v>162</v>
      </c>
      <c r="H544" s="7">
        <v>17</v>
      </c>
      <c r="I544" s="6" t="s">
        <v>11129</v>
      </c>
      <c r="J544" s="6" t="s">
        <v>41088</v>
      </c>
      <c r="K544" s="6" t="s">
        <v>41089</v>
      </c>
      <c r="L544" s="6" t="s">
        <v>39385</v>
      </c>
      <c r="M544" s="6" t="s">
        <v>41090</v>
      </c>
      <c r="N544" s="6" t="s">
        <v>39702</v>
      </c>
      <c r="O544" s="6" t="s">
        <v>40086</v>
      </c>
      <c r="P544" s="6" t="s">
        <v>38992</v>
      </c>
      <c r="Q544" s="6" t="s">
        <v>38557</v>
      </c>
      <c r="R544" s="6" t="s">
        <v>37923</v>
      </c>
      <c r="S544" s="6" t="s">
        <v>38182</v>
      </c>
      <c r="T544" s="6" t="s">
        <v>41091</v>
      </c>
      <c r="U544" s="6" t="s">
        <v>41092</v>
      </c>
      <c r="V544" s="6" t="s">
        <v>41093</v>
      </c>
      <c r="W544" s="6" t="s">
        <v>41094</v>
      </c>
      <c r="X544" s="6" t="s">
        <v>39656</v>
      </c>
      <c r="Y544" s="6" t="s">
        <v>40980</v>
      </c>
      <c r="Z544" s="6" t="s">
        <v>39087</v>
      </c>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row>
    <row r="545" spans="1:72">
      <c r="A545" s="8" t="s">
        <v>11134</v>
      </c>
      <c r="B545" s="11" t="s">
        <v>11138</v>
      </c>
      <c r="C545" s="9" t="s">
        <v>138</v>
      </c>
      <c r="D545" s="10" t="s">
        <v>138</v>
      </c>
      <c r="E545" s="28" t="s">
        <v>5270</v>
      </c>
      <c r="F545" s="28" t="s">
        <v>5271</v>
      </c>
      <c r="G545" s="28" t="s">
        <v>162</v>
      </c>
      <c r="H545" s="13">
        <v>8</v>
      </c>
      <c r="I545" s="12" t="s">
        <v>11148</v>
      </c>
      <c r="J545" s="12" t="s">
        <v>38699</v>
      </c>
      <c r="K545" s="12" t="s">
        <v>38398</v>
      </c>
      <c r="L545" s="12" t="s">
        <v>40583</v>
      </c>
      <c r="M545" s="12" t="s">
        <v>37781</v>
      </c>
      <c r="N545" s="12" t="s">
        <v>37915</v>
      </c>
      <c r="O545" s="12" t="s">
        <v>40132</v>
      </c>
      <c r="P545" s="12" t="s">
        <v>40134</v>
      </c>
      <c r="Q545" s="12" t="s">
        <v>41095</v>
      </c>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row>
    <row r="546" spans="1:72">
      <c r="A546" s="2" t="s">
        <v>11155</v>
      </c>
      <c r="B546" s="5" t="s">
        <v>11161</v>
      </c>
      <c r="C546" s="3" t="s">
        <v>138</v>
      </c>
      <c r="D546" s="4" t="s">
        <v>11156</v>
      </c>
      <c r="E546" s="15" t="s">
        <v>4273</v>
      </c>
      <c r="F546" s="15" t="s">
        <v>3112</v>
      </c>
      <c r="G546" s="15" t="s">
        <v>2742</v>
      </c>
      <c r="H546" s="7">
        <v>12</v>
      </c>
      <c r="I546" s="6" t="s">
        <v>11173</v>
      </c>
      <c r="J546" s="6" t="s">
        <v>41096</v>
      </c>
      <c r="K546" s="6" t="s">
        <v>40029</v>
      </c>
      <c r="L546" s="6" t="s">
        <v>41097</v>
      </c>
      <c r="M546" s="6" t="s">
        <v>41098</v>
      </c>
      <c r="N546" s="6" t="s">
        <v>41099</v>
      </c>
      <c r="O546" s="6" t="s">
        <v>40388</v>
      </c>
      <c r="P546" s="6" t="s">
        <v>40479</v>
      </c>
      <c r="Q546" s="6" t="s">
        <v>39809</v>
      </c>
      <c r="R546" s="6" t="s">
        <v>41100</v>
      </c>
      <c r="S546" s="6" t="s">
        <v>38767</v>
      </c>
      <c r="T546" s="6" t="s">
        <v>41101</v>
      </c>
      <c r="U546" s="6" t="s">
        <v>41102</v>
      </c>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row>
    <row r="547" spans="1:72">
      <c r="A547" s="8" t="s">
        <v>11176</v>
      </c>
      <c r="B547" s="11" t="s">
        <v>11181</v>
      </c>
      <c r="C547" s="9" t="s">
        <v>138</v>
      </c>
      <c r="D547" s="10" t="s">
        <v>138</v>
      </c>
      <c r="E547" s="28" t="s">
        <v>1198</v>
      </c>
      <c r="F547" s="28" t="s">
        <v>138</v>
      </c>
      <c r="G547" s="28" t="s">
        <v>1200</v>
      </c>
      <c r="H547" s="13">
        <v>4</v>
      </c>
      <c r="I547" s="12" t="s">
        <v>11192</v>
      </c>
      <c r="J547" s="12" t="s">
        <v>41103</v>
      </c>
      <c r="K547" s="12" t="s">
        <v>37781</v>
      </c>
      <c r="L547" s="12" t="s">
        <v>38712</v>
      </c>
      <c r="M547" s="12" t="s">
        <v>41104</v>
      </c>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row>
    <row r="548" spans="1:72">
      <c r="A548" s="2" t="s">
        <v>11195</v>
      </c>
      <c r="B548" s="5" t="s">
        <v>11199</v>
      </c>
      <c r="C548" s="3" t="s">
        <v>138</v>
      </c>
      <c r="D548" s="4" t="s">
        <v>138</v>
      </c>
      <c r="E548" s="15" t="s">
        <v>1460</v>
      </c>
      <c r="F548" s="15" t="s">
        <v>474</v>
      </c>
      <c r="G548" s="15" t="s">
        <v>162</v>
      </c>
      <c r="H548" s="7">
        <v>4</v>
      </c>
      <c r="I548" s="6" t="s">
        <v>11207</v>
      </c>
      <c r="J548" s="6" t="s">
        <v>41105</v>
      </c>
      <c r="K548" s="6" t="s">
        <v>41106</v>
      </c>
      <c r="L548" s="6" t="s">
        <v>41107</v>
      </c>
      <c r="M548" s="6" t="s">
        <v>38363</v>
      </c>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row>
    <row r="549" spans="1:72">
      <c r="A549" s="8" t="s">
        <v>11210</v>
      </c>
      <c r="B549" s="11" t="s">
        <v>11215</v>
      </c>
      <c r="C549" s="9" t="s">
        <v>138</v>
      </c>
      <c r="D549" s="10" t="s">
        <v>11211</v>
      </c>
      <c r="E549" s="28" t="s">
        <v>11224</v>
      </c>
      <c r="F549" s="28" t="s">
        <v>138</v>
      </c>
      <c r="G549" s="28" t="s">
        <v>450</v>
      </c>
      <c r="H549" s="13">
        <v>3</v>
      </c>
      <c r="I549" s="12" t="s">
        <v>11228</v>
      </c>
      <c r="J549" s="12" t="s">
        <v>41108</v>
      </c>
      <c r="K549" s="12" t="s">
        <v>41109</v>
      </c>
      <c r="L549" s="12" t="s">
        <v>38137</v>
      </c>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row>
    <row r="550" spans="1:72">
      <c r="A550" s="2" t="s">
        <v>11231</v>
      </c>
      <c r="B550" s="5" t="s">
        <v>11237</v>
      </c>
      <c r="C550" s="3" t="s">
        <v>11232</v>
      </c>
      <c r="D550" s="4" t="s">
        <v>138</v>
      </c>
      <c r="E550" s="15" t="s">
        <v>3139</v>
      </c>
      <c r="F550" s="15" t="s">
        <v>3140</v>
      </c>
      <c r="G550" s="15" t="s">
        <v>162</v>
      </c>
      <c r="H550" s="7">
        <v>2</v>
      </c>
      <c r="I550" s="6" t="s">
        <v>11248</v>
      </c>
      <c r="J550" s="6" t="s">
        <v>13176</v>
      </c>
      <c r="K550" s="6" t="s">
        <v>41110</v>
      </c>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row>
    <row r="551" spans="1:72">
      <c r="A551" s="8" t="s">
        <v>11253</v>
      </c>
      <c r="B551" s="11" t="s">
        <v>11258</v>
      </c>
      <c r="C551" s="9" t="s">
        <v>11254</v>
      </c>
      <c r="D551" s="10" t="s">
        <v>138</v>
      </c>
      <c r="E551" s="28" t="s">
        <v>9136</v>
      </c>
      <c r="F551" s="28" t="s">
        <v>200</v>
      </c>
      <c r="G551" s="28" t="s">
        <v>162</v>
      </c>
      <c r="H551" s="13">
        <v>13</v>
      </c>
      <c r="I551" s="12" t="s">
        <v>11265</v>
      </c>
      <c r="J551" s="12" t="s">
        <v>41111</v>
      </c>
      <c r="K551" s="12" t="s">
        <v>41112</v>
      </c>
      <c r="L551" s="12" t="s">
        <v>41113</v>
      </c>
      <c r="M551" s="12" t="s">
        <v>39808</v>
      </c>
      <c r="N551" s="12" t="s">
        <v>39007</v>
      </c>
      <c r="O551" s="12" t="s">
        <v>38770</v>
      </c>
      <c r="P551" s="12" t="s">
        <v>37859</v>
      </c>
      <c r="Q551" s="12" t="s">
        <v>39811</v>
      </c>
      <c r="R551" s="12" t="s">
        <v>38689</v>
      </c>
      <c r="S551" s="12" t="s">
        <v>41114</v>
      </c>
      <c r="T551" s="12" t="s">
        <v>41115</v>
      </c>
      <c r="U551" s="12" t="s">
        <v>39011</v>
      </c>
      <c r="V551" s="12" t="s">
        <v>38787</v>
      </c>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row>
    <row r="552" spans="1:72">
      <c r="A552" s="2" t="s">
        <v>11268</v>
      </c>
      <c r="B552" s="5" t="s">
        <v>11272</v>
      </c>
      <c r="C552" s="3" t="s">
        <v>11269</v>
      </c>
      <c r="D552" s="4" t="s">
        <v>138</v>
      </c>
      <c r="E552" s="15" t="s">
        <v>11280</v>
      </c>
      <c r="F552" s="15" t="s">
        <v>339</v>
      </c>
      <c r="G552" s="15" t="s">
        <v>162</v>
      </c>
      <c r="H552" s="7">
        <v>7</v>
      </c>
      <c r="I552" s="6" t="s">
        <v>11284</v>
      </c>
      <c r="J552" s="6" t="s">
        <v>40874</v>
      </c>
      <c r="K552" s="6" t="s">
        <v>41116</v>
      </c>
      <c r="L552" s="6" t="s">
        <v>37926</v>
      </c>
      <c r="M552" s="6" t="s">
        <v>40271</v>
      </c>
      <c r="N552" s="6" t="s">
        <v>41117</v>
      </c>
      <c r="O552" s="6" t="s">
        <v>41118</v>
      </c>
      <c r="P552" s="6" t="s">
        <v>37781</v>
      </c>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row>
    <row r="553" spans="1:72">
      <c r="A553" s="8" t="s">
        <v>11287</v>
      </c>
      <c r="B553" s="11" t="s">
        <v>11291</v>
      </c>
      <c r="C553" s="9" t="s">
        <v>138</v>
      </c>
      <c r="D553" s="10" t="s">
        <v>138</v>
      </c>
      <c r="E553" s="28" t="s">
        <v>10916</v>
      </c>
      <c r="F553" s="28" t="s">
        <v>138</v>
      </c>
      <c r="G553" s="28" t="s">
        <v>740</v>
      </c>
      <c r="H553" s="13">
        <v>5</v>
      </c>
      <c r="I553" s="12" t="s">
        <v>11300</v>
      </c>
      <c r="J553" s="12" t="s">
        <v>41119</v>
      </c>
      <c r="K553" s="12" t="s">
        <v>41120</v>
      </c>
      <c r="L553" s="12" t="s">
        <v>41121</v>
      </c>
      <c r="M553" s="12" t="s">
        <v>37890</v>
      </c>
      <c r="N553" s="12" t="s">
        <v>41122</v>
      </c>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row>
    <row r="554" spans="1:72">
      <c r="A554" s="2" t="s">
        <v>11303</v>
      </c>
      <c r="B554" s="5" t="s">
        <v>11309</v>
      </c>
      <c r="C554" s="3" t="s">
        <v>138</v>
      </c>
      <c r="D554" s="4" t="s">
        <v>138</v>
      </c>
      <c r="E554" s="15" t="s">
        <v>944</v>
      </c>
      <c r="F554" s="15" t="s">
        <v>138</v>
      </c>
      <c r="G554" s="15" t="s">
        <v>946</v>
      </c>
      <c r="H554" s="7">
        <v>4</v>
      </c>
      <c r="I554" s="6" t="s">
        <v>11320</v>
      </c>
      <c r="J554" s="6" t="s">
        <v>41123</v>
      </c>
      <c r="K554" s="6" t="s">
        <v>38286</v>
      </c>
      <c r="L554" s="6" t="s">
        <v>38889</v>
      </c>
      <c r="M554" s="6" t="s">
        <v>41124</v>
      </c>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row>
    <row r="555" spans="1:72">
      <c r="A555" s="8" t="s">
        <v>11324</v>
      </c>
      <c r="B555" s="11" t="s">
        <v>11330</v>
      </c>
      <c r="C555" s="9" t="s">
        <v>11325</v>
      </c>
      <c r="D555" s="10" t="s">
        <v>138</v>
      </c>
      <c r="E555" s="28" t="s">
        <v>668</v>
      </c>
      <c r="F555" s="28" t="s">
        <v>200</v>
      </c>
      <c r="G555" s="28" t="s">
        <v>162</v>
      </c>
      <c r="H555" s="13">
        <v>12</v>
      </c>
      <c r="I555" s="12" t="s">
        <v>11338</v>
      </c>
      <c r="J555" s="12" t="s">
        <v>37811</v>
      </c>
      <c r="K555" s="12" t="s">
        <v>39001</v>
      </c>
      <c r="L555" s="12" t="s">
        <v>41125</v>
      </c>
      <c r="M555" s="12" t="s">
        <v>38569</v>
      </c>
      <c r="N555" s="12" t="s">
        <v>40413</v>
      </c>
      <c r="O555" s="12" t="s">
        <v>39405</v>
      </c>
      <c r="P555" s="12" t="s">
        <v>41126</v>
      </c>
      <c r="Q555" s="12" t="s">
        <v>37805</v>
      </c>
      <c r="R555" s="12" t="s">
        <v>37806</v>
      </c>
      <c r="S555" s="12" t="s">
        <v>39108</v>
      </c>
      <c r="T555" s="12" t="s">
        <v>39109</v>
      </c>
      <c r="U555" s="12" t="s">
        <v>41127</v>
      </c>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row>
    <row r="556" spans="1:72">
      <c r="A556" s="2" t="s">
        <v>11341</v>
      </c>
      <c r="B556" s="5" t="s">
        <v>11345</v>
      </c>
      <c r="C556" s="3" t="s">
        <v>138</v>
      </c>
      <c r="D556" s="4" t="s">
        <v>138</v>
      </c>
      <c r="E556" s="15" t="s">
        <v>11354</v>
      </c>
      <c r="F556" s="15" t="s">
        <v>138</v>
      </c>
      <c r="G556" s="15" t="s">
        <v>1416</v>
      </c>
      <c r="H556" s="7">
        <v>8</v>
      </c>
      <c r="I556" s="6" t="s">
        <v>11358</v>
      </c>
      <c r="J556" s="6" t="s">
        <v>41128</v>
      </c>
      <c r="K556" s="6" t="s">
        <v>37799</v>
      </c>
      <c r="L556" s="6" t="s">
        <v>39286</v>
      </c>
      <c r="M556" s="6" t="s">
        <v>41129</v>
      </c>
      <c r="N556" s="6" t="s">
        <v>37781</v>
      </c>
      <c r="O556" s="6" t="s">
        <v>41130</v>
      </c>
      <c r="P556" s="6" t="s">
        <v>41131</v>
      </c>
      <c r="Q556" s="6" t="s">
        <v>37976</v>
      </c>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row>
    <row r="557" spans="1:72">
      <c r="A557" s="8" t="s">
        <v>11361</v>
      </c>
      <c r="B557" s="11" t="s">
        <v>11367</v>
      </c>
      <c r="C557" s="9" t="s">
        <v>138</v>
      </c>
      <c r="D557" s="10" t="s">
        <v>11362</v>
      </c>
      <c r="E557" s="28" t="s">
        <v>7019</v>
      </c>
      <c r="F557" s="28" t="s">
        <v>138</v>
      </c>
      <c r="G557" s="28" t="s">
        <v>7021</v>
      </c>
      <c r="H557" s="13">
        <v>4</v>
      </c>
      <c r="I557" s="12" t="s">
        <v>11377</v>
      </c>
      <c r="J557" s="12" t="s">
        <v>41132</v>
      </c>
      <c r="K557" s="12" t="s">
        <v>39981</v>
      </c>
      <c r="L557" s="12" t="s">
        <v>39181</v>
      </c>
      <c r="M557" s="12" t="s">
        <v>41133</v>
      </c>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row>
    <row r="558" spans="1:72">
      <c r="A558" s="2" t="s">
        <v>11381</v>
      </c>
      <c r="B558" s="5" t="s">
        <v>11385</v>
      </c>
      <c r="C558" s="3" t="s">
        <v>138</v>
      </c>
      <c r="D558" s="4" t="s">
        <v>138</v>
      </c>
      <c r="E558" s="15" t="s">
        <v>11390</v>
      </c>
      <c r="F558" s="15" t="s">
        <v>200</v>
      </c>
      <c r="G558" s="15" t="s">
        <v>162</v>
      </c>
      <c r="H558" s="7">
        <v>2</v>
      </c>
      <c r="I558" s="6" t="s">
        <v>11393</v>
      </c>
      <c r="J558" s="6" t="s">
        <v>16877</v>
      </c>
      <c r="K558" s="6" t="s">
        <v>41134</v>
      </c>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row>
    <row r="559" spans="1:72">
      <c r="A559" s="8" t="s">
        <v>11396</v>
      </c>
      <c r="B559" s="11" t="s">
        <v>11401</v>
      </c>
      <c r="C559" s="9" t="s">
        <v>138</v>
      </c>
      <c r="D559" s="10" t="s">
        <v>138</v>
      </c>
      <c r="E559" s="28" t="s">
        <v>4492</v>
      </c>
      <c r="F559" s="28" t="s">
        <v>4493</v>
      </c>
      <c r="G559" s="28" t="s">
        <v>162</v>
      </c>
      <c r="H559" s="13">
        <v>8</v>
      </c>
      <c r="I559" s="12" t="s">
        <v>11410</v>
      </c>
      <c r="J559" s="12" t="s">
        <v>13763</v>
      </c>
      <c r="K559" s="12" t="s">
        <v>41135</v>
      </c>
      <c r="L559" s="12" t="s">
        <v>41136</v>
      </c>
      <c r="M559" s="12" t="s">
        <v>41137</v>
      </c>
      <c r="N559" s="12" t="s">
        <v>39181</v>
      </c>
      <c r="O559" s="12" t="s">
        <v>41138</v>
      </c>
      <c r="P559" s="12" t="s">
        <v>41139</v>
      </c>
      <c r="Q559" s="12" t="s">
        <v>41140</v>
      </c>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row>
    <row r="560" spans="1:72">
      <c r="A560" s="2" t="s">
        <v>11413</v>
      </c>
      <c r="B560" s="5" t="s">
        <v>11418</v>
      </c>
      <c r="C560" s="3" t="s">
        <v>138</v>
      </c>
      <c r="D560" s="4" t="s">
        <v>138</v>
      </c>
      <c r="E560" s="15" t="s">
        <v>668</v>
      </c>
      <c r="F560" s="15" t="s">
        <v>200</v>
      </c>
      <c r="G560" s="15" t="s">
        <v>162</v>
      </c>
      <c r="H560" s="7">
        <v>13</v>
      </c>
      <c r="I560" s="6" t="s">
        <v>11425</v>
      </c>
      <c r="J560" s="6" t="s">
        <v>38373</v>
      </c>
      <c r="K560" s="6" t="s">
        <v>37819</v>
      </c>
      <c r="L560" s="6" t="s">
        <v>41141</v>
      </c>
      <c r="M560" s="6" t="s">
        <v>41142</v>
      </c>
      <c r="N560" s="6" t="s">
        <v>41143</v>
      </c>
      <c r="O560" s="6" t="s">
        <v>37801</v>
      </c>
      <c r="P560" s="6" t="s">
        <v>38910</v>
      </c>
      <c r="Q560" s="6" t="s">
        <v>38514</v>
      </c>
      <c r="R560" s="6" t="s">
        <v>41144</v>
      </c>
      <c r="S560" s="6" t="s">
        <v>41145</v>
      </c>
      <c r="T560" s="6" t="s">
        <v>40247</v>
      </c>
      <c r="U560" s="6" t="s">
        <v>41146</v>
      </c>
      <c r="V560" s="6" t="s">
        <v>37976</v>
      </c>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row>
    <row r="561" spans="1:72">
      <c r="A561" s="8" t="s">
        <v>11428</v>
      </c>
      <c r="B561" s="11" t="s">
        <v>11432</v>
      </c>
      <c r="C561" s="9" t="s">
        <v>138</v>
      </c>
      <c r="D561" s="10" t="s">
        <v>138</v>
      </c>
      <c r="E561" s="28" t="s">
        <v>6650</v>
      </c>
      <c r="F561" s="28" t="s">
        <v>200</v>
      </c>
      <c r="G561" s="28" t="s">
        <v>162</v>
      </c>
      <c r="H561" s="13">
        <v>3</v>
      </c>
      <c r="I561" s="12" t="s">
        <v>11443</v>
      </c>
      <c r="J561" s="12" t="s">
        <v>41147</v>
      </c>
      <c r="K561" s="12" t="s">
        <v>41148</v>
      </c>
      <c r="L561" s="12" t="s">
        <v>37781</v>
      </c>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row>
    <row r="562" spans="1:72">
      <c r="A562" s="2" t="s">
        <v>11447</v>
      </c>
      <c r="B562" s="5" t="s">
        <v>11452</v>
      </c>
      <c r="C562" s="3" t="s">
        <v>138</v>
      </c>
      <c r="D562" s="4" t="s">
        <v>138</v>
      </c>
      <c r="E562" s="15" t="s">
        <v>863</v>
      </c>
      <c r="F562" s="15" t="s">
        <v>864</v>
      </c>
      <c r="G562" s="15" t="s">
        <v>162</v>
      </c>
      <c r="H562" s="7">
        <v>4</v>
      </c>
      <c r="I562" s="6" t="s">
        <v>11461</v>
      </c>
      <c r="J562" s="6" t="s">
        <v>455</v>
      </c>
      <c r="K562" s="6" t="s">
        <v>41149</v>
      </c>
      <c r="L562" s="6" t="s">
        <v>38668</v>
      </c>
      <c r="M562" s="6" t="s">
        <v>41150</v>
      </c>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row>
    <row r="563" spans="1:72">
      <c r="A563" s="8" t="s">
        <v>11464</v>
      </c>
      <c r="B563" s="11" t="s">
        <v>11469</v>
      </c>
      <c r="C563" s="9" t="s">
        <v>138</v>
      </c>
      <c r="D563" s="10" t="s">
        <v>138</v>
      </c>
      <c r="E563" s="28" t="s">
        <v>426</v>
      </c>
      <c r="F563" s="28" t="s">
        <v>426</v>
      </c>
      <c r="G563" s="28" t="s">
        <v>162</v>
      </c>
      <c r="H563" s="13">
        <v>10</v>
      </c>
      <c r="I563" s="12" t="s">
        <v>11475</v>
      </c>
      <c r="J563" s="12" t="s">
        <v>41151</v>
      </c>
      <c r="K563" s="12" t="s">
        <v>37786</v>
      </c>
      <c r="L563" s="12" t="s">
        <v>37952</v>
      </c>
      <c r="M563" s="12" t="s">
        <v>41152</v>
      </c>
      <c r="N563" s="12" t="s">
        <v>39416</v>
      </c>
      <c r="O563" s="12" t="s">
        <v>38182</v>
      </c>
      <c r="P563" s="12" t="s">
        <v>41153</v>
      </c>
      <c r="Q563" s="12" t="s">
        <v>41154</v>
      </c>
      <c r="R563" s="12" t="s">
        <v>41155</v>
      </c>
      <c r="S563" s="12" t="s">
        <v>37976</v>
      </c>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row>
    <row r="564" spans="1:72">
      <c r="A564" s="2" t="s">
        <v>11478</v>
      </c>
      <c r="B564" s="5" t="s">
        <v>11481</v>
      </c>
      <c r="C564" s="3" t="s">
        <v>138</v>
      </c>
      <c r="D564" s="4" t="s">
        <v>138</v>
      </c>
      <c r="E564" s="15" t="s">
        <v>11489</v>
      </c>
      <c r="F564" s="15" t="s">
        <v>138</v>
      </c>
      <c r="G564" s="15" t="s">
        <v>3693</v>
      </c>
      <c r="H564" s="7">
        <v>4</v>
      </c>
      <c r="I564" s="6" t="s">
        <v>11493</v>
      </c>
      <c r="J564" s="6" t="s">
        <v>39462</v>
      </c>
      <c r="K564" s="6" t="s">
        <v>41156</v>
      </c>
      <c r="L564" s="6" t="s">
        <v>41157</v>
      </c>
      <c r="M564" s="6" t="s">
        <v>41158</v>
      </c>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row>
    <row r="565" spans="1:72">
      <c r="A565" s="8" t="s">
        <v>11496</v>
      </c>
      <c r="B565" s="11" t="s">
        <v>11500</v>
      </c>
      <c r="C565" s="9" t="s">
        <v>138</v>
      </c>
      <c r="D565" s="10" t="s">
        <v>138</v>
      </c>
      <c r="E565" s="28" t="s">
        <v>11509</v>
      </c>
      <c r="F565" s="28" t="s">
        <v>138</v>
      </c>
      <c r="G565" s="28" t="s">
        <v>3996</v>
      </c>
      <c r="H565" s="13">
        <v>8</v>
      </c>
      <c r="I565" s="12" t="s">
        <v>11514</v>
      </c>
      <c r="J565" s="12" t="s">
        <v>41159</v>
      </c>
      <c r="K565" s="12" t="s">
        <v>41160</v>
      </c>
      <c r="L565" s="12" t="s">
        <v>41161</v>
      </c>
      <c r="M565" s="12" t="s">
        <v>41162</v>
      </c>
      <c r="N565" s="12" t="s">
        <v>41163</v>
      </c>
      <c r="O565" s="12" t="s">
        <v>38363</v>
      </c>
      <c r="P565" s="12" t="s">
        <v>41164</v>
      </c>
      <c r="Q565" s="12" t="s">
        <v>39126</v>
      </c>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row>
    <row r="566" spans="1:72">
      <c r="A566" s="2" t="s">
        <v>11517</v>
      </c>
      <c r="B566" s="5" t="s">
        <v>11522</v>
      </c>
      <c r="C566" s="3" t="s">
        <v>138</v>
      </c>
      <c r="D566" s="4" t="s">
        <v>138</v>
      </c>
      <c r="E566" s="15" t="s">
        <v>4878</v>
      </c>
      <c r="F566" s="15" t="s">
        <v>200</v>
      </c>
      <c r="G566" s="15" t="s">
        <v>162</v>
      </c>
      <c r="H566" s="7">
        <v>8</v>
      </c>
      <c r="I566" s="6" t="s">
        <v>11531</v>
      </c>
      <c r="J566" s="6" t="s">
        <v>25820</v>
      </c>
      <c r="K566" s="6" t="s">
        <v>41165</v>
      </c>
      <c r="L566" s="6" t="s">
        <v>41166</v>
      </c>
      <c r="M566" s="6" t="s">
        <v>40755</v>
      </c>
      <c r="N566" s="6" t="s">
        <v>41167</v>
      </c>
      <c r="O566" s="6" t="s">
        <v>40756</v>
      </c>
      <c r="P566" s="6" t="s">
        <v>41168</v>
      </c>
      <c r="Q566" s="6" t="s">
        <v>41169</v>
      </c>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row>
    <row r="567" spans="1:72">
      <c r="A567" s="8" t="s">
        <v>11534</v>
      </c>
      <c r="B567" s="11" t="s">
        <v>11539</v>
      </c>
      <c r="C567" s="9" t="s">
        <v>138</v>
      </c>
      <c r="D567" s="10" t="s">
        <v>138</v>
      </c>
      <c r="E567" s="28" t="s">
        <v>11548</v>
      </c>
      <c r="F567" s="28" t="s">
        <v>200</v>
      </c>
      <c r="G567" s="28" t="s">
        <v>162</v>
      </c>
      <c r="H567" s="13">
        <v>11</v>
      </c>
      <c r="I567" s="12" t="s">
        <v>11553</v>
      </c>
      <c r="J567" s="12" t="s">
        <v>41170</v>
      </c>
      <c r="K567" s="12" t="s">
        <v>41171</v>
      </c>
      <c r="L567" s="12" t="s">
        <v>38075</v>
      </c>
      <c r="M567" s="12" t="s">
        <v>41172</v>
      </c>
      <c r="N567" s="12" t="s">
        <v>38964</v>
      </c>
      <c r="O567" s="12" t="s">
        <v>38232</v>
      </c>
      <c r="P567" s="12" t="s">
        <v>41173</v>
      </c>
      <c r="Q567" s="12" t="s">
        <v>37960</v>
      </c>
      <c r="R567" s="12" t="s">
        <v>37764</v>
      </c>
      <c r="S567" s="12" t="s">
        <v>41174</v>
      </c>
      <c r="T567" s="12" t="s">
        <v>38131</v>
      </c>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row>
    <row r="568" spans="1:72">
      <c r="A568" s="2" t="s">
        <v>11556</v>
      </c>
      <c r="B568" s="5" t="s">
        <v>11562</v>
      </c>
      <c r="C568" s="3" t="s">
        <v>138</v>
      </c>
      <c r="D568" s="4" t="s">
        <v>11557</v>
      </c>
      <c r="E568" s="15" t="s">
        <v>11571</v>
      </c>
      <c r="F568" s="15" t="s">
        <v>138</v>
      </c>
      <c r="G568" s="15" t="s">
        <v>11573</v>
      </c>
      <c r="H568" s="7">
        <v>6</v>
      </c>
      <c r="I568" s="6" t="s">
        <v>11576</v>
      </c>
      <c r="J568" s="6" t="s">
        <v>41175</v>
      </c>
      <c r="K568" s="6" t="s">
        <v>41176</v>
      </c>
      <c r="L568" s="6" t="s">
        <v>41177</v>
      </c>
      <c r="M568" s="6" t="s">
        <v>41178</v>
      </c>
      <c r="N568" s="6" t="s">
        <v>41179</v>
      </c>
      <c r="O568" s="6" t="s">
        <v>39074</v>
      </c>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row>
    <row r="569" spans="1:72">
      <c r="A569" s="8" t="s">
        <v>11579</v>
      </c>
      <c r="B569" s="11" t="s">
        <v>11584</v>
      </c>
      <c r="C569" s="9" t="s">
        <v>11580</v>
      </c>
      <c r="D569" s="10" t="s">
        <v>138</v>
      </c>
      <c r="E569" s="28" t="s">
        <v>9463</v>
      </c>
      <c r="F569" s="28" t="s">
        <v>9464</v>
      </c>
      <c r="G569" s="28" t="s">
        <v>162</v>
      </c>
      <c r="H569" s="13">
        <v>4</v>
      </c>
      <c r="I569" s="12" t="s">
        <v>11596</v>
      </c>
      <c r="J569" s="12" t="s">
        <v>37790</v>
      </c>
      <c r="K569" s="12" t="s">
        <v>41180</v>
      </c>
      <c r="L569" s="12" t="s">
        <v>38195</v>
      </c>
      <c r="M569" s="12" t="s">
        <v>38878</v>
      </c>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row>
    <row r="570" spans="1:72">
      <c r="A570" s="2" t="s">
        <v>11599</v>
      </c>
      <c r="B570" s="5" t="s">
        <v>138</v>
      </c>
      <c r="C570" s="3" t="s">
        <v>138</v>
      </c>
      <c r="D570" s="4" t="s">
        <v>138</v>
      </c>
      <c r="E570" s="15" t="s">
        <v>138</v>
      </c>
      <c r="F570" s="15" t="s">
        <v>138</v>
      </c>
      <c r="G570" s="15" t="s">
        <v>450</v>
      </c>
      <c r="H570" s="7">
        <v>4</v>
      </c>
      <c r="I570" s="6" t="s">
        <v>11606</v>
      </c>
      <c r="J570" s="6" t="s">
        <v>455</v>
      </c>
      <c r="K570" s="6" t="s">
        <v>41181</v>
      </c>
      <c r="L570" s="6" t="s">
        <v>41182</v>
      </c>
      <c r="M570" s="6" t="s">
        <v>41183</v>
      </c>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row>
    <row r="571" spans="1:72">
      <c r="A571" s="8" t="s">
        <v>11609</v>
      </c>
      <c r="B571" s="11" t="s">
        <v>11613</v>
      </c>
      <c r="C571" s="9" t="s">
        <v>138</v>
      </c>
      <c r="D571" s="10" t="s">
        <v>11610</v>
      </c>
      <c r="E571" s="28" t="s">
        <v>1223</v>
      </c>
      <c r="F571" s="28" t="s">
        <v>200</v>
      </c>
      <c r="G571" s="28" t="s">
        <v>162</v>
      </c>
      <c r="H571" s="13">
        <v>15</v>
      </c>
      <c r="I571" s="12" t="s">
        <v>11622</v>
      </c>
      <c r="J571" s="12" t="s">
        <v>41184</v>
      </c>
      <c r="K571" s="12" t="s">
        <v>41185</v>
      </c>
      <c r="L571" s="12" t="s">
        <v>39054</v>
      </c>
      <c r="M571" s="12" t="s">
        <v>41186</v>
      </c>
      <c r="N571" s="12" t="s">
        <v>41187</v>
      </c>
      <c r="O571" s="12" t="s">
        <v>41188</v>
      </c>
      <c r="P571" s="12" t="s">
        <v>41189</v>
      </c>
      <c r="Q571" s="12" t="s">
        <v>38332</v>
      </c>
      <c r="R571" s="12" t="s">
        <v>38931</v>
      </c>
      <c r="S571" s="12" t="s">
        <v>41190</v>
      </c>
      <c r="T571" s="12" t="s">
        <v>38286</v>
      </c>
      <c r="U571" s="12" t="s">
        <v>39476</v>
      </c>
      <c r="V571" s="12" t="s">
        <v>41191</v>
      </c>
      <c r="W571" s="12" t="s">
        <v>41192</v>
      </c>
      <c r="X571" s="12" t="s">
        <v>41193</v>
      </c>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row>
    <row r="572" spans="1:72">
      <c r="A572" s="2" t="s">
        <v>11626</v>
      </c>
      <c r="B572" s="5" t="s">
        <v>11630</v>
      </c>
      <c r="C572" s="3" t="s">
        <v>138</v>
      </c>
      <c r="D572" s="4" t="s">
        <v>138</v>
      </c>
      <c r="E572" s="15" t="s">
        <v>1294</v>
      </c>
      <c r="F572" s="15" t="s">
        <v>864</v>
      </c>
      <c r="G572" s="15" t="s">
        <v>162</v>
      </c>
      <c r="H572" s="7">
        <v>18</v>
      </c>
      <c r="I572" s="6" t="s">
        <v>11639</v>
      </c>
      <c r="J572" s="6" t="s">
        <v>38519</v>
      </c>
      <c r="K572" s="6" t="s">
        <v>41194</v>
      </c>
      <c r="L572" s="6" t="s">
        <v>38520</v>
      </c>
      <c r="M572" s="6" t="s">
        <v>41195</v>
      </c>
      <c r="N572" s="6" t="s">
        <v>38366</v>
      </c>
      <c r="O572" s="6" t="s">
        <v>41196</v>
      </c>
      <c r="P572" s="6" t="s">
        <v>38043</v>
      </c>
      <c r="Q572" s="6" t="s">
        <v>41197</v>
      </c>
      <c r="R572" s="6" t="s">
        <v>41198</v>
      </c>
      <c r="S572" s="6" t="s">
        <v>41199</v>
      </c>
      <c r="T572" s="6" t="s">
        <v>41200</v>
      </c>
      <c r="U572" s="6" t="s">
        <v>41201</v>
      </c>
      <c r="V572" s="6" t="s">
        <v>39329</v>
      </c>
      <c r="W572" s="6" t="s">
        <v>41202</v>
      </c>
      <c r="X572" s="6" t="s">
        <v>41203</v>
      </c>
      <c r="Y572" s="6" t="s">
        <v>41204</v>
      </c>
      <c r="Z572" s="6" t="s">
        <v>41205</v>
      </c>
      <c r="AA572" s="6" t="s">
        <v>41206</v>
      </c>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row>
    <row r="573" spans="1:72">
      <c r="A573" s="8" t="s">
        <v>11643</v>
      </c>
      <c r="B573" s="11" t="s">
        <v>11648</v>
      </c>
      <c r="C573" s="9" t="s">
        <v>138</v>
      </c>
      <c r="D573" s="10" t="s">
        <v>138</v>
      </c>
      <c r="E573" s="28" t="s">
        <v>668</v>
      </c>
      <c r="F573" s="28" t="s">
        <v>200</v>
      </c>
      <c r="G573" s="28" t="s">
        <v>162</v>
      </c>
      <c r="H573" s="13">
        <v>8</v>
      </c>
      <c r="I573" s="12" t="s">
        <v>11655</v>
      </c>
      <c r="J573" s="12" t="s">
        <v>40411</v>
      </c>
      <c r="K573" s="12" t="s">
        <v>40597</v>
      </c>
      <c r="L573" s="12" t="s">
        <v>38199</v>
      </c>
      <c r="M573" s="12" t="s">
        <v>41207</v>
      </c>
      <c r="N573" s="12" t="s">
        <v>41114</v>
      </c>
      <c r="O573" s="12" t="s">
        <v>39544</v>
      </c>
      <c r="P573" s="12" t="s">
        <v>41208</v>
      </c>
      <c r="Q573" s="12" t="s">
        <v>39074</v>
      </c>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row>
    <row r="574" spans="1:72">
      <c r="A574" s="2" t="s">
        <v>11658</v>
      </c>
      <c r="B574" s="5" t="s">
        <v>11662</v>
      </c>
      <c r="C574" s="3" t="s">
        <v>138</v>
      </c>
      <c r="D574" s="4" t="s">
        <v>138</v>
      </c>
      <c r="E574" s="15" t="s">
        <v>2882</v>
      </c>
      <c r="F574" s="15" t="s">
        <v>2883</v>
      </c>
      <c r="G574" s="15" t="s">
        <v>162</v>
      </c>
      <c r="H574" s="7">
        <v>12</v>
      </c>
      <c r="I574" s="6" t="s">
        <v>11670</v>
      </c>
      <c r="J574" s="6" t="s">
        <v>41209</v>
      </c>
      <c r="K574" s="6" t="s">
        <v>41210</v>
      </c>
      <c r="L574" s="6" t="s">
        <v>41211</v>
      </c>
      <c r="M574" s="6" t="s">
        <v>41212</v>
      </c>
      <c r="N574" s="6" t="s">
        <v>41213</v>
      </c>
      <c r="O574" s="6" t="s">
        <v>41214</v>
      </c>
      <c r="P574" s="6" t="s">
        <v>39446</v>
      </c>
      <c r="Q574" s="6" t="s">
        <v>41215</v>
      </c>
      <c r="R574" s="6" t="s">
        <v>41216</v>
      </c>
      <c r="S574" s="6" t="s">
        <v>40869</v>
      </c>
      <c r="T574" s="6" t="s">
        <v>41217</v>
      </c>
      <c r="U574" s="6" t="s">
        <v>41218</v>
      </c>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row>
    <row r="575" spans="1:72">
      <c r="A575" s="8" t="s">
        <v>11674</v>
      </c>
      <c r="B575" s="11" t="s">
        <v>11680</v>
      </c>
      <c r="C575" s="9" t="s">
        <v>138</v>
      </c>
      <c r="D575" s="10" t="s">
        <v>138</v>
      </c>
      <c r="E575" s="28" t="s">
        <v>1223</v>
      </c>
      <c r="F575" s="28" t="s">
        <v>200</v>
      </c>
      <c r="G575" s="28" t="s">
        <v>162</v>
      </c>
      <c r="H575" s="13">
        <v>7</v>
      </c>
      <c r="I575" s="12" t="s">
        <v>11690</v>
      </c>
      <c r="J575" s="12" t="s">
        <v>41219</v>
      </c>
      <c r="K575" s="12" t="s">
        <v>38299</v>
      </c>
      <c r="L575" s="12" t="s">
        <v>39438</v>
      </c>
      <c r="M575" s="12" t="s">
        <v>41220</v>
      </c>
      <c r="N575" s="12" t="s">
        <v>38975</v>
      </c>
      <c r="O575" s="12" t="s">
        <v>38084</v>
      </c>
      <c r="P575" s="12" t="s">
        <v>41221</v>
      </c>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row>
    <row r="576" spans="1:72">
      <c r="A576" s="2" t="s">
        <v>11695</v>
      </c>
      <c r="B576" s="5" t="s">
        <v>11700</v>
      </c>
      <c r="C576" s="3" t="s">
        <v>11696</v>
      </c>
      <c r="D576" s="4" t="s">
        <v>138</v>
      </c>
      <c r="E576" s="15" t="s">
        <v>1246</v>
      </c>
      <c r="F576" s="15" t="s">
        <v>200</v>
      </c>
      <c r="G576" s="15" t="s">
        <v>162</v>
      </c>
      <c r="H576" s="7">
        <v>9</v>
      </c>
      <c r="I576" s="6" t="s">
        <v>11709</v>
      </c>
      <c r="J576" s="6" t="s">
        <v>41222</v>
      </c>
      <c r="K576" s="6" t="s">
        <v>37943</v>
      </c>
      <c r="L576" s="6" t="s">
        <v>38844</v>
      </c>
      <c r="M576" s="6" t="s">
        <v>41223</v>
      </c>
      <c r="N576" s="6" t="s">
        <v>41118</v>
      </c>
      <c r="O576" s="6" t="s">
        <v>41224</v>
      </c>
      <c r="P576" s="6" t="s">
        <v>41225</v>
      </c>
      <c r="Q576" s="6" t="s">
        <v>38195</v>
      </c>
      <c r="R576" s="6" t="s">
        <v>38787</v>
      </c>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row>
    <row r="577" spans="1:72">
      <c r="A577" s="8" t="s">
        <v>11713</v>
      </c>
      <c r="B577" s="11" t="s">
        <v>11720</v>
      </c>
      <c r="C577" s="9" t="s">
        <v>11714</v>
      </c>
      <c r="D577" s="10" t="s">
        <v>138</v>
      </c>
      <c r="E577" s="28" t="s">
        <v>668</v>
      </c>
      <c r="F577" s="28" t="s">
        <v>200</v>
      </c>
      <c r="G577" s="28" t="s">
        <v>162</v>
      </c>
      <c r="H577" s="13">
        <v>45</v>
      </c>
      <c r="I577" s="12" t="s">
        <v>11728</v>
      </c>
      <c r="J577" s="12" t="s">
        <v>41226</v>
      </c>
      <c r="K577" s="12" t="s">
        <v>41227</v>
      </c>
      <c r="L577" s="12" t="s">
        <v>40343</v>
      </c>
      <c r="M577" s="12" t="s">
        <v>37979</v>
      </c>
      <c r="N577" s="12" t="s">
        <v>37936</v>
      </c>
      <c r="O577" s="12" t="s">
        <v>39933</v>
      </c>
      <c r="P577" s="12" t="s">
        <v>41228</v>
      </c>
      <c r="Q577" s="12" t="s">
        <v>41229</v>
      </c>
      <c r="R577" s="12" t="s">
        <v>38414</v>
      </c>
      <c r="S577" s="12" t="s">
        <v>40413</v>
      </c>
      <c r="T577" s="12" t="s">
        <v>38485</v>
      </c>
      <c r="U577" s="12" t="s">
        <v>40516</v>
      </c>
      <c r="V577" s="12" t="s">
        <v>39093</v>
      </c>
      <c r="W577" s="12" t="s">
        <v>41230</v>
      </c>
      <c r="X577" s="12" t="s">
        <v>41231</v>
      </c>
      <c r="Y577" s="12" t="s">
        <v>41232</v>
      </c>
      <c r="Z577" s="12" t="s">
        <v>37947</v>
      </c>
      <c r="AA577" s="12" t="s">
        <v>38421</v>
      </c>
      <c r="AB577" s="12" t="s">
        <v>38803</v>
      </c>
      <c r="AC577" s="12" t="s">
        <v>41075</v>
      </c>
      <c r="AD577" s="12" t="s">
        <v>39415</v>
      </c>
      <c r="AE577" s="12" t="s">
        <v>37801</v>
      </c>
      <c r="AF577" s="12" t="s">
        <v>39186</v>
      </c>
      <c r="AG577" s="12" t="s">
        <v>38058</v>
      </c>
      <c r="AH577" s="12" t="s">
        <v>41233</v>
      </c>
      <c r="AI577" s="12" t="s">
        <v>37883</v>
      </c>
      <c r="AJ577" s="12" t="s">
        <v>38688</v>
      </c>
      <c r="AK577" s="12" t="s">
        <v>41234</v>
      </c>
      <c r="AL577" s="12" t="s">
        <v>39103</v>
      </c>
      <c r="AM577" s="12" t="s">
        <v>41235</v>
      </c>
      <c r="AN577" s="12" t="s">
        <v>41236</v>
      </c>
      <c r="AO577" s="12" t="s">
        <v>40307</v>
      </c>
      <c r="AP577" s="12" t="s">
        <v>38184</v>
      </c>
      <c r="AQ577" s="12" t="s">
        <v>38000</v>
      </c>
      <c r="AR577" s="12" t="s">
        <v>39524</v>
      </c>
      <c r="AS577" s="12" t="s">
        <v>40505</v>
      </c>
      <c r="AT577" s="12" t="s">
        <v>41237</v>
      </c>
      <c r="AU577" s="12" t="s">
        <v>38704</v>
      </c>
      <c r="AV577" s="12" t="s">
        <v>38479</v>
      </c>
      <c r="AW577" s="12" t="s">
        <v>39169</v>
      </c>
      <c r="AX577" s="12" t="s">
        <v>41238</v>
      </c>
      <c r="AY577" s="12" t="s">
        <v>41239</v>
      </c>
      <c r="AZ577" s="12" t="s">
        <v>41240</v>
      </c>
      <c r="BA577" s="12" t="s">
        <v>41241</v>
      </c>
      <c r="BB577" s="12" t="s">
        <v>40825</v>
      </c>
      <c r="BC577" s="12"/>
      <c r="BD577" s="12"/>
      <c r="BE577" s="12"/>
      <c r="BF577" s="12"/>
      <c r="BG577" s="12"/>
      <c r="BH577" s="12"/>
      <c r="BI577" s="12"/>
      <c r="BJ577" s="12"/>
      <c r="BK577" s="12"/>
      <c r="BL577" s="12"/>
      <c r="BM577" s="12"/>
      <c r="BN577" s="12"/>
      <c r="BO577" s="12"/>
      <c r="BP577" s="12"/>
      <c r="BQ577" s="12"/>
      <c r="BR577" s="12"/>
      <c r="BS577" s="12"/>
      <c r="BT577" s="12"/>
    </row>
    <row r="578" spans="1:72">
      <c r="A578" s="2" t="s">
        <v>11735</v>
      </c>
      <c r="B578" s="5" t="s">
        <v>11741</v>
      </c>
      <c r="C578" s="3" t="s">
        <v>11736</v>
      </c>
      <c r="D578" s="4" t="s">
        <v>11737</v>
      </c>
      <c r="E578" s="15" t="s">
        <v>11750</v>
      </c>
      <c r="F578" s="15" t="s">
        <v>200</v>
      </c>
      <c r="G578" s="15" t="s">
        <v>162</v>
      </c>
      <c r="H578" s="7">
        <v>17</v>
      </c>
      <c r="I578" s="6" t="s">
        <v>11754</v>
      </c>
      <c r="J578" s="6" t="s">
        <v>41242</v>
      </c>
      <c r="K578" s="6" t="s">
        <v>38663</v>
      </c>
      <c r="L578" s="6" t="s">
        <v>41243</v>
      </c>
      <c r="M578" s="6" t="s">
        <v>41244</v>
      </c>
      <c r="N578" s="6" t="s">
        <v>41245</v>
      </c>
      <c r="O578" s="6" t="s">
        <v>38803</v>
      </c>
      <c r="P578" s="6" t="s">
        <v>37801</v>
      </c>
      <c r="Q578" s="6" t="s">
        <v>38013</v>
      </c>
      <c r="R578" s="6" t="s">
        <v>39405</v>
      </c>
      <c r="S578" s="6" t="s">
        <v>41246</v>
      </c>
      <c r="T578" s="6" t="s">
        <v>38062</v>
      </c>
      <c r="U578" s="6" t="s">
        <v>39219</v>
      </c>
      <c r="V578" s="6" t="s">
        <v>39057</v>
      </c>
      <c r="W578" s="6" t="s">
        <v>37915</v>
      </c>
      <c r="X578" s="6" t="s">
        <v>41247</v>
      </c>
      <c r="Y578" s="6" t="s">
        <v>37893</v>
      </c>
      <c r="Z578" s="6" t="s">
        <v>40367</v>
      </c>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row>
    <row r="579" spans="1:72">
      <c r="A579" s="8" t="s">
        <v>11757</v>
      </c>
      <c r="B579" s="11" t="s">
        <v>11762</v>
      </c>
      <c r="C579" s="9" t="s">
        <v>138</v>
      </c>
      <c r="D579" s="10" t="s">
        <v>138</v>
      </c>
      <c r="E579" s="28" t="s">
        <v>668</v>
      </c>
      <c r="F579" s="28" t="s">
        <v>200</v>
      </c>
      <c r="G579" s="28" t="s">
        <v>162</v>
      </c>
      <c r="H579" s="13">
        <v>40</v>
      </c>
      <c r="I579" s="12" t="s">
        <v>11771</v>
      </c>
      <c r="J579" s="12" t="s">
        <v>41248</v>
      </c>
      <c r="K579" s="12" t="s">
        <v>39001</v>
      </c>
      <c r="L579" s="12" t="s">
        <v>41249</v>
      </c>
      <c r="M579" s="12" t="s">
        <v>41250</v>
      </c>
      <c r="N579" s="12" t="s">
        <v>39687</v>
      </c>
      <c r="O579" s="12" t="s">
        <v>38569</v>
      </c>
      <c r="P579" s="12" t="s">
        <v>38348</v>
      </c>
      <c r="Q579" s="12" t="s">
        <v>37985</v>
      </c>
      <c r="R579" s="12" t="s">
        <v>38367</v>
      </c>
      <c r="S579" s="12" t="s">
        <v>38113</v>
      </c>
      <c r="T579" s="12" t="s">
        <v>38349</v>
      </c>
      <c r="U579" s="12" t="s">
        <v>41251</v>
      </c>
      <c r="V579" s="12" t="s">
        <v>37801</v>
      </c>
      <c r="W579" s="12" t="s">
        <v>40518</v>
      </c>
      <c r="X579" s="12" t="s">
        <v>38116</v>
      </c>
      <c r="Y579" s="12" t="s">
        <v>41252</v>
      </c>
      <c r="Z579" s="12" t="s">
        <v>40576</v>
      </c>
      <c r="AA579" s="12" t="s">
        <v>41253</v>
      </c>
      <c r="AB579" s="12" t="s">
        <v>41254</v>
      </c>
      <c r="AC579" s="12" t="s">
        <v>41255</v>
      </c>
      <c r="AD579" s="12" t="s">
        <v>41256</v>
      </c>
      <c r="AE579" s="12" t="s">
        <v>41257</v>
      </c>
      <c r="AF579" s="12" t="s">
        <v>41258</v>
      </c>
      <c r="AG579" s="12" t="s">
        <v>40521</v>
      </c>
      <c r="AH579" s="12" t="s">
        <v>41259</v>
      </c>
      <c r="AI579" s="12" t="s">
        <v>41260</v>
      </c>
      <c r="AJ579" s="12" t="s">
        <v>41261</v>
      </c>
      <c r="AK579" s="12" t="s">
        <v>37965</v>
      </c>
      <c r="AL579" s="12" t="s">
        <v>38024</v>
      </c>
      <c r="AM579" s="12" t="s">
        <v>41262</v>
      </c>
      <c r="AN579" s="12" t="s">
        <v>41263</v>
      </c>
      <c r="AO579" s="12" t="s">
        <v>39734</v>
      </c>
      <c r="AP579" s="12" t="s">
        <v>38645</v>
      </c>
      <c r="AQ579" s="12" t="s">
        <v>37999</v>
      </c>
      <c r="AR579" s="12" t="s">
        <v>39295</v>
      </c>
      <c r="AS579" s="12" t="s">
        <v>41264</v>
      </c>
      <c r="AT579" s="12" t="s">
        <v>39300</v>
      </c>
      <c r="AU579" s="12" t="s">
        <v>37973</v>
      </c>
      <c r="AV579" s="12" t="s">
        <v>39033</v>
      </c>
      <c r="AW579" s="12" t="s">
        <v>41265</v>
      </c>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row>
    <row r="580" spans="1:72">
      <c r="A580" s="2" t="s">
        <v>11774</v>
      </c>
      <c r="B580" s="5" t="s">
        <v>11780</v>
      </c>
      <c r="C580" s="3" t="s">
        <v>138</v>
      </c>
      <c r="D580" s="4" t="s">
        <v>138</v>
      </c>
      <c r="E580" s="15" t="s">
        <v>426</v>
      </c>
      <c r="F580" s="15" t="s">
        <v>426</v>
      </c>
      <c r="G580" s="15" t="s">
        <v>162</v>
      </c>
      <c r="H580" s="7">
        <v>17</v>
      </c>
      <c r="I580" s="6" t="s">
        <v>11789</v>
      </c>
      <c r="J580" s="6" t="s">
        <v>38061</v>
      </c>
      <c r="K580" s="6" t="s">
        <v>37876</v>
      </c>
      <c r="L580" s="6" t="s">
        <v>41266</v>
      </c>
      <c r="M580" s="6" t="s">
        <v>37878</v>
      </c>
      <c r="N580" s="6" t="s">
        <v>37986</v>
      </c>
      <c r="O580" s="6" t="s">
        <v>38740</v>
      </c>
      <c r="P580" s="6" t="s">
        <v>39403</v>
      </c>
      <c r="Q580" s="6" t="s">
        <v>39177</v>
      </c>
      <c r="R580" s="6" t="s">
        <v>41267</v>
      </c>
      <c r="S580" s="6" t="s">
        <v>41259</v>
      </c>
      <c r="T580" s="6" t="s">
        <v>41268</v>
      </c>
      <c r="U580" s="6" t="s">
        <v>41269</v>
      </c>
      <c r="V580" s="6" t="s">
        <v>41041</v>
      </c>
      <c r="W580" s="6" t="s">
        <v>40248</v>
      </c>
      <c r="X580" s="6" t="s">
        <v>38145</v>
      </c>
      <c r="Y580" s="6" t="s">
        <v>41270</v>
      </c>
      <c r="Z580" s="6" t="s">
        <v>41271</v>
      </c>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row>
    <row r="581" spans="1:72">
      <c r="A581" s="8" t="s">
        <v>11792</v>
      </c>
      <c r="B581" s="11" t="s">
        <v>11797</v>
      </c>
      <c r="C581" s="9" t="s">
        <v>11793</v>
      </c>
      <c r="D581" s="10" t="s">
        <v>138</v>
      </c>
      <c r="E581" s="28" t="s">
        <v>668</v>
      </c>
      <c r="F581" s="28" t="s">
        <v>200</v>
      </c>
      <c r="G581" s="28" t="s">
        <v>162</v>
      </c>
      <c r="H581" s="13">
        <v>2</v>
      </c>
      <c r="I581" s="12" t="s">
        <v>11805</v>
      </c>
      <c r="J581" s="12" t="s">
        <v>24301</v>
      </c>
      <c r="K581" s="12" t="s">
        <v>41272</v>
      </c>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row>
    <row r="582" spans="1:72">
      <c r="A582" s="2" t="s">
        <v>11808</v>
      </c>
      <c r="B582" s="5" t="s">
        <v>11815</v>
      </c>
      <c r="C582" s="3" t="s">
        <v>11809</v>
      </c>
      <c r="D582" s="4" t="s">
        <v>11810</v>
      </c>
      <c r="E582" s="15" t="s">
        <v>3907</v>
      </c>
      <c r="F582" s="15" t="s">
        <v>2740</v>
      </c>
      <c r="G582" s="15" t="s">
        <v>2742</v>
      </c>
      <c r="H582" s="7">
        <v>3</v>
      </c>
      <c r="I582" s="6" t="s">
        <v>11826</v>
      </c>
      <c r="J582" s="6" t="s">
        <v>41273</v>
      </c>
      <c r="K582" s="6" t="s">
        <v>39084</v>
      </c>
      <c r="L582" s="6" t="s">
        <v>38775</v>
      </c>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row>
    <row r="583" spans="1:72">
      <c r="A583" s="8" t="s">
        <v>11829</v>
      </c>
      <c r="B583" s="11" t="s">
        <v>11833</v>
      </c>
      <c r="C583" s="9" t="s">
        <v>138</v>
      </c>
      <c r="D583" s="10" t="s">
        <v>138</v>
      </c>
      <c r="E583" s="28" t="s">
        <v>3330</v>
      </c>
      <c r="F583" s="28" t="s">
        <v>200</v>
      </c>
      <c r="G583" s="28" t="s">
        <v>162</v>
      </c>
      <c r="H583" s="13">
        <v>10</v>
      </c>
      <c r="I583" s="12" t="s">
        <v>11845</v>
      </c>
      <c r="J583" s="12" t="s">
        <v>41274</v>
      </c>
      <c r="K583" s="12" t="s">
        <v>41275</v>
      </c>
      <c r="L583" s="12" t="s">
        <v>38453</v>
      </c>
      <c r="M583" s="12" t="s">
        <v>37839</v>
      </c>
      <c r="N583" s="12" t="s">
        <v>40765</v>
      </c>
      <c r="O583" s="12" t="s">
        <v>37998</v>
      </c>
      <c r="P583" s="12" t="s">
        <v>39270</v>
      </c>
      <c r="Q583" s="12" t="s">
        <v>41276</v>
      </c>
      <c r="R583" s="12" t="s">
        <v>41277</v>
      </c>
      <c r="S583" s="12" t="s">
        <v>41278</v>
      </c>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row>
    <row r="584" spans="1:72">
      <c r="A584" s="2" t="s">
        <v>11849</v>
      </c>
      <c r="B584" s="5" t="s">
        <v>11854</v>
      </c>
      <c r="C584" s="3" t="s">
        <v>138</v>
      </c>
      <c r="D584" s="4" t="s">
        <v>138</v>
      </c>
      <c r="E584" s="15" t="s">
        <v>668</v>
      </c>
      <c r="F584" s="15" t="s">
        <v>200</v>
      </c>
      <c r="G584" s="15" t="s">
        <v>162</v>
      </c>
      <c r="H584" s="7">
        <v>5</v>
      </c>
      <c r="I584" s="6" t="s">
        <v>11862</v>
      </c>
      <c r="J584" s="6" t="s">
        <v>41279</v>
      </c>
      <c r="K584" s="6" t="s">
        <v>37839</v>
      </c>
      <c r="L584" s="6" t="s">
        <v>37805</v>
      </c>
      <c r="M584" s="6" t="s">
        <v>41280</v>
      </c>
      <c r="N584" s="6" t="s">
        <v>37783</v>
      </c>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row>
    <row r="585" spans="1:72">
      <c r="A585" s="8" t="s">
        <v>11865</v>
      </c>
      <c r="B585" s="11" t="s">
        <v>11871</v>
      </c>
      <c r="C585" s="9" t="s">
        <v>138</v>
      </c>
      <c r="D585" s="10" t="s">
        <v>138</v>
      </c>
      <c r="E585" s="28" t="s">
        <v>668</v>
      </c>
      <c r="F585" s="28" t="s">
        <v>200</v>
      </c>
      <c r="G585" s="28" t="s">
        <v>162</v>
      </c>
      <c r="H585" s="13">
        <v>24</v>
      </c>
      <c r="I585" s="12" t="s">
        <v>11875</v>
      </c>
      <c r="J585" s="12" t="s">
        <v>40258</v>
      </c>
      <c r="K585" s="12" t="s">
        <v>41281</v>
      </c>
      <c r="L585" s="12" t="s">
        <v>37936</v>
      </c>
      <c r="M585" s="12" t="s">
        <v>37795</v>
      </c>
      <c r="N585" s="12" t="s">
        <v>40260</v>
      </c>
      <c r="O585" s="12" t="s">
        <v>38900</v>
      </c>
      <c r="P585" s="12" t="s">
        <v>39669</v>
      </c>
      <c r="Q585" s="12" t="s">
        <v>38606</v>
      </c>
      <c r="R585" s="12" t="s">
        <v>40152</v>
      </c>
      <c r="S585" s="12" t="s">
        <v>38593</v>
      </c>
      <c r="T585" s="12" t="s">
        <v>39415</v>
      </c>
      <c r="U585" s="12" t="s">
        <v>37952</v>
      </c>
      <c r="V585" s="12" t="s">
        <v>37960</v>
      </c>
      <c r="W585" s="12" t="s">
        <v>40789</v>
      </c>
      <c r="X585" s="12" t="s">
        <v>39394</v>
      </c>
      <c r="Y585" s="12" t="s">
        <v>41282</v>
      </c>
      <c r="Z585" s="12" t="s">
        <v>41283</v>
      </c>
      <c r="AA585" s="12" t="s">
        <v>39325</v>
      </c>
      <c r="AB585" s="12" t="s">
        <v>40602</v>
      </c>
      <c r="AC585" s="12" t="s">
        <v>41284</v>
      </c>
      <c r="AD585" s="12" t="s">
        <v>41285</v>
      </c>
      <c r="AE585" s="12" t="s">
        <v>38625</v>
      </c>
      <c r="AF585" s="12" t="s">
        <v>38400</v>
      </c>
      <c r="AG585" s="12" t="s">
        <v>37976</v>
      </c>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row>
    <row r="586" spans="1:72">
      <c r="A586" s="2" t="s">
        <v>11878</v>
      </c>
      <c r="B586" s="5" t="s">
        <v>11881</v>
      </c>
      <c r="C586" s="3" t="s">
        <v>138</v>
      </c>
      <c r="D586" s="4" t="s">
        <v>138</v>
      </c>
      <c r="E586" s="15" t="s">
        <v>1198</v>
      </c>
      <c r="F586" s="15" t="s">
        <v>138</v>
      </c>
      <c r="G586" s="15" t="s">
        <v>1200</v>
      </c>
      <c r="H586" s="7">
        <v>6</v>
      </c>
      <c r="I586" s="6" t="s">
        <v>11893</v>
      </c>
      <c r="J586" s="6" t="s">
        <v>39942</v>
      </c>
      <c r="K586" s="6" t="s">
        <v>41286</v>
      </c>
      <c r="L586" s="6" t="s">
        <v>39877</v>
      </c>
      <c r="M586" s="6" t="s">
        <v>39195</v>
      </c>
      <c r="N586" s="6" t="s">
        <v>41287</v>
      </c>
      <c r="O586" s="6" t="s">
        <v>38065</v>
      </c>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row>
    <row r="587" spans="1:72">
      <c r="A587" s="8" t="s">
        <v>11896</v>
      </c>
      <c r="B587" s="11" t="s">
        <v>11902</v>
      </c>
      <c r="C587" s="9" t="s">
        <v>11897</v>
      </c>
      <c r="D587" s="10" t="s">
        <v>138</v>
      </c>
      <c r="E587" s="28" t="s">
        <v>642</v>
      </c>
      <c r="F587" s="28" t="s">
        <v>474</v>
      </c>
      <c r="G587" s="28" t="s">
        <v>162</v>
      </c>
      <c r="H587" s="13">
        <v>11</v>
      </c>
      <c r="I587" s="12" t="s">
        <v>11912</v>
      </c>
      <c r="J587" s="12">
        <v>301</v>
      </c>
      <c r="K587" s="12" t="s">
        <v>41288</v>
      </c>
      <c r="L587" s="12" t="s">
        <v>41289</v>
      </c>
      <c r="M587" s="12" t="s">
        <v>41290</v>
      </c>
      <c r="N587" s="12" t="s">
        <v>39306</v>
      </c>
      <c r="O587" s="12" t="s">
        <v>38463</v>
      </c>
      <c r="P587" s="12" t="s">
        <v>41291</v>
      </c>
      <c r="Q587" s="12" t="s">
        <v>39307</v>
      </c>
      <c r="R587" s="12" t="s">
        <v>41292</v>
      </c>
      <c r="S587" s="12" t="s">
        <v>38746</v>
      </c>
      <c r="T587" s="12" t="s">
        <v>38476</v>
      </c>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row>
    <row r="588" spans="1:72">
      <c r="A588" s="2" t="s">
        <v>11916</v>
      </c>
      <c r="B588" s="5" t="s">
        <v>11921</v>
      </c>
      <c r="C588" s="3" t="s">
        <v>138</v>
      </c>
      <c r="D588" s="4" t="s">
        <v>138</v>
      </c>
      <c r="E588" s="15" t="s">
        <v>11930</v>
      </c>
      <c r="F588" s="15" t="s">
        <v>7690</v>
      </c>
      <c r="G588" s="15" t="s">
        <v>2071</v>
      </c>
      <c r="H588" s="7">
        <v>1</v>
      </c>
      <c r="I588" s="6" t="s">
        <v>2075</v>
      </c>
      <c r="J588" s="6" t="s">
        <v>2075</v>
      </c>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row>
    <row r="589" spans="1:72">
      <c r="A589" s="8" t="s">
        <v>11935</v>
      </c>
      <c r="B589" s="11" t="s">
        <v>11940</v>
      </c>
      <c r="C589" s="9" t="s">
        <v>11936</v>
      </c>
      <c r="D589" s="10" t="s">
        <v>138</v>
      </c>
      <c r="E589" s="28" t="s">
        <v>310</v>
      </c>
      <c r="F589" s="28" t="s">
        <v>200</v>
      </c>
      <c r="G589" s="28" t="s">
        <v>162</v>
      </c>
      <c r="H589" s="13">
        <v>37</v>
      </c>
      <c r="I589" s="12" t="s">
        <v>11949</v>
      </c>
      <c r="J589" s="12" t="s">
        <v>41293</v>
      </c>
      <c r="K589" s="12" t="s">
        <v>39001</v>
      </c>
      <c r="L589" s="12" t="s">
        <v>41294</v>
      </c>
      <c r="M589" s="12" t="s">
        <v>39687</v>
      </c>
      <c r="N589" s="12" t="s">
        <v>41295</v>
      </c>
      <c r="O589" s="12" t="s">
        <v>41296</v>
      </c>
      <c r="P589" s="12" t="s">
        <v>41297</v>
      </c>
      <c r="Q589" s="12" t="s">
        <v>41298</v>
      </c>
      <c r="R589" s="12" t="s">
        <v>41299</v>
      </c>
      <c r="S589" s="12" t="s">
        <v>38114</v>
      </c>
      <c r="T589" s="12" t="s">
        <v>41300</v>
      </c>
      <c r="U589" s="12" t="s">
        <v>41301</v>
      </c>
      <c r="V589" s="12" t="s">
        <v>41302</v>
      </c>
      <c r="W589" s="12" t="s">
        <v>41303</v>
      </c>
      <c r="X589" s="12" t="s">
        <v>41304</v>
      </c>
      <c r="Y589" s="12" t="s">
        <v>41305</v>
      </c>
      <c r="Z589" s="12" t="s">
        <v>41306</v>
      </c>
      <c r="AA589" s="12" t="s">
        <v>41307</v>
      </c>
      <c r="AB589" s="12" t="s">
        <v>40821</v>
      </c>
      <c r="AC589" s="12" t="s">
        <v>41308</v>
      </c>
      <c r="AD589" s="12" t="s">
        <v>41309</v>
      </c>
      <c r="AE589" s="12" t="s">
        <v>41310</v>
      </c>
      <c r="AF589" s="12" t="s">
        <v>37859</v>
      </c>
      <c r="AG589" s="12" t="s">
        <v>41311</v>
      </c>
      <c r="AH589" s="12" t="s">
        <v>41312</v>
      </c>
      <c r="AI589" s="12" t="s">
        <v>41313</v>
      </c>
      <c r="AJ589" s="12" t="s">
        <v>40089</v>
      </c>
      <c r="AK589" s="12" t="s">
        <v>37781</v>
      </c>
      <c r="AL589" s="12" t="s">
        <v>41314</v>
      </c>
      <c r="AM589" s="12" t="s">
        <v>41114</v>
      </c>
      <c r="AN589" s="12" t="s">
        <v>41315</v>
      </c>
      <c r="AO589" s="12" t="s">
        <v>38955</v>
      </c>
      <c r="AP589" s="12" t="s">
        <v>41316</v>
      </c>
      <c r="AQ589" s="12" t="s">
        <v>41317</v>
      </c>
      <c r="AR589" s="12" t="s">
        <v>41318</v>
      </c>
      <c r="AS589" s="12" t="s">
        <v>41319</v>
      </c>
      <c r="AT589" s="12" t="s">
        <v>41320</v>
      </c>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row>
    <row r="590" spans="1:72">
      <c r="A590" s="2" t="s">
        <v>11954</v>
      </c>
      <c r="B590" s="5" t="s">
        <v>11960</v>
      </c>
      <c r="C590" s="3" t="s">
        <v>138</v>
      </c>
      <c r="D590" s="4" t="s">
        <v>138</v>
      </c>
      <c r="E590" s="15" t="s">
        <v>3330</v>
      </c>
      <c r="F590" s="15" t="s">
        <v>200</v>
      </c>
      <c r="G590" s="15" t="s">
        <v>162</v>
      </c>
      <c r="H590" s="7">
        <v>27</v>
      </c>
      <c r="I590" s="6" t="s">
        <v>11972</v>
      </c>
      <c r="J590" s="6" t="s">
        <v>41321</v>
      </c>
      <c r="K590" s="6" t="s">
        <v>41322</v>
      </c>
      <c r="L590" s="6" t="s">
        <v>40679</v>
      </c>
      <c r="M590" s="6" t="s">
        <v>41323</v>
      </c>
      <c r="N590" s="6" t="s">
        <v>41324</v>
      </c>
      <c r="O590" s="6" t="s">
        <v>37984</v>
      </c>
      <c r="P590" s="6" t="s">
        <v>37846</v>
      </c>
      <c r="Q590" s="6" t="s">
        <v>38391</v>
      </c>
      <c r="R590" s="6" t="s">
        <v>41325</v>
      </c>
      <c r="S590" s="6" t="s">
        <v>41326</v>
      </c>
      <c r="T590" s="6" t="s">
        <v>41327</v>
      </c>
      <c r="U590" s="6" t="s">
        <v>41328</v>
      </c>
      <c r="V590" s="6" t="s">
        <v>41329</v>
      </c>
      <c r="W590" s="6" t="s">
        <v>40512</v>
      </c>
      <c r="X590" s="6" t="s">
        <v>37931</v>
      </c>
      <c r="Y590" s="6" t="s">
        <v>41330</v>
      </c>
      <c r="Z590" s="6" t="s">
        <v>41331</v>
      </c>
      <c r="AA590" s="6" t="s">
        <v>41332</v>
      </c>
      <c r="AB590" s="6" t="s">
        <v>37779</v>
      </c>
      <c r="AC590" s="6" t="s">
        <v>41333</v>
      </c>
      <c r="AD590" s="6" t="s">
        <v>37972</v>
      </c>
      <c r="AE590" s="6" t="s">
        <v>41334</v>
      </c>
      <c r="AF590" s="6" t="s">
        <v>38907</v>
      </c>
      <c r="AG590" s="6" t="s">
        <v>41335</v>
      </c>
      <c r="AH590" s="6" t="s">
        <v>41336</v>
      </c>
      <c r="AI590" s="6" t="s">
        <v>41337</v>
      </c>
      <c r="AJ590" s="6" t="s">
        <v>41338</v>
      </c>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row>
    <row r="591" spans="1:72">
      <c r="A591" s="8" t="s">
        <v>11978</v>
      </c>
      <c r="B591" s="11" t="s">
        <v>11984</v>
      </c>
      <c r="C591" s="9" t="s">
        <v>11979</v>
      </c>
      <c r="D591" s="10" t="s">
        <v>11980</v>
      </c>
      <c r="E591" s="28" t="s">
        <v>668</v>
      </c>
      <c r="F591" s="28" t="s">
        <v>200</v>
      </c>
      <c r="G591" s="28" t="s">
        <v>162</v>
      </c>
      <c r="H591" s="13">
        <v>12</v>
      </c>
      <c r="I591" s="12" t="s">
        <v>11993</v>
      </c>
      <c r="J591" s="12" t="s">
        <v>41339</v>
      </c>
      <c r="K591" s="12" t="s">
        <v>37819</v>
      </c>
      <c r="L591" s="12" t="s">
        <v>41340</v>
      </c>
      <c r="M591" s="12" t="s">
        <v>41341</v>
      </c>
      <c r="N591" s="12" t="s">
        <v>41342</v>
      </c>
      <c r="O591" s="12" t="s">
        <v>40203</v>
      </c>
      <c r="P591" s="12" t="s">
        <v>41343</v>
      </c>
      <c r="Q591" s="12" t="s">
        <v>41344</v>
      </c>
      <c r="R591" s="12" t="s">
        <v>37991</v>
      </c>
      <c r="S591" s="12" t="s">
        <v>41345</v>
      </c>
      <c r="T591" s="12" t="s">
        <v>41346</v>
      </c>
      <c r="U591" s="12" t="s">
        <v>37976</v>
      </c>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row>
    <row r="592" spans="1:72">
      <c r="A592" s="2" t="s">
        <v>11996</v>
      </c>
      <c r="B592" s="5" t="s">
        <v>11999</v>
      </c>
      <c r="C592" s="3" t="s">
        <v>138</v>
      </c>
      <c r="D592" s="4" t="s">
        <v>138</v>
      </c>
      <c r="E592" s="15" t="s">
        <v>12007</v>
      </c>
      <c r="F592" s="15" t="s">
        <v>371</v>
      </c>
      <c r="G592" s="15" t="s">
        <v>162</v>
      </c>
      <c r="H592" s="7">
        <v>2</v>
      </c>
      <c r="I592" s="6" t="s">
        <v>12010</v>
      </c>
      <c r="J592" s="6" t="s">
        <v>37785</v>
      </c>
      <c r="K592" s="6" t="s">
        <v>37795</v>
      </c>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row>
    <row r="593" spans="1:72">
      <c r="A593" s="8" t="s">
        <v>12013</v>
      </c>
      <c r="B593" s="11" t="s">
        <v>12017</v>
      </c>
      <c r="C593" s="9" t="s">
        <v>138</v>
      </c>
      <c r="D593" s="10" t="s">
        <v>138</v>
      </c>
      <c r="E593" s="28" t="s">
        <v>1872</v>
      </c>
      <c r="F593" s="28" t="s">
        <v>200</v>
      </c>
      <c r="G593" s="28" t="s">
        <v>162</v>
      </c>
      <c r="H593" s="13">
        <v>5</v>
      </c>
      <c r="I593" s="12" t="s">
        <v>12023</v>
      </c>
      <c r="J593" s="12" t="s">
        <v>25482</v>
      </c>
      <c r="K593" s="12" t="s">
        <v>39229</v>
      </c>
      <c r="L593" s="12" t="s">
        <v>41345</v>
      </c>
      <c r="M593" s="12" t="s">
        <v>41347</v>
      </c>
      <c r="N593" s="12" t="s">
        <v>41348</v>
      </c>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row>
    <row r="594" spans="1:72">
      <c r="A594" s="2" t="s">
        <v>12026</v>
      </c>
      <c r="B594" s="5" t="s">
        <v>12032</v>
      </c>
      <c r="C594" s="3" t="s">
        <v>138</v>
      </c>
      <c r="D594" s="4" t="s">
        <v>138</v>
      </c>
      <c r="E594" s="15" t="s">
        <v>12042</v>
      </c>
      <c r="F594" s="15" t="s">
        <v>12043</v>
      </c>
      <c r="G594" s="15" t="s">
        <v>2742</v>
      </c>
      <c r="H594" s="7">
        <v>12</v>
      </c>
      <c r="I594" s="6" t="s">
        <v>12047</v>
      </c>
      <c r="J594" s="6" t="s">
        <v>41349</v>
      </c>
      <c r="K594" s="6" t="s">
        <v>39838</v>
      </c>
      <c r="L594" s="6" t="s">
        <v>41350</v>
      </c>
      <c r="M594" s="6" t="s">
        <v>41351</v>
      </c>
      <c r="N594" s="6" t="s">
        <v>41352</v>
      </c>
      <c r="O594" s="6" t="s">
        <v>39278</v>
      </c>
      <c r="P594" s="6" t="s">
        <v>39809</v>
      </c>
      <c r="Q594" s="6" t="s">
        <v>41353</v>
      </c>
      <c r="R594" s="6" t="s">
        <v>41354</v>
      </c>
      <c r="S594" s="6" t="s">
        <v>41355</v>
      </c>
      <c r="T594" s="6" t="s">
        <v>41356</v>
      </c>
      <c r="U594" s="6" t="s">
        <v>41357</v>
      </c>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row>
    <row r="595" spans="1:72">
      <c r="A595" s="8" t="s">
        <v>12052</v>
      </c>
      <c r="B595" s="11" t="s">
        <v>12057</v>
      </c>
      <c r="C595" s="9" t="s">
        <v>138</v>
      </c>
      <c r="D595" s="10" t="s">
        <v>138</v>
      </c>
      <c r="E595" s="28" t="s">
        <v>12065</v>
      </c>
      <c r="F595" s="28" t="s">
        <v>200</v>
      </c>
      <c r="G595" s="28" t="s">
        <v>162</v>
      </c>
      <c r="H595" s="13">
        <v>11</v>
      </c>
      <c r="I595" s="12" t="s">
        <v>12069</v>
      </c>
      <c r="J595" s="12" t="s">
        <v>41358</v>
      </c>
      <c r="K595" s="12" t="s">
        <v>39204</v>
      </c>
      <c r="L595" s="12" t="s">
        <v>41359</v>
      </c>
      <c r="M595" s="12" t="s">
        <v>38024</v>
      </c>
      <c r="N595" s="12" t="s">
        <v>37781</v>
      </c>
      <c r="O595" s="12" t="s">
        <v>38579</v>
      </c>
      <c r="P595" s="12" t="s">
        <v>41360</v>
      </c>
      <c r="Q595" s="12" t="s">
        <v>39695</v>
      </c>
      <c r="R595" s="12" t="s">
        <v>41361</v>
      </c>
      <c r="S595" s="12" t="s">
        <v>38787</v>
      </c>
      <c r="T595" s="12" t="s">
        <v>39698</v>
      </c>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row>
    <row r="596" spans="1:72">
      <c r="A596" s="2" t="s">
        <v>12073</v>
      </c>
      <c r="B596" s="5" t="s">
        <v>12077</v>
      </c>
      <c r="C596" s="3" t="s">
        <v>138</v>
      </c>
      <c r="D596" s="4" t="s">
        <v>138</v>
      </c>
      <c r="E596" s="15" t="s">
        <v>5700</v>
      </c>
      <c r="F596" s="15" t="s">
        <v>138</v>
      </c>
      <c r="G596" s="15" t="s">
        <v>740</v>
      </c>
      <c r="H596" s="7">
        <v>2</v>
      </c>
      <c r="I596" s="6" t="s">
        <v>3066</v>
      </c>
      <c r="J596" s="6" t="s">
        <v>38820</v>
      </c>
      <c r="K596" s="6" t="s">
        <v>38821</v>
      </c>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row>
    <row r="597" spans="1:72">
      <c r="A597" s="8" t="s">
        <v>12081</v>
      </c>
      <c r="B597" s="11" t="s">
        <v>12086</v>
      </c>
      <c r="C597" s="9" t="s">
        <v>138</v>
      </c>
      <c r="D597" s="10" t="s">
        <v>12082</v>
      </c>
      <c r="E597" s="28" t="s">
        <v>426</v>
      </c>
      <c r="F597" s="28" t="s">
        <v>426</v>
      </c>
      <c r="G597" s="28" t="s">
        <v>162</v>
      </c>
      <c r="H597" s="13">
        <v>23</v>
      </c>
      <c r="I597" s="12" t="s">
        <v>12095</v>
      </c>
      <c r="J597" s="12" t="s">
        <v>41226</v>
      </c>
      <c r="K597" s="12" t="s">
        <v>41362</v>
      </c>
      <c r="L597" s="12" t="s">
        <v>41363</v>
      </c>
      <c r="M597" s="12" t="s">
        <v>40194</v>
      </c>
      <c r="N597" s="12" t="s">
        <v>41364</v>
      </c>
      <c r="O597" s="12" t="s">
        <v>39908</v>
      </c>
      <c r="P597" s="12" t="s">
        <v>41365</v>
      </c>
      <c r="Q597" s="12" t="s">
        <v>41366</v>
      </c>
      <c r="R597" s="12" t="s">
        <v>37878</v>
      </c>
      <c r="S597" s="12" t="s">
        <v>37944</v>
      </c>
      <c r="T597" s="12" t="s">
        <v>39422</v>
      </c>
      <c r="U597" s="12" t="s">
        <v>41367</v>
      </c>
      <c r="V597" s="12" t="s">
        <v>41368</v>
      </c>
      <c r="W597" s="12" t="s">
        <v>37910</v>
      </c>
      <c r="X597" s="12" t="s">
        <v>38062</v>
      </c>
      <c r="Y597" s="12" t="s">
        <v>40272</v>
      </c>
      <c r="Z597" s="12" t="s">
        <v>41369</v>
      </c>
      <c r="AA597" s="12" t="s">
        <v>38065</v>
      </c>
      <c r="AB597" s="12" t="s">
        <v>39655</v>
      </c>
      <c r="AC597" s="12" t="s">
        <v>38001</v>
      </c>
      <c r="AD597" s="12" t="s">
        <v>38752</v>
      </c>
      <c r="AE597" s="12" t="s">
        <v>39082</v>
      </c>
      <c r="AF597" s="12" t="s">
        <v>41370</v>
      </c>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row>
    <row r="598" spans="1:72">
      <c r="A598" s="2" t="s">
        <v>12100</v>
      </c>
      <c r="B598" s="5" t="s">
        <v>12106</v>
      </c>
      <c r="C598" s="3" t="s">
        <v>12101</v>
      </c>
      <c r="D598" s="4" t="s">
        <v>12102</v>
      </c>
      <c r="E598" s="15" t="s">
        <v>2651</v>
      </c>
      <c r="F598" s="15" t="s">
        <v>200</v>
      </c>
      <c r="G598" s="15" t="s">
        <v>162</v>
      </c>
      <c r="H598" s="7">
        <v>8</v>
      </c>
      <c r="I598" s="6" t="s">
        <v>12115</v>
      </c>
      <c r="J598" s="6" t="s">
        <v>41371</v>
      </c>
      <c r="K598" s="6" t="s">
        <v>38199</v>
      </c>
      <c r="L598" s="6" t="s">
        <v>39586</v>
      </c>
      <c r="M598" s="6" t="s">
        <v>41041</v>
      </c>
      <c r="N598" s="6" t="s">
        <v>40662</v>
      </c>
      <c r="O598" s="6" t="s">
        <v>41372</v>
      </c>
      <c r="P598" s="6" t="s">
        <v>39071</v>
      </c>
      <c r="Q598" s="6" t="s">
        <v>38145</v>
      </c>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row>
    <row r="599" spans="1:72">
      <c r="A599" s="8" t="s">
        <v>12119</v>
      </c>
      <c r="B599" s="11" t="s">
        <v>12123</v>
      </c>
      <c r="C599" s="9" t="s">
        <v>138</v>
      </c>
      <c r="D599" s="10" t="s">
        <v>138</v>
      </c>
      <c r="E599" s="28" t="s">
        <v>12132</v>
      </c>
      <c r="F599" s="28" t="s">
        <v>6576</v>
      </c>
      <c r="G599" s="28" t="s">
        <v>162</v>
      </c>
      <c r="H599" s="13">
        <v>8</v>
      </c>
      <c r="I599" s="12" t="s">
        <v>12135</v>
      </c>
      <c r="J599" s="12" t="s">
        <v>41373</v>
      </c>
      <c r="K599" s="12" t="s">
        <v>41374</v>
      </c>
      <c r="L599" s="12" t="s">
        <v>37787</v>
      </c>
      <c r="M599" s="12" t="s">
        <v>39781</v>
      </c>
      <c r="N599" s="12" t="s">
        <v>41375</v>
      </c>
      <c r="O599" s="12" t="s">
        <v>38200</v>
      </c>
      <c r="P599" s="12" t="s">
        <v>39643</v>
      </c>
      <c r="Q599" s="12" t="s">
        <v>41376</v>
      </c>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12"/>
      <c r="BH599" s="12"/>
      <c r="BI599" s="12"/>
      <c r="BJ599" s="12"/>
      <c r="BK599" s="12"/>
      <c r="BL599" s="12"/>
      <c r="BM599" s="12"/>
      <c r="BN599" s="12"/>
      <c r="BO599" s="12"/>
      <c r="BP599" s="12"/>
      <c r="BQ599" s="12"/>
      <c r="BR599" s="12"/>
      <c r="BS599" s="12"/>
      <c r="BT599" s="12"/>
    </row>
    <row r="600" spans="1:72">
      <c r="A600" s="2" t="s">
        <v>12139</v>
      </c>
      <c r="B600" s="5" t="s">
        <v>12145</v>
      </c>
      <c r="C600" s="3" t="s">
        <v>12140</v>
      </c>
      <c r="D600" s="4" t="s">
        <v>138</v>
      </c>
      <c r="E600" s="15" t="s">
        <v>7463</v>
      </c>
      <c r="F600" s="15" t="s">
        <v>4493</v>
      </c>
      <c r="G600" s="15" t="s">
        <v>162</v>
      </c>
      <c r="H600" s="7">
        <v>7</v>
      </c>
      <c r="I600" s="6" t="s">
        <v>12155</v>
      </c>
      <c r="J600" s="6" t="s">
        <v>38079</v>
      </c>
      <c r="K600" s="6" t="s">
        <v>40478</v>
      </c>
      <c r="L600" s="6" t="s">
        <v>41377</v>
      </c>
      <c r="M600" s="6" t="s">
        <v>38062</v>
      </c>
      <c r="N600" s="6" t="s">
        <v>37868</v>
      </c>
      <c r="O600" s="6" t="s">
        <v>41378</v>
      </c>
      <c r="P600" s="6" t="s">
        <v>41379</v>
      </c>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row>
    <row r="601" spans="1:72">
      <c r="A601" s="8" t="s">
        <v>12160</v>
      </c>
      <c r="B601" s="11" t="s">
        <v>12167</v>
      </c>
      <c r="C601" s="9" t="s">
        <v>12161</v>
      </c>
      <c r="D601" s="10" t="s">
        <v>12162</v>
      </c>
      <c r="E601" s="28" t="s">
        <v>668</v>
      </c>
      <c r="F601" s="28" t="s">
        <v>200</v>
      </c>
      <c r="G601" s="28" t="s">
        <v>162</v>
      </c>
      <c r="H601" s="13">
        <v>8</v>
      </c>
      <c r="I601" s="12" t="s">
        <v>12176</v>
      </c>
      <c r="J601" s="12" t="s">
        <v>37785</v>
      </c>
      <c r="K601" s="12" t="s">
        <v>41380</v>
      </c>
      <c r="L601" s="12" t="s">
        <v>40200</v>
      </c>
      <c r="M601" s="12" t="s">
        <v>38882</v>
      </c>
      <c r="N601" s="12" t="s">
        <v>37775</v>
      </c>
      <c r="O601" s="12" t="s">
        <v>37805</v>
      </c>
      <c r="P601" s="12" t="s">
        <v>37783</v>
      </c>
      <c r="Q601" s="12" t="s">
        <v>37976</v>
      </c>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2"/>
    </row>
    <row r="602" spans="1:72">
      <c r="A602" s="2" t="s">
        <v>12180</v>
      </c>
      <c r="B602" s="5" t="s">
        <v>12184</v>
      </c>
      <c r="C602" s="3" t="s">
        <v>138</v>
      </c>
      <c r="D602" s="4" t="s">
        <v>138</v>
      </c>
      <c r="E602" s="15" t="s">
        <v>1198</v>
      </c>
      <c r="F602" s="15" t="s">
        <v>138</v>
      </c>
      <c r="G602" s="15" t="s">
        <v>1200</v>
      </c>
      <c r="H602" s="7">
        <v>1</v>
      </c>
      <c r="I602" s="6" t="s">
        <v>12193</v>
      </c>
      <c r="J602" s="6" t="s">
        <v>12193</v>
      </c>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row>
    <row r="603" spans="1:72">
      <c r="A603" s="8" t="s">
        <v>12197</v>
      </c>
      <c r="B603" s="11" t="s">
        <v>12204</v>
      </c>
      <c r="C603" s="9" t="s">
        <v>12198</v>
      </c>
      <c r="D603" s="10" t="s">
        <v>12199</v>
      </c>
      <c r="E603" s="28" t="s">
        <v>426</v>
      </c>
      <c r="F603" s="28" t="s">
        <v>426</v>
      </c>
      <c r="G603" s="28" t="s">
        <v>162</v>
      </c>
      <c r="H603" s="13">
        <v>22</v>
      </c>
      <c r="I603" s="12" t="s">
        <v>12215</v>
      </c>
      <c r="J603" s="12" t="s">
        <v>41381</v>
      </c>
      <c r="K603" s="12" t="s">
        <v>41382</v>
      </c>
      <c r="L603" s="12" t="s">
        <v>41383</v>
      </c>
      <c r="M603" s="12" t="s">
        <v>41384</v>
      </c>
      <c r="N603" s="12" t="s">
        <v>41385</v>
      </c>
      <c r="O603" s="12" t="s">
        <v>41386</v>
      </c>
      <c r="P603" s="12" t="s">
        <v>38057</v>
      </c>
      <c r="Q603" s="12" t="s">
        <v>41387</v>
      </c>
      <c r="R603" s="12" t="s">
        <v>37786</v>
      </c>
      <c r="S603" s="12" t="s">
        <v>41388</v>
      </c>
      <c r="T603" s="12" t="s">
        <v>41389</v>
      </c>
      <c r="U603" s="12" t="s">
        <v>41390</v>
      </c>
      <c r="V603" s="12" t="s">
        <v>41391</v>
      </c>
      <c r="W603" s="12" t="s">
        <v>41392</v>
      </c>
      <c r="X603" s="12" t="s">
        <v>38184</v>
      </c>
      <c r="Y603" s="12" t="s">
        <v>37781</v>
      </c>
      <c r="Z603" s="12" t="s">
        <v>41393</v>
      </c>
      <c r="AA603" s="12" t="s">
        <v>41394</v>
      </c>
      <c r="AB603" s="12" t="s">
        <v>41395</v>
      </c>
      <c r="AC603" s="12" t="s">
        <v>40797</v>
      </c>
      <c r="AD603" s="12" t="s">
        <v>41396</v>
      </c>
      <c r="AE603" s="12" t="s">
        <v>41397</v>
      </c>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2"/>
    </row>
    <row r="604" spans="1:72">
      <c r="A604" s="2" t="s">
        <v>12220</v>
      </c>
      <c r="B604" s="5" t="s">
        <v>12225</v>
      </c>
      <c r="C604" s="3" t="s">
        <v>138</v>
      </c>
      <c r="D604" s="4" t="s">
        <v>138</v>
      </c>
      <c r="E604" s="15" t="s">
        <v>1198</v>
      </c>
      <c r="F604" s="15" t="s">
        <v>12231</v>
      </c>
      <c r="G604" s="15" t="s">
        <v>1200</v>
      </c>
      <c r="H604" s="7">
        <v>33</v>
      </c>
      <c r="I604" s="6" t="s">
        <v>12235</v>
      </c>
      <c r="J604" s="6" t="s">
        <v>41398</v>
      </c>
      <c r="K604" s="6" t="s">
        <v>41399</v>
      </c>
      <c r="L604" s="6" t="s">
        <v>40736</v>
      </c>
      <c r="M604" s="6" t="s">
        <v>41400</v>
      </c>
      <c r="N604" s="6" t="s">
        <v>41401</v>
      </c>
      <c r="O604" s="6" t="s">
        <v>41402</v>
      </c>
      <c r="P604" s="6" t="s">
        <v>39457</v>
      </c>
      <c r="Q604" s="6" t="s">
        <v>41403</v>
      </c>
      <c r="R604" s="6" t="s">
        <v>41404</v>
      </c>
      <c r="S604" s="6" t="s">
        <v>41405</v>
      </c>
      <c r="T604" s="6" t="s">
        <v>41406</v>
      </c>
      <c r="U604" s="6" t="s">
        <v>39459</v>
      </c>
      <c r="V604" s="6" t="s">
        <v>41286</v>
      </c>
      <c r="W604" s="6" t="s">
        <v>39875</v>
      </c>
      <c r="X604" s="6" t="s">
        <v>41407</v>
      </c>
      <c r="Y604" s="6" t="s">
        <v>41408</v>
      </c>
      <c r="Z604" s="6" t="s">
        <v>41409</v>
      </c>
      <c r="AA604" s="6" t="s">
        <v>39583</v>
      </c>
      <c r="AB604" s="6" t="s">
        <v>39584</v>
      </c>
      <c r="AC604" s="6" t="s">
        <v>39460</v>
      </c>
      <c r="AD604" s="6" t="s">
        <v>38312</v>
      </c>
      <c r="AE604" s="6" t="s">
        <v>41410</v>
      </c>
      <c r="AF604" s="6" t="s">
        <v>39195</v>
      </c>
      <c r="AG604" s="6" t="s">
        <v>41411</v>
      </c>
      <c r="AH604" s="6" t="s">
        <v>41412</v>
      </c>
      <c r="AI604" s="6" t="s">
        <v>39196</v>
      </c>
      <c r="AJ604" s="6" t="s">
        <v>39343</v>
      </c>
      <c r="AK604" s="6" t="s">
        <v>41413</v>
      </c>
      <c r="AL604" s="6" t="s">
        <v>37931</v>
      </c>
      <c r="AM604" s="6" t="s">
        <v>41414</v>
      </c>
      <c r="AN604" s="6" t="s">
        <v>39197</v>
      </c>
      <c r="AO604" s="6" t="s">
        <v>41415</v>
      </c>
      <c r="AP604" s="6" t="s">
        <v>41416</v>
      </c>
      <c r="AQ604" s="6" t="s">
        <v>41417</v>
      </c>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row>
    <row r="605" spans="1:72">
      <c r="A605" s="8" t="s">
        <v>12238</v>
      </c>
      <c r="B605" s="11" t="s">
        <v>12242</v>
      </c>
      <c r="C605" s="9" t="s">
        <v>138</v>
      </c>
      <c r="D605" s="10" t="s">
        <v>138</v>
      </c>
      <c r="E605" s="28" t="s">
        <v>3670</v>
      </c>
      <c r="F605" s="28" t="s">
        <v>200</v>
      </c>
      <c r="G605" s="28" t="s">
        <v>162</v>
      </c>
      <c r="H605" s="13">
        <v>11</v>
      </c>
      <c r="I605" s="12" t="s">
        <v>12251</v>
      </c>
      <c r="J605" s="12" t="s">
        <v>40241</v>
      </c>
      <c r="K605" s="12" t="s">
        <v>39053</v>
      </c>
      <c r="L605" s="12" t="s">
        <v>39054</v>
      </c>
      <c r="M605" s="12" t="s">
        <v>41418</v>
      </c>
      <c r="N605" s="12" t="s">
        <v>38286</v>
      </c>
      <c r="O605" s="12" t="s">
        <v>37787</v>
      </c>
      <c r="P605" s="12" t="s">
        <v>38048</v>
      </c>
      <c r="Q605" s="12" t="s">
        <v>40334</v>
      </c>
      <c r="R605" s="12" t="s">
        <v>41191</v>
      </c>
      <c r="S605" s="12" t="s">
        <v>41419</v>
      </c>
      <c r="T605" s="12" t="s">
        <v>41420</v>
      </c>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row>
    <row r="606" spans="1:72">
      <c r="A606" s="2" t="s">
        <v>12254</v>
      </c>
      <c r="B606" s="5" t="s">
        <v>12260</v>
      </c>
      <c r="C606" s="3" t="s">
        <v>138</v>
      </c>
      <c r="D606" s="4" t="s">
        <v>12255</v>
      </c>
      <c r="E606" s="15" t="s">
        <v>426</v>
      </c>
      <c r="F606" s="15" t="s">
        <v>426</v>
      </c>
      <c r="G606" s="15" t="s">
        <v>162</v>
      </c>
      <c r="H606" s="7">
        <v>18</v>
      </c>
      <c r="I606" s="6" t="s">
        <v>12269</v>
      </c>
      <c r="J606" s="6" t="s">
        <v>41421</v>
      </c>
      <c r="K606" s="6" t="s">
        <v>37986</v>
      </c>
      <c r="L606" s="6" t="s">
        <v>38332</v>
      </c>
      <c r="M606" s="6" t="s">
        <v>38057</v>
      </c>
      <c r="N606" s="6" t="s">
        <v>37786</v>
      </c>
      <c r="O606" s="6" t="s">
        <v>40927</v>
      </c>
      <c r="P606" s="6" t="s">
        <v>37922</v>
      </c>
      <c r="Q606" s="6" t="s">
        <v>39349</v>
      </c>
      <c r="R606" s="6" t="s">
        <v>41235</v>
      </c>
      <c r="S606" s="6" t="s">
        <v>39928</v>
      </c>
      <c r="T606" s="6" t="s">
        <v>41422</v>
      </c>
      <c r="U606" s="6" t="s">
        <v>41423</v>
      </c>
      <c r="V606" s="6" t="s">
        <v>41424</v>
      </c>
      <c r="W606" s="6" t="s">
        <v>38864</v>
      </c>
      <c r="X606" s="6" t="s">
        <v>41425</v>
      </c>
      <c r="Y606" s="6" t="s">
        <v>41241</v>
      </c>
      <c r="Z606" s="6" t="s">
        <v>41426</v>
      </c>
      <c r="AA606" s="6" t="s">
        <v>38405</v>
      </c>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row>
    <row r="607" spans="1:72">
      <c r="A607" s="8" t="s">
        <v>12273</v>
      </c>
      <c r="B607" s="11" t="s">
        <v>12276</v>
      </c>
      <c r="C607" s="9" t="s">
        <v>138</v>
      </c>
      <c r="D607" s="10" t="s">
        <v>138</v>
      </c>
      <c r="E607" s="28" t="s">
        <v>4900</v>
      </c>
      <c r="F607" s="28" t="s">
        <v>200</v>
      </c>
      <c r="G607" s="28" t="s">
        <v>162</v>
      </c>
      <c r="H607" s="13">
        <v>3</v>
      </c>
      <c r="I607" s="12" t="s">
        <v>12284</v>
      </c>
      <c r="J607" s="12" t="s">
        <v>41427</v>
      </c>
      <c r="K607" s="12" t="s">
        <v>41428</v>
      </c>
      <c r="L607" s="12" t="s">
        <v>41429</v>
      </c>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row>
    <row r="608" spans="1:72">
      <c r="A608" s="2" t="s">
        <v>12287</v>
      </c>
      <c r="B608" s="5" t="s">
        <v>12292</v>
      </c>
      <c r="C608" s="3" t="s">
        <v>12288</v>
      </c>
      <c r="D608" s="4" t="s">
        <v>138</v>
      </c>
      <c r="E608" s="15" t="s">
        <v>1223</v>
      </c>
      <c r="F608" s="15" t="s">
        <v>200</v>
      </c>
      <c r="G608" s="15" t="s">
        <v>162</v>
      </c>
      <c r="H608" s="7">
        <v>15</v>
      </c>
      <c r="I608" s="6" t="s">
        <v>12302</v>
      </c>
      <c r="J608" s="6" t="s">
        <v>41430</v>
      </c>
      <c r="K608" s="6" t="s">
        <v>38841</v>
      </c>
      <c r="L608" s="6" t="s">
        <v>39463</v>
      </c>
      <c r="M608" s="6" t="s">
        <v>41431</v>
      </c>
      <c r="N608" s="6" t="s">
        <v>39405</v>
      </c>
      <c r="O608" s="6" t="s">
        <v>37822</v>
      </c>
      <c r="P608" s="6" t="s">
        <v>41432</v>
      </c>
      <c r="Q608" s="6" t="s">
        <v>41433</v>
      </c>
      <c r="R608" s="6" t="s">
        <v>39416</v>
      </c>
      <c r="S608" s="6" t="s">
        <v>39483</v>
      </c>
      <c r="T608" s="6" t="s">
        <v>38849</v>
      </c>
      <c r="U608" s="6" t="s">
        <v>38064</v>
      </c>
      <c r="V608" s="6" t="s">
        <v>40379</v>
      </c>
      <c r="W608" s="6" t="s">
        <v>38813</v>
      </c>
      <c r="X608" s="6" t="s">
        <v>37975</v>
      </c>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row>
    <row r="609" spans="1:72">
      <c r="A609" s="8" t="s">
        <v>12307</v>
      </c>
      <c r="B609" s="11" t="s">
        <v>12311</v>
      </c>
      <c r="C609" s="9" t="s">
        <v>138</v>
      </c>
      <c r="D609" s="10" t="s">
        <v>138</v>
      </c>
      <c r="E609" s="28" t="s">
        <v>1294</v>
      </c>
      <c r="F609" s="28" t="s">
        <v>864</v>
      </c>
      <c r="G609" s="28" t="s">
        <v>162</v>
      </c>
      <c r="H609" s="13">
        <v>2</v>
      </c>
      <c r="I609" s="12" t="s">
        <v>12319</v>
      </c>
      <c r="J609" s="12" t="s">
        <v>41434</v>
      </c>
      <c r="K609" s="12" t="s">
        <v>38816</v>
      </c>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row>
    <row r="610" spans="1:72">
      <c r="A610" s="2" t="s">
        <v>12321</v>
      </c>
      <c r="B610" s="5" t="s">
        <v>12326</v>
      </c>
      <c r="C610" s="3" t="s">
        <v>12322</v>
      </c>
      <c r="D610" s="4" t="s">
        <v>138</v>
      </c>
      <c r="E610" s="15" t="s">
        <v>6232</v>
      </c>
      <c r="F610" s="15" t="s">
        <v>371</v>
      </c>
      <c r="G610" s="15" t="s">
        <v>162</v>
      </c>
      <c r="H610" s="7">
        <v>11</v>
      </c>
      <c r="I610" s="6" t="s">
        <v>12333</v>
      </c>
      <c r="J610" s="6" t="s">
        <v>41435</v>
      </c>
      <c r="K610" s="6" t="s">
        <v>41436</v>
      </c>
      <c r="L610" s="6" t="s">
        <v>37949</v>
      </c>
      <c r="M610" s="6" t="s">
        <v>37791</v>
      </c>
      <c r="N610" s="6" t="s">
        <v>41437</v>
      </c>
      <c r="O610" s="6" t="s">
        <v>38500</v>
      </c>
      <c r="P610" s="6" t="s">
        <v>41438</v>
      </c>
      <c r="Q610" s="6" t="s">
        <v>41439</v>
      </c>
      <c r="R610" s="6" t="s">
        <v>38878</v>
      </c>
      <c r="S610" s="6" t="s">
        <v>41440</v>
      </c>
      <c r="T610" s="6" t="s">
        <v>38447</v>
      </c>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row>
    <row r="611" spans="1:72">
      <c r="A611" s="8" t="s">
        <v>12337</v>
      </c>
      <c r="B611" s="11" t="s">
        <v>12343</v>
      </c>
      <c r="C611" s="9" t="s">
        <v>12338</v>
      </c>
      <c r="D611" s="10" t="s">
        <v>138</v>
      </c>
      <c r="E611" s="28" t="s">
        <v>668</v>
      </c>
      <c r="F611" s="28" t="s">
        <v>200</v>
      </c>
      <c r="G611" s="28" t="s">
        <v>162</v>
      </c>
      <c r="H611" s="13">
        <v>10</v>
      </c>
      <c r="I611" s="12" t="s">
        <v>12352</v>
      </c>
      <c r="J611" s="12" t="s">
        <v>41441</v>
      </c>
      <c r="K611" s="12" t="s">
        <v>38210</v>
      </c>
      <c r="L611" s="12" t="s">
        <v>40452</v>
      </c>
      <c r="M611" s="12" t="s">
        <v>37985</v>
      </c>
      <c r="N611" s="12" t="s">
        <v>39170</v>
      </c>
      <c r="O611" s="12" t="s">
        <v>38332</v>
      </c>
      <c r="P611" s="12" t="s">
        <v>37791</v>
      </c>
      <c r="Q611" s="12" t="s">
        <v>37998</v>
      </c>
      <c r="R611" s="12" t="s">
        <v>40592</v>
      </c>
      <c r="S611" s="12" t="s">
        <v>38478</v>
      </c>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row>
    <row r="612" spans="1:72">
      <c r="A612" s="2" t="s">
        <v>12355</v>
      </c>
      <c r="B612" s="5" t="s">
        <v>12362</v>
      </c>
      <c r="C612" s="3" t="s">
        <v>12356</v>
      </c>
      <c r="D612" s="4" t="s">
        <v>12357</v>
      </c>
      <c r="E612" s="15" t="s">
        <v>944</v>
      </c>
      <c r="F612" s="15" t="s">
        <v>138</v>
      </c>
      <c r="G612" s="15" t="s">
        <v>946</v>
      </c>
      <c r="H612" s="7">
        <v>15</v>
      </c>
      <c r="I612" s="6" t="s">
        <v>12373</v>
      </c>
      <c r="J612" s="6" t="s">
        <v>41442</v>
      </c>
      <c r="K612" s="6" t="s">
        <v>41443</v>
      </c>
      <c r="L612" s="6" t="s">
        <v>41444</v>
      </c>
      <c r="M612" s="6" t="s">
        <v>41445</v>
      </c>
      <c r="N612" s="6" t="s">
        <v>38286</v>
      </c>
      <c r="O612" s="6" t="s">
        <v>41446</v>
      </c>
      <c r="P612" s="6" t="s">
        <v>41447</v>
      </c>
      <c r="Q612" s="6" t="s">
        <v>41448</v>
      </c>
      <c r="R612" s="6" t="s">
        <v>41449</v>
      </c>
      <c r="S612" s="6" t="s">
        <v>40723</v>
      </c>
      <c r="T612" s="6" t="s">
        <v>38709</v>
      </c>
      <c r="U612" s="6" t="s">
        <v>40944</v>
      </c>
      <c r="V612" s="6" t="s">
        <v>41450</v>
      </c>
      <c r="W612" s="6" t="s">
        <v>41451</v>
      </c>
      <c r="X612" s="6" t="s">
        <v>41452</v>
      </c>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row>
    <row r="613" spans="1:72">
      <c r="A613" s="8" t="s">
        <v>12380</v>
      </c>
      <c r="B613" s="11" t="s">
        <v>12386</v>
      </c>
      <c r="C613" s="9" t="s">
        <v>12381</v>
      </c>
      <c r="D613" s="10" t="s">
        <v>138</v>
      </c>
      <c r="E613" s="28" t="s">
        <v>12394</v>
      </c>
      <c r="F613" s="28" t="s">
        <v>200</v>
      </c>
      <c r="G613" s="28" t="s">
        <v>162</v>
      </c>
      <c r="H613" s="13">
        <v>7</v>
      </c>
      <c r="I613" s="12" t="s">
        <v>12398</v>
      </c>
      <c r="J613" s="12" t="s">
        <v>41453</v>
      </c>
      <c r="K613" s="12" t="s">
        <v>40155</v>
      </c>
      <c r="L613" s="12" t="s">
        <v>41454</v>
      </c>
      <c r="M613" s="12" t="s">
        <v>38463</v>
      </c>
      <c r="N613" s="12" t="s">
        <v>41455</v>
      </c>
      <c r="O613" s="12" t="s">
        <v>38467</v>
      </c>
      <c r="P613" s="12" t="s">
        <v>41456</v>
      </c>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row>
    <row r="614" spans="1:72">
      <c r="A614" s="2" t="s">
        <v>12402</v>
      </c>
      <c r="B614" s="5" t="s">
        <v>12407</v>
      </c>
      <c r="C614" s="3" t="s">
        <v>138</v>
      </c>
      <c r="D614" s="4" t="s">
        <v>138</v>
      </c>
      <c r="E614" s="15" t="s">
        <v>1294</v>
      </c>
      <c r="F614" s="15" t="s">
        <v>864</v>
      </c>
      <c r="G614" s="15" t="s">
        <v>162</v>
      </c>
      <c r="H614" s="7">
        <v>5</v>
      </c>
      <c r="I614" s="6" t="s">
        <v>12418</v>
      </c>
      <c r="J614" s="6" t="s">
        <v>41457</v>
      </c>
      <c r="K614" s="6" t="s">
        <v>38770</v>
      </c>
      <c r="L614" s="6" t="s">
        <v>39694</v>
      </c>
      <c r="M614" s="6" t="s">
        <v>39684</v>
      </c>
      <c r="N614" s="6" t="s">
        <v>39664</v>
      </c>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row>
    <row r="615" spans="1:72">
      <c r="A615" s="8" t="s">
        <v>12421</v>
      </c>
      <c r="B615" s="11" t="s">
        <v>12426</v>
      </c>
      <c r="C615" s="9" t="s">
        <v>138</v>
      </c>
      <c r="D615" s="10" t="s">
        <v>12422</v>
      </c>
      <c r="E615" s="28" t="s">
        <v>12435</v>
      </c>
      <c r="F615" s="28" t="s">
        <v>864</v>
      </c>
      <c r="G615" s="28" t="s">
        <v>162</v>
      </c>
      <c r="H615" s="13">
        <v>12</v>
      </c>
      <c r="I615" s="12" t="s">
        <v>12438</v>
      </c>
      <c r="J615" s="12" t="s">
        <v>41458</v>
      </c>
      <c r="K615" s="12" t="s">
        <v>41459</v>
      </c>
      <c r="L615" s="12" t="s">
        <v>41460</v>
      </c>
      <c r="M615" s="12" t="s">
        <v>41461</v>
      </c>
      <c r="N615" s="12" t="s">
        <v>41462</v>
      </c>
      <c r="O615" s="12" t="s">
        <v>41463</v>
      </c>
      <c r="P615" s="12" t="s">
        <v>37788</v>
      </c>
      <c r="Q615" s="12" t="s">
        <v>38398</v>
      </c>
      <c r="R615" s="12" t="s">
        <v>38099</v>
      </c>
      <c r="S615" s="12" t="s">
        <v>41464</v>
      </c>
      <c r="T615" s="12" t="s">
        <v>41465</v>
      </c>
      <c r="U615" s="12" t="s">
        <v>41466</v>
      </c>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row>
    <row r="616" spans="1:72">
      <c r="A616" s="2" t="s">
        <v>12441</v>
      </c>
      <c r="B616" s="5" t="s">
        <v>12446</v>
      </c>
      <c r="C616" s="3" t="s">
        <v>138</v>
      </c>
      <c r="D616" s="4" t="s">
        <v>138</v>
      </c>
      <c r="E616" s="15" t="s">
        <v>668</v>
      </c>
      <c r="F616" s="15" t="s">
        <v>200</v>
      </c>
      <c r="G616" s="15" t="s">
        <v>162</v>
      </c>
      <c r="H616" s="7">
        <v>15</v>
      </c>
      <c r="I616" s="6" t="s">
        <v>12456</v>
      </c>
      <c r="J616" s="6" t="s">
        <v>38061</v>
      </c>
      <c r="K616" s="6" t="s">
        <v>38964</v>
      </c>
      <c r="L616" s="6" t="s">
        <v>38417</v>
      </c>
      <c r="M616" s="6" t="s">
        <v>39475</v>
      </c>
      <c r="N616" s="6" t="s">
        <v>38114</v>
      </c>
      <c r="O616" s="6" t="s">
        <v>38318</v>
      </c>
      <c r="P616" s="6" t="s">
        <v>37960</v>
      </c>
      <c r="Q616" s="6" t="s">
        <v>37922</v>
      </c>
      <c r="R616" s="6" t="s">
        <v>41467</v>
      </c>
      <c r="S616" s="6" t="s">
        <v>38323</v>
      </c>
      <c r="T616" s="6" t="s">
        <v>39296</v>
      </c>
      <c r="U616" s="6" t="s">
        <v>37783</v>
      </c>
      <c r="V616" s="6" t="s">
        <v>38726</v>
      </c>
      <c r="W616" s="6" t="s">
        <v>38143</v>
      </c>
      <c r="X616" s="6" t="s">
        <v>37976</v>
      </c>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row>
    <row r="617" spans="1:72">
      <c r="A617" s="8" t="s">
        <v>12462</v>
      </c>
      <c r="B617" s="11" t="s">
        <v>12467</v>
      </c>
      <c r="C617" s="9" t="s">
        <v>138</v>
      </c>
      <c r="D617" s="10" t="s">
        <v>138</v>
      </c>
      <c r="E617" s="28" t="s">
        <v>12477</v>
      </c>
      <c r="F617" s="28" t="s">
        <v>824</v>
      </c>
      <c r="G617" s="28" t="s">
        <v>526</v>
      </c>
      <c r="H617" s="13">
        <v>6</v>
      </c>
      <c r="I617" s="12" t="s">
        <v>12481</v>
      </c>
      <c r="J617" s="12" t="s">
        <v>41468</v>
      </c>
      <c r="K617" s="12" t="s">
        <v>39331</v>
      </c>
      <c r="L617" s="12" t="s">
        <v>39201</v>
      </c>
      <c r="M617" s="12" t="s">
        <v>41469</v>
      </c>
      <c r="N617" s="12" t="s">
        <v>41470</v>
      </c>
      <c r="O617" s="12" t="s">
        <v>40373</v>
      </c>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row>
    <row r="618" spans="1:72">
      <c r="A618" s="2" t="s">
        <v>12485</v>
      </c>
      <c r="B618" s="5" t="s">
        <v>12491</v>
      </c>
      <c r="C618" s="3" t="s">
        <v>138</v>
      </c>
      <c r="D618" s="4" t="s">
        <v>138</v>
      </c>
      <c r="E618" s="15" t="s">
        <v>6232</v>
      </c>
      <c r="F618" s="15" t="s">
        <v>371</v>
      </c>
      <c r="G618" s="15" t="s">
        <v>162</v>
      </c>
      <c r="H618" s="7">
        <v>1</v>
      </c>
      <c r="I618" s="6" t="s">
        <v>12498</v>
      </c>
      <c r="J618" s="6" t="s">
        <v>12498</v>
      </c>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row>
    <row r="619" spans="1:72">
      <c r="A619" s="8" t="s">
        <v>12501</v>
      </c>
      <c r="B619" s="11" t="s">
        <v>12504</v>
      </c>
      <c r="C619" s="9" t="s">
        <v>138</v>
      </c>
      <c r="D619" s="10" t="s">
        <v>138</v>
      </c>
      <c r="E619" s="28" t="s">
        <v>4492</v>
      </c>
      <c r="F619" s="28" t="s">
        <v>4493</v>
      </c>
      <c r="G619" s="28" t="s">
        <v>162</v>
      </c>
      <c r="H619" s="13">
        <v>3</v>
      </c>
      <c r="I619" s="12" t="s">
        <v>12512</v>
      </c>
      <c r="J619" s="12" t="s">
        <v>41471</v>
      </c>
      <c r="K619" s="12" t="s">
        <v>37788</v>
      </c>
      <c r="L619" s="12" t="s">
        <v>41472</v>
      </c>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2"/>
    </row>
    <row r="620" spans="1:72">
      <c r="A620" s="2" t="s">
        <v>12515</v>
      </c>
      <c r="B620" s="5" t="s">
        <v>12519</v>
      </c>
      <c r="C620" s="3" t="s">
        <v>138</v>
      </c>
      <c r="D620" s="4" t="s">
        <v>138</v>
      </c>
      <c r="E620" s="15" t="s">
        <v>12527</v>
      </c>
      <c r="F620" s="15" t="s">
        <v>284</v>
      </c>
      <c r="G620" s="15" t="s">
        <v>162</v>
      </c>
      <c r="H620" s="7">
        <v>12</v>
      </c>
      <c r="I620" s="6" t="s">
        <v>12530</v>
      </c>
      <c r="J620" s="6" t="s">
        <v>41473</v>
      </c>
      <c r="K620" s="6" t="s">
        <v>38663</v>
      </c>
      <c r="L620" s="6" t="s">
        <v>38784</v>
      </c>
      <c r="M620" s="6" t="s">
        <v>41474</v>
      </c>
      <c r="N620" s="6" t="s">
        <v>41245</v>
      </c>
      <c r="O620" s="6" t="s">
        <v>41475</v>
      </c>
      <c r="P620" s="6" t="s">
        <v>37774</v>
      </c>
      <c r="Q620" s="6" t="s">
        <v>37775</v>
      </c>
      <c r="R620" s="6" t="s">
        <v>37801</v>
      </c>
      <c r="S620" s="6" t="s">
        <v>41476</v>
      </c>
      <c r="T620" s="6" t="s">
        <v>38804</v>
      </c>
      <c r="U620" s="6" t="s">
        <v>41477</v>
      </c>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row>
    <row r="621" spans="1:72">
      <c r="A621" s="8" t="s">
        <v>12533</v>
      </c>
      <c r="B621" s="11" t="s">
        <v>12538</v>
      </c>
      <c r="C621" s="9" t="s">
        <v>138</v>
      </c>
      <c r="D621" s="10" t="s">
        <v>138</v>
      </c>
      <c r="E621" s="28" t="s">
        <v>11750</v>
      </c>
      <c r="F621" s="28" t="s">
        <v>200</v>
      </c>
      <c r="G621" s="28" t="s">
        <v>162</v>
      </c>
      <c r="H621" s="13">
        <v>12</v>
      </c>
      <c r="I621" s="12" t="s">
        <v>12546</v>
      </c>
      <c r="J621" s="12" t="s">
        <v>38344</v>
      </c>
      <c r="K621" s="12" t="s">
        <v>39314</v>
      </c>
      <c r="L621" s="12" t="s">
        <v>41478</v>
      </c>
      <c r="M621" s="12" t="s">
        <v>39030</v>
      </c>
      <c r="N621" s="12" t="s">
        <v>40970</v>
      </c>
      <c r="O621" s="12" t="s">
        <v>39865</v>
      </c>
      <c r="P621" s="12" t="s">
        <v>40597</v>
      </c>
      <c r="Q621" s="12" t="s">
        <v>41479</v>
      </c>
      <c r="R621" s="12" t="s">
        <v>38099</v>
      </c>
      <c r="S621" s="12" t="s">
        <v>41480</v>
      </c>
      <c r="T621" s="12" t="s">
        <v>38895</v>
      </c>
      <c r="U621" s="12" t="s">
        <v>41481</v>
      </c>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row>
    <row r="622" spans="1:72">
      <c r="A622" s="2" t="s">
        <v>12549</v>
      </c>
      <c r="B622" s="5" t="s">
        <v>12555</v>
      </c>
      <c r="C622" s="3" t="s">
        <v>12550</v>
      </c>
      <c r="D622" s="4" t="s">
        <v>138</v>
      </c>
      <c r="E622" s="15" t="s">
        <v>12564</v>
      </c>
      <c r="F622" s="15" t="s">
        <v>6099</v>
      </c>
      <c r="G622" s="15" t="s">
        <v>2071</v>
      </c>
      <c r="H622" s="7">
        <v>2</v>
      </c>
      <c r="I622" s="6" t="s">
        <v>12569</v>
      </c>
      <c r="J622" s="6" t="s">
        <v>41482</v>
      </c>
      <c r="K622" s="6" t="s">
        <v>38200</v>
      </c>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row>
    <row r="623" spans="1:72">
      <c r="A623" s="8" t="s">
        <v>12571</v>
      </c>
      <c r="B623" s="11" t="s">
        <v>12575</v>
      </c>
      <c r="C623" s="9" t="s">
        <v>138</v>
      </c>
      <c r="D623" s="10" t="s">
        <v>138</v>
      </c>
      <c r="E623" s="28" t="s">
        <v>823</v>
      </c>
      <c r="F623" s="28" t="s">
        <v>824</v>
      </c>
      <c r="G623" s="28" t="s">
        <v>526</v>
      </c>
      <c r="H623" s="13">
        <v>3</v>
      </c>
      <c r="I623" s="12" t="s">
        <v>12583</v>
      </c>
      <c r="J623" s="12" t="s">
        <v>41483</v>
      </c>
      <c r="K623" s="12" t="s">
        <v>41484</v>
      </c>
      <c r="L623" s="12" t="s">
        <v>38363</v>
      </c>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row>
    <row r="624" spans="1:72">
      <c r="A624" s="2" t="s">
        <v>12586</v>
      </c>
      <c r="B624" s="5" t="s">
        <v>12591</v>
      </c>
      <c r="C624" s="3" t="s">
        <v>138</v>
      </c>
      <c r="D624" s="4" t="s">
        <v>138</v>
      </c>
      <c r="E624" s="15" t="s">
        <v>1031</v>
      </c>
      <c r="F624" s="15" t="s">
        <v>1032</v>
      </c>
      <c r="G624" s="15" t="s">
        <v>162</v>
      </c>
      <c r="H624" s="7">
        <v>1</v>
      </c>
      <c r="I624" s="6" t="s">
        <v>2783</v>
      </c>
      <c r="J624" s="6" t="s">
        <v>2783</v>
      </c>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row>
    <row r="625" spans="1:72">
      <c r="A625" s="8" t="s">
        <v>12600</v>
      </c>
      <c r="B625" s="11" t="s">
        <v>12604</v>
      </c>
      <c r="C625" s="9" t="s">
        <v>138</v>
      </c>
      <c r="D625" s="10" t="s">
        <v>138</v>
      </c>
      <c r="E625" s="28" t="s">
        <v>523</v>
      </c>
      <c r="F625" s="28" t="s">
        <v>524</v>
      </c>
      <c r="G625" s="28" t="s">
        <v>526</v>
      </c>
      <c r="H625" s="13">
        <v>3</v>
      </c>
      <c r="I625" s="12" t="s">
        <v>12612</v>
      </c>
      <c r="J625" s="12" t="s">
        <v>33189</v>
      </c>
      <c r="K625" s="12" t="s">
        <v>40742</v>
      </c>
      <c r="L625" s="12" t="s">
        <v>41485</v>
      </c>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12"/>
      <c r="BH625" s="12"/>
      <c r="BI625" s="12"/>
      <c r="BJ625" s="12"/>
      <c r="BK625" s="12"/>
      <c r="BL625" s="12"/>
      <c r="BM625" s="12"/>
      <c r="BN625" s="12"/>
      <c r="BO625" s="12"/>
      <c r="BP625" s="12"/>
      <c r="BQ625" s="12"/>
      <c r="BR625" s="12"/>
      <c r="BS625" s="12"/>
      <c r="BT625" s="12"/>
    </row>
    <row r="626" spans="1:72">
      <c r="A626" s="2" t="s">
        <v>12615</v>
      </c>
      <c r="B626" s="5" t="s">
        <v>12621</v>
      </c>
      <c r="C626" s="3" t="s">
        <v>138</v>
      </c>
      <c r="D626" s="4" t="s">
        <v>138</v>
      </c>
      <c r="E626" s="15" t="s">
        <v>12628</v>
      </c>
      <c r="F626" s="15" t="s">
        <v>12629</v>
      </c>
      <c r="G626" s="15" t="s">
        <v>12630</v>
      </c>
      <c r="H626" s="7">
        <v>27</v>
      </c>
      <c r="I626" s="6" t="s">
        <v>12632</v>
      </c>
      <c r="J626" s="6" t="s">
        <v>38061</v>
      </c>
      <c r="K626" s="6" t="s">
        <v>40802</v>
      </c>
      <c r="L626" s="6" t="s">
        <v>39321</v>
      </c>
      <c r="M626" s="6" t="s">
        <v>41486</v>
      </c>
      <c r="N626" s="6" t="s">
        <v>38417</v>
      </c>
      <c r="O626" s="6" t="s">
        <v>38300</v>
      </c>
      <c r="P626" s="6" t="s">
        <v>41487</v>
      </c>
      <c r="Q626" s="6" t="s">
        <v>37945</v>
      </c>
      <c r="R626" s="6" t="s">
        <v>38332</v>
      </c>
      <c r="S626" s="6" t="s">
        <v>38931</v>
      </c>
      <c r="T626" s="6" t="s">
        <v>37799</v>
      </c>
      <c r="U626" s="6" t="s">
        <v>41488</v>
      </c>
      <c r="V626" s="6" t="s">
        <v>39286</v>
      </c>
      <c r="W626" s="6" t="s">
        <v>41489</v>
      </c>
      <c r="X626" s="6" t="s">
        <v>39911</v>
      </c>
      <c r="Y626" s="6" t="s">
        <v>41490</v>
      </c>
      <c r="Z626" s="6" t="s">
        <v>37998</v>
      </c>
      <c r="AA626" s="6" t="s">
        <v>41491</v>
      </c>
      <c r="AB626" s="6" t="s">
        <v>41492</v>
      </c>
      <c r="AC626" s="6" t="s">
        <v>37805</v>
      </c>
      <c r="AD626" s="6" t="s">
        <v>39327</v>
      </c>
      <c r="AE626" s="6" t="s">
        <v>38167</v>
      </c>
      <c r="AF626" s="6" t="s">
        <v>39695</v>
      </c>
      <c r="AG626" s="6" t="s">
        <v>38753</v>
      </c>
      <c r="AH626" s="6" t="s">
        <v>38438</v>
      </c>
      <c r="AI626" s="6" t="s">
        <v>37976</v>
      </c>
      <c r="AJ626" s="6" t="s">
        <v>38054</v>
      </c>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row>
    <row r="627" spans="1:72">
      <c r="A627" s="8" t="s">
        <v>12635</v>
      </c>
      <c r="B627" s="11" t="s">
        <v>12639</v>
      </c>
      <c r="C627" s="9" t="s">
        <v>138</v>
      </c>
      <c r="D627" s="10" t="s">
        <v>138</v>
      </c>
      <c r="E627" s="28" t="s">
        <v>642</v>
      </c>
      <c r="F627" s="28" t="s">
        <v>474</v>
      </c>
      <c r="G627" s="28" t="s">
        <v>162</v>
      </c>
      <c r="H627" s="13">
        <v>3</v>
      </c>
      <c r="I627" s="12" t="s">
        <v>12645</v>
      </c>
      <c r="J627" s="12" t="s">
        <v>41493</v>
      </c>
      <c r="K627" s="12" t="s">
        <v>37890</v>
      </c>
      <c r="L627" s="12" t="s">
        <v>37972</v>
      </c>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2"/>
    </row>
    <row r="628" spans="1:72">
      <c r="A628" s="2" t="s">
        <v>12648</v>
      </c>
      <c r="B628" s="5" t="s">
        <v>12653</v>
      </c>
      <c r="C628" s="3" t="s">
        <v>12649</v>
      </c>
      <c r="D628" s="4" t="s">
        <v>138</v>
      </c>
      <c r="E628" s="15" t="s">
        <v>1294</v>
      </c>
      <c r="F628" s="15" t="s">
        <v>864</v>
      </c>
      <c r="G628" s="15" t="s">
        <v>162</v>
      </c>
      <c r="H628" s="7">
        <v>10</v>
      </c>
      <c r="I628" s="6" t="s">
        <v>12664</v>
      </c>
      <c r="J628" s="6" t="s">
        <v>37811</v>
      </c>
      <c r="K628" s="6" t="s">
        <v>41494</v>
      </c>
      <c r="L628" s="6" t="s">
        <v>37819</v>
      </c>
      <c r="M628" s="6" t="s">
        <v>41495</v>
      </c>
      <c r="N628" s="6" t="s">
        <v>39917</v>
      </c>
      <c r="O628" s="6" t="s">
        <v>40536</v>
      </c>
      <c r="P628" s="6" t="s">
        <v>37949</v>
      </c>
      <c r="Q628" s="6" t="s">
        <v>38057</v>
      </c>
      <c r="R628" s="6" t="s">
        <v>41496</v>
      </c>
      <c r="S628" s="6" t="s">
        <v>41497</v>
      </c>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row>
    <row r="629" spans="1:72">
      <c r="A629" s="8" t="s">
        <v>12669</v>
      </c>
      <c r="B629" s="11" t="s">
        <v>12674</v>
      </c>
      <c r="C629" s="9" t="s">
        <v>138</v>
      </c>
      <c r="D629" s="10" t="s">
        <v>12670</v>
      </c>
      <c r="E629" s="28" t="s">
        <v>12678</v>
      </c>
      <c r="F629" s="28" t="s">
        <v>138</v>
      </c>
      <c r="G629" s="28" t="s">
        <v>2071</v>
      </c>
      <c r="H629" s="13">
        <v>1</v>
      </c>
      <c r="I629" s="12" t="s">
        <v>2075</v>
      </c>
      <c r="J629" s="12" t="s">
        <v>2075</v>
      </c>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2"/>
    </row>
    <row r="630" spans="1:72">
      <c r="A630" s="2" t="s">
        <v>12684</v>
      </c>
      <c r="B630" s="5" t="s">
        <v>12690</v>
      </c>
      <c r="C630" s="3" t="s">
        <v>138</v>
      </c>
      <c r="D630" s="4" t="s">
        <v>12685</v>
      </c>
      <c r="E630" s="15" t="s">
        <v>4900</v>
      </c>
      <c r="F630" s="15" t="s">
        <v>200</v>
      </c>
      <c r="G630" s="15" t="s">
        <v>162</v>
      </c>
      <c r="H630" s="7">
        <v>5</v>
      </c>
      <c r="I630" s="6" t="s">
        <v>12698</v>
      </c>
      <c r="J630" s="6" t="s">
        <v>6673</v>
      </c>
      <c r="K630" s="6" t="s">
        <v>41498</v>
      </c>
      <c r="L630" s="6" t="s">
        <v>38371</v>
      </c>
      <c r="M630" s="6" t="s">
        <v>41499</v>
      </c>
      <c r="N630" s="6" t="s">
        <v>38372</v>
      </c>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row>
    <row r="631" spans="1:72">
      <c r="A631" s="8" t="s">
        <v>12701</v>
      </c>
      <c r="B631" s="11" t="s">
        <v>12706</v>
      </c>
      <c r="C631" s="9" t="s">
        <v>138</v>
      </c>
      <c r="D631" s="10" t="s">
        <v>138</v>
      </c>
      <c r="E631" s="28" t="s">
        <v>668</v>
      </c>
      <c r="F631" s="28" t="s">
        <v>200</v>
      </c>
      <c r="G631" s="28" t="s">
        <v>162</v>
      </c>
      <c r="H631" s="13">
        <v>19</v>
      </c>
      <c r="I631" s="12" t="s">
        <v>12713</v>
      </c>
      <c r="J631" s="12" t="s">
        <v>39527</v>
      </c>
      <c r="K631" s="12" t="s">
        <v>41500</v>
      </c>
      <c r="L631" s="12" t="s">
        <v>41501</v>
      </c>
      <c r="M631" s="12" t="s">
        <v>41502</v>
      </c>
      <c r="N631" s="12" t="s">
        <v>38872</v>
      </c>
      <c r="O631" s="12" t="s">
        <v>37986</v>
      </c>
      <c r="P631" s="12" t="s">
        <v>41503</v>
      </c>
      <c r="Q631" s="12" t="s">
        <v>41504</v>
      </c>
      <c r="R631" s="12" t="s">
        <v>41505</v>
      </c>
      <c r="S631" s="12" t="s">
        <v>41506</v>
      </c>
      <c r="T631" s="12" t="s">
        <v>38369</v>
      </c>
      <c r="U631" s="12" t="s">
        <v>41507</v>
      </c>
      <c r="V631" s="12" t="s">
        <v>38323</v>
      </c>
      <c r="W631" s="12" t="s">
        <v>37781</v>
      </c>
      <c r="X631" s="12" t="s">
        <v>38185</v>
      </c>
      <c r="Y631" s="12" t="s">
        <v>41508</v>
      </c>
      <c r="Z631" s="12" t="s">
        <v>38864</v>
      </c>
      <c r="AA631" s="12" t="s">
        <v>41509</v>
      </c>
      <c r="AB631" s="12" t="s">
        <v>41510</v>
      </c>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row>
    <row r="632" spans="1:72">
      <c r="A632" s="2" t="s">
        <v>12718</v>
      </c>
      <c r="B632" s="5" t="s">
        <v>12723</v>
      </c>
      <c r="C632" s="3" t="s">
        <v>138</v>
      </c>
      <c r="D632" s="4" t="s">
        <v>12719</v>
      </c>
      <c r="E632" s="15" t="s">
        <v>7748</v>
      </c>
      <c r="F632" s="15" t="s">
        <v>200</v>
      </c>
      <c r="G632" s="15" t="s">
        <v>162</v>
      </c>
      <c r="H632" s="7">
        <v>2</v>
      </c>
      <c r="I632" s="6" t="s">
        <v>12736</v>
      </c>
      <c r="J632" s="6" t="s">
        <v>6235</v>
      </c>
      <c r="K632" s="6" t="s">
        <v>41511</v>
      </c>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row>
    <row r="633" spans="1:72">
      <c r="A633" s="8" t="s">
        <v>12740</v>
      </c>
      <c r="B633" s="11" t="s">
        <v>12746</v>
      </c>
      <c r="C633" s="9" t="s">
        <v>12741</v>
      </c>
      <c r="D633" s="10" t="s">
        <v>138</v>
      </c>
      <c r="E633" s="28" t="s">
        <v>668</v>
      </c>
      <c r="F633" s="28" t="s">
        <v>200</v>
      </c>
      <c r="G633" s="28" t="s">
        <v>162</v>
      </c>
      <c r="H633" s="13">
        <v>28</v>
      </c>
      <c r="I633" s="12" t="s">
        <v>12755</v>
      </c>
      <c r="J633" s="12" t="s">
        <v>38406</v>
      </c>
      <c r="K633" s="12" t="s">
        <v>41512</v>
      </c>
      <c r="L633" s="12" t="s">
        <v>37979</v>
      </c>
      <c r="M633" s="12" t="s">
        <v>40194</v>
      </c>
      <c r="N633" s="12" t="s">
        <v>41513</v>
      </c>
      <c r="O633" s="12" t="s">
        <v>41514</v>
      </c>
      <c r="P633" s="12" t="s">
        <v>41515</v>
      </c>
      <c r="Q633" s="12" t="s">
        <v>41516</v>
      </c>
      <c r="R633" s="12" t="s">
        <v>41517</v>
      </c>
      <c r="S633" s="12" t="s">
        <v>37819</v>
      </c>
      <c r="T633" s="12" t="s">
        <v>41518</v>
      </c>
      <c r="U633" s="12" t="s">
        <v>37941</v>
      </c>
      <c r="V633" s="12" t="s">
        <v>41036</v>
      </c>
      <c r="W633" s="12" t="s">
        <v>38419</v>
      </c>
      <c r="X633" s="12" t="s">
        <v>37947</v>
      </c>
      <c r="Y633" s="12" t="s">
        <v>40149</v>
      </c>
      <c r="Z633" s="12" t="s">
        <v>37786</v>
      </c>
      <c r="AA633" s="12" t="s">
        <v>39944</v>
      </c>
      <c r="AB633" s="12" t="s">
        <v>37955</v>
      </c>
      <c r="AC633" s="12" t="s">
        <v>41519</v>
      </c>
      <c r="AD633" s="12" t="s">
        <v>38017</v>
      </c>
      <c r="AE633" s="12" t="s">
        <v>38430</v>
      </c>
      <c r="AF633" s="12" t="s">
        <v>38979</v>
      </c>
      <c r="AG633" s="12" t="s">
        <v>41312</v>
      </c>
      <c r="AH633" s="12" t="s">
        <v>37781</v>
      </c>
      <c r="AI633" s="12" t="s">
        <v>38030</v>
      </c>
      <c r="AJ633" s="12" t="s">
        <v>37871</v>
      </c>
      <c r="AK633" s="12" t="s">
        <v>37886</v>
      </c>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row>
    <row r="634" spans="1:72">
      <c r="A634" s="2" t="s">
        <v>12762</v>
      </c>
      <c r="B634" s="5" t="s">
        <v>12767</v>
      </c>
      <c r="C634" s="3" t="s">
        <v>138</v>
      </c>
      <c r="D634" s="4" t="s">
        <v>12763</v>
      </c>
      <c r="E634" s="15" t="s">
        <v>426</v>
      </c>
      <c r="F634" s="15" t="s">
        <v>426</v>
      </c>
      <c r="G634" s="15" t="s">
        <v>162</v>
      </c>
      <c r="H634" s="7">
        <v>22</v>
      </c>
      <c r="I634" s="6" t="s">
        <v>12776</v>
      </c>
      <c r="J634" s="6" t="s">
        <v>41520</v>
      </c>
      <c r="K634" s="6" t="s">
        <v>41521</v>
      </c>
      <c r="L634" s="6" t="s">
        <v>38354</v>
      </c>
      <c r="M634" s="6" t="s">
        <v>41522</v>
      </c>
      <c r="N634" s="6" t="s">
        <v>41517</v>
      </c>
      <c r="O634" s="6" t="s">
        <v>41523</v>
      </c>
      <c r="P634" s="6" t="s">
        <v>41524</v>
      </c>
      <c r="Q634" s="6" t="s">
        <v>41525</v>
      </c>
      <c r="R634" s="6" t="s">
        <v>38114</v>
      </c>
      <c r="S634" s="6" t="s">
        <v>41526</v>
      </c>
      <c r="T634" s="6" t="s">
        <v>41527</v>
      </c>
      <c r="U634" s="6" t="s">
        <v>41528</v>
      </c>
      <c r="V634" s="6" t="s">
        <v>38514</v>
      </c>
      <c r="W634" s="6" t="s">
        <v>40206</v>
      </c>
      <c r="X634" s="6" t="s">
        <v>39439</v>
      </c>
      <c r="Y634" s="6" t="s">
        <v>41529</v>
      </c>
      <c r="Z634" s="6" t="s">
        <v>41530</v>
      </c>
      <c r="AA634" s="6" t="s">
        <v>41531</v>
      </c>
      <c r="AB634" s="6" t="s">
        <v>41532</v>
      </c>
      <c r="AC634" s="6" t="s">
        <v>38001</v>
      </c>
      <c r="AD634" s="6" t="s">
        <v>40904</v>
      </c>
      <c r="AE634" s="6" t="s">
        <v>39713</v>
      </c>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row>
    <row r="635" spans="1:72">
      <c r="A635" s="8" t="s">
        <v>12780</v>
      </c>
      <c r="B635" s="11" t="s">
        <v>12785</v>
      </c>
      <c r="C635" s="9" t="s">
        <v>138</v>
      </c>
      <c r="D635" s="10" t="s">
        <v>138</v>
      </c>
      <c r="E635" s="28" t="s">
        <v>1294</v>
      </c>
      <c r="F635" s="28" t="s">
        <v>864</v>
      </c>
      <c r="G635" s="28" t="s">
        <v>162</v>
      </c>
      <c r="H635" s="13">
        <v>14</v>
      </c>
      <c r="I635" s="12" t="s">
        <v>12791</v>
      </c>
      <c r="J635" s="12" t="s">
        <v>41533</v>
      </c>
      <c r="K635" s="12" t="s">
        <v>41534</v>
      </c>
      <c r="L635" s="12" t="s">
        <v>38521</v>
      </c>
      <c r="M635" s="12" t="s">
        <v>41535</v>
      </c>
      <c r="N635" s="12" t="s">
        <v>41536</v>
      </c>
      <c r="O635" s="12" t="s">
        <v>41537</v>
      </c>
      <c r="P635" s="12" t="s">
        <v>39435</v>
      </c>
      <c r="Q635" s="12" t="s">
        <v>38494</v>
      </c>
      <c r="R635" s="12" t="s">
        <v>41538</v>
      </c>
      <c r="S635" s="12" t="s">
        <v>41539</v>
      </c>
      <c r="T635" s="12" t="s">
        <v>41540</v>
      </c>
      <c r="U635" s="12" t="s">
        <v>38480</v>
      </c>
      <c r="V635" s="12" t="s">
        <v>41541</v>
      </c>
      <c r="W635" s="12" t="s">
        <v>41542</v>
      </c>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row>
    <row r="636" spans="1:72">
      <c r="A636" s="2" t="s">
        <v>12794</v>
      </c>
      <c r="B636" s="5" t="s">
        <v>12799</v>
      </c>
      <c r="C636" s="3" t="s">
        <v>138</v>
      </c>
      <c r="D636" s="4" t="s">
        <v>138</v>
      </c>
      <c r="E636" s="15" t="s">
        <v>3452</v>
      </c>
      <c r="F636" s="15" t="s">
        <v>3453</v>
      </c>
      <c r="G636" s="15" t="s">
        <v>2333</v>
      </c>
      <c r="H636" s="7">
        <v>5</v>
      </c>
      <c r="I636" s="6" t="s">
        <v>12810</v>
      </c>
      <c r="J636" s="6" t="s">
        <v>41543</v>
      </c>
      <c r="K636" s="6" t="s">
        <v>40278</v>
      </c>
      <c r="L636" s="6" t="s">
        <v>38299</v>
      </c>
      <c r="M636" s="6" t="s">
        <v>41544</v>
      </c>
      <c r="N636" s="6" t="s">
        <v>41545</v>
      </c>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row>
    <row r="637" spans="1:72">
      <c r="A637" s="8" t="s">
        <v>12813</v>
      </c>
      <c r="B637" s="11" t="s">
        <v>12817</v>
      </c>
      <c r="C637" s="9" t="s">
        <v>138</v>
      </c>
      <c r="D637" s="10" t="s">
        <v>138</v>
      </c>
      <c r="E637" s="28" t="s">
        <v>310</v>
      </c>
      <c r="F637" s="28" t="s">
        <v>200</v>
      </c>
      <c r="G637" s="28" t="s">
        <v>162</v>
      </c>
      <c r="H637" s="13">
        <v>12</v>
      </c>
      <c r="I637" s="12" t="s">
        <v>12826</v>
      </c>
      <c r="J637" s="12" t="s">
        <v>37811</v>
      </c>
      <c r="K637" s="12" t="s">
        <v>38075</v>
      </c>
      <c r="L637" s="12" t="s">
        <v>38299</v>
      </c>
      <c r="M637" s="12" t="s">
        <v>40010</v>
      </c>
      <c r="N637" s="12" t="s">
        <v>41546</v>
      </c>
      <c r="O637" s="12" t="s">
        <v>41547</v>
      </c>
      <c r="P637" s="12" t="s">
        <v>37786</v>
      </c>
      <c r="Q637" s="12" t="s">
        <v>39900</v>
      </c>
      <c r="R637" s="12" t="s">
        <v>38398</v>
      </c>
      <c r="S637" s="12" t="s">
        <v>38320</v>
      </c>
      <c r="T637" s="12" t="s">
        <v>38323</v>
      </c>
      <c r="U637" s="12" t="s">
        <v>38326</v>
      </c>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row>
    <row r="638" spans="1:72">
      <c r="A638" s="2" t="s">
        <v>12829</v>
      </c>
      <c r="B638" s="5" t="s">
        <v>12833</v>
      </c>
      <c r="C638" s="3" t="s">
        <v>138</v>
      </c>
      <c r="D638" s="4" t="s">
        <v>138</v>
      </c>
      <c r="E638" s="15" t="s">
        <v>3841</v>
      </c>
      <c r="F638" s="15" t="s">
        <v>200</v>
      </c>
      <c r="G638" s="15" t="s">
        <v>162</v>
      </c>
      <c r="H638" s="7">
        <v>13</v>
      </c>
      <c r="I638" s="6" t="s">
        <v>12843</v>
      </c>
      <c r="J638" s="6" t="s">
        <v>41548</v>
      </c>
      <c r="K638" s="6" t="s">
        <v>41549</v>
      </c>
      <c r="L638" s="6" t="s">
        <v>41550</v>
      </c>
      <c r="M638" s="6" t="s">
        <v>39986</v>
      </c>
      <c r="N638" s="6" t="s">
        <v>41551</v>
      </c>
      <c r="O638" s="6" t="s">
        <v>41552</v>
      </c>
      <c r="P638" s="6" t="s">
        <v>38889</v>
      </c>
      <c r="Q638" s="6" t="s">
        <v>38475</v>
      </c>
      <c r="R638" s="6" t="s">
        <v>39138</v>
      </c>
      <c r="S638" s="6" t="s">
        <v>37770</v>
      </c>
      <c r="T638" s="6" t="s">
        <v>39684</v>
      </c>
      <c r="U638" s="6" t="s">
        <v>40002</v>
      </c>
      <c r="V638" s="6" t="s">
        <v>40132</v>
      </c>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row>
    <row r="639" spans="1:72">
      <c r="A639" s="8" t="s">
        <v>12846</v>
      </c>
      <c r="B639" s="11" t="s">
        <v>12850</v>
      </c>
      <c r="C639" s="9" t="s">
        <v>138</v>
      </c>
      <c r="D639" s="10" t="s">
        <v>138</v>
      </c>
      <c r="E639" s="28" t="s">
        <v>1516</v>
      </c>
      <c r="F639" s="28" t="s">
        <v>284</v>
      </c>
      <c r="G639" s="28" t="s">
        <v>162</v>
      </c>
      <c r="H639" s="13">
        <v>14</v>
      </c>
      <c r="I639" s="12" t="s">
        <v>12860</v>
      </c>
      <c r="J639" s="12" t="s">
        <v>40608</v>
      </c>
      <c r="K639" s="12" t="s">
        <v>41553</v>
      </c>
      <c r="L639" s="12" t="s">
        <v>38964</v>
      </c>
      <c r="M639" s="12" t="s">
        <v>37881</v>
      </c>
      <c r="N639" s="12" t="s">
        <v>37910</v>
      </c>
      <c r="O639" s="12" t="s">
        <v>38062</v>
      </c>
      <c r="P639" s="12" t="s">
        <v>40093</v>
      </c>
      <c r="Q639" s="12" t="s">
        <v>40880</v>
      </c>
      <c r="R639" s="12" t="s">
        <v>41554</v>
      </c>
      <c r="S639" s="12" t="s">
        <v>41555</v>
      </c>
      <c r="T639" s="12" t="s">
        <v>40883</v>
      </c>
      <c r="U639" s="12" t="s">
        <v>40367</v>
      </c>
      <c r="V639" s="12" t="s">
        <v>41556</v>
      </c>
      <c r="W639" s="12" t="s">
        <v>38705</v>
      </c>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2"/>
    </row>
    <row r="640" spans="1:72">
      <c r="A640" s="2" t="s">
        <v>12864</v>
      </c>
      <c r="B640" s="5" t="s">
        <v>12868</v>
      </c>
      <c r="C640" s="3" t="s">
        <v>138</v>
      </c>
      <c r="D640" s="4" t="s">
        <v>138</v>
      </c>
      <c r="E640" s="15" t="s">
        <v>668</v>
      </c>
      <c r="F640" s="15" t="s">
        <v>200</v>
      </c>
      <c r="G640" s="15" t="s">
        <v>162</v>
      </c>
      <c r="H640" s="7">
        <v>23</v>
      </c>
      <c r="I640" s="6" t="s">
        <v>12878</v>
      </c>
      <c r="J640" s="6" t="s">
        <v>41557</v>
      </c>
      <c r="K640" s="6" t="s">
        <v>41558</v>
      </c>
      <c r="L640" s="6" t="s">
        <v>40195</v>
      </c>
      <c r="M640" s="6" t="s">
        <v>41559</v>
      </c>
      <c r="N640" s="6" t="s">
        <v>41560</v>
      </c>
      <c r="O640" s="6" t="s">
        <v>37947</v>
      </c>
      <c r="P640" s="6" t="s">
        <v>41387</v>
      </c>
      <c r="Q640" s="6" t="s">
        <v>39463</v>
      </c>
      <c r="R640" s="6" t="s">
        <v>41561</v>
      </c>
      <c r="S640" s="6" t="s">
        <v>41562</v>
      </c>
      <c r="T640" s="6" t="s">
        <v>39927</v>
      </c>
      <c r="U640" s="6" t="s">
        <v>41563</v>
      </c>
      <c r="V640" s="6" t="s">
        <v>41564</v>
      </c>
      <c r="W640" s="6" t="s">
        <v>41565</v>
      </c>
      <c r="X640" s="6" t="s">
        <v>38979</v>
      </c>
      <c r="Y640" s="6" t="s">
        <v>39635</v>
      </c>
      <c r="Z640" s="6" t="s">
        <v>40211</v>
      </c>
      <c r="AA640" s="6" t="s">
        <v>37781</v>
      </c>
      <c r="AB640" s="6" t="s">
        <v>40308</v>
      </c>
      <c r="AC640" s="6" t="s">
        <v>39018</v>
      </c>
      <c r="AD640" s="6" t="s">
        <v>37783</v>
      </c>
      <c r="AE640" s="6" t="s">
        <v>41566</v>
      </c>
      <c r="AF640" s="6" t="s">
        <v>41567</v>
      </c>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row>
    <row r="641" spans="1:72">
      <c r="A641" s="8" t="s">
        <v>12883</v>
      </c>
      <c r="B641" s="11" t="s">
        <v>12889</v>
      </c>
      <c r="C641" s="9" t="s">
        <v>138</v>
      </c>
      <c r="D641" s="10" t="s">
        <v>138</v>
      </c>
      <c r="E641" s="28" t="s">
        <v>823</v>
      </c>
      <c r="F641" s="28" t="s">
        <v>824</v>
      </c>
      <c r="G641" s="28" t="s">
        <v>526</v>
      </c>
      <c r="H641" s="13">
        <v>9</v>
      </c>
      <c r="I641" s="12" t="s">
        <v>12899</v>
      </c>
      <c r="J641" s="12" t="s">
        <v>37811</v>
      </c>
      <c r="K641" s="12" t="s">
        <v>41568</v>
      </c>
      <c r="L641" s="12" t="s">
        <v>41569</v>
      </c>
      <c r="M641" s="12" t="s">
        <v>37786</v>
      </c>
      <c r="N641" s="12" t="s">
        <v>40755</v>
      </c>
      <c r="O641" s="12" t="s">
        <v>37781</v>
      </c>
      <c r="P641" s="12" t="s">
        <v>39642</v>
      </c>
      <c r="Q641" s="12" t="s">
        <v>39143</v>
      </c>
      <c r="R641" s="12" t="s">
        <v>41570</v>
      </c>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2"/>
    </row>
    <row r="642" spans="1:72">
      <c r="A642" s="2" t="s">
        <v>12904</v>
      </c>
      <c r="B642" s="5" t="s">
        <v>12911</v>
      </c>
      <c r="C642" s="3" t="s">
        <v>12905</v>
      </c>
      <c r="D642" s="4" t="s">
        <v>12906</v>
      </c>
      <c r="E642" s="15" t="s">
        <v>10259</v>
      </c>
      <c r="F642" s="15" t="s">
        <v>12918</v>
      </c>
      <c r="G642" s="15" t="s">
        <v>2333</v>
      </c>
      <c r="H642" s="7">
        <v>5</v>
      </c>
      <c r="I642" s="6" t="s">
        <v>12923</v>
      </c>
      <c r="J642" s="6" t="s">
        <v>16877</v>
      </c>
      <c r="K642" s="6" t="s">
        <v>41571</v>
      </c>
      <c r="L642" s="6" t="s">
        <v>37787</v>
      </c>
      <c r="M642" s="6" t="s">
        <v>41572</v>
      </c>
      <c r="N642" s="6" t="s">
        <v>41573</v>
      </c>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row>
    <row r="643" spans="1:72">
      <c r="A643" s="8" t="s">
        <v>12929</v>
      </c>
      <c r="B643" s="11" t="s">
        <v>12935</v>
      </c>
      <c r="C643" s="9" t="s">
        <v>12930</v>
      </c>
      <c r="D643" s="10" t="s">
        <v>138</v>
      </c>
      <c r="E643" s="28" t="s">
        <v>5382</v>
      </c>
      <c r="F643" s="28" t="s">
        <v>200</v>
      </c>
      <c r="G643" s="28" t="s">
        <v>162</v>
      </c>
      <c r="H643" s="13">
        <v>1</v>
      </c>
      <c r="I643" s="12" t="s">
        <v>12937</v>
      </c>
      <c r="J643" s="12" t="s">
        <v>12937</v>
      </c>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row>
    <row r="644" spans="1:72">
      <c r="A644" s="2" t="s">
        <v>12952</v>
      </c>
      <c r="B644" s="5" t="s">
        <v>12959</v>
      </c>
      <c r="C644" s="3" t="s">
        <v>12953</v>
      </c>
      <c r="D644" s="4" t="s">
        <v>138</v>
      </c>
      <c r="E644" s="15" t="s">
        <v>2931</v>
      </c>
      <c r="F644" s="15" t="s">
        <v>200</v>
      </c>
      <c r="G644" s="15" t="s">
        <v>162</v>
      </c>
      <c r="H644" s="7">
        <v>9</v>
      </c>
      <c r="I644" s="6" t="s">
        <v>12968</v>
      </c>
      <c r="J644" s="6" t="s">
        <v>38800</v>
      </c>
      <c r="K644" s="6" t="s">
        <v>37936</v>
      </c>
      <c r="L644" s="6" t="s">
        <v>39470</v>
      </c>
      <c r="M644" s="6" t="s">
        <v>37819</v>
      </c>
      <c r="N644" s="6" t="s">
        <v>41447</v>
      </c>
      <c r="O644" s="6" t="s">
        <v>38770</v>
      </c>
      <c r="P644" s="6" t="s">
        <v>37998</v>
      </c>
      <c r="Q644" s="6" t="s">
        <v>38323</v>
      </c>
      <c r="R644" s="6" t="s">
        <v>38728</v>
      </c>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row>
    <row r="645" spans="1:72">
      <c r="A645" s="8" t="s">
        <v>12971</v>
      </c>
      <c r="B645" s="11" t="s">
        <v>12977</v>
      </c>
      <c r="C645" s="9" t="s">
        <v>138</v>
      </c>
      <c r="D645" s="10" t="s">
        <v>12972</v>
      </c>
      <c r="E645" s="28" t="s">
        <v>1460</v>
      </c>
      <c r="F645" s="28" t="s">
        <v>474</v>
      </c>
      <c r="G645" s="28" t="s">
        <v>162</v>
      </c>
      <c r="H645" s="13">
        <v>2</v>
      </c>
      <c r="I645" s="12" t="s">
        <v>12987</v>
      </c>
      <c r="J645" s="12" t="s">
        <v>41574</v>
      </c>
      <c r="K645" s="12" t="s">
        <v>38363</v>
      </c>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row>
    <row r="646" spans="1:72">
      <c r="A646" s="2" t="s">
        <v>12989</v>
      </c>
      <c r="B646" s="5" t="s">
        <v>12994</v>
      </c>
      <c r="C646" s="3" t="s">
        <v>138</v>
      </c>
      <c r="D646" s="4" t="s">
        <v>138</v>
      </c>
      <c r="E646" s="15" t="s">
        <v>668</v>
      </c>
      <c r="F646" s="15" t="s">
        <v>200</v>
      </c>
      <c r="G646" s="15" t="s">
        <v>162</v>
      </c>
      <c r="H646" s="7">
        <v>10</v>
      </c>
      <c r="I646" s="6" t="s">
        <v>13000</v>
      </c>
      <c r="J646" s="6" t="s">
        <v>16877</v>
      </c>
      <c r="K646" s="6" t="s">
        <v>37947</v>
      </c>
      <c r="L646" s="6" t="s">
        <v>40149</v>
      </c>
      <c r="M646" s="6" t="s">
        <v>37786</v>
      </c>
      <c r="N646" s="6" t="s">
        <v>41575</v>
      </c>
      <c r="O646" s="6" t="s">
        <v>40910</v>
      </c>
      <c r="P646" s="6" t="s">
        <v>38532</v>
      </c>
      <c r="Q646" s="6" t="s">
        <v>37779</v>
      </c>
      <c r="R646" s="6" t="s">
        <v>41370</v>
      </c>
      <c r="S646" s="6" t="s">
        <v>37871</v>
      </c>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row>
    <row r="647" spans="1:72">
      <c r="A647" s="8" t="s">
        <v>13007</v>
      </c>
      <c r="B647" s="11" t="s">
        <v>13013</v>
      </c>
      <c r="C647" s="9" t="s">
        <v>138</v>
      </c>
      <c r="D647" s="10" t="s">
        <v>138</v>
      </c>
      <c r="E647" s="28" t="s">
        <v>2931</v>
      </c>
      <c r="F647" s="28" t="s">
        <v>200</v>
      </c>
      <c r="G647" s="28" t="s">
        <v>162</v>
      </c>
      <c r="H647" s="13">
        <v>8</v>
      </c>
      <c r="I647" s="12" t="s">
        <v>13024</v>
      </c>
      <c r="J647" s="12" t="s">
        <v>455</v>
      </c>
      <c r="K647" s="12" t="s">
        <v>41576</v>
      </c>
      <c r="L647" s="12" t="s">
        <v>40169</v>
      </c>
      <c r="M647" s="12" t="s">
        <v>40880</v>
      </c>
      <c r="N647" s="12" t="s">
        <v>41577</v>
      </c>
      <c r="O647" s="12" t="s">
        <v>39317</v>
      </c>
      <c r="P647" s="12" t="s">
        <v>38657</v>
      </c>
      <c r="Q647" s="12" t="s">
        <v>41578</v>
      </c>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row>
    <row r="648" spans="1:72">
      <c r="A648" s="2" t="s">
        <v>13029</v>
      </c>
      <c r="B648" s="5" t="s">
        <v>13035</v>
      </c>
      <c r="C648" s="3" t="s">
        <v>138</v>
      </c>
      <c r="D648" s="4" t="s">
        <v>13030</v>
      </c>
      <c r="E648" s="15" t="s">
        <v>1246</v>
      </c>
      <c r="F648" s="15" t="s">
        <v>200</v>
      </c>
      <c r="G648" s="15" t="s">
        <v>162</v>
      </c>
      <c r="H648" s="7">
        <v>23</v>
      </c>
      <c r="I648" s="6" t="s">
        <v>13046</v>
      </c>
      <c r="J648" s="6" t="s">
        <v>41579</v>
      </c>
      <c r="K648" s="6" t="s">
        <v>41580</v>
      </c>
      <c r="L648" s="6" t="s">
        <v>39131</v>
      </c>
      <c r="M648" s="6" t="s">
        <v>38605</v>
      </c>
      <c r="N648" s="6" t="s">
        <v>39389</v>
      </c>
      <c r="O648" s="6" t="s">
        <v>41581</v>
      </c>
      <c r="P648" s="6" t="s">
        <v>40315</v>
      </c>
      <c r="Q648" s="6" t="s">
        <v>41582</v>
      </c>
      <c r="R648" s="6" t="s">
        <v>41583</v>
      </c>
      <c r="S648" s="6" t="s">
        <v>38688</v>
      </c>
      <c r="T648" s="6" t="s">
        <v>39406</v>
      </c>
      <c r="U648" s="6" t="s">
        <v>41584</v>
      </c>
      <c r="V648" s="6" t="s">
        <v>38804</v>
      </c>
      <c r="W648" s="6" t="s">
        <v>38200</v>
      </c>
      <c r="X648" s="6" t="s">
        <v>41585</v>
      </c>
      <c r="Y648" s="6" t="s">
        <v>41586</v>
      </c>
      <c r="Z648" s="6" t="s">
        <v>41587</v>
      </c>
      <c r="AA648" s="6" t="s">
        <v>39455</v>
      </c>
      <c r="AB648" s="6" t="s">
        <v>41588</v>
      </c>
      <c r="AC648" s="6" t="s">
        <v>41239</v>
      </c>
      <c r="AD648" s="6" t="s">
        <v>37808</v>
      </c>
      <c r="AE648" s="6" t="s">
        <v>41589</v>
      </c>
      <c r="AF648" s="6" t="s">
        <v>40825</v>
      </c>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row>
    <row r="649" spans="1:72">
      <c r="A649" s="8" t="s">
        <v>13051</v>
      </c>
      <c r="B649" s="11" t="s">
        <v>13055</v>
      </c>
      <c r="C649" s="9" t="s">
        <v>138</v>
      </c>
      <c r="D649" s="10" t="s">
        <v>138</v>
      </c>
      <c r="E649" s="28" t="s">
        <v>13063</v>
      </c>
      <c r="F649" s="28" t="s">
        <v>13064</v>
      </c>
      <c r="G649" s="28" t="s">
        <v>2742</v>
      </c>
      <c r="H649" s="13">
        <v>6</v>
      </c>
      <c r="I649" s="12" t="s">
        <v>13068</v>
      </c>
      <c r="J649" s="12" t="s">
        <v>41590</v>
      </c>
      <c r="K649" s="12" t="s">
        <v>41374</v>
      </c>
      <c r="L649" s="12" t="s">
        <v>41591</v>
      </c>
      <c r="M649" s="12" t="s">
        <v>37764</v>
      </c>
      <c r="N649" s="12" t="s">
        <v>39809</v>
      </c>
      <c r="O649" s="12" t="s">
        <v>39419</v>
      </c>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row>
    <row r="650" spans="1:72">
      <c r="A650" s="2" t="s">
        <v>13072</v>
      </c>
      <c r="B650" s="5" t="s">
        <v>13078</v>
      </c>
      <c r="C650" s="3" t="s">
        <v>138</v>
      </c>
      <c r="D650" s="4" t="s">
        <v>138</v>
      </c>
      <c r="E650" s="15" t="s">
        <v>13086</v>
      </c>
      <c r="F650" s="15" t="s">
        <v>200</v>
      </c>
      <c r="G650" s="15" t="s">
        <v>162</v>
      </c>
      <c r="H650" s="7">
        <v>9</v>
      </c>
      <c r="I650" s="6" t="s">
        <v>13090</v>
      </c>
      <c r="J650" s="6" t="s">
        <v>41592</v>
      </c>
      <c r="K650" s="6" t="s">
        <v>41593</v>
      </c>
      <c r="L650" s="6" t="s">
        <v>38234</v>
      </c>
      <c r="M650" s="6" t="s">
        <v>37787</v>
      </c>
      <c r="N650" s="6" t="s">
        <v>41594</v>
      </c>
      <c r="O650" s="6" t="s">
        <v>41595</v>
      </c>
      <c r="P650" s="6" t="s">
        <v>41596</v>
      </c>
      <c r="Q650" s="6" t="s">
        <v>41597</v>
      </c>
      <c r="R650" s="6" t="s">
        <v>38728</v>
      </c>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row>
    <row r="651" spans="1:72">
      <c r="A651" s="8" t="s">
        <v>13093</v>
      </c>
      <c r="B651" s="11" t="s">
        <v>13097</v>
      </c>
      <c r="C651" s="9" t="s">
        <v>138</v>
      </c>
      <c r="D651" s="10" t="s">
        <v>138</v>
      </c>
      <c r="E651" s="28" t="s">
        <v>426</v>
      </c>
      <c r="F651" s="28" t="s">
        <v>426</v>
      </c>
      <c r="G651" s="28" t="s">
        <v>162</v>
      </c>
      <c r="H651" s="13">
        <v>8</v>
      </c>
      <c r="I651" s="12" t="s">
        <v>13107</v>
      </c>
      <c r="J651" s="12" t="s">
        <v>41598</v>
      </c>
      <c r="K651" s="12" t="s">
        <v>41599</v>
      </c>
      <c r="L651" s="12" t="s">
        <v>41600</v>
      </c>
      <c r="M651" s="12" t="s">
        <v>41601</v>
      </c>
      <c r="N651" s="12" t="s">
        <v>41602</v>
      </c>
      <c r="O651" s="12" t="s">
        <v>40158</v>
      </c>
      <c r="P651" s="12" t="s">
        <v>38182</v>
      </c>
      <c r="Q651" s="12" t="s">
        <v>41603</v>
      </c>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row>
    <row r="652" spans="1:72">
      <c r="A652" s="2" t="s">
        <v>13110</v>
      </c>
      <c r="B652" s="5" t="s">
        <v>13115</v>
      </c>
      <c r="C652" s="3" t="s">
        <v>138</v>
      </c>
      <c r="D652" s="4" t="s">
        <v>138</v>
      </c>
      <c r="E652" s="15" t="s">
        <v>1294</v>
      </c>
      <c r="F652" s="15" t="s">
        <v>864</v>
      </c>
      <c r="G652" s="15" t="s">
        <v>162</v>
      </c>
      <c r="H652" s="7">
        <v>4</v>
      </c>
      <c r="I652" s="6" t="s">
        <v>13123</v>
      </c>
      <c r="J652" s="6" t="s">
        <v>32972</v>
      </c>
      <c r="K652" s="6" t="s">
        <v>38521</v>
      </c>
      <c r="L652" s="6" t="s">
        <v>41604</v>
      </c>
      <c r="M652" s="6" t="s">
        <v>41605</v>
      </c>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row>
    <row r="653" spans="1:72">
      <c r="A653" s="8" t="s">
        <v>13126</v>
      </c>
      <c r="B653" s="11" t="s">
        <v>13130</v>
      </c>
      <c r="C653" s="9" t="s">
        <v>138</v>
      </c>
      <c r="D653" s="10" t="s">
        <v>138</v>
      </c>
      <c r="E653" s="28" t="s">
        <v>1364</v>
      </c>
      <c r="F653" s="28" t="s">
        <v>13137</v>
      </c>
      <c r="G653" s="28" t="s">
        <v>450</v>
      </c>
      <c r="H653" s="13">
        <v>2</v>
      </c>
      <c r="I653" s="12" t="s">
        <v>13140</v>
      </c>
      <c r="J653" s="12" t="s">
        <v>455</v>
      </c>
      <c r="K653" s="12" t="s">
        <v>38629</v>
      </c>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row>
    <row r="654" spans="1:72">
      <c r="A654" s="2" t="s">
        <v>13143</v>
      </c>
      <c r="B654" s="5" t="s">
        <v>138</v>
      </c>
      <c r="C654" s="3" t="s">
        <v>138</v>
      </c>
      <c r="D654" s="4" t="s">
        <v>13144</v>
      </c>
      <c r="E654" s="15" t="s">
        <v>449</v>
      </c>
      <c r="F654" s="15" t="s">
        <v>13153</v>
      </c>
      <c r="G654" s="15" t="s">
        <v>450</v>
      </c>
      <c r="H654" s="7">
        <v>5</v>
      </c>
      <c r="I654" s="6" t="s">
        <v>13155</v>
      </c>
      <c r="J654" s="6" t="s">
        <v>455</v>
      </c>
      <c r="K654" s="6" t="s">
        <v>41606</v>
      </c>
      <c r="L654" s="6" t="s">
        <v>41607</v>
      </c>
      <c r="M654" s="6" t="s">
        <v>41608</v>
      </c>
      <c r="N654" s="6" t="s">
        <v>41609</v>
      </c>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row>
    <row r="655" spans="1:72">
      <c r="A655" s="8" t="s">
        <v>13158</v>
      </c>
      <c r="B655" s="11" t="s">
        <v>13163</v>
      </c>
      <c r="C655" s="9" t="s">
        <v>138</v>
      </c>
      <c r="D655" s="10" t="s">
        <v>138</v>
      </c>
      <c r="E655" s="28" t="s">
        <v>13170</v>
      </c>
      <c r="F655" s="28" t="s">
        <v>138</v>
      </c>
      <c r="G655" s="28" t="s">
        <v>946</v>
      </c>
      <c r="H655" s="13">
        <v>3</v>
      </c>
      <c r="I655" s="12" t="s">
        <v>13175</v>
      </c>
      <c r="J655" s="12" t="s">
        <v>2911</v>
      </c>
      <c r="K655" s="12" t="s">
        <v>41610</v>
      </c>
      <c r="L655" s="12" t="s">
        <v>41611</v>
      </c>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row>
    <row r="656" spans="1:72">
      <c r="A656" s="2" t="s">
        <v>13182</v>
      </c>
      <c r="B656" s="5" t="s">
        <v>13188</v>
      </c>
      <c r="C656" s="3" t="s">
        <v>13183</v>
      </c>
      <c r="D656" s="4" t="s">
        <v>138</v>
      </c>
      <c r="E656" s="15" t="s">
        <v>1171</v>
      </c>
      <c r="F656" s="15" t="s">
        <v>200</v>
      </c>
      <c r="G656" s="15" t="s">
        <v>162</v>
      </c>
      <c r="H656" s="7">
        <v>8</v>
      </c>
      <c r="I656" s="6" t="s">
        <v>13196</v>
      </c>
      <c r="J656" s="6" t="s">
        <v>39029</v>
      </c>
      <c r="K656" s="6" t="s">
        <v>40421</v>
      </c>
      <c r="L656" s="6" t="s">
        <v>39899</v>
      </c>
      <c r="M656" s="6" t="s">
        <v>38968</v>
      </c>
      <c r="N656" s="6" t="s">
        <v>37821</v>
      </c>
      <c r="O656" s="6" t="s">
        <v>38770</v>
      </c>
      <c r="P656" s="6" t="s">
        <v>37998</v>
      </c>
      <c r="Q656" s="6" t="s">
        <v>39948</v>
      </c>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row>
    <row r="657" spans="1:72">
      <c r="A657" s="8" t="s">
        <v>13199</v>
      </c>
      <c r="B657" s="11" t="s">
        <v>13204</v>
      </c>
      <c r="C657" s="9" t="s">
        <v>13200</v>
      </c>
      <c r="D657" s="10" t="s">
        <v>138</v>
      </c>
      <c r="E657" s="28" t="s">
        <v>668</v>
      </c>
      <c r="F657" s="28" t="s">
        <v>200</v>
      </c>
      <c r="G657" s="28" t="s">
        <v>162</v>
      </c>
      <c r="H657" s="13">
        <v>2</v>
      </c>
      <c r="I657" s="12" t="s">
        <v>13214</v>
      </c>
      <c r="J657" s="12" t="s">
        <v>41612</v>
      </c>
      <c r="K657" s="12" t="s">
        <v>38145</v>
      </c>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2"/>
    </row>
    <row r="658" spans="1:72">
      <c r="A658" s="2" t="s">
        <v>13217</v>
      </c>
      <c r="B658" s="5" t="s">
        <v>13223</v>
      </c>
      <c r="C658" s="3" t="s">
        <v>138</v>
      </c>
      <c r="D658" s="4" t="s">
        <v>138</v>
      </c>
      <c r="E658" s="15" t="s">
        <v>426</v>
      </c>
      <c r="F658" s="15" t="s">
        <v>426</v>
      </c>
      <c r="G658" s="15" t="s">
        <v>162</v>
      </c>
      <c r="H658" s="7">
        <v>19</v>
      </c>
      <c r="I658" s="6" t="s">
        <v>13233</v>
      </c>
      <c r="J658" s="6" t="s">
        <v>6940</v>
      </c>
      <c r="K658" s="6" t="s">
        <v>37876</v>
      </c>
      <c r="L658" s="6" t="s">
        <v>40326</v>
      </c>
      <c r="M658" s="6" t="s">
        <v>38779</v>
      </c>
      <c r="N658" s="6" t="s">
        <v>37786</v>
      </c>
      <c r="O658" s="6" t="s">
        <v>41613</v>
      </c>
      <c r="P658" s="6" t="s">
        <v>41614</v>
      </c>
      <c r="Q658" s="6" t="s">
        <v>41615</v>
      </c>
      <c r="R658" s="6" t="s">
        <v>37960</v>
      </c>
      <c r="S658" s="6" t="s">
        <v>39962</v>
      </c>
      <c r="T658" s="6" t="s">
        <v>39395</v>
      </c>
      <c r="U658" s="6" t="s">
        <v>41616</v>
      </c>
      <c r="V658" s="6" t="s">
        <v>38189</v>
      </c>
      <c r="W658" s="6" t="s">
        <v>41617</v>
      </c>
      <c r="X658" s="6" t="s">
        <v>38561</v>
      </c>
      <c r="Y658" s="6" t="s">
        <v>41618</v>
      </c>
      <c r="Z658" s="6" t="s">
        <v>37781</v>
      </c>
      <c r="AA658" s="6" t="s">
        <v>41619</v>
      </c>
      <c r="AB658" s="6" t="s">
        <v>38337</v>
      </c>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row>
    <row r="659" spans="1:72">
      <c r="A659" s="8" t="s">
        <v>13236</v>
      </c>
      <c r="B659" s="11" t="s">
        <v>13240</v>
      </c>
      <c r="C659" s="9" t="s">
        <v>138</v>
      </c>
      <c r="D659" s="10" t="s">
        <v>138</v>
      </c>
      <c r="E659" s="28" t="s">
        <v>6232</v>
      </c>
      <c r="F659" s="28" t="s">
        <v>371</v>
      </c>
      <c r="G659" s="28" t="s">
        <v>162</v>
      </c>
      <c r="H659" s="13">
        <v>1</v>
      </c>
      <c r="I659" s="12" t="s">
        <v>13250</v>
      </c>
      <c r="J659" s="12">
        <v>301</v>
      </c>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12"/>
      <c r="BH659" s="12"/>
      <c r="BI659" s="12"/>
      <c r="BJ659" s="12"/>
      <c r="BK659" s="12"/>
      <c r="BL659" s="12"/>
      <c r="BM659" s="12"/>
      <c r="BN659" s="12"/>
      <c r="BO659" s="12"/>
      <c r="BP659" s="12"/>
      <c r="BQ659" s="12"/>
      <c r="BR659" s="12"/>
      <c r="BS659" s="12"/>
      <c r="BT659" s="12"/>
    </row>
    <row r="660" spans="1:72">
      <c r="A660" s="2" t="s">
        <v>13254</v>
      </c>
      <c r="B660" s="5" t="s">
        <v>13260</v>
      </c>
      <c r="C660" s="3" t="s">
        <v>13255</v>
      </c>
      <c r="D660" s="4" t="s">
        <v>13256</v>
      </c>
      <c r="E660" s="15" t="s">
        <v>2030</v>
      </c>
      <c r="F660" s="15" t="s">
        <v>2031</v>
      </c>
      <c r="G660" s="15" t="s">
        <v>162</v>
      </c>
      <c r="H660" s="7">
        <v>12</v>
      </c>
      <c r="I660" s="6" t="s">
        <v>13271</v>
      </c>
      <c r="J660" s="6" t="s">
        <v>16877</v>
      </c>
      <c r="K660" s="6" t="s">
        <v>39917</v>
      </c>
      <c r="L660" s="6" t="s">
        <v>41620</v>
      </c>
      <c r="M660" s="6" t="s">
        <v>38803</v>
      </c>
      <c r="N660" s="6" t="s">
        <v>41621</v>
      </c>
      <c r="O660" s="6" t="s">
        <v>38062</v>
      </c>
      <c r="P660" s="6" t="s">
        <v>38688</v>
      </c>
      <c r="Q660" s="6" t="s">
        <v>38063</v>
      </c>
      <c r="R660" s="6" t="s">
        <v>41622</v>
      </c>
      <c r="S660" s="6" t="s">
        <v>41623</v>
      </c>
      <c r="T660" s="6" t="s">
        <v>39071</v>
      </c>
      <c r="U660" s="6" t="s">
        <v>41624</v>
      </c>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row>
    <row r="661" spans="1:72">
      <c r="A661" s="8" t="s">
        <v>13276</v>
      </c>
      <c r="B661" s="11" t="s">
        <v>13280</v>
      </c>
      <c r="C661" s="9" t="s">
        <v>138</v>
      </c>
      <c r="D661" s="10" t="s">
        <v>138</v>
      </c>
      <c r="E661" s="28" t="s">
        <v>7019</v>
      </c>
      <c r="F661" s="28" t="s">
        <v>138</v>
      </c>
      <c r="G661" s="28" t="s">
        <v>7021</v>
      </c>
      <c r="H661" s="13">
        <v>5</v>
      </c>
      <c r="I661" s="12" t="s">
        <v>13289</v>
      </c>
      <c r="J661" s="12" t="s">
        <v>41625</v>
      </c>
      <c r="K661" s="12" t="s">
        <v>39714</v>
      </c>
      <c r="L661" s="12" t="s">
        <v>39981</v>
      </c>
      <c r="M661" s="12" t="s">
        <v>39518</v>
      </c>
      <c r="N661" s="12" t="s">
        <v>41626</v>
      </c>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row>
    <row r="662" spans="1:72">
      <c r="A662" s="2" t="s">
        <v>13293</v>
      </c>
      <c r="B662" s="5" t="s">
        <v>13300</v>
      </c>
      <c r="C662" s="3" t="s">
        <v>13294</v>
      </c>
      <c r="D662" s="4" t="s">
        <v>13295</v>
      </c>
      <c r="E662" s="15" t="s">
        <v>668</v>
      </c>
      <c r="F662" s="15" t="s">
        <v>200</v>
      </c>
      <c r="G662" s="15" t="s">
        <v>162</v>
      </c>
      <c r="H662" s="7">
        <v>10</v>
      </c>
      <c r="I662" s="6" t="s">
        <v>13311</v>
      </c>
      <c r="J662" s="6" t="s">
        <v>41627</v>
      </c>
      <c r="K662" s="6" t="s">
        <v>38990</v>
      </c>
      <c r="L662" s="6" t="s">
        <v>40755</v>
      </c>
      <c r="M662" s="6" t="s">
        <v>41628</v>
      </c>
      <c r="N662" s="6" t="s">
        <v>41629</v>
      </c>
      <c r="O662" s="6" t="s">
        <v>41630</v>
      </c>
      <c r="P662" s="6" t="s">
        <v>37890</v>
      </c>
      <c r="Q662" s="6" t="s">
        <v>41631</v>
      </c>
      <c r="R662" s="6" t="s">
        <v>38401</v>
      </c>
      <c r="S662" s="6" t="s">
        <v>40134</v>
      </c>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row>
    <row r="663" spans="1:72">
      <c r="A663" s="8" t="s">
        <v>13315</v>
      </c>
      <c r="B663" s="11" t="s">
        <v>13319</v>
      </c>
      <c r="C663" s="9" t="s">
        <v>138</v>
      </c>
      <c r="D663" s="10" t="s">
        <v>138</v>
      </c>
      <c r="E663" s="28" t="s">
        <v>668</v>
      </c>
      <c r="F663" s="28" t="s">
        <v>200</v>
      </c>
      <c r="G663" s="28" t="s">
        <v>162</v>
      </c>
      <c r="H663" s="13">
        <v>18</v>
      </c>
      <c r="I663" s="12" t="s">
        <v>13326</v>
      </c>
      <c r="J663" s="12" t="s">
        <v>38338</v>
      </c>
      <c r="K663" s="12" t="s">
        <v>38299</v>
      </c>
      <c r="L663" s="12" t="s">
        <v>37797</v>
      </c>
      <c r="M663" s="12" t="s">
        <v>37820</v>
      </c>
      <c r="N663" s="12" t="s">
        <v>41632</v>
      </c>
      <c r="O663" s="12" t="s">
        <v>39475</v>
      </c>
      <c r="P663" s="12" t="s">
        <v>38700</v>
      </c>
      <c r="Q663" s="12" t="s">
        <v>37822</v>
      </c>
      <c r="R663" s="12" t="s">
        <v>41633</v>
      </c>
      <c r="S663" s="12" t="s">
        <v>38085</v>
      </c>
      <c r="T663" s="12" t="s">
        <v>39642</v>
      </c>
      <c r="U663" s="12" t="s">
        <v>39296</v>
      </c>
      <c r="V663" s="12" t="s">
        <v>37971</v>
      </c>
      <c r="W663" s="12" t="s">
        <v>39695</v>
      </c>
      <c r="X663" s="12" t="s">
        <v>38909</v>
      </c>
      <c r="Y663" s="12" t="s">
        <v>41634</v>
      </c>
      <c r="Z663" s="12" t="s">
        <v>41241</v>
      </c>
      <c r="AA663" s="12" t="s">
        <v>41635</v>
      </c>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row>
    <row r="664" spans="1:72">
      <c r="A664" s="2" t="s">
        <v>13329</v>
      </c>
      <c r="B664" s="5" t="s">
        <v>13333</v>
      </c>
      <c r="C664" s="3" t="s">
        <v>13330</v>
      </c>
      <c r="D664" s="4" t="s">
        <v>138</v>
      </c>
      <c r="E664" s="15" t="s">
        <v>4466</v>
      </c>
      <c r="F664" s="15" t="s">
        <v>426</v>
      </c>
      <c r="G664" s="15" t="s">
        <v>162</v>
      </c>
      <c r="H664" s="7">
        <v>3</v>
      </c>
      <c r="I664" s="6" t="s">
        <v>13339</v>
      </c>
      <c r="J664" s="6" t="s">
        <v>41636</v>
      </c>
      <c r="K664" s="6" t="s">
        <v>39446</v>
      </c>
      <c r="L664" s="6" t="s">
        <v>38054</v>
      </c>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row>
    <row r="665" spans="1:72">
      <c r="A665" s="8" t="s">
        <v>13343</v>
      </c>
      <c r="B665" s="11" t="s">
        <v>13349</v>
      </c>
      <c r="C665" s="9" t="s">
        <v>13344</v>
      </c>
      <c r="D665" s="10" t="s">
        <v>138</v>
      </c>
      <c r="E665" s="28" t="s">
        <v>13357</v>
      </c>
      <c r="F665" s="28" t="s">
        <v>200</v>
      </c>
      <c r="G665" s="28" t="s">
        <v>162</v>
      </c>
      <c r="H665" s="13">
        <v>21</v>
      </c>
      <c r="I665" s="12" t="s">
        <v>13361</v>
      </c>
      <c r="J665" s="12" t="s">
        <v>41637</v>
      </c>
      <c r="K665" s="12" t="s">
        <v>37795</v>
      </c>
      <c r="L665" s="12" t="s">
        <v>41638</v>
      </c>
      <c r="M665" s="12" t="s">
        <v>41639</v>
      </c>
      <c r="N665" s="12" t="s">
        <v>41640</v>
      </c>
      <c r="O665" s="12" t="s">
        <v>38234</v>
      </c>
      <c r="P665" s="12" t="s">
        <v>38605</v>
      </c>
      <c r="Q665" s="12" t="s">
        <v>41641</v>
      </c>
      <c r="R665" s="12" t="s">
        <v>40057</v>
      </c>
      <c r="S665" s="12" t="s">
        <v>39422</v>
      </c>
      <c r="T665" s="12" t="s">
        <v>39381</v>
      </c>
      <c r="U665" s="12" t="s">
        <v>39612</v>
      </c>
      <c r="V665" s="12" t="s">
        <v>38164</v>
      </c>
      <c r="W665" s="12" t="s">
        <v>41642</v>
      </c>
      <c r="X665" s="12" t="s">
        <v>39463</v>
      </c>
      <c r="Y665" s="12" t="s">
        <v>38062</v>
      </c>
      <c r="Z665" s="12" t="s">
        <v>39140</v>
      </c>
      <c r="AA665" s="12" t="s">
        <v>39189</v>
      </c>
      <c r="AB665" s="12" t="s">
        <v>37972</v>
      </c>
      <c r="AC665" s="12" t="s">
        <v>37809</v>
      </c>
      <c r="AD665" s="12" t="s">
        <v>38459</v>
      </c>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row>
    <row r="666" spans="1:72">
      <c r="A666" s="2" t="s">
        <v>13366</v>
      </c>
      <c r="B666" s="5" t="s">
        <v>13373</v>
      </c>
      <c r="C666" s="3" t="s">
        <v>138</v>
      </c>
      <c r="D666" s="4" t="s">
        <v>13367</v>
      </c>
      <c r="E666" s="15" t="s">
        <v>13379</v>
      </c>
      <c r="F666" s="15" t="s">
        <v>138</v>
      </c>
      <c r="G666" s="15" t="s">
        <v>740</v>
      </c>
      <c r="H666" s="7">
        <v>5</v>
      </c>
      <c r="I666" s="6" t="s">
        <v>13383</v>
      </c>
      <c r="J666" s="6" t="s">
        <v>37771</v>
      </c>
      <c r="K666" s="6" t="s">
        <v>38299</v>
      </c>
      <c r="L666" s="6" t="s">
        <v>41643</v>
      </c>
      <c r="M666" s="6" t="s">
        <v>39614</v>
      </c>
      <c r="N666" s="6" t="s">
        <v>38322</v>
      </c>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row>
    <row r="667" spans="1:72">
      <c r="A667" s="8" t="s">
        <v>13386</v>
      </c>
      <c r="B667" s="11" t="s">
        <v>13391</v>
      </c>
      <c r="C667" s="9" t="s">
        <v>138</v>
      </c>
      <c r="D667" s="10" t="s">
        <v>13387</v>
      </c>
      <c r="E667" s="28" t="s">
        <v>3841</v>
      </c>
      <c r="F667" s="28" t="s">
        <v>200</v>
      </c>
      <c r="G667" s="28" t="s">
        <v>162</v>
      </c>
      <c r="H667" s="13">
        <v>9</v>
      </c>
      <c r="I667" s="12" t="s">
        <v>13401</v>
      </c>
      <c r="J667" s="12" t="s">
        <v>38344</v>
      </c>
      <c r="K667" s="12" t="s">
        <v>38347</v>
      </c>
      <c r="L667" s="12" t="s">
        <v>41644</v>
      </c>
      <c r="M667" s="12" t="s">
        <v>38349</v>
      </c>
      <c r="N667" s="12" t="s">
        <v>41645</v>
      </c>
      <c r="O667" s="12" t="s">
        <v>38319</v>
      </c>
      <c r="P667" s="12" t="s">
        <v>37781</v>
      </c>
      <c r="Q667" s="12" t="s">
        <v>38002</v>
      </c>
      <c r="R667" s="12" t="s">
        <v>38350</v>
      </c>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row>
    <row r="668" spans="1:72">
      <c r="A668" s="2" t="s">
        <v>13404</v>
      </c>
      <c r="B668" s="5" t="s">
        <v>13408</v>
      </c>
      <c r="C668" s="3" t="s">
        <v>138</v>
      </c>
      <c r="D668" s="4" t="s">
        <v>138</v>
      </c>
      <c r="E668" s="15" t="s">
        <v>13416</v>
      </c>
      <c r="F668" s="15" t="s">
        <v>200</v>
      </c>
      <c r="G668" s="15" t="s">
        <v>162</v>
      </c>
      <c r="H668" s="7">
        <v>13</v>
      </c>
      <c r="I668" s="6" t="s">
        <v>13420</v>
      </c>
      <c r="J668" s="6" t="s">
        <v>41646</v>
      </c>
      <c r="K668" s="6" t="s">
        <v>41647</v>
      </c>
      <c r="L668" s="6" t="s">
        <v>38692</v>
      </c>
      <c r="M668" s="6" t="s">
        <v>41648</v>
      </c>
      <c r="N668" s="6" t="s">
        <v>41649</v>
      </c>
      <c r="O668" s="6" t="s">
        <v>41650</v>
      </c>
      <c r="P668" s="6" t="s">
        <v>37763</v>
      </c>
      <c r="Q668" s="6" t="s">
        <v>38272</v>
      </c>
      <c r="R668" s="6" t="s">
        <v>39007</v>
      </c>
      <c r="S668" s="6" t="s">
        <v>41052</v>
      </c>
      <c r="T668" s="6" t="s">
        <v>41651</v>
      </c>
      <c r="U668" s="6" t="s">
        <v>41652</v>
      </c>
      <c r="V668" s="6" t="s">
        <v>41653</v>
      </c>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row>
    <row r="669" spans="1:72">
      <c r="A669" s="8" t="s">
        <v>13424</v>
      </c>
      <c r="B669" s="11" t="s">
        <v>13428</v>
      </c>
      <c r="C669" s="9" t="s">
        <v>138</v>
      </c>
      <c r="D669" s="10" t="s">
        <v>138</v>
      </c>
      <c r="E669" s="28" t="s">
        <v>9684</v>
      </c>
      <c r="F669" s="28" t="s">
        <v>138</v>
      </c>
      <c r="G669" s="28" t="s">
        <v>9686</v>
      </c>
      <c r="H669" s="13">
        <v>3</v>
      </c>
      <c r="I669" s="12" t="s">
        <v>13438</v>
      </c>
      <c r="J669" s="12" t="s">
        <v>41654</v>
      </c>
      <c r="K669" s="12" t="s">
        <v>41655</v>
      </c>
      <c r="L669" s="12" t="s">
        <v>41656</v>
      </c>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row>
    <row r="670" spans="1:72">
      <c r="A670" s="2" t="s">
        <v>13441</v>
      </c>
      <c r="B670" s="5" t="s">
        <v>13445</v>
      </c>
      <c r="C670" s="3" t="s">
        <v>138</v>
      </c>
      <c r="D670" s="4" t="s">
        <v>138</v>
      </c>
      <c r="E670" s="15" t="s">
        <v>13452</v>
      </c>
      <c r="F670" s="15" t="s">
        <v>200</v>
      </c>
      <c r="G670" s="15" t="s">
        <v>162</v>
      </c>
      <c r="H670" s="7">
        <v>5</v>
      </c>
      <c r="I670" s="6" t="s">
        <v>13455</v>
      </c>
      <c r="J670" s="6" t="s">
        <v>455</v>
      </c>
      <c r="K670" s="6" t="s">
        <v>37763</v>
      </c>
      <c r="L670" s="6" t="s">
        <v>41657</v>
      </c>
      <c r="M670" s="6" t="s">
        <v>37804</v>
      </c>
      <c r="N670" s="6" t="s">
        <v>37841</v>
      </c>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row>
    <row r="671" spans="1:72">
      <c r="A671" s="8" t="s">
        <v>13458</v>
      </c>
      <c r="B671" s="11" t="s">
        <v>13463</v>
      </c>
      <c r="C671" s="9" t="s">
        <v>138</v>
      </c>
      <c r="D671" s="10" t="s">
        <v>138</v>
      </c>
      <c r="E671" s="28" t="s">
        <v>823</v>
      </c>
      <c r="F671" s="28" t="s">
        <v>824</v>
      </c>
      <c r="G671" s="28" t="s">
        <v>526</v>
      </c>
      <c r="H671" s="13">
        <v>15</v>
      </c>
      <c r="I671" s="12" t="s">
        <v>13472</v>
      </c>
      <c r="J671" s="12" t="s">
        <v>41658</v>
      </c>
      <c r="K671" s="12" t="s">
        <v>41659</v>
      </c>
      <c r="L671" s="12" t="s">
        <v>39899</v>
      </c>
      <c r="M671" s="12" t="s">
        <v>38485</v>
      </c>
      <c r="N671" s="12" t="s">
        <v>41660</v>
      </c>
      <c r="O671" s="12" t="s">
        <v>41661</v>
      </c>
      <c r="P671" s="12" t="s">
        <v>41662</v>
      </c>
      <c r="Q671" s="12" t="s">
        <v>37786</v>
      </c>
      <c r="R671" s="12" t="s">
        <v>41663</v>
      </c>
      <c r="S671" s="12" t="s">
        <v>41664</v>
      </c>
      <c r="T671" s="12" t="s">
        <v>38024</v>
      </c>
      <c r="U671" s="12" t="s">
        <v>41665</v>
      </c>
      <c r="V671" s="12" t="s">
        <v>37781</v>
      </c>
      <c r="W671" s="12" t="s">
        <v>41666</v>
      </c>
      <c r="X671" s="12" t="s">
        <v>40797</v>
      </c>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row>
    <row r="672" spans="1:72">
      <c r="A672" s="2" t="s">
        <v>13476</v>
      </c>
      <c r="B672" s="5" t="s">
        <v>13480</v>
      </c>
      <c r="C672" s="3" t="s">
        <v>138</v>
      </c>
      <c r="D672" s="4" t="s">
        <v>138</v>
      </c>
      <c r="E672" s="15" t="s">
        <v>668</v>
      </c>
      <c r="F672" s="15" t="s">
        <v>200</v>
      </c>
      <c r="G672" s="15" t="s">
        <v>162</v>
      </c>
      <c r="H672" s="7">
        <v>28</v>
      </c>
      <c r="I672" s="6" t="s">
        <v>13489</v>
      </c>
      <c r="J672" s="6" t="s">
        <v>41667</v>
      </c>
      <c r="K672" s="6" t="s">
        <v>37936</v>
      </c>
      <c r="L672" s="6" t="s">
        <v>40510</v>
      </c>
      <c r="M672" s="6" t="s">
        <v>41668</v>
      </c>
      <c r="N672" s="6" t="s">
        <v>41669</v>
      </c>
      <c r="O672" s="6" t="s">
        <v>38964</v>
      </c>
      <c r="P672" s="6" t="s">
        <v>41670</v>
      </c>
      <c r="Q672" s="6" t="s">
        <v>41671</v>
      </c>
      <c r="R672" s="6" t="s">
        <v>41672</v>
      </c>
      <c r="S672" s="6" t="s">
        <v>38148</v>
      </c>
      <c r="T672" s="6" t="s">
        <v>38216</v>
      </c>
      <c r="U672" s="6" t="s">
        <v>38394</v>
      </c>
      <c r="V672" s="6" t="s">
        <v>37786</v>
      </c>
      <c r="W672" s="6" t="s">
        <v>39900</v>
      </c>
      <c r="X672" s="6" t="s">
        <v>37787</v>
      </c>
      <c r="Y672" s="6" t="s">
        <v>41673</v>
      </c>
      <c r="Z672" s="6" t="s">
        <v>41674</v>
      </c>
      <c r="AA672" s="6" t="s">
        <v>41675</v>
      </c>
      <c r="AB672" s="6" t="s">
        <v>38321</v>
      </c>
      <c r="AC672" s="6" t="s">
        <v>38131</v>
      </c>
      <c r="AD672" s="6" t="s">
        <v>39692</v>
      </c>
      <c r="AE672" s="6" t="s">
        <v>39477</v>
      </c>
      <c r="AF672" s="6" t="s">
        <v>41676</v>
      </c>
      <c r="AG672" s="6" t="s">
        <v>37783</v>
      </c>
      <c r="AH672" s="6" t="s">
        <v>40869</v>
      </c>
      <c r="AI672" s="6" t="s">
        <v>41623</v>
      </c>
      <c r="AJ672" s="6" t="s">
        <v>38143</v>
      </c>
      <c r="AK672" s="6" t="s">
        <v>37977</v>
      </c>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row>
    <row r="673" spans="1:72">
      <c r="A673" s="8" t="s">
        <v>13494</v>
      </c>
      <c r="B673" s="11" t="s">
        <v>13501</v>
      </c>
      <c r="C673" s="9" t="s">
        <v>13495</v>
      </c>
      <c r="D673" s="10" t="s">
        <v>13496</v>
      </c>
      <c r="E673" s="28" t="s">
        <v>13510</v>
      </c>
      <c r="F673" s="28" t="s">
        <v>6898</v>
      </c>
      <c r="G673" s="28" t="s">
        <v>162</v>
      </c>
      <c r="H673" s="13">
        <v>2</v>
      </c>
      <c r="I673" s="12" t="s">
        <v>13513</v>
      </c>
      <c r="J673" s="12" t="s">
        <v>2075</v>
      </c>
      <c r="K673" s="12" t="s">
        <v>41677</v>
      </c>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row>
    <row r="674" spans="1:72">
      <c r="A674" s="2" t="s">
        <v>13517</v>
      </c>
      <c r="B674" s="5" t="s">
        <v>13521</v>
      </c>
      <c r="C674" s="3" t="s">
        <v>138</v>
      </c>
      <c r="D674" s="4" t="s">
        <v>13518</v>
      </c>
      <c r="E674" s="15" t="s">
        <v>642</v>
      </c>
      <c r="F674" s="15" t="s">
        <v>474</v>
      </c>
      <c r="G674" s="15" t="s">
        <v>162</v>
      </c>
      <c r="H674" s="7">
        <v>9</v>
      </c>
      <c r="I674" s="6" t="s">
        <v>13532</v>
      </c>
      <c r="J674" s="6" t="s">
        <v>41678</v>
      </c>
      <c r="K674" s="6" t="s">
        <v>40155</v>
      </c>
      <c r="L674" s="6" t="s">
        <v>41679</v>
      </c>
      <c r="M674" s="6" t="s">
        <v>39307</v>
      </c>
      <c r="N674" s="6" t="s">
        <v>41680</v>
      </c>
      <c r="O674" s="6" t="s">
        <v>41681</v>
      </c>
      <c r="P674" s="6" t="s">
        <v>41682</v>
      </c>
      <c r="Q674" s="6" t="s">
        <v>41683</v>
      </c>
      <c r="R674" s="6" t="s">
        <v>41684</v>
      </c>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row>
    <row r="675" spans="1:72">
      <c r="A675" s="8" t="s">
        <v>13536</v>
      </c>
      <c r="B675" s="11" t="s">
        <v>13541</v>
      </c>
      <c r="C675" s="9" t="s">
        <v>138</v>
      </c>
      <c r="D675" s="10" t="s">
        <v>138</v>
      </c>
      <c r="E675" s="28" t="s">
        <v>13550</v>
      </c>
      <c r="F675" s="28" t="s">
        <v>371</v>
      </c>
      <c r="G675" s="28" t="s">
        <v>162</v>
      </c>
      <c r="H675" s="13">
        <v>6</v>
      </c>
      <c r="I675" s="12" t="s">
        <v>13555</v>
      </c>
      <c r="J675" s="12" t="s">
        <v>41685</v>
      </c>
      <c r="K675" s="12" t="s">
        <v>41686</v>
      </c>
      <c r="L675" s="12" t="s">
        <v>40489</v>
      </c>
      <c r="M675" s="12" t="s">
        <v>37787</v>
      </c>
      <c r="N675" s="12" t="s">
        <v>38816</v>
      </c>
      <c r="O675" s="12" t="s">
        <v>39872</v>
      </c>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row>
    <row r="676" spans="1:72">
      <c r="A676" s="2" t="s">
        <v>13559</v>
      </c>
      <c r="B676" s="5" t="s">
        <v>13566</v>
      </c>
      <c r="C676" s="3" t="s">
        <v>13560</v>
      </c>
      <c r="D676" s="4" t="s">
        <v>138</v>
      </c>
      <c r="E676" s="15" t="s">
        <v>1460</v>
      </c>
      <c r="F676" s="15" t="s">
        <v>474</v>
      </c>
      <c r="G676" s="15" t="s">
        <v>162</v>
      </c>
      <c r="H676" s="7">
        <v>6</v>
      </c>
      <c r="I676" s="6" t="s">
        <v>13577</v>
      </c>
      <c r="J676" s="6" t="s">
        <v>41687</v>
      </c>
      <c r="K676" s="6" t="s">
        <v>41688</v>
      </c>
      <c r="L676" s="6" t="s">
        <v>41689</v>
      </c>
      <c r="M676" s="6" t="s">
        <v>41690</v>
      </c>
      <c r="N676" s="6" t="s">
        <v>38696</v>
      </c>
      <c r="O676" s="6" t="s">
        <v>37770</v>
      </c>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row>
    <row r="677" spans="1:72">
      <c r="A677" s="8" t="s">
        <v>13580</v>
      </c>
      <c r="B677" s="11" t="s">
        <v>13584</v>
      </c>
      <c r="C677" s="9" t="s">
        <v>13581</v>
      </c>
      <c r="D677" s="10" t="s">
        <v>138</v>
      </c>
      <c r="E677" s="28" t="s">
        <v>944</v>
      </c>
      <c r="F677" s="28" t="s">
        <v>138</v>
      </c>
      <c r="G677" s="28" t="s">
        <v>946</v>
      </c>
      <c r="H677" s="13">
        <v>14</v>
      </c>
      <c r="I677" s="12" t="s">
        <v>13592</v>
      </c>
      <c r="J677" s="12" t="s">
        <v>41691</v>
      </c>
      <c r="K677" s="12" t="s">
        <v>40477</v>
      </c>
      <c r="L677" s="12" t="s">
        <v>38605</v>
      </c>
      <c r="M677" s="12" t="s">
        <v>41692</v>
      </c>
      <c r="N677" s="12" t="s">
        <v>41693</v>
      </c>
      <c r="O677" s="12" t="s">
        <v>38302</v>
      </c>
      <c r="P677" s="12" t="s">
        <v>41551</v>
      </c>
      <c r="Q677" s="12" t="s">
        <v>38889</v>
      </c>
      <c r="R677" s="12" t="s">
        <v>38306</v>
      </c>
      <c r="S677" s="12" t="s">
        <v>38890</v>
      </c>
      <c r="T677" s="12" t="s">
        <v>41694</v>
      </c>
      <c r="U677" s="12" t="s">
        <v>41695</v>
      </c>
      <c r="V677" s="12" t="s">
        <v>37839</v>
      </c>
      <c r="W677" s="12" t="s">
        <v>41696</v>
      </c>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row>
    <row r="678" spans="1:72">
      <c r="A678" s="2" t="s">
        <v>13595</v>
      </c>
      <c r="B678" s="5" t="s">
        <v>13600</v>
      </c>
      <c r="C678" s="3" t="s">
        <v>13596</v>
      </c>
      <c r="D678" s="4" t="s">
        <v>138</v>
      </c>
      <c r="E678" s="15" t="s">
        <v>13609</v>
      </c>
      <c r="F678" s="15" t="s">
        <v>5271</v>
      </c>
      <c r="G678" s="15" t="s">
        <v>162</v>
      </c>
      <c r="H678" s="7">
        <v>4</v>
      </c>
      <c r="I678" s="6" t="s">
        <v>13615</v>
      </c>
      <c r="J678" s="6" t="s">
        <v>21198</v>
      </c>
      <c r="K678" s="6" t="s">
        <v>41697</v>
      </c>
      <c r="L678" s="6" t="s">
        <v>38825</v>
      </c>
      <c r="M678" s="6" t="s">
        <v>37953</v>
      </c>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row>
    <row r="679" spans="1:72">
      <c r="A679" s="8" t="s">
        <v>13619</v>
      </c>
      <c r="B679" s="11" t="s">
        <v>13624</v>
      </c>
      <c r="C679" s="9" t="s">
        <v>138</v>
      </c>
      <c r="D679" s="10" t="s">
        <v>138</v>
      </c>
      <c r="E679" s="28" t="s">
        <v>13632</v>
      </c>
      <c r="F679" s="28" t="s">
        <v>5271</v>
      </c>
      <c r="G679" s="28" t="s">
        <v>162</v>
      </c>
      <c r="H679" s="13">
        <v>19</v>
      </c>
      <c r="I679" s="12" t="s">
        <v>13636</v>
      </c>
      <c r="J679" s="12" t="s">
        <v>25482</v>
      </c>
      <c r="K679" s="12" t="s">
        <v>38234</v>
      </c>
      <c r="L679" s="12" t="s">
        <v>41698</v>
      </c>
      <c r="M679" s="12" t="s">
        <v>41699</v>
      </c>
      <c r="N679" s="12" t="s">
        <v>41700</v>
      </c>
      <c r="O679" s="12" t="s">
        <v>41701</v>
      </c>
      <c r="P679" s="12" t="s">
        <v>41702</v>
      </c>
      <c r="Q679" s="12" t="s">
        <v>41703</v>
      </c>
      <c r="R679" s="12" t="s">
        <v>37787</v>
      </c>
      <c r="S679" s="12" t="s">
        <v>41704</v>
      </c>
      <c r="T679" s="12" t="s">
        <v>38948</v>
      </c>
      <c r="U679" s="12" t="s">
        <v>41705</v>
      </c>
      <c r="V679" s="12" t="s">
        <v>41706</v>
      </c>
      <c r="W679" s="12" t="s">
        <v>41707</v>
      </c>
      <c r="X679" s="12" t="s">
        <v>38201</v>
      </c>
      <c r="Y679" s="12" t="s">
        <v>41193</v>
      </c>
      <c r="Z679" s="12" t="s">
        <v>38145</v>
      </c>
      <c r="AA679" s="12" t="s">
        <v>39074</v>
      </c>
      <c r="AB679" s="12" t="s">
        <v>41708</v>
      </c>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row>
    <row r="680" spans="1:72">
      <c r="A680" s="2" t="s">
        <v>13640</v>
      </c>
      <c r="B680" s="5" t="s">
        <v>13645</v>
      </c>
      <c r="C680" s="3" t="s">
        <v>138</v>
      </c>
      <c r="D680" s="4" t="s">
        <v>138</v>
      </c>
      <c r="E680" s="15" t="s">
        <v>13653</v>
      </c>
      <c r="F680" s="15" t="s">
        <v>13654</v>
      </c>
      <c r="G680" s="15" t="s">
        <v>8999</v>
      </c>
      <c r="H680" s="7">
        <v>3</v>
      </c>
      <c r="I680" s="6" t="s">
        <v>13657</v>
      </c>
      <c r="J680" s="6" t="s">
        <v>41709</v>
      </c>
      <c r="K680" s="6" t="s">
        <v>41710</v>
      </c>
      <c r="L680" s="6" t="s">
        <v>37781</v>
      </c>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row>
    <row r="681" spans="1:72">
      <c r="A681" s="8" t="s">
        <v>13660</v>
      </c>
      <c r="B681" s="11" t="s">
        <v>13666</v>
      </c>
      <c r="C681" s="9" t="s">
        <v>138</v>
      </c>
      <c r="D681" s="10" t="s">
        <v>138</v>
      </c>
      <c r="E681" s="28" t="s">
        <v>426</v>
      </c>
      <c r="F681" s="28" t="s">
        <v>426</v>
      </c>
      <c r="G681" s="28" t="s">
        <v>162</v>
      </c>
      <c r="H681" s="13">
        <v>5</v>
      </c>
      <c r="I681" s="12" t="s">
        <v>13675</v>
      </c>
      <c r="J681" s="12" t="s">
        <v>41711</v>
      </c>
      <c r="K681" s="12" t="s">
        <v>41712</v>
      </c>
      <c r="L681" s="12" t="s">
        <v>38057</v>
      </c>
      <c r="M681" s="12" t="s">
        <v>41713</v>
      </c>
      <c r="N681" s="12" t="s">
        <v>37922</v>
      </c>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row>
    <row r="682" spans="1:72">
      <c r="A682" s="2" t="s">
        <v>13679</v>
      </c>
      <c r="B682" s="5" t="s">
        <v>13685</v>
      </c>
      <c r="C682" s="3" t="s">
        <v>138</v>
      </c>
      <c r="D682" s="4" t="s">
        <v>138</v>
      </c>
      <c r="E682" s="15" t="s">
        <v>13694</v>
      </c>
      <c r="F682" s="15" t="s">
        <v>1146</v>
      </c>
      <c r="G682" s="15" t="s">
        <v>162</v>
      </c>
      <c r="H682" s="7">
        <v>2</v>
      </c>
      <c r="I682" s="6" t="s">
        <v>13698</v>
      </c>
      <c r="J682" s="6" t="s">
        <v>27608</v>
      </c>
      <c r="K682" s="6" t="s">
        <v>41714</v>
      </c>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row>
    <row r="683" spans="1:72">
      <c r="A683" s="8" t="s">
        <v>13703</v>
      </c>
      <c r="B683" s="11" t="s">
        <v>13706</v>
      </c>
      <c r="C683" s="9" t="s">
        <v>138</v>
      </c>
      <c r="D683" s="10" t="s">
        <v>138</v>
      </c>
      <c r="E683" s="28" t="s">
        <v>13716</v>
      </c>
      <c r="F683" s="28" t="s">
        <v>824</v>
      </c>
      <c r="G683" s="28" t="s">
        <v>526</v>
      </c>
      <c r="H683" s="13">
        <v>7</v>
      </c>
      <c r="I683" s="12" t="s">
        <v>13720</v>
      </c>
      <c r="J683" s="12" t="s">
        <v>38769</v>
      </c>
      <c r="K683" s="12" t="s">
        <v>39046</v>
      </c>
      <c r="L683" s="12" t="s">
        <v>41715</v>
      </c>
      <c r="M683" s="12" t="s">
        <v>41716</v>
      </c>
      <c r="N683" s="12" t="s">
        <v>41717</v>
      </c>
      <c r="O683" s="12" t="s">
        <v>40464</v>
      </c>
      <c r="P683" s="12" t="s">
        <v>39830</v>
      </c>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row>
    <row r="684" spans="1:72">
      <c r="A684" s="2" t="s">
        <v>13724</v>
      </c>
      <c r="B684" s="5" t="s">
        <v>13730</v>
      </c>
      <c r="C684" s="3" t="s">
        <v>138</v>
      </c>
      <c r="D684" s="4" t="s">
        <v>13725</v>
      </c>
      <c r="E684" s="15" t="s">
        <v>13738</v>
      </c>
      <c r="F684" s="15" t="s">
        <v>138</v>
      </c>
      <c r="G684" s="15" t="s">
        <v>740</v>
      </c>
      <c r="H684" s="7">
        <v>13</v>
      </c>
      <c r="I684" s="6" t="s">
        <v>13741</v>
      </c>
      <c r="J684" s="6" t="s">
        <v>38008</v>
      </c>
      <c r="K684" s="6" t="s">
        <v>38164</v>
      </c>
      <c r="L684" s="6" t="s">
        <v>40400</v>
      </c>
      <c r="M684" s="6" t="s">
        <v>41718</v>
      </c>
      <c r="N684" s="6" t="s">
        <v>41719</v>
      </c>
      <c r="O684" s="6" t="s">
        <v>37961</v>
      </c>
      <c r="P684" s="6" t="s">
        <v>41720</v>
      </c>
      <c r="Q684" s="6" t="s">
        <v>40238</v>
      </c>
      <c r="R684" s="6" t="s">
        <v>41721</v>
      </c>
      <c r="S684" s="6" t="s">
        <v>41722</v>
      </c>
      <c r="T684" s="6" t="s">
        <v>41225</v>
      </c>
      <c r="U684" s="6" t="s">
        <v>39143</v>
      </c>
      <c r="V684" s="6" t="s">
        <v>41723</v>
      </c>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row>
    <row r="685" spans="1:72">
      <c r="A685" s="8" t="s">
        <v>13745</v>
      </c>
      <c r="B685" s="11" t="s">
        <v>13749</v>
      </c>
      <c r="C685" s="9" t="s">
        <v>13746</v>
      </c>
      <c r="D685" s="10" t="s">
        <v>138</v>
      </c>
      <c r="E685" s="28" t="s">
        <v>13757</v>
      </c>
      <c r="F685" s="28" t="s">
        <v>4493</v>
      </c>
      <c r="G685" s="28" t="s">
        <v>162</v>
      </c>
      <c r="H685" s="13">
        <v>2</v>
      </c>
      <c r="I685" s="12" t="s">
        <v>13762</v>
      </c>
      <c r="J685" s="12" t="s">
        <v>28938</v>
      </c>
      <c r="K685" s="12" t="s">
        <v>41724</v>
      </c>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row>
    <row r="686" spans="1:72">
      <c r="A686" s="2" t="s">
        <v>13768</v>
      </c>
      <c r="B686" s="5" t="s">
        <v>13774</v>
      </c>
      <c r="C686" s="3" t="s">
        <v>138</v>
      </c>
      <c r="D686" s="4" t="s">
        <v>138</v>
      </c>
      <c r="E686" s="15" t="s">
        <v>1116</v>
      </c>
      <c r="F686" s="15" t="s">
        <v>864</v>
      </c>
      <c r="G686" s="15" t="s">
        <v>162</v>
      </c>
      <c r="H686" s="7" t="s">
        <v>138</v>
      </c>
      <c r="I686" s="6" t="s">
        <v>138</v>
      </c>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row>
    <row r="687" spans="1:72">
      <c r="A687" s="8" t="s">
        <v>13789</v>
      </c>
      <c r="B687" s="11" t="s">
        <v>13794</v>
      </c>
      <c r="C687" s="9" t="s">
        <v>138</v>
      </c>
      <c r="D687" s="10" t="s">
        <v>138</v>
      </c>
      <c r="E687" s="28" t="s">
        <v>2845</v>
      </c>
      <c r="F687" s="28" t="s">
        <v>200</v>
      </c>
      <c r="G687" s="28" t="s">
        <v>162</v>
      </c>
      <c r="H687" s="13">
        <v>7</v>
      </c>
      <c r="I687" s="12" t="s">
        <v>13803</v>
      </c>
      <c r="J687" s="12" t="s">
        <v>24301</v>
      </c>
      <c r="K687" s="12" t="s">
        <v>41725</v>
      </c>
      <c r="L687" s="12" t="s">
        <v>40389</v>
      </c>
      <c r="M687" s="12" t="s">
        <v>38786</v>
      </c>
      <c r="N687" s="12" t="s">
        <v>38083</v>
      </c>
      <c r="O687" s="12" t="s">
        <v>37972</v>
      </c>
      <c r="P687" s="12" t="s">
        <v>37868</v>
      </c>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row>
    <row r="688" spans="1:72">
      <c r="A688" s="2" t="s">
        <v>13806</v>
      </c>
      <c r="B688" s="5" t="s">
        <v>13813</v>
      </c>
      <c r="C688" s="3" t="s">
        <v>138</v>
      </c>
      <c r="D688" s="4" t="s">
        <v>13807</v>
      </c>
      <c r="E688" s="15" t="s">
        <v>3614</v>
      </c>
      <c r="F688" s="15" t="s">
        <v>138</v>
      </c>
      <c r="G688" s="15" t="s">
        <v>946</v>
      </c>
      <c r="H688" s="7">
        <v>4</v>
      </c>
      <c r="I688" s="6" t="s">
        <v>13824</v>
      </c>
      <c r="J688" s="6" t="s">
        <v>41726</v>
      </c>
      <c r="K688" s="6" t="s">
        <v>41727</v>
      </c>
      <c r="L688" s="6" t="s">
        <v>41728</v>
      </c>
      <c r="M688" s="6" t="s">
        <v>41729</v>
      </c>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row>
    <row r="689" spans="1:72">
      <c r="A689" s="8" t="s">
        <v>13830</v>
      </c>
      <c r="B689" s="11" t="s">
        <v>13835</v>
      </c>
      <c r="C689" s="9" t="s">
        <v>138</v>
      </c>
      <c r="D689" s="10" t="s">
        <v>13831</v>
      </c>
      <c r="E689" s="28" t="s">
        <v>13844</v>
      </c>
      <c r="F689" s="28" t="s">
        <v>426</v>
      </c>
      <c r="G689" s="28" t="s">
        <v>162</v>
      </c>
      <c r="H689" s="13">
        <v>5</v>
      </c>
      <c r="I689" s="12" t="s">
        <v>13848</v>
      </c>
      <c r="J689" s="12" t="s">
        <v>20381</v>
      </c>
      <c r="K689" s="12" t="s">
        <v>41730</v>
      </c>
      <c r="L689" s="12" t="s">
        <v>40540</v>
      </c>
      <c r="M689" s="12" t="s">
        <v>41731</v>
      </c>
      <c r="N689" s="12" t="s">
        <v>41732</v>
      </c>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row>
    <row r="690" spans="1:72">
      <c r="A690" s="2" t="s">
        <v>13853</v>
      </c>
      <c r="B690" s="5" t="s">
        <v>13859</v>
      </c>
      <c r="C690" s="3" t="s">
        <v>13854</v>
      </c>
      <c r="D690" s="4" t="s">
        <v>138</v>
      </c>
      <c r="E690" s="15" t="s">
        <v>13867</v>
      </c>
      <c r="F690" s="15" t="s">
        <v>13868</v>
      </c>
      <c r="G690" s="15" t="s">
        <v>162</v>
      </c>
      <c r="H690" s="7">
        <v>7</v>
      </c>
      <c r="I690" s="6" t="s">
        <v>13872</v>
      </c>
      <c r="J690" s="6" t="s">
        <v>41733</v>
      </c>
      <c r="K690" s="6" t="s">
        <v>38234</v>
      </c>
      <c r="L690" s="6" t="s">
        <v>41734</v>
      </c>
      <c r="M690" s="6" t="s">
        <v>41735</v>
      </c>
      <c r="N690" s="6" t="s">
        <v>41736</v>
      </c>
      <c r="O690" s="6" t="s">
        <v>41737</v>
      </c>
      <c r="P690" s="6" t="s">
        <v>41738</v>
      </c>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row>
    <row r="691" spans="1:72">
      <c r="A691" s="8" t="s">
        <v>13876</v>
      </c>
      <c r="B691" s="11" t="s">
        <v>13880</v>
      </c>
      <c r="C691" s="9" t="s">
        <v>138</v>
      </c>
      <c r="D691" s="10" t="s">
        <v>138</v>
      </c>
      <c r="E691" s="28" t="s">
        <v>13888</v>
      </c>
      <c r="F691" s="28" t="s">
        <v>200</v>
      </c>
      <c r="G691" s="28" t="s">
        <v>162</v>
      </c>
      <c r="H691" s="13">
        <v>10</v>
      </c>
      <c r="I691" s="12" t="s">
        <v>13893</v>
      </c>
      <c r="J691" s="12" t="s">
        <v>16877</v>
      </c>
      <c r="K691" s="12" t="s">
        <v>37851</v>
      </c>
      <c r="L691" s="12" t="s">
        <v>41739</v>
      </c>
      <c r="M691" s="12" t="s">
        <v>38476</v>
      </c>
      <c r="N691" s="12" t="s">
        <v>41740</v>
      </c>
      <c r="O691" s="12" t="s">
        <v>40406</v>
      </c>
      <c r="P691" s="12" t="s">
        <v>38710</v>
      </c>
      <c r="Q691" s="12" t="s">
        <v>41741</v>
      </c>
      <c r="R691" s="12" t="s">
        <v>39642</v>
      </c>
      <c r="S691" s="12" t="s">
        <v>39744</v>
      </c>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row>
    <row r="692" spans="1:72">
      <c r="A692" s="2" t="s">
        <v>13897</v>
      </c>
      <c r="B692" s="5" t="s">
        <v>13902</v>
      </c>
      <c r="C692" s="3" t="s">
        <v>138</v>
      </c>
      <c r="D692" s="4" t="s">
        <v>138</v>
      </c>
      <c r="E692" s="15" t="s">
        <v>823</v>
      </c>
      <c r="F692" s="15" t="s">
        <v>824</v>
      </c>
      <c r="G692" s="15" t="s">
        <v>526</v>
      </c>
      <c r="H692" s="7">
        <v>11</v>
      </c>
      <c r="I692" s="6" t="s">
        <v>13913</v>
      </c>
      <c r="J692" s="6" t="s">
        <v>41742</v>
      </c>
      <c r="K692" s="6" t="s">
        <v>38554</v>
      </c>
      <c r="L692" s="6" t="s">
        <v>41743</v>
      </c>
      <c r="M692" s="6" t="s">
        <v>41744</v>
      </c>
      <c r="N692" s="6" t="s">
        <v>41745</v>
      </c>
      <c r="O692" s="6" t="s">
        <v>41746</v>
      </c>
      <c r="P692" s="6" t="s">
        <v>37781</v>
      </c>
      <c r="Q692" s="6" t="s">
        <v>38713</v>
      </c>
      <c r="R692" s="6" t="s">
        <v>41747</v>
      </c>
      <c r="S692" s="6" t="s">
        <v>38542</v>
      </c>
      <c r="T692" s="6" t="s">
        <v>39754</v>
      </c>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row>
    <row r="693" spans="1:72">
      <c r="A693" s="8" t="s">
        <v>13917</v>
      </c>
      <c r="B693" s="11" t="s">
        <v>13923</v>
      </c>
      <c r="C693" s="9" t="s">
        <v>138</v>
      </c>
      <c r="D693" s="10" t="s">
        <v>13918</v>
      </c>
      <c r="E693" s="28" t="s">
        <v>5382</v>
      </c>
      <c r="F693" s="28" t="s">
        <v>200</v>
      </c>
      <c r="G693" s="28" t="s">
        <v>162</v>
      </c>
      <c r="H693" s="13">
        <v>19</v>
      </c>
      <c r="I693" s="12" t="s">
        <v>13931</v>
      </c>
      <c r="J693" s="12" t="s">
        <v>41748</v>
      </c>
      <c r="K693" s="12" t="s">
        <v>41749</v>
      </c>
      <c r="L693" s="12" t="s">
        <v>41750</v>
      </c>
      <c r="M693" s="12" t="s">
        <v>37819</v>
      </c>
      <c r="N693" s="12" t="s">
        <v>39865</v>
      </c>
      <c r="O693" s="12" t="s">
        <v>41751</v>
      </c>
      <c r="P693" s="12" t="s">
        <v>38590</v>
      </c>
      <c r="Q693" s="12" t="s">
        <v>40596</v>
      </c>
      <c r="R693" s="12" t="s">
        <v>41752</v>
      </c>
      <c r="S693" s="12" t="s">
        <v>38058</v>
      </c>
      <c r="T693" s="12" t="s">
        <v>38425</v>
      </c>
      <c r="U693" s="12" t="s">
        <v>39219</v>
      </c>
      <c r="V693" s="12" t="s">
        <v>41753</v>
      </c>
      <c r="W693" s="12" t="s">
        <v>41754</v>
      </c>
      <c r="X693" s="12" t="s">
        <v>41755</v>
      </c>
      <c r="Y693" s="12" t="s">
        <v>41756</v>
      </c>
      <c r="Z693" s="12" t="s">
        <v>38323</v>
      </c>
      <c r="AA693" s="12" t="s">
        <v>38668</v>
      </c>
      <c r="AB693" s="12" t="s">
        <v>41757</v>
      </c>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row>
    <row r="694" spans="1:72">
      <c r="A694" s="2" t="s">
        <v>13937</v>
      </c>
      <c r="B694" s="5" t="s">
        <v>13941</v>
      </c>
      <c r="C694" s="3" t="s">
        <v>13938</v>
      </c>
      <c r="D694" s="4" t="s">
        <v>138</v>
      </c>
      <c r="E694" s="15" t="s">
        <v>668</v>
      </c>
      <c r="F694" s="15" t="s">
        <v>200</v>
      </c>
      <c r="G694" s="15" t="s">
        <v>162</v>
      </c>
      <c r="H694" s="7">
        <v>38</v>
      </c>
      <c r="I694" s="6" t="s">
        <v>13950</v>
      </c>
      <c r="J694" s="6" t="s">
        <v>41758</v>
      </c>
      <c r="K694" s="6" t="s">
        <v>41759</v>
      </c>
      <c r="L694" s="6" t="s">
        <v>41760</v>
      </c>
      <c r="M694" s="6" t="s">
        <v>41761</v>
      </c>
      <c r="N694" s="6" t="s">
        <v>41762</v>
      </c>
      <c r="O694" s="6" t="s">
        <v>41763</v>
      </c>
      <c r="P694" s="6" t="s">
        <v>38922</v>
      </c>
      <c r="Q694" s="6" t="s">
        <v>41764</v>
      </c>
      <c r="R694" s="6" t="s">
        <v>39035</v>
      </c>
      <c r="S694" s="6" t="s">
        <v>38231</v>
      </c>
      <c r="T694" s="6" t="s">
        <v>41765</v>
      </c>
      <c r="U694" s="6" t="s">
        <v>39944</v>
      </c>
      <c r="V694" s="6" t="s">
        <v>39731</v>
      </c>
      <c r="W694" s="6" t="s">
        <v>41766</v>
      </c>
      <c r="X694" s="6" t="s">
        <v>38126</v>
      </c>
      <c r="Y694" s="6" t="s">
        <v>38182</v>
      </c>
      <c r="Z694" s="6" t="s">
        <v>39733</v>
      </c>
      <c r="AA694" s="6" t="s">
        <v>39716</v>
      </c>
      <c r="AB694" s="6" t="s">
        <v>41767</v>
      </c>
      <c r="AC694" s="6" t="s">
        <v>41768</v>
      </c>
      <c r="AD694" s="6" t="s">
        <v>40725</v>
      </c>
      <c r="AE694" s="6" t="s">
        <v>41769</v>
      </c>
      <c r="AF694" s="6" t="s">
        <v>39586</v>
      </c>
      <c r="AG694" s="6" t="s">
        <v>38926</v>
      </c>
      <c r="AH694" s="6" t="s">
        <v>41770</v>
      </c>
      <c r="AI694" s="6" t="s">
        <v>38139</v>
      </c>
      <c r="AJ694" s="6" t="s">
        <v>37805</v>
      </c>
      <c r="AK694" s="6" t="s">
        <v>41771</v>
      </c>
      <c r="AL694" s="6" t="s">
        <v>41772</v>
      </c>
      <c r="AM694" s="6" t="s">
        <v>41773</v>
      </c>
      <c r="AN694" s="6" t="s">
        <v>41774</v>
      </c>
      <c r="AO694" s="6" t="s">
        <v>41775</v>
      </c>
      <c r="AP694" s="6" t="s">
        <v>39261</v>
      </c>
      <c r="AQ694" s="6" t="s">
        <v>41776</v>
      </c>
      <c r="AR694" s="6" t="s">
        <v>38371</v>
      </c>
      <c r="AS694" s="6" t="s">
        <v>41777</v>
      </c>
      <c r="AT694" s="6" t="s">
        <v>41206</v>
      </c>
      <c r="AU694" s="6" t="s">
        <v>40143</v>
      </c>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row>
    <row r="695" spans="1:72">
      <c r="A695" s="8" t="s">
        <v>13955</v>
      </c>
      <c r="B695" s="11" t="s">
        <v>13959</v>
      </c>
      <c r="C695" s="9" t="s">
        <v>138</v>
      </c>
      <c r="D695" s="10" t="s">
        <v>138</v>
      </c>
      <c r="E695" s="28" t="s">
        <v>1223</v>
      </c>
      <c r="F695" s="28" t="s">
        <v>200</v>
      </c>
      <c r="G695" s="28" t="s">
        <v>162</v>
      </c>
      <c r="H695" s="13">
        <v>12</v>
      </c>
      <c r="I695" s="12" t="s">
        <v>13970</v>
      </c>
      <c r="J695" s="12" t="s">
        <v>41778</v>
      </c>
      <c r="K695" s="12" t="s">
        <v>41779</v>
      </c>
      <c r="L695" s="12" t="s">
        <v>37774</v>
      </c>
      <c r="M695" s="12" t="s">
        <v>41780</v>
      </c>
      <c r="N695" s="12" t="s">
        <v>41781</v>
      </c>
      <c r="O695" s="12" t="s">
        <v>41782</v>
      </c>
      <c r="P695" s="12" t="s">
        <v>38321</v>
      </c>
      <c r="Q695" s="12" t="s">
        <v>38323</v>
      </c>
      <c r="R695" s="12" t="s">
        <v>41783</v>
      </c>
      <c r="S695" s="12" t="s">
        <v>37975</v>
      </c>
      <c r="T695" s="12" t="s">
        <v>37871</v>
      </c>
      <c r="U695" s="12" t="s">
        <v>41784</v>
      </c>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row>
    <row r="696" spans="1:72">
      <c r="A696" s="2" t="s">
        <v>13976</v>
      </c>
      <c r="B696" s="5" t="s">
        <v>13981</v>
      </c>
      <c r="C696" s="3" t="s">
        <v>138</v>
      </c>
      <c r="D696" s="4" t="s">
        <v>138</v>
      </c>
      <c r="E696" s="15" t="s">
        <v>4072</v>
      </c>
      <c r="F696" s="15" t="s">
        <v>138</v>
      </c>
      <c r="G696" s="15" t="s">
        <v>740</v>
      </c>
      <c r="H696" s="7">
        <v>6</v>
      </c>
      <c r="I696" s="6" t="s">
        <v>13991</v>
      </c>
      <c r="J696" s="6" t="s">
        <v>39462</v>
      </c>
      <c r="K696" s="6" t="s">
        <v>41785</v>
      </c>
      <c r="L696" s="6" t="s">
        <v>41786</v>
      </c>
      <c r="M696" s="6" t="s">
        <v>39460</v>
      </c>
      <c r="N696" s="6" t="s">
        <v>41787</v>
      </c>
      <c r="O696" s="6" t="s">
        <v>41788</v>
      </c>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row>
    <row r="697" spans="1:72">
      <c r="A697" s="8" t="s">
        <v>13994</v>
      </c>
      <c r="B697" s="11" t="s">
        <v>13998</v>
      </c>
      <c r="C697" s="9" t="s">
        <v>138</v>
      </c>
      <c r="D697" s="10" t="s">
        <v>138</v>
      </c>
      <c r="E697" s="28" t="s">
        <v>2931</v>
      </c>
      <c r="F697" s="28" t="s">
        <v>200</v>
      </c>
      <c r="G697" s="28" t="s">
        <v>162</v>
      </c>
      <c r="H697" s="13">
        <v>1</v>
      </c>
      <c r="I697" s="12" t="s">
        <v>455</v>
      </c>
      <c r="J697" s="12" t="s">
        <v>455</v>
      </c>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row>
    <row r="698" spans="1:72">
      <c r="A698" s="2" t="s">
        <v>14008</v>
      </c>
      <c r="B698" s="5" t="s">
        <v>14013</v>
      </c>
      <c r="C698" s="3" t="s">
        <v>138</v>
      </c>
      <c r="D698" s="4" t="s">
        <v>138</v>
      </c>
      <c r="E698" s="15" t="s">
        <v>2068</v>
      </c>
      <c r="F698" s="15" t="s">
        <v>138</v>
      </c>
      <c r="G698" s="15" t="s">
        <v>2071</v>
      </c>
      <c r="H698" s="7">
        <v>6</v>
      </c>
      <c r="I698" s="6" t="s">
        <v>14021</v>
      </c>
      <c r="J698" s="6" t="s">
        <v>41789</v>
      </c>
      <c r="K698" s="6" t="s">
        <v>41648</v>
      </c>
      <c r="L698" s="6" t="s">
        <v>41790</v>
      </c>
      <c r="M698" s="6" t="s">
        <v>41791</v>
      </c>
      <c r="N698" s="6" t="s">
        <v>38200</v>
      </c>
      <c r="O698" s="6" t="s">
        <v>40903</v>
      </c>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row>
    <row r="699" spans="1:72">
      <c r="A699" s="8" t="s">
        <v>14024</v>
      </c>
      <c r="B699" s="11" t="s">
        <v>14027</v>
      </c>
      <c r="C699" s="9" t="s">
        <v>138</v>
      </c>
      <c r="D699" s="10" t="s">
        <v>138</v>
      </c>
      <c r="E699" s="28" t="s">
        <v>6098</v>
      </c>
      <c r="F699" s="28" t="s">
        <v>14034</v>
      </c>
      <c r="G699" s="28" t="s">
        <v>2071</v>
      </c>
      <c r="H699" s="13">
        <v>2</v>
      </c>
      <c r="I699" s="12" t="s">
        <v>14038</v>
      </c>
      <c r="J699" s="12" t="s">
        <v>39699</v>
      </c>
      <c r="K699" s="12" t="s">
        <v>38200</v>
      </c>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row>
    <row r="700" spans="1:72">
      <c r="A700" s="2" t="s">
        <v>14041</v>
      </c>
      <c r="B700" s="5" t="s">
        <v>14046</v>
      </c>
      <c r="C700" s="3" t="s">
        <v>138</v>
      </c>
      <c r="D700" s="4" t="s">
        <v>138</v>
      </c>
      <c r="E700" s="15" t="s">
        <v>13888</v>
      </c>
      <c r="F700" s="15" t="s">
        <v>200</v>
      </c>
      <c r="G700" s="15" t="s">
        <v>162</v>
      </c>
      <c r="H700" s="7">
        <v>5</v>
      </c>
      <c r="I700" s="6" t="s">
        <v>14053</v>
      </c>
      <c r="J700" s="6" t="s">
        <v>41792</v>
      </c>
      <c r="K700" s="6" t="s">
        <v>40635</v>
      </c>
      <c r="L700" s="6" t="s">
        <v>37998</v>
      </c>
      <c r="M700" s="6" t="s">
        <v>38137</v>
      </c>
      <c r="N700" s="6" t="s">
        <v>37808</v>
      </c>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row>
    <row r="701" spans="1:72">
      <c r="A701" s="8" t="s">
        <v>14056</v>
      </c>
      <c r="B701" s="11" t="s">
        <v>14060</v>
      </c>
      <c r="C701" s="9" t="s">
        <v>138</v>
      </c>
      <c r="D701" s="10" t="s">
        <v>138</v>
      </c>
      <c r="E701" s="28" t="s">
        <v>1223</v>
      </c>
      <c r="F701" s="28" t="s">
        <v>200</v>
      </c>
      <c r="G701" s="28" t="s">
        <v>162</v>
      </c>
      <c r="H701" s="13">
        <v>14</v>
      </c>
      <c r="I701" s="12" t="s">
        <v>14071</v>
      </c>
      <c r="J701" s="12" t="s">
        <v>38800</v>
      </c>
      <c r="K701" s="12" t="s">
        <v>41793</v>
      </c>
      <c r="L701" s="12" t="s">
        <v>38964</v>
      </c>
      <c r="M701" s="12" t="s">
        <v>39475</v>
      </c>
      <c r="N701" s="12" t="s">
        <v>41794</v>
      </c>
      <c r="O701" s="12" t="s">
        <v>41795</v>
      </c>
      <c r="P701" s="12" t="s">
        <v>38199</v>
      </c>
      <c r="Q701" s="12" t="s">
        <v>40348</v>
      </c>
      <c r="R701" s="12" t="s">
        <v>40365</v>
      </c>
      <c r="S701" s="12" t="s">
        <v>37824</v>
      </c>
      <c r="T701" s="12" t="s">
        <v>41796</v>
      </c>
      <c r="U701" s="12" t="s">
        <v>38401</v>
      </c>
      <c r="V701" s="12" t="s">
        <v>41370</v>
      </c>
      <c r="W701" s="12" t="s">
        <v>37886</v>
      </c>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row>
    <row r="702" spans="1:72">
      <c r="A702" s="2" t="s">
        <v>14075</v>
      </c>
      <c r="B702" s="5" t="s">
        <v>14080</v>
      </c>
      <c r="C702" s="3" t="s">
        <v>138</v>
      </c>
      <c r="D702" s="4" t="s">
        <v>138</v>
      </c>
      <c r="E702" s="15" t="s">
        <v>1171</v>
      </c>
      <c r="F702" s="15" t="s">
        <v>200</v>
      </c>
      <c r="G702" s="15" t="s">
        <v>162</v>
      </c>
      <c r="H702" s="7">
        <v>9</v>
      </c>
      <c r="I702" s="6" t="s">
        <v>14090</v>
      </c>
      <c r="J702" s="6" t="s">
        <v>41797</v>
      </c>
      <c r="K702" s="6" t="s">
        <v>41798</v>
      </c>
      <c r="L702" s="6" t="s">
        <v>41799</v>
      </c>
      <c r="M702" s="6" t="s">
        <v>38444</v>
      </c>
      <c r="N702" s="6" t="s">
        <v>37788</v>
      </c>
      <c r="O702" s="6" t="s">
        <v>38321</v>
      </c>
      <c r="P702" s="6" t="s">
        <v>38200</v>
      </c>
      <c r="Q702" s="6" t="s">
        <v>41800</v>
      </c>
      <c r="R702" s="6" t="s">
        <v>37806</v>
      </c>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row>
    <row r="703" spans="1:72">
      <c r="A703" s="8" t="s">
        <v>14094</v>
      </c>
      <c r="B703" s="11" t="s">
        <v>14101</v>
      </c>
      <c r="C703" s="9" t="s">
        <v>14095</v>
      </c>
      <c r="D703" s="10" t="s">
        <v>138</v>
      </c>
      <c r="E703" s="28" t="s">
        <v>2739</v>
      </c>
      <c r="F703" s="28" t="s">
        <v>2740</v>
      </c>
      <c r="G703" s="28" t="s">
        <v>2742</v>
      </c>
      <c r="H703" s="13">
        <v>28</v>
      </c>
      <c r="I703" s="12" t="s">
        <v>14114</v>
      </c>
      <c r="J703" s="12" t="s">
        <v>41801</v>
      </c>
      <c r="K703" s="12" t="s">
        <v>41802</v>
      </c>
      <c r="L703" s="12" t="s">
        <v>41803</v>
      </c>
      <c r="M703" s="12" t="s">
        <v>41804</v>
      </c>
      <c r="N703" s="12" t="s">
        <v>41805</v>
      </c>
      <c r="O703" s="12" t="s">
        <v>39835</v>
      </c>
      <c r="P703" s="12" t="s">
        <v>39836</v>
      </c>
      <c r="Q703" s="12" t="s">
        <v>41806</v>
      </c>
      <c r="R703" s="12" t="s">
        <v>41807</v>
      </c>
      <c r="S703" s="12" t="s">
        <v>39838</v>
      </c>
      <c r="T703" s="12" t="s">
        <v>39410</v>
      </c>
      <c r="U703" s="12" t="s">
        <v>39411</v>
      </c>
      <c r="V703" s="12" t="s">
        <v>41808</v>
      </c>
      <c r="W703" s="12" t="s">
        <v>41809</v>
      </c>
      <c r="X703" s="12" t="s">
        <v>41810</v>
      </c>
      <c r="Y703" s="12" t="s">
        <v>41811</v>
      </c>
      <c r="Z703" s="12" t="s">
        <v>41812</v>
      </c>
      <c r="AA703" s="12" t="s">
        <v>41813</v>
      </c>
      <c r="AB703" s="12" t="s">
        <v>41814</v>
      </c>
      <c r="AC703" s="12" t="s">
        <v>41815</v>
      </c>
      <c r="AD703" s="12" t="s">
        <v>41816</v>
      </c>
      <c r="AE703" s="12" t="s">
        <v>41817</v>
      </c>
      <c r="AF703" s="12" t="s">
        <v>41818</v>
      </c>
      <c r="AG703" s="12" t="s">
        <v>38821</v>
      </c>
      <c r="AH703" s="12" t="s">
        <v>41360</v>
      </c>
      <c r="AI703" s="12" t="s">
        <v>41819</v>
      </c>
      <c r="AJ703" s="12" t="s">
        <v>41820</v>
      </c>
      <c r="AK703" s="12" t="s">
        <v>38004</v>
      </c>
      <c r="AL703" s="12" t="s">
        <v>41821</v>
      </c>
      <c r="AM703" s="12"/>
      <c r="AN703" s="12"/>
      <c r="AO703" s="12"/>
      <c r="AP703" s="12"/>
      <c r="AQ703" s="12"/>
      <c r="AR703" s="12"/>
      <c r="AS703" s="12"/>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row>
    <row r="704" spans="1:72">
      <c r="A704" s="2" t="s">
        <v>14118</v>
      </c>
      <c r="B704" s="5" t="s">
        <v>14122</v>
      </c>
      <c r="C704" s="3" t="s">
        <v>138</v>
      </c>
      <c r="D704" s="4" t="s">
        <v>138</v>
      </c>
      <c r="E704" s="15" t="s">
        <v>14129</v>
      </c>
      <c r="F704" s="15" t="s">
        <v>14130</v>
      </c>
      <c r="G704" s="15" t="s">
        <v>2742</v>
      </c>
      <c r="H704" s="7">
        <v>8</v>
      </c>
      <c r="I704" s="6" t="s">
        <v>14134</v>
      </c>
      <c r="J704" s="6" t="s">
        <v>40462</v>
      </c>
      <c r="K704" s="6" t="s">
        <v>41822</v>
      </c>
      <c r="L704" s="6" t="s">
        <v>39809</v>
      </c>
      <c r="M704" s="6" t="s">
        <v>37839</v>
      </c>
      <c r="N704" s="6" t="s">
        <v>40247</v>
      </c>
      <c r="O704" s="6" t="s">
        <v>41356</v>
      </c>
      <c r="P704" s="6" t="s">
        <v>37915</v>
      </c>
      <c r="Q704" s="6" t="s">
        <v>41823</v>
      </c>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row>
    <row r="705" spans="1:72">
      <c r="A705" s="8" t="s">
        <v>14137</v>
      </c>
      <c r="B705" s="11" t="s">
        <v>138</v>
      </c>
      <c r="C705" s="9" t="s">
        <v>138</v>
      </c>
      <c r="D705" s="10" t="s">
        <v>138</v>
      </c>
      <c r="E705" s="28" t="s">
        <v>5700</v>
      </c>
      <c r="F705" s="28" t="s">
        <v>138</v>
      </c>
      <c r="G705" s="28" t="s">
        <v>740</v>
      </c>
      <c r="H705" s="13">
        <v>8</v>
      </c>
      <c r="I705" s="12" t="s">
        <v>14141</v>
      </c>
      <c r="J705" s="12" t="s">
        <v>41824</v>
      </c>
      <c r="K705" s="12" t="s">
        <v>37787</v>
      </c>
      <c r="L705" s="12" t="s">
        <v>40242</v>
      </c>
      <c r="M705" s="12" t="s">
        <v>40904</v>
      </c>
      <c r="N705" s="12" t="s">
        <v>40240</v>
      </c>
      <c r="O705" s="12" t="s">
        <v>40134</v>
      </c>
      <c r="P705" s="12" t="s">
        <v>38705</v>
      </c>
      <c r="Q705" s="12" t="s">
        <v>41825</v>
      </c>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row>
    <row r="706" spans="1:72">
      <c r="A706" s="2" t="s">
        <v>14144</v>
      </c>
      <c r="B706" s="5" t="s">
        <v>14151</v>
      </c>
      <c r="C706" s="3" t="s">
        <v>14145</v>
      </c>
      <c r="D706" s="4" t="s">
        <v>138</v>
      </c>
      <c r="E706" s="15" t="s">
        <v>4900</v>
      </c>
      <c r="F706" s="15" t="s">
        <v>200</v>
      </c>
      <c r="G706" s="15" t="s">
        <v>162</v>
      </c>
      <c r="H706" s="7">
        <v>31</v>
      </c>
      <c r="I706" s="6" t="s">
        <v>14157</v>
      </c>
      <c r="J706" s="6" t="s">
        <v>41826</v>
      </c>
      <c r="K706" s="6" t="s">
        <v>41668</v>
      </c>
      <c r="L706" s="6" t="s">
        <v>41827</v>
      </c>
      <c r="M706" s="6" t="s">
        <v>41828</v>
      </c>
      <c r="N706" s="6" t="s">
        <v>38739</v>
      </c>
      <c r="O706" s="6" t="s">
        <v>39229</v>
      </c>
      <c r="P706" s="6" t="s">
        <v>41829</v>
      </c>
      <c r="Q706" s="6" t="s">
        <v>38901</v>
      </c>
      <c r="R706" s="6" t="s">
        <v>38214</v>
      </c>
      <c r="S706" s="6" t="s">
        <v>40178</v>
      </c>
      <c r="T706" s="6" t="s">
        <v>41830</v>
      </c>
      <c r="U706" s="6" t="s">
        <v>41831</v>
      </c>
      <c r="V706" s="6" t="s">
        <v>41832</v>
      </c>
      <c r="W706" s="6" t="s">
        <v>38097</v>
      </c>
      <c r="X706" s="6" t="s">
        <v>41833</v>
      </c>
      <c r="Y706" s="6" t="s">
        <v>41833</v>
      </c>
      <c r="Z706" s="6" t="s">
        <v>41834</v>
      </c>
      <c r="AA706" s="6" t="s">
        <v>41835</v>
      </c>
      <c r="AB706" s="6" t="s">
        <v>41836</v>
      </c>
      <c r="AC706" s="6" t="s">
        <v>37824</v>
      </c>
      <c r="AD706" s="6" t="s">
        <v>41837</v>
      </c>
      <c r="AE706" s="6" t="s">
        <v>41838</v>
      </c>
      <c r="AF706" s="6" t="s">
        <v>41839</v>
      </c>
      <c r="AG706" s="6" t="s">
        <v>41840</v>
      </c>
      <c r="AH706" s="6" t="s">
        <v>38533</v>
      </c>
      <c r="AI706" s="6" t="s">
        <v>37890</v>
      </c>
      <c r="AJ706" s="6" t="s">
        <v>39191</v>
      </c>
      <c r="AK706" s="6" t="s">
        <v>41841</v>
      </c>
      <c r="AL706" s="6" t="s">
        <v>41842</v>
      </c>
      <c r="AM706" s="6" t="s">
        <v>41843</v>
      </c>
      <c r="AN706" s="6" t="s">
        <v>38566</v>
      </c>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row>
    <row r="707" spans="1:72">
      <c r="A707" s="8" t="s">
        <v>14160</v>
      </c>
      <c r="B707" s="11" t="s">
        <v>14165</v>
      </c>
      <c r="C707" s="9" t="s">
        <v>138</v>
      </c>
      <c r="D707" s="10" t="s">
        <v>138</v>
      </c>
      <c r="E707" s="28" t="s">
        <v>14173</v>
      </c>
      <c r="F707" s="28" t="s">
        <v>138</v>
      </c>
      <c r="G707" s="28" t="s">
        <v>740</v>
      </c>
      <c r="H707" s="13">
        <v>7</v>
      </c>
      <c r="I707" s="12" t="s">
        <v>14179</v>
      </c>
      <c r="J707" s="12" t="s">
        <v>41824</v>
      </c>
      <c r="K707" s="12" t="s">
        <v>41844</v>
      </c>
      <c r="L707" s="12" t="s">
        <v>41845</v>
      </c>
      <c r="M707" s="12" t="s">
        <v>41846</v>
      </c>
      <c r="N707" s="12" t="s">
        <v>40904</v>
      </c>
      <c r="O707" s="12" t="s">
        <v>41847</v>
      </c>
      <c r="P707" s="12" t="s">
        <v>38145</v>
      </c>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row>
    <row r="708" spans="1:72">
      <c r="A708" s="2" t="s">
        <v>14182</v>
      </c>
      <c r="B708" s="5" t="s">
        <v>14186</v>
      </c>
      <c r="C708" s="3" t="s">
        <v>138</v>
      </c>
      <c r="D708" s="4" t="s">
        <v>138</v>
      </c>
      <c r="E708" s="15" t="s">
        <v>4466</v>
      </c>
      <c r="F708" s="15" t="s">
        <v>426</v>
      </c>
      <c r="G708" s="15" t="s">
        <v>162</v>
      </c>
      <c r="H708" s="7">
        <v>13</v>
      </c>
      <c r="I708" s="6" t="s">
        <v>14195</v>
      </c>
      <c r="J708" s="6" t="s">
        <v>41848</v>
      </c>
      <c r="K708" s="6" t="s">
        <v>37832</v>
      </c>
      <c r="L708" s="6" t="s">
        <v>37819</v>
      </c>
      <c r="M708" s="6" t="s">
        <v>39228</v>
      </c>
      <c r="N708" s="6" t="s">
        <v>38922</v>
      </c>
      <c r="O708" s="6" t="s">
        <v>41849</v>
      </c>
      <c r="P708" s="6" t="s">
        <v>38397</v>
      </c>
      <c r="Q708" s="6" t="s">
        <v>39362</v>
      </c>
      <c r="R708" s="6" t="s">
        <v>38184</v>
      </c>
      <c r="S708" s="6" t="s">
        <v>39577</v>
      </c>
      <c r="T708" s="6" t="s">
        <v>41850</v>
      </c>
      <c r="U708" s="6" t="s">
        <v>41851</v>
      </c>
      <c r="V708" s="6" t="s">
        <v>37976</v>
      </c>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row>
    <row r="709" spans="1:72">
      <c r="A709" s="8" t="s">
        <v>14198</v>
      </c>
      <c r="B709" s="11" t="s">
        <v>14205</v>
      </c>
      <c r="C709" s="9" t="s">
        <v>138</v>
      </c>
      <c r="D709" s="10" t="s">
        <v>138</v>
      </c>
      <c r="E709" s="28" t="s">
        <v>6611</v>
      </c>
      <c r="F709" s="28" t="s">
        <v>138</v>
      </c>
      <c r="G709" s="28" t="s">
        <v>1614</v>
      </c>
      <c r="H709" s="13">
        <v>7</v>
      </c>
      <c r="I709" s="12" t="s">
        <v>14217</v>
      </c>
      <c r="J709" s="12" t="s">
        <v>41852</v>
      </c>
      <c r="K709" s="12" t="s">
        <v>41853</v>
      </c>
      <c r="L709" s="12" t="s">
        <v>41854</v>
      </c>
      <c r="M709" s="12" t="s">
        <v>39180</v>
      </c>
      <c r="N709" s="12" t="s">
        <v>39278</v>
      </c>
      <c r="O709" s="12" t="s">
        <v>41855</v>
      </c>
      <c r="P709" s="12" t="s">
        <v>41856</v>
      </c>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row>
    <row r="710" spans="1:72">
      <c r="A710" s="2" t="s">
        <v>14220</v>
      </c>
      <c r="B710" s="5" t="s">
        <v>14224</v>
      </c>
      <c r="C710" s="3" t="s">
        <v>14221</v>
      </c>
      <c r="D710" s="4" t="s">
        <v>138</v>
      </c>
      <c r="E710" s="15" t="s">
        <v>426</v>
      </c>
      <c r="F710" s="15" t="s">
        <v>426</v>
      </c>
      <c r="G710" s="15" t="s">
        <v>162</v>
      </c>
      <c r="H710" s="7">
        <v>3</v>
      </c>
      <c r="I710" s="6" t="s">
        <v>14231</v>
      </c>
      <c r="J710" s="6" t="s">
        <v>28864</v>
      </c>
      <c r="K710" s="6" t="s">
        <v>38371</v>
      </c>
      <c r="L710" s="6" t="s">
        <v>38054</v>
      </c>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row>
    <row r="711" spans="1:72">
      <c r="A711" s="8" t="s">
        <v>14235</v>
      </c>
      <c r="B711" s="11" t="s">
        <v>14241</v>
      </c>
      <c r="C711" s="9" t="s">
        <v>138</v>
      </c>
      <c r="D711" s="10" t="s">
        <v>138</v>
      </c>
      <c r="E711" s="28" t="s">
        <v>426</v>
      </c>
      <c r="F711" s="28" t="s">
        <v>426</v>
      </c>
      <c r="G711" s="28" t="s">
        <v>162</v>
      </c>
      <c r="H711" s="13">
        <v>15</v>
      </c>
      <c r="I711" s="12" t="s">
        <v>14251</v>
      </c>
      <c r="J711" s="12" t="s">
        <v>38660</v>
      </c>
      <c r="K711" s="12" t="s">
        <v>41857</v>
      </c>
      <c r="L711" s="12" t="s">
        <v>38914</v>
      </c>
      <c r="M711" s="12" t="s">
        <v>38916</v>
      </c>
      <c r="N711" s="12" t="s">
        <v>39116</v>
      </c>
      <c r="O711" s="12" t="s">
        <v>41447</v>
      </c>
      <c r="P711" s="12" t="s">
        <v>39438</v>
      </c>
      <c r="Q711" s="12" t="s">
        <v>38180</v>
      </c>
      <c r="R711" s="12" t="s">
        <v>38182</v>
      </c>
      <c r="S711" s="12" t="s">
        <v>38183</v>
      </c>
      <c r="T711" s="12" t="s">
        <v>38084</v>
      </c>
      <c r="U711" s="12" t="s">
        <v>41858</v>
      </c>
      <c r="V711" s="12" t="s">
        <v>41859</v>
      </c>
      <c r="W711" s="12" t="s">
        <v>38728</v>
      </c>
      <c r="X711" s="12" t="s">
        <v>41556</v>
      </c>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row>
    <row r="712" spans="1:72">
      <c r="A712" s="2" t="s">
        <v>14256</v>
      </c>
      <c r="B712" s="5" t="s">
        <v>14261</v>
      </c>
      <c r="C712" s="3" t="s">
        <v>138</v>
      </c>
      <c r="D712" s="4" t="s">
        <v>138</v>
      </c>
      <c r="E712" s="15" t="s">
        <v>1516</v>
      </c>
      <c r="F712" s="15" t="s">
        <v>284</v>
      </c>
      <c r="G712" s="15" t="s">
        <v>162</v>
      </c>
      <c r="H712" s="7">
        <v>8</v>
      </c>
      <c r="I712" s="6" t="s">
        <v>14271</v>
      </c>
      <c r="J712" s="6" t="s">
        <v>16877</v>
      </c>
      <c r="K712" s="6" t="s">
        <v>38057</v>
      </c>
      <c r="L712" s="6" t="s">
        <v>38334</v>
      </c>
      <c r="M712" s="6" t="s">
        <v>40093</v>
      </c>
      <c r="N712" s="6" t="s">
        <v>38399</v>
      </c>
      <c r="O712" s="6" t="s">
        <v>41860</v>
      </c>
      <c r="P712" s="6" t="s">
        <v>37784</v>
      </c>
      <c r="Q712" s="6" t="s">
        <v>37870</v>
      </c>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row>
    <row r="713" spans="1:72">
      <c r="A713" s="8" t="s">
        <v>14275</v>
      </c>
      <c r="B713" s="11" t="s">
        <v>14279</v>
      </c>
      <c r="C713" s="9" t="s">
        <v>138</v>
      </c>
      <c r="D713" s="10" t="s">
        <v>138</v>
      </c>
      <c r="E713" s="28" t="s">
        <v>668</v>
      </c>
      <c r="F713" s="28" t="s">
        <v>200</v>
      </c>
      <c r="G713" s="28" t="s">
        <v>162</v>
      </c>
      <c r="H713" s="13">
        <v>21</v>
      </c>
      <c r="I713" s="12" t="s">
        <v>14288</v>
      </c>
      <c r="J713" s="12" t="s">
        <v>41861</v>
      </c>
      <c r="K713" s="12" t="s">
        <v>41089</v>
      </c>
      <c r="L713" s="12" t="s">
        <v>37936</v>
      </c>
      <c r="M713" s="12" t="s">
        <v>41862</v>
      </c>
      <c r="N713" s="12" t="s">
        <v>40960</v>
      </c>
      <c r="O713" s="12" t="s">
        <v>38740</v>
      </c>
      <c r="P713" s="12" t="s">
        <v>41863</v>
      </c>
      <c r="Q713" s="12" t="s">
        <v>41864</v>
      </c>
      <c r="R713" s="12" t="s">
        <v>40435</v>
      </c>
      <c r="S713" s="12" t="s">
        <v>41865</v>
      </c>
      <c r="T713" s="12" t="s">
        <v>41866</v>
      </c>
      <c r="U713" s="12" t="s">
        <v>38645</v>
      </c>
      <c r="V713" s="12" t="s">
        <v>41867</v>
      </c>
      <c r="W713" s="12" t="s">
        <v>38954</v>
      </c>
      <c r="X713" s="12" t="s">
        <v>41868</v>
      </c>
      <c r="Y713" s="12" t="s">
        <v>38657</v>
      </c>
      <c r="Z713" s="12" t="s">
        <v>38658</v>
      </c>
      <c r="AA713" s="12" t="s">
        <v>41869</v>
      </c>
      <c r="AB713" s="12" t="s">
        <v>39478</v>
      </c>
      <c r="AC713" s="12" t="s">
        <v>38073</v>
      </c>
      <c r="AD713" s="12" t="s">
        <v>41870</v>
      </c>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row>
    <row r="714" spans="1:72">
      <c r="A714" s="2" t="s">
        <v>14291</v>
      </c>
      <c r="B714" s="5" t="s">
        <v>14295</v>
      </c>
      <c r="C714" s="3" t="s">
        <v>138</v>
      </c>
      <c r="D714" s="4" t="s">
        <v>138</v>
      </c>
      <c r="E714" s="15" t="s">
        <v>14302</v>
      </c>
      <c r="F714" s="15" t="s">
        <v>1146</v>
      </c>
      <c r="G714" s="15" t="s">
        <v>162</v>
      </c>
      <c r="H714" s="7">
        <v>4</v>
      </c>
      <c r="I714" s="6" t="s">
        <v>14306</v>
      </c>
      <c r="J714" s="6" t="s">
        <v>41871</v>
      </c>
      <c r="K714" s="6" t="s">
        <v>37787</v>
      </c>
      <c r="L714" s="6" t="s">
        <v>40688</v>
      </c>
      <c r="M714" s="6" t="s">
        <v>37770</v>
      </c>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row>
    <row r="715" spans="1:72">
      <c r="A715" s="8" t="s">
        <v>14310</v>
      </c>
      <c r="B715" s="11" t="s">
        <v>14315</v>
      </c>
      <c r="C715" s="9" t="s">
        <v>138</v>
      </c>
      <c r="D715" s="10" t="s">
        <v>138</v>
      </c>
      <c r="E715" s="28" t="s">
        <v>642</v>
      </c>
      <c r="F715" s="28" t="s">
        <v>474</v>
      </c>
      <c r="G715" s="28" t="s">
        <v>162</v>
      </c>
      <c r="H715" s="13">
        <v>11</v>
      </c>
      <c r="I715" s="12" t="s">
        <v>14326</v>
      </c>
      <c r="J715" s="12" t="s">
        <v>41872</v>
      </c>
      <c r="K715" s="12" t="s">
        <v>41873</v>
      </c>
      <c r="L715" s="12" t="s">
        <v>39944</v>
      </c>
      <c r="M715" s="12" t="s">
        <v>37883</v>
      </c>
      <c r="N715" s="12" t="s">
        <v>41874</v>
      </c>
      <c r="O715" s="12" t="s">
        <v>38828</v>
      </c>
      <c r="P715" s="12" t="s">
        <v>39208</v>
      </c>
      <c r="Q715" s="12" t="s">
        <v>38200</v>
      </c>
      <c r="R715" s="12" t="s">
        <v>41875</v>
      </c>
      <c r="S715" s="12" t="s">
        <v>38705</v>
      </c>
      <c r="T715" s="12" t="s">
        <v>38729</v>
      </c>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row>
    <row r="716" spans="1:72">
      <c r="A716" s="2" t="s">
        <v>14331</v>
      </c>
      <c r="B716" s="5" t="s">
        <v>14338</v>
      </c>
      <c r="C716" s="3" t="s">
        <v>138</v>
      </c>
      <c r="D716" s="4" t="s">
        <v>138</v>
      </c>
      <c r="E716" s="15" t="s">
        <v>2845</v>
      </c>
      <c r="F716" s="15" t="s">
        <v>200</v>
      </c>
      <c r="G716" s="15" t="s">
        <v>162</v>
      </c>
      <c r="H716" s="7">
        <v>13</v>
      </c>
      <c r="I716" s="6" t="s">
        <v>14347</v>
      </c>
      <c r="J716" s="6" t="s">
        <v>41876</v>
      </c>
      <c r="K716" s="6" t="s">
        <v>40073</v>
      </c>
      <c r="L716" s="6" t="s">
        <v>40736</v>
      </c>
      <c r="M716" s="6" t="s">
        <v>37763</v>
      </c>
      <c r="N716" s="6" t="s">
        <v>41877</v>
      </c>
      <c r="O716" s="6" t="s">
        <v>41878</v>
      </c>
      <c r="P716" s="6" t="s">
        <v>39278</v>
      </c>
      <c r="Q716" s="6" t="s">
        <v>38977</v>
      </c>
      <c r="R716" s="6" t="s">
        <v>38083</v>
      </c>
      <c r="S716" s="6" t="s">
        <v>41053</v>
      </c>
      <c r="T716" s="6" t="s">
        <v>39455</v>
      </c>
      <c r="U716" s="6" t="s">
        <v>38401</v>
      </c>
      <c r="V716" s="6" t="s">
        <v>41054</v>
      </c>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row>
    <row r="717" spans="1:72">
      <c r="A717" s="8" t="s">
        <v>14350</v>
      </c>
      <c r="B717" s="11" t="s">
        <v>14353</v>
      </c>
      <c r="C717" s="9" t="s">
        <v>138</v>
      </c>
      <c r="D717" s="10" t="s">
        <v>138</v>
      </c>
      <c r="E717" s="28" t="s">
        <v>3907</v>
      </c>
      <c r="F717" s="28" t="s">
        <v>2740</v>
      </c>
      <c r="G717" s="28" t="s">
        <v>2742</v>
      </c>
      <c r="H717" s="13">
        <v>14</v>
      </c>
      <c r="I717" s="12" t="s">
        <v>14362</v>
      </c>
      <c r="J717" s="12" t="s">
        <v>41879</v>
      </c>
      <c r="K717" s="12" t="s">
        <v>41806</v>
      </c>
      <c r="L717" s="12" t="s">
        <v>41880</v>
      </c>
      <c r="M717" s="12" t="s">
        <v>37987</v>
      </c>
      <c r="N717" s="12" t="s">
        <v>41881</v>
      </c>
      <c r="O717" s="12" t="s">
        <v>41882</v>
      </c>
      <c r="P717" s="12" t="s">
        <v>41883</v>
      </c>
      <c r="Q717" s="12" t="s">
        <v>41818</v>
      </c>
      <c r="R717" s="12" t="s">
        <v>38926</v>
      </c>
      <c r="S717" s="12" t="s">
        <v>41884</v>
      </c>
      <c r="T717" s="12" t="s">
        <v>38371</v>
      </c>
      <c r="U717" s="12" t="s">
        <v>38912</v>
      </c>
      <c r="V717" s="12" t="s">
        <v>38145</v>
      </c>
      <c r="W717" s="12" t="s">
        <v>41869</v>
      </c>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row>
    <row r="718" spans="1:72">
      <c r="A718" s="2" t="s">
        <v>14365</v>
      </c>
      <c r="B718" s="5" t="s">
        <v>14370</v>
      </c>
      <c r="C718" s="3" t="s">
        <v>138</v>
      </c>
      <c r="D718" s="4" t="s">
        <v>14366</v>
      </c>
      <c r="E718" s="15" t="s">
        <v>1294</v>
      </c>
      <c r="F718" s="15" t="s">
        <v>864</v>
      </c>
      <c r="G718" s="15" t="s">
        <v>162</v>
      </c>
      <c r="H718" s="7">
        <v>7</v>
      </c>
      <c r="I718" s="6" t="s">
        <v>14380</v>
      </c>
      <c r="J718" s="6" t="s">
        <v>10378</v>
      </c>
      <c r="K718" s="6" t="s">
        <v>38922</v>
      </c>
      <c r="L718" s="6" t="s">
        <v>41885</v>
      </c>
      <c r="M718" s="6" t="s">
        <v>37765</v>
      </c>
      <c r="N718" s="6" t="s">
        <v>38770</v>
      </c>
      <c r="O718" s="6" t="s">
        <v>41886</v>
      </c>
      <c r="P718" s="6" t="s">
        <v>39011</v>
      </c>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row>
    <row r="719" spans="1:72">
      <c r="A719" s="8" t="s">
        <v>14383</v>
      </c>
      <c r="B719" s="11" t="s">
        <v>14390</v>
      </c>
      <c r="C719" s="9" t="s">
        <v>14384</v>
      </c>
      <c r="D719" s="10" t="s">
        <v>138</v>
      </c>
      <c r="E719" s="28" t="s">
        <v>1294</v>
      </c>
      <c r="F719" s="28" t="s">
        <v>864</v>
      </c>
      <c r="G719" s="28" t="s">
        <v>162</v>
      </c>
      <c r="H719" s="13">
        <v>10</v>
      </c>
      <c r="I719" s="12" t="s">
        <v>14398</v>
      </c>
      <c r="J719" s="12" t="s">
        <v>41887</v>
      </c>
      <c r="K719" s="12" t="s">
        <v>41888</v>
      </c>
      <c r="L719" s="12" t="s">
        <v>41889</v>
      </c>
      <c r="M719" s="12" t="s">
        <v>41890</v>
      </c>
      <c r="N719" s="12" t="s">
        <v>41891</v>
      </c>
      <c r="O719" s="12" t="s">
        <v>39395</v>
      </c>
      <c r="P719" s="12" t="s">
        <v>37998</v>
      </c>
      <c r="Q719" s="12" t="s">
        <v>38200</v>
      </c>
      <c r="R719" s="12" t="s">
        <v>38816</v>
      </c>
      <c r="S719" s="12" t="s">
        <v>41892</v>
      </c>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row>
    <row r="720" spans="1:72">
      <c r="A720" s="2" t="s">
        <v>14401</v>
      </c>
      <c r="B720" s="5" t="s">
        <v>14406</v>
      </c>
      <c r="C720" s="3" t="s">
        <v>138</v>
      </c>
      <c r="D720" s="4" t="s">
        <v>138</v>
      </c>
      <c r="E720" s="15" t="s">
        <v>4492</v>
      </c>
      <c r="F720" s="15" t="s">
        <v>4493</v>
      </c>
      <c r="G720" s="15" t="s">
        <v>162</v>
      </c>
      <c r="H720" s="7">
        <v>9</v>
      </c>
      <c r="I720" s="6" t="s">
        <v>14415</v>
      </c>
      <c r="J720" s="6" t="s">
        <v>17579</v>
      </c>
      <c r="K720" s="6" t="s">
        <v>41893</v>
      </c>
      <c r="L720" s="6" t="s">
        <v>41894</v>
      </c>
      <c r="M720" s="6" t="s">
        <v>41895</v>
      </c>
      <c r="N720" s="6" t="s">
        <v>39964</v>
      </c>
      <c r="O720" s="6" t="s">
        <v>40787</v>
      </c>
      <c r="P720" s="6" t="s">
        <v>41896</v>
      </c>
      <c r="Q720" s="6" t="s">
        <v>41897</v>
      </c>
      <c r="R720" s="6" t="s">
        <v>41898</v>
      </c>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row>
    <row r="721" spans="1:72">
      <c r="A721" s="8" t="s">
        <v>14420</v>
      </c>
      <c r="B721" s="11" t="s">
        <v>14425</v>
      </c>
      <c r="C721" s="9" t="s">
        <v>138</v>
      </c>
      <c r="D721" s="10" t="s">
        <v>138</v>
      </c>
      <c r="E721" s="28" t="s">
        <v>1516</v>
      </c>
      <c r="F721" s="28" t="s">
        <v>284</v>
      </c>
      <c r="G721" s="28" t="s">
        <v>162</v>
      </c>
      <c r="H721" s="13">
        <v>3</v>
      </c>
      <c r="I721" s="12" t="s">
        <v>14434</v>
      </c>
      <c r="J721" s="12" t="s">
        <v>41899</v>
      </c>
      <c r="K721" s="12" t="s">
        <v>41900</v>
      </c>
      <c r="L721" s="12" t="s">
        <v>38054</v>
      </c>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2"/>
    </row>
    <row r="722" spans="1:72">
      <c r="A722" s="2" t="s">
        <v>14437</v>
      </c>
      <c r="B722" s="5" t="s">
        <v>14442</v>
      </c>
      <c r="C722" s="3" t="s">
        <v>138</v>
      </c>
      <c r="D722" s="4" t="s">
        <v>14438</v>
      </c>
      <c r="E722" s="15" t="s">
        <v>2907</v>
      </c>
      <c r="F722" s="15" t="s">
        <v>138</v>
      </c>
      <c r="G722" s="15" t="s">
        <v>946</v>
      </c>
      <c r="H722" s="7">
        <v>1</v>
      </c>
      <c r="I722" s="6" t="s">
        <v>14451</v>
      </c>
      <c r="J722" s="6" t="s">
        <v>14451</v>
      </c>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row>
    <row r="723" spans="1:72">
      <c r="A723" s="8" t="s">
        <v>14456</v>
      </c>
      <c r="B723" s="11" t="s">
        <v>14461</v>
      </c>
      <c r="C723" s="9" t="s">
        <v>138</v>
      </c>
      <c r="D723" s="10" t="s">
        <v>14457</v>
      </c>
      <c r="E723" s="28" t="s">
        <v>8996</v>
      </c>
      <c r="F723" s="28" t="s">
        <v>8997</v>
      </c>
      <c r="G723" s="28" t="s">
        <v>8999</v>
      </c>
      <c r="H723" s="13">
        <v>2</v>
      </c>
      <c r="I723" s="12" t="s">
        <v>14471</v>
      </c>
      <c r="J723" s="12" t="s">
        <v>41901</v>
      </c>
      <c r="K723" s="12" t="s">
        <v>37839</v>
      </c>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2"/>
    </row>
    <row r="724" spans="1:72">
      <c r="A724" s="2" t="s">
        <v>14473</v>
      </c>
      <c r="B724" s="5" t="s">
        <v>14478</v>
      </c>
      <c r="C724" s="3" t="s">
        <v>138</v>
      </c>
      <c r="D724" s="4" t="s">
        <v>138</v>
      </c>
      <c r="E724" s="15" t="s">
        <v>283</v>
      </c>
      <c r="F724" s="15" t="s">
        <v>284</v>
      </c>
      <c r="G724" s="15" t="s">
        <v>162</v>
      </c>
      <c r="H724" s="7">
        <v>4</v>
      </c>
      <c r="I724" s="6" t="s">
        <v>14489</v>
      </c>
      <c r="J724" s="6" t="s">
        <v>38274</v>
      </c>
      <c r="K724" s="6" t="s">
        <v>40976</v>
      </c>
      <c r="L724" s="6" t="s">
        <v>39007</v>
      </c>
      <c r="M724" s="6" t="s">
        <v>39011</v>
      </c>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row>
    <row r="725" spans="1:72">
      <c r="A725" s="8" t="s">
        <v>14492</v>
      </c>
      <c r="B725" s="11" t="s">
        <v>14497</v>
      </c>
      <c r="C725" s="9" t="s">
        <v>138</v>
      </c>
      <c r="D725" s="10" t="s">
        <v>138</v>
      </c>
      <c r="E725" s="28" t="s">
        <v>14502</v>
      </c>
      <c r="F725" s="28" t="s">
        <v>4493</v>
      </c>
      <c r="G725" s="28" t="s">
        <v>162</v>
      </c>
      <c r="H725" s="13" t="s">
        <v>138</v>
      </c>
      <c r="I725" s="12" t="s">
        <v>138</v>
      </c>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2"/>
    </row>
    <row r="726" spans="1:72">
      <c r="A726" s="2" t="s">
        <v>14511</v>
      </c>
      <c r="B726" s="5" t="s">
        <v>14515</v>
      </c>
      <c r="C726" s="3" t="s">
        <v>14512</v>
      </c>
      <c r="D726" s="4" t="s">
        <v>138</v>
      </c>
      <c r="E726" s="15" t="s">
        <v>3139</v>
      </c>
      <c r="F726" s="15" t="s">
        <v>3140</v>
      </c>
      <c r="G726" s="15" t="s">
        <v>162</v>
      </c>
      <c r="H726" s="7" t="s">
        <v>138</v>
      </c>
      <c r="I726" s="6" t="s">
        <v>138</v>
      </c>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row>
    <row r="727" spans="1:72">
      <c r="A727" s="8" t="s">
        <v>14530</v>
      </c>
      <c r="B727" s="11" t="s">
        <v>14537</v>
      </c>
      <c r="C727" s="9" t="s">
        <v>14531</v>
      </c>
      <c r="D727" s="10" t="s">
        <v>138</v>
      </c>
      <c r="E727" s="28" t="s">
        <v>14545</v>
      </c>
      <c r="F727" s="28" t="s">
        <v>284</v>
      </c>
      <c r="G727" s="28" t="s">
        <v>162</v>
      </c>
      <c r="H727" s="13">
        <v>3</v>
      </c>
      <c r="I727" s="12" t="s">
        <v>14549</v>
      </c>
      <c r="J727" s="12" t="s">
        <v>41902</v>
      </c>
      <c r="K727" s="12" t="s">
        <v>38011</v>
      </c>
      <c r="L727" s="12" t="s">
        <v>41903</v>
      </c>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row>
    <row r="728" spans="1:72">
      <c r="A728" s="2" t="s">
        <v>14553</v>
      </c>
      <c r="B728" s="5" t="s">
        <v>14558</v>
      </c>
      <c r="C728" s="3" t="s">
        <v>14554</v>
      </c>
      <c r="D728" s="4" t="s">
        <v>138</v>
      </c>
      <c r="E728" s="15" t="s">
        <v>3670</v>
      </c>
      <c r="F728" s="15" t="s">
        <v>200</v>
      </c>
      <c r="G728" s="15" t="s">
        <v>162</v>
      </c>
      <c r="H728" s="7">
        <v>11</v>
      </c>
      <c r="I728" s="6" t="s">
        <v>14566</v>
      </c>
      <c r="J728" s="6" t="s">
        <v>41904</v>
      </c>
      <c r="K728" s="6" t="s">
        <v>41905</v>
      </c>
      <c r="L728" s="6" t="s">
        <v>37799</v>
      </c>
      <c r="M728" s="6" t="s">
        <v>41906</v>
      </c>
      <c r="N728" s="6" t="s">
        <v>41907</v>
      </c>
      <c r="O728" s="6" t="s">
        <v>38025</v>
      </c>
      <c r="P728" s="6" t="s">
        <v>41908</v>
      </c>
      <c r="Q728" s="6" t="s">
        <v>39521</v>
      </c>
      <c r="R728" s="6" t="s">
        <v>37781</v>
      </c>
      <c r="S728" s="6" t="s">
        <v>37976</v>
      </c>
      <c r="T728" s="6" t="s">
        <v>41909</v>
      </c>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row>
    <row r="729" spans="1:72">
      <c r="A729" s="8" t="s">
        <v>14569</v>
      </c>
      <c r="B729" s="11" t="s">
        <v>14572</v>
      </c>
      <c r="C729" s="9" t="s">
        <v>138</v>
      </c>
      <c r="D729" s="10" t="s">
        <v>138</v>
      </c>
      <c r="E729" s="28" t="s">
        <v>426</v>
      </c>
      <c r="F729" s="28" t="s">
        <v>426</v>
      </c>
      <c r="G729" s="28" t="s">
        <v>162</v>
      </c>
      <c r="H729" s="13">
        <v>8</v>
      </c>
      <c r="I729" s="12" t="s">
        <v>14579</v>
      </c>
      <c r="J729" s="12" t="s">
        <v>39398</v>
      </c>
      <c r="K729" s="12" t="s">
        <v>38148</v>
      </c>
      <c r="L729" s="12" t="s">
        <v>37880</v>
      </c>
      <c r="M729" s="12" t="s">
        <v>41910</v>
      </c>
      <c r="N729" s="12" t="s">
        <v>38182</v>
      </c>
      <c r="O729" s="12" t="s">
        <v>39577</v>
      </c>
      <c r="P729" s="12" t="s">
        <v>41911</v>
      </c>
      <c r="Q729" s="12" t="s">
        <v>41912</v>
      </c>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row>
    <row r="730" spans="1:72">
      <c r="A730" s="2" t="s">
        <v>14582</v>
      </c>
      <c r="B730" s="5" t="s">
        <v>14588</v>
      </c>
      <c r="C730" s="3" t="s">
        <v>138</v>
      </c>
      <c r="D730" s="4" t="s">
        <v>138</v>
      </c>
      <c r="E730" s="15" t="s">
        <v>14594</v>
      </c>
      <c r="F730" s="15" t="s">
        <v>864</v>
      </c>
      <c r="G730" s="15" t="s">
        <v>162</v>
      </c>
      <c r="H730" s="7">
        <v>10</v>
      </c>
      <c r="I730" s="6" t="s">
        <v>14598</v>
      </c>
      <c r="J730" s="6" t="s">
        <v>41913</v>
      </c>
      <c r="K730" s="6" t="s">
        <v>37986</v>
      </c>
      <c r="L730" s="6" t="s">
        <v>41914</v>
      </c>
      <c r="M730" s="6" t="s">
        <v>40436</v>
      </c>
      <c r="N730" s="6" t="s">
        <v>41613</v>
      </c>
      <c r="O730" s="6" t="s">
        <v>41915</v>
      </c>
      <c r="P730" s="6" t="s">
        <v>38770</v>
      </c>
      <c r="Q730" s="6" t="s">
        <v>40787</v>
      </c>
      <c r="R730" s="6" t="s">
        <v>38030</v>
      </c>
      <c r="S730" s="6" t="s">
        <v>39664</v>
      </c>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row>
    <row r="731" spans="1:72">
      <c r="A731" s="8" t="s">
        <v>14601</v>
      </c>
      <c r="B731" s="11" t="s">
        <v>14607</v>
      </c>
      <c r="C731" s="9" t="s">
        <v>138</v>
      </c>
      <c r="D731" s="10" t="s">
        <v>14602</v>
      </c>
      <c r="E731" s="28" t="s">
        <v>3841</v>
      </c>
      <c r="F731" s="28" t="s">
        <v>200</v>
      </c>
      <c r="G731" s="28" t="s">
        <v>162</v>
      </c>
      <c r="H731" s="13">
        <v>5</v>
      </c>
      <c r="I731" s="12" t="s">
        <v>14614</v>
      </c>
      <c r="J731" s="12" t="s">
        <v>41916</v>
      </c>
      <c r="K731" s="12" t="s">
        <v>38200</v>
      </c>
      <c r="L731" s="12" t="s">
        <v>41917</v>
      </c>
      <c r="M731" s="12" t="s">
        <v>37808</v>
      </c>
      <c r="N731" s="12" t="s">
        <v>40049</v>
      </c>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row>
    <row r="732" spans="1:72">
      <c r="A732" s="2" t="s">
        <v>14617</v>
      </c>
      <c r="B732" s="5" t="s">
        <v>14623</v>
      </c>
      <c r="C732" s="3" t="s">
        <v>14618</v>
      </c>
      <c r="D732" s="4" t="s">
        <v>138</v>
      </c>
      <c r="E732" s="15" t="s">
        <v>426</v>
      </c>
      <c r="F732" s="15" t="s">
        <v>426</v>
      </c>
      <c r="G732" s="15" t="s">
        <v>162</v>
      </c>
      <c r="H732" s="7">
        <v>7</v>
      </c>
      <c r="I732" s="6" t="s">
        <v>14632</v>
      </c>
      <c r="J732" s="6" t="s">
        <v>41918</v>
      </c>
      <c r="K732" s="6" t="s">
        <v>41919</v>
      </c>
      <c r="L732" s="6" t="s">
        <v>41920</v>
      </c>
      <c r="M732" s="6" t="s">
        <v>41921</v>
      </c>
      <c r="N732" s="6" t="s">
        <v>37788</v>
      </c>
      <c r="O732" s="6" t="s">
        <v>41922</v>
      </c>
      <c r="P732" s="6" t="s">
        <v>37895</v>
      </c>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row>
    <row r="733" spans="1:72">
      <c r="A733" s="8" t="s">
        <v>14635</v>
      </c>
      <c r="B733" s="11" t="s">
        <v>14639</v>
      </c>
      <c r="C733" s="9" t="s">
        <v>138</v>
      </c>
      <c r="D733" s="10" t="s">
        <v>138</v>
      </c>
      <c r="E733" s="28" t="s">
        <v>14647</v>
      </c>
      <c r="F733" s="28" t="s">
        <v>138</v>
      </c>
      <c r="G733" s="28" t="s">
        <v>740</v>
      </c>
      <c r="H733" s="13">
        <v>9</v>
      </c>
      <c r="I733" s="12" t="s">
        <v>14652</v>
      </c>
      <c r="J733" s="12" t="s">
        <v>39462</v>
      </c>
      <c r="K733" s="12" t="s">
        <v>41923</v>
      </c>
      <c r="L733" s="12" t="s">
        <v>40478</v>
      </c>
      <c r="M733" s="12" t="s">
        <v>41924</v>
      </c>
      <c r="N733" s="12" t="s">
        <v>38076</v>
      </c>
      <c r="O733" s="12" t="s">
        <v>40012</v>
      </c>
      <c r="P733" s="12" t="s">
        <v>37851</v>
      </c>
      <c r="Q733" s="12" t="s">
        <v>41925</v>
      </c>
      <c r="R733" s="12" t="s">
        <v>41926</v>
      </c>
      <c r="S733" s="12" t="s">
        <v>38240</v>
      </c>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2"/>
    </row>
    <row r="734" spans="1:72">
      <c r="A734" s="2" t="s">
        <v>14655</v>
      </c>
      <c r="B734" s="5" t="s">
        <v>14662</v>
      </c>
      <c r="C734" s="3" t="s">
        <v>138</v>
      </c>
      <c r="D734" s="4" t="s">
        <v>14656</v>
      </c>
      <c r="E734" s="15" t="s">
        <v>642</v>
      </c>
      <c r="F734" s="15" t="s">
        <v>474</v>
      </c>
      <c r="G734" s="15" t="s">
        <v>162</v>
      </c>
      <c r="H734" s="7">
        <v>8</v>
      </c>
      <c r="I734" s="6" t="s">
        <v>14671</v>
      </c>
      <c r="J734" s="6" t="s">
        <v>41927</v>
      </c>
      <c r="K734" s="6" t="s">
        <v>40196</v>
      </c>
      <c r="L734" s="6" t="s">
        <v>39412</v>
      </c>
      <c r="M734" s="6" t="s">
        <v>41928</v>
      </c>
      <c r="N734" s="6" t="s">
        <v>41929</v>
      </c>
      <c r="O734" s="6" t="s">
        <v>38953</v>
      </c>
      <c r="P734" s="6" t="s">
        <v>41930</v>
      </c>
      <c r="Q734" s="6" t="s">
        <v>38054</v>
      </c>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row>
    <row r="735" spans="1:72">
      <c r="A735" s="8" t="s">
        <v>14674</v>
      </c>
      <c r="B735" s="11" t="s">
        <v>14678</v>
      </c>
      <c r="C735" s="9" t="s">
        <v>138</v>
      </c>
      <c r="D735" s="10" t="s">
        <v>138</v>
      </c>
      <c r="E735" s="28" t="s">
        <v>13632</v>
      </c>
      <c r="F735" s="28" t="s">
        <v>5271</v>
      </c>
      <c r="G735" s="28" t="s">
        <v>162</v>
      </c>
      <c r="H735" s="13">
        <v>13</v>
      </c>
      <c r="I735" s="12" t="s">
        <v>14687</v>
      </c>
      <c r="J735" s="12" t="s">
        <v>40241</v>
      </c>
      <c r="K735" s="12" t="s">
        <v>40793</v>
      </c>
      <c r="L735" s="12" t="s">
        <v>37906</v>
      </c>
      <c r="M735" s="12" t="s">
        <v>40147</v>
      </c>
      <c r="N735" s="12" t="s">
        <v>37907</v>
      </c>
      <c r="O735" s="12" t="s">
        <v>41036</v>
      </c>
      <c r="P735" s="12" t="s">
        <v>41197</v>
      </c>
      <c r="Q735" s="12" t="s">
        <v>41931</v>
      </c>
      <c r="R735" s="12" t="s">
        <v>40969</v>
      </c>
      <c r="S735" s="12" t="s">
        <v>39028</v>
      </c>
      <c r="T735" s="12" t="s">
        <v>37781</v>
      </c>
      <c r="U735" s="12" t="s">
        <v>39642</v>
      </c>
      <c r="V735" s="12" t="s">
        <v>37806</v>
      </c>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2"/>
    </row>
    <row r="736" spans="1:72">
      <c r="A736" s="2" t="s">
        <v>14692</v>
      </c>
      <c r="B736" s="5" t="s">
        <v>14698</v>
      </c>
      <c r="C736" s="3" t="s">
        <v>138</v>
      </c>
      <c r="D736" s="4" t="s">
        <v>14693</v>
      </c>
      <c r="E736" s="15" t="s">
        <v>966</v>
      </c>
      <c r="F736" s="15" t="s">
        <v>200</v>
      </c>
      <c r="G736" s="15" t="s">
        <v>162</v>
      </c>
      <c r="H736" s="7">
        <v>34</v>
      </c>
      <c r="I736" s="6" t="s">
        <v>14706</v>
      </c>
      <c r="J736" s="6" t="s">
        <v>39044</v>
      </c>
      <c r="K736" s="6" t="s">
        <v>41932</v>
      </c>
      <c r="L736" s="6" t="s">
        <v>39915</v>
      </c>
      <c r="M736" s="6" t="s">
        <v>41933</v>
      </c>
      <c r="N736" s="6" t="s">
        <v>40029</v>
      </c>
      <c r="O736" s="6" t="s">
        <v>41934</v>
      </c>
      <c r="P736" s="6" t="s">
        <v>40405</v>
      </c>
      <c r="Q736" s="6" t="s">
        <v>39670</v>
      </c>
      <c r="R736" s="6" t="s">
        <v>41935</v>
      </c>
      <c r="S736" s="6" t="s">
        <v>41936</v>
      </c>
      <c r="T736" s="6" t="s">
        <v>41937</v>
      </c>
      <c r="U736" s="6" t="s">
        <v>37787</v>
      </c>
      <c r="V736" s="6" t="s">
        <v>41938</v>
      </c>
      <c r="W736" s="6" t="s">
        <v>41939</v>
      </c>
      <c r="X736" s="6" t="s">
        <v>38944</v>
      </c>
      <c r="Y736" s="6" t="s">
        <v>41940</v>
      </c>
      <c r="Z736" s="6" t="s">
        <v>41941</v>
      </c>
      <c r="AA736" s="6" t="s">
        <v>37764</v>
      </c>
      <c r="AB736" s="6" t="s">
        <v>39676</v>
      </c>
      <c r="AC736" s="6" t="s">
        <v>41942</v>
      </c>
      <c r="AD736" s="6" t="s">
        <v>39325</v>
      </c>
      <c r="AE736" s="6" t="s">
        <v>37802</v>
      </c>
      <c r="AF736" s="6" t="s">
        <v>41943</v>
      </c>
      <c r="AG736" s="6" t="s">
        <v>41944</v>
      </c>
      <c r="AH736" s="6" t="s">
        <v>41945</v>
      </c>
      <c r="AI736" s="6" t="s">
        <v>41946</v>
      </c>
      <c r="AJ736" s="6" t="s">
        <v>41947</v>
      </c>
      <c r="AK736" s="6" t="s">
        <v>37804</v>
      </c>
      <c r="AL736" s="6" t="s">
        <v>41948</v>
      </c>
      <c r="AM736" s="6" t="s">
        <v>41949</v>
      </c>
      <c r="AN736" s="6" t="s">
        <v>38383</v>
      </c>
      <c r="AO736" s="6" t="s">
        <v>41950</v>
      </c>
      <c r="AP736" s="6" t="s">
        <v>41217</v>
      </c>
      <c r="AQ736" s="6" t="s">
        <v>41951</v>
      </c>
      <c r="AR736" s="6" t="s">
        <v>41952</v>
      </c>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row>
    <row r="737" spans="1:72">
      <c r="A737" s="8" t="s">
        <v>14712</v>
      </c>
      <c r="B737" s="11" t="s">
        <v>14716</v>
      </c>
      <c r="C737" s="9" t="s">
        <v>138</v>
      </c>
      <c r="D737" s="10" t="s">
        <v>138</v>
      </c>
      <c r="E737" s="28" t="s">
        <v>966</v>
      </c>
      <c r="F737" s="28" t="s">
        <v>200</v>
      </c>
      <c r="G737" s="28" t="s">
        <v>162</v>
      </c>
      <c r="H737" s="13">
        <v>10</v>
      </c>
      <c r="I737" s="12" t="s">
        <v>14726</v>
      </c>
      <c r="J737" s="12" t="s">
        <v>40549</v>
      </c>
      <c r="K737" s="12" t="s">
        <v>40875</v>
      </c>
      <c r="L737" s="12" t="s">
        <v>38316</v>
      </c>
      <c r="M737" s="12" t="s">
        <v>41953</v>
      </c>
      <c r="N737" s="12" t="s">
        <v>37786</v>
      </c>
      <c r="O737" s="12" t="s">
        <v>38991</v>
      </c>
      <c r="P737" s="12" t="s">
        <v>37883</v>
      </c>
      <c r="Q737" s="12" t="s">
        <v>38323</v>
      </c>
      <c r="R737" s="12" t="s">
        <v>38200</v>
      </c>
      <c r="S737" s="12" t="s">
        <v>38324</v>
      </c>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12"/>
      <c r="BH737" s="12"/>
      <c r="BI737" s="12"/>
      <c r="BJ737" s="12"/>
      <c r="BK737" s="12"/>
      <c r="BL737" s="12"/>
      <c r="BM737" s="12"/>
      <c r="BN737" s="12"/>
      <c r="BO737" s="12"/>
      <c r="BP737" s="12"/>
      <c r="BQ737" s="12"/>
      <c r="BR737" s="12"/>
      <c r="BS737" s="12"/>
      <c r="BT737" s="12"/>
    </row>
    <row r="738" spans="1:72">
      <c r="A738" s="2" t="s">
        <v>14730</v>
      </c>
      <c r="B738" s="5" t="s">
        <v>14736</v>
      </c>
      <c r="C738" s="3" t="s">
        <v>14731</v>
      </c>
      <c r="D738" s="4" t="s">
        <v>138</v>
      </c>
      <c r="E738" s="15" t="s">
        <v>668</v>
      </c>
      <c r="F738" s="15" t="s">
        <v>200</v>
      </c>
      <c r="G738" s="15" t="s">
        <v>162</v>
      </c>
      <c r="H738" s="7">
        <v>36</v>
      </c>
      <c r="I738" s="6" t="s">
        <v>14745</v>
      </c>
      <c r="J738" s="6" t="s">
        <v>41954</v>
      </c>
      <c r="K738" s="6" t="s">
        <v>41955</v>
      </c>
      <c r="L738" s="6" t="s">
        <v>38569</v>
      </c>
      <c r="M738" s="6" t="s">
        <v>41956</v>
      </c>
      <c r="N738" s="6" t="s">
        <v>41957</v>
      </c>
      <c r="O738" s="6" t="s">
        <v>41958</v>
      </c>
      <c r="P738" s="6" t="s">
        <v>39470</v>
      </c>
      <c r="Q738" s="6" t="s">
        <v>41211</v>
      </c>
      <c r="R738" s="6" t="s">
        <v>41959</v>
      </c>
      <c r="S738" s="6" t="s">
        <v>40878</v>
      </c>
      <c r="T738" s="6" t="s">
        <v>37985</v>
      </c>
      <c r="U738" s="6" t="s">
        <v>40299</v>
      </c>
      <c r="V738" s="6" t="s">
        <v>41960</v>
      </c>
      <c r="W738" s="6" t="s">
        <v>38113</v>
      </c>
      <c r="X738" s="6" t="s">
        <v>41961</v>
      </c>
      <c r="Y738" s="6" t="s">
        <v>40181</v>
      </c>
      <c r="Z738" s="6" t="s">
        <v>37786</v>
      </c>
      <c r="AA738" s="6" t="s">
        <v>39900</v>
      </c>
      <c r="AB738" s="6" t="s">
        <v>38525</v>
      </c>
      <c r="AC738" s="6" t="s">
        <v>41962</v>
      </c>
      <c r="AD738" s="6" t="s">
        <v>41963</v>
      </c>
      <c r="AE738" s="6" t="s">
        <v>41964</v>
      </c>
      <c r="AF738" s="6" t="s">
        <v>37960</v>
      </c>
      <c r="AG738" s="6" t="s">
        <v>41965</v>
      </c>
      <c r="AH738" s="6" t="s">
        <v>41966</v>
      </c>
      <c r="AI738" s="6" t="s">
        <v>38369</v>
      </c>
      <c r="AJ738" s="6" t="s">
        <v>40219</v>
      </c>
      <c r="AK738" s="6" t="s">
        <v>41967</v>
      </c>
      <c r="AL738" s="6" t="s">
        <v>40961</v>
      </c>
      <c r="AM738" s="6" t="s">
        <v>41968</v>
      </c>
      <c r="AN738" s="6" t="s">
        <v>41191</v>
      </c>
      <c r="AO738" s="6" t="s">
        <v>41420</v>
      </c>
      <c r="AP738" s="6" t="s">
        <v>38065</v>
      </c>
      <c r="AQ738" s="6" t="s">
        <v>37783</v>
      </c>
      <c r="AR738" s="6" t="s">
        <v>41969</v>
      </c>
      <c r="AS738" s="6" t="s">
        <v>41970</v>
      </c>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row>
    <row r="739" spans="1:72">
      <c r="A739" s="8" t="s">
        <v>14750</v>
      </c>
      <c r="B739" s="11" t="s">
        <v>14756</v>
      </c>
      <c r="C739" s="9" t="s">
        <v>14751</v>
      </c>
      <c r="D739" s="10" t="s">
        <v>138</v>
      </c>
      <c r="E739" s="28" t="s">
        <v>3820</v>
      </c>
      <c r="F739" s="28" t="s">
        <v>864</v>
      </c>
      <c r="G739" s="28" t="s">
        <v>162</v>
      </c>
      <c r="H739" s="13">
        <v>13</v>
      </c>
      <c r="I739" s="12" t="s">
        <v>14765</v>
      </c>
      <c r="J739" s="12" t="s">
        <v>38519</v>
      </c>
      <c r="K739" s="12" t="s">
        <v>39001</v>
      </c>
      <c r="L739" s="12" t="s">
        <v>39849</v>
      </c>
      <c r="M739" s="12" t="s">
        <v>38011</v>
      </c>
      <c r="N739" s="12" t="s">
        <v>40612</v>
      </c>
      <c r="O739" s="12" t="s">
        <v>41971</v>
      </c>
      <c r="P739" s="12" t="s">
        <v>39395</v>
      </c>
      <c r="Q739" s="12" t="s">
        <v>41972</v>
      </c>
      <c r="R739" s="12" t="s">
        <v>41167</v>
      </c>
      <c r="S739" s="12" t="s">
        <v>38528</v>
      </c>
      <c r="T739" s="12" t="s">
        <v>41973</v>
      </c>
      <c r="U739" s="12" t="s">
        <v>38029</v>
      </c>
      <c r="V739" s="12" t="s">
        <v>41974</v>
      </c>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row>
    <row r="740" spans="1:72">
      <c r="A740" s="2" t="s">
        <v>14769</v>
      </c>
      <c r="B740" s="5" t="s">
        <v>14775</v>
      </c>
      <c r="C740" s="3" t="s">
        <v>138</v>
      </c>
      <c r="D740" s="4" t="s">
        <v>138</v>
      </c>
      <c r="E740" s="15" t="s">
        <v>5720</v>
      </c>
      <c r="F740" s="15" t="s">
        <v>138</v>
      </c>
      <c r="G740" s="15" t="s">
        <v>946</v>
      </c>
      <c r="H740" s="7">
        <v>15</v>
      </c>
      <c r="I740" s="6" t="s">
        <v>14786</v>
      </c>
      <c r="J740" s="6" t="s">
        <v>41975</v>
      </c>
      <c r="K740" s="6" t="s">
        <v>41976</v>
      </c>
      <c r="L740" s="6" t="s">
        <v>41977</v>
      </c>
      <c r="M740" s="6" t="s">
        <v>41978</v>
      </c>
      <c r="N740" s="6" t="s">
        <v>41979</v>
      </c>
      <c r="O740" s="6" t="s">
        <v>41980</v>
      </c>
      <c r="P740" s="6" t="s">
        <v>41981</v>
      </c>
      <c r="Q740" s="6" t="s">
        <v>41982</v>
      </c>
      <c r="R740" s="6" t="s">
        <v>41983</v>
      </c>
      <c r="S740" s="6" t="s">
        <v>41984</v>
      </c>
      <c r="T740" s="6" t="s">
        <v>41985</v>
      </c>
      <c r="U740" s="6" t="s">
        <v>41986</v>
      </c>
      <c r="V740" s="6" t="s">
        <v>38715</v>
      </c>
      <c r="W740" s="6" t="s">
        <v>38196</v>
      </c>
      <c r="X740" s="6" t="s">
        <v>41987</v>
      </c>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row>
    <row r="741" spans="1:72">
      <c r="A741" s="8" t="s">
        <v>14790</v>
      </c>
      <c r="B741" s="11" t="s">
        <v>14796</v>
      </c>
      <c r="C741" s="9" t="s">
        <v>138</v>
      </c>
      <c r="D741" s="10" t="s">
        <v>138</v>
      </c>
      <c r="E741" s="28" t="s">
        <v>14805</v>
      </c>
      <c r="F741" s="28" t="s">
        <v>138</v>
      </c>
      <c r="G741" s="28" t="s">
        <v>14806</v>
      </c>
      <c r="H741" s="13">
        <v>23</v>
      </c>
      <c r="I741" s="12" t="s">
        <v>14810</v>
      </c>
      <c r="J741" s="12" t="s">
        <v>41988</v>
      </c>
      <c r="K741" s="12" t="s">
        <v>41989</v>
      </c>
      <c r="L741" s="12" t="s">
        <v>37819</v>
      </c>
      <c r="M741" s="12" t="s">
        <v>41990</v>
      </c>
      <c r="N741" s="12" t="s">
        <v>41991</v>
      </c>
      <c r="O741" s="12" t="s">
        <v>41992</v>
      </c>
      <c r="P741" s="12" t="s">
        <v>41993</v>
      </c>
      <c r="Q741" s="12" t="s">
        <v>37958</v>
      </c>
      <c r="R741" s="12" t="s">
        <v>41994</v>
      </c>
      <c r="S741" s="12" t="s">
        <v>41995</v>
      </c>
      <c r="T741" s="12" t="s">
        <v>41996</v>
      </c>
      <c r="U741" s="12" t="s">
        <v>41997</v>
      </c>
      <c r="V741" s="12" t="s">
        <v>41998</v>
      </c>
      <c r="W741" s="12" t="s">
        <v>41999</v>
      </c>
      <c r="X741" s="12" t="s">
        <v>42000</v>
      </c>
      <c r="Y741" s="12" t="s">
        <v>37806</v>
      </c>
      <c r="Z741" s="12" t="s">
        <v>42001</v>
      </c>
      <c r="AA741" s="12" t="s">
        <v>40446</v>
      </c>
      <c r="AB741" s="12" t="s">
        <v>42002</v>
      </c>
      <c r="AC741" s="12" t="s">
        <v>42003</v>
      </c>
      <c r="AD741" s="12" t="s">
        <v>42004</v>
      </c>
      <c r="AE741" s="12" t="s">
        <v>38196</v>
      </c>
      <c r="AF741" s="12" t="s">
        <v>37976</v>
      </c>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row>
    <row r="742" spans="1:72">
      <c r="A742" s="2" t="s">
        <v>14813</v>
      </c>
      <c r="B742" s="5" t="s">
        <v>14818</v>
      </c>
      <c r="C742" s="3" t="s">
        <v>138</v>
      </c>
      <c r="D742" s="4" t="s">
        <v>138</v>
      </c>
      <c r="E742" s="15" t="s">
        <v>668</v>
      </c>
      <c r="F742" s="15" t="s">
        <v>200</v>
      </c>
      <c r="G742" s="15" t="s">
        <v>162</v>
      </c>
      <c r="H742" s="7">
        <v>34</v>
      </c>
      <c r="I742" s="6" t="s">
        <v>14827</v>
      </c>
      <c r="J742" s="6" t="s">
        <v>42005</v>
      </c>
      <c r="K742" s="6" t="s">
        <v>39434</v>
      </c>
      <c r="L742" s="6" t="s">
        <v>42006</v>
      </c>
      <c r="M742" s="6" t="s">
        <v>38209</v>
      </c>
      <c r="N742" s="6" t="s">
        <v>40516</v>
      </c>
      <c r="O742" s="6" t="s">
        <v>42007</v>
      </c>
      <c r="P742" s="6" t="s">
        <v>37798</v>
      </c>
      <c r="Q742" s="6" t="s">
        <v>42008</v>
      </c>
      <c r="R742" s="6" t="s">
        <v>42009</v>
      </c>
      <c r="S742" s="6" t="s">
        <v>42010</v>
      </c>
      <c r="T742" s="6" t="s">
        <v>39097</v>
      </c>
      <c r="U742" s="6" t="s">
        <v>42011</v>
      </c>
      <c r="V742" s="6" t="s">
        <v>38114</v>
      </c>
      <c r="W742" s="6" t="s">
        <v>38203</v>
      </c>
      <c r="X742" s="6" t="s">
        <v>42012</v>
      </c>
      <c r="Y742" s="6" t="s">
        <v>42013</v>
      </c>
      <c r="Z742" s="6" t="s">
        <v>38357</v>
      </c>
      <c r="AA742" s="6" t="s">
        <v>38642</v>
      </c>
      <c r="AB742" s="6" t="s">
        <v>42014</v>
      </c>
      <c r="AC742" s="6" t="s">
        <v>38748</v>
      </c>
      <c r="AD742" s="6" t="s">
        <v>42015</v>
      </c>
      <c r="AE742" s="6" t="s">
        <v>39693</v>
      </c>
      <c r="AF742" s="6" t="s">
        <v>39524</v>
      </c>
      <c r="AG742" s="6" t="s">
        <v>42000</v>
      </c>
      <c r="AH742" s="6" t="s">
        <v>38954</v>
      </c>
      <c r="AI742" s="6" t="s">
        <v>42016</v>
      </c>
      <c r="AJ742" s="6" t="s">
        <v>41130</v>
      </c>
      <c r="AK742" s="6" t="s">
        <v>42017</v>
      </c>
      <c r="AL742" s="6" t="s">
        <v>42018</v>
      </c>
      <c r="AM742" s="6" t="s">
        <v>39696</v>
      </c>
      <c r="AN742" s="6" t="s">
        <v>42019</v>
      </c>
      <c r="AO742" s="6" t="s">
        <v>38157</v>
      </c>
      <c r="AP742" s="6" t="s">
        <v>42020</v>
      </c>
      <c r="AQ742" s="6" t="s">
        <v>40525</v>
      </c>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row>
    <row r="743" spans="1:72">
      <c r="A743" s="8" t="s">
        <v>14831</v>
      </c>
      <c r="B743" s="11" t="s">
        <v>14835</v>
      </c>
      <c r="C743" s="9" t="s">
        <v>138</v>
      </c>
      <c r="D743" s="10" t="s">
        <v>138</v>
      </c>
      <c r="E743" s="28" t="s">
        <v>426</v>
      </c>
      <c r="F743" s="28" t="s">
        <v>426</v>
      </c>
      <c r="G743" s="28" t="s">
        <v>162</v>
      </c>
      <c r="H743" s="13">
        <v>21</v>
      </c>
      <c r="I743" s="12" t="s">
        <v>14844</v>
      </c>
      <c r="J743" s="12" t="s">
        <v>42021</v>
      </c>
      <c r="K743" s="12" t="s">
        <v>40194</v>
      </c>
      <c r="L743" s="12" t="s">
        <v>42022</v>
      </c>
      <c r="M743" s="12" t="s">
        <v>42023</v>
      </c>
      <c r="N743" s="12" t="s">
        <v>41894</v>
      </c>
      <c r="O743" s="12" t="s">
        <v>42024</v>
      </c>
      <c r="P743" s="12" t="s">
        <v>42025</v>
      </c>
      <c r="Q743" s="12" t="s">
        <v>42026</v>
      </c>
      <c r="R743" s="12" t="s">
        <v>39964</v>
      </c>
      <c r="S743" s="12" t="s">
        <v>38335</v>
      </c>
      <c r="T743" s="12" t="s">
        <v>41633</v>
      </c>
      <c r="U743" s="12" t="s">
        <v>42027</v>
      </c>
      <c r="V743" s="12" t="s">
        <v>39866</v>
      </c>
      <c r="W743" s="12" t="s">
        <v>38184</v>
      </c>
      <c r="X743" s="12" t="s">
        <v>41850</v>
      </c>
      <c r="Y743" s="12" t="s">
        <v>42028</v>
      </c>
      <c r="Z743" s="12" t="s">
        <v>42029</v>
      </c>
      <c r="AA743" s="12" t="s">
        <v>42030</v>
      </c>
      <c r="AB743" s="12" t="s">
        <v>38145</v>
      </c>
      <c r="AC743" s="12" t="s">
        <v>38756</v>
      </c>
      <c r="AD743" s="12" t="s">
        <v>42031</v>
      </c>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row>
    <row r="744" spans="1:72">
      <c r="A744" s="2" t="s">
        <v>14849</v>
      </c>
      <c r="B744" s="5" t="s">
        <v>14853</v>
      </c>
      <c r="C744" s="3" t="s">
        <v>138</v>
      </c>
      <c r="D744" s="4" t="s">
        <v>138</v>
      </c>
      <c r="E744" s="15" t="s">
        <v>310</v>
      </c>
      <c r="F744" s="15" t="s">
        <v>200</v>
      </c>
      <c r="G744" s="15" t="s">
        <v>162</v>
      </c>
      <c r="H744" s="7">
        <v>19</v>
      </c>
      <c r="I744" s="6" t="s">
        <v>14861</v>
      </c>
      <c r="J744" s="6" t="s">
        <v>37811</v>
      </c>
      <c r="K744" s="6" t="s">
        <v>40343</v>
      </c>
      <c r="L744" s="6" t="s">
        <v>42032</v>
      </c>
      <c r="M744" s="6" t="s">
        <v>38299</v>
      </c>
      <c r="N744" s="6" t="s">
        <v>42033</v>
      </c>
      <c r="O744" s="6" t="s">
        <v>40657</v>
      </c>
      <c r="P744" s="6" t="s">
        <v>39917</v>
      </c>
      <c r="Q744" s="6" t="s">
        <v>37822</v>
      </c>
      <c r="R744" s="6" t="s">
        <v>37787</v>
      </c>
      <c r="S744" s="6" t="s">
        <v>38492</v>
      </c>
      <c r="T744" s="6" t="s">
        <v>38334</v>
      </c>
      <c r="U744" s="6" t="s">
        <v>38655</v>
      </c>
      <c r="V744" s="6" t="s">
        <v>42034</v>
      </c>
      <c r="W744" s="6" t="s">
        <v>42035</v>
      </c>
      <c r="X744" s="6" t="s">
        <v>41372</v>
      </c>
      <c r="Y744" s="6" t="s">
        <v>38907</v>
      </c>
      <c r="Z744" s="6" t="s">
        <v>38294</v>
      </c>
      <c r="AA744" s="6" t="s">
        <v>40049</v>
      </c>
      <c r="AB744" s="6" t="s">
        <v>38706</v>
      </c>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row>
    <row r="745" spans="1:72">
      <c r="A745" s="8" t="s">
        <v>14866</v>
      </c>
      <c r="B745" s="11" t="s">
        <v>14871</v>
      </c>
      <c r="C745" s="9" t="s">
        <v>14867</v>
      </c>
      <c r="D745" s="10" t="s">
        <v>138</v>
      </c>
      <c r="E745" s="28" t="s">
        <v>14881</v>
      </c>
      <c r="F745" s="28" t="s">
        <v>371</v>
      </c>
      <c r="G745" s="28" t="s">
        <v>162</v>
      </c>
      <c r="H745" s="13">
        <v>2</v>
      </c>
      <c r="I745" s="12" t="s">
        <v>14885</v>
      </c>
      <c r="J745" s="12" t="s">
        <v>42036</v>
      </c>
      <c r="K745" s="12" t="s">
        <v>37788</v>
      </c>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2"/>
    </row>
    <row r="746" spans="1:72">
      <c r="A746" s="2" t="s">
        <v>14889</v>
      </c>
      <c r="B746" s="5" t="s">
        <v>14894</v>
      </c>
      <c r="C746" s="3" t="s">
        <v>138</v>
      </c>
      <c r="D746" s="4" t="s">
        <v>138</v>
      </c>
      <c r="E746" s="15" t="s">
        <v>668</v>
      </c>
      <c r="F746" s="15" t="s">
        <v>200</v>
      </c>
      <c r="G746" s="15" t="s">
        <v>162</v>
      </c>
      <c r="H746" s="7">
        <v>26</v>
      </c>
      <c r="I746" s="6" t="s">
        <v>14901</v>
      </c>
      <c r="J746" s="6" t="s">
        <v>38519</v>
      </c>
      <c r="K746" s="6" t="s">
        <v>37934</v>
      </c>
      <c r="L746" s="6" t="s">
        <v>38776</v>
      </c>
      <c r="M746" s="6" t="s">
        <v>38520</v>
      </c>
      <c r="N746" s="6" t="s">
        <v>38569</v>
      </c>
      <c r="O746" s="6" t="s">
        <v>38412</v>
      </c>
      <c r="P746" s="6" t="s">
        <v>42037</v>
      </c>
      <c r="Q746" s="6" t="s">
        <v>40148</v>
      </c>
      <c r="R746" s="6" t="s">
        <v>42038</v>
      </c>
      <c r="S746" s="6" t="s">
        <v>37948</v>
      </c>
      <c r="T746" s="6" t="s">
        <v>38721</v>
      </c>
      <c r="U746" s="6" t="s">
        <v>37786</v>
      </c>
      <c r="V746" s="6" t="s">
        <v>37952</v>
      </c>
      <c r="W746" s="6" t="s">
        <v>42039</v>
      </c>
      <c r="X746" s="6" t="s">
        <v>42040</v>
      </c>
      <c r="Y746" s="6" t="s">
        <v>42041</v>
      </c>
      <c r="Z746" s="6" t="s">
        <v>42042</v>
      </c>
      <c r="AA746" s="6" t="s">
        <v>37992</v>
      </c>
      <c r="AB746" s="6" t="s">
        <v>38645</v>
      </c>
      <c r="AC746" s="6" t="s">
        <v>38981</v>
      </c>
      <c r="AD746" s="6" t="s">
        <v>42043</v>
      </c>
      <c r="AE746" s="6" t="s">
        <v>38954</v>
      </c>
      <c r="AF746" s="6" t="s">
        <v>37783</v>
      </c>
      <c r="AG746" s="6" t="s">
        <v>37885</v>
      </c>
      <c r="AH746" s="6" t="s">
        <v>41777</v>
      </c>
      <c r="AI746" s="6" t="s">
        <v>39713</v>
      </c>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row>
    <row r="747" spans="1:72">
      <c r="A747" s="8" t="s">
        <v>14905</v>
      </c>
      <c r="B747" s="11" t="s">
        <v>14912</v>
      </c>
      <c r="C747" s="9" t="s">
        <v>14906</v>
      </c>
      <c r="D747" s="10" t="s">
        <v>138</v>
      </c>
      <c r="E747" s="28" t="s">
        <v>2005</v>
      </c>
      <c r="F747" s="28" t="s">
        <v>200</v>
      </c>
      <c r="G747" s="28" t="s">
        <v>162</v>
      </c>
      <c r="H747" s="13">
        <v>16</v>
      </c>
      <c r="I747" s="12" t="s">
        <v>14923</v>
      </c>
      <c r="J747" s="12" t="s">
        <v>42044</v>
      </c>
      <c r="K747" s="12" t="s">
        <v>42045</v>
      </c>
      <c r="L747" s="12" t="s">
        <v>39917</v>
      </c>
      <c r="M747" s="12" t="s">
        <v>41431</v>
      </c>
      <c r="N747" s="12" t="s">
        <v>42046</v>
      </c>
      <c r="O747" s="12" t="s">
        <v>38199</v>
      </c>
      <c r="P747" s="12" t="s">
        <v>38696</v>
      </c>
      <c r="Q747" s="12" t="s">
        <v>42047</v>
      </c>
      <c r="R747" s="12" t="s">
        <v>42048</v>
      </c>
      <c r="S747" s="12" t="s">
        <v>38689</v>
      </c>
      <c r="T747" s="12" t="s">
        <v>37789</v>
      </c>
      <c r="U747" s="12" t="s">
        <v>42049</v>
      </c>
      <c r="V747" s="12" t="s">
        <v>38775</v>
      </c>
      <c r="W747" s="12" t="s">
        <v>42050</v>
      </c>
      <c r="X747" s="12" t="s">
        <v>42051</v>
      </c>
      <c r="Y747" s="12" t="s">
        <v>41556</v>
      </c>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2"/>
    </row>
    <row r="748" spans="1:72">
      <c r="A748" s="2" t="s">
        <v>14928</v>
      </c>
      <c r="B748" s="5" t="s">
        <v>14933</v>
      </c>
      <c r="C748" s="3" t="s">
        <v>14929</v>
      </c>
      <c r="D748" s="4" t="s">
        <v>138</v>
      </c>
      <c r="E748" s="15" t="s">
        <v>4900</v>
      </c>
      <c r="F748" s="15" t="s">
        <v>200</v>
      </c>
      <c r="G748" s="15" t="s">
        <v>162</v>
      </c>
      <c r="H748" s="7">
        <v>16</v>
      </c>
      <c r="I748" s="6" t="s">
        <v>14940</v>
      </c>
      <c r="J748" s="6" t="s">
        <v>42052</v>
      </c>
      <c r="K748" s="6" t="s">
        <v>42053</v>
      </c>
      <c r="L748" s="6" t="s">
        <v>38354</v>
      </c>
      <c r="M748" s="6" t="s">
        <v>42054</v>
      </c>
      <c r="N748" s="6" t="s">
        <v>42055</v>
      </c>
      <c r="O748" s="6" t="s">
        <v>42056</v>
      </c>
      <c r="P748" s="6" t="s">
        <v>42057</v>
      </c>
      <c r="Q748" s="6" t="s">
        <v>42058</v>
      </c>
      <c r="R748" s="6" t="s">
        <v>42059</v>
      </c>
      <c r="S748" s="6" t="s">
        <v>42060</v>
      </c>
      <c r="T748" s="6" t="s">
        <v>42061</v>
      </c>
      <c r="U748" s="6" t="s">
        <v>42062</v>
      </c>
      <c r="V748" s="6" t="s">
        <v>42063</v>
      </c>
      <c r="W748" s="6" t="s">
        <v>42064</v>
      </c>
      <c r="X748" s="6" t="s">
        <v>39086</v>
      </c>
      <c r="Y748" s="6" t="s">
        <v>39686</v>
      </c>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row>
    <row r="749" spans="1:72">
      <c r="A749" s="8" t="s">
        <v>14944</v>
      </c>
      <c r="B749" s="11" t="s">
        <v>14948</v>
      </c>
      <c r="C749" s="9" t="s">
        <v>138</v>
      </c>
      <c r="D749" s="10" t="s">
        <v>138</v>
      </c>
      <c r="E749" s="28" t="s">
        <v>14954</v>
      </c>
      <c r="F749" s="28" t="s">
        <v>1146</v>
      </c>
      <c r="G749" s="28" t="s">
        <v>162</v>
      </c>
      <c r="H749" s="13">
        <v>6</v>
      </c>
      <c r="I749" s="12" t="s">
        <v>14959</v>
      </c>
      <c r="J749" s="12" t="s">
        <v>42065</v>
      </c>
      <c r="K749" s="12" t="s">
        <v>42066</v>
      </c>
      <c r="L749" s="12" t="s">
        <v>38011</v>
      </c>
      <c r="M749" s="12" t="s">
        <v>39177</v>
      </c>
      <c r="N749" s="12" t="s">
        <v>42067</v>
      </c>
      <c r="O749" s="12" t="s">
        <v>41269</v>
      </c>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2"/>
    </row>
    <row r="750" spans="1:72">
      <c r="A750" s="2" t="s">
        <v>14962</v>
      </c>
      <c r="B750" s="5" t="s">
        <v>14966</v>
      </c>
      <c r="C750" s="3" t="s">
        <v>138</v>
      </c>
      <c r="D750" s="4" t="s">
        <v>138</v>
      </c>
      <c r="E750" s="15" t="s">
        <v>14975</v>
      </c>
      <c r="F750" s="15" t="s">
        <v>864</v>
      </c>
      <c r="G750" s="15" t="s">
        <v>162</v>
      </c>
      <c r="H750" s="7">
        <v>6</v>
      </c>
      <c r="I750" s="6" t="s">
        <v>14980</v>
      </c>
      <c r="J750" s="6" t="s">
        <v>25820</v>
      </c>
      <c r="K750" s="6" t="s">
        <v>42068</v>
      </c>
      <c r="L750" s="6" t="s">
        <v>42069</v>
      </c>
      <c r="M750" s="6" t="s">
        <v>42070</v>
      </c>
      <c r="N750" s="6" t="s">
        <v>42071</v>
      </c>
      <c r="O750" s="6" t="s">
        <v>42072</v>
      </c>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row>
    <row r="751" spans="1:72">
      <c r="A751" s="8" t="s">
        <v>14984</v>
      </c>
      <c r="B751" s="11" t="s">
        <v>14988</v>
      </c>
      <c r="C751" s="9" t="s">
        <v>138</v>
      </c>
      <c r="D751" s="10" t="s">
        <v>138</v>
      </c>
      <c r="E751" s="28" t="s">
        <v>1198</v>
      </c>
      <c r="F751" s="28" t="s">
        <v>138</v>
      </c>
      <c r="G751" s="28" t="s">
        <v>1200</v>
      </c>
      <c r="H751" s="13">
        <v>1</v>
      </c>
      <c r="I751" s="12" t="s">
        <v>3186</v>
      </c>
      <c r="J751" s="12" t="s">
        <v>3186</v>
      </c>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row>
    <row r="752" spans="1:72">
      <c r="A752" s="2" t="s">
        <v>14999</v>
      </c>
      <c r="B752" s="5" t="s">
        <v>15004</v>
      </c>
      <c r="C752" s="3" t="s">
        <v>15000</v>
      </c>
      <c r="D752" s="4" t="s">
        <v>15001</v>
      </c>
      <c r="E752" s="15" t="s">
        <v>1317</v>
      </c>
      <c r="F752" s="15" t="s">
        <v>138</v>
      </c>
      <c r="G752" s="15" t="s">
        <v>1319</v>
      </c>
      <c r="H752" s="7">
        <v>4</v>
      </c>
      <c r="I752" s="6" t="s">
        <v>15013</v>
      </c>
      <c r="J752" s="6" t="s">
        <v>42073</v>
      </c>
      <c r="K752" s="6" t="s">
        <v>38926</v>
      </c>
      <c r="L752" s="6" t="s">
        <v>38371</v>
      </c>
      <c r="M752" s="6" t="s">
        <v>38054</v>
      </c>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row>
    <row r="753" spans="1:72">
      <c r="A753" s="8" t="s">
        <v>15016</v>
      </c>
      <c r="B753" s="11" t="s">
        <v>15022</v>
      </c>
      <c r="C753" s="9" t="s">
        <v>15017</v>
      </c>
      <c r="D753" s="10" t="s">
        <v>138</v>
      </c>
      <c r="E753" s="28" t="s">
        <v>668</v>
      </c>
      <c r="F753" s="28" t="s">
        <v>200</v>
      </c>
      <c r="G753" s="28" t="s">
        <v>162</v>
      </c>
      <c r="H753" s="13">
        <v>15</v>
      </c>
      <c r="I753" s="12" t="s">
        <v>15032</v>
      </c>
      <c r="J753" s="12" t="s">
        <v>39029</v>
      </c>
      <c r="K753" s="12" t="s">
        <v>37936</v>
      </c>
      <c r="L753" s="12" t="s">
        <v>41171</v>
      </c>
      <c r="M753" s="12" t="s">
        <v>41932</v>
      </c>
      <c r="N753" s="12" t="s">
        <v>42074</v>
      </c>
      <c r="O753" s="12" t="s">
        <v>37982</v>
      </c>
      <c r="P753" s="12" t="s">
        <v>37986</v>
      </c>
      <c r="Q753" s="12" t="s">
        <v>38803</v>
      </c>
      <c r="R753" s="12" t="s">
        <v>40531</v>
      </c>
      <c r="S753" s="12" t="s">
        <v>37952</v>
      </c>
      <c r="T753" s="12" t="s">
        <v>38062</v>
      </c>
      <c r="U753" s="12" t="s">
        <v>37883</v>
      </c>
      <c r="V753" s="12" t="s">
        <v>41565</v>
      </c>
      <c r="W753" s="12" t="s">
        <v>37901</v>
      </c>
      <c r="X753" s="12" t="s">
        <v>38383</v>
      </c>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row>
    <row r="754" spans="1:72">
      <c r="A754" s="2" t="s">
        <v>15035</v>
      </c>
      <c r="B754" s="5" t="s">
        <v>15039</v>
      </c>
      <c r="C754" s="3" t="s">
        <v>138</v>
      </c>
      <c r="D754" s="4" t="s">
        <v>138</v>
      </c>
      <c r="E754" s="15" t="s">
        <v>823</v>
      </c>
      <c r="F754" s="15" t="s">
        <v>824</v>
      </c>
      <c r="G754" s="15" t="s">
        <v>526</v>
      </c>
      <c r="H754" s="7">
        <v>1</v>
      </c>
      <c r="I754" s="6" t="s">
        <v>15045</v>
      </c>
      <c r="J754" s="6" t="s">
        <v>15045</v>
      </c>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row>
    <row r="755" spans="1:72">
      <c r="A755" s="8" t="s">
        <v>15048</v>
      </c>
      <c r="B755" s="11" t="s">
        <v>15052</v>
      </c>
      <c r="C755" s="9" t="s">
        <v>138</v>
      </c>
      <c r="D755" s="10" t="s">
        <v>138</v>
      </c>
      <c r="E755" s="28" t="s">
        <v>473</v>
      </c>
      <c r="F755" s="28" t="s">
        <v>474</v>
      </c>
      <c r="G755" s="28" t="s">
        <v>162</v>
      </c>
      <c r="H755" s="13">
        <v>3</v>
      </c>
      <c r="I755" s="12" t="s">
        <v>14231</v>
      </c>
      <c r="J755" s="12" t="s">
        <v>28864</v>
      </c>
      <c r="K755" s="12" t="s">
        <v>38371</v>
      </c>
      <c r="L755" s="12" t="s">
        <v>38054</v>
      </c>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row>
    <row r="756" spans="1:72">
      <c r="A756" s="2" t="s">
        <v>15059</v>
      </c>
      <c r="B756" s="5" t="s">
        <v>15064</v>
      </c>
      <c r="C756" s="3" t="s">
        <v>138</v>
      </c>
      <c r="D756" s="4" t="s">
        <v>138</v>
      </c>
      <c r="E756" s="15" t="s">
        <v>2931</v>
      </c>
      <c r="F756" s="15" t="s">
        <v>200</v>
      </c>
      <c r="G756" s="15" t="s">
        <v>162</v>
      </c>
      <c r="H756" s="7">
        <v>5</v>
      </c>
      <c r="I756" s="6" t="s">
        <v>15073</v>
      </c>
      <c r="J756" s="6" t="s">
        <v>37771</v>
      </c>
      <c r="K756" s="6" t="s">
        <v>42075</v>
      </c>
      <c r="L756" s="6" t="s">
        <v>38184</v>
      </c>
      <c r="M756" s="6" t="s">
        <v>39664</v>
      </c>
      <c r="N756" s="6" t="s">
        <v>42076</v>
      </c>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row>
    <row r="757" spans="1:72">
      <c r="A757" s="8" t="s">
        <v>15076</v>
      </c>
      <c r="B757" s="11" t="s">
        <v>15081</v>
      </c>
      <c r="C757" s="9" t="s">
        <v>15077</v>
      </c>
      <c r="D757" s="10" t="s">
        <v>138</v>
      </c>
      <c r="E757" s="28" t="s">
        <v>2651</v>
      </c>
      <c r="F757" s="28" t="s">
        <v>200</v>
      </c>
      <c r="G757" s="28" t="s">
        <v>162</v>
      </c>
      <c r="H757" s="13">
        <v>10</v>
      </c>
      <c r="I757" s="12" t="s">
        <v>15092</v>
      </c>
      <c r="J757" s="12" t="s">
        <v>42077</v>
      </c>
      <c r="K757" s="12" t="s">
        <v>39020</v>
      </c>
      <c r="L757" s="12" t="s">
        <v>38914</v>
      </c>
      <c r="M757" s="12" t="s">
        <v>37960</v>
      </c>
      <c r="N757" s="12" t="s">
        <v>42078</v>
      </c>
      <c r="O757" s="12" t="s">
        <v>39290</v>
      </c>
      <c r="P757" s="12" t="s">
        <v>39028</v>
      </c>
      <c r="Q757" s="12" t="s">
        <v>38335</v>
      </c>
      <c r="R757" s="12" t="s">
        <v>40242</v>
      </c>
      <c r="S757" s="12" t="s">
        <v>38705</v>
      </c>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row>
    <row r="758" spans="1:72">
      <c r="A758" s="2" t="s">
        <v>15095</v>
      </c>
      <c r="B758" s="5" t="s">
        <v>15101</v>
      </c>
      <c r="C758" s="3" t="s">
        <v>15096</v>
      </c>
      <c r="D758" s="4" t="s">
        <v>15097</v>
      </c>
      <c r="E758" s="15" t="s">
        <v>15109</v>
      </c>
      <c r="F758" s="15" t="s">
        <v>15110</v>
      </c>
      <c r="G758" s="15" t="s">
        <v>2742</v>
      </c>
      <c r="H758" s="7">
        <v>3</v>
      </c>
      <c r="I758" s="6" t="s">
        <v>15116</v>
      </c>
      <c r="J758" s="6" t="s">
        <v>18057</v>
      </c>
      <c r="K758" s="6" t="s">
        <v>37898</v>
      </c>
      <c r="L758" s="6" t="s">
        <v>41485</v>
      </c>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row>
    <row r="759" spans="1:72">
      <c r="A759" s="8" t="s">
        <v>15121</v>
      </c>
      <c r="B759" s="11" t="s">
        <v>15127</v>
      </c>
      <c r="C759" s="9" t="s">
        <v>15122</v>
      </c>
      <c r="D759" s="10" t="s">
        <v>138</v>
      </c>
      <c r="E759" s="28" t="s">
        <v>426</v>
      </c>
      <c r="F759" s="28" t="s">
        <v>426</v>
      </c>
      <c r="G759" s="28" t="s">
        <v>162</v>
      </c>
      <c r="H759" s="13">
        <v>7</v>
      </c>
      <c r="I759" s="12" t="s">
        <v>15137</v>
      </c>
      <c r="J759" s="12" t="s">
        <v>42079</v>
      </c>
      <c r="K759" s="12" t="s">
        <v>42080</v>
      </c>
      <c r="L759" s="12" t="s">
        <v>42081</v>
      </c>
      <c r="M759" s="12" t="s">
        <v>38277</v>
      </c>
      <c r="N759" s="12" t="s">
        <v>40755</v>
      </c>
      <c r="O759" s="12" t="s">
        <v>37931</v>
      </c>
      <c r="P759" s="12" t="s">
        <v>40134</v>
      </c>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row>
    <row r="760" spans="1:72">
      <c r="A760" s="2" t="s">
        <v>15142</v>
      </c>
      <c r="B760" s="5" t="s">
        <v>15146</v>
      </c>
      <c r="C760" s="3" t="s">
        <v>138</v>
      </c>
      <c r="D760" s="4" t="s">
        <v>138</v>
      </c>
      <c r="E760" s="15" t="s">
        <v>15154</v>
      </c>
      <c r="F760" s="15" t="s">
        <v>138</v>
      </c>
      <c r="G760" s="15" t="s">
        <v>2071</v>
      </c>
      <c r="H760" s="7">
        <v>4</v>
      </c>
      <c r="I760" s="6" t="s">
        <v>15158</v>
      </c>
      <c r="J760" s="6" t="s">
        <v>42082</v>
      </c>
      <c r="K760" s="6" t="s">
        <v>42083</v>
      </c>
      <c r="L760" s="6" t="s">
        <v>42084</v>
      </c>
      <c r="M760" s="6" t="s">
        <v>42085</v>
      </c>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row>
    <row r="761" spans="1:72">
      <c r="A761" s="8" t="s">
        <v>15162</v>
      </c>
      <c r="B761" s="11" t="s">
        <v>15167</v>
      </c>
      <c r="C761" s="9" t="s">
        <v>138</v>
      </c>
      <c r="D761" s="10" t="s">
        <v>138</v>
      </c>
      <c r="E761" s="28" t="s">
        <v>823</v>
      </c>
      <c r="F761" s="28" t="s">
        <v>824</v>
      </c>
      <c r="G761" s="28" t="s">
        <v>526</v>
      </c>
      <c r="H761" s="13">
        <v>10</v>
      </c>
      <c r="I761" s="12" t="s">
        <v>15179</v>
      </c>
      <c r="J761" s="12" t="s">
        <v>42086</v>
      </c>
      <c r="K761" s="12" t="s">
        <v>42087</v>
      </c>
      <c r="L761" s="12" t="s">
        <v>38299</v>
      </c>
      <c r="M761" s="12" t="s">
        <v>42088</v>
      </c>
      <c r="N761" s="12" t="s">
        <v>42089</v>
      </c>
      <c r="O761" s="12" t="s">
        <v>39291</v>
      </c>
      <c r="P761" s="12" t="s">
        <v>41224</v>
      </c>
      <c r="Q761" s="12" t="s">
        <v>42090</v>
      </c>
      <c r="R761" s="12" t="s">
        <v>42091</v>
      </c>
      <c r="S761" s="12" t="s">
        <v>42092</v>
      </c>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row>
    <row r="762" spans="1:72">
      <c r="A762" s="2" t="s">
        <v>15184</v>
      </c>
      <c r="B762" s="5" t="s">
        <v>15188</v>
      </c>
      <c r="C762" s="3" t="s">
        <v>138</v>
      </c>
      <c r="D762" s="4" t="s">
        <v>138</v>
      </c>
      <c r="E762" s="15" t="s">
        <v>1246</v>
      </c>
      <c r="F762" s="15" t="s">
        <v>200</v>
      </c>
      <c r="G762" s="15" t="s">
        <v>162</v>
      </c>
      <c r="H762" s="7">
        <v>15</v>
      </c>
      <c r="I762" s="6" t="s">
        <v>15199</v>
      </c>
      <c r="J762" s="6" t="s">
        <v>42093</v>
      </c>
      <c r="K762" s="6" t="s">
        <v>42094</v>
      </c>
      <c r="L762" s="6" t="s">
        <v>42095</v>
      </c>
      <c r="M762" s="6" t="s">
        <v>41873</v>
      </c>
      <c r="N762" s="6" t="s">
        <v>37927</v>
      </c>
      <c r="O762" s="6" t="s">
        <v>37787</v>
      </c>
      <c r="P762" s="6" t="s">
        <v>42096</v>
      </c>
      <c r="Q762" s="6" t="s">
        <v>40061</v>
      </c>
      <c r="R762" s="6" t="s">
        <v>40348</v>
      </c>
      <c r="S762" s="6" t="s">
        <v>42097</v>
      </c>
      <c r="T762" s="6" t="s">
        <v>38063</v>
      </c>
      <c r="U762" s="6" t="s">
        <v>42098</v>
      </c>
      <c r="V762" s="6" t="s">
        <v>37931</v>
      </c>
      <c r="W762" s="6" t="s">
        <v>39143</v>
      </c>
      <c r="X762" s="6" t="s">
        <v>39269</v>
      </c>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row>
    <row r="763" spans="1:72">
      <c r="A763" s="8" t="s">
        <v>15206</v>
      </c>
      <c r="B763" s="11" t="s">
        <v>15212</v>
      </c>
      <c r="C763" s="9" t="s">
        <v>138</v>
      </c>
      <c r="D763" s="10" t="s">
        <v>15207</v>
      </c>
      <c r="E763" s="28" t="s">
        <v>15220</v>
      </c>
      <c r="F763" s="28" t="s">
        <v>5271</v>
      </c>
      <c r="G763" s="28" t="s">
        <v>162</v>
      </c>
      <c r="H763" s="13">
        <v>2</v>
      </c>
      <c r="I763" s="12" t="s">
        <v>15222</v>
      </c>
      <c r="J763" s="12" t="s">
        <v>42099</v>
      </c>
      <c r="K763" s="12" t="s">
        <v>39278</v>
      </c>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row>
    <row r="764" spans="1:72">
      <c r="A764" s="2" t="s">
        <v>15225</v>
      </c>
      <c r="B764" s="5" t="s">
        <v>15231</v>
      </c>
      <c r="C764" s="3" t="s">
        <v>15226</v>
      </c>
      <c r="D764" s="4" t="s">
        <v>138</v>
      </c>
      <c r="E764" s="15" t="s">
        <v>1198</v>
      </c>
      <c r="F764" s="15" t="s">
        <v>138</v>
      </c>
      <c r="G764" s="15" t="s">
        <v>1200</v>
      </c>
      <c r="H764" s="7">
        <v>18</v>
      </c>
      <c r="I764" s="6" t="s">
        <v>15238</v>
      </c>
      <c r="J764" s="6" t="s">
        <v>37785</v>
      </c>
      <c r="K764" s="6" t="s">
        <v>42100</v>
      </c>
      <c r="L764" s="6" t="s">
        <v>42101</v>
      </c>
      <c r="M764" s="6" t="s">
        <v>38413</v>
      </c>
      <c r="N764" s="6" t="s">
        <v>42102</v>
      </c>
      <c r="O764" s="6" t="s">
        <v>39579</v>
      </c>
      <c r="P764" s="6" t="s">
        <v>38590</v>
      </c>
      <c r="Q764" s="6" t="s">
        <v>37821</v>
      </c>
      <c r="R764" s="6" t="s">
        <v>39550</v>
      </c>
      <c r="S764" s="6" t="s">
        <v>38150</v>
      </c>
      <c r="T764" s="6" t="s">
        <v>42103</v>
      </c>
      <c r="U764" s="6" t="s">
        <v>42104</v>
      </c>
      <c r="V764" s="6" t="s">
        <v>38065</v>
      </c>
      <c r="W764" s="6" t="s">
        <v>40505</v>
      </c>
      <c r="X764" s="6" t="s">
        <v>38712</v>
      </c>
      <c r="Y764" s="6" t="s">
        <v>42105</v>
      </c>
      <c r="Z764" s="6" t="s">
        <v>38671</v>
      </c>
      <c r="AA764" s="6" t="s">
        <v>38196</v>
      </c>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row>
    <row r="765" spans="1:72">
      <c r="A765" s="8" t="s">
        <v>15242</v>
      </c>
      <c r="B765" s="11" t="s">
        <v>15247</v>
      </c>
      <c r="C765" s="9" t="s">
        <v>138</v>
      </c>
      <c r="D765" s="10" t="s">
        <v>138</v>
      </c>
      <c r="E765" s="28" t="s">
        <v>426</v>
      </c>
      <c r="F765" s="28" t="s">
        <v>426</v>
      </c>
      <c r="G765" s="28" t="s">
        <v>162</v>
      </c>
      <c r="H765" s="13">
        <v>8</v>
      </c>
      <c r="I765" s="12" t="s">
        <v>15256</v>
      </c>
      <c r="J765" s="12" t="s">
        <v>40241</v>
      </c>
      <c r="K765" s="12" t="s">
        <v>42106</v>
      </c>
      <c r="L765" s="12" t="s">
        <v>42107</v>
      </c>
      <c r="M765" s="12" t="s">
        <v>38230</v>
      </c>
      <c r="N765" s="12" t="s">
        <v>42108</v>
      </c>
      <c r="O765" s="12" t="s">
        <v>37890</v>
      </c>
      <c r="P765" s="12" t="s">
        <v>39327</v>
      </c>
      <c r="Q765" s="12" t="s">
        <v>38201</v>
      </c>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row>
    <row r="766" spans="1:72">
      <c r="A766" s="2" t="s">
        <v>15260</v>
      </c>
      <c r="B766" s="5" t="s">
        <v>15266</v>
      </c>
      <c r="C766" s="3" t="s">
        <v>138</v>
      </c>
      <c r="D766" s="4" t="s">
        <v>15261</v>
      </c>
      <c r="E766" s="15" t="s">
        <v>15274</v>
      </c>
      <c r="F766" s="15" t="s">
        <v>138</v>
      </c>
      <c r="G766" s="15" t="s">
        <v>15276</v>
      </c>
      <c r="H766" s="7">
        <v>16</v>
      </c>
      <c r="I766" s="6" t="s">
        <v>15278</v>
      </c>
      <c r="J766" s="6" t="s">
        <v>42109</v>
      </c>
      <c r="K766" s="6" t="s">
        <v>42110</v>
      </c>
      <c r="L766" s="6" t="s">
        <v>38299</v>
      </c>
      <c r="M766" s="6" t="s">
        <v>38802</v>
      </c>
      <c r="N766" s="6" t="s">
        <v>42111</v>
      </c>
      <c r="O766" s="6" t="s">
        <v>40982</v>
      </c>
      <c r="P766" s="6" t="s">
        <v>38721</v>
      </c>
      <c r="Q766" s="6" t="s">
        <v>42112</v>
      </c>
      <c r="R766" s="6" t="s">
        <v>37787</v>
      </c>
      <c r="S766" s="6" t="s">
        <v>39180</v>
      </c>
      <c r="T766" s="6" t="s">
        <v>42113</v>
      </c>
      <c r="U766" s="6" t="s">
        <v>42114</v>
      </c>
      <c r="V766" s="6" t="s">
        <v>41491</v>
      </c>
      <c r="W766" s="6" t="s">
        <v>39523</v>
      </c>
      <c r="X766" s="6" t="s">
        <v>42115</v>
      </c>
      <c r="Y766" s="6" t="s">
        <v>42116</v>
      </c>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row>
    <row r="767" spans="1:72">
      <c r="A767" s="8" t="s">
        <v>15284</v>
      </c>
      <c r="B767" s="11" t="s">
        <v>15288</v>
      </c>
      <c r="C767" s="9" t="s">
        <v>138</v>
      </c>
      <c r="D767" s="10" t="s">
        <v>138</v>
      </c>
      <c r="E767" s="28" t="s">
        <v>15297</v>
      </c>
      <c r="F767" s="28" t="s">
        <v>6898</v>
      </c>
      <c r="G767" s="28" t="s">
        <v>162</v>
      </c>
      <c r="H767" s="13">
        <v>6</v>
      </c>
      <c r="I767" s="12" t="s">
        <v>15302</v>
      </c>
      <c r="J767" s="12" t="s">
        <v>42117</v>
      </c>
      <c r="K767" s="12" t="s">
        <v>37953</v>
      </c>
      <c r="L767" s="12" t="s">
        <v>38189</v>
      </c>
      <c r="M767" s="12" t="s">
        <v>42118</v>
      </c>
      <c r="N767" s="12" t="s">
        <v>37781</v>
      </c>
      <c r="O767" s="12" t="s">
        <v>42119</v>
      </c>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row>
    <row r="768" spans="1:72">
      <c r="A768" s="2" t="s">
        <v>15305</v>
      </c>
      <c r="B768" s="5" t="s">
        <v>15309</v>
      </c>
      <c r="C768" s="3" t="s">
        <v>15306</v>
      </c>
      <c r="D768" s="4" t="s">
        <v>138</v>
      </c>
      <c r="E768" s="15" t="s">
        <v>426</v>
      </c>
      <c r="F768" s="15" t="s">
        <v>426</v>
      </c>
      <c r="G768" s="15" t="s">
        <v>162</v>
      </c>
      <c r="H768" s="7">
        <v>5</v>
      </c>
      <c r="I768" s="6" t="s">
        <v>15317</v>
      </c>
      <c r="J768" s="6" t="s">
        <v>42120</v>
      </c>
      <c r="K768" s="6" t="s">
        <v>42121</v>
      </c>
      <c r="L768" s="6" t="s">
        <v>42122</v>
      </c>
      <c r="M768" s="6" t="s">
        <v>42123</v>
      </c>
      <c r="N768" s="6" t="s">
        <v>38054</v>
      </c>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row>
    <row r="769" spans="1:72">
      <c r="A769" s="8" t="s">
        <v>15321</v>
      </c>
      <c r="B769" s="11" t="s">
        <v>15325</v>
      </c>
      <c r="C769" s="9" t="s">
        <v>138</v>
      </c>
      <c r="D769" s="10" t="s">
        <v>15322</v>
      </c>
      <c r="E769" s="28" t="s">
        <v>138</v>
      </c>
      <c r="F769" s="28" t="s">
        <v>597</v>
      </c>
      <c r="G769" s="28" t="s">
        <v>162</v>
      </c>
      <c r="H769" s="13">
        <v>1</v>
      </c>
      <c r="I769" s="12" t="s">
        <v>15335</v>
      </c>
      <c r="J769" s="12" t="s">
        <v>15335</v>
      </c>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row>
    <row r="770" spans="1:72">
      <c r="A770" s="2" t="s">
        <v>15338</v>
      </c>
      <c r="B770" s="5" t="s">
        <v>15343</v>
      </c>
      <c r="C770" s="3" t="s">
        <v>138</v>
      </c>
      <c r="D770" s="4" t="s">
        <v>138</v>
      </c>
      <c r="E770" s="15" t="s">
        <v>668</v>
      </c>
      <c r="F770" s="15" t="s">
        <v>200</v>
      </c>
      <c r="G770" s="15" t="s">
        <v>162</v>
      </c>
      <c r="H770" s="7">
        <v>11</v>
      </c>
      <c r="I770" s="6" t="s">
        <v>15352</v>
      </c>
      <c r="J770" s="6" t="s">
        <v>42124</v>
      </c>
      <c r="K770" s="6" t="s">
        <v>42125</v>
      </c>
      <c r="L770" s="6" t="s">
        <v>38234</v>
      </c>
      <c r="M770" s="6" t="s">
        <v>39332</v>
      </c>
      <c r="N770" s="6" t="s">
        <v>38348</v>
      </c>
      <c r="O770" s="6" t="s">
        <v>42126</v>
      </c>
      <c r="P770" s="6" t="s">
        <v>37987</v>
      </c>
      <c r="Q770" s="6" t="s">
        <v>42127</v>
      </c>
      <c r="R770" s="6" t="s">
        <v>42128</v>
      </c>
      <c r="S770" s="6" t="s">
        <v>37915</v>
      </c>
      <c r="T770" s="6" t="s">
        <v>37972</v>
      </c>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row>
    <row r="771" spans="1:72">
      <c r="A771" s="8" t="s">
        <v>15356</v>
      </c>
      <c r="B771" s="11" t="s">
        <v>15361</v>
      </c>
      <c r="C771" s="9" t="s">
        <v>138</v>
      </c>
      <c r="D771" s="10" t="s">
        <v>15357</v>
      </c>
      <c r="E771" s="28" t="s">
        <v>10916</v>
      </c>
      <c r="F771" s="28" t="s">
        <v>138</v>
      </c>
      <c r="G771" s="28" t="s">
        <v>740</v>
      </c>
      <c r="H771" s="13">
        <v>15</v>
      </c>
      <c r="I771" s="12" t="s">
        <v>15369</v>
      </c>
      <c r="J771" s="12" t="s">
        <v>39421</v>
      </c>
      <c r="K771" s="12" t="s">
        <v>38075</v>
      </c>
      <c r="L771" s="12" t="s">
        <v>42129</v>
      </c>
      <c r="M771" s="12" t="s">
        <v>38230</v>
      </c>
      <c r="N771" s="12" t="s">
        <v>42130</v>
      </c>
      <c r="O771" s="12" t="s">
        <v>42131</v>
      </c>
      <c r="P771" s="12" t="s">
        <v>38057</v>
      </c>
      <c r="Q771" s="12" t="s">
        <v>39724</v>
      </c>
      <c r="R771" s="12" t="s">
        <v>39394</v>
      </c>
      <c r="S771" s="12" t="s">
        <v>38948</v>
      </c>
      <c r="T771" s="12" t="s">
        <v>37998</v>
      </c>
      <c r="U771" s="12" t="s">
        <v>39396</v>
      </c>
      <c r="V771" s="12" t="s">
        <v>41122</v>
      </c>
      <c r="W771" s="12" t="s">
        <v>38626</v>
      </c>
      <c r="X771" s="12" t="s">
        <v>42132</v>
      </c>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row>
    <row r="772" spans="1:72">
      <c r="A772" s="2" t="s">
        <v>15373</v>
      </c>
      <c r="B772" s="5" t="s">
        <v>15379</v>
      </c>
      <c r="C772" s="3" t="s">
        <v>15374</v>
      </c>
      <c r="D772" s="4" t="s">
        <v>138</v>
      </c>
      <c r="E772" s="15" t="s">
        <v>15388</v>
      </c>
      <c r="F772" s="15" t="s">
        <v>284</v>
      </c>
      <c r="G772" s="15" t="s">
        <v>162</v>
      </c>
      <c r="H772" s="7">
        <v>12</v>
      </c>
      <c r="I772" s="6" t="s">
        <v>15392</v>
      </c>
      <c r="J772" s="6" t="s">
        <v>42133</v>
      </c>
      <c r="K772" s="6" t="s">
        <v>38968</v>
      </c>
      <c r="L772" s="6" t="s">
        <v>39458</v>
      </c>
      <c r="M772" s="6" t="s">
        <v>37787</v>
      </c>
      <c r="N772" s="6" t="s">
        <v>39877</v>
      </c>
      <c r="O772" s="6" t="s">
        <v>42134</v>
      </c>
      <c r="P772" s="6" t="s">
        <v>42135</v>
      </c>
      <c r="Q772" s="6" t="s">
        <v>42136</v>
      </c>
      <c r="R772" s="6" t="s">
        <v>38065</v>
      </c>
      <c r="S772" s="6" t="s">
        <v>37915</v>
      </c>
      <c r="T772" s="6" t="s">
        <v>42137</v>
      </c>
      <c r="U772" s="6" t="s">
        <v>42138</v>
      </c>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row>
    <row r="773" spans="1:72">
      <c r="A773" s="8" t="s">
        <v>15396</v>
      </c>
      <c r="B773" s="11" t="s">
        <v>15403</v>
      </c>
      <c r="C773" s="9" t="s">
        <v>138</v>
      </c>
      <c r="D773" s="10" t="s">
        <v>15397</v>
      </c>
      <c r="E773" s="28" t="s">
        <v>15411</v>
      </c>
      <c r="F773" s="28" t="s">
        <v>15412</v>
      </c>
      <c r="G773" s="28" t="s">
        <v>2742</v>
      </c>
      <c r="H773" s="13">
        <v>7</v>
      </c>
      <c r="I773" s="12" t="s">
        <v>15416</v>
      </c>
      <c r="J773" s="12" t="s">
        <v>38783</v>
      </c>
      <c r="K773" s="12" t="s">
        <v>42139</v>
      </c>
      <c r="L773" s="12" t="s">
        <v>42140</v>
      </c>
      <c r="M773" s="12" t="s">
        <v>42141</v>
      </c>
      <c r="N773" s="12" t="s">
        <v>38363</v>
      </c>
      <c r="O773" s="12" t="s">
        <v>42142</v>
      </c>
      <c r="P773" s="12" t="s">
        <v>42143</v>
      </c>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row>
    <row r="774" spans="1:72">
      <c r="A774" s="2" t="s">
        <v>15419</v>
      </c>
      <c r="B774" s="5" t="s">
        <v>15423</v>
      </c>
      <c r="C774" s="3" t="s">
        <v>138</v>
      </c>
      <c r="D774" s="4" t="s">
        <v>15420</v>
      </c>
      <c r="E774" s="15" t="s">
        <v>2907</v>
      </c>
      <c r="F774" s="15" t="s">
        <v>138</v>
      </c>
      <c r="G774" s="15" t="s">
        <v>946</v>
      </c>
      <c r="H774" s="7" t="s">
        <v>138</v>
      </c>
      <c r="I774" s="6" t="s">
        <v>138</v>
      </c>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row>
    <row r="775" spans="1:72">
      <c r="A775" s="8" t="s">
        <v>15437</v>
      </c>
      <c r="B775" s="11" t="s">
        <v>15443</v>
      </c>
      <c r="C775" s="9" t="s">
        <v>15438</v>
      </c>
      <c r="D775" s="10" t="s">
        <v>138</v>
      </c>
      <c r="E775" s="28" t="s">
        <v>15452</v>
      </c>
      <c r="F775" s="28" t="s">
        <v>14130</v>
      </c>
      <c r="G775" s="28" t="s">
        <v>2742</v>
      </c>
      <c r="H775" s="13">
        <v>3</v>
      </c>
      <c r="I775" s="12" t="s">
        <v>15456</v>
      </c>
      <c r="J775" s="12" t="s">
        <v>42144</v>
      </c>
      <c r="K775" s="12" t="s">
        <v>42145</v>
      </c>
      <c r="L775" s="12" t="s">
        <v>37781</v>
      </c>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row>
    <row r="776" spans="1:72">
      <c r="A776" s="2" t="s">
        <v>15460</v>
      </c>
      <c r="B776" s="5" t="s">
        <v>15464</v>
      </c>
      <c r="C776" s="3" t="s">
        <v>138</v>
      </c>
      <c r="D776" s="4" t="s">
        <v>138</v>
      </c>
      <c r="E776" s="15" t="s">
        <v>668</v>
      </c>
      <c r="F776" s="15" t="s">
        <v>200</v>
      </c>
      <c r="G776" s="15" t="s">
        <v>162</v>
      </c>
      <c r="H776" s="7">
        <v>20</v>
      </c>
      <c r="I776" s="6" t="s">
        <v>15471</v>
      </c>
      <c r="J776" s="6" t="s">
        <v>41473</v>
      </c>
      <c r="K776" s="6" t="s">
        <v>42146</v>
      </c>
      <c r="L776" s="6" t="s">
        <v>42147</v>
      </c>
      <c r="M776" s="6" t="s">
        <v>37979</v>
      </c>
      <c r="N776" s="6" t="s">
        <v>38162</v>
      </c>
      <c r="O776" s="6" t="s">
        <v>42148</v>
      </c>
      <c r="P776" s="6" t="s">
        <v>37819</v>
      </c>
      <c r="Q776" s="6" t="s">
        <v>38209</v>
      </c>
      <c r="R776" s="6" t="s">
        <v>38487</v>
      </c>
      <c r="S776" s="6" t="s">
        <v>41518</v>
      </c>
      <c r="T776" s="6" t="s">
        <v>37942</v>
      </c>
      <c r="U776" s="6" t="s">
        <v>38968</v>
      </c>
      <c r="V776" s="6" t="s">
        <v>37801</v>
      </c>
      <c r="W776" s="6" t="s">
        <v>37923</v>
      </c>
      <c r="X776" s="6" t="s">
        <v>38427</v>
      </c>
      <c r="Y776" s="6" t="s">
        <v>42149</v>
      </c>
      <c r="Z776" s="6" t="s">
        <v>38979</v>
      </c>
      <c r="AA776" s="6" t="s">
        <v>38478</v>
      </c>
      <c r="AB776" s="6" t="s">
        <v>41314</v>
      </c>
      <c r="AC776" s="6" t="s">
        <v>40235</v>
      </c>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row>
    <row r="777" spans="1:72">
      <c r="A777" s="8" t="s">
        <v>15474</v>
      </c>
      <c r="B777" s="11" t="s">
        <v>15479</v>
      </c>
      <c r="C777" s="9" t="s">
        <v>138</v>
      </c>
      <c r="D777" s="10" t="s">
        <v>138</v>
      </c>
      <c r="E777" s="28" t="s">
        <v>4273</v>
      </c>
      <c r="F777" s="28" t="s">
        <v>8997</v>
      </c>
      <c r="G777" s="28" t="s">
        <v>8999</v>
      </c>
      <c r="H777" s="13" t="s">
        <v>138</v>
      </c>
      <c r="I777" s="12" t="s">
        <v>138</v>
      </c>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2"/>
    </row>
    <row r="778" spans="1:72">
      <c r="A778" s="2" t="s">
        <v>15488</v>
      </c>
      <c r="B778" s="5" t="s">
        <v>15493</v>
      </c>
      <c r="C778" s="3" t="s">
        <v>138</v>
      </c>
      <c r="D778" s="4" t="s">
        <v>138</v>
      </c>
      <c r="E778" s="15" t="s">
        <v>944</v>
      </c>
      <c r="F778" s="15" t="s">
        <v>138</v>
      </c>
      <c r="G778" s="15" t="s">
        <v>946</v>
      </c>
      <c r="H778" s="7">
        <v>9</v>
      </c>
      <c r="I778" s="6" t="s">
        <v>15504</v>
      </c>
      <c r="J778" s="6" t="s">
        <v>42150</v>
      </c>
      <c r="K778" s="6" t="s">
        <v>42151</v>
      </c>
      <c r="L778" s="6" t="s">
        <v>42152</v>
      </c>
      <c r="M778" s="6" t="s">
        <v>42153</v>
      </c>
      <c r="N778" s="6" t="s">
        <v>42154</v>
      </c>
      <c r="O778" s="6" t="s">
        <v>38286</v>
      </c>
      <c r="P778" s="6" t="s">
        <v>42155</v>
      </c>
      <c r="Q778" s="6" t="s">
        <v>42156</v>
      </c>
      <c r="R778" s="6" t="s">
        <v>42157</v>
      </c>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row>
    <row r="779" spans="1:72">
      <c r="A779" s="8" t="s">
        <v>15509</v>
      </c>
      <c r="B779" s="11" t="s">
        <v>15516</v>
      </c>
      <c r="C779" s="9" t="s">
        <v>15510</v>
      </c>
      <c r="D779" s="10" t="s">
        <v>15511</v>
      </c>
      <c r="E779" s="28" t="s">
        <v>4281</v>
      </c>
      <c r="F779" s="28" t="s">
        <v>524</v>
      </c>
      <c r="G779" s="28" t="s">
        <v>526</v>
      </c>
      <c r="H779" s="13">
        <v>10</v>
      </c>
      <c r="I779" s="12" t="s">
        <v>15529</v>
      </c>
      <c r="J779" s="12" t="s">
        <v>39462</v>
      </c>
      <c r="K779" s="12" t="s">
        <v>42158</v>
      </c>
      <c r="L779" s="12" t="s">
        <v>42159</v>
      </c>
      <c r="M779" s="12" t="s">
        <v>42160</v>
      </c>
      <c r="N779" s="12" t="s">
        <v>42161</v>
      </c>
      <c r="O779" s="12" t="s">
        <v>42162</v>
      </c>
      <c r="P779" s="12" t="s">
        <v>42163</v>
      </c>
      <c r="Q779" s="12" t="s">
        <v>41485</v>
      </c>
      <c r="R779" s="12" t="s">
        <v>42164</v>
      </c>
      <c r="S779" s="12" t="s">
        <v>37868</v>
      </c>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2"/>
    </row>
    <row r="780" spans="1:72">
      <c r="A780" s="2" t="s">
        <v>15534</v>
      </c>
      <c r="B780" s="5" t="s">
        <v>15540</v>
      </c>
      <c r="C780" s="3" t="s">
        <v>138</v>
      </c>
      <c r="D780" s="4" t="s">
        <v>15535</v>
      </c>
      <c r="E780" s="15" t="s">
        <v>1171</v>
      </c>
      <c r="F780" s="15" t="s">
        <v>200</v>
      </c>
      <c r="G780" s="15" t="s">
        <v>162</v>
      </c>
      <c r="H780" s="7">
        <v>14</v>
      </c>
      <c r="I780" s="6" t="s">
        <v>15550</v>
      </c>
      <c r="J780" s="6" t="s">
        <v>37874</v>
      </c>
      <c r="K780" s="6" t="s">
        <v>38365</v>
      </c>
      <c r="L780" s="6" t="s">
        <v>42165</v>
      </c>
      <c r="M780" s="6" t="s">
        <v>37797</v>
      </c>
      <c r="N780" s="6" t="s">
        <v>38485</v>
      </c>
      <c r="O780" s="6" t="s">
        <v>41632</v>
      </c>
      <c r="P780" s="6" t="s">
        <v>41931</v>
      </c>
      <c r="Q780" s="6" t="s">
        <v>38803</v>
      </c>
      <c r="R780" s="6" t="s">
        <v>37822</v>
      </c>
      <c r="S780" s="6" t="s">
        <v>42166</v>
      </c>
      <c r="T780" s="6" t="s">
        <v>39550</v>
      </c>
      <c r="U780" s="6" t="s">
        <v>39057</v>
      </c>
      <c r="V780" s="6" t="s">
        <v>37998</v>
      </c>
      <c r="W780" s="6" t="s">
        <v>37805</v>
      </c>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row>
    <row r="781" spans="1:72">
      <c r="A781" s="8" t="s">
        <v>15553</v>
      </c>
      <c r="B781" s="11" t="s">
        <v>15557</v>
      </c>
      <c r="C781" s="9" t="s">
        <v>15554</v>
      </c>
      <c r="D781" s="10" t="s">
        <v>138</v>
      </c>
      <c r="E781" s="28" t="s">
        <v>4492</v>
      </c>
      <c r="F781" s="28" t="s">
        <v>4493</v>
      </c>
      <c r="G781" s="28" t="s">
        <v>162</v>
      </c>
      <c r="H781" s="13">
        <v>8</v>
      </c>
      <c r="I781" s="12" t="s">
        <v>15566</v>
      </c>
      <c r="J781" s="12" t="s">
        <v>13763</v>
      </c>
      <c r="K781" s="12" t="s">
        <v>38354</v>
      </c>
      <c r="L781" s="12" t="s">
        <v>42167</v>
      </c>
      <c r="M781" s="12" t="s">
        <v>37819</v>
      </c>
      <c r="N781" s="12" t="s">
        <v>39395</v>
      </c>
      <c r="O781" s="12" t="s">
        <v>42168</v>
      </c>
      <c r="P781" s="12" t="s">
        <v>41138</v>
      </c>
      <c r="Q781" s="12" t="s">
        <v>42169</v>
      </c>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12"/>
      <c r="BH781" s="12"/>
      <c r="BI781" s="12"/>
      <c r="BJ781" s="12"/>
      <c r="BK781" s="12"/>
      <c r="BL781" s="12"/>
      <c r="BM781" s="12"/>
      <c r="BN781" s="12"/>
      <c r="BO781" s="12"/>
      <c r="BP781" s="12"/>
      <c r="BQ781" s="12"/>
      <c r="BR781" s="12"/>
      <c r="BS781" s="12"/>
      <c r="BT781" s="12"/>
    </row>
    <row r="782" spans="1:72">
      <c r="A782" s="2" t="s">
        <v>15569</v>
      </c>
      <c r="B782" s="5" t="s">
        <v>15574</v>
      </c>
      <c r="C782" s="3" t="s">
        <v>138</v>
      </c>
      <c r="D782" s="4" t="s">
        <v>15570</v>
      </c>
      <c r="E782" s="15" t="s">
        <v>15583</v>
      </c>
      <c r="F782" s="15" t="s">
        <v>2740</v>
      </c>
      <c r="G782" s="15" t="s">
        <v>2742</v>
      </c>
      <c r="H782" s="7">
        <v>14</v>
      </c>
      <c r="I782" s="6" t="s">
        <v>15588</v>
      </c>
      <c r="J782" s="6" t="s">
        <v>36909</v>
      </c>
      <c r="K782" s="6" t="s">
        <v>40057</v>
      </c>
      <c r="L782" s="6" t="s">
        <v>42170</v>
      </c>
      <c r="M782" s="6" t="s">
        <v>38882</v>
      </c>
      <c r="N782" s="6" t="s">
        <v>40773</v>
      </c>
      <c r="O782" s="6" t="s">
        <v>39236</v>
      </c>
      <c r="P782" s="6" t="s">
        <v>42171</v>
      </c>
      <c r="Q782" s="6" t="s">
        <v>42172</v>
      </c>
      <c r="R782" s="6" t="s">
        <v>42173</v>
      </c>
      <c r="S782" s="6" t="s">
        <v>39810</v>
      </c>
      <c r="T782" s="6" t="s">
        <v>42174</v>
      </c>
      <c r="U782" s="6" t="s">
        <v>38767</v>
      </c>
      <c r="V782" s="6" t="s">
        <v>42175</v>
      </c>
      <c r="W782" s="6" t="s">
        <v>38788</v>
      </c>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row>
    <row r="783" spans="1:72">
      <c r="A783" s="8" t="s">
        <v>15593</v>
      </c>
      <c r="B783" s="11" t="s">
        <v>15599</v>
      </c>
      <c r="C783" s="9" t="s">
        <v>138</v>
      </c>
      <c r="D783" s="10" t="s">
        <v>138</v>
      </c>
      <c r="E783" s="28" t="s">
        <v>284</v>
      </c>
      <c r="F783" s="28" t="s">
        <v>2822</v>
      </c>
      <c r="G783" s="28" t="s">
        <v>162</v>
      </c>
      <c r="H783" s="13">
        <v>15</v>
      </c>
      <c r="I783" s="12" t="s">
        <v>15611</v>
      </c>
      <c r="J783" s="12" t="s">
        <v>42176</v>
      </c>
      <c r="K783" s="12" t="s">
        <v>39612</v>
      </c>
      <c r="L783" s="12" t="s">
        <v>37926</v>
      </c>
      <c r="M783" s="12" t="s">
        <v>42177</v>
      </c>
      <c r="N783" s="12" t="s">
        <v>38062</v>
      </c>
      <c r="O783" s="12" t="s">
        <v>37929</v>
      </c>
      <c r="P783" s="12" t="s">
        <v>37930</v>
      </c>
      <c r="Q783" s="12" t="s">
        <v>37779</v>
      </c>
      <c r="R783" s="12" t="s">
        <v>38185</v>
      </c>
      <c r="S783" s="12" t="s">
        <v>39042</v>
      </c>
      <c r="T783" s="12" t="s">
        <v>38865</v>
      </c>
      <c r="U783" s="12" t="s">
        <v>40883</v>
      </c>
      <c r="V783" s="12" t="s">
        <v>41370</v>
      </c>
      <c r="W783" s="12" t="s">
        <v>40168</v>
      </c>
      <c r="X783" s="12" t="s">
        <v>41217</v>
      </c>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row>
    <row r="784" spans="1:72">
      <c r="A784" s="2" t="s">
        <v>15618</v>
      </c>
      <c r="B784" s="5" t="s">
        <v>15623</v>
      </c>
      <c r="C784" s="3" t="s">
        <v>138</v>
      </c>
      <c r="D784" s="4" t="s">
        <v>138</v>
      </c>
      <c r="E784" s="15" t="s">
        <v>15630</v>
      </c>
      <c r="F784" s="15" t="s">
        <v>864</v>
      </c>
      <c r="G784" s="15" t="s">
        <v>162</v>
      </c>
      <c r="H784" s="7">
        <v>4</v>
      </c>
      <c r="I784" s="6" t="s">
        <v>15634</v>
      </c>
      <c r="J784" s="6" t="s">
        <v>42178</v>
      </c>
      <c r="K784" s="6" t="s">
        <v>40789</v>
      </c>
      <c r="L784" s="6" t="s">
        <v>42179</v>
      </c>
      <c r="M784" s="6" t="s">
        <v>42180</v>
      </c>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row>
    <row r="785" spans="1:72">
      <c r="A785" s="8" t="s">
        <v>15637</v>
      </c>
      <c r="B785" s="11" t="s">
        <v>15642</v>
      </c>
      <c r="C785" s="9" t="s">
        <v>138</v>
      </c>
      <c r="D785" s="10" t="s">
        <v>138</v>
      </c>
      <c r="E785" s="28" t="s">
        <v>1294</v>
      </c>
      <c r="F785" s="28" t="s">
        <v>864</v>
      </c>
      <c r="G785" s="28" t="s">
        <v>162</v>
      </c>
      <c r="H785" s="13">
        <v>13</v>
      </c>
      <c r="I785" s="12" t="s">
        <v>15653</v>
      </c>
      <c r="J785" s="12" t="s">
        <v>39231</v>
      </c>
      <c r="K785" s="12" t="s">
        <v>38391</v>
      </c>
      <c r="L785" s="12" t="s">
        <v>41197</v>
      </c>
      <c r="M785" s="12" t="s">
        <v>38591</v>
      </c>
      <c r="N785" s="12" t="s">
        <v>38610</v>
      </c>
      <c r="O785" s="12" t="s">
        <v>37921</v>
      </c>
      <c r="P785" s="12" t="s">
        <v>37775</v>
      </c>
      <c r="Q785" s="12" t="s">
        <v>38638</v>
      </c>
      <c r="R785" s="12" t="s">
        <v>38427</v>
      </c>
      <c r="S785" s="12" t="s">
        <v>38528</v>
      </c>
      <c r="T785" s="12" t="s">
        <v>38049</v>
      </c>
      <c r="U785" s="12" t="s">
        <v>41868</v>
      </c>
      <c r="V785" s="12" t="s">
        <v>42181</v>
      </c>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12"/>
      <c r="BH785" s="12"/>
      <c r="BI785" s="12"/>
      <c r="BJ785" s="12"/>
      <c r="BK785" s="12"/>
      <c r="BL785" s="12"/>
      <c r="BM785" s="12"/>
      <c r="BN785" s="12"/>
      <c r="BO785" s="12"/>
      <c r="BP785" s="12"/>
      <c r="BQ785" s="12"/>
      <c r="BR785" s="12"/>
      <c r="BS785" s="12"/>
      <c r="BT785" s="12"/>
    </row>
    <row r="786" spans="1:72">
      <c r="A786" s="2" t="s">
        <v>15656</v>
      </c>
      <c r="B786" s="5" t="s">
        <v>15661</v>
      </c>
      <c r="C786" s="3" t="s">
        <v>15657</v>
      </c>
      <c r="D786" s="4" t="s">
        <v>138</v>
      </c>
      <c r="E786" s="15" t="s">
        <v>668</v>
      </c>
      <c r="F786" s="15" t="s">
        <v>200</v>
      </c>
      <c r="G786" s="15" t="s">
        <v>162</v>
      </c>
      <c r="H786" s="7">
        <v>42</v>
      </c>
      <c r="I786" s="6" t="s">
        <v>15670</v>
      </c>
      <c r="J786" s="6" t="s">
        <v>38061</v>
      </c>
      <c r="K786" s="6" t="s">
        <v>40960</v>
      </c>
      <c r="L786" s="6" t="s">
        <v>38106</v>
      </c>
      <c r="M786" s="6" t="s">
        <v>39908</v>
      </c>
      <c r="N786" s="6" t="s">
        <v>38339</v>
      </c>
      <c r="O786" s="6" t="s">
        <v>42182</v>
      </c>
      <c r="P786" s="6" t="s">
        <v>42183</v>
      </c>
      <c r="Q786" s="6" t="s">
        <v>38738</v>
      </c>
      <c r="R786" s="6" t="s">
        <v>42184</v>
      </c>
      <c r="S786" s="6" t="s">
        <v>37796</v>
      </c>
      <c r="T786" s="6" t="s">
        <v>40346</v>
      </c>
      <c r="U786" s="6" t="s">
        <v>42185</v>
      </c>
      <c r="V786" s="6" t="s">
        <v>38416</v>
      </c>
      <c r="W786" s="6" t="s">
        <v>42186</v>
      </c>
      <c r="X786" s="6" t="s">
        <v>37942</v>
      </c>
      <c r="Y786" s="6" t="s">
        <v>38418</v>
      </c>
      <c r="Z786" s="6" t="s">
        <v>38148</v>
      </c>
      <c r="AA786" s="6" t="s">
        <v>38803</v>
      </c>
      <c r="AB786" s="6" t="s">
        <v>38721</v>
      </c>
      <c r="AC786" s="6" t="s">
        <v>39944</v>
      </c>
      <c r="AD786" s="6" t="s">
        <v>39661</v>
      </c>
      <c r="AE786" s="6" t="s">
        <v>38121</v>
      </c>
      <c r="AF786" s="6" t="s">
        <v>38991</v>
      </c>
      <c r="AG786" s="6" t="s">
        <v>38222</v>
      </c>
      <c r="AH786" s="6" t="s">
        <v>40206</v>
      </c>
      <c r="AI786" s="6" t="s">
        <v>40762</v>
      </c>
      <c r="AJ786" s="6" t="s">
        <v>42187</v>
      </c>
      <c r="AK786" s="6" t="s">
        <v>38428</v>
      </c>
      <c r="AL786" s="6" t="s">
        <v>38429</v>
      </c>
      <c r="AM786" s="6" t="s">
        <v>37968</v>
      </c>
      <c r="AN786" s="6" t="s">
        <v>42188</v>
      </c>
      <c r="AO786" s="6" t="s">
        <v>38432</v>
      </c>
      <c r="AP786" s="6" t="s">
        <v>40211</v>
      </c>
      <c r="AQ786" s="6" t="s">
        <v>37781</v>
      </c>
      <c r="AR786" s="6" t="s">
        <v>38981</v>
      </c>
      <c r="AS786" s="6" t="s">
        <v>42189</v>
      </c>
      <c r="AT786" s="6" t="s">
        <v>38479</v>
      </c>
      <c r="AU786" s="6" t="s">
        <v>38400</v>
      </c>
      <c r="AV786" s="6" t="s">
        <v>39662</v>
      </c>
      <c r="AW786" s="6" t="s">
        <v>38726</v>
      </c>
      <c r="AX786" s="6" t="s">
        <v>37976</v>
      </c>
      <c r="AY786" s="6" t="s">
        <v>42190</v>
      </c>
      <c r="AZ786" s="6"/>
      <c r="BA786" s="6"/>
      <c r="BB786" s="6"/>
      <c r="BC786" s="6"/>
      <c r="BD786" s="6"/>
      <c r="BE786" s="6"/>
      <c r="BF786" s="6"/>
      <c r="BG786" s="6"/>
      <c r="BH786" s="6"/>
      <c r="BI786" s="6"/>
      <c r="BJ786" s="6"/>
      <c r="BK786" s="6"/>
      <c r="BL786" s="6"/>
      <c r="BM786" s="6"/>
      <c r="BN786" s="6"/>
      <c r="BO786" s="6"/>
      <c r="BP786" s="6"/>
      <c r="BQ786" s="6"/>
      <c r="BR786" s="6"/>
      <c r="BS786" s="6"/>
      <c r="BT786" s="6"/>
    </row>
    <row r="787" spans="1:72">
      <c r="A787" s="8" t="s">
        <v>15677</v>
      </c>
      <c r="B787" s="11" t="s">
        <v>15682</v>
      </c>
      <c r="C787" s="9" t="s">
        <v>138</v>
      </c>
      <c r="D787" s="10" t="s">
        <v>138</v>
      </c>
      <c r="E787" s="28" t="s">
        <v>5700</v>
      </c>
      <c r="F787" s="28" t="s">
        <v>138</v>
      </c>
      <c r="G787" s="28" t="s">
        <v>740</v>
      </c>
      <c r="H787" s="13">
        <v>8</v>
      </c>
      <c r="I787" s="12" t="s">
        <v>15692</v>
      </c>
      <c r="J787" s="12" t="s">
        <v>38660</v>
      </c>
      <c r="K787" s="12" t="s">
        <v>42191</v>
      </c>
      <c r="L787" s="12" t="s">
        <v>37953</v>
      </c>
      <c r="M787" s="12" t="s">
        <v>40716</v>
      </c>
      <c r="N787" s="12" t="s">
        <v>42192</v>
      </c>
      <c r="O787" s="12" t="s">
        <v>38082</v>
      </c>
      <c r="P787" s="12" t="s">
        <v>42193</v>
      </c>
      <c r="Q787" s="12" t="s">
        <v>38145</v>
      </c>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2"/>
    </row>
    <row r="788" spans="1:72">
      <c r="A788" s="2" t="s">
        <v>15695</v>
      </c>
      <c r="B788" s="5" t="s">
        <v>15701</v>
      </c>
      <c r="C788" s="3" t="s">
        <v>15696</v>
      </c>
      <c r="D788" s="4" t="s">
        <v>138</v>
      </c>
      <c r="E788" s="15" t="s">
        <v>4878</v>
      </c>
      <c r="F788" s="15" t="s">
        <v>200</v>
      </c>
      <c r="G788" s="15" t="s">
        <v>162</v>
      </c>
      <c r="H788" s="7">
        <v>29</v>
      </c>
      <c r="I788" s="6" t="s">
        <v>15710</v>
      </c>
      <c r="J788" s="6" t="s">
        <v>37811</v>
      </c>
      <c r="K788" s="6" t="s">
        <v>42194</v>
      </c>
      <c r="L788" s="6" t="s">
        <v>42195</v>
      </c>
      <c r="M788" s="6" t="s">
        <v>42196</v>
      </c>
      <c r="N788" s="6" t="s">
        <v>42197</v>
      </c>
      <c r="O788" s="6" t="s">
        <v>38375</v>
      </c>
      <c r="P788" s="6" t="s">
        <v>42198</v>
      </c>
      <c r="Q788" s="6" t="s">
        <v>39115</v>
      </c>
      <c r="R788" s="6" t="s">
        <v>37986</v>
      </c>
      <c r="S788" s="6" t="s">
        <v>42199</v>
      </c>
      <c r="T788" s="6" t="s">
        <v>38721</v>
      </c>
      <c r="U788" s="6" t="s">
        <v>42200</v>
      </c>
      <c r="V788" s="6" t="s">
        <v>42201</v>
      </c>
      <c r="W788" s="6" t="s">
        <v>41057</v>
      </c>
      <c r="X788" s="6" t="s">
        <v>42202</v>
      </c>
      <c r="Y788" s="6" t="s">
        <v>39724</v>
      </c>
      <c r="Z788" s="6" t="s">
        <v>42203</v>
      </c>
      <c r="AA788" s="6" t="s">
        <v>39140</v>
      </c>
      <c r="AB788" s="6" t="s">
        <v>40765</v>
      </c>
      <c r="AC788" s="6" t="s">
        <v>38321</v>
      </c>
      <c r="AD788" s="6" t="s">
        <v>38200</v>
      </c>
      <c r="AE788" s="6" t="s">
        <v>39642</v>
      </c>
      <c r="AF788" s="6" t="s">
        <v>42204</v>
      </c>
      <c r="AG788" s="6" t="s">
        <v>42205</v>
      </c>
      <c r="AH788" s="6" t="s">
        <v>38479</v>
      </c>
      <c r="AI788" s="6" t="s">
        <v>39351</v>
      </c>
      <c r="AJ788" s="6" t="s">
        <v>41240</v>
      </c>
      <c r="AK788" s="6" t="s">
        <v>39686</v>
      </c>
      <c r="AL788" s="6" t="s">
        <v>42206</v>
      </c>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row>
    <row r="789" spans="1:72">
      <c r="A789" s="8" t="s">
        <v>15717</v>
      </c>
      <c r="B789" s="11" t="s">
        <v>15721</v>
      </c>
      <c r="C789" s="9" t="s">
        <v>138</v>
      </c>
      <c r="D789" s="10" t="s">
        <v>138</v>
      </c>
      <c r="E789" s="28" t="s">
        <v>668</v>
      </c>
      <c r="F789" s="28" t="s">
        <v>200</v>
      </c>
      <c r="G789" s="28" t="s">
        <v>162</v>
      </c>
      <c r="H789" s="13">
        <v>9</v>
      </c>
      <c r="I789" s="12" t="s">
        <v>15729</v>
      </c>
      <c r="J789" s="12" t="s">
        <v>38707</v>
      </c>
      <c r="K789" s="12" t="s">
        <v>38663</v>
      </c>
      <c r="L789" s="12" t="s">
        <v>38175</v>
      </c>
      <c r="M789" s="12" t="s">
        <v>41245</v>
      </c>
      <c r="N789" s="12" t="s">
        <v>38931</v>
      </c>
      <c r="O789" s="12" t="s">
        <v>42207</v>
      </c>
      <c r="P789" s="12" t="s">
        <v>39057</v>
      </c>
      <c r="Q789" s="12" t="s">
        <v>38770</v>
      </c>
      <c r="R789" s="12" t="s">
        <v>42208</v>
      </c>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12"/>
      <c r="BH789" s="12"/>
      <c r="BI789" s="12"/>
      <c r="BJ789" s="12"/>
      <c r="BK789" s="12"/>
      <c r="BL789" s="12"/>
      <c r="BM789" s="12"/>
      <c r="BN789" s="12"/>
      <c r="BO789" s="12"/>
      <c r="BP789" s="12"/>
      <c r="BQ789" s="12"/>
      <c r="BR789" s="12"/>
      <c r="BS789" s="12"/>
      <c r="BT789" s="12"/>
    </row>
    <row r="790" spans="1:72">
      <c r="A790" s="2" t="s">
        <v>15732</v>
      </c>
      <c r="B790" s="5" t="s">
        <v>15738</v>
      </c>
      <c r="C790" s="3" t="s">
        <v>138</v>
      </c>
      <c r="D790" s="4" t="s">
        <v>138</v>
      </c>
      <c r="E790" s="15" t="s">
        <v>823</v>
      </c>
      <c r="F790" s="15" t="s">
        <v>824</v>
      </c>
      <c r="G790" s="15" t="s">
        <v>526</v>
      </c>
      <c r="H790" s="7">
        <v>9</v>
      </c>
      <c r="I790" s="6" t="s">
        <v>15749</v>
      </c>
      <c r="J790" s="6" t="s">
        <v>37811</v>
      </c>
      <c r="K790" s="6" t="s">
        <v>38485</v>
      </c>
      <c r="L790" s="6" t="s">
        <v>42209</v>
      </c>
      <c r="M790" s="6" t="s">
        <v>42210</v>
      </c>
      <c r="N790" s="6" t="s">
        <v>41197</v>
      </c>
      <c r="O790" s="6" t="s">
        <v>41662</v>
      </c>
      <c r="P790" s="6" t="s">
        <v>42211</v>
      </c>
      <c r="Q790" s="6" t="s">
        <v>42212</v>
      </c>
      <c r="R790" s="6" t="s">
        <v>42213</v>
      </c>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row>
    <row r="791" spans="1:72">
      <c r="A791" s="8" t="s">
        <v>15752</v>
      </c>
      <c r="B791" s="11" t="s">
        <v>15757</v>
      </c>
      <c r="C791" s="9" t="s">
        <v>15753</v>
      </c>
      <c r="D791" s="10" t="s">
        <v>138</v>
      </c>
      <c r="E791" s="28" t="s">
        <v>426</v>
      </c>
      <c r="F791" s="28" t="s">
        <v>426</v>
      </c>
      <c r="G791" s="28" t="s">
        <v>162</v>
      </c>
      <c r="H791" s="13">
        <v>12</v>
      </c>
      <c r="I791" s="12" t="s">
        <v>15764</v>
      </c>
      <c r="J791" s="12" t="s">
        <v>39398</v>
      </c>
      <c r="K791" s="12" t="s">
        <v>42214</v>
      </c>
      <c r="L791" s="12" t="s">
        <v>38841</v>
      </c>
      <c r="M791" s="12" t="s">
        <v>40326</v>
      </c>
      <c r="N791" s="12" t="s">
        <v>42215</v>
      </c>
      <c r="O791" s="12" t="s">
        <v>40815</v>
      </c>
      <c r="P791" s="12" t="s">
        <v>41662</v>
      </c>
      <c r="Q791" s="12" t="s">
        <v>39945</v>
      </c>
      <c r="R791" s="12" t="s">
        <v>42213</v>
      </c>
      <c r="S791" s="12" t="s">
        <v>37996</v>
      </c>
      <c r="T791" s="12" t="s">
        <v>39106</v>
      </c>
      <c r="U791" s="12" t="s">
        <v>40797</v>
      </c>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12"/>
      <c r="BH791" s="12"/>
      <c r="BI791" s="12"/>
      <c r="BJ791" s="12"/>
      <c r="BK791" s="12"/>
      <c r="BL791" s="12"/>
      <c r="BM791" s="12"/>
      <c r="BN791" s="12"/>
      <c r="BO791" s="12"/>
      <c r="BP791" s="12"/>
      <c r="BQ791" s="12"/>
      <c r="BR791" s="12"/>
      <c r="BS791" s="12"/>
      <c r="BT791" s="12"/>
    </row>
    <row r="792" spans="1:72">
      <c r="A792" s="2" t="s">
        <v>15768</v>
      </c>
      <c r="B792" s="5" t="s">
        <v>15774</v>
      </c>
      <c r="C792" s="3" t="s">
        <v>138</v>
      </c>
      <c r="D792" s="4" t="s">
        <v>15769</v>
      </c>
      <c r="E792" s="15" t="s">
        <v>15781</v>
      </c>
      <c r="F792" s="15" t="s">
        <v>138</v>
      </c>
      <c r="G792" s="15" t="s">
        <v>1054</v>
      </c>
      <c r="H792" s="7">
        <v>3</v>
      </c>
      <c r="I792" s="6" t="s">
        <v>15785</v>
      </c>
      <c r="J792" s="6" t="s">
        <v>42216</v>
      </c>
      <c r="K792" s="6" t="s">
        <v>37868</v>
      </c>
      <c r="L792" s="6" t="s">
        <v>42217</v>
      </c>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row>
    <row r="793" spans="1:72">
      <c r="A793" s="8" t="s">
        <v>15789</v>
      </c>
      <c r="B793" s="11" t="s">
        <v>15795</v>
      </c>
      <c r="C793" s="9" t="s">
        <v>138</v>
      </c>
      <c r="D793" s="10" t="s">
        <v>138</v>
      </c>
      <c r="E793" s="28" t="s">
        <v>668</v>
      </c>
      <c r="F793" s="28" t="s">
        <v>200</v>
      </c>
      <c r="G793" s="28" t="s">
        <v>162</v>
      </c>
      <c r="H793" s="13">
        <v>41</v>
      </c>
      <c r="I793" s="12" t="s">
        <v>15804</v>
      </c>
      <c r="J793" s="12" t="s">
        <v>39545</v>
      </c>
      <c r="K793" s="12" t="s">
        <v>42218</v>
      </c>
      <c r="L793" s="12" t="s">
        <v>37936</v>
      </c>
      <c r="M793" s="12" t="s">
        <v>42219</v>
      </c>
      <c r="N793" s="12" t="s">
        <v>38411</v>
      </c>
      <c r="O793" s="12" t="s">
        <v>42220</v>
      </c>
      <c r="P793" s="12" t="s">
        <v>41828</v>
      </c>
      <c r="Q793" s="12" t="s">
        <v>38418</v>
      </c>
      <c r="R793" s="12" t="s">
        <v>39170</v>
      </c>
      <c r="S793" s="12" t="s">
        <v>38779</v>
      </c>
      <c r="T793" s="12" t="s">
        <v>37774</v>
      </c>
      <c r="U793" s="12" t="s">
        <v>40202</v>
      </c>
      <c r="V793" s="12" t="s">
        <v>42221</v>
      </c>
      <c r="W793" s="12" t="s">
        <v>38803</v>
      </c>
      <c r="X793" s="12" t="s">
        <v>42222</v>
      </c>
      <c r="Y793" s="12" t="s">
        <v>37775</v>
      </c>
      <c r="Z793" s="12" t="s">
        <v>37952</v>
      </c>
      <c r="AA793" s="12" t="s">
        <v>42223</v>
      </c>
      <c r="AB793" s="12" t="s">
        <v>37960</v>
      </c>
      <c r="AC793" s="12" t="s">
        <v>39919</v>
      </c>
      <c r="AD793" s="12" t="s">
        <v>42224</v>
      </c>
      <c r="AE793" s="12" t="s">
        <v>37824</v>
      </c>
      <c r="AF793" s="12" t="s">
        <v>38319</v>
      </c>
      <c r="AG793" s="12" t="s">
        <v>37965</v>
      </c>
      <c r="AH793" s="12" t="s">
        <v>38532</v>
      </c>
      <c r="AI793" s="12" t="s">
        <v>38001</v>
      </c>
      <c r="AJ793" s="12" t="s">
        <v>37829</v>
      </c>
      <c r="AK793" s="12" t="s">
        <v>37915</v>
      </c>
      <c r="AL793" s="12" t="s">
        <v>38030</v>
      </c>
      <c r="AM793" s="12" t="s">
        <v>39327</v>
      </c>
      <c r="AN793" s="12" t="s">
        <v>38714</v>
      </c>
      <c r="AO793" s="12" t="s">
        <v>42225</v>
      </c>
      <c r="AP793" s="12" t="s">
        <v>42226</v>
      </c>
      <c r="AQ793" s="12" t="s">
        <v>37783</v>
      </c>
      <c r="AR793" s="12" t="s">
        <v>39110</v>
      </c>
      <c r="AS793" s="12" t="s">
        <v>42227</v>
      </c>
      <c r="AT793" s="12" t="s">
        <v>37885</v>
      </c>
      <c r="AU793" s="12" t="s">
        <v>42228</v>
      </c>
      <c r="AV793" s="12" t="s">
        <v>39071</v>
      </c>
      <c r="AW793" s="12" t="s">
        <v>38143</v>
      </c>
      <c r="AX793" s="12" t="s">
        <v>42229</v>
      </c>
      <c r="AY793" s="12"/>
      <c r="AZ793" s="12"/>
      <c r="BA793" s="12"/>
      <c r="BB793" s="12"/>
      <c r="BC793" s="12"/>
      <c r="BD793" s="12"/>
      <c r="BE793" s="12"/>
      <c r="BF793" s="12"/>
      <c r="BG793" s="12"/>
      <c r="BH793" s="12"/>
      <c r="BI793" s="12"/>
      <c r="BJ793" s="12"/>
      <c r="BK793" s="12"/>
      <c r="BL793" s="12"/>
      <c r="BM793" s="12"/>
      <c r="BN793" s="12"/>
      <c r="BO793" s="12"/>
      <c r="BP793" s="12"/>
      <c r="BQ793" s="12"/>
      <c r="BR793" s="12"/>
      <c r="BS793" s="12"/>
      <c r="BT793" s="12"/>
    </row>
    <row r="794" spans="1:72">
      <c r="A794" s="2" t="s">
        <v>15809</v>
      </c>
      <c r="B794" s="5" t="s">
        <v>15814</v>
      </c>
      <c r="C794" s="3" t="s">
        <v>138</v>
      </c>
      <c r="D794" s="4" t="s">
        <v>138</v>
      </c>
      <c r="E794" s="15" t="s">
        <v>2694</v>
      </c>
      <c r="F794" s="15" t="s">
        <v>138</v>
      </c>
      <c r="G794" s="15" t="s">
        <v>1054</v>
      </c>
      <c r="H794" s="7">
        <v>6</v>
      </c>
      <c r="I794" s="6" t="s">
        <v>15823</v>
      </c>
      <c r="J794" s="6" t="s">
        <v>27849</v>
      </c>
      <c r="K794" s="6" t="s">
        <v>42230</v>
      </c>
      <c r="L794" s="6" t="s">
        <v>42231</v>
      </c>
      <c r="M794" s="6" t="s">
        <v>37781</v>
      </c>
      <c r="N794" s="6" t="s">
        <v>42232</v>
      </c>
      <c r="O794" s="6" t="s">
        <v>38787</v>
      </c>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row>
    <row r="795" spans="1:72">
      <c r="A795" s="8" t="s">
        <v>15827</v>
      </c>
      <c r="B795" s="11" t="s">
        <v>15833</v>
      </c>
      <c r="C795" s="9" t="s">
        <v>138</v>
      </c>
      <c r="D795" s="10" t="s">
        <v>138</v>
      </c>
      <c r="E795" s="28" t="s">
        <v>863</v>
      </c>
      <c r="F795" s="28" t="s">
        <v>864</v>
      </c>
      <c r="G795" s="28" t="s">
        <v>162</v>
      </c>
      <c r="H795" s="13">
        <v>12</v>
      </c>
      <c r="I795" s="12" t="s">
        <v>15843</v>
      </c>
      <c r="J795" s="12" t="s">
        <v>38061</v>
      </c>
      <c r="K795" s="12" t="s">
        <v>39958</v>
      </c>
      <c r="L795" s="12" t="s">
        <v>42233</v>
      </c>
      <c r="M795" s="12" t="s">
        <v>42234</v>
      </c>
      <c r="N795" s="12" t="s">
        <v>38803</v>
      </c>
      <c r="O795" s="12" t="s">
        <v>39438</v>
      </c>
      <c r="P795" s="12" t="s">
        <v>39962</v>
      </c>
      <c r="Q795" s="12" t="s">
        <v>38084</v>
      </c>
      <c r="R795" s="12" t="s">
        <v>40184</v>
      </c>
      <c r="S795" s="12" t="s">
        <v>38363</v>
      </c>
      <c r="T795" s="12" t="s">
        <v>38384</v>
      </c>
      <c r="U795" s="12" t="s">
        <v>41206</v>
      </c>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12"/>
      <c r="BH795" s="12"/>
      <c r="BI795" s="12"/>
      <c r="BJ795" s="12"/>
      <c r="BK795" s="12"/>
      <c r="BL795" s="12"/>
      <c r="BM795" s="12"/>
      <c r="BN795" s="12"/>
      <c r="BO795" s="12"/>
      <c r="BP795" s="12"/>
      <c r="BQ795" s="12"/>
      <c r="BR795" s="12"/>
      <c r="BS795" s="12"/>
      <c r="BT795" s="12"/>
    </row>
    <row r="796" spans="1:72">
      <c r="A796" s="2" t="s">
        <v>15847</v>
      </c>
      <c r="B796" s="5" t="s">
        <v>15852</v>
      </c>
      <c r="C796" s="3" t="s">
        <v>138</v>
      </c>
      <c r="D796" s="4" t="s">
        <v>138</v>
      </c>
      <c r="E796" s="15" t="s">
        <v>3330</v>
      </c>
      <c r="F796" s="15" t="s">
        <v>200</v>
      </c>
      <c r="G796" s="15" t="s">
        <v>162</v>
      </c>
      <c r="H796" s="7">
        <v>23</v>
      </c>
      <c r="I796" s="6" t="s">
        <v>15861</v>
      </c>
      <c r="J796" s="6" t="s">
        <v>42235</v>
      </c>
      <c r="K796" s="6" t="s">
        <v>42236</v>
      </c>
      <c r="L796" s="6" t="s">
        <v>39385</v>
      </c>
      <c r="M796" s="6" t="s">
        <v>42237</v>
      </c>
      <c r="N796" s="6" t="s">
        <v>42238</v>
      </c>
      <c r="O796" s="6" t="s">
        <v>41670</v>
      </c>
      <c r="P796" s="6" t="s">
        <v>39284</v>
      </c>
      <c r="Q796" s="6" t="s">
        <v>38415</v>
      </c>
      <c r="R796" s="6" t="s">
        <v>38416</v>
      </c>
      <c r="S796" s="6" t="s">
        <v>40517</v>
      </c>
      <c r="T796" s="6" t="s">
        <v>42239</v>
      </c>
      <c r="U796" s="6" t="s">
        <v>39379</v>
      </c>
      <c r="V796" s="6" t="s">
        <v>42240</v>
      </c>
      <c r="W796" s="6" t="s">
        <v>38873</v>
      </c>
      <c r="X796" s="6" t="s">
        <v>42241</v>
      </c>
      <c r="Y796" s="6" t="s">
        <v>37786</v>
      </c>
      <c r="Z796" s="6" t="s">
        <v>38513</v>
      </c>
      <c r="AA796" s="6" t="s">
        <v>38514</v>
      </c>
      <c r="AB796" s="6" t="s">
        <v>42242</v>
      </c>
      <c r="AC796" s="6" t="s">
        <v>42243</v>
      </c>
      <c r="AD796" s="6" t="s">
        <v>42244</v>
      </c>
      <c r="AE796" s="6" t="s">
        <v>38145</v>
      </c>
      <c r="AF796" s="6" t="s">
        <v>42245</v>
      </c>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row>
    <row r="797" spans="1:72">
      <c r="A797" s="8" t="s">
        <v>15865</v>
      </c>
      <c r="B797" s="11" t="s">
        <v>15870</v>
      </c>
      <c r="C797" s="9" t="s">
        <v>138</v>
      </c>
      <c r="D797" s="10" t="s">
        <v>15866</v>
      </c>
      <c r="E797" s="28" t="s">
        <v>2330</v>
      </c>
      <c r="F797" s="28" t="s">
        <v>2331</v>
      </c>
      <c r="G797" s="28" t="s">
        <v>2333</v>
      </c>
      <c r="H797" s="13">
        <v>13</v>
      </c>
      <c r="I797" s="12" t="s">
        <v>15878</v>
      </c>
      <c r="J797" s="12" t="s">
        <v>41032</v>
      </c>
      <c r="K797" s="12" t="s">
        <v>42246</v>
      </c>
      <c r="L797" s="12" t="s">
        <v>42247</v>
      </c>
      <c r="M797" s="12" t="s">
        <v>42248</v>
      </c>
      <c r="N797" s="12" t="s">
        <v>42249</v>
      </c>
      <c r="O797" s="12" t="s">
        <v>40276</v>
      </c>
      <c r="P797" s="12" t="s">
        <v>42250</v>
      </c>
      <c r="Q797" s="12" t="s">
        <v>42251</v>
      </c>
      <c r="R797" s="12" t="s">
        <v>42252</v>
      </c>
      <c r="S797" s="12" t="s">
        <v>38065</v>
      </c>
      <c r="T797" s="12" t="s">
        <v>38715</v>
      </c>
      <c r="U797" s="12" t="s">
        <v>42253</v>
      </c>
      <c r="V797" s="12" t="s">
        <v>42254</v>
      </c>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12"/>
      <c r="BH797" s="12"/>
      <c r="BI797" s="12"/>
      <c r="BJ797" s="12"/>
      <c r="BK797" s="12"/>
      <c r="BL797" s="12"/>
      <c r="BM797" s="12"/>
      <c r="BN797" s="12"/>
      <c r="BO797" s="12"/>
      <c r="BP797" s="12"/>
      <c r="BQ797" s="12"/>
      <c r="BR797" s="12"/>
      <c r="BS797" s="12"/>
      <c r="BT797" s="12"/>
    </row>
    <row r="798" spans="1:72">
      <c r="A798" s="2" t="s">
        <v>15881</v>
      </c>
      <c r="B798" s="5" t="s">
        <v>15886</v>
      </c>
      <c r="C798" s="3" t="s">
        <v>138</v>
      </c>
      <c r="D798" s="4" t="s">
        <v>138</v>
      </c>
      <c r="E798" s="15" t="s">
        <v>6611</v>
      </c>
      <c r="F798" s="15" t="s">
        <v>138</v>
      </c>
      <c r="G798" s="15" t="s">
        <v>1614</v>
      </c>
      <c r="H798" s="7">
        <v>12</v>
      </c>
      <c r="I798" s="6" t="s">
        <v>15896</v>
      </c>
      <c r="J798" s="6" t="s">
        <v>42255</v>
      </c>
      <c r="K798" s="6" t="s">
        <v>42256</v>
      </c>
      <c r="L798" s="6" t="s">
        <v>40195</v>
      </c>
      <c r="M798" s="6" t="s">
        <v>39470</v>
      </c>
      <c r="N798" s="6" t="s">
        <v>42257</v>
      </c>
      <c r="O798" s="6" t="s">
        <v>39509</v>
      </c>
      <c r="P798" s="6" t="s">
        <v>37855</v>
      </c>
      <c r="Q798" s="6" t="s">
        <v>42258</v>
      </c>
      <c r="R798" s="6" t="s">
        <v>39724</v>
      </c>
      <c r="S798" s="6" t="s">
        <v>41908</v>
      </c>
      <c r="T798" s="6" t="s">
        <v>42259</v>
      </c>
      <c r="U798" s="6" t="s">
        <v>37868</v>
      </c>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row>
    <row r="799" spans="1:72">
      <c r="A799" s="8" t="s">
        <v>15899</v>
      </c>
      <c r="B799" s="11" t="s">
        <v>15907</v>
      </c>
      <c r="C799" s="9" t="s">
        <v>15900</v>
      </c>
      <c r="D799" s="10" t="s">
        <v>15901</v>
      </c>
      <c r="E799" s="28" t="s">
        <v>15915</v>
      </c>
      <c r="F799" s="28" t="s">
        <v>200</v>
      </c>
      <c r="G799" s="28" t="s">
        <v>162</v>
      </c>
      <c r="H799" s="13">
        <v>6</v>
      </c>
      <c r="I799" s="12" t="s">
        <v>15919</v>
      </c>
      <c r="J799" s="12" t="s">
        <v>25820</v>
      </c>
      <c r="K799" s="12" t="s">
        <v>40277</v>
      </c>
      <c r="L799" s="12" t="s">
        <v>42260</v>
      </c>
      <c r="M799" s="12" t="s">
        <v>37960</v>
      </c>
      <c r="N799" s="12" t="s">
        <v>38272</v>
      </c>
      <c r="O799" s="12" t="s">
        <v>39011</v>
      </c>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12"/>
      <c r="BH799" s="12"/>
      <c r="BI799" s="12"/>
      <c r="BJ799" s="12"/>
      <c r="BK799" s="12"/>
      <c r="BL799" s="12"/>
      <c r="BM799" s="12"/>
      <c r="BN799" s="12"/>
      <c r="BO799" s="12"/>
      <c r="BP799" s="12"/>
      <c r="BQ799" s="12"/>
      <c r="BR799" s="12"/>
      <c r="BS799" s="12"/>
      <c r="BT799" s="12"/>
    </row>
    <row r="800" spans="1:72">
      <c r="A800" s="2" t="s">
        <v>15922</v>
      </c>
      <c r="B800" s="5" t="s">
        <v>15927</v>
      </c>
      <c r="C800" s="3" t="s">
        <v>15923</v>
      </c>
      <c r="D800" s="4" t="s">
        <v>138</v>
      </c>
      <c r="E800" s="15" t="s">
        <v>668</v>
      </c>
      <c r="F800" s="15" t="s">
        <v>200</v>
      </c>
      <c r="G800" s="15" t="s">
        <v>162</v>
      </c>
      <c r="H800" s="7">
        <v>29</v>
      </c>
      <c r="I800" s="6" t="s">
        <v>15935</v>
      </c>
      <c r="J800" s="6" t="s">
        <v>42261</v>
      </c>
      <c r="K800" s="6" t="s">
        <v>42262</v>
      </c>
      <c r="L800" s="6" t="s">
        <v>42263</v>
      </c>
      <c r="M800" s="6" t="s">
        <v>42264</v>
      </c>
      <c r="N800" s="6" t="s">
        <v>38922</v>
      </c>
      <c r="O800" s="6" t="s">
        <v>39714</v>
      </c>
      <c r="P800" s="6" t="s">
        <v>42265</v>
      </c>
      <c r="Q800" s="6" t="s">
        <v>42266</v>
      </c>
      <c r="R800" s="6" t="s">
        <v>42267</v>
      </c>
      <c r="S800" s="6" t="s">
        <v>37775</v>
      </c>
      <c r="T800" s="6" t="s">
        <v>37801</v>
      </c>
      <c r="U800" s="6" t="s">
        <v>42268</v>
      </c>
      <c r="V800" s="6" t="s">
        <v>42269</v>
      </c>
      <c r="W800" s="6" t="s">
        <v>37992</v>
      </c>
      <c r="X800" s="6" t="s">
        <v>38428</v>
      </c>
      <c r="Y800" s="6" t="s">
        <v>42014</v>
      </c>
      <c r="Z800" s="6" t="s">
        <v>42270</v>
      </c>
      <c r="AA800" s="6" t="s">
        <v>41263</v>
      </c>
      <c r="AB800" s="6" t="s">
        <v>40209</v>
      </c>
      <c r="AC800" s="6" t="s">
        <v>38804</v>
      </c>
      <c r="AD800" s="6" t="s">
        <v>39295</v>
      </c>
      <c r="AE800" s="6" t="s">
        <v>42271</v>
      </c>
      <c r="AF800" s="6" t="s">
        <v>38166</v>
      </c>
      <c r="AG800" s="6" t="s">
        <v>38954</v>
      </c>
      <c r="AH800" s="6" t="s">
        <v>38143</v>
      </c>
      <c r="AI800" s="6" t="s">
        <v>40069</v>
      </c>
      <c r="AJ800" s="6" t="s">
        <v>41206</v>
      </c>
      <c r="AK800" s="6" t="s">
        <v>42272</v>
      </c>
      <c r="AL800" s="6" t="s">
        <v>42273</v>
      </c>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row>
    <row r="801" spans="1:72">
      <c r="A801" s="8" t="s">
        <v>15940</v>
      </c>
      <c r="B801" s="11" t="s">
        <v>15945</v>
      </c>
      <c r="C801" s="9" t="s">
        <v>15941</v>
      </c>
      <c r="D801" s="10" t="s">
        <v>138</v>
      </c>
      <c r="E801" s="28" t="s">
        <v>823</v>
      </c>
      <c r="F801" s="28" t="s">
        <v>824</v>
      </c>
      <c r="G801" s="28" t="s">
        <v>526</v>
      </c>
      <c r="H801" s="13">
        <v>40</v>
      </c>
      <c r="I801" s="12" t="s">
        <v>15953</v>
      </c>
      <c r="J801" s="12" t="s">
        <v>38720</v>
      </c>
      <c r="K801" s="12" t="s">
        <v>42274</v>
      </c>
      <c r="L801" s="12" t="s">
        <v>39089</v>
      </c>
      <c r="M801" s="12" t="s">
        <v>42275</v>
      </c>
      <c r="N801" s="12" t="s">
        <v>42276</v>
      </c>
      <c r="O801" s="12" t="s">
        <v>41517</v>
      </c>
      <c r="P801" s="12" t="s">
        <v>42277</v>
      </c>
      <c r="Q801" s="12" t="s">
        <v>41569</v>
      </c>
      <c r="R801" s="12" t="s">
        <v>42278</v>
      </c>
      <c r="S801" s="12" t="s">
        <v>39508</v>
      </c>
      <c r="T801" s="12" t="s">
        <v>42279</v>
      </c>
      <c r="U801" s="12" t="s">
        <v>38422</v>
      </c>
      <c r="V801" s="12" t="s">
        <v>42280</v>
      </c>
      <c r="W801" s="12" t="s">
        <v>37855</v>
      </c>
      <c r="X801" s="12" t="s">
        <v>42281</v>
      </c>
      <c r="Y801" s="12" t="s">
        <v>41528</v>
      </c>
      <c r="Z801" s="12" t="s">
        <v>38334</v>
      </c>
      <c r="AA801" s="12" t="s">
        <v>42282</v>
      </c>
      <c r="AB801" s="12" t="s">
        <v>42283</v>
      </c>
      <c r="AC801" s="12" t="s">
        <v>42284</v>
      </c>
      <c r="AD801" s="12" t="s">
        <v>42285</v>
      </c>
      <c r="AE801" s="12" t="s">
        <v>38127</v>
      </c>
      <c r="AF801" s="12" t="s">
        <v>42286</v>
      </c>
      <c r="AG801" s="12" t="s">
        <v>42287</v>
      </c>
      <c r="AH801" s="12" t="s">
        <v>37998</v>
      </c>
      <c r="AI801" s="12" t="s">
        <v>42288</v>
      </c>
      <c r="AJ801" s="12" t="s">
        <v>37781</v>
      </c>
      <c r="AK801" s="12" t="s">
        <v>38712</v>
      </c>
      <c r="AL801" s="12" t="s">
        <v>42289</v>
      </c>
      <c r="AM801" s="12" t="s">
        <v>39327</v>
      </c>
      <c r="AN801" s="12" t="s">
        <v>42290</v>
      </c>
      <c r="AO801" s="12" t="s">
        <v>42291</v>
      </c>
      <c r="AP801" s="12" t="s">
        <v>42292</v>
      </c>
      <c r="AQ801" s="12" t="s">
        <v>39727</v>
      </c>
      <c r="AR801" s="12" t="s">
        <v>42293</v>
      </c>
      <c r="AS801" s="12" t="s">
        <v>40643</v>
      </c>
      <c r="AT801" s="12" t="s">
        <v>42294</v>
      </c>
      <c r="AU801" s="12" t="s">
        <v>38143</v>
      </c>
      <c r="AV801" s="12" t="s">
        <v>42295</v>
      </c>
      <c r="AW801" s="12" t="s">
        <v>42296</v>
      </c>
      <c r="AX801" s="12"/>
      <c r="AY801" s="12"/>
      <c r="AZ801" s="12"/>
      <c r="BA801" s="12"/>
      <c r="BB801" s="12"/>
      <c r="BC801" s="12"/>
      <c r="BD801" s="12"/>
      <c r="BE801" s="12"/>
      <c r="BF801" s="12"/>
      <c r="BG801" s="12"/>
      <c r="BH801" s="12"/>
      <c r="BI801" s="12"/>
      <c r="BJ801" s="12"/>
      <c r="BK801" s="12"/>
      <c r="BL801" s="12"/>
      <c r="BM801" s="12"/>
      <c r="BN801" s="12"/>
      <c r="BO801" s="12"/>
      <c r="BP801" s="12"/>
      <c r="BQ801" s="12"/>
      <c r="BR801" s="12"/>
      <c r="BS801" s="12"/>
      <c r="BT801" s="12"/>
    </row>
    <row r="802" spans="1:72">
      <c r="A802" s="2" t="s">
        <v>15958</v>
      </c>
      <c r="B802" s="5" t="s">
        <v>15962</v>
      </c>
      <c r="C802" s="3" t="s">
        <v>138</v>
      </c>
      <c r="D802" s="4" t="s">
        <v>138</v>
      </c>
      <c r="E802" s="15" t="s">
        <v>668</v>
      </c>
      <c r="F802" s="15" t="s">
        <v>200</v>
      </c>
      <c r="G802" s="15" t="s">
        <v>162</v>
      </c>
      <c r="H802" s="7">
        <v>9</v>
      </c>
      <c r="I802" s="6" t="s">
        <v>15971</v>
      </c>
      <c r="J802" s="6" t="s">
        <v>36284</v>
      </c>
      <c r="K802" s="6" t="s">
        <v>42297</v>
      </c>
      <c r="L802" s="6" t="s">
        <v>42298</v>
      </c>
      <c r="M802" s="6" t="s">
        <v>40086</v>
      </c>
      <c r="N802" s="6" t="s">
        <v>42299</v>
      </c>
      <c r="O802" s="6" t="s">
        <v>42300</v>
      </c>
      <c r="P802" s="6" t="s">
        <v>37781</v>
      </c>
      <c r="Q802" s="6" t="s">
        <v>37804</v>
      </c>
      <c r="R802" s="6" t="s">
        <v>39656</v>
      </c>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row>
    <row r="803" spans="1:72">
      <c r="A803" s="8" t="s">
        <v>15974</v>
      </c>
      <c r="B803" s="11" t="s">
        <v>15977</v>
      </c>
      <c r="C803" s="9" t="s">
        <v>138</v>
      </c>
      <c r="D803" s="10" t="s">
        <v>138</v>
      </c>
      <c r="E803" s="28" t="s">
        <v>3452</v>
      </c>
      <c r="F803" s="28" t="s">
        <v>3453</v>
      </c>
      <c r="G803" s="28" t="s">
        <v>2333</v>
      </c>
      <c r="H803" s="13">
        <v>3</v>
      </c>
      <c r="I803" s="12" t="s">
        <v>15989</v>
      </c>
      <c r="J803" s="12" t="s">
        <v>21198</v>
      </c>
      <c r="K803" s="12" t="s">
        <v>42301</v>
      </c>
      <c r="L803" s="12" t="s">
        <v>40564</v>
      </c>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12"/>
      <c r="BH803" s="12"/>
      <c r="BI803" s="12"/>
      <c r="BJ803" s="12"/>
      <c r="BK803" s="12"/>
      <c r="BL803" s="12"/>
      <c r="BM803" s="12"/>
      <c r="BN803" s="12"/>
      <c r="BO803" s="12"/>
      <c r="BP803" s="12"/>
      <c r="BQ803" s="12"/>
      <c r="BR803" s="12"/>
      <c r="BS803" s="12"/>
      <c r="BT803" s="12"/>
    </row>
    <row r="804" spans="1:72">
      <c r="A804" s="2" t="s">
        <v>15993</v>
      </c>
      <c r="B804" s="5" t="s">
        <v>15998</v>
      </c>
      <c r="C804" s="3" t="s">
        <v>15994</v>
      </c>
      <c r="D804" s="4" t="s">
        <v>138</v>
      </c>
      <c r="E804" s="15" t="s">
        <v>2005</v>
      </c>
      <c r="F804" s="15" t="s">
        <v>200</v>
      </c>
      <c r="G804" s="15" t="s">
        <v>162</v>
      </c>
      <c r="H804" s="7">
        <v>10</v>
      </c>
      <c r="I804" s="6" t="s">
        <v>16008</v>
      </c>
      <c r="J804" s="6" t="s">
        <v>38897</v>
      </c>
      <c r="K804" s="6" t="s">
        <v>38462</v>
      </c>
      <c r="L804" s="6" t="s">
        <v>41454</v>
      </c>
      <c r="M804" s="6" t="s">
        <v>38463</v>
      </c>
      <c r="N804" s="6" t="s">
        <v>42302</v>
      </c>
      <c r="O804" s="6" t="s">
        <v>42303</v>
      </c>
      <c r="P804" s="6" t="s">
        <v>42304</v>
      </c>
      <c r="Q804" s="6" t="s">
        <v>42305</v>
      </c>
      <c r="R804" s="6" t="s">
        <v>42306</v>
      </c>
      <c r="S804" s="6" t="s">
        <v>39811</v>
      </c>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row>
    <row r="805" spans="1:72">
      <c r="A805" s="8" t="s">
        <v>16013</v>
      </c>
      <c r="B805" s="11" t="s">
        <v>16018</v>
      </c>
      <c r="C805" s="9" t="s">
        <v>138</v>
      </c>
      <c r="D805" s="10" t="s">
        <v>138</v>
      </c>
      <c r="E805" s="28" t="s">
        <v>1294</v>
      </c>
      <c r="F805" s="28" t="s">
        <v>864</v>
      </c>
      <c r="G805" s="28" t="s">
        <v>162</v>
      </c>
      <c r="H805" s="13">
        <v>11</v>
      </c>
      <c r="I805" s="12" t="s">
        <v>16029</v>
      </c>
      <c r="J805" s="12" t="s">
        <v>42307</v>
      </c>
      <c r="K805" s="12" t="s">
        <v>42308</v>
      </c>
      <c r="L805" s="12" t="s">
        <v>41211</v>
      </c>
      <c r="M805" s="12" t="s">
        <v>38635</v>
      </c>
      <c r="N805" s="12" t="s">
        <v>38300</v>
      </c>
      <c r="O805" s="12" t="s">
        <v>42089</v>
      </c>
      <c r="P805" s="12" t="s">
        <v>42309</v>
      </c>
      <c r="Q805" s="12" t="s">
        <v>42310</v>
      </c>
      <c r="R805" s="12" t="s">
        <v>42311</v>
      </c>
      <c r="S805" s="12" t="s">
        <v>41949</v>
      </c>
      <c r="T805" s="12" t="s">
        <v>38383</v>
      </c>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12"/>
      <c r="BH805" s="12"/>
      <c r="BI805" s="12"/>
      <c r="BJ805" s="12"/>
      <c r="BK805" s="12"/>
      <c r="BL805" s="12"/>
      <c r="BM805" s="12"/>
      <c r="BN805" s="12"/>
      <c r="BO805" s="12"/>
      <c r="BP805" s="12"/>
      <c r="BQ805" s="12"/>
      <c r="BR805" s="12"/>
      <c r="BS805" s="12"/>
      <c r="BT805" s="12"/>
    </row>
    <row r="806" spans="1:72">
      <c r="A806" s="2" t="s">
        <v>16033</v>
      </c>
      <c r="B806" s="5" t="s">
        <v>16040</v>
      </c>
      <c r="C806" s="3" t="s">
        <v>16034</v>
      </c>
      <c r="D806" s="4" t="s">
        <v>138</v>
      </c>
      <c r="E806" s="15" t="s">
        <v>668</v>
      </c>
      <c r="F806" s="15" t="s">
        <v>200</v>
      </c>
      <c r="G806" s="15" t="s">
        <v>162</v>
      </c>
      <c r="H806" s="7">
        <v>14</v>
      </c>
      <c r="I806" s="6" t="s">
        <v>16047</v>
      </c>
      <c r="J806" s="6" t="s">
        <v>38061</v>
      </c>
      <c r="K806" s="6" t="s">
        <v>38354</v>
      </c>
      <c r="L806" s="6" t="s">
        <v>38416</v>
      </c>
      <c r="M806" s="6" t="s">
        <v>38368</v>
      </c>
      <c r="N806" s="6" t="s">
        <v>37949</v>
      </c>
      <c r="O806" s="6" t="s">
        <v>37921</v>
      </c>
      <c r="P806" s="6" t="s">
        <v>38721</v>
      </c>
      <c r="Q806" s="6" t="s">
        <v>38352</v>
      </c>
      <c r="R806" s="6" t="s">
        <v>42312</v>
      </c>
      <c r="S806" s="6" t="s">
        <v>38141</v>
      </c>
      <c r="T806" s="6" t="s">
        <v>37783</v>
      </c>
      <c r="U806" s="6" t="s">
        <v>42313</v>
      </c>
      <c r="V806" s="6" t="s">
        <v>42314</v>
      </c>
      <c r="W806" s="6" t="s">
        <v>37976</v>
      </c>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row>
    <row r="807" spans="1:72">
      <c r="A807" s="8" t="s">
        <v>16050</v>
      </c>
      <c r="B807" s="11" t="s">
        <v>16056</v>
      </c>
      <c r="C807" s="9" t="s">
        <v>16051</v>
      </c>
      <c r="D807" s="10" t="s">
        <v>138</v>
      </c>
      <c r="E807" s="28" t="s">
        <v>668</v>
      </c>
      <c r="F807" s="28" t="s">
        <v>200</v>
      </c>
      <c r="G807" s="28" t="s">
        <v>162</v>
      </c>
      <c r="H807" s="13">
        <v>10</v>
      </c>
      <c r="I807" s="12" t="s">
        <v>16066</v>
      </c>
      <c r="J807" s="12" t="s">
        <v>38198</v>
      </c>
      <c r="K807" s="12" t="s">
        <v>37822</v>
      </c>
      <c r="L807" s="12" t="s">
        <v>38189</v>
      </c>
      <c r="M807" s="12" t="s">
        <v>37824</v>
      </c>
      <c r="N807" s="12" t="s">
        <v>38702</v>
      </c>
      <c r="O807" s="12" t="s">
        <v>38049</v>
      </c>
      <c r="P807" s="12" t="s">
        <v>40643</v>
      </c>
      <c r="Q807" s="12" t="s">
        <v>38753</v>
      </c>
      <c r="R807" s="12" t="s">
        <v>41823</v>
      </c>
      <c r="S807" s="12" t="s">
        <v>38145</v>
      </c>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12"/>
      <c r="BH807" s="12"/>
      <c r="BI807" s="12"/>
      <c r="BJ807" s="12"/>
      <c r="BK807" s="12"/>
      <c r="BL807" s="12"/>
      <c r="BM807" s="12"/>
      <c r="BN807" s="12"/>
      <c r="BO807" s="12"/>
      <c r="BP807" s="12"/>
      <c r="BQ807" s="12"/>
      <c r="BR807" s="12"/>
      <c r="BS807" s="12"/>
      <c r="BT807" s="12"/>
    </row>
    <row r="808" spans="1:72">
      <c r="A808" s="2" t="s">
        <v>16069</v>
      </c>
      <c r="B808" s="5" t="s">
        <v>16074</v>
      </c>
      <c r="C808" s="3" t="s">
        <v>138</v>
      </c>
      <c r="D808" s="4" t="s">
        <v>138</v>
      </c>
      <c r="E808" s="15" t="s">
        <v>944</v>
      </c>
      <c r="F808" s="15" t="s">
        <v>138</v>
      </c>
      <c r="G808" s="15" t="s">
        <v>946</v>
      </c>
      <c r="H808" s="7">
        <v>21</v>
      </c>
      <c r="I808" s="6" t="s">
        <v>16082</v>
      </c>
      <c r="J808" s="6" t="s">
        <v>42315</v>
      </c>
      <c r="K808" s="6" t="s">
        <v>40195</v>
      </c>
      <c r="L808" s="6" t="s">
        <v>38339</v>
      </c>
      <c r="M808" s="6" t="s">
        <v>39053</v>
      </c>
      <c r="N808" s="6" t="s">
        <v>38572</v>
      </c>
      <c r="O808" s="6" t="s">
        <v>42316</v>
      </c>
      <c r="P808" s="6" t="s">
        <v>42317</v>
      </c>
      <c r="Q808" s="6" t="s">
        <v>37881</v>
      </c>
      <c r="R808" s="6" t="s">
        <v>42318</v>
      </c>
      <c r="S808" s="6" t="s">
        <v>42319</v>
      </c>
      <c r="T808" s="6" t="s">
        <v>38062</v>
      </c>
      <c r="U808" s="6" t="s">
        <v>39919</v>
      </c>
      <c r="V808" s="6" t="s">
        <v>37824</v>
      </c>
      <c r="W808" s="6" t="s">
        <v>41419</v>
      </c>
      <c r="X808" s="6" t="s">
        <v>42320</v>
      </c>
      <c r="Y808" s="6" t="s">
        <v>37916</v>
      </c>
      <c r="Z808" s="6" t="s">
        <v>38716</v>
      </c>
      <c r="AA808" s="6" t="s">
        <v>38401</v>
      </c>
      <c r="AB808" s="6" t="s">
        <v>42003</v>
      </c>
      <c r="AC808" s="6" t="s">
        <v>42321</v>
      </c>
      <c r="AD808" s="6" t="s">
        <v>37977</v>
      </c>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row>
    <row r="809" spans="1:72">
      <c r="A809" s="8" t="s">
        <v>16087</v>
      </c>
      <c r="B809" s="11" t="s">
        <v>16092</v>
      </c>
      <c r="C809" s="9" t="s">
        <v>138</v>
      </c>
      <c r="D809" s="10" t="s">
        <v>16088</v>
      </c>
      <c r="E809" s="28" t="s">
        <v>16098</v>
      </c>
      <c r="F809" s="28" t="s">
        <v>138</v>
      </c>
      <c r="G809" s="28" t="s">
        <v>16099</v>
      </c>
      <c r="H809" s="13">
        <v>13</v>
      </c>
      <c r="I809" s="12" t="s">
        <v>16102</v>
      </c>
      <c r="J809" s="12" t="s">
        <v>25482</v>
      </c>
      <c r="K809" s="12" t="s">
        <v>42322</v>
      </c>
      <c r="L809" s="12" t="s">
        <v>41993</v>
      </c>
      <c r="M809" s="12" t="s">
        <v>42323</v>
      </c>
      <c r="N809" s="12" t="s">
        <v>42324</v>
      </c>
      <c r="O809" s="12" t="s">
        <v>38514</v>
      </c>
      <c r="P809" s="12" t="s">
        <v>42325</v>
      </c>
      <c r="Q809" s="12" t="s">
        <v>42326</v>
      </c>
      <c r="R809" s="12" t="s">
        <v>39989</v>
      </c>
      <c r="S809" s="12" t="s">
        <v>41041</v>
      </c>
      <c r="T809" s="12" t="s">
        <v>38167</v>
      </c>
      <c r="U809" s="12" t="s">
        <v>42327</v>
      </c>
      <c r="V809" s="12" t="s">
        <v>37976</v>
      </c>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12"/>
      <c r="BH809" s="12"/>
      <c r="BI809" s="12"/>
      <c r="BJ809" s="12"/>
      <c r="BK809" s="12"/>
      <c r="BL809" s="12"/>
      <c r="BM809" s="12"/>
      <c r="BN809" s="12"/>
      <c r="BO809" s="12"/>
      <c r="BP809" s="12"/>
      <c r="BQ809" s="12"/>
      <c r="BR809" s="12"/>
      <c r="BS809" s="12"/>
      <c r="BT809" s="12"/>
    </row>
    <row r="810" spans="1:72">
      <c r="A810" s="2" t="s">
        <v>16105</v>
      </c>
      <c r="B810" s="5" t="s">
        <v>16109</v>
      </c>
      <c r="C810" s="3" t="s">
        <v>138</v>
      </c>
      <c r="D810" s="4" t="s">
        <v>138</v>
      </c>
      <c r="E810" s="15" t="s">
        <v>6079</v>
      </c>
      <c r="F810" s="15" t="s">
        <v>200</v>
      </c>
      <c r="G810" s="15" t="s">
        <v>162</v>
      </c>
      <c r="H810" s="7">
        <v>19</v>
      </c>
      <c r="I810" s="6" t="s">
        <v>16118</v>
      </c>
      <c r="J810" s="6" t="s">
        <v>42328</v>
      </c>
      <c r="K810" s="6" t="s">
        <v>38354</v>
      </c>
      <c r="L810" s="6" t="s">
        <v>39229</v>
      </c>
      <c r="M810" s="6" t="s">
        <v>38111</v>
      </c>
      <c r="N810" s="6" t="s">
        <v>38367</v>
      </c>
      <c r="O810" s="6" t="s">
        <v>41197</v>
      </c>
      <c r="P810" s="6" t="s">
        <v>42329</v>
      </c>
      <c r="Q810" s="6" t="s">
        <v>39999</v>
      </c>
      <c r="R810" s="6" t="s">
        <v>38128</v>
      </c>
      <c r="S810" s="6" t="s">
        <v>42330</v>
      </c>
      <c r="T810" s="6" t="s">
        <v>42331</v>
      </c>
      <c r="U810" s="6" t="s">
        <v>42332</v>
      </c>
      <c r="V810" s="6" t="s">
        <v>38645</v>
      </c>
      <c r="W810" s="6" t="s">
        <v>42333</v>
      </c>
      <c r="X810" s="6" t="s">
        <v>42334</v>
      </c>
      <c r="Y810" s="6" t="s">
        <v>42335</v>
      </c>
      <c r="Z810" s="6" t="s">
        <v>42336</v>
      </c>
      <c r="AA810" s="6" t="s">
        <v>39184</v>
      </c>
      <c r="AB810" s="6" t="s">
        <v>39647</v>
      </c>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row>
    <row r="811" spans="1:72">
      <c r="A811" s="8" t="s">
        <v>16122</v>
      </c>
      <c r="B811" s="11" t="s">
        <v>16127</v>
      </c>
      <c r="C811" s="9" t="s">
        <v>138</v>
      </c>
      <c r="D811" s="10" t="s">
        <v>138</v>
      </c>
      <c r="E811" s="28" t="s">
        <v>426</v>
      </c>
      <c r="F811" s="28" t="s">
        <v>426</v>
      </c>
      <c r="G811" s="28" t="s">
        <v>162</v>
      </c>
      <c r="H811" s="13">
        <v>11</v>
      </c>
      <c r="I811" s="12" t="s">
        <v>16135</v>
      </c>
      <c r="J811" s="12" t="s">
        <v>42337</v>
      </c>
      <c r="K811" s="12" t="s">
        <v>37832</v>
      </c>
      <c r="L811" s="12" t="s">
        <v>40346</v>
      </c>
      <c r="M811" s="12" t="s">
        <v>38011</v>
      </c>
      <c r="N811" s="12" t="s">
        <v>37922</v>
      </c>
      <c r="O811" s="12" t="s">
        <v>38640</v>
      </c>
      <c r="P811" s="12" t="s">
        <v>38807</v>
      </c>
      <c r="Q811" s="12" t="s">
        <v>38100</v>
      </c>
      <c r="R811" s="12" t="s">
        <v>42338</v>
      </c>
      <c r="S811" s="12" t="s">
        <v>37784</v>
      </c>
      <c r="T811" s="12" t="s">
        <v>38404</v>
      </c>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12"/>
      <c r="BH811" s="12"/>
      <c r="BI811" s="12"/>
      <c r="BJ811" s="12"/>
      <c r="BK811" s="12"/>
      <c r="BL811" s="12"/>
      <c r="BM811" s="12"/>
      <c r="BN811" s="12"/>
      <c r="BO811" s="12"/>
      <c r="BP811" s="12"/>
      <c r="BQ811" s="12"/>
      <c r="BR811" s="12"/>
      <c r="BS811" s="12"/>
      <c r="BT811" s="12"/>
    </row>
    <row r="812" spans="1:72">
      <c r="A812" s="2" t="s">
        <v>16139</v>
      </c>
      <c r="B812" s="5" t="s">
        <v>16144</v>
      </c>
      <c r="C812" s="3" t="s">
        <v>16140</v>
      </c>
      <c r="D812" s="4" t="s">
        <v>138</v>
      </c>
      <c r="E812" s="15" t="s">
        <v>15388</v>
      </c>
      <c r="F812" s="15" t="s">
        <v>284</v>
      </c>
      <c r="G812" s="15" t="s">
        <v>162</v>
      </c>
      <c r="H812" s="7">
        <v>26</v>
      </c>
      <c r="I812" s="6" t="s">
        <v>16153</v>
      </c>
      <c r="J812" s="6" t="s">
        <v>40608</v>
      </c>
      <c r="K812" s="6" t="s">
        <v>42339</v>
      </c>
      <c r="L812" s="6" t="s">
        <v>42340</v>
      </c>
      <c r="M812" s="6" t="s">
        <v>42341</v>
      </c>
      <c r="N812" s="6" t="s">
        <v>37936</v>
      </c>
      <c r="O812" s="6" t="s">
        <v>42342</v>
      </c>
      <c r="P812" s="6" t="s">
        <v>39266</v>
      </c>
      <c r="Q812" s="6" t="s">
        <v>42343</v>
      </c>
      <c r="R812" s="6" t="s">
        <v>41828</v>
      </c>
      <c r="S812" s="6" t="s">
        <v>37819</v>
      </c>
      <c r="T812" s="6" t="s">
        <v>37774</v>
      </c>
      <c r="U812" s="6" t="s">
        <v>39463</v>
      </c>
      <c r="V812" s="6" t="s">
        <v>38444</v>
      </c>
      <c r="W812" s="6" t="s">
        <v>42344</v>
      </c>
      <c r="X812" s="6" t="s">
        <v>42345</v>
      </c>
      <c r="Y812" s="6" t="s">
        <v>39349</v>
      </c>
      <c r="Z812" s="6" t="s">
        <v>37995</v>
      </c>
      <c r="AA812" s="6" t="s">
        <v>42346</v>
      </c>
      <c r="AB812" s="6" t="s">
        <v>38752</v>
      </c>
      <c r="AC812" s="6" t="s">
        <v>39662</v>
      </c>
      <c r="AD812" s="6" t="s">
        <v>37784</v>
      </c>
      <c r="AE812" s="6" t="s">
        <v>40248</v>
      </c>
      <c r="AF812" s="6" t="s">
        <v>38753</v>
      </c>
      <c r="AG812" s="6" t="s">
        <v>42347</v>
      </c>
      <c r="AH812" s="6" t="s">
        <v>39941</v>
      </c>
      <c r="AI812" s="6" t="s">
        <v>37895</v>
      </c>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row>
    <row r="813" spans="1:72">
      <c r="A813" s="8" t="s">
        <v>16156</v>
      </c>
      <c r="B813" s="11" t="s">
        <v>16160</v>
      </c>
      <c r="C813" s="9" t="s">
        <v>138</v>
      </c>
      <c r="D813" s="10" t="s">
        <v>138</v>
      </c>
      <c r="E813" s="28" t="s">
        <v>863</v>
      </c>
      <c r="F813" s="28" t="s">
        <v>864</v>
      </c>
      <c r="G813" s="28" t="s">
        <v>162</v>
      </c>
      <c r="H813" s="13">
        <v>3</v>
      </c>
      <c r="I813" s="12" t="s">
        <v>16169</v>
      </c>
      <c r="J813" s="12" t="s">
        <v>9119</v>
      </c>
      <c r="K813" s="12" t="s">
        <v>37781</v>
      </c>
      <c r="L813" s="12" t="s">
        <v>42348</v>
      </c>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12"/>
      <c r="BH813" s="12"/>
      <c r="BI813" s="12"/>
      <c r="BJ813" s="12"/>
      <c r="BK813" s="12"/>
      <c r="BL813" s="12"/>
      <c r="BM813" s="12"/>
      <c r="BN813" s="12"/>
      <c r="BO813" s="12"/>
      <c r="BP813" s="12"/>
      <c r="BQ813" s="12"/>
      <c r="BR813" s="12"/>
      <c r="BS813" s="12"/>
      <c r="BT813" s="12"/>
    </row>
    <row r="814" spans="1:72">
      <c r="A814" s="2" t="s">
        <v>16172</v>
      </c>
      <c r="B814" s="5" t="s">
        <v>16178</v>
      </c>
      <c r="C814" s="3" t="s">
        <v>138</v>
      </c>
      <c r="D814" s="4" t="s">
        <v>138</v>
      </c>
      <c r="E814" s="15" t="s">
        <v>16186</v>
      </c>
      <c r="F814" s="15" t="s">
        <v>160</v>
      </c>
      <c r="G814" s="15" t="s">
        <v>162</v>
      </c>
      <c r="H814" s="7">
        <v>11</v>
      </c>
      <c r="I814" s="6" t="s">
        <v>16190</v>
      </c>
      <c r="J814" s="6" t="s">
        <v>42349</v>
      </c>
      <c r="K814" s="6" t="s">
        <v>42350</v>
      </c>
      <c r="L814" s="6" t="s">
        <v>42351</v>
      </c>
      <c r="M814" s="6" t="s">
        <v>39204</v>
      </c>
      <c r="N814" s="6" t="s">
        <v>39219</v>
      </c>
      <c r="O814" s="6" t="s">
        <v>42352</v>
      </c>
      <c r="P814" s="6" t="s">
        <v>42353</v>
      </c>
      <c r="Q814" s="6" t="s">
        <v>41052</v>
      </c>
      <c r="R814" s="6" t="s">
        <v>42354</v>
      </c>
      <c r="S814" s="6" t="s">
        <v>38200</v>
      </c>
      <c r="T814" s="6" t="s">
        <v>39626</v>
      </c>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row>
    <row r="815" spans="1:72">
      <c r="A815" s="8" t="s">
        <v>16194</v>
      </c>
      <c r="B815" s="11" t="s">
        <v>16200</v>
      </c>
      <c r="C815" s="9" t="s">
        <v>138</v>
      </c>
      <c r="D815" s="10" t="s">
        <v>16195</v>
      </c>
      <c r="E815" s="28" t="s">
        <v>11750</v>
      </c>
      <c r="F815" s="28" t="s">
        <v>200</v>
      </c>
      <c r="G815" s="28" t="s">
        <v>162</v>
      </c>
      <c r="H815" s="13">
        <v>3</v>
      </c>
      <c r="I815" s="12" t="s">
        <v>16210</v>
      </c>
      <c r="J815" s="12" t="s">
        <v>42355</v>
      </c>
      <c r="K815" s="12" t="s">
        <v>38200</v>
      </c>
      <c r="L815" s="12" t="s">
        <v>38731</v>
      </c>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12"/>
      <c r="BH815" s="12"/>
      <c r="BI815" s="12"/>
      <c r="BJ815" s="12"/>
      <c r="BK815" s="12"/>
      <c r="BL815" s="12"/>
      <c r="BM815" s="12"/>
      <c r="BN815" s="12"/>
      <c r="BO815" s="12"/>
      <c r="BP815" s="12"/>
      <c r="BQ815" s="12"/>
      <c r="BR815" s="12"/>
      <c r="BS815" s="12"/>
      <c r="BT815" s="12"/>
    </row>
    <row r="816" spans="1:72">
      <c r="A816" s="2" t="s">
        <v>16214</v>
      </c>
      <c r="B816" s="5" t="s">
        <v>16220</v>
      </c>
      <c r="C816" s="3" t="s">
        <v>138</v>
      </c>
      <c r="D816" s="4" t="s">
        <v>138</v>
      </c>
      <c r="E816" s="15" t="s">
        <v>1872</v>
      </c>
      <c r="F816" s="15" t="s">
        <v>200</v>
      </c>
      <c r="G816" s="15" t="s">
        <v>162</v>
      </c>
      <c r="H816" s="7">
        <v>16</v>
      </c>
      <c r="I816" s="6" t="s">
        <v>16229</v>
      </c>
      <c r="J816" s="6" t="s">
        <v>42356</v>
      </c>
      <c r="K816" s="6" t="s">
        <v>42357</v>
      </c>
      <c r="L816" s="6" t="s">
        <v>42358</v>
      </c>
      <c r="M816" s="6" t="s">
        <v>39804</v>
      </c>
      <c r="N816" s="6" t="s">
        <v>42359</v>
      </c>
      <c r="O816" s="6" t="s">
        <v>42360</v>
      </c>
      <c r="P816" s="6" t="s">
        <v>40181</v>
      </c>
      <c r="Q816" s="6" t="s">
        <v>42361</v>
      </c>
      <c r="R816" s="6" t="s">
        <v>38396</v>
      </c>
      <c r="S816" s="6" t="s">
        <v>38531</v>
      </c>
      <c r="T816" s="6" t="s">
        <v>38926</v>
      </c>
      <c r="U816" s="6" t="s">
        <v>38749</v>
      </c>
      <c r="V816" s="6" t="s">
        <v>38579</v>
      </c>
      <c r="W816" s="6" t="s">
        <v>39786</v>
      </c>
      <c r="X816" s="6" t="s">
        <v>38371</v>
      </c>
      <c r="Y816" s="6" t="s">
        <v>38054</v>
      </c>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row>
    <row r="817" spans="1:72">
      <c r="A817" s="8" t="s">
        <v>16232</v>
      </c>
      <c r="B817" s="11" t="s">
        <v>16237</v>
      </c>
      <c r="C817" s="9" t="s">
        <v>138</v>
      </c>
      <c r="D817" s="10" t="s">
        <v>138</v>
      </c>
      <c r="E817" s="28" t="s">
        <v>2005</v>
      </c>
      <c r="F817" s="28" t="s">
        <v>200</v>
      </c>
      <c r="G817" s="28" t="s">
        <v>162</v>
      </c>
      <c r="H817" s="13">
        <v>3</v>
      </c>
      <c r="I817" s="12" t="s">
        <v>16247</v>
      </c>
      <c r="J817" s="12" t="s">
        <v>42362</v>
      </c>
      <c r="K817" s="12" t="s">
        <v>37764</v>
      </c>
      <c r="L817" s="12" t="s">
        <v>42363</v>
      </c>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12"/>
      <c r="BH817" s="12"/>
      <c r="BI817" s="12"/>
      <c r="BJ817" s="12"/>
      <c r="BK817" s="12"/>
      <c r="BL817" s="12"/>
      <c r="BM817" s="12"/>
      <c r="BN817" s="12"/>
      <c r="BO817" s="12"/>
      <c r="BP817" s="12"/>
      <c r="BQ817" s="12"/>
      <c r="BR817" s="12"/>
      <c r="BS817" s="12"/>
      <c r="BT817" s="12"/>
    </row>
    <row r="818" spans="1:72">
      <c r="A818" s="2" t="s">
        <v>16251</v>
      </c>
      <c r="B818" s="5" t="s">
        <v>16255</v>
      </c>
      <c r="C818" s="3" t="s">
        <v>16252</v>
      </c>
      <c r="D818" s="4" t="s">
        <v>138</v>
      </c>
      <c r="E818" s="15" t="s">
        <v>2068</v>
      </c>
      <c r="F818" s="15" t="s">
        <v>6099</v>
      </c>
      <c r="G818" s="15" t="s">
        <v>2071</v>
      </c>
      <c r="H818" s="7">
        <v>2</v>
      </c>
      <c r="I818" s="6" t="s">
        <v>14038</v>
      </c>
      <c r="J818" s="6" t="s">
        <v>39699</v>
      </c>
      <c r="K818" s="6" t="s">
        <v>38200</v>
      </c>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row>
    <row r="819" spans="1:72">
      <c r="A819" s="8" t="s">
        <v>16268</v>
      </c>
      <c r="B819" s="11" t="s">
        <v>16276</v>
      </c>
      <c r="C819" s="9" t="s">
        <v>138</v>
      </c>
      <c r="D819" s="10" t="s">
        <v>16269</v>
      </c>
      <c r="E819" s="28" t="s">
        <v>1460</v>
      </c>
      <c r="F819" s="28" t="s">
        <v>474</v>
      </c>
      <c r="G819" s="28" t="s">
        <v>162</v>
      </c>
      <c r="H819" s="13">
        <v>1</v>
      </c>
      <c r="I819" s="12" t="s">
        <v>16287</v>
      </c>
      <c r="J819" s="12" t="s">
        <v>16287</v>
      </c>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12"/>
      <c r="BH819" s="12"/>
      <c r="BI819" s="12"/>
      <c r="BJ819" s="12"/>
      <c r="BK819" s="12"/>
      <c r="BL819" s="12"/>
      <c r="BM819" s="12"/>
      <c r="BN819" s="12"/>
      <c r="BO819" s="12"/>
      <c r="BP819" s="12"/>
      <c r="BQ819" s="12"/>
      <c r="BR819" s="12"/>
      <c r="BS819" s="12"/>
      <c r="BT819" s="12"/>
    </row>
    <row r="820" spans="1:72">
      <c r="A820" s="2" t="s">
        <v>16290</v>
      </c>
      <c r="B820" s="5" t="s">
        <v>16295</v>
      </c>
      <c r="C820" s="3" t="s">
        <v>16291</v>
      </c>
      <c r="D820" s="4" t="s">
        <v>138</v>
      </c>
      <c r="E820" s="15" t="s">
        <v>3907</v>
      </c>
      <c r="F820" s="15" t="s">
        <v>2740</v>
      </c>
      <c r="G820" s="15" t="s">
        <v>2742</v>
      </c>
      <c r="H820" s="7">
        <v>19</v>
      </c>
      <c r="I820" s="6" t="s">
        <v>16306</v>
      </c>
      <c r="J820" s="6" t="s">
        <v>41590</v>
      </c>
      <c r="K820" s="6" t="s">
        <v>41814</v>
      </c>
      <c r="L820" s="6" t="s">
        <v>42364</v>
      </c>
      <c r="M820" s="6" t="s">
        <v>39806</v>
      </c>
      <c r="N820" s="6" t="s">
        <v>39035</v>
      </c>
      <c r="O820" s="6" t="s">
        <v>37799</v>
      </c>
      <c r="P820" s="6" t="s">
        <v>42365</v>
      </c>
      <c r="Q820" s="6" t="s">
        <v>38318</v>
      </c>
      <c r="R820" s="6" t="s">
        <v>42366</v>
      </c>
      <c r="S820" s="6" t="s">
        <v>40303</v>
      </c>
      <c r="T820" s="6" t="s">
        <v>42367</v>
      </c>
      <c r="U820" s="6" t="s">
        <v>41818</v>
      </c>
      <c r="V820" s="6" t="s">
        <v>38025</v>
      </c>
      <c r="W820" s="6" t="s">
        <v>38065</v>
      </c>
      <c r="X820" s="6" t="s">
        <v>41633</v>
      </c>
      <c r="Y820" s="6" t="s">
        <v>37781</v>
      </c>
      <c r="Z820" s="6" t="s">
        <v>39297</v>
      </c>
      <c r="AA820" s="6" t="s">
        <v>42368</v>
      </c>
      <c r="AB820" s="6" t="s">
        <v>39420</v>
      </c>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row>
    <row r="821" spans="1:72">
      <c r="A821" s="8" t="s">
        <v>16310</v>
      </c>
      <c r="B821" s="11" t="s">
        <v>16316</v>
      </c>
      <c r="C821" s="9" t="s">
        <v>138</v>
      </c>
      <c r="D821" s="10" t="s">
        <v>16311</v>
      </c>
      <c r="E821" s="28" t="s">
        <v>15388</v>
      </c>
      <c r="F821" s="28" t="s">
        <v>284</v>
      </c>
      <c r="G821" s="28" t="s">
        <v>162</v>
      </c>
      <c r="H821" s="13">
        <v>6</v>
      </c>
      <c r="I821" s="12" t="s">
        <v>16327</v>
      </c>
      <c r="J821" s="12" t="s">
        <v>6235</v>
      </c>
      <c r="K821" s="12" t="s">
        <v>42369</v>
      </c>
      <c r="L821" s="12" t="s">
        <v>42370</v>
      </c>
      <c r="M821" s="12" t="s">
        <v>42371</v>
      </c>
      <c r="N821" s="12" t="s">
        <v>42372</v>
      </c>
      <c r="O821" s="12" t="s">
        <v>42373</v>
      </c>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12"/>
      <c r="BH821" s="12"/>
      <c r="BI821" s="12"/>
      <c r="BJ821" s="12"/>
      <c r="BK821" s="12"/>
      <c r="BL821" s="12"/>
      <c r="BM821" s="12"/>
      <c r="BN821" s="12"/>
      <c r="BO821" s="12"/>
      <c r="BP821" s="12"/>
      <c r="BQ821" s="12"/>
      <c r="BR821" s="12"/>
      <c r="BS821" s="12"/>
      <c r="BT821" s="12"/>
    </row>
    <row r="822" spans="1:72">
      <c r="A822" s="2" t="s">
        <v>16331</v>
      </c>
      <c r="B822" s="5" t="s">
        <v>16336</v>
      </c>
      <c r="C822" s="3" t="s">
        <v>138</v>
      </c>
      <c r="D822" s="4" t="s">
        <v>138</v>
      </c>
      <c r="E822" s="15" t="s">
        <v>16344</v>
      </c>
      <c r="F822" s="15" t="s">
        <v>138</v>
      </c>
      <c r="G822" s="15" t="s">
        <v>16346</v>
      </c>
      <c r="H822" s="7">
        <v>2</v>
      </c>
      <c r="I822" s="6" t="s">
        <v>16349</v>
      </c>
      <c r="J822" s="6" t="s">
        <v>39462</v>
      </c>
      <c r="K822" s="6" t="s">
        <v>41161</v>
      </c>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row>
    <row r="823" spans="1:72">
      <c r="A823" s="8" t="s">
        <v>16352</v>
      </c>
      <c r="B823" s="11" t="s">
        <v>16356</v>
      </c>
      <c r="C823" s="9" t="s">
        <v>138</v>
      </c>
      <c r="D823" s="10" t="s">
        <v>138</v>
      </c>
      <c r="E823" s="28" t="s">
        <v>1872</v>
      </c>
      <c r="F823" s="28" t="s">
        <v>200</v>
      </c>
      <c r="G823" s="28" t="s">
        <v>162</v>
      </c>
      <c r="H823" s="13">
        <v>16</v>
      </c>
      <c r="I823" s="12" t="s">
        <v>16367</v>
      </c>
      <c r="J823" s="12" t="s">
        <v>42374</v>
      </c>
      <c r="K823" s="12" t="s">
        <v>38175</v>
      </c>
      <c r="L823" s="12" t="s">
        <v>42375</v>
      </c>
      <c r="M823" s="12" t="s">
        <v>38569</v>
      </c>
      <c r="N823" s="12" t="s">
        <v>42376</v>
      </c>
      <c r="O823" s="12" t="s">
        <v>42377</v>
      </c>
      <c r="P823" s="12" t="s">
        <v>38178</v>
      </c>
      <c r="Q823" s="12" t="s">
        <v>42378</v>
      </c>
      <c r="R823" s="12" t="s">
        <v>37921</v>
      </c>
      <c r="S823" s="12" t="s">
        <v>38919</v>
      </c>
      <c r="T823" s="12" t="s">
        <v>42379</v>
      </c>
      <c r="U823" s="12" t="s">
        <v>40272</v>
      </c>
      <c r="V823" s="12" t="s">
        <v>42380</v>
      </c>
      <c r="W823" s="12" t="s">
        <v>40234</v>
      </c>
      <c r="X823" s="12" t="s">
        <v>42381</v>
      </c>
      <c r="Y823" s="12" t="s">
        <v>39086</v>
      </c>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12"/>
      <c r="BH823" s="12"/>
      <c r="BI823" s="12"/>
      <c r="BJ823" s="12"/>
      <c r="BK823" s="12"/>
      <c r="BL823" s="12"/>
      <c r="BM823" s="12"/>
      <c r="BN823" s="12"/>
      <c r="BO823" s="12"/>
      <c r="BP823" s="12"/>
      <c r="BQ823" s="12"/>
      <c r="BR823" s="12"/>
      <c r="BS823" s="12"/>
      <c r="BT823" s="12"/>
    </row>
    <row r="824" spans="1:72">
      <c r="A824" s="2" t="s">
        <v>16372</v>
      </c>
      <c r="B824" s="5" t="s">
        <v>16377</v>
      </c>
      <c r="C824" s="3" t="s">
        <v>138</v>
      </c>
      <c r="D824" s="4" t="s">
        <v>138</v>
      </c>
      <c r="E824" s="15" t="s">
        <v>642</v>
      </c>
      <c r="F824" s="15" t="s">
        <v>474</v>
      </c>
      <c r="G824" s="15" t="s">
        <v>162</v>
      </c>
      <c r="H824" s="7">
        <v>3</v>
      </c>
      <c r="I824" s="6" t="s">
        <v>16388</v>
      </c>
      <c r="J824" s="6" t="s">
        <v>18057</v>
      </c>
      <c r="K824" s="6" t="s">
        <v>42145</v>
      </c>
      <c r="L824" s="6" t="s">
        <v>39023</v>
      </c>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row>
    <row r="825" spans="1:72">
      <c r="A825" s="8" t="s">
        <v>16391</v>
      </c>
      <c r="B825" s="11" t="s">
        <v>16396</v>
      </c>
      <c r="C825" s="9" t="s">
        <v>138</v>
      </c>
      <c r="D825" s="10" t="s">
        <v>138</v>
      </c>
      <c r="E825" s="28" t="s">
        <v>426</v>
      </c>
      <c r="F825" s="28" t="s">
        <v>426</v>
      </c>
      <c r="G825" s="28" t="s">
        <v>162</v>
      </c>
      <c r="H825" s="13">
        <v>13</v>
      </c>
      <c r="I825" s="12" t="s">
        <v>16405</v>
      </c>
      <c r="J825" s="12" t="s">
        <v>42382</v>
      </c>
      <c r="K825" s="12" t="s">
        <v>42383</v>
      </c>
      <c r="L825" s="12" t="s">
        <v>40657</v>
      </c>
      <c r="M825" s="12" t="s">
        <v>40201</v>
      </c>
      <c r="N825" s="12" t="s">
        <v>38915</v>
      </c>
      <c r="O825" s="12" t="s">
        <v>38148</v>
      </c>
      <c r="P825" s="12" t="s">
        <v>37774</v>
      </c>
      <c r="Q825" s="12" t="s">
        <v>42384</v>
      </c>
      <c r="R825" s="12" t="s">
        <v>37781</v>
      </c>
      <c r="S825" s="12" t="s">
        <v>42385</v>
      </c>
      <c r="T825" s="12" t="s">
        <v>37893</v>
      </c>
      <c r="U825" s="12" t="s">
        <v>38536</v>
      </c>
      <c r="V825" s="12" t="s">
        <v>42386</v>
      </c>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12"/>
      <c r="BH825" s="12"/>
      <c r="BI825" s="12"/>
      <c r="BJ825" s="12"/>
      <c r="BK825" s="12"/>
      <c r="BL825" s="12"/>
      <c r="BM825" s="12"/>
      <c r="BN825" s="12"/>
      <c r="BO825" s="12"/>
      <c r="BP825" s="12"/>
      <c r="BQ825" s="12"/>
      <c r="BR825" s="12"/>
      <c r="BS825" s="12"/>
      <c r="BT825" s="12"/>
    </row>
    <row r="826" spans="1:72">
      <c r="A826" s="2" t="s">
        <v>16408</v>
      </c>
      <c r="B826" s="5" t="s">
        <v>16412</v>
      </c>
      <c r="C826" s="3" t="s">
        <v>138</v>
      </c>
      <c r="D826" s="4" t="s">
        <v>138</v>
      </c>
      <c r="E826" s="15" t="s">
        <v>426</v>
      </c>
      <c r="F826" s="15" t="s">
        <v>426</v>
      </c>
      <c r="G826" s="15" t="s">
        <v>162</v>
      </c>
      <c r="H826" s="7">
        <v>3</v>
      </c>
      <c r="I826" s="6" t="s">
        <v>16421</v>
      </c>
      <c r="J826" s="6" t="s">
        <v>42387</v>
      </c>
      <c r="K826" s="6" t="s">
        <v>37786</v>
      </c>
      <c r="L826" s="6" t="s">
        <v>37781</v>
      </c>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row>
    <row r="827" spans="1:72">
      <c r="A827" s="8" t="s">
        <v>16424</v>
      </c>
      <c r="B827" s="11" t="s">
        <v>16430</v>
      </c>
      <c r="C827" s="9" t="s">
        <v>16425</v>
      </c>
      <c r="D827" s="10" t="s">
        <v>138</v>
      </c>
      <c r="E827" s="28" t="s">
        <v>2845</v>
      </c>
      <c r="F827" s="28" t="s">
        <v>200</v>
      </c>
      <c r="G827" s="28" t="s">
        <v>162</v>
      </c>
      <c r="H827" s="13">
        <v>7</v>
      </c>
      <c r="I827" s="12" t="s">
        <v>16439</v>
      </c>
      <c r="J827" s="12" t="s">
        <v>42388</v>
      </c>
      <c r="K827" s="12" t="s">
        <v>40745</v>
      </c>
      <c r="L827" s="12" t="s">
        <v>42389</v>
      </c>
      <c r="M827" s="12" t="s">
        <v>42390</v>
      </c>
      <c r="N827" s="12" t="s">
        <v>38200</v>
      </c>
      <c r="O827" s="12" t="s">
        <v>38240</v>
      </c>
      <c r="P827" s="12" t="s">
        <v>38729</v>
      </c>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12"/>
      <c r="BH827" s="12"/>
      <c r="BI827" s="12"/>
      <c r="BJ827" s="12"/>
      <c r="BK827" s="12"/>
      <c r="BL827" s="12"/>
      <c r="BM827" s="12"/>
      <c r="BN827" s="12"/>
      <c r="BO827" s="12"/>
      <c r="BP827" s="12"/>
      <c r="BQ827" s="12"/>
      <c r="BR827" s="12"/>
      <c r="BS827" s="12"/>
      <c r="BT827" s="12"/>
    </row>
    <row r="828" spans="1:72">
      <c r="A828" s="2" t="s">
        <v>16443</v>
      </c>
      <c r="B828" s="5" t="s">
        <v>16448</v>
      </c>
      <c r="C828" s="3" t="s">
        <v>138</v>
      </c>
      <c r="D828" s="4" t="s">
        <v>16444</v>
      </c>
      <c r="E828" s="15" t="s">
        <v>668</v>
      </c>
      <c r="F828" s="15" t="s">
        <v>200</v>
      </c>
      <c r="G828" s="15" t="s">
        <v>162</v>
      </c>
      <c r="H828" s="7">
        <v>9</v>
      </c>
      <c r="I828" s="6" t="s">
        <v>16456</v>
      </c>
      <c r="J828" s="6" t="s">
        <v>42391</v>
      </c>
      <c r="K828" s="6" t="s">
        <v>42392</v>
      </c>
      <c r="L828" s="6" t="s">
        <v>38968</v>
      </c>
      <c r="M828" s="6" t="s">
        <v>42393</v>
      </c>
      <c r="N828" s="6" t="s">
        <v>38926</v>
      </c>
      <c r="O828" s="6" t="s">
        <v>37781</v>
      </c>
      <c r="P828" s="6" t="s">
        <v>38350</v>
      </c>
      <c r="Q828" s="6" t="s">
        <v>41146</v>
      </c>
      <c r="R828" s="6" t="s">
        <v>37976</v>
      </c>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row>
    <row r="829" spans="1:72">
      <c r="A829" s="8" t="s">
        <v>16459</v>
      </c>
      <c r="B829" s="11" t="s">
        <v>16464</v>
      </c>
      <c r="C829" s="9" t="s">
        <v>16460</v>
      </c>
      <c r="D829" s="10" t="s">
        <v>138</v>
      </c>
      <c r="E829" s="28" t="s">
        <v>426</v>
      </c>
      <c r="F829" s="28" t="s">
        <v>426</v>
      </c>
      <c r="G829" s="28" t="s">
        <v>162</v>
      </c>
      <c r="H829" s="13" t="s">
        <v>138</v>
      </c>
      <c r="I829" s="12" t="s">
        <v>138</v>
      </c>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12"/>
      <c r="BH829" s="12"/>
      <c r="BI829" s="12"/>
      <c r="BJ829" s="12"/>
      <c r="BK829" s="12"/>
      <c r="BL829" s="12"/>
      <c r="BM829" s="12"/>
      <c r="BN829" s="12"/>
      <c r="BO829" s="12"/>
      <c r="BP829" s="12"/>
      <c r="BQ829" s="12"/>
      <c r="BR829" s="12"/>
      <c r="BS829" s="12"/>
      <c r="BT829" s="12"/>
    </row>
    <row r="830" spans="1:72">
      <c r="A830" s="2" t="s">
        <v>16477</v>
      </c>
      <c r="B830" s="5" t="s">
        <v>16483</v>
      </c>
      <c r="C830" s="3" t="s">
        <v>16478</v>
      </c>
      <c r="D830" s="4" t="s">
        <v>138</v>
      </c>
      <c r="E830" s="15" t="s">
        <v>4442</v>
      </c>
      <c r="F830" s="15" t="s">
        <v>138</v>
      </c>
      <c r="G830" s="15" t="s">
        <v>4444</v>
      </c>
      <c r="H830" s="7">
        <v>9</v>
      </c>
      <c r="I830" s="6" t="s">
        <v>16493</v>
      </c>
      <c r="J830" s="6" t="s">
        <v>39462</v>
      </c>
      <c r="K830" s="6" t="s">
        <v>42394</v>
      </c>
      <c r="L830" s="6" t="s">
        <v>42395</v>
      </c>
      <c r="M830" s="6" t="s">
        <v>42396</v>
      </c>
      <c r="N830" s="6" t="s">
        <v>42397</v>
      </c>
      <c r="O830" s="6" t="s">
        <v>42398</v>
      </c>
      <c r="P830" s="6" t="s">
        <v>42399</v>
      </c>
      <c r="Q830" s="6" t="s">
        <v>41157</v>
      </c>
      <c r="R830" s="6" t="s">
        <v>42400</v>
      </c>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row>
    <row r="831" spans="1:72">
      <c r="A831" s="8" t="s">
        <v>16498</v>
      </c>
      <c r="B831" s="11" t="s">
        <v>16503</v>
      </c>
      <c r="C831" s="9" t="s">
        <v>138</v>
      </c>
      <c r="D831" s="10" t="s">
        <v>138</v>
      </c>
      <c r="E831" s="28" t="s">
        <v>16511</v>
      </c>
      <c r="F831" s="28" t="s">
        <v>760</v>
      </c>
      <c r="G831" s="28" t="s">
        <v>162</v>
      </c>
      <c r="H831" s="13">
        <v>1</v>
      </c>
      <c r="I831" s="12" t="s">
        <v>2783</v>
      </c>
      <c r="J831" s="12" t="s">
        <v>2783</v>
      </c>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12"/>
      <c r="BH831" s="12"/>
      <c r="BI831" s="12"/>
      <c r="BJ831" s="12"/>
      <c r="BK831" s="12"/>
      <c r="BL831" s="12"/>
      <c r="BM831" s="12"/>
      <c r="BN831" s="12"/>
      <c r="BO831" s="12"/>
      <c r="BP831" s="12"/>
      <c r="BQ831" s="12"/>
      <c r="BR831" s="12"/>
      <c r="BS831" s="12"/>
      <c r="BT831" s="12"/>
    </row>
    <row r="832" spans="1:72">
      <c r="A832" s="2" t="s">
        <v>16521</v>
      </c>
      <c r="B832" s="5" t="s">
        <v>16528</v>
      </c>
      <c r="C832" s="3" t="s">
        <v>138</v>
      </c>
      <c r="D832" s="4" t="s">
        <v>16522</v>
      </c>
      <c r="E832" s="15" t="s">
        <v>16537</v>
      </c>
      <c r="F832" s="15" t="s">
        <v>138</v>
      </c>
      <c r="G832" s="15" t="s">
        <v>573</v>
      </c>
      <c r="H832" s="7">
        <v>8</v>
      </c>
      <c r="I832" s="6" t="s">
        <v>16541</v>
      </c>
      <c r="J832" s="6" t="s">
        <v>42401</v>
      </c>
      <c r="K832" s="6" t="s">
        <v>39314</v>
      </c>
      <c r="L832" s="6" t="s">
        <v>42402</v>
      </c>
      <c r="M832" s="6" t="s">
        <v>42403</v>
      </c>
      <c r="N832" s="6" t="s">
        <v>40919</v>
      </c>
      <c r="O832" s="6" t="s">
        <v>41117</v>
      </c>
      <c r="P832" s="6" t="s">
        <v>42404</v>
      </c>
      <c r="Q832" s="6" t="s">
        <v>42405</v>
      </c>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row>
    <row r="833" spans="1:72">
      <c r="A833" s="8" t="s">
        <v>16545</v>
      </c>
      <c r="B833" s="11" t="s">
        <v>16550</v>
      </c>
      <c r="C833" s="9" t="s">
        <v>138</v>
      </c>
      <c r="D833" s="10" t="s">
        <v>138</v>
      </c>
      <c r="E833" s="28" t="s">
        <v>16557</v>
      </c>
      <c r="F833" s="28" t="s">
        <v>200</v>
      </c>
      <c r="G833" s="28" t="s">
        <v>162</v>
      </c>
      <c r="H833" s="13">
        <v>4</v>
      </c>
      <c r="I833" s="12" t="s">
        <v>16560</v>
      </c>
      <c r="J833" s="12" t="s">
        <v>25501</v>
      </c>
      <c r="K833" s="12" t="s">
        <v>37786</v>
      </c>
      <c r="L833" s="12" t="s">
        <v>42406</v>
      </c>
      <c r="M833" s="12" t="s">
        <v>40512</v>
      </c>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12"/>
      <c r="BH833" s="12"/>
      <c r="BI833" s="12"/>
      <c r="BJ833" s="12"/>
      <c r="BK833" s="12"/>
      <c r="BL833" s="12"/>
      <c r="BM833" s="12"/>
      <c r="BN833" s="12"/>
      <c r="BO833" s="12"/>
      <c r="BP833" s="12"/>
      <c r="BQ833" s="12"/>
      <c r="BR833" s="12"/>
      <c r="BS833" s="12"/>
      <c r="BT833" s="12"/>
    </row>
    <row r="834" spans="1:72">
      <c r="A834" s="2" t="s">
        <v>16564</v>
      </c>
      <c r="B834" s="5" t="s">
        <v>16571</v>
      </c>
      <c r="C834" s="3" t="s">
        <v>16565</v>
      </c>
      <c r="D834" s="4" t="s">
        <v>138</v>
      </c>
      <c r="E834" s="15" t="s">
        <v>16579</v>
      </c>
      <c r="F834" s="15" t="s">
        <v>138</v>
      </c>
      <c r="G834" s="15" t="s">
        <v>1319</v>
      </c>
      <c r="H834" s="7">
        <v>2</v>
      </c>
      <c r="I834" s="6" t="s">
        <v>16583</v>
      </c>
      <c r="J834" s="6" t="s">
        <v>42407</v>
      </c>
      <c r="K834" s="6" t="s">
        <v>38363</v>
      </c>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row>
    <row r="835" spans="1:72">
      <c r="A835" s="8" t="s">
        <v>16585</v>
      </c>
      <c r="B835" s="11" t="s">
        <v>16590</v>
      </c>
      <c r="C835" s="9" t="s">
        <v>138</v>
      </c>
      <c r="D835" s="10" t="s">
        <v>138</v>
      </c>
      <c r="E835" s="28" t="s">
        <v>4466</v>
      </c>
      <c r="F835" s="28" t="s">
        <v>426</v>
      </c>
      <c r="G835" s="28" t="s">
        <v>162</v>
      </c>
      <c r="H835" s="13">
        <v>11</v>
      </c>
      <c r="I835" s="12" t="s">
        <v>16599</v>
      </c>
      <c r="J835" s="12" t="s">
        <v>38146</v>
      </c>
      <c r="K835" s="12" t="s">
        <v>38958</v>
      </c>
      <c r="L835" s="12" t="s">
        <v>42408</v>
      </c>
      <c r="M835" s="12" t="s">
        <v>42409</v>
      </c>
      <c r="N835" s="12" t="s">
        <v>42410</v>
      </c>
      <c r="O835" s="12" t="s">
        <v>42411</v>
      </c>
      <c r="P835" s="12" t="s">
        <v>40880</v>
      </c>
      <c r="Q835" s="12" t="s">
        <v>38821</v>
      </c>
      <c r="R835" s="12" t="s">
        <v>41360</v>
      </c>
      <c r="S835" s="12" t="s">
        <v>37808</v>
      </c>
      <c r="T835" s="12" t="s">
        <v>42412</v>
      </c>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12"/>
      <c r="BH835" s="12"/>
      <c r="BI835" s="12"/>
      <c r="BJ835" s="12"/>
      <c r="BK835" s="12"/>
      <c r="BL835" s="12"/>
      <c r="BM835" s="12"/>
      <c r="BN835" s="12"/>
      <c r="BO835" s="12"/>
      <c r="BP835" s="12"/>
      <c r="BQ835" s="12"/>
      <c r="BR835" s="12"/>
      <c r="BS835" s="12"/>
      <c r="BT835" s="12"/>
    </row>
    <row r="836" spans="1:72">
      <c r="A836" s="2" t="s">
        <v>16604</v>
      </c>
      <c r="B836" s="5" t="s">
        <v>16611</v>
      </c>
      <c r="C836" s="3" t="s">
        <v>16605</v>
      </c>
      <c r="D836" s="4" t="s">
        <v>138</v>
      </c>
      <c r="E836" s="15" t="s">
        <v>426</v>
      </c>
      <c r="F836" s="15" t="s">
        <v>426</v>
      </c>
      <c r="G836" s="15" t="s">
        <v>162</v>
      </c>
      <c r="H836" s="7">
        <v>24</v>
      </c>
      <c r="I836" s="6" t="s">
        <v>16621</v>
      </c>
      <c r="J836" s="6" t="s">
        <v>42413</v>
      </c>
      <c r="K836" s="6" t="s">
        <v>41648</v>
      </c>
      <c r="L836" s="6" t="s">
        <v>42414</v>
      </c>
      <c r="M836" s="6" t="s">
        <v>39918</v>
      </c>
      <c r="N836" s="6" t="s">
        <v>42415</v>
      </c>
      <c r="O836" s="6" t="s">
        <v>42416</v>
      </c>
      <c r="P836" s="6" t="s">
        <v>39952</v>
      </c>
      <c r="Q836" s="6" t="s">
        <v>42361</v>
      </c>
      <c r="R836" s="6" t="s">
        <v>38062</v>
      </c>
      <c r="S836" s="6" t="s">
        <v>42417</v>
      </c>
      <c r="T836" s="6" t="s">
        <v>39700</v>
      </c>
      <c r="U836" s="6" t="s">
        <v>42418</v>
      </c>
      <c r="V836" s="6" t="s">
        <v>39007</v>
      </c>
      <c r="W836" s="6" t="s">
        <v>42419</v>
      </c>
      <c r="X836" s="6" t="s">
        <v>38807</v>
      </c>
      <c r="Y836" s="6" t="s">
        <v>38322</v>
      </c>
      <c r="Z836" s="6" t="s">
        <v>38065</v>
      </c>
      <c r="AA836" s="6" t="s">
        <v>38184</v>
      </c>
      <c r="AB836" s="6" t="s">
        <v>42420</v>
      </c>
      <c r="AC836" s="6" t="s">
        <v>39694</v>
      </c>
      <c r="AD836" s="6" t="s">
        <v>37805</v>
      </c>
      <c r="AE836" s="6" t="s">
        <v>42421</v>
      </c>
      <c r="AF836" s="6" t="s">
        <v>38324</v>
      </c>
      <c r="AG836" s="6" t="s">
        <v>39011</v>
      </c>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row>
    <row r="837" spans="1:72">
      <c r="A837" s="8" t="s">
        <v>16624</v>
      </c>
      <c r="B837" s="11" t="s">
        <v>16629</v>
      </c>
      <c r="C837" s="9" t="s">
        <v>138</v>
      </c>
      <c r="D837" s="10" t="s">
        <v>138</v>
      </c>
      <c r="E837" s="28" t="s">
        <v>3330</v>
      </c>
      <c r="F837" s="28" t="s">
        <v>200</v>
      </c>
      <c r="G837" s="28" t="s">
        <v>162</v>
      </c>
      <c r="H837" s="13">
        <v>7</v>
      </c>
      <c r="I837" s="12" t="s">
        <v>16639</v>
      </c>
      <c r="J837" s="12" t="s">
        <v>42422</v>
      </c>
      <c r="K837" s="12" t="s">
        <v>38463</v>
      </c>
      <c r="L837" s="12" t="s">
        <v>38802</v>
      </c>
      <c r="M837" s="12" t="s">
        <v>37921</v>
      </c>
      <c r="N837" s="12" t="s">
        <v>38514</v>
      </c>
      <c r="O837" s="12" t="s">
        <v>42423</v>
      </c>
      <c r="P837" s="12" t="s">
        <v>42424</v>
      </c>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12"/>
      <c r="BH837" s="12"/>
      <c r="BI837" s="12"/>
      <c r="BJ837" s="12"/>
      <c r="BK837" s="12"/>
      <c r="BL837" s="12"/>
      <c r="BM837" s="12"/>
      <c r="BN837" s="12"/>
      <c r="BO837" s="12"/>
      <c r="BP837" s="12"/>
      <c r="BQ837" s="12"/>
      <c r="BR837" s="12"/>
      <c r="BS837" s="12"/>
      <c r="BT837" s="12"/>
    </row>
    <row r="838" spans="1:72">
      <c r="A838" s="2" t="s">
        <v>16642</v>
      </c>
      <c r="B838" s="5" t="s">
        <v>16648</v>
      </c>
      <c r="C838" s="3" t="s">
        <v>138</v>
      </c>
      <c r="D838" s="4" t="s">
        <v>138</v>
      </c>
      <c r="E838" s="15" t="s">
        <v>668</v>
      </c>
      <c r="F838" s="15" t="s">
        <v>200</v>
      </c>
      <c r="G838" s="15" t="s">
        <v>162</v>
      </c>
      <c r="H838" s="7">
        <v>30</v>
      </c>
      <c r="I838" s="6" t="s">
        <v>16658</v>
      </c>
      <c r="J838" s="6" t="s">
        <v>37785</v>
      </c>
      <c r="K838" s="6" t="s">
        <v>42425</v>
      </c>
      <c r="L838" s="6" t="s">
        <v>42426</v>
      </c>
      <c r="M838" s="6" t="s">
        <v>38162</v>
      </c>
      <c r="N838" s="6" t="s">
        <v>38346</v>
      </c>
      <c r="O838" s="6" t="s">
        <v>42427</v>
      </c>
      <c r="P838" s="6" t="s">
        <v>42264</v>
      </c>
      <c r="Q838" s="6" t="s">
        <v>42184</v>
      </c>
      <c r="R838" s="6" t="s">
        <v>40199</v>
      </c>
      <c r="S838" s="6" t="s">
        <v>42428</v>
      </c>
      <c r="T838" s="6" t="s">
        <v>39403</v>
      </c>
      <c r="U838" s="6" t="s">
        <v>42429</v>
      </c>
      <c r="V838" s="6" t="s">
        <v>42430</v>
      </c>
      <c r="W838" s="6" t="s">
        <v>41255</v>
      </c>
      <c r="X838" s="6" t="s">
        <v>40521</v>
      </c>
      <c r="Y838" s="6" t="s">
        <v>38078</v>
      </c>
      <c r="Z838" s="6" t="s">
        <v>42431</v>
      </c>
      <c r="AA838" s="6" t="s">
        <v>42432</v>
      </c>
      <c r="AB838" s="6" t="s">
        <v>41768</v>
      </c>
      <c r="AC838" s="6" t="s">
        <v>40183</v>
      </c>
      <c r="AD838" s="6" t="s">
        <v>39292</v>
      </c>
      <c r="AE838" s="6" t="s">
        <v>39295</v>
      </c>
      <c r="AF838" s="6" t="s">
        <v>38200</v>
      </c>
      <c r="AG838" s="6" t="s">
        <v>38030</v>
      </c>
      <c r="AH838" s="6" t="s">
        <v>39446</v>
      </c>
      <c r="AI838" s="6" t="s">
        <v>40600</v>
      </c>
      <c r="AJ838" s="6" t="s">
        <v>41843</v>
      </c>
      <c r="AK838" s="6" t="s">
        <v>40644</v>
      </c>
      <c r="AL838" s="6" t="s">
        <v>42433</v>
      </c>
      <c r="AM838" s="6" t="s">
        <v>37976</v>
      </c>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row>
    <row r="839" spans="1:72">
      <c r="A839" s="8" t="s">
        <v>16662</v>
      </c>
      <c r="B839" s="11" t="s">
        <v>16666</v>
      </c>
      <c r="C839" s="9" t="s">
        <v>16663</v>
      </c>
      <c r="D839" s="10" t="s">
        <v>138</v>
      </c>
      <c r="E839" s="28" t="s">
        <v>2493</v>
      </c>
      <c r="F839" s="28" t="s">
        <v>371</v>
      </c>
      <c r="G839" s="28" t="s">
        <v>162</v>
      </c>
      <c r="H839" s="13">
        <v>2</v>
      </c>
      <c r="I839" s="12" t="s">
        <v>16675</v>
      </c>
      <c r="J839" s="12" t="s">
        <v>42434</v>
      </c>
      <c r="K839" s="12" t="s">
        <v>37788</v>
      </c>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12"/>
      <c r="BH839" s="12"/>
      <c r="BI839" s="12"/>
      <c r="BJ839" s="12"/>
      <c r="BK839" s="12"/>
      <c r="BL839" s="12"/>
      <c r="BM839" s="12"/>
      <c r="BN839" s="12"/>
      <c r="BO839" s="12"/>
      <c r="BP839" s="12"/>
      <c r="BQ839" s="12"/>
      <c r="BR839" s="12"/>
      <c r="BS839" s="12"/>
      <c r="BT839" s="12"/>
    </row>
    <row r="840" spans="1:72">
      <c r="A840" s="2" t="s">
        <v>16677</v>
      </c>
      <c r="B840" s="5" t="s">
        <v>16682</v>
      </c>
      <c r="C840" s="3" t="s">
        <v>16678</v>
      </c>
      <c r="D840" s="4" t="s">
        <v>138</v>
      </c>
      <c r="E840" s="15" t="s">
        <v>668</v>
      </c>
      <c r="F840" s="15" t="s">
        <v>200</v>
      </c>
      <c r="G840" s="15" t="s">
        <v>162</v>
      </c>
      <c r="H840" s="7">
        <v>27</v>
      </c>
      <c r="I840" s="6" t="s">
        <v>16690</v>
      </c>
      <c r="J840" s="6" t="s">
        <v>37785</v>
      </c>
      <c r="K840" s="6" t="s">
        <v>42435</v>
      </c>
      <c r="L840" s="6" t="s">
        <v>42436</v>
      </c>
      <c r="M840" s="6" t="s">
        <v>39687</v>
      </c>
      <c r="N840" s="6" t="s">
        <v>38784</v>
      </c>
      <c r="O840" s="6" t="s">
        <v>37832</v>
      </c>
      <c r="P840" s="6" t="s">
        <v>42437</v>
      </c>
      <c r="Q840" s="6" t="s">
        <v>37940</v>
      </c>
      <c r="R840" s="6" t="s">
        <v>42438</v>
      </c>
      <c r="S840" s="6" t="s">
        <v>42439</v>
      </c>
      <c r="T840" s="6" t="s">
        <v>40201</v>
      </c>
      <c r="U840" s="6" t="s">
        <v>42440</v>
      </c>
      <c r="V840" s="6" t="s">
        <v>39535</v>
      </c>
      <c r="W840" s="6" t="s">
        <v>37927</v>
      </c>
      <c r="X840" s="6" t="s">
        <v>42441</v>
      </c>
      <c r="Y840" s="6" t="s">
        <v>42442</v>
      </c>
      <c r="Z840" s="6" t="s">
        <v>37923</v>
      </c>
      <c r="AA840" s="6" t="s">
        <v>42443</v>
      </c>
      <c r="AB840" s="6" t="s">
        <v>42431</v>
      </c>
      <c r="AC840" s="6" t="s">
        <v>39563</v>
      </c>
      <c r="AD840" s="6" t="s">
        <v>38975</v>
      </c>
      <c r="AE840" s="6" t="s">
        <v>38065</v>
      </c>
      <c r="AF840" s="6" t="s">
        <v>42444</v>
      </c>
      <c r="AG840" s="6" t="s">
        <v>42445</v>
      </c>
      <c r="AH840" s="6" t="s">
        <v>40600</v>
      </c>
      <c r="AI840" s="6" t="s">
        <v>39280</v>
      </c>
      <c r="AJ840" s="6" t="s">
        <v>38566</v>
      </c>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row>
    <row r="841" spans="1:72">
      <c r="A841" s="8" t="s">
        <v>16694</v>
      </c>
      <c r="B841" s="11" t="s">
        <v>16699</v>
      </c>
      <c r="C841" s="9" t="s">
        <v>16695</v>
      </c>
      <c r="D841" s="10" t="s">
        <v>138</v>
      </c>
      <c r="E841" s="28" t="s">
        <v>668</v>
      </c>
      <c r="F841" s="28" t="s">
        <v>200</v>
      </c>
      <c r="G841" s="28" t="s">
        <v>162</v>
      </c>
      <c r="H841" s="13">
        <v>5</v>
      </c>
      <c r="I841" s="12" t="s">
        <v>16707</v>
      </c>
      <c r="J841" s="12" t="s">
        <v>42315</v>
      </c>
      <c r="K841" s="12" t="s">
        <v>38987</v>
      </c>
      <c r="L841" s="12" t="s">
        <v>38286</v>
      </c>
      <c r="M841" s="12" t="s">
        <v>38511</v>
      </c>
      <c r="N841" s="12" t="s">
        <v>42446</v>
      </c>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12"/>
      <c r="BH841" s="12"/>
      <c r="BI841" s="12"/>
      <c r="BJ841" s="12"/>
      <c r="BK841" s="12"/>
      <c r="BL841" s="12"/>
      <c r="BM841" s="12"/>
      <c r="BN841" s="12"/>
      <c r="BO841" s="12"/>
      <c r="BP841" s="12"/>
      <c r="BQ841" s="12"/>
      <c r="BR841" s="12"/>
      <c r="BS841" s="12"/>
      <c r="BT841" s="12"/>
    </row>
    <row r="842" spans="1:72">
      <c r="A842" s="2" t="s">
        <v>16711</v>
      </c>
      <c r="B842" s="5" t="s">
        <v>16715</v>
      </c>
      <c r="C842" s="3" t="s">
        <v>16712</v>
      </c>
      <c r="D842" s="4" t="s">
        <v>138</v>
      </c>
      <c r="E842" s="15" t="s">
        <v>2493</v>
      </c>
      <c r="F842" s="15" t="s">
        <v>371</v>
      </c>
      <c r="G842" s="15" t="s">
        <v>162</v>
      </c>
      <c r="H842" s="7">
        <v>2</v>
      </c>
      <c r="I842" s="6" t="s">
        <v>16724</v>
      </c>
      <c r="J842" s="6" t="s">
        <v>42447</v>
      </c>
      <c r="K842" s="6">
        <v>301</v>
      </c>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row>
    <row r="843" spans="1:72">
      <c r="A843" s="8" t="s">
        <v>16729</v>
      </c>
      <c r="B843" s="11" t="s">
        <v>16734</v>
      </c>
      <c r="C843" s="9" t="s">
        <v>16730</v>
      </c>
      <c r="D843" s="10" t="s">
        <v>138</v>
      </c>
      <c r="E843" s="28" t="s">
        <v>668</v>
      </c>
      <c r="F843" s="28" t="s">
        <v>200</v>
      </c>
      <c r="G843" s="28" t="s">
        <v>162</v>
      </c>
      <c r="H843" s="13">
        <v>12</v>
      </c>
      <c r="I843" s="12" t="s">
        <v>16745</v>
      </c>
      <c r="J843" s="12" t="s">
        <v>42448</v>
      </c>
      <c r="K843" s="12" t="s">
        <v>42449</v>
      </c>
      <c r="L843" s="12" t="s">
        <v>37819</v>
      </c>
      <c r="M843" s="12" t="s">
        <v>38076</v>
      </c>
      <c r="N843" s="12" t="s">
        <v>39653</v>
      </c>
      <c r="O843" s="12" t="s">
        <v>42450</v>
      </c>
      <c r="P843" s="12" t="s">
        <v>42451</v>
      </c>
      <c r="Q843" s="12" t="s">
        <v>38319</v>
      </c>
      <c r="R843" s="12" t="s">
        <v>42452</v>
      </c>
      <c r="S843" s="12" t="s">
        <v>42453</v>
      </c>
      <c r="T843" s="12" t="s">
        <v>42454</v>
      </c>
      <c r="U843" s="12" t="s">
        <v>40361</v>
      </c>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12"/>
      <c r="BH843" s="12"/>
      <c r="BI843" s="12"/>
      <c r="BJ843" s="12"/>
      <c r="BK843" s="12"/>
      <c r="BL843" s="12"/>
      <c r="BM843" s="12"/>
      <c r="BN843" s="12"/>
      <c r="BO843" s="12"/>
      <c r="BP843" s="12"/>
      <c r="BQ843" s="12"/>
      <c r="BR843" s="12"/>
      <c r="BS843" s="12"/>
      <c r="BT843" s="12"/>
    </row>
    <row r="844" spans="1:72">
      <c r="A844" s="2" t="s">
        <v>16753</v>
      </c>
      <c r="B844" s="5" t="s">
        <v>138</v>
      </c>
      <c r="C844" s="3" t="s">
        <v>138</v>
      </c>
      <c r="D844" s="4" t="s">
        <v>138</v>
      </c>
      <c r="E844" s="15" t="s">
        <v>863</v>
      </c>
      <c r="F844" s="15" t="s">
        <v>864</v>
      </c>
      <c r="G844" s="15" t="s">
        <v>162</v>
      </c>
      <c r="H844" s="7">
        <v>2</v>
      </c>
      <c r="I844" s="6" t="s">
        <v>16761</v>
      </c>
      <c r="J844" s="6" t="s">
        <v>42455</v>
      </c>
      <c r="K844" s="6" t="s">
        <v>42456</v>
      </c>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row>
    <row r="845" spans="1:72">
      <c r="A845" s="8" t="s">
        <v>16764</v>
      </c>
      <c r="B845" s="11" t="s">
        <v>16768</v>
      </c>
      <c r="C845" s="9" t="s">
        <v>16765</v>
      </c>
      <c r="D845" s="10" t="s">
        <v>138</v>
      </c>
      <c r="E845" s="28" t="s">
        <v>16774</v>
      </c>
      <c r="F845" s="28" t="s">
        <v>16775</v>
      </c>
      <c r="G845" s="28" t="s">
        <v>162</v>
      </c>
      <c r="H845" s="13">
        <v>1</v>
      </c>
      <c r="I845" s="12" t="s">
        <v>1012</v>
      </c>
      <c r="J845" s="12" t="s">
        <v>1012</v>
      </c>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12"/>
      <c r="BH845" s="12"/>
      <c r="BI845" s="12"/>
      <c r="BJ845" s="12"/>
      <c r="BK845" s="12"/>
      <c r="BL845" s="12"/>
      <c r="BM845" s="12"/>
      <c r="BN845" s="12"/>
      <c r="BO845" s="12"/>
      <c r="BP845" s="12"/>
      <c r="BQ845" s="12"/>
      <c r="BR845" s="12"/>
      <c r="BS845" s="12"/>
      <c r="BT845" s="12"/>
    </row>
    <row r="846" spans="1:72">
      <c r="A846" s="2" t="s">
        <v>16780</v>
      </c>
      <c r="B846" s="5" t="s">
        <v>16785</v>
      </c>
      <c r="C846" s="3" t="s">
        <v>138</v>
      </c>
      <c r="D846" s="4" t="s">
        <v>138</v>
      </c>
      <c r="E846" s="15" t="s">
        <v>668</v>
      </c>
      <c r="F846" s="15" t="s">
        <v>200</v>
      </c>
      <c r="G846" s="15" t="s">
        <v>162</v>
      </c>
      <c r="H846" s="7">
        <v>24</v>
      </c>
      <c r="I846" s="6" t="s">
        <v>16793</v>
      </c>
      <c r="J846" s="6" t="s">
        <v>38482</v>
      </c>
      <c r="K846" s="6" t="s">
        <v>42457</v>
      </c>
      <c r="L846" s="6" t="s">
        <v>38339</v>
      </c>
      <c r="M846" s="6" t="s">
        <v>42054</v>
      </c>
      <c r="N846" s="6" t="s">
        <v>38484</v>
      </c>
      <c r="O846" s="6" t="s">
        <v>39061</v>
      </c>
      <c r="P846" s="6" t="s">
        <v>38412</v>
      </c>
      <c r="Q846" s="6" t="s">
        <v>38210</v>
      </c>
      <c r="R846" s="6" t="s">
        <v>38044</v>
      </c>
      <c r="S846" s="6" t="s">
        <v>37947</v>
      </c>
      <c r="T846" s="6" t="s">
        <v>39653</v>
      </c>
      <c r="U846" s="6" t="s">
        <v>42458</v>
      </c>
      <c r="V846" s="6" t="s">
        <v>38803</v>
      </c>
      <c r="W846" s="6" t="s">
        <v>37954</v>
      </c>
      <c r="X846" s="6" t="s">
        <v>40576</v>
      </c>
      <c r="Y846" s="6" t="s">
        <v>42459</v>
      </c>
      <c r="Z846" s="6" t="s">
        <v>39028</v>
      </c>
      <c r="AA846" s="6" t="s">
        <v>42460</v>
      </c>
      <c r="AB846" s="6" t="s">
        <v>42461</v>
      </c>
      <c r="AC846" s="6" t="s">
        <v>38200</v>
      </c>
      <c r="AD846" s="6" t="s">
        <v>38478</v>
      </c>
      <c r="AE846" s="6" t="s">
        <v>37806</v>
      </c>
      <c r="AF846" s="6" t="s">
        <v>42462</v>
      </c>
      <c r="AG846" s="6" t="s">
        <v>38073</v>
      </c>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row>
    <row r="847" spans="1:72">
      <c r="A847" s="8" t="s">
        <v>16797</v>
      </c>
      <c r="B847" s="11" t="s">
        <v>16803</v>
      </c>
      <c r="C847" s="9" t="s">
        <v>138</v>
      </c>
      <c r="D847" s="10" t="s">
        <v>16798</v>
      </c>
      <c r="E847" s="28" t="s">
        <v>823</v>
      </c>
      <c r="F847" s="28" t="s">
        <v>824</v>
      </c>
      <c r="G847" s="28" t="s">
        <v>526</v>
      </c>
      <c r="H847" s="13">
        <v>10</v>
      </c>
      <c r="I847" s="12" t="s">
        <v>16813</v>
      </c>
      <c r="J847" s="12" t="s">
        <v>42463</v>
      </c>
      <c r="K847" s="12" t="s">
        <v>42464</v>
      </c>
      <c r="L847" s="12" t="s">
        <v>42465</v>
      </c>
      <c r="M847" s="12" t="s">
        <v>42466</v>
      </c>
      <c r="N847" s="12" t="s">
        <v>42467</v>
      </c>
      <c r="O847" s="12" t="s">
        <v>42468</v>
      </c>
      <c r="P847" s="12" t="s">
        <v>42469</v>
      </c>
      <c r="Q847" s="12" t="s">
        <v>38383</v>
      </c>
      <c r="R847" s="12" t="s">
        <v>42470</v>
      </c>
      <c r="S847" s="12" t="s">
        <v>42471</v>
      </c>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12"/>
      <c r="BH847" s="12"/>
      <c r="BI847" s="12"/>
      <c r="BJ847" s="12"/>
      <c r="BK847" s="12"/>
      <c r="BL847" s="12"/>
      <c r="BM847" s="12"/>
      <c r="BN847" s="12"/>
      <c r="BO847" s="12"/>
      <c r="BP847" s="12"/>
      <c r="BQ847" s="12"/>
      <c r="BR847" s="12"/>
      <c r="BS847" s="12"/>
      <c r="BT847" s="12"/>
    </row>
    <row r="848" spans="1:72">
      <c r="A848" s="2" t="s">
        <v>16817</v>
      </c>
      <c r="B848" s="5" t="s">
        <v>16822</v>
      </c>
      <c r="C848" s="3" t="s">
        <v>16818</v>
      </c>
      <c r="D848" s="4" t="s">
        <v>138</v>
      </c>
      <c r="E848" s="15" t="s">
        <v>16829</v>
      </c>
      <c r="F848" s="15" t="s">
        <v>200</v>
      </c>
      <c r="G848" s="15" t="s">
        <v>162</v>
      </c>
      <c r="H848" s="7">
        <v>23</v>
      </c>
      <c r="I848" s="6" t="s">
        <v>16833</v>
      </c>
      <c r="J848" s="6" t="s">
        <v>42472</v>
      </c>
      <c r="K848" s="6" t="s">
        <v>42473</v>
      </c>
      <c r="L848" s="6" t="s">
        <v>42474</v>
      </c>
      <c r="M848" s="6" t="s">
        <v>42475</v>
      </c>
      <c r="N848" s="6" t="s">
        <v>42476</v>
      </c>
      <c r="O848" s="6" t="s">
        <v>37819</v>
      </c>
      <c r="P848" s="6" t="s">
        <v>42477</v>
      </c>
      <c r="Q848" s="6" t="s">
        <v>38419</v>
      </c>
      <c r="R848" s="6" t="s">
        <v>42478</v>
      </c>
      <c r="S848" s="6" t="s">
        <v>42479</v>
      </c>
      <c r="T848" s="6" t="s">
        <v>42480</v>
      </c>
      <c r="U848" s="6" t="s">
        <v>42481</v>
      </c>
      <c r="V848" s="6" t="s">
        <v>42482</v>
      </c>
      <c r="W848" s="6" t="s">
        <v>42460</v>
      </c>
      <c r="X848" s="6" t="s">
        <v>42483</v>
      </c>
      <c r="Y848" s="6" t="s">
        <v>42484</v>
      </c>
      <c r="Z848" s="6" t="s">
        <v>42333</v>
      </c>
      <c r="AA848" s="6" t="s">
        <v>42485</v>
      </c>
      <c r="AB848" s="6" t="s">
        <v>37892</v>
      </c>
      <c r="AC848" s="6" t="s">
        <v>38294</v>
      </c>
      <c r="AD848" s="6" t="s">
        <v>40142</v>
      </c>
      <c r="AE848" s="6" t="s">
        <v>41653</v>
      </c>
      <c r="AF848" s="6" t="s">
        <v>39087</v>
      </c>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row>
    <row r="849" spans="1:72">
      <c r="A849" s="8" t="s">
        <v>16837</v>
      </c>
      <c r="B849" s="11" t="s">
        <v>16842</v>
      </c>
      <c r="C849" s="9" t="s">
        <v>138</v>
      </c>
      <c r="D849" s="10" t="s">
        <v>138</v>
      </c>
      <c r="E849" s="28" t="s">
        <v>668</v>
      </c>
      <c r="F849" s="28" t="s">
        <v>200</v>
      </c>
      <c r="G849" s="28" t="s">
        <v>162</v>
      </c>
      <c r="H849" s="13">
        <v>31</v>
      </c>
      <c r="I849" s="12" t="s">
        <v>16853</v>
      </c>
      <c r="J849" s="12" t="s">
        <v>40608</v>
      </c>
      <c r="K849" s="12" t="s">
        <v>42182</v>
      </c>
      <c r="L849" s="12" t="s">
        <v>38960</v>
      </c>
      <c r="M849" s="12" t="s">
        <v>41828</v>
      </c>
      <c r="N849" s="12" t="s">
        <v>37819</v>
      </c>
      <c r="O849" s="12" t="s">
        <v>39115</v>
      </c>
      <c r="P849" s="12" t="s">
        <v>39472</v>
      </c>
      <c r="Q849" s="12" t="s">
        <v>40199</v>
      </c>
      <c r="R849" s="12" t="s">
        <v>38114</v>
      </c>
      <c r="S849" s="12" t="s">
        <v>38803</v>
      </c>
      <c r="T849" s="12" t="s">
        <v>37927</v>
      </c>
      <c r="U849" s="12" t="s">
        <v>37953</v>
      </c>
      <c r="V849" s="12" t="s">
        <v>41233</v>
      </c>
      <c r="W849" s="12" t="s">
        <v>38017</v>
      </c>
      <c r="X849" s="12" t="s">
        <v>39288</v>
      </c>
      <c r="Y849" s="12" t="s">
        <v>38062</v>
      </c>
      <c r="Z849" s="12" t="s">
        <v>37992</v>
      </c>
      <c r="AA849" s="12" t="s">
        <v>39028</v>
      </c>
      <c r="AB849" s="12" t="s">
        <v>38688</v>
      </c>
      <c r="AC849" s="12" t="s">
        <v>38064</v>
      </c>
      <c r="AD849" s="12" t="s">
        <v>42486</v>
      </c>
      <c r="AE849" s="12" t="s">
        <v>38323</v>
      </c>
      <c r="AF849" s="12" t="s">
        <v>38502</v>
      </c>
      <c r="AG849" s="12" t="s">
        <v>38479</v>
      </c>
      <c r="AH849" s="12" t="s">
        <v>38579</v>
      </c>
      <c r="AI849" s="12" t="s">
        <v>38030</v>
      </c>
      <c r="AJ849" s="12" t="s">
        <v>37783</v>
      </c>
      <c r="AK849" s="12" t="s">
        <v>38753</v>
      </c>
      <c r="AL849" s="12" t="s">
        <v>38005</v>
      </c>
      <c r="AM849" s="12" t="s">
        <v>39335</v>
      </c>
      <c r="AN849" s="12" t="s">
        <v>42487</v>
      </c>
      <c r="AO849" s="12"/>
      <c r="AP849" s="12"/>
      <c r="AQ849" s="12"/>
      <c r="AR849" s="12"/>
      <c r="AS849" s="12"/>
      <c r="AT849" s="12"/>
      <c r="AU849" s="12"/>
      <c r="AV849" s="12"/>
      <c r="AW849" s="12"/>
      <c r="AX849" s="12"/>
      <c r="AY849" s="12"/>
      <c r="AZ849" s="12"/>
      <c r="BA849" s="12"/>
      <c r="BB849" s="12"/>
      <c r="BC849" s="12"/>
      <c r="BD849" s="12"/>
      <c r="BE849" s="12"/>
      <c r="BF849" s="12"/>
      <c r="BG849" s="12"/>
      <c r="BH849" s="12"/>
      <c r="BI849" s="12"/>
      <c r="BJ849" s="12"/>
      <c r="BK849" s="12"/>
      <c r="BL849" s="12"/>
      <c r="BM849" s="12"/>
      <c r="BN849" s="12"/>
      <c r="BO849" s="12"/>
      <c r="BP849" s="12"/>
      <c r="BQ849" s="12"/>
      <c r="BR849" s="12"/>
      <c r="BS849" s="12"/>
      <c r="BT849" s="12"/>
    </row>
    <row r="850" spans="1:72">
      <c r="A850" s="2" t="s">
        <v>16856</v>
      </c>
      <c r="B850" s="5" t="s">
        <v>16859</v>
      </c>
      <c r="C850" s="3" t="s">
        <v>138</v>
      </c>
      <c r="D850" s="4" t="s">
        <v>138</v>
      </c>
      <c r="E850" s="15" t="s">
        <v>1223</v>
      </c>
      <c r="F850" s="15" t="s">
        <v>200</v>
      </c>
      <c r="G850" s="15" t="s">
        <v>162</v>
      </c>
      <c r="H850" s="7" t="s">
        <v>138</v>
      </c>
      <c r="I850" s="6" t="s">
        <v>138</v>
      </c>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row>
    <row r="851" spans="1:72">
      <c r="A851" s="8" t="s">
        <v>16868</v>
      </c>
      <c r="B851" s="11" t="s">
        <v>16871</v>
      </c>
      <c r="C851" s="9" t="s">
        <v>138</v>
      </c>
      <c r="D851" s="10" t="s">
        <v>138</v>
      </c>
      <c r="E851" s="28" t="s">
        <v>4604</v>
      </c>
      <c r="F851" s="28" t="s">
        <v>138</v>
      </c>
      <c r="G851" s="28" t="s">
        <v>2071</v>
      </c>
      <c r="H851" s="13">
        <v>1</v>
      </c>
      <c r="I851" s="12" t="s">
        <v>16877</v>
      </c>
      <c r="J851" s="12" t="s">
        <v>16877</v>
      </c>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12"/>
      <c r="BH851" s="12"/>
      <c r="BI851" s="12"/>
      <c r="BJ851" s="12"/>
      <c r="BK851" s="12"/>
      <c r="BL851" s="12"/>
      <c r="BM851" s="12"/>
      <c r="BN851" s="12"/>
      <c r="BO851" s="12"/>
      <c r="BP851" s="12"/>
      <c r="BQ851" s="12"/>
      <c r="BR851" s="12"/>
      <c r="BS851" s="12"/>
      <c r="BT851" s="12"/>
    </row>
    <row r="852" spans="1:72">
      <c r="A852" s="2" t="s">
        <v>16880</v>
      </c>
      <c r="B852" s="5" t="s">
        <v>16885</v>
      </c>
      <c r="C852" s="3" t="s">
        <v>138</v>
      </c>
      <c r="D852" s="4" t="s">
        <v>138</v>
      </c>
      <c r="E852" s="15" t="s">
        <v>1223</v>
      </c>
      <c r="F852" s="15" t="s">
        <v>200</v>
      </c>
      <c r="G852" s="15" t="s">
        <v>162</v>
      </c>
      <c r="H852" s="7" t="s">
        <v>138</v>
      </c>
      <c r="I852" s="6" t="s">
        <v>138</v>
      </c>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row>
    <row r="853" spans="1:72">
      <c r="A853" s="8" t="s">
        <v>16899</v>
      </c>
      <c r="B853" s="11" t="s">
        <v>16905</v>
      </c>
      <c r="C853" s="9" t="s">
        <v>16900</v>
      </c>
      <c r="D853" s="10" t="s">
        <v>138</v>
      </c>
      <c r="E853" s="28" t="s">
        <v>16915</v>
      </c>
      <c r="F853" s="28" t="s">
        <v>7605</v>
      </c>
      <c r="G853" s="28" t="s">
        <v>162</v>
      </c>
      <c r="H853" s="13">
        <v>13</v>
      </c>
      <c r="I853" s="12" t="s">
        <v>16920</v>
      </c>
      <c r="J853" s="12" t="s">
        <v>38344</v>
      </c>
      <c r="K853" s="12" t="s">
        <v>42488</v>
      </c>
      <c r="L853" s="12" t="s">
        <v>37786</v>
      </c>
      <c r="M853" s="12" t="s">
        <v>39793</v>
      </c>
      <c r="N853" s="12" t="s">
        <v>39278</v>
      </c>
      <c r="O853" s="12" t="s">
        <v>42489</v>
      </c>
      <c r="P853" s="12" t="s">
        <v>42490</v>
      </c>
      <c r="Q853" s="12" t="s">
        <v>42491</v>
      </c>
      <c r="R853" s="12" t="s">
        <v>42492</v>
      </c>
      <c r="S853" s="12" t="s">
        <v>41594</v>
      </c>
      <c r="T853" s="12" t="s">
        <v>39811</v>
      </c>
      <c r="U853" s="12" t="s">
        <v>42493</v>
      </c>
      <c r="V853" s="12" t="s">
        <v>39033</v>
      </c>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12"/>
      <c r="BH853" s="12"/>
      <c r="BI853" s="12"/>
      <c r="BJ853" s="12"/>
      <c r="BK853" s="12"/>
      <c r="BL853" s="12"/>
      <c r="BM853" s="12"/>
      <c r="BN853" s="12"/>
      <c r="BO853" s="12"/>
      <c r="BP853" s="12"/>
      <c r="BQ853" s="12"/>
      <c r="BR853" s="12"/>
      <c r="BS853" s="12"/>
      <c r="BT853" s="12"/>
    </row>
    <row r="854" spans="1:72">
      <c r="A854" s="2" t="s">
        <v>16924</v>
      </c>
      <c r="B854" s="5" t="s">
        <v>16929</v>
      </c>
      <c r="C854" s="3" t="s">
        <v>138</v>
      </c>
      <c r="D854" s="4" t="s">
        <v>138</v>
      </c>
      <c r="E854" s="15" t="s">
        <v>3841</v>
      </c>
      <c r="F854" s="15" t="s">
        <v>200</v>
      </c>
      <c r="G854" s="15" t="s">
        <v>162</v>
      </c>
      <c r="H854" s="7">
        <v>8</v>
      </c>
      <c r="I854" s="6" t="s">
        <v>16940</v>
      </c>
      <c r="J854" s="6" t="s">
        <v>42494</v>
      </c>
      <c r="K854" s="6" t="s">
        <v>38299</v>
      </c>
      <c r="L854" s="6" t="s">
        <v>42495</v>
      </c>
      <c r="M854" s="6" t="s">
        <v>37787</v>
      </c>
      <c r="N854" s="6" t="s">
        <v>38084</v>
      </c>
      <c r="O854" s="6" t="s">
        <v>41665</v>
      </c>
      <c r="P854" s="6" t="s">
        <v>42496</v>
      </c>
      <c r="Q854" s="6" t="s">
        <v>42497</v>
      </c>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row>
    <row r="855" spans="1:72">
      <c r="A855" s="8" t="s">
        <v>16946</v>
      </c>
      <c r="B855" s="11" t="s">
        <v>16952</v>
      </c>
      <c r="C855" s="9" t="s">
        <v>16947</v>
      </c>
      <c r="D855" s="10" t="s">
        <v>138</v>
      </c>
      <c r="E855" s="28" t="s">
        <v>3841</v>
      </c>
      <c r="F855" s="28" t="s">
        <v>200</v>
      </c>
      <c r="G855" s="28" t="s">
        <v>162</v>
      </c>
      <c r="H855" s="13">
        <v>10</v>
      </c>
      <c r="I855" s="12" t="s">
        <v>16962</v>
      </c>
      <c r="J855" s="12" t="s">
        <v>38543</v>
      </c>
      <c r="K855" s="12" t="s">
        <v>37786</v>
      </c>
      <c r="L855" s="12" t="s">
        <v>37822</v>
      </c>
      <c r="M855" s="12" t="s">
        <v>37931</v>
      </c>
      <c r="N855" s="12" t="s">
        <v>40921</v>
      </c>
      <c r="O855" s="12" t="s">
        <v>42497</v>
      </c>
      <c r="P855" s="12" t="s">
        <v>38004</v>
      </c>
      <c r="Q855" s="12" t="s">
        <v>42498</v>
      </c>
      <c r="R855" s="12" t="s">
        <v>37871</v>
      </c>
      <c r="S855" s="12" t="s">
        <v>40896</v>
      </c>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12"/>
      <c r="BH855" s="12"/>
      <c r="BI855" s="12"/>
      <c r="BJ855" s="12"/>
      <c r="BK855" s="12"/>
      <c r="BL855" s="12"/>
      <c r="BM855" s="12"/>
      <c r="BN855" s="12"/>
      <c r="BO855" s="12"/>
      <c r="BP855" s="12"/>
      <c r="BQ855" s="12"/>
      <c r="BR855" s="12"/>
      <c r="BS855" s="12"/>
      <c r="BT855" s="12"/>
    </row>
    <row r="856" spans="1:72">
      <c r="A856" s="2" t="s">
        <v>16967</v>
      </c>
      <c r="B856" s="5" t="s">
        <v>16971</v>
      </c>
      <c r="C856" s="3" t="s">
        <v>138</v>
      </c>
      <c r="D856" s="4" t="s">
        <v>138</v>
      </c>
      <c r="E856" s="15" t="s">
        <v>5700</v>
      </c>
      <c r="F856" s="15" t="s">
        <v>138</v>
      </c>
      <c r="G856" s="15" t="s">
        <v>740</v>
      </c>
      <c r="H856" s="7">
        <v>8</v>
      </c>
      <c r="I856" s="6" t="s">
        <v>16979</v>
      </c>
      <c r="J856" s="6" t="s">
        <v>42499</v>
      </c>
      <c r="K856" s="6" t="s">
        <v>41993</v>
      </c>
      <c r="L856" s="6" t="s">
        <v>41628</v>
      </c>
      <c r="M856" s="6" t="s">
        <v>38363</v>
      </c>
      <c r="N856" s="6" t="s">
        <v>42500</v>
      </c>
      <c r="O856" s="6" t="s">
        <v>42501</v>
      </c>
      <c r="P856" s="6" t="s">
        <v>42502</v>
      </c>
      <c r="Q856" s="6" t="s">
        <v>42503</v>
      </c>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row>
    <row r="857" spans="1:72">
      <c r="A857" s="8" t="s">
        <v>16983</v>
      </c>
      <c r="B857" s="11" t="s">
        <v>16988</v>
      </c>
      <c r="C857" s="9" t="s">
        <v>138</v>
      </c>
      <c r="D857" s="10" t="s">
        <v>138</v>
      </c>
      <c r="E857" s="28" t="s">
        <v>473</v>
      </c>
      <c r="F857" s="28" t="s">
        <v>474</v>
      </c>
      <c r="G857" s="28" t="s">
        <v>162</v>
      </c>
      <c r="H857" s="13">
        <v>10</v>
      </c>
      <c r="I857" s="12" t="s">
        <v>16997</v>
      </c>
      <c r="J857" s="12" t="s">
        <v>42504</v>
      </c>
      <c r="K857" s="12" t="s">
        <v>41580</v>
      </c>
      <c r="L857" s="12" t="s">
        <v>38569</v>
      </c>
      <c r="M857" s="12" t="s">
        <v>37879</v>
      </c>
      <c r="N857" s="12" t="s">
        <v>42505</v>
      </c>
      <c r="O857" s="12" t="s">
        <v>38723</v>
      </c>
      <c r="P857" s="12" t="s">
        <v>41833</v>
      </c>
      <c r="Q857" s="12" t="s">
        <v>38848</v>
      </c>
      <c r="R857" s="12" t="s">
        <v>37779</v>
      </c>
      <c r="S857" s="12" t="s">
        <v>42506</v>
      </c>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12"/>
      <c r="BH857" s="12"/>
      <c r="BI857" s="12"/>
      <c r="BJ857" s="12"/>
      <c r="BK857" s="12"/>
      <c r="BL857" s="12"/>
      <c r="BM857" s="12"/>
      <c r="BN857" s="12"/>
      <c r="BO857" s="12"/>
      <c r="BP857" s="12"/>
      <c r="BQ857" s="12"/>
      <c r="BR857" s="12"/>
      <c r="BS857" s="12"/>
      <c r="BT857" s="12"/>
    </row>
    <row r="858" spans="1:72">
      <c r="A858" s="2" t="s">
        <v>17001</v>
      </c>
      <c r="B858" s="5" t="s">
        <v>17004</v>
      </c>
      <c r="C858" s="3" t="s">
        <v>138</v>
      </c>
      <c r="D858" s="4" t="s">
        <v>138</v>
      </c>
      <c r="E858" s="15" t="s">
        <v>17011</v>
      </c>
      <c r="F858" s="15" t="s">
        <v>138</v>
      </c>
      <c r="G858" s="15" t="s">
        <v>1319</v>
      </c>
      <c r="H858" s="7">
        <v>4</v>
      </c>
      <c r="I858" s="6" t="s">
        <v>17015</v>
      </c>
      <c r="J858" s="6" t="s">
        <v>42507</v>
      </c>
      <c r="K858" s="6" t="s">
        <v>42508</v>
      </c>
      <c r="L858" s="6" t="s">
        <v>38200</v>
      </c>
      <c r="M858" s="6" t="s">
        <v>42509</v>
      </c>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row>
    <row r="859" spans="1:72">
      <c r="A859" s="8" t="s">
        <v>17018</v>
      </c>
      <c r="B859" s="11" t="s">
        <v>17022</v>
      </c>
      <c r="C859" s="9" t="s">
        <v>138</v>
      </c>
      <c r="D859" s="10" t="s">
        <v>138</v>
      </c>
      <c r="E859" s="28" t="s">
        <v>17029</v>
      </c>
      <c r="F859" s="28" t="s">
        <v>4493</v>
      </c>
      <c r="G859" s="28" t="s">
        <v>162</v>
      </c>
      <c r="H859" s="13">
        <v>2</v>
      </c>
      <c r="I859" s="12" t="s">
        <v>17033</v>
      </c>
      <c r="J859" s="12" t="s">
        <v>37790</v>
      </c>
      <c r="K859" s="12" t="s">
        <v>37765</v>
      </c>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12"/>
      <c r="BH859" s="12"/>
      <c r="BI859" s="12"/>
      <c r="BJ859" s="12"/>
      <c r="BK859" s="12"/>
      <c r="BL859" s="12"/>
      <c r="BM859" s="12"/>
      <c r="BN859" s="12"/>
      <c r="BO859" s="12"/>
      <c r="BP859" s="12"/>
      <c r="BQ859" s="12"/>
      <c r="BR859" s="12"/>
      <c r="BS859" s="12"/>
      <c r="BT859" s="12"/>
    </row>
    <row r="860" spans="1:72">
      <c r="A860" s="2" t="s">
        <v>17036</v>
      </c>
      <c r="B860" s="5" t="s">
        <v>17042</v>
      </c>
      <c r="C860" s="3" t="s">
        <v>17037</v>
      </c>
      <c r="D860" s="4" t="s">
        <v>17038</v>
      </c>
      <c r="E860" s="15" t="s">
        <v>6495</v>
      </c>
      <c r="F860" s="15" t="s">
        <v>138</v>
      </c>
      <c r="G860" s="15" t="s">
        <v>6495</v>
      </c>
      <c r="H860" s="7">
        <v>6</v>
      </c>
      <c r="I860" s="6" t="s">
        <v>17053</v>
      </c>
      <c r="J860" s="6" t="s">
        <v>16877</v>
      </c>
      <c r="K860" s="6" t="s">
        <v>39458</v>
      </c>
      <c r="L860" s="6" t="s">
        <v>42510</v>
      </c>
      <c r="M860" s="6" t="s">
        <v>40564</v>
      </c>
      <c r="N860" s="6" t="s">
        <v>37893</v>
      </c>
      <c r="O860" s="6" t="s">
        <v>39366</v>
      </c>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row>
    <row r="861" spans="1:72">
      <c r="A861" s="8" t="s">
        <v>17058</v>
      </c>
      <c r="B861" s="11" t="s">
        <v>17062</v>
      </c>
      <c r="C861" s="9" t="s">
        <v>138</v>
      </c>
      <c r="D861" s="10" t="s">
        <v>138</v>
      </c>
      <c r="E861" s="28" t="s">
        <v>1031</v>
      </c>
      <c r="F861" s="28" t="s">
        <v>5271</v>
      </c>
      <c r="G861" s="28" t="s">
        <v>162</v>
      </c>
      <c r="H861" s="13">
        <v>9</v>
      </c>
      <c r="I861" s="12" t="s">
        <v>17074</v>
      </c>
      <c r="J861" s="12" t="s">
        <v>42511</v>
      </c>
      <c r="K861" s="12" t="s">
        <v>42512</v>
      </c>
      <c r="L861" s="12" t="s">
        <v>42513</v>
      </c>
      <c r="M861" s="12" t="s">
        <v>42514</v>
      </c>
      <c r="N861" s="12" t="s">
        <v>37953</v>
      </c>
      <c r="O861" s="12" t="s">
        <v>42515</v>
      </c>
      <c r="P861" s="12" t="s">
        <v>41519</v>
      </c>
      <c r="Q861" s="12" t="s">
        <v>37781</v>
      </c>
      <c r="R861" s="12" t="s">
        <v>38756</v>
      </c>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12"/>
      <c r="BH861" s="12"/>
      <c r="BI861" s="12"/>
      <c r="BJ861" s="12"/>
      <c r="BK861" s="12"/>
      <c r="BL861" s="12"/>
      <c r="BM861" s="12"/>
      <c r="BN861" s="12"/>
      <c r="BO861" s="12"/>
      <c r="BP861" s="12"/>
      <c r="BQ861" s="12"/>
      <c r="BR861" s="12"/>
      <c r="BS861" s="12"/>
      <c r="BT861" s="12"/>
    </row>
    <row r="862" spans="1:72">
      <c r="A862" s="2" t="s">
        <v>17079</v>
      </c>
      <c r="B862" s="5" t="s">
        <v>17083</v>
      </c>
      <c r="C862" s="3" t="s">
        <v>138</v>
      </c>
      <c r="D862" s="4" t="s">
        <v>138</v>
      </c>
      <c r="E862" s="15" t="s">
        <v>17092</v>
      </c>
      <c r="F862" s="15" t="s">
        <v>138</v>
      </c>
      <c r="G862" s="15" t="s">
        <v>9686</v>
      </c>
      <c r="H862" s="7">
        <v>1</v>
      </c>
      <c r="I862" s="6" t="s">
        <v>6673</v>
      </c>
      <c r="J862" s="6" t="s">
        <v>6673</v>
      </c>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row>
    <row r="863" spans="1:72">
      <c r="A863" s="8" t="s">
        <v>17098</v>
      </c>
      <c r="B863" s="11" t="s">
        <v>17102</v>
      </c>
      <c r="C863" s="9" t="s">
        <v>138</v>
      </c>
      <c r="D863" s="10" t="s">
        <v>138</v>
      </c>
      <c r="E863" s="28" t="s">
        <v>668</v>
      </c>
      <c r="F863" s="28" t="s">
        <v>200</v>
      </c>
      <c r="G863" s="28" t="s">
        <v>162</v>
      </c>
      <c r="H863" s="13">
        <v>7</v>
      </c>
      <c r="I863" s="12" t="s">
        <v>17108</v>
      </c>
      <c r="J863" s="12" t="s">
        <v>42516</v>
      </c>
      <c r="K863" s="12" t="s">
        <v>42517</v>
      </c>
      <c r="L863" s="12" t="s">
        <v>38521</v>
      </c>
      <c r="M863" s="12" t="s">
        <v>38593</v>
      </c>
      <c r="N863" s="12" t="s">
        <v>42518</v>
      </c>
      <c r="O863" s="12" t="s">
        <v>38532</v>
      </c>
      <c r="P863" s="12" t="s">
        <v>37862</v>
      </c>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12"/>
      <c r="BH863" s="12"/>
      <c r="BI863" s="12"/>
      <c r="BJ863" s="12"/>
      <c r="BK863" s="12"/>
      <c r="BL863" s="12"/>
      <c r="BM863" s="12"/>
      <c r="BN863" s="12"/>
      <c r="BO863" s="12"/>
      <c r="BP863" s="12"/>
      <c r="BQ863" s="12"/>
      <c r="BR863" s="12"/>
      <c r="BS863" s="12"/>
      <c r="BT863" s="12"/>
    </row>
    <row r="864" spans="1:72">
      <c r="A864" s="2" t="s">
        <v>17111</v>
      </c>
      <c r="B864" s="5" t="s">
        <v>17116</v>
      </c>
      <c r="C864" s="3" t="s">
        <v>138</v>
      </c>
      <c r="D864" s="4" t="s">
        <v>138</v>
      </c>
      <c r="E864" s="15" t="s">
        <v>1171</v>
      </c>
      <c r="F864" s="15" t="s">
        <v>200</v>
      </c>
      <c r="G864" s="15" t="s">
        <v>162</v>
      </c>
      <c r="H864" s="7">
        <v>13</v>
      </c>
      <c r="I864" s="6" t="s">
        <v>17124</v>
      </c>
      <c r="J864" s="6" t="s">
        <v>39156</v>
      </c>
      <c r="K864" s="6" t="s">
        <v>37795</v>
      </c>
      <c r="L864" s="6" t="s">
        <v>37798</v>
      </c>
      <c r="M864" s="6" t="s">
        <v>38164</v>
      </c>
      <c r="N864" s="6" t="s">
        <v>38114</v>
      </c>
      <c r="O864" s="6" t="s">
        <v>42519</v>
      </c>
      <c r="P864" s="6" t="s">
        <v>38721</v>
      </c>
      <c r="Q864" s="6" t="s">
        <v>39394</v>
      </c>
      <c r="R864" s="6" t="s">
        <v>39367</v>
      </c>
      <c r="S864" s="6" t="s">
        <v>37998</v>
      </c>
      <c r="T864" s="6" t="s">
        <v>37892</v>
      </c>
      <c r="U864" s="6" t="s">
        <v>39664</v>
      </c>
      <c r="V864" s="6" t="s">
        <v>38006</v>
      </c>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row>
    <row r="865" spans="1:72">
      <c r="A865" s="8" t="s">
        <v>17127</v>
      </c>
      <c r="B865" s="11" t="s">
        <v>17132</v>
      </c>
      <c r="C865" s="9" t="s">
        <v>17128</v>
      </c>
      <c r="D865" s="10" t="s">
        <v>138</v>
      </c>
      <c r="E865" s="28" t="s">
        <v>3841</v>
      </c>
      <c r="F865" s="28" t="s">
        <v>200</v>
      </c>
      <c r="G865" s="28" t="s">
        <v>162</v>
      </c>
      <c r="H865" s="13">
        <v>6</v>
      </c>
      <c r="I865" s="12" t="s">
        <v>17141</v>
      </c>
      <c r="J865" s="12" t="s">
        <v>42520</v>
      </c>
      <c r="K865" s="12" t="s">
        <v>39020</v>
      </c>
      <c r="L865" s="12" t="s">
        <v>42521</v>
      </c>
      <c r="M865" s="12" t="s">
        <v>37960</v>
      </c>
      <c r="N865" s="12" t="s">
        <v>42522</v>
      </c>
      <c r="O865" s="12" t="s">
        <v>38083</v>
      </c>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12"/>
      <c r="BH865" s="12"/>
      <c r="BI865" s="12"/>
      <c r="BJ865" s="12"/>
      <c r="BK865" s="12"/>
      <c r="BL865" s="12"/>
      <c r="BM865" s="12"/>
      <c r="BN865" s="12"/>
      <c r="BO865" s="12"/>
      <c r="BP865" s="12"/>
      <c r="BQ865" s="12"/>
      <c r="BR865" s="12"/>
      <c r="BS865" s="12"/>
      <c r="BT865" s="12"/>
    </row>
    <row r="866" spans="1:72">
      <c r="A866" s="2" t="s">
        <v>17144</v>
      </c>
      <c r="B866" s="5" t="s">
        <v>17149</v>
      </c>
      <c r="C866" s="3" t="s">
        <v>17145</v>
      </c>
      <c r="D866" s="4" t="s">
        <v>138</v>
      </c>
      <c r="E866" s="15" t="s">
        <v>1872</v>
      </c>
      <c r="F866" s="15" t="s">
        <v>200</v>
      </c>
      <c r="G866" s="15" t="s">
        <v>162</v>
      </c>
      <c r="H866" s="7">
        <v>11</v>
      </c>
      <c r="I866" s="6" t="s">
        <v>17159</v>
      </c>
      <c r="J866" s="6" t="s">
        <v>39264</v>
      </c>
      <c r="K866" s="6" t="s">
        <v>38354</v>
      </c>
      <c r="L866" s="6" t="s">
        <v>38802</v>
      </c>
      <c r="M866" s="6" t="s">
        <v>37921</v>
      </c>
      <c r="N866" s="6" t="s">
        <v>37786</v>
      </c>
      <c r="O866" s="6" t="s">
        <v>42112</v>
      </c>
      <c r="P866" s="6" t="s">
        <v>41259</v>
      </c>
      <c r="Q866" s="6" t="s">
        <v>42523</v>
      </c>
      <c r="R866" s="6" t="s">
        <v>41044</v>
      </c>
      <c r="S866" s="6" t="s">
        <v>38953</v>
      </c>
      <c r="T866" s="6" t="s">
        <v>39686</v>
      </c>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row>
    <row r="867" spans="1:72">
      <c r="A867" s="8" t="s">
        <v>17164</v>
      </c>
      <c r="B867" s="11" t="s">
        <v>17169</v>
      </c>
      <c r="C867" s="9" t="s">
        <v>138</v>
      </c>
      <c r="D867" s="10" t="s">
        <v>138</v>
      </c>
      <c r="E867" s="28" t="s">
        <v>668</v>
      </c>
      <c r="F867" s="28" t="s">
        <v>200</v>
      </c>
      <c r="G867" s="28" t="s">
        <v>162</v>
      </c>
      <c r="H867" s="13">
        <v>16</v>
      </c>
      <c r="I867" s="12" t="s">
        <v>17178</v>
      </c>
      <c r="J867" s="12" t="s">
        <v>37811</v>
      </c>
      <c r="K867" s="12" t="s">
        <v>42524</v>
      </c>
      <c r="L867" s="12" t="s">
        <v>38339</v>
      </c>
      <c r="M867" s="12" t="s">
        <v>39412</v>
      </c>
      <c r="N867" s="12" t="s">
        <v>39229</v>
      </c>
      <c r="O867" s="12" t="s">
        <v>42038</v>
      </c>
      <c r="P867" s="12" t="s">
        <v>39413</v>
      </c>
      <c r="Q867" s="12" t="s">
        <v>37775</v>
      </c>
      <c r="R867" s="12" t="s">
        <v>42525</v>
      </c>
      <c r="S867" s="12" t="s">
        <v>37776</v>
      </c>
      <c r="T867" s="12" t="s">
        <v>38100</v>
      </c>
      <c r="U867" s="12" t="s">
        <v>37781</v>
      </c>
      <c r="V867" s="12" t="s">
        <v>39296</v>
      </c>
      <c r="W867" s="12" t="s">
        <v>41858</v>
      </c>
      <c r="X867" s="12" t="s">
        <v>42526</v>
      </c>
      <c r="Y867" s="12" t="s">
        <v>39261</v>
      </c>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12"/>
      <c r="BH867" s="12"/>
      <c r="BI867" s="12"/>
      <c r="BJ867" s="12"/>
      <c r="BK867" s="12"/>
      <c r="BL867" s="12"/>
      <c r="BM867" s="12"/>
      <c r="BN867" s="12"/>
      <c r="BO867" s="12"/>
      <c r="BP867" s="12"/>
      <c r="BQ867" s="12"/>
      <c r="BR867" s="12"/>
      <c r="BS867" s="12"/>
      <c r="BT867" s="12"/>
    </row>
    <row r="868" spans="1:72">
      <c r="A868" s="2" t="s">
        <v>17182</v>
      </c>
      <c r="B868" s="5" t="s">
        <v>17187</v>
      </c>
      <c r="C868" s="3" t="s">
        <v>17183</v>
      </c>
      <c r="D868" s="4" t="s">
        <v>138</v>
      </c>
      <c r="E868" s="15" t="s">
        <v>426</v>
      </c>
      <c r="F868" s="15" t="s">
        <v>426</v>
      </c>
      <c r="G868" s="15" t="s">
        <v>162</v>
      </c>
      <c r="H868" s="7">
        <v>9</v>
      </c>
      <c r="I868" s="6" t="s">
        <v>17193</v>
      </c>
      <c r="J868" s="6" t="s">
        <v>42527</v>
      </c>
      <c r="K868" s="6" t="s">
        <v>42528</v>
      </c>
      <c r="L868" s="6" t="s">
        <v>41523</v>
      </c>
      <c r="M868" s="6" t="s">
        <v>42215</v>
      </c>
      <c r="N868" s="6" t="s">
        <v>37824</v>
      </c>
      <c r="O868" s="6" t="s">
        <v>38821</v>
      </c>
      <c r="P868" s="6" t="s">
        <v>39727</v>
      </c>
      <c r="Q868" s="6" t="s">
        <v>39269</v>
      </c>
      <c r="R868" s="6" t="s">
        <v>42273</v>
      </c>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row>
    <row r="869" spans="1:72">
      <c r="A869" s="8" t="s">
        <v>17196</v>
      </c>
      <c r="B869" s="11" t="s">
        <v>17201</v>
      </c>
      <c r="C869" s="9" t="s">
        <v>138</v>
      </c>
      <c r="D869" s="10" t="s">
        <v>138</v>
      </c>
      <c r="E869" s="28" t="s">
        <v>8837</v>
      </c>
      <c r="F869" s="28" t="s">
        <v>864</v>
      </c>
      <c r="G869" s="28" t="s">
        <v>162</v>
      </c>
      <c r="H869" s="13">
        <v>20</v>
      </c>
      <c r="I869" s="12" t="s">
        <v>17211</v>
      </c>
      <c r="J869" s="12" t="s">
        <v>42529</v>
      </c>
      <c r="K869" s="12" t="s">
        <v>42530</v>
      </c>
      <c r="L869" s="12" t="s">
        <v>37981</v>
      </c>
      <c r="M869" s="12" t="s">
        <v>38412</v>
      </c>
      <c r="N869" s="12" t="s">
        <v>42531</v>
      </c>
      <c r="O869" s="12" t="s">
        <v>38299</v>
      </c>
      <c r="P869" s="12" t="s">
        <v>38230</v>
      </c>
      <c r="Q869" s="12" t="s">
        <v>38076</v>
      </c>
      <c r="R869" s="12" t="s">
        <v>39399</v>
      </c>
      <c r="S869" s="12" t="s">
        <v>37786</v>
      </c>
      <c r="T869" s="12" t="s">
        <v>42532</v>
      </c>
      <c r="U869" s="12" t="s">
        <v>42533</v>
      </c>
      <c r="V869" s="12" t="s">
        <v>42534</v>
      </c>
      <c r="W869" s="12" t="s">
        <v>38021</v>
      </c>
      <c r="X869" s="12" t="s">
        <v>41949</v>
      </c>
      <c r="Y869" s="12" t="s">
        <v>38385</v>
      </c>
      <c r="Z869" s="12" t="s">
        <v>41070</v>
      </c>
      <c r="AA869" s="12" t="s">
        <v>39698</v>
      </c>
      <c r="AB869" s="12" t="s">
        <v>37841</v>
      </c>
      <c r="AC869" s="12" t="s">
        <v>42535</v>
      </c>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12"/>
      <c r="BH869" s="12"/>
      <c r="BI869" s="12"/>
      <c r="BJ869" s="12"/>
      <c r="BK869" s="12"/>
      <c r="BL869" s="12"/>
      <c r="BM869" s="12"/>
      <c r="BN869" s="12"/>
      <c r="BO869" s="12"/>
      <c r="BP869" s="12"/>
      <c r="BQ869" s="12"/>
      <c r="BR869" s="12"/>
      <c r="BS869" s="12"/>
      <c r="BT869" s="12"/>
    </row>
    <row r="870" spans="1:72">
      <c r="A870" s="2" t="s">
        <v>17215</v>
      </c>
      <c r="B870" s="5" t="s">
        <v>17220</v>
      </c>
      <c r="C870" s="3" t="s">
        <v>138</v>
      </c>
      <c r="D870" s="4" t="s">
        <v>138</v>
      </c>
      <c r="E870" s="15" t="s">
        <v>12065</v>
      </c>
      <c r="F870" s="15" t="s">
        <v>200</v>
      </c>
      <c r="G870" s="15" t="s">
        <v>162</v>
      </c>
      <c r="H870" s="7">
        <v>32</v>
      </c>
      <c r="I870" s="6" t="s">
        <v>17230</v>
      </c>
      <c r="J870" s="6" t="s">
        <v>42529</v>
      </c>
      <c r="K870" s="6" t="s">
        <v>38691</v>
      </c>
      <c r="L870" s="6" t="s">
        <v>39314</v>
      </c>
      <c r="M870" s="6" t="s">
        <v>39315</v>
      </c>
      <c r="N870" s="6" t="s">
        <v>42536</v>
      </c>
      <c r="O870" s="6" t="s">
        <v>42537</v>
      </c>
      <c r="P870" s="6" t="s">
        <v>42538</v>
      </c>
      <c r="Q870" s="6" t="s">
        <v>42539</v>
      </c>
      <c r="R870" s="6" t="s">
        <v>42540</v>
      </c>
      <c r="S870" s="6" t="s">
        <v>42541</v>
      </c>
      <c r="T870" s="6" t="s">
        <v>42542</v>
      </c>
      <c r="U870" s="6" t="s">
        <v>42543</v>
      </c>
      <c r="V870" s="6" t="s">
        <v>37837</v>
      </c>
      <c r="W870" s="6" t="s">
        <v>42544</v>
      </c>
      <c r="X870" s="6" t="s">
        <v>37822</v>
      </c>
      <c r="Y870" s="6" t="s">
        <v>37787</v>
      </c>
      <c r="Z870" s="6" t="s">
        <v>42545</v>
      </c>
      <c r="AA870" s="6" t="s">
        <v>39057</v>
      </c>
      <c r="AB870" s="6" t="s">
        <v>42546</v>
      </c>
      <c r="AC870" s="6" t="s">
        <v>42547</v>
      </c>
      <c r="AD870" s="6" t="s">
        <v>40910</v>
      </c>
      <c r="AE870" s="6" t="s">
        <v>42548</v>
      </c>
      <c r="AF870" s="6" t="s">
        <v>42549</v>
      </c>
      <c r="AG870" s="6" t="s">
        <v>42550</v>
      </c>
      <c r="AH870" s="6" t="s">
        <v>38200</v>
      </c>
      <c r="AI870" s="6" t="s">
        <v>41070</v>
      </c>
      <c r="AJ870" s="6" t="s">
        <v>42551</v>
      </c>
      <c r="AK870" s="6" t="s">
        <v>38240</v>
      </c>
      <c r="AL870" s="6" t="s">
        <v>39269</v>
      </c>
      <c r="AM870" s="6" t="s">
        <v>42552</v>
      </c>
      <c r="AN870" s="6" t="s">
        <v>37975</v>
      </c>
      <c r="AO870" s="6" t="s">
        <v>42553</v>
      </c>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row>
    <row r="871" spans="1:72">
      <c r="A871" s="8" t="s">
        <v>17235</v>
      </c>
      <c r="B871" s="11" t="s">
        <v>17240</v>
      </c>
      <c r="C871" s="9" t="s">
        <v>138</v>
      </c>
      <c r="D871" s="10" t="s">
        <v>138</v>
      </c>
      <c r="E871" s="28" t="s">
        <v>17249</v>
      </c>
      <c r="F871" s="28" t="s">
        <v>17250</v>
      </c>
      <c r="G871" s="28" t="s">
        <v>162</v>
      </c>
      <c r="H871" s="13">
        <v>11</v>
      </c>
      <c r="I871" s="12" t="s">
        <v>17255</v>
      </c>
      <c r="J871" s="12" t="s">
        <v>30302</v>
      </c>
      <c r="K871" s="12" t="s">
        <v>42554</v>
      </c>
      <c r="L871" s="12" t="s">
        <v>42555</v>
      </c>
      <c r="M871" s="12" t="s">
        <v>42556</v>
      </c>
      <c r="N871" s="12" t="s">
        <v>39152</v>
      </c>
      <c r="O871" s="12" t="s">
        <v>42557</v>
      </c>
      <c r="P871" s="12" t="s">
        <v>40536</v>
      </c>
      <c r="Q871" s="12" t="s">
        <v>38164</v>
      </c>
      <c r="R871" s="12" t="s">
        <v>42558</v>
      </c>
      <c r="S871" s="12" t="s">
        <v>42559</v>
      </c>
      <c r="T871" s="12" t="s">
        <v>42560</v>
      </c>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12"/>
      <c r="BH871" s="12"/>
      <c r="BI871" s="12"/>
      <c r="BJ871" s="12"/>
      <c r="BK871" s="12"/>
      <c r="BL871" s="12"/>
      <c r="BM871" s="12"/>
      <c r="BN871" s="12"/>
      <c r="BO871" s="12"/>
      <c r="BP871" s="12"/>
      <c r="BQ871" s="12"/>
      <c r="BR871" s="12"/>
      <c r="BS871" s="12"/>
      <c r="BT871" s="12"/>
    </row>
    <row r="872" spans="1:72">
      <c r="A872" s="2" t="s">
        <v>17260</v>
      </c>
      <c r="B872" s="5" t="s">
        <v>17264</v>
      </c>
      <c r="C872" s="3" t="s">
        <v>138</v>
      </c>
      <c r="D872" s="4" t="s">
        <v>138</v>
      </c>
      <c r="E872" s="15" t="s">
        <v>17271</v>
      </c>
      <c r="F872" s="15" t="s">
        <v>1146</v>
      </c>
      <c r="G872" s="15" t="s">
        <v>162</v>
      </c>
      <c r="H872" s="7">
        <v>3</v>
      </c>
      <c r="I872" s="6" t="s">
        <v>17274</v>
      </c>
      <c r="J872" s="6" t="s">
        <v>42561</v>
      </c>
      <c r="K872" s="6" t="s">
        <v>42562</v>
      </c>
      <c r="L872" s="6" t="s">
        <v>38200</v>
      </c>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row>
    <row r="873" spans="1:72">
      <c r="A873" s="8" t="s">
        <v>17278</v>
      </c>
      <c r="B873" s="11" t="s">
        <v>17284</v>
      </c>
      <c r="C873" s="9" t="s">
        <v>17279</v>
      </c>
      <c r="D873" s="10" t="s">
        <v>138</v>
      </c>
      <c r="E873" s="28" t="s">
        <v>12394</v>
      </c>
      <c r="F873" s="28" t="s">
        <v>200</v>
      </c>
      <c r="G873" s="28" t="s">
        <v>162</v>
      </c>
      <c r="H873" s="13">
        <v>11</v>
      </c>
      <c r="I873" s="12" t="s">
        <v>17294</v>
      </c>
      <c r="J873" s="12" t="s">
        <v>42529</v>
      </c>
      <c r="K873" s="12" t="s">
        <v>42563</v>
      </c>
      <c r="L873" s="12" t="s">
        <v>39314</v>
      </c>
      <c r="M873" s="12" t="s">
        <v>39152</v>
      </c>
      <c r="N873" s="12" t="s">
        <v>40956</v>
      </c>
      <c r="O873" s="12" t="s">
        <v>37786</v>
      </c>
      <c r="P873" s="12" t="s">
        <v>42564</v>
      </c>
      <c r="Q873" s="12" t="s">
        <v>42565</v>
      </c>
      <c r="R873" s="12" t="s">
        <v>38066</v>
      </c>
      <c r="S873" s="12" t="s">
        <v>42566</v>
      </c>
      <c r="T873" s="12" t="s">
        <v>42567</v>
      </c>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12"/>
      <c r="BH873" s="12"/>
      <c r="BI873" s="12"/>
      <c r="BJ873" s="12"/>
      <c r="BK873" s="12"/>
      <c r="BL873" s="12"/>
      <c r="BM873" s="12"/>
      <c r="BN873" s="12"/>
      <c r="BO873" s="12"/>
      <c r="BP873" s="12"/>
      <c r="BQ873" s="12"/>
      <c r="BR873" s="12"/>
      <c r="BS873" s="12"/>
      <c r="BT873" s="12"/>
    </row>
    <row r="874" spans="1:72">
      <c r="A874" s="2" t="s">
        <v>17301</v>
      </c>
      <c r="B874" s="5" t="s">
        <v>138</v>
      </c>
      <c r="C874" s="3" t="s">
        <v>138</v>
      </c>
      <c r="D874" s="4" t="s">
        <v>138</v>
      </c>
      <c r="E874" s="15" t="s">
        <v>16915</v>
      </c>
      <c r="F874" s="15" t="s">
        <v>7605</v>
      </c>
      <c r="G874" s="15" t="s">
        <v>162</v>
      </c>
      <c r="H874" s="7">
        <v>6</v>
      </c>
      <c r="I874" s="6" t="s">
        <v>17310</v>
      </c>
      <c r="J874" s="6" t="s">
        <v>41111</v>
      </c>
      <c r="K874" s="6" t="s">
        <v>42568</v>
      </c>
      <c r="L874" s="6" t="s">
        <v>42569</v>
      </c>
      <c r="M874" s="6" t="s">
        <v>39808</v>
      </c>
      <c r="N874" s="6" t="s">
        <v>40076</v>
      </c>
      <c r="O874" s="6" t="s">
        <v>42570</v>
      </c>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row>
    <row r="875" spans="1:72">
      <c r="A875" s="8" t="s">
        <v>17313</v>
      </c>
      <c r="B875" s="11" t="s">
        <v>17318</v>
      </c>
      <c r="C875" s="9" t="s">
        <v>138</v>
      </c>
      <c r="D875" s="10" t="s">
        <v>17314</v>
      </c>
      <c r="E875" s="28" t="s">
        <v>17325</v>
      </c>
      <c r="F875" s="28" t="s">
        <v>138</v>
      </c>
      <c r="G875" s="28" t="s">
        <v>2071</v>
      </c>
      <c r="H875" s="13">
        <v>1</v>
      </c>
      <c r="I875" s="12" t="s">
        <v>2075</v>
      </c>
      <c r="J875" s="12" t="s">
        <v>2075</v>
      </c>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12"/>
      <c r="BH875" s="12"/>
      <c r="BI875" s="12"/>
      <c r="BJ875" s="12"/>
      <c r="BK875" s="12"/>
      <c r="BL875" s="12"/>
      <c r="BM875" s="12"/>
      <c r="BN875" s="12"/>
      <c r="BO875" s="12"/>
      <c r="BP875" s="12"/>
      <c r="BQ875" s="12"/>
      <c r="BR875" s="12"/>
      <c r="BS875" s="12"/>
      <c r="BT875" s="12"/>
    </row>
    <row r="876" spans="1:72">
      <c r="A876" s="2" t="s">
        <v>17331</v>
      </c>
      <c r="B876" s="5" t="s">
        <v>17334</v>
      </c>
      <c r="C876" s="3" t="s">
        <v>138</v>
      </c>
      <c r="D876" s="4" t="s">
        <v>138</v>
      </c>
      <c r="E876" s="15" t="s">
        <v>17340</v>
      </c>
      <c r="F876" s="15" t="s">
        <v>2031</v>
      </c>
      <c r="G876" s="15" t="s">
        <v>162</v>
      </c>
      <c r="H876" s="7">
        <v>4</v>
      </c>
      <c r="I876" s="6" t="s">
        <v>17344</v>
      </c>
      <c r="J876" s="6" t="s">
        <v>28864</v>
      </c>
      <c r="K876" s="6" t="s">
        <v>38371</v>
      </c>
      <c r="L876" s="6" t="s">
        <v>42571</v>
      </c>
      <c r="M876" s="6" t="s">
        <v>38054</v>
      </c>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row>
    <row r="877" spans="1:72">
      <c r="A877" s="8" t="s">
        <v>17347</v>
      </c>
      <c r="B877" s="11" t="s">
        <v>17352</v>
      </c>
      <c r="C877" s="9" t="s">
        <v>138</v>
      </c>
      <c r="D877" s="10" t="s">
        <v>138</v>
      </c>
      <c r="E877" s="28" t="s">
        <v>3907</v>
      </c>
      <c r="F877" s="28" t="s">
        <v>2740</v>
      </c>
      <c r="G877" s="28" t="s">
        <v>2742</v>
      </c>
      <c r="H877" s="13">
        <v>9</v>
      </c>
      <c r="I877" s="12" t="s">
        <v>17362</v>
      </c>
      <c r="J877" s="12" t="s">
        <v>21198</v>
      </c>
      <c r="K877" s="12" t="s">
        <v>37799</v>
      </c>
      <c r="L877" s="12" t="s">
        <v>41212</v>
      </c>
      <c r="M877" s="12" t="s">
        <v>42572</v>
      </c>
      <c r="N877" s="12" t="s">
        <v>42573</v>
      </c>
      <c r="O877" s="12" t="s">
        <v>42574</v>
      </c>
      <c r="P877" s="12" t="s">
        <v>41847</v>
      </c>
      <c r="Q877" s="12" t="s">
        <v>42575</v>
      </c>
      <c r="R877" s="12" t="s">
        <v>37976</v>
      </c>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12"/>
      <c r="BH877" s="12"/>
      <c r="BI877" s="12"/>
      <c r="BJ877" s="12"/>
      <c r="BK877" s="12"/>
      <c r="BL877" s="12"/>
      <c r="BM877" s="12"/>
      <c r="BN877" s="12"/>
      <c r="BO877" s="12"/>
      <c r="BP877" s="12"/>
      <c r="BQ877" s="12"/>
      <c r="BR877" s="12"/>
      <c r="BS877" s="12"/>
      <c r="BT877" s="12"/>
    </row>
    <row r="878" spans="1:72">
      <c r="A878" s="2" t="s">
        <v>17365</v>
      </c>
      <c r="B878" s="5" t="s">
        <v>17369</v>
      </c>
      <c r="C878" s="3" t="s">
        <v>138</v>
      </c>
      <c r="D878" s="4" t="s">
        <v>138</v>
      </c>
      <c r="E878" s="15" t="s">
        <v>4604</v>
      </c>
      <c r="F878" s="15" t="s">
        <v>17375</v>
      </c>
      <c r="G878" s="15" t="s">
        <v>2071</v>
      </c>
      <c r="H878" s="7">
        <v>2</v>
      </c>
      <c r="I878" s="6" t="s">
        <v>17380</v>
      </c>
      <c r="J878" s="6" t="s">
        <v>16877</v>
      </c>
      <c r="K878" s="6" t="s">
        <v>42576</v>
      </c>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row>
    <row r="879" spans="1:72">
      <c r="A879" s="8" t="s">
        <v>17384</v>
      </c>
      <c r="B879" s="11" t="s">
        <v>17389</v>
      </c>
      <c r="C879" s="9" t="s">
        <v>138</v>
      </c>
      <c r="D879" s="10" t="s">
        <v>17385</v>
      </c>
      <c r="E879" s="28" t="s">
        <v>17397</v>
      </c>
      <c r="F879" s="28" t="s">
        <v>138</v>
      </c>
      <c r="G879" s="28" t="s">
        <v>2071</v>
      </c>
      <c r="H879" s="13">
        <v>1</v>
      </c>
      <c r="I879" s="12" t="s">
        <v>2075</v>
      </c>
      <c r="J879" s="12" t="s">
        <v>2075</v>
      </c>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12"/>
      <c r="BH879" s="12"/>
      <c r="BI879" s="12"/>
      <c r="BJ879" s="12"/>
      <c r="BK879" s="12"/>
      <c r="BL879" s="12"/>
      <c r="BM879" s="12"/>
      <c r="BN879" s="12"/>
      <c r="BO879" s="12"/>
      <c r="BP879" s="12"/>
      <c r="BQ879" s="12"/>
      <c r="BR879" s="12"/>
      <c r="BS879" s="12"/>
      <c r="BT879" s="12"/>
    </row>
    <row r="880" spans="1:72">
      <c r="A880" s="2" t="s">
        <v>17402</v>
      </c>
      <c r="B880" s="5" t="s">
        <v>17406</v>
      </c>
      <c r="C880" s="3" t="s">
        <v>17403</v>
      </c>
      <c r="D880" s="4" t="s">
        <v>138</v>
      </c>
      <c r="E880" s="15" t="s">
        <v>310</v>
      </c>
      <c r="F880" s="15" t="s">
        <v>200</v>
      </c>
      <c r="G880" s="15" t="s">
        <v>162</v>
      </c>
      <c r="H880" s="7">
        <v>13</v>
      </c>
      <c r="I880" s="6" t="s">
        <v>17414</v>
      </c>
      <c r="J880" s="6" t="s">
        <v>38800</v>
      </c>
      <c r="K880" s="6" t="s">
        <v>40941</v>
      </c>
      <c r="L880" s="6" t="s">
        <v>38964</v>
      </c>
      <c r="M880" s="6" t="s">
        <v>38076</v>
      </c>
      <c r="N880" s="6" t="s">
        <v>42577</v>
      </c>
      <c r="O880" s="6" t="s">
        <v>37822</v>
      </c>
      <c r="P880" s="6" t="s">
        <v>37764</v>
      </c>
      <c r="Q880" s="6" t="s">
        <v>39057</v>
      </c>
      <c r="R880" s="6" t="s">
        <v>38770</v>
      </c>
      <c r="S880" s="6" t="s">
        <v>40904</v>
      </c>
      <c r="T880" s="6" t="s">
        <v>42578</v>
      </c>
      <c r="U880" s="6" t="s">
        <v>37841</v>
      </c>
      <c r="V880" s="6" t="s">
        <v>42579</v>
      </c>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row>
    <row r="881" spans="1:72">
      <c r="A881" s="8" t="s">
        <v>17417</v>
      </c>
      <c r="B881" s="11" t="s">
        <v>17422</v>
      </c>
      <c r="C881" s="9" t="s">
        <v>138</v>
      </c>
      <c r="D881" s="10" t="s">
        <v>138</v>
      </c>
      <c r="E881" s="28" t="s">
        <v>17429</v>
      </c>
      <c r="F881" s="28" t="s">
        <v>17430</v>
      </c>
      <c r="G881" s="28" t="s">
        <v>8999</v>
      </c>
      <c r="H881" s="13">
        <v>7</v>
      </c>
      <c r="I881" s="12" t="s">
        <v>17434</v>
      </c>
      <c r="J881" s="12" t="s">
        <v>42580</v>
      </c>
      <c r="K881" s="12" t="s">
        <v>39201</v>
      </c>
      <c r="L881" s="12" t="s">
        <v>42581</v>
      </c>
      <c r="M881" s="12" t="s">
        <v>42582</v>
      </c>
      <c r="N881" s="12" t="s">
        <v>42583</v>
      </c>
      <c r="O881" s="12" t="s">
        <v>38505</v>
      </c>
      <c r="P881" s="12" t="s">
        <v>42584</v>
      </c>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12"/>
      <c r="BH881" s="12"/>
      <c r="BI881" s="12"/>
      <c r="BJ881" s="12"/>
      <c r="BK881" s="12"/>
      <c r="BL881" s="12"/>
      <c r="BM881" s="12"/>
      <c r="BN881" s="12"/>
      <c r="BO881" s="12"/>
      <c r="BP881" s="12"/>
      <c r="BQ881" s="12"/>
      <c r="BR881" s="12"/>
      <c r="BS881" s="12"/>
      <c r="BT881" s="12"/>
    </row>
    <row r="882" spans="1:72">
      <c r="A882" s="2" t="s">
        <v>17440</v>
      </c>
      <c r="B882" s="5" t="s">
        <v>17445</v>
      </c>
      <c r="C882" s="3" t="s">
        <v>138</v>
      </c>
      <c r="D882" s="4" t="s">
        <v>138</v>
      </c>
      <c r="E882" s="15" t="s">
        <v>4604</v>
      </c>
      <c r="F882" s="15" t="s">
        <v>17451</v>
      </c>
      <c r="G882" s="15" t="s">
        <v>2071</v>
      </c>
      <c r="H882" s="7">
        <v>11</v>
      </c>
      <c r="I882" s="6" t="s">
        <v>17454</v>
      </c>
      <c r="J882" s="6" t="s">
        <v>42585</v>
      </c>
      <c r="K882" s="6" t="s">
        <v>42586</v>
      </c>
      <c r="L882" s="6" t="s">
        <v>38419</v>
      </c>
      <c r="M882" s="6" t="s">
        <v>40202</v>
      </c>
      <c r="N882" s="6" t="s">
        <v>42587</v>
      </c>
      <c r="O882" s="6" t="s">
        <v>42083</v>
      </c>
      <c r="P882" s="6" t="s">
        <v>38200</v>
      </c>
      <c r="Q882" s="6" t="s">
        <v>40904</v>
      </c>
      <c r="R882" s="6" t="s">
        <v>42588</v>
      </c>
      <c r="S882" s="6" t="s">
        <v>42589</v>
      </c>
      <c r="T882" s="6" t="s">
        <v>42590</v>
      </c>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row>
    <row r="883" spans="1:72">
      <c r="A883" s="8" t="s">
        <v>15424</v>
      </c>
      <c r="B883" s="11" t="s">
        <v>17463</v>
      </c>
      <c r="C883" s="9" t="s">
        <v>17457</v>
      </c>
      <c r="D883" s="10" t="s">
        <v>138</v>
      </c>
      <c r="E883" s="28" t="s">
        <v>17472</v>
      </c>
      <c r="F883" s="28" t="s">
        <v>138</v>
      </c>
      <c r="G883" s="28" t="s">
        <v>740</v>
      </c>
      <c r="H883" s="13">
        <v>12</v>
      </c>
      <c r="I883" s="12" t="s">
        <v>17475</v>
      </c>
      <c r="J883" s="12" t="s">
        <v>37811</v>
      </c>
      <c r="K883" s="12" t="s">
        <v>42591</v>
      </c>
      <c r="L883" s="12" t="s">
        <v>38075</v>
      </c>
      <c r="M883" s="12" t="s">
        <v>40147</v>
      </c>
      <c r="N883" s="12" t="s">
        <v>37941</v>
      </c>
      <c r="O883" s="12" t="s">
        <v>39452</v>
      </c>
      <c r="P883" s="12" t="s">
        <v>38286</v>
      </c>
      <c r="Q883" s="12" t="s">
        <v>38721</v>
      </c>
      <c r="R883" s="12" t="s">
        <v>37786</v>
      </c>
      <c r="S883" s="12" t="s">
        <v>39724</v>
      </c>
      <c r="T883" s="12" t="s">
        <v>42592</v>
      </c>
      <c r="U883" s="12" t="s">
        <v>42204</v>
      </c>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12"/>
      <c r="BH883" s="12"/>
      <c r="BI883" s="12"/>
      <c r="BJ883" s="12"/>
      <c r="BK883" s="12"/>
      <c r="BL883" s="12"/>
      <c r="BM883" s="12"/>
      <c r="BN883" s="12"/>
      <c r="BO883" s="12"/>
      <c r="BP883" s="12"/>
      <c r="BQ883" s="12"/>
      <c r="BR883" s="12"/>
      <c r="BS883" s="12"/>
      <c r="BT883" s="12"/>
    </row>
    <row r="884" spans="1:72">
      <c r="A884" s="2" t="s">
        <v>17479</v>
      </c>
      <c r="B884" s="5" t="s">
        <v>17484</v>
      </c>
      <c r="C884" s="3" t="s">
        <v>138</v>
      </c>
      <c r="D884" s="4" t="s">
        <v>17480</v>
      </c>
      <c r="E884" s="15" t="s">
        <v>449</v>
      </c>
      <c r="F884" s="15" t="s">
        <v>138</v>
      </c>
      <c r="G884" s="15" t="s">
        <v>450</v>
      </c>
      <c r="H884" s="7">
        <v>4</v>
      </c>
      <c r="I884" s="6" t="s">
        <v>17490</v>
      </c>
      <c r="J884" s="6" t="s">
        <v>455</v>
      </c>
      <c r="K884" s="6" t="s">
        <v>42593</v>
      </c>
      <c r="L884" s="6" t="s">
        <v>38668</v>
      </c>
      <c r="M884" s="6" t="s">
        <v>41150</v>
      </c>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row>
    <row r="885" spans="1:72">
      <c r="A885" s="8" t="s">
        <v>17493</v>
      </c>
      <c r="B885" s="11" t="s">
        <v>17499</v>
      </c>
      <c r="C885" s="9" t="s">
        <v>138</v>
      </c>
      <c r="D885" s="10" t="s">
        <v>138</v>
      </c>
      <c r="E885" s="28" t="s">
        <v>17507</v>
      </c>
      <c r="F885" s="28" t="s">
        <v>371</v>
      </c>
      <c r="G885" s="28" t="s">
        <v>162</v>
      </c>
      <c r="H885" s="13">
        <v>23</v>
      </c>
      <c r="I885" s="12" t="s">
        <v>17510</v>
      </c>
      <c r="J885" s="12" t="s">
        <v>42594</v>
      </c>
      <c r="K885" s="12" t="s">
        <v>42595</v>
      </c>
      <c r="L885" s="12" t="s">
        <v>42596</v>
      </c>
      <c r="M885" s="12" t="s">
        <v>42597</v>
      </c>
      <c r="N885" s="12" t="s">
        <v>42598</v>
      </c>
      <c r="O885" s="12" t="s">
        <v>42599</v>
      </c>
      <c r="P885" s="12" t="s">
        <v>42600</v>
      </c>
      <c r="Q885" s="12" t="s">
        <v>42601</v>
      </c>
      <c r="R885" s="12" t="s">
        <v>38391</v>
      </c>
      <c r="S885" s="12" t="s">
        <v>42602</v>
      </c>
      <c r="T885" s="12" t="s">
        <v>42603</v>
      </c>
      <c r="U885" s="12" t="s">
        <v>40189</v>
      </c>
      <c r="V885" s="12" t="s">
        <v>40318</v>
      </c>
      <c r="W885" s="12" t="s">
        <v>42604</v>
      </c>
      <c r="X885" s="12" t="s">
        <v>39180</v>
      </c>
      <c r="Y885" s="12" t="s">
        <v>42605</v>
      </c>
      <c r="Z885" s="12" t="s">
        <v>39811</v>
      </c>
      <c r="AA885" s="12" t="s">
        <v>42606</v>
      </c>
      <c r="AB885" s="12" t="s">
        <v>37972</v>
      </c>
      <c r="AC885" s="12" t="s">
        <v>42607</v>
      </c>
      <c r="AD885" s="12" t="s">
        <v>39543</v>
      </c>
      <c r="AE885" s="12" t="s">
        <v>39686</v>
      </c>
      <c r="AF885" s="12" t="s">
        <v>42608</v>
      </c>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12"/>
      <c r="BH885" s="12"/>
      <c r="BI885" s="12"/>
      <c r="BJ885" s="12"/>
      <c r="BK885" s="12"/>
      <c r="BL885" s="12"/>
      <c r="BM885" s="12"/>
      <c r="BN885" s="12"/>
      <c r="BO885" s="12"/>
      <c r="BP885" s="12"/>
      <c r="BQ885" s="12"/>
      <c r="BR885" s="12"/>
      <c r="BS885" s="12"/>
      <c r="BT885" s="12"/>
    </row>
    <row r="886" spans="1:72">
      <c r="A886" s="2" t="s">
        <v>17514</v>
      </c>
      <c r="B886" s="5" t="s">
        <v>17518</v>
      </c>
      <c r="C886" s="3" t="s">
        <v>138</v>
      </c>
      <c r="D886" s="4" t="s">
        <v>138</v>
      </c>
      <c r="E886" s="15" t="s">
        <v>1198</v>
      </c>
      <c r="F886" s="15" t="s">
        <v>17524</v>
      </c>
      <c r="G886" s="15" t="s">
        <v>1200</v>
      </c>
      <c r="H886" s="7">
        <v>9</v>
      </c>
      <c r="I886" s="6" t="s">
        <v>17526</v>
      </c>
      <c r="J886" s="6" t="s">
        <v>42609</v>
      </c>
      <c r="K886" s="6" t="s">
        <v>41405</v>
      </c>
      <c r="L886" s="6" t="s">
        <v>42610</v>
      </c>
      <c r="M886" s="6" t="s">
        <v>39460</v>
      </c>
      <c r="N886" s="6" t="s">
        <v>41287</v>
      </c>
      <c r="O886" s="6" t="s">
        <v>38065</v>
      </c>
      <c r="P886" s="6" t="s">
        <v>42611</v>
      </c>
      <c r="Q886" s="6" t="s">
        <v>39197</v>
      </c>
      <c r="R886" s="6" t="s">
        <v>42612</v>
      </c>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row>
    <row r="887" spans="1:72">
      <c r="A887" s="8" t="s">
        <v>17529</v>
      </c>
      <c r="B887" s="11" t="s">
        <v>17534</v>
      </c>
      <c r="C887" s="9" t="s">
        <v>138</v>
      </c>
      <c r="D887" s="10" t="s">
        <v>17530</v>
      </c>
      <c r="E887" s="28" t="s">
        <v>642</v>
      </c>
      <c r="F887" s="28" t="s">
        <v>474</v>
      </c>
      <c r="G887" s="28" t="s">
        <v>162</v>
      </c>
      <c r="H887" s="13">
        <v>13</v>
      </c>
      <c r="I887" s="12" t="s">
        <v>17546</v>
      </c>
      <c r="J887" s="12" t="s">
        <v>25820</v>
      </c>
      <c r="K887" s="12" t="s">
        <v>42613</v>
      </c>
      <c r="L887" s="12" t="s">
        <v>42614</v>
      </c>
      <c r="M887" s="12" t="s">
        <v>42615</v>
      </c>
      <c r="N887" s="12" t="s">
        <v>40483</v>
      </c>
      <c r="O887" s="12" t="s">
        <v>42179</v>
      </c>
      <c r="P887" s="12" t="s">
        <v>38770</v>
      </c>
      <c r="Q887" s="12" t="s">
        <v>42616</v>
      </c>
      <c r="R887" s="12" t="s">
        <v>42617</v>
      </c>
      <c r="S887" s="12" t="s">
        <v>42618</v>
      </c>
      <c r="T887" s="12" t="s">
        <v>42619</v>
      </c>
      <c r="U887" s="12" t="s">
        <v>37868</v>
      </c>
      <c r="V887" s="12" t="s">
        <v>42620</v>
      </c>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12"/>
      <c r="BH887" s="12"/>
      <c r="BI887" s="12"/>
      <c r="BJ887" s="12"/>
      <c r="BK887" s="12"/>
      <c r="BL887" s="12"/>
      <c r="BM887" s="12"/>
      <c r="BN887" s="12"/>
      <c r="BO887" s="12"/>
      <c r="BP887" s="12"/>
      <c r="BQ887" s="12"/>
      <c r="BR887" s="12"/>
      <c r="BS887" s="12"/>
      <c r="BT887" s="12"/>
    </row>
    <row r="888" spans="1:72">
      <c r="A888" s="2" t="s">
        <v>17549</v>
      </c>
      <c r="B888" s="5" t="s">
        <v>17555</v>
      </c>
      <c r="C888" s="3" t="s">
        <v>138</v>
      </c>
      <c r="D888" s="4" t="s">
        <v>138</v>
      </c>
      <c r="E888" s="15" t="s">
        <v>668</v>
      </c>
      <c r="F888" s="15" t="s">
        <v>200</v>
      </c>
      <c r="G888" s="15" t="s">
        <v>162</v>
      </c>
      <c r="H888" s="7">
        <v>22</v>
      </c>
      <c r="I888" s="6" t="s">
        <v>17562</v>
      </c>
      <c r="J888" s="6" t="s">
        <v>42621</v>
      </c>
      <c r="K888" s="6" t="s">
        <v>40187</v>
      </c>
      <c r="L888" s="6" t="s">
        <v>42622</v>
      </c>
      <c r="M888" s="6" t="s">
        <v>38175</v>
      </c>
      <c r="N888" s="6" t="s">
        <v>42623</v>
      </c>
      <c r="O888" s="6" t="s">
        <v>42624</v>
      </c>
      <c r="P888" s="6" t="s">
        <v>39714</v>
      </c>
      <c r="Q888" s="6" t="s">
        <v>39508</v>
      </c>
      <c r="R888" s="6" t="s">
        <v>38593</v>
      </c>
      <c r="S888" s="6" t="s">
        <v>42625</v>
      </c>
      <c r="T888" s="6" t="s">
        <v>38721</v>
      </c>
      <c r="U888" s="6" t="s">
        <v>42200</v>
      </c>
      <c r="V888" s="6" t="s">
        <v>38182</v>
      </c>
      <c r="W888" s="6" t="s">
        <v>42626</v>
      </c>
      <c r="X888" s="6" t="s">
        <v>42627</v>
      </c>
      <c r="Y888" s="6" t="s">
        <v>37968</v>
      </c>
      <c r="Z888" s="6" t="s">
        <v>42628</v>
      </c>
      <c r="AA888" s="6" t="s">
        <v>37781</v>
      </c>
      <c r="AB888" s="6" t="s">
        <v>38504</v>
      </c>
      <c r="AC888" s="6" t="s">
        <v>42629</v>
      </c>
      <c r="AD888" s="6" t="s">
        <v>42630</v>
      </c>
      <c r="AE888" s="6" t="s">
        <v>37976</v>
      </c>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row>
    <row r="889" spans="1:72">
      <c r="A889" s="8" t="s">
        <v>17566</v>
      </c>
      <c r="B889" s="11" t="s">
        <v>17571</v>
      </c>
      <c r="C889" s="9" t="s">
        <v>138</v>
      </c>
      <c r="D889" s="10" t="s">
        <v>138</v>
      </c>
      <c r="E889" s="28" t="s">
        <v>1198</v>
      </c>
      <c r="F889" s="28" t="s">
        <v>138</v>
      </c>
      <c r="G889" s="28" t="s">
        <v>1200</v>
      </c>
      <c r="H889" s="13">
        <v>1</v>
      </c>
      <c r="I889" s="12" t="s">
        <v>17579</v>
      </c>
      <c r="J889" s="12" t="s">
        <v>17579</v>
      </c>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12"/>
      <c r="BH889" s="12"/>
      <c r="BI889" s="12"/>
      <c r="BJ889" s="12"/>
      <c r="BK889" s="12"/>
      <c r="BL889" s="12"/>
      <c r="BM889" s="12"/>
      <c r="BN889" s="12"/>
      <c r="BO889" s="12"/>
      <c r="BP889" s="12"/>
      <c r="BQ889" s="12"/>
      <c r="BR889" s="12"/>
      <c r="BS889" s="12"/>
      <c r="BT889" s="12"/>
    </row>
    <row r="890" spans="1:72">
      <c r="A890" s="2" t="s">
        <v>17582</v>
      </c>
      <c r="B890" s="5" t="s">
        <v>17586</v>
      </c>
      <c r="C890" s="3" t="s">
        <v>138</v>
      </c>
      <c r="D890" s="4" t="s">
        <v>138</v>
      </c>
      <c r="E890" s="15" t="s">
        <v>668</v>
      </c>
      <c r="F890" s="15" t="s">
        <v>200</v>
      </c>
      <c r="G890" s="15" t="s">
        <v>162</v>
      </c>
      <c r="H890" s="7">
        <v>19</v>
      </c>
      <c r="I890" s="6" t="s">
        <v>17595</v>
      </c>
      <c r="J890" s="6" t="s">
        <v>40433</v>
      </c>
      <c r="K890" s="6" t="s">
        <v>38692</v>
      </c>
      <c r="L890" s="6" t="s">
        <v>42631</v>
      </c>
      <c r="M890" s="6" t="s">
        <v>42632</v>
      </c>
      <c r="N890" s="6" t="s">
        <v>38010</v>
      </c>
      <c r="O890" s="6" t="s">
        <v>42633</v>
      </c>
      <c r="P890" s="6" t="s">
        <v>42634</v>
      </c>
      <c r="Q890" s="6" t="s">
        <v>42635</v>
      </c>
      <c r="R890" s="6" t="s">
        <v>42636</v>
      </c>
      <c r="S890" s="6" t="s">
        <v>37791</v>
      </c>
      <c r="T890" s="6" t="s">
        <v>42367</v>
      </c>
      <c r="U890" s="6" t="s">
        <v>38977</v>
      </c>
      <c r="V890" s="6" t="s">
        <v>37998</v>
      </c>
      <c r="W890" s="6" t="s">
        <v>41774</v>
      </c>
      <c r="X890" s="6" t="s">
        <v>42637</v>
      </c>
      <c r="Y890" s="6" t="s">
        <v>40091</v>
      </c>
      <c r="Z890" s="6" t="s">
        <v>38371</v>
      </c>
      <c r="AA890" s="6" t="s">
        <v>40901</v>
      </c>
      <c r="AB890" s="6" t="s">
        <v>42630</v>
      </c>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row>
    <row r="891" spans="1:72">
      <c r="A891" s="8" t="s">
        <v>17599</v>
      </c>
      <c r="B891" s="11" t="s">
        <v>17603</v>
      </c>
      <c r="C891" s="9" t="s">
        <v>138</v>
      </c>
      <c r="D891" s="10" t="s">
        <v>138</v>
      </c>
      <c r="E891" s="28" t="s">
        <v>5720</v>
      </c>
      <c r="F891" s="28" t="s">
        <v>138</v>
      </c>
      <c r="G891" s="28" t="s">
        <v>946</v>
      </c>
      <c r="H891" s="13">
        <v>3</v>
      </c>
      <c r="I891" s="12" t="s">
        <v>17612</v>
      </c>
      <c r="J891" s="12" t="s">
        <v>38891</v>
      </c>
      <c r="K891" s="12" t="s">
        <v>38299</v>
      </c>
      <c r="L891" s="12" t="s">
        <v>42638</v>
      </c>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12"/>
      <c r="BH891" s="12"/>
      <c r="BI891" s="12"/>
      <c r="BJ891" s="12"/>
      <c r="BK891" s="12"/>
      <c r="BL891" s="12"/>
      <c r="BM891" s="12"/>
      <c r="BN891" s="12"/>
      <c r="BO891" s="12"/>
      <c r="BP891" s="12"/>
      <c r="BQ891" s="12"/>
      <c r="BR891" s="12"/>
      <c r="BS891" s="12"/>
      <c r="BT891" s="12"/>
    </row>
    <row r="892" spans="1:72">
      <c r="A892" s="2" t="s">
        <v>17616</v>
      </c>
      <c r="B892" s="5" t="s">
        <v>17621</v>
      </c>
      <c r="C892" s="3" t="s">
        <v>17617</v>
      </c>
      <c r="D892" s="4" t="s">
        <v>138</v>
      </c>
      <c r="E892" s="15" t="s">
        <v>1638</v>
      </c>
      <c r="F892" s="15" t="s">
        <v>200</v>
      </c>
      <c r="G892" s="15" t="s">
        <v>162</v>
      </c>
      <c r="H892" s="7">
        <v>8</v>
      </c>
      <c r="I892" s="6" t="s">
        <v>17629</v>
      </c>
      <c r="J892" s="6" t="s">
        <v>41381</v>
      </c>
      <c r="K892" s="6" t="s">
        <v>38299</v>
      </c>
      <c r="L892" s="6" t="s">
        <v>39458</v>
      </c>
      <c r="M892" s="6" t="s">
        <v>42410</v>
      </c>
      <c r="N892" s="6" t="s">
        <v>42639</v>
      </c>
      <c r="O892" s="6" t="s">
        <v>39877</v>
      </c>
      <c r="P892" s="6" t="s">
        <v>42640</v>
      </c>
      <c r="Q892" s="6" t="s">
        <v>40416</v>
      </c>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row>
    <row r="893" spans="1:72">
      <c r="A893" s="8" t="s">
        <v>17632</v>
      </c>
      <c r="B893" s="11" t="s">
        <v>17638</v>
      </c>
      <c r="C893" s="9" t="s">
        <v>17633</v>
      </c>
      <c r="D893" s="10" t="s">
        <v>138</v>
      </c>
      <c r="E893" s="28" t="s">
        <v>2882</v>
      </c>
      <c r="F893" s="28" t="s">
        <v>2883</v>
      </c>
      <c r="G893" s="28" t="s">
        <v>162</v>
      </c>
      <c r="H893" s="13">
        <v>20</v>
      </c>
      <c r="I893" s="12" t="s">
        <v>17650</v>
      </c>
      <c r="J893" s="12" t="s">
        <v>42641</v>
      </c>
      <c r="K893" s="12" t="s">
        <v>38339</v>
      </c>
      <c r="L893" s="12" t="s">
        <v>37833</v>
      </c>
      <c r="M893" s="12" t="s">
        <v>38962</v>
      </c>
      <c r="N893" s="12" t="s">
        <v>41779</v>
      </c>
      <c r="O893" s="12" t="s">
        <v>39574</v>
      </c>
      <c r="P893" s="12" t="s">
        <v>38062</v>
      </c>
      <c r="Q893" s="12" t="s">
        <v>41781</v>
      </c>
      <c r="R893" s="12" t="s">
        <v>40738</v>
      </c>
      <c r="S893" s="12" t="s">
        <v>37824</v>
      </c>
      <c r="T893" s="12" t="s">
        <v>42642</v>
      </c>
      <c r="U893" s="12" t="s">
        <v>38024</v>
      </c>
      <c r="V893" s="12" t="s">
        <v>42188</v>
      </c>
      <c r="W893" s="12" t="s">
        <v>38064</v>
      </c>
      <c r="X893" s="12" t="s">
        <v>42643</v>
      </c>
      <c r="Y893" s="12" t="s">
        <v>38321</v>
      </c>
      <c r="Z893" s="12" t="s">
        <v>42644</v>
      </c>
      <c r="AA893" s="12" t="s">
        <v>42645</v>
      </c>
      <c r="AB893" s="12" t="s">
        <v>39143</v>
      </c>
      <c r="AC893" s="12" t="s">
        <v>42646</v>
      </c>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12"/>
      <c r="BH893" s="12"/>
      <c r="BI893" s="12"/>
      <c r="BJ893" s="12"/>
      <c r="BK893" s="12"/>
      <c r="BL893" s="12"/>
      <c r="BM893" s="12"/>
      <c r="BN893" s="12"/>
      <c r="BO893" s="12"/>
      <c r="BP893" s="12"/>
      <c r="BQ893" s="12"/>
      <c r="BR893" s="12"/>
      <c r="BS893" s="12"/>
      <c r="BT893" s="12"/>
    </row>
    <row r="894" spans="1:72">
      <c r="A894" s="2" t="s">
        <v>17655</v>
      </c>
      <c r="B894" s="5" t="s">
        <v>17660</v>
      </c>
      <c r="C894" s="3" t="s">
        <v>138</v>
      </c>
      <c r="D894" s="4" t="s">
        <v>138</v>
      </c>
      <c r="E894" s="15" t="s">
        <v>17667</v>
      </c>
      <c r="F894" s="15" t="s">
        <v>339</v>
      </c>
      <c r="G894" s="15" t="s">
        <v>162</v>
      </c>
      <c r="H894" s="7">
        <v>3</v>
      </c>
      <c r="I894" s="6" t="s">
        <v>17672</v>
      </c>
      <c r="J894" s="6" t="s">
        <v>38519</v>
      </c>
      <c r="K894" s="6" t="s">
        <v>39181</v>
      </c>
      <c r="L894" s="6" t="s">
        <v>42647</v>
      </c>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row>
    <row r="895" spans="1:72">
      <c r="A895" s="8" t="s">
        <v>17675</v>
      </c>
      <c r="B895" s="11" t="s">
        <v>17678</v>
      </c>
      <c r="C895" s="9" t="s">
        <v>138</v>
      </c>
      <c r="D895" s="10" t="s">
        <v>138</v>
      </c>
      <c r="E895" s="28" t="s">
        <v>1171</v>
      </c>
      <c r="F895" s="28" t="s">
        <v>200</v>
      </c>
      <c r="G895" s="28" t="s">
        <v>162</v>
      </c>
      <c r="H895" s="13">
        <v>11</v>
      </c>
      <c r="I895" s="12" t="s">
        <v>17686</v>
      </c>
      <c r="J895" s="12" t="s">
        <v>39282</v>
      </c>
      <c r="K895" s="12" t="s">
        <v>42648</v>
      </c>
      <c r="L895" s="12" t="s">
        <v>40633</v>
      </c>
      <c r="M895" s="12" t="s">
        <v>42649</v>
      </c>
      <c r="N895" s="12" t="s">
        <v>39259</v>
      </c>
      <c r="O895" s="12" t="s">
        <v>37998</v>
      </c>
      <c r="P895" s="12" t="s">
        <v>38137</v>
      </c>
      <c r="Q895" s="12" t="s">
        <v>40599</v>
      </c>
      <c r="R895" s="12" t="s">
        <v>42650</v>
      </c>
      <c r="S895" s="12" t="s">
        <v>37976</v>
      </c>
      <c r="T895" s="12" t="s">
        <v>38169</v>
      </c>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12"/>
      <c r="BH895" s="12"/>
      <c r="BI895" s="12"/>
      <c r="BJ895" s="12"/>
      <c r="BK895" s="12"/>
      <c r="BL895" s="12"/>
      <c r="BM895" s="12"/>
      <c r="BN895" s="12"/>
      <c r="BO895" s="12"/>
      <c r="BP895" s="12"/>
      <c r="BQ895" s="12"/>
      <c r="BR895" s="12"/>
      <c r="BS895" s="12"/>
      <c r="BT895" s="12"/>
    </row>
    <row r="896" spans="1:72">
      <c r="A896" s="2" t="s">
        <v>17690</v>
      </c>
      <c r="B896" s="5" t="s">
        <v>17696</v>
      </c>
      <c r="C896" s="3" t="s">
        <v>138</v>
      </c>
      <c r="D896" s="4" t="s">
        <v>138</v>
      </c>
      <c r="E896" s="15" t="s">
        <v>17703</v>
      </c>
      <c r="F896" s="15" t="s">
        <v>200</v>
      </c>
      <c r="G896" s="15" t="s">
        <v>162</v>
      </c>
      <c r="H896" s="7">
        <v>3</v>
      </c>
      <c r="I896" s="6" t="s">
        <v>17706</v>
      </c>
      <c r="J896" s="6" t="s">
        <v>37790</v>
      </c>
      <c r="K896" s="6" t="s">
        <v>42651</v>
      </c>
      <c r="L896" s="6" t="s">
        <v>40651</v>
      </c>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row>
    <row r="897" spans="1:72">
      <c r="A897" s="8" t="s">
        <v>17710</v>
      </c>
      <c r="B897" s="11" t="s">
        <v>17716</v>
      </c>
      <c r="C897" s="9" t="s">
        <v>138</v>
      </c>
      <c r="D897" s="10" t="s">
        <v>138</v>
      </c>
      <c r="E897" s="28" t="s">
        <v>16557</v>
      </c>
      <c r="F897" s="28" t="s">
        <v>200</v>
      </c>
      <c r="G897" s="28" t="s">
        <v>162</v>
      </c>
      <c r="H897" s="13">
        <v>5</v>
      </c>
      <c r="I897" s="12" t="s">
        <v>17728</v>
      </c>
      <c r="J897" s="12" t="s">
        <v>42652</v>
      </c>
      <c r="K897" s="12" t="s">
        <v>38663</v>
      </c>
      <c r="L897" s="12" t="s">
        <v>42653</v>
      </c>
      <c r="M897" s="12" t="s">
        <v>37824</v>
      </c>
      <c r="N897" s="12" t="s">
        <v>42654</v>
      </c>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12"/>
      <c r="BH897" s="12"/>
      <c r="BI897" s="12"/>
      <c r="BJ897" s="12"/>
      <c r="BK897" s="12"/>
      <c r="BL897" s="12"/>
      <c r="BM897" s="12"/>
      <c r="BN897" s="12"/>
      <c r="BO897" s="12"/>
      <c r="BP897" s="12"/>
      <c r="BQ897" s="12"/>
      <c r="BR897" s="12"/>
      <c r="BS897" s="12"/>
      <c r="BT897" s="12"/>
    </row>
    <row r="898" spans="1:72">
      <c r="A898" s="2" t="s">
        <v>17732</v>
      </c>
      <c r="B898" s="5" t="s">
        <v>17737</v>
      </c>
      <c r="C898" s="3" t="s">
        <v>138</v>
      </c>
      <c r="D898" s="4" t="s">
        <v>138</v>
      </c>
      <c r="E898" s="15" t="s">
        <v>17745</v>
      </c>
      <c r="F898" s="15" t="s">
        <v>740</v>
      </c>
      <c r="G898" s="15" t="s">
        <v>740</v>
      </c>
      <c r="H898" s="7">
        <v>15</v>
      </c>
      <c r="I898" s="6" t="s">
        <v>17750</v>
      </c>
      <c r="J898" s="6" t="s">
        <v>42655</v>
      </c>
      <c r="K898" s="6" t="s">
        <v>37795</v>
      </c>
      <c r="L898" s="6" t="s">
        <v>42656</v>
      </c>
      <c r="M898" s="6" t="s">
        <v>39986</v>
      </c>
      <c r="N898" s="6" t="s">
        <v>40014</v>
      </c>
      <c r="O898" s="6" t="s">
        <v>42657</v>
      </c>
      <c r="P898" s="6" t="s">
        <v>38990</v>
      </c>
      <c r="Q898" s="6" t="s">
        <v>37787</v>
      </c>
      <c r="R898" s="6" t="s">
        <v>42658</v>
      </c>
      <c r="S898" s="6" t="s">
        <v>42659</v>
      </c>
      <c r="T898" s="6" t="s">
        <v>37802</v>
      </c>
      <c r="U898" s="6" t="s">
        <v>40238</v>
      </c>
      <c r="V898" s="6" t="s">
        <v>41631</v>
      </c>
      <c r="W898" s="6" t="s">
        <v>37971</v>
      </c>
      <c r="X898" s="6" t="s">
        <v>40132</v>
      </c>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row>
    <row r="899" spans="1:72">
      <c r="A899" s="8" t="s">
        <v>17753</v>
      </c>
      <c r="B899" s="11" t="s">
        <v>17758</v>
      </c>
      <c r="C899" s="9" t="s">
        <v>138</v>
      </c>
      <c r="D899" s="10" t="s">
        <v>138</v>
      </c>
      <c r="E899" s="28" t="s">
        <v>668</v>
      </c>
      <c r="F899" s="28" t="s">
        <v>200</v>
      </c>
      <c r="G899" s="28" t="s">
        <v>162</v>
      </c>
      <c r="H899" s="13">
        <v>15</v>
      </c>
      <c r="I899" s="12" t="s">
        <v>17767</v>
      </c>
      <c r="J899" s="12" t="s">
        <v>16877</v>
      </c>
      <c r="K899" s="12" t="s">
        <v>38230</v>
      </c>
      <c r="L899" s="12" t="s">
        <v>42660</v>
      </c>
      <c r="M899" s="12" t="s">
        <v>41212</v>
      </c>
      <c r="N899" s="12" t="s">
        <v>42661</v>
      </c>
      <c r="O899" s="12" t="s">
        <v>42662</v>
      </c>
      <c r="P899" s="12" t="s">
        <v>42663</v>
      </c>
      <c r="Q899" s="12" t="s">
        <v>38063</v>
      </c>
      <c r="R899" s="12" t="s">
        <v>38320</v>
      </c>
      <c r="S899" s="12" t="s">
        <v>38323</v>
      </c>
      <c r="T899" s="12" t="s">
        <v>38504</v>
      </c>
      <c r="U899" s="12" t="s">
        <v>38505</v>
      </c>
      <c r="V899" s="12" t="s">
        <v>42664</v>
      </c>
      <c r="W899" s="12" t="s">
        <v>39143</v>
      </c>
      <c r="X899" s="12" t="s">
        <v>38326</v>
      </c>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12"/>
      <c r="BH899" s="12"/>
      <c r="BI899" s="12"/>
      <c r="BJ899" s="12"/>
      <c r="BK899" s="12"/>
      <c r="BL899" s="12"/>
      <c r="BM899" s="12"/>
      <c r="BN899" s="12"/>
      <c r="BO899" s="12"/>
      <c r="BP899" s="12"/>
      <c r="BQ899" s="12"/>
      <c r="BR899" s="12"/>
      <c r="BS899" s="12"/>
      <c r="BT899" s="12"/>
    </row>
    <row r="900" spans="1:72">
      <c r="A900" s="2" t="s">
        <v>17771</v>
      </c>
      <c r="B900" s="5" t="s">
        <v>17776</v>
      </c>
      <c r="C900" s="3" t="s">
        <v>138</v>
      </c>
      <c r="D900" s="4" t="s">
        <v>138</v>
      </c>
      <c r="E900" s="15" t="s">
        <v>944</v>
      </c>
      <c r="F900" s="15" t="s">
        <v>138</v>
      </c>
      <c r="G900" s="15" t="s">
        <v>946</v>
      </c>
      <c r="H900" s="7">
        <v>10</v>
      </c>
      <c r="I900" s="6" t="s">
        <v>17784</v>
      </c>
      <c r="J900" s="6" t="s">
        <v>39264</v>
      </c>
      <c r="K900" s="6" t="s">
        <v>42665</v>
      </c>
      <c r="L900" s="6" t="s">
        <v>40448</v>
      </c>
      <c r="M900" s="6" t="s">
        <v>41156</v>
      </c>
      <c r="N900" s="6" t="s">
        <v>40450</v>
      </c>
      <c r="O900" s="6" t="s">
        <v>41366</v>
      </c>
      <c r="P900" s="6" t="s">
        <v>42666</v>
      </c>
      <c r="Q900" s="6" t="s">
        <v>42667</v>
      </c>
      <c r="R900" s="6" t="s">
        <v>39514</v>
      </c>
      <c r="S900" s="6" t="s">
        <v>42668</v>
      </c>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row>
    <row r="901" spans="1:72">
      <c r="A901" s="8" t="s">
        <v>17788</v>
      </c>
      <c r="B901" s="11" t="s">
        <v>17793</v>
      </c>
      <c r="C901" s="9" t="s">
        <v>138</v>
      </c>
      <c r="D901" s="10" t="s">
        <v>138</v>
      </c>
      <c r="E901" s="28" t="s">
        <v>17800</v>
      </c>
      <c r="F901" s="28" t="s">
        <v>138</v>
      </c>
      <c r="G901" s="28" t="s">
        <v>9686</v>
      </c>
      <c r="H901" s="13">
        <v>5</v>
      </c>
      <c r="I901" s="12" t="s">
        <v>17803</v>
      </c>
      <c r="J901" s="12" t="s">
        <v>42669</v>
      </c>
      <c r="K901" s="12" t="s">
        <v>38306</v>
      </c>
      <c r="L901" s="12" t="s">
        <v>42670</v>
      </c>
      <c r="M901" s="12" t="s">
        <v>41655</v>
      </c>
      <c r="N901" s="12" t="s">
        <v>42671</v>
      </c>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12"/>
      <c r="BH901" s="12"/>
      <c r="BI901" s="12"/>
      <c r="BJ901" s="12"/>
      <c r="BK901" s="12"/>
      <c r="BL901" s="12"/>
      <c r="BM901" s="12"/>
      <c r="BN901" s="12"/>
      <c r="BO901" s="12"/>
      <c r="BP901" s="12"/>
      <c r="BQ901" s="12"/>
      <c r="BR901" s="12"/>
      <c r="BS901" s="12"/>
      <c r="BT901" s="12"/>
    </row>
    <row r="902" spans="1:72">
      <c r="A902" s="2" t="s">
        <v>17806</v>
      </c>
      <c r="B902" s="5" t="s">
        <v>17810</v>
      </c>
      <c r="C902" s="3" t="s">
        <v>138</v>
      </c>
      <c r="D902" s="4" t="s">
        <v>138</v>
      </c>
      <c r="E902" s="15" t="s">
        <v>1198</v>
      </c>
      <c r="F902" s="15" t="s">
        <v>138</v>
      </c>
      <c r="G902" s="15" t="s">
        <v>1200</v>
      </c>
      <c r="H902" s="7">
        <v>20</v>
      </c>
      <c r="I902" s="6" t="s">
        <v>17817</v>
      </c>
      <c r="J902" s="6" t="s">
        <v>42672</v>
      </c>
      <c r="K902" s="6" t="s">
        <v>42673</v>
      </c>
      <c r="L902" s="6" t="s">
        <v>39284</v>
      </c>
      <c r="M902" s="6" t="s">
        <v>42674</v>
      </c>
      <c r="N902" s="6" t="s">
        <v>39458</v>
      </c>
      <c r="O902" s="6" t="s">
        <v>41405</v>
      </c>
      <c r="P902" s="6" t="s">
        <v>42675</v>
      </c>
      <c r="Q902" s="6" t="s">
        <v>37786</v>
      </c>
      <c r="R902" s="6" t="s">
        <v>40303</v>
      </c>
      <c r="S902" s="6" t="s">
        <v>42367</v>
      </c>
      <c r="T902" s="6" t="s">
        <v>39460</v>
      </c>
      <c r="U902" s="6" t="s">
        <v>39195</v>
      </c>
      <c r="V902" s="6" t="s">
        <v>42676</v>
      </c>
      <c r="W902" s="6" t="s">
        <v>39518</v>
      </c>
      <c r="X902" s="6" t="s">
        <v>40350</v>
      </c>
      <c r="Y902" s="6" t="s">
        <v>37781</v>
      </c>
      <c r="Z902" s="6" t="s">
        <v>38712</v>
      </c>
      <c r="AA902" s="6" t="s">
        <v>42677</v>
      </c>
      <c r="AB902" s="6" t="s">
        <v>39197</v>
      </c>
      <c r="AC902" s="6" t="s">
        <v>42678</v>
      </c>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row>
    <row r="903" spans="1:72">
      <c r="A903" s="8" t="s">
        <v>17821</v>
      </c>
      <c r="B903" s="11" t="s">
        <v>17825</v>
      </c>
      <c r="C903" s="9" t="s">
        <v>138</v>
      </c>
      <c r="D903" s="10" t="s">
        <v>138</v>
      </c>
      <c r="E903" s="28" t="s">
        <v>1171</v>
      </c>
      <c r="F903" s="28" t="s">
        <v>200</v>
      </c>
      <c r="G903" s="28" t="s">
        <v>162</v>
      </c>
      <c r="H903" s="13">
        <v>6</v>
      </c>
      <c r="I903" s="12" t="s">
        <v>17833</v>
      </c>
      <c r="J903" s="12" t="s">
        <v>42679</v>
      </c>
      <c r="K903" s="12" t="s">
        <v>42680</v>
      </c>
      <c r="L903" s="12" t="s">
        <v>41780</v>
      </c>
      <c r="M903" s="12" t="s">
        <v>42681</v>
      </c>
      <c r="N903" s="12" t="s">
        <v>38200</v>
      </c>
      <c r="O903" s="12" t="s">
        <v>40903</v>
      </c>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12"/>
      <c r="BH903" s="12"/>
      <c r="BI903" s="12"/>
      <c r="BJ903" s="12"/>
      <c r="BK903" s="12"/>
      <c r="BL903" s="12"/>
      <c r="BM903" s="12"/>
      <c r="BN903" s="12"/>
      <c r="BO903" s="12"/>
      <c r="BP903" s="12"/>
      <c r="BQ903" s="12"/>
      <c r="BR903" s="12"/>
      <c r="BS903" s="12"/>
      <c r="BT903" s="12"/>
    </row>
    <row r="904" spans="1:72">
      <c r="A904" s="2" t="s">
        <v>17836</v>
      </c>
      <c r="B904" s="5" t="s">
        <v>17840</v>
      </c>
      <c r="C904" s="3" t="s">
        <v>138</v>
      </c>
      <c r="D904" s="4" t="s">
        <v>138</v>
      </c>
      <c r="E904" s="15" t="s">
        <v>4492</v>
      </c>
      <c r="F904" s="15" t="s">
        <v>4493</v>
      </c>
      <c r="G904" s="15" t="s">
        <v>162</v>
      </c>
      <c r="H904" s="7">
        <v>1</v>
      </c>
      <c r="I904" s="6" t="s">
        <v>17212</v>
      </c>
      <c r="J904" s="6" t="s">
        <v>17212</v>
      </c>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row>
    <row r="905" spans="1:72">
      <c r="A905" s="8" t="s">
        <v>17844</v>
      </c>
      <c r="B905" s="11" t="s">
        <v>17850</v>
      </c>
      <c r="C905" s="9" t="s">
        <v>17845</v>
      </c>
      <c r="D905" s="10" t="s">
        <v>138</v>
      </c>
      <c r="E905" s="28" t="s">
        <v>11390</v>
      </c>
      <c r="F905" s="28" t="s">
        <v>200</v>
      </c>
      <c r="G905" s="28" t="s">
        <v>162</v>
      </c>
      <c r="H905" s="13">
        <v>19</v>
      </c>
      <c r="I905" s="12" t="s">
        <v>17855</v>
      </c>
      <c r="J905" s="12" t="s">
        <v>38406</v>
      </c>
      <c r="K905" s="12" t="s">
        <v>42682</v>
      </c>
      <c r="L905" s="12" t="s">
        <v>37979</v>
      </c>
      <c r="M905" s="12" t="s">
        <v>39804</v>
      </c>
      <c r="N905" s="12" t="s">
        <v>38044</v>
      </c>
      <c r="O905" s="12" t="s">
        <v>40169</v>
      </c>
      <c r="P905" s="12" t="s">
        <v>42683</v>
      </c>
      <c r="Q905" s="12" t="s">
        <v>42684</v>
      </c>
      <c r="R905" s="12" t="s">
        <v>42685</v>
      </c>
      <c r="S905" s="12" t="s">
        <v>37960</v>
      </c>
      <c r="T905" s="12" t="s">
        <v>42686</v>
      </c>
      <c r="U905" s="12" t="s">
        <v>37788</v>
      </c>
      <c r="V905" s="12" t="s">
        <v>38918</v>
      </c>
      <c r="W905" s="12" t="s">
        <v>37824</v>
      </c>
      <c r="X905" s="12" t="s">
        <v>42687</v>
      </c>
      <c r="Y905" s="12" t="s">
        <v>38975</v>
      </c>
      <c r="Z905" s="12" t="s">
        <v>39711</v>
      </c>
      <c r="AA905" s="12" t="s">
        <v>38954</v>
      </c>
      <c r="AB905" s="12" t="s">
        <v>42688</v>
      </c>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12"/>
      <c r="BH905" s="12"/>
      <c r="BI905" s="12"/>
      <c r="BJ905" s="12"/>
      <c r="BK905" s="12"/>
      <c r="BL905" s="12"/>
      <c r="BM905" s="12"/>
      <c r="BN905" s="12"/>
      <c r="BO905" s="12"/>
      <c r="BP905" s="12"/>
      <c r="BQ905" s="12"/>
      <c r="BR905" s="12"/>
      <c r="BS905" s="12"/>
      <c r="BT905" s="12"/>
    </row>
    <row r="906" spans="1:72">
      <c r="A906" s="2" t="s">
        <v>17858</v>
      </c>
      <c r="B906" s="5" t="s">
        <v>17864</v>
      </c>
      <c r="C906" s="3" t="s">
        <v>17859</v>
      </c>
      <c r="D906" s="4" t="s">
        <v>138</v>
      </c>
      <c r="E906" s="15" t="s">
        <v>966</v>
      </c>
      <c r="F906" s="15" t="s">
        <v>200</v>
      </c>
      <c r="G906" s="15" t="s">
        <v>162</v>
      </c>
      <c r="H906" s="7">
        <v>9</v>
      </c>
      <c r="I906" s="6" t="s">
        <v>17874</v>
      </c>
      <c r="J906" s="6" t="s">
        <v>42689</v>
      </c>
      <c r="K906" s="6" t="s">
        <v>42690</v>
      </c>
      <c r="L906" s="6" t="s">
        <v>37833</v>
      </c>
      <c r="M906" s="6" t="s">
        <v>38333</v>
      </c>
      <c r="N906" s="6" t="s">
        <v>40583</v>
      </c>
      <c r="O906" s="6" t="s">
        <v>38457</v>
      </c>
      <c r="P906" s="6" t="s">
        <v>40361</v>
      </c>
      <c r="Q906" s="6" t="s">
        <v>40049</v>
      </c>
      <c r="R906" s="6" t="s">
        <v>38706</v>
      </c>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row>
    <row r="907" spans="1:72">
      <c r="A907" s="8" t="s">
        <v>17880</v>
      </c>
      <c r="B907" s="11" t="s">
        <v>17886</v>
      </c>
      <c r="C907" s="9" t="s">
        <v>138</v>
      </c>
      <c r="D907" s="10" t="s">
        <v>138</v>
      </c>
      <c r="E907" s="28" t="s">
        <v>3111</v>
      </c>
      <c r="F907" s="28" t="s">
        <v>3112</v>
      </c>
      <c r="G907" s="28" t="s">
        <v>2742</v>
      </c>
      <c r="H907" s="13">
        <v>25</v>
      </c>
      <c r="I907" s="12" t="s">
        <v>17896</v>
      </c>
      <c r="J907" s="12" t="s">
        <v>37785</v>
      </c>
      <c r="K907" s="12" t="s">
        <v>39002</v>
      </c>
      <c r="L907" s="12" t="s">
        <v>39434</v>
      </c>
      <c r="M907" s="12" t="s">
        <v>39833</v>
      </c>
      <c r="N907" s="12" t="s">
        <v>42691</v>
      </c>
      <c r="O907" s="12" t="s">
        <v>39410</v>
      </c>
      <c r="P907" s="12" t="s">
        <v>39411</v>
      </c>
      <c r="Q907" s="12" t="s">
        <v>40657</v>
      </c>
      <c r="R907" s="12" t="s">
        <v>42692</v>
      </c>
      <c r="S907" s="12" t="s">
        <v>39889</v>
      </c>
      <c r="T907" s="12" t="s">
        <v>39890</v>
      </c>
      <c r="U907" s="12" t="s">
        <v>41447</v>
      </c>
      <c r="V907" s="12" t="s">
        <v>38827</v>
      </c>
      <c r="W907" s="12" t="s">
        <v>42693</v>
      </c>
      <c r="X907" s="12" t="s">
        <v>42694</v>
      </c>
      <c r="Y907" s="12" t="s">
        <v>37998</v>
      </c>
      <c r="Z907" s="12" t="s">
        <v>41633</v>
      </c>
      <c r="AA907" s="12" t="s">
        <v>42638</v>
      </c>
      <c r="AB907" s="12" t="s">
        <v>42695</v>
      </c>
      <c r="AC907" s="12" t="s">
        <v>39350</v>
      </c>
      <c r="AD907" s="12" t="s">
        <v>42142</v>
      </c>
      <c r="AE907" s="12" t="s">
        <v>38775</v>
      </c>
      <c r="AF907" s="12" t="s">
        <v>42696</v>
      </c>
      <c r="AG907" s="12" t="s">
        <v>42697</v>
      </c>
      <c r="AH907" s="12" t="s">
        <v>39113</v>
      </c>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12"/>
      <c r="BH907" s="12"/>
      <c r="BI907" s="12"/>
      <c r="BJ907" s="12"/>
      <c r="BK907" s="12"/>
      <c r="BL907" s="12"/>
      <c r="BM907" s="12"/>
      <c r="BN907" s="12"/>
      <c r="BO907" s="12"/>
      <c r="BP907" s="12"/>
      <c r="BQ907" s="12"/>
      <c r="BR907" s="12"/>
      <c r="BS907" s="12"/>
      <c r="BT907" s="12"/>
    </row>
    <row r="908" spans="1:72">
      <c r="A908" s="2" t="s">
        <v>17900</v>
      </c>
      <c r="B908" s="5" t="s">
        <v>17905</v>
      </c>
      <c r="C908" s="3" t="s">
        <v>138</v>
      </c>
      <c r="D908" s="4" t="s">
        <v>138</v>
      </c>
      <c r="E908" s="15" t="s">
        <v>426</v>
      </c>
      <c r="F908" s="15" t="s">
        <v>426</v>
      </c>
      <c r="G908" s="15" t="s">
        <v>162</v>
      </c>
      <c r="H908" s="7" t="s">
        <v>138</v>
      </c>
      <c r="I908" s="6" t="s">
        <v>138</v>
      </c>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row>
    <row r="909" spans="1:72">
      <c r="A909" s="8" t="s">
        <v>17916</v>
      </c>
      <c r="B909" s="11" t="s">
        <v>17920</v>
      </c>
      <c r="C909" s="9" t="s">
        <v>138</v>
      </c>
      <c r="D909" s="10" t="s">
        <v>138</v>
      </c>
      <c r="E909" s="28" t="s">
        <v>449</v>
      </c>
      <c r="F909" s="28" t="s">
        <v>138</v>
      </c>
      <c r="G909" s="28" t="s">
        <v>450</v>
      </c>
      <c r="H909" s="13">
        <v>3</v>
      </c>
      <c r="I909" s="12" t="s">
        <v>17923</v>
      </c>
      <c r="J909" s="12" t="s">
        <v>455</v>
      </c>
      <c r="K909" s="12" t="s">
        <v>38188</v>
      </c>
      <c r="L909" s="12" t="s">
        <v>38189</v>
      </c>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12"/>
      <c r="BH909" s="12"/>
      <c r="BI909" s="12"/>
      <c r="BJ909" s="12"/>
      <c r="BK909" s="12"/>
      <c r="BL909" s="12"/>
      <c r="BM909" s="12"/>
      <c r="BN909" s="12"/>
      <c r="BO909" s="12"/>
      <c r="BP909" s="12"/>
      <c r="BQ909" s="12"/>
      <c r="BR909" s="12"/>
      <c r="BS909" s="12"/>
      <c r="BT909" s="12"/>
    </row>
    <row r="910" spans="1:72">
      <c r="A910" s="2" t="s">
        <v>17927</v>
      </c>
      <c r="B910" s="5" t="s">
        <v>17932</v>
      </c>
      <c r="C910" s="3" t="s">
        <v>17928</v>
      </c>
      <c r="D910" s="4" t="s">
        <v>138</v>
      </c>
      <c r="E910" s="15" t="s">
        <v>8996</v>
      </c>
      <c r="F910" s="15" t="s">
        <v>8997</v>
      </c>
      <c r="G910" s="15" t="s">
        <v>8999</v>
      </c>
      <c r="H910" s="7">
        <v>4</v>
      </c>
      <c r="I910" s="6" t="s">
        <v>17942</v>
      </c>
      <c r="J910" s="6" t="s">
        <v>42698</v>
      </c>
      <c r="K910" s="6" t="s">
        <v>38272</v>
      </c>
      <c r="L910" s="6" t="s">
        <v>42699</v>
      </c>
      <c r="M910" s="6" t="s">
        <v>42700</v>
      </c>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row>
    <row r="911" spans="1:72">
      <c r="A911" s="8" t="s">
        <v>17945</v>
      </c>
      <c r="B911" s="11" t="s">
        <v>17952</v>
      </c>
      <c r="C911" s="9" t="s">
        <v>138</v>
      </c>
      <c r="D911" s="10" t="s">
        <v>138</v>
      </c>
      <c r="E911" s="28" t="s">
        <v>1516</v>
      </c>
      <c r="F911" s="28" t="s">
        <v>284</v>
      </c>
      <c r="G911" s="28" t="s">
        <v>162</v>
      </c>
      <c r="H911" s="13">
        <v>18</v>
      </c>
      <c r="I911" s="12" t="s">
        <v>17963</v>
      </c>
      <c r="J911" s="12" t="s">
        <v>42701</v>
      </c>
      <c r="K911" s="12" t="s">
        <v>42702</v>
      </c>
      <c r="L911" s="12" t="s">
        <v>42703</v>
      </c>
      <c r="M911" s="12" t="s">
        <v>40029</v>
      </c>
      <c r="N911" s="12" t="s">
        <v>41323</v>
      </c>
      <c r="O911" s="12" t="s">
        <v>39020</v>
      </c>
      <c r="P911" s="12" t="s">
        <v>41099</v>
      </c>
      <c r="Q911" s="12" t="s">
        <v>42704</v>
      </c>
      <c r="R911" s="12" t="s">
        <v>37947</v>
      </c>
      <c r="S911" s="12" t="s">
        <v>42705</v>
      </c>
      <c r="T911" s="12" t="s">
        <v>42706</v>
      </c>
      <c r="U911" s="12" t="s">
        <v>38770</v>
      </c>
      <c r="V911" s="12" t="s">
        <v>40996</v>
      </c>
      <c r="W911" s="12" t="s">
        <v>42707</v>
      </c>
      <c r="X911" s="12" t="s">
        <v>42708</v>
      </c>
      <c r="Y911" s="12" t="s">
        <v>38240</v>
      </c>
      <c r="Z911" s="12" t="s">
        <v>37841</v>
      </c>
      <c r="AA911" s="12" t="s">
        <v>42709</v>
      </c>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12"/>
      <c r="BH911" s="12"/>
      <c r="BI911" s="12"/>
      <c r="BJ911" s="12"/>
      <c r="BK911" s="12"/>
      <c r="BL911" s="12"/>
      <c r="BM911" s="12"/>
      <c r="BN911" s="12"/>
      <c r="BO911" s="12"/>
      <c r="BP911" s="12"/>
      <c r="BQ911" s="12"/>
      <c r="BR911" s="12"/>
      <c r="BS911" s="12"/>
      <c r="BT911" s="12"/>
    </row>
    <row r="912" spans="1:72">
      <c r="A912" s="2" t="s">
        <v>17968</v>
      </c>
      <c r="B912" s="5" t="s">
        <v>17972</v>
      </c>
      <c r="C912" s="3" t="s">
        <v>138</v>
      </c>
      <c r="D912" s="4" t="s">
        <v>138</v>
      </c>
      <c r="E912" s="15" t="s">
        <v>668</v>
      </c>
      <c r="F912" s="15" t="s">
        <v>200</v>
      </c>
      <c r="G912" s="15" t="s">
        <v>162</v>
      </c>
      <c r="H912" s="7">
        <v>18</v>
      </c>
      <c r="I912" s="6" t="s">
        <v>17981</v>
      </c>
      <c r="J912" s="6" t="s">
        <v>39264</v>
      </c>
      <c r="K912" s="6" t="s">
        <v>37979</v>
      </c>
      <c r="L912" s="6" t="s">
        <v>42710</v>
      </c>
      <c r="M912" s="6" t="s">
        <v>39305</v>
      </c>
      <c r="N912" s="6" t="s">
        <v>37876</v>
      </c>
      <c r="O912" s="6" t="s">
        <v>41933</v>
      </c>
      <c r="P912" s="6" t="s">
        <v>37819</v>
      </c>
      <c r="Q912" s="6" t="s">
        <v>38209</v>
      </c>
      <c r="R912" s="6" t="s">
        <v>42711</v>
      </c>
      <c r="S912" s="6" t="s">
        <v>42712</v>
      </c>
      <c r="T912" s="6" t="s">
        <v>38803</v>
      </c>
      <c r="U912" s="6" t="s">
        <v>39732</v>
      </c>
      <c r="V912" s="6" t="s">
        <v>42713</v>
      </c>
      <c r="W912" s="6" t="s">
        <v>37884</v>
      </c>
      <c r="X912" s="6" t="s">
        <v>38319</v>
      </c>
      <c r="Y912" s="6" t="s">
        <v>38580</v>
      </c>
      <c r="Z912" s="6" t="s">
        <v>42714</v>
      </c>
      <c r="AA912" s="6" t="s">
        <v>39082</v>
      </c>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row>
    <row r="913" spans="1:72">
      <c r="A913" s="8" t="s">
        <v>17985</v>
      </c>
      <c r="B913" s="11" t="s">
        <v>17990</v>
      </c>
      <c r="C913" s="9" t="s">
        <v>17986</v>
      </c>
      <c r="D913" s="10" t="s">
        <v>138</v>
      </c>
      <c r="E913" s="28" t="s">
        <v>426</v>
      </c>
      <c r="F913" s="28" t="s">
        <v>426</v>
      </c>
      <c r="G913" s="28" t="s">
        <v>162</v>
      </c>
      <c r="H913" s="13" t="s">
        <v>138</v>
      </c>
      <c r="I913" s="12" t="s">
        <v>138</v>
      </c>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12"/>
      <c r="BH913" s="12"/>
      <c r="BI913" s="12"/>
      <c r="BJ913" s="12"/>
      <c r="BK913" s="12"/>
      <c r="BL913" s="12"/>
      <c r="BM913" s="12"/>
      <c r="BN913" s="12"/>
      <c r="BO913" s="12"/>
      <c r="BP913" s="12"/>
      <c r="BQ913" s="12"/>
      <c r="BR913" s="12"/>
      <c r="BS913" s="12"/>
      <c r="BT913" s="12"/>
    </row>
    <row r="914" spans="1:72">
      <c r="A914" s="2" t="s">
        <v>18002</v>
      </c>
      <c r="B914" s="5" t="s">
        <v>18007</v>
      </c>
      <c r="C914" s="3" t="s">
        <v>138</v>
      </c>
      <c r="D914" s="4" t="s">
        <v>138</v>
      </c>
      <c r="E914" s="15" t="s">
        <v>1246</v>
      </c>
      <c r="F914" s="15" t="s">
        <v>200</v>
      </c>
      <c r="G914" s="15" t="s">
        <v>162</v>
      </c>
      <c r="H914" s="7">
        <v>11</v>
      </c>
      <c r="I914" s="6" t="s">
        <v>18015</v>
      </c>
      <c r="J914" s="6" t="s">
        <v>42715</v>
      </c>
      <c r="K914" s="6" t="s">
        <v>39198</v>
      </c>
      <c r="L914" s="6" t="s">
        <v>37851</v>
      </c>
      <c r="M914" s="6" t="s">
        <v>37822</v>
      </c>
      <c r="N914" s="6" t="s">
        <v>37787</v>
      </c>
      <c r="O914" s="6" t="s">
        <v>40464</v>
      </c>
      <c r="P914" s="6" t="s">
        <v>38731</v>
      </c>
      <c r="Q914" s="6" t="s">
        <v>37783</v>
      </c>
      <c r="R914" s="6" t="s">
        <v>42445</v>
      </c>
      <c r="S914" s="6" t="s">
        <v>42716</v>
      </c>
      <c r="T914" s="6" t="s">
        <v>40361</v>
      </c>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row>
    <row r="915" spans="1:72">
      <c r="A915" s="8" t="s">
        <v>18022</v>
      </c>
      <c r="B915" s="11" t="s">
        <v>18027</v>
      </c>
      <c r="C915" s="9" t="s">
        <v>138</v>
      </c>
      <c r="D915" s="10" t="s">
        <v>18023</v>
      </c>
      <c r="E915" s="28" t="s">
        <v>426</v>
      </c>
      <c r="F915" s="28" t="s">
        <v>426</v>
      </c>
      <c r="G915" s="28" t="s">
        <v>162</v>
      </c>
      <c r="H915" s="13">
        <v>5</v>
      </c>
      <c r="I915" s="12" t="s">
        <v>18036</v>
      </c>
      <c r="J915" s="12" t="s">
        <v>37811</v>
      </c>
      <c r="K915" s="12" t="s">
        <v>40279</v>
      </c>
      <c r="L915" s="12" t="s">
        <v>38299</v>
      </c>
      <c r="M915" s="12" t="s">
        <v>42717</v>
      </c>
      <c r="N915" s="12" t="s">
        <v>42718</v>
      </c>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12"/>
      <c r="BH915" s="12"/>
      <c r="BI915" s="12"/>
      <c r="BJ915" s="12"/>
      <c r="BK915" s="12"/>
      <c r="BL915" s="12"/>
      <c r="BM915" s="12"/>
      <c r="BN915" s="12"/>
      <c r="BO915" s="12"/>
      <c r="BP915" s="12"/>
      <c r="BQ915" s="12"/>
      <c r="BR915" s="12"/>
      <c r="BS915" s="12"/>
      <c r="BT915" s="12"/>
    </row>
    <row r="916" spans="1:72">
      <c r="A916" s="2" t="s">
        <v>18042</v>
      </c>
      <c r="B916" s="5" t="s">
        <v>18046</v>
      </c>
      <c r="C916" s="3" t="s">
        <v>138</v>
      </c>
      <c r="D916" s="4" t="s">
        <v>138</v>
      </c>
      <c r="E916" s="15" t="s">
        <v>1460</v>
      </c>
      <c r="F916" s="15" t="s">
        <v>474</v>
      </c>
      <c r="G916" s="15" t="s">
        <v>162</v>
      </c>
      <c r="H916" s="7">
        <v>1</v>
      </c>
      <c r="I916" s="6" t="s">
        <v>18057</v>
      </c>
      <c r="J916" s="6" t="s">
        <v>18057</v>
      </c>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row>
    <row r="917" spans="1:72">
      <c r="A917" s="8" t="s">
        <v>18060</v>
      </c>
      <c r="B917" s="11" t="s">
        <v>18064</v>
      </c>
      <c r="C917" s="9" t="s">
        <v>138</v>
      </c>
      <c r="D917" s="10" t="s">
        <v>138</v>
      </c>
      <c r="E917" s="28" t="s">
        <v>823</v>
      </c>
      <c r="F917" s="28" t="s">
        <v>824</v>
      </c>
      <c r="G917" s="28" t="s">
        <v>526</v>
      </c>
      <c r="H917" s="13">
        <v>1</v>
      </c>
      <c r="I917" s="12" t="s">
        <v>6083</v>
      </c>
      <c r="J917" s="12" t="s">
        <v>6083</v>
      </c>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12"/>
      <c r="BH917" s="12"/>
      <c r="BI917" s="12"/>
      <c r="BJ917" s="12"/>
      <c r="BK917" s="12"/>
      <c r="BL917" s="12"/>
      <c r="BM917" s="12"/>
      <c r="BN917" s="12"/>
      <c r="BO917" s="12"/>
      <c r="BP917" s="12"/>
      <c r="BQ917" s="12"/>
      <c r="BR917" s="12"/>
      <c r="BS917" s="12"/>
      <c r="BT917" s="12"/>
    </row>
    <row r="918" spans="1:72">
      <c r="A918" s="2" t="s">
        <v>18075</v>
      </c>
      <c r="B918" s="5" t="s">
        <v>18081</v>
      </c>
      <c r="C918" s="3" t="s">
        <v>18076</v>
      </c>
      <c r="D918" s="4" t="s">
        <v>138</v>
      </c>
      <c r="E918" s="15" t="s">
        <v>12394</v>
      </c>
      <c r="F918" s="15" t="s">
        <v>200</v>
      </c>
      <c r="G918" s="15" t="s">
        <v>162</v>
      </c>
      <c r="H918" s="7">
        <v>13</v>
      </c>
      <c r="I918" s="6" t="s">
        <v>18091</v>
      </c>
      <c r="J918" s="6" t="s">
        <v>42719</v>
      </c>
      <c r="K918" s="6" t="s">
        <v>42720</v>
      </c>
      <c r="L918" s="6" t="s">
        <v>42721</v>
      </c>
      <c r="M918" s="6" t="s">
        <v>38057</v>
      </c>
      <c r="N918" s="6" t="s">
        <v>42722</v>
      </c>
      <c r="O918" s="6" t="s">
        <v>42723</v>
      </c>
      <c r="P918" s="6" t="s">
        <v>38199</v>
      </c>
      <c r="Q918" s="6" t="s">
        <v>40512</v>
      </c>
      <c r="R918" s="6" t="s">
        <v>38323</v>
      </c>
      <c r="S918" s="6" t="s">
        <v>42724</v>
      </c>
      <c r="T918" s="6" t="s">
        <v>42725</v>
      </c>
      <c r="U918" s="6" t="s">
        <v>39351</v>
      </c>
      <c r="V918" s="6" t="s">
        <v>39269</v>
      </c>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row>
    <row r="919" spans="1:72">
      <c r="A919" s="8" t="s">
        <v>18098</v>
      </c>
      <c r="B919" s="11" t="s">
        <v>18104</v>
      </c>
      <c r="C919" s="9" t="s">
        <v>138</v>
      </c>
      <c r="D919" s="10" t="s">
        <v>138</v>
      </c>
      <c r="E919" s="28" t="s">
        <v>426</v>
      </c>
      <c r="F919" s="28" t="s">
        <v>426</v>
      </c>
      <c r="G919" s="28" t="s">
        <v>162</v>
      </c>
      <c r="H919" s="13">
        <v>4</v>
      </c>
      <c r="I919" s="12" t="s">
        <v>18114</v>
      </c>
      <c r="J919" s="12" t="s">
        <v>15045</v>
      </c>
      <c r="K919" s="12" t="s">
        <v>41197</v>
      </c>
      <c r="L919" s="12" t="s">
        <v>39116</v>
      </c>
      <c r="M919" s="12" t="s">
        <v>42726</v>
      </c>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12"/>
      <c r="BH919" s="12"/>
      <c r="BI919" s="12"/>
      <c r="BJ919" s="12"/>
      <c r="BK919" s="12"/>
      <c r="BL919" s="12"/>
      <c r="BM919" s="12"/>
      <c r="BN919" s="12"/>
      <c r="BO919" s="12"/>
      <c r="BP919" s="12"/>
      <c r="BQ919" s="12"/>
      <c r="BR919" s="12"/>
      <c r="BS919" s="12"/>
      <c r="BT919" s="12"/>
    </row>
    <row r="920" spans="1:72">
      <c r="A920" s="2" t="s">
        <v>18117</v>
      </c>
      <c r="B920" s="5" t="s">
        <v>18123</v>
      </c>
      <c r="C920" s="3" t="s">
        <v>138</v>
      </c>
      <c r="D920" s="4" t="s">
        <v>138</v>
      </c>
      <c r="E920" s="15" t="s">
        <v>18132</v>
      </c>
      <c r="F920" s="15" t="s">
        <v>18133</v>
      </c>
      <c r="G920" s="15" t="s">
        <v>2333</v>
      </c>
      <c r="H920" s="7">
        <v>10</v>
      </c>
      <c r="I920" s="6" t="s">
        <v>18137</v>
      </c>
      <c r="J920" s="6" t="s">
        <v>38733</v>
      </c>
      <c r="K920" s="6" t="s">
        <v>42727</v>
      </c>
      <c r="L920" s="6" t="s">
        <v>40550</v>
      </c>
      <c r="M920" s="6" t="s">
        <v>40552</v>
      </c>
      <c r="N920" s="6" t="s">
        <v>38299</v>
      </c>
      <c r="O920" s="6" t="s">
        <v>40633</v>
      </c>
      <c r="P920" s="6" t="s">
        <v>39139</v>
      </c>
      <c r="Q920" s="6" t="s">
        <v>42728</v>
      </c>
      <c r="R920" s="6" t="s">
        <v>40564</v>
      </c>
      <c r="S920" s="6" t="s">
        <v>42729</v>
      </c>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row>
    <row r="921" spans="1:72">
      <c r="A921" s="8" t="s">
        <v>18141</v>
      </c>
      <c r="B921" s="11" t="s">
        <v>18147</v>
      </c>
      <c r="C921" s="9" t="s">
        <v>138</v>
      </c>
      <c r="D921" s="10" t="s">
        <v>138</v>
      </c>
      <c r="E921" s="28" t="s">
        <v>14129</v>
      </c>
      <c r="F921" s="28" t="s">
        <v>14130</v>
      </c>
      <c r="G921" s="28" t="s">
        <v>2742</v>
      </c>
      <c r="H921" s="13">
        <v>4</v>
      </c>
      <c r="I921" s="12" t="s">
        <v>18157</v>
      </c>
      <c r="J921" s="12" t="s">
        <v>42730</v>
      </c>
      <c r="K921" s="12" t="s">
        <v>42367</v>
      </c>
      <c r="L921" s="12" t="s">
        <v>42731</v>
      </c>
      <c r="M921" s="12" t="s">
        <v>38200</v>
      </c>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12"/>
      <c r="BH921" s="12"/>
      <c r="BI921" s="12"/>
      <c r="BJ921" s="12"/>
      <c r="BK921" s="12"/>
      <c r="BL921" s="12"/>
      <c r="BM921" s="12"/>
      <c r="BN921" s="12"/>
      <c r="BO921" s="12"/>
      <c r="BP921" s="12"/>
      <c r="BQ921" s="12"/>
      <c r="BR921" s="12"/>
      <c r="BS921" s="12"/>
      <c r="BT921" s="12"/>
    </row>
    <row r="922" spans="1:72">
      <c r="A922" s="2" t="s">
        <v>18163</v>
      </c>
      <c r="B922" s="5" t="s">
        <v>18169</v>
      </c>
      <c r="C922" s="3" t="s">
        <v>138</v>
      </c>
      <c r="D922" s="4" t="s">
        <v>138</v>
      </c>
      <c r="E922" s="15" t="s">
        <v>4900</v>
      </c>
      <c r="F922" s="15" t="s">
        <v>200</v>
      </c>
      <c r="G922" s="15" t="s">
        <v>162</v>
      </c>
      <c r="H922" s="7">
        <v>19</v>
      </c>
      <c r="I922" s="6" t="s">
        <v>18177</v>
      </c>
      <c r="J922" s="6" t="s">
        <v>38353</v>
      </c>
      <c r="K922" s="6" t="s">
        <v>42732</v>
      </c>
      <c r="L922" s="6" t="s">
        <v>37875</v>
      </c>
      <c r="M922" s="6" t="s">
        <v>38569</v>
      </c>
      <c r="N922" s="6" t="s">
        <v>42733</v>
      </c>
      <c r="O922" s="6" t="s">
        <v>39229</v>
      </c>
      <c r="P922" s="6" t="s">
        <v>38636</v>
      </c>
      <c r="Q922" s="6" t="s">
        <v>37986</v>
      </c>
      <c r="R922" s="6" t="s">
        <v>38394</v>
      </c>
      <c r="S922" s="6" t="s">
        <v>38062</v>
      </c>
      <c r="T922" s="6" t="s">
        <v>42734</v>
      </c>
      <c r="U922" s="6" t="s">
        <v>40206</v>
      </c>
      <c r="V922" s="6" t="s">
        <v>41834</v>
      </c>
      <c r="W922" s="6" t="s">
        <v>42735</v>
      </c>
      <c r="X922" s="6" t="s">
        <v>42736</v>
      </c>
      <c r="Y922" s="6" t="s">
        <v>38399</v>
      </c>
      <c r="Z922" s="6" t="s">
        <v>39734</v>
      </c>
      <c r="AA922" s="6" t="s">
        <v>42737</v>
      </c>
      <c r="AB922" s="6" t="s">
        <v>38143</v>
      </c>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row>
    <row r="923" spans="1:72">
      <c r="A923" s="8" t="s">
        <v>18180</v>
      </c>
      <c r="B923" s="11" t="s">
        <v>18186</v>
      </c>
      <c r="C923" s="9" t="s">
        <v>138</v>
      </c>
      <c r="D923" s="10" t="s">
        <v>18181</v>
      </c>
      <c r="E923" s="28" t="s">
        <v>5338</v>
      </c>
      <c r="F923" s="28" t="s">
        <v>200</v>
      </c>
      <c r="G923" s="28" t="s">
        <v>162</v>
      </c>
      <c r="H923" s="13">
        <v>5</v>
      </c>
      <c r="I923" s="12" t="s">
        <v>18196</v>
      </c>
      <c r="J923" s="12" t="s">
        <v>6235</v>
      </c>
      <c r="K923" s="12" t="s">
        <v>42738</v>
      </c>
      <c r="L923" s="12" t="s">
        <v>42739</v>
      </c>
      <c r="M923" s="12" t="s">
        <v>39189</v>
      </c>
      <c r="N923" s="12" t="s">
        <v>42371</v>
      </c>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12"/>
      <c r="BH923" s="12"/>
      <c r="BI923" s="12"/>
      <c r="BJ923" s="12"/>
      <c r="BK923" s="12"/>
      <c r="BL923" s="12"/>
      <c r="BM923" s="12"/>
      <c r="BN923" s="12"/>
      <c r="BO923" s="12"/>
      <c r="BP923" s="12"/>
      <c r="BQ923" s="12"/>
      <c r="BR923" s="12"/>
      <c r="BS923" s="12"/>
      <c r="BT923" s="12"/>
    </row>
    <row r="924" spans="1:72">
      <c r="A924" s="2" t="s">
        <v>18201</v>
      </c>
      <c r="B924" s="5" t="s">
        <v>18206</v>
      </c>
      <c r="C924" s="3" t="s">
        <v>138</v>
      </c>
      <c r="D924" s="4" t="s">
        <v>138</v>
      </c>
      <c r="E924" s="15" t="s">
        <v>4900</v>
      </c>
      <c r="F924" s="15" t="s">
        <v>200</v>
      </c>
      <c r="G924" s="15" t="s">
        <v>162</v>
      </c>
      <c r="H924" s="7">
        <v>16</v>
      </c>
      <c r="I924" s="6" t="s">
        <v>18215</v>
      </c>
      <c r="J924" s="6" t="s">
        <v>38353</v>
      </c>
      <c r="K924" s="6" t="s">
        <v>42740</v>
      </c>
      <c r="L924" s="6" t="s">
        <v>42741</v>
      </c>
      <c r="M924" s="6" t="s">
        <v>42742</v>
      </c>
      <c r="N924" s="6" t="s">
        <v>42743</v>
      </c>
      <c r="O924" s="6" t="s">
        <v>42056</v>
      </c>
      <c r="P924" s="6" t="s">
        <v>37786</v>
      </c>
      <c r="Q924" s="6" t="s">
        <v>42312</v>
      </c>
      <c r="R924" s="6" t="s">
        <v>42744</v>
      </c>
      <c r="S924" s="6" t="s">
        <v>38063</v>
      </c>
      <c r="T924" s="6" t="s">
        <v>39692</v>
      </c>
      <c r="U924" s="6" t="s">
        <v>39765</v>
      </c>
      <c r="V924" s="6" t="s">
        <v>38647</v>
      </c>
      <c r="W924" s="6" t="s">
        <v>39086</v>
      </c>
      <c r="X924" s="6" t="s">
        <v>38145</v>
      </c>
      <c r="Y924" s="6" t="s">
        <v>41318</v>
      </c>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row>
    <row r="925" spans="1:72">
      <c r="A925" s="8" t="s">
        <v>18219</v>
      </c>
      <c r="B925" s="11" t="s">
        <v>18224</v>
      </c>
      <c r="C925" s="9" t="s">
        <v>138</v>
      </c>
      <c r="D925" s="10" t="s">
        <v>138</v>
      </c>
      <c r="E925" s="28" t="s">
        <v>944</v>
      </c>
      <c r="F925" s="28" t="s">
        <v>138</v>
      </c>
      <c r="G925" s="28" t="s">
        <v>946</v>
      </c>
      <c r="H925" s="13">
        <v>7</v>
      </c>
      <c r="I925" s="12" t="s">
        <v>18233</v>
      </c>
      <c r="J925" s="12" t="s">
        <v>42745</v>
      </c>
      <c r="K925" s="12" t="s">
        <v>38096</v>
      </c>
      <c r="L925" s="12" t="s">
        <v>41455</v>
      </c>
      <c r="M925" s="12" t="s">
        <v>41551</v>
      </c>
      <c r="N925" s="12" t="s">
        <v>38306</v>
      </c>
      <c r="O925" s="12" t="s">
        <v>42746</v>
      </c>
      <c r="P925" s="12" t="s">
        <v>42747</v>
      </c>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12"/>
      <c r="BH925" s="12"/>
      <c r="BI925" s="12"/>
      <c r="BJ925" s="12"/>
      <c r="BK925" s="12"/>
      <c r="BL925" s="12"/>
      <c r="BM925" s="12"/>
      <c r="BN925" s="12"/>
      <c r="BO925" s="12"/>
      <c r="BP925" s="12"/>
      <c r="BQ925" s="12"/>
      <c r="BR925" s="12"/>
      <c r="BS925" s="12"/>
      <c r="BT925" s="12"/>
    </row>
    <row r="926" spans="1:72">
      <c r="A926" s="2" t="s">
        <v>18237</v>
      </c>
      <c r="B926" s="5" t="s">
        <v>18243</v>
      </c>
      <c r="C926" s="3" t="s">
        <v>138</v>
      </c>
      <c r="D926" s="4" t="s">
        <v>18238</v>
      </c>
      <c r="E926" s="15" t="s">
        <v>1638</v>
      </c>
      <c r="F926" s="15" t="s">
        <v>200</v>
      </c>
      <c r="G926" s="15" t="s">
        <v>162</v>
      </c>
      <c r="H926" s="7">
        <v>7</v>
      </c>
      <c r="I926" s="6" t="s">
        <v>18252</v>
      </c>
      <c r="J926" s="6" t="s">
        <v>16877</v>
      </c>
      <c r="K926" s="6" t="s">
        <v>42748</v>
      </c>
      <c r="L926" s="6" t="s">
        <v>38803</v>
      </c>
      <c r="M926" s="6" t="s">
        <v>38062</v>
      </c>
      <c r="N926" s="6" t="s">
        <v>37883</v>
      </c>
      <c r="O926" s="6" t="s">
        <v>38319</v>
      </c>
      <c r="P926" s="6" t="s">
        <v>38948</v>
      </c>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row>
    <row r="927" spans="1:72">
      <c r="A927" s="8" t="s">
        <v>18259</v>
      </c>
      <c r="B927" s="11" t="s">
        <v>18264</v>
      </c>
      <c r="C927" s="9" t="s">
        <v>138</v>
      </c>
      <c r="D927" s="10" t="s">
        <v>18260</v>
      </c>
      <c r="E927" s="28" t="s">
        <v>11280</v>
      </c>
      <c r="F927" s="28" t="s">
        <v>339</v>
      </c>
      <c r="G927" s="28" t="s">
        <v>162</v>
      </c>
      <c r="H927" s="13">
        <v>10</v>
      </c>
      <c r="I927" s="12" t="s">
        <v>18272</v>
      </c>
      <c r="J927" s="12" t="s">
        <v>42749</v>
      </c>
      <c r="K927" s="12" t="s">
        <v>39020</v>
      </c>
      <c r="L927" s="12" t="s">
        <v>39994</v>
      </c>
      <c r="M927" s="12" t="s">
        <v>42750</v>
      </c>
      <c r="N927" s="12" t="s">
        <v>42751</v>
      </c>
      <c r="O927" s="12" t="s">
        <v>42752</v>
      </c>
      <c r="P927" s="12" t="s">
        <v>42753</v>
      </c>
      <c r="Q927" s="12" t="s">
        <v>37841</v>
      </c>
      <c r="R927" s="12" t="s">
        <v>42754</v>
      </c>
      <c r="S927" s="12" t="s">
        <v>42755</v>
      </c>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12"/>
      <c r="BH927" s="12"/>
      <c r="BI927" s="12"/>
      <c r="BJ927" s="12"/>
      <c r="BK927" s="12"/>
      <c r="BL927" s="12"/>
      <c r="BM927" s="12"/>
      <c r="BN927" s="12"/>
      <c r="BO927" s="12"/>
      <c r="BP927" s="12"/>
      <c r="BQ927" s="12"/>
      <c r="BR927" s="12"/>
      <c r="BS927" s="12"/>
      <c r="BT927" s="12"/>
    </row>
    <row r="928" spans="1:72">
      <c r="A928" s="2" t="s">
        <v>18275</v>
      </c>
      <c r="B928" s="5" t="s">
        <v>18279</v>
      </c>
      <c r="C928" s="3" t="s">
        <v>138</v>
      </c>
      <c r="D928" s="4" t="s">
        <v>138</v>
      </c>
      <c r="E928" s="15" t="s">
        <v>18288</v>
      </c>
      <c r="F928" s="15" t="s">
        <v>2740</v>
      </c>
      <c r="G928" s="15" t="s">
        <v>2742</v>
      </c>
      <c r="H928" s="7">
        <v>7</v>
      </c>
      <c r="I928" s="6" t="s">
        <v>18292</v>
      </c>
      <c r="J928" s="6" t="s">
        <v>42756</v>
      </c>
      <c r="K928" s="6" t="s">
        <v>42757</v>
      </c>
      <c r="L928" s="6" t="s">
        <v>42758</v>
      </c>
      <c r="M928" s="6" t="s">
        <v>42759</v>
      </c>
      <c r="N928" s="6" t="s">
        <v>42760</v>
      </c>
      <c r="O928" s="6" t="s">
        <v>42761</v>
      </c>
      <c r="P928" s="6" t="s">
        <v>42762</v>
      </c>
      <c r="Q928" s="6" t="s">
        <v>42763</v>
      </c>
      <c r="R928" s="6" t="s">
        <v>42764</v>
      </c>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row>
    <row r="929" spans="1:72">
      <c r="A929" s="8" t="s">
        <v>18296</v>
      </c>
      <c r="B929" s="11" t="s">
        <v>18302</v>
      </c>
      <c r="C929" s="9" t="s">
        <v>18297</v>
      </c>
      <c r="D929" s="10" t="s">
        <v>138</v>
      </c>
      <c r="E929" s="28" t="s">
        <v>1246</v>
      </c>
      <c r="F929" s="28" t="s">
        <v>200</v>
      </c>
      <c r="G929" s="28" t="s">
        <v>162</v>
      </c>
      <c r="H929" s="13">
        <v>14</v>
      </c>
      <c r="I929" s="12" t="s">
        <v>18311</v>
      </c>
      <c r="J929" s="12" t="s">
        <v>42765</v>
      </c>
      <c r="K929" s="12" t="s">
        <v>38297</v>
      </c>
      <c r="L929" s="12" t="s">
        <v>38230</v>
      </c>
      <c r="M929" s="12" t="s">
        <v>39475</v>
      </c>
      <c r="N929" s="12" t="s">
        <v>37953</v>
      </c>
      <c r="O929" s="12" t="s">
        <v>37787</v>
      </c>
      <c r="P929" s="12" t="s">
        <v>39400</v>
      </c>
      <c r="Q929" s="12" t="s">
        <v>42766</v>
      </c>
      <c r="R929" s="12" t="s">
        <v>39642</v>
      </c>
      <c r="S929" s="12" t="s">
        <v>42767</v>
      </c>
      <c r="T929" s="12" t="s">
        <v>42725</v>
      </c>
      <c r="U929" s="12" t="s">
        <v>39143</v>
      </c>
      <c r="V929" s="12" t="s">
        <v>38536</v>
      </c>
      <c r="W929" s="12" t="s">
        <v>40896</v>
      </c>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12"/>
      <c r="BH929" s="12"/>
      <c r="BI929" s="12"/>
      <c r="BJ929" s="12"/>
      <c r="BK929" s="12"/>
      <c r="BL929" s="12"/>
      <c r="BM929" s="12"/>
      <c r="BN929" s="12"/>
      <c r="BO929" s="12"/>
      <c r="BP929" s="12"/>
      <c r="BQ929" s="12"/>
      <c r="BR929" s="12"/>
      <c r="BS929" s="12"/>
      <c r="BT929" s="12"/>
    </row>
    <row r="930" spans="1:72">
      <c r="A930" s="2" t="s">
        <v>18315</v>
      </c>
      <c r="B930" s="5" t="s">
        <v>18320</v>
      </c>
      <c r="C930" s="3" t="s">
        <v>138</v>
      </c>
      <c r="D930" s="4" t="s">
        <v>18316</v>
      </c>
      <c r="E930" s="15" t="s">
        <v>3111</v>
      </c>
      <c r="F930" s="15" t="s">
        <v>3112</v>
      </c>
      <c r="G930" s="15" t="s">
        <v>2742</v>
      </c>
      <c r="H930" s="7">
        <v>11</v>
      </c>
      <c r="I930" s="6" t="s">
        <v>18331</v>
      </c>
      <c r="J930" s="6" t="s">
        <v>39462</v>
      </c>
      <c r="K930" s="6" t="s">
        <v>42768</v>
      </c>
      <c r="L930" s="6" t="s">
        <v>40039</v>
      </c>
      <c r="M930" s="6" t="s">
        <v>42554</v>
      </c>
      <c r="N930" s="6" t="s">
        <v>42769</v>
      </c>
      <c r="O930" s="6" t="s">
        <v>39806</v>
      </c>
      <c r="P930" s="6" t="s">
        <v>42171</v>
      </c>
      <c r="Q930" s="6" t="s">
        <v>42770</v>
      </c>
      <c r="R930" s="6" t="s">
        <v>41100</v>
      </c>
      <c r="S930" s="6" t="s">
        <v>38083</v>
      </c>
      <c r="T930" s="6" t="s">
        <v>38767</v>
      </c>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row>
    <row r="931" spans="1:72">
      <c r="A931" s="8" t="s">
        <v>18336</v>
      </c>
      <c r="B931" s="11" t="s">
        <v>18342</v>
      </c>
      <c r="C931" s="9" t="s">
        <v>18337</v>
      </c>
      <c r="D931" s="10" t="s">
        <v>138</v>
      </c>
      <c r="E931" s="28" t="s">
        <v>1872</v>
      </c>
      <c r="F931" s="28" t="s">
        <v>200</v>
      </c>
      <c r="G931" s="28" t="s">
        <v>162</v>
      </c>
      <c r="H931" s="13">
        <v>17</v>
      </c>
      <c r="I931" s="12" t="s">
        <v>18354</v>
      </c>
      <c r="J931" s="12" t="s">
        <v>42771</v>
      </c>
      <c r="K931" s="12" t="s">
        <v>38354</v>
      </c>
      <c r="L931" s="12" t="s">
        <v>39091</v>
      </c>
      <c r="M931" s="12" t="s">
        <v>42772</v>
      </c>
      <c r="N931" s="12" t="s">
        <v>42773</v>
      </c>
      <c r="O931" s="12" t="s">
        <v>38076</v>
      </c>
      <c r="P931" s="12" t="s">
        <v>42774</v>
      </c>
      <c r="Q931" s="12" t="s">
        <v>42775</v>
      </c>
      <c r="R931" s="12" t="s">
        <v>38368</v>
      </c>
      <c r="S931" s="12" t="s">
        <v>38114</v>
      </c>
      <c r="T931" s="12" t="s">
        <v>42776</v>
      </c>
      <c r="U931" s="12" t="s">
        <v>42777</v>
      </c>
      <c r="V931" s="12" t="s">
        <v>42778</v>
      </c>
      <c r="W931" s="12" t="s">
        <v>38850</v>
      </c>
      <c r="X931" s="12" t="s">
        <v>39127</v>
      </c>
      <c r="Y931" s="12" t="s">
        <v>39647</v>
      </c>
      <c r="Z931" s="12" t="s">
        <v>42779</v>
      </c>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12"/>
      <c r="BH931" s="12"/>
      <c r="BI931" s="12"/>
      <c r="BJ931" s="12"/>
      <c r="BK931" s="12"/>
      <c r="BL931" s="12"/>
      <c r="BM931" s="12"/>
      <c r="BN931" s="12"/>
      <c r="BO931" s="12"/>
      <c r="BP931" s="12"/>
      <c r="BQ931" s="12"/>
      <c r="BR931" s="12"/>
      <c r="BS931" s="12"/>
      <c r="BT931" s="12"/>
    </row>
    <row r="932" spans="1:72">
      <c r="A932" s="2" t="s">
        <v>18357</v>
      </c>
      <c r="B932" s="5" t="s">
        <v>18362</v>
      </c>
      <c r="C932" s="3" t="s">
        <v>18358</v>
      </c>
      <c r="D932" s="4" t="s">
        <v>18359</v>
      </c>
      <c r="E932" s="15" t="s">
        <v>1198</v>
      </c>
      <c r="F932" s="15" t="s">
        <v>138</v>
      </c>
      <c r="G932" s="15" t="s">
        <v>1200</v>
      </c>
      <c r="H932" s="7">
        <v>5</v>
      </c>
      <c r="I932" s="6" t="s">
        <v>18372</v>
      </c>
      <c r="J932" s="6" t="s">
        <v>42780</v>
      </c>
      <c r="K932" s="6" t="s">
        <v>38024</v>
      </c>
      <c r="L932" s="6" t="s">
        <v>38065</v>
      </c>
      <c r="M932" s="6" t="s">
        <v>38435</v>
      </c>
      <c r="N932" s="6" t="s">
        <v>42781</v>
      </c>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row>
    <row r="933" spans="1:72">
      <c r="A933" s="8" t="s">
        <v>18375</v>
      </c>
      <c r="B933" s="11" t="s">
        <v>18380</v>
      </c>
      <c r="C933" s="9" t="s">
        <v>138</v>
      </c>
      <c r="D933" s="10" t="s">
        <v>138</v>
      </c>
      <c r="E933" s="28" t="s">
        <v>642</v>
      </c>
      <c r="F933" s="28" t="s">
        <v>474</v>
      </c>
      <c r="G933" s="28" t="s">
        <v>162</v>
      </c>
      <c r="H933" s="13">
        <v>3</v>
      </c>
      <c r="I933" s="12" t="s">
        <v>18388</v>
      </c>
      <c r="J933" s="12" t="s">
        <v>1012</v>
      </c>
      <c r="K933" s="12" t="s">
        <v>42782</v>
      </c>
      <c r="L933" s="12" t="s">
        <v>38005</v>
      </c>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12"/>
      <c r="BH933" s="12"/>
      <c r="BI933" s="12"/>
      <c r="BJ933" s="12"/>
      <c r="BK933" s="12"/>
      <c r="BL933" s="12"/>
      <c r="BM933" s="12"/>
      <c r="BN933" s="12"/>
      <c r="BO933" s="12"/>
      <c r="BP933" s="12"/>
      <c r="BQ933" s="12"/>
      <c r="BR933" s="12"/>
      <c r="BS933" s="12"/>
      <c r="BT933" s="12"/>
    </row>
    <row r="934" spans="1:72">
      <c r="A934" s="2" t="s">
        <v>18391</v>
      </c>
      <c r="B934" s="5" t="s">
        <v>18396</v>
      </c>
      <c r="C934" s="3" t="s">
        <v>138</v>
      </c>
      <c r="D934" s="4" t="s">
        <v>18392</v>
      </c>
      <c r="E934" s="15" t="s">
        <v>1223</v>
      </c>
      <c r="F934" s="15" t="s">
        <v>200</v>
      </c>
      <c r="G934" s="15" t="s">
        <v>162</v>
      </c>
      <c r="H934" s="7">
        <v>20</v>
      </c>
      <c r="I934" s="6" t="s">
        <v>18404</v>
      </c>
      <c r="J934" s="6" t="s">
        <v>42783</v>
      </c>
      <c r="K934" s="6" t="s">
        <v>42784</v>
      </c>
      <c r="L934" s="6" t="s">
        <v>42785</v>
      </c>
      <c r="M934" s="6" t="s">
        <v>41300</v>
      </c>
      <c r="N934" s="6" t="s">
        <v>42786</v>
      </c>
      <c r="O934" s="6" t="s">
        <v>37791</v>
      </c>
      <c r="P934" s="6" t="s">
        <v>42787</v>
      </c>
      <c r="Q934" s="6" t="s">
        <v>42788</v>
      </c>
      <c r="R934" s="6" t="s">
        <v>42789</v>
      </c>
      <c r="S934" s="6" t="s">
        <v>42790</v>
      </c>
      <c r="T934" s="6" t="s">
        <v>42791</v>
      </c>
      <c r="U934" s="6" t="s">
        <v>42792</v>
      </c>
      <c r="V934" s="6" t="s">
        <v>42793</v>
      </c>
      <c r="W934" s="6" t="s">
        <v>42794</v>
      </c>
      <c r="X934" s="6" t="s">
        <v>39694</v>
      </c>
      <c r="Y934" s="6" t="s">
        <v>42795</v>
      </c>
      <c r="Z934" s="6" t="s">
        <v>38625</v>
      </c>
      <c r="AA934" s="6" t="s">
        <v>39172</v>
      </c>
      <c r="AB934" s="6" t="s">
        <v>42796</v>
      </c>
      <c r="AC934" s="6" t="s">
        <v>42797</v>
      </c>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row>
    <row r="935" spans="1:72">
      <c r="A935" s="8" t="s">
        <v>18407</v>
      </c>
      <c r="B935" s="11" t="s">
        <v>18411</v>
      </c>
      <c r="C935" s="9" t="s">
        <v>18408</v>
      </c>
      <c r="D935" s="10" t="s">
        <v>138</v>
      </c>
      <c r="E935" s="28" t="s">
        <v>4492</v>
      </c>
      <c r="F935" s="28" t="s">
        <v>4493</v>
      </c>
      <c r="G935" s="28" t="s">
        <v>162</v>
      </c>
      <c r="H935" s="13">
        <v>4</v>
      </c>
      <c r="I935" s="12" t="s">
        <v>18421</v>
      </c>
      <c r="J935" s="12" t="s">
        <v>42798</v>
      </c>
      <c r="K935" s="12" t="s">
        <v>42799</v>
      </c>
      <c r="L935" s="12" t="s">
        <v>38189</v>
      </c>
      <c r="M935" s="12" t="s">
        <v>39181</v>
      </c>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12"/>
      <c r="BH935" s="12"/>
      <c r="BI935" s="12"/>
      <c r="BJ935" s="12"/>
      <c r="BK935" s="12"/>
      <c r="BL935" s="12"/>
      <c r="BM935" s="12"/>
      <c r="BN935" s="12"/>
      <c r="BO935" s="12"/>
      <c r="BP935" s="12"/>
      <c r="BQ935" s="12"/>
      <c r="BR935" s="12"/>
      <c r="BS935" s="12"/>
      <c r="BT935" s="12"/>
    </row>
    <row r="936" spans="1:72">
      <c r="A936" s="2" t="s">
        <v>18425</v>
      </c>
      <c r="B936" s="5" t="s">
        <v>18430</v>
      </c>
      <c r="C936" s="3" t="s">
        <v>138</v>
      </c>
      <c r="D936" s="4" t="s">
        <v>18426</v>
      </c>
      <c r="E936" s="15" t="s">
        <v>1460</v>
      </c>
      <c r="F936" s="15" t="s">
        <v>474</v>
      </c>
      <c r="G936" s="15" t="s">
        <v>162</v>
      </c>
      <c r="H936" s="7">
        <v>4</v>
      </c>
      <c r="I936" s="6" t="s">
        <v>18440</v>
      </c>
      <c r="J936" s="6" t="s">
        <v>18057</v>
      </c>
      <c r="K936" s="6" t="s">
        <v>42800</v>
      </c>
      <c r="L936" s="6" t="s">
        <v>41594</v>
      </c>
      <c r="M936" s="6" t="s">
        <v>42801</v>
      </c>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row>
    <row r="937" spans="1:72">
      <c r="A937" s="8" t="s">
        <v>18447</v>
      </c>
      <c r="B937" s="11" t="s">
        <v>18451</v>
      </c>
      <c r="C937" s="9" t="s">
        <v>18448</v>
      </c>
      <c r="D937" s="10" t="s">
        <v>138</v>
      </c>
      <c r="E937" s="28" t="s">
        <v>18459</v>
      </c>
      <c r="F937" s="28" t="s">
        <v>200</v>
      </c>
      <c r="G937" s="28" t="s">
        <v>162</v>
      </c>
      <c r="H937" s="13">
        <v>14</v>
      </c>
      <c r="I937" s="12" t="s">
        <v>18463</v>
      </c>
      <c r="J937" s="12" t="s">
        <v>42802</v>
      </c>
      <c r="K937" s="12" t="s">
        <v>42803</v>
      </c>
      <c r="L937" s="12" t="s">
        <v>42804</v>
      </c>
      <c r="M937" s="12" t="s">
        <v>39020</v>
      </c>
      <c r="N937" s="12" t="s">
        <v>38076</v>
      </c>
      <c r="O937" s="12" t="s">
        <v>42805</v>
      </c>
      <c r="P937" s="12" t="s">
        <v>42806</v>
      </c>
      <c r="Q937" s="12" t="s">
        <v>42807</v>
      </c>
      <c r="R937" s="12" t="s">
        <v>38024</v>
      </c>
      <c r="S937" s="12" t="s">
        <v>42808</v>
      </c>
      <c r="T937" s="12" t="s">
        <v>42809</v>
      </c>
      <c r="U937" s="12" t="s">
        <v>42810</v>
      </c>
      <c r="V937" s="12" t="s">
        <v>42811</v>
      </c>
      <c r="W937" s="12" t="s">
        <v>42812</v>
      </c>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12"/>
      <c r="BH937" s="12"/>
      <c r="BI937" s="12"/>
      <c r="BJ937" s="12"/>
      <c r="BK937" s="12"/>
      <c r="BL937" s="12"/>
      <c r="BM937" s="12"/>
      <c r="BN937" s="12"/>
      <c r="BO937" s="12"/>
      <c r="BP937" s="12"/>
      <c r="BQ937" s="12"/>
      <c r="BR937" s="12"/>
      <c r="BS937" s="12"/>
      <c r="BT937" s="12"/>
    </row>
    <row r="938" spans="1:72">
      <c r="A938" s="2" t="s">
        <v>18470</v>
      </c>
      <c r="B938" s="5" t="s">
        <v>18477</v>
      </c>
      <c r="C938" s="3" t="s">
        <v>138</v>
      </c>
      <c r="D938" s="4" t="s">
        <v>18471</v>
      </c>
      <c r="E938" s="15" t="s">
        <v>18485</v>
      </c>
      <c r="F938" s="15" t="s">
        <v>138</v>
      </c>
      <c r="G938" s="15" t="s">
        <v>740</v>
      </c>
      <c r="H938" s="7">
        <v>3</v>
      </c>
      <c r="I938" s="6" t="s">
        <v>18490</v>
      </c>
      <c r="J938" s="6" t="s">
        <v>42813</v>
      </c>
      <c r="K938" s="6" t="s">
        <v>42814</v>
      </c>
      <c r="L938" s="6" t="s">
        <v>38200</v>
      </c>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row>
    <row r="939" spans="1:72">
      <c r="A939" s="8" t="s">
        <v>18493</v>
      </c>
      <c r="B939" s="11" t="s">
        <v>18497</v>
      </c>
      <c r="C939" s="9" t="s">
        <v>138</v>
      </c>
      <c r="D939" s="10" t="s">
        <v>138</v>
      </c>
      <c r="E939" s="28" t="s">
        <v>2694</v>
      </c>
      <c r="F939" s="28" t="s">
        <v>138</v>
      </c>
      <c r="G939" s="28" t="s">
        <v>1054</v>
      </c>
      <c r="H939" s="13">
        <v>1</v>
      </c>
      <c r="I939" s="12" t="s">
        <v>18506</v>
      </c>
      <c r="J939" s="12" t="s">
        <v>18506</v>
      </c>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12"/>
      <c r="BH939" s="12"/>
      <c r="BI939" s="12"/>
      <c r="BJ939" s="12"/>
      <c r="BK939" s="12"/>
      <c r="BL939" s="12"/>
      <c r="BM939" s="12"/>
      <c r="BN939" s="12"/>
      <c r="BO939" s="12"/>
      <c r="BP939" s="12"/>
      <c r="BQ939" s="12"/>
      <c r="BR939" s="12"/>
      <c r="BS939" s="12"/>
      <c r="BT939" s="12"/>
    </row>
    <row r="940" spans="1:72">
      <c r="A940" s="2" t="s">
        <v>18512</v>
      </c>
      <c r="B940" s="5" t="s">
        <v>18516</v>
      </c>
      <c r="C940" s="3" t="s">
        <v>138</v>
      </c>
      <c r="D940" s="4" t="s">
        <v>138</v>
      </c>
      <c r="E940" s="15" t="s">
        <v>1460</v>
      </c>
      <c r="F940" s="15" t="s">
        <v>474</v>
      </c>
      <c r="G940" s="15" t="s">
        <v>162</v>
      </c>
      <c r="H940" s="7">
        <v>1</v>
      </c>
      <c r="I940" s="6" t="s">
        <v>18057</v>
      </c>
      <c r="J940" s="6" t="s">
        <v>18057</v>
      </c>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row>
    <row r="941" spans="1:72">
      <c r="A941" s="8" t="s">
        <v>18528</v>
      </c>
      <c r="B941" s="11" t="s">
        <v>18532</v>
      </c>
      <c r="C941" s="9" t="s">
        <v>138</v>
      </c>
      <c r="D941" s="10" t="s">
        <v>138</v>
      </c>
      <c r="E941" s="28" t="s">
        <v>18539</v>
      </c>
      <c r="F941" s="28" t="s">
        <v>138</v>
      </c>
      <c r="G941" s="28" t="s">
        <v>1319</v>
      </c>
      <c r="H941" s="13">
        <v>2</v>
      </c>
      <c r="I941" s="12" t="s">
        <v>18543</v>
      </c>
      <c r="J941" s="12" t="s">
        <v>42815</v>
      </c>
      <c r="K941" s="12" t="s">
        <v>37788</v>
      </c>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12"/>
      <c r="BH941" s="12"/>
      <c r="BI941" s="12"/>
      <c r="BJ941" s="12"/>
      <c r="BK941" s="12"/>
      <c r="BL941" s="12"/>
      <c r="BM941" s="12"/>
      <c r="BN941" s="12"/>
      <c r="BO941" s="12"/>
      <c r="BP941" s="12"/>
      <c r="BQ941" s="12"/>
      <c r="BR941" s="12"/>
      <c r="BS941" s="12"/>
      <c r="BT941" s="12"/>
    </row>
    <row r="942" spans="1:72">
      <c r="A942" s="2" t="s">
        <v>18547</v>
      </c>
      <c r="B942" s="5" t="s">
        <v>18551</v>
      </c>
      <c r="C942" s="3" t="s">
        <v>138</v>
      </c>
      <c r="D942" s="4" t="s">
        <v>138</v>
      </c>
      <c r="E942" s="15" t="s">
        <v>1171</v>
      </c>
      <c r="F942" s="15" t="s">
        <v>200</v>
      </c>
      <c r="G942" s="15" t="s">
        <v>162</v>
      </c>
      <c r="H942" s="7">
        <v>31</v>
      </c>
      <c r="I942" s="6" t="s">
        <v>18560</v>
      </c>
      <c r="J942" s="6" t="s">
        <v>42816</v>
      </c>
      <c r="K942" s="6" t="s">
        <v>42817</v>
      </c>
      <c r="L942" s="6" t="s">
        <v>42818</v>
      </c>
      <c r="M942" s="6" t="s">
        <v>42819</v>
      </c>
      <c r="N942" s="6" t="s">
        <v>42820</v>
      </c>
      <c r="O942" s="6" t="s">
        <v>42821</v>
      </c>
      <c r="P942" s="6" t="s">
        <v>42822</v>
      </c>
      <c r="Q942" s="6" t="s">
        <v>38299</v>
      </c>
      <c r="R942" s="6" t="s">
        <v>42823</v>
      </c>
      <c r="S942" s="6" t="s">
        <v>42824</v>
      </c>
      <c r="T942" s="6" t="s">
        <v>42825</v>
      </c>
      <c r="U942" s="6" t="s">
        <v>42826</v>
      </c>
      <c r="V942" s="6" t="s">
        <v>39917</v>
      </c>
      <c r="W942" s="6" t="s">
        <v>42827</v>
      </c>
      <c r="X942" s="6" t="s">
        <v>42046</v>
      </c>
      <c r="Y942" s="6" t="s">
        <v>39976</v>
      </c>
      <c r="Z942" s="6" t="s">
        <v>38062</v>
      </c>
      <c r="AA942" s="6" t="s">
        <v>40738</v>
      </c>
      <c r="AB942" s="6" t="s">
        <v>41148</v>
      </c>
      <c r="AC942" s="6" t="s">
        <v>42828</v>
      </c>
      <c r="AD942" s="6" t="s">
        <v>37931</v>
      </c>
      <c r="AE942" s="6" t="s">
        <v>39080</v>
      </c>
      <c r="AF942" s="6" t="s">
        <v>38293</v>
      </c>
      <c r="AG942" s="6" t="s">
        <v>41633</v>
      </c>
      <c r="AH942" s="6" t="s">
        <v>42829</v>
      </c>
      <c r="AI942" s="6" t="s">
        <v>42830</v>
      </c>
      <c r="AJ942" s="6" t="s">
        <v>38066</v>
      </c>
      <c r="AK942" s="6" t="s">
        <v>42831</v>
      </c>
      <c r="AL942" s="6" t="s">
        <v>42832</v>
      </c>
      <c r="AM942" s="6" t="s">
        <v>39143</v>
      </c>
      <c r="AN942" s="6" t="s">
        <v>42051</v>
      </c>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row>
    <row r="943" spans="1:72">
      <c r="A943" s="8" t="s">
        <v>18567</v>
      </c>
      <c r="B943" s="11" t="s">
        <v>18572</v>
      </c>
      <c r="C943" s="9" t="s">
        <v>138</v>
      </c>
      <c r="D943" s="10" t="s">
        <v>138</v>
      </c>
      <c r="E943" s="28" t="s">
        <v>18578</v>
      </c>
      <c r="F943" s="28" t="s">
        <v>200</v>
      </c>
      <c r="G943" s="28" t="s">
        <v>162</v>
      </c>
      <c r="H943" s="13">
        <v>16</v>
      </c>
      <c r="I943" s="12" t="s">
        <v>18582</v>
      </c>
      <c r="J943" s="12" t="s">
        <v>42833</v>
      </c>
      <c r="K943" s="12" t="s">
        <v>41580</v>
      </c>
      <c r="L943" s="12" t="s">
        <v>42834</v>
      </c>
      <c r="M943" s="12" t="s">
        <v>39804</v>
      </c>
      <c r="N943" s="12" t="s">
        <v>39669</v>
      </c>
      <c r="O943" s="12" t="s">
        <v>40436</v>
      </c>
      <c r="P943" s="12" t="s">
        <v>37960</v>
      </c>
      <c r="Q943" s="12" t="s">
        <v>39406</v>
      </c>
      <c r="R943" s="12" t="s">
        <v>42835</v>
      </c>
      <c r="S943" s="12" t="s">
        <v>38804</v>
      </c>
      <c r="T943" s="12" t="s">
        <v>38137</v>
      </c>
      <c r="U943" s="12" t="s">
        <v>42792</v>
      </c>
      <c r="V943" s="12" t="s">
        <v>38866</v>
      </c>
      <c r="W943" s="12" t="s">
        <v>39664</v>
      </c>
      <c r="X943" s="12" t="s">
        <v>37808</v>
      </c>
      <c r="Y943" s="12" t="s">
        <v>37871</v>
      </c>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12"/>
      <c r="BH943" s="12"/>
      <c r="BI943" s="12"/>
      <c r="BJ943" s="12"/>
      <c r="BK943" s="12"/>
      <c r="BL943" s="12"/>
      <c r="BM943" s="12"/>
      <c r="BN943" s="12"/>
      <c r="BO943" s="12"/>
      <c r="BP943" s="12"/>
      <c r="BQ943" s="12"/>
      <c r="BR943" s="12"/>
      <c r="BS943" s="12"/>
      <c r="BT943" s="12"/>
    </row>
    <row r="944" spans="1:72">
      <c r="A944" s="2" t="s">
        <v>18585</v>
      </c>
      <c r="B944" s="5" t="s">
        <v>18589</v>
      </c>
      <c r="C944" s="3" t="s">
        <v>138</v>
      </c>
      <c r="D944" s="4" t="s">
        <v>138</v>
      </c>
      <c r="E944" s="15" t="s">
        <v>310</v>
      </c>
      <c r="F944" s="15" t="s">
        <v>200</v>
      </c>
      <c r="G944" s="15" t="s">
        <v>162</v>
      </c>
      <c r="H944" s="7">
        <v>7</v>
      </c>
      <c r="I944" s="6" t="s">
        <v>18597</v>
      </c>
      <c r="J944" s="6" t="s">
        <v>41520</v>
      </c>
      <c r="K944" s="6" t="s">
        <v>39406</v>
      </c>
      <c r="L944" s="6" t="s">
        <v>39279</v>
      </c>
      <c r="M944" s="6" t="s">
        <v>41372</v>
      </c>
      <c r="N944" s="6" t="s">
        <v>38787</v>
      </c>
      <c r="O944" s="6" t="s">
        <v>41477</v>
      </c>
      <c r="P944" s="6" t="s">
        <v>37871</v>
      </c>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row>
    <row r="945" spans="1:72">
      <c r="A945" s="8" t="s">
        <v>18601</v>
      </c>
      <c r="B945" s="11" t="s">
        <v>138</v>
      </c>
      <c r="C945" s="9" t="s">
        <v>138</v>
      </c>
      <c r="D945" s="10" t="s">
        <v>138</v>
      </c>
      <c r="E945" s="28" t="s">
        <v>138</v>
      </c>
      <c r="F945" s="28" t="s">
        <v>138</v>
      </c>
      <c r="G945" s="28" t="s">
        <v>138</v>
      </c>
      <c r="H945" s="13">
        <v>2</v>
      </c>
      <c r="I945" s="12" t="s">
        <v>18607</v>
      </c>
      <c r="J945" s="12" t="s">
        <v>25820</v>
      </c>
      <c r="K945" s="12" t="s">
        <v>38083</v>
      </c>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row>
    <row r="946" spans="1:72">
      <c r="A946" s="2" t="s">
        <v>18610</v>
      </c>
      <c r="B946" s="5" t="s">
        <v>18615</v>
      </c>
      <c r="C946" s="3" t="s">
        <v>138</v>
      </c>
      <c r="D946" s="4" t="s">
        <v>138</v>
      </c>
      <c r="E946" s="15" t="s">
        <v>426</v>
      </c>
      <c r="F946" s="15" t="s">
        <v>426</v>
      </c>
      <c r="G946" s="15" t="s">
        <v>162</v>
      </c>
      <c r="H946" s="7">
        <v>8</v>
      </c>
      <c r="I946" s="6" t="s">
        <v>18624</v>
      </c>
      <c r="J946" s="6" t="s">
        <v>34505</v>
      </c>
      <c r="K946" s="6" t="s">
        <v>37876</v>
      </c>
      <c r="L946" s="6" t="s">
        <v>38463</v>
      </c>
      <c r="M946" s="6" t="s">
        <v>38839</v>
      </c>
      <c r="N946" s="6" t="s">
        <v>42836</v>
      </c>
      <c r="O946" s="6" t="s">
        <v>42837</v>
      </c>
      <c r="P946" s="6" t="s">
        <v>38791</v>
      </c>
      <c r="Q946" s="6" t="s">
        <v>42838</v>
      </c>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row>
    <row r="947" spans="1:72">
      <c r="A947" s="8" t="s">
        <v>18627</v>
      </c>
      <c r="B947" s="11" t="s">
        <v>18632</v>
      </c>
      <c r="C947" s="9" t="s">
        <v>138</v>
      </c>
      <c r="D947" s="10" t="s">
        <v>138</v>
      </c>
      <c r="E947" s="28" t="s">
        <v>1171</v>
      </c>
      <c r="F947" s="28" t="s">
        <v>200</v>
      </c>
      <c r="G947" s="28" t="s">
        <v>162</v>
      </c>
      <c r="H947" s="13">
        <v>9</v>
      </c>
      <c r="I947" s="12" t="s">
        <v>18641</v>
      </c>
      <c r="J947" s="12" t="s">
        <v>38733</v>
      </c>
      <c r="K947" s="12" t="s">
        <v>42839</v>
      </c>
      <c r="L947" s="12" t="s">
        <v>42840</v>
      </c>
      <c r="M947" s="12" t="s">
        <v>39475</v>
      </c>
      <c r="N947" s="12" t="s">
        <v>37949</v>
      </c>
      <c r="O947" s="12" t="s">
        <v>39513</v>
      </c>
      <c r="P947" s="12" t="s">
        <v>39574</v>
      </c>
      <c r="Q947" s="12" t="s">
        <v>40787</v>
      </c>
      <c r="R947" s="12" t="s">
        <v>38813</v>
      </c>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row>
    <row r="948" spans="1:72">
      <c r="A948" s="2" t="s">
        <v>18644</v>
      </c>
      <c r="B948" s="5" t="s">
        <v>18650</v>
      </c>
      <c r="C948" s="3" t="s">
        <v>138</v>
      </c>
      <c r="D948" s="4" t="s">
        <v>138</v>
      </c>
      <c r="E948" s="15" t="s">
        <v>18658</v>
      </c>
      <c r="F948" s="15" t="s">
        <v>200</v>
      </c>
      <c r="G948" s="15" t="s">
        <v>162</v>
      </c>
      <c r="H948" s="7">
        <v>19</v>
      </c>
      <c r="I948" s="6" t="s">
        <v>18661</v>
      </c>
      <c r="J948" s="6" t="s">
        <v>38038</v>
      </c>
      <c r="K948" s="6" t="s">
        <v>40195</v>
      </c>
      <c r="L948" s="6" t="s">
        <v>38175</v>
      </c>
      <c r="M948" s="6" t="s">
        <v>42841</v>
      </c>
      <c r="N948" s="6" t="s">
        <v>38076</v>
      </c>
      <c r="O948" s="6" t="s">
        <v>42842</v>
      </c>
      <c r="P948" s="6" t="s">
        <v>42843</v>
      </c>
      <c r="Q948" s="6" t="s">
        <v>42844</v>
      </c>
      <c r="R948" s="6" t="s">
        <v>42845</v>
      </c>
      <c r="S948" s="6" t="s">
        <v>42846</v>
      </c>
      <c r="T948" s="6" t="s">
        <v>38016</v>
      </c>
      <c r="U948" s="6" t="s">
        <v>39594</v>
      </c>
      <c r="V948" s="6" t="s">
        <v>42847</v>
      </c>
      <c r="W948" s="6" t="s">
        <v>42739</v>
      </c>
      <c r="X948" s="6" t="s">
        <v>42848</v>
      </c>
      <c r="Y948" s="6" t="s">
        <v>39446</v>
      </c>
      <c r="Z948" s="6" t="s">
        <v>42371</v>
      </c>
      <c r="AA948" s="6" t="s">
        <v>39543</v>
      </c>
      <c r="AB948" s="6" t="s">
        <v>42138</v>
      </c>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row>
    <row r="949" spans="1:72">
      <c r="A949" s="8" t="s">
        <v>18664</v>
      </c>
      <c r="B949" s="11" t="s">
        <v>18669</v>
      </c>
      <c r="C949" s="9" t="s">
        <v>138</v>
      </c>
      <c r="D949" s="10" t="s">
        <v>18665</v>
      </c>
      <c r="E949" s="28" t="s">
        <v>6575</v>
      </c>
      <c r="F949" s="28" t="s">
        <v>6576</v>
      </c>
      <c r="G949" s="28" t="s">
        <v>162</v>
      </c>
      <c r="H949" s="13">
        <v>2</v>
      </c>
      <c r="I949" s="12" t="s">
        <v>18680</v>
      </c>
      <c r="J949" s="12" t="s">
        <v>42849</v>
      </c>
      <c r="K949" s="12" t="s">
        <v>38272</v>
      </c>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12"/>
      <c r="BH949" s="12"/>
      <c r="BI949" s="12"/>
      <c r="BJ949" s="12"/>
      <c r="BK949" s="12"/>
      <c r="BL949" s="12"/>
      <c r="BM949" s="12"/>
      <c r="BN949" s="12"/>
      <c r="BO949" s="12"/>
      <c r="BP949" s="12"/>
      <c r="BQ949" s="12"/>
      <c r="BR949" s="12"/>
      <c r="BS949" s="12"/>
      <c r="BT949" s="12"/>
    </row>
    <row r="950" spans="1:72">
      <c r="A950" s="2" t="s">
        <v>18683</v>
      </c>
      <c r="B950" s="5" t="s">
        <v>18688</v>
      </c>
      <c r="C950" s="3" t="s">
        <v>18684</v>
      </c>
      <c r="D950" s="4" t="s">
        <v>138</v>
      </c>
      <c r="E950" s="15" t="s">
        <v>2005</v>
      </c>
      <c r="F950" s="15" t="s">
        <v>200</v>
      </c>
      <c r="G950" s="15" t="s">
        <v>162</v>
      </c>
      <c r="H950" s="7">
        <v>19</v>
      </c>
      <c r="I950" s="6" t="s">
        <v>18699</v>
      </c>
      <c r="J950" s="6" t="s">
        <v>42850</v>
      </c>
      <c r="K950" s="6" t="s">
        <v>39315</v>
      </c>
      <c r="L950" s="6" t="s">
        <v>38554</v>
      </c>
      <c r="M950" s="6" t="s">
        <v>42851</v>
      </c>
      <c r="N950" s="6" t="s">
        <v>42852</v>
      </c>
      <c r="O950" s="6" t="s">
        <v>42853</v>
      </c>
      <c r="P950" s="6" t="s">
        <v>37927</v>
      </c>
      <c r="Q950" s="6" t="s">
        <v>42854</v>
      </c>
      <c r="R950" s="6" t="s">
        <v>42855</v>
      </c>
      <c r="S950" s="6" t="s">
        <v>42856</v>
      </c>
      <c r="T950" s="6" t="s">
        <v>42857</v>
      </c>
      <c r="U950" s="6" t="s">
        <v>40910</v>
      </c>
      <c r="V950" s="6" t="s">
        <v>42858</v>
      </c>
      <c r="W950" s="6" t="s">
        <v>38066</v>
      </c>
      <c r="X950" s="6" t="s">
        <v>42859</v>
      </c>
      <c r="Y950" s="6" t="s">
        <v>42860</v>
      </c>
      <c r="Z950" s="6" t="s">
        <v>42861</v>
      </c>
      <c r="AA950" s="6" t="s">
        <v>42862</v>
      </c>
      <c r="AB950" s="6" t="s">
        <v>41217</v>
      </c>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row>
    <row r="951" spans="1:72">
      <c r="A951" s="8" t="s">
        <v>18706</v>
      </c>
      <c r="B951" s="11" t="s">
        <v>18711</v>
      </c>
      <c r="C951" s="9" t="s">
        <v>138</v>
      </c>
      <c r="D951" s="10" t="s">
        <v>138</v>
      </c>
      <c r="E951" s="28" t="s">
        <v>3907</v>
      </c>
      <c r="F951" s="28" t="s">
        <v>2740</v>
      </c>
      <c r="G951" s="28" t="s">
        <v>2742</v>
      </c>
      <c r="H951" s="13">
        <v>12</v>
      </c>
      <c r="I951" s="12" t="s">
        <v>18721</v>
      </c>
      <c r="J951" s="12" t="s">
        <v>37785</v>
      </c>
      <c r="K951" s="12" t="s">
        <v>41811</v>
      </c>
      <c r="L951" s="12" t="s">
        <v>41814</v>
      </c>
      <c r="M951" s="12" t="s">
        <v>39645</v>
      </c>
      <c r="N951" s="12" t="s">
        <v>37799</v>
      </c>
      <c r="O951" s="12" t="s">
        <v>42863</v>
      </c>
      <c r="P951" s="12" t="s">
        <v>41818</v>
      </c>
      <c r="Q951" s="12" t="s">
        <v>42864</v>
      </c>
      <c r="R951" s="12" t="s">
        <v>42574</v>
      </c>
      <c r="S951" s="12" t="s">
        <v>38775</v>
      </c>
      <c r="T951" s="12" t="s">
        <v>42865</v>
      </c>
      <c r="U951" s="12" t="s">
        <v>42866</v>
      </c>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12"/>
      <c r="BH951" s="12"/>
      <c r="BI951" s="12"/>
      <c r="BJ951" s="12"/>
      <c r="BK951" s="12"/>
      <c r="BL951" s="12"/>
      <c r="BM951" s="12"/>
      <c r="BN951" s="12"/>
      <c r="BO951" s="12"/>
      <c r="BP951" s="12"/>
      <c r="BQ951" s="12"/>
      <c r="BR951" s="12"/>
      <c r="BS951" s="12"/>
      <c r="BT951" s="12"/>
    </row>
    <row r="952" spans="1:72">
      <c r="A952" s="2" t="s">
        <v>18725</v>
      </c>
      <c r="B952" s="5" t="s">
        <v>18729</v>
      </c>
      <c r="C952" s="3" t="s">
        <v>138</v>
      </c>
      <c r="D952" s="4" t="s">
        <v>138</v>
      </c>
      <c r="E952" s="15" t="s">
        <v>426</v>
      </c>
      <c r="F952" s="15" t="s">
        <v>426</v>
      </c>
      <c r="G952" s="15" t="s">
        <v>162</v>
      </c>
      <c r="H952" s="7" t="s">
        <v>138</v>
      </c>
      <c r="I952" s="6" t="s">
        <v>138</v>
      </c>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row>
    <row r="953" spans="1:72">
      <c r="A953" s="8" t="s">
        <v>18742</v>
      </c>
      <c r="B953" s="11" t="s">
        <v>18745</v>
      </c>
      <c r="C953" s="9" t="s">
        <v>138</v>
      </c>
      <c r="D953" s="10" t="s">
        <v>138</v>
      </c>
      <c r="E953" s="28" t="s">
        <v>1198</v>
      </c>
      <c r="F953" s="28" t="s">
        <v>138</v>
      </c>
      <c r="G953" s="28" t="s">
        <v>1200</v>
      </c>
      <c r="H953" s="13">
        <v>1</v>
      </c>
      <c r="I953" s="12" t="s">
        <v>8373</v>
      </c>
      <c r="J953" s="12" t="s">
        <v>8373</v>
      </c>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2"/>
    </row>
    <row r="954" spans="1:72">
      <c r="A954" s="2" t="s">
        <v>18757</v>
      </c>
      <c r="B954" s="5" t="s">
        <v>18762</v>
      </c>
      <c r="C954" s="3" t="s">
        <v>138</v>
      </c>
      <c r="D954" s="4" t="s">
        <v>138</v>
      </c>
      <c r="E954" s="15" t="s">
        <v>668</v>
      </c>
      <c r="F954" s="15" t="s">
        <v>200</v>
      </c>
      <c r="G954" s="15" t="s">
        <v>162</v>
      </c>
      <c r="H954" s="7">
        <v>26</v>
      </c>
      <c r="I954" s="6" t="s">
        <v>18769</v>
      </c>
      <c r="J954" s="6" t="s">
        <v>38061</v>
      </c>
      <c r="K954" s="6" t="s">
        <v>38364</v>
      </c>
      <c r="L954" s="6" t="s">
        <v>42867</v>
      </c>
      <c r="M954" s="6" t="s">
        <v>38569</v>
      </c>
      <c r="N954" s="6" t="s">
        <v>42184</v>
      </c>
      <c r="O954" s="6" t="s">
        <v>42743</v>
      </c>
      <c r="P954" s="6" t="s">
        <v>42868</v>
      </c>
      <c r="Q954" s="6" t="s">
        <v>42869</v>
      </c>
      <c r="R954" s="6" t="s">
        <v>38114</v>
      </c>
      <c r="S954" s="6" t="s">
        <v>38803</v>
      </c>
      <c r="T954" s="6" t="s">
        <v>39186</v>
      </c>
      <c r="U954" s="6" t="s">
        <v>41561</v>
      </c>
      <c r="V954" s="6" t="s">
        <v>42042</v>
      </c>
      <c r="W954" s="6" t="s">
        <v>37922</v>
      </c>
      <c r="X954" s="6" t="s">
        <v>40206</v>
      </c>
      <c r="Y954" s="6" t="s">
        <v>42870</v>
      </c>
      <c r="Z954" s="6" t="s">
        <v>39187</v>
      </c>
      <c r="AA954" s="6" t="s">
        <v>39189</v>
      </c>
      <c r="AB954" s="6" t="s">
        <v>42871</v>
      </c>
      <c r="AC954" s="6" t="s">
        <v>40211</v>
      </c>
      <c r="AD954" s="6" t="s">
        <v>39191</v>
      </c>
      <c r="AE954" s="6" t="s">
        <v>37806</v>
      </c>
      <c r="AF954" s="6" t="s">
        <v>37783</v>
      </c>
      <c r="AG954" s="6" t="s">
        <v>39765</v>
      </c>
      <c r="AH954" s="6" t="s">
        <v>42872</v>
      </c>
      <c r="AI954" s="6" t="s">
        <v>39647</v>
      </c>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row>
    <row r="955" spans="1:72">
      <c r="A955" s="8" t="s">
        <v>18772</v>
      </c>
      <c r="B955" s="11" t="s">
        <v>18776</v>
      </c>
      <c r="C955" s="9" t="s">
        <v>138</v>
      </c>
      <c r="D955" s="10" t="s">
        <v>138</v>
      </c>
      <c r="E955" s="28" t="s">
        <v>1198</v>
      </c>
      <c r="F955" s="28" t="s">
        <v>138</v>
      </c>
      <c r="G955" s="28" t="s">
        <v>1200</v>
      </c>
      <c r="H955" s="13">
        <v>2</v>
      </c>
      <c r="I955" s="12" t="s">
        <v>18786</v>
      </c>
      <c r="J955" s="12" t="s">
        <v>17579</v>
      </c>
      <c r="K955" s="12" t="s">
        <v>39459</v>
      </c>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12"/>
      <c r="BH955" s="12"/>
      <c r="BI955" s="12"/>
      <c r="BJ955" s="12"/>
      <c r="BK955" s="12"/>
      <c r="BL955" s="12"/>
      <c r="BM955" s="12"/>
      <c r="BN955" s="12"/>
      <c r="BO955" s="12"/>
      <c r="BP955" s="12"/>
      <c r="BQ955" s="12"/>
      <c r="BR955" s="12"/>
      <c r="BS955" s="12"/>
      <c r="BT955" s="12"/>
    </row>
    <row r="956" spans="1:72">
      <c r="A956" s="2" t="s">
        <v>18789</v>
      </c>
      <c r="B956" s="5" t="s">
        <v>18793</v>
      </c>
      <c r="C956" s="3" t="s">
        <v>138</v>
      </c>
      <c r="D956" s="4" t="s">
        <v>138</v>
      </c>
      <c r="E956" s="15" t="s">
        <v>426</v>
      </c>
      <c r="F956" s="15" t="s">
        <v>426</v>
      </c>
      <c r="G956" s="15" t="s">
        <v>162</v>
      </c>
      <c r="H956" s="7">
        <v>8</v>
      </c>
      <c r="I956" s="6" t="s">
        <v>18802</v>
      </c>
      <c r="J956" s="6" t="s">
        <v>39264</v>
      </c>
      <c r="K956" s="6" t="s">
        <v>42873</v>
      </c>
      <c r="L956" s="6" t="s">
        <v>42874</v>
      </c>
      <c r="M956" s="6" t="s">
        <v>37788</v>
      </c>
      <c r="N956" s="6" t="s">
        <v>42242</v>
      </c>
      <c r="O956" s="6" t="s">
        <v>42875</v>
      </c>
      <c r="P956" s="6" t="s">
        <v>41747</v>
      </c>
      <c r="Q956" s="6" t="s">
        <v>42876</v>
      </c>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row>
    <row r="957" spans="1:72">
      <c r="A957" s="8" t="s">
        <v>18807</v>
      </c>
      <c r="B957" s="11" t="s">
        <v>18812</v>
      </c>
      <c r="C957" s="9" t="s">
        <v>138</v>
      </c>
      <c r="D957" s="10" t="s">
        <v>138</v>
      </c>
      <c r="E957" s="28" t="s">
        <v>426</v>
      </c>
      <c r="F957" s="28" t="s">
        <v>426</v>
      </c>
      <c r="G957" s="28" t="s">
        <v>162</v>
      </c>
      <c r="H957" s="13">
        <v>19</v>
      </c>
      <c r="I957" s="12" t="s">
        <v>18823</v>
      </c>
      <c r="J957" s="12" t="s">
        <v>42877</v>
      </c>
      <c r="K957" s="12" t="s">
        <v>42878</v>
      </c>
      <c r="L957" s="12" t="s">
        <v>42528</v>
      </c>
      <c r="M957" s="12" t="s">
        <v>42879</v>
      </c>
      <c r="N957" s="12" t="s">
        <v>38871</v>
      </c>
      <c r="O957" s="12" t="s">
        <v>42880</v>
      </c>
      <c r="P957" s="12" t="s">
        <v>42827</v>
      </c>
      <c r="Q957" s="12" t="s">
        <v>37777</v>
      </c>
      <c r="R957" s="12" t="s">
        <v>42881</v>
      </c>
      <c r="S957" s="12" t="s">
        <v>42882</v>
      </c>
      <c r="T957" s="12" t="s">
        <v>42883</v>
      </c>
      <c r="U957" s="12" t="s">
        <v>37931</v>
      </c>
      <c r="V957" s="12" t="s">
        <v>40615</v>
      </c>
      <c r="W957" s="12" t="s">
        <v>42647</v>
      </c>
      <c r="X957" s="12" t="s">
        <v>42884</v>
      </c>
      <c r="Y957" s="12" t="s">
        <v>42885</v>
      </c>
      <c r="Z957" s="12" t="s">
        <v>38185</v>
      </c>
      <c r="AA957" s="12" t="s">
        <v>42497</v>
      </c>
      <c r="AB957" s="12" t="s">
        <v>42886</v>
      </c>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12"/>
      <c r="BH957" s="12"/>
      <c r="BI957" s="12"/>
      <c r="BJ957" s="12"/>
      <c r="BK957" s="12"/>
      <c r="BL957" s="12"/>
      <c r="BM957" s="12"/>
      <c r="BN957" s="12"/>
      <c r="BO957" s="12"/>
      <c r="BP957" s="12"/>
      <c r="BQ957" s="12"/>
      <c r="BR957" s="12"/>
      <c r="BS957" s="12"/>
      <c r="BT957" s="12"/>
    </row>
    <row r="958" spans="1:72">
      <c r="A958" s="2" t="s">
        <v>18828</v>
      </c>
      <c r="B958" s="5" t="s">
        <v>18833</v>
      </c>
      <c r="C958" s="3" t="s">
        <v>138</v>
      </c>
      <c r="D958" s="4" t="s">
        <v>138</v>
      </c>
      <c r="E958" s="15" t="s">
        <v>18842</v>
      </c>
      <c r="F958" s="15" t="s">
        <v>14130</v>
      </c>
      <c r="G958" s="15" t="s">
        <v>2742</v>
      </c>
      <c r="H958" s="7">
        <v>2</v>
      </c>
      <c r="I958" s="6" t="s">
        <v>18846</v>
      </c>
      <c r="J958" s="6" t="s">
        <v>42887</v>
      </c>
      <c r="K958" s="6" t="s">
        <v>37833</v>
      </c>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row>
    <row r="959" spans="1:72">
      <c r="A959" s="8" t="s">
        <v>18850</v>
      </c>
      <c r="B959" s="11" t="s">
        <v>18855</v>
      </c>
      <c r="C959" s="9" t="s">
        <v>138</v>
      </c>
      <c r="D959" s="10" t="s">
        <v>18851</v>
      </c>
      <c r="E959" s="28" t="s">
        <v>1872</v>
      </c>
      <c r="F959" s="28" t="s">
        <v>200</v>
      </c>
      <c r="G959" s="28" t="s">
        <v>162</v>
      </c>
      <c r="H959" s="13">
        <v>24</v>
      </c>
      <c r="I959" s="12" t="s">
        <v>18863</v>
      </c>
      <c r="J959" s="12" t="s">
        <v>42391</v>
      </c>
      <c r="K959" s="12" t="s">
        <v>42888</v>
      </c>
      <c r="L959" s="12" t="s">
        <v>38571</v>
      </c>
      <c r="M959" s="12" t="s">
        <v>42889</v>
      </c>
      <c r="N959" s="12" t="s">
        <v>42890</v>
      </c>
      <c r="O959" s="12" t="s">
        <v>38367</v>
      </c>
      <c r="P959" s="12" t="s">
        <v>39653</v>
      </c>
      <c r="Q959" s="12" t="s">
        <v>37786</v>
      </c>
      <c r="R959" s="12" t="s">
        <v>42891</v>
      </c>
      <c r="S959" s="12" t="s">
        <v>37955</v>
      </c>
      <c r="T959" s="12" t="s">
        <v>42892</v>
      </c>
      <c r="U959" s="12" t="s">
        <v>42893</v>
      </c>
      <c r="V959" s="12" t="s">
        <v>42894</v>
      </c>
      <c r="W959" s="12" t="s">
        <v>40087</v>
      </c>
      <c r="X959" s="12" t="s">
        <v>38576</v>
      </c>
      <c r="Y959" s="12" t="s">
        <v>42895</v>
      </c>
      <c r="Z959" s="12" t="s">
        <v>39187</v>
      </c>
      <c r="AA959" s="12" t="s">
        <v>40089</v>
      </c>
      <c r="AB959" s="12" t="s">
        <v>42896</v>
      </c>
      <c r="AC959" s="12" t="s">
        <v>42897</v>
      </c>
      <c r="AD959" s="12" t="s">
        <v>38754</v>
      </c>
      <c r="AE959" s="12" t="s">
        <v>41240</v>
      </c>
      <c r="AF959" s="12" t="s">
        <v>38705</v>
      </c>
      <c r="AG959" s="12" t="s">
        <v>38037</v>
      </c>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12"/>
      <c r="BH959" s="12"/>
      <c r="BI959" s="12"/>
      <c r="BJ959" s="12"/>
      <c r="BK959" s="12"/>
      <c r="BL959" s="12"/>
      <c r="BM959" s="12"/>
      <c r="BN959" s="12"/>
      <c r="BO959" s="12"/>
      <c r="BP959" s="12"/>
      <c r="BQ959" s="12"/>
      <c r="BR959" s="12"/>
      <c r="BS959" s="12"/>
      <c r="BT959" s="12"/>
    </row>
    <row r="960" spans="1:72">
      <c r="A960" s="2" t="s">
        <v>18866</v>
      </c>
      <c r="B960" s="5" t="s">
        <v>18871</v>
      </c>
      <c r="C960" s="3" t="s">
        <v>18867</v>
      </c>
      <c r="D960" s="4" t="s">
        <v>138</v>
      </c>
      <c r="E960" s="15" t="s">
        <v>2005</v>
      </c>
      <c r="F960" s="15" t="s">
        <v>200</v>
      </c>
      <c r="G960" s="15" t="s">
        <v>162</v>
      </c>
      <c r="H960" s="7">
        <v>14</v>
      </c>
      <c r="I960" s="6" t="s">
        <v>18881</v>
      </c>
      <c r="J960" s="6" t="s">
        <v>42898</v>
      </c>
      <c r="K960" s="6" t="s">
        <v>42899</v>
      </c>
      <c r="L960" s="6" t="s">
        <v>42900</v>
      </c>
      <c r="M960" s="6" t="s">
        <v>42901</v>
      </c>
      <c r="N960" s="6" t="s">
        <v>42055</v>
      </c>
      <c r="O960" s="6" t="s">
        <v>42902</v>
      </c>
      <c r="P960" s="6" t="s">
        <v>38234</v>
      </c>
      <c r="Q960" s="6" t="s">
        <v>39229</v>
      </c>
      <c r="R960" s="6" t="s">
        <v>42903</v>
      </c>
      <c r="S960" s="6" t="s">
        <v>38874</v>
      </c>
      <c r="T960" s="6" t="s">
        <v>42904</v>
      </c>
      <c r="U960" s="6" t="s">
        <v>40616</v>
      </c>
      <c r="V960" s="6" t="s">
        <v>37781</v>
      </c>
      <c r="W960" s="6" t="s">
        <v>42445</v>
      </c>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row>
    <row r="961" spans="1:72">
      <c r="A961" s="8" t="s">
        <v>18884</v>
      </c>
      <c r="B961" s="11" t="s">
        <v>18891</v>
      </c>
      <c r="C961" s="9" t="s">
        <v>18885</v>
      </c>
      <c r="D961" s="10" t="s">
        <v>138</v>
      </c>
      <c r="E961" s="28" t="s">
        <v>426</v>
      </c>
      <c r="F961" s="28" t="s">
        <v>426</v>
      </c>
      <c r="G961" s="28" t="s">
        <v>162</v>
      </c>
      <c r="H961" s="13">
        <v>6</v>
      </c>
      <c r="I961" s="12" t="s">
        <v>18899</v>
      </c>
      <c r="J961" s="12" t="s">
        <v>37771</v>
      </c>
      <c r="K961" s="12" t="s">
        <v>37819</v>
      </c>
      <c r="L961" s="12" t="s">
        <v>42905</v>
      </c>
      <c r="M961" s="12" t="s">
        <v>38199</v>
      </c>
      <c r="N961" s="12" t="s">
        <v>38528</v>
      </c>
      <c r="O961" s="12" t="s">
        <v>38864</v>
      </c>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12"/>
      <c r="BH961" s="12"/>
      <c r="BI961" s="12"/>
      <c r="BJ961" s="12"/>
      <c r="BK961" s="12"/>
      <c r="BL961" s="12"/>
      <c r="BM961" s="12"/>
      <c r="BN961" s="12"/>
      <c r="BO961" s="12"/>
      <c r="BP961" s="12"/>
      <c r="BQ961" s="12"/>
      <c r="BR961" s="12"/>
      <c r="BS961" s="12"/>
      <c r="BT961" s="12"/>
    </row>
    <row r="962" spans="1:72">
      <c r="A962" s="2" t="s">
        <v>18903</v>
      </c>
      <c r="B962" s="5" t="s">
        <v>18909</v>
      </c>
      <c r="C962" s="3" t="s">
        <v>18904</v>
      </c>
      <c r="D962" s="4" t="s">
        <v>138</v>
      </c>
      <c r="E962" s="15" t="s">
        <v>18918</v>
      </c>
      <c r="F962" s="15" t="s">
        <v>824</v>
      </c>
      <c r="G962" s="15" t="s">
        <v>526</v>
      </c>
      <c r="H962" s="7">
        <v>4</v>
      </c>
      <c r="I962" s="6" t="s">
        <v>18922</v>
      </c>
      <c r="J962" s="6" t="s">
        <v>42906</v>
      </c>
      <c r="K962" s="6" t="s">
        <v>42907</v>
      </c>
      <c r="L962" s="6" t="s">
        <v>38775</v>
      </c>
      <c r="M962" s="6" t="s">
        <v>42908</v>
      </c>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row>
    <row r="963" spans="1:72">
      <c r="A963" s="8" t="s">
        <v>18928</v>
      </c>
      <c r="B963" s="11" t="s">
        <v>18933</v>
      </c>
      <c r="C963" s="9" t="s">
        <v>138</v>
      </c>
      <c r="D963" s="10" t="s">
        <v>138</v>
      </c>
      <c r="E963" s="28" t="s">
        <v>1223</v>
      </c>
      <c r="F963" s="28" t="s">
        <v>200</v>
      </c>
      <c r="G963" s="28" t="s">
        <v>162</v>
      </c>
      <c r="H963" s="13">
        <v>12</v>
      </c>
      <c r="I963" s="12" t="s">
        <v>18941</v>
      </c>
      <c r="J963" s="12" t="s">
        <v>42909</v>
      </c>
      <c r="K963" s="12" t="s">
        <v>39115</v>
      </c>
      <c r="L963" s="12" t="s">
        <v>42910</v>
      </c>
      <c r="M963" s="12" t="s">
        <v>42911</v>
      </c>
      <c r="N963" s="12" t="s">
        <v>38062</v>
      </c>
      <c r="O963" s="12" t="s">
        <v>39100</v>
      </c>
      <c r="P963" s="12" t="s">
        <v>42912</v>
      </c>
      <c r="Q963" s="12" t="s">
        <v>38321</v>
      </c>
      <c r="R963" s="12" t="s">
        <v>42913</v>
      </c>
      <c r="S963" s="12" t="s">
        <v>42914</v>
      </c>
      <c r="T963" s="12" t="s">
        <v>39695</v>
      </c>
      <c r="U963" s="12" t="s">
        <v>39698</v>
      </c>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12"/>
      <c r="BH963" s="12"/>
      <c r="BI963" s="12"/>
      <c r="BJ963" s="12"/>
      <c r="BK963" s="12"/>
      <c r="BL963" s="12"/>
      <c r="BM963" s="12"/>
      <c r="BN963" s="12"/>
      <c r="BO963" s="12"/>
      <c r="BP963" s="12"/>
      <c r="BQ963" s="12"/>
      <c r="BR963" s="12"/>
      <c r="BS963" s="12"/>
      <c r="BT963" s="12"/>
    </row>
    <row r="964" spans="1:72">
      <c r="A964" s="2" t="s">
        <v>18945</v>
      </c>
      <c r="B964" s="5" t="s">
        <v>18949</v>
      </c>
      <c r="C964" s="3" t="s">
        <v>138</v>
      </c>
      <c r="D964" s="4" t="s">
        <v>138</v>
      </c>
      <c r="E964" s="15" t="s">
        <v>9338</v>
      </c>
      <c r="F964" s="15" t="s">
        <v>1389</v>
      </c>
      <c r="G964" s="15" t="s">
        <v>162</v>
      </c>
      <c r="H964" s="7">
        <v>17</v>
      </c>
      <c r="I964" s="6" t="s">
        <v>18959</v>
      </c>
      <c r="J964" s="6" t="s">
        <v>42915</v>
      </c>
      <c r="K964" s="6" t="s">
        <v>37795</v>
      </c>
      <c r="L964" s="6" t="s">
        <v>42916</v>
      </c>
      <c r="M964" s="6" t="s">
        <v>42917</v>
      </c>
      <c r="N964" s="6" t="s">
        <v>37985</v>
      </c>
      <c r="O964" s="6" t="s">
        <v>42918</v>
      </c>
      <c r="P964" s="6" t="s">
        <v>40789</v>
      </c>
      <c r="Q964" s="6" t="s">
        <v>39359</v>
      </c>
      <c r="R964" s="6" t="s">
        <v>39954</v>
      </c>
      <c r="S964" s="6" t="s">
        <v>41704</v>
      </c>
      <c r="T964" s="6" t="s">
        <v>39694</v>
      </c>
      <c r="U964" s="6" t="s">
        <v>37783</v>
      </c>
      <c r="V964" s="6" t="s">
        <v>42424</v>
      </c>
      <c r="W964" s="6" t="s">
        <v>38878</v>
      </c>
      <c r="X964" s="6" t="s">
        <v>39664</v>
      </c>
      <c r="Y964" s="6" t="s">
        <v>38006</v>
      </c>
      <c r="Z964" s="6" t="s">
        <v>37976</v>
      </c>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row>
    <row r="965" spans="1:72">
      <c r="A965" s="8" t="s">
        <v>18962</v>
      </c>
      <c r="B965" s="11" t="s">
        <v>18966</v>
      </c>
      <c r="C965" s="9" t="s">
        <v>138</v>
      </c>
      <c r="D965" s="10" t="s">
        <v>138</v>
      </c>
      <c r="E965" s="28" t="s">
        <v>18975</v>
      </c>
      <c r="F965" s="28" t="s">
        <v>138</v>
      </c>
      <c r="G965" s="28" t="s">
        <v>946</v>
      </c>
      <c r="H965" s="13" t="s">
        <v>138</v>
      </c>
      <c r="I965" s="12" t="s">
        <v>138</v>
      </c>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12"/>
      <c r="BH965" s="12"/>
      <c r="BI965" s="12"/>
      <c r="BJ965" s="12"/>
      <c r="BK965" s="12"/>
      <c r="BL965" s="12"/>
      <c r="BM965" s="12"/>
      <c r="BN965" s="12"/>
      <c r="BO965" s="12"/>
      <c r="BP965" s="12"/>
      <c r="BQ965" s="12"/>
      <c r="BR965" s="12"/>
      <c r="BS965" s="12"/>
      <c r="BT965" s="12"/>
    </row>
    <row r="966" spans="1:72">
      <c r="A966" s="2" t="s">
        <v>18983</v>
      </c>
      <c r="B966" s="5" t="s">
        <v>18989</v>
      </c>
      <c r="C966" s="3" t="s">
        <v>138</v>
      </c>
      <c r="D966" s="4" t="s">
        <v>18984</v>
      </c>
      <c r="E966" s="15" t="s">
        <v>2493</v>
      </c>
      <c r="F966" s="15" t="s">
        <v>371</v>
      </c>
      <c r="G966" s="15" t="s">
        <v>162</v>
      </c>
      <c r="H966" s="7">
        <v>21</v>
      </c>
      <c r="I966" s="6" t="s">
        <v>18999</v>
      </c>
      <c r="J966" s="6" t="s">
        <v>42919</v>
      </c>
      <c r="K966" s="6" t="s">
        <v>42920</v>
      </c>
      <c r="L966" s="6" t="s">
        <v>39434</v>
      </c>
      <c r="M966" s="6" t="s">
        <v>42921</v>
      </c>
      <c r="N966" s="6" t="s">
        <v>42922</v>
      </c>
      <c r="O966" s="6" t="s">
        <v>42923</v>
      </c>
      <c r="P966" s="6" t="s">
        <v>42924</v>
      </c>
      <c r="Q966" s="6" t="s">
        <v>42925</v>
      </c>
      <c r="R966" s="6" t="s">
        <v>42926</v>
      </c>
      <c r="S966" s="6" t="s">
        <v>39416</v>
      </c>
      <c r="T966" s="6" t="s">
        <v>42927</v>
      </c>
      <c r="U966" s="6" t="s">
        <v>37998</v>
      </c>
      <c r="V966" s="6" t="s">
        <v>42928</v>
      </c>
      <c r="W966" s="6" t="s">
        <v>38926</v>
      </c>
      <c r="X966" s="6" t="s">
        <v>40307</v>
      </c>
      <c r="Y966" s="6" t="s">
        <v>38579</v>
      </c>
      <c r="Z966" s="6" t="s">
        <v>42929</v>
      </c>
      <c r="AA966" s="6" t="s">
        <v>38371</v>
      </c>
      <c r="AB966" s="6" t="s">
        <v>41238</v>
      </c>
      <c r="AC966" s="6" t="s">
        <v>42930</v>
      </c>
      <c r="AD966" s="6" t="s">
        <v>42931</v>
      </c>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row>
    <row r="967" spans="1:72">
      <c r="A967" s="8" t="s">
        <v>19003</v>
      </c>
      <c r="B967" s="11" t="s">
        <v>19007</v>
      </c>
      <c r="C967" s="9" t="s">
        <v>138</v>
      </c>
      <c r="D967" s="10" t="s">
        <v>138</v>
      </c>
      <c r="E967" s="28" t="s">
        <v>6404</v>
      </c>
      <c r="F967" s="28" t="s">
        <v>200</v>
      </c>
      <c r="G967" s="28" t="s">
        <v>162</v>
      </c>
      <c r="H967" s="13">
        <v>7</v>
      </c>
      <c r="I967" s="12" t="s">
        <v>19016</v>
      </c>
      <c r="J967" s="12" t="s">
        <v>42932</v>
      </c>
      <c r="K967" s="12" t="s">
        <v>42933</v>
      </c>
      <c r="L967" s="12" t="s">
        <v>42934</v>
      </c>
      <c r="M967" s="12" t="s">
        <v>37931</v>
      </c>
      <c r="N967" s="12" t="s">
        <v>38293</v>
      </c>
      <c r="O967" s="12" t="s">
        <v>39143</v>
      </c>
      <c r="P967" s="12" t="s">
        <v>38294</v>
      </c>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12"/>
      <c r="BH967" s="12"/>
      <c r="BI967" s="12"/>
      <c r="BJ967" s="12"/>
      <c r="BK967" s="12"/>
      <c r="BL967" s="12"/>
      <c r="BM967" s="12"/>
      <c r="BN967" s="12"/>
      <c r="BO967" s="12"/>
      <c r="BP967" s="12"/>
      <c r="BQ967" s="12"/>
      <c r="BR967" s="12"/>
      <c r="BS967" s="12"/>
      <c r="BT967" s="12"/>
    </row>
    <row r="968" spans="1:72">
      <c r="A968" s="2" t="s">
        <v>19021</v>
      </c>
      <c r="B968" s="5" t="s">
        <v>19026</v>
      </c>
      <c r="C968" s="3" t="s">
        <v>19022</v>
      </c>
      <c r="D968" s="4" t="s">
        <v>19023</v>
      </c>
      <c r="E968" s="15" t="s">
        <v>19034</v>
      </c>
      <c r="F968" s="15" t="s">
        <v>1146</v>
      </c>
      <c r="G968" s="15" t="s">
        <v>162</v>
      </c>
      <c r="H968" s="7">
        <v>2</v>
      </c>
      <c r="I968" s="6" t="s">
        <v>19038</v>
      </c>
      <c r="J968" s="6" t="s">
        <v>42935</v>
      </c>
      <c r="K968" s="6" t="s">
        <v>38200</v>
      </c>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row>
    <row r="969" spans="1:72">
      <c r="A969" s="8" t="s">
        <v>19043</v>
      </c>
      <c r="B969" s="11" t="s">
        <v>19048</v>
      </c>
      <c r="C969" s="9" t="s">
        <v>138</v>
      </c>
      <c r="D969" s="10" t="s">
        <v>138</v>
      </c>
      <c r="E969" s="28" t="s">
        <v>1246</v>
      </c>
      <c r="F969" s="28" t="s">
        <v>200</v>
      </c>
      <c r="G969" s="28" t="s">
        <v>162</v>
      </c>
      <c r="H969" s="13">
        <v>34</v>
      </c>
      <c r="I969" s="12" t="s">
        <v>19058</v>
      </c>
      <c r="J969" s="12" t="s">
        <v>42936</v>
      </c>
      <c r="K969" s="12" t="s">
        <v>37979</v>
      </c>
      <c r="L969" s="12" t="s">
        <v>38735</v>
      </c>
      <c r="M969" s="12" t="s">
        <v>42937</v>
      </c>
      <c r="N969" s="12" t="s">
        <v>38175</v>
      </c>
      <c r="O969" s="12" t="s">
        <v>39255</v>
      </c>
      <c r="P969" s="12" t="s">
        <v>42938</v>
      </c>
      <c r="Q969" s="12" t="s">
        <v>42939</v>
      </c>
      <c r="R969" s="12" t="s">
        <v>39865</v>
      </c>
      <c r="S969" s="12" t="s">
        <v>39475</v>
      </c>
      <c r="T969" s="12" t="s">
        <v>38418</v>
      </c>
      <c r="U969" s="12" t="s">
        <v>41790</v>
      </c>
      <c r="V969" s="12" t="s">
        <v>42940</v>
      </c>
      <c r="W969" s="12" t="s">
        <v>38114</v>
      </c>
      <c r="X969" s="12" t="s">
        <v>42941</v>
      </c>
      <c r="Y969" s="12" t="s">
        <v>37786</v>
      </c>
      <c r="Z969" s="12" t="s">
        <v>42942</v>
      </c>
      <c r="AA969" s="12" t="s">
        <v>39760</v>
      </c>
      <c r="AB969" s="12" t="s">
        <v>39057</v>
      </c>
      <c r="AC969" s="12" t="s">
        <v>38020</v>
      </c>
      <c r="AD969" s="12" t="s">
        <v>41720</v>
      </c>
      <c r="AE969" s="12" t="s">
        <v>42943</v>
      </c>
      <c r="AF969" s="12" t="s">
        <v>37998</v>
      </c>
      <c r="AG969" s="12" t="s">
        <v>42944</v>
      </c>
      <c r="AH969" s="12" t="s">
        <v>38322</v>
      </c>
      <c r="AI969" s="12" t="s">
        <v>38748</v>
      </c>
      <c r="AJ969" s="12" t="s">
        <v>42945</v>
      </c>
      <c r="AK969" s="12" t="s">
        <v>38645</v>
      </c>
      <c r="AL969" s="12" t="s">
        <v>37971</v>
      </c>
      <c r="AM969" s="12" t="s">
        <v>38726</v>
      </c>
      <c r="AN969" s="12" t="s">
        <v>37976</v>
      </c>
      <c r="AO969" s="12" t="s">
        <v>42946</v>
      </c>
      <c r="AP969" s="12" t="s">
        <v>40526</v>
      </c>
      <c r="AQ969" s="12" t="s">
        <v>38984</v>
      </c>
      <c r="AR969" s="12"/>
      <c r="AS969" s="12"/>
      <c r="AT969" s="12"/>
      <c r="AU969" s="12"/>
      <c r="AV969" s="12"/>
      <c r="AW969" s="12"/>
      <c r="AX969" s="12"/>
      <c r="AY969" s="12"/>
      <c r="AZ969" s="12"/>
      <c r="BA969" s="12"/>
      <c r="BB969" s="12"/>
      <c r="BC969" s="12"/>
      <c r="BD969" s="12"/>
      <c r="BE969" s="12"/>
      <c r="BF969" s="12"/>
      <c r="BG969" s="12"/>
      <c r="BH969" s="12"/>
      <c r="BI969" s="12"/>
      <c r="BJ969" s="12"/>
      <c r="BK969" s="12"/>
      <c r="BL969" s="12"/>
      <c r="BM969" s="12"/>
      <c r="BN969" s="12"/>
      <c r="BO969" s="12"/>
      <c r="BP969" s="12"/>
      <c r="BQ969" s="12"/>
      <c r="BR969" s="12"/>
      <c r="BS969" s="12"/>
      <c r="BT969" s="12"/>
    </row>
    <row r="970" spans="1:72">
      <c r="A970" s="2" t="s">
        <v>19065</v>
      </c>
      <c r="B970" s="5" t="s">
        <v>19070</v>
      </c>
      <c r="C970" s="3" t="s">
        <v>138</v>
      </c>
      <c r="D970" s="4" t="s">
        <v>138</v>
      </c>
      <c r="E970" s="15" t="s">
        <v>2931</v>
      </c>
      <c r="F970" s="15" t="s">
        <v>200</v>
      </c>
      <c r="G970" s="15" t="s">
        <v>162</v>
      </c>
      <c r="H970" s="7">
        <v>41</v>
      </c>
      <c r="I970" s="6" t="s">
        <v>19080</v>
      </c>
      <c r="J970" s="6" t="s">
        <v>40420</v>
      </c>
      <c r="K970" s="6" t="s">
        <v>40421</v>
      </c>
      <c r="L970" s="6" t="s">
        <v>42947</v>
      </c>
      <c r="M970" s="6" t="s">
        <v>42948</v>
      </c>
      <c r="N970" s="6" t="s">
        <v>37936</v>
      </c>
      <c r="O970" s="6" t="s">
        <v>41668</v>
      </c>
      <c r="P970" s="6" t="s">
        <v>42949</v>
      </c>
      <c r="Q970" s="6" t="s">
        <v>42950</v>
      </c>
      <c r="R970" s="6" t="s">
        <v>39201</v>
      </c>
      <c r="S970" s="6" t="s">
        <v>42951</v>
      </c>
      <c r="T970" s="6" t="s">
        <v>38961</v>
      </c>
      <c r="U970" s="6" t="s">
        <v>42952</v>
      </c>
      <c r="V970" s="6" t="s">
        <v>41245</v>
      </c>
      <c r="W970" s="6" t="s">
        <v>38605</v>
      </c>
      <c r="X970" s="6" t="s">
        <v>42953</v>
      </c>
      <c r="Y970" s="6" t="s">
        <v>42428</v>
      </c>
      <c r="Z970" s="6" t="s">
        <v>42265</v>
      </c>
      <c r="AA970" s="6" t="s">
        <v>41073</v>
      </c>
      <c r="AB970" s="6" t="s">
        <v>42954</v>
      </c>
      <c r="AC970" s="6" t="s">
        <v>37786</v>
      </c>
      <c r="AD970" s="6" t="s">
        <v>42955</v>
      </c>
      <c r="AE970" s="6" t="s">
        <v>42956</v>
      </c>
      <c r="AF970" s="6" t="s">
        <v>42957</v>
      </c>
      <c r="AG970" s="6" t="s">
        <v>38688</v>
      </c>
      <c r="AH970" s="6" t="s">
        <v>41674</v>
      </c>
      <c r="AI970" s="6" t="s">
        <v>40693</v>
      </c>
      <c r="AJ970" s="6" t="s">
        <v>38977</v>
      </c>
      <c r="AK970" s="6" t="s">
        <v>37998</v>
      </c>
      <c r="AL970" s="6" t="s">
        <v>39692</v>
      </c>
      <c r="AM970" s="6" t="s">
        <v>42958</v>
      </c>
      <c r="AN970" s="6" t="s">
        <v>38478</v>
      </c>
      <c r="AO970" s="6" t="s">
        <v>40936</v>
      </c>
      <c r="AP970" s="6" t="s">
        <v>38625</v>
      </c>
      <c r="AQ970" s="6" t="s">
        <v>42959</v>
      </c>
      <c r="AR970" s="6" t="s">
        <v>42960</v>
      </c>
      <c r="AS970" s="6" t="s">
        <v>42961</v>
      </c>
      <c r="AT970" s="6" t="s">
        <v>40600</v>
      </c>
      <c r="AU970" s="6" t="s">
        <v>42962</v>
      </c>
      <c r="AV970" s="6" t="s">
        <v>40644</v>
      </c>
      <c r="AW970" s="6" t="s">
        <v>42273</v>
      </c>
      <c r="AX970" s="6" t="s">
        <v>42963</v>
      </c>
      <c r="AY970" s="6"/>
      <c r="AZ970" s="6"/>
      <c r="BA970" s="6"/>
      <c r="BB970" s="6"/>
      <c r="BC970" s="6"/>
      <c r="BD970" s="6"/>
      <c r="BE970" s="6"/>
      <c r="BF970" s="6"/>
      <c r="BG970" s="6"/>
      <c r="BH970" s="6"/>
      <c r="BI970" s="6"/>
      <c r="BJ970" s="6"/>
      <c r="BK970" s="6"/>
      <c r="BL970" s="6"/>
      <c r="BM970" s="6"/>
      <c r="BN970" s="6"/>
      <c r="BO970" s="6"/>
      <c r="BP970" s="6"/>
      <c r="BQ970" s="6"/>
      <c r="BR970" s="6"/>
      <c r="BS970" s="6"/>
      <c r="BT970" s="6"/>
    </row>
    <row r="971" spans="1:72">
      <c r="A971" s="8" t="s">
        <v>19084</v>
      </c>
      <c r="B971" s="11" t="s">
        <v>19089</v>
      </c>
      <c r="C971" s="9" t="s">
        <v>138</v>
      </c>
      <c r="D971" s="10" t="s">
        <v>138</v>
      </c>
      <c r="E971" s="28" t="s">
        <v>668</v>
      </c>
      <c r="F971" s="28" t="s">
        <v>200</v>
      </c>
      <c r="G971" s="28" t="s">
        <v>162</v>
      </c>
      <c r="H971" s="13">
        <v>24</v>
      </c>
      <c r="I971" s="12" t="s">
        <v>19101</v>
      </c>
      <c r="J971" s="12" t="s">
        <v>38353</v>
      </c>
      <c r="K971" s="12" t="s">
        <v>40195</v>
      </c>
      <c r="L971" s="12" t="s">
        <v>38365</v>
      </c>
      <c r="M971" s="12" t="s">
        <v>42964</v>
      </c>
      <c r="N971" s="12" t="s">
        <v>38392</v>
      </c>
      <c r="O971" s="12" t="s">
        <v>38636</v>
      </c>
      <c r="P971" s="12" t="s">
        <v>41504</v>
      </c>
      <c r="Q971" s="12" t="s">
        <v>41953</v>
      </c>
      <c r="R971" s="12" t="s">
        <v>37954</v>
      </c>
      <c r="S971" s="12" t="s">
        <v>40576</v>
      </c>
      <c r="T971" s="12" t="s">
        <v>37992</v>
      </c>
      <c r="U971" s="12" t="s">
        <v>42965</v>
      </c>
      <c r="V971" s="12" t="s">
        <v>37824</v>
      </c>
      <c r="W971" s="12" t="s">
        <v>40272</v>
      </c>
      <c r="X971" s="12" t="s">
        <v>37965</v>
      </c>
      <c r="Y971" s="12" t="s">
        <v>42966</v>
      </c>
      <c r="Z971" s="12" t="s">
        <v>38000</v>
      </c>
      <c r="AA971" s="12" t="s">
        <v>42506</v>
      </c>
      <c r="AB971" s="12" t="s">
        <v>42967</v>
      </c>
      <c r="AC971" s="12" t="s">
        <v>39713</v>
      </c>
      <c r="AD971" s="12" t="s">
        <v>40142</v>
      </c>
      <c r="AE971" s="12" t="s">
        <v>38404</v>
      </c>
      <c r="AF971" s="12" t="s">
        <v>37976</v>
      </c>
      <c r="AG971" s="12" t="s">
        <v>42968</v>
      </c>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12"/>
      <c r="BH971" s="12"/>
      <c r="BI971" s="12"/>
      <c r="BJ971" s="12"/>
      <c r="BK971" s="12"/>
      <c r="BL971" s="12"/>
      <c r="BM971" s="12"/>
      <c r="BN971" s="12"/>
      <c r="BO971" s="12"/>
      <c r="BP971" s="12"/>
      <c r="BQ971" s="12"/>
      <c r="BR971" s="12"/>
      <c r="BS971" s="12"/>
      <c r="BT971" s="12"/>
    </row>
    <row r="972" spans="1:72">
      <c r="A972" s="2" t="s">
        <v>19104</v>
      </c>
      <c r="B972" s="5" t="s">
        <v>19110</v>
      </c>
      <c r="C972" s="3" t="s">
        <v>138</v>
      </c>
      <c r="D972" s="4" t="s">
        <v>138</v>
      </c>
      <c r="E972" s="15" t="s">
        <v>426</v>
      </c>
      <c r="F972" s="15" t="s">
        <v>426</v>
      </c>
      <c r="G972" s="15" t="s">
        <v>162</v>
      </c>
      <c r="H972" s="7">
        <v>2</v>
      </c>
      <c r="I972" s="6" t="s">
        <v>19121</v>
      </c>
      <c r="J972" s="6" t="s">
        <v>42969</v>
      </c>
      <c r="K972" s="6" t="s">
        <v>38787</v>
      </c>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row>
    <row r="973" spans="1:72">
      <c r="A973" s="8" t="s">
        <v>19125</v>
      </c>
      <c r="B973" s="11" t="s">
        <v>19129</v>
      </c>
      <c r="C973" s="9" t="s">
        <v>138</v>
      </c>
      <c r="D973" s="10" t="s">
        <v>138</v>
      </c>
      <c r="E973" s="28" t="s">
        <v>426</v>
      </c>
      <c r="F973" s="28" t="s">
        <v>426</v>
      </c>
      <c r="G973" s="28" t="s">
        <v>162</v>
      </c>
      <c r="H973" s="13">
        <v>2</v>
      </c>
      <c r="I973" s="12" t="s">
        <v>19138</v>
      </c>
      <c r="J973" s="12" t="s">
        <v>37785</v>
      </c>
      <c r="K973" s="12" t="s">
        <v>38182</v>
      </c>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12"/>
      <c r="BH973" s="12"/>
      <c r="BI973" s="12"/>
      <c r="BJ973" s="12"/>
      <c r="BK973" s="12"/>
      <c r="BL973" s="12"/>
      <c r="BM973" s="12"/>
      <c r="BN973" s="12"/>
      <c r="BO973" s="12"/>
      <c r="BP973" s="12"/>
      <c r="BQ973" s="12"/>
      <c r="BR973" s="12"/>
      <c r="BS973" s="12"/>
      <c r="BT973" s="12"/>
    </row>
    <row r="974" spans="1:72">
      <c r="A974" s="2" t="s">
        <v>19141</v>
      </c>
      <c r="B974" s="5" t="s">
        <v>19146</v>
      </c>
      <c r="C974" s="3" t="s">
        <v>138</v>
      </c>
      <c r="D974" s="4" t="s">
        <v>138</v>
      </c>
      <c r="E974" s="15" t="s">
        <v>3330</v>
      </c>
      <c r="F974" s="15" t="s">
        <v>200</v>
      </c>
      <c r="G974" s="15" t="s">
        <v>162</v>
      </c>
      <c r="H974" s="7">
        <v>22</v>
      </c>
      <c r="I974" s="6" t="s">
        <v>19154</v>
      </c>
      <c r="J974" s="6" t="s">
        <v>38449</v>
      </c>
      <c r="K974" s="6" t="s">
        <v>38297</v>
      </c>
      <c r="L974" s="6" t="s">
        <v>41828</v>
      </c>
      <c r="M974" s="6" t="s">
        <v>39412</v>
      </c>
      <c r="N974" s="6" t="s">
        <v>41976</v>
      </c>
      <c r="O974" s="6" t="s">
        <v>38708</v>
      </c>
      <c r="P974" s="6" t="s">
        <v>41931</v>
      </c>
      <c r="Q974" s="6" t="s">
        <v>37881</v>
      </c>
      <c r="R974" s="6" t="s">
        <v>38333</v>
      </c>
      <c r="S974" s="6" t="s">
        <v>42970</v>
      </c>
      <c r="T974" s="6" t="s">
        <v>39415</v>
      </c>
      <c r="U974" s="6" t="s">
        <v>38677</v>
      </c>
      <c r="V974" s="6" t="s">
        <v>38860</v>
      </c>
      <c r="W974" s="6" t="s">
        <v>42971</v>
      </c>
      <c r="X974" s="6" t="s">
        <v>42972</v>
      </c>
      <c r="Y974" s="6" t="s">
        <v>37995</v>
      </c>
      <c r="Z974" s="6" t="s">
        <v>42973</v>
      </c>
      <c r="AA974" s="6" t="s">
        <v>38479</v>
      </c>
      <c r="AB974" s="6" t="s">
        <v>37806</v>
      </c>
      <c r="AC974" s="6" t="s">
        <v>42974</v>
      </c>
      <c r="AD974" s="6" t="s">
        <v>38196</v>
      </c>
      <c r="AE974" s="6" t="s">
        <v>42975</v>
      </c>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row>
    <row r="975" spans="1:72">
      <c r="A975" s="8" t="s">
        <v>19161</v>
      </c>
      <c r="B975" s="11" t="s">
        <v>19167</v>
      </c>
      <c r="C975" s="9" t="s">
        <v>138</v>
      </c>
      <c r="D975" s="10" t="s">
        <v>138</v>
      </c>
      <c r="E975" s="28" t="s">
        <v>1847</v>
      </c>
      <c r="F975" s="28" t="s">
        <v>864</v>
      </c>
      <c r="G975" s="28" t="s">
        <v>162</v>
      </c>
      <c r="H975" s="13">
        <v>9</v>
      </c>
      <c r="I975" s="12" t="s">
        <v>19175</v>
      </c>
      <c r="J975" s="12" t="s">
        <v>42976</v>
      </c>
      <c r="K975" s="12" t="s">
        <v>38334</v>
      </c>
      <c r="L975" s="12" t="s">
        <v>39290</v>
      </c>
      <c r="M975" s="12" t="s">
        <v>37839</v>
      </c>
      <c r="N975" s="12" t="s">
        <v>39946</v>
      </c>
      <c r="O975" s="12" t="s">
        <v>40922</v>
      </c>
      <c r="P975" s="12" t="s">
        <v>42977</v>
      </c>
      <c r="Q975" s="12" t="s">
        <v>37932</v>
      </c>
      <c r="R975" s="12" t="s">
        <v>38582</v>
      </c>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12"/>
      <c r="BH975" s="12"/>
      <c r="BI975" s="12"/>
      <c r="BJ975" s="12"/>
      <c r="BK975" s="12"/>
      <c r="BL975" s="12"/>
      <c r="BM975" s="12"/>
      <c r="BN975" s="12"/>
      <c r="BO975" s="12"/>
      <c r="BP975" s="12"/>
      <c r="BQ975" s="12"/>
      <c r="BR975" s="12"/>
      <c r="BS975" s="12"/>
      <c r="BT975" s="12"/>
    </row>
    <row r="976" spans="1:72">
      <c r="A976" s="2" t="s">
        <v>19179</v>
      </c>
      <c r="B976" s="5" t="s">
        <v>19183</v>
      </c>
      <c r="C976" s="3" t="s">
        <v>138</v>
      </c>
      <c r="D976" s="4" t="s">
        <v>138</v>
      </c>
      <c r="E976" s="15" t="s">
        <v>426</v>
      </c>
      <c r="F976" s="15" t="s">
        <v>426</v>
      </c>
      <c r="G976" s="15" t="s">
        <v>162</v>
      </c>
      <c r="H976" s="7">
        <v>3</v>
      </c>
      <c r="I976" s="6" t="s">
        <v>19195</v>
      </c>
      <c r="J976" s="6" t="s">
        <v>27608</v>
      </c>
      <c r="K976" s="6" t="s">
        <v>37953</v>
      </c>
      <c r="L976" s="6" t="s">
        <v>41870</v>
      </c>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row>
    <row r="977" spans="1:72">
      <c r="A977" s="8" t="s">
        <v>19199</v>
      </c>
      <c r="B977" s="11" t="s">
        <v>19205</v>
      </c>
      <c r="C977" s="9" t="s">
        <v>138</v>
      </c>
      <c r="D977" s="10" t="s">
        <v>19200</v>
      </c>
      <c r="E977" s="28" t="s">
        <v>1612</v>
      </c>
      <c r="F977" s="28" t="s">
        <v>138</v>
      </c>
      <c r="G977" s="28" t="s">
        <v>1614</v>
      </c>
      <c r="H977" s="13">
        <v>5</v>
      </c>
      <c r="I977" s="12" t="s">
        <v>19214</v>
      </c>
      <c r="J977" s="12" t="s">
        <v>13176</v>
      </c>
      <c r="K977" s="12" t="s">
        <v>40771</v>
      </c>
      <c r="L977" s="12" t="s">
        <v>37786</v>
      </c>
      <c r="M977" s="12" t="s">
        <v>42978</v>
      </c>
      <c r="N977" s="12" t="s">
        <v>42979</v>
      </c>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12"/>
      <c r="BH977" s="12"/>
      <c r="BI977" s="12"/>
      <c r="BJ977" s="12"/>
      <c r="BK977" s="12"/>
      <c r="BL977" s="12"/>
      <c r="BM977" s="12"/>
      <c r="BN977" s="12"/>
      <c r="BO977" s="12"/>
      <c r="BP977" s="12"/>
      <c r="BQ977" s="12"/>
      <c r="BR977" s="12"/>
      <c r="BS977" s="12"/>
      <c r="BT977" s="12"/>
    </row>
    <row r="978" spans="1:72">
      <c r="A978" s="2" t="s">
        <v>19219</v>
      </c>
      <c r="B978" s="5" t="s">
        <v>19223</v>
      </c>
      <c r="C978" s="3" t="s">
        <v>138</v>
      </c>
      <c r="D978" s="4" t="s">
        <v>138</v>
      </c>
      <c r="E978" s="15" t="s">
        <v>3841</v>
      </c>
      <c r="F978" s="15" t="s">
        <v>200</v>
      </c>
      <c r="G978" s="15" t="s">
        <v>162</v>
      </c>
      <c r="H978" s="7">
        <v>14</v>
      </c>
      <c r="I978" s="6" t="s">
        <v>19232</v>
      </c>
      <c r="J978" s="6" t="s">
        <v>42980</v>
      </c>
      <c r="K978" s="6" t="s">
        <v>40197</v>
      </c>
      <c r="L978" s="6" t="s">
        <v>38299</v>
      </c>
      <c r="M978" s="6" t="s">
        <v>38232</v>
      </c>
      <c r="N978" s="6" t="s">
        <v>38803</v>
      </c>
      <c r="O978" s="6" t="s">
        <v>40425</v>
      </c>
      <c r="P978" s="6" t="s">
        <v>37883</v>
      </c>
      <c r="Q978" s="6" t="s">
        <v>38476</v>
      </c>
      <c r="R978" s="6" t="s">
        <v>37824</v>
      </c>
      <c r="S978" s="6" t="s">
        <v>42981</v>
      </c>
      <c r="T978" s="6" t="s">
        <v>38322</v>
      </c>
      <c r="U978" s="6" t="s">
        <v>38323</v>
      </c>
      <c r="V978" s="6" t="s">
        <v>38479</v>
      </c>
      <c r="W978" s="6" t="s">
        <v>41370</v>
      </c>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row>
    <row r="979" spans="1:72">
      <c r="A979" s="8" t="s">
        <v>19237</v>
      </c>
      <c r="B979" s="11" t="s">
        <v>19242</v>
      </c>
      <c r="C979" s="9" t="s">
        <v>19238</v>
      </c>
      <c r="D979" s="10" t="s">
        <v>138</v>
      </c>
      <c r="E979" s="28" t="s">
        <v>10916</v>
      </c>
      <c r="F979" s="28" t="s">
        <v>138</v>
      </c>
      <c r="G979" s="28" t="s">
        <v>740</v>
      </c>
      <c r="H979" s="13">
        <v>5</v>
      </c>
      <c r="I979" s="12" t="s">
        <v>19248</v>
      </c>
      <c r="J979" s="12" t="s">
        <v>40374</v>
      </c>
      <c r="K979" s="12" t="s">
        <v>39452</v>
      </c>
      <c r="L979" s="12" t="s">
        <v>38514</v>
      </c>
      <c r="M979" s="12" t="s">
        <v>40253</v>
      </c>
      <c r="N979" s="12" t="s">
        <v>42982</v>
      </c>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12"/>
      <c r="BH979" s="12"/>
      <c r="BI979" s="12"/>
      <c r="BJ979" s="12"/>
      <c r="BK979" s="12"/>
      <c r="BL979" s="12"/>
      <c r="BM979" s="12"/>
      <c r="BN979" s="12"/>
      <c r="BO979" s="12"/>
      <c r="BP979" s="12"/>
      <c r="BQ979" s="12"/>
      <c r="BR979" s="12"/>
      <c r="BS979" s="12"/>
      <c r="BT979" s="12"/>
    </row>
    <row r="980" spans="1:72">
      <c r="A980" s="2" t="s">
        <v>19251</v>
      </c>
      <c r="B980" s="5" t="s">
        <v>19255</v>
      </c>
      <c r="C980" s="3" t="s">
        <v>138</v>
      </c>
      <c r="D980" s="4" t="s">
        <v>138</v>
      </c>
      <c r="E980" s="15" t="s">
        <v>19263</v>
      </c>
      <c r="F980" s="15" t="s">
        <v>138</v>
      </c>
      <c r="G980" s="15" t="s">
        <v>4444</v>
      </c>
      <c r="H980" s="7">
        <v>12</v>
      </c>
      <c r="I980" s="6" t="s">
        <v>19267</v>
      </c>
      <c r="J980" s="6" t="s">
        <v>39120</v>
      </c>
      <c r="K980" s="6" t="s">
        <v>37795</v>
      </c>
      <c r="L980" s="6" t="s">
        <v>42983</v>
      </c>
      <c r="M980" s="6" t="s">
        <v>42984</v>
      </c>
      <c r="N980" s="6" t="s">
        <v>39206</v>
      </c>
      <c r="O980" s="6" t="s">
        <v>38428</v>
      </c>
      <c r="P980" s="6" t="s">
        <v>42985</v>
      </c>
      <c r="Q980" s="6" t="s">
        <v>40209</v>
      </c>
      <c r="R980" s="6" t="s">
        <v>37770</v>
      </c>
      <c r="S980" s="6" t="s">
        <v>37805</v>
      </c>
      <c r="T980" s="6" t="s">
        <v>42986</v>
      </c>
      <c r="U980" s="6" t="s">
        <v>42296</v>
      </c>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row>
    <row r="981" spans="1:72">
      <c r="A981" s="8" t="s">
        <v>19271</v>
      </c>
      <c r="B981" s="11" t="s">
        <v>19277</v>
      </c>
      <c r="C981" s="9" t="s">
        <v>19272</v>
      </c>
      <c r="D981" s="10" t="s">
        <v>19273</v>
      </c>
      <c r="E981" s="28" t="s">
        <v>13609</v>
      </c>
      <c r="F981" s="28" t="s">
        <v>5271</v>
      </c>
      <c r="G981" s="28" t="s">
        <v>162</v>
      </c>
      <c r="H981" s="13">
        <v>10</v>
      </c>
      <c r="I981" s="12" t="s">
        <v>19285</v>
      </c>
      <c r="J981" s="12" t="s">
        <v>42987</v>
      </c>
      <c r="K981" s="12" t="s">
        <v>42988</v>
      </c>
      <c r="L981" s="12" t="s">
        <v>38522</v>
      </c>
      <c r="M981" s="12" t="s">
        <v>38164</v>
      </c>
      <c r="N981" s="12" t="s">
        <v>37921</v>
      </c>
      <c r="O981" s="12" t="s">
        <v>40271</v>
      </c>
      <c r="P981" s="12" t="s">
        <v>41117</v>
      </c>
      <c r="Q981" s="12" t="s">
        <v>40538</v>
      </c>
      <c r="R981" s="12" t="s">
        <v>37781</v>
      </c>
      <c r="S981" s="12" t="s">
        <v>40641</v>
      </c>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12"/>
      <c r="BH981" s="12"/>
      <c r="BI981" s="12"/>
      <c r="BJ981" s="12"/>
      <c r="BK981" s="12"/>
      <c r="BL981" s="12"/>
      <c r="BM981" s="12"/>
      <c r="BN981" s="12"/>
      <c r="BO981" s="12"/>
      <c r="BP981" s="12"/>
      <c r="BQ981" s="12"/>
      <c r="BR981" s="12"/>
      <c r="BS981" s="12"/>
      <c r="BT981" s="12"/>
    </row>
    <row r="982" spans="1:72">
      <c r="A982" s="2" t="s">
        <v>19291</v>
      </c>
      <c r="B982" s="5" t="s">
        <v>19295</v>
      </c>
      <c r="C982" s="3" t="s">
        <v>138</v>
      </c>
      <c r="D982" s="4" t="s">
        <v>138</v>
      </c>
      <c r="E982" s="15" t="s">
        <v>19302</v>
      </c>
      <c r="F982" s="15" t="s">
        <v>138</v>
      </c>
      <c r="G982" s="15" t="s">
        <v>740</v>
      </c>
      <c r="H982" s="7">
        <v>12</v>
      </c>
      <c r="I982" s="6" t="s">
        <v>19307</v>
      </c>
      <c r="J982" s="6" t="s">
        <v>39663</v>
      </c>
      <c r="K982" s="6" t="s">
        <v>41786</v>
      </c>
      <c r="L982" s="6" t="s">
        <v>41073</v>
      </c>
      <c r="M982" s="6" t="s">
        <v>38419</v>
      </c>
      <c r="N982" s="6" t="s">
        <v>42989</v>
      </c>
      <c r="O982" s="6" t="s">
        <v>42990</v>
      </c>
      <c r="P982" s="6" t="s">
        <v>42991</v>
      </c>
      <c r="Q982" s="6" t="s">
        <v>38322</v>
      </c>
      <c r="R982" s="6" t="s">
        <v>37770</v>
      </c>
      <c r="S982" s="6" t="s">
        <v>40416</v>
      </c>
      <c r="T982" s="6" t="s">
        <v>42992</v>
      </c>
      <c r="U982" s="6" t="s">
        <v>42993</v>
      </c>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row>
    <row r="983" spans="1:72">
      <c r="A983" s="8" t="s">
        <v>19310</v>
      </c>
      <c r="B983" s="11" t="s">
        <v>19314</v>
      </c>
      <c r="C983" s="9" t="s">
        <v>138</v>
      </c>
      <c r="D983" s="10" t="s">
        <v>138</v>
      </c>
      <c r="E983" s="28" t="s">
        <v>2779</v>
      </c>
      <c r="F983" s="28" t="s">
        <v>138</v>
      </c>
      <c r="G983" s="28" t="s">
        <v>2780</v>
      </c>
      <c r="H983" s="13">
        <v>12</v>
      </c>
      <c r="I983" s="12" t="s">
        <v>19325</v>
      </c>
      <c r="J983" s="12" t="s">
        <v>42994</v>
      </c>
      <c r="K983" s="12" t="s">
        <v>42995</v>
      </c>
      <c r="L983" s="12" t="s">
        <v>42996</v>
      </c>
      <c r="M983" s="12" t="s">
        <v>37856</v>
      </c>
      <c r="N983" s="12" t="s">
        <v>38514</v>
      </c>
      <c r="O983" s="12" t="s">
        <v>42997</v>
      </c>
      <c r="P983" s="12" t="s">
        <v>41489</v>
      </c>
      <c r="Q983" s="12" t="s">
        <v>42998</v>
      </c>
      <c r="R983" s="12" t="s">
        <v>38322</v>
      </c>
      <c r="S983" s="12" t="s">
        <v>41130</v>
      </c>
      <c r="T983" s="12" t="s">
        <v>41217</v>
      </c>
      <c r="U983" s="12" t="s">
        <v>39335</v>
      </c>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12"/>
      <c r="BH983" s="12"/>
      <c r="BI983" s="12"/>
      <c r="BJ983" s="12"/>
      <c r="BK983" s="12"/>
      <c r="BL983" s="12"/>
      <c r="BM983" s="12"/>
      <c r="BN983" s="12"/>
      <c r="BO983" s="12"/>
      <c r="BP983" s="12"/>
      <c r="BQ983" s="12"/>
      <c r="BR983" s="12"/>
      <c r="BS983" s="12"/>
      <c r="BT983" s="12"/>
    </row>
    <row r="984" spans="1:72">
      <c r="A984" s="2" t="s">
        <v>19328</v>
      </c>
      <c r="B984" s="5" t="s">
        <v>138</v>
      </c>
      <c r="C984" s="3" t="s">
        <v>138</v>
      </c>
      <c r="D984" s="4" t="s">
        <v>19329</v>
      </c>
      <c r="E984" s="15" t="s">
        <v>449</v>
      </c>
      <c r="F984" s="15" t="s">
        <v>138</v>
      </c>
      <c r="G984" s="15" t="s">
        <v>450</v>
      </c>
      <c r="H984" s="7">
        <v>25</v>
      </c>
      <c r="I984" s="6" t="s">
        <v>19337</v>
      </c>
      <c r="J984" s="6" t="s">
        <v>42999</v>
      </c>
      <c r="K984" s="6" t="s">
        <v>38663</v>
      </c>
      <c r="L984" s="6" t="s">
        <v>39331</v>
      </c>
      <c r="M984" s="6" t="s">
        <v>40197</v>
      </c>
      <c r="N984" s="6" t="s">
        <v>43000</v>
      </c>
      <c r="O984" s="6" t="s">
        <v>39865</v>
      </c>
      <c r="P984" s="6" t="s">
        <v>43001</v>
      </c>
      <c r="Q984" s="6" t="s">
        <v>43002</v>
      </c>
      <c r="R984" s="6" t="s">
        <v>43003</v>
      </c>
      <c r="S984" s="6" t="s">
        <v>37774</v>
      </c>
      <c r="T984" s="6" t="s">
        <v>38630</v>
      </c>
      <c r="U984" s="6" t="s">
        <v>42318</v>
      </c>
      <c r="V984" s="6" t="s">
        <v>37856</v>
      </c>
      <c r="W984" s="6" t="s">
        <v>43004</v>
      </c>
      <c r="X984" s="6" t="s">
        <v>38668</v>
      </c>
      <c r="Y984" s="6" t="s">
        <v>43005</v>
      </c>
      <c r="Z984" s="6" t="s">
        <v>39327</v>
      </c>
      <c r="AA984" s="6" t="s">
        <v>40446</v>
      </c>
      <c r="AB984" s="6" t="s">
        <v>38753</v>
      </c>
      <c r="AC984" s="6" t="s">
        <v>43006</v>
      </c>
      <c r="AD984" s="6" t="s">
        <v>43007</v>
      </c>
      <c r="AE984" s="6" t="s">
        <v>43008</v>
      </c>
      <c r="AF984" s="6" t="s">
        <v>43009</v>
      </c>
      <c r="AG984" s="6" t="s">
        <v>38631</v>
      </c>
      <c r="AH984" s="6" t="s">
        <v>43010</v>
      </c>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row>
    <row r="985" spans="1:72">
      <c r="A985" s="8" t="s">
        <v>19340</v>
      </c>
      <c r="B985" s="11" t="s">
        <v>19343</v>
      </c>
      <c r="C985" s="9" t="s">
        <v>138</v>
      </c>
      <c r="D985" s="10" t="s">
        <v>138</v>
      </c>
      <c r="E985" s="28" t="s">
        <v>4466</v>
      </c>
      <c r="F985" s="28" t="s">
        <v>426</v>
      </c>
      <c r="G985" s="28" t="s">
        <v>162</v>
      </c>
      <c r="H985" s="13">
        <v>17</v>
      </c>
      <c r="I985" s="12" t="s">
        <v>19352</v>
      </c>
      <c r="J985" s="12" t="s">
        <v>43011</v>
      </c>
      <c r="K985" s="12" t="s">
        <v>39849</v>
      </c>
      <c r="L985" s="12" t="s">
        <v>43012</v>
      </c>
      <c r="M985" s="12" t="s">
        <v>37984</v>
      </c>
      <c r="N985" s="12" t="s">
        <v>38634</v>
      </c>
      <c r="O985" s="12" t="s">
        <v>37819</v>
      </c>
      <c r="P985" s="12" t="s">
        <v>37985</v>
      </c>
      <c r="Q985" s="12" t="s">
        <v>38721</v>
      </c>
      <c r="R985" s="12" t="s">
        <v>37952</v>
      </c>
      <c r="S985" s="12" t="s">
        <v>39732</v>
      </c>
      <c r="T985" s="12" t="s">
        <v>38991</v>
      </c>
      <c r="U985" s="12" t="s">
        <v>40246</v>
      </c>
      <c r="V985" s="12" t="s">
        <v>39724</v>
      </c>
      <c r="W985" s="12" t="s">
        <v>43013</v>
      </c>
      <c r="X985" s="12" t="s">
        <v>42242</v>
      </c>
      <c r="Y985" s="12" t="s">
        <v>38785</v>
      </c>
      <c r="Z985" s="12" t="s">
        <v>37999</v>
      </c>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12"/>
      <c r="BH985" s="12"/>
      <c r="BI985" s="12"/>
      <c r="BJ985" s="12"/>
      <c r="BK985" s="12"/>
      <c r="BL985" s="12"/>
      <c r="BM985" s="12"/>
      <c r="BN985" s="12"/>
      <c r="BO985" s="12"/>
      <c r="BP985" s="12"/>
      <c r="BQ985" s="12"/>
      <c r="BR985" s="12"/>
      <c r="BS985" s="12"/>
      <c r="BT985" s="12"/>
    </row>
    <row r="986" spans="1:72">
      <c r="A986" s="2" t="s">
        <v>19355</v>
      </c>
      <c r="B986" s="5" t="s">
        <v>19359</v>
      </c>
      <c r="C986" s="3" t="s">
        <v>138</v>
      </c>
      <c r="D986" s="4" t="s">
        <v>138</v>
      </c>
      <c r="E986" s="15" t="s">
        <v>19369</v>
      </c>
      <c r="F986" s="15" t="s">
        <v>474</v>
      </c>
      <c r="G986" s="15" t="s">
        <v>162</v>
      </c>
      <c r="H986" s="7">
        <v>3</v>
      </c>
      <c r="I986" s="6" t="s">
        <v>19372</v>
      </c>
      <c r="J986" s="6" t="s">
        <v>43014</v>
      </c>
      <c r="K986" s="6" t="s">
        <v>43015</v>
      </c>
      <c r="L986" s="6" t="s">
        <v>43016</v>
      </c>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row>
    <row r="987" spans="1:72">
      <c r="A987" s="8" t="s">
        <v>19378</v>
      </c>
      <c r="B987" s="11" t="s">
        <v>19382</v>
      </c>
      <c r="C987" s="9" t="s">
        <v>138</v>
      </c>
      <c r="D987" s="10" t="s">
        <v>138</v>
      </c>
      <c r="E987" s="28" t="s">
        <v>9763</v>
      </c>
      <c r="F987" s="28" t="s">
        <v>200</v>
      </c>
      <c r="G987" s="28" t="s">
        <v>162</v>
      </c>
      <c r="H987" s="13">
        <v>20</v>
      </c>
      <c r="I987" s="12" t="s">
        <v>19392</v>
      </c>
      <c r="J987" s="12" t="s">
        <v>38454</v>
      </c>
      <c r="K987" s="12" t="s">
        <v>43017</v>
      </c>
      <c r="L987" s="12" t="s">
        <v>42297</v>
      </c>
      <c r="M987" s="12" t="s">
        <v>38663</v>
      </c>
      <c r="N987" s="12" t="s">
        <v>43018</v>
      </c>
      <c r="O987" s="12" t="s">
        <v>43019</v>
      </c>
      <c r="P987" s="12" t="s">
        <v>43020</v>
      </c>
      <c r="Q987" s="12" t="s">
        <v>43021</v>
      </c>
      <c r="R987" s="12" t="s">
        <v>40413</v>
      </c>
      <c r="S987" s="12" t="s">
        <v>41576</v>
      </c>
      <c r="T987" s="12" t="s">
        <v>43022</v>
      </c>
      <c r="U987" s="12" t="s">
        <v>40292</v>
      </c>
      <c r="V987" s="12" t="s">
        <v>43023</v>
      </c>
      <c r="W987" s="12" t="s">
        <v>39007</v>
      </c>
      <c r="X987" s="12" t="s">
        <v>37804</v>
      </c>
      <c r="Y987" s="12" t="s">
        <v>43024</v>
      </c>
      <c r="Z987" s="12" t="s">
        <v>38954</v>
      </c>
      <c r="AA987" s="12" t="s">
        <v>41127</v>
      </c>
      <c r="AB987" s="12" t="s">
        <v>41597</v>
      </c>
      <c r="AC987" s="12" t="s">
        <v>39011</v>
      </c>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12"/>
      <c r="BH987" s="12"/>
      <c r="BI987" s="12"/>
      <c r="BJ987" s="12"/>
      <c r="BK987" s="12"/>
      <c r="BL987" s="12"/>
      <c r="BM987" s="12"/>
      <c r="BN987" s="12"/>
      <c r="BO987" s="12"/>
      <c r="BP987" s="12"/>
      <c r="BQ987" s="12"/>
      <c r="BR987" s="12"/>
      <c r="BS987" s="12"/>
      <c r="BT987" s="12"/>
    </row>
    <row r="988" spans="1:72">
      <c r="A988" s="2" t="s">
        <v>19395</v>
      </c>
      <c r="B988" s="5" t="s">
        <v>19401</v>
      </c>
      <c r="C988" s="3" t="s">
        <v>19396</v>
      </c>
      <c r="D988" s="4" t="s">
        <v>138</v>
      </c>
      <c r="E988" s="15" t="s">
        <v>19410</v>
      </c>
      <c r="F988" s="15" t="s">
        <v>138</v>
      </c>
      <c r="G988" s="15" t="s">
        <v>740</v>
      </c>
      <c r="H988" s="7">
        <v>10</v>
      </c>
      <c r="I988" s="6" t="s">
        <v>19414</v>
      </c>
      <c r="J988" s="6" t="s">
        <v>43025</v>
      </c>
      <c r="K988" s="6" t="s">
        <v>38511</v>
      </c>
      <c r="L988" s="6" t="s">
        <v>40755</v>
      </c>
      <c r="M988" s="6" t="s">
        <v>39138</v>
      </c>
      <c r="N988" s="6" t="s">
        <v>43026</v>
      </c>
      <c r="O988" s="6" t="s">
        <v>43027</v>
      </c>
      <c r="P988" s="6" t="s">
        <v>38322</v>
      </c>
      <c r="Q988" s="6" t="s">
        <v>40242</v>
      </c>
      <c r="R988" s="6" t="s">
        <v>43028</v>
      </c>
      <c r="S988" s="6" t="s">
        <v>38705</v>
      </c>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row>
    <row r="989" spans="1:72">
      <c r="A989" s="8" t="s">
        <v>19417</v>
      </c>
      <c r="B989" s="11" t="s">
        <v>19421</v>
      </c>
      <c r="C989" s="9" t="s">
        <v>138</v>
      </c>
      <c r="D989" s="10" t="s">
        <v>138</v>
      </c>
      <c r="E989" s="28" t="s">
        <v>1246</v>
      </c>
      <c r="F989" s="28" t="s">
        <v>200</v>
      </c>
      <c r="G989" s="28" t="s">
        <v>162</v>
      </c>
      <c r="H989" s="13">
        <v>11</v>
      </c>
      <c r="I989" s="12" t="s">
        <v>19427</v>
      </c>
      <c r="J989" s="12" t="s">
        <v>43029</v>
      </c>
      <c r="K989" s="12" t="s">
        <v>42820</v>
      </c>
      <c r="L989" s="12" t="s">
        <v>42392</v>
      </c>
      <c r="M989" s="12" t="s">
        <v>39804</v>
      </c>
      <c r="N989" s="12" t="s">
        <v>37943</v>
      </c>
      <c r="O989" s="12" t="s">
        <v>43030</v>
      </c>
      <c r="P989" s="12" t="s">
        <v>39591</v>
      </c>
      <c r="Q989" s="12" t="s">
        <v>39270</v>
      </c>
      <c r="R989" s="12" t="s">
        <v>37915</v>
      </c>
      <c r="S989" s="12" t="s">
        <v>38928</v>
      </c>
      <c r="T989" s="12" t="s">
        <v>38196</v>
      </c>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12"/>
      <c r="BH989" s="12"/>
      <c r="BI989" s="12"/>
      <c r="BJ989" s="12"/>
      <c r="BK989" s="12"/>
      <c r="BL989" s="12"/>
      <c r="BM989" s="12"/>
      <c r="BN989" s="12"/>
      <c r="BO989" s="12"/>
      <c r="BP989" s="12"/>
      <c r="BQ989" s="12"/>
      <c r="BR989" s="12"/>
      <c r="BS989" s="12"/>
      <c r="BT989" s="12"/>
    </row>
    <row r="990" spans="1:72">
      <c r="A990" s="2" t="s">
        <v>19430</v>
      </c>
      <c r="B990" s="5" t="s">
        <v>19435</v>
      </c>
      <c r="C990" s="3" t="s">
        <v>138</v>
      </c>
      <c r="D990" s="4" t="s">
        <v>138</v>
      </c>
      <c r="E990" s="15" t="s">
        <v>5720</v>
      </c>
      <c r="F990" s="15" t="s">
        <v>138</v>
      </c>
      <c r="G990" s="15" t="s">
        <v>946</v>
      </c>
      <c r="H990" s="7">
        <v>6</v>
      </c>
      <c r="I990" s="6" t="s">
        <v>19445</v>
      </c>
      <c r="J990" s="6" t="s">
        <v>43031</v>
      </c>
      <c r="K990" s="6" t="s">
        <v>43032</v>
      </c>
      <c r="L990" s="6" t="s">
        <v>43033</v>
      </c>
      <c r="M990" s="6" t="s">
        <v>37839</v>
      </c>
      <c r="N990" s="6" t="s">
        <v>43034</v>
      </c>
      <c r="O990" s="6" t="s">
        <v>43035</v>
      </c>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row>
    <row r="991" spans="1:72">
      <c r="A991" s="8" t="s">
        <v>19449</v>
      </c>
      <c r="B991" s="11" t="s">
        <v>19454</v>
      </c>
      <c r="C991" s="9" t="s">
        <v>19450</v>
      </c>
      <c r="D991" s="10" t="s">
        <v>138</v>
      </c>
      <c r="E991" s="28" t="s">
        <v>668</v>
      </c>
      <c r="F991" s="28" t="s">
        <v>200</v>
      </c>
      <c r="G991" s="28" t="s">
        <v>162</v>
      </c>
      <c r="H991" s="13">
        <v>19</v>
      </c>
      <c r="I991" s="12" t="s">
        <v>19463</v>
      </c>
      <c r="J991" s="12" t="s">
        <v>42261</v>
      </c>
      <c r="K991" s="12" t="s">
        <v>39001</v>
      </c>
      <c r="L991" s="12" t="s">
        <v>42148</v>
      </c>
      <c r="M991" s="12" t="s">
        <v>43036</v>
      </c>
      <c r="N991" s="12" t="s">
        <v>37819</v>
      </c>
      <c r="O991" s="12" t="s">
        <v>43037</v>
      </c>
      <c r="P991" s="12" t="s">
        <v>39170</v>
      </c>
      <c r="Q991" s="12" t="s">
        <v>38349</v>
      </c>
      <c r="R991" s="12" t="s">
        <v>38232</v>
      </c>
      <c r="S991" s="12" t="s">
        <v>37786</v>
      </c>
      <c r="T991" s="12" t="s">
        <v>38723</v>
      </c>
      <c r="U991" s="12" t="s">
        <v>43038</v>
      </c>
      <c r="V991" s="12" t="s">
        <v>43039</v>
      </c>
      <c r="W991" s="12" t="s">
        <v>38319</v>
      </c>
      <c r="X991" s="12" t="s">
        <v>43040</v>
      </c>
      <c r="Y991" s="12" t="s">
        <v>37998</v>
      </c>
      <c r="Z991" s="12" t="s">
        <v>37789</v>
      </c>
      <c r="AA991" s="12" t="s">
        <v>39071</v>
      </c>
      <c r="AB991" s="12" t="s">
        <v>37871</v>
      </c>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12"/>
      <c r="BH991" s="12"/>
      <c r="BI991" s="12"/>
      <c r="BJ991" s="12"/>
      <c r="BK991" s="12"/>
      <c r="BL991" s="12"/>
      <c r="BM991" s="12"/>
      <c r="BN991" s="12"/>
      <c r="BO991" s="12"/>
      <c r="BP991" s="12"/>
      <c r="BQ991" s="12"/>
      <c r="BR991" s="12"/>
      <c r="BS991" s="12"/>
      <c r="BT991" s="12"/>
    </row>
    <row r="992" spans="1:72">
      <c r="A992" s="2" t="s">
        <v>19468</v>
      </c>
      <c r="B992" s="5" t="s">
        <v>19474</v>
      </c>
      <c r="C992" s="3" t="s">
        <v>138</v>
      </c>
      <c r="D992" s="4" t="s">
        <v>138</v>
      </c>
      <c r="E992" s="15" t="s">
        <v>863</v>
      </c>
      <c r="F992" s="15" t="s">
        <v>864</v>
      </c>
      <c r="G992" s="15" t="s">
        <v>162</v>
      </c>
      <c r="H992" s="7">
        <v>14</v>
      </c>
      <c r="I992" s="6" t="s">
        <v>19483</v>
      </c>
      <c r="J992" s="6" t="s">
        <v>40608</v>
      </c>
      <c r="K992" s="6" t="s">
        <v>39958</v>
      </c>
      <c r="L992" s="6" t="s">
        <v>38590</v>
      </c>
      <c r="M992" s="6" t="s">
        <v>43041</v>
      </c>
      <c r="N992" s="6" t="s">
        <v>38591</v>
      </c>
      <c r="O992" s="6" t="s">
        <v>39438</v>
      </c>
      <c r="P992" s="6" t="s">
        <v>43042</v>
      </c>
      <c r="Q992" s="6" t="s">
        <v>39962</v>
      </c>
      <c r="R992" s="6" t="s">
        <v>39057</v>
      </c>
      <c r="S992" s="6" t="s">
        <v>43043</v>
      </c>
      <c r="T992" s="6" t="s">
        <v>38656</v>
      </c>
      <c r="U992" s="6" t="s">
        <v>38084</v>
      </c>
      <c r="V992" s="6" t="s">
        <v>37781</v>
      </c>
      <c r="W992" s="6" t="s">
        <v>43044</v>
      </c>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row>
    <row r="993" spans="1:72">
      <c r="A993" s="8" t="s">
        <v>19486</v>
      </c>
      <c r="B993" s="11" t="s">
        <v>19490</v>
      </c>
      <c r="C993" s="9" t="s">
        <v>138</v>
      </c>
      <c r="D993" s="10" t="s">
        <v>138</v>
      </c>
      <c r="E993" s="28" t="s">
        <v>1171</v>
      </c>
      <c r="F993" s="28" t="s">
        <v>200</v>
      </c>
      <c r="G993" s="28" t="s">
        <v>162</v>
      </c>
      <c r="H993" s="13">
        <v>11</v>
      </c>
      <c r="I993" s="12" t="s">
        <v>19499</v>
      </c>
      <c r="J993" s="12" t="s">
        <v>42511</v>
      </c>
      <c r="K993" s="12" t="s">
        <v>39020</v>
      </c>
      <c r="L993" s="12" t="s">
        <v>43045</v>
      </c>
      <c r="M993" s="12" t="s">
        <v>41099</v>
      </c>
      <c r="N993" s="12" t="s">
        <v>43046</v>
      </c>
      <c r="O993" s="12" t="s">
        <v>40930</v>
      </c>
      <c r="P993" s="12" t="s">
        <v>37851</v>
      </c>
      <c r="Q993" s="12" t="s">
        <v>37787</v>
      </c>
      <c r="R993" s="12" t="s">
        <v>37901</v>
      </c>
      <c r="S993" s="12" t="s">
        <v>38363</v>
      </c>
      <c r="T993" s="12" t="s">
        <v>43047</v>
      </c>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12"/>
      <c r="BH993" s="12"/>
      <c r="BI993" s="12"/>
      <c r="BJ993" s="12"/>
      <c r="BK993" s="12"/>
      <c r="BL993" s="12"/>
      <c r="BM993" s="12"/>
      <c r="BN993" s="12"/>
      <c r="BO993" s="12"/>
      <c r="BP993" s="12"/>
      <c r="BQ993" s="12"/>
      <c r="BR993" s="12"/>
      <c r="BS993" s="12"/>
      <c r="BT993" s="12"/>
    </row>
    <row r="994" spans="1:72">
      <c r="A994" s="2" t="s">
        <v>19502</v>
      </c>
      <c r="B994" s="5" t="s">
        <v>19506</v>
      </c>
      <c r="C994" s="3" t="s">
        <v>138</v>
      </c>
      <c r="D994" s="4" t="s">
        <v>138</v>
      </c>
      <c r="E994" s="15" t="s">
        <v>2030</v>
      </c>
      <c r="F994" s="15" t="s">
        <v>2031</v>
      </c>
      <c r="G994" s="15" t="s">
        <v>162</v>
      </c>
      <c r="H994" s="7">
        <v>12</v>
      </c>
      <c r="I994" s="6" t="s">
        <v>19514</v>
      </c>
      <c r="J994" s="6" t="s">
        <v>39992</v>
      </c>
      <c r="K994" s="6" t="s">
        <v>43048</v>
      </c>
      <c r="L994" s="6" t="s">
        <v>37819</v>
      </c>
      <c r="M994" s="6" t="s">
        <v>37943</v>
      </c>
      <c r="N994" s="6" t="s">
        <v>38548</v>
      </c>
      <c r="O994" s="6" t="s">
        <v>43049</v>
      </c>
      <c r="P994" s="6" t="s">
        <v>43050</v>
      </c>
      <c r="Q994" s="6" t="s">
        <v>40591</v>
      </c>
      <c r="R994" s="6" t="s">
        <v>37784</v>
      </c>
      <c r="S994" s="6" t="s">
        <v>43051</v>
      </c>
      <c r="T994" s="6" t="s">
        <v>38536</v>
      </c>
      <c r="U994" s="6" t="s">
        <v>40957</v>
      </c>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row>
    <row r="995" spans="1:72">
      <c r="A995" s="8" t="s">
        <v>19517</v>
      </c>
      <c r="B995" s="11" t="s">
        <v>19522</v>
      </c>
      <c r="C995" s="9" t="s">
        <v>138</v>
      </c>
      <c r="D995" s="10" t="s">
        <v>138</v>
      </c>
      <c r="E995" s="28" t="s">
        <v>5382</v>
      </c>
      <c r="F995" s="28" t="s">
        <v>200</v>
      </c>
      <c r="G995" s="28" t="s">
        <v>162</v>
      </c>
      <c r="H995" s="13">
        <v>8</v>
      </c>
      <c r="I995" s="12" t="s">
        <v>19532</v>
      </c>
      <c r="J995" s="12" t="s">
        <v>43052</v>
      </c>
      <c r="K995" s="12" t="s">
        <v>43053</v>
      </c>
      <c r="L995" s="12" t="s">
        <v>37787</v>
      </c>
      <c r="M995" s="12" t="s">
        <v>43054</v>
      </c>
      <c r="N995" s="12" t="s">
        <v>43055</v>
      </c>
      <c r="O995" s="12" t="s">
        <v>38200</v>
      </c>
      <c r="P995" s="12" t="s">
        <v>38240</v>
      </c>
      <c r="Q995" s="12" t="s">
        <v>39011</v>
      </c>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12"/>
      <c r="BH995" s="12"/>
      <c r="BI995" s="12"/>
      <c r="BJ995" s="12"/>
      <c r="BK995" s="12"/>
      <c r="BL995" s="12"/>
      <c r="BM995" s="12"/>
      <c r="BN995" s="12"/>
      <c r="BO995" s="12"/>
      <c r="BP995" s="12"/>
      <c r="BQ995" s="12"/>
      <c r="BR995" s="12"/>
      <c r="BS995" s="12"/>
      <c r="BT995" s="12"/>
    </row>
    <row r="996" spans="1:72">
      <c r="A996" s="2" t="s">
        <v>19537</v>
      </c>
      <c r="B996" s="5" t="s">
        <v>19544</v>
      </c>
      <c r="C996" s="3" t="s">
        <v>19538</v>
      </c>
      <c r="D996" s="4" t="s">
        <v>138</v>
      </c>
      <c r="E996" s="15" t="s">
        <v>2845</v>
      </c>
      <c r="F996" s="15" t="s">
        <v>200</v>
      </c>
      <c r="G996" s="15" t="s">
        <v>162</v>
      </c>
      <c r="H996" s="7">
        <v>12</v>
      </c>
      <c r="I996" s="6" t="s">
        <v>19554</v>
      </c>
      <c r="J996" s="6" t="s">
        <v>43056</v>
      </c>
      <c r="K996" s="6" t="s">
        <v>42842</v>
      </c>
      <c r="L996" s="6" t="s">
        <v>37986</v>
      </c>
      <c r="M996" s="6" t="s">
        <v>37799</v>
      </c>
      <c r="N996" s="6" t="s">
        <v>39116</v>
      </c>
      <c r="O996" s="6" t="s">
        <v>40789</v>
      </c>
      <c r="P996" s="6" t="s">
        <v>38770</v>
      </c>
      <c r="Q996" s="6" t="s">
        <v>38977</v>
      </c>
      <c r="R996" s="6" t="s">
        <v>38240</v>
      </c>
      <c r="S996" s="6" t="s">
        <v>40076</v>
      </c>
      <c r="T996" s="6" t="s">
        <v>41240</v>
      </c>
      <c r="U996" s="6" t="s">
        <v>37976</v>
      </c>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row>
    <row r="997" spans="1:72">
      <c r="A997" s="8" t="s">
        <v>19557</v>
      </c>
      <c r="B997" s="11" t="s">
        <v>19563</v>
      </c>
      <c r="C997" s="9" t="s">
        <v>19558</v>
      </c>
      <c r="D997" s="10" t="s">
        <v>19559</v>
      </c>
      <c r="E997" s="28" t="s">
        <v>642</v>
      </c>
      <c r="F997" s="28" t="s">
        <v>474</v>
      </c>
      <c r="G997" s="28" t="s">
        <v>162</v>
      </c>
      <c r="H997" s="13">
        <v>5</v>
      </c>
      <c r="I997" s="12" t="s">
        <v>19574</v>
      </c>
      <c r="J997" s="12" t="s">
        <v>43057</v>
      </c>
      <c r="K997" s="12" t="s">
        <v>38992</v>
      </c>
      <c r="L997" s="12" t="s">
        <v>43058</v>
      </c>
      <c r="M997" s="12" t="s">
        <v>38272</v>
      </c>
      <c r="N997" s="12" t="s">
        <v>37770</v>
      </c>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12"/>
      <c r="BH997" s="12"/>
      <c r="BI997" s="12"/>
      <c r="BJ997" s="12"/>
      <c r="BK997" s="12"/>
      <c r="BL997" s="12"/>
      <c r="BM997" s="12"/>
      <c r="BN997" s="12"/>
      <c r="BO997" s="12"/>
      <c r="BP997" s="12"/>
      <c r="BQ997" s="12"/>
      <c r="BR997" s="12"/>
      <c r="BS997" s="12"/>
      <c r="BT997" s="12"/>
    </row>
    <row r="998" spans="1:72">
      <c r="A998" s="2" t="s">
        <v>19578</v>
      </c>
      <c r="B998" s="5" t="s">
        <v>19584</v>
      </c>
      <c r="C998" s="3" t="s">
        <v>19579</v>
      </c>
      <c r="D998" s="4" t="s">
        <v>138</v>
      </c>
      <c r="E998" s="15" t="s">
        <v>19593</v>
      </c>
      <c r="F998" s="15" t="s">
        <v>524</v>
      </c>
      <c r="G998" s="15" t="s">
        <v>526</v>
      </c>
      <c r="H998" s="7">
        <v>5</v>
      </c>
      <c r="I998" s="6" t="s">
        <v>19598</v>
      </c>
      <c r="J998" s="6" t="s">
        <v>43059</v>
      </c>
      <c r="K998" s="6" t="s">
        <v>39020</v>
      </c>
      <c r="L998" s="6" t="s">
        <v>41099</v>
      </c>
      <c r="M998" s="6" t="s">
        <v>40742</v>
      </c>
      <c r="N998" s="6" t="s">
        <v>41485</v>
      </c>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row>
    <row r="999" spans="1:72">
      <c r="A999" s="8" t="s">
        <v>19601</v>
      </c>
      <c r="B999" s="11" t="s">
        <v>19607</v>
      </c>
      <c r="C999" s="9" t="s">
        <v>19602</v>
      </c>
      <c r="D999" s="10" t="s">
        <v>138</v>
      </c>
      <c r="E999" s="28" t="s">
        <v>3907</v>
      </c>
      <c r="F999" s="28" t="s">
        <v>2740</v>
      </c>
      <c r="G999" s="28" t="s">
        <v>2742</v>
      </c>
      <c r="H999" s="13">
        <v>4</v>
      </c>
      <c r="I999" s="12" t="s">
        <v>19617</v>
      </c>
      <c r="J999" s="12" t="s">
        <v>25482</v>
      </c>
      <c r="K999" s="12" t="s">
        <v>43060</v>
      </c>
      <c r="L999" s="12" t="s">
        <v>43061</v>
      </c>
      <c r="M999" s="12" t="s">
        <v>37976</v>
      </c>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12"/>
      <c r="BH999" s="12"/>
      <c r="BI999" s="12"/>
      <c r="BJ999" s="12"/>
      <c r="BK999" s="12"/>
      <c r="BL999" s="12"/>
      <c r="BM999" s="12"/>
      <c r="BN999" s="12"/>
      <c r="BO999" s="12"/>
      <c r="BP999" s="12"/>
      <c r="BQ999" s="12"/>
      <c r="BR999" s="12"/>
      <c r="BS999" s="12"/>
      <c r="BT999" s="12"/>
    </row>
    <row r="1000" spans="1:72">
      <c r="A1000" s="2" t="s">
        <v>19622</v>
      </c>
      <c r="B1000" s="5" t="s">
        <v>19628</v>
      </c>
      <c r="C1000" s="3" t="s">
        <v>19623</v>
      </c>
      <c r="D1000" s="4" t="s">
        <v>138</v>
      </c>
      <c r="E1000" s="15" t="s">
        <v>19636</v>
      </c>
      <c r="F1000" s="15" t="s">
        <v>10615</v>
      </c>
      <c r="G1000" s="15" t="s">
        <v>162</v>
      </c>
      <c r="H1000" s="7">
        <v>9</v>
      </c>
      <c r="I1000" s="6" t="s">
        <v>19639</v>
      </c>
      <c r="J1000" s="6" t="s">
        <v>43062</v>
      </c>
      <c r="K1000" s="6" t="s">
        <v>38663</v>
      </c>
      <c r="L1000" s="6" t="s">
        <v>37795</v>
      </c>
      <c r="M1000" s="6" t="s">
        <v>43063</v>
      </c>
      <c r="N1000" s="6" t="s">
        <v>38610</v>
      </c>
      <c r="O1000" s="6" t="s">
        <v>38770</v>
      </c>
      <c r="P1000" s="6" t="s">
        <v>37998</v>
      </c>
      <c r="Q1000" s="6" t="s">
        <v>39172</v>
      </c>
      <c r="R1000" s="6" t="s">
        <v>40323</v>
      </c>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row>
    <row r="1001" spans="1:72">
      <c r="A1001" s="8" t="s">
        <v>19642</v>
      </c>
      <c r="B1001" s="11" t="s">
        <v>19647</v>
      </c>
      <c r="C1001" s="9" t="s">
        <v>19643</v>
      </c>
      <c r="D1001" s="10" t="s">
        <v>138</v>
      </c>
      <c r="E1001" s="28" t="s">
        <v>19655</v>
      </c>
      <c r="F1001" s="28" t="s">
        <v>1389</v>
      </c>
      <c r="G1001" s="28" t="s">
        <v>162</v>
      </c>
      <c r="H1001" s="13">
        <v>17</v>
      </c>
      <c r="I1001" s="12" t="s">
        <v>19659</v>
      </c>
      <c r="J1001" s="12" t="s">
        <v>43064</v>
      </c>
      <c r="K1001" s="12" t="s">
        <v>43065</v>
      </c>
      <c r="L1001" s="12" t="s">
        <v>41227</v>
      </c>
      <c r="M1001" s="12" t="s">
        <v>43066</v>
      </c>
      <c r="N1001" s="12" t="s">
        <v>40813</v>
      </c>
      <c r="O1001" s="12" t="s">
        <v>43067</v>
      </c>
      <c r="P1001" s="12" t="s">
        <v>40516</v>
      </c>
      <c r="Q1001" s="12" t="s">
        <v>42917</v>
      </c>
      <c r="R1001" s="12" t="s">
        <v>37985</v>
      </c>
      <c r="S1001" s="12" t="s">
        <v>37987</v>
      </c>
      <c r="T1001" s="12" t="s">
        <v>39763</v>
      </c>
      <c r="U1001" s="12" t="s">
        <v>38926</v>
      </c>
      <c r="V1001" s="12" t="s">
        <v>38928</v>
      </c>
      <c r="W1001" s="12" t="s">
        <v>38371</v>
      </c>
      <c r="X1001" s="12" t="s">
        <v>43068</v>
      </c>
      <c r="Y1001" s="12" t="s">
        <v>38145</v>
      </c>
      <c r="Z1001" s="12" t="s">
        <v>38566</v>
      </c>
      <c r="AA1001" s="12"/>
      <c r="AB1001" s="12"/>
      <c r="AC1001" s="12"/>
      <c r="AD1001" s="12"/>
      <c r="AE1001" s="12"/>
      <c r="AF1001" s="12"/>
      <c r="AG1001" s="12"/>
      <c r="AH1001" s="12"/>
      <c r="AI1001" s="12"/>
      <c r="AJ1001" s="12"/>
      <c r="AK1001" s="12"/>
      <c r="AL1001" s="12"/>
      <c r="AM1001" s="12"/>
      <c r="AN1001" s="12"/>
      <c r="AO1001" s="12"/>
      <c r="AP1001" s="12"/>
      <c r="AQ1001" s="12"/>
      <c r="AR1001" s="12"/>
      <c r="AS1001" s="12"/>
      <c r="AT1001" s="12"/>
      <c r="AU1001" s="12"/>
      <c r="AV1001" s="12"/>
      <c r="AW1001" s="12"/>
      <c r="AX1001" s="12"/>
      <c r="AY1001" s="12"/>
      <c r="AZ1001" s="12"/>
      <c r="BA1001" s="12"/>
      <c r="BB1001" s="12"/>
      <c r="BC1001" s="12"/>
      <c r="BD1001" s="12"/>
      <c r="BE1001" s="12"/>
      <c r="BF1001" s="12"/>
      <c r="BG1001" s="12"/>
      <c r="BH1001" s="12"/>
      <c r="BI1001" s="12"/>
      <c r="BJ1001" s="12"/>
      <c r="BK1001" s="12"/>
      <c r="BL1001" s="12"/>
      <c r="BM1001" s="12"/>
      <c r="BN1001" s="12"/>
      <c r="BO1001" s="12"/>
      <c r="BP1001" s="12"/>
      <c r="BQ1001" s="12"/>
      <c r="BR1001" s="12"/>
      <c r="BS1001" s="12"/>
      <c r="BT1001" s="12"/>
    </row>
    <row r="1002" spans="1:72">
      <c r="A1002" s="2" t="s">
        <v>19662</v>
      </c>
      <c r="B1002" s="5" t="s">
        <v>19667</v>
      </c>
      <c r="C1002" s="3" t="s">
        <v>19663</v>
      </c>
      <c r="D1002" s="4" t="s">
        <v>138</v>
      </c>
      <c r="E1002" s="15" t="s">
        <v>19675</v>
      </c>
      <c r="F1002" s="15" t="s">
        <v>864</v>
      </c>
      <c r="G1002" s="15" t="s">
        <v>162</v>
      </c>
      <c r="H1002" s="7">
        <v>4</v>
      </c>
      <c r="I1002" s="6" t="s">
        <v>19679</v>
      </c>
      <c r="J1002" s="6" t="s">
        <v>43069</v>
      </c>
      <c r="K1002" s="6" t="s">
        <v>37791</v>
      </c>
      <c r="L1002" s="6" t="s">
        <v>37765</v>
      </c>
      <c r="M1002" s="6" t="s">
        <v>37998</v>
      </c>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c r="BB1002" s="6"/>
      <c r="BC1002" s="6"/>
      <c r="BD1002" s="6"/>
      <c r="BE1002" s="6"/>
      <c r="BF1002" s="6"/>
      <c r="BG1002" s="6"/>
      <c r="BH1002" s="6"/>
      <c r="BI1002" s="6"/>
      <c r="BJ1002" s="6"/>
      <c r="BK1002" s="6"/>
      <c r="BL1002" s="6"/>
      <c r="BM1002" s="6"/>
      <c r="BN1002" s="6"/>
      <c r="BO1002" s="6"/>
      <c r="BP1002" s="6"/>
      <c r="BQ1002" s="6"/>
      <c r="BR1002" s="6"/>
      <c r="BS1002" s="6"/>
      <c r="BT1002" s="6"/>
    </row>
    <row r="1003" spans="1:72">
      <c r="A1003" s="8" t="s">
        <v>19682</v>
      </c>
      <c r="B1003" s="11" t="s">
        <v>19686</v>
      </c>
      <c r="C1003" s="9" t="s">
        <v>138</v>
      </c>
      <c r="D1003" s="10" t="s">
        <v>138</v>
      </c>
      <c r="E1003" s="28" t="s">
        <v>426</v>
      </c>
      <c r="F1003" s="28" t="s">
        <v>426</v>
      </c>
      <c r="G1003" s="28" t="s">
        <v>162</v>
      </c>
      <c r="H1003" s="13">
        <v>8</v>
      </c>
      <c r="I1003" s="12" t="s">
        <v>19696</v>
      </c>
      <c r="J1003" s="12" t="s">
        <v>25820</v>
      </c>
      <c r="K1003" s="12" t="s">
        <v>38921</v>
      </c>
      <c r="L1003" s="12" t="s">
        <v>39236</v>
      </c>
      <c r="M1003" s="12" t="s">
        <v>43070</v>
      </c>
      <c r="N1003" s="12" t="s">
        <v>38453</v>
      </c>
      <c r="O1003" s="12" t="s">
        <v>38770</v>
      </c>
      <c r="P1003" s="12" t="s">
        <v>43071</v>
      </c>
      <c r="Q1003" s="12" t="s">
        <v>38788</v>
      </c>
      <c r="R1003" s="12"/>
      <c r="S1003" s="12"/>
      <c r="T1003" s="12"/>
      <c r="U1003" s="12"/>
      <c r="V1003" s="12"/>
      <c r="W1003" s="12"/>
      <c r="X1003" s="12"/>
      <c r="Y1003" s="12"/>
      <c r="Z1003" s="12"/>
      <c r="AA1003" s="12"/>
      <c r="AB1003" s="12"/>
      <c r="AC1003" s="12"/>
      <c r="AD1003" s="12"/>
      <c r="AE1003" s="12"/>
      <c r="AF1003" s="12"/>
      <c r="AG1003" s="12"/>
      <c r="AH1003" s="12"/>
      <c r="AI1003" s="12"/>
      <c r="AJ1003" s="12"/>
      <c r="AK1003" s="12"/>
      <c r="AL1003" s="12"/>
      <c r="AM1003" s="12"/>
      <c r="AN1003" s="12"/>
      <c r="AO1003" s="12"/>
      <c r="AP1003" s="12"/>
      <c r="AQ1003" s="12"/>
      <c r="AR1003" s="12"/>
      <c r="AS1003" s="12"/>
      <c r="AT1003" s="12"/>
      <c r="AU1003" s="12"/>
      <c r="AV1003" s="12"/>
      <c r="AW1003" s="12"/>
      <c r="AX1003" s="12"/>
      <c r="AY1003" s="12"/>
      <c r="AZ1003" s="12"/>
      <c r="BA1003" s="12"/>
      <c r="BB1003" s="12"/>
      <c r="BC1003" s="12"/>
      <c r="BD1003" s="12"/>
      <c r="BE1003" s="12"/>
      <c r="BF1003" s="12"/>
      <c r="BG1003" s="12"/>
      <c r="BH1003" s="12"/>
      <c r="BI1003" s="12"/>
      <c r="BJ1003" s="12"/>
      <c r="BK1003" s="12"/>
      <c r="BL1003" s="12"/>
      <c r="BM1003" s="12"/>
      <c r="BN1003" s="12"/>
      <c r="BO1003" s="12"/>
      <c r="BP1003" s="12"/>
      <c r="BQ1003" s="12"/>
      <c r="BR1003" s="12"/>
      <c r="BS1003" s="12"/>
      <c r="BT1003" s="12"/>
    </row>
    <row r="1004" spans="1:72">
      <c r="A1004" s="2" t="s">
        <v>19699</v>
      </c>
      <c r="B1004" s="5" t="s">
        <v>19704</v>
      </c>
      <c r="C1004" s="3" t="s">
        <v>19700</v>
      </c>
      <c r="D1004" s="4" t="s">
        <v>138</v>
      </c>
      <c r="E1004" s="15" t="s">
        <v>863</v>
      </c>
      <c r="F1004" s="15" t="s">
        <v>864</v>
      </c>
      <c r="G1004" s="15" t="s">
        <v>162</v>
      </c>
      <c r="H1004" s="7">
        <v>15</v>
      </c>
      <c r="I1004" s="6" t="s">
        <v>19713</v>
      </c>
      <c r="J1004" s="6" t="s">
        <v>43072</v>
      </c>
      <c r="K1004" s="6" t="s">
        <v>43073</v>
      </c>
      <c r="L1004" s="6" t="s">
        <v>43074</v>
      </c>
      <c r="M1004" s="6" t="s">
        <v>38520</v>
      </c>
      <c r="N1004" s="6" t="s">
        <v>43075</v>
      </c>
      <c r="O1004" s="6" t="s">
        <v>39284</v>
      </c>
      <c r="P1004" s="6" t="s">
        <v>38415</v>
      </c>
      <c r="Q1004" s="6" t="s">
        <v>43076</v>
      </c>
      <c r="R1004" s="6" t="s">
        <v>37788</v>
      </c>
      <c r="S1004" s="6" t="s">
        <v>43077</v>
      </c>
      <c r="T1004" s="6" t="s">
        <v>38975</v>
      </c>
      <c r="U1004" s="6" t="s">
        <v>38084</v>
      </c>
      <c r="V1004" s="6" t="s">
        <v>43078</v>
      </c>
      <c r="W1004" s="6" t="s">
        <v>43079</v>
      </c>
      <c r="X1004" s="6" t="s">
        <v>38386</v>
      </c>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c r="BA1004" s="6"/>
      <c r="BB1004" s="6"/>
      <c r="BC1004" s="6"/>
      <c r="BD1004" s="6"/>
      <c r="BE1004" s="6"/>
      <c r="BF1004" s="6"/>
      <c r="BG1004" s="6"/>
      <c r="BH1004" s="6"/>
      <c r="BI1004" s="6"/>
      <c r="BJ1004" s="6"/>
      <c r="BK1004" s="6"/>
      <c r="BL1004" s="6"/>
      <c r="BM1004" s="6"/>
      <c r="BN1004" s="6"/>
      <c r="BO1004" s="6"/>
      <c r="BP1004" s="6"/>
      <c r="BQ1004" s="6"/>
      <c r="BR1004" s="6"/>
      <c r="BS1004" s="6"/>
      <c r="BT1004" s="6"/>
    </row>
    <row r="1005" spans="1:72">
      <c r="A1005" s="8" t="s">
        <v>19718</v>
      </c>
      <c r="B1005" s="11" t="s">
        <v>19722</v>
      </c>
      <c r="C1005" s="9" t="s">
        <v>138</v>
      </c>
      <c r="D1005" s="10" t="s">
        <v>138</v>
      </c>
      <c r="E1005" s="28" t="s">
        <v>1223</v>
      </c>
      <c r="F1005" s="28" t="s">
        <v>200</v>
      </c>
      <c r="G1005" s="28" t="s">
        <v>162</v>
      </c>
      <c r="H1005" s="13">
        <v>3</v>
      </c>
      <c r="I1005" s="12" t="s">
        <v>19731</v>
      </c>
      <c r="J1005" s="12" t="s">
        <v>43080</v>
      </c>
      <c r="K1005" s="12" t="s">
        <v>43081</v>
      </c>
      <c r="L1005" s="12" t="s">
        <v>38145</v>
      </c>
      <c r="M1005" s="12"/>
      <c r="N1005" s="12"/>
      <c r="O1005" s="12"/>
      <c r="P1005" s="12"/>
      <c r="Q1005" s="12"/>
      <c r="R1005" s="12"/>
      <c r="S1005" s="12"/>
      <c r="T1005" s="12"/>
      <c r="U1005" s="12"/>
      <c r="V1005" s="12"/>
      <c r="W1005" s="12"/>
      <c r="X1005" s="12"/>
      <c r="Y1005" s="12"/>
      <c r="Z1005" s="12"/>
      <c r="AA1005" s="12"/>
      <c r="AB1005" s="12"/>
      <c r="AC1005" s="12"/>
      <c r="AD1005" s="12"/>
      <c r="AE1005" s="12"/>
      <c r="AF1005" s="12"/>
      <c r="AG1005" s="12"/>
      <c r="AH1005" s="12"/>
      <c r="AI1005" s="12"/>
      <c r="AJ1005" s="12"/>
      <c r="AK1005" s="12"/>
      <c r="AL1005" s="12"/>
      <c r="AM1005" s="12"/>
      <c r="AN1005" s="12"/>
      <c r="AO1005" s="12"/>
      <c r="AP1005" s="12"/>
      <c r="AQ1005" s="12"/>
      <c r="AR1005" s="12"/>
      <c r="AS1005" s="12"/>
      <c r="AT1005" s="12"/>
      <c r="AU1005" s="12"/>
      <c r="AV1005" s="12"/>
      <c r="AW1005" s="12"/>
      <c r="AX1005" s="12"/>
      <c r="AY1005" s="12"/>
      <c r="AZ1005" s="12"/>
      <c r="BA1005" s="12"/>
      <c r="BB1005" s="12"/>
      <c r="BC1005" s="12"/>
      <c r="BD1005" s="12"/>
      <c r="BE1005" s="12"/>
      <c r="BF1005" s="12"/>
      <c r="BG1005" s="12"/>
      <c r="BH1005" s="12"/>
      <c r="BI1005" s="12"/>
      <c r="BJ1005" s="12"/>
      <c r="BK1005" s="12"/>
      <c r="BL1005" s="12"/>
      <c r="BM1005" s="12"/>
      <c r="BN1005" s="12"/>
      <c r="BO1005" s="12"/>
      <c r="BP1005" s="12"/>
      <c r="BQ1005" s="12"/>
      <c r="BR1005" s="12"/>
      <c r="BS1005" s="12"/>
      <c r="BT1005" s="12"/>
    </row>
    <row r="1006" spans="1:72">
      <c r="A1006" s="2" t="s">
        <v>19734</v>
      </c>
      <c r="B1006" s="5" t="s">
        <v>19739</v>
      </c>
      <c r="C1006" s="3" t="s">
        <v>138</v>
      </c>
      <c r="D1006" s="4" t="s">
        <v>138</v>
      </c>
      <c r="E1006" s="15" t="s">
        <v>426</v>
      </c>
      <c r="F1006" s="15" t="s">
        <v>426</v>
      </c>
      <c r="G1006" s="15" t="s">
        <v>162</v>
      </c>
      <c r="H1006" s="7">
        <v>26</v>
      </c>
      <c r="I1006" s="6" t="s">
        <v>19748</v>
      </c>
      <c r="J1006" s="6" t="s">
        <v>43082</v>
      </c>
      <c r="K1006" s="6" t="s">
        <v>43083</v>
      </c>
      <c r="L1006" s="6" t="s">
        <v>43084</v>
      </c>
      <c r="M1006" s="6" t="s">
        <v>43012</v>
      </c>
      <c r="N1006" s="6" t="s">
        <v>37819</v>
      </c>
      <c r="O1006" s="6" t="s">
        <v>43085</v>
      </c>
      <c r="P1006" s="6" t="s">
        <v>43086</v>
      </c>
      <c r="Q1006" s="6" t="s">
        <v>37878</v>
      </c>
      <c r="R1006" s="6" t="s">
        <v>38332</v>
      </c>
      <c r="S1006" s="6" t="s">
        <v>38113</v>
      </c>
      <c r="T1006" s="6" t="s">
        <v>40546</v>
      </c>
      <c r="U1006" s="6" t="s">
        <v>43087</v>
      </c>
      <c r="V1006" s="6" t="s">
        <v>39732</v>
      </c>
      <c r="W1006" s="6" t="s">
        <v>40229</v>
      </c>
      <c r="X1006" s="6" t="s">
        <v>42895</v>
      </c>
      <c r="Y1006" s="6" t="s">
        <v>40521</v>
      </c>
      <c r="Z1006" s="6" t="s">
        <v>43088</v>
      </c>
      <c r="AA1006" s="6" t="s">
        <v>43089</v>
      </c>
      <c r="AB1006" s="6" t="s">
        <v>38369</v>
      </c>
      <c r="AC1006" s="6" t="s">
        <v>43090</v>
      </c>
      <c r="AD1006" s="6" t="s">
        <v>43091</v>
      </c>
      <c r="AE1006" s="6" t="s">
        <v>37892</v>
      </c>
      <c r="AF1006" s="6" t="s">
        <v>43092</v>
      </c>
      <c r="AG1006" s="6" t="s">
        <v>43093</v>
      </c>
      <c r="AH1006" s="6" t="s">
        <v>41969</v>
      </c>
      <c r="AI1006" s="6" t="s">
        <v>38437</v>
      </c>
      <c r="AJ1006" s="6"/>
      <c r="AK1006" s="6"/>
      <c r="AL1006" s="6"/>
      <c r="AM1006" s="6"/>
      <c r="AN1006" s="6"/>
      <c r="AO1006" s="6"/>
      <c r="AP1006" s="6"/>
      <c r="AQ1006" s="6"/>
      <c r="AR1006" s="6"/>
      <c r="AS1006" s="6"/>
      <c r="AT1006" s="6"/>
      <c r="AU1006" s="6"/>
      <c r="AV1006" s="6"/>
      <c r="AW1006" s="6"/>
      <c r="AX1006" s="6"/>
      <c r="AY1006" s="6"/>
      <c r="AZ1006" s="6"/>
      <c r="BA1006" s="6"/>
      <c r="BB1006" s="6"/>
      <c r="BC1006" s="6"/>
      <c r="BD1006" s="6"/>
      <c r="BE1006" s="6"/>
      <c r="BF1006" s="6"/>
      <c r="BG1006" s="6"/>
      <c r="BH1006" s="6"/>
      <c r="BI1006" s="6"/>
      <c r="BJ1006" s="6"/>
      <c r="BK1006" s="6"/>
      <c r="BL1006" s="6"/>
      <c r="BM1006" s="6"/>
      <c r="BN1006" s="6"/>
      <c r="BO1006" s="6"/>
      <c r="BP1006" s="6"/>
      <c r="BQ1006" s="6"/>
      <c r="BR1006" s="6"/>
      <c r="BS1006" s="6"/>
      <c r="BT1006" s="6"/>
    </row>
    <row r="1007" spans="1:72">
      <c r="A1007" s="8" t="s">
        <v>19753</v>
      </c>
      <c r="B1007" s="11" t="s">
        <v>19757</v>
      </c>
      <c r="C1007" s="9" t="s">
        <v>138</v>
      </c>
      <c r="D1007" s="10" t="s">
        <v>138</v>
      </c>
      <c r="E1007" s="28" t="s">
        <v>19764</v>
      </c>
      <c r="F1007" s="28" t="s">
        <v>13868</v>
      </c>
      <c r="G1007" s="28" t="s">
        <v>162</v>
      </c>
      <c r="H1007" s="13">
        <v>3</v>
      </c>
      <c r="I1007" s="12" t="s">
        <v>19767</v>
      </c>
      <c r="J1007" s="12" t="s">
        <v>18057</v>
      </c>
      <c r="K1007" s="12" t="s">
        <v>43094</v>
      </c>
      <c r="L1007" s="12" t="s">
        <v>43095</v>
      </c>
      <c r="M1007" s="12"/>
      <c r="N1007" s="12"/>
      <c r="O1007" s="12"/>
      <c r="P1007" s="12"/>
      <c r="Q1007" s="12"/>
      <c r="R1007" s="12"/>
      <c r="S1007" s="12"/>
      <c r="T1007" s="12"/>
      <c r="U1007" s="12"/>
      <c r="V1007" s="12"/>
      <c r="W1007" s="12"/>
      <c r="X1007" s="12"/>
      <c r="Y1007" s="12"/>
      <c r="Z1007" s="12"/>
      <c r="AA1007" s="12"/>
      <c r="AB1007" s="12"/>
      <c r="AC1007" s="12"/>
      <c r="AD1007" s="12"/>
      <c r="AE1007" s="12"/>
      <c r="AF1007" s="12"/>
      <c r="AG1007" s="12"/>
      <c r="AH1007" s="12"/>
      <c r="AI1007" s="12"/>
      <c r="AJ1007" s="12"/>
      <c r="AK1007" s="12"/>
      <c r="AL1007" s="12"/>
      <c r="AM1007" s="12"/>
      <c r="AN1007" s="12"/>
      <c r="AO1007" s="12"/>
      <c r="AP1007" s="12"/>
      <c r="AQ1007" s="12"/>
      <c r="AR1007" s="12"/>
      <c r="AS1007" s="12"/>
      <c r="AT1007" s="12"/>
      <c r="AU1007" s="12"/>
      <c r="AV1007" s="12"/>
      <c r="AW1007" s="12"/>
      <c r="AX1007" s="12"/>
      <c r="AY1007" s="12"/>
      <c r="AZ1007" s="12"/>
      <c r="BA1007" s="12"/>
      <c r="BB1007" s="12"/>
      <c r="BC1007" s="12"/>
      <c r="BD1007" s="12"/>
      <c r="BE1007" s="12"/>
      <c r="BF1007" s="12"/>
      <c r="BG1007" s="12"/>
      <c r="BH1007" s="12"/>
      <c r="BI1007" s="12"/>
      <c r="BJ1007" s="12"/>
      <c r="BK1007" s="12"/>
      <c r="BL1007" s="12"/>
      <c r="BM1007" s="12"/>
      <c r="BN1007" s="12"/>
      <c r="BO1007" s="12"/>
      <c r="BP1007" s="12"/>
      <c r="BQ1007" s="12"/>
      <c r="BR1007" s="12"/>
      <c r="BS1007" s="12"/>
      <c r="BT1007" s="12"/>
    </row>
    <row r="1008" spans="1:72">
      <c r="A1008" s="2" t="s">
        <v>19770</v>
      </c>
      <c r="B1008" s="5" t="s">
        <v>19774</v>
      </c>
      <c r="C1008" s="3" t="s">
        <v>19771</v>
      </c>
      <c r="D1008" s="4" t="s">
        <v>138</v>
      </c>
      <c r="E1008" s="15" t="s">
        <v>426</v>
      </c>
      <c r="F1008" s="15" t="s">
        <v>426</v>
      </c>
      <c r="G1008" s="15" t="s">
        <v>162</v>
      </c>
      <c r="H1008" s="7">
        <v>3</v>
      </c>
      <c r="I1008" s="6" t="s">
        <v>19784</v>
      </c>
      <c r="J1008" s="6" t="s">
        <v>43096</v>
      </c>
      <c r="K1008" s="6" t="s">
        <v>43097</v>
      </c>
      <c r="L1008" s="6" t="s">
        <v>37890</v>
      </c>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c r="BB1008" s="6"/>
      <c r="BC1008" s="6"/>
      <c r="BD1008" s="6"/>
      <c r="BE1008" s="6"/>
      <c r="BF1008" s="6"/>
      <c r="BG1008" s="6"/>
      <c r="BH1008" s="6"/>
      <c r="BI1008" s="6"/>
      <c r="BJ1008" s="6"/>
      <c r="BK1008" s="6"/>
      <c r="BL1008" s="6"/>
      <c r="BM1008" s="6"/>
      <c r="BN1008" s="6"/>
      <c r="BO1008" s="6"/>
      <c r="BP1008" s="6"/>
      <c r="BQ1008" s="6"/>
      <c r="BR1008" s="6"/>
      <c r="BS1008" s="6"/>
      <c r="BT1008" s="6"/>
    </row>
    <row r="1009" spans="1:72">
      <c r="A1009" s="8" t="s">
        <v>19787</v>
      </c>
      <c r="B1009" s="11" t="s">
        <v>19792</v>
      </c>
      <c r="C1009" s="9" t="s">
        <v>138</v>
      </c>
      <c r="D1009" s="10" t="s">
        <v>138</v>
      </c>
      <c r="E1009" s="28" t="s">
        <v>4604</v>
      </c>
      <c r="F1009" s="28" t="s">
        <v>138</v>
      </c>
      <c r="G1009" s="28" t="s">
        <v>2071</v>
      </c>
      <c r="H1009" s="13">
        <v>9</v>
      </c>
      <c r="I1009" s="12" t="s">
        <v>19800</v>
      </c>
      <c r="J1009" s="12" t="s">
        <v>43098</v>
      </c>
      <c r="K1009" s="12" t="s">
        <v>43099</v>
      </c>
      <c r="L1009" s="12" t="s">
        <v>40386</v>
      </c>
      <c r="M1009" s="12" t="s">
        <v>43100</v>
      </c>
      <c r="N1009" s="12" t="s">
        <v>43101</v>
      </c>
      <c r="O1009" s="12" t="s">
        <v>37890</v>
      </c>
      <c r="P1009" s="12" t="s">
        <v>43102</v>
      </c>
      <c r="Q1009" s="12" t="s">
        <v>43103</v>
      </c>
      <c r="R1009" s="12" t="s">
        <v>43104</v>
      </c>
      <c r="S1009" s="12"/>
      <c r="T1009" s="12"/>
      <c r="U1009" s="12"/>
      <c r="V1009" s="12"/>
      <c r="W1009" s="12"/>
      <c r="X1009" s="12"/>
      <c r="Y1009" s="12"/>
      <c r="Z1009" s="12"/>
      <c r="AA1009" s="12"/>
      <c r="AB1009" s="12"/>
      <c r="AC1009" s="12"/>
      <c r="AD1009" s="12"/>
      <c r="AE1009" s="12"/>
      <c r="AF1009" s="12"/>
      <c r="AG1009" s="12"/>
      <c r="AH1009" s="12"/>
      <c r="AI1009" s="12"/>
      <c r="AJ1009" s="12"/>
      <c r="AK1009" s="12"/>
      <c r="AL1009" s="12"/>
      <c r="AM1009" s="12"/>
      <c r="AN1009" s="12"/>
      <c r="AO1009" s="12"/>
      <c r="AP1009" s="12"/>
      <c r="AQ1009" s="12"/>
      <c r="AR1009" s="12"/>
      <c r="AS1009" s="12"/>
      <c r="AT1009" s="12"/>
      <c r="AU1009" s="12"/>
      <c r="AV1009" s="12"/>
      <c r="AW1009" s="12"/>
      <c r="AX1009" s="12"/>
      <c r="AY1009" s="12"/>
      <c r="AZ1009" s="12"/>
      <c r="BA1009" s="12"/>
      <c r="BB1009" s="12"/>
      <c r="BC1009" s="12"/>
      <c r="BD1009" s="12"/>
      <c r="BE1009" s="12"/>
      <c r="BF1009" s="12"/>
      <c r="BG1009" s="12"/>
      <c r="BH1009" s="12"/>
      <c r="BI1009" s="12"/>
      <c r="BJ1009" s="12"/>
      <c r="BK1009" s="12"/>
      <c r="BL1009" s="12"/>
      <c r="BM1009" s="12"/>
      <c r="BN1009" s="12"/>
      <c r="BO1009" s="12"/>
      <c r="BP1009" s="12"/>
      <c r="BQ1009" s="12"/>
      <c r="BR1009" s="12"/>
      <c r="BS1009" s="12"/>
      <c r="BT1009" s="12"/>
    </row>
    <row r="1010" spans="1:72">
      <c r="A1010" s="2" t="s">
        <v>19803</v>
      </c>
      <c r="B1010" s="5" t="s">
        <v>19807</v>
      </c>
      <c r="C1010" s="3" t="s">
        <v>138</v>
      </c>
      <c r="D1010" s="4" t="s">
        <v>138</v>
      </c>
      <c r="E1010" s="15" t="s">
        <v>642</v>
      </c>
      <c r="F1010" s="15" t="s">
        <v>474</v>
      </c>
      <c r="G1010" s="15" t="s">
        <v>162</v>
      </c>
      <c r="H1010" s="7">
        <v>10</v>
      </c>
      <c r="I1010" s="6" t="s">
        <v>19816</v>
      </c>
      <c r="J1010" s="6" t="s">
        <v>43105</v>
      </c>
      <c r="K1010" s="6" t="s">
        <v>43106</v>
      </c>
      <c r="L1010" s="6" t="s">
        <v>40196</v>
      </c>
      <c r="M1010" s="6" t="s">
        <v>40577</v>
      </c>
      <c r="N1010" s="6" t="s">
        <v>37779</v>
      </c>
      <c r="O1010" s="6" t="s">
        <v>37781</v>
      </c>
      <c r="P1010" s="6" t="s">
        <v>40578</v>
      </c>
      <c r="Q1010" s="6" t="s">
        <v>39297</v>
      </c>
      <c r="R1010" s="6" t="s">
        <v>39350</v>
      </c>
      <c r="S1010" s="6" t="s">
        <v>39065</v>
      </c>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c r="AY1010" s="6"/>
      <c r="AZ1010" s="6"/>
      <c r="BA1010" s="6"/>
      <c r="BB1010" s="6"/>
      <c r="BC1010" s="6"/>
      <c r="BD1010" s="6"/>
      <c r="BE1010" s="6"/>
      <c r="BF1010" s="6"/>
      <c r="BG1010" s="6"/>
      <c r="BH1010" s="6"/>
      <c r="BI1010" s="6"/>
      <c r="BJ1010" s="6"/>
      <c r="BK1010" s="6"/>
      <c r="BL1010" s="6"/>
      <c r="BM1010" s="6"/>
      <c r="BN1010" s="6"/>
      <c r="BO1010" s="6"/>
      <c r="BP1010" s="6"/>
      <c r="BQ1010" s="6"/>
      <c r="BR1010" s="6"/>
      <c r="BS1010" s="6"/>
      <c r="BT1010" s="6"/>
    </row>
    <row r="1011" spans="1:72">
      <c r="A1011" s="8" t="s">
        <v>19821</v>
      </c>
      <c r="B1011" s="11" t="s">
        <v>19827</v>
      </c>
      <c r="C1011" s="9" t="s">
        <v>138</v>
      </c>
      <c r="D1011" s="10" t="s">
        <v>138</v>
      </c>
      <c r="E1011" s="28" t="s">
        <v>668</v>
      </c>
      <c r="F1011" s="28" t="s">
        <v>200</v>
      </c>
      <c r="G1011" s="28" t="s">
        <v>162</v>
      </c>
      <c r="H1011" s="13">
        <v>12</v>
      </c>
      <c r="I1011" s="12" t="s">
        <v>19833</v>
      </c>
      <c r="J1011" s="12" t="s">
        <v>43107</v>
      </c>
      <c r="K1011" s="12" t="s">
        <v>42632</v>
      </c>
      <c r="L1011" s="12" t="s">
        <v>40077</v>
      </c>
      <c r="M1011" s="12" t="s">
        <v>38416</v>
      </c>
      <c r="N1011" s="12" t="s">
        <v>40415</v>
      </c>
      <c r="O1011" s="12" t="s">
        <v>43108</v>
      </c>
      <c r="P1011" s="12" t="s">
        <v>38980</v>
      </c>
      <c r="Q1011" s="12" t="s">
        <v>43109</v>
      </c>
      <c r="R1011" s="12" t="s">
        <v>38200</v>
      </c>
      <c r="S1011" s="12" t="s">
        <v>37976</v>
      </c>
      <c r="T1011" s="12" t="s">
        <v>43110</v>
      </c>
      <c r="U1011" s="12" t="s">
        <v>43111</v>
      </c>
      <c r="V1011" s="12"/>
      <c r="W1011" s="12"/>
      <c r="X1011" s="12"/>
      <c r="Y1011" s="12"/>
      <c r="Z1011" s="12"/>
      <c r="AA1011" s="12"/>
      <c r="AB1011" s="12"/>
      <c r="AC1011" s="12"/>
      <c r="AD1011" s="12"/>
      <c r="AE1011" s="12"/>
      <c r="AF1011" s="12"/>
      <c r="AG1011" s="12"/>
      <c r="AH1011" s="12"/>
      <c r="AI1011" s="12"/>
      <c r="AJ1011" s="12"/>
      <c r="AK1011" s="12"/>
      <c r="AL1011" s="12"/>
      <c r="AM1011" s="12"/>
      <c r="AN1011" s="12"/>
      <c r="AO1011" s="12"/>
      <c r="AP1011" s="12"/>
      <c r="AQ1011" s="12"/>
      <c r="AR1011" s="12"/>
      <c r="AS1011" s="12"/>
      <c r="AT1011" s="12"/>
      <c r="AU1011" s="12"/>
      <c r="AV1011" s="12"/>
      <c r="AW1011" s="12"/>
      <c r="AX1011" s="12"/>
      <c r="AY1011" s="12"/>
      <c r="AZ1011" s="12"/>
      <c r="BA1011" s="12"/>
      <c r="BB1011" s="12"/>
      <c r="BC1011" s="12"/>
      <c r="BD1011" s="12"/>
      <c r="BE1011" s="12"/>
      <c r="BF1011" s="12"/>
      <c r="BG1011" s="12"/>
      <c r="BH1011" s="12"/>
      <c r="BI1011" s="12"/>
      <c r="BJ1011" s="12"/>
      <c r="BK1011" s="12"/>
      <c r="BL1011" s="12"/>
      <c r="BM1011" s="12"/>
      <c r="BN1011" s="12"/>
      <c r="BO1011" s="12"/>
      <c r="BP1011" s="12"/>
      <c r="BQ1011" s="12"/>
      <c r="BR1011" s="12"/>
      <c r="BS1011" s="12"/>
      <c r="BT1011" s="12"/>
    </row>
    <row r="1012" spans="1:72">
      <c r="A1012" s="2" t="s">
        <v>19837</v>
      </c>
      <c r="B1012" s="5" t="s">
        <v>19843</v>
      </c>
      <c r="C1012" s="3" t="s">
        <v>19838</v>
      </c>
      <c r="D1012" s="4" t="s">
        <v>138</v>
      </c>
      <c r="E1012" s="15" t="s">
        <v>2882</v>
      </c>
      <c r="F1012" s="15" t="s">
        <v>2883</v>
      </c>
      <c r="G1012" s="15" t="s">
        <v>162</v>
      </c>
      <c r="H1012" s="7">
        <v>4</v>
      </c>
      <c r="I1012" s="6" t="s">
        <v>19850</v>
      </c>
      <c r="J1012" s="6" t="s">
        <v>43112</v>
      </c>
      <c r="K1012" s="6" t="s">
        <v>37788</v>
      </c>
      <c r="L1012" s="6" t="s">
        <v>40954</v>
      </c>
      <c r="M1012" s="6" t="s">
        <v>37976</v>
      </c>
      <c r="N1012" s="6"/>
      <c r="O1012" s="6"/>
      <c r="P1012" s="6"/>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c r="AY1012" s="6"/>
      <c r="AZ1012" s="6"/>
      <c r="BA1012" s="6"/>
      <c r="BB1012" s="6"/>
      <c r="BC1012" s="6"/>
      <c r="BD1012" s="6"/>
      <c r="BE1012" s="6"/>
      <c r="BF1012" s="6"/>
      <c r="BG1012" s="6"/>
      <c r="BH1012" s="6"/>
      <c r="BI1012" s="6"/>
      <c r="BJ1012" s="6"/>
      <c r="BK1012" s="6"/>
      <c r="BL1012" s="6"/>
      <c r="BM1012" s="6"/>
      <c r="BN1012" s="6"/>
      <c r="BO1012" s="6"/>
      <c r="BP1012" s="6"/>
      <c r="BQ1012" s="6"/>
      <c r="BR1012" s="6"/>
      <c r="BS1012" s="6"/>
      <c r="BT1012" s="6"/>
    </row>
    <row r="1013" spans="1:72">
      <c r="A1013" s="8" t="s">
        <v>19853</v>
      </c>
      <c r="B1013" s="11" t="s">
        <v>19856</v>
      </c>
      <c r="C1013" s="9" t="s">
        <v>138</v>
      </c>
      <c r="D1013" s="10" t="s">
        <v>138</v>
      </c>
      <c r="E1013" s="28" t="s">
        <v>449</v>
      </c>
      <c r="F1013" s="28" t="s">
        <v>138</v>
      </c>
      <c r="G1013" s="28" t="s">
        <v>450</v>
      </c>
      <c r="H1013" s="13">
        <v>15</v>
      </c>
      <c r="I1013" s="12" t="s">
        <v>19866</v>
      </c>
      <c r="J1013" s="12" t="s">
        <v>455</v>
      </c>
      <c r="K1013" s="12" t="s">
        <v>43113</v>
      </c>
      <c r="L1013" s="12" t="s">
        <v>42586</v>
      </c>
      <c r="M1013" s="12" t="s">
        <v>40083</v>
      </c>
      <c r="N1013" s="12" t="s">
        <v>43114</v>
      </c>
      <c r="O1013" s="12" t="s">
        <v>38091</v>
      </c>
      <c r="P1013" s="12" t="s">
        <v>43115</v>
      </c>
      <c r="Q1013" s="12" t="s">
        <v>43116</v>
      </c>
      <c r="R1013" s="12" t="s">
        <v>40440</v>
      </c>
      <c r="S1013" s="12" t="s">
        <v>43117</v>
      </c>
      <c r="T1013" s="12" t="s">
        <v>43118</v>
      </c>
      <c r="U1013" s="12" t="s">
        <v>39221</v>
      </c>
      <c r="V1013" s="12" t="s">
        <v>38671</v>
      </c>
      <c r="W1013" s="12" t="s">
        <v>43119</v>
      </c>
      <c r="X1013" s="12" t="s">
        <v>43120</v>
      </c>
      <c r="Y1013" s="12"/>
      <c r="Z1013" s="12"/>
      <c r="AA1013" s="12"/>
      <c r="AB1013" s="12"/>
      <c r="AC1013" s="12"/>
      <c r="AD1013" s="12"/>
      <c r="AE1013" s="12"/>
      <c r="AF1013" s="12"/>
      <c r="AG1013" s="12"/>
      <c r="AH1013" s="12"/>
      <c r="AI1013" s="12"/>
      <c r="AJ1013" s="12"/>
      <c r="AK1013" s="12"/>
      <c r="AL1013" s="12"/>
      <c r="AM1013" s="12"/>
      <c r="AN1013" s="12"/>
      <c r="AO1013" s="12"/>
      <c r="AP1013" s="12"/>
      <c r="AQ1013" s="12"/>
      <c r="AR1013" s="12"/>
      <c r="AS1013" s="12"/>
      <c r="AT1013" s="12"/>
      <c r="AU1013" s="12"/>
      <c r="AV1013" s="12"/>
      <c r="AW1013" s="12"/>
      <c r="AX1013" s="12"/>
      <c r="AY1013" s="12"/>
      <c r="AZ1013" s="12"/>
      <c r="BA1013" s="12"/>
      <c r="BB1013" s="12"/>
      <c r="BC1013" s="12"/>
      <c r="BD1013" s="12"/>
      <c r="BE1013" s="12"/>
      <c r="BF1013" s="12"/>
      <c r="BG1013" s="12"/>
      <c r="BH1013" s="12"/>
      <c r="BI1013" s="12"/>
      <c r="BJ1013" s="12"/>
      <c r="BK1013" s="12"/>
      <c r="BL1013" s="12"/>
      <c r="BM1013" s="12"/>
      <c r="BN1013" s="12"/>
      <c r="BO1013" s="12"/>
      <c r="BP1013" s="12"/>
      <c r="BQ1013" s="12"/>
      <c r="BR1013" s="12"/>
      <c r="BS1013" s="12"/>
      <c r="BT1013" s="12"/>
    </row>
    <row r="1014" spans="1:72">
      <c r="A1014" s="2" t="s">
        <v>19869</v>
      </c>
      <c r="B1014" s="5" t="s">
        <v>19874</v>
      </c>
      <c r="C1014" s="3" t="s">
        <v>19870</v>
      </c>
      <c r="D1014" s="4" t="s">
        <v>138</v>
      </c>
      <c r="E1014" s="15" t="s">
        <v>6232</v>
      </c>
      <c r="F1014" s="15" t="s">
        <v>371</v>
      </c>
      <c r="G1014" s="15" t="s">
        <v>162</v>
      </c>
      <c r="H1014" s="7">
        <v>1</v>
      </c>
      <c r="I1014" s="6" t="s">
        <v>3779</v>
      </c>
      <c r="J1014" s="6" t="s">
        <v>3779</v>
      </c>
      <c r="K1014" s="6"/>
      <c r="L1014" s="6"/>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AY1014" s="6"/>
      <c r="AZ1014" s="6"/>
      <c r="BA1014" s="6"/>
      <c r="BB1014" s="6"/>
      <c r="BC1014" s="6"/>
      <c r="BD1014" s="6"/>
      <c r="BE1014" s="6"/>
      <c r="BF1014" s="6"/>
      <c r="BG1014" s="6"/>
      <c r="BH1014" s="6"/>
      <c r="BI1014" s="6"/>
      <c r="BJ1014" s="6"/>
      <c r="BK1014" s="6"/>
      <c r="BL1014" s="6"/>
      <c r="BM1014" s="6"/>
      <c r="BN1014" s="6"/>
      <c r="BO1014" s="6"/>
      <c r="BP1014" s="6"/>
      <c r="BQ1014" s="6"/>
      <c r="BR1014" s="6"/>
      <c r="BS1014" s="6"/>
      <c r="BT1014" s="6"/>
    </row>
    <row r="1015" spans="1:72">
      <c r="A1015" s="8" t="s">
        <v>19889</v>
      </c>
      <c r="B1015" s="11" t="s">
        <v>19894</v>
      </c>
      <c r="C1015" s="9" t="s">
        <v>138</v>
      </c>
      <c r="D1015" s="10" t="s">
        <v>19890</v>
      </c>
      <c r="E1015" s="28" t="s">
        <v>2330</v>
      </c>
      <c r="F1015" s="28" t="s">
        <v>2331</v>
      </c>
      <c r="G1015" s="28" t="s">
        <v>2333</v>
      </c>
      <c r="H1015" s="13">
        <v>22</v>
      </c>
      <c r="I1015" s="12" t="s">
        <v>19904</v>
      </c>
      <c r="J1015" s="12" t="s">
        <v>43121</v>
      </c>
      <c r="K1015" s="12" t="s">
        <v>43122</v>
      </c>
      <c r="L1015" s="12" t="s">
        <v>43123</v>
      </c>
      <c r="M1015" s="12" t="s">
        <v>43124</v>
      </c>
      <c r="N1015" s="12" t="s">
        <v>40276</v>
      </c>
      <c r="O1015" s="12" t="s">
        <v>43125</v>
      </c>
      <c r="P1015" s="12" t="s">
        <v>40279</v>
      </c>
      <c r="Q1015" s="12" t="s">
        <v>43126</v>
      </c>
      <c r="R1015" s="12" t="s">
        <v>43127</v>
      </c>
      <c r="S1015" s="12" t="s">
        <v>43128</v>
      </c>
      <c r="T1015" s="12" t="s">
        <v>43129</v>
      </c>
      <c r="U1015" s="12" t="s">
        <v>43130</v>
      </c>
      <c r="V1015" s="12" t="s">
        <v>43131</v>
      </c>
      <c r="W1015" s="12" t="s">
        <v>38189</v>
      </c>
      <c r="X1015" s="12" t="s">
        <v>41604</v>
      </c>
      <c r="Y1015" s="12" t="s">
        <v>43132</v>
      </c>
      <c r="Z1015" s="12" t="s">
        <v>43133</v>
      </c>
      <c r="AA1015" s="12" t="s">
        <v>38065</v>
      </c>
      <c r="AB1015" s="12" t="s">
        <v>39166</v>
      </c>
      <c r="AC1015" s="12" t="s">
        <v>43134</v>
      </c>
      <c r="AD1015" s="12" t="s">
        <v>38753</v>
      </c>
      <c r="AE1015" s="12" t="s">
        <v>43135</v>
      </c>
      <c r="AF1015" s="12"/>
      <c r="AG1015" s="12"/>
      <c r="AH1015" s="12"/>
      <c r="AI1015" s="12"/>
      <c r="AJ1015" s="12"/>
      <c r="AK1015" s="12"/>
      <c r="AL1015" s="12"/>
      <c r="AM1015" s="12"/>
      <c r="AN1015" s="12"/>
      <c r="AO1015" s="12"/>
      <c r="AP1015" s="12"/>
      <c r="AQ1015" s="12"/>
      <c r="AR1015" s="12"/>
      <c r="AS1015" s="12"/>
      <c r="AT1015" s="12"/>
      <c r="AU1015" s="12"/>
      <c r="AV1015" s="12"/>
      <c r="AW1015" s="12"/>
      <c r="AX1015" s="12"/>
      <c r="AY1015" s="12"/>
      <c r="AZ1015" s="12"/>
      <c r="BA1015" s="12"/>
      <c r="BB1015" s="12"/>
      <c r="BC1015" s="12"/>
      <c r="BD1015" s="12"/>
      <c r="BE1015" s="12"/>
      <c r="BF1015" s="12"/>
      <c r="BG1015" s="12"/>
      <c r="BH1015" s="12"/>
      <c r="BI1015" s="12"/>
      <c r="BJ1015" s="12"/>
      <c r="BK1015" s="12"/>
      <c r="BL1015" s="12"/>
      <c r="BM1015" s="12"/>
      <c r="BN1015" s="12"/>
      <c r="BO1015" s="12"/>
      <c r="BP1015" s="12"/>
      <c r="BQ1015" s="12"/>
      <c r="BR1015" s="12"/>
      <c r="BS1015" s="12"/>
      <c r="BT1015" s="12"/>
    </row>
    <row r="1016" spans="1:72">
      <c r="A1016" s="2" t="s">
        <v>19907</v>
      </c>
      <c r="B1016" s="5" t="s">
        <v>19911</v>
      </c>
      <c r="C1016" s="3" t="s">
        <v>138</v>
      </c>
      <c r="D1016" s="4" t="s">
        <v>138</v>
      </c>
      <c r="E1016" s="15" t="s">
        <v>19919</v>
      </c>
      <c r="F1016" s="15" t="s">
        <v>10615</v>
      </c>
      <c r="G1016" s="15" t="s">
        <v>162</v>
      </c>
      <c r="H1016" s="7">
        <v>11</v>
      </c>
      <c r="I1016" s="6" t="s">
        <v>19924</v>
      </c>
      <c r="J1016" s="6" t="s">
        <v>39029</v>
      </c>
      <c r="K1016" s="6" t="s">
        <v>43136</v>
      </c>
      <c r="L1016" s="6" t="s">
        <v>39273</v>
      </c>
      <c r="M1016" s="6" t="s">
        <v>43137</v>
      </c>
      <c r="N1016" s="6" t="s">
        <v>43138</v>
      </c>
      <c r="O1016" s="6" t="s">
        <v>37851</v>
      </c>
      <c r="P1016" s="6" t="s">
        <v>43139</v>
      </c>
      <c r="Q1016" s="6" t="s">
        <v>42894</v>
      </c>
      <c r="R1016" s="6" t="s">
        <v>43140</v>
      </c>
      <c r="S1016" s="6" t="s">
        <v>43141</v>
      </c>
      <c r="T1016" s="6" t="s">
        <v>39280</v>
      </c>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6"/>
      <c r="AY1016" s="6"/>
      <c r="AZ1016" s="6"/>
      <c r="BA1016" s="6"/>
      <c r="BB1016" s="6"/>
      <c r="BC1016" s="6"/>
      <c r="BD1016" s="6"/>
      <c r="BE1016" s="6"/>
      <c r="BF1016" s="6"/>
      <c r="BG1016" s="6"/>
      <c r="BH1016" s="6"/>
      <c r="BI1016" s="6"/>
      <c r="BJ1016" s="6"/>
      <c r="BK1016" s="6"/>
      <c r="BL1016" s="6"/>
      <c r="BM1016" s="6"/>
      <c r="BN1016" s="6"/>
      <c r="BO1016" s="6"/>
      <c r="BP1016" s="6"/>
      <c r="BQ1016" s="6"/>
      <c r="BR1016" s="6"/>
      <c r="BS1016" s="6"/>
      <c r="BT1016" s="6"/>
    </row>
    <row r="1017" spans="1:72">
      <c r="A1017" s="8" t="s">
        <v>19928</v>
      </c>
      <c r="B1017" s="11" t="s">
        <v>19934</v>
      </c>
      <c r="C1017" s="9" t="s">
        <v>138</v>
      </c>
      <c r="D1017" s="10" t="s">
        <v>19929</v>
      </c>
      <c r="E1017" s="28" t="s">
        <v>4466</v>
      </c>
      <c r="F1017" s="28" t="s">
        <v>426</v>
      </c>
      <c r="G1017" s="28" t="s">
        <v>162</v>
      </c>
      <c r="H1017" s="13">
        <v>5</v>
      </c>
      <c r="I1017" s="12" t="s">
        <v>19943</v>
      </c>
      <c r="J1017" s="12" t="s">
        <v>41691</v>
      </c>
      <c r="K1017" s="12" t="s">
        <v>43142</v>
      </c>
      <c r="L1017" s="12" t="s">
        <v>43143</v>
      </c>
      <c r="M1017" s="12" t="s">
        <v>41888</v>
      </c>
      <c r="N1017" s="12" t="s">
        <v>37839</v>
      </c>
      <c r="O1017" s="12"/>
      <c r="P1017" s="12"/>
      <c r="Q1017" s="12"/>
      <c r="R1017" s="12"/>
      <c r="S1017" s="12"/>
      <c r="T1017" s="12"/>
      <c r="U1017" s="12"/>
      <c r="V1017" s="12"/>
      <c r="W1017" s="12"/>
      <c r="X1017" s="12"/>
      <c r="Y1017" s="12"/>
      <c r="Z1017" s="12"/>
      <c r="AA1017" s="12"/>
      <c r="AB1017" s="12"/>
      <c r="AC1017" s="12"/>
      <c r="AD1017" s="12"/>
      <c r="AE1017" s="12"/>
      <c r="AF1017" s="12"/>
      <c r="AG1017" s="12"/>
      <c r="AH1017" s="12"/>
      <c r="AI1017" s="12"/>
      <c r="AJ1017" s="12"/>
      <c r="AK1017" s="12"/>
      <c r="AL1017" s="12"/>
      <c r="AM1017" s="12"/>
      <c r="AN1017" s="12"/>
      <c r="AO1017" s="12"/>
      <c r="AP1017" s="12"/>
      <c r="AQ1017" s="12"/>
      <c r="AR1017" s="12"/>
      <c r="AS1017" s="12"/>
      <c r="AT1017" s="12"/>
      <c r="AU1017" s="12"/>
      <c r="AV1017" s="12"/>
      <c r="AW1017" s="12"/>
      <c r="AX1017" s="12"/>
      <c r="AY1017" s="12"/>
      <c r="AZ1017" s="12"/>
      <c r="BA1017" s="12"/>
      <c r="BB1017" s="12"/>
      <c r="BC1017" s="12"/>
      <c r="BD1017" s="12"/>
      <c r="BE1017" s="12"/>
      <c r="BF1017" s="12"/>
      <c r="BG1017" s="12"/>
      <c r="BH1017" s="12"/>
      <c r="BI1017" s="12"/>
      <c r="BJ1017" s="12"/>
      <c r="BK1017" s="12"/>
      <c r="BL1017" s="12"/>
      <c r="BM1017" s="12"/>
      <c r="BN1017" s="12"/>
      <c r="BO1017" s="12"/>
      <c r="BP1017" s="12"/>
      <c r="BQ1017" s="12"/>
      <c r="BR1017" s="12"/>
      <c r="BS1017" s="12"/>
      <c r="BT1017" s="12"/>
    </row>
    <row r="1018" spans="1:72">
      <c r="A1018" s="2" t="s">
        <v>19948</v>
      </c>
      <c r="B1018" s="5" t="s">
        <v>19954</v>
      </c>
      <c r="C1018" s="3" t="s">
        <v>138</v>
      </c>
      <c r="D1018" s="4" t="s">
        <v>138</v>
      </c>
      <c r="E1018" s="15" t="s">
        <v>17667</v>
      </c>
      <c r="F1018" s="15" t="s">
        <v>339</v>
      </c>
      <c r="G1018" s="15" t="s">
        <v>162</v>
      </c>
      <c r="H1018" s="7">
        <v>10</v>
      </c>
      <c r="I1018" s="6" t="s">
        <v>19964</v>
      </c>
      <c r="J1018" s="6" t="s">
        <v>43144</v>
      </c>
      <c r="K1018" s="6" t="s">
        <v>41112</v>
      </c>
      <c r="L1018" s="6" t="s">
        <v>43145</v>
      </c>
      <c r="M1018" s="6" t="s">
        <v>43146</v>
      </c>
      <c r="N1018" s="6" t="s">
        <v>43147</v>
      </c>
      <c r="O1018" s="6" t="s">
        <v>38057</v>
      </c>
      <c r="P1018" s="6" t="s">
        <v>43148</v>
      </c>
      <c r="Q1018" s="6" t="s">
        <v>43149</v>
      </c>
      <c r="R1018" s="6" t="s">
        <v>37779</v>
      </c>
      <c r="S1018" s="6" t="s">
        <v>43150</v>
      </c>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6"/>
      <c r="AY1018" s="6"/>
      <c r="AZ1018" s="6"/>
      <c r="BA1018" s="6"/>
      <c r="BB1018" s="6"/>
      <c r="BC1018" s="6"/>
      <c r="BD1018" s="6"/>
      <c r="BE1018" s="6"/>
      <c r="BF1018" s="6"/>
      <c r="BG1018" s="6"/>
      <c r="BH1018" s="6"/>
      <c r="BI1018" s="6"/>
      <c r="BJ1018" s="6"/>
      <c r="BK1018" s="6"/>
      <c r="BL1018" s="6"/>
      <c r="BM1018" s="6"/>
      <c r="BN1018" s="6"/>
      <c r="BO1018" s="6"/>
      <c r="BP1018" s="6"/>
      <c r="BQ1018" s="6"/>
      <c r="BR1018" s="6"/>
      <c r="BS1018" s="6"/>
      <c r="BT1018" s="6"/>
    </row>
    <row r="1019" spans="1:72">
      <c r="A1019" s="8" t="s">
        <v>19969</v>
      </c>
      <c r="B1019" s="11" t="s">
        <v>19975</v>
      </c>
      <c r="C1019" s="9" t="s">
        <v>138</v>
      </c>
      <c r="D1019" s="10" t="s">
        <v>138</v>
      </c>
      <c r="E1019" s="28" t="s">
        <v>9073</v>
      </c>
      <c r="F1019" s="28" t="s">
        <v>9074</v>
      </c>
      <c r="G1019" s="28" t="s">
        <v>2333</v>
      </c>
      <c r="H1019" s="13">
        <v>3</v>
      </c>
      <c r="I1019" s="12" t="s">
        <v>19987</v>
      </c>
      <c r="J1019" s="12" t="s">
        <v>43151</v>
      </c>
      <c r="K1019" s="12" t="s">
        <v>38076</v>
      </c>
      <c r="L1019" s="12" t="s">
        <v>38200</v>
      </c>
      <c r="M1019" s="12"/>
      <c r="N1019" s="12"/>
      <c r="O1019" s="12"/>
      <c r="P1019" s="12"/>
      <c r="Q1019" s="12"/>
      <c r="R1019" s="12"/>
      <c r="S1019" s="12"/>
      <c r="T1019" s="12"/>
      <c r="U1019" s="12"/>
      <c r="V1019" s="12"/>
      <c r="W1019" s="12"/>
      <c r="X1019" s="12"/>
      <c r="Y1019" s="12"/>
      <c r="Z1019" s="12"/>
      <c r="AA1019" s="12"/>
      <c r="AB1019" s="12"/>
      <c r="AC1019" s="12"/>
      <c r="AD1019" s="12"/>
      <c r="AE1019" s="12"/>
      <c r="AF1019" s="12"/>
      <c r="AG1019" s="12"/>
      <c r="AH1019" s="12"/>
      <c r="AI1019" s="12"/>
      <c r="AJ1019" s="12"/>
      <c r="AK1019" s="12"/>
      <c r="AL1019" s="12"/>
      <c r="AM1019" s="12"/>
      <c r="AN1019" s="12"/>
      <c r="AO1019" s="12"/>
      <c r="AP1019" s="12"/>
      <c r="AQ1019" s="12"/>
      <c r="AR1019" s="12"/>
      <c r="AS1019" s="12"/>
      <c r="AT1019" s="12"/>
      <c r="AU1019" s="12"/>
      <c r="AV1019" s="12"/>
      <c r="AW1019" s="12"/>
      <c r="AX1019" s="12"/>
      <c r="AY1019" s="12"/>
      <c r="AZ1019" s="12"/>
      <c r="BA1019" s="12"/>
      <c r="BB1019" s="12"/>
      <c r="BC1019" s="12"/>
      <c r="BD1019" s="12"/>
      <c r="BE1019" s="12"/>
      <c r="BF1019" s="12"/>
      <c r="BG1019" s="12"/>
      <c r="BH1019" s="12"/>
      <c r="BI1019" s="12"/>
      <c r="BJ1019" s="12"/>
      <c r="BK1019" s="12"/>
      <c r="BL1019" s="12"/>
      <c r="BM1019" s="12"/>
      <c r="BN1019" s="12"/>
      <c r="BO1019" s="12"/>
      <c r="BP1019" s="12"/>
      <c r="BQ1019" s="12"/>
      <c r="BR1019" s="12"/>
      <c r="BS1019" s="12"/>
      <c r="BT1019" s="12"/>
    </row>
    <row r="1020" spans="1:72">
      <c r="A1020" s="2" t="s">
        <v>19990</v>
      </c>
      <c r="B1020" s="5" t="s">
        <v>19995</v>
      </c>
      <c r="C1020" s="3" t="s">
        <v>138</v>
      </c>
      <c r="D1020" s="4" t="s">
        <v>138</v>
      </c>
      <c r="E1020" s="15" t="s">
        <v>426</v>
      </c>
      <c r="F1020" s="15" t="s">
        <v>426</v>
      </c>
      <c r="G1020" s="15" t="s">
        <v>162</v>
      </c>
      <c r="H1020" s="7">
        <v>17</v>
      </c>
      <c r="I1020" s="6" t="s">
        <v>20002</v>
      </c>
      <c r="J1020" s="6" t="s">
        <v>13176</v>
      </c>
      <c r="K1020" s="6" t="s">
        <v>38569</v>
      </c>
      <c r="L1020" s="6" t="s">
        <v>39228</v>
      </c>
      <c r="M1020" s="6" t="s">
        <v>38522</v>
      </c>
      <c r="N1020" s="6" t="s">
        <v>40077</v>
      </c>
      <c r="O1020" s="6" t="s">
        <v>38214</v>
      </c>
      <c r="P1020" s="6" t="s">
        <v>38636</v>
      </c>
      <c r="Q1020" s="6" t="s">
        <v>38368</v>
      </c>
      <c r="R1020" s="6" t="s">
        <v>43152</v>
      </c>
      <c r="S1020" s="6" t="s">
        <v>37921</v>
      </c>
      <c r="T1020" s="6" t="s">
        <v>42777</v>
      </c>
      <c r="U1020" s="6" t="s">
        <v>43153</v>
      </c>
      <c r="V1020" s="6" t="s">
        <v>43154</v>
      </c>
      <c r="W1020" s="6" t="s">
        <v>43155</v>
      </c>
      <c r="X1020" s="6" t="s">
        <v>43156</v>
      </c>
      <c r="Y1020" s="6" t="s">
        <v>39694</v>
      </c>
      <c r="Z1020" s="6" t="s">
        <v>38371</v>
      </c>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6"/>
      <c r="AY1020" s="6"/>
      <c r="AZ1020" s="6"/>
      <c r="BA1020" s="6"/>
      <c r="BB1020" s="6"/>
      <c r="BC1020" s="6"/>
      <c r="BD1020" s="6"/>
      <c r="BE1020" s="6"/>
      <c r="BF1020" s="6"/>
      <c r="BG1020" s="6"/>
      <c r="BH1020" s="6"/>
      <c r="BI1020" s="6"/>
      <c r="BJ1020" s="6"/>
      <c r="BK1020" s="6"/>
      <c r="BL1020" s="6"/>
      <c r="BM1020" s="6"/>
      <c r="BN1020" s="6"/>
      <c r="BO1020" s="6"/>
      <c r="BP1020" s="6"/>
      <c r="BQ1020" s="6"/>
      <c r="BR1020" s="6"/>
      <c r="BS1020" s="6"/>
      <c r="BT1020" s="6"/>
    </row>
    <row r="1021" spans="1:72">
      <c r="A1021" s="8" t="s">
        <v>20005</v>
      </c>
      <c r="B1021" s="11" t="s">
        <v>20010</v>
      </c>
      <c r="C1021" s="9" t="s">
        <v>20006</v>
      </c>
      <c r="D1021" s="10" t="s">
        <v>138</v>
      </c>
      <c r="E1021" s="28" t="s">
        <v>1171</v>
      </c>
      <c r="F1021" s="28" t="s">
        <v>200</v>
      </c>
      <c r="G1021" s="28" t="s">
        <v>162</v>
      </c>
      <c r="H1021" s="13">
        <v>5</v>
      </c>
      <c r="I1021" s="12" t="s">
        <v>20019</v>
      </c>
      <c r="J1021" s="12" t="s">
        <v>37811</v>
      </c>
      <c r="K1021" s="12" t="s">
        <v>38299</v>
      </c>
      <c r="L1021" s="12" t="s">
        <v>43157</v>
      </c>
      <c r="M1021" s="12" t="s">
        <v>37953</v>
      </c>
      <c r="N1021" s="12" t="s">
        <v>42445</v>
      </c>
      <c r="O1021" s="12"/>
      <c r="P1021" s="12"/>
      <c r="Q1021" s="12"/>
      <c r="R1021" s="12"/>
      <c r="S1021" s="12"/>
      <c r="T1021" s="12"/>
      <c r="U1021" s="12"/>
      <c r="V1021" s="12"/>
      <c r="W1021" s="12"/>
      <c r="X1021" s="12"/>
      <c r="Y1021" s="12"/>
      <c r="Z1021" s="12"/>
      <c r="AA1021" s="12"/>
      <c r="AB1021" s="12"/>
      <c r="AC1021" s="12"/>
      <c r="AD1021" s="12"/>
      <c r="AE1021" s="12"/>
      <c r="AF1021" s="12"/>
      <c r="AG1021" s="12"/>
      <c r="AH1021" s="12"/>
      <c r="AI1021" s="12"/>
      <c r="AJ1021" s="12"/>
      <c r="AK1021" s="12"/>
      <c r="AL1021" s="12"/>
      <c r="AM1021" s="12"/>
      <c r="AN1021" s="12"/>
      <c r="AO1021" s="12"/>
      <c r="AP1021" s="12"/>
      <c r="AQ1021" s="12"/>
      <c r="AR1021" s="12"/>
      <c r="AS1021" s="12"/>
      <c r="AT1021" s="12"/>
      <c r="AU1021" s="12"/>
      <c r="AV1021" s="12"/>
      <c r="AW1021" s="12"/>
      <c r="AX1021" s="12"/>
      <c r="AY1021" s="12"/>
      <c r="AZ1021" s="12"/>
      <c r="BA1021" s="12"/>
      <c r="BB1021" s="12"/>
      <c r="BC1021" s="12"/>
      <c r="BD1021" s="12"/>
      <c r="BE1021" s="12"/>
      <c r="BF1021" s="12"/>
      <c r="BG1021" s="12"/>
      <c r="BH1021" s="12"/>
      <c r="BI1021" s="12"/>
      <c r="BJ1021" s="12"/>
      <c r="BK1021" s="12"/>
      <c r="BL1021" s="12"/>
      <c r="BM1021" s="12"/>
      <c r="BN1021" s="12"/>
      <c r="BO1021" s="12"/>
      <c r="BP1021" s="12"/>
      <c r="BQ1021" s="12"/>
      <c r="BR1021" s="12"/>
      <c r="BS1021" s="12"/>
      <c r="BT1021" s="12"/>
    </row>
    <row r="1022" spans="1:72">
      <c r="A1022" s="2" t="s">
        <v>20022</v>
      </c>
      <c r="B1022" s="5" t="s">
        <v>20027</v>
      </c>
      <c r="C1022" s="3" t="s">
        <v>138</v>
      </c>
      <c r="D1022" s="4" t="s">
        <v>20023</v>
      </c>
      <c r="E1022" s="15" t="s">
        <v>642</v>
      </c>
      <c r="F1022" s="15" t="s">
        <v>474</v>
      </c>
      <c r="G1022" s="15" t="s">
        <v>162</v>
      </c>
      <c r="H1022" s="7">
        <v>1</v>
      </c>
      <c r="I1022" s="6" t="s">
        <v>12498</v>
      </c>
      <c r="J1022" s="6" t="s">
        <v>12498</v>
      </c>
      <c r="K1022" s="6"/>
      <c r="L1022" s="6"/>
      <c r="M1022" s="6"/>
      <c r="N1022" s="6"/>
      <c r="O1022" s="6"/>
      <c r="P1022" s="6"/>
      <c r="Q1022" s="6"/>
      <c r="R1022" s="6"/>
      <c r="S1022" s="6"/>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c r="AY1022" s="6"/>
      <c r="AZ1022" s="6"/>
      <c r="BA1022" s="6"/>
      <c r="BB1022" s="6"/>
      <c r="BC1022" s="6"/>
      <c r="BD1022" s="6"/>
      <c r="BE1022" s="6"/>
      <c r="BF1022" s="6"/>
      <c r="BG1022" s="6"/>
      <c r="BH1022" s="6"/>
      <c r="BI1022" s="6"/>
      <c r="BJ1022" s="6"/>
      <c r="BK1022" s="6"/>
      <c r="BL1022" s="6"/>
      <c r="BM1022" s="6"/>
      <c r="BN1022" s="6"/>
      <c r="BO1022" s="6"/>
      <c r="BP1022" s="6"/>
      <c r="BQ1022" s="6"/>
      <c r="BR1022" s="6"/>
      <c r="BS1022" s="6"/>
      <c r="BT1022" s="6"/>
    </row>
    <row r="1023" spans="1:72">
      <c r="A1023" s="8" t="s">
        <v>20038</v>
      </c>
      <c r="B1023" s="11" t="s">
        <v>20041</v>
      </c>
      <c r="C1023" s="9" t="s">
        <v>138</v>
      </c>
      <c r="D1023" s="10" t="s">
        <v>138</v>
      </c>
      <c r="E1023" s="28" t="s">
        <v>426</v>
      </c>
      <c r="F1023" s="28" t="s">
        <v>426</v>
      </c>
      <c r="G1023" s="28" t="s">
        <v>162</v>
      </c>
      <c r="H1023" s="13">
        <v>3</v>
      </c>
      <c r="I1023" s="12" t="s">
        <v>20050</v>
      </c>
      <c r="J1023" s="12" t="s">
        <v>43158</v>
      </c>
      <c r="K1023" s="12" t="s">
        <v>37890</v>
      </c>
      <c r="L1023" s="12" t="s">
        <v>43159</v>
      </c>
      <c r="M1023" s="12"/>
      <c r="N1023" s="12"/>
      <c r="O1023" s="12"/>
      <c r="P1023" s="12"/>
      <c r="Q1023" s="12"/>
      <c r="R1023" s="12"/>
      <c r="S1023" s="12"/>
      <c r="T1023" s="12"/>
      <c r="U1023" s="12"/>
      <c r="V1023" s="12"/>
      <c r="W1023" s="12"/>
      <c r="X1023" s="12"/>
      <c r="Y1023" s="12"/>
      <c r="Z1023" s="12"/>
      <c r="AA1023" s="12"/>
      <c r="AB1023" s="12"/>
      <c r="AC1023" s="12"/>
      <c r="AD1023" s="12"/>
      <c r="AE1023" s="12"/>
      <c r="AF1023" s="12"/>
      <c r="AG1023" s="12"/>
      <c r="AH1023" s="12"/>
      <c r="AI1023" s="12"/>
      <c r="AJ1023" s="12"/>
      <c r="AK1023" s="12"/>
      <c r="AL1023" s="12"/>
      <c r="AM1023" s="12"/>
      <c r="AN1023" s="12"/>
      <c r="AO1023" s="12"/>
      <c r="AP1023" s="12"/>
      <c r="AQ1023" s="12"/>
      <c r="AR1023" s="12"/>
      <c r="AS1023" s="12"/>
      <c r="AT1023" s="12"/>
      <c r="AU1023" s="12"/>
      <c r="AV1023" s="12"/>
      <c r="AW1023" s="12"/>
      <c r="AX1023" s="12"/>
      <c r="AY1023" s="12"/>
      <c r="AZ1023" s="12"/>
      <c r="BA1023" s="12"/>
      <c r="BB1023" s="12"/>
      <c r="BC1023" s="12"/>
      <c r="BD1023" s="12"/>
      <c r="BE1023" s="12"/>
      <c r="BF1023" s="12"/>
      <c r="BG1023" s="12"/>
      <c r="BH1023" s="12"/>
      <c r="BI1023" s="12"/>
      <c r="BJ1023" s="12"/>
      <c r="BK1023" s="12"/>
      <c r="BL1023" s="12"/>
      <c r="BM1023" s="12"/>
      <c r="BN1023" s="12"/>
      <c r="BO1023" s="12"/>
      <c r="BP1023" s="12"/>
      <c r="BQ1023" s="12"/>
      <c r="BR1023" s="12"/>
      <c r="BS1023" s="12"/>
      <c r="BT1023" s="12"/>
    </row>
    <row r="1024" spans="1:72">
      <c r="A1024" s="2" t="s">
        <v>20053</v>
      </c>
      <c r="B1024" s="5" t="s">
        <v>20057</v>
      </c>
      <c r="C1024" s="3" t="s">
        <v>138</v>
      </c>
      <c r="D1024" s="4" t="s">
        <v>138</v>
      </c>
      <c r="E1024" s="15" t="s">
        <v>9158</v>
      </c>
      <c r="F1024" s="15" t="s">
        <v>200</v>
      </c>
      <c r="G1024" s="15" t="s">
        <v>162</v>
      </c>
      <c r="H1024" s="7">
        <v>6</v>
      </c>
      <c r="I1024" s="6" t="s">
        <v>20067</v>
      </c>
      <c r="J1024" s="6" t="s">
        <v>43160</v>
      </c>
      <c r="K1024" s="6" t="s">
        <v>38463</v>
      </c>
      <c r="L1024" s="6" t="s">
        <v>43161</v>
      </c>
      <c r="M1024" s="6" t="s">
        <v>43162</v>
      </c>
      <c r="N1024" s="6" t="s">
        <v>43163</v>
      </c>
      <c r="O1024" s="6" t="s">
        <v>43164</v>
      </c>
      <c r="P1024" s="6"/>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c r="AY1024" s="6"/>
      <c r="AZ1024" s="6"/>
      <c r="BA1024" s="6"/>
      <c r="BB1024" s="6"/>
      <c r="BC1024" s="6"/>
      <c r="BD1024" s="6"/>
      <c r="BE1024" s="6"/>
      <c r="BF1024" s="6"/>
      <c r="BG1024" s="6"/>
      <c r="BH1024" s="6"/>
      <c r="BI1024" s="6"/>
      <c r="BJ1024" s="6"/>
      <c r="BK1024" s="6"/>
      <c r="BL1024" s="6"/>
      <c r="BM1024" s="6"/>
      <c r="BN1024" s="6"/>
      <c r="BO1024" s="6"/>
      <c r="BP1024" s="6"/>
      <c r="BQ1024" s="6"/>
      <c r="BR1024" s="6"/>
      <c r="BS1024" s="6"/>
      <c r="BT1024" s="6"/>
    </row>
    <row r="1025" spans="1:72">
      <c r="A1025" s="8" t="s">
        <v>20070</v>
      </c>
      <c r="B1025" s="11" t="s">
        <v>20073</v>
      </c>
      <c r="C1025" s="9" t="s">
        <v>138</v>
      </c>
      <c r="D1025" s="10" t="s">
        <v>138</v>
      </c>
      <c r="E1025" s="28" t="s">
        <v>449</v>
      </c>
      <c r="F1025" s="28" t="s">
        <v>138</v>
      </c>
      <c r="G1025" s="28" t="s">
        <v>450</v>
      </c>
      <c r="H1025" s="13">
        <v>6</v>
      </c>
      <c r="I1025" s="12" t="s">
        <v>20077</v>
      </c>
      <c r="J1025" s="12" t="s">
        <v>455</v>
      </c>
      <c r="K1025" s="12" t="s">
        <v>38425</v>
      </c>
      <c r="L1025" s="12" t="s">
        <v>43165</v>
      </c>
      <c r="M1025" s="12" t="s">
        <v>38323</v>
      </c>
      <c r="N1025" s="12" t="s">
        <v>43166</v>
      </c>
      <c r="O1025" s="12" t="s">
        <v>43167</v>
      </c>
      <c r="P1025" s="12"/>
      <c r="Q1025" s="12"/>
      <c r="R1025" s="12"/>
      <c r="S1025" s="12"/>
      <c r="T1025" s="12"/>
      <c r="U1025" s="12"/>
      <c r="V1025" s="12"/>
      <c r="W1025" s="12"/>
      <c r="X1025" s="12"/>
      <c r="Y1025" s="12"/>
      <c r="Z1025" s="12"/>
      <c r="AA1025" s="12"/>
      <c r="AB1025" s="12"/>
      <c r="AC1025" s="12"/>
      <c r="AD1025" s="12"/>
      <c r="AE1025" s="12"/>
      <c r="AF1025" s="12"/>
      <c r="AG1025" s="12"/>
      <c r="AH1025" s="12"/>
      <c r="AI1025" s="12"/>
      <c r="AJ1025" s="12"/>
      <c r="AK1025" s="12"/>
      <c r="AL1025" s="12"/>
      <c r="AM1025" s="12"/>
      <c r="AN1025" s="12"/>
      <c r="AO1025" s="12"/>
      <c r="AP1025" s="12"/>
      <c r="AQ1025" s="12"/>
      <c r="AR1025" s="12"/>
      <c r="AS1025" s="12"/>
      <c r="AT1025" s="12"/>
      <c r="AU1025" s="12"/>
      <c r="AV1025" s="12"/>
      <c r="AW1025" s="12"/>
      <c r="AX1025" s="12"/>
      <c r="AY1025" s="12"/>
      <c r="AZ1025" s="12"/>
      <c r="BA1025" s="12"/>
      <c r="BB1025" s="12"/>
      <c r="BC1025" s="12"/>
      <c r="BD1025" s="12"/>
      <c r="BE1025" s="12"/>
      <c r="BF1025" s="12"/>
      <c r="BG1025" s="12"/>
      <c r="BH1025" s="12"/>
      <c r="BI1025" s="12"/>
      <c r="BJ1025" s="12"/>
      <c r="BK1025" s="12"/>
      <c r="BL1025" s="12"/>
      <c r="BM1025" s="12"/>
      <c r="BN1025" s="12"/>
      <c r="BO1025" s="12"/>
      <c r="BP1025" s="12"/>
      <c r="BQ1025" s="12"/>
      <c r="BR1025" s="12"/>
      <c r="BS1025" s="12"/>
      <c r="BT1025" s="12"/>
    </row>
    <row r="1026" spans="1:72">
      <c r="A1026" s="2" t="s">
        <v>20081</v>
      </c>
      <c r="B1026" s="5" t="s">
        <v>20086</v>
      </c>
      <c r="C1026" s="3" t="s">
        <v>138</v>
      </c>
      <c r="D1026" s="4" t="s">
        <v>20082</v>
      </c>
      <c r="E1026" s="15" t="s">
        <v>499</v>
      </c>
      <c r="F1026" s="15" t="s">
        <v>138</v>
      </c>
      <c r="G1026" s="15" t="s">
        <v>450</v>
      </c>
      <c r="H1026" s="7">
        <v>4</v>
      </c>
      <c r="I1026" s="6" t="s">
        <v>20095</v>
      </c>
      <c r="J1026" s="6" t="s">
        <v>455</v>
      </c>
      <c r="K1026" s="6" t="s">
        <v>38058</v>
      </c>
      <c r="L1026" s="6" t="s">
        <v>43168</v>
      </c>
      <c r="M1026" s="6" t="s">
        <v>43169</v>
      </c>
      <c r="N1026" s="6"/>
      <c r="O1026" s="6"/>
      <c r="P1026" s="6"/>
      <c r="Q1026" s="6"/>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c r="AY1026" s="6"/>
      <c r="AZ1026" s="6"/>
      <c r="BA1026" s="6"/>
      <c r="BB1026" s="6"/>
      <c r="BC1026" s="6"/>
      <c r="BD1026" s="6"/>
      <c r="BE1026" s="6"/>
      <c r="BF1026" s="6"/>
      <c r="BG1026" s="6"/>
      <c r="BH1026" s="6"/>
      <c r="BI1026" s="6"/>
      <c r="BJ1026" s="6"/>
      <c r="BK1026" s="6"/>
      <c r="BL1026" s="6"/>
      <c r="BM1026" s="6"/>
      <c r="BN1026" s="6"/>
      <c r="BO1026" s="6"/>
      <c r="BP1026" s="6"/>
      <c r="BQ1026" s="6"/>
      <c r="BR1026" s="6"/>
      <c r="BS1026" s="6"/>
      <c r="BT1026" s="6"/>
    </row>
    <row r="1027" spans="1:72">
      <c r="A1027" s="8" t="s">
        <v>20098</v>
      </c>
      <c r="B1027" s="11" t="s">
        <v>20104</v>
      </c>
      <c r="C1027" s="9" t="s">
        <v>138</v>
      </c>
      <c r="D1027" s="10" t="s">
        <v>20099</v>
      </c>
      <c r="E1027" s="28" t="s">
        <v>668</v>
      </c>
      <c r="F1027" s="28" t="s">
        <v>200</v>
      </c>
      <c r="G1027" s="28" t="s">
        <v>162</v>
      </c>
      <c r="H1027" s="13">
        <v>12</v>
      </c>
      <c r="I1027" s="12" t="s">
        <v>20113</v>
      </c>
      <c r="J1027" s="12" t="s">
        <v>17579</v>
      </c>
      <c r="K1027" s="12" t="s">
        <v>41599</v>
      </c>
      <c r="L1027" s="12" t="s">
        <v>43170</v>
      </c>
      <c r="M1027" s="12" t="s">
        <v>39964</v>
      </c>
      <c r="N1027" s="12" t="s">
        <v>37998</v>
      </c>
      <c r="O1027" s="12" t="s">
        <v>43171</v>
      </c>
      <c r="P1027" s="12" t="s">
        <v>43172</v>
      </c>
      <c r="Q1027" s="12" t="s">
        <v>43173</v>
      </c>
      <c r="R1027" s="12" t="s">
        <v>43174</v>
      </c>
      <c r="S1027" s="12" t="s">
        <v>43175</v>
      </c>
      <c r="T1027" s="12" t="s">
        <v>43176</v>
      </c>
      <c r="U1027" s="12" t="s">
        <v>43177</v>
      </c>
      <c r="V1027" s="12"/>
      <c r="W1027" s="12"/>
      <c r="X1027" s="12"/>
      <c r="Y1027" s="12"/>
      <c r="Z1027" s="12"/>
      <c r="AA1027" s="12"/>
      <c r="AB1027" s="12"/>
      <c r="AC1027" s="12"/>
      <c r="AD1027" s="12"/>
      <c r="AE1027" s="12"/>
      <c r="AF1027" s="12"/>
      <c r="AG1027" s="12"/>
      <c r="AH1027" s="12"/>
      <c r="AI1027" s="12"/>
      <c r="AJ1027" s="12"/>
      <c r="AK1027" s="12"/>
      <c r="AL1027" s="12"/>
      <c r="AM1027" s="12"/>
      <c r="AN1027" s="12"/>
      <c r="AO1027" s="12"/>
      <c r="AP1027" s="12"/>
      <c r="AQ1027" s="12"/>
      <c r="AR1027" s="12"/>
      <c r="AS1027" s="12"/>
      <c r="AT1027" s="12"/>
      <c r="AU1027" s="12"/>
      <c r="AV1027" s="12"/>
      <c r="AW1027" s="12"/>
      <c r="AX1027" s="12"/>
      <c r="AY1027" s="12"/>
      <c r="AZ1027" s="12"/>
      <c r="BA1027" s="12"/>
      <c r="BB1027" s="12"/>
      <c r="BC1027" s="12"/>
      <c r="BD1027" s="12"/>
      <c r="BE1027" s="12"/>
      <c r="BF1027" s="12"/>
      <c r="BG1027" s="12"/>
      <c r="BH1027" s="12"/>
      <c r="BI1027" s="12"/>
      <c r="BJ1027" s="12"/>
      <c r="BK1027" s="12"/>
      <c r="BL1027" s="12"/>
      <c r="BM1027" s="12"/>
      <c r="BN1027" s="12"/>
      <c r="BO1027" s="12"/>
      <c r="BP1027" s="12"/>
      <c r="BQ1027" s="12"/>
      <c r="BR1027" s="12"/>
      <c r="BS1027" s="12"/>
      <c r="BT1027" s="12"/>
    </row>
    <row r="1028" spans="1:72">
      <c r="A1028" s="2" t="s">
        <v>20117</v>
      </c>
      <c r="B1028" s="5" t="s">
        <v>20123</v>
      </c>
      <c r="C1028" s="3" t="s">
        <v>20118</v>
      </c>
      <c r="D1028" s="4" t="s">
        <v>138</v>
      </c>
      <c r="E1028" s="15" t="s">
        <v>3670</v>
      </c>
      <c r="F1028" s="15" t="s">
        <v>200</v>
      </c>
      <c r="G1028" s="15" t="s">
        <v>162</v>
      </c>
      <c r="H1028" s="7">
        <v>47</v>
      </c>
      <c r="I1028" s="6" t="s">
        <v>20133</v>
      </c>
      <c r="J1028" s="6" t="s">
        <v>37793</v>
      </c>
      <c r="K1028" s="6" t="s">
        <v>38410</v>
      </c>
      <c r="L1028" s="6" t="s">
        <v>39468</v>
      </c>
      <c r="M1028" s="6" t="s">
        <v>37979</v>
      </c>
      <c r="N1028" s="6" t="s">
        <v>37936</v>
      </c>
      <c r="O1028" s="6" t="s">
        <v>42732</v>
      </c>
      <c r="P1028" s="6" t="s">
        <v>40679</v>
      </c>
      <c r="Q1028" s="6" t="s">
        <v>40195</v>
      </c>
      <c r="R1028" s="6" t="s">
        <v>39908</v>
      </c>
      <c r="S1028" s="6" t="s">
        <v>41125</v>
      </c>
      <c r="T1028" s="6" t="s">
        <v>43178</v>
      </c>
      <c r="U1028" s="6" t="s">
        <v>37795</v>
      </c>
      <c r="V1028" s="6" t="s">
        <v>41828</v>
      </c>
      <c r="W1028" s="6" t="s">
        <v>39865</v>
      </c>
      <c r="X1028" s="6" t="s">
        <v>42350</v>
      </c>
      <c r="Y1028" s="6" t="s">
        <v>38416</v>
      </c>
      <c r="Z1028" s="6" t="s">
        <v>39704</v>
      </c>
      <c r="AA1028" s="6" t="s">
        <v>39170</v>
      </c>
      <c r="AB1028" s="6" t="s">
        <v>37945</v>
      </c>
      <c r="AC1028" s="6" t="s">
        <v>39422</v>
      </c>
      <c r="AD1028" s="6" t="s">
        <v>43179</v>
      </c>
      <c r="AE1028" s="6" t="s">
        <v>43180</v>
      </c>
      <c r="AF1028" s="6" t="s">
        <v>37774</v>
      </c>
      <c r="AG1028" s="6" t="s">
        <v>41790</v>
      </c>
      <c r="AH1028" s="6" t="s">
        <v>43181</v>
      </c>
      <c r="AI1028" s="6" t="s">
        <v>43182</v>
      </c>
      <c r="AJ1028" s="6" t="s">
        <v>43183</v>
      </c>
      <c r="AK1028" s="6" t="s">
        <v>38803</v>
      </c>
      <c r="AL1028" s="6" t="s">
        <v>38058</v>
      </c>
      <c r="AM1028" s="6" t="s">
        <v>43184</v>
      </c>
      <c r="AN1028" s="6" t="s">
        <v>43185</v>
      </c>
      <c r="AO1028" s="6" t="s">
        <v>37954</v>
      </c>
      <c r="AP1028" s="6" t="s">
        <v>43186</v>
      </c>
      <c r="AQ1028" s="6" t="s">
        <v>39028</v>
      </c>
      <c r="AR1028" s="6" t="s">
        <v>43187</v>
      </c>
      <c r="AS1028" s="6" t="s">
        <v>37802</v>
      </c>
      <c r="AT1028" s="6" t="s">
        <v>43188</v>
      </c>
      <c r="AU1028" s="6" t="s">
        <v>43189</v>
      </c>
      <c r="AV1028" s="6" t="s">
        <v>38479</v>
      </c>
      <c r="AW1028" s="6" t="s">
        <v>38002</v>
      </c>
      <c r="AX1028" s="6" t="s">
        <v>41771</v>
      </c>
      <c r="AY1028" s="6" t="s">
        <v>43190</v>
      </c>
      <c r="AZ1028" s="6" t="s">
        <v>38954</v>
      </c>
      <c r="BA1028" s="6" t="s">
        <v>38168</v>
      </c>
      <c r="BB1028" s="6" t="s">
        <v>43191</v>
      </c>
      <c r="BC1028" s="6" t="s">
        <v>43192</v>
      </c>
      <c r="BD1028" s="6" t="s">
        <v>40600</v>
      </c>
      <c r="BE1028" s="6"/>
      <c r="BF1028" s="6"/>
      <c r="BG1028" s="6"/>
      <c r="BH1028" s="6"/>
      <c r="BI1028" s="6"/>
      <c r="BJ1028" s="6"/>
      <c r="BK1028" s="6"/>
      <c r="BL1028" s="6"/>
      <c r="BM1028" s="6"/>
      <c r="BN1028" s="6"/>
      <c r="BO1028" s="6"/>
      <c r="BP1028" s="6"/>
      <c r="BQ1028" s="6"/>
      <c r="BR1028" s="6"/>
      <c r="BS1028" s="6"/>
      <c r="BT1028" s="6"/>
    </row>
    <row r="1029" spans="1:72">
      <c r="A1029" s="8" t="s">
        <v>20137</v>
      </c>
      <c r="B1029" s="11" t="s">
        <v>20142</v>
      </c>
      <c r="C1029" s="9" t="s">
        <v>138</v>
      </c>
      <c r="D1029" s="10" t="s">
        <v>138</v>
      </c>
      <c r="E1029" s="28" t="s">
        <v>2845</v>
      </c>
      <c r="F1029" s="28" t="s">
        <v>200</v>
      </c>
      <c r="G1029" s="28" t="s">
        <v>162</v>
      </c>
      <c r="H1029" s="13">
        <v>9</v>
      </c>
      <c r="I1029" s="12" t="s">
        <v>20152</v>
      </c>
      <c r="J1029" s="12" t="s">
        <v>43193</v>
      </c>
      <c r="K1029" s="12" t="s">
        <v>37947</v>
      </c>
      <c r="L1029" s="12" t="s">
        <v>41374</v>
      </c>
      <c r="M1029" s="12" t="s">
        <v>37960</v>
      </c>
      <c r="N1029" s="12" t="s">
        <v>38977</v>
      </c>
      <c r="O1029" s="12" t="s">
        <v>38979</v>
      </c>
      <c r="P1029" s="12" t="s">
        <v>37868</v>
      </c>
      <c r="Q1029" s="12" t="s">
        <v>39351</v>
      </c>
      <c r="R1029" s="12" t="s">
        <v>41379</v>
      </c>
      <c r="S1029" s="12"/>
      <c r="T1029" s="12"/>
      <c r="U1029" s="12"/>
      <c r="V1029" s="12"/>
      <c r="W1029" s="12"/>
      <c r="X1029" s="12"/>
      <c r="Y1029" s="12"/>
      <c r="Z1029" s="12"/>
      <c r="AA1029" s="12"/>
      <c r="AB1029" s="12"/>
      <c r="AC1029" s="12"/>
      <c r="AD1029" s="12"/>
      <c r="AE1029" s="12"/>
      <c r="AF1029" s="12"/>
      <c r="AG1029" s="12"/>
      <c r="AH1029" s="12"/>
      <c r="AI1029" s="12"/>
      <c r="AJ1029" s="12"/>
      <c r="AK1029" s="12"/>
      <c r="AL1029" s="12"/>
      <c r="AM1029" s="12"/>
      <c r="AN1029" s="12"/>
      <c r="AO1029" s="12"/>
      <c r="AP1029" s="12"/>
      <c r="AQ1029" s="12"/>
      <c r="AR1029" s="12"/>
      <c r="AS1029" s="12"/>
      <c r="AT1029" s="12"/>
      <c r="AU1029" s="12"/>
      <c r="AV1029" s="12"/>
      <c r="AW1029" s="12"/>
      <c r="AX1029" s="12"/>
      <c r="AY1029" s="12"/>
      <c r="AZ1029" s="12"/>
      <c r="BA1029" s="12"/>
      <c r="BB1029" s="12"/>
      <c r="BC1029" s="12"/>
      <c r="BD1029" s="12"/>
      <c r="BE1029" s="12"/>
      <c r="BF1029" s="12"/>
      <c r="BG1029" s="12"/>
      <c r="BH1029" s="12"/>
      <c r="BI1029" s="12"/>
      <c r="BJ1029" s="12"/>
      <c r="BK1029" s="12"/>
      <c r="BL1029" s="12"/>
      <c r="BM1029" s="12"/>
      <c r="BN1029" s="12"/>
      <c r="BO1029" s="12"/>
      <c r="BP1029" s="12"/>
      <c r="BQ1029" s="12"/>
      <c r="BR1029" s="12"/>
      <c r="BS1029" s="12"/>
      <c r="BT1029" s="12"/>
    </row>
    <row r="1030" spans="1:72">
      <c r="A1030" s="2" t="s">
        <v>20156</v>
      </c>
      <c r="B1030" s="5" t="s">
        <v>20161</v>
      </c>
      <c r="C1030" s="3" t="s">
        <v>138</v>
      </c>
      <c r="D1030" s="4" t="s">
        <v>20157</v>
      </c>
      <c r="E1030" s="15" t="s">
        <v>2005</v>
      </c>
      <c r="F1030" s="15" t="s">
        <v>200</v>
      </c>
      <c r="G1030" s="15" t="s">
        <v>162</v>
      </c>
      <c r="H1030" s="7">
        <v>1</v>
      </c>
      <c r="I1030" s="6" t="s">
        <v>20169</v>
      </c>
      <c r="J1030" s="6" t="s">
        <v>20169</v>
      </c>
      <c r="K1030" s="6"/>
      <c r="L1030" s="6"/>
      <c r="M1030" s="6"/>
      <c r="N1030" s="6"/>
      <c r="O1030" s="6"/>
      <c r="P1030" s="6"/>
      <c r="Q1030" s="6"/>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6"/>
      <c r="AY1030" s="6"/>
      <c r="AZ1030" s="6"/>
      <c r="BA1030" s="6"/>
      <c r="BB1030" s="6"/>
      <c r="BC1030" s="6"/>
      <c r="BD1030" s="6"/>
      <c r="BE1030" s="6"/>
      <c r="BF1030" s="6"/>
      <c r="BG1030" s="6"/>
      <c r="BH1030" s="6"/>
      <c r="BI1030" s="6"/>
      <c r="BJ1030" s="6"/>
      <c r="BK1030" s="6"/>
      <c r="BL1030" s="6"/>
      <c r="BM1030" s="6"/>
      <c r="BN1030" s="6"/>
      <c r="BO1030" s="6"/>
      <c r="BP1030" s="6"/>
      <c r="BQ1030" s="6"/>
      <c r="BR1030" s="6"/>
      <c r="BS1030" s="6"/>
      <c r="BT1030" s="6"/>
    </row>
    <row r="1031" spans="1:72">
      <c r="A1031" s="8" t="s">
        <v>20174</v>
      </c>
      <c r="B1031" s="11" t="s">
        <v>20178</v>
      </c>
      <c r="C1031" s="9" t="s">
        <v>138</v>
      </c>
      <c r="D1031" s="10" t="s">
        <v>138</v>
      </c>
      <c r="E1031" s="28" t="s">
        <v>1294</v>
      </c>
      <c r="F1031" s="28" t="s">
        <v>864</v>
      </c>
      <c r="G1031" s="28" t="s">
        <v>162</v>
      </c>
      <c r="H1031" s="13">
        <v>3</v>
      </c>
      <c r="I1031" s="12" t="s">
        <v>20186</v>
      </c>
      <c r="J1031" s="12" t="s">
        <v>455</v>
      </c>
      <c r="K1031" s="12" t="s">
        <v>43194</v>
      </c>
      <c r="L1031" s="12" t="s">
        <v>38169</v>
      </c>
      <c r="M1031" s="12"/>
      <c r="N1031" s="12"/>
      <c r="O1031" s="12"/>
      <c r="P1031" s="12"/>
      <c r="Q1031" s="12"/>
      <c r="R1031" s="12"/>
      <c r="S1031" s="12"/>
      <c r="T1031" s="12"/>
      <c r="U1031" s="12"/>
      <c r="V1031" s="12"/>
      <c r="W1031" s="12"/>
      <c r="X1031" s="12"/>
      <c r="Y1031" s="12"/>
      <c r="Z1031" s="12"/>
      <c r="AA1031" s="12"/>
      <c r="AB1031" s="12"/>
      <c r="AC1031" s="12"/>
      <c r="AD1031" s="12"/>
      <c r="AE1031" s="12"/>
      <c r="AF1031" s="12"/>
      <c r="AG1031" s="12"/>
      <c r="AH1031" s="12"/>
      <c r="AI1031" s="12"/>
      <c r="AJ1031" s="12"/>
      <c r="AK1031" s="12"/>
      <c r="AL1031" s="12"/>
      <c r="AM1031" s="12"/>
      <c r="AN1031" s="12"/>
      <c r="AO1031" s="12"/>
      <c r="AP1031" s="12"/>
      <c r="AQ1031" s="12"/>
      <c r="AR1031" s="12"/>
      <c r="AS1031" s="12"/>
      <c r="AT1031" s="12"/>
      <c r="AU1031" s="12"/>
      <c r="AV1031" s="12"/>
      <c r="AW1031" s="12"/>
      <c r="AX1031" s="12"/>
      <c r="AY1031" s="12"/>
      <c r="AZ1031" s="12"/>
      <c r="BA1031" s="12"/>
      <c r="BB1031" s="12"/>
      <c r="BC1031" s="12"/>
      <c r="BD1031" s="12"/>
      <c r="BE1031" s="12"/>
      <c r="BF1031" s="12"/>
      <c r="BG1031" s="12"/>
      <c r="BH1031" s="12"/>
      <c r="BI1031" s="12"/>
      <c r="BJ1031" s="12"/>
      <c r="BK1031" s="12"/>
      <c r="BL1031" s="12"/>
      <c r="BM1031" s="12"/>
      <c r="BN1031" s="12"/>
      <c r="BO1031" s="12"/>
      <c r="BP1031" s="12"/>
      <c r="BQ1031" s="12"/>
      <c r="BR1031" s="12"/>
      <c r="BS1031" s="12"/>
      <c r="BT1031" s="12"/>
    </row>
    <row r="1032" spans="1:72">
      <c r="A1032" s="2" t="s">
        <v>20190</v>
      </c>
      <c r="B1032" s="5" t="s">
        <v>20194</v>
      </c>
      <c r="C1032" s="3" t="s">
        <v>138</v>
      </c>
      <c r="D1032" s="4" t="s">
        <v>138</v>
      </c>
      <c r="E1032" s="15" t="s">
        <v>1223</v>
      </c>
      <c r="F1032" s="15" t="s">
        <v>200</v>
      </c>
      <c r="G1032" s="15" t="s">
        <v>162</v>
      </c>
      <c r="H1032" s="7">
        <v>6</v>
      </c>
      <c r="I1032" s="6" t="s">
        <v>20203</v>
      </c>
      <c r="J1032" s="6" t="s">
        <v>16877</v>
      </c>
      <c r="K1032" s="6" t="s">
        <v>43195</v>
      </c>
      <c r="L1032" s="6" t="s">
        <v>43196</v>
      </c>
      <c r="M1032" s="6" t="s">
        <v>40213</v>
      </c>
      <c r="N1032" s="6" t="s">
        <v>40049</v>
      </c>
      <c r="O1032" s="6" t="s">
        <v>38706</v>
      </c>
      <c r="P1032" s="6"/>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c r="AY1032" s="6"/>
      <c r="AZ1032" s="6"/>
      <c r="BA1032" s="6"/>
      <c r="BB1032" s="6"/>
      <c r="BC1032" s="6"/>
      <c r="BD1032" s="6"/>
      <c r="BE1032" s="6"/>
      <c r="BF1032" s="6"/>
      <c r="BG1032" s="6"/>
      <c r="BH1032" s="6"/>
      <c r="BI1032" s="6"/>
      <c r="BJ1032" s="6"/>
      <c r="BK1032" s="6"/>
      <c r="BL1032" s="6"/>
      <c r="BM1032" s="6"/>
      <c r="BN1032" s="6"/>
      <c r="BO1032" s="6"/>
      <c r="BP1032" s="6"/>
      <c r="BQ1032" s="6"/>
      <c r="BR1032" s="6"/>
      <c r="BS1032" s="6"/>
      <c r="BT1032" s="6"/>
    </row>
    <row r="1033" spans="1:72">
      <c r="A1033" s="8" t="s">
        <v>20206</v>
      </c>
      <c r="B1033" s="11" t="s">
        <v>20209</v>
      </c>
      <c r="C1033" s="9" t="s">
        <v>138</v>
      </c>
      <c r="D1033" s="10" t="s">
        <v>138</v>
      </c>
      <c r="E1033" s="28" t="s">
        <v>668</v>
      </c>
      <c r="F1033" s="28" t="s">
        <v>200</v>
      </c>
      <c r="G1033" s="28" t="s">
        <v>162</v>
      </c>
      <c r="H1033" s="13">
        <v>9</v>
      </c>
      <c r="I1033" s="12" t="s">
        <v>20215</v>
      </c>
      <c r="J1033" s="12" t="s">
        <v>43197</v>
      </c>
      <c r="K1033" s="12" t="s">
        <v>37936</v>
      </c>
      <c r="L1033" s="12" t="s">
        <v>40203</v>
      </c>
      <c r="M1033" s="12" t="s">
        <v>37781</v>
      </c>
      <c r="N1033" s="12" t="s">
        <v>38981</v>
      </c>
      <c r="O1033" s="12" t="s">
        <v>43198</v>
      </c>
      <c r="P1033" s="12" t="s">
        <v>43199</v>
      </c>
      <c r="Q1033" s="12" t="s">
        <v>37976</v>
      </c>
      <c r="R1033" s="12" t="s">
        <v>43200</v>
      </c>
      <c r="S1033" s="12"/>
      <c r="T1033" s="12"/>
      <c r="U1033" s="12"/>
      <c r="V1033" s="12"/>
      <c r="W1033" s="12"/>
      <c r="X1033" s="12"/>
      <c r="Y1033" s="12"/>
      <c r="Z1033" s="12"/>
      <c r="AA1033" s="12"/>
      <c r="AB1033" s="12"/>
      <c r="AC1033" s="12"/>
      <c r="AD1033" s="12"/>
      <c r="AE1033" s="12"/>
      <c r="AF1033" s="12"/>
      <c r="AG1033" s="12"/>
      <c r="AH1033" s="12"/>
      <c r="AI1033" s="12"/>
      <c r="AJ1033" s="12"/>
      <c r="AK1033" s="12"/>
      <c r="AL1033" s="12"/>
      <c r="AM1033" s="12"/>
      <c r="AN1033" s="12"/>
      <c r="AO1033" s="12"/>
      <c r="AP1033" s="12"/>
      <c r="AQ1033" s="12"/>
      <c r="AR1033" s="12"/>
      <c r="AS1033" s="12"/>
      <c r="AT1033" s="12"/>
      <c r="AU1033" s="12"/>
      <c r="AV1033" s="12"/>
      <c r="AW1033" s="12"/>
      <c r="AX1033" s="12"/>
      <c r="AY1033" s="12"/>
      <c r="AZ1033" s="12"/>
      <c r="BA1033" s="12"/>
      <c r="BB1033" s="12"/>
      <c r="BC1033" s="12"/>
      <c r="BD1033" s="12"/>
      <c r="BE1033" s="12"/>
      <c r="BF1033" s="12"/>
      <c r="BG1033" s="12"/>
      <c r="BH1033" s="12"/>
      <c r="BI1033" s="12"/>
      <c r="BJ1033" s="12"/>
      <c r="BK1033" s="12"/>
      <c r="BL1033" s="12"/>
      <c r="BM1033" s="12"/>
      <c r="BN1033" s="12"/>
      <c r="BO1033" s="12"/>
      <c r="BP1033" s="12"/>
      <c r="BQ1033" s="12"/>
      <c r="BR1033" s="12"/>
      <c r="BS1033" s="12"/>
      <c r="BT1033" s="12"/>
    </row>
    <row r="1034" spans="1:72">
      <c r="A1034" s="2" t="s">
        <v>20218</v>
      </c>
      <c r="B1034" s="5" t="s">
        <v>20221</v>
      </c>
      <c r="C1034" s="3" t="s">
        <v>138</v>
      </c>
      <c r="D1034" s="4" t="s">
        <v>138</v>
      </c>
      <c r="E1034" s="15" t="s">
        <v>1198</v>
      </c>
      <c r="F1034" s="15" t="s">
        <v>138</v>
      </c>
      <c r="G1034" s="15" t="s">
        <v>1200</v>
      </c>
      <c r="H1034" s="7">
        <v>9</v>
      </c>
      <c r="I1034" s="6" t="s">
        <v>20232</v>
      </c>
      <c r="J1034" s="6" t="s">
        <v>39194</v>
      </c>
      <c r="K1034" s="6" t="s">
        <v>43201</v>
      </c>
      <c r="L1034" s="6" t="s">
        <v>38246</v>
      </c>
      <c r="M1034" s="6" t="s">
        <v>43202</v>
      </c>
      <c r="N1034" s="6" t="s">
        <v>38203</v>
      </c>
      <c r="O1034" s="6" t="s">
        <v>39459</v>
      </c>
      <c r="P1034" s="6" t="s">
        <v>43203</v>
      </c>
      <c r="Q1034" s="6" t="s">
        <v>43204</v>
      </c>
      <c r="R1034" s="6" t="s">
        <v>38065</v>
      </c>
      <c r="S1034" s="6"/>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c r="AY1034" s="6"/>
      <c r="AZ1034" s="6"/>
      <c r="BA1034" s="6"/>
      <c r="BB1034" s="6"/>
      <c r="BC1034" s="6"/>
      <c r="BD1034" s="6"/>
      <c r="BE1034" s="6"/>
      <c r="BF1034" s="6"/>
      <c r="BG1034" s="6"/>
      <c r="BH1034" s="6"/>
      <c r="BI1034" s="6"/>
      <c r="BJ1034" s="6"/>
      <c r="BK1034" s="6"/>
      <c r="BL1034" s="6"/>
      <c r="BM1034" s="6"/>
      <c r="BN1034" s="6"/>
      <c r="BO1034" s="6"/>
      <c r="BP1034" s="6"/>
      <c r="BQ1034" s="6"/>
      <c r="BR1034" s="6"/>
      <c r="BS1034" s="6"/>
      <c r="BT1034" s="6"/>
    </row>
    <row r="1035" spans="1:72">
      <c r="A1035" s="8" t="s">
        <v>20235</v>
      </c>
      <c r="B1035" s="11" t="s">
        <v>20240</v>
      </c>
      <c r="C1035" s="9" t="s">
        <v>138</v>
      </c>
      <c r="D1035" s="10" t="s">
        <v>138</v>
      </c>
      <c r="E1035" s="28" t="s">
        <v>426</v>
      </c>
      <c r="F1035" s="28" t="s">
        <v>426</v>
      </c>
      <c r="G1035" s="28" t="s">
        <v>162</v>
      </c>
      <c r="H1035" s="13">
        <v>4</v>
      </c>
      <c r="I1035" s="12" t="s">
        <v>20247</v>
      </c>
      <c r="J1035" s="12" t="s">
        <v>25482</v>
      </c>
      <c r="K1035" s="12" t="s">
        <v>42505</v>
      </c>
      <c r="L1035" s="12" t="s">
        <v>43205</v>
      </c>
      <c r="M1035" s="12" t="s">
        <v>38582</v>
      </c>
      <c r="N1035" s="12"/>
      <c r="O1035" s="12"/>
      <c r="P1035" s="12"/>
      <c r="Q1035" s="12"/>
      <c r="R1035" s="12"/>
      <c r="S1035" s="12"/>
      <c r="T1035" s="12"/>
      <c r="U1035" s="12"/>
      <c r="V1035" s="12"/>
      <c r="W1035" s="12"/>
      <c r="X1035" s="12"/>
      <c r="Y1035" s="12"/>
      <c r="Z1035" s="12"/>
      <c r="AA1035" s="12"/>
      <c r="AB1035" s="12"/>
      <c r="AC1035" s="12"/>
      <c r="AD1035" s="12"/>
      <c r="AE1035" s="12"/>
      <c r="AF1035" s="12"/>
      <c r="AG1035" s="12"/>
      <c r="AH1035" s="12"/>
      <c r="AI1035" s="12"/>
      <c r="AJ1035" s="12"/>
      <c r="AK1035" s="12"/>
      <c r="AL1035" s="12"/>
      <c r="AM1035" s="12"/>
      <c r="AN1035" s="12"/>
      <c r="AO1035" s="12"/>
      <c r="AP1035" s="12"/>
      <c r="AQ1035" s="12"/>
      <c r="AR1035" s="12"/>
      <c r="AS1035" s="12"/>
      <c r="AT1035" s="12"/>
      <c r="AU1035" s="12"/>
      <c r="AV1035" s="12"/>
      <c r="AW1035" s="12"/>
      <c r="AX1035" s="12"/>
      <c r="AY1035" s="12"/>
      <c r="AZ1035" s="12"/>
      <c r="BA1035" s="12"/>
      <c r="BB1035" s="12"/>
      <c r="BC1035" s="12"/>
      <c r="BD1035" s="12"/>
      <c r="BE1035" s="12"/>
      <c r="BF1035" s="12"/>
      <c r="BG1035" s="12"/>
      <c r="BH1035" s="12"/>
      <c r="BI1035" s="12"/>
      <c r="BJ1035" s="12"/>
      <c r="BK1035" s="12"/>
      <c r="BL1035" s="12"/>
      <c r="BM1035" s="12"/>
      <c r="BN1035" s="12"/>
      <c r="BO1035" s="12"/>
      <c r="BP1035" s="12"/>
      <c r="BQ1035" s="12"/>
      <c r="BR1035" s="12"/>
      <c r="BS1035" s="12"/>
      <c r="BT1035" s="12"/>
    </row>
    <row r="1036" spans="1:72">
      <c r="A1036" s="2" t="s">
        <v>20251</v>
      </c>
      <c r="B1036" s="5" t="s">
        <v>20258</v>
      </c>
      <c r="C1036" s="3" t="s">
        <v>138</v>
      </c>
      <c r="D1036" s="4" t="s">
        <v>20252</v>
      </c>
      <c r="E1036" s="15" t="s">
        <v>1516</v>
      </c>
      <c r="F1036" s="15" t="s">
        <v>284</v>
      </c>
      <c r="G1036" s="15" t="s">
        <v>162</v>
      </c>
      <c r="H1036" s="7">
        <v>9</v>
      </c>
      <c r="I1036" s="6" t="s">
        <v>20267</v>
      </c>
      <c r="J1036" s="6" t="s">
        <v>43206</v>
      </c>
      <c r="K1036" s="6" t="s">
        <v>38234</v>
      </c>
      <c r="L1036" s="6" t="s">
        <v>40388</v>
      </c>
      <c r="M1036" s="6" t="s">
        <v>43207</v>
      </c>
      <c r="N1036" s="6" t="s">
        <v>43208</v>
      </c>
      <c r="O1036" s="6" t="s">
        <v>38083</v>
      </c>
      <c r="P1036" s="6" t="s">
        <v>38371</v>
      </c>
      <c r="Q1036" s="6" t="s">
        <v>43209</v>
      </c>
      <c r="R1036" s="6" t="s">
        <v>43210</v>
      </c>
      <c r="S1036" s="6"/>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c r="AQ1036" s="6"/>
      <c r="AR1036" s="6"/>
      <c r="AS1036" s="6"/>
      <c r="AT1036" s="6"/>
      <c r="AU1036" s="6"/>
      <c r="AV1036" s="6"/>
      <c r="AW1036" s="6"/>
      <c r="AX1036" s="6"/>
      <c r="AY1036" s="6"/>
      <c r="AZ1036" s="6"/>
      <c r="BA1036" s="6"/>
      <c r="BB1036" s="6"/>
      <c r="BC1036" s="6"/>
      <c r="BD1036" s="6"/>
      <c r="BE1036" s="6"/>
      <c r="BF1036" s="6"/>
      <c r="BG1036" s="6"/>
      <c r="BH1036" s="6"/>
      <c r="BI1036" s="6"/>
      <c r="BJ1036" s="6"/>
      <c r="BK1036" s="6"/>
      <c r="BL1036" s="6"/>
      <c r="BM1036" s="6"/>
      <c r="BN1036" s="6"/>
      <c r="BO1036" s="6"/>
      <c r="BP1036" s="6"/>
      <c r="BQ1036" s="6"/>
      <c r="BR1036" s="6"/>
      <c r="BS1036" s="6"/>
      <c r="BT1036" s="6"/>
    </row>
    <row r="1037" spans="1:72">
      <c r="A1037" s="8" t="s">
        <v>20270</v>
      </c>
      <c r="B1037" s="11" t="s">
        <v>20274</v>
      </c>
      <c r="C1037" s="9" t="s">
        <v>138</v>
      </c>
      <c r="D1037" s="10" t="s">
        <v>138</v>
      </c>
      <c r="E1037" s="28" t="s">
        <v>19655</v>
      </c>
      <c r="F1037" s="28" t="s">
        <v>1389</v>
      </c>
      <c r="G1037" s="28" t="s">
        <v>162</v>
      </c>
      <c r="H1037" s="13">
        <v>17</v>
      </c>
      <c r="I1037" s="12" t="s">
        <v>20284</v>
      </c>
      <c r="J1037" s="12" t="s">
        <v>43211</v>
      </c>
      <c r="K1037" s="12" t="s">
        <v>43212</v>
      </c>
      <c r="L1037" s="12" t="s">
        <v>43213</v>
      </c>
      <c r="M1037" s="12" t="s">
        <v>43214</v>
      </c>
      <c r="N1037" s="12" t="s">
        <v>39354</v>
      </c>
      <c r="O1037" s="12" t="s">
        <v>42917</v>
      </c>
      <c r="P1037" s="12" t="s">
        <v>43215</v>
      </c>
      <c r="Q1037" s="12" t="s">
        <v>43216</v>
      </c>
      <c r="R1037" s="12" t="s">
        <v>43217</v>
      </c>
      <c r="S1037" s="12" t="s">
        <v>43218</v>
      </c>
      <c r="T1037" s="12" t="s">
        <v>43219</v>
      </c>
      <c r="U1037" s="12" t="s">
        <v>43220</v>
      </c>
      <c r="V1037" s="12" t="s">
        <v>43221</v>
      </c>
      <c r="W1037" s="12" t="s">
        <v>37781</v>
      </c>
      <c r="X1037" s="12" t="s">
        <v>43222</v>
      </c>
      <c r="Y1037" s="12" t="s">
        <v>43223</v>
      </c>
      <c r="Z1037" s="12" t="s">
        <v>43051</v>
      </c>
      <c r="AA1037" s="12"/>
      <c r="AB1037" s="12"/>
      <c r="AC1037" s="12"/>
      <c r="AD1037" s="12"/>
      <c r="AE1037" s="12"/>
      <c r="AF1037" s="12"/>
      <c r="AG1037" s="12"/>
      <c r="AH1037" s="12"/>
      <c r="AI1037" s="12"/>
      <c r="AJ1037" s="12"/>
      <c r="AK1037" s="12"/>
      <c r="AL1037" s="12"/>
      <c r="AM1037" s="12"/>
      <c r="AN1037" s="12"/>
      <c r="AO1037" s="12"/>
      <c r="AP1037" s="12"/>
      <c r="AQ1037" s="12"/>
      <c r="AR1037" s="12"/>
      <c r="AS1037" s="12"/>
      <c r="AT1037" s="12"/>
      <c r="AU1037" s="12"/>
      <c r="AV1037" s="12"/>
      <c r="AW1037" s="12"/>
      <c r="AX1037" s="12"/>
      <c r="AY1037" s="12"/>
      <c r="AZ1037" s="12"/>
      <c r="BA1037" s="12"/>
      <c r="BB1037" s="12"/>
      <c r="BC1037" s="12"/>
      <c r="BD1037" s="12"/>
      <c r="BE1037" s="12"/>
      <c r="BF1037" s="12"/>
      <c r="BG1037" s="12"/>
      <c r="BH1037" s="12"/>
      <c r="BI1037" s="12"/>
      <c r="BJ1037" s="12"/>
      <c r="BK1037" s="12"/>
      <c r="BL1037" s="12"/>
      <c r="BM1037" s="12"/>
      <c r="BN1037" s="12"/>
      <c r="BO1037" s="12"/>
      <c r="BP1037" s="12"/>
      <c r="BQ1037" s="12"/>
      <c r="BR1037" s="12"/>
      <c r="BS1037" s="12"/>
      <c r="BT1037" s="12"/>
    </row>
    <row r="1038" spans="1:72">
      <c r="A1038" s="2" t="s">
        <v>20289</v>
      </c>
      <c r="B1038" s="5" t="s">
        <v>20295</v>
      </c>
      <c r="C1038" s="3" t="s">
        <v>138</v>
      </c>
      <c r="D1038" s="4" t="s">
        <v>20290</v>
      </c>
      <c r="E1038" s="15" t="s">
        <v>2931</v>
      </c>
      <c r="F1038" s="15" t="s">
        <v>200</v>
      </c>
      <c r="G1038" s="15" t="s">
        <v>162</v>
      </c>
      <c r="H1038" s="7">
        <v>9</v>
      </c>
      <c r="I1038" s="6" t="s">
        <v>20304</v>
      </c>
      <c r="J1038" s="6" t="s">
        <v>39029</v>
      </c>
      <c r="K1038" s="6" t="s">
        <v>37801</v>
      </c>
      <c r="L1038" s="6" t="s">
        <v>38511</v>
      </c>
      <c r="M1038" s="6" t="s">
        <v>38124</v>
      </c>
      <c r="N1038" s="6" t="s">
        <v>43224</v>
      </c>
      <c r="O1038" s="6" t="s">
        <v>43225</v>
      </c>
      <c r="P1038" s="6" t="s">
        <v>43226</v>
      </c>
      <c r="Q1038" s="6" t="s">
        <v>43227</v>
      </c>
      <c r="R1038" s="6" t="s">
        <v>43228</v>
      </c>
      <c r="S1038" s="6"/>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6"/>
      <c r="AY1038" s="6"/>
      <c r="AZ1038" s="6"/>
      <c r="BA1038" s="6"/>
      <c r="BB1038" s="6"/>
      <c r="BC1038" s="6"/>
      <c r="BD1038" s="6"/>
      <c r="BE1038" s="6"/>
      <c r="BF1038" s="6"/>
      <c r="BG1038" s="6"/>
      <c r="BH1038" s="6"/>
      <c r="BI1038" s="6"/>
      <c r="BJ1038" s="6"/>
      <c r="BK1038" s="6"/>
      <c r="BL1038" s="6"/>
      <c r="BM1038" s="6"/>
      <c r="BN1038" s="6"/>
      <c r="BO1038" s="6"/>
      <c r="BP1038" s="6"/>
      <c r="BQ1038" s="6"/>
      <c r="BR1038" s="6"/>
      <c r="BS1038" s="6"/>
      <c r="BT1038" s="6"/>
    </row>
    <row r="1039" spans="1:72">
      <c r="A1039" s="8" t="s">
        <v>20307</v>
      </c>
      <c r="B1039" s="11" t="s">
        <v>20311</v>
      </c>
      <c r="C1039" s="9" t="s">
        <v>138</v>
      </c>
      <c r="D1039" s="10" t="s">
        <v>138</v>
      </c>
      <c r="E1039" s="28" t="s">
        <v>1223</v>
      </c>
      <c r="F1039" s="28" t="s">
        <v>200</v>
      </c>
      <c r="G1039" s="28" t="s">
        <v>162</v>
      </c>
      <c r="H1039" s="13">
        <v>1</v>
      </c>
      <c r="I1039" s="12" t="s">
        <v>20322</v>
      </c>
      <c r="J1039" s="12" t="s">
        <v>20322</v>
      </c>
      <c r="K1039" s="12"/>
      <c r="L1039" s="12"/>
      <c r="M1039" s="12"/>
      <c r="N1039" s="12"/>
      <c r="O1039" s="12"/>
      <c r="P1039" s="12"/>
      <c r="Q1039" s="12"/>
      <c r="R1039" s="12"/>
      <c r="S1039" s="12"/>
      <c r="T1039" s="12"/>
      <c r="U1039" s="12"/>
      <c r="V1039" s="12"/>
      <c r="W1039" s="12"/>
      <c r="X1039" s="12"/>
      <c r="Y1039" s="12"/>
      <c r="Z1039" s="12"/>
      <c r="AA1039" s="12"/>
      <c r="AB1039" s="12"/>
      <c r="AC1039" s="12"/>
      <c r="AD1039" s="12"/>
      <c r="AE1039" s="12"/>
      <c r="AF1039" s="12"/>
      <c r="AG1039" s="12"/>
      <c r="AH1039" s="12"/>
      <c r="AI1039" s="12"/>
      <c r="AJ1039" s="12"/>
      <c r="AK1039" s="12"/>
      <c r="AL1039" s="12"/>
      <c r="AM1039" s="12"/>
      <c r="AN1039" s="12"/>
      <c r="AO1039" s="12"/>
      <c r="AP1039" s="12"/>
      <c r="AQ1039" s="12"/>
      <c r="AR1039" s="12"/>
      <c r="AS1039" s="12"/>
      <c r="AT1039" s="12"/>
      <c r="AU1039" s="12"/>
      <c r="AV1039" s="12"/>
      <c r="AW1039" s="12"/>
      <c r="AX1039" s="12"/>
      <c r="AY1039" s="12"/>
      <c r="AZ1039" s="12"/>
      <c r="BA1039" s="12"/>
      <c r="BB1039" s="12"/>
      <c r="BC1039" s="12"/>
      <c r="BD1039" s="12"/>
      <c r="BE1039" s="12"/>
      <c r="BF1039" s="12"/>
      <c r="BG1039" s="12"/>
      <c r="BH1039" s="12"/>
      <c r="BI1039" s="12"/>
      <c r="BJ1039" s="12"/>
      <c r="BK1039" s="12"/>
      <c r="BL1039" s="12"/>
      <c r="BM1039" s="12"/>
      <c r="BN1039" s="12"/>
      <c r="BO1039" s="12"/>
      <c r="BP1039" s="12"/>
      <c r="BQ1039" s="12"/>
      <c r="BR1039" s="12"/>
      <c r="BS1039" s="12"/>
      <c r="BT1039" s="12"/>
    </row>
    <row r="1040" spans="1:72">
      <c r="A1040" s="2" t="s">
        <v>20329</v>
      </c>
      <c r="B1040" s="5" t="s">
        <v>20335</v>
      </c>
      <c r="C1040" s="3" t="s">
        <v>20330</v>
      </c>
      <c r="D1040" s="4" t="s">
        <v>138</v>
      </c>
      <c r="E1040" s="15" t="s">
        <v>20343</v>
      </c>
      <c r="F1040" s="15" t="s">
        <v>3883</v>
      </c>
      <c r="G1040" s="15" t="s">
        <v>162</v>
      </c>
      <c r="H1040" s="7">
        <v>20</v>
      </c>
      <c r="I1040" s="6" t="s">
        <v>20347</v>
      </c>
      <c r="J1040" s="6" t="s">
        <v>40700</v>
      </c>
      <c r="K1040" s="6" t="s">
        <v>43229</v>
      </c>
      <c r="L1040" s="6" t="s">
        <v>38835</v>
      </c>
      <c r="M1040" s="6" t="s">
        <v>40792</v>
      </c>
      <c r="N1040" s="6" t="s">
        <v>38571</v>
      </c>
      <c r="O1040" s="6" t="s">
        <v>37819</v>
      </c>
      <c r="P1040" s="6" t="s">
        <v>39076</v>
      </c>
      <c r="Q1040" s="6" t="s">
        <v>43230</v>
      </c>
      <c r="R1040" s="6" t="s">
        <v>43231</v>
      </c>
      <c r="S1040" s="6" t="s">
        <v>40705</v>
      </c>
      <c r="T1040" s="6" t="s">
        <v>43232</v>
      </c>
      <c r="U1040" s="6" t="s">
        <v>43233</v>
      </c>
      <c r="V1040" s="6" t="s">
        <v>43234</v>
      </c>
      <c r="W1040" s="6" t="s">
        <v>43235</v>
      </c>
      <c r="X1040" s="6" t="s">
        <v>43236</v>
      </c>
      <c r="Y1040" s="6" t="s">
        <v>43237</v>
      </c>
      <c r="Z1040" s="6" t="s">
        <v>39106</v>
      </c>
      <c r="AA1040" s="6" t="s">
        <v>43238</v>
      </c>
      <c r="AB1040" s="6" t="s">
        <v>43239</v>
      </c>
      <c r="AC1040" s="6" t="s">
        <v>38370</v>
      </c>
      <c r="AD1040" s="6"/>
      <c r="AE1040" s="6"/>
      <c r="AF1040" s="6"/>
      <c r="AG1040" s="6"/>
      <c r="AH1040" s="6"/>
      <c r="AI1040" s="6"/>
      <c r="AJ1040" s="6"/>
      <c r="AK1040" s="6"/>
      <c r="AL1040" s="6"/>
      <c r="AM1040" s="6"/>
      <c r="AN1040" s="6"/>
      <c r="AO1040" s="6"/>
      <c r="AP1040" s="6"/>
      <c r="AQ1040" s="6"/>
      <c r="AR1040" s="6"/>
      <c r="AS1040" s="6"/>
      <c r="AT1040" s="6"/>
      <c r="AU1040" s="6"/>
      <c r="AV1040" s="6"/>
      <c r="AW1040" s="6"/>
      <c r="AX1040" s="6"/>
      <c r="AY1040" s="6"/>
      <c r="AZ1040" s="6"/>
      <c r="BA1040" s="6"/>
      <c r="BB1040" s="6"/>
      <c r="BC1040" s="6"/>
      <c r="BD1040" s="6"/>
      <c r="BE1040" s="6"/>
      <c r="BF1040" s="6"/>
      <c r="BG1040" s="6"/>
      <c r="BH1040" s="6"/>
      <c r="BI1040" s="6"/>
      <c r="BJ1040" s="6"/>
      <c r="BK1040" s="6"/>
      <c r="BL1040" s="6"/>
      <c r="BM1040" s="6"/>
      <c r="BN1040" s="6"/>
      <c r="BO1040" s="6"/>
      <c r="BP1040" s="6"/>
      <c r="BQ1040" s="6"/>
      <c r="BR1040" s="6"/>
      <c r="BS1040" s="6"/>
      <c r="BT1040" s="6"/>
    </row>
    <row r="1041" spans="1:72">
      <c r="A1041" s="8" t="s">
        <v>20351</v>
      </c>
      <c r="B1041" s="11" t="s">
        <v>20355</v>
      </c>
      <c r="C1041" s="9" t="s">
        <v>138</v>
      </c>
      <c r="D1041" s="10" t="s">
        <v>20352</v>
      </c>
      <c r="E1041" s="28" t="s">
        <v>20362</v>
      </c>
      <c r="F1041" s="28" t="s">
        <v>138</v>
      </c>
      <c r="G1041" s="28" t="s">
        <v>3693</v>
      </c>
      <c r="H1041" s="13">
        <v>7</v>
      </c>
      <c r="I1041" s="12" t="s">
        <v>20365</v>
      </c>
      <c r="J1041" s="12" t="s">
        <v>20360</v>
      </c>
      <c r="K1041" s="12" t="s">
        <v>40721</v>
      </c>
      <c r="L1041" s="12" t="s">
        <v>43240</v>
      </c>
      <c r="M1041" s="12" t="s">
        <v>37770</v>
      </c>
      <c r="N1041" s="12" t="s">
        <v>43241</v>
      </c>
      <c r="O1041" s="12" t="s">
        <v>41060</v>
      </c>
      <c r="P1041" s="12" t="s">
        <v>43242</v>
      </c>
      <c r="Q1041" s="12"/>
      <c r="R1041" s="12"/>
      <c r="S1041" s="12"/>
      <c r="T1041" s="12"/>
      <c r="U1041" s="12"/>
      <c r="V1041" s="12"/>
      <c r="W1041" s="12"/>
      <c r="X1041" s="12"/>
      <c r="Y1041" s="12"/>
      <c r="Z1041" s="12"/>
      <c r="AA1041" s="12"/>
      <c r="AB1041" s="12"/>
      <c r="AC1041" s="12"/>
      <c r="AD1041" s="12"/>
      <c r="AE1041" s="12"/>
      <c r="AF1041" s="12"/>
      <c r="AG1041" s="12"/>
      <c r="AH1041" s="12"/>
      <c r="AI1041" s="12"/>
      <c r="AJ1041" s="12"/>
      <c r="AK1041" s="12"/>
      <c r="AL1041" s="12"/>
      <c r="AM1041" s="12"/>
      <c r="AN1041" s="12"/>
      <c r="AO1041" s="12"/>
      <c r="AP1041" s="12"/>
      <c r="AQ1041" s="12"/>
      <c r="AR1041" s="12"/>
      <c r="AS1041" s="12"/>
      <c r="AT1041" s="12"/>
      <c r="AU1041" s="12"/>
      <c r="AV1041" s="12"/>
      <c r="AW1041" s="12"/>
      <c r="AX1041" s="12"/>
      <c r="AY1041" s="12"/>
      <c r="AZ1041" s="12"/>
      <c r="BA1041" s="12"/>
      <c r="BB1041" s="12"/>
      <c r="BC1041" s="12"/>
      <c r="BD1041" s="12"/>
      <c r="BE1041" s="12"/>
      <c r="BF1041" s="12"/>
      <c r="BG1041" s="12"/>
      <c r="BH1041" s="12"/>
      <c r="BI1041" s="12"/>
      <c r="BJ1041" s="12"/>
      <c r="BK1041" s="12"/>
      <c r="BL1041" s="12"/>
      <c r="BM1041" s="12"/>
      <c r="BN1041" s="12"/>
      <c r="BO1041" s="12"/>
      <c r="BP1041" s="12"/>
      <c r="BQ1041" s="12"/>
      <c r="BR1041" s="12"/>
      <c r="BS1041" s="12"/>
      <c r="BT1041" s="12"/>
    </row>
    <row r="1042" spans="1:72">
      <c r="A1042" s="2" t="s">
        <v>20368</v>
      </c>
      <c r="B1042" s="5" t="s">
        <v>20372</v>
      </c>
      <c r="C1042" s="3" t="s">
        <v>138</v>
      </c>
      <c r="D1042" s="4" t="s">
        <v>20369</v>
      </c>
      <c r="E1042" s="15" t="s">
        <v>6404</v>
      </c>
      <c r="F1042" s="15" t="s">
        <v>200</v>
      </c>
      <c r="G1042" s="15" t="s">
        <v>162</v>
      </c>
      <c r="H1042" s="7">
        <v>1</v>
      </c>
      <c r="I1042" s="6" t="s">
        <v>20381</v>
      </c>
      <c r="J1042" s="6" t="s">
        <v>20381</v>
      </c>
      <c r="K1042" s="6"/>
      <c r="L1042" s="6"/>
      <c r="M1042" s="6"/>
      <c r="N1042" s="6"/>
      <c r="O1042" s="6"/>
      <c r="P1042" s="6"/>
      <c r="Q1042" s="6"/>
      <c r="R1042" s="6"/>
      <c r="S1042" s="6"/>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6"/>
      <c r="AY1042" s="6"/>
      <c r="AZ1042" s="6"/>
      <c r="BA1042" s="6"/>
      <c r="BB1042" s="6"/>
      <c r="BC1042" s="6"/>
      <c r="BD1042" s="6"/>
      <c r="BE1042" s="6"/>
      <c r="BF1042" s="6"/>
      <c r="BG1042" s="6"/>
      <c r="BH1042" s="6"/>
      <c r="BI1042" s="6"/>
      <c r="BJ1042" s="6"/>
      <c r="BK1042" s="6"/>
      <c r="BL1042" s="6"/>
      <c r="BM1042" s="6"/>
      <c r="BN1042" s="6"/>
      <c r="BO1042" s="6"/>
      <c r="BP1042" s="6"/>
      <c r="BQ1042" s="6"/>
      <c r="BR1042" s="6"/>
      <c r="BS1042" s="6"/>
      <c r="BT1042" s="6"/>
    </row>
    <row r="1043" spans="1:72">
      <c r="A1043" s="8" t="s">
        <v>20384</v>
      </c>
      <c r="B1043" s="11" t="s">
        <v>20390</v>
      </c>
      <c r="C1043" s="9" t="s">
        <v>138</v>
      </c>
      <c r="D1043" s="10" t="s">
        <v>138</v>
      </c>
      <c r="E1043" s="28" t="s">
        <v>2694</v>
      </c>
      <c r="F1043" s="28" t="s">
        <v>138</v>
      </c>
      <c r="G1043" s="28" t="s">
        <v>1054</v>
      </c>
      <c r="H1043" s="13">
        <v>27</v>
      </c>
      <c r="I1043" s="12" t="s">
        <v>20401</v>
      </c>
      <c r="J1043" s="12" t="s">
        <v>43243</v>
      </c>
      <c r="K1043" s="12" t="s">
        <v>43244</v>
      </c>
      <c r="L1043" s="12" t="s">
        <v>43245</v>
      </c>
      <c r="M1043" s="12" t="s">
        <v>39091</v>
      </c>
      <c r="N1043" s="12" t="s">
        <v>39368</v>
      </c>
      <c r="O1043" s="12" t="s">
        <v>43246</v>
      </c>
      <c r="P1043" s="12" t="s">
        <v>39470</v>
      </c>
      <c r="Q1043" s="12" t="s">
        <v>39093</v>
      </c>
      <c r="R1043" s="12" t="s">
        <v>40086</v>
      </c>
      <c r="S1043" s="12" t="s">
        <v>40355</v>
      </c>
      <c r="T1043" s="12" t="s">
        <v>42495</v>
      </c>
      <c r="U1043" s="12" t="s">
        <v>43247</v>
      </c>
      <c r="V1043" s="12" t="s">
        <v>41197</v>
      </c>
      <c r="W1043" s="12" t="s">
        <v>43248</v>
      </c>
      <c r="X1043" s="12" t="s">
        <v>43249</v>
      </c>
      <c r="Y1043" s="12" t="s">
        <v>43250</v>
      </c>
      <c r="Z1043" s="12" t="s">
        <v>38514</v>
      </c>
      <c r="AA1043" s="12" t="s">
        <v>43251</v>
      </c>
      <c r="AB1043" s="12" t="s">
        <v>43252</v>
      </c>
      <c r="AC1043" s="12" t="s">
        <v>43253</v>
      </c>
      <c r="AD1043" s="12" t="s">
        <v>41145</v>
      </c>
      <c r="AE1043" s="12" t="s">
        <v>38200</v>
      </c>
      <c r="AF1043" s="12" t="s">
        <v>41610</v>
      </c>
      <c r="AG1043" s="12" t="s">
        <v>39111</v>
      </c>
      <c r="AH1043" s="12" t="s">
        <v>43254</v>
      </c>
      <c r="AI1043" s="12" t="s">
        <v>40825</v>
      </c>
      <c r="AJ1043" s="12" t="s">
        <v>41611</v>
      </c>
      <c r="AK1043" s="12"/>
      <c r="AL1043" s="12"/>
      <c r="AM1043" s="12"/>
      <c r="AN1043" s="12"/>
      <c r="AO1043" s="12"/>
      <c r="AP1043" s="12"/>
      <c r="AQ1043" s="12"/>
      <c r="AR1043" s="12"/>
      <c r="AS1043" s="12"/>
      <c r="AT1043" s="12"/>
      <c r="AU1043" s="12"/>
      <c r="AV1043" s="12"/>
      <c r="AW1043" s="12"/>
      <c r="AX1043" s="12"/>
      <c r="AY1043" s="12"/>
      <c r="AZ1043" s="12"/>
      <c r="BA1043" s="12"/>
      <c r="BB1043" s="12"/>
      <c r="BC1043" s="12"/>
      <c r="BD1043" s="12"/>
      <c r="BE1043" s="12"/>
      <c r="BF1043" s="12"/>
      <c r="BG1043" s="12"/>
      <c r="BH1043" s="12"/>
      <c r="BI1043" s="12"/>
      <c r="BJ1043" s="12"/>
      <c r="BK1043" s="12"/>
      <c r="BL1043" s="12"/>
      <c r="BM1043" s="12"/>
      <c r="BN1043" s="12"/>
      <c r="BO1043" s="12"/>
      <c r="BP1043" s="12"/>
      <c r="BQ1043" s="12"/>
      <c r="BR1043" s="12"/>
      <c r="BS1043" s="12"/>
      <c r="BT1043" s="12"/>
    </row>
    <row r="1044" spans="1:72">
      <c r="A1044" s="2" t="s">
        <v>20404</v>
      </c>
      <c r="B1044" s="5" t="s">
        <v>20410</v>
      </c>
      <c r="C1044" s="3" t="s">
        <v>138</v>
      </c>
      <c r="D1044" s="4" t="s">
        <v>138</v>
      </c>
      <c r="E1044" s="15" t="s">
        <v>20418</v>
      </c>
      <c r="F1044" s="15" t="s">
        <v>138</v>
      </c>
      <c r="G1044" s="15" t="s">
        <v>946</v>
      </c>
      <c r="H1044" s="7">
        <v>2</v>
      </c>
      <c r="I1044" s="6" t="s">
        <v>20422</v>
      </c>
      <c r="J1044" s="6" t="s">
        <v>41442</v>
      </c>
      <c r="K1044" s="6" t="s">
        <v>43255</v>
      </c>
      <c r="L1044" s="6"/>
      <c r="M1044" s="6"/>
      <c r="N1044" s="6"/>
      <c r="O1044" s="6"/>
      <c r="P1044" s="6"/>
      <c r="Q1044" s="6"/>
      <c r="R1044" s="6"/>
      <c r="S1044" s="6"/>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c r="AY1044" s="6"/>
      <c r="AZ1044" s="6"/>
      <c r="BA1044" s="6"/>
      <c r="BB1044" s="6"/>
      <c r="BC1044" s="6"/>
      <c r="BD1044" s="6"/>
      <c r="BE1044" s="6"/>
      <c r="BF1044" s="6"/>
      <c r="BG1044" s="6"/>
      <c r="BH1044" s="6"/>
      <c r="BI1044" s="6"/>
      <c r="BJ1044" s="6"/>
      <c r="BK1044" s="6"/>
      <c r="BL1044" s="6"/>
      <c r="BM1044" s="6"/>
      <c r="BN1044" s="6"/>
      <c r="BO1044" s="6"/>
      <c r="BP1044" s="6"/>
      <c r="BQ1044" s="6"/>
      <c r="BR1044" s="6"/>
      <c r="BS1044" s="6"/>
      <c r="BT1044" s="6"/>
    </row>
    <row r="1045" spans="1:72">
      <c r="A1045" s="8" t="s">
        <v>20429</v>
      </c>
      <c r="B1045" s="11" t="s">
        <v>20435</v>
      </c>
      <c r="C1045" s="9" t="s">
        <v>138</v>
      </c>
      <c r="D1045" s="10" t="s">
        <v>138</v>
      </c>
      <c r="E1045" s="28" t="s">
        <v>3907</v>
      </c>
      <c r="F1045" s="28" t="s">
        <v>2740</v>
      </c>
      <c r="G1045" s="28" t="s">
        <v>2742</v>
      </c>
      <c r="H1045" s="13">
        <v>16</v>
      </c>
      <c r="I1045" s="12" t="s">
        <v>20446</v>
      </c>
      <c r="J1045" s="12" t="s">
        <v>41879</v>
      </c>
      <c r="K1045" s="12" t="s">
        <v>42691</v>
      </c>
      <c r="L1045" s="12" t="s">
        <v>38931</v>
      </c>
      <c r="M1045" s="12" t="s">
        <v>43256</v>
      </c>
      <c r="N1045" s="12" t="s">
        <v>43257</v>
      </c>
      <c r="O1045" s="12" t="s">
        <v>43258</v>
      </c>
      <c r="P1045" s="12" t="s">
        <v>38829</v>
      </c>
      <c r="Q1045" s="12" t="s">
        <v>37998</v>
      </c>
      <c r="R1045" s="12" t="s">
        <v>43171</v>
      </c>
      <c r="S1045" s="12" t="s">
        <v>43259</v>
      </c>
      <c r="T1045" s="12" t="s">
        <v>43260</v>
      </c>
      <c r="U1045" s="12" t="s">
        <v>38133</v>
      </c>
      <c r="V1045" s="12" t="s">
        <v>40247</v>
      </c>
      <c r="W1045" s="12" t="s">
        <v>41004</v>
      </c>
      <c r="X1045" s="12" t="s">
        <v>38775</v>
      </c>
      <c r="Y1045" s="12" t="s">
        <v>43261</v>
      </c>
      <c r="Z1045" s="12"/>
      <c r="AA1045" s="12"/>
      <c r="AB1045" s="12"/>
      <c r="AC1045" s="12"/>
      <c r="AD1045" s="12"/>
      <c r="AE1045" s="12"/>
      <c r="AF1045" s="12"/>
      <c r="AG1045" s="12"/>
      <c r="AH1045" s="12"/>
      <c r="AI1045" s="12"/>
      <c r="AJ1045" s="12"/>
      <c r="AK1045" s="12"/>
      <c r="AL1045" s="12"/>
      <c r="AM1045" s="12"/>
      <c r="AN1045" s="12"/>
      <c r="AO1045" s="12"/>
      <c r="AP1045" s="12"/>
      <c r="AQ1045" s="12"/>
      <c r="AR1045" s="12"/>
      <c r="AS1045" s="12"/>
      <c r="AT1045" s="12"/>
      <c r="AU1045" s="12"/>
      <c r="AV1045" s="12"/>
      <c r="AW1045" s="12"/>
      <c r="AX1045" s="12"/>
      <c r="AY1045" s="12"/>
      <c r="AZ1045" s="12"/>
      <c r="BA1045" s="12"/>
      <c r="BB1045" s="12"/>
      <c r="BC1045" s="12"/>
      <c r="BD1045" s="12"/>
      <c r="BE1045" s="12"/>
      <c r="BF1045" s="12"/>
      <c r="BG1045" s="12"/>
      <c r="BH1045" s="12"/>
      <c r="BI1045" s="12"/>
      <c r="BJ1045" s="12"/>
      <c r="BK1045" s="12"/>
      <c r="BL1045" s="12"/>
      <c r="BM1045" s="12"/>
      <c r="BN1045" s="12"/>
      <c r="BO1045" s="12"/>
      <c r="BP1045" s="12"/>
      <c r="BQ1045" s="12"/>
      <c r="BR1045" s="12"/>
      <c r="BS1045" s="12"/>
      <c r="BT1045" s="12"/>
    </row>
    <row r="1046" spans="1:72">
      <c r="A1046" s="2" t="s">
        <v>20451</v>
      </c>
      <c r="B1046" s="5" t="s">
        <v>20456</v>
      </c>
      <c r="C1046" s="3" t="s">
        <v>138</v>
      </c>
      <c r="D1046" s="4" t="s">
        <v>138</v>
      </c>
      <c r="E1046" s="15" t="s">
        <v>13063</v>
      </c>
      <c r="F1046" s="15" t="s">
        <v>13064</v>
      </c>
      <c r="G1046" s="15" t="s">
        <v>2742</v>
      </c>
      <c r="H1046" s="7">
        <v>12</v>
      </c>
      <c r="I1046" s="6" t="s">
        <v>20466</v>
      </c>
      <c r="J1046" s="6" t="s">
        <v>41590</v>
      </c>
      <c r="K1046" s="6" t="s">
        <v>39411</v>
      </c>
      <c r="L1046" s="6" t="s">
        <v>38108</v>
      </c>
      <c r="M1046" s="6" t="s">
        <v>42364</v>
      </c>
      <c r="N1046" s="6" t="s">
        <v>41350</v>
      </c>
      <c r="O1046" s="6" t="s">
        <v>41374</v>
      </c>
      <c r="P1046" s="6" t="s">
        <v>41591</v>
      </c>
      <c r="Q1046" s="6" t="s">
        <v>38829</v>
      </c>
      <c r="R1046" s="6" t="s">
        <v>43262</v>
      </c>
      <c r="S1046" s="6" t="s">
        <v>43263</v>
      </c>
      <c r="T1046" s="6" t="s">
        <v>41355</v>
      </c>
      <c r="U1046" s="6" t="s">
        <v>37781</v>
      </c>
      <c r="V1046" s="6"/>
      <c r="W1046" s="6"/>
      <c r="X1046" s="6"/>
      <c r="Y1046" s="6"/>
      <c r="Z1046" s="6"/>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6"/>
      <c r="AY1046" s="6"/>
      <c r="AZ1046" s="6"/>
      <c r="BA1046" s="6"/>
      <c r="BB1046" s="6"/>
      <c r="BC1046" s="6"/>
      <c r="BD1046" s="6"/>
      <c r="BE1046" s="6"/>
      <c r="BF1046" s="6"/>
      <c r="BG1046" s="6"/>
      <c r="BH1046" s="6"/>
      <c r="BI1046" s="6"/>
      <c r="BJ1046" s="6"/>
      <c r="BK1046" s="6"/>
      <c r="BL1046" s="6"/>
      <c r="BM1046" s="6"/>
      <c r="BN1046" s="6"/>
      <c r="BO1046" s="6"/>
      <c r="BP1046" s="6"/>
      <c r="BQ1046" s="6"/>
      <c r="BR1046" s="6"/>
      <c r="BS1046" s="6"/>
      <c r="BT1046" s="6"/>
    </row>
    <row r="1047" spans="1:72">
      <c r="A1047" s="8" t="s">
        <v>20469</v>
      </c>
      <c r="B1047" s="11" t="s">
        <v>20475</v>
      </c>
      <c r="C1047" s="9" t="s">
        <v>20470</v>
      </c>
      <c r="D1047" s="10" t="s">
        <v>138</v>
      </c>
      <c r="E1047" s="28" t="s">
        <v>2845</v>
      </c>
      <c r="F1047" s="28" t="s">
        <v>200</v>
      </c>
      <c r="G1047" s="28" t="s">
        <v>162</v>
      </c>
      <c r="H1047" s="13">
        <v>43</v>
      </c>
      <c r="I1047" s="12" t="s">
        <v>20483</v>
      </c>
      <c r="J1047" s="12" t="s">
        <v>37785</v>
      </c>
      <c r="K1047" s="12" t="s">
        <v>43264</v>
      </c>
      <c r="L1047" s="12" t="s">
        <v>40192</v>
      </c>
      <c r="M1047" s="12" t="s">
        <v>41512</v>
      </c>
      <c r="N1047" s="12" t="s">
        <v>37936</v>
      </c>
      <c r="O1047" s="12" t="s">
        <v>42247</v>
      </c>
      <c r="P1047" s="12" t="s">
        <v>38784</v>
      </c>
      <c r="Q1047" s="12" t="s">
        <v>40105</v>
      </c>
      <c r="R1047" s="12" t="s">
        <v>40413</v>
      </c>
      <c r="S1047" s="12" t="s">
        <v>39579</v>
      </c>
      <c r="T1047" s="12" t="s">
        <v>37941</v>
      </c>
      <c r="U1047" s="12" t="s">
        <v>43265</v>
      </c>
      <c r="V1047" s="12" t="s">
        <v>43266</v>
      </c>
      <c r="W1047" s="12" t="s">
        <v>37799</v>
      </c>
      <c r="X1047" s="12" t="s">
        <v>37948</v>
      </c>
      <c r="Y1047" s="12" t="s">
        <v>37952</v>
      </c>
      <c r="Z1047" s="12" t="s">
        <v>38574</v>
      </c>
      <c r="AA1047" s="12" t="s">
        <v>40576</v>
      </c>
      <c r="AB1047" s="12" t="s">
        <v>38120</v>
      </c>
      <c r="AC1047" s="12" t="s">
        <v>38944</v>
      </c>
      <c r="AD1047" s="12" t="s">
        <v>39287</v>
      </c>
      <c r="AE1047" s="12" t="s">
        <v>38991</v>
      </c>
      <c r="AF1047" s="12" t="s">
        <v>43267</v>
      </c>
      <c r="AG1047" s="12" t="s">
        <v>39360</v>
      </c>
      <c r="AH1047" s="12" t="s">
        <v>43268</v>
      </c>
      <c r="AI1047" s="12" t="s">
        <v>43269</v>
      </c>
      <c r="AJ1047" s="12" t="s">
        <v>37968</v>
      </c>
      <c r="AK1047" s="12" t="s">
        <v>38025</v>
      </c>
      <c r="AL1047" s="12" t="s">
        <v>38065</v>
      </c>
      <c r="AM1047" s="12" t="s">
        <v>43270</v>
      </c>
      <c r="AN1047" s="12" t="s">
        <v>38981</v>
      </c>
      <c r="AO1047" s="12" t="s">
        <v>38478</v>
      </c>
      <c r="AP1047" s="12" t="s">
        <v>39694</v>
      </c>
      <c r="AQ1047" s="12" t="s">
        <v>37891</v>
      </c>
      <c r="AR1047" s="12" t="s">
        <v>38185</v>
      </c>
      <c r="AS1047" s="12" t="s">
        <v>38141</v>
      </c>
      <c r="AT1047" s="12" t="s">
        <v>39261</v>
      </c>
      <c r="AU1047" s="12" t="s">
        <v>37783</v>
      </c>
      <c r="AV1047" s="12" t="s">
        <v>43271</v>
      </c>
      <c r="AW1047" s="12" t="s">
        <v>40525</v>
      </c>
      <c r="AX1047" s="12" t="s">
        <v>37976</v>
      </c>
      <c r="AY1047" s="12" t="s">
        <v>43272</v>
      </c>
      <c r="AZ1047" s="12" t="s">
        <v>41909</v>
      </c>
      <c r="BA1047" s="12"/>
      <c r="BB1047" s="12"/>
      <c r="BC1047" s="12"/>
      <c r="BD1047" s="12"/>
      <c r="BE1047" s="12"/>
      <c r="BF1047" s="12"/>
      <c r="BG1047" s="12"/>
      <c r="BH1047" s="12"/>
      <c r="BI1047" s="12"/>
      <c r="BJ1047" s="12"/>
      <c r="BK1047" s="12"/>
      <c r="BL1047" s="12"/>
      <c r="BM1047" s="12"/>
      <c r="BN1047" s="12"/>
      <c r="BO1047" s="12"/>
      <c r="BP1047" s="12"/>
      <c r="BQ1047" s="12"/>
      <c r="BR1047" s="12"/>
      <c r="BS1047" s="12"/>
      <c r="BT1047" s="12"/>
    </row>
    <row r="1048" spans="1:72">
      <c r="A1048" s="2" t="s">
        <v>20488</v>
      </c>
      <c r="B1048" s="5" t="s">
        <v>20494</v>
      </c>
      <c r="C1048" s="3" t="s">
        <v>20489</v>
      </c>
      <c r="D1048" s="4" t="s">
        <v>138</v>
      </c>
      <c r="E1048" s="15" t="s">
        <v>668</v>
      </c>
      <c r="F1048" s="15" t="s">
        <v>200</v>
      </c>
      <c r="G1048" s="15" t="s">
        <v>162</v>
      </c>
      <c r="H1048" s="7">
        <v>31</v>
      </c>
      <c r="I1048" s="6" t="s">
        <v>20501</v>
      </c>
      <c r="J1048" s="6" t="s">
        <v>41667</v>
      </c>
      <c r="K1048" s="6" t="s">
        <v>43273</v>
      </c>
      <c r="L1048" s="6" t="s">
        <v>37979</v>
      </c>
      <c r="M1048" s="6" t="s">
        <v>40510</v>
      </c>
      <c r="N1048" s="6" t="s">
        <v>43274</v>
      </c>
      <c r="O1048" s="6" t="s">
        <v>38365</v>
      </c>
      <c r="P1048" s="6" t="s">
        <v>43275</v>
      </c>
      <c r="Q1048" s="6" t="s">
        <v>38485</v>
      </c>
      <c r="R1048" s="6" t="s">
        <v>38964</v>
      </c>
      <c r="S1048" s="6" t="s">
        <v>38903</v>
      </c>
      <c r="T1048" s="6" t="s">
        <v>43276</v>
      </c>
      <c r="U1048" s="6" t="s">
        <v>38802</v>
      </c>
      <c r="V1048" s="6" t="s">
        <v>43266</v>
      </c>
      <c r="W1048" s="6" t="s">
        <v>43277</v>
      </c>
      <c r="X1048" s="6" t="s">
        <v>38394</v>
      </c>
      <c r="Y1048" s="6" t="s">
        <v>37921</v>
      </c>
      <c r="Z1048" s="6" t="s">
        <v>39435</v>
      </c>
      <c r="AA1048" s="6" t="s">
        <v>43278</v>
      </c>
      <c r="AB1048" s="6" t="s">
        <v>38334</v>
      </c>
      <c r="AC1048" s="6" t="s">
        <v>41673</v>
      </c>
      <c r="AD1048" s="6" t="s">
        <v>38427</v>
      </c>
      <c r="AE1048" s="6" t="s">
        <v>41675</v>
      </c>
      <c r="AF1048" s="6" t="s">
        <v>37998</v>
      </c>
      <c r="AG1048" s="6" t="s">
        <v>38131</v>
      </c>
      <c r="AH1048" s="6" t="s">
        <v>38065</v>
      </c>
      <c r="AI1048" s="6" t="s">
        <v>37781</v>
      </c>
      <c r="AJ1048" s="6" t="s">
        <v>40128</v>
      </c>
      <c r="AK1048" s="6" t="s">
        <v>37783</v>
      </c>
      <c r="AL1048" s="6" t="s">
        <v>38143</v>
      </c>
      <c r="AM1048" s="6" t="s">
        <v>43279</v>
      </c>
      <c r="AN1048" s="6" t="s">
        <v>37886</v>
      </c>
      <c r="AO1048" s="6"/>
      <c r="AP1048" s="6"/>
      <c r="AQ1048" s="6"/>
      <c r="AR1048" s="6"/>
      <c r="AS1048" s="6"/>
      <c r="AT1048" s="6"/>
      <c r="AU1048" s="6"/>
      <c r="AV1048" s="6"/>
      <c r="AW1048" s="6"/>
      <c r="AX1048" s="6"/>
      <c r="AY1048" s="6"/>
      <c r="AZ1048" s="6"/>
      <c r="BA1048" s="6"/>
      <c r="BB1048" s="6"/>
      <c r="BC1048" s="6"/>
      <c r="BD1048" s="6"/>
      <c r="BE1048" s="6"/>
      <c r="BF1048" s="6"/>
      <c r="BG1048" s="6"/>
      <c r="BH1048" s="6"/>
      <c r="BI1048" s="6"/>
      <c r="BJ1048" s="6"/>
      <c r="BK1048" s="6"/>
      <c r="BL1048" s="6"/>
      <c r="BM1048" s="6"/>
      <c r="BN1048" s="6"/>
      <c r="BO1048" s="6"/>
      <c r="BP1048" s="6"/>
      <c r="BQ1048" s="6"/>
      <c r="BR1048" s="6"/>
      <c r="BS1048" s="6"/>
      <c r="BT1048" s="6"/>
    </row>
    <row r="1049" spans="1:72">
      <c r="A1049" s="8" t="s">
        <v>20504</v>
      </c>
      <c r="B1049" s="11" t="s">
        <v>20508</v>
      </c>
      <c r="C1049" s="9" t="s">
        <v>138</v>
      </c>
      <c r="D1049" s="10" t="s">
        <v>138</v>
      </c>
      <c r="E1049" s="28" t="s">
        <v>310</v>
      </c>
      <c r="F1049" s="28" t="s">
        <v>200</v>
      </c>
      <c r="G1049" s="28" t="s">
        <v>162</v>
      </c>
      <c r="H1049" s="13">
        <v>13</v>
      </c>
      <c r="I1049" s="12" t="s">
        <v>20518</v>
      </c>
      <c r="J1049" s="12" t="s">
        <v>43280</v>
      </c>
      <c r="K1049" s="12" t="s">
        <v>38230</v>
      </c>
      <c r="L1049" s="12" t="s">
        <v>38802</v>
      </c>
      <c r="M1049" s="12" t="s">
        <v>42112</v>
      </c>
      <c r="N1049" s="12" t="s">
        <v>43281</v>
      </c>
      <c r="O1049" s="12" t="s">
        <v>43282</v>
      </c>
      <c r="P1049" s="12" t="s">
        <v>40787</v>
      </c>
      <c r="Q1049" s="12" t="s">
        <v>38064</v>
      </c>
      <c r="R1049" s="12" t="s">
        <v>38321</v>
      </c>
      <c r="S1049" s="12" t="s">
        <v>38323</v>
      </c>
      <c r="T1049" s="12" t="s">
        <v>38504</v>
      </c>
      <c r="U1049" s="12" t="s">
        <v>38004</v>
      </c>
      <c r="V1049" s="12" t="s">
        <v>43283</v>
      </c>
      <c r="W1049" s="12"/>
      <c r="X1049" s="12"/>
      <c r="Y1049" s="12"/>
      <c r="Z1049" s="12"/>
      <c r="AA1049" s="12"/>
      <c r="AB1049" s="12"/>
      <c r="AC1049" s="12"/>
      <c r="AD1049" s="12"/>
      <c r="AE1049" s="12"/>
      <c r="AF1049" s="12"/>
      <c r="AG1049" s="12"/>
      <c r="AH1049" s="12"/>
      <c r="AI1049" s="12"/>
      <c r="AJ1049" s="12"/>
      <c r="AK1049" s="12"/>
      <c r="AL1049" s="12"/>
      <c r="AM1049" s="12"/>
      <c r="AN1049" s="12"/>
      <c r="AO1049" s="12"/>
      <c r="AP1049" s="12"/>
      <c r="AQ1049" s="12"/>
      <c r="AR1049" s="12"/>
      <c r="AS1049" s="12"/>
      <c r="AT1049" s="12"/>
      <c r="AU1049" s="12"/>
      <c r="AV1049" s="12"/>
      <c r="AW1049" s="12"/>
      <c r="AX1049" s="12"/>
      <c r="AY1049" s="12"/>
      <c r="AZ1049" s="12"/>
      <c r="BA1049" s="12"/>
      <c r="BB1049" s="12"/>
      <c r="BC1049" s="12"/>
      <c r="BD1049" s="12"/>
      <c r="BE1049" s="12"/>
      <c r="BF1049" s="12"/>
      <c r="BG1049" s="12"/>
      <c r="BH1049" s="12"/>
      <c r="BI1049" s="12"/>
      <c r="BJ1049" s="12"/>
      <c r="BK1049" s="12"/>
      <c r="BL1049" s="12"/>
      <c r="BM1049" s="12"/>
      <c r="BN1049" s="12"/>
      <c r="BO1049" s="12"/>
      <c r="BP1049" s="12"/>
      <c r="BQ1049" s="12"/>
      <c r="BR1049" s="12"/>
      <c r="BS1049" s="12"/>
      <c r="BT1049" s="12"/>
    </row>
    <row r="1050" spans="1:72">
      <c r="A1050" s="2" t="s">
        <v>20522</v>
      </c>
      <c r="B1050" s="5" t="s">
        <v>20526</v>
      </c>
      <c r="C1050" s="3" t="s">
        <v>138</v>
      </c>
      <c r="D1050" s="4" t="s">
        <v>138</v>
      </c>
      <c r="E1050" s="15" t="s">
        <v>426</v>
      </c>
      <c r="F1050" s="15" t="s">
        <v>426</v>
      </c>
      <c r="G1050" s="15" t="s">
        <v>162</v>
      </c>
      <c r="H1050" s="7">
        <v>18</v>
      </c>
      <c r="I1050" s="6" t="s">
        <v>20534</v>
      </c>
      <c r="J1050" s="6" t="s">
        <v>38344</v>
      </c>
      <c r="K1050" s="6" t="s">
        <v>43284</v>
      </c>
      <c r="L1050" s="6" t="s">
        <v>42075</v>
      </c>
      <c r="M1050" s="6" t="s">
        <v>40575</v>
      </c>
      <c r="N1050" s="6" t="s">
        <v>37878</v>
      </c>
      <c r="O1050" s="6" t="s">
        <v>37880</v>
      </c>
      <c r="P1050" s="6" t="s">
        <v>42469</v>
      </c>
      <c r="Q1050" s="6" t="s">
        <v>37824</v>
      </c>
      <c r="R1050" s="6" t="s">
        <v>43285</v>
      </c>
      <c r="S1050" s="6" t="s">
        <v>43286</v>
      </c>
      <c r="T1050" s="6" t="s">
        <v>41131</v>
      </c>
      <c r="U1050" s="6" t="s">
        <v>39033</v>
      </c>
      <c r="V1050" s="6" t="s">
        <v>39847</v>
      </c>
      <c r="W1050" s="6" t="s">
        <v>43287</v>
      </c>
      <c r="X1050" s="6" t="s">
        <v>40525</v>
      </c>
      <c r="Y1050" s="6" t="s">
        <v>39686</v>
      </c>
      <c r="Z1050" s="6" t="s">
        <v>38337</v>
      </c>
      <c r="AA1050" s="6" t="s">
        <v>43288</v>
      </c>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c r="AY1050" s="6"/>
      <c r="AZ1050" s="6"/>
      <c r="BA1050" s="6"/>
      <c r="BB1050" s="6"/>
      <c r="BC1050" s="6"/>
      <c r="BD1050" s="6"/>
      <c r="BE1050" s="6"/>
      <c r="BF1050" s="6"/>
      <c r="BG1050" s="6"/>
      <c r="BH1050" s="6"/>
      <c r="BI1050" s="6"/>
      <c r="BJ1050" s="6"/>
      <c r="BK1050" s="6"/>
      <c r="BL1050" s="6"/>
      <c r="BM1050" s="6"/>
      <c r="BN1050" s="6"/>
      <c r="BO1050" s="6"/>
      <c r="BP1050" s="6"/>
      <c r="BQ1050" s="6"/>
      <c r="BR1050" s="6"/>
      <c r="BS1050" s="6"/>
      <c r="BT1050" s="6"/>
    </row>
    <row r="1051" spans="1:72">
      <c r="A1051" s="8" t="s">
        <v>20537</v>
      </c>
      <c r="B1051" s="11" t="s">
        <v>20541</v>
      </c>
      <c r="C1051" s="9" t="s">
        <v>138</v>
      </c>
      <c r="D1051" s="10" t="s">
        <v>138</v>
      </c>
      <c r="E1051" s="28" t="s">
        <v>1171</v>
      </c>
      <c r="F1051" s="28" t="s">
        <v>200</v>
      </c>
      <c r="G1051" s="28" t="s">
        <v>162</v>
      </c>
      <c r="H1051" s="13">
        <v>3</v>
      </c>
      <c r="I1051" s="12" t="s">
        <v>20549</v>
      </c>
      <c r="J1051" s="12" t="s">
        <v>43289</v>
      </c>
      <c r="K1051" s="12" t="s">
        <v>37787</v>
      </c>
      <c r="L1051" s="12" t="s">
        <v>37770</v>
      </c>
      <c r="M1051" s="12"/>
      <c r="N1051" s="12"/>
      <c r="O1051" s="12"/>
      <c r="P1051" s="12"/>
      <c r="Q1051" s="12"/>
      <c r="R1051" s="12"/>
      <c r="S1051" s="12"/>
      <c r="T1051" s="12"/>
      <c r="U1051" s="12"/>
      <c r="V1051" s="12"/>
      <c r="W1051" s="12"/>
      <c r="X1051" s="12"/>
      <c r="Y1051" s="12"/>
      <c r="Z1051" s="12"/>
      <c r="AA1051" s="12"/>
      <c r="AB1051" s="12"/>
      <c r="AC1051" s="12"/>
      <c r="AD1051" s="12"/>
      <c r="AE1051" s="12"/>
      <c r="AF1051" s="12"/>
      <c r="AG1051" s="12"/>
      <c r="AH1051" s="12"/>
      <c r="AI1051" s="12"/>
      <c r="AJ1051" s="12"/>
      <c r="AK1051" s="12"/>
      <c r="AL1051" s="12"/>
      <c r="AM1051" s="12"/>
      <c r="AN1051" s="12"/>
      <c r="AO1051" s="12"/>
      <c r="AP1051" s="12"/>
      <c r="AQ1051" s="12"/>
      <c r="AR1051" s="12"/>
      <c r="AS1051" s="12"/>
      <c r="AT1051" s="12"/>
      <c r="AU1051" s="12"/>
      <c r="AV1051" s="12"/>
      <c r="AW1051" s="12"/>
      <c r="AX1051" s="12"/>
      <c r="AY1051" s="12"/>
      <c r="AZ1051" s="12"/>
      <c r="BA1051" s="12"/>
      <c r="BB1051" s="12"/>
      <c r="BC1051" s="12"/>
      <c r="BD1051" s="12"/>
      <c r="BE1051" s="12"/>
      <c r="BF1051" s="12"/>
      <c r="BG1051" s="12"/>
      <c r="BH1051" s="12"/>
      <c r="BI1051" s="12"/>
      <c r="BJ1051" s="12"/>
      <c r="BK1051" s="12"/>
      <c r="BL1051" s="12"/>
      <c r="BM1051" s="12"/>
      <c r="BN1051" s="12"/>
      <c r="BO1051" s="12"/>
      <c r="BP1051" s="12"/>
      <c r="BQ1051" s="12"/>
      <c r="BR1051" s="12"/>
      <c r="BS1051" s="12"/>
      <c r="BT1051" s="12"/>
    </row>
    <row r="1052" spans="1:72">
      <c r="A1052" s="2" t="s">
        <v>20552</v>
      </c>
      <c r="B1052" s="5" t="s">
        <v>20556</v>
      </c>
      <c r="C1052" s="3" t="s">
        <v>138</v>
      </c>
      <c r="D1052" s="4" t="s">
        <v>138</v>
      </c>
      <c r="E1052" s="15" t="s">
        <v>668</v>
      </c>
      <c r="F1052" s="15" t="s">
        <v>200</v>
      </c>
      <c r="G1052" s="15" t="s">
        <v>162</v>
      </c>
      <c r="H1052" s="7">
        <v>12</v>
      </c>
      <c r="I1052" s="6" t="s">
        <v>20565</v>
      </c>
      <c r="J1052" s="6" t="s">
        <v>43290</v>
      </c>
      <c r="K1052" s="6" t="s">
        <v>38162</v>
      </c>
      <c r="L1052" s="6" t="s">
        <v>41500</v>
      </c>
      <c r="M1052" s="6" t="s">
        <v>39569</v>
      </c>
      <c r="N1052" s="6" t="s">
        <v>37819</v>
      </c>
      <c r="O1052" s="6" t="s">
        <v>39355</v>
      </c>
      <c r="P1052" s="6" t="s">
        <v>37952</v>
      </c>
      <c r="Q1052" s="6" t="s">
        <v>43291</v>
      </c>
      <c r="R1052" s="6" t="s">
        <v>43292</v>
      </c>
      <c r="S1052" s="6" t="s">
        <v>42485</v>
      </c>
      <c r="T1052" s="6" t="s">
        <v>37809</v>
      </c>
      <c r="U1052" s="6" t="s">
        <v>37976</v>
      </c>
      <c r="V1052" s="6"/>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c r="AY1052" s="6"/>
      <c r="AZ1052" s="6"/>
      <c r="BA1052" s="6"/>
      <c r="BB1052" s="6"/>
      <c r="BC1052" s="6"/>
      <c r="BD1052" s="6"/>
      <c r="BE1052" s="6"/>
      <c r="BF1052" s="6"/>
      <c r="BG1052" s="6"/>
      <c r="BH1052" s="6"/>
      <c r="BI1052" s="6"/>
      <c r="BJ1052" s="6"/>
      <c r="BK1052" s="6"/>
      <c r="BL1052" s="6"/>
      <c r="BM1052" s="6"/>
      <c r="BN1052" s="6"/>
      <c r="BO1052" s="6"/>
      <c r="BP1052" s="6"/>
      <c r="BQ1052" s="6"/>
      <c r="BR1052" s="6"/>
      <c r="BS1052" s="6"/>
      <c r="BT1052" s="6"/>
    </row>
    <row r="1053" spans="1:72">
      <c r="A1053" s="8" t="s">
        <v>20568</v>
      </c>
      <c r="B1053" s="11" t="s">
        <v>20574</v>
      </c>
      <c r="C1053" s="9" t="s">
        <v>138</v>
      </c>
      <c r="D1053" s="10" t="s">
        <v>20569</v>
      </c>
      <c r="E1053" s="28" t="s">
        <v>966</v>
      </c>
      <c r="F1053" s="28" t="s">
        <v>200</v>
      </c>
      <c r="G1053" s="28" t="s">
        <v>162</v>
      </c>
      <c r="H1053" s="13">
        <v>8</v>
      </c>
      <c r="I1053" s="12" t="s">
        <v>20583</v>
      </c>
      <c r="J1053" s="12" t="s">
        <v>38344</v>
      </c>
      <c r="K1053" s="12" t="s">
        <v>37979</v>
      </c>
      <c r="L1053" s="12" t="s">
        <v>37788</v>
      </c>
      <c r="M1053" s="12" t="s">
        <v>39108</v>
      </c>
      <c r="N1053" s="12" t="s">
        <v>39109</v>
      </c>
      <c r="O1053" s="12" t="s">
        <v>38813</v>
      </c>
      <c r="P1053" s="12" t="s">
        <v>39033</v>
      </c>
      <c r="Q1053" s="12" t="s">
        <v>38325</v>
      </c>
      <c r="R1053" s="12"/>
      <c r="S1053" s="12"/>
      <c r="T1053" s="12"/>
      <c r="U1053" s="12"/>
      <c r="V1053" s="12"/>
      <c r="W1053" s="12"/>
      <c r="X1053" s="12"/>
      <c r="Y1053" s="12"/>
      <c r="Z1053" s="12"/>
      <c r="AA1053" s="12"/>
      <c r="AB1053" s="12"/>
      <c r="AC1053" s="12"/>
      <c r="AD1053" s="12"/>
      <c r="AE1053" s="12"/>
      <c r="AF1053" s="12"/>
      <c r="AG1053" s="12"/>
      <c r="AH1053" s="12"/>
      <c r="AI1053" s="12"/>
      <c r="AJ1053" s="12"/>
      <c r="AK1053" s="12"/>
      <c r="AL1053" s="12"/>
      <c r="AM1053" s="12"/>
      <c r="AN1053" s="12"/>
      <c r="AO1053" s="12"/>
      <c r="AP1053" s="12"/>
      <c r="AQ1053" s="12"/>
      <c r="AR1053" s="12"/>
      <c r="AS1053" s="12"/>
      <c r="AT1053" s="12"/>
      <c r="AU1053" s="12"/>
      <c r="AV1053" s="12"/>
      <c r="AW1053" s="12"/>
      <c r="AX1053" s="12"/>
      <c r="AY1053" s="12"/>
      <c r="AZ1053" s="12"/>
      <c r="BA1053" s="12"/>
      <c r="BB1053" s="12"/>
      <c r="BC1053" s="12"/>
      <c r="BD1053" s="12"/>
      <c r="BE1053" s="12"/>
      <c r="BF1053" s="12"/>
      <c r="BG1053" s="12"/>
      <c r="BH1053" s="12"/>
      <c r="BI1053" s="12"/>
      <c r="BJ1053" s="12"/>
      <c r="BK1053" s="12"/>
      <c r="BL1053" s="12"/>
      <c r="BM1053" s="12"/>
      <c r="BN1053" s="12"/>
      <c r="BO1053" s="12"/>
      <c r="BP1053" s="12"/>
      <c r="BQ1053" s="12"/>
      <c r="BR1053" s="12"/>
      <c r="BS1053" s="12"/>
      <c r="BT1053" s="12"/>
    </row>
    <row r="1054" spans="1:72">
      <c r="A1054" s="2" t="s">
        <v>20587</v>
      </c>
      <c r="B1054" s="5" t="s">
        <v>20592</v>
      </c>
      <c r="C1054" s="3" t="s">
        <v>20588</v>
      </c>
      <c r="D1054" s="4" t="s">
        <v>138</v>
      </c>
      <c r="E1054" s="15" t="s">
        <v>3139</v>
      </c>
      <c r="F1054" s="15" t="s">
        <v>3140</v>
      </c>
      <c r="G1054" s="15" t="s">
        <v>162</v>
      </c>
      <c r="H1054" s="7">
        <v>15</v>
      </c>
      <c r="I1054" s="6" t="s">
        <v>20603</v>
      </c>
      <c r="J1054" s="6" t="s">
        <v>40341</v>
      </c>
      <c r="K1054" s="6" t="s">
        <v>43293</v>
      </c>
      <c r="L1054" s="6" t="s">
        <v>43294</v>
      </c>
      <c r="M1054" s="6" t="s">
        <v>42568</v>
      </c>
      <c r="N1054" s="6" t="s">
        <v>42145</v>
      </c>
      <c r="O1054" s="6" t="s">
        <v>39714</v>
      </c>
      <c r="P1054" s="6" t="s">
        <v>40899</v>
      </c>
      <c r="Q1054" s="6" t="s">
        <v>42406</v>
      </c>
      <c r="R1054" s="6" t="s">
        <v>40762</v>
      </c>
      <c r="S1054" s="6" t="s">
        <v>43295</v>
      </c>
      <c r="T1054" s="6" t="s">
        <v>43296</v>
      </c>
      <c r="U1054" s="6" t="s">
        <v>43297</v>
      </c>
      <c r="V1054" s="6" t="s">
        <v>42493</v>
      </c>
      <c r="W1054" s="6" t="s">
        <v>43298</v>
      </c>
      <c r="X1054" s="6" t="s">
        <v>43299</v>
      </c>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c r="AY1054" s="6"/>
      <c r="AZ1054" s="6"/>
      <c r="BA1054" s="6"/>
      <c r="BB1054" s="6"/>
      <c r="BC1054" s="6"/>
      <c r="BD1054" s="6"/>
      <c r="BE1054" s="6"/>
      <c r="BF1054" s="6"/>
      <c r="BG1054" s="6"/>
      <c r="BH1054" s="6"/>
      <c r="BI1054" s="6"/>
      <c r="BJ1054" s="6"/>
      <c r="BK1054" s="6"/>
      <c r="BL1054" s="6"/>
      <c r="BM1054" s="6"/>
      <c r="BN1054" s="6"/>
      <c r="BO1054" s="6"/>
      <c r="BP1054" s="6"/>
      <c r="BQ1054" s="6"/>
      <c r="BR1054" s="6"/>
      <c r="BS1054" s="6"/>
      <c r="BT1054" s="6"/>
    </row>
    <row r="1055" spans="1:72">
      <c r="A1055" s="8" t="s">
        <v>20608</v>
      </c>
      <c r="B1055" s="11" t="s">
        <v>20613</v>
      </c>
      <c r="C1055" s="9" t="s">
        <v>138</v>
      </c>
      <c r="D1055" s="10" t="s">
        <v>138</v>
      </c>
      <c r="E1055" s="28" t="s">
        <v>5700</v>
      </c>
      <c r="F1055" s="28" t="s">
        <v>138</v>
      </c>
      <c r="G1055" s="28" t="s">
        <v>740</v>
      </c>
      <c r="H1055" s="13">
        <v>11</v>
      </c>
      <c r="I1055" s="12" t="s">
        <v>20621</v>
      </c>
      <c r="J1055" s="12" t="s">
        <v>43300</v>
      </c>
      <c r="K1055" s="12" t="s">
        <v>43301</v>
      </c>
      <c r="L1055" s="12" t="s">
        <v>43302</v>
      </c>
      <c r="M1055" s="12" t="s">
        <v>43303</v>
      </c>
      <c r="N1055" s="12" t="s">
        <v>37945</v>
      </c>
      <c r="O1055" s="12" t="s">
        <v>43304</v>
      </c>
      <c r="P1055" s="12" t="s">
        <v>43305</v>
      </c>
      <c r="Q1055" s="12" t="s">
        <v>43306</v>
      </c>
      <c r="R1055" s="12" t="s">
        <v>43307</v>
      </c>
      <c r="S1055" s="12" t="s">
        <v>43308</v>
      </c>
      <c r="T1055" s="12" t="s">
        <v>37890</v>
      </c>
      <c r="U1055" s="12"/>
      <c r="V1055" s="12"/>
      <c r="W1055" s="12"/>
      <c r="X1055" s="12"/>
      <c r="Y1055" s="12"/>
      <c r="Z1055" s="12"/>
      <c r="AA1055" s="12"/>
      <c r="AB1055" s="12"/>
      <c r="AC1055" s="12"/>
      <c r="AD1055" s="12"/>
      <c r="AE1055" s="12"/>
      <c r="AF1055" s="12"/>
      <c r="AG1055" s="12"/>
      <c r="AH1055" s="12"/>
      <c r="AI1055" s="12"/>
      <c r="AJ1055" s="12"/>
      <c r="AK1055" s="12"/>
      <c r="AL1055" s="12"/>
      <c r="AM1055" s="12"/>
      <c r="AN1055" s="12"/>
      <c r="AO1055" s="12"/>
      <c r="AP1055" s="12"/>
      <c r="AQ1055" s="12"/>
      <c r="AR1055" s="12"/>
      <c r="AS1055" s="12"/>
      <c r="AT1055" s="12"/>
      <c r="AU1055" s="12"/>
      <c r="AV1055" s="12"/>
      <c r="AW1055" s="12"/>
      <c r="AX1055" s="12"/>
      <c r="AY1055" s="12"/>
      <c r="AZ1055" s="12"/>
      <c r="BA1055" s="12"/>
      <c r="BB1055" s="12"/>
      <c r="BC1055" s="12"/>
      <c r="BD1055" s="12"/>
      <c r="BE1055" s="12"/>
      <c r="BF1055" s="12"/>
      <c r="BG1055" s="12"/>
      <c r="BH1055" s="12"/>
      <c r="BI1055" s="12"/>
      <c r="BJ1055" s="12"/>
      <c r="BK1055" s="12"/>
      <c r="BL1055" s="12"/>
      <c r="BM1055" s="12"/>
      <c r="BN1055" s="12"/>
      <c r="BO1055" s="12"/>
      <c r="BP1055" s="12"/>
      <c r="BQ1055" s="12"/>
      <c r="BR1055" s="12"/>
      <c r="BS1055" s="12"/>
      <c r="BT1055" s="12"/>
    </row>
    <row r="1056" spans="1:72">
      <c r="A1056" s="2" t="s">
        <v>20624</v>
      </c>
      <c r="B1056" s="5" t="s">
        <v>20628</v>
      </c>
      <c r="C1056" s="3" t="s">
        <v>138</v>
      </c>
      <c r="D1056" s="4" t="s">
        <v>138</v>
      </c>
      <c r="E1056" s="15" t="s">
        <v>20636</v>
      </c>
      <c r="F1056" s="15" t="s">
        <v>138</v>
      </c>
      <c r="G1056" s="15" t="s">
        <v>1200</v>
      </c>
      <c r="H1056" s="7">
        <v>12</v>
      </c>
      <c r="I1056" s="6" t="s">
        <v>20639</v>
      </c>
      <c r="J1056" s="6" t="s">
        <v>40221</v>
      </c>
      <c r="K1056" s="6" t="s">
        <v>43309</v>
      </c>
      <c r="L1056" s="6" t="s">
        <v>43310</v>
      </c>
      <c r="M1056" s="6" t="s">
        <v>43311</v>
      </c>
      <c r="N1056" s="6" t="s">
        <v>39875</v>
      </c>
      <c r="O1056" s="6" t="s">
        <v>43312</v>
      </c>
      <c r="P1056" s="6" t="s">
        <v>43313</v>
      </c>
      <c r="Q1056" s="6" t="s">
        <v>43314</v>
      </c>
      <c r="R1056" s="6" t="s">
        <v>39196</v>
      </c>
      <c r="S1056" s="6" t="s">
        <v>43315</v>
      </c>
      <c r="T1056" s="6" t="s">
        <v>43316</v>
      </c>
      <c r="U1056" s="6" t="s">
        <v>38200</v>
      </c>
      <c r="V1056" s="6"/>
      <c r="W1056" s="6"/>
      <c r="X1056" s="6"/>
      <c r="Y1056" s="6"/>
      <c r="Z1056" s="6"/>
      <c r="AA1056" s="6"/>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6"/>
      <c r="AY1056" s="6"/>
      <c r="AZ1056" s="6"/>
      <c r="BA1056" s="6"/>
      <c r="BB1056" s="6"/>
      <c r="BC1056" s="6"/>
      <c r="BD1056" s="6"/>
      <c r="BE1056" s="6"/>
      <c r="BF1056" s="6"/>
      <c r="BG1056" s="6"/>
      <c r="BH1056" s="6"/>
      <c r="BI1056" s="6"/>
      <c r="BJ1056" s="6"/>
      <c r="BK1056" s="6"/>
      <c r="BL1056" s="6"/>
      <c r="BM1056" s="6"/>
      <c r="BN1056" s="6"/>
      <c r="BO1056" s="6"/>
      <c r="BP1056" s="6"/>
      <c r="BQ1056" s="6"/>
      <c r="BR1056" s="6"/>
      <c r="BS1056" s="6"/>
      <c r="BT1056" s="6"/>
    </row>
    <row r="1057" spans="1:72">
      <c r="A1057" s="8" t="s">
        <v>20642</v>
      </c>
      <c r="B1057" s="11" t="s">
        <v>20647</v>
      </c>
      <c r="C1057" s="9" t="s">
        <v>138</v>
      </c>
      <c r="D1057" s="10" t="s">
        <v>138</v>
      </c>
      <c r="E1057" s="28" t="s">
        <v>1294</v>
      </c>
      <c r="F1057" s="28" t="s">
        <v>864</v>
      </c>
      <c r="G1057" s="28" t="s">
        <v>162</v>
      </c>
      <c r="H1057" s="13">
        <v>15</v>
      </c>
      <c r="I1057" s="12" t="s">
        <v>20656</v>
      </c>
      <c r="J1057" s="12" t="s">
        <v>43317</v>
      </c>
      <c r="K1057" s="12" t="s">
        <v>38590</v>
      </c>
      <c r="L1057" s="12" t="s">
        <v>38591</v>
      </c>
      <c r="M1057" s="12" t="s">
        <v>43318</v>
      </c>
      <c r="N1057" s="12" t="s">
        <v>37910</v>
      </c>
      <c r="O1057" s="12" t="s">
        <v>43319</v>
      </c>
      <c r="P1057" s="12" t="s">
        <v>43320</v>
      </c>
      <c r="Q1057" s="12" t="s">
        <v>43321</v>
      </c>
      <c r="R1057" s="12" t="s">
        <v>39057</v>
      </c>
      <c r="S1057" s="12" t="s">
        <v>43322</v>
      </c>
      <c r="T1057" s="12" t="s">
        <v>43323</v>
      </c>
      <c r="U1057" s="12" t="s">
        <v>39632</v>
      </c>
      <c r="V1057" s="12" t="s">
        <v>43324</v>
      </c>
      <c r="W1057" s="12" t="s">
        <v>37781</v>
      </c>
      <c r="X1057" s="12" t="s">
        <v>37975</v>
      </c>
      <c r="Y1057" s="12"/>
      <c r="Z1057" s="12"/>
      <c r="AA1057" s="12"/>
      <c r="AB1057" s="12"/>
      <c r="AC1057" s="12"/>
      <c r="AD1057" s="12"/>
      <c r="AE1057" s="12"/>
      <c r="AF1057" s="12"/>
      <c r="AG1057" s="12"/>
      <c r="AH1057" s="12"/>
      <c r="AI1057" s="12"/>
      <c r="AJ1057" s="12"/>
      <c r="AK1057" s="12"/>
      <c r="AL1057" s="12"/>
      <c r="AM1057" s="12"/>
      <c r="AN1057" s="12"/>
      <c r="AO1057" s="12"/>
      <c r="AP1057" s="12"/>
      <c r="AQ1057" s="12"/>
      <c r="AR1057" s="12"/>
      <c r="AS1057" s="12"/>
      <c r="AT1057" s="12"/>
      <c r="AU1057" s="12"/>
      <c r="AV1057" s="12"/>
      <c r="AW1057" s="12"/>
      <c r="AX1057" s="12"/>
      <c r="AY1057" s="12"/>
      <c r="AZ1057" s="12"/>
      <c r="BA1057" s="12"/>
      <c r="BB1057" s="12"/>
      <c r="BC1057" s="12"/>
      <c r="BD1057" s="12"/>
      <c r="BE1057" s="12"/>
      <c r="BF1057" s="12"/>
      <c r="BG1057" s="12"/>
      <c r="BH1057" s="12"/>
      <c r="BI1057" s="12"/>
      <c r="BJ1057" s="12"/>
      <c r="BK1057" s="12"/>
      <c r="BL1057" s="12"/>
      <c r="BM1057" s="12"/>
      <c r="BN1057" s="12"/>
      <c r="BO1057" s="12"/>
      <c r="BP1057" s="12"/>
      <c r="BQ1057" s="12"/>
      <c r="BR1057" s="12"/>
      <c r="BS1057" s="12"/>
      <c r="BT1057" s="12"/>
    </row>
    <row r="1058" spans="1:72">
      <c r="A1058" s="2" t="s">
        <v>20660</v>
      </c>
      <c r="B1058" s="5" t="s">
        <v>20664</v>
      </c>
      <c r="C1058" s="3" t="s">
        <v>138</v>
      </c>
      <c r="D1058" s="4" t="s">
        <v>138</v>
      </c>
      <c r="E1058" s="15" t="s">
        <v>2005</v>
      </c>
      <c r="F1058" s="15" t="s">
        <v>200</v>
      </c>
      <c r="G1058" s="15" t="s">
        <v>162</v>
      </c>
      <c r="H1058" s="7">
        <v>3</v>
      </c>
      <c r="I1058" s="6" t="s">
        <v>20674</v>
      </c>
      <c r="J1058" s="6" t="s">
        <v>43325</v>
      </c>
      <c r="K1058" s="6" t="s">
        <v>42056</v>
      </c>
      <c r="L1058" s="6" t="s">
        <v>41447</v>
      </c>
      <c r="M1058" s="6"/>
      <c r="N1058" s="6"/>
      <c r="O1058" s="6"/>
      <c r="P1058" s="6"/>
      <c r="Q1058" s="6"/>
      <c r="R1058" s="6"/>
      <c r="S1058" s="6"/>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6"/>
      <c r="AY1058" s="6"/>
      <c r="AZ1058" s="6"/>
      <c r="BA1058" s="6"/>
      <c r="BB1058" s="6"/>
      <c r="BC1058" s="6"/>
      <c r="BD1058" s="6"/>
      <c r="BE1058" s="6"/>
      <c r="BF1058" s="6"/>
      <c r="BG1058" s="6"/>
      <c r="BH1058" s="6"/>
      <c r="BI1058" s="6"/>
      <c r="BJ1058" s="6"/>
      <c r="BK1058" s="6"/>
      <c r="BL1058" s="6"/>
      <c r="BM1058" s="6"/>
      <c r="BN1058" s="6"/>
      <c r="BO1058" s="6"/>
      <c r="BP1058" s="6"/>
      <c r="BQ1058" s="6"/>
      <c r="BR1058" s="6"/>
      <c r="BS1058" s="6"/>
      <c r="BT1058" s="6"/>
    </row>
    <row r="1059" spans="1:72">
      <c r="A1059" s="8" t="s">
        <v>20680</v>
      </c>
      <c r="B1059" s="11" t="s">
        <v>20685</v>
      </c>
      <c r="C1059" s="9" t="s">
        <v>138</v>
      </c>
      <c r="D1059" s="10" t="s">
        <v>138</v>
      </c>
      <c r="E1059" s="28" t="s">
        <v>12527</v>
      </c>
      <c r="F1059" s="28" t="s">
        <v>284</v>
      </c>
      <c r="G1059" s="28" t="s">
        <v>162</v>
      </c>
      <c r="H1059" s="13">
        <v>11</v>
      </c>
      <c r="I1059" s="12" t="s">
        <v>20696</v>
      </c>
      <c r="J1059" s="12" t="s">
        <v>43326</v>
      </c>
      <c r="K1059" s="12" t="s">
        <v>43327</v>
      </c>
      <c r="L1059" s="12" t="s">
        <v>43328</v>
      </c>
      <c r="M1059" s="12" t="s">
        <v>37788</v>
      </c>
      <c r="N1059" s="12" t="s">
        <v>39057</v>
      </c>
      <c r="O1059" s="12" t="s">
        <v>37765</v>
      </c>
      <c r="P1059" s="12" t="s">
        <v>40787</v>
      </c>
      <c r="Q1059" s="12" t="s">
        <v>39684</v>
      </c>
      <c r="R1059" s="12" t="s">
        <v>43329</v>
      </c>
      <c r="S1059" s="12" t="s">
        <v>43330</v>
      </c>
      <c r="T1059" s="12" t="s">
        <v>41379</v>
      </c>
      <c r="U1059" s="12"/>
      <c r="V1059" s="12"/>
      <c r="W1059" s="12"/>
      <c r="X1059" s="12"/>
      <c r="Y1059" s="12"/>
      <c r="Z1059" s="12"/>
      <c r="AA1059" s="12"/>
      <c r="AB1059" s="12"/>
      <c r="AC1059" s="12"/>
      <c r="AD1059" s="12"/>
      <c r="AE1059" s="12"/>
      <c r="AF1059" s="12"/>
      <c r="AG1059" s="12"/>
      <c r="AH1059" s="12"/>
      <c r="AI1059" s="12"/>
      <c r="AJ1059" s="12"/>
      <c r="AK1059" s="12"/>
      <c r="AL1059" s="12"/>
      <c r="AM1059" s="12"/>
      <c r="AN1059" s="12"/>
      <c r="AO1059" s="12"/>
      <c r="AP1059" s="12"/>
      <c r="AQ1059" s="12"/>
      <c r="AR1059" s="12"/>
      <c r="AS1059" s="12"/>
      <c r="AT1059" s="12"/>
      <c r="AU1059" s="12"/>
      <c r="AV1059" s="12"/>
      <c r="AW1059" s="12"/>
      <c r="AX1059" s="12"/>
      <c r="AY1059" s="12"/>
      <c r="AZ1059" s="12"/>
      <c r="BA1059" s="12"/>
      <c r="BB1059" s="12"/>
      <c r="BC1059" s="12"/>
      <c r="BD1059" s="12"/>
      <c r="BE1059" s="12"/>
      <c r="BF1059" s="12"/>
      <c r="BG1059" s="12"/>
      <c r="BH1059" s="12"/>
      <c r="BI1059" s="12"/>
      <c r="BJ1059" s="12"/>
      <c r="BK1059" s="12"/>
      <c r="BL1059" s="12"/>
      <c r="BM1059" s="12"/>
      <c r="BN1059" s="12"/>
      <c r="BO1059" s="12"/>
      <c r="BP1059" s="12"/>
      <c r="BQ1059" s="12"/>
      <c r="BR1059" s="12"/>
      <c r="BS1059" s="12"/>
      <c r="BT1059" s="12"/>
    </row>
    <row r="1060" spans="1:72">
      <c r="A1060" s="2" t="s">
        <v>20700</v>
      </c>
      <c r="B1060" s="5" t="s">
        <v>20706</v>
      </c>
      <c r="C1060" s="3" t="s">
        <v>20701</v>
      </c>
      <c r="D1060" s="4" t="s">
        <v>20702</v>
      </c>
      <c r="E1060" s="15" t="s">
        <v>13632</v>
      </c>
      <c r="F1060" s="15" t="s">
        <v>5271</v>
      </c>
      <c r="G1060" s="15" t="s">
        <v>162</v>
      </c>
      <c r="H1060" s="7">
        <v>5</v>
      </c>
      <c r="I1060" s="6" t="s">
        <v>20716</v>
      </c>
      <c r="J1060" s="6" t="s">
        <v>43331</v>
      </c>
      <c r="K1060" s="6" t="s">
        <v>37839</v>
      </c>
      <c r="L1060" s="6" t="s">
        <v>43332</v>
      </c>
      <c r="M1060" s="6" t="s">
        <v>37841</v>
      </c>
      <c r="N1060" s="6" t="s">
        <v>43333</v>
      </c>
      <c r="O1060" s="6"/>
      <c r="P1060" s="6"/>
      <c r="Q1060" s="6"/>
      <c r="R1060" s="6"/>
      <c r="S1060" s="6"/>
      <c r="T1060" s="6"/>
      <c r="U1060" s="6"/>
      <c r="V1060" s="6"/>
      <c r="W1060" s="6"/>
      <c r="X1060" s="6"/>
      <c r="Y1060" s="6"/>
      <c r="Z1060" s="6"/>
      <c r="AA1060" s="6"/>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c r="AY1060" s="6"/>
      <c r="AZ1060" s="6"/>
      <c r="BA1060" s="6"/>
      <c r="BB1060" s="6"/>
      <c r="BC1060" s="6"/>
      <c r="BD1060" s="6"/>
      <c r="BE1060" s="6"/>
      <c r="BF1060" s="6"/>
      <c r="BG1060" s="6"/>
      <c r="BH1060" s="6"/>
      <c r="BI1060" s="6"/>
      <c r="BJ1060" s="6"/>
      <c r="BK1060" s="6"/>
      <c r="BL1060" s="6"/>
      <c r="BM1060" s="6"/>
      <c r="BN1060" s="6"/>
      <c r="BO1060" s="6"/>
      <c r="BP1060" s="6"/>
      <c r="BQ1060" s="6"/>
      <c r="BR1060" s="6"/>
      <c r="BS1060" s="6"/>
      <c r="BT1060" s="6"/>
    </row>
    <row r="1061" spans="1:72">
      <c r="A1061" s="8" t="s">
        <v>20720</v>
      </c>
      <c r="B1061" s="11" t="s">
        <v>20725</v>
      </c>
      <c r="C1061" s="9" t="s">
        <v>138</v>
      </c>
      <c r="D1061" s="10" t="s">
        <v>138</v>
      </c>
      <c r="E1061" s="28" t="s">
        <v>426</v>
      </c>
      <c r="F1061" s="28" t="s">
        <v>426</v>
      </c>
      <c r="G1061" s="28" t="s">
        <v>162</v>
      </c>
      <c r="H1061" s="13">
        <v>9</v>
      </c>
      <c r="I1061" s="12" t="s">
        <v>20732</v>
      </c>
      <c r="J1061" s="12" t="s">
        <v>43334</v>
      </c>
      <c r="K1061" s="12" t="s">
        <v>43335</v>
      </c>
      <c r="L1061" s="12" t="s">
        <v>43336</v>
      </c>
      <c r="M1061" s="12" t="s">
        <v>43337</v>
      </c>
      <c r="N1061" s="12" t="s">
        <v>43338</v>
      </c>
      <c r="O1061" s="12" t="s">
        <v>38926</v>
      </c>
      <c r="P1061" s="12" t="s">
        <v>38816</v>
      </c>
      <c r="Q1061" s="12" t="s">
        <v>38371</v>
      </c>
      <c r="R1061" s="12" t="s">
        <v>43339</v>
      </c>
      <c r="S1061" s="12"/>
      <c r="T1061" s="12"/>
      <c r="U1061" s="12"/>
      <c r="V1061" s="12"/>
      <c r="W1061" s="12"/>
      <c r="X1061" s="12"/>
      <c r="Y1061" s="12"/>
      <c r="Z1061" s="12"/>
      <c r="AA1061" s="12"/>
      <c r="AB1061" s="12"/>
      <c r="AC1061" s="12"/>
      <c r="AD1061" s="12"/>
      <c r="AE1061" s="12"/>
      <c r="AF1061" s="12"/>
      <c r="AG1061" s="12"/>
      <c r="AH1061" s="12"/>
      <c r="AI1061" s="12"/>
      <c r="AJ1061" s="12"/>
      <c r="AK1061" s="12"/>
      <c r="AL1061" s="12"/>
      <c r="AM1061" s="12"/>
      <c r="AN1061" s="12"/>
      <c r="AO1061" s="12"/>
      <c r="AP1061" s="12"/>
      <c r="AQ1061" s="12"/>
      <c r="AR1061" s="12"/>
      <c r="AS1061" s="12"/>
      <c r="AT1061" s="12"/>
      <c r="AU1061" s="12"/>
      <c r="AV1061" s="12"/>
      <c r="AW1061" s="12"/>
      <c r="AX1061" s="12"/>
      <c r="AY1061" s="12"/>
      <c r="AZ1061" s="12"/>
      <c r="BA1061" s="12"/>
      <c r="BB1061" s="12"/>
      <c r="BC1061" s="12"/>
      <c r="BD1061" s="12"/>
      <c r="BE1061" s="12"/>
      <c r="BF1061" s="12"/>
      <c r="BG1061" s="12"/>
      <c r="BH1061" s="12"/>
      <c r="BI1061" s="12"/>
      <c r="BJ1061" s="12"/>
      <c r="BK1061" s="12"/>
      <c r="BL1061" s="12"/>
      <c r="BM1061" s="12"/>
      <c r="BN1061" s="12"/>
      <c r="BO1061" s="12"/>
      <c r="BP1061" s="12"/>
      <c r="BQ1061" s="12"/>
      <c r="BR1061" s="12"/>
      <c r="BS1061" s="12"/>
      <c r="BT1061" s="12"/>
    </row>
    <row r="1062" spans="1:72">
      <c r="A1062" s="2" t="s">
        <v>20735</v>
      </c>
      <c r="B1062" s="5" t="s">
        <v>20738</v>
      </c>
      <c r="C1062" s="3" t="s">
        <v>138</v>
      </c>
      <c r="D1062" s="4" t="s">
        <v>138</v>
      </c>
      <c r="E1062" s="15" t="s">
        <v>449</v>
      </c>
      <c r="F1062" s="15" t="s">
        <v>138</v>
      </c>
      <c r="G1062" s="15" t="s">
        <v>450</v>
      </c>
      <c r="H1062" s="7">
        <v>6</v>
      </c>
      <c r="I1062" s="6" t="s">
        <v>20748</v>
      </c>
      <c r="J1062" s="6" t="s">
        <v>455</v>
      </c>
      <c r="K1062" s="6" t="s">
        <v>39218</v>
      </c>
      <c r="L1062" s="6" t="s">
        <v>43340</v>
      </c>
      <c r="M1062" s="6" t="s">
        <v>43341</v>
      </c>
      <c r="N1062" s="6" t="s">
        <v>38651</v>
      </c>
      <c r="O1062" s="6" t="s">
        <v>42911</v>
      </c>
      <c r="P1062" s="6"/>
      <c r="Q1062" s="6"/>
      <c r="R1062" s="6"/>
      <c r="S1062" s="6"/>
      <c r="T1062" s="6"/>
      <c r="U1062" s="6"/>
      <c r="V1062" s="6"/>
      <c r="W1062" s="6"/>
      <c r="X1062" s="6"/>
      <c r="Y1062" s="6"/>
      <c r="Z1062" s="6"/>
      <c r="AA1062" s="6"/>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c r="AY1062" s="6"/>
      <c r="AZ1062" s="6"/>
      <c r="BA1062" s="6"/>
      <c r="BB1062" s="6"/>
      <c r="BC1062" s="6"/>
      <c r="BD1062" s="6"/>
      <c r="BE1062" s="6"/>
      <c r="BF1062" s="6"/>
      <c r="BG1062" s="6"/>
      <c r="BH1062" s="6"/>
      <c r="BI1062" s="6"/>
      <c r="BJ1062" s="6"/>
      <c r="BK1062" s="6"/>
      <c r="BL1062" s="6"/>
      <c r="BM1062" s="6"/>
      <c r="BN1062" s="6"/>
      <c r="BO1062" s="6"/>
      <c r="BP1062" s="6"/>
      <c r="BQ1062" s="6"/>
      <c r="BR1062" s="6"/>
      <c r="BS1062" s="6"/>
      <c r="BT1062" s="6"/>
    </row>
    <row r="1063" spans="1:72">
      <c r="A1063" s="8" t="s">
        <v>20753</v>
      </c>
      <c r="B1063" s="11" t="s">
        <v>20757</v>
      </c>
      <c r="C1063" s="9" t="s">
        <v>138</v>
      </c>
      <c r="D1063" s="10" t="s">
        <v>138</v>
      </c>
      <c r="E1063" s="28" t="s">
        <v>426</v>
      </c>
      <c r="F1063" s="28" t="s">
        <v>426</v>
      </c>
      <c r="G1063" s="28" t="s">
        <v>162</v>
      </c>
      <c r="H1063" s="13">
        <v>12</v>
      </c>
      <c r="I1063" s="12" t="s">
        <v>20767</v>
      </c>
      <c r="J1063" s="12" t="s">
        <v>43342</v>
      </c>
      <c r="K1063" s="12" t="s">
        <v>38339</v>
      </c>
      <c r="L1063" s="12" t="s">
        <v>38366</v>
      </c>
      <c r="M1063" s="12" t="s">
        <v>38175</v>
      </c>
      <c r="N1063" s="12" t="s">
        <v>37832</v>
      </c>
      <c r="O1063" s="12" t="s">
        <v>38299</v>
      </c>
      <c r="P1063" s="12" t="s">
        <v>43343</v>
      </c>
      <c r="Q1063" s="12" t="s">
        <v>43344</v>
      </c>
      <c r="R1063" s="12" t="s">
        <v>43345</v>
      </c>
      <c r="S1063" s="12" t="s">
        <v>37998</v>
      </c>
      <c r="T1063" s="12" t="s">
        <v>38323</v>
      </c>
      <c r="U1063" s="12" t="s">
        <v>38753</v>
      </c>
      <c r="V1063" s="12"/>
      <c r="W1063" s="12"/>
      <c r="X1063" s="12"/>
      <c r="Y1063" s="12"/>
      <c r="Z1063" s="12"/>
      <c r="AA1063" s="12"/>
      <c r="AB1063" s="12"/>
      <c r="AC1063" s="12"/>
      <c r="AD1063" s="12"/>
      <c r="AE1063" s="12"/>
      <c r="AF1063" s="12"/>
      <c r="AG1063" s="12"/>
      <c r="AH1063" s="12"/>
      <c r="AI1063" s="12"/>
      <c r="AJ1063" s="12"/>
      <c r="AK1063" s="12"/>
      <c r="AL1063" s="12"/>
      <c r="AM1063" s="12"/>
      <c r="AN1063" s="12"/>
      <c r="AO1063" s="12"/>
      <c r="AP1063" s="12"/>
      <c r="AQ1063" s="12"/>
      <c r="AR1063" s="12"/>
      <c r="AS1063" s="12"/>
      <c r="AT1063" s="12"/>
      <c r="AU1063" s="12"/>
      <c r="AV1063" s="12"/>
      <c r="AW1063" s="12"/>
      <c r="AX1063" s="12"/>
      <c r="AY1063" s="12"/>
      <c r="AZ1063" s="12"/>
      <c r="BA1063" s="12"/>
      <c r="BB1063" s="12"/>
      <c r="BC1063" s="12"/>
      <c r="BD1063" s="12"/>
      <c r="BE1063" s="12"/>
      <c r="BF1063" s="12"/>
      <c r="BG1063" s="12"/>
      <c r="BH1063" s="12"/>
      <c r="BI1063" s="12"/>
      <c r="BJ1063" s="12"/>
      <c r="BK1063" s="12"/>
      <c r="BL1063" s="12"/>
      <c r="BM1063" s="12"/>
      <c r="BN1063" s="12"/>
      <c r="BO1063" s="12"/>
      <c r="BP1063" s="12"/>
      <c r="BQ1063" s="12"/>
      <c r="BR1063" s="12"/>
      <c r="BS1063" s="12"/>
      <c r="BT1063" s="12"/>
    </row>
    <row r="1064" spans="1:72">
      <c r="A1064" s="2" t="s">
        <v>20771</v>
      </c>
      <c r="B1064" s="5" t="s">
        <v>20775</v>
      </c>
      <c r="C1064" s="3" t="s">
        <v>138</v>
      </c>
      <c r="D1064" s="4" t="s">
        <v>138</v>
      </c>
      <c r="E1064" s="15" t="s">
        <v>1246</v>
      </c>
      <c r="F1064" s="15" t="s">
        <v>200</v>
      </c>
      <c r="G1064" s="15" t="s">
        <v>162</v>
      </c>
      <c r="H1064" s="7">
        <v>16</v>
      </c>
      <c r="I1064" s="6" t="s">
        <v>20783</v>
      </c>
      <c r="J1064" s="6" t="s">
        <v>43346</v>
      </c>
      <c r="K1064" s="6" t="s">
        <v>43347</v>
      </c>
      <c r="L1064" s="6" t="s">
        <v>43348</v>
      </c>
      <c r="M1064" s="6" t="s">
        <v>38299</v>
      </c>
      <c r="N1064" s="6" t="s">
        <v>40657</v>
      </c>
      <c r="O1064" s="6" t="s">
        <v>43349</v>
      </c>
      <c r="P1064" s="6" t="s">
        <v>37960</v>
      </c>
      <c r="Q1064" s="6" t="s">
        <v>37824</v>
      </c>
      <c r="R1064" s="6" t="s">
        <v>43350</v>
      </c>
      <c r="S1064" s="6" t="s">
        <v>43351</v>
      </c>
      <c r="T1064" s="6" t="s">
        <v>43352</v>
      </c>
      <c r="U1064" s="6" t="s">
        <v>38505</v>
      </c>
      <c r="V1064" s="6" t="s">
        <v>43353</v>
      </c>
      <c r="W1064" s="6" t="s">
        <v>43354</v>
      </c>
      <c r="X1064" s="6" t="s">
        <v>38201</v>
      </c>
      <c r="Y1064" s="6" t="s">
        <v>38145</v>
      </c>
      <c r="Z1064" s="6"/>
      <c r="AA1064" s="6"/>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c r="AY1064" s="6"/>
      <c r="AZ1064" s="6"/>
      <c r="BA1064" s="6"/>
      <c r="BB1064" s="6"/>
      <c r="BC1064" s="6"/>
      <c r="BD1064" s="6"/>
      <c r="BE1064" s="6"/>
      <c r="BF1064" s="6"/>
      <c r="BG1064" s="6"/>
      <c r="BH1064" s="6"/>
      <c r="BI1064" s="6"/>
      <c r="BJ1064" s="6"/>
      <c r="BK1064" s="6"/>
      <c r="BL1064" s="6"/>
      <c r="BM1064" s="6"/>
      <c r="BN1064" s="6"/>
      <c r="BO1064" s="6"/>
      <c r="BP1064" s="6"/>
      <c r="BQ1064" s="6"/>
      <c r="BR1064" s="6"/>
      <c r="BS1064" s="6"/>
      <c r="BT1064" s="6"/>
    </row>
    <row r="1065" spans="1:72">
      <c r="A1065" s="8" t="s">
        <v>20786</v>
      </c>
      <c r="B1065" s="11" t="s">
        <v>20790</v>
      </c>
      <c r="C1065" s="9" t="s">
        <v>138</v>
      </c>
      <c r="D1065" s="10" t="s">
        <v>138</v>
      </c>
      <c r="E1065" s="28" t="s">
        <v>3330</v>
      </c>
      <c r="F1065" s="28" t="s">
        <v>200</v>
      </c>
      <c r="G1065" s="28" t="s">
        <v>162</v>
      </c>
      <c r="H1065" s="13">
        <v>21</v>
      </c>
      <c r="I1065" s="12" t="s">
        <v>20799</v>
      </c>
      <c r="J1065" s="12" t="s">
        <v>43355</v>
      </c>
      <c r="K1065" s="12" t="s">
        <v>39305</v>
      </c>
      <c r="L1065" s="12" t="s">
        <v>43356</v>
      </c>
      <c r="M1065" s="12" t="s">
        <v>42264</v>
      </c>
      <c r="N1065" s="12" t="s">
        <v>43357</v>
      </c>
      <c r="O1065" s="12" t="s">
        <v>43358</v>
      </c>
      <c r="P1065" s="12" t="s">
        <v>42601</v>
      </c>
      <c r="Q1065" s="12" t="s">
        <v>43359</v>
      </c>
      <c r="R1065" s="12" t="s">
        <v>43360</v>
      </c>
      <c r="S1065" s="12" t="s">
        <v>43361</v>
      </c>
      <c r="T1065" s="12" t="s">
        <v>43362</v>
      </c>
      <c r="U1065" s="12" t="s">
        <v>43363</v>
      </c>
      <c r="V1065" s="12" t="s">
        <v>43364</v>
      </c>
      <c r="W1065" s="12" t="s">
        <v>39310</v>
      </c>
      <c r="X1065" s="12" t="s">
        <v>43365</v>
      </c>
      <c r="Y1065" s="12" t="s">
        <v>39311</v>
      </c>
      <c r="Z1065" s="12" t="s">
        <v>40118</v>
      </c>
      <c r="AA1065" s="12" t="s">
        <v>43366</v>
      </c>
      <c r="AB1065" s="12" t="s">
        <v>39811</v>
      </c>
      <c r="AC1065" s="12" t="s">
        <v>43367</v>
      </c>
      <c r="AD1065" s="12" t="s">
        <v>40525</v>
      </c>
      <c r="AE1065" s="12"/>
      <c r="AF1065" s="12"/>
      <c r="AG1065" s="12"/>
      <c r="AH1065" s="12"/>
      <c r="AI1065" s="12"/>
      <c r="AJ1065" s="12"/>
      <c r="AK1065" s="12"/>
      <c r="AL1065" s="12"/>
      <c r="AM1065" s="12"/>
      <c r="AN1065" s="12"/>
      <c r="AO1065" s="12"/>
      <c r="AP1065" s="12"/>
      <c r="AQ1065" s="12"/>
      <c r="AR1065" s="12"/>
      <c r="AS1065" s="12"/>
      <c r="AT1065" s="12"/>
      <c r="AU1065" s="12"/>
      <c r="AV1065" s="12"/>
      <c r="AW1065" s="12"/>
      <c r="AX1065" s="12"/>
      <c r="AY1065" s="12"/>
      <c r="AZ1065" s="12"/>
      <c r="BA1065" s="12"/>
      <c r="BB1065" s="12"/>
      <c r="BC1065" s="12"/>
      <c r="BD1065" s="12"/>
      <c r="BE1065" s="12"/>
      <c r="BF1065" s="12"/>
      <c r="BG1065" s="12"/>
      <c r="BH1065" s="12"/>
      <c r="BI1065" s="12"/>
      <c r="BJ1065" s="12"/>
      <c r="BK1065" s="12"/>
      <c r="BL1065" s="12"/>
      <c r="BM1065" s="12"/>
      <c r="BN1065" s="12"/>
      <c r="BO1065" s="12"/>
      <c r="BP1065" s="12"/>
      <c r="BQ1065" s="12"/>
      <c r="BR1065" s="12"/>
      <c r="BS1065" s="12"/>
      <c r="BT1065" s="12"/>
    </row>
    <row r="1066" spans="1:72">
      <c r="A1066" s="2" t="s">
        <v>20804</v>
      </c>
      <c r="B1066" s="5" t="s">
        <v>20809</v>
      </c>
      <c r="C1066" s="3" t="s">
        <v>138</v>
      </c>
      <c r="D1066" s="4" t="s">
        <v>138</v>
      </c>
      <c r="E1066" s="15" t="s">
        <v>20817</v>
      </c>
      <c r="F1066" s="15" t="s">
        <v>20818</v>
      </c>
      <c r="G1066" s="15" t="s">
        <v>450</v>
      </c>
      <c r="H1066" s="7">
        <v>9</v>
      </c>
      <c r="I1066" s="6" t="s">
        <v>20821</v>
      </c>
      <c r="J1066" s="6" t="s">
        <v>43368</v>
      </c>
      <c r="K1066" s="6" t="s">
        <v>38057</v>
      </c>
      <c r="L1066" s="6" t="s">
        <v>38058</v>
      </c>
      <c r="M1066" s="6" t="s">
        <v>43369</v>
      </c>
      <c r="N1066" s="6" t="s">
        <v>38667</v>
      </c>
      <c r="O1066" s="6" t="s">
        <v>38251</v>
      </c>
      <c r="P1066" s="6" t="s">
        <v>39517</v>
      </c>
      <c r="Q1066" s="6" t="s">
        <v>39221</v>
      </c>
      <c r="R1066" s="6" t="s">
        <v>39627</v>
      </c>
      <c r="S1066" s="6"/>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6"/>
      <c r="AY1066" s="6"/>
      <c r="AZ1066" s="6"/>
      <c r="BA1066" s="6"/>
      <c r="BB1066" s="6"/>
      <c r="BC1066" s="6"/>
      <c r="BD1066" s="6"/>
      <c r="BE1066" s="6"/>
      <c r="BF1066" s="6"/>
      <c r="BG1066" s="6"/>
      <c r="BH1066" s="6"/>
      <c r="BI1066" s="6"/>
      <c r="BJ1066" s="6"/>
      <c r="BK1066" s="6"/>
      <c r="BL1066" s="6"/>
      <c r="BM1066" s="6"/>
      <c r="BN1066" s="6"/>
      <c r="BO1066" s="6"/>
      <c r="BP1066" s="6"/>
      <c r="BQ1066" s="6"/>
      <c r="BR1066" s="6"/>
      <c r="BS1066" s="6"/>
      <c r="BT1066" s="6"/>
    </row>
    <row r="1067" spans="1:72">
      <c r="A1067" s="8" t="s">
        <v>20824</v>
      </c>
      <c r="B1067" s="11" t="s">
        <v>20829</v>
      </c>
      <c r="C1067" s="9" t="s">
        <v>138</v>
      </c>
      <c r="D1067" s="10" t="s">
        <v>20825</v>
      </c>
      <c r="E1067" s="28" t="s">
        <v>449</v>
      </c>
      <c r="F1067" s="28" t="s">
        <v>138</v>
      </c>
      <c r="G1067" s="28" t="s">
        <v>450</v>
      </c>
      <c r="H1067" s="13">
        <v>8</v>
      </c>
      <c r="I1067" s="12" t="s">
        <v>20837</v>
      </c>
      <c r="J1067" s="12" t="s">
        <v>38660</v>
      </c>
      <c r="K1067" s="12" t="s">
        <v>38663</v>
      </c>
      <c r="L1067" s="12" t="s">
        <v>42474</v>
      </c>
      <c r="M1067" s="12" t="s">
        <v>39865</v>
      </c>
      <c r="N1067" s="12" t="s">
        <v>38417</v>
      </c>
      <c r="O1067" s="12" t="s">
        <v>41753</v>
      </c>
      <c r="P1067" s="12" t="s">
        <v>38668</v>
      </c>
      <c r="Q1067" s="12" t="s">
        <v>40446</v>
      </c>
      <c r="R1067" s="12"/>
      <c r="S1067" s="12"/>
      <c r="T1067" s="12"/>
      <c r="U1067" s="12"/>
      <c r="V1067" s="12"/>
      <c r="W1067" s="12"/>
      <c r="X1067" s="12"/>
      <c r="Y1067" s="12"/>
      <c r="Z1067" s="12"/>
      <c r="AA1067" s="12"/>
      <c r="AB1067" s="12"/>
      <c r="AC1067" s="12"/>
      <c r="AD1067" s="12"/>
      <c r="AE1067" s="12"/>
      <c r="AF1067" s="12"/>
      <c r="AG1067" s="12"/>
      <c r="AH1067" s="12"/>
      <c r="AI1067" s="12"/>
      <c r="AJ1067" s="12"/>
      <c r="AK1067" s="12"/>
      <c r="AL1067" s="12"/>
      <c r="AM1067" s="12"/>
      <c r="AN1067" s="12"/>
      <c r="AO1067" s="12"/>
      <c r="AP1067" s="12"/>
      <c r="AQ1067" s="12"/>
      <c r="AR1067" s="12"/>
      <c r="AS1067" s="12"/>
      <c r="AT1067" s="12"/>
      <c r="AU1067" s="12"/>
      <c r="AV1067" s="12"/>
      <c r="AW1067" s="12"/>
      <c r="AX1067" s="12"/>
      <c r="AY1067" s="12"/>
      <c r="AZ1067" s="12"/>
      <c r="BA1067" s="12"/>
      <c r="BB1067" s="12"/>
      <c r="BC1067" s="12"/>
      <c r="BD1067" s="12"/>
      <c r="BE1067" s="12"/>
      <c r="BF1067" s="12"/>
      <c r="BG1067" s="12"/>
      <c r="BH1067" s="12"/>
      <c r="BI1067" s="12"/>
      <c r="BJ1067" s="12"/>
      <c r="BK1067" s="12"/>
      <c r="BL1067" s="12"/>
      <c r="BM1067" s="12"/>
      <c r="BN1067" s="12"/>
      <c r="BO1067" s="12"/>
      <c r="BP1067" s="12"/>
      <c r="BQ1067" s="12"/>
      <c r="BR1067" s="12"/>
      <c r="BS1067" s="12"/>
      <c r="BT1067" s="12"/>
    </row>
    <row r="1068" spans="1:72">
      <c r="A1068" s="2" t="s">
        <v>20840</v>
      </c>
      <c r="B1068" s="5" t="s">
        <v>20843</v>
      </c>
      <c r="C1068" s="3" t="s">
        <v>138</v>
      </c>
      <c r="D1068" s="4" t="s">
        <v>138</v>
      </c>
      <c r="E1068" s="15" t="s">
        <v>1198</v>
      </c>
      <c r="F1068" s="15" t="s">
        <v>20851</v>
      </c>
      <c r="G1068" s="15" t="s">
        <v>1200</v>
      </c>
      <c r="H1068" s="7">
        <v>6</v>
      </c>
      <c r="I1068" s="6" t="s">
        <v>20856</v>
      </c>
      <c r="J1068" s="6" t="s">
        <v>43370</v>
      </c>
      <c r="K1068" s="6" t="s">
        <v>39460</v>
      </c>
      <c r="L1068" s="6" t="s">
        <v>39343</v>
      </c>
      <c r="M1068" s="6" t="s">
        <v>38065</v>
      </c>
      <c r="N1068" s="6" t="s">
        <v>43371</v>
      </c>
      <c r="O1068" s="6" t="s">
        <v>39197</v>
      </c>
      <c r="P1068" s="6"/>
      <c r="Q1068" s="6"/>
      <c r="R1068" s="6"/>
      <c r="S1068" s="6"/>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c r="AQ1068" s="6"/>
      <c r="AR1068" s="6"/>
      <c r="AS1068" s="6"/>
      <c r="AT1068" s="6"/>
      <c r="AU1068" s="6"/>
      <c r="AV1068" s="6"/>
      <c r="AW1068" s="6"/>
      <c r="AX1068" s="6"/>
      <c r="AY1068" s="6"/>
      <c r="AZ1068" s="6"/>
      <c r="BA1068" s="6"/>
      <c r="BB1068" s="6"/>
      <c r="BC1068" s="6"/>
      <c r="BD1068" s="6"/>
      <c r="BE1068" s="6"/>
      <c r="BF1068" s="6"/>
      <c r="BG1068" s="6"/>
      <c r="BH1068" s="6"/>
      <c r="BI1068" s="6"/>
      <c r="BJ1068" s="6"/>
      <c r="BK1068" s="6"/>
      <c r="BL1068" s="6"/>
      <c r="BM1068" s="6"/>
      <c r="BN1068" s="6"/>
      <c r="BO1068" s="6"/>
      <c r="BP1068" s="6"/>
      <c r="BQ1068" s="6"/>
      <c r="BR1068" s="6"/>
      <c r="BS1068" s="6"/>
      <c r="BT1068" s="6"/>
    </row>
    <row r="1069" spans="1:72">
      <c r="A1069" s="8" t="s">
        <v>20859</v>
      </c>
      <c r="B1069" s="11" t="s">
        <v>20863</v>
      </c>
      <c r="C1069" s="9" t="s">
        <v>138</v>
      </c>
      <c r="D1069" s="10" t="s">
        <v>20860</v>
      </c>
      <c r="E1069" s="28" t="s">
        <v>2330</v>
      </c>
      <c r="F1069" s="28" t="s">
        <v>2331</v>
      </c>
      <c r="G1069" s="28" t="s">
        <v>2333</v>
      </c>
      <c r="H1069" s="13">
        <v>4</v>
      </c>
      <c r="I1069" s="12" t="s">
        <v>20875</v>
      </c>
      <c r="J1069" s="12" t="s">
        <v>25820</v>
      </c>
      <c r="K1069" s="12" t="s">
        <v>38062</v>
      </c>
      <c r="L1069" s="12" t="s">
        <v>43372</v>
      </c>
      <c r="M1069" s="12" t="s">
        <v>38067</v>
      </c>
      <c r="N1069" s="12"/>
      <c r="O1069" s="12"/>
      <c r="P1069" s="12"/>
      <c r="Q1069" s="12"/>
      <c r="R1069" s="12"/>
      <c r="S1069" s="12"/>
      <c r="T1069" s="12"/>
      <c r="U1069" s="12"/>
      <c r="V1069" s="12"/>
      <c r="W1069" s="12"/>
      <c r="X1069" s="12"/>
      <c r="Y1069" s="12"/>
      <c r="Z1069" s="12"/>
      <c r="AA1069" s="12"/>
      <c r="AB1069" s="12"/>
      <c r="AC1069" s="12"/>
      <c r="AD1069" s="12"/>
      <c r="AE1069" s="12"/>
      <c r="AF1069" s="12"/>
      <c r="AG1069" s="12"/>
      <c r="AH1069" s="12"/>
      <c r="AI1069" s="12"/>
      <c r="AJ1069" s="12"/>
      <c r="AK1069" s="12"/>
      <c r="AL1069" s="12"/>
      <c r="AM1069" s="12"/>
      <c r="AN1069" s="12"/>
      <c r="AO1069" s="12"/>
      <c r="AP1069" s="12"/>
      <c r="AQ1069" s="12"/>
      <c r="AR1069" s="12"/>
      <c r="AS1069" s="12"/>
      <c r="AT1069" s="12"/>
      <c r="AU1069" s="12"/>
      <c r="AV1069" s="12"/>
      <c r="AW1069" s="12"/>
      <c r="AX1069" s="12"/>
      <c r="AY1069" s="12"/>
      <c r="AZ1069" s="12"/>
      <c r="BA1069" s="12"/>
      <c r="BB1069" s="12"/>
      <c r="BC1069" s="12"/>
      <c r="BD1069" s="12"/>
      <c r="BE1069" s="12"/>
      <c r="BF1069" s="12"/>
      <c r="BG1069" s="12"/>
      <c r="BH1069" s="12"/>
      <c r="BI1069" s="12"/>
      <c r="BJ1069" s="12"/>
      <c r="BK1069" s="12"/>
      <c r="BL1069" s="12"/>
      <c r="BM1069" s="12"/>
      <c r="BN1069" s="12"/>
      <c r="BO1069" s="12"/>
      <c r="BP1069" s="12"/>
      <c r="BQ1069" s="12"/>
      <c r="BR1069" s="12"/>
      <c r="BS1069" s="12"/>
      <c r="BT1069" s="12"/>
    </row>
    <row r="1070" spans="1:72">
      <c r="A1070" s="2" t="s">
        <v>20878</v>
      </c>
      <c r="B1070" s="5" t="s">
        <v>20883</v>
      </c>
      <c r="C1070" s="3" t="s">
        <v>138</v>
      </c>
      <c r="D1070" s="4" t="s">
        <v>20879</v>
      </c>
      <c r="E1070" s="15" t="s">
        <v>138</v>
      </c>
      <c r="F1070" s="15" t="s">
        <v>200</v>
      </c>
      <c r="G1070" s="15" t="s">
        <v>162</v>
      </c>
      <c r="H1070" s="7">
        <v>4</v>
      </c>
      <c r="I1070" s="6" t="s">
        <v>20893</v>
      </c>
      <c r="J1070" s="6" t="s">
        <v>6235</v>
      </c>
      <c r="K1070" s="6" t="s">
        <v>43373</v>
      </c>
      <c r="L1070" s="6" t="s">
        <v>38791</v>
      </c>
      <c r="M1070" s="6" t="s">
        <v>43164</v>
      </c>
      <c r="N1070" s="6"/>
      <c r="O1070" s="6"/>
      <c r="P1070" s="6"/>
      <c r="Q1070" s="6"/>
      <c r="R1070" s="6"/>
      <c r="S1070" s="6"/>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6"/>
      <c r="AY1070" s="6"/>
      <c r="AZ1070" s="6"/>
      <c r="BA1070" s="6"/>
      <c r="BB1070" s="6"/>
      <c r="BC1070" s="6"/>
      <c r="BD1070" s="6"/>
      <c r="BE1070" s="6"/>
      <c r="BF1070" s="6"/>
      <c r="BG1070" s="6"/>
      <c r="BH1070" s="6"/>
      <c r="BI1070" s="6"/>
      <c r="BJ1070" s="6"/>
      <c r="BK1070" s="6"/>
      <c r="BL1070" s="6"/>
      <c r="BM1070" s="6"/>
      <c r="BN1070" s="6"/>
      <c r="BO1070" s="6"/>
      <c r="BP1070" s="6"/>
      <c r="BQ1070" s="6"/>
      <c r="BR1070" s="6"/>
      <c r="BS1070" s="6"/>
      <c r="BT1070" s="6"/>
    </row>
    <row r="1071" spans="1:72">
      <c r="A1071" s="8" t="s">
        <v>20896</v>
      </c>
      <c r="B1071" s="11" t="s">
        <v>20901</v>
      </c>
      <c r="C1071" s="9" t="s">
        <v>138</v>
      </c>
      <c r="D1071" s="10" t="s">
        <v>20897</v>
      </c>
      <c r="E1071" s="28" t="s">
        <v>20907</v>
      </c>
      <c r="F1071" s="28" t="s">
        <v>6099</v>
      </c>
      <c r="G1071" s="28" t="s">
        <v>2071</v>
      </c>
      <c r="H1071" s="13">
        <v>4</v>
      </c>
      <c r="I1071" s="12" t="s">
        <v>20911</v>
      </c>
      <c r="J1071" s="12" t="s">
        <v>2075</v>
      </c>
      <c r="K1071" s="12" t="s">
        <v>43374</v>
      </c>
      <c r="L1071" s="12" t="s">
        <v>43375</v>
      </c>
      <c r="M1071" s="12" t="s">
        <v>43376</v>
      </c>
      <c r="N1071" s="12"/>
      <c r="O1071" s="12"/>
      <c r="P1071" s="12"/>
      <c r="Q1071" s="12"/>
      <c r="R1071" s="12"/>
      <c r="S1071" s="12"/>
      <c r="T1071" s="12"/>
      <c r="U1071" s="12"/>
      <c r="V1071" s="12"/>
      <c r="W1071" s="12"/>
      <c r="X1071" s="12"/>
      <c r="Y1071" s="12"/>
      <c r="Z1071" s="12"/>
      <c r="AA1071" s="12"/>
      <c r="AB1071" s="12"/>
      <c r="AC1071" s="12"/>
      <c r="AD1071" s="12"/>
      <c r="AE1071" s="12"/>
      <c r="AF1071" s="12"/>
      <c r="AG1071" s="12"/>
      <c r="AH1071" s="12"/>
      <c r="AI1071" s="12"/>
      <c r="AJ1071" s="12"/>
      <c r="AK1071" s="12"/>
      <c r="AL1071" s="12"/>
      <c r="AM1071" s="12"/>
      <c r="AN1071" s="12"/>
      <c r="AO1071" s="12"/>
      <c r="AP1071" s="12"/>
      <c r="AQ1071" s="12"/>
      <c r="AR1071" s="12"/>
      <c r="AS1071" s="12"/>
      <c r="AT1071" s="12"/>
      <c r="AU1071" s="12"/>
      <c r="AV1071" s="12"/>
      <c r="AW1071" s="12"/>
      <c r="AX1071" s="12"/>
      <c r="AY1071" s="12"/>
      <c r="AZ1071" s="12"/>
      <c r="BA1071" s="12"/>
      <c r="BB1071" s="12"/>
      <c r="BC1071" s="12"/>
      <c r="BD1071" s="12"/>
      <c r="BE1071" s="12"/>
      <c r="BF1071" s="12"/>
      <c r="BG1071" s="12"/>
      <c r="BH1071" s="12"/>
      <c r="BI1071" s="12"/>
      <c r="BJ1071" s="12"/>
      <c r="BK1071" s="12"/>
      <c r="BL1071" s="12"/>
      <c r="BM1071" s="12"/>
      <c r="BN1071" s="12"/>
      <c r="BO1071" s="12"/>
      <c r="BP1071" s="12"/>
      <c r="BQ1071" s="12"/>
      <c r="BR1071" s="12"/>
      <c r="BS1071" s="12"/>
      <c r="BT1071" s="12"/>
    </row>
    <row r="1072" spans="1:72">
      <c r="A1072" s="2" t="s">
        <v>20914</v>
      </c>
      <c r="B1072" s="5" t="s">
        <v>20918</v>
      </c>
      <c r="C1072" s="3" t="s">
        <v>138</v>
      </c>
      <c r="D1072" s="4" t="s">
        <v>138</v>
      </c>
      <c r="E1072" s="15" t="s">
        <v>3907</v>
      </c>
      <c r="F1072" s="15" t="s">
        <v>2740</v>
      </c>
      <c r="G1072" s="15" t="s">
        <v>2742</v>
      </c>
      <c r="H1072" s="7">
        <v>4</v>
      </c>
      <c r="I1072" s="6" t="s">
        <v>20924</v>
      </c>
      <c r="J1072" s="6" t="s">
        <v>43377</v>
      </c>
      <c r="K1072" s="6" t="s">
        <v>40247</v>
      </c>
      <c r="L1072" s="6" t="s">
        <v>43378</v>
      </c>
      <c r="M1072" s="6" t="s">
        <v>37781</v>
      </c>
      <c r="N1072" s="6"/>
      <c r="O1072" s="6"/>
      <c r="P1072" s="6"/>
      <c r="Q1072" s="6"/>
      <c r="R1072" s="6"/>
      <c r="S1072" s="6"/>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6"/>
      <c r="AY1072" s="6"/>
      <c r="AZ1072" s="6"/>
      <c r="BA1072" s="6"/>
      <c r="BB1072" s="6"/>
      <c r="BC1072" s="6"/>
      <c r="BD1072" s="6"/>
      <c r="BE1072" s="6"/>
      <c r="BF1072" s="6"/>
      <c r="BG1072" s="6"/>
      <c r="BH1072" s="6"/>
      <c r="BI1072" s="6"/>
      <c r="BJ1072" s="6"/>
      <c r="BK1072" s="6"/>
      <c r="BL1072" s="6"/>
      <c r="BM1072" s="6"/>
      <c r="BN1072" s="6"/>
      <c r="BO1072" s="6"/>
      <c r="BP1072" s="6"/>
      <c r="BQ1072" s="6"/>
      <c r="BR1072" s="6"/>
      <c r="BS1072" s="6"/>
      <c r="BT1072" s="6"/>
    </row>
    <row r="1073" spans="1:72">
      <c r="A1073" s="8" t="s">
        <v>20927</v>
      </c>
      <c r="B1073" s="11" t="s">
        <v>20932</v>
      </c>
      <c r="C1073" s="9" t="s">
        <v>138</v>
      </c>
      <c r="D1073" s="10" t="s">
        <v>138</v>
      </c>
      <c r="E1073" s="28" t="s">
        <v>20941</v>
      </c>
      <c r="F1073" s="28" t="s">
        <v>597</v>
      </c>
      <c r="G1073" s="28" t="s">
        <v>162</v>
      </c>
      <c r="H1073" s="13">
        <v>11</v>
      </c>
      <c r="I1073" s="12" t="s">
        <v>20947</v>
      </c>
      <c r="J1073" s="12" t="s">
        <v>16877</v>
      </c>
      <c r="K1073" s="12" t="s">
        <v>43379</v>
      </c>
      <c r="L1073" s="12" t="s">
        <v>37786</v>
      </c>
      <c r="M1073" s="12" t="s">
        <v>37929</v>
      </c>
      <c r="N1073" s="12" t="s">
        <v>37930</v>
      </c>
      <c r="O1073" s="12" t="s">
        <v>39445</v>
      </c>
      <c r="P1073" s="12" t="s">
        <v>43380</v>
      </c>
      <c r="Q1073" s="12" t="s">
        <v>43381</v>
      </c>
      <c r="R1073" s="12" t="s">
        <v>43382</v>
      </c>
      <c r="S1073" s="12" t="s">
        <v>43383</v>
      </c>
      <c r="T1073" s="12" t="s">
        <v>43384</v>
      </c>
      <c r="U1073" s="12"/>
      <c r="V1073" s="12"/>
      <c r="W1073" s="12"/>
      <c r="X1073" s="12"/>
      <c r="Y1073" s="12"/>
      <c r="Z1073" s="12"/>
      <c r="AA1073" s="12"/>
      <c r="AB1073" s="12"/>
      <c r="AC1073" s="12"/>
      <c r="AD1073" s="12"/>
      <c r="AE1073" s="12"/>
      <c r="AF1073" s="12"/>
      <c r="AG1073" s="12"/>
      <c r="AH1073" s="12"/>
      <c r="AI1073" s="12"/>
      <c r="AJ1073" s="12"/>
      <c r="AK1073" s="12"/>
      <c r="AL1073" s="12"/>
      <c r="AM1073" s="12"/>
      <c r="AN1073" s="12"/>
      <c r="AO1073" s="12"/>
      <c r="AP1073" s="12"/>
      <c r="AQ1073" s="12"/>
      <c r="AR1073" s="12"/>
      <c r="AS1073" s="12"/>
      <c r="AT1073" s="12"/>
      <c r="AU1073" s="12"/>
      <c r="AV1073" s="12"/>
      <c r="AW1073" s="12"/>
      <c r="AX1073" s="12"/>
      <c r="AY1073" s="12"/>
      <c r="AZ1073" s="12"/>
      <c r="BA1073" s="12"/>
      <c r="BB1073" s="12"/>
      <c r="BC1073" s="12"/>
      <c r="BD1073" s="12"/>
      <c r="BE1073" s="12"/>
      <c r="BF1073" s="12"/>
      <c r="BG1073" s="12"/>
      <c r="BH1073" s="12"/>
      <c r="BI1073" s="12"/>
      <c r="BJ1073" s="12"/>
      <c r="BK1073" s="12"/>
      <c r="BL1073" s="12"/>
      <c r="BM1073" s="12"/>
      <c r="BN1073" s="12"/>
      <c r="BO1073" s="12"/>
      <c r="BP1073" s="12"/>
      <c r="BQ1073" s="12"/>
      <c r="BR1073" s="12"/>
      <c r="BS1073" s="12"/>
      <c r="BT1073" s="12"/>
    </row>
    <row r="1074" spans="1:72">
      <c r="A1074" s="2" t="s">
        <v>20951</v>
      </c>
      <c r="B1074" s="5" t="s">
        <v>20957</v>
      </c>
      <c r="C1074" s="3" t="s">
        <v>20952</v>
      </c>
      <c r="D1074" s="4" t="s">
        <v>138</v>
      </c>
      <c r="E1074" s="15" t="s">
        <v>642</v>
      </c>
      <c r="F1074" s="15" t="s">
        <v>474</v>
      </c>
      <c r="G1074" s="15" t="s">
        <v>162</v>
      </c>
      <c r="H1074" s="7">
        <v>10</v>
      </c>
      <c r="I1074" s="6" t="s">
        <v>20970</v>
      </c>
      <c r="J1074" s="6" t="s">
        <v>43385</v>
      </c>
      <c r="K1074" s="6" t="s">
        <v>43386</v>
      </c>
      <c r="L1074" s="6" t="s">
        <v>38825</v>
      </c>
      <c r="M1074" s="6" t="s">
        <v>41368</v>
      </c>
      <c r="N1074" s="6" t="s">
        <v>37953</v>
      </c>
      <c r="O1074" s="6" t="s">
        <v>37931</v>
      </c>
      <c r="P1074" s="6" t="s">
        <v>37892</v>
      </c>
      <c r="Q1074" s="6" t="s">
        <v>42725</v>
      </c>
      <c r="R1074" s="6" t="s">
        <v>37893</v>
      </c>
      <c r="S1074" s="6" t="s">
        <v>38831</v>
      </c>
      <c r="T1074" s="6"/>
      <c r="U1074" s="6"/>
      <c r="V1074" s="6"/>
      <c r="W1074" s="6"/>
      <c r="X1074" s="6"/>
      <c r="Y1074" s="6"/>
      <c r="Z1074" s="6"/>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6"/>
      <c r="AY1074" s="6"/>
      <c r="AZ1074" s="6"/>
      <c r="BA1074" s="6"/>
      <c r="BB1074" s="6"/>
      <c r="BC1074" s="6"/>
      <c r="BD1074" s="6"/>
      <c r="BE1074" s="6"/>
      <c r="BF1074" s="6"/>
      <c r="BG1074" s="6"/>
      <c r="BH1074" s="6"/>
      <c r="BI1074" s="6"/>
      <c r="BJ1074" s="6"/>
      <c r="BK1074" s="6"/>
      <c r="BL1074" s="6"/>
      <c r="BM1074" s="6"/>
      <c r="BN1074" s="6"/>
      <c r="BO1074" s="6"/>
      <c r="BP1074" s="6"/>
      <c r="BQ1074" s="6"/>
      <c r="BR1074" s="6"/>
      <c r="BS1074" s="6"/>
      <c r="BT1074" s="6"/>
    </row>
    <row r="1075" spans="1:72">
      <c r="A1075" s="8" t="s">
        <v>20975</v>
      </c>
      <c r="B1075" s="11" t="s">
        <v>20979</v>
      </c>
      <c r="C1075" s="9" t="s">
        <v>138</v>
      </c>
      <c r="D1075" s="10" t="s">
        <v>138</v>
      </c>
      <c r="E1075" s="28" t="s">
        <v>13086</v>
      </c>
      <c r="F1075" s="28" t="s">
        <v>200</v>
      </c>
      <c r="G1075" s="28" t="s">
        <v>162</v>
      </c>
      <c r="H1075" s="13">
        <v>9</v>
      </c>
      <c r="I1075" s="12" t="s">
        <v>20986</v>
      </c>
      <c r="J1075" s="12" t="s">
        <v>41592</v>
      </c>
      <c r="K1075" s="12" t="s">
        <v>40362</v>
      </c>
      <c r="L1075" s="12" t="s">
        <v>43387</v>
      </c>
      <c r="M1075" s="12" t="s">
        <v>42844</v>
      </c>
      <c r="N1075" s="12" t="s">
        <v>37989</v>
      </c>
      <c r="O1075" s="12" t="s">
        <v>41849</v>
      </c>
      <c r="P1075" s="12" t="s">
        <v>40138</v>
      </c>
      <c r="Q1075" s="12" t="s">
        <v>39259</v>
      </c>
      <c r="R1075" s="12" t="s">
        <v>37998</v>
      </c>
      <c r="S1075" s="12"/>
      <c r="T1075" s="12"/>
      <c r="U1075" s="12"/>
      <c r="V1075" s="12"/>
      <c r="W1075" s="12"/>
      <c r="X1075" s="12"/>
      <c r="Y1075" s="12"/>
      <c r="Z1075" s="12"/>
      <c r="AA1075" s="12"/>
      <c r="AB1075" s="12"/>
      <c r="AC1075" s="12"/>
      <c r="AD1075" s="12"/>
      <c r="AE1075" s="12"/>
      <c r="AF1075" s="12"/>
      <c r="AG1075" s="12"/>
      <c r="AH1075" s="12"/>
      <c r="AI1075" s="12"/>
      <c r="AJ1075" s="12"/>
      <c r="AK1075" s="12"/>
      <c r="AL1075" s="12"/>
      <c r="AM1075" s="12"/>
      <c r="AN1075" s="12"/>
      <c r="AO1075" s="12"/>
      <c r="AP1075" s="12"/>
      <c r="AQ1075" s="12"/>
      <c r="AR1075" s="12"/>
      <c r="AS1075" s="12"/>
      <c r="AT1075" s="12"/>
      <c r="AU1075" s="12"/>
      <c r="AV1075" s="12"/>
      <c r="AW1075" s="12"/>
      <c r="AX1075" s="12"/>
      <c r="AY1075" s="12"/>
      <c r="AZ1075" s="12"/>
      <c r="BA1075" s="12"/>
      <c r="BB1075" s="12"/>
      <c r="BC1075" s="12"/>
      <c r="BD1075" s="12"/>
      <c r="BE1075" s="12"/>
      <c r="BF1075" s="12"/>
      <c r="BG1075" s="12"/>
      <c r="BH1075" s="12"/>
      <c r="BI1075" s="12"/>
      <c r="BJ1075" s="12"/>
      <c r="BK1075" s="12"/>
      <c r="BL1075" s="12"/>
      <c r="BM1075" s="12"/>
      <c r="BN1075" s="12"/>
      <c r="BO1075" s="12"/>
      <c r="BP1075" s="12"/>
      <c r="BQ1075" s="12"/>
      <c r="BR1075" s="12"/>
      <c r="BS1075" s="12"/>
      <c r="BT1075" s="12"/>
    </row>
    <row r="1076" spans="1:72">
      <c r="A1076" s="2" t="s">
        <v>20989</v>
      </c>
      <c r="B1076" s="5" t="s">
        <v>20993</v>
      </c>
      <c r="C1076" s="3" t="s">
        <v>138</v>
      </c>
      <c r="D1076" s="4" t="s">
        <v>138</v>
      </c>
      <c r="E1076" s="15" t="s">
        <v>2651</v>
      </c>
      <c r="F1076" s="15" t="s">
        <v>200</v>
      </c>
      <c r="G1076" s="15" t="s">
        <v>162</v>
      </c>
      <c r="H1076" s="7">
        <v>7</v>
      </c>
      <c r="I1076" s="6" t="s">
        <v>21002</v>
      </c>
      <c r="J1076" s="6" t="s">
        <v>43388</v>
      </c>
      <c r="K1076" s="6" t="s">
        <v>37832</v>
      </c>
      <c r="L1076" s="6" t="s">
        <v>43389</v>
      </c>
      <c r="M1076" s="6" t="s">
        <v>40883</v>
      </c>
      <c r="N1076" s="6" t="s">
        <v>40049</v>
      </c>
      <c r="O1076" s="6" t="s">
        <v>38705</v>
      </c>
      <c r="P1076" s="6" t="s">
        <v>38706</v>
      </c>
      <c r="Q1076" s="6"/>
      <c r="R1076" s="6"/>
      <c r="S1076" s="6"/>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6"/>
      <c r="AY1076" s="6"/>
      <c r="AZ1076" s="6"/>
      <c r="BA1076" s="6"/>
      <c r="BB1076" s="6"/>
      <c r="BC1076" s="6"/>
      <c r="BD1076" s="6"/>
      <c r="BE1076" s="6"/>
      <c r="BF1076" s="6"/>
      <c r="BG1076" s="6"/>
      <c r="BH1076" s="6"/>
      <c r="BI1076" s="6"/>
      <c r="BJ1076" s="6"/>
      <c r="BK1076" s="6"/>
      <c r="BL1076" s="6"/>
      <c r="BM1076" s="6"/>
      <c r="BN1076" s="6"/>
      <c r="BO1076" s="6"/>
      <c r="BP1076" s="6"/>
      <c r="BQ1076" s="6"/>
      <c r="BR1076" s="6"/>
      <c r="BS1076" s="6"/>
      <c r="BT1076" s="6"/>
    </row>
    <row r="1077" spans="1:72">
      <c r="A1077" s="8" t="s">
        <v>21005</v>
      </c>
      <c r="B1077" s="11" t="s">
        <v>21008</v>
      </c>
      <c r="C1077" s="9" t="s">
        <v>138</v>
      </c>
      <c r="D1077" s="10" t="s">
        <v>138</v>
      </c>
      <c r="E1077" s="28" t="s">
        <v>4466</v>
      </c>
      <c r="F1077" s="28" t="s">
        <v>426</v>
      </c>
      <c r="G1077" s="28" t="s">
        <v>162</v>
      </c>
      <c r="H1077" s="13">
        <v>1</v>
      </c>
      <c r="I1077" s="12" t="s">
        <v>2783</v>
      </c>
      <c r="J1077" s="12" t="s">
        <v>2783</v>
      </c>
      <c r="K1077" s="12"/>
      <c r="L1077" s="12"/>
      <c r="M1077" s="12"/>
      <c r="N1077" s="12"/>
      <c r="O1077" s="12"/>
      <c r="P1077" s="12"/>
      <c r="Q1077" s="12"/>
      <c r="R1077" s="12"/>
      <c r="S1077" s="12"/>
      <c r="T1077" s="12"/>
      <c r="U1077" s="12"/>
      <c r="V1077" s="12"/>
      <c r="W1077" s="12"/>
      <c r="X1077" s="12"/>
      <c r="Y1077" s="12"/>
      <c r="Z1077" s="12"/>
      <c r="AA1077" s="12"/>
      <c r="AB1077" s="12"/>
      <c r="AC1077" s="12"/>
      <c r="AD1077" s="12"/>
      <c r="AE1077" s="12"/>
      <c r="AF1077" s="12"/>
      <c r="AG1077" s="12"/>
      <c r="AH1077" s="12"/>
      <c r="AI1077" s="12"/>
      <c r="AJ1077" s="12"/>
      <c r="AK1077" s="12"/>
      <c r="AL1077" s="12"/>
      <c r="AM1077" s="12"/>
      <c r="AN1077" s="12"/>
      <c r="AO1077" s="12"/>
      <c r="AP1077" s="12"/>
      <c r="AQ1077" s="12"/>
      <c r="AR1077" s="12"/>
      <c r="AS1077" s="12"/>
      <c r="AT1077" s="12"/>
      <c r="AU1077" s="12"/>
      <c r="AV1077" s="12"/>
      <c r="AW1077" s="12"/>
      <c r="AX1077" s="12"/>
      <c r="AY1077" s="12"/>
      <c r="AZ1077" s="12"/>
      <c r="BA1077" s="12"/>
      <c r="BB1077" s="12"/>
      <c r="BC1077" s="12"/>
      <c r="BD1077" s="12"/>
      <c r="BE1077" s="12"/>
      <c r="BF1077" s="12"/>
      <c r="BG1077" s="12"/>
      <c r="BH1077" s="12"/>
      <c r="BI1077" s="12"/>
      <c r="BJ1077" s="12"/>
      <c r="BK1077" s="12"/>
      <c r="BL1077" s="12"/>
      <c r="BM1077" s="12"/>
      <c r="BN1077" s="12"/>
      <c r="BO1077" s="12"/>
      <c r="BP1077" s="12"/>
      <c r="BQ1077" s="12"/>
      <c r="BR1077" s="12"/>
      <c r="BS1077" s="12"/>
      <c r="BT1077" s="12"/>
    </row>
    <row r="1078" spans="1:72">
      <c r="A1078" s="2" t="s">
        <v>21018</v>
      </c>
      <c r="B1078" s="5" t="s">
        <v>21024</v>
      </c>
      <c r="C1078" s="3" t="s">
        <v>21019</v>
      </c>
      <c r="D1078" s="4" t="s">
        <v>138</v>
      </c>
      <c r="E1078" s="15" t="s">
        <v>2651</v>
      </c>
      <c r="F1078" s="15" t="s">
        <v>200</v>
      </c>
      <c r="G1078" s="15" t="s">
        <v>162</v>
      </c>
      <c r="H1078" s="7">
        <v>3</v>
      </c>
      <c r="I1078" s="6" t="s">
        <v>21034</v>
      </c>
      <c r="J1078" s="6" t="s">
        <v>43390</v>
      </c>
      <c r="K1078" s="6" t="s">
        <v>37819</v>
      </c>
      <c r="L1078" s="6" t="s">
        <v>40957</v>
      </c>
      <c r="M1078" s="6"/>
      <c r="N1078" s="6"/>
      <c r="O1078" s="6"/>
      <c r="P1078" s="6"/>
      <c r="Q1078" s="6"/>
      <c r="R1078" s="6"/>
      <c r="S1078" s="6"/>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c r="AQ1078" s="6"/>
      <c r="AR1078" s="6"/>
      <c r="AS1078" s="6"/>
      <c r="AT1078" s="6"/>
      <c r="AU1078" s="6"/>
      <c r="AV1078" s="6"/>
      <c r="AW1078" s="6"/>
      <c r="AX1078" s="6"/>
      <c r="AY1078" s="6"/>
      <c r="AZ1078" s="6"/>
      <c r="BA1078" s="6"/>
      <c r="BB1078" s="6"/>
      <c r="BC1078" s="6"/>
      <c r="BD1078" s="6"/>
      <c r="BE1078" s="6"/>
      <c r="BF1078" s="6"/>
      <c r="BG1078" s="6"/>
      <c r="BH1078" s="6"/>
      <c r="BI1078" s="6"/>
      <c r="BJ1078" s="6"/>
      <c r="BK1078" s="6"/>
      <c r="BL1078" s="6"/>
      <c r="BM1078" s="6"/>
      <c r="BN1078" s="6"/>
      <c r="BO1078" s="6"/>
      <c r="BP1078" s="6"/>
      <c r="BQ1078" s="6"/>
      <c r="BR1078" s="6"/>
      <c r="BS1078" s="6"/>
      <c r="BT1078" s="6"/>
    </row>
    <row r="1079" spans="1:72">
      <c r="A1079" s="8" t="s">
        <v>21038</v>
      </c>
      <c r="B1079" s="11" t="s">
        <v>21042</v>
      </c>
      <c r="C1079" s="9" t="s">
        <v>138</v>
      </c>
      <c r="D1079" s="10" t="s">
        <v>138</v>
      </c>
      <c r="E1079" s="28" t="s">
        <v>449</v>
      </c>
      <c r="F1079" s="28" t="s">
        <v>138</v>
      </c>
      <c r="G1079" s="28" t="s">
        <v>450</v>
      </c>
      <c r="H1079" s="13">
        <v>10</v>
      </c>
      <c r="I1079" s="12" t="s">
        <v>21053</v>
      </c>
      <c r="J1079" s="12" t="s">
        <v>38660</v>
      </c>
      <c r="K1079" s="12" t="s">
        <v>38663</v>
      </c>
      <c r="L1079" s="12" t="s">
        <v>42593</v>
      </c>
      <c r="M1079" s="12" t="s">
        <v>43391</v>
      </c>
      <c r="N1079" s="12" t="s">
        <v>43392</v>
      </c>
      <c r="O1079" s="12" t="s">
        <v>39219</v>
      </c>
      <c r="P1079" s="12" t="s">
        <v>43393</v>
      </c>
      <c r="Q1079" s="12" t="s">
        <v>40959</v>
      </c>
      <c r="R1079" s="12" t="s">
        <v>40695</v>
      </c>
      <c r="S1079" s="12" t="s">
        <v>38631</v>
      </c>
      <c r="T1079" s="12"/>
      <c r="U1079" s="12"/>
      <c r="V1079" s="12"/>
      <c r="W1079" s="12"/>
      <c r="X1079" s="12"/>
      <c r="Y1079" s="12"/>
      <c r="Z1079" s="12"/>
      <c r="AA1079" s="12"/>
      <c r="AB1079" s="12"/>
      <c r="AC1079" s="12"/>
      <c r="AD1079" s="12"/>
      <c r="AE1079" s="12"/>
      <c r="AF1079" s="12"/>
      <c r="AG1079" s="12"/>
      <c r="AH1079" s="12"/>
      <c r="AI1079" s="12"/>
      <c r="AJ1079" s="12"/>
      <c r="AK1079" s="12"/>
      <c r="AL1079" s="12"/>
      <c r="AM1079" s="12"/>
      <c r="AN1079" s="12"/>
      <c r="AO1079" s="12"/>
      <c r="AP1079" s="12"/>
      <c r="AQ1079" s="12"/>
      <c r="AR1079" s="12"/>
      <c r="AS1079" s="12"/>
      <c r="AT1079" s="12"/>
      <c r="AU1079" s="12"/>
      <c r="AV1079" s="12"/>
      <c r="AW1079" s="12"/>
      <c r="AX1079" s="12"/>
      <c r="AY1079" s="12"/>
      <c r="AZ1079" s="12"/>
      <c r="BA1079" s="12"/>
      <c r="BB1079" s="12"/>
      <c r="BC1079" s="12"/>
      <c r="BD1079" s="12"/>
      <c r="BE1079" s="12"/>
      <c r="BF1079" s="12"/>
      <c r="BG1079" s="12"/>
      <c r="BH1079" s="12"/>
      <c r="BI1079" s="12"/>
      <c r="BJ1079" s="12"/>
      <c r="BK1079" s="12"/>
      <c r="BL1079" s="12"/>
      <c r="BM1079" s="12"/>
      <c r="BN1079" s="12"/>
      <c r="BO1079" s="12"/>
      <c r="BP1079" s="12"/>
      <c r="BQ1079" s="12"/>
      <c r="BR1079" s="12"/>
      <c r="BS1079" s="12"/>
      <c r="BT1079" s="12"/>
    </row>
    <row r="1080" spans="1:72">
      <c r="A1080" s="2" t="s">
        <v>21056</v>
      </c>
      <c r="B1080" s="5" t="s">
        <v>21062</v>
      </c>
      <c r="C1080" s="3" t="s">
        <v>138</v>
      </c>
      <c r="D1080" s="4" t="s">
        <v>138</v>
      </c>
      <c r="E1080" s="15" t="s">
        <v>4442</v>
      </c>
      <c r="F1080" s="15" t="s">
        <v>138</v>
      </c>
      <c r="G1080" s="15" t="s">
        <v>4444</v>
      </c>
      <c r="H1080" s="7">
        <v>28</v>
      </c>
      <c r="I1080" s="6" t="s">
        <v>21072</v>
      </c>
      <c r="J1080" s="6" t="s">
        <v>39120</v>
      </c>
      <c r="K1080" s="6" t="s">
        <v>43394</v>
      </c>
      <c r="L1080" s="6" t="s">
        <v>43395</v>
      </c>
      <c r="M1080" s="6" t="s">
        <v>43396</v>
      </c>
      <c r="N1080" s="6" t="s">
        <v>43397</v>
      </c>
      <c r="O1080" s="6" t="s">
        <v>38011</v>
      </c>
      <c r="P1080" s="6" t="s">
        <v>37945</v>
      </c>
      <c r="Q1080" s="6" t="s">
        <v>43398</v>
      </c>
      <c r="R1080" s="6" t="s">
        <v>43399</v>
      </c>
      <c r="S1080" s="6" t="s">
        <v>38741</v>
      </c>
      <c r="T1080" s="6" t="s">
        <v>43400</v>
      </c>
      <c r="U1080" s="6" t="s">
        <v>37954</v>
      </c>
      <c r="V1080" s="6" t="s">
        <v>43401</v>
      </c>
      <c r="W1080" s="6" t="s">
        <v>43402</v>
      </c>
      <c r="X1080" s="6" t="s">
        <v>39919</v>
      </c>
      <c r="Y1080" s="6" t="s">
        <v>39233</v>
      </c>
      <c r="Z1080" s="6" t="s">
        <v>37967</v>
      </c>
      <c r="AA1080" s="6" t="s">
        <v>43403</v>
      </c>
      <c r="AB1080" s="6" t="s">
        <v>43404</v>
      </c>
      <c r="AC1080" s="6" t="s">
        <v>42647</v>
      </c>
      <c r="AD1080" s="6" t="s">
        <v>43405</v>
      </c>
      <c r="AE1080" s="6" t="s">
        <v>37805</v>
      </c>
      <c r="AF1080" s="6" t="s">
        <v>43406</v>
      </c>
      <c r="AG1080" s="6" t="s">
        <v>43407</v>
      </c>
      <c r="AH1080" s="6" t="s">
        <v>38435</v>
      </c>
      <c r="AI1080" s="6" t="s">
        <v>38196</v>
      </c>
      <c r="AJ1080" s="6" t="s">
        <v>43408</v>
      </c>
      <c r="AK1080" s="6" t="s">
        <v>40741</v>
      </c>
      <c r="AL1080" s="6"/>
      <c r="AM1080" s="6"/>
      <c r="AN1080" s="6"/>
      <c r="AO1080" s="6"/>
      <c r="AP1080" s="6"/>
      <c r="AQ1080" s="6"/>
      <c r="AR1080" s="6"/>
      <c r="AS1080" s="6"/>
      <c r="AT1080" s="6"/>
      <c r="AU1080" s="6"/>
      <c r="AV1080" s="6"/>
      <c r="AW1080" s="6"/>
      <c r="AX1080" s="6"/>
      <c r="AY1080" s="6"/>
      <c r="AZ1080" s="6"/>
      <c r="BA1080" s="6"/>
      <c r="BB1080" s="6"/>
      <c r="BC1080" s="6"/>
      <c r="BD1080" s="6"/>
      <c r="BE1080" s="6"/>
      <c r="BF1080" s="6"/>
      <c r="BG1080" s="6"/>
      <c r="BH1080" s="6"/>
      <c r="BI1080" s="6"/>
      <c r="BJ1080" s="6"/>
      <c r="BK1080" s="6"/>
      <c r="BL1080" s="6"/>
      <c r="BM1080" s="6"/>
      <c r="BN1080" s="6"/>
      <c r="BO1080" s="6"/>
      <c r="BP1080" s="6"/>
      <c r="BQ1080" s="6"/>
      <c r="BR1080" s="6"/>
      <c r="BS1080" s="6"/>
      <c r="BT1080" s="6"/>
    </row>
    <row r="1081" spans="1:72">
      <c r="A1081" s="8" t="s">
        <v>21079</v>
      </c>
      <c r="B1081" s="11" t="s">
        <v>21085</v>
      </c>
      <c r="C1081" s="9" t="s">
        <v>21080</v>
      </c>
      <c r="D1081" s="10" t="s">
        <v>138</v>
      </c>
      <c r="E1081" s="28" t="s">
        <v>13888</v>
      </c>
      <c r="F1081" s="28" t="s">
        <v>200</v>
      </c>
      <c r="G1081" s="28" t="s">
        <v>162</v>
      </c>
      <c r="H1081" s="13">
        <v>29</v>
      </c>
      <c r="I1081" s="12" t="s">
        <v>21095</v>
      </c>
      <c r="J1081" s="12" t="s">
        <v>37785</v>
      </c>
      <c r="K1081" s="12" t="s">
        <v>37876</v>
      </c>
      <c r="L1081" s="12" t="s">
        <v>40269</v>
      </c>
      <c r="M1081" s="12" t="s">
        <v>38737</v>
      </c>
      <c r="N1081" s="12" t="s">
        <v>37819</v>
      </c>
      <c r="O1081" s="12" t="s">
        <v>43409</v>
      </c>
      <c r="P1081" s="12" t="s">
        <v>42010</v>
      </c>
      <c r="Q1081" s="12" t="s">
        <v>38418</v>
      </c>
      <c r="R1081" s="12" t="s">
        <v>37986</v>
      </c>
      <c r="S1081" s="12" t="s">
        <v>37879</v>
      </c>
      <c r="T1081" s="12" t="s">
        <v>37799</v>
      </c>
      <c r="U1081" s="12" t="s">
        <v>38740</v>
      </c>
      <c r="V1081" s="12" t="s">
        <v>37786</v>
      </c>
      <c r="W1081" s="12" t="s">
        <v>39952</v>
      </c>
      <c r="X1081" s="12" t="s">
        <v>43410</v>
      </c>
      <c r="Y1081" s="12" t="s">
        <v>39287</v>
      </c>
      <c r="Z1081" s="12" t="s">
        <v>39308</v>
      </c>
      <c r="AA1081" s="12" t="s">
        <v>38619</v>
      </c>
      <c r="AB1081" s="12" t="s">
        <v>43411</v>
      </c>
      <c r="AC1081" s="12" t="s">
        <v>38476</v>
      </c>
      <c r="AD1081" s="12" t="s">
        <v>43412</v>
      </c>
      <c r="AE1081" s="12" t="s">
        <v>38025</v>
      </c>
      <c r="AF1081" s="12" t="s">
        <v>39692</v>
      </c>
      <c r="AG1081" s="12" t="s">
        <v>38432</v>
      </c>
      <c r="AH1081" s="12" t="s">
        <v>42189</v>
      </c>
      <c r="AI1081" s="12" t="s">
        <v>38140</v>
      </c>
      <c r="AJ1081" s="12" t="s">
        <v>40429</v>
      </c>
      <c r="AK1081" s="12" t="s">
        <v>42181</v>
      </c>
      <c r="AL1081" s="12" t="s">
        <v>43413</v>
      </c>
      <c r="AM1081" s="12"/>
      <c r="AN1081" s="12"/>
      <c r="AO1081" s="12"/>
      <c r="AP1081" s="12"/>
      <c r="AQ1081" s="12"/>
      <c r="AR1081" s="12"/>
      <c r="AS1081" s="12"/>
      <c r="AT1081" s="12"/>
      <c r="AU1081" s="12"/>
      <c r="AV1081" s="12"/>
      <c r="AW1081" s="12"/>
      <c r="AX1081" s="12"/>
      <c r="AY1081" s="12"/>
      <c r="AZ1081" s="12"/>
      <c r="BA1081" s="12"/>
      <c r="BB1081" s="12"/>
      <c r="BC1081" s="12"/>
      <c r="BD1081" s="12"/>
      <c r="BE1081" s="12"/>
      <c r="BF1081" s="12"/>
      <c r="BG1081" s="12"/>
      <c r="BH1081" s="12"/>
      <c r="BI1081" s="12"/>
      <c r="BJ1081" s="12"/>
      <c r="BK1081" s="12"/>
      <c r="BL1081" s="12"/>
      <c r="BM1081" s="12"/>
      <c r="BN1081" s="12"/>
      <c r="BO1081" s="12"/>
      <c r="BP1081" s="12"/>
      <c r="BQ1081" s="12"/>
      <c r="BR1081" s="12"/>
      <c r="BS1081" s="12"/>
      <c r="BT1081" s="12"/>
    </row>
    <row r="1082" spans="1:72">
      <c r="A1082" s="2" t="s">
        <v>21098</v>
      </c>
      <c r="B1082" s="5" t="s">
        <v>21104</v>
      </c>
      <c r="C1082" s="3" t="s">
        <v>138</v>
      </c>
      <c r="D1082" s="4" t="s">
        <v>21099</v>
      </c>
      <c r="E1082" s="15" t="s">
        <v>668</v>
      </c>
      <c r="F1082" s="15" t="s">
        <v>200</v>
      </c>
      <c r="G1082" s="15" t="s">
        <v>162</v>
      </c>
      <c r="H1082" s="7">
        <v>5</v>
      </c>
      <c r="I1082" s="6" t="s">
        <v>21114</v>
      </c>
      <c r="J1082" s="6" t="s">
        <v>37790</v>
      </c>
      <c r="K1082" s="6" t="s">
        <v>42054</v>
      </c>
      <c r="L1082" s="6" t="s">
        <v>42038</v>
      </c>
      <c r="M1082" s="6" t="s">
        <v>43414</v>
      </c>
      <c r="N1082" s="6" t="s">
        <v>43415</v>
      </c>
      <c r="O1082" s="6"/>
      <c r="P1082" s="6"/>
      <c r="Q1082" s="6"/>
      <c r="R1082" s="6"/>
      <c r="S1082" s="6"/>
      <c r="T1082" s="6"/>
      <c r="U1082" s="6"/>
      <c r="V1082" s="6"/>
      <c r="W1082" s="6"/>
      <c r="X1082" s="6"/>
      <c r="Y1082" s="6"/>
      <c r="Z1082" s="6"/>
      <c r="AA1082" s="6"/>
      <c r="AB1082" s="6"/>
      <c r="AC1082" s="6"/>
      <c r="AD1082" s="6"/>
      <c r="AE1082" s="6"/>
      <c r="AF1082" s="6"/>
      <c r="AG1082" s="6"/>
      <c r="AH1082" s="6"/>
      <c r="AI1082" s="6"/>
      <c r="AJ1082" s="6"/>
      <c r="AK1082" s="6"/>
      <c r="AL1082" s="6"/>
      <c r="AM1082" s="6"/>
      <c r="AN1082" s="6"/>
      <c r="AO1082" s="6"/>
      <c r="AP1082" s="6"/>
      <c r="AQ1082" s="6"/>
      <c r="AR1082" s="6"/>
      <c r="AS1082" s="6"/>
      <c r="AT1082" s="6"/>
      <c r="AU1082" s="6"/>
      <c r="AV1082" s="6"/>
      <c r="AW1082" s="6"/>
      <c r="AX1082" s="6"/>
      <c r="AY1082" s="6"/>
      <c r="AZ1082" s="6"/>
      <c r="BA1082" s="6"/>
      <c r="BB1082" s="6"/>
      <c r="BC1082" s="6"/>
      <c r="BD1082" s="6"/>
      <c r="BE1082" s="6"/>
      <c r="BF1082" s="6"/>
      <c r="BG1082" s="6"/>
      <c r="BH1082" s="6"/>
      <c r="BI1082" s="6"/>
      <c r="BJ1082" s="6"/>
      <c r="BK1082" s="6"/>
      <c r="BL1082" s="6"/>
      <c r="BM1082" s="6"/>
      <c r="BN1082" s="6"/>
      <c r="BO1082" s="6"/>
      <c r="BP1082" s="6"/>
      <c r="BQ1082" s="6"/>
      <c r="BR1082" s="6"/>
      <c r="BS1082" s="6"/>
      <c r="BT1082" s="6"/>
    </row>
    <row r="1083" spans="1:72">
      <c r="A1083" s="8" t="s">
        <v>21119</v>
      </c>
      <c r="B1083" s="11" t="s">
        <v>21123</v>
      </c>
      <c r="C1083" s="9" t="s">
        <v>138</v>
      </c>
      <c r="D1083" s="10" t="s">
        <v>21120</v>
      </c>
      <c r="E1083" s="28" t="s">
        <v>138</v>
      </c>
      <c r="F1083" s="28" t="s">
        <v>524</v>
      </c>
      <c r="G1083" s="28" t="s">
        <v>526</v>
      </c>
      <c r="H1083" s="13">
        <v>7</v>
      </c>
      <c r="I1083" s="12" t="s">
        <v>21130</v>
      </c>
      <c r="J1083" s="12" t="s">
        <v>43416</v>
      </c>
      <c r="K1083" s="12" t="s">
        <v>43417</v>
      </c>
      <c r="L1083" s="12" t="s">
        <v>40759</v>
      </c>
      <c r="M1083" s="12" t="s">
        <v>41949</v>
      </c>
      <c r="N1083" s="12" t="s">
        <v>41485</v>
      </c>
      <c r="O1083" s="12" t="s">
        <v>43418</v>
      </c>
      <c r="P1083" s="12" t="s">
        <v>38363</v>
      </c>
      <c r="Q1083" s="12"/>
      <c r="R1083" s="12"/>
      <c r="S1083" s="12"/>
      <c r="T1083" s="12"/>
      <c r="U1083" s="12"/>
      <c r="V1083" s="12"/>
      <c r="W1083" s="12"/>
      <c r="X1083" s="12"/>
      <c r="Y1083" s="12"/>
      <c r="Z1083" s="12"/>
      <c r="AA1083" s="12"/>
      <c r="AB1083" s="12"/>
      <c r="AC1083" s="12"/>
      <c r="AD1083" s="12"/>
      <c r="AE1083" s="12"/>
      <c r="AF1083" s="12"/>
      <c r="AG1083" s="12"/>
      <c r="AH1083" s="12"/>
      <c r="AI1083" s="12"/>
      <c r="AJ1083" s="12"/>
      <c r="AK1083" s="12"/>
      <c r="AL1083" s="12"/>
      <c r="AM1083" s="12"/>
      <c r="AN1083" s="12"/>
      <c r="AO1083" s="12"/>
      <c r="AP1083" s="12"/>
      <c r="AQ1083" s="12"/>
      <c r="AR1083" s="12"/>
      <c r="AS1083" s="12"/>
      <c r="AT1083" s="12"/>
      <c r="AU1083" s="12"/>
      <c r="AV1083" s="12"/>
      <c r="AW1083" s="12"/>
      <c r="AX1083" s="12"/>
      <c r="AY1083" s="12"/>
      <c r="AZ1083" s="12"/>
      <c r="BA1083" s="12"/>
      <c r="BB1083" s="12"/>
      <c r="BC1083" s="12"/>
      <c r="BD1083" s="12"/>
      <c r="BE1083" s="12"/>
      <c r="BF1083" s="12"/>
      <c r="BG1083" s="12"/>
      <c r="BH1083" s="12"/>
      <c r="BI1083" s="12"/>
      <c r="BJ1083" s="12"/>
      <c r="BK1083" s="12"/>
      <c r="BL1083" s="12"/>
      <c r="BM1083" s="12"/>
      <c r="BN1083" s="12"/>
      <c r="BO1083" s="12"/>
      <c r="BP1083" s="12"/>
      <c r="BQ1083" s="12"/>
      <c r="BR1083" s="12"/>
      <c r="BS1083" s="12"/>
      <c r="BT1083" s="12"/>
    </row>
    <row r="1084" spans="1:72">
      <c r="A1084" s="2" t="s">
        <v>21134</v>
      </c>
      <c r="B1084" s="5" t="s">
        <v>21140</v>
      </c>
      <c r="C1084" s="3" t="s">
        <v>138</v>
      </c>
      <c r="D1084" s="4" t="s">
        <v>138</v>
      </c>
      <c r="E1084" s="15" t="s">
        <v>11750</v>
      </c>
      <c r="F1084" s="15" t="s">
        <v>200</v>
      </c>
      <c r="G1084" s="15" t="s">
        <v>162</v>
      </c>
      <c r="H1084" s="7">
        <v>7</v>
      </c>
      <c r="I1084" s="6" t="s">
        <v>21148</v>
      </c>
      <c r="J1084" s="6">
        <v>301</v>
      </c>
      <c r="K1084" s="6" t="s">
        <v>41454</v>
      </c>
      <c r="L1084" s="6" t="s">
        <v>43419</v>
      </c>
      <c r="M1084" s="6" t="s">
        <v>37960</v>
      </c>
      <c r="N1084" s="6" t="s">
        <v>38746</v>
      </c>
      <c r="O1084" s="6" t="s">
        <v>42739</v>
      </c>
      <c r="P1084" s="6" t="s">
        <v>42371</v>
      </c>
      <c r="Q1084" s="6"/>
      <c r="R1084" s="6"/>
      <c r="S1084" s="6"/>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c r="AX1084" s="6"/>
      <c r="AY1084" s="6"/>
      <c r="AZ1084" s="6"/>
      <c r="BA1084" s="6"/>
      <c r="BB1084" s="6"/>
      <c r="BC1084" s="6"/>
      <c r="BD1084" s="6"/>
      <c r="BE1084" s="6"/>
      <c r="BF1084" s="6"/>
      <c r="BG1084" s="6"/>
      <c r="BH1084" s="6"/>
      <c r="BI1084" s="6"/>
      <c r="BJ1084" s="6"/>
      <c r="BK1084" s="6"/>
      <c r="BL1084" s="6"/>
      <c r="BM1084" s="6"/>
      <c r="BN1084" s="6"/>
      <c r="BO1084" s="6"/>
      <c r="BP1084" s="6"/>
      <c r="BQ1084" s="6"/>
      <c r="BR1084" s="6"/>
      <c r="BS1084" s="6"/>
      <c r="BT1084" s="6"/>
    </row>
    <row r="1085" spans="1:72">
      <c r="A1085" s="8" t="s">
        <v>21152</v>
      </c>
      <c r="B1085" s="11" t="s">
        <v>21156</v>
      </c>
      <c r="C1085" s="9" t="s">
        <v>138</v>
      </c>
      <c r="D1085" s="10" t="s">
        <v>138</v>
      </c>
      <c r="E1085" s="28" t="s">
        <v>1872</v>
      </c>
      <c r="F1085" s="28" t="s">
        <v>200</v>
      </c>
      <c r="G1085" s="28" t="s">
        <v>162</v>
      </c>
      <c r="H1085" s="13">
        <v>8</v>
      </c>
      <c r="I1085" s="12" t="s">
        <v>21164</v>
      </c>
      <c r="J1085" s="12" t="s">
        <v>40411</v>
      </c>
      <c r="K1085" s="12" t="s">
        <v>37819</v>
      </c>
      <c r="L1085" s="12" t="s">
        <v>39228</v>
      </c>
      <c r="M1085" s="12" t="s">
        <v>38368</v>
      </c>
      <c r="N1085" s="12" t="s">
        <v>43420</v>
      </c>
      <c r="O1085" s="12" t="s">
        <v>43421</v>
      </c>
      <c r="P1085" s="12" t="s">
        <v>38399</v>
      </c>
      <c r="Q1085" s="12" t="s">
        <v>41041</v>
      </c>
      <c r="R1085" s="12"/>
      <c r="S1085" s="12"/>
      <c r="T1085" s="12"/>
      <c r="U1085" s="12"/>
      <c r="V1085" s="12"/>
      <c r="W1085" s="12"/>
      <c r="X1085" s="12"/>
      <c r="Y1085" s="12"/>
      <c r="Z1085" s="12"/>
      <c r="AA1085" s="12"/>
      <c r="AB1085" s="12"/>
      <c r="AC1085" s="12"/>
      <c r="AD1085" s="12"/>
      <c r="AE1085" s="12"/>
      <c r="AF1085" s="12"/>
      <c r="AG1085" s="12"/>
      <c r="AH1085" s="12"/>
      <c r="AI1085" s="12"/>
      <c r="AJ1085" s="12"/>
      <c r="AK1085" s="12"/>
      <c r="AL1085" s="12"/>
      <c r="AM1085" s="12"/>
      <c r="AN1085" s="12"/>
      <c r="AO1085" s="12"/>
      <c r="AP1085" s="12"/>
      <c r="AQ1085" s="12"/>
      <c r="AR1085" s="12"/>
      <c r="AS1085" s="12"/>
      <c r="AT1085" s="12"/>
      <c r="AU1085" s="12"/>
      <c r="AV1085" s="12"/>
      <c r="AW1085" s="12"/>
      <c r="AX1085" s="12"/>
      <c r="AY1085" s="12"/>
      <c r="AZ1085" s="12"/>
      <c r="BA1085" s="12"/>
      <c r="BB1085" s="12"/>
      <c r="BC1085" s="12"/>
      <c r="BD1085" s="12"/>
      <c r="BE1085" s="12"/>
      <c r="BF1085" s="12"/>
      <c r="BG1085" s="12"/>
      <c r="BH1085" s="12"/>
      <c r="BI1085" s="12"/>
      <c r="BJ1085" s="12"/>
      <c r="BK1085" s="12"/>
      <c r="BL1085" s="12"/>
      <c r="BM1085" s="12"/>
      <c r="BN1085" s="12"/>
      <c r="BO1085" s="12"/>
      <c r="BP1085" s="12"/>
      <c r="BQ1085" s="12"/>
      <c r="BR1085" s="12"/>
      <c r="BS1085" s="12"/>
      <c r="BT1085" s="12"/>
    </row>
    <row r="1086" spans="1:72">
      <c r="A1086" s="2" t="s">
        <v>21167</v>
      </c>
      <c r="B1086" s="5" t="s">
        <v>21172</v>
      </c>
      <c r="C1086" s="3" t="s">
        <v>138</v>
      </c>
      <c r="D1086" s="4" t="s">
        <v>138</v>
      </c>
      <c r="E1086" s="15" t="s">
        <v>21180</v>
      </c>
      <c r="F1086" s="15" t="s">
        <v>138</v>
      </c>
      <c r="G1086" s="15" t="s">
        <v>1200</v>
      </c>
      <c r="H1086" s="7">
        <v>1</v>
      </c>
      <c r="I1086" s="6" t="s">
        <v>3186</v>
      </c>
      <c r="J1086" s="6" t="s">
        <v>3186</v>
      </c>
      <c r="K1086" s="6"/>
      <c r="L1086" s="6"/>
      <c r="M1086" s="6"/>
      <c r="N1086" s="6"/>
      <c r="O1086" s="6"/>
      <c r="P1086" s="6"/>
      <c r="Q1086" s="6"/>
      <c r="R1086" s="6"/>
      <c r="S1086" s="6"/>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c r="AX1086" s="6"/>
      <c r="AY1086" s="6"/>
      <c r="AZ1086" s="6"/>
      <c r="BA1086" s="6"/>
      <c r="BB1086" s="6"/>
      <c r="BC1086" s="6"/>
      <c r="BD1086" s="6"/>
      <c r="BE1086" s="6"/>
      <c r="BF1086" s="6"/>
      <c r="BG1086" s="6"/>
      <c r="BH1086" s="6"/>
      <c r="BI1086" s="6"/>
      <c r="BJ1086" s="6"/>
      <c r="BK1086" s="6"/>
      <c r="BL1086" s="6"/>
      <c r="BM1086" s="6"/>
      <c r="BN1086" s="6"/>
      <c r="BO1086" s="6"/>
      <c r="BP1086" s="6"/>
      <c r="BQ1086" s="6"/>
      <c r="BR1086" s="6"/>
      <c r="BS1086" s="6"/>
      <c r="BT1086" s="6"/>
    </row>
    <row r="1087" spans="1:72">
      <c r="A1087" s="8" t="s">
        <v>21186</v>
      </c>
      <c r="B1087" s="11" t="s">
        <v>21189</v>
      </c>
      <c r="C1087" s="9" t="s">
        <v>138</v>
      </c>
      <c r="D1087" s="10" t="s">
        <v>138</v>
      </c>
      <c r="E1087" s="28" t="s">
        <v>21196</v>
      </c>
      <c r="F1087" s="28" t="s">
        <v>138</v>
      </c>
      <c r="G1087" s="28" t="s">
        <v>21196</v>
      </c>
      <c r="H1087" s="13">
        <v>1</v>
      </c>
      <c r="I1087" s="12" t="s">
        <v>21198</v>
      </c>
      <c r="J1087" s="12" t="s">
        <v>21198</v>
      </c>
      <c r="K1087" s="12"/>
      <c r="L1087" s="12"/>
      <c r="M1087" s="12"/>
      <c r="N1087" s="12"/>
      <c r="O1087" s="12"/>
      <c r="P1087" s="12"/>
      <c r="Q1087" s="12"/>
      <c r="R1087" s="12"/>
      <c r="S1087" s="12"/>
      <c r="T1087" s="12"/>
      <c r="U1087" s="12"/>
      <c r="V1087" s="12"/>
      <c r="W1087" s="12"/>
      <c r="X1087" s="12"/>
      <c r="Y1087" s="12"/>
      <c r="Z1087" s="12"/>
      <c r="AA1087" s="12"/>
      <c r="AB1087" s="12"/>
      <c r="AC1087" s="12"/>
      <c r="AD1087" s="12"/>
      <c r="AE1087" s="12"/>
      <c r="AF1087" s="12"/>
      <c r="AG1087" s="12"/>
      <c r="AH1087" s="12"/>
      <c r="AI1087" s="12"/>
      <c r="AJ1087" s="12"/>
      <c r="AK1087" s="12"/>
      <c r="AL1087" s="12"/>
      <c r="AM1087" s="12"/>
      <c r="AN1087" s="12"/>
      <c r="AO1087" s="12"/>
      <c r="AP1087" s="12"/>
      <c r="AQ1087" s="12"/>
      <c r="AR1087" s="12"/>
      <c r="AS1087" s="12"/>
      <c r="AT1087" s="12"/>
      <c r="AU1087" s="12"/>
      <c r="AV1087" s="12"/>
      <c r="AW1087" s="12"/>
      <c r="AX1087" s="12"/>
      <c r="AY1087" s="12"/>
      <c r="AZ1087" s="12"/>
      <c r="BA1087" s="12"/>
      <c r="BB1087" s="12"/>
      <c r="BC1087" s="12"/>
      <c r="BD1087" s="12"/>
      <c r="BE1087" s="12"/>
      <c r="BF1087" s="12"/>
      <c r="BG1087" s="12"/>
      <c r="BH1087" s="12"/>
      <c r="BI1087" s="12"/>
      <c r="BJ1087" s="12"/>
      <c r="BK1087" s="12"/>
      <c r="BL1087" s="12"/>
      <c r="BM1087" s="12"/>
      <c r="BN1087" s="12"/>
      <c r="BO1087" s="12"/>
      <c r="BP1087" s="12"/>
      <c r="BQ1087" s="12"/>
      <c r="BR1087" s="12"/>
      <c r="BS1087" s="12"/>
      <c r="BT1087" s="12"/>
    </row>
    <row r="1088" spans="1:72">
      <c r="A1088" s="2" t="s">
        <v>21201</v>
      </c>
      <c r="B1088" s="5" t="s">
        <v>21208</v>
      </c>
      <c r="C1088" s="3" t="s">
        <v>21202</v>
      </c>
      <c r="D1088" s="4" t="s">
        <v>21203</v>
      </c>
      <c r="E1088" s="15" t="s">
        <v>1872</v>
      </c>
      <c r="F1088" s="15" t="s">
        <v>200</v>
      </c>
      <c r="G1088" s="15" t="s">
        <v>162</v>
      </c>
      <c r="H1088" s="7">
        <v>8</v>
      </c>
      <c r="I1088" s="6" t="s">
        <v>21217</v>
      </c>
      <c r="J1088" s="6" t="s">
        <v>39120</v>
      </c>
      <c r="K1088" s="6" t="s">
        <v>43422</v>
      </c>
      <c r="L1088" s="6" t="s">
        <v>38011</v>
      </c>
      <c r="M1088" s="6" t="s">
        <v>43423</v>
      </c>
      <c r="N1088" s="6" t="s">
        <v>37949</v>
      </c>
      <c r="O1088" s="6" t="s">
        <v>38476</v>
      </c>
      <c r="P1088" s="6" t="s">
        <v>41058</v>
      </c>
      <c r="Q1088" s="6" t="s">
        <v>38564</v>
      </c>
      <c r="R1088" s="6"/>
      <c r="S1088" s="6"/>
      <c r="T1088" s="6"/>
      <c r="U1088" s="6"/>
      <c r="V1088" s="6"/>
      <c r="W1088" s="6"/>
      <c r="X1088" s="6"/>
      <c r="Y1088" s="6"/>
      <c r="Z1088" s="6"/>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6"/>
      <c r="AY1088" s="6"/>
      <c r="AZ1088" s="6"/>
      <c r="BA1088" s="6"/>
      <c r="BB1088" s="6"/>
      <c r="BC1088" s="6"/>
      <c r="BD1088" s="6"/>
      <c r="BE1088" s="6"/>
      <c r="BF1088" s="6"/>
      <c r="BG1088" s="6"/>
      <c r="BH1088" s="6"/>
      <c r="BI1088" s="6"/>
      <c r="BJ1088" s="6"/>
      <c r="BK1088" s="6"/>
      <c r="BL1088" s="6"/>
      <c r="BM1088" s="6"/>
      <c r="BN1088" s="6"/>
      <c r="BO1088" s="6"/>
      <c r="BP1088" s="6"/>
      <c r="BQ1088" s="6"/>
      <c r="BR1088" s="6"/>
      <c r="BS1088" s="6"/>
      <c r="BT1088" s="6"/>
    </row>
    <row r="1089" spans="1:72">
      <c r="A1089" s="8" t="s">
        <v>21222</v>
      </c>
      <c r="B1089" s="11" t="s">
        <v>21227</v>
      </c>
      <c r="C1089" s="9" t="s">
        <v>138</v>
      </c>
      <c r="D1089" s="10" t="s">
        <v>21223</v>
      </c>
      <c r="E1089" s="28" t="s">
        <v>21235</v>
      </c>
      <c r="F1089" s="28" t="s">
        <v>138</v>
      </c>
      <c r="G1089" s="28" t="s">
        <v>946</v>
      </c>
      <c r="H1089" s="13">
        <v>12</v>
      </c>
      <c r="I1089" s="12" t="s">
        <v>21240</v>
      </c>
      <c r="J1089" s="12" t="s">
        <v>43424</v>
      </c>
      <c r="K1089" s="12" t="s">
        <v>40477</v>
      </c>
      <c r="L1089" s="12" t="s">
        <v>41692</v>
      </c>
      <c r="M1089" s="12" t="s">
        <v>43425</v>
      </c>
      <c r="N1089" s="12" t="s">
        <v>43426</v>
      </c>
      <c r="O1089" s="12" t="s">
        <v>43427</v>
      </c>
      <c r="P1089" s="12" t="s">
        <v>43428</v>
      </c>
      <c r="Q1089" s="12" t="s">
        <v>43429</v>
      </c>
      <c r="R1089" s="12" t="s">
        <v>37839</v>
      </c>
      <c r="S1089" s="12" t="s">
        <v>43430</v>
      </c>
      <c r="T1089" s="12" t="s">
        <v>43431</v>
      </c>
      <c r="U1089" s="12" t="s">
        <v>43432</v>
      </c>
      <c r="V1089" s="12"/>
      <c r="W1089" s="12"/>
      <c r="X1089" s="12"/>
      <c r="Y1089" s="12"/>
      <c r="Z1089" s="12"/>
      <c r="AA1089" s="12"/>
      <c r="AB1089" s="12"/>
      <c r="AC1089" s="12"/>
      <c r="AD1089" s="12"/>
      <c r="AE1089" s="12"/>
      <c r="AF1089" s="12"/>
      <c r="AG1089" s="12"/>
      <c r="AH1089" s="12"/>
      <c r="AI1089" s="12"/>
      <c r="AJ1089" s="12"/>
      <c r="AK1089" s="12"/>
      <c r="AL1089" s="12"/>
      <c r="AM1089" s="12"/>
      <c r="AN1089" s="12"/>
      <c r="AO1089" s="12"/>
      <c r="AP1089" s="12"/>
      <c r="AQ1089" s="12"/>
      <c r="AR1089" s="12"/>
      <c r="AS1089" s="12"/>
      <c r="AT1089" s="12"/>
      <c r="AU1089" s="12"/>
      <c r="AV1089" s="12"/>
      <c r="AW1089" s="12"/>
      <c r="AX1089" s="12"/>
      <c r="AY1089" s="12"/>
      <c r="AZ1089" s="12"/>
      <c r="BA1089" s="12"/>
      <c r="BB1089" s="12"/>
      <c r="BC1089" s="12"/>
      <c r="BD1089" s="12"/>
      <c r="BE1089" s="12"/>
      <c r="BF1089" s="12"/>
      <c r="BG1089" s="12"/>
      <c r="BH1089" s="12"/>
      <c r="BI1089" s="12"/>
      <c r="BJ1089" s="12"/>
      <c r="BK1089" s="12"/>
      <c r="BL1089" s="12"/>
      <c r="BM1089" s="12"/>
      <c r="BN1089" s="12"/>
      <c r="BO1089" s="12"/>
      <c r="BP1089" s="12"/>
      <c r="BQ1089" s="12"/>
      <c r="BR1089" s="12"/>
      <c r="BS1089" s="12"/>
      <c r="BT1089" s="12"/>
    </row>
    <row r="1090" spans="1:72">
      <c r="A1090" s="2" t="s">
        <v>21245</v>
      </c>
      <c r="B1090" s="5" t="s">
        <v>21250</v>
      </c>
      <c r="C1090" s="3" t="s">
        <v>138</v>
      </c>
      <c r="D1090" s="4" t="s">
        <v>138</v>
      </c>
      <c r="E1090" s="15" t="s">
        <v>668</v>
      </c>
      <c r="F1090" s="15" t="s">
        <v>200</v>
      </c>
      <c r="G1090" s="15" t="s">
        <v>162</v>
      </c>
      <c r="H1090" s="7">
        <v>24</v>
      </c>
      <c r="I1090" s="6" t="s">
        <v>21259</v>
      </c>
      <c r="J1090" s="6" t="s">
        <v>38733</v>
      </c>
      <c r="K1090" s="6" t="s">
        <v>38331</v>
      </c>
      <c r="L1090" s="6" t="s">
        <v>43433</v>
      </c>
      <c r="M1090" s="6" t="s">
        <v>40199</v>
      </c>
      <c r="N1090" s="6" t="s">
        <v>39284</v>
      </c>
      <c r="O1090" s="6" t="s">
        <v>38415</v>
      </c>
      <c r="P1090" s="6" t="s">
        <v>43434</v>
      </c>
      <c r="Q1090" s="6" t="s">
        <v>39186</v>
      </c>
      <c r="R1090" s="6" t="s">
        <v>39640</v>
      </c>
      <c r="S1090" s="6" t="s">
        <v>37786</v>
      </c>
      <c r="T1090" s="6" t="s">
        <v>43435</v>
      </c>
      <c r="U1090" s="6" t="s">
        <v>40538</v>
      </c>
      <c r="V1090" s="6" t="s">
        <v>42451</v>
      </c>
      <c r="W1090" s="6" t="s">
        <v>38128</v>
      </c>
      <c r="X1090" s="6" t="s">
        <v>37998</v>
      </c>
      <c r="Y1090" s="6" t="s">
        <v>41633</v>
      </c>
      <c r="Z1090" s="6" t="s">
        <v>43436</v>
      </c>
      <c r="AA1090" s="6" t="s">
        <v>43437</v>
      </c>
      <c r="AB1090" s="6" t="s">
        <v>41093</v>
      </c>
      <c r="AC1090" s="6" t="s">
        <v>38437</v>
      </c>
      <c r="AD1090" s="6" t="s">
        <v>39071</v>
      </c>
      <c r="AE1090" s="6" t="s">
        <v>43438</v>
      </c>
      <c r="AF1090" s="6" t="s">
        <v>41240</v>
      </c>
      <c r="AG1090" s="6" t="s">
        <v>38145</v>
      </c>
      <c r="AH1090" s="6"/>
      <c r="AI1090" s="6"/>
      <c r="AJ1090" s="6"/>
      <c r="AK1090" s="6"/>
      <c r="AL1090" s="6"/>
      <c r="AM1090" s="6"/>
      <c r="AN1090" s="6"/>
      <c r="AO1090" s="6"/>
      <c r="AP1090" s="6"/>
      <c r="AQ1090" s="6"/>
      <c r="AR1090" s="6"/>
      <c r="AS1090" s="6"/>
      <c r="AT1090" s="6"/>
      <c r="AU1090" s="6"/>
      <c r="AV1090" s="6"/>
      <c r="AW1090" s="6"/>
      <c r="AX1090" s="6"/>
      <c r="AY1090" s="6"/>
      <c r="AZ1090" s="6"/>
      <c r="BA1090" s="6"/>
      <c r="BB1090" s="6"/>
      <c r="BC1090" s="6"/>
      <c r="BD1090" s="6"/>
      <c r="BE1090" s="6"/>
      <c r="BF1090" s="6"/>
      <c r="BG1090" s="6"/>
      <c r="BH1090" s="6"/>
      <c r="BI1090" s="6"/>
      <c r="BJ1090" s="6"/>
      <c r="BK1090" s="6"/>
      <c r="BL1090" s="6"/>
      <c r="BM1090" s="6"/>
      <c r="BN1090" s="6"/>
      <c r="BO1090" s="6"/>
      <c r="BP1090" s="6"/>
      <c r="BQ1090" s="6"/>
      <c r="BR1090" s="6"/>
      <c r="BS1090" s="6"/>
      <c r="BT1090" s="6"/>
    </row>
    <row r="1091" spans="1:72">
      <c r="A1091" s="8" t="s">
        <v>21263</v>
      </c>
      <c r="B1091" s="11" t="s">
        <v>21269</v>
      </c>
      <c r="C1091" s="9" t="s">
        <v>21264</v>
      </c>
      <c r="D1091" s="10" t="s">
        <v>138</v>
      </c>
      <c r="E1091" s="28" t="s">
        <v>3670</v>
      </c>
      <c r="F1091" s="28" t="s">
        <v>200</v>
      </c>
      <c r="G1091" s="28" t="s">
        <v>162</v>
      </c>
      <c r="H1091" s="13">
        <v>9</v>
      </c>
      <c r="I1091" s="12" t="s">
        <v>21279</v>
      </c>
      <c r="J1091" s="12" t="s">
        <v>43439</v>
      </c>
      <c r="K1091" s="12" t="s">
        <v>38299</v>
      </c>
      <c r="L1091" s="12" t="s">
        <v>38590</v>
      </c>
      <c r="M1091" s="12" t="s">
        <v>38968</v>
      </c>
      <c r="N1091" s="12" t="s">
        <v>39459</v>
      </c>
      <c r="O1091" s="12" t="s">
        <v>42430</v>
      </c>
      <c r="P1091" s="12" t="s">
        <v>43440</v>
      </c>
      <c r="Q1091" s="12" t="s">
        <v>43441</v>
      </c>
      <c r="R1091" s="12" t="s">
        <v>43442</v>
      </c>
      <c r="S1091" s="12"/>
      <c r="T1091" s="12"/>
      <c r="U1091" s="12"/>
      <c r="V1091" s="12"/>
      <c r="W1091" s="12"/>
      <c r="X1091" s="12"/>
      <c r="Y1091" s="12"/>
      <c r="Z1091" s="12"/>
      <c r="AA1091" s="12"/>
      <c r="AB1091" s="12"/>
      <c r="AC1091" s="12"/>
      <c r="AD1091" s="12"/>
      <c r="AE1091" s="12"/>
      <c r="AF1091" s="12"/>
      <c r="AG1091" s="12"/>
      <c r="AH1091" s="12"/>
      <c r="AI1091" s="12"/>
      <c r="AJ1091" s="12"/>
      <c r="AK1091" s="12"/>
      <c r="AL1091" s="12"/>
      <c r="AM1091" s="12"/>
      <c r="AN1091" s="12"/>
      <c r="AO1091" s="12"/>
      <c r="AP1091" s="12"/>
      <c r="AQ1091" s="12"/>
      <c r="AR1091" s="12"/>
      <c r="AS1091" s="12"/>
      <c r="AT1091" s="12"/>
      <c r="AU1091" s="12"/>
      <c r="AV1091" s="12"/>
      <c r="AW1091" s="12"/>
      <c r="AX1091" s="12"/>
      <c r="AY1091" s="12"/>
      <c r="AZ1091" s="12"/>
      <c r="BA1091" s="12"/>
      <c r="BB1091" s="12"/>
      <c r="BC1091" s="12"/>
      <c r="BD1091" s="12"/>
      <c r="BE1091" s="12"/>
      <c r="BF1091" s="12"/>
      <c r="BG1091" s="12"/>
      <c r="BH1091" s="12"/>
      <c r="BI1091" s="12"/>
      <c r="BJ1091" s="12"/>
      <c r="BK1091" s="12"/>
      <c r="BL1091" s="12"/>
      <c r="BM1091" s="12"/>
      <c r="BN1091" s="12"/>
      <c r="BO1091" s="12"/>
      <c r="BP1091" s="12"/>
      <c r="BQ1091" s="12"/>
      <c r="BR1091" s="12"/>
      <c r="BS1091" s="12"/>
      <c r="BT1091" s="12"/>
    </row>
    <row r="1092" spans="1:72">
      <c r="A1092" s="2" t="s">
        <v>21283</v>
      </c>
      <c r="B1092" s="5" t="s">
        <v>21287</v>
      </c>
      <c r="C1092" s="3" t="s">
        <v>138</v>
      </c>
      <c r="D1092" s="4" t="s">
        <v>138</v>
      </c>
      <c r="E1092" s="15" t="s">
        <v>426</v>
      </c>
      <c r="F1092" s="15" t="s">
        <v>426</v>
      </c>
      <c r="G1092" s="15" t="s">
        <v>162</v>
      </c>
      <c r="H1092" s="7">
        <v>3</v>
      </c>
      <c r="I1092" s="6" t="s">
        <v>21296</v>
      </c>
      <c r="J1092" s="6" t="s">
        <v>40460</v>
      </c>
      <c r="K1092" s="6" t="s">
        <v>38011</v>
      </c>
      <c r="L1092" s="6" t="s">
        <v>43443</v>
      </c>
      <c r="M1092" s="6"/>
      <c r="N1092" s="6"/>
      <c r="O1092" s="6"/>
      <c r="P1092" s="6"/>
      <c r="Q1092" s="6"/>
      <c r="R1092" s="6"/>
      <c r="S1092" s="6"/>
      <c r="T1092" s="6"/>
      <c r="U1092" s="6"/>
      <c r="V1092" s="6"/>
      <c r="W1092" s="6"/>
      <c r="X1092" s="6"/>
      <c r="Y1092" s="6"/>
      <c r="Z1092" s="6"/>
      <c r="AA1092" s="6"/>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c r="AX1092" s="6"/>
      <c r="AY1092" s="6"/>
      <c r="AZ1092" s="6"/>
      <c r="BA1092" s="6"/>
      <c r="BB1092" s="6"/>
      <c r="BC1092" s="6"/>
      <c r="BD1092" s="6"/>
      <c r="BE1092" s="6"/>
      <c r="BF1092" s="6"/>
      <c r="BG1092" s="6"/>
      <c r="BH1092" s="6"/>
      <c r="BI1092" s="6"/>
      <c r="BJ1092" s="6"/>
      <c r="BK1092" s="6"/>
      <c r="BL1092" s="6"/>
      <c r="BM1092" s="6"/>
      <c r="BN1092" s="6"/>
      <c r="BO1092" s="6"/>
      <c r="BP1092" s="6"/>
      <c r="BQ1092" s="6"/>
      <c r="BR1092" s="6"/>
      <c r="BS1092" s="6"/>
      <c r="BT1092" s="6"/>
    </row>
    <row r="1093" spans="1:72">
      <c r="A1093" s="8" t="s">
        <v>21300</v>
      </c>
      <c r="B1093" s="11" t="s">
        <v>21305</v>
      </c>
      <c r="C1093" s="9" t="s">
        <v>138</v>
      </c>
      <c r="D1093" s="10" t="s">
        <v>138</v>
      </c>
      <c r="E1093" s="28" t="s">
        <v>1246</v>
      </c>
      <c r="F1093" s="28" t="s">
        <v>200</v>
      </c>
      <c r="G1093" s="28" t="s">
        <v>162</v>
      </c>
      <c r="H1093" s="13">
        <v>12</v>
      </c>
      <c r="I1093" s="12" t="s">
        <v>21311</v>
      </c>
      <c r="J1093" s="12" t="s">
        <v>43444</v>
      </c>
      <c r="K1093" s="12" t="s">
        <v>37799</v>
      </c>
      <c r="L1093" s="12" t="s">
        <v>38113</v>
      </c>
      <c r="M1093" s="12" t="s">
        <v>43445</v>
      </c>
      <c r="N1093" s="12" t="s">
        <v>39359</v>
      </c>
      <c r="O1093" s="12" t="s">
        <v>38025</v>
      </c>
      <c r="P1093" s="12" t="s">
        <v>39692</v>
      </c>
      <c r="Q1093" s="12" t="s">
        <v>38167</v>
      </c>
      <c r="R1093" s="12" t="s">
        <v>43093</v>
      </c>
      <c r="S1093" s="12" t="s">
        <v>39695</v>
      </c>
      <c r="T1093" s="12" t="s">
        <v>38437</v>
      </c>
      <c r="U1093" s="12" t="s">
        <v>37976</v>
      </c>
      <c r="V1093" s="12"/>
      <c r="W1093" s="12"/>
      <c r="X1093" s="12"/>
      <c r="Y1093" s="12"/>
      <c r="Z1093" s="12"/>
      <c r="AA1093" s="12"/>
      <c r="AB1093" s="12"/>
      <c r="AC1093" s="12"/>
      <c r="AD1093" s="12"/>
      <c r="AE1093" s="12"/>
      <c r="AF1093" s="12"/>
      <c r="AG1093" s="12"/>
      <c r="AH1093" s="12"/>
      <c r="AI1093" s="12"/>
      <c r="AJ1093" s="12"/>
      <c r="AK1093" s="12"/>
      <c r="AL1093" s="12"/>
      <c r="AM1093" s="12"/>
      <c r="AN1093" s="12"/>
      <c r="AO1093" s="12"/>
      <c r="AP1093" s="12"/>
      <c r="AQ1093" s="12"/>
      <c r="AR1093" s="12"/>
      <c r="AS1093" s="12"/>
      <c r="AT1093" s="12"/>
      <c r="AU1093" s="12"/>
      <c r="AV1093" s="12"/>
      <c r="AW1093" s="12"/>
      <c r="AX1093" s="12"/>
      <c r="AY1093" s="12"/>
      <c r="AZ1093" s="12"/>
      <c r="BA1093" s="12"/>
      <c r="BB1093" s="12"/>
      <c r="BC1093" s="12"/>
      <c r="BD1093" s="12"/>
      <c r="BE1093" s="12"/>
      <c r="BF1093" s="12"/>
      <c r="BG1093" s="12"/>
      <c r="BH1093" s="12"/>
      <c r="BI1093" s="12"/>
      <c r="BJ1093" s="12"/>
      <c r="BK1093" s="12"/>
      <c r="BL1093" s="12"/>
      <c r="BM1093" s="12"/>
      <c r="BN1093" s="12"/>
      <c r="BO1093" s="12"/>
      <c r="BP1093" s="12"/>
      <c r="BQ1093" s="12"/>
      <c r="BR1093" s="12"/>
      <c r="BS1093" s="12"/>
      <c r="BT1093" s="12"/>
    </row>
    <row r="1094" spans="1:72">
      <c r="A1094" s="2" t="s">
        <v>21314</v>
      </c>
      <c r="B1094" s="5" t="s">
        <v>21319</v>
      </c>
      <c r="C1094" s="3" t="s">
        <v>21315</v>
      </c>
      <c r="D1094" s="4" t="s">
        <v>138</v>
      </c>
      <c r="E1094" s="15" t="s">
        <v>2651</v>
      </c>
      <c r="F1094" s="15" t="s">
        <v>200</v>
      </c>
      <c r="G1094" s="15" t="s">
        <v>162</v>
      </c>
      <c r="H1094" s="7">
        <v>9</v>
      </c>
      <c r="I1094" s="6" t="s">
        <v>21328</v>
      </c>
      <c r="J1094" s="6" t="s">
        <v>38482</v>
      </c>
      <c r="K1094" s="6" t="s">
        <v>38044</v>
      </c>
      <c r="L1094" s="6" t="s">
        <v>41786</v>
      </c>
      <c r="M1094" s="6" t="s">
        <v>37822</v>
      </c>
      <c r="N1094" s="6" t="s">
        <v>37787</v>
      </c>
      <c r="O1094" s="6" t="s">
        <v>38500</v>
      </c>
      <c r="P1094" s="6" t="s">
        <v>39367</v>
      </c>
      <c r="Q1094" s="6" t="s">
        <v>37770</v>
      </c>
      <c r="R1094" s="6" t="s">
        <v>43446</v>
      </c>
      <c r="S1094" s="6"/>
      <c r="T1094" s="6"/>
      <c r="U1094" s="6"/>
      <c r="V1094" s="6"/>
      <c r="W1094" s="6"/>
      <c r="X1094" s="6"/>
      <c r="Y1094" s="6"/>
      <c r="Z1094" s="6"/>
      <c r="AA1094" s="6"/>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c r="AX1094" s="6"/>
      <c r="AY1094" s="6"/>
      <c r="AZ1094" s="6"/>
      <c r="BA1094" s="6"/>
      <c r="BB1094" s="6"/>
      <c r="BC1094" s="6"/>
      <c r="BD1094" s="6"/>
      <c r="BE1094" s="6"/>
      <c r="BF1094" s="6"/>
      <c r="BG1094" s="6"/>
      <c r="BH1094" s="6"/>
      <c r="BI1094" s="6"/>
      <c r="BJ1094" s="6"/>
      <c r="BK1094" s="6"/>
      <c r="BL1094" s="6"/>
      <c r="BM1094" s="6"/>
      <c r="BN1094" s="6"/>
      <c r="BO1094" s="6"/>
      <c r="BP1094" s="6"/>
      <c r="BQ1094" s="6"/>
      <c r="BR1094" s="6"/>
      <c r="BS1094" s="6"/>
      <c r="BT1094" s="6"/>
    </row>
    <row r="1095" spans="1:72">
      <c r="A1095" s="8" t="s">
        <v>21332</v>
      </c>
      <c r="B1095" s="11" t="s">
        <v>21336</v>
      </c>
      <c r="C1095" s="9" t="s">
        <v>138</v>
      </c>
      <c r="D1095" s="10" t="s">
        <v>138</v>
      </c>
      <c r="E1095" s="28" t="s">
        <v>426</v>
      </c>
      <c r="F1095" s="28" t="s">
        <v>426</v>
      </c>
      <c r="G1095" s="28" t="s">
        <v>162</v>
      </c>
      <c r="H1095" s="13">
        <v>16</v>
      </c>
      <c r="I1095" s="12" t="s">
        <v>21343</v>
      </c>
      <c r="J1095" s="12" t="s">
        <v>43447</v>
      </c>
      <c r="K1095" s="12" t="s">
        <v>43448</v>
      </c>
      <c r="L1095" s="12" t="s">
        <v>43449</v>
      </c>
      <c r="M1095" s="12" t="s">
        <v>43450</v>
      </c>
      <c r="N1095" s="12" t="s">
        <v>38339</v>
      </c>
      <c r="O1095" s="12" t="s">
        <v>43451</v>
      </c>
      <c r="P1095" s="12" t="s">
        <v>41553</v>
      </c>
      <c r="Q1095" s="12" t="s">
        <v>37819</v>
      </c>
      <c r="R1095" s="12" t="s">
        <v>43452</v>
      </c>
      <c r="S1095" s="12" t="s">
        <v>39081</v>
      </c>
      <c r="T1095" s="12" t="s">
        <v>38100</v>
      </c>
      <c r="U1095" s="12" t="s">
        <v>43453</v>
      </c>
      <c r="V1095" s="12" t="s">
        <v>38864</v>
      </c>
      <c r="W1095" s="12" t="s">
        <v>43454</v>
      </c>
      <c r="X1095" s="12" t="s">
        <v>43455</v>
      </c>
      <c r="Y1095" s="12" t="s">
        <v>38037</v>
      </c>
      <c r="Z1095" s="12"/>
      <c r="AA1095" s="12"/>
      <c r="AB1095" s="12"/>
      <c r="AC1095" s="12"/>
      <c r="AD1095" s="12"/>
      <c r="AE1095" s="12"/>
      <c r="AF1095" s="12"/>
      <c r="AG1095" s="12"/>
      <c r="AH1095" s="12"/>
      <c r="AI1095" s="12"/>
      <c r="AJ1095" s="12"/>
      <c r="AK1095" s="12"/>
      <c r="AL1095" s="12"/>
      <c r="AM1095" s="12"/>
      <c r="AN1095" s="12"/>
      <c r="AO1095" s="12"/>
      <c r="AP1095" s="12"/>
      <c r="AQ1095" s="12"/>
      <c r="AR1095" s="12"/>
      <c r="AS1095" s="12"/>
      <c r="AT1095" s="12"/>
      <c r="AU1095" s="12"/>
      <c r="AV1095" s="12"/>
      <c r="AW1095" s="12"/>
      <c r="AX1095" s="12"/>
      <c r="AY1095" s="12"/>
      <c r="AZ1095" s="12"/>
      <c r="BA1095" s="12"/>
      <c r="BB1095" s="12"/>
      <c r="BC1095" s="12"/>
      <c r="BD1095" s="12"/>
      <c r="BE1095" s="12"/>
      <c r="BF1095" s="12"/>
      <c r="BG1095" s="12"/>
      <c r="BH1095" s="12"/>
      <c r="BI1095" s="12"/>
      <c r="BJ1095" s="12"/>
      <c r="BK1095" s="12"/>
      <c r="BL1095" s="12"/>
      <c r="BM1095" s="12"/>
      <c r="BN1095" s="12"/>
      <c r="BO1095" s="12"/>
      <c r="BP1095" s="12"/>
      <c r="BQ1095" s="12"/>
      <c r="BR1095" s="12"/>
      <c r="BS1095" s="12"/>
      <c r="BT1095" s="12"/>
    </row>
    <row r="1096" spans="1:72">
      <c r="A1096" s="2" t="s">
        <v>21348</v>
      </c>
      <c r="B1096" s="5" t="s">
        <v>21353</v>
      </c>
      <c r="C1096" s="3" t="s">
        <v>138</v>
      </c>
      <c r="D1096" s="4" t="s">
        <v>138</v>
      </c>
      <c r="E1096" s="15" t="s">
        <v>2931</v>
      </c>
      <c r="F1096" s="15" t="s">
        <v>200</v>
      </c>
      <c r="G1096" s="15" t="s">
        <v>162</v>
      </c>
      <c r="H1096" s="7">
        <v>11</v>
      </c>
      <c r="I1096" s="6" t="s">
        <v>21360</v>
      </c>
      <c r="J1096" s="6" t="s">
        <v>39462</v>
      </c>
      <c r="K1096" s="6" t="s">
        <v>43456</v>
      </c>
      <c r="L1096" s="6" t="s">
        <v>38299</v>
      </c>
      <c r="M1096" s="6" t="s">
        <v>39865</v>
      </c>
      <c r="N1096" s="6" t="s">
        <v>39381</v>
      </c>
      <c r="O1096" s="6" t="s">
        <v>41212</v>
      </c>
      <c r="P1096" s="6" t="s">
        <v>37883</v>
      </c>
      <c r="Q1096" s="6" t="s">
        <v>38645</v>
      </c>
      <c r="R1096" s="6" t="s">
        <v>42485</v>
      </c>
      <c r="S1096" s="6" t="s">
        <v>37781</v>
      </c>
      <c r="T1096" s="6" t="s">
        <v>38363</v>
      </c>
      <c r="U1096" s="6"/>
      <c r="V1096" s="6"/>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c r="AY1096" s="6"/>
      <c r="AZ1096" s="6"/>
      <c r="BA1096" s="6"/>
      <c r="BB1096" s="6"/>
      <c r="BC1096" s="6"/>
      <c r="BD1096" s="6"/>
      <c r="BE1096" s="6"/>
      <c r="BF1096" s="6"/>
      <c r="BG1096" s="6"/>
      <c r="BH1096" s="6"/>
      <c r="BI1096" s="6"/>
      <c r="BJ1096" s="6"/>
      <c r="BK1096" s="6"/>
      <c r="BL1096" s="6"/>
      <c r="BM1096" s="6"/>
      <c r="BN1096" s="6"/>
      <c r="BO1096" s="6"/>
      <c r="BP1096" s="6"/>
      <c r="BQ1096" s="6"/>
      <c r="BR1096" s="6"/>
      <c r="BS1096" s="6"/>
      <c r="BT1096" s="6"/>
    </row>
    <row r="1097" spans="1:72">
      <c r="A1097" s="8" t="s">
        <v>21364</v>
      </c>
      <c r="B1097" s="11" t="s">
        <v>21370</v>
      </c>
      <c r="C1097" s="9" t="s">
        <v>138</v>
      </c>
      <c r="D1097" s="10" t="s">
        <v>138</v>
      </c>
      <c r="E1097" s="28" t="s">
        <v>1516</v>
      </c>
      <c r="F1097" s="28" t="s">
        <v>284</v>
      </c>
      <c r="G1097" s="28" t="s">
        <v>162</v>
      </c>
      <c r="H1097" s="13">
        <v>7</v>
      </c>
      <c r="I1097" s="12" t="s">
        <v>21380</v>
      </c>
      <c r="J1097" s="12" t="s">
        <v>33097</v>
      </c>
      <c r="K1097" s="12" t="s">
        <v>38189</v>
      </c>
      <c r="L1097" s="12" t="s">
        <v>42013</v>
      </c>
      <c r="M1097" s="12" t="s">
        <v>40787</v>
      </c>
      <c r="N1097" s="12" t="s">
        <v>40910</v>
      </c>
      <c r="O1097" s="12" t="s">
        <v>38787</v>
      </c>
      <c r="P1097" s="12" t="s">
        <v>43457</v>
      </c>
      <c r="Q1097" s="12"/>
      <c r="R1097" s="12"/>
      <c r="S1097" s="12"/>
      <c r="T1097" s="12"/>
      <c r="U1097" s="12"/>
      <c r="V1097" s="12"/>
      <c r="W1097" s="12"/>
      <c r="X1097" s="12"/>
      <c r="Y1097" s="12"/>
      <c r="Z1097" s="12"/>
      <c r="AA1097" s="12"/>
      <c r="AB1097" s="12"/>
      <c r="AC1097" s="12"/>
      <c r="AD1097" s="12"/>
      <c r="AE1097" s="12"/>
      <c r="AF1097" s="12"/>
      <c r="AG1097" s="12"/>
      <c r="AH1097" s="12"/>
      <c r="AI1097" s="12"/>
      <c r="AJ1097" s="12"/>
      <c r="AK1097" s="12"/>
      <c r="AL1097" s="12"/>
      <c r="AM1097" s="12"/>
      <c r="AN1097" s="12"/>
      <c r="AO1097" s="12"/>
      <c r="AP1097" s="12"/>
      <c r="AQ1097" s="12"/>
      <c r="AR1097" s="12"/>
      <c r="AS1097" s="12"/>
      <c r="AT1097" s="12"/>
      <c r="AU1097" s="12"/>
      <c r="AV1097" s="12"/>
      <c r="AW1097" s="12"/>
      <c r="AX1097" s="12"/>
      <c r="AY1097" s="12"/>
      <c r="AZ1097" s="12"/>
      <c r="BA1097" s="12"/>
      <c r="BB1097" s="12"/>
      <c r="BC1097" s="12"/>
      <c r="BD1097" s="12"/>
      <c r="BE1097" s="12"/>
      <c r="BF1097" s="12"/>
      <c r="BG1097" s="12"/>
      <c r="BH1097" s="12"/>
      <c r="BI1097" s="12"/>
      <c r="BJ1097" s="12"/>
      <c r="BK1097" s="12"/>
      <c r="BL1097" s="12"/>
      <c r="BM1097" s="12"/>
      <c r="BN1097" s="12"/>
      <c r="BO1097" s="12"/>
      <c r="BP1097" s="12"/>
      <c r="BQ1097" s="12"/>
      <c r="BR1097" s="12"/>
      <c r="BS1097" s="12"/>
      <c r="BT1097" s="12"/>
    </row>
    <row r="1098" spans="1:72">
      <c r="A1098" s="2" t="s">
        <v>21383</v>
      </c>
      <c r="B1098" s="5" t="s">
        <v>21389</v>
      </c>
      <c r="C1098" s="3" t="s">
        <v>21384</v>
      </c>
      <c r="D1098" s="4" t="s">
        <v>138</v>
      </c>
      <c r="E1098" s="15" t="s">
        <v>1294</v>
      </c>
      <c r="F1098" s="15" t="s">
        <v>864</v>
      </c>
      <c r="G1098" s="15" t="s">
        <v>162</v>
      </c>
      <c r="H1098" s="7">
        <v>2</v>
      </c>
      <c r="I1098" s="6" t="s">
        <v>21401</v>
      </c>
      <c r="J1098" s="6" t="s">
        <v>43458</v>
      </c>
      <c r="K1098" s="6" t="s">
        <v>38286</v>
      </c>
      <c r="L1098" s="6"/>
      <c r="M1098" s="6"/>
      <c r="N1098" s="6"/>
      <c r="O1098" s="6"/>
      <c r="P1098" s="6"/>
      <c r="Q1098" s="6"/>
      <c r="R1098" s="6"/>
      <c r="S1098" s="6"/>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c r="AY1098" s="6"/>
      <c r="AZ1098" s="6"/>
      <c r="BA1098" s="6"/>
      <c r="BB1098" s="6"/>
      <c r="BC1098" s="6"/>
      <c r="BD1098" s="6"/>
      <c r="BE1098" s="6"/>
      <c r="BF1098" s="6"/>
      <c r="BG1098" s="6"/>
      <c r="BH1098" s="6"/>
      <c r="BI1098" s="6"/>
      <c r="BJ1098" s="6"/>
      <c r="BK1098" s="6"/>
      <c r="BL1098" s="6"/>
      <c r="BM1098" s="6"/>
      <c r="BN1098" s="6"/>
      <c r="BO1098" s="6"/>
      <c r="BP1098" s="6"/>
      <c r="BQ1098" s="6"/>
      <c r="BR1098" s="6"/>
      <c r="BS1098" s="6"/>
      <c r="BT1098" s="6"/>
    </row>
    <row r="1099" spans="1:72">
      <c r="A1099" s="8" t="s">
        <v>21404</v>
      </c>
      <c r="B1099" s="11" t="s">
        <v>21409</v>
      </c>
      <c r="C1099" s="9" t="s">
        <v>138</v>
      </c>
      <c r="D1099" s="10" t="s">
        <v>21405</v>
      </c>
      <c r="E1099" s="28" t="s">
        <v>426</v>
      </c>
      <c r="F1099" s="28" t="s">
        <v>426</v>
      </c>
      <c r="G1099" s="28" t="s">
        <v>162</v>
      </c>
      <c r="H1099" s="13">
        <v>1</v>
      </c>
      <c r="I1099" s="12" t="s">
        <v>21420</v>
      </c>
      <c r="J1099" s="12" t="s">
        <v>21420</v>
      </c>
      <c r="K1099" s="12"/>
      <c r="L1099" s="12"/>
      <c r="M1099" s="12"/>
      <c r="N1099" s="12"/>
      <c r="O1099" s="12"/>
      <c r="P1099" s="12"/>
      <c r="Q1099" s="12"/>
      <c r="R1099" s="12"/>
      <c r="S1099" s="12"/>
      <c r="T1099" s="12"/>
      <c r="U1099" s="12"/>
      <c r="V1099" s="12"/>
      <c r="W1099" s="12"/>
      <c r="X1099" s="12"/>
      <c r="Y1099" s="12"/>
      <c r="Z1099" s="12"/>
      <c r="AA1099" s="12"/>
      <c r="AB1099" s="12"/>
      <c r="AC1099" s="12"/>
      <c r="AD1099" s="12"/>
      <c r="AE1099" s="12"/>
      <c r="AF1099" s="12"/>
      <c r="AG1099" s="12"/>
      <c r="AH1099" s="12"/>
      <c r="AI1099" s="12"/>
      <c r="AJ1099" s="12"/>
      <c r="AK1099" s="12"/>
      <c r="AL1099" s="12"/>
      <c r="AM1099" s="12"/>
      <c r="AN1099" s="12"/>
      <c r="AO1099" s="12"/>
      <c r="AP1099" s="12"/>
      <c r="AQ1099" s="12"/>
      <c r="AR1099" s="12"/>
      <c r="AS1099" s="12"/>
      <c r="AT1099" s="12"/>
      <c r="AU1099" s="12"/>
      <c r="AV1099" s="12"/>
      <c r="AW1099" s="12"/>
      <c r="AX1099" s="12"/>
      <c r="AY1099" s="12"/>
      <c r="AZ1099" s="12"/>
      <c r="BA1099" s="12"/>
      <c r="BB1099" s="12"/>
      <c r="BC1099" s="12"/>
      <c r="BD1099" s="12"/>
      <c r="BE1099" s="12"/>
      <c r="BF1099" s="12"/>
      <c r="BG1099" s="12"/>
      <c r="BH1099" s="12"/>
      <c r="BI1099" s="12"/>
      <c r="BJ1099" s="12"/>
      <c r="BK1099" s="12"/>
      <c r="BL1099" s="12"/>
      <c r="BM1099" s="12"/>
      <c r="BN1099" s="12"/>
      <c r="BO1099" s="12"/>
      <c r="BP1099" s="12"/>
      <c r="BQ1099" s="12"/>
      <c r="BR1099" s="12"/>
      <c r="BS1099" s="12"/>
      <c r="BT1099" s="12"/>
    </row>
    <row r="1100" spans="1:72">
      <c r="A1100" s="2" t="s">
        <v>21426</v>
      </c>
      <c r="B1100" s="5" t="s">
        <v>21427</v>
      </c>
      <c r="C1100" s="3" t="s">
        <v>138</v>
      </c>
      <c r="D1100" s="4" t="s">
        <v>138</v>
      </c>
      <c r="E1100" s="15" t="s">
        <v>863</v>
      </c>
      <c r="F1100" s="15" t="s">
        <v>864</v>
      </c>
      <c r="G1100" s="15" t="s">
        <v>162</v>
      </c>
      <c r="H1100" s="7">
        <v>5</v>
      </c>
      <c r="I1100" s="6" t="s">
        <v>21435</v>
      </c>
      <c r="J1100" s="6" t="s">
        <v>455</v>
      </c>
      <c r="K1100" s="6" t="s">
        <v>40024</v>
      </c>
      <c r="L1100" s="6" t="s">
        <v>38915</v>
      </c>
      <c r="M1100" s="6" t="s">
        <v>43459</v>
      </c>
      <c r="N1100" s="6" t="s">
        <v>41869</v>
      </c>
      <c r="O1100" s="6"/>
      <c r="P1100" s="6"/>
      <c r="Q1100" s="6"/>
      <c r="R1100" s="6"/>
      <c r="S1100" s="6"/>
      <c r="T1100" s="6"/>
      <c r="U1100" s="6"/>
      <c r="V1100" s="6"/>
      <c r="W1100" s="6"/>
      <c r="X1100" s="6"/>
      <c r="Y1100" s="6"/>
      <c r="Z1100" s="6"/>
      <c r="AA1100" s="6"/>
      <c r="AB1100" s="6"/>
      <c r="AC1100" s="6"/>
      <c r="AD1100" s="6"/>
      <c r="AE1100" s="6"/>
      <c r="AF1100" s="6"/>
      <c r="AG1100" s="6"/>
      <c r="AH1100" s="6"/>
      <c r="AI1100" s="6"/>
      <c r="AJ1100" s="6"/>
      <c r="AK1100" s="6"/>
      <c r="AL1100" s="6"/>
      <c r="AM1100" s="6"/>
      <c r="AN1100" s="6"/>
      <c r="AO1100" s="6"/>
      <c r="AP1100" s="6"/>
      <c r="AQ1100" s="6"/>
      <c r="AR1100" s="6"/>
      <c r="AS1100" s="6"/>
      <c r="AT1100" s="6"/>
      <c r="AU1100" s="6"/>
      <c r="AV1100" s="6"/>
      <c r="AW1100" s="6"/>
      <c r="AX1100" s="6"/>
      <c r="AY1100" s="6"/>
      <c r="AZ1100" s="6"/>
      <c r="BA1100" s="6"/>
      <c r="BB1100" s="6"/>
      <c r="BC1100" s="6"/>
      <c r="BD1100" s="6"/>
      <c r="BE1100" s="6"/>
      <c r="BF1100" s="6"/>
      <c r="BG1100" s="6"/>
      <c r="BH1100" s="6"/>
      <c r="BI1100" s="6"/>
      <c r="BJ1100" s="6"/>
      <c r="BK1100" s="6"/>
      <c r="BL1100" s="6"/>
      <c r="BM1100" s="6"/>
      <c r="BN1100" s="6"/>
      <c r="BO1100" s="6"/>
      <c r="BP1100" s="6"/>
      <c r="BQ1100" s="6"/>
      <c r="BR1100" s="6"/>
      <c r="BS1100" s="6"/>
      <c r="BT1100" s="6"/>
    </row>
    <row r="1101" spans="1:72">
      <c r="A1101" s="8" t="s">
        <v>21438</v>
      </c>
      <c r="B1101" s="11" t="s">
        <v>21443</v>
      </c>
      <c r="C1101" s="9" t="s">
        <v>21439</v>
      </c>
      <c r="D1101" s="10" t="s">
        <v>138</v>
      </c>
      <c r="E1101" s="28" t="s">
        <v>19919</v>
      </c>
      <c r="F1101" s="28" t="s">
        <v>10615</v>
      </c>
      <c r="G1101" s="28" t="s">
        <v>162</v>
      </c>
      <c r="H1101" s="13">
        <v>11</v>
      </c>
      <c r="I1101" s="12" t="s">
        <v>21454</v>
      </c>
      <c r="J1101" s="12" t="s">
        <v>43460</v>
      </c>
      <c r="K1101" s="12" t="s">
        <v>43461</v>
      </c>
      <c r="L1101" s="12" t="s">
        <v>43462</v>
      </c>
      <c r="M1101" s="12" t="s">
        <v>39908</v>
      </c>
      <c r="N1101" s="12" t="s">
        <v>43463</v>
      </c>
      <c r="O1101" s="12" t="s">
        <v>41180</v>
      </c>
      <c r="P1101" s="12" t="s">
        <v>38688</v>
      </c>
      <c r="Q1101" s="12" t="s">
        <v>40348</v>
      </c>
      <c r="R1101" s="12" t="s">
        <v>37931</v>
      </c>
      <c r="S1101" s="12" t="s">
        <v>43464</v>
      </c>
      <c r="T1101" s="12" t="s">
        <v>39143</v>
      </c>
      <c r="U1101" s="12"/>
      <c r="V1101" s="12"/>
      <c r="W1101" s="12"/>
      <c r="X1101" s="12"/>
      <c r="Y1101" s="12"/>
      <c r="Z1101" s="12"/>
      <c r="AA1101" s="12"/>
      <c r="AB1101" s="12"/>
      <c r="AC1101" s="12"/>
      <c r="AD1101" s="12"/>
      <c r="AE1101" s="12"/>
      <c r="AF1101" s="12"/>
      <c r="AG1101" s="12"/>
      <c r="AH1101" s="12"/>
      <c r="AI1101" s="12"/>
      <c r="AJ1101" s="12"/>
      <c r="AK1101" s="12"/>
      <c r="AL1101" s="12"/>
      <c r="AM1101" s="12"/>
      <c r="AN1101" s="12"/>
      <c r="AO1101" s="12"/>
      <c r="AP1101" s="12"/>
      <c r="AQ1101" s="12"/>
      <c r="AR1101" s="12"/>
      <c r="AS1101" s="12"/>
      <c r="AT1101" s="12"/>
      <c r="AU1101" s="12"/>
      <c r="AV1101" s="12"/>
      <c r="AW1101" s="12"/>
      <c r="AX1101" s="12"/>
      <c r="AY1101" s="12"/>
      <c r="AZ1101" s="12"/>
      <c r="BA1101" s="12"/>
      <c r="BB1101" s="12"/>
      <c r="BC1101" s="12"/>
      <c r="BD1101" s="12"/>
      <c r="BE1101" s="12"/>
      <c r="BF1101" s="12"/>
      <c r="BG1101" s="12"/>
      <c r="BH1101" s="12"/>
      <c r="BI1101" s="12"/>
      <c r="BJ1101" s="12"/>
      <c r="BK1101" s="12"/>
      <c r="BL1101" s="12"/>
      <c r="BM1101" s="12"/>
      <c r="BN1101" s="12"/>
      <c r="BO1101" s="12"/>
      <c r="BP1101" s="12"/>
      <c r="BQ1101" s="12"/>
      <c r="BR1101" s="12"/>
      <c r="BS1101" s="12"/>
      <c r="BT1101" s="12"/>
    </row>
    <row r="1102" spans="1:72">
      <c r="A1102" s="2" t="s">
        <v>21459</v>
      </c>
      <c r="B1102" s="5" t="s">
        <v>21465</v>
      </c>
      <c r="C1102" s="3" t="s">
        <v>21460</v>
      </c>
      <c r="D1102" s="4" t="s">
        <v>21461</v>
      </c>
      <c r="E1102" s="15" t="s">
        <v>642</v>
      </c>
      <c r="F1102" s="15" t="s">
        <v>474</v>
      </c>
      <c r="G1102" s="15" t="s">
        <v>162</v>
      </c>
      <c r="H1102" s="7">
        <v>6</v>
      </c>
      <c r="I1102" s="6" t="s">
        <v>21475</v>
      </c>
      <c r="J1102" s="6" t="s">
        <v>41026</v>
      </c>
      <c r="K1102" s="6" t="s">
        <v>39477</v>
      </c>
      <c r="L1102" s="6" t="s">
        <v>43465</v>
      </c>
      <c r="M1102" s="6" t="s">
        <v>38928</v>
      </c>
      <c r="N1102" s="6" t="s">
        <v>39651</v>
      </c>
      <c r="O1102" s="6" t="s">
        <v>41318</v>
      </c>
      <c r="P1102" s="6"/>
      <c r="Q1102" s="6"/>
      <c r="R1102" s="6"/>
      <c r="S1102" s="6"/>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c r="AY1102" s="6"/>
      <c r="AZ1102" s="6"/>
      <c r="BA1102" s="6"/>
      <c r="BB1102" s="6"/>
      <c r="BC1102" s="6"/>
      <c r="BD1102" s="6"/>
      <c r="BE1102" s="6"/>
      <c r="BF1102" s="6"/>
      <c r="BG1102" s="6"/>
      <c r="BH1102" s="6"/>
      <c r="BI1102" s="6"/>
      <c r="BJ1102" s="6"/>
      <c r="BK1102" s="6"/>
      <c r="BL1102" s="6"/>
      <c r="BM1102" s="6"/>
      <c r="BN1102" s="6"/>
      <c r="BO1102" s="6"/>
      <c r="BP1102" s="6"/>
      <c r="BQ1102" s="6"/>
      <c r="BR1102" s="6"/>
      <c r="BS1102" s="6"/>
      <c r="BT1102" s="6"/>
    </row>
    <row r="1103" spans="1:72">
      <c r="A1103" s="8" t="s">
        <v>21480</v>
      </c>
      <c r="B1103" s="11" t="s">
        <v>21485</v>
      </c>
      <c r="C1103" s="9" t="s">
        <v>138</v>
      </c>
      <c r="D1103" s="10" t="s">
        <v>138</v>
      </c>
      <c r="E1103" s="28" t="s">
        <v>21493</v>
      </c>
      <c r="F1103" s="28" t="s">
        <v>200</v>
      </c>
      <c r="G1103" s="28" t="s">
        <v>162</v>
      </c>
      <c r="H1103" s="13">
        <v>5</v>
      </c>
      <c r="I1103" s="12" t="s">
        <v>21498</v>
      </c>
      <c r="J1103" s="12" t="s">
        <v>42036</v>
      </c>
      <c r="K1103" s="12" t="s">
        <v>37787</v>
      </c>
      <c r="L1103" s="12" t="s">
        <v>38200</v>
      </c>
      <c r="M1103" s="12" t="s">
        <v>43466</v>
      </c>
      <c r="N1103" s="12" t="s">
        <v>38705</v>
      </c>
      <c r="O1103" s="12"/>
      <c r="P1103" s="12"/>
      <c r="Q1103" s="12"/>
      <c r="R1103" s="12"/>
      <c r="S1103" s="12"/>
      <c r="T1103" s="12"/>
      <c r="U1103" s="12"/>
      <c r="V1103" s="12"/>
      <c r="W1103" s="12"/>
      <c r="X1103" s="12"/>
      <c r="Y1103" s="12"/>
      <c r="Z1103" s="12"/>
      <c r="AA1103" s="12"/>
      <c r="AB1103" s="12"/>
      <c r="AC1103" s="12"/>
      <c r="AD1103" s="12"/>
      <c r="AE1103" s="12"/>
      <c r="AF1103" s="12"/>
      <c r="AG1103" s="12"/>
      <c r="AH1103" s="12"/>
      <c r="AI1103" s="12"/>
      <c r="AJ1103" s="12"/>
      <c r="AK1103" s="12"/>
      <c r="AL1103" s="12"/>
      <c r="AM1103" s="12"/>
      <c r="AN1103" s="12"/>
      <c r="AO1103" s="12"/>
      <c r="AP1103" s="12"/>
      <c r="AQ1103" s="12"/>
      <c r="AR1103" s="12"/>
      <c r="AS1103" s="12"/>
      <c r="AT1103" s="12"/>
      <c r="AU1103" s="12"/>
      <c r="AV1103" s="12"/>
      <c r="AW1103" s="12"/>
      <c r="AX1103" s="12"/>
      <c r="AY1103" s="12"/>
      <c r="AZ1103" s="12"/>
      <c r="BA1103" s="12"/>
      <c r="BB1103" s="12"/>
      <c r="BC1103" s="12"/>
      <c r="BD1103" s="12"/>
      <c r="BE1103" s="12"/>
      <c r="BF1103" s="12"/>
      <c r="BG1103" s="12"/>
      <c r="BH1103" s="12"/>
      <c r="BI1103" s="12"/>
      <c r="BJ1103" s="12"/>
      <c r="BK1103" s="12"/>
      <c r="BL1103" s="12"/>
      <c r="BM1103" s="12"/>
      <c r="BN1103" s="12"/>
      <c r="BO1103" s="12"/>
      <c r="BP1103" s="12"/>
      <c r="BQ1103" s="12"/>
      <c r="BR1103" s="12"/>
      <c r="BS1103" s="12"/>
      <c r="BT1103" s="12"/>
    </row>
    <row r="1104" spans="1:72">
      <c r="A1104" s="2" t="s">
        <v>21501</v>
      </c>
      <c r="B1104" s="5" t="s">
        <v>21508</v>
      </c>
      <c r="C1104" s="3" t="s">
        <v>21502</v>
      </c>
      <c r="D1104" s="4" t="s">
        <v>21503</v>
      </c>
      <c r="E1104" s="15" t="s">
        <v>13086</v>
      </c>
      <c r="F1104" s="15" t="s">
        <v>200</v>
      </c>
      <c r="G1104" s="15" t="s">
        <v>162</v>
      </c>
      <c r="H1104" s="7">
        <v>16</v>
      </c>
      <c r="I1104" s="6" t="s">
        <v>21517</v>
      </c>
      <c r="J1104" s="6" t="s">
        <v>43467</v>
      </c>
      <c r="K1104" s="6" t="s">
        <v>43468</v>
      </c>
      <c r="L1104" s="6" t="s">
        <v>43469</v>
      </c>
      <c r="M1104" s="6" t="s">
        <v>43470</v>
      </c>
      <c r="N1104" s="6" t="s">
        <v>37846</v>
      </c>
      <c r="O1104" s="6" t="s">
        <v>41581</v>
      </c>
      <c r="P1104" s="6" t="s">
        <v>42800</v>
      </c>
      <c r="Q1104" s="6" t="s">
        <v>43471</v>
      </c>
      <c r="R1104" s="6" t="s">
        <v>39633</v>
      </c>
      <c r="S1104" s="6" t="s">
        <v>43472</v>
      </c>
      <c r="T1104" s="6" t="s">
        <v>38200</v>
      </c>
      <c r="U1104" s="6" t="s">
        <v>38446</v>
      </c>
      <c r="V1104" s="6" t="s">
        <v>37806</v>
      </c>
      <c r="W1104" s="6" t="s">
        <v>43473</v>
      </c>
      <c r="X1104" s="6" t="s">
        <v>43474</v>
      </c>
      <c r="Y1104" s="6" t="s">
        <v>38768</v>
      </c>
      <c r="Z1104" s="6"/>
      <c r="AA1104" s="6"/>
      <c r="AB1104" s="6"/>
      <c r="AC1104" s="6"/>
      <c r="AD1104" s="6"/>
      <c r="AE1104" s="6"/>
      <c r="AF1104" s="6"/>
      <c r="AG1104" s="6"/>
      <c r="AH1104" s="6"/>
      <c r="AI1104" s="6"/>
      <c r="AJ1104" s="6"/>
      <c r="AK1104" s="6"/>
      <c r="AL1104" s="6"/>
      <c r="AM1104" s="6"/>
      <c r="AN1104" s="6"/>
      <c r="AO1104" s="6"/>
      <c r="AP1104" s="6"/>
      <c r="AQ1104" s="6"/>
      <c r="AR1104" s="6"/>
      <c r="AS1104" s="6"/>
      <c r="AT1104" s="6"/>
      <c r="AU1104" s="6"/>
      <c r="AV1104" s="6"/>
      <c r="AW1104" s="6"/>
      <c r="AX1104" s="6"/>
      <c r="AY1104" s="6"/>
      <c r="AZ1104" s="6"/>
      <c r="BA1104" s="6"/>
      <c r="BB1104" s="6"/>
      <c r="BC1104" s="6"/>
      <c r="BD1104" s="6"/>
      <c r="BE1104" s="6"/>
      <c r="BF1104" s="6"/>
      <c r="BG1104" s="6"/>
      <c r="BH1104" s="6"/>
      <c r="BI1104" s="6"/>
      <c r="BJ1104" s="6"/>
      <c r="BK1104" s="6"/>
      <c r="BL1104" s="6"/>
      <c r="BM1104" s="6"/>
      <c r="BN1104" s="6"/>
      <c r="BO1104" s="6"/>
      <c r="BP1104" s="6"/>
      <c r="BQ1104" s="6"/>
      <c r="BR1104" s="6"/>
      <c r="BS1104" s="6"/>
      <c r="BT1104" s="6"/>
    </row>
    <row r="1105" spans="1:72">
      <c r="A1105" s="8" t="s">
        <v>21522</v>
      </c>
      <c r="B1105" s="11" t="s">
        <v>21527</v>
      </c>
      <c r="C1105" s="9" t="s">
        <v>138</v>
      </c>
      <c r="D1105" s="10" t="s">
        <v>138</v>
      </c>
      <c r="E1105" s="28" t="s">
        <v>21537</v>
      </c>
      <c r="F1105" s="28" t="s">
        <v>1389</v>
      </c>
      <c r="G1105" s="28" t="s">
        <v>162</v>
      </c>
      <c r="H1105" s="13">
        <v>8</v>
      </c>
      <c r="I1105" s="12" t="s">
        <v>21542</v>
      </c>
      <c r="J1105" s="12" t="s">
        <v>43475</v>
      </c>
      <c r="K1105" s="12" t="s">
        <v>43476</v>
      </c>
      <c r="L1105" s="12" t="s">
        <v>37987</v>
      </c>
      <c r="M1105" s="12" t="s">
        <v>40249</v>
      </c>
      <c r="N1105" s="12" t="s">
        <v>39392</v>
      </c>
      <c r="O1105" s="12" t="s">
        <v>41224</v>
      </c>
      <c r="P1105" s="12" t="s">
        <v>38321</v>
      </c>
      <c r="Q1105" s="12" t="s">
        <v>43477</v>
      </c>
      <c r="R1105" s="12"/>
      <c r="S1105" s="12"/>
      <c r="T1105" s="12"/>
      <c r="U1105" s="12"/>
      <c r="V1105" s="12"/>
      <c r="W1105" s="12"/>
      <c r="X1105" s="12"/>
      <c r="Y1105" s="12"/>
      <c r="Z1105" s="12"/>
      <c r="AA1105" s="12"/>
      <c r="AB1105" s="12"/>
      <c r="AC1105" s="12"/>
      <c r="AD1105" s="12"/>
      <c r="AE1105" s="12"/>
      <c r="AF1105" s="12"/>
      <c r="AG1105" s="12"/>
      <c r="AH1105" s="12"/>
      <c r="AI1105" s="12"/>
      <c r="AJ1105" s="12"/>
      <c r="AK1105" s="12"/>
      <c r="AL1105" s="12"/>
      <c r="AM1105" s="12"/>
      <c r="AN1105" s="12"/>
      <c r="AO1105" s="12"/>
      <c r="AP1105" s="12"/>
      <c r="AQ1105" s="12"/>
      <c r="AR1105" s="12"/>
      <c r="AS1105" s="12"/>
      <c r="AT1105" s="12"/>
      <c r="AU1105" s="12"/>
      <c r="AV1105" s="12"/>
      <c r="AW1105" s="12"/>
      <c r="AX1105" s="12"/>
      <c r="AY1105" s="12"/>
      <c r="AZ1105" s="12"/>
      <c r="BA1105" s="12"/>
      <c r="BB1105" s="12"/>
      <c r="BC1105" s="12"/>
      <c r="BD1105" s="12"/>
      <c r="BE1105" s="12"/>
      <c r="BF1105" s="12"/>
      <c r="BG1105" s="12"/>
      <c r="BH1105" s="12"/>
      <c r="BI1105" s="12"/>
      <c r="BJ1105" s="12"/>
      <c r="BK1105" s="12"/>
      <c r="BL1105" s="12"/>
      <c r="BM1105" s="12"/>
      <c r="BN1105" s="12"/>
      <c r="BO1105" s="12"/>
      <c r="BP1105" s="12"/>
      <c r="BQ1105" s="12"/>
      <c r="BR1105" s="12"/>
      <c r="BS1105" s="12"/>
      <c r="BT1105" s="12"/>
    </row>
    <row r="1106" spans="1:72">
      <c r="A1106" s="2" t="s">
        <v>21546</v>
      </c>
      <c r="B1106" s="5" t="s">
        <v>21551</v>
      </c>
      <c r="C1106" s="3" t="s">
        <v>138</v>
      </c>
      <c r="D1106" s="4" t="s">
        <v>138</v>
      </c>
      <c r="E1106" s="15" t="s">
        <v>21560</v>
      </c>
      <c r="F1106" s="15" t="s">
        <v>864</v>
      </c>
      <c r="G1106" s="15" t="s">
        <v>162</v>
      </c>
      <c r="H1106" s="7">
        <v>15</v>
      </c>
      <c r="I1106" s="6" t="s">
        <v>21564</v>
      </c>
      <c r="J1106" s="6" t="s">
        <v>42802</v>
      </c>
      <c r="K1106" s="6" t="s">
        <v>43478</v>
      </c>
      <c r="L1106" s="6" t="s">
        <v>43479</v>
      </c>
      <c r="M1106" s="6" t="s">
        <v>39399</v>
      </c>
      <c r="N1106" s="6" t="s">
        <v>43480</v>
      </c>
      <c r="O1106" s="6" t="s">
        <v>43481</v>
      </c>
      <c r="P1106" s="6" t="s">
        <v>40755</v>
      </c>
      <c r="Q1106" s="6" t="s">
        <v>39140</v>
      </c>
      <c r="R1106" s="6" t="s">
        <v>38082</v>
      </c>
      <c r="S1106" s="6" t="s">
        <v>43482</v>
      </c>
      <c r="T1106" s="6" t="s">
        <v>41631</v>
      </c>
      <c r="U1106" s="6" t="s">
        <v>37915</v>
      </c>
      <c r="V1106" s="6" t="s">
        <v>39662</v>
      </c>
      <c r="W1106" s="6" t="s">
        <v>38896</v>
      </c>
      <c r="X1106" s="6" t="s">
        <v>38705</v>
      </c>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c r="AY1106" s="6"/>
      <c r="AZ1106" s="6"/>
      <c r="BA1106" s="6"/>
      <c r="BB1106" s="6"/>
      <c r="BC1106" s="6"/>
      <c r="BD1106" s="6"/>
      <c r="BE1106" s="6"/>
      <c r="BF1106" s="6"/>
      <c r="BG1106" s="6"/>
      <c r="BH1106" s="6"/>
      <c r="BI1106" s="6"/>
      <c r="BJ1106" s="6"/>
      <c r="BK1106" s="6"/>
      <c r="BL1106" s="6"/>
      <c r="BM1106" s="6"/>
      <c r="BN1106" s="6"/>
      <c r="BO1106" s="6"/>
      <c r="BP1106" s="6"/>
      <c r="BQ1106" s="6"/>
      <c r="BR1106" s="6"/>
      <c r="BS1106" s="6"/>
      <c r="BT1106" s="6"/>
    </row>
    <row r="1107" spans="1:72">
      <c r="A1107" s="8" t="s">
        <v>21569</v>
      </c>
      <c r="B1107" s="11" t="s">
        <v>21574</v>
      </c>
      <c r="C1107" s="9" t="s">
        <v>138</v>
      </c>
      <c r="D1107" s="10" t="s">
        <v>138</v>
      </c>
      <c r="E1107" s="28" t="s">
        <v>426</v>
      </c>
      <c r="F1107" s="28" t="s">
        <v>426</v>
      </c>
      <c r="G1107" s="28" t="s">
        <v>162</v>
      </c>
      <c r="H1107" s="13">
        <v>17</v>
      </c>
      <c r="I1107" s="12" t="s">
        <v>21584</v>
      </c>
      <c r="J1107" s="12" t="s">
        <v>42307</v>
      </c>
      <c r="K1107" s="12" t="s">
        <v>42435</v>
      </c>
      <c r="L1107" s="12" t="s">
        <v>43483</v>
      </c>
      <c r="M1107" s="12" t="s">
        <v>42939</v>
      </c>
      <c r="N1107" s="12" t="s">
        <v>43484</v>
      </c>
      <c r="O1107" s="12" t="s">
        <v>43485</v>
      </c>
      <c r="P1107" s="12" t="s">
        <v>43486</v>
      </c>
      <c r="Q1107" s="12" t="s">
        <v>37787</v>
      </c>
      <c r="R1107" s="12" t="s">
        <v>39760</v>
      </c>
      <c r="S1107" s="12" t="s">
        <v>43487</v>
      </c>
      <c r="T1107" s="12" t="s">
        <v>39140</v>
      </c>
      <c r="U1107" s="12" t="s">
        <v>40560</v>
      </c>
      <c r="V1107" s="12" t="s">
        <v>37802</v>
      </c>
      <c r="W1107" s="12" t="s">
        <v>37931</v>
      </c>
      <c r="X1107" s="12" t="s">
        <v>39642</v>
      </c>
      <c r="Y1107" s="12" t="s">
        <v>40710</v>
      </c>
      <c r="Z1107" s="12" t="s">
        <v>37915</v>
      </c>
      <c r="AA1107" s="12"/>
      <c r="AB1107" s="12"/>
      <c r="AC1107" s="12"/>
      <c r="AD1107" s="12"/>
      <c r="AE1107" s="12"/>
      <c r="AF1107" s="12"/>
      <c r="AG1107" s="12"/>
      <c r="AH1107" s="12"/>
      <c r="AI1107" s="12"/>
      <c r="AJ1107" s="12"/>
      <c r="AK1107" s="12"/>
      <c r="AL1107" s="12"/>
      <c r="AM1107" s="12"/>
      <c r="AN1107" s="12"/>
      <c r="AO1107" s="12"/>
      <c r="AP1107" s="12"/>
      <c r="AQ1107" s="12"/>
      <c r="AR1107" s="12"/>
      <c r="AS1107" s="12"/>
      <c r="AT1107" s="12"/>
      <c r="AU1107" s="12"/>
      <c r="AV1107" s="12"/>
      <c r="AW1107" s="12"/>
      <c r="AX1107" s="12"/>
      <c r="AY1107" s="12"/>
      <c r="AZ1107" s="12"/>
      <c r="BA1107" s="12"/>
      <c r="BB1107" s="12"/>
      <c r="BC1107" s="12"/>
      <c r="BD1107" s="12"/>
      <c r="BE1107" s="12"/>
      <c r="BF1107" s="12"/>
      <c r="BG1107" s="12"/>
      <c r="BH1107" s="12"/>
      <c r="BI1107" s="12"/>
      <c r="BJ1107" s="12"/>
      <c r="BK1107" s="12"/>
      <c r="BL1107" s="12"/>
      <c r="BM1107" s="12"/>
      <c r="BN1107" s="12"/>
      <c r="BO1107" s="12"/>
      <c r="BP1107" s="12"/>
      <c r="BQ1107" s="12"/>
      <c r="BR1107" s="12"/>
      <c r="BS1107" s="12"/>
      <c r="BT1107" s="12"/>
    </row>
    <row r="1108" spans="1:72">
      <c r="A1108" s="2" t="s">
        <v>21589</v>
      </c>
      <c r="B1108" s="5" t="s">
        <v>21593</v>
      </c>
      <c r="C1108" s="3" t="s">
        <v>138</v>
      </c>
      <c r="D1108" s="4" t="s">
        <v>138</v>
      </c>
      <c r="E1108" s="15" t="s">
        <v>21600</v>
      </c>
      <c r="F1108" s="15" t="s">
        <v>138</v>
      </c>
      <c r="G1108" s="15" t="s">
        <v>1319</v>
      </c>
      <c r="H1108" s="7">
        <v>2</v>
      </c>
      <c r="I1108" s="6" t="s">
        <v>21605</v>
      </c>
      <c r="J1108" s="6" t="s">
        <v>13176</v>
      </c>
      <c r="K1108" s="6" t="s">
        <v>43488</v>
      </c>
      <c r="L1108" s="6"/>
      <c r="M1108" s="6"/>
      <c r="N1108" s="6"/>
      <c r="O1108" s="6"/>
      <c r="P1108" s="6"/>
      <c r="Q1108" s="6"/>
      <c r="R1108" s="6"/>
      <c r="S1108" s="6"/>
      <c r="T1108" s="6"/>
      <c r="U1108" s="6"/>
      <c r="V1108" s="6"/>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c r="AY1108" s="6"/>
      <c r="AZ1108" s="6"/>
      <c r="BA1108" s="6"/>
      <c r="BB1108" s="6"/>
      <c r="BC1108" s="6"/>
      <c r="BD1108" s="6"/>
      <c r="BE1108" s="6"/>
      <c r="BF1108" s="6"/>
      <c r="BG1108" s="6"/>
      <c r="BH1108" s="6"/>
      <c r="BI1108" s="6"/>
      <c r="BJ1108" s="6"/>
      <c r="BK1108" s="6"/>
      <c r="BL1108" s="6"/>
      <c r="BM1108" s="6"/>
      <c r="BN1108" s="6"/>
      <c r="BO1108" s="6"/>
      <c r="BP1108" s="6"/>
      <c r="BQ1108" s="6"/>
      <c r="BR1108" s="6"/>
      <c r="BS1108" s="6"/>
      <c r="BT1108" s="6"/>
    </row>
    <row r="1109" spans="1:72">
      <c r="A1109" s="8" t="s">
        <v>21608</v>
      </c>
      <c r="B1109" s="11" t="s">
        <v>21612</v>
      </c>
      <c r="C1109" s="9" t="s">
        <v>138</v>
      </c>
      <c r="D1109" s="10" t="s">
        <v>138</v>
      </c>
      <c r="E1109" s="28" t="s">
        <v>1198</v>
      </c>
      <c r="F1109" s="28" t="s">
        <v>138</v>
      </c>
      <c r="G1109" s="28" t="s">
        <v>1200</v>
      </c>
      <c r="H1109" s="13">
        <v>8</v>
      </c>
      <c r="I1109" s="12" t="s">
        <v>21621</v>
      </c>
      <c r="J1109" s="12" t="s">
        <v>43489</v>
      </c>
      <c r="K1109" s="12" t="s">
        <v>37798</v>
      </c>
      <c r="L1109" s="12" t="s">
        <v>37851</v>
      </c>
      <c r="M1109" s="12" t="s">
        <v>43490</v>
      </c>
      <c r="N1109" s="12" t="s">
        <v>43491</v>
      </c>
      <c r="O1109" s="12" t="s">
        <v>38203</v>
      </c>
      <c r="P1109" s="12" t="s">
        <v>37781</v>
      </c>
      <c r="Q1109" s="12" t="s">
        <v>39197</v>
      </c>
      <c r="R1109" s="12"/>
      <c r="S1109" s="12"/>
      <c r="T1109" s="12"/>
      <c r="U1109" s="12"/>
      <c r="V1109" s="12"/>
      <c r="W1109" s="12"/>
      <c r="X1109" s="12"/>
      <c r="Y1109" s="12"/>
      <c r="Z1109" s="12"/>
      <c r="AA1109" s="12"/>
      <c r="AB1109" s="12"/>
      <c r="AC1109" s="12"/>
      <c r="AD1109" s="12"/>
      <c r="AE1109" s="12"/>
      <c r="AF1109" s="12"/>
      <c r="AG1109" s="12"/>
      <c r="AH1109" s="12"/>
      <c r="AI1109" s="12"/>
      <c r="AJ1109" s="12"/>
      <c r="AK1109" s="12"/>
      <c r="AL1109" s="12"/>
      <c r="AM1109" s="12"/>
      <c r="AN1109" s="12"/>
      <c r="AO1109" s="12"/>
      <c r="AP1109" s="12"/>
      <c r="AQ1109" s="12"/>
      <c r="AR1109" s="12"/>
      <c r="AS1109" s="12"/>
      <c r="AT1109" s="12"/>
      <c r="AU1109" s="12"/>
      <c r="AV1109" s="12"/>
      <c r="AW1109" s="12"/>
      <c r="AX1109" s="12"/>
      <c r="AY1109" s="12"/>
      <c r="AZ1109" s="12"/>
      <c r="BA1109" s="12"/>
      <c r="BB1109" s="12"/>
      <c r="BC1109" s="12"/>
      <c r="BD1109" s="12"/>
      <c r="BE1109" s="12"/>
      <c r="BF1109" s="12"/>
      <c r="BG1109" s="12"/>
      <c r="BH1109" s="12"/>
      <c r="BI1109" s="12"/>
      <c r="BJ1109" s="12"/>
      <c r="BK1109" s="12"/>
      <c r="BL1109" s="12"/>
      <c r="BM1109" s="12"/>
      <c r="BN1109" s="12"/>
      <c r="BO1109" s="12"/>
      <c r="BP1109" s="12"/>
      <c r="BQ1109" s="12"/>
      <c r="BR1109" s="12"/>
      <c r="BS1109" s="12"/>
      <c r="BT1109" s="12"/>
    </row>
    <row r="1110" spans="1:72">
      <c r="A1110" s="2" t="s">
        <v>21624</v>
      </c>
      <c r="B1110" s="5" t="s">
        <v>21628</v>
      </c>
      <c r="C1110" s="3" t="s">
        <v>138</v>
      </c>
      <c r="D1110" s="4" t="s">
        <v>138</v>
      </c>
      <c r="E1110" s="15" t="s">
        <v>13086</v>
      </c>
      <c r="F1110" s="15" t="s">
        <v>200</v>
      </c>
      <c r="G1110" s="15" t="s">
        <v>162</v>
      </c>
      <c r="H1110" s="7">
        <v>14</v>
      </c>
      <c r="I1110" s="6" t="s">
        <v>21638</v>
      </c>
      <c r="J1110" s="6" t="s">
        <v>41592</v>
      </c>
      <c r="K1110" s="6" t="s">
        <v>43492</v>
      </c>
      <c r="L1110" s="6" t="s">
        <v>43493</v>
      </c>
      <c r="M1110" s="6" t="s">
        <v>38299</v>
      </c>
      <c r="N1110" s="6" t="s">
        <v>37846</v>
      </c>
      <c r="O1110" s="6" t="s">
        <v>38803</v>
      </c>
      <c r="P1110" s="6" t="s">
        <v>43494</v>
      </c>
      <c r="Q1110" s="6" t="s">
        <v>43495</v>
      </c>
      <c r="R1110" s="6" t="s">
        <v>43496</v>
      </c>
      <c r="S1110" s="6" t="s">
        <v>42491</v>
      </c>
      <c r="T1110" s="6" t="s">
        <v>43497</v>
      </c>
      <c r="U1110" s="6" t="s">
        <v>41597</v>
      </c>
      <c r="V1110" s="6" t="s">
        <v>39351</v>
      </c>
      <c r="W1110" s="6" t="s">
        <v>38728</v>
      </c>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c r="AY1110" s="6"/>
      <c r="AZ1110" s="6"/>
      <c r="BA1110" s="6"/>
      <c r="BB1110" s="6"/>
      <c r="BC1110" s="6"/>
      <c r="BD1110" s="6"/>
      <c r="BE1110" s="6"/>
      <c r="BF1110" s="6"/>
      <c r="BG1110" s="6"/>
      <c r="BH1110" s="6"/>
      <c r="BI1110" s="6"/>
      <c r="BJ1110" s="6"/>
      <c r="BK1110" s="6"/>
      <c r="BL1110" s="6"/>
      <c r="BM1110" s="6"/>
      <c r="BN1110" s="6"/>
      <c r="BO1110" s="6"/>
      <c r="BP1110" s="6"/>
      <c r="BQ1110" s="6"/>
      <c r="BR1110" s="6"/>
      <c r="BS1110" s="6"/>
      <c r="BT1110" s="6"/>
    </row>
    <row r="1111" spans="1:72">
      <c r="A1111" s="8" t="s">
        <v>21642</v>
      </c>
      <c r="B1111" s="11" t="s">
        <v>21646</v>
      </c>
      <c r="C1111" s="9" t="s">
        <v>138</v>
      </c>
      <c r="D1111" s="10" t="s">
        <v>138</v>
      </c>
      <c r="E1111" s="28" t="s">
        <v>2882</v>
      </c>
      <c r="F1111" s="28" t="s">
        <v>2883</v>
      </c>
      <c r="G1111" s="28" t="s">
        <v>162</v>
      </c>
      <c r="H1111" s="13">
        <v>29</v>
      </c>
      <c r="I1111" s="12" t="s">
        <v>21657</v>
      </c>
      <c r="J1111" s="12" t="s">
        <v>40828</v>
      </c>
      <c r="K1111" s="12" t="s">
        <v>37938</v>
      </c>
      <c r="L1111" s="12" t="s">
        <v>41515</v>
      </c>
      <c r="M1111" s="12" t="s">
        <v>41036</v>
      </c>
      <c r="N1111" s="12" t="s">
        <v>43498</v>
      </c>
      <c r="O1111" s="12" t="s">
        <v>39414</v>
      </c>
      <c r="P1111" s="12" t="s">
        <v>39415</v>
      </c>
      <c r="Q1111" s="12" t="s">
        <v>41300</v>
      </c>
      <c r="R1111" s="12" t="s">
        <v>43499</v>
      </c>
      <c r="S1111" s="12" t="s">
        <v>43500</v>
      </c>
      <c r="T1111" s="12" t="s">
        <v>39360</v>
      </c>
      <c r="U1111" s="12" t="s">
        <v>43501</v>
      </c>
      <c r="V1111" s="12" t="s">
        <v>40348</v>
      </c>
      <c r="W1111" s="12" t="s">
        <v>38063</v>
      </c>
      <c r="X1111" s="12" t="s">
        <v>38065</v>
      </c>
      <c r="Y1111" s="12" t="s">
        <v>43502</v>
      </c>
      <c r="Z1111" s="12" t="s">
        <v>39524</v>
      </c>
      <c r="AA1111" s="12" t="s">
        <v>43503</v>
      </c>
      <c r="AB1111" s="12" t="s">
        <v>37892</v>
      </c>
      <c r="AC1111" s="12" t="s">
        <v>39327</v>
      </c>
      <c r="AD1111" s="12" t="s">
        <v>43504</v>
      </c>
      <c r="AE1111" s="12" t="s">
        <v>37783</v>
      </c>
      <c r="AF1111" s="12" t="s">
        <v>43505</v>
      </c>
      <c r="AG1111" s="12" t="s">
        <v>38004</v>
      </c>
      <c r="AH1111" s="12" t="s">
        <v>42051</v>
      </c>
      <c r="AI1111" s="12" t="s">
        <v>39351</v>
      </c>
      <c r="AJ1111" s="12" t="s">
        <v>41217</v>
      </c>
      <c r="AK1111" s="12" t="s">
        <v>38717</v>
      </c>
      <c r="AL1111" s="12" t="s">
        <v>37871</v>
      </c>
      <c r="AM1111" s="12"/>
      <c r="AN1111" s="12"/>
      <c r="AO1111" s="12"/>
      <c r="AP1111" s="12"/>
      <c r="AQ1111" s="12"/>
      <c r="AR1111" s="12"/>
      <c r="AS1111" s="12"/>
      <c r="AT1111" s="12"/>
      <c r="AU1111" s="12"/>
      <c r="AV1111" s="12"/>
      <c r="AW1111" s="12"/>
      <c r="AX1111" s="12"/>
      <c r="AY1111" s="12"/>
      <c r="AZ1111" s="12"/>
      <c r="BA1111" s="12"/>
      <c r="BB1111" s="12"/>
      <c r="BC1111" s="12"/>
      <c r="BD1111" s="12"/>
      <c r="BE1111" s="12"/>
      <c r="BF1111" s="12"/>
      <c r="BG1111" s="12"/>
      <c r="BH1111" s="12"/>
      <c r="BI1111" s="12"/>
      <c r="BJ1111" s="12"/>
      <c r="BK1111" s="12"/>
      <c r="BL1111" s="12"/>
      <c r="BM1111" s="12"/>
      <c r="BN1111" s="12"/>
      <c r="BO1111" s="12"/>
      <c r="BP1111" s="12"/>
      <c r="BQ1111" s="12"/>
      <c r="BR1111" s="12"/>
      <c r="BS1111" s="12"/>
      <c r="BT1111" s="12"/>
    </row>
    <row r="1112" spans="1:72">
      <c r="A1112" s="2" t="s">
        <v>21663</v>
      </c>
      <c r="B1112" s="5" t="s">
        <v>21671</v>
      </c>
      <c r="C1112" s="3" t="s">
        <v>21664</v>
      </c>
      <c r="D1112" s="4" t="s">
        <v>138</v>
      </c>
      <c r="E1112" s="15" t="s">
        <v>426</v>
      </c>
      <c r="F1112" s="15" t="s">
        <v>426</v>
      </c>
      <c r="G1112" s="15" t="s">
        <v>162</v>
      </c>
      <c r="H1112" s="7">
        <v>10</v>
      </c>
      <c r="I1112" s="6" t="s">
        <v>21679</v>
      </c>
      <c r="J1112" s="6" t="s">
        <v>43506</v>
      </c>
      <c r="K1112" s="6" t="s">
        <v>43507</v>
      </c>
      <c r="L1112" s="6" t="s">
        <v>38075</v>
      </c>
      <c r="M1112" s="6" t="s">
        <v>38175</v>
      </c>
      <c r="N1112" s="6" t="s">
        <v>37819</v>
      </c>
      <c r="O1112" s="6" t="s">
        <v>37922</v>
      </c>
      <c r="P1112" s="6" t="s">
        <v>42203</v>
      </c>
      <c r="Q1112" s="6" t="s">
        <v>38640</v>
      </c>
      <c r="R1112" s="6" t="s">
        <v>43508</v>
      </c>
      <c r="S1112" s="6" t="s">
        <v>38807</v>
      </c>
      <c r="T1112" s="6"/>
      <c r="U1112" s="6"/>
      <c r="V1112" s="6"/>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c r="AT1112" s="6"/>
      <c r="AU1112" s="6"/>
      <c r="AV1112" s="6"/>
      <c r="AW1112" s="6"/>
      <c r="AX1112" s="6"/>
      <c r="AY1112" s="6"/>
      <c r="AZ1112" s="6"/>
      <c r="BA1112" s="6"/>
      <c r="BB1112" s="6"/>
      <c r="BC1112" s="6"/>
      <c r="BD1112" s="6"/>
      <c r="BE1112" s="6"/>
      <c r="BF1112" s="6"/>
      <c r="BG1112" s="6"/>
      <c r="BH1112" s="6"/>
      <c r="BI1112" s="6"/>
      <c r="BJ1112" s="6"/>
      <c r="BK1112" s="6"/>
      <c r="BL1112" s="6"/>
      <c r="BM1112" s="6"/>
      <c r="BN1112" s="6"/>
      <c r="BO1112" s="6"/>
      <c r="BP1112" s="6"/>
      <c r="BQ1112" s="6"/>
      <c r="BR1112" s="6"/>
      <c r="BS1112" s="6"/>
      <c r="BT1112" s="6"/>
    </row>
    <row r="1113" spans="1:72">
      <c r="A1113" s="8" t="s">
        <v>21682</v>
      </c>
      <c r="B1113" s="11" t="s">
        <v>21687</v>
      </c>
      <c r="C1113" s="9" t="s">
        <v>138</v>
      </c>
      <c r="D1113" s="10" t="s">
        <v>138</v>
      </c>
      <c r="E1113" s="28" t="s">
        <v>668</v>
      </c>
      <c r="F1113" s="28" t="s">
        <v>200</v>
      </c>
      <c r="G1113" s="28" t="s">
        <v>162</v>
      </c>
      <c r="H1113" s="13">
        <v>16</v>
      </c>
      <c r="I1113" s="12" t="s">
        <v>21696</v>
      </c>
      <c r="J1113" s="12" t="s">
        <v>43509</v>
      </c>
      <c r="K1113" s="12" t="s">
        <v>43510</v>
      </c>
      <c r="L1113" s="12" t="s">
        <v>43511</v>
      </c>
      <c r="M1113" s="12" t="s">
        <v>43512</v>
      </c>
      <c r="N1113" s="12" t="s">
        <v>42038</v>
      </c>
      <c r="O1113" s="12" t="s">
        <v>39673</v>
      </c>
      <c r="P1113" s="12" t="s">
        <v>43513</v>
      </c>
      <c r="Q1113" s="12" t="s">
        <v>43514</v>
      </c>
      <c r="R1113" s="12" t="s">
        <v>37824</v>
      </c>
      <c r="S1113" s="12" t="s">
        <v>37802</v>
      </c>
      <c r="T1113" s="12" t="s">
        <v>43515</v>
      </c>
      <c r="U1113" s="12" t="s">
        <v>37890</v>
      </c>
      <c r="V1113" s="12" t="s">
        <v>43516</v>
      </c>
      <c r="W1113" s="12" t="s">
        <v>38002</v>
      </c>
      <c r="X1113" s="12" t="s">
        <v>43517</v>
      </c>
      <c r="Y1113" s="12" t="s">
        <v>38326</v>
      </c>
      <c r="Z1113" s="12"/>
      <c r="AA1113" s="12"/>
      <c r="AB1113" s="12"/>
      <c r="AC1113" s="12"/>
      <c r="AD1113" s="12"/>
      <c r="AE1113" s="12"/>
      <c r="AF1113" s="12"/>
      <c r="AG1113" s="12"/>
      <c r="AH1113" s="12"/>
      <c r="AI1113" s="12"/>
      <c r="AJ1113" s="12"/>
      <c r="AK1113" s="12"/>
      <c r="AL1113" s="12"/>
      <c r="AM1113" s="12"/>
      <c r="AN1113" s="12"/>
      <c r="AO1113" s="12"/>
      <c r="AP1113" s="12"/>
      <c r="AQ1113" s="12"/>
      <c r="AR1113" s="12"/>
      <c r="AS1113" s="12"/>
      <c r="AT1113" s="12"/>
      <c r="AU1113" s="12"/>
      <c r="AV1113" s="12"/>
      <c r="AW1113" s="12"/>
      <c r="AX1113" s="12"/>
      <c r="AY1113" s="12"/>
      <c r="AZ1113" s="12"/>
      <c r="BA1113" s="12"/>
      <c r="BB1113" s="12"/>
      <c r="BC1113" s="12"/>
      <c r="BD1113" s="12"/>
      <c r="BE1113" s="12"/>
      <c r="BF1113" s="12"/>
      <c r="BG1113" s="12"/>
      <c r="BH1113" s="12"/>
      <c r="BI1113" s="12"/>
      <c r="BJ1113" s="12"/>
      <c r="BK1113" s="12"/>
      <c r="BL1113" s="12"/>
      <c r="BM1113" s="12"/>
      <c r="BN1113" s="12"/>
      <c r="BO1113" s="12"/>
      <c r="BP1113" s="12"/>
      <c r="BQ1113" s="12"/>
      <c r="BR1113" s="12"/>
      <c r="BS1113" s="12"/>
      <c r="BT1113" s="12"/>
    </row>
    <row r="1114" spans="1:72">
      <c r="A1114" s="2" t="s">
        <v>21700</v>
      </c>
      <c r="B1114" s="5" t="s">
        <v>21705</v>
      </c>
      <c r="C1114" s="3" t="s">
        <v>21701</v>
      </c>
      <c r="D1114" s="4" t="s">
        <v>138</v>
      </c>
      <c r="E1114" s="15" t="s">
        <v>823</v>
      </c>
      <c r="F1114" s="15" t="s">
        <v>824</v>
      </c>
      <c r="G1114" s="15" t="s">
        <v>526</v>
      </c>
      <c r="H1114" s="7">
        <v>6</v>
      </c>
      <c r="I1114" s="6" t="s">
        <v>21716</v>
      </c>
      <c r="J1114" s="6" t="s">
        <v>15045</v>
      </c>
      <c r="K1114" s="6" t="s">
        <v>43518</v>
      </c>
      <c r="L1114" s="6" t="s">
        <v>38721</v>
      </c>
      <c r="M1114" s="6" t="s">
        <v>39724</v>
      </c>
      <c r="N1114" s="6" t="s">
        <v>40675</v>
      </c>
      <c r="O1114" s="6" t="s">
        <v>43519</v>
      </c>
      <c r="P1114" s="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row>
    <row r="1115" spans="1:72">
      <c r="A1115" s="8" t="s">
        <v>21720</v>
      </c>
      <c r="B1115" s="11" t="s">
        <v>21726</v>
      </c>
      <c r="C1115" s="9" t="s">
        <v>21721</v>
      </c>
      <c r="D1115" s="10" t="s">
        <v>138</v>
      </c>
      <c r="E1115" s="28" t="s">
        <v>1872</v>
      </c>
      <c r="F1115" s="28" t="s">
        <v>200</v>
      </c>
      <c r="G1115" s="28" t="s">
        <v>162</v>
      </c>
      <c r="H1115" s="13">
        <v>12</v>
      </c>
      <c r="I1115" s="12" t="s">
        <v>21735</v>
      </c>
      <c r="J1115" s="12" t="s">
        <v>38632</v>
      </c>
      <c r="K1115" s="12" t="s">
        <v>38354</v>
      </c>
      <c r="L1115" s="12" t="s">
        <v>43520</v>
      </c>
      <c r="M1115" s="12" t="s">
        <v>40412</v>
      </c>
      <c r="N1115" s="12" t="s">
        <v>42058</v>
      </c>
      <c r="O1115" s="12" t="s">
        <v>42059</v>
      </c>
      <c r="P1115" s="12" t="s">
        <v>43521</v>
      </c>
      <c r="Q1115" s="12" t="s">
        <v>39734</v>
      </c>
      <c r="R1115" s="12" t="s">
        <v>38200</v>
      </c>
      <c r="S1115" s="12" t="s">
        <v>42063</v>
      </c>
      <c r="T1115" s="12" t="s">
        <v>38647</v>
      </c>
      <c r="U1115" s="12" t="s">
        <v>39686</v>
      </c>
      <c r="V1115" s="12"/>
      <c r="W1115" s="12"/>
      <c r="X1115" s="12"/>
      <c r="Y1115" s="12"/>
      <c r="Z1115" s="12"/>
      <c r="AA1115" s="12"/>
      <c r="AB1115" s="12"/>
      <c r="AC1115" s="12"/>
      <c r="AD1115" s="12"/>
      <c r="AE1115" s="12"/>
      <c r="AF1115" s="12"/>
      <c r="AG1115" s="12"/>
      <c r="AH1115" s="12"/>
      <c r="AI1115" s="12"/>
      <c r="AJ1115" s="12"/>
      <c r="AK1115" s="12"/>
      <c r="AL1115" s="12"/>
      <c r="AM1115" s="12"/>
      <c r="AN1115" s="12"/>
      <c r="AO1115" s="12"/>
      <c r="AP1115" s="12"/>
      <c r="AQ1115" s="12"/>
      <c r="AR1115" s="12"/>
      <c r="AS1115" s="12"/>
      <c r="AT1115" s="12"/>
      <c r="AU1115" s="12"/>
      <c r="AV1115" s="12"/>
      <c r="AW1115" s="12"/>
      <c r="AX1115" s="12"/>
      <c r="AY1115" s="12"/>
      <c r="AZ1115" s="12"/>
      <c r="BA1115" s="12"/>
      <c r="BB1115" s="12"/>
      <c r="BC1115" s="12"/>
      <c r="BD1115" s="12"/>
      <c r="BE1115" s="12"/>
      <c r="BF1115" s="12"/>
      <c r="BG1115" s="12"/>
      <c r="BH1115" s="12"/>
      <c r="BI1115" s="12"/>
      <c r="BJ1115" s="12"/>
      <c r="BK1115" s="12"/>
      <c r="BL1115" s="12"/>
      <c r="BM1115" s="12"/>
      <c r="BN1115" s="12"/>
      <c r="BO1115" s="12"/>
      <c r="BP1115" s="12"/>
      <c r="BQ1115" s="12"/>
      <c r="BR1115" s="12"/>
      <c r="BS1115" s="12"/>
      <c r="BT1115" s="12"/>
    </row>
    <row r="1116" spans="1:72">
      <c r="A1116" s="2" t="s">
        <v>21739</v>
      </c>
      <c r="B1116" s="5" t="s">
        <v>21743</v>
      </c>
      <c r="C1116" s="3" t="s">
        <v>138</v>
      </c>
      <c r="D1116" s="4" t="s">
        <v>138</v>
      </c>
      <c r="E1116" s="15" t="s">
        <v>284</v>
      </c>
      <c r="F1116" s="15" t="s">
        <v>2822</v>
      </c>
      <c r="G1116" s="15" t="s">
        <v>162</v>
      </c>
      <c r="H1116" s="7">
        <v>3</v>
      </c>
      <c r="I1116" s="6" t="s">
        <v>21752</v>
      </c>
      <c r="J1116" s="6" t="s">
        <v>43522</v>
      </c>
      <c r="K1116" s="6" t="s">
        <v>38463</v>
      </c>
      <c r="L1116" s="6" t="s">
        <v>43523</v>
      </c>
      <c r="M1116" s="6"/>
      <c r="N1116" s="6"/>
      <c r="O1116" s="6"/>
      <c r="P1116" s="6"/>
      <c r="Q1116" s="6"/>
      <c r="R1116" s="6"/>
      <c r="S1116" s="6"/>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c r="AY1116" s="6"/>
      <c r="AZ1116" s="6"/>
      <c r="BA1116" s="6"/>
      <c r="BB1116" s="6"/>
      <c r="BC1116" s="6"/>
      <c r="BD1116" s="6"/>
      <c r="BE1116" s="6"/>
      <c r="BF1116" s="6"/>
      <c r="BG1116" s="6"/>
      <c r="BH1116" s="6"/>
      <c r="BI1116" s="6"/>
      <c r="BJ1116" s="6"/>
      <c r="BK1116" s="6"/>
      <c r="BL1116" s="6"/>
      <c r="BM1116" s="6"/>
      <c r="BN1116" s="6"/>
      <c r="BO1116" s="6"/>
      <c r="BP1116" s="6"/>
      <c r="BQ1116" s="6"/>
      <c r="BR1116" s="6"/>
      <c r="BS1116" s="6"/>
      <c r="BT1116" s="6"/>
    </row>
    <row r="1117" spans="1:72">
      <c r="A1117" s="8" t="s">
        <v>21757</v>
      </c>
      <c r="B1117" s="11" t="s">
        <v>21763</v>
      </c>
      <c r="C1117" s="9" t="s">
        <v>21758</v>
      </c>
      <c r="D1117" s="10" t="s">
        <v>21759</v>
      </c>
      <c r="E1117" s="28" t="s">
        <v>426</v>
      </c>
      <c r="F1117" s="28" t="s">
        <v>426</v>
      </c>
      <c r="G1117" s="28" t="s">
        <v>162</v>
      </c>
      <c r="H1117" s="13">
        <v>8</v>
      </c>
      <c r="I1117" s="12" t="s">
        <v>21772</v>
      </c>
      <c r="J1117" s="12" t="s">
        <v>43524</v>
      </c>
      <c r="K1117" s="12" t="s">
        <v>38354</v>
      </c>
      <c r="L1117" s="12" t="s">
        <v>38364</v>
      </c>
      <c r="M1117" s="12" t="s">
        <v>41266</v>
      </c>
      <c r="N1117" s="12" t="s">
        <v>37832</v>
      </c>
      <c r="O1117" s="12" t="s">
        <v>38994</v>
      </c>
      <c r="P1117" s="12" t="s">
        <v>43525</v>
      </c>
      <c r="Q1117" s="12" t="s">
        <v>43526</v>
      </c>
      <c r="R1117" s="12"/>
      <c r="S1117" s="12"/>
      <c r="T1117" s="12"/>
      <c r="U1117" s="12"/>
      <c r="V1117" s="12"/>
      <c r="W1117" s="12"/>
      <c r="X1117" s="12"/>
      <c r="Y1117" s="12"/>
      <c r="Z1117" s="12"/>
      <c r="AA1117" s="12"/>
      <c r="AB1117" s="12"/>
      <c r="AC1117" s="12"/>
      <c r="AD1117" s="12"/>
      <c r="AE1117" s="12"/>
      <c r="AF1117" s="12"/>
      <c r="AG1117" s="12"/>
      <c r="AH1117" s="12"/>
      <c r="AI1117" s="12"/>
      <c r="AJ1117" s="12"/>
      <c r="AK1117" s="12"/>
      <c r="AL1117" s="12"/>
      <c r="AM1117" s="12"/>
      <c r="AN1117" s="12"/>
      <c r="AO1117" s="12"/>
      <c r="AP1117" s="12"/>
      <c r="AQ1117" s="12"/>
      <c r="AR1117" s="12"/>
      <c r="AS1117" s="12"/>
      <c r="AT1117" s="12"/>
      <c r="AU1117" s="12"/>
      <c r="AV1117" s="12"/>
      <c r="AW1117" s="12"/>
      <c r="AX1117" s="12"/>
      <c r="AY1117" s="12"/>
      <c r="AZ1117" s="12"/>
      <c r="BA1117" s="12"/>
      <c r="BB1117" s="12"/>
      <c r="BC1117" s="12"/>
      <c r="BD1117" s="12"/>
      <c r="BE1117" s="12"/>
      <c r="BF1117" s="12"/>
      <c r="BG1117" s="12"/>
      <c r="BH1117" s="12"/>
      <c r="BI1117" s="12"/>
      <c r="BJ1117" s="12"/>
      <c r="BK1117" s="12"/>
      <c r="BL1117" s="12"/>
      <c r="BM1117" s="12"/>
      <c r="BN1117" s="12"/>
      <c r="BO1117" s="12"/>
      <c r="BP1117" s="12"/>
      <c r="BQ1117" s="12"/>
      <c r="BR1117" s="12"/>
      <c r="BS1117" s="12"/>
      <c r="BT1117" s="12"/>
    </row>
    <row r="1118" spans="1:72">
      <c r="A1118" s="2" t="s">
        <v>21775</v>
      </c>
      <c r="B1118" s="5" t="s">
        <v>21780</v>
      </c>
      <c r="C1118" s="3" t="s">
        <v>21776</v>
      </c>
      <c r="D1118" s="4" t="s">
        <v>138</v>
      </c>
      <c r="E1118" s="15" t="s">
        <v>21788</v>
      </c>
      <c r="F1118" s="15" t="s">
        <v>4493</v>
      </c>
      <c r="G1118" s="15" t="s">
        <v>162</v>
      </c>
      <c r="H1118" s="7">
        <v>5</v>
      </c>
      <c r="I1118" s="6" t="s">
        <v>21791</v>
      </c>
      <c r="J1118" s="6" t="s">
        <v>43527</v>
      </c>
      <c r="K1118" s="6" t="s">
        <v>37819</v>
      </c>
      <c r="L1118" s="6" t="s">
        <v>38277</v>
      </c>
      <c r="M1118" s="6" t="s">
        <v>37909</v>
      </c>
      <c r="N1118" s="6" t="s">
        <v>38370</v>
      </c>
      <c r="O1118" s="6"/>
      <c r="P1118" s="6"/>
      <c r="Q1118" s="6"/>
      <c r="R1118" s="6"/>
      <c r="S1118" s="6"/>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c r="AY1118" s="6"/>
      <c r="AZ1118" s="6"/>
      <c r="BA1118" s="6"/>
      <c r="BB1118" s="6"/>
      <c r="BC1118" s="6"/>
      <c r="BD1118" s="6"/>
      <c r="BE1118" s="6"/>
      <c r="BF1118" s="6"/>
      <c r="BG1118" s="6"/>
      <c r="BH1118" s="6"/>
      <c r="BI1118" s="6"/>
      <c r="BJ1118" s="6"/>
      <c r="BK1118" s="6"/>
      <c r="BL1118" s="6"/>
      <c r="BM1118" s="6"/>
      <c r="BN1118" s="6"/>
      <c r="BO1118" s="6"/>
      <c r="BP1118" s="6"/>
      <c r="BQ1118" s="6"/>
      <c r="BR1118" s="6"/>
      <c r="BS1118" s="6"/>
      <c r="BT1118" s="6"/>
    </row>
    <row r="1119" spans="1:72">
      <c r="A1119" s="8" t="s">
        <v>21795</v>
      </c>
      <c r="B1119" s="11" t="s">
        <v>21800</v>
      </c>
      <c r="C1119" s="9" t="s">
        <v>138</v>
      </c>
      <c r="D1119" s="10" t="s">
        <v>138</v>
      </c>
      <c r="E1119" s="28" t="s">
        <v>426</v>
      </c>
      <c r="F1119" s="28" t="s">
        <v>426</v>
      </c>
      <c r="G1119" s="28" t="s">
        <v>162</v>
      </c>
      <c r="H1119" s="13">
        <v>16</v>
      </c>
      <c r="I1119" s="12" t="s">
        <v>21807</v>
      </c>
      <c r="J1119" s="12" t="s">
        <v>38344</v>
      </c>
      <c r="K1119" s="12" t="s">
        <v>37936</v>
      </c>
      <c r="L1119" s="12" t="s">
        <v>43528</v>
      </c>
      <c r="M1119" s="12" t="s">
        <v>37819</v>
      </c>
      <c r="N1119" s="12" t="s">
        <v>40575</v>
      </c>
      <c r="O1119" s="12" t="s">
        <v>38991</v>
      </c>
      <c r="P1119" s="12" t="s">
        <v>42971</v>
      </c>
      <c r="Q1119" s="12" t="s">
        <v>38165</v>
      </c>
      <c r="R1119" s="12" t="s">
        <v>43529</v>
      </c>
      <c r="S1119" s="12" t="s">
        <v>37859</v>
      </c>
      <c r="T1119" s="12" t="s">
        <v>38185</v>
      </c>
      <c r="U1119" s="12" t="s">
        <v>41114</v>
      </c>
      <c r="V1119" s="12" t="s">
        <v>43530</v>
      </c>
      <c r="W1119" s="12" t="s">
        <v>41842</v>
      </c>
      <c r="X1119" s="12" t="s">
        <v>43531</v>
      </c>
      <c r="Y1119" s="12" t="s">
        <v>37976</v>
      </c>
      <c r="Z1119" s="12"/>
      <c r="AA1119" s="12"/>
      <c r="AB1119" s="12"/>
      <c r="AC1119" s="12"/>
      <c r="AD1119" s="12"/>
      <c r="AE1119" s="12"/>
      <c r="AF1119" s="12"/>
      <c r="AG1119" s="12"/>
      <c r="AH1119" s="12"/>
      <c r="AI1119" s="12"/>
      <c r="AJ1119" s="12"/>
      <c r="AK1119" s="12"/>
      <c r="AL1119" s="12"/>
      <c r="AM1119" s="12"/>
      <c r="AN1119" s="12"/>
      <c r="AO1119" s="12"/>
      <c r="AP1119" s="12"/>
      <c r="AQ1119" s="12"/>
      <c r="AR1119" s="12"/>
      <c r="AS1119" s="12"/>
      <c r="AT1119" s="12"/>
      <c r="AU1119" s="12"/>
      <c r="AV1119" s="12"/>
      <c r="AW1119" s="12"/>
      <c r="AX1119" s="12"/>
      <c r="AY1119" s="12"/>
      <c r="AZ1119" s="12"/>
      <c r="BA1119" s="12"/>
      <c r="BB1119" s="12"/>
      <c r="BC1119" s="12"/>
      <c r="BD1119" s="12"/>
      <c r="BE1119" s="12"/>
      <c r="BF1119" s="12"/>
      <c r="BG1119" s="12"/>
      <c r="BH1119" s="12"/>
      <c r="BI1119" s="12"/>
      <c r="BJ1119" s="12"/>
      <c r="BK1119" s="12"/>
      <c r="BL1119" s="12"/>
      <c r="BM1119" s="12"/>
      <c r="BN1119" s="12"/>
      <c r="BO1119" s="12"/>
      <c r="BP1119" s="12"/>
      <c r="BQ1119" s="12"/>
      <c r="BR1119" s="12"/>
      <c r="BS1119" s="12"/>
      <c r="BT1119" s="12"/>
    </row>
    <row r="1120" spans="1:72">
      <c r="A1120" s="2" t="s">
        <v>21810</v>
      </c>
      <c r="B1120" s="5" t="s">
        <v>21816</v>
      </c>
      <c r="C1120" s="3" t="s">
        <v>138</v>
      </c>
      <c r="D1120" s="4" t="s">
        <v>138</v>
      </c>
      <c r="E1120" s="15" t="s">
        <v>15915</v>
      </c>
      <c r="F1120" s="15" t="s">
        <v>200</v>
      </c>
      <c r="G1120" s="15" t="s">
        <v>162</v>
      </c>
      <c r="H1120" s="7">
        <v>12</v>
      </c>
      <c r="I1120" s="6" t="s">
        <v>21822</v>
      </c>
      <c r="J1120" s="6" t="s">
        <v>38406</v>
      </c>
      <c r="K1120" s="6" t="s">
        <v>38776</v>
      </c>
      <c r="L1120" s="6" t="s">
        <v>37979</v>
      </c>
      <c r="M1120" s="6" t="s">
        <v>40970</v>
      </c>
      <c r="N1120" s="6" t="s">
        <v>39917</v>
      </c>
      <c r="O1120" s="6" t="s">
        <v>37787</v>
      </c>
      <c r="P1120" s="6" t="s">
        <v>37791</v>
      </c>
      <c r="Q1120" s="6" t="s">
        <v>43532</v>
      </c>
      <c r="R1120" s="6" t="s">
        <v>40211</v>
      </c>
      <c r="S1120" s="6" t="s">
        <v>42896</v>
      </c>
      <c r="T1120" s="6" t="s">
        <v>39684</v>
      </c>
      <c r="U1120" s="6" t="s">
        <v>39664</v>
      </c>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c r="AY1120" s="6"/>
      <c r="AZ1120" s="6"/>
      <c r="BA1120" s="6"/>
      <c r="BB1120" s="6"/>
      <c r="BC1120" s="6"/>
      <c r="BD1120" s="6"/>
      <c r="BE1120" s="6"/>
      <c r="BF1120" s="6"/>
      <c r="BG1120" s="6"/>
      <c r="BH1120" s="6"/>
      <c r="BI1120" s="6"/>
      <c r="BJ1120" s="6"/>
      <c r="BK1120" s="6"/>
      <c r="BL1120" s="6"/>
      <c r="BM1120" s="6"/>
      <c r="BN1120" s="6"/>
      <c r="BO1120" s="6"/>
      <c r="BP1120" s="6"/>
      <c r="BQ1120" s="6"/>
      <c r="BR1120" s="6"/>
      <c r="BS1120" s="6"/>
      <c r="BT1120" s="6"/>
    </row>
    <row r="1121" spans="1:72">
      <c r="A1121" s="8" t="s">
        <v>21826</v>
      </c>
      <c r="B1121" s="11" t="s">
        <v>21831</v>
      </c>
      <c r="C1121" s="9" t="s">
        <v>138</v>
      </c>
      <c r="D1121" s="10" t="s">
        <v>138</v>
      </c>
      <c r="E1121" s="28" t="s">
        <v>3670</v>
      </c>
      <c r="F1121" s="28" t="s">
        <v>200</v>
      </c>
      <c r="G1121" s="28" t="s">
        <v>162</v>
      </c>
      <c r="H1121" s="13">
        <v>6</v>
      </c>
      <c r="I1121" s="12" t="s">
        <v>21840</v>
      </c>
      <c r="J1121" s="12" t="s">
        <v>43533</v>
      </c>
      <c r="K1121" s="12" t="s">
        <v>38317</v>
      </c>
      <c r="L1121" s="12" t="s">
        <v>37786</v>
      </c>
      <c r="M1121" s="12" t="s">
        <v>38335</v>
      </c>
      <c r="N1121" s="12" t="s">
        <v>43534</v>
      </c>
      <c r="O1121" s="12" t="s">
        <v>38073</v>
      </c>
      <c r="P1121" s="12"/>
      <c r="Q1121" s="12"/>
      <c r="R1121" s="12"/>
      <c r="S1121" s="12"/>
      <c r="T1121" s="12"/>
      <c r="U1121" s="12"/>
      <c r="V1121" s="12"/>
      <c r="W1121" s="12"/>
      <c r="X1121" s="12"/>
      <c r="Y1121" s="12"/>
      <c r="Z1121" s="12"/>
      <c r="AA1121" s="12"/>
      <c r="AB1121" s="12"/>
      <c r="AC1121" s="12"/>
      <c r="AD1121" s="12"/>
      <c r="AE1121" s="12"/>
      <c r="AF1121" s="12"/>
      <c r="AG1121" s="12"/>
      <c r="AH1121" s="12"/>
      <c r="AI1121" s="12"/>
      <c r="AJ1121" s="12"/>
      <c r="AK1121" s="12"/>
      <c r="AL1121" s="12"/>
      <c r="AM1121" s="12"/>
      <c r="AN1121" s="12"/>
      <c r="AO1121" s="12"/>
      <c r="AP1121" s="12"/>
      <c r="AQ1121" s="12"/>
      <c r="AR1121" s="12"/>
      <c r="AS1121" s="12"/>
      <c r="AT1121" s="12"/>
      <c r="AU1121" s="12"/>
      <c r="AV1121" s="12"/>
      <c r="AW1121" s="12"/>
      <c r="AX1121" s="12"/>
      <c r="AY1121" s="12"/>
      <c r="AZ1121" s="12"/>
      <c r="BA1121" s="12"/>
      <c r="BB1121" s="12"/>
      <c r="BC1121" s="12"/>
      <c r="BD1121" s="12"/>
      <c r="BE1121" s="12"/>
      <c r="BF1121" s="12"/>
      <c r="BG1121" s="12"/>
      <c r="BH1121" s="12"/>
      <c r="BI1121" s="12"/>
      <c r="BJ1121" s="12"/>
      <c r="BK1121" s="12"/>
      <c r="BL1121" s="12"/>
      <c r="BM1121" s="12"/>
      <c r="BN1121" s="12"/>
      <c r="BO1121" s="12"/>
      <c r="BP1121" s="12"/>
      <c r="BQ1121" s="12"/>
      <c r="BR1121" s="12"/>
      <c r="BS1121" s="12"/>
      <c r="BT1121" s="12"/>
    </row>
    <row r="1122" spans="1:72">
      <c r="A1122" s="2" t="s">
        <v>21845</v>
      </c>
      <c r="B1122" s="5" t="s">
        <v>21850</v>
      </c>
      <c r="C1122" s="3" t="s">
        <v>138</v>
      </c>
      <c r="D1122" s="4" t="s">
        <v>138</v>
      </c>
      <c r="E1122" s="15" t="s">
        <v>9763</v>
      </c>
      <c r="F1122" s="15" t="s">
        <v>200</v>
      </c>
      <c r="G1122" s="15" t="s">
        <v>162</v>
      </c>
      <c r="H1122" s="7">
        <v>5</v>
      </c>
      <c r="I1122" s="6" t="s">
        <v>21859</v>
      </c>
      <c r="J1122" s="6" t="s">
        <v>43535</v>
      </c>
      <c r="K1122" s="6" t="s">
        <v>41148</v>
      </c>
      <c r="L1122" s="6" t="s">
        <v>38099</v>
      </c>
      <c r="M1122" s="6" t="s">
        <v>38154</v>
      </c>
      <c r="N1122" s="6" t="s">
        <v>37781</v>
      </c>
      <c r="O1122" s="6"/>
      <c r="P1122" s="6"/>
      <c r="Q1122" s="6"/>
      <c r="R1122" s="6"/>
      <c r="S1122" s="6"/>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c r="AY1122" s="6"/>
      <c r="AZ1122" s="6"/>
      <c r="BA1122" s="6"/>
      <c r="BB1122" s="6"/>
      <c r="BC1122" s="6"/>
      <c r="BD1122" s="6"/>
      <c r="BE1122" s="6"/>
      <c r="BF1122" s="6"/>
      <c r="BG1122" s="6"/>
      <c r="BH1122" s="6"/>
      <c r="BI1122" s="6"/>
      <c r="BJ1122" s="6"/>
      <c r="BK1122" s="6"/>
      <c r="BL1122" s="6"/>
      <c r="BM1122" s="6"/>
      <c r="BN1122" s="6"/>
      <c r="BO1122" s="6"/>
      <c r="BP1122" s="6"/>
      <c r="BQ1122" s="6"/>
      <c r="BR1122" s="6"/>
      <c r="BS1122" s="6"/>
      <c r="BT1122" s="6"/>
    </row>
    <row r="1123" spans="1:72">
      <c r="A1123" s="8" t="s">
        <v>21862</v>
      </c>
      <c r="B1123" s="11" t="s">
        <v>21866</v>
      </c>
      <c r="C1123" s="9" t="s">
        <v>138</v>
      </c>
      <c r="D1123" s="10" t="s">
        <v>138</v>
      </c>
      <c r="E1123" s="28" t="s">
        <v>449</v>
      </c>
      <c r="F1123" s="28" t="s">
        <v>138</v>
      </c>
      <c r="G1123" s="28" t="s">
        <v>450</v>
      </c>
      <c r="H1123" s="13">
        <v>3</v>
      </c>
      <c r="I1123" s="12" t="s">
        <v>21874</v>
      </c>
      <c r="J1123" s="12" t="s">
        <v>455</v>
      </c>
      <c r="K1123" s="12" t="s">
        <v>38092</v>
      </c>
      <c r="L1123" s="12" t="s">
        <v>43536</v>
      </c>
      <c r="M1123" s="12"/>
      <c r="N1123" s="12"/>
      <c r="O1123" s="12"/>
      <c r="P1123" s="12"/>
      <c r="Q1123" s="12"/>
      <c r="R1123" s="12"/>
      <c r="S1123" s="12"/>
      <c r="T1123" s="12"/>
      <c r="U1123" s="12"/>
      <c r="V1123" s="12"/>
      <c r="W1123" s="12"/>
      <c r="X1123" s="12"/>
      <c r="Y1123" s="12"/>
      <c r="Z1123" s="12"/>
      <c r="AA1123" s="12"/>
      <c r="AB1123" s="12"/>
      <c r="AC1123" s="12"/>
      <c r="AD1123" s="12"/>
      <c r="AE1123" s="12"/>
      <c r="AF1123" s="12"/>
      <c r="AG1123" s="12"/>
      <c r="AH1123" s="12"/>
      <c r="AI1123" s="12"/>
      <c r="AJ1123" s="12"/>
      <c r="AK1123" s="12"/>
      <c r="AL1123" s="12"/>
      <c r="AM1123" s="12"/>
      <c r="AN1123" s="12"/>
      <c r="AO1123" s="12"/>
      <c r="AP1123" s="12"/>
      <c r="AQ1123" s="12"/>
      <c r="AR1123" s="12"/>
      <c r="AS1123" s="12"/>
      <c r="AT1123" s="12"/>
      <c r="AU1123" s="12"/>
      <c r="AV1123" s="12"/>
      <c r="AW1123" s="12"/>
      <c r="AX1123" s="12"/>
      <c r="AY1123" s="12"/>
      <c r="AZ1123" s="12"/>
      <c r="BA1123" s="12"/>
      <c r="BB1123" s="12"/>
      <c r="BC1123" s="12"/>
      <c r="BD1123" s="12"/>
      <c r="BE1123" s="12"/>
      <c r="BF1123" s="12"/>
      <c r="BG1123" s="12"/>
      <c r="BH1123" s="12"/>
      <c r="BI1123" s="12"/>
      <c r="BJ1123" s="12"/>
      <c r="BK1123" s="12"/>
      <c r="BL1123" s="12"/>
      <c r="BM1123" s="12"/>
      <c r="BN1123" s="12"/>
      <c r="BO1123" s="12"/>
      <c r="BP1123" s="12"/>
      <c r="BQ1123" s="12"/>
      <c r="BR1123" s="12"/>
      <c r="BS1123" s="12"/>
      <c r="BT1123" s="12"/>
    </row>
    <row r="1124" spans="1:72">
      <c r="A1124" s="2" t="s">
        <v>21877</v>
      </c>
      <c r="B1124" s="5" t="s">
        <v>21883</v>
      </c>
      <c r="C1124" s="3" t="s">
        <v>21878</v>
      </c>
      <c r="D1124" s="4" t="s">
        <v>138</v>
      </c>
      <c r="E1124" s="15" t="s">
        <v>17029</v>
      </c>
      <c r="F1124" s="15" t="s">
        <v>4493</v>
      </c>
      <c r="G1124" s="15" t="s">
        <v>162</v>
      </c>
      <c r="H1124" s="7">
        <v>12</v>
      </c>
      <c r="I1124" s="6" t="s">
        <v>21896</v>
      </c>
      <c r="J1124" s="6" t="s">
        <v>43537</v>
      </c>
      <c r="K1124" s="6" t="s">
        <v>41933</v>
      </c>
      <c r="L1124" s="6" t="s">
        <v>43538</v>
      </c>
      <c r="M1124" s="6" t="s">
        <v>39528</v>
      </c>
      <c r="N1124" s="6" t="s">
        <v>38367</v>
      </c>
      <c r="O1124" s="6" t="s">
        <v>37786</v>
      </c>
      <c r="P1124" s="6" t="s">
        <v>41919</v>
      </c>
      <c r="Q1124" s="6" t="s">
        <v>38128</v>
      </c>
      <c r="R1124" s="6" t="s">
        <v>42737</v>
      </c>
      <c r="S1124" s="6" t="s">
        <v>43539</v>
      </c>
      <c r="T1124" s="6" t="s">
        <v>37781</v>
      </c>
      <c r="U1124" s="6" t="s">
        <v>43540</v>
      </c>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c r="AY1124" s="6"/>
      <c r="AZ1124" s="6"/>
      <c r="BA1124" s="6"/>
      <c r="BB1124" s="6"/>
      <c r="BC1124" s="6"/>
      <c r="BD1124" s="6"/>
      <c r="BE1124" s="6"/>
      <c r="BF1124" s="6"/>
      <c r="BG1124" s="6"/>
      <c r="BH1124" s="6"/>
      <c r="BI1124" s="6"/>
      <c r="BJ1124" s="6"/>
      <c r="BK1124" s="6"/>
      <c r="BL1124" s="6"/>
      <c r="BM1124" s="6"/>
      <c r="BN1124" s="6"/>
      <c r="BO1124" s="6"/>
      <c r="BP1124" s="6"/>
      <c r="BQ1124" s="6"/>
      <c r="BR1124" s="6"/>
      <c r="BS1124" s="6"/>
      <c r="BT1124" s="6"/>
    </row>
    <row r="1125" spans="1:72">
      <c r="A1125" s="8" t="s">
        <v>21899</v>
      </c>
      <c r="B1125" s="11" t="s">
        <v>21907</v>
      </c>
      <c r="C1125" s="9" t="s">
        <v>21900</v>
      </c>
      <c r="D1125" s="10" t="s">
        <v>21901</v>
      </c>
      <c r="E1125" s="28" t="s">
        <v>1294</v>
      </c>
      <c r="F1125" s="28" t="s">
        <v>864</v>
      </c>
      <c r="G1125" s="28" t="s">
        <v>162</v>
      </c>
      <c r="H1125" s="13">
        <v>14</v>
      </c>
      <c r="I1125" s="12" t="s">
        <v>21915</v>
      </c>
      <c r="J1125" s="12" t="s">
        <v>43541</v>
      </c>
      <c r="K1125" s="12" t="s">
        <v>38012</v>
      </c>
      <c r="L1125" s="12" t="s">
        <v>43542</v>
      </c>
      <c r="M1125" s="12" t="s">
        <v>43543</v>
      </c>
      <c r="N1125" s="12" t="s">
        <v>41057</v>
      </c>
      <c r="O1125" s="12" t="s">
        <v>43544</v>
      </c>
      <c r="P1125" s="12" t="s">
        <v>38924</v>
      </c>
      <c r="Q1125" s="12" t="s">
        <v>38322</v>
      </c>
      <c r="R1125" s="12" t="s">
        <v>41633</v>
      </c>
      <c r="S1125" s="12" t="s">
        <v>43545</v>
      </c>
      <c r="T1125" s="12" t="s">
        <v>41004</v>
      </c>
      <c r="U1125" s="12" t="s">
        <v>37806</v>
      </c>
      <c r="V1125" s="12" t="s">
        <v>43546</v>
      </c>
      <c r="W1125" s="12" t="s">
        <v>38145</v>
      </c>
      <c r="X1125" s="12"/>
      <c r="Y1125" s="12"/>
      <c r="Z1125" s="12"/>
      <c r="AA1125" s="12"/>
      <c r="AB1125" s="12"/>
      <c r="AC1125" s="12"/>
      <c r="AD1125" s="12"/>
      <c r="AE1125" s="12"/>
      <c r="AF1125" s="12"/>
      <c r="AG1125" s="12"/>
      <c r="AH1125" s="12"/>
      <c r="AI1125" s="12"/>
      <c r="AJ1125" s="12"/>
      <c r="AK1125" s="12"/>
      <c r="AL1125" s="12"/>
      <c r="AM1125" s="12"/>
      <c r="AN1125" s="12"/>
      <c r="AO1125" s="12"/>
      <c r="AP1125" s="12"/>
      <c r="AQ1125" s="12"/>
      <c r="AR1125" s="12"/>
      <c r="AS1125" s="12"/>
      <c r="AT1125" s="12"/>
      <c r="AU1125" s="12"/>
      <c r="AV1125" s="12"/>
      <c r="AW1125" s="12"/>
      <c r="AX1125" s="12"/>
      <c r="AY1125" s="12"/>
      <c r="AZ1125" s="12"/>
      <c r="BA1125" s="12"/>
      <c r="BB1125" s="12"/>
      <c r="BC1125" s="12"/>
      <c r="BD1125" s="12"/>
      <c r="BE1125" s="12"/>
      <c r="BF1125" s="12"/>
      <c r="BG1125" s="12"/>
      <c r="BH1125" s="12"/>
      <c r="BI1125" s="12"/>
      <c r="BJ1125" s="12"/>
      <c r="BK1125" s="12"/>
      <c r="BL1125" s="12"/>
      <c r="BM1125" s="12"/>
      <c r="BN1125" s="12"/>
      <c r="BO1125" s="12"/>
      <c r="BP1125" s="12"/>
      <c r="BQ1125" s="12"/>
      <c r="BR1125" s="12"/>
      <c r="BS1125" s="12"/>
      <c r="BT1125" s="12"/>
    </row>
    <row r="1126" spans="1:72">
      <c r="A1126" s="2" t="s">
        <v>21919</v>
      </c>
      <c r="B1126" s="5" t="s">
        <v>21925</v>
      </c>
      <c r="C1126" s="3" t="s">
        <v>21920</v>
      </c>
      <c r="D1126" s="4" t="s">
        <v>138</v>
      </c>
      <c r="E1126" s="15" t="s">
        <v>3841</v>
      </c>
      <c r="F1126" s="15" t="s">
        <v>200</v>
      </c>
      <c r="G1126" s="15" t="s">
        <v>162</v>
      </c>
      <c r="H1126" s="7">
        <v>10</v>
      </c>
      <c r="I1126" s="6" t="s">
        <v>21934</v>
      </c>
      <c r="J1126" s="6" t="s">
        <v>43547</v>
      </c>
      <c r="K1126" s="6" t="s">
        <v>43548</v>
      </c>
      <c r="L1126" s="6" t="s">
        <v>42825</v>
      </c>
      <c r="M1126" s="6" t="s">
        <v>41735</v>
      </c>
      <c r="N1126" s="6" t="s">
        <v>37786</v>
      </c>
      <c r="O1126" s="6" t="s">
        <v>37787</v>
      </c>
      <c r="P1126" s="6" t="s">
        <v>43549</v>
      </c>
      <c r="Q1126" s="6" t="s">
        <v>40583</v>
      </c>
      <c r="R1126" s="6" t="s">
        <v>43550</v>
      </c>
      <c r="S1126" s="6" t="s">
        <v>43551</v>
      </c>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c r="AY1126" s="6"/>
      <c r="AZ1126" s="6"/>
      <c r="BA1126" s="6"/>
      <c r="BB1126" s="6"/>
      <c r="BC1126" s="6"/>
      <c r="BD1126" s="6"/>
      <c r="BE1126" s="6"/>
      <c r="BF1126" s="6"/>
      <c r="BG1126" s="6"/>
      <c r="BH1126" s="6"/>
      <c r="BI1126" s="6"/>
      <c r="BJ1126" s="6"/>
      <c r="BK1126" s="6"/>
      <c r="BL1126" s="6"/>
      <c r="BM1126" s="6"/>
      <c r="BN1126" s="6"/>
      <c r="BO1126" s="6"/>
      <c r="BP1126" s="6"/>
      <c r="BQ1126" s="6"/>
      <c r="BR1126" s="6"/>
      <c r="BS1126" s="6"/>
      <c r="BT1126" s="6"/>
    </row>
    <row r="1127" spans="1:72">
      <c r="A1127" s="8" t="s">
        <v>21939</v>
      </c>
      <c r="B1127" s="11" t="s">
        <v>21944</v>
      </c>
      <c r="C1127" s="9" t="s">
        <v>138</v>
      </c>
      <c r="D1127" s="10" t="s">
        <v>138</v>
      </c>
      <c r="E1127" s="28" t="s">
        <v>21950</v>
      </c>
      <c r="F1127" s="28" t="s">
        <v>138</v>
      </c>
      <c r="G1127" s="28" t="s">
        <v>740</v>
      </c>
      <c r="H1127" s="13">
        <v>2</v>
      </c>
      <c r="I1127" s="12" t="s">
        <v>3066</v>
      </c>
      <c r="J1127" s="12" t="s">
        <v>38820</v>
      </c>
      <c r="K1127" s="12" t="s">
        <v>38821</v>
      </c>
      <c r="L1127" s="12"/>
      <c r="M1127" s="12"/>
      <c r="N1127" s="12"/>
      <c r="O1127" s="12"/>
      <c r="P1127" s="12"/>
      <c r="Q1127" s="12"/>
      <c r="R1127" s="12"/>
      <c r="S1127" s="12"/>
      <c r="T1127" s="12"/>
      <c r="U1127" s="12"/>
      <c r="V1127" s="12"/>
      <c r="W1127" s="12"/>
      <c r="X1127" s="12"/>
      <c r="Y1127" s="12"/>
      <c r="Z1127" s="12"/>
      <c r="AA1127" s="12"/>
      <c r="AB1127" s="12"/>
      <c r="AC1127" s="12"/>
      <c r="AD1127" s="12"/>
      <c r="AE1127" s="12"/>
      <c r="AF1127" s="12"/>
      <c r="AG1127" s="12"/>
      <c r="AH1127" s="12"/>
      <c r="AI1127" s="12"/>
      <c r="AJ1127" s="12"/>
      <c r="AK1127" s="12"/>
      <c r="AL1127" s="12"/>
      <c r="AM1127" s="12"/>
      <c r="AN1127" s="12"/>
      <c r="AO1127" s="12"/>
      <c r="AP1127" s="12"/>
      <c r="AQ1127" s="12"/>
      <c r="AR1127" s="12"/>
      <c r="AS1127" s="12"/>
      <c r="AT1127" s="12"/>
      <c r="AU1127" s="12"/>
      <c r="AV1127" s="12"/>
      <c r="AW1127" s="12"/>
      <c r="AX1127" s="12"/>
      <c r="AY1127" s="12"/>
      <c r="AZ1127" s="12"/>
      <c r="BA1127" s="12"/>
      <c r="BB1127" s="12"/>
      <c r="BC1127" s="12"/>
      <c r="BD1127" s="12"/>
      <c r="BE1127" s="12"/>
      <c r="BF1127" s="12"/>
      <c r="BG1127" s="12"/>
      <c r="BH1127" s="12"/>
      <c r="BI1127" s="12"/>
      <c r="BJ1127" s="12"/>
      <c r="BK1127" s="12"/>
      <c r="BL1127" s="12"/>
      <c r="BM1127" s="12"/>
      <c r="BN1127" s="12"/>
      <c r="BO1127" s="12"/>
      <c r="BP1127" s="12"/>
      <c r="BQ1127" s="12"/>
      <c r="BR1127" s="12"/>
      <c r="BS1127" s="12"/>
      <c r="BT1127" s="12"/>
    </row>
    <row r="1128" spans="1:72">
      <c r="A1128" s="2" t="s">
        <v>21953</v>
      </c>
      <c r="B1128" s="5" t="s">
        <v>21958</v>
      </c>
      <c r="C1128" s="3" t="s">
        <v>138</v>
      </c>
      <c r="D1128" s="4" t="s">
        <v>138</v>
      </c>
      <c r="E1128" s="15" t="s">
        <v>944</v>
      </c>
      <c r="F1128" s="15" t="s">
        <v>138</v>
      </c>
      <c r="G1128" s="15" t="s">
        <v>946</v>
      </c>
      <c r="H1128" s="7">
        <v>18</v>
      </c>
      <c r="I1128" s="6" t="s">
        <v>21966</v>
      </c>
      <c r="J1128" s="6" t="s">
        <v>43552</v>
      </c>
      <c r="K1128" s="6" t="s">
        <v>41018</v>
      </c>
      <c r="L1128" s="6" t="s">
        <v>40721</v>
      </c>
      <c r="M1128" s="6" t="s">
        <v>41551</v>
      </c>
      <c r="N1128" s="6" t="s">
        <v>40453</v>
      </c>
      <c r="O1128" s="6" t="s">
        <v>43553</v>
      </c>
      <c r="P1128" s="6" t="s">
        <v>38889</v>
      </c>
      <c r="Q1128" s="6" t="s">
        <v>43554</v>
      </c>
      <c r="R1128" s="6" t="s">
        <v>42367</v>
      </c>
      <c r="S1128" s="6" t="s">
        <v>43555</v>
      </c>
      <c r="T1128" s="6" t="s">
        <v>39516</v>
      </c>
      <c r="U1128" s="6" t="s">
        <v>38709</v>
      </c>
      <c r="V1128" s="6" t="s">
        <v>37998</v>
      </c>
      <c r="W1128" s="6" t="s">
        <v>40726</v>
      </c>
      <c r="X1128" s="6" t="s">
        <v>39522</v>
      </c>
      <c r="Y1128" s="6" t="s">
        <v>41217</v>
      </c>
      <c r="Z1128" s="6" t="s">
        <v>39526</v>
      </c>
      <c r="AA1128" s="6" t="s">
        <v>40312</v>
      </c>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c r="AY1128" s="6"/>
      <c r="AZ1128" s="6"/>
      <c r="BA1128" s="6"/>
      <c r="BB1128" s="6"/>
      <c r="BC1128" s="6"/>
      <c r="BD1128" s="6"/>
      <c r="BE1128" s="6"/>
      <c r="BF1128" s="6"/>
      <c r="BG1128" s="6"/>
      <c r="BH1128" s="6"/>
      <c r="BI1128" s="6"/>
      <c r="BJ1128" s="6"/>
      <c r="BK1128" s="6"/>
      <c r="BL1128" s="6"/>
      <c r="BM1128" s="6"/>
      <c r="BN1128" s="6"/>
      <c r="BO1128" s="6"/>
      <c r="BP1128" s="6"/>
      <c r="BQ1128" s="6"/>
      <c r="BR1128" s="6"/>
      <c r="BS1128" s="6"/>
      <c r="BT1128" s="6"/>
    </row>
    <row r="1129" spans="1:72">
      <c r="A1129" s="8" t="s">
        <v>21971</v>
      </c>
      <c r="B1129" s="11" t="s">
        <v>21976</v>
      </c>
      <c r="C1129" s="9" t="s">
        <v>138</v>
      </c>
      <c r="D1129" s="10" t="s">
        <v>138</v>
      </c>
      <c r="E1129" s="28" t="s">
        <v>21985</v>
      </c>
      <c r="F1129" s="28" t="s">
        <v>200</v>
      </c>
      <c r="G1129" s="28" t="s">
        <v>162</v>
      </c>
      <c r="H1129" s="13">
        <v>7</v>
      </c>
      <c r="I1129" s="12" t="s">
        <v>21990</v>
      </c>
      <c r="J1129" s="12" t="s">
        <v>25482</v>
      </c>
      <c r="K1129" s="12" t="s">
        <v>42505</v>
      </c>
      <c r="L1129" s="12" t="s">
        <v>43556</v>
      </c>
      <c r="M1129" s="12" t="s">
        <v>38721</v>
      </c>
      <c r="N1129" s="12" t="s">
        <v>38910</v>
      </c>
      <c r="O1129" s="12" t="s">
        <v>43557</v>
      </c>
      <c r="P1129" s="12" t="s">
        <v>39359</v>
      </c>
      <c r="Q1129" s="12"/>
      <c r="R1129" s="12"/>
      <c r="S1129" s="12"/>
      <c r="T1129" s="12"/>
      <c r="U1129" s="12"/>
      <c r="V1129" s="12"/>
      <c r="W1129" s="12"/>
      <c r="X1129" s="12"/>
      <c r="Y1129" s="12"/>
      <c r="Z1129" s="12"/>
      <c r="AA1129" s="12"/>
      <c r="AB1129" s="12"/>
      <c r="AC1129" s="12"/>
      <c r="AD1129" s="12"/>
      <c r="AE1129" s="12"/>
      <c r="AF1129" s="12"/>
      <c r="AG1129" s="12"/>
      <c r="AH1129" s="12"/>
      <c r="AI1129" s="12"/>
      <c r="AJ1129" s="12"/>
      <c r="AK1129" s="12"/>
      <c r="AL1129" s="12"/>
      <c r="AM1129" s="12"/>
      <c r="AN1129" s="12"/>
      <c r="AO1129" s="12"/>
      <c r="AP1129" s="12"/>
      <c r="AQ1129" s="12"/>
      <c r="AR1129" s="12"/>
      <c r="AS1129" s="12"/>
      <c r="AT1129" s="12"/>
      <c r="AU1129" s="12"/>
      <c r="AV1129" s="12"/>
      <c r="AW1129" s="12"/>
      <c r="AX1129" s="12"/>
      <c r="AY1129" s="12"/>
      <c r="AZ1129" s="12"/>
      <c r="BA1129" s="12"/>
      <c r="BB1129" s="12"/>
      <c r="BC1129" s="12"/>
      <c r="BD1129" s="12"/>
      <c r="BE1129" s="12"/>
      <c r="BF1129" s="12"/>
      <c r="BG1129" s="12"/>
      <c r="BH1129" s="12"/>
      <c r="BI1129" s="12"/>
      <c r="BJ1129" s="12"/>
      <c r="BK1129" s="12"/>
      <c r="BL1129" s="12"/>
      <c r="BM1129" s="12"/>
      <c r="BN1129" s="12"/>
      <c r="BO1129" s="12"/>
      <c r="BP1129" s="12"/>
      <c r="BQ1129" s="12"/>
      <c r="BR1129" s="12"/>
      <c r="BS1129" s="12"/>
      <c r="BT1129" s="12"/>
    </row>
    <row r="1130" spans="1:72">
      <c r="A1130" s="2" t="s">
        <v>21993</v>
      </c>
      <c r="B1130" s="5" t="s">
        <v>21998</v>
      </c>
      <c r="C1130" s="3" t="s">
        <v>138</v>
      </c>
      <c r="D1130" s="4" t="s">
        <v>21994</v>
      </c>
      <c r="E1130" s="15" t="s">
        <v>823</v>
      </c>
      <c r="F1130" s="15" t="s">
        <v>824</v>
      </c>
      <c r="G1130" s="15" t="s">
        <v>526</v>
      </c>
      <c r="H1130" s="7">
        <v>6</v>
      </c>
      <c r="I1130" s="6" t="s">
        <v>22007</v>
      </c>
      <c r="J1130" s="6" t="s">
        <v>37790</v>
      </c>
      <c r="K1130" s="6" t="s">
        <v>38306</v>
      </c>
      <c r="L1130" s="6" t="s">
        <v>43225</v>
      </c>
      <c r="M1130" s="6" t="s">
        <v>43226</v>
      </c>
      <c r="N1130" s="6" t="s">
        <v>43558</v>
      </c>
      <c r="O1130" s="6" t="s">
        <v>43559</v>
      </c>
      <c r="P1130" s="6"/>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6"/>
      <c r="AY1130" s="6"/>
      <c r="AZ1130" s="6"/>
      <c r="BA1130" s="6"/>
      <c r="BB1130" s="6"/>
      <c r="BC1130" s="6"/>
      <c r="BD1130" s="6"/>
      <c r="BE1130" s="6"/>
      <c r="BF1130" s="6"/>
      <c r="BG1130" s="6"/>
      <c r="BH1130" s="6"/>
      <c r="BI1130" s="6"/>
      <c r="BJ1130" s="6"/>
      <c r="BK1130" s="6"/>
      <c r="BL1130" s="6"/>
      <c r="BM1130" s="6"/>
      <c r="BN1130" s="6"/>
      <c r="BO1130" s="6"/>
      <c r="BP1130" s="6"/>
      <c r="BQ1130" s="6"/>
      <c r="BR1130" s="6"/>
      <c r="BS1130" s="6"/>
      <c r="BT1130" s="6"/>
    </row>
    <row r="1131" spans="1:72">
      <c r="A1131" s="8" t="s">
        <v>22010</v>
      </c>
      <c r="B1131" s="11" t="s">
        <v>22015</v>
      </c>
      <c r="C1131" s="9" t="s">
        <v>138</v>
      </c>
      <c r="D1131" s="10" t="s">
        <v>22011</v>
      </c>
      <c r="E1131" s="28" t="s">
        <v>449</v>
      </c>
      <c r="F1131" s="28" t="s">
        <v>448</v>
      </c>
      <c r="G1131" s="28" t="s">
        <v>450</v>
      </c>
      <c r="H1131" s="13">
        <v>4</v>
      </c>
      <c r="I1131" s="12" t="s">
        <v>22023</v>
      </c>
      <c r="J1131" s="12" t="s">
        <v>455</v>
      </c>
      <c r="K1131" s="12" t="s">
        <v>43560</v>
      </c>
      <c r="L1131" s="12" t="s">
        <v>41052</v>
      </c>
      <c r="M1131" s="12" t="s">
        <v>39221</v>
      </c>
      <c r="N1131" s="12"/>
      <c r="O1131" s="12"/>
      <c r="P1131" s="12"/>
      <c r="Q1131" s="12"/>
      <c r="R1131" s="12"/>
      <c r="S1131" s="12"/>
      <c r="T1131" s="12"/>
      <c r="U1131" s="12"/>
      <c r="V1131" s="12"/>
      <c r="W1131" s="12"/>
      <c r="X1131" s="12"/>
      <c r="Y1131" s="12"/>
      <c r="Z1131" s="12"/>
      <c r="AA1131" s="12"/>
      <c r="AB1131" s="12"/>
      <c r="AC1131" s="12"/>
      <c r="AD1131" s="12"/>
      <c r="AE1131" s="12"/>
      <c r="AF1131" s="12"/>
      <c r="AG1131" s="12"/>
      <c r="AH1131" s="12"/>
      <c r="AI1131" s="12"/>
      <c r="AJ1131" s="12"/>
      <c r="AK1131" s="12"/>
      <c r="AL1131" s="12"/>
      <c r="AM1131" s="12"/>
      <c r="AN1131" s="12"/>
      <c r="AO1131" s="12"/>
      <c r="AP1131" s="12"/>
      <c r="AQ1131" s="12"/>
      <c r="AR1131" s="12"/>
      <c r="AS1131" s="12"/>
      <c r="AT1131" s="12"/>
      <c r="AU1131" s="12"/>
      <c r="AV1131" s="12"/>
      <c r="AW1131" s="12"/>
      <c r="AX1131" s="12"/>
      <c r="AY1131" s="12"/>
      <c r="AZ1131" s="12"/>
      <c r="BA1131" s="12"/>
      <c r="BB1131" s="12"/>
      <c r="BC1131" s="12"/>
      <c r="BD1131" s="12"/>
      <c r="BE1131" s="12"/>
      <c r="BF1131" s="12"/>
      <c r="BG1131" s="12"/>
      <c r="BH1131" s="12"/>
      <c r="BI1131" s="12"/>
      <c r="BJ1131" s="12"/>
      <c r="BK1131" s="12"/>
      <c r="BL1131" s="12"/>
      <c r="BM1131" s="12"/>
      <c r="BN1131" s="12"/>
      <c r="BO1131" s="12"/>
      <c r="BP1131" s="12"/>
      <c r="BQ1131" s="12"/>
      <c r="BR1131" s="12"/>
      <c r="BS1131" s="12"/>
      <c r="BT1131" s="12"/>
    </row>
    <row r="1132" spans="1:72">
      <c r="A1132" s="2" t="s">
        <v>22026</v>
      </c>
      <c r="B1132" s="5" t="s">
        <v>22032</v>
      </c>
      <c r="C1132" s="3" t="s">
        <v>22027</v>
      </c>
      <c r="D1132" s="4" t="s">
        <v>138</v>
      </c>
      <c r="E1132" s="15" t="s">
        <v>1872</v>
      </c>
      <c r="F1132" s="15" t="s">
        <v>200</v>
      </c>
      <c r="G1132" s="15" t="s">
        <v>162</v>
      </c>
      <c r="H1132" s="7">
        <v>14</v>
      </c>
      <c r="I1132" s="6" t="s">
        <v>22042</v>
      </c>
      <c r="J1132" s="6" t="s">
        <v>38632</v>
      </c>
      <c r="K1132" s="6" t="s">
        <v>38354</v>
      </c>
      <c r="L1132" s="6" t="s">
        <v>43561</v>
      </c>
      <c r="M1132" s="6" t="s">
        <v>43562</v>
      </c>
      <c r="N1132" s="6" t="s">
        <v>43563</v>
      </c>
      <c r="O1132" s="6" t="s">
        <v>43564</v>
      </c>
      <c r="P1132" s="6" t="s">
        <v>37998</v>
      </c>
      <c r="Q1132" s="6" t="s">
        <v>40615</v>
      </c>
      <c r="R1132" s="6" t="s">
        <v>43565</v>
      </c>
      <c r="S1132" s="6" t="s">
        <v>43566</v>
      </c>
      <c r="T1132" s="6" t="s">
        <v>38928</v>
      </c>
      <c r="U1132" s="6" t="s">
        <v>42063</v>
      </c>
      <c r="V1132" s="6" t="s">
        <v>41348</v>
      </c>
      <c r="W1132" s="6" t="s">
        <v>38647</v>
      </c>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c r="AY1132" s="6"/>
      <c r="AZ1132" s="6"/>
      <c r="BA1132" s="6"/>
      <c r="BB1132" s="6"/>
      <c r="BC1132" s="6"/>
      <c r="BD1132" s="6"/>
      <c r="BE1132" s="6"/>
      <c r="BF1132" s="6"/>
      <c r="BG1132" s="6"/>
      <c r="BH1132" s="6"/>
      <c r="BI1132" s="6"/>
      <c r="BJ1132" s="6"/>
      <c r="BK1132" s="6"/>
      <c r="BL1132" s="6"/>
      <c r="BM1132" s="6"/>
      <c r="BN1132" s="6"/>
      <c r="BO1132" s="6"/>
      <c r="BP1132" s="6"/>
      <c r="BQ1132" s="6"/>
      <c r="BR1132" s="6"/>
      <c r="BS1132" s="6"/>
      <c r="BT1132" s="6"/>
    </row>
    <row r="1133" spans="1:72">
      <c r="A1133" s="8" t="s">
        <v>22047</v>
      </c>
      <c r="B1133" s="11" t="s">
        <v>22052</v>
      </c>
      <c r="C1133" s="9" t="s">
        <v>138</v>
      </c>
      <c r="D1133" s="10" t="s">
        <v>138</v>
      </c>
      <c r="E1133" s="28" t="s">
        <v>2005</v>
      </c>
      <c r="F1133" s="28" t="s">
        <v>200</v>
      </c>
      <c r="G1133" s="28" t="s">
        <v>162</v>
      </c>
      <c r="H1133" s="13">
        <v>1</v>
      </c>
      <c r="I1133" s="12" t="s">
        <v>22065</v>
      </c>
      <c r="J1133" s="12" t="s">
        <v>22065</v>
      </c>
      <c r="K1133" s="12"/>
      <c r="L1133" s="12"/>
      <c r="M1133" s="12"/>
      <c r="N1133" s="12"/>
      <c r="O1133" s="12"/>
      <c r="P1133" s="12"/>
      <c r="Q1133" s="12"/>
      <c r="R1133" s="12"/>
      <c r="S1133" s="12"/>
      <c r="T1133" s="12"/>
      <c r="U1133" s="12"/>
      <c r="V1133" s="12"/>
      <c r="W1133" s="12"/>
      <c r="X1133" s="12"/>
      <c r="Y1133" s="12"/>
      <c r="Z1133" s="12"/>
      <c r="AA1133" s="12"/>
      <c r="AB1133" s="12"/>
      <c r="AC1133" s="12"/>
      <c r="AD1133" s="12"/>
      <c r="AE1133" s="12"/>
      <c r="AF1133" s="12"/>
      <c r="AG1133" s="12"/>
      <c r="AH1133" s="12"/>
      <c r="AI1133" s="12"/>
      <c r="AJ1133" s="12"/>
      <c r="AK1133" s="12"/>
      <c r="AL1133" s="12"/>
      <c r="AM1133" s="12"/>
      <c r="AN1133" s="12"/>
      <c r="AO1133" s="12"/>
      <c r="AP1133" s="12"/>
      <c r="AQ1133" s="12"/>
      <c r="AR1133" s="12"/>
      <c r="AS1133" s="12"/>
      <c r="AT1133" s="12"/>
      <c r="AU1133" s="12"/>
      <c r="AV1133" s="12"/>
      <c r="AW1133" s="12"/>
      <c r="AX1133" s="12"/>
      <c r="AY1133" s="12"/>
      <c r="AZ1133" s="12"/>
      <c r="BA1133" s="12"/>
      <c r="BB1133" s="12"/>
      <c r="BC1133" s="12"/>
      <c r="BD1133" s="12"/>
      <c r="BE1133" s="12"/>
      <c r="BF1133" s="12"/>
      <c r="BG1133" s="12"/>
      <c r="BH1133" s="12"/>
      <c r="BI1133" s="12"/>
      <c r="BJ1133" s="12"/>
      <c r="BK1133" s="12"/>
      <c r="BL1133" s="12"/>
      <c r="BM1133" s="12"/>
      <c r="BN1133" s="12"/>
      <c r="BO1133" s="12"/>
      <c r="BP1133" s="12"/>
      <c r="BQ1133" s="12"/>
      <c r="BR1133" s="12"/>
      <c r="BS1133" s="12"/>
      <c r="BT1133" s="12"/>
    </row>
    <row r="1134" spans="1:72">
      <c r="A1134" s="2" t="s">
        <v>22068</v>
      </c>
      <c r="B1134" s="5" t="s">
        <v>22073</v>
      </c>
      <c r="C1134" s="3" t="s">
        <v>138</v>
      </c>
      <c r="D1134" s="4" t="s">
        <v>138</v>
      </c>
      <c r="E1134" s="15" t="s">
        <v>863</v>
      </c>
      <c r="F1134" s="15" t="s">
        <v>824</v>
      </c>
      <c r="G1134" s="15" t="s">
        <v>526</v>
      </c>
      <c r="H1134" s="7">
        <v>10</v>
      </c>
      <c r="I1134" s="6" t="s">
        <v>22085</v>
      </c>
      <c r="J1134" s="6" t="s">
        <v>43567</v>
      </c>
      <c r="K1134" s="6" t="s">
        <v>39813</v>
      </c>
      <c r="L1134" s="6" t="s">
        <v>40668</v>
      </c>
      <c r="M1134" s="6" t="s">
        <v>37787</v>
      </c>
      <c r="N1134" s="6" t="s">
        <v>38918</v>
      </c>
      <c r="O1134" s="6" t="s">
        <v>38322</v>
      </c>
      <c r="P1134" s="6" t="s">
        <v>43568</v>
      </c>
      <c r="Q1134" s="6" t="s">
        <v>43569</v>
      </c>
      <c r="R1134" s="6" t="s">
        <v>43570</v>
      </c>
      <c r="S1134" s="6" t="s">
        <v>37873</v>
      </c>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c r="AY1134" s="6"/>
      <c r="AZ1134" s="6"/>
      <c r="BA1134" s="6"/>
      <c r="BB1134" s="6"/>
      <c r="BC1134" s="6"/>
      <c r="BD1134" s="6"/>
      <c r="BE1134" s="6"/>
      <c r="BF1134" s="6"/>
      <c r="BG1134" s="6"/>
      <c r="BH1134" s="6"/>
      <c r="BI1134" s="6"/>
      <c r="BJ1134" s="6"/>
      <c r="BK1134" s="6"/>
      <c r="BL1134" s="6"/>
      <c r="BM1134" s="6"/>
      <c r="BN1134" s="6"/>
      <c r="BO1134" s="6"/>
      <c r="BP1134" s="6"/>
      <c r="BQ1134" s="6"/>
      <c r="BR1134" s="6"/>
      <c r="BS1134" s="6"/>
      <c r="BT1134" s="6"/>
    </row>
    <row r="1135" spans="1:72">
      <c r="A1135" s="8" t="s">
        <v>22092</v>
      </c>
      <c r="B1135" s="11" t="s">
        <v>22097</v>
      </c>
      <c r="C1135" s="9" t="s">
        <v>22093</v>
      </c>
      <c r="D1135" s="10" t="s">
        <v>138</v>
      </c>
      <c r="E1135" s="28" t="s">
        <v>944</v>
      </c>
      <c r="F1135" s="28" t="s">
        <v>138</v>
      </c>
      <c r="G1135" s="28" t="s">
        <v>946</v>
      </c>
      <c r="H1135" s="13">
        <v>5</v>
      </c>
      <c r="I1135" s="12" t="s">
        <v>22105</v>
      </c>
      <c r="J1135" s="12" t="s">
        <v>43571</v>
      </c>
      <c r="K1135" s="12" t="s">
        <v>40226</v>
      </c>
      <c r="L1135" s="12" t="s">
        <v>39522</v>
      </c>
      <c r="M1135" s="12" t="s">
        <v>43572</v>
      </c>
      <c r="N1135" s="12" t="s">
        <v>43573</v>
      </c>
      <c r="O1135" s="12"/>
      <c r="P1135" s="12"/>
      <c r="Q1135" s="12"/>
      <c r="R1135" s="12"/>
      <c r="S1135" s="12"/>
      <c r="T1135" s="12"/>
      <c r="U1135" s="12"/>
      <c r="V1135" s="12"/>
      <c r="W1135" s="12"/>
      <c r="X1135" s="12"/>
      <c r="Y1135" s="12"/>
      <c r="Z1135" s="12"/>
      <c r="AA1135" s="12"/>
      <c r="AB1135" s="12"/>
      <c r="AC1135" s="12"/>
      <c r="AD1135" s="12"/>
      <c r="AE1135" s="12"/>
      <c r="AF1135" s="12"/>
      <c r="AG1135" s="12"/>
      <c r="AH1135" s="12"/>
      <c r="AI1135" s="12"/>
      <c r="AJ1135" s="12"/>
      <c r="AK1135" s="12"/>
      <c r="AL1135" s="12"/>
      <c r="AM1135" s="12"/>
      <c r="AN1135" s="12"/>
      <c r="AO1135" s="12"/>
      <c r="AP1135" s="12"/>
      <c r="AQ1135" s="12"/>
      <c r="AR1135" s="12"/>
      <c r="AS1135" s="12"/>
      <c r="AT1135" s="12"/>
      <c r="AU1135" s="12"/>
      <c r="AV1135" s="12"/>
      <c r="AW1135" s="12"/>
      <c r="AX1135" s="12"/>
      <c r="AY1135" s="12"/>
      <c r="AZ1135" s="12"/>
      <c r="BA1135" s="12"/>
      <c r="BB1135" s="12"/>
      <c r="BC1135" s="12"/>
      <c r="BD1135" s="12"/>
      <c r="BE1135" s="12"/>
      <c r="BF1135" s="12"/>
      <c r="BG1135" s="12"/>
      <c r="BH1135" s="12"/>
      <c r="BI1135" s="12"/>
      <c r="BJ1135" s="12"/>
      <c r="BK1135" s="12"/>
      <c r="BL1135" s="12"/>
      <c r="BM1135" s="12"/>
      <c r="BN1135" s="12"/>
      <c r="BO1135" s="12"/>
      <c r="BP1135" s="12"/>
      <c r="BQ1135" s="12"/>
      <c r="BR1135" s="12"/>
      <c r="BS1135" s="12"/>
      <c r="BT1135" s="12"/>
    </row>
    <row r="1136" spans="1:72">
      <c r="A1136" s="2" t="s">
        <v>22110</v>
      </c>
      <c r="B1136" s="5" t="s">
        <v>22114</v>
      </c>
      <c r="C1136" s="3" t="s">
        <v>138</v>
      </c>
      <c r="D1136" s="4" t="s">
        <v>138</v>
      </c>
      <c r="E1136" s="15" t="s">
        <v>8837</v>
      </c>
      <c r="F1136" s="15" t="s">
        <v>864</v>
      </c>
      <c r="G1136" s="15" t="s">
        <v>162</v>
      </c>
      <c r="H1136" s="7">
        <v>7</v>
      </c>
      <c r="I1136" s="6" t="s">
        <v>22123</v>
      </c>
      <c r="J1136" s="6" t="s">
        <v>38648</v>
      </c>
      <c r="K1136" s="6" t="s">
        <v>40536</v>
      </c>
      <c r="L1136" s="6" t="s">
        <v>39422</v>
      </c>
      <c r="M1136" s="6" t="s">
        <v>40436</v>
      </c>
      <c r="N1136" s="6" t="s">
        <v>38062</v>
      </c>
      <c r="O1136" s="6" t="s">
        <v>37868</v>
      </c>
      <c r="P1136" s="6" t="s">
        <v>43574</v>
      </c>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c r="AX1136" s="6"/>
      <c r="AY1136" s="6"/>
      <c r="AZ1136" s="6"/>
      <c r="BA1136" s="6"/>
      <c r="BB1136" s="6"/>
      <c r="BC1136" s="6"/>
      <c r="BD1136" s="6"/>
      <c r="BE1136" s="6"/>
      <c r="BF1136" s="6"/>
      <c r="BG1136" s="6"/>
      <c r="BH1136" s="6"/>
      <c r="BI1136" s="6"/>
      <c r="BJ1136" s="6"/>
      <c r="BK1136" s="6"/>
      <c r="BL1136" s="6"/>
      <c r="BM1136" s="6"/>
      <c r="BN1136" s="6"/>
      <c r="BO1136" s="6"/>
      <c r="BP1136" s="6"/>
      <c r="BQ1136" s="6"/>
      <c r="BR1136" s="6"/>
      <c r="BS1136" s="6"/>
      <c r="BT1136" s="6"/>
    </row>
    <row r="1137" spans="1:72">
      <c r="A1137" s="8" t="s">
        <v>22128</v>
      </c>
      <c r="B1137" s="11" t="s">
        <v>22134</v>
      </c>
      <c r="C1137" s="9" t="s">
        <v>138</v>
      </c>
      <c r="D1137" s="10" t="s">
        <v>138</v>
      </c>
      <c r="E1137" s="28" t="s">
        <v>426</v>
      </c>
      <c r="F1137" s="28" t="s">
        <v>426</v>
      </c>
      <c r="G1137" s="28" t="s">
        <v>162</v>
      </c>
      <c r="H1137" s="13">
        <v>5</v>
      </c>
      <c r="I1137" s="12" t="s">
        <v>22142</v>
      </c>
      <c r="J1137" s="12" t="s">
        <v>16877</v>
      </c>
      <c r="K1137" s="12" t="s">
        <v>39243</v>
      </c>
      <c r="L1137" s="12" t="s">
        <v>39645</v>
      </c>
      <c r="M1137" s="12" t="s">
        <v>43575</v>
      </c>
      <c r="N1137" s="12" t="s">
        <v>39246</v>
      </c>
      <c r="O1137" s="12"/>
      <c r="P1137" s="12"/>
      <c r="Q1137" s="12"/>
      <c r="R1137" s="12"/>
      <c r="S1137" s="12"/>
      <c r="T1137" s="12"/>
      <c r="U1137" s="12"/>
      <c r="V1137" s="12"/>
      <c r="W1137" s="12"/>
      <c r="X1137" s="12"/>
      <c r="Y1137" s="12"/>
      <c r="Z1137" s="12"/>
      <c r="AA1137" s="12"/>
      <c r="AB1137" s="12"/>
      <c r="AC1137" s="12"/>
      <c r="AD1137" s="12"/>
      <c r="AE1137" s="12"/>
      <c r="AF1137" s="12"/>
      <c r="AG1137" s="12"/>
      <c r="AH1137" s="12"/>
      <c r="AI1137" s="12"/>
      <c r="AJ1137" s="12"/>
      <c r="AK1137" s="12"/>
      <c r="AL1137" s="12"/>
      <c r="AM1137" s="12"/>
      <c r="AN1137" s="12"/>
      <c r="AO1137" s="12"/>
      <c r="AP1137" s="12"/>
      <c r="AQ1137" s="12"/>
      <c r="AR1137" s="12"/>
      <c r="AS1137" s="12"/>
      <c r="AT1137" s="12"/>
      <c r="AU1137" s="12"/>
      <c r="AV1137" s="12"/>
      <c r="AW1137" s="12"/>
      <c r="AX1137" s="12"/>
      <c r="AY1137" s="12"/>
      <c r="AZ1137" s="12"/>
      <c r="BA1137" s="12"/>
      <c r="BB1137" s="12"/>
      <c r="BC1137" s="12"/>
      <c r="BD1137" s="12"/>
      <c r="BE1137" s="12"/>
      <c r="BF1137" s="12"/>
      <c r="BG1137" s="12"/>
      <c r="BH1137" s="12"/>
      <c r="BI1137" s="12"/>
      <c r="BJ1137" s="12"/>
      <c r="BK1137" s="12"/>
      <c r="BL1137" s="12"/>
      <c r="BM1137" s="12"/>
      <c r="BN1137" s="12"/>
      <c r="BO1137" s="12"/>
      <c r="BP1137" s="12"/>
      <c r="BQ1137" s="12"/>
      <c r="BR1137" s="12"/>
      <c r="BS1137" s="12"/>
      <c r="BT1137" s="12"/>
    </row>
    <row r="1138" spans="1:72">
      <c r="A1138" s="2" t="s">
        <v>22146</v>
      </c>
      <c r="B1138" s="5" t="s">
        <v>22153</v>
      </c>
      <c r="C1138" s="3" t="s">
        <v>22147</v>
      </c>
      <c r="D1138" s="4" t="s">
        <v>138</v>
      </c>
      <c r="E1138" s="15" t="s">
        <v>4900</v>
      </c>
      <c r="F1138" s="15" t="s">
        <v>200</v>
      </c>
      <c r="G1138" s="15" t="s">
        <v>162</v>
      </c>
      <c r="H1138" s="7">
        <v>10</v>
      </c>
      <c r="I1138" s="6" t="s">
        <v>22160</v>
      </c>
      <c r="J1138" s="6" t="s">
        <v>43576</v>
      </c>
      <c r="K1138" s="6" t="s">
        <v>38354</v>
      </c>
      <c r="L1138" s="6" t="s">
        <v>42054</v>
      </c>
      <c r="M1138" s="6" t="s">
        <v>40022</v>
      </c>
      <c r="N1138" s="6" t="s">
        <v>40023</v>
      </c>
      <c r="O1138" s="6" t="s">
        <v>37921</v>
      </c>
      <c r="P1138" s="6" t="s">
        <v>38097</v>
      </c>
      <c r="Q1138" s="6" t="s">
        <v>43577</v>
      </c>
      <c r="R1138" s="6" t="s">
        <v>43578</v>
      </c>
      <c r="S1138" s="6" t="s">
        <v>38371</v>
      </c>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c r="AY1138" s="6"/>
      <c r="AZ1138" s="6"/>
      <c r="BA1138" s="6"/>
      <c r="BB1138" s="6"/>
      <c r="BC1138" s="6"/>
      <c r="BD1138" s="6"/>
      <c r="BE1138" s="6"/>
      <c r="BF1138" s="6"/>
      <c r="BG1138" s="6"/>
      <c r="BH1138" s="6"/>
      <c r="BI1138" s="6"/>
      <c r="BJ1138" s="6"/>
      <c r="BK1138" s="6"/>
      <c r="BL1138" s="6"/>
      <c r="BM1138" s="6"/>
      <c r="BN1138" s="6"/>
      <c r="BO1138" s="6"/>
      <c r="BP1138" s="6"/>
      <c r="BQ1138" s="6"/>
      <c r="BR1138" s="6"/>
      <c r="BS1138" s="6"/>
      <c r="BT1138" s="6"/>
    </row>
    <row r="1139" spans="1:72">
      <c r="A1139" s="8" t="s">
        <v>22164</v>
      </c>
      <c r="B1139" s="11" t="s">
        <v>22169</v>
      </c>
      <c r="C1139" s="9" t="s">
        <v>22165</v>
      </c>
      <c r="D1139" s="10" t="s">
        <v>138</v>
      </c>
      <c r="E1139" s="28" t="s">
        <v>22176</v>
      </c>
      <c r="F1139" s="28" t="s">
        <v>200</v>
      </c>
      <c r="G1139" s="28" t="s">
        <v>162</v>
      </c>
      <c r="H1139" s="13">
        <v>14</v>
      </c>
      <c r="I1139" s="12" t="s">
        <v>22180</v>
      </c>
      <c r="J1139" s="12" t="s">
        <v>37811</v>
      </c>
      <c r="K1139" s="12" t="s">
        <v>42054</v>
      </c>
      <c r="L1139" s="12" t="s">
        <v>43579</v>
      </c>
      <c r="M1139" s="12" t="s">
        <v>43281</v>
      </c>
      <c r="N1139" s="12" t="s">
        <v>43580</v>
      </c>
      <c r="O1139" s="12" t="s">
        <v>43581</v>
      </c>
      <c r="P1139" s="12" t="s">
        <v>38063</v>
      </c>
      <c r="Q1139" s="12" t="s">
        <v>37931</v>
      </c>
      <c r="R1139" s="12" t="s">
        <v>43582</v>
      </c>
      <c r="S1139" s="12" t="s">
        <v>43583</v>
      </c>
      <c r="T1139" s="12" t="s">
        <v>42737</v>
      </c>
      <c r="U1139" s="12" t="s">
        <v>37781</v>
      </c>
      <c r="V1139" s="12" t="s">
        <v>43584</v>
      </c>
      <c r="W1139" s="12" t="s">
        <v>39086</v>
      </c>
      <c r="X1139" s="12"/>
      <c r="Y1139" s="12"/>
      <c r="Z1139" s="12"/>
      <c r="AA1139" s="12"/>
      <c r="AB1139" s="12"/>
      <c r="AC1139" s="12"/>
      <c r="AD1139" s="12"/>
      <c r="AE1139" s="12"/>
      <c r="AF1139" s="12"/>
      <c r="AG1139" s="12"/>
      <c r="AH1139" s="12"/>
      <c r="AI1139" s="12"/>
      <c r="AJ1139" s="12"/>
      <c r="AK1139" s="12"/>
      <c r="AL1139" s="12"/>
      <c r="AM1139" s="12"/>
      <c r="AN1139" s="12"/>
      <c r="AO1139" s="12"/>
      <c r="AP1139" s="12"/>
      <c r="AQ1139" s="12"/>
      <c r="AR1139" s="12"/>
      <c r="AS1139" s="12"/>
      <c r="AT1139" s="12"/>
      <c r="AU1139" s="12"/>
      <c r="AV1139" s="12"/>
      <c r="AW1139" s="12"/>
      <c r="AX1139" s="12"/>
      <c r="AY1139" s="12"/>
      <c r="AZ1139" s="12"/>
      <c r="BA1139" s="12"/>
      <c r="BB1139" s="12"/>
      <c r="BC1139" s="12"/>
      <c r="BD1139" s="12"/>
      <c r="BE1139" s="12"/>
      <c r="BF1139" s="12"/>
      <c r="BG1139" s="12"/>
      <c r="BH1139" s="12"/>
      <c r="BI1139" s="12"/>
      <c r="BJ1139" s="12"/>
      <c r="BK1139" s="12"/>
      <c r="BL1139" s="12"/>
      <c r="BM1139" s="12"/>
      <c r="BN1139" s="12"/>
      <c r="BO1139" s="12"/>
      <c r="BP1139" s="12"/>
      <c r="BQ1139" s="12"/>
      <c r="BR1139" s="12"/>
      <c r="BS1139" s="12"/>
      <c r="BT1139" s="12"/>
    </row>
    <row r="1140" spans="1:72">
      <c r="A1140" s="2" t="s">
        <v>22184</v>
      </c>
      <c r="B1140" s="5" t="s">
        <v>22190</v>
      </c>
      <c r="C1140" s="3" t="s">
        <v>138</v>
      </c>
      <c r="D1140" s="4" t="s">
        <v>138</v>
      </c>
      <c r="E1140" s="15" t="s">
        <v>5473</v>
      </c>
      <c r="F1140" s="15" t="s">
        <v>3112</v>
      </c>
      <c r="G1140" s="15" t="s">
        <v>2742</v>
      </c>
      <c r="H1140" s="7">
        <v>13</v>
      </c>
      <c r="I1140" s="6" t="s">
        <v>22203</v>
      </c>
      <c r="J1140" s="6" t="s">
        <v>43585</v>
      </c>
      <c r="K1140" s="6" t="s">
        <v>39836</v>
      </c>
      <c r="L1140" s="6" t="s">
        <v>39020</v>
      </c>
      <c r="M1140" s="6" t="s">
        <v>42554</v>
      </c>
      <c r="N1140" s="6" t="s">
        <v>40388</v>
      </c>
      <c r="O1140" s="6" t="s">
        <v>40479</v>
      </c>
      <c r="P1140" s="6" t="s">
        <v>43586</v>
      </c>
      <c r="Q1140" s="6" t="s">
        <v>39140</v>
      </c>
      <c r="R1140" s="6" t="s">
        <v>39809</v>
      </c>
      <c r="S1140" s="6" t="s">
        <v>43587</v>
      </c>
      <c r="T1140" s="6" t="s">
        <v>40481</v>
      </c>
      <c r="U1140" s="6" t="s">
        <v>38767</v>
      </c>
      <c r="V1140" s="6" t="s">
        <v>43588</v>
      </c>
      <c r="W1140" s="6" t="s">
        <v>43589</v>
      </c>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c r="AX1140" s="6"/>
      <c r="AY1140" s="6"/>
      <c r="AZ1140" s="6"/>
      <c r="BA1140" s="6"/>
      <c r="BB1140" s="6"/>
      <c r="BC1140" s="6"/>
      <c r="BD1140" s="6"/>
      <c r="BE1140" s="6"/>
      <c r="BF1140" s="6"/>
      <c r="BG1140" s="6"/>
      <c r="BH1140" s="6"/>
      <c r="BI1140" s="6"/>
      <c r="BJ1140" s="6"/>
      <c r="BK1140" s="6"/>
      <c r="BL1140" s="6"/>
      <c r="BM1140" s="6"/>
      <c r="BN1140" s="6"/>
      <c r="BO1140" s="6"/>
      <c r="BP1140" s="6"/>
      <c r="BQ1140" s="6"/>
      <c r="BR1140" s="6"/>
      <c r="BS1140" s="6"/>
      <c r="BT1140" s="6"/>
    </row>
    <row r="1141" spans="1:72">
      <c r="A1141" s="8" t="s">
        <v>22208</v>
      </c>
      <c r="B1141" s="11" t="s">
        <v>22214</v>
      </c>
      <c r="C1141" s="9" t="s">
        <v>138</v>
      </c>
      <c r="D1141" s="10" t="s">
        <v>22209</v>
      </c>
      <c r="E1141" s="28" t="s">
        <v>8145</v>
      </c>
      <c r="F1141" s="28" t="s">
        <v>138</v>
      </c>
      <c r="G1141" s="28" t="s">
        <v>2333</v>
      </c>
      <c r="H1141" s="13">
        <v>5</v>
      </c>
      <c r="I1141" s="12" t="s">
        <v>22226</v>
      </c>
      <c r="J1141" s="12" t="s">
        <v>43590</v>
      </c>
      <c r="K1141" s="12" t="s">
        <v>38354</v>
      </c>
      <c r="L1141" s="12" t="s">
        <v>43591</v>
      </c>
      <c r="M1141" s="12" t="s">
        <v>43592</v>
      </c>
      <c r="N1141" s="12" t="s">
        <v>43593</v>
      </c>
      <c r="O1141" s="12"/>
      <c r="P1141" s="12"/>
      <c r="Q1141" s="12"/>
      <c r="R1141" s="12"/>
      <c r="S1141" s="12"/>
      <c r="T1141" s="12"/>
      <c r="U1141" s="12"/>
      <c r="V1141" s="12"/>
      <c r="W1141" s="12"/>
      <c r="X1141" s="12"/>
      <c r="Y1141" s="12"/>
      <c r="Z1141" s="12"/>
      <c r="AA1141" s="12"/>
      <c r="AB1141" s="12"/>
      <c r="AC1141" s="12"/>
      <c r="AD1141" s="12"/>
      <c r="AE1141" s="12"/>
      <c r="AF1141" s="12"/>
      <c r="AG1141" s="12"/>
      <c r="AH1141" s="12"/>
      <c r="AI1141" s="12"/>
      <c r="AJ1141" s="12"/>
      <c r="AK1141" s="12"/>
      <c r="AL1141" s="12"/>
      <c r="AM1141" s="12"/>
      <c r="AN1141" s="12"/>
      <c r="AO1141" s="12"/>
      <c r="AP1141" s="12"/>
      <c r="AQ1141" s="12"/>
      <c r="AR1141" s="12"/>
      <c r="AS1141" s="12"/>
      <c r="AT1141" s="12"/>
      <c r="AU1141" s="12"/>
      <c r="AV1141" s="12"/>
      <c r="AW1141" s="12"/>
      <c r="AX1141" s="12"/>
      <c r="AY1141" s="12"/>
      <c r="AZ1141" s="12"/>
      <c r="BA1141" s="12"/>
      <c r="BB1141" s="12"/>
      <c r="BC1141" s="12"/>
      <c r="BD1141" s="12"/>
      <c r="BE1141" s="12"/>
      <c r="BF1141" s="12"/>
      <c r="BG1141" s="12"/>
      <c r="BH1141" s="12"/>
      <c r="BI1141" s="12"/>
      <c r="BJ1141" s="12"/>
      <c r="BK1141" s="12"/>
      <c r="BL1141" s="12"/>
      <c r="BM1141" s="12"/>
      <c r="BN1141" s="12"/>
      <c r="BO1141" s="12"/>
      <c r="BP1141" s="12"/>
      <c r="BQ1141" s="12"/>
      <c r="BR1141" s="12"/>
      <c r="BS1141" s="12"/>
      <c r="BT1141" s="12"/>
    </row>
    <row r="1142" spans="1:72">
      <c r="A1142" s="2" t="s">
        <v>22230</v>
      </c>
      <c r="B1142" s="5" t="s">
        <v>22236</v>
      </c>
      <c r="C1142" s="3" t="s">
        <v>138</v>
      </c>
      <c r="D1142" s="4" t="s">
        <v>22231</v>
      </c>
      <c r="E1142" s="15" t="s">
        <v>22242</v>
      </c>
      <c r="F1142" s="15" t="s">
        <v>138</v>
      </c>
      <c r="G1142" s="15" t="s">
        <v>740</v>
      </c>
      <c r="H1142" s="7">
        <v>10</v>
      </c>
      <c r="I1142" s="6" t="s">
        <v>22245</v>
      </c>
      <c r="J1142" s="6" t="s">
        <v>40432</v>
      </c>
      <c r="K1142" s="6" t="s">
        <v>42989</v>
      </c>
      <c r="L1142" s="6" t="s">
        <v>40971</v>
      </c>
      <c r="M1142" s="6" t="s">
        <v>39394</v>
      </c>
      <c r="N1142" s="6" t="s">
        <v>38050</v>
      </c>
      <c r="O1142" s="6" t="s">
        <v>37890</v>
      </c>
      <c r="P1142" s="6" t="s">
        <v>39684</v>
      </c>
      <c r="Q1142" s="6" t="s">
        <v>43594</v>
      </c>
      <c r="R1142" s="6" t="s">
        <v>39664</v>
      </c>
      <c r="S1142" s="6" t="s">
        <v>39366</v>
      </c>
      <c r="T1142" s="6"/>
      <c r="U1142" s="6"/>
      <c r="V1142" s="6"/>
      <c r="W1142" s="6"/>
      <c r="X1142" s="6"/>
      <c r="Y1142" s="6"/>
      <c r="Z1142" s="6"/>
      <c r="AA1142" s="6"/>
      <c r="AB1142" s="6"/>
      <c r="AC1142" s="6"/>
      <c r="AD1142" s="6"/>
      <c r="AE1142" s="6"/>
      <c r="AF1142" s="6"/>
      <c r="AG1142" s="6"/>
      <c r="AH1142" s="6"/>
      <c r="AI1142" s="6"/>
      <c r="AJ1142" s="6"/>
      <c r="AK1142" s="6"/>
      <c r="AL1142" s="6"/>
      <c r="AM1142" s="6"/>
      <c r="AN1142" s="6"/>
      <c r="AO1142" s="6"/>
      <c r="AP1142" s="6"/>
      <c r="AQ1142" s="6"/>
      <c r="AR1142" s="6"/>
      <c r="AS1142" s="6"/>
      <c r="AT1142" s="6"/>
      <c r="AU1142" s="6"/>
      <c r="AV1142" s="6"/>
      <c r="AW1142" s="6"/>
      <c r="AX1142" s="6"/>
      <c r="AY1142" s="6"/>
      <c r="AZ1142" s="6"/>
      <c r="BA1142" s="6"/>
      <c r="BB1142" s="6"/>
      <c r="BC1142" s="6"/>
      <c r="BD1142" s="6"/>
      <c r="BE1142" s="6"/>
      <c r="BF1142" s="6"/>
      <c r="BG1142" s="6"/>
      <c r="BH1142" s="6"/>
      <c r="BI1142" s="6"/>
      <c r="BJ1142" s="6"/>
      <c r="BK1142" s="6"/>
      <c r="BL1142" s="6"/>
      <c r="BM1142" s="6"/>
      <c r="BN1142" s="6"/>
      <c r="BO1142" s="6"/>
      <c r="BP1142" s="6"/>
      <c r="BQ1142" s="6"/>
      <c r="BR1142" s="6"/>
      <c r="BS1142" s="6"/>
      <c r="BT1142" s="6"/>
    </row>
    <row r="1143" spans="1:72">
      <c r="A1143" s="8" t="s">
        <v>22248</v>
      </c>
      <c r="B1143" s="11" t="s">
        <v>22253</v>
      </c>
      <c r="C1143" s="9" t="s">
        <v>138</v>
      </c>
      <c r="D1143" s="10" t="s">
        <v>138</v>
      </c>
      <c r="E1143" s="28" t="s">
        <v>426</v>
      </c>
      <c r="F1143" s="28" t="s">
        <v>426</v>
      </c>
      <c r="G1143" s="28" t="s">
        <v>162</v>
      </c>
      <c r="H1143" s="13">
        <v>7</v>
      </c>
      <c r="I1143" s="12" t="s">
        <v>22262</v>
      </c>
      <c r="J1143" s="12" t="s">
        <v>43595</v>
      </c>
      <c r="K1143" s="12" t="s">
        <v>43596</v>
      </c>
      <c r="L1143" s="12" t="s">
        <v>43597</v>
      </c>
      <c r="M1143" s="12" t="s">
        <v>43598</v>
      </c>
      <c r="N1143" s="12" t="s">
        <v>41203</v>
      </c>
      <c r="O1143" s="12" t="s">
        <v>40132</v>
      </c>
      <c r="P1143" s="12" t="s">
        <v>38983</v>
      </c>
      <c r="Q1143" s="12"/>
      <c r="R1143" s="12"/>
      <c r="S1143" s="12"/>
      <c r="T1143" s="12"/>
      <c r="U1143" s="12"/>
      <c r="V1143" s="12"/>
      <c r="W1143" s="12"/>
      <c r="X1143" s="12"/>
      <c r="Y1143" s="12"/>
      <c r="Z1143" s="12"/>
      <c r="AA1143" s="12"/>
      <c r="AB1143" s="12"/>
      <c r="AC1143" s="12"/>
      <c r="AD1143" s="12"/>
      <c r="AE1143" s="12"/>
      <c r="AF1143" s="12"/>
      <c r="AG1143" s="12"/>
      <c r="AH1143" s="12"/>
      <c r="AI1143" s="12"/>
      <c r="AJ1143" s="12"/>
      <c r="AK1143" s="12"/>
      <c r="AL1143" s="12"/>
      <c r="AM1143" s="12"/>
      <c r="AN1143" s="12"/>
      <c r="AO1143" s="12"/>
      <c r="AP1143" s="12"/>
      <c r="AQ1143" s="12"/>
      <c r="AR1143" s="12"/>
      <c r="AS1143" s="12"/>
      <c r="AT1143" s="12"/>
      <c r="AU1143" s="12"/>
      <c r="AV1143" s="12"/>
      <c r="AW1143" s="12"/>
      <c r="AX1143" s="12"/>
      <c r="AY1143" s="12"/>
      <c r="AZ1143" s="12"/>
      <c r="BA1143" s="12"/>
      <c r="BB1143" s="12"/>
      <c r="BC1143" s="12"/>
      <c r="BD1143" s="12"/>
      <c r="BE1143" s="12"/>
      <c r="BF1143" s="12"/>
      <c r="BG1143" s="12"/>
      <c r="BH1143" s="12"/>
      <c r="BI1143" s="12"/>
      <c r="BJ1143" s="12"/>
      <c r="BK1143" s="12"/>
      <c r="BL1143" s="12"/>
      <c r="BM1143" s="12"/>
      <c r="BN1143" s="12"/>
      <c r="BO1143" s="12"/>
      <c r="BP1143" s="12"/>
      <c r="BQ1143" s="12"/>
      <c r="BR1143" s="12"/>
      <c r="BS1143" s="12"/>
      <c r="BT1143" s="12"/>
    </row>
    <row r="1144" spans="1:72">
      <c r="A1144" s="2" t="s">
        <v>22265</v>
      </c>
      <c r="B1144" s="5" t="s">
        <v>22269</v>
      </c>
      <c r="C1144" s="3" t="s">
        <v>138</v>
      </c>
      <c r="D1144" s="4" t="s">
        <v>138</v>
      </c>
      <c r="E1144" s="15" t="s">
        <v>22280</v>
      </c>
      <c r="F1144" s="15" t="s">
        <v>339</v>
      </c>
      <c r="G1144" s="15" t="s">
        <v>162</v>
      </c>
      <c r="H1144" s="7">
        <v>8</v>
      </c>
      <c r="I1144" s="6" t="s">
        <v>22284</v>
      </c>
      <c r="J1144" s="6" t="s">
        <v>41349</v>
      </c>
      <c r="K1144" s="6" t="s">
        <v>37816</v>
      </c>
      <c r="L1144" s="6" t="s">
        <v>43599</v>
      </c>
      <c r="M1144" s="6" t="s">
        <v>42615</v>
      </c>
      <c r="N1144" s="6" t="s">
        <v>41353</v>
      </c>
      <c r="O1144" s="6" t="s">
        <v>43600</v>
      </c>
      <c r="P1144" s="6" t="s">
        <v>37781</v>
      </c>
      <c r="Q1144" s="6" t="s">
        <v>43601</v>
      </c>
      <c r="R1144" s="6"/>
      <c r="S1144" s="6"/>
      <c r="T1144" s="6"/>
      <c r="U1144" s="6"/>
      <c r="V1144" s="6"/>
      <c r="W1144" s="6"/>
      <c r="X1144" s="6"/>
      <c r="Y1144" s="6"/>
      <c r="Z1144" s="6"/>
      <c r="AA1144" s="6"/>
      <c r="AB1144" s="6"/>
      <c r="AC1144" s="6"/>
      <c r="AD1144" s="6"/>
      <c r="AE1144" s="6"/>
      <c r="AF1144" s="6"/>
      <c r="AG1144" s="6"/>
      <c r="AH1144" s="6"/>
      <c r="AI1144" s="6"/>
      <c r="AJ1144" s="6"/>
      <c r="AK1144" s="6"/>
      <c r="AL1144" s="6"/>
      <c r="AM1144" s="6"/>
      <c r="AN1144" s="6"/>
      <c r="AO1144" s="6"/>
      <c r="AP1144" s="6"/>
      <c r="AQ1144" s="6"/>
      <c r="AR1144" s="6"/>
      <c r="AS1144" s="6"/>
      <c r="AT1144" s="6"/>
      <c r="AU1144" s="6"/>
      <c r="AV1144" s="6"/>
      <c r="AW1144" s="6"/>
      <c r="AX1144" s="6"/>
      <c r="AY1144" s="6"/>
      <c r="AZ1144" s="6"/>
      <c r="BA1144" s="6"/>
      <c r="BB1144" s="6"/>
      <c r="BC1144" s="6"/>
      <c r="BD1144" s="6"/>
      <c r="BE1144" s="6"/>
      <c r="BF1144" s="6"/>
      <c r="BG1144" s="6"/>
      <c r="BH1144" s="6"/>
      <c r="BI1144" s="6"/>
      <c r="BJ1144" s="6"/>
      <c r="BK1144" s="6"/>
      <c r="BL1144" s="6"/>
      <c r="BM1144" s="6"/>
      <c r="BN1144" s="6"/>
      <c r="BO1144" s="6"/>
      <c r="BP1144" s="6"/>
      <c r="BQ1144" s="6"/>
      <c r="BR1144" s="6"/>
      <c r="BS1144" s="6"/>
      <c r="BT1144" s="6"/>
    </row>
    <row r="1145" spans="1:72">
      <c r="A1145" s="8" t="s">
        <v>22289</v>
      </c>
      <c r="B1145" s="11" t="s">
        <v>22293</v>
      </c>
      <c r="C1145" s="9" t="s">
        <v>138</v>
      </c>
      <c r="D1145" s="10" t="s">
        <v>138</v>
      </c>
      <c r="E1145" s="28" t="s">
        <v>5700</v>
      </c>
      <c r="F1145" s="28" t="s">
        <v>138</v>
      </c>
      <c r="G1145" s="28" t="s">
        <v>740</v>
      </c>
      <c r="H1145" s="13">
        <v>4</v>
      </c>
      <c r="I1145" s="12" t="s">
        <v>22300</v>
      </c>
      <c r="J1145" s="12" t="s">
        <v>43602</v>
      </c>
      <c r="K1145" s="12" t="s">
        <v>37787</v>
      </c>
      <c r="L1145" s="12" t="s">
        <v>39138</v>
      </c>
      <c r="M1145" s="12" t="s">
        <v>37890</v>
      </c>
      <c r="N1145" s="12"/>
      <c r="O1145" s="12"/>
      <c r="P1145" s="12"/>
      <c r="Q1145" s="12"/>
      <c r="R1145" s="12"/>
      <c r="S1145" s="12"/>
      <c r="T1145" s="12"/>
      <c r="U1145" s="12"/>
      <c r="V1145" s="12"/>
      <c r="W1145" s="12"/>
      <c r="X1145" s="12"/>
      <c r="Y1145" s="12"/>
      <c r="Z1145" s="12"/>
      <c r="AA1145" s="12"/>
      <c r="AB1145" s="12"/>
      <c r="AC1145" s="12"/>
      <c r="AD1145" s="12"/>
      <c r="AE1145" s="12"/>
      <c r="AF1145" s="12"/>
      <c r="AG1145" s="12"/>
      <c r="AH1145" s="12"/>
      <c r="AI1145" s="12"/>
      <c r="AJ1145" s="12"/>
      <c r="AK1145" s="12"/>
      <c r="AL1145" s="12"/>
      <c r="AM1145" s="12"/>
      <c r="AN1145" s="12"/>
      <c r="AO1145" s="12"/>
      <c r="AP1145" s="12"/>
      <c r="AQ1145" s="12"/>
      <c r="AR1145" s="12"/>
      <c r="AS1145" s="12"/>
      <c r="AT1145" s="12"/>
      <c r="AU1145" s="12"/>
      <c r="AV1145" s="12"/>
      <c r="AW1145" s="12"/>
      <c r="AX1145" s="12"/>
      <c r="AY1145" s="12"/>
      <c r="AZ1145" s="12"/>
      <c r="BA1145" s="12"/>
      <c r="BB1145" s="12"/>
      <c r="BC1145" s="12"/>
      <c r="BD1145" s="12"/>
      <c r="BE1145" s="12"/>
      <c r="BF1145" s="12"/>
      <c r="BG1145" s="12"/>
      <c r="BH1145" s="12"/>
      <c r="BI1145" s="12"/>
      <c r="BJ1145" s="12"/>
      <c r="BK1145" s="12"/>
      <c r="BL1145" s="12"/>
      <c r="BM1145" s="12"/>
      <c r="BN1145" s="12"/>
      <c r="BO1145" s="12"/>
      <c r="BP1145" s="12"/>
      <c r="BQ1145" s="12"/>
      <c r="BR1145" s="12"/>
      <c r="BS1145" s="12"/>
      <c r="BT1145" s="12"/>
    </row>
    <row r="1146" spans="1:72">
      <c r="A1146" s="2" t="s">
        <v>22303</v>
      </c>
      <c r="B1146" s="5" t="s">
        <v>22308</v>
      </c>
      <c r="C1146" s="3" t="s">
        <v>138</v>
      </c>
      <c r="D1146" s="4" t="s">
        <v>138</v>
      </c>
      <c r="E1146" s="15" t="s">
        <v>2694</v>
      </c>
      <c r="F1146" s="15" t="s">
        <v>138</v>
      </c>
      <c r="G1146" s="15" t="s">
        <v>1054</v>
      </c>
      <c r="H1146" s="7">
        <v>8</v>
      </c>
      <c r="I1146" s="6" t="s">
        <v>22320</v>
      </c>
      <c r="J1146" s="6" t="s">
        <v>16877</v>
      </c>
      <c r="K1146" s="6" t="s">
        <v>37896</v>
      </c>
      <c r="L1146" s="6" t="s">
        <v>43603</v>
      </c>
      <c r="M1146" s="6" t="s">
        <v>43604</v>
      </c>
      <c r="N1146" s="6" t="s">
        <v>43605</v>
      </c>
      <c r="O1146" s="6" t="s">
        <v>40780</v>
      </c>
      <c r="P1146" s="6" t="s">
        <v>43606</v>
      </c>
      <c r="Q1146" s="6" t="s">
        <v>43607</v>
      </c>
      <c r="R1146" s="6"/>
      <c r="S1146" s="6"/>
      <c r="T1146" s="6"/>
      <c r="U1146" s="6"/>
      <c r="V1146" s="6"/>
      <c r="W1146" s="6"/>
      <c r="X1146" s="6"/>
      <c r="Y1146" s="6"/>
      <c r="Z1146" s="6"/>
      <c r="AA1146" s="6"/>
      <c r="AB1146" s="6"/>
      <c r="AC1146" s="6"/>
      <c r="AD1146" s="6"/>
      <c r="AE1146" s="6"/>
      <c r="AF1146" s="6"/>
      <c r="AG1146" s="6"/>
      <c r="AH1146" s="6"/>
      <c r="AI1146" s="6"/>
      <c r="AJ1146" s="6"/>
      <c r="AK1146" s="6"/>
      <c r="AL1146" s="6"/>
      <c r="AM1146" s="6"/>
      <c r="AN1146" s="6"/>
      <c r="AO1146" s="6"/>
      <c r="AP1146" s="6"/>
      <c r="AQ1146" s="6"/>
      <c r="AR1146" s="6"/>
      <c r="AS1146" s="6"/>
      <c r="AT1146" s="6"/>
      <c r="AU1146" s="6"/>
      <c r="AV1146" s="6"/>
      <c r="AW1146" s="6"/>
      <c r="AX1146" s="6"/>
      <c r="AY1146" s="6"/>
      <c r="AZ1146" s="6"/>
      <c r="BA1146" s="6"/>
      <c r="BB1146" s="6"/>
      <c r="BC1146" s="6"/>
      <c r="BD1146" s="6"/>
      <c r="BE1146" s="6"/>
      <c r="BF1146" s="6"/>
      <c r="BG1146" s="6"/>
      <c r="BH1146" s="6"/>
      <c r="BI1146" s="6"/>
      <c r="BJ1146" s="6"/>
      <c r="BK1146" s="6"/>
      <c r="BL1146" s="6"/>
      <c r="BM1146" s="6"/>
      <c r="BN1146" s="6"/>
      <c r="BO1146" s="6"/>
      <c r="BP1146" s="6"/>
      <c r="BQ1146" s="6"/>
      <c r="BR1146" s="6"/>
      <c r="BS1146" s="6"/>
      <c r="BT1146" s="6"/>
    </row>
    <row r="1147" spans="1:72">
      <c r="A1147" s="8" t="s">
        <v>22325</v>
      </c>
      <c r="B1147" s="11" t="s">
        <v>22328</v>
      </c>
      <c r="C1147" s="9" t="s">
        <v>138</v>
      </c>
      <c r="D1147" s="10" t="s">
        <v>138</v>
      </c>
      <c r="E1147" s="28" t="s">
        <v>668</v>
      </c>
      <c r="F1147" s="28" t="s">
        <v>200</v>
      </c>
      <c r="G1147" s="28" t="s">
        <v>162</v>
      </c>
      <c r="H1147" s="13">
        <v>8</v>
      </c>
      <c r="I1147" s="12" t="s">
        <v>22335</v>
      </c>
      <c r="J1147" s="12" t="s">
        <v>43608</v>
      </c>
      <c r="K1147" s="12" t="s">
        <v>40346</v>
      </c>
      <c r="L1147" s="12" t="s">
        <v>43609</v>
      </c>
      <c r="M1147" s="12" t="s">
        <v>38286</v>
      </c>
      <c r="N1147" s="12" t="s">
        <v>40208</v>
      </c>
      <c r="O1147" s="12" t="s">
        <v>37803</v>
      </c>
      <c r="P1147" s="12" t="s">
        <v>42485</v>
      </c>
      <c r="Q1147" s="12" t="s">
        <v>38144</v>
      </c>
      <c r="R1147" s="12"/>
      <c r="S1147" s="12"/>
      <c r="T1147" s="12"/>
      <c r="U1147" s="12"/>
      <c r="V1147" s="12"/>
      <c r="W1147" s="12"/>
      <c r="X1147" s="12"/>
      <c r="Y1147" s="12"/>
      <c r="Z1147" s="12"/>
      <c r="AA1147" s="12"/>
      <c r="AB1147" s="12"/>
      <c r="AC1147" s="12"/>
      <c r="AD1147" s="12"/>
      <c r="AE1147" s="12"/>
      <c r="AF1147" s="12"/>
      <c r="AG1147" s="12"/>
      <c r="AH1147" s="12"/>
      <c r="AI1147" s="12"/>
      <c r="AJ1147" s="12"/>
      <c r="AK1147" s="12"/>
      <c r="AL1147" s="12"/>
      <c r="AM1147" s="12"/>
      <c r="AN1147" s="12"/>
      <c r="AO1147" s="12"/>
      <c r="AP1147" s="12"/>
      <c r="AQ1147" s="12"/>
      <c r="AR1147" s="12"/>
      <c r="AS1147" s="12"/>
      <c r="AT1147" s="12"/>
      <c r="AU1147" s="12"/>
      <c r="AV1147" s="12"/>
      <c r="AW1147" s="12"/>
      <c r="AX1147" s="12"/>
      <c r="AY1147" s="12"/>
      <c r="AZ1147" s="12"/>
      <c r="BA1147" s="12"/>
      <c r="BB1147" s="12"/>
      <c r="BC1147" s="12"/>
      <c r="BD1147" s="12"/>
      <c r="BE1147" s="12"/>
      <c r="BF1147" s="12"/>
      <c r="BG1147" s="12"/>
      <c r="BH1147" s="12"/>
      <c r="BI1147" s="12"/>
      <c r="BJ1147" s="12"/>
      <c r="BK1147" s="12"/>
      <c r="BL1147" s="12"/>
      <c r="BM1147" s="12"/>
      <c r="BN1147" s="12"/>
      <c r="BO1147" s="12"/>
      <c r="BP1147" s="12"/>
      <c r="BQ1147" s="12"/>
      <c r="BR1147" s="12"/>
      <c r="BS1147" s="12"/>
      <c r="BT1147" s="12"/>
    </row>
    <row r="1148" spans="1:72">
      <c r="A1148" s="2" t="s">
        <v>22338</v>
      </c>
      <c r="B1148" s="5" t="s">
        <v>22344</v>
      </c>
      <c r="C1148" s="3" t="s">
        <v>22339</v>
      </c>
      <c r="D1148" s="4" t="s">
        <v>138</v>
      </c>
      <c r="E1148" s="15" t="s">
        <v>22353</v>
      </c>
      <c r="F1148" s="15" t="s">
        <v>864</v>
      </c>
      <c r="G1148" s="15" t="s">
        <v>162</v>
      </c>
      <c r="H1148" s="7">
        <v>13</v>
      </c>
      <c r="I1148" s="6" t="s">
        <v>22358</v>
      </c>
      <c r="J1148" s="6" t="s">
        <v>40535</v>
      </c>
      <c r="K1148" s="6" t="s">
        <v>37819</v>
      </c>
      <c r="L1148" s="6" t="s">
        <v>41110</v>
      </c>
      <c r="M1148" s="6" t="s">
        <v>39553</v>
      </c>
      <c r="N1148" s="6" t="s">
        <v>38919</v>
      </c>
      <c r="O1148" s="6" t="s">
        <v>43235</v>
      </c>
      <c r="P1148" s="6" t="s">
        <v>37931</v>
      </c>
      <c r="Q1148" s="6" t="s">
        <v>43610</v>
      </c>
      <c r="R1148" s="6" t="s">
        <v>37779</v>
      </c>
      <c r="S1148" s="6" t="s">
        <v>38446</v>
      </c>
      <c r="T1148" s="6" t="s">
        <v>42385</v>
      </c>
      <c r="U1148" s="6" t="s">
        <v>37892</v>
      </c>
      <c r="V1148" s="6" t="s">
        <v>43611</v>
      </c>
      <c r="W1148" s="6"/>
      <c r="X1148" s="6"/>
      <c r="Y1148" s="6"/>
      <c r="Z1148" s="6"/>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c r="AX1148" s="6"/>
      <c r="AY1148" s="6"/>
      <c r="AZ1148" s="6"/>
      <c r="BA1148" s="6"/>
      <c r="BB1148" s="6"/>
      <c r="BC1148" s="6"/>
      <c r="BD1148" s="6"/>
      <c r="BE1148" s="6"/>
      <c r="BF1148" s="6"/>
      <c r="BG1148" s="6"/>
      <c r="BH1148" s="6"/>
      <c r="BI1148" s="6"/>
      <c r="BJ1148" s="6"/>
      <c r="BK1148" s="6"/>
      <c r="BL1148" s="6"/>
      <c r="BM1148" s="6"/>
      <c r="BN1148" s="6"/>
      <c r="BO1148" s="6"/>
      <c r="BP1148" s="6"/>
      <c r="BQ1148" s="6"/>
      <c r="BR1148" s="6"/>
      <c r="BS1148" s="6"/>
      <c r="BT1148" s="6"/>
    </row>
    <row r="1149" spans="1:72">
      <c r="A1149" s="8" t="s">
        <v>22365</v>
      </c>
      <c r="B1149" s="11" t="s">
        <v>22369</v>
      </c>
      <c r="C1149" s="9" t="s">
        <v>138</v>
      </c>
      <c r="D1149" s="10" t="s">
        <v>138</v>
      </c>
      <c r="E1149" s="28" t="s">
        <v>5382</v>
      </c>
      <c r="F1149" s="28" t="s">
        <v>200</v>
      </c>
      <c r="G1149" s="28" t="s">
        <v>162</v>
      </c>
      <c r="H1149" s="13">
        <v>9</v>
      </c>
      <c r="I1149" s="12" t="s">
        <v>22380</v>
      </c>
      <c r="J1149" s="12" t="s">
        <v>41711</v>
      </c>
      <c r="K1149" s="12" t="s">
        <v>38076</v>
      </c>
      <c r="L1149" s="12" t="s">
        <v>43612</v>
      </c>
      <c r="M1149" s="12" t="s">
        <v>39653</v>
      </c>
      <c r="N1149" s="12" t="s">
        <v>43613</v>
      </c>
      <c r="O1149" s="12" t="s">
        <v>38321</v>
      </c>
      <c r="P1149" s="12" t="s">
        <v>38200</v>
      </c>
      <c r="Q1149" s="12" t="s">
        <v>39624</v>
      </c>
      <c r="R1149" s="12" t="s">
        <v>39656</v>
      </c>
      <c r="S1149" s="12"/>
      <c r="T1149" s="12"/>
      <c r="U1149" s="12"/>
      <c r="V1149" s="12"/>
      <c r="W1149" s="12"/>
      <c r="X1149" s="12"/>
      <c r="Y1149" s="12"/>
      <c r="Z1149" s="12"/>
      <c r="AA1149" s="12"/>
      <c r="AB1149" s="12"/>
      <c r="AC1149" s="12"/>
      <c r="AD1149" s="12"/>
      <c r="AE1149" s="12"/>
      <c r="AF1149" s="12"/>
      <c r="AG1149" s="12"/>
      <c r="AH1149" s="12"/>
      <c r="AI1149" s="12"/>
      <c r="AJ1149" s="12"/>
      <c r="AK1149" s="12"/>
      <c r="AL1149" s="12"/>
      <c r="AM1149" s="12"/>
      <c r="AN1149" s="12"/>
      <c r="AO1149" s="12"/>
      <c r="AP1149" s="12"/>
      <c r="AQ1149" s="12"/>
      <c r="AR1149" s="12"/>
      <c r="AS1149" s="12"/>
      <c r="AT1149" s="12"/>
      <c r="AU1149" s="12"/>
      <c r="AV1149" s="12"/>
      <c r="AW1149" s="12"/>
      <c r="AX1149" s="12"/>
      <c r="AY1149" s="12"/>
      <c r="AZ1149" s="12"/>
      <c r="BA1149" s="12"/>
      <c r="BB1149" s="12"/>
      <c r="BC1149" s="12"/>
      <c r="BD1149" s="12"/>
      <c r="BE1149" s="12"/>
      <c r="BF1149" s="12"/>
      <c r="BG1149" s="12"/>
      <c r="BH1149" s="12"/>
      <c r="BI1149" s="12"/>
      <c r="BJ1149" s="12"/>
      <c r="BK1149" s="12"/>
      <c r="BL1149" s="12"/>
      <c r="BM1149" s="12"/>
      <c r="BN1149" s="12"/>
      <c r="BO1149" s="12"/>
      <c r="BP1149" s="12"/>
      <c r="BQ1149" s="12"/>
      <c r="BR1149" s="12"/>
      <c r="BS1149" s="12"/>
      <c r="BT1149" s="12"/>
    </row>
    <row r="1150" spans="1:72">
      <c r="A1150" s="2" t="s">
        <v>22383</v>
      </c>
      <c r="B1150" s="5" t="s">
        <v>22386</v>
      </c>
      <c r="C1150" s="3" t="s">
        <v>138</v>
      </c>
      <c r="D1150" s="4" t="s">
        <v>138</v>
      </c>
      <c r="E1150" s="15" t="s">
        <v>426</v>
      </c>
      <c r="F1150" s="15" t="s">
        <v>426</v>
      </c>
      <c r="G1150" s="15" t="s">
        <v>162</v>
      </c>
      <c r="H1150" s="7">
        <v>3</v>
      </c>
      <c r="I1150" s="6" t="s">
        <v>14231</v>
      </c>
      <c r="J1150" s="6" t="s">
        <v>28864</v>
      </c>
      <c r="K1150" s="6" t="s">
        <v>38371</v>
      </c>
      <c r="L1150" s="6" t="s">
        <v>38054</v>
      </c>
      <c r="M1150" s="6"/>
      <c r="N1150" s="6"/>
      <c r="O1150" s="6"/>
      <c r="P1150" s="6"/>
      <c r="Q1150" s="6"/>
      <c r="R1150" s="6"/>
      <c r="S1150" s="6"/>
      <c r="T1150" s="6"/>
      <c r="U1150" s="6"/>
      <c r="V1150" s="6"/>
      <c r="W1150" s="6"/>
      <c r="X1150" s="6"/>
      <c r="Y1150" s="6"/>
      <c r="Z1150" s="6"/>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6"/>
      <c r="AY1150" s="6"/>
      <c r="AZ1150" s="6"/>
      <c r="BA1150" s="6"/>
      <c r="BB1150" s="6"/>
      <c r="BC1150" s="6"/>
      <c r="BD1150" s="6"/>
      <c r="BE1150" s="6"/>
      <c r="BF1150" s="6"/>
      <c r="BG1150" s="6"/>
      <c r="BH1150" s="6"/>
      <c r="BI1150" s="6"/>
      <c r="BJ1150" s="6"/>
      <c r="BK1150" s="6"/>
      <c r="BL1150" s="6"/>
      <c r="BM1150" s="6"/>
      <c r="BN1150" s="6"/>
      <c r="BO1150" s="6"/>
      <c r="BP1150" s="6"/>
      <c r="BQ1150" s="6"/>
      <c r="BR1150" s="6"/>
      <c r="BS1150" s="6"/>
      <c r="BT1150" s="6"/>
    </row>
    <row r="1151" spans="1:72">
      <c r="A1151" s="8" t="s">
        <v>22392</v>
      </c>
      <c r="B1151" s="11" t="s">
        <v>22397</v>
      </c>
      <c r="C1151" s="9" t="s">
        <v>138</v>
      </c>
      <c r="D1151" s="10" t="s">
        <v>138</v>
      </c>
      <c r="E1151" s="28" t="s">
        <v>1516</v>
      </c>
      <c r="F1151" s="28" t="s">
        <v>284</v>
      </c>
      <c r="G1151" s="28" t="s">
        <v>162</v>
      </c>
      <c r="H1151" s="13">
        <v>8</v>
      </c>
      <c r="I1151" s="12" t="s">
        <v>22406</v>
      </c>
      <c r="J1151" s="12" t="s">
        <v>39050</v>
      </c>
      <c r="K1151" s="12" t="s">
        <v>43614</v>
      </c>
      <c r="L1151" s="12" t="s">
        <v>38950</v>
      </c>
      <c r="M1151" s="12" t="s">
        <v>38318</v>
      </c>
      <c r="N1151" s="12" t="s">
        <v>42706</v>
      </c>
      <c r="O1151" s="12" t="s">
        <v>40093</v>
      </c>
      <c r="P1151" s="12" t="s">
        <v>43615</v>
      </c>
      <c r="Q1151" s="12" t="s">
        <v>38337</v>
      </c>
      <c r="R1151" s="12"/>
      <c r="S1151" s="12"/>
      <c r="T1151" s="12"/>
      <c r="U1151" s="12"/>
      <c r="V1151" s="12"/>
      <c r="W1151" s="12"/>
      <c r="X1151" s="12"/>
      <c r="Y1151" s="12"/>
      <c r="Z1151" s="12"/>
      <c r="AA1151" s="12"/>
      <c r="AB1151" s="12"/>
      <c r="AC1151" s="12"/>
      <c r="AD1151" s="12"/>
      <c r="AE1151" s="12"/>
      <c r="AF1151" s="12"/>
      <c r="AG1151" s="12"/>
      <c r="AH1151" s="12"/>
      <c r="AI1151" s="12"/>
      <c r="AJ1151" s="12"/>
      <c r="AK1151" s="12"/>
      <c r="AL1151" s="12"/>
      <c r="AM1151" s="12"/>
      <c r="AN1151" s="12"/>
      <c r="AO1151" s="12"/>
      <c r="AP1151" s="12"/>
      <c r="AQ1151" s="12"/>
      <c r="AR1151" s="12"/>
      <c r="AS1151" s="12"/>
      <c r="AT1151" s="12"/>
      <c r="AU1151" s="12"/>
      <c r="AV1151" s="12"/>
      <c r="AW1151" s="12"/>
      <c r="AX1151" s="12"/>
      <c r="AY1151" s="12"/>
      <c r="AZ1151" s="12"/>
      <c r="BA1151" s="12"/>
      <c r="BB1151" s="12"/>
      <c r="BC1151" s="12"/>
      <c r="BD1151" s="12"/>
      <c r="BE1151" s="12"/>
      <c r="BF1151" s="12"/>
      <c r="BG1151" s="12"/>
      <c r="BH1151" s="12"/>
      <c r="BI1151" s="12"/>
      <c r="BJ1151" s="12"/>
      <c r="BK1151" s="12"/>
      <c r="BL1151" s="12"/>
      <c r="BM1151" s="12"/>
      <c r="BN1151" s="12"/>
      <c r="BO1151" s="12"/>
      <c r="BP1151" s="12"/>
      <c r="BQ1151" s="12"/>
      <c r="BR1151" s="12"/>
      <c r="BS1151" s="12"/>
      <c r="BT1151" s="12"/>
    </row>
    <row r="1152" spans="1:72">
      <c r="A1152" s="2" t="s">
        <v>22410</v>
      </c>
      <c r="B1152" s="5" t="s">
        <v>22415</v>
      </c>
      <c r="C1152" s="3" t="s">
        <v>138</v>
      </c>
      <c r="D1152" s="4" t="s">
        <v>22411</v>
      </c>
      <c r="E1152" s="15" t="s">
        <v>22423</v>
      </c>
      <c r="F1152" s="15" t="s">
        <v>10615</v>
      </c>
      <c r="G1152" s="15" t="s">
        <v>162</v>
      </c>
      <c r="H1152" s="7">
        <v>13</v>
      </c>
      <c r="I1152" s="6" t="s">
        <v>22428</v>
      </c>
      <c r="J1152" s="6" t="s">
        <v>38344</v>
      </c>
      <c r="K1152" s="6" t="s">
        <v>39031</v>
      </c>
      <c r="L1152" s="6" t="s">
        <v>37819</v>
      </c>
      <c r="M1152" s="6" t="s">
        <v>43616</v>
      </c>
      <c r="N1152" s="6" t="s">
        <v>43617</v>
      </c>
      <c r="O1152" s="6" t="s">
        <v>39153</v>
      </c>
      <c r="P1152" s="6" t="s">
        <v>38231</v>
      </c>
      <c r="Q1152" s="6" t="s">
        <v>38349</v>
      </c>
      <c r="R1152" s="6" t="s">
        <v>37776</v>
      </c>
      <c r="S1152" s="6" t="s">
        <v>43618</v>
      </c>
      <c r="T1152" s="6" t="s">
        <v>37788</v>
      </c>
      <c r="U1152" s="6" t="s">
        <v>43619</v>
      </c>
      <c r="V1152" s="6" t="s">
        <v>43620</v>
      </c>
      <c r="W1152" s="6"/>
      <c r="X1152" s="6"/>
      <c r="Y1152" s="6"/>
      <c r="Z1152" s="6"/>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6"/>
      <c r="AY1152" s="6"/>
      <c r="AZ1152" s="6"/>
      <c r="BA1152" s="6"/>
      <c r="BB1152" s="6"/>
      <c r="BC1152" s="6"/>
      <c r="BD1152" s="6"/>
      <c r="BE1152" s="6"/>
      <c r="BF1152" s="6"/>
      <c r="BG1152" s="6"/>
      <c r="BH1152" s="6"/>
      <c r="BI1152" s="6"/>
      <c r="BJ1152" s="6"/>
      <c r="BK1152" s="6"/>
      <c r="BL1152" s="6"/>
      <c r="BM1152" s="6"/>
      <c r="BN1152" s="6"/>
      <c r="BO1152" s="6"/>
      <c r="BP1152" s="6"/>
      <c r="BQ1152" s="6"/>
      <c r="BR1152" s="6"/>
      <c r="BS1152" s="6"/>
      <c r="BT1152" s="6"/>
    </row>
    <row r="1153" spans="1:72">
      <c r="A1153" s="8" t="s">
        <v>22433</v>
      </c>
      <c r="B1153" s="11" t="s">
        <v>22437</v>
      </c>
      <c r="C1153" s="9" t="s">
        <v>138</v>
      </c>
      <c r="D1153" s="10" t="s">
        <v>138</v>
      </c>
      <c r="E1153" s="28" t="s">
        <v>3907</v>
      </c>
      <c r="F1153" s="28" t="s">
        <v>2740</v>
      </c>
      <c r="G1153" s="28" t="s">
        <v>2742</v>
      </c>
      <c r="H1153" s="13">
        <v>4</v>
      </c>
      <c r="I1153" s="12" t="s">
        <v>22443</v>
      </c>
      <c r="J1153" s="12" t="s">
        <v>43621</v>
      </c>
      <c r="K1153" s="12" t="s">
        <v>43171</v>
      </c>
      <c r="L1153" s="12" t="s">
        <v>40247</v>
      </c>
      <c r="M1153" s="12" t="s">
        <v>38775</v>
      </c>
      <c r="N1153" s="12"/>
      <c r="O1153" s="12"/>
      <c r="P1153" s="12"/>
      <c r="Q1153" s="12"/>
      <c r="R1153" s="12"/>
      <c r="S1153" s="12"/>
      <c r="T1153" s="12"/>
      <c r="U1153" s="12"/>
      <c r="V1153" s="12"/>
      <c r="W1153" s="12"/>
      <c r="X1153" s="12"/>
      <c r="Y1153" s="12"/>
      <c r="Z1153" s="12"/>
      <c r="AA1153" s="12"/>
      <c r="AB1153" s="12"/>
      <c r="AC1153" s="12"/>
      <c r="AD1153" s="12"/>
      <c r="AE1153" s="12"/>
      <c r="AF1153" s="12"/>
      <c r="AG1153" s="12"/>
      <c r="AH1153" s="12"/>
      <c r="AI1153" s="12"/>
      <c r="AJ1153" s="12"/>
      <c r="AK1153" s="12"/>
      <c r="AL1153" s="12"/>
      <c r="AM1153" s="12"/>
      <c r="AN1153" s="12"/>
      <c r="AO1153" s="12"/>
      <c r="AP1153" s="12"/>
      <c r="AQ1153" s="12"/>
      <c r="AR1153" s="12"/>
      <c r="AS1153" s="12"/>
      <c r="AT1153" s="12"/>
      <c r="AU1153" s="12"/>
      <c r="AV1153" s="12"/>
      <c r="AW1153" s="12"/>
      <c r="AX1153" s="12"/>
      <c r="AY1153" s="12"/>
      <c r="AZ1153" s="12"/>
      <c r="BA1153" s="12"/>
      <c r="BB1153" s="12"/>
      <c r="BC1153" s="12"/>
      <c r="BD1153" s="12"/>
      <c r="BE1153" s="12"/>
      <c r="BF1153" s="12"/>
      <c r="BG1153" s="12"/>
      <c r="BH1153" s="12"/>
      <c r="BI1153" s="12"/>
      <c r="BJ1153" s="12"/>
      <c r="BK1153" s="12"/>
      <c r="BL1153" s="12"/>
      <c r="BM1153" s="12"/>
      <c r="BN1153" s="12"/>
      <c r="BO1153" s="12"/>
      <c r="BP1153" s="12"/>
      <c r="BQ1153" s="12"/>
      <c r="BR1153" s="12"/>
      <c r="BS1153" s="12"/>
      <c r="BT1153" s="12"/>
    </row>
    <row r="1154" spans="1:72">
      <c r="A1154" s="2" t="s">
        <v>22448</v>
      </c>
      <c r="B1154" s="5" t="s">
        <v>22452</v>
      </c>
      <c r="C1154" s="3" t="s">
        <v>138</v>
      </c>
      <c r="D1154" s="4" t="s">
        <v>138</v>
      </c>
      <c r="E1154" s="15" t="s">
        <v>966</v>
      </c>
      <c r="F1154" s="15" t="s">
        <v>200</v>
      </c>
      <c r="G1154" s="15" t="s">
        <v>162</v>
      </c>
      <c r="H1154" s="7">
        <v>13</v>
      </c>
      <c r="I1154" s="6" t="s">
        <v>22461</v>
      </c>
      <c r="J1154" s="6" t="s">
        <v>39772</v>
      </c>
      <c r="K1154" s="6" t="s">
        <v>43622</v>
      </c>
      <c r="L1154" s="6" t="s">
        <v>43623</v>
      </c>
      <c r="M1154" s="6" t="s">
        <v>38841</v>
      </c>
      <c r="N1154" s="6" t="s">
        <v>43624</v>
      </c>
      <c r="O1154" s="6" t="s">
        <v>37799</v>
      </c>
      <c r="P1154" s="6" t="s">
        <v>39893</v>
      </c>
      <c r="Q1154" s="6" t="s">
        <v>42960</v>
      </c>
      <c r="R1154" s="6" t="s">
        <v>37808</v>
      </c>
      <c r="S1154" s="6" t="s">
        <v>40717</v>
      </c>
      <c r="T1154" s="6" t="s">
        <v>40600</v>
      </c>
      <c r="U1154" s="6" t="s">
        <v>40644</v>
      </c>
      <c r="V1154" s="6" t="s">
        <v>37976</v>
      </c>
      <c r="W1154" s="6"/>
      <c r="X1154" s="6"/>
      <c r="Y1154" s="6"/>
      <c r="Z1154" s="6"/>
      <c r="AA1154" s="6"/>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6"/>
      <c r="AY1154" s="6"/>
      <c r="AZ1154" s="6"/>
      <c r="BA1154" s="6"/>
      <c r="BB1154" s="6"/>
      <c r="BC1154" s="6"/>
      <c r="BD1154" s="6"/>
      <c r="BE1154" s="6"/>
      <c r="BF1154" s="6"/>
      <c r="BG1154" s="6"/>
      <c r="BH1154" s="6"/>
      <c r="BI1154" s="6"/>
      <c r="BJ1154" s="6"/>
      <c r="BK1154" s="6"/>
      <c r="BL1154" s="6"/>
      <c r="BM1154" s="6"/>
      <c r="BN1154" s="6"/>
      <c r="BO1154" s="6"/>
      <c r="BP1154" s="6"/>
      <c r="BQ1154" s="6"/>
      <c r="BR1154" s="6"/>
      <c r="BS1154" s="6"/>
      <c r="BT1154" s="6"/>
    </row>
    <row r="1155" spans="1:72">
      <c r="A1155" s="8" t="s">
        <v>22466</v>
      </c>
      <c r="B1155" s="11" t="s">
        <v>22470</v>
      </c>
      <c r="C1155" s="9" t="s">
        <v>138</v>
      </c>
      <c r="D1155" s="10" t="s">
        <v>138</v>
      </c>
      <c r="E1155" s="28" t="s">
        <v>668</v>
      </c>
      <c r="F1155" s="28" t="s">
        <v>200</v>
      </c>
      <c r="G1155" s="28" t="s">
        <v>162</v>
      </c>
      <c r="H1155" s="13">
        <v>42</v>
      </c>
      <c r="I1155" s="12" t="s">
        <v>22478</v>
      </c>
      <c r="J1155" s="12" t="s">
        <v>37933</v>
      </c>
      <c r="K1155" s="12" t="s">
        <v>40194</v>
      </c>
      <c r="L1155" s="12" t="s">
        <v>37936</v>
      </c>
      <c r="M1155" s="12" t="s">
        <v>40151</v>
      </c>
      <c r="N1155" s="12" t="s">
        <v>37832</v>
      </c>
      <c r="O1155" s="12" t="s">
        <v>40196</v>
      </c>
      <c r="P1155" s="12" t="s">
        <v>43625</v>
      </c>
      <c r="Q1155" s="12" t="s">
        <v>41828</v>
      </c>
      <c r="R1155" s="12" t="s">
        <v>37819</v>
      </c>
      <c r="S1155" s="12" t="s">
        <v>43626</v>
      </c>
      <c r="T1155" s="12" t="s">
        <v>38635</v>
      </c>
      <c r="U1155" s="12" t="s">
        <v>37799</v>
      </c>
      <c r="V1155" s="12" t="s">
        <v>39389</v>
      </c>
      <c r="W1155" s="12" t="s">
        <v>37948</v>
      </c>
      <c r="X1155" s="12" t="s">
        <v>43627</v>
      </c>
      <c r="Y1155" s="12" t="s">
        <v>37950</v>
      </c>
      <c r="Z1155" s="12" t="s">
        <v>43628</v>
      </c>
      <c r="AA1155" s="12" t="s">
        <v>37775</v>
      </c>
      <c r="AB1155" s="12" t="s">
        <v>40669</v>
      </c>
      <c r="AC1155" s="12" t="s">
        <v>37786</v>
      </c>
      <c r="AD1155" s="12" t="s">
        <v>37952</v>
      </c>
      <c r="AE1155" s="12" t="s">
        <v>41766</v>
      </c>
      <c r="AF1155" s="12" t="s">
        <v>37960</v>
      </c>
      <c r="AG1155" s="12" t="s">
        <v>38062</v>
      </c>
      <c r="AH1155" s="12" t="s">
        <v>37961</v>
      </c>
      <c r="AI1155" s="12" t="s">
        <v>38688</v>
      </c>
      <c r="AJ1155" s="12" t="s">
        <v>38430</v>
      </c>
      <c r="AK1155" s="12" t="s">
        <v>37997</v>
      </c>
      <c r="AL1155" s="12" t="s">
        <v>37803</v>
      </c>
      <c r="AM1155" s="12" t="s">
        <v>38981</v>
      </c>
      <c r="AN1155" s="12" t="s">
        <v>37805</v>
      </c>
      <c r="AO1155" s="12" t="s">
        <v>39297</v>
      </c>
      <c r="AP1155" s="12" t="s">
        <v>40810</v>
      </c>
      <c r="AQ1155" s="12" t="s">
        <v>37783</v>
      </c>
      <c r="AR1155" s="12" t="s">
        <v>37973</v>
      </c>
      <c r="AS1155" s="12" t="s">
        <v>37885</v>
      </c>
      <c r="AT1155" s="12" t="s">
        <v>38753</v>
      </c>
      <c r="AU1155" s="12" t="s">
        <v>41337</v>
      </c>
      <c r="AV1155" s="12" t="s">
        <v>43629</v>
      </c>
      <c r="AW1155" s="12" t="s">
        <v>40741</v>
      </c>
      <c r="AX1155" s="12" t="s">
        <v>43630</v>
      </c>
      <c r="AY1155" s="12" t="s">
        <v>37976</v>
      </c>
      <c r="AZ1155" s="12"/>
      <c r="BA1155" s="12"/>
      <c r="BB1155" s="12"/>
      <c r="BC1155" s="12"/>
      <c r="BD1155" s="12"/>
      <c r="BE1155" s="12"/>
      <c r="BF1155" s="12"/>
      <c r="BG1155" s="12"/>
      <c r="BH1155" s="12"/>
      <c r="BI1155" s="12"/>
      <c r="BJ1155" s="12"/>
      <c r="BK1155" s="12"/>
      <c r="BL1155" s="12"/>
      <c r="BM1155" s="12"/>
      <c r="BN1155" s="12"/>
      <c r="BO1155" s="12"/>
      <c r="BP1155" s="12"/>
      <c r="BQ1155" s="12"/>
      <c r="BR1155" s="12"/>
      <c r="BS1155" s="12"/>
      <c r="BT1155" s="12"/>
    </row>
    <row r="1156" spans="1:72">
      <c r="A1156" s="2" t="s">
        <v>22482</v>
      </c>
      <c r="B1156" s="5" t="s">
        <v>22487</v>
      </c>
      <c r="C1156" s="3" t="s">
        <v>22483</v>
      </c>
      <c r="D1156" s="4" t="s">
        <v>138</v>
      </c>
      <c r="E1156" s="15" t="s">
        <v>1294</v>
      </c>
      <c r="F1156" s="15" t="s">
        <v>864</v>
      </c>
      <c r="G1156" s="15" t="s">
        <v>162</v>
      </c>
      <c r="H1156" s="7">
        <v>14</v>
      </c>
      <c r="I1156" s="6" t="s">
        <v>22497</v>
      </c>
      <c r="J1156" s="6" t="s">
        <v>38519</v>
      </c>
      <c r="K1156" s="6" t="s">
        <v>38520</v>
      </c>
      <c r="L1156" s="6" t="s">
        <v>38075</v>
      </c>
      <c r="M1156" s="6" t="s">
        <v>38177</v>
      </c>
      <c r="N1156" s="6" t="s">
        <v>43631</v>
      </c>
      <c r="O1156" s="6" t="s">
        <v>38076</v>
      </c>
      <c r="P1156" s="6" t="s">
        <v>43632</v>
      </c>
      <c r="Q1156" s="6" t="s">
        <v>43633</v>
      </c>
      <c r="R1156" s="6" t="s">
        <v>43634</v>
      </c>
      <c r="S1156" s="6" t="s">
        <v>38528</v>
      </c>
      <c r="T1156" s="6" t="s">
        <v>37781</v>
      </c>
      <c r="U1156" s="6" t="s">
        <v>43635</v>
      </c>
      <c r="V1156" s="6" t="s">
        <v>41203</v>
      </c>
      <c r="W1156" s="6" t="s">
        <v>38536</v>
      </c>
      <c r="X1156" s="6"/>
      <c r="Y1156" s="6"/>
      <c r="Z1156" s="6"/>
      <c r="AA1156" s="6"/>
      <c r="AB1156" s="6"/>
      <c r="AC1156" s="6"/>
      <c r="AD1156" s="6"/>
      <c r="AE1156" s="6"/>
      <c r="AF1156" s="6"/>
      <c r="AG1156" s="6"/>
      <c r="AH1156" s="6"/>
      <c r="AI1156" s="6"/>
      <c r="AJ1156" s="6"/>
      <c r="AK1156" s="6"/>
      <c r="AL1156" s="6"/>
      <c r="AM1156" s="6"/>
      <c r="AN1156" s="6"/>
      <c r="AO1156" s="6"/>
      <c r="AP1156" s="6"/>
      <c r="AQ1156" s="6"/>
      <c r="AR1156" s="6"/>
      <c r="AS1156" s="6"/>
      <c r="AT1156" s="6"/>
      <c r="AU1156" s="6"/>
      <c r="AV1156" s="6"/>
      <c r="AW1156" s="6"/>
      <c r="AX1156" s="6"/>
      <c r="AY1156" s="6"/>
      <c r="AZ1156" s="6"/>
      <c r="BA1156" s="6"/>
      <c r="BB1156" s="6"/>
      <c r="BC1156" s="6"/>
      <c r="BD1156" s="6"/>
      <c r="BE1156" s="6"/>
      <c r="BF1156" s="6"/>
      <c r="BG1156" s="6"/>
      <c r="BH1156" s="6"/>
      <c r="BI1156" s="6"/>
      <c r="BJ1156" s="6"/>
      <c r="BK1156" s="6"/>
      <c r="BL1156" s="6"/>
      <c r="BM1156" s="6"/>
      <c r="BN1156" s="6"/>
      <c r="BO1156" s="6"/>
      <c r="BP1156" s="6"/>
      <c r="BQ1156" s="6"/>
      <c r="BR1156" s="6"/>
      <c r="BS1156" s="6"/>
      <c r="BT1156" s="6"/>
    </row>
    <row r="1157" spans="1:72">
      <c r="A1157" s="8" t="s">
        <v>22501</v>
      </c>
      <c r="B1157" s="11" t="s">
        <v>22505</v>
      </c>
      <c r="C1157" s="9" t="s">
        <v>138</v>
      </c>
      <c r="D1157" s="10" t="s">
        <v>138</v>
      </c>
      <c r="E1157" s="28" t="s">
        <v>22513</v>
      </c>
      <c r="F1157" s="28" t="s">
        <v>3883</v>
      </c>
      <c r="G1157" s="28" t="s">
        <v>162</v>
      </c>
      <c r="H1157" s="13">
        <v>14</v>
      </c>
      <c r="I1157" s="12" t="s">
        <v>22516</v>
      </c>
      <c r="J1157" s="12" t="s">
        <v>38930</v>
      </c>
      <c r="K1157" s="12" t="s">
        <v>37943</v>
      </c>
      <c r="L1157" s="12" t="s">
        <v>39640</v>
      </c>
      <c r="M1157" s="12" t="s">
        <v>39117</v>
      </c>
      <c r="N1157" s="12" t="s">
        <v>43636</v>
      </c>
      <c r="O1157" s="12" t="s">
        <v>40705</v>
      </c>
      <c r="P1157" s="12" t="s">
        <v>38062</v>
      </c>
      <c r="Q1157" s="12" t="s">
        <v>39739</v>
      </c>
      <c r="R1157" s="12" t="s">
        <v>40910</v>
      </c>
      <c r="S1157" s="12" t="s">
        <v>39081</v>
      </c>
      <c r="T1157" s="12" t="s">
        <v>37781</v>
      </c>
      <c r="U1157" s="12" t="s">
        <v>38479</v>
      </c>
      <c r="V1157" s="12" t="s">
        <v>38728</v>
      </c>
      <c r="W1157" s="12" t="s">
        <v>41870</v>
      </c>
      <c r="X1157" s="12"/>
      <c r="Y1157" s="12"/>
      <c r="Z1157" s="12"/>
      <c r="AA1157" s="12"/>
      <c r="AB1157" s="12"/>
      <c r="AC1157" s="12"/>
      <c r="AD1157" s="12"/>
      <c r="AE1157" s="12"/>
      <c r="AF1157" s="12"/>
      <c r="AG1157" s="12"/>
      <c r="AH1157" s="12"/>
      <c r="AI1157" s="12"/>
      <c r="AJ1157" s="12"/>
      <c r="AK1157" s="12"/>
      <c r="AL1157" s="12"/>
      <c r="AM1157" s="12"/>
      <c r="AN1157" s="12"/>
      <c r="AO1157" s="12"/>
      <c r="AP1157" s="12"/>
      <c r="AQ1157" s="12"/>
      <c r="AR1157" s="12"/>
      <c r="AS1157" s="12"/>
      <c r="AT1157" s="12"/>
      <c r="AU1157" s="12"/>
      <c r="AV1157" s="12"/>
      <c r="AW1157" s="12"/>
      <c r="AX1157" s="12"/>
      <c r="AY1157" s="12"/>
      <c r="AZ1157" s="12"/>
      <c r="BA1157" s="12"/>
      <c r="BB1157" s="12"/>
      <c r="BC1157" s="12"/>
      <c r="BD1157" s="12"/>
      <c r="BE1157" s="12"/>
      <c r="BF1157" s="12"/>
      <c r="BG1157" s="12"/>
      <c r="BH1157" s="12"/>
      <c r="BI1157" s="12"/>
      <c r="BJ1157" s="12"/>
      <c r="BK1157" s="12"/>
      <c r="BL1157" s="12"/>
      <c r="BM1157" s="12"/>
      <c r="BN1157" s="12"/>
      <c r="BO1157" s="12"/>
      <c r="BP1157" s="12"/>
      <c r="BQ1157" s="12"/>
      <c r="BR1157" s="12"/>
      <c r="BS1157" s="12"/>
      <c r="BT1157" s="12"/>
    </row>
    <row r="1158" spans="1:72">
      <c r="A1158" s="2" t="s">
        <v>22519</v>
      </c>
      <c r="B1158" s="5" t="s">
        <v>22524</v>
      </c>
      <c r="C1158" s="3" t="s">
        <v>138</v>
      </c>
      <c r="D1158" s="4" t="s">
        <v>138</v>
      </c>
      <c r="E1158" s="15" t="s">
        <v>22532</v>
      </c>
      <c r="F1158" s="15" t="s">
        <v>284</v>
      </c>
      <c r="G1158" s="15" t="s">
        <v>162</v>
      </c>
      <c r="H1158" s="7">
        <v>15</v>
      </c>
      <c r="I1158" s="6" t="s">
        <v>22536</v>
      </c>
      <c r="J1158" s="6" t="s">
        <v>43637</v>
      </c>
      <c r="K1158" s="6" t="s">
        <v>39385</v>
      </c>
      <c r="L1158" s="6" t="s">
        <v>39908</v>
      </c>
      <c r="M1158" s="6" t="s">
        <v>37987</v>
      </c>
      <c r="N1158" s="6" t="s">
        <v>37787</v>
      </c>
      <c r="O1158" s="6" t="s">
        <v>42201</v>
      </c>
      <c r="P1158" s="6" t="s">
        <v>38062</v>
      </c>
      <c r="Q1158" s="6" t="s">
        <v>38688</v>
      </c>
      <c r="R1158" s="6" t="s">
        <v>37931</v>
      </c>
      <c r="S1158" s="6" t="s">
        <v>42188</v>
      </c>
      <c r="T1158" s="6" t="s">
        <v>40922</v>
      </c>
      <c r="U1158" s="6" t="s">
        <v>43638</v>
      </c>
      <c r="V1158" s="6" t="s">
        <v>38479</v>
      </c>
      <c r="W1158" s="6" t="s">
        <v>41747</v>
      </c>
      <c r="X1158" s="6" t="s">
        <v>37975</v>
      </c>
      <c r="Y1158" s="6"/>
      <c r="Z1158" s="6"/>
      <c r="AA1158" s="6"/>
      <c r="AB1158" s="6"/>
      <c r="AC1158" s="6"/>
      <c r="AD1158" s="6"/>
      <c r="AE1158" s="6"/>
      <c r="AF1158" s="6"/>
      <c r="AG1158" s="6"/>
      <c r="AH1158" s="6"/>
      <c r="AI1158" s="6"/>
      <c r="AJ1158" s="6"/>
      <c r="AK1158" s="6"/>
      <c r="AL1158" s="6"/>
      <c r="AM1158" s="6"/>
      <c r="AN1158" s="6"/>
      <c r="AO1158" s="6"/>
      <c r="AP1158" s="6"/>
      <c r="AQ1158" s="6"/>
      <c r="AR1158" s="6"/>
      <c r="AS1158" s="6"/>
      <c r="AT1158" s="6"/>
      <c r="AU1158" s="6"/>
      <c r="AV1158" s="6"/>
      <c r="AW1158" s="6"/>
      <c r="AX1158" s="6"/>
      <c r="AY1158" s="6"/>
      <c r="AZ1158" s="6"/>
      <c r="BA1158" s="6"/>
      <c r="BB1158" s="6"/>
      <c r="BC1158" s="6"/>
      <c r="BD1158" s="6"/>
      <c r="BE1158" s="6"/>
      <c r="BF1158" s="6"/>
      <c r="BG1158" s="6"/>
      <c r="BH1158" s="6"/>
      <c r="BI1158" s="6"/>
      <c r="BJ1158" s="6"/>
      <c r="BK1158" s="6"/>
      <c r="BL1158" s="6"/>
      <c r="BM1158" s="6"/>
      <c r="BN1158" s="6"/>
      <c r="BO1158" s="6"/>
      <c r="BP1158" s="6"/>
      <c r="BQ1158" s="6"/>
      <c r="BR1158" s="6"/>
      <c r="BS1158" s="6"/>
      <c r="BT1158" s="6"/>
    </row>
    <row r="1159" spans="1:72">
      <c r="A1159" s="8" t="s">
        <v>22541</v>
      </c>
      <c r="B1159" s="11" t="s">
        <v>22546</v>
      </c>
      <c r="C1159" s="9" t="s">
        <v>138</v>
      </c>
      <c r="D1159" s="10" t="s">
        <v>138</v>
      </c>
      <c r="E1159" s="28" t="s">
        <v>22555</v>
      </c>
      <c r="F1159" s="28" t="s">
        <v>2031</v>
      </c>
      <c r="G1159" s="28" t="s">
        <v>162</v>
      </c>
      <c r="H1159" s="13">
        <v>9</v>
      </c>
      <c r="I1159" s="12" t="s">
        <v>22559</v>
      </c>
      <c r="J1159" s="12" t="s">
        <v>40476</v>
      </c>
      <c r="K1159" s="12" t="s">
        <v>39314</v>
      </c>
      <c r="L1159" s="12" t="s">
        <v>42703</v>
      </c>
      <c r="M1159" s="12" t="s">
        <v>37787</v>
      </c>
      <c r="N1159" s="12" t="s">
        <v>43639</v>
      </c>
      <c r="O1159" s="12" t="s">
        <v>43640</v>
      </c>
      <c r="P1159" s="12" t="s">
        <v>43641</v>
      </c>
      <c r="Q1159" s="12" t="s">
        <v>38200</v>
      </c>
      <c r="R1159" s="12" t="s">
        <v>43642</v>
      </c>
      <c r="S1159" s="12"/>
      <c r="T1159" s="12"/>
      <c r="U1159" s="12"/>
      <c r="V1159" s="12"/>
      <c r="W1159" s="12"/>
      <c r="X1159" s="12"/>
      <c r="Y1159" s="12"/>
      <c r="Z1159" s="12"/>
      <c r="AA1159" s="12"/>
      <c r="AB1159" s="12"/>
      <c r="AC1159" s="12"/>
      <c r="AD1159" s="12"/>
      <c r="AE1159" s="12"/>
      <c r="AF1159" s="12"/>
      <c r="AG1159" s="12"/>
      <c r="AH1159" s="12"/>
      <c r="AI1159" s="12"/>
      <c r="AJ1159" s="12"/>
      <c r="AK1159" s="12"/>
      <c r="AL1159" s="12"/>
      <c r="AM1159" s="12"/>
      <c r="AN1159" s="12"/>
      <c r="AO1159" s="12"/>
      <c r="AP1159" s="12"/>
      <c r="AQ1159" s="12"/>
      <c r="AR1159" s="12"/>
      <c r="AS1159" s="12"/>
      <c r="AT1159" s="12"/>
      <c r="AU1159" s="12"/>
      <c r="AV1159" s="12"/>
      <c r="AW1159" s="12"/>
      <c r="AX1159" s="12"/>
      <c r="AY1159" s="12"/>
      <c r="AZ1159" s="12"/>
      <c r="BA1159" s="12"/>
      <c r="BB1159" s="12"/>
      <c r="BC1159" s="12"/>
      <c r="BD1159" s="12"/>
      <c r="BE1159" s="12"/>
      <c r="BF1159" s="12"/>
      <c r="BG1159" s="12"/>
      <c r="BH1159" s="12"/>
      <c r="BI1159" s="12"/>
      <c r="BJ1159" s="12"/>
      <c r="BK1159" s="12"/>
      <c r="BL1159" s="12"/>
      <c r="BM1159" s="12"/>
      <c r="BN1159" s="12"/>
      <c r="BO1159" s="12"/>
      <c r="BP1159" s="12"/>
      <c r="BQ1159" s="12"/>
      <c r="BR1159" s="12"/>
      <c r="BS1159" s="12"/>
      <c r="BT1159" s="12"/>
    </row>
    <row r="1160" spans="1:72">
      <c r="A1160" s="2" t="s">
        <v>22564</v>
      </c>
      <c r="B1160" s="5" t="s">
        <v>22570</v>
      </c>
      <c r="C1160" s="3" t="s">
        <v>138</v>
      </c>
      <c r="D1160" s="4" t="s">
        <v>138</v>
      </c>
      <c r="E1160" s="15" t="s">
        <v>1460</v>
      </c>
      <c r="F1160" s="15" t="s">
        <v>474</v>
      </c>
      <c r="G1160" s="15" t="s">
        <v>162</v>
      </c>
      <c r="H1160" s="7">
        <v>5</v>
      </c>
      <c r="I1160" s="6" t="s">
        <v>22580</v>
      </c>
      <c r="J1160" s="6" t="s">
        <v>43643</v>
      </c>
      <c r="K1160" s="6" t="s">
        <v>38882</v>
      </c>
      <c r="L1160" s="6" t="s">
        <v>43147</v>
      </c>
      <c r="M1160" s="6" t="s">
        <v>40110</v>
      </c>
      <c r="N1160" s="6" t="s">
        <v>38363</v>
      </c>
      <c r="O1160" s="6"/>
      <c r="P1160" s="6"/>
      <c r="Q1160" s="6"/>
      <c r="R1160" s="6"/>
      <c r="S1160" s="6"/>
      <c r="T1160" s="6"/>
      <c r="U1160" s="6"/>
      <c r="V1160" s="6"/>
      <c r="W1160" s="6"/>
      <c r="X1160" s="6"/>
      <c r="Y1160" s="6"/>
      <c r="Z1160" s="6"/>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6"/>
      <c r="AY1160" s="6"/>
      <c r="AZ1160" s="6"/>
      <c r="BA1160" s="6"/>
      <c r="BB1160" s="6"/>
      <c r="BC1160" s="6"/>
      <c r="BD1160" s="6"/>
      <c r="BE1160" s="6"/>
      <c r="BF1160" s="6"/>
      <c r="BG1160" s="6"/>
      <c r="BH1160" s="6"/>
      <c r="BI1160" s="6"/>
      <c r="BJ1160" s="6"/>
      <c r="BK1160" s="6"/>
      <c r="BL1160" s="6"/>
      <c r="BM1160" s="6"/>
      <c r="BN1160" s="6"/>
      <c r="BO1160" s="6"/>
      <c r="BP1160" s="6"/>
      <c r="BQ1160" s="6"/>
      <c r="BR1160" s="6"/>
      <c r="BS1160" s="6"/>
      <c r="BT1160" s="6"/>
    </row>
    <row r="1161" spans="1:72">
      <c r="A1161" s="8" t="s">
        <v>22583</v>
      </c>
      <c r="B1161" s="11" t="s">
        <v>22589</v>
      </c>
      <c r="C1161" s="9" t="s">
        <v>138</v>
      </c>
      <c r="D1161" s="10" t="s">
        <v>22584</v>
      </c>
      <c r="E1161" s="28" t="s">
        <v>22599</v>
      </c>
      <c r="F1161" s="28" t="s">
        <v>138</v>
      </c>
      <c r="G1161" s="28" t="s">
        <v>740</v>
      </c>
      <c r="H1161" s="13">
        <v>19</v>
      </c>
      <c r="I1161" s="12" t="s">
        <v>22603</v>
      </c>
      <c r="J1161" s="12" t="s">
        <v>43644</v>
      </c>
      <c r="K1161" s="12" t="s">
        <v>41549</v>
      </c>
      <c r="L1161" s="12" t="s">
        <v>39131</v>
      </c>
      <c r="M1161" s="12" t="s">
        <v>43645</v>
      </c>
      <c r="N1161" s="12" t="s">
        <v>43646</v>
      </c>
      <c r="O1161" s="12" t="s">
        <v>43647</v>
      </c>
      <c r="P1161" s="12" t="s">
        <v>42989</v>
      </c>
      <c r="Q1161" s="12" t="s">
        <v>43648</v>
      </c>
      <c r="R1161" s="12" t="s">
        <v>39138</v>
      </c>
      <c r="S1161" s="12" t="s">
        <v>39676</v>
      </c>
      <c r="T1161" s="12" t="s">
        <v>39690</v>
      </c>
      <c r="U1161" s="12" t="s">
        <v>43649</v>
      </c>
      <c r="V1161" s="12" t="s">
        <v>43650</v>
      </c>
      <c r="W1161" s="12" t="s">
        <v>37998</v>
      </c>
      <c r="X1161" s="12" t="s">
        <v>37770</v>
      </c>
      <c r="Y1161" s="12" t="s">
        <v>43651</v>
      </c>
      <c r="Z1161" s="12" t="s">
        <v>40904</v>
      </c>
      <c r="AA1161" s="12" t="s">
        <v>38626</v>
      </c>
      <c r="AB1161" s="12" t="s">
        <v>42119</v>
      </c>
      <c r="AC1161" s="12"/>
      <c r="AD1161" s="12"/>
      <c r="AE1161" s="12"/>
      <c r="AF1161" s="12"/>
      <c r="AG1161" s="12"/>
      <c r="AH1161" s="12"/>
      <c r="AI1161" s="12"/>
      <c r="AJ1161" s="12"/>
      <c r="AK1161" s="12"/>
      <c r="AL1161" s="12"/>
      <c r="AM1161" s="12"/>
      <c r="AN1161" s="12"/>
      <c r="AO1161" s="12"/>
      <c r="AP1161" s="12"/>
      <c r="AQ1161" s="12"/>
      <c r="AR1161" s="12"/>
      <c r="AS1161" s="12"/>
      <c r="AT1161" s="12"/>
      <c r="AU1161" s="12"/>
      <c r="AV1161" s="12"/>
      <c r="AW1161" s="12"/>
      <c r="AX1161" s="12"/>
      <c r="AY1161" s="12"/>
      <c r="AZ1161" s="12"/>
      <c r="BA1161" s="12"/>
      <c r="BB1161" s="12"/>
      <c r="BC1161" s="12"/>
      <c r="BD1161" s="12"/>
      <c r="BE1161" s="12"/>
      <c r="BF1161" s="12"/>
      <c r="BG1161" s="12"/>
      <c r="BH1161" s="12"/>
      <c r="BI1161" s="12"/>
      <c r="BJ1161" s="12"/>
      <c r="BK1161" s="12"/>
      <c r="BL1161" s="12"/>
      <c r="BM1161" s="12"/>
      <c r="BN1161" s="12"/>
      <c r="BO1161" s="12"/>
      <c r="BP1161" s="12"/>
      <c r="BQ1161" s="12"/>
      <c r="BR1161" s="12"/>
      <c r="BS1161" s="12"/>
      <c r="BT1161" s="12"/>
    </row>
    <row r="1162" spans="1:72">
      <c r="A1162" s="2" t="s">
        <v>22607</v>
      </c>
      <c r="B1162" s="5" t="s">
        <v>22612</v>
      </c>
      <c r="C1162" s="3" t="s">
        <v>138</v>
      </c>
      <c r="D1162" s="4" t="s">
        <v>22608</v>
      </c>
      <c r="E1162" s="15" t="s">
        <v>426</v>
      </c>
      <c r="F1162" s="15" t="s">
        <v>426</v>
      </c>
      <c r="G1162" s="15" t="s">
        <v>162</v>
      </c>
      <c r="H1162" s="7">
        <v>10</v>
      </c>
      <c r="I1162" s="6" t="s">
        <v>22622</v>
      </c>
      <c r="J1162" s="6" t="s">
        <v>43652</v>
      </c>
      <c r="K1162" s="6" t="s">
        <v>38299</v>
      </c>
      <c r="L1162" s="6" t="s">
        <v>40657</v>
      </c>
      <c r="M1162" s="6" t="s">
        <v>39135</v>
      </c>
      <c r="N1162" s="6" t="s">
        <v>43486</v>
      </c>
      <c r="O1162" s="6" t="s">
        <v>37786</v>
      </c>
      <c r="P1162" s="6" t="s">
        <v>43653</v>
      </c>
      <c r="Q1162" s="6" t="s">
        <v>38919</v>
      </c>
      <c r="R1162" s="6" t="s">
        <v>41631</v>
      </c>
      <c r="S1162" s="6" t="s">
        <v>40132</v>
      </c>
      <c r="T1162" s="6"/>
      <c r="U1162" s="6"/>
      <c r="V1162" s="6"/>
      <c r="W1162" s="6"/>
      <c r="X1162" s="6"/>
      <c r="Y1162" s="6"/>
      <c r="Z1162" s="6"/>
      <c r="AA1162" s="6"/>
      <c r="AB1162" s="6"/>
      <c r="AC1162" s="6"/>
      <c r="AD1162" s="6"/>
      <c r="AE1162" s="6"/>
      <c r="AF1162" s="6"/>
      <c r="AG1162" s="6"/>
      <c r="AH1162" s="6"/>
      <c r="AI1162" s="6"/>
      <c r="AJ1162" s="6"/>
      <c r="AK1162" s="6"/>
      <c r="AL1162" s="6"/>
      <c r="AM1162" s="6"/>
      <c r="AN1162" s="6"/>
      <c r="AO1162" s="6"/>
      <c r="AP1162" s="6"/>
      <c r="AQ1162" s="6"/>
      <c r="AR1162" s="6"/>
      <c r="AS1162" s="6"/>
      <c r="AT1162" s="6"/>
      <c r="AU1162" s="6"/>
      <c r="AV1162" s="6"/>
      <c r="AW1162" s="6"/>
      <c r="AX1162" s="6"/>
      <c r="AY1162" s="6"/>
      <c r="AZ1162" s="6"/>
      <c r="BA1162" s="6"/>
      <c r="BB1162" s="6"/>
      <c r="BC1162" s="6"/>
      <c r="BD1162" s="6"/>
      <c r="BE1162" s="6"/>
      <c r="BF1162" s="6"/>
      <c r="BG1162" s="6"/>
      <c r="BH1162" s="6"/>
      <c r="BI1162" s="6"/>
      <c r="BJ1162" s="6"/>
      <c r="BK1162" s="6"/>
      <c r="BL1162" s="6"/>
      <c r="BM1162" s="6"/>
      <c r="BN1162" s="6"/>
      <c r="BO1162" s="6"/>
      <c r="BP1162" s="6"/>
      <c r="BQ1162" s="6"/>
      <c r="BR1162" s="6"/>
      <c r="BS1162" s="6"/>
      <c r="BT1162" s="6"/>
    </row>
    <row r="1163" spans="1:72">
      <c r="A1163" s="8" t="s">
        <v>22626</v>
      </c>
      <c r="B1163" s="11" t="s">
        <v>22632</v>
      </c>
      <c r="C1163" s="9" t="s">
        <v>138</v>
      </c>
      <c r="D1163" s="10" t="s">
        <v>138</v>
      </c>
      <c r="E1163" s="28" t="s">
        <v>1198</v>
      </c>
      <c r="F1163" s="28" t="s">
        <v>138</v>
      </c>
      <c r="G1163" s="28" t="s">
        <v>1200</v>
      </c>
      <c r="H1163" s="13">
        <v>3</v>
      </c>
      <c r="I1163" s="12" t="s">
        <v>22642</v>
      </c>
      <c r="J1163" s="12" t="s">
        <v>8682</v>
      </c>
      <c r="K1163" s="12" t="s">
        <v>39196</v>
      </c>
      <c r="L1163" s="12" t="s">
        <v>37781</v>
      </c>
      <c r="M1163" s="12"/>
      <c r="N1163" s="12"/>
      <c r="O1163" s="12"/>
      <c r="P1163" s="12"/>
      <c r="Q1163" s="12"/>
      <c r="R1163" s="12"/>
      <c r="S1163" s="12"/>
      <c r="T1163" s="12"/>
      <c r="U1163" s="12"/>
      <c r="V1163" s="12"/>
      <c r="W1163" s="12"/>
      <c r="X1163" s="12"/>
      <c r="Y1163" s="12"/>
      <c r="Z1163" s="12"/>
      <c r="AA1163" s="12"/>
      <c r="AB1163" s="12"/>
      <c r="AC1163" s="12"/>
      <c r="AD1163" s="12"/>
      <c r="AE1163" s="12"/>
      <c r="AF1163" s="12"/>
      <c r="AG1163" s="12"/>
      <c r="AH1163" s="12"/>
      <c r="AI1163" s="12"/>
      <c r="AJ1163" s="12"/>
      <c r="AK1163" s="12"/>
      <c r="AL1163" s="12"/>
      <c r="AM1163" s="12"/>
      <c r="AN1163" s="12"/>
      <c r="AO1163" s="12"/>
      <c r="AP1163" s="12"/>
      <c r="AQ1163" s="12"/>
      <c r="AR1163" s="12"/>
      <c r="AS1163" s="12"/>
      <c r="AT1163" s="12"/>
      <c r="AU1163" s="12"/>
      <c r="AV1163" s="12"/>
      <c r="AW1163" s="12"/>
      <c r="AX1163" s="12"/>
      <c r="AY1163" s="12"/>
      <c r="AZ1163" s="12"/>
      <c r="BA1163" s="12"/>
      <c r="BB1163" s="12"/>
      <c r="BC1163" s="12"/>
      <c r="BD1163" s="12"/>
      <c r="BE1163" s="12"/>
      <c r="BF1163" s="12"/>
      <c r="BG1163" s="12"/>
      <c r="BH1163" s="12"/>
      <c r="BI1163" s="12"/>
      <c r="BJ1163" s="12"/>
      <c r="BK1163" s="12"/>
      <c r="BL1163" s="12"/>
      <c r="BM1163" s="12"/>
      <c r="BN1163" s="12"/>
      <c r="BO1163" s="12"/>
      <c r="BP1163" s="12"/>
      <c r="BQ1163" s="12"/>
      <c r="BR1163" s="12"/>
      <c r="BS1163" s="12"/>
      <c r="BT1163" s="12"/>
    </row>
    <row r="1164" spans="1:72">
      <c r="A1164" s="2" t="s">
        <v>22645</v>
      </c>
      <c r="B1164" s="5" t="s">
        <v>22649</v>
      </c>
      <c r="C1164" s="3" t="s">
        <v>138</v>
      </c>
      <c r="D1164" s="4" t="s">
        <v>138</v>
      </c>
      <c r="E1164" s="15" t="s">
        <v>22657</v>
      </c>
      <c r="F1164" s="15" t="s">
        <v>138</v>
      </c>
      <c r="G1164" s="15" t="s">
        <v>946</v>
      </c>
      <c r="H1164" s="7">
        <v>7</v>
      </c>
      <c r="I1164" s="6" t="s">
        <v>22663</v>
      </c>
      <c r="J1164" s="6" t="s">
        <v>25820</v>
      </c>
      <c r="K1164" s="6" t="s">
        <v>37786</v>
      </c>
      <c r="L1164" s="6" t="s">
        <v>43654</v>
      </c>
      <c r="M1164" s="6" t="s">
        <v>43655</v>
      </c>
      <c r="N1164" s="6" t="s">
        <v>43656</v>
      </c>
      <c r="O1164" s="6" t="s">
        <v>43657</v>
      </c>
      <c r="P1164" s="6" t="s">
        <v>43658</v>
      </c>
      <c r="Q1164" s="6"/>
      <c r="R1164" s="6"/>
      <c r="S1164" s="6"/>
      <c r="T1164" s="6"/>
      <c r="U1164" s="6"/>
      <c r="V1164" s="6"/>
      <c r="W1164" s="6"/>
      <c r="X1164" s="6"/>
      <c r="Y1164" s="6"/>
      <c r="Z1164" s="6"/>
      <c r="AA1164" s="6"/>
      <c r="AB1164" s="6"/>
      <c r="AC1164" s="6"/>
      <c r="AD1164" s="6"/>
      <c r="AE1164" s="6"/>
      <c r="AF1164" s="6"/>
      <c r="AG1164" s="6"/>
      <c r="AH1164" s="6"/>
      <c r="AI1164" s="6"/>
      <c r="AJ1164" s="6"/>
      <c r="AK1164" s="6"/>
      <c r="AL1164" s="6"/>
      <c r="AM1164" s="6"/>
      <c r="AN1164" s="6"/>
      <c r="AO1164" s="6"/>
      <c r="AP1164" s="6"/>
      <c r="AQ1164" s="6"/>
      <c r="AR1164" s="6"/>
      <c r="AS1164" s="6"/>
      <c r="AT1164" s="6"/>
      <c r="AU1164" s="6"/>
      <c r="AV1164" s="6"/>
      <c r="AW1164" s="6"/>
      <c r="AX1164" s="6"/>
      <c r="AY1164" s="6"/>
      <c r="AZ1164" s="6"/>
      <c r="BA1164" s="6"/>
      <c r="BB1164" s="6"/>
      <c r="BC1164" s="6"/>
      <c r="BD1164" s="6"/>
      <c r="BE1164" s="6"/>
      <c r="BF1164" s="6"/>
      <c r="BG1164" s="6"/>
      <c r="BH1164" s="6"/>
      <c r="BI1164" s="6"/>
      <c r="BJ1164" s="6"/>
      <c r="BK1164" s="6"/>
      <c r="BL1164" s="6"/>
      <c r="BM1164" s="6"/>
      <c r="BN1164" s="6"/>
      <c r="BO1164" s="6"/>
      <c r="BP1164" s="6"/>
      <c r="BQ1164" s="6"/>
      <c r="BR1164" s="6"/>
      <c r="BS1164" s="6"/>
      <c r="BT1164" s="6"/>
    </row>
    <row r="1165" spans="1:72">
      <c r="A1165" s="8" t="s">
        <v>22667</v>
      </c>
      <c r="B1165" s="11" t="s">
        <v>22672</v>
      </c>
      <c r="C1165" s="9" t="s">
        <v>22668</v>
      </c>
      <c r="D1165" s="10" t="s">
        <v>138</v>
      </c>
      <c r="E1165" s="28" t="s">
        <v>20343</v>
      </c>
      <c r="F1165" s="28" t="s">
        <v>3883</v>
      </c>
      <c r="G1165" s="28" t="s">
        <v>162</v>
      </c>
      <c r="H1165" s="13">
        <v>2</v>
      </c>
      <c r="I1165" s="12" t="s">
        <v>22681</v>
      </c>
      <c r="J1165" s="12" t="s">
        <v>43659</v>
      </c>
      <c r="K1165" s="12" t="s">
        <v>43040</v>
      </c>
      <c r="L1165" s="12"/>
      <c r="M1165" s="12"/>
      <c r="N1165" s="12"/>
      <c r="O1165" s="12"/>
      <c r="P1165" s="12"/>
      <c r="Q1165" s="12"/>
      <c r="R1165" s="12"/>
      <c r="S1165" s="12"/>
      <c r="T1165" s="12"/>
      <c r="U1165" s="12"/>
      <c r="V1165" s="12"/>
      <c r="W1165" s="12"/>
      <c r="X1165" s="12"/>
      <c r="Y1165" s="12"/>
      <c r="Z1165" s="12"/>
      <c r="AA1165" s="12"/>
      <c r="AB1165" s="12"/>
      <c r="AC1165" s="12"/>
      <c r="AD1165" s="12"/>
      <c r="AE1165" s="12"/>
      <c r="AF1165" s="12"/>
      <c r="AG1165" s="12"/>
      <c r="AH1165" s="12"/>
      <c r="AI1165" s="12"/>
      <c r="AJ1165" s="12"/>
      <c r="AK1165" s="12"/>
      <c r="AL1165" s="12"/>
      <c r="AM1165" s="12"/>
      <c r="AN1165" s="12"/>
      <c r="AO1165" s="12"/>
      <c r="AP1165" s="12"/>
      <c r="AQ1165" s="12"/>
      <c r="AR1165" s="12"/>
      <c r="AS1165" s="12"/>
      <c r="AT1165" s="12"/>
      <c r="AU1165" s="12"/>
      <c r="AV1165" s="12"/>
      <c r="AW1165" s="12"/>
      <c r="AX1165" s="12"/>
      <c r="AY1165" s="12"/>
      <c r="AZ1165" s="12"/>
      <c r="BA1165" s="12"/>
      <c r="BB1165" s="12"/>
      <c r="BC1165" s="12"/>
      <c r="BD1165" s="12"/>
      <c r="BE1165" s="12"/>
      <c r="BF1165" s="12"/>
      <c r="BG1165" s="12"/>
      <c r="BH1165" s="12"/>
      <c r="BI1165" s="12"/>
      <c r="BJ1165" s="12"/>
      <c r="BK1165" s="12"/>
      <c r="BL1165" s="12"/>
      <c r="BM1165" s="12"/>
      <c r="BN1165" s="12"/>
      <c r="BO1165" s="12"/>
      <c r="BP1165" s="12"/>
      <c r="BQ1165" s="12"/>
      <c r="BR1165" s="12"/>
      <c r="BS1165" s="12"/>
      <c r="BT1165" s="12"/>
    </row>
    <row r="1166" spans="1:72">
      <c r="A1166" s="2" t="s">
        <v>22688</v>
      </c>
      <c r="B1166" s="5" t="s">
        <v>22693</v>
      </c>
      <c r="C1166" s="3" t="s">
        <v>22689</v>
      </c>
      <c r="D1166" s="4" t="s">
        <v>138</v>
      </c>
      <c r="E1166" s="15" t="s">
        <v>22700</v>
      </c>
      <c r="F1166" s="15" t="s">
        <v>10654</v>
      </c>
      <c r="G1166" s="15" t="s">
        <v>162</v>
      </c>
      <c r="H1166" s="7">
        <v>6</v>
      </c>
      <c r="I1166" s="6" t="s">
        <v>22704</v>
      </c>
      <c r="J1166" s="6" t="s">
        <v>39034</v>
      </c>
      <c r="K1166" s="6" t="s">
        <v>38354</v>
      </c>
      <c r="L1166" s="6" t="s">
        <v>43660</v>
      </c>
      <c r="M1166" s="6" t="s">
        <v>41961</v>
      </c>
      <c r="N1166" s="6" t="s">
        <v>43661</v>
      </c>
      <c r="O1166" s="6" t="s">
        <v>43662</v>
      </c>
      <c r="P1166" s="6"/>
      <c r="Q1166" s="6"/>
      <c r="R1166" s="6"/>
      <c r="S1166" s="6"/>
      <c r="T1166" s="6"/>
      <c r="U1166" s="6"/>
      <c r="V1166" s="6"/>
      <c r="W1166" s="6"/>
      <c r="X1166" s="6"/>
      <c r="Y1166" s="6"/>
      <c r="Z1166" s="6"/>
      <c r="AA1166" s="6"/>
      <c r="AB1166" s="6"/>
      <c r="AC1166" s="6"/>
      <c r="AD1166" s="6"/>
      <c r="AE1166" s="6"/>
      <c r="AF1166" s="6"/>
      <c r="AG1166" s="6"/>
      <c r="AH1166" s="6"/>
      <c r="AI1166" s="6"/>
      <c r="AJ1166" s="6"/>
      <c r="AK1166" s="6"/>
      <c r="AL1166" s="6"/>
      <c r="AM1166" s="6"/>
      <c r="AN1166" s="6"/>
      <c r="AO1166" s="6"/>
      <c r="AP1166" s="6"/>
      <c r="AQ1166" s="6"/>
      <c r="AR1166" s="6"/>
      <c r="AS1166" s="6"/>
      <c r="AT1166" s="6"/>
      <c r="AU1166" s="6"/>
      <c r="AV1166" s="6"/>
      <c r="AW1166" s="6"/>
      <c r="AX1166" s="6"/>
      <c r="AY1166" s="6"/>
      <c r="AZ1166" s="6"/>
      <c r="BA1166" s="6"/>
      <c r="BB1166" s="6"/>
      <c r="BC1166" s="6"/>
      <c r="BD1166" s="6"/>
      <c r="BE1166" s="6"/>
      <c r="BF1166" s="6"/>
      <c r="BG1166" s="6"/>
      <c r="BH1166" s="6"/>
      <c r="BI1166" s="6"/>
      <c r="BJ1166" s="6"/>
      <c r="BK1166" s="6"/>
      <c r="BL1166" s="6"/>
      <c r="BM1166" s="6"/>
      <c r="BN1166" s="6"/>
      <c r="BO1166" s="6"/>
      <c r="BP1166" s="6"/>
      <c r="BQ1166" s="6"/>
      <c r="BR1166" s="6"/>
      <c r="BS1166" s="6"/>
      <c r="BT1166" s="6"/>
    </row>
    <row r="1167" spans="1:72">
      <c r="A1167" s="8" t="s">
        <v>22708</v>
      </c>
      <c r="B1167" s="11" t="s">
        <v>22712</v>
      </c>
      <c r="C1167" s="9" t="s">
        <v>138</v>
      </c>
      <c r="D1167" s="10" t="s">
        <v>138</v>
      </c>
      <c r="E1167" s="28" t="s">
        <v>4604</v>
      </c>
      <c r="F1167" s="28" t="s">
        <v>138</v>
      </c>
      <c r="G1167" s="28" t="s">
        <v>2071</v>
      </c>
      <c r="H1167" s="13">
        <v>3</v>
      </c>
      <c r="I1167" s="12" t="s">
        <v>22724</v>
      </c>
      <c r="J1167" s="12" t="s">
        <v>43663</v>
      </c>
      <c r="K1167" s="12" t="s">
        <v>38200</v>
      </c>
      <c r="L1167" s="12" t="s">
        <v>43664</v>
      </c>
      <c r="M1167" s="12"/>
      <c r="N1167" s="12"/>
      <c r="O1167" s="12"/>
      <c r="P1167" s="12"/>
      <c r="Q1167" s="12"/>
      <c r="R1167" s="12"/>
      <c r="S1167" s="12"/>
      <c r="T1167" s="12"/>
      <c r="U1167" s="12"/>
      <c r="V1167" s="12"/>
      <c r="W1167" s="12"/>
      <c r="X1167" s="12"/>
      <c r="Y1167" s="12"/>
      <c r="Z1167" s="12"/>
      <c r="AA1167" s="12"/>
      <c r="AB1167" s="12"/>
      <c r="AC1167" s="12"/>
      <c r="AD1167" s="12"/>
      <c r="AE1167" s="12"/>
      <c r="AF1167" s="12"/>
      <c r="AG1167" s="12"/>
      <c r="AH1167" s="12"/>
      <c r="AI1167" s="12"/>
      <c r="AJ1167" s="12"/>
      <c r="AK1167" s="12"/>
      <c r="AL1167" s="12"/>
      <c r="AM1167" s="12"/>
      <c r="AN1167" s="12"/>
      <c r="AO1167" s="12"/>
      <c r="AP1167" s="12"/>
      <c r="AQ1167" s="12"/>
      <c r="AR1167" s="12"/>
      <c r="AS1167" s="12"/>
      <c r="AT1167" s="12"/>
      <c r="AU1167" s="12"/>
      <c r="AV1167" s="12"/>
      <c r="AW1167" s="12"/>
      <c r="AX1167" s="12"/>
      <c r="AY1167" s="12"/>
      <c r="AZ1167" s="12"/>
      <c r="BA1167" s="12"/>
      <c r="BB1167" s="12"/>
      <c r="BC1167" s="12"/>
      <c r="BD1167" s="12"/>
      <c r="BE1167" s="12"/>
      <c r="BF1167" s="12"/>
      <c r="BG1167" s="12"/>
      <c r="BH1167" s="12"/>
      <c r="BI1167" s="12"/>
      <c r="BJ1167" s="12"/>
      <c r="BK1167" s="12"/>
      <c r="BL1167" s="12"/>
      <c r="BM1167" s="12"/>
      <c r="BN1167" s="12"/>
      <c r="BO1167" s="12"/>
      <c r="BP1167" s="12"/>
      <c r="BQ1167" s="12"/>
      <c r="BR1167" s="12"/>
      <c r="BS1167" s="12"/>
      <c r="BT1167" s="12"/>
    </row>
    <row r="1168" spans="1:72">
      <c r="A1168" s="2" t="s">
        <v>22729</v>
      </c>
      <c r="B1168" s="5" t="s">
        <v>22734</v>
      </c>
      <c r="C1168" s="3" t="s">
        <v>138</v>
      </c>
      <c r="D1168" s="4" t="s">
        <v>138</v>
      </c>
      <c r="E1168" s="15" t="s">
        <v>10537</v>
      </c>
      <c r="F1168" s="15" t="s">
        <v>5271</v>
      </c>
      <c r="G1168" s="15" t="s">
        <v>162</v>
      </c>
      <c r="H1168" s="7">
        <v>7</v>
      </c>
      <c r="I1168" s="6" t="s">
        <v>22742</v>
      </c>
      <c r="J1168" s="6" t="s">
        <v>43665</v>
      </c>
      <c r="K1168" s="6" t="s">
        <v>43666</v>
      </c>
      <c r="L1168" s="6" t="s">
        <v>43667</v>
      </c>
      <c r="M1168" s="6" t="s">
        <v>43668</v>
      </c>
      <c r="N1168" s="6" t="s">
        <v>40546</v>
      </c>
      <c r="O1168" s="6" t="s">
        <v>43669</v>
      </c>
      <c r="P1168" s="6" t="s">
        <v>39181</v>
      </c>
      <c r="Q1168" s="6"/>
      <c r="R1168" s="6"/>
      <c r="S1168" s="6"/>
      <c r="T1168" s="6"/>
      <c r="U1168" s="6"/>
      <c r="V1168" s="6"/>
      <c r="W1168" s="6"/>
      <c r="X1168" s="6"/>
      <c r="Y1168" s="6"/>
      <c r="Z1168" s="6"/>
      <c r="AA1168" s="6"/>
      <c r="AB1168" s="6"/>
      <c r="AC1168" s="6"/>
      <c r="AD1168" s="6"/>
      <c r="AE1168" s="6"/>
      <c r="AF1168" s="6"/>
      <c r="AG1168" s="6"/>
      <c r="AH1168" s="6"/>
      <c r="AI1168" s="6"/>
      <c r="AJ1168" s="6"/>
      <c r="AK1168" s="6"/>
      <c r="AL1168" s="6"/>
      <c r="AM1168" s="6"/>
      <c r="AN1168" s="6"/>
      <c r="AO1168" s="6"/>
      <c r="AP1168" s="6"/>
      <c r="AQ1168" s="6"/>
      <c r="AR1168" s="6"/>
      <c r="AS1168" s="6"/>
      <c r="AT1168" s="6"/>
      <c r="AU1168" s="6"/>
      <c r="AV1168" s="6"/>
      <c r="AW1168" s="6"/>
      <c r="AX1168" s="6"/>
      <c r="AY1168" s="6"/>
      <c r="AZ1168" s="6"/>
      <c r="BA1168" s="6"/>
      <c r="BB1168" s="6"/>
      <c r="BC1168" s="6"/>
      <c r="BD1168" s="6"/>
      <c r="BE1168" s="6"/>
      <c r="BF1168" s="6"/>
      <c r="BG1168" s="6"/>
      <c r="BH1168" s="6"/>
      <c r="BI1168" s="6"/>
      <c r="BJ1168" s="6"/>
      <c r="BK1168" s="6"/>
      <c r="BL1168" s="6"/>
      <c r="BM1168" s="6"/>
      <c r="BN1168" s="6"/>
      <c r="BO1168" s="6"/>
      <c r="BP1168" s="6"/>
      <c r="BQ1168" s="6"/>
      <c r="BR1168" s="6"/>
      <c r="BS1168" s="6"/>
      <c r="BT1168" s="6"/>
    </row>
    <row r="1169" spans="1:72">
      <c r="A1169" s="8" t="s">
        <v>22745</v>
      </c>
      <c r="B1169" s="11" t="s">
        <v>22749</v>
      </c>
      <c r="C1169" s="9" t="s">
        <v>138</v>
      </c>
      <c r="D1169" s="10" t="s">
        <v>22746</v>
      </c>
      <c r="E1169" s="28" t="s">
        <v>1198</v>
      </c>
      <c r="F1169" s="28" t="s">
        <v>138</v>
      </c>
      <c r="G1169" s="28" t="s">
        <v>1200</v>
      </c>
      <c r="H1169" s="13">
        <v>8</v>
      </c>
      <c r="I1169" s="12" t="s">
        <v>22758</v>
      </c>
      <c r="J1169" s="12" t="s">
        <v>39029</v>
      </c>
      <c r="K1169" s="12" t="s">
        <v>43670</v>
      </c>
      <c r="L1169" s="12" t="s">
        <v>38942</v>
      </c>
      <c r="M1169" s="12" t="s">
        <v>43671</v>
      </c>
      <c r="N1169" s="12" t="s">
        <v>43672</v>
      </c>
      <c r="O1169" s="12" t="s">
        <v>43673</v>
      </c>
      <c r="P1169" s="12" t="s">
        <v>38625</v>
      </c>
      <c r="Q1169" s="12" t="s">
        <v>43228</v>
      </c>
      <c r="R1169" s="12"/>
      <c r="S1169" s="12"/>
      <c r="T1169" s="12"/>
      <c r="U1169" s="12"/>
      <c r="V1169" s="12"/>
      <c r="W1169" s="12"/>
      <c r="X1169" s="12"/>
      <c r="Y1169" s="12"/>
      <c r="Z1169" s="12"/>
      <c r="AA1169" s="12"/>
      <c r="AB1169" s="12"/>
      <c r="AC1169" s="12"/>
      <c r="AD1169" s="12"/>
      <c r="AE1169" s="12"/>
      <c r="AF1169" s="12"/>
      <c r="AG1169" s="12"/>
      <c r="AH1169" s="12"/>
      <c r="AI1169" s="12"/>
      <c r="AJ1169" s="12"/>
      <c r="AK1169" s="12"/>
      <c r="AL1169" s="12"/>
      <c r="AM1169" s="12"/>
      <c r="AN1169" s="12"/>
      <c r="AO1169" s="12"/>
      <c r="AP1169" s="12"/>
      <c r="AQ1169" s="12"/>
      <c r="AR1169" s="12"/>
      <c r="AS1169" s="12"/>
      <c r="AT1169" s="12"/>
      <c r="AU1169" s="12"/>
      <c r="AV1169" s="12"/>
      <c r="AW1169" s="12"/>
      <c r="AX1169" s="12"/>
      <c r="AY1169" s="12"/>
      <c r="AZ1169" s="12"/>
      <c r="BA1169" s="12"/>
      <c r="BB1169" s="12"/>
      <c r="BC1169" s="12"/>
      <c r="BD1169" s="12"/>
      <c r="BE1169" s="12"/>
      <c r="BF1169" s="12"/>
      <c r="BG1169" s="12"/>
      <c r="BH1169" s="12"/>
      <c r="BI1169" s="12"/>
      <c r="BJ1169" s="12"/>
      <c r="BK1169" s="12"/>
      <c r="BL1169" s="12"/>
      <c r="BM1169" s="12"/>
      <c r="BN1169" s="12"/>
      <c r="BO1169" s="12"/>
      <c r="BP1169" s="12"/>
      <c r="BQ1169" s="12"/>
      <c r="BR1169" s="12"/>
      <c r="BS1169" s="12"/>
      <c r="BT1169" s="12"/>
    </row>
    <row r="1170" spans="1:72">
      <c r="A1170" s="2" t="s">
        <v>22761</v>
      </c>
      <c r="B1170" s="5" t="s">
        <v>22767</v>
      </c>
      <c r="C1170" s="3" t="s">
        <v>138</v>
      </c>
      <c r="D1170" s="4" t="s">
        <v>138</v>
      </c>
      <c r="E1170" s="15" t="s">
        <v>310</v>
      </c>
      <c r="F1170" s="15" t="s">
        <v>200</v>
      </c>
      <c r="G1170" s="15" t="s">
        <v>162</v>
      </c>
      <c r="H1170" s="7">
        <v>6</v>
      </c>
      <c r="I1170" s="6" t="s">
        <v>22776</v>
      </c>
      <c r="J1170" s="6" t="s">
        <v>43674</v>
      </c>
      <c r="K1170" s="6" t="s">
        <v>43675</v>
      </c>
      <c r="L1170" s="6" t="s">
        <v>43402</v>
      </c>
      <c r="M1170" s="6" t="s">
        <v>39739</v>
      </c>
      <c r="N1170" s="6" t="s">
        <v>43404</v>
      </c>
      <c r="O1170" s="6" t="s">
        <v>37781</v>
      </c>
      <c r="P1170" s="6"/>
      <c r="Q1170" s="6"/>
      <c r="R1170" s="6"/>
      <c r="S1170" s="6"/>
      <c r="T1170" s="6"/>
      <c r="U1170" s="6"/>
      <c r="V1170" s="6"/>
      <c r="W1170" s="6"/>
      <c r="X1170" s="6"/>
      <c r="Y1170" s="6"/>
      <c r="Z1170" s="6"/>
      <c r="AA1170" s="6"/>
      <c r="AB1170" s="6"/>
      <c r="AC1170" s="6"/>
      <c r="AD1170" s="6"/>
      <c r="AE1170" s="6"/>
      <c r="AF1170" s="6"/>
      <c r="AG1170" s="6"/>
      <c r="AH1170" s="6"/>
      <c r="AI1170" s="6"/>
      <c r="AJ1170" s="6"/>
      <c r="AK1170" s="6"/>
      <c r="AL1170" s="6"/>
      <c r="AM1170" s="6"/>
      <c r="AN1170" s="6"/>
      <c r="AO1170" s="6"/>
      <c r="AP1170" s="6"/>
      <c r="AQ1170" s="6"/>
      <c r="AR1170" s="6"/>
      <c r="AS1170" s="6"/>
      <c r="AT1170" s="6"/>
      <c r="AU1170" s="6"/>
      <c r="AV1170" s="6"/>
      <c r="AW1170" s="6"/>
      <c r="AX1170" s="6"/>
      <c r="AY1170" s="6"/>
      <c r="AZ1170" s="6"/>
      <c r="BA1170" s="6"/>
      <c r="BB1170" s="6"/>
      <c r="BC1170" s="6"/>
      <c r="BD1170" s="6"/>
      <c r="BE1170" s="6"/>
      <c r="BF1170" s="6"/>
      <c r="BG1170" s="6"/>
      <c r="BH1170" s="6"/>
      <c r="BI1170" s="6"/>
      <c r="BJ1170" s="6"/>
      <c r="BK1170" s="6"/>
      <c r="BL1170" s="6"/>
      <c r="BM1170" s="6"/>
      <c r="BN1170" s="6"/>
      <c r="BO1170" s="6"/>
      <c r="BP1170" s="6"/>
      <c r="BQ1170" s="6"/>
      <c r="BR1170" s="6"/>
      <c r="BS1170" s="6"/>
      <c r="BT1170" s="6"/>
    </row>
    <row r="1171" spans="1:72">
      <c r="A1171" s="8" t="s">
        <v>22785</v>
      </c>
      <c r="B1171" s="11" t="s">
        <v>22791</v>
      </c>
      <c r="C1171" s="9" t="s">
        <v>22786</v>
      </c>
      <c r="D1171" s="10" t="s">
        <v>22787</v>
      </c>
      <c r="E1171" s="28" t="s">
        <v>426</v>
      </c>
      <c r="F1171" s="28" t="s">
        <v>426</v>
      </c>
      <c r="G1171" s="28" t="s">
        <v>162</v>
      </c>
      <c r="H1171" s="13">
        <v>5</v>
      </c>
      <c r="I1171" s="12" t="s">
        <v>22801</v>
      </c>
      <c r="J1171" s="12" t="s">
        <v>43676</v>
      </c>
      <c r="K1171" s="12" t="s">
        <v>43677</v>
      </c>
      <c r="L1171" s="12" t="s">
        <v>43678</v>
      </c>
      <c r="M1171" s="12" t="s">
        <v>43679</v>
      </c>
      <c r="N1171" s="12" t="s">
        <v>37932</v>
      </c>
      <c r="O1171" s="12"/>
      <c r="P1171" s="12"/>
      <c r="Q1171" s="12"/>
      <c r="R1171" s="12"/>
      <c r="S1171" s="12"/>
      <c r="T1171" s="12"/>
      <c r="U1171" s="12"/>
      <c r="V1171" s="12"/>
      <c r="W1171" s="12"/>
      <c r="X1171" s="12"/>
      <c r="Y1171" s="12"/>
      <c r="Z1171" s="12"/>
      <c r="AA1171" s="12"/>
      <c r="AB1171" s="12"/>
      <c r="AC1171" s="12"/>
      <c r="AD1171" s="12"/>
      <c r="AE1171" s="12"/>
      <c r="AF1171" s="12"/>
      <c r="AG1171" s="12"/>
      <c r="AH1171" s="12"/>
      <c r="AI1171" s="12"/>
      <c r="AJ1171" s="12"/>
      <c r="AK1171" s="12"/>
      <c r="AL1171" s="12"/>
      <c r="AM1171" s="12"/>
      <c r="AN1171" s="12"/>
      <c r="AO1171" s="12"/>
      <c r="AP1171" s="12"/>
      <c r="AQ1171" s="12"/>
      <c r="AR1171" s="12"/>
      <c r="AS1171" s="12"/>
      <c r="AT1171" s="12"/>
      <c r="AU1171" s="12"/>
      <c r="AV1171" s="12"/>
      <c r="AW1171" s="12"/>
      <c r="AX1171" s="12"/>
      <c r="AY1171" s="12"/>
      <c r="AZ1171" s="12"/>
      <c r="BA1171" s="12"/>
      <c r="BB1171" s="12"/>
      <c r="BC1171" s="12"/>
      <c r="BD1171" s="12"/>
      <c r="BE1171" s="12"/>
      <c r="BF1171" s="12"/>
      <c r="BG1171" s="12"/>
      <c r="BH1171" s="12"/>
      <c r="BI1171" s="12"/>
      <c r="BJ1171" s="12"/>
      <c r="BK1171" s="12"/>
      <c r="BL1171" s="12"/>
      <c r="BM1171" s="12"/>
      <c r="BN1171" s="12"/>
      <c r="BO1171" s="12"/>
      <c r="BP1171" s="12"/>
      <c r="BQ1171" s="12"/>
      <c r="BR1171" s="12"/>
      <c r="BS1171" s="12"/>
      <c r="BT1171" s="12"/>
    </row>
    <row r="1172" spans="1:72">
      <c r="A1172" s="2" t="s">
        <v>22808</v>
      </c>
      <c r="B1172" s="5" t="s">
        <v>22815</v>
      </c>
      <c r="C1172" s="3" t="s">
        <v>22809</v>
      </c>
      <c r="D1172" s="4" t="s">
        <v>22810</v>
      </c>
      <c r="E1172" s="15" t="s">
        <v>668</v>
      </c>
      <c r="F1172" s="15" t="s">
        <v>200</v>
      </c>
      <c r="G1172" s="15" t="s">
        <v>162</v>
      </c>
      <c r="H1172" s="7">
        <v>13</v>
      </c>
      <c r="I1172" s="6" t="s">
        <v>22823</v>
      </c>
      <c r="J1172" s="6" t="s">
        <v>43680</v>
      </c>
      <c r="K1172" s="6" t="s">
        <v>38339</v>
      </c>
      <c r="L1172" s="6" t="s">
        <v>38365</v>
      </c>
      <c r="M1172" s="6" t="s">
        <v>38916</v>
      </c>
      <c r="N1172" s="6" t="s">
        <v>41621</v>
      </c>
      <c r="O1172" s="6" t="s">
        <v>38476</v>
      </c>
      <c r="P1172" s="6" t="s">
        <v>38319</v>
      </c>
      <c r="Q1172" s="6" t="s">
        <v>37781</v>
      </c>
      <c r="R1172" s="6" t="s">
        <v>39642</v>
      </c>
      <c r="S1172" s="6" t="s">
        <v>43681</v>
      </c>
      <c r="T1172" s="6" t="s">
        <v>43682</v>
      </c>
      <c r="U1172" s="6" t="s">
        <v>38582</v>
      </c>
      <c r="V1172" s="6" t="s">
        <v>37976</v>
      </c>
      <c r="W1172" s="6"/>
      <c r="X1172" s="6"/>
      <c r="Y1172" s="6"/>
      <c r="Z1172" s="6"/>
      <c r="AA1172" s="6"/>
      <c r="AB1172" s="6"/>
      <c r="AC1172" s="6"/>
      <c r="AD1172" s="6"/>
      <c r="AE1172" s="6"/>
      <c r="AF1172" s="6"/>
      <c r="AG1172" s="6"/>
      <c r="AH1172" s="6"/>
      <c r="AI1172" s="6"/>
      <c r="AJ1172" s="6"/>
      <c r="AK1172" s="6"/>
      <c r="AL1172" s="6"/>
      <c r="AM1172" s="6"/>
      <c r="AN1172" s="6"/>
      <c r="AO1172" s="6"/>
      <c r="AP1172" s="6"/>
      <c r="AQ1172" s="6"/>
      <c r="AR1172" s="6"/>
      <c r="AS1172" s="6"/>
      <c r="AT1172" s="6"/>
      <c r="AU1172" s="6"/>
      <c r="AV1172" s="6"/>
      <c r="AW1172" s="6"/>
      <c r="AX1172" s="6"/>
      <c r="AY1172" s="6"/>
      <c r="AZ1172" s="6"/>
      <c r="BA1172" s="6"/>
      <c r="BB1172" s="6"/>
      <c r="BC1172" s="6"/>
      <c r="BD1172" s="6"/>
      <c r="BE1172" s="6"/>
      <c r="BF1172" s="6"/>
      <c r="BG1172" s="6"/>
      <c r="BH1172" s="6"/>
      <c r="BI1172" s="6"/>
      <c r="BJ1172" s="6"/>
      <c r="BK1172" s="6"/>
      <c r="BL1172" s="6"/>
      <c r="BM1172" s="6"/>
      <c r="BN1172" s="6"/>
      <c r="BO1172" s="6"/>
      <c r="BP1172" s="6"/>
      <c r="BQ1172" s="6"/>
      <c r="BR1172" s="6"/>
      <c r="BS1172" s="6"/>
      <c r="BT1172" s="6"/>
    </row>
    <row r="1173" spans="1:72">
      <c r="A1173" s="8" t="s">
        <v>22827</v>
      </c>
      <c r="B1173" s="11" t="s">
        <v>22832</v>
      </c>
      <c r="C1173" s="9" t="s">
        <v>138</v>
      </c>
      <c r="D1173" s="10" t="s">
        <v>138</v>
      </c>
      <c r="E1173" s="28" t="s">
        <v>3841</v>
      </c>
      <c r="F1173" s="28" t="s">
        <v>200</v>
      </c>
      <c r="G1173" s="28" t="s">
        <v>162</v>
      </c>
      <c r="H1173" s="13">
        <v>10</v>
      </c>
      <c r="I1173" s="12" t="s">
        <v>22842</v>
      </c>
      <c r="J1173" s="12" t="s">
        <v>16877</v>
      </c>
      <c r="K1173" s="12" t="s">
        <v>43683</v>
      </c>
      <c r="L1173" s="12" t="s">
        <v>40281</v>
      </c>
      <c r="M1173" s="12" t="s">
        <v>43684</v>
      </c>
      <c r="N1173" s="12" t="s">
        <v>43685</v>
      </c>
      <c r="O1173" s="12" t="s">
        <v>38322</v>
      </c>
      <c r="P1173" s="12" t="s">
        <v>37770</v>
      </c>
      <c r="Q1173" s="12" t="s">
        <v>39466</v>
      </c>
      <c r="R1173" s="12" t="s">
        <v>40049</v>
      </c>
      <c r="S1173" s="12" t="s">
        <v>38706</v>
      </c>
      <c r="T1173" s="12"/>
      <c r="U1173" s="12"/>
      <c r="V1173" s="12"/>
      <c r="W1173" s="12"/>
      <c r="X1173" s="12"/>
      <c r="Y1173" s="12"/>
      <c r="Z1173" s="12"/>
      <c r="AA1173" s="12"/>
      <c r="AB1173" s="12"/>
      <c r="AC1173" s="12"/>
      <c r="AD1173" s="12"/>
      <c r="AE1173" s="12"/>
      <c r="AF1173" s="12"/>
      <c r="AG1173" s="12"/>
      <c r="AH1173" s="12"/>
      <c r="AI1173" s="12"/>
      <c r="AJ1173" s="12"/>
      <c r="AK1173" s="12"/>
      <c r="AL1173" s="12"/>
      <c r="AM1173" s="12"/>
      <c r="AN1173" s="12"/>
      <c r="AO1173" s="12"/>
      <c r="AP1173" s="12"/>
      <c r="AQ1173" s="12"/>
      <c r="AR1173" s="12"/>
      <c r="AS1173" s="12"/>
      <c r="AT1173" s="12"/>
      <c r="AU1173" s="12"/>
      <c r="AV1173" s="12"/>
      <c r="AW1173" s="12"/>
      <c r="AX1173" s="12"/>
      <c r="AY1173" s="12"/>
      <c r="AZ1173" s="12"/>
      <c r="BA1173" s="12"/>
      <c r="BB1173" s="12"/>
      <c r="BC1173" s="12"/>
      <c r="BD1173" s="12"/>
      <c r="BE1173" s="12"/>
      <c r="BF1173" s="12"/>
      <c r="BG1173" s="12"/>
      <c r="BH1173" s="12"/>
      <c r="BI1173" s="12"/>
      <c r="BJ1173" s="12"/>
      <c r="BK1173" s="12"/>
      <c r="BL1173" s="12"/>
      <c r="BM1173" s="12"/>
      <c r="BN1173" s="12"/>
      <c r="BO1173" s="12"/>
      <c r="BP1173" s="12"/>
      <c r="BQ1173" s="12"/>
      <c r="BR1173" s="12"/>
      <c r="BS1173" s="12"/>
      <c r="BT1173" s="12"/>
    </row>
    <row r="1174" spans="1:72">
      <c r="A1174" s="2" t="s">
        <v>22845</v>
      </c>
      <c r="B1174" s="5" t="s">
        <v>22850</v>
      </c>
      <c r="C1174" s="3" t="s">
        <v>138</v>
      </c>
      <c r="D1174" s="4" t="s">
        <v>138</v>
      </c>
      <c r="E1174" s="15" t="s">
        <v>426</v>
      </c>
      <c r="F1174" s="15" t="s">
        <v>426</v>
      </c>
      <c r="G1174" s="15" t="s">
        <v>162</v>
      </c>
      <c r="H1174" s="7">
        <v>8</v>
      </c>
      <c r="I1174" s="6" t="s">
        <v>22858</v>
      </c>
      <c r="J1174" s="6" t="s">
        <v>38930</v>
      </c>
      <c r="K1174" s="6" t="s">
        <v>38354</v>
      </c>
      <c r="L1174" s="6" t="s">
        <v>43686</v>
      </c>
      <c r="M1174" s="6" t="s">
        <v>37786</v>
      </c>
      <c r="N1174" s="6" t="s">
        <v>43687</v>
      </c>
      <c r="O1174" s="6" t="s">
        <v>38182</v>
      </c>
      <c r="P1174" s="6" t="s">
        <v>38429</v>
      </c>
      <c r="Q1174" s="6" t="s">
        <v>38562</v>
      </c>
      <c r="R1174" s="6"/>
      <c r="S1174" s="6"/>
      <c r="T1174" s="6"/>
      <c r="U1174" s="6"/>
      <c r="V1174" s="6"/>
      <c r="W1174" s="6"/>
      <c r="X1174" s="6"/>
      <c r="Y1174" s="6"/>
      <c r="Z1174" s="6"/>
      <c r="AA1174" s="6"/>
      <c r="AB1174" s="6"/>
      <c r="AC1174" s="6"/>
      <c r="AD1174" s="6"/>
      <c r="AE1174" s="6"/>
      <c r="AF1174" s="6"/>
      <c r="AG1174" s="6"/>
      <c r="AH1174" s="6"/>
      <c r="AI1174" s="6"/>
      <c r="AJ1174" s="6"/>
      <c r="AK1174" s="6"/>
      <c r="AL1174" s="6"/>
      <c r="AM1174" s="6"/>
      <c r="AN1174" s="6"/>
      <c r="AO1174" s="6"/>
      <c r="AP1174" s="6"/>
      <c r="AQ1174" s="6"/>
      <c r="AR1174" s="6"/>
      <c r="AS1174" s="6"/>
      <c r="AT1174" s="6"/>
      <c r="AU1174" s="6"/>
      <c r="AV1174" s="6"/>
      <c r="AW1174" s="6"/>
      <c r="AX1174" s="6"/>
      <c r="AY1174" s="6"/>
      <c r="AZ1174" s="6"/>
      <c r="BA1174" s="6"/>
      <c r="BB1174" s="6"/>
      <c r="BC1174" s="6"/>
      <c r="BD1174" s="6"/>
      <c r="BE1174" s="6"/>
      <c r="BF1174" s="6"/>
      <c r="BG1174" s="6"/>
      <c r="BH1174" s="6"/>
      <c r="BI1174" s="6"/>
      <c r="BJ1174" s="6"/>
      <c r="BK1174" s="6"/>
      <c r="BL1174" s="6"/>
      <c r="BM1174" s="6"/>
      <c r="BN1174" s="6"/>
      <c r="BO1174" s="6"/>
      <c r="BP1174" s="6"/>
      <c r="BQ1174" s="6"/>
      <c r="BR1174" s="6"/>
      <c r="BS1174" s="6"/>
      <c r="BT1174" s="6"/>
    </row>
    <row r="1175" spans="1:72">
      <c r="A1175" s="8" t="s">
        <v>22861</v>
      </c>
      <c r="B1175" s="11" t="s">
        <v>22864</v>
      </c>
      <c r="C1175" s="9" t="s">
        <v>138</v>
      </c>
      <c r="D1175" s="10" t="s">
        <v>138</v>
      </c>
      <c r="E1175" s="28" t="s">
        <v>22871</v>
      </c>
      <c r="F1175" s="28" t="s">
        <v>138</v>
      </c>
      <c r="G1175" s="28" t="s">
        <v>946</v>
      </c>
      <c r="H1175" s="13">
        <v>1</v>
      </c>
      <c r="I1175" s="12" t="s">
        <v>22875</v>
      </c>
      <c r="J1175" s="12" t="s">
        <v>22875</v>
      </c>
      <c r="K1175" s="12"/>
      <c r="L1175" s="12"/>
      <c r="M1175" s="12"/>
      <c r="N1175" s="12"/>
      <c r="O1175" s="12"/>
      <c r="P1175" s="12"/>
      <c r="Q1175" s="12"/>
      <c r="R1175" s="12"/>
      <c r="S1175" s="12"/>
      <c r="T1175" s="12"/>
      <c r="U1175" s="12"/>
      <c r="V1175" s="12"/>
      <c r="W1175" s="12"/>
      <c r="X1175" s="12"/>
      <c r="Y1175" s="12"/>
      <c r="Z1175" s="12"/>
      <c r="AA1175" s="12"/>
      <c r="AB1175" s="12"/>
      <c r="AC1175" s="12"/>
      <c r="AD1175" s="12"/>
      <c r="AE1175" s="12"/>
      <c r="AF1175" s="12"/>
      <c r="AG1175" s="12"/>
      <c r="AH1175" s="12"/>
      <c r="AI1175" s="12"/>
      <c r="AJ1175" s="12"/>
      <c r="AK1175" s="12"/>
      <c r="AL1175" s="12"/>
      <c r="AM1175" s="12"/>
      <c r="AN1175" s="12"/>
      <c r="AO1175" s="12"/>
      <c r="AP1175" s="12"/>
      <c r="AQ1175" s="12"/>
      <c r="AR1175" s="12"/>
      <c r="AS1175" s="12"/>
      <c r="AT1175" s="12"/>
      <c r="AU1175" s="12"/>
      <c r="AV1175" s="12"/>
      <c r="AW1175" s="12"/>
      <c r="AX1175" s="12"/>
      <c r="AY1175" s="12"/>
      <c r="AZ1175" s="12"/>
      <c r="BA1175" s="12"/>
      <c r="BB1175" s="12"/>
      <c r="BC1175" s="12"/>
      <c r="BD1175" s="12"/>
      <c r="BE1175" s="12"/>
      <c r="BF1175" s="12"/>
      <c r="BG1175" s="12"/>
      <c r="BH1175" s="12"/>
      <c r="BI1175" s="12"/>
      <c r="BJ1175" s="12"/>
      <c r="BK1175" s="12"/>
      <c r="BL1175" s="12"/>
      <c r="BM1175" s="12"/>
      <c r="BN1175" s="12"/>
      <c r="BO1175" s="12"/>
      <c r="BP1175" s="12"/>
      <c r="BQ1175" s="12"/>
      <c r="BR1175" s="12"/>
      <c r="BS1175" s="12"/>
      <c r="BT1175" s="12"/>
    </row>
    <row r="1176" spans="1:72">
      <c r="A1176" s="2" t="s">
        <v>22880</v>
      </c>
      <c r="B1176" s="5" t="s">
        <v>22884</v>
      </c>
      <c r="C1176" s="3" t="s">
        <v>138</v>
      </c>
      <c r="D1176" s="4" t="s">
        <v>138</v>
      </c>
      <c r="E1176" s="15" t="s">
        <v>22891</v>
      </c>
      <c r="F1176" s="15" t="s">
        <v>138</v>
      </c>
      <c r="G1176" s="15" t="s">
        <v>450</v>
      </c>
      <c r="H1176" s="7">
        <v>1</v>
      </c>
      <c r="I1176" s="6" t="s">
        <v>455</v>
      </c>
      <c r="J1176" s="6" t="s">
        <v>455</v>
      </c>
      <c r="K1176" s="6"/>
      <c r="L1176" s="6"/>
      <c r="M1176" s="6"/>
      <c r="N1176" s="6"/>
      <c r="O1176" s="6"/>
      <c r="P1176" s="6"/>
      <c r="Q1176" s="6"/>
      <c r="R1176" s="6"/>
      <c r="S1176" s="6"/>
      <c r="T1176" s="6"/>
      <c r="U1176" s="6"/>
      <c r="V1176" s="6"/>
      <c r="W1176" s="6"/>
      <c r="X1176" s="6"/>
      <c r="Y1176" s="6"/>
      <c r="Z1176" s="6"/>
      <c r="AA1176" s="6"/>
      <c r="AB1176" s="6"/>
      <c r="AC1176" s="6"/>
      <c r="AD1176" s="6"/>
      <c r="AE1176" s="6"/>
      <c r="AF1176" s="6"/>
      <c r="AG1176" s="6"/>
      <c r="AH1176" s="6"/>
      <c r="AI1176" s="6"/>
      <c r="AJ1176" s="6"/>
      <c r="AK1176" s="6"/>
      <c r="AL1176" s="6"/>
      <c r="AM1176" s="6"/>
      <c r="AN1176" s="6"/>
      <c r="AO1176" s="6"/>
      <c r="AP1176" s="6"/>
      <c r="AQ1176" s="6"/>
      <c r="AR1176" s="6"/>
      <c r="AS1176" s="6"/>
      <c r="AT1176" s="6"/>
      <c r="AU1176" s="6"/>
      <c r="AV1176" s="6"/>
      <c r="AW1176" s="6"/>
      <c r="AX1176" s="6"/>
      <c r="AY1176" s="6"/>
      <c r="AZ1176" s="6"/>
      <c r="BA1176" s="6"/>
      <c r="BB1176" s="6"/>
      <c r="BC1176" s="6"/>
      <c r="BD1176" s="6"/>
      <c r="BE1176" s="6"/>
      <c r="BF1176" s="6"/>
      <c r="BG1176" s="6"/>
      <c r="BH1176" s="6"/>
      <c r="BI1176" s="6"/>
      <c r="BJ1176" s="6"/>
      <c r="BK1176" s="6"/>
      <c r="BL1176" s="6"/>
      <c r="BM1176" s="6"/>
      <c r="BN1176" s="6"/>
      <c r="BO1176" s="6"/>
      <c r="BP1176" s="6"/>
      <c r="BQ1176" s="6"/>
      <c r="BR1176" s="6"/>
      <c r="BS1176" s="6"/>
      <c r="BT1176" s="6"/>
    </row>
    <row r="1177" spans="1:72">
      <c r="A1177" s="8" t="s">
        <v>22894</v>
      </c>
      <c r="B1177" s="11" t="s">
        <v>22898</v>
      </c>
      <c r="C1177" s="9" t="s">
        <v>138</v>
      </c>
      <c r="D1177" s="10" t="s">
        <v>138</v>
      </c>
      <c r="E1177" s="28" t="s">
        <v>1246</v>
      </c>
      <c r="F1177" s="28" t="s">
        <v>200</v>
      </c>
      <c r="G1177" s="28" t="s">
        <v>162</v>
      </c>
      <c r="H1177" s="13">
        <v>3</v>
      </c>
      <c r="I1177" s="12" t="s">
        <v>22904</v>
      </c>
      <c r="J1177" s="12" t="s">
        <v>39029</v>
      </c>
      <c r="K1177" s="12" t="s">
        <v>38075</v>
      </c>
      <c r="L1177" s="12" t="s">
        <v>43688</v>
      </c>
      <c r="M1177" s="12"/>
      <c r="N1177" s="12"/>
      <c r="O1177" s="12"/>
      <c r="P1177" s="12"/>
      <c r="Q1177" s="12"/>
      <c r="R1177" s="12"/>
      <c r="S1177" s="12"/>
      <c r="T1177" s="12"/>
      <c r="U1177" s="12"/>
      <c r="V1177" s="12"/>
      <c r="W1177" s="12"/>
      <c r="X1177" s="12"/>
      <c r="Y1177" s="12"/>
      <c r="Z1177" s="12"/>
      <c r="AA1177" s="12"/>
      <c r="AB1177" s="12"/>
      <c r="AC1177" s="12"/>
      <c r="AD1177" s="12"/>
      <c r="AE1177" s="12"/>
      <c r="AF1177" s="12"/>
      <c r="AG1177" s="12"/>
      <c r="AH1177" s="12"/>
      <c r="AI1177" s="12"/>
      <c r="AJ1177" s="12"/>
      <c r="AK1177" s="12"/>
      <c r="AL1177" s="12"/>
      <c r="AM1177" s="12"/>
      <c r="AN1177" s="12"/>
      <c r="AO1177" s="12"/>
      <c r="AP1177" s="12"/>
      <c r="AQ1177" s="12"/>
      <c r="AR1177" s="12"/>
      <c r="AS1177" s="12"/>
      <c r="AT1177" s="12"/>
      <c r="AU1177" s="12"/>
      <c r="AV1177" s="12"/>
      <c r="AW1177" s="12"/>
      <c r="AX1177" s="12"/>
      <c r="AY1177" s="12"/>
      <c r="AZ1177" s="12"/>
      <c r="BA1177" s="12"/>
      <c r="BB1177" s="12"/>
      <c r="BC1177" s="12"/>
      <c r="BD1177" s="12"/>
      <c r="BE1177" s="12"/>
      <c r="BF1177" s="12"/>
      <c r="BG1177" s="12"/>
      <c r="BH1177" s="12"/>
      <c r="BI1177" s="12"/>
      <c r="BJ1177" s="12"/>
      <c r="BK1177" s="12"/>
      <c r="BL1177" s="12"/>
      <c r="BM1177" s="12"/>
      <c r="BN1177" s="12"/>
      <c r="BO1177" s="12"/>
      <c r="BP1177" s="12"/>
      <c r="BQ1177" s="12"/>
      <c r="BR1177" s="12"/>
      <c r="BS1177" s="12"/>
      <c r="BT1177" s="12"/>
    </row>
    <row r="1178" spans="1:72">
      <c r="A1178" s="2" t="s">
        <v>22907</v>
      </c>
      <c r="B1178" s="5" t="s">
        <v>22912</v>
      </c>
      <c r="C1178" s="3" t="s">
        <v>22908</v>
      </c>
      <c r="D1178" s="4" t="s">
        <v>138</v>
      </c>
      <c r="E1178" s="15" t="s">
        <v>20343</v>
      </c>
      <c r="F1178" s="15" t="s">
        <v>3883</v>
      </c>
      <c r="G1178" s="15" t="s">
        <v>162</v>
      </c>
      <c r="H1178" s="7">
        <v>4</v>
      </c>
      <c r="I1178" s="6" t="s">
        <v>22922</v>
      </c>
      <c r="J1178" s="6" t="s">
        <v>10291</v>
      </c>
      <c r="K1178" s="6" t="s">
        <v>38810</v>
      </c>
      <c r="L1178" s="6" t="s">
        <v>37931</v>
      </c>
      <c r="M1178" s="6" t="s">
        <v>37915</v>
      </c>
      <c r="N1178" s="6"/>
      <c r="O1178" s="6"/>
      <c r="P1178" s="6"/>
      <c r="Q1178" s="6"/>
      <c r="R1178" s="6"/>
      <c r="S1178" s="6"/>
      <c r="T1178" s="6"/>
      <c r="U1178" s="6"/>
      <c r="V1178" s="6"/>
      <c r="W1178" s="6"/>
      <c r="X1178" s="6"/>
      <c r="Y1178" s="6"/>
      <c r="Z1178" s="6"/>
      <c r="AA1178" s="6"/>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6"/>
      <c r="AY1178" s="6"/>
      <c r="AZ1178" s="6"/>
      <c r="BA1178" s="6"/>
      <c r="BB1178" s="6"/>
      <c r="BC1178" s="6"/>
      <c r="BD1178" s="6"/>
      <c r="BE1178" s="6"/>
      <c r="BF1178" s="6"/>
      <c r="BG1178" s="6"/>
      <c r="BH1178" s="6"/>
      <c r="BI1178" s="6"/>
      <c r="BJ1178" s="6"/>
      <c r="BK1178" s="6"/>
      <c r="BL1178" s="6"/>
      <c r="BM1178" s="6"/>
      <c r="BN1178" s="6"/>
      <c r="BO1178" s="6"/>
      <c r="BP1178" s="6"/>
      <c r="BQ1178" s="6"/>
      <c r="BR1178" s="6"/>
      <c r="BS1178" s="6"/>
      <c r="BT1178" s="6"/>
    </row>
    <row r="1179" spans="1:72">
      <c r="A1179" s="8" t="s">
        <v>22926</v>
      </c>
      <c r="B1179" s="11" t="s">
        <v>22931</v>
      </c>
      <c r="C1179" s="9" t="s">
        <v>138</v>
      </c>
      <c r="D1179" s="10" t="s">
        <v>138</v>
      </c>
      <c r="E1179" s="28" t="s">
        <v>12394</v>
      </c>
      <c r="F1179" s="28" t="s">
        <v>200</v>
      </c>
      <c r="G1179" s="28" t="s">
        <v>162</v>
      </c>
      <c r="H1179" s="13">
        <v>19</v>
      </c>
      <c r="I1179" s="12" t="s">
        <v>22938</v>
      </c>
      <c r="J1179" s="12" t="s">
        <v>43689</v>
      </c>
      <c r="K1179" s="12" t="s">
        <v>43690</v>
      </c>
      <c r="L1179" s="12" t="s">
        <v>38569</v>
      </c>
      <c r="M1179" s="12" t="s">
        <v>43202</v>
      </c>
      <c r="N1179" s="12" t="s">
        <v>38931</v>
      </c>
      <c r="O1179" s="12" t="s">
        <v>40415</v>
      </c>
      <c r="P1179" s="12" t="s">
        <v>39452</v>
      </c>
      <c r="Q1179" s="12" t="s">
        <v>43691</v>
      </c>
      <c r="R1179" s="12" t="s">
        <v>43692</v>
      </c>
      <c r="S1179" s="12" t="s">
        <v>43693</v>
      </c>
      <c r="T1179" s="12" t="s">
        <v>43694</v>
      </c>
      <c r="U1179" s="12" t="s">
        <v>43695</v>
      </c>
      <c r="V1179" s="12" t="s">
        <v>38804</v>
      </c>
      <c r="W1179" s="12" t="s">
        <v>39866</v>
      </c>
      <c r="X1179" s="12" t="s">
        <v>38645</v>
      </c>
      <c r="Y1179" s="12" t="s">
        <v>43696</v>
      </c>
      <c r="Z1179" s="12" t="s">
        <v>38436</v>
      </c>
      <c r="AA1179" s="12" t="s">
        <v>39127</v>
      </c>
      <c r="AB1179" s="12" t="s">
        <v>43104</v>
      </c>
      <c r="AC1179" s="12"/>
      <c r="AD1179" s="12"/>
      <c r="AE1179" s="12"/>
      <c r="AF1179" s="12"/>
      <c r="AG1179" s="12"/>
      <c r="AH1179" s="12"/>
      <c r="AI1179" s="12"/>
      <c r="AJ1179" s="12"/>
      <c r="AK1179" s="12"/>
      <c r="AL1179" s="12"/>
      <c r="AM1179" s="12"/>
      <c r="AN1179" s="12"/>
      <c r="AO1179" s="12"/>
      <c r="AP1179" s="12"/>
      <c r="AQ1179" s="12"/>
      <c r="AR1179" s="12"/>
      <c r="AS1179" s="12"/>
      <c r="AT1179" s="12"/>
      <c r="AU1179" s="12"/>
      <c r="AV1179" s="12"/>
      <c r="AW1179" s="12"/>
      <c r="AX1179" s="12"/>
      <c r="AY1179" s="12"/>
      <c r="AZ1179" s="12"/>
      <c r="BA1179" s="12"/>
      <c r="BB1179" s="12"/>
      <c r="BC1179" s="12"/>
      <c r="BD1179" s="12"/>
      <c r="BE1179" s="12"/>
      <c r="BF1179" s="12"/>
      <c r="BG1179" s="12"/>
      <c r="BH1179" s="12"/>
      <c r="BI1179" s="12"/>
      <c r="BJ1179" s="12"/>
      <c r="BK1179" s="12"/>
      <c r="BL1179" s="12"/>
      <c r="BM1179" s="12"/>
      <c r="BN1179" s="12"/>
      <c r="BO1179" s="12"/>
      <c r="BP1179" s="12"/>
      <c r="BQ1179" s="12"/>
      <c r="BR1179" s="12"/>
      <c r="BS1179" s="12"/>
      <c r="BT1179" s="12"/>
    </row>
    <row r="1180" spans="1:72">
      <c r="A1180" s="2" t="s">
        <v>22942</v>
      </c>
      <c r="B1180" s="5" t="s">
        <v>22948</v>
      </c>
      <c r="C1180" s="3" t="s">
        <v>138</v>
      </c>
      <c r="D1180" s="4" t="s">
        <v>138</v>
      </c>
      <c r="E1180" s="15" t="s">
        <v>159</v>
      </c>
      <c r="F1180" s="15" t="s">
        <v>160</v>
      </c>
      <c r="G1180" s="15" t="s">
        <v>162</v>
      </c>
      <c r="H1180" s="7">
        <v>7</v>
      </c>
      <c r="I1180" s="6" t="s">
        <v>22953</v>
      </c>
      <c r="J1180" s="6" t="s">
        <v>43697</v>
      </c>
      <c r="K1180" s="6" t="s">
        <v>43698</v>
      </c>
      <c r="L1180" s="6" t="s">
        <v>43699</v>
      </c>
      <c r="M1180" s="6" t="s">
        <v>43700</v>
      </c>
      <c r="N1180" s="6" t="s">
        <v>38189</v>
      </c>
      <c r="O1180" s="6" t="s">
        <v>38200</v>
      </c>
      <c r="P1180" s="6" t="s">
        <v>43701</v>
      </c>
      <c r="Q1180" s="6"/>
      <c r="R1180" s="6"/>
      <c r="S1180" s="6"/>
      <c r="T1180" s="6"/>
      <c r="U1180" s="6"/>
      <c r="V1180" s="6"/>
      <c r="W1180" s="6"/>
      <c r="X1180" s="6"/>
      <c r="Y1180" s="6"/>
      <c r="Z1180" s="6"/>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6"/>
      <c r="AY1180" s="6"/>
      <c r="AZ1180" s="6"/>
      <c r="BA1180" s="6"/>
      <c r="BB1180" s="6"/>
      <c r="BC1180" s="6"/>
      <c r="BD1180" s="6"/>
      <c r="BE1180" s="6"/>
      <c r="BF1180" s="6"/>
      <c r="BG1180" s="6"/>
      <c r="BH1180" s="6"/>
      <c r="BI1180" s="6"/>
      <c r="BJ1180" s="6"/>
      <c r="BK1180" s="6"/>
      <c r="BL1180" s="6"/>
      <c r="BM1180" s="6"/>
      <c r="BN1180" s="6"/>
      <c r="BO1180" s="6"/>
      <c r="BP1180" s="6"/>
      <c r="BQ1180" s="6"/>
      <c r="BR1180" s="6"/>
      <c r="BS1180" s="6"/>
      <c r="BT1180" s="6"/>
    </row>
    <row r="1181" spans="1:72">
      <c r="A1181" s="8" t="s">
        <v>22956</v>
      </c>
      <c r="B1181" s="11" t="s">
        <v>22962</v>
      </c>
      <c r="C1181" s="9" t="s">
        <v>22957</v>
      </c>
      <c r="D1181" s="10" t="s">
        <v>22958</v>
      </c>
      <c r="E1181" s="28" t="s">
        <v>5700</v>
      </c>
      <c r="F1181" s="28" t="s">
        <v>138</v>
      </c>
      <c r="G1181" s="28" t="s">
        <v>740</v>
      </c>
      <c r="H1181" s="13">
        <v>10</v>
      </c>
      <c r="I1181" s="12" t="s">
        <v>22972</v>
      </c>
      <c r="J1181" s="12" t="s">
        <v>37771</v>
      </c>
      <c r="K1181" s="12" t="s">
        <v>38299</v>
      </c>
      <c r="L1181" s="12" t="s">
        <v>37796</v>
      </c>
      <c r="M1181" s="12" t="s">
        <v>39900</v>
      </c>
      <c r="N1181" s="12" t="s">
        <v>38334</v>
      </c>
      <c r="O1181" s="12" t="s">
        <v>38398</v>
      </c>
      <c r="P1181" s="12" t="s">
        <v>38189</v>
      </c>
      <c r="Q1181" s="12" t="s">
        <v>37824</v>
      </c>
      <c r="R1181" s="12" t="s">
        <v>41118</v>
      </c>
      <c r="S1181" s="12" t="s">
        <v>43702</v>
      </c>
      <c r="T1181" s="12"/>
      <c r="U1181" s="12"/>
      <c r="V1181" s="12"/>
      <c r="W1181" s="12"/>
      <c r="X1181" s="12"/>
      <c r="Y1181" s="12"/>
      <c r="Z1181" s="12"/>
      <c r="AA1181" s="12"/>
      <c r="AB1181" s="12"/>
      <c r="AC1181" s="12"/>
      <c r="AD1181" s="12"/>
      <c r="AE1181" s="12"/>
      <c r="AF1181" s="12"/>
      <c r="AG1181" s="12"/>
      <c r="AH1181" s="12"/>
      <c r="AI1181" s="12"/>
      <c r="AJ1181" s="12"/>
      <c r="AK1181" s="12"/>
      <c r="AL1181" s="12"/>
      <c r="AM1181" s="12"/>
      <c r="AN1181" s="12"/>
      <c r="AO1181" s="12"/>
      <c r="AP1181" s="12"/>
      <c r="AQ1181" s="12"/>
      <c r="AR1181" s="12"/>
      <c r="AS1181" s="12"/>
      <c r="AT1181" s="12"/>
      <c r="AU1181" s="12"/>
      <c r="AV1181" s="12"/>
      <c r="AW1181" s="12"/>
      <c r="AX1181" s="12"/>
      <c r="AY1181" s="12"/>
      <c r="AZ1181" s="12"/>
      <c r="BA1181" s="12"/>
      <c r="BB1181" s="12"/>
      <c r="BC1181" s="12"/>
      <c r="BD1181" s="12"/>
      <c r="BE1181" s="12"/>
      <c r="BF1181" s="12"/>
      <c r="BG1181" s="12"/>
      <c r="BH1181" s="12"/>
      <c r="BI1181" s="12"/>
      <c r="BJ1181" s="12"/>
      <c r="BK1181" s="12"/>
      <c r="BL1181" s="12"/>
      <c r="BM1181" s="12"/>
      <c r="BN1181" s="12"/>
      <c r="BO1181" s="12"/>
      <c r="BP1181" s="12"/>
      <c r="BQ1181" s="12"/>
      <c r="BR1181" s="12"/>
      <c r="BS1181" s="12"/>
      <c r="BT1181" s="12"/>
    </row>
    <row r="1182" spans="1:72">
      <c r="A1182" s="2" t="s">
        <v>22975</v>
      </c>
      <c r="B1182" s="5" t="s">
        <v>22980</v>
      </c>
      <c r="C1182" s="3" t="s">
        <v>138</v>
      </c>
      <c r="D1182" s="4" t="s">
        <v>138</v>
      </c>
      <c r="E1182" s="15" t="s">
        <v>642</v>
      </c>
      <c r="F1182" s="15" t="s">
        <v>474</v>
      </c>
      <c r="G1182" s="15" t="s">
        <v>162</v>
      </c>
      <c r="H1182" s="7">
        <v>18</v>
      </c>
      <c r="I1182" s="6" t="s">
        <v>22991</v>
      </c>
      <c r="J1182" s="6" t="s">
        <v>38833</v>
      </c>
      <c r="K1182" s="6" t="s">
        <v>39314</v>
      </c>
      <c r="L1182" s="6" t="s">
        <v>43703</v>
      </c>
      <c r="M1182" s="6" t="s">
        <v>43704</v>
      </c>
      <c r="N1182" s="6" t="s">
        <v>43705</v>
      </c>
      <c r="O1182" s="6" t="s">
        <v>43706</v>
      </c>
      <c r="P1182" s="6" t="s">
        <v>43707</v>
      </c>
      <c r="Q1182" s="6" t="s">
        <v>40626</v>
      </c>
      <c r="R1182" s="6" t="s">
        <v>43708</v>
      </c>
      <c r="S1182" s="6" t="s">
        <v>40762</v>
      </c>
      <c r="T1182" s="6" t="s">
        <v>40978</v>
      </c>
      <c r="U1182" s="6" t="s">
        <v>38527</v>
      </c>
      <c r="V1182" s="6" t="s">
        <v>37824</v>
      </c>
      <c r="W1182" s="6" t="s">
        <v>43709</v>
      </c>
      <c r="X1182" s="6" t="s">
        <v>41707</v>
      </c>
      <c r="Y1182" s="6" t="s">
        <v>43710</v>
      </c>
      <c r="Z1182" s="6" t="s">
        <v>40980</v>
      </c>
      <c r="AA1182" s="6" t="s">
        <v>43711</v>
      </c>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6"/>
      <c r="AY1182" s="6"/>
      <c r="AZ1182" s="6"/>
      <c r="BA1182" s="6"/>
      <c r="BB1182" s="6"/>
      <c r="BC1182" s="6"/>
      <c r="BD1182" s="6"/>
      <c r="BE1182" s="6"/>
      <c r="BF1182" s="6"/>
      <c r="BG1182" s="6"/>
      <c r="BH1182" s="6"/>
      <c r="BI1182" s="6"/>
      <c r="BJ1182" s="6"/>
      <c r="BK1182" s="6"/>
      <c r="BL1182" s="6"/>
      <c r="BM1182" s="6"/>
      <c r="BN1182" s="6"/>
      <c r="BO1182" s="6"/>
      <c r="BP1182" s="6"/>
      <c r="BQ1182" s="6"/>
      <c r="BR1182" s="6"/>
      <c r="BS1182" s="6"/>
      <c r="BT1182" s="6"/>
    </row>
    <row r="1183" spans="1:72">
      <c r="A1183" s="8" t="s">
        <v>22994</v>
      </c>
      <c r="B1183" s="11" t="s">
        <v>22998</v>
      </c>
      <c r="C1183" s="9" t="s">
        <v>138</v>
      </c>
      <c r="D1183" s="10" t="s">
        <v>138</v>
      </c>
      <c r="E1183" s="28" t="s">
        <v>18132</v>
      </c>
      <c r="F1183" s="28" t="s">
        <v>18133</v>
      </c>
      <c r="G1183" s="28" t="s">
        <v>2333</v>
      </c>
      <c r="H1183" s="13">
        <v>1</v>
      </c>
      <c r="I1183" s="12" t="s">
        <v>16877</v>
      </c>
      <c r="J1183" s="12" t="s">
        <v>16877</v>
      </c>
      <c r="K1183" s="12"/>
      <c r="L1183" s="12"/>
      <c r="M1183" s="12"/>
      <c r="N1183" s="12"/>
      <c r="O1183" s="12"/>
      <c r="P1183" s="12"/>
      <c r="Q1183" s="12"/>
      <c r="R1183" s="12"/>
      <c r="S1183" s="12"/>
      <c r="T1183" s="12"/>
      <c r="U1183" s="12"/>
      <c r="V1183" s="12"/>
      <c r="W1183" s="12"/>
      <c r="X1183" s="12"/>
      <c r="Y1183" s="12"/>
      <c r="Z1183" s="12"/>
      <c r="AA1183" s="12"/>
      <c r="AB1183" s="12"/>
      <c r="AC1183" s="12"/>
      <c r="AD1183" s="12"/>
      <c r="AE1183" s="12"/>
      <c r="AF1183" s="12"/>
      <c r="AG1183" s="12"/>
      <c r="AH1183" s="12"/>
      <c r="AI1183" s="12"/>
      <c r="AJ1183" s="12"/>
      <c r="AK1183" s="12"/>
      <c r="AL1183" s="12"/>
      <c r="AM1183" s="12"/>
      <c r="AN1183" s="12"/>
      <c r="AO1183" s="12"/>
      <c r="AP1183" s="12"/>
      <c r="AQ1183" s="12"/>
      <c r="AR1183" s="12"/>
      <c r="AS1183" s="12"/>
      <c r="AT1183" s="12"/>
      <c r="AU1183" s="12"/>
      <c r="AV1183" s="12"/>
      <c r="AW1183" s="12"/>
      <c r="AX1183" s="12"/>
      <c r="AY1183" s="12"/>
      <c r="AZ1183" s="12"/>
      <c r="BA1183" s="12"/>
      <c r="BB1183" s="12"/>
      <c r="BC1183" s="12"/>
      <c r="BD1183" s="12"/>
      <c r="BE1183" s="12"/>
      <c r="BF1183" s="12"/>
      <c r="BG1183" s="12"/>
      <c r="BH1183" s="12"/>
      <c r="BI1183" s="12"/>
      <c r="BJ1183" s="12"/>
      <c r="BK1183" s="12"/>
      <c r="BL1183" s="12"/>
      <c r="BM1183" s="12"/>
      <c r="BN1183" s="12"/>
      <c r="BO1183" s="12"/>
      <c r="BP1183" s="12"/>
      <c r="BQ1183" s="12"/>
      <c r="BR1183" s="12"/>
      <c r="BS1183" s="12"/>
      <c r="BT1183" s="12"/>
    </row>
    <row r="1184" spans="1:72">
      <c r="A1184" s="2" t="s">
        <v>23009</v>
      </c>
      <c r="B1184" s="5" t="s">
        <v>23013</v>
      </c>
      <c r="C1184" s="3" t="s">
        <v>138</v>
      </c>
      <c r="D1184" s="4" t="s">
        <v>138</v>
      </c>
      <c r="E1184" s="15" t="s">
        <v>10916</v>
      </c>
      <c r="F1184" s="15" t="s">
        <v>138</v>
      </c>
      <c r="G1184" s="15" t="s">
        <v>740</v>
      </c>
      <c r="H1184" s="7">
        <v>12</v>
      </c>
      <c r="I1184" s="6" t="s">
        <v>23022</v>
      </c>
      <c r="J1184" s="6" t="s">
        <v>43712</v>
      </c>
      <c r="K1184" s="6" t="s">
        <v>41244</v>
      </c>
      <c r="L1184" s="6" t="s">
        <v>38485</v>
      </c>
      <c r="M1184" s="6" t="s">
        <v>38230</v>
      </c>
      <c r="N1184" s="6" t="s">
        <v>43713</v>
      </c>
      <c r="O1184" s="6" t="s">
        <v>39249</v>
      </c>
      <c r="P1184" s="6" t="s">
        <v>39138</v>
      </c>
      <c r="Q1184" s="6" t="s">
        <v>38082</v>
      </c>
      <c r="R1184" s="6" t="s">
        <v>38085</v>
      </c>
      <c r="S1184" s="6" t="s">
        <v>43714</v>
      </c>
      <c r="T1184" s="6" t="s">
        <v>43715</v>
      </c>
      <c r="U1184" s="6" t="s">
        <v>38145</v>
      </c>
      <c r="V1184" s="6"/>
      <c r="W1184" s="6"/>
      <c r="X1184" s="6"/>
      <c r="Y1184" s="6"/>
      <c r="Z1184" s="6"/>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6"/>
      <c r="AY1184" s="6"/>
      <c r="AZ1184" s="6"/>
      <c r="BA1184" s="6"/>
      <c r="BB1184" s="6"/>
      <c r="BC1184" s="6"/>
      <c r="BD1184" s="6"/>
      <c r="BE1184" s="6"/>
      <c r="BF1184" s="6"/>
      <c r="BG1184" s="6"/>
      <c r="BH1184" s="6"/>
      <c r="BI1184" s="6"/>
      <c r="BJ1184" s="6"/>
      <c r="BK1184" s="6"/>
      <c r="BL1184" s="6"/>
      <c r="BM1184" s="6"/>
      <c r="BN1184" s="6"/>
      <c r="BO1184" s="6"/>
      <c r="BP1184" s="6"/>
      <c r="BQ1184" s="6"/>
      <c r="BR1184" s="6"/>
      <c r="BS1184" s="6"/>
      <c r="BT1184" s="6"/>
    </row>
    <row r="1185" spans="1:72">
      <c r="A1185" s="8" t="s">
        <v>23025</v>
      </c>
      <c r="B1185" s="11" t="s">
        <v>23030</v>
      </c>
      <c r="C1185" s="9" t="s">
        <v>138</v>
      </c>
      <c r="D1185" s="10" t="s">
        <v>138</v>
      </c>
      <c r="E1185" s="28" t="s">
        <v>668</v>
      </c>
      <c r="F1185" s="28" t="s">
        <v>200</v>
      </c>
      <c r="G1185" s="28" t="s">
        <v>162</v>
      </c>
      <c r="H1185" s="13">
        <v>23</v>
      </c>
      <c r="I1185" s="12" t="s">
        <v>23039</v>
      </c>
      <c r="J1185" s="12" t="s">
        <v>38061</v>
      </c>
      <c r="K1185" s="12" t="s">
        <v>38364</v>
      </c>
      <c r="L1185" s="12" t="s">
        <v>38175</v>
      </c>
      <c r="M1185" s="12" t="s">
        <v>38738</v>
      </c>
      <c r="N1185" s="12" t="s">
        <v>38178</v>
      </c>
      <c r="O1185" s="12" t="s">
        <v>38968</v>
      </c>
      <c r="P1185" s="12" t="s">
        <v>38332</v>
      </c>
      <c r="Q1185" s="12" t="s">
        <v>38148</v>
      </c>
      <c r="R1185" s="12" t="s">
        <v>38114</v>
      </c>
      <c r="S1185" s="12" t="s">
        <v>43716</v>
      </c>
      <c r="T1185" s="12" t="s">
        <v>43717</v>
      </c>
      <c r="U1185" s="12" t="s">
        <v>38121</v>
      </c>
      <c r="V1185" s="12" t="s">
        <v>37922</v>
      </c>
      <c r="W1185" s="12" t="s">
        <v>37923</v>
      </c>
      <c r="X1185" s="12" t="s">
        <v>37824</v>
      </c>
      <c r="Y1185" s="12" t="s">
        <v>38319</v>
      </c>
      <c r="Z1185" s="12" t="s">
        <v>38432</v>
      </c>
      <c r="AA1185" s="12" t="s">
        <v>43718</v>
      </c>
      <c r="AB1185" s="12" t="s">
        <v>37781</v>
      </c>
      <c r="AC1185" s="12" t="s">
        <v>42189</v>
      </c>
      <c r="AD1185" s="12" t="s">
        <v>37783</v>
      </c>
      <c r="AE1185" s="12" t="s">
        <v>43719</v>
      </c>
      <c r="AF1185" s="12" t="s">
        <v>38143</v>
      </c>
      <c r="AG1185" s="12"/>
      <c r="AH1185" s="12"/>
      <c r="AI1185" s="12"/>
      <c r="AJ1185" s="12"/>
      <c r="AK1185" s="12"/>
      <c r="AL1185" s="12"/>
      <c r="AM1185" s="12"/>
      <c r="AN1185" s="12"/>
      <c r="AO1185" s="12"/>
      <c r="AP1185" s="12"/>
      <c r="AQ1185" s="12"/>
      <c r="AR1185" s="12"/>
      <c r="AS1185" s="12"/>
      <c r="AT1185" s="12"/>
      <c r="AU1185" s="12"/>
      <c r="AV1185" s="12"/>
      <c r="AW1185" s="12"/>
      <c r="AX1185" s="12"/>
      <c r="AY1185" s="12"/>
      <c r="AZ1185" s="12"/>
      <c r="BA1185" s="12"/>
      <c r="BB1185" s="12"/>
      <c r="BC1185" s="12"/>
      <c r="BD1185" s="12"/>
      <c r="BE1185" s="12"/>
      <c r="BF1185" s="12"/>
      <c r="BG1185" s="12"/>
      <c r="BH1185" s="12"/>
      <c r="BI1185" s="12"/>
      <c r="BJ1185" s="12"/>
      <c r="BK1185" s="12"/>
      <c r="BL1185" s="12"/>
      <c r="BM1185" s="12"/>
      <c r="BN1185" s="12"/>
      <c r="BO1185" s="12"/>
      <c r="BP1185" s="12"/>
      <c r="BQ1185" s="12"/>
      <c r="BR1185" s="12"/>
      <c r="BS1185" s="12"/>
      <c r="BT1185" s="12"/>
    </row>
    <row r="1186" spans="1:72">
      <c r="A1186" s="2" t="s">
        <v>23043</v>
      </c>
      <c r="B1186" s="5" t="s">
        <v>23046</v>
      </c>
      <c r="C1186" s="3" t="s">
        <v>138</v>
      </c>
      <c r="D1186" s="4" t="s">
        <v>138</v>
      </c>
      <c r="E1186" s="15" t="s">
        <v>14129</v>
      </c>
      <c r="F1186" s="15" t="s">
        <v>14130</v>
      </c>
      <c r="G1186" s="15" t="s">
        <v>2742</v>
      </c>
      <c r="H1186" s="7">
        <v>3</v>
      </c>
      <c r="I1186" s="6" t="s">
        <v>23058</v>
      </c>
      <c r="J1186" s="6" t="s">
        <v>7802</v>
      </c>
      <c r="K1186" s="6" t="s">
        <v>43156</v>
      </c>
      <c r="L1186" s="6" t="s">
        <v>43720</v>
      </c>
      <c r="M1186" s="6"/>
      <c r="N1186" s="6"/>
      <c r="O1186" s="6"/>
      <c r="P1186" s="6"/>
      <c r="Q1186" s="6"/>
      <c r="R1186" s="6"/>
      <c r="S1186" s="6"/>
      <c r="T1186" s="6"/>
      <c r="U1186" s="6"/>
      <c r="V1186" s="6"/>
      <c r="W1186" s="6"/>
      <c r="X1186" s="6"/>
      <c r="Y1186" s="6"/>
      <c r="Z1186" s="6"/>
      <c r="AA1186" s="6"/>
      <c r="AB1186" s="6"/>
      <c r="AC1186" s="6"/>
      <c r="AD1186" s="6"/>
      <c r="AE1186" s="6"/>
      <c r="AF1186" s="6"/>
      <c r="AG1186" s="6"/>
      <c r="AH1186" s="6"/>
      <c r="AI1186" s="6"/>
      <c r="AJ1186" s="6"/>
      <c r="AK1186" s="6"/>
      <c r="AL1186" s="6"/>
      <c r="AM1186" s="6"/>
      <c r="AN1186" s="6"/>
      <c r="AO1186" s="6"/>
      <c r="AP1186" s="6"/>
      <c r="AQ1186" s="6"/>
      <c r="AR1186" s="6"/>
      <c r="AS1186" s="6"/>
      <c r="AT1186" s="6"/>
      <c r="AU1186" s="6"/>
      <c r="AV1186" s="6"/>
      <c r="AW1186" s="6"/>
      <c r="AX1186" s="6"/>
      <c r="AY1186" s="6"/>
      <c r="AZ1186" s="6"/>
      <c r="BA1186" s="6"/>
      <c r="BB1186" s="6"/>
      <c r="BC1186" s="6"/>
      <c r="BD1186" s="6"/>
      <c r="BE1186" s="6"/>
      <c r="BF1186" s="6"/>
      <c r="BG1186" s="6"/>
      <c r="BH1186" s="6"/>
      <c r="BI1186" s="6"/>
      <c r="BJ1186" s="6"/>
      <c r="BK1186" s="6"/>
      <c r="BL1186" s="6"/>
      <c r="BM1186" s="6"/>
      <c r="BN1186" s="6"/>
      <c r="BO1186" s="6"/>
      <c r="BP1186" s="6"/>
      <c r="BQ1186" s="6"/>
      <c r="BR1186" s="6"/>
      <c r="BS1186" s="6"/>
      <c r="BT1186" s="6"/>
    </row>
    <row r="1187" spans="1:72">
      <c r="A1187" s="8" t="s">
        <v>23061</v>
      </c>
      <c r="B1187" s="11" t="s">
        <v>23067</v>
      </c>
      <c r="C1187" s="9" t="s">
        <v>138</v>
      </c>
      <c r="D1187" s="10" t="s">
        <v>138</v>
      </c>
      <c r="E1187" s="28" t="s">
        <v>668</v>
      </c>
      <c r="F1187" s="28" t="s">
        <v>200</v>
      </c>
      <c r="G1187" s="28" t="s">
        <v>162</v>
      </c>
      <c r="H1187" s="13">
        <v>9</v>
      </c>
      <c r="I1187" s="12" t="s">
        <v>23077</v>
      </c>
      <c r="J1187" s="12" t="s">
        <v>43721</v>
      </c>
      <c r="K1187" s="12" t="s">
        <v>43722</v>
      </c>
      <c r="L1187" s="12" t="s">
        <v>43723</v>
      </c>
      <c r="M1187" s="12" t="s">
        <v>42258</v>
      </c>
      <c r="N1187" s="12" t="s">
        <v>37839</v>
      </c>
      <c r="O1187" s="12" t="s">
        <v>43724</v>
      </c>
      <c r="P1187" s="12" t="s">
        <v>40651</v>
      </c>
      <c r="Q1187" s="12" t="s">
        <v>38787</v>
      </c>
      <c r="R1187" s="12" t="s">
        <v>38144</v>
      </c>
      <c r="S1187" s="12"/>
      <c r="T1187" s="12"/>
      <c r="U1187" s="12"/>
      <c r="V1187" s="12"/>
      <c r="W1187" s="12"/>
      <c r="X1187" s="12"/>
      <c r="Y1187" s="12"/>
      <c r="Z1187" s="12"/>
      <c r="AA1187" s="12"/>
      <c r="AB1187" s="12"/>
      <c r="AC1187" s="12"/>
      <c r="AD1187" s="12"/>
      <c r="AE1187" s="12"/>
      <c r="AF1187" s="12"/>
      <c r="AG1187" s="12"/>
      <c r="AH1187" s="12"/>
      <c r="AI1187" s="12"/>
      <c r="AJ1187" s="12"/>
      <c r="AK1187" s="12"/>
      <c r="AL1187" s="12"/>
      <c r="AM1187" s="12"/>
      <c r="AN1187" s="12"/>
      <c r="AO1187" s="12"/>
      <c r="AP1187" s="12"/>
      <c r="AQ1187" s="12"/>
      <c r="AR1187" s="12"/>
      <c r="AS1187" s="12"/>
      <c r="AT1187" s="12"/>
      <c r="AU1187" s="12"/>
      <c r="AV1187" s="12"/>
      <c r="AW1187" s="12"/>
      <c r="AX1187" s="12"/>
      <c r="AY1187" s="12"/>
      <c r="AZ1187" s="12"/>
      <c r="BA1187" s="12"/>
      <c r="BB1187" s="12"/>
      <c r="BC1187" s="12"/>
      <c r="BD1187" s="12"/>
      <c r="BE1187" s="12"/>
      <c r="BF1187" s="12"/>
      <c r="BG1187" s="12"/>
      <c r="BH1187" s="12"/>
      <c r="BI1187" s="12"/>
      <c r="BJ1187" s="12"/>
      <c r="BK1187" s="12"/>
      <c r="BL1187" s="12"/>
      <c r="BM1187" s="12"/>
      <c r="BN1187" s="12"/>
      <c r="BO1187" s="12"/>
      <c r="BP1187" s="12"/>
      <c r="BQ1187" s="12"/>
      <c r="BR1187" s="12"/>
      <c r="BS1187" s="12"/>
      <c r="BT1187" s="12"/>
    </row>
    <row r="1188" spans="1:72">
      <c r="A1188" s="2" t="s">
        <v>23082</v>
      </c>
      <c r="B1188" s="5" t="s">
        <v>23087</v>
      </c>
      <c r="C1188" s="3" t="s">
        <v>138</v>
      </c>
      <c r="D1188" s="4" t="s">
        <v>138</v>
      </c>
      <c r="E1188" s="15" t="s">
        <v>1294</v>
      </c>
      <c r="F1188" s="15" t="s">
        <v>864</v>
      </c>
      <c r="G1188" s="15" t="s">
        <v>162</v>
      </c>
      <c r="H1188" s="7">
        <v>6</v>
      </c>
      <c r="I1188" s="6" t="s">
        <v>23097</v>
      </c>
      <c r="J1188" s="6" t="s">
        <v>43725</v>
      </c>
      <c r="K1188" s="6" t="s">
        <v>39185</v>
      </c>
      <c r="L1188" s="6" t="s">
        <v>43726</v>
      </c>
      <c r="M1188" s="6" t="s">
        <v>43727</v>
      </c>
      <c r="N1188" s="6" t="s">
        <v>37786</v>
      </c>
      <c r="O1188" s="6" t="s">
        <v>38182</v>
      </c>
      <c r="P1188" s="6"/>
      <c r="Q1188" s="6"/>
      <c r="R1188" s="6"/>
      <c r="S1188" s="6"/>
      <c r="T1188" s="6"/>
      <c r="U1188" s="6"/>
      <c r="V1188" s="6"/>
      <c r="W1188" s="6"/>
      <c r="X1188" s="6"/>
      <c r="Y1188" s="6"/>
      <c r="Z1188" s="6"/>
      <c r="AA1188" s="6"/>
      <c r="AB1188" s="6"/>
      <c r="AC1188" s="6"/>
      <c r="AD1188" s="6"/>
      <c r="AE1188" s="6"/>
      <c r="AF1188" s="6"/>
      <c r="AG1188" s="6"/>
      <c r="AH1188" s="6"/>
      <c r="AI1188" s="6"/>
      <c r="AJ1188" s="6"/>
      <c r="AK1188" s="6"/>
      <c r="AL1188" s="6"/>
      <c r="AM1188" s="6"/>
      <c r="AN1188" s="6"/>
      <c r="AO1188" s="6"/>
      <c r="AP1188" s="6"/>
      <c r="AQ1188" s="6"/>
      <c r="AR1188" s="6"/>
      <c r="AS1188" s="6"/>
      <c r="AT1188" s="6"/>
      <c r="AU1188" s="6"/>
      <c r="AV1188" s="6"/>
      <c r="AW1188" s="6"/>
      <c r="AX1188" s="6"/>
      <c r="AY1188" s="6"/>
      <c r="AZ1188" s="6"/>
      <c r="BA1188" s="6"/>
      <c r="BB1188" s="6"/>
      <c r="BC1188" s="6"/>
      <c r="BD1188" s="6"/>
      <c r="BE1188" s="6"/>
      <c r="BF1188" s="6"/>
      <c r="BG1188" s="6"/>
      <c r="BH1188" s="6"/>
      <c r="BI1188" s="6"/>
      <c r="BJ1188" s="6"/>
      <c r="BK1188" s="6"/>
      <c r="BL1188" s="6"/>
      <c r="BM1188" s="6"/>
      <c r="BN1188" s="6"/>
      <c r="BO1188" s="6"/>
      <c r="BP1188" s="6"/>
      <c r="BQ1188" s="6"/>
      <c r="BR1188" s="6"/>
      <c r="BS1188" s="6"/>
      <c r="BT1188" s="6"/>
    </row>
    <row r="1189" spans="1:72">
      <c r="A1189" s="8" t="s">
        <v>23100</v>
      </c>
      <c r="B1189" s="11" t="s">
        <v>23105</v>
      </c>
      <c r="C1189" s="9" t="s">
        <v>138</v>
      </c>
      <c r="D1189" s="10" t="s">
        <v>138</v>
      </c>
      <c r="E1189" s="28" t="s">
        <v>1872</v>
      </c>
      <c r="F1189" s="28" t="s">
        <v>200</v>
      </c>
      <c r="G1189" s="28" t="s">
        <v>162</v>
      </c>
      <c r="H1189" s="13">
        <v>5</v>
      </c>
      <c r="I1189" s="12" t="s">
        <v>23114</v>
      </c>
      <c r="J1189" s="12" t="s">
        <v>39319</v>
      </c>
      <c r="K1189" s="12" t="s">
        <v>40657</v>
      </c>
      <c r="L1189" s="12" t="s">
        <v>40435</v>
      </c>
      <c r="M1189" s="12" t="s">
        <v>39322</v>
      </c>
      <c r="N1189" s="12" t="s">
        <v>37781</v>
      </c>
      <c r="O1189" s="12"/>
      <c r="P1189" s="12"/>
      <c r="Q1189" s="12"/>
      <c r="R1189" s="12"/>
      <c r="S1189" s="12"/>
      <c r="T1189" s="12"/>
      <c r="U1189" s="12"/>
      <c r="V1189" s="12"/>
      <c r="W1189" s="12"/>
      <c r="X1189" s="12"/>
      <c r="Y1189" s="12"/>
      <c r="Z1189" s="12"/>
      <c r="AA1189" s="12"/>
      <c r="AB1189" s="12"/>
      <c r="AC1189" s="12"/>
      <c r="AD1189" s="12"/>
      <c r="AE1189" s="12"/>
      <c r="AF1189" s="12"/>
      <c r="AG1189" s="12"/>
      <c r="AH1189" s="12"/>
      <c r="AI1189" s="12"/>
      <c r="AJ1189" s="12"/>
      <c r="AK1189" s="12"/>
      <c r="AL1189" s="12"/>
      <c r="AM1189" s="12"/>
      <c r="AN1189" s="12"/>
      <c r="AO1189" s="12"/>
      <c r="AP1189" s="12"/>
      <c r="AQ1189" s="12"/>
      <c r="AR1189" s="12"/>
      <c r="AS1189" s="12"/>
      <c r="AT1189" s="12"/>
      <c r="AU1189" s="12"/>
      <c r="AV1189" s="12"/>
      <c r="AW1189" s="12"/>
      <c r="AX1189" s="12"/>
      <c r="AY1189" s="12"/>
      <c r="AZ1189" s="12"/>
      <c r="BA1189" s="12"/>
      <c r="BB1189" s="12"/>
      <c r="BC1189" s="12"/>
      <c r="BD1189" s="12"/>
      <c r="BE1189" s="12"/>
      <c r="BF1189" s="12"/>
      <c r="BG1189" s="12"/>
      <c r="BH1189" s="12"/>
      <c r="BI1189" s="12"/>
      <c r="BJ1189" s="12"/>
      <c r="BK1189" s="12"/>
      <c r="BL1189" s="12"/>
      <c r="BM1189" s="12"/>
      <c r="BN1189" s="12"/>
      <c r="BO1189" s="12"/>
      <c r="BP1189" s="12"/>
      <c r="BQ1189" s="12"/>
      <c r="BR1189" s="12"/>
      <c r="BS1189" s="12"/>
      <c r="BT1189" s="12"/>
    </row>
    <row r="1190" spans="1:72">
      <c r="A1190" s="2" t="s">
        <v>23117</v>
      </c>
      <c r="B1190" s="5" t="s">
        <v>23121</v>
      </c>
      <c r="C1190" s="3" t="s">
        <v>138</v>
      </c>
      <c r="D1190" s="4" t="s">
        <v>138</v>
      </c>
      <c r="E1190" s="15" t="s">
        <v>966</v>
      </c>
      <c r="F1190" s="15" t="s">
        <v>200</v>
      </c>
      <c r="G1190" s="15" t="s">
        <v>162</v>
      </c>
      <c r="H1190" s="7">
        <v>14</v>
      </c>
      <c r="I1190" s="6" t="s">
        <v>23131</v>
      </c>
      <c r="J1190" s="6" t="s">
        <v>39264</v>
      </c>
      <c r="K1190" s="6" t="s">
        <v>43728</v>
      </c>
      <c r="L1190" s="6" t="s">
        <v>38299</v>
      </c>
      <c r="M1190" s="6" t="s">
        <v>37943</v>
      </c>
      <c r="N1190" s="6" t="s">
        <v>43729</v>
      </c>
      <c r="O1190" s="6" t="s">
        <v>38333</v>
      </c>
      <c r="P1190" s="6" t="s">
        <v>37822</v>
      </c>
      <c r="Q1190" s="6" t="s">
        <v>37787</v>
      </c>
      <c r="R1190" s="6" t="s">
        <v>43730</v>
      </c>
      <c r="S1190" s="6" t="s">
        <v>42445</v>
      </c>
      <c r="T1190" s="6" t="s">
        <v>43731</v>
      </c>
      <c r="U1190" s="6" t="s">
        <v>40361</v>
      </c>
      <c r="V1190" s="6" t="s">
        <v>41823</v>
      </c>
      <c r="W1190" s="6" t="s">
        <v>41624</v>
      </c>
      <c r="X1190" s="6"/>
      <c r="Y1190" s="6"/>
      <c r="Z1190" s="6"/>
      <c r="AA1190" s="6"/>
      <c r="AB1190" s="6"/>
      <c r="AC1190" s="6"/>
      <c r="AD1190" s="6"/>
      <c r="AE1190" s="6"/>
      <c r="AF1190" s="6"/>
      <c r="AG1190" s="6"/>
      <c r="AH1190" s="6"/>
      <c r="AI1190" s="6"/>
      <c r="AJ1190" s="6"/>
      <c r="AK1190" s="6"/>
      <c r="AL1190" s="6"/>
      <c r="AM1190" s="6"/>
      <c r="AN1190" s="6"/>
      <c r="AO1190" s="6"/>
      <c r="AP1190" s="6"/>
      <c r="AQ1190" s="6"/>
      <c r="AR1190" s="6"/>
      <c r="AS1190" s="6"/>
      <c r="AT1190" s="6"/>
      <c r="AU1190" s="6"/>
      <c r="AV1190" s="6"/>
      <c r="AW1190" s="6"/>
      <c r="AX1190" s="6"/>
      <c r="AY1190" s="6"/>
      <c r="AZ1190" s="6"/>
      <c r="BA1190" s="6"/>
      <c r="BB1190" s="6"/>
      <c r="BC1190" s="6"/>
      <c r="BD1190" s="6"/>
      <c r="BE1190" s="6"/>
      <c r="BF1190" s="6"/>
      <c r="BG1190" s="6"/>
      <c r="BH1190" s="6"/>
      <c r="BI1190" s="6"/>
      <c r="BJ1190" s="6"/>
      <c r="BK1190" s="6"/>
      <c r="BL1190" s="6"/>
      <c r="BM1190" s="6"/>
      <c r="BN1190" s="6"/>
      <c r="BO1190" s="6"/>
      <c r="BP1190" s="6"/>
      <c r="BQ1190" s="6"/>
      <c r="BR1190" s="6"/>
      <c r="BS1190" s="6"/>
      <c r="BT1190" s="6"/>
    </row>
    <row r="1191" spans="1:72">
      <c r="A1191" s="8" t="s">
        <v>23135</v>
      </c>
      <c r="B1191" s="11" t="s">
        <v>23139</v>
      </c>
      <c r="C1191" s="9" t="s">
        <v>138</v>
      </c>
      <c r="D1191" s="10" t="s">
        <v>138</v>
      </c>
      <c r="E1191" s="28" t="s">
        <v>426</v>
      </c>
      <c r="F1191" s="28" t="s">
        <v>426</v>
      </c>
      <c r="G1191" s="28" t="s">
        <v>162</v>
      </c>
      <c r="H1191" s="13">
        <v>7</v>
      </c>
      <c r="I1191" s="12" t="s">
        <v>23150</v>
      </c>
      <c r="J1191" s="12" t="s">
        <v>43732</v>
      </c>
      <c r="K1191" s="12" t="s">
        <v>42367</v>
      </c>
      <c r="L1191" s="12" t="s">
        <v>43733</v>
      </c>
      <c r="M1191" s="12" t="s">
        <v>38184</v>
      </c>
      <c r="N1191" s="12" t="s">
        <v>43734</v>
      </c>
      <c r="O1191" s="12" t="s">
        <v>37890</v>
      </c>
      <c r="P1191" s="12" t="s">
        <v>43735</v>
      </c>
      <c r="Q1191" s="12"/>
      <c r="R1191" s="12"/>
      <c r="S1191" s="12"/>
      <c r="T1191" s="12"/>
      <c r="U1191" s="12"/>
      <c r="V1191" s="12"/>
      <c r="W1191" s="12"/>
      <c r="X1191" s="12"/>
      <c r="Y1191" s="12"/>
      <c r="Z1191" s="12"/>
      <c r="AA1191" s="12"/>
      <c r="AB1191" s="12"/>
      <c r="AC1191" s="12"/>
      <c r="AD1191" s="12"/>
      <c r="AE1191" s="12"/>
      <c r="AF1191" s="12"/>
      <c r="AG1191" s="12"/>
      <c r="AH1191" s="12"/>
      <c r="AI1191" s="12"/>
      <c r="AJ1191" s="12"/>
      <c r="AK1191" s="12"/>
      <c r="AL1191" s="12"/>
      <c r="AM1191" s="12"/>
      <c r="AN1191" s="12"/>
      <c r="AO1191" s="12"/>
      <c r="AP1191" s="12"/>
      <c r="AQ1191" s="12"/>
      <c r="AR1191" s="12"/>
      <c r="AS1191" s="12"/>
      <c r="AT1191" s="12"/>
      <c r="AU1191" s="12"/>
      <c r="AV1191" s="12"/>
      <c r="AW1191" s="12"/>
      <c r="AX1191" s="12"/>
      <c r="AY1191" s="12"/>
      <c r="AZ1191" s="12"/>
      <c r="BA1191" s="12"/>
      <c r="BB1191" s="12"/>
      <c r="BC1191" s="12"/>
      <c r="BD1191" s="12"/>
      <c r="BE1191" s="12"/>
      <c r="BF1191" s="12"/>
      <c r="BG1191" s="12"/>
      <c r="BH1191" s="12"/>
      <c r="BI1191" s="12"/>
      <c r="BJ1191" s="12"/>
      <c r="BK1191" s="12"/>
      <c r="BL1191" s="12"/>
      <c r="BM1191" s="12"/>
      <c r="BN1191" s="12"/>
      <c r="BO1191" s="12"/>
      <c r="BP1191" s="12"/>
      <c r="BQ1191" s="12"/>
      <c r="BR1191" s="12"/>
      <c r="BS1191" s="12"/>
      <c r="BT1191" s="12"/>
    </row>
    <row r="1192" spans="1:72">
      <c r="A1192" s="2" t="s">
        <v>23153</v>
      </c>
      <c r="B1192" s="5" t="s">
        <v>23156</v>
      </c>
      <c r="C1192" s="3" t="s">
        <v>138</v>
      </c>
      <c r="D1192" s="4" t="s">
        <v>138</v>
      </c>
      <c r="E1192" s="15" t="s">
        <v>23163</v>
      </c>
      <c r="F1192" s="15" t="s">
        <v>138</v>
      </c>
      <c r="G1192" s="15" t="s">
        <v>1319</v>
      </c>
      <c r="H1192" s="7">
        <v>4</v>
      </c>
      <c r="I1192" s="6" t="s">
        <v>23168</v>
      </c>
      <c r="J1192" s="6" t="s">
        <v>43736</v>
      </c>
      <c r="K1192" s="6" t="s">
        <v>43737</v>
      </c>
      <c r="L1192" s="6" t="s">
        <v>38306</v>
      </c>
      <c r="M1192" s="6" t="s">
        <v>38363</v>
      </c>
      <c r="N1192" s="6"/>
      <c r="O1192" s="6"/>
      <c r="P1192" s="6"/>
      <c r="Q1192" s="6"/>
      <c r="R1192" s="6"/>
      <c r="S1192" s="6"/>
      <c r="T1192" s="6"/>
      <c r="U1192" s="6"/>
      <c r="V1192" s="6"/>
      <c r="W1192" s="6"/>
      <c r="X1192" s="6"/>
      <c r="Y1192" s="6"/>
      <c r="Z1192" s="6"/>
      <c r="AA1192" s="6"/>
      <c r="AB1192" s="6"/>
      <c r="AC1192" s="6"/>
      <c r="AD1192" s="6"/>
      <c r="AE1192" s="6"/>
      <c r="AF1192" s="6"/>
      <c r="AG1192" s="6"/>
      <c r="AH1192" s="6"/>
      <c r="AI1192" s="6"/>
      <c r="AJ1192" s="6"/>
      <c r="AK1192" s="6"/>
      <c r="AL1192" s="6"/>
      <c r="AM1192" s="6"/>
      <c r="AN1192" s="6"/>
      <c r="AO1192" s="6"/>
      <c r="AP1192" s="6"/>
      <c r="AQ1192" s="6"/>
      <c r="AR1192" s="6"/>
      <c r="AS1192" s="6"/>
      <c r="AT1192" s="6"/>
      <c r="AU1192" s="6"/>
      <c r="AV1192" s="6"/>
      <c r="AW1192" s="6"/>
      <c r="AX1192" s="6"/>
      <c r="AY1192" s="6"/>
      <c r="AZ1192" s="6"/>
      <c r="BA1192" s="6"/>
      <c r="BB1192" s="6"/>
      <c r="BC1192" s="6"/>
      <c r="BD1192" s="6"/>
      <c r="BE1192" s="6"/>
      <c r="BF1192" s="6"/>
      <c r="BG1192" s="6"/>
      <c r="BH1192" s="6"/>
      <c r="BI1192" s="6"/>
      <c r="BJ1192" s="6"/>
      <c r="BK1192" s="6"/>
      <c r="BL1192" s="6"/>
      <c r="BM1192" s="6"/>
      <c r="BN1192" s="6"/>
      <c r="BO1192" s="6"/>
      <c r="BP1192" s="6"/>
      <c r="BQ1192" s="6"/>
      <c r="BR1192" s="6"/>
      <c r="BS1192" s="6"/>
      <c r="BT1192" s="6"/>
    </row>
    <row r="1193" spans="1:72">
      <c r="A1193" s="8" t="s">
        <v>23171</v>
      </c>
      <c r="B1193" s="11" t="s">
        <v>23176</v>
      </c>
      <c r="C1193" s="9" t="s">
        <v>138</v>
      </c>
      <c r="D1193" s="10" t="s">
        <v>138</v>
      </c>
      <c r="E1193" s="28" t="s">
        <v>668</v>
      </c>
      <c r="F1193" s="28" t="s">
        <v>200</v>
      </c>
      <c r="G1193" s="28" t="s">
        <v>162</v>
      </c>
      <c r="H1193" s="13">
        <v>16</v>
      </c>
      <c r="I1193" s="12" t="s">
        <v>23184</v>
      </c>
      <c r="J1193" s="12" t="s">
        <v>43738</v>
      </c>
      <c r="K1193" s="12" t="s">
        <v>40200</v>
      </c>
      <c r="L1193" s="12" t="s">
        <v>38931</v>
      </c>
      <c r="M1193" s="12" t="s">
        <v>41504</v>
      </c>
      <c r="N1193" s="12" t="s">
        <v>38803</v>
      </c>
      <c r="O1193" s="12" t="s">
        <v>43739</v>
      </c>
      <c r="P1193" s="12" t="s">
        <v>38721</v>
      </c>
      <c r="Q1193" s="12" t="s">
        <v>37953</v>
      </c>
      <c r="R1193" s="12" t="s">
        <v>38991</v>
      </c>
      <c r="S1193" s="12" t="s">
        <v>39290</v>
      </c>
      <c r="T1193" s="12" t="s">
        <v>43740</v>
      </c>
      <c r="U1193" s="12" t="s">
        <v>37859</v>
      </c>
      <c r="V1193" s="12" t="s">
        <v>37781</v>
      </c>
      <c r="W1193" s="12" t="s">
        <v>41041</v>
      </c>
      <c r="X1193" s="12" t="s">
        <v>41114</v>
      </c>
      <c r="Y1193" s="12" t="s">
        <v>39972</v>
      </c>
      <c r="Z1193" s="12"/>
      <c r="AA1193" s="12"/>
      <c r="AB1193" s="12"/>
      <c r="AC1193" s="12"/>
      <c r="AD1193" s="12"/>
      <c r="AE1193" s="12"/>
      <c r="AF1193" s="12"/>
      <c r="AG1193" s="12"/>
      <c r="AH1193" s="12"/>
      <c r="AI1193" s="12"/>
      <c r="AJ1193" s="12"/>
      <c r="AK1193" s="12"/>
      <c r="AL1193" s="12"/>
      <c r="AM1193" s="12"/>
      <c r="AN1193" s="12"/>
      <c r="AO1193" s="12"/>
      <c r="AP1193" s="12"/>
      <c r="AQ1193" s="12"/>
      <c r="AR1193" s="12"/>
      <c r="AS1193" s="12"/>
      <c r="AT1193" s="12"/>
      <c r="AU1193" s="12"/>
      <c r="AV1193" s="12"/>
      <c r="AW1193" s="12"/>
      <c r="AX1193" s="12"/>
      <c r="AY1193" s="12"/>
      <c r="AZ1193" s="12"/>
      <c r="BA1193" s="12"/>
      <c r="BB1193" s="12"/>
      <c r="BC1193" s="12"/>
      <c r="BD1193" s="12"/>
      <c r="BE1193" s="12"/>
      <c r="BF1193" s="12"/>
      <c r="BG1193" s="12"/>
      <c r="BH1193" s="12"/>
      <c r="BI1193" s="12"/>
      <c r="BJ1193" s="12"/>
      <c r="BK1193" s="12"/>
      <c r="BL1193" s="12"/>
      <c r="BM1193" s="12"/>
      <c r="BN1193" s="12"/>
      <c r="BO1193" s="12"/>
      <c r="BP1193" s="12"/>
      <c r="BQ1193" s="12"/>
      <c r="BR1193" s="12"/>
      <c r="BS1193" s="12"/>
      <c r="BT1193" s="12"/>
    </row>
    <row r="1194" spans="1:72">
      <c r="A1194" s="2" t="s">
        <v>23188</v>
      </c>
      <c r="B1194" s="5" t="s">
        <v>23195</v>
      </c>
      <c r="C1194" s="3" t="s">
        <v>138</v>
      </c>
      <c r="D1194" s="4" t="s">
        <v>23189</v>
      </c>
      <c r="E1194" s="15" t="s">
        <v>23202</v>
      </c>
      <c r="F1194" s="15" t="s">
        <v>23203</v>
      </c>
      <c r="G1194" s="15" t="s">
        <v>2333</v>
      </c>
      <c r="H1194" s="7">
        <v>14</v>
      </c>
      <c r="I1194" s="6" t="s">
        <v>23207</v>
      </c>
      <c r="J1194" s="6" t="s">
        <v>38868</v>
      </c>
      <c r="K1194" s="6" t="s">
        <v>40494</v>
      </c>
      <c r="L1194" s="6" t="s">
        <v>43741</v>
      </c>
      <c r="M1194" s="6" t="s">
        <v>43742</v>
      </c>
      <c r="N1194" s="6" t="s">
        <v>38299</v>
      </c>
      <c r="O1194" s="6" t="s">
        <v>38076</v>
      </c>
      <c r="P1194" s="6" t="s">
        <v>43743</v>
      </c>
      <c r="Q1194" s="6" t="s">
        <v>43744</v>
      </c>
      <c r="R1194" s="6" t="s">
        <v>43745</v>
      </c>
      <c r="S1194" s="6" t="s">
        <v>37856</v>
      </c>
      <c r="T1194" s="6" t="s">
        <v>43746</v>
      </c>
      <c r="U1194" s="6" t="s">
        <v>43747</v>
      </c>
      <c r="V1194" s="6" t="s">
        <v>38363</v>
      </c>
      <c r="W1194" s="6" t="s">
        <v>43748</v>
      </c>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c r="AX1194" s="6"/>
      <c r="AY1194" s="6"/>
      <c r="AZ1194" s="6"/>
      <c r="BA1194" s="6"/>
      <c r="BB1194" s="6"/>
      <c r="BC1194" s="6"/>
      <c r="BD1194" s="6"/>
      <c r="BE1194" s="6"/>
      <c r="BF1194" s="6"/>
      <c r="BG1194" s="6"/>
      <c r="BH1194" s="6"/>
      <c r="BI1194" s="6"/>
      <c r="BJ1194" s="6"/>
      <c r="BK1194" s="6"/>
      <c r="BL1194" s="6"/>
      <c r="BM1194" s="6"/>
      <c r="BN1194" s="6"/>
      <c r="BO1194" s="6"/>
      <c r="BP1194" s="6"/>
      <c r="BQ1194" s="6"/>
      <c r="BR1194" s="6"/>
      <c r="BS1194" s="6"/>
      <c r="BT1194" s="6"/>
    </row>
    <row r="1195" spans="1:72">
      <c r="A1195" s="8" t="s">
        <v>23211</v>
      </c>
      <c r="B1195" s="11" t="s">
        <v>23216</v>
      </c>
      <c r="C1195" s="9" t="s">
        <v>138</v>
      </c>
      <c r="D1195" s="10" t="s">
        <v>138</v>
      </c>
      <c r="E1195" s="28" t="s">
        <v>1872</v>
      </c>
      <c r="F1195" s="28" t="s">
        <v>200</v>
      </c>
      <c r="G1195" s="28" t="s">
        <v>162</v>
      </c>
      <c r="H1195" s="13" t="s">
        <v>138</v>
      </c>
      <c r="I1195" s="12" t="s">
        <v>138</v>
      </c>
      <c r="J1195" s="12"/>
      <c r="K1195" s="12"/>
      <c r="L1195" s="12"/>
      <c r="M1195" s="12"/>
      <c r="N1195" s="12"/>
      <c r="O1195" s="12"/>
      <c r="P1195" s="12"/>
      <c r="Q1195" s="12"/>
      <c r="R1195" s="12"/>
      <c r="S1195" s="12"/>
      <c r="T1195" s="12"/>
      <c r="U1195" s="12"/>
      <c r="V1195" s="12"/>
      <c r="W1195" s="12"/>
      <c r="X1195" s="12"/>
      <c r="Y1195" s="12"/>
      <c r="Z1195" s="12"/>
      <c r="AA1195" s="12"/>
      <c r="AB1195" s="12"/>
      <c r="AC1195" s="12"/>
      <c r="AD1195" s="12"/>
      <c r="AE1195" s="12"/>
      <c r="AF1195" s="12"/>
      <c r="AG1195" s="12"/>
      <c r="AH1195" s="12"/>
      <c r="AI1195" s="12"/>
      <c r="AJ1195" s="12"/>
      <c r="AK1195" s="12"/>
      <c r="AL1195" s="12"/>
      <c r="AM1195" s="12"/>
      <c r="AN1195" s="12"/>
      <c r="AO1195" s="12"/>
      <c r="AP1195" s="12"/>
      <c r="AQ1195" s="12"/>
      <c r="AR1195" s="12"/>
      <c r="AS1195" s="12"/>
      <c r="AT1195" s="12"/>
      <c r="AU1195" s="12"/>
      <c r="AV1195" s="12"/>
      <c r="AW1195" s="12"/>
      <c r="AX1195" s="12"/>
      <c r="AY1195" s="12"/>
      <c r="AZ1195" s="12"/>
      <c r="BA1195" s="12"/>
      <c r="BB1195" s="12"/>
      <c r="BC1195" s="12"/>
      <c r="BD1195" s="12"/>
      <c r="BE1195" s="12"/>
      <c r="BF1195" s="12"/>
      <c r="BG1195" s="12"/>
      <c r="BH1195" s="12"/>
      <c r="BI1195" s="12"/>
      <c r="BJ1195" s="12"/>
      <c r="BK1195" s="12"/>
      <c r="BL1195" s="12"/>
      <c r="BM1195" s="12"/>
      <c r="BN1195" s="12"/>
      <c r="BO1195" s="12"/>
      <c r="BP1195" s="12"/>
      <c r="BQ1195" s="12"/>
      <c r="BR1195" s="12"/>
      <c r="BS1195" s="12"/>
      <c r="BT1195" s="12"/>
    </row>
    <row r="1196" spans="1:72">
      <c r="A1196" s="2" t="s">
        <v>23226</v>
      </c>
      <c r="B1196" s="5" t="s">
        <v>23229</v>
      </c>
      <c r="C1196" s="3" t="s">
        <v>138</v>
      </c>
      <c r="D1196" s="4" t="s">
        <v>138</v>
      </c>
      <c r="E1196" s="15" t="s">
        <v>449</v>
      </c>
      <c r="F1196" s="15" t="s">
        <v>448</v>
      </c>
      <c r="G1196" s="15" t="s">
        <v>450</v>
      </c>
      <c r="H1196" s="7">
        <v>3</v>
      </c>
      <c r="I1196" s="6" t="s">
        <v>23238</v>
      </c>
      <c r="J1196" s="6" t="s">
        <v>455</v>
      </c>
      <c r="K1196" s="6" t="s">
        <v>43749</v>
      </c>
      <c r="L1196" s="6" t="s">
        <v>43750</v>
      </c>
      <c r="M1196" s="6"/>
      <c r="N1196" s="6"/>
      <c r="O1196" s="6"/>
      <c r="P1196" s="6"/>
      <c r="Q1196" s="6"/>
      <c r="R1196" s="6"/>
      <c r="S1196" s="6"/>
      <c r="T1196" s="6"/>
      <c r="U1196" s="6"/>
      <c r="V1196" s="6"/>
      <c r="W1196" s="6"/>
      <c r="X1196" s="6"/>
      <c r="Y1196" s="6"/>
      <c r="Z1196" s="6"/>
      <c r="AA1196" s="6"/>
      <c r="AB1196" s="6"/>
      <c r="AC1196" s="6"/>
      <c r="AD1196" s="6"/>
      <c r="AE1196" s="6"/>
      <c r="AF1196" s="6"/>
      <c r="AG1196" s="6"/>
      <c r="AH1196" s="6"/>
      <c r="AI1196" s="6"/>
      <c r="AJ1196" s="6"/>
      <c r="AK1196" s="6"/>
      <c r="AL1196" s="6"/>
      <c r="AM1196" s="6"/>
      <c r="AN1196" s="6"/>
      <c r="AO1196" s="6"/>
      <c r="AP1196" s="6"/>
      <c r="AQ1196" s="6"/>
      <c r="AR1196" s="6"/>
      <c r="AS1196" s="6"/>
      <c r="AT1196" s="6"/>
      <c r="AU1196" s="6"/>
      <c r="AV1196" s="6"/>
      <c r="AW1196" s="6"/>
      <c r="AX1196" s="6"/>
      <c r="AY1196" s="6"/>
      <c r="AZ1196" s="6"/>
      <c r="BA1196" s="6"/>
      <c r="BB1196" s="6"/>
      <c r="BC1196" s="6"/>
      <c r="BD1196" s="6"/>
      <c r="BE1196" s="6"/>
      <c r="BF1196" s="6"/>
      <c r="BG1196" s="6"/>
      <c r="BH1196" s="6"/>
      <c r="BI1196" s="6"/>
      <c r="BJ1196" s="6"/>
      <c r="BK1196" s="6"/>
      <c r="BL1196" s="6"/>
      <c r="BM1196" s="6"/>
      <c r="BN1196" s="6"/>
      <c r="BO1196" s="6"/>
      <c r="BP1196" s="6"/>
      <c r="BQ1196" s="6"/>
      <c r="BR1196" s="6"/>
      <c r="BS1196" s="6"/>
      <c r="BT1196" s="6"/>
    </row>
    <row r="1197" spans="1:72">
      <c r="A1197" s="8" t="s">
        <v>23241</v>
      </c>
      <c r="B1197" s="11" t="s">
        <v>23247</v>
      </c>
      <c r="C1197" s="9" t="s">
        <v>138</v>
      </c>
      <c r="D1197" s="10" t="s">
        <v>23242</v>
      </c>
      <c r="E1197" s="28" t="s">
        <v>17667</v>
      </c>
      <c r="F1197" s="28" t="s">
        <v>339</v>
      </c>
      <c r="G1197" s="28" t="s">
        <v>162</v>
      </c>
      <c r="H1197" s="13">
        <v>27</v>
      </c>
      <c r="I1197" s="12" t="s">
        <v>23255</v>
      </c>
      <c r="J1197" s="12" t="s">
        <v>43751</v>
      </c>
      <c r="K1197" s="12" t="s">
        <v>43752</v>
      </c>
      <c r="L1197" s="12" t="s">
        <v>42275</v>
      </c>
      <c r="M1197" s="12" t="s">
        <v>43753</v>
      </c>
      <c r="N1197" s="12" t="s">
        <v>43754</v>
      </c>
      <c r="O1197" s="12" t="s">
        <v>43755</v>
      </c>
      <c r="P1197" s="12" t="s">
        <v>43756</v>
      </c>
      <c r="Q1197" s="12" t="s">
        <v>43757</v>
      </c>
      <c r="R1197" s="12" t="s">
        <v>43758</v>
      </c>
      <c r="S1197" s="12" t="s">
        <v>43668</v>
      </c>
      <c r="T1197" s="12" t="s">
        <v>43759</v>
      </c>
      <c r="U1197" s="12" t="s">
        <v>43760</v>
      </c>
      <c r="V1197" s="12" t="s">
        <v>43761</v>
      </c>
      <c r="W1197" s="12" t="s">
        <v>39596</v>
      </c>
      <c r="X1197" s="12" t="s">
        <v>39181</v>
      </c>
      <c r="Y1197" s="12" t="s">
        <v>43762</v>
      </c>
      <c r="Z1197" s="12" t="s">
        <v>43763</v>
      </c>
      <c r="AA1197" s="12" t="s">
        <v>39182</v>
      </c>
      <c r="AB1197" s="12" t="s">
        <v>43764</v>
      </c>
      <c r="AC1197" s="12" t="s">
        <v>40568</v>
      </c>
      <c r="AD1197" s="12" t="s">
        <v>39008</v>
      </c>
      <c r="AE1197" s="12" t="s">
        <v>43765</v>
      </c>
      <c r="AF1197" s="12" t="s">
        <v>43766</v>
      </c>
      <c r="AG1197" s="12" t="s">
        <v>43767</v>
      </c>
      <c r="AH1197" s="12" t="s">
        <v>43768</v>
      </c>
      <c r="AI1197" s="12" t="s">
        <v>42967</v>
      </c>
      <c r="AJ1197" s="12" t="s">
        <v>43769</v>
      </c>
      <c r="AK1197" s="12"/>
      <c r="AL1197" s="12"/>
      <c r="AM1197" s="12"/>
      <c r="AN1197" s="12"/>
      <c r="AO1197" s="12"/>
      <c r="AP1197" s="12"/>
      <c r="AQ1197" s="12"/>
      <c r="AR1197" s="12"/>
      <c r="AS1197" s="12"/>
      <c r="AT1197" s="12"/>
      <c r="AU1197" s="12"/>
      <c r="AV1197" s="12"/>
      <c r="AW1197" s="12"/>
      <c r="AX1197" s="12"/>
      <c r="AY1197" s="12"/>
      <c r="AZ1197" s="12"/>
      <c r="BA1197" s="12"/>
      <c r="BB1197" s="12"/>
      <c r="BC1197" s="12"/>
      <c r="BD1197" s="12"/>
      <c r="BE1197" s="12"/>
      <c r="BF1197" s="12"/>
      <c r="BG1197" s="12"/>
      <c r="BH1197" s="12"/>
      <c r="BI1197" s="12"/>
      <c r="BJ1197" s="12"/>
      <c r="BK1197" s="12"/>
      <c r="BL1197" s="12"/>
      <c r="BM1197" s="12"/>
      <c r="BN1197" s="12"/>
      <c r="BO1197" s="12"/>
      <c r="BP1197" s="12"/>
      <c r="BQ1197" s="12"/>
      <c r="BR1197" s="12"/>
      <c r="BS1197" s="12"/>
      <c r="BT1197" s="12"/>
    </row>
    <row r="1198" spans="1:72">
      <c r="A1198" s="2" t="s">
        <v>23258</v>
      </c>
      <c r="B1198" s="5" t="s">
        <v>23263</v>
      </c>
      <c r="C1198" s="3" t="s">
        <v>138</v>
      </c>
      <c r="D1198" s="4" t="s">
        <v>23259</v>
      </c>
      <c r="E1198" s="15" t="s">
        <v>23270</v>
      </c>
      <c r="F1198" s="15" t="s">
        <v>138</v>
      </c>
      <c r="G1198" s="15" t="s">
        <v>450</v>
      </c>
      <c r="H1198" s="7">
        <v>4</v>
      </c>
      <c r="I1198" s="6" t="s">
        <v>23275</v>
      </c>
      <c r="J1198" s="6" t="s">
        <v>43770</v>
      </c>
      <c r="K1198" s="6" t="s">
        <v>39100</v>
      </c>
      <c r="L1198" s="6" t="s">
        <v>38200</v>
      </c>
      <c r="M1198" s="6" t="s">
        <v>43771</v>
      </c>
      <c r="N1198" s="6"/>
      <c r="O1198" s="6"/>
      <c r="P1198" s="6"/>
      <c r="Q1198" s="6"/>
      <c r="R1198" s="6"/>
      <c r="S1198" s="6"/>
      <c r="T1198" s="6"/>
      <c r="U1198" s="6"/>
      <c r="V1198" s="6"/>
      <c r="W1198" s="6"/>
      <c r="X1198" s="6"/>
      <c r="Y1198" s="6"/>
      <c r="Z1198" s="6"/>
      <c r="AA1198" s="6"/>
      <c r="AB1198" s="6"/>
      <c r="AC1198" s="6"/>
      <c r="AD1198" s="6"/>
      <c r="AE1198" s="6"/>
      <c r="AF1198" s="6"/>
      <c r="AG1198" s="6"/>
      <c r="AH1198" s="6"/>
      <c r="AI1198" s="6"/>
      <c r="AJ1198" s="6"/>
      <c r="AK1198" s="6"/>
      <c r="AL1198" s="6"/>
      <c r="AM1198" s="6"/>
      <c r="AN1198" s="6"/>
      <c r="AO1198" s="6"/>
      <c r="AP1198" s="6"/>
      <c r="AQ1198" s="6"/>
      <c r="AR1198" s="6"/>
      <c r="AS1198" s="6"/>
      <c r="AT1198" s="6"/>
      <c r="AU1198" s="6"/>
      <c r="AV1198" s="6"/>
      <c r="AW1198" s="6"/>
      <c r="AX1198" s="6"/>
      <c r="AY1198" s="6"/>
      <c r="AZ1198" s="6"/>
      <c r="BA1198" s="6"/>
      <c r="BB1198" s="6"/>
      <c r="BC1198" s="6"/>
      <c r="BD1198" s="6"/>
      <c r="BE1198" s="6"/>
      <c r="BF1198" s="6"/>
      <c r="BG1198" s="6"/>
      <c r="BH1198" s="6"/>
      <c r="BI1198" s="6"/>
      <c r="BJ1198" s="6"/>
      <c r="BK1198" s="6"/>
      <c r="BL1198" s="6"/>
      <c r="BM1198" s="6"/>
      <c r="BN1198" s="6"/>
      <c r="BO1198" s="6"/>
      <c r="BP1198" s="6"/>
      <c r="BQ1198" s="6"/>
      <c r="BR1198" s="6"/>
      <c r="BS1198" s="6"/>
      <c r="BT1198" s="6"/>
    </row>
    <row r="1199" spans="1:72">
      <c r="A1199" s="8" t="s">
        <v>23278</v>
      </c>
      <c r="B1199" s="11" t="s">
        <v>23282</v>
      </c>
      <c r="C1199" s="9" t="s">
        <v>138</v>
      </c>
      <c r="D1199" s="10" t="s">
        <v>138</v>
      </c>
      <c r="E1199" s="28" t="s">
        <v>14173</v>
      </c>
      <c r="F1199" s="28" t="s">
        <v>138</v>
      </c>
      <c r="G1199" s="28" t="s">
        <v>740</v>
      </c>
      <c r="H1199" s="13">
        <v>8</v>
      </c>
      <c r="I1199" s="12" t="s">
        <v>23291</v>
      </c>
      <c r="J1199" s="12" t="s">
        <v>43772</v>
      </c>
      <c r="K1199" s="12" t="s">
        <v>43773</v>
      </c>
      <c r="L1199" s="12" t="s">
        <v>43774</v>
      </c>
      <c r="M1199" s="12" t="s">
        <v>43775</v>
      </c>
      <c r="N1199" s="12" t="s">
        <v>43776</v>
      </c>
      <c r="O1199" s="12" t="s">
        <v>43777</v>
      </c>
      <c r="P1199" s="12" t="s">
        <v>38816</v>
      </c>
      <c r="Q1199" s="12" t="s">
        <v>43778</v>
      </c>
      <c r="R1199" s="12"/>
      <c r="S1199" s="12"/>
      <c r="T1199" s="12"/>
      <c r="U1199" s="12"/>
      <c r="V1199" s="12"/>
      <c r="W1199" s="12"/>
      <c r="X1199" s="12"/>
      <c r="Y1199" s="12"/>
      <c r="Z1199" s="12"/>
      <c r="AA1199" s="12"/>
      <c r="AB1199" s="12"/>
      <c r="AC1199" s="12"/>
      <c r="AD1199" s="12"/>
      <c r="AE1199" s="12"/>
      <c r="AF1199" s="12"/>
      <c r="AG1199" s="12"/>
      <c r="AH1199" s="12"/>
      <c r="AI1199" s="12"/>
      <c r="AJ1199" s="12"/>
      <c r="AK1199" s="12"/>
      <c r="AL1199" s="12"/>
      <c r="AM1199" s="12"/>
      <c r="AN1199" s="12"/>
      <c r="AO1199" s="12"/>
      <c r="AP1199" s="12"/>
      <c r="AQ1199" s="12"/>
      <c r="AR1199" s="12"/>
      <c r="AS1199" s="12"/>
      <c r="AT1199" s="12"/>
      <c r="AU1199" s="12"/>
      <c r="AV1199" s="12"/>
      <c r="AW1199" s="12"/>
      <c r="AX1199" s="12"/>
      <c r="AY1199" s="12"/>
      <c r="AZ1199" s="12"/>
      <c r="BA1199" s="12"/>
      <c r="BB1199" s="12"/>
      <c r="BC1199" s="12"/>
      <c r="BD1199" s="12"/>
      <c r="BE1199" s="12"/>
      <c r="BF1199" s="12"/>
      <c r="BG1199" s="12"/>
      <c r="BH1199" s="12"/>
      <c r="BI1199" s="12"/>
      <c r="BJ1199" s="12"/>
      <c r="BK1199" s="12"/>
      <c r="BL1199" s="12"/>
      <c r="BM1199" s="12"/>
      <c r="BN1199" s="12"/>
      <c r="BO1199" s="12"/>
      <c r="BP1199" s="12"/>
      <c r="BQ1199" s="12"/>
      <c r="BR1199" s="12"/>
      <c r="BS1199" s="12"/>
      <c r="BT1199" s="12"/>
    </row>
    <row r="1200" spans="1:72">
      <c r="A1200" s="2" t="s">
        <v>23295</v>
      </c>
      <c r="B1200" s="5" t="s">
        <v>23301</v>
      </c>
      <c r="C1200" s="3" t="s">
        <v>138</v>
      </c>
      <c r="D1200" s="4" t="s">
        <v>138</v>
      </c>
      <c r="E1200" s="15" t="s">
        <v>3820</v>
      </c>
      <c r="F1200" s="15" t="s">
        <v>864</v>
      </c>
      <c r="G1200" s="15" t="s">
        <v>162</v>
      </c>
      <c r="H1200" s="7">
        <v>16</v>
      </c>
      <c r="I1200" s="6" t="s">
        <v>23311</v>
      </c>
      <c r="J1200" s="6" t="s">
        <v>39029</v>
      </c>
      <c r="K1200" s="6" t="s">
        <v>39001</v>
      </c>
      <c r="L1200" s="6" t="s">
        <v>43779</v>
      </c>
      <c r="M1200" s="6" t="s">
        <v>43780</v>
      </c>
      <c r="N1200" s="6" t="s">
        <v>43528</v>
      </c>
      <c r="O1200" s="6" t="s">
        <v>43781</v>
      </c>
      <c r="P1200" s="6" t="s">
        <v>39003</v>
      </c>
      <c r="Q1200" s="6" t="s">
        <v>37987</v>
      </c>
      <c r="R1200" s="6" t="s">
        <v>39390</v>
      </c>
      <c r="S1200" s="6" t="s">
        <v>41432</v>
      </c>
      <c r="T1200" s="6" t="s">
        <v>37764</v>
      </c>
      <c r="U1200" s="6" t="s">
        <v>38321</v>
      </c>
      <c r="V1200" s="6" t="s">
        <v>43782</v>
      </c>
      <c r="W1200" s="6" t="s">
        <v>39109</v>
      </c>
      <c r="X1200" s="6" t="s">
        <v>43329</v>
      </c>
      <c r="Y1200" s="6" t="s">
        <v>38865</v>
      </c>
      <c r="Z1200" s="6"/>
      <c r="AA1200" s="6"/>
      <c r="AB1200" s="6"/>
      <c r="AC1200" s="6"/>
      <c r="AD1200" s="6"/>
      <c r="AE1200" s="6"/>
      <c r="AF1200" s="6"/>
      <c r="AG1200" s="6"/>
      <c r="AH1200" s="6"/>
      <c r="AI1200" s="6"/>
      <c r="AJ1200" s="6"/>
      <c r="AK1200" s="6"/>
      <c r="AL1200" s="6"/>
      <c r="AM1200" s="6"/>
      <c r="AN1200" s="6"/>
      <c r="AO1200" s="6"/>
      <c r="AP1200" s="6"/>
      <c r="AQ1200" s="6"/>
      <c r="AR1200" s="6"/>
      <c r="AS1200" s="6"/>
      <c r="AT1200" s="6"/>
      <c r="AU1200" s="6"/>
      <c r="AV1200" s="6"/>
      <c r="AW1200" s="6"/>
      <c r="AX1200" s="6"/>
      <c r="AY1200" s="6"/>
      <c r="AZ1200" s="6"/>
      <c r="BA1200" s="6"/>
      <c r="BB1200" s="6"/>
      <c r="BC1200" s="6"/>
      <c r="BD1200" s="6"/>
      <c r="BE1200" s="6"/>
      <c r="BF1200" s="6"/>
      <c r="BG1200" s="6"/>
      <c r="BH1200" s="6"/>
      <c r="BI1200" s="6"/>
      <c r="BJ1200" s="6"/>
      <c r="BK1200" s="6"/>
      <c r="BL1200" s="6"/>
      <c r="BM1200" s="6"/>
      <c r="BN1200" s="6"/>
      <c r="BO1200" s="6"/>
      <c r="BP1200" s="6"/>
      <c r="BQ1200" s="6"/>
      <c r="BR1200" s="6"/>
      <c r="BS1200" s="6"/>
      <c r="BT1200" s="6"/>
    </row>
    <row r="1201" spans="1:72">
      <c r="A1201" s="8" t="s">
        <v>23315</v>
      </c>
      <c r="B1201" s="11" t="s">
        <v>23322</v>
      </c>
      <c r="C1201" s="9" t="s">
        <v>23316</v>
      </c>
      <c r="D1201" s="10" t="s">
        <v>138</v>
      </c>
      <c r="E1201" s="28" t="s">
        <v>1294</v>
      </c>
      <c r="F1201" s="28" t="s">
        <v>864</v>
      </c>
      <c r="G1201" s="28" t="s">
        <v>162</v>
      </c>
      <c r="H1201" s="13">
        <v>4</v>
      </c>
      <c r="I1201" s="12" t="s">
        <v>23332</v>
      </c>
      <c r="J1201" s="12" t="s">
        <v>43783</v>
      </c>
      <c r="K1201" s="12" t="s">
        <v>39714</v>
      </c>
      <c r="L1201" s="12" t="s">
        <v>42410</v>
      </c>
      <c r="M1201" s="12" t="s">
        <v>43784</v>
      </c>
      <c r="N1201" s="12"/>
      <c r="O1201" s="12"/>
      <c r="P1201" s="12"/>
      <c r="Q1201" s="12"/>
      <c r="R1201" s="12"/>
      <c r="S1201" s="12"/>
      <c r="T1201" s="12"/>
      <c r="U1201" s="12"/>
      <c r="V1201" s="12"/>
      <c r="W1201" s="12"/>
      <c r="X1201" s="12"/>
      <c r="Y1201" s="12"/>
      <c r="Z1201" s="12"/>
      <c r="AA1201" s="12"/>
      <c r="AB1201" s="12"/>
      <c r="AC1201" s="12"/>
      <c r="AD1201" s="12"/>
      <c r="AE1201" s="12"/>
      <c r="AF1201" s="12"/>
      <c r="AG1201" s="12"/>
      <c r="AH1201" s="12"/>
      <c r="AI1201" s="12"/>
      <c r="AJ1201" s="12"/>
      <c r="AK1201" s="12"/>
      <c r="AL1201" s="12"/>
      <c r="AM1201" s="12"/>
      <c r="AN1201" s="12"/>
      <c r="AO1201" s="12"/>
      <c r="AP1201" s="12"/>
      <c r="AQ1201" s="12"/>
      <c r="AR1201" s="12"/>
      <c r="AS1201" s="12"/>
      <c r="AT1201" s="12"/>
      <c r="AU1201" s="12"/>
      <c r="AV1201" s="12"/>
      <c r="AW1201" s="12"/>
      <c r="AX1201" s="12"/>
      <c r="AY1201" s="12"/>
      <c r="AZ1201" s="12"/>
      <c r="BA1201" s="12"/>
      <c r="BB1201" s="12"/>
      <c r="BC1201" s="12"/>
      <c r="BD1201" s="12"/>
      <c r="BE1201" s="12"/>
      <c r="BF1201" s="12"/>
      <c r="BG1201" s="12"/>
      <c r="BH1201" s="12"/>
      <c r="BI1201" s="12"/>
      <c r="BJ1201" s="12"/>
      <c r="BK1201" s="12"/>
      <c r="BL1201" s="12"/>
      <c r="BM1201" s="12"/>
      <c r="BN1201" s="12"/>
      <c r="BO1201" s="12"/>
      <c r="BP1201" s="12"/>
      <c r="BQ1201" s="12"/>
      <c r="BR1201" s="12"/>
      <c r="BS1201" s="12"/>
      <c r="BT1201" s="12"/>
    </row>
    <row r="1202" spans="1:72">
      <c r="A1202" s="2" t="s">
        <v>23335</v>
      </c>
      <c r="B1202" s="5" t="s">
        <v>23341</v>
      </c>
      <c r="C1202" s="3" t="s">
        <v>138</v>
      </c>
      <c r="D1202" s="4" t="s">
        <v>23336</v>
      </c>
      <c r="E1202" s="15" t="s">
        <v>4492</v>
      </c>
      <c r="F1202" s="15" t="s">
        <v>4493</v>
      </c>
      <c r="G1202" s="15" t="s">
        <v>162</v>
      </c>
      <c r="H1202" s="7">
        <v>2</v>
      </c>
      <c r="I1202" s="6" t="s">
        <v>23351</v>
      </c>
      <c r="J1202" s="6" t="s">
        <v>24320</v>
      </c>
      <c r="K1202" s="6" t="s">
        <v>38757</v>
      </c>
      <c r="L1202" s="6"/>
      <c r="M1202" s="6"/>
      <c r="N1202" s="6"/>
      <c r="O1202" s="6"/>
      <c r="P1202" s="6"/>
      <c r="Q1202" s="6"/>
      <c r="R1202" s="6"/>
      <c r="S1202" s="6"/>
      <c r="T1202" s="6"/>
      <c r="U1202" s="6"/>
      <c r="V1202" s="6"/>
      <c r="W1202" s="6"/>
      <c r="X1202" s="6"/>
      <c r="Y1202" s="6"/>
      <c r="Z1202" s="6"/>
      <c r="AA1202" s="6"/>
      <c r="AB1202" s="6"/>
      <c r="AC1202" s="6"/>
      <c r="AD1202" s="6"/>
      <c r="AE1202" s="6"/>
      <c r="AF1202" s="6"/>
      <c r="AG1202" s="6"/>
      <c r="AH1202" s="6"/>
      <c r="AI1202" s="6"/>
      <c r="AJ1202" s="6"/>
      <c r="AK1202" s="6"/>
      <c r="AL1202" s="6"/>
      <c r="AM1202" s="6"/>
      <c r="AN1202" s="6"/>
      <c r="AO1202" s="6"/>
      <c r="AP1202" s="6"/>
      <c r="AQ1202" s="6"/>
      <c r="AR1202" s="6"/>
      <c r="AS1202" s="6"/>
      <c r="AT1202" s="6"/>
      <c r="AU1202" s="6"/>
      <c r="AV1202" s="6"/>
      <c r="AW1202" s="6"/>
      <c r="AX1202" s="6"/>
      <c r="AY1202" s="6"/>
      <c r="AZ1202" s="6"/>
      <c r="BA1202" s="6"/>
      <c r="BB1202" s="6"/>
      <c r="BC1202" s="6"/>
      <c r="BD1202" s="6"/>
      <c r="BE1202" s="6"/>
      <c r="BF1202" s="6"/>
      <c r="BG1202" s="6"/>
      <c r="BH1202" s="6"/>
      <c r="BI1202" s="6"/>
      <c r="BJ1202" s="6"/>
      <c r="BK1202" s="6"/>
      <c r="BL1202" s="6"/>
      <c r="BM1202" s="6"/>
      <c r="BN1202" s="6"/>
      <c r="BO1202" s="6"/>
      <c r="BP1202" s="6"/>
      <c r="BQ1202" s="6"/>
      <c r="BR1202" s="6"/>
      <c r="BS1202" s="6"/>
      <c r="BT1202" s="6"/>
    </row>
    <row r="1203" spans="1:72">
      <c r="A1203" s="8" t="s">
        <v>23354</v>
      </c>
      <c r="B1203" s="11" t="s">
        <v>23360</v>
      </c>
      <c r="C1203" s="9" t="s">
        <v>138</v>
      </c>
      <c r="D1203" s="10" t="s">
        <v>23355</v>
      </c>
      <c r="E1203" s="28" t="s">
        <v>1872</v>
      </c>
      <c r="F1203" s="28" t="s">
        <v>200</v>
      </c>
      <c r="G1203" s="28" t="s">
        <v>162</v>
      </c>
      <c r="H1203" s="13">
        <v>5</v>
      </c>
      <c r="I1203" s="12" t="s">
        <v>23370</v>
      </c>
      <c r="J1203" s="12" t="s">
        <v>6235</v>
      </c>
      <c r="K1203" s="12" t="s">
        <v>43785</v>
      </c>
      <c r="L1203" s="12" t="s">
        <v>43786</v>
      </c>
      <c r="M1203" s="12" t="s">
        <v>38101</v>
      </c>
      <c r="N1203" s="12" t="s">
        <v>43787</v>
      </c>
      <c r="O1203" s="12"/>
      <c r="P1203" s="12"/>
      <c r="Q1203" s="12"/>
      <c r="R1203" s="12"/>
      <c r="S1203" s="12"/>
      <c r="T1203" s="12"/>
      <c r="U1203" s="12"/>
      <c r="V1203" s="12"/>
      <c r="W1203" s="12"/>
      <c r="X1203" s="12"/>
      <c r="Y1203" s="12"/>
      <c r="Z1203" s="12"/>
      <c r="AA1203" s="12"/>
      <c r="AB1203" s="12"/>
      <c r="AC1203" s="12"/>
      <c r="AD1203" s="12"/>
      <c r="AE1203" s="12"/>
      <c r="AF1203" s="12"/>
      <c r="AG1203" s="12"/>
      <c r="AH1203" s="12"/>
      <c r="AI1203" s="12"/>
      <c r="AJ1203" s="12"/>
      <c r="AK1203" s="12"/>
      <c r="AL1203" s="12"/>
      <c r="AM1203" s="12"/>
      <c r="AN1203" s="12"/>
      <c r="AO1203" s="12"/>
      <c r="AP1203" s="12"/>
      <c r="AQ1203" s="12"/>
      <c r="AR1203" s="12"/>
      <c r="AS1203" s="12"/>
      <c r="AT1203" s="12"/>
      <c r="AU1203" s="12"/>
      <c r="AV1203" s="12"/>
      <c r="AW1203" s="12"/>
      <c r="AX1203" s="12"/>
      <c r="AY1203" s="12"/>
      <c r="AZ1203" s="12"/>
      <c r="BA1203" s="12"/>
      <c r="BB1203" s="12"/>
      <c r="BC1203" s="12"/>
      <c r="BD1203" s="12"/>
      <c r="BE1203" s="12"/>
      <c r="BF1203" s="12"/>
      <c r="BG1203" s="12"/>
      <c r="BH1203" s="12"/>
      <c r="BI1203" s="12"/>
      <c r="BJ1203" s="12"/>
      <c r="BK1203" s="12"/>
      <c r="BL1203" s="12"/>
      <c r="BM1203" s="12"/>
      <c r="BN1203" s="12"/>
      <c r="BO1203" s="12"/>
      <c r="BP1203" s="12"/>
      <c r="BQ1203" s="12"/>
      <c r="BR1203" s="12"/>
      <c r="BS1203" s="12"/>
      <c r="BT1203" s="12"/>
    </row>
    <row r="1204" spans="1:72">
      <c r="A1204" s="2" t="s">
        <v>23374</v>
      </c>
      <c r="B1204" s="5" t="s">
        <v>23379</v>
      </c>
      <c r="C1204" s="3" t="s">
        <v>138</v>
      </c>
      <c r="D1204" s="4" t="s">
        <v>138</v>
      </c>
      <c r="E1204" s="15" t="s">
        <v>1171</v>
      </c>
      <c r="F1204" s="15" t="s">
        <v>200</v>
      </c>
      <c r="G1204" s="15" t="s">
        <v>162</v>
      </c>
      <c r="H1204" s="7">
        <v>21</v>
      </c>
      <c r="I1204" s="6" t="s">
        <v>23387</v>
      </c>
      <c r="J1204" s="6" t="s">
        <v>43788</v>
      </c>
      <c r="K1204" s="6" t="s">
        <v>37819</v>
      </c>
      <c r="L1204" s="6" t="s">
        <v>42359</v>
      </c>
      <c r="M1204" s="6" t="s">
        <v>38417</v>
      </c>
      <c r="N1204" s="6" t="s">
        <v>40814</v>
      </c>
      <c r="O1204" s="6" t="s">
        <v>37774</v>
      </c>
      <c r="P1204" s="6" t="s">
        <v>41790</v>
      </c>
      <c r="Q1204" s="6" t="s">
        <v>38113</v>
      </c>
      <c r="R1204" s="6" t="s">
        <v>38860</v>
      </c>
      <c r="S1204" s="6" t="s">
        <v>37786</v>
      </c>
      <c r="T1204" s="6" t="s">
        <v>38062</v>
      </c>
      <c r="U1204" s="6" t="s">
        <v>42662</v>
      </c>
      <c r="V1204" s="6" t="s">
        <v>37824</v>
      </c>
      <c r="W1204" s="6" t="s">
        <v>43789</v>
      </c>
      <c r="X1204" s="6" t="s">
        <v>38152</v>
      </c>
      <c r="Y1204" s="6" t="s">
        <v>38154</v>
      </c>
      <c r="Z1204" s="6" t="s">
        <v>37805</v>
      </c>
      <c r="AA1204" s="6" t="s">
        <v>38752</v>
      </c>
      <c r="AB1204" s="6" t="s">
        <v>43790</v>
      </c>
      <c r="AC1204" s="6" t="s">
        <v>38756</v>
      </c>
      <c r="AD1204" s="6" t="s">
        <v>43791</v>
      </c>
      <c r="AE1204" s="6"/>
      <c r="AF1204" s="6"/>
      <c r="AG1204" s="6"/>
      <c r="AH1204" s="6"/>
      <c r="AI1204" s="6"/>
      <c r="AJ1204" s="6"/>
      <c r="AK1204" s="6"/>
      <c r="AL1204" s="6"/>
      <c r="AM1204" s="6"/>
      <c r="AN1204" s="6"/>
      <c r="AO1204" s="6"/>
      <c r="AP1204" s="6"/>
      <c r="AQ1204" s="6"/>
      <c r="AR1204" s="6"/>
      <c r="AS1204" s="6"/>
      <c r="AT1204" s="6"/>
      <c r="AU1204" s="6"/>
      <c r="AV1204" s="6"/>
      <c r="AW1204" s="6"/>
      <c r="AX1204" s="6"/>
      <c r="AY1204" s="6"/>
      <c r="AZ1204" s="6"/>
      <c r="BA1204" s="6"/>
      <c r="BB1204" s="6"/>
      <c r="BC1204" s="6"/>
      <c r="BD1204" s="6"/>
      <c r="BE1204" s="6"/>
      <c r="BF1204" s="6"/>
      <c r="BG1204" s="6"/>
      <c r="BH1204" s="6"/>
      <c r="BI1204" s="6"/>
      <c r="BJ1204" s="6"/>
      <c r="BK1204" s="6"/>
      <c r="BL1204" s="6"/>
      <c r="BM1204" s="6"/>
      <c r="BN1204" s="6"/>
      <c r="BO1204" s="6"/>
      <c r="BP1204" s="6"/>
      <c r="BQ1204" s="6"/>
      <c r="BR1204" s="6"/>
      <c r="BS1204" s="6"/>
      <c r="BT1204" s="6"/>
    </row>
    <row r="1205" spans="1:72">
      <c r="A1205" s="8" t="s">
        <v>23392</v>
      </c>
      <c r="B1205" s="11" t="s">
        <v>23397</v>
      </c>
      <c r="C1205" s="9" t="s">
        <v>138</v>
      </c>
      <c r="D1205" s="10" t="s">
        <v>23393</v>
      </c>
      <c r="E1205" s="28" t="s">
        <v>23406</v>
      </c>
      <c r="F1205" s="28" t="s">
        <v>474</v>
      </c>
      <c r="G1205" s="28" t="s">
        <v>162</v>
      </c>
      <c r="H1205" s="13">
        <v>2</v>
      </c>
      <c r="I1205" s="12" t="s">
        <v>23411</v>
      </c>
      <c r="J1205" s="12" t="s">
        <v>43792</v>
      </c>
      <c r="K1205" s="12" t="s">
        <v>38383</v>
      </c>
      <c r="L1205" s="12"/>
      <c r="M1205" s="12"/>
      <c r="N1205" s="12"/>
      <c r="O1205" s="12"/>
      <c r="P1205" s="12"/>
      <c r="Q1205" s="12"/>
      <c r="R1205" s="12"/>
      <c r="S1205" s="12"/>
      <c r="T1205" s="12"/>
      <c r="U1205" s="12"/>
      <c r="V1205" s="12"/>
      <c r="W1205" s="12"/>
      <c r="X1205" s="12"/>
      <c r="Y1205" s="12"/>
      <c r="Z1205" s="12"/>
      <c r="AA1205" s="12"/>
      <c r="AB1205" s="12"/>
      <c r="AC1205" s="12"/>
      <c r="AD1205" s="12"/>
      <c r="AE1205" s="12"/>
      <c r="AF1205" s="12"/>
      <c r="AG1205" s="12"/>
      <c r="AH1205" s="12"/>
      <c r="AI1205" s="12"/>
      <c r="AJ1205" s="12"/>
      <c r="AK1205" s="12"/>
      <c r="AL1205" s="12"/>
      <c r="AM1205" s="12"/>
      <c r="AN1205" s="12"/>
      <c r="AO1205" s="12"/>
      <c r="AP1205" s="12"/>
      <c r="AQ1205" s="12"/>
      <c r="AR1205" s="12"/>
      <c r="AS1205" s="12"/>
      <c r="AT1205" s="12"/>
      <c r="AU1205" s="12"/>
      <c r="AV1205" s="12"/>
      <c r="AW1205" s="12"/>
      <c r="AX1205" s="12"/>
      <c r="AY1205" s="12"/>
      <c r="AZ1205" s="12"/>
      <c r="BA1205" s="12"/>
      <c r="BB1205" s="12"/>
      <c r="BC1205" s="12"/>
      <c r="BD1205" s="12"/>
      <c r="BE1205" s="12"/>
      <c r="BF1205" s="12"/>
      <c r="BG1205" s="12"/>
      <c r="BH1205" s="12"/>
      <c r="BI1205" s="12"/>
      <c r="BJ1205" s="12"/>
      <c r="BK1205" s="12"/>
      <c r="BL1205" s="12"/>
      <c r="BM1205" s="12"/>
      <c r="BN1205" s="12"/>
      <c r="BO1205" s="12"/>
      <c r="BP1205" s="12"/>
      <c r="BQ1205" s="12"/>
      <c r="BR1205" s="12"/>
      <c r="BS1205" s="12"/>
      <c r="BT1205" s="12"/>
    </row>
    <row r="1206" spans="1:72">
      <c r="A1206" s="2" t="s">
        <v>23414</v>
      </c>
      <c r="B1206" s="5" t="s">
        <v>23419</v>
      </c>
      <c r="C1206" s="3" t="s">
        <v>23415</v>
      </c>
      <c r="D1206" s="4" t="s">
        <v>138</v>
      </c>
      <c r="E1206" s="15" t="s">
        <v>668</v>
      </c>
      <c r="F1206" s="15" t="s">
        <v>200</v>
      </c>
      <c r="G1206" s="15" t="s">
        <v>162</v>
      </c>
      <c r="H1206" s="7">
        <v>38</v>
      </c>
      <c r="I1206" s="6" t="s">
        <v>23427</v>
      </c>
      <c r="J1206" s="6" t="s">
        <v>43793</v>
      </c>
      <c r="K1206" s="6" t="s">
        <v>41249</v>
      </c>
      <c r="L1206" s="6" t="s">
        <v>38175</v>
      </c>
      <c r="M1206" s="6" t="s">
        <v>38147</v>
      </c>
      <c r="N1206" s="6" t="s">
        <v>38569</v>
      </c>
      <c r="O1206" s="6" t="s">
        <v>43794</v>
      </c>
      <c r="P1206" s="6" t="s">
        <v>37819</v>
      </c>
      <c r="Q1206" s="6" t="s">
        <v>40199</v>
      </c>
      <c r="R1206" s="6" t="s">
        <v>38178</v>
      </c>
      <c r="S1206" s="6" t="s">
        <v>39645</v>
      </c>
      <c r="T1206" s="6" t="s">
        <v>40201</v>
      </c>
      <c r="U1206" s="6" t="s">
        <v>40013</v>
      </c>
      <c r="V1206" s="6" t="s">
        <v>42869</v>
      </c>
      <c r="W1206" s="6" t="s">
        <v>39452</v>
      </c>
      <c r="X1206" s="6" t="s">
        <v>38394</v>
      </c>
      <c r="Y1206" s="6" t="s">
        <v>39403</v>
      </c>
      <c r="Z1206" s="6" t="s">
        <v>38114</v>
      </c>
      <c r="AA1206" s="6" t="s">
        <v>37786</v>
      </c>
      <c r="AB1206" s="6" t="s">
        <v>37955</v>
      </c>
      <c r="AC1206" s="6" t="s">
        <v>38017</v>
      </c>
      <c r="AD1206" s="6" t="s">
        <v>37992</v>
      </c>
      <c r="AE1206" s="6" t="s">
        <v>43795</v>
      </c>
      <c r="AF1206" s="6" t="s">
        <v>38128</v>
      </c>
      <c r="AG1206" s="6" t="s">
        <v>43796</v>
      </c>
      <c r="AH1206" s="6" t="s">
        <v>39692</v>
      </c>
      <c r="AI1206" s="6" t="s">
        <v>38399</v>
      </c>
      <c r="AJ1206" s="6" t="s">
        <v>40238</v>
      </c>
      <c r="AK1206" s="6" t="s">
        <v>37805</v>
      </c>
      <c r="AL1206" s="6" t="s">
        <v>43797</v>
      </c>
      <c r="AM1206" s="6" t="s">
        <v>43798</v>
      </c>
      <c r="AN1206" s="6" t="s">
        <v>38030</v>
      </c>
      <c r="AO1206" s="6" t="s">
        <v>38167</v>
      </c>
      <c r="AP1206" s="6" t="s">
        <v>37971</v>
      </c>
      <c r="AQ1206" s="6" t="s">
        <v>43799</v>
      </c>
      <c r="AR1206" s="6" t="s">
        <v>40236</v>
      </c>
      <c r="AS1206" s="6" t="s">
        <v>39713</v>
      </c>
      <c r="AT1206" s="6" t="s">
        <v>39647</v>
      </c>
      <c r="AU1206" s="6" t="s">
        <v>43800</v>
      </c>
      <c r="AV1206" s="6"/>
      <c r="AW1206" s="6"/>
      <c r="AX1206" s="6"/>
      <c r="AY1206" s="6"/>
      <c r="AZ1206" s="6"/>
      <c r="BA1206" s="6"/>
      <c r="BB1206" s="6"/>
      <c r="BC1206" s="6"/>
      <c r="BD1206" s="6"/>
      <c r="BE1206" s="6"/>
      <c r="BF1206" s="6"/>
      <c r="BG1206" s="6"/>
      <c r="BH1206" s="6"/>
      <c r="BI1206" s="6"/>
      <c r="BJ1206" s="6"/>
      <c r="BK1206" s="6"/>
      <c r="BL1206" s="6"/>
      <c r="BM1206" s="6"/>
      <c r="BN1206" s="6"/>
      <c r="BO1206" s="6"/>
      <c r="BP1206" s="6"/>
      <c r="BQ1206" s="6"/>
      <c r="BR1206" s="6"/>
      <c r="BS1206" s="6"/>
      <c r="BT1206" s="6"/>
    </row>
    <row r="1207" spans="1:72">
      <c r="A1207" s="8" t="s">
        <v>23430</v>
      </c>
      <c r="B1207" s="11" t="s">
        <v>23435</v>
      </c>
      <c r="C1207" s="9" t="s">
        <v>138</v>
      </c>
      <c r="D1207" s="10" t="s">
        <v>138</v>
      </c>
      <c r="E1207" s="28" t="s">
        <v>2651</v>
      </c>
      <c r="F1207" s="28" t="s">
        <v>200</v>
      </c>
      <c r="G1207" s="28" t="s">
        <v>162</v>
      </c>
      <c r="H1207" s="13">
        <v>13</v>
      </c>
      <c r="I1207" s="12" t="s">
        <v>23445</v>
      </c>
      <c r="J1207" s="12" t="s">
        <v>43801</v>
      </c>
      <c r="K1207" s="12" t="s">
        <v>43802</v>
      </c>
      <c r="L1207" s="12" t="s">
        <v>37819</v>
      </c>
      <c r="M1207" s="12" t="s">
        <v>41501</v>
      </c>
      <c r="N1207" s="12" t="s">
        <v>43803</v>
      </c>
      <c r="O1207" s="12" t="s">
        <v>41504</v>
      </c>
      <c r="P1207" s="12" t="s">
        <v>37786</v>
      </c>
      <c r="Q1207" s="12" t="s">
        <v>43804</v>
      </c>
      <c r="R1207" s="12" t="s">
        <v>40348</v>
      </c>
      <c r="S1207" s="12" t="s">
        <v>37884</v>
      </c>
      <c r="T1207" s="12" t="s">
        <v>41496</v>
      </c>
      <c r="U1207" s="12" t="s">
        <v>38064</v>
      </c>
      <c r="V1207" s="12" t="s">
        <v>42205</v>
      </c>
      <c r="W1207" s="12"/>
      <c r="X1207" s="12"/>
      <c r="Y1207" s="12"/>
      <c r="Z1207" s="12"/>
      <c r="AA1207" s="12"/>
      <c r="AB1207" s="12"/>
      <c r="AC1207" s="12"/>
      <c r="AD1207" s="12"/>
      <c r="AE1207" s="12"/>
      <c r="AF1207" s="12"/>
      <c r="AG1207" s="12"/>
      <c r="AH1207" s="12"/>
      <c r="AI1207" s="12"/>
      <c r="AJ1207" s="12"/>
      <c r="AK1207" s="12"/>
      <c r="AL1207" s="12"/>
      <c r="AM1207" s="12"/>
      <c r="AN1207" s="12"/>
      <c r="AO1207" s="12"/>
      <c r="AP1207" s="12"/>
      <c r="AQ1207" s="12"/>
      <c r="AR1207" s="12"/>
      <c r="AS1207" s="12"/>
      <c r="AT1207" s="12"/>
      <c r="AU1207" s="12"/>
      <c r="AV1207" s="12"/>
      <c r="AW1207" s="12"/>
      <c r="AX1207" s="12"/>
      <c r="AY1207" s="12"/>
      <c r="AZ1207" s="12"/>
      <c r="BA1207" s="12"/>
      <c r="BB1207" s="12"/>
      <c r="BC1207" s="12"/>
      <c r="BD1207" s="12"/>
      <c r="BE1207" s="12"/>
      <c r="BF1207" s="12"/>
      <c r="BG1207" s="12"/>
      <c r="BH1207" s="12"/>
      <c r="BI1207" s="12"/>
      <c r="BJ1207" s="12"/>
      <c r="BK1207" s="12"/>
      <c r="BL1207" s="12"/>
      <c r="BM1207" s="12"/>
      <c r="BN1207" s="12"/>
      <c r="BO1207" s="12"/>
      <c r="BP1207" s="12"/>
      <c r="BQ1207" s="12"/>
      <c r="BR1207" s="12"/>
      <c r="BS1207" s="12"/>
      <c r="BT1207" s="12"/>
    </row>
    <row r="1208" spans="1:72">
      <c r="A1208" s="2" t="s">
        <v>23450</v>
      </c>
      <c r="B1208" s="5" t="s">
        <v>23456</v>
      </c>
      <c r="C1208" s="3" t="s">
        <v>23451</v>
      </c>
      <c r="D1208" s="4" t="s">
        <v>23452</v>
      </c>
      <c r="E1208" s="15" t="s">
        <v>370</v>
      </c>
      <c r="F1208" s="15" t="s">
        <v>371</v>
      </c>
      <c r="G1208" s="15" t="s">
        <v>162</v>
      </c>
      <c r="H1208" s="7">
        <v>1</v>
      </c>
      <c r="I1208" s="6" t="s">
        <v>12498</v>
      </c>
      <c r="J1208" s="6" t="s">
        <v>12498</v>
      </c>
      <c r="K1208" s="6"/>
      <c r="L1208" s="6"/>
      <c r="M1208" s="6"/>
      <c r="N1208" s="6"/>
      <c r="O1208" s="6"/>
      <c r="P1208" s="6"/>
      <c r="Q1208" s="6"/>
      <c r="R1208" s="6"/>
      <c r="S1208" s="6"/>
      <c r="T1208" s="6"/>
      <c r="U1208" s="6"/>
      <c r="V1208" s="6"/>
      <c r="W1208" s="6"/>
      <c r="X1208" s="6"/>
      <c r="Y1208" s="6"/>
      <c r="Z1208" s="6"/>
      <c r="AA1208" s="6"/>
      <c r="AB1208" s="6"/>
      <c r="AC1208" s="6"/>
      <c r="AD1208" s="6"/>
      <c r="AE1208" s="6"/>
      <c r="AF1208" s="6"/>
      <c r="AG1208" s="6"/>
      <c r="AH1208" s="6"/>
      <c r="AI1208" s="6"/>
      <c r="AJ1208" s="6"/>
      <c r="AK1208" s="6"/>
      <c r="AL1208" s="6"/>
      <c r="AM1208" s="6"/>
      <c r="AN1208" s="6"/>
      <c r="AO1208" s="6"/>
      <c r="AP1208" s="6"/>
      <c r="AQ1208" s="6"/>
      <c r="AR1208" s="6"/>
      <c r="AS1208" s="6"/>
      <c r="AT1208" s="6"/>
      <c r="AU1208" s="6"/>
      <c r="AV1208" s="6"/>
      <c r="AW1208" s="6"/>
      <c r="AX1208" s="6"/>
      <c r="AY1208" s="6"/>
      <c r="AZ1208" s="6"/>
      <c r="BA1208" s="6"/>
      <c r="BB1208" s="6"/>
      <c r="BC1208" s="6"/>
      <c r="BD1208" s="6"/>
      <c r="BE1208" s="6"/>
      <c r="BF1208" s="6"/>
      <c r="BG1208" s="6"/>
      <c r="BH1208" s="6"/>
      <c r="BI1208" s="6"/>
      <c r="BJ1208" s="6"/>
      <c r="BK1208" s="6"/>
      <c r="BL1208" s="6"/>
      <c r="BM1208" s="6"/>
      <c r="BN1208" s="6"/>
      <c r="BO1208" s="6"/>
      <c r="BP1208" s="6"/>
      <c r="BQ1208" s="6"/>
      <c r="BR1208" s="6"/>
      <c r="BS1208" s="6"/>
      <c r="BT1208" s="6"/>
    </row>
    <row r="1209" spans="1:72">
      <c r="A1209" s="8" t="s">
        <v>23468</v>
      </c>
      <c r="B1209" s="11" t="s">
        <v>23473</v>
      </c>
      <c r="C1209" s="9" t="s">
        <v>138</v>
      </c>
      <c r="D1209" s="10" t="s">
        <v>138</v>
      </c>
      <c r="E1209" s="28" t="s">
        <v>3111</v>
      </c>
      <c r="F1209" s="28" t="s">
        <v>3112</v>
      </c>
      <c r="G1209" s="28" t="s">
        <v>2742</v>
      </c>
      <c r="H1209" s="13">
        <v>20</v>
      </c>
      <c r="I1209" s="12" t="s">
        <v>23481</v>
      </c>
      <c r="J1209" s="12" t="s">
        <v>37811</v>
      </c>
      <c r="K1209" s="12" t="s">
        <v>43805</v>
      </c>
      <c r="L1209" s="12" t="s">
        <v>40802</v>
      </c>
      <c r="M1209" s="12" t="s">
        <v>43806</v>
      </c>
      <c r="N1209" s="12" t="s">
        <v>38347</v>
      </c>
      <c r="O1209" s="12" t="s">
        <v>38824</v>
      </c>
      <c r="P1209" s="12" t="s">
        <v>43807</v>
      </c>
      <c r="Q1209" s="12" t="s">
        <v>37944</v>
      </c>
      <c r="R1209" s="12" t="s">
        <v>43808</v>
      </c>
      <c r="S1209" s="12" t="s">
        <v>41143</v>
      </c>
      <c r="T1209" s="12" t="s">
        <v>37786</v>
      </c>
      <c r="U1209" s="12" t="s">
        <v>37953</v>
      </c>
      <c r="V1209" s="12" t="s">
        <v>43809</v>
      </c>
      <c r="W1209" s="12" t="s">
        <v>41704</v>
      </c>
      <c r="X1209" s="12" t="s">
        <v>38829</v>
      </c>
      <c r="Y1209" s="12" t="s">
        <v>43810</v>
      </c>
      <c r="Z1209" s="12" t="s">
        <v>37781</v>
      </c>
      <c r="AA1209" s="12" t="s">
        <v>43811</v>
      </c>
      <c r="AB1209" s="12" t="s">
        <v>37915</v>
      </c>
      <c r="AC1209" s="12" t="s">
        <v>43812</v>
      </c>
      <c r="AD1209" s="12"/>
      <c r="AE1209" s="12"/>
      <c r="AF1209" s="12"/>
      <c r="AG1209" s="12"/>
      <c r="AH1209" s="12"/>
      <c r="AI1209" s="12"/>
      <c r="AJ1209" s="12"/>
      <c r="AK1209" s="12"/>
      <c r="AL1209" s="12"/>
      <c r="AM1209" s="12"/>
      <c r="AN1209" s="12"/>
      <c r="AO1209" s="12"/>
      <c r="AP1209" s="12"/>
      <c r="AQ1209" s="12"/>
      <c r="AR1209" s="12"/>
      <c r="AS1209" s="12"/>
      <c r="AT1209" s="12"/>
      <c r="AU1209" s="12"/>
      <c r="AV1209" s="12"/>
      <c r="AW1209" s="12"/>
      <c r="AX1209" s="12"/>
      <c r="AY1209" s="12"/>
      <c r="AZ1209" s="12"/>
      <c r="BA1209" s="12"/>
      <c r="BB1209" s="12"/>
      <c r="BC1209" s="12"/>
      <c r="BD1209" s="12"/>
      <c r="BE1209" s="12"/>
      <c r="BF1209" s="12"/>
      <c r="BG1209" s="12"/>
      <c r="BH1209" s="12"/>
      <c r="BI1209" s="12"/>
      <c r="BJ1209" s="12"/>
      <c r="BK1209" s="12"/>
      <c r="BL1209" s="12"/>
      <c r="BM1209" s="12"/>
      <c r="BN1209" s="12"/>
      <c r="BO1209" s="12"/>
      <c r="BP1209" s="12"/>
      <c r="BQ1209" s="12"/>
      <c r="BR1209" s="12"/>
      <c r="BS1209" s="12"/>
      <c r="BT1209" s="12"/>
    </row>
    <row r="1210" spans="1:72">
      <c r="A1210" s="2" t="s">
        <v>23488</v>
      </c>
      <c r="B1210" s="5" t="s">
        <v>23494</v>
      </c>
      <c r="C1210" s="3" t="s">
        <v>138</v>
      </c>
      <c r="D1210" s="4" t="s">
        <v>23489</v>
      </c>
      <c r="E1210" s="15" t="s">
        <v>1223</v>
      </c>
      <c r="F1210" s="15" t="s">
        <v>200</v>
      </c>
      <c r="G1210" s="15" t="s">
        <v>162</v>
      </c>
      <c r="H1210" s="7">
        <v>6</v>
      </c>
      <c r="I1210" s="6" t="s">
        <v>23504</v>
      </c>
      <c r="J1210" s="6" t="s">
        <v>43813</v>
      </c>
      <c r="K1210" s="6" t="s">
        <v>43814</v>
      </c>
      <c r="L1210" s="6" t="s">
        <v>37786</v>
      </c>
      <c r="M1210" s="6" t="s">
        <v>42884</v>
      </c>
      <c r="N1210" s="6" t="s">
        <v>37781</v>
      </c>
      <c r="O1210" s="6" t="s">
        <v>38582</v>
      </c>
      <c r="P1210" s="6"/>
      <c r="Q1210" s="6"/>
      <c r="R1210" s="6"/>
      <c r="S1210" s="6"/>
      <c r="T1210" s="6"/>
      <c r="U1210" s="6"/>
      <c r="V1210" s="6"/>
      <c r="W1210" s="6"/>
      <c r="X1210" s="6"/>
      <c r="Y1210" s="6"/>
      <c r="Z1210" s="6"/>
      <c r="AA1210" s="6"/>
      <c r="AB1210" s="6"/>
      <c r="AC1210" s="6"/>
      <c r="AD1210" s="6"/>
      <c r="AE1210" s="6"/>
      <c r="AF1210" s="6"/>
      <c r="AG1210" s="6"/>
      <c r="AH1210" s="6"/>
      <c r="AI1210" s="6"/>
      <c r="AJ1210" s="6"/>
      <c r="AK1210" s="6"/>
      <c r="AL1210" s="6"/>
      <c r="AM1210" s="6"/>
      <c r="AN1210" s="6"/>
      <c r="AO1210" s="6"/>
      <c r="AP1210" s="6"/>
      <c r="AQ1210" s="6"/>
      <c r="AR1210" s="6"/>
      <c r="AS1210" s="6"/>
      <c r="AT1210" s="6"/>
      <c r="AU1210" s="6"/>
      <c r="AV1210" s="6"/>
      <c r="AW1210" s="6"/>
      <c r="AX1210" s="6"/>
      <c r="AY1210" s="6"/>
      <c r="AZ1210" s="6"/>
      <c r="BA1210" s="6"/>
      <c r="BB1210" s="6"/>
      <c r="BC1210" s="6"/>
      <c r="BD1210" s="6"/>
      <c r="BE1210" s="6"/>
      <c r="BF1210" s="6"/>
      <c r="BG1210" s="6"/>
      <c r="BH1210" s="6"/>
      <c r="BI1210" s="6"/>
      <c r="BJ1210" s="6"/>
      <c r="BK1210" s="6"/>
      <c r="BL1210" s="6"/>
      <c r="BM1210" s="6"/>
      <c r="BN1210" s="6"/>
      <c r="BO1210" s="6"/>
      <c r="BP1210" s="6"/>
      <c r="BQ1210" s="6"/>
      <c r="BR1210" s="6"/>
      <c r="BS1210" s="6"/>
      <c r="BT1210" s="6"/>
    </row>
    <row r="1211" spans="1:72">
      <c r="A1211" s="8" t="s">
        <v>23508</v>
      </c>
      <c r="B1211" s="11" t="s">
        <v>23513</v>
      </c>
      <c r="C1211" s="9" t="s">
        <v>138</v>
      </c>
      <c r="D1211" s="10" t="s">
        <v>138</v>
      </c>
      <c r="E1211" s="28" t="s">
        <v>642</v>
      </c>
      <c r="F1211" s="28" t="s">
        <v>474</v>
      </c>
      <c r="G1211" s="28" t="s">
        <v>162</v>
      </c>
      <c r="H1211" s="13">
        <v>29</v>
      </c>
      <c r="I1211" s="12" t="s">
        <v>23519</v>
      </c>
      <c r="J1211" s="12" t="s">
        <v>37785</v>
      </c>
      <c r="K1211" s="12" t="s">
        <v>43815</v>
      </c>
      <c r="L1211" s="12" t="s">
        <v>43816</v>
      </c>
      <c r="M1211" s="12" t="s">
        <v>42148</v>
      </c>
      <c r="N1211" s="12" t="s">
        <v>43817</v>
      </c>
      <c r="O1211" s="12" t="s">
        <v>42376</v>
      </c>
      <c r="P1211" s="12" t="s">
        <v>38210</v>
      </c>
      <c r="Q1211" s="12" t="s">
        <v>43818</v>
      </c>
      <c r="R1211" s="12" t="s">
        <v>43819</v>
      </c>
      <c r="S1211" s="12" t="s">
        <v>43820</v>
      </c>
      <c r="T1211" s="12" t="s">
        <v>38931</v>
      </c>
      <c r="U1211" s="12" t="s">
        <v>37947</v>
      </c>
      <c r="V1211" s="12" t="s">
        <v>43821</v>
      </c>
      <c r="W1211" s="12" t="s">
        <v>38114</v>
      </c>
      <c r="X1211" s="12" t="s">
        <v>37801</v>
      </c>
      <c r="Y1211" s="12" t="s">
        <v>43822</v>
      </c>
      <c r="Z1211" s="12" t="s">
        <v>38122</v>
      </c>
      <c r="AA1211" s="12" t="s">
        <v>43823</v>
      </c>
      <c r="AB1211" s="12" t="s">
        <v>39359</v>
      </c>
      <c r="AC1211" s="12" t="s">
        <v>39581</v>
      </c>
      <c r="AD1211" s="12" t="s">
        <v>39856</v>
      </c>
      <c r="AE1211" s="12" t="s">
        <v>40592</v>
      </c>
      <c r="AF1211" s="12" t="s">
        <v>43824</v>
      </c>
      <c r="AG1211" s="12" t="s">
        <v>43825</v>
      </c>
      <c r="AH1211" s="12" t="s">
        <v>37971</v>
      </c>
      <c r="AI1211" s="12" t="s">
        <v>37783</v>
      </c>
      <c r="AJ1211" s="12" t="s">
        <v>43826</v>
      </c>
      <c r="AK1211" s="12" t="s">
        <v>38404</v>
      </c>
      <c r="AL1211" s="12" t="s">
        <v>43827</v>
      </c>
      <c r="AM1211" s="12"/>
      <c r="AN1211" s="12"/>
      <c r="AO1211" s="12"/>
      <c r="AP1211" s="12"/>
      <c r="AQ1211" s="12"/>
      <c r="AR1211" s="12"/>
      <c r="AS1211" s="12"/>
      <c r="AT1211" s="12"/>
      <c r="AU1211" s="12"/>
      <c r="AV1211" s="12"/>
      <c r="AW1211" s="12"/>
      <c r="AX1211" s="12"/>
      <c r="AY1211" s="12"/>
      <c r="AZ1211" s="12"/>
      <c r="BA1211" s="12"/>
      <c r="BB1211" s="12"/>
      <c r="BC1211" s="12"/>
      <c r="BD1211" s="12"/>
      <c r="BE1211" s="12"/>
      <c r="BF1211" s="12"/>
      <c r="BG1211" s="12"/>
      <c r="BH1211" s="12"/>
      <c r="BI1211" s="12"/>
      <c r="BJ1211" s="12"/>
      <c r="BK1211" s="12"/>
      <c r="BL1211" s="12"/>
      <c r="BM1211" s="12"/>
      <c r="BN1211" s="12"/>
      <c r="BO1211" s="12"/>
      <c r="BP1211" s="12"/>
      <c r="BQ1211" s="12"/>
      <c r="BR1211" s="12"/>
      <c r="BS1211" s="12"/>
      <c r="BT1211" s="12"/>
    </row>
    <row r="1212" spans="1:72">
      <c r="A1212" s="2" t="s">
        <v>23522</v>
      </c>
      <c r="B1212" s="5" t="s">
        <v>23529</v>
      </c>
      <c r="C1212" s="3" t="s">
        <v>23523</v>
      </c>
      <c r="D1212" s="4" t="s">
        <v>138</v>
      </c>
      <c r="E1212" s="15" t="s">
        <v>426</v>
      </c>
      <c r="F1212" s="15" t="s">
        <v>426</v>
      </c>
      <c r="G1212" s="15" t="s">
        <v>162</v>
      </c>
      <c r="H1212" s="7">
        <v>7</v>
      </c>
      <c r="I1212" s="6" t="s">
        <v>23538</v>
      </c>
      <c r="J1212" s="6" t="s">
        <v>43828</v>
      </c>
      <c r="K1212" s="6" t="s">
        <v>39116</v>
      </c>
      <c r="L1212" s="6" t="s">
        <v>39976</v>
      </c>
      <c r="M1212" s="6" t="s">
        <v>39057</v>
      </c>
      <c r="N1212" s="6" t="s">
        <v>43829</v>
      </c>
      <c r="O1212" s="6" t="s">
        <v>43830</v>
      </c>
      <c r="P1212" s="6" t="s">
        <v>38065</v>
      </c>
      <c r="Q1212" s="6"/>
      <c r="R1212" s="6"/>
      <c r="S1212" s="6"/>
      <c r="T1212" s="6"/>
      <c r="U1212" s="6"/>
      <c r="V1212" s="6"/>
      <c r="W1212" s="6"/>
      <c r="X1212" s="6"/>
      <c r="Y1212" s="6"/>
      <c r="Z1212" s="6"/>
      <c r="AA1212" s="6"/>
      <c r="AB1212" s="6"/>
      <c r="AC1212" s="6"/>
      <c r="AD1212" s="6"/>
      <c r="AE1212" s="6"/>
      <c r="AF1212" s="6"/>
      <c r="AG1212" s="6"/>
      <c r="AH1212" s="6"/>
      <c r="AI1212" s="6"/>
      <c r="AJ1212" s="6"/>
      <c r="AK1212" s="6"/>
      <c r="AL1212" s="6"/>
      <c r="AM1212" s="6"/>
      <c r="AN1212" s="6"/>
      <c r="AO1212" s="6"/>
      <c r="AP1212" s="6"/>
      <c r="AQ1212" s="6"/>
      <c r="AR1212" s="6"/>
      <c r="AS1212" s="6"/>
      <c r="AT1212" s="6"/>
      <c r="AU1212" s="6"/>
      <c r="AV1212" s="6"/>
      <c r="AW1212" s="6"/>
      <c r="AX1212" s="6"/>
      <c r="AY1212" s="6"/>
      <c r="AZ1212" s="6"/>
      <c r="BA1212" s="6"/>
      <c r="BB1212" s="6"/>
      <c r="BC1212" s="6"/>
      <c r="BD1212" s="6"/>
      <c r="BE1212" s="6"/>
      <c r="BF1212" s="6"/>
      <c r="BG1212" s="6"/>
      <c r="BH1212" s="6"/>
      <c r="BI1212" s="6"/>
      <c r="BJ1212" s="6"/>
      <c r="BK1212" s="6"/>
      <c r="BL1212" s="6"/>
      <c r="BM1212" s="6"/>
      <c r="BN1212" s="6"/>
      <c r="BO1212" s="6"/>
      <c r="BP1212" s="6"/>
      <c r="BQ1212" s="6"/>
      <c r="BR1212" s="6"/>
      <c r="BS1212" s="6"/>
      <c r="BT1212" s="6"/>
    </row>
    <row r="1213" spans="1:72">
      <c r="A1213" s="8" t="s">
        <v>23541</v>
      </c>
      <c r="B1213" s="11" t="s">
        <v>23545</v>
      </c>
      <c r="C1213" s="9" t="s">
        <v>138</v>
      </c>
      <c r="D1213" s="10" t="s">
        <v>138</v>
      </c>
      <c r="E1213" s="28" t="s">
        <v>426</v>
      </c>
      <c r="F1213" s="28" t="s">
        <v>426</v>
      </c>
      <c r="G1213" s="28" t="s">
        <v>162</v>
      </c>
      <c r="H1213" s="13">
        <v>8</v>
      </c>
      <c r="I1213" s="12" t="s">
        <v>23553</v>
      </c>
      <c r="J1213" s="12" t="s">
        <v>43831</v>
      </c>
      <c r="K1213" s="12" t="s">
        <v>42233</v>
      </c>
      <c r="L1213" s="12" t="s">
        <v>37832</v>
      </c>
      <c r="M1213" s="12" t="s">
        <v>40620</v>
      </c>
      <c r="N1213" s="12" t="s">
        <v>37890</v>
      </c>
      <c r="O1213" s="12" t="s">
        <v>37806</v>
      </c>
      <c r="P1213" s="12" t="s">
        <v>39765</v>
      </c>
      <c r="Q1213" s="12" t="s">
        <v>43832</v>
      </c>
      <c r="R1213" s="12"/>
      <c r="S1213" s="12"/>
      <c r="T1213" s="12"/>
      <c r="U1213" s="12"/>
      <c r="V1213" s="12"/>
      <c r="W1213" s="12"/>
      <c r="X1213" s="12"/>
      <c r="Y1213" s="12"/>
      <c r="Z1213" s="12"/>
      <c r="AA1213" s="12"/>
      <c r="AB1213" s="12"/>
      <c r="AC1213" s="12"/>
      <c r="AD1213" s="12"/>
      <c r="AE1213" s="12"/>
      <c r="AF1213" s="12"/>
      <c r="AG1213" s="12"/>
      <c r="AH1213" s="12"/>
      <c r="AI1213" s="12"/>
      <c r="AJ1213" s="12"/>
      <c r="AK1213" s="12"/>
      <c r="AL1213" s="12"/>
      <c r="AM1213" s="12"/>
      <c r="AN1213" s="12"/>
      <c r="AO1213" s="12"/>
      <c r="AP1213" s="12"/>
      <c r="AQ1213" s="12"/>
      <c r="AR1213" s="12"/>
      <c r="AS1213" s="12"/>
      <c r="AT1213" s="12"/>
      <c r="AU1213" s="12"/>
      <c r="AV1213" s="12"/>
      <c r="AW1213" s="12"/>
      <c r="AX1213" s="12"/>
      <c r="AY1213" s="12"/>
      <c r="AZ1213" s="12"/>
      <c r="BA1213" s="12"/>
      <c r="BB1213" s="12"/>
      <c r="BC1213" s="12"/>
      <c r="BD1213" s="12"/>
      <c r="BE1213" s="12"/>
      <c r="BF1213" s="12"/>
      <c r="BG1213" s="12"/>
      <c r="BH1213" s="12"/>
      <c r="BI1213" s="12"/>
      <c r="BJ1213" s="12"/>
      <c r="BK1213" s="12"/>
      <c r="BL1213" s="12"/>
      <c r="BM1213" s="12"/>
      <c r="BN1213" s="12"/>
      <c r="BO1213" s="12"/>
      <c r="BP1213" s="12"/>
      <c r="BQ1213" s="12"/>
      <c r="BR1213" s="12"/>
      <c r="BS1213" s="12"/>
      <c r="BT1213" s="12"/>
    </row>
    <row r="1214" spans="1:72">
      <c r="A1214" s="2" t="s">
        <v>23556</v>
      </c>
      <c r="B1214" s="5" t="s">
        <v>23561</v>
      </c>
      <c r="C1214" s="3" t="s">
        <v>138</v>
      </c>
      <c r="D1214" s="4" t="s">
        <v>138</v>
      </c>
      <c r="E1214" s="15" t="s">
        <v>23569</v>
      </c>
      <c r="F1214" s="15" t="s">
        <v>339</v>
      </c>
      <c r="G1214" s="15" t="s">
        <v>162</v>
      </c>
      <c r="H1214" s="7">
        <v>5</v>
      </c>
      <c r="I1214" s="6" t="s">
        <v>23574</v>
      </c>
      <c r="J1214" s="6" t="s">
        <v>43833</v>
      </c>
      <c r="K1214" s="6" t="s">
        <v>43834</v>
      </c>
      <c r="L1214" s="6" t="s">
        <v>37930</v>
      </c>
      <c r="M1214" s="6" t="s">
        <v>39181</v>
      </c>
      <c r="N1214" s="6" t="s">
        <v>39182</v>
      </c>
      <c r="O1214" s="6"/>
      <c r="P1214" s="6"/>
      <c r="Q1214" s="6"/>
      <c r="R1214" s="6"/>
      <c r="S1214" s="6"/>
      <c r="T1214" s="6"/>
      <c r="U1214" s="6"/>
      <c r="V1214" s="6"/>
      <c r="W1214" s="6"/>
      <c r="X1214" s="6"/>
      <c r="Y1214" s="6"/>
      <c r="Z1214" s="6"/>
      <c r="AA1214" s="6"/>
      <c r="AB1214" s="6"/>
      <c r="AC1214" s="6"/>
      <c r="AD1214" s="6"/>
      <c r="AE1214" s="6"/>
      <c r="AF1214" s="6"/>
      <c r="AG1214" s="6"/>
      <c r="AH1214" s="6"/>
      <c r="AI1214" s="6"/>
      <c r="AJ1214" s="6"/>
      <c r="AK1214" s="6"/>
      <c r="AL1214" s="6"/>
      <c r="AM1214" s="6"/>
      <c r="AN1214" s="6"/>
      <c r="AO1214" s="6"/>
      <c r="AP1214" s="6"/>
      <c r="AQ1214" s="6"/>
      <c r="AR1214" s="6"/>
      <c r="AS1214" s="6"/>
      <c r="AT1214" s="6"/>
      <c r="AU1214" s="6"/>
      <c r="AV1214" s="6"/>
      <c r="AW1214" s="6"/>
      <c r="AX1214" s="6"/>
      <c r="AY1214" s="6"/>
      <c r="AZ1214" s="6"/>
      <c r="BA1214" s="6"/>
      <c r="BB1214" s="6"/>
      <c r="BC1214" s="6"/>
      <c r="BD1214" s="6"/>
      <c r="BE1214" s="6"/>
      <c r="BF1214" s="6"/>
      <c r="BG1214" s="6"/>
      <c r="BH1214" s="6"/>
      <c r="BI1214" s="6"/>
      <c r="BJ1214" s="6"/>
      <c r="BK1214" s="6"/>
      <c r="BL1214" s="6"/>
      <c r="BM1214" s="6"/>
      <c r="BN1214" s="6"/>
      <c r="BO1214" s="6"/>
      <c r="BP1214" s="6"/>
      <c r="BQ1214" s="6"/>
      <c r="BR1214" s="6"/>
      <c r="BS1214" s="6"/>
      <c r="BT1214" s="6"/>
    </row>
    <row r="1215" spans="1:72">
      <c r="A1215" s="8" t="s">
        <v>23577</v>
      </c>
      <c r="B1215" s="11" t="s">
        <v>23581</v>
      </c>
      <c r="C1215" s="9" t="s">
        <v>138</v>
      </c>
      <c r="D1215" s="10" t="s">
        <v>138</v>
      </c>
      <c r="E1215" s="28" t="s">
        <v>23589</v>
      </c>
      <c r="F1215" s="28" t="s">
        <v>200</v>
      </c>
      <c r="G1215" s="28" t="s">
        <v>162</v>
      </c>
      <c r="H1215" s="13">
        <v>10</v>
      </c>
      <c r="I1215" s="12" t="s">
        <v>23592</v>
      </c>
      <c r="J1215" s="12" t="s">
        <v>38443</v>
      </c>
      <c r="K1215" s="12" t="s">
        <v>37875</v>
      </c>
      <c r="L1215" s="12" t="s">
        <v>37819</v>
      </c>
      <c r="M1215" s="12" t="s">
        <v>37879</v>
      </c>
      <c r="N1215" s="12" t="s">
        <v>37921</v>
      </c>
      <c r="O1215" s="12" t="s">
        <v>38721</v>
      </c>
      <c r="P1215" s="12" t="s">
        <v>38062</v>
      </c>
      <c r="Q1215" s="12" t="s">
        <v>37883</v>
      </c>
      <c r="R1215" s="12" t="s">
        <v>38850</v>
      </c>
      <c r="S1215" s="12" t="s">
        <v>43835</v>
      </c>
      <c r="T1215" s="12"/>
      <c r="U1215" s="12"/>
      <c r="V1215" s="12"/>
      <c r="W1215" s="12"/>
      <c r="X1215" s="12"/>
      <c r="Y1215" s="12"/>
      <c r="Z1215" s="12"/>
      <c r="AA1215" s="12"/>
      <c r="AB1215" s="12"/>
      <c r="AC1215" s="12"/>
      <c r="AD1215" s="12"/>
      <c r="AE1215" s="12"/>
      <c r="AF1215" s="12"/>
      <c r="AG1215" s="12"/>
      <c r="AH1215" s="12"/>
      <c r="AI1215" s="12"/>
      <c r="AJ1215" s="12"/>
      <c r="AK1215" s="12"/>
      <c r="AL1215" s="12"/>
      <c r="AM1215" s="12"/>
      <c r="AN1215" s="12"/>
      <c r="AO1215" s="12"/>
      <c r="AP1215" s="12"/>
      <c r="AQ1215" s="12"/>
      <c r="AR1215" s="12"/>
      <c r="AS1215" s="12"/>
      <c r="AT1215" s="12"/>
      <c r="AU1215" s="12"/>
      <c r="AV1215" s="12"/>
      <c r="AW1215" s="12"/>
      <c r="AX1215" s="12"/>
      <c r="AY1215" s="12"/>
      <c r="AZ1215" s="12"/>
      <c r="BA1215" s="12"/>
      <c r="BB1215" s="12"/>
      <c r="BC1215" s="12"/>
      <c r="BD1215" s="12"/>
      <c r="BE1215" s="12"/>
      <c r="BF1215" s="12"/>
      <c r="BG1215" s="12"/>
      <c r="BH1215" s="12"/>
      <c r="BI1215" s="12"/>
      <c r="BJ1215" s="12"/>
      <c r="BK1215" s="12"/>
      <c r="BL1215" s="12"/>
      <c r="BM1215" s="12"/>
      <c r="BN1215" s="12"/>
      <c r="BO1215" s="12"/>
      <c r="BP1215" s="12"/>
      <c r="BQ1215" s="12"/>
      <c r="BR1215" s="12"/>
      <c r="BS1215" s="12"/>
      <c r="BT1215" s="12"/>
    </row>
    <row r="1216" spans="1:72">
      <c r="A1216" s="2" t="s">
        <v>23597</v>
      </c>
      <c r="B1216" s="5" t="s">
        <v>23603</v>
      </c>
      <c r="C1216" s="3" t="s">
        <v>23598</v>
      </c>
      <c r="D1216" s="4" t="s">
        <v>138</v>
      </c>
      <c r="E1216" s="15" t="s">
        <v>668</v>
      </c>
      <c r="F1216" s="15" t="s">
        <v>200</v>
      </c>
      <c r="G1216" s="15" t="s">
        <v>162</v>
      </c>
      <c r="H1216" s="7">
        <v>19</v>
      </c>
      <c r="I1216" s="6" t="s">
        <v>23613</v>
      </c>
      <c r="J1216" s="6" t="s">
        <v>43788</v>
      </c>
      <c r="K1216" s="6" t="s">
        <v>37819</v>
      </c>
      <c r="L1216" s="6" t="s">
        <v>38331</v>
      </c>
      <c r="M1216" s="6" t="s">
        <v>43836</v>
      </c>
      <c r="N1216" s="6" t="s">
        <v>43837</v>
      </c>
      <c r="O1216" s="6" t="s">
        <v>38113</v>
      </c>
      <c r="P1216" s="6" t="s">
        <v>38803</v>
      </c>
      <c r="Q1216" s="6" t="s">
        <v>37775</v>
      </c>
      <c r="R1216" s="6" t="s">
        <v>43838</v>
      </c>
      <c r="S1216" s="6" t="s">
        <v>39360</v>
      </c>
      <c r="T1216" s="6" t="s">
        <v>37824</v>
      </c>
      <c r="U1216" s="6" t="s">
        <v>43839</v>
      </c>
      <c r="V1216" s="6" t="s">
        <v>38001</v>
      </c>
      <c r="W1216" s="6" t="s">
        <v>37891</v>
      </c>
      <c r="X1216" s="6" t="s">
        <v>37915</v>
      </c>
      <c r="Y1216" s="6" t="s">
        <v>43840</v>
      </c>
      <c r="Z1216" s="6" t="s">
        <v>39110</v>
      </c>
      <c r="AA1216" s="6" t="s">
        <v>43841</v>
      </c>
      <c r="AB1216" s="6" t="s">
        <v>38144</v>
      </c>
      <c r="AC1216" s="6"/>
      <c r="AD1216" s="6"/>
      <c r="AE1216" s="6"/>
      <c r="AF1216" s="6"/>
      <c r="AG1216" s="6"/>
      <c r="AH1216" s="6"/>
      <c r="AI1216" s="6"/>
      <c r="AJ1216" s="6"/>
      <c r="AK1216" s="6"/>
      <c r="AL1216" s="6"/>
      <c r="AM1216" s="6"/>
      <c r="AN1216" s="6"/>
      <c r="AO1216" s="6"/>
      <c r="AP1216" s="6"/>
      <c r="AQ1216" s="6"/>
      <c r="AR1216" s="6"/>
      <c r="AS1216" s="6"/>
      <c r="AT1216" s="6"/>
      <c r="AU1216" s="6"/>
      <c r="AV1216" s="6"/>
      <c r="AW1216" s="6"/>
      <c r="AX1216" s="6"/>
      <c r="AY1216" s="6"/>
      <c r="AZ1216" s="6"/>
      <c r="BA1216" s="6"/>
      <c r="BB1216" s="6"/>
      <c r="BC1216" s="6"/>
      <c r="BD1216" s="6"/>
      <c r="BE1216" s="6"/>
      <c r="BF1216" s="6"/>
      <c r="BG1216" s="6"/>
      <c r="BH1216" s="6"/>
      <c r="BI1216" s="6"/>
      <c r="BJ1216" s="6"/>
      <c r="BK1216" s="6"/>
      <c r="BL1216" s="6"/>
      <c r="BM1216" s="6"/>
      <c r="BN1216" s="6"/>
      <c r="BO1216" s="6"/>
      <c r="BP1216" s="6"/>
      <c r="BQ1216" s="6"/>
      <c r="BR1216" s="6"/>
      <c r="BS1216" s="6"/>
      <c r="BT1216" s="6"/>
    </row>
    <row r="1217" spans="1:72">
      <c r="A1217" s="8" t="s">
        <v>23617</v>
      </c>
      <c r="B1217" s="11" t="s">
        <v>23623</v>
      </c>
      <c r="C1217" s="9" t="s">
        <v>138</v>
      </c>
      <c r="D1217" s="10" t="s">
        <v>23618</v>
      </c>
      <c r="E1217" s="28" t="s">
        <v>966</v>
      </c>
      <c r="F1217" s="28" t="s">
        <v>200</v>
      </c>
      <c r="G1217" s="28" t="s">
        <v>162</v>
      </c>
      <c r="H1217" s="13">
        <v>28</v>
      </c>
      <c r="I1217" s="12" t="s">
        <v>23633</v>
      </c>
      <c r="J1217" s="12" t="s">
        <v>41473</v>
      </c>
      <c r="K1217" s="12" t="s">
        <v>43842</v>
      </c>
      <c r="L1217" s="12" t="s">
        <v>43843</v>
      </c>
      <c r="M1217" s="12" t="s">
        <v>43844</v>
      </c>
      <c r="N1217" s="12" t="s">
        <v>37819</v>
      </c>
      <c r="O1217" s="12" t="s">
        <v>38418</v>
      </c>
      <c r="P1217" s="12" t="s">
        <v>39170</v>
      </c>
      <c r="Q1217" s="12" t="s">
        <v>37774</v>
      </c>
      <c r="R1217" s="12" t="s">
        <v>38511</v>
      </c>
      <c r="S1217" s="12" t="s">
        <v>42941</v>
      </c>
      <c r="T1217" s="12" t="s">
        <v>43845</v>
      </c>
      <c r="U1217" s="12" t="s">
        <v>43846</v>
      </c>
      <c r="V1217" s="12" t="s">
        <v>42224</v>
      </c>
      <c r="W1217" s="12" t="s">
        <v>43847</v>
      </c>
      <c r="X1217" s="12" t="s">
        <v>43848</v>
      </c>
      <c r="Y1217" s="12" t="s">
        <v>39439</v>
      </c>
      <c r="Z1217" s="12" t="s">
        <v>43849</v>
      </c>
      <c r="AA1217" s="12" t="s">
        <v>40602</v>
      </c>
      <c r="AB1217" s="12" t="s">
        <v>41968</v>
      </c>
      <c r="AC1217" s="12" t="s">
        <v>43850</v>
      </c>
      <c r="AD1217" s="12" t="s">
        <v>37998</v>
      </c>
      <c r="AE1217" s="12" t="s">
        <v>39920</v>
      </c>
      <c r="AF1217" s="12" t="s">
        <v>43851</v>
      </c>
      <c r="AG1217" s="12" t="s">
        <v>40089</v>
      </c>
      <c r="AH1217" s="12" t="s">
        <v>39577</v>
      </c>
      <c r="AI1217" s="12" t="s">
        <v>43852</v>
      </c>
      <c r="AJ1217" s="12" t="s">
        <v>43853</v>
      </c>
      <c r="AK1217" s="12" t="s">
        <v>43791</v>
      </c>
      <c r="AL1217" s="12"/>
      <c r="AM1217" s="12"/>
      <c r="AN1217" s="12"/>
      <c r="AO1217" s="12"/>
      <c r="AP1217" s="12"/>
      <c r="AQ1217" s="12"/>
      <c r="AR1217" s="12"/>
      <c r="AS1217" s="12"/>
      <c r="AT1217" s="12"/>
      <c r="AU1217" s="12"/>
      <c r="AV1217" s="12"/>
      <c r="AW1217" s="12"/>
      <c r="AX1217" s="12"/>
      <c r="AY1217" s="12"/>
      <c r="AZ1217" s="12"/>
      <c r="BA1217" s="12"/>
      <c r="BB1217" s="12"/>
      <c r="BC1217" s="12"/>
      <c r="BD1217" s="12"/>
      <c r="BE1217" s="12"/>
      <c r="BF1217" s="12"/>
      <c r="BG1217" s="12"/>
      <c r="BH1217" s="12"/>
      <c r="BI1217" s="12"/>
      <c r="BJ1217" s="12"/>
      <c r="BK1217" s="12"/>
      <c r="BL1217" s="12"/>
      <c r="BM1217" s="12"/>
      <c r="BN1217" s="12"/>
      <c r="BO1217" s="12"/>
      <c r="BP1217" s="12"/>
      <c r="BQ1217" s="12"/>
      <c r="BR1217" s="12"/>
      <c r="BS1217" s="12"/>
      <c r="BT1217" s="12"/>
    </row>
    <row r="1218" spans="1:72">
      <c r="A1218" s="2" t="s">
        <v>23636</v>
      </c>
      <c r="B1218" s="5" t="s">
        <v>23640</v>
      </c>
      <c r="C1218" s="3" t="s">
        <v>138</v>
      </c>
      <c r="D1218" s="4" t="s">
        <v>23637</v>
      </c>
      <c r="E1218" s="15" t="s">
        <v>944</v>
      </c>
      <c r="F1218" s="15" t="s">
        <v>138</v>
      </c>
      <c r="G1218" s="15" t="s">
        <v>946</v>
      </c>
      <c r="H1218" s="7">
        <v>1</v>
      </c>
      <c r="I1218" s="6" t="s">
        <v>23651</v>
      </c>
      <c r="J1218" s="6" t="s">
        <v>23651</v>
      </c>
      <c r="K1218" s="6"/>
      <c r="L1218" s="6"/>
      <c r="M1218" s="6"/>
      <c r="N1218" s="6"/>
      <c r="O1218" s="6"/>
      <c r="P1218" s="6"/>
      <c r="Q1218" s="6"/>
      <c r="R1218" s="6"/>
      <c r="S1218" s="6"/>
      <c r="T1218" s="6"/>
      <c r="U1218" s="6"/>
      <c r="V1218" s="6"/>
      <c r="W1218" s="6"/>
      <c r="X1218" s="6"/>
      <c r="Y1218" s="6"/>
      <c r="Z1218" s="6"/>
      <c r="AA1218" s="6"/>
      <c r="AB1218" s="6"/>
      <c r="AC1218" s="6"/>
      <c r="AD1218" s="6"/>
      <c r="AE1218" s="6"/>
      <c r="AF1218" s="6"/>
      <c r="AG1218" s="6"/>
      <c r="AH1218" s="6"/>
      <c r="AI1218" s="6"/>
      <c r="AJ1218" s="6"/>
      <c r="AK1218" s="6"/>
      <c r="AL1218" s="6"/>
      <c r="AM1218" s="6"/>
      <c r="AN1218" s="6"/>
      <c r="AO1218" s="6"/>
      <c r="AP1218" s="6"/>
      <c r="AQ1218" s="6"/>
      <c r="AR1218" s="6"/>
      <c r="AS1218" s="6"/>
      <c r="AT1218" s="6"/>
      <c r="AU1218" s="6"/>
      <c r="AV1218" s="6"/>
      <c r="AW1218" s="6"/>
      <c r="AX1218" s="6"/>
      <c r="AY1218" s="6"/>
      <c r="AZ1218" s="6"/>
      <c r="BA1218" s="6"/>
      <c r="BB1218" s="6"/>
      <c r="BC1218" s="6"/>
      <c r="BD1218" s="6"/>
      <c r="BE1218" s="6"/>
      <c r="BF1218" s="6"/>
      <c r="BG1218" s="6"/>
      <c r="BH1218" s="6"/>
      <c r="BI1218" s="6"/>
      <c r="BJ1218" s="6"/>
      <c r="BK1218" s="6"/>
      <c r="BL1218" s="6"/>
      <c r="BM1218" s="6"/>
      <c r="BN1218" s="6"/>
      <c r="BO1218" s="6"/>
      <c r="BP1218" s="6"/>
      <c r="BQ1218" s="6"/>
      <c r="BR1218" s="6"/>
      <c r="BS1218" s="6"/>
      <c r="BT1218" s="6"/>
    </row>
    <row r="1219" spans="1:72">
      <c r="A1219" s="8" t="s">
        <v>23655</v>
      </c>
      <c r="B1219" s="11" t="s">
        <v>23659</v>
      </c>
      <c r="C1219" s="9" t="s">
        <v>138</v>
      </c>
      <c r="D1219" s="10" t="s">
        <v>138</v>
      </c>
      <c r="E1219" s="28" t="s">
        <v>1516</v>
      </c>
      <c r="F1219" s="28" t="s">
        <v>284</v>
      </c>
      <c r="G1219" s="28" t="s">
        <v>162</v>
      </c>
      <c r="H1219" s="13">
        <v>9</v>
      </c>
      <c r="I1219" s="12" t="s">
        <v>23670</v>
      </c>
      <c r="J1219" s="12" t="s">
        <v>38720</v>
      </c>
      <c r="K1219" s="12" t="s">
        <v>43266</v>
      </c>
      <c r="L1219" s="12" t="s">
        <v>38860</v>
      </c>
      <c r="M1219" s="12" t="s">
        <v>40093</v>
      </c>
      <c r="N1219" s="12" t="s">
        <v>43854</v>
      </c>
      <c r="O1219" s="12" t="s">
        <v>37781</v>
      </c>
      <c r="P1219" s="12" t="s">
        <v>39642</v>
      </c>
      <c r="Q1219" s="12" t="s">
        <v>38579</v>
      </c>
      <c r="R1219" s="12" t="s">
        <v>41860</v>
      </c>
      <c r="S1219" s="12"/>
      <c r="T1219" s="12"/>
      <c r="U1219" s="12"/>
      <c r="V1219" s="12"/>
      <c r="W1219" s="12"/>
      <c r="X1219" s="12"/>
      <c r="Y1219" s="12"/>
      <c r="Z1219" s="12"/>
      <c r="AA1219" s="12"/>
      <c r="AB1219" s="12"/>
      <c r="AC1219" s="12"/>
      <c r="AD1219" s="12"/>
      <c r="AE1219" s="12"/>
      <c r="AF1219" s="12"/>
      <c r="AG1219" s="12"/>
      <c r="AH1219" s="12"/>
      <c r="AI1219" s="12"/>
      <c r="AJ1219" s="12"/>
      <c r="AK1219" s="12"/>
      <c r="AL1219" s="12"/>
      <c r="AM1219" s="12"/>
      <c r="AN1219" s="12"/>
      <c r="AO1219" s="12"/>
      <c r="AP1219" s="12"/>
      <c r="AQ1219" s="12"/>
      <c r="AR1219" s="12"/>
      <c r="AS1219" s="12"/>
      <c r="AT1219" s="12"/>
      <c r="AU1219" s="12"/>
      <c r="AV1219" s="12"/>
      <c r="AW1219" s="12"/>
      <c r="AX1219" s="12"/>
      <c r="AY1219" s="12"/>
      <c r="AZ1219" s="12"/>
      <c r="BA1219" s="12"/>
      <c r="BB1219" s="12"/>
      <c r="BC1219" s="12"/>
      <c r="BD1219" s="12"/>
      <c r="BE1219" s="12"/>
      <c r="BF1219" s="12"/>
      <c r="BG1219" s="12"/>
      <c r="BH1219" s="12"/>
      <c r="BI1219" s="12"/>
      <c r="BJ1219" s="12"/>
      <c r="BK1219" s="12"/>
      <c r="BL1219" s="12"/>
      <c r="BM1219" s="12"/>
      <c r="BN1219" s="12"/>
      <c r="BO1219" s="12"/>
      <c r="BP1219" s="12"/>
      <c r="BQ1219" s="12"/>
      <c r="BR1219" s="12"/>
      <c r="BS1219" s="12"/>
      <c r="BT1219" s="12"/>
    </row>
    <row r="1220" spans="1:72">
      <c r="A1220" s="2" t="s">
        <v>23674</v>
      </c>
      <c r="B1220" s="5" t="s">
        <v>23679</v>
      </c>
      <c r="C1220" s="3" t="s">
        <v>138</v>
      </c>
      <c r="D1220" s="4" t="s">
        <v>138</v>
      </c>
      <c r="E1220" s="15" t="s">
        <v>944</v>
      </c>
      <c r="F1220" s="15" t="s">
        <v>138</v>
      </c>
      <c r="G1220" s="15" t="s">
        <v>946</v>
      </c>
      <c r="H1220" s="7">
        <v>9</v>
      </c>
      <c r="I1220" s="6" t="s">
        <v>23690</v>
      </c>
      <c r="J1220" s="6" t="s">
        <v>43855</v>
      </c>
      <c r="K1220" s="6" t="s">
        <v>43856</v>
      </c>
      <c r="L1220" s="6" t="s">
        <v>43857</v>
      </c>
      <c r="M1220" s="6" t="s">
        <v>38287</v>
      </c>
      <c r="N1220" s="6" t="s">
        <v>43858</v>
      </c>
      <c r="O1220" s="6" t="s">
        <v>40464</v>
      </c>
      <c r="P1220" s="6" t="s">
        <v>43859</v>
      </c>
      <c r="Q1220" s="6" t="s">
        <v>38626</v>
      </c>
      <c r="R1220" s="6" t="s">
        <v>43860</v>
      </c>
      <c r="S1220" s="6"/>
      <c r="T1220" s="6"/>
      <c r="U1220" s="6"/>
      <c r="V1220" s="6"/>
      <c r="W1220" s="6"/>
      <c r="X1220" s="6"/>
      <c r="Y1220" s="6"/>
      <c r="Z1220" s="6"/>
      <c r="AA1220" s="6"/>
      <c r="AB1220" s="6"/>
      <c r="AC1220" s="6"/>
      <c r="AD1220" s="6"/>
      <c r="AE1220" s="6"/>
      <c r="AF1220" s="6"/>
      <c r="AG1220" s="6"/>
      <c r="AH1220" s="6"/>
      <c r="AI1220" s="6"/>
      <c r="AJ1220" s="6"/>
      <c r="AK1220" s="6"/>
      <c r="AL1220" s="6"/>
      <c r="AM1220" s="6"/>
      <c r="AN1220" s="6"/>
      <c r="AO1220" s="6"/>
      <c r="AP1220" s="6"/>
      <c r="AQ1220" s="6"/>
      <c r="AR1220" s="6"/>
      <c r="AS1220" s="6"/>
      <c r="AT1220" s="6"/>
      <c r="AU1220" s="6"/>
      <c r="AV1220" s="6"/>
      <c r="AW1220" s="6"/>
      <c r="AX1220" s="6"/>
      <c r="AY1220" s="6"/>
      <c r="AZ1220" s="6"/>
      <c r="BA1220" s="6"/>
      <c r="BB1220" s="6"/>
      <c r="BC1220" s="6"/>
      <c r="BD1220" s="6"/>
      <c r="BE1220" s="6"/>
      <c r="BF1220" s="6"/>
      <c r="BG1220" s="6"/>
      <c r="BH1220" s="6"/>
      <c r="BI1220" s="6"/>
      <c r="BJ1220" s="6"/>
      <c r="BK1220" s="6"/>
      <c r="BL1220" s="6"/>
      <c r="BM1220" s="6"/>
      <c r="BN1220" s="6"/>
      <c r="BO1220" s="6"/>
      <c r="BP1220" s="6"/>
      <c r="BQ1220" s="6"/>
      <c r="BR1220" s="6"/>
      <c r="BS1220" s="6"/>
      <c r="BT1220" s="6"/>
    </row>
    <row r="1221" spans="1:72">
      <c r="A1221" s="8" t="s">
        <v>23693</v>
      </c>
      <c r="B1221" s="11" t="s">
        <v>23698</v>
      </c>
      <c r="C1221" s="9" t="s">
        <v>23694</v>
      </c>
      <c r="D1221" s="10" t="s">
        <v>23695</v>
      </c>
      <c r="E1221" s="28" t="s">
        <v>23706</v>
      </c>
      <c r="F1221" s="28" t="s">
        <v>824</v>
      </c>
      <c r="G1221" s="28" t="s">
        <v>526</v>
      </c>
      <c r="H1221" s="13">
        <v>3</v>
      </c>
      <c r="I1221" s="12" t="s">
        <v>23711</v>
      </c>
      <c r="J1221" s="12" t="s">
        <v>43861</v>
      </c>
      <c r="K1221" s="12" t="s">
        <v>43862</v>
      </c>
      <c r="L1221" s="12" t="s">
        <v>41217</v>
      </c>
      <c r="M1221" s="12"/>
      <c r="N1221" s="12"/>
      <c r="O1221" s="12"/>
      <c r="P1221" s="12"/>
      <c r="Q1221" s="12"/>
      <c r="R1221" s="12"/>
      <c r="S1221" s="12"/>
      <c r="T1221" s="12"/>
      <c r="U1221" s="12"/>
      <c r="V1221" s="12"/>
      <c r="W1221" s="12"/>
      <c r="X1221" s="12"/>
      <c r="Y1221" s="12"/>
      <c r="Z1221" s="12"/>
      <c r="AA1221" s="12"/>
      <c r="AB1221" s="12"/>
      <c r="AC1221" s="12"/>
      <c r="AD1221" s="12"/>
      <c r="AE1221" s="12"/>
      <c r="AF1221" s="12"/>
      <c r="AG1221" s="12"/>
      <c r="AH1221" s="12"/>
      <c r="AI1221" s="12"/>
      <c r="AJ1221" s="12"/>
      <c r="AK1221" s="12"/>
      <c r="AL1221" s="12"/>
      <c r="AM1221" s="12"/>
      <c r="AN1221" s="12"/>
      <c r="AO1221" s="12"/>
      <c r="AP1221" s="12"/>
      <c r="AQ1221" s="12"/>
      <c r="AR1221" s="12"/>
      <c r="AS1221" s="12"/>
      <c r="AT1221" s="12"/>
      <c r="AU1221" s="12"/>
      <c r="AV1221" s="12"/>
      <c r="AW1221" s="12"/>
      <c r="AX1221" s="12"/>
      <c r="AY1221" s="12"/>
      <c r="AZ1221" s="12"/>
      <c r="BA1221" s="12"/>
      <c r="BB1221" s="12"/>
      <c r="BC1221" s="12"/>
      <c r="BD1221" s="12"/>
      <c r="BE1221" s="12"/>
      <c r="BF1221" s="12"/>
      <c r="BG1221" s="12"/>
      <c r="BH1221" s="12"/>
      <c r="BI1221" s="12"/>
      <c r="BJ1221" s="12"/>
      <c r="BK1221" s="12"/>
      <c r="BL1221" s="12"/>
      <c r="BM1221" s="12"/>
      <c r="BN1221" s="12"/>
      <c r="BO1221" s="12"/>
      <c r="BP1221" s="12"/>
      <c r="BQ1221" s="12"/>
      <c r="BR1221" s="12"/>
      <c r="BS1221" s="12"/>
      <c r="BT1221" s="12"/>
    </row>
    <row r="1222" spans="1:72">
      <c r="A1222" s="2" t="s">
        <v>23714</v>
      </c>
      <c r="B1222" s="5" t="s">
        <v>23719</v>
      </c>
      <c r="C1222" s="3" t="s">
        <v>23715</v>
      </c>
      <c r="D1222" s="4" t="s">
        <v>138</v>
      </c>
      <c r="E1222" s="15" t="s">
        <v>642</v>
      </c>
      <c r="F1222" s="15" t="s">
        <v>474</v>
      </c>
      <c r="G1222" s="15" t="s">
        <v>162</v>
      </c>
      <c r="H1222" s="7">
        <v>15</v>
      </c>
      <c r="I1222" s="6" t="s">
        <v>23727</v>
      </c>
      <c r="J1222" s="6" t="s">
        <v>38344</v>
      </c>
      <c r="K1222" s="6" t="s">
        <v>43863</v>
      </c>
      <c r="L1222" s="6" t="s">
        <v>43864</v>
      </c>
      <c r="M1222" s="6" t="s">
        <v>40155</v>
      </c>
      <c r="N1222" s="6" t="s">
        <v>43865</v>
      </c>
      <c r="O1222" s="6" t="s">
        <v>41454</v>
      </c>
      <c r="P1222" s="6" t="s">
        <v>43866</v>
      </c>
      <c r="Q1222" s="6" t="s">
        <v>39031</v>
      </c>
      <c r="R1222" s="6" t="s">
        <v>43867</v>
      </c>
      <c r="S1222" s="6" t="s">
        <v>43868</v>
      </c>
      <c r="T1222" s="6" t="s">
        <v>43869</v>
      </c>
      <c r="U1222" s="6" t="s">
        <v>43870</v>
      </c>
      <c r="V1222" s="6" t="s">
        <v>39109</v>
      </c>
      <c r="W1222" s="6" t="s">
        <v>39033</v>
      </c>
      <c r="X1222" s="6" t="s">
        <v>43871</v>
      </c>
      <c r="Y1222" s="6"/>
      <c r="Z1222" s="6"/>
      <c r="AA1222" s="6"/>
      <c r="AB1222" s="6"/>
      <c r="AC1222" s="6"/>
      <c r="AD1222" s="6"/>
      <c r="AE1222" s="6"/>
      <c r="AF1222" s="6"/>
      <c r="AG1222" s="6"/>
      <c r="AH1222" s="6"/>
      <c r="AI1222" s="6"/>
      <c r="AJ1222" s="6"/>
      <c r="AK1222" s="6"/>
      <c r="AL1222" s="6"/>
      <c r="AM1222" s="6"/>
      <c r="AN1222" s="6"/>
      <c r="AO1222" s="6"/>
      <c r="AP1222" s="6"/>
      <c r="AQ1222" s="6"/>
      <c r="AR1222" s="6"/>
      <c r="AS1222" s="6"/>
      <c r="AT1222" s="6"/>
      <c r="AU1222" s="6"/>
      <c r="AV1222" s="6"/>
      <c r="AW1222" s="6"/>
      <c r="AX1222" s="6"/>
      <c r="AY1222" s="6"/>
      <c r="AZ1222" s="6"/>
      <c r="BA1222" s="6"/>
      <c r="BB1222" s="6"/>
      <c r="BC1222" s="6"/>
      <c r="BD1222" s="6"/>
      <c r="BE1222" s="6"/>
      <c r="BF1222" s="6"/>
      <c r="BG1222" s="6"/>
      <c r="BH1222" s="6"/>
      <c r="BI1222" s="6"/>
      <c r="BJ1222" s="6"/>
      <c r="BK1222" s="6"/>
      <c r="BL1222" s="6"/>
      <c r="BM1222" s="6"/>
      <c r="BN1222" s="6"/>
      <c r="BO1222" s="6"/>
      <c r="BP1222" s="6"/>
      <c r="BQ1222" s="6"/>
      <c r="BR1222" s="6"/>
      <c r="BS1222" s="6"/>
      <c r="BT1222" s="6"/>
    </row>
    <row r="1223" spans="1:72">
      <c r="A1223" s="8" t="s">
        <v>23731</v>
      </c>
      <c r="B1223" s="11" t="s">
        <v>23737</v>
      </c>
      <c r="C1223" s="9" t="s">
        <v>23732</v>
      </c>
      <c r="D1223" s="10" t="s">
        <v>138</v>
      </c>
      <c r="E1223" s="28" t="s">
        <v>1460</v>
      </c>
      <c r="F1223" s="28" t="s">
        <v>474</v>
      </c>
      <c r="G1223" s="28" t="s">
        <v>162</v>
      </c>
      <c r="H1223" s="13">
        <v>8</v>
      </c>
      <c r="I1223" s="12" t="s">
        <v>23748</v>
      </c>
      <c r="J1223" s="12" t="s">
        <v>18057</v>
      </c>
      <c r="K1223" s="12" t="s">
        <v>40742</v>
      </c>
      <c r="L1223" s="12" t="s">
        <v>37898</v>
      </c>
      <c r="M1223" s="12" t="s">
        <v>39277</v>
      </c>
      <c r="N1223" s="12" t="s">
        <v>39395</v>
      </c>
      <c r="O1223" s="12" t="s">
        <v>43872</v>
      </c>
      <c r="P1223" s="12" t="s">
        <v>38770</v>
      </c>
      <c r="Q1223" s="12" t="s">
        <v>43071</v>
      </c>
      <c r="R1223" s="12"/>
      <c r="S1223" s="12"/>
      <c r="T1223" s="12"/>
      <c r="U1223" s="12"/>
      <c r="V1223" s="12"/>
      <c r="W1223" s="12"/>
      <c r="X1223" s="12"/>
      <c r="Y1223" s="12"/>
      <c r="Z1223" s="12"/>
      <c r="AA1223" s="12"/>
      <c r="AB1223" s="12"/>
      <c r="AC1223" s="12"/>
      <c r="AD1223" s="12"/>
      <c r="AE1223" s="12"/>
      <c r="AF1223" s="12"/>
      <c r="AG1223" s="12"/>
      <c r="AH1223" s="12"/>
      <c r="AI1223" s="12"/>
      <c r="AJ1223" s="12"/>
      <c r="AK1223" s="12"/>
      <c r="AL1223" s="12"/>
      <c r="AM1223" s="12"/>
      <c r="AN1223" s="12"/>
      <c r="AO1223" s="12"/>
      <c r="AP1223" s="12"/>
      <c r="AQ1223" s="12"/>
      <c r="AR1223" s="12"/>
      <c r="AS1223" s="12"/>
      <c r="AT1223" s="12"/>
      <c r="AU1223" s="12"/>
      <c r="AV1223" s="12"/>
      <c r="AW1223" s="12"/>
      <c r="AX1223" s="12"/>
      <c r="AY1223" s="12"/>
      <c r="AZ1223" s="12"/>
      <c r="BA1223" s="12"/>
      <c r="BB1223" s="12"/>
      <c r="BC1223" s="12"/>
      <c r="BD1223" s="12"/>
      <c r="BE1223" s="12"/>
      <c r="BF1223" s="12"/>
      <c r="BG1223" s="12"/>
      <c r="BH1223" s="12"/>
      <c r="BI1223" s="12"/>
      <c r="BJ1223" s="12"/>
      <c r="BK1223" s="12"/>
      <c r="BL1223" s="12"/>
      <c r="BM1223" s="12"/>
      <c r="BN1223" s="12"/>
      <c r="BO1223" s="12"/>
      <c r="BP1223" s="12"/>
      <c r="BQ1223" s="12"/>
      <c r="BR1223" s="12"/>
      <c r="BS1223" s="12"/>
      <c r="BT1223" s="12"/>
    </row>
    <row r="1224" spans="1:72">
      <c r="A1224" s="2" t="s">
        <v>23752</v>
      </c>
      <c r="B1224" s="5" t="s">
        <v>23759</v>
      </c>
      <c r="C1224" s="3" t="s">
        <v>23753</v>
      </c>
      <c r="D1224" s="4" t="s">
        <v>138</v>
      </c>
      <c r="E1224" s="15" t="s">
        <v>668</v>
      </c>
      <c r="F1224" s="15" t="s">
        <v>200</v>
      </c>
      <c r="G1224" s="15" t="s">
        <v>162</v>
      </c>
      <c r="H1224" s="7">
        <v>3</v>
      </c>
      <c r="I1224" s="6" t="s">
        <v>23768</v>
      </c>
      <c r="J1224" s="6" t="s">
        <v>43873</v>
      </c>
      <c r="K1224" s="6" t="s">
        <v>43874</v>
      </c>
      <c r="L1224" s="6" t="s">
        <v>37890</v>
      </c>
      <c r="M1224" s="6"/>
      <c r="N1224" s="6"/>
      <c r="O1224" s="6"/>
      <c r="P1224" s="6"/>
      <c r="Q1224" s="6"/>
      <c r="R1224" s="6"/>
      <c r="S1224" s="6"/>
      <c r="T1224" s="6"/>
      <c r="U1224" s="6"/>
      <c r="V1224" s="6"/>
      <c r="W1224" s="6"/>
      <c r="X1224" s="6"/>
      <c r="Y1224" s="6"/>
      <c r="Z1224" s="6"/>
      <c r="AA1224" s="6"/>
      <c r="AB1224" s="6"/>
      <c r="AC1224" s="6"/>
      <c r="AD1224" s="6"/>
      <c r="AE1224" s="6"/>
      <c r="AF1224" s="6"/>
      <c r="AG1224" s="6"/>
      <c r="AH1224" s="6"/>
      <c r="AI1224" s="6"/>
      <c r="AJ1224" s="6"/>
      <c r="AK1224" s="6"/>
      <c r="AL1224" s="6"/>
      <c r="AM1224" s="6"/>
      <c r="AN1224" s="6"/>
      <c r="AO1224" s="6"/>
      <c r="AP1224" s="6"/>
      <c r="AQ1224" s="6"/>
      <c r="AR1224" s="6"/>
      <c r="AS1224" s="6"/>
      <c r="AT1224" s="6"/>
      <c r="AU1224" s="6"/>
      <c r="AV1224" s="6"/>
      <c r="AW1224" s="6"/>
      <c r="AX1224" s="6"/>
      <c r="AY1224" s="6"/>
      <c r="AZ1224" s="6"/>
      <c r="BA1224" s="6"/>
      <c r="BB1224" s="6"/>
      <c r="BC1224" s="6"/>
      <c r="BD1224" s="6"/>
      <c r="BE1224" s="6"/>
      <c r="BF1224" s="6"/>
      <c r="BG1224" s="6"/>
      <c r="BH1224" s="6"/>
      <c r="BI1224" s="6"/>
      <c r="BJ1224" s="6"/>
      <c r="BK1224" s="6"/>
      <c r="BL1224" s="6"/>
      <c r="BM1224" s="6"/>
      <c r="BN1224" s="6"/>
      <c r="BO1224" s="6"/>
      <c r="BP1224" s="6"/>
      <c r="BQ1224" s="6"/>
      <c r="BR1224" s="6"/>
      <c r="BS1224" s="6"/>
      <c r="BT1224" s="6"/>
    </row>
    <row r="1225" spans="1:72">
      <c r="A1225" s="8" t="s">
        <v>23771</v>
      </c>
      <c r="B1225" s="11" t="s">
        <v>23777</v>
      </c>
      <c r="C1225" s="9" t="s">
        <v>138</v>
      </c>
      <c r="D1225" s="10" t="s">
        <v>23772</v>
      </c>
      <c r="E1225" s="28" t="s">
        <v>426</v>
      </c>
      <c r="F1225" s="28" t="s">
        <v>426</v>
      </c>
      <c r="G1225" s="28" t="s">
        <v>162</v>
      </c>
      <c r="H1225" s="13">
        <v>6</v>
      </c>
      <c r="I1225" s="12" t="s">
        <v>23784</v>
      </c>
      <c r="J1225" s="12" t="s">
        <v>43875</v>
      </c>
      <c r="K1225" s="12" t="s">
        <v>38463</v>
      </c>
      <c r="L1225" s="12" t="s">
        <v>39170</v>
      </c>
      <c r="M1225" s="12" t="s">
        <v>37922</v>
      </c>
      <c r="N1225" s="12" t="s">
        <v>43373</v>
      </c>
      <c r="O1225" s="12" t="s">
        <v>42338</v>
      </c>
      <c r="P1225" s="12"/>
      <c r="Q1225" s="12"/>
      <c r="R1225" s="12"/>
      <c r="S1225" s="12"/>
      <c r="T1225" s="12"/>
      <c r="U1225" s="12"/>
      <c r="V1225" s="12"/>
      <c r="W1225" s="12"/>
      <c r="X1225" s="12"/>
      <c r="Y1225" s="12"/>
      <c r="Z1225" s="12"/>
      <c r="AA1225" s="12"/>
      <c r="AB1225" s="12"/>
      <c r="AC1225" s="12"/>
      <c r="AD1225" s="12"/>
      <c r="AE1225" s="12"/>
      <c r="AF1225" s="12"/>
      <c r="AG1225" s="12"/>
      <c r="AH1225" s="12"/>
      <c r="AI1225" s="12"/>
      <c r="AJ1225" s="12"/>
      <c r="AK1225" s="12"/>
      <c r="AL1225" s="12"/>
      <c r="AM1225" s="12"/>
      <c r="AN1225" s="12"/>
      <c r="AO1225" s="12"/>
      <c r="AP1225" s="12"/>
      <c r="AQ1225" s="12"/>
      <c r="AR1225" s="12"/>
      <c r="AS1225" s="12"/>
      <c r="AT1225" s="12"/>
      <c r="AU1225" s="12"/>
      <c r="AV1225" s="12"/>
      <c r="AW1225" s="12"/>
      <c r="AX1225" s="12"/>
      <c r="AY1225" s="12"/>
      <c r="AZ1225" s="12"/>
      <c r="BA1225" s="12"/>
      <c r="BB1225" s="12"/>
      <c r="BC1225" s="12"/>
      <c r="BD1225" s="12"/>
      <c r="BE1225" s="12"/>
      <c r="BF1225" s="12"/>
      <c r="BG1225" s="12"/>
      <c r="BH1225" s="12"/>
      <c r="BI1225" s="12"/>
      <c r="BJ1225" s="12"/>
      <c r="BK1225" s="12"/>
      <c r="BL1225" s="12"/>
      <c r="BM1225" s="12"/>
      <c r="BN1225" s="12"/>
      <c r="BO1225" s="12"/>
      <c r="BP1225" s="12"/>
      <c r="BQ1225" s="12"/>
      <c r="BR1225" s="12"/>
      <c r="BS1225" s="12"/>
      <c r="BT1225" s="12"/>
    </row>
    <row r="1226" spans="1:72">
      <c r="A1226" s="2" t="s">
        <v>23788</v>
      </c>
      <c r="B1226" s="5" t="s">
        <v>23794</v>
      </c>
      <c r="C1226" s="3" t="s">
        <v>23789</v>
      </c>
      <c r="D1226" s="4" t="s">
        <v>138</v>
      </c>
      <c r="E1226" s="15" t="s">
        <v>4604</v>
      </c>
      <c r="F1226" s="15" t="s">
        <v>17451</v>
      </c>
      <c r="G1226" s="15" t="s">
        <v>2071</v>
      </c>
      <c r="H1226" s="7">
        <v>3</v>
      </c>
      <c r="I1226" s="6" t="s">
        <v>23804</v>
      </c>
      <c r="J1226" s="6" t="s">
        <v>43876</v>
      </c>
      <c r="K1226" s="6" t="s">
        <v>42415</v>
      </c>
      <c r="L1226" s="6" t="s">
        <v>38200</v>
      </c>
      <c r="M1226" s="6"/>
      <c r="N1226" s="6"/>
      <c r="O1226" s="6"/>
      <c r="P1226" s="6"/>
      <c r="Q1226" s="6"/>
      <c r="R1226" s="6"/>
      <c r="S1226" s="6"/>
      <c r="T1226" s="6"/>
      <c r="U1226" s="6"/>
      <c r="V1226" s="6"/>
      <c r="W1226" s="6"/>
      <c r="X1226" s="6"/>
      <c r="Y1226" s="6"/>
      <c r="Z1226" s="6"/>
      <c r="AA1226" s="6"/>
      <c r="AB1226" s="6"/>
      <c r="AC1226" s="6"/>
      <c r="AD1226" s="6"/>
      <c r="AE1226" s="6"/>
      <c r="AF1226" s="6"/>
      <c r="AG1226" s="6"/>
      <c r="AH1226" s="6"/>
      <c r="AI1226" s="6"/>
      <c r="AJ1226" s="6"/>
      <c r="AK1226" s="6"/>
      <c r="AL1226" s="6"/>
      <c r="AM1226" s="6"/>
      <c r="AN1226" s="6"/>
      <c r="AO1226" s="6"/>
      <c r="AP1226" s="6"/>
      <c r="AQ1226" s="6"/>
      <c r="AR1226" s="6"/>
      <c r="AS1226" s="6"/>
      <c r="AT1226" s="6"/>
      <c r="AU1226" s="6"/>
      <c r="AV1226" s="6"/>
      <c r="AW1226" s="6"/>
      <c r="AX1226" s="6"/>
      <c r="AY1226" s="6"/>
      <c r="AZ1226" s="6"/>
      <c r="BA1226" s="6"/>
      <c r="BB1226" s="6"/>
      <c r="BC1226" s="6"/>
      <c r="BD1226" s="6"/>
      <c r="BE1226" s="6"/>
      <c r="BF1226" s="6"/>
      <c r="BG1226" s="6"/>
      <c r="BH1226" s="6"/>
      <c r="BI1226" s="6"/>
      <c r="BJ1226" s="6"/>
      <c r="BK1226" s="6"/>
      <c r="BL1226" s="6"/>
      <c r="BM1226" s="6"/>
      <c r="BN1226" s="6"/>
      <c r="BO1226" s="6"/>
      <c r="BP1226" s="6"/>
      <c r="BQ1226" s="6"/>
      <c r="BR1226" s="6"/>
      <c r="BS1226" s="6"/>
      <c r="BT1226" s="6"/>
    </row>
    <row r="1227" spans="1:72">
      <c r="A1227" s="8" t="s">
        <v>23807</v>
      </c>
      <c r="B1227" s="11" t="s">
        <v>23814</v>
      </c>
      <c r="C1227" s="9" t="s">
        <v>23808</v>
      </c>
      <c r="D1227" s="10" t="s">
        <v>138</v>
      </c>
      <c r="E1227" s="28" t="s">
        <v>668</v>
      </c>
      <c r="F1227" s="28" t="s">
        <v>200</v>
      </c>
      <c r="G1227" s="28" t="s">
        <v>162</v>
      </c>
      <c r="H1227" s="13">
        <v>9</v>
      </c>
      <c r="I1227" s="12" t="s">
        <v>23823</v>
      </c>
      <c r="J1227" s="12" t="s">
        <v>16877</v>
      </c>
      <c r="K1227" s="12" t="s">
        <v>37787</v>
      </c>
      <c r="L1227" s="12" t="s">
        <v>38334</v>
      </c>
      <c r="M1227" s="12" t="s">
        <v>40560</v>
      </c>
      <c r="N1227" s="12" t="s">
        <v>37998</v>
      </c>
      <c r="O1227" s="12" t="s">
        <v>43877</v>
      </c>
      <c r="P1227" s="12" t="s">
        <v>37781</v>
      </c>
      <c r="Q1227" s="12" t="s">
        <v>39071</v>
      </c>
      <c r="R1227" s="12" t="s">
        <v>43442</v>
      </c>
      <c r="S1227" s="12"/>
      <c r="T1227" s="12"/>
      <c r="U1227" s="12"/>
      <c r="V1227" s="12"/>
      <c r="W1227" s="12"/>
      <c r="X1227" s="12"/>
      <c r="Y1227" s="12"/>
      <c r="Z1227" s="12"/>
      <c r="AA1227" s="12"/>
      <c r="AB1227" s="12"/>
      <c r="AC1227" s="12"/>
      <c r="AD1227" s="12"/>
      <c r="AE1227" s="12"/>
      <c r="AF1227" s="12"/>
      <c r="AG1227" s="12"/>
      <c r="AH1227" s="12"/>
      <c r="AI1227" s="12"/>
      <c r="AJ1227" s="12"/>
      <c r="AK1227" s="12"/>
      <c r="AL1227" s="12"/>
      <c r="AM1227" s="12"/>
      <c r="AN1227" s="12"/>
      <c r="AO1227" s="12"/>
      <c r="AP1227" s="12"/>
      <c r="AQ1227" s="12"/>
      <c r="AR1227" s="12"/>
      <c r="AS1227" s="12"/>
      <c r="AT1227" s="12"/>
      <c r="AU1227" s="12"/>
      <c r="AV1227" s="12"/>
      <c r="AW1227" s="12"/>
      <c r="AX1227" s="12"/>
      <c r="AY1227" s="12"/>
      <c r="AZ1227" s="12"/>
      <c r="BA1227" s="12"/>
      <c r="BB1227" s="12"/>
      <c r="BC1227" s="12"/>
      <c r="BD1227" s="12"/>
      <c r="BE1227" s="12"/>
      <c r="BF1227" s="12"/>
      <c r="BG1227" s="12"/>
      <c r="BH1227" s="12"/>
      <c r="BI1227" s="12"/>
      <c r="BJ1227" s="12"/>
      <c r="BK1227" s="12"/>
      <c r="BL1227" s="12"/>
      <c r="BM1227" s="12"/>
      <c r="BN1227" s="12"/>
      <c r="BO1227" s="12"/>
      <c r="BP1227" s="12"/>
      <c r="BQ1227" s="12"/>
      <c r="BR1227" s="12"/>
      <c r="BS1227" s="12"/>
      <c r="BT1227" s="12"/>
    </row>
    <row r="1228" spans="1:72">
      <c r="A1228" s="2" t="s">
        <v>23827</v>
      </c>
      <c r="B1228" s="5" t="s">
        <v>23832</v>
      </c>
      <c r="C1228" s="3" t="s">
        <v>23828</v>
      </c>
      <c r="D1228" s="4" t="s">
        <v>138</v>
      </c>
      <c r="E1228" s="15" t="s">
        <v>1872</v>
      </c>
      <c r="F1228" s="15" t="s">
        <v>200</v>
      </c>
      <c r="G1228" s="15" t="s">
        <v>162</v>
      </c>
      <c r="H1228" s="7">
        <v>28</v>
      </c>
      <c r="I1228" s="6" t="s">
        <v>23841</v>
      </c>
      <c r="J1228" s="6" t="s">
        <v>37811</v>
      </c>
      <c r="K1228" s="6" t="s">
        <v>43878</v>
      </c>
      <c r="L1228" s="6" t="s">
        <v>43879</v>
      </c>
      <c r="M1228" s="6" t="s">
        <v>39434</v>
      </c>
      <c r="N1228" s="6" t="s">
        <v>42053</v>
      </c>
      <c r="O1228" s="6" t="s">
        <v>43880</v>
      </c>
      <c r="P1228" s="6" t="s">
        <v>40412</v>
      </c>
      <c r="Q1228" s="6" t="s">
        <v>37984</v>
      </c>
      <c r="R1228" s="6" t="s">
        <v>40346</v>
      </c>
      <c r="S1228" s="6" t="s">
        <v>39229</v>
      </c>
      <c r="T1228" s="6" t="s">
        <v>38572</v>
      </c>
      <c r="U1228" s="6" t="s">
        <v>37985</v>
      </c>
      <c r="V1228" s="6" t="s">
        <v>37921</v>
      </c>
      <c r="W1228" s="6" t="s">
        <v>39348</v>
      </c>
      <c r="X1228" s="6" t="s">
        <v>42058</v>
      </c>
      <c r="Y1228" s="6" t="s">
        <v>43881</v>
      </c>
      <c r="Z1228" s="6" t="s">
        <v>37788</v>
      </c>
      <c r="AA1228" s="6" t="s">
        <v>40093</v>
      </c>
      <c r="AB1228" s="6" t="s">
        <v>38078</v>
      </c>
      <c r="AC1228" s="6" t="s">
        <v>43849</v>
      </c>
      <c r="AD1228" s="6" t="s">
        <v>41392</v>
      </c>
      <c r="AE1228" s="6" t="s">
        <v>37999</v>
      </c>
      <c r="AF1228" s="6" t="s">
        <v>38066</v>
      </c>
      <c r="AG1228" s="6" t="s">
        <v>37915</v>
      </c>
      <c r="AH1228" s="6" t="s">
        <v>41094</v>
      </c>
      <c r="AI1228" s="6" t="s">
        <v>39086</v>
      </c>
      <c r="AJ1228" s="6" t="s">
        <v>39686</v>
      </c>
      <c r="AK1228" s="6" t="s">
        <v>42314</v>
      </c>
      <c r="AL1228" s="6"/>
      <c r="AM1228" s="6"/>
      <c r="AN1228" s="6"/>
      <c r="AO1228" s="6"/>
      <c r="AP1228" s="6"/>
      <c r="AQ1228" s="6"/>
      <c r="AR1228" s="6"/>
      <c r="AS1228" s="6"/>
      <c r="AT1228" s="6"/>
      <c r="AU1228" s="6"/>
      <c r="AV1228" s="6"/>
      <c r="AW1228" s="6"/>
      <c r="AX1228" s="6"/>
      <c r="AY1228" s="6"/>
      <c r="AZ1228" s="6"/>
      <c r="BA1228" s="6"/>
      <c r="BB1228" s="6"/>
      <c r="BC1228" s="6"/>
      <c r="BD1228" s="6"/>
      <c r="BE1228" s="6"/>
      <c r="BF1228" s="6"/>
      <c r="BG1228" s="6"/>
      <c r="BH1228" s="6"/>
      <c r="BI1228" s="6"/>
      <c r="BJ1228" s="6"/>
      <c r="BK1228" s="6"/>
      <c r="BL1228" s="6"/>
      <c r="BM1228" s="6"/>
      <c r="BN1228" s="6"/>
      <c r="BO1228" s="6"/>
      <c r="BP1228" s="6"/>
      <c r="BQ1228" s="6"/>
      <c r="BR1228" s="6"/>
      <c r="BS1228" s="6"/>
      <c r="BT1228" s="6"/>
    </row>
    <row r="1229" spans="1:72">
      <c r="A1229" s="8" t="s">
        <v>23846</v>
      </c>
      <c r="B1229" s="11" t="s">
        <v>23851</v>
      </c>
      <c r="C1229" s="9" t="s">
        <v>138</v>
      </c>
      <c r="D1229" s="10" t="s">
        <v>23847</v>
      </c>
      <c r="E1229" s="28" t="s">
        <v>426</v>
      </c>
      <c r="F1229" s="28" t="s">
        <v>426</v>
      </c>
      <c r="G1229" s="28" t="s">
        <v>162</v>
      </c>
      <c r="H1229" s="13">
        <v>9</v>
      </c>
      <c r="I1229" s="12" t="s">
        <v>23857</v>
      </c>
      <c r="J1229" s="12" t="s">
        <v>13176</v>
      </c>
      <c r="K1229" s="12" t="s">
        <v>40813</v>
      </c>
      <c r="L1229" s="12" t="s">
        <v>38365</v>
      </c>
      <c r="M1229" s="12" t="s">
        <v>37819</v>
      </c>
      <c r="N1229" s="12" t="s">
        <v>43882</v>
      </c>
      <c r="O1229" s="12" t="s">
        <v>37921</v>
      </c>
      <c r="P1229" s="12" t="s">
        <v>38114</v>
      </c>
      <c r="Q1229" s="12" t="s">
        <v>38910</v>
      </c>
      <c r="R1229" s="12" t="s">
        <v>38480</v>
      </c>
      <c r="S1229" s="12"/>
      <c r="T1229" s="12"/>
      <c r="U1229" s="12"/>
      <c r="V1229" s="12"/>
      <c r="W1229" s="12"/>
      <c r="X1229" s="12"/>
      <c r="Y1229" s="12"/>
      <c r="Z1229" s="12"/>
      <c r="AA1229" s="12"/>
      <c r="AB1229" s="12"/>
      <c r="AC1229" s="12"/>
      <c r="AD1229" s="12"/>
      <c r="AE1229" s="12"/>
      <c r="AF1229" s="12"/>
      <c r="AG1229" s="12"/>
      <c r="AH1229" s="12"/>
      <c r="AI1229" s="12"/>
      <c r="AJ1229" s="12"/>
      <c r="AK1229" s="12"/>
      <c r="AL1229" s="12"/>
      <c r="AM1229" s="12"/>
      <c r="AN1229" s="12"/>
      <c r="AO1229" s="12"/>
      <c r="AP1229" s="12"/>
      <c r="AQ1229" s="12"/>
      <c r="AR1229" s="12"/>
      <c r="AS1229" s="12"/>
      <c r="AT1229" s="12"/>
      <c r="AU1229" s="12"/>
      <c r="AV1229" s="12"/>
      <c r="AW1229" s="12"/>
      <c r="AX1229" s="12"/>
      <c r="AY1229" s="12"/>
      <c r="AZ1229" s="12"/>
      <c r="BA1229" s="12"/>
      <c r="BB1229" s="12"/>
      <c r="BC1229" s="12"/>
      <c r="BD1229" s="12"/>
      <c r="BE1229" s="12"/>
      <c r="BF1229" s="12"/>
      <c r="BG1229" s="12"/>
      <c r="BH1229" s="12"/>
      <c r="BI1229" s="12"/>
      <c r="BJ1229" s="12"/>
      <c r="BK1229" s="12"/>
      <c r="BL1229" s="12"/>
      <c r="BM1229" s="12"/>
      <c r="BN1229" s="12"/>
      <c r="BO1229" s="12"/>
      <c r="BP1229" s="12"/>
      <c r="BQ1229" s="12"/>
      <c r="BR1229" s="12"/>
      <c r="BS1229" s="12"/>
      <c r="BT1229" s="12"/>
    </row>
    <row r="1230" spans="1:72">
      <c r="A1230" s="2" t="s">
        <v>23860</v>
      </c>
      <c r="B1230" s="5" t="s">
        <v>23864</v>
      </c>
      <c r="C1230" s="3" t="s">
        <v>138</v>
      </c>
      <c r="D1230" s="4" t="s">
        <v>138</v>
      </c>
      <c r="E1230" s="15" t="s">
        <v>2694</v>
      </c>
      <c r="F1230" s="15" t="s">
        <v>138</v>
      </c>
      <c r="G1230" s="15" t="s">
        <v>1054</v>
      </c>
      <c r="H1230" s="7">
        <v>9</v>
      </c>
      <c r="I1230" s="6" t="s">
        <v>23872</v>
      </c>
      <c r="J1230" s="6" t="s">
        <v>43883</v>
      </c>
      <c r="K1230" s="6" t="s">
        <v>39470</v>
      </c>
      <c r="L1230" s="6" t="s">
        <v>40814</v>
      </c>
      <c r="M1230" s="6" t="s">
        <v>37855</v>
      </c>
      <c r="N1230" s="6" t="s">
        <v>43884</v>
      </c>
      <c r="O1230" s="6" t="s">
        <v>38514</v>
      </c>
      <c r="P1230" s="6" t="s">
        <v>41146</v>
      </c>
      <c r="Q1230" s="6" t="s">
        <v>37868</v>
      </c>
      <c r="R1230" s="6" t="s">
        <v>38267</v>
      </c>
      <c r="S1230" s="6"/>
      <c r="T1230" s="6"/>
      <c r="U1230" s="6"/>
      <c r="V1230" s="6"/>
      <c r="W1230" s="6"/>
      <c r="X1230" s="6"/>
      <c r="Y1230" s="6"/>
      <c r="Z1230" s="6"/>
      <c r="AA1230" s="6"/>
      <c r="AB1230" s="6"/>
      <c r="AC1230" s="6"/>
      <c r="AD1230" s="6"/>
      <c r="AE1230" s="6"/>
      <c r="AF1230" s="6"/>
      <c r="AG1230" s="6"/>
      <c r="AH1230" s="6"/>
      <c r="AI1230" s="6"/>
      <c r="AJ1230" s="6"/>
      <c r="AK1230" s="6"/>
      <c r="AL1230" s="6"/>
      <c r="AM1230" s="6"/>
      <c r="AN1230" s="6"/>
      <c r="AO1230" s="6"/>
      <c r="AP1230" s="6"/>
      <c r="AQ1230" s="6"/>
      <c r="AR1230" s="6"/>
      <c r="AS1230" s="6"/>
      <c r="AT1230" s="6"/>
      <c r="AU1230" s="6"/>
      <c r="AV1230" s="6"/>
      <c r="AW1230" s="6"/>
      <c r="AX1230" s="6"/>
      <c r="AY1230" s="6"/>
      <c r="AZ1230" s="6"/>
      <c r="BA1230" s="6"/>
      <c r="BB1230" s="6"/>
      <c r="BC1230" s="6"/>
      <c r="BD1230" s="6"/>
      <c r="BE1230" s="6"/>
      <c r="BF1230" s="6"/>
      <c r="BG1230" s="6"/>
      <c r="BH1230" s="6"/>
      <c r="BI1230" s="6"/>
      <c r="BJ1230" s="6"/>
      <c r="BK1230" s="6"/>
      <c r="BL1230" s="6"/>
      <c r="BM1230" s="6"/>
      <c r="BN1230" s="6"/>
      <c r="BO1230" s="6"/>
      <c r="BP1230" s="6"/>
      <c r="BQ1230" s="6"/>
      <c r="BR1230" s="6"/>
      <c r="BS1230" s="6"/>
      <c r="BT1230" s="6"/>
    </row>
    <row r="1231" spans="1:72">
      <c r="A1231" s="8" t="s">
        <v>23876</v>
      </c>
      <c r="B1231" s="11" t="s">
        <v>23880</v>
      </c>
      <c r="C1231" s="9" t="s">
        <v>138</v>
      </c>
      <c r="D1231" s="10" t="s">
        <v>138</v>
      </c>
      <c r="E1231" s="28" t="s">
        <v>668</v>
      </c>
      <c r="F1231" s="28" t="s">
        <v>200</v>
      </c>
      <c r="G1231" s="28" t="s">
        <v>162</v>
      </c>
      <c r="H1231" s="13">
        <v>17</v>
      </c>
      <c r="I1231" s="12" t="s">
        <v>23889</v>
      </c>
      <c r="J1231" s="12" t="s">
        <v>37811</v>
      </c>
      <c r="K1231" s="12" t="s">
        <v>40875</v>
      </c>
      <c r="L1231" s="12" t="s">
        <v>38964</v>
      </c>
      <c r="M1231" s="12" t="s">
        <v>38212</v>
      </c>
      <c r="N1231" s="12" t="s">
        <v>43885</v>
      </c>
      <c r="O1231" s="12" t="s">
        <v>43266</v>
      </c>
      <c r="P1231" s="12" t="s">
        <v>41953</v>
      </c>
      <c r="Q1231" s="12" t="s">
        <v>39116</v>
      </c>
      <c r="R1231" s="12" t="s">
        <v>38318</v>
      </c>
      <c r="S1231" s="12" t="s">
        <v>37786</v>
      </c>
      <c r="T1231" s="12" t="s">
        <v>43886</v>
      </c>
      <c r="U1231" s="12" t="s">
        <v>43887</v>
      </c>
      <c r="V1231" s="12" t="s">
        <v>40206</v>
      </c>
      <c r="W1231" s="12" t="s">
        <v>38323</v>
      </c>
      <c r="X1231" s="12" t="s">
        <v>39635</v>
      </c>
      <c r="Y1231" s="12" t="s">
        <v>37781</v>
      </c>
      <c r="Z1231" s="12" t="s">
        <v>37783</v>
      </c>
      <c r="AA1231" s="12"/>
      <c r="AB1231" s="12"/>
      <c r="AC1231" s="12"/>
      <c r="AD1231" s="12"/>
      <c r="AE1231" s="12"/>
      <c r="AF1231" s="12"/>
      <c r="AG1231" s="12"/>
      <c r="AH1231" s="12"/>
      <c r="AI1231" s="12"/>
      <c r="AJ1231" s="12"/>
      <c r="AK1231" s="12"/>
      <c r="AL1231" s="12"/>
      <c r="AM1231" s="12"/>
      <c r="AN1231" s="12"/>
      <c r="AO1231" s="12"/>
      <c r="AP1231" s="12"/>
      <c r="AQ1231" s="12"/>
      <c r="AR1231" s="12"/>
      <c r="AS1231" s="12"/>
      <c r="AT1231" s="12"/>
      <c r="AU1231" s="12"/>
      <c r="AV1231" s="12"/>
      <c r="AW1231" s="12"/>
      <c r="AX1231" s="12"/>
      <c r="AY1231" s="12"/>
      <c r="AZ1231" s="12"/>
      <c r="BA1231" s="12"/>
      <c r="BB1231" s="12"/>
      <c r="BC1231" s="12"/>
      <c r="BD1231" s="12"/>
      <c r="BE1231" s="12"/>
      <c r="BF1231" s="12"/>
      <c r="BG1231" s="12"/>
      <c r="BH1231" s="12"/>
      <c r="BI1231" s="12"/>
      <c r="BJ1231" s="12"/>
      <c r="BK1231" s="12"/>
      <c r="BL1231" s="12"/>
      <c r="BM1231" s="12"/>
      <c r="BN1231" s="12"/>
      <c r="BO1231" s="12"/>
      <c r="BP1231" s="12"/>
      <c r="BQ1231" s="12"/>
      <c r="BR1231" s="12"/>
      <c r="BS1231" s="12"/>
      <c r="BT1231" s="12"/>
    </row>
    <row r="1232" spans="1:72">
      <c r="A1232" s="2" t="s">
        <v>23892</v>
      </c>
      <c r="B1232" s="5" t="s">
        <v>23896</v>
      </c>
      <c r="C1232" s="3" t="s">
        <v>138</v>
      </c>
      <c r="D1232" s="4" t="s">
        <v>138</v>
      </c>
      <c r="E1232" s="15" t="s">
        <v>668</v>
      </c>
      <c r="F1232" s="15" t="s">
        <v>200</v>
      </c>
      <c r="G1232" s="15" t="s">
        <v>162</v>
      </c>
      <c r="H1232" s="7">
        <v>23</v>
      </c>
      <c r="I1232" s="6" t="s">
        <v>23904</v>
      </c>
      <c r="J1232" s="6" t="s">
        <v>43011</v>
      </c>
      <c r="K1232" s="6" t="s">
        <v>37815</v>
      </c>
      <c r="L1232" s="6" t="s">
        <v>38392</v>
      </c>
      <c r="M1232" s="6" t="s">
        <v>43888</v>
      </c>
      <c r="N1232" s="6" t="s">
        <v>37948</v>
      </c>
      <c r="O1232" s="6" t="s">
        <v>37950</v>
      </c>
      <c r="P1232" s="6" t="s">
        <v>37952</v>
      </c>
      <c r="Q1232" s="6" t="s">
        <v>42041</v>
      </c>
      <c r="R1232" s="6" t="s">
        <v>38222</v>
      </c>
      <c r="S1232" s="6" t="s">
        <v>42042</v>
      </c>
      <c r="T1232" s="6" t="s">
        <v>38199</v>
      </c>
      <c r="U1232" s="6" t="s">
        <v>43889</v>
      </c>
      <c r="V1232" s="6" t="s">
        <v>37824</v>
      </c>
      <c r="W1232" s="6" t="s">
        <v>40444</v>
      </c>
      <c r="X1232" s="6" t="s">
        <v>43890</v>
      </c>
      <c r="Y1232" s="6" t="s">
        <v>41867</v>
      </c>
      <c r="Z1232" s="6" t="s">
        <v>37781</v>
      </c>
      <c r="AA1232" s="6" t="s">
        <v>38981</v>
      </c>
      <c r="AB1232" s="6" t="s">
        <v>38067</v>
      </c>
      <c r="AC1232" s="6" t="s">
        <v>37829</v>
      </c>
      <c r="AD1232" s="6" t="s">
        <v>38954</v>
      </c>
      <c r="AE1232" s="6" t="s">
        <v>37783</v>
      </c>
      <c r="AF1232" s="6" t="s">
        <v>37976</v>
      </c>
      <c r="AG1232" s="6"/>
      <c r="AH1232" s="6"/>
      <c r="AI1232" s="6"/>
      <c r="AJ1232" s="6"/>
      <c r="AK1232" s="6"/>
      <c r="AL1232" s="6"/>
      <c r="AM1232" s="6"/>
      <c r="AN1232" s="6"/>
      <c r="AO1232" s="6"/>
      <c r="AP1232" s="6"/>
      <c r="AQ1232" s="6"/>
      <c r="AR1232" s="6"/>
      <c r="AS1232" s="6"/>
      <c r="AT1232" s="6"/>
      <c r="AU1232" s="6"/>
      <c r="AV1232" s="6"/>
      <c r="AW1232" s="6"/>
      <c r="AX1232" s="6"/>
      <c r="AY1232" s="6"/>
      <c r="AZ1232" s="6"/>
      <c r="BA1232" s="6"/>
      <c r="BB1232" s="6"/>
      <c r="BC1232" s="6"/>
      <c r="BD1232" s="6"/>
      <c r="BE1232" s="6"/>
      <c r="BF1232" s="6"/>
      <c r="BG1232" s="6"/>
      <c r="BH1232" s="6"/>
      <c r="BI1232" s="6"/>
      <c r="BJ1232" s="6"/>
      <c r="BK1232" s="6"/>
      <c r="BL1232" s="6"/>
      <c r="BM1232" s="6"/>
      <c r="BN1232" s="6"/>
      <c r="BO1232" s="6"/>
      <c r="BP1232" s="6"/>
      <c r="BQ1232" s="6"/>
      <c r="BR1232" s="6"/>
      <c r="BS1232" s="6"/>
      <c r="BT1232" s="6"/>
    </row>
    <row r="1233" spans="1:115">
      <c r="A1233" s="8" t="s">
        <v>23907</v>
      </c>
      <c r="B1233" s="11" t="s">
        <v>23913</v>
      </c>
      <c r="C1233" s="9" t="s">
        <v>23908</v>
      </c>
      <c r="D1233" s="10" t="s">
        <v>138</v>
      </c>
      <c r="E1233" s="28" t="s">
        <v>5700</v>
      </c>
      <c r="F1233" s="28" t="s">
        <v>138</v>
      </c>
      <c r="G1233" s="28" t="s">
        <v>740</v>
      </c>
      <c r="H1233" s="13">
        <v>5</v>
      </c>
      <c r="I1233" s="12" t="s">
        <v>23921</v>
      </c>
      <c r="J1233" s="12" t="s">
        <v>43793</v>
      </c>
      <c r="K1233" s="12" t="s">
        <v>43891</v>
      </c>
      <c r="L1233" s="12" t="s">
        <v>43892</v>
      </c>
      <c r="M1233" s="12" t="s">
        <v>37890</v>
      </c>
      <c r="N1233" s="12" t="s">
        <v>43893</v>
      </c>
      <c r="O1233" s="12"/>
      <c r="P1233" s="12"/>
      <c r="Q1233" s="12"/>
      <c r="R1233" s="12"/>
      <c r="S1233" s="12"/>
      <c r="T1233" s="12"/>
      <c r="U1233" s="12"/>
      <c r="V1233" s="12"/>
      <c r="W1233" s="12"/>
      <c r="X1233" s="12"/>
      <c r="Y1233" s="12"/>
      <c r="Z1233" s="12"/>
      <c r="AA1233" s="12"/>
      <c r="AB1233" s="12"/>
      <c r="AC1233" s="12"/>
      <c r="AD1233" s="12"/>
      <c r="AE1233" s="12"/>
      <c r="AF1233" s="12"/>
      <c r="AG1233" s="12"/>
      <c r="AH1233" s="12"/>
      <c r="AI1233" s="12"/>
      <c r="AJ1233" s="12"/>
      <c r="AK1233" s="12"/>
      <c r="AL1233" s="12"/>
      <c r="AM1233" s="12"/>
      <c r="AN1233" s="12"/>
      <c r="AO1233" s="12"/>
      <c r="AP1233" s="12"/>
      <c r="AQ1233" s="12"/>
      <c r="AR1233" s="12"/>
      <c r="AS1233" s="12"/>
      <c r="AT1233" s="12"/>
      <c r="AU1233" s="12"/>
      <c r="AV1233" s="12"/>
      <c r="AW1233" s="12"/>
      <c r="AX1233" s="12"/>
      <c r="AY1233" s="12"/>
      <c r="AZ1233" s="12"/>
      <c r="BA1233" s="12"/>
      <c r="BB1233" s="12"/>
      <c r="BC1233" s="12"/>
      <c r="BD1233" s="12"/>
      <c r="BE1233" s="12"/>
      <c r="BF1233" s="12"/>
      <c r="BG1233" s="12"/>
      <c r="BH1233" s="12"/>
      <c r="BI1233" s="12"/>
      <c r="BJ1233" s="12"/>
      <c r="BK1233" s="12"/>
      <c r="BL1233" s="12"/>
      <c r="BM1233" s="12"/>
      <c r="BN1233" s="12"/>
      <c r="BO1233" s="12"/>
      <c r="BP1233" s="12"/>
      <c r="BQ1233" s="12"/>
      <c r="BR1233" s="12"/>
      <c r="BS1233" s="12"/>
      <c r="BT1233" s="12"/>
    </row>
    <row r="1234" spans="1:115">
      <c r="A1234" s="2" t="s">
        <v>23924</v>
      </c>
      <c r="B1234" s="5" t="s">
        <v>23931</v>
      </c>
      <c r="C1234" s="3" t="s">
        <v>23925</v>
      </c>
      <c r="D1234" s="4" t="s">
        <v>23926</v>
      </c>
      <c r="E1234" s="15" t="s">
        <v>668</v>
      </c>
      <c r="F1234" s="15" t="s">
        <v>200</v>
      </c>
      <c r="G1234" s="15" t="s">
        <v>162</v>
      </c>
      <c r="H1234" s="7">
        <v>1</v>
      </c>
      <c r="I1234" s="6" t="s">
        <v>23939</v>
      </c>
      <c r="J1234" s="6" t="s">
        <v>23939</v>
      </c>
      <c r="K1234" s="6"/>
      <c r="L1234" s="6"/>
      <c r="M1234" s="6"/>
      <c r="N1234" s="6"/>
      <c r="O1234" s="6"/>
      <c r="P1234" s="6"/>
      <c r="Q1234" s="6"/>
      <c r="R1234" s="6"/>
      <c r="S1234" s="6"/>
      <c r="T1234" s="6"/>
      <c r="U1234" s="6"/>
      <c r="V1234" s="6"/>
      <c r="W1234" s="6"/>
      <c r="X1234" s="6"/>
      <c r="Y1234" s="6"/>
      <c r="Z1234" s="6"/>
      <c r="AA1234" s="6"/>
      <c r="AB1234" s="6"/>
      <c r="AC1234" s="6"/>
      <c r="AD1234" s="6"/>
      <c r="AE1234" s="6"/>
      <c r="AF1234" s="6"/>
      <c r="AG1234" s="6"/>
      <c r="AH1234" s="6"/>
      <c r="AI1234" s="6"/>
      <c r="AJ1234" s="6"/>
      <c r="AK1234" s="6"/>
      <c r="AL1234" s="6"/>
      <c r="AM1234" s="6"/>
      <c r="AN1234" s="6"/>
      <c r="AO1234" s="6"/>
      <c r="AP1234" s="6"/>
      <c r="AQ1234" s="6"/>
      <c r="AR1234" s="6"/>
      <c r="AS1234" s="6"/>
      <c r="AT1234" s="6"/>
      <c r="AU1234" s="6"/>
      <c r="AV1234" s="6"/>
      <c r="AW1234" s="6"/>
      <c r="AX1234" s="6"/>
      <c r="AY1234" s="6"/>
      <c r="AZ1234" s="6"/>
      <c r="BA1234" s="6"/>
      <c r="BB1234" s="6"/>
      <c r="BC1234" s="6"/>
      <c r="BD1234" s="6"/>
      <c r="BE1234" s="6"/>
      <c r="BF1234" s="6"/>
      <c r="BG1234" s="6"/>
      <c r="BH1234" s="6"/>
      <c r="BI1234" s="6"/>
      <c r="BJ1234" s="6"/>
      <c r="BK1234" s="6"/>
      <c r="BL1234" s="6"/>
      <c r="BM1234" s="6"/>
      <c r="BN1234" s="6"/>
      <c r="BO1234" s="6"/>
      <c r="BP1234" s="6"/>
      <c r="BQ1234" s="6"/>
      <c r="BR1234" s="6"/>
      <c r="BS1234" s="6"/>
      <c r="BT1234" s="6"/>
    </row>
    <row r="1235" spans="1:115">
      <c r="A1235" s="8" t="s">
        <v>23946</v>
      </c>
      <c r="B1235" s="11" t="s">
        <v>23952</v>
      </c>
      <c r="C1235" s="9" t="s">
        <v>23947</v>
      </c>
      <c r="D1235" s="10" t="s">
        <v>138</v>
      </c>
      <c r="E1235" s="28" t="s">
        <v>2330</v>
      </c>
      <c r="F1235" s="28" t="s">
        <v>2331</v>
      </c>
      <c r="G1235" s="28" t="s">
        <v>2333</v>
      </c>
      <c r="H1235" s="13">
        <v>24</v>
      </c>
      <c r="I1235" s="12" t="s">
        <v>23962</v>
      </c>
      <c r="J1235" s="12" t="s">
        <v>43894</v>
      </c>
      <c r="K1235" s="12" t="s">
        <v>43895</v>
      </c>
      <c r="L1235" s="12" t="s">
        <v>43896</v>
      </c>
      <c r="M1235" s="12" t="s">
        <v>43897</v>
      </c>
      <c r="N1235" s="12" t="s">
        <v>43898</v>
      </c>
      <c r="O1235" s="12" t="s">
        <v>40279</v>
      </c>
      <c r="P1235" s="12" t="s">
        <v>43899</v>
      </c>
      <c r="Q1235" s="12" t="s">
        <v>43276</v>
      </c>
      <c r="R1235" s="12" t="s">
        <v>43900</v>
      </c>
      <c r="S1235" s="12" t="s">
        <v>38058</v>
      </c>
      <c r="T1235" s="12" t="s">
        <v>43901</v>
      </c>
      <c r="U1235" s="12" t="s">
        <v>41359</v>
      </c>
      <c r="V1235" s="12" t="s">
        <v>43902</v>
      </c>
      <c r="W1235" s="12" t="s">
        <v>43903</v>
      </c>
      <c r="X1235" s="12" t="s">
        <v>43904</v>
      </c>
      <c r="Y1235" s="12" t="s">
        <v>38189</v>
      </c>
      <c r="Z1235" s="12" t="s">
        <v>43905</v>
      </c>
      <c r="AA1235" s="12" t="s">
        <v>43906</v>
      </c>
      <c r="AB1235" s="12" t="s">
        <v>43907</v>
      </c>
      <c r="AC1235" s="12" t="s">
        <v>43908</v>
      </c>
      <c r="AD1235" s="12" t="s">
        <v>37890</v>
      </c>
      <c r="AE1235" s="12" t="s">
        <v>43909</v>
      </c>
      <c r="AF1235" s="12" t="s">
        <v>39685</v>
      </c>
      <c r="AG1235" s="12" t="s">
        <v>43910</v>
      </c>
      <c r="AH1235" s="12"/>
      <c r="AI1235" s="12"/>
      <c r="AJ1235" s="12"/>
      <c r="AK1235" s="12"/>
      <c r="AL1235" s="12"/>
      <c r="AM1235" s="12"/>
      <c r="AN1235" s="12"/>
      <c r="AO1235" s="12"/>
      <c r="AP1235" s="12"/>
      <c r="AQ1235" s="12"/>
      <c r="AR1235" s="12"/>
      <c r="AS1235" s="12"/>
      <c r="AT1235" s="12"/>
      <c r="AU1235" s="12"/>
      <c r="AV1235" s="12"/>
      <c r="AW1235" s="12"/>
      <c r="AX1235" s="12"/>
      <c r="AY1235" s="12"/>
      <c r="AZ1235" s="12"/>
      <c r="BA1235" s="12"/>
      <c r="BB1235" s="12"/>
      <c r="BC1235" s="12"/>
      <c r="BD1235" s="12"/>
      <c r="BE1235" s="12"/>
      <c r="BF1235" s="12"/>
      <c r="BG1235" s="12"/>
      <c r="BH1235" s="12"/>
      <c r="BI1235" s="12"/>
      <c r="BJ1235" s="12"/>
      <c r="BK1235" s="12"/>
      <c r="BL1235" s="12"/>
      <c r="BM1235" s="12"/>
      <c r="BN1235" s="12"/>
      <c r="BO1235" s="12"/>
      <c r="BP1235" s="12"/>
      <c r="BQ1235" s="12"/>
      <c r="BR1235" s="12"/>
      <c r="BS1235" s="12"/>
      <c r="BT1235" s="12"/>
    </row>
    <row r="1236" spans="1:115">
      <c r="A1236" s="2" t="s">
        <v>23966</v>
      </c>
      <c r="B1236" s="5" t="s">
        <v>23971</v>
      </c>
      <c r="C1236" s="3" t="s">
        <v>138</v>
      </c>
      <c r="D1236" s="4" t="s">
        <v>138</v>
      </c>
      <c r="E1236" s="15" t="s">
        <v>966</v>
      </c>
      <c r="F1236" s="15" t="s">
        <v>200</v>
      </c>
      <c r="G1236" s="15" t="s">
        <v>162</v>
      </c>
      <c r="H1236" s="7">
        <v>28</v>
      </c>
      <c r="I1236" s="6" t="s">
        <v>23979</v>
      </c>
      <c r="J1236" s="6" t="s">
        <v>43911</v>
      </c>
      <c r="K1236" s="6" t="s">
        <v>38339</v>
      </c>
      <c r="L1236" s="6" t="s">
        <v>42528</v>
      </c>
      <c r="M1236" s="6" t="s">
        <v>38416</v>
      </c>
      <c r="N1236" s="6" t="s">
        <v>39122</v>
      </c>
      <c r="O1236" s="6" t="s">
        <v>39475</v>
      </c>
      <c r="P1236" s="6" t="s">
        <v>38418</v>
      </c>
      <c r="Q1236" s="6" t="s">
        <v>38931</v>
      </c>
      <c r="R1236" s="6" t="s">
        <v>38803</v>
      </c>
      <c r="S1236" s="6" t="s">
        <v>38860</v>
      </c>
      <c r="T1236" s="6" t="s">
        <v>43912</v>
      </c>
      <c r="U1236" s="6" t="s">
        <v>39437</v>
      </c>
      <c r="V1236" s="6" t="s">
        <v>43913</v>
      </c>
      <c r="W1236" s="6" t="s">
        <v>39751</v>
      </c>
      <c r="X1236" s="6" t="s">
        <v>43914</v>
      </c>
      <c r="Y1236" s="6" t="s">
        <v>43915</v>
      </c>
      <c r="Z1236" s="6" t="s">
        <v>40560</v>
      </c>
      <c r="AA1236" s="6" t="s">
        <v>43916</v>
      </c>
      <c r="AB1236" s="6" t="s">
        <v>43917</v>
      </c>
      <c r="AC1236" s="6" t="s">
        <v>43918</v>
      </c>
      <c r="AD1236" s="6" t="s">
        <v>43919</v>
      </c>
      <c r="AE1236" s="6" t="s">
        <v>43920</v>
      </c>
      <c r="AF1236" s="6" t="s">
        <v>43921</v>
      </c>
      <c r="AG1236" s="6" t="s">
        <v>37891</v>
      </c>
      <c r="AH1236" s="6" t="s">
        <v>37783</v>
      </c>
      <c r="AI1236" s="6" t="s">
        <v>37893</v>
      </c>
      <c r="AJ1236" s="6" t="s">
        <v>38325</v>
      </c>
      <c r="AK1236" s="6" t="s">
        <v>38983</v>
      </c>
      <c r="AL1236" s="6"/>
      <c r="AM1236" s="6"/>
      <c r="AN1236" s="6"/>
      <c r="AO1236" s="6"/>
      <c r="AP1236" s="6"/>
      <c r="AQ1236" s="6"/>
      <c r="AR1236" s="6"/>
      <c r="AS1236" s="6"/>
      <c r="AT1236" s="6"/>
      <c r="AU1236" s="6"/>
      <c r="AV1236" s="6"/>
      <c r="AW1236" s="6"/>
      <c r="AX1236" s="6"/>
      <c r="AY1236" s="6"/>
      <c r="AZ1236" s="6"/>
      <c r="BA1236" s="6"/>
      <c r="BB1236" s="6"/>
      <c r="BC1236" s="6"/>
      <c r="BD1236" s="6"/>
      <c r="BE1236" s="6"/>
      <c r="BF1236" s="6"/>
      <c r="BG1236" s="6"/>
      <c r="BH1236" s="6"/>
      <c r="BI1236" s="6"/>
      <c r="BJ1236" s="6"/>
      <c r="BK1236" s="6"/>
      <c r="BL1236" s="6"/>
      <c r="BM1236" s="6"/>
      <c r="BN1236" s="6"/>
      <c r="BO1236" s="6"/>
      <c r="BP1236" s="6"/>
      <c r="BQ1236" s="6"/>
      <c r="BR1236" s="6"/>
      <c r="BS1236" s="6"/>
      <c r="BT1236" s="6"/>
    </row>
    <row r="1237" spans="1:115">
      <c r="A1237" s="8" t="s">
        <v>23982</v>
      </c>
      <c r="B1237" s="11" t="s">
        <v>23986</v>
      </c>
      <c r="C1237" s="9" t="s">
        <v>138</v>
      </c>
      <c r="D1237" s="10" t="s">
        <v>138</v>
      </c>
      <c r="E1237" s="28" t="s">
        <v>3841</v>
      </c>
      <c r="F1237" s="28" t="s">
        <v>200</v>
      </c>
      <c r="G1237" s="28" t="s">
        <v>162</v>
      </c>
      <c r="H1237" s="13">
        <v>1</v>
      </c>
      <c r="I1237" s="12" t="s">
        <v>4056</v>
      </c>
      <c r="J1237" s="12" t="s">
        <v>4056</v>
      </c>
      <c r="K1237" s="12"/>
      <c r="L1237" s="12"/>
      <c r="M1237" s="12"/>
      <c r="N1237" s="12"/>
      <c r="O1237" s="12"/>
      <c r="P1237" s="12"/>
      <c r="Q1237" s="12"/>
      <c r="R1237" s="12"/>
      <c r="S1237" s="12"/>
      <c r="T1237" s="12"/>
      <c r="U1237" s="12"/>
      <c r="V1237" s="12"/>
      <c r="W1237" s="12"/>
      <c r="X1237" s="12"/>
      <c r="Y1237" s="12"/>
      <c r="Z1237" s="12"/>
      <c r="AA1237" s="12"/>
      <c r="AB1237" s="12"/>
      <c r="AC1237" s="12"/>
      <c r="AD1237" s="12"/>
      <c r="AE1237" s="12"/>
      <c r="AF1237" s="12"/>
      <c r="AG1237" s="12"/>
      <c r="AH1237" s="12"/>
      <c r="AI1237" s="12"/>
      <c r="AJ1237" s="12"/>
      <c r="AK1237" s="12"/>
      <c r="AL1237" s="12"/>
      <c r="AM1237" s="12"/>
      <c r="AN1237" s="12"/>
      <c r="AO1237" s="12"/>
      <c r="AP1237" s="12"/>
      <c r="AQ1237" s="12"/>
      <c r="AR1237" s="12"/>
      <c r="AS1237" s="12"/>
      <c r="AT1237" s="12"/>
      <c r="AU1237" s="12"/>
      <c r="AV1237" s="12"/>
      <c r="AW1237" s="12"/>
      <c r="AX1237" s="12"/>
      <c r="AY1237" s="12"/>
      <c r="AZ1237" s="12"/>
      <c r="BA1237" s="12"/>
      <c r="BB1237" s="12"/>
      <c r="BC1237" s="12"/>
      <c r="BD1237" s="12"/>
      <c r="BE1237" s="12"/>
      <c r="BF1237" s="12"/>
      <c r="BG1237" s="12"/>
      <c r="BH1237" s="12"/>
      <c r="BI1237" s="12"/>
      <c r="BJ1237" s="12"/>
      <c r="BK1237" s="12"/>
      <c r="BL1237" s="12"/>
      <c r="BM1237" s="12"/>
      <c r="BN1237" s="12"/>
      <c r="BO1237" s="12"/>
      <c r="BP1237" s="12"/>
      <c r="BQ1237" s="12"/>
      <c r="BR1237" s="12"/>
      <c r="BS1237" s="12"/>
      <c r="BT1237" s="12"/>
    </row>
    <row r="1238" spans="1:115">
      <c r="A1238" s="2" t="s">
        <v>23995</v>
      </c>
      <c r="B1238" s="5" t="s">
        <v>23999</v>
      </c>
      <c r="C1238" s="3" t="s">
        <v>138</v>
      </c>
      <c r="D1238" s="4" t="s">
        <v>23996</v>
      </c>
      <c r="E1238" s="15" t="s">
        <v>426</v>
      </c>
      <c r="F1238" s="15" t="s">
        <v>426</v>
      </c>
      <c r="G1238" s="15" t="s">
        <v>162</v>
      </c>
      <c r="H1238" s="7">
        <v>11</v>
      </c>
      <c r="I1238" s="6" t="s">
        <v>24007</v>
      </c>
      <c r="J1238" s="6" t="s">
        <v>25482</v>
      </c>
      <c r="K1238" s="6" t="s">
        <v>37945</v>
      </c>
      <c r="L1238" s="6" t="s">
        <v>38148</v>
      </c>
      <c r="M1238" s="6" t="s">
        <v>43922</v>
      </c>
      <c r="N1238" s="6" t="s">
        <v>38926</v>
      </c>
      <c r="O1238" s="6" t="s">
        <v>43923</v>
      </c>
      <c r="P1238" s="6" t="s">
        <v>41422</v>
      </c>
      <c r="Q1238" s="6" t="s">
        <v>43924</v>
      </c>
      <c r="R1238" s="6" t="s">
        <v>39577</v>
      </c>
      <c r="S1238" s="6" t="s">
        <v>38371</v>
      </c>
      <c r="T1238" s="6" t="s">
        <v>43925</v>
      </c>
      <c r="U1238" s="6"/>
      <c r="V1238" s="6"/>
      <c r="W1238" s="6"/>
      <c r="X1238" s="6"/>
      <c r="Y1238" s="6"/>
      <c r="Z1238" s="6"/>
      <c r="AA1238" s="6"/>
      <c r="AB1238" s="6"/>
      <c r="AC1238" s="6"/>
      <c r="AD1238" s="6"/>
      <c r="AE1238" s="6"/>
      <c r="AF1238" s="6"/>
      <c r="AG1238" s="6"/>
      <c r="AH1238" s="6"/>
      <c r="AI1238" s="6"/>
      <c r="AJ1238" s="6"/>
      <c r="AK1238" s="6"/>
      <c r="AL1238" s="6"/>
      <c r="AM1238" s="6"/>
      <c r="AN1238" s="6"/>
      <c r="AO1238" s="6"/>
      <c r="AP1238" s="6"/>
      <c r="AQ1238" s="6"/>
      <c r="AR1238" s="6"/>
      <c r="AS1238" s="6"/>
      <c r="AT1238" s="6"/>
      <c r="AU1238" s="6"/>
      <c r="AV1238" s="6"/>
      <c r="AW1238" s="6"/>
      <c r="AX1238" s="6"/>
      <c r="AY1238" s="6"/>
      <c r="AZ1238" s="6"/>
      <c r="BA1238" s="6"/>
      <c r="BB1238" s="6"/>
      <c r="BC1238" s="6"/>
      <c r="BD1238" s="6"/>
      <c r="BE1238" s="6"/>
      <c r="BF1238" s="6"/>
      <c r="BG1238" s="6"/>
      <c r="BH1238" s="6"/>
      <c r="BI1238" s="6"/>
      <c r="BJ1238" s="6"/>
      <c r="BK1238" s="6"/>
      <c r="BL1238" s="6"/>
      <c r="BM1238" s="6"/>
      <c r="BN1238" s="6"/>
      <c r="BO1238" s="6"/>
      <c r="BP1238" s="6"/>
      <c r="BQ1238" s="6"/>
      <c r="BR1238" s="6"/>
      <c r="BS1238" s="6"/>
      <c r="BT1238" s="6"/>
    </row>
    <row r="1239" spans="1:115">
      <c r="A1239" s="8" t="s">
        <v>24010</v>
      </c>
      <c r="B1239" s="11" t="s">
        <v>24015</v>
      </c>
      <c r="C1239" s="9" t="s">
        <v>24011</v>
      </c>
      <c r="D1239" s="10" t="s">
        <v>138</v>
      </c>
      <c r="E1239" s="28" t="s">
        <v>3139</v>
      </c>
      <c r="F1239" s="28" t="s">
        <v>3140</v>
      </c>
      <c r="G1239" s="28" t="s">
        <v>162</v>
      </c>
      <c r="H1239" s="13">
        <v>10</v>
      </c>
      <c r="I1239" s="12" t="s">
        <v>24028</v>
      </c>
      <c r="J1239" s="12" t="s">
        <v>43447</v>
      </c>
      <c r="K1239" s="12" t="s">
        <v>37936</v>
      </c>
      <c r="L1239" s="12" t="s">
        <v>38299</v>
      </c>
      <c r="M1239" s="12" t="s">
        <v>43926</v>
      </c>
      <c r="N1239" s="12" t="s">
        <v>38018</v>
      </c>
      <c r="O1239" s="12" t="s">
        <v>37824</v>
      </c>
      <c r="P1239" s="12" t="s">
        <v>42188</v>
      </c>
      <c r="Q1239" s="12" t="s">
        <v>43927</v>
      </c>
      <c r="R1239" s="12" t="s">
        <v>37915</v>
      </c>
      <c r="S1239" s="12" t="s">
        <v>43928</v>
      </c>
      <c r="T1239" s="12"/>
      <c r="U1239" s="12"/>
      <c r="V1239" s="12"/>
      <c r="W1239" s="12"/>
      <c r="X1239" s="12"/>
      <c r="Y1239" s="12"/>
      <c r="Z1239" s="12"/>
      <c r="AA1239" s="12"/>
      <c r="AB1239" s="12"/>
      <c r="AC1239" s="12"/>
      <c r="AD1239" s="12"/>
      <c r="AE1239" s="12"/>
      <c r="AF1239" s="12"/>
      <c r="AG1239" s="12"/>
      <c r="AH1239" s="12"/>
      <c r="AI1239" s="12"/>
      <c r="AJ1239" s="12"/>
      <c r="AK1239" s="12"/>
      <c r="AL1239" s="12"/>
      <c r="AM1239" s="12"/>
      <c r="AN1239" s="12"/>
      <c r="AO1239" s="12"/>
      <c r="AP1239" s="12"/>
      <c r="AQ1239" s="12"/>
      <c r="AR1239" s="12"/>
      <c r="AS1239" s="12"/>
      <c r="AT1239" s="12"/>
      <c r="AU1239" s="12"/>
      <c r="AV1239" s="12"/>
      <c r="AW1239" s="12"/>
      <c r="AX1239" s="12"/>
      <c r="AY1239" s="12"/>
      <c r="AZ1239" s="12"/>
      <c r="BA1239" s="12"/>
      <c r="BB1239" s="12"/>
      <c r="BC1239" s="12"/>
      <c r="BD1239" s="12"/>
      <c r="BE1239" s="12"/>
      <c r="BF1239" s="12"/>
      <c r="BG1239" s="12"/>
      <c r="BH1239" s="12"/>
      <c r="BI1239" s="12"/>
      <c r="BJ1239" s="12"/>
      <c r="BK1239" s="12"/>
      <c r="BL1239" s="12"/>
      <c r="BM1239" s="12"/>
      <c r="BN1239" s="12"/>
      <c r="BO1239" s="12"/>
      <c r="BP1239" s="12"/>
      <c r="BQ1239" s="12"/>
      <c r="BR1239" s="12"/>
      <c r="BS1239" s="12"/>
      <c r="BT1239" s="12"/>
    </row>
    <row r="1240" spans="1:115">
      <c r="A1240" s="2" t="s">
        <v>24031</v>
      </c>
      <c r="B1240" s="5" t="s">
        <v>24035</v>
      </c>
      <c r="C1240" s="3" t="s">
        <v>138</v>
      </c>
      <c r="D1240" s="4" t="s">
        <v>138</v>
      </c>
      <c r="E1240" s="15" t="s">
        <v>668</v>
      </c>
      <c r="F1240" s="15" t="s">
        <v>200</v>
      </c>
      <c r="G1240" s="15" t="s">
        <v>162</v>
      </c>
      <c r="H1240" s="7">
        <v>4</v>
      </c>
      <c r="I1240" s="6" t="s">
        <v>24044</v>
      </c>
      <c r="J1240" s="6" t="s">
        <v>40460</v>
      </c>
      <c r="K1240" s="6" t="s">
        <v>38096</v>
      </c>
      <c r="L1240" s="6" t="s">
        <v>43929</v>
      </c>
      <c r="M1240" s="6" t="s">
        <v>38527</v>
      </c>
      <c r="N1240" s="6"/>
      <c r="O1240" s="6"/>
      <c r="P1240" s="6"/>
      <c r="Q1240" s="6"/>
      <c r="R1240" s="6"/>
      <c r="S1240" s="6"/>
      <c r="T1240" s="6"/>
      <c r="U1240" s="6"/>
      <c r="V1240" s="6"/>
      <c r="W1240" s="6"/>
      <c r="X1240" s="6"/>
      <c r="Y1240" s="6"/>
      <c r="Z1240" s="6"/>
      <c r="AA1240" s="6"/>
      <c r="AB1240" s="6"/>
      <c r="AC1240" s="6"/>
      <c r="AD1240" s="6"/>
      <c r="AE1240" s="6"/>
      <c r="AF1240" s="6"/>
      <c r="AG1240" s="6"/>
      <c r="AH1240" s="6"/>
      <c r="AI1240" s="6"/>
      <c r="AJ1240" s="6"/>
      <c r="AK1240" s="6"/>
      <c r="AL1240" s="6"/>
      <c r="AM1240" s="6"/>
      <c r="AN1240" s="6"/>
      <c r="AO1240" s="6"/>
      <c r="AP1240" s="6"/>
      <c r="AQ1240" s="6"/>
      <c r="AR1240" s="6"/>
      <c r="AS1240" s="6"/>
      <c r="AT1240" s="6"/>
      <c r="AU1240" s="6"/>
      <c r="AV1240" s="6"/>
      <c r="AW1240" s="6"/>
      <c r="AX1240" s="6"/>
      <c r="AY1240" s="6"/>
      <c r="AZ1240" s="6"/>
      <c r="BA1240" s="6"/>
      <c r="BB1240" s="6"/>
      <c r="BC1240" s="6"/>
      <c r="BD1240" s="6"/>
      <c r="BE1240" s="6"/>
      <c r="BF1240" s="6"/>
      <c r="BG1240" s="6"/>
      <c r="BH1240" s="6"/>
      <c r="BI1240" s="6"/>
      <c r="BJ1240" s="6"/>
      <c r="BK1240" s="6"/>
      <c r="BL1240" s="6"/>
      <c r="BM1240" s="6"/>
      <c r="BN1240" s="6"/>
      <c r="BO1240" s="6"/>
      <c r="BP1240" s="6"/>
      <c r="BQ1240" s="6"/>
      <c r="BR1240" s="6"/>
      <c r="BS1240" s="6"/>
      <c r="BT1240" s="6"/>
    </row>
    <row r="1241" spans="1:115">
      <c r="A1241" s="8" t="s">
        <v>24049</v>
      </c>
      <c r="B1241" s="11" t="s">
        <v>24053</v>
      </c>
      <c r="C1241" s="9" t="s">
        <v>138</v>
      </c>
      <c r="D1241" s="10" t="s">
        <v>138</v>
      </c>
      <c r="E1241" s="28" t="s">
        <v>24062</v>
      </c>
      <c r="F1241" s="28" t="s">
        <v>18133</v>
      </c>
      <c r="G1241" s="28" t="s">
        <v>2333</v>
      </c>
      <c r="H1241" s="13">
        <v>6</v>
      </c>
      <c r="I1241" s="12" t="s">
        <v>24065</v>
      </c>
      <c r="J1241" s="12" t="s">
        <v>43930</v>
      </c>
      <c r="K1241" s="12" t="s">
        <v>42653</v>
      </c>
      <c r="L1241" s="12" t="s">
        <v>43931</v>
      </c>
      <c r="M1241" s="12" t="s">
        <v>39100</v>
      </c>
      <c r="N1241" s="12" t="s">
        <v>38200</v>
      </c>
      <c r="O1241" s="12" t="s">
        <v>43932</v>
      </c>
      <c r="P1241" s="12"/>
      <c r="Q1241" s="12"/>
      <c r="R1241" s="12"/>
      <c r="S1241" s="12"/>
      <c r="T1241" s="12"/>
      <c r="U1241" s="12"/>
      <c r="V1241" s="12"/>
      <c r="W1241" s="12"/>
      <c r="X1241" s="12"/>
      <c r="Y1241" s="12"/>
      <c r="Z1241" s="12"/>
      <c r="AA1241" s="12"/>
      <c r="AB1241" s="12"/>
      <c r="AC1241" s="12"/>
      <c r="AD1241" s="12"/>
      <c r="AE1241" s="12"/>
      <c r="AF1241" s="12"/>
      <c r="AG1241" s="12"/>
      <c r="AH1241" s="12"/>
      <c r="AI1241" s="12"/>
      <c r="AJ1241" s="12"/>
      <c r="AK1241" s="12"/>
      <c r="AL1241" s="12"/>
      <c r="AM1241" s="12"/>
      <c r="AN1241" s="12"/>
      <c r="AO1241" s="12"/>
      <c r="AP1241" s="12"/>
      <c r="AQ1241" s="12"/>
      <c r="AR1241" s="12"/>
      <c r="AS1241" s="12"/>
      <c r="AT1241" s="12"/>
      <c r="AU1241" s="12"/>
      <c r="AV1241" s="12"/>
      <c r="AW1241" s="12"/>
      <c r="AX1241" s="12"/>
      <c r="AY1241" s="12"/>
      <c r="AZ1241" s="12"/>
      <c r="BA1241" s="12"/>
      <c r="BB1241" s="12"/>
      <c r="BC1241" s="12"/>
      <c r="BD1241" s="12"/>
      <c r="BE1241" s="12"/>
      <c r="BF1241" s="12"/>
      <c r="BG1241" s="12"/>
      <c r="BH1241" s="12"/>
      <c r="BI1241" s="12"/>
      <c r="BJ1241" s="12"/>
      <c r="BK1241" s="12"/>
      <c r="BL1241" s="12"/>
      <c r="BM1241" s="12"/>
      <c r="BN1241" s="12"/>
      <c r="BO1241" s="12"/>
      <c r="BP1241" s="12"/>
      <c r="BQ1241" s="12"/>
      <c r="BR1241" s="12"/>
      <c r="BS1241" s="12"/>
      <c r="BT1241" s="12"/>
    </row>
    <row r="1242" spans="1:115">
      <c r="A1242" s="2" t="s">
        <v>24068</v>
      </c>
      <c r="B1242" s="5" t="s">
        <v>24074</v>
      </c>
      <c r="C1242" s="3" t="s">
        <v>138</v>
      </c>
      <c r="D1242" s="4" t="s">
        <v>138</v>
      </c>
      <c r="E1242" s="15" t="s">
        <v>499</v>
      </c>
      <c r="F1242" s="15" t="s">
        <v>138</v>
      </c>
      <c r="G1242" s="15" t="s">
        <v>450</v>
      </c>
      <c r="H1242" s="7">
        <v>9</v>
      </c>
      <c r="I1242" s="6" t="s">
        <v>24079</v>
      </c>
      <c r="J1242" s="6" t="s">
        <v>39545</v>
      </c>
      <c r="K1242" s="6" t="s">
        <v>39865</v>
      </c>
      <c r="L1242" s="6" t="s">
        <v>38417</v>
      </c>
      <c r="M1242" s="6" t="s">
        <v>43933</v>
      </c>
      <c r="N1242" s="6" t="s">
        <v>38323</v>
      </c>
      <c r="O1242" s="6" t="s">
        <v>39221</v>
      </c>
      <c r="P1242" s="6" t="s">
        <v>38671</v>
      </c>
      <c r="Q1242" s="6" t="s">
        <v>43934</v>
      </c>
      <c r="R1242" s="6" t="s">
        <v>37977</v>
      </c>
      <c r="S1242" s="6"/>
      <c r="T1242" s="6"/>
      <c r="U1242" s="6"/>
      <c r="V1242" s="6"/>
      <c r="W1242" s="6"/>
      <c r="X1242" s="6"/>
      <c r="Y1242" s="6"/>
      <c r="Z1242" s="6"/>
      <c r="AA1242" s="6"/>
      <c r="AB1242" s="6"/>
      <c r="AC1242" s="6"/>
      <c r="AD1242" s="6"/>
      <c r="AE1242" s="6"/>
      <c r="AF1242" s="6"/>
      <c r="AG1242" s="6"/>
      <c r="AH1242" s="6"/>
      <c r="AI1242" s="6"/>
      <c r="AJ1242" s="6"/>
      <c r="AK1242" s="6"/>
      <c r="AL1242" s="6"/>
      <c r="AM1242" s="6"/>
      <c r="AN1242" s="6"/>
      <c r="AO1242" s="6"/>
      <c r="AP1242" s="6"/>
      <c r="AQ1242" s="6"/>
      <c r="AR1242" s="6"/>
      <c r="AS1242" s="6"/>
      <c r="AT1242" s="6"/>
      <c r="AU1242" s="6"/>
      <c r="AV1242" s="6"/>
      <c r="AW1242" s="6"/>
      <c r="AX1242" s="6"/>
      <c r="AY1242" s="6"/>
      <c r="AZ1242" s="6"/>
      <c r="BA1242" s="6"/>
      <c r="BB1242" s="6"/>
      <c r="BC1242" s="6"/>
      <c r="BD1242" s="6"/>
      <c r="BE1242" s="6"/>
      <c r="BF1242" s="6"/>
      <c r="BG1242" s="6"/>
      <c r="BH1242" s="6"/>
      <c r="BI1242" s="6"/>
      <c r="BJ1242" s="6"/>
      <c r="BK1242" s="6"/>
      <c r="BL1242" s="6"/>
      <c r="BM1242" s="6"/>
      <c r="BN1242" s="6"/>
      <c r="BO1242" s="6"/>
      <c r="BP1242" s="6"/>
      <c r="BQ1242" s="6"/>
      <c r="BR1242" s="6"/>
      <c r="BS1242" s="6"/>
      <c r="BT1242" s="6"/>
    </row>
    <row r="1243" spans="1:115">
      <c r="A1243" s="8" t="s">
        <v>24082</v>
      </c>
      <c r="B1243" s="11" t="s">
        <v>24087</v>
      </c>
      <c r="C1243" s="9" t="s">
        <v>24083</v>
      </c>
      <c r="D1243" s="10" t="s">
        <v>24084</v>
      </c>
      <c r="E1243" s="28" t="s">
        <v>3354</v>
      </c>
      <c r="F1243" s="28" t="s">
        <v>2740</v>
      </c>
      <c r="G1243" s="28" t="s">
        <v>2742</v>
      </c>
      <c r="H1243" s="13">
        <v>5</v>
      </c>
      <c r="I1243" s="12" t="s">
        <v>24097</v>
      </c>
      <c r="J1243" s="12" t="s">
        <v>43107</v>
      </c>
      <c r="K1243" s="12" t="s">
        <v>38089</v>
      </c>
      <c r="L1243" s="12" t="s">
        <v>38926</v>
      </c>
      <c r="M1243" s="12" t="s">
        <v>38371</v>
      </c>
      <c r="N1243" s="12" t="s">
        <v>38912</v>
      </c>
      <c r="O1243" s="12"/>
      <c r="P1243" s="12"/>
      <c r="Q1243" s="12"/>
      <c r="R1243" s="12"/>
      <c r="S1243" s="12"/>
      <c r="T1243" s="12"/>
      <c r="U1243" s="12"/>
      <c r="V1243" s="12"/>
      <c r="W1243" s="12"/>
      <c r="X1243" s="12"/>
      <c r="Y1243" s="12"/>
      <c r="Z1243" s="12"/>
      <c r="AA1243" s="12"/>
      <c r="AB1243" s="12"/>
      <c r="AC1243" s="12"/>
      <c r="AD1243" s="12"/>
      <c r="AE1243" s="12"/>
      <c r="AF1243" s="12"/>
      <c r="AG1243" s="12"/>
      <c r="AH1243" s="12"/>
      <c r="AI1243" s="12"/>
      <c r="AJ1243" s="12"/>
      <c r="AK1243" s="12"/>
      <c r="AL1243" s="12"/>
      <c r="AM1243" s="12"/>
      <c r="AN1243" s="12"/>
      <c r="AO1243" s="12"/>
      <c r="AP1243" s="12"/>
      <c r="AQ1243" s="12"/>
      <c r="AR1243" s="12"/>
      <c r="AS1243" s="12"/>
      <c r="AT1243" s="12"/>
      <c r="AU1243" s="12"/>
      <c r="AV1243" s="12"/>
      <c r="AW1243" s="12"/>
      <c r="AX1243" s="12"/>
      <c r="AY1243" s="12"/>
      <c r="AZ1243" s="12"/>
      <c r="BA1243" s="12"/>
      <c r="BB1243" s="12"/>
      <c r="BC1243" s="12"/>
      <c r="BD1243" s="12"/>
      <c r="BE1243" s="12"/>
      <c r="BF1243" s="12"/>
      <c r="BG1243" s="12"/>
      <c r="BH1243" s="12"/>
      <c r="BI1243" s="12"/>
      <c r="BJ1243" s="12"/>
      <c r="BK1243" s="12"/>
      <c r="BL1243" s="12"/>
      <c r="BM1243" s="12"/>
      <c r="BN1243" s="12"/>
      <c r="BO1243" s="12"/>
      <c r="BP1243" s="12"/>
      <c r="BQ1243" s="12"/>
      <c r="BR1243" s="12"/>
      <c r="BS1243" s="12"/>
      <c r="BT1243" s="12"/>
    </row>
    <row r="1244" spans="1:115">
      <c r="A1244" s="2" t="s">
        <v>24100</v>
      </c>
      <c r="B1244" s="5" t="s">
        <v>24106</v>
      </c>
      <c r="C1244" s="3" t="s">
        <v>24101</v>
      </c>
      <c r="D1244" s="4" t="s">
        <v>138</v>
      </c>
      <c r="E1244" s="15" t="s">
        <v>24114</v>
      </c>
      <c r="F1244" s="15" t="s">
        <v>138</v>
      </c>
      <c r="G1244" s="15" t="s">
        <v>573</v>
      </c>
      <c r="H1244" s="7">
        <v>4</v>
      </c>
      <c r="I1244" s="6" t="s">
        <v>24119</v>
      </c>
      <c r="J1244" s="6" t="s">
        <v>18057</v>
      </c>
      <c r="K1244" s="6" t="s">
        <v>37898</v>
      </c>
      <c r="L1244" s="6" t="s">
        <v>38363</v>
      </c>
      <c r="M1244" s="6" t="s">
        <v>43935</v>
      </c>
      <c r="N1244" s="6"/>
      <c r="O1244" s="6"/>
      <c r="P1244" s="6"/>
      <c r="Q1244" s="6"/>
      <c r="R1244" s="6"/>
      <c r="S1244" s="6"/>
      <c r="T1244" s="6"/>
      <c r="U1244" s="6"/>
      <c r="V1244" s="6"/>
      <c r="W1244" s="6"/>
      <c r="X1244" s="6"/>
      <c r="Y1244" s="6"/>
      <c r="Z1244" s="6"/>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6"/>
      <c r="AY1244" s="6"/>
      <c r="AZ1244" s="6"/>
      <c r="BA1244" s="6"/>
      <c r="BB1244" s="6"/>
      <c r="BC1244" s="6"/>
      <c r="BD1244" s="6"/>
      <c r="BE1244" s="6"/>
      <c r="BF1244" s="6"/>
      <c r="BG1244" s="6"/>
      <c r="BH1244" s="6"/>
      <c r="BI1244" s="6"/>
      <c r="BJ1244" s="6"/>
      <c r="BK1244" s="6"/>
      <c r="BL1244" s="6"/>
      <c r="BM1244" s="6"/>
      <c r="BN1244" s="6"/>
      <c r="BO1244" s="6"/>
      <c r="BP1244" s="6"/>
      <c r="BQ1244" s="6"/>
      <c r="BR1244" s="6"/>
      <c r="BS1244" s="6"/>
      <c r="BT1244" s="6"/>
    </row>
    <row r="1245" spans="1:115">
      <c r="A1245" s="8" t="s">
        <v>24124</v>
      </c>
      <c r="B1245" s="11" t="s">
        <v>24128</v>
      </c>
      <c r="C1245" s="9" t="s">
        <v>138</v>
      </c>
      <c r="D1245" s="10" t="s">
        <v>138</v>
      </c>
      <c r="E1245" s="28" t="s">
        <v>449</v>
      </c>
      <c r="F1245" s="28" t="s">
        <v>4136</v>
      </c>
      <c r="G1245" s="28" t="s">
        <v>450</v>
      </c>
      <c r="H1245" s="13">
        <v>7</v>
      </c>
      <c r="I1245" s="12" t="s">
        <v>24140</v>
      </c>
      <c r="J1245" s="12" t="s">
        <v>25820</v>
      </c>
      <c r="K1245" s="12" t="s">
        <v>43936</v>
      </c>
      <c r="L1245" s="12" t="s">
        <v>43937</v>
      </c>
      <c r="M1245" s="12" t="s">
        <v>43938</v>
      </c>
      <c r="N1245" s="12" t="s">
        <v>43939</v>
      </c>
      <c r="O1245" s="12" t="s">
        <v>39140</v>
      </c>
      <c r="P1245" s="12" t="s">
        <v>40880</v>
      </c>
      <c r="Q1245" s="12" t="s">
        <v>37892</v>
      </c>
      <c r="R1245" s="12"/>
      <c r="S1245" s="12"/>
      <c r="T1245" s="12"/>
      <c r="U1245" s="12"/>
      <c r="V1245" s="12"/>
      <c r="W1245" s="12"/>
      <c r="X1245" s="12"/>
      <c r="Y1245" s="12"/>
      <c r="Z1245" s="12"/>
      <c r="AA1245" s="12"/>
      <c r="AB1245" s="12"/>
      <c r="AC1245" s="12"/>
      <c r="AD1245" s="12"/>
      <c r="AE1245" s="12"/>
      <c r="AF1245" s="12"/>
      <c r="AG1245" s="12"/>
      <c r="AH1245" s="12"/>
      <c r="AI1245" s="12"/>
      <c r="AJ1245" s="12"/>
      <c r="AK1245" s="12"/>
      <c r="AL1245" s="12"/>
      <c r="AM1245" s="12"/>
      <c r="AN1245" s="12"/>
      <c r="AO1245" s="12"/>
      <c r="AP1245" s="12"/>
      <c r="AQ1245" s="12"/>
      <c r="AR1245" s="12"/>
      <c r="AS1245" s="12"/>
      <c r="AT1245" s="12"/>
      <c r="AU1245" s="12"/>
      <c r="AV1245" s="12"/>
      <c r="AW1245" s="12"/>
      <c r="AX1245" s="12"/>
      <c r="AY1245" s="12"/>
      <c r="AZ1245" s="12"/>
      <c r="BA1245" s="12"/>
      <c r="BB1245" s="12"/>
      <c r="BC1245" s="12"/>
      <c r="BD1245" s="12"/>
      <c r="BE1245" s="12"/>
      <c r="BF1245" s="12"/>
      <c r="BG1245" s="12"/>
      <c r="BH1245" s="12"/>
      <c r="BI1245" s="12"/>
      <c r="BJ1245" s="12"/>
      <c r="BK1245" s="12"/>
      <c r="BL1245" s="12"/>
      <c r="BM1245" s="12"/>
      <c r="BN1245" s="12"/>
      <c r="BO1245" s="12"/>
      <c r="BP1245" s="12"/>
      <c r="BQ1245" s="12"/>
      <c r="BR1245" s="12"/>
      <c r="BS1245" s="12"/>
      <c r="BT1245" s="12"/>
    </row>
    <row r="1246" spans="1:115">
      <c r="A1246" s="2" t="s">
        <v>24143</v>
      </c>
      <c r="B1246" s="5" t="s">
        <v>24147</v>
      </c>
      <c r="C1246" s="3" t="s">
        <v>138</v>
      </c>
      <c r="D1246" s="4" t="s">
        <v>138</v>
      </c>
      <c r="E1246" s="15" t="s">
        <v>1198</v>
      </c>
      <c r="F1246" s="15" t="s">
        <v>20851</v>
      </c>
      <c r="G1246" s="15" t="s">
        <v>1200</v>
      </c>
      <c r="H1246" s="7">
        <v>12</v>
      </c>
      <c r="I1246" s="6" t="s">
        <v>24156</v>
      </c>
      <c r="J1246" s="6" t="s">
        <v>43940</v>
      </c>
      <c r="K1246" s="6" t="s">
        <v>43202</v>
      </c>
      <c r="L1246" s="6" t="s">
        <v>43941</v>
      </c>
      <c r="M1246" s="6" t="s">
        <v>38065</v>
      </c>
      <c r="N1246" s="6" t="s">
        <v>43942</v>
      </c>
      <c r="O1246" s="6" t="s">
        <v>38712</v>
      </c>
      <c r="P1246" s="6" t="s">
        <v>38204</v>
      </c>
      <c r="Q1246" s="6" t="s">
        <v>43943</v>
      </c>
      <c r="R1246" s="6" t="s">
        <v>43944</v>
      </c>
      <c r="S1246" s="6" t="s">
        <v>43945</v>
      </c>
      <c r="T1246" s="6" t="s">
        <v>43946</v>
      </c>
      <c r="U1246" s="6" t="s">
        <v>38205</v>
      </c>
      <c r="V1246" s="6"/>
      <c r="W1246" s="6"/>
      <c r="X1246" s="6"/>
      <c r="Y1246" s="6"/>
      <c r="Z1246" s="6"/>
      <c r="AA1246" s="6"/>
      <c r="AB1246" s="6"/>
      <c r="AC1246" s="6"/>
      <c r="AD1246" s="6"/>
      <c r="AE1246" s="6"/>
      <c r="AF1246" s="6"/>
      <c r="AG1246" s="6"/>
      <c r="AH1246" s="6"/>
      <c r="AI1246" s="6"/>
      <c r="AJ1246" s="6"/>
      <c r="AK1246" s="6"/>
      <c r="AL1246" s="6"/>
      <c r="AM1246" s="6"/>
      <c r="AN1246" s="6"/>
      <c r="AO1246" s="6"/>
      <c r="AP1246" s="6"/>
      <c r="AQ1246" s="6"/>
      <c r="AR1246" s="6"/>
      <c r="AS1246" s="6"/>
      <c r="AT1246" s="6"/>
      <c r="AU1246" s="6"/>
      <c r="AV1246" s="6"/>
      <c r="AW1246" s="6"/>
      <c r="AX1246" s="6"/>
      <c r="AY1246" s="6"/>
      <c r="AZ1246" s="6"/>
      <c r="BA1246" s="6"/>
      <c r="BB1246" s="6"/>
      <c r="BC1246" s="6"/>
      <c r="BD1246" s="6"/>
      <c r="BE1246" s="6"/>
      <c r="BF1246" s="6"/>
      <c r="BG1246" s="6"/>
      <c r="BH1246" s="6"/>
      <c r="BI1246" s="6"/>
      <c r="BJ1246" s="6"/>
      <c r="BK1246" s="6"/>
      <c r="BL1246" s="6"/>
      <c r="BM1246" s="6"/>
      <c r="BN1246" s="6"/>
      <c r="BO1246" s="6"/>
      <c r="BP1246" s="6"/>
      <c r="BQ1246" s="6"/>
      <c r="BR1246" s="6"/>
      <c r="BS1246" s="6"/>
      <c r="BT1246" s="6"/>
    </row>
    <row r="1247" spans="1:115">
      <c r="A1247" s="8" t="s">
        <v>24159</v>
      </c>
      <c r="B1247" s="11" t="s">
        <v>24165</v>
      </c>
      <c r="C1247" s="9" t="s">
        <v>24160</v>
      </c>
      <c r="D1247" s="10" t="s">
        <v>24161</v>
      </c>
      <c r="E1247" s="28" t="s">
        <v>966</v>
      </c>
      <c r="F1247" s="28" t="s">
        <v>200</v>
      </c>
      <c r="G1247" s="28" t="s">
        <v>162</v>
      </c>
      <c r="H1247" s="13">
        <v>15</v>
      </c>
      <c r="I1247" s="12" t="s">
        <v>24173</v>
      </c>
      <c r="J1247" s="12" t="s">
        <v>43947</v>
      </c>
      <c r="K1247" s="12" t="s">
        <v>39469</v>
      </c>
      <c r="L1247" s="12" t="s">
        <v>43948</v>
      </c>
      <c r="M1247" s="12" t="s">
        <v>39052</v>
      </c>
      <c r="N1247" s="12" t="s">
        <v>42277</v>
      </c>
      <c r="O1247" s="12" t="s">
        <v>43949</v>
      </c>
      <c r="P1247" s="12" t="s">
        <v>40560</v>
      </c>
      <c r="Q1247" s="12" t="s">
        <v>38702</v>
      </c>
      <c r="R1247" s="12" t="s">
        <v>38049</v>
      </c>
      <c r="S1247" s="12" t="s">
        <v>43950</v>
      </c>
      <c r="T1247" s="12" t="s">
        <v>38502</v>
      </c>
      <c r="U1247" s="12" t="s">
        <v>43174</v>
      </c>
      <c r="V1247" s="12" t="s">
        <v>41270</v>
      </c>
      <c r="W1247" s="12" t="s">
        <v>43951</v>
      </c>
      <c r="X1247" s="12" t="s">
        <v>38706</v>
      </c>
      <c r="Y1247" s="12"/>
      <c r="Z1247" s="12"/>
      <c r="AA1247" s="12"/>
      <c r="AB1247" s="12"/>
      <c r="AC1247" s="12"/>
      <c r="AD1247" s="12"/>
      <c r="AE1247" s="12"/>
      <c r="AF1247" s="12"/>
      <c r="AG1247" s="12"/>
      <c r="AH1247" s="12"/>
      <c r="AI1247" s="12"/>
      <c r="AJ1247" s="12"/>
      <c r="AK1247" s="12"/>
      <c r="AL1247" s="12"/>
      <c r="AM1247" s="12"/>
      <c r="AN1247" s="12"/>
      <c r="AO1247" s="12"/>
      <c r="AP1247" s="12"/>
      <c r="AQ1247" s="12"/>
      <c r="AR1247" s="12"/>
      <c r="AS1247" s="12"/>
      <c r="AT1247" s="12"/>
      <c r="AU1247" s="12"/>
      <c r="AV1247" s="12"/>
      <c r="AW1247" s="12"/>
      <c r="AX1247" s="12"/>
      <c r="AY1247" s="12"/>
      <c r="AZ1247" s="12"/>
      <c r="BA1247" s="12"/>
      <c r="BB1247" s="12"/>
      <c r="BC1247" s="12"/>
      <c r="BD1247" s="12"/>
      <c r="BE1247" s="12"/>
      <c r="BF1247" s="12"/>
      <c r="BG1247" s="12"/>
      <c r="BH1247" s="12"/>
      <c r="BI1247" s="12"/>
      <c r="BJ1247" s="12"/>
      <c r="BK1247" s="12"/>
      <c r="BL1247" s="12"/>
      <c r="BM1247" s="12"/>
      <c r="BN1247" s="12"/>
      <c r="BO1247" s="12"/>
      <c r="BP1247" s="12"/>
      <c r="BQ1247" s="12"/>
      <c r="BR1247" s="12"/>
      <c r="BS1247" s="12"/>
      <c r="BT1247" s="12"/>
    </row>
    <row r="1248" spans="1:115">
      <c r="A1248" s="2" t="s">
        <v>24176</v>
      </c>
      <c r="B1248" s="5" t="s">
        <v>24183</v>
      </c>
      <c r="C1248" s="3" t="s">
        <v>24177</v>
      </c>
      <c r="D1248" s="4" t="s">
        <v>138</v>
      </c>
      <c r="E1248" s="15" t="s">
        <v>668</v>
      </c>
      <c r="F1248" s="15" t="s">
        <v>200</v>
      </c>
      <c r="G1248" s="15" t="s">
        <v>162</v>
      </c>
      <c r="H1248" s="7">
        <v>106</v>
      </c>
      <c r="I1248" s="6" t="s">
        <v>24192</v>
      </c>
      <c r="J1248" s="6" t="s">
        <v>43689</v>
      </c>
      <c r="K1248" s="6" t="s">
        <v>40192</v>
      </c>
      <c r="L1248" s="6" t="s">
        <v>43952</v>
      </c>
      <c r="M1248" s="6" t="s">
        <v>43953</v>
      </c>
      <c r="N1248" s="6" t="s">
        <v>42524</v>
      </c>
      <c r="O1248" s="6" t="s">
        <v>37934</v>
      </c>
      <c r="P1248" s="6" t="s">
        <v>39755</v>
      </c>
      <c r="Q1248" s="6" t="s">
        <v>42340</v>
      </c>
      <c r="R1248" s="6" t="s">
        <v>37979</v>
      </c>
      <c r="S1248" s="6" t="s">
        <v>43954</v>
      </c>
      <c r="T1248" s="6" t="s">
        <v>43955</v>
      </c>
      <c r="U1248" s="6" t="s">
        <v>43956</v>
      </c>
      <c r="V1248" s="6" t="s">
        <v>43957</v>
      </c>
      <c r="W1248" s="6" t="s">
        <v>38106</v>
      </c>
      <c r="X1248" s="6" t="s">
        <v>38950</v>
      </c>
      <c r="Y1248" s="6" t="s">
        <v>43958</v>
      </c>
      <c r="Z1248" s="6" t="s">
        <v>37937</v>
      </c>
      <c r="AA1248" s="6" t="s">
        <v>37815</v>
      </c>
      <c r="AB1248" s="6" t="s">
        <v>40197</v>
      </c>
      <c r="AC1248" s="6" t="s">
        <v>37940</v>
      </c>
      <c r="AD1248" s="6" t="s">
        <v>43959</v>
      </c>
      <c r="AE1248" s="6" t="s">
        <v>37820</v>
      </c>
      <c r="AF1248" s="6" t="s">
        <v>40147</v>
      </c>
      <c r="AG1248" s="6" t="s">
        <v>42889</v>
      </c>
      <c r="AH1248" s="6" t="s">
        <v>39534</v>
      </c>
      <c r="AI1248" s="6" t="s">
        <v>38964</v>
      </c>
      <c r="AJ1248" s="6" t="s">
        <v>39472</v>
      </c>
      <c r="AK1248" s="6" t="s">
        <v>37941</v>
      </c>
      <c r="AL1248" s="6" t="s">
        <v>40200</v>
      </c>
      <c r="AM1248" s="6" t="s">
        <v>43631</v>
      </c>
      <c r="AN1248" s="6" t="s">
        <v>43960</v>
      </c>
      <c r="AO1248" s="6" t="s">
        <v>38635</v>
      </c>
      <c r="AP1248" s="6" t="s">
        <v>37942</v>
      </c>
      <c r="AQ1248" s="6" t="s">
        <v>43961</v>
      </c>
      <c r="AR1248" s="6" t="s">
        <v>40201</v>
      </c>
      <c r="AS1248" s="6" t="s">
        <v>43819</v>
      </c>
      <c r="AT1248" s="6" t="s">
        <v>42868</v>
      </c>
      <c r="AU1248" s="6" t="s">
        <v>43962</v>
      </c>
      <c r="AV1248" s="6" t="s">
        <v>37949</v>
      </c>
      <c r="AW1248" s="6" t="s">
        <v>40149</v>
      </c>
      <c r="AX1248" s="6" t="s">
        <v>38803</v>
      </c>
      <c r="AY1248" s="6" t="s">
        <v>43963</v>
      </c>
      <c r="AZ1248" s="6" t="s">
        <v>39435</v>
      </c>
      <c r="BA1248" s="6" t="s">
        <v>42429</v>
      </c>
      <c r="BB1248" s="6" t="s">
        <v>43964</v>
      </c>
      <c r="BC1248" s="6" t="s">
        <v>38116</v>
      </c>
      <c r="BD1248" s="6" t="s">
        <v>37955</v>
      </c>
      <c r="BE1248" s="6" t="s">
        <v>38117</v>
      </c>
      <c r="BF1248" s="6" t="s">
        <v>43965</v>
      </c>
      <c r="BG1248" s="6" t="s">
        <v>43966</v>
      </c>
      <c r="BH1248" s="6" t="s">
        <v>43967</v>
      </c>
      <c r="BI1248" s="6" t="s">
        <v>38575</v>
      </c>
      <c r="BJ1248" s="6" t="s">
        <v>41601</v>
      </c>
      <c r="BK1248" s="6" t="s">
        <v>43968</v>
      </c>
      <c r="BL1248" s="6" t="s">
        <v>38121</v>
      </c>
      <c r="BM1248" s="6" t="s">
        <v>43969</v>
      </c>
      <c r="BN1248" s="6" t="s">
        <v>38722</v>
      </c>
      <c r="BO1248" s="6" t="s">
        <v>43970</v>
      </c>
      <c r="BP1248" s="6" t="s">
        <v>38222</v>
      </c>
      <c r="BQ1248" s="6" t="s">
        <v>41621</v>
      </c>
      <c r="BR1248" s="6" t="s">
        <v>38017</v>
      </c>
      <c r="BS1248" s="6" t="s">
        <v>43971</v>
      </c>
      <c r="BT1248" s="6" t="s">
        <v>38062</v>
      </c>
      <c r="BU1248" t="s">
        <v>43972</v>
      </c>
      <c r="BV1248" t="s">
        <v>43973</v>
      </c>
      <c r="BW1248" t="s">
        <v>37992</v>
      </c>
      <c r="BX1248" t="s">
        <v>43974</v>
      </c>
      <c r="BY1248" t="s">
        <v>43975</v>
      </c>
      <c r="BZ1248" t="s">
        <v>43976</v>
      </c>
      <c r="CA1248" t="s">
        <v>37962</v>
      </c>
      <c r="CB1248" t="s">
        <v>39439</v>
      </c>
      <c r="CC1248" t="s">
        <v>43977</v>
      </c>
      <c r="CD1248" t="s">
        <v>38126</v>
      </c>
      <c r="CE1248" t="s">
        <v>43978</v>
      </c>
      <c r="CF1248" t="s">
        <v>37995</v>
      </c>
      <c r="CG1248" t="s">
        <v>40406</v>
      </c>
      <c r="CH1248" t="s">
        <v>39189</v>
      </c>
      <c r="CI1248" t="s">
        <v>38128</v>
      </c>
      <c r="CJ1248" t="s">
        <v>37968</v>
      </c>
      <c r="CK1248" t="s">
        <v>40444</v>
      </c>
      <c r="CL1248" t="s">
        <v>40961</v>
      </c>
      <c r="CM1248" t="s">
        <v>39106</v>
      </c>
      <c r="CN1248" t="s">
        <v>43979</v>
      </c>
      <c r="CO1248" t="s">
        <v>42405</v>
      </c>
      <c r="CP1248" t="s">
        <v>38645</v>
      </c>
      <c r="CQ1248" t="s">
        <v>43980</v>
      </c>
      <c r="CR1248" t="s">
        <v>37781</v>
      </c>
      <c r="CS1248" t="s">
        <v>38981</v>
      </c>
      <c r="CT1248" t="s">
        <v>38000</v>
      </c>
      <c r="CU1248" t="s">
        <v>38067</v>
      </c>
      <c r="CV1248" t="s">
        <v>37829</v>
      </c>
      <c r="CW1248" t="s">
        <v>38030</v>
      </c>
      <c r="CX1248" t="s">
        <v>38141</v>
      </c>
      <c r="CY1248" t="s">
        <v>43981</v>
      </c>
      <c r="CZ1248" t="s">
        <v>37783</v>
      </c>
      <c r="DA1248" t="s">
        <v>43982</v>
      </c>
      <c r="DB1248" t="s">
        <v>38752</v>
      </c>
      <c r="DC1248" t="s">
        <v>43983</v>
      </c>
      <c r="DD1248" t="s">
        <v>43984</v>
      </c>
      <c r="DE1248" t="s">
        <v>38754</v>
      </c>
      <c r="DF1248" t="s">
        <v>43985</v>
      </c>
      <c r="DG1248" t="s">
        <v>43800</v>
      </c>
      <c r="DH1248" t="s">
        <v>38404</v>
      </c>
      <c r="DI1248" t="s">
        <v>37976</v>
      </c>
      <c r="DJ1248" t="s">
        <v>43986</v>
      </c>
      <c r="DK1248" t="s">
        <v>37886</v>
      </c>
    </row>
    <row r="1249" spans="1:72">
      <c r="A1249" s="8" t="s">
        <v>24196</v>
      </c>
      <c r="B1249" s="11" t="s">
        <v>24200</v>
      </c>
      <c r="C1249" s="9" t="s">
        <v>138</v>
      </c>
      <c r="D1249" s="10" t="s">
        <v>138</v>
      </c>
      <c r="E1249" s="28" t="s">
        <v>4492</v>
      </c>
      <c r="F1249" s="28" t="s">
        <v>4493</v>
      </c>
      <c r="G1249" s="28" t="s">
        <v>162</v>
      </c>
      <c r="H1249" s="13">
        <v>6</v>
      </c>
      <c r="I1249" s="12" t="s">
        <v>24212</v>
      </c>
      <c r="J1249" s="12" t="s">
        <v>10291</v>
      </c>
      <c r="K1249" s="12" t="s">
        <v>41197</v>
      </c>
      <c r="L1249" s="12" t="s">
        <v>40406</v>
      </c>
      <c r="M1249" s="12" t="s">
        <v>37781</v>
      </c>
      <c r="N1249" s="12" t="s">
        <v>37782</v>
      </c>
      <c r="O1249" s="12" t="s">
        <v>37885</v>
      </c>
      <c r="P1249" s="12"/>
      <c r="Q1249" s="12"/>
      <c r="R1249" s="12"/>
      <c r="S1249" s="12"/>
      <c r="T1249" s="12"/>
      <c r="U1249" s="12"/>
      <c r="V1249" s="12"/>
      <c r="W1249" s="12"/>
      <c r="X1249" s="12"/>
      <c r="Y1249" s="12"/>
      <c r="Z1249" s="12"/>
      <c r="AA1249" s="12"/>
      <c r="AB1249" s="12"/>
      <c r="AC1249" s="12"/>
      <c r="AD1249" s="12"/>
      <c r="AE1249" s="12"/>
      <c r="AF1249" s="12"/>
      <c r="AG1249" s="12"/>
      <c r="AH1249" s="12"/>
      <c r="AI1249" s="12"/>
      <c r="AJ1249" s="12"/>
      <c r="AK1249" s="12"/>
      <c r="AL1249" s="12"/>
      <c r="AM1249" s="12"/>
      <c r="AN1249" s="12"/>
      <c r="AO1249" s="12"/>
      <c r="AP1249" s="12"/>
      <c r="AQ1249" s="12"/>
      <c r="AR1249" s="12"/>
      <c r="AS1249" s="12"/>
      <c r="AT1249" s="12"/>
      <c r="AU1249" s="12"/>
      <c r="AV1249" s="12"/>
      <c r="AW1249" s="12"/>
      <c r="AX1249" s="12"/>
      <c r="AY1249" s="12"/>
      <c r="AZ1249" s="12"/>
      <c r="BA1249" s="12"/>
      <c r="BB1249" s="12"/>
      <c r="BC1249" s="12"/>
      <c r="BD1249" s="12"/>
      <c r="BE1249" s="12"/>
      <c r="BF1249" s="12"/>
      <c r="BG1249" s="12"/>
      <c r="BH1249" s="12"/>
      <c r="BI1249" s="12"/>
      <c r="BJ1249" s="12"/>
      <c r="BK1249" s="12"/>
      <c r="BL1249" s="12"/>
      <c r="BM1249" s="12"/>
      <c r="BN1249" s="12"/>
      <c r="BO1249" s="12"/>
      <c r="BP1249" s="12"/>
      <c r="BQ1249" s="12"/>
      <c r="BR1249" s="12"/>
      <c r="BS1249" s="12"/>
      <c r="BT1249" s="12"/>
    </row>
    <row r="1250" spans="1:72">
      <c r="A1250" s="2" t="s">
        <v>24215</v>
      </c>
      <c r="B1250" s="5" t="s">
        <v>24219</v>
      </c>
      <c r="C1250" s="3" t="s">
        <v>138</v>
      </c>
      <c r="D1250" s="4" t="s">
        <v>138</v>
      </c>
      <c r="E1250" s="15" t="s">
        <v>2493</v>
      </c>
      <c r="F1250" s="15" t="s">
        <v>371</v>
      </c>
      <c r="G1250" s="15" t="s">
        <v>162</v>
      </c>
      <c r="H1250" s="7">
        <v>19</v>
      </c>
      <c r="I1250" s="6" t="s">
        <v>24227</v>
      </c>
      <c r="J1250" s="6">
        <v>1776</v>
      </c>
      <c r="K1250" s="6" t="s">
        <v>38075</v>
      </c>
      <c r="L1250" s="6" t="s">
        <v>42376</v>
      </c>
      <c r="M1250" s="6" t="s">
        <v>38872</v>
      </c>
      <c r="N1250" s="6" t="s">
        <v>38418</v>
      </c>
      <c r="O1250" s="6" t="s">
        <v>43987</v>
      </c>
      <c r="P1250" s="6" t="s">
        <v>41953</v>
      </c>
      <c r="Q1250" s="6" t="s">
        <v>40218</v>
      </c>
      <c r="R1250" s="6" t="s">
        <v>43988</v>
      </c>
      <c r="S1250" s="6" t="s">
        <v>43989</v>
      </c>
      <c r="T1250" s="6" t="s">
        <v>38323</v>
      </c>
      <c r="U1250" s="6" t="s">
        <v>43990</v>
      </c>
      <c r="V1250" s="6" t="s">
        <v>43991</v>
      </c>
      <c r="W1250" s="6" t="s">
        <v>37781</v>
      </c>
      <c r="X1250" s="6" t="s">
        <v>37915</v>
      </c>
      <c r="Y1250" s="6" t="s">
        <v>41041</v>
      </c>
      <c r="Z1250" s="6" t="s">
        <v>37809</v>
      </c>
      <c r="AA1250" s="6" t="s">
        <v>39848</v>
      </c>
      <c r="AB1250" s="6" t="s">
        <v>38337</v>
      </c>
      <c r="AC1250" s="6"/>
      <c r="AD1250" s="6"/>
      <c r="AE1250" s="6"/>
      <c r="AF1250" s="6"/>
      <c r="AG1250" s="6"/>
      <c r="AH1250" s="6"/>
      <c r="AI1250" s="6"/>
      <c r="AJ1250" s="6"/>
      <c r="AK1250" s="6"/>
      <c r="AL1250" s="6"/>
      <c r="AM1250" s="6"/>
      <c r="AN1250" s="6"/>
      <c r="AO1250" s="6"/>
      <c r="AP1250" s="6"/>
      <c r="AQ1250" s="6"/>
      <c r="AR1250" s="6"/>
      <c r="AS1250" s="6"/>
      <c r="AT1250" s="6"/>
      <c r="AU1250" s="6"/>
      <c r="AV1250" s="6"/>
      <c r="AW1250" s="6"/>
      <c r="AX1250" s="6"/>
      <c r="AY1250" s="6"/>
      <c r="AZ1250" s="6"/>
      <c r="BA1250" s="6"/>
      <c r="BB1250" s="6"/>
      <c r="BC1250" s="6"/>
      <c r="BD1250" s="6"/>
      <c r="BE1250" s="6"/>
      <c r="BF1250" s="6"/>
      <c r="BG1250" s="6"/>
      <c r="BH1250" s="6"/>
      <c r="BI1250" s="6"/>
      <c r="BJ1250" s="6"/>
      <c r="BK1250" s="6"/>
      <c r="BL1250" s="6"/>
      <c r="BM1250" s="6"/>
      <c r="BN1250" s="6"/>
      <c r="BO1250" s="6"/>
      <c r="BP1250" s="6"/>
      <c r="BQ1250" s="6"/>
      <c r="BR1250" s="6"/>
      <c r="BS1250" s="6"/>
      <c r="BT1250" s="6"/>
    </row>
    <row r="1251" spans="1:72">
      <c r="A1251" s="8" t="s">
        <v>24230</v>
      </c>
      <c r="B1251" s="11" t="s">
        <v>24235</v>
      </c>
      <c r="C1251" s="9" t="s">
        <v>138</v>
      </c>
      <c r="D1251" s="10" t="s">
        <v>138</v>
      </c>
      <c r="E1251" s="28" t="s">
        <v>24245</v>
      </c>
      <c r="F1251" s="28" t="s">
        <v>138</v>
      </c>
      <c r="G1251" s="28" t="s">
        <v>740</v>
      </c>
      <c r="H1251" s="13">
        <v>21</v>
      </c>
      <c r="I1251" s="12" t="s">
        <v>24249</v>
      </c>
      <c r="J1251" s="12" t="s">
        <v>43992</v>
      </c>
      <c r="K1251" s="12" t="s">
        <v>43993</v>
      </c>
      <c r="L1251" s="12" t="s">
        <v>43994</v>
      </c>
      <c r="M1251" s="12" t="s">
        <v>43995</v>
      </c>
      <c r="N1251" s="12" t="s">
        <v>38610</v>
      </c>
      <c r="O1251" s="12" t="s">
        <v>39672</v>
      </c>
      <c r="P1251" s="12" t="s">
        <v>42989</v>
      </c>
      <c r="Q1251" s="12" t="s">
        <v>43996</v>
      </c>
      <c r="R1251" s="12" t="s">
        <v>43997</v>
      </c>
      <c r="S1251" s="12" t="s">
        <v>43998</v>
      </c>
      <c r="T1251" s="12" t="s">
        <v>43999</v>
      </c>
      <c r="U1251" s="12" t="s">
        <v>44000</v>
      </c>
      <c r="V1251" s="12" t="s">
        <v>39680</v>
      </c>
      <c r="W1251" s="12" t="s">
        <v>39681</v>
      </c>
      <c r="X1251" s="12" t="s">
        <v>37998</v>
      </c>
      <c r="Y1251" s="12" t="s">
        <v>44001</v>
      </c>
      <c r="Z1251" s="12" t="s">
        <v>44002</v>
      </c>
      <c r="AA1251" s="12" t="s">
        <v>38137</v>
      </c>
      <c r="AB1251" s="12" t="s">
        <v>38626</v>
      </c>
      <c r="AC1251" s="12" t="s">
        <v>44003</v>
      </c>
      <c r="AD1251" s="12" t="s">
        <v>44004</v>
      </c>
      <c r="AE1251" s="12"/>
      <c r="AF1251" s="12"/>
      <c r="AG1251" s="12"/>
      <c r="AH1251" s="12"/>
      <c r="AI1251" s="12"/>
      <c r="AJ1251" s="12"/>
      <c r="AK1251" s="12"/>
      <c r="AL1251" s="12"/>
      <c r="AM1251" s="12"/>
      <c r="AN1251" s="12"/>
      <c r="AO1251" s="12"/>
      <c r="AP1251" s="12"/>
      <c r="AQ1251" s="12"/>
      <c r="AR1251" s="12"/>
      <c r="AS1251" s="12"/>
      <c r="AT1251" s="12"/>
      <c r="AU1251" s="12"/>
      <c r="AV1251" s="12"/>
      <c r="AW1251" s="12"/>
      <c r="AX1251" s="12"/>
      <c r="AY1251" s="12"/>
      <c r="AZ1251" s="12"/>
      <c r="BA1251" s="12"/>
      <c r="BB1251" s="12"/>
      <c r="BC1251" s="12"/>
      <c r="BD1251" s="12"/>
      <c r="BE1251" s="12"/>
      <c r="BF1251" s="12"/>
      <c r="BG1251" s="12"/>
      <c r="BH1251" s="12"/>
      <c r="BI1251" s="12"/>
      <c r="BJ1251" s="12"/>
      <c r="BK1251" s="12"/>
      <c r="BL1251" s="12"/>
      <c r="BM1251" s="12"/>
      <c r="BN1251" s="12"/>
      <c r="BO1251" s="12"/>
      <c r="BP1251" s="12"/>
      <c r="BQ1251" s="12"/>
      <c r="BR1251" s="12"/>
      <c r="BS1251" s="12"/>
      <c r="BT1251" s="12"/>
    </row>
    <row r="1252" spans="1:72">
      <c r="A1252" s="2" t="s">
        <v>24252</v>
      </c>
      <c r="B1252" s="5" t="s">
        <v>24256</v>
      </c>
      <c r="C1252" s="3" t="s">
        <v>138</v>
      </c>
      <c r="D1252" s="4" t="s">
        <v>138</v>
      </c>
      <c r="E1252" s="15" t="s">
        <v>668</v>
      </c>
      <c r="F1252" s="15" t="s">
        <v>200</v>
      </c>
      <c r="G1252" s="15" t="s">
        <v>162</v>
      </c>
      <c r="H1252" s="7">
        <v>10</v>
      </c>
      <c r="I1252" s="6" t="s">
        <v>24265</v>
      </c>
      <c r="J1252" s="6" t="s">
        <v>38449</v>
      </c>
      <c r="K1252" s="6" t="s">
        <v>38339</v>
      </c>
      <c r="L1252" s="6" t="s">
        <v>38299</v>
      </c>
      <c r="M1252" s="6" t="s">
        <v>44005</v>
      </c>
      <c r="N1252" s="6" t="s">
        <v>38230</v>
      </c>
      <c r="O1252" s="6" t="s">
        <v>44006</v>
      </c>
      <c r="P1252" s="6" t="s">
        <v>44007</v>
      </c>
      <c r="Q1252" s="6" t="s">
        <v>38024</v>
      </c>
      <c r="R1252" s="6" t="s">
        <v>40016</v>
      </c>
      <c r="S1252" s="6" t="s">
        <v>37974</v>
      </c>
      <c r="T1252" s="6"/>
      <c r="U1252" s="6"/>
      <c r="V1252" s="6"/>
      <c r="W1252" s="6"/>
      <c r="X1252" s="6"/>
      <c r="Y1252" s="6"/>
      <c r="Z1252" s="6"/>
      <c r="AA1252" s="6"/>
      <c r="AB1252" s="6"/>
      <c r="AC1252" s="6"/>
      <c r="AD1252" s="6"/>
      <c r="AE1252" s="6"/>
      <c r="AF1252" s="6"/>
      <c r="AG1252" s="6"/>
      <c r="AH1252" s="6"/>
      <c r="AI1252" s="6"/>
      <c r="AJ1252" s="6"/>
      <c r="AK1252" s="6"/>
      <c r="AL1252" s="6"/>
      <c r="AM1252" s="6"/>
      <c r="AN1252" s="6"/>
      <c r="AO1252" s="6"/>
      <c r="AP1252" s="6"/>
      <c r="AQ1252" s="6"/>
      <c r="AR1252" s="6"/>
      <c r="AS1252" s="6"/>
      <c r="AT1252" s="6"/>
      <c r="AU1252" s="6"/>
      <c r="AV1252" s="6"/>
      <c r="AW1252" s="6"/>
      <c r="AX1252" s="6"/>
      <c r="AY1252" s="6"/>
      <c r="AZ1252" s="6"/>
      <c r="BA1252" s="6"/>
      <c r="BB1252" s="6"/>
      <c r="BC1252" s="6"/>
      <c r="BD1252" s="6"/>
      <c r="BE1252" s="6"/>
      <c r="BF1252" s="6"/>
      <c r="BG1252" s="6"/>
      <c r="BH1252" s="6"/>
      <c r="BI1252" s="6"/>
      <c r="BJ1252" s="6"/>
      <c r="BK1252" s="6"/>
      <c r="BL1252" s="6"/>
      <c r="BM1252" s="6"/>
      <c r="BN1252" s="6"/>
      <c r="BO1252" s="6"/>
      <c r="BP1252" s="6"/>
      <c r="BQ1252" s="6"/>
      <c r="BR1252" s="6"/>
      <c r="BS1252" s="6"/>
      <c r="BT1252" s="6"/>
    </row>
    <row r="1253" spans="1:72">
      <c r="A1253" s="8" t="s">
        <v>24268</v>
      </c>
      <c r="B1253" s="11" t="s">
        <v>24272</v>
      </c>
      <c r="C1253" s="9" t="s">
        <v>138</v>
      </c>
      <c r="D1253" s="10" t="s">
        <v>138</v>
      </c>
      <c r="E1253" s="28" t="s">
        <v>19655</v>
      </c>
      <c r="F1253" s="28" t="s">
        <v>1389</v>
      </c>
      <c r="G1253" s="28" t="s">
        <v>162</v>
      </c>
      <c r="H1253" s="13">
        <v>12</v>
      </c>
      <c r="I1253" s="12" t="s">
        <v>24278</v>
      </c>
      <c r="J1253" s="12" t="s">
        <v>39985</v>
      </c>
      <c r="K1253" s="12" t="s">
        <v>39001</v>
      </c>
      <c r="L1253" s="12" t="s">
        <v>42528</v>
      </c>
      <c r="M1253" s="12" t="s">
        <v>40039</v>
      </c>
      <c r="N1253" s="12" t="s">
        <v>42917</v>
      </c>
      <c r="O1253" s="12" t="s">
        <v>41342</v>
      </c>
      <c r="P1253" s="12" t="s">
        <v>38349</v>
      </c>
      <c r="Q1253" s="12" t="s">
        <v>43733</v>
      </c>
      <c r="R1253" s="12" t="s">
        <v>37779</v>
      </c>
      <c r="S1253" s="12" t="s">
        <v>43734</v>
      </c>
      <c r="T1253" s="12" t="s">
        <v>37915</v>
      </c>
      <c r="U1253" s="12" t="s">
        <v>43735</v>
      </c>
      <c r="V1253" s="12"/>
      <c r="W1253" s="12"/>
      <c r="X1253" s="12"/>
      <c r="Y1253" s="12"/>
      <c r="Z1253" s="12"/>
      <c r="AA1253" s="12"/>
      <c r="AB1253" s="12"/>
      <c r="AC1253" s="12"/>
      <c r="AD1253" s="12"/>
      <c r="AE1253" s="12"/>
      <c r="AF1253" s="12"/>
      <c r="AG1253" s="12"/>
      <c r="AH1253" s="12"/>
      <c r="AI1253" s="12"/>
      <c r="AJ1253" s="12"/>
      <c r="AK1253" s="12"/>
      <c r="AL1253" s="12"/>
      <c r="AM1253" s="12"/>
      <c r="AN1253" s="12"/>
      <c r="AO1253" s="12"/>
      <c r="AP1253" s="12"/>
      <c r="AQ1253" s="12"/>
      <c r="AR1253" s="12"/>
      <c r="AS1253" s="12"/>
      <c r="AT1253" s="12"/>
      <c r="AU1253" s="12"/>
      <c r="AV1253" s="12"/>
      <c r="AW1253" s="12"/>
      <c r="AX1253" s="12"/>
      <c r="AY1253" s="12"/>
      <c r="AZ1253" s="12"/>
      <c r="BA1253" s="12"/>
      <c r="BB1253" s="12"/>
      <c r="BC1253" s="12"/>
      <c r="BD1253" s="12"/>
      <c r="BE1253" s="12"/>
      <c r="BF1253" s="12"/>
      <c r="BG1253" s="12"/>
      <c r="BH1253" s="12"/>
      <c r="BI1253" s="12"/>
      <c r="BJ1253" s="12"/>
      <c r="BK1253" s="12"/>
      <c r="BL1253" s="12"/>
      <c r="BM1253" s="12"/>
      <c r="BN1253" s="12"/>
      <c r="BO1253" s="12"/>
      <c r="BP1253" s="12"/>
      <c r="BQ1253" s="12"/>
      <c r="BR1253" s="12"/>
      <c r="BS1253" s="12"/>
      <c r="BT1253" s="12"/>
    </row>
    <row r="1254" spans="1:72">
      <c r="A1254" s="2" t="s">
        <v>24281</v>
      </c>
      <c r="B1254" s="5" t="s">
        <v>24287</v>
      </c>
      <c r="C1254" s="3" t="s">
        <v>24282</v>
      </c>
      <c r="D1254" s="4" t="s">
        <v>138</v>
      </c>
      <c r="E1254" s="15" t="s">
        <v>24295</v>
      </c>
      <c r="F1254" s="15" t="s">
        <v>24296</v>
      </c>
      <c r="G1254" s="15" t="s">
        <v>162</v>
      </c>
      <c r="H1254" s="7">
        <v>1</v>
      </c>
      <c r="I1254" s="6" t="s">
        <v>24301</v>
      </c>
      <c r="J1254" s="6" t="s">
        <v>24301</v>
      </c>
      <c r="K1254" s="6"/>
      <c r="L1254" s="6"/>
      <c r="M1254" s="6"/>
      <c r="N1254" s="6"/>
      <c r="O1254" s="6"/>
      <c r="P1254" s="6"/>
      <c r="Q1254" s="6"/>
      <c r="R1254" s="6"/>
      <c r="S1254" s="6"/>
      <c r="T1254" s="6"/>
      <c r="U1254" s="6"/>
      <c r="V1254" s="6"/>
      <c r="W1254" s="6"/>
      <c r="X1254" s="6"/>
      <c r="Y1254" s="6"/>
      <c r="Z1254" s="6"/>
      <c r="AA1254" s="6"/>
      <c r="AB1254" s="6"/>
      <c r="AC1254" s="6"/>
      <c r="AD1254" s="6"/>
      <c r="AE1254" s="6"/>
      <c r="AF1254" s="6"/>
      <c r="AG1254" s="6"/>
      <c r="AH1254" s="6"/>
      <c r="AI1254" s="6"/>
      <c r="AJ1254" s="6"/>
      <c r="AK1254" s="6"/>
      <c r="AL1254" s="6"/>
      <c r="AM1254" s="6"/>
      <c r="AN1254" s="6"/>
      <c r="AO1254" s="6"/>
      <c r="AP1254" s="6"/>
      <c r="AQ1254" s="6"/>
      <c r="AR1254" s="6"/>
      <c r="AS1254" s="6"/>
      <c r="AT1254" s="6"/>
      <c r="AU1254" s="6"/>
      <c r="AV1254" s="6"/>
      <c r="AW1254" s="6"/>
      <c r="AX1254" s="6"/>
      <c r="AY1254" s="6"/>
      <c r="AZ1254" s="6"/>
      <c r="BA1254" s="6"/>
      <c r="BB1254" s="6"/>
      <c r="BC1254" s="6"/>
      <c r="BD1254" s="6"/>
      <c r="BE1254" s="6"/>
      <c r="BF1254" s="6"/>
      <c r="BG1254" s="6"/>
      <c r="BH1254" s="6"/>
      <c r="BI1254" s="6"/>
      <c r="BJ1254" s="6"/>
      <c r="BK1254" s="6"/>
      <c r="BL1254" s="6"/>
      <c r="BM1254" s="6"/>
      <c r="BN1254" s="6"/>
      <c r="BO1254" s="6"/>
      <c r="BP1254" s="6"/>
      <c r="BQ1254" s="6"/>
      <c r="BR1254" s="6"/>
      <c r="BS1254" s="6"/>
      <c r="BT1254" s="6"/>
    </row>
    <row r="1255" spans="1:72">
      <c r="A1255" s="8" t="s">
        <v>24304</v>
      </c>
      <c r="B1255" s="11" t="s">
        <v>24309</v>
      </c>
      <c r="C1255" s="9" t="s">
        <v>24305</v>
      </c>
      <c r="D1255" s="10" t="s">
        <v>138</v>
      </c>
      <c r="E1255" s="28" t="s">
        <v>24316</v>
      </c>
      <c r="F1255" s="28" t="s">
        <v>371</v>
      </c>
      <c r="G1255" s="28" t="s">
        <v>162</v>
      </c>
      <c r="H1255" s="13">
        <v>1</v>
      </c>
      <c r="I1255" s="12" t="s">
        <v>24320</v>
      </c>
      <c r="J1255" s="12" t="s">
        <v>24320</v>
      </c>
      <c r="K1255" s="12"/>
      <c r="L1255" s="12"/>
      <c r="M1255" s="12"/>
      <c r="N1255" s="12"/>
      <c r="O1255" s="12"/>
      <c r="P1255" s="12"/>
      <c r="Q1255" s="12"/>
      <c r="R1255" s="12"/>
      <c r="S1255" s="12"/>
      <c r="T1255" s="12"/>
      <c r="U1255" s="12"/>
      <c r="V1255" s="12"/>
      <c r="W1255" s="12"/>
      <c r="X1255" s="12"/>
      <c r="Y1255" s="12"/>
      <c r="Z1255" s="12"/>
      <c r="AA1255" s="12"/>
      <c r="AB1255" s="12"/>
      <c r="AC1255" s="12"/>
      <c r="AD1255" s="12"/>
      <c r="AE1255" s="12"/>
      <c r="AF1255" s="12"/>
      <c r="AG1255" s="12"/>
      <c r="AH1255" s="12"/>
      <c r="AI1255" s="12"/>
      <c r="AJ1255" s="12"/>
      <c r="AK1255" s="12"/>
      <c r="AL1255" s="12"/>
      <c r="AM1255" s="12"/>
      <c r="AN1255" s="12"/>
      <c r="AO1255" s="12"/>
      <c r="AP1255" s="12"/>
      <c r="AQ1255" s="12"/>
      <c r="AR1255" s="12"/>
      <c r="AS1255" s="12"/>
      <c r="AT1255" s="12"/>
      <c r="AU1255" s="12"/>
      <c r="AV1255" s="12"/>
      <c r="AW1255" s="12"/>
      <c r="AX1255" s="12"/>
      <c r="AY1255" s="12"/>
      <c r="AZ1255" s="12"/>
      <c r="BA1255" s="12"/>
      <c r="BB1255" s="12"/>
      <c r="BC1255" s="12"/>
      <c r="BD1255" s="12"/>
      <c r="BE1255" s="12"/>
      <c r="BF1255" s="12"/>
      <c r="BG1255" s="12"/>
      <c r="BH1255" s="12"/>
      <c r="BI1255" s="12"/>
      <c r="BJ1255" s="12"/>
      <c r="BK1255" s="12"/>
      <c r="BL1255" s="12"/>
      <c r="BM1255" s="12"/>
      <c r="BN1255" s="12"/>
      <c r="BO1255" s="12"/>
      <c r="BP1255" s="12"/>
      <c r="BQ1255" s="12"/>
      <c r="BR1255" s="12"/>
      <c r="BS1255" s="12"/>
      <c r="BT1255" s="12"/>
    </row>
    <row r="1256" spans="1:72">
      <c r="A1256" s="2" t="s">
        <v>24322</v>
      </c>
      <c r="B1256" s="5" t="s">
        <v>24328</v>
      </c>
      <c r="C1256" s="3" t="s">
        <v>24323</v>
      </c>
      <c r="D1256" s="4" t="s">
        <v>138</v>
      </c>
      <c r="E1256" s="15" t="s">
        <v>944</v>
      </c>
      <c r="F1256" s="15" t="s">
        <v>138</v>
      </c>
      <c r="G1256" s="15" t="s">
        <v>946</v>
      </c>
      <c r="H1256" s="7">
        <v>15</v>
      </c>
      <c r="I1256" s="6" t="s">
        <v>24337</v>
      </c>
      <c r="J1256" s="6" t="s">
        <v>44008</v>
      </c>
      <c r="K1256" s="6" t="s">
        <v>44009</v>
      </c>
      <c r="L1256" s="6" t="s">
        <v>44010</v>
      </c>
      <c r="M1256" s="6" t="s">
        <v>44011</v>
      </c>
      <c r="N1256" s="6" t="s">
        <v>42505</v>
      </c>
      <c r="O1256" s="6" t="s">
        <v>44012</v>
      </c>
      <c r="P1256" s="6" t="s">
        <v>44013</v>
      </c>
      <c r="Q1256" s="6" t="s">
        <v>44014</v>
      </c>
      <c r="R1256" s="6" t="s">
        <v>39493</v>
      </c>
      <c r="S1256" s="6" t="s">
        <v>44015</v>
      </c>
      <c r="T1256" s="6" t="s">
        <v>44016</v>
      </c>
      <c r="U1256" s="6" t="s">
        <v>37890</v>
      </c>
      <c r="V1256" s="6" t="s">
        <v>38713</v>
      </c>
      <c r="W1256" s="6" t="s">
        <v>38716</v>
      </c>
      <c r="X1256" s="6" t="s">
        <v>44017</v>
      </c>
      <c r="Y1256" s="6"/>
      <c r="Z1256" s="6"/>
      <c r="AA1256" s="6"/>
      <c r="AB1256" s="6"/>
      <c r="AC1256" s="6"/>
      <c r="AD1256" s="6"/>
      <c r="AE1256" s="6"/>
      <c r="AF1256" s="6"/>
      <c r="AG1256" s="6"/>
      <c r="AH1256" s="6"/>
      <c r="AI1256" s="6"/>
      <c r="AJ1256" s="6"/>
      <c r="AK1256" s="6"/>
      <c r="AL1256" s="6"/>
      <c r="AM1256" s="6"/>
      <c r="AN1256" s="6"/>
      <c r="AO1256" s="6"/>
      <c r="AP1256" s="6"/>
      <c r="AQ1256" s="6"/>
      <c r="AR1256" s="6"/>
      <c r="AS1256" s="6"/>
      <c r="AT1256" s="6"/>
      <c r="AU1256" s="6"/>
      <c r="AV1256" s="6"/>
      <c r="AW1256" s="6"/>
      <c r="AX1256" s="6"/>
      <c r="AY1256" s="6"/>
      <c r="AZ1256" s="6"/>
      <c r="BA1256" s="6"/>
      <c r="BB1256" s="6"/>
      <c r="BC1256" s="6"/>
      <c r="BD1256" s="6"/>
      <c r="BE1256" s="6"/>
      <c r="BF1256" s="6"/>
      <c r="BG1256" s="6"/>
      <c r="BH1256" s="6"/>
      <c r="BI1256" s="6"/>
      <c r="BJ1256" s="6"/>
      <c r="BK1256" s="6"/>
      <c r="BL1256" s="6"/>
      <c r="BM1256" s="6"/>
      <c r="BN1256" s="6"/>
      <c r="BO1256" s="6"/>
      <c r="BP1256" s="6"/>
      <c r="BQ1256" s="6"/>
      <c r="BR1256" s="6"/>
      <c r="BS1256" s="6"/>
      <c r="BT1256" s="6"/>
    </row>
    <row r="1257" spans="1:72">
      <c r="A1257" s="8" t="s">
        <v>24341</v>
      </c>
      <c r="B1257" s="11" t="s">
        <v>24345</v>
      </c>
      <c r="C1257" s="9" t="s">
        <v>138</v>
      </c>
      <c r="D1257" s="10" t="s">
        <v>138</v>
      </c>
      <c r="E1257" s="28" t="s">
        <v>1223</v>
      </c>
      <c r="F1257" s="28" t="s">
        <v>200</v>
      </c>
      <c r="G1257" s="28" t="s">
        <v>162</v>
      </c>
      <c r="H1257" s="13">
        <v>9</v>
      </c>
      <c r="I1257" s="12" t="s">
        <v>24351</v>
      </c>
      <c r="J1257" s="12" t="s">
        <v>39846</v>
      </c>
      <c r="K1257" s="12" t="s">
        <v>41798</v>
      </c>
      <c r="L1257" s="12" t="s">
        <v>37819</v>
      </c>
      <c r="M1257" s="12" t="s">
        <v>40346</v>
      </c>
      <c r="N1257" s="12" t="s">
        <v>37986</v>
      </c>
      <c r="O1257" s="12" t="s">
        <v>39944</v>
      </c>
      <c r="P1257" s="12" t="s">
        <v>37960</v>
      </c>
      <c r="Q1257" s="12" t="s">
        <v>40211</v>
      </c>
      <c r="R1257" s="12" t="s">
        <v>37783</v>
      </c>
      <c r="S1257" s="12"/>
      <c r="T1257" s="12"/>
      <c r="U1257" s="12"/>
      <c r="V1257" s="12"/>
      <c r="W1257" s="12"/>
      <c r="X1257" s="12"/>
      <c r="Y1257" s="12"/>
      <c r="Z1257" s="12"/>
      <c r="AA1257" s="12"/>
      <c r="AB1257" s="12"/>
      <c r="AC1257" s="12"/>
      <c r="AD1257" s="12"/>
      <c r="AE1257" s="12"/>
      <c r="AF1257" s="12"/>
      <c r="AG1257" s="12"/>
      <c r="AH1257" s="12"/>
      <c r="AI1257" s="12"/>
      <c r="AJ1257" s="12"/>
      <c r="AK1257" s="12"/>
      <c r="AL1257" s="12"/>
      <c r="AM1257" s="12"/>
      <c r="AN1257" s="12"/>
      <c r="AO1257" s="12"/>
      <c r="AP1257" s="12"/>
      <c r="AQ1257" s="12"/>
      <c r="AR1257" s="12"/>
      <c r="AS1257" s="12"/>
      <c r="AT1257" s="12"/>
      <c r="AU1257" s="12"/>
      <c r="AV1257" s="12"/>
      <c r="AW1257" s="12"/>
      <c r="AX1257" s="12"/>
      <c r="AY1257" s="12"/>
      <c r="AZ1257" s="12"/>
      <c r="BA1257" s="12"/>
      <c r="BB1257" s="12"/>
      <c r="BC1257" s="12"/>
      <c r="BD1257" s="12"/>
      <c r="BE1257" s="12"/>
      <c r="BF1257" s="12"/>
      <c r="BG1257" s="12"/>
      <c r="BH1257" s="12"/>
      <c r="BI1257" s="12"/>
      <c r="BJ1257" s="12"/>
      <c r="BK1257" s="12"/>
      <c r="BL1257" s="12"/>
      <c r="BM1257" s="12"/>
      <c r="BN1257" s="12"/>
      <c r="BO1257" s="12"/>
      <c r="BP1257" s="12"/>
      <c r="BQ1257" s="12"/>
      <c r="BR1257" s="12"/>
      <c r="BS1257" s="12"/>
      <c r="BT1257" s="12"/>
    </row>
    <row r="1258" spans="1:72">
      <c r="A1258" s="2" t="s">
        <v>24354</v>
      </c>
      <c r="B1258" s="5" t="s">
        <v>24358</v>
      </c>
      <c r="C1258" s="3" t="s">
        <v>138</v>
      </c>
      <c r="D1258" s="4" t="s">
        <v>138</v>
      </c>
      <c r="E1258" s="15" t="s">
        <v>4627</v>
      </c>
      <c r="F1258" s="15" t="s">
        <v>4628</v>
      </c>
      <c r="G1258" s="15" t="s">
        <v>162</v>
      </c>
      <c r="H1258" s="7">
        <v>10</v>
      </c>
      <c r="I1258" s="6" t="s">
        <v>24368</v>
      </c>
      <c r="J1258" s="6" t="s">
        <v>44018</v>
      </c>
      <c r="K1258" s="6" t="s">
        <v>44019</v>
      </c>
      <c r="L1258" s="6" t="s">
        <v>39714</v>
      </c>
      <c r="M1258" s="6" t="s">
        <v>39276</v>
      </c>
      <c r="N1258" s="6" t="s">
        <v>44020</v>
      </c>
      <c r="O1258" s="6" t="s">
        <v>44021</v>
      </c>
      <c r="P1258" s="6" t="s">
        <v>44022</v>
      </c>
      <c r="Q1258" s="6" t="s">
        <v>44023</v>
      </c>
      <c r="R1258" s="6" t="s">
        <v>39281</v>
      </c>
      <c r="S1258" s="6" t="s">
        <v>44024</v>
      </c>
      <c r="T1258" s="6"/>
      <c r="U1258" s="6"/>
      <c r="V1258" s="6"/>
      <c r="W1258" s="6"/>
      <c r="X1258" s="6"/>
      <c r="Y1258" s="6"/>
      <c r="Z1258" s="6"/>
      <c r="AA1258" s="6"/>
      <c r="AB1258" s="6"/>
      <c r="AC1258" s="6"/>
      <c r="AD1258" s="6"/>
      <c r="AE1258" s="6"/>
      <c r="AF1258" s="6"/>
      <c r="AG1258" s="6"/>
      <c r="AH1258" s="6"/>
      <c r="AI1258" s="6"/>
      <c r="AJ1258" s="6"/>
      <c r="AK1258" s="6"/>
      <c r="AL1258" s="6"/>
      <c r="AM1258" s="6"/>
      <c r="AN1258" s="6"/>
      <c r="AO1258" s="6"/>
      <c r="AP1258" s="6"/>
      <c r="AQ1258" s="6"/>
      <c r="AR1258" s="6"/>
      <c r="AS1258" s="6"/>
      <c r="AT1258" s="6"/>
      <c r="AU1258" s="6"/>
      <c r="AV1258" s="6"/>
      <c r="AW1258" s="6"/>
      <c r="AX1258" s="6"/>
      <c r="AY1258" s="6"/>
      <c r="AZ1258" s="6"/>
      <c r="BA1258" s="6"/>
      <c r="BB1258" s="6"/>
      <c r="BC1258" s="6"/>
      <c r="BD1258" s="6"/>
      <c r="BE1258" s="6"/>
      <c r="BF1258" s="6"/>
      <c r="BG1258" s="6"/>
      <c r="BH1258" s="6"/>
      <c r="BI1258" s="6"/>
      <c r="BJ1258" s="6"/>
      <c r="BK1258" s="6"/>
      <c r="BL1258" s="6"/>
      <c r="BM1258" s="6"/>
      <c r="BN1258" s="6"/>
      <c r="BO1258" s="6"/>
      <c r="BP1258" s="6"/>
      <c r="BQ1258" s="6"/>
      <c r="BR1258" s="6"/>
      <c r="BS1258" s="6"/>
      <c r="BT1258" s="6"/>
    </row>
    <row r="1259" spans="1:72">
      <c r="A1259" s="8" t="s">
        <v>24371</v>
      </c>
      <c r="B1259" s="11" t="s">
        <v>24376</v>
      </c>
      <c r="C1259" s="9" t="s">
        <v>24372</v>
      </c>
      <c r="D1259" s="10" t="s">
        <v>138</v>
      </c>
      <c r="E1259" s="28" t="s">
        <v>24385</v>
      </c>
      <c r="F1259" s="28" t="s">
        <v>864</v>
      </c>
      <c r="G1259" s="28" t="s">
        <v>162</v>
      </c>
      <c r="H1259" s="13">
        <v>8</v>
      </c>
      <c r="I1259" s="12" t="s">
        <v>24390</v>
      </c>
      <c r="J1259" s="12" t="s">
        <v>44025</v>
      </c>
      <c r="K1259" s="12" t="s">
        <v>44026</v>
      </c>
      <c r="L1259" s="12" t="s">
        <v>38299</v>
      </c>
      <c r="M1259" s="12" t="s">
        <v>42317</v>
      </c>
      <c r="N1259" s="12" t="s">
        <v>44027</v>
      </c>
      <c r="O1259" s="12" t="s">
        <v>44028</v>
      </c>
      <c r="P1259" s="12" t="s">
        <v>44029</v>
      </c>
      <c r="Q1259" s="12" t="s">
        <v>44030</v>
      </c>
      <c r="R1259" s="12"/>
      <c r="S1259" s="12"/>
      <c r="T1259" s="12"/>
      <c r="U1259" s="12"/>
      <c r="V1259" s="12"/>
      <c r="W1259" s="12"/>
      <c r="X1259" s="12"/>
      <c r="Y1259" s="12"/>
      <c r="Z1259" s="12"/>
      <c r="AA1259" s="12"/>
      <c r="AB1259" s="12"/>
      <c r="AC1259" s="12"/>
      <c r="AD1259" s="12"/>
      <c r="AE1259" s="12"/>
      <c r="AF1259" s="12"/>
      <c r="AG1259" s="12"/>
      <c r="AH1259" s="12"/>
      <c r="AI1259" s="12"/>
      <c r="AJ1259" s="12"/>
      <c r="AK1259" s="12"/>
      <c r="AL1259" s="12"/>
      <c r="AM1259" s="12"/>
      <c r="AN1259" s="12"/>
      <c r="AO1259" s="12"/>
      <c r="AP1259" s="12"/>
      <c r="AQ1259" s="12"/>
      <c r="AR1259" s="12"/>
      <c r="AS1259" s="12"/>
      <c r="AT1259" s="12"/>
      <c r="AU1259" s="12"/>
      <c r="AV1259" s="12"/>
      <c r="AW1259" s="12"/>
      <c r="AX1259" s="12"/>
      <c r="AY1259" s="12"/>
      <c r="AZ1259" s="12"/>
      <c r="BA1259" s="12"/>
      <c r="BB1259" s="12"/>
      <c r="BC1259" s="12"/>
      <c r="BD1259" s="12"/>
      <c r="BE1259" s="12"/>
      <c r="BF1259" s="12"/>
      <c r="BG1259" s="12"/>
      <c r="BH1259" s="12"/>
      <c r="BI1259" s="12"/>
      <c r="BJ1259" s="12"/>
      <c r="BK1259" s="12"/>
      <c r="BL1259" s="12"/>
      <c r="BM1259" s="12"/>
      <c r="BN1259" s="12"/>
      <c r="BO1259" s="12"/>
      <c r="BP1259" s="12"/>
      <c r="BQ1259" s="12"/>
      <c r="BR1259" s="12"/>
      <c r="BS1259" s="12"/>
      <c r="BT1259" s="12"/>
    </row>
    <row r="1260" spans="1:72">
      <c r="A1260" s="2" t="s">
        <v>24396</v>
      </c>
      <c r="B1260" s="5" t="s">
        <v>24400</v>
      </c>
      <c r="C1260" s="3" t="s">
        <v>138</v>
      </c>
      <c r="D1260" s="4" t="s">
        <v>138</v>
      </c>
      <c r="E1260" s="15" t="s">
        <v>668</v>
      </c>
      <c r="F1260" s="15" t="s">
        <v>200</v>
      </c>
      <c r="G1260" s="15" t="s">
        <v>162</v>
      </c>
      <c r="H1260" s="7">
        <v>6</v>
      </c>
      <c r="I1260" s="6" t="s">
        <v>24411</v>
      </c>
      <c r="J1260" s="6" t="s">
        <v>44031</v>
      </c>
      <c r="K1260" s="6" t="s">
        <v>41323</v>
      </c>
      <c r="L1260" s="6" t="s">
        <v>38299</v>
      </c>
      <c r="M1260" s="6" t="s">
        <v>44032</v>
      </c>
      <c r="N1260" s="6" t="s">
        <v>37851</v>
      </c>
      <c r="O1260" s="6" t="s">
        <v>37787</v>
      </c>
      <c r="P1260" s="6"/>
      <c r="Q1260" s="6"/>
      <c r="R1260" s="6"/>
      <c r="S1260" s="6"/>
      <c r="T1260" s="6"/>
      <c r="U1260" s="6"/>
      <c r="V1260" s="6"/>
      <c r="W1260" s="6"/>
      <c r="X1260" s="6"/>
      <c r="Y1260" s="6"/>
      <c r="Z1260" s="6"/>
      <c r="AA1260" s="6"/>
      <c r="AB1260" s="6"/>
      <c r="AC1260" s="6"/>
      <c r="AD1260" s="6"/>
      <c r="AE1260" s="6"/>
      <c r="AF1260" s="6"/>
      <c r="AG1260" s="6"/>
      <c r="AH1260" s="6"/>
      <c r="AI1260" s="6"/>
      <c r="AJ1260" s="6"/>
      <c r="AK1260" s="6"/>
      <c r="AL1260" s="6"/>
      <c r="AM1260" s="6"/>
      <c r="AN1260" s="6"/>
      <c r="AO1260" s="6"/>
      <c r="AP1260" s="6"/>
      <c r="AQ1260" s="6"/>
      <c r="AR1260" s="6"/>
      <c r="AS1260" s="6"/>
      <c r="AT1260" s="6"/>
      <c r="AU1260" s="6"/>
      <c r="AV1260" s="6"/>
      <c r="AW1260" s="6"/>
      <c r="AX1260" s="6"/>
      <c r="AY1260" s="6"/>
      <c r="AZ1260" s="6"/>
      <c r="BA1260" s="6"/>
      <c r="BB1260" s="6"/>
      <c r="BC1260" s="6"/>
      <c r="BD1260" s="6"/>
      <c r="BE1260" s="6"/>
      <c r="BF1260" s="6"/>
      <c r="BG1260" s="6"/>
      <c r="BH1260" s="6"/>
      <c r="BI1260" s="6"/>
      <c r="BJ1260" s="6"/>
      <c r="BK1260" s="6"/>
      <c r="BL1260" s="6"/>
      <c r="BM1260" s="6"/>
      <c r="BN1260" s="6"/>
      <c r="BO1260" s="6"/>
      <c r="BP1260" s="6"/>
      <c r="BQ1260" s="6"/>
      <c r="BR1260" s="6"/>
      <c r="BS1260" s="6"/>
      <c r="BT1260" s="6"/>
    </row>
    <row r="1261" spans="1:72">
      <c r="A1261" s="8" t="s">
        <v>24414</v>
      </c>
      <c r="B1261" s="11" t="s">
        <v>24418</v>
      </c>
      <c r="C1261" s="9" t="s">
        <v>138</v>
      </c>
      <c r="D1261" s="10" t="s">
        <v>138</v>
      </c>
      <c r="E1261" s="28" t="s">
        <v>426</v>
      </c>
      <c r="F1261" s="28" t="s">
        <v>426</v>
      </c>
      <c r="G1261" s="28" t="s">
        <v>162</v>
      </c>
      <c r="H1261" s="13">
        <v>4</v>
      </c>
      <c r="I1261" s="12" t="s">
        <v>24426</v>
      </c>
      <c r="J1261" s="12" t="s">
        <v>38783</v>
      </c>
      <c r="K1261" s="12" t="s">
        <v>38463</v>
      </c>
      <c r="L1261" s="12" t="s">
        <v>44033</v>
      </c>
      <c r="M1261" s="12" t="s">
        <v>43141</v>
      </c>
      <c r="N1261" s="12"/>
      <c r="O1261" s="12"/>
      <c r="P1261" s="12"/>
      <c r="Q1261" s="12"/>
      <c r="R1261" s="12"/>
      <c r="S1261" s="12"/>
      <c r="T1261" s="12"/>
      <c r="U1261" s="12"/>
      <c r="V1261" s="12"/>
      <c r="W1261" s="12"/>
      <c r="X1261" s="12"/>
      <c r="Y1261" s="12"/>
      <c r="Z1261" s="12"/>
      <c r="AA1261" s="12"/>
      <c r="AB1261" s="12"/>
      <c r="AC1261" s="12"/>
      <c r="AD1261" s="12"/>
      <c r="AE1261" s="12"/>
      <c r="AF1261" s="12"/>
      <c r="AG1261" s="12"/>
      <c r="AH1261" s="12"/>
      <c r="AI1261" s="12"/>
      <c r="AJ1261" s="12"/>
      <c r="AK1261" s="12"/>
      <c r="AL1261" s="12"/>
      <c r="AM1261" s="12"/>
      <c r="AN1261" s="12"/>
      <c r="AO1261" s="12"/>
      <c r="AP1261" s="12"/>
      <c r="AQ1261" s="12"/>
      <c r="AR1261" s="12"/>
      <c r="AS1261" s="12"/>
      <c r="AT1261" s="12"/>
      <c r="AU1261" s="12"/>
      <c r="AV1261" s="12"/>
      <c r="AW1261" s="12"/>
      <c r="AX1261" s="12"/>
      <c r="AY1261" s="12"/>
      <c r="AZ1261" s="12"/>
      <c r="BA1261" s="12"/>
      <c r="BB1261" s="12"/>
      <c r="BC1261" s="12"/>
      <c r="BD1261" s="12"/>
      <c r="BE1261" s="12"/>
      <c r="BF1261" s="12"/>
      <c r="BG1261" s="12"/>
      <c r="BH1261" s="12"/>
      <c r="BI1261" s="12"/>
      <c r="BJ1261" s="12"/>
      <c r="BK1261" s="12"/>
      <c r="BL1261" s="12"/>
      <c r="BM1261" s="12"/>
      <c r="BN1261" s="12"/>
      <c r="BO1261" s="12"/>
      <c r="BP1261" s="12"/>
      <c r="BQ1261" s="12"/>
      <c r="BR1261" s="12"/>
      <c r="BS1261" s="12"/>
      <c r="BT1261" s="12"/>
    </row>
    <row r="1262" spans="1:72">
      <c r="A1262" s="2" t="s">
        <v>24431</v>
      </c>
      <c r="B1262" s="5" t="s">
        <v>24437</v>
      </c>
      <c r="C1262" s="3" t="s">
        <v>138</v>
      </c>
      <c r="D1262" s="4" t="s">
        <v>24432</v>
      </c>
      <c r="E1262" s="15" t="s">
        <v>3139</v>
      </c>
      <c r="F1262" s="15" t="s">
        <v>3140</v>
      </c>
      <c r="G1262" s="15" t="s">
        <v>162</v>
      </c>
      <c r="H1262" s="7">
        <v>3</v>
      </c>
      <c r="I1262" s="6" t="s">
        <v>24446</v>
      </c>
      <c r="J1262" s="6" t="s">
        <v>44034</v>
      </c>
      <c r="K1262" s="6" t="s">
        <v>38841</v>
      </c>
      <c r="L1262" s="6" t="s">
        <v>44035</v>
      </c>
      <c r="M1262" s="6"/>
      <c r="N1262" s="6"/>
      <c r="O1262" s="6"/>
      <c r="P1262" s="6"/>
      <c r="Q1262" s="6"/>
      <c r="R1262" s="6"/>
      <c r="S1262" s="6"/>
      <c r="T1262" s="6"/>
      <c r="U1262" s="6"/>
      <c r="V1262" s="6"/>
      <c r="W1262" s="6"/>
      <c r="X1262" s="6"/>
      <c r="Y1262" s="6"/>
      <c r="Z1262" s="6"/>
      <c r="AA1262" s="6"/>
      <c r="AB1262" s="6"/>
      <c r="AC1262" s="6"/>
      <c r="AD1262" s="6"/>
      <c r="AE1262" s="6"/>
      <c r="AF1262" s="6"/>
      <c r="AG1262" s="6"/>
      <c r="AH1262" s="6"/>
      <c r="AI1262" s="6"/>
      <c r="AJ1262" s="6"/>
      <c r="AK1262" s="6"/>
      <c r="AL1262" s="6"/>
      <c r="AM1262" s="6"/>
      <c r="AN1262" s="6"/>
      <c r="AO1262" s="6"/>
      <c r="AP1262" s="6"/>
      <c r="AQ1262" s="6"/>
      <c r="AR1262" s="6"/>
      <c r="AS1262" s="6"/>
      <c r="AT1262" s="6"/>
      <c r="AU1262" s="6"/>
      <c r="AV1262" s="6"/>
      <c r="AW1262" s="6"/>
      <c r="AX1262" s="6"/>
      <c r="AY1262" s="6"/>
      <c r="AZ1262" s="6"/>
      <c r="BA1262" s="6"/>
      <c r="BB1262" s="6"/>
      <c r="BC1262" s="6"/>
      <c r="BD1262" s="6"/>
      <c r="BE1262" s="6"/>
      <c r="BF1262" s="6"/>
      <c r="BG1262" s="6"/>
      <c r="BH1262" s="6"/>
      <c r="BI1262" s="6"/>
      <c r="BJ1262" s="6"/>
      <c r="BK1262" s="6"/>
      <c r="BL1262" s="6"/>
      <c r="BM1262" s="6"/>
      <c r="BN1262" s="6"/>
      <c r="BO1262" s="6"/>
      <c r="BP1262" s="6"/>
      <c r="BQ1262" s="6"/>
      <c r="BR1262" s="6"/>
      <c r="BS1262" s="6"/>
      <c r="BT1262" s="6"/>
    </row>
    <row r="1263" spans="1:72">
      <c r="A1263" s="8" t="s">
        <v>24449</v>
      </c>
      <c r="B1263" s="11" t="s">
        <v>24454</v>
      </c>
      <c r="C1263" s="9" t="s">
        <v>138</v>
      </c>
      <c r="D1263" s="10" t="s">
        <v>138</v>
      </c>
      <c r="E1263" s="28" t="s">
        <v>863</v>
      </c>
      <c r="F1263" s="28" t="s">
        <v>864</v>
      </c>
      <c r="G1263" s="28" t="s">
        <v>162</v>
      </c>
      <c r="H1263" s="13">
        <v>19</v>
      </c>
      <c r="I1263" s="12" t="s">
        <v>24466</v>
      </c>
      <c r="J1263" s="12" t="s">
        <v>41778</v>
      </c>
      <c r="K1263" s="12" t="s">
        <v>44036</v>
      </c>
      <c r="L1263" s="12" t="s">
        <v>44037</v>
      </c>
      <c r="M1263" s="12" t="s">
        <v>44038</v>
      </c>
      <c r="N1263" s="12" t="s">
        <v>38076</v>
      </c>
      <c r="O1263" s="12" t="s">
        <v>44039</v>
      </c>
      <c r="P1263" s="12" t="s">
        <v>40189</v>
      </c>
      <c r="Q1263" s="12" t="s">
        <v>39463</v>
      </c>
      <c r="R1263" s="12" t="s">
        <v>37960</v>
      </c>
      <c r="S1263" s="12" t="s">
        <v>38062</v>
      </c>
      <c r="T1263" s="12" t="s">
        <v>44040</v>
      </c>
      <c r="U1263" s="12" t="s">
        <v>44041</v>
      </c>
      <c r="V1263" s="12" t="s">
        <v>38321</v>
      </c>
      <c r="W1263" s="12" t="s">
        <v>44042</v>
      </c>
      <c r="X1263" s="12" t="s">
        <v>44043</v>
      </c>
      <c r="Y1263" s="12" t="s">
        <v>39351</v>
      </c>
      <c r="Z1263" s="12" t="s">
        <v>44044</v>
      </c>
      <c r="AA1263" s="12" t="s">
        <v>38460</v>
      </c>
      <c r="AB1263" s="12" t="s">
        <v>42206</v>
      </c>
      <c r="AC1263" s="12"/>
      <c r="AD1263" s="12"/>
      <c r="AE1263" s="12"/>
      <c r="AF1263" s="12"/>
      <c r="AG1263" s="12"/>
      <c r="AH1263" s="12"/>
      <c r="AI1263" s="12"/>
      <c r="AJ1263" s="12"/>
      <c r="AK1263" s="12"/>
      <c r="AL1263" s="12"/>
      <c r="AM1263" s="12"/>
      <c r="AN1263" s="12"/>
      <c r="AO1263" s="12"/>
      <c r="AP1263" s="12"/>
      <c r="AQ1263" s="12"/>
      <c r="AR1263" s="12"/>
      <c r="AS1263" s="12"/>
      <c r="AT1263" s="12"/>
      <c r="AU1263" s="12"/>
      <c r="AV1263" s="12"/>
      <c r="AW1263" s="12"/>
      <c r="AX1263" s="12"/>
      <c r="AY1263" s="12"/>
      <c r="AZ1263" s="12"/>
      <c r="BA1263" s="12"/>
      <c r="BB1263" s="12"/>
      <c r="BC1263" s="12"/>
      <c r="BD1263" s="12"/>
      <c r="BE1263" s="12"/>
      <c r="BF1263" s="12"/>
      <c r="BG1263" s="12"/>
      <c r="BH1263" s="12"/>
      <c r="BI1263" s="12"/>
      <c r="BJ1263" s="12"/>
      <c r="BK1263" s="12"/>
      <c r="BL1263" s="12"/>
      <c r="BM1263" s="12"/>
      <c r="BN1263" s="12"/>
      <c r="BO1263" s="12"/>
      <c r="BP1263" s="12"/>
      <c r="BQ1263" s="12"/>
      <c r="BR1263" s="12"/>
      <c r="BS1263" s="12"/>
      <c r="BT1263" s="12"/>
    </row>
    <row r="1264" spans="1:72">
      <c r="A1264" s="2" t="s">
        <v>24471</v>
      </c>
      <c r="B1264" s="5" t="s">
        <v>24477</v>
      </c>
      <c r="C1264" s="3" t="s">
        <v>138</v>
      </c>
      <c r="D1264" s="4" t="s">
        <v>24472</v>
      </c>
      <c r="E1264" s="15" t="s">
        <v>1460</v>
      </c>
      <c r="F1264" s="15" t="s">
        <v>474</v>
      </c>
      <c r="G1264" s="15" t="s">
        <v>162</v>
      </c>
      <c r="H1264" s="7">
        <v>9</v>
      </c>
      <c r="I1264" s="6" t="s">
        <v>24487</v>
      </c>
      <c r="J1264" s="6" t="s">
        <v>41711</v>
      </c>
      <c r="K1264" s="6" t="s">
        <v>40086</v>
      </c>
      <c r="L1264" s="6" t="s">
        <v>38802</v>
      </c>
      <c r="M1264" s="6" t="s">
        <v>38889</v>
      </c>
      <c r="N1264" s="6" t="s">
        <v>39307</v>
      </c>
      <c r="O1264" s="6" t="s">
        <v>44045</v>
      </c>
      <c r="P1264" s="6" t="s">
        <v>40762</v>
      </c>
      <c r="Q1264" s="6" t="s">
        <v>43810</v>
      </c>
      <c r="R1264" s="6" t="s">
        <v>43812</v>
      </c>
      <c r="S1264" s="6"/>
      <c r="T1264" s="6"/>
      <c r="U1264" s="6"/>
      <c r="V1264" s="6"/>
      <c r="W1264" s="6"/>
      <c r="X1264" s="6"/>
      <c r="Y1264" s="6"/>
      <c r="Z1264" s="6"/>
      <c r="AA1264" s="6"/>
      <c r="AB1264" s="6"/>
      <c r="AC1264" s="6"/>
      <c r="AD1264" s="6"/>
      <c r="AE1264" s="6"/>
      <c r="AF1264" s="6"/>
      <c r="AG1264" s="6"/>
      <c r="AH1264" s="6"/>
      <c r="AI1264" s="6"/>
      <c r="AJ1264" s="6"/>
      <c r="AK1264" s="6"/>
      <c r="AL1264" s="6"/>
      <c r="AM1264" s="6"/>
      <c r="AN1264" s="6"/>
      <c r="AO1264" s="6"/>
      <c r="AP1264" s="6"/>
      <c r="AQ1264" s="6"/>
      <c r="AR1264" s="6"/>
      <c r="AS1264" s="6"/>
      <c r="AT1264" s="6"/>
      <c r="AU1264" s="6"/>
      <c r="AV1264" s="6"/>
      <c r="AW1264" s="6"/>
      <c r="AX1264" s="6"/>
      <c r="AY1264" s="6"/>
      <c r="AZ1264" s="6"/>
      <c r="BA1264" s="6"/>
      <c r="BB1264" s="6"/>
      <c r="BC1264" s="6"/>
      <c r="BD1264" s="6"/>
      <c r="BE1264" s="6"/>
      <c r="BF1264" s="6"/>
      <c r="BG1264" s="6"/>
      <c r="BH1264" s="6"/>
      <c r="BI1264" s="6"/>
      <c r="BJ1264" s="6"/>
      <c r="BK1264" s="6"/>
      <c r="BL1264" s="6"/>
      <c r="BM1264" s="6"/>
      <c r="BN1264" s="6"/>
      <c r="BO1264" s="6"/>
      <c r="BP1264" s="6"/>
      <c r="BQ1264" s="6"/>
      <c r="BR1264" s="6"/>
      <c r="BS1264" s="6"/>
      <c r="BT1264" s="6"/>
    </row>
    <row r="1265" spans="1:72">
      <c r="A1265" s="8" t="s">
        <v>24492</v>
      </c>
      <c r="B1265" s="11" t="s">
        <v>24497</v>
      </c>
      <c r="C1265" s="9" t="s">
        <v>138</v>
      </c>
      <c r="D1265" s="10" t="s">
        <v>24493</v>
      </c>
      <c r="E1265" s="28" t="s">
        <v>24504</v>
      </c>
      <c r="F1265" s="28" t="s">
        <v>138</v>
      </c>
      <c r="G1265" s="28" t="s">
        <v>4444</v>
      </c>
      <c r="H1265" s="13">
        <v>5</v>
      </c>
      <c r="I1265" s="12" t="s">
        <v>24507</v>
      </c>
      <c r="J1265" s="12" t="s">
        <v>39462</v>
      </c>
      <c r="K1265" s="12" t="s">
        <v>42395</v>
      </c>
      <c r="L1265" s="12" t="s">
        <v>44046</v>
      </c>
      <c r="M1265" s="12" t="s">
        <v>42400</v>
      </c>
      <c r="N1265" s="12" t="s">
        <v>43408</v>
      </c>
      <c r="O1265" s="12"/>
      <c r="P1265" s="12"/>
      <c r="Q1265" s="12"/>
      <c r="R1265" s="12"/>
      <c r="S1265" s="12"/>
      <c r="T1265" s="12"/>
      <c r="U1265" s="12"/>
      <c r="V1265" s="12"/>
      <c r="W1265" s="12"/>
      <c r="X1265" s="12"/>
      <c r="Y1265" s="12"/>
      <c r="Z1265" s="12"/>
      <c r="AA1265" s="12"/>
      <c r="AB1265" s="12"/>
      <c r="AC1265" s="12"/>
      <c r="AD1265" s="12"/>
      <c r="AE1265" s="12"/>
      <c r="AF1265" s="12"/>
      <c r="AG1265" s="12"/>
      <c r="AH1265" s="12"/>
      <c r="AI1265" s="12"/>
      <c r="AJ1265" s="12"/>
      <c r="AK1265" s="12"/>
      <c r="AL1265" s="12"/>
      <c r="AM1265" s="12"/>
      <c r="AN1265" s="12"/>
      <c r="AO1265" s="12"/>
      <c r="AP1265" s="12"/>
      <c r="AQ1265" s="12"/>
      <c r="AR1265" s="12"/>
      <c r="AS1265" s="12"/>
      <c r="AT1265" s="12"/>
      <c r="AU1265" s="12"/>
      <c r="AV1265" s="12"/>
      <c r="AW1265" s="12"/>
      <c r="AX1265" s="12"/>
      <c r="AY1265" s="12"/>
      <c r="AZ1265" s="12"/>
      <c r="BA1265" s="12"/>
      <c r="BB1265" s="12"/>
      <c r="BC1265" s="12"/>
      <c r="BD1265" s="12"/>
      <c r="BE1265" s="12"/>
      <c r="BF1265" s="12"/>
      <c r="BG1265" s="12"/>
      <c r="BH1265" s="12"/>
      <c r="BI1265" s="12"/>
      <c r="BJ1265" s="12"/>
      <c r="BK1265" s="12"/>
      <c r="BL1265" s="12"/>
      <c r="BM1265" s="12"/>
      <c r="BN1265" s="12"/>
      <c r="BO1265" s="12"/>
      <c r="BP1265" s="12"/>
      <c r="BQ1265" s="12"/>
      <c r="BR1265" s="12"/>
      <c r="BS1265" s="12"/>
      <c r="BT1265" s="12"/>
    </row>
    <row r="1266" spans="1:72">
      <c r="A1266" s="2" t="s">
        <v>24510</v>
      </c>
      <c r="B1266" s="5" t="s">
        <v>24514</v>
      </c>
      <c r="C1266" s="3" t="s">
        <v>138</v>
      </c>
      <c r="D1266" s="4" t="s">
        <v>138</v>
      </c>
      <c r="E1266" s="15" t="s">
        <v>3330</v>
      </c>
      <c r="F1266" s="15" t="s">
        <v>200</v>
      </c>
      <c r="G1266" s="15" t="s">
        <v>162</v>
      </c>
      <c r="H1266" s="7">
        <v>12</v>
      </c>
      <c r="I1266" s="6" t="s">
        <v>24521</v>
      </c>
      <c r="J1266" s="6" t="s">
        <v>44047</v>
      </c>
      <c r="K1266" s="6" t="s">
        <v>44048</v>
      </c>
      <c r="L1266" s="6" t="s">
        <v>38365</v>
      </c>
      <c r="M1266" s="6" t="s">
        <v>44049</v>
      </c>
      <c r="N1266" s="6" t="s">
        <v>44050</v>
      </c>
      <c r="O1266" s="6" t="s">
        <v>44051</v>
      </c>
      <c r="P1266" s="6" t="s">
        <v>44052</v>
      </c>
      <c r="Q1266" s="6" t="s">
        <v>37822</v>
      </c>
      <c r="R1266" s="6" t="s">
        <v>44053</v>
      </c>
      <c r="S1266" s="6" t="s">
        <v>38049</v>
      </c>
      <c r="T1266" s="6" t="s">
        <v>44054</v>
      </c>
      <c r="U1266" s="6" t="s">
        <v>44055</v>
      </c>
      <c r="V1266" s="6"/>
      <c r="W1266" s="6"/>
      <c r="X1266" s="6"/>
      <c r="Y1266" s="6"/>
      <c r="Z1266" s="6"/>
      <c r="AA1266" s="6"/>
      <c r="AB1266" s="6"/>
      <c r="AC1266" s="6"/>
      <c r="AD1266" s="6"/>
      <c r="AE1266" s="6"/>
      <c r="AF1266" s="6"/>
      <c r="AG1266" s="6"/>
      <c r="AH1266" s="6"/>
      <c r="AI1266" s="6"/>
      <c r="AJ1266" s="6"/>
      <c r="AK1266" s="6"/>
      <c r="AL1266" s="6"/>
      <c r="AM1266" s="6"/>
      <c r="AN1266" s="6"/>
      <c r="AO1266" s="6"/>
      <c r="AP1266" s="6"/>
      <c r="AQ1266" s="6"/>
      <c r="AR1266" s="6"/>
      <c r="AS1266" s="6"/>
      <c r="AT1266" s="6"/>
      <c r="AU1266" s="6"/>
      <c r="AV1266" s="6"/>
      <c r="AW1266" s="6"/>
      <c r="AX1266" s="6"/>
      <c r="AY1266" s="6"/>
      <c r="AZ1266" s="6"/>
      <c r="BA1266" s="6"/>
      <c r="BB1266" s="6"/>
      <c r="BC1266" s="6"/>
      <c r="BD1266" s="6"/>
      <c r="BE1266" s="6"/>
      <c r="BF1266" s="6"/>
      <c r="BG1266" s="6"/>
      <c r="BH1266" s="6"/>
      <c r="BI1266" s="6"/>
      <c r="BJ1266" s="6"/>
      <c r="BK1266" s="6"/>
      <c r="BL1266" s="6"/>
      <c r="BM1266" s="6"/>
      <c r="BN1266" s="6"/>
      <c r="BO1266" s="6"/>
      <c r="BP1266" s="6"/>
      <c r="BQ1266" s="6"/>
      <c r="BR1266" s="6"/>
      <c r="BS1266" s="6"/>
      <c r="BT1266" s="6"/>
    </row>
    <row r="1267" spans="1:72">
      <c r="A1267" s="8" t="s">
        <v>24524</v>
      </c>
      <c r="B1267" s="11" t="s">
        <v>24529</v>
      </c>
      <c r="C1267" s="9" t="s">
        <v>138</v>
      </c>
      <c r="D1267" s="10" t="s">
        <v>138</v>
      </c>
      <c r="E1267" s="28" t="s">
        <v>24537</v>
      </c>
      <c r="F1267" s="28" t="s">
        <v>824</v>
      </c>
      <c r="G1267" s="28" t="s">
        <v>526</v>
      </c>
      <c r="H1267" s="13">
        <v>23</v>
      </c>
      <c r="I1267" s="12" t="s">
        <v>24541</v>
      </c>
      <c r="J1267" s="12" t="s">
        <v>40605</v>
      </c>
      <c r="K1267" s="12" t="s">
        <v>40195</v>
      </c>
      <c r="L1267" s="12" t="s">
        <v>37795</v>
      </c>
      <c r="M1267" s="12" t="s">
        <v>38987</v>
      </c>
      <c r="N1267" s="12" t="s">
        <v>38230</v>
      </c>
      <c r="O1267" s="12" t="s">
        <v>42624</v>
      </c>
      <c r="P1267" s="12" t="s">
        <v>42495</v>
      </c>
      <c r="Q1267" s="12" t="s">
        <v>38931</v>
      </c>
      <c r="R1267" s="12" t="s">
        <v>42625</v>
      </c>
      <c r="S1267" s="12" t="s">
        <v>44056</v>
      </c>
      <c r="T1267" s="12" t="s">
        <v>44057</v>
      </c>
      <c r="U1267" s="12" t="s">
        <v>44058</v>
      </c>
      <c r="V1267" s="12" t="s">
        <v>39739</v>
      </c>
      <c r="W1267" s="12" t="s">
        <v>44059</v>
      </c>
      <c r="X1267" s="12" t="s">
        <v>38082</v>
      </c>
      <c r="Y1267" s="12" t="s">
        <v>38085</v>
      </c>
      <c r="Z1267" s="12" t="s">
        <v>37770</v>
      </c>
      <c r="AA1267" s="12" t="s">
        <v>44060</v>
      </c>
      <c r="AB1267" s="12" t="s">
        <v>37805</v>
      </c>
      <c r="AC1267" s="12" t="s">
        <v>38668</v>
      </c>
      <c r="AD1267" s="12" t="s">
        <v>44061</v>
      </c>
      <c r="AE1267" s="12" t="s">
        <v>44062</v>
      </c>
      <c r="AF1267" s="12" t="s">
        <v>44063</v>
      </c>
      <c r="AG1267" s="12"/>
      <c r="AH1267" s="12"/>
      <c r="AI1267" s="12"/>
      <c r="AJ1267" s="12"/>
      <c r="AK1267" s="12"/>
      <c r="AL1267" s="12"/>
      <c r="AM1267" s="12"/>
      <c r="AN1267" s="12"/>
      <c r="AO1267" s="12"/>
      <c r="AP1267" s="12"/>
      <c r="AQ1267" s="12"/>
      <c r="AR1267" s="12"/>
      <c r="AS1267" s="12"/>
      <c r="AT1267" s="12"/>
      <c r="AU1267" s="12"/>
      <c r="AV1267" s="12"/>
      <c r="AW1267" s="12"/>
      <c r="AX1267" s="12"/>
      <c r="AY1267" s="12"/>
      <c r="AZ1267" s="12"/>
      <c r="BA1267" s="12"/>
      <c r="BB1267" s="12"/>
      <c r="BC1267" s="12"/>
      <c r="BD1267" s="12"/>
      <c r="BE1267" s="12"/>
      <c r="BF1267" s="12"/>
      <c r="BG1267" s="12"/>
      <c r="BH1267" s="12"/>
      <c r="BI1267" s="12"/>
      <c r="BJ1267" s="12"/>
      <c r="BK1267" s="12"/>
      <c r="BL1267" s="12"/>
      <c r="BM1267" s="12"/>
      <c r="BN1267" s="12"/>
      <c r="BO1267" s="12"/>
      <c r="BP1267" s="12"/>
      <c r="BQ1267" s="12"/>
      <c r="BR1267" s="12"/>
      <c r="BS1267" s="12"/>
      <c r="BT1267" s="12"/>
    </row>
    <row r="1268" spans="1:72">
      <c r="A1268" s="2" t="s">
        <v>24546</v>
      </c>
      <c r="B1268" s="5" t="s">
        <v>24549</v>
      </c>
      <c r="C1268" s="3" t="s">
        <v>138</v>
      </c>
      <c r="D1268" s="4" t="s">
        <v>138</v>
      </c>
      <c r="E1268" s="15" t="s">
        <v>24557</v>
      </c>
      <c r="F1268" s="15" t="s">
        <v>138</v>
      </c>
      <c r="G1268" s="15" t="s">
        <v>2780</v>
      </c>
      <c r="H1268" s="7">
        <v>5</v>
      </c>
      <c r="I1268" s="6" t="s">
        <v>24561</v>
      </c>
      <c r="J1268" s="6" t="s">
        <v>44064</v>
      </c>
      <c r="K1268" s="6" t="s">
        <v>44065</v>
      </c>
      <c r="L1268" s="6" t="s">
        <v>39278</v>
      </c>
      <c r="M1268" s="6" t="s">
        <v>44066</v>
      </c>
      <c r="N1268" s="6" t="s">
        <v>44067</v>
      </c>
      <c r="O1268" s="6"/>
      <c r="P1268" s="6"/>
      <c r="Q1268" s="6"/>
      <c r="R1268" s="6"/>
      <c r="S1268" s="6"/>
      <c r="T1268" s="6"/>
      <c r="U1268" s="6"/>
      <c r="V1268" s="6"/>
      <c r="W1268" s="6"/>
      <c r="X1268" s="6"/>
      <c r="Y1268" s="6"/>
      <c r="Z1268" s="6"/>
      <c r="AA1268" s="6"/>
      <c r="AB1268" s="6"/>
      <c r="AC1268" s="6"/>
      <c r="AD1268" s="6"/>
      <c r="AE1268" s="6"/>
      <c r="AF1268" s="6"/>
      <c r="AG1268" s="6"/>
      <c r="AH1268" s="6"/>
      <c r="AI1268" s="6"/>
      <c r="AJ1268" s="6"/>
      <c r="AK1268" s="6"/>
      <c r="AL1268" s="6"/>
      <c r="AM1268" s="6"/>
      <c r="AN1268" s="6"/>
      <c r="AO1268" s="6"/>
      <c r="AP1268" s="6"/>
      <c r="AQ1268" s="6"/>
      <c r="AR1268" s="6"/>
      <c r="AS1268" s="6"/>
      <c r="AT1268" s="6"/>
      <c r="AU1268" s="6"/>
      <c r="AV1268" s="6"/>
      <c r="AW1268" s="6"/>
      <c r="AX1268" s="6"/>
      <c r="AY1268" s="6"/>
      <c r="AZ1268" s="6"/>
      <c r="BA1268" s="6"/>
      <c r="BB1268" s="6"/>
      <c r="BC1268" s="6"/>
      <c r="BD1268" s="6"/>
      <c r="BE1268" s="6"/>
      <c r="BF1268" s="6"/>
      <c r="BG1268" s="6"/>
      <c r="BH1268" s="6"/>
      <c r="BI1268" s="6"/>
      <c r="BJ1268" s="6"/>
      <c r="BK1268" s="6"/>
      <c r="BL1268" s="6"/>
      <c r="BM1268" s="6"/>
      <c r="BN1268" s="6"/>
      <c r="BO1268" s="6"/>
      <c r="BP1268" s="6"/>
      <c r="BQ1268" s="6"/>
      <c r="BR1268" s="6"/>
      <c r="BS1268" s="6"/>
      <c r="BT1268" s="6"/>
    </row>
    <row r="1269" spans="1:72">
      <c r="A1269" s="8" t="s">
        <v>24564</v>
      </c>
      <c r="B1269" s="11" t="s">
        <v>24570</v>
      </c>
      <c r="C1269" s="9" t="s">
        <v>24565</v>
      </c>
      <c r="D1269" s="10" t="s">
        <v>138</v>
      </c>
      <c r="E1269" s="28" t="s">
        <v>24578</v>
      </c>
      <c r="F1269" s="28" t="s">
        <v>426</v>
      </c>
      <c r="G1269" s="28" t="s">
        <v>162</v>
      </c>
      <c r="H1269" s="13">
        <v>6</v>
      </c>
      <c r="I1269" s="12" t="s">
        <v>24583</v>
      </c>
      <c r="J1269" s="12" t="s">
        <v>42065</v>
      </c>
      <c r="K1269" s="12" t="s">
        <v>38463</v>
      </c>
      <c r="L1269" s="12" t="s">
        <v>44068</v>
      </c>
      <c r="M1269" s="12" t="s">
        <v>40540</v>
      </c>
      <c r="N1269" s="12" t="s">
        <v>44069</v>
      </c>
      <c r="O1269" s="12" t="s">
        <v>44070</v>
      </c>
      <c r="P1269" s="12"/>
      <c r="Q1269" s="12"/>
      <c r="R1269" s="12"/>
      <c r="S1269" s="12"/>
      <c r="T1269" s="12"/>
      <c r="U1269" s="12"/>
      <c r="V1269" s="12"/>
      <c r="W1269" s="12"/>
      <c r="X1269" s="12"/>
      <c r="Y1269" s="12"/>
      <c r="Z1269" s="12"/>
      <c r="AA1269" s="12"/>
      <c r="AB1269" s="12"/>
      <c r="AC1269" s="12"/>
      <c r="AD1269" s="12"/>
      <c r="AE1269" s="12"/>
      <c r="AF1269" s="12"/>
      <c r="AG1269" s="12"/>
      <c r="AH1269" s="12"/>
      <c r="AI1269" s="12"/>
      <c r="AJ1269" s="12"/>
      <c r="AK1269" s="12"/>
      <c r="AL1269" s="12"/>
      <c r="AM1269" s="12"/>
      <c r="AN1269" s="12"/>
      <c r="AO1269" s="12"/>
      <c r="AP1269" s="12"/>
      <c r="AQ1269" s="12"/>
      <c r="AR1269" s="12"/>
      <c r="AS1269" s="12"/>
      <c r="AT1269" s="12"/>
      <c r="AU1269" s="12"/>
      <c r="AV1269" s="12"/>
      <c r="AW1269" s="12"/>
      <c r="AX1269" s="12"/>
      <c r="AY1269" s="12"/>
      <c r="AZ1269" s="12"/>
      <c r="BA1269" s="12"/>
      <c r="BB1269" s="12"/>
      <c r="BC1269" s="12"/>
      <c r="BD1269" s="12"/>
      <c r="BE1269" s="12"/>
      <c r="BF1269" s="12"/>
      <c r="BG1269" s="12"/>
      <c r="BH1269" s="12"/>
      <c r="BI1269" s="12"/>
      <c r="BJ1269" s="12"/>
      <c r="BK1269" s="12"/>
      <c r="BL1269" s="12"/>
      <c r="BM1269" s="12"/>
      <c r="BN1269" s="12"/>
      <c r="BO1269" s="12"/>
      <c r="BP1269" s="12"/>
      <c r="BQ1269" s="12"/>
      <c r="BR1269" s="12"/>
      <c r="BS1269" s="12"/>
      <c r="BT1269" s="12"/>
    </row>
    <row r="1270" spans="1:72">
      <c r="A1270" s="2" t="s">
        <v>24587</v>
      </c>
      <c r="B1270" s="5" t="s">
        <v>24591</v>
      </c>
      <c r="C1270" s="3" t="s">
        <v>138</v>
      </c>
      <c r="D1270" s="4" t="s">
        <v>138</v>
      </c>
      <c r="E1270" s="15" t="s">
        <v>1516</v>
      </c>
      <c r="F1270" s="15" t="s">
        <v>284</v>
      </c>
      <c r="G1270" s="15" t="s">
        <v>162</v>
      </c>
      <c r="H1270" s="7">
        <v>4</v>
      </c>
      <c r="I1270" s="6" t="s">
        <v>24596</v>
      </c>
      <c r="J1270" s="6" t="s">
        <v>39441</v>
      </c>
      <c r="K1270" s="6" t="s">
        <v>39573</v>
      </c>
      <c r="L1270" s="6" t="s">
        <v>38182</v>
      </c>
      <c r="M1270" s="6" t="s">
        <v>44071</v>
      </c>
      <c r="N1270" s="6"/>
      <c r="O1270" s="6"/>
      <c r="P1270" s="6"/>
      <c r="Q1270" s="6"/>
      <c r="R1270" s="6"/>
      <c r="S1270" s="6"/>
      <c r="T1270" s="6"/>
      <c r="U1270" s="6"/>
      <c r="V1270" s="6"/>
      <c r="W1270" s="6"/>
      <c r="X1270" s="6"/>
      <c r="Y1270" s="6"/>
      <c r="Z1270" s="6"/>
      <c r="AA1270" s="6"/>
      <c r="AB1270" s="6"/>
      <c r="AC1270" s="6"/>
      <c r="AD1270" s="6"/>
      <c r="AE1270" s="6"/>
      <c r="AF1270" s="6"/>
      <c r="AG1270" s="6"/>
      <c r="AH1270" s="6"/>
      <c r="AI1270" s="6"/>
      <c r="AJ1270" s="6"/>
      <c r="AK1270" s="6"/>
      <c r="AL1270" s="6"/>
      <c r="AM1270" s="6"/>
      <c r="AN1270" s="6"/>
      <c r="AO1270" s="6"/>
      <c r="AP1270" s="6"/>
      <c r="AQ1270" s="6"/>
      <c r="AR1270" s="6"/>
      <c r="AS1270" s="6"/>
      <c r="AT1270" s="6"/>
      <c r="AU1270" s="6"/>
      <c r="AV1270" s="6"/>
      <c r="AW1270" s="6"/>
      <c r="AX1270" s="6"/>
      <c r="AY1270" s="6"/>
      <c r="AZ1270" s="6"/>
      <c r="BA1270" s="6"/>
      <c r="BB1270" s="6"/>
      <c r="BC1270" s="6"/>
      <c r="BD1270" s="6"/>
      <c r="BE1270" s="6"/>
      <c r="BF1270" s="6"/>
      <c r="BG1270" s="6"/>
      <c r="BH1270" s="6"/>
      <c r="BI1270" s="6"/>
      <c r="BJ1270" s="6"/>
      <c r="BK1270" s="6"/>
      <c r="BL1270" s="6"/>
      <c r="BM1270" s="6"/>
      <c r="BN1270" s="6"/>
      <c r="BO1270" s="6"/>
      <c r="BP1270" s="6"/>
      <c r="BQ1270" s="6"/>
      <c r="BR1270" s="6"/>
      <c r="BS1270" s="6"/>
      <c r="BT1270" s="6"/>
    </row>
    <row r="1271" spans="1:72">
      <c r="A1271" s="8" t="s">
        <v>24599</v>
      </c>
      <c r="B1271" s="11" t="s">
        <v>24604</v>
      </c>
      <c r="C1271" s="9" t="s">
        <v>138</v>
      </c>
      <c r="D1271" s="10" t="s">
        <v>138</v>
      </c>
      <c r="E1271" s="28" t="s">
        <v>1246</v>
      </c>
      <c r="F1271" s="28" t="s">
        <v>200</v>
      </c>
      <c r="G1271" s="28" t="s">
        <v>162</v>
      </c>
      <c r="H1271" s="13">
        <v>14</v>
      </c>
      <c r="I1271" s="12" t="s">
        <v>24614</v>
      </c>
      <c r="J1271" s="12" t="s">
        <v>39462</v>
      </c>
      <c r="K1271" s="12" t="s">
        <v>44072</v>
      </c>
      <c r="L1271" s="12" t="s">
        <v>44073</v>
      </c>
      <c r="M1271" s="12" t="s">
        <v>38416</v>
      </c>
      <c r="N1271" s="12" t="s">
        <v>37798</v>
      </c>
      <c r="O1271" s="12" t="s">
        <v>44074</v>
      </c>
      <c r="P1271" s="12" t="s">
        <v>41786</v>
      </c>
      <c r="Q1271" s="12" t="s">
        <v>38419</v>
      </c>
      <c r="R1271" s="12" t="s">
        <v>40333</v>
      </c>
      <c r="S1271" s="12" t="s">
        <v>38948</v>
      </c>
      <c r="T1271" s="12" t="s">
        <v>37998</v>
      </c>
      <c r="U1271" s="12" t="s">
        <v>37889</v>
      </c>
      <c r="V1271" s="12" t="s">
        <v>44075</v>
      </c>
      <c r="W1271" s="12" t="s">
        <v>43227</v>
      </c>
      <c r="X1271" s="12"/>
      <c r="Y1271" s="12"/>
      <c r="Z1271" s="12"/>
      <c r="AA1271" s="12"/>
      <c r="AB1271" s="12"/>
      <c r="AC1271" s="12"/>
      <c r="AD1271" s="12"/>
      <c r="AE1271" s="12"/>
      <c r="AF1271" s="12"/>
      <c r="AG1271" s="12"/>
      <c r="AH1271" s="12"/>
      <c r="AI1271" s="12"/>
      <c r="AJ1271" s="12"/>
      <c r="AK1271" s="12"/>
      <c r="AL1271" s="12"/>
      <c r="AM1271" s="12"/>
      <c r="AN1271" s="12"/>
      <c r="AO1271" s="12"/>
      <c r="AP1271" s="12"/>
      <c r="AQ1271" s="12"/>
      <c r="AR1271" s="12"/>
      <c r="AS1271" s="12"/>
      <c r="AT1271" s="12"/>
      <c r="AU1271" s="12"/>
      <c r="AV1271" s="12"/>
      <c r="AW1271" s="12"/>
      <c r="AX1271" s="12"/>
      <c r="AY1271" s="12"/>
      <c r="AZ1271" s="12"/>
      <c r="BA1271" s="12"/>
      <c r="BB1271" s="12"/>
      <c r="BC1271" s="12"/>
      <c r="BD1271" s="12"/>
      <c r="BE1271" s="12"/>
      <c r="BF1271" s="12"/>
      <c r="BG1271" s="12"/>
      <c r="BH1271" s="12"/>
      <c r="BI1271" s="12"/>
      <c r="BJ1271" s="12"/>
      <c r="BK1271" s="12"/>
      <c r="BL1271" s="12"/>
      <c r="BM1271" s="12"/>
      <c r="BN1271" s="12"/>
      <c r="BO1271" s="12"/>
      <c r="BP1271" s="12"/>
      <c r="BQ1271" s="12"/>
      <c r="BR1271" s="12"/>
      <c r="BS1271" s="12"/>
      <c r="BT1271" s="12"/>
    </row>
    <row r="1272" spans="1:72">
      <c r="A1272" s="2" t="s">
        <v>24618</v>
      </c>
      <c r="B1272" s="5" t="s">
        <v>24622</v>
      </c>
      <c r="C1272" s="3" t="s">
        <v>138</v>
      </c>
      <c r="D1272" s="4" t="s">
        <v>24619</v>
      </c>
      <c r="E1272" s="15" t="s">
        <v>1872</v>
      </c>
      <c r="F1272" s="15" t="s">
        <v>200</v>
      </c>
      <c r="G1272" s="15" t="s">
        <v>162</v>
      </c>
      <c r="H1272" s="7">
        <v>6</v>
      </c>
      <c r="I1272" s="6" t="s">
        <v>24631</v>
      </c>
      <c r="J1272" s="6" t="s">
        <v>7802</v>
      </c>
      <c r="K1272" s="6" t="s">
        <v>43549</v>
      </c>
      <c r="L1272" s="6" t="s">
        <v>38476</v>
      </c>
      <c r="M1272" s="6" t="s">
        <v>40873</v>
      </c>
      <c r="N1272" s="6" t="s">
        <v>44076</v>
      </c>
      <c r="O1272" s="6" t="s">
        <v>44077</v>
      </c>
      <c r="P1272" s="6"/>
      <c r="Q1272" s="6"/>
      <c r="R1272" s="6"/>
      <c r="S1272" s="6"/>
      <c r="T1272" s="6"/>
      <c r="U1272" s="6"/>
      <c r="V1272" s="6"/>
      <c r="W1272" s="6"/>
      <c r="X1272" s="6"/>
      <c r="Y1272" s="6"/>
      <c r="Z1272" s="6"/>
      <c r="AA1272" s="6"/>
      <c r="AB1272" s="6"/>
      <c r="AC1272" s="6"/>
      <c r="AD1272" s="6"/>
      <c r="AE1272" s="6"/>
      <c r="AF1272" s="6"/>
      <c r="AG1272" s="6"/>
      <c r="AH1272" s="6"/>
      <c r="AI1272" s="6"/>
      <c r="AJ1272" s="6"/>
      <c r="AK1272" s="6"/>
      <c r="AL1272" s="6"/>
      <c r="AM1272" s="6"/>
      <c r="AN1272" s="6"/>
      <c r="AO1272" s="6"/>
      <c r="AP1272" s="6"/>
      <c r="AQ1272" s="6"/>
      <c r="AR1272" s="6"/>
      <c r="AS1272" s="6"/>
      <c r="AT1272" s="6"/>
      <c r="AU1272" s="6"/>
      <c r="AV1272" s="6"/>
      <c r="AW1272" s="6"/>
      <c r="AX1272" s="6"/>
      <c r="AY1272" s="6"/>
      <c r="AZ1272" s="6"/>
      <c r="BA1272" s="6"/>
      <c r="BB1272" s="6"/>
      <c r="BC1272" s="6"/>
      <c r="BD1272" s="6"/>
      <c r="BE1272" s="6"/>
      <c r="BF1272" s="6"/>
      <c r="BG1272" s="6"/>
      <c r="BH1272" s="6"/>
      <c r="BI1272" s="6"/>
      <c r="BJ1272" s="6"/>
      <c r="BK1272" s="6"/>
      <c r="BL1272" s="6"/>
      <c r="BM1272" s="6"/>
      <c r="BN1272" s="6"/>
      <c r="BO1272" s="6"/>
      <c r="BP1272" s="6"/>
      <c r="BQ1272" s="6"/>
      <c r="BR1272" s="6"/>
      <c r="BS1272" s="6"/>
      <c r="BT1272" s="6"/>
    </row>
    <row r="1273" spans="1:72">
      <c r="A1273" s="8" t="s">
        <v>24634</v>
      </c>
      <c r="B1273" s="11" t="s">
        <v>24640</v>
      </c>
      <c r="C1273" s="9" t="s">
        <v>138</v>
      </c>
      <c r="D1273" s="10" t="s">
        <v>138</v>
      </c>
      <c r="E1273" s="28" t="s">
        <v>17667</v>
      </c>
      <c r="F1273" s="28" t="s">
        <v>339</v>
      </c>
      <c r="G1273" s="28" t="s">
        <v>162</v>
      </c>
      <c r="H1273" s="13">
        <v>4</v>
      </c>
      <c r="I1273" s="12" t="s">
        <v>24648</v>
      </c>
      <c r="J1273" s="12" t="s">
        <v>37811</v>
      </c>
      <c r="K1273" s="12" t="s">
        <v>44078</v>
      </c>
      <c r="L1273" s="12" t="s">
        <v>37781</v>
      </c>
      <c r="M1273" s="12" t="s">
        <v>40379</v>
      </c>
      <c r="N1273" s="12"/>
      <c r="O1273" s="12"/>
      <c r="P1273" s="12"/>
      <c r="Q1273" s="12"/>
      <c r="R1273" s="12"/>
      <c r="S1273" s="12"/>
      <c r="T1273" s="12"/>
      <c r="U1273" s="12"/>
      <c r="V1273" s="12"/>
      <c r="W1273" s="12"/>
      <c r="X1273" s="12"/>
      <c r="Y1273" s="12"/>
      <c r="Z1273" s="12"/>
      <c r="AA1273" s="12"/>
      <c r="AB1273" s="12"/>
      <c r="AC1273" s="12"/>
      <c r="AD1273" s="12"/>
      <c r="AE1273" s="12"/>
      <c r="AF1273" s="12"/>
      <c r="AG1273" s="12"/>
      <c r="AH1273" s="12"/>
      <c r="AI1273" s="12"/>
      <c r="AJ1273" s="12"/>
      <c r="AK1273" s="12"/>
      <c r="AL1273" s="12"/>
      <c r="AM1273" s="12"/>
      <c r="AN1273" s="12"/>
      <c r="AO1273" s="12"/>
      <c r="AP1273" s="12"/>
      <c r="AQ1273" s="12"/>
      <c r="AR1273" s="12"/>
      <c r="AS1273" s="12"/>
      <c r="AT1273" s="12"/>
      <c r="AU1273" s="12"/>
      <c r="AV1273" s="12"/>
      <c r="AW1273" s="12"/>
      <c r="AX1273" s="12"/>
      <c r="AY1273" s="12"/>
      <c r="AZ1273" s="12"/>
      <c r="BA1273" s="12"/>
      <c r="BB1273" s="12"/>
      <c r="BC1273" s="12"/>
      <c r="BD1273" s="12"/>
      <c r="BE1273" s="12"/>
      <c r="BF1273" s="12"/>
      <c r="BG1273" s="12"/>
      <c r="BH1273" s="12"/>
      <c r="BI1273" s="12"/>
      <c r="BJ1273" s="12"/>
      <c r="BK1273" s="12"/>
      <c r="BL1273" s="12"/>
      <c r="BM1273" s="12"/>
      <c r="BN1273" s="12"/>
      <c r="BO1273" s="12"/>
      <c r="BP1273" s="12"/>
      <c r="BQ1273" s="12"/>
      <c r="BR1273" s="12"/>
      <c r="BS1273" s="12"/>
      <c r="BT1273" s="12"/>
    </row>
    <row r="1274" spans="1:72">
      <c r="A1274" s="2" t="s">
        <v>24652</v>
      </c>
      <c r="B1274" s="5" t="s">
        <v>24658</v>
      </c>
      <c r="C1274" s="3" t="s">
        <v>138</v>
      </c>
      <c r="D1274" s="4" t="s">
        <v>24653</v>
      </c>
      <c r="E1274" s="15" t="s">
        <v>823</v>
      </c>
      <c r="F1274" s="15" t="s">
        <v>824</v>
      </c>
      <c r="G1274" s="15" t="s">
        <v>526</v>
      </c>
      <c r="H1274" s="7">
        <v>10</v>
      </c>
      <c r="I1274" s="6" t="s">
        <v>24667</v>
      </c>
      <c r="J1274" s="6" t="s">
        <v>44079</v>
      </c>
      <c r="K1274" s="6" t="s">
        <v>44080</v>
      </c>
      <c r="L1274" s="6" t="s">
        <v>44081</v>
      </c>
      <c r="M1274" s="6" t="s">
        <v>44082</v>
      </c>
      <c r="N1274" s="6" t="s">
        <v>44083</v>
      </c>
      <c r="O1274" s="6" t="s">
        <v>39724</v>
      </c>
      <c r="P1274" s="6" t="s">
        <v>44084</v>
      </c>
      <c r="Q1274" s="6" t="s">
        <v>44085</v>
      </c>
      <c r="R1274" s="6" t="s">
        <v>37781</v>
      </c>
      <c r="S1274" s="6" t="s">
        <v>44086</v>
      </c>
      <c r="T1274" s="6"/>
      <c r="U1274" s="6"/>
      <c r="V1274" s="6"/>
      <c r="W1274" s="6"/>
      <c r="X1274" s="6"/>
      <c r="Y1274" s="6"/>
      <c r="Z1274" s="6"/>
      <c r="AA1274" s="6"/>
      <c r="AB1274" s="6"/>
      <c r="AC1274" s="6"/>
      <c r="AD1274" s="6"/>
      <c r="AE1274" s="6"/>
      <c r="AF1274" s="6"/>
      <c r="AG1274" s="6"/>
      <c r="AH1274" s="6"/>
      <c r="AI1274" s="6"/>
      <c r="AJ1274" s="6"/>
      <c r="AK1274" s="6"/>
      <c r="AL1274" s="6"/>
      <c r="AM1274" s="6"/>
      <c r="AN1274" s="6"/>
      <c r="AO1274" s="6"/>
      <c r="AP1274" s="6"/>
      <c r="AQ1274" s="6"/>
      <c r="AR1274" s="6"/>
      <c r="AS1274" s="6"/>
      <c r="AT1274" s="6"/>
      <c r="AU1274" s="6"/>
      <c r="AV1274" s="6"/>
      <c r="AW1274" s="6"/>
      <c r="AX1274" s="6"/>
      <c r="AY1274" s="6"/>
      <c r="AZ1274" s="6"/>
      <c r="BA1274" s="6"/>
      <c r="BB1274" s="6"/>
      <c r="BC1274" s="6"/>
      <c r="BD1274" s="6"/>
      <c r="BE1274" s="6"/>
      <c r="BF1274" s="6"/>
      <c r="BG1274" s="6"/>
      <c r="BH1274" s="6"/>
      <c r="BI1274" s="6"/>
      <c r="BJ1274" s="6"/>
      <c r="BK1274" s="6"/>
      <c r="BL1274" s="6"/>
      <c r="BM1274" s="6"/>
      <c r="BN1274" s="6"/>
      <c r="BO1274" s="6"/>
      <c r="BP1274" s="6"/>
      <c r="BQ1274" s="6"/>
      <c r="BR1274" s="6"/>
      <c r="BS1274" s="6"/>
      <c r="BT1274" s="6"/>
    </row>
    <row r="1275" spans="1:72">
      <c r="A1275" s="8" t="s">
        <v>24670</v>
      </c>
      <c r="B1275" s="11" t="s">
        <v>24674</v>
      </c>
      <c r="C1275" s="9" t="s">
        <v>138</v>
      </c>
      <c r="D1275" s="10" t="s">
        <v>138</v>
      </c>
      <c r="E1275" s="28" t="s">
        <v>4604</v>
      </c>
      <c r="F1275" s="28" t="s">
        <v>138</v>
      </c>
      <c r="G1275" s="28" t="s">
        <v>2071</v>
      </c>
      <c r="H1275" s="13">
        <v>2</v>
      </c>
      <c r="I1275" s="12" t="s">
        <v>24679</v>
      </c>
      <c r="J1275" s="12" t="s">
        <v>44087</v>
      </c>
      <c r="K1275" s="12" t="s">
        <v>38200</v>
      </c>
      <c r="L1275" s="12"/>
      <c r="M1275" s="12"/>
      <c r="N1275" s="12"/>
      <c r="O1275" s="12"/>
      <c r="P1275" s="12"/>
      <c r="Q1275" s="12"/>
      <c r="R1275" s="12"/>
      <c r="S1275" s="12"/>
      <c r="T1275" s="12"/>
      <c r="U1275" s="12"/>
      <c r="V1275" s="12"/>
      <c r="W1275" s="12"/>
      <c r="X1275" s="12"/>
      <c r="Y1275" s="12"/>
      <c r="Z1275" s="12"/>
      <c r="AA1275" s="12"/>
      <c r="AB1275" s="12"/>
      <c r="AC1275" s="12"/>
      <c r="AD1275" s="12"/>
      <c r="AE1275" s="12"/>
      <c r="AF1275" s="12"/>
      <c r="AG1275" s="12"/>
      <c r="AH1275" s="12"/>
      <c r="AI1275" s="12"/>
      <c r="AJ1275" s="12"/>
      <c r="AK1275" s="12"/>
      <c r="AL1275" s="12"/>
      <c r="AM1275" s="12"/>
      <c r="AN1275" s="12"/>
      <c r="AO1275" s="12"/>
      <c r="AP1275" s="12"/>
      <c r="AQ1275" s="12"/>
      <c r="AR1275" s="12"/>
      <c r="AS1275" s="12"/>
      <c r="AT1275" s="12"/>
      <c r="AU1275" s="12"/>
      <c r="AV1275" s="12"/>
      <c r="AW1275" s="12"/>
      <c r="AX1275" s="12"/>
      <c r="AY1275" s="12"/>
      <c r="AZ1275" s="12"/>
      <c r="BA1275" s="12"/>
      <c r="BB1275" s="12"/>
      <c r="BC1275" s="12"/>
      <c r="BD1275" s="12"/>
      <c r="BE1275" s="12"/>
      <c r="BF1275" s="12"/>
      <c r="BG1275" s="12"/>
      <c r="BH1275" s="12"/>
      <c r="BI1275" s="12"/>
      <c r="BJ1275" s="12"/>
      <c r="BK1275" s="12"/>
      <c r="BL1275" s="12"/>
      <c r="BM1275" s="12"/>
      <c r="BN1275" s="12"/>
      <c r="BO1275" s="12"/>
      <c r="BP1275" s="12"/>
      <c r="BQ1275" s="12"/>
      <c r="BR1275" s="12"/>
      <c r="BS1275" s="12"/>
      <c r="BT1275" s="12"/>
    </row>
    <row r="1276" spans="1:72">
      <c r="A1276" s="2" t="s">
        <v>24682</v>
      </c>
      <c r="B1276" s="5" t="s">
        <v>24686</v>
      </c>
      <c r="C1276" s="3" t="s">
        <v>138</v>
      </c>
      <c r="D1276" s="4" t="s">
        <v>138</v>
      </c>
      <c r="E1276" s="15" t="s">
        <v>1198</v>
      </c>
      <c r="F1276" s="15" t="s">
        <v>138</v>
      </c>
      <c r="G1276" s="15" t="s">
        <v>1200</v>
      </c>
      <c r="H1276" s="7">
        <v>6</v>
      </c>
      <c r="I1276" s="6" t="s">
        <v>24693</v>
      </c>
      <c r="J1276" s="6" t="s">
        <v>44088</v>
      </c>
      <c r="K1276" s="6" t="s">
        <v>44089</v>
      </c>
      <c r="L1276" s="6" t="s">
        <v>38312</v>
      </c>
      <c r="M1276" s="6" t="s">
        <v>37781</v>
      </c>
      <c r="N1276" s="6" t="s">
        <v>38712</v>
      </c>
      <c r="O1276" s="6" t="s">
        <v>39197</v>
      </c>
      <c r="P1276" s="6"/>
      <c r="Q1276" s="6"/>
      <c r="R1276" s="6"/>
      <c r="S1276" s="6"/>
      <c r="T1276" s="6"/>
      <c r="U1276" s="6"/>
      <c r="V1276" s="6"/>
      <c r="W1276" s="6"/>
      <c r="X1276" s="6"/>
      <c r="Y1276" s="6"/>
      <c r="Z1276" s="6"/>
      <c r="AA1276" s="6"/>
      <c r="AB1276" s="6"/>
      <c r="AC1276" s="6"/>
      <c r="AD1276" s="6"/>
      <c r="AE1276" s="6"/>
      <c r="AF1276" s="6"/>
      <c r="AG1276" s="6"/>
      <c r="AH1276" s="6"/>
      <c r="AI1276" s="6"/>
      <c r="AJ1276" s="6"/>
      <c r="AK1276" s="6"/>
      <c r="AL1276" s="6"/>
      <c r="AM1276" s="6"/>
      <c r="AN1276" s="6"/>
      <c r="AO1276" s="6"/>
      <c r="AP1276" s="6"/>
      <c r="AQ1276" s="6"/>
      <c r="AR1276" s="6"/>
      <c r="AS1276" s="6"/>
      <c r="AT1276" s="6"/>
      <c r="AU1276" s="6"/>
      <c r="AV1276" s="6"/>
      <c r="AW1276" s="6"/>
      <c r="AX1276" s="6"/>
      <c r="AY1276" s="6"/>
      <c r="AZ1276" s="6"/>
      <c r="BA1276" s="6"/>
      <c r="BB1276" s="6"/>
      <c r="BC1276" s="6"/>
      <c r="BD1276" s="6"/>
      <c r="BE1276" s="6"/>
      <c r="BF1276" s="6"/>
      <c r="BG1276" s="6"/>
      <c r="BH1276" s="6"/>
      <c r="BI1276" s="6"/>
      <c r="BJ1276" s="6"/>
      <c r="BK1276" s="6"/>
      <c r="BL1276" s="6"/>
      <c r="BM1276" s="6"/>
      <c r="BN1276" s="6"/>
      <c r="BO1276" s="6"/>
      <c r="BP1276" s="6"/>
      <c r="BQ1276" s="6"/>
      <c r="BR1276" s="6"/>
      <c r="BS1276" s="6"/>
      <c r="BT1276" s="6"/>
    </row>
    <row r="1277" spans="1:72">
      <c r="A1277" s="8" t="s">
        <v>24696</v>
      </c>
      <c r="B1277" s="11" t="s">
        <v>24700</v>
      </c>
      <c r="C1277" s="9" t="s">
        <v>138</v>
      </c>
      <c r="D1277" s="10" t="s">
        <v>138</v>
      </c>
      <c r="E1277" s="28" t="s">
        <v>6232</v>
      </c>
      <c r="F1277" s="28" t="s">
        <v>371</v>
      </c>
      <c r="G1277" s="28" t="s">
        <v>162</v>
      </c>
      <c r="H1277" s="13">
        <v>4</v>
      </c>
      <c r="I1277" s="12" t="s">
        <v>24710</v>
      </c>
      <c r="J1277" s="12">
        <v>301</v>
      </c>
      <c r="K1277" s="12" t="s">
        <v>38011</v>
      </c>
      <c r="L1277" s="12" t="s">
        <v>38723</v>
      </c>
      <c r="M1277" s="12" t="s">
        <v>44090</v>
      </c>
      <c r="N1277" s="12"/>
      <c r="O1277" s="12"/>
      <c r="P1277" s="12"/>
      <c r="Q1277" s="12"/>
      <c r="R1277" s="12"/>
      <c r="S1277" s="12"/>
      <c r="T1277" s="12"/>
      <c r="U1277" s="12"/>
      <c r="V1277" s="12"/>
      <c r="W1277" s="12"/>
      <c r="X1277" s="12"/>
      <c r="Y1277" s="12"/>
      <c r="Z1277" s="12"/>
      <c r="AA1277" s="12"/>
      <c r="AB1277" s="12"/>
      <c r="AC1277" s="12"/>
      <c r="AD1277" s="12"/>
      <c r="AE1277" s="12"/>
      <c r="AF1277" s="12"/>
      <c r="AG1277" s="12"/>
      <c r="AH1277" s="12"/>
      <c r="AI1277" s="12"/>
      <c r="AJ1277" s="12"/>
      <c r="AK1277" s="12"/>
      <c r="AL1277" s="12"/>
      <c r="AM1277" s="12"/>
      <c r="AN1277" s="12"/>
      <c r="AO1277" s="12"/>
      <c r="AP1277" s="12"/>
      <c r="AQ1277" s="12"/>
      <c r="AR1277" s="12"/>
      <c r="AS1277" s="12"/>
      <c r="AT1277" s="12"/>
      <c r="AU1277" s="12"/>
      <c r="AV1277" s="12"/>
      <c r="AW1277" s="12"/>
      <c r="AX1277" s="12"/>
      <c r="AY1277" s="12"/>
      <c r="AZ1277" s="12"/>
      <c r="BA1277" s="12"/>
      <c r="BB1277" s="12"/>
      <c r="BC1277" s="12"/>
      <c r="BD1277" s="12"/>
      <c r="BE1277" s="12"/>
      <c r="BF1277" s="12"/>
      <c r="BG1277" s="12"/>
      <c r="BH1277" s="12"/>
      <c r="BI1277" s="12"/>
      <c r="BJ1277" s="12"/>
      <c r="BK1277" s="12"/>
      <c r="BL1277" s="12"/>
      <c r="BM1277" s="12"/>
      <c r="BN1277" s="12"/>
      <c r="BO1277" s="12"/>
      <c r="BP1277" s="12"/>
      <c r="BQ1277" s="12"/>
      <c r="BR1277" s="12"/>
      <c r="BS1277" s="12"/>
      <c r="BT1277" s="12"/>
    </row>
    <row r="1278" spans="1:72">
      <c r="A1278" s="2" t="s">
        <v>24714</v>
      </c>
      <c r="B1278" s="5" t="s">
        <v>24718</v>
      </c>
      <c r="C1278" s="3" t="s">
        <v>138</v>
      </c>
      <c r="D1278" s="4" t="s">
        <v>138</v>
      </c>
      <c r="E1278" s="15" t="s">
        <v>6404</v>
      </c>
      <c r="F1278" s="15" t="s">
        <v>200</v>
      </c>
      <c r="G1278" s="15" t="s">
        <v>162</v>
      </c>
      <c r="H1278" s="7">
        <v>4</v>
      </c>
      <c r="I1278" s="6" t="s">
        <v>24727</v>
      </c>
      <c r="J1278" s="6">
        <v>301</v>
      </c>
      <c r="K1278" s="6" t="s">
        <v>44091</v>
      </c>
      <c r="L1278" s="6" t="s">
        <v>41454</v>
      </c>
      <c r="M1278" s="6" t="s">
        <v>44092</v>
      </c>
      <c r="N1278" s="6"/>
      <c r="O1278" s="6"/>
      <c r="P1278" s="6"/>
      <c r="Q1278" s="6"/>
      <c r="R1278" s="6"/>
      <c r="S1278" s="6"/>
      <c r="T1278" s="6"/>
      <c r="U1278" s="6"/>
      <c r="V1278" s="6"/>
      <c r="W1278" s="6"/>
      <c r="X1278" s="6"/>
      <c r="Y1278" s="6"/>
      <c r="Z1278" s="6"/>
      <c r="AA1278" s="6"/>
      <c r="AB1278" s="6"/>
      <c r="AC1278" s="6"/>
      <c r="AD1278" s="6"/>
      <c r="AE1278" s="6"/>
      <c r="AF1278" s="6"/>
      <c r="AG1278" s="6"/>
      <c r="AH1278" s="6"/>
      <c r="AI1278" s="6"/>
      <c r="AJ1278" s="6"/>
      <c r="AK1278" s="6"/>
      <c r="AL1278" s="6"/>
      <c r="AM1278" s="6"/>
      <c r="AN1278" s="6"/>
      <c r="AO1278" s="6"/>
      <c r="AP1278" s="6"/>
      <c r="AQ1278" s="6"/>
      <c r="AR1278" s="6"/>
      <c r="AS1278" s="6"/>
      <c r="AT1278" s="6"/>
      <c r="AU1278" s="6"/>
      <c r="AV1278" s="6"/>
      <c r="AW1278" s="6"/>
      <c r="AX1278" s="6"/>
      <c r="AY1278" s="6"/>
      <c r="AZ1278" s="6"/>
      <c r="BA1278" s="6"/>
      <c r="BB1278" s="6"/>
      <c r="BC1278" s="6"/>
      <c r="BD1278" s="6"/>
      <c r="BE1278" s="6"/>
      <c r="BF1278" s="6"/>
      <c r="BG1278" s="6"/>
      <c r="BH1278" s="6"/>
      <c r="BI1278" s="6"/>
      <c r="BJ1278" s="6"/>
      <c r="BK1278" s="6"/>
      <c r="BL1278" s="6"/>
      <c r="BM1278" s="6"/>
      <c r="BN1278" s="6"/>
      <c r="BO1278" s="6"/>
      <c r="BP1278" s="6"/>
      <c r="BQ1278" s="6"/>
      <c r="BR1278" s="6"/>
      <c r="BS1278" s="6"/>
      <c r="BT1278" s="6"/>
    </row>
    <row r="1279" spans="1:72">
      <c r="A1279" s="8" t="s">
        <v>24731</v>
      </c>
      <c r="B1279" s="11" t="s">
        <v>24736</v>
      </c>
      <c r="C1279" s="9" t="s">
        <v>138</v>
      </c>
      <c r="D1279" s="10" t="s">
        <v>24732</v>
      </c>
      <c r="E1279" s="28" t="s">
        <v>668</v>
      </c>
      <c r="F1279" s="28" t="s">
        <v>200</v>
      </c>
      <c r="G1279" s="28" t="s">
        <v>162</v>
      </c>
      <c r="H1279" s="13">
        <v>8</v>
      </c>
      <c r="I1279" s="12" t="s">
        <v>24744</v>
      </c>
      <c r="J1279" s="12" t="s">
        <v>40241</v>
      </c>
      <c r="K1279" s="12" t="s">
        <v>38299</v>
      </c>
      <c r="L1279" s="12" t="s">
        <v>44093</v>
      </c>
      <c r="M1279" s="12" t="s">
        <v>43915</v>
      </c>
      <c r="N1279" s="12" t="s">
        <v>38319</v>
      </c>
      <c r="O1279" s="12" t="s">
        <v>40150</v>
      </c>
      <c r="P1279" s="12" t="s">
        <v>44094</v>
      </c>
      <c r="Q1279" s="12" t="s">
        <v>38326</v>
      </c>
      <c r="R1279" s="12"/>
      <c r="S1279" s="12"/>
      <c r="T1279" s="12"/>
      <c r="U1279" s="12"/>
      <c r="V1279" s="12"/>
      <c r="W1279" s="12"/>
      <c r="X1279" s="12"/>
      <c r="Y1279" s="12"/>
      <c r="Z1279" s="12"/>
      <c r="AA1279" s="12"/>
      <c r="AB1279" s="12"/>
      <c r="AC1279" s="12"/>
      <c r="AD1279" s="12"/>
      <c r="AE1279" s="12"/>
      <c r="AF1279" s="12"/>
      <c r="AG1279" s="12"/>
      <c r="AH1279" s="12"/>
      <c r="AI1279" s="12"/>
      <c r="AJ1279" s="12"/>
      <c r="AK1279" s="12"/>
      <c r="AL1279" s="12"/>
      <c r="AM1279" s="12"/>
      <c r="AN1279" s="12"/>
      <c r="AO1279" s="12"/>
      <c r="AP1279" s="12"/>
      <c r="AQ1279" s="12"/>
      <c r="AR1279" s="12"/>
      <c r="AS1279" s="12"/>
      <c r="AT1279" s="12"/>
      <c r="AU1279" s="12"/>
      <c r="AV1279" s="12"/>
      <c r="AW1279" s="12"/>
      <c r="AX1279" s="12"/>
      <c r="AY1279" s="12"/>
      <c r="AZ1279" s="12"/>
      <c r="BA1279" s="12"/>
      <c r="BB1279" s="12"/>
      <c r="BC1279" s="12"/>
      <c r="BD1279" s="12"/>
      <c r="BE1279" s="12"/>
      <c r="BF1279" s="12"/>
      <c r="BG1279" s="12"/>
      <c r="BH1279" s="12"/>
      <c r="BI1279" s="12"/>
      <c r="BJ1279" s="12"/>
      <c r="BK1279" s="12"/>
      <c r="BL1279" s="12"/>
      <c r="BM1279" s="12"/>
      <c r="BN1279" s="12"/>
      <c r="BO1279" s="12"/>
      <c r="BP1279" s="12"/>
      <c r="BQ1279" s="12"/>
      <c r="BR1279" s="12"/>
      <c r="BS1279" s="12"/>
      <c r="BT1279" s="12"/>
    </row>
    <row r="1280" spans="1:72">
      <c r="A1280" s="2" t="s">
        <v>24747</v>
      </c>
      <c r="B1280" s="5" t="s">
        <v>24750</v>
      </c>
      <c r="C1280" s="3" t="s">
        <v>138</v>
      </c>
      <c r="D1280" s="4" t="s">
        <v>138</v>
      </c>
      <c r="E1280" s="15" t="s">
        <v>1294</v>
      </c>
      <c r="F1280" s="15" t="s">
        <v>864</v>
      </c>
      <c r="G1280" s="15" t="s">
        <v>162</v>
      </c>
      <c r="H1280" s="7">
        <v>1</v>
      </c>
      <c r="I1280" s="6" t="s">
        <v>2783</v>
      </c>
      <c r="J1280" s="6" t="s">
        <v>2783</v>
      </c>
      <c r="K1280" s="6"/>
      <c r="L1280" s="6"/>
      <c r="M1280" s="6"/>
      <c r="N1280" s="6"/>
      <c r="O1280" s="6"/>
      <c r="P1280" s="6"/>
      <c r="Q1280" s="6"/>
      <c r="R1280" s="6"/>
      <c r="S1280" s="6"/>
      <c r="T1280" s="6"/>
      <c r="U1280" s="6"/>
      <c r="V1280" s="6"/>
      <c r="W1280" s="6"/>
      <c r="X1280" s="6"/>
      <c r="Y1280" s="6"/>
      <c r="Z1280" s="6"/>
      <c r="AA1280" s="6"/>
      <c r="AB1280" s="6"/>
      <c r="AC1280" s="6"/>
      <c r="AD1280" s="6"/>
      <c r="AE1280" s="6"/>
      <c r="AF1280" s="6"/>
      <c r="AG1280" s="6"/>
      <c r="AH1280" s="6"/>
      <c r="AI1280" s="6"/>
      <c r="AJ1280" s="6"/>
      <c r="AK1280" s="6"/>
      <c r="AL1280" s="6"/>
      <c r="AM1280" s="6"/>
      <c r="AN1280" s="6"/>
      <c r="AO1280" s="6"/>
      <c r="AP1280" s="6"/>
      <c r="AQ1280" s="6"/>
      <c r="AR1280" s="6"/>
      <c r="AS1280" s="6"/>
      <c r="AT1280" s="6"/>
      <c r="AU1280" s="6"/>
      <c r="AV1280" s="6"/>
      <c r="AW1280" s="6"/>
      <c r="AX1280" s="6"/>
      <c r="AY1280" s="6"/>
      <c r="AZ1280" s="6"/>
      <c r="BA1280" s="6"/>
      <c r="BB1280" s="6"/>
      <c r="BC1280" s="6"/>
      <c r="BD1280" s="6"/>
      <c r="BE1280" s="6"/>
      <c r="BF1280" s="6"/>
      <c r="BG1280" s="6"/>
      <c r="BH1280" s="6"/>
      <c r="BI1280" s="6"/>
      <c r="BJ1280" s="6"/>
      <c r="BK1280" s="6"/>
      <c r="BL1280" s="6"/>
      <c r="BM1280" s="6"/>
      <c r="BN1280" s="6"/>
      <c r="BO1280" s="6"/>
      <c r="BP1280" s="6"/>
      <c r="BQ1280" s="6"/>
      <c r="BR1280" s="6"/>
      <c r="BS1280" s="6"/>
      <c r="BT1280" s="6"/>
    </row>
    <row r="1281" spans="1:72">
      <c r="A1281" s="8" t="s">
        <v>24755</v>
      </c>
      <c r="B1281" s="11" t="s">
        <v>24760</v>
      </c>
      <c r="C1281" s="9" t="s">
        <v>138</v>
      </c>
      <c r="D1281" s="10" t="s">
        <v>138</v>
      </c>
      <c r="E1281" s="28" t="s">
        <v>24770</v>
      </c>
      <c r="F1281" s="28" t="s">
        <v>474</v>
      </c>
      <c r="G1281" s="28" t="s">
        <v>162</v>
      </c>
      <c r="H1281" s="13">
        <v>7</v>
      </c>
      <c r="I1281" s="12" t="s">
        <v>24774</v>
      </c>
      <c r="J1281" s="12" t="s">
        <v>41927</v>
      </c>
      <c r="K1281" s="12" t="s">
        <v>44095</v>
      </c>
      <c r="L1281" s="12" t="s">
        <v>44096</v>
      </c>
      <c r="M1281" s="12" t="s">
        <v>39307</v>
      </c>
      <c r="N1281" s="12" t="s">
        <v>44097</v>
      </c>
      <c r="O1281" s="12" t="s">
        <v>37781</v>
      </c>
      <c r="P1281" s="12" t="s">
        <v>44098</v>
      </c>
      <c r="Q1281" s="12"/>
      <c r="R1281" s="12"/>
      <c r="S1281" s="12"/>
      <c r="T1281" s="12"/>
      <c r="U1281" s="12"/>
      <c r="V1281" s="12"/>
      <c r="W1281" s="12"/>
      <c r="X1281" s="12"/>
      <c r="Y1281" s="12"/>
      <c r="Z1281" s="12"/>
      <c r="AA1281" s="12"/>
      <c r="AB1281" s="12"/>
      <c r="AC1281" s="12"/>
      <c r="AD1281" s="12"/>
      <c r="AE1281" s="12"/>
      <c r="AF1281" s="12"/>
      <c r="AG1281" s="12"/>
      <c r="AH1281" s="12"/>
      <c r="AI1281" s="12"/>
      <c r="AJ1281" s="12"/>
      <c r="AK1281" s="12"/>
      <c r="AL1281" s="12"/>
      <c r="AM1281" s="12"/>
      <c r="AN1281" s="12"/>
      <c r="AO1281" s="12"/>
      <c r="AP1281" s="12"/>
      <c r="AQ1281" s="12"/>
      <c r="AR1281" s="12"/>
      <c r="AS1281" s="12"/>
      <c r="AT1281" s="12"/>
      <c r="AU1281" s="12"/>
      <c r="AV1281" s="12"/>
      <c r="AW1281" s="12"/>
      <c r="AX1281" s="12"/>
      <c r="AY1281" s="12"/>
      <c r="AZ1281" s="12"/>
      <c r="BA1281" s="12"/>
      <c r="BB1281" s="12"/>
      <c r="BC1281" s="12"/>
      <c r="BD1281" s="12"/>
      <c r="BE1281" s="12"/>
      <c r="BF1281" s="12"/>
      <c r="BG1281" s="12"/>
      <c r="BH1281" s="12"/>
      <c r="BI1281" s="12"/>
      <c r="BJ1281" s="12"/>
      <c r="BK1281" s="12"/>
      <c r="BL1281" s="12"/>
      <c r="BM1281" s="12"/>
      <c r="BN1281" s="12"/>
      <c r="BO1281" s="12"/>
      <c r="BP1281" s="12"/>
      <c r="BQ1281" s="12"/>
      <c r="BR1281" s="12"/>
      <c r="BS1281" s="12"/>
      <c r="BT1281" s="12"/>
    </row>
    <row r="1282" spans="1:72">
      <c r="A1282" s="2" t="s">
        <v>24777</v>
      </c>
      <c r="B1282" s="5" t="s">
        <v>24781</v>
      </c>
      <c r="C1282" s="3" t="s">
        <v>138</v>
      </c>
      <c r="D1282" s="4" t="s">
        <v>138</v>
      </c>
      <c r="E1282" s="15" t="s">
        <v>823</v>
      </c>
      <c r="F1282" s="15" t="s">
        <v>824</v>
      </c>
      <c r="G1282" s="15" t="s">
        <v>526</v>
      </c>
      <c r="H1282" s="7">
        <v>17</v>
      </c>
      <c r="I1282" s="6" t="s">
        <v>24792</v>
      </c>
      <c r="J1282" s="6" t="s">
        <v>37811</v>
      </c>
      <c r="K1282" s="6" t="s">
        <v>42100</v>
      </c>
      <c r="L1282" s="6" t="s">
        <v>44099</v>
      </c>
      <c r="M1282" s="6" t="s">
        <v>41568</v>
      </c>
      <c r="N1282" s="6" t="s">
        <v>38488</v>
      </c>
      <c r="O1282" s="6" t="s">
        <v>38803</v>
      </c>
      <c r="P1282" s="6" t="s">
        <v>44100</v>
      </c>
      <c r="Q1282" s="6" t="s">
        <v>44101</v>
      </c>
      <c r="R1282" s="6" t="s">
        <v>40755</v>
      </c>
      <c r="S1282" s="6" t="s">
        <v>44102</v>
      </c>
      <c r="T1282" s="6" t="s">
        <v>39291</v>
      </c>
      <c r="U1282" s="6" t="s">
        <v>44103</v>
      </c>
      <c r="V1282" s="6" t="s">
        <v>37781</v>
      </c>
      <c r="W1282" s="6" t="s">
        <v>38141</v>
      </c>
      <c r="X1282" s="6" t="s">
        <v>37783</v>
      </c>
      <c r="Y1282" s="6" t="s">
        <v>39566</v>
      </c>
      <c r="Z1282" s="6" t="s">
        <v>37976</v>
      </c>
      <c r="AA1282" s="6"/>
      <c r="AB1282" s="6"/>
      <c r="AC1282" s="6"/>
      <c r="AD1282" s="6"/>
      <c r="AE1282" s="6"/>
      <c r="AF1282" s="6"/>
      <c r="AG1282" s="6"/>
      <c r="AH1282" s="6"/>
      <c r="AI1282" s="6"/>
      <c r="AJ1282" s="6"/>
      <c r="AK1282" s="6"/>
      <c r="AL1282" s="6"/>
      <c r="AM1282" s="6"/>
      <c r="AN1282" s="6"/>
      <c r="AO1282" s="6"/>
      <c r="AP1282" s="6"/>
      <c r="AQ1282" s="6"/>
      <c r="AR1282" s="6"/>
      <c r="AS1282" s="6"/>
      <c r="AT1282" s="6"/>
      <c r="AU1282" s="6"/>
      <c r="AV1282" s="6"/>
      <c r="AW1282" s="6"/>
      <c r="AX1282" s="6"/>
      <c r="AY1282" s="6"/>
      <c r="AZ1282" s="6"/>
      <c r="BA1282" s="6"/>
      <c r="BB1282" s="6"/>
      <c r="BC1282" s="6"/>
      <c r="BD1282" s="6"/>
      <c r="BE1282" s="6"/>
      <c r="BF1282" s="6"/>
      <c r="BG1282" s="6"/>
      <c r="BH1282" s="6"/>
      <c r="BI1282" s="6"/>
      <c r="BJ1282" s="6"/>
      <c r="BK1282" s="6"/>
      <c r="BL1282" s="6"/>
      <c r="BM1282" s="6"/>
      <c r="BN1282" s="6"/>
      <c r="BO1282" s="6"/>
      <c r="BP1282" s="6"/>
      <c r="BQ1282" s="6"/>
      <c r="BR1282" s="6"/>
      <c r="BS1282" s="6"/>
      <c r="BT1282" s="6"/>
    </row>
    <row r="1283" spans="1:72">
      <c r="A1283" s="8" t="s">
        <v>24799</v>
      </c>
      <c r="B1283" s="11" t="s">
        <v>24803</v>
      </c>
      <c r="C1283" s="9" t="s">
        <v>24800</v>
      </c>
      <c r="D1283" s="10" t="s">
        <v>138</v>
      </c>
      <c r="E1283" s="28" t="s">
        <v>24810</v>
      </c>
      <c r="F1283" s="28" t="s">
        <v>138</v>
      </c>
      <c r="G1283" s="28" t="s">
        <v>24812</v>
      </c>
      <c r="H1283" s="13">
        <v>8</v>
      </c>
      <c r="I1283" s="12" t="s">
        <v>24815</v>
      </c>
      <c r="J1283" s="12" t="s">
        <v>44104</v>
      </c>
      <c r="K1283" s="12" t="s">
        <v>38307</v>
      </c>
      <c r="L1283" s="12" t="s">
        <v>37788</v>
      </c>
      <c r="M1283" s="12" t="s">
        <v>44105</v>
      </c>
      <c r="N1283" s="12" t="s">
        <v>42588</v>
      </c>
      <c r="O1283" s="12" t="s">
        <v>38371</v>
      </c>
      <c r="P1283" s="12" t="s">
        <v>38372</v>
      </c>
      <c r="Q1283" s="12" t="s">
        <v>44106</v>
      </c>
      <c r="R1283" s="12"/>
      <c r="S1283" s="12"/>
      <c r="T1283" s="12"/>
      <c r="U1283" s="12"/>
      <c r="V1283" s="12"/>
      <c r="W1283" s="12"/>
      <c r="X1283" s="12"/>
      <c r="Y1283" s="12"/>
      <c r="Z1283" s="12"/>
      <c r="AA1283" s="12"/>
      <c r="AB1283" s="12"/>
      <c r="AC1283" s="12"/>
      <c r="AD1283" s="12"/>
      <c r="AE1283" s="12"/>
      <c r="AF1283" s="12"/>
      <c r="AG1283" s="12"/>
      <c r="AH1283" s="12"/>
      <c r="AI1283" s="12"/>
      <c r="AJ1283" s="12"/>
      <c r="AK1283" s="12"/>
      <c r="AL1283" s="12"/>
      <c r="AM1283" s="12"/>
      <c r="AN1283" s="12"/>
      <c r="AO1283" s="12"/>
      <c r="AP1283" s="12"/>
      <c r="AQ1283" s="12"/>
      <c r="AR1283" s="12"/>
      <c r="AS1283" s="12"/>
      <c r="AT1283" s="12"/>
      <c r="AU1283" s="12"/>
      <c r="AV1283" s="12"/>
      <c r="AW1283" s="12"/>
      <c r="AX1283" s="12"/>
      <c r="AY1283" s="12"/>
      <c r="AZ1283" s="12"/>
      <c r="BA1283" s="12"/>
      <c r="BB1283" s="12"/>
      <c r="BC1283" s="12"/>
      <c r="BD1283" s="12"/>
      <c r="BE1283" s="12"/>
      <c r="BF1283" s="12"/>
      <c r="BG1283" s="12"/>
      <c r="BH1283" s="12"/>
      <c r="BI1283" s="12"/>
      <c r="BJ1283" s="12"/>
      <c r="BK1283" s="12"/>
      <c r="BL1283" s="12"/>
      <c r="BM1283" s="12"/>
      <c r="BN1283" s="12"/>
      <c r="BO1283" s="12"/>
      <c r="BP1283" s="12"/>
      <c r="BQ1283" s="12"/>
      <c r="BR1283" s="12"/>
      <c r="BS1283" s="12"/>
      <c r="BT1283" s="12"/>
    </row>
    <row r="1284" spans="1:72">
      <c r="A1284" s="2" t="s">
        <v>24818</v>
      </c>
      <c r="B1284" s="5" t="s">
        <v>24821</v>
      </c>
      <c r="C1284" s="3" t="s">
        <v>138</v>
      </c>
      <c r="D1284" s="4" t="s">
        <v>138</v>
      </c>
      <c r="E1284" s="15" t="s">
        <v>22871</v>
      </c>
      <c r="F1284" s="15" t="s">
        <v>138</v>
      </c>
      <c r="G1284" s="15" t="s">
        <v>946</v>
      </c>
      <c r="H1284" s="7">
        <v>1</v>
      </c>
      <c r="I1284" s="6" t="s">
        <v>24830</v>
      </c>
      <c r="J1284" s="6" t="s">
        <v>24830</v>
      </c>
      <c r="K1284" s="6"/>
      <c r="L1284" s="6"/>
      <c r="M1284" s="6"/>
      <c r="N1284" s="6"/>
      <c r="O1284" s="6"/>
      <c r="P1284" s="6"/>
      <c r="Q1284" s="6"/>
      <c r="R1284" s="6"/>
      <c r="S1284" s="6"/>
      <c r="T1284" s="6"/>
      <c r="U1284" s="6"/>
      <c r="V1284" s="6"/>
      <c r="W1284" s="6"/>
      <c r="X1284" s="6"/>
      <c r="Y1284" s="6"/>
      <c r="Z1284" s="6"/>
      <c r="AA1284" s="6"/>
      <c r="AB1284" s="6"/>
      <c r="AC1284" s="6"/>
      <c r="AD1284" s="6"/>
      <c r="AE1284" s="6"/>
      <c r="AF1284" s="6"/>
      <c r="AG1284" s="6"/>
      <c r="AH1284" s="6"/>
      <c r="AI1284" s="6"/>
      <c r="AJ1284" s="6"/>
      <c r="AK1284" s="6"/>
      <c r="AL1284" s="6"/>
      <c r="AM1284" s="6"/>
      <c r="AN1284" s="6"/>
      <c r="AO1284" s="6"/>
      <c r="AP1284" s="6"/>
      <c r="AQ1284" s="6"/>
      <c r="AR1284" s="6"/>
      <c r="AS1284" s="6"/>
      <c r="AT1284" s="6"/>
      <c r="AU1284" s="6"/>
      <c r="AV1284" s="6"/>
      <c r="AW1284" s="6"/>
      <c r="AX1284" s="6"/>
      <c r="AY1284" s="6"/>
      <c r="AZ1284" s="6"/>
      <c r="BA1284" s="6"/>
      <c r="BB1284" s="6"/>
      <c r="BC1284" s="6"/>
      <c r="BD1284" s="6"/>
      <c r="BE1284" s="6"/>
      <c r="BF1284" s="6"/>
      <c r="BG1284" s="6"/>
      <c r="BH1284" s="6"/>
      <c r="BI1284" s="6"/>
      <c r="BJ1284" s="6"/>
      <c r="BK1284" s="6"/>
      <c r="BL1284" s="6"/>
      <c r="BM1284" s="6"/>
      <c r="BN1284" s="6"/>
      <c r="BO1284" s="6"/>
      <c r="BP1284" s="6"/>
      <c r="BQ1284" s="6"/>
      <c r="BR1284" s="6"/>
      <c r="BS1284" s="6"/>
      <c r="BT1284" s="6"/>
    </row>
    <row r="1285" spans="1:72">
      <c r="A1285" s="8" t="s">
        <v>24833</v>
      </c>
      <c r="B1285" s="11" t="s">
        <v>24838</v>
      </c>
      <c r="C1285" s="9" t="s">
        <v>138</v>
      </c>
      <c r="D1285" s="10" t="s">
        <v>138</v>
      </c>
      <c r="E1285" s="28" t="s">
        <v>24844</v>
      </c>
      <c r="F1285" s="28" t="s">
        <v>138</v>
      </c>
      <c r="G1285" s="28" t="s">
        <v>24846</v>
      </c>
      <c r="H1285" s="13">
        <v>31</v>
      </c>
      <c r="I1285" s="12" t="s">
        <v>24850</v>
      </c>
      <c r="J1285" s="12" t="s">
        <v>39156</v>
      </c>
      <c r="K1285" s="12" t="s">
        <v>39468</v>
      </c>
      <c r="L1285" s="12" t="s">
        <v>44107</v>
      </c>
      <c r="M1285" s="12" t="s">
        <v>44108</v>
      </c>
      <c r="N1285" s="12" t="s">
        <v>44109</v>
      </c>
      <c r="O1285" s="12" t="s">
        <v>41553</v>
      </c>
      <c r="P1285" s="12" t="s">
        <v>44110</v>
      </c>
      <c r="Q1285" s="12" t="s">
        <v>44111</v>
      </c>
      <c r="R1285" s="12" t="s">
        <v>38417</v>
      </c>
      <c r="S1285" s="12" t="s">
        <v>43002</v>
      </c>
      <c r="T1285" s="12" t="s">
        <v>42478</v>
      </c>
      <c r="U1285" s="12" t="s">
        <v>44112</v>
      </c>
      <c r="V1285" s="12" t="s">
        <v>44113</v>
      </c>
      <c r="W1285" s="12" t="s">
        <v>41790</v>
      </c>
      <c r="X1285" s="12" t="s">
        <v>41993</v>
      </c>
      <c r="Y1285" s="12" t="s">
        <v>44114</v>
      </c>
      <c r="Z1285" s="12" t="s">
        <v>38423</v>
      </c>
      <c r="AA1285" s="12" t="s">
        <v>43549</v>
      </c>
      <c r="AB1285" s="12" t="s">
        <v>44115</v>
      </c>
      <c r="AC1285" s="12" t="s">
        <v>42770</v>
      </c>
      <c r="AD1285" s="12" t="s">
        <v>44116</v>
      </c>
      <c r="AE1285" s="12" t="s">
        <v>44117</v>
      </c>
      <c r="AF1285" s="12" t="s">
        <v>44118</v>
      </c>
      <c r="AG1285" s="12" t="s">
        <v>40725</v>
      </c>
      <c r="AH1285" s="12" t="s">
        <v>38200</v>
      </c>
      <c r="AI1285" s="12" t="s">
        <v>40564</v>
      </c>
      <c r="AJ1285" s="12" t="s">
        <v>38401</v>
      </c>
      <c r="AK1285" s="12" t="s">
        <v>40446</v>
      </c>
      <c r="AL1285" s="12" t="s">
        <v>41823</v>
      </c>
      <c r="AM1285" s="12" t="s">
        <v>38267</v>
      </c>
      <c r="AN1285" s="12" t="s">
        <v>37895</v>
      </c>
      <c r="AO1285" s="12"/>
      <c r="AP1285" s="12"/>
      <c r="AQ1285" s="12"/>
      <c r="AR1285" s="12"/>
      <c r="AS1285" s="12"/>
      <c r="AT1285" s="12"/>
      <c r="AU1285" s="12"/>
      <c r="AV1285" s="12"/>
      <c r="AW1285" s="12"/>
      <c r="AX1285" s="12"/>
      <c r="AY1285" s="12"/>
      <c r="AZ1285" s="12"/>
      <c r="BA1285" s="12"/>
      <c r="BB1285" s="12"/>
      <c r="BC1285" s="12"/>
      <c r="BD1285" s="12"/>
      <c r="BE1285" s="12"/>
      <c r="BF1285" s="12"/>
      <c r="BG1285" s="12"/>
      <c r="BH1285" s="12"/>
      <c r="BI1285" s="12"/>
      <c r="BJ1285" s="12"/>
      <c r="BK1285" s="12"/>
      <c r="BL1285" s="12"/>
      <c r="BM1285" s="12"/>
      <c r="BN1285" s="12"/>
      <c r="BO1285" s="12"/>
      <c r="BP1285" s="12"/>
      <c r="BQ1285" s="12"/>
      <c r="BR1285" s="12"/>
      <c r="BS1285" s="12"/>
      <c r="BT1285" s="12"/>
    </row>
    <row r="1286" spans="1:72">
      <c r="A1286" s="2" t="s">
        <v>24854</v>
      </c>
      <c r="B1286" s="5" t="s">
        <v>24858</v>
      </c>
      <c r="C1286" s="3" t="s">
        <v>138</v>
      </c>
      <c r="D1286" s="4" t="s">
        <v>138</v>
      </c>
      <c r="E1286" s="15" t="s">
        <v>1516</v>
      </c>
      <c r="F1286" s="15" t="s">
        <v>284</v>
      </c>
      <c r="G1286" s="15" t="s">
        <v>162</v>
      </c>
      <c r="H1286" s="7">
        <v>11</v>
      </c>
      <c r="I1286" s="6" t="s">
        <v>24867</v>
      </c>
      <c r="J1286" s="6" t="s">
        <v>44119</v>
      </c>
      <c r="K1286" s="6" t="s">
        <v>38914</v>
      </c>
      <c r="L1286" s="6" t="s">
        <v>38318</v>
      </c>
      <c r="M1286" s="6" t="s">
        <v>37786</v>
      </c>
      <c r="N1286" s="6" t="s">
        <v>37788</v>
      </c>
      <c r="O1286" s="6" t="s">
        <v>38199</v>
      </c>
      <c r="P1286" s="6" t="s">
        <v>44120</v>
      </c>
      <c r="Q1286" s="6" t="s">
        <v>38321</v>
      </c>
      <c r="R1286" s="6" t="s">
        <v>39466</v>
      </c>
      <c r="S1286" s="6" t="s">
        <v>38145</v>
      </c>
      <c r="T1286" s="6" t="s">
        <v>38438</v>
      </c>
      <c r="U1286" s="6"/>
      <c r="V1286" s="6"/>
      <c r="W1286" s="6"/>
      <c r="X1286" s="6"/>
      <c r="Y1286" s="6"/>
      <c r="Z1286" s="6"/>
      <c r="AA1286" s="6"/>
      <c r="AB1286" s="6"/>
      <c r="AC1286" s="6"/>
      <c r="AD1286" s="6"/>
      <c r="AE1286" s="6"/>
      <c r="AF1286" s="6"/>
      <c r="AG1286" s="6"/>
      <c r="AH1286" s="6"/>
      <c r="AI1286" s="6"/>
      <c r="AJ1286" s="6"/>
      <c r="AK1286" s="6"/>
      <c r="AL1286" s="6"/>
      <c r="AM1286" s="6"/>
      <c r="AN1286" s="6"/>
      <c r="AO1286" s="6"/>
      <c r="AP1286" s="6"/>
      <c r="AQ1286" s="6"/>
      <c r="AR1286" s="6"/>
      <c r="AS1286" s="6"/>
      <c r="AT1286" s="6"/>
      <c r="AU1286" s="6"/>
      <c r="AV1286" s="6"/>
      <c r="AW1286" s="6"/>
      <c r="AX1286" s="6"/>
      <c r="AY1286" s="6"/>
      <c r="AZ1286" s="6"/>
      <c r="BA1286" s="6"/>
      <c r="BB1286" s="6"/>
      <c r="BC1286" s="6"/>
      <c r="BD1286" s="6"/>
      <c r="BE1286" s="6"/>
      <c r="BF1286" s="6"/>
      <c r="BG1286" s="6"/>
      <c r="BH1286" s="6"/>
      <c r="BI1286" s="6"/>
      <c r="BJ1286" s="6"/>
      <c r="BK1286" s="6"/>
      <c r="BL1286" s="6"/>
      <c r="BM1286" s="6"/>
      <c r="BN1286" s="6"/>
      <c r="BO1286" s="6"/>
      <c r="BP1286" s="6"/>
      <c r="BQ1286" s="6"/>
      <c r="BR1286" s="6"/>
      <c r="BS1286" s="6"/>
      <c r="BT1286" s="6"/>
    </row>
    <row r="1287" spans="1:72">
      <c r="A1287" s="8" t="s">
        <v>24871</v>
      </c>
      <c r="B1287" s="11" t="s">
        <v>24875</v>
      </c>
      <c r="C1287" s="9" t="s">
        <v>138</v>
      </c>
      <c r="D1287" s="10" t="s">
        <v>138</v>
      </c>
      <c r="E1287" s="28" t="s">
        <v>426</v>
      </c>
      <c r="F1287" s="28" t="s">
        <v>426</v>
      </c>
      <c r="G1287" s="28" t="s">
        <v>162</v>
      </c>
      <c r="H1287" s="13">
        <v>18</v>
      </c>
      <c r="I1287" s="12" t="s">
        <v>24884</v>
      </c>
      <c r="J1287" s="12" t="s">
        <v>43506</v>
      </c>
      <c r="K1287" s="12" t="s">
        <v>38735</v>
      </c>
      <c r="L1287" s="12" t="s">
        <v>38175</v>
      </c>
      <c r="M1287" s="12" t="s">
        <v>38178</v>
      </c>
      <c r="N1287" s="12" t="s">
        <v>37879</v>
      </c>
      <c r="O1287" s="12" t="s">
        <v>43785</v>
      </c>
      <c r="P1287" s="12" t="s">
        <v>38721</v>
      </c>
      <c r="Q1287" s="12" t="s">
        <v>37954</v>
      </c>
      <c r="R1287" s="12" t="s">
        <v>44121</v>
      </c>
      <c r="S1287" s="12" t="s">
        <v>37922</v>
      </c>
      <c r="T1287" s="12" t="s">
        <v>44122</v>
      </c>
      <c r="U1287" s="12" t="s">
        <v>37805</v>
      </c>
      <c r="V1287" s="12" t="s">
        <v>37806</v>
      </c>
      <c r="W1287" s="12" t="s">
        <v>37885</v>
      </c>
      <c r="X1287" s="12" t="s">
        <v>38753</v>
      </c>
      <c r="Y1287" s="12" t="s">
        <v>44123</v>
      </c>
      <c r="Z1287" s="12" t="s">
        <v>43800</v>
      </c>
      <c r="AA1287" s="12" t="s">
        <v>38404</v>
      </c>
      <c r="AB1287" s="12"/>
      <c r="AC1287" s="12"/>
      <c r="AD1287" s="12"/>
      <c r="AE1287" s="12"/>
      <c r="AF1287" s="12"/>
      <c r="AG1287" s="12"/>
      <c r="AH1287" s="12"/>
      <c r="AI1287" s="12"/>
      <c r="AJ1287" s="12"/>
      <c r="AK1287" s="12"/>
      <c r="AL1287" s="12"/>
      <c r="AM1287" s="12"/>
      <c r="AN1287" s="12"/>
      <c r="AO1287" s="12"/>
      <c r="AP1287" s="12"/>
      <c r="AQ1287" s="12"/>
      <c r="AR1287" s="12"/>
      <c r="AS1287" s="12"/>
      <c r="AT1287" s="12"/>
      <c r="AU1287" s="12"/>
      <c r="AV1287" s="12"/>
      <c r="AW1287" s="12"/>
      <c r="AX1287" s="12"/>
      <c r="AY1287" s="12"/>
      <c r="AZ1287" s="12"/>
      <c r="BA1287" s="12"/>
      <c r="BB1287" s="12"/>
      <c r="BC1287" s="12"/>
      <c r="BD1287" s="12"/>
      <c r="BE1287" s="12"/>
      <c r="BF1287" s="12"/>
      <c r="BG1287" s="12"/>
      <c r="BH1287" s="12"/>
      <c r="BI1287" s="12"/>
      <c r="BJ1287" s="12"/>
      <c r="BK1287" s="12"/>
      <c r="BL1287" s="12"/>
      <c r="BM1287" s="12"/>
      <c r="BN1287" s="12"/>
      <c r="BO1287" s="12"/>
      <c r="BP1287" s="12"/>
      <c r="BQ1287" s="12"/>
      <c r="BR1287" s="12"/>
      <c r="BS1287" s="12"/>
      <c r="BT1287" s="12"/>
    </row>
    <row r="1288" spans="1:72">
      <c r="A1288" s="2" t="s">
        <v>24888</v>
      </c>
      <c r="B1288" s="5" t="s">
        <v>24893</v>
      </c>
      <c r="C1288" s="3" t="s">
        <v>138</v>
      </c>
      <c r="D1288" s="4" t="s">
        <v>138</v>
      </c>
      <c r="E1288" s="15" t="s">
        <v>966</v>
      </c>
      <c r="F1288" s="15" t="s">
        <v>200</v>
      </c>
      <c r="G1288" s="15" t="s">
        <v>162</v>
      </c>
      <c r="H1288" s="7">
        <v>16</v>
      </c>
      <c r="I1288" s="6" t="s">
        <v>24902</v>
      </c>
      <c r="J1288" s="6" t="s">
        <v>8538</v>
      </c>
      <c r="K1288" s="6" t="s">
        <v>39469</v>
      </c>
      <c r="L1288" s="6" t="s">
        <v>37832</v>
      </c>
      <c r="M1288" s="6" t="s">
        <v>38825</v>
      </c>
      <c r="N1288" s="6" t="s">
        <v>44124</v>
      </c>
      <c r="O1288" s="6" t="s">
        <v>44125</v>
      </c>
      <c r="P1288" s="6" t="s">
        <v>44126</v>
      </c>
      <c r="Q1288" s="6" t="s">
        <v>42547</v>
      </c>
      <c r="R1288" s="6" t="s">
        <v>44127</v>
      </c>
      <c r="S1288" s="6" t="s">
        <v>37890</v>
      </c>
      <c r="T1288" s="6" t="s">
        <v>38200</v>
      </c>
      <c r="U1288" s="6" t="s">
        <v>41041</v>
      </c>
      <c r="V1288" s="6" t="s">
        <v>44128</v>
      </c>
      <c r="W1288" s="6" t="s">
        <v>38583</v>
      </c>
      <c r="X1288" s="6" t="s">
        <v>44129</v>
      </c>
      <c r="Y1288" s="6" t="s">
        <v>44130</v>
      </c>
      <c r="Z1288" s="6"/>
      <c r="AA1288" s="6"/>
      <c r="AB1288" s="6"/>
      <c r="AC1288" s="6"/>
      <c r="AD1288" s="6"/>
      <c r="AE1288" s="6"/>
      <c r="AF1288" s="6"/>
      <c r="AG1288" s="6"/>
      <c r="AH1288" s="6"/>
      <c r="AI1288" s="6"/>
      <c r="AJ1288" s="6"/>
      <c r="AK1288" s="6"/>
      <c r="AL1288" s="6"/>
      <c r="AM1288" s="6"/>
      <c r="AN1288" s="6"/>
      <c r="AO1288" s="6"/>
      <c r="AP1288" s="6"/>
      <c r="AQ1288" s="6"/>
      <c r="AR1288" s="6"/>
      <c r="AS1288" s="6"/>
      <c r="AT1288" s="6"/>
      <c r="AU1288" s="6"/>
      <c r="AV1288" s="6"/>
      <c r="AW1288" s="6"/>
      <c r="AX1288" s="6"/>
      <c r="AY1288" s="6"/>
      <c r="AZ1288" s="6"/>
      <c r="BA1288" s="6"/>
      <c r="BB1288" s="6"/>
      <c r="BC1288" s="6"/>
      <c r="BD1288" s="6"/>
      <c r="BE1288" s="6"/>
      <c r="BF1288" s="6"/>
      <c r="BG1288" s="6"/>
      <c r="BH1288" s="6"/>
      <c r="BI1288" s="6"/>
      <c r="BJ1288" s="6"/>
      <c r="BK1288" s="6"/>
      <c r="BL1288" s="6"/>
      <c r="BM1288" s="6"/>
      <c r="BN1288" s="6"/>
      <c r="BO1288" s="6"/>
      <c r="BP1288" s="6"/>
      <c r="BQ1288" s="6"/>
      <c r="BR1288" s="6"/>
      <c r="BS1288" s="6"/>
      <c r="BT1288" s="6"/>
    </row>
    <row r="1289" spans="1:72">
      <c r="A1289" s="8" t="s">
        <v>24906</v>
      </c>
      <c r="B1289" s="11" t="s">
        <v>24911</v>
      </c>
      <c r="C1289" s="9" t="s">
        <v>138</v>
      </c>
      <c r="D1289" s="10" t="s">
        <v>138</v>
      </c>
      <c r="E1289" s="28" t="s">
        <v>3330</v>
      </c>
      <c r="F1289" s="28" t="s">
        <v>200</v>
      </c>
      <c r="G1289" s="28" t="s">
        <v>162</v>
      </c>
      <c r="H1289" s="13">
        <v>18</v>
      </c>
      <c r="I1289" s="12" t="s">
        <v>24920</v>
      </c>
      <c r="J1289" s="12" t="s">
        <v>44131</v>
      </c>
      <c r="K1289" s="12" t="s">
        <v>44132</v>
      </c>
      <c r="L1289" s="12" t="s">
        <v>44133</v>
      </c>
      <c r="M1289" s="12" t="s">
        <v>39865</v>
      </c>
      <c r="N1289" s="12" t="s">
        <v>40657</v>
      </c>
      <c r="O1289" s="12" t="s">
        <v>44134</v>
      </c>
      <c r="P1289" s="12" t="s">
        <v>44135</v>
      </c>
      <c r="Q1289" s="12" t="s">
        <v>44136</v>
      </c>
      <c r="R1289" s="12" t="s">
        <v>44137</v>
      </c>
      <c r="S1289" s="12" t="s">
        <v>38152</v>
      </c>
      <c r="T1289" s="12" t="s">
        <v>38154</v>
      </c>
      <c r="U1289" s="12" t="s">
        <v>41052</v>
      </c>
      <c r="V1289" s="12" t="s">
        <v>38155</v>
      </c>
      <c r="W1289" s="12" t="s">
        <v>44138</v>
      </c>
      <c r="X1289" s="12" t="s">
        <v>44139</v>
      </c>
      <c r="Y1289" s="12" t="s">
        <v>38145</v>
      </c>
      <c r="Z1289" s="12" t="s">
        <v>44140</v>
      </c>
      <c r="AA1289" s="12" t="s">
        <v>43791</v>
      </c>
      <c r="AB1289" s="12"/>
      <c r="AC1289" s="12"/>
      <c r="AD1289" s="12"/>
      <c r="AE1289" s="12"/>
      <c r="AF1289" s="12"/>
      <c r="AG1289" s="12"/>
      <c r="AH1289" s="12"/>
      <c r="AI1289" s="12"/>
      <c r="AJ1289" s="12"/>
      <c r="AK1289" s="12"/>
      <c r="AL1289" s="12"/>
      <c r="AM1289" s="12"/>
      <c r="AN1289" s="12"/>
      <c r="AO1289" s="12"/>
      <c r="AP1289" s="12"/>
      <c r="AQ1289" s="12"/>
      <c r="AR1289" s="12"/>
      <c r="AS1289" s="12"/>
      <c r="AT1289" s="12"/>
      <c r="AU1289" s="12"/>
      <c r="AV1289" s="12"/>
      <c r="AW1289" s="12"/>
      <c r="AX1289" s="12"/>
      <c r="AY1289" s="12"/>
      <c r="AZ1289" s="12"/>
      <c r="BA1289" s="12"/>
      <c r="BB1289" s="12"/>
      <c r="BC1289" s="12"/>
      <c r="BD1289" s="12"/>
      <c r="BE1289" s="12"/>
      <c r="BF1289" s="12"/>
      <c r="BG1289" s="12"/>
      <c r="BH1289" s="12"/>
      <c r="BI1289" s="12"/>
      <c r="BJ1289" s="12"/>
      <c r="BK1289" s="12"/>
      <c r="BL1289" s="12"/>
      <c r="BM1289" s="12"/>
      <c r="BN1289" s="12"/>
      <c r="BO1289" s="12"/>
      <c r="BP1289" s="12"/>
      <c r="BQ1289" s="12"/>
      <c r="BR1289" s="12"/>
      <c r="BS1289" s="12"/>
      <c r="BT1289" s="12"/>
    </row>
    <row r="1290" spans="1:72">
      <c r="A1290" s="2" t="s">
        <v>24923</v>
      </c>
      <c r="B1290" s="5" t="s">
        <v>24927</v>
      </c>
      <c r="C1290" s="3" t="s">
        <v>138</v>
      </c>
      <c r="D1290" s="4" t="s">
        <v>24924</v>
      </c>
      <c r="E1290" s="15" t="s">
        <v>5362</v>
      </c>
      <c r="F1290" s="15" t="s">
        <v>3453</v>
      </c>
      <c r="G1290" s="15" t="s">
        <v>2333</v>
      </c>
      <c r="H1290" s="7">
        <v>4</v>
      </c>
      <c r="I1290" s="6" t="s">
        <v>24939</v>
      </c>
      <c r="J1290" s="6" t="s">
        <v>16877</v>
      </c>
      <c r="K1290" s="6" t="s">
        <v>44141</v>
      </c>
      <c r="L1290" s="6" t="s">
        <v>38317</v>
      </c>
      <c r="M1290" s="6" t="s">
        <v>37787</v>
      </c>
      <c r="N1290" s="6"/>
      <c r="O1290" s="6"/>
      <c r="P1290" s="6"/>
      <c r="Q1290" s="6"/>
      <c r="R1290" s="6"/>
      <c r="S1290" s="6"/>
      <c r="T1290" s="6"/>
      <c r="U1290" s="6"/>
      <c r="V1290" s="6"/>
      <c r="W1290" s="6"/>
      <c r="X1290" s="6"/>
      <c r="Y1290" s="6"/>
      <c r="Z1290" s="6"/>
      <c r="AA1290" s="6"/>
      <c r="AB1290" s="6"/>
      <c r="AC1290" s="6"/>
      <c r="AD1290" s="6"/>
      <c r="AE1290" s="6"/>
      <c r="AF1290" s="6"/>
      <c r="AG1290" s="6"/>
      <c r="AH1290" s="6"/>
      <c r="AI1290" s="6"/>
      <c r="AJ1290" s="6"/>
      <c r="AK1290" s="6"/>
      <c r="AL1290" s="6"/>
      <c r="AM1290" s="6"/>
      <c r="AN1290" s="6"/>
      <c r="AO1290" s="6"/>
      <c r="AP1290" s="6"/>
      <c r="AQ1290" s="6"/>
      <c r="AR1290" s="6"/>
      <c r="AS1290" s="6"/>
      <c r="AT1290" s="6"/>
      <c r="AU1290" s="6"/>
      <c r="AV1290" s="6"/>
      <c r="AW1290" s="6"/>
      <c r="AX1290" s="6"/>
      <c r="AY1290" s="6"/>
      <c r="AZ1290" s="6"/>
      <c r="BA1290" s="6"/>
      <c r="BB1290" s="6"/>
      <c r="BC1290" s="6"/>
      <c r="BD1290" s="6"/>
      <c r="BE1290" s="6"/>
      <c r="BF1290" s="6"/>
      <c r="BG1290" s="6"/>
      <c r="BH1290" s="6"/>
      <c r="BI1290" s="6"/>
      <c r="BJ1290" s="6"/>
      <c r="BK1290" s="6"/>
      <c r="BL1290" s="6"/>
      <c r="BM1290" s="6"/>
      <c r="BN1290" s="6"/>
      <c r="BO1290" s="6"/>
      <c r="BP1290" s="6"/>
      <c r="BQ1290" s="6"/>
      <c r="BR1290" s="6"/>
      <c r="BS1290" s="6"/>
      <c r="BT1290" s="6"/>
    </row>
    <row r="1291" spans="1:72">
      <c r="A1291" s="8" t="s">
        <v>24942</v>
      </c>
      <c r="B1291" s="11" t="s">
        <v>24948</v>
      </c>
      <c r="C1291" s="9" t="s">
        <v>138</v>
      </c>
      <c r="D1291" s="10" t="s">
        <v>24943</v>
      </c>
      <c r="E1291" s="28" t="s">
        <v>24956</v>
      </c>
      <c r="F1291" s="28" t="s">
        <v>138</v>
      </c>
      <c r="G1291" s="28" t="s">
        <v>24958</v>
      </c>
      <c r="H1291" s="13">
        <v>11</v>
      </c>
      <c r="I1291" s="12" t="s">
        <v>24961</v>
      </c>
      <c r="J1291" s="12" t="s">
        <v>39319</v>
      </c>
      <c r="K1291" s="12" t="s">
        <v>39320</v>
      </c>
      <c r="L1291" s="12" t="s">
        <v>40982</v>
      </c>
      <c r="M1291" s="12" t="s">
        <v>42319</v>
      </c>
      <c r="N1291" s="12" t="s">
        <v>44142</v>
      </c>
      <c r="O1291" s="12" t="s">
        <v>40266</v>
      </c>
      <c r="P1291" s="12" t="s">
        <v>44016</v>
      </c>
      <c r="Q1291" s="12" t="s">
        <v>39523</v>
      </c>
      <c r="R1291" s="12" t="s">
        <v>37932</v>
      </c>
      <c r="S1291" s="12" t="s">
        <v>38435</v>
      </c>
      <c r="T1291" s="12" t="s">
        <v>44143</v>
      </c>
      <c r="U1291" s="12"/>
      <c r="V1291" s="12"/>
      <c r="W1291" s="12"/>
      <c r="X1291" s="12"/>
      <c r="Y1291" s="12"/>
      <c r="Z1291" s="12"/>
      <c r="AA1291" s="12"/>
      <c r="AB1291" s="12"/>
      <c r="AC1291" s="12"/>
      <c r="AD1291" s="12"/>
      <c r="AE1291" s="12"/>
      <c r="AF1291" s="12"/>
      <c r="AG1291" s="12"/>
      <c r="AH1291" s="12"/>
      <c r="AI1291" s="12"/>
      <c r="AJ1291" s="12"/>
      <c r="AK1291" s="12"/>
      <c r="AL1291" s="12"/>
      <c r="AM1291" s="12"/>
      <c r="AN1291" s="12"/>
      <c r="AO1291" s="12"/>
      <c r="AP1291" s="12"/>
      <c r="AQ1291" s="12"/>
      <c r="AR1291" s="12"/>
      <c r="AS1291" s="12"/>
      <c r="AT1291" s="12"/>
      <c r="AU1291" s="12"/>
      <c r="AV1291" s="12"/>
      <c r="AW1291" s="12"/>
      <c r="AX1291" s="12"/>
      <c r="AY1291" s="12"/>
      <c r="AZ1291" s="12"/>
      <c r="BA1291" s="12"/>
      <c r="BB1291" s="12"/>
      <c r="BC1291" s="12"/>
      <c r="BD1291" s="12"/>
      <c r="BE1291" s="12"/>
      <c r="BF1291" s="12"/>
      <c r="BG1291" s="12"/>
      <c r="BH1291" s="12"/>
      <c r="BI1291" s="12"/>
      <c r="BJ1291" s="12"/>
      <c r="BK1291" s="12"/>
      <c r="BL1291" s="12"/>
      <c r="BM1291" s="12"/>
      <c r="BN1291" s="12"/>
      <c r="BO1291" s="12"/>
      <c r="BP1291" s="12"/>
      <c r="BQ1291" s="12"/>
      <c r="BR1291" s="12"/>
      <c r="BS1291" s="12"/>
      <c r="BT1291" s="12"/>
    </row>
    <row r="1292" spans="1:72">
      <c r="A1292" s="2" t="s">
        <v>24965</v>
      </c>
      <c r="B1292" s="5" t="s">
        <v>24971</v>
      </c>
      <c r="C1292" s="3" t="s">
        <v>138</v>
      </c>
      <c r="D1292" s="4" t="s">
        <v>24966</v>
      </c>
      <c r="E1292" s="15" t="s">
        <v>11750</v>
      </c>
      <c r="F1292" s="15" t="s">
        <v>200</v>
      </c>
      <c r="G1292" s="15" t="s">
        <v>162</v>
      </c>
      <c r="H1292" s="7">
        <v>14</v>
      </c>
      <c r="I1292" s="6" t="s">
        <v>24979</v>
      </c>
      <c r="J1292" s="6" t="s">
        <v>44144</v>
      </c>
      <c r="K1292" s="6" t="s">
        <v>44145</v>
      </c>
      <c r="L1292" s="6" t="s">
        <v>39314</v>
      </c>
      <c r="M1292" s="6" t="s">
        <v>44146</v>
      </c>
      <c r="N1292" s="6" t="s">
        <v>44147</v>
      </c>
      <c r="O1292" s="6" t="s">
        <v>44148</v>
      </c>
      <c r="P1292" s="6" t="s">
        <v>44149</v>
      </c>
      <c r="Q1292" s="6" t="s">
        <v>41446</v>
      </c>
      <c r="R1292" s="6" t="s">
        <v>44150</v>
      </c>
      <c r="S1292" s="6" t="s">
        <v>44151</v>
      </c>
      <c r="T1292" s="6" t="s">
        <v>44152</v>
      </c>
      <c r="U1292" s="6" t="s">
        <v>41767</v>
      </c>
      <c r="V1292" s="6" t="s">
        <v>44153</v>
      </c>
      <c r="W1292" s="6" t="s">
        <v>39467</v>
      </c>
      <c r="X1292" s="6"/>
      <c r="Y1292" s="6"/>
      <c r="Z1292" s="6"/>
      <c r="AA1292" s="6"/>
      <c r="AB1292" s="6"/>
      <c r="AC1292" s="6"/>
      <c r="AD1292" s="6"/>
      <c r="AE1292" s="6"/>
      <c r="AF1292" s="6"/>
      <c r="AG1292" s="6"/>
      <c r="AH1292" s="6"/>
      <c r="AI1292" s="6"/>
      <c r="AJ1292" s="6"/>
      <c r="AK1292" s="6"/>
      <c r="AL1292" s="6"/>
      <c r="AM1292" s="6"/>
      <c r="AN1292" s="6"/>
      <c r="AO1292" s="6"/>
      <c r="AP1292" s="6"/>
      <c r="AQ1292" s="6"/>
      <c r="AR1292" s="6"/>
      <c r="AS1292" s="6"/>
      <c r="AT1292" s="6"/>
      <c r="AU1292" s="6"/>
      <c r="AV1292" s="6"/>
      <c r="AW1292" s="6"/>
      <c r="AX1292" s="6"/>
      <c r="AY1292" s="6"/>
      <c r="AZ1292" s="6"/>
      <c r="BA1292" s="6"/>
      <c r="BB1292" s="6"/>
      <c r="BC1292" s="6"/>
      <c r="BD1292" s="6"/>
      <c r="BE1292" s="6"/>
      <c r="BF1292" s="6"/>
      <c r="BG1292" s="6"/>
      <c r="BH1292" s="6"/>
      <c r="BI1292" s="6"/>
      <c r="BJ1292" s="6"/>
      <c r="BK1292" s="6"/>
      <c r="BL1292" s="6"/>
      <c r="BM1292" s="6"/>
      <c r="BN1292" s="6"/>
      <c r="BO1292" s="6"/>
      <c r="BP1292" s="6"/>
      <c r="BQ1292" s="6"/>
      <c r="BR1292" s="6"/>
      <c r="BS1292" s="6"/>
      <c r="BT1292" s="6"/>
    </row>
    <row r="1293" spans="1:72">
      <c r="A1293" s="8" t="s">
        <v>24983</v>
      </c>
      <c r="B1293" s="11" t="s">
        <v>24991</v>
      </c>
      <c r="C1293" s="9" t="s">
        <v>24984</v>
      </c>
      <c r="D1293" s="10" t="s">
        <v>24985</v>
      </c>
      <c r="E1293" s="28" t="s">
        <v>5382</v>
      </c>
      <c r="F1293" s="28" t="s">
        <v>200</v>
      </c>
      <c r="G1293" s="28" t="s">
        <v>162</v>
      </c>
      <c r="H1293" s="13">
        <v>11</v>
      </c>
      <c r="I1293" s="12" t="s">
        <v>25001</v>
      </c>
      <c r="J1293" s="12" t="s">
        <v>44154</v>
      </c>
      <c r="K1293" s="12" t="s">
        <v>42297</v>
      </c>
      <c r="L1293" s="12" t="s">
        <v>44155</v>
      </c>
      <c r="M1293" s="12" t="s">
        <v>42554</v>
      </c>
      <c r="N1293" s="12" t="s">
        <v>44156</v>
      </c>
      <c r="O1293" s="12" t="s">
        <v>44157</v>
      </c>
      <c r="P1293" s="12" t="s">
        <v>44158</v>
      </c>
      <c r="Q1293" s="12" t="s">
        <v>41594</v>
      </c>
      <c r="R1293" s="12" t="s">
        <v>41484</v>
      </c>
      <c r="S1293" s="12" t="s">
        <v>38363</v>
      </c>
      <c r="T1293" s="12" t="s">
        <v>44159</v>
      </c>
      <c r="U1293" s="12"/>
      <c r="V1293" s="12"/>
      <c r="W1293" s="12"/>
      <c r="X1293" s="12"/>
      <c r="Y1293" s="12"/>
      <c r="Z1293" s="12"/>
      <c r="AA1293" s="12"/>
      <c r="AB1293" s="12"/>
      <c r="AC1293" s="12"/>
      <c r="AD1293" s="12"/>
      <c r="AE1293" s="12"/>
      <c r="AF1293" s="12"/>
      <c r="AG1293" s="12"/>
      <c r="AH1293" s="12"/>
      <c r="AI1293" s="12"/>
      <c r="AJ1293" s="12"/>
      <c r="AK1293" s="12"/>
      <c r="AL1293" s="12"/>
      <c r="AM1293" s="12"/>
      <c r="AN1293" s="12"/>
      <c r="AO1293" s="12"/>
      <c r="AP1293" s="12"/>
      <c r="AQ1293" s="12"/>
      <c r="AR1293" s="12"/>
      <c r="AS1293" s="12"/>
      <c r="AT1293" s="12"/>
      <c r="AU1293" s="12"/>
      <c r="AV1293" s="12"/>
      <c r="AW1293" s="12"/>
      <c r="AX1293" s="12"/>
      <c r="AY1293" s="12"/>
      <c r="AZ1293" s="12"/>
      <c r="BA1293" s="12"/>
      <c r="BB1293" s="12"/>
      <c r="BC1293" s="12"/>
      <c r="BD1293" s="12"/>
      <c r="BE1293" s="12"/>
      <c r="BF1293" s="12"/>
      <c r="BG1293" s="12"/>
      <c r="BH1293" s="12"/>
      <c r="BI1293" s="12"/>
      <c r="BJ1293" s="12"/>
      <c r="BK1293" s="12"/>
      <c r="BL1293" s="12"/>
      <c r="BM1293" s="12"/>
      <c r="BN1293" s="12"/>
      <c r="BO1293" s="12"/>
      <c r="BP1293" s="12"/>
      <c r="BQ1293" s="12"/>
      <c r="BR1293" s="12"/>
      <c r="BS1293" s="12"/>
      <c r="BT1293" s="12"/>
    </row>
    <row r="1294" spans="1:72">
      <c r="A1294" s="2" t="s">
        <v>25005</v>
      </c>
      <c r="B1294" s="5" t="s">
        <v>25008</v>
      </c>
      <c r="C1294" s="3" t="s">
        <v>138</v>
      </c>
      <c r="D1294" s="4" t="s">
        <v>138</v>
      </c>
      <c r="E1294" s="15" t="s">
        <v>668</v>
      </c>
      <c r="F1294" s="15" t="s">
        <v>200</v>
      </c>
      <c r="G1294" s="15" t="s">
        <v>162</v>
      </c>
      <c r="H1294" s="7">
        <v>31</v>
      </c>
      <c r="I1294" s="6" t="s">
        <v>25019</v>
      </c>
      <c r="J1294" s="6" t="s">
        <v>42391</v>
      </c>
      <c r="K1294" s="6" t="s">
        <v>44160</v>
      </c>
      <c r="L1294" s="6" t="s">
        <v>44161</v>
      </c>
      <c r="M1294" s="6" t="s">
        <v>44162</v>
      </c>
      <c r="N1294" s="6" t="s">
        <v>44163</v>
      </c>
      <c r="O1294" s="6" t="s">
        <v>44164</v>
      </c>
      <c r="P1294" s="6" t="s">
        <v>42704</v>
      </c>
      <c r="Q1294" s="6" t="s">
        <v>44165</v>
      </c>
      <c r="R1294" s="6" t="s">
        <v>44166</v>
      </c>
      <c r="S1294" s="6" t="s">
        <v>44167</v>
      </c>
      <c r="T1294" s="6" t="s">
        <v>38991</v>
      </c>
      <c r="U1294" s="6" t="s">
        <v>44168</v>
      </c>
      <c r="V1294" s="6" t="s">
        <v>42411</v>
      </c>
      <c r="W1294" s="6" t="s">
        <v>44169</v>
      </c>
      <c r="X1294" s="6" t="s">
        <v>44170</v>
      </c>
      <c r="Y1294" s="6" t="s">
        <v>44171</v>
      </c>
      <c r="Z1294" s="6" t="s">
        <v>39016</v>
      </c>
      <c r="AA1294" s="6" t="s">
        <v>44172</v>
      </c>
      <c r="AB1294" s="6" t="s">
        <v>38926</v>
      </c>
      <c r="AC1294" s="6" t="s">
        <v>37781</v>
      </c>
      <c r="AD1294" s="6" t="s">
        <v>41858</v>
      </c>
      <c r="AE1294" s="6" t="s">
        <v>38928</v>
      </c>
      <c r="AF1294" s="6" t="s">
        <v>44173</v>
      </c>
      <c r="AG1294" s="6" t="s">
        <v>44174</v>
      </c>
      <c r="AH1294" s="6" t="s">
        <v>42445</v>
      </c>
      <c r="AI1294" s="6" t="s">
        <v>44175</v>
      </c>
      <c r="AJ1294" s="6" t="s">
        <v>38350</v>
      </c>
      <c r="AK1294" s="6" t="s">
        <v>44176</v>
      </c>
      <c r="AL1294" s="6" t="s">
        <v>37809</v>
      </c>
      <c r="AM1294" s="6" t="s">
        <v>44177</v>
      </c>
      <c r="AN1294" s="6" t="s">
        <v>44178</v>
      </c>
      <c r="AO1294" s="6"/>
      <c r="AP1294" s="6"/>
      <c r="AQ1294" s="6"/>
      <c r="AR1294" s="6"/>
      <c r="AS1294" s="6"/>
      <c r="AT1294" s="6"/>
      <c r="AU1294" s="6"/>
      <c r="AV1294" s="6"/>
      <c r="AW1294" s="6"/>
      <c r="AX1294" s="6"/>
      <c r="AY1294" s="6"/>
      <c r="AZ1294" s="6"/>
      <c r="BA1294" s="6"/>
      <c r="BB1294" s="6"/>
      <c r="BC1294" s="6"/>
      <c r="BD1294" s="6"/>
      <c r="BE1294" s="6"/>
      <c r="BF1294" s="6"/>
      <c r="BG1294" s="6"/>
      <c r="BH1294" s="6"/>
      <c r="BI1294" s="6"/>
      <c r="BJ1294" s="6"/>
      <c r="BK1294" s="6"/>
      <c r="BL1294" s="6"/>
      <c r="BM1294" s="6"/>
      <c r="BN1294" s="6"/>
      <c r="BO1294" s="6"/>
      <c r="BP1294" s="6"/>
      <c r="BQ1294" s="6"/>
      <c r="BR1294" s="6"/>
      <c r="BS1294" s="6"/>
      <c r="BT1294" s="6"/>
    </row>
    <row r="1295" spans="1:72">
      <c r="A1295" s="8" t="s">
        <v>25023</v>
      </c>
      <c r="B1295" s="11" t="s">
        <v>25029</v>
      </c>
      <c r="C1295" s="9" t="s">
        <v>25024</v>
      </c>
      <c r="D1295" s="10" t="s">
        <v>138</v>
      </c>
      <c r="E1295" s="28" t="s">
        <v>668</v>
      </c>
      <c r="F1295" s="28" t="s">
        <v>200</v>
      </c>
      <c r="G1295" s="28" t="s">
        <v>162</v>
      </c>
      <c r="H1295" s="13">
        <v>7</v>
      </c>
      <c r="I1295" s="12" t="s">
        <v>25038</v>
      </c>
      <c r="J1295" s="12" t="s">
        <v>44179</v>
      </c>
      <c r="K1295" s="12" t="s">
        <v>37774</v>
      </c>
      <c r="L1295" s="12" t="s">
        <v>40149</v>
      </c>
      <c r="M1295" s="12" t="s">
        <v>38114</v>
      </c>
      <c r="N1295" s="12" t="s">
        <v>37791</v>
      </c>
      <c r="O1295" s="12" t="s">
        <v>39563</v>
      </c>
      <c r="P1295" s="12" t="s">
        <v>41908</v>
      </c>
      <c r="Q1295" s="12"/>
      <c r="R1295" s="12"/>
      <c r="S1295" s="12"/>
      <c r="T1295" s="12"/>
      <c r="U1295" s="12"/>
      <c r="V1295" s="12"/>
      <c r="W1295" s="12"/>
      <c r="X1295" s="12"/>
      <c r="Y1295" s="12"/>
      <c r="Z1295" s="12"/>
      <c r="AA1295" s="12"/>
      <c r="AB1295" s="12"/>
      <c r="AC1295" s="12"/>
      <c r="AD1295" s="12"/>
      <c r="AE1295" s="12"/>
      <c r="AF1295" s="12"/>
      <c r="AG1295" s="12"/>
      <c r="AH1295" s="12"/>
      <c r="AI1295" s="12"/>
      <c r="AJ1295" s="12"/>
      <c r="AK1295" s="12"/>
      <c r="AL1295" s="12"/>
      <c r="AM1295" s="12"/>
      <c r="AN1295" s="12"/>
      <c r="AO1295" s="12"/>
      <c r="AP1295" s="12"/>
      <c r="AQ1295" s="12"/>
      <c r="AR1295" s="12"/>
      <c r="AS1295" s="12"/>
      <c r="AT1295" s="12"/>
      <c r="AU1295" s="12"/>
      <c r="AV1295" s="12"/>
      <c r="AW1295" s="12"/>
      <c r="AX1295" s="12"/>
      <c r="AY1295" s="12"/>
      <c r="AZ1295" s="12"/>
      <c r="BA1295" s="12"/>
      <c r="BB1295" s="12"/>
      <c r="BC1295" s="12"/>
      <c r="BD1295" s="12"/>
      <c r="BE1295" s="12"/>
      <c r="BF1295" s="12"/>
      <c r="BG1295" s="12"/>
      <c r="BH1295" s="12"/>
      <c r="BI1295" s="12"/>
      <c r="BJ1295" s="12"/>
      <c r="BK1295" s="12"/>
      <c r="BL1295" s="12"/>
      <c r="BM1295" s="12"/>
      <c r="BN1295" s="12"/>
      <c r="BO1295" s="12"/>
      <c r="BP1295" s="12"/>
      <c r="BQ1295" s="12"/>
      <c r="BR1295" s="12"/>
      <c r="BS1295" s="12"/>
      <c r="BT1295" s="12"/>
    </row>
    <row r="1296" spans="1:72">
      <c r="A1296" s="2" t="s">
        <v>25041</v>
      </c>
      <c r="B1296" s="5" t="s">
        <v>25046</v>
      </c>
      <c r="C1296" s="3" t="s">
        <v>138</v>
      </c>
      <c r="D1296" s="4" t="s">
        <v>138</v>
      </c>
      <c r="E1296" s="15" t="s">
        <v>5700</v>
      </c>
      <c r="F1296" s="15" t="s">
        <v>138</v>
      </c>
      <c r="G1296" s="15" t="s">
        <v>740</v>
      </c>
      <c r="H1296" s="7">
        <v>11</v>
      </c>
      <c r="I1296" s="6" t="s">
        <v>25056</v>
      </c>
      <c r="J1296" s="6" t="s">
        <v>44180</v>
      </c>
      <c r="K1296" s="6" t="s">
        <v>44181</v>
      </c>
      <c r="L1296" s="6" t="s">
        <v>42990</v>
      </c>
      <c r="M1296" s="6" t="s">
        <v>42518</v>
      </c>
      <c r="N1296" s="6" t="s">
        <v>44182</v>
      </c>
      <c r="O1296" s="6" t="s">
        <v>37998</v>
      </c>
      <c r="P1296" s="6" t="s">
        <v>44183</v>
      </c>
      <c r="Q1296" s="6" t="s">
        <v>38200</v>
      </c>
      <c r="R1296" s="6" t="s">
        <v>44184</v>
      </c>
      <c r="S1296" s="6" t="s">
        <v>44185</v>
      </c>
      <c r="T1296" s="6" t="s">
        <v>44186</v>
      </c>
      <c r="U1296" s="6"/>
      <c r="V1296" s="6"/>
      <c r="W1296" s="6"/>
      <c r="X1296" s="6"/>
      <c r="Y1296" s="6"/>
      <c r="Z1296" s="6"/>
      <c r="AA1296" s="6"/>
      <c r="AB1296" s="6"/>
      <c r="AC1296" s="6"/>
      <c r="AD1296" s="6"/>
      <c r="AE1296" s="6"/>
      <c r="AF1296" s="6"/>
      <c r="AG1296" s="6"/>
      <c r="AH1296" s="6"/>
      <c r="AI1296" s="6"/>
      <c r="AJ1296" s="6"/>
      <c r="AK1296" s="6"/>
      <c r="AL1296" s="6"/>
      <c r="AM1296" s="6"/>
      <c r="AN1296" s="6"/>
      <c r="AO1296" s="6"/>
      <c r="AP1296" s="6"/>
      <c r="AQ1296" s="6"/>
      <c r="AR1296" s="6"/>
      <c r="AS1296" s="6"/>
      <c r="AT1296" s="6"/>
      <c r="AU1296" s="6"/>
      <c r="AV1296" s="6"/>
      <c r="AW1296" s="6"/>
      <c r="AX1296" s="6"/>
      <c r="AY1296" s="6"/>
      <c r="AZ1296" s="6"/>
      <c r="BA1296" s="6"/>
      <c r="BB1296" s="6"/>
      <c r="BC1296" s="6"/>
      <c r="BD1296" s="6"/>
      <c r="BE1296" s="6"/>
      <c r="BF1296" s="6"/>
      <c r="BG1296" s="6"/>
      <c r="BH1296" s="6"/>
      <c r="BI1296" s="6"/>
      <c r="BJ1296" s="6"/>
      <c r="BK1296" s="6"/>
      <c r="BL1296" s="6"/>
      <c r="BM1296" s="6"/>
      <c r="BN1296" s="6"/>
      <c r="BO1296" s="6"/>
      <c r="BP1296" s="6"/>
      <c r="BQ1296" s="6"/>
      <c r="BR1296" s="6"/>
      <c r="BS1296" s="6"/>
      <c r="BT1296" s="6"/>
    </row>
    <row r="1297" spans="1:72">
      <c r="A1297" s="8" t="s">
        <v>25059</v>
      </c>
      <c r="B1297" s="11" t="s">
        <v>25064</v>
      </c>
      <c r="C1297" s="9" t="s">
        <v>138</v>
      </c>
      <c r="D1297" s="10" t="s">
        <v>138</v>
      </c>
      <c r="E1297" s="28" t="s">
        <v>426</v>
      </c>
      <c r="F1297" s="28" t="s">
        <v>426</v>
      </c>
      <c r="G1297" s="28" t="s">
        <v>162</v>
      </c>
      <c r="H1297" s="13">
        <v>15</v>
      </c>
      <c r="I1297" s="12" t="s">
        <v>25073</v>
      </c>
      <c r="J1297" s="12" t="s">
        <v>44187</v>
      </c>
      <c r="K1297" s="12" t="s">
        <v>38569</v>
      </c>
      <c r="L1297" s="12" t="s">
        <v>42474</v>
      </c>
      <c r="M1297" s="12" t="s">
        <v>40148</v>
      </c>
      <c r="N1297" s="12" t="s">
        <v>38076</v>
      </c>
      <c r="O1297" s="12" t="s">
        <v>37949</v>
      </c>
      <c r="P1297" s="12" t="s">
        <v>37774</v>
      </c>
      <c r="Q1297" s="12" t="s">
        <v>40149</v>
      </c>
      <c r="R1297" s="12" t="s">
        <v>38803</v>
      </c>
      <c r="S1297" s="12" t="s">
        <v>37775</v>
      </c>
      <c r="T1297" s="12" t="s">
        <v>37954</v>
      </c>
      <c r="U1297" s="12" t="s">
        <v>37922</v>
      </c>
      <c r="V1297" s="12" t="s">
        <v>37883</v>
      </c>
      <c r="W1297" s="12" t="s">
        <v>38184</v>
      </c>
      <c r="X1297" s="12" t="s">
        <v>38030</v>
      </c>
      <c r="Y1297" s="12"/>
      <c r="Z1297" s="12"/>
      <c r="AA1297" s="12"/>
      <c r="AB1297" s="12"/>
      <c r="AC1297" s="12"/>
      <c r="AD1297" s="12"/>
      <c r="AE1297" s="12"/>
      <c r="AF1297" s="12"/>
      <c r="AG1297" s="12"/>
      <c r="AH1297" s="12"/>
      <c r="AI1297" s="12"/>
      <c r="AJ1297" s="12"/>
      <c r="AK1297" s="12"/>
      <c r="AL1297" s="12"/>
      <c r="AM1297" s="12"/>
      <c r="AN1297" s="12"/>
      <c r="AO1297" s="12"/>
      <c r="AP1297" s="12"/>
      <c r="AQ1297" s="12"/>
      <c r="AR1297" s="12"/>
      <c r="AS1297" s="12"/>
      <c r="AT1297" s="12"/>
      <c r="AU1297" s="12"/>
      <c r="AV1297" s="12"/>
      <c r="AW1297" s="12"/>
      <c r="AX1297" s="12"/>
      <c r="AY1297" s="12"/>
      <c r="AZ1297" s="12"/>
      <c r="BA1297" s="12"/>
      <c r="BB1297" s="12"/>
      <c r="BC1297" s="12"/>
      <c r="BD1297" s="12"/>
      <c r="BE1297" s="12"/>
      <c r="BF1297" s="12"/>
      <c r="BG1297" s="12"/>
      <c r="BH1297" s="12"/>
      <c r="BI1297" s="12"/>
      <c r="BJ1297" s="12"/>
      <c r="BK1297" s="12"/>
      <c r="BL1297" s="12"/>
      <c r="BM1297" s="12"/>
      <c r="BN1297" s="12"/>
      <c r="BO1297" s="12"/>
      <c r="BP1297" s="12"/>
      <c r="BQ1297" s="12"/>
      <c r="BR1297" s="12"/>
      <c r="BS1297" s="12"/>
      <c r="BT1297" s="12"/>
    </row>
    <row r="1298" spans="1:72">
      <c r="A1298" s="2" t="s">
        <v>25078</v>
      </c>
      <c r="B1298" s="5" t="s">
        <v>25082</v>
      </c>
      <c r="C1298" s="3" t="s">
        <v>138</v>
      </c>
      <c r="D1298" s="4" t="s">
        <v>138</v>
      </c>
      <c r="E1298" s="15" t="s">
        <v>25089</v>
      </c>
      <c r="F1298" s="15" t="s">
        <v>3712</v>
      </c>
      <c r="G1298" s="15" t="s">
        <v>162</v>
      </c>
      <c r="H1298" s="7">
        <v>3</v>
      </c>
      <c r="I1298" s="6" t="s">
        <v>25093</v>
      </c>
      <c r="J1298" s="6" t="s">
        <v>44188</v>
      </c>
      <c r="K1298" s="6" t="s">
        <v>38011</v>
      </c>
      <c r="L1298" s="6" t="s">
        <v>44189</v>
      </c>
      <c r="M1298" s="6"/>
      <c r="N1298" s="6"/>
      <c r="O1298" s="6"/>
      <c r="P1298" s="6"/>
      <c r="Q1298" s="6"/>
      <c r="R1298" s="6"/>
      <c r="S1298" s="6"/>
      <c r="T1298" s="6"/>
      <c r="U1298" s="6"/>
      <c r="V1298" s="6"/>
      <c r="W1298" s="6"/>
      <c r="X1298" s="6"/>
      <c r="Y1298" s="6"/>
      <c r="Z1298" s="6"/>
      <c r="AA1298" s="6"/>
      <c r="AB1298" s="6"/>
      <c r="AC1298" s="6"/>
      <c r="AD1298" s="6"/>
      <c r="AE1298" s="6"/>
      <c r="AF1298" s="6"/>
      <c r="AG1298" s="6"/>
      <c r="AH1298" s="6"/>
      <c r="AI1298" s="6"/>
      <c r="AJ1298" s="6"/>
      <c r="AK1298" s="6"/>
      <c r="AL1298" s="6"/>
      <c r="AM1298" s="6"/>
      <c r="AN1298" s="6"/>
      <c r="AO1298" s="6"/>
      <c r="AP1298" s="6"/>
      <c r="AQ1298" s="6"/>
      <c r="AR1298" s="6"/>
      <c r="AS1298" s="6"/>
      <c r="AT1298" s="6"/>
      <c r="AU1298" s="6"/>
      <c r="AV1298" s="6"/>
      <c r="AW1298" s="6"/>
      <c r="AX1298" s="6"/>
      <c r="AY1298" s="6"/>
      <c r="AZ1298" s="6"/>
      <c r="BA1298" s="6"/>
      <c r="BB1298" s="6"/>
      <c r="BC1298" s="6"/>
      <c r="BD1298" s="6"/>
      <c r="BE1298" s="6"/>
      <c r="BF1298" s="6"/>
      <c r="BG1298" s="6"/>
      <c r="BH1298" s="6"/>
      <c r="BI1298" s="6"/>
      <c r="BJ1298" s="6"/>
      <c r="BK1298" s="6"/>
      <c r="BL1298" s="6"/>
      <c r="BM1298" s="6"/>
      <c r="BN1298" s="6"/>
      <c r="BO1298" s="6"/>
      <c r="BP1298" s="6"/>
      <c r="BQ1298" s="6"/>
      <c r="BR1298" s="6"/>
      <c r="BS1298" s="6"/>
      <c r="BT1298" s="6"/>
    </row>
    <row r="1299" spans="1:72">
      <c r="A1299" s="8" t="s">
        <v>25096</v>
      </c>
      <c r="B1299" s="11" t="s">
        <v>25100</v>
      </c>
      <c r="C1299" s="9" t="s">
        <v>138</v>
      </c>
      <c r="D1299" s="10" t="s">
        <v>138</v>
      </c>
      <c r="E1299" s="28" t="s">
        <v>14129</v>
      </c>
      <c r="F1299" s="28" t="s">
        <v>14130</v>
      </c>
      <c r="G1299" s="28" t="s">
        <v>2742</v>
      </c>
      <c r="H1299" s="13">
        <v>6</v>
      </c>
      <c r="I1299" s="12" t="s">
        <v>25109</v>
      </c>
      <c r="J1299" s="12" t="s">
        <v>42144</v>
      </c>
      <c r="K1299" s="12" t="s">
        <v>40481</v>
      </c>
      <c r="L1299" s="12" t="s">
        <v>38383</v>
      </c>
      <c r="M1299" s="12" t="s">
        <v>43225</v>
      </c>
      <c r="N1299" s="12" t="s">
        <v>43226</v>
      </c>
      <c r="O1299" s="12" t="s">
        <v>38767</v>
      </c>
      <c r="P1299" s="12"/>
      <c r="Q1299" s="12"/>
      <c r="R1299" s="12"/>
      <c r="S1299" s="12"/>
      <c r="T1299" s="12"/>
      <c r="U1299" s="12"/>
      <c r="V1299" s="12"/>
      <c r="W1299" s="12"/>
      <c r="X1299" s="12"/>
      <c r="Y1299" s="12"/>
      <c r="Z1299" s="12"/>
      <c r="AA1299" s="12"/>
      <c r="AB1299" s="12"/>
      <c r="AC1299" s="12"/>
      <c r="AD1299" s="12"/>
      <c r="AE1299" s="12"/>
      <c r="AF1299" s="12"/>
      <c r="AG1299" s="12"/>
      <c r="AH1299" s="12"/>
      <c r="AI1299" s="12"/>
      <c r="AJ1299" s="12"/>
      <c r="AK1299" s="12"/>
      <c r="AL1299" s="12"/>
      <c r="AM1299" s="12"/>
      <c r="AN1299" s="12"/>
      <c r="AO1299" s="12"/>
      <c r="AP1299" s="12"/>
      <c r="AQ1299" s="12"/>
      <c r="AR1299" s="12"/>
      <c r="AS1299" s="12"/>
      <c r="AT1299" s="12"/>
      <c r="AU1299" s="12"/>
      <c r="AV1299" s="12"/>
      <c r="AW1299" s="12"/>
      <c r="AX1299" s="12"/>
      <c r="AY1299" s="12"/>
      <c r="AZ1299" s="12"/>
      <c r="BA1299" s="12"/>
      <c r="BB1299" s="12"/>
      <c r="BC1299" s="12"/>
      <c r="BD1299" s="12"/>
      <c r="BE1299" s="12"/>
      <c r="BF1299" s="12"/>
      <c r="BG1299" s="12"/>
      <c r="BH1299" s="12"/>
      <c r="BI1299" s="12"/>
      <c r="BJ1299" s="12"/>
      <c r="BK1299" s="12"/>
      <c r="BL1299" s="12"/>
      <c r="BM1299" s="12"/>
      <c r="BN1299" s="12"/>
      <c r="BO1299" s="12"/>
      <c r="BP1299" s="12"/>
      <c r="BQ1299" s="12"/>
      <c r="BR1299" s="12"/>
      <c r="BS1299" s="12"/>
      <c r="BT1299" s="12"/>
    </row>
    <row r="1300" spans="1:72">
      <c r="A1300" s="2" t="s">
        <v>25112</v>
      </c>
      <c r="B1300" s="5" t="s">
        <v>25117</v>
      </c>
      <c r="C1300" s="3" t="s">
        <v>138</v>
      </c>
      <c r="D1300" s="4" t="s">
        <v>138</v>
      </c>
      <c r="E1300" s="15" t="s">
        <v>966</v>
      </c>
      <c r="F1300" s="15" t="s">
        <v>200</v>
      </c>
      <c r="G1300" s="15" t="s">
        <v>162</v>
      </c>
      <c r="H1300" s="7">
        <v>11</v>
      </c>
      <c r="I1300" s="6" t="s">
        <v>25127</v>
      </c>
      <c r="J1300" s="6" t="s">
        <v>38482</v>
      </c>
      <c r="K1300" s="6" t="s">
        <v>38113</v>
      </c>
      <c r="L1300" s="6" t="s">
        <v>44190</v>
      </c>
      <c r="M1300" s="6" t="s">
        <v>44191</v>
      </c>
      <c r="N1300" s="6" t="s">
        <v>39047</v>
      </c>
      <c r="O1300" s="6" t="s">
        <v>38024</v>
      </c>
      <c r="P1300" s="6" t="s">
        <v>40444</v>
      </c>
      <c r="Q1300" s="6" t="s">
        <v>38954</v>
      </c>
      <c r="R1300" s="6" t="s">
        <v>39695</v>
      </c>
      <c r="S1300" s="6" t="s">
        <v>41130</v>
      </c>
      <c r="T1300" s="6" t="s">
        <v>38073</v>
      </c>
      <c r="U1300" s="6"/>
      <c r="V1300" s="6"/>
      <c r="W1300" s="6"/>
      <c r="X1300" s="6"/>
      <c r="Y1300" s="6"/>
      <c r="Z1300" s="6"/>
      <c r="AA1300" s="6"/>
      <c r="AB1300" s="6"/>
      <c r="AC1300" s="6"/>
      <c r="AD1300" s="6"/>
      <c r="AE1300" s="6"/>
      <c r="AF1300" s="6"/>
      <c r="AG1300" s="6"/>
      <c r="AH1300" s="6"/>
      <c r="AI1300" s="6"/>
      <c r="AJ1300" s="6"/>
      <c r="AK1300" s="6"/>
      <c r="AL1300" s="6"/>
      <c r="AM1300" s="6"/>
      <c r="AN1300" s="6"/>
      <c r="AO1300" s="6"/>
      <c r="AP1300" s="6"/>
      <c r="AQ1300" s="6"/>
      <c r="AR1300" s="6"/>
      <c r="AS1300" s="6"/>
      <c r="AT1300" s="6"/>
      <c r="AU1300" s="6"/>
      <c r="AV1300" s="6"/>
      <c r="AW1300" s="6"/>
      <c r="AX1300" s="6"/>
      <c r="AY1300" s="6"/>
      <c r="AZ1300" s="6"/>
      <c r="BA1300" s="6"/>
      <c r="BB1300" s="6"/>
      <c r="BC1300" s="6"/>
      <c r="BD1300" s="6"/>
      <c r="BE1300" s="6"/>
      <c r="BF1300" s="6"/>
      <c r="BG1300" s="6"/>
      <c r="BH1300" s="6"/>
      <c r="BI1300" s="6"/>
      <c r="BJ1300" s="6"/>
      <c r="BK1300" s="6"/>
      <c r="BL1300" s="6"/>
      <c r="BM1300" s="6"/>
      <c r="BN1300" s="6"/>
      <c r="BO1300" s="6"/>
      <c r="BP1300" s="6"/>
      <c r="BQ1300" s="6"/>
      <c r="BR1300" s="6"/>
      <c r="BS1300" s="6"/>
      <c r="BT1300" s="6"/>
    </row>
    <row r="1301" spans="1:72">
      <c r="A1301" s="8" t="s">
        <v>25130</v>
      </c>
      <c r="B1301" s="11" t="s">
        <v>25137</v>
      </c>
      <c r="C1301" s="9" t="s">
        <v>25131</v>
      </c>
      <c r="D1301" s="10" t="s">
        <v>138</v>
      </c>
      <c r="E1301" s="28" t="s">
        <v>5700</v>
      </c>
      <c r="F1301" s="28" t="s">
        <v>138</v>
      </c>
      <c r="G1301" s="28" t="s">
        <v>740</v>
      </c>
      <c r="H1301" s="13">
        <v>11</v>
      </c>
      <c r="I1301" s="12" t="s">
        <v>25146</v>
      </c>
      <c r="J1301" s="12" t="s">
        <v>39545</v>
      </c>
      <c r="K1301" s="12" t="s">
        <v>42110</v>
      </c>
      <c r="L1301" s="12" t="s">
        <v>44192</v>
      </c>
      <c r="M1301" s="12" t="s">
        <v>42359</v>
      </c>
      <c r="N1301" s="12" t="s">
        <v>44193</v>
      </c>
      <c r="O1301" s="12" t="s">
        <v>39322</v>
      </c>
      <c r="P1301" s="12" t="s">
        <v>40755</v>
      </c>
      <c r="Q1301" s="12" t="s">
        <v>39953</v>
      </c>
      <c r="R1301" s="12" t="s">
        <v>44194</v>
      </c>
      <c r="S1301" s="12" t="s">
        <v>44195</v>
      </c>
      <c r="T1301" s="12" t="s">
        <v>44196</v>
      </c>
      <c r="U1301" s="12"/>
      <c r="V1301" s="12"/>
      <c r="W1301" s="12"/>
      <c r="X1301" s="12"/>
      <c r="Y1301" s="12"/>
      <c r="Z1301" s="12"/>
      <c r="AA1301" s="12"/>
      <c r="AB1301" s="12"/>
      <c r="AC1301" s="12"/>
      <c r="AD1301" s="12"/>
      <c r="AE1301" s="12"/>
      <c r="AF1301" s="12"/>
      <c r="AG1301" s="12"/>
      <c r="AH1301" s="12"/>
      <c r="AI1301" s="12"/>
      <c r="AJ1301" s="12"/>
      <c r="AK1301" s="12"/>
      <c r="AL1301" s="12"/>
      <c r="AM1301" s="12"/>
      <c r="AN1301" s="12"/>
      <c r="AO1301" s="12"/>
      <c r="AP1301" s="12"/>
      <c r="AQ1301" s="12"/>
      <c r="AR1301" s="12"/>
      <c r="AS1301" s="12"/>
      <c r="AT1301" s="12"/>
      <c r="AU1301" s="12"/>
      <c r="AV1301" s="12"/>
      <c r="AW1301" s="12"/>
      <c r="AX1301" s="12"/>
      <c r="AY1301" s="12"/>
      <c r="AZ1301" s="12"/>
      <c r="BA1301" s="12"/>
      <c r="BB1301" s="12"/>
      <c r="BC1301" s="12"/>
      <c r="BD1301" s="12"/>
      <c r="BE1301" s="12"/>
      <c r="BF1301" s="12"/>
      <c r="BG1301" s="12"/>
      <c r="BH1301" s="12"/>
      <c r="BI1301" s="12"/>
      <c r="BJ1301" s="12"/>
      <c r="BK1301" s="12"/>
      <c r="BL1301" s="12"/>
      <c r="BM1301" s="12"/>
      <c r="BN1301" s="12"/>
      <c r="BO1301" s="12"/>
      <c r="BP1301" s="12"/>
      <c r="BQ1301" s="12"/>
      <c r="BR1301" s="12"/>
      <c r="BS1301" s="12"/>
      <c r="BT1301" s="12"/>
    </row>
    <row r="1302" spans="1:72">
      <c r="A1302" s="2" t="s">
        <v>25153</v>
      </c>
      <c r="B1302" s="5" t="s">
        <v>25158</v>
      </c>
      <c r="C1302" s="3" t="s">
        <v>138</v>
      </c>
      <c r="D1302" s="4" t="s">
        <v>138</v>
      </c>
      <c r="E1302" s="15" t="s">
        <v>668</v>
      </c>
      <c r="F1302" s="15" t="s">
        <v>200</v>
      </c>
      <c r="G1302" s="15" t="s">
        <v>162</v>
      </c>
      <c r="H1302" s="7">
        <v>61</v>
      </c>
      <c r="I1302" s="6" t="s">
        <v>25170</v>
      </c>
      <c r="J1302" s="6" t="s">
        <v>38720</v>
      </c>
      <c r="K1302" s="6" t="s">
        <v>42425</v>
      </c>
      <c r="L1302" s="6" t="s">
        <v>43273</v>
      </c>
      <c r="M1302" s="6" t="s">
        <v>38957</v>
      </c>
      <c r="N1302" s="6" t="s">
        <v>42524</v>
      </c>
      <c r="O1302" s="6" t="s">
        <v>38410</v>
      </c>
      <c r="P1302" s="6" t="s">
        <v>39001</v>
      </c>
      <c r="Q1302" s="6" t="s">
        <v>44197</v>
      </c>
      <c r="R1302" s="6" t="s">
        <v>44198</v>
      </c>
      <c r="S1302" s="6" t="s">
        <v>38106</v>
      </c>
      <c r="T1302" s="6" t="s">
        <v>43274</v>
      </c>
      <c r="U1302" s="6" t="s">
        <v>44199</v>
      </c>
      <c r="V1302" s="6" t="s">
        <v>40664</v>
      </c>
      <c r="W1302" s="6" t="s">
        <v>37815</v>
      </c>
      <c r="X1302" s="6" t="s">
        <v>43143</v>
      </c>
      <c r="Y1302" s="6" t="s">
        <v>44200</v>
      </c>
      <c r="Z1302" s="6" t="s">
        <v>37984</v>
      </c>
      <c r="AA1302" s="6" t="s">
        <v>40346</v>
      </c>
      <c r="AB1302" s="6" t="s">
        <v>37820</v>
      </c>
      <c r="AC1302" s="6" t="s">
        <v>38900</v>
      </c>
      <c r="AD1302" s="6" t="s">
        <v>38108</v>
      </c>
      <c r="AE1302" s="6" t="s">
        <v>37941</v>
      </c>
      <c r="AF1302" s="6" t="s">
        <v>41547</v>
      </c>
      <c r="AG1302" s="6" t="s">
        <v>38989</v>
      </c>
      <c r="AH1302" s="6" t="s">
        <v>40818</v>
      </c>
      <c r="AI1302" s="6" t="s">
        <v>37945</v>
      </c>
      <c r="AJ1302" s="6" t="s">
        <v>39389</v>
      </c>
      <c r="AK1302" s="6" t="s">
        <v>37949</v>
      </c>
      <c r="AL1302" s="6" t="s">
        <v>38803</v>
      </c>
      <c r="AM1302" s="6" t="s">
        <v>39186</v>
      </c>
      <c r="AN1302" s="6" t="s">
        <v>43575</v>
      </c>
      <c r="AO1302" s="6" t="s">
        <v>39900</v>
      </c>
      <c r="AP1302" s="6" t="s">
        <v>43278</v>
      </c>
      <c r="AQ1302" s="6" t="s">
        <v>44201</v>
      </c>
      <c r="AR1302" s="6" t="s">
        <v>40093</v>
      </c>
      <c r="AS1302" s="6" t="s">
        <v>44202</v>
      </c>
      <c r="AT1302" s="6" t="s">
        <v>40087</v>
      </c>
      <c r="AU1302" s="6" t="s">
        <v>39362</v>
      </c>
      <c r="AV1302" s="6" t="s">
        <v>38126</v>
      </c>
      <c r="AW1302" s="6" t="s">
        <v>38199</v>
      </c>
      <c r="AX1302" s="6" t="s">
        <v>38127</v>
      </c>
      <c r="AY1302" s="6" t="s">
        <v>38427</v>
      </c>
      <c r="AZ1302" s="6" t="s">
        <v>38428</v>
      </c>
      <c r="BA1302" s="6" t="s">
        <v>40694</v>
      </c>
      <c r="BB1302" s="6" t="s">
        <v>38323</v>
      </c>
      <c r="BC1302" s="6" t="s">
        <v>40089</v>
      </c>
      <c r="BD1302" s="6" t="s">
        <v>43638</v>
      </c>
      <c r="BE1302" s="6" t="s">
        <v>38137</v>
      </c>
      <c r="BF1302" s="6" t="s">
        <v>44203</v>
      </c>
      <c r="BG1302" s="6" t="s">
        <v>38750</v>
      </c>
      <c r="BH1302" s="6" t="s">
        <v>37829</v>
      </c>
      <c r="BI1302" s="6" t="s">
        <v>40936</v>
      </c>
      <c r="BJ1302" s="6" t="s">
        <v>39327</v>
      </c>
      <c r="BK1302" s="6" t="s">
        <v>39446</v>
      </c>
      <c r="BL1302" s="6" t="s">
        <v>39684</v>
      </c>
      <c r="BM1302" s="6" t="s">
        <v>41094</v>
      </c>
      <c r="BN1302" s="6" t="s">
        <v>38388</v>
      </c>
      <c r="BO1302" s="6" t="s">
        <v>41623</v>
      </c>
      <c r="BP1302" s="6" t="s">
        <v>38143</v>
      </c>
      <c r="BQ1302" s="6" t="s">
        <v>39269</v>
      </c>
      <c r="BR1302" s="6" t="s">
        <v>44204</v>
      </c>
      <c r="BS1302" s="6"/>
      <c r="BT1302" s="6"/>
    </row>
    <row r="1303" spans="1:72">
      <c r="A1303" s="8" t="s">
        <v>25174</v>
      </c>
      <c r="B1303" s="11" t="s">
        <v>25179</v>
      </c>
      <c r="C1303" s="9" t="s">
        <v>138</v>
      </c>
      <c r="D1303" s="10" t="s">
        <v>138</v>
      </c>
      <c r="E1303" s="28" t="s">
        <v>25188</v>
      </c>
      <c r="F1303" s="28" t="s">
        <v>597</v>
      </c>
      <c r="G1303" s="28" t="s">
        <v>162</v>
      </c>
      <c r="H1303" s="13">
        <v>1</v>
      </c>
      <c r="I1303" s="12" t="s">
        <v>10339</v>
      </c>
      <c r="J1303" s="12" t="s">
        <v>10339</v>
      </c>
      <c r="K1303" s="12"/>
      <c r="L1303" s="12"/>
      <c r="M1303" s="12"/>
      <c r="N1303" s="12"/>
      <c r="O1303" s="12"/>
      <c r="P1303" s="12"/>
      <c r="Q1303" s="12"/>
      <c r="R1303" s="12"/>
      <c r="S1303" s="12"/>
      <c r="T1303" s="12"/>
      <c r="U1303" s="12"/>
      <c r="V1303" s="12"/>
      <c r="W1303" s="12"/>
      <c r="X1303" s="12"/>
      <c r="Y1303" s="12"/>
      <c r="Z1303" s="12"/>
      <c r="AA1303" s="12"/>
      <c r="AB1303" s="12"/>
      <c r="AC1303" s="12"/>
      <c r="AD1303" s="12"/>
      <c r="AE1303" s="12"/>
      <c r="AF1303" s="12"/>
      <c r="AG1303" s="12"/>
      <c r="AH1303" s="12"/>
      <c r="AI1303" s="12"/>
      <c r="AJ1303" s="12"/>
      <c r="AK1303" s="12"/>
      <c r="AL1303" s="12"/>
      <c r="AM1303" s="12"/>
      <c r="AN1303" s="12"/>
      <c r="AO1303" s="12"/>
      <c r="AP1303" s="12"/>
      <c r="AQ1303" s="12"/>
      <c r="AR1303" s="12"/>
      <c r="AS1303" s="12"/>
      <c r="AT1303" s="12"/>
      <c r="AU1303" s="12"/>
      <c r="AV1303" s="12"/>
      <c r="AW1303" s="12"/>
      <c r="AX1303" s="12"/>
      <c r="AY1303" s="12"/>
      <c r="AZ1303" s="12"/>
      <c r="BA1303" s="12"/>
      <c r="BB1303" s="12"/>
      <c r="BC1303" s="12"/>
      <c r="BD1303" s="12"/>
      <c r="BE1303" s="12"/>
      <c r="BF1303" s="12"/>
      <c r="BG1303" s="12"/>
      <c r="BH1303" s="12"/>
      <c r="BI1303" s="12"/>
      <c r="BJ1303" s="12"/>
      <c r="BK1303" s="12"/>
      <c r="BL1303" s="12"/>
      <c r="BM1303" s="12"/>
      <c r="BN1303" s="12"/>
      <c r="BO1303" s="12"/>
      <c r="BP1303" s="12"/>
      <c r="BQ1303" s="12"/>
      <c r="BR1303" s="12"/>
      <c r="BS1303" s="12"/>
      <c r="BT1303" s="12"/>
    </row>
    <row r="1304" spans="1:72">
      <c r="A1304" s="2" t="s">
        <v>25197</v>
      </c>
      <c r="B1304" s="5" t="s">
        <v>25202</v>
      </c>
      <c r="C1304" s="3" t="s">
        <v>138</v>
      </c>
      <c r="D1304" s="4" t="s">
        <v>138</v>
      </c>
      <c r="E1304" s="15" t="s">
        <v>17011</v>
      </c>
      <c r="F1304" s="15" t="s">
        <v>138</v>
      </c>
      <c r="G1304" s="15" t="s">
        <v>1319</v>
      </c>
      <c r="H1304" s="7">
        <v>3</v>
      </c>
      <c r="I1304" s="6" t="s">
        <v>25212</v>
      </c>
      <c r="J1304" s="6" t="s">
        <v>7802</v>
      </c>
      <c r="K1304" s="6" t="s">
        <v>38721</v>
      </c>
      <c r="L1304" s="6" t="s">
        <v>40872</v>
      </c>
      <c r="M1304" s="6"/>
      <c r="N1304" s="6"/>
      <c r="O1304" s="6"/>
      <c r="P1304" s="6"/>
      <c r="Q1304" s="6"/>
      <c r="R1304" s="6"/>
      <c r="S1304" s="6"/>
      <c r="T1304" s="6"/>
      <c r="U1304" s="6"/>
      <c r="V1304" s="6"/>
      <c r="W1304" s="6"/>
      <c r="X1304" s="6"/>
      <c r="Y1304" s="6"/>
      <c r="Z1304" s="6"/>
      <c r="AA1304" s="6"/>
      <c r="AB1304" s="6"/>
      <c r="AC1304" s="6"/>
      <c r="AD1304" s="6"/>
      <c r="AE1304" s="6"/>
      <c r="AF1304" s="6"/>
      <c r="AG1304" s="6"/>
      <c r="AH1304" s="6"/>
      <c r="AI1304" s="6"/>
      <c r="AJ1304" s="6"/>
      <c r="AK1304" s="6"/>
      <c r="AL1304" s="6"/>
      <c r="AM1304" s="6"/>
      <c r="AN1304" s="6"/>
      <c r="AO1304" s="6"/>
      <c r="AP1304" s="6"/>
      <c r="AQ1304" s="6"/>
      <c r="AR1304" s="6"/>
      <c r="AS1304" s="6"/>
      <c r="AT1304" s="6"/>
      <c r="AU1304" s="6"/>
      <c r="AV1304" s="6"/>
      <c r="AW1304" s="6"/>
      <c r="AX1304" s="6"/>
      <c r="AY1304" s="6"/>
      <c r="AZ1304" s="6"/>
      <c r="BA1304" s="6"/>
      <c r="BB1304" s="6"/>
      <c r="BC1304" s="6"/>
      <c r="BD1304" s="6"/>
      <c r="BE1304" s="6"/>
      <c r="BF1304" s="6"/>
      <c r="BG1304" s="6"/>
      <c r="BH1304" s="6"/>
      <c r="BI1304" s="6"/>
      <c r="BJ1304" s="6"/>
      <c r="BK1304" s="6"/>
      <c r="BL1304" s="6"/>
      <c r="BM1304" s="6"/>
      <c r="BN1304" s="6"/>
      <c r="BO1304" s="6"/>
      <c r="BP1304" s="6"/>
      <c r="BQ1304" s="6"/>
      <c r="BR1304" s="6"/>
      <c r="BS1304" s="6"/>
      <c r="BT1304" s="6"/>
    </row>
    <row r="1305" spans="1:72">
      <c r="A1305" s="8" t="s">
        <v>25215</v>
      </c>
      <c r="B1305" s="11" t="s">
        <v>25220</v>
      </c>
      <c r="C1305" s="9" t="s">
        <v>138</v>
      </c>
      <c r="D1305" s="10" t="s">
        <v>25216</v>
      </c>
      <c r="E1305" s="28" t="s">
        <v>2882</v>
      </c>
      <c r="F1305" s="28" t="s">
        <v>2883</v>
      </c>
      <c r="G1305" s="28" t="s">
        <v>162</v>
      </c>
      <c r="H1305" s="13">
        <v>9</v>
      </c>
      <c r="I1305" s="12" t="s">
        <v>25229</v>
      </c>
      <c r="J1305" s="12" t="s">
        <v>44205</v>
      </c>
      <c r="K1305" s="12" t="s">
        <v>39450</v>
      </c>
      <c r="L1305" s="12" t="s">
        <v>39152</v>
      </c>
      <c r="M1305" s="12" t="s">
        <v>38164</v>
      </c>
      <c r="N1305" s="12" t="s">
        <v>43360</v>
      </c>
      <c r="O1305" s="12" t="s">
        <v>43872</v>
      </c>
      <c r="P1305" s="12" t="s">
        <v>44040</v>
      </c>
      <c r="Q1305" s="12" t="s">
        <v>44206</v>
      </c>
      <c r="R1305" s="12" t="s">
        <v>44207</v>
      </c>
      <c r="S1305" s="12"/>
      <c r="T1305" s="12"/>
      <c r="U1305" s="12"/>
      <c r="V1305" s="12"/>
      <c r="W1305" s="12"/>
      <c r="X1305" s="12"/>
      <c r="Y1305" s="12"/>
      <c r="Z1305" s="12"/>
      <c r="AA1305" s="12"/>
      <c r="AB1305" s="12"/>
      <c r="AC1305" s="12"/>
      <c r="AD1305" s="12"/>
      <c r="AE1305" s="12"/>
      <c r="AF1305" s="12"/>
      <c r="AG1305" s="12"/>
      <c r="AH1305" s="12"/>
      <c r="AI1305" s="12"/>
      <c r="AJ1305" s="12"/>
      <c r="AK1305" s="12"/>
      <c r="AL1305" s="12"/>
      <c r="AM1305" s="12"/>
      <c r="AN1305" s="12"/>
      <c r="AO1305" s="12"/>
      <c r="AP1305" s="12"/>
      <c r="AQ1305" s="12"/>
      <c r="AR1305" s="12"/>
      <c r="AS1305" s="12"/>
      <c r="AT1305" s="12"/>
      <c r="AU1305" s="12"/>
      <c r="AV1305" s="12"/>
      <c r="AW1305" s="12"/>
      <c r="AX1305" s="12"/>
      <c r="AY1305" s="12"/>
      <c r="AZ1305" s="12"/>
      <c r="BA1305" s="12"/>
      <c r="BB1305" s="12"/>
      <c r="BC1305" s="12"/>
      <c r="BD1305" s="12"/>
      <c r="BE1305" s="12"/>
      <c r="BF1305" s="12"/>
      <c r="BG1305" s="12"/>
      <c r="BH1305" s="12"/>
      <c r="BI1305" s="12"/>
      <c r="BJ1305" s="12"/>
      <c r="BK1305" s="12"/>
      <c r="BL1305" s="12"/>
      <c r="BM1305" s="12"/>
      <c r="BN1305" s="12"/>
      <c r="BO1305" s="12"/>
      <c r="BP1305" s="12"/>
      <c r="BQ1305" s="12"/>
      <c r="BR1305" s="12"/>
      <c r="BS1305" s="12"/>
      <c r="BT1305" s="12"/>
    </row>
    <row r="1306" spans="1:72">
      <c r="A1306" s="2" t="s">
        <v>25233</v>
      </c>
      <c r="B1306" s="5" t="s">
        <v>25239</v>
      </c>
      <c r="C1306" s="3" t="s">
        <v>138</v>
      </c>
      <c r="D1306" s="4" t="s">
        <v>25234</v>
      </c>
      <c r="E1306" s="15" t="s">
        <v>1223</v>
      </c>
      <c r="F1306" s="15" t="s">
        <v>200</v>
      </c>
      <c r="G1306" s="15" t="s">
        <v>162</v>
      </c>
      <c r="H1306" s="7">
        <v>5</v>
      </c>
      <c r="I1306" s="6" t="s">
        <v>25249</v>
      </c>
      <c r="J1306" s="6" t="s">
        <v>42529</v>
      </c>
      <c r="K1306" s="6" t="s">
        <v>42013</v>
      </c>
      <c r="L1306" s="6" t="s">
        <v>41148</v>
      </c>
      <c r="M1306" s="6" t="s">
        <v>40464</v>
      </c>
      <c r="N1306" s="6" t="s">
        <v>44208</v>
      </c>
      <c r="O1306" s="6"/>
      <c r="P1306" s="6"/>
      <c r="Q1306" s="6"/>
      <c r="R1306" s="6"/>
      <c r="S1306" s="6"/>
      <c r="T1306" s="6"/>
      <c r="U1306" s="6"/>
      <c r="V1306" s="6"/>
      <c r="W1306" s="6"/>
      <c r="X1306" s="6"/>
      <c r="Y1306" s="6"/>
      <c r="Z1306" s="6"/>
      <c r="AA1306" s="6"/>
      <c r="AB1306" s="6"/>
      <c r="AC1306" s="6"/>
      <c r="AD1306" s="6"/>
      <c r="AE1306" s="6"/>
      <c r="AF1306" s="6"/>
      <c r="AG1306" s="6"/>
      <c r="AH1306" s="6"/>
      <c r="AI1306" s="6"/>
      <c r="AJ1306" s="6"/>
      <c r="AK1306" s="6"/>
      <c r="AL1306" s="6"/>
      <c r="AM1306" s="6"/>
      <c r="AN1306" s="6"/>
      <c r="AO1306" s="6"/>
      <c r="AP1306" s="6"/>
      <c r="AQ1306" s="6"/>
      <c r="AR1306" s="6"/>
      <c r="AS1306" s="6"/>
      <c r="AT1306" s="6"/>
      <c r="AU1306" s="6"/>
      <c r="AV1306" s="6"/>
      <c r="AW1306" s="6"/>
      <c r="AX1306" s="6"/>
      <c r="AY1306" s="6"/>
      <c r="AZ1306" s="6"/>
      <c r="BA1306" s="6"/>
      <c r="BB1306" s="6"/>
      <c r="BC1306" s="6"/>
      <c r="BD1306" s="6"/>
      <c r="BE1306" s="6"/>
      <c r="BF1306" s="6"/>
      <c r="BG1306" s="6"/>
      <c r="BH1306" s="6"/>
      <c r="BI1306" s="6"/>
      <c r="BJ1306" s="6"/>
      <c r="BK1306" s="6"/>
      <c r="BL1306" s="6"/>
      <c r="BM1306" s="6"/>
      <c r="BN1306" s="6"/>
      <c r="BO1306" s="6"/>
      <c r="BP1306" s="6"/>
      <c r="BQ1306" s="6"/>
      <c r="BR1306" s="6"/>
      <c r="BS1306" s="6"/>
      <c r="BT1306" s="6"/>
    </row>
    <row r="1307" spans="1:72">
      <c r="A1307" s="8" t="s">
        <v>25254</v>
      </c>
      <c r="B1307" s="11" t="s">
        <v>25260</v>
      </c>
      <c r="C1307" s="9" t="s">
        <v>138</v>
      </c>
      <c r="D1307" s="10" t="s">
        <v>25255</v>
      </c>
      <c r="E1307" s="28" t="s">
        <v>3111</v>
      </c>
      <c r="F1307" s="28" t="s">
        <v>3112</v>
      </c>
      <c r="G1307" s="28" t="s">
        <v>2742</v>
      </c>
      <c r="H1307" s="13">
        <v>2</v>
      </c>
      <c r="I1307" s="12" t="s">
        <v>25271</v>
      </c>
      <c r="J1307" s="12" t="s">
        <v>44209</v>
      </c>
      <c r="K1307" s="12" t="s">
        <v>38775</v>
      </c>
      <c r="L1307" s="12"/>
      <c r="M1307" s="12"/>
      <c r="N1307" s="12"/>
      <c r="O1307" s="12"/>
      <c r="P1307" s="12"/>
      <c r="Q1307" s="12"/>
      <c r="R1307" s="12"/>
      <c r="S1307" s="12"/>
      <c r="T1307" s="12"/>
      <c r="U1307" s="12"/>
      <c r="V1307" s="12"/>
      <c r="W1307" s="12"/>
      <c r="X1307" s="12"/>
      <c r="Y1307" s="12"/>
      <c r="Z1307" s="12"/>
      <c r="AA1307" s="12"/>
      <c r="AB1307" s="12"/>
      <c r="AC1307" s="12"/>
      <c r="AD1307" s="12"/>
      <c r="AE1307" s="12"/>
      <c r="AF1307" s="12"/>
      <c r="AG1307" s="12"/>
      <c r="AH1307" s="12"/>
      <c r="AI1307" s="12"/>
      <c r="AJ1307" s="12"/>
      <c r="AK1307" s="12"/>
      <c r="AL1307" s="12"/>
      <c r="AM1307" s="12"/>
      <c r="AN1307" s="12"/>
      <c r="AO1307" s="12"/>
      <c r="AP1307" s="12"/>
      <c r="AQ1307" s="12"/>
      <c r="AR1307" s="12"/>
      <c r="AS1307" s="12"/>
      <c r="AT1307" s="12"/>
      <c r="AU1307" s="12"/>
      <c r="AV1307" s="12"/>
      <c r="AW1307" s="12"/>
      <c r="AX1307" s="12"/>
      <c r="AY1307" s="12"/>
      <c r="AZ1307" s="12"/>
      <c r="BA1307" s="12"/>
      <c r="BB1307" s="12"/>
      <c r="BC1307" s="12"/>
      <c r="BD1307" s="12"/>
      <c r="BE1307" s="12"/>
      <c r="BF1307" s="12"/>
      <c r="BG1307" s="12"/>
      <c r="BH1307" s="12"/>
      <c r="BI1307" s="12"/>
      <c r="BJ1307" s="12"/>
      <c r="BK1307" s="12"/>
      <c r="BL1307" s="12"/>
      <c r="BM1307" s="12"/>
      <c r="BN1307" s="12"/>
      <c r="BO1307" s="12"/>
      <c r="BP1307" s="12"/>
      <c r="BQ1307" s="12"/>
      <c r="BR1307" s="12"/>
      <c r="BS1307" s="12"/>
      <c r="BT1307" s="12"/>
    </row>
    <row r="1308" spans="1:72">
      <c r="A1308" s="2" t="s">
        <v>25276</v>
      </c>
      <c r="B1308" s="5" t="s">
        <v>25279</v>
      </c>
      <c r="C1308" s="3" t="s">
        <v>138</v>
      </c>
      <c r="D1308" s="4" t="s">
        <v>138</v>
      </c>
      <c r="E1308" s="15" t="s">
        <v>4604</v>
      </c>
      <c r="F1308" s="15" t="s">
        <v>17451</v>
      </c>
      <c r="G1308" s="15" t="s">
        <v>2071</v>
      </c>
      <c r="H1308" s="7">
        <v>6</v>
      </c>
      <c r="I1308" s="6" t="s">
        <v>25289</v>
      </c>
      <c r="J1308" s="6" t="s">
        <v>39194</v>
      </c>
      <c r="K1308" s="6" t="s">
        <v>38200</v>
      </c>
      <c r="L1308" s="6" t="s">
        <v>40904</v>
      </c>
      <c r="M1308" s="6" t="s">
        <v>40048</v>
      </c>
      <c r="N1308" s="6" t="s">
        <v>44210</v>
      </c>
      <c r="O1308" s="6" t="s">
        <v>44211</v>
      </c>
      <c r="P1308" s="6"/>
      <c r="Q1308" s="6"/>
      <c r="R1308" s="6"/>
      <c r="S1308" s="6"/>
      <c r="T1308" s="6"/>
      <c r="U1308" s="6"/>
      <c r="V1308" s="6"/>
      <c r="W1308" s="6"/>
      <c r="X1308" s="6"/>
      <c r="Y1308" s="6"/>
      <c r="Z1308" s="6"/>
      <c r="AA1308" s="6"/>
      <c r="AB1308" s="6"/>
      <c r="AC1308" s="6"/>
      <c r="AD1308" s="6"/>
      <c r="AE1308" s="6"/>
      <c r="AF1308" s="6"/>
      <c r="AG1308" s="6"/>
      <c r="AH1308" s="6"/>
      <c r="AI1308" s="6"/>
      <c r="AJ1308" s="6"/>
      <c r="AK1308" s="6"/>
      <c r="AL1308" s="6"/>
      <c r="AM1308" s="6"/>
      <c r="AN1308" s="6"/>
      <c r="AO1308" s="6"/>
      <c r="AP1308" s="6"/>
      <c r="AQ1308" s="6"/>
      <c r="AR1308" s="6"/>
      <c r="AS1308" s="6"/>
      <c r="AT1308" s="6"/>
      <c r="AU1308" s="6"/>
      <c r="AV1308" s="6"/>
      <c r="AW1308" s="6"/>
      <c r="AX1308" s="6"/>
      <c r="AY1308" s="6"/>
      <c r="AZ1308" s="6"/>
      <c r="BA1308" s="6"/>
      <c r="BB1308" s="6"/>
      <c r="BC1308" s="6"/>
      <c r="BD1308" s="6"/>
      <c r="BE1308" s="6"/>
      <c r="BF1308" s="6"/>
      <c r="BG1308" s="6"/>
      <c r="BH1308" s="6"/>
      <c r="BI1308" s="6"/>
      <c r="BJ1308" s="6"/>
      <c r="BK1308" s="6"/>
      <c r="BL1308" s="6"/>
      <c r="BM1308" s="6"/>
      <c r="BN1308" s="6"/>
      <c r="BO1308" s="6"/>
      <c r="BP1308" s="6"/>
      <c r="BQ1308" s="6"/>
      <c r="BR1308" s="6"/>
      <c r="BS1308" s="6"/>
      <c r="BT1308" s="6"/>
    </row>
    <row r="1309" spans="1:72">
      <c r="A1309" s="8" t="s">
        <v>25293</v>
      </c>
      <c r="B1309" s="11" t="s">
        <v>25298</v>
      </c>
      <c r="C1309" s="9" t="s">
        <v>25294</v>
      </c>
      <c r="D1309" s="10" t="s">
        <v>138</v>
      </c>
      <c r="E1309" s="28" t="s">
        <v>1768</v>
      </c>
      <c r="F1309" s="28" t="s">
        <v>200</v>
      </c>
      <c r="G1309" s="28" t="s">
        <v>162</v>
      </c>
      <c r="H1309" s="13">
        <v>46</v>
      </c>
      <c r="I1309" s="12" t="s">
        <v>25308</v>
      </c>
      <c r="J1309" s="12" t="s">
        <v>44212</v>
      </c>
      <c r="K1309" s="12" t="s">
        <v>44213</v>
      </c>
      <c r="L1309" s="12" t="s">
        <v>44214</v>
      </c>
      <c r="M1309" s="12" t="s">
        <v>44215</v>
      </c>
      <c r="N1309" s="12" t="s">
        <v>39687</v>
      </c>
      <c r="O1309" s="12" t="s">
        <v>44216</v>
      </c>
      <c r="P1309" s="12" t="s">
        <v>38175</v>
      </c>
      <c r="Q1309" s="12" t="s">
        <v>38569</v>
      </c>
      <c r="R1309" s="12" t="s">
        <v>44217</v>
      </c>
      <c r="S1309" s="12" t="s">
        <v>44218</v>
      </c>
      <c r="T1309" s="12" t="s">
        <v>38209</v>
      </c>
      <c r="U1309" s="12" t="s">
        <v>44219</v>
      </c>
      <c r="V1309" s="12" t="s">
        <v>44220</v>
      </c>
      <c r="W1309" s="12" t="s">
        <v>44221</v>
      </c>
      <c r="X1309" s="12" t="s">
        <v>44222</v>
      </c>
      <c r="Y1309" s="12" t="s">
        <v>38931</v>
      </c>
      <c r="Z1309" s="12" t="s">
        <v>38113</v>
      </c>
      <c r="AA1309" s="12" t="s">
        <v>44223</v>
      </c>
      <c r="AB1309" s="12" t="s">
        <v>44224</v>
      </c>
      <c r="AC1309" s="12" t="s">
        <v>44225</v>
      </c>
      <c r="AD1309" s="12" t="s">
        <v>44226</v>
      </c>
      <c r="AE1309" s="12" t="s">
        <v>44227</v>
      </c>
      <c r="AF1309" s="12" t="s">
        <v>37922</v>
      </c>
      <c r="AG1309" s="12" t="s">
        <v>38397</v>
      </c>
      <c r="AH1309" s="12" t="s">
        <v>44228</v>
      </c>
      <c r="AI1309" s="12" t="s">
        <v>38723</v>
      </c>
      <c r="AJ1309" s="12" t="s">
        <v>43762</v>
      </c>
      <c r="AK1309" s="12" t="s">
        <v>37824</v>
      </c>
      <c r="AL1309" s="12" t="s">
        <v>44229</v>
      </c>
      <c r="AM1309" s="12" t="s">
        <v>44230</v>
      </c>
      <c r="AN1309" s="12" t="s">
        <v>38725</v>
      </c>
      <c r="AO1309" s="12" t="s">
        <v>44231</v>
      </c>
      <c r="AP1309" s="12" t="s">
        <v>44232</v>
      </c>
      <c r="AQ1309" s="12" t="s">
        <v>44233</v>
      </c>
      <c r="AR1309" s="12" t="s">
        <v>44210</v>
      </c>
      <c r="AS1309" s="12" t="s">
        <v>44234</v>
      </c>
      <c r="AT1309" s="12" t="s">
        <v>38506</v>
      </c>
      <c r="AU1309" s="12" t="s">
        <v>38471</v>
      </c>
      <c r="AV1309" s="12" t="s">
        <v>44235</v>
      </c>
      <c r="AW1309" s="12" t="s">
        <v>38582</v>
      </c>
      <c r="AX1309" s="12" t="s">
        <v>42630</v>
      </c>
      <c r="AY1309" s="12" t="s">
        <v>43442</v>
      </c>
      <c r="AZ1309" s="12" t="s">
        <v>44236</v>
      </c>
      <c r="BA1309" s="12" t="s">
        <v>44237</v>
      </c>
      <c r="BB1309" s="12" t="s">
        <v>41869</v>
      </c>
      <c r="BC1309" s="12" t="s">
        <v>38438</v>
      </c>
      <c r="BD1309" s="12"/>
      <c r="BE1309" s="12"/>
      <c r="BF1309" s="12"/>
      <c r="BG1309" s="12"/>
      <c r="BH1309" s="12"/>
      <c r="BI1309" s="12"/>
      <c r="BJ1309" s="12"/>
      <c r="BK1309" s="12"/>
      <c r="BL1309" s="12"/>
      <c r="BM1309" s="12"/>
      <c r="BN1309" s="12"/>
      <c r="BO1309" s="12"/>
      <c r="BP1309" s="12"/>
      <c r="BQ1309" s="12"/>
      <c r="BR1309" s="12"/>
      <c r="BS1309" s="12"/>
      <c r="BT1309" s="12"/>
    </row>
    <row r="1310" spans="1:72">
      <c r="A1310" s="2" t="s">
        <v>25311</v>
      </c>
      <c r="B1310" s="5" t="s">
        <v>25316</v>
      </c>
      <c r="C1310" s="3" t="s">
        <v>25312</v>
      </c>
      <c r="D1310" s="4" t="s">
        <v>138</v>
      </c>
      <c r="E1310" s="15" t="s">
        <v>25323</v>
      </c>
      <c r="F1310" s="15" t="s">
        <v>3712</v>
      </c>
      <c r="G1310" s="15" t="s">
        <v>162</v>
      </c>
      <c r="H1310" s="7">
        <v>2</v>
      </c>
      <c r="I1310" s="6" t="s">
        <v>25329</v>
      </c>
      <c r="J1310" s="6" t="s">
        <v>44238</v>
      </c>
      <c r="K1310" s="6" t="s">
        <v>39811</v>
      </c>
      <c r="L1310" s="6"/>
      <c r="M1310" s="6"/>
      <c r="N1310" s="6"/>
      <c r="O1310" s="6"/>
      <c r="P1310" s="6"/>
      <c r="Q1310" s="6"/>
      <c r="R1310" s="6"/>
      <c r="S1310" s="6"/>
      <c r="T1310" s="6"/>
      <c r="U1310" s="6"/>
      <c r="V1310" s="6"/>
      <c r="W1310" s="6"/>
      <c r="X1310" s="6"/>
      <c r="Y1310" s="6"/>
      <c r="Z1310" s="6"/>
      <c r="AA1310" s="6"/>
      <c r="AB1310" s="6"/>
      <c r="AC1310" s="6"/>
      <c r="AD1310" s="6"/>
      <c r="AE1310" s="6"/>
      <c r="AF1310" s="6"/>
      <c r="AG1310" s="6"/>
      <c r="AH1310" s="6"/>
      <c r="AI1310" s="6"/>
      <c r="AJ1310" s="6"/>
      <c r="AK1310" s="6"/>
      <c r="AL1310" s="6"/>
      <c r="AM1310" s="6"/>
      <c r="AN1310" s="6"/>
      <c r="AO1310" s="6"/>
      <c r="AP1310" s="6"/>
      <c r="AQ1310" s="6"/>
      <c r="AR1310" s="6"/>
      <c r="AS1310" s="6"/>
      <c r="AT1310" s="6"/>
      <c r="AU1310" s="6"/>
      <c r="AV1310" s="6"/>
      <c r="AW1310" s="6"/>
      <c r="AX1310" s="6"/>
      <c r="AY1310" s="6"/>
      <c r="AZ1310" s="6"/>
      <c r="BA1310" s="6"/>
      <c r="BB1310" s="6"/>
      <c r="BC1310" s="6"/>
      <c r="BD1310" s="6"/>
      <c r="BE1310" s="6"/>
      <c r="BF1310" s="6"/>
      <c r="BG1310" s="6"/>
      <c r="BH1310" s="6"/>
      <c r="BI1310" s="6"/>
      <c r="BJ1310" s="6"/>
      <c r="BK1310" s="6"/>
      <c r="BL1310" s="6"/>
      <c r="BM1310" s="6"/>
      <c r="BN1310" s="6"/>
      <c r="BO1310" s="6"/>
      <c r="BP1310" s="6"/>
      <c r="BQ1310" s="6"/>
      <c r="BR1310" s="6"/>
      <c r="BS1310" s="6"/>
      <c r="BT1310" s="6"/>
    </row>
    <row r="1311" spans="1:72">
      <c r="A1311" s="8" t="s">
        <v>25333</v>
      </c>
      <c r="B1311" s="11" t="s">
        <v>25338</v>
      </c>
      <c r="C1311" s="9" t="s">
        <v>138</v>
      </c>
      <c r="D1311" s="10" t="s">
        <v>138</v>
      </c>
      <c r="E1311" s="28" t="s">
        <v>3330</v>
      </c>
      <c r="F1311" s="28" t="s">
        <v>200</v>
      </c>
      <c r="G1311" s="28" t="s">
        <v>162</v>
      </c>
      <c r="H1311" s="13">
        <v>13</v>
      </c>
      <c r="I1311" s="12" t="s">
        <v>25345</v>
      </c>
      <c r="J1311" s="12" t="s">
        <v>44239</v>
      </c>
      <c r="K1311" s="12" t="s">
        <v>43145</v>
      </c>
      <c r="L1311" s="12" t="s">
        <v>44240</v>
      </c>
      <c r="M1311" s="12" t="s">
        <v>44241</v>
      </c>
      <c r="N1311" s="12" t="s">
        <v>44242</v>
      </c>
      <c r="O1311" s="12" t="s">
        <v>44243</v>
      </c>
      <c r="P1311" s="12" t="s">
        <v>44244</v>
      </c>
      <c r="Q1311" s="12" t="s">
        <v>44245</v>
      </c>
      <c r="R1311" s="12" t="s">
        <v>44246</v>
      </c>
      <c r="S1311" s="12" t="s">
        <v>44247</v>
      </c>
      <c r="T1311" s="12" t="s">
        <v>44248</v>
      </c>
      <c r="U1311" s="12" t="s">
        <v>37781</v>
      </c>
      <c r="V1311" s="12" t="s">
        <v>44249</v>
      </c>
      <c r="W1311" s="12"/>
      <c r="X1311" s="12"/>
      <c r="Y1311" s="12"/>
      <c r="Z1311" s="12"/>
      <c r="AA1311" s="12"/>
      <c r="AB1311" s="12"/>
      <c r="AC1311" s="12"/>
      <c r="AD1311" s="12"/>
      <c r="AE1311" s="12"/>
      <c r="AF1311" s="12"/>
      <c r="AG1311" s="12"/>
      <c r="AH1311" s="12"/>
      <c r="AI1311" s="12"/>
      <c r="AJ1311" s="12"/>
      <c r="AK1311" s="12"/>
      <c r="AL1311" s="12"/>
      <c r="AM1311" s="12"/>
      <c r="AN1311" s="12"/>
      <c r="AO1311" s="12"/>
      <c r="AP1311" s="12"/>
      <c r="AQ1311" s="12"/>
      <c r="AR1311" s="12"/>
      <c r="AS1311" s="12"/>
      <c r="AT1311" s="12"/>
      <c r="AU1311" s="12"/>
      <c r="AV1311" s="12"/>
      <c r="AW1311" s="12"/>
      <c r="AX1311" s="12"/>
      <c r="AY1311" s="12"/>
      <c r="AZ1311" s="12"/>
      <c r="BA1311" s="12"/>
      <c r="BB1311" s="12"/>
      <c r="BC1311" s="12"/>
      <c r="BD1311" s="12"/>
      <c r="BE1311" s="12"/>
      <c r="BF1311" s="12"/>
      <c r="BG1311" s="12"/>
      <c r="BH1311" s="12"/>
      <c r="BI1311" s="12"/>
      <c r="BJ1311" s="12"/>
      <c r="BK1311" s="12"/>
      <c r="BL1311" s="12"/>
      <c r="BM1311" s="12"/>
      <c r="BN1311" s="12"/>
      <c r="BO1311" s="12"/>
      <c r="BP1311" s="12"/>
      <c r="BQ1311" s="12"/>
      <c r="BR1311" s="12"/>
      <c r="BS1311" s="12"/>
      <c r="BT1311" s="12"/>
    </row>
    <row r="1312" spans="1:72">
      <c r="A1312" s="2" t="s">
        <v>25348</v>
      </c>
      <c r="B1312" s="5" t="s">
        <v>25353</v>
      </c>
      <c r="C1312" s="3" t="s">
        <v>138</v>
      </c>
      <c r="D1312" s="4" t="s">
        <v>138</v>
      </c>
      <c r="E1312" s="15" t="s">
        <v>668</v>
      </c>
      <c r="F1312" s="15" t="s">
        <v>200</v>
      </c>
      <c r="G1312" s="15" t="s">
        <v>162</v>
      </c>
      <c r="H1312" s="7">
        <v>15</v>
      </c>
      <c r="I1312" s="6" t="s">
        <v>25360</v>
      </c>
      <c r="J1312" s="6" t="s">
        <v>43193</v>
      </c>
      <c r="K1312" s="6" t="s">
        <v>44250</v>
      </c>
      <c r="L1312" s="6" t="s">
        <v>44251</v>
      </c>
      <c r="M1312" s="6" t="s">
        <v>40057</v>
      </c>
      <c r="N1312" s="6" t="s">
        <v>44252</v>
      </c>
      <c r="O1312" s="6" t="s">
        <v>40495</v>
      </c>
      <c r="P1312" s="6" t="s">
        <v>40763</v>
      </c>
      <c r="Q1312" s="6" t="s">
        <v>40979</v>
      </c>
      <c r="R1312" s="6" t="s">
        <v>37839</v>
      </c>
      <c r="S1312" s="6" t="s">
        <v>37998</v>
      </c>
      <c r="T1312" s="6" t="s">
        <v>44253</v>
      </c>
      <c r="U1312" s="6" t="s">
        <v>38363</v>
      </c>
      <c r="V1312" s="6" t="s">
        <v>38731</v>
      </c>
      <c r="W1312" s="6" t="s">
        <v>44254</v>
      </c>
      <c r="X1312" s="6" t="s">
        <v>44255</v>
      </c>
      <c r="Y1312" s="6"/>
      <c r="Z1312" s="6"/>
      <c r="AA1312" s="6"/>
      <c r="AB1312" s="6"/>
      <c r="AC1312" s="6"/>
      <c r="AD1312" s="6"/>
      <c r="AE1312" s="6"/>
      <c r="AF1312" s="6"/>
      <c r="AG1312" s="6"/>
      <c r="AH1312" s="6"/>
      <c r="AI1312" s="6"/>
      <c r="AJ1312" s="6"/>
      <c r="AK1312" s="6"/>
      <c r="AL1312" s="6"/>
      <c r="AM1312" s="6"/>
      <c r="AN1312" s="6"/>
      <c r="AO1312" s="6"/>
      <c r="AP1312" s="6"/>
      <c r="AQ1312" s="6"/>
      <c r="AR1312" s="6"/>
      <c r="AS1312" s="6"/>
      <c r="AT1312" s="6"/>
      <c r="AU1312" s="6"/>
      <c r="AV1312" s="6"/>
      <c r="AW1312" s="6"/>
      <c r="AX1312" s="6"/>
      <c r="AY1312" s="6"/>
      <c r="AZ1312" s="6"/>
      <c r="BA1312" s="6"/>
      <c r="BB1312" s="6"/>
      <c r="BC1312" s="6"/>
      <c r="BD1312" s="6"/>
      <c r="BE1312" s="6"/>
      <c r="BF1312" s="6"/>
      <c r="BG1312" s="6"/>
      <c r="BH1312" s="6"/>
      <c r="BI1312" s="6"/>
      <c r="BJ1312" s="6"/>
      <c r="BK1312" s="6"/>
      <c r="BL1312" s="6"/>
      <c r="BM1312" s="6"/>
      <c r="BN1312" s="6"/>
      <c r="BO1312" s="6"/>
      <c r="BP1312" s="6"/>
      <c r="BQ1312" s="6"/>
      <c r="BR1312" s="6"/>
      <c r="BS1312" s="6"/>
      <c r="BT1312" s="6"/>
    </row>
    <row r="1313" spans="1:72">
      <c r="A1313" s="8" t="s">
        <v>25364</v>
      </c>
      <c r="B1313" s="11" t="s">
        <v>25372</v>
      </c>
      <c r="C1313" s="9" t="s">
        <v>25365</v>
      </c>
      <c r="D1313" s="10" t="s">
        <v>25366</v>
      </c>
      <c r="E1313" s="28" t="s">
        <v>1223</v>
      </c>
      <c r="F1313" s="28" t="s">
        <v>200</v>
      </c>
      <c r="G1313" s="28" t="s">
        <v>162</v>
      </c>
      <c r="H1313" s="13">
        <v>27</v>
      </c>
      <c r="I1313" s="12" t="s">
        <v>25383</v>
      </c>
      <c r="J1313" s="12" t="s">
        <v>44256</v>
      </c>
      <c r="K1313" s="12" t="s">
        <v>44257</v>
      </c>
      <c r="L1313" s="12" t="s">
        <v>44258</v>
      </c>
      <c r="M1313" s="12" t="s">
        <v>44259</v>
      </c>
      <c r="N1313" s="12" t="s">
        <v>37798</v>
      </c>
      <c r="O1313" s="12" t="s">
        <v>42543</v>
      </c>
      <c r="P1313" s="12" t="s">
        <v>43612</v>
      </c>
      <c r="Q1313" s="12" t="s">
        <v>44039</v>
      </c>
      <c r="R1313" s="12" t="s">
        <v>41197</v>
      </c>
      <c r="S1313" s="12" t="s">
        <v>40438</v>
      </c>
      <c r="T1313" s="12" t="s">
        <v>39952</v>
      </c>
      <c r="U1313" s="12" t="s">
        <v>44260</v>
      </c>
      <c r="V1313" s="12" t="s">
        <v>42686</v>
      </c>
      <c r="W1313" s="12" t="s">
        <v>39195</v>
      </c>
      <c r="X1313" s="12" t="s">
        <v>44261</v>
      </c>
      <c r="Y1313" s="12" t="s">
        <v>44262</v>
      </c>
      <c r="Z1313" s="12" t="s">
        <v>44263</v>
      </c>
      <c r="AA1313" s="12" t="s">
        <v>44264</v>
      </c>
      <c r="AB1313" s="12" t="s">
        <v>44265</v>
      </c>
      <c r="AC1313" s="12" t="s">
        <v>44266</v>
      </c>
      <c r="AD1313" s="12" t="s">
        <v>38200</v>
      </c>
      <c r="AE1313" s="12" t="s">
        <v>44267</v>
      </c>
      <c r="AF1313" s="12" t="s">
        <v>40781</v>
      </c>
      <c r="AG1313" s="12" t="s">
        <v>39466</v>
      </c>
      <c r="AH1313" s="12" t="s">
        <v>42552</v>
      </c>
      <c r="AI1313" s="12" t="s">
        <v>44268</v>
      </c>
      <c r="AJ1313" s="12" t="s">
        <v>42206</v>
      </c>
      <c r="AK1313" s="12"/>
      <c r="AL1313" s="12"/>
      <c r="AM1313" s="12"/>
      <c r="AN1313" s="12"/>
      <c r="AO1313" s="12"/>
      <c r="AP1313" s="12"/>
      <c r="AQ1313" s="12"/>
      <c r="AR1313" s="12"/>
      <c r="AS1313" s="12"/>
      <c r="AT1313" s="12"/>
      <c r="AU1313" s="12"/>
      <c r="AV1313" s="12"/>
      <c r="AW1313" s="12"/>
      <c r="AX1313" s="12"/>
      <c r="AY1313" s="12"/>
      <c r="AZ1313" s="12"/>
      <c r="BA1313" s="12"/>
      <c r="BB1313" s="12"/>
      <c r="BC1313" s="12"/>
      <c r="BD1313" s="12"/>
      <c r="BE1313" s="12"/>
      <c r="BF1313" s="12"/>
      <c r="BG1313" s="12"/>
      <c r="BH1313" s="12"/>
      <c r="BI1313" s="12"/>
      <c r="BJ1313" s="12"/>
      <c r="BK1313" s="12"/>
      <c r="BL1313" s="12"/>
      <c r="BM1313" s="12"/>
      <c r="BN1313" s="12"/>
      <c r="BO1313" s="12"/>
      <c r="BP1313" s="12"/>
      <c r="BQ1313" s="12"/>
      <c r="BR1313" s="12"/>
      <c r="BS1313" s="12"/>
      <c r="BT1313" s="12"/>
    </row>
    <row r="1314" spans="1:72">
      <c r="A1314" s="2" t="s">
        <v>25389</v>
      </c>
      <c r="B1314" s="5" t="s">
        <v>25394</v>
      </c>
      <c r="C1314" s="3" t="s">
        <v>138</v>
      </c>
      <c r="D1314" s="4" t="s">
        <v>25390</v>
      </c>
      <c r="E1314" s="15" t="s">
        <v>25401</v>
      </c>
      <c r="F1314" s="15" t="s">
        <v>2740</v>
      </c>
      <c r="G1314" s="15" t="s">
        <v>2742</v>
      </c>
      <c r="H1314" s="7">
        <v>22</v>
      </c>
      <c r="I1314" s="6" t="s">
        <v>25405</v>
      </c>
      <c r="J1314" s="6" t="s">
        <v>39029</v>
      </c>
      <c r="K1314" s="6" t="s">
        <v>44269</v>
      </c>
      <c r="L1314" s="6" t="s">
        <v>39411</v>
      </c>
      <c r="M1314" s="6" t="s">
        <v>41814</v>
      </c>
      <c r="N1314" s="6" t="s">
        <v>39621</v>
      </c>
      <c r="O1314" s="6" t="s">
        <v>41786</v>
      </c>
      <c r="P1314" s="6" t="s">
        <v>37799</v>
      </c>
      <c r="Q1314" s="6" t="s">
        <v>37952</v>
      </c>
      <c r="R1314" s="6" t="s">
        <v>44270</v>
      </c>
      <c r="S1314" s="6" t="s">
        <v>38078</v>
      </c>
      <c r="T1314" s="6" t="s">
        <v>37998</v>
      </c>
      <c r="U1314" s="6" t="s">
        <v>39293</v>
      </c>
      <c r="V1314" s="6" t="s">
        <v>39521</v>
      </c>
      <c r="W1314" s="6" t="s">
        <v>39295</v>
      </c>
      <c r="X1314" s="6" t="s">
        <v>44271</v>
      </c>
      <c r="Y1314" s="6" t="s">
        <v>38626</v>
      </c>
      <c r="Z1314" s="6" t="s">
        <v>38767</v>
      </c>
      <c r="AA1314" s="6" t="s">
        <v>37783</v>
      </c>
      <c r="AB1314" s="6" t="s">
        <v>44272</v>
      </c>
      <c r="AC1314" s="6" t="s">
        <v>39301</v>
      </c>
      <c r="AD1314" s="6" t="s">
        <v>40185</v>
      </c>
      <c r="AE1314" s="6" t="s">
        <v>37976</v>
      </c>
      <c r="AF1314" s="6"/>
      <c r="AG1314" s="6"/>
      <c r="AH1314" s="6"/>
      <c r="AI1314" s="6"/>
      <c r="AJ1314" s="6"/>
      <c r="AK1314" s="6"/>
      <c r="AL1314" s="6"/>
      <c r="AM1314" s="6"/>
      <c r="AN1314" s="6"/>
      <c r="AO1314" s="6"/>
      <c r="AP1314" s="6"/>
      <c r="AQ1314" s="6"/>
      <c r="AR1314" s="6"/>
      <c r="AS1314" s="6"/>
      <c r="AT1314" s="6"/>
      <c r="AU1314" s="6"/>
      <c r="AV1314" s="6"/>
      <c r="AW1314" s="6"/>
      <c r="AX1314" s="6"/>
      <c r="AY1314" s="6"/>
      <c r="AZ1314" s="6"/>
      <c r="BA1314" s="6"/>
      <c r="BB1314" s="6"/>
      <c r="BC1314" s="6"/>
      <c r="BD1314" s="6"/>
      <c r="BE1314" s="6"/>
      <c r="BF1314" s="6"/>
      <c r="BG1314" s="6"/>
      <c r="BH1314" s="6"/>
      <c r="BI1314" s="6"/>
      <c r="BJ1314" s="6"/>
      <c r="BK1314" s="6"/>
      <c r="BL1314" s="6"/>
      <c r="BM1314" s="6"/>
      <c r="BN1314" s="6"/>
      <c r="BO1314" s="6"/>
      <c r="BP1314" s="6"/>
      <c r="BQ1314" s="6"/>
      <c r="BR1314" s="6"/>
      <c r="BS1314" s="6"/>
      <c r="BT1314" s="6"/>
    </row>
    <row r="1315" spans="1:72">
      <c r="A1315" s="8" t="s">
        <v>25408</v>
      </c>
      <c r="B1315" s="11" t="s">
        <v>25413</v>
      </c>
      <c r="C1315" s="9" t="s">
        <v>25409</v>
      </c>
      <c r="D1315" s="10" t="s">
        <v>25410</v>
      </c>
      <c r="E1315" s="28" t="s">
        <v>642</v>
      </c>
      <c r="F1315" s="28" t="s">
        <v>474</v>
      </c>
      <c r="G1315" s="28" t="s">
        <v>162</v>
      </c>
      <c r="H1315" s="13">
        <v>5</v>
      </c>
      <c r="I1315" s="12" t="s">
        <v>25422</v>
      </c>
      <c r="J1315" s="12" t="s">
        <v>40997</v>
      </c>
      <c r="K1315" s="12" t="s">
        <v>37883</v>
      </c>
      <c r="L1315" s="12" t="s">
        <v>44273</v>
      </c>
      <c r="M1315" s="12" t="s">
        <v>41683</v>
      </c>
      <c r="N1315" s="12" t="s">
        <v>38145</v>
      </c>
      <c r="O1315" s="12"/>
      <c r="P1315" s="12"/>
      <c r="Q1315" s="12"/>
      <c r="R1315" s="12"/>
      <c r="S1315" s="12"/>
      <c r="T1315" s="12"/>
      <c r="U1315" s="12"/>
      <c r="V1315" s="12"/>
      <c r="W1315" s="12"/>
      <c r="X1315" s="12"/>
      <c r="Y1315" s="12"/>
      <c r="Z1315" s="12"/>
      <c r="AA1315" s="12"/>
      <c r="AB1315" s="12"/>
      <c r="AC1315" s="12"/>
      <c r="AD1315" s="12"/>
      <c r="AE1315" s="12"/>
      <c r="AF1315" s="12"/>
      <c r="AG1315" s="12"/>
      <c r="AH1315" s="12"/>
      <c r="AI1315" s="12"/>
      <c r="AJ1315" s="12"/>
      <c r="AK1315" s="12"/>
      <c r="AL1315" s="12"/>
      <c r="AM1315" s="12"/>
      <c r="AN1315" s="12"/>
      <c r="AO1315" s="12"/>
      <c r="AP1315" s="12"/>
      <c r="AQ1315" s="12"/>
      <c r="AR1315" s="12"/>
      <c r="AS1315" s="12"/>
      <c r="AT1315" s="12"/>
      <c r="AU1315" s="12"/>
      <c r="AV1315" s="12"/>
      <c r="AW1315" s="12"/>
      <c r="AX1315" s="12"/>
      <c r="AY1315" s="12"/>
      <c r="AZ1315" s="12"/>
      <c r="BA1315" s="12"/>
      <c r="BB1315" s="12"/>
      <c r="BC1315" s="12"/>
      <c r="BD1315" s="12"/>
      <c r="BE1315" s="12"/>
      <c r="BF1315" s="12"/>
      <c r="BG1315" s="12"/>
      <c r="BH1315" s="12"/>
      <c r="BI1315" s="12"/>
      <c r="BJ1315" s="12"/>
      <c r="BK1315" s="12"/>
      <c r="BL1315" s="12"/>
      <c r="BM1315" s="12"/>
      <c r="BN1315" s="12"/>
      <c r="BO1315" s="12"/>
      <c r="BP1315" s="12"/>
      <c r="BQ1315" s="12"/>
      <c r="BR1315" s="12"/>
      <c r="BS1315" s="12"/>
      <c r="BT1315" s="12"/>
    </row>
    <row r="1316" spans="1:72">
      <c r="A1316" s="2" t="s">
        <v>25426</v>
      </c>
      <c r="B1316" s="5" t="s">
        <v>25431</v>
      </c>
      <c r="C1316" s="3" t="s">
        <v>138</v>
      </c>
      <c r="D1316" s="4" t="s">
        <v>25427</v>
      </c>
      <c r="E1316" s="15" t="s">
        <v>25401</v>
      </c>
      <c r="F1316" s="15" t="s">
        <v>2740</v>
      </c>
      <c r="G1316" s="15" t="s">
        <v>2742</v>
      </c>
      <c r="H1316" s="7">
        <v>11</v>
      </c>
      <c r="I1316" s="6" t="s">
        <v>25442</v>
      </c>
      <c r="J1316" s="6" t="s">
        <v>41879</v>
      </c>
      <c r="K1316" s="6" t="s">
        <v>39834</v>
      </c>
      <c r="L1316" s="6" t="s">
        <v>39835</v>
      </c>
      <c r="M1316" s="6" t="s">
        <v>39836</v>
      </c>
      <c r="N1316" s="6" t="s">
        <v>37795</v>
      </c>
      <c r="O1316" s="6" t="s">
        <v>42554</v>
      </c>
      <c r="P1316" s="6" t="s">
        <v>42769</v>
      </c>
      <c r="Q1316" s="6" t="s">
        <v>44274</v>
      </c>
      <c r="R1316" s="6" t="s">
        <v>41818</v>
      </c>
      <c r="S1316" s="6" t="s">
        <v>41594</v>
      </c>
      <c r="T1316" s="6" t="s">
        <v>38767</v>
      </c>
      <c r="U1316" s="6" t="s">
        <v>38895</v>
      </c>
      <c r="V1316" s="6"/>
      <c r="W1316" s="6"/>
      <c r="X1316" s="6"/>
      <c r="Y1316" s="6"/>
      <c r="Z1316" s="6"/>
      <c r="AA1316" s="6"/>
      <c r="AB1316" s="6"/>
      <c r="AC1316" s="6"/>
      <c r="AD1316" s="6"/>
      <c r="AE1316" s="6"/>
      <c r="AF1316" s="6"/>
      <c r="AG1316" s="6"/>
      <c r="AH1316" s="6"/>
      <c r="AI1316" s="6"/>
      <c r="AJ1316" s="6"/>
      <c r="AK1316" s="6"/>
      <c r="AL1316" s="6"/>
      <c r="AM1316" s="6"/>
      <c r="AN1316" s="6"/>
      <c r="AO1316" s="6"/>
      <c r="AP1316" s="6"/>
      <c r="AQ1316" s="6"/>
      <c r="AR1316" s="6"/>
      <c r="AS1316" s="6"/>
      <c r="AT1316" s="6"/>
      <c r="AU1316" s="6"/>
      <c r="AV1316" s="6"/>
      <c r="AW1316" s="6"/>
      <c r="AX1316" s="6"/>
      <c r="AY1316" s="6"/>
      <c r="AZ1316" s="6"/>
      <c r="BA1316" s="6"/>
      <c r="BB1316" s="6"/>
      <c r="BC1316" s="6"/>
      <c r="BD1316" s="6"/>
      <c r="BE1316" s="6"/>
      <c r="BF1316" s="6"/>
      <c r="BG1316" s="6"/>
      <c r="BH1316" s="6"/>
      <c r="BI1316" s="6"/>
      <c r="BJ1316" s="6"/>
      <c r="BK1316" s="6"/>
      <c r="BL1316" s="6"/>
      <c r="BM1316" s="6"/>
      <c r="BN1316" s="6"/>
      <c r="BO1316" s="6"/>
      <c r="BP1316" s="6"/>
      <c r="BQ1316" s="6"/>
      <c r="BR1316" s="6"/>
      <c r="BS1316" s="6"/>
      <c r="BT1316" s="6"/>
    </row>
    <row r="1317" spans="1:72">
      <c r="A1317" s="8" t="s">
        <v>25446</v>
      </c>
      <c r="B1317" s="11" t="s">
        <v>25451</v>
      </c>
      <c r="C1317" s="9" t="s">
        <v>138</v>
      </c>
      <c r="D1317" s="10" t="s">
        <v>138</v>
      </c>
      <c r="E1317" s="28" t="s">
        <v>25460</v>
      </c>
      <c r="F1317" s="28" t="s">
        <v>200</v>
      </c>
      <c r="G1317" s="28" t="s">
        <v>162</v>
      </c>
      <c r="H1317" s="13">
        <v>4</v>
      </c>
      <c r="I1317" s="12" t="s">
        <v>25466</v>
      </c>
      <c r="J1317" s="12" t="s">
        <v>44275</v>
      </c>
      <c r="K1317" s="12" t="s">
        <v>39201</v>
      </c>
      <c r="L1317" s="12" t="s">
        <v>44276</v>
      </c>
      <c r="M1317" s="12" t="s">
        <v>40651</v>
      </c>
      <c r="N1317" s="12"/>
      <c r="O1317" s="12"/>
      <c r="P1317" s="12"/>
      <c r="Q1317" s="12"/>
      <c r="R1317" s="12"/>
      <c r="S1317" s="12"/>
      <c r="T1317" s="12"/>
      <c r="U1317" s="12"/>
      <c r="V1317" s="12"/>
      <c r="W1317" s="12"/>
      <c r="X1317" s="12"/>
      <c r="Y1317" s="12"/>
      <c r="Z1317" s="12"/>
      <c r="AA1317" s="12"/>
      <c r="AB1317" s="12"/>
      <c r="AC1317" s="12"/>
      <c r="AD1317" s="12"/>
      <c r="AE1317" s="12"/>
      <c r="AF1317" s="12"/>
      <c r="AG1317" s="12"/>
      <c r="AH1317" s="12"/>
      <c r="AI1317" s="12"/>
      <c r="AJ1317" s="12"/>
      <c r="AK1317" s="12"/>
      <c r="AL1317" s="12"/>
      <c r="AM1317" s="12"/>
      <c r="AN1317" s="12"/>
      <c r="AO1317" s="12"/>
      <c r="AP1317" s="12"/>
      <c r="AQ1317" s="12"/>
      <c r="AR1317" s="12"/>
      <c r="AS1317" s="12"/>
      <c r="AT1317" s="12"/>
      <c r="AU1317" s="12"/>
      <c r="AV1317" s="12"/>
      <c r="AW1317" s="12"/>
      <c r="AX1317" s="12"/>
      <c r="AY1317" s="12"/>
      <c r="AZ1317" s="12"/>
      <c r="BA1317" s="12"/>
      <c r="BB1317" s="12"/>
      <c r="BC1317" s="12"/>
      <c r="BD1317" s="12"/>
      <c r="BE1317" s="12"/>
      <c r="BF1317" s="12"/>
      <c r="BG1317" s="12"/>
      <c r="BH1317" s="12"/>
      <c r="BI1317" s="12"/>
      <c r="BJ1317" s="12"/>
      <c r="BK1317" s="12"/>
      <c r="BL1317" s="12"/>
      <c r="BM1317" s="12"/>
      <c r="BN1317" s="12"/>
      <c r="BO1317" s="12"/>
      <c r="BP1317" s="12"/>
      <c r="BQ1317" s="12"/>
      <c r="BR1317" s="12"/>
      <c r="BS1317" s="12"/>
      <c r="BT1317" s="12"/>
    </row>
    <row r="1318" spans="1:72">
      <c r="A1318" s="2" t="s">
        <v>25470</v>
      </c>
      <c r="B1318" s="5" t="s">
        <v>25474</v>
      </c>
      <c r="C1318" s="3" t="s">
        <v>138</v>
      </c>
      <c r="D1318" s="4" t="s">
        <v>138</v>
      </c>
      <c r="E1318" s="15" t="s">
        <v>1872</v>
      </c>
      <c r="F1318" s="15" t="s">
        <v>200</v>
      </c>
      <c r="G1318" s="15" t="s">
        <v>162</v>
      </c>
      <c r="H1318" s="7">
        <v>1</v>
      </c>
      <c r="I1318" s="6" t="s">
        <v>25482</v>
      </c>
      <c r="J1318" s="6" t="s">
        <v>25482</v>
      </c>
      <c r="K1318" s="6"/>
      <c r="L1318" s="6"/>
      <c r="M1318" s="6"/>
      <c r="N1318" s="6"/>
      <c r="O1318" s="6"/>
      <c r="P1318" s="6"/>
      <c r="Q1318" s="6"/>
      <c r="R1318" s="6"/>
      <c r="S1318" s="6"/>
      <c r="T1318" s="6"/>
      <c r="U1318" s="6"/>
      <c r="V1318" s="6"/>
      <c r="W1318" s="6"/>
      <c r="X1318" s="6"/>
      <c r="Y1318" s="6"/>
      <c r="Z1318" s="6"/>
      <c r="AA1318" s="6"/>
      <c r="AB1318" s="6"/>
      <c r="AC1318" s="6"/>
      <c r="AD1318" s="6"/>
      <c r="AE1318" s="6"/>
      <c r="AF1318" s="6"/>
      <c r="AG1318" s="6"/>
      <c r="AH1318" s="6"/>
      <c r="AI1318" s="6"/>
      <c r="AJ1318" s="6"/>
      <c r="AK1318" s="6"/>
      <c r="AL1318" s="6"/>
      <c r="AM1318" s="6"/>
      <c r="AN1318" s="6"/>
      <c r="AO1318" s="6"/>
      <c r="AP1318" s="6"/>
      <c r="AQ1318" s="6"/>
      <c r="AR1318" s="6"/>
      <c r="AS1318" s="6"/>
      <c r="AT1318" s="6"/>
      <c r="AU1318" s="6"/>
      <c r="AV1318" s="6"/>
      <c r="AW1318" s="6"/>
      <c r="AX1318" s="6"/>
      <c r="AY1318" s="6"/>
      <c r="AZ1318" s="6"/>
      <c r="BA1318" s="6"/>
      <c r="BB1318" s="6"/>
      <c r="BC1318" s="6"/>
      <c r="BD1318" s="6"/>
      <c r="BE1318" s="6"/>
      <c r="BF1318" s="6"/>
      <c r="BG1318" s="6"/>
      <c r="BH1318" s="6"/>
      <c r="BI1318" s="6"/>
      <c r="BJ1318" s="6"/>
      <c r="BK1318" s="6"/>
      <c r="BL1318" s="6"/>
      <c r="BM1318" s="6"/>
      <c r="BN1318" s="6"/>
      <c r="BO1318" s="6"/>
      <c r="BP1318" s="6"/>
      <c r="BQ1318" s="6"/>
      <c r="BR1318" s="6"/>
      <c r="BS1318" s="6"/>
      <c r="BT1318" s="6"/>
    </row>
    <row r="1319" spans="1:72">
      <c r="A1319" s="8" t="s">
        <v>25485</v>
      </c>
      <c r="B1319" s="11" t="s">
        <v>25491</v>
      </c>
      <c r="C1319" s="9" t="s">
        <v>25486</v>
      </c>
      <c r="D1319" s="10" t="s">
        <v>25487</v>
      </c>
      <c r="E1319" s="28" t="s">
        <v>310</v>
      </c>
      <c r="F1319" s="28" t="s">
        <v>200</v>
      </c>
      <c r="G1319" s="28" t="s">
        <v>162</v>
      </c>
      <c r="H1319" s="13">
        <v>15</v>
      </c>
      <c r="I1319" s="12" t="s">
        <v>25500</v>
      </c>
      <c r="J1319" s="12" t="s">
        <v>39398</v>
      </c>
      <c r="K1319" s="12" t="s">
        <v>38339</v>
      </c>
      <c r="L1319" s="12" t="s">
        <v>38075</v>
      </c>
      <c r="M1319" s="12" t="s">
        <v>38299</v>
      </c>
      <c r="N1319" s="12" t="s">
        <v>42568</v>
      </c>
      <c r="O1319" s="12" t="s">
        <v>39388</v>
      </c>
      <c r="P1319" s="12" t="s">
        <v>37953</v>
      </c>
      <c r="Q1319" s="12" t="s">
        <v>42301</v>
      </c>
      <c r="R1319" s="12" t="s">
        <v>37883</v>
      </c>
      <c r="S1319" s="12" t="s">
        <v>40900</v>
      </c>
      <c r="T1319" s="12" t="s">
        <v>37781</v>
      </c>
      <c r="U1319" s="12" t="s">
        <v>37915</v>
      </c>
      <c r="V1319" s="12" t="s">
        <v>42493</v>
      </c>
      <c r="W1319" s="12" t="s">
        <v>37932</v>
      </c>
      <c r="X1319" s="12" t="s">
        <v>41372</v>
      </c>
      <c r="Y1319" s="12"/>
      <c r="Z1319" s="12"/>
      <c r="AA1319" s="12"/>
      <c r="AB1319" s="12"/>
      <c r="AC1319" s="12"/>
      <c r="AD1319" s="12"/>
      <c r="AE1319" s="12"/>
      <c r="AF1319" s="12"/>
      <c r="AG1319" s="12"/>
      <c r="AH1319" s="12"/>
      <c r="AI1319" s="12"/>
      <c r="AJ1319" s="12"/>
      <c r="AK1319" s="12"/>
      <c r="AL1319" s="12"/>
      <c r="AM1319" s="12"/>
      <c r="AN1319" s="12"/>
      <c r="AO1319" s="12"/>
      <c r="AP1319" s="12"/>
      <c r="AQ1319" s="12"/>
      <c r="AR1319" s="12"/>
      <c r="AS1319" s="12"/>
      <c r="AT1319" s="12"/>
      <c r="AU1319" s="12"/>
      <c r="AV1319" s="12"/>
      <c r="AW1319" s="12"/>
      <c r="AX1319" s="12"/>
      <c r="AY1319" s="12"/>
      <c r="AZ1319" s="12"/>
      <c r="BA1319" s="12"/>
      <c r="BB1319" s="12"/>
      <c r="BC1319" s="12"/>
      <c r="BD1319" s="12"/>
      <c r="BE1319" s="12"/>
      <c r="BF1319" s="12"/>
      <c r="BG1319" s="12"/>
      <c r="BH1319" s="12"/>
      <c r="BI1319" s="12"/>
      <c r="BJ1319" s="12"/>
      <c r="BK1319" s="12"/>
      <c r="BL1319" s="12"/>
      <c r="BM1319" s="12"/>
      <c r="BN1319" s="12"/>
      <c r="BO1319" s="12"/>
      <c r="BP1319" s="12"/>
      <c r="BQ1319" s="12"/>
      <c r="BR1319" s="12"/>
      <c r="BS1319" s="12"/>
      <c r="BT1319" s="12"/>
    </row>
    <row r="1320" spans="1:72">
      <c r="A1320" s="2" t="s">
        <v>25507</v>
      </c>
      <c r="B1320" s="5" t="s">
        <v>25513</v>
      </c>
      <c r="C1320" s="3" t="s">
        <v>138</v>
      </c>
      <c r="D1320" s="4" t="s">
        <v>25508</v>
      </c>
      <c r="E1320" s="15" t="s">
        <v>2330</v>
      </c>
      <c r="F1320" s="15" t="s">
        <v>2331</v>
      </c>
      <c r="G1320" s="15" t="s">
        <v>2333</v>
      </c>
      <c r="H1320" s="7">
        <v>12</v>
      </c>
      <c r="I1320" s="6" t="s">
        <v>25522</v>
      </c>
      <c r="J1320" s="6" t="s">
        <v>44277</v>
      </c>
      <c r="K1320" s="6" t="s">
        <v>44278</v>
      </c>
      <c r="L1320" s="6" t="s">
        <v>44279</v>
      </c>
      <c r="M1320" s="6" t="s">
        <v>44280</v>
      </c>
      <c r="N1320" s="6" t="s">
        <v>44281</v>
      </c>
      <c r="O1320" s="6" t="s">
        <v>44282</v>
      </c>
      <c r="P1320" s="6" t="s">
        <v>44283</v>
      </c>
      <c r="Q1320" s="6" t="s">
        <v>38065</v>
      </c>
      <c r="R1320" s="6" t="s">
        <v>44284</v>
      </c>
      <c r="S1320" s="6" t="s">
        <v>44285</v>
      </c>
      <c r="T1320" s="6" t="s">
        <v>38753</v>
      </c>
      <c r="U1320" s="6" t="s">
        <v>44286</v>
      </c>
      <c r="V1320" s="6"/>
      <c r="W1320" s="6"/>
      <c r="X1320" s="6"/>
      <c r="Y1320" s="6"/>
      <c r="Z1320" s="6"/>
      <c r="AA1320" s="6"/>
      <c r="AB1320" s="6"/>
      <c r="AC1320" s="6"/>
      <c r="AD1320" s="6"/>
      <c r="AE1320" s="6"/>
      <c r="AF1320" s="6"/>
      <c r="AG1320" s="6"/>
      <c r="AH1320" s="6"/>
      <c r="AI1320" s="6"/>
      <c r="AJ1320" s="6"/>
      <c r="AK1320" s="6"/>
      <c r="AL1320" s="6"/>
      <c r="AM1320" s="6"/>
      <c r="AN1320" s="6"/>
      <c r="AO1320" s="6"/>
      <c r="AP1320" s="6"/>
      <c r="AQ1320" s="6"/>
      <c r="AR1320" s="6"/>
      <c r="AS1320" s="6"/>
      <c r="AT1320" s="6"/>
      <c r="AU1320" s="6"/>
      <c r="AV1320" s="6"/>
      <c r="AW1320" s="6"/>
      <c r="AX1320" s="6"/>
      <c r="AY1320" s="6"/>
      <c r="AZ1320" s="6"/>
      <c r="BA1320" s="6"/>
      <c r="BB1320" s="6"/>
      <c r="BC1320" s="6"/>
      <c r="BD1320" s="6"/>
      <c r="BE1320" s="6"/>
      <c r="BF1320" s="6"/>
      <c r="BG1320" s="6"/>
      <c r="BH1320" s="6"/>
      <c r="BI1320" s="6"/>
      <c r="BJ1320" s="6"/>
      <c r="BK1320" s="6"/>
      <c r="BL1320" s="6"/>
      <c r="BM1320" s="6"/>
      <c r="BN1320" s="6"/>
      <c r="BO1320" s="6"/>
      <c r="BP1320" s="6"/>
      <c r="BQ1320" s="6"/>
      <c r="BR1320" s="6"/>
      <c r="BS1320" s="6"/>
      <c r="BT1320" s="6"/>
    </row>
    <row r="1321" spans="1:72">
      <c r="A1321" s="8" t="s">
        <v>25525</v>
      </c>
      <c r="B1321" s="11" t="s">
        <v>25529</v>
      </c>
      <c r="C1321" s="9" t="s">
        <v>138</v>
      </c>
      <c r="D1321" s="10" t="s">
        <v>138</v>
      </c>
      <c r="E1321" s="28" t="s">
        <v>3994</v>
      </c>
      <c r="F1321" s="28" t="s">
        <v>138</v>
      </c>
      <c r="G1321" s="28" t="s">
        <v>3996</v>
      </c>
      <c r="H1321" s="13">
        <v>5</v>
      </c>
      <c r="I1321" s="12" t="s">
        <v>25538</v>
      </c>
      <c r="J1321" s="12" t="s">
        <v>16877</v>
      </c>
      <c r="K1321" s="12" t="s">
        <v>43397</v>
      </c>
      <c r="L1321" s="12" t="s">
        <v>41188</v>
      </c>
      <c r="M1321" s="12" t="s">
        <v>43556</v>
      </c>
      <c r="N1321" s="12" t="s">
        <v>44287</v>
      </c>
      <c r="O1321" s="12"/>
      <c r="P1321" s="12"/>
      <c r="Q1321" s="12"/>
      <c r="R1321" s="12"/>
      <c r="S1321" s="12"/>
      <c r="T1321" s="12"/>
      <c r="U1321" s="12"/>
      <c r="V1321" s="12"/>
      <c r="W1321" s="12"/>
      <c r="X1321" s="12"/>
      <c r="Y1321" s="12"/>
      <c r="Z1321" s="12"/>
      <c r="AA1321" s="12"/>
      <c r="AB1321" s="12"/>
      <c r="AC1321" s="12"/>
      <c r="AD1321" s="12"/>
      <c r="AE1321" s="12"/>
      <c r="AF1321" s="12"/>
      <c r="AG1321" s="12"/>
      <c r="AH1321" s="12"/>
      <c r="AI1321" s="12"/>
      <c r="AJ1321" s="12"/>
      <c r="AK1321" s="12"/>
      <c r="AL1321" s="12"/>
      <c r="AM1321" s="12"/>
      <c r="AN1321" s="12"/>
      <c r="AO1321" s="12"/>
      <c r="AP1321" s="12"/>
      <c r="AQ1321" s="12"/>
      <c r="AR1321" s="12"/>
      <c r="AS1321" s="12"/>
      <c r="AT1321" s="12"/>
      <c r="AU1321" s="12"/>
      <c r="AV1321" s="12"/>
      <c r="AW1321" s="12"/>
      <c r="AX1321" s="12"/>
      <c r="AY1321" s="12"/>
      <c r="AZ1321" s="12"/>
      <c r="BA1321" s="12"/>
      <c r="BB1321" s="12"/>
      <c r="BC1321" s="12"/>
      <c r="BD1321" s="12"/>
      <c r="BE1321" s="12"/>
      <c r="BF1321" s="12"/>
      <c r="BG1321" s="12"/>
      <c r="BH1321" s="12"/>
      <c r="BI1321" s="12"/>
      <c r="BJ1321" s="12"/>
      <c r="BK1321" s="12"/>
      <c r="BL1321" s="12"/>
      <c r="BM1321" s="12"/>
      <c r="BN1321" s="12"/>
      <c r="BO1321" s="12"/>
      <c r="BP1321" s="12"/>
      <c r="BQ1321" s="12"/>
      <c r="BR1321" s="12"/>
      <c r="BS1321" s="12"/>
      <c r="BT1321" s="12"/>
    </row>
    <row r="1322" spans="1:72">
      <c r="A1322" s="2" t="s">
        <v>25541</v>
      </c>
      <c r="B1322" s="5" t="s">
        <v>25545</v>
      </c>
      <c r="C1322" s="3" t="s">
        <v>138</v>
      </c>
      <c r="D1322" s="4" t="s">
        <v>138</v>
      </c>
      <c r="E1322" s="15" t="s">
        <v>1294</v>
      </c>
      <c r="F1322" s="15" t="s">
        <v>864</v>
      </c>
      <c r="G1322" s="15" t="s">
        <v>162</v>
      </c>
      <c r="H1322" s="7">
        <v>12</v>
      </c>
      <c r="I1322" s="6" t="s">
        <v>25552</v>
      </c>
      <c r="J1322" s="6" t="s">
        <v>44288</v>
      </c>
      <c r="K1322" s="6" t="s">
        <v>44289</v>
      </c>
      <c r="L1322" s="6" t="s">
        <v>44290</v>
      </c>
      <c r="M1322" s="6" t="s">
        <v>40794</v>
      </c>
      <c r="N1322" s="6" t="s">
        <v>44291</v>
      </c>
      <c r="O1322" s="6" t="s">
        <v>38874</v>
      </c>
      <c r="P1322" s="6" t="s">
        <v>39395</v>
      </c>
      <c r="Q1322" s="6" t="s">
        <v>44292</v>
      </c>
      <c r="R1322" s="6" t="s">
        <v>43991</v>
      </c>
      <c r="S1322" s="6" t="s">
        <v>37781</v>
      </c>
      <c r="T1322" s="6" t="s">
        <v>44293</v>
      </c>
      <c r="U1322" s="6" t="s">
        <v>37870</v>
      </c>
      <c r="V1322" s="6"/>
      <c r="W1322" s="6"/>
      <c r="X1322" s="6"/>
      <c r="Y1322" s="6"/>
      <c r="Z1322" s="6"/>
      <c r="AA1322" s="6"/>
      <c r="AB1322" s="6"/>
      <c r="AC1322" s="6"/>
      <c r="AD1322" s="6"/>
      <c r="AE1322" s="6"/>
      <c r="AF1322" s="6"/>
      <c r="AG1322" s="6"/>
      <c r="AH1322" s="6"/>
      <c r="AI1322" s="6"/>
      <c r="AJ1322" s="6"/>
      <c r="AK1322" s="6"/>
      <c r="AL1322" s="6"/>
      <c r="AM1322" s="6"/>
      <c r="AN1322" s="6"/>
      <c r="AO1322" s="6"/>
      <c r="AP1322" s="6"/>
      <c r="AQ1322" s="6"/>
      <c r="AR1322" s="6"/>
      <c r="AS1322" s="6"/>
      <c r="AT1322" s="6"/>
      <c r="AU1322" s="6"/>
      <c r="AV1322" s="6"/>
      <c r="AW1322" s="6"/>
      <c r="AX1322" s="6"/>
      <c r="AY1322" s="6"/>
      <c r="AZ1322" s="6"/>
      <c r="BA1322" s="6"/>
      <c r="BB1322" s="6"/>
      <c r="BC1322" s="6"/>
      <c r="BD1322" s="6"/>
      <c r="BE1322" s="6"/>
      <c r="BF1322" s="6"/>
      <c r="BG1322" s="6"/>
      <c r="BH1322" s="6"/>
      <c r="BI1322" s="6"/>
      <c r="BJ1322" s="6"/>
      <c r="BK1322" s="6"/>
      <c r="BL1322" s="6"/>
      <c r="BM1322" s="6"/>
      <c r="BN1322" s="6"/>
      <c r="BO1322" s="6"/>
      <c r="BP1322" s="6"/>
      <c r="BQ1322" s="6"/>
      <c r="BR1322" s="6"/>
      <c r="BS1322" s="6"/>
      <c r="BT1322" s="6"/>
    </row>
    <row r="1323" spans="1:72">
      <c r="A1323" s="8" t="s">
        <v>25556</v>
      </c>
      <c r="B1323" s="11" t="s">
        <v>25561</v>
      </c>
      <c r="C1323" s="9" t="s">
        <v>138</v>
      </c>
      <c r="D1323" s="10" t="s">
        <v>138</v>
      </c>
      <c r="E1323" s="28" t="s">
        <v>25570</v>
      </c>
      <c r="F1323" s="28" t="s">
        <v>138</v>
      </c>
      <c r="G1323" s="28" t="s">
        <v>740</v>
      </c>
      <c r="H1323" s="13">
        <v>6</v>
      </c>
      <c r="I1323" s="12" t="s">
        <v>25572</v>
      </c>
      <c r="J1323" s="12" t="s">
        <v>44294</v>
      </c>
      <c r="K1323" s="12" t="s">
        <v>44295</v>
      </c>
      <c r="L1323" s="12" t="s">
        <v>44296</v>
      </c>
      <c r="M1323" s="12" t="s">
        <v>39811</v>
      </c>
      <c r="N1323" s="12" t="s">
        <v>39543</v>
      </c>
      <c r="O1323" s="12" t="s">
        <v>44297</v>
      </c>
      <c r="P1323" s="12"/>
      <c r="Q1323" s="12"/>
      <c r="R1323" s="12"/>
      <c r="S1323" s="12"/>
      <c r="T1323" s="12"/>
      <c r="U1323" s="12"/>
      <c r="V1323" s="12"/>
      <c r="W1323" s="12"/>
      <c r="X1323" s="12"/>
      <c r="Y1323" s="12"/>
      <c r="Z1323" s="12"/>
      <c r="AA1323" s="12"/>
      <c r="AB1323" s="12"/>
      <c r="AC1323" s="12"/>
      <c r="AD1323" s="12"/>
      <c r="AE1323" s="12"/>
      <c r="AF1323" s="12"/>
      <c r="AG1323" s="12"/>
      <c r="AH1323" s="12"/>
      <c r="AI1323" s="12"/>
      <c r="AJ1323" s="12"/>
      <c r="AK1323" s="12"/>
      <c r="AL1323" s="12"/>
      <c r="AM1323" s="12"/>
      <c r="AN1323" s="12"/>
      <c r="AO1323" s="12"/>
      <c r="AP1323" s="12"/>
      <c r="AQ1323" s="12"/>
      <c r="AR1323" s="12"/>
      <c r="AS1323" s="12"/>
      <c r="AT1323" s="12"/>
      <c r="AU1323" s="12"/>
      <c r="AV1323" s="12"/>
      <c r="AW1323" s="12"/>
      <c r="AX1323" s="12"/>
      <c r="AY1323" s="12"/>
      <c r="AZ1323" s="12"/>
      <c r="BA1323" s="12"/>
      <c r="BB1323" s="12"/>
      <c r="BC1323" s="12"/>
      <c r="BD1323" s="12"/>
      <c r="BE1323" s="12"/>
      <c r="BF1323" s="12"/>
      <c r="BG1323" s="12"/>
      <c r="BH1323" s="12"/>
      <c r="BI1323" s="12"/>
      <c r="BJ1323" s="12"/>
      <c r="BK1323" s="12"/>
      <c r="BL1323" s="12"/>
      <c r="BM1323" s="12"/>
      <c r="BN1323" s="12"/>
      <c r="BO1323" s="12"/>
      <c r="BP1323" s="12"/>
      <c r="BQ1323" s="12"/>
      <c r="BR1323" s="12"/>
      <c r="BS1323" s="12"/>
      <c r="BT1323" s="12"/>
    </row>
    <row r="1324" spans="1:72">
      <c r="A1324" s="2" t="s">
        <v>25575</v>
      </c>
      <c r="B1324" s="5" t="s">
        <v>25579</v>
      </c>
      <c r="C1324" s="3" t="s">
        <v>138</v>
      </c>
      <c r="D1324" s="4" t="s">
        <v>138</v>
      </c>
      <c r="E1324" s="15" t="s">
        <v>3354</v>
      </c>
      <c r="F1324" s="15" t="s">
        <v>2740</v>
      </c>
      <c r="G1324" s="15" t="s">
        <v>2742</v>
      </c>
      <c r="H1324" s="7">
        <v>4</v>
      </c>
      <c r="I1324" s="6" t="s">
        <v>25586</v>
      </c>
      <c r="J1324" s="6" t="s">
        <v>44298</v>
      </c>
      <c r="K1324" s="6" t="s">
        <v>41882</v>
      </c>
      <c r="L1324" s="6" t="s">
        <v>37781</v>
      </c>
      <c r="M1324" s="6" t="s">
        <v>44299</v>
      </c>
      <c r="N1324" s="6"/>
      <c r="O1324" s="6"/>
      <c r="P1324" s="6"/>
      <c r="Q1324" s="6"/>
      <c r="R1324" s="6"/>
      <c r="S1324" s="6"/>
      <c r="T1324" s="6"/>
      <c r="U1324" s="6"/>
      <c r="V1324" s="6"/>
      <c r="W1324" s="6"/>
      <c r="X1324" s="6"/>
      <c r="Y1324" s="6"/>
      <c r="Z1324" s="6"/>
      <c r="AA1324" s="6"/>
      <c r="AB1324" s="6"/>
      <c r="AC1324" s="6"/>
      <c r="AD1324" s="6"/>
      <c r="AE1324" s="6"/>
      <c r="AF1324" s="6"/>
      <c r="AG1324" s="6"/>
      <c r="AH1324" s="6"/>
      <c r="AI1324" s="6"/>
      <c r="AJ1324" s="6"/>
      <c r="AK1324" s="6"/>
      <c r="AL1324" s="6"/>
      <c r="AM1324" s="6"/>
      <c r="AN1324" s="6"/>
      <c r="AO1324" s="6"/>
      <c r="AP1324" s="6"/>
      <c r="AQ1324" s="6"/>
      <c r="AR1324" s="6"/>
      <c r="AS1324" s="6"/>
      <c r="AT1324" s="6"/>
      <c r="AU1324" s="6"/>
      <c r="AV1324" s="6"/>
      <c r="AW1324" s="6"/>
      <c r="AX1324" s="6"/>
      <c r="AY1324" s="6"/>
      <c r="AZ1324" s="6"/>
      <c r="BA1324" s="6"/>
      <c r="BB1324" s="6"/>
      <c r="BC1324" s="6"/>
      <c r="BD1324" s="6"/>
      <c r="BE1324" s="6"/>
      <c r="BF1324" s="6"/>
      <c r="BG1324" s="6"/>
      <c r="BH1324" s="6"/>
      <c r="BI1324" s="6"/>
      <c r="BJ1324" s="6"/>
      <c r="BK1324" s="6"/>
      <c r="BL1324" s="6"/>
      <c r="BM1324" s="6"/>
      <c r="BN1324" s="6"/>
      <c r="BO1324" s="6"/>
      <c r="BP1324" s="6"/>
      <c r="BQ1324" s="6"/>
      <c r="BR1324" s="6"/>
      <c r="BS1324" s="6"/>
      <c r="BT1324" s="6"/>
    </row>
    <row r="1325" spans="1:72">
      <c r="A1325" s="8" t="s">
        <v>25589</v>
      </c>
      <c r="B1325" s="11" t="s">
        <v>25593</v>
      </c>
      <c r="C1325" s="9" t="s">
        <v>138</v>
      </c>
      <c r="D1325" s="10" t="s">
        <v>138</v>
      </c>
      <c r="E1325" s="28" t="s">
        <v>3841</v>
      </c>
      <c r="F1325" s="28" t="s">
        <v>200</v>
      </c>
      <c r="G1325" s="28" t="s">
        <v>162</v>
      </c>
      <c r="H1325" s="13">
        <v>9</v>
      </c>
      <c r="I1325" s="12" t="s">
        <v>25599</v>
      </c>
      <c r="J1325" s="12" t="s">
        <v>44300</v>
      </c>
      <c r="K1325" s="12" t="s">
        <v>38339</v>
      </c>
      <c r="L1325" s="12" t="s">
        <v>44301</v>
      </c>
      <c r="M1325" s="12" t="s">
        <v>38495</v>
      </c>
      <c r="N1325" s="12" t="s">
        <v>43684</v>
      </c>
      <c r="O1325" s="12" t="s">
        <v>38476</v>
      </c>
      <c r="P1325" s="12" t="s">
        <v>37914</v>
      </c>
      <c r="Q1325" s="12" t="s">
        <v>37770</v>
      </c>
      <c r="R1325" s="12" t="s">
        <v>38706</v>
      </c>
      <c r="S1325" s="12"/>
      <c r="T1325" s="12"/>
      <c r="U1325" s="12"/>
      <c r="V1325" s="12"/>
      <c r="W1325" s="12"/>
      <c r="X1325" s="12"/>
      <c r="Y1325" s="12"/>
      <c r="Z1325" s="12"/>
      <c r="AA1325" s="12"/>
      <c r="AB1325" s="12"/>
      <c r="AC1325" s="12"/>
      <c r="AD1325" s="12"/>
      <c r="AE1325" s="12"/>
      <c r="AF1325" s="12"/>
      <c r="AG1325" s="12"/>
      <c r="AH1325" s="12"/>
      <c r="AI1325" s="12"/>
      <c r="AJ1325" s="12"/>
      <c r="AK1325" s="12"/>
      <c r="AL1325" s="12"/>
      <c r="AM1325" s="12"/>
      <c r="AN1325" s="12"/>
      <c r="AO1325" s="12"/>
      <c r="AP1325" s="12"/>
      <c r="AQ1325" s="12"/>
      <c r="AR1325" s="12"/>
      <c r="AS1325" s="12"/>
      <c r="AT1325" s="12"/>
      <c r="AU1325" s="12"/>
      <c r="AV1325" s="12"/>
      <c r="AW1325" s="12"/>
      <c r="AX1325" s="12"/>
      <c r="AY1325" s="12"/>
      <c r="AZ1325" s="12"/>
      <c r="BA1325" s="12"/>
      <c r="BB1325" s="12"/>
      <c r="BC1325" s="12"/>
      <c r="BD1325" s="12"/>
      <c r="BE1325" s="12"/>
      <c r="BF1325" s="12"/>
      <c r="BG1325" s="12"/>
      <c r="BH1325" s="12"/>
      <c r="BI1325" s="12"/>
      <c r="BJ1325" s="12"/>
      <c r="BK1325" s="12"/>
      <c r="BL1325" s="12"/>
      <c r="BM1325" s="12"/>
      <c r="BN1325" s="12"/>
      <c r="BO1325" s="12"/>
      <c r="BP1325" s="12"/>
      <c r="BQ1325" s="12"/>
      <c r="BR1325" s="12"/>
      <c r="BS1325" s="12"/>
      <c r="BT1325" s="12"/>
    </row>
    <row r="1326" spans="1:72">
      <c r="A1326" s="2" t="s">
        <v>25602</v>
      </c>
      <c r="B1326" s="5" t="s">
        <v>25607</v>
      </c>
      <c r="C1326" s="3" t="s">
        <v>25603</v>
      </c>
      <c r="D1326" s="4" t="s">
        <v>138</v>
      </c>
      <c r="E1326" s="15" t="s">
        <v>2882</v>
      </c>
      <c r="F1326" s="15" t="s">
        <v>2883</v>
      </c>
      <c r="G1326" s="15" t="s">
        <v>162</v>
      </c>
      <c r="H1326" s="7">
        <v>8</v>
      </c>
      <c r="I1326" s="6" t="s">
        <v>25615</v>
      </c>
      <c r="J1326" s="6" t="s">
        <v>44302</v>
      </c>
      <c r="K1326" s="6" t="s">
        <v>38803</v>
      </c>
      <c r="L1326" s="6" t="s">
        <v>38062</v>
      </c>
      <c r="M1326" s="6" t="s">
        <v>44303</v>
      </c>
      <c r="N1326" s="6" t="s">
        <v>37781</v>
      </c>
      <c r="O1326" s="6" t="s">
        <v>41424</v>
      </c>
      <c r="P1326" s="6" t="s">
        <v>41216</v>
      </c>
      <c r="Q1326" s="6" t="s">
        <v>38757</v>
      </c>
      <c r="R1326" s="6"/>
      <c r="S1326" s="6"/>
      <c r="T1326" s="6"/>
      <c r="U1326" s="6"/>
      <c r="V1326" s="6"/>
      <c r="W1326" s="6"/>
      <c r="X1326" s="6"/>
      <c r="Y1326" s="6"/>
      <c r="Z1326" s="6"/>
      <c r="AA1326" s="6"/>
      <c r="AB1326" s="6"/>
      <c r="AC1326" s="6"/>
      <c r="AD1326" s="6"/>
      <c r="AE1326" s="6"/>
      <c r="AF1326" s="6"/>
      <c r="AG1326" s="6"/>
      <c r="AH1326" s="6"/>
      <c r="AI1326" s="6"/>
      <c r="AJ1326" s="6"/>
      <c r="AK1326" s="6"/>
      <c r="AL1326" s="6"/>
      <c r="AM1326" s="6"/>
      <c r="AN1326" s="6"/>
      <c r="AO1326" s="6"/>
      <c r="AP1326" s="6"/>
      <c r="AQ1326" s="6"/>
      <c r="AR1326" s="6"/>
      <c r="AS1326" s="6"/>
      <c r="AT1326" s="6"/>
      <c r="AU1326" s="6"/>
      <c r="AV1326" s="6"/>
      <c r="AW1326" s="6"/>
      <c r="AX1326" s="6"/>
      <c r="AY1326" s="6"/>
      <c r="AZ1326" s="6"/>
      <c r="BA1326" s="6"/>
      <c r="BB1326" s="6"/>
      <c r="BC1326" s="6"/>
      <c r="BD1326" s="6"/>
      <c r="BE1326" s="6"/>
      <c r="BF1326" s="6"/>
      <c r="BG1326" s="6"/>
      <c r="BH1326" s="6"/>
      <c r="BI1326" s="6"/>
      <c r="BJ1326" s="6"/>
      <c r="BK1326" s="6"/>
      <c r="BL1326" s="6"/>
      <c r="BM1326" s="6"/>
      <c r="BN1326" s="6"/>
      <c r="BO1326" s="6"/>
      <c r="BP1326" s="6"/>
      <c r="BQ1326" s="6"/>
      <c r="BR1326" s="6"/>
      <c r="BS1326" s="6"/>
      <c r="BT1326" s="6"/>
    </row>
    <row r="1327" spans="1:72">
      <c r="A1327" s="8" t="s">
        <v>25618</v>
      </c>
      <c r="B1327" s="11" t="s">
        <v>25623</v>
      </c>
      <c r="C1327" s="9" t="s">
        <v>25619</v>
      </c>
      <c r="D1327" s="10" t="s">
        <v>138</v>
      </c>
      <c r="E1327" s="28" t="s">
        <v>3670</v>
      </c>
      <c r="F1327" s="28" t="s">
        <v>200</v>
      </c>
      <c r="G1327" s="28" t="s">
        <v>162</v>
      </c>
      <c r="H1327" s="13">
        <v>5</v>
      </c>
      <c r="I1327" s="12" t="s">
        <v>25632</v>
      </c>
      <c r="J1327" s="12" t="s">
        <v>44304</v>
      </c>
      <c r="K1327" s="12" t="s">
        <v>42705</v>
      </c>
      <c r="L1327" s="12" t="s">
        <v>37786</v>
      </c>
      <c r="M1327" s="12" t="s">
        <v>37781</v>
      </c>
      <c r="N1327" s="12" t="s">
        <v>43167</v>
      </c>
      <c r="O1327" s="12"/>
      <c r="P1327" s="12"/>
      <c r="Q1327" s="12"/>
      <c r="R1327" s="12"/>
      <c r="S1327" s="12"/>
      <c r="T1327" s="12"/>
      <c r="U1327" s="12"/>
      <c r="V1327" s="12"/>
      <c r="W1327" s="12"/>
      <c r="X1327" s="12"/>
      <c r="Y1327" s="12"/>
      <c r="Z1327" s="12"/>
      <c r="AA1327" s="12"/>
      <c r="AB1327" s="12"/>
      <c r="AC1327" s="12"/>
      <c r="AD1327" s="12"/>
      <c r="AE1327" s="12"/>
      <c r="AF1327" s="12"/>
      <c r="AG1327" s="12"/>
      <c r="AH1327" s="12"/>
      <c r="AI1327" s="12"/>
      <c r="AJ1327" s="12"/>
      <c r="AK1327" s="12"/>
      <c r="AL1327" s="12"/>
      <c r="AM1327" s="12"/>
      <c r="AN1327" s="12"/>
      <c r="AO1327" s="12"/>
      <c r="AP1327" s="12"/>
      <c r="AQ1327" s="12"/>
      <c r="AR1327" s="12"/>
      <c r="AS1327" s="12"/>
      <c r="AT1327" s="12"/>
      <c r="AU1327" s="12"/>
      <c r="AV1327" s="12"/>
      <c r="AW1327" s="12"/>
      <c r="AX1327" s="12"/>
      <c r="AY1327" s="12"/>
      <c r="AZ1327" s="12"/>
      <c r="BA1327" s="12"/>
      <c r="BB1327" s="12"/>
      <c r="BC1327" s="12"/>
      <c r="BD1327" s="12"/>
      <c r="BE1327" s="12"/>
      <c r="BF1327" s="12"/>
      <c r="BG1327" s="12"/>
      <c r="BH1327" s="12"/>
      <c r="BI1327" s="12"/>
      <c r="BJ1327" s="12"/>
      <c r="BK1327" s="12"/>
      <c r="BL1327" s="12"/>
      <c r="BM1327" s="12"/>
      <c r="BN1327" s="12"/>
      <c r="BO1327" s="12"/>
      <c r="BP1327" s="12"/>
      <c r="BQ1327" s="12"/>
      <c r="BR1327" s="12"/>
      <c r="BS1327" s="12"/>
      <c r="BT1327" s="12"/>
    </row>
    <row r="1328" spans="1:72">
      <c r="A1328" s="2" t="s">
        <v>25637</v>
      </c>
      <c r="B1328" s="5" t="s">
        <v>25642</v>
      </c>
      <c r="C1328" s="3" t="s">
        <v>138</v>
      </c>
      <c r="D1328" s="4" t="s">
        <v>138</v>
      </c>
      <c r="E1328" s="15" t="s">
        <v>3111</v>
      </c>
      <c r="F1328" s="15" t="s">
        <v>3112</v>
      </c>
      <c r="G1328" s="15" t="s">
        <v>2742</v>
      </c>
      <c r="H1328" s="7">
        <v>8</v>
      </c>
      <c r="I1328" s="6" t="s">
        <v>25652</v>
      </c>
      <c r="J1328" s="6" t="s">
        <v>44305</v>
      </c>
      <c r="K1328" s="6" t="s">
        <v>39411</v>
      </c>
      <c r="L1328" s="6" t="s">
        <v>41814</v>
      </c>
      <c r="M1328" s="6" t="s">
        <v>43433</v>
      </c>
      <c r="N1328" s="6" t="s">
        <v>39805</v>
      </c>
      <c r="O1328" s="6" t="s">
        <v>44306</v>
      </c>
      <c r="P1328" s="6" t="s">
        <v>38049</v>
      </c>
      <c r="Q1328" s="6" t="s">
        <v>44307</v>
      </c>
      <c r="R1328" s="6"/>
      <c r="S1328" s="6"/>
      <c r="T1328" s="6"/>
      <c r="U1328" s="6"/>
      <c r="V1328" s="6"/>
      <c r="W1328" s="6"/>
      <c r="X1328" s="6"/>
      <c r="Y1328" s="6"/>
      <c r="Z1328" s="6"/>
      <c r="AA1328" s="6"/>
      <c r="AB1328" s="6"/>
      <c r="AC1328" s="6"/>
      <c r="AD1328" s="6"/>
      <c r="AE1328" s="6"/>
      <c r="AF1328" s="6"/>
      <c r="AG1328" s="6"/>
      <c r="AH1328" s="6"/>
      <c r="AI1328" s="6"/>
      <c r="AJ1328" s="6"/>
      <c r="AK1328" s="6"/>
      <c r="AL1328" s="6"/>
      <c r="AM1328" s="6"/>
      <c r="AN1328" s="6"/>
      <c r="AO1328" s="6"/>
      <c r="AP1328" s="6"/>
      <c r="AQ1328" s="6"/>
      <c r="AR1328" s="6"/>
      <c r="AS1328" s="6"/>
      <c r="AT1328" s="6"/>
      <c r="AU1328" s="6"/>
      <c r="AV1328" s="6"/>
      <c r="AW1328" s="6"/>
      <c r="AX1328" s="6"/>
      <c r="AY1328" s="6"/>
      <c r="AZ1328" s="6"/>
      <c r="BA1328" s="6"/>
      <c r="BB1328" s="6"/>
      <c r="BC1328" s="6"/>
      <c r="BD1328" s="6"/>
      <c r="BE1328" s="6"/>
      <c r="BF1328" s="6"/>
      <c r="BG1328" s="6"/>
      <c r="BH1328" s="6"/>
      <c r="BI1328" s="6"/>
      <c r="BJ1328" s="6"/>
      <c r="BK1328" s="6"/>
      <c r="BL1328" s="6"/>
      <c r="BM1328" s="6"/>
      <c r="BN1328" s="6"/>
      <c r="BO1328" s="6"/>
      <c r="BP1328" s="6"/>
      <c r="BQ1328" s="6"/>
      <c r="BR1328" s="6"/>
      <c r="BS1328" s="6"/>
      <c r="BT1328" s="6"/>
    </row>
    <row r="1329" spans="1:72">
      <c r="A1329" s="8" t="s">
        <v>25656</v>
      </c>
      <c r="B1329" s="11" t="s">
        <v>25662</v>
      </c>
      <c r="C1329" s="9" t="s">
        <v>138</v>
      </c>
      <c r="D1329" s="10" t="s">
        <v>25657</v>
      </c>
      <c r="E1329" s="28" t="s">
        <v>1872</v>
      </c>
      <c r="F1329" s="28" t="s">
        <v>200</v>
      </c>
      <c r="G1329" s="28" t="s">
        <v>162</v>
      </c>
      <c r="H1329" s="13">
        <v>7</v>
      </c>
      <c r="I1329" s="12" t="s">
        <v>25671</v>
      </c>
      <c r="J1329" s="12" t="s">
        <v>44308</v>
      </c>
      <c r="K1329" s="12" t="s">
        <v>38574</v>
      </c>
      <c r="L1329" s="12" t="s">
        <v>41233</v>
      </c>
      <c r="M1329" s="12" t="s">
        <v>42604</v>
      </c>
      <c r="N1329" s="12" t="s">
        <v>37788</v>
      </c>
      <c r="O1329" s="12" t="s">
        <v>44309</v>
      </c>
      <c r="P1329" s="12" t="s">
        <v>38321</v>
      </c>
      <c r="Q1329" s="12"/>
      <c r="R1329" s="12"/>
      <c r="S1329" s="12"/>
      <c r="T1329" s="12"/>
      <c r="U1329" s="12"/>
      <c r="V1329" s="12"/>
      <c r="W1329" s="12"/>
      <c r="X1329" s="12"/>
      <c r="Y1329" s="12"/>
      <c r="Z1329" s="12"/>
      <c r="AA1329" s="12"/>
      <c r="AB1329" s="12"/>
      <c r="AC1329" s="12"/>
      <c r="AD1329" s="12"/>
      <c r="AE1329" s="12"/>
      <c r="AF1329" s="12"/>
      <c r="AG1329" s="12"/>
      <c r="AH1329" s="12"/>
      <c r="AI1329" s="12"/>
      <c r="AJ1329" s="12"/>
      <c r="AK1329" s="12"/>
      <c r="AL1329" s="12"/>
      <c r="AM1329" s="12"/>
      <c r="AN1329" s="12"/>
      <c r="AO1329" s="12"/>
      <c r="AP1329" s="12"/>
      <c r="AQ1329" s="12"/>
      <c r="AR1329" s="12"/>
      <c r="AS1329" s="12"/>
      <c r="AT1329" s="12"/>
      <c r="AU1329" s="12"/>
      <c r="AV1329" s="12"/>
      <c r="AW1329" s="12"/>
      <c r="AX1329" s="12"/>
      <c r="AY1329" s="12"/>
      <c r="AZ1329" s="12"/>
      <c r="BA1329" s="12"/>
      <c r="BB1329" s="12"/>
      <c r="BC1329" s="12"/>
      <c r="BD1329" s="12"/>
      <c r="BE1329" s="12"/>
      <c r="BF1329" s="12"/>
      <c r="BG1329" s="12"/>
      <c r="BH1329" s="12"/>
      <c r="BI1329" s="12"/>
      <c r="BJ1329" s="12"/>
      <c r="BK1329" s="12"/>
      <c r="BL1329" s="12"/>
      <c r="BM1329" s="12"/>
      <c r="BN1329" s="12"/>
      <c r="BO1329" s="12"/>
      <c r="BP1329" s="12"/>
      <c r="BQ1329" s="12"/>
      <c r="BR1329" s="12"/>
      <c r="BS1329" s="12"/>
      <c r="BT1329" s="12"/>
    </row>
    <row r="1330" spans="1:72">
      <c r="A1330" s="2" t="s">
        <v>25674</v>
      </c>
      <c r="B1330" s="5" t="s">
        <v>25680</v>
      </c>
      <c r="C1330" s="3" t="s">
        <v>25675</v>
      </c>
      <c r="D1330" s="4" t="s">
        <v>138</v>
      </c>
      <c r="E1330" s="15" t="s">
        <v>9440</v>
      </c>
      <c r="F1330" s="15" t="s">
        <v>3182</v>
      </c>
      <c r="G1330" s="15" t="s">
        <v>162</v>
      </c>
      <c r="H1330" s="7">
        <v>15</v>
      </c>
      <c r="I1330" s="6" t="s">
        <v>25690</v>
      </c>
      <c r="J1330" s="6" t="s">
        <v>38406</v>
      </c>
      <c r="K1330" s="6" t="s">
        <v>42426</v>
      </c>
      <c r="L1330" s="6" t="s">
        <v>43142</v>
      </c>
      <c r="M1330" s="6" t="s">
        <v>41934</v>
      </c>
      <c r="N1330" s="6" t="s">
        <v>40405</v>
      </c>
      <c r="O1330" s="6" t="s">
        <v>43085</v>
      </c>
      <c r="P1330" s="6" t="s">
        <v>40162</v>
      </c>
      <c r="Q1330" s="6" t="s">
        <v>37987</v>
      </c>
      <c r="R1330" s="6" t="s">
        <v>38057</v>
      </c>
      <c r="S1330" s="6" t="s">
        <v>43669</v>
      </c>
      <c r="T1330" s="6" t="s">
        <v>41831</v>
      </c>
      <c r="U1330" s="6" t="s">
        <v>38850</v>
      </c>
      <c r="V1330" s="6" t="s">
        <v>44310</v>
      </c>
      <c r="W1330" s="6" t="s">
        <v>37779</v>
      </c>
      <c r="X1330" s="6" t="s">
        <v>40322</v>
      </c>
      <c r="Y1330" s="6" t="s">
        <v>40166</v>
      </c>
      <c r="Z1330" s="6"/>
      <c r="AA1330" s="6"/>
      <c r="AB1330" s="6"/>
      <c r="AC1330" s="6"/>
      <c r="AD1330" s="6"/>
      <c r="AE1330" s="6"/>
      <c r="AF1330" s="6"/>
      <c r="AG1330" s="6"/>
      <c r="AH1330" s="6"/>
      <c r="AI1330" s="6"/>
      <c r="AJ1330" s="6"/>
      <c r="AK1330" s="6"/>
      <c r="AL1330" s="6"/>
      <c r="AM1330" s="6"/>
      <c r="AN1330" s="6"/>
      <c r="AO1330" s="6"/>
      <c r="AP1330" s="6"/>
      <c r="AQ1330" s="6"/>
      <c r="AR1330" s="6"/>
      <c r="AS1330" s="6"/>
      <c r="AT1330" s="6"/>
      <c r="AU1330" s="6"/>
      <c r="AV1330" s="6"/>
      <c r="AW1330" s="6"/>
      <c r="AX1330" s="6"/>
      <c r="AY1330" s="6"/>
      <c r="AZ1330" s="6"/>
      <c r="BA1330" s="6"/>
      <c r="BB1330" s="6"/>
      <c r="BC1330" s="6"/>
      <c r="BD1330" s="6"/>
      <c r="BE1330" s="6"/>
      <c r="BF1330" s="6"/>
      <c r="BG1330" s="6"/>
      <c r="BH1330" s="6"/>
      <c r="BI1330" s="6"/>
      <c r="BJ1330" s="6"/>
      <c r="BK1330" s="6"/>
      <c r="BL1330" s="6"/>
      <c r="BM1330" s="6"/>
      <c r="BN1330" s="6"/>
      <c r="BO1330" s="6"/>
      <c r="BP1330" s="6"/>
      <c r="BQ1330" s="6"/>
      <c r="BR1330" s="6"/>
      <c r="BS1330" s="6"/>
      <c r="BT1330" s="6"/>
    </row>
    <row r="1331" spans="1:72">
      <c r="A1331" s="8" t="s">
        <v>25693</v>
      </c>
      <c r="B1331" s="11" t="s">
        <v>25697</v>
      </c>
      <c r="C1331" s="9" t="s">
        <v>138</v>
      </c>
      <c r="D1331" s="10" t="s">
        <v>138</v>
      </c>
      <c r="E1331" s="28" t="s">
        <v>18658</v>
      </c>
      <c r="F1331" s="28" t="s">
        <v>200</v>
      </c>
      <c r="G1331" s="28" t="s">
        <v>162</v>
      </c>
      <c r="H1331" s="13">
        <v>24</v>
      </c>
      <c r="I1331" s="12" t="s">
        <v>25707</v>
      </c>
      <c r="J1331" s="12" t="s">
        <v>38344</v>
      </c>
      <c r="K1331" s="12" t="s">
        <v>44311</v>
      </c>
      <c r="L1331" s="12" t="s">
        <v>44312</v>
      </c>
      <c r="M1331" s="12" t="s">
        <v>44313</v>
      </c>
      <c r="N1331" s="12" t="s">
        <v>40029</v>
      </c>
      <c r="O1331" s="12" t="s">
        <v>39031</v>
      </c>
      <c r="P1331" s="12" t="s">
        <v>40057</v>
      </c>
      <c r="Q1331" s="12" t="s">
        <v>44314</v>
      </c>
      <c r="R1331" s="12" t="s">
        <v>38306</v>
      </c>
      <c r="S1331" s="12" t="s">
        <v>44315</v>
      </c>
      <c r="T1331" s="12" t="s">
        <v>44316</v>
      </c>
      <c r="U1331" s="12" t="s">
        <v>44317</v>
      </c>
      <c r="V1331" s="12" t="s">
        <v>44318</v>
      </c>
      <c r="W1331" s="12" t="s">
        <v>44319</v>
      </c>
      <c r="X1331" s="12" t="s">
        <v>40763</v>
      </c>
      <c r="Y1331" s="12" t="s">
        <v>44320</v>
      </c>
      <c r="Z1331" s="12" t="s">
        <v>37998</v>
      </c>
      <c r="AA1331" s="12" t="s">
        <v>39108</v>
      </c>
      <c r="AB1331" s="12" t="s">
        <v>38816</v>
      </c>
      <c r="AC1331" s="12" t="s">
        <v>39334</v>
      </c>
      <c r="AD1331" s="12" t="s">
        <v>39109</v>
      </c>
      <c r="AE1331" s="12" t="s">
        <v>40102</v>
      </c>
      <c r="AF1331" s="12" t="s">
        <v>44321</v>
      </c>
      <c r="AG1331" s="12" t="s">
        <v>37810</v>
      </c>
      <c r="AH1331" s="12"/>
      <c r="AI1331" s="12"/>
      <c r="AJ1331" s="12"/>
      <c r="AK1331" s="12"/>
      <c r="AL1331" s="12"/>
      <c r="AM1331" s="12"/>
      <c r="AN1331" s="12"/>
      <c r="AO1331" s="12"/>
      <c r="AP1331" s="12"/>
      <c r="AQ1331" s="12"/>
      <c r="AR1331" s="12"/>
      <c r="AS1331" s="12"/>
      <c r="AT1331" s="12"/>
      <c r="AU1331" s="12"/>
      <c r="AV1331" s="12"/>
      <c r="AW1331" s="12"/>
      <c r="AX1331" s="12"/>
      <c r="AY1331" s="12"/>
      <c r="AZ1331" s="12"/>
      <c r="BA1331" s="12"/>
      <c r="BB1331" s="12"/>
      <c r="BC1331" s="12"/>
      <c r="BD1331" s="12"/>
      <c r="BE1331" s="12"/>
      <c r="BF1331" s="12"/>
      <c r="BG1331" s="12"/>
      <c r="BH1331" s="12"/>
      <c r="BI1331" s="12"/>
      <c r="BJ1331" s="12"/>
      <c r="BK1331" s="12"/>
      <c r="BL1331" s="12"/>
      <c r="BM1331" s="12"/>
      <c r="BN1331" s="12"/>
      <c r="BO1331" s="12"/>
      <c r="BP1331" s="12"/>
      <c r="BQ1331" s="12"/>
      <c r="BR1331" s="12"/>
      <c r="BS1331" s="12"/>
      <c r="BT1331" s="12"/>
    </row>
    <row r="1332" spans="1:72">
      <c r="A1332" s="2" t="s">
        <v>25711</v>
      </c>
      <c r="B1332" s="5" t="s">
        <v>25715</v>
      </c>
      <c r="C1332" s="3" t="s">
        <v>138</v>
      </c>
      <c r="D1332" s="4" t="s">
        <v>138</v>
      </c>
      <c r="E1332" s="15" t="s">
        <v>1198</v>
      </c>
      <c r="F1332" s="15" t="s">
        <v>5562</v>
      </c>
      <c r="G1332" s="15" t="s">
        <v>1200</v>
      </c>
      <c r="H1332" s="7">
        <v>16</v>
      </c>
      <c r="I1332" s="6" t="s">
        <v>25724</v>
      </c>
      <c r="J1332" s="6" t="s">
        <v>44322</v>
      </c>
      <c r="K1332" s="6" t="s">
        <v>39865</v>
      </c>
      <c r="L1332" s="6" t="s">
        <v>38802</v>
      </c>
      <c r="M1332" s="6" t="s">
        <v>42112</v>
      </c>
      <c r="N1332" s="6" t="s">
        <v>44323</v>
      </c>
      <c r="O1332" s="6" t="s">
        <v>44324</v>
      </c>
      <c r="P1332" s="6" t="s">
        <v>40439</v>
      </c>
      <c r="Q1332" s="6" t="s">
        <v>44325</v>
      </c>
      <c r="R1332" s="6" t="s">
        <v>44326</v>
      </c>
      <c r="S1332" s="6" t="s">
        <v>39119</v>
      </c>
      <c r="T1332" s="6" t="s">
        <v>39517</v>
      </c>
      <c r="U1332" s="6" t="s">
        <v>39520</v>
      </c>
      <c r="V1332" s="6" t="s">
        <v>38065</v>
      </c>
      <c r="W1332" s="6" t="s">
        <v>37781</v>
      </c>
      <c r="X1332" s="6" t="s">
        <v>38712</v>
      </c>
      <c r="Y1332" s="6" t="s">
        <v>39684</v>
      </c>
      <c r="Z1332" s="6"/>
      <c r="AA1332" s="6"/>
      <c r="AB1332" s="6"/>
      <c r="AC1332" s="6"/>
      <c r="AD1332" s="6"/>
      <c r="AE1332" s="6"/>
      <c r="AF1332" s="6"/>
      <c r="AG1332" s="6"/>
      <c r="AH1332" s="6"/>
      <c r="AI1332" s="6"/>
      <c r="AJ1332" s="6"/>
      <c r="AK1332" s="6"/>
      <c r="AL1332" s="6"/>
      <c r="AM1332" s="6"/>
      <c r="AN1332" s="6"/>
      <c r="AO1332" s="6"/>
      <c r="AP1332" s="6"/>
      <c r="AQ1332" s="6"/>
      <c r="AR1332" s="6"/>
      <c r="AS1332" s="6"/>
      <c r="AT1332" s="6"/>
      <c r="AU1332" s="6"/>
      <c r="AV1332" s="6"/>
      <c r="AW1332" s="6"/>
      <c r="AX1332" s="6"/>
      <c r="AY1332" s="6"/>
      <c r="AZ1332" s="6"/>
      <c r="BA1332" s="6"/>
      <c r="BB1332" s="6"/>
      <c r="BC1332" s="6"/>
      <c r="BD1332" s="6"/>
      <c r="BE1332" s="6"/>
      <c r="BF1332" s="6"/>
      <c r="BG1332" s="6"/>
      <c r="BH1332" s="6"/>
      <c r="BI1332" s="6"/>
      <c r="BJ1332" s="6"/>
      <c r="BK1332" s="6"/>
      <c r="BL1332" s="6"/>
      <c r="BM1332" s="6"/>
      <c r="BN1332" s="6"/>
      <c r="BO1332" s="6"/>
      <c r="BP1332" s="6"/>
      <c r="BQ1332" s="6"/>
      <c r="BR1332" s="6"/>
      <c r="BS1332" s="6"/>
      <c r="BT1332" s="6"/>
    </row>
    <row r="1333" spans="1:72">
      <c r="A1333" s="8" t="s">
        <v>25727</v>
      </c>
      <c r="B1333" s="11" t="s">
        <v>25732</v>
      </c>
      <c r="C1333" s="9" t="s">
        <v>25728</v>
      </c>
      <c r="D1333" s="10" t="s">
        <v>138</v>
      </c>
      <c r="E1333" s="28" t="s">
        <v>14129</v>
      </c>
      <c r="F1333" s="28" t="s">
        <v>14130</v>
      </c>
      <c r="G1333" s="28" t="s">
        <v>2742</v>
      </c>
      <c r="H1333" s="13">
        <v>22</v>
      </c>
      <c r="I1333" s="12" t="s">
        <v>25744</v>
      </c>
      <c r="J1333" s="12" t="s">
        <v>44327</v>
      </c>
      <c r="K1333" s="12" t="s">
        <v>38354</v>
      </c>
      <c r="L1333" s="12" t="s">
        <v>44328</v>
      </c>
      <c r="M1333" s="12" t="s">
        <v>44329</v>
      </c>
      <c r="N1333" s="12" t="s">
        <v>39410</v>
      </c>
      <c r="O1333" s="12" t="s">
        <v>44330</v>
      </c>
      <c r="P1333" s="12" t="s">
        <v>44331</v>
      </c>
      <c r="Q1333" s="12" t="s">
        <v>39411</v>
      </c>
      <c r="R1333" s="12" t="s">
        <v>44332</v>
      </c>
      <c r="S1333" s="12" t="s">
        <v>44333</v>
      </c>
      <c r="T1333" s="12" t="s">
        <v>44334</v>
      </c>
      <c r="U1333" s="12" t="s">
        <v>44335</v>
      </c>
      <c r="V1333" s="12" t="s">
        <v>44336</v>
      </c>
      <c r="W1333" s="12" t="s">
        <v>38018</v>
      </c>
      <c r="X1333" s="12" t="s">
        <v>44337</v>
      </c>
      <c r="Y1333" s="12" t="s">
        <v>38430</v>
      </c>
      <c r="Z1333" s="12" t="s">
        <v>44338</v>
      </c>
      <c r="AA1333" s="12" t="s">
        <v>40247</v>
      </c>
      <c r="AB1333" s="12" t="s">
        <v>41356</v>
      </c>
      <c r="AC1333" s="12" t="s">
        <v>44339</v>
      </c>
      <c r="AD1333" s="12" t="s">
        <v>44340</v>
      </c>
      <c r="AE1333" s="12" t="s">
        <v>37871</v>
      </c>
      <c r="AF1333" s="12"/>
      <c r="AG1333" s="12"/>
      <c r="AH1333" s="12"/>
      <c r="AI1333" s="12"/>
      <c r="AJ1333" s="12"/>
      <c r="AK1333" s="12"/>
      <c r="AL1333" s="12"/>
      <c r="AM1333" s="12"/>
      <c r="AN1333" s="12"/>
      <c r="AO1333" s="12"/>
      <c r="AP1333" s="12"/>
      <c r="AQ1333" s="12"/>
      <c r="AR1333" s="12"/>
      <c r="AS1333" s="12"/>
      <c r="AT1333" s="12"/>
      <c r="AU1333" s="12"/>
      <c r="AV1333" s="12"/>
      <c r="AW1333" s="12"/>
      <c r="AX1333" s="12"/>
      <c r="AY1333" s="12"/>
      <c r="AZ1333" s="12"/>
      <c r="BA1333" s="12"/>
      <c r="BB1333" s="12"/>
      <c r="BC1333" s="12"/>
      <c r="BD1333" s="12"/>
      <c r="BE1333" s="12"/>
      <c r="BF1333" s="12"/>
      <c r="BG1333" s="12"/>
      <c r="BH1333" s="12"/>
      <c r="BI1333" s="12"/>
      <c r="BJ1333" s="12"/>
      <c r="BK1333" s="12"/>
      <c r="BL1333" s="12"/>
      <c r="BM1333" s="12"/>
      <c r="BN1333" s="12"/>
      <c r="BO1333" s="12"/>
      <c r="BP1333" s="12"/>
      <c r="BQ1333" s="12"/>
      <c r="BR1333" s="12"/>
      <c r="BS1333" s="12"/>
      <c r="BT1333" s="12"/>
    </row>
    <row r="1334" spans="1:72">
      <c r="A1334" s="2" t="s">
        <v>25749</v>
      </c>
      <c r="B1334" s="5" t="s">
        <v>25753</v>
      </c>
      <c r="C1334" s="3" t="s">
        <v>138</v>
      </c>
      <c r="D1334" s="4" t="s">
        <v>138</v>
      </c>
      <c r="E1334" s="15" t="s">
        <v>3670</v>
      </c>
      <c r="F1334" s="15" t="s">
        <v>200</v>
      </c>
      <c r="G1334" s="15" t="s">
        <v>162</v>
      </c>
      <c r="H1334" s="7">
        <v>8</v>
      </c>
      <c r="I1334" s="6" t="s">
        <v>25762</v>
      </c>
      <c r="J1334" s="6" t="s">
        <v>41226</v>
      </c>
      <c r="K1334" s="6" t="s">
        <v>40414</v>
      </c>
      <c r="L1334" s="6" t="s">
        <v>38379</v>
      </c>
      <c r="M1334" s="6" t="s">
        <v>38189</v>
      </c>
      <c r="N1334" s="6" t="s">
        <v>43204</v>
      </c>
      <c r="O1334" s="6" t="s">
        <v>44341</v>
      </c>
      <c r="P1334" s="6" t="s">
        <v>38645</v>
      </c>
      <c r="Q1334" s="6" t="s">
        <v>38200</v>
      </c>
      <c r="R1334" s="6"/>
      <c r="S1334" s="6"/>
      <c r="T1334" s="6"/>
      <c r="U1334" s="6"/>
      <c r="V1334" s="6"/>
      <c r="W1334" s="6"/>
      <c r="X1334" s="6"/>
      <c r="Y1334" s="6"/>
      <c r="Z1334" s="6"/>
      <c r="AA1334" s="6"/>
      <c r="AB1334" s="6"/>
      <c r="AC1334" s="6"/>
      <c r="AD1334" s="6"/>
      <c r="AE1334" s="6"/>
      <c r="AF1334" s="6"/>
      <c r="AG1334" s="6"/>
      <c r="AH1334" s="6"/>
      <c r="AI1334" s="6"/>
      <c r="AJ1334" s="6"/>
      <c r="AK1334" s="6"/>
      <c r="AL1334" s="6"/>
      <c r="AM1334" s="6"/>
      <c r="AN1334" s="6"/>
      <c r="AO1334" s="6"/>
      <c r="AP1334" s="6"/>
      <c r="AQ1334" s="6"/>
      <c r="AR1334" s="6"/>
      <c r="AS1334" s="6"/>
      <c r="AT1334" s="6"/>
      <c r="AU1334" s="6"/>
      <c r="AV1334" s="6"/>
      <c r="AW1334" s="6"/>
      <c r="AX1334" s="6"/>
      <c r="AY1334" s="6"/>
      <c r="AZ1334" s="6"/>
      <c r="BA1334" s="6"/>
      <c r="BB1334" s="6"/>
      <c r="BC1334" s="6"/>
      <c r="BD1334" s="6"/>
      <c r="BE1334" s="6"/>
      <c r="BF1334" s="6"/>
      <c r="BG1334" s="6"/>
      <c r="BH1334" s="6"/>
      <c r="BI1334" s="6"/>
      <c r="BJ1334" s="6"/>
      <c r="BK1334" s="6"/>
      <c r="BL1334" s="6"/>
      <c r="BM1334" s="6"/>
      <c r="BN1334" s="6"/>
      <c r="BO1334" s="6"/>
      <c r="BP1334" s="6"/>
      <c r="BQ1334" s="6"/>
      <c r="BR1334" s="6"/>
      <c r="BS1334" s="6"/>
      <c r="BT1334" s="6"/>
    </row>
    <row r="1335" spans="1:72">
      <c r="A1335" s="8" t="s">
        <v>25767</v>
      </c>
      <c r="B1335" s="11" t="s">
        <v>25772</v>
      </c>
      <c r="C1335" s="9" t="s">
        <v>25768</v>
      </c>
      <c r="D1335" s="10" t="s">
        <v>138</v>
      </c>
      <c r="E1335" s="28" t="s">
        <v>25780</v>
      </c>
      <c r="F1335" s="28" t="s">
        <v>426</v>
      </c>
      <c r="G1335" s="28" t="s">
        <v>162</v>
      </c>
      <c r="H1335" s="13">
        <v>2</v>
      </c>
      <c r="I1335" s="12" t="s">
        <v>25783</v>
      </c>
      <c r="J1335" s="12" t="s">
        <v>40460</v>
      </c>
      <c r="K1335" s="12" t="s">
        <v>42601</v>
      </c>
      <c r="L1335" s="12"/>
      <c r="M1335" s="12"/>
      <c r="N1335" s="12"/>
      <c r="O1335" s="12"/>
      <c r="P1335" s="12"/>
      <c r="Q1335" s="12"/>
      <c r="R1335" s="12"/>
      <c r="S1335" s="12"/>
      <c r="T1335" s="12"/>
      <c r="U1335" s="12"/>
      <c r="V1335" s="12"/>
      <c r="W1335" s="12"/>
      <c r="X1335" s="12"/>
      <c r="Y1335" s="12"/>
      <c r="Z1335" s="12"/>
      <c r="AA1335" s="12"/>
      <c r="AB1335" s="12"/>
      <c r="AC1335" s="12"/>
      <c r="AD1335" s="12"/>
      <c r="AE1335" s="12"/>
      <c r="AF1335" s="12"/>
      <c r="AG1335" s="12"/>
      <c r="AH1335" s="12"/>
      <c r="AI1335" s="12"/>
      <c r="AJ1335" s="12"/>
      <c r="AK1335" s="12"/>
      <c r="AL1335" s="12"/>
      <c r="AM1335" s="12"/>
      <c r="AN1335" s="12"/>
      <c r="AO1335" s="12"/>
      <c r="AP1335" s="12"/>
      <c r="AQ1335" s="12"/>
      <c r="AR1335" s="12"/>
      <c r="AS1335" s="12"/>
      <c r="AT1335" s="12"/>
      <c r="AU1335" s="12"/>
      <c r="AV1335" s="12"/>
      <c r="AW1335" s="12"/>
      <c r="AX1335" s="12"/>
      <c r="AY1335" s="12"/>
      <c r="AZ1335" s="12"/>
      <c r="BA1335" s="12"/>
      <c r="BB1335" s="12"/>
      <c r="BC1335" s="12"/>
      <c r="BD1335" s="12"/>
      <c r="BE1335" s="12"/>
      <c r="BF1335" s="12"/>
      <c r="BG1335" s="12"/>
      <c r="BH1335" s="12"/>
      <c r="BI1335" s="12"/>
      <c r="BJ1335" s="12"/>
      <c r="BK1335" s="12"/>
      <c r="BL1335" s="12"/>
      <c r="BM1335" s="12"/>
      <c r="BN1335" s="12"/>
      <c r="BO1335" s="12"/>
      <c r="BP1335" s="12"/>
      <c r="BQ1335" s="12"/>
      <c r="BR1335" s="12"/>
      <c r="BS1335" s="12"/>
      <c r="BT1335" s="12"/>
    </row>
    <row r="1336" spans="1:72">
      <c r="A1336" s="2" t="s">
        <v>25786</v>
      </c>
      <c r="B1336" s="5" t="s">
        <v>25790</v>
      </c>
      <c r="C1336" s="3" t="s">
        <v>138</v>
      </c>
      <c r="D1336" s="4" t="s">
        <v>138</v>
      </c>
      <c r="E1336" s="15" t="s">
        <v>668</v>
      </c>
      <c r="F1336" s="15" t="s">
        <v>200</v>
      </c>
      <c r="G1336" s="15" t="s">
        <v>162</v>
      </c>
      <c r="H1336" s="7">
        <v>4</v>
      </c>
      <c r="I1336" s="6" t="s">
        <v>25800</v>
      </c>
      <c r="J1336" s="6" t="s">
        <v>43732</v>
      </c>
      <c r="K1336" s="6" t="s">
        <v>37819</v>
      </c>
      <c r="L1336" s="6" t="s">
        <v>40452</v>
      </c>
      <c r="M1336" s="6" t="s">
        <v>37883</v>
      </c>
      <c r="N1336" s="6"/>
      <c r="O1336" s="6"/>
      <c r="P1336" s="6"/>
      <c r="Q1336" s="6"/>
      <c r="R1336" s="6"/>
      <c r="S1336" s="6"/>
      <c r="T1336" s="6"/>
      <c r="U1336" s="6"/>
      <c r="V1336" s="6"/>
      <c r="W1336" s="6"/>
      <c r="X1336" s="6"/>
      <c r="Y1336" s="6"/>
      <c r="Z1336" s="6"/>
      <c r="AA1336" s="6"/>
      <c r="AB1336" s="6"/>
      <c r="AC1336" s="6"/>
      <c r="AD1336" s="6"/>
      <c r="AE1336" s="6"/>
      <c r="AF1336" s="6"/>
      <c r="AG1336" s="6"/>
      <c r="AH1336" s="6"/>
      <c r="AI1336" s="6"/>
      <c r="AJ1336" s="6"/>
      <c r="AK1336" s="6"/>
      <c r="AL1336" s="6"/>
      <c r="AM1336" s="6"/>
      <c r="AN1336" s="6"/>
      <c r="AO1336" s="6"/>
      <c r="AP1336" s="6"/>
      <c r="AQ1336" s="6"/>
      <c r="AR1336" s="6"/>
      <c r="AS1336" s="6"/>
      <c r="AT1336" s="6"/>
      <c r="AU1336" s="6"/>
      <c r="AV1336" s="6"/>
      <c r="AW1336" s="6"/>
      <c r="AX1336" s="6"/>
      <c r="AY1336" s="6"/>
      <c r="AZ1336" s="6"/>
      <c r="BA1336" s="6"/>
      <c r="BB1336" s="6"/>
      <c r="BC1336" s="6"/>
      <c r="BD1336" s="6"/>
      <c r="BE1336" s="6"/>
      <c r="BF1336" s="6"/>
      <c r="BG1336" s="6"/>
      <c r="BH1336" s="6"/>
      <c r="BI1336" s="6"/>
      <c r="BJ1336" s="6"/>
      <c r="BK1336" s="6"/>
      <c r="BL1336" s="6"/>
      <c r="BM1336" s="6"/>
      <c r="BN1336" s="6"/>
      <c r="BO1336" s="6"/>
      <c r="BP1336" s="6"/>
      <c r="BQ1336" s="6"/>
      <c r="BR1336" s="6"/>
      <c r="BS1336" s="6"/>
      <c r="BT1336" s="6"/>
    </row>
    <row r="1337" spans="1:72">
      <c r="A1337" s="8" t="s">
        <v>25803</v>
      </c>
      <c r="B1337" s="11" t="s">
        <v>25806</v>
      </c>
      <c r="C1337" s="9" t="s">
        <v>138</v>
      </c>
      <c r="D1337" s="10" t="s">
        <v>138</v>
      </c>
      <c r="E1337" s="28" t="s">
        <v>25814</v>
      </c>
      <c r="F1337" s="28" t="s">
        <v>25815</v>
      </c>
      <c r="G1337" s="28" t="s">
        <v>8999</v>
      </c>
      <c r="H1337" s="13">
        <v>1</v>
      </c>
      <c r="I1337" s="12" t="s">
        <v>25820</v>
      </c>
      <c r="J1337" s="12" t="s">
        <v>25820</v>
      </c>
      <c r="K1337" s="12"/>
      <c r="L1337" s="12"/>
      <c r="M1337" s="12"/>
      <c r="N1337" s="12"/>
      <c r="O1337" s="12"/>
      <c r="P1337" s="12"/>
      <c r="Q1337" s="12"/>
      <c r="R1337" s="12"/>
      <c r="S1337" s="12"/>
      <c r="T1337" s="12"/>
      <c r="U1337" s="12"/>
      <c r="V1337" s="12"/>
      <c r="W1337" s="12"/>
      <c r="X1337" s="12"/>
      <c r="Y1337" s="12"/>
      <c r="Z1337" s="12"/>
      <c r="AA1337" s="12"/>
      <c r="AB1337" s="12"/>
      <c r="AC1337" s="12"/>
      <c r="AD1337" s="12"/>
      <c r="AE1337" s="12"/>
      <c r="AF1337" s="12"/>
      <c r="AG1337" s="12"/>
      <c r="AH1337" s="12"/>
      <c r="AI1337" s="12"/>
      <c r="AJ1337" s="12"/>
      <c r="AK1337" s="12"/>
      <c r="AL1337" s="12"/>
      <c r="AM1337" s="12"/>
      <c r="AN1337" s="12"/>
      <c r="AO1337" s="12"/>
      <c r="AP1337" s="12"/>
      <c r="AQ1337" s="12"/>
      <c r="AR1337" s="12"/>
      <c r="AS1337" s="12"/>
      <c r="AT1337" s="12"/>
      <c r="AU1337" s="12"/>
      <c r="AV1337" s="12"/>
      <c r="AW1337" s="12"/>
      <c r="AX1337" s="12"/>
      <c r="AY1337" s="12"/>
      <c r="AZ1337" s="12"/>
      <c r="BA1337" s="12"/>
      <c r="BB1337" s="12"/>
      <c r="BC1337" s="12"/>
      <c r="BD1337" s="12"/>
      <c r="BE1337" s="12"/>
      <c r="BF1337" s="12"/>
      <c r="BG1337" s="12"/>
      <c r="BH1337" s="12"/>
      <c r="BI1337" s="12"/>
      <c r="BJ1337" s="12"/>
      <c r="BK1337" s="12"/>
      <c r="BL1337" s="12"/>
      <c r="BM1337" s="12"/>
      <c r="BN1337" s="12"/>
      <c r="BO1337" s="12"/>
      <c r="BP1337" s="12"/>
      <c r="BQ1337" s="12"/>
      <c r="BR1337" s="12"/>
      <c r="BS1337" s="12"/>
      <c r="BT1337" s="12"/>
    </row>
    <row r="1338" spans="1:72">
      <c r="A1338" s="2" t="s">
        <v>25822</v>
      </c>
      <c r="B1338" s="5" t="s">
        <v>25828</v>
      </c>
      <c r="C1338" s="3" t="s">
        <v>25823</v>
      </c>
      <c r="D1338" s="4" t="s">
        <v>25824</v>
      </c>
      <c r="E1338" s="15" t="s">
        <v>5473</v>
      </c>
      <c r="F1338" s="15" t="s">
        <v>3112</v>
      </c>
      <c r="G1338" s="15" t="s">
        <v>2742</v>
      </c>
      <c r="H1338" s="7">
        <v>1</v>
      </c>
      <c r="I1338" s="6" t="s">
        <v>10339</v>
      </c>
      <c r="J1338" s="6" t="s">
        <v>10339</v>
      </c>
      <c r="K1338" s="6"/>
      <c r="L1338" s="6"/>
      <c r="M1338" s="6"/>
      <c r="N1338" s="6"/>
      <c r="O1338" s="6"/>
      <c r="P1338" s="6"/>
      <c r="Q1338" s="6"/>
      <c r="R1338" s="6"/>
      <c r="S1338" s="6"/>
      <c r="T1338" s="6"/>
      <c r="U1338" s="6"/>
      <c r="V1338" s="6"/>
      <c r="W1338" s="6"/>
      <c r="X1338" s="6"/>
      <c r="Y1338" s="6"/>
      <c r="Z1338" s="6"/>
      <c r="AA1338" s="6"/>
      <c r="AB1338" s="6"/>
      <c r="AC1338" s="6"/>
      <c r="AD1338" s="6"/>
      <c r="AE1338" s="6"/>
      <c r="AF1338" s="6"/>
      <c r="AG1338" s="6"/>
      <c r="AH1338" s="6"/>
      <c r="AI1338" s="6"/>
      <c r="AJ1338" s="6"/>
      <c r="AK1338" s="6"/>
      <c r="AL1338" s="6"/>
      <c r="AM1338" s="6"/>
      <c r="AN1338" s="6"/>
      <c r="AO1338" s="6"/>
      <c r="AP1338" s="6"/>
      <c r="AQ1338" s="6"/>
      <c r="AR1338" s="6"/>
      <c r="AS1338" s="6"/>
      <c r="AT1338" s="6"/>
      <c r="AU1338" s="6"/>
      <c r="AV1338" s="6"/>
      <c r="AW1338" s="6"/>
      <c r="AX1338" s="6"/>
      <c r="AY1338" s="6"/>
      <c r="AZ1338" s="6"/>
      <c r="BA1338" s="6"/>
      <c r="BB1338" s="6"/>
      <c r="BC1338" s="6"/>
      <c r="BD1338" s="6"/>
      <c r="BE1338" s="6"/>
      <c r="BF1338" s="6"/>
      <c r="BG1338" s="6"/>
      <c r="BH1338" s="6"/>
      <c r="BI1338" s="6"/>
      <c r="BJ1338" s="6"/>
      <c r="BK1338" s="6"/>
      <c r="BL1338" s="6"/>
      <c r="BM1338" s="6"/>
      <c r="BN1338" s="6"/>
      <c r="BO1338" s="6"/>
      <c r="BP1338" s="6"/>
      <c r="BQ1338" s="6"/>
      <c r="BR1338" s="6"/>
      <c r="BS1338" s="6"/>
      <c r="BT1338" s="6"/>
    </row>
    <row r="1339" spans="1:72">
      <c r="A1339" s="8" t="s">
        <v>25838</v>
      </c>
      <c r="B1339" s="11" t="s">
        <v>25843</v>
      </c>
      <c r="C1339" s="9" t="s">
        <v>138</v>
      </c>
      <c r="D1339" s="10" t="s">
        <v>138</v>
      </c>
      <c r="E1339" s="28" t="s">
        <v>426</v>
      </c>
      <c r="F1339" s="28" t="s">
        <v>426</v>
      </c>
      <c r="G1339" s="28" t="s">
        <v>162</v>
      </c>
      <c r="H1339" s="13">
        <v>10</v>
      </c>
      <c r="I1339" s="12" t="s">
        <v>25852</v>
      </c>
      <c r="J1339" s="12" t="s">
        <v>5796</v>
      </c>
      <c r="K1339" s="12" t="s">
        <v>39378</v>
      </c>
      <c r="L1339" s="12" t="s">
        <v>42101</v>
      </c>
      <c r="M1339" s="12" t="s">
        <v>44342</v>
      </c>
      <c r="N1339" s="12" t="s">
        <v>39412</v>
      </c>
      <c r="O1339" s="12" t="s">
        <v>39738</v>
      </c>
      <c r="P1339" s="12" t="s">
        <v>39563</v>
      </c>
      <c r="Q1339" s="12" t="s">
        <v>37781</v>
      </c>
      <c r="R1339" s="12" t="s">
        <v>39296</v>
      </c>
      <c r="S1339" s="12" t="s">
        <v>41631</v>
      </c>
      <c r="T1339" s="12"/>
      <c r="U1339" s="12"/>
      <c r="V1339" s="12"/>
      <c r="W1339" s="12"/>
      <c r="X1339" s="12"/>
      <c r="Y1339" s="12"/>
      <c r="Z1339" s="12"/>
      <c r="AA1339" s="12"/>
      <c r="AB1339" s="12"/>
      <c r="AC1339" s="12"/>
      <c r="AD1339" s="12"/>
      <c r="AE1339" s="12"/>
      <c r="AF1339" s="12"/>
      <c r="AG1339" s="12"/>
      <c r="AH1339" s="12"/>
      <c r="AI1339" s="12"/>
      <c r="AJ1339" s="12"/>
      <c r="AK1339" s="12"/>
      <c r="AL1339" s="12"/>
      <c r="AM1339" s="12"/>
      <c r="AN1339" s="12"/>
      <c r="AO1339" s="12"/>
      <c r="AP1339" s="12"/>
      <c r="AQ1339" s="12"/>
      <c r="AR1339" s="12"/>
      <c r="AS1339" s="12"/>
      <c r="AT1339" s="12"/>
      <c r="AU1339" s="12"/>
      <c r="AV1339" s="12"/>
      <c r="AW1339" s="12"/>
      <c r="AX1339" s="12"/>
      <c r="AY1339" s="12"/>
      <c r="AZ1339" s="12"/>
      <c r="BA1339" s="12"/>
      <c r="BB1339" s="12"/>
      <c r="BC1339" s="12"/>
      <c r="BD1339" s="12"/>
      <c r="BE1339" s="12"/>
      <c r="BF1339" s="12"/>
      <c r="BG1339" s="12"/>
      <c r="BH1339" s="12"/>
      <c r="BI1339" s="12"/>
      <c r="BJ1339" s="12"/>
      <c r="BK1339" s="12"/>
      <c r="BL1339" s="12"/>
      <c r="BM1339" s="12"/>
      <c r="BN1339" s="12"/>
      <c r="BO1339" s="12"/>
      <c r="BP1339" s="12"/>
      <c r="BQ1339" s="12"/>
      <c r="BR1339" s="12"/>
      <c r="BS1339" s="12"/>
      <c r="BT1339" s="12"/>
    </row>
    <row r="1340" spans="1:72">
      <c r="A1340" s="2" t="s">
        <v>25857</v>
      </c>
      <c r="B1340" s="5" t="s">
        <v>25863</v>
      </c>
      <c r="C1340" s="3" t="s">
        <v>25858</v>
      </c>
      <c r="D1340" s="4" t="s">
        <v>138</v>
      </c>
      <c r="E1340" s="15" t="s">
        <v>3841</v>
      </c>
      <c r="F1340" s="15" t="s">
        <v>200</v>
      </c>
      <c r="G1340" s="15" t="s">
        <v>162</v>
      </c>
      <c r="H1340" s="7">
        <v>16</v>
      </c>
      <c r="I1340" s="6" t="s">
        <v>25872</v>
      </c>
      <c r="J1340" s="6" t="s">
        <v>44343</v>
      </c>
      <c r="K1340" s="6" t="s">
        <v>37833</v>
      </c>
      <c r="L1340" s="6" t="s">
        <v>42543</v>
      </c>
      <c r="M1340" s="6" t="s">
        <v>44344</v>
      </c>
      <c r="N1340" s="6" t="s">
        <v>44345</v>
      </c>
      <c r="O1340" s="6" t="s">
        <v>44346</v>
      </c>
      <c r="P1340" s="6" t="s">
        <v>42941</v>
      </c>
      <c r="Q1340" s="6" t="s">
        <v>44347</v>
      </c>
      <c r="R1340" s="6" t="s">
        <v>37787</v>
      </c>
      <c r="S1340" s="6" t="s">
        <v>44348</v>
      </c>
      <c r="T1340" s="6" t="s">
        <v>44349</v>
      </c>
      <c r="U1340" s="6" t="s">
        <v>41782</v>
      </c>
      <c r="V1340" s="6" t="s">
        <v>38200</v>
      </c>
      <c r="W1340" s="6" t="s">
        <v>39662</v>
      </c>
      <c r="X1340" s="6" t="s">
        <v>44350</v>
      </c>
      <c r="Y1340" s="6" t="s">
        <v>39466</v>
      </c>
      <c r="Z1340" s="6"/>
      <c r="AA1340" s="6"/>
      <c r="AB1340" s="6"/>
      <c r="AC1340" s="6"/>
      <c r="AD1340" s="6"/>
      <c r="AE1340" s="6"/>
      <c r="AF1340" s="6"/>
      <c r="AG1340" s="6"/>
      <c r="AH1340" s="6"/>
      <c r="AI1340" s="6"/>
      <c r="AJ1340" s="6"/>
      <c r="AK1340" s="6"/>
      <c r="AL1340" s="6"/>
      <c r="AM1340" s="6"/>
      <c r="AN1340" s="6"/>
      <c r="AO1340" s="6"/>
      <c r="AP1340" s="6"/>
      <c r="AQ1340" s="6"/>
      <c r="AR1340" s="6"/>
      <c r="AS1340" s="6"/>
      <c r="AT1340" s="6"/>
      <c r="AU1340" s="6"/>
      <c r="AV1340" s="6"/>
      <c r="AW1340" s="6"/>
      <c r="AX1340" s="6"/>
      <c r="AY1340" s="6"/>
      <c r="AZ1340" s="6"/>
      <c r="BA1340" s="6"/>
      <c r="BB1340" s="6"/>
      <c r="BC1340" s="6"/>
      <c r="BD1340" s="6"/>
      <c r="BE1340" s="6"/>
      <c r="BF1340" s="6"/>
      <c r="BG1340" s="6"/>
      <c r="BH1340" s="6"/>
      <c r="BI1340" s="6"/>
      <c r="BJ1340" s="6"/>
      <c r="BK1340" s="6"/>
      <c r="BL1340" s="6"/>
      <c r="BM1340" s="6"/>
      <c r="BN1340" s="6"/>
      <c r="BO1340" s="6"/>
      <c r="BP1340" s="6"/>
      <c r="BQ1340" s="6"/>
      <c r="BR1340" s="6"/>
      <c r="BS1340" s="6"/>
      <c r="BT1340" s="6"/>
    </row>
    <row r="1341" spans="1:72">
      <c r="A1341" s="8" t="s">
        <v>25876</v>
      </c>
      <c r="B1341" s="11" t="s">
        <v>25880</v>
      </c>
      <c r="C1341" s="9" t="s">
        <v>138</v>
      </c>
      <c r="D1341" s="10" t="s">
        <v>138</v>
      </c>
      <c r="E1341" s="28" t="s">
        <v>22513</v>
      </c>
      <c r="F1341" s="28" t="s">
        <v>3883</v>
      </c>
      <c r="G1341" s="28" t="s">
        <v>162</v>
      </c>
      <c r="H1341" s="13">
        <v>6</v>
      </c>
      <c r="I1341" s="12" t="s">
        <v>25889</v>
      </c>
      <c r="J1341" s="12" t="s">
        <v>37790</v>
      </c>
      <c r="K1341" s="12" t="s">
        <v>38964</v>
      </c>
      <c r="L1341" s="12" t="s">
        <v>38935</v>
      </c>
      <c r="M1341" s="12" t="s">
        <v>38710</v>
      </c>
      <c r="N1341" s="12" t="s">
        <v>38099</v>
      </c>
      <c r="O1341" s="12" t="s">
        <v>38953</v>
      </c>
      <c r="P1341" s="12"/>
      <c r="Q1341" s="12"/>
      <c r="R1341" s="12"/>
      <c r="S1341" s="12"/>
      <c r="T1341" s="12"/>
      <c r="U1341" s="12"/>
      <c r="V1341" s="12"/>
      <c r="W1341" s="12"/>
      <c r="X1341" s="12"/>
      <c r="Y1341" s="12"/>
      <c r="Z1341" s="12"/>
      <c r="AA1341" s="12"/>
      <c r="AB1341" s="12"/>
      <c r="AC1341" s="12"/>
      <c r="AD1341" s="12"/>
      <c r="AE1341" s="12"/>
      <c r="AF1341" s="12"/>
      <c r="AG1341" s="12"/>
      <c r="AH1341" s="12"/>
      <c r="AI1341" s="12"/>
      <c r="AJ1341" s="12"/>
      <c r="AK1341" s="12"/>
      <c r="AL1341" s="12"/>
      <c r="AM1341" s="12"/>
      <c r="AN1341" s="12"/>
      <c r="AO1341" s="12"/>
      <c r="AP1341" s="12"/>
      <c r="AQ1341" s="12"/>
      <c r="AR1341" s="12"/>
      <c r="AS1341" s="12"/>
      <c r="AT1341" s="12"/>
      <c r="AU1341" s="12"/>
      <c r="AV1341" s="12"/>
      <c r="AW1341" s="12"/>
      <c r="AX1341" s="12"/>
      <c r="AY1341" s="12"/>
      <c r="AZ1341" s="12"/>
      <c r="BA1341" s="12"/>
      <c r="BB1341" s="12"/>
      <c r="BC1341" s="12"/>
      <c r="BD1341" s="12"/>
      <c r="BE1341" s="12"/>
      <c r="BF1341" s="12"/>
      <c r="BG1341" s="12"/>
      <c r="BH1341" s="12"/>
      <c r="BI1341" s="12"/>
      <c r="BJ1341" s="12"/>
      <c r="BK1341" s="12"/>
      <c r="BL1341" s="12"/>
      <c r="BM1341" s="12"/>
      <c r="BN1341" s="12"/>
      <c r="BO1341" s="12"/>
      <c r="BP1341" s="12"/>
      <c r="BQ1341" s="12"/>
      <c r="BR1341" s="12"/>
      <c r="BS1341" s="12"/>
      <c r="BT1341" s="12"/>
    </row>
    <row r="1342" spans="1:72">
      <c r="A1342" s="2" t="s">
        <v>25892</v>
      </c>
      <c r="B1342" s="5" t="s">
        <v>25896</v>
      </c>
      <c r="C1342" s="3" t="s">
        <v>25893</v>
      </c>
      <c r="D1342" s="4" t="s">
        <v>138</v>
      </c>
      <c r="E1342" s="15" t="s">
        <v>310</v>
      </c>
      <c r="F1342" s="15" t="s">
        <v>200</v>
      </c>
      <c r="G1342" s="15" t="s">
        <v>162</v>
      </c>
      <c r="H1342" s="7">
        <v>3</v>
      </c>
      <c r="I1342" s="6" t="s">
        <v>25904</v>
      </c>
      <c r="J1342" s="6" t="s">
        <v>44351</v>
      </c>
      <c r="K1342" s="6" t="s">
        <v>39329</v>
      </c>
      <c r="L1342" s="6" t="s">
        <v>38065</v>
      </c>
      <c r="M1342" s="6"/>
      <c r="N1342" s="6"/>
      <c r="O1342" s="6"/>
      <c r="P1342" s="6"/>
      <c r="Q1342" s="6"/>
      <c r="R1342" s="6"/>
      <c r="S1342" s="6"/>
      <c r="T1342" s="6"/>
      <c r="U1342" s="6"/>
      <c r="V1342" s="6"/>
      <c r="W1342" s="6"/>
      <c r="X1342" s="6"/>
      <c r="Y1342" s="6"/>
      <c r="Z1342" s="6"/>
      <c r="AA1342" s="6"/>
      <c r="AB1342" s="6"/>
      <c r="AC1342" s="6"/>
      <c r="AD1342" s="6"/>
      <c r="AE1342" s="6"/>
      <c r="AF1342" s="6"/>
      <c r="AG1342" s="6"/>
      <c r="AH1342" s="6"/>
      <c r="AI1342" s="6"/>
      <c r="AJ1342" s="6"/>
      <c r="AK1342" s="6"/>
      <c r="AL1342" s="6"/>
      <c r="AM1342" s="6"/>
      <c r="AN1342" s="6"/>
      <c r="AO1342" s="6"/>
      <c r="AP1342" s="6"/>
      <c r="AQ1342" s="6"/>
      <c r="AR1342" s="6"/>
      <c r="AS1342" s="6"/>
      <c r="AT1342" s="6"/>
      <c r="AU1342" s="6"/>
      <c r="AV1342" s="6"/>
      <c r="AW1342" s="6"/>
      <c r="AX1342" s="6"/>
      <c r="AY1342" s="6"/>
      <c r="AZ1342" s="6"/>
      <c r="BA1342" s="6"/>
      <c r="BB1342" s="6"/>
      <c r="BC1342" s="6"/>
      <c r="BD1342" s="6"/>
      <c r="BE1342" s="6"/>
      <c r="BF1342" s="6"/>
      <c r="BG1342" s="6"/>
      <c r="BH1342" s="6"/>
      <c r="BI1342" s="6"/>
      <c r="BJ1342" s="6"/>
      <c r="BK1342" s="6"/>
      <c r="BL1342" s="6"/>
      <c r="BM1342" s="6"/>
      <c r="BN1342" s="6"/>
      <c r="BO1342" s="6"/>
      <c r="BP1342" s="6"/>
      <c r="BQ1342" s="6"/>
      <c r="BR1342" s="6"/>
      <c r="BS1342" s="6"/>
      <c r="BT1342" s="6"/>
    </row>
    <row r="1343" spans="1:72">
      <c r="A1343" s="8" t="s">
        <v>25907</v>
      </c>
      <c r="B1343" s="11" t="s">
        <v>25911</v>
      </c>
      <c r="C1343" s="9" t="s">
        <v>138</v>
      </c>
      <c r="D1343" s="10" t="s">
        <v>138</v>
      </c>
      <c r="E1343" s="28" t="s">
        <v>1460</v>
      </c>
      <c r="F1343" s="28" t="s">
        <v>474</v>
      </c>
      <c r="G1343" s="28" t="s">
        <v>162</v>
      </c>
      <c r="H1343" s="13">
        <v>8</v>
      </c>
      <c r="I1343" s="12" t="s">
        <v>25918</v>
      </c>
      <c r="J1343" s="12" t="s">
        <v>44352</v>
      </c>
      <c r="K1343" s="12" t="s">
        <v>39020</v>
      </c>
      <c r="L1343" s="12" t="s">
        <v>41099</v>
      </c>
      <c r="M1343" s="12" t="s">
        <v>37897</v>
      </c>
      <c r="N1343" s="12" t="s">
        <v>38419</v>
      </c>
      <c r="O1343" s="12" t="s">
        <v>37851</v>
      </c>
      <c r="P1343" s="12" t="s">
        <v>39946</v>
      </c>
      <c r="Q1343" s="12" t="s">
        <v>38457</v>
      </c>
      <c r="R1343" s="12"/>
      <c r="S1343" s="12"/>
      <c r="T1343" s="12"/>
      <c r="U1343" s="12"/>
      <c r="V1343" s="12"/>
      <c r="W1343" s="12"/>
      <c r="X1343" s="12"/>
      <c r="Y1343" s="12"/>
      <c r="Z1343" s="12"/>
      <c r="AA1343" s="12"/>
      <c r="AB1343" s="12"/>
      <c r="AC1343" s="12"/>
      <c r="AD1343" s="12"/>
      <c r="AE1343" s="12"/>
      <c r="AF1343" s="12"/>
      <c r="AG1343" s="12"/>
      <c r="AH1343" s="12"/>
      <c r="AI1343" s="12"/>
      <c r="AJ1343" s="12"/>
      <c r="AK1343" s="12"/>
      <c r="AL1343" s="12"/>
      <c r="AM1343" s="12"/>
      <c r="AN1343" s="12"/>
      <c r="AO1343" s="12"/>
      <c r="AP1343" s="12"/>
      <c r="AQ1343" s="12"/>
      <c r="AR1343" s="12"/>
      <c r="AS1343" s="12"/>
      <c r="AT1343" s="12"/>
      <c r="AU1343" s="12"/>
      <c r="AV1343" s="12"/>
      <c r="AW1343" s="12"/>
      <c r="AX1343" s="12"/>
      <c r="AY1343" s="12"/>
      <c r="AZ1343" s="12"/>
      <c r="BA1343" s="12"/>
      <c r="BB1343" s="12"/>
      <c r="BC1343" s="12"/>
      <c r="BD1343" s="12"/>
      <c r="BE1343" s="12"/>
      <c r="BF1343" s="12"/>
      <c r="BG1343" s="12"/>
      <c r="BH1343" s="12"/>
      <c r="BI1343" s="12"/>
      <c r="BJ1343" s="12"/>
      <c r="BK1343" s="12"/>
      <c r="BL1343" s="12"/>
      <c r="BM1343" s="12"/>
      <c r="BN1343" s="12"/>
      <c r="BO1343" s="12"/>
      <c r="BP1343" s="12"/>
      <c r="BQ1343" s="12"/>
      <c r="BR1343" s="12"/>
      <c r="BS1343" s="12"/>
      <c r="BT1343" s="12"/>
    </row>
    <row r="1344" spans="1:72">
      <c r="A1344" s="2" t="s">
        <v>25921</v>
      </c>
      <c r="B1344" s="5" t="s">
        <v>25926</v>
      </c>
      <c r="C1344" s="3" t="s">
        <v>138</v>
      </c>
      <c r="D1344" s="4" t="s">
        <v>138</v>
      </c>
      <c r="E1344" s="15" t="s">
        <v>25936</v>
      </c>
      <c r="F1344" s="15" t="s">
        <v>339</v>
      </c>
      <c r="G1344" s="15" t="s">
        <v>162</v>
      </c>
      <c r="H1344" s="7">
        <v>5</v>
      </c>
      <c r="I1344" s="6" t="s">
        <v>25940</v>
      </c>
      <c r="J1344" s="6" t="s">
        <v>37771</v>
      </c>
      <c r="K1344" s="6" t="s">
        <v>37764</v>
      </c>
      <c r="L1344" s="6" t="s">
        <v>44353</v>
      </c>
      <c r="M1344" s="6" t="s">
        <v>38954</v>
      </c>
      <c r="N1344" s="6" t="s">
        <v>44354</v>
      </c>
      <c r="O1344" s="6"/>
      <c r="P1344" s="6"/>
      <c r="Q1344" s="6"/>
      <c r="R1344" s="6"/>
      <c r="S1344" s="6"/>
      <c r="T1344" s="6"/>
      <c r="U1344" s="6"/>
      <c r="V1344" s="6"/>
      <c r="W1344" s="6"/>
      <c r="X1344" s="6"/>
      <c r="Y1344" s="6"/>
      <c r="Z1344" s="6"/>
      <c r="AA1344" s="6"/>
      <c r="AB1344" s="6"/>
      <c r="AC1344" s="6"/>
      <c r="AD1344" s="6"/>
      <c r="AE1344" s="6"/>
      <c r="AF1344" s="6"/>
      <c r="AG1344" s="6"/>
      <c r="AH1344" s="6"/>
      <c r="AI1344" s="6"/>
      <c r="AJ1344" s="6"/>
      <c r="AK1344" s="6"/>
      <c r="AL1344" s="6"/>
      <c r="AM1344" s="6"/>
      <c r="AN1344" s="6"/>
      <c r="AO1344" s="6"/>
      <c r="AP1344" s="6"/>
      <c r="AQ1344" s="6"/>
      <c r="AR1344" s="6"/>
      <c r="AS1344" s="6"/>
      <c r="AT1344" s="6"/>
      <c r="AU1344" s="6"/>
      <c r="AV1344" s="6"/>
      <c r="AW1344" s="6"/>
      <c r="AX1344" s="6"/>
      <c r="AY1344" s="6"/>
      <c r="AZ1344" s="6"/>
      <c r="BA1344" s="6"/>
      <c r="BB1344" s="6"/>
      <c r="BC1344" s="6"/>
      <c r="BD1344" s="6"/>
      <c r="BE1344" s="6"/>
      <c r="BF1344" s="6"/>
      <c r="BG1344" s="6"/>
      <c r="BH1344" s="6"/>
      <c r="BI1344" s="6"/>
      <c r="BJ1344" s="6"/>
      <c r="BK1344" s="6"/>
      <c r="BL1344" s="6"/>
      <c r="BM1344" s="6"/>
      <c r="BN1344" s="6"/>
      <c r="BO1344" s="6"/>
      <c r="BP1344" s="6"/>
      <c r="BQ1344" s="6"/>
      <c r="BR1344" s="6"/>
      <c r="BS1344" s="6"/>
      <c r="BT1344" s="6"/>
    </row>
    <row r="1345" spans="1:72">
      <c r="A1345" s="8" t="s">
        <v>25944</v>
      </c>
      <c r="B1345" s="11" t="s">
        <v>25949</v>
      </c>
      <c r="C1345" s="9" t="s">
        <v>138</v>
      </c>
      <c r="D1345" s="10" t="s">
        <v>25945</v>
      </c>
      <c r="E1345" s="28" t="s">
        <v>16915</v>
      </c>
      <c r="F1345" s="28" t="s">
        <v>7605</v>
      </c>
      <c r="G1345" s="28" t="s">
        <v>162</v>
      </c>
      <c r="H1345" s="13">
        <v>1</v>
      </c>
      <c r="I1345" s="12" t="s">
        <v>24320</v>
      </c>
      <c r="J1345" s="12" t="s">
        <v>24320</v>
      </c>
      <c r="K1345" s="12"/>
      <c r="L1345" s="12"/>
      <c r="M1345" s="12"/>
      <c r="N1345" s="12"/>
      <c r="O1345" s="12"/>
      <c r="P1345" s="12"/>
      <c r="Q1345" s="12"/>
      <c r="R1345" s="12"/>
      <c r="S1345" s="12"/>
      <c r="T1345" s="12"/>
      <c r="U1345" s="12"/>
      <c r="V1345" s="12"/>
      <c r="W1345" s="12"/>
      <c r="X1345" s="12"/>
      <c r="Y1345" s="12"/>
      <c r="Z1345" s="12"/>
      <c r="AA1345" s="12"/>
      <c r="AB1345" s="12"/>
      <c r="AC1345" s="12"/>
      <c r="AD1345" s="12"/>
      <c r="AE1345" s="12"/>
      <c r="AF1345" s="12"/>
      <c r="AG1345" s="12"/>
      <c r="AH1345" s="12"/>
      <c r="AI1345" s="12"/>
      <c r="AJ1345" s="12"/>
      <c r="AK1345" s="12"/>
      <c r="AL1345" s="12"/>
      <c r="AM1345" s="12"/>
      <c r="AN1345" s="12"/>
      <c r="AO1345" s="12"/>
      <c r="AP1345" s="12"/>
      <c r="AQ1345" s="12"/>
      <c r="AR1345" s="12"/>
      <c r="AS1345" s="12"/>
      <c r="AT1345" s="12"/>
      <c r="AU1345" s="12"/>
      <c r="AV1345" s="12"/>
      <c r="AW1345" s="12"/>
      <c r="AX1345" s="12"/>
      <c r="AY1345" s="12"/>
      <c r="AZ1345" s="12"/>
      <c r="BA1345" s="12"/>
      <c r="BB1345" s="12"/>
      <c r="BC1345" s="12"/>
      <c r="BD1345" s="12"/>
      <c r="BE1345" s="12"/>
      <c r="BF1345" s="12"/>
      <c r="BG1345" s="12"/>
      <c r="BH1345" s="12"/>
      <c r="BI1345" s="12"/>
      <c r="BJ1345" s="12"/>
      <c r="BK1345" s="12"/>
      <c r="BL1345" s="12"/>
      <c r="BM1345" s="12"/>
      <c r="BN1345" s="12"/>
      <c r="BO1345" s="12"/>
      <c r="BP1345" s="12"/>
      <c r="BQ1345" s="12"/>
      <c r="BR1345" s="12"/>
      <c r="BS1345" s="12"/>
      <c r="BT1345" s="12"/>
    </row>
    <row r="1346" spans="1:72">
      <c r="A1346" s="2" t="s">
        <v>25956</v>
      </c>
      <c r="B1346" s="5" t="s">
        <v>25961</v>
      </c>
      <c r="C1346" s="3" t="s">
        <v>138</v>
      </c>
      <c r="D1346" s="4" t="s">
        <v>138</v>
      </c>
      <c r="E1346" s="15" t="s">
        <v>10537</v>
      </c>
      <c r="F1346" s="15" t="s">
        <v>5271</v>
      </c>
      <c r="G1346" s="15" t="s">
        <v>162</v>
      </c>
      <c r="H1346" s="7">
        <v>7</v>
      </c>
      <c r="I1346" s="6" t="s">
        <v>25970</v>
      </c>
      <c r="J1346" s="6" t="s">
        <v>44355</v>
      </c>
      <c r="K1346" s="6" t="s">
        <v>44356</v>
      </c>
      <c r="L1346" s="6" t="s">
        <v>44357</v>
      </c>
      <c r="M1346" s="6" t="s">
        <v>39454</v>
      </c>
      <c r="N1346" s="6" t="s">
        <v>39810</v>
      </c>
      <c r="O1346" s="6" t="s">
        <v>44358</v>
      </c>
      <c r="P1346" s="6" t="s">
        <v>39543</v>
      </c>
      <c r="Q1346" s="6"/>
      <c r="R1346" s="6"/>
      <c r="S1346" s="6"/>
      <c r="T1346" s="6"/>
      <c r="U1346" s="6"/>
      <c r="V1346" s="6"/>
      <c r="W1346" s="6"/>
      <c r="X1346" s="6"/>
      <c r="Y1346" s="6"/>
      <c r="Z1346" s="6"/>
      <c r="AA1346" s="6"/>
      <c r="AB1346" s="6"/>
      <c r="AC1346" s="6"/>
      <c r="AD1346" s="6"/>
      <c r="AE1346" s="6"/>
      <c r="AF1346" s="6"/>
      <c r="AG1346" s="6"/>
      <c r="AH1346" s="6"/>
      <c r="AI1346" s="6"/>
      <c r="AJ1346" s="6"/>
      <c r="AK1346" s="6"/>
      <c r="AL1346" s="6"/>
      <c r="AM1346" s="6"/>
      <c r="AN1346" s="6"/>
      <c r="AO1346" s="6"/>
      <c r="AP1346" s="6"/>
      <c r="AQ1346" s="6"/>
      <c r="AR1346" s="6"/>
      <c r="AS1346" s="6"/>
      <c r="AT1346" s="6"/>
      <c r="AU1346" s="6"/>
      <c r="AV1346" s="6"/>
      <c r="AW1346" s="6"/>
      <c r="AX1346" s="6"/>
      <c r="AY1346" s="6"/>
      <c r="AZ1346" s="6"/>
      <c r="BA1346" s="6"/>
      <c r="BB1346" s="6"/>
      <c r="BC1346" s="6"/>
      <c r="BD1346" s="6"/>
      <c r="BE1346" s="6"/>
      <c r="BF1346" s="6"/>
      <c r="BG1346" s="6"/>
      <c r="BH1346" s="6"/>
      <c r="BI1346" s="6"/>
      <c r="BJ1346" s="6"/>
      <c r="BK1346" s="6"/>
      <c r="BL1346" s="6"/>
      <c r="BM1346" s="6"/>
      <c r="BN1346" s="6"/>
      <c r="BO1346" s="6"/>
      <c r="BP1346" s="6"/>
      <c r="BQ1346" s="6"/>
      <c r="BR1346" s="6"/>
      <c r="BS1346" s="6"/>
      <c r="BT1346" s="6"/>
    </row>
    <row r="1347" spans="1:72">
      <c r="A1347" s="8" t="s">
        <v>25974</v>
      </c>
      <c r="B1347" s="11" t="s">
        <v>25980</v>
      </c>
      <c r="C1347" s="9" t="s">
        <v>25975</v>
      </c>
      <c r="D1347" s="10" t="s">
        <v>138</v>
      </c>
      <c r="E1347" s="28" t="s">
        <v>426</v>
      </c>
      <c r="F1347" s="28" t="s">
        <v>426</v>
      </c>
      <c r="G1347" s="28" t="s">
        <v>162</v>
      </c>
      <c r="H1347" s="13">
        <v>15</v>
      </c>
      <c r="I1347" s="12" t="s">
        <v>25989</v>
      </c>
      <c r="J1347" s="12" t="s">
        <v>43506</v>
      </c>
      <c r="K1347" s="12" t="s">
        <v>38354</v>
      </c>
      <c r="L1347" s="12" t="s">
        <v>38110</v>
      </c>
      <c r="M1347" s="12" t="s">
        <v>42869</v>
      </c>
      <c r="N1347" s="12" t="s">
        <v>39732</v>
      </c>
      <c r="O1347" s="12" t="s">
        <v>37922</v>
      </c>
      <c r="P1347" s="12" t="s">
        <v>39724</v>
      </c>
      <c r="Q1347" s="12" t="s">
        <v>44359</v>
      </c>
      <c r="R1347" s="12" t="s">
        <v>39928</v>
      </c>
      <c r="S1347" s="12" t="s">
        <v>38864</v>
      </c>
      <c r="T1347" s="12" t="s">
        <v>39647</v>
      </c>
      <c r="U1347" s="12" t="s">
        <v>41241</v>
      </c>
      <c r="V1347" s="12" t="s">
        <v>42886</v>
      </c>
      <c r="W1347" s="12" t="s">
        <v>40447</v>
      </c>
      <c r="X1347" s="12" t="s">
        <v>42931</v>
      </c>
      <c r="Y1347" s="12"/>
      <c r="Z1347" s="12"/>
      <c r="AA1347" s="12"/>
      <c r="AB1347" s="12"/>
      <c r="AC1347" s="12"/>
      <c r="AD1347" s="12"/>
      <c r="AE1347" s="12"/>
      <c r="AF1347" s="12"/>
      <c r="AG1347" s="12"/>
      <c r="AH1347" s="12"/>
      <c r="AI1347" s="12"/>
      <c r="AJ1347" s="12"/>
      <c r="AK1347" s="12"/>
      <c r="AL1347" s="12"/>
      <c r="AM1347" s="12"/>
      <c r="AN1347" s="12"/>
      <c r="AO1347" s="12"/>
      <c r="AP1347" s="12"/>
      <c r="AQ1347" s="12"/>
      <c r="AR1347" s="12"/>
      <c r="AS1347" s="12"/>
      <c r="AT1347" s="12"/>
      <c r="AU1347" s="12"/>
      <c r="AV1347" s="12"/>
      <c r="AW1347" s="12"/>
      <c r="AX1347" s="12"/>
      <c r="AY1347" s="12"/>
      <c r="AZ1347" s="12"/>
      <c r="BA1347" s="12"/>
      <c r="BB1347" s="12"/>
      <c r="BC1347" s="12"/>
      <c r="BD1347" s="12"/>
      <c r="BE1347" s="12"/>
      <c r="BF1347" s="12"/>
      <c r="BG1347" s="12"/>
      <c r="BH1347" s="12"/>
      <c r="BI1347" s="12"/>
      <c r="BJ1347" s="12"/>
      <c r="BK1347" s="12"/>
      <c r="BL1347" s="12"/>
      <c r="BM1347" s="12"/>
      <c r="BN1347" s="12"/>
      <c r="BO1347" s="12"/>
      <c r="BP1347" s="12"/>
      <c r="BQ1347" s="12"/>
      <c r="BR1347" s="12"/>
      <c r="BS1347" s="12"/>
      <c r="BT1347" s="12"/>
    </row>
    <row r="1348" spans="1:72">
      <c r="A1348" s="2" t="s">
        <v>25994</v>
      </c>
      <c r="B1348" s="5" t="s">
        <v>25998</v>
      </c>
      <c r="C1348" s="3" t="s">
        <v>138</v>
      </c>
      <c r="D1348" s="4" t="s">
        <v>138</v>
      </c>
      <c r="E1348" s="15" t="s">
        <v>26005</v>
      </c>
      <c r="F1348" s="15" t="s">
        <v>138</v>
      </c>
      <c r="G1348" s="15" t="s">
        <v>9686</v>
      </c>
      <c r="H1348" s="7">
        <v>4</v>
      </c>
      <c r="I1348" s="6" t="s">
        <v>26008</v>
      </c>
      <c r="J1348" s="6" t="s">
        <v>44360</v>
      </c>
      <c r="K1348" s="6" t="s">
        <v>41161</v>
      </c>
      <c r="L1348" s="6" t="s">
        <v>41655</v>
      </c>
      <c r="M1348" s="6" t="s">
        <v>44361</v>
      </c>
      <c r="N1348" s="6"/>
      <c r="O1348" s="6"/>
      <c r="P1348" s="6"/>
      <c r="Q1348" s="6"/>
      <c r="R1348" s="6"/>
      <c r="S1348" s="6"/>
      <c r="T1348" s="6"/>
      <c r="U1348" s="6"/>
      <c r="V1348" s="6"/>
      <c r="W1348" s="6"/>
      <c r="X1348" s="6"/>
      <c r="Y1348" s="6"/>
      <c r="Z1348" s="6"/>
      <c r="AA1348" s="6"/>
      <c r="AB1348" s="6"/>
      <c r="AC1348" s="6"/>
      <c r="AD1348" s="6"/>
      <c r="AE1348" s="6"/>
      <c r="AF1348" s="6"/>
      <c r="AG1348" s="6"/>
      <c r="AH1348" s="6"/>
      <c r="AI1348" s="6"/>
      <c r="AJ1348" s="6"/>
      <c r="AK1348" s="6"/>
      <c r="AL1348" s="6"/>
      <c r="AM1348" s="6"/>
      <c r="AN1348" s="6"/>
      <c r="AO1348" s="6"/>
      <c r="AP1348" s="6"/>
      <c r="AQ1348" s="6"/>
      <c r="AR1348" s="6"/>
      <c r="AS1348" s="6"/>
      <c r="AT1348" s="6"/>
      <c r="AU1348" s="6"/>
      <c r="AV1348" s="6"/>
      <c r="AW1348" s="6"/>
      <c r="AX1348" s="6"/>
      <c r="AY1348" s="6"/>
      <c r="AZ1348" s="6"/>
      <c r="BA1348" s="6"/>
      <c r="BB1348" s="6"/>
      <c r="BC1348" s="6"/>
      <c r="BD1348" s="6"/>
      <c r="BE1348" s="6"/>
      <c r="BF1348" s="6"/>
      <c r="BG1348" s="6"/>
      <c r="BH1348" s="6"/>
      <c r="BI1348" s="6"/>
      <c r="BJ1348" s="6"/>
      <c r="BK1348" s="6"/>
      <c r="BL1348" s="6"/>
      <c r="BM1348" s="6"/>
      <c r="BN1348" s="6"/>
      <c r="BO1348" s="6"/>
      <c r="BP1348" s="6"/>
      <c r="BQ1348" s="6"/>
      <c r="BR1348" s="6"/>
      <c r="BS1348" s="6"/>
      <c r="BT1348" s="6"/>
    </row>
    <row r="1349" spans="1:72">
      <c r="A1349" s="8" t="s">
        <v>26011</v>
      </c>
      <c r="B1349" s="11" t="s">
        <v>26016</v>
      </c>
      <c r="C1349" s="9" t="s">
        <v>138</v>
      </c>
      <c r="D1349" s="10" t="s">
        <v>138</v>
      </c>
      <c r="E1349" s="28" t="s">
        <v>668</v>
      </c>
      <c r="F1349" s="28" t="s">
        <v>200</v>
      </c>
      <c r="G1349" s="28" t="s">
        <v>162</v>
      </c>
      <c r="H1349" s="13">
        <v>7</v>
      </c>
      <c r="I1349" s="12" t="s">
        <v>26026</v>
      </c>
      <c r="J1349" s="12" t="s">
        <v>39846</v>
      </c>
      <c r="K1349" s="12" t="s">
        <v>39470</v>
      </c>
      <c r="L1349" s="12" t="s">
        <v>44362</v>
      </c>
      <c r="M1349" s="12" t="s">
        <v>38642</v>
      </c>
      <c r="N1349" s="12" t="s">
        <v>37781</v>
      </c>
      <c r="O1349" s="12" t="s">
        <v>39642</v>
      </c>
      <c r="P1349" s="12" t="s">
        <v>41870</v>
      </c>
      <c r="Q1349" s="12"/>
      <c r="R1349" s="12"/>
      <c r="S1349" s="12"/>
      <c r="T1349" s="12"/>
      <c r="U1349" s="12"/>
      <c r="V1349" s="12"/>
      <c r="W1349" s="12"/>
      <c r="X1349" s="12"/>
      <c r="Y1349" s="12"/>
      <c r="Z1349" s="12"/>
      <c r="AA1349" s="12"/>
      <c r="AB1349" s="12"/>
      <c r="AC1349" s="12"/>
      <c r="AD1349" s="12"/>
      <c r="AE1349" s="12"/>
      <c r="AF1349" s="12"/>
      <c r="AG1349" s="12"/>
      <c r="AH1349" s="12"/>
      <c r="AI1349" s="12"/>
      <c r="AJ1349" s="12"/>
      <c r="AK1349" s="12"/>
      <c r="AL1349" s="12"/>
      <c r="AM1349" s="12"/>
      <c r="AN1349" s="12"/>
      <c r="AO1349" s="12"/>
      <c r="AP1349" s="12"/>
      <c r="AQ1349" s="12"/>
      <c r="AR1349" s="12"/>
      <c r="AS1349" s="12"/>
      <c r="AT1349" s="12"/>
      <c r="AU1349" s="12"/>
      <c r="AV1349" s="12"/>
      <c r="AW1349" s="12"/>
      <c r="AX1349" s="12"/>
      <c r="AY1349" s="12"/>
      <c r="AZ1349" s="12"/>
      <c r="BA1349" s="12"/>
      <c r="BB1349" s="12"/>
      <c r="BC1349" s="12"/>
      <c r="BD1349" s="12"/>
      <c r="BE1349" s="12"/>
      <c r="BF1349" s="12"/>
      <c r="BG1349" s="12"/>
      <c r="BH1349" s="12"/>
      <c r="BI1349" s="12"/>
      <c r="BJ1349" s="12"/>
      <c r="BK1349" s="12"/>
      <c r="BL1349" s="12"/>
      <c r="BM1349" s="12"/>
      <c r="BN1349" s="12"/>
      <c r="BO1349" s="12"/>
      <c r="BP1349" s="12"/>
      <c r="BQ1349" s="12"/>
      <c r="BR1349" s="12"/>
      <c r="BS1349" s="12"/>
      <c r="BT1349" s="12"/>
    </row>
    <row r="1350" spans="1:72">
      <c r="A1350" s="2" t="s">
        <v>26029</v>
      </c>
      <c r="B1350" s="5" t="s">
        <v>26035</v>
      </c>
      <c r="C1350" s="3" t="s">
        <v>26030</v>
      </c>
      <c r="D1350" s="4" t="s">
        <v>138</v>
      </c>
      <c r="E1350" s="15" t="s">
        <v>668</v>
      </c>
      <c r="F1350" s="15" t="s">
        <v>200</v>
      </c>
      <c r="G1350" s="15" t="s">
        <v>162</v>
      </c>
      <c r="H1350" s="7">
        <v>27</v>
      </c>
      <c r="I1350" s="6" t="s">
        <v>26043</v>
      </c>
      <c r="J1350" s="6" t="s">
        <v>44363</v>
      </c>
      <c r="K1350" s="6" t="s">
        <v>43690</v>
      </c>
      <c r="L1350" s="6" t="s">
        <v>44364</v>
      </c>
      <c r="M1350" s="6" t="s">
        <v>44365</v>
      </c>
      <c r="N1350" s="6" t="s">
        <v>41599</v>
      </c>
      <c r="O1350" s="6" t="s">
        <v>37815</v>
      </c>
      <c r="P1350" s="6" t="s">
        <v>38107</v>
      </c>
      <c r="Q1350" s="6" t="s">
        <v>37820</v>
      </c>
      <c r="R1350" s="6" t="s">
        <v>44366</v>
      </c>
      <c r="S1350" s="6" t="s">
        <v>37775</v>
      </c>
      <c r="T1350" s="6" t="s">
        <v>37786</v>
      </c>
      <c r="U1350" s="6" t="s">
        <v>37791</v>
      </c>
      <c r="V1350" s="6" t="s">
        <v>44367</v>
      </c>
      <c r="W1350" s="6" t="s">
        <v>38078</v>
      </c>
      <c r="X1350" s="6" t="s">
        <v>38369</v>
      </c>
      <c r="Y1350" s="6" t="s">
        <v>44368</v>
      </c>
      <c r="Z1350" s="6" t="s">
        <v>38979</v>
      </c>
      <c r="AA1350" s="6" t="s">
        <v>37998</v>
      </c>
      <c r="AB1350" s="6" t="s">
        <v>40349</v>
      </c>
      <c r="AC1350" s="6" t="s">
        <v>44369</v>
      </c>
      <c r="AD1350" s="6" t="s">
        <v>37829</v>
      </c>
      <c r="AE1350" s="6" t="s">
        <v>39695</v>
      </c>
      <c r="AF1350" s="6" t="s">
        <v>44370</v>
      </c>
      <c r="AG1350" s="6" t="s">
        <v>41969</v>
      </c>
      <c r="AH1350" s="6" t="s">
        <v>44371</v>
      </c>
      <c r="AI1350" s="6" t="s">
        <v>39698</v>
      </c>
      <c r="AJ1350" s="6" t="s">
        <v>37871</v>
      </c>
      <c r="AK1350" s="6"/>
      <c r="AL1350" s="6"/>
      <c r="AM1350" s="6"/>
      <c r="AN1350" s="6"/>
      <c r="AO1350" s="6"/>
      <c r="AP1350" s="6"/>
      <c r="AQ1350" s="6"/>
      <c r="AR1350" s="6"/>
      <c r="AS1350" s="6"/>
      <c r="AT1350" s="6"/>
      <c r="AU1350" s="6"/>
      <c r="AV1350" s="6"/>
      <c r="AW1350" s="6"/>
      <c r="AX1350" s="6"/>
      <c r="AY1350" s="6"/>
      <c r="AZ1350" s="6"/>
      <c r="BA1350" s="6"/>
      <c r="BB1350" s="6"/>
      <c r="BC1350" s="6"/>
      <c r="BD1350" s="6"/>
      <c r="BE1350" s="6"/>
      <c r="BF1350" s="6"/>
      <c r="BG1350" s="6"/>
      <c r="BH1350" s="6"/>
      <c r="BI1350" s="6"/>
      <c r="BJ1350" s="6"/>
      <c r="BK1350" s="6"/>
      <c r="BL1350" s="6"/>
      <c r="BM1350" s="6"/>
      <c r="BN1350" s="6"/>
      <c r="BO1350" s="6"/>
      <c r="BP1350" s="6"/>
      <c r="BQ1350" s="6"/>
      <c r="BR1350" s="6"/>
      <c r="BS1350" s="6"/>
      <c r="BT1350" s="6"/>
    </row>
    <row r="1351" spans="1:72">
      <c r="A1351" s="8" t="s">
        <v>26047</v>
      </c>
      <c r="B1351" s="11" t="s">
        <v>26051</v>
      </c>
      <c r="C1351" s="9" t="s">
        <v>138</v>
      </c>
      <c r="D1351" s="10" t="s">
        <v>138</v>
      </c>
      <c r="E1351" s="28" t="s">
        <v>668</v>
      </c>
      <c r="F1351" s="28" t="s">
        <v>200</v>
      </c>
      <c r="G1351" s="28" t="s">
        <v>162</v>
      </c>
      <c r="H1351" s="13">
        <v>4</v>
      </c>
      <c r="I1351" s="12" t="s">
        <v>26059</v>
      </c>
      <c r="J1351" s="12" t="s">
        <v>43738</v>
      </c>
      <c r="K1351" s="12" t="s">
        <v>38418</v>
      </c>
      <c r="L1351" s="12" t="s">
        <v>37781</v>
      </c>
      <c r="M1351" s="12" t="s">
        <v>43330</v>
      </c>
      <c r="N1351" s="12"/>
      <c r="O1351" s="12"/>
      <c r="P1351" s="12"/>
      <c r="Q1351" s="12"/>
      <c r="R1351" s="12"/>
      <c r="S1351" s="12"/>
      <c r="T1351" s="12"/>
      <c r="U1351" s="12"/>
      <c r="V1351" s="12"/>
      <c r="W1351" s="12"/>
      <c r="X1351" s="12"/>
      <c r="Y1351" s="12"/>
      <c r="Z1351" s="12"/>
      <c r="AA1351" s="12"/>
      <c r="AB1351" s="12"/>
      <c r="AC1351" s="12"/>
      <c r="AD1351" s="12"/>
      <c r="AE1351" s="12"/>
      <c r="AF1351" s="12"/>
      <c r="AG1351" s="12"/>
      <c r="AH1351" s="12"/>
      <c r="AI1351" s="12"/>
      <c r="AJ1351" s="12"/>
      <c r="AK1351" s="12"/>
      <c r="AL1351" s="12"/>
      <c r="AM1351" s="12"/>
      <c r="AN1351" s="12"/>
      <c r="AO1351" s="12"/>
      <c r="AP1351" s="12"/>
      <c r="AQ1351" s="12"/>
      <c r="AR1351" s="12"/>
      <c r="AS1351" s="12"/>
      <c r="AT1351" s="12"/>
      <c r="AU1351" s="12"/>
      <c r="AV1351" s="12"/>
      <c r="AW1351" s="12"/>
      <c r="AX1351" s="12"/>
      <c r="AY1351" s="12"/>
      <c r="AZ1351" s="12"/>
      <c r="BA1351" s="12"/>
      <c r="BB1351" s="12"/>
      <c r="BC1351" s="12"/>
      <c r="BD1351" s="12"/>
      <c r="BE1351" s="12"/>
      <c r="BF1351" s="12"/>
      <c r="BG1351" s="12"/>
      <c r="BH1351" s="12"/>
      <c r="BI1351" s="12"/>
      <c r="BJ1351" s="12"/>
      <c r="BK1351" s="12"/>
      <c r="BL1351" s="12"/>
      <c r="BM1351" s="12"/>
      <c r="BN1351" s="12"/>
      <c r="BO1351" s="12"/>
      <c r="BP1351" s="12"/>
      <c r="BQ1351" s="12"/>
      <c r="BR1351" s="12"/>
      <c r="BS1351" s="12"/>
      <c r="BT1351" s="12"/>
    </row>
    <row r="1352" spans="1:72">
      <c r="A1352" s="2" t="s">
        <v>26063</v>
      </c>
      <c r="B1352" s="5" t="s">
        <v>26067</v>
      </c>
      <c r="C1352" s="3" t="s">
        <v>138</v>
      </c>
      <c r="D1352" s="4" t="s">
        <v>138</v>
      </c>
      <c r="E1352" s="15" t="s">
        <v>668</v>
      </c>
      <c r="F1352" s="15" t="s">
        <v>200</v>
      </c>
      <c r="G1352" s="15" t="s">
        <v>162</v>
      </c>
      <c r="H1352" s="7">
        <v>27</v>
      </c>
      <c r="I1352" s="6" t="s">
        <v>26073</v>
      </c>
      <c r="J1352" s="6" t="s">
        <v>44372</v>
      </c>
      <c r="K1352" s="6" t="s">
        <v>41580</v>
      </c>
      <c r="L1352" s="6" t="s">
        <v>38162</v>
      </c>
      <c r="M1352" s="6" t="s">
        <v>44373</v>
      </c>
      <c r="N1352" s="6" t="s">
        <v>44374</v>
      </c>
      <c r="O1352" s="6" t="s">
        <v>40149</v>
      </c>
      <c r="P1352" s="6" t="s">
        <v>44375</v>
      </c>
      <c r="Q1352" s="6" t="s">
        <v>41993</v>
      </c>
      <c r="R1352" s="6" t="s">
        <v>44376</v>
      </c>
      <c r="S1352" s="6" t="s">
        <v>37921</v>
      </c>
      <c r="T1352" s="6" t="s">
        <v>40315</v>
      </c>
      <c r="U1352" s="6" t="s">
        <v>40115</v>
      </c>
      <c r="V1352" s="6" t="s">
        <v>37960</v>
      </c>
      <c r="W1352" s="6" t="s">
        <v>44377</v>
      </c>
      <c r="X1352" s="6" t="s">
        <v>44378</v>
      </c>
      <c r="Y1352" s="6" t="s">
        <v>44379</v>
      </c>
      <c r="Z1352" s="6" t="s">
        <v>40303</v>
      </c>
      <c r="AA1352" s="6" t="s">
        <v>41260</v>
      </c>
      <c r="AB1352" s="6" t="s">
        <v>37859</v>
      </c>
      <c r="AC1352" s="6" t="s">
        <v>37998</v>
      </c>
      <c r="AD1352" s="6" t="s">
        <v>44380</v>
      </c>
      <c r="AE1352" s="6" t="s">
        <v>37781</v>
      </c>
      <c r="AF1352" s="6" t="s">
        <v>41041</v>
      </c>
      <c r="AG1352" s="6" t="s">
        <v>38167</v>
      </c>
      <c r="AH1352" s="6" t="s">
        <v>41130</v>
      </c>
      <c r="AI1352" s="6" t="s">
        <v>44381</v>
      </c>
      <c r="AJ1352" s="6" t="s">
        <v>37976</v>
      </c>
      <c r="AK1352" s="6"/>
      <c r="AL1352" s="6"/>
      <c r="AM1352" s="6"/>
      <c r="AN1352" s="6"/>
      <c r="AO1352" s="6"/>
      <c r="AP1352" s="6"/>
      <c r="AQ1352" s="6"/>
      <c r="AR1352" s="6"/>
      <c r="AS1352" s="6"/>
      <c r="AT1352" s="6"/>
      <c r="AU1352" s="6"/>
      <c r="AV1352" s="6"/>
      <c r="AW1352" s="6"/>
      <c r="AX1352" s="6"/>
      <c r="AY1352" s="6"/>
      <c r="AZ1352" s="6"/>
      <c r="BA1352" s="6"/>
      <c r="BB1352" s="6"/>
      <c r="BC1352" s="6"/>
      <c r="BD1352" s="6"/>
      <c r="BE1352" s="6"/>
      <c r="BF1352" s="6"/>
      <c r="BG1352" s="6"/>
      <c r="BH1352" s="6"/>
      <c r="BI1352" s="6"/>
      <c r="BJ1352" s="6"/>
      <c r="BK1352" s="6"/>
      <c r="BL1352" s="6"/>
      <c r="BM1352" s="6"/>
      <c r="BN1352" s="6"/>
      <c r="BO1352" s="6"/>
      <c r="BP1352" s="6"/>
      <c r="BQ1352" s="6"/>
      <c r="BR1352" s="6"/>
      <c r="BS1352" s="6"/>
      <c r="BT1352" s="6"/>
    </row>
    <row r="1353" spans="1:72">
      <c r="A1353" s="8" t="s">
        <v>26079</v>
      </c>
      <c r="B1353" s="11" t="s">
        <v>26084</v>
      </c>
      <c r="C1353" s="9" t="s">
        <v>138</v>
      </c>
      <c r="D1353" s="10" t="s">
        <v>26080</v>
      </c>
      <c r="E1353" s="28" t="s">
        <v>668</v>
      </c>
      <c r="F1353" s="28" t="s">
        <v>200</v>
      </c>
      <c r="G1353" s="28" t="s">
        <v>162</v>
      </c>
      <c r="H1353" s="13">
        <v>21</v>
      </c>
      <c r="I1353" s="12" t="s">
        <v>26091</v>
      </c>
      <c r="J1353" s="12" t="s">
        <v>39282</v>
      </c>
      <c r="K1353" s="12" t="s">
        <v>42435</v>
      </c>
      <c r="L1353" s="12" t="s">
        <v>38412</v>
      </c>
      <c r="M1353" s="12" t="s">
        <v>44382</v>
      </c>
      <c r="N1353" s="12" t="s">
        <v>38964</v>
      </c>
      <c r="O1353" s="12" t="s">
        <v>44383</v>
      </c>
      <c r="P1353" s="12" t="s">
        <v>38148</v>
      </c>
      <c r="Q1353" s="12" t="s">
        <v>41075</v>
      </c>
      <c r="R1353" s="12" t="s">
        <v>42577</v>
      </c>
      <c r="S1353" s="12" t="s">
        <v>44384</v>
      </c>
      <c r="T1353" s="12" t="s">
        <v>38165</v>
      </c>
      <c r="U1353" s="12" t="s">
        <v>40231</v>
      </c>
      <c r="V1353" s="12" t="s">
        <v>44385</v>
      </c>
      <c r="W1353" s="12" t="s">
        <v>44386</v>
      </c>
      <c r="X1353" s="12" t="s">
        <v>44387</v>
      </c>
      <c r="Y1353" s="12" t="s">
        <v>37890</v>
      </c>
      <c r="Z1353" s="12" t="s">
        <v>44388</v>
      </c>
      <c r="AA1353" s="12" t="s">
        <v>44389</v>
      </c>
      <c r="AB1353" s="12" t="s">
        <v>37976</v>
      </c>
      <c r="AC1353" s="12" t="s">
        <v>44390</v>
      </c>
      <c r="AD1353" s="12" t="s">
        <v>38169</v>
      </c>
      <c r="AE1353" s="12"/>
      <c r="AF1353" s="12"/>
      <c r="AG1353" s="12"/>
      <c r="AH1353" s="12"/>
      <c r="AI1353" s="12"/>
      <c r="AJ1353" s="12"/>
      <c r="AK1353" s="12"/>
      <c r="AL1353" s="12"/>
      <c r="AM1353" s="12"/>
      <c r="AN1353" s="12"/>
      <c r="AO1353" s="12"/>
      <c r="AP1353" s="12"/>
      <c r="AQ1353" s="12"/>
      <c r="AR1353" s="12"/>
      <c r="AS1353" s="12"/>
      <c r="AT1353" s="12"/>
      <c r="AU1353" s="12"/>
      <c r="AV1353" s="12"/>
      <c r="AW1353" s="12"/>
      <c r="AX1353" s="12"/>
      <c r="AY1353" s="12"/>
      <c r="AZ1353" s="12"/>
      <c r="BA1353" s="12"/>
      <c r="BB1353" s="12"/>
      <c r="BC1353" s="12"/>
      <c r="BD1353" s="12"/>
      <c r="BE1353" s="12"/>
      <c r="BF1353" s="12"/>
      <c r="BG1353" s="12"/>
      <c r="BH1353" s="12"/>
      <c r="BI1353" s="12"/>
      <c r="BJ1353" s="12"/>
      <c r="BK1353" s="12"/>
      <c r="BL1353" s="12"/>
      <c r="BM1353" s="12"/>
      <c r="BN1353" s="12"/>
      <c r="BO1353" s="12"/>
      <c r="BP1353" s="12"/>
      <c r="BQ1353" s="12"/>
      <c r="BR1353" s="12"/>
      <c r="BS1353" s="12"/>
      <c r="BT1353" s="12"/>
    </row>
    <row r="1354" spans="1:72">
      <c r="A1354" s="2" t="s">
        <v>26094</v>
      </c>
      <c r="B1354" s="5" t="s">
        <v>26099</v>
      </c>
      <c r="C1354" s="3" t="s">
        <v>138</v>
      </c>
      <c r="D1354" s="4" t="s">
        <v>26095</v>
      </c>
      <c r="E1354" s="15" t="s">
        <v>26107</v>
      </c>
      <c r="F1354" s="15" t="s">
        <v>138</v>
      </c>
      <c r="G1354" s="15" t="s">
        <v>946</v>
      </c>
      <c r="H1354" s="7">
        <v>4</v>
      </c>
      <c r="I1354" s="6" t="s">
        <v>26112</v>
      </c>
      <c r="J1354" s="6" t="s">
        <v>24301</v>
      </c>
      <c r="K1354" s="6" t="s">
        <v>44391</v>
      </c>
      <c r="L1354" s="6" t="s">
        <v>39994</v>
      </c>
      <c r="M1354" s="6" t="s">
        <v>37901</v>
      </c>
      <c r="N1354" s="6"/>
      <c r="O1354" s="6"/>
      <c r="P1354" s="6"/>
      <c r="Q1354" s="6"/>
      <c r="R1354" s="6"/>
      <c r="S1354" s="6"/>
      <c r="T1354" s="6"/>
      <c r="U1354" s="6"/>
      <c r="V1354" s="6"/>
      <c r="W1354" s="6"/>
      <c r="X1354" s="6"/>
      <c r="Y1354" s="6"/>
      <c r="Z1354" s="6"/>
      <c r="AA1354" s="6"/>
      <c r="AB1354" s="6"/>
      <c r="AC1354" s="6"/>
      <c r="AD1354" s="6"/>
      <c r="AE1354" s="6"/>
      <c r="AF1354" s="6"/>
      <c r="AG1354" s="6"/>
      <c r="AH1354" s="6"/>
      <c r="AI1354" s="6"/>
      <c r="AJ1354" s="6"/>
      <c r="AK1354" s="6"/>
      <c r="AL1354" s="6"/>
      <c r="AM1354" s="6"/>
      <c r="AN1354" s="6"/>
      <c r="AO1354" s="6"/>
      <c r="AP1354" s="6"/>
      <c r="AQ1354" s="6"/>
      <c r="AR1354" s="6"/>
      <c r="AS1354" s="6"/>
      <c r="AT1354" s="6"/>
      <c r="AU1354" s="6"/>
      <c r="AV1354" s="6"/>
      <c r="AW1354" s="6"/>
      <c r="AX1354" s="6"/>
      <c r="AY1354" s="6"/>
      <c r="AZ1354" s="6"/>
      <c r="BA1354" s="6"/>
      <c r="BB1354" s="6"/>
      <c r="BC1354" s="6"/>
      <c r="BD1354" s="6"/>
      <c r="BE1354" s="6"/>
      <c r="BF1354" s="6"/>
      <c r="BG1354" s="6"/>
      <c r="BH1354" s="6"/>
      <c r="BI1354" s="6"/>
      <c r="BJ1354" s="6"/>
      <c r="BK1354" s="6"/>
      <c r="BL1354" s="6"/>
      <c r="BM1354" s="6"/>
      <c r="BN1354" s="6"/>
      <c r="BO1354" s="6"/>
      <c r="BP1354" s="6"/>
      <c r="BQ1354" s="6"/>
      <c r="BR1354" s="6"/>
      <c r="BS1354" s="6"/>
      <c r="BT1354" s="6"/>
    </row>
    <row r="1355" spans="1:72">
      <c r="A1355" s="8" t="s">
        <v>26117</v>
      </c>
      <c r="B1355" s="11" t="s">
        <v>26122</v>
      </c>
      <c r="C1355" s="9" t="s">
        <v>138</v>
      </c>
      <c r="D1355" s="10" t="s">
        <v>26118</v>
      </c>
      <c r="E1355" s="28" t="s">
        <v>449</v>
      </c>
      <c r="F1355" s="28" t="s">
        <v>26129</v>
      </c>
      <c r="G1355" s="28" t="s">
        <v>450</v>
      </c>
      <c r="H1355" s="13">
        <v>3</v>
      </c>
      <c r="I1355" s="12" t="s">
        <v>26132</v>
      </c>
      <c r="J1355" s="12" t="s">
        <v>455</v>
      </c>
      <c r="K1355" s="12" t="s">
        <v>39222</v>
      </c>
      <c r="L1355" s="12" t="s">
        <v>39223</v>
      </c>
      <c r="M1355" s="12"/>
      <c r="N1355" s="12"/>
      <c r="O1355" s="12"/>
      <c r="P1355" s="12"/>
      <c r="Q1355" s="12"/>
      <c r="R1355" s="12"/>
      <c r="S1355" s="12"/>
      <c r="T1355" s="12"/>
      <c r="U1355" s="12"/>
      <c r="V1355" s="12"/>
      <c r="W1355" s="12"/>
      <c r="X1355" s="12"/>
      <c r="Y1355" s="12"/>
      <c r="Z1355" s="12"/>
      <c r="AA1355" s="12"/>
      <c r="AB1355" s="12"/>
      <c r="AC1355" s="12"/>
      <c r="AD1355" s="12"/>
      <c r="AE1355" s="12"/>
      <c r="AF1355" s="12"/>
      <c r="AG1355" s="12"/>
      <c r="AH1355" s="12"/>
      <c r="AI1355" s="12"/>
      <c r="AJ1355" s="12"/>
      <c r="AK1355" s="12"/>
      <c r="AL1355" s="12"/>
      <c r="AM1355" s="12"/>
      <c r="AN1355" s="12"/>
      <c r="AO1355" s="12"/>
      <c r="AP1355" s="12"/>
      <c r="AQ1355" s="12"/>
      <c r="AR1355" s="12"/>
      <c r="AS1355" s="12"/>
      <c r="AT1355" s="12"/>
      <c r="AU1355" s="12"/>
      <c r="AV1355" s="12"/>
      <c r="AW1355" s="12"/>
      <c r="AX1355" s="12"/>
      <c r="AY1355" s="12"/>
      <c r="AZ1355" s="12"/>
      <c r="BA1355" s="12"/>
      <c r="BB1355" s="12"/>
      <c r="BC1355" s="12"/>
      <c r="BD1355" s="12"/>
      <c r="BE1355" s="12"/>
      <c r="BF1355" s="12"/>
      <c r="BG1355" s="12"/>
      <c r="BH1355" s="12"/>
      <c r="BI1355" s="12"/>
      <c r="BJ1355" s="12"/>
      <c r="BK1355" s="12"/>
      <c r="BL1355" s="12"/>
      <c r="BM1355" s="12"/>
      <c r="BN1355" s="12"/>
      <c r="BO1355" s="12"/>
      <c r="BP1355" s="12"/>
      <c r="BQ1355" s="12"/>
      <c r="BR1355" s="12"/>
      <c r="BS1355" s="12"/>
      <c r="BT1355" s="12"/>
    </row>
    <row r="1356" spans="1:72">
      <c r="A1356" s="2" t="s">
        <v>26135</v>
      </c>
      <c r="B1356" s="5" t="s">
        <v>26142</v>
      </c>
      <c r="C1356" s="3" t="s">
        <v>26136</v>
      </c>
      <c r="D1356" s="4" t="s">
        <v>26137</v>
      </c>
      <c r="E1356" s="15" t="s">
        <v>642</v>
      </c>
      <c r="F1356" s="15" t="s">
        <v>474</v>
      </c>
      <c r="G1356" s="15" t="s">
        <v>162</v>
      </c>
      <c r="H1356" s="7">
        <v>7</v>
      </c>
      <c r="I1356" s="6" t="s">
        <v>26151</v>
      </c>
      <c r="J1356" s="6" t="s">
        <v>13176</v>
      </c>
      <c r="K1356" s="6" t="s">
        <v>39061</v>
      </c>
      <c r="L1356" s="6" t="s">
        <v>39865</v>
      </c>
      <c r="M1356" s="6" t="s">
        <v>44392</v>
      </c>
      <c r="N1356" s="6" t="s">
        <v>38914</v>
      </c>
      <c r="O1356" s="6" t="s">
        <v>44393</v>
      </c>
      <c r="P1356" s="6" t="s">
        <v>44394</v>
      </c>
      <c r="Q1356" s="6"/>
      <c r="R1356" s="6"/>
      <c r="S1356" s="6"/>
      <c r="T1356" s="6"/>
      <c r="U1356" s="6"/>
      <c r="V1356" s="6"/>
      <c r="W1356" s="6"/>
      <c r="X1356" s="6"/>
      <c r="Y1356" s="6"/>
      <c r="Z1356" s="6"/>
      <c r="AA1356" s="6"/>
      <c r="AB1356" s="6"/>
      <c r="AC1356" s="6"/>
      <c r="AD1356" s="6"/>
      <c r="AE1356" s="6"/>
      <c r="AF1356" s="6"/>
      <c r="AG1356" s="6"/>
      <c r="AH1356" s="6"/>
      <c r="AI1356" s="6"/>
      <c r="AJ1356" s="6"/>
      <c r="AK1356" s="6"/>
      <c r="AL1356" s="6"/>
      <c r="AM1356" s="6"/>
      <c r="AN1356" s="6"/>
      <c r="AO1356" s="6"/>
      <c r="AP1356" s="6"/>
      <c r="AQ1356" s="6"/>
      <c r="AR1356" s="6"/>
      <c r="AS1356" s="6"/>
      <c r="AT1356" s="6"/>
      <c r="AU1356" s="6"/>
      <c r="AV1356" s="6"/>
      <c r="AW1356" s="6"/>
      <c r="AX1356" s="6"/>
      <c r="AY1356" s="6"/>
      <c r="AZ1356" s="6"/>
      <c r="BA1356" s="6"/>
      <c r="BB1356" s="6"/>
      <c r="BC1356" s="6"/>
      <c r="BD1356" s="6"/>
      <c r="BE1356" s="6"/>
      <c r="BF1356" s="6"/>
      <c r="BG1356" s="6"/>
      <c r="BH1356" s="6"/>
      <c r="BI1356" s="6"/>
      <c r="BJ1356" s="6"/>
      <c r="BK1356" s="6"/>
      <c r="BL1356" s="6"/>
      <c r="BM1356" s="6"/>
      <c r="BN1356" s="6"/>
      <c r="BO1356" s="6"/>
      <c r="BP1356" s="6"/>
      <c r="BQ1356" s="6"/>
      <c r="BR1356" s="6"/>
      <c r="BS1356" s="6"/>
      <c r="BT1356" s="6"/>
    </row>
    <row r="1357" spans="1:72">
      <c r="A1357" s="8" t="s">
        <v>26155</v>
      </c>
      <c r="B1357" s="11" t="s">
        <v>26160</v>
      </c>
      <c r="C1357" s="9" t="s">
        <v>138</v>
      </c>
      <c r="D1357" s="10" t="s">
        <v>138</v>
      </c>
      <c r="E1357" s="28" t="s">
        <v>1171</v>
      </c>
      <c r="F1357" s="28" t="s">
        <v>200</v>
      </c>
      <c r="G1357" s="28" t="s">
        <v>162</v>
      </c>
      <c r="H1357" s="13">
        <v>20</v>
      </c>
      <c r="I1357" s="12" t="s">
        <v>26169</v>
      </c>
      <c r="J1357" s="12" t="s">
        <v>39545</v>
      </c>
      <c r="K1357" s="12" t="s">
        <v>44395</v>
      </c>
      <c r="L1357" s="12" t="s">
        <v>44396</v>
      </c>
      <c r="M1357" s="12" t="s">
        <v>38106</v>
      </c>
      <c r="N1357" s="12" t="s">
        <v>41828</v>
      </c>
      <c r="O1357" s="12" t="s">
        <v>37819</v>
      </c>
      <c r="P1357" s="12" t="s">
        <v>38965</v>
      </c>
      <c r="Q1357" s="12" t="s">
        <v>44397</v>
      </c>
      <c r="R1357" s="12" t="s">
        <v>37774</v>
      </c>
      <c r="S1357" s="12" t="s">
        <v>38721</v>
      </c>
      <c r="T1357" s="12" t="s">
        <v>37953</v>
      </c>
      <c r="U1357" s="12" t="s">
        <v>38525</v>
      </c>
      <c r="V1357" s="12" t="s">
        <v>39574</v>
      </c>
      <c r="W1357" s="12" t="s">
        <v>38062</v>
      </c>
      <c r="X1357" s="12" t="s">
        <v>44398</v>
      </c>
      <c r="Y1357" s="12" t="s">
        <v>40211</v>
      </c>
      <c r="Z1357" s="12" t="s">
        <v>37783</v>
      </c>
      <c r="AA1357" s="12" t="s">
        <v>39765</v>
      </c>
      <c r="AB1357" s="12" t="s">
        <v>39143</v>
      </c>
      <c r="AC1357" s="12" t="s">
        <v>44399</v>
      </c>
      <c r="AD1357" s="12"/>
      <c r="AE1357" s="12"/>
      <c r="AF1357" s="12"/>
      <c r="AG1357" s="12"/>
      <c r="AH1357" s="12"/>
      <c r="AI1357" s="12"/>
      <c r="AJ1357" s="12"/>
      <c r="AK1357" s="12"/>
      <c r="AL1357" s="12"/>
      <c r="AM1357" s="12"/>
      <c r="AN1357" s="12"/>
      <c r="AO1357" s="12"/>
      <c r="AP1357" s="12"/>
      <c r="AQ1357" s="12"/>
      <c r="AR1357" s="12"/>
      <c r="AS1357" s="12"/>
      <c r="AT1357" s="12"/>
      <c r="AU1357" s="12"/>
      <c r="AV1357" s="12"/>
      <c r="AW1357" s="12"/>
      <c r="AX1357" s="12"/>
      <c r="AY1357" s="12"/>
      <c r="AZ1357" s="12"/>
      <c r="BA1357" s="12"/>
      <c r="BB1357" s="12"/>
      <c r="BC1357" s="12"/>
      <c r="BD1357" s="12"/>
      <c r="BE1357" s="12"/>
      <c r="BF1357" s="12"/>
      <c r="BG1357" s="12"/>
      <c r="BH1357" s="12"/>
      <c r="BI1357" s="12"/>
      <c r="BJ1357" s="12"/>
      <c r="BK1357" s="12"/>
      <c r="BL1357" s="12"/>
      <c r="BM1357" s="12"/>
      <c r="BN1357" s="12"/>
      <c r="BO1357" s="12"/>
      <c r="BP1357" s="12"/>
      <c r="BQ1357" s="12"/>
      <c r="BR1357" s="12"/>
      <c r="BS1357" s="12"/>
      <c r="BT1357" s="12"/>
    </row>
    <row r="1358" spans="1:72">
      <c r="A1358" s="2" t="s">
        <v>26173</v>
      </c>
      <c r="B1358" s="5" t="s">
        <v>26176</v>
      </c>
      <c r="C1358" s="3" t="s">
        <v>138</v>
      </c>
      <c r="D1358" s="4" t="s">
        <v>138</v>
      </c>
      <c r="E1358" s="15" t="s">
        <v>1008</v>
      </c>
      <c r="F1358" s="15" t="s">
        <v>138</v>
      </c>
      <c r="G1358" s="15" t="s">
        <v>946</v>
      </c>
      <c r="H1358" s="7">
        <v>1</v>
      </c>
      <c r="I1358" s="6" t="s">
        <v>3047</v>
      </c>
      <c r="J1358" s="6" t="s">
        <v>3047</v>
      </c>
      <c r="K1358" s="6"/>
      <c r="L1358" s="6"/>
      <c r="M1358" s="6"/>
      <c r="N1358" s="6"/>
      <c r="O1358" s="6"/>
      <c r="P1358" s="6"/>
      <c r="Q1358" s="6"/>
      <c r="R1358" s="6"/>
      <c r="S1358" s="6"/>
      <c r="T1358" s="6"/>
      <c r="U1358" s="6"/>
      <c r="V1358" s="6"/>
      <c r="W1358" s="6"/>
      <c r="X1358" s="6"/>
      <c r="Y1358" s="6"/>
      <c r="Z1358" s="6"/>
      <c r="AA1358" s="6"/>
      <c r="AB1358" s="6"/>
      <c r="AC1358" s="6"/>
      <c r="AD1358" s="6"/>
      <c r="AE1358" s="6"/>
      <c r="AF1358" s="6"/>
      <c r="AG1358" s="6"/>
      <c r="AH1358" s="6"/>
      <c r="AI1358" s="6"/>
      <c r="AJ1358" s="6"/>
      <c r="AK1358" s="6"/>
      <c r="AL1358" s="6"/>
      <c r="AM1358" s="6"/>
      <c r="AN1358" s="6"/>
      <c r="AO1358" s="6"/>
      <c r="AP1358" s="6"/>
      <c r="AQ1358" s="6"/>
      <c r="AR1358" s="6"/>
      <c r="AS1358" s="6"/>
      <c r="AT1358" s="6"/>
      <c r="AU1358" s="6"/>
      <c r="AV1358" s="6"/>
      <c r="AW1358" s="6"/>
      <c r="AX1358" s="6"/>
      <c r="AY1358" s="6"/>
      <c r="AZ1358" s="6"/>
      <c r="BA1358" s="6"/>
      <c r="BB1358" s="6"/>
      <c r="BC1358" s="6"/>
      <c r="BD1358" s="6"/>
      <c r="BE1358" s="6"/>
      <c r="BF1358" s="6"/>
      <c r="BG1358" s="6"/>
      <c r="BH1358" s="6"/>
      <c r="BI1358" s="6"/>
      <c r="BJ1358" s="6"/>
      <c r="BK1358" s="6"/>
      <c r="BL1358" s="6"/>
      <c r="BM1358" s="6"/>
      <c r="BN1358" s="6"/>
      <c r="BO1358" s="6"/>
      <c r="BP1358" s="6"/>
      <c r="BQ1358" s="6"/>
      <c r="BR1358" s="6"/>
      <c r="BS1358" s="6"/>
      <c r="BT1358" s="6"/>
    </row>
    <row r="1359" spans="1:72">
      <c r="A1359" s="8" t="s">
        <v>26188</v>
      </c>
      <c r="B1359" s="11" t="s">
        <v>26194</v>
      </c>
      <c r="C1359" s="9" t="s">
        <v>138</v>
      </c>
      <c r="D1359" s="10" t="s">
        <v>138</v>
      </c>
      <c r="E1359" s="28" t="s">
        <v>1460</v>
      </c>
      <c r="F1359" s="28" t="s">
        <v>474</v>
      </c>
      <c r="G1359" s="28" t="s">
        <v>162</v>
      </c>
      <c r="H1359" s="13">
        <v>3</v>
      </c>
      <c r="I1359" s="12" t="s">
        <v>26204</v>
      </c>
      <c r="J1359" s="12" t="s">
        <v>18441</v>
      </c>
      <c r="K1359" s="12" t="s">
        <v>40039</v>
      </c>
      <c r="L1359" s="12" t="s">
        <v>37851</v>
      </c>
      <c r="M1359" s="12"/>
      <c r="N1359" s="12"/>
      <c r="O1359" s="12"/>
      <c r="P1359" s="12"/>
      <c r="Q1359" s="12"/>
      <c r="R1359" s="12"/>
      <c r="S1359" s="12"/>
      <c r="T1359" s="12"/>
      <c r="U1359" s="12"/>
      <c r="V1359" s="12"/>
      <c r="W1359" s="12"/>
      <c r="X1359" s="12"/>
      <c r="Y1359" s="12"/>
      <c r="Z1359" s="12"/>
      <c r="AA1359" s="12"/>
      <c r="AB1359" s="12"/>
      <c r="AC1359" s="12"/>
      <c r="AD1359" s="12"/>
      <c r="AE1359" s="12"/>
      <c r="AF1359" s="12"/>
      <c r="AG1359" s="12"/>
      <c r="AH1359" s="12"/>
      <c r="AI1359" s="12"/>
      <c r="AJ1359" s="12"/>
      <c r="AK1359" s="12"/>
      <c r="AL1359" s="12"/>
      <c r="AM1359" s="12"/>
      <c r="AN1359" s="12"/>
      <c r="AO1359" s="12"/>
      <c r="AP1359" s="12"/>
      <c r="AQ1359" s="12"/>
      <c r="AR1359" s="12"/>
      <c r="AS1359" s="12"/>
      <c r="AT1359" s="12"/>
      <c r="AU1359" s="12"/>
      <c r="AV1359" s="12"/>
      <c r="AW1359" s="12"/>
      <c r="AX1359" s="12"/>
      <c r="AY1359" s="12"/>
      <c r="AZ1359" s="12"/>
      <c r="BA1359" s="12"/>
      <c r="BB1359" s="12"/>
      <c r="BC1359" s="12"/>
      <c r="BD1359" s="12"/>
      <c r="BE1359" s="12"/>
      <c r="BF1359" s="12"/>
      <c r="BG1359" s="12"/>
      <c r="BH1359" s="12"/>
      <c r="BI1359" s="12"/>
      <c r="BJ1359" s="12"/>
      <c r="BK1359" s="12"/>
      <c r="BL1359" s="12"/>
      <c r="BM1359" s="12"/>
      <c r="BN1359" s="12"/>
      <c r="BO1359" s="12"/>
      <c r="BP1359" s="12"/>
      <c r="BQ1359" s="12"/>
      <c r="BR1359" s="12"/>
      <c r="BS1359" s="12"/>
      <c r="BT1359" s="12"/>
    </row>
    <row r="1360" spans="1:72">
      <c r="A1360" s="2" t="s">
        <v>26208</v>
      </c>
      <c r="B1360" s="5" t="s">
        <v>26211</v>
      </c>
      <c r="C1360" s="3" t="s">
        <v>138</v>
      </c>
      <c r="D1360" s="4" t="s">
        <v>138</v>
      </c>
      <c r="E1360" s="15" t="s">
        <v>1198</v>
      </c>
      <c r="F1360" s="15" t="s">
        <v>138</v>
      </c>
      <c r="G1360" s="15" t="s">
        <v>1200</v>
      </c>
      <c r="H1360" s="7">
        <v>3</v>
      </c>
      <c r="I1360" s="6" t="s">
        <v>26219</v>
      </c>
      <c r="J1360" s="6" t="s">
        <v>44400</v>
      </c>
      <c r="K1360" s="6" t="s">
        <v>41287</v>
      </c>
      <c r="L1360" s="6" t="s">
        <v>38065</v>
      </c>
      <c r="M1360" s="6"/>
      <c r="N1360" s="6"/>
      <c r="O1360" s="6"/>
      <c r="P1360" s="6"/>
      <c r="Q1360" s="6"/>
      <c r="R1360" s="6"/>
      <c r="S1360" s="6"/>
      <c r="T1360" s="6"/>
      <c r="U1360" s="6"/>
      <c r="V1360" s="6"/>
      <c r="W1360" s="6"/>
      <c r="X1360" s="6"/>
      <c r="Y1360" s="6"/>
      <c r="Z1360" s="6"/>
      <c r="AA1360" s="6"/>
      <c r="AB1360" s="6"/>
      <c r="AC1360" s="6"/>
      <c r="AD1360" s="6"/>
      <c r="AE1360" s="6"/>
      <c r="AF1360" s="6"/>
      <c r="AG1360" s="6"/>
      <c r="AH1360" s="6"/>
      <c r="AI1360" s="6"/>
      <c r="AJ1360" s="6"/>
      <c r="AK1360" s="6"/>
      <c r="AL1360" s="6"/>
      <c r="AM1360" s="6"/>
      <c r="AN1360" s="6"/>
      <c r="AO1360" s="6"/>
      <c r="AP1360" s="6"/>
      <c r="AQ1360" s="6"/>
      <c r="AR1360" s="6"/>
      <c r="AS1360" s="6"/>
      <c r="AT1360" s="6"/>
      <c r="AU1360" s="6"/>
      <c r="AV1360" s="6"/>
      <c r="AW1360" s="6"/>
      <c r="AX1360" s="6"/>
      <c r="AY1360" s="6"/>
      <c r="AZ1360" s="6"/>
      <c r="BA1360" s="6"/>
      <c r="BB1360" s="6"/>
      <c r="BC1360" s="6"/>
      <c r="BD1360" s="6"/>
      <c r="BE1360" s="6"/>
      <c r="BF1360" s="6"/>
      <c r="BG1360" s="6"/>
      <c r="BH1360" s="6"/>
      <c r="BI1360" s="6"/>
      <c r="BJ1360" s="6"/>
      <c r="BK1360" s="6"/>
      <c r="BL1360" s="6"/>
      <c r="BM1360" s="6"/>
      <c r="BN1360" s="6"/>
      <c r="BO1360" s="6"/>
      <c r="BP1360" s="6"/>
      <c r="BQ1360" s="6"/>
      <c r="BR1360" s="6"/>
      <c r="BS1360" s="6"/>
      <c r="BT1360" s="6"/>
    </row>
    <row r="1361" spans="1:72">
      <c r="A1361" s="8" t="s">
        <v>26222</v>
      </c>
      <c r="B1361" s="11" t="s">
        <v>26226</v>
      </c>
      <c r="C1361" s="9" t="s">
        <v>138</v>
      </c>
      <c r="D1361" s="10" t="s">
        <v>138</v>
      </c>
      <c r="E1361" s="28" t="s">
        <v>1198</v>
      </c>
      <c r="F1361" s="28" t="s">
        <v>138</v>
      </c>
      <c r="G1361" s="28" t="s">
        <v>1200</v>
      </c>
      <c r="H1361" s="13">
        <v>2</v>
      </c>
      <c r="I1361" s="12" t="s">
        <v>5683</v>
      </c>
      <c r="J1361" s="12" t="s">
        <v>8682</v>
      </c>
      <c r="K1361" s="12" t="s">
        <v>37781</v>
      </c>
      <c r="L1361" s="12"/>
      <c r="M1361" s="12"/>
      <c r="N1361" s="12"/>
      <c r="O1361" s="12"/>
      <c r="P1361" s="12"/>
      <c r="Q1361" s="12"/>
      <c r="R1361" s="12"/>
      <c r="S1361" s="12"/>
      <c r="T1361" s="12"/>
      <c r="U1361" s="12"/>
      <c r="V1361" s="12"/>
      <c r="W1361" s="12"/>
      <c r="X1361" s="12"/>
      <c r="Y1361" s="12"/>
      <c r="Z1361" s="12"/>
      <c r="AA1361" s="12"/>
      <c r="AB1361" s="12"/>
      <c r="AC1361" s="12"/>
      <c r="AD1361" s="12"/>
      <c r="AE1361" s="12"/>
      <c r="AF1361" s="12"/>
      <c r="AG1361" s="12"/>
      <c r="AH1361" s="12"/>
      <c r="AI1361" s="12"/>
      <c r="AJ1361" s="12"/>
      <c r="AK1361" s="12"/>
      <c r="AL1361" s="12"/>
      <c r="AM1361" s="12"/>
      <c r="AN1361" s="12"/>
      <c r="AO1361" s="12"/>
      <c r="AP1361" s="12"/>
      <c r="AQ1361" s="12"/>
      <c r="AR1361" s="12"/>
      <c r="AS1361" s="12"/>
      <c r="AT1361" s="12"/>
      <c r="AU1361" s="12"/>
      <c r="AV1361" s="12"/>
      <c r="AW1361" s="12"/>
      <c r="AX1361" s="12"/>
      <c r="AY1361" s="12"/>
      <c r="AZ1361" s="12"/>
      <c r="BA1361" s="12"/>
      <c r="BB1361" s="12"/>
      <c r="BC1361" s="12"/>
      <c r="BD1361" s="12"/>
      <c r="BE1361" s="12"/>
      <c r="BF1361" s="12"/>
      <c r="BG1361" s="12"/>
      <c r="BH1361" s="12"/>
      <c r="BI1361" s="12"/>
      <c r="BJ1361" s="12"/>
      <c r="BK1361" s="12"/>
      <c r="BL1361" s="12"/>
      <c r="BM1361" s="12"/>
      <c r="BN1361" s="12"/>
      <c r="BO1361" s="12"/>
      <c r="BP1361" s="12"/>
      <c r="BQ1361" s="12"/>
      <c r="BR1361" s="12"/>
      <c r="BS1361" s="12"/>
      <c r="BT1361" s="12"/>
    </row>
    <row r="1362" spans="1:72">
      <c r="A1362" s="2" t="s">
        <v>26239</v>
      </c>
      <c r="B1362" s="5" t="s">
        <v>26243</v>
      </c>
      <c r="C1362" s="3" t="s">
        <v>138</v>
      </c>
      <c r="D1362" s="4" t="s">
        <v>138</v>
      </c>
      <c r="E1362" s="15" t="s">
        <v>426</v>
      </c>
      <c r="F1362" s="15" t="s">
        <v>426</v>
      </c>
      <c r="G1362" s="15" t="s">
        <v>162</v>
      </c>
      <c r="H1362" s="7">
        <v>8</v>
      </c>
      <c r="I1362" s="6" t="s">
        <v>26254</v>
      </c>
      <c r="J1362" s="6" t="s">
        <v>40432</v>
      </c>
      <c r="K1362" s="6" t="s">
        <v>38299</v>
      </c>
      <c r="L1362" s="6" t="s">
        <v>38825</v>
      </c>
      <c r="M1362" s="6" t="s">
        <v>37921</v>
      </c>
      <c r="N1362" s="6" t="s">
        <v>38844</v>
      </c>
      <c r="O1362" s="6" t="s">
        <v>44401</v>
      </c>
      <c r="P1362" s="6" t="s">
        <v>40387</v>
      </c>
      <c r="Q1362" s="6" t="s">
        <v>44402</v>
      </c>
      <c r="R1362" s="6"/>
      <c r="S1362" s="6"/>
      <c r="T1362" s="6"/>
      <c r="U1362" s="6"/>
      <c r="V1362" s="6"/>
      <c r="W1362" s="6"/>
      <c r="X1362" s="6"/>
      <c r="Y1362" s="6"/>
      <c r="Z1362" s="6"/>
      <c r="AA1362" s="6"/>
      <c r="AB1362" s="6"/>
      <c r="AC1362" s="6"/>
      <c r="AD1362" s="6"/>
      <c r="AE1362" s="6"/>
      <c r="AF1362" s="6"/>
      <c r="AG1362" s="6"/>
      <c r="AH1362" s="6"/>
      <c r="AI1362" s="6"/>
      <c r="AJ1362" s="6"/>
      <c r="AK1362" s="6"/>
      <c r="AL1362" s="6"/>
      <c r="AM1362" s="6"/>
      <c r="AN1362" s="6"/>
      <c r="AO1362" s="6"/>
      <c r="AP1362" s="6"/>
      <c r="AQ1362" s="6"/>
      <c r="AR1362" s="6"/>
      <c r="AS1362" s="6"/>
      <c r="AT1362" s="6"/>
      <c r="AU1362" s="6"/>
      <c r="AV1362" s="6"/>
      <c r="AW1362" s="6"/>
      <c r="AX1362" s="6"/>
      <c r="AY1362" s="6"/>
      <c r="AZ1362" s="6"/>
      <c r="BA1362" s="6"/>
      <c r="BB1362" s="6"/>
      <c r="BC1362" s="6"/>
      <c r="BD1362" s="6"/>
      <c r="BE1362" s="6"/>
      <c r="BF1362" s="6"/>
      <c r="BG1362" s="6"/>
      <c r="BH1362" s="6"/>
      <c r="BI1362" s="6"/>
      <c r="BJ1362" s="6"/>
      <c r="BK1362" s="6"/>
      <c r="BL1362" s="6"/>
      <c r="BM1362" s="6"/>
      <c r="BN1362" s="6"/>
      <c r="BO1362" s="6"/>
      <c r="BP1362" s="6"/>
      <c r="BQ1362" s="6"/>
      <c r="BR1362" s="6"/>
      <c r="BS1362" s="6"/>
      <c r="BT1362" s="6"/>
    </row>
    <row r="1363" spans="1:72">
      <c r="A1363" s="8" t="s">
        <v>26257</v>
      </c>
      <c r="B1363" s="11" t="s">
        <v>26261</v>
      </c>
      <c r="C1363" s="9" t="s">
        <v>138</v>
      </c>
      <c r="D1363" s="10" t="s">
        <v>138</v>
      </c>
      <c r="E1363" s="28" t="s">
        <v>26270</v>
      </c>
      <c r="F1363" s="28" t="s">
        <v>138</v>
      </c>
      <c r="G1363" s="28" t="s">
        <v>740</v>
      </c>
      <c r="H1363" s="13">
        <v>17</v>
      </c>
      <c r="I1363" s="12" t="s">
        <v>26275</v>
      </c>
      <c r="J1363" s="12" t="s">
        <v>39130</v>
      </c>
      <c r="K1363" s="12" t="s">
        <v>44403</v>
      </c>
      <c r="L1363" s="12" t="s">
        <v>44404</v>
      </c>
      <c r="M1363" s="12" t="s">
        <v>44405</v>
      </c>
      <c r="N1363" s="12" t="s">
        <v>44406</v>
      </c>
      <c r="O1363" s="12" t="s">
        <v>40657</v>
      </c>
      <c r="P1363" s="12" t="s">
        <v>44407</v>
      </c>
      <c r="Q1363" s="12" t="s">
        <v>40012</v>
      </c>
      <c r="R1363" s="12" t="s">
        <v>44408</v>
      </c>
      <c r="S1363" s="12" t="s">
        <v>39987</v>
      </c>
      <c r="T1363" s="12" t="s">
        <v>43399</v>
      </c>
      <c r="U1363" s="12" t="s">
        <v>40755</v>
      </c>
      <c r="V1363" s="12" t="s">
        <v>38082</v>
      </c>
      <c r="W1363" s="12" t="s">
        <v>44409</v>
      </c>
      <c r="X1363" s="12" t="s">
        <v>44410</v>
      </c>
      <c r="Y1363" s="12" t="s">
        <v>42697</v>
      </c>
      <c r="Z1363" s="12" t="s">
        <v>38145</v>
      </c>
      <c r="AA1363" s="12"/>
      <c r="AB1363" s="12"/>
      <c r="AC1363" s="12"/>
      <c r="AD1363" s="12"/>
      <c r="AE1363" s="12"/>
      <c r="AF1363" s="12"/>
      <c r="AG1363" s="12"/>
      <c r="AH1363" s="12"/>
      <c r="AI1363" s="12"/>
      <c r="AJ1363" s="12"/>
      <c r="AK1363" s="12"/>
      <c r="AL1363" s="12"/>
      <c r="AM1363" s="12"/>
      <c r="AN1363" s="12"/>
      <c r="AO1363" s="12"/>
      <c r="AP1363" s="12"/>
      <c r="AQ1363" s="12"/>
      <c r="AR1363" s="12"/>
      <c r="AS1363" s="12"/>
      <c r="AT1363" s="12"/>
      <c r="AU1363" s="12"/>
      <c r="AV1363" s="12"/>
      <c r="AW1363" s="12"/>
      <c r="AX1363" s="12"/>
      <c r="AY1363" s="12"/>
      <c r="AZ1363" s="12"/>
      <c r="BA1363" s="12"/>
      <c r="BB1363" s="12"/>
      <c r="BC1363" s="12"/>
      <c r="BD1363" s="12"/>
      <c r="BE1363" s="12"/>
      <c r="BF1363" s="12"/>
      <c r="BG1363" s="12"/>
      <c r="BH1363" s="12"/>
      <c r="BI1363" s="12"/>
      <c r="BJ1363" s="12"/>
      <c r="BK1363" s="12"/>
      <c r="BL1363" s="12"/>
      <c r="BM1363" s="12"/>
      <c r="BN1363" s="12"/>
      <c r="BO1363" s="12"/>
      <c r="BP1363" s="12"/>
      <c r="BQ1363" s="12"/>
      <c r="BR1363" s="12"/>
      <c r="BS1363" s="12"/>
      <c r="BT1363" s="12"/>
    </row>
    <row r="1364" spans="1:72">
      <c r="A1364" s="2" t="s">
        <v>26282</v>
      </c>
      <c r="B1364" s="5" t="s">
        <v>26286</v>
      </c>
      <c r="C1364" s="3" t="s">
        <v>138</v>
      </c>
      <c r="D1364" s="4" t="s">
        <v>138</v>
      </c>
      <c r="E1364" s="15" t="s">
        <v>3907</v>
      </c>
      <c r="F1364" s="15" t="s">
        <v>2740</v>
      </c>
      <c r="G1364" s="15" t="s">
        <v>2742</v>
      </c>
      <c r="H1364" s="7" t="s">
        <v>138</v>
      </c>
      <c r="I1364" s="6" t="s">
        <v>138</v>
      </c>
      <c r="J1364" s="6"/>
      <c r="K1364" s="6"/>
      <c r="L1364" s="6"/>
      <c r="M1364" s="6"/>
      <c r="N1364" s="6"/>
      <c r="O1364" s="6"/>
      <c r="P1364" s="6"/>
      <c r="Q1364" s="6"/>
      <c r="R1364" s="6"/>
      <c r="S1364" s="6"/>
      <c r="T1364" s="6"/>
      <c r="U1364" s="6"/>
      <c r="V1364" s="6"/>
      <c r="W1364" s="6"/>
      <c r="X1364" s="6"/>
      <c r="Y1364" s="6"/>
      <c r="Z1364" s="6"/>
      <c r="AA1364" s="6"/>
      <c r="AB1364" s="6"/>
      <c r="AC1364" s="6"/>
      <c r="AD1364" s="6"/>
      <c r="AE1364" s="6"/>
      <c r="AF1364" s="6"/>
      <c r="AG1364" s="6"/>
      <c r="AH1364" s="6"/>
      <c r="AI1364" s="6"/>
      <c r="AJ1364" s="6"/>
      <c r="AK1364" s="6"/>
      <c r="AL1364" s="6"/>
      <c r="AM1364" s="6"/>
      <c r="AN1364" s="6"/>
      <c r="AO1364" s="6"/>
      <c r="AP1364" s="6"/>
      <c r="AQ1364" s="6"/>
      <c r="AR1364" s="6"/>
      <c r="AS1364" s="6"/>
      <c r="AT1364" s="6"/>
      <c r="AU1364" s="6"/>
      <c r="AV1364" s="6"/>
      <c r="AW1364" s="6"/>
      <c r="AX1364" s="6"/>
      <c r="AY1364" s="6"/>
      <c r="AZ1364" s="6"/>
      <c r="BA1364" s="6"/>
      <c r="BB1364" s="6"/>
      <c r="BC1364" s="6"/>
      <c r="BD1364" s="6"/>
      <c r="BE1364" s="6"/>
      <c r="BF1364" s="6"/>
      <c r="BG1364" s="6"/>
      <c r="BH1364" s="6"/>
      <c r="BI1364" s="6"/>
      <c r="BJ1364" s="6"/>
      <c r="BK1364" s="6"/>
      <c r="BL1364" s="6"/>
      <c r="BM1364" s="6"/>
      <c r="BN1364" s="6"/>
      <c r="BO1364" s="6"/>
      <c r="BP1364" s="6"/>
      <c r="BQ1364" s="6"/>
      <c r="BR1364" s="6"/>
      <c r="BS1364" s="6"/>
      <c r="BT1364" s="6"/>
    </row>
    <row r="1365" spans="1:72">
      <c r="A1365" s="8" t="s">
        <v>26302</v>
      </c>
      <c r="B1365" s="11" t="s">
        <v>26305</v>
      </c>
      <c r="C1365" s="9" t="s">
        <v>138</v>
      </c>
      <c r="D1365" s="10" t="s">
        <v>138</v>
      </c>
      <c r="E1365" s="28" t="s">
        <v>26309</v>
      </c>
      <c r="F1365" s="28" t="s">
        <v>26310</v>
      </c>
      <c r="G1365" s="28" t="s">
        <v>2071</v>
      </c>
      <c r="H1365" s="13">
        <v>2</v>
      </c>
      <c r="I1365" s="12" t="s">
        <v>26314</v>
      </c>
      <c r="J1365" s="12" t="s">
        <v>43663</v>
      </c>
      <c r="K1365" s="12" t="s">
        <v>38200</v>
      </c>
      <c r="L1365" s="12"/>
      <c r="M1365" s="12"/>
      <c r="N1365" s="12"/>
      <c r="O1365" s="12"/>
      <c r="P1365" s="12"/>
      <c r="Q1365" s="12"/>
      <c r="R1365" s="12"/>
      <c r="S1365" s="12"/>
      <c r="T1365" s="12"/>
      <c r="U1365" s="12"/>
      <c r="V1365" s="12"/>
      <c r="W1365" s="12"/>
      <c r="X1365" s="12"/>
      <c r="Y1365" s="12"/>
      <c r="Z1365" s="12"/>
      <c r="AA1365" s="12"/>
      <c r="AB1365" s="12"/>
      <c r="AC1365" s="12"/>
      <c r="AD1365" s="12"/>
      <c r="AE1365" s="12"/>
      <c r="AF1365" s="12"/>
      <c r="AG1365" s="12"/>
      <c r="AH1365" s="12"/>
      <c r="AI1365" s="12"/>
      <c r="AJ1365" s="12"/>
      <c r="AK1365" s="12"/>
      <c r="AL1365" s="12"/>
      <c r="AM1365" s="12"/>
      <c r="AN1365" s="12"/>
      <c r="AO1365" s="12"/>
      <c r="AP1365" s="12"/>
      <c r="AQ1365" s="12"/>
      <c r="AR1365" s="12"/>
      <c r="AS1365" s="12"/>
      <c r="AT1365" s="12"/>
      <c r="AU1365" s="12"/>
      <c r="AV1365" s="12"/>
      <c r="AW1365" s="12"/>
      <c r="AX1365" s="12"/>
      <c r="AY1365" s="12"/>
      <c r="AZ1365" s="12"/>
      <c r="BA1365" s="12"/>
      <c r="BB1365" s="12"/>
      <c r="BC1365" s="12"/>
      <c r="BD1365" s="12"/>
      <c r="BE1365" s="12"/>
      <c r="BF1365" s="12"/>
      <c r="BG1365" s="12"/>
      <c r="BH1365" s="12"/>
      <c r="BI1365" s="12"/>
      <c r="BJ1365" s="12"/>
      <c r="BK1365" s="12"/>
      <c r="BL1365" s="12"/>
      <c r="BM1365" s="12"/>
      <c r="BN1365" s="12"/>
      <c r="BO1365" s="12"/>
      <c r="BP1365" s="12"/>
      <c r="BQ1365" s="12"/>
      <c r="BR1365" s="12"/>
      <c r="BS1365" s="12"/>
      <c r="BT1365" s="12"/>
    </row>
    <row r="1366" spans="1:72">
      <c r="A1366" s="2" t="s">
        <v>26316</v>
      </c>
      <c r="B1366" s="5" t="s">
        <v>26320</v>
      </c>
      <c r="C1366" s="3" t="s">
        <v>138</v>
      </c>
      <c r="D1366" s="4" t="s">
        <v>138</v>
      </c>
      <c r="E1366" s="15" t="s">
        <v>1872</v>
      </c>
      <c r="F1366" s="15" t="s">
        <v>200</v>
      </c>
      <c r="G1366" s="15" t="s">
        <v>162</v>
      </c>
      <c r="H1366" s="7">
        <v>3</v>
      </c>
      <c r="I1366" s="6" t="s">
        <v>26328</v>
      </c>
      <c r="J1366" s="6" t="s">
        <v>24301</v>
      </c>
      <c r="K1366" s="6" t="s">
        <v>44411</v>
      </c>
      <c r="L1366" s="6" t="s">
        <v>38384</v>
      </c>
      <c r="M1366" s="6"/>
      <c r="N1366" s="6"/>
      <c r="O1366" s="6"/>
      <c r="P1366" s="6"/>
      <c r="Q1366" s="6"/>
      <c r="R1366" s="6"/>
      <c r="S1366" s="6"/>
      <c r="T1366" s="6"/>
      <c r="U1366" s="6"/>
      <c r="V1366" s="6"/>
      <c r="W1366" s="6"/>
      <c r="X1366" s="6"/>
      <c r="Y1366" s="6"/>
      <c r="Z1366" s="6"/>
      <c r="AA1366" s="6"/>
      <c r="AB1366" s="6"/>
      <c r="AC1366" s="6"/>
      <c r="AD1366" s="6"/>
      <c r="AE1366" s="6"/>
      <c r="AF1366" s="6"/>
      <c r="AG1366" s="6"/>
      <c r="AH1366" s="6"/>
      <c r="AI1366" s="6"/>
      <c r="AJ1366" s="6"/>
      <c r="AK1366" s="6"/>
      <c r="AL1366" s="6"/>
      <c r="AM1366" s="6"/>
      <c r="AN1366" s="6"/>
      <c r="AO1366" s="6"/>
      <c r="AP1366" s="6"/>
      <c r="AQ1366" s="6"/>
      <c r="AR1366" s="6"/>
      <c r="AS1366" s="6"/>
      <c r="AT1366" s="6"/>
      <c r="AU1366" s="6"/>
      <c r="AV1366" s="6"/>
      <c r="AW1366" s="6"/>
      <c r="AX1366" s="6"/>
      <c r="AY1366" s="6"/>
      <c r="AZ1366" s="6"/>
      <c r="BA1366" s="6"/>
      <c r="BB1366" s="6"/>
      <c r="BC1366" s="6"/>
      <c r="BD1366" s="6"/>
      <c r="BE1366" s="6"/>
      <c r="BF1366" s="6"/>
      <c r="BG1366" s="6"/>
      <c r="BH1366" s="6"/>
      <c r="BI1366" s="6"/>
      <c r="BJ1366" s="6"/>
      <c r="BK1366" s="6"/>
      <c r="BL1366" s="6"/>
      <c r="BM1366" s="6"/>
      <c r="BN1366" s="6"/>
      <c r="BO1366" s="6"/>
      <c r="BP1366" s="6"/>
      <c r="BQ1366" s="6"/>
      <c r="BR1366" s="6"/>
      <c r="BS1366" s="6"/>
      <c r="BT1366" s="6"/>
    </row>
    <row r="1367" spans="1:72">
      <c r="A1367" s="8" t="s">
        <v>26332</v>
      </c>
      <c r="B1367" s="11" t="s">
        <v>26337</v>
      </c>
      <c r="C1367" s="9" t="s">
        <v>138</v>
      </c>
      <c r="D1367" s="10" t="s">
        <v>138</v>
      </c>
      <c r="E1367" s="28" t="s">
        <v>4442</v>
      </c>
      <c r="F1367" s="28" t="s">
        <v>138</v>
      </c>
      <c r="G1367" s="28" t="s">
        <v>4444</v>
      </c>
      <c r="H1367" s="13">
        <v>23</v>
      </c>
      <c r="I1367" s="12" t="s">
        <v>26346</v>
      </c>
      <c r="J1367" s="12" t="s">
        <v>38584</v>
      </c>
      <c r="K1367" s="12" t="s">
        <v>44412</v>
      </c>
      <c r="L1367" s="12" t="s">
        <v>44413</v>
      </c>
      <c r="M1367" s="12" t="s">
        <v>44414</v>
      </c>
      <c r="N1367" s="12" t="s">
        <v>37945</v>
      </c>
      <c r="O1367" s="12" t="s">
        <v>39509</v>
      </c>
      <c r="P1367" s="12" t="s">
        <v>44415</v>
      </c>
      <c r="Q1367" s="12" t="s">
        <v>44416</v>
      </c>
      <c r="R1367" s="12" t="s">
        <v>44417</v>
      </c>
      <c r="S1367" s="12" t="s">
        <v>44418</v>
      </c>
      <c r="T1367" s="12" t="s">
        <v>44419</v>
      </c>
      <c r="U1367" s="12" t="s">
        <v>44420</v>
      </c>
      <c r="V1367" s="12" t="s">
        <v>39233</v>
      </c>
      <c r="W1367" s="12" t="s">
        <v>40272</v>
      </c>
      <c r="X1367" s="12" t="s">
        <v>38065</v>
      </c>
      <c r="Y1367" s="12" t="s">
        <v>44421</v>
      </c>
      <c r="Z1367" s="12" t="s">
        <v>39522</v>
      </c>
      <c r="AA1367" s="12" t="s">
        <v>38713</v>
      </c>
      <c r="AB1367" s="12" t="s">
        <v>44422</v>
      </c>
      <c r="AC1367" s="12" t="s">
        <v>40904</v>
      </c>
      <c r="AD1367" s="12" t="s">
        <v>44423</v>
      </c>
      <c r="AE1367" s="12" t="s">
        <v>44424</v>
      </c>
      <c r="AF1367" s="12" t="s">
        <v>39526</v>
      </c>
      <c r="AG1367" s="12"/>
      <c r="AH1367" s="12"/>
      <c r="AI1367" s="12"/>
      <c r="AJ1367" s="12"/>
      <c r="AK1367" s="12"/>
      <c r="AL1367" s="12"/>
      <c r="AM1367" s="12"/>
      <c r="AN1367" s="12"/>
      <c r="AO1367" s="12"/>
      <c r="AP1367" s="12"/>
      <c r="AQ1367" s="12"/>
      <c r="AR1367" s="12"/>
      <c r="AS1367" s="12"/>
      <c r="AT1367" s="12"/>
      <c r="AU1367" s="12"/>
      <c r="AV1367" s="12"/>
      <c r="AW1367" s="12"/>
      <c r="AX1367" s="12"/>
      <c r="AY1367" s="12"/>
      <c r="AZ1367" s="12"/>
      <c r="BA1367" s="12"/>
      <c r="BB1367" s="12"/>
      <c r="BC1367" s="12"/>
      <c r="BD1367" s="12"/>
      <c r="BE1367" s="12"/>
      <c r="BF1367" s="12"/>
      <c r="BG1367" s="12"/>
      <c r="BH1367" s="12"/>
      <c r="BI1367" s="12"/>
      <c r="BJ1367" s="12"/>
      <c r="BK1367" s="12"/>
      <c r="BL1367" s="12"/>
      <c r="BM1367" s="12"/>
      <c r="BN1367" s="12"/>
      <c r="BO1367" s="12"/>
      <c r="BP1367" s="12"/>
      <c r="BQ1367" s="12"/>
      <c r="BR1367" s="12"/>
      <c r="BS1367" s="12"/>
      <c r="BT1367" s="12"/>
    </row>
    <row r="1368" spans="1:72">
      <c r="A1368" s="2" t="s">
        <v>26350</v>
      </c>
      <c r="B1368" s="5" t="s">
        <v>26355</v>
      </c>
      <c r="C1368" s="3" t="s">
        <v>138</v>
      </c>
      <c r="D1368" s="4" t="s">
        <v>138</v>
      </c>
      <c r="E1368" s="15" t="s">
        <v>5207</v>
      </c>
      <c r="F1368" s="15" t="s">
        <v>339</v>
      </c>
      <c r="G1368" s="15" t="s">
        <v>162</v>
      </c>
      <c r="H1368" s="7">
        <v>1</v>
      </c>
      <c r="I1368" s="6" t="s">
        <v>26363</v>
      </c>
      <c r="J1368" s="6" t="s">
        <v>26363</v>
      </c>
      <c r="K1368" s="6"/>
      <c r="L1368" s="6"/>
      <c r="M1368" s="6"/>
      <c r="N1368" s="6"/>
      <c r="O1368" s="6"/>
      <c r="P1368" s="6"/>
      <c r="Q1368" s="6"/>
      <c r="R1368" s="6"/>
      <c r="S1368" s="6"/>
      <c r="T1368" s="6"/>
      <c r="U1368" s="6"/>
      <c r="V1368" s="6"/>
      <c r="W1368" s="6"/>
      <c r="X1368" s="6"/>
      <c r="Y1368" s="6"/>
      <c r="Z1368" s="6"/>
      <c r="AA1368" s="6"/>
      <c r="AB1368" s="6"/>
      <c r="AC1368" s="6"/>
      <c r="AD1368" s="6"/>
      <c r="AE1368" s="6"/>
      <c r="AF1368" s="6"/>
      <c r="AG1368" s="6"/>
      <c r="AH1368" s="6"/>
      <c r="AI1368" s="6"/>
      <c r="AJ1368" s="6"/>
      <c r="AK1368" s="6"/>
      <c r="AL1368" s="6"/>
      <c r="AM1368" s="6"/>
      <c r="AN1368" s="6"/>
      <c r="AO1368" s="6"/>
      <c r="AP1368" s="6"/>
      <c r="AQ1368" s="6"/>
      <c r="AR1368" s="6"/>
      <c r="AS1368" s="6"/>
      <c r="AT1368" s="6"/>
      <c r="AU1368" s="6"/>
      <c r="AV1368" s="6"/>
      <c r="AW1368" s="6"/>
      <c r="AX1368" s="6"/>
      <c r="AY1368" s="6"/>
      <c r="AZ1368" s="6"/>
      <c r="BA1368" s="6"/>
      <c r="BB1368" s="6"/>
      <c r="BC1368" s="6"/>
      <c r="BD1368" s="6"/>
      <c r="BE1368" s="6"/>
      <c r="BF1368" s="6"/>
      <c r="BG1368" s="6"/>
      <c r="BH1368" s="6"/>
      <c r="BI1368" s="6"/>
      <c r="BJ1368" s="6"/>
      <c r="BK1368" s="6"/>
      <c r="BL1368" s="6"/>
      <c r="BM1368" s="6"/>
      <c r="BN1368" s="6"/>
      <c r="BO1368" s="6"/>
      <c r="BP1368" s="6"/>
      <c r="BQ1368" s="6"/>
      <c r="BR1368" s="6"/>
      <c r="BS1368" s="6"/>
      <c r="BT1368" s="6"/>
    </row>
    <row r="1369" spans="1:72">
      <c r="A1369" s="8" t="s">
        <v>26370</v>
      </c>
      <c r="B1369" s="11" t="s">
        <v>26376</v>
      </c>
      <c r="C1369" s="9" t="s">
        <v>26371</v>
      </c>
      <c r="D1369" s="10" t="s">
        <v>26372</v>
      </c>
      <c r="E1369" s="28" t="s">
        <v>10653</v>
      </c>
      <c r="F1369" s="28" t="s">
        <v>864</v>
      </c>
      <c r="G1369" s="28" t="s">
        <v>162</v>
      </c>
      <c r="H1369" s="13">
        <v>11</v>
      </c>
      <c r="I1369" s="12" t="s">
        <v>26387</v>
      </c>
      <c r="J1369" s="12" t="s">
        <v>40241</v>
      </c>
      <c r="K1369" s="12" t="s">
        <v>40759</v>
      </c>
      <c r="L1369" s="12" t="s">
        <v>38882</v>
      </c>
      <c r="M1369" s="12" t="s">
        <v>42317</v>
      </c>
      <c r="N1369" s="12" t="s">
        <v>37855</v>
      </c>
      <c r="O1369" s="12" t="s">
        <v>37786</v>
      </c>
      <c r="P1369" s="12" t="s">
        <v>40483</v>
      </c>
      <c r="Q1369" s="12" t="s">
        <v>43915</v>
      </c>
      <c r="R1369" s="12" t="s">
        <v>44156</v>
      </c>
      <c r="S1369" s="12" t="s">
        <v>41594</v>
      </c>
      <c r="T1369" s="12" t="s">
        <v>41240</v>
      </c>
      <c r="U1369" s="12"/>
      <c r="V1369" s="12"/>
      <c r="W1369" s="12"/>
      <c r="X1369" s="12"/>
      <c r="Y1369" s="12"/>
      <c r="Z1369" s="12"/>
      <c r="AA1369" s="12"/>
      <c r="AB1369" s="12"/>
      <c r="AC1369" s="12"/>
      <c r="AD1369" s="12"/>
      <c r="AE1369" s="12"/>
      <c r="AF1369" s="12"/>
      <c r="AG1369" s="12"/>
      <c r="AH1369" s="12"/>
      <c r="AI1369" s="12"/>
      <c r="AJ1369" s="12"/>
      <c r="AK1369" s="12"/>
      <c r="AL1369" s="12"/>
      <c r="AM1369" s="12"/>
      <c r="AN1369" s="12"/>
      <c r="AO1369" s="12"/>
      <c r="AP1369" s="12"/>
      <c r="AQ1369" s="12"/>
      <c r="AR1369" s="12"/>
      <c r="AS1369" s="12"/>
      <c r="AT1369" s="12"/>
      <c r="AU1369" s="12"/>
      <c r="AV1369" s="12"/>
      <c r="AW1369" s="12"/>
      <c r="AX1369" s="12"/>
      <c r="AY1369" s="12"/>
      <c r="AZ1369" s="12"/>
      <c r="BA1369" s="12"/>
      <c r="BB1369" s="12"/>
      <c r="BC1369" s="12"/>
      <c r="BD1369" s="12"/>
      <c r="BE1369" s="12"/>
      <c r="BF1369" s="12"/>
      <c r="BG1369" s="12"/>
      <c r="BH1369" s="12"/>
      <c r="BI1369" s="12"/>
      <c r="BJ1369" s="12"/>
      <c r="BK1369" s="12"/>
      <c r="BL1369" s="12"/>
      <c r="BM1369" s="12"/>
      <c r="BN1369" s="12"/>
      <c r="BO1369" s="12"/>
      <c r="BP1369" s="12"/>
      <c r="BQ1369" s="12"/>
      <c r="BR1369" s="12"/>
      <c r="BS1369" s="12"/>
      <c r="BT1369" s="12"/>
    </row>
    <row r="1370" spans="1:72">
      <c r="A1370" s="2" t="s">
        <v>26391</v>
      </c>
      <c r="B1370" s="5" t="s">
        <v>26395</v>
      </c>
      <c r="C1370" s="3" t="s">
        <v>138</v>
      </c>
      <c r="D1370" s="4" t="s">
        <v>26392</v>
      </c>
      <c r="E1370" s="15" t="s">
        <v>426</v>
      </c>
      <c r="F1370" s="15" t="s">
        <v>426</v>
      </c>
      <c r="G1370" s="15" t="s">
        <v>162</v>
      </c>
      <c r="H1370" s="7">
        <v>3</v>
      </c>
      <c r="I1370" s="6" t="s">
        <v>26402</v>
      </c>
      <c r="J1370" s="6" t="s">
        <v>7802</v>
      </c>
      <c r="K1370" s="6" t="s">
        <v>37786</v>
      </c>
      <c r="L1370" s="6" t="s">
        <v>40873</v>
      </c>
      <c r="M1370" s="6"/>
      <c r="N1370" s="6"/>
      <c r="O1370" s="6"/>
      <c r="P1370" s="6"/>
      <c r="Q1370" s="6"/>
      <c r="R1370" s="6"/>
      <c r="S1370" s="6"/>
      <c r="T1370" s="6"/>
      <c r="U1370" s="6"/>
      <c r="V1370" s="6"/>
      <c r="W1370" s="6"/>
      <c r="X1370" s="6"/>
      <c r="Y1370" s="6"/>
      <c r="Z1370" s="6"/>
      <c r="AA1370" s="6"/>
      <c r="AB1370" s="6"/>
      <c r="AC1370" s="6"/>
      <c r="AD1370" s="6"/>
      <c r="AE1370" s="6"/>
      <c r="AF1370" s="6"/>
      <c r="AG1370" s="6"/>
      <c r="AH1370" s="6"/>
      <c r="AI1370" s="6"/>
      <c r="AJ1370" s="6"/>
      <c r="AK1370" s="6"/>
      <c r="AL1370" s="6"/>
      <c r="AM1370" s="6"/>
      <c r="AN1370" s="6"/>
      <c r="AO1370" s="6"/>
      <c r="AP1370" s="6"/>
      <c r="AQ1370" s="6"/>
      <c r="AR1370" s="6"/>
      <c r="AS1370" s="6"/>
      <c r="AT1370" s="6"/>
      <c r="AU1370" s="6"/>
      <c r="AV1370" s="6"/>
      <c r="AW1370" s="6"/>
      <c r="AX1370" s="6"/>
      <c r="AY1370" s="6"/>
      <c r="AZ1370" s="6"/>
      <c r="BA1370" s="6"/>
      <c r="BB1370" s="6"/>
      <c r="BC1370" s="6"/>
      <c r="BD1370" s="6"/>
      <c r="BE1370" s="6"/>
      <c r="BF1370" s="6"/>
      <c r="BG1370" s="6"/>
      <c r="BH1370" s="6"/>
      <c r="BI1370" s="6"/>
      <c r="BJ1370" s="6"/>
      <c r="BK1370" s="6"/>
      <c r="BL1370" s="6"/>
      <c r="BM1370" s="6"/>
      <c r="BN1370" s="6"/>
      <c r="BO1370" s="6"/>
      <c r="BP1370" s="6"/>
      <c r="BQ1370" s="6"/>
      <c r="BR1370" s="6"/>
      <c r="BS1370" s="6"/>
      <c r="BT1370" s="6"/>
    </row>
    <row r="1371" spans="1:72">
      <c r="A1371" s="8" t="s">
        <v>26405</v>
      </c>
      <c r="B1371" s="11" t="s">
        <v>26409</v>
      </c>
      <c r="C1371" s="9" t="s">
        <v>138</v>
      </c>
      <c r="D1371" s="10" t="s">
        <v>138</v>
      </c>
      <c r="E1371" s="28" t="s">
        <v>15154</v>
      </c>
      <c r="F1371" s="28" t="s">
        <v>138</v>
      </c>
      <c r="G1371" s="28" t="s">
        <v>2071</v>
      </c>
      <c r="H1371" s="13">
        <v>2</v>
      </c>
      <c r="I1371" s="12" t="s">
        <v>26420</v>
      </c>
      <c r="J1371" s="12" t="s">
        <v>44425</v>
      </c>
      <c r="K1371" s="12" t="s">
        <v>38200</v>
      </c>
      <c r="L1371" s="12"/>
      <c r="M1371" s="12"/>
      <c r="N1371" s="12"/>
      <c r="O1371" s="12"/>
      <c r="P1371" s="12"/>
      <c r="Q1371" s="12"/>
      <c r="R1371" s="12"/>
      <c r="S1371" s="12"/>
      <c r="T1371" s="12"/>
      <c r="U1371" s="12"/>
      <c r="V1371" s="12"/>
      <c r="W1371" s="12"/>
      <c r="X1371" s="12"/>
      <c r="Y1371" s="12"/>
      <c r="Z1371" s="12"/>
      <c r="AA1371" s="12"/>
      <c r="AB1371" s="12"/>
      <c r="AC1371" s="12"/>
      <c r="AD1371" s="12"/>
      <c r="AE1371" s="12"/>
      <c r="AF1371" s="12"/>
      <c r="AG1371" s="12"/>
      <c r="AH1371" s="12"/>
      <c r="AI1371" s="12"/>
      <c r="AJ1371" s="12"/>
      <c r="AK1371" s="12"/>
      <c r="AL1371" s="12"/>
      <c r="AM1371" s="12"/>
      <c r="AN1371" s="12"/>
      <c r="AO1371" s="12"/>
      <c r="AP1371" s="12"/>
      <c r="AQ1371" s="12"/>
      <c r="AR1371" s="12"/>
      <c r="AS1371" s="12"/>
      <c r="AT1371" s="12"/>
      <c r="AU1371" s="12"/>
      <c r="AV1371" s="12"/>
      <c r="AW1371" s="12"/>
      <c r="AX1371" s="12"/>
      <c r="AY1371" s="12"/>
      <c r="AZ1371" s="12"/>
      <c r="BA1371" s="12"/>
      <c r="BB1371" s="12"/>
      <c r="BC1371" s="12"/>
      <c r="BD1371" s="12"/>
      <c r="BE1371" s="12"/>
      <c r="BF1371" s="12"/>
      <c r="BG1371" s="12"/>
      <c r="BH1371" s="12"/>
      <c r="BI1371" s="12"/>
      <c r="BJ1371" s="12"/>
      <c r="BK1371" s="12"/>
      <c r="BL1371" s="12"/>
      <c r="BM1371" s="12"/>
      <c r="BN1371" s="12"/>
      <c r="BO1371" s="12"/>
      <c r="BP1371" s="12"/>
      <c r="BQ1371" s="12"/>
      <c r="BR1371" s="12"/>
      <c r="BS1371" s="12"/>
      <c r="BT1371" s="12"/>
    </row>
    <row r="1372" spans="1:72">
      <c r="A1372" s="2" t="s">
        <v>26423</v>
      </c>
      <c r="B1372" s="5" t="s">
        <v>26428</v>
      </c>
      <c r="C1372" s="3" t="s">
        <v>138</v>
      </c>
      <c r="D1372" s="4" t="s">
        <v>138</v>
      </c>
      <c r="E1372" s="15" t="s">
        <v>668</v>
      </c>
      <c r="F1372" s="15" t="s">
        <v>200</v>
      </c>
      <c r="G1372" s="15" t="s">
        <v>162</v>
      </c>
      <c r="H1372" s="7">
        <v>6</v>
      </c>
      <c r="I1372" s="6" t="s">
        <v>26438</v>
      </c>
      <c r="J1372" s="6" t="s">
        <v>44426</v>
      </c>
      <c r="K1372" s="6" t="s">
        <v>44155</v>
      </c>
      <c r="L1372" s="6" t="s">
        <v>37781</v>
      </c>
      <c r="M1372" s="6" t="s">
        <v>39082</v>
      </c>
      <c r="N1372" s="6" t="s">
        <v>41370</v>
      </c>
      <c r="O1372" s="6" t="s">
        <v>44427</v>
      </c>
      <c r="P1372" s="6"/>
      <c r="Q1372" s="6"/>
      <c r="R1372" s="6"/>
      <c r="S1372" s="6"/>
      <c r="T1372" s="6"/>
      <c r="U1372" s="6"/>
      <c r="V1372" s="6"/>
      <c r="W1372" s="6"/>
      <c r="X1372" s="6"/>
      <c r="Y1372" s="6"/>
      <c r="Z1372" s="6"/>
      <c r="AA1372" s="6"/>
      <c r="AB1372" s="6"/>
      <c r="AC1372" s="6"/>
      <c r="AD1372" s="6"/>
      <c r="AE1372" s="6"/>
      <c r="AF1372" s="6"/>
      <c r="AG1372" s="6"/>
      <c r="AH1372" s="6"/>
      <c r="AI1372" s="6"/>
      <c r="AJ1372" s="6"/>
      <c r="AK1372" s="6"/>
      <c r="AL1372" s="6"/>
      <c r="AM1372" s="6"/>
      <c r="AN1372" s="6"/>
      <c r="AO1372" s="6"/>
      <c r="AP1372" s="6"/>
      <c r="AQ1372" s="6"/>
      <c r="AR1372" s="6"/>
      <c r="AS1372" s="6"/>
      <c r="AT1372" s="6"/>
      <c r="AU1372" s="6"/>
      <c r="AV1372" s="6"/>
      <c r="AW1372" s="6"/>
      <c r="AX1372" s="6"/>
      <c r="AY1372" s="6"/>
      <c r="AZ1372" s="6"/>
      <c r="BA1372" s="6"/>
      <c r="BB1372" s="6"/>
      <c r="BC1372" s="6"/>
      <c r="BD1372" s="6"/>
      <c r="BE1372" s="6"/>
      <c r="BF1372" s="6"/>
      <c r="BG1372" s="6"/>
      <c r="BH1372" s="6"/>
      <c r="BI1372" s="6"/>
      <c r="BJ1372" s="6"/>
      <c r="BK1372" s="6"/>
      <c r="BL1372" s="6"/>
      <c r="BM1372" s="6"/>
      <c r="BN1372" s="6"/>
      <c r="BO1372" s="6"/>
      <c r="BP1372" s="6"/>
      <c r="BQ1372" s="6"/>
      <c r="BR1372" s="6"/>
      <c r="BS1372" s="6"/>
      <c r="BT1372" s="6"/>
    </row>
    <row r="1373" spans="1:72">
      <c r="A1373" s="8" t="s">
        <v>26443</v>
      </c>
      <c r="B1373" s="11" t="s">
        <v>26449</v>
      </c>
      <c r="C1373" s="9" t="s">
        <v>138</v>
      </c>
      <c r="D1373" s="10" t="s">
        <v>138</v>
      </c>
      <c r="E1373" s="28" t="s">
        <v>2694</v>
      </c>
      <c r="F1373" s="28" t="s">
        <v>138</v>
      </c>
      <c r="G1373" s="28" t="s">
        <v>1054</v>
      </c>
      <c r="H1373" s="13">
        <v>8</v>
      </c>
      <c r="I1373" s="12" t="s">
        <v>26459</v>
      </c>
      <c r="J1373" s="12" t="s">
        <v>27849</v>
      </c>
      <c r="K1373" s="12" t="s">
        <v>43246</v>
      </c>
      <c r="L1373" s="12" t="s">
        <v>39218</v>
      </c>
      <c r="M1373" s="12" t="s">
        <v>39470</v>
      </c>
      <c r="N1373" s="12" t="s">
        <v>42495</v>
      </c>
      <c r="O1373" s="12" t="s">
        <v>44428</v>
      </c>
      <c r="P1373" s="12" t="s">
        <v>37781</v>
      </c>
      <c r="Q1373" s="12" t="s">
        <v>42348</v>
      </c>
      <c r="R1373" s="12"/>
      <c r="S1373" s="12"/>
      <c r="T1373" s="12"/>
      <c r="U1373" s="12"/>
      <c r="V1373" s="12"/>
      <c r="W1373" s="12"/>
      <c r="X1373" s="12"/>
      <c r="Y1373" s="12"/>
      <c r="Z1373" s="12"/>
      <c r="AA1373" s="12"/>
      <c r="AB1373" s="12"/>
      <c r="AC1373" s="12"/>
      <c r="AD1373" s="12"/>
      <c r="AE1373" s="12"/>
      <c r="AF1373" s="12"/>
      <c r="AG1373" s="12"/>
      <c r="AH1373" s="12"/>
      <c r="AI1373" s="12"/>
      <c r="AJ1373" s="12"/>
      <c r="AK1373" s="12"/>
      <c r="AL1373" s="12"/>
      <c r="AM1373" s="12"/>
      <c r="AN1373" s="12"/>
      <c r="AO1373" s="12"/>
      <c r="AP1373" s="12"/>
      <c r="AQ1373" s="12"/>
      <c r="AR1373" s="12"/>
      <c r="AS1373" s="12"/>
      <c r="AT1373" s="12"/>
      <c r="AU1373" s="12"/>
      <c r="AV1373" s="12"/>
      <c r="AW1373" s="12"/>
      <c r="AX1373" s="12"/>
      <c r="AY1373" s="12"/>
      <c r="AZ1373" s="12"/>
      <c r="BA1373" s="12"/>
      <c r="BB1373" s="12"/>
      <c r="BC1373" s="12"/>
      <c r="BD1373" s="12"/>
      <c r="BE1373" s="12"/>
      <c r="BF1373" s="12"/>
      <c r="BG1373" s="12"/>
      <c r="BH1373" s="12"/>
      <c r="BI1373" s="12"/>
      <c r="BJ1373" s="12"/>
      <c r="BK1373" s="12"/>
      <c r="BL1373" s="12"/>
      <c r="BM1373" s="12"/>
      <c r="BN1373" s="12"/>
      <c r="BO1373" s="12"/>
      <c r="BP1373" s="12"/>
      <c r="BQ1373" s="12"/>
      <c r="BR1373" s="12"/>
      <c r="BS1373" s="12"/>
      <c r="BT1373" s="12"/>
    </row>
    <row r="1374" spans="1:72">
      <c r="A1374" s="2" t="s">
        <v>26463</v>
      </c>
      <c r="B1374" s="5" t="s">
        <v>26470</v>
      </c>
      <c r="C1374" s="3" t="s">
        <v>26464</v>
      </c>
      <c r="D1374" s="4" t="s">
        <v>138</v>
      </c>
      <c r="E1374" s="15" t="s">
        <v>26479</v>
      </c>
      <c r="F1374" s="15" t="s">
        <v>6576</v>
      </c>
      <c r="G1374" s="15" t="s">
        <v>162</v>
      </c>
      <c r="H1374" s="7">
        <v>28</v>
      </c>
      <c r="I1374" s="6" t="s">
        <v>26483</v>
      </c>
      <c r="J1374" s="6" t="s">
        <v>44429</v>
      </c>
      <c r="K1374" s="6" t="s">
        <v>42427</v>
      </c>
      <c r="L1374" s="6" t="s">
        <v>44430</v>
      </c>
      <c r="M1374" s="6" t="s">
        <v>38485</v>
      </c>
      <c r="N1374" s="6" t="s">
        <v>38331</v>
      </c>
      <c r="O1374" s="6" t="s">
        <v>44431</v>
      </c>
      <c r="P1374" s="6" t="s">
        <v>39093</v>
      </c>
      <c r="Q1374" s="6" t="s">
        <v>39096</v>
      </c>
      <c r="R1374" s="6" t="s">
        <v>41786</v>
      </c>
      <c r="S1374" s="6" t="s">
        <v>37775</v>
      </c>
      <c r="T1374" s="6" t="s">
        <v>37801</v>
      </c>
      <c r="U1374" s="6" t="s">
        <v>37787</v>
      </c>
      <c r="V1374" s="6" t="s">
        <v>40627</v>
      </c>
      <c r="W1374" s="6" t="s">
        <v>37791</v>
      </c>
      <c r="X1374" s="6" t="s">
        <v>40521</v>
      </c>
      <c r="Y1374" s="6" t="s">
        <v>39103</v>
      </c>
      <c r="Z1374" s="6" t="s">
        <v>38925</v>
      </c>
      <c r="AA1374" s="6" t="s">
        <v>44432</v>
      </c>
      <c r="AB1374" s="6" t="s">
        <v>37770</v>
      </c>
      <c r="AC1374" s="6" t="s">
        <v>37890</v>
      </c>
      <c r="AD1374" s="6" t="s">
        <v>38200</v>
      </c>
      <c r="AE1374" s="6" t="s">
        <v>44433</v>
      </c>
      <c r="AF1374" s="6" t="s">
        <v>44434</v>
      </c>
      <c r="AG1374" s="6" t="s">
        <v>38371</v>
      </c>
      <c r="AH1374" s="6" t="s">
        <v>38145</v>
      </c>
      <c r="AI1374" s="6" t="s">
        <v>39280</v>
      </c>
      <c r="AJ1374" s="6" t="s">
        <v>39967</v>
      </c>
      <c r="AK1374" s="6" t="s">
        <v>43272</v>
      </c>
      <c r="AL1374" s="6"/>
      <c r="AM1374" s="6"/>
      <c r="AN1374" s="6"/>
      <c r="AO1374" s="6"/>
      <c r="AP1374" s="6"/>
      <c r="AQ1374" s="6"/>
      <c r="AR1374" s="6"/>
      <c r="AS1374" s="6"/>
      <c r="AT1374" s="6"/>
      <c r="AU1374" s="6"/>
      <c r="AV1374" s="6"/>
      <c r="AW1374" s="6"/>
      <c r="AX1374" s="6"/>
      <c r="AY1374" s="6"/>
      <c r="AZ1374" s="6"/>
      <c r="BA1374" s="6"/>
      <c r="BB1374" s="6"/>
      <c r="BC1374" s="6"/>
      <c r="BD1374" s="6"/>
      <c r="BE1374" s="6"/>
      <c r="BF1374" s="6"/>
      <c r="BG1374" s="6"/>
      <c r="BH1374" s="6"/>
      <c r="BI1374" s="6"/>
      <c r="BJ1374" s="6"/>
      <c r="BK1374" s="6"/>
      <c r="BL1374" s="6"/>
      <c r="BM1374" s="6"/>
      <c r="BN1374" s="6"/>
      <c r="BO1374" s="6"/>
      <c r="BP1374" s="6"/>
      <c r="BQ1374" s="6"/>
      <c r="BR1374" s="6"/>
      <c r="BS1374" s="6"/>
      <c r="BT1374" s="6"/>
    </row>
    <row r="1375" spans="1:72">
      <c r="A1375" s="8" t="s">
        <v>26487</v>
      </c>
      <c r="B1375" s="11" t="s">
        <v>26491</v>
      </c>
      <c r="C1375" s="9" t="s">
        <v>26488</v>
      </c>
      <c r="D1375" s="10" t="s">
        <v>138</v>
      </c>
      <c r="E1375" s="28" t="s">
        <v>668</v>
      </c>
      <c r="F1375" s="28" t="s">
        <v>200</v>
      </c>
      <c r="G1375" s="28" t="s">
        <v>162</v>
      </c>
      <c r="H1375" s="13" t="s">
        <v>138</v>
      </c>
      <c r="I1375" s="12" t="s">
        <v>138</v>
      </c>
      <c r="J1375" s="12"/>
      <c r="K1375" s="12"/>
      <c r="L1375" s="12"/>
      <c r="M1375" s="12"/>
      <c r="N1375" s="12"/>
      <c r="O1375" s="12"/>
      <c r="P1375" s="12"/>
      <c r="Q1375" s="12"/>
      <c r="R1375" s="12"/>
      <c r="S1375" s="12"/>
      <c r="T1375" s="12"/>
      <c r="U1375" s="12"/>
      <c r="V1375" s="12"/>
      <c r="W1375" s="12"/>
      <c r="X1375" s="12"/>
      <c r="Y1375" s="12"/>
      <c r="Z1375" s="12"/>
      <c r="AA1375" s="12"/>
      <c r="AB1375" s="12"/>
      <c r="AC1375" s="12"/>
      <c r="AD1375" s="12"/>
      <c r="AE1375" s="12"/>
      <c r="AF1375" s="12"/>
      <c r="AG1375" s="12"/>
      <c r="AH1375" s="12"/>
      <c r="AI1375" s="12"/>
      <c r="AJ1375" s="12"/>
      <c r="AK1375" s="12"/>
      <c r="AL1375" s="12"/>
      <c r="AM1375" s="12"/>
      <c r="AN1375" s="12"/>
      <c r="AO1375" s="12"/>
      <c r="AP1375" s="12"/>
      <c r="AQ1375" s="12"/>
      <c r="AR1375" s="12"/>
      <c r="AS1375" s="12"/>
      <c r="AT1375" s="12"/>
      <c r="AU1375" s="12"/>
      <c r="AV1375" s="12"/>
      <c r="AW1375" s="12"/>
      <c r="AX1375" s="12"/>
      <c r="AY1375" s="12"/>
      <c r="AZ1375" s="12"/>
      <c r="BA1375" s="12"/>
      <c r="BB1375" s="12"/>
      <c r="BC1375" s="12"/>
      <c r="BD1375" s="12"/>
      <c r="BE1375" s="12"/>
      <c r="BF1375" s="12"/>
      <c r="BG1375" s="12"/>
      <c r="BH1375" s="12"/>
      <c r="BI1375" s="12"/>
      <c r="BJ1375" s="12"/>
      <c r="BK1375" s="12"/>
      <c r="BL1375" s="12"/>
      <c r="BM1375" s="12"/>
      <c r="BN1375" s="12"/>
      <c r="BO1375" s="12"/>
      <c r="BP1375" s="12"/>
      <c r="BQ1375" s="12"/>
      <c r="BR1375" s="12"/>
      <c r="BS1375" s="12"/>
      <c r="BT1375" s="12"/>
    </row>
    <row r="1376" spans="1:72">
      <c r="A1376" s="2" t="s">
        <v>26506</v>
      </c>
      <c r="B1376" s="5" t="s">
        <v>26511</v>
      </c>
      <c r="C1376" s="3" t="s">
        <v>26507</v>
      </c>
      <c r="D1376" s="4" t="s">
        <v>138</v>
      </c>
      <c r="E1376" s="15" t="s">
        <v>3907</v>
      </c>
      <c r="F1376" s="15" t="s">
        <v>2740</v>
      </c>
      <c r="G1376" s="15" t="s">
        <v>2742</v>
      </c>
      <c r="H1376" s="7">
        <v>16</v>
      </c>
      <c r="I1376" s="6" t="s">
        <v>26520</v>
      </c>
      <c r="J1376" s="6" t="s">
        <v>40608</v>
      </c>
      <c r="K1376" s="6" t="s">
        <v>39410</v>
      </c>
      <c r="L1376" s="6" t="s">
        <v>42364</v>
      </c>
      <c r="M1376" s="6" t="s">
        <v>39403</v>
      </c>
      <c r="N1376" s="6" t="s">
        <v>41143</v>
      </c>
      <c r="O1376" s="6" t="s">
        <v>41591</v>
      </c>
      <c r="P1376" s="6" t="s">
        <v>38827</v>
      </c>
      <c r="Q1376" s="6" t="s">
        <v>43258</v>
      </c>
      <c r="R1376" s="6" t="s">
        <v>41882</v>
      </c>
      <c r="S1376" s="6" t="s">
        <v>41356</v>
      </c>
      <c r="T1376" s="6" t="s">
        <v>44435</v>
      </c>
      <c r="U1376" s="6" t="s">
        <v>37890</v>
      </c>
      <c r="V1376" s="6" t="s">
        <v>42865</v>
      </c>
      <c r="W1376" s="6" t="s">
        <v>38157</v>
      </c>
      <c r="X1376" s="6" t="s">
        <v>44340</v>
      </c>
      <c r="Y1376" s="6" t="s">
        <v>37871</v>
      </c>
      <c r="Z1376" s="6"/>
      <c r="AA1376" s="6"/>
      <c r="AB1376" s="6"/>
      <c r="AC1376" s="6"/>
      <c r="AD1376" s="6"/>
      <c r="AE1376" s="6"/>
      <c r="AF1376" s="6"/>
      <c r="AG1376" s="6"/>
      <c r="AH1376" s="6"/>
      <c r="AI1376" s="6"/>
      <c r="AJ1376" s="6"/>
      <c r="AK1376" s="6"/>
      <c r="AL1376" s="6"/>
      <c r="AM1376" s="6"/>
      <c r="AN1376" s="6"/>
      <c r="AO1376" s="6"/>
      <c r="AP1376" s="6"/>
      <c r="AQ1376" s="6"/>
      <c r="AR1376" s="6"/>
      <c r="AS1376" s="6"/>
      <c r="AT1376" s="6"/>
      <c r="AU1376" s="6"/>
      <c r="AV1376" s="6"/>
      <c r="AW1376" s="6"/>
      <c r="AX1376" s="6"/>
      <c r="AY1376" s="6"/>
      <c r="AZ1376" s="6"/>
      <c r="BA1376" s="6"/>
      <c r="BB1376" s="6"/>
      <c r="BC1376" s="6"/>
      <c r="BD1376" s="6"/>
      <c r="BE1376" s="6"/>
      <c r="BF1376" s="6"/>
      <c r="BG1376" s="6"/>
      <c r="BH1376" s="6"/>
      <c r="BI1376" s="6"/>
      <c r="BJ1376" s="6"/>
      <c r="BK1376" s="6"/>
      <c r="BL1376" s="6"/>
      <c r="BM1376" s="6"/>
      <c r="BN1376" s="6"/>
      <c r="BO1376" s="6"/>
      <c r="BP1376" s="6"/>
      <c r="BQ1376" s="6"/>
      <c r="BR1376" s="6"/>
      <c r="BS1376" s="6"/>
      <c r="BT1376" s="6"/>
    </row>
    <row r="1377" spans="1:72">
      <c r="A1377" s="8" t="s">
        <v>26524</v>
      </c>
      <c r="B1377" s="11" t="s">
        <v>26528</v>
      </c>
      <c r="C1377" s="9" t="s">
        <v>138</v>
      </c>
      <c r="D1377" s="10" t="s">
        <v>138</v>
      </c>
      <c r="E1377" s="28" t="s">
        <v>6404</v>
      </c>
      <c r="F1377" s="28" t="s">
        <v>200</v>
      </c>
      <c r="G1377" s="28" t="s">
        <v>162</v>
      </c>
      <c r="H1377" s="13">
        <v>2</v>
      </c>
      <c r="I1377" s="12" t="s">
        <v>26537</v>
      </c>
      <c r="J1377" s="12" t="s">
        <v>44436</v>
      </c>
      <c r="K1377" s="12" t="s">
        <v>38200</v>
      </c>
      <c r="L1377" s="12"/>
      <c r="M1377" s="12"/>
      <c r="N1377" s="12"/>
      <c r="O1377" s="12"/>
      <c r="P1377" s="12"/>
      <c r="Q1377" s="12"/>
      <c r="R1377" s="12"/>
      <c r="S1377" s="12"/>
      <c r="T1377" s="12"/>
      <c r="U1377" s="12"/>
      <c r="V1377" s="12"/>
      <c r="W1377" s="12"/>
      <c r="X1377" s="12"/>
      <c r="Y1377" s="12"/>
      <c r="Z1377" s="12"/>
      <c r="AA1377" s="12"/>
      <c r="AB1377" s="12"/>
      <c r="AC1377" s="12"/>
      <c r="AD1377" s="12"/>
      <c r="AE1377" s="12"/>
      <c r="AF1377" s="12"/>
      <c r="AG1377" s="12"/>
      <c r="AH1377" s="12"/>
      <c r="AI1377" s="12"/>
      <c r="AJ1377" s="12"/>
      <c r="AK1377" s="12"/>
      <c r="AL1377" s="12"/>
      <c r="AM1377" s="12"/>
      <c r="AN1377" s="12"/>
      <c r="AO1377" s="12"/>
      <c r="AP1377" s="12"/>
      <c r="AQ1377" s="12"/>
      <c r="AR1377" s="12"/>
      <c r="AS1377" s="12"/>
      <c r="AT1377" s="12"/>
      <c r="AU1377" s="12"/>
      <c r="AV1377" s="12"/>
      <c r="AW1377" s="12"/>
      <c r="AX1377" s="12"/>
      <c r="AY1377" s="12"/>
      <c r="AZ1377" s="12"/>
      <c r="BA1377" s="12"/>
      <c r="BB1377" s="12"/>
      <c r="BC1377" s="12"/>
      <c r="BD1377" s="12"/>
      <c r="BE1377" s="12"/>
      <c r="BF1377" s="12"/>
      <c r="BG1377" s="12"/>
      <c r="BH1377" s="12"/>
      <c r="BI1377" s="12"/>
      <c r="BJ1377" s="12"/>
      <c r="BK1377" s="12"/>
      <c r="BL1377" s="12"/>
      <c r="BM1377" s="12"/>
      <c r="BN1377" s="12"/>
      <c r="BO1377" s="12"/>
      <c r="BP1377" s="12"/>
      <c r="BQ1377" s="12"/>
      <c r="BR1377" s="12"/>
      <c r="BS1377" s="12"/>
      <c r="BT1377" s="12"/>
    </row>
    <row r="1378" spans="1:72">
      <c r="A1378" s="2" t="s">
        <v>26540</v>
      </c>
      <c r="B1378" s="5" t="s">
        <v>26544</v>
      </c>
      <c r="C1378" s="3" t="s">
        <v>138</v>
      </c>
      <c r="D1378" s="4" t="s">
        <v>138</v>
      </c>
      <c r="E1378" s="15" t="s">
        <v>14129</v>
      </c>
      <c r="F1378" s="15" t="s">
        <v>14130</v>
      </c>
      <c r="G1378" s="15" t="s">
        <v>2742</v>
      </c>
      <c r="H1378" s="7">
        <v>6</v>
      </c>
      <c r="I1378" s="6" t="s">
        <v>26554</v>
      </c>
      <c r="J1378" s="6" t="s">
        <v>44437</v>
      </c>
      <c r="K1378" s="6" t="s">
        <v>40413</v>
      </c>
      <c r="L1378" s="6" t="s">
        <v>37819</v>
      </c>
      <c r="M1378" s="6" t="s">
        <v>44438</v>
      </c>
      <c r="N1378" s="6" t="s">
        <v>38829</v>
      </c>
      <c r="O1378" s="6" t="s">
        <v>44439</v>
      </c>
      <c r="P1378" s="6"/>
      <c r="Q1378" s="6"/>
      <c r="R1378" s="6"/>
      <c r="S1378" s="6"/>
      <c r="T1378" s="6"/>
      <c r="U1378" s="6"/>
      <c r="V1378" s="6"/>
      <c r="W1378" s="6"/>
      <c r="X1378" s="6"/>
      <c r="Y1378" s="6"/>
      <c r="Z1378" s="6"/>
      <c r="AA1378" s="6"/>
      <c r="AB1378" s="6"/>
      <c r="AC1378" s="6"/>
      <c r="AD1378" s="6"/>
      <c r="AE1378" s="6"/>
      <c r="AF1378" s="6"/>
      <c r="AG1378" s="6"/>
      <c r="AH1378" s="6"/>
      <c r="AI1378" s="6"/>
      <c r="AJ1378" s="6"/>
      <c r="AK1378" s="6"/>
      <c r="AL1378" s="6"/>
      <c r="AM1378" s="6"/>
      <c r="AN1378" s="6"/>
      <c r="AO1378" s="6"/>
      <c r="AP1378" s="6"/>
      <c r="AQ1378" s="6"/>
      <c r="AR1378" s="6"/>
      <c r="AS1378" s="6"/>
      <c r="AT1378" s="6"/>
      <c r="AU1378" s="6"/>
      <c r="AV1378" s="6"/>
      <c r="AW1378" s="6"/>
      <c r="AX1378" s="6"/>
      <c r="AY1378" s="6"/>
      <c r="AZ1378" s="6"/>
      <c r="BA1378" s="6"/>
      <c r="BB1378" s="6"/>
      <c r="BC1378" s="6"/>
      <c r="BD1378" s="6"/>
      <c r="BE1378" s="6"/>
      <c r="BF1378" s="6"/>
      <c r="BG1378" s="6"/>
      <c r="BH1378" s="6"/>
      <c r="BI1378" s="6"/>
      <c r="BJ1378" s="6"/>
      <c r="BK1378" s="6"/>
      <c r="BL1378" s="6"/>
      <c r="BM1378" s="6"/>
      <c r="BN1378" s="6"/>
      <c r="BO1378" s="6"/>
      <c r="BP1378" s="6"/>
      <c r="BQ1378" s="6"/>
      <c r="BR1378" s="6"/>
      <c r="BS1378" s="6"/>
      <c r="BT1378" s="6"/>
    </row>
    <row r="1379" spans="1:72">
      <c r="A1379" s="8" t="s">
        <v>26557</v>
      </c>
      <c r="B1379" s="11" t="s">
        <v>26562</v>
      </c>
      <c r="C1379" s="9" t="s">
        <v>138</v>
      </c>
      <c r="D1379" s="10" t="s">
        <v>26558</v>
      </c>
      <c r="E1379" s="28" t="s">
        <v>14130</v>
      </c>
      <c r="F1379" s="28" t="s">
        <v>14130</v>
      </c>
      <c r="G1379" s="28" t="s">
        <v>2742</v>
      </c>
      <c r="H1379" s="13">
        <v>6</v>
      </c>
      <c r="I1379" s="12" t="s">
        <v>26572</v>
      </c>
      <c r="J1379" s="12" t="s">
        <v>44440</v>
      </c>
      <c r="K1379" s="12" t="s">
        <v>44441</v>
      </c>
      <c r="L1379" s="12" t="s">
        <v>42757</v>
      </c>
      <c r="M1379" s="12" t="s">
        <v>44442</v>
      </c>
      <c r="N1379" s="12" t="s">
        <v>39007</v>
      </c>
      <c r="O1379" s="12" t="s">
        <v>44443</v>
      </c>
      <c r="P1379" s="12"/>
      <c r="Q1379" s="12"/>
      <c r="R1379" s="12"/>
      <c r="S1379" s="12"/>
      <c r="T1379" s="12"/>
      <c r="U1379" s="12"/>
      <c r="V1379" s="12"/>
      <c r="W1379" s="12"/>
      <c r="X1379" s="12"/>
      <c r="Y1379" s="12"/>
      <c r="Z1379" s="12"/>
      <c r="AA1379" s="12"/>
      <c r="AB1379" s="12"/>
      <c r="AC1379" s="12"/>
      <c r="AD1379" s="12"/>
      <c r="AE1379" s="12"/>
      <c r="AF1379" s="12"/>
      <c r="AG1379" s="12"/>
      <c r="AH1379" s="12"/>
      <c r="AI1379" s="12"/>
      <c r="AJ1379" s="12"/>
      <c r="AK1379" s="12"/>
      <c r="AL1379" s="12"/>
      <c r="AM1379" s="12"/>
      <c r="AN1379" s="12"/>
      <c r="AO1379" s="12"/>
      <c r="AP1379" s="12"/>
      <c r="AQ1379" s="12"/>
      <c r="AR1379" s="12"/>
      <c r="AS1379" s="12"/>
      <c r="AT1379" s="12"/>
      <c r="AU1379" s="12"/>
      <c r="AV1379" s="12"/>
      <c r="AW1379" s="12"/>
      <c r="AX1379" s="12"/>
      <c r="AY1379" s="12"/>
      <c r="AZ1379" s="12"/>
      <c r="BA1379" s="12"/>
      <c r="BB1379" s="12"/>
      <c r="BC1379" s="12"/>
      <c r="BD1379" s="12"/>
      <c r="BE1379" s="12"/>
      <c r="BF1379" s="12"/>
      <c r="BG1379" s="12"/>
      <c r="BH1379" s="12"/>
      <c r="BI1379" s="12"/>
      <c r="BJ1379" s="12"/>
      <c r="BK1379" s="12"/>
      <c r="BL1379" s="12"/>
      <c r="BM1379" s="12"/>
      <c r="BN1379" s="12"/>
      <c r="BO1379" s="12"/>
      <c r="BP1379" s="12"/>
      <c r="BQ1379" s="12"/>
      <c r="BR1379" s="12"/>
      <c r="BS1379" s="12"/>
      <c r="BT1379" s="12"/>
    </row>
    <row r="1380" spans="1:72">
      <c r="A1380" s="2" t="s">
        <v>26576</v>
      </c>
      <c r="B1380" s="5" t="s">
        <v>26579</v>
      </c>
      <c r="C1380" s="3" t="s">
        <v>138</v>
      </c>
      <c r="D1380" s="4" t="s">
        <v>138</v>
      </c>
      <c r="E1380" s="15" t="s">
        <v>3111</v>
      </c>
      <c r="F1380" s="15" t="s">
        <v>3112</v>
      </c>
      <c r="G1380" s="15" t="s">
        <v>2742</v>
      </c>
      <c r="H1380" s="7">
        <v>3</v>
      </c>
      <c r="I1380" s="6" t="s">
        <v>26589</v>
      </c>
      <c r="J1380" s="6" t="s">
        <v>44444</v>
      </c>
      <c r="K1380" s="6" t="s">
        <v>38775</v>
      </c>
      <c r="L1380" s="6" t="s">
        <v>44445</v>
      </c>
      <c r="M1380" s="6"/>
      <c r="N1380" s="6"/>
      <c r="O1380" s="6"/>
      <c r="P1380" s="6"/>
      <c r="Q1380" s="6"/>
      <c r="R1380" s="6"/>
      <c r="S1380" s="6"/>
      <c r="T1380" s="6"/>
      <c r="U1380" s="6"/>
      <c r="V1380" s="6"/>
      <c r="W1380" s="6"/>
      <c r="X1380" s="6"/>
      <c r="Y1380" s="6"/>
      <c r="Z1380" s="6"/>
      <c r="AA1380" s="6"/>
      <c r="AB1380" s="6"/>
      <c r="AC1380" s="6"/>
      <c r="AD1380" s="6"/>
      <c r="AE1380" s="6"/>
      <c r="AF1380" s="6"/>
      <c r="AG1380" s="6"/>
      <c r="AH1380" s="6"/>
      <c r="AI1380" s="6"/>
      <c r="AJ1380" s="6"/>
      <c r="AK1380" s="6"/>
      <c r="AL1380" s="6"/>
      <c r="AM1380" s="6"/>
      <c r="AN1380" s="6"/>
      <c r="AO1380" s="6"/>
      <c r="AP1380" s="6"/>
      <c r="AQ1380" s="6"/>
      <c r="AR1380" s="6"/>
      <c r="AS1380" s="6"/>
      <c r="AT1380" s="6"/>
      <c r="AU1380" s="6"/>
      <c r="AV1380" s="6"/>
      <c r="AW1380" s="6"/>
      <c r="AX1380" s="6"/>
      <c r="AY1380" s="6"/>
      <c r="AZ1380" s="6"/>
      <c r="BA1380" s="6"/>
      <c r="BB1380" s="6"/>
      <c r="BC1380" s="6"/>
      <c r="BD1380" s="6"/>
      <c r="BE1380" s="6"/>
      <c r="BF1380" s="6"/>
      <c r="BG1380" s="6"/>
      <c r="BH1380" s="6"/>
      <c r="BI1380" s="6"/>
      <c r="BJ1380" s="6"/>
      <c r="BK1380" s="6"/>
      <c r="BL1380" s="6"/>
      <c r="BM1380" s="6"/>
      <c r="BN1380" s="6"/>
      <c r="BO1380" s="6"/>
      <c r="BP1380" s="6"/>
      <c r="BQ1380" s="6"/>
      <c r="BR1380" s="6"/>
      <c r="BS1380" s="6"/>
      <c r="BT1380" s="6"/>
    </row>
    <row r="1381" spans="1:72">
      <c r="A1381" s="8" t="s">
        <v>26592</v>
      </c>
      <c r="B1381" s="11" t="s">
        <v>26596</v>
      </c>
      <c r="C1381" s="9" t="s">
        <v>138</v>
      </c>
      <c r="D1381" s="10" t="s">
        <v>138</v>
      </c>
      <c r="E1381" s="28" t="s">
        <v>426</v>
      </c>
      <c r="F1381" s="28" t="s">
        <v>426</v>
      </c>
      <c r="G1381" s="28" t="s">
        <v>162</v>
      </c>
      <c r="H1381" s="13">
        <v>12</v>
      </c>
      <c r="I1381" s="12" t="s">
        <v>26605</v>
      </c>
      <c r="J1381" s="12" t="s">
        <v>13176</v>
      </c>
      <c r="K1381" s="12" t="s">
        <v>38331</v>
      </c>
      <c r="L1381" s="12" t="s">
        <v>42869</v>
      </c>
      <c r="M1381" s="12" t="s">
        <v>38113</v>
      </c>
      <c r="N1381" s="12" t="s">
        <v>37786</v>
      </c>
      <c r="O1381" s="12" t="s">
        <v>38494</v>
      </c>
      <c r="P1381" s="12" t="s">
        <v>40229</v>
      </c>
      <c r="Q1381" s="12" t="s">
        <v>37922</v>
      </c>
      <c r="R1381" s="12" t="s">
        <v>38144</v>
      </c>
      <c r="S1381" s="12" t="s">
        <v>39713</v>
      </c>
      <c r="T1381" s="12" t="s">
        <v>39647</v>
      </c>
      <c r="U1381" s="12" t="s">
        <v>41318</v>
      </c>
      <c r="V1381" s="12"/>
      <c r="W1381" s="12"/>
      <c r="X1381" s="12"/>
      <c r="Y1381" s="12"/>
      <c r="Z1381" s="12"/>
      <c r="AA1381" s="12"/>
      <c r="AB1381" s="12"/>
      <c r="AC1381" s="12"/>
      <c r="AD1381" s="12"/>
      <c r="AE1381" s="12"/>
      <c r="AF1381" s="12"/>
      <c r="AG1381" s="12"/>
      <c r="AH1381" s="12"/>
      <c r="AI1381" s="12"/>
      <c r="AJ1381" s="12"/>
      <c r="AK1381" s="12"/>
      <c r="AL1381" s="12"/>
      <c r="AM1381" s="12"/>
      <c r="AN1381" s="12"/>
      <c r="AO1381" s="12"/>
      <c r="AP1381" s="12"/>
      <c r="AQ1381" s="12"/>
      <c r="AR1381" s="12"/>
      <c r="AS1381" s="12"/>
      <c r="AT1381" s="12"/>
      <c r="AU1381" s="12"/>
      <c r="AV1381" s="12"/>
      <c r="AW1381" s="12"/>
      <c r="AX1381" s="12"/>
      <c r="AY1381" s="12"/>
      <c r="AZ1381" s="12"/>
      <c r="BA1381" s="12"/>
      <c r="BB1381" s="12"/>
      <c r="BC1381" s="12"/>
      <c r="BD1381" s="12"/>
      <c r="BE1381" s="12"/>
      <c r="BF1381" s="12"/>
      <c r="BG1381" s="12"/>
      <c r="BH1381" s="12"/>
      <c r="BI1381" s="12"/>
      <c r="BJ1381" s="12"/>
      <c r="BK1381" s="12"/>
      <c r="BL1381" s="12"/>
      <c r="BM1381" s="12"/>
      <c r="BN1381" s="12"/>
      <c r="BO1381" s="12"/>
      <c r="BP1381" s="12"/>
      <c r="BQ1381" s="12"/>
      <c r="BR1381" s="12"/>
      <c r="BS1381" s="12"/>
      <c r="BT1381" s="12"/>
    </row>
    <row r="1382" spans="1:72">
      <c r="A1382" s="2" t="s">
        <v>26610</v>
      </c>
      <c r="B1382" s="5" t="s">
        <v>26615</v>
      </c>
      <c r="C1382" s="3" t="s">
        <v>138</v>
      </c>
      <c r="D1382" s="4" t="s">
        <v>138</v>
      </c>
      <c r="E1382" s="15" t="s">
        <v>4900</v>
      </c>
      <c r="F1382" s="15" t="s">
        <v>200</v>
      </c>
      <c r="G1382" s="15" t="s">
        <v>162</v>
      </c>
      <c r="H1382" s="7">
        <v>4</v>
      </c>
      <c r="I1382" s="6" t="s">
        <v>26625</v>
      </c>
      <c r="J1382" s="6" t="s">
        <v>44446</v>
      </c>
      <c r="K1382" s="6" t="s">
        <v>38619</v>
      </c>
      <c r="L1382" s="6" t="s">
        <v>38049</v>
      </c>
      <c r="M1382" s="6" t="s">
        <v>39080</v>
      </c>
      <c r="N1382" s="6"/>
      <c r="O1382" s="6"/>
      <c r="P1382" s="6"/>
      <c r="Q1382" s="6"/>
      <c r="R1382" s="6"/>
      <c r="S1382" s="6"/>
      <c r="T1382" s="6"/>
      <c r="U1382" s="6"/>
      <c r="V1382" s="6"/>
      <c r="W1382" s="6"/>
      <c r="X1382" s="6"/>
      <c r="Y1382" s="6"/>
      <c r="Z1382" s="6"/>
      <c r="AA1382" s="6"/>
      <c r="AB1382" s="6"/>
      <c r="AC1382" s="6"/>
      <c r="AD1382" s="6"/>
      <c r="AE1382" s="6"/>
      <c r="AF1382" s="6"/>
      <c r="AG1382" s="6"/>
      <c r="AH1382" s="6"/>
      <c r="AI1382" s="6"/>
      <c r="AJ1382" s="6"/>
      <c r="AK1382" s="6"/>
      <c r="AL1382" s="6"/>
      <c r="AM1382" s="6"/>
      <c r="AN1382" s="6"/>
      <c r="AO1382" s="6"/>
      <c r="AP1382" s="6"/>
      <c r="AQ1382" s="6"/>
      <c r="AR1382" s="6"/>
      <c r="AS1382" s="6"/>
      <c r="AT1382" s="6"/>
      <c r="AU1382" s="6"/>
      <c r="AV1382" s="6"/>
      <c r="AW1382" s="6"/>
      <c r="AX1382" s="6"/>
      <c r="AY1382" s="6"/>
      <c r="AZ1382" s="6"/>
      <c r="BA1382" s="6"/>
      <c r="BB1382" s="6"/>
      <c r="BC1382" s="6"/>
      <c r="BD1382" s="6"/>
      <c r="BE1382" s="6"/>
      <c r="BF1382" s="6"/>
      <c r="BG1382" s="6"/>
      <c r="BH1382" s="6"/>
      <c r="BI1382" s="6"/>
      <c r="BJ1382" s="6"/>
      <c r="BK1382" s="6"/>
      <c r="BL1382" s="6"/>
      <c r="BM1382" s="6"/>
      <c r="BN1382" s="6"/>
      <c r="BO1382" s="6"/>
      <c r="BP1382" s="6"/>
      <c r="BQ1382" s="6"/>
      <c r="BR1382" s="6"/>
      <c r="BS1382" s="6"/>
      <c r="BT1382" s="6"/>
    </row>
    <row r="1383" spans="1:72">
      <c r="A1383" s="8" t="s">
        <v>26629</v>
      </c>
      <c r="B1383" s="11" t="s">
        <v>26634</v>
      </c>
      <c r="C1383" s="9" t="s">
        <v>26630</v>
      </c>
      <c r="D1383" s="10" t="s">
        <v>138</v>
      </c>
      <c r="E1383" s="28" t="s">
        <v>3139</v>
      </c>
      <c r="F1383" s="28" t="s">
        <v>3140</v>
      </c>
      <c r="G1383" s="28" t="s">
        <v>162</v>
      </c>
      <c r="H1383" s="13">
        <v>8</v>
      </c>
      <c r="I1383" s="12" t="s">
        <v>26643</v>
      </c>
      <c r="J1383" s="12" t="s">
        <v>44447</v>
      </c>
      <c r="K1383" s="12" t="s">
        <v>40162</v>
      </c>
      <c r="L1383" s="12" t="s">
        <v>37777</v>
      </c>
      <c r="M1383" s="12" t="s">
        <v>38844</v>
      </c>
      <c r="N1383" s="12" t="s">
        <v>44448</v>
      </c>
      <c r="O1383" s="12" t="s">
        <v>40166</v>
      </c>
      <c r="P1383" s="12" t="s">
        <v>40767</v>
      </c>
      <c r="Q1383" s="12" t="s">
        <v>41217</v>
      </c>
      <c r="R1383" s="12"/>
      <c r="S1383" s="12"/>
      <c r="T1383" s="12"/>
      <c r="U1383" s="12"/>
      <c r="V1383" s="12"/>
      <c r="W1383" s="12"/>
      <c r="X1383" s="12"/>
      <c r="Y1383" s="12"/>
      <c r="Z1383" s="12"/>
      <c r="AA1383" s="12"/>
      <c r="AB1383" s="12"/>
      <c r="AC1383" s="12"/>
      <c r="AD1383" s="12"/>
      <c r="AE1383" s="12"/>
      <c r="AF1383" s="12"/>
      <c r="AG1383" s="12"/>
      <c r="AH1383" s="12"/>
      <c r="AI1383" s="12"/>
      <c r="AJ1383" s="12"/>
      <c r="AK1383" s="12"/>
      <c r="AL1383" s="12"/>
      <c r="AM1383" s="12"/>
      <c r="AN1383" s="12"/>
      <c r="AO1383" s="12"/>
      <c r="AP1383" s="12"/>
      <c r="AQ1383" s="12"/>
      <c r="AR1383" s="12"/>
      <c r="AS1383" s="12"/>
      <c r="AT1383" s="12"/>
      <c r="AU1383" s="12"/>
      <c r="AV1383" s="12"/>
      <c r="AW1383" s="12"/>
      <c r="AX1383" s="12"/>
      <c r="AY1383" s="12"/>
      <c r="AZ1383" s="12"/>
      <c r="BA1383" s="12"/>
      <c r="BB1383" s="12"/>
      <c r="BC1383" s="12"/>
      <c r="BD1383" s="12"/>
      <c r="BE1383" s="12"/>
      <c r="BF1383" s="12"/>
      <c r="BG1383" s="12"/>
      <c r="BH1383" s="12"/>
      <c r="BI1383" s="12"/>
      <c r="BJ1383" s="12"/>
      <c r="BK1383" s="12"/>
      <c r="BL1383" s="12"/>
      <c r="BM1383" s="12"/>
      <c r="BN1383" s="12"/>
      <c r="BO1383" s="12"/>
      <c r="BP1383" s="12"/>
      <c r="BQ1383" s="12"/>
      <c r="BR1383" s="12"/>
      <c r="BS1383" s="12"/>
      <c r="BT1383" s="12"/>
    </row>
    <row r="1384" spans="1:72">
      <c r="A1384" s="2" t="s">
        <v>26646</v>
      </c>
      <c r="B1384" s="5" t="s">
        <v>26652</v>
      </c>
      <c r="C1384" s="3" t="s">
        <v>138</v>
      </c>
      <c r="D1384" s="4" t="s">
        <v>138</v>
      </c>
      <c r="E1384" s="15" t="s">
        <v>25401</v>
      </c>
      <c r="F1384" s="15" t="s">
        <v>2740</v>
      </c>
      <c r="G1384" s="15" t="s">
        <v>2742</v>
      </c>
      <c r="H1384" s="7">
        <v>8</v>
      </c>
      <c r="I1384" s="6" t="s">
        <v>26663</v>
      </c>
      <c r="J1384" s="6" t="s">
        <v>44449</v>
      </c>
      <c r="K1384" s="6" t="s">
        <v>44450</v>
      </c>
      <c r="L1384" s="6" t="s">
        <v>39793</v>
      </c>
      <c r="M1384" s="6" t="s">
        <v>41882</v>
      </c>
      <c r="N1384" s="6" t="s">
        <v>39278</v>
      </c>
      <c r="O1384" s="6" t="s">
        <v>43297</v>
      </c>
      <c r="P1384" s="6" t="s">
        <v>38852</v>
      </c>
      <c r="Q1384" s="6" t="s">
        <v>44451</v>
      </c>
      <c r="R1384" s="6"/>
      <c r="S1384" s="6"/>
      <c r="T1384" s="6"/>
      <c r="U1384" s="6"/>
      <c r="V1384" s="6"/>
      <c r="W1384" s="6"/>
      <c r="X1384" s="6"/>
      <c r="Y1384" s="6"/>
      <c r="Z1384" s="6"/>
      <c r="AA1384" s="6"/>
      <c r="AB1384" s="6"/>
      <c r="AC1384" s="6"/>
      <c r="AD1384" s="6"/>
      <c r="AE1384" s="6"/>
      <c r="AF1384" s="6"/>
      <c r="AG1384" s="6"/>
      <c r="AH1384" s="6"/>
      <c r="AI1384" s="6"/>
      <c r="AJ1384" s="6"/>
      <c r="AK1384" s="6"/>
      <c r="AL1384" s="6"/>
      <c r="AM1384" s="6"/>
      <c r="AN1384" s="6"/>
      <c r="AO1384" s="6"/>
      <c r="AP1384" s="6"/>
      <c r="AQ1384" s="6"/>
      <c r="AR1384" s="6"/>
      <c r="AS1384" s="6"/>
      <c r="AT1384" s="6"/>
      <c r="AU1384" s="6"/>
      <c r="AV1384" s="6"/>
      <c r="AW1384" s="6"/>
      <c r="AX1384" s="6"/>
      <c r="AY1384" s="6"/>
      <c r="AZ1384" s="6"/>
      <c r="BA1384" s="6"/>
      <c r="BB1384" s="6"/>
      <c r="BC1384" s="6"/>
      <c r="BD1384" s="6"/>
      <c r="BE1384" s="6"/>
      <c r="BF1384" s="6"/>
      <c r="BG1384" s="6"/>
      <c r="BH1384" s="6"/>
      <c r="BI1384" s="6"/>
      <c r="BJ1384" s="6"/>
      <c r="BK1384" s="6"/>
      <c r="BL1384" s="6"/>
      <c r="BM1384" s="6"/>
      <c r="BN1384" s="6"/>
      <c r="BO1384" s="6"/>
      <c r="BP1384" s="6"/>
      <c r="BQ1384" s="6"/>
      <c r="BR1384" s="6"/>
      <c r="BS1384" s="6"/>
      <c r="BT1384" s="6"/>
    </row>
    <row r="1385" spans="1:72">
      <c r="A1385" s="8" t="s">
        <v>26668</v>
      </c>
      <c r="B1385" s="11" t="s">
        <v>26673</v>
      </c>
      <c r="C1385" s="9" t="s">
        <v>138</v>
      </c>
      <c r="D1385" s="10" t="s">
        <v>138</v>
      </c>
      <c r="E1385" s="28" t="s">
        <v>26681</v>
      </c>
      <c r="F1385" s="28" t="s">
        <v>200</v>
      </c>
      <c r="G1385" s="28" t="s">
        <v>162</v>
      </c>
      <c r="H1385" s="13">
        <v>6</v>
      </c>
      <c r="I1385" s="12" t="s">
        <v>26685</v>
      </c>
      <c r="J1385" s="12">
        <v>301</v>
      </c>
      <c r="K1385" s="12" t="s">
        <v>44452</v>
      </c>
      <c r="L1385" s="12" t="s">
        <v>44453</v>
      </c>
      <c r="M1385" s="12" t="s">
        <v>43641</v>
      </c>
      <c r="N1385" s="12" t="s">
        <v>39810</v>
      </c>
      <c r="O1385" s="12" t="s">
        <v>44454</v>
      </c>
      <c r="P1385" s="12"/>
      <c r="Q1385" s="12"/>
      <c r="R1385" s="12"/>
      <c r="S1385" s="12"/>
      <c r="T1385" s="12"/>
      <c r="U1385" s="12"/>
      <c r="V1385" s="12"/>
      <c r="W1385" s="12"/>
      <c r="X1385" s="12"/>
      <c r="Y1385" s="12"/>
      <c r="Z1385" s="12"/>
      <c r="AA1385" s="12"/>
      <c r="AB1385" s="12"/>
      <c r="AC1385" s="12"/>
      <c r="AD1385" s="12"/>
      <c r="AE1385" s="12"/>
      <c r="AF1385" s="12"/>
      <c r="AG1385" s="12"/>
      <c r="AH1385" s="12"/>
      <c r="AI1385" s="12"/>
      <c r="AJ1385" s="12"/>
      <c r="AK1385" s="12"/>
      <c r="AL1385" s="12"/>
      <c r="AM1385" s="12"/>
      <c r="AN1385" s="12"/>
      <c r="AO1385" s="12"/>
      <c r="AP1385" s="12"/>
      <c r="AQ1385" s="12"/>
      <c r="AR1385" s="12"/>
      <c r="AS1385" s="12"/>
      <c r="AT1385" s="12"/>
      <c r="AU1385" s="12"/>
      <c r="AV1385" s="12"/>
      <c r="AW1385" s="12"/>
      <c r="AX1385" s="12"/>
      <c r="AY1385" s="12"/>
      <c r="AZ1385" s="12"/>
      <c r="BA1385" s="12"/>
      <c r="BB1385" s="12"/>
      <c r="BC1385" s="12"/>
      <c r="BD1385" s="12"/>
      <c r="BE1385" s="12"/>
      <c r="BF1385" s="12"/>
      <c r="BG1385" s="12"/>
      <c r="BH1385" s="12"/>
      <c r="BI1385" s="12"/>
      <c r="BJ1385" s="12"/>
      <c r="BK1385" s="12"/>
      <c r="BL1385" s="12"/>
      <c r="BM1385" s="12"/>
      <c r="BN1385" s="12"/>
      <c r="BO1385" s="12"/>
      <c r="BP1385" s="12"/>
      <c r="BQ1385" s="12"/>
      <c r="BR1385" s="12"/>
      <c r="BS1385" s="12"/>
      <c r="BT1385" s="12"/>
    </row>
    <row r="1386" spans="1:72">
      <c r="A1386" s="2" t="s">
        <v>26690</v>
      </c>
      <c r="B1386" s="5" t="s">
        <v>26695</v>
      </c>
      <c r="C1386" s="3" t="s">
        <v>138</v>
      </c>
      <c r="D1386" s="4" t="s">
        <v>138</v>
      </c>
      <c r="E1386" s="15" t="s">
        <v>3139</v>
      </c>
      <c r="F1386" s="15" t="s">
        <v>3140</v>
      </c>
      <c r="G1386" s="15" t="s">
        <v>162</v>
      </c>
      <c r="H1386" s="7">
        <v>11</v>
      </c>
      <c r="I1386" s="6" t="s">
        <v>26704</v>
      </c>
      <c r="J1386" s="6" t="s">
        <v>44455</v>
      </c>
      <c r="K1386" s="6" t="s">
        <v>38096</v>
      </c>
      <c r="L1386" s="6" t="s">
        <v>41959</v>
      </c>
      <c r="M1386" s="6" t="s">
        <v>44456</v>
      </c>
      <c r="N1386" s="6" t="s">
        <v>44457</v>
      </c>
      <c r="O1386" s="6" t="s">
        <v>40189</v>
      </c>
      <c r="P1386" s="6" t="s">
        <v>40804</v>
      </c>
      <c r="Q1386" s="6" t="s">
        <v>39900</v>
      </c>
      <c r="R1386" s="6" t="s">
        <v>44458</v>
      </c>
      <c r="S1386" s="6" t="s">
        <v>41456</v>
      </c>
      <c r="T1386" s="6" t="s">
        <v>44459</v>
      </c>
      <c r="U1386" s="6"/>
      <c r="V1386" s="6"/>
      <c r="W1386" s="6"/>
      <c r="X1386" s="6"/>
      <c r="Y1386" s="6"/>
      <c r="Z1386" s="6"/>
      <c r="AA1386" s="6"/>
      <c r="AB1386" s="6"/>
      <c r="AC1386" s="6"/>
      <c r="AD1386" s="6"/>
      <c r="AE1386" s="6"/>
      <c r="AF1386" s="6"/>
      <c r="AG1386" s="6"/>
      <c r="AH1386" s="6"/>
      <c r="AI1386" s="6"/>
      <c r="AJ1386" s="6"/>
      <c r="AK1386" s="6"/>
      <c r="AL1386" s="6"/>
      <c r="AM1386" s="6"/>
      <c r="AN1386" s="6"/>
      <c r="AO1386" s="6"/>
      <c r="AP1386" s="6"/>
      <c r="AQ1386" s="6"/>
      <c r="AR1386" s="6"/>
      <c r="AS1386" s="6"/>
      <c r="AT1386" s="6"/>
      <c r="AU1386" s="6"/>
      <c r="AV1386" s="6"/>
      <c r="AW1386" s="6"/>
      <c r="AX1386" s="6"/>
      <c r="AY1386" s="6"/>
      <c r="AZ1386" s="6"/>
      <c r="BA1386" s="6"/>
      <c r="BB1386" s="6"/>
      <c r="BC1386" s="6"/>
      <c r="BD1386" s="6"/>
      <c r="BE1386" s="6"/>
      <c r="BF1386" s="6"/>
      <c r="BG1386" s="6"/>
      <c r="BH1386" s="6"/>
      <c r="BI1386" s="6"/>
      <c r="BJ1386" s="6"/>
      <c r="BK1386" s="6"/>
      <c r="BL1386" s="6"/>
      <c r="BM1386" s="6"/>
      <c r="BN1386" s="6"/>
      <c r="BO1386" s="6"/>
      <c r="BP1386" s="6"/>
      <c r="BQ1386" s="6"/>
      <c r="BR1386" s="6"/>
      <c r="BS1386" s="6"/>
      <c r="BT1386" s="6"/>
    </row>
    <row r="1387" spans="1:72">
      <c r="A1387" s="8" t="s">
        <v>26708</v>
      </c>
      <c r="B1387" s="11" t="s">
        <v>26711</v>
      </c>
      <c r="C1387" s="9" t="s">
        <v>138</v>
      </c>
      <c r="D1387" s="10" t="s">
        <v>138</v>
      </c>
      <c r="E1387" s="28" t="s">
        <v>823</v>
      </c>
      <c r="F1387" s="28" t="s">
        <v>824</v>
      </c>
      <c r="G1387" s="28" t="s">
        <v>526</v>
      </c>
      <c r="H1387" s="13">
        <v>2</v>
      </c>
      <c r="I1387" s="12" t="s">
        <v>26718</v>
      </c>
      <c r="J1387" s="12" t="s">
        <v>38361</v>
      </c>
      <c r="K1387" s="12" t="s">
        <v>38363</v>
      </c>
      <c r="L1387" s="12"/>
      <c r="M1387" s="12"/>
      <c r="N1387" s="12"/>
      <c r="O1387" s="12"/>
      <c r="P1387" s="12"/>
      <c r="Q1387" s="12"/>
      <c r="R1387" s="12"/>
      <c r="S1387" s="12"/>
      <c r="T1387" s="12"/>
      <c r="U1387" s="12"/>
      <c r="V1387" s="12"/>
      <c r="W1387" s="12"/>
      <c r="X1387" s="12"/>
      <c r="Y1387" s="12"/>
      <c r="Z1387" s="12"/>
      <c r="AA1387" s="12"/>
      <c r="AB1387" s="12"/>
      <c r="AC1387" s="12"/>
      <c r="AD1387" s="12"/>
      <c r="AE1387" s="12"/>
      <c r="AF1387" s="12"/>
      <c r="AG1387" s="12"/>
      <c r="AH1387" s="12"/>
      <c r="AI1387" s="12"/>
      <c r="AJ1387" s="12"/>
      <c r="AK1387" s="12"/>
      <c r="AL1387" s="12"/>
      <c r="AM1387" s="12"/>
      <c r="AN1387" s="12"/>
      <c r="AO1387" s="12"/>
      <c r="AP1387" s="12"/>
      <c r="AQ1387" s="12"/>
      <c r="AR1387" s="12"/>
      <c r="AS1387" s="12"/>
      <c r="AT1387" s="12"/>
      <c r="AU1387" s="12"/>
      <c r="AV1387" s="12"/>
      <c r="AW1387" s="12"/>
      <c r="AX1387" s="12"/>
      <c r="AY1387" s="12"/>
      <c r="AZ1387" s="12"/>
      <c r="BA1387" s="12"/>
      <c r="BB1387" s="12"/>
      <c r="BC1387" s="12"/>
      <c r="BD1387" s="12"/>
      <c r="BE1387" s="12"/>
      <c r="BF1387" s="12"/>
      <c r="BG1387" s="12"/>
      <c r="BH1387" s="12"/>
      <c r="BI1387" s="12"/>
      <c r="BJ1387" s="12"/>
      <c r="BK1387" s="12"/>
      <c r="BL1387" s="12"/>
      <c r="BM1387" s="12"/>
      <c r="BN1387" s="12"/>
      <c r="BO1387" s="12"/>
      <c r="BP1387" s="12"/>
      <c r="BQ1387" s="12"/>
      <c r="BR1387" s="12"/>
      <c r="BS1387" s="12"/>
      <c r="BT1387" s="12"/>
    </row>
    <row r="1388" spans="1:72">
      <c r="A1388" s="2" t="s">
        <v>26721</v>
      </c>
      <c r="B1388" s="5" t="s">
        <v>26725</v>
      </c>
      <c r="C1388" s="3" t="s">
        <v>138</v>
      </c>
      <c r="D1388" s="4" t="s">
        <v>138</v>
      </c>
      <c r="E1388" s="15" t="s">
        <v>1198</v>
      </c>
      <c r="F1388" s="15" t="s">
        <v>138</v>
      </c>
      <c r="G1388" s="15" t="s">
        <v>1200</v>
      </c>
      <c r="H1388" s="7">
        <v>3</v>
      </c>
      <c r="I1388" s="6" t="s">
        <v>26737</v>
      </c>
      <c r="J1388" s="6" t="s">
        <v>44460</v>
      </c>
      <c r="K1388" s="6" t="s">
        <v>38321</v>
      </c>
      <c r="L1388" s="6" t="s">
        <v>44461</v>
      </c>
      <c r="M1388" s="6"/>
      <c r="N1388" s="6"/>
      <c r="O1388" s="6"/>
      <c r="P1388" s="6"/>
      <c r="Q1388" s="6"/>
      <c r="R1388" s="6"/>
      <c r="S1388" s="6"/>
      <c r="T1388" s="6"/>
      <c r="U1388" s="6"/>
      <c r="V1388" s="6"/>
      <c r="W1388" s="6"/>
      <c r="X1388" s="6"/>
      <c r="Y1388" s="6"/>
      <c r="Z1388" s="6"/>
      <c r="AA1388" s="6"/>
      <c r="AB1388" s="6"/>
      <c r="AC1388" s="6"/>
      <c r="AD1388" s="6"/>
      <c r="AE1388" s="6"/>
      <c r="AF1388" s="6"/>
      <c r="AG1388" s="6"/>
      <c r="AH1388" s="6"/>
      <c r="AI1388" s="6"/>
      <c r="AJ1388" s="6"/>
      <c r="AK1388" s="6"/>
      <c r="AL1388" s="6"/>
      <c r="AM1388" s="6"/>
      <c r="AN1388" s="6"/>
      <c r="AO1388" s="6"/>
      <c r="AP1388" s="6"/>
      <c r="AQ1388" s="6"/>
      <c r="AR1388" s="6"/>
      <c r="AS1388" s="6"/>
      <c r="AT1388" s="6"/>
      <c r="AU1388" s="6"/>
      <c r="AV1388" s="6"/>
      <c r="AW1388" s="6"/>
      <c r="AX1388" s="6"/>
      <c r="AY1388" s="6"/>
      <c r="AZ1388" s="6"/>
      <c r="BA1388" s="6"/>
      <c r="BB1388" s="6"/>
      <c r="BC1388" s="6"/>
      <c r="BD1388" s="6"/>
      <c r="BE1388" s="6"/>
      <c r="BF1388" s="6"/>
      <c r="BG1388" s="6"/>
      <c r="BH1388" s="6"/>
      <c r="BI1388" s="6"/>
      <c r="BJ1388" s="6"/>
      <c r="BK1388" s="6"/>
      <c r="BL1388" s="6"/>
      <c r="BM1388" s="6"/>
      <c r="BN1388" s="6"/>
      <c r="BO1388" s="6"/>
      <c r="BP1388" s="6"/>
      <c r="BQ1388" s="6"/>
      <c r="BR1388" s="6"/>
      <c r="BS1388" s="6"/>
      <c r="BT1388" s="6"/>
    </row>
    <row r="1389" spans="1:72">
      <c r="A1389" s="8" t="s">
        <v>26740</v>
      </c>
      <c r="B1389" s="11" t="s">
        <v>26747</v>
      </c>
      <c r="C1389" s="9" t="s">
        <v>26741</v>
      </c>
      <c r="D1389" s="10" t="s">
        <v>26742</v>
      </c>
      <c r="E1389" s="28" t="s">
        <v>668</v>
      </c>
      <c r="F1389" s="28" t="s">
        <v>200</v>
      </c>
      <c r="G1389" s="28" t="s">
        <v>162</v>
      </c>
      <c r="H1389" s="13">
        <v>13</v>
      </c>
      <c r="I1389" s="12" t="s">
        <v>26758</v>
      </c>
      <c r="J1389" s="12" t="s">
        <v>44462</v>
      </c>
      <c r="K1389" s="12" t="s">
        <v>38114</v>
      </c>
      <c r="L1389" s="12" t="s">
        <v>37786</v>
      </c>
      <c r="M1389" s="12" t="s">
        <v>37953</v>
      </c>
      <c r="N1389" s="12" t="s">
        <v>39944</v>
      </c>
      <c r="O1389" s="12" t="s">
        <v>40576</v>
      </c>
      <c r="P1389" s="12" t="s">
        <v>38020</v>
      </c>
      <c r="Q1389" s="12" t="s">
        <v>38428</v>
      </c>
      <c r="R1389" s="12" t="s">
        <v>43565</v>
      </c>
      <c r="S1389" s="12" t="s">
        <v>41311</v>
      </c>
      <c r="T1389" s="12" t="s">
        <v>39294</v>
      </c>
      <c r="U1389" s="12" t="s">
        <v>38200</v>
      </c>
      <c r="V1389" s="12" t="s">
        <v>38143</v>
      </c>
      <c r="W1389" s="12"/>
      <c r="X1389" s="12"/>
      <c r="Y1389" s="12"/>
      <c r="Z1389" s="12"/>
      <c r="AA1389" s="12"/>
      <c r="AB1389" s="12"/>
      <c r="AC1389" s="12"/>
      <c r="AD1389" s="12"/>
      <c r="AE1389" s="12"/>
      <c r="AF1389" s="12"/>
      <c r="AG1389" s="12"/>
      <c r="AH1389" s="12"/>
      <c r="AI1389" s="12"/>
      <c r="AJ1389" s="12"/>
      <c r="AK1389" s="12"/>
      <c r="AL1389" s="12"/>
      <c r="AM1389" s="12"/>
      <c r="AN1389" s="12"/>
      <c r="AO1389" s="12"/>
      <c r="AP1389" s="12"/>
      <c r="AQ1389" s="12"/>
      <c r="AR1389" s="12"/>
      <c r="AS1389" s="12"/>
      <c r="AT1389" s="12"/>
      <c r="AU1389" s="12"/>
      <c r="AV1389" s="12"/>
      <c r="AW1389" s="12"/>
      <c r="AX1389" s="12"/>
      <c r="AY1389" s="12"/>
      <c r="AZ1389" s="12"/>
      <c r="BA1389" s="12"/>
      <c r="BB1389" s="12"/>
      <c r="BC1389" s="12"/>
      <c r="BD1389" s="12"/>
      <c r="BE1389" s="12"/>
      <c r="BF1389" s="12"/>
      <c r="BG1389" s="12"/>
      <c r="BH1389" s="12"/>
      <c r="BI1389" s="12"/>
      <c r="BJ1389" s="12"/>
      <c r="BK1389" s="12"/>
      <c r="BL1389" s="12"/>
      <c r="BM1389" s="12"/>
      <c r="BN1389" s="12"/>
      <c r="BO1389" s="12"/>
      <c r="BP1389" s="12"/>
      <c r="BQ1389" s="12"/>
      <c r="BR1389" s="12"/>
      <c r="BS1389" s="12"/>
      <c r="BT1389" s="12"/>
    </row>
    <row r="1390" spans="1:72">
      <c r="A1390" s="2" t="s">
        <v>26761</v>
      </c>
      <c r="B1390" s="5" t="s">
        <v>26766</v>
      </c>
      <c r="C1390" s="3" t="s">
        <v>138</v>
      </c>
      <c r="D1390" s="4" t="s">
        <v>138</v>
      </c>
      <c r="E1390" s="15" t="s">
        <v>1246</v>
      </c>
      <c r="F1390" s="15" t="s">
        <v>200</v>
      </c>
      <c r="G1390" s="15" t="s">
        <v>162</v>
      </c>
      <c r="H1390" s="7">
        <v>8</v>
      </c>
      <c r="I1390" s="6" t="s">
        <v>26776</v>
      </c>
      <c r="J1390" s="6" t="s">
        <v>44463</v>
      </c>
      <c r="K1390" s="6" t="s">
        <v>44464</v>
      </c>
      <c r="L1390" s="6" t="s">
        <v>37998</v>
      </c>
      <c r="M1390" s="6" t="s">
        <v>40910</v>
      </c>
      <c r="N1390" s="6" t="s">
        <v>38321</v>
      </c>
      <c r="O1390" s="6" t="s">
        <v>40048</v>
      </c>
      <c r="P1390" s="6" t="s">
        <v>44465</v>
      </c>
      <c r="Q1390" s="6" t="s">
        <v>41870</v>
      </c>
      <c r="R1390" s="6"/>
      <c r="S1390" s="6"/>
      <c r="T1390" s="6"/>
      <c r="U1390" s="6"/>
      <c r="V1390" s="6"/>
      <c r="W1390" s="6"/>
      <c r="X1390" s="6"/>
      <c r="Y1390" s="6"/>
      <c r="Z1390" s="6"/>
      <c r="AA1390" s="6"/>
      <c r="AB1390" s="6"/>
      <c r="AC1390" s="6"/>
      <c r="AD1390" s="6"/>
      <c r="AE1390" s="6"/>
      <c r="AF1390" s="6"/>
      <c r="AG1390" s="6"/>
      <c r="AH1390" s="6"/>
      <c r="AI1390" s="6"/>
      <c r="AJ1390" s="6"/>
      <c r="AK1390" s="6"/>
      <c r="AL1390" s="6"/>
      <c r="AM1390" s="6"/>
      <c r="AN1390" s="6"/>
      <c r="AO1390" s="6"/>
      <c r="AP1390" s="6"/>
      <c r="AQ1390" s="6"/>
      <c r="AR1390" s="6"/>
      <c r="AS1390" s="6"/>
      <c r="AT1390" s="6"/>
      <c r="AU1390" s="6"/>
      <c r="AV1390" s="6"/>
      <c r="AW1390" s="6"/>
      <c r="AX1390" s="6"/>
      <c r="AY1390" s="6"/>
      <c r="AZ1390" s="6"/>
      <c r="BA1390" s="6"/>
      <c r="BB1390" s="6"/>
      <c r="BC1390" s="6"/>
      <c r="BD1390" s="6"/>
      <c r="BE1390" s="6"/>
      <c r="BF1390" s="6"/>
      <c r="BG1390" s="6"/>
      <c r="BH1390" s="6"/>
      <c r="BI1390" s="6"/>
      <c r="BJ1390" s="6"/>
      <c r="BK1390" s="6"/>
      <c r="BL1390" s="6"/>
      <c r="BM1390" s="6"/>
      <c r="BN1390" s="6"/>
      <c r="BO1390" s="6"/>
      <c r="BP1390" s="6"/>
      <c r="BQ1390" s="6"/>
      <c r="BR1390" s="6"/>
      <c r="BS1390" s="6"/>
      <c r="BT1390" s="6"/>
    </row>
    <row r="1391" spans="1:72">
      <c r="A1391" s="8" t="s">
        <v>26779</v>
      </c>
      <c r="B1391" s="11" t="s">
        <v>26785</v>
      </c>
      <c r="C1391" s="9" t="s">
        <v>138</v>
      </c>
      <c r="D1391" s="10" t="s">
        <v>26780</v>
      </c>
      <c r="E1391" s="28" t="s">
        <v>3841</v>
      </c>
      <c r="F1391" s="28" t="s">
        <v>200</v>
      </c>
      <c r="G1391" s="28" t="s">
        <v>162</v>
      </c>
      <c r="H1391" s="13">
        <v>6</v>
      </c>
      <c r="I1391" s="12" t="s">
        <v>26795</v>
      </c>
      <c r="J1391" s="12" t="s">
        <v>455</v>
      </c>
      <c r="K1391" s="12" t="s">
        <v>39054</v>
      </c>
      <c r="L1391" s="12" t="s">
        <v>37787</v>
      </c>
      <c r="M1391" s="12" t="s">
        <v>38770</v>
      </c>
      <c r="N1391" s="12" t="s">
        <v>37891</v>
      </c>
      <c r="O1391" s="12" t="s">
        <v>41127</v>
      </c>
      <c r="P1391" s="12"/>
      <c r="Q1391" s="12"/>
      <c r="R1391" s="12"/>
      <c r="S1391" s="12"/>
      <c r="T1391" s="12"/>
      <c r="U1391" s="12"/>
      <c r="V1391" s="12"/>
      <c r="W1391" s="12"/>
      <c r="X1391" s="12"/>
      <c r="Y1391" s="12"/>
      <c r="Z1391" s="12"/>
      <c r="AA1391" s="12"/>
      <c r="AB1391" s="12"/>
      <c r="AC1391" s="12"/>
      <c r="AD1391" s="12"/>
      <c r="AE1391" s="12"/>
      <c r="AF1391" s="12"/>
      <c r="AG1391" s="12"/>
      <c r="AH1391" s="12"/>
      <c r="AI1391" s="12"/>
      <c r="AJ1391" s="12"/>
      <c r="AK1391" s="12"/>
      <c r="AL1391" s="12"/>
      <c r="AM1391" s="12"/>
      <c r="AN1391" s="12"/>
      <c r="AO1391" s="12"/>
      <c r="AP1391" s="12"/>
      <c r="AQ1391" s="12"/>
      <c r="AR1391" s="12"/>
      <c r="AS1391" s="12"/>
      <c r="AT1391" s="12"/>
      <c r="AU1391" s="12"/>
      <c r="AV1391" s="12"/>
      <c r="AW1391" s="12"/>
      <c r="AX1391" s="12"/>
      <c r="AY1391" s="12"/>
      <c r="AZ1391" s="12"/>
      <c r="BA1391" s="12"/>
      <c r="BB1391" s="12"/>
      <c r="BC1391" s="12"/>
      <c r="BD1391" s="12"/>
      <c r="BE1391" s="12"/>
      <c r="BF1391" s="12"/>
      <c r="BG1391" s="12"/>
      <c r="BH1391" s="12"/>
      <c r="BI1391" s="12"/>
      <c r="BJ1391" s="12"/>
      <c r="BK1391" s="12"/>
      <c r="BL1391" s="12"/>
      <c r="BM1391" s="12"/>
      <c r="BN1391" s="12"/>
      <c r="BO1391" s="12"/>
      <c r="BP1391" s="12"/>
      <c r="BQ1391" s="12"/>
      <c r="BR1391" s="12"/>
      <c r="BS1391" s="12"/>
      <c r="BT1391" s="12"/>
    </row>
    <row r="1392" spans="1:72">
      <c r="A1392" s="2" t="s">
        <v>26798</v>
      </c>
      <c r="B1392" s="5" t="s">
        <v>26804</v>
      </c>
      <c r="C1392" s="3" t="s">
        <v>138</v>
      </c>
      <c r="D1392" s="4" t="s">
        <v>138</v>
      </c>
      <c r="E1392" s="15" t="s">
        <v>4900</v>
      </c>
      <c r="F1392" s="15" t="s">
        <v>200</v>
      </c>
      <c r="G1392" s="15" t="s">
        <v>162</v>
      </c>
      <c r="H1392" s="7">
        <v>31</v>
      </c>
      <c r="I1392" s="6" t="s">
        <v>26813</v>
      </c>
      <c r="J1392" s="6" t="s">
        <v>43689</v>
      </c>
      <c r="K1392" s="6" t="s">
        <v>44466</v>
      </c>
      <c r="L1392" s="6" t="s">
        <v>41857</v>
      </c>
      <c r="M1392" s="6" t="s">
        <v>38297</v>
      </c>
      <c r="N1392" s="6" t="s">
        <v>37795</v>
      </c>
      <c r="O1392" s="6" t="s">
        <v>38412</v>
      </c>
      <c r="P1392" s="6" t="s">
        <v>40516</v>
      </c>
      <c r="Q1392" s="6" t="s">
        <v>38708</v>
      </c>
      <c r="R1392" s="6" t="s">
        <v>38739</v>
      </c>
      <c r="S1392" s="6" t="s">
        <v>44467</v>
      </c>
      <c r="T1392" s="6" t="s">
        <v>39402</v>
      </c>
      <c r="U1392" s="6" t="s">
        <v>41134</v>
      </c>
      <c r="V1392" s="6" t="s">
        <v>37945</v>
      </c>
      <c r="W1392" s="6" t="s">
        <v>38931</v>
      </c>
      <c r="X1392" s="6" t="s">
        <v>39389</v>
      </c>
      <c r="Y1392" s="6" t="s">
        <v>38613</v>
      </c>
      <c r="Z1392" s="6" t="s">
        <v>39348</v>
      </c>
      <c r="AA1392" s="6" t="s">
        <v>40576</v>
      </c>
      <c r="AB1392" s="6" t="s">
        <v>44468</v>
      </c>
      <c r="AC1392" s="6" t="s">
        <v>38688</v>
      </c>
      <c r="AD1392" s="6" t="s">
        <v>41704</v>
      </c>
      <c r="AE1392" s="6" t="s">
        <v>41347</v>
      </c>
      <c r="AF1392" s="6" t="s">
        <v>37839</v>
      </c>
      <c r="AG1392" s="6" t="s">
        <v>44469</v>
      </c>
      <c r="AH1392" s="6" t="s">
        <v>39189</v>
      </c>
      <c r="AI1392" s="6" t="s">
        <v>44470</v>
      </c>
      <c r="AJ1392" s="6" t="s">
        <v>38001</v>
      </c>
      <c r="AK1392" s="6" t="s">
        <v>39327</v>
      </c>
      <c r="AL1392" s="6" t="s">
        <v>44471</v>
      </c>
      <c r="AM1392" s="6" t="s">
        <v>39184</v>
      </c>
      <c r="AN1392" s="6" t="s">
        <v>39086</v>
      </c>
      <c r="AO1392" s="6"/>
      <c r="AP1392" s="6"/>
      <c r="AQ1392" s="6"/>
      <c r="AR1392" s="6"/>
      <c r="AS1392" s="6"/>
      <c r="AT1392" s="6"/>
      <c r="AU1392" s="6"/>
      <c r="AV1392" s="6"/>
      <c r="AW1392" s="6"/>
      <c r="AX1392" s="6"/>
      <c r="AY1392" s="6"/>
      <c r="AZ1392" s="6"/>
      <c r="BA1392" s="6"/>
      <c r="BB1392" s="6"/>
      <c r="BC1392" s="6"/>
      <c r="BD1392" s="6"/>
      <c r="BE1392" s="6"/>
      <c r="BF1392" s="6"/>
      <c r="BG1392" s="6"/>
      <c r="BH1392" s="6"/>
      <c r="BI1392" s="6"/>
      <c r="BJ1392" s="6"/>
      <c r="BK1392" s="6"/>
      <c r="BL1392" s="6"/>
      <c r="BM1392" s="6"/>
      <c r="BN1392" s="6"/>
      <c r="BO1392" s="6"/>
      <c r="BP1392" s="6"/>
      <c r="BQ1392" s="6"/>
      <c r="BR1392" s="6"/>
      <c r="BS1392" s="6"/>
      <c r="BT1392" s="6"/>
    </row>
    <row r="1393" spans="1:72">
      <c r="A1393" s="8" t="s">
        <v>26818</v>
      </c>
      <c r="B1393" s="11" t="s">
        <v>26822</v>
      </c>
      <c r="C1393" s="9" t="s">
        <v>138</v>
      </c>
      <c r="D1393" s="10" t="s">
        <v>138</v>
      </c>
      <c r="E1393" s="28" t="s">
        <v>22871</v>
      </c>
      <c r="F1393" s="28" t="s">
        <v>138</v>
      </c>
      <c r="G1393" s="28" t="s">
        <v>946</v>
      </c>
      <c r="H1393" s="13">
        <v>2</v>
      </c>
      <c r="I1393" s="12" t="s">
        <v>26833</v>
      </c>
      <c r="J1393" s="12" t="s">
        <v>44472</v>
      </c>
      <c r="K1393" s="12" t="s">
        <v>38286</v>
      </c>
      <c r="L1393" s="12"/>
      <c r="M1393" s="12"/>
      <c r="N1393" s="12"/>
      <c r="O1393" s="12"/>
      <c r="P1393" s="12"/>
      <c r="Q1393" s="12"/>
      <c r="R1393" s="12"/>
      <c r="S1393" s="12"/>
      <c r="T1393" s="12"/>
      <c r="U1393" s="12"/>
      <c r="V1393" s="12"/>
      <c r="W1393" s="12"/>
      <c r="X1393" s="12"/>
      <c r="Y1393" s="12"/>
      <c r="Z1393" s="12"/>
      <c r="AA1393" s="12"/>
      <c r="AB1393" s="12"/>
      <c r="AC1393" s="12"/>
      <c r="AD1393" s="12"/>
      <c r="AE1393" s="12"/>
      <c r="AF1393" s="12"/>
      <c r="AG1393" s="12"/>
      <c r="AH1393" s="12"/>
      <c r="AI1393" s="12"/>
      <c r="AJ1393" s="12"/>
      <c r="AK1393" s="12"/>
      <c r="AL1393" s="12"/>
      <c r="AM1393" s="12"/>
      <c r="AN1393" s="12"/>
      <c r="AO1393" s="12"/>
      <c r="AP1393" s="12"/>
      <c r="AQ1393" s="12"/>
      <c r="AR1393" s="12"/>
      <c r="AS1393" s="12"/>
      <c r="AT1393" s="12"/>
      <c r="AU1393" s="12"/>
      <c r="AV1393" s="12"/>
      <c r="AW1393" s="12"/>
      <c r="AX1393" s="12"/>
      <c r="AY1393" s="12"/>
      <c r="AZ1393" s="12"/>
      <c r="BA1393" s="12"/>
      <c r="BB1393" s="12"/>
      <c r="BC1393" s="12"/>
      <c r="BD1393" s="12"/>
      <c r="BE1393" s="12"/>
      <c r="BF1393" s="12"/>
      <c r="BG1393" s="12"/>
      <c r="BH1393" s="12"/>
      <c r="BI1393" s="12"/>
      <c r="BJ1393" s="12"/>
      <c r="BK1393" s="12"/>
      <c r="BL1393" s="12"/>
      <c r="BM1393" s="12"/>
      <c r="BN1393" s="12"/>
      <c r="BO1393" s="12"/>
      <c r="BP1393" s="12"/>
      <c r="BQ1393" s="12"/>
      <c r="BR1393" s="12"/>
      <c r="BS1393" s="12"/>
      <c r="BT1393" s="12"/>
    </row>
    <row r="1394" spans="1:72">
      <c r="A1394" s="2" t="s">
        <v>26837</v>
      </c>
      <c r="B1394" s="5" t="s">
        <v>26840</v>
      </c>
      <c r="C1394" s="3" t="s">
        <v>138</v>
      </c>
      <c r="D1394" s="4" t="s">
        <v>138</v>
      </c>
      <c r="E1394" s="15" t="s">
        <v>7217</v>
      </c>
      <c r="F1394" s="15" t="s">
        <v>200</v>
      </c>
      <c r="G1394" s="15" t="s">
        <v>162</v>
      </c>
      <c r="H1394" s="7">
        <v>8</v>
      </c>
      <c r="I1394" s="6" t="s">
        <v>26848</v>
      </c>
      <c r="J1394" s="6" t="s">
        <v>44473</v>
      </c>
      <c r="K1394" s="6" t="s">
        <v>44474</v>
      </c>
      <c r="L1394" s="6" t="s">
        <v>39778</v>
      </c>
      <c r="M1394" s="6" t="s">
        <v>44475</v>
      </c>
      <c r="N1394" s="6" t="s">
        <v>44476</v>
      </c>
      <c r="O1394" s="6" t="s">
        <v>37923</v>
      </c>
      <c r="P1394" s="6" t="s">
        <v>38816</v>
      </c>
      <c r="Q1394" s="6" t="s">
        <v>40938</v>
      </c>
      <c r="R1394" s="6"/>
      <c r="S1394" s="6"/>
      <c r="T1394" s="6"/>
      <c r="U1394" s="6"/>
      <c r="V1394" s="6"/>
      <c r="W1394" s="6"/>
      <c r="X1394" s="6"/>
      <c r="Y1394" s="6"/>
      <c r="Z1394" s="6"/>
      <c r="AA1394" s="6"/>
      <c r="AB1394" s="6"/>
      <c r="AC1394" s="6"/>
      <c r="AD1394" s="6"/>
      <c r="AE1394" s="6"/>
      <c r="AF1394" s="6"/>
      <c r="AG1394" s="6"/>
      <c r="AH1394" s="6"/>
      <c r="AI1394" s="6"/>
      <c r="AJ1394" s="6"/>
      <c r="AK1394" s="6"/>
      <c r="AL1394" s="6"/>
      <c r="AM1394" s="6"/>
      <c r="AN1394" s="6"/>
      <c r="AO1394" s="6"/>
      <c r="AP1394" s="6"/>
      <c r="AQ1394" s="6"/>
      <c r="AR1394" s="6"/>
      <c r="AS1394" s="6"/>
      <c r="AT1394" s="6"/>
      <c r="AU1394" s="6"/>
      <c r="AV1394" s="6"/>
      <c r="AW1394" s="6"/>
      <c r="AX1394" s="6"/>
      <c r="AY1394" s="6"/>
      <c r="AZ1394" s="6"/>
      <c r="BA1394" s="6"/>
      <c r="BB1394" s="6"/>
      <c r="BC1394" s="6"/>
      <c r="BD1394" s="6"/>
      <c r="BE1394" s="6"/>
      <c r="BF1394" s="6"/>
      <c r="BG1394" s="6"/>
      <c r="BH1394" s="6"/>
      <c r="BI1394" s="6"/>
      <c r="BJ1394" s="6"/>
      <c r="BK1394" s="6"/>
      <c r="BL1394" s="6"/>
      <c r="BM1394" s="6"/>
      <c r="BN1394" s="6"/>
      <c r="BO1394" s="6"/>
      <c r="BP1394" s="6"/>
      <c r="BQ1394" s="6"/>
      <c r="BR1394" s="6"/>
      <c r="BS1394" s="6"/>
      <c r="BT1394" s="6"/>
    </row>
    <row r="1395" spans="1:72">
      <c r="A1395" s="8" t="s">
        <v>26851</v>
      </c>
      <c r="B1395" s="11" t="s">
        <v>26855</v>
      </c>
      <c r="C1395" s="9" t="s">
        <v>138</v>
      </c>
      <c r="D1395" s="10" t="s">
        <v>138</v>
      </c>
      <c r="E1395" s="28" t="s">
        <v>9684</v>
      </c>
      <c r="F1395" s="28" t="s">
        <v>138</v>
      </c>
      <c r="G1395" s="28" t="s">
        <v>9686</v>
      </c>
      <c r="H1395" s="13">
        <v>4</v>
      </c>
      <c r="I1395" s="12" t="s">
        <v>26862</v>
      </c>
      <c r="J1395" s="12" t="s">
        <v>44477</v>
      </c>
      <c r="K1395" s="12" t="s">
        <v>44478</v>
      </c>
      <c r="L1395" s="12" t="s">
        <v>41655</v>
      </c>
      <c r="M1395" s="12" t="s">
        <v>40730</v>
      </c>
      <c r="N1395" s="12"/>
      <c r="O1395" s="12"/>
      <c r="P1395" s="12"/>
      <c r="Q1395" s="12"/>
      <c r="R1395" s="12"/>
      <c r="S1395" s="12"/>
      <c r="T1395" s="12"/>
      <c r="U1395" s="12"/>
      <c r="V1395" s="12"/>
      <c r="W1395" s="12"/>
      <c r="X1395" s="12"/>
      <c r="Y1395" s="12"/>
      <c r="Z1395" s="12"/>
      <c r="AA1395" s="12"/>
      <c r="AB1395" s="12"/>
      <c r="AC1395" s="12"/>
      <c r="AD1395" s="12"/>
      <c r="AE1395" s="12"/>
      <c r="AF1395" s="12"/>
      <c r="AG1395" s="12"/>
      <c r="AH1395" s="12"/>
      <c r="AI1395" s="12"/>
      <c r="AJ1395" s="12"/>
      <c r="AK1395" s="12"/>
      <c r="AL1395" s="12"/>
      <c r="AM1395" s="12"/>
      <c r="AN1395" s="12"/>
      <c r="AO1395" s="12"/>
      <c r="AP1395" s="12"/>
      <c r="AQ1395" s="12"/>
      <c r="AR1395" s="12"/>
      <c r="AS1395" s="12"/>
      <c r="AT1395" s="12"/>
      <c r="AU1395" s="12"/>
      <c r="AV1395" s="12"/>
      <c r="AW1395" s="12"/>
      <c r="AX1395" s="12"/>
      <c r="AY1395" s="12"/>
      <c r="AZ1395" s="12"/>
      <c r="BA1395" s="12"/>
      <c r="BB1395" s="12"/>
      <c r="BC1395" s="12"/>
      <c r="BD1395" s="12"/>
      <c r="BE1395" s="12"/>
      <c r="BF1395" s="12"/>
      <c r="BG1395" s="12"/>
      <c r="BH1395" s="12"/>
      <c r="BI1395" s="12"/>
      <c r="BJ1395" s="12"/>
      <c r="BK1395" s="12"/>
      <c r="BL1395" s="12"/>
      <c r="BM1395" s="12"/>
      <c r="BN1395" s="12"/>
      <c r="BO1395" s="12"/>
      <c r="BP1395" s="12"/>
      <c r="BQ1395" s="12"/>
      <c r="BR1395" s="12"/>
      <c r="BS1395" s="12"/>
      <c r="BT1395" s="12"/>
    </row>
    <row r="1396" spans="1:72">
      <c r="A1396" s="2" t="s">
        <v>26865</v>
      </c>
      <c r="B1396" s="5" t="s">
        <v>26869</v>
      </c>
      <c r="C1396" s="3" t="s">
        <v>138</v>
      </c>
      <c r="D1396" s="4" t="s">
        <v>138</v>
      </c>
      <c r="E1396" s="15" t="s">
        <v>26878</v>
      </c>
      <c r="F1396" s="15" t="s">
        <v>138</v>
      </c>
      <c r="G1396" s="15" t="s">
        <v>573</v>
      </c>
      <c r="H1396" s="7">
        <v>5</v>
      </c>
      <c r="I1396" s="6" t="s">
        <v>26881</v>
      </c>
      <c r="J1396" s="6" t="s">
        <v>44479</v>
      </c>
      <c r="K1396" s="6" t="s">
        <v>44480</v>
      </c>
      <c r="L1396" s="6" t="s">
        <v>44481</v>
      </c>
      <c r="M1396" s="6" t="s">
        <v>44482</v>
      </c>
      <c r="N1396" s="6" t="s">
        <v>44483</v>
      </c>
      <c r="O1396" s="6"/>
      <c r="P1396" s="6"/>
      <c r="Q1396" s="6"/>
      <c r="R1396" s="6"/>
      <c r="S1396" s="6"/>
      <c r="T1396" s="6"/>
      <c r="U1396" s="6"/>
      <c r="V1396" s="6"/>
      <c r="W1396" s="6"/>
      <c r="X1396" s="6"/>
      <c r="Y1396" s="6"/>
      <c r="Z1396" s="6"/>
      <c r="AA1396" s="6"/>
      <c r="AB1396" s="6"/>
      <c r="AC1396" s="6"/>
      <c r="AD1396" s="6"/>
      <c r="AE1396" s="6"/>
      <c r="AF1396" s="6"/>
      <c r="AG1396" s="6"/>
      <c r="AH1396" s="6"/>
      <c r="AI1396" s="6"/>
      <c r="AJ1396" s="6"/>
      <c r="AK1396" s="6"/>
      <c r="AL1396" s="6"/>
      <c r="AM1396" s="6"/>
      <c r="AN1396" s="6"/>
      <c r="AO1396" s="6"/>
      <c r="AP1396" s="6"/>
      <c r="AQ1396" s="6"/>
      <c r="AR1396" s="6"/>
      <c r="AS1396" s="6"/>
      <c r="AT1396" s="6"/>
      <c r="AU1396" s="6"/>
      <c r="AV1396" s="6"/>
      <c r="AW1396" s="6"/>
      <c r="AX1396" s="6"/>
      <c r="AY1396" s="6"/>
      <c r="AZ1396" s="6"/>
      <c r="BA1396" s="6"/>
      <c r="BB1396" s="6"/>
      <c r="BC1396" s="6"/>
      <c r="BD1396" s="6"/>
      <c r="BE1396" s="6"/>
      <c r="BF1396" s="6"/>
      <c r="BG1396" s="6"/>
      <c r="BH1396" s="6"/>
      <c r="BI1396" s="6"/>
      <c r="BJ1396" s="6"/>
      <c r="BK1396" s="6"/>
      <c r="BL1396" s="6"/>
      <c r="BM1396" s="6"/>
      <c r="BN1396" s="6"/>
      <c r="BO1396" s="6"/>
      <c r="BP1396" s="6"/>
      <c r="BQ1396" s="6"/>
      <c r="BR1396" s="6"/>
      <c r="BS1396" s="6"/>
      <c r="BT1396" s="6"/>
    </row>
    <row r="1397" spans="1:72">
      <c r="A1397" s="8" t="s">
        <v>26888</v>
      </c>
      <c r="B1397" s="11" t="s">
        <v>26892</v>
      </c>
      <c r="C1397" s="9" t="s">
        <v>138</v>
      </c>
      <c r="D1397" s="10" t="s">
        <v>138</v>
      </c>
      <c r="E1397" s="28" t="s">
        <v>284</v>
      </c>
      <c r="F1397" s="28" t="s">
        <v>2822</v>
      </c>
      <c r="G1397" s="28" t="s">
        <v>162</v>
      </c>
      <c r="H1397" s="13">
        <v>5</v>
      </c>
      <c r="I1397" s="12" t="s">
        <v>26901</v>
      </c>
      <c r="J1397" s="12" t="s">
        <v>44484</v>
      </c>
      <c r="K1397" s="12" t="s">
        <v>39181</v>
      </c>
      <c r="L1397" s="12" t="s">
        <v>44485</v>
      </c>
      <c r="M1397" s="12" t="s">
        <v>44486</v>
      </c>
      <c r="N1397" s="12" t="s">
        <v>44487</v>
      </c>
      <c r="O1397" s="12"/>
      <c r="P1397" s="12"/>
      <c r="Q1397" s="12"/>
      <c r="R1397" s="12"/>
      <c r="S1397" s="12"/>
      <c r="T1397" s="12"/>
      <c r="U1397" s="12"/>
      <c r="V1397" s="12"/>
      <c r="W1397" s="12"/>
      <c r="X1397" s="12"/>
      <c r="Y1397" s="12"/>
      <c r="Z1397" s="12"/>
      <c r="AA1397" s="12"/>
      <c r="AB1397" s="12"/>
      <c r="AC1397" s="12"/>
      <c r="AD1397" s="12"/>
      <c r="AE1397" s="12"/>
      <c r="AF1397" s="12"/>
      <c r="AG1397" s="12"/>
      <c r="AH1397" s="12"/>
      <c r="AI1397" s="12"/>
      <c r="AJ1397" s="12"/>
      <c r="AK1397" s="12"/>
      <c r="AL1397" s="12"/>
      <c r="AM1397" s="12"/>
      <c r="AN1397" s="12"/>
      <c r="AO1397" s="12"/>
      <c r="AP1397" s="12"/>
      <c r="AQ1397" s="12"/>
      <c r="AR1397" s="12"/>
      <c r="AS1397" s="12"/>
      <c r="AT1397" s="12"/>
      <c r="AU1397" s="12"/>
      <c r="AV1397" s="12"/>
      <c r="AW1397" s="12"/>
      <c r="AX1397" s="12"/>
      <c r="AY1397" s="12"/>
      <c r="AZ1397" s="12"/>
      <c r="BA1397" s="12"/>
      <c r="BB1397" s="12"/>
      <c r="BC1397" s="12"/>
      <c r="BD1397" s="12"/>
      <c r="BE1397" s="12"/>
      <c r="BF1397" s="12"/>
      <c r="BG1397" s="12"/>
      <c r="BH1397" s="12"/>
      <c r="BI1397" s="12"/>
      <c r="BJ1397" s="12"/>
      <c r="BK1397" s="12"/>
      <c r="BL1397" s="12"/>
      <c r="BM1397" s="12"/>
      <c r="BN1397" s="12"/>
      <c r="BO1397" s="12"/>
      <c r="BP1397" s="12"/>
      <c r="BQ1397" s="12"/>
      <c r="BR1397" s="12"/>
      <c r="BS1397" s="12"/>
      <c r="BT1397" s="12"/>
    </row>
    <row r="1398" spans="1:72">
      <c r="A1398" s="2" t="s">
        <v>26904</v>
      </c>
      <c r="B1398" s="5" t="s">
        <v>26909</v>
      </c>
      <c r="C1398" s="3" t="s">
        <v>138</v>
      </c>
      <c r="D1398" s="4" t="s">
        <v>138</v>
      </c>
      <c r="E1398" s="15" t="s">
        <v>26917</v>
      </c>
      <c r="F1398" s="15" t="s">
        <v>138</v>
      </c>
      <c r="G1398" s="15" t="s">
        <v>946</v>
      </c>
      <c r="H1398" s="7">
        <v>10</v>
      </c>
      <c r="I1398" s="6" t="s">
        <v>26922</v>
      </c>
      <c r="J1398" s="6" t="s">
        <v>44488</v>
      </c>
      <c r="K1398" s="6" t="s">
        <v>44489</v>
      </c>
      <c r="L1398" s="6" t="s">
        <v>37795</v>
      </c>
      <c r="M1398" s="6" t="s">
        <v>44490</v>
      </c>
      <c r="N1398" s="6" t="s">
        <v>44491</v>
      </c>
      <c r="O1398" s="6" t="s">
        <v>42154</v>
      </c>
      <c r="P1398" s="6" t="s">
        <v>38889</v>
      </c>
      <c r="Q1398" s="6" t="s">
        <v>44492</v>
      </c>
      <c r="R1398" s="6" t="s">
        <v>44493</v>
      </c>
      <c r="S1398" s="6" t="s">
        <v>39754</v>
      </c>
      <c r="T1398" s="6"/>
      <c r="U1398" s="6"/>
      <c r="V1398" s="6"/>
      <c r="W1398" s="6"/>
      <c r="X1398" s="6"/>
      <c r="Y1398" s="6"/>
      <c r="Z1398" s="6"/>
      <c r="AA1398" s="6"/>
      <c r="AB1398" s="6"/>
      <c r="AC1398" s="6"/>
      <c r="AD1398" s="6"/>
      <c r="AE1398" s="6"/>
      <c r="AF1398" s="6"/>
      <c r="AG1398" s="6"/>
      <c r="AH1398" s="6"/>
      <c r="AI1398" s="6"/>
      <c r="AJ1398" s="6"/>
      <c r="AK1398" s="6"/>
      <c r="AL1398" s="6"/>
      <c r="AM1398" s="6"/>
      <c r="AN1398" s="6"/>
      <c r="AO1398" s="6"/>
      <c r="AP1398" s="6"/>
      <c r="AQ1398" s="6"/>
      <c r="AR1398" s="6"/>
      <c r="AS1398" s="6"/>
      <c r="AT1398" s="6"/>
      <c r="AU1398" s="6"/>
      <c r="AV1398" s="6"/>
      <c r="AW1398" s="6"/>
      <c r="AX1398" s="6"/>
      <c r="AY1398" s="6"/>
      <c r="AZ1398" s="6"/>
      <c r="BA1398" s="6"/>
      <c r="BB1398" s="6"/>
      <c r="BC1398" s="6"/>
      <c r="BD1398" s="6"/>
      <c r="BE1398" s="6"/>
      <c r="BF1398" s="6"/>
      <c r="BG1398" s="6"/>
      <c r="BH1398" s="6"/>
      <c r="BI1398" s="6"/>
      <c r="BJ1398" s="6"/>
      <c r="BK1398" s="6"/>
      <c r="BL1398" s="6"/>
      <c r="BM1398" s="6"/>
      <c r="BN1398" s="6"/>
      <c r="BO1398" s="6"/>
      <c r="BP1398" s="6"/>
      <c r="BQ1398" s="6"/>
      <c r="BR1398" s="6"/>
      <c r="BS1398" s="6"/>
      <c r="BT1398" s="6"/>
    </row>
    <row r="1399" spans="1:72">
      <c r="A1399" s="8" t="s">
        <v>26926</v>
      </c>
      <c r="B1399" s="11" t="s">
        <v>26930</v>
      </c>
      <c r="C1399" s="9" t="s">
        <v>138</v>
      </c>
      <c r="D1399" s="10" t="s">
        <v>138</v>
      </c>
      <c r="E1399" s="28" t="s">
        <v>26937</v>
      </c>
      <c r="F1399" s="28" t="s">
        <v>138</v>
      </c>
      <c r="G1399" s="28" t="s">
        <v>946</v>
      </c>
      <c r="H1399" s="13">
        <v>3</v>
      </c>
      <c r="I1399" s="12" t="s">
        <v>26942</v>
      </c>
      <c r="J1399" s="12" t="s">
        <v>15045</v>
      </c>
      <c r="K1399" s="12" t="s">
        <v>38889</v>
      </c>
      <c r="L1399" s="12" t="s">
        <v>44494</v>
      </c>
      <c r="M1399" s="12"/>
      <c r="N1399" s="12"/>
      <c r="O1399" s="12"/>
      <c r="P1399" s="12"/>
      <c r="Q1399" s="12"/>
      <c r="R1399" s="12"/>
      <c r="S1399" s="12"/>
      <c r="T1399" s="12"/>
      <c r="U1399" s="12"/>
      <c r="V1399" s="12"/>
      <c r="W1399" s="12"/>
      <c r="X1399" s="12"/>
      <c r="Y1399" s="12"/>
      <c r="Z1399" s="12"/>
      <c r="AA1399" s="12"/>
      <c r="AB1399" s="12"/>
      <c r="AC1399" s="12"/>
      <c r="AD1399" s="12"/>
      <c r="AE1399" s="12"/>
      <c r="AF1399" s="12"/>
      <c r="AG1399" s="12"/>
      <c r="AH1399" s="12"/>
      <c r="AI1399" s="12"/>
      <c r="AJ1399" s="12"/>
      <c r="AK1399" s="12"/>
      <c r="AL1399" s="12"/>
      <c r="AM1399" s="12"/>
      <c r="AN1399" s="12"/>
      <c r="AO1399" s="12"/>
      <c r="AP1399" s="12"/>
      <c r="AQ1399" s="12"/>
      <c r="AR1399" s="12"/>
      <c r="AS1399" s="12"/>
      <c r="AT1399" s="12"/>
      <c r="AU1399" s="12"/>
      <c r="AV1399" s="12"/>
      <c r="AW1399" s="12"/>
      <c r="AX1399" s="12"/>
      <c r="AY1399" s="12"/>
      <c r="AZ1399" s="12"/>
      <c r="BA1399" s="12"/>
      <c r="BB1399" s="12"/>
      <c r="BC1399" s="12"/>
      <c r="BD1399" s="12"/>
      <c r="BE1399" s="12"/>
      <c r="BF1399" s="12"/>
      <c r="BG1399" s="12"/>
      <c r="BH1399" s="12"/>
      <c r="BI1399" s="12"/>
      <c r="BJ1399" s="12"/>
      <c r="BK1399" s="12"/>
      <c r="BL1399" s="12"/>
      <c r="BM1399" s="12"/>
      <c r="BN1399" s="12"/>
      <c r="BO1399" s="12"/>
      <c r="BP1399" s="12"/>
      <c r="BQ1399" s="12"/>
      <c r="BR1399" s="12"/>
      <c r="BS1399" s="12"/>
      <c r="BT1399" s="12"/>
    </row>
    <row r="1400" spans="1:72">
      <c r="A1400" s="2" t="s">
        <v>26945</v>
      </c>
      <c r="B1400" s="5" t="s">
        <v>26949</v>
      </c>
      <c r="C1400" s="3" t="s">
        <v>138</v>
      </c>
      <c r="D1400" s="4" t="s">
        <v>138</v>
      </c>
      <c r="E1400" s="15" t="s">
        <v>426</v>
      </c>
      <c r="F1400" s="15" t="s">
        <v>426</v>
      </c>
      <c r="G1400" s="15" t="s">
        <v>162</v>
      </c>
      <c r="H1400" s="7">
        <v>3</v>
      </c>
      <c r="I1400" s="6" t="s">
        <v>26958</v>
      </c>
      <c r="J1400" s="6" t="s">
        <v>43444</v>
      </c>
      <c r="K1400" s="6" t="s">
        <v>40415</v>
      </c>
      <c r="L1400" s="6" t="s">
        <v>38980</v>
      </c>
      <c r="M1400" s="6"/>
      <c r="N1400" s="6"/>
      <c r="O1400" s="6"/>
      <c r="P1400" s="6"/>
      <c r="Q1400" s="6"/>
      <c r="R1400" s="6"/>
      <c r="S1400" s="6"/>
      <c r="T1400" s="6"/>
      <c r="U1400" s="6"/>
      <c r="V1400" s="6"/>
      <c r="W1400" s="6"/>
      <c r="X1400" s="6"/>
      <c r="Y1400" s="6"/>
      <c r="Z1400" s="6"/>
      <c r="AA1400" s="6"/>
      <c r="AB1400" s="6"/>
      <c r="AC1400" s="6"/>
      <c r="AD1400" s="6"/>
      <c r="AE1400" s="6"/>
      <c r="AF1400" s="6"/>
      <c r="AG1400" s="6"/>
      <c r="AH1400" s="6"/>
      <c r="AI1400" s="6"/>
      <c r="AJ1400" s="6"/>
      <c r="AK1400" s="6"/>
      <c r="AL1400" s="6"/>
      <c r="AM1400" s="6"/>
      <c r="AN1400" s="6"/>
      <c r="AO1400" s="6"/>
      <c r="AP1400" s="6"/>
      <c r="AQ1400" s="6"/>
      <c r="AR1400" s="6"/>
      <c r="AS1400" s="6"/>
      <c r="AT1400" s="6"/>
      <c r="AU1400" s="6"/>
      <c r="AV1400" s="6"/>
      <c r="AW1400" s="6"/>
      <c r="AX1400" s="6"/>
      <c r="AY1400" s="6"/>
      <c r="AZ1400" s="6"/>
      <c r="BA1400" s="6"/>
      <c r="BB1400" s="6"/>
      <c r="BC1400" s="6"/>
      <c r="BD1400" s="6"/>
      <c r="BE1400" s="6"/>
      <c r="BF1400" s="6"/>
      <c r="BG1400" s="6"/>
      <c r="BH1400" s="6"/>
      <c r="BI1400" s="6"/>
      <c r="BJ1400" s="6"/>
      <c r="BK1400" s="6"/>
      <c r="BL1400" s="6"/>
      <c r="BM1400" s="6"/>
      <c r="BN1400" s="6"/>
      <c r="BO1400" s="6"/>
      <c r="BP1400" s="6"/>
      <c r="BQ1400" s="6"/>
      <c r="BR1400" s="6"/>
      <c r="BS1400" s="6"/>
      <c r="BT1400" s="6"/>
    </row>
    <row r="1401" spans="1:72">
      <c r="A1401" s="8" t="s">
        <v>26961</v>
      </c>
      <c r="B1401" s="11" t="s">
        <v>26965</v>
      </c>
      <c r="C1401" s="9" t="s">
        <v>138</v>
      </c>
      <c r="D1401" s="10" t="s">
        <v>138</v>
      </c>
      <c r="E1401" s="28" t="s">
        <v>310</v>
      </c>
      <c r="F1401" s="28" t="s">
        <v>200</v>
      </c>
      <c r="G1401" s="28" t="s">
        <v>162</v>
      </c>
      <c r="H1401" s="13">
        <v>5</v>
      </c>
      <c r="I1401" s="12" t="s">
        <v>26977</v>
      </c>
      <c r="J1401" s="12" t="s">
        <v>25820</v>
      </c>
      <c r="K1401" s="12" t="s">
        <v>42804</v>
      </c>
      <c r="L1401" s="12" t="s">
        <v>39804</v>
      </c>
      <c r="M1401" s="12" t="s">
        <v>40968</v>
      </c>
      <c r="N1401" s="12" t="s">
        <v>38804</v>
      </c>
      <c r="O1401" s="12"/>
      <c r="P1401" s="12"/>
      <c r="Q1401" s="12"/>
      <c r="R1401" s="12"/>
      <c r="S1401" s="12"/>
      <c r="T1401" s="12"/>
      <c r="U1401" s="12"/>
      <c r="V1401" s="12"/>
      <c r="W1401" s="12"/>
      <c r="X1401" s="12"/>
      <c r="Y1401" s="12"/>
      <c r="Z1401" s="12"/>
      <c r="AA1401" s="12"/>
      <c r="AB1401" s="12"/>
      <c r="AC1401" s="12"/>
      <c r="AD1401" s="12"/>
      <c r="AE1401" s="12"/>
      <c r="AF1401" s="12"/>
      <c r="AG1401" s="12"/>
      <c r="AH1401" s="12"/>
      <c r="AI1401" s="12"/>
      <c r="AJ1401" s="12"/>
      <c r="AK1401" s="12"/>
      <c r="AL1401" s="12"/>
      <c r="AM1401" s="12"/>
      <c r="AN1401" s="12"/>
      <c r="AO1401" s="12"/>
      <c r="AP1401" s="12"/>
      <c r="AQ1401" s="12"/>
      <c r="AR1401" s="12"/>
      <c r="AS1401" s="12"/>
      <c r="AT1401" s="12"/>
      <c r="AU1401" s="12"/>
      <c r="AV1401" s="12"/>
      <c r="AW1401" s="12"/>
      <c r="AX1401" s="12"/>
      <c r="AY1401" s="12"/>
      <c r="AZ1401" s="12"/>
      <c r="BA1401" s="12"/>
      <c r="BB1401" s="12"/>
      <c r="BC1401" s="12"/>
      <c r="BD1401" s="12"/>
      <c r="BE1401" s="12"/>
      <c r="BF1401" s="12"/>
      <c r="BG1401" s="12"/>
      <c r="BH1401" s="12"/>
      <c r="BI1401" s="12"/>
      <c r="BJ1401" s="12"/>
      <c r="BK1401" s="12"/>
      <c r="BL1401" s="12"/>
      <c r="BM1401" s="12"/>
      <c r="BN1401" s="12"/>
      <c r="BO1401" s="12"/>
      <c r="BP1401" s="12"/>
      <c r="BQ1401" s="12"/>
      <c r="BR1401" s="12"/>
      <c r="BS1401" s="12"/>
      <c r="BT1401" s="12"/>
    </row>
    <row r="1402" spans="1:72">
      <c r="A1402" s="2" t="s">
        <v>26980</v>
      </c>
      <c r="B1402" s="5" t="s">
        <v>26984</v>
      </c>
      <c r="C1402" s="3" t="s">
        <v>138</v>
      </c>
      <c r="D1402" s="4" t="s">
        <v>138</v>
      </c>
      <c r="E1402" s="15" t="s">
        <v>5382</v>
      </c>
      <c r="F1402" s="15" t="s">
        <v>200</v>
      </c>
      <c r="G1402" s="15" t="s">
        <v>162</v>
      </c>
      <c r="H1402" s="7">
        <v>4</v>
      </c>
      <c r="I1402" s="6" t="s">
        <v>26991</v>
      </c>
      <c r="J1402" s="6" t="s">
        <v>44495</v>
      </c>
      <c r="K1402" s="6" t="s">
        <v>44496</v>
      </c>
      <c r="L1402" s="6" t="s">
        <v>38200</v>
      </c>
      <c r="M1402" s="6" t="s">
        <v>39643</v>
      </c>
      <c r="N1402" s="6"/>
      <c r="O1402" s="6"/>
      <c r="P1402" s="6"/>
      <c r="Q1402" s="6"/>
      <c r="R1402" s="6"/>
      <c r="S1402" s="6"/>
      <c r="T1402" s="6"/>
      <c r="U1402" s="6"/>
      <c r="V1402" s="6"/>
      <c r="W1402" s="6"/>
      <c r="X1402" s="6"/>
      <c r="Y1402" s="6"/>
      <c r="Z1402" s="6"/>
      <c r="AA1402" s="6"/>
      <c r="AB1402" s="6"/>
      <c r="AC1402" s="6"/>
      <c r="AD1402" s="6"/>
      <c r="AE1402" s="6"/>
      <c r="AF1402" s="6"/>
      <c r="AG1402" s="6"/>
      <c r="AH1402" s="6"/>
      <c r="AI1402" s="6"/>
      <c r="AJ1402" s="6"/>
      <c r="AK1402" s="6"/>
      <c r="AL1402" s="6"/>
      <c r="AM1402" s="6"/>
      <c r="AN1402" s="6"/>
      <c r="AO1402" s="6"/>
      <c r="AP1402" s="6"/>
      <c r="AQ1402" s="6"/>
      <c r="AR1402" s="6"/>
      <c r="AS1402" s="6"/>
      <c r="AT1402" s="6"/>
      <c r="AU1402" s="6"/>
      <c r="AV1402" s="6"/>
      <c r="AW1402" s="6"/>
      <c r="AX1402" s="6"/>
      <c r="AY1402" s="6"/>
      <c r="AZ1402" s="6"/>
      <c r="BA1402" s="6"/>
      <c r="BB1402" s="6"/>
      <c r="BC1402" s="6"/>
      <c r="BD1402" s="6"/>
      <c r="BE1402" s="6"/>
      <c r="BF1402" s="6"/>
      <c r="BG1402" s="6"/>
      <c r="BH1402" s="6"/>
      <c r="BI1402" s="6"/>
      <c r="BJ1402" s="6"/>
      <c r="BK1402" s="6"/>
      <c r="BL1402" s="6"/>
      <c r="BM1402" s="6"/>
      <c r="BN1402" s="6"/>
      <c r="BO1402" s="6"/>
      <c r="BP1402" s="6"/>
      <c r="BQ1402" s="6"/>
      <c r="BR1402" s="6"/>
      <c r="BS1402" s="6"/>
      <c r="BT1402" s="6"/>
    </row>
    <row r="1403" spans="1:72">
      <c r="A1403" s="8" t="s">
        <v>26994</v>
      </c>
      <c r="B1403" s="11" t="s">
        <v>26999</v>
      </c>
      <c r="C1403" s="9" t="s">
        <v>26995</v>
      </c>
      <c r="D1403" s="10" t="s">
        <v>138</v>
      </c>
      <c r="E1403" s="28" t="s">
        <v>27010</v>
      </c>
      <c r="F1403" s="28" t="s">
        <v>138</v>
      </c>
      <c r="G1403" s="28" t="s">
        <v>740</v>
      </c>
      <c r="H1403" s="13">
        <v>12</v>
      </c>
      <c r="I1403" s="12" t="s">
        <v>27015</v>
      </c>
      <c r="J1403" s="12" t="s">
        <v>44497</v>
      </c>
      <c r="K1403" s="12" t="s">
        <v>44498</v>
      </c>
      <c r="L1403" s="12" t="s">
        <v>44499</v>
      </c>
      <c r="M1403" s="12" t="s">
        <v>38299</v>
      </c>
      <c r="N1403" s="12" t="s">
        <v>37819</v>
      </c>
      <c r="O1403" s="12" t="s">
        <v>44406</v>
      </c>
      <c r="P1403" s="12" t="s">
        <v>44500</v>
      </c>
      <c r="Q1403" s="12" t="s">
        <v>37787</v>
      </c>
      <c r="R1403" s="12" t="s">
        <v>44501</v>
      </c>
      <c r="S1403" s="12" t="s">
        <v>37824</v>
      </c>
      <c r="T1403" s="12" t="s">
        <v>44502</v>
      </c>
      <c r="U1403" s="12" t="s">
        <v>38401</v>
      </c>
      <c r="V1403" s="12"/>
      <c r="W1403" s="12"/>
      <c r="X1403" s="12"/>
      <c r="Y1403" s="12"/>
      <c r="Z1403" s="12"/>
      <c r="AA1403" s="12"/>
      <c r="AB1403" s="12"/>
      <c r="AC1403" s="12"/>
      <c r="AD1403" s="12"/>
      <c r="AE1403" s="12"/>
      <c r="AF1403" s="12"/>
      <c r="AG1403" s="12"/>
      <c r="AH1403" s="12"/>
      <c r="AI1403" s="12"/>
      <c r="AJ1403" s="12"/>
      <c r="AK1403" s="12"/>
      <c r="AL1403" s="12"/>
      <c r="AM1403" s="12"/>
      <c r="AN1403" s="12"/>
      <c r="AO1403" s="12"/>
      <c r="AP1403" s="12"/>
      <c r="AQ1403" s="12"/>
      <c r="AR1403" s="12"/>
      <c r="AS1403" s="12"/>
      <c r="AT1403" s="12"/>
      <c r="AU1403" s="12"/>
      <c r="AV1403" s="12"/>
      <c r="AW1403" s="12"/>
      <c r="AX1403" s="12"/>
      <c r="AY1403" s="12"/>
      <c r="AZ1403" s="12"/>
      <c r="BA1403" s="12"/>
      <c r="BB1403" s="12"/>
      <c r="BC1403" s="12"/>
      <c r="BD1403" s="12"/>
      <c r="BE1403" s="12"/>
      <c r="BF1403" s="12"/>
      <c r="BG1403" s="12"/>
      <c r="BH1403" s="12"/>
      <c r="BI1403" s="12"/>
      <c r="BJ1403" s="12"/>
      <c r="BK1403" s="12"/>
      <c r="BL1403" s="12"/>
      <c r="BM1403" s="12"/>
      <c r="BN1403" s="12"/>
      <c r="BO1403" s="12"/>
      <c r="BP1403" s="12"/>
      <c r="BQ1403" s="12"/>
      <c r="BR1403" s="12"/>
      <c r="BS1403" s="12"/>
      <c r="BT1403" s="12"/>
    </row>
    <row r="1404" spans="1:72">
      <c r="A1404" s="2" t="s">
        <v>27020</v>
      </c>
      <c r="B1404" s="5" t="s">
        <v>27025</v>
      </c>
      <c r="C1404" s="3" t="s">
        <v>138</v>
      </c>
      <c r="D1404" s="4" t="s">
        <v>138</v>
      </c>
      <c r="E1404" s="15" t="s">
        <v>5382</v>
      </c>
      <c r="F1404" s="15" t="s">
        <v>200</v>
      </c>
      <c r="G1404" s="15" t="s">
        <v>162</v>
      </c>
      <c r="H1404" s="7">
        <v>2</v>
      </c>
      <c r="I1404" s="6" t="s">
        <v>27034</v>
      </c>
      <c r="J1404" s="6" t="s">
        <v>948</v>
      </c>
      <c r="K1404" s="6" t="s">
        <v>42135</v>
      </c>
      <c r="L1404" s="6"/>
      <c r="M1404" s="6"/>
      <c r="N1404" s="6"/>
      <c r="O1404" s="6"/>
      <c r="P1404" s="6"/>
      <c r="Q1404" s="6"/>
      <c r="R1404" s="6"/>
      <c r="S1404" s="6"/>
      <c r="T1404" s="6"/>
      <c r="U1404" s="6"/>
      <c r="V1404" s="6"/>
      <c r="W1404" s="6"/>
      <c r="X1404" s="6"/>
      <c r="Y1404" s="6"/>
      <c r="Z1404" s="6"/>
      <c r="AA1404" s="6"/>
      <c r="AB1404" s="6"/>
      <c r="AC1404" s="6"/>
      <c r="AD1404" s="6"/>
      <c r="AE1404" s="6"/>
      <c r="AF1404" s="6"/>
      <c r="AG1404" s="6"/>
      <c r="AH1404" s="6"/>
      <c r="AI1404" s="6"/>
      <c r="AJ1404" s="6"/>
      <c r="AK1404" s="6"/>
      <c r="AL1404" s="6"/>
      <c r="AM1404" s="6"/>
      <c r="AN1404" s="6"/>
      <c r="AO1404" s="6"/>
      <c r="AP1404" s="6"/>
      <c r="AQ1404" s="6"/>
      <c r="AR1404" s="6"/>
      <c r="AS1404" s="6"/>
      <c r="AT1404" s="6"/>
      <c r="AU1404" s="6"/>
      <c r="AV1404" s="6"/>
      <c r="AW1404" s="6"/>
      <c r="AX1404" s="6"/>
      <c r="AY1404" s="6"/>
      <c r="AZ1404" s="6"/>
      <c r="BA1404" s="6"/>
      <c r="BB1404" s="6"/>
      <c r="BC1404" s="6"/>
      <c r="BD1404" s="6"/>
      <c r="BE1404" s="6"/>
      <c r="BF1404" s="6"/>
      <c r="BG1404" s="6"/>
      <c r="BH1404" s="6"/>
      <c r="BI1404" s="6"/>
      <c r="BJ1404" s="6"/>
      <c r="BK1404" s="6"/>
      <c r="BL1404" s="6"/>
      <c r="BM1404" s="6"/>
      <c r="BN1404" s="6"/>
      <c r="BO1404" s="6"/>
      <c r="BP1404" s="6"/>
      <c r="BQ1404" s="6"/>
      <c r="BR1404" s="6"/>
      <c r="BS1404" s="6"/>
      <c r="BT1404" s="6"/>
    </row>
    <row r="1405" spans="1:72">
      <c r="A1405" s="8" t="s">
        <v>21481</v>
      </c>
      <c r="B1405" s="11" t="s">
        <v>27040</v>
      </c>
      <c r="C1405" s="9" t="s">
        <v>138</v>
      </c>
      <c r="D1405" s="10" t="s">
        <v>138</v>
      </c>
      <c r="E1405" s="28" t="s">
        <v>1223</v>
      </c>
      <c r="F1405" s="28" t="s">
        <v>200</v>
      </c>
      <c r="G1405" s="28" t="s">
        <v>162</v>
      </c>
      <c r="H1405" s="13">
        <v>9</v>
      </c>
      <c r="I1405" s="12" t="s">
        <v>27049</v>
      </c>
      <c r="J1405" s="12" t="s">
        <v>40241</v>
      </c>
      <c r="K1405" s="12" t="s">
        <v>44503</v>
      </c>
      <c r="L1405" s="12" t="s">
        <v>44504</v>
      </c>
      <c r="M1405" s="12" t="s">
        <v>44505</v>
      </c>
      <c r="N1405" s="12" t="s">
        <v>43196</v>
      </c>
      <c r="O1405" s="12" t="s">
        <v>38322</v>
      </c>
      <c r="P1405" s="12" t="s">
        <v>40150</v>
      </c>
      <c r="Q1405" s="12" t="s">
        <v>40213</v>
      </c>
      <c r="R1405" s="12" t="s">
        <v>38705</v>
      </c>
      <c r="S1405" s="12"/>
      <c r="T1405" s="12"/>
      <c r="U1405" s="12"/>
      <c r="V1405" s="12"/>
      <c r="W1405" s="12"/>
      <c r="X1405" s="12"/>
      <c r="Y1405" s="12"/>
      <c r="Z1405" s="12"/>
      <c r="AA1405" s="12"/>
      <c r="AB1405" s="12"/>
      <c r="AC1405" s="12"/>
      <c r="AD1405" s="12"/>
      <c r="AE1405" s="12"/>
      <c r="AF1405" s="12"/>
      <c r="AG1405" s="12"/>
      <c r="AH1405" s="12"/>
      <c r="AI1405" s="12"/>
      <c r="AJ1405" s="12"/>
      <c r="AK1405" s="12"/>
      <c r="AL1405" s="12"/>
      <c r="AM1405" s="12"/>
      <c r="AN1405" s="12"/>
      <c r="AO1405" s="12"/>
      <c r="AP1405" s="12"/>
      <c r="AQ1405" s="12"/>
      <c r="AR1405" s="12"/>
      <c r="AS1405" s="12"/>
      <c r="AT1405" s="12"/>
      <c r="AU1405" s="12"/>
      <c r="AV1405" s="12"/>
      <c r="AW1405" s="12"/>
      <c r="AX1405" s="12"/>
      <c r="AY1405" s="12"/>
      <c r="AZ1405" s="12"/>
      <c r="BA1405" s="12"/>
      <c r="BB1405" s="12"/>
      <c r="BC1405" s="12"/>
      <c r="BD1405" s="12"/>
      <c r="BE1405" s="12"/>
      <c r="BF1405" s="12"/>
      <c r="BG1405" s="12"/>
      <c r="BH1405" s="12"/>
      <c r="BI1405" s="12"/>
      <c r="BJ1405" s="12"/>
      <c r="BK1405" s="12"/>
      <c r="BL1405" s="12"/>
      <c r="BM1405" s="12"/>
      <c r="BN1405" s="12"/>
      <c r="BO1405" s="12"/>
      <c r="BP1405" s="12"/>
      <c r="BQ1405" s="12"/>
      <c r="BR1405" s="12"/>
      <c r="BS1405" s="12"/>
      <c r="BT1405" s="12"/>
    </row>
    <row r="1406" spans="1:72">
      <c r="A1406" s="2" t="s">
        <v>27052</v>
      </c>
      <c r="B1406" s="5" t="s">
        <v>27058</v>
      </c>
      <c r="C1406" s="3" t="s">
        <v>27053</v>
      </c>
      <c r="D1406" s="4" t="s">
        <v>27054</v>
      </c>
      <c r="E1406" s="15" t="s">
        <v>27065</v>
      </c>
      <c r="F1406" s="15" t="s">
        <v>138</v>
      </c>
      <c r="G1406" s="15" t="s">
        <v>740</v>
      </c>
      <c r="H1406" s="7">
        <v>11</v>
      </c>
      <c r="I1406" s="6" t="s">
        <v>27070</v>
      </c>
      <c r="J1406" s="6" t="s">
        <v>39768</v>
      </c>
      <c r="K1406" s="6" t="s">
        <v>38299</v>
      </c>
      <c r="L1406" s="6" t="s">
        <v>37819</v>
      </c>
      <c r="M1406" s="6" t="s">
        <v>40010</v>
      </c>
      <c r="N1406" s="6" t="s">
        <v>41692</v>
      </c>
      <c r="O1406" s="6" t="s">
        <v>40657</v>
      </c>
      <c r="P1406" s="6" t="s">
        <v>38398</v>
      </c>
      <c r="Q1406" s="6" t="s">
        <v>39946</v>
      </c>
      <c r="R1406" s="6" t="s">
        <v>38082</v>
      </c>
      <c r="S1406" s="6" t="s">
        <v>44506</v>
      </c>
      <c r="T1406" s="6" t="s">
        <v>39351</v>
      </c>
      <c r="U1406" s="6"/>
      <c r="V1406" s="6"/>
      <c r="W1406" s="6"/>
      <c r="X1406" s="6"/>
      <c r="Y1406" s="6"/>
      <c r="Z1406" s="6"/>
      <c r="AA1406" s="6"/>
      <c r="AB1406" s="6"/>
      <c r="AC1406" s="6"/>
      <c r="AD1406" s="6"/>
      <c r="AE1406" s="6"/>
      <c r="AF1406" s="6"/>
      <c r="AG1406" s="6"/>
      <c r="AH1406" s="6"/>
      <c r="AI1406" s="6"/>
      <c r="AJ1406" s="6"/>
      <c r="AK1406" s="6"/>
      <c r="AL1406" s="6"/>
      <c r="AM1406" s="6"/>
      <c r="AN1406" s="6"/>
      <c r="AO1406" s="6"/>
      <c r="AP1406" s="6"/>
      <c r="AQ1406" s="6"/>
      <c r="AR1406" s="6"/>
      <c r="AS1406" s="6"/>
      <c r="AT1406" s="6"/>
      <c r="AU1406" s="6"/>
      <c r="AV1406" s="6"/>
      <c r="AW1406" s="6"/>
      <c r="AX1406" s="6"/>
      <c r="AY1406" s="6"/>
      <c r="AZ1406" s="6"/>
      <c r="BA1406" s="6"/>
      <c r="BB1406" s="6"/>
      <c r="BC1406" s="6"/>
      <c r="BD1406" s="6"/>
      <c r="BE1406" s="6"/>
      <c r="BF1406" s="6"/>
      <c r="BG1406" s="6"/>
      <c r="BH1406" s="6"/>
      <c r="BI1406" s="6"/>
      <c r="BJ1406" s="6"/>
      <c r="BK1406" s="6"/>
      <c r="BL1406" s="6"/>
      <c r="BM1406" s="6"/>
      <c r="BN1406" s="6"/>
      <c r="BO1406" s="6"/>
      <c r="BP1406" s="6"/>
      <c r="BQ1406" s="6"/>
      <c r="BR1406" s="6"/>
      <c r="BS1406" s="6"/>
      <c r="BT1406" s="6"/>
    </row>
    <row r="1407" spans="1:72">
      <c r="A1407" s="8" t="s">
        <v>27073</v>
      </c>
      <c r="B1407" s="11" t="s">
        <v>27077</v>
      </c>
      <c r="C1407" s="9" t="s">
        <v>138</v>
      </c>
      <c r="D1407" s="10" t="s">
        <v>138</v>
      </c>
      <c r="E1407" s="28" t="s">
        <v>3670</v>
      </c>
      <c r="F1407" s="28" t="s">
        <v>200</v>
      </c>
      <c r="G1407" s="28" t="s">
        <v>162</v>
      </c>
      <c r="H1407" s="13">
        <v>8</v>
      </c>
      <c r="I1407" s="12" t="s">
        <v>27086</v>
      </c>
      <c r="J1407" s="12" t="s">
        <v>44507</v>
      </c>
      <c r="K1407" s="12" t="s">
        <v>38950</v>
      </c>
      <c r="L1407" s="12" t="s">
        <v>38299</v>
      </c>
      <c r="M1407" s="12" t="s">
        <v>39405</v>
      </c>
      <c r="N1407" s="12" t="s">
        <v>37883</v>
      </c>
      <c r="O1407" s="12" t="s">
        <v>38319</v>
      </c>
      <c r="P1407" s="12" t="s">
        <v>39642</v>
      </c>
      <c r="Q1407" s="12" t="s">
        <v>40150</v>
      </c>
      <c r="R1407" s="12"/>
      <c r="S1407" s="12"/>
      <c r="T1407" s="12"/>
      <c r="U1407" s="12"/>
      <c r="V1407" s="12"/>
      <c r="W1407" s="12"/>
      <c r="X1407" s="12"/>
      <c r="Y1407" s="12"/>
      <c r="Z1407" s="12"/>
      <c r="AA1407" s="12"/>
      <c r="AB1407" s="12"/>
      <c r="AC1407" s="12"/>
      <c r="AD1407" s="12"/>
      <c r="AE1407" s="12"/>
      <c r="AF1407" s="12"/>
      <c r="AG1407" s="12"/>
      <c r="AH1407" s="12"/>
      <c r="AI1407" s="12"/>
      <c r="AJ1407" s="12"/>
      <c r="AK1407" s="12"/>
      <c r="AL1407" s="12"/>
      <c r="AM1407" s="12"/>
      <c r="AN1407" s="12"/>
      <c r="AO1407" s="12"/>
      <c r="AP1407" s="12"/>
      <c r="AQ1407" s="12"/>
      <c r="AR1407" s="12"/>
      <c r="AS1407" s="12"/>
      <c r="AT1407" s="12"/>
      <c r="AU1407" s="12"/>
      <c r="AV1407" s="12"/>
      <c r="AW1407" s="12"/>
      <c r="AX1407" s="12"/>
      <c r="AY1407" s="12"/>
      <c r="AZ1407" s="12"/>
      <c r="BA1407" s="12"/>
      <c r="BB1407" s="12"/>
      <c r="BC1407" s="12"/>
      <c r="BD1407" s="12"/>
      <c r="BE1407" s="12"/>
      <c r="BF1407" s="12"/>
      <c r="BG1407" s="12"/>
      <c r="BH1407" s="12"/>
      <c r="BI1407" s="12"/>
      <c r="BJ1407" s="12"/>
      <c r="BK1407" s="12"/>
      <c r="BL1407" s="12"/>
      <c r="BM1407" s="12"/>
      <c r="BN1407" s="12"/>
      <c r="BO1407" s="12"/>
      <c r="BP1407" s="12"/>
      <c r="BQ1407" s="12"/>
      <c r="BR1407" s="12"/>
      <c r="BS1407" s="12"/>
      <c r="BT1407" s="12"/>
    </row>
    <row r="1408" spans="1:72">
      <c r="A1408" s="2" t="s">
        <v>27091</v>
      </c>
      <c r="B1408" s="5" t="s">
        <v>27096</v>
      </c>
      <c r="C1408" s="3" t="s">
        <v>138</v>
      </c>
      <c r="D1408" s="4" t="s">
        <v>27092</v>
      </c>
      <c r="E1408" s="15" t="s">
        <v>823</v>
      </c>
      <c r="F1408" s="15" t="s">
        <v>824</v>
      </c>
      <c r="G1408" s="15" t="s">
        <v>526</v>
      </c>
      <c r="H1408" s="7">
        <v>15</v>
      </c>
      <c r="I1408" s="6" t="s">
        <v>27107</v>
      </c>
      <c r="J1408" s="6" t="s">
        <v>43541</v>
      </c>
      <c r="K1408" s="6" t="s">
        <v>41363</v>
      </c>
      <c r="L1408" s="6" t="s">
        <v>40195</v>
      </c>
      <c r="M1408" s="6" t="s">
        <v>44508</v>
      </c>
      <c r="N1408" s="6" t="s">
        <v>44509</v>
      </c>
      <c r="O1408" s="6" t="s">
        <v>38299</v>
      </c>
      <c r="P1408" s="6" t="s">
        <v>44510</v>
      </c>
      <c r="Q1408" s="6" t="s">
        <v>42210</v>
      </c>
      <c r="R1408" s="6" t="s">
        <v>44511</v>
      </c>
      <c r="S1408" s="6" t="s">
        <v>44512</v>
      </c>
      <c r="T1408" s="6" t="s">
        <v>37998</v>
      </c>
      <c r="U1408" s="6" t="s">
        <v>44513</v>
      </c>
      <c r="V1408" s="6" t="s">
        <v>38200</v>
      </c>
      <c r="W1408" s="6" t="s">
        <v>42445</v>
      </c>
      <c r="X1408" s="6" t="s">
        <v>39647</v>
      </c>
      <c r="Y1408" s="6"/>
      <c r="Z1408" s="6"/>
      <c r="AA1408" s="6"/>
      <c r="AB1408" s="6"/>
      <c r="AC1408" s="6"/>
      <c r="AD1408" s="6"/>
      <c r="AE1408" s="6"/>
      <c r="AF1408" s="6"/>
      <c r="AG1408" s="6"/>
      <c r="AH1408" s="6"/>
      <c r="AI1408" s="6"/>
      <c r="AJ1408" s="6"/>
      <c r="AK1408" s="6"/>
      <c r="AL1408" s="6"/>
      <c r="AM1408" s="6"/>
      <c r="AN1408" s="6"/>
      <c r="AO1408" s="6"/>
      <c r="AP1408" s="6"/>
      <c r="AQ1408" s="6"/>
      <c r="AR1408" s="6"/>
      <c r="AS1408" s="6"/>
      <c r="AT1408" s="6"/>
      <c r="AU1408" s="6"/>
      <c r="AV1408" s="6"/>
      <c r="AW1408" s="6"/>
      <c r="AX1408" s="6"/>
      <c r="AY1408" s="6"/>
      <c r="AZ1408" s="6"/>
      <c r="BA1408" s="6"/>
      <c r="BB1408" s="6"/>
      <c r="BC1408" s="6"/>
      <c r="BD1408" s="6"/>
      <c r="BE1408" s="6"/>
      <c r="BF1408" s="6"/>
      <c r="BG1408" s="6"/>
      <c r="BH1408" s="6"/>
      <c r="BI1408" s="6"/>
      <c r="BJ1408" s="6"/>
      <c r="BK1408" s="6"/>
      <c r="BL1408" s="6"/>
      <c r="BM1408" s="6"/>
      <c r="BN1408" s="6"/>
      <c r="BO1408" s="6"/>
      <c r="BP1408" s="6"/>
      <c r="BQ1408" s="6"/>
      <c r="BR1408" s="6"/>
      <c r="BS1408" s="6"/>
      <c r="BT1408" s="6"/>
    </row>
    <row r="1409" spans="1:72">
      <c r="A1409" s="8" t="s">
        <v>27111</v>
      </c>
      <c r="B1409" s="11" t="s">
        <v>27118</v>
      </c>
      <c r="C1409" s="9" t="s">
        <v>138</v>
      </c>
      <c r="D1409" s="10" t="s">
        <v>27112</v>
      </c>
      <c r="E1409" s="28" t="s">
        <v>27126</v>
      </c>
      <c r="F1409" s="28" t="s">
        <v>760</v>
      </c>
      <c r="G1409" s="28" t="s">
        <v>162</v>
      </c>
      <c r="H1409" s="13">
        <v>1</v>
      </c>
      <c r="I1409" s="12" t="s">
        <v>24320</v>
      </c>
      <c r="J1409" s="12" t="s">
        <v>24320</v>
      </c>
      <c r="K1409" s="12"/>
      <c r="L1409" s="12"/>
      <c r="M1409" s="12"/>
      <c r="N1409" s="12"/>
      <c r="O1409" s="12"/>
      <c r="P1409" s="12"/>
      <c r="Q1409" s="12"/>
      <c r="R1409" s="12"/>
      <c r="S1409" s="12"/>
      <c r="T1409" s="12"/>
      <c r="U1409" s="12"/>
      <c r="V1409" s="12"/>
      <c r="W1409" s="12"/>
      <c r="X1409" s="12"/>
      <c r="Y1409" s="12"/>
      <c r="Z1409" s="12"/>
      <c r="AA1409" s="12"/>
      <c r="AB1409" s="12"/>
      <c r="AC1409" s="12"/>
      <c r="AD1409" s="12"/>
      <c r="AE1409" s="12"/>
      <c r="AF1409" s="12"/>
      <c r="AG1409" s="12"/>
      <c r="AH1409" s="12"/>
      <c r="AI1409" s="12"/>
      <c r="AJ1409" s="12"/>
      <c r="AK1409" s="12"/>
      <c r="AL1409" s="12"/>
      <c r="AM1409" s="12"/>
      <c r="AN1409" s="12"/>
      <c r="AO1409" s="12"/>
      <c r="AP1409" s="12"/>
      <c r="AQ1409" s="12"/>
      <c r="AR1409" s="12"/>
      <c r="AS1409" s="12"/>
      <c r="AT1409" s="12"/>
      <c r="AU1409" s="12"/>
      <c r="AV1409" s="12"/>
      <c r="AW1409" s="12"/>
      <c r="AX1409" s="12"/>
      <c r="AY1409" s="12"/>
      <c r="AZ1409" s="12"/>
      <c r="BA1409" s="12"/>
      <c r="BB1409" s="12"/>
      <c r="BC1409" s="12"/>
      <c r="BD1409" s="12"/>
      <c r="BE1409" s="12"/>
      <c r="BF1409" s="12"/>
      <c r="BG1409" s="12"/>
      <c r="BH1409" s="12"/>
      <c r="BI1409" s="12"/>
      <c r="BJ1409" s="12"/>
      <c r="BK1409" s="12"/>
      <c r="BL1409" s="12"/>
      <c r="BM1409" s="12"/>
      <c r="BN1409" s="12"/>
      <c r="BO1409" s="12"/>
      <c r="BP1409" s="12"/>
      <c r="BQ1409" s="12"/>
      <c r="BR1409" s="12"/>
      <c r="BS1409" s="12"/>
      <c r="BT1409" s="12"/>
    </row>
    <row r="1410" spans="1:72">
      <c r="A1410" s="2" t="s">
        <v>27131</v>
      </c>
      <c r="B1410" s="5" t="s">
        <v>27136</v>
      </c>
      <c r="C1410" s="3" t="s">
        <v>27132</v>
      </c>
      <c r="D1410" s="4" t="s">
        <v>138</v>
      </c>
      <c r="E1410" s="15" t="s">
        <v>310</v>
      </c>
      <c r="F1410" s="15" t="s">
        <v>200</v>
      </c>
      <c r="G1410" s="15" t="s">
        <v>162</v>
      </c>
      <c r="H1410" s="7" t="s">
        <v>138</v>
      </c>
      <c r="I1410" s="6" t="s">
        <v>138</v>
      </c>
      <c r="J1410" s="6"/>
      <c r="K1410" s="6"/>
      <c r="L1410" s="6"/>
      <c r="M1410" s="6"/>
      <c r="N1410" s="6"/>
      <c r="O1410" s="6"/>
      <c r="P1410" s="6"/>
      <c r="Q1410" s="6"/>
      <c r="R1410" s="6"/>
      <c r="S1410" s="6"/>
      <c r="T1410" s="6"/>
      <c r="U1410" s="6"/>
      <c r="V1410" s="6"/>
      <c r="W1410" s="6"/>
      <c r="X1410" s="6"/>
      <c r="Y1410" s="6"/>
      <c r="Z1410" s="6"/>
      <c r="AA1410" s="6"/>
      <c r="AB1410" s="6"/>
      <c r="AC1410" s="6"/>
      <c r="AD1410" s="6"/>
      <c r="AE1410" s="6"/>
      <c r="AF1410" s="6"/>
      <c r="AG1410" s="6"/>
      <c r="AH1410" s="6"/>
      <c r="AI1410" s="6"/>
      <c r="AJ1410" s="6"/>
      <c r="AK1410" s="6"/>
      <c r="AL1410" s="6"/>
      <c r="AM1410" s="6"/>
      <c r="AN1410" s="6"/>
      <c r="AO1410" s="6"/>
      <c r="AP1410" s="6"/>
      <c r="AQ1410" s="6"/>
      <c r="AR1410" s="6"/>
      <c r="AS1410" s="6"/>
      <c r="AT1410" s="6"/>
      <c r="AU1410" s="6"/>
      <c r="AV1410" s="6"/>
      <c r="AW1410" s="6"/>
      <c r="AX1410" s="6"/>
      <c r="AY1410" s="6"/>
      <c r="AZ1410" s="6"/>
      <c r="BA1410" s="6"/>
      <c r="BB1410" s="6"/>
      <c r="BC1410" s="6"/>
      <c r="BD1410" s="6"/>
      <c r="BE1410" s="6"/>
      <c r="BF1410" s="6"/>
      <c r="BG1410" s="6"/>
      <c r="BH1410" s="6"/>
      <c r="BI1410" s="6"/>
      <c r="BJ1410" s="6"/>
      <c r="BK1410" s="6"/>
      <c r="BL1410" s="6"/>
      <c r="BM1410" s="6"/>
      <c r="BN1410" s="6"/>
      <c r="BO1410" s="6"/>
      <c r="BP1410" s="6"/>
      <c r="BQ1410" s="6"/>
      <c r="BR1410" s="6"/>
      <c r="BS1410" s="6"/>
      <c r="BT1410" s="6"/>
    </row>
    <row r="1411" spans="1:72">
      <c r="A1411" s="8" t="s">
        <v>27148</v>
      </c>
      <c r="B1411" s="11" t="s">
        <v>27152</v>
      </c>
      <c r="C1411" s="9" t="s">
        <v>138</v>
      </c>
      <c r="D1411" s="10" t="s">
        <v>27149</v>
      </c>
      <c r="E1411" s="28" t="s">
        <v>966</v>
      </c>
      <c r="F1411" s="28" t="s">
        <v>200</v>
      </c>
      <c r="G1411" s="28" t="s">
        <v>162</v>
      </c>
      <c r="H1411" s="13">
        <v>1</v>
      </c>
      <c r="I1411" s="12" t="s">
        <v>27160</v>
      </c>
      <c r="J1411" s="12" t="s">
        <v>27160</v>
      </c>
      <c r="K1411" s="12"/>
      <c r="L1411" s="12"/>
      <c r="M1411" s="12"/>
      <c r="N1411" s="12"/>
      <c r="O1411" s="12"/>
      <c r="P1411" s="12"/>
      <c r="Q1411" s="12"/>
      <c r="R1411" s="12"/>
      <c r="S1411" s="12"/>
      <c r="T1411" s="12"/>
      <c r="U1411" s="12"/>
      <c r="V1411" s="12"/>
      <c r="W1411" s="12"/>
      <c r="X1411" s="12"/>
      <c r="Y1411" s="12"/>
      <c r="Z1411" s="12"/>
      <c r="AA1411" s="12"/>
      <c r="AB1411" s="12"/>
      <c r="AC1411" s="12"/>
      <c r="AD1411" s="12"/>
      <c r="AE1411" s="12"/>
      <c r="AF1411" s="12"/>
      <c r="AG1411" s="12"/>
      <c r="AH1411" s="12"/>
      <c r="AI1411" s="12"/>
      <c r="AJ1411" s="12"/>
      <c r="AK1411" s="12"/>
      <c r="AL1411" s="12"/>
      <c r="AM1411" s="12"/>
      <c r="AN1411" s="12"/>
      <c r="AO1411" s="12"/>
      <c r="AP1411" s="12"/>
      <c r="AQ1411" s="12"/>
      <c r="AR1411" s="12"/>
      <c r="AS1411" s="12"/>
      <c r="AT1411" s="12"/>
      <c r="AU1411" s="12"/>
      <c r="AV1411" s="12"/>
      <c r="AW1411" s="12"/>
      <c r="AX1411" s="12"/>
      <c r="AY1411" s="12"/>
      <c r="AZ1411" s="12"/>
      <c r="BA1411" s="12"/>
      <c r="BB1411" s="12"/>
      <c r="BC1411" s="12"/>
      <c r="BD1411" s="12"/>
      <c r="BE1411" s="12"/>
      <c r="BF1411" s="12"/>
      <c r="BG1411" s="12"/>
      <c r="BH1411" s="12"/>
      <c r="BI1411" s="12"/>
      <c r="BJ1411" s="12"/>
      <c r="BK1411" s="12"/>
      <c r="BL1411" s="12"/>
      <c r="BM1411" s="12"/>
      <c r="BN1411" s="12"/>
      <c r="BO1411" s="12"/>
      <c r="BP1411" s="12"/>
      <c r="BQ1411" s="12"/>
      <c r="BR1411" s="12"/>
      <c r="BS1411" s="12"/>
      <c r="BT1411" s="12"/>
    </row>
    <row r="1412" spans="1:72">
      <c r="A1412" s="2" t="s">
        <v>27163</v>
      </c>
      <c r="B1412" s="5" t="s">
        <v>27169</v>
      </c>
      <c r="C1412" s="3" t="s">
        <v>138</v>
      </c>
      <c r="D1412" s="4" t="s">
        <v>138</v>
      </c>
      <c r="E1412" s="15" t="s">
        <v>27176</v>
      </c>
      <c r="F1412" s="15" t="s">
        <v>3712</v>
      </c>
      <c r="G1412" s="15" t="s">
        <v>162</v>
      </c>
      <c r="H1412" s="7">
        <v>6</v>
      </c>
      <c r="I1412" s="6" t="s">
        <v>27179</v>
      </c>
      <c r="J1412" s="6" t="s">
        <v>44514</v>
      </c>
      <c r="K1412" s="6" t="s">
        <v>44515</v>
      </c>
      <c r="L1412" s="6" t="s">
        <v>37883</v>
      </c>
      <c r="M1412" s="6" t="s">
        <v>43322</v>
      </c>
      <c r="N1412" s="6" t="s">
        <v>37781</v>
      </c>
      <c r="O1412" s="6" t="s">
        <v>39143</v>
      </c>
      <c r="P1412" s="6"/>
      <c r="Q1412" s="6"/>
      <c r="R1412" s="6"/>
      <c r="S1412" s="6"/>
      <c r="T1412" s="6"/>
      <c r="U1412" s="6"/>
      <c r="V1412" s="6"/>
      <c r="W1412" s="6"/>
      <c r="X1412" s="6"/>
      <c r="Y1412" s="6"/>
      <c r="Z1412" s="6"/>
      <c r="AA1412" s="6"/>
      <c r="AB1412" s="6"/>
      <c r="AC1412" s="6"/>
      <c r="AD1412" s="6"/>
      <c r="AE1412" s="6"/>
      <c r="AF1412" s="6"/>
      <c r="AG1412" s="6"/>
      <c r="AH1412" s="6"/>
      <c r="AI1412" s="6"/>
      <c r="AJ1412" s="6"/>
      <c r="AK1412" s="6"/>
      <c r="AL1412" s="6"/>
      <c r="AM1412" s="6"/>
      <c r="AN1412" s="6"/>
      <c r="AO1412" s="6"/>
      <c r="AP1412" s="6"/>
      <c r="AQ1412" s="6"/>
      <c r="AR1412" s="6"/>
      <c r="AS1412" s="6"/>
      <c r="AT1412" s="6"/>
      <c r="AU1412" s="6"/>
      <c r="AV1412" s="6"/>
      <c r="AW1412" s="6"/>
      <c r="AX1412" s="6"/>
      <c r="AY1412" s="6"/>
      <c r="AZ1412" s="6"/>
      <c r="BA1412" s="6"/>
      <c r="BB1412" s="6"/>
      <c r="BC1412" s="6"/>
      <c r="BD1412" s="6"/>
      <c r="BE1412" s="6"/>
      <c r="BF1412" s="6"/>
      <c r="BG1412" s="6"/>
      <c r="BH1412" s="6"/>
      <c r="BI1412" s="6"/>
      <c r="BJ1412" s="6"/>
      <c r="BK1412" s="6"/>
      <c r="BL1412" s="6"/>
      <c r="BM1412" s="6"/>
      <c r="BN1412" s="6"/>
      <c r="BO1412" s="6"/>
      <c r="BP1412" s="6"/>
      <c r="BQ1412" s="6"/>
      <c r="BR1412" s="6"/>
      <c r="BS1412" s="6"/>
      <c r="BT1412" s="6"/>
    </row>
    <row r="1413" spans="1:72">
      <c r="A1413" s="8" t="s">
        <v>27184</v>
      </c>
      <c r="B1413" s="11" t="s">
        <v>27188</v>
      </c>
      <c r="C1413" s="9" t="s">
        <v>138</v>
      </c>
      <c r="D1413" s="10" t="s">
        <v>138</v>
      </c>
      <c r="E1413" s="28" t="s">
        <v>27195</v>
      </c>
      <c r="F1413" s="28" t="s">
        <v>138</v>
      </c>
      <c r="G1413" s="28" t="s">
        <v>27196</v>
      </c>
      <c r="H1413" s="13">
        <v>2</v>
      </c>
      <c r="I1413" s="12" t="s">
        <v>27199</v>
      </c>
      <c r="J1413" s="12" t="s">
        <v>16877</v>
      </c>
      <c r="K1413" s="12" t="s">
        <v>39739</v>
      </c>
      <c r="L1413" s="12"/>
      <c r="M1413" s="12"/>
      <c r="N1413" s="12"/>
      <c r="O1413" s="12"/>
      <c r="P1413" s="12"/>
      <c r="Q1413" s="12"/>
      <c r="R1413" s="12"/>
      <c r="S1413" s="12"/>
      <c r="T1413" s="12"/>
      <c r="U1413" s="12"/>
      <c r="V1413" s="12"/>
      <c r="W1413" s="12"/>
      <c r="X1413" s="12"/>
      <c r="Y1413" s="12"/>
      <c r="Z1413" s="12"/>
      <c r="AA1413" s="12"/>
      <c r="AB1413" s="12"/>
      <c r="AC1413" s="12"/>
      <c r="AD1413" s="12"/>
      <c r="AE1413" s="12"/>
      <c r="AF1413" s="12"/>
      <c r="AG1413" s="12"/>
      <c r="AH1413" s="12"/>
      <c r="AI1413" s="12"/>
      <c r="AJ1413" s="12"/>
      <c r="AK1413" s="12"/>
      <c r="AL1413" s="12"/>
      <c r="AM1413" s="12"/>
      <c r="AN1413" s="12"/>
      <c r="AO1413" s="12"/>
      <c r="AP1413" s="12"/>
      <c r="AQ1413" s="12"/>
      <c r="AR1413" s="12"/>
      <c r="AS1413" s="12"/>
      <c r="AT1413" s="12"/>
      <c r="AU1413" s="12"/>
      <c r="AV1413" s="12"/>
      <c r="AW1413" s="12"/>
      <c r="AX1413" s="12"/>
      <c r="AY1413" s="12"/>
      <c r="AZ1413" s="12"/>
      <c r="BA1413" s="12"/>
      <c r="BB1413" s="12"/>
      <c r="BC1413" s="12"/>
      <c r="BD1413" s="12"/>
      <c r="BE1413" s="12"/>
      <c r="BF1413" s="12"/>
      <c r="BG1413" s="12"/>
      <c r="BH1413" s="12"/>
      <c r="BI1413" s="12"/>
      <c r="BJ1413" s="12"/>
      <c r="BK1413" s="12"/>
      <c r="BL1413" s="12"/>
      <c r="BM1413" s="12"/>
      <c r="BN1413" s="12"/>
      <c r="BO1413" s="12"/>
      <c r="BP1413" s="12"/>
      <c r="BQ1413" s="12"/>
      <c r="BR1413" s="12"/>
      <c r="BS1413" s="12"/>
      <c r="BT1413" s="12"/>
    </row>
    <row r="1414" spans="1:72">
      <c r="A1414" s="2" t="s">
        <v>27205</v>
      </c>
      <c r="B1414" s="5" t="s">
        <v>27210</v>
      </c>
      <c r="C1414" s="3" t="s">
        <v>138</v>
      </c>
      <c r="D1414" s="4" t="s">
        <v>138</v>
      </c>
      <c r="E1414" s="15" t="s">
        <v>1171</v>
      </c>
      <c r="F1414" s="15" t="s">
        <v>200</v>
      </c>
      <c r="G1414" s="15" t="s">
        <v>162</v>
      </c>
      <c r="H1414" s="7">
        <v>10</v>
      </c>
      <c r="I1414" s="6" t="s">
        <v>27217</v>
      </c>
      <c r="J1414" s="6" t="s">
        <v>39545</v>
      </c>
      <c r="K1414" s="6" t="s">
        <v>42340</v>
      </c>
      <c r="L1414" s="6" t="s">
        <v>39002</v>
      </c>
      <c r="M1414" s="6" t="s">
        <v>38379</v>
      </c>
      <c r="N1414" s="6" t="s">
        <v>39367</v>
      </c>
      <c r="O1414" s="6" t="s">
        <v>38323</v>
      </c>
      <c r="P1414" s="6" t="s">
        <v>40446</v>
      </c>
      <c r="Q1414" s="6" t="s">
        <v>44516</v>
      </c>
      <c r="R1414" s="6" t="s">
        <v>40883</v>
      </c>
      <c r="S1414" s="6" t="s">
        <v>39941</v>
      </c>
      <c r="T1414" s="6"/>
      <c r="U1414" s="6"/>
      <c r="V1414" s="6"/>
      <c r="W1414" s="6"/>
      <c r="X1414" s="6"/>
      <c r="Y1414" s="6"/>
      <c r="Z1414" s="6"/>
      <c r="AA1414" s="6"/>
      <c r="AB1414" s="6"/>
      <c r="AC1414" s="6"/>
      <c r="AD1414" s="6"/>
      <c r="AE1414" s="6"/>
      <c r="AF1414" s="6"/>
      <c r="AG1414" s="6"/>
      <c r="AH1414" s="6"/>
      <c r="AI1414" s="6"/>
      <c r="AJ1414" s="6"/>
      <c r="AK1414" s="6"/>
      <c r="AL1414" s="6"/>
      <c r="AM1414" s="6"/>
      <c r="AN1414" s="6"/>
      <c r="AO1414" s="6"/>
      <c r="AP1414" s="6"/>
      <c r="AQ1414" s="6"/>
      <c r="AR1414" s="6"/>
      <c r="AS1414" s="6"/>
      <c r="AT1414" s="6"/>
      <c r="AU1414" s="6"/>
      <c r="AV1414" s="6"/>
      <c r="AW1414" s="6"/>
      <c r="AX1414" s="6"/>
      <c r="AY1414" s="6"/>
      <c r="AZ1414" s="6"/>
      <c r="BA1414" s="6"/>
      <c r="BB1414" s="6"/>
      <c r="BC1414" s="6"/>
      <c r="BD1414" s="6"/>
      <c r="BE1414" s="6"/>
      <c r="BF1414" s="6"/>
      <c r="BG1414" s="6"/>
      <c r="BH1414" s="6"/>
      <c r="BI1414" s="6"/>
      <c r="BJ1414" s="6"/>
      <c r="BK1414" s="6"/>
      <c r="BL1414" s="6"/>
      <c r="BM1414" s="6"/>
      <c r="BN1414" s="6"/>
      <c r="BO1414" s="6"/>
      <c r="BP1414" s="6"/>
      <c r="BQ1414" s="6"/>
      <c r="BR1414" s="6"/>
      <c r="BS1414" s="6"/>
      <c r="BT1414" s="6"/>
    </row>
    <row r="1415" spans="1:72">
      <c r="A1415" s="8" t="s">
        <v>27221</v>
      </c>
      <c r="B1415" s="11" t="s">
        <v>27227</v>
      </c>
      <c r="C1415" s="9" t="s">
        <v>138</v>
      </c>
      <c r="D1415" s="10" t="s">
        <v>27222</v>
      </c>
      <c r="E1415" s="28" t="s">
        <v>966</v>
      </c>
      <c r="F1415" s="28" t="s">
        <v>200</v>
      </c>
      <c r="G1415" s="28" t="s">
        <v>162</v>
      </c>
      <c r="H1415" s="13">
        <v>4</v>
      </c>
      <c r="I1415" s="12" t="s">
        <v>27234</v>
      </c>
      <c r="J1415" s="12" t="s">
        <v>42349</v>
      </c>
      <c r="K1415" s="12" t="s">
        <v>42350</v>
      </c>
      <c r="L1415" s="12" t="s">
        <v>40299</v>
      </c>
      <c r="M1415" s="12" t="s">
        <v>38705</v>
      </c>
      <c r="N1415" s="12"/>
      <c r="O1415" s="12"/>
      <c r="P1415" s="12"/>
      <c r="Q1415" s="12"/>
      <c r="R1415" s="12"/>
      <c r="S1415" s="12"/>
      <c r="T1415" s="12"/>
      <c r="U1415" s="12"/>
      <c r="V1415" s="12"/>
      <c r="W1415" s="12"/>
      <c r="X1415" s="12"/>
      <c r="Y1415" s="12"/>
      <c r="Z1415" s="12"/>
      <c r="AA1415" s="12"/>
      <c r="AB1415" s="12"/>
      <c r="AC1415" s="12"/>
      <c r="AD1415" s="12"/>
      <c r="AE1415" s="12"/>
      <c r="AF1415" s="12"/>
      <c r="AG1415" s="12"/>
      <c r="AH1415" s="12"/>
      <c r="AI1415" s="12"/>
      <c r="AJ1415" s="12"/>
      <c r="AK1415" s="12"/>
      <c r="AL1415" s="12"/>
      <c r="AM1415" s="12"/>
      <c r="AN1415" s="12"/>
      <c r="AO1415" s="12"/>
      <c r="AP1415" s="12"/>
      <c r="AQ1415" s="12"/>
      <c r="AR1415" s="12"/>
      <c r="AS1415" s="12"/>
      <c r="AT1415" s="12"/>
      <c r="AU1415" s="12"/>
      <c r="AV1415" s="12"/>
      <c r="AW1415" s="12"/>
      <c r="AX1415" s="12"/>
      <c r="AY1415" s="12"/>
      <c r="AZ1415" s="12"/>
      <c r="BA1415" s="12"/>
      <c r="BB1415" s="12"/>
      <c r="BC1415" s="12"/>
      <c r="BD1415" s="12"/>
      <c r="BE1415" s="12"/>
      <c r="BF1415" s="12"/>
      <c r="BG1415" s="12"/>
      <c r="BH1415" s="12"/>
      <c r="BI1415" s="12"/>
      <c r="BJ1415" s="12"/>
      <c r="BK1415" s="12"/>
      <c r="BL1415" s="12"/>
      <c r="BM1415" s="12"/>
      <c r="BN1415" s="12"/>
      <c r="BO1415" s="12"/>
      <c r="BP1415" s="12"/>
      <c r="BQ1415" s="12"/>
      <c r="BR1415" s="12"/>
      <c r="BS1415" s="12"/>
      <c r="BT1415" s="12"/>
    </row>
    <row r="1416" spans="1:72">
      <c r="A1416" s="2" t="s">
        <v>27237</v>
      </c>
      <c r="B1416" s="5" t="s">
        <v>27241</v>
      </c>
      <c r="C1416" s="3" t="s">
        <v>138</v>
      </c>
      <c r="D1416" s="4" t="s">
        <v>138</v>
      </c>
      <c r="E1416" s="15" t="s">
        <v>1223</v>
      </c>
      <c r="F1416" s="15" t="s">
        <v>200</v>
      </c>
      <c r="G1416" s="15" t="s">
        <v>162</v>
      </c>
      <c r="H1416" s="7">
        <v>14</v>
      </c>
      <c r="I1416" s="6" t="s">
        <v>27252</v>
      </c>
      <c r="J1416" s="6" t="s">
        <v>44517</v>
      </c>
      <c r="K1416" s="6" t="s">
        <v>38299</v>
      </c>
      <c r="L1416" s="6" t="s">
        <v>37834</v>
      </c>
      <c r="M1416" s="6" t="s">
        <v>44518</v>
      </c>
      <c r="N1416" s="6" t="s">
        <v>44519</v>
      </c>
      <c r="O1416" s="6" t="s">
        <v>44520</v>
      </c>
      <c r="P1416" s="6" t="s">
        <v>37786</v>
      </c>
      <c r="Q1416" s="6" t="s">
        <v>37927</v>
      </c>
      <c r="R1416" s="6" t="s">
        <v>44521</v>
      </c>
      <c r="S1416" s="6" t="s">
        <v>43282</v>
      </c>
      <c r="T1416" s="6" t="s">
        <v>38549</v>
      </c>
      <c r="U1416" s="6" t="s">
        <v>44522</v>
      </c>
      <c r="V1416" s="6" t="s">
        <v>44523</v>
      </c>
      <c r="W1416" s="6" t="s">
        <v>37974</v>
      </c>
      <c r="X1416" s="6"/>
      <c r="Y1416" s="6"/>
      <c r="Z1416" s="6"/>
      <c r="AA1416" s="6"/>
      <c r="AB1416" s="6"/>
      <c r="AC1416" s="6"/>
      <c r="AD1416" s="6"/>
      <c r="AE1416" s="6"/>
      <c r="AF1416" s="6"/>
      <c r="AG1416" s="6"/>
      <c r="AH1416" s="6"/>
      <c r="AI1416" s="6"/>
      <c r="AJ1416" s="6"/>
      <c r="AK1416" s="6"/>
      <c r="AL1416" s="6"/>
      <c r="AM1416" s="6"/>
      <c r="AN1416" s="6"/>
      <c r="AO1416" s="6"/>
      <c r="AP1416" s="6"/>
      <c r="AQ1416" s="6"/>
      <c r="AR1416" s="6"/>
      <c r="AS1416" s="6"/>
      <c r="AT1416" s="6"/>
      <c r="AU1416" s="6"/>
      <c r="AV1416" s="6"/>
      <c r="AW1416" s="6"/>
      <c r="AX1416" s="6"/>
      <c r="AY1416" s="6"/>
      <c r="AZ1416" s="6"/>
      <c r="BA1416" s="6"/>
      <c r="BB1416" s="6"/>
      <c r="BC1416" s="6"/>
      <c r="BD1416" s="6"/>
      <c r="BE1416" s="6"/>
      <c r="BF1416" s="6"/>
      <c r="BG1416" s="6"/>
      <c r="BH1416" s="6"/>
      <c r="BI1416" s="6"/>
      <c r="BJ1416" s="6"/>
      <c r="BK1416" s="6"/>
      <c r="BL1416" s="6"/>
      <c r="BM1416" s="6"/>
      <c r="BN1416" s="6"/>
      <c r="BO1416" s="6"/>
      <c r="BP1416" s="6"/>
      <c r="BQ1416" s="6"/>
      <c r="BR1416" s="6"/>
      <c r="BS1416" s="6"/>
      <c r="BT1416" s="6"/>
    </row>
    <row r="1417" spans="1:72">
      <c r="A1417" s="8" t="s">
        <v>27256</v>
      </c>
      <c r="B1417" s="11" t="s">
        <v>27261</v>
      </c>
      <c r="C1417" s="9" t="s">
        <v>138</v>
      </c>
      <c r="D1417" s="10" t="s">
        <v>138</v>
      </c>
      <c r="E1417" s="28" t="s">
        <v>863</v>
      </c>
      <c r="F1417" s="28" t="s">
        <v>2740</v>
      </c>
      <c r="G1417" s="28" t="s">
        <v>2742</v>
      </c>
      <c r="H1417" s="13">
        <v>4</v>
      </c>
      <c r="I1417" s="12" t="s">
        <v>27272</v>
      </c>
      <c r="J1417" s="12" t="s">
        <v>44524</v>
      </c>
      <c r="K1417" s="12" t="s">
        <v>38825</v>
      </c>
      <c r="L1417" s="12" t="s">
        <v>42171</v>
      </c>
      <c r="M1417" s="12" t="s">
        <v>37895</v>
      </c>
      <c r="N1417" s="12"/>
      <c r="O1417" s="12"/>
      <c r="P1417" s="12"/>
      <c r="Q1417" s="12"/>
      <c r="R1417" s="12"/>
      <c r="S1417" s="12"/>
      <c r="T1417" s="12"/>
      <c r="U1417" s="12"/>
      <c r="V1417" s="12"/>
      <c r="W1417" s="12"/>
      <c r="X1417" s="12"/>
      <c r="Y1417" s="12"/>
      <c r="Z1417" s="12"/>
      <c r="AA1417" s="12"/>
      <c r="AB1417" s="12"/>
      <c r="AC1417" s="12"/>
      <c r="AD1417" s="12"/>
      <c r="AE1417" s="12"/>
      <c r="AF1417" s="12"/>
      <c r="AG1417" s="12"/>
      <c r="AH1417" s="12"/>
      <c r="AI1417" s="12"/>
      <c r="AJ1417" s="12"/>
      <c r="AK1417" s="12"/>
      <c r="AL1417" s="12"/>
      <c r="AM1417" s="12"/>
      <c r="AN1417" s="12"/>
      <c r="AO1417" s="12"/>
      <c r="AP1417" s="12"/>
      <c r="AQ1417" s="12"/>
      <c r="AR1417" s="12"/>
      <c r="AS1417" s="12"/>
      <c r="AT1417" s="12"/>
      <c r="AU1417" s="12"/>
      <c r="AV1417" s="12"/>
      <c r="AW1417" s="12"/>
      <c r="AX1417" s="12"/>
      <c r="AY1417" s="12"/>
      <c r="AZ1417" s="12"/>
      <c r="BA1417" s="12"/>
      <c r="BB1417" s="12"/>
      <c r="BC1417" s="12"/>
      <c r="BD1417" s="12"/>
      <c r="BE1417" s="12"/>
      <c r="BF1417" s="12"/>
      <c r="BG1417" s="12"/>
      <c r="BH1417" s="12"/>
      <c r="BI1417" s="12"/>
      <c r="BJ1417" s="12"/>
      <c r="BK1417" s="12"/>
      <c r="BL1417" s="12"/>
      <c r="BM1417" s="12"/>
      <c r="BN1417" s="12"/>
      <c r="BO1417" s="12"/>
      <c r="BP1417" s="12"/>
      <c r="BQ1417" s="12"/>
      <c r="BR1417" s="12"/>
      <c r="BS1417" s="12"/>
      <c r="BT1417" s="12"/>
    </row>
    <row r="1418" spans="1:72">
      <c r="A1418" s="2" t="s">
        <v>27279</v>
      </c>
      <c r="B1418" s="5" t="s">
        <v>27284</v>
      </c>
      <c r="C1418" s="3" t="s">
        <v>138</v>
      </c>
      <c r="D1418" s="4" t="s">
        <v>138</v>
      </c>
      <c r="E1418" s="15" t="s">
        <v>3139</v>
      </c>
      <c r="F1418" s="15" t="s">
        <v>3140</v>
      </c>
      <c r="G1418" s="15" t="s">
        <v>162</v>
      </c>
      <c r="H1418" s="7">
        <v>22</v>
      </c>
      <c r="I1418" s="6" t="s">
        <v>27292</v>
      </c>
      <c r="J1418" s="6" t="s">
        <v>44525</v>
      </c>
      <c r="K1418" s="6" t="s">
        <v>44526</v>
      </c>
      <c r="L1418" s="6" t="s">
        <v>44527</v>
      </c>
      <c r="M1418" s="6" t="s">
        <v>44528</v>
      </c>
      <c r="N1418" s="6" t="s">
        <v>44529</v>
      </c>
      <c r="O1418" s="6" t="s">
        <v>44530</v>
      </c>
      <c r="P1418" s="6" t="s">
        <v>39093</v>
      </c>
      <c r="Q1418" s="6" t="s">
        <v>38841</v>
      </c>
      <c r="R1418" s="6" t="s">
        <v>44531</v>
      </c>
      <c r="S1418" s="6" t="s">
        <v>37944</v>
      </c>
      <c r="T1418" s="6" t="s">
        <v>44532</v>
      </c>
      <c r="U1418" s="6" t="s">
        <v>44533</v>
      </c>
      <c r="V1418" s="6" t="s">
        <v>42213</v>
      </c>
      <c r="W1418" s="6" t="s">
        <v>44534</v>
      </c>
      <c r="X1418" s="6" t="s">
        <v>39103</v>
      </c>
      <c r="Y1418" s="6" t="s">
        <v>44535</v>
      </c>
      <c r="Z1418" s="6" t="s">
        <v>44536</v>
      </c>
      <c r="AA1418" s="6" t="s">
        <v>44537</v>
      </c>
      <c r="AB1418" s="6" t="s">
        <v>39544</v>
      </c>
      <c r="AC1418" s="6" t="s">
        <v>44538</v>
      </c>
      <c r="AD1418" s="6" t="s">
        <v>39941</v>
      </c>
      <c r="AE1418" s="6" t="s">
        <v>44539</v>
      </c>
      <c r="AF1418" s="6"/>
      <c r="AG1418" s="6"/>
      <c r="AH1418" s="6"/>
      <c r="AI1418" s="6"/>
      <c r="AJ1418" s="6"/>
      <c r="AK1418" s="6"/>
      <c r="AL1418" s="6"/>
      <c r="AM1418" s="6"/>
      <c r="AN1418" s="6"/>
      <c r="AO1418" s="6"/>
      <c r="AP1418" s="6"/>
      <c r="AQ1418" s="6"/>
      <c r="AR1418" s="6"/>
      <c r="AS1418" s="6"/>
      <c r="AT1418" s="6"/>
      <c r="AU1418" s="6"/>
      <c r="AV1418" s="6"/>
      <c r="AW1418" s="6"/>
      <c r="AX1418" s="6"/>
      <c r="AY1418" s="6"/>
      <c r="AZ1418" s="6"/>
      <c r="BA1418" s="6"/>
      <c r="BB1418" s="6"/>
      <c r="BC1418" s="6"/>
      <c r="BD1418" s="6"/>
      <c r="BE1418" s="6"/>
      <c r="BF1418" s="6"/>
      <c r="BG1418" s="6"/>
      <c r="BH1418" s="6"/>
      <c r="BI1418" s="6"/>
      <c r="BJ1418" s="6"/>
      <c r="BK1418" s="6"/>
      <c r="BL1418" s="6"/>
      <c r="BM1418" s="6"/>
      <c r="BN1418" s="6"/>
      <c r="BO1418" s="6"/>
      <c r="BP1418" s="6"/>
      <c r="BQ1418" s="6"/>
      <c r="BR1418" s="6"/>
      <c r="BS1418" s="6"/>
      <c r="BT1418" s="6"/>
    </row>
    <row r="1419" spans="1:72">
      <c r="A1419" s="8" t="s">
        <v>27295</v>
      </c>
      <c r="B1419" s="11" t="s">
        <v>27299</v>
      </c>
      <c r="C1419" s="9" t="s">
        <v>138</v>
      </c>
      <c r="D1419" s="10" t="s">
        <v>138</v>
      </c>
      <c r="E1419" s="28" t="s">
        <v>1460</v>
      </c>
      <c r="F1419" s="28" t="s">
        <v>474</v>
      </c>
      <c r="G1419" s="28" t="s">
        <v>162</v>
      </c>
      <c r="H1419" s="13">
        <v>3</v>
      </c>
      <c r="I1419" s="12" t="s">
        <v>27310</v>
      </c>
      <c r="J1419" s="12" t="s">
        <v>44540</v>
      </c>
      <c r="K1419" s="12" t="s">
        <v>39022</v>
      </c>
      <c r="L1419" s="12" t="s">
        <v>38363</v>
      </c>
      <c r="M1419" s="12"/>
      <c r="N1419" s="12"/>
      <c r="O1419" s="12"/>
      <c r="P1419" s="12"/>
      <c r="Q1419" s="12"/>
      <c r="R1419" s="12"/>
      <c r="S1419" s="12"/>
      <c r="T1419" s="12"/>
      <c r="U1419" s="12"/>
      <c r="V1419" s="12"/>
      <c r="W1419" s="12"/>
      <c r="X1419" s="12"/>
      <c r="Y1419" s="12"/>
      <c r="Z1419" s="12"/>
      <c r="AA1419" s="12"/>
      <c r="AB1419" s="12"/>
      <c r="AC1419" s="12"/>
      <c r="AD1419" s="12"/>
      <c r="AE1419" s="12"/>
      <c r="AF1419" s="12"/>
      <c r="AG1419" s="12"/>
      <c r="AH1419" s="12"/>
      <c r="AI1419" s="12"/>
      <c r="AJ1419" s="12"/>
      <c r="AK1419" s="12"/>
      <c r="AL1419" s="12"/>
      <c r="AM1419" s="12"/>
      <c r="AN1419" s="12"/>
      <c r="AO1419" s="12"/>
      <c r="AP1419" s="12"/>
      <c r="AQ1419" s="12"/>
      <c r="AR1419" s="12"/>
      <c r="AS1419" s="12"/>
      <c r="AT1419" s="12"/>
      <c r="AU1419" s="12"/>
      <c r="AV1419" s="12"/>
      <c r="AW1419" s="12"/>
      <c r="AX1419" s="12"/>
      <c r="AY1419" s="12"/>
      <c r="AZ1419" s="12"/>
      <c r="BA1419" s="12"/>
      <c r="BB1419" s="12"/>
      <c r="BC1419" s="12"/>
      <c r="BD1419" s="12"/>
      <c r="BE1419" s="12"/>
      <c r="BF1419" s="12"/>
      <c r="BG1419" s="12"/>
      <c r="BH1419" s="12"/>
      <c r="BI1419" s="12"/>
      <c r="BJ1419" s="12"/>
      <c r="BK1419" s="12"/>
      <c r="BL1419" s="12"/>
      <c r="BM1419" s="12"/>
      <c r="BN1419" s="12"/>
      <c r="BO1419" s="12"/>
      <c r="BP1419" s="12"/>
      <c r="BQ1419" s="12"/>
      <c r="BR1419" s="12"/>
      <c r="BS1419" s="12"/>
      <c r="BT1419" s="12"/>
    </row>
    <row r="1420" spans="1:72">
      <c r="A1420" s="2" t="s">
        <v>27314</v>
      </c>
      <c r="B1420" s="5" t="s">
        <v>27318</v>
      </c>
      <c r="C1420" s="3" t="s">
        <v>138</v>
      </c>
      <c r="D1420" s="4" t="s">
        <v>138</v>
      </c>
      <c r="E1420" s="15" t="s">
        <v>426</v>
      </c>
      <c r="F1420" s="15" t="s">
        <v>426</v>
      </c>
      <c r="G1420" s="15" t="s">
        <v>162</v>
      </c>
      <c r="H1420" s="7">
        <v>10</v>
      </c>
      <c r="I1420" s="6" t="s">
        <v>27322</v>
      </c>
      <c r="J1420" s="6" t="s">
        <v>44541</v>
      </c>
      <c r="K1420" s="6" t="s">
        <v>37878</v>
      </c>
      <c r="L1420" s="6" t="s">
        <v>42200</v>
      </c>
      <c r="M1420" s="6" t="s">
        <v>44542</v>
      </c>
      <c r="N1420" s="6" t="s">
        <v>38182</v>
      </c>
      <c r="O1420" s="6" t="s">
        <v>37890</v>
      </c>
      <c r="P1420" s="6" t="s">
        <v>38928</v>
      </c>
      <c r="Q1420" s="6" t="s">
        <v>38536</v>
      </c>
      <c r="R1420" s="6" t="s">
        <v>42630</v>
      </c>
      <c r="S1420" s="6" t="s">
        <v>42313</v>
      </c>
      <c r="T1420" s="6"/>
      <c r="U1420" s="6"/>
      <c r="V1420" s="6"/>
      <c r="W1420" s="6"/>
      <c r="X1420" s="6"/>
      <c r="Y1420" s="6"/>
      <c r="Z1420" s="6"/>
      <c r="AA1420" s="6"/>
      <c r="AB1420" s="6"/>
      <c r="AC1420" s="6"/>
      <c r="AD1420" s="6"/>
      <c r="AE1420" s="6"/>
      <c r="AF1420" s="6"/>
      <c r="AG1420" s="6"/>
      <c r="AH1420" s="6"/>
      <c r="AI1420" s="6"/>
      <c r="AJ1420" s="6"/>
      <c r="AK1420" s="6"/>
      <c r="AL1420" s="6"/>
      <c r="AM1420" s="6"/>
      <c r="AN1420" s="6"/>
      <c r="AO1420" s="6"/>
      <c r="AP1420" s="6"/>
      <c r="AQ1420" s="6"/>
      <c r="AR1420" s="6"/>
      <c r="AS1420" s="6"/>
      <c r="AT1420" s="6"/>
      <c r="AU1420" s="6"/>
      <c r="AV1420" s="6"/>
      <c r="AW1420" s="6"/>
      <c r="AX1420" s="6"/>
      <c r="AY1420" s="6"/>
      <c r="AZ1420" s="6"/>
      <c r="BA1420" s="6"/>
      <c r="BB1420" s="6"/>
      <c r="BC1420" s="6"/>
      <c r="BD1420" s="6"/>
      <c r="BE1420" s="6"/>
      <c r="BF1420" s="6"/>
      <c r="BG1420" s="6"/>
      <c r="BH1420" s="6"/>
      <c r="BI1420" s="6"/>
      <c r="BJ1420" s="6"/>
      <c r="BK1420" s="6"/>
      <c r="BL1420" s="6"/>
      <c r="BM1420" s="6"/>
      <c r="BN1420" s="6"/>
      <c r="BO1420" s="6"/>
      <c r="BP1420" s="6"/>
      <c r="BQ1420" s="6"/>
      <c r="BR1420" s="6"/>
      <c r="BS1420" s="6"/>
      <c r="BT1420" s="6"/>
    </row>
    <row r="1421" spans="1:72">
      <c r="A1421" s="8" t="s">
        <v>27325</v>
      </c>
      <c r="B1421" s="11" t="s">
        <v>27328</v>
      </c>
      <c r="C1421" s="9" t="s">
        <v>138</v>
      </c>
      <c r="D1421" s="10" t="s">
        <v>138</v>
      </c>
      <c r="E1421" s="28" t="s">
        <v>27336</v>
      </c>
      <c r="F1421" s="28" t="s">
        <v>6099</v>
      </c>
      <c r="G1421" s="28" t="s">
        <v>27338</v>
      </c>
      <c r="H1421" s="13">
        <v>5</v>
      </c>
      <c r="I1421" s="12" t="s">
        <v>27341</v>
      </c>
      <c r="J1421" s="12" t="s">
        <v>44543</v>
      </c>
      <c r="K1421" s="12" t="s">
        <v>44544</v>
      </c>
      <c r="L1421" s="12" t="s">
        <v>39700</v>
      </c>
      <c r="M1421" s="12" t="s">
        <v>42686</v>
      </c>
      <c r="N1421" s="12" t="s">
        <v>38200</v>
      </c>
      <c r="O1421" s="12"/>
      <c r="P1421" s="12"/>
      <c r="Q1421" s="12"/>
      <c r="R1421" s="12"/>
      <c r="S1421" s="12"/>
      <c r="T1421" s="12"/>
      <c r="U1421" s="12"/>
      <c r="V1421" s="12"/>
      <c r="W1421" s="12"/>
      <c r="X1421" s="12"/>
      <c r="Y1421" s="12"/>
      <c r="Z1421" s="12"/>
      <c r="AA1421" s="12"/>
      <c r="AB1421" s="12"/>
      <c r="AC1421" s="12"/>
      <c r="AD1421" s="12"/>
      <c r="AE1421" s="12"/>
      <c r="AF1421" s="12"/>
      <c r="AG1421" s="12"/>
      <c r="AH1421" s="12"/>
      <c r="AI1421" s="12"/>
      <c r="AJ1421" s="12"/>
      <c r="AK1421" s="12"/>
      <c r="AL1421" s="12"/>
      <c r="AM1421" s="12"/>
      <c r="AN1421" s="12"/>
      <c r="AO1421" s="12"/>
      <c r="AP1421" s="12"/>
      <c r="AQ1421" s="12"/>
      <c r="AR1421" s="12"/>
      <c r="AS1421" s="12"/>
      <c r="AT1421" s="12"/>
      <c r="AU1421" s="12"/>
      <c r="AV1421" s="12"/>
      <c r="AW1421" s="12"/>
      <c r="AX1421" s="12"/>
      <c r="AY1421" s="12"/>
      <c r="AZ1421" s="12"/>
      <c r="BA1421" s="12"/>
      <c r="BB1421" s="12"/>
      <c r="BC1421" s="12"/>
      <c r="BD1421" s="12"/>
      <c r="BE1421" s="12"/>
      <c r="BF1421" s="12"/>
      <c r="BG1421" s="12"/>
      <c r="BH1421" s="12"/>
      <c r="BI1421" s="12"/>
      <c r="BJ1421" s="12"/>
      <c r="BK1421" s="12"/>
      <c r="BL1421" s="12"/>
      <c r="BM1421" s="12"/>
      <c r="BN1421" s="12"/>
      <c r="BO1421" s="12"/>
      <c r="BP1421" s="12"/>
      <c r="BQ1421" s="12"/>
      <c r="BR1421" s="12"/>
      <c r="BS1421" s="12"/>
      <c r="BT1421" s="12"/>
    </row>
    <row r="1422" spans="1:72">
      <c r="A1422" s="2" t="s">
        <v>27344</v>
      </c>
      <c r="B1422" s="5" t="s">
        <v>27350</v>
      </c>
      <c r="C1422" s="3" t="s">
        <v>138</v>
      </c>
      <c r="D1422" s="4" t="s">
        <v>138</v>
      </c>
      <c r="E1422" s="15" t="s">
        <v>25401</v>
      </c>
      <c r="F1422" s="15" t="s">
        <v>2740</v>
      </c>
      <c r="G1422" s="15" t="s">
        <v>2742</v>
      </c>
      <c r="H1422" s="7">
        <v>11</v>
      </c>
      <c r="I1422" s="6" t="s">
        <v>27362</v>
      </c>
      <c r="J1422" s="6" t="s">
        <v>44449</v>
      </c>
      <c r="K1422" s="6" t="s">
        <v>39020</v>
      </c>
      <c r="L1422" s="6" t="s">
        <v>44545</v>
      </c>
      <c r="M1422" s="6" t="s">
        <v>42825</v>
      </c>
      <c r="N1422" s="6" t="s">
        <v>44546</v>
      </c>
      <c r="O1422" s="6" t="s">
        <v>44547</v>
      </c>
      <c r="P1422" s="6" t="s">
        <v>44548</v>
      </c>
      <c r="Q1422" s="6" t="s">
        <v>43360</v>
      </c>
      <c r="R1422" s="6" t="s">
        <v>44549</v>
      </c>
      <c r="S1422" s="6" t="s">
        <v>38767</v>
      </c>
      <c r="T1422" s="6" t="s">
        <v>37871</v>
      </c>
      <c r="U1422" s="6"/>
      <c r="V1422" s="6"/>
      <c r="W1422" s="6"/>
      <c r="X1422" s="6"/>
      <c r="Y1422" s="6"/>
      <c r="Z1422" s="6"/>
      <c r="AA1422" s="6"/>
      <c r="AB1422" s="6"/>
      <c r="AC1422" s="6"/>
      <c r="AD1422" s="6"/>
      <c r="AE1422" s="6"/>
      <c r="AF1422" s="6"/>
      <c r="AG1422" s="6"/>
      <c r="AH1422" s="6"/>
      <c r="AI1422" s="6"/>
      <c r="AJ1422" s="6"/>
      <c r="AK1422" s="6"/>
      <c r="AL1422" s="6"/>
      <c r="AM1422" s="6"/>
      <c r="AN1422" s="6"/>
      <c r="AO1422" s="6"/>
      <c r="AP1422" s="6"/>
      <c r="AQ1422" s="6"/>
      <c r="AR1422" s="6"/>
      <c r="AS1422" s="6"/>
      <c r="AT1422" s="6"/>
      <c r="AU1422" s="6"/>
      <c r="AV1422" s="6"/>
      <c r="AW1422" s="6"/>
      <c r="AX1422" s="6"/>
      <c r="AY1422" s="6"/>
      <c r="AZ1422" s="6"/>
      <c r="BA1422" s="6"/>
      <c r="BB1422" s="6"/>
      <c r="BC1422" s="6"/>
      <c r="BD1422" s="6"/>
      <c r="BE1422" s="6"/>
      <c r="BF1422" s="6"/>
      <c r="BG1422" s="6"/>
      <c r="BH1422" s="6"/>
      <c r="BI1422" s="6"/>
      <c r="BJ1422" s="6"/>
      <c r="BK1422" s="6"/>
      <c r="BL1422" s="6"/>
      <c r="BM1422" s="6"/>
      <c r="BN1422" s="6"/>
      <c r="BO1422" s="6"/>
      <c r="BP1422" s="6"/>
      <c r="BQ1422" s="6"/>
      <c r="BR1422" s="6"/>
      <c r="BS1422" s="6"/>
      <c r="BT1422" s="6"/>
    </row>
    <row r="1423" spans="1:72">
      <c r="A1423" s="8" t="s">
        <v>27366</v>
      </c>
      <c r="B1423" s="11" t="s">
        <v>27370</v>
      </c>
      <c r="C1423" s="9" t="s">
        <v>27367</v>
      </c>
      <c r="D1423" s="10" t="s">
        <v>138</v>
      </c>
      <c r="E1423" s="28" t="s">
        <v>3907</v>
      </c>
      <c r="F1423" s="28" t="s">
        <v>2740</v>
      </c>
      <c r="G1423" s="28" t="s">
        <v>2742</v>
      </c>
      <c r="H1423" s="13">
        <v>3</v>
      </c>
      <c r="I1423" s="12" t="s">
        <v>27382</v>
      </c>
      <c r="J1423" s="12" t="s">
        <v>44550</v>
      </c>
      <c r="K1423" s="12" t="s">
        <v>44551</v>
      </c>
      <c r="L1423" s="12" t="s">
        <v>38775</v>
      </c>
      <c r="M1423" s="12"/>
      <c r="N1423" s="12"/>
      <c r="O1423" s="12"/>
      <c r="P1423" s="12"/>
      <c r="Q1423" s="12"/>
      <c r="R1423" s="12"/>
      <c r="S1423" s="12"/>
      <c r="T1423" s="12"/>
      <c r="U1423" s="12"/>
      <c r="V1423" s="12"/>
      <c r="W1423" s="12"/>
      <c r="X1423" s="12"/>
      <c r="Y1423" s="12"/>
      <c r="Z1423" s="12"/>
      <c r="AA1423" s="12"/>
      <c r="AB1423" s="12"/>
      <c r="AC1423" s="12"/>
      <c r="AD1423" s="12"/>
      <c r="AE1423" s="12"/>
      <c r="AF1423" s="12"/>
      <c r="AG1423" s="12"/>
      <c r="AH1423" s="12"/>
      <c r="AI1423" s="12"/>
      <c r="AJ1423" s="12"/>
      <c r="AK1423" s="12"/>
      <c r="AL1423" s="12"/>
      <c r="AM1423" s="12"/>
      <c r="AN1423" s="12"/>
      <c r="AO1423" s="12"/>
      <c r="AP1423" s="12"/>
      <c r="AQ1423" s="12"/>
      <c r="AR1423" s="12"/>
      <c r="AS1423" s="12"/>
      <c r="AT1423" s="12"/>
      <c r="AU1423" s="12"/>
      <c r="AV1423" s="12"/>
      <c r="AW1423" s="12"/>
      <c r="AX1423" s="12"/>
      <c r="AY1423" s="12"/>
      <c r="AZ1423" s="12"/>
      <c r="BA1423" s="12"/>
      <c r="BB1423" s="12"/>
      <c r="BC1423" s="12"/>
      <c r="BD1423" s="12"/>
      <c r="BE1423" s="12"/>
      <c r="BF1423" s="12"/>
      <c r="BG1423" s="12"/>
      <c r="BH1423" s="12"/>
      <c r="BI1423" s="12"/>
      <c r="BJ1423" s="12"/>
      <c r="BK1423" s="12"/>
      <c r="BL1423" s="12"/>
      <c r="BM1423" s="12"/>
      <c r="BN1423" s="12"/>
      <c r="BO1423" s="12"/>
      <c r="BP1423" s="12"/>
      <c r="BQ1423" s="12"/>
      <c r="BR1423" s="12"/>
      <c r="BS1423" s="12"/>
      <c r="BT1423" s="12"/>
    </row>
    <row r="1424" spans="1:72">
      <c r="A1424" s="2" t="s">
        <v>27385</v>
      </c>
      <c r="B1424" s="5" t="s">
        <v>27391</v>
      </c>
      <c r="C1424" s="3" t="s">
        <v>138</v>
      </c>
      <c r="D1424" s="4" t="s">
        <v>138</v>
      </c>
      <c r="E1424" s="15" t="s">
        <v>27400</v>
      </c>
      <c r="F1424" s="15" t="s">
        <v>138</v>
      </c>
      <c r="G1424" s="15" t="s">
        <v>946</v>
      </c>
      <c r="H1424" s="7">
        <v>8</v>
      </c>
      <c r="I1424" s="6" t="s">
        <v>27405</v>
      </c>
      <c r="J1424" s="6" t="s">
        <v>36904</v>
      </c>
      <c r="K1424" s="6" t="s">
        <v>42080</v>
      </c>
      <c r="L1424" s="6" t="s">
        <v>39450</v>
      </c>
      <c r="M1424" s="6" t="s">
        <v>37839</v>
      </c>
      <c r="N1424" s="6" t="s">
        <v>44552</v>
      </c>
      <c r="O1424" s="6" t="s">
        <v>44553</v>
      </c>
      <c r="P1424" s="6" t="s">
        <v>44554</v>
      </c>
      <c r="Q1424" s="6" t="s">
        <v>42296</v>
      </c>
      <c r="R1424" s="6"/>
      <c r="S1424" s="6"/>
      <c r="T1424" s="6"/>
      <c r="U1424" s="6"/>
      <c r="V1424" s="6"/>
      <c r="W1424" s="6"/>
      <c r="X1424" s="6"/>
      <c r="Y1424" s="6"/>
      <c r="Z1424" s="6"/>
      <c r="AA1424" s="6"/>
      <c r="AB1424" s="6"/>
      <c r="AC1424" s="6"/>
      <c r="AD1424" s="6"/>
      <c r="AE1424" s="6"/>
      <c r="AF1424" s="6"/>
      <c r="AG1424" s="6"/>
      <c r="AH1424" s="6"/>
      <c r="AI1424" s="6"/>
      <c r="AJ1424" s="6"/>
      <c r="AK1424" s="6"/>
      <c r="AL1424" s="6"/>
      <c r="AM1424" s="6"/>
      <c r="AN1424" s="6"/>
      <c r="AO1424" s="6"/>
      <c r="AP1424" s="6"/>
      <c r="AQ1424" s="6"/>
      <c r="AR1424" s="6"/>
      <c r="AS1424" s="6"/>
      <c r="AT1424" s="6"/>
      <c r="AU1424" s="6"/>
      <c r="AV1424" s="6"/>
      <c r="AW1424" s="6"/>
      <c r="AX1424" s="6"/>
      <c r="AY1424" s="6"/>
      <c r="AZ1424" s="6"/>
      <c r="BA1424" s="6"/>
      <c r="BB1424" s="6"/>
      <c r="BC1424" s="6"/>
      <c r="BD1424" s="6"/>
      <c r="BE1424" s="6"/>
      <c r="BF1424" s="6"/>
      <c r="BG1424" s="6"/>
      <c r="BH1424" s="6"/>
      <c r="BI1424" s="6"/>
      <c r="BJ1424" s="6"/>
      <c r="BK1424" s="6"/>
      <c r="BL1424" s="6"/>
      <c r="BM1424" s="6"/>
      <c r="BN1424" s="6"/>
      <c r="BO1424" s="6"/>
      <c r="BP1424" s="6"/>
      <c r="BQ1424" s="6"/>
      <c r="BR1424" s="6"/>
      <c r="BS1424" s="6"/>
      <c r="BT1424" s="6"/>
    </row>
    <row r="1425" spans="1:72">
      <c r="A1425" s="8" t="s">
        <v>27411</v>
      </c>
      <c r="B1425" s="11" t="s">
        <v>27417</v>
      </c>
      <c r="C1425" s="9" t="s">
        <v>27412</v>
      </c>
      <c r="D1425" s="10" t="s">
        <v>138</v>
      </c>
      <c r="E1425" s="28" t="s">
        <v>7079</v>
      </c>
      <c r="F1425" s="28" t="s">
        <v>200</v>
      </c>
      <c r="G1425" s="28" t="s">
        <v>162</v>
      </c>
      <c r="H1425" s="13">
        <v>6</v>
      </c>
      <c r="I1425" s="12" t="s">
        <v>27425</v>
      </c>
      <c r="J1425" s="12" t="s">
        <v>44555</v>
      </c>
      <c r="K1425" s="12" t="s">
        <v>41134</v>
      </c>
      <c r="L1425" s="12" t="s">
        <v>44556</v>
      </c>
      <c r="M1425" s="12" t="s">
        <v>44557</v>
      </c>
      <c r="N1425" s="12" t="s">
        <v>40938</v>
      </c>
      <c r="O1425" s="12" t="s">
        <v>38705</v>
      </c>
      <c r="P1425" s="12"/>
      <c r="Q1425" s="12"/>
      <c r="R1425" s="12"/>
      <c r="S1425" s="12"/>
      <c r="T1425" s="12"/>
      <c r="U1425" s="12"/>
      <c r="V1425" s="12"/>
      <c r="W1425" s="12"/>
      <c r="X1425" s="12"/>
      <c r="Y1425" s="12"/>
      <c r="Z1425" s="12"/>
      <c r="AA1425" s="12"/>
      <c r="AB1425" s="12"/>
      <c r="AC1425" s="12"/>
      <c r="AD1425" s="12"/>
      <c r="AE1425" s="12"/>
      <c r="AF1425" s="12"/>
      <c r="AG1425" s="12"/>
      <c r="AH1425" s="12"/>
      <c r="AI1425" s="12"/>
      <c r="AJ1425" s="12"/>
      <c r="AK1425" s="12"/>
      <c r="AL1425" s="12"/>
      <c r="AM1425" s="12"/>
      <c r="AN1425" s="12"/>
      <c r="AO1425" s="12"/>
      <c r="AP1425" s="12"/>
      <c r="AQ1425" s="12"/>
      <c r="AR1425" s="12"/>
      <c r="AS1425" s="12"/>
      <c r="AT1425" s="12"/>
      <c r="AU1425" s="12"/>
      <c r="AV1425" s="12"/>
      <c r="AW1425" s="12"/>
      <c r="AX1425" s="12"/>
      <c r="AY1425" s="12"/>
      <c r="AZ1425" s="12"/>
      <c r="BA1425" s="12"/>
      <c r="BB1425" s="12"/>
      <c r="BC1425" s="12"/>
      <c r="BD1425" s="12"/>
      <c r="BE1425" s="12"/>
      <c r="BF1425" s="12"/>
      <c r="BG1425" s="12"/>
      <c r="BH1425" s="12"/>
      <c r="BI1425" s="12"/>
      <c r="BJ1425" s="12"/>
      <c r="BK1425" s="12"/>
      <c r="BL1425" s="12"/>
      <c r="BM1425" s="12"/>
      <c r="BN1425" s="12"/>
      <c r="BO1425" s="12"/>
      <c r="BP1425" s="12"/>
      <c r="BQ1425" s="12"/>
      <c r="BR1425" s="12"/>
      <c r="BS1425" s="12"/>
      <c r="BT1425" s="12"/>
    </row>
    <row r="1426" spans="1:72">
      <c r="A1426" s="2" t="s">
        <v>27428</v>
      </c>
      <c r="B1426" s="5" t="s">
        <v>27432</v>
      </c>
      <c r="C1426" s="3" t="s">
        <v>138</v>
      </c>
      <c r="D1426" s="4" t="s">
        <v>138</v>
      </c>
      <c r="E1426" s="15" t="s">
        <v>426</v>
      </c>
      <c r="F1426" s="15" t="s">
        <v>426</v>
      </c>
      <c r="G1426" s="15" t="s">
        <v>162</v>
      </c>
      <c r="H1426" s="7">
        <v>26</v>
      </c>
      <c r="I1426" s="6" t="s">
        <v>27442</v>
      </c>
      <c r="J1426" s="6" t="s">
        <v>38733</v>
      </c>
      <c r="K1426" s="6" t="s">
        <v>44558</v>
      </c>
      <c r="L1426" s="6" t="s">
        <v>44559</v>
      </c>
      <c r="M1426" s="6" t="s">
        <v>37938</v>
      </c>
      <c r="N1426" s="6" t="s">
        <v>39052</v>
      </c>
      <c r="O1426" s="6" t="s">
        <v>37819</v>
      </c>
      <c r="P1426" s="6" t="s">
        <v>38331</v>
      </c>
      <c r="Q1426" s="6" t="s">
        <v>39093</v>
      </c>
      <c r="R1426" s="6" t="s">
        <v>37985</v>
      </c>
      <c r="S1426" s="6" t="s">
        <v>40326</v>
      </c>
      <c r="T1426" s="6" t="s">
        <v>40149</v>
      </c>
      <c r="U1426" s="6" t="s">
        <v>44560</v>
      </c>
      <c r="V1426" s="6" t="s">
        <v>44561</v>
      </c>
      <c r="W1426" s="6" t="s">
        <v>37824</v>
      </c>
      <c r="X1426" s="6" t="s">
        <v>38022</v>
      </c>
      <c r="Y1426" s="6" t="s">
        <v>40873</v>
      </c>
      <c r="Z1426" s="6" t="s">
        <v>38129</v>
      </c>
      <c r="AA1426" s="6" t="s">
        <v>44562</v>
      </c>
      <c r="AB1426" s="6" t="s">
        <v>44563</v>
      </c>
      <c r="AC1426" s="6" t="s">
        <v>37999</v>
      </c>
      <c r="AD1426" s="6" t="s">
        <v>41850</v>
      </c>
      <c r="AE1426" s="6" t="s">
        <v>38480</v>
      </c>
      <c r="AF1426" s="6" t="s">
        <v>44564</v>
      </c>
      <c r="AG1426" s="6" t="s">
        <v>38201</v>
      </c>
      <c r="AH1426" s="6" t="s">
        <v>39351</v>
      </c>
      <c r="AI1426" s="6" t="s">
        <v>38536</v>
      </c>
      <c r="AJ1426" s="6"/>
      <c r="AK1426" s="6"/>
      <c r="AL1426" s="6"/>
      <c r="AM1426" s="6"/>
      <c r="AN1426" s="6"/>
      <c r="AO1426" s="6"/>
      <c r="AP1426" s="6"/>
      <c r="AQ1426" s="6"/>
      <c r="AR1426" s="6"/>
      <c r="AS1426" s="6"/>
      <c r="AT1426" s="6"/>
      <c r="AU1426" s="6"/>
      <c r="AV1426" s="6"/>
      <c r="AW1426" s="6"/>
      <c r="AX1426" s="6"/>
      <c r="AY1426" s="6"/>
      <c r="AZ1426" s="6"/>
      <c r="BA1426" s="6"/>
      <c r="BB1426" s="6"/>
      <c r="BC1426" s="6"/>
      <c r="BD1426" s="6"/>
      <c r="BE1426" s="6"/>
      <c r="BF1426" s="6"/>
      <c r="BG1426" s="6"/>
      <c r="BH1426" s="6"/>
      <c r="BI1426" s="6"/>
      <c r="BJ1426" s="6"/>
      <c r="BK1426" s="6"/>
      <c r="BL1426" s="6"/>
      <c r="BM1426" s="6"/>
      <c r="BN1426" s="6"/>
      <c r="BO1426" s="6"/>
      <c r="BP1426" s="6"/>
      <c r="BQ1426" s="6"/>
      <c r="BR1426" s="6"/>
      <c r="BS1426" s="6"/>
      <c r="BT1426" s="6"/>
    </row>
    <row r="1427" spans="1:72">
      <c r="A1427" s="8" t="s">
        <v>27446</v>
      </c>
      <c r="B1427" s="11" t="s">
        <v>27452</v>
      </c>
      <c r="C1427" s="9" t="s">
        <v>138</v>
      </c>
      <c r="D1427" s="10" t="s">
        <v>138</v>
      </c>
      <c r="E1427" s="28" t="s">
        <v>6495</v>
      </c>
      <c r="F1427" s="28" t="s">
        <v>138</v>
      </c>
      <c r="G1427" s="28" t="s">
        <v>6495</v>
      </c>
      <c r="H1427" s="13">
        <v>12</v>
      </c>
      <c r="I1427" s="12" t="s">
        <v>27463</v>
      </c>
      <c r="J1427" s="12" t="s">
        <v>39313</v>
      </c>
      <c r="K1427" s="12" t="s">
        <v>38663</v>
      </c>
      <c r="L1427" s="12" t="s">
        <v>38416</v>
      </c>
      <c r="M1427" s="12" t="s">
        <v>39917</v>
      </c>
      <c r="N1427" s="12" t="s">
        <v>44565</v>
      </c>
      <c r="O1427" s="12" t="s">
        <v>44566</v>
      </c>
      <c r="P1427" s="12" t="s">
        <v>44567</v>
      </c>
      <c r="Q1427" s="12" t="s">
        <v>41149</v>
      </c>
      <c r="R1427" s="12" t="s">
        <v>39517</v>
      </c>
      <c r="S1427" s="12" t="s">
        <v>44568</v>
      </c>
      <c r="T1427" s="12" t="s">
        <v>43167</v>
      </c>
      <c r="U1427" s="12" t="s">
        <v>44569</v>
      </c>
      <c r="V1427" s="12"/>
      <c r="W1427" s="12"/>
      <c r="X1427" s="12"/>
      <c r="Y1427" s="12"/>
      <c r="Z1427" s="12"/>
      <c r="AA1427" s="12"/>
      <c r="AB1427" s="12"/>
      <c r="AC1427" s="12"/>
      <c r="AD1427" s="12"/>
      <c r="AE1427" s="12"/>
      <c r="AF1427" s="12"/>
      <c r="AG1427" s="12"/>
      <c r="AH1427" s="12"/>
      <c r="AI1427" s="12"/>
      <c r="AJ1427" s="12"/>
      <c r="AK1427" s="12"/>
      <c r="AL1427" s="12"/>
      <c r="AM1427" s="12"/>
      <c r="AN1427" s="12"/>
      <c r="AO1427" s="12"/>
      <c r="AP1427" s="12"/>
      <c r="AQ1427" s="12"/>
      <c r="AR1427" s="12"/>
      <c r="AS1427" s="12"/>
      <c r="AT1427" s="12"/>
      <c r="AU1427" s="12"/>
      <c r="AV1427" s="12"/>
      <c r="AW1427" s="12"/>
      <c r="AX1427" s="12"/>
      <c r="AY1427" s="12"/>
      <c r="AZ1427" s="12"/>
      <c r="BA1427" s="12"/>
      <c r="BB1427" s="12"/>
      <c r="BC1427" s="12"/>
      <c r="BD1427" s="12"/>
      <c r="BE1427" s="12"/>
      <c r="BF1427" s="12"/>
      <c r="BG1427" s="12"/>
      <c r="BH1427" s="12"/>
      <c r="BI1427" s="12"/>
      <c r="BJ1427" s="12"/>
      <c r="BK1427" s="12"/>
      <c r="BL1427" s="12"/>
      <c r="BM1427" s="12"/>
      <c r="BN1427" s="12"/>
      <c r="BO1427" s="12"/>
      <c r="BP1427" s="12"/>
      <c r="BQ1427" s="12"/>
      <c r="BR1427" s="12"/>
      <c r="BS1427" s="12"/>
      <c r="BT1427" s="12"/>
    </row>
    <row r="1428" spans="1:72">
      <c r="A1428" s="2" t="s">
        <v>27466</v>
      </c>
      <c r="B1428" s="5" t="s">
        <v>27473</v>
      </c>
      <c r="C1428" s="3" t="s">
        <v>27467</v>
      </c>
      <c r="D1428" s="4" t="s">
        <v>138</v>
      </c>
      <c r="E1428" s="15" t="s">
        <v>6404</v>
      </c>
      <c r="F1428" s="15" t="s">
        <v>200</v>
      </c>
      <c r="G1428" s="15" t="s">
        <v>162</v>
      </c>
      <c r="H1428" s="7">
        <v>15</v>
      </c>
      <c r="I1428" s="6" t="s">
        <v>27484</v>
      </c>
      <c r="J1428" s="6" t="s">
        <v>38648</v>
      </c>
      <c r="K1428" s="6" t="s">
        <v>40679</v>
      </c>
      <c r="L1428" s="6" t="s">
        <v>44570</v>
      </c>
      <c r="M1428" s="6" t="s">
        <v>44571</v>
      </c>
      <c r="N1428" s="6" t="s">
        <v>38076</v>
      </c>
      <c r="O1428" s="6" t="s">
        <v>44572</v>
      </c>
      <c r="P1428" s="6" t="s">
        <v>43256</v>
      </c>
      <c r="Q1428" s="6" t="s">
        <v>41794</v>
      </c>
      <c r="R1428" s="6" t="s">
        <v>44573</v>
      </c>
      <c r="S1428" s="6" t="s">
        <v>44574</v>
      </c>
      <c r="T1428" s="6" t="s">
        <v>44575</v>
      </c>
      <c r="U1428" s="6" t="s">
        <v>38321</v>
      </c>
      <c r="V1428" s="6" t="s">
        <v>43260</v>
      </c>
      <c r="W1428" s="6" t="s">
        <v>38200</v>
      </c>
      <c r="X1428" s="6" t="s">
        <v>38895</v>
      </c>
      <c r="Y1428" s="6"/>
      <c r="Z1428" s="6"/>
      <c r="AA1428" s="6"/>
      <c r="AB1428" s="6"/>
      <c r="AC1428" s="6"/>
      <c r="AD1428" s="6"/>
      <c r="AE1428" s="6"/>
      <c r="AF1428" s="6"/>
      <c r="AG1428" s="6"/>
      <c r="AH1428" s="6"/>
      <c r="AI1428" s="6"/>
      <c r="AJ1428" s="6"/>
      <c r="AK1428" s="6"/>
      <c r="AL1428" s="6"/>
      <c r="AM1428" s="6"/>
      <c r="AN1428" s="6"/>
      <c r="AO1428" s="6"/>
      <c r="AP1428" s="6"/>
      <c r="AQ1428" s="6"/>
      <c r="AR1428" s="6"/>
      <c r="AS1428" s="6"/>
      <c r="AT1428" s="6"/>
      <c r="AU1428" s="6"/>
      <c r="AV1428" s="6"/>
      <c r="AW1428" s="6"/>
      <c r="AX1428" s="6"/>
      <c r="AY1428" s="6"/>
      <c r="AZ1428" s="6"/>
      <c r="BA1428" s="6"/>
      <c r="BB1428" s="6"/>
      <c r="BC1428" s="6"/>
      <c r="BD1428" s="6"/>
      <c r="BE1428" s="6"/>
      <c r="BF1428" s="6"/>
      <c r="BG1428" s="6"/>
      <c r="BH1428" s="6"/>
      <c r="BI1428" s="6"/>
      <c r="BJ1428" s="6"/>
      <c r="BK1428" s="6"/>
      <c r="BL1428" s="6"/>
      <c r="BM1428" s="6"/>
      <c r="BN1428" s="6"/>
      <c r="BO1428" s="6"/>
      <c r="BP1428" s="6"/>
      <c r="BQ1428" s="6"/>
      <c r="BR1428" s="6"/>
      <c r="BS1428" s="6"/>
      <c r="BT1428" s="6"/>
    </row>
    <row r="1429" spans="1:72">
      <c r="A1429" s="8" t="s">
        <v>27489</v>
      </c>
      <c r="B1429" s="11" t="s">
        <v>27493</v>
      </c>
      <c r="C1429" s="9" t="s">
        <v>138</v>
      </c>
      <c r="D1429" s="10" t="s">
        <v>138</v>
      </c>
      <c r="E1429" s="28" t="s">
        <v>27501</v>
      </c>
      <c r="F1429" s="28" t="s">
        <v>27502</v>
      </c>
      <c r="G1429" s="28" t="s">
        <v>2071</v>
      </c>
      <c r="H1429" s="13">
        <v>1</v>
      </c>
      <c r="I1429" s="12" t="s">
        <v>2075</v>
      </c>
      <c r="J1429" s="12" t="s">
        <v>2075</v>
      </c>
      <c r="K1429" s="12"/>
      <c r="L1429" s="12"/>
      <c r="M1429" s="12"/>
      <c r="N1429" s="12"/>
      <c r="O1429" s="12"/>
      <c r="P1429" s="12"/>
      <c r="Q1429" s="12"/>
      <c r="R1429" s="12"/>
      <c r="S1429" s="12"/>
      <c r="T1429" s="12"/>
      <c r="U1429" s="12"/>
      <c r="V1429" s="12"/>
      <c r="W1429" s="12"/>
      <c r="X1429" s="12"/>
      <c r="Y1429" s="12"/>
      <c r="Z1429" s="12"/>
      <c r="AA1429" s="12"/>
      <c r="AB1429" s="12"/>
      <c r="AC1429" s="12"/>
      <c r="AD1429" s="12"/>
      <c r="AE1429" s="12"/>
      <c r="AF1429" s="12"/>
      <c r="AG1429" s="12"/>
      <c r="AH1429" s="12"/>
      <c r="AI1429" s="12"/>
      <c r="AJ1429" s="12"/>
      <c r="AK1429" s="12"/>
      <c r="AL1429" s="12"/>
      <c r="AM1429" s="12"/>
      <c r="AN1429" s="12"/>
      <c r="AO1429" s="12"/>
      <c r="AP1429" s="12"/>
      <c r="AQ1429" s="12"/>
      <c r="AR1429" s="12"/>
      <c r="AS1429" s="12"/>
      <c r="AT1429" s="12"/>
      <c r="AU1429" s="12"/>
      <c r="AV1429" s="12"/>
      <c r="AW1429" s="12"/>
      <c r="AX1429" s="12"/>
      <c r="AY1429" s="12"/>
      <c r="AZ1429" s="12"/>
      <c r="BA1429" s="12"/>
      <c r="BB1429" s="12"/>
      <c r="BC1429" s="12"/>
      <c r="BD1429" s="12"/>
      <c r="BE1429" s="12"/>
      <c r="BF1429" s="12"/>
      <c r="BG1429" s="12"/>
      <c r="BH1429" s="12"/>
      <c r="BI1429" s="12"/>
      <c r="BJ1429" s="12"/>
      <c r="BK1429" s="12"/>
      <c r="BL1429" s="12"/>
      <c r="BM1429" s="12"/>
      <c r="BN1429" s="12"/>
      <c r="BO1429" s="12"/>
      <c r="BP1429" s="12"/>
      <c r="BQ1429" s="12"/>
      <c r="BR1429" s="12"/>
      <c r="BS1429" s="12"/>
      <c r="BT1429" s="12"/>
    </row>
    <row r="1430" spans="1:72">
      <c r="A1430" s="2" t="s">
        <v>27508</v>
      </c>
      <c r="B1430" s="5" t="s">
        <v>27513</v>
      </c>
      <c r="C1430" s="3" t="s">
        <v>138</v>
      </c>
      <c r="D1430" s="4" t="s">
        <v>138</v>
      </c>
      <c r="E1430" s="15" t="s">
        <v>1246</v>
      </c>
      <c r="F1430" s="15" t="s">
        <v>200</v>
      </c>
      <c r="G1430" s="15" t="s">
        <v>162</v>
      </c>
      <c r="H1430" s="7">
        <v>7</v>
      </c>
      <c r="I1430" s="6" t="s">
        <v>27522</v>
      </c>
      <c r="J1430" s="6" t="s">
        <v>39985</v>
      </c>
      <c r="K1430" s="6" t="s">
        <v>44576</v>
      </c>
      <c r="L1430" s="6" t="s">
        <v>39140</v>
      </c>
      <c r="M1430" s="6" t="s">
        <v>38806</v>
      </c>
      <c r="N1430" s="6" t="s">
        <v>44577</v>
      </c>
      <c r="O1430" s="6" t="s">
        <v>37868</v>
      </c>
      <c r="P1430" s="6" t="s">
        <v>44578</v>
      </c>
      <c r="Q1430" s="6"/>
      <c r="R1430" s="6"/>
      <c r="S1430" s="6"/>
      <c r="T1430" s="6"/>
      <c r="U1430" s="6"/>
      <c r="V1430" s="6"/>
      <c r="W1430" s="6"/>
      <c r="X1430" s="6"/>
      <c r="Y1430" s="6"/>
      <c r="Z1430" s="6"/>
      <c r="AA1430" s="6"/>
      <c r="AB1430" s="6"/>
      <c r="AC1430" s="6"/>
      <c r="AD1430" s="6"/>
      <c r="AE1430" s="6"/>
      <c r="AF1430" s="6"/>
      <c r="AG1430" s="6"/>
      <c r="AH1430" s="6"/>
      <c r="AI1430" s="6"/>
      <c r="AJ1430" s="6"/>
      <c r="AK1430" s="6"/>
      <c r="AL1430" s="6"/>
      <c r="AM1430" s="6"/>
      <c r="AN1430" s="6"/>
      <c r="AO1430" s="6"/>
      <c r="AP1430" s="6"/>
      <c r="AQ1430" s="6"/>
      <c r="AR1430" s="6"/>
      <c r="AS1430" s="6"/>
      <c r="AT1430" s="6"/>
      <c r="AU1430" s="6"/>
      <c r="AV1430" s="6"/>
      <c r="AW1430" s="6"/>
      <c r="AX1430" s="6"/>
      <c r="AY1430" s="6"/>
      <c r="AZ1430" s="6"/>
      <c r="BA1430" s="6"/>
      <c r="BB1430" s="6"/>
      <c r="BC1430" s="6"/>
      <c r="BD1430" s="6"/>
      <c r="BE1430" s="6"/>
      <c r="BF1430" s="6"/>
      <c r="BG1430" s="6"/>
      <c r="BH1430" s="6"/>
      <c r="BI1430" s="6"/>
      <c r="BJ1430" s="6"/>
      <c r="BK1430" s="6"/>
      <c r="BL1430" s="6"/>
      <c r="BM1430" s="6"/>
      <c r="BN1430" s="6"/>
      <c r="BO1430" s="6"/>
      <c r="BP1430" s="6"/>
      <c r="BQ1430" s="6"/>
      <c r="BR1430" s="6"/>
      <c r="BS1430" s="6"/>
      <c r="BT1430" s="6"/>
    </row>
    <row r="1431" spans="1:72">
      <c r="A1431" s="8" t="s">
        <v>27527</v>
      </c>
      <c r="B1431" s="11" t="s">
        <v>27532</v>
      </c>
      <c r="C1431" s="9" t="s">
        <v>138</v>
      </c>
      <c r="D1431" s="10" t="s">
        <v>138</v>
      </c>
      <c r="E1431" s="28" t="s">
        <v>27540</v>
      </c>
      <c r="F1431" s="28" t="s">
        <v>138</v>
      </c>
      <c r="G1431" s="28" t="s">
        <v>10418</v>
      </c>
      <c r="H1431" s="13">
        <v>5</v>
      </c>
      <c r="I1431" s="12" t="s">
        <v>27544</v>
      </c>
      <c r="J1431" s="12" t="s">
        <v>39462</v>
      </c>
      <c r="K1431" s="12" t="s">
        <v>43106</v>
      </c>
      <c r="L1431" s="12" t="s">
        <v>42395</v>
      </c>
      <c r="M1431" s="12" t="s">
        <v>44579</v>
      </c>
      <c r="N1431" s="12" t="s">
        <v>44580</v>
      </c>
      <c r="O1431" s="12"/>
      <c r="P1431" s="12"/>
      <c r="Q1431" s="12"/>
      <c r="R1431" s="12"/>
      <c r="S1431" s="12"/>
      <c r="T1431" s="12"/>
      <c r="U1431" s="12"/>
      <c r="V1431" s="12"/>
      <c r="W1431" s="12"/>
      <c r="X1431" s="12"/>
      <c r="Y1431" s="12"/>
      <c r="Z1431" s="12"/>
      <c r="AA1431" s="12"/>
      <c r="AB1431" s="12"/>
      <c r="AC1431" s="12"/>
      <c r="AD1431" s="12"/>
      <c r="AE1431" s="12"/>
      <c r="AF1431" s="12"/>
      <c r="AG1431" s="12"/>
      <c r="AH1431" s="12"/>
      <c r="AI1431" s="12"/>
      <c r="AJ1431" s="12"/>
      <c r="AK1431" s="12"/>
      <c r="AL1431" s="12"/>
      <c r="AM1431" s="12"/>
      <c r="AN1431" s="12"/>
      <c r="AO1431" s="12"/>
      <c r="AP1431" s="12"/>
      <c r="AQ1431" s="12"/>
      <c r="AR1431" s="12"/>
      <c r="AS1431" s="12"/>
      <c r="AT1431" s="12"/>
      <c r="AU1431" s="12"/>
      <c r="AV1431" s="12"/>
      <c r="AW1431" s="12"/>
      <c r="AX1431" s="12"/>
      <c r="AY1431" s="12"/>
      <c r="AZ1431" s="12"/>
      <c r="BA1431" s="12"/>
      <c r="BB1431" s="12"/>
      <c r="BC1431" s="12"/>
      <c r="BD1431" s="12"/>
      <c r="BE1431" s="12"/>
      <c r="BF1431" s="12"/>
      <c r="BG1431" s="12"/>
      <c r="BH1431" s="12"/>
      <c r="BI1431" s="12"/>
      <c r="BJ1431" s="12"/>
      <c r="BK1431" s="12"/>
      <c r="BL1431" s="12"/>
      <c r="BM1431" s="12"/>
      <c r="BN1431" s="12"/>
      <c r="BO1431" s="12"/>
      <c r="BP1431" s="12"/>
      <c r="BQ1431" s="12"/>
      <c r="BR1431" s="12"/>
      <c r="BS1431" s="12"/>
      <c r="BT1431" s="12"/>
    </row>
    <row r="1432" spans="1:72">
      <c r="A1432" s="2" t="s">
        <v>27548</v>
      </c>
      <c r="B1432" s="5" t="s">
        <v>27553</v>
      </c>
      <c r="C1432" s="3" t="s">
        <v>138</v>
      </c>
      <c r="D1432" s="4" t="s">
        <v>138</v>
      </c>
      <c r="E1432" s="15" t="s">
        <v>4349</v>
      </c>
      <c r="F1432" s="15" t="s">
        <v>27561</v>
      </c>
      <c r="G1432" s="15" t="s">
        <v>1054</v>
      </c>
      <c r="H1432" s="7">
        <v>7</v>
      </c>
      <c r="I1432" s="6" t="s">
        <v>27565</v>
      </c>
      <c r="J1432" s="6" t="s">
        <v>43644</v>
      </c>
      <c r="K1432" s="6" t="s">
        <v>42757</v>
      </c>
      <c r="L1432" s="6" t="s">
        <v>44581</v>
      </c>
      <c r="M1432" s="6" t="s">
        <v>44582</v>
      </c>
      <c r="N1432" s="6" t="s">
        <v>44583</v>
      </c>
      <c r="O1432" s="6" t="s">
        <v>44584</v>
      </c>
      <c r="P1432" s="6" t="s">
        <v>44585</v>
      </c>
      <c r="Q1432" s="6"/>
      <c r="R1432" s="6"/>
      <c r="S1432" s="6"/>
      <c r="T1432" s="6"/>
      <c r="U1432" s="6"/>
      <c r="V1432" s="6"/>
      <c r="W1432" s="6"/>
      <c r="X1432" s="6"/>
      <c r="Y1432" s="6"/>
      <c r="Z1432" s="6"/>
      <c r="AA1432" s="6"/>
      <c r="AB1432" s="6"/>
      <c r="AC1432" s="6"/>
      <c r="AD1432" s="6"/>
      <c r="AE1432" s="6"/>
      <c r="AF1432" s="6"/>
      <c r="AG1432" s="6"/>
      <c r="AH1432" s="6"/>
      <c r="AI1432" s="6"/>
      <c r="AJ1432" s="6"/>
      <c r="AK1432" s="6"/>
      <c r="AL1432" s="6"/>
      <c r="AM1432" s="6"/>
      <c r="AN1432" s="6"/>
      <c r="AO1432" s="6"/>
      <c r="AP1432" s="6"/>
      <c r="AQ1432" s="6"/>
      <c r="AR1432" s="6"/>
      <c r="AS1432" s="6"/>
      <c r="AT1432" s="6"/>
      <c r="AU1432" s="6"/>
      <c r="AV1432" s="6"/>
      <c r="AW1432" s="6"/>
      <c r="AX1432" s="6"/>
      <c r="AY1432" s="6"/>
      <c r="AZ1432" s="6"/>
      <c r="BA1432" s="6"/>
      <c r="BB1432" s="6"/>
      <c r="BC1432" s="6"/>
      <c r="BD1432" s="6"/>
      <c r="BE1432" s="6"/>
      <c r="BF1432" s="6"/>
      <c r="BG1432" s="6"/>
      <c r="BH1432" s="6"/>
      <c r="BI1432" s="6"/>
      <c r="BJ1432" s="6"/>
      <c r="BK1432" s="6"/>
      <c r="BL1432" s="6"/>
      <c r="BM1432" s="6"/>
      <c r="BN1432" s="6"/>
      <c r="BO1432" s="6"/>
      <c r="BP1432" s="6"/>
      <c r="BQ1432" s="6"/>
      <c r="BR1432" s="6"/>
      <c r="BS1432" s="6"/>
      <c r="BT1432" s="6"/>
    </row>
    <row r="1433" spans="1:72">
      <c r="A1433" s="8" t="s">
        <v>27569</v>
      </c>
      <c r="B1433" s="11" t="s">
        <v>27575</v>
      </c>
      <c r="C1433" s="9" t="s">
        <v>27570</v>
      </c>
      <c r="D1433" s="10" t="s">
        <v>138</v>
      </c>
      <c r="E1433" s="28" t="s">
        <v>3820</v>
      </c>
      <c r="F1433" s="28" t="s">
        <v>864</v>
      </c>
      <c r="G1433" s="28" t="s">
        <v>162</v>
      </c>
      <c r="H1433" s="13">
        <v>17</v>
      </c>
      <c r="I1433" s="12" t="s">
        <v>27585</v>
      </c>
      <c r="J1433" s="12" t="s">
        <v>44586</v>
      </c>
      <c r="K1433" s="12" t="s">
        <v>44587</v>
      </c>
      <c r="L1433" s="12" t="s">
        <v>44588</v>
      </c>
      <c r="M1433" s="12" t="s">
        <v>39423</v>
      </c>
      <c r="N1433" s="12" t="s">
        <v>38164</v>
      </c>
      <c r="O1433" s="12" t="s">
        <v>37786</v>
      </c>
      <c r="P1433" s="12" t="s">
        <v>37960</v>
      </c>
      <c r="Q1433" s="12" t="s">
        <v>38062</v>
      </c>
      <c r="R1433" s="12" t="s">
        <v>44589</v>
      </c>
      <c r="S1433" s="12" t="s">
        <v>44590</v>
      </c>
      <c r="T1433" s="12" t="s">
        <v>38064</v>
      </c>
      <c r="U1433" s="12" t="s">
        <v>41053</v>
      </c>
      <c r="V1433" s="12" t="s">
        <v>44591</v>
      </c>
      <c r="W1433" s="12" t="s">
        <v>44592</v>
      </c>
      <c r="X1433" s="12" t="s">
        <v>38240</v>
      </c>
      <c r="Y1433" s="12" t="s">
        <v>44593</v>
      </c>
      <c r="Z1433" s="12" t="s">
        <v>41054</v>
      </c>
      <c r="AA1433" s="12"/>
      <c r="AB1433" s="12"/>
      <c r="AC1433" s="12"/>
      <c r="AD1433" s="12"/>
      <c r="AE1433" s="12"/>
      <c r="AF1433" s="12"/>
      <c r="AG1433" s="12"/>
      <c r="AH1433" s="12"/>
      <c r="AI1433" s="12"/>
      <c r="AJ1433" s="12"/>
      <c r="AK1433" s="12"/>
      <c r="AL1433" s="12"/>
      <c r="AM1433" s="12"/>
      <c r="AN1433" s="12"/>
      <c r="AO1433" s="12"/>
      <c r="AP1433" s="12"/>
      <c r="AQ1433" s="12"/>
      <c r="AR1433" s="12"/>
      <c r="AS1433" s="12"/>
      <c r="AT1433" s="12"/>
      <c r="AU1433" s="12"/>
      <c r="AV1433" s="12"/>
      <c r="AW1433" s="12"/>
      <c r="AX1433" s="12"/>
      <c r="AY1433" s="12"/>
      <c r="AZ1433" s="12"/>
      <c r="BA1433" s="12"/>
      <c r="BB1433" s="12"/>
      <c r="BC1433" s="12"/>
      <c r="BD1433" s="12"/>
      <c r="BE1433" s="12"/>
      <c r="BF1433" s="12"/>
      <c r="BG1433" s="12"/>
      <c r="BH1433" s="12"/>
      <c r="BI1433" s="12"/>
      <c r="BJ1433" s="12"/>
      <c r="BK1433" s="12"/>
      <c r="BL1433" s="12"/>
      <c r="BM1433" s="12"/>
      <c r="BN1433" s="12"/>
      <c r="BO1433" s="12"/>
      <c r="BP1433" s="12"/>
      <c r="BQ1433" s="12"/>
      <c r="BR1433" s="12"/>
      <c r="BS1433" s="12"/>
      <c r="BT1433" s="12"/>
    </row>
    <row r="1434" spans="1:72">
      <c r="A1434" s="2" t="s">
        <v>27592</v>
      </c>
      <c r="B1434" s="5" t="s">
        <v>27598</v>
      </c>
      <c r="C1434" s="3" t="s">
        <v>138</v>
      </c>
      <c r="D1434" s="4" t="s">
        <v>27593</v>
      </c>
      <c r="E1434" s="15" t="s">
        <v>1460</v>
      </c>
      <c r="F1434" s="15" t="s">
        <v>474</v>
      </c>
      <c r="G1434" s="15" t="s">
        <v>162</v>
      </c>
      <c r="H1434" s="7">
        <v>1</v>
      </c>
      <c r="I1434" s="6" t="s">
        <v>27608</v>
      </c>
      <c r="J1434" s="6" t="s">
        <v>27608</v>
      </c>
      <c r="K1434" s="6"/>
      <c r="L1434" s="6"/>
      <c r="M1434" s="6"/>
      <c r="N1434" s="6"/>
      <c r="O1434" s="6"/>
      <c r="P1434" s="6"/>
      <c r="Q1434" s="6"/>
      <c r="R1434" s="6"/>
      <c r="S1434" s="6"/>
      <c r="T1434" s="6"/>
      <c r="U1434" s="6"/>
      <c r="V1434" s="6"/>
      <c r="W1434" s="6"/>
      <c r="X1434" s="6"/>
      <c r="Y1434" s="6"/>
      <c r="Z1434" s="6"/>
      <c r="AA1434" s="6"/>
      <c r="AB1434" s="6"/>
      <c r="AC1434" s="6"/>
      <c r="AD1434" s="6"/>
      <c r="AE1434" s="6"/>
      <c r="AF1434" s="6"/>
      <c r="AG1434" s="6"/>
      <c r="AH1434" s="6"/>
      <c r="AI1434" s="6"/>
      <c r="AJ1434" s="6"/>
      <c r="AK1434" s="6"/>
      <c r="AL1434" s="6"/>
      <c r="AM1434" s="6"/>
      <c r="AN1434" s="6"/>
      <c r="AO1434" s="6"/>
      <c r="AP1434" s="6"/>
      <c r="AQ1434" s="6"/>
      <c r="AR1434" s="6"/>
      <c r="AS1434" s="6"/>
      <c r="AT1434" s="6"/>
      <c r="AU1434" s="6"/>
      <c r="AV1434" s="6"/>
      <c r="AW1434" s="6"/>
      <c r="AX1434" s="6"/>
      <c r="AY1434" s="6"/>
      <c r="AZ1434" s="6"/>
      <c r="BA1434" s="6"/>
      <c r="BB1434" s="6"/>
      <c r="BC1434" s="6"/>
      <c r="BD1434" s="6"/>
      <c r="BE1434" s="6"/>
      <c r="BF1434" s="6"/>
      <c r="BG1434" s="6"/>
      <c r="BH1434" s="6"/>
      <c r="BI1434" s="6"/>
      <c r="BJ1434" s="6"/>
      <c r="BK1434" s="6"/>
      <c r="BL1434" s="6"/>
      <c r="BM1434" s="6"/>
      <c r="BN1434" s="6"/>
      <c r="BO1434" s="6"/>
      <c r="BP1434" s="6"/>
      <c r="BQ1434" s="6"/>
      <c r="BR1434" s="6"/>
      <c r="BS1434" s="6"/>
      <c r="BT1434" s="6"/>
    </row>
    <row r="1435" spans="1:72">
      <c r="A1435" s="8" t="s">
        <v>27611</v>
      </c>
      <c r="B1435" s="11" t="s">
        <v>27619</v>
      </c>
      <c r="C1435" s="9" t="s">
        <v>27612</v>
      </c>
      <c r="D1435" s="10" t="s">
        <v>27613</v>
      </c>
      <c r="E1435" s="28" t="s">
        <v>27627</v>
      </c>
      <c r="F1435" s="28" t="s">
        <v>3112</v>
      </c>
      <c r="G1435" s="28" t="s">
        <v>2742</v>
      </c>
      <c r="H1435" s="13">
        <v>13</v>
      </c>
      <c r="I1435" s="12" t="s">
        <v>27631</v>
      </c>
      <c r="J1435" s="12" t="s">
        <v>39462</v>
      </c>
      <c r="K1435" s="12" t="s">
        <v>42554</v>
      </c>
      <c r="L1435" s="12" t="s">
        <v>41641</v>
      </c>
      <c r="M1435" s="12" t="s">
        <v>39152</v>
      </c>
      <c r="N1435" s="12" t="s">
        <v>39806</v>
      </c>
      <c r="O1435" s="12" t="s">
        <v>37851</v>
      </c>
      <c r="P1435" s="12" t="s">
        <v>37786</v>
      </c>
      <c r="Q1435" s="12" t="s">
        <v>40687</v>
      </c>
      <c r="R1435" s="12" t="s">
        <v>39189</v>
      </c>
      <c r="S1435" s="12" t="s">
        <v>44594</v>
      </c>
      <c r="T1435" s="12" t="s">
        <v>44044</v>
      </c>
      <c r="U1435" s="12" t="s">
        <v>44595</v>
      </c>
      <c r="V1435" s="12" t="s">
        <v>39860</v>
      </c>
      <c r="W1435" s="12"/>
      <c r="X1435" s="12"/>
      <c r="Y1435" s="12"/>
      <c r="Z1435" s="12"/>
      <c r="AA1435" s="12"/>
      <c r="AB1435" s="12"/>
      <c r="AC1435" s="12"/>
      <c r="AD1435" s="12"/>
      <c r="AE1435" s="12"/>
      <c r="AF1435" s="12"/>
      <c r="AG1435" s="12"/>
      <c r="AH1435" s="12"/>
      <c r="AI1435" s="12"/>
      <c r="AJ1435" s="12"/>
      <c r="AK1435" s="12"/>
      <c r="AL1435" s="12"/>
      <c r="AM1435" s="12"/>
      <c r="AN1435" s="12"/>
      <c r="AO1435" s="12"/>
      <c r="AP1435" s="12"/>
      <c r="AQ1435" s="12"/>
      <c r="AR1435" s="12"/>
      <c r="AS1435" s="12"/>
      <c r="AT1435" s="12"/>
      <c r="AU1435" s="12"/>
      <c r="AV1435" s="12"/>
      <c r="AW1435" s="12"/>
      <c r="AX1435" s="12"/>
      <c r="AY1435" s="12"/>
      <c r="AZ1435" s="12"/>
      <c r="BA1435" s="12"/>
      <c r="BB1435" s="12"/>
      <c r="BC1435" s="12"/>
      <c r="BD1435" s="12"/>
      <c r="BE1435" s="12"/>
      <c r="BF1435" s="12"/>
      <c r="BG1435" s="12"/>
      <c r="BH1435" s="12"/>
      <c r="BI1435" s="12"/>
      <c r="BJ1435" s="12"/>
      <c r="BK1435" s="12"/>
      <c r="BL1435" s="12"/>
      <c r="BM1435" s="12"/>
      <c r="BN1435" s="12"/>
      <c r="BO1435" s="12"/>
      <c r="BP1435" s="12"/>
      <c r="BQ1435" s="12"/>
      <c r="BR1435" s="12"/>
      <c r="BS1435" s="12"/>
      <c r="BT1435" s="12"/>
    </row>
    <row r="1436" spans="1:72">
      <c r="A1436" s="2" t="s">
        <v>27635</v>
      </c>
      <c r="B1436" s="5" t="s">
        <v>27639</v>
      </c>
      <c r="C1436" s="3" t="s">
        <v>138</v>
      </c>
      <c r="D1436" s="4" t="s">
        <v>27636</v>
      </c>
      <c r="E1436" s="15" t="s">
        <v>426</v>
      </c>
      <c r="F1436" s="15" t="s">
        <v>426</v>
      </c>
      <c r="G1436" s="15" t="s">
        <v>162</v>
      </c>
      <c r="H1436" s="7">
        <v>6</v>
      </c>
      <c r="I1436" s="6" t="s">
        <v>27647</v>
      </c>
      <c r="J1436" s="6" t="s">
        <v>44596</v>
      </c>
      <c r="K1436" s="6" t="s">
        <v>39159</v>
      </c>
      <c r="L1436" s="6" t="s">
        <v>44597</v>
      </c>
      <c r="M1436" s="6" t="s">
        <v>39498</v>
      </c>
      <c r="N1436" s="6" t="s">
        <v>44598</v>
      </c>
      <c r="O1436" s="6" t="s">
        <v>38200</v>
      </c>
      <c r="P1436" s="6"/>
      <c r="Q1436" s="6"/>
      <c r="R1436" s="6"/>
      <c r="S1436" s="6"/>
      <c r="T1436" s="6"/>
      <c r="U1436" s="6"/>
      <c r="V1436" s="6"/>
      <c r="W1436" s="6"/>
      <c r="X1436" s="6"/>
      <c r="Y1436" s="6"/>
      <c r="Z1436" s="6"/>
      <c r="AA1436" s="6"/>
      <c r="AB1436" s="6"/>
      <c r="AC1436" s="6"/>
      <c r="AD1436" s="6"/>
      <c r="AE1436" s="6"/>
      <c r="AF1436" s="6"/>
      <c r="AG1436" s="6"/>
      <c r="AH1436" s="6"/>
      <c r="AI1436" s="6"/>
      <c r="AJ1436" s="6"/>
      <c r="AK1436" s="6"/>
      <c r="AL1436" s="6"/>
      <c r="AM1436" s="6"/>
      <c r="AN1436" s="6"/>
      <c r="AO1436" s="6"/>
      <c r="AP1436" s="6"/>
      <c r="AQ1436" s="6"/>
      <c r="AR1436" s="6"/>
      <c r="AS1436" s="6"/>
      <c r="AT1436" s="6"/>
      <c r="AU1436" s="6"/>
      <c r="AV1436" s="6"/>
      <c r="AW1436" s="6"/>
      <c r="AX1436" s="6"/>
      <c r="AY1436" s="6"/>
      <c r="AZ1436" s="6"/>
      <c r="BA1436" s="6"/>
      <c r="BB1436" s="6"/>
      <c r="BC1436" s="6"/>
      <c r="BD1436" s="6"/>
      <c r="BE1436" s="6"/>
      <c r="BF1436" s="6"/>
      <c r="BG1436" s="6"/>
      <c r="BH1436" s="6"/>
      <c r="BI1436" s="6"/>
      <c r="BJ1436" s="6"/>
      <c r="BK1436" s="6"/>
      <c r="BL1436" s="6"/>
      <c r="BM1436" s="6"/>
      <c r="BN1436" s="6"/>
      <c r="BO1436" s="6"/>
      <c r="BP1436" s="6"/>
      <c r="BQ1436" s="6"/>
      <c r="BR1436" s="6"/>
      <c r="BS1436" s="6"/>
      <c r="BT1436" s="6"/>
    </row>
    <row r="1437" spans="1:72">
      <c r="A1437" s="8" t="s">
        <v>27650</v>
      </c>
      <c r="B1437" s="11" t="s">
        <v>27655</v>
      </c>
      <c r="C1437" s="9" t="s">
        <v>27651</v>
      </c>
      <c r="D1437" s="10" t="s">
        <v>138</v>
      </c>
      <c r="E1437" s="28" t="s">
        <v>27664</v>
      </c>
      <c r="F1437" s="28" t="s">
        <v>597</v>
      </c>
      <c r="G1437" s="28" t="s">
        <v>162</v>
      </c>
      <c r="H1437" s="13">
        <v>1</v>
      </c>
      <c r="I1437" s="12" t="s">
        <v>5015</v>
      </c>
      <c r="J1437" s="12" t="s">
        <v>5015</v>
      </c>
      <c r="K1437" s="12"/>
      <c r="L1437" s="12"/>
      <c r="M1437" s="12"/>
      <c r="N1437" s="12"/>
      <c r="O1437" s="12"/>
      <c r="P1437" s="12"/>
      <c r="Q1437" s="12"/>
      <c r="R1437" s="12"/>
      <c r="S1437" s="12"/>
      <c r="T1437" s="12"/>
      <c r="U1437" s="12"/>
      <c r="V1437" s="12"/>
      <c r="W1437" s="12"/>
      <c r="X1437" s="12"/>
      <c r="Y1437" s="12"/>
      <c r="Z1437" s="12"/>
      <c r="AA1437" s="12"/>
      <c r="AB1437" s="12"/>
      <c r="AC1437" s="12"/>
      <c r="AD1437" s="12"/>
      <c r="AE1437" s="12"/>
      <c r="AF1437" s="12"/>
      <c r="AG1437" s="12"/>
      <c r="AH1437" s="12"/>
      <c r="AI1437" s="12"/>
      <c r="AJ1437" s="12"/>
      <c r="AK1437" s="12"/>
      <c r="AL1437" s="12"/>
      <c r="AM1437" s="12"/>
      <c r="AN1437" s="12"/>
      <c r="AO1437" s="12"/>
      <c r="AP1437" s="12"/>
      <c r="AQ1437" s="12"/>
      <c r="AR1437" s="12"/>
      <c r="AS1437" s="12"/>
      <c r="AT1437" s="12"/>
      <c r="AU1437" s="12"/>
      <c r="AV1437" s="12"/>
      <c r="AW1437" s="12"/>
      <c r="AX1437" s="12"/>
      <c r="AY1437" s="12"/>
      <c r="AZ1437" s="12"/>
      <c r="BA1437" s="12"/>
      <c r="BB1437" s="12"/>
      <c r="BC1437" s="12"/>
      <c r="BD1437" s="12"/>
      <c r="BE1437" s="12"/>
      <c r="BF1437" s="12"/>
      <c r="BG1437" s="12"/>
      <c r="BH1437" s="12"/>
      <c r="BI1437" s="12"/>
      <c r="BJ1437" s="12"/>
      <c r="BK1437" s="12"/>
      <c r="BL1437" s="12"/>
      <c r="BM1437" s="12"/>
      <c r="BN1437" s="12"/>
      <c r="BO1437" s="12"/>
      <c r="BP1437" s="12"/>
      <c r="BQ1437" s="12"/>
      <c r="BR1437" s="12"/>
      <c r="BS1437" s="12"/>
      <c r="BT1437" s="12"/>
    </row>
    <row r="1438" spans="1:72">
      <c r="A1438" s="2" t="s">
        <v>27671</v>
      </c>
      <c r="B1438" s="5" t="s">
        <v>27675</v>
      </c>
      <c r="C1438" s="3" t="s">
        <v>138</v>
      </c>
      <c r="D1438" s="4" t="s">
        <v>138</v>
      </c>
      <c r="E1438" s="15" t="s">
        <v>944</v>
      </c>
      <c r="F1438" s="15" t="s">
        <v>138</v>
      </c>
      <c r="G1438" s="15" t="s">
        <v>946</v>
      </c>
      <c r="H1438" s="7">
        <v>1</v>
      </c>
      <c r="I1438" s="6" t="s">
        <v>3186</v>
      </c>
      <c r="J1438" s="6" t="s">
        <v>3186</v>
      </c>
      <c r="K1438" s="6"/>
      <c r="L1438" s="6"/>
      <c r="M1438" s="6"/>
      <c r="N1438" s="6"/>
      <c r="O1438" s="6"/>
      <c r="P1438" s="6"/>
      <c r="Q1438" s="6"/>
      <c r="R1438" s="6"/>
      <c r="S1438" s="6"/>
      <c r="T1438" s="6"/>
      <c r="U1438" s="6"/>
      <c r="V1438" s="6"/>
      <c r="W1438" s="6"/>
      <c r="X1438" s="6"/>
      <c r="Y1438" s="6"/>
      <c r="Z1438" s="6"/>
      <c r="AA1438" s="6"/>
      <c r="AB1438" s="6"/>
      <c r="AC1438" s="6"/>
      <c r="AD1438" s="6"/>
      <c r="AE1438" s="6"/>
      <c r="AF1438" s="6"/>
      <c r="AG1438" s="6"/>
      <c r="AH1438" s="6"/>
      <c r="AI1438" s="6"/>
      <c r="AJ1438" s="6"/>
      <c r="AK1438" s="6"/>
      <c r="AL1438" s="6"/>
      <c r="AM1438" s="6"/>
      <c r="AN1438" s="6"/>
      <c r="AO1438" s="6"/>
      <c r="AP1438" s="6"/>
      <c r="AQ1438" s="6"/>
      <c r="AR1438" s="6"/>
      <c r="AS1438" s="6"/>
      <c r="AT1438" s="6"/>
      <c r="AU1438" s="6"/>
      <c r="AV1438" s="6"/>
      <c r="AW1438" s="6"/>
      <c r="AX1438" s="6"/>
      <c r="AY1438" s="6"/>
      <c r="AZ1438" s="6"/>
      <c r="BA1438" s="6"/>
      <c r="BB1438" s="6"/>
      <c r="BC1438" s="6"/>
      <c r="BD1438" s="6"/>
      <c r="BE1438" s="6"/>
      <c r="BF1438" s="6"/>
      <c r="BG1438" s="6"/>
      <c r="BH1438" s="6"/>
      <c r="BI1438" s="6"/>
      <c r="BJ1438" s="6"/>
      <c r="BK1438" s="6"/>
      <c r="BL1438" s="6"/>
      <c r="BM1438" s="6"/>
      <c r="BN1438" s="6"/>
      <c r="BO1438" s="6"/>
      <c r="BP1438" s="6"/>
      <c r="BQ1438" s="6"/>
      <c r="BR1438" s="6"/>
      <c r="BS1438" s="6"/>
      <c r="BT1438" s="6"/>
    </row>
    <row r="1439" spans="1:72">
      <c r="A1439" s="8" t="s">
        <v>27686</v>
      </c>
      <c r="B1439" s="11" t="s">
        <v>27691</v>
      </c>
      <c r="C1439" s="9" t="s">
        <v>138</v>
      </c>
      <c r="D1439" s="10" t="s">
        <v>138</v>
      </c>
      <c r="E1439" s="28" t="s">
        <v>642</v>
      </c>
      <c r="F1439" s="28" t="s">
        <v>474</v>
      </c>
      <c r="G1439" s="28" t="s">
        <v>162</v>
      </c>
      <c r="H1439" s="13">
        <v>6</v>
      </c>
      <c r="I1439" s="12" t="s">
        <v>27704</v>
      </c>
      <c r="J1439" s="12" t="s">
        <v>16877</v>
      </c>
      <c r="K1439" s="12" t="s">
        <v>44599</v>
      </c>
      <c r="L1439" s="12" t="s">
        <v>39249</v>
      </c>
      <c r="M1439" s="12" t="s">
        <v>44600</v>
      </c>
      <c r="N1439" s="12" t="s">
        <v>44601</v>
      </c>
      <c r="O1439" s="12" t="s">
        <v>44602</v>
      </c>
      <c r="P1439" s="12"/>
      <c r="Q1439" s="12"/>
      <c r="R1439" s="12"/>
      <c r="S1439" s="12"/>
      <c r="T1439" s="12"/>
      <c r="U1439" s="12"/>
      <c r="V1439" s="12"/>
      <c r="W1439" s="12"/>
      <c r="X1439" s="12"/>
      <c r="Y1439" s="12"/>
      <c r="Z1439" s="12"/>
      <c r="AA1439" s="12"/>
      <c r="AB1439" s="12"/>
      <c r="AC1439" s="12"/>
      <c r="AD1439" s="12"/>
      <c r="AE1439" s="12"/>
      <c r="AF1439" s="12"/>
      <c r="AG1439" s="12"/>
      <c r="AH1439" s="12"/>
      <c r="AI1439" s="12"/>
      <c r="AJ1439" s="12"/>
      <c r="AK1439" s="12"/>
      <c r="AL1439" s="12"/>
      <c r="AM1439" s="12"/>
      <c r="AN1439" s="12"/>
      <c r="AO1439" s="12"/>
      <c r="AP1439" s="12"/>
      <c r="AQ1439" s="12"/>
      <c r="AR1439" s="12"/>
      <c r="AS1439" s="12"/>
      <c r="AT1439" s="12"/>
      <c r="AU1439" s="12"/>
      <c r="AV1439" s="12"/>
      <c r="AW1439" s="12"/>
      <c r="AX1439" s="12"/>
      <c r="AY1439" s="12"/>
      <c r="AZ1439" s="12"/>
      <c r="BA1439" s="12"/>
      <c r="BB1439" s="12"/>
      <c r="BC1439" s="12"/>
      <c r="BD1439" s="12"/>
      <c r="BE1439" s="12"/>
      <c r="BF1439" s="12"/>
      <c r="BG1439" s="12"/>
      <c r="BH1439" s="12"/>
      <c r="BI1439" s="12"/>
      <c r="BJ1439" s="12"/>
      <c r="BK1439" s="12"/>
      <c r="BL1439" s="12"/>
      <c r="BM1439" s="12"/>
      <c r="BN1439" s="12"/>
      <c r="BO1439" s="12"/>
      <c r="BP1439" s="12"/>
      <c r="BQ1439" s="12"/>
      <c r="BR1439" s="12"/>
      <c r="BS1439" s="12"/>
      <c r="BT1439" s="12"/>
    </row>
    <row r="1440" spans="1:72">
      <c r="A1440" s="2" t="s">
        <v>27707</v>
      </c>
      <c r="B1440" s="5" t="s">
        <v>27712</v>
      </c>
      <c r="C1440" s="3" t="s">
        <v>138</v>
      </c>
      <c r="D1440" s="4" t="s">
        <v>27708</v>
      </c>
      <c r="E1440" s="15" t="s">
        <v>863</v>
      </c>
      <c r="F1440" s="15" t="s">
        <v>864</v>
      </c>
      <c r="G1440" s="15" t="s">
        <v>162</v>
      </c>
      <c r="H1440" s="7">
        <v>10</v>
      </c>
      <c r="I1440" s="6" t="s">
        <v>27723</v>
      </c>
      <c r="J1440" s="6" t="s">
        <v>10378</v>
      </c>
      <c r="K1440" s="6" t="s">
        <v>44603</v>
      </c>
      <c r="L1440" s="6" t="s">
        <v>39277</v>
      </c>
      <c r="M1440" s="6" t="s">
        <v>37787</v>
      </c>
      <c r="N1440" s="6" t="s">
        <v>41657</v>
      </c>
      <c r="O1440" s="6" t="s">
        <v>40138</v>
      </c>
      <c r="P1440" s="6" t="s">
        <v>39395</v>
      </c>
      <c r="Q1440" s="6" t="s">
        <v>44604</v>
      </c>
      <c r="R1440" s="6" t="s">
        <v>38770</v>
      </c>
      <c r="S1440" s="6" t="s">
        <v>38928</v>
      </c>
      <c r="T1440" s="6"/>
      <c r="U1440" s="6"/>
      <c r="V1440" s="6"/>
      <c r="W1440" s="6"/>
      <c r="X1440" s="6"/>
      <c r="Y1440" s="6"/>
      <c r="Z1440" s="6"/>
      <c r="AA1440" s="6"/>
      <c r="AB1440" s="6"/>
      <c r="AC1440" s="6"/>
      <c r="AD1440" s="6"/>
      <c r="AE1440" s="6"/>
      <c r="AF1440" s="6"/>
      <c r="AG1440" s="6"/>
      <c r="AH1440" s="6"/>
      <c r="AI1440" s="6"/>
      <c r="AJ1440" s="6"/>
      <c r="AK1440" s="6"/>
      <c r="AL1440" s="6"/>
      <c r="AM1440" s="6"/>
      <c r="AN1440" s="6"/>
      <c r="AO1440" s="6"/>
      <c r="AP1440" s="6"/>
      <c r="AQ1440" s="6"/>
      <c r="AR1440" s="6"/>
      <c r="AS1440" s="6"/>
      <c r="AT1440" s="6"/>
      <c r="AU1440" s="6"/>
      <c r="AV1440" s="6"/>
      <c r="AW1440" s="6"/>
      <c r="AX1440" s="6"/>
      <c r="AY1440" s="6"/>
      <c r="AZ1440" s="6"/>
      <c r="BA1440" s="6"/>
      <c r="BB1440" s="6"/>
      <c r="BC1440" s="6"/>
      <c r="BD1440" s="6"/>
      <c r="BE1440" s="6"/>
      <c r="BF1440" s="6"/>
      <c r="BG1440" s="6"/>
      <c r="BH1440" s="6"/>
      <c r="BI1440" s="6"/>
      <c r="BJ1440" s="6"/>
      <c r="BK1440" s="6"/>
      <c r="BL1440" s="6"/>
      <c r="BM1440" s="6"/>
      <c r="BN1440" s="6"/>
      <c r="BO1440" s="6"/>
      <c r="BP1440" s="6"/>
      <c r="BQ1440" s="6"/>
      <c r="BR1440" s="6"/>
      <c r="BS1440" s="6"/>
      <c r="BT1440" s="6"/>
    </row>
    <row r="1441" spans="1:72">
      <c r="A1441" s="8" t="s">
        <v>27728</v>
      </c>
      <c r="B1441" s="11" t="s">
        <v>27733</v>
      </c>
      <c r="C1441" s="9" t="s">
        <v>27729</v>
      </c>
      <c r="D1441" s="10" t="s">
        <v>138</v>
      </c>
      <c r="E1441" s="28" t="s">
        <v>4878</v>
      </c>
      <c r="F1441" s="28" t="s">
        <v>200</v>
      </c>
      <c r="G1441" s="28" t="s">
        <v>162</v>
      </c>
      <c r="H1441" s="13">
        <v>9</v>
      </c>
      <c r="I1441" s="12" t="s">
        <v>27740</v>
      </c>
      <c r="J1441" s="12" t="s">
        <v>39992</v>
      </c>
      <c r="K1441" s="12" t="s">
        <v>40530</v>
      </c>
      <c r="L1441" s="12" t="s">
        <v>40314</v>
      </c>
      <c r="M1441" s="12" t="s">
        <v>44605</v>
      </c>
      <c r="N1441" s="12" t="s">
        <v>37787</v>
      </c>
      <c r="O1441" s="12" t="s">
        <v>41613</v>
      </c>
      <c r="P1441" s="12" t="s">
        <v>40787</v>
      </c>
      <c r="Q1441" s="12" t="s">
        <v>38625</v>
      </c>
      <c r="R1441" s="12" t="s">
        <v>39664</v>
      </c>
      <c r="S1441" s="12"/>
      <c r="T1441" s="12"/>
      <c r="U1441" s="12"/>
      <c r="V1441" s="12"/>
      <c r="W1441" s="12"/>
      <c r="X1441" s="12"/>
      <c r="Y1441" s="12"/>
      <c r="Z1441" s="12"/>
      <c r="AA1441" s="12"/>
      <c r="AB1441" s="12"/>
      <c r="AC1441" s="12"/>
      <c r="AD1441" s="12"/>
      <c r="AE1441" s="12"/>
      <c r="AF1441" s="12"/>
      <c r="AG1441" s="12"/>
      <c r="AH1441" s="12"/>
      <c r="AI1441" s="12"/>
      <c r="AJ1441" s="12"/>
      <c r="AK1441" s="12"/>
      <c r="AL1441" s="12"/>
      <c r="AM1441" s="12"/>
      <c r="AN1441" s="12"/>
      <c r="AO1441" s="12"/>
      <c r="AP1441" s="12"/>
      <c r="AQ1441" s="12"/>
      <c r="AR1441" s="12"/>
      <c r="AS1441" s="12"/>
      <c r="AT1441" s="12"/>
      <c r="AU1441" s="12"/>
      <c r="AV1441" s="12"/>
      <c r="AW1441" s="12"/>
      <c r="AX1441" s="12"/>
      <c r="AY1441" s="12"/>
      <c r="AZ1441" s="12"/>
      <c r="BA1441" s="12"/>
      <c r="BB1441" s="12"/>
      <c r="BC1441" s="12"/>
      <c r="BD1441" s="12"/>
      <c r="BE1441" s="12"/>
      <c r="BF1441" s="12"/>
      <c r="BG1441" s="12"/>
      <c r="BH1441" s="12"/>
      <c r="BI1441" s="12"/>
      <c r="BJ1441" s="12"/>
      <c r="BK1441" s="12"/>
      <c r="BL1441" s="12"/>
      <c r="BM1441" s="12"/>
      <c r="BN1441" s="12"/>
      <c r="BO1441" s="12"/>
      <c r="BP1441" s="12"/>
      <c r="BQ1441" s="12"/>
      <c r="BR1441" s="12"/>
      <c r="BS1441" s="12"/>
      <c r="BT1441" s="12"/>
    </row>
    <row r="1442" spans="1:72">
      <c r="A1442" s="2" t="s">
        <v>27743</v>
      </c>
      <c r="B1442" s="5" t="s">
        <v>27748</v>
      </c>
      <c r="C1442" s="3" t="s">
        <v>138</v>
      </c>
      <c r="D1442" s="4" t="s">
        <v>138</v>
      </c>
      <c r="E1442" s="15" t="s">
        <v>19919</v>
      </c>
      <c r="F1442" s="15" t="s">
        <v>10615</v>
      </c>
      <c r="G1442" s="15" t="s">
        <v>162</v>
      </c>
      <c r="H1442" s="7">
        <v>12</v>
      </c>
      <c r="I1442" s="6" t="s">
        <v>27757</v>
      </c>
      <c r="J1442" s="6" t="s">
        <v>44606</v>
      </c>
      <c r="K1442" s="6" t="s">
        <v>42054</v>
      </c>
      <c r="L1442" s="6" t="s">
        <v>43959</v>
      </c>
      <c r="M1442" s="6" t="s">
        <v>41436</v>
      </c>
      <c r="N1442" s="6" t="s">
        <v>42186</v>
      </c>
      <c r="O1442" s="6" t="s">
        <v>42057</v>
      </c>
      <c r="P1442" s="6" t="s">
        <v>39621</v>
      </c>
      <c r="Q1442" s="6" t="s">
        <v>38418</v>
      </c>
      <c r="R1442" s="6" t="s">
        <v>38593</v>
      </c>
      <c r="S1442" s="6" t="s">
        <v>43577</v>
      </c>
      <c r="T1442" s="6" t="s">
        <v>44607</v>
      </c>
      <c r="U1442" s="6" t="s">
        <v>38983</v>
      </c>
      <c r="V1442" s="6"/>
      <c r="W1442" s="6"/>
      <c r="X1442" s="6"/>
      <c r="Y1442" s="6"/>
      <c r="Z1442" s="6"/>
      <c r="AA1442" s="6"/>
      <c r="AB1442" s="6"/>
      <c r="AC1442" s="6"/>
      <c r="AD1442" s="6"/>
      <c r="AE1442" s="6"/>
      <c r="AF1442" s="6"/>
      <c r="AG1442" s="6"/>
      <c r="AH1442" s="6"/>
      <c r="AI1442" s="6"/>
      <c r="AJ1442" s="6"/>
      <c r="AK1442" s="6"/>
      <c r="AL1442" s="6"/>
      <c r="AM1442" s="6"/>
      <c r="AN1442" s="6"/>
      <c r="AO1442" s="6"/>
      <c r="AP1442" s="6"/>
      <c r="AQ1442" s="6"/>
      <c r="AR1442" s="6"/>
      <c r="AS1442" s="6"/>
      <c r="AT1442" s="6"/>
      <c r="AU1442" s="6"/>
      <c r="AV1442" s="6"/>
      <c r="AW1442" s="6"/>
      <c r="AX1442" s="6"/>
      <c r="AY1442" s="6"/>
      <c r="AZ1442" s="6"/>
      <c r="BA1442" s="6"/>
      <c r="BB1442" s="6"/>
      <c r="BC1442" s="6"/>
      <c r="BD1442" s="6"/>
      <c r="BE1442" s="6"/>
      <c r="BF1442" s="6"/>
      <c r="BG1442" s="6"/>
      <c r="BH1442" s="6"/>
      <c r="BI1442" s="6"/>
      <c r="BJ1442" s="6"/>
      <c r="BK1442" s="6"/>
      <c r="BL1442" s="6"/>
      <c r="BM1442" s="6"/>
      <c r="BN1442" s="6"/>
      <c r="BO1442" s="6"/>
      <c r="BP1442" s="6"/>
      <c r="BQ1442" s="6"/>
      <c r="BR1442" s="6"/>
      <c r="BS1442" s="6"/>
      <c r="BT1442" s="6"/>
    </row>
    <row r="1443" spans="1:72">
      <c r="A1443" s="8" t="s">
        <v>27760</v>
      </c>
      <c r="B1443" s="11" t="s">
        <v>27765</v>
      </c>
      <c r="C1443" s="9" t="s">
        <v>27761</v>
      </c>
      <c r="D1443" s="10" t="s">
        <v>27762</v>
      </c>
      <c r="E1443" s="28" t="s">
        <v>27773</v>
      </c>
      <c r="F1443" s="28" t="s">
        <v>138</v>
      </c>
      <c r="G1443" s="28" t="s">
        <v>2071</v>
      </c>
      <c r="H1443" s="13">
        <v>1</v>
      </c>
      <c r="I1443" s="12" t="s">
        <v>2075</v>
      </c>
      <c r="J1443" s="12" t="s">
        <v>2075</v>
      </c>
      <c r="K1443" s="12"/>
      <c r="L1443" s="12"/>
      <c r="M1443" s="12"/>
      <c r="N1443" s="12"/>
      <c r="O1443" s="12"/>
      <c r="P1443" s="12"/>
      <c r="Q1443" s="12"/>
      <c r="R1443" s="12"/>
      <c r="S1443" s="12"/>
      <c r="T1443" s="12"/>
      <c r="U1443" s="12"/>
      <c r="V1443" s="12"/>
      <c r="W1443" s="12"/>
      <c r="X1443" s="12"/>
      <c r="Y1443" s="12"/>
      <c r="Z1443" s="12"/>
      <c r="AA1443" s="12"/>
      <c r="AB1443" s="12"/>
      <c r="AC1443" s="12"/>
      <c r="AD1443" s="12"/>
      <c r="AE1443" s="12"/>
      <c r="AF1443" s="12"/>
      <c r="AG1443" s="12"/>
      <c r="AH1443" s="12"/>
      <c r="AI1443" s="12"/>
      <c r="AJ1443" s="12"/>
      <c r="AK1443" s="12"/>
      <c r="AL1443" s="12"/>
      <c r="AM1443" s="12"/>
      <c r="AN1443" s="12"/>
      <c r="AO1443" s="12"/>
      <c r="AP1443" s="12"/>
      <c r="AQ1443" s="12"/>
      <c r="AR1443" s="12"/>
      <c r="AS1443" s="12"/>
      <c r="AT1443" s="12"/>
      <c r="AU1443" s="12"/>
      <c r="AV1443" s="12"/>
      <c r="AW1443" s="12"/>
      <c r="AX1443" s="12"/>
      <c r="AY1443" s="12"/>
      <c r="AZ1443" s="12"/>
      <c r="BA1443" s="12"/>
      <c r="BB1443" s="12"/>
      <c r="BC1443" s="12"/>
      <c r="BD1443" s="12"/>
      <c r="BE1443" s="12"/>
      <c r="BF1443" s="12"/>
      <c r="BG1443" s="12"/>
      <c r="BH1443" s="12"/>
      <c r="BI1443" s="12"/>
      <c r="BJ1443" s="12"/>
      <c r="BK1443" s="12"/>
      <c r="BL1443" s="12"/>
      <c r="BM1443" s="12"/>
      <c r="BN1443" s="12"/>
      <c r="BO1443" s="12"/>
      <c r="BP1443" s="12"/>
      <c r="BQ1443" s="12"/>
      <c r="BR1443" s="12"/>
      <c r="BS1443" s="12"/>
      <c r="BT1443" s="12"/>
    </row>
    <row r="1444" spans="1:72">
      <c r="A1444" s="2" t="s">
        <v>27777</v>
      </c>
      <c r="B1444" s="5" t="s">
        <v>27784</v>
      </c>
      <c r="C1444" s="3" t="s">
        <v>27778</v>
      </c>
      <c r="D1444" s="4" t="s">
        <v>138</v>
      </c>
      <c r="E1444" s="15" t="s">
        <v>426</v>
      </c>
      <c r="F1444" s="15" t="s">
        <v>426</v>
      </c>
      <c r="G1444" s="15" t="s">
        <v>162</v>
      </c>
      <c r="H1444" s="7">
        <v>36</v>
      </c>
      <c r="I1444" s="6" t="s">
        <v>27792</v>
      </c>
      <c r="J1444" s="6" t="s">
        <v>44608</v>
      </c>
      <c r="K1444" s="6" t="s">
        <v>44609</v>
      </c>
      <c r="L1444" s="6" t="s">
        <v>38950</v>
      </c>
      <c r="M1444" s="6" t="s">
        <v>44610</v>
      </c>
      <c r="N1444" s="6" t="s">
        <v>39305</v>
      </c>
      <c r="O1444" s="6" t="s">
        <v>44611</v>
      </c>
      <c r="P1444" s="6" t="s">
        <v>39254</v>
      </c>
      <c r="Q1444" s="6" t="s">
        <v>40793</v>
      </c>
      <c r="R1444" s="6" t="s">
        <v>38708</v>
      </c>
      <c r="S1444" s="6" t="s">
        <v>40878</v>
      </c>
      <c r="T1444" s="6" t="s">
        <v>37880</v>
      </c>
      <c r="U1444" s="6" t="s">
        <v>44612</v>
      </c>
      <c r="V1444" s="6" t="s">
        <v>44613</v>
      </c>
      <c r="W1444" s="6" t="s">
        <v>44614</v>
      </c>
      <c r="X1444" s="6" t="s">
        <v>37960</v>
      </c>
      <c r="Y1444" s="6" t="s">
        <v>44615</v>
      </c>
      <c r="Z1444" s="6" t="s">
        <v>40303</v>
      </c>
      <c r="AA1444" s="6" t="s">
        <v>37995</v>
      </c>
      <c r="AB1444" s="6" t="s">
        <v>44616</v>
      </c>
      <c r="AC1444" s="6" t="s">
        <v>44617</v>
      </c>
      <c r="AD1444" s="6" t="s">
        <v>44618</v>
      </c>
      <c r="AE1444" s="6" t="s">
        <v>44619</v>
      </c>
      <c r="AF1444" s="6" t="s">
        <v>44620</v>
      </c>
      <c r="AG1444" s="6" t="s">
        <v>39518</v>
      </c>
      <c r="AH1444" s="6" t="s">
        <v>44621</v>
      </c>
      <c r="AI1444" s="6" t="s">
        <v>44622</v>
      </c>
      <c r="AJ1444" s="6" t="s">
        <v>43990</v>
      </c>
      <c r="AK1444" s="6" t="s">
        <v>43991</v>
      </c>
      <c r="AL1444" s="6" t="s">
        <v>44623</v>
      </c>
      <c r="AM1444" s="6" t="s">
        <v>37781</v>
      </c>
      <c r="AN1444" s="6" t="s">
        <v>44624</v>
      </c>
      <c r="AO1444" s="6" t="s">
        <v>43092</v>
      </c>
      <c r="AP1444" s="6" t="s">
        <v>37809</v>
      </c>
      <c r="AQ1444" s="6" t="s">
        <v>44625</v>
      </c>
      <c r="AR1444" s="6" t="s">
        <v>44626</v>
      </c>
      <c r="AS1444" s="6" t="s">
        <v>40697</v>
      </c>
      <c r="AT1444" s="6"/>
      <c r="AU1444" s="6"/>
      <c r="AV1444" s="6"/>
      <c r="AW1444" s="6"/>
      <c r="AX1444" s="6"/>
      <c r="AY1444" s="6"/>
      <c r="AZ1444" s="6"/>
      <c r="BA1444" s="6"/>
      <c r="BB1444" s="6"/>
      <c r="BC1444" s="6"/>
      <c r="BD1444" s="6"/>
      <c r="BE1444" s="6"/>
      <c r="BF1444" s="6"/>
      <c r="BG1444" s="6"/>
      <c r="BH1444" s="6"/>
      <c r="BI1444" s="6"/>
      <c r="BJ1444" s="6"/>
      <c r="BK1444" s="6"/>
      <c r="BL1444" s="6"/>
      <c r="BM1444" s="6"/>
      <c r="BN1444" s="6"/>
      <c r="BO1444" s="6"/>
      <c r="BP1444" s="6"/>
      <c r="BQ1444" s="6"/>
      <c r="BR1444" s="6"/>
      <c r="BS1444" s="6"/>
      <c r="BT1444" s="6"/>
    </row>
    <row r="1445" spans="1:72">
      <c r="A1445" s="8" t="s">
        <v>27797</v>
      </c>
      <c r="B1445" s="11" t="s">
        <v>27803</v>
      </c>
      <c r="C1445" s="9" t="s">
        <v>27798</v>
      </c>
      <c r="D1445" s="10" t="s">
        <v>138</v>
      </c>
      <c r="E1445" s="28" t="s">
        <v>27811</v>
      </c>
      <c r="F1445" s="28" t="s">
        <v>3140</v>
      </c>
      <c r="G1445" s="28" t="s">
        <v>162</v>
      </c>
      <c r="H1445" s="13">
        <v>9</v>
      </c>
      <c r="I1445" s="12" t="s">
        <v>27817</v>
      </c>
      <c r="J1445" s="12" t="s">
        <v>44627</v>
      </c>
      <c r="K1445" s="12" t="s">
        <v>40030</v>
      </c>
      <c r="L1445" s="12" t="s">
        <v>44628</v>
      </c>
      <c r="M1445" s="12" t="s">
        <v>44629</v>
      </c>
      <c r="N1445" s="12" t="s">
        <v>44630</v>
      </c>
      <c r="O1445" s="12" t="s">
        <v>37868</v>
      </c>
      <c r="P1445" s="12" t="s">
        <v>42050</v>
      </c>
      <c r="Q1445" s="12" t="s">
        <v>37974</v>
      </c>
      <c r="R1445" s="12" t="s">
        <v>38240</v>
      </c>
      <c r="S1445" s="12"/>
      <c r="T1445" s="12"/>
      <c r="U1445" s="12"/>
      <c r="V1445" s="12"/>
      <c r="W1445" s="12"/>
      <c r="X1445" s="12"/>
      <c r="Y1445" s="12"/>
      <c r="Z1445" s="12"/>
      <c r="AA1445" s="12"/>
      <c r="AB1445" s="12"/>
      <c r="AC1445" s="12"/>
      <c r="AD1445" s="12"/>
      <c r="AE1445" s="12"/>
      <c r="AF1445" s="12"/>
      <c r="AG1445" s="12"/>
      <c r="AH1445" s="12"/>
      <c r="AI1445" s="12"/>
      <c r="AJ1445" s="12"/>
      <c r="AK1445" s="12"/>
      <c r="AL1445" s="12"/>
      <c r="AM1445" s="12"/>
      <c r="AN1445" s="12"/>
      <c r="AO1445" s="12"/>
      <c r="AP1445" s="12"/>
      <c r="AQ1445" s="12"/>
      <c r="AR1445" s="12"/>
      <c r="AS1445" s="12"/>
      <c r="AT1445" s="12"/>
      <c r="AU1445" s="12"/>
      <c r="AV1445" s="12"/>
      <c r="AW1445" s="12"/>
      <c r="AX1445" s="12"/>
      <c r="AY1445" s="12"/>
      <c r="AZ1445" s="12"/>
      <c r="BA1445" s="12"/>
      <c r="BB1445" s="12"/>
      <c r="BC1445" s="12"/>
      <c r="BD1445" s="12"/>
      <c r="BE1445" s="12"/>
      <c r="BF1445" s="12"/>
      <c r="BG1445" s="12"/>
      <c r="BH1445" s="12"/>
      <c r="BI1445" s="12"/>
      <c r="BJ1445" s="12"/>
      <c r="BK1445" s="12"/>
      <c r="BL1445" s="12"/>
      <c r="BM1445" s="12"/>
      <c r="BN1445" s="12"/>
      <c r="BO1445" s="12"/>
      <c r="BP1445" s="12"/>
      <c r="BQ1445" s="12"/>
      <c r="BR1445" s="12"/>
      <c r="BS1445" s="12"/>
      <c r="BT1445" s="12"/>
    </row>
    <row r="1446" spans="1:72">
      <c r="A1446" s="2" t="s">
        <v>27821</v>
      </c>
      <c r="B1446" s="5" t="s">
        <v>27826</v>
      </c>
      <c r="C1446" s="3" t="s">
        <v>138</v>
      </c>
      <c r="D1446" s="4" t="s">
        <v>138</v>
      </c>
      <c r="E1446" s="15" t="s">
        <v>4878</v>
      </c>
      <c r="F1446" s="15" t="s">
        <v>200</v>
      </c>
      <c r="G1446" s="15" t="s">
        <v>162</v>
      </c>
      <c r="H1446" s="7">
        <v>12</v>
      </c>
      <c r="I1446" s="6" t="s">
        <v>27832</v>
      </c>
      <c r="J1446" s="6" t="s">
        <v>44631</v>
      </c>
      <c r="K1446" s="6" t="s">
        <v>44632</v>
      </c>
      <c r="L1446" s="6" t="s">
        <v>42393</v>
      </c>
      <c r="M1446" s="6" t="s">
        <v>39348</v>
      </c>
      <c r="N1446" s="6" t="s">
        <v>42518</v>
      </c>
      <c r="O1446" s="6" t="s">
        <v>40787</v>
      </c>
      <c r="P1446" s="6" t="s">
        <v>40183</v>
      </c>
      <c r="Q1446" s="6" t="s">
        <v>44633</v>
      </c>
      <c r="R1446" s="6" t="s">
        <v>40748</v>
      </c>
      <c r="S1446" s="6" t="s">
        <v>41348</v>
      </c>
      <c r="T1446" s="6" t="s">
        <v>39664</v>
      </c>
      <c r="U1446" s="6" t="s">
        <v>42076</v>
      </c>
      <c r="V1446" s="6"/>
      <c r="W1446" s="6"/>
      <c r="X1446" s="6"/>
      <c r="Y1446" s="6"/>
      <c r="Z1446" s="6"/>
      <c r="AA1446" s="6"/>
      <c r="AB1446" s="6"/>
      <c r="AC1446" s="6"/>
      <c r="AD1446" s="6"/>
      <c r="AE1446" s="6"/>
      <c r="AF1446" s="6"/>
      <c r="AG1446" s="6"/>
      <c r="AH1446" s="6"/>
      <c r="AI1446" s="6"/>
      <c r="AJ1446" s="6"/>
      <c r="AK1446" s="6"/>
      <c r="AL1446" s="6"/>
      <c r="AM1446" s="6"/>
      <c r="AN1446" s="6"/>
      <c r="AO1446" s="6"/>
      <c r="AP1446" s="6"/>
      <c r="AQ1446" s="6"/>
      <c r="AR1446" s="6"/>
      <c r="AS1446" s="6"/>
      <c r="AT1446" s="6"/>
      <c r="AU1446" s="6"/>
      <c r="AV1446" s="6"/>
      <c r="AW1446" s="6"/>
      <c r="AX1446" s="6"/>
      <c r="AY1446" s="6"/>
      <c r="AZ1446" s="6"/>
      <c r="BA1446" s="6"/>
      <c r="BB1446" s="6"/>
      <c r="BC1446" s="6"/>
      <c r="BD1446" s="6"/>
      <c r="BE1446" s="6"/>
      <c r="BF1446" s="6"/>
      <c r="BG1446" s="6"/>
      <c r="BH1446" s="6"/>
      <c r="BI1446" s="6"/>
      <c r="BJ1446" s="6"/>
      <c r="BK1446" s="6"/>
      <c r="BL1446" s="6"/>
      <c r="BM1446" s="6"/>
      <c r="BN1446" s="6"/>
      <c r="BO1446" s="6"/>
      <c r="BP1446" s="6"/>
      <c r="BQ1446" s="6"/>
      <c r="BR1446" s="6"/>
      <c r="BS1446" s="6"/>
      <c r="BT1446" s="6"/>
    </row>
    <row r="1447" spans="1:72">
      <c r="A1447" s="8" t="s">
        <v>27835</v>
      </c>
      <c r="B1447" s="11" t="s">
        <v>27839</v>
      </c>
      <c r="C1447" s="9" t="s">
        <v>138</v>
      </c>
      <c r="D1447" s="10" t="s">
        <v>138</v>
      </c>
      <c r="E1447" s="28" t="s">
        <v>668</v>
      </c>
      <c r="F1447" s="28" t="s">
        <v>200</v>
      </c>
      <c r="G1447" s="28" t="s">
        <v>162</v>
      </c>
      <c r="H1447" s="13">
        <v>6</v>
      </c>
      <c r="I1447" s="12" t="s">
        <v>27848</v>
      </c>
      <c r="J1447" s="12" t="s">
        <v>39462</v>
      </c>
      <c r="K1447" s="12" t="s">
        <v>44313</v>
      </c>
      <c r="L1447" s="12" t="s">
        <v>37851</v>
      </c>
      <c r="M1447" s="12" t="s">
        <v>40531</v>
      </c>
      <c r="N1447" s="12" t="s">
        <v>38062</v>
      </c>
      <c r="O1447" s="12" t="s">
        <v>39325</v>
      </c>
      <c r="P1447" s="12"/>
      <c r="Q1447" s="12"/>
      <c r="R1447" s="12"/>
      <c r="S1447" s="12"/>
      <c r="T1447" s="12"/>
      <c r="U1447" s="12"/>
      <c r="V1447" s="12"/>
      <c r="W1447" s="12"/>
      <c r="X1447" s="12"/>
      <c r="Y1447" s="12"/>
      <c r="Z1447" s="12"/>
      <c r="AA1447" s="12"/>
      <c r="AB1447" s="12"/>
      <c r="AC1447" s="12"/>
      <c r="AD1447" s="12"/>
      <c r="AE1447" s="12"/>
      <c r="AF1447" s="12"/>
      <c r="AG1447" s="12"/>
      <c r="AH1447" s="12"/>
      <c r="AI1447" s="12"/>
      <c r="AJ1447" s="12"/>
      <c r="AK1447" s="12"/>
      <c r="AL1447" s="12"/>
      <c r="AM1447" s="12"/>
      <c r="AN1447" s="12"/>
      <c r="AO1447" s="12"/>
      <c r="AP1447" s="12"/>
      <c r="AQ1447" s="12"/>
      <c r="AR1447" s="12"/>
      <c r="AS1447" s="12"/>
      <c r="AT1447" s="12"/>
      <c r="AU1447" s="12"/>
      <c r="AV1447" s="12"/>
      <c r="AW1447" s="12"/>
      <c r="AX1447" s="12"/>
      <c r="AY1447" s="12"/>
      <c r="AZ1447" s="12"/>
      <c r="BA1447" s="12"/>
      <c r="BB1447" s="12"/>
      <c r="BC1447" s="12"/>
      <c r="BD1447" s="12"/>
      <c r="BE1447" s="12"/>
      <c r="BF1447" s="12"/>
      <c r="BG1447" s="12"/>
      <c r="BH1447" s="12"/>
      <c r="BI1447" s="12"/>
      <c r="BJ1447" s="12"/>
      <c r="BK1447" s="12"/>
      <c r="BL1447" s="12"/>
      <c r="BM1447" s="12"/>
      <c r="BN1447" s="12"/>
      <c r="BO1447" s="12"/>
      <c r="BP1447" s="12"/>
      <c r="BQ1447" s="12"/>
      <c r="BR1447" s="12"/>
      <c r="BS1447" s="12"/>
      <c r="BT1447" s="12"/>
    </row>
    <row r="1448" spans="1:72">
      <c r="A1448" s="2" t="s">
        <v>27853</v>
      </c>
      <c r="B1448" s="5" t="s">
        <v>27857</v>
      </c>
      <c r="C1448" s="3" t="s">
        <v>138</v>
      </c>
      <c r="D1448" s="4" t="s">
        <v>138</v>
      </c>
      <c r="E1448" s="15" t="s">
        <v>14129</v>
      </c>
      <c r="F1448" s="15" t="s">
        <v>14130</v>
      </c>
      <c r="G1448" s="15" t="s">
        <v>2742</v>
      </c>
      <c r="H1448" s="7">
        <v>12</v>
      </c>
      <c r="I1448" s="6" t="s">
        <v>27866</v>
      </c>
      <c r="J1448" s="6" t="s">
        <v>44634</v>
      </c>
      <c r="K1448" s="6" t="s">
        <v>39833</v>
      </c>
      <c r="L1448" s="6" t="s">
        <v>39838</v>
      </c>
      <c r="M1448" s="6" t="s">
        <v>38964</v>
      </c>
      <c r="N1448" s="6" t="s">
        <v>37944</v>
      </c>
      <c r="O1448" s="6" t="s">
        <v>40145</v>
      </c>
      <c r="P1448" s="6" t="s">
        <v>37787</v>
      </c>
      <c r="Q1448" s="6" t="s">
        <v>38334</v>
      </c>
      <c r="R1448" s="6" t="s">
        <v>44635</v>
      </c>
      <c r="S1448" s="6" t="s">
        <v>38049</v>
      </c>
      <c r="T1448" s="6" t="s">
        <v>40247</v>
      </c>
      <c r="U1448" s="6" t="s">
        <v>40446</v>
      </c>
      <c r="V1448" s="6"/>
      <c r="W1448" s="6"/>
      <c r="X1448" s="6"/>
      <c r="Y1448" s="6"/>
      <c r="Z1448" s="6"/>
      <c r="AA1448" s="6"/>
      <c r="AB1448" s="6"/>
      <c r="AC1448" s="6"/>
      <c r="AD1448" s="6"/>
      <c r="AE1448" s="6"/>
      <c r="AF1448" s="6"/>
      <c r="AG1448" s="6"/>
      <c r="AH1448" s="6"/>
      <c r="AI1448" s="6"/>
      <c r="AJ1448" s="6"/>
      <c r="AK1448" s="6"/>
      <c r="AL1448" s="6"/>
      <c r="AM1448" s="6"/>
      <c r="AN1448" s="6"/>
      <c r="AO1448" s="6"/>
      <c r="AP1448" s="6"/>
      <c r="AQ1448" s="6"/>
      <c r="AR1448" s="6"/>
      <c r="AS1448" s="6"/>
      <c r="AT1448" s="6"/>
      <c r="AU1448" s="6"/>
      <c r="AV1448" s="6"/>
      <c r="AW1448" s="6"/>
      <c r="AX1448" s="6"/>
      <c r="AY1448" s="6"/>
      <c r="AZ1448" s="6"/>
      <c r="BA1448" s="6"/>
      <c r="BB1448" s="6"/>
      <c r="BC1448" s="6"/>
      <c r="BD1448" s="6"/>
      <c r="BE1448" s="6"/>
      <c r="BF1448" s="6"/>
      <c r="BG1448" s="6"/>
      <c r="BH1448" s="6"/>
      <c r="BI1448" s="6"/>
      <c r="BJ1448" s="6"/>
      <c r="BK1448" s="6"/>
      <c r="BL1448" s="6"/>
      <c r="BM1448" s="6"/>
      <c r="BN1448" s="6"/>
      <c r="BO1448" s="6"/>
      <c r="BP1448" s="6"/>
      <c r="BQ1448" s="6"/>
      <c r="BR1448" s="6"/>
      <c r="BS1448" s="6"/>
      <c r="BT1448" s="6"/>
    </row>
    <row r="1449" spans="1:72">
      <c r="A1449" s="8" t="s">
        <v>27871</v>
      </c>
      <c r="B1449" s="11" t="s">
        <v>27875</v>
      </c>
      <c r="C1449" s="9" t="s">
        <v>138</v>
      </c>
      <c r="D1449" s="10" t="s">
        <v>138</v>
      </c>
      <c r="E1449" s="28" t="s">
        <v>426</v>
      </c>
      <c r="F1449" s="28" t="s">
        <v>426</v>
      </c>
      <c r="G1449" s="28" t="s">
        <v>162</v>
      </c>
      <c r="H1449" s="13">
        <v>7</v>
      </c>
      <c r="I1449" s="12" t="s">
        <v>27882</v>
      </c>
      <c r="J1449" s="12" t="s">
        <v>44636</v>
      </c>
      <c r="K1449" s="12" t="s">
        <v>44637</v>
      </c>
      <c r="L1449" s="12" t="s">
        <v>44113</v>
      </c>
      <c r="M1449" s="12" t="s">
        <v>44638</v>
      </c>
      <c r="N1449" s="12" t="s">
        <v>44639</v>
      </c>
      <c r="O1449" s="12" t="s">
        <v>44640</v>
      </c>
      <c r="P1449" s="12" t="s">
        <v>38065</v>
      </c>
      <c r="Q1449" s="12"/>
      <c r="R1449" s="12"/>
      <c r="S1449" s="12"/>
      <c r="T1449" s="12"/>
      <c r="U1449" s="12"/>
      <c r="V1449" s="12"/>
      <c r="W1449" s="12"/>
      <c r="X1449" s="12"/>
      <c r="Y1449" s="12"/>
      <c r="Z1449" s="12"/>
      <c r="AA1449" s="12"/>
      <c r="AB1449" s="12"/>
      <c r="AC1449" s="12"/>
      <c r="AD1449" s="12"/>
      <c r="AE1449" s="12"/>
      <c r="AF1449" s="12"/>
      <c r="AG1449" s="12"/>
      <c r="AH1449" s="12"/>
      <c r="AI1449" s="12"/>
      <c r="AJ1449" s="12"/>
      <c r="AK1449" s="12"/>
      <c r="AL1449" s="12"/>
      <c r="AM1449" s="12"/>
      <c r="AN1449" s="12"/>
      <c r="AO1449" s="12"/>
      <c r="AP1449" s="12"/>
      <c r="AQ1449" s="12"/>
      <c r="AR1449" s="12"/>
      <c r="AS1449" s="12"/>
      <c r="AT1449" s="12"/>
      <c r="AU1449" s="12"/>
      <c r="AV1449" s="12"/>
      <c r="AW1449" s="12"/>
      <c r="AX1449" s="12"/>
      <c r="AY1449" s="12"/>
      <c r="AZ1449" s="12"/>
      <c r="BA1449" s="12"/>
      <c r="BB1449" s="12"/>
      <c r="BC1449" s="12"/>
      <c r="BD1449" s="12"/>
      <c r="BE1449" s="12"/>
      <c r="BF1449" s="12"/>
      <c r="BG1449" s="12"/>
      <c r="BH1449" s="12"/>
      <c r="BI1449" s="12"/>
      <c r="BJ1449" s="12"/>
      <c r="BK1449" s="12"/>
      <c r="BL1449" s="12"/>
      <c r="BM1449" s="12"/>
      <c r="BN1449" s="12"/>
      <c r="BO1449" s="12"/>
      <c r="BP1449" s="12"/>
      <c r="BQ1449" s="12"/>
      <c r="BR1449" s="12"/>
      <c r="BS1449" s="12"/>
      <c r="BT1449" s="12"/>
    </row>
    <row r="1450" spans="1:72">
      <c r="A1450" s="2" t="s">
        <v>27885</v>
      </c>
      <c r="B1450" s="5" t="s">
        <v>27890</v>
      </c>
      <c r="C1450" s="3" t="s">
        <v>138</v>
      </c>
      <c r="D1450" s="4" t="s">
        <v>138</v>
      </c>
      <c r="E1450" s="15" t="s">
        <v>642</v>
      </c>
      <c r="F1450" s="15" t="s">
        <v>474</v>
      </c>
      <c r="G1450" s="15" t="s">
        <v>162</v>
      </c>
      <c r="H1450" s="7">
        <v>3</v>
      </c>
      <c r="I1450" s="6" t="s">
        <v>27900</v>
      </c>
      <c r="J1450" s="6" t="s">
        <v>25820</v>
      </c>
      <c r="K1450" s="6" t="s">
        <v>42703</v>
      </c>
      <c r="L1450" s="6" t="s">
        <v>38770</v>
      </c>
      <c r="M1450" s="6"/>
      <c r="N1450" s="6"/>
      <c r="O1450" s="6"/>
      <c r="P1450" s="6"/>
      <c r="Q1450" s="6"/>
      <c r="R1450" s="6"/>
      <c r="S1450" s="6"/>
      <c r="T1450" s="6"/>
      <c r="U1450" s="6"/>
      <c r="V1450" s="6"/>
      <c r="W1450" s="6"/>
      <c r="X1450" s="6"/>
      <c r="Y1450" s="6"/>
      <c r="Z1450" s="6"/>
      <c r="AA1450" s="6"/>
      <c r="AB1450" s="6"/>
      <c r="AC1450" s="6"/>
      <c r="AD1450" s="6"/>
      <c r="AE1450" s="6"/>
      <c r="AF1450" s="6"/>
      <c r="AG1450" s="6"/>
      <c r="AH1450" s="6"/>
      <c r="AI1450" s="6"/>
      <c r="AJ1450" s="6"/>
      <c r="AK1450" s="6"/>
      <c r="AL1450" s="6"/>
      <c r="AM1450" s="6"/>
      <c r="AN1450" s="6"/>
      <c r="AO1450" s="6"/>
      <c r="AP1450" s="6"/>
      <c r="AQ1450" s="6"/>
      <c r="AR1450" s="6"/>
      <c r="AS1450" s="6"/>
      <c r="AT1450" s="6"/>
      <c r="AU1450" s="6"/>
      <c r="AV1450" s="6"/>
      <c r="AW1450" s="6"/>
      <c r="AX1450" s="6"/>
      <c r="AY1450" s="6"/>
      <c r="AZ1450" s="6"/>
      <c r="BA1450" s="6"/>
      <c r="BB1450" s="6"/>
      <c r="BC1450" s="6"/>
      <c r="BD1450" s="6"/>
      <c r="BE1450" s="6"/>
      <c r="BF1450" s="6"/>
      <c r="BG1450" s="6"/>
      <c r="BH1450" s="6"/>
      <c r="BI1450" s="6"/>
      <c r="BJ1450" s="6"/>
      <c r="BK1450" s="6"/>
      <c r="BL1450" s="6"/>
      <c r="BM1450" s="6"/>
      <c r="BN1450" s="6"/>
      <c r="BO1450" s="6"/>
      <c r="BP1450" s="6"/>
      <c r="BQ1450" s="6"/>
      <c r="BR1450" s="6"/>
      <c r="BS1450" s="6"/>
      <c r="BT1450" s="6"/>
    </row>
    <row r="1451" spans="1:72">
      <c r="A1451" s="8" t="s">
        <v>27903</v>
      </c>
      <c r="B1451" s="11" t="s">
        <v>27906</v>
      </c>
      <c r="C1451" s="9" t="s">
        <v>138</v>
      </c>
      <c r="D1451" s="10" t="s">
        <v>138</v>
      </c>
      <c r="E1451" s="28" t="s">
        <v>4900</v>
      </c>
      <c r="F1451" s="28" t="s">
        <v>200</v>
      </c>
      <c r="G1451" s="28" t="s">
        <v>162</v>
      </c>
      <c r="H1451" s="13">
        <v>3</v>
      </c>
      <c r="I1451" s="12" t="s">
        <v>27911</v>
      </c>
      <c r="J1451" s="12" t="s">
        <v>44641</v>
      </c>
      <c r="K1451" s="12" t="s">
        <v>44642</v>
      </c>
      <c r="L1451" s="12" t="s">
        <v>38054</v>
      </c>
      <c r="M1451" s="12"/>
      <c r="N1451" s="12"/>
      <c r="O1451" s="12"/>
      <c r="P1451" s="12"/>
      <c r="Q1451" s="12"/>
      <c r="R1451" s="12"/>
      <c r="S1451" s="12"/>
      <c r="T1451" s="12"/>
      <c r="U1451" s="12"/>
      <c r="V1451" s="12"/>
      <c r="W1451" s="12"/>
      <c r="X1451" s="12"/>
      <c r="Y1451" s="12"/>
      <c r="Z1451" s="12"/>
      <c r="AA1451" s="12"/>
      <c r="AB1451" s="12"/>
      <c r="AC1451" s="12"/>
      <c r="AD1451" s="12"/>
      <c r="AE1451" s="12"/>
      <c r="AF1451" s="12"/>
      <c r="AG1451" s="12"/>
      <c r="AH1451" s="12"/>
      <c r="AI1451" s="12"/>
      <c r="AJ1451" s="12"/>
      <c r="AK1451" s="12"/>
      <c r="AL1451" s="12"/>
      <c r="AM1451" s="12"/>
      <c r="AN1451" s="12"/>
      <c r="AO1451" s="12"/>
      <c r="AP1451" s="12"/>
      <c r="AQ1451" s="12"/>
      <c r="AR1451" s="12"/>
      <c r="AS1451" s="12"/>
      <c r="AT1451" s="12"/>
      <c r="AU1451" s="12"/>
      <c r="AV1451" s="12"/>
      <c r="AW1451" s="12"/>
      <c r="AX1451" s="12"/>
      <c r="AY1451" s="12"/>
      <c r="AZ1451" s="12"/>
      <c r="BA1451" s="12"/>
      <c r="BB1451" s="12"/>
      <c r="BC1451" s="12"/>
      <c r="BD1451" s="12"/>
      <c r="BE1451" s="12"/>
      <c r="BF1451" s="12"/>
      <c r="BG1451" s="12"/>
      <c r="BH1451" s="12"/>
      <c r="BI1451" s="12"/>
      <c r="BJ1451" s="12"/>
      <c r="BK1451" s="12"/>
      <c r="BL1451" s="12"/>
      <c r="BM1451" s="12"/>
      <c r="BN1451" s="12"/>
      <c r="BO1451" s="12"/>
      <c r="BP1451" s="12"/>
      <c r="BQ1451" s="12"/>
      <c r="BR1451" s="12"/>
      <c r="BS1451" s="12"/>
      <c r="BT1451" s="12"/>
    </row>
    <row r="1452" spans="1:72">
      <c r="A1452" s="2" t="s">
        <v>27914</v>
      </c>
      <c r="B1452" s="5" t="s">
        <v>27919</v>
      </c>
      <c r="C1452" s="3" t="s">
        <v>138</v>
      </c>
      <c r="D1452" s="4" t="s">
        <v>138</v>
      </c>
      <c r="E1452" s="15" t="s">
        <v>3841</v>
      </c>
      <c r="F1452" s="15" t="s">
        <v>200</v>
      </c>
      <c r="G1452" s="15" t="s">
        <v>162</v>
      </c>
      <c r="H1452" s="7">
        <v>8</v>
      </c>
      <c r="I1452" s="6" t="s">
        <v>27930</v>
      </c>
      <c r="J1452" s="6" t="s">
        <v>40241</v>
      </c>
      <c r="K1452" s="6" t="s">
        <v>43478</v>
      </c>
      <c r="L1452" s="6" t="s">
        <v>38299</v>
      </c>
      <c r="M1452" s="6" t="s">
        <v>38230</v>
      </c>
      <c r="N1452" s="6" t="s">
        <v>37883</v>
      </c>
      <c r="O1452" s="6" t="s">
        <v>44643</v>
      </c>
      <c r="P1452" s="6" t="s">
        <v>40242</v>
      </c>
      <c r="Q1452" s="6" t="s">
        <v>38705</v>
      </c>
      <c r="R1452" s="6"/>
      <c r="S1452" s="6"/>
      <c r="T1452" s="6"/>
      <c r="U1452" s="6"/>
      <c r="V1452" s="6"/>
      <c r="W1452" s="6"/>
      <c r="X1452" s="6"/>
      <c r="Y1452" s="6"/>
      <c r="Z1452" s="6"/>
      <c r="AA1452" s="6"/>
      <c r="AB1452" s="6"/>
      <c r="AC1452" s="6"/>
      <c r="AD1452" s="6"/>
      <c r="AE1452" s="6"/>
      <c r="AF1452" s="6"/>
      <c r="AG1452" s="6"/>
      <c r="AH1452" s="6"/>
      <c r="AI1452" s="6"/>
      <c r="AJ1452" s="6"/>
      <c r="AK1452" s="6"/>
      <c r="AL1452" s="6"/>
      <c r="AM1452" s="6"/>
      <c r="AN1452" s="6"/>
      <c r="AO1452" s="6"/>
      <c r="AP1452" s="6"/>
      <c r="AQ1452" s="6"/>
      <c r="AR1452" s="6"/>
      <c r="AS1452" s="6"/>
      <c r="AT1452" s="6"/>
      <c r="AU1452" s="6"/>
      <c r="AV1452" s="6"/>
      <c r="AW1452" s="6"/>
      <c r="AX1452" s="6"/>
      <c r="AY1452" s="6"/>
      <c r="AZ1452" s="6"/>
      <c r="BA1452" s="6"/>
      <c r="BB1452" s="6"/>
      <c r="BC1452" s="6"/>
      <c r="BD1452" s="6"/>
      <c r="BE1452" s="6"/>
      <c r="BF1452" s="6"/>
      <c r="BG1452" s="6"/>
      <c r="BH1452" s="6"/>
      <c r="BI1452" s="6"/>
      <c r="BJ1452" s="6"/>
      <c r="BK1452" s="6"/>
      <c r="BL1452" s="6"/>
      <c r="BM1452" s="6"/>
      <c r="BN1452" s="6"/>
      <c r="BO1452" s="6"/>
      <c r="BP1452" s="6"/>
      <c r="BQ1452" s="6"/>
      <c r="BR1452" s="6"/>
      <c r="BS1452" s="6"/>
      <c r="BT1452" s="6"/>
    </row>
    <row r="1453" spans="1:72">
      <c r="A1453" s="8" t="s">
        <v>27933</v>
      </c>
      <c r="B1453" s="11" t="s">
        <v>27938</v>
      </c>
      <c r="C1453" s="9" t="s">
        <v>27934</v>
      </c>
      <c r="D1453" s="10" t="s">
        <v>138</v>
      </c>
      <c r="E1453" s="28" t="s">
        <v>426</v>
      </c>
      <c r="F1453" s="28" t="s">
        <v>426</v>
      </c>
      <c r="G1453" s="28" t="s">
        <v>162</v>
      </c>
      <c r="H1453" s="13">
        <v>11</v>
      </c>
      <c r="I1453" s="12" t="s">
        <v>27945</v>
      </c>
      <c r="J1453" s="12" t="s">
        <v>42117</v>
      </c>
      <c r="K1453" s="12" t="s">
        <v>37787</v>
      </c>
      <c r="L1453" s="12" t="s">
        <v>38398</v>
      </c>
      <c r="M1453" s="12" t="s">
        <v>40078</v>
      </c>
      <c r="N1453" s="12" t="s">
        <v>37824</v>
      </c>
      <c r="O1453" s="12" t="s">
        <v>38200</v>
      </c>
      <c r="P1453" s="12" t="s">
        <v>41631</v>
      </c>
      <c r="Q1453" s="12" t="s">
        <v>38155</v>
      </c>
      <c r="R1453" s="12" t="s">
        <v>44644</v>
      </c>
      <c r="S1453" s="12" t="s">
        <v>44645</v>
      </c>
      <c r="T1453" s="12" t="s">
        <v>41318</v>
      </c>
      <c r="U1453" s="12"/>
      <c r="V1453" s="12"/>
      <c r="W1453" s="12"/>
      <c r="X1453" s="12"/>
      <c r="Y1453" s="12"/>
      <c r="Z1453" s="12"/>
      <c r="AA1453" s="12"/>
      <c r="AB1453" s="12"/>
      <c r="AC1453" s="12"/>
      <c r="AD1453" s="12"/>
      <c r="AE1453" s="12"/>
      <c r="AF1453" s="12"/>
      <c r="AG1453" s="12"/>
      <c r="AH1453" s="12"/>
      <c r="AI1453" s="12"/>
      <c r="AJ1453" s="12"/>
      <c r="AK1453" s="12"/>
      <c r="AL1453" s="12"/>
      <c r="AM1453" s="12"/>
      <c r="AN1453" s="12"/>
      <c r="AO1453" s="12"/>
      <c r="AP1453" s="12"/>
      <c r="AQ1453" s="12"/>
      <c r="AR1453" s="12"/>
      <c r="AS1453" s="12"/>
      <c r="AT1453" s="12"/>
      <c r="AU1453" s="12"/>
      <c r="AV1453" s="12"/>
      <c r="AW1453" s="12"/>
      <c r="AX1453" s="12"/>
      <c r="AY1453" s="12"/>
      <c r="AZ1453" s="12"/>
      <c r="BA1453" s="12"/>
      <c r="BB1453" s="12"/>
      <c r="BC1453" s="12"/>
      <c r="BD1453" s="12"/>
      <c r="BE1453" s="12"/>
      <c r="BF1453" s="12"/>
      <c r="BG1453" s="12"/>
      <c r="BH1453" s="12"/>
      <c r="BI1453" s="12"/>
      <c r="BJ1453" s="12"/>
      <c r="BK1453" s="12"/>
      <c r="BL1453" s="12"/>
      <c r="BM1453" s="12"/>
      <c r="BN1453" s="12"/>
      <c r="BO1453" s="12"/>
      <c r="BP1453" s="12"/>
      <c r="BQ1453" s="12"/>
      <c r="BR1453" s="12"/>
      <c r="BS1453" s="12"/>
      <c r="BT1453" s="12"/>
    </row>
    <row r="1454" spans="1:72">
      <c r="A1454" s="2" t="s">
        <v>27949</v>
      </c>
      <c r="B1454" s="5" t="s">
        <v>27956</v>
      </c>
      <c r="C1454" s="3" t="s">
        <v>27950</v>
      </c>
      <c r="D1454" s="4" t="s">
        <v>138</v>
      </c>
      <c r="E1454" s="15" t="s">
        <v>426</v>
      </c>
      <c r="F1454" s="15" t="s">
        <v>426</v>
      </c>
      <c r="G1454" s="15" t="s">
        <v>162</v>
      </c>
      <c r="H1454" s="7">
        <v>43</v>
      </c>
      <c r="I1454" s="6" t="s">
        <v>27964</v>
      </c>
      <c r="J1454" s="6" t="s">
        <v>39425</v>
      </c>
      <c r="K1454" s="6" t="s">
        <v>42820</v>
      </c>
      <c r="L1454" s="6" t="s">
        <v>44646</v>
      </c>
      <c r="M1454" s="6" t="s">
        <v>44647</v>
      </c>
      <c r="N1454" s="6" t="s">
        <v>40413</v>
      </c>
      <c r="O1454" s="6" t="s">
        <v>44648</v>
      </c>
      <c r="P1454" s="6" t="s">
        <v>37819</v>
      </c>
      <c r="Q1454" s="6" t="s">
        <v>37820</v>
      </c>
      <c r="R1454" s="6" t="s">
        <v>40842</v>
      </c>
      <c r="S1454" s="6" t="s">
        <v>44649</v>
      </c>
      <c r="T1454" s="6" t="s">
        <v>42680</v>
      </c>
      <c r="U1454" s="6" t="s">
        <v>44650</v>
      </c>
      <c r="V1454" s="6" t="s">
        <v>37799</v>
      </c>
      <c r="W1454" s="6" t="s">
        <v>44651</v>
      </c>
      <c r="X1454" s="6" t="s">
        <v>44652</v>
      </c>
      <c r="Y1454" s="6" t="s">
        <v>42480</v>
      </c>
      <c r="Z1454" s="6" t="s">
        <v>37960</v>
      </c>
      <c r="AA1454" s="6" t="s">
        <v>41915</v>
      </c>
      <c r="AB1454" s="6" t="s">
        <v>44653</v>
      </c>
      <c r="AC1454" s="6" t="s">
        <v>44654</v>
      </c>
      <c r="AD1454" s="6" t="s">
        <v>44655</v>
      </c>
      <c r="AE1454" s="6" t="s">
        <v>44458</v>
      </c>
      <c r="AF1454" s="6" t="s">
        <v>44656</v>
      </c>
      <c r="AG1454" s="6" t="s">
        <v>41234</v>
      </c>
      <c r="AH1454" s="6" t="s">
        <v>38025</v>
      </c>
      <c r="AI1454" s="6" t="s">
        <v>44657</v>
      </c>
      <c r="AJ1454" s="6" t="s">
        <v>41346</v>
      </c>
      <c r="AK1454" s="6" t="s">
        <v>38166</v>
      </c>
      <c r="AL1454" s="6" t="s">
        <v>40416</v>
      </c>
      <c r="AM1454" s="6" t="s">
        <v>38167</v>
      </c>
      <c r="AN1454" s="6" t="s">
        <v>43190</v>
      </c>
      <c r="AO1454" s="6" t="s">
        <v>38954</v>
      </c>
      <c r="AP1454" s="6" t="s">
        <v>41127</v>
      </c>
      <c r="AQ1454" s="6" t="s">
        <v>42445</v>
      </c>
      <c r="AR1454" s="6" t="s">
        <v>44658</v>
      </c>
      <c r="AS1454" s="6" t="s">
        <v>43767</v>
      </c>
      <c r="AT1454" s="6" t="s">
        <v>42630</v>
      </c>
      <c r="AU1454" s="6" t="s">
        <v>44659</v>
      </c>
      <c r="AV1454" s="6" t="s">
        <v>41240</v>
      </c>
      <c r="AW1454" s="6" t="s">
        <v>42272</v>
      </c>
      <c r="AX1454" s="6" t="s">
        <v>44660</v>
      </c>
      <c r="AY1454" s="6" t="s">
        <v>37976</v>
      </c>
      <c r="AZ1454" s="6" t="s">
        <v>39627</v>
      </c>
      <c r="BA1454" s="6"/>
      <c r="BB1454" s="6"/>
      <c r="BC1454" s="6"/>
      <c r="BD1454" s="6"/>
      <c r="BE1454" s="6"/>
      <c r="BF1454" s="6"/>
      <c r="BG1454" s="6"/>
      <c r="BH1454" s="6"/>
      <c r="BI1454" s="6"/>
      <c r="BJ1454" s="6"/>
      <c r="BK1454" s="6"/>
      <c r="BL1454" s="6"/>
      <c r="BM1454" s="6"/>
      <c r="BN1454" s="6"/>
      <c r="BO1454" s="6"/>
      <c r="BP1454" s="6"/>
      <c r="BQ1454" s="6"/>
      <c r="BR1454" s="6"/>
      <c r="BS1454" s="6"/>
      <c r="BT1454" s="6"/>
    </row>
    <row r="1455" spans="1:72">
      <c r="A1455" s="8" t="s">
        <v>27968</v>
      </c>
      <c r="B1455" s="11" t="s">
        <v>27973</v>
      </c>
      <c r="C1455" s="9" t="s">
        <v>138</v>
      </c>
      <c r="D1455" s="10" t="s">
        <v>27969</v>
      </c>
      <c r="E1455" s="28" t="s">
        <v>27981</v>
      </c>
      <c r="F1455" s="28" t="s">
        <v>138</v>
      </c>
      <c r="G1455" s="28" t="s">
        <v>9686</v>
      </c>
      <c r="H1455" s="13">
        <v>8</v>
      </c>
      <c r="I1455" s="12" t="s">
        <v>27985</v>
      </c>
      <c r="J1455" s="12" t="s">
        <v>44661</v>
      </c>
      <c r="K1455" s="12" t="s">
        <v>44662</v>
      </c>
      <c r="L1455" s="12" t="s">
        <v>42154</v>
      </c>
      <c r="M1455" s="12" t="s">
        <v>44663</v>
      </c>
      <c r="N1455" s="12" t="s">
        <v>44664</v>
      </c>
      <c r="O1455" s="12" t="s">
        <v>41655</v>
      </c>
      <c r="P1455" s="12" t="s">
        <v>44361</v>
      </c>
      <c r="Q1455" s="12" t="s">
        <v>40730</v>
      </c>
      <c r="R1455" s="12"/>
      <c r="S1455" s="12"/>
      <c r="T1455" s="12"/>
      <c r="U1455" s="12"/>
      <c r="V1455" s="12"/>
      <c r="W1455" s="12"/>
      <c r="X1455" s="12"/>
      <c r="Y1455" s="12"/>
      <c r="Z1455" s="12"/>
      <c r="AA1455" s="12"/>
      <c r="AB1455" s="12"/>
      <c r="AC1455" s="12"/>
      <c r="AD1455" s="12"/>
      <c r="AE1455" s="12"/>
      <c r="AF1455" s="12"/>
      <c r="AG1455" s="12"/>
      <c r="AH1455" s="12"/>
      <c r="AI1455" s="12"/>
      <c r="AJ1455" s="12"/>
      <c r="AK1455" s="12"/>
      <c r="AL1455" s="12"/>
      <c r="AM1455" s="12"/>
      <c r="AN1455" s="12"/>
      <c r="AO1455" s="12"/>
      <c r="AP1455" s="12"/>
      <c r="AQ1455" s="12"/>
      <c r="AR1455" s="12"/>
      <c r="AS1455" s="12"/>
      <c r="AT1455" s="12"/>
      <c r="AU1455" s="12"/>
      <c r="AV1455" s="12"/>
      <c r="AW1455" s="12"/>
      <c r="AX1455" s="12"/>
      <c r="AY1455" s="12"/>
      <c r="AZ1455" s="12"/>
      <c r="BA1455" s="12"/>
      <c r="BB1455" s="12"/>
      <c r="BC1455" s="12"/>
      <c r="BD1455" s="12"/>
      <c r="BE1455" s="12"/>
      <c r="BF1455" s="12"/>
      <c r="BG1455" s="12"/>
      <c r="BH1455" s="12"/>
      <c r="BI1455" s="12"/>
      <c r="BJ1455" s="12"/>
      <c r="BK1455" s="12"/>
      <c r="BL1455" s="12"/>
      <c r="BM1455" s="12"/>
      <c r="BN1455" s="12"/>
      <c r="BO1455" s="12"/>
      <c r="BP1455" s="12"/>
      <c r="BQ1455" s="12"/>
      <c r="BR1455" s="12"/>
      <c r="BS1455" s="12"/>
      <c r="BT1455" s="12"/>
    </row>
    <row r="1456" spans="1:72">
      <c r="A1456" s="2" t="s">
        <v>27988</v>
      </c>
      <c r="B1456" s="5" t="s">
        <v>27992</v>
      </c>
      <c r="C1456" s="3" t="s">
        <v>138</v>
      </c>
      <c r="D1456" s="4" t="s">
        <v>138</v>
      </c>
      <c r="E1456" s="15" t="s">
        <v>3841</v>
      </c>
      <c r="F1456" s="15" t="s">
        <v>200</v>
      </c>
      <c r="G1456" s="15" t="s">
        <v>162</v>
      </c>
      <c r="H1456" s="7">
        <v>8</v>
      </c>
      <c r="I1456" s="6" t="s">
        <v>28000</v>
      </c>
      <c r="J1456" s="6" t="s">
        <v>44665</v>
      </c>
      <c r="K1456" s="6" t="s">
        <v>44666</v>
      </c>
      <c r="L1456" s="6" t="s">
        <v>44667</v>
      </c>
      <c r="M1456" s="6" t="s">
        <v>44668</v>
      </c>
      <c r="N1456" s="6" t="s">
        <v>37786</v>
      </c>
      <c r="O1456" s="6" t="s">
        <v>43501</v>
      </c>
      <c r="P1456" s="6" t="s">
        <v>38200</v>
      </c>
      <c r="Q1456" s="6" t="s">
        <v>40514</v>
      </c>
      <c r="R1456" s="6"/>
      <c r="S1456" s="6"/>
      <c r="T1456" s="6"/>
      <c r="U1456" s="6"/>
      <c r="V1456" s="6"/>
      <c r="W1456" s="6"/>
      <c r="X1456" s="6"/>
      <c r="Y1456" s="6"/>
      <c r="Z1456" s="6"/>
      <c r="AA1456" s="6"/>
      <c r="AB1456" s="6"/>
      <c r="AC1456" s="6"/>
      <c r="AD1456" s="6"/>
      <c r="AE1456" s="6"/>
      <c r="AF1456" s="6"/>
      <c r="AG1456" s="6"/>
      <c r="AH1456" s="6"/>
      <c r="AI1456" s="6"/>
      <c r="AJ1456" s="6"/>
      <c r="AK1456" s="6"/>
      <c r="AL1456" s="6"/>
      <c r="AM1456" s="6"/>
      <c r="AN1456" s="6"/>
      <c r="AO1456" s="6"/>
      <c r="AP1456" s="6"/>
      <c r="AQ1456" s="6"/>
      <c r="AR1456" s="6"/>
      <c r="AS1456" s="6"/>
      <c r="AT1456" s="6"/>
      <c r="AU1456" s="6"/>
      <c r="AV1456" s="6"/>
      <c r="AW1456" s="6"/>
      <c r="AX1456" s="6"/>
      <c r="AY1456" s="6"/>
      <c r="AZ1456" s="6"/>
      <c r="BA1456" s="6"/>
      <c r="BB1456" s="6"/>
      <c r="BC1456" s="6"/>
      <c r="BD1456" s="6"/>
      <c r="BE1456" s="6"/>
      <c r="BF1456" s="6"/>
      <c r="BG1456" s="6"/>
      <c r="BH1456" s="6"/>
      <c r="BI1456" s="6"/>
      <c r="BJ1456" s="6"/>
      <c r="BK1456" s="6"/>
      <c r="BL1456" s="6"/>
      <c r="BM1456" s="6"/>
      <c r="BN1456" s="6"/>
      <c r="BO1456" s="6"/>
      <c r="BP1456" s="6"/>
      <c r="BQ1456" s="6"/>
      <c r="BR1456" s="6"/>
      <c r="BS1456" s="6"/>
      <c r="BT1456" s="6"/>
    </row>
    <row r="1457" spans="1:72">
      <c r="A1457" s="8" t="s">
        <v>28003</v>
      </c>
      <c r="B1457" s="11" t="s">
        <v>28010</v>
      </c>
      <c r="C1457" s="9" t="s">
        <v>138</v>
      </c>
      <c r="D1457" s="10" t="s">
        <v>28004</v>
      </c>
      <c r="E1457" s="28" t="s">
        <v>1171</v>
      </c>
      <c r="F1457" s="28" t="s">
        <v>200</v>
      </c>
      <c r="G1457" s="28" t="s">
        <v>162</v>
      </c>
      <c r="H1457" s="13">
        <v>7</v>
      </c>
      <c r="I1457" s="12" t="s">
        <v>28018</v>
      </c>
      <c r="J1457" s="12" t="s">
        <v>38406</v>
      </c>
      <c r="K1457" s="12" t="s">
        <v>38950</v>
      </c>
      <c r="L1457" s="12" t="s">
        <v>38918</v>
      </c>
      <c r="M1457" s="12" t="s">
        <v>40219</v>
      </c>
      <c r="N1457" s="12" t="s">
        <v>38050</v>
      </c>
      <c r="O1457" s="12" t="s">
        <v>42502</v>
      </c>
      <c r="P1457" s="12" t="s">
        <v>38145</v>
      </c>
      <c r="Q1457" s="12"/>
      <c r="R1457" s="12"/>
      <c r="S1457" s="12"/>
      <c r="T1457" s="12"/>
      <c r="U1457" s="12"/>
      <c r="V1457" s="12"/>
      <c r="W1457" s="12"/>
      <c r="X1457" s="12"/>
      <c r="Y1457" s="12"/>
      <c r="Z1457" s="12"/>
      <c r="AA1457" s="12"/>
      <c r="AB1457" s="12"/>
      <c r="AC1457" s="12"/>
      <c r="AD1457" s="12"/>
      <c r="AE1457" s="12"/>
      <c r="AF1457" s="12"/>
      <c r="AG1457" s="12"/>
      <c r="AH1457" s="12"/>
      <c r="AI1457" s="12"/>
      <c r="AJ1457" s="12"/>
      <c r="AK1457" s="12"/>
      <c r="AL1457" s="12"/>
      <c r="AM1457" s="12"/>
      <c r="AN1457" s="12"/>
      <c r="AO1457" s="12"/>
      <c r="AP1457" s="12"/>
      <c r="AQ1457" s="12"/>
      <c r="AR1457" s="12"/>
      <c r="AS1457" s="12"/>
      <c r="AT1457" s="12"/>
      <c r="AU1457" s="12"/>
      <c r="AV1457" s="12"/>
      <c r="AW1457" s="12"/>
      <c r="AX1457" s="12"/>
      <c r="AY1457" s="12"/>
      <c r="AZ1457" s="12"/>
      <c r="BA1457" s="12"/>
      <c r="BB1457" s="12"/>
      <c r="BC1457" s="12"/>
      <c r="BD1457" s="12"/>
      <c r="BE1457" s="12"/>
      <c r="BF1457" s="12"/>
      <c r="BG1457" s="12"/>
      <c r="BH1457" s="12"/>
      <c r="BI1457" s="12"/>
      <c r="BJ1457" s="12"/>
      <c r="BK1457" s="12"/>
      <c r="BL1457" s="12"/>
      <c r="BM1457" s="12"/>
      <c r="BN1457" s="12"/>
      <c r="BO1457" s="12"/>
      <c r="BP1457" s="12"/>
      <c r="BQ1457" s="12"/>
      <c r="BR1457" s="12"/>
      <c r="BS1457" s="12"/>
      <c r="BT1457" s="12"/>
    </row>
    <row r="1458" spans="1:72">
      <c r="A1458" s="2" t="s">
        <v>28021</v>
      </c>
      <c r="B1458" s="5" t="s">
        <v>28026</v>
      </c>
      <c r="C1458" s="3" t="s">
        <v>138</v>
      </c>
      <c r="D1458" s="4" t="s">
        <v>28022</v>
      </c>
      <c r="E1458" s="15" t="s">
        <v>2845</v>
      </c>
      <c r="F1458" s="15" t="s">
        <v>200</v>
      </c>
      <c r="G1458" s="15" t="s">
        <v>162</v>
      </c>
      <c r="H1458" s="7">
        <v>3</v>
      </c>
      <c r="I1458" s="6" t="s">
        <v>28034</v>
      </c>
      <c r="J1458" s="6" t="s">
        <v>44669</v>
      </c>
      <c r="K1458" s="6" t="s">
        <v>37890</v>
      </c>
      <c r="L1458" s="6" t="s">
        <v>37805</v>
      </c>
      <c r="M1458" s="6"/>
      <c r="N1458" s="6"/>
      <c r="O1458" s="6"/>
      <c r="P1458" s="6"/>
      <c r="Q1458" s="6"/>
      <c r="R1458" s="6"/>
      <c r="S1458" s="6"/>
      <c r="T1458" s="6"/>
      <c r="U1458" s="6"/>
      <c r="V1458" s="6"/>
      <c r="W1458" s="6"/>
      <c r="X1458" s="6"/>
      <c r="Y1458" s="6"/>
      <c r="Z1458" s="6"/>
      <c r="AA1458" s="6"/>
      <c r="AB1458" s="6"/>
      <c r="AC1458" s="6"/>
      <c r="AD1458" s="6"/>
      <c r="AE1458" s="6"/>
      <c r="AF1458" s="6"/>
      <c r="AG1458" s="6"/>
      <c r="AH1458" s="6"/>
      <c r="AI1458" s="6"/>
      <c r="AJ1458" s="6"/>
      <c r="AK1458" s="6"/>
      <c r="AL1458" s="6"/>
      <c r="AM1458" s="6"/>
      <c r="AN1458" s="6"/>
      <c r="AO1458" s="6"/>
      <c r="AP1458" s="6"/>
      <c r="AQ1458" s="6"/>
      <c r="AR1458" s="6"/>
      <c r="AS1458" s="6"/>
      <c r="AT1458" s="6"/>
      <c r="AU1458" s="6"/>
      <c r="AV1458" s="6"/>
      <c r="AW1458" s="6"/>
      <c r="AX1458" s="6"/>
      <c r="AY1458" s="6"/>
      <c r="AZ1458" s="6"/>
      <c r="BA1458" s="6"/>
      <c r="BB1458" s="6"/>
      <c r="BC1458" s="6"/>
      <c r="BD1458" s="6"/>
      <c r="BE1458" s="6"/>
      <c r="BF1458" s="6"/>
      <c r="BG1458" s="6"/>
      <c r="BH1458" s="6"/>
      <c r="BI1458" s="6"/>
      <c r="BJ1458" s="6"/>
      <c r="BK1458" s="6"/>
      <c r="BL1458" s="6"/>
      <c r="BM1458" s="6"/>
      <c r="BN1458" s="6"/>
      <c r="BO1458" s="6"/>
      <c r="BP1458" s="6"/>
      <c r="BQ1458" s="6"/>
      <c r="BR1458" s="6"/>
      <c r="BS1458" s="6"/>
      <c r="BT1458" s="6"/>
    </row>
    <row r="1459" spans="1:72">
      <c r="A1459" s="8" t="s">
        <v>28037</v>
      </c>
      <c r="B1459" s="11" t="s">
        <v>28042</v>
      </c>
      <c r="C1459" s="9" t="s">
        <v>138</v>
      </c>
      <c r="D1459" s="10" t="s">
        <v>138</v>
      </c>
      <c r="E1459" s="28" t="s">
        <v>6299</v>
      </c>
      <c r="F1459" s="28" t="s">
        <v>339</v>
      </c>
      <c r="G1459" s="28" t="s">
        <v>162</v>
      </c>
      <c r="H1459" s="13">
        <v>8</v>
      </c>
      <c r="I1459" s="12" t="s">
        <v>28054</v>
      </c>
      <c r="J1459" s="12" t="s">
        <v>42877</v>
      </c>
      <c r="K1459" s="12" t="s">
        <v>44670</v>
      </c>
      <c r="L1459" s="12" t="s">
        <v>37819</v>
      </c>
      <c r="M1459" s="12" t="s">
        <v>37788</v>
      </c>
      <c r="N1459" s="12" t="s">
        <v>44247</v>
      </c>
      <c r="O1459" s="12" t="s">
        <v>38781</v>
      </c>
      <c r="P1459" s="12" t="s">
        <v>38814</v>
      </c>
      <c r="Q1459" s="12" t="s">
        <v>39071</v>
      </c>
      <c r="R1459" s="12"/>
      <c r="S1459" s="12"/>
      <c r="T1459" s="12"/>
      <c r="U1459" s="12"/>
      <c r="V1459" s="12"/>
      <c r="W1459" s="12"/>
      <c r="X1459" s="12"/>
      <c r="Y1459" s="12"/>
      <c r="Z1459" s="12"/>
      <c r="AA1459" s="12"/>
      <c r="AB1459" s="12"/>
      <c r="AC1459" s="12"/>
      <c r="AD1459" s="12"/>
      <c r="AE1459" s="12"/>
      <c r="AF1459" s="12"/>
      <c r="AG1459" s="12"/>
      <c r="AH1459" s="12"/>
      <c r="AI1459" s="12"/>
      <c r="AJ1459" s="12"/>
      <c r="AK1459" s="12"/>
      <c r="AL1459" s="12"/>
      <c r="AM1459" s="12"/>
      <c r="AN1459" s="12"/>
      <c r="AO1459" s="12"/>
      <c r="AP1459" s="12"/>
      <c r="AQ1459" s="12"/>
      <c r="AR1459" s="12"/>
      <c r="AS1459" s="12"/>
      <c r="AT1459" s="12"/>
      <c r="AU1459" s="12"/>
      <c r="AV1459" s="12"/>
      <c r="AW1459" s="12"/>
      <c r="AX1459" s="12"/>
      <c r="AY1459" s="12"/>
      <c r="AZ1459" s="12"/>
      <c r="BA1459" s="12"/>
      <c r="BB1459" s="12"/>
      <c r="BC1459" s="12"/>
      <c r="BD1459" s="12"/>
      <c r="BE1459" s="12"/>
      <c r="BF1459" s="12"/>
      <c r="BG1459" s="12"/>
      <c r="BH1459" s="12"/>
      <c r="BI1459" s="12"/>
      <c r="BJ1459" s="12"/>
      <c r="BK1459" s="12"/>
      <c r="BL1459" s="12"/>
      <c r="BM1459" s="12"/>
      <c r="BN1459" s="12"/>
      <c r="BO1459" s="12"/>
      <c r="BP1459" s="12"/>
      <c r="BQ1459" s="12"/>
      <c r="BR1459" s="12"/>
      <c r="BS1459" s="12"/>
      <c r="BT1459" s="12"/>
    </row>
    <row r="1460" spans="1:72">
      <c r="A1460" s="2" t="s">
        <v>28059</v>
      </c>
      <c r="B1460" s="5" t="s">
        <v>28064</v>
      </c>
      <c r="C1460" s="3" t="s">
        <v>28060</v>
      </c>
      <c r="D1460" s="4" t="s">
        <v>138</v>
      </c>
      <c r="E1460" s="15" t="s">
        <v>668</v>
      </c>
      <c r="F1460" s="15" t="s">
        <v>200</v>
      </c>
      <c r="G1460" s="15" t="s">
        <v>162</v>
      </c>
      <c r="H1460" s="7">
        <v>26</v>
      </c>
      <c r="I1460" s="6" t="s">
        <v>28071</v>
      </c>
      <c r="J1460" s="6" t="s">
        <v>37771</v>
      </c>
      <c r="K1460" s="6" t="s">
        <v>37877</v>
      </c>
      <c r="L1460" s="6" t="s">
        <v>37819</v>
      </c>
      <c r="M1460" s="6" t="s">
        <v>40452</v>
      </c>
      <c r="N1460" s="6" t="s">
        <v>39170</v>
      </c>
      <c r="O1460" s="6" t="s">
        <v>44671</v>
      </c>
      <c r="P1460" s="6" t="s">
        <v>37799</v>
      </c>
      <c r="Q1460" s="6" t="s">
        <v>38721</v>
      </c>
      <c r="R1460" s="6" t="s">
        <v>43964</v>
      </c>
      <c r="S1460" s="6" t="s">
        <v>44672</v>
      </c>
      <c r="T1460" s="6" t="s">
        <v>42042</v>
      </c>
      <c r="U1460" s="6" t="s">
        <v>38165</v>
      </c>
      <c r="V1460" s="6" t="s">
        <v>39954</v>
      </c>
      <c r="W1460" s="6" t="s">
        <v>38025</v>
      </c>
      <c r="X1460" s="6" t="s">
        <v>37998</v>
      </c>
      <c r="Y1460" s="6" t="s">
        <v>38323</v>
      </c>
      <c r="Z1460" s="6" t="s">
        <v>42485</v>
      </c>
      <c r="AA1460" s="6" t="s">
        <v>38030</v>
      </c>
      <c r="AB1460" s="6" t="s">
        <v>38928</v>
      </c>
      <c r="AC1460" s="6" t="s">
        <v>39744</v>
      </c>
      <c r="AD1460" s="6" t="s">
        <v>38954</v>
      </c>
      <c r="AE1460" s="6" t="s">
        <v>37783</v>
      </c>
      <c r="AF1460" s="6" t="s">
        <v>39351</v>
      </c>
      <c r="AG1460" s="6" t="s">
        <v>43279</v>
      </c>
      <c r="AH1460" s="6" t="s">
        <v>39303</v>
      </c>
      <c r="AI1460" s="6" t="s">
        <v>37976</v>
      </c>
      <c r="AJ1460" s="6"/>
      <c r="AK1460" s="6"/>
      <c r="AL1460" s="6"/>
      <c r="AM1460" s="6"/>
      <c r="AN1460" s="6"/>
      <c r="AO1460" s="6"/>
      <c r="AP1460" s="6"/>
      <c r="AQ1460" s="6"/>
      <c r="AR1460" s="6"/>
      <c r="AS1460" s="6"/>
      <c r="AT1460" s="6"/>
      <c r="AU1460" s="6"/>
      <c r="AV1460" s="6"/>
      <c r="AW1460" s="6"/>
      <c r="AX1460" s="6"/>
      <c r="AY1460" s="6"/>
      <c r="AZ1460" s="6"/>
      <c r="BA1460" s="6"/>
      <c r="BB1460" s="6"/>
      <c r="BC1460" s="6"/>
      <c r="BD1460" s="6"/>
      <c r="BE1460" s="6"/>
      <c r="BF1460" s="6"/>
      <c r="BG1460" s="6"/>
      <c r="BH1460" s="6"/>
      <c r="BI1460" s="6"/>
      <c r="BJ1460" s="6"/>
      <c r="BK1460" s="6"/>
      <c r="BL1460" s="6"/>
      <c r="BM1460" s="6"/>
      <c r="BN1460" s="6"/>
      <c r="BO1460" s="6"/>
      <c r="BP1460" s="6"/>
      <c r="BQ1460" s="6"/>
      <c r="BR1460" s="6"/>
      <c r="BS1460" s="6"/>
      <c r="BT1460" s="6"/>
    </row>
    <row r="1461" spans="1:72">
      <c r="A1461" s="8" t="s">
        <v>28074</v>
      </c>
      <c r="B1461" s="11" t="s">
        <v>28079</v>
      </c>
      <c r="C1461" s="9" t="s">
        <v>138</v>
      </c>
      <c r="D1461" s="10" t="s">
        <v>138</v>
      </c>
      <c r="E1461" s="28" t="s">
        <v>823</v>
      </c>
      <c r="F1461" s="28" t="s">
        <v>824</v>
      </c>
      <c r="G1461" s="28" t="s">
        <v>526</v>
      </c>
      <c r="H1461" s="13">
        <v>14</v>
      </c>
      <c r="I1461" s="12" t="s">
        <v>28089</v>
      </c>
      <c r="J1461" s="12" t="s">
        <v>44673</v>
      </c>
      <c r="K1461" s="12" t="s">
        <v>44674</v>
      </c>
      <c r="L1461" s="12" t="s">
        <v>40657</v>
      </c>
      <c r="M1461" s="12" t="s">
        <v>44675</v>
      </c>
      <c r="N1461" s="12" t="s">
        <v>38306</v>
      </c>
      <c r="O1461" s="12" t="s">
        <v>43857</v>
      </c>
      <c r="P1461" s="12" t="s">
        <v>44676</v>
      </c>
      <c r="Q1461" s="12" t="s">
        <v>44677</v>
      </c>
      <c r="R1461" s="12" t="s">
        <v>44678</v>
      </c>
      <c r="S1461" s="12" t="s">
        <v>37788</v>
      </c>
      <c r="T1461" s="12" t="s">
        <v>42588</v>
      </c>
      <c r="U1461" s="12" t="s">
        <v>38371</v>
      </c>
      <c r="V1461" s="12" t="s">
        <v>38627</v>
      </c>
      <c r="W1461" s="12" t="s">
        <v>38372</v>
      </c>
      <c r="X1461" s="12"/>
      <c r="Y1461" s="12"/>
      <c r="Z1461" s="12"/>
      <c r="AA1461" s="12"/>
      <c r="AB1461" s="12"/>
      <c r="AC1461" s="12"/>
      <c r="AD1461" s="12"/>
      <c r="AE1461" s="12"/>
      <c r="AF1461" s="12"/>
      <c r="AG1461" s="12"/>
      <c r="AH1461" s="12"/>
      <c r="AI1461" s="12"/>
      <c r="AJ1461" s="12"/>
      <c r="AK1461" s="12"/>
      <c r="AL1461" s="12"/>
      <c r="AM1461" s="12"/>
      <c r="AN1461" s="12"/>
      <c r="AO1461" s="12"/>
      <c r="AP1461" s="12"/>
      <c r="AQ1461" s="12"/>
      <c r="AR1461" s="12"/>
      <c r="AS1461" s="12"/>
      <c r="AT1461" s="12"/>
      <c r="AU1461" s="12"/>
      <c r="AV1461" s="12"/>
      <c r="AW1461" s="12"/>
      <c r="AX1461" s="12"/>
      <c r="AY1461" s="12"/>
      <c r="AZ1461" s="12"/>
      <c r="BA1461" s="12"/>
      <c r="BB1461" s="12"/>
      <c r="BC1461" s="12"/>
      <c r="BD1461" s="12"/>
      <c r="BE1461" s="12"/>
      <c r="BF1461" s="12"/>
      <c r="BG1461" s="12"/>
      <c r="BH1461" s="12"/>
      <c r="BI1461" s="12"/>
      <c r="BJ1461" s="12"/>
      <c r="BK1461" s="12"/>
      <c r="BL1461" s="12"/>
      <c r="BM1461" s="12"/>
      <c r="BN1461" s="12"/>
      <c r="BO1461" s="12"/>
      <c r="BP1461" s="12"/>
      <c r="BQ1461" s="12"/>
      <c r="BR1461" s="12"/>
      <c r="BS1461" s="12"/>
      <c r="BT1461" s="12"/>
    </row>
    <row r="1462" spans="1:72">
      <c r="A1462" s="2" t="s">
        <v>28092</v>
      </c>
      <c r="B1462" s="5" t="s">
        <v>28097</v>
      </c>
      <c r="C1462" s="3" t="s">
        <v>138</v>
      </c>
      <c r="D1462" s="4" t="s">
        <v>28093</v>
      </c>
      <c r="E1462" s="15" t="s">
        <v>28104</v>
      </c>
      <c r="F1462" s="15" t="s">
        <v>138</v>
      </c>
      <c r="G1462" s="15" t="s">
        <v>946</v>
      </c>
      <c r="H1462" s="7">
        <v>3</v>
      </c>
      <c r="I1462" s="6" t="s">
        <v>28108</v>
      </c>
      <c r="J1462" s="6" t="s">
        <v>3047</v>
      </c>
      <c r="K1462" s="6" t="s">
        <v>38926</v>
      </c>
      <c r="L1462" s="6" t="s">
        <v>38371</v>
      </c>
      <c r="M1462" s="6"/>
      <c r="N1462" s="6"/>
      <c r="O1462" s="6"/>
      <c r="P1462" s="6"/>
      <c r="Q1462" s="6"/>
      <c r="R1462" s="6"/>
      <c r="S1462" s="6"/>
      <c r="T1462" s="6"/>
      <c r="U1462" s="6"/>
      <c r="V1462" s="6"/>
      <c r="W1462" s="6"/>
      <c r="X1462" s="6"/>
      <c r="Y1462" s="6"/>
      <c r="Z1462" s="6"/>
      <c r="AA1462" s="6"/>
      <c r="AB1462" s="6"/>
      <c r="AC1462" s="6"/>
      <c r="AD1462" s="6"/>
      <c r="AE1462" s="6"/>
      <c r="AF1462" s="6"/>
      <c r="AG1462" s="6"/>
      <c r="AH1462" s="6"/>
      <c r="AI1462" s="6"/>
      <c r="AJ1462" s="6"/>
      <c r="AK1462" s="6"/>
      <c r="AL1462" s="6"/>
      <c r="AM1462" s="6"/>
      <c r="AN1462" s="6"/>
      <c r="AO1462" s="6"/>
      <c r="AP1462" s="6"/>
      <c r="AQ1462" s="6"/>
      <c r="AR1462" s="6"/>
      <c r="AS1462" s="6"/>
      <c r="AT1462" s="6"/>
      <c r="AU1462" s="6"/>
      <c r="AV1462" s="6"/>
      <c r="AW1462" s="6"/>
      <c r="AX1462" s="6"/>
      <c r="AY1462" s="6"/>
      <c r="AZ1462" s="6"/>
      <c r="BA1462" s="6"/>
      <c r="BB1462" s="6"/>
      <c r="BC1462" s="6"/>
      <c r="BD1462" s="6"/>
      <c r="BE1462" s="6"/>
      <c r="BF1462" s="6"/>
      <c r="BG1462" s="6"/>
      <c r="BH1462" s="6"/>
      <c r="BI1462" s="6"/>
      <c r="BJ1462" s="6"/>
      <c r="BK1462" s="6"/>
      <c r="BL1462" s="6"/>
      <c r="BM1462" s="6"/>
      <c r="BN1462" s="6"/>
      <c r="BO1462" s="6"/>
      <c r="BP1462" s="6"/>
      <c r="BQ1462" s="6"/>
      <c r="BR1462" s="6"/>
      <c r="BS1462" s="6"/>
      <c r="BT1462" s="6"/>
    </row>
    <row r="1463" spans="1:72">
      <c r="A1463" s="8" t="s">
        <v>28111</v>
      </c>
      <c r="B1463" s="11" t="s">
        <v>28117</v>
      </c>
      <c r="C1463" s="9" t="s">
        <v>28112</v>
      </c>
      <c r="D1463" s="10" t="s">
        <v>138</v>
      </c>
      <c r="E1463" s="28" t="s">
        <v>3907</v>
      </c>
      <c r="F1463" s="28" t="s">
        <v>2740</v>
      </c>
      <c r="G1463" s="28" t="s">
        <v>2742</v>
      </c>
      <c r="H1463" s="13">
        <v>17</v>
      </c>
      <c r="I1463" s="12" t="s">
        <v>28127</v>
      </c>
      <c r="J1463" s="12" t="s">
        <v>44679</v>
      </c>
      <c r="K1463" s="12" t="s">
        <v>39002</v>
      </c>
      <c r="L1463" s="12" t="s">
        <v>39833</v>
      </c>
      <c r="M1463" s="12" t="s">
        <v>39838</v>
      </c>
      <c r="N1463" s="12" t="s">
        <v>44330</v>
      </c>
      <c r="O1463" s="12" t="s">
        <v>44680</v>
      </c>
      <c r="P1463" s="12" t="s">
        <v>38882</v>
      </c>
      <c r="Q1463" s="12" t="s">
        <v>43147</v>
      </c>
      <c r="R1463" s="12" t="s">
        <v>39806</v>
      </c>
      <c r="S1463" s="12" t="s">
        <v>44681</v>
      </c>
      <c r="T1463" s="12" t="s">
        <v>44682</v>
      </c>
      <c r="U1463" s="12" t="s">
        <v>38828</v>
      </c>
      <c r="V1463" s="12" t="s">
        <v>44683</v>
      </c>
      <c r="W1463" s="12" t="s">
        <v>41633</v>
      </c>
      <c r="X1463" s="12" t="s">
        <v>44684</v>
      </c>
      <c r="Y1463" s="12" t="s">
        <v>40097</v>
      </c>
      <c r="Z1463" s="12" t="s">
        <v>38004</v>
      </c>
      <c r="AA1463" s="12"/>
      <c r="AB1463" s="12"/>
      <c r="AC1463" s="12"/>
      <c r="AD1463" s="12"/>
      <c r="AE1463" s="12"/>
      <c r="AF1463" s="12"/>
      <c r="AG1463" s="12"/>
      <c r="AH1463" s="12"/>
      <c r="AI1463" s="12"/>
      <c r="AJ1463" s="12"/>
      <c r="AK1463" s="12"/>
      <c r="AL1463" s="12"/>
      <c r="AM1463" s="12"/>
      <c r="AN1463" s="12"/>
      <c r="AO1463" s="12"/>
      <c r="AP1463" s="12"/>
      <c r="AQ1463" s="12"/>
      <c r="AR1463" s="12"/>
      <c r="AS1463" s="12"/>
      <c r="AT1463" s="12"/>
      <c r="AU1463" s="12"/>
      <c r="AV1463" s="12"/>
      <c r="AW1463" s="12"/>
      <c r="AX1463" s="12"/>
      <c r="AY1463" s="12"/>
      <c r="AZ1463" s="12"/>
      <c r="BA1463" s="12"/>
      <c r="BB1463" s="12"/>
      <c r="BC1463" s="12"/>
      <c r="BD1463" s="12"/>
      <c r="BE1463" s="12"/>
      <c r="BF1463" s="12"/>
      <c r="BG1463" s="12"/>
      <c r="BH1463" s="12"/>
      <c r="BI1463" s="12"/>
      <c r="BJ1463" s="12"/>
      <c r="BK1463" s="12"/>
      <c r="BL1463" s="12"/>
      <c r="BM1463" s="12"/>
      <c r="BN1463" s="12"/>
      <c r="BO1463" s="12"/>
      <c r="BP1463" s="12"/>
      <c r="BQ1463" s="12"/>
      <c r="BR1463" s="12"/>
      <c r="BS1463" s="12"/>
      <c r="BT1463" s="12"/>
    </row>
    <row r="1464" spans="1:72">
      <c r="A1464" s="2" t="s">
        <v>28132</v>
      </c>
      <c r="B1464" s="5" t="s">
        <v>28136</v>
      </c>
      <c r="C1464" s="3" t="s">
        <v>138</v>
      </c>
      <c r="D1464" s="4" t="s">
        <v>138</v>
      </c>
      <c r="E1464" s="15" t="s">
        <v>28145</v>
      </c>
      <c r="F1464" s="15" t="s">
        <v>160</v>
      </c>
      <c r="G1464" s="15" t="s">
        <v>162</v>
      </c>
      <c r="H1464" s="7">
        <v>5</v>
      </c>
      <c r="I1464" s="6" t="s">
        <v>28149</v>
      </c>
      <c r="J1464" s="6" t="s">
        <v>44685</v>
      </c>
      <c r="K1464" s="6" t="s">
        <v>44686</v>
      </c>
      <c r="L1464" s="6" t="s">
        <v>44687</v>
      </c>
      <c r="M1464" s="6" t="s">
        <v>38272</v>
      </c>
      <c r="N1464" s="6" t="s">
        <v>44688</v>
      </c>
      <c r="O1464" s="6"/>
      <c r="P1464" s="6"/>
      <c r="Q1464" s="6"/>
      <c r="R1464" s="6"/>
      <c r="S1464" s="6"/>
      <c r="T1464" s="6"/>
      <c r="U1464" s="6"/>
      <c r="V1464" s="6"/>
      <c r="W1464" s="6"/>
      <c r="X1464" s="6"/>
      <c r="Y1464" s="6"/>
      <c r="Z1464" s="6"/>
      <c r="AA1464" s="6"/>
      <c r="AB1464" s="6"/>
      <c r="AC1464" s="6"/>
      <c r="AD1464" s="6"/>
      <c r="AE1464" s="6"/>
      <c r="AF1464" s="6"/>
      <c r="AG1464" s="6"/>
      <c r="AH1464" s="6"/>
      <c r="AI1464" s="6"/>
      <c r="AJ1464" s="6"/>
      <c r="AK1464" s="6"/>
      <c r="AL1464" s="6"/>
      <c r="AM1464" s="6"/>
      <c r="AN1464" s="6"/>
      <c r="AO1464" s="6"/>
      <c r="AP1464" s="6"/>
      <c r="AQ1464" s="6"/>
      <c r="AR1464" s="6"/>
      <c r="AS1464" s="6"/>
      <c r="AT1464" s="6"/>
      <c r="AU1464" s="6"/>
      <c r="AV1464" s="6"/>
      <c r="AW1464" s="6"/>
      <c r="AX1464" s="6"/>
      <c r="AY1464" s="6"/>
      <c r="AZ1464" s="6"/>
      <c r="BA1464" s="6"/>
      <c r="BB1464" s="6"/>
      <c r="BC1464" s="6"/>
      <c r="BD1464" s="6"/>
      <c r="BE1464" s="6"/>
      <c r="BF1464" s="6"/>
      <c r="BG1464" s="6"/>
      <c r="BH1464" s="6"/>
      <c r="BI1464" s="6"/>
      <c r="BJ1464" s="6"/>
      <c r="BK1464" s="6"/>
      <c r="BL1464" s="6"/>
      <c r="BM1464" s="6"/>
      <c r="BN1464" s="6"/>
      <c r="BO1464" s="6"/>
      <c r="BP1464" s="6"/>
      <c r="BQ1464" s="6"/>
      <c r="BR1464" s="6"/>
      <c r="BS1464" s="6"/>
      <c r="BT1464" s="6"/>
    </row>
    <row r="1465" spans="1:72">
      <c r="A1465" s="8" t="s">
        <v>28154</v>
      </c>
      <c r="B1465" s="11" t="s">
        <v>28159</v>
      </c>
      <c r="C1465" s="9" t="s">
        <v>138</v>
      </c>
      <c r="D1465" s="10" t="s">
        <v>138</v>
      </c>
      <c r="E1465" s="28" t="s">
        <v>4900</v>
      </c>
      <c r="F1465" s="28" t="s">
        <v>200</v>
      </c>
      <c r="G1465" s="28" t="s">
        <v>162</v>
      </c>
      <c r="H1465" s="13">
        <v>7</v>
      </c>
      <c r="I1465" s="12" t="s">
        <v>28167</v>
      </c>
      <c r="J1465" s="12" t="s">
        <v>40828</v>
      </c>
      <c r="K1465" s="12" t="s">
        <v>37819</v>
      </c>
      <c r="L1465" s="12" t="s">
        <v>44289</v>
      </c>
      <c r="M1465" s="12" t="s">
        <v>39415</v>
      </c>
      <c r="N1465" s="12" t="s">
        <v>38476</v>
      </c>
      <c r="O1465" s="12" t="s">
        <v>39191</v>
      </c>
      <c r="P1465" s="12" t="s">
        <v>44689</v>
      </c>
      <c r="Q1465" s="12"/>
      <c r="R1465" s="12"/>
      <c r="S1465" s="12"/>
      <c r="T1465" s="12"/>
      <c r="U1465" s="12"/>
      <c r="V1465" s="12"/>
      <c r="W1465" s="12"/>
      <c r="X1465" s="12"/>
      <c r="Y1465" s="12"/>
      <c r="Z1465" s="12"/>
      <c r="AA1465" s="12"/>
      <c r="AB1465" s="12"/>
      <c r="AC1465" s="12"/>
      <c r="AD1465" s="12"/>
      <c r="AE1465" s="12"/>
      <c r="AF1465" s="12"/>
      <c r="AG1465" s="12"/>
      <c r="AH1465" s="12"/>
      <c r="AI1465" s="12"/>
      <c r="AJ1465" s="12"/>
      <c r="AK1465" s="12"/>
      <c r="AL1465" s="12"/>
      <c r="AM1465" s="12"/>
      <c r="AN1465" s="12"/>
      <c r="AO1465" s="12"/>
      <c r="AP1465" s="12"/>
      <c r="AQ1465" s="12"/>
      <c r="AR1465" s="12"/>
      <c r="AS1465" s="12"/>
      <c r="AT1465" s="12"/>
      <c r="AU1465" s="12"/>
      <c r="AV1465" s="12"/>
      <c r="AW1465" s="12"/>
      <c r="AX1465" s="12"/>
      <c r="AY1465" s="12"/>
      <c r="AZ1465" s="12"/>
      <c r="BA1465" s="12"/>
      <c r="BB1465" s="12"/>
      <c r="BC1465" s="12"/>
      <c r="BD1465" s="12"/>
      <c r="BE1465" s="12"/>
      <c r="BF1465" s="12"/>
      <c r="BG1465" s="12"/>
      <c r="BH1465" s="12"/>
      <c r="BI1465" s="12"/>
      <c r="BJ1465" s="12"/>
      <c r="BK1465" s="12"/>
      <c r="BL1465" s="12"/>
      <c r="BM1465" s="12"/>
      <c r="BN1465" s="12"/>
      <c r="BO1465" s="12"/>
      <c r="BP1465" s="12"/>
      <c r="BQ1465" s="12"/>
      <c r="BR1465" s="12"/>
      <c r="BS1465" s="12"/>
      <c r="BT1465" s="12"/>
    </row>
    <row r="1466" spans="1:72">
      <c r="A1466" s="2" t="s">
        <v>28170</v>
      </c>
      <c r="B1466" s="5" t="s">
        <v>28175</v>
      </c>
      <c r="C1466" s="3" t="s">
        <v>138</v>
      </c>
      <c r="D1466" s="4" t="s">
        <v>138</v>
      </c>
      <c r="E1466" s="15" t="s">
        <v>3972</v>
      </c>
      <c r="F1466" s="15" t="s">
        <v>138</v>
      </c>
      <c r="G1466" s="15" t="s">
        <v>740</v>
      </c>
      <c r="H1466" s="7">
        <v>24</v>
      </c>
      <c r="I1466" s="6" t="s">
        <v>28187</v>
      </c>
      <c r="J1466" s="6" t="s">
        <v>44690</v>
      </c>
      <c r="K1466" s="6" t="s">
        <v>44691</v>
      </c>
      <c r="L1466" s="6" t="s">
        <v>44692</v>
      </c>
      <c r="M1466" s="6" t="s">
        <v>43478</v>
      </c>
      <c r="N1466" s="6" t="s">
        <v>44693</v>
      </c>
      <c r="O1466" s="6" t="s">
        <v>44694</v>
      </c>
      <c r="P1466" s="6" t="s">
        <v>44695</v>
      </c>
      <c r="Q1466" s="6" t="s">
        <v>44696</v>
      </c>
      <c r="R1466" s="6" t="s">
        <v>44697</v>
      </c>
      <c r="S1466" s="6" t="s">
        <v>44698</v>
      </c>
      <c r="T1466" s="6" t="s">
        <v>44699</v>
      </c>
      <c r="U1466" s="6" t="s">
        <v>40755</v>
      </c>
      <c r="V1466" s="6" t="s">
        <v>39325</v>
      </c>
      <c r="W1466" s="6" t="s">
        <v>44700</v>
      </c>
      <c r="X1466" s="6" t="s">
        <v>44701</v>
      </c>
      <c r="Y1466" s="6" t="s">
        <v>44702</v>
      </c>
      <c r="Z1466" s="6" t="s">
        <v>38082</v>
      </c>
      <c r="AA1466" s="6" t="s">
        <v>44703</v>
      </c>
      <c r="AB1466" s="6" t="s">
        <v>44704</v>
      </c>
      <c r="AC1466" s="6" t="s">
        <v>38200</v>
      </c>
      <c r="AD1466" s="6" t="s">
        <v>44410</v>
      </c>
      <c r="AE1466" s="6" t="s">
        <v>44705</v>
      </c>
      <c r="AF1466" s="6" t="s">
        <v>44706</v>
      </c>
      <c r="AG1466" s="6" t="s">
        <v>44707</v>
      </c>
      <c r="AH1466" s="6"/>
      <c r="AI1466" s="6"/>
      <c r="AJ1466" s="6"/>
      <c r="AK1466" s="6"/>
      <c r="AL1466" s="6"/>
      <c r="AM1466" s="6"/>
      <c r="AN1466" s="6"/>
      <c r="AO1466" s="6"/>
      <c r="AP1466" s="6"/>
      <c r="AQ1466" s="6"/>
      <c r="AR1466" s="6"/>
      <c r="AS1466" s="6"/>
      <c r="AT1466" s="6"/>
      <c r="AU1466" s="6"/>
      <c r="AV1466" s="6"/>
      <c r="AW1466" s="6"/>
      <c r="AX1466" s="6"/>
      <c r="AY1466" s="6"/>
      <c r="AZ1466" s="6"/>
      <c r="BA1466" s="6"/>
      <c r="BB1466" s="6"/>
      <c r="BC1466" s="6"/>
      <c r="BD1466" s="6"/>
      <c r="BE1466" s="6"/>
      <c r="BF1466" s="6"/>
      <c r="BG1466" s="6"/>
      <c r="BH1466" s="6"/>
      <c r="BI1466" s="6"/>
      <c r="BJ1466" s="6"/>
      <c r="BK1466" s="6"/>
      <c r="BL1466" s="6"/>
      <c r="BM1466" s="6"/>
      <c r="BN1466" s="6"/>
      <c r="BO1466" s="6"/>
      <c r="BP1466" s="6"/>
      <c r="BQ1466" s="6"/>
      <c r="BR1466" s="6"/>
      <c r="BS1466" s="6"/>
      <c r="BT1466" s="6"/>
    </row>
    <row r="1467" spans="1:72">
      <c r="A1467" s="8" t="s">
        <v>28191</v>
      </c>
      <c r="B1467" s="11" t="s">
        <v>28196</v>
      </c>
      <c r="C1467" s="9" t="s">
        <v>138</v>
      </c>
      <c r="D1467" s="10" t="s">
        <v>12007</v>
      </c>
      <c r="E1467" s="28" t="s">
        <v>28204</v>
      </c>
      <c r="F1467" s="28" t="s">
        <v>160</v>
      </c>
      <c r="G1467" s="28" t="s">
        <v>162</v>
      </c>
      <c r="H1467" s="13">
        <v>1</v>
      </c>
      <c r="I1467" s="12" t="s">
        <v>3047</v>
      </c>
      <c r="J1467" s="12" t="s">
        <v>3047</v>
      </c>
      <c r="K1467" s="12"/>
      <c r="L1467" s="12"/>
      <c r="M1467" s="12"/>
      <c r="N1467" s="12"/>
      <c r="O1467" s="12"/>
      <c r="P1467" s="12"/>
      <c r="Q1467" s="12"/>
      <c r="R1467" s="12"/>
      <c r="S1467" s="12"/>
      <c r="T1467" s="12"/>
      <c r="U1467" s="12"/>
      <c r="V1467" s="12"/>
      <c r="W1467" s="12"/>
      <c r="X1467" s="12"/>
      <c r="Y1467" s="12"/>
      <c r="Z1467" s="12"/>
      <c r="AA1467" s="12"/>
      <c r="AB1467" s="12"/>
      <c r="AC1467" s="12"/>
      <c r="AD1467" s="12"/>
      <c r="AE1467" s="12"/>
      <c r="AF1467" s="12"/>
      <c r="AG1467" s="12"/>
      <c r="AH1467" s="12"/>
      <c r="AI1467" s="12"/>
      <c r="AJ1467" s="12"/>
      <c r="AK1467" s="12"/>
      <c r="AL1467" s="12"/>
      <c r="AM1467" s="12"/>
      <c r="AN1467" s="12"/>
      <c r="AO1467" s="12"/>
      <c r="AP1467" s="12"/>
      <c r="AQ1467" s="12"/>
      <c r="AR1467" s="12"/>
      <c r="AS1467" s="12"/>
      <c r="AT1467" s="12"/>
      <c r="AU1467" s="12"/>
      <c r="AV1467" s="12"/>
      <c r="AW1467" s="12"/>
      <c r="AX1467" s="12"/>
      <c r="AY1467" s="12"/>
      <c r="AZ1467" s="12"/>
      <c r="BA1467" s="12"/>
      <c r="BB1467" s="12"/>
      <c r="BC1467" s="12"/>
      <c r="BD1467" s="12"/>
      <c r="BE1467" s="12"/>
      <c r="BF1467" s="12"/>
      <c r="BG1467" s="12"/>
      <c r="BH1467" s="12"/>
      <c r="BI1467" s="12"/>
      <c r="BJ1467" s="12"/>
      <c r="BK1467" s="12"/>
      <c r="BL1467" s="12"/>
      <c r="BM1467" s="12"/>
      <c r="BN1467" s="12"/>
      <c r="BO1467" s="12"/>
      <c r="BP1467" s="12"/>
      <c r="BQ1467" s="12"/>
      <c r="BR1467" s="12"/>
      <c r="BS1467" s="12"/>
      <c r="BT1467" s="12"/>
    </row>
    <row r="1468" spans="1:72">
      <c r="A1468" s="2" t="s">
        <v>28209</v>
      </c>
      <c r="B1468" s="5" t="s">
        <v>28213</v>
      </c>
      <c r="C1468" s="3" t="s">
        <v>138</v>
      </c>
      <c r="D1468" s="4" t="s">
        <v>138</v>
      </c>
      <c r="E1468" s="15" t="s">
        <v>28222</v>
      </c>
      <c r="F1468" s="15" t="s">
        <v>138</v>
      </c>
      <c r="G1468" s="15" t="s">
        <v>10418</v>
      </c>
      <c r="H1468" s="7">
        <v>9</v>
      </c>
      <c r="I1468" s="6" t="s">
        <v>28226</v>
      </c>
      <c r="J1468" s="6" t="s">
        <v>39029</v>
      </c>
      <c r="K1468" s="6" t="s">
        <v>44708</v>
      </c>
      <c r="L1468" s="6" t="s">
        <v>41161</v>
      </c>
      <c r="M1468" s="6" t="s">
        <v>44709</v>
      </c>
      <c r="N1468" s="6" t="s">
        <v>38024</v>
      </c>
      <c r="O1468" s="6" t="s">
        <v>40661</v>
      </c>
      <c r="P1468" s="6" t="s">
        <v>44710</v>
      </c>
      <c r="Q1468" s="6" t="s">
        <v>44711</v>
      </c>
      <c r="R1468" s="6" t="s">
        <v>44712</v>
      </c>
      <c r="S1468" s="6"/>
      <c r="T1468" s="6"/>
      <c r="U1468" s="6"/>
      <c r="V1468" s="6"/>
      <c r="W1468" s="6"/>
      <c r="X1468" s="6"/>
      <c r="Y1468" s="6"/>
      <c r="Z1468" s="6"/>
      <c r="AA1468" s="6"/>
      <c r="AB1468" s="6"/>
      <c r="AC1468" s="6"/>
      <c r="AD1468" s="6"/>
      <c r="AE1468" s="6"/>
      <c r="AF1468" s="6"/>
      <c r="AG1468" s="6"/>
      <c r="AH1468" s="6"/>
      <c r="AI1468" s="6"/>
      <c r="AJ1468" s="6"/>
      <c r="AK1468" s="6"/>
      <c r="AL1468" s="6"/>
      <c r="AM1468" s="6"/>
      <c r="AN1468" s="6"/>
      <c r="AO1468" s="6"/>
      <c r="AP1468" s="6"/>
      <c r="AQ1468" s="6"/>
      <c r="AR1468" s="6"/>
      <c r="AS1468" s="6"/>
      <c r="AT1468" s="6"/>
      <c r="AU1468" s="6"/>
      <c r="AV1468" s="6"/>
      <c r="AW1468" s="6"/>
      <c r="AX1468" s="6"/>
      <c r="AY1468" s="6"/>
      <c r="AZ1468" s="6"/>
      <c r="BA1468" s="6"/>
      <c r="BB1468" s="6"/>
      <c r="BC1468" s="6"/>
      <c r="BD1468" s="6"/>
      <c r="BE1468" s="6"/>
      <c r="BF1468" s="6"/>
      <c r="BG1468" s="6"/>
      <c r="BH1468" s="6"/>
      <c r="BI1468" s="6"/>
      <c r="BJ1468" s="6"/>
      <c r="BK1468" s="6"/>
      <c r="BL1468" s="6"/>
      <c r="BM1468" s="6"/>
      <c r="BN1468" s="6"/>
      <c r="BO1468" s="6"/>
      <c r="BP1468" s="6"/>
      <c r="BQ1468" s="6"/>
      <c r="BR1468" s="6"/>
      <c r="BS1468" s="6"/>
      <c r="BT1468" s="6"/>
    </row>
    <row r="1469" spans="1:72">
      <c r="A1469" s="8" t="s">
        <v>28229</v>
      </c>
      <c r="B1469" s="11" t="s">
        <v>28235</v>
      </c>
      <c r="C1469" s="9" t="s">
        <v>28230</v>
      </c>
      <c r="D1469" s="10" t="s">
        <v>138</v>
      </c>
      <c r="E1469" s="28" t="s">
        <v>28244</v>
      </c>
      <c r="F1469" s="28" t="s">
        <v>200</v>
      </c>
      <c r="G1469" s="28" t="s">
        <v>162</v>
      </c>
      <c r="H1469" s="13">
        <v>21</v>
      </c>
      <c r="I1469" s="12" t="s">
        <v>28249</v>
      </c>
      <c r="J1469" s="12" t="s">
        <v>39657</v>
      </c>
      <c r="K1469" s="12" t="s">
        <v>39252</v>
      </c>
      <c r="L1469" s="12" t="s">
        <v>44713</v>
      </c>
      <c r="M1469" s="12" t="s">
        <v>41517</v>
      </c>
      <c r="N1469" s="12" t="s">
        <v>38299</v>
      </c>
      <c r="O1469" s="12" t="s">
        <v>39332</v>
      </c>
      <c r="P1469" s="12" t="s">
        <v>40657</v>
      </c>
      <c r="Q1469" s="12" t="s">
        <v>40003</v>
      </c>
      <c r="R1469" s="12" t="s">
        <v>41873</v>
      </c>
      <c r="S1469" s="12" t="s">
        <v>39388</v>
      </c>
      <c r="T1469" s="12" t="s">
        <v>44714</v>
      </c>
      <c r="U1469" s="12" t="s">
        <v>43636</v>
      </c>
      <c r="V1469" s="12" t="s">
        <v>44715</v>
      </c>
      <c r="W1469" s="12" t="s">
        <v>42312</v>
      </c>
      <c r="X1469" s="12" t="s">
        <v>38334</v>
      </c>
      <c r="Y1469" s="12" t="s">
        <v>44716</v>
      </c>
      <c r="Z1469" s="12" t="s">
        <v>40591</v>
      </c>
      <c r="AA1469" s="12" t="s">
        <v>38953</v>
      </c>
      <c r="AB1469" s="12" t="s">
        <v>38582</v>
      </c>
      <c r="AC1469" s="12" t="s">
        <v>37975</v>
      </c>
      <c r="AD1469" s="12" t="s">
        <v>39087</v>
      </c>
      <c r="AE1469" s="12"/>
      <c r="AF1469" s="12"/>
      <c r="AG1469" s="12"/>
      <c r="AH1469" s="12"/>
      <c r="AI1469" s="12"/>
      <c r="AJ1469" s="12"/>
      <c r="AK1469" s="12"/>
      <c r="AL1469" s="12"/>
      <c r="AM1469" s="12"/>
      <c r="AN1469" s="12"/>
      <c r="AO1469" s="12"/>
      <c r="AP1469" s="12"/>
      <c r="AQ1469" s="12"/>
      <c r="AR1469" s="12"/>
      <c r="AS1469" s="12"/>
      <c r="AT1469" s="12"/>
      <c r="AU1469" s="12"/>
      <c r="AV1469" s="12"/>
      <c r="AW1469" s="12"/>
      <c r="AX1469" s="12"/>
      <c r="AY1469" s="12"/>
      <c r="AZ1469" s="12"/>
      <c r="BA1469" s="12"/>
      <c r="BB1469" s="12"/>
      <c r="BC1469" s="12"/>
      <c r="BD1469" s="12"/>
      <c r="BE1469" s="12"/>
      <c r="BF1469" s="12"/>
      <c r="BG1469" s="12"/>
      <c r="BH1469" s="12"/>
      <c r="BI1469" s="12"/>
      <c r="BJ1469" s="12"/>
      <c r="BK1469" s="12"/>
      <c r="BL1469" s="12"/>
      <c r="BM1469" s="12"/>
      <c r="BN1469" s="12"/>
      <c r="BO1469" s="12"/>
      <c r="BP1469" s="12"/>
      <c r="BQ1469" s="12"/>
      <c r="BR1469" s="12"/>
      <c r="BS1469" s="12"/>
      <c r="BT1469" s="12"/>
    </row>
    <row r="1470" spans="1:72">
      <c r="A1470" s="2" t="s">
        <v>28252</v>
      </c>
      <c r="B1470" s="5" t="s">
        <v>28258</v>
      </c>
      <c r="C1470" s="3" t="s">
        <v>138</v>
      </c>
      <c r="D1470" s="4" t="s">
        <v>138</v>
      </c>
      <c r="E1470" s="15" t="s">
        <v>28267</v>
      </c>
      <c r="F1470" s="15" t="s">
        <v>28268</v>
      </c>
      <c r="G1470" s="15" t="s">
        <v>162</v>
      </c>
      <c r="H1470" s="7">
        <v>20</v>
      </c>
      <c r="I1470" s="6" t="s">
        <v>28272</v>
      </c>
      <c r="J1470" s="6" t="s">
        <v>38102</v>
      </c>
      <c r="K1470" s="6" t="s">
        <v>37936</v>
      </c>
      <c r="L1470" s="6" t="s">
        <v>38106</v>
      </c>
      <c r="M1470" s="6" t="s">
        <v>38485</v>
      </c>
      <c r="N1470" s="6" t="s">
        <v>42917</v>
      </c>
      <c r="O1470" s="6" t="s">
        <v>44717</v>
      </c>
      <c r="P1470" s="6" t="s">
        <v>38231</v>
      </c>
      <c r="Q1470" s="6" t="s">
        <v>39415</v>
      </c>
      <c r="R1470" s="6" t="s">
        <v>37776</v>
      </c>
      <c r="S1470" s="6" t="s">
        <v>39359</v>
      </c>
      <c r="T1470" s="6" t="s">
        <v>44718</v>
      </c>
      <c r="U1470" s="6" t="s">
        <v>38128</v>
      </c>
      <c r="V1470" s="6" t="s">
        <v>37998</v>
      </c>
      <c r="W1470" s="6" t="s">
        <v>38562</v>
      </c>
      <c r="X1470" s="6" t="s">
        <v>44719</v>
      </c>
      <c r="Y1470" s="6" t="s">
        <v>44720</v>
      </c>
      <c r="Z1470" s="6" t="s">
        <v>44721</v>
      </c>
      <c r="AA1470" s="6" t="s">
        <v>37885</v>
      </c>
      <c r="AB1470" s="6" t="s">
        <v>38157</v>
      </c>
      <c r="AC1470" s="6" t="s">
        <v>44722</v>
      </c>
      <c r="AD1470" s="6"/>
      <c r="AE1470" s="6"/>
      <c r="AF1470" s="6"/>
      <c r="AG1470" s="6"/>
      <c r="AH1470" s="6"/>
      <c r="AI1470" s="6"/>
      <c r="AJ1470" s="6"/>
      <c r="AK1470" s="6"/>
      <c r="AL1470" s="6"/>
      <c r="AM1470" s="6"/>
      <c r="AN1470" s="6"/>
      <c r="AO1470" s="6"/>
      <c r="AP1470" s="6"/>
      <c r="AQ1470" s="6"/>
      <c r="AR1470" s="6"/>
      <c r="AS1470" s="6"/>
      <c r="AT1470" s="6"/>
      <c r="AU1470" s="6"/>
      <c r="AV1470" s="6"/>
      <c r="AW1470" s="6"/>
      <c r="AX1470" s="6"/>
      <c r="AY1470" s="6"/>
      <c r="AZ1470" s="6"/>
      <c r="BA1470" s="6"/>
      <c r="BB1470" s="6"/>
      <c r="BC1470" s="6"/>
      <c r="BD1470" s="6"/>
      <c r="BE1470" s="6"/>
      <c r="BF1470" s="6"/>
      <c r="BG1470" s="6"/>
      <c r="BH1470" s="6"/>
      <c r="BI1470" s="6"/>
      <c r="BJ1470" s="6"/>
      <c r="BK1470" s="6"/>
      <c r="BL1470" s="6"/>
      <c r="BM1470" s="6"/>
      <c r="BN1470" s="6"/>
      <c r="BO1470" s="6"/>
      <c r="BP1470" s="6"/>
      <c r="BQ1470" s="6"/>
      <c r="BR1470" s="6"/>
      <c r="BS1470" s="6"/>
      <c r="BT1470" s="6"/>
    </row>
    <row r="1471" spans="1:72">
      <c r="A1471" s="8" t="s">
        <v>28277</v>
      </c>
      <c r="B1471" s="11" t="s">
        <v>28281</v>
      </c>
      <c r="C1471" s="9" t="s">
        <v>138</v>
      </c>
      <c r="D1471" s="10" t="s">
        <v>138</v>
      </c>
      <c r="E1471" s="28" t="s">
        <v>449</v>
      </c>
      <c r="F1471" s="28" t="s">
        <v>138</v>
      </c>
      <c r="G1471" s="28" t="s">
        <v>450</v>
      </c>
      <c r="H1471" s="13">
        <v>9</v>
      </c>
      <c r="I1471" s="12" t="s">
        <v>28287</v>
      </c>
      <c r="J1471" s="12" t="s">
        <v>44723</v>
      </c>
      <c r="K1471" s="12" t="s">
        <v>38663</v>
      </c>
      <c r="L1471" s="12" t="s">
        <v>44724</v>
      </c>
      <c r="M1471" s="12" t="s">
        <v>44725</v>
      </c>
      <c r="N1471" s="12" t="s">
        <v>44726</v>
      </c>
      <c r="O1471" s="12" t="s">
        <v>42318</v>
      </c>
      <c r="P1471" s="12" t="s">
        <v>44727</v>
      </c>
      <c r="Q1471" s="12" t="s">
        <v>40446</v>
      </c>
      <c r="R1471" s="12" t="s">
        <v>44728</v>
      </c>
      <c r="S1471" s="12"/>
      <c r="T1471" s="12"/>
      <c r="U1471" s="12"/>
      <c r="V1471" s="12"/>
      <c r="W1471" s="12"/>
      <c r="X1471" s="12"/>
      <c r="Y1471" s="12"/>
      <c r="Z1471" s="12"/>
      <c r="AA1471" s="12"/>
      <c r="AB1471" s="12"/>
      <c r="AC1471" s="12"/>
      <c r="AD1471" s="12"/>
      <c r="AE1471" s="12"/>
      <c r="AF1471" s="12"/>
      <c r="AG1471" s="12"/>
      <c r="AH1471" s="12"/>
      <c r="AI1471" s="12"/>
      <c r="AJ1471" s="12"/>
      <c r="AK1471" s="12"/>
      <c r="AL1471" s="12"/>
      <c r="AM1471" s="12"/>
      <c r="AN1471" s="12"/>
      <c r="AO1471" s="12"/>
      <c r="AP1471" s="12"/>
      <c r="AQ1471" s="12"/>
      <c r="AR1471" s="12"/>
      <c r="AS1471" s="12"/>
      <c r="AT1471" s="12"/>
      <c r="AU1471" s="12"/>
      <c r="AV1471" s="12"/>
      <c r="AW1471" s="12"/>
      <c r="AX1471" s="12"/>
      <c r="AY1471" s="12"/>
      <c r="AZ1471" s="12"/>
      <c r="BA1471" s="12"/>
      <c r="BB1471" s="12"/>
      <c r="BC1471" s="12"/>
      <c r="BD1471" s="12"/>
      <c r="BE1471" s="12"/>
      <c r="BF1471" s="12"/>
      <c r="BG1471" s="12"/>
      <c r="BH1471" s="12"/>
      <c r="BI1471" s="12"/>
      <c r="BJ1471" s="12"/>
      <c r="BK1471" s="12"/>
      <c r="BL1471" s="12"/>
      <c r="BM1471" s="12"/>
      <c r="BN1471" s="12"/>
      <c r="BO1471" s="12"/>
      <c r="BP1471" s="12"/>
      <c r="BQ1471" s="12"/>
      <c r="BR1471" s="12"/>
      <c r="BS1471" s="12"/>
      <c r="BT1471" s="12"/>
    </row>
    <row r="1472" spans="1:72">
      <c r="A1472" s="2" t="s">
        <v>28290</v>
      </c>
      <c r="B1472" s="5" t="s">
        <v>28295</v>
      </c>
      <c r="C1472" s="3" t="s">
        <v>138</v>
      </c>
      <c r="D1472" s="4" t="s">
        <v>138</v>
      </c>
      <c r="E1472" s="15" t="s">
        <v>944</v>
      </c>
      <c r="F1472" s="15" t="s">
        <v>138</v>
      </c>
      <c r="G1472" s="15" t="s">
        <v>946</v>
      </c>
      <c r="H1472" s="7">
        <v>9</v>
      </c>
      <c r="I1472" s="6" t="s">
        <v>28305</v>
      </c>
      <c r="J1472" s="6" t="s">
        <v>44729</v>
      </c>
      <c r="K1472" s="6" t="s">
        <v>40452</v>
      </c>
      <c r="L1472" s="6" t="s">
        <v>38286</v>
      </c>
      <c r="M1472" s="6" t="s">
        <v>43556</v>
      </c>
      <c r="N1472" s="6" t="s">
        <v>38721</v>
      </c>
      <c r="O1472" s="6" t="s">
        <v>40206</v>
      </c>
      <c r="P1472" s="6" t="s">
        <v>38399</v>
      </c>
      <c r="Q1472" s="6" t="s">
        <v>44730</v>
      </c>
      <c r="R1472" s="6" t="s">
        <v>44731</v>
      </c>
      <c r="S1472" s="6"/>
      <c r="T1472" s="6"/>
      <c r="U1472" s="6"/>
      <c r="V1472" s="6"/>
      <c r="W1472" s="6"/>
      <c r="X1472" s="6"/>
      <c r="Y1472" s="6"/>
      <c r="Z1472" s="6"/>
      <c r="AA1472" s="6"/>
      <c r="AB1472" s="6"/>
      <c r="AC1472" s="6"/>
      <c r="AD1472" s="6"/>
      <c r="AE1472" s="6"/>
      <c r="AF1472" s="6"/>
      <c r="AG1472" s="6"/>
      <c r="AH1472" s="6"/>
      <c r="AI1472" s="6"/>
      <c r="AJ1472" s="6"/>
      <c r="AK1472" s="6"/>
      <c r="AL1472" s="6"/>
      <c r="AM1472" s="6"/>
      <c r="AN1472" s="6"/>
      <c r="AO1472" s="6"/>
      <c r="AP1472" s="6"/>
      <c r="AQ1472" s="6"/>
      <c r="AR1472" s="6"/>
      <c r="AS1472" s="6"/>
      <c r="AT1472" s="6"/>
      <c r="AU1472" s="6"/>
      <c r="AV1472" s="6"/>
      <c r="AW1472" s="6"/>
      <c r="AX1472" s="6"/>
      <c r="AY1472" s="6"/>
      <c r="AZ1472" s="6"/>
      <c r="BA1472" s="6"/>
      <c r="BB1472" s="6"/>
      <c r="BC1472" s="6"/>
      <c r="BD1472" s="6"/>
      <c r="BE1472" s="6"/>
      <c r="BF1472" s="6"/>
      <c r="BG1472" s="6"/>
      <c r="BH1472" s="6"/>
      <c r="BI1472" s="6"/>
      <c r="BJ1472" s="6"/>
      <c r="BK1472" s="6"/>
      <c r="BL1472" s="6"/>
      <c r="BM1472" s="6"/>
      <c r="BN1472" s="6"/>
      <c r="BO1472" s="6"/>
      <c r="BP1472" s="6"/>
      <c r="BQ1472" s="6"/>
      <c r="BR1472" s="6"/>
      <c r="BS1472" s="6"/>
      <c r="BT1472" s="6"/>
    </row>
    <row r="1473" spans="1:72">
      <c r="A1473" s="8" t="s">
        <v>28308</v>
      </c>
      <c r="B1473" s="11" t="s">
        <v>28314</v>
      </c>
      <c r="C1473" s="9" t="s">
        <v>28309</v>
      </c>
      <c r="D1473" s="10" t="s">
        <v>138</v>
      </c>
      <c r="E1473" s="28" t="s">
        <v>1872</v>
      </c>
      <c r="F1473" s="28" t="s">
        <v>200</v>
      </c>
      <c r="G1473" s="28" t="s">
        <v>162</v>
      </c>
      <c r="H1473" s="13">
        <v>25</v>
      </c>
      <c r="I1473" s="12" t="s">
        <v>28325</v>
      </c>
      <c r="J1473" s="12" t="s">
        <v>44732</v>
      </c>
      <c r="K1473" s="12" t="s">
        <v>43879</v>
      </c>
      <c r="L1473" s="12" t="s">
        <v>41249</v>
      </c>
      <c r="M1473" s="12" t="s">
        <v>42053</v>
      </c>
      <c r="N1473" s="12" t="s">
        <v>44733</v>
      </c>
      <c r="O1473" s="12" t="s">
        <v>43520</v>
      </c>
      <c r="P1473" s="12" t="s">
        <v>38569</v>
      </c>
      <c r="Q1473" s="12" t="s">
        <v>44734</v>
      </c>
      <c r="R1473" s="12" t="s">
        <v>44735</v>
      </c>
      <c r="S1473" s="12" t="s">
        <v>44736</v>
      </c>
      <c r="T1473" s="12" t="s">
        <v>40841</v>
      </c>
      <c r="U1473" s="12" t="s">
        <v>43881</v>
      </c>
      <c r="V1473" s="12" t="s">
        <v>39707</v>
      </c>
      <c r="W1473" s="12" t="s">
        <v>44737</v>
      </c>
      <c r="X1473" s="12" t="s">
        <v>44738</v>
      </c>
      <c r="Y1473" s="12" t="s">
        <v>38128</v>
      </c>
      <c r="Z1473" s="12" t="s">
        <v>44739</v>
      </c>
      <c r="AA1473" s="12" t="s">
        <v>38644</v>
      </c>
      <c r="AB1473" s="12" t="s">
        <v>44740</v>
      </c>
      <c r="AC1473" s="12" t="s">
        <v>38937</v>
      </c>
      <c r="AD1473" s="12" t="s">
        <v>38436</v>
      </c>
      <c r="AE1473" s="12" t="s">
        <v>41094</v>
      </c>
      <c r="AF1473" s="12" t="s">
        <v>38143</v>
      </c>
      <c r="AG1473" s="12" t="s">
        <v>39686</v>
      </c>
      <c r="AH1473" s="12" t="s">
        <v>44741</v>
      </c>
      <c r="AI1473" s="12"/>
      <c r="AJ1473" s="12"/>
      <c r="AK1473" s="12"/>
      <c r="AL1473" s="12"/>
      <c r="AM1473" s="12"/>
      <c r="AN1473" s="12"/>
      <c r="AO1473" s="12"/>
      <c r="AP1473" s="12"/>
      <c r="AQ1473" s="12"/>
      <c r="AR1473" s="12"/>
      <c r="AS1473" s="12"/>
      <c r="AT1473" s="12"/>
      <c r="AU1473" s="12"/>
      <c r="AV1473" s="12"/>
      <c r="AW1473" s="12"/>
      <c r="AX1473" s="12"/>
      <c r="AY1473" s="12"/>
      <c r="AZ1473" s="12"/>
      <c r="BA1473" s="12"/>
      <c r="BB1473" s="12"/>
      <c r="BC1473" s="12"/>
      <c r="BD1473" s="12"/>
      <c r="BE1473" s="12"/>
      <c r="BF1473" s="12"/>
      <c r="BG1473" s="12"/>
      <c r="BH1473" s="12"/>
      <c r="BI1473" s="12"/>
      <c r="BJ1473" s="12"/>
      <c r="BK1473" s="12"/>
      <c r="BL1473" s="12"/>
      <c r="BM1473" s="12"/>
      <c r="BN1473" s="12"/>
      <c r="BO1473" s="12"/>
      <c r="BP1473" s="12"/>
      <c r="BQ1473" s="12"/>
      <c r="BR1473" s="12"/>
      <c r="BS1473" s="12"/>
      <c r="BT1473" s="12"/>
    </row>
    <row r="1474" spans="1:72">
      <c r="A1474" s="2" t="s">
        <v>28330</v>
      </c>
      <c r="B1474" s="5" t="s">
        <v>28334</v>
      </c>
      <c r="C1474" s="3" t="s">
        <v>138</v>
      </c>
      <c r="D1474" s="4" t="s">
        <v>138</v>
      </c>
      <c r="E1474" s="15" t="s">
        <v>3841</v>
      </c>
      <c r="F1474" s="15" t="s">
        <v>200</v>
      </c>
      <c r="G1474" s="15" t="s">
        <v>162</v>
      </c>
      <c r="H1474" s="7">
        <v>3</v>
      </c>
      <c r="I1474" s="6" t="s">
        <v>28344</v>
      </c>
      <c r="J1474" s="6" t="s">
        <v>15045</v>
      </c>
      <c r="K1474" s="6" t="s">
        <v>44742</v>
      </c>
      <c r="L1474" s="6" t="s">
        <v>40049</v>
      </c>
      <c r="M1474" s="6"/>
      <c r="N1474" s="6"/>
      <c r="O1474" s="6"/>
      <c r="P1474" s="6"/>
      <c r="Q1474" s="6"/>
      <c r="R1474" s="6"/>
      <c r="S1474" s="6"/>
      <c r="T1474" s="6"/>
      <c r="U1474" s="6"/>
      <c r="V1474" s="6"/>
      <c r="W1474" s="6"/>
      <c r="X1474" s="6"/>
      <c r="Y1474" s="6"/>
      <c r="Z1474" s="6"/>
      <c r="AA1474" s="6"/>
      <c r="AB1474" s="6"/>
      <c r="AC1474" s="6"/>
      <c r="AD1474" s="6"/>
      <c r="AE1474" s="6"/>
      <c r="AF1474" s="6"/>
      <c r="AG1474" s="6"/>
      <c r="AH1474" s="6"/>
      <c r="AI1474" s="6"/>
      <c r="AJ1474" s="6"/>
      <c r="AK1474" s="6"/>
      <c r="AL1474" s="6"/>
      <c r="AM1474" s="6"/>
      <c r="AN1474" s="6"/>
      <c r="AO1474" s="6"/>
      <c r="AP1474" s="6"/>
      <c r="AQ1474" s="6"/>
      <c r="AR1474" s="6"/>
      <c r="AS1474" s="6"/>
      <c r="AT1474" s="6"/>
      <c r="AU1474" s="6"/>
      <c r="AV1474" s="6"/>
      <c r="AW1474" s="6"/>
      <c r="AX1474" s="6"/>
      <c r="AY1474" s="6"/>
      <c r="AZ1474" s="6"/>
      <c r="BA1474" s="6"/>
      <c r="BB1474" s="6"/>
      <c r="BC1474" s="6"/>
      <c r="BD1474" s="6"/>
      <c r="BE1474" s="6"/>
      <c r="BF1474" s="6"/>
      <c r="BG1474" s="6"/>
      <c r="BH1474" s="6"/>
      <c r="BI1474" s="6"/>
      <c r="BJ1474" s="6"/>
      <c r="BK1474" s="6"/>
      <c r="BL1474" s="6"/>
      <c r="BM1474" s="6"/>
      <c r="BN1474" s="6"/>
      <c r="BO1474" s="6"/>
      <c r="BP1474" s="6"/>
      <c r="BQ1474" s="6"/>
      <c r="BR1474" s="6"/>
      <c r="BS1474" s="6"/>
      <c r="BT1474" s="6"/>
    </row>
    <row r="1475" spans="1:72">
      <c r="A1475" s="8" t="s">
        <v>28348</v>
      </c>
      <c r="B1475" s="11" t="s">
        <v>28353</v>
      </c>
      <c r="C1475" s="9" t="s">
        <v>138</v>
      </c>
      <c r="D1475" s="10" t="s">
        <v>28349</v>
      </c>
      <c r="E1475" s="28" t="s">
        <v>3452</v>
      </c>
      <c r="F1475" s="28" t="s">
        <v>28360</v>
      </c>
      <c r="G1475" s="28" t="s">
        <v>2333</v>
      </c>
      <c r="H1475" s="13">
        <v>11</v>
      </c>
      <c r="I1475" s="12" t="s">
        <v>28364</v>
      </c>
      <c r="J1475" s="12" t="s">
        <v>44743</v>
      </c>
      <c r="K1475" s="12" t="s">
        <v>38096</v>
      </c>
      <c r="L1475" s="12" t="s">
        <v>44744</v>
      </c>
      <c r="M1475" s="12" t="s">
        <v>44745</v>
      </c>
      <c r="N1475" s="12" t="s">
        <v>43901</v>
      </c>
      <c r="O1475" s="12" t="s">
        <v>44746</v>
      </c>
      <c r="P1475" s="12" t="s">
        <v>44747</v>
      </c>
      <c r="Q1475" s="12" t="s">
        <v>44748</v>
      </c>
      <c r="R1475" s="12" t="s">
        <v>44143</v>
      </c>
      <c r="S1475" s="12" t="s">
        <v>44749</v>
      </c>
      <c r="T1475" s="12" t="s">
        <v>38757</v>
      </c>
      <c r="U1475" s="12"/>
      <c r="V1475" s="12"/>
      <c r="W1475" s="12"/>
      <c r="X1475" s="12"/>
      <c r="Y1475" s="12"/>
      <c r="Z1475" s="12"/>
      <c r="AA1475" s="12"/>
      <c r="AB1475" s="12"/>
      <c r="AC1475" s="12"/>
      <c r="AD1475" s="12"/>
      <c r="AE1475" s="12"/>
      <c r="AF1475" s="12"/>
      <c r="AG1475" s="12"/>
      <c r="AH1475" s="12"/>
      <c r="AI1475" s="12"/>
      <c r="AJ1475" s="12"/>
      <c r="AK1475" s="12"/>
      <c r="AL1475" s="12"/>
      <c r="AM1475" s="12"/>
      <c r="AN1475" s="12"/>
      <c r="AO1475" s="12"/>
      <c r="AP1475" s="12"/>
      <c r="AQ1475" s="12"/>
      <c r="AR1475" s="12"/>
      <c r="AS1475" s="12"/>
      <c r="AT1475" s="12"/>
      <c r="AU1475" s="12"/>
      <c r="AV1475" s="12"/>
      <c r="AW1475" s="12"/>
      <c r="AX1475" s="12"/>
      <c r="AY1475" s="12"/>
      <c r="AZ1475" s="12"/>
      <c r="BA1475" s="12"/>
      <c r="BB1475" s="12"/>
      <c r="BC1475" s="12"/>
      <c r="BD1475" s="12"/>
      <c r="BE1475" s="12"/>
      <c r="BF1475" s="12"/>
      <c r="BG1475" s="12"/>
      <c r="BH1475" s="12"/>
      <c r="BI1475" s="12"/>
      <c r="BJ1475" s="12"/>
      <c r="BK1475" s="12"/>
      <c r="BL1475" s="12"/>
      <c r="BM1475" s="12"/>
      <c r="BN1475" s="12"/>
      <c r="BO1475" s="12"/>
      <c r="BP1475" s="12"/>
      <c r="BQ1475" s="12"/>
      <c r="BR1475" s="12"/>
      <c r="BS1475" s="12"/>
      <c r="BT1475" s="12"/>
    </row>
    <row r="1476" spans="1:72">
      <c r="A1476" s="2" t="s">
        <v>28368</v>
      </c>
      <c r="B1476" s="5" t="s">
        <v>28372</v>
      </c>
      <c r="C1476" s="3" t="s">
        <v>138</v>
      </c>
      <c r="D1476" s="4" t="s">
        <v>138</v>
      </c>
      <c r="E1476" s="15" t="s">
        <v>4900</v>
      </c>
      <c r="F1476" s="15" t="s">
        <v>200</v>
      </c>
      <c r="G1476" s="15" t="s">
        <v>162</v>
      </c>
      <c r="H1476" s="7">
        <v>11</v>
      </c>
      <c r="I1476" s="6" t="s">
        <v>28380</v>
      </c>
      <c r="J1476" s="6" t="s">
        <v>37811</v>
      </c>
      <c r="K1476" s="6" t="s">
        <v>44750</v>
      </c>
      <c r="L1476" s="6" t="s">
        <v>38057</v>
      </c>
      <c r="M1476" s="6" t="s">
        <v>42059</v>
      </c>
      <c r="N1476" s="6" t="s">
        <v>38850</v>
      </c>
      <c r="O1476" s="6" t="s">
        <v>38645</v>
      </c>
      <c r="P1476" s="6" t="s">
        <v>37783</v>
      </c>
      <c r="Q1476" s="6" t="s">
        <v>44751</v>
      </c>
      <c r="R1476" s="6" t="s">
        <v>38157</v>
      </c>
      <c r="S1476" s="6" t="s">
        <v>39086</v>
      </c>
      <c r="T1476" s="6" t="s">
        <v>37976</v>
      </c>
      <c r="U1476" s="6"/>
      <c r="V1476" s="6"/>
      <c r="W1476" s="6"/>
      <c r="X1476" s="6"/>
      <c r="Y1476" s="6"/>
      <c r="Z1476" s="6"/>
      <c r="AA1476" s="6"/>
      <c r="AB1476" s="6"/>
      <c r="AC1476" s="6"/>
      <c r="AD1476" s="6"/>
      <c r="AE1476" s="6"/>
      <c r="AF1476" s="6"/>
      <c r="AG1476" s="6"/>
      <c r="AH1476" s="6"/>
      <c r="AI1476" s="6"/>
      <c r="AJ1476" s="6"/>
      <c r="AK1476" s="6"/>
      <c r="AL1476" s="6"/>
      <c r="AM1476" s="6"/>
      <c r="AN1476" s="6"/>
      <c r="AO1476" s="6"/>
      <c r="AP1476" s="6"/>
      <c r="AQ1476" s="6"/>
      <c r="AR1476" s="6"/>
      <c r="AS1476" s="6"/>
      <c r="AT1476" s="6"/>
      <c r="AU1476" s="6"/>
      <c r="AV1476" s="6"/>
      <c r="AW1476" s="6"/>
      <c r="AX1476" s="6"/>
      <c r="AY1476" s="6"/>
      <c r="AZ1476" s="6"/>
      <c r="BA1476" s="6"/>
      <c r="BB1476" s="6"/>
      <c r="BC1476" s="6"/>
      <c r="BD1476" s="6"/>
      <c r="BE1476" s="6"/>
      <c r="BF1476" s="6"/>
      <c r="BG1476" s="6"/>
      <c r="BH1476" s="6"/>
      <c r="BI1476" s="6"/>
      <c r="BJ1476" s="6"/>
      <c r="BK1476" s="6"/>
      <c r="BL1476" s="6"/>
      <c r="BM1476" s="6"/>
      <c r="BN1476" s="6"/>
      <c r="BO1476" s="6"/>
      <c r="BP1476" s="6"/>
      <c r="BQ1476" s="6"/>
      <c r="BR1476" s="6"/>
      <c r="BS1476" s="6"/>
      <c r="BT1476" s="6"/>
    </row>
    <row r="1477" spans="1:72">
      <c r="A1477" s="8" t="s">
        <v>28384</v>
      </c>
      <c r="B1477" s="11" t="s">
        <v>28390</v>
      </c>
      <c r="C1477" s="9" t="s">
        <v>138</v>
      </c>
      <c r="D1477" s="10" t="s">
        <v>28385</v>
      </c>
      <c r="E1477" s="28" t="s">
        <v>426</v>
      </c>
      <c r="F1477" s="28" t="s">
        <v>426</v>
      </c>
      <c r="G1477" s="28" t="s">
        <v>162</v>
      </c>
      <c r="H1477" s="13">
        <v>24</v>
      </c>
      <c r="I1477" s="12" t="s">
        <v>28399</v>
      </c>
      <c r="J1477" s="12" t="s">
        <v>38632</v>
      </c>
      <c r="K1477" s="12" t="s">
        <v>44752</v>
      </c>
      <c r="L1477" s="12" t="s">
        <v>38633</v>
      </c>
      <c r="M1477" s="12" t="s">
        <v>38569</v>
      </c>
      <c r="N1477" s="12" t="s">
        <v>40413</v>
      </c>
      <c r="O1477" s="12" t="s">
        <v>39228</v>
      </c>
      <c r="P1477" s="12" t="s">
        <v>44753</v>
      </c>
      <c r="Q1477" s="12" t="s">
        <v>38057</v>
      </c>
      <c r="R1477" s="12" t="s">
        <v>37922</v>
      </c>
      <c r="S1477" s="12" t="s">
        <v>39926</v>
      </c>
      <c r="T1477" s="12" t="s">
        <v>39057</v>
      </c>
      <c r="U1477" s="12" t="s">
        <v>40639</v>
      </c>
      <c r="V1477" s="12" t="s">
        <v>38640</v>
      </c>
      <c r="W1477" s="12" t="s">
        <v>40078</v>
      </c>
      <c r="X1477" s="12" t="s">
        <v>44754</v>
      </c>
      <c r="Y1477" s="12" t="s">
        <v>44421</v>
      </c>
      <c r="Z1477" s="12" t="s">
        <v>42333</v>
      </c>
      <c r="AA1477" s="12" t="s">
        <v>42444</v>
      </c>
      <c r="AB1477" s="12" t="s">
        <v>38563</v>
      </c>
      <c r="AC1477" s="12" t="s">
        <v>44755</v>
      </c>
      <c r="AD1477" s="12" t="s">
        <v>41850</v>
      </c>
      <c r="AE1477" s="12" t="s">
        <v>38647</v>
      </c>
      <c r="AF1477" s="12" t="s">
        <v>39647</v>
      </c>
      <c r="AG1477" s="12" t="s">
        <v>44394</v>
      </c>
      <c r="AH1477" s="12"/>
      <c r="AI1477" s="12"/>
      <c r="AJ1477" s="12"/>
      <c r="AK1477" s="12"/>
      <c r="AL1477" s="12"/>
      <c r="AM1477" s="12"/>
      <c r="AN1477" s="12"/>
      <c r="AO1477" s="12"/>
      <c r="AP1477" s="12"/>
      <c r="AQ1477" s="12"/>
      <c r="AR1477" s="12"/>
      <c r="AS1477" s="12"/>
      <c r="AT1477" s="12"/>
      <c r="AU1477" s="12"/>
      <c r="AV1477" s="12"/>
      <c r="AW1477" s="12"/>
      <c r="AX1477" s="12"/>
      <c r="AY1477" s="12"/>
      <c r="AZ1477" s="12"/>
      <c r="BA1477" s="12"/>
      <c r="BB1477" s="12"/>
      <c r="BC1477" s="12"/>
      <c r="BD1477" s="12"/>
      <c r="BE1477" s="12"/>
      <c r="BF1477" s="12"/>
      <c r="BG1477" s="12"/>
      <c r="BH1477" s="12"/>
      <c r="BI1477" s="12"/>
      <c r="BJ1477" s="12"/>
      <c r="BK1477" s="12"/>
      <c r="BL1477" s="12"/>
      <c r="BM1477" s="12"/>
      <c r="BN1477" s="12"/>
      <c r="BO1477" s="12"/>
      <c r="BP1477" s="12"/>
      <c r="BQ1477" s="12"/>
      <c r="BR1477" s="12"/>
      <c r="BS1477" s="12"/>
      <c r="BT1477" s="12"/>
    </row>
    <row r="1478" spans="1:72">
      <c r="A1478" s="2" t="s">
        <v>28404</v>
      </c>
      <c r="B1478" s="5" t="s">
        <v>28408</v>
      </c>
      <c r="C1478" s="3" t="s">
        <v>138</v>
      </c>
      <c r="D1478" s="4" t="s">
        <v>138</v>
      </c>
      <c r="E1478" s="15" t="s">
        <v>426</v>
      </c>
      <c r="F1478" s="15" t="s">
        <v>426</v>
      </c>
      <c r="G1478" s="15" t="s">
        <v>162</v>
      </c>
      <c r="H1478" s="7">
        <v>5</v>
      </c>
      <c r="I1478" s="6" t="s">
        <v>28417</v>
      </c>
      <c r="J1478" s="6" t="s">
        <v>40374</v>
      </c>
      <c r="K1478" s="6" t="s">
        <v>37821</v>
      </c>
      <c r="L1478" s="6" t="s">
        <v>41662</v>
      </c>
      <c r="M1478" s="6" t="s">
        <v>39106</v>
      </c>
      <c r="N1478" s="6" t="s">
        <v>43951</v>
      </c>
      <c r="O1478" s="6"/>
      <c r="P1478" s="6"/>
      <c r="Q1478" s="6"/>
      <c r="R1478" s="6"/>
      <c r="S1478" s="6"/>
      <c r="T1478" s="6"/>
      <c r="U1478" s="6"/>
      <c r="V1478" s="6"/>
      <c r="W1478" s="6"/>
      <c r="X1478" s="6"/>
      <c r="Y1478" s="6"/>
      <c r="Z1478" s="6"/>
      <c r="AA1478" s="6"/>
      <c r="AB1478" s="6"/>
      <c r="AC1478" s="6"/>
      <c r="AD1478" s="6"/>
      <c r="AE1478" s="6"/>
      <c r="AF1478" s="6"/>
      <c r="AG1478" s="6"/>
      <c r="AH1478" s="6"/>
      <c r="AI1478" s="6"/>
      <c r="AJ1478" s="6"/>
      <c r="AK1478" s="6"/>
      <c r="AL1478" s="6"/>
      <c r="AM1478" s="6"/>
      <c r="AN1478" s="6"/>
      <c r="AO1478" s="6"/>
      <c r="AP1478" s="6"/>
      <c r="AQ1478" s="6"/>
      <c r="AR1478" s="6"/>
      <c r="AS1478" s="6"/>
      <c r="AT1478" s="6"/>
      <c r="AU1478" s="6"/>
      <c r="AV1478" s="6"/>
      <c r="AW1478" s="6"/>
      <c r="AX1478" s="6"/>
      <c r="AY1478" s="6"/>
      <c r="AZ1478" s="6"/>
      <c r="BA1478" s="6"/>
      <c r="BB1478" s="6"/>
      <c r="BC1478" s="6"/>
      <c r="BD1478" s="6"/>
      <c r="BE1478" s="6"/>
      <c r="BF1478" s="6"/>
      <c r="BG1478" s="6"/>
      <c r="BH1478" s="6"/>
      <c r="BI1478" s="6"/>
      <c r="BJ1478" s="6"/>
      <c r="BK1478" s="6"/>
      <c r="BL1478" s="6"/>
      <c r="BM1478" s="6"/>
      <c r="BN1478" s="6"/>
      <c r="BO1478" s="6"/>
      <c r="BP1478" s="6"/>
      <c r="BQ1478" s="6"/>
      <c r="BR1478" s="6"/>
      <c r="BS1478" s="6"/>
      <c r="BT1478" s="6"/>
    </row>
    <row r="1479" spans="1:72">
      <c r="A1479" s="8" t="s">
        <v>28420</v>
      </c>
      <c r="B1479" s="11" t="s">
        <v>28427</v>
      </c>
      <c r="C1479" s="9" t="s">
        <v>28421</v>
      </c>
      <c r="D1479" s="10" t="s">
        <v>138</v>
      </c>
      <c r="E1479" s="28" t="s">
        <v>8145</v>
      </c>
      <c r="F1479" s="28" t="s">
        <v>2331</v>
      </c>
      <c r="G1479" s="28" t="s">
        <v>2333</v>
      </c>
      <c r="H1479" s="13">
        <v>29</v>
      </c>
      <c r="I1479" s="12" t="s">
        <v>28438</v>
      </c>
      <c r="J1479" s="12" t="s">
        <v>44756</v>
      </c>
      <c r="K1479" s="12" t="s">
        <v>39924</v>
      </c>
      <c r="L1479" s="12" t="s">
        <v>44757</v>
      </c>
      <c r="M1479" s="12" t="s">
        <v>44758</v>
      </c>
      <c r="N1479" s="12" t="s">
        <v>44759</v>
      </c>
      <c r="O1479" s="12" t="s">
        <v>44760</v>
      </c>
      <c r="P1479" s="12" t="s">
        <v>44761</v>
      </c>
      <c r="Q1479" s="12" t="s">
        <v>44762</v>
      </c>
      <c r="R1479" s="12" t="s">
        <v>41993</v>
      </c>
      <c r="S1479" s="12" t="s">
        <v>44763</v>
      </c>
      <c r="T1479" s="12" t="s">
        <v>37989</v>
      </c>
      <c r="U1479" s="12" t="s">
        <v>37958</v>
      </c>
      <c r="V1479" s="12" t="s">
        <v>38514</v>
      </c>
      <c r="W1479" s="12" t="s">
        <v>44764</v>
      </c>
      <c r="X1479" s="12" t="s">
        <v>44765</v>
      </c>
      <c r="Y1479" s="12" t="s">
        <v>44766</v>
      </c>
      <c r="Z1479" s="12" t="s">
        <v>44767</v>
      </c>
      <c r="AA1479" s="12" t="s">
        <v>37968</v>
      </c>
      <c r="AB1479" s="12" t="s">
        <v>44768</v>
      </c>
      <c r="AC1479" s="12" t="s">
        <v>44769</v>
      </c>
      <c r="AD1479" s="12" t="s">
        <v>44770</v>
      </c>
      <c r="AE1479" s="12" t="s">
        <v>44771</v>
      </c>
      <c r="AF1479" s="12" t="s">
        <v>44772</v>
      </c>
      <c r="AG1479" s="12" t="s">
        <v>39327</v>
      </c>
      <c r="AH1479" s="12" t="s">
        <v>38580</v>
      </c>
      <c r="AI1479" s="12" t="s">
        <v>44773</v>
      </c>
      <c r="AJ1479" s="12" t="s">
        <v>37976</v>
      </c>
      <c r="AK1479" s="12" t="s">
        <v>39074</v>
      </c>
      <c r="AL1479" s="12" t="s">
        <v>44774</v>
      </c>
      <c r="AM1479" s="12"/>
      <c r="AN1479" s="12"/>
      <c r="AO1479" s="12"/>
      <c r="AP1479" s="12"/>
      <c r="AQ1479" s="12"/>
      <c r="AR1479" s="12"/>
      <c r="AS1479" s="12"/>
      <c r="AT1479" s="12"/>
      <c r="AU1479" s="12"/>
      <c r="AV1479" s="12"/>
      <c r="AW1479" s="12"/>
      <c r="AX1479" s="12"/>
      <c r="AY1479" s="12"/>
      <c r="AZ1479" s="12"/>
      <c r="BA1479" s="12"/>
      <c r="BB1479" s="12"/>
      <c r="BC1479" s="12"/>
      <c r="BD1479" s="12"/>
      <c r="BE1479" s="12"/>
      <c r="BF1479" s="12"/>
      <c r="BG1479" s="12"/>
      <c r="BH1479" s="12"/>
      <c r="BI1479" s="12"/>
      <c r="BJ1479" s="12"/>
      <c r="BK1479" s="12"/>
      <c r="BL1479" s="12"/>
      <c r="BM1479" s="12"/>
      <c r="BN1479" s="12"/>
      <c r="BO1479" s="12"/>
      <c r="BP1479" s="12"/>
      <c r="BQ1479" s="12"/>
      <c r="BR1479" s="12"/>
      <c r="BS1479" s="12"/>
      <c r="BT1479" s="12"/>
    </row>
    <row r="1480" spans="1:72">
      <c r="A1480" s="2" t="s">
        <v>28441</v>
      </c>
      <c r="B1480" s="5" t="s">
        <v>28446</v>
      </c>
      <c r="C1480" s="3" t="s">
        <v>138</v>
      </c>
      <c r="D1480" s="4" t="s">
        <v>138</v>
      </c>
      <c r="E1480" s="15" t="s">
        <v>22280</v>
      </c>
      <c r="F1480" s="15" t="s">
        <v>339</v>
      </c>
      <c r="G1480" s="15" t="s">
        <v>162</v>
      </c>
      <c r="H1480" s="7">
        <v>1</v>
      </c>
      <c r="I1480" s="6" t="s">
        <v>5703</v>
      </c>
      <c r="J1480" s="6" t="s">
        <v>5703</v>
      </c>
      <c r="K1480" s="6"/>
      <c r="L1480" s="6"/>
      <c r="M1480" s="6"/>
      <c r="N1480" s="6"/>
      <c r="O1480" s="6"/>
      <c r="P1480" s="6"/>
      <c r="Q1480" s="6"/>
      <c r="R1480" s="6"/>
      <c r="S1480" s="6"/>
      <c r="T1480" s="6"/>
      <c r="U1480" s="6"/>
      <c r="V1480" s="6"/>
      <c r="W1480" s="6"/>
      <c r="X1480" s="6"/>
      <c r="Y1480" s="6"/>
      <c r="Z1480" s="6"/>
      <c r="AA1480" s="6"/>
      <c r="AB1480" s="6"/>
      <c r="AC1480" s="6"/>
      <c r="AD1480" s="6"/>
      <c r="AE1480" s="6"/>
      <c r="AF1480" s="6"/>
      <c r="AG1480" s="6"/>
      <c r="AH1480" s="6"/>
      <c r="AI1480" s="6"/>
      <c r="AJ1480" s="6"/>
      <c r="AK1480" s="6"/>
      <c r="AL1480" s="6"/>
      <c r="AM1480" s="6"/>
      <c r="AN1480" s="6"/>
      <c r="AO1480" s="6"/>
      <c r="AP1480" s="6"/>
      <c r="AQ1480" s="6"/>
      <c r="AR1480" s="6"/>
      <c r="AS1480" s="6"/>
      <c r="AT1480" s="6"/>
      <c r="AU1480" s="6"/>
      <c r="AV1480" s="6"/>
      <c r="AW1480" s="6"/>
      <c r="AX1480" s="6"/>
      <c r="AY1480" s="6"/>
      <c r="AZ1480" s="6"/>
      <c r="BA1480" s="6"/>
      <c r="BB1480" s="6"/>
      <c r="BC1480" s="6"/>
      <c r="BD1480" s="6"/>
      <c r="BE1480" s="6"/>
      <c r="BF1480" s="6"/>
      <c r="BG1480" s="6"/>
      <c r="BH1480" s="6"/>
      <c r="BI1480" s="6"/>
      <c r="BJ1480" s="6"/>
      <c r="BK1480" s="6"/>
      <c r="BL1480" s="6"/>
      <c r="BM1480" s="6"/>
      <c r="BN1480" s="6"/>
      <c r="BO1480" s="6"/>
      <c r="BP1480" s="6"/>
      <c r="BQ1480" s="6"/>
      <c r="BR1480" s="6"/>
      <c r="BS1480" s="6"/>
      <c r="BT1480" s="6"/>
    </row>
    <row r="1481" spans="1:72">
      <c r="A1481" s="8" t="s">
        <v>28458</v>
      </c>
      <c r="B1481" s="11" t="s">
        <v>28463</v>
      </c>
      <c r="C1481" s="9" t="s">
        <v>138</v>
      </c>
      <c r="D1481" s="10" t="s">
        <v>138</v>
      </c>
      <c r="E1481" s="28" t="s">
        <v>966</v>
      </c>
      <c r="F1481" s="28" t="s">
        <v>200</v>
      </c>
      <c r="G1481" s="28" t="s">
        <v>162</v>
      </c>
      <c r="H1481" s="13">
        <v>9</v>
      </c>
      <c r="I1481" s="12" t="s">
        <v>28471</v>
      </c>
      <c r="J1481" s="12" t="s">
        <v>43368</v>
      </c>
      <c r="K1481" s="12" t="s">
        <v>44775</v>
      </c>
      <c r="L1481" s="12" t="s">
        <v>40315</v>
      </c>
      <c r="M1481" s="12" t="s">
        <v>44776</v>
      </c>
      <c r="N1481" s="12" t="s">
        <v>39394</v>
      </c>
      <c r="O1481" s="12" t="s">
        <v>37824</v>
      </c>
      <c r="P1481" s="12" t="s">
        <v>40880</v>
      </c>
      <c r="Q1481" s="12" t="s">
        <v>38049</v>
      </c>
      <c r="R1481" s="12" t="s">
        <v>39259</v>
      </c>
      <c r="S1481" s="12"/>
      <c r="T1481" s="12"/>
      <c r="U1481" s="12"/>
      <c r="V1481" s="12"/>
      <c r="W1481" s="12"/>
      <c r="X1481" s="12"/>
      <c r="Y1481" s="12"/>
      <c r="Z1481" s="12"/>
      <c r="AA1481" s="12"/>
      <c r="AB1481" s="12"/>
      <c r="AC1481" s="12"/>
      <c r="AD1481" s="12"/>
      <c r="AE1481" s="12"/>
      <c r="AF1481" s="12"/>
      <c r="AG1481" s="12"/>
      <c r="AH1481" s="12"/>
      <c r="AI1481" s="12"/>
      <c r="AJ1481" s="12"/>
      <c r="AK1481" s="12"/>
      <c r="AL1481" s="12"/>
      <c r="AM1481" s="12"/>
      <c r="AN1481" s="12"/>
      <c r="AO1481" s="12"/>
      <c r="AP1481" s="12"/>
      <c r="AQ1481" s="12"/>
      <c r="AR1481" s="12"/>
      <c r="AS1481" s="12"/>
      <c r="AT1481" s="12"/>
      <c r="AU1481" s="12"/>
      <c r="AV1481" s="12"/>
      <c r="AW1481" s="12"/>
      <c r="AX1481" s="12"/>
      <c r="AY1481" s="12"/>
      <c r="AZ1481" s="12"/>
      <c r="BA1481" s="12"/>
      <c r="BB1481" s="12"/>
      <c r="BC1481" s="12"/>
      <c r="BD1481" s="12"/>
      <c r="BE1481" s="12"/>
      <c r="BF1481" s="12"/>
      <c r="BG1481" s="12"/>
      <c r="BH1481" s="12"/>
      <c r="BI1481" s="12"/>
      <c r="BJ1481" s="12"/>
      <c r="BK1481" s="12"/>
      <c r="BL1481" s="12"/>
      <c r="BM1481" s="12"/>
      <c r="BN1481" s="12"/>
      <c r="BO1481" s="12"/>
      <c r="BP1481" s="12"/>
      <c r="BQ1481" s="12"/>
      <c r="BR1481" s="12"/>
      <c r="BS1481" s="12"/>
      <c r="BT1481" s="12"/>
    </row>
    <row r="1482" spans="1:72">
      <c r="A1482" s="2" t="s">
        <v>28476</v>
      </c>
      <c r="B1482" s="5" t="s">
        <v>28480</v>
      </c>
      <c r="C1482" s="3" t="s">
        <v>138</v>
      </c>
      <c r="D1482" s="4" t="s">
        <v>138</v>
      </c>
      <c r="E1482" s="15" t="s">
        <v>426</v>
      </c>
      <c r="F1482" s="15" t="s">
        <v>426</v>
      </c>
      <c r="G1482" s="15" t="s">
        <v>162</v>
      </c>
      <c r="H1482" s="7">
        <v>3</v>
      </c>
      <c r="I1482" s="6" t="s">
        <v>14231</v>
      </c>
      <c r="J1482" s="6" t="s">
        <v>28864</v>
      </c>
      <c r="K1482" s="6" t="s">
        <v>38371</v>
      </c>
      <c r="L1482" s="6" t="s">
        <v>38054</v>
      </c>
      <c r="M1482" s="6"/>
      <c r="N1482" s="6"/>
      <c r="O1482" s="6"/>
      <c r="P1482" s="6"/>
      <c r="Q1482" s="6"/>
      <c r="R1482" s="6"/>
      <c r="S1482" s="6"/>
      <c r="T1482" s="6"/>
      <c r="U1482" s="6"/>
      <c r="V1482" s="6"/>
      <c r="W1482" s="6"/>
      <c r="X1482" s="6"/>
      <c r="Y1482" s="6"/>
      <c r="Z1482" s="6"/>
      <c r="AA1482" s="6"/>
      <c r="AB1482" s="6"/>
      <c r="AC1482" s="6"/>
      <c r="AD1482" s="6"/>
      <c r="AE1482" s="6"/>
      <c r="AF1482" s="6"/>
      <c r="AG1482" s="6"/>
      <c r="AH1482" s="6"/>
      <c r="AI1482" s="6"/>
      <c r="AJ1482" s="6"/>
      <c r="AK1482" s="6"/>
      <c r="AL1482" s="6"/>
      <c r="AM1482" s="6"/>
      <c r="AN1482" s="6"/>
      <c r="AO1482" s="6"/>
      <c r="AP1482" s="6"/>
      <c r="AQ1482" s="6"/>
      <c r="AR1482" s="6"/>
      <c r="AS1482" s="6"/>
      <c r="AT1482" s="6"/>
      <c r="AU1482" s="6"/>
      <c r="AV1482" s="6"/>
      <c r="AW1482" s="6"/>
      <c r="AX1482" s="6"/>
      <c r="AY1482" s="6"/>
      <c r="AZ1482" s="6"/>
      <c r="BA1482" s="6"/>
      <c r="BB1482" s="6"/>
      <c r="BC1482" s="6"/>
      <c r="BD1482" s="6"/>
      <c r="BE1482" s="6"/>
      <c r="BF1482" s="6"/>
      <c r="BG1482" s="6"/>
      <c r="BH1482" s="6"/>
      <c r="BI1482" s="6"/>
      <c r="BJ1482" s="6"/>
      <c r="BK1482" s="6"/>
      <c r="BL1482" s="6"/>
      <c r="BM1482" s="6"/>
      <c r="BN1482" s="6"/>
      <c r="BO1482" s="6"/>
      <c r="BP1482" s="6"/>
      <c r="BQ1482" s="6"/>
      <c r="BR1482" s="6"/>
      <c r="BS1482" s="6"/>
      <c r="BT1482" s="6"/>
    </row>
    <row r="1483" spans="1:72">
      <c r="A1483" s="8" t="s">
        <v>28487</v>
      </c>
      <c r="B1483" s="11" t="s">
        <v>28491</v>
      </c>
      <c r="C1483" s="9" t="s">
        <v>138</v>
      </c>
      <c r="D1483" s="10" t="s">
        <v>138</v>
      </c>
      <c r="E1483" s="28" t="s">
        <v>3841</v>
      </c>
      <c r="F1483" s="28" t="s">
        <v>200</v>
      </c>
      <c r="G1483" s="28" t="s">
        <v>162</v>
      </c>
      <c r="H1483" s="13">
        <v>4</v>
      </c>
      <c r="I1483" s="12" t="s">
        <v>28501</v>
      </c>
      <c r="J1483" s="12" t="s">
        <v>16877</v>
      </c>
      <c r="K1483" s="12" t="s">
        <v>37883</v>
      </c>
      <c r="L1483" s="12" t="s">
        <v>38319</v>
      </c>
      <c r="M1483" s="12" t="s">
        <v>38323</v>
      </c>
      <c r="N1483" s="12"/>
      <c r="O1483" s="12"/>
      <c r="P1483" s="12"/>
      <c r="Q1483" s="12"/>
      <c r="R1483" s="12"/>
      <c r="S1483" s="12"/>
      <c r="T1483" s="12"/>
      <c r="U1483" s="12"/>
      <c r="V1483" s="12"/>
      <c r="W1483" s="12"/>
      <c r="X1483" s="12"/>
      <c r="Y1483" s="12"/>
      <c r="Z1483" s="12"/>
      <c r="AA1483" s="12"/>
      <c r="AB1483" s="12"/>
      <c r="AC1483" s="12"/>
      <c r="AD1483" s="12"/>
      <c r="AE1483" s="12"/>
      <c r="AF1483" s="12"/>
      <c r="AG1483" s="12"/>
      <c r="AH1483" s="12"/>
      <c r="AI1483" s="12"/>
      <c r="AJ1483" s="12"/>
      <c r="AK1483" s="12"/>
      <c r="AL1483" s="12"/>
      <c r="AM1483" s="12"/>
      <c r="AN1483" s="12"/>
      <c r="AO1483" s="12"/>
      <c r="AP1483" s="12"/>
      <c r="AQ1483" s="12"/>
      <c r="AR1483" s="12"/>
      <c r="AS1483" s="12"/>
      <c r="AT1483" s="12"/>
      <c r="AU1483" s="12"/>
      <c r="AV1483" s="12"/>
      <c r="AW1483" s="12"/>
      <c r="AX1483" s="12"/>
      <c r="AY1483" s="12"/>
      <c r="AZ1483" s="12"/>
      <c r="BA1483" s="12"/>
      <c r="BB1483" s="12"/>
      <c r="BC1483" s="12"/>
      <c r="BD1483" s="12"/>
      <c r="BE1483" s="12"/>
      <c r="BF1483" s="12"/>
      <c r="BG1483" s="12"/>
      <c r="BH1483" s="12"/>
      <c r="BI1483" s="12"/>
      <c r="BJ1483" s="12"/>
      <c r="BK1483" s="12"/>
      <c r="BL1483" s="12"/>
      <c r="BM1483" s="12"/>
      <c r="BN1483" s="12"/>
      <c r="BO1483" s="12"/>
      <c r="BP1483" s="12"/>
      <c r="BQ1483" s="12"/>
      <c r="BR1483" s="12"/>
      <c r="BS1483" s="12"/>
      <c r="BT1483" s="12"/>
    </row>
    <row r="1484" spans="1:72">
      <c r="A1484" s="2" t="s">
        <v>28506</v>
      </c>
      <c r="B1484" s="5" t="s">
        <v>28512</v>
      </c>
      <c r="C1484" s="3" t="s">
        <v>28507</v>
      </c>
      <c r="D1484" s="4" t="s">
        <v>138</v>
      </c>
      <c r="E1484" s="15" t="s">
        <v>2907</v>
      </c>
      <c r="F1484" s="15" t="s">
        <v>138</v>
      </c>
      <c r="G1484" s="15" t="s">
        <v>946</v>
      </c>
      <c r="H1484" s="7">
        <v>14</v>
      </c>
      <c r="I1484" s="6" t="s">
        <v>28523</v>
      </c>
      <c r="J1484" s="6" t="s">
        <v>44777</v>
      </c>
      <c r="K1484" s="6" t="s">
        <v>44778</v>
      </c>
      <c r="L1484" s="6" t="s">
        <v>44779</v>
      </c>
      <c r="M1484" s="6" t="s">
        <v>44780</v>
      </c>
      <c r="N1484" s="6" t="s">
        <v>42880</v>
      </c>
      <c r="O1484" s="6" t="s">
        <v>44781</v>
      </c>
      <c r="P1484" s="6" t="s">
        <v>42505</v>
      </c>
      <c r="Q1484" s="6" t="s">
        <v>44782</v>
      </c>
      <c r="R1484" s="6" t="s">
        <v>38286</v>
      </c>
      <c r="S1484" s="6" t="s">
        <v>40982</v>
      </c>
      <c r="T1484" s="6" t="s">
        <v>44783</v>
      </c>
      <c r="U1484" s="6" t="s">
        <v>38291</v>
      </c>
      <c r="V1484" s="6" t="s">
        <v>38716</v>
      </c>
      <c r="W1484" s="6" t="s">
        <v>44784</v>
      </c>
      <c r="X1484" s="6"/>
      <c r="Y1484" s="6"/>
      <c r="Z1484" s="6"/>
      <c r="AA1484" s="6"/>
      <c r="AB1484" s="6"/>
      <c r="AC1484" s="6"/>
      <c r="AD1484" s="6"/>
      <c r="AE1484" s="6"/>
      <c r="AF1484" s="6"/>
      <c r="AG1484" s="6"/>
      <c r="AH1484" s="6"/>
      <c r="AI1484" s="6"/>
      <c r="AJ1484" s="6"/>
      <c r="AK1484" s="6"/>
      <c r="AL1484" s="6"/>
      <c r="AM1484" s="6"/>
      <c r="AN1484" s="6"/>
      <c r="AO1484" s="6"/>
      <c r="AP1484" s="6"/>
      <c r="AQ1484" s="6"/>
      <c r="AR1484" s="6"/>
      <c r="AS1484" s="6"/>
      <c r="AT1484" s="6"/>
      <c r="AU1484" s="6"/>
      <c r="AV1484" s="6"/>
      <c r="AW1484" s="6"/>
      <c r="AX1484" s="6"/>
      <c r="AY1484" s="6"/>
      <c r="AZ1484" s="6"/>
      <c r="BA1484" s="6"/>
      <c r="BB1484" s="6"/>
      <c r="BC1484" s="6"/>
      <c r="BD1484" s="6"/>
      <c r="BE1484" s="6"/>
      <c r="BF1484" s="6"/>
      <c r="BG1484" s="6"/>
      <c r="BH1484" s="6"/>
      <c r="BI1484" s="6"/>
      <c r="BJ1484" s="6"/>
      <c r="BK1484" s="6"/>
      <c r="BL1484" s="6"/>
      <c r="BM1484" s="6"/>
      <c r="BN1484" s="6"/>
      <c r="BO1484" s="6"/>
      <c r="BP1484" s="6"/>
      <c r="BQ1484" s="6"/>
      <c r="BR1484" s="6"/>
      <c r="BS1484" s="6"/>
      <c r="BT1484" s="6"/>
    </row>
    <row r="1485" spans="1:72">
      <c r="A1485" s="8" t="s">
        <v>28529</v>
      </c>
      <c r="B1485" s="11" t="s">
        <v>28535</v>
      </c>
      <c r="C1485" s="9" t="s">
        <v>138</v>
      </c>
      <c r="D1485" s="10" t="s">
        <v>28530</v>
      </c>
      <c r="E1485" s="28" t="s">
        <v>2005</v>
      </c>
      <c r="F1485" s="28" t="s">
        <v>200</v>
      </c>
      <c r="G1485" s="28" t="s">
        <v>162</v>
      </c>
      <c r="H1485" s="13">
        <v>1</v>
      </c>
      <c r="I1485" s="12" t="s">
        <v>24320</v>
      </c>
      <c r="J1485" s="12" t="s">
        <v>24320</v>
      </c>
      <c r="K1485" s="12"/>
      <c r="L1485" s="12"/>
      <c r="M1485" s="12"/>
      <c r="N1485" s="12"/>
      <c r="O1485" s="12"/>
      <c r="P1485" s="12"/>
      <c r="Q1485" s="12"/>
      <c r="R1485" s="12"/>
      <c r="S1485" s="12"/>
      <c r="T1485" s="12"/>
      <c r="U1485" s="12"/>
      <c r="V1485" s="12"/>
      <c r="W1485" s="12"/>
      <c r="X1485" s="12"/>
      <c r="Y1485" s="12"/>
      <c r="Z1485" s="12"/>
      <c r="AA1485" s="12"/>
      <c r="AB1485" s="12"/>
      <c r="AC1485" s="12"/>
      <c r="AD1485" s="12"/>
      <c r="AE1485" s="12"/>
      <c r="AF1485" s="12"/>
      <c r="AG1485" s="12"/>
      <c r="AH1485" s="12"/>
      <c r="AI1485" s="12"/>
      <c r="AJ1485" s="12"/>
      <c r="AK1485" s="12"/>
      <c r="AL1485" s="12"/>
      <c r="AM1485" s="12"/>
      <c r="AN1485" s="12"/>
      <c r="AO1485" s="12"/>
      <c r="AP1485" s="12"/>
      <c r="AQ1485" s="12"/>
      <c r="AR1485" s="12"/>
      <c r="AS1485" s="12"/>
      <c r="AT1485" s="12"/>
      <c r="AU1485" s="12"/>
      <c r="AV1485" s="12"/>
      <c r="AW1485" s="12"/>
      <c r="AX1485" s="12"/>
      <c r="AY1485" s="12"/>
      <c r="AZ1485" s="12"/>
      <c r="BA1485" s="12"/>
      <c r="BB1485" s="12"/>
      <c r="BC1485" s="12"/>
      <c r="BD1485" s="12"/>
      <c r="BE1485" s="12"/>
      <c r="BF1485" s="12"/>
      <c r="BG1485" s="12"/>
      <c r="BH1485" s="12"/>
      <c r="BI1485" s="12"/>
      <c r="BJ1485" s="12"/>
      <c r="BK1485" s="12"/>
      <c r="BL1485" s="12"/>
      <c r="BM1485" s="12"/>
      <c r="BN1485" s="12"/>
      <c r="BO1485" s="12"/>
      <c r="BP1485" s="12"/>
      <c r="BQ1485" s="12"/>
      <c r="BR1485" s="12"/>
      <c r="BS1485" s="12"/>
      <c r="BT1485" s="12"/>
    </row>
    <row r="1486" spans="1:72">
      <c r="A1486" s="2" t="s">
        <v>28543</v>
      </c>
      <c r="B1486" s="5" t="s">
        <v>28548</v>
      </c>
      <c r="C1486" s="3" t="s">
        <v>138</v>
      </c>
      <c r="D1486" s="4" t="s">
        <v>138</v>
      </c>
      <c r="E1486" s="15" t="s">
        <v>28555</v>
      </c>
      <c r="F1486" s="15" t="s">
        <v>4493</v>
      </c>
      <c r="G1486" s="15" t="s">
        <v>162</v>
      </c>
      <c r="H1486" s="7">
        <v>3</v>
      </c>
      <c r="I1486" s="6" t="s">
        <v>28559</v>
      </c>
      <c r="J1486" s="6" t="s">
        <v>25482</v>
      </c>
      <c r="K1486" s="6" t="s">
        <v>37909</v>
      </c>
      <c r="L1486" s="6" t="s">
        <v>44785</v>
      </c>
      <c r="M1486" s="6"/>
      <c r="N1486" s="6"/>
      <c r="O1486" s="6"/>
      <c r="P1486" s="6"/>
      <c r="Q1486" s="6"/>
      <c r="R1486" s="6"/>
      <c r="S1486" s="6"/>
      <c r="T1486" s="6"/>
      <c r="U1486" s="6"/>
      <c r="V1486" s="6"/>
      <c r="W1486" s="6"/>
      <c r="X1486" s="6"/>
      <c r="Y1486" s="6"/>
      <c r="Z1486" s="6"/>
      <c r="AA1486" s="6"/>
      <c r="AB1486" s="6"/>
      <c r="AC1486" s="6"/>
      <c r="AD1486" s="6"/>
      <c r="AE1486" s="6"/>
      <c r="AF1486" s="6"/>
      <c r="AG1486" s="6"/>
      <c r="AH1486" s="6"/>
      <c r="AI1486" s="6"/>
      <c r="AJ1486" s="6"/>
      <c r="AK1486" s="6"/>
      <c r="AL1486" s="6"/>
      <c r="AM1486" s="6"/>
      <c r="AN1486" s="6"/>
      <c r="AO1486" s="6"/>
      <c r="AP1486" s="6"/>
      <c r="AQ1486" s="6"/>
      <c r="AR1486" s="6"/>
      <c r="AS1486" s="6"/>
      <c r="AT1486" s="6"/>
      <c r="AU1486" s="6"/>
      <c r="AV1486" s="6"/>
      <c r="AW1486" s="6"/>
      <c r="AX1486" s="6"/>
      <c r="AY1486" s="6"/>
      <c r="AZ1486" s="6"/>
      <c r="BA1486" s="6"/>
      <c r="BB1486" s="6"/>
      <c r="BC1486" s="6"/>
      <c r="BD1486" s="6"/>
      <c r="BE1486" s="6"/>
      <c r="BF1486" s="6"/>
      <c r="BG1486" s="6"/>
      <c r="BH1486" s="6"/>
      <c r="BI1486" s="6"/>
      <c r="BJ1486" s="6"/>
      <c r="BK1486" s="6"/>
      <c r="BL1486" s="6"/>
      <c r="BM1486" s="6"/>
      <c r="BN1486" s="6"/>
      <c r="BO1486" s="6"/>
      <c r="BP1486" s="6"/>
      <c r="BQ1486" s="6"/>
      <c r="BR1486" s="6"/>
      <c r="BS1486" s="6"/>
      <c r="BT1486" s="6"/>
    </row>
    <row r="1487" spans="1:72">
      <c r="A1487" s="8" t="s">
        <v>28562</v>
      </c>
      <c r="B1487" s="11" t="s">
        <v>28566</v>
      </c>
      <c r="C1487" s="9" t="s">
        <v>138</v>
      </c>
      <c r="D1487" s="10" t="s">
        <v>138</v>
      </c>
      <c r="E1487" s="28" t="s">
        <v>3670</v>
      </c>
      <c r="F1487" s="28" t="s">
        <v>200</v>
      </c>
      <c r="G1487" s="28" t="s">
        <v>162</v>
      </c>
      <c r="H1487" s="13">
        <v>7</v>
      </c>
      <c r="I1487" s="12" t="s">
        <v>28574</v>
      </c>
      <c r="J1487" s="12" t="s">
        <v>42802</v>
      </c>
      <c r="K1487" s="12" t="s">
        <v>39475</v>
      </c>
      <c r="L1487" s="12" t="s">
        <v>37851</v>
      </c>
      <c r="M1487" s="12" t="s">
        <v>38062</v>
      </c>
      <c r="N1487" s="12" t="s">
        <v>39325</v>
      </c>
      <c r="O1487" s="12" t="s">
        <v>38063</v>
      </c>
      <c r="P1487" s="12" t="s">
        <v>37805</v>
      </c>
      <c r="Q1487" s="12"/>
      <c r="R1487" s="12"/>
      <c r="S1487" s="12"/>
      <c r="T1487" s="12"/>
      <c r="U1487" s="12"/>
      <c r="V1487" s="12"/>
      <c r="W1487" s="12"/>
      <c r="X1487" s="12"/>
      <c r="Y1487" s="12"/>
      <c r="Z1487" s="12"/>
      <c r="AA1487" s="12"/>
      <c r="AB1487" s="12"/>
      <c r="AC1487" s="12"/>
      <c r="AD1487" s="12"/>
      <c r="AE1487" s="12"/>
      <c r="AF1487" s="12"/>
      <c r="AG1487" s="12"/>
      <c r="AH1487" s="12"/>
      <c r="AI1487" s="12"/>
      <c r="AJ1487" s="12"/>
      <c r="AK1487" s="12"/>
      <c r="AL1487" s="12"/>
      <c r="AM1487" s="12"/>
      <c r="AN1487" s="12"/>
      <c r="AO1487" s="12"/>
      <c r="AP1487" s="12"/>
      <c r="AQ1487" s="12"/>
      <c r="AR1487" s="12"/>
      <c r="AS1487" s="12"/>
      <c r="AT1487" s="12"/>
      <c r="AU1487" s="12"/>
      <c r="AV1487" s="12"/>
      <c r="AW1487" s="12"/>
      <c r="AX1487" s="12"/>
      <c r="AY1487" s="12"/>
      <c r="AZ1487" s="12"/>
      <c r="BA1487" s="12"/>
      <c r="BB1487" s="12"/>
      <c r="BC1487" s="12"/>
      <c r="BD1487" s="12"/>
      <c r="BE1487" s="12"/>
      <c r="BF1487" s="12"/>
      <c r="BG1487" s="12"/>
      <c r="BH1487" s="12"/>
      <c r="BI1487" s="12"/>
      <c r="BJ1487" s="12"/>
      <c r="BK1487" s="12"/>
      <c r="BL1487" s="12"/>
      <c r="BM1487" s="12"/>
      <c r="BN1487" s="12"/>
      <c r="BO1487" s="12"/>
      <c r="BP1487" s="12"/>
      <c r="BQ1487" s="12"/>
      <c r="BR1487" s="12"/>
      <c r="BS1487" s="12"/>
      <c r="BT1487" s="12"/>
    </row>
    <row r="1488" spans="1:72">
      <c r="A1488" s="2" t="s">
        <v>28581</v>
      </c>
      <c r="B1488" s="5" t="s">
        <v>28586</v>
      </c>
      <c r="C1488" s="3" t="s">
        <v>28582</v>
      </c>
      <c r="D1488" s="4" t="s">
        <v>138</v>
      </c>
      <c r="E1488" s="15" t="s">
        <v>28594</v>
      </c>
      <c r="F1488" s="15" t="s">
        <v>597</v>
      </c>
      <c r="G1488" s="15" t="s">
        <v>162</v>
      </c>
      <c r="H1488" s="7">
        <v>8</v>
      </c>
      <c r="I1488" s="6" t="s">
        <v>28597</v>
      </c>
      <c r="J1488" s="6" t="s">
        <v>40874</v>
      </c>
      <c r="K1488" s="6" t="s">
        <v>44786</v>
      </c>
      <c r="L1488" s="6" t="s">
        <v>37832</v>
      </c>
      <c r="M1488" s="6" t="s">
        <v>44787</v>
      </c>
      <c r="N1488" s="6" t="s">
        <v>44788</v>
      </c>
      <c r="O1488" s="6" t="s">
        <v>38882</v>
      </c>
      <c r="P1488" s="6" t="s">
        <v>40688</v>
      </c>
      <c r="Q1488" s="6" t="s">
        <v>44789</v>
      </c>
      <c r="R1488" s="6"/>
      <c r="S1488" s="6"/>
      <c r="T1488" s="6"/>
      <c r="U1488" s="6"/>
      <c r="V1488" s="6"/>
      <c r="W1488" s="6"/>
      <c r="X1488" s="6"/>
      <c r="Y1488" s="6"/>
      <c r="Z1488" s="6"/>
      <c r="AA1488" s="6"/>
      <c r="AB1488" s="6"/>
      <c r="AC1488" s="6"/>
      <c r="AD1488" s="6"/>
      <c r="AE1488" s="6"/>
      <c r="AF1488" s="6"/>
      <c r="AG1488" s="6"/>
      <c r="AH1488" s="6"/>
      <c r="AI1488" s="6"/>
      <c r="AJ1488" s="6"/>
      <c r="AK1488" s="6"/>
      <c r="AL1488" s="6"/>
      <c r="AM1488" s="6"/>
      <c r="AN1488" s="6"/>
      <c r="AO1488" s="6"/>
      <c r="AP1488" s="6"/>
      <c r="AQ1488" s="6"/>
      <c r="AR1488" s="6"/>
      <c r="AS1488" s="6"/>
      <c r="AT1488" s="6"/>
      <c r="AU1488" s="6"/>
      <c r="AV1488" s="6"/>
      <c r="AW1488" s="6"/>
      <c r="AX1488" s="6"/>
      <c r="AY1488" s="6"/>
      <c r="AZ1488" s="6"/>
      <c r="BA1488" s="6"/>
      <c r="BB1488" s="6"/>
      <c r="BC1488" s="6"/>
      <c r="BD1488" s="6"/>
      <c r="BE1488" s="6"/>
      <c r="BF1488" s="6"/>
      <c r="BG1488" s="6"/>
      <c r="BH1488" s="6"/>
      <c r="BI1488" s="6"/>
      <c r="BJ1488" s="6"/>
      <c r="BK1488" s="6"/>
      <c r="BL1488" s="6"/>
      <c r="BM1488" s="6"/>
      <c r="BN1488" s="6"/>
      <c r="BO1488" s="6"/>
      <c r="BP1488" s="6"/>
      <c r="BQ1488" s="6"/>
      <c r="BR1488" s="6"/>
      <c r="BS1488" s="6"/>
      <c r="BT1488" s="6"/>
    </row>
    <row r="1489" spans="1:72">
      <c r="A1489" s="8" t="s">
        <v>28600</v>
      </c>
      <c r="B1489" s="11" t="s">
        <v>28604</v>
      </c>
      <c r="C1489" s="9" t="s">
        <v>138</v>
      </c>
      <c r="D1489" s="10" t="s">
        <v>138</v>
      </c>
      <c r="E1489" s="28" t="s">
        <v>1294</v>
      </c>
      <c r="F1489" s="28" t="s">
        <v>864</v>
      </c>
      <c r="G1489" s="28" t="s">
        <v>162</v>
      </c>
      <c r="H1489" s="13">
        <v>45</v>
      </c>
      <c r="I1489" s="12" t="s">
        <v>28614</v>
      </c>
      <c r="J1489" s="12" t="s">
        <v>44790</v>
      </c>
      <c r="K1489" s="12" t="s">
        <v>39000</v>
      </c>
      <c r="L1489" s="12" t="s">
        <v>40676</v>
      </c>
      <c r="M1489" s="12" t="s">
        <v>44791</v>
      </c>
      <c r="N1489" s="12" t="s">
        <v>38520</v>
      </c>
      <c r="O1489" s="12" t="s">
        <v>44792</v>
      </c>
      <c r="P1489" s="12" t="s">
        <v>42233</v>
      </c>
      <c r="Q1489" s="12" t="s">
        <v>44793</v>
      </c>
      <c r="R1489" s="12" t="s">
        <v>44794</v>
      </c>
      <c r="S1489" s="12" t="s">
        <v>38109</v>
      </c>
      <c r="T1489" s="12" t="s">
        <v>39387</v>
      </c>
      <c r="U1489" s="12" t="s">
        <v>38417</v>
      </c>
      <c r="V1489" s="12" t="s">
        <v>44795</v>
      </c>
      <c r="W1489" s="12" t="s">
        <v>38214</v>
      </c>
      <c r="X1489" s="12" t="s">
        <v>44796</v>
      </c>
      <c r="Y1489" s="12" t="s">
        <v>41197</v>
      </c>
      <c r="Z1489" s="12" t="s">
        <v>38915</v>
      </c>
      <c r="AA1489" s="12" t="s">
        <v>37774</v>
      </c>
      <c r="AB1489" s="12" t="s">
        <v>38421</v>
      </c>
      <c r="AC1489" s="12" t="s">
        <v>38741</v>
      </c>
      <c r="AD1489" s="12" t="s">
        <v>44797</v>
      </c>
      <c r="AE1489" s="12" t="s">
        <v>39405</v>
      </c>
      <c r="AF1489" s="12" t="s">
        <v>44798</v>
      </c>
      <c r="AG1489" s="12" t="s">
        <v>44799</v>
      </c>
      <c r="AH1489" s="12" t="s">
        <v>38744</v>
      </c>
      <c r="AI1489" s="12" t="s">
        <v>44800</v>
      </c>
      <c r="AJ1489" s="12" t="s">
        <v>43549</v>
      </c>
      <c r="AK1489" s="12" t="s">
        <v>44801</v>
      </c>
      <c r="AL1489" s="12" t="s">
        <v>38223</v>
      </c>
      <c r="AM1489" s="12" t="s">
        <v>44802</v>
      </c>
      <c r="AN1489" s="12" t="s">
        <v>44803</v>
      </c>
      <c r="AO1489" s="12" t="s">
        <v>44804</v>
      </c>
      <c r="AP1489" s="12" t="s">
        <v>42482</v>
      </c>
      <c r="AQ1489" s="12" t="s">
        <v>44805</v>
      </c>
      <c r="AR1489" s="12" t="s">
        <v>43172</v>
      </c>
      <c r="AS1489" s="12" t="s">
        <v>38323</v>
      </c>
      <c r="AT1489" s="12" t="s">
        <v>37779</v>
      </c>
      <c r="AU1489" s="12" t="s">
        <v>39446</v>
      </c>
      <c r="AV1489" s="12" t="s">
        <v>44806</v>
      </c>
      <c r="AW1489" s="12" t="s">
        <v>44807</v>
      </c>
      <c r="AX1489" s="12" t="s">
        <v>40683</v>
      </c>
      <c r="AY1489" s="12" t="s">
        <v>44808</v>
      </c>
      <c r="AZ1489" s="12" t="s">
        <v>40455</v>
      </c>
      <c r="BA1489" s="12" t="s">
        <v>44809</v>
      </c>
      <c r="BB1489" s="12" t="s">
        <v>38756</v>
      </c>
      <c r="BC1489" s="12"/>
      <c r="BD1489" s="12"/>
      <c r="BE1489" s="12"/>
      <c r="BF1489" s="12"/>
      <c r="BG1489" s="12"/>
      <c r="BH1489" s="12"/>
      <c r="BI1489" s="12"/>
      <c r="BJ1489" s="12"/>
      <c r="BK1489" s="12"/>
      <c r="BL1489" s="12"/>
      <c r="BM1489" s="12"/>
      <c r="BN1489" s="12"/>
      <c r="BO1489" s="12"/>
      <c r="BP1489" s="12"/>
      <c r="BQ1489" s="12"/>
      <c r="BR1489" s="12"/>
      <c r="BS1489" s="12"/>
      <c r="BT1489" s="12"/>
    </row>
    <row r="1490" spans="1:72">
      <c r="A1490" s="2" t="s">
        <v>28619</v>
      </c>
      <c r="B1490" s="5" t="s">
        <v>28624</v>
      </c>
      <c r="C1490" s="3" t="s">
        <v>138</v>
      </c>
      <c r="D1490" s="4" t="s">
        <v>138</v>
      </c>
      <c r="E1490" s="15" t="s">
        <v>499</v>
      </c>
      <c r="F1490" s="15" t="s">
        <v>138</v>
      </c>
      <c r="G1490" s="15" t="s">
        <v>450</v>
      </c>
      <c r="H1490" s="7">
        <v>5</v>
      </c>
      <c r="I1490" s="6" t="s">
        <v>28629</v>
      </c>
      <c r="J1490" s="6" t="s">
        <v>44810</v>
      </c>
      <c r="K1490" s="6" t="s">
        <v>44811</v>
      </c>
      <c r="L1490" s="6" t="s">
        <v>43004</v>
      </c>
      <c r="M1490" s="6" t="s">
        <v>38065</v>
      </c>
      <c r="N1490" s="6" t="s">
        <v>44812</v>
      </c>
      <c r="O1490" s="6"/>
      <c r="P1490" s="6"/>
      <c r="Q1490" s="6"/>
      <c r="R1490" s="6"/>
      <c r="S1490" s="6"/>
      <c r="T1490" s="6"/>
      <c r="U1490" s="6"/>
      <c r="V1490" s="6"/>
      <c r="W1490" s="6"/>
      <c r="X1490" s="6"/>
      <c r="Y1490" s="6"/>
      <c r="Z1490" s="6"/>
      <c r="AA1490" s="6"/>
      <c r="AB1490" s="6"/>
      <c r="AC1490" s="6"/>
      <c r="AD1490" s="6"/>
      <c r="AE1490" s="6"/>
      <c r="AF1490" s="6"/>
      <c r="AG1490" s="6"/>
      <c r="AH1490" s="6"/>
      <c r="AI1490" s="6"/>
      <c r="AJ1490" s="6"/>
      <c r="AK1490" s="6"/>
      <c r="AL1490" s="6"/>
      <c r="AM1490" s="6"/>
      <c r="AN1490" s="6"/>
      <c r="AO1490" s="6"/>
      <c r="AP1490" s="6"/>
      <c r="AQ1490" s="6"/>
      <c r="AR1490" s="6"/>
      <c r="AS1490" s="6"/>
      <c r="AT1490" s="6"/>
      <c r="AU1490" s="6"/>
      <c r="AV1490" s="6"/>
      <c r="AW1490" s="6"/>
      <c r="AX1490" s="6"/>
      <c r="AY1490" s="6"/>
      <c r="AZ1490" s="6"/>
      <c r="BA1490" s="6"/>
      <c r="BB1490" s="6"/>
      <c r="BC1490" s="6"/>
      <c r="BD1490" s="6"/>
      <c r="BE1490" s="6"/>
      <c r="BF1490" s="6"/>
      <c r="BG1490" s="6"/>
      <c r="BH1490" s="6"/>
      <c r="BI1490" s="6"/>
      <c r="BJ1490" s="6"/>
      <c r="BK1490" s="6"/>
      <c r="BL1490" s="6"/>
      <c r="BM1490" s="6"/>
      <c r="BN1490" s="6"/>
      <c r="BO1490" s="6"/>
      <c r="BP1490" s="6"/>
      <c r="BQ1490" s="6"/>
      <c r="BR1490" s="6"/>
      <c r="BS1490" s="6"/>
      <c r="BT1490" s="6"/>
    </row>
    <row r="1491" spans="1:72">
      <c r="A1491" s="8" t="s">
        <v>28632</v>
      </c>
      <c r="B1491" s="11" t="s">
        <v>28636</v>
      </c>
      <c r="C1491" s="9" t="s">
        <v>138</v>
      </c>
      <c r="D1491" s="10" t="s">
        <v>138</v>
      </c>
      <c r="E1491" s="28" t="s">
        <v>28645</v>
      </c>
      <c r="F1491" s="28" t="s">
        <v>14130</v>
      </c>
      <c r="G1491" s="28" t="s">
        <v>2742</v>
      </c>
      <c r="H1491" s="13">
        <v>2</v>
      </c>
      <c r="I1491" s="12" t="s">
        <v>28651</v>
      </c>
      <c r="J1491" s="12" t="s">
        <v>44813</v>
      </c>
      <c r="K1491" s="12" t="s">
        <v>38775</v>
      </c>
      <c r="L1491" s="12"/>
      <c r="M1491" s="12"/>
      <c r="N1491" s="12"/>
      <c r="O1491" s="12"/>
      <c r="P1491" s="12"/>
      <c r="Q1491" s="12"/>
      <c r="R1491" s="12"/>
      <c r="S1491" s="12"/>
      <c r="T1491" s="12"/>
      <c r="U1491" s="12"/>
      <c r="V1491" s="12"/>
      <c r="W1491" s="12"/>
      <c r="X1491" s="12"/>
      <c r="Y1491" s="12"/>
      <c r="Z1491" s="12"/>
      <c r="AA1491" s="12"/>
      <c r="AB1491" s="12"/>
      <c r="AC1491" s="12"/>
      <c r="AD1491" s="12"/>
      <c r="AE1491" s="12"/>
      <c r="AF1491" s="12"/>
      <c r="AG1491" s="12"/>
      <c r="AH1491" s="12"/>
      <c r="AI1491" s="12"/>
      <c r="AJ1491" s="12"/>
      <c r="AK1491" s="12"/>
      <c r="AL1491" s="12"/>
      <c r="AM1491" s="12"/>
      <c r="AN1491" s="12"/>
      <c r="AO1491" s="12"/>
      <c r="AP1491" s="12"/>
      <c r="AQ1491" s="12"/>
      <c r="AR1491" s="12"/>
      <c r="AS1491" s="12"/>
      <c r="AT1491" s="12"/>
      <c r="AU1491" s="12"/>
      <c r="AV1491" s="12"/>
      <c r="AW1491" s="12"/>
      <c r="AX1491" s="12"/>
      <c r="AY1491" s="12"/>
      <c r="AZ1491" s="12"/>
      <c r="BA1491" s="12"/>
      <c r="BB1491" s="12"/>
      <c r="BC1491" s="12"/>
      <c r="BD1491" s="12"/>
      <c r="BE1491" s="12"/>
      <c r="BF1491" s="12"/>
      <c r="BG1491" s="12"/>
      <c r="BH1491" s="12"/>
      <c r="BI1491" s="12"/>
      <c r="BJ1491" s="12"/>
      <c r="BK1491" s="12"/>
      <c r="BL1491" s="12"/>
      <c r="BM1491" s="12"/>
      <c r="BN1491" s="12"/>
      <c r="BO1491" s="12"/>
      <c r="BP1491" s="12"/>
      <c r="BQ1491" s="12"/>
      <c r="BR1491" s="12"/>
      <c r="BS1491" s="12"/>
      <c r="BT1491" s="12"/>
    </row>
    <row r="1492" spans="1:72">
      <c r="A1492" s="2" t="s">
        <v>28654</v>
      </c>
      <c r="B1492" s="5" t="s">
        <v>28658</v>
      </c>
      <c r="C1492" s="3" t="s">
        <v>138</v>
      </c>
      <c r="D1492" s="4" t="s">
        <v>28655</v>
      </c>
      <c r="E1492" s="15" t="s">
        <v>28666</v>
      </c>
      <c r="F1492" s="15" t="s">
        <v>138</v>
      </c>
      <c r="G1492" s="15" t="s">
        <v>1054</v>
      </c>
      <c r="H1492" s="7">
        <v>4</v>
      </c>
      <c r="I1492" s="6" t="s">
        <v>28670</v>
      </c>
      <c r="J1492" s="6" t="s">
        <v>44814</v>
      </c>
      <c r="K1492" s="6" t="s">
        <v>44815</v>
      </c>
      <c r="L1492" s="6" t="s">
        <v>44816</v>
      </c>
      <c r="M1492" s="6" t="s">
        <v>37781</v>
      </c>
      <c r="N1492" s="6"/>
      <c r="O1492" s="6"/>
      <c r="P1492" s="6"/>
      <c r="Q1492" s="6"/>
      <c r="R1492" s="6"/>
      <c r="S1492" s="6"/>
      <c r="T1492" s="6"/>
      <c r="U1492" s="6"/>
      <c r="V1492" s="6"/>
      <c r="W1492" s="6"/>
      <c r="X1492" s="6"/>
      <c r="Y1492" s="6"/>
      <c r="Z1492" s="6"/>
      <c r="AA1492" s="6"/>
      <c r="AB1492" s="6"/>
      <c r="AC1492" s="6"/>
      <c r="AD1492" s="6"/>
      <c r="AE1492" s="6"/>
      <c r="AF1492" s="6"/>
      <c r="AG1492" s="6"/>
      <c r="AH1492" s="6"/>
      <c r="AI1492" s="6"/>
      <c r="AJ1492" s="6"/>
      <c r="AK1492" s="6"/>
      <c r="AL1492" s="6"/>
      <c r="AM1492" s="6"/>
      <c r="AN1492" s="6"/>
      <c r="AO1492" s="6"/>
      <c r="AP1492" s="6"/>
      <c r="AQ1492" s="6"/>
      <c r="AR1492" s="6"/>
      <c r="AS1492" s="6"/>
      <c r="AT1492" s="6"/>
      <c r="AU1492" s="6"/>
      <c r="AV1492" s="6"/>
      <c r="AW1492" s="6"/>
      <c r="AX1492" s="6"/>
      <c r="AY1492" s="6"/>
      <c r="AZ1492" s="6"/>
      <c r="BA1492" s="6"/>
      <c r="BB1492" s="6"/>
      <c r="BC1492" s="6"/>
      <c r="BD1492" s="6"/>
      <c r="BE1492" s="6"/>
      <c r="BF1492" s="6"/>
      <c r="BG1492" s="6"/>
      <c r="BH1492" s="6"/>
      <c r="BI1492" s="6"/>
      <c r="BJ1492" s="6"/>
      <c r="BK1492" s="6"/>
      <c r="BL1492" s="6"/>
      <c r="BM1492" s="6"/>
      <c r="BN1492" s="6"/>
      <c r="BO1492" s="6"/>
      <c r="BP1492" s="6"/>
      <c r="BQ1492" s="6"/>
      <c r="BR1492" s="6"/>
      <c r="BS1492" s="6"/>
      <c r="BT1492" s="6"/>
    </row>
    <row r="1493" spans="1:72">
      <c r="A1493" s="8" t="s">
        <v>28674</v>
      </c>
      <c r="B1493" s="11" t="s">
        <v>28680</v>
      </c>
      <c r="C1493" s="9" t="s">
        <v>28675</v>
      </c>
      <c r="D1493" s="10" t="s">
        <v>138</v>
      </c>
      <c r="E1493" s="28" t="s">
        <v>28688</v>
      </c>
      <c r="F1493" s="28" t="s">
        <v>2883</v>
      </c>
      <c r="G1493" s="28" t="s">
        <v>162</v>
      </c>
      <c r="H1493" s="13">
        <v>2</v>
      </c>
      <c r="I1493" s="12" t="s">
        <v>28693</v>
      </c>
      <c r="J1493" s="12" t="s">
        <v>44817</v>
      </c>
      <c r="K1493" s="12" t="s">
        <v>41217</v>
      </c>
      <c r="L1493" s="12"/>
      <c r="M1493" s="12"/>
      <c r="N1493" s="12"/>
      <c r="O1493" s="12"/>
      <c r="P1493" s="12"/>
      <c r="Q1493" s="12"/>
      <c r="R1493" s="12"/>
      <c r="S1493" s="12"/>
      <c r="T1493" s="12"/>
      <c r="U1493" s="12"/>
      <c r="V1493" s="12"/>
      <c r="W1493" s="12"/>
      <c r="X1493" s="12"/>
      <c r="Y1493" s="12"/>
      <c r="Z1493" s="12"/>
      <c r="AA1493" s="12"/>
      <c r="AB1493" s="12"/>
      <c r="AC1493" s="12"/>
      <c r="AD1493" s="12"/>
      <c r="AE1493" s="12"/>
      <c r="AF1493" s="12"/>
      <c r="AG1493" s="12"/>
      <c r="AH1493" s="12"/>
      <c r="AI1493" s="12"/>
      <c r="AJ1493" s="12"/>
      <c r="AK1493" s="12"/>
      <c r="AL1493" s="12"/>
      <c r="AM1493" s="12"/>
      <c r="AN1493" s="12"/>
      <c r="AO1493" s="12"/>
      <c r="AP1493" s="12"/>
      <c r="AQ1493" s="12"/>
      <c r="AR1493" s="12"/>
      <c r="AS1493" s="12"/>
      <c r="AT1493" s="12"/>
      <c r="AU1493" s="12"/>
      <c r="AV1493" s="12"/>
      <c r="AW1493" s="12"/>
      <c r="AX1493" s="12"/>
      <c r="AY1493" s="12"/>
      <c r="AZ1493" s="12"/>
      <c r="BA1493" s="12"/>
      <c r="BB1493" s="12"/>
      <c r="BC1493" s="12"/>
      <c r="BD1493" s="12"/>
      <c r="BE1493" s="12"/>
      <c r="BF1493" s="12"/>
      <c r="BG1493" s="12"/>
      <c r="BH1493" s="12"/>
      <c r="BI1493" s="12"/>
      <c r="BJ1493" s="12"/>
      <c r="BK1493" s="12"/>
      <c r="BL1493" s="12"/>
      <c r="BM1493" s="12"/>
      <c r="BN1493" s="12"/>
      <c r="BO1493" s="12"/>
      <c r="BP1493" s="12"/>
      <c r="BQ1493" s="12"/>
      <c r="BR1493" s="12"/>
      <c r="BS1493" s="12"/>
      <c r="BT1493" s="12"/>
    </row>
    <row r="1494" spans="1:72">
      <c r="A1494" s="2" t="s">
        <v>28696</v>
      </c>
      <c r="B1494" s="5" t="s">
        <v>28701</v>
      </c>
      <c r="C1494" s="3" t="s">
        <v>28697</v>
      </c>
      <c r="D1494" s="4" t="s">
        <v>138</v>
      </c>
      <c r="E1494" s="15" t="s">
        <v>668</v>
      </c>
      <c r="F1494" s="15" t="s">
        <v>200</v>
      </c>
      <c r="G1494" s="15" t="s">
        <v>162</v>
      </c>
      <c r="H1494" s="7">
        <v>39</v>
      </c>
      <c r="I1494" s="6" t="s">
        <v>28709</v>
      </c>
      <c r="J1494" s="6" t="s">
        <v>38373</v>
      </c>
      <c r="K1494" s="6" t="s">
        <v>37979</v>
      </c>
      <c r="L1494" s="6" t="s">
        <v>43274</v>
      </c>
      <c r="M1494" s="6" t="s">
        <v>37843</v>
      </c>
      <c r="N1494" s="6" t="s">
        <v>42820</v>
      </c>
      <c r="O1494" s="6" t="s">
        <v>44818</v>
      </c>
      <c r="P1494" s="6" t="s">
        <v>42182</v>
      </c>
      <c r="Q1494" s="6" t="s">
        <v>38411</v>
      </c>
      <c r="R1494" s="6" t="s">
        <v>41793</v>
      </c>
      <c r="S1494" s="6" t="s">
        <v>41828</v>
      </c>
      <c r="T1494" s="6" t="s">
        <v>40147</v>
      </c>
      <c r="U1494" s="6" t="s">
        <v>38232</v>
      </c>
      <c r="V1494" s="6" t="s">
        <v>38114</v>
      </c>
      <c r="W1494" s="6" t="s">
        <v>38318</v>
      </c>
      <c r="X1494" s="6" t="s">
        <v>37953</v>
      </c>
      <c r="Y1494" s="6" t="s">
        <v>44819</v>
      </c>
      <c r="Z1494" s="6" t="s">
        <v>41766</v>
      </c>
      <c r="AA1494" s="6" t="s">
        <v>38722</v>
      </c>
      <c r="AB1494" s="6" t="s">
        <v>41621</v>
      </c>
      <c r="AC1494" s="6" t="s">
        <v>38514</v>
      </c>
      <c r="AD1494" s="6" t="s">
        <v>37883</v>
      </c>
      <c r="AE1494" s="6" t="s">
        <v>40206</v>
      </c>
      <c r="AF1494" s="6" t="s">
        <v>38020</v>
      </c>
      <c r="AG1494" s="6" t="s">
        <v>44820</v>
      </c>
      <c r="AH1494" s="6" t="s">
        <v>44821</v>
      </c>
      <c r="AI1494" s="6" t="s">
        <v>38432</v>
      </c>
      <c r="AJ1494" s="6" t="s">
        <v>39294</v>
      </c>
      <c r="AK1494" s="6" t="s">
        <v>40211</v>
      </c>
      <c r="AL1494" s="6" t="s">
        <v>39990</v>
      </c>
      <c r="AM1494" s="6" t="s">
        <v>37781</v>
      </c>
      <c r="AN1494" s="6" t="s">
        <v>37805</v>
      </c>
      <c r="AO1494" s="6" t="s">
        <v>42189</v>
      </c>
      <c r="AP1494" s="6" t="s">
        <v>38479</v>
      </c>
      <c r="AQ1494" s="6" t="s">
        <v>37783</v>
      </c>
      <c r="AR1494" s="6" t="s">
        <v>39143</v>
      </c>
      <c r="AS1494" s="6" t="s">
        <v>41146</v>
      </c>
      <c r="AT1494" s="6" t="s">
        <v>38582</v>
      </c>
      <c r="AU1494" s="6" t="s">
        <v>37976</v>
      </c>
      <c r="AV1494" s="6" t="s">
        <v>37886</v>
      </c>
      <c r="AW1494" s="6"/>
      <c r="AX1494" s="6"/>
      <c r="AY1494" s="6"/>
      <c r="AZ1494" s="6"/>
      <c r="BA1494" s="6"/>
      <c r="BB1494" s="6"/>
      <c r="BC1494" s="6"/>
      <c r="BD1494" s="6"/>
      <c r="BE1494" s="6"/>
      <c r="BF1494" s="6"/>
      <c r="BG1494" s="6"/>
      <c r="BH1494" s="6"/>
      <c r="BI1494" s="6"/>
      <c r="BJ1494" s="6"/>
      <c r="BK1494" s="6"/>
      <c r="BL1494" s="6"/>
      <c r="BM1494" s="6"/>
      <c r="BN1494" s="6"/>
      <c r="BO1494" s="6"/>
      <c r="BP1494" s="6"/>
      <c r="BQ1494" s="6"/>
      <c r="BR1494" s="6"/>
      <c r="BS1494" s="6"/>
      <c r="BT1494" s="6"/>
    </row>
    <row r="1495" spans="1:72">
      <c r="A1495" s="8" t="s">
        <v>28714</v>
      </c>
      <c r="B1495" s="11" t="s">
        <v>28718</v>
      </c>
      <c r="C1495" s="9" t="s">
        <v>138</v>
      </c>
      <c r="D1495" s="10" t="s">
        <v>28715</v>
      </c>
      <c r="E1495" s="28" t="s">
        <v>4466</v>
      </c>
      <c r="F1495" s="28" t="s">
        <v>426</v>
      </c>
      <c r="G1495" s="28" t="s">
        <v>162</v>
      </c>
      <c r="H1495" s="13">
        <v>5</v>
      </c>
      <c r="I1495" s="12" t="s">
        <v>28726</v>
      </c>
      <c r="J1495" s="12" t="s">
        <v>44822</v>
      </c>
      <c r="K1495" s="12" t="s">
        <v>40326</v>
      </c>
      <c r="L1495" s="12" t="s">
        <v>38770</v>
      </c>
      <c r="M1495" s="12" t="s">
        <v>38530</v>
      </c>
      <c r="N1495" s="12" t="s">
        <v>38821</v>
      </c>
      <c r="O1495" s="12"/>
      <c r="P1495" s="12"/>
      <c r="Q1495" s="12"/>
      <c r="R1495" s="12"/>
      <c r="S1495" s="12"/>
      <c r="T1495" s="12"/>
      <c r="U1495" s="12"/>
      <c r="V1495" s="12"/>
      <c r="W1495" s="12"/>
      <c r="X1495" s="12"/>
      <c r="Y1495" s="12"/>
      <c r="Z1495" s="12"/>
      <c r="AA1495" s="12"/>
      <c r="AB1495" s="12"/>
      <c r="AC1495" s="12"/>
      <c r="AD1495" s="12"/>
      <c r="AE1495" s="12"/>
      <c r="AF1495" s="12"/>
      <c r="AG1495" s="12"/>
      <c r="AH1495" s="12"/>
      <c r="AI1495" s="12"/>
      <c r="AJ1495" s="12"/>
      <c r="AK1495" s="12"/>
      <c r="AL1495" s="12"/>
      <c r="AM1495" s="12"/>
      <c r="AN1495" s="12"/>
      <c r="AO1495" s="12"/>
      <c r="AP1495" s="12"/>
      <c r="AQ1495" s="12"/>
      <c r="AR1495" s="12"/>
      <c r="AS1495" s="12"/>
      <c r="AT1495" s="12"/>
      <c r="AU1495" s="12"/>
      <c r="AV1495" s="12"/>
      <c r="AW1495" s="12"/>
      <c r="AX1495" s="12"/>
      <c r="AY1495" s="12"/>
      <c r="AZ1495" s="12"/>
      <c r="BA1495" s="12"/>
      <c r="BB1495" s="12"/>
      <c r="BC1495" s="12"/>
      <c r="BD1495" s="12"/>
      <c r="BE1495" s="12"/>
      <c r="BF1495" s="12"/>
      <c r="BG1495" s="12"/>
      <c r="BH1495" s="12"/>
      <c r="BI1495" s="12"/>
      <c r="BJ1495" s="12"/>
      <c r="BK1495" s="12"/>
      <c r="BL1495" s="12"/>
      <c r="BM1495" s="12"/>
      <c r="BN1495" s="12"/>
      <c r="BO1495" s="12"/>
      <c r="BP1495" s="12"/>
      <c r="BQ1495" s="12"/>
      <c r="BR1495" s="12"/>
      <c r="BS1495" s="12"/>
      <c r="BT1495" s="12"/>
    </row>
    <row r="1496" spans="1:72">
      <c r="A1496" s="2" t="s">
        <v>28729</v>
      </c>
      <c r="B1496" s="5" t="s">
        <v>28734</v>
      </c>
      <c r="C1496" s="3" t="s">
        <v>138</v>
      </c>
      <c r="D1496" s="4" t="s">
        <v>138</v>
      </c>
      <c r="E1496" s="15" t="s">
        <v>426</v>
      </c>
      <c r="F1496" s="15" t="s">
        <v>426</v>
      </c>
      <c r="G1496" s="15" t="s">
        <v>162</v>
      </c>
      <c r="H1496" s="7">
        <v>4</v>
      </c>
      <c r="I1496" s="6" t="s">
        <v>28740</v>
      </c>
      <c r="J1496" s="6" t="s">
        <v>38353</v>
      </c>
      <c r="K1496" s="6" t="s">
        <v>38569</v>
      </c>
      <c r="L1496" s="6" t="s">
        <v>37922</v>
      </c>
      <c r="M1496" s="6" t="s">
        <v>37883</v>
      </c>
      <c r="N1496" s="6"/>
      <c r="O1496" s="6"/>
      <c r="P1496" s="6"/>
      <c r="Q1496" s="6"/>
      <c r="R1496" s="6"/>
      <c r="S1496" s="6"/>
      <c r="T1496" s="6"/>
      <c r="U1496" s="6"/>
      <c r="V1496" s="6"/>
      <c r="W1496" s="6"/>
      <c r="X1496" s="6"/>
      <c r="Y1496" s="6"/>
      <c r="Z1496" s="6"/>
      <c r="AA1496" s="6"/>
      <c r="AB1496" s="6"/>
      <c r="AC1496" s="6"/>
      <c r="AD1496" s="6"/>
      <c r="AE1496" s="6"/>
      <c r="AF1496" s="6"/>
      <c r="AG1496" s="6"/>
      <c r="AH1496" s="6"/>
      <c r="AI1496" s="6"/>
      <c r="AJ1496" s="6"/>
      <c r="AK1496" s="6"/>
      <c r="AL1496" s="6"/>
      <c r="AM1496" s="6"/>
      <c r="AN1496" s="6"/>
      <c r="AO1496" s="6"/>
      <c r="AP1496" s="6"/>
      <c r="AQ1496" s="6"/>
      <c r="AR1496" s="6"/>
      <c r="AS1496" s="6"/>
      <c r="AT1496" s="6"/>
      <c r="AU1496" s="6"/>
      <c r="AV1496" s="6"/>
      <c r="AW1496" s="6"/>
      <c r="AX1496" s="6"/>
      <c r="AY1496" s="6"/>
      <c r="AZ1496" s="6"/>
      <c r="BA1496" s="6"/>
      <c r="BB1496" s="6"/>
      <c r="BC1496" s="6"/>
      <c r="BD1496" s="6"/>
      <c r="BE1496" s="6"/>
      <c r="BF1496" s="6"/>
      <c r="BG1496" s="6"/>
      <c r="BH1496" s="6"/>
      <c r="BI1496" s="6"/>
      <c r="BJ1496" s="6"/>
      <c r="BK1496" s="6"/>
      <c r="BL1496" s="6"/>
      <c r="BM1496" s="6"/>
      <c r="BN1496" s="6"/>
      <c r="BO1496" s="6"/>
      <c r="BP1496" s="6"/>
      <c r="BQ1496" s="6"/>
      <c r="BR1496" s="6"/>
      <c r="BS1496" s="6"/>
      <c r="BT1496" s="6"/>
    </row>
    <row r="1497" spans="1:72">
      <c r="A1497" s="8" t="s">
        <v>28743</v>
      </c>
      <c r="B1497" s="11" t="s">
        <v>28748</v>
      </c>
      <c r="C1497" s="9" t="s">
        <v>28744</v>
      </c>
      <c r="D1497" s="10" t="s">
        <v>138</v>
      </c>
      <c r="E1497" s="28" t="s">
        <v>1171</v>
      </c>
      <c r="F1497" s="28" t="s">
        <v>200</v>
      </c>
      <c r="G1497" s="28" t="s">
        <v>162</v>
      </c>
      <c r="H1497" s="13">
        <v>10</v>
      </c>
      <c r="I1497" s="12" t="s">
        <v>28759</v>
      </c>
      <c r="J1497" s="12" t="s">
        <v>38519</v>
      </c>
      <c r="K1497" s="12" t="s">
        <v>38520</v>
      </c>
      <c r="L1497" s="12" t="s">
        <v>41568</v>
      </c>
      <c r="M1497" s="12" t="s">
        <v>42182</v>
      </c>
      <c r="N1497" s="12" t="s">
        <v>37833</v>
      </c>
      <c r="O1497" s="12" t="s">
        <v>44823</v>
      </c>
      <c r="P1497" s="12" t="s">
        <v>39115</v>
      </c>
      <c r="Q1497" s="12" t="s">
        <v>42495</v>
      </c>
      <c r="R1497" s="12" t="s">
        <v>38200</v>
      </c>
      <c r="S1497" s="12" t="s">
        <v>37871</v>
      </c>
      <c r="T1497" s="12"/>
      <c r="U1497" s="12"/>
      <c r="V1497" s="12"/>
      <c r="W1497" s="12"/>
      <c r="X1497" s="12"/>
      <c r="Y1497" s="12"/>
      <c r="Z1497" s="12"/>
      <c r="AA1497" s="12"/>
      <c r="AB1497" s="12"/>
      <c r="AC1497" s="12"/>
      <c r="AD1497" s="12"/>
      <c r="AE1497" s="12"/>
      <c r="AF1497" s="12"/>
      <c r="AG1497" s="12"/>
      <c r="AH1497" s="12"/>
      <c r="AI1497" s="12"/>
      <c r="AJ1497" s="12"/>
      <c r="AK1497" s="12"/>
      <c r="AL1497" s="12"/>
      <c r="AM1497" s="12"/>
      <c r="AN1497" s="12"/>
      <c r="AO1497" s="12"/>
      <c r="AP1497" s="12"/>
      <c r="AQ1497" s="12"/>
      <c r="AR1497" s="12"/>
      <c r="AS1497" s="12"/>
      <c r="AT1497" s="12"/>
      <c r="AU1497" s="12"/>
      <c r="AV1497" s="12"/>
      <c r="AW1497" s="12"/>
      <c r="AX1497" s="12"/>
      <c r="AY1497" s="12"/>
      <c r="AZ1497" s="12"/>
      <c r="BA1497" s="12"/>
      <c r="BB1497" s="12"/>
      <c r="BC1497" s="12"/>
      <c r="BD1497" s="12"/>
      <c r="BE1497" s="12"/>
      <c r="BF1497" s="12"/>
      <c r="BG1497" s="12"/>
      <c r="BH1497" s="12"/>
      <c r="BI1497" s="12"/>
      <c r="BJ1497" s="12"/>
      <c r="BK1497" s="12"/>
      <c r="BL1497" s="12"/>
      <c r="BM1497" s="12"/>
      <c r="BN1497" s="12"/>
      <c r="BO1497" s="12"/>
      <c r="BP1497" s="12"/>
      <c r="BQ1497" s="12"/>
      <c r="BR1497" s="12"/>
      <c r="BS1497" s="12"/>
      <c r="BT1497" s="12"/>
    </row>
    <row r="1498" spans="1:72">
      <c r="A1498" s="2" t="s">
        <v>28764</v>
      </c>
      <c r="B1498" s="5" t="s">
        <v>28768</v>
      </c>
      <c r="C1498" s="3" t="s">
        <v>138</v>
      </c>
      <c r="D1498" s="4" t="s">
        <v>138</v>
      </c>
      <c r="E1498" s="15" t="s">
        <v>1294</v>
      </c>
      <c r="F1498" s="15" t="s">
        <v>864</v>
      </c>
      <c r="G1498" s="15" t="s">
        <v>162</v>
      </c>
      <c r="H1498" s="7">
        <v>15</v>
      </c>
      <c r="I1498" s="6" t="s">
        <v>28776</v>
      </c>
      <c r="J1498" s="6" t="s">
        <v>44824</v>
      </c>
      <c r="K1498" s="6" t="s">
        <v>42426</v>
      </c>
      <c r="L1498" s="6" t="s">
        <v>39434</v>
      </c>
      <c r="M1498" s="6" t="s">
        <v>43633</v>
      </c>
      <c r="N1498" s="6" t="s">
        <v>44825</v>
      </c>
      <c r="O1498" s="6" t="s">
        <v>38514</v>
      </c>
      <c r="P1498" s="6" t="s">
        <v>38097</v>
      </c>
      <c r="Q1498" s="6" t="s">
        <v>39392</v>
      </c>
      <c r="R1498" s="6" t="s">
        <v>38131</v>
      </c>
      <c r="S1498" s="6" t="s">
        <v>41420</v>
      </c>
      <c r="T1498" s="6" t="s">
        <v>38065</v>
      </c>
      <c r="U1498" s="6" t="s">
        <v>39990</v>
      </c>
      <c r="V1498" s="6" t="s">
        <v>37781</v>
      </c>
      <c r="W1498" s="6" t="s">
        <v>44826</v>
      </c>
      <c r="X1498" s="6" t="s">
        <v>39651</v>
      </c>
      <c r="Y1498" s="6"/>
      <c r="Z1498" s="6"/>
      <c r="AA1498" s="6"/>
      <c r="AB1498" s="6"/>
      <c r="AC1498" s="6"/>
      <c r="AD1498" s="6"/>
      <c r="AE1498" s="6"/>
      <c r="AF1498" s="6"/>
      <c r="AG1498" s="6"/>
      <c r="AH1498" s="6"/>
      <c r="AI1498" s="6"/>
      <c r="AJ1498" s="6"/>
      <c r="AK1498" s="6"/>
      <c r="AL1498" s="6"/>
      <c r="AM1498" s="6"/>
      <c r="AN1498" s="6"/>
      <c r="AO1498" s="6"/>
      <c r="AP1498" s="6"/>
      <c r="AQ1498" s="6"/>
      <c r="AR1498" s="6"/>
      <c r="AS1498" s="6"/>
      <c r="AT1498" s="6"/>
      <c r="AU1498" s="6"/>
      <c r="AV1498" s="6"/>
      <c r="AW1498" s="6"/>
      <c r="AX1498" s="6"/>
      <c r="AY1498" s="6"/>
      <c r="AZ1498" s="6"/>
      <c r="BA1498" s="6"/>
      <c r="BB1498" s="6"/>
      <c r="BC1498" s="6"/>
      <c r="BD1498" s="6"/>
      <c r="BE1498" s="6"/>
      <c r="BF1498" s="6"/>
      <c r="BG1498" s="6"/>
      <c r="BH1498" s="6"/>
      <c r="BI1498" s="6"/>
      <c r="BJ1498" s="6"/>
      <c r="BK1498" s="6"/>
      <c r="BL1498" s="6"/>
      <c r="BM1498" s="6"/>
      <c r="BN1498" s="6"/>
      <c r="BO1498" s="6"/>
      <c r="BP1498" s="6"/>
      <c r="BQ1498" s="6"/>
      <c r="BR1498" s="6"/>
      <c r="BS1498" s="6"/>
      <c r="BT1498" s="6"/>
    </row>
    <row r="1499" spans="1:72">
      <c r="A1499" s="8" t="s">
        <v>28779</v>
      </c>
      <c r="B1499" s="11" t="s">
        <v>28784</v>
      </c>
      <c r="C1499" s="9" t="s">
        <v>138</v>
      </c>
      <c r="D1499" s="10" t="s">
        <v>138</v>
      </c>
      <c r="E1499" s="28" t="s">
        <v>668</v>
      </c>
      <c r="F1499" s="28" t="s">
        <v>200</v>
      </c>
      <c r="G1499" s="28" t="s">
        <v>162</v>
      </c>
      <c r="H1499" s="13">
        <v>10</v>
      </c>
      <c r="I1499" s="12" t="s">
        <v>28788</v>
      </c>
      <c r="J1499" s="12" t="s">
        <v>36284</v>
      </c>
      <c r="K1499" s="12" t="s">
        <v>38520</v>
      </c>
      <c r="L1499" s="12" t="s">
        <v>43083</v>
      </c>
      <c r="M1499" s="12" t="s">
        <v>38075</v>
      </c>
      <c r="N1499" s="12" t="s">
        <v>38113</v>
      </c>
      <c r="O1499" s="12" t="s">
        <v>38179</v>
      </c>
      <c r="P1499" s="12" t="s">
        <v>44827</v>
      </c>
      <c r="Q1499" s="12" t="s">
        <v>37781</v>
      </c>
      <c r="R1499" s="12" t="s">
        <v>41858</v>
      </c>
      <c r="S1499" s="12" t="s">
        <v>41859</v>
      </c>
      <c r="T1499" s="12"/>
      <c r="U1499" s="12"/>
      <c r="V1499" s="12"/>
      <c r="W1499" s="12"/>
      <c r="X1499" s="12"/>
      <c r="Y1499" s="12"/>
      <c r="Z1499" s="12"/>
      <c r="AA1499" s="12"/>
      <c r="AB1499" s="12"/>
      <c r="AC1499" s="12"/>
      <c r="AD1499" s="12"/>
      <c r="AE1499" s="12"/>
      <c r="AF1499" s="12"/>
      <c r="AG1499" s="12"/>
      <c r="AH1499" s="12"/>
      <c r="AI1499" s="12"/>
      <c r="AJ1499" s="12"/>
      <c r="AK1499" s="12"/>
      <c r="AL1499" s="12"/>
      <c r="AM1499" s="12"/>
      <c r="AN1499" s="12"/>
      <c r="AO1499" s="12"/>
      <c r="AP1499" s="12"/>
      <c r="AQ1499" s="12"/>
      <c r="AR1499" s="12"/>
      <c r="AS1499" s="12"/>
      <c r="AT1499" s="12"/>
      <c r="AU1499" s="12"/>
      <c r="AV1499" s="12"/>
      <c r="AW1499" s="12"/>
      <c r="AX1499" s="12"/>
      <c r="AY1499" s="12"/>
      <c r="AZ1499" s="12"/>
      <c r="BA1499" s="12"/>
      <c r="BB1499" s="12"/>
      <c r="BC1499" s="12"/>
      <c r="BD1499" s="12"/>
      <c r="BE1499" s="12"/>
      <c r="BF1499" s="12"/>
      <c r="BG1499" s="12"/>
      <c r="BH1499" s="12"/>
      <c r="BI1499" s="12"/>
      <c r="BJ1499" s="12"/>
      <c r="BK1499" s="12"/>
      <c r="BL1499" s="12"/>
      <c r="BM1499" s="12"/>
      <c r="BN1499" s="12"/>
      <c r="BO1499" s="12"/>
      <c r="BP1499" s="12"/>
      <c r="BQ1499" s="12"/>
      <c r="BR1499" s="12"/>
      <c r="BS1499" s="12"/>
      <c r="BT1499" s="12"/>
    </row>
    <row r="1500" spans="1:72">
      <c r="A1500" s="2" t="s">
        <v>28791</v>
      </c>
      <c r="B1500" s="5" t="s">
        <v>28797</v>
      </c>
      <c r="C1500" s="3" t="s">
        <v>28792</v>
      </c>
      <c r="D1500" s="4" t="s">
        <v>138</v>
      </c>
      <c r="E1500" s="15" t="s">
        <v>28806</v>
      </c>
      <c r="F1500" s="15" t="s">
        <v>138</v>
      </c>
      <c r="G1500" s="15" t="s">
        <v>28808</v>
      </c>
      <c r="H1500" s="7">
        <v>5</v>
      </c>
      <c r="I1500" s="6" t="s">
        <v>28811</v>
      </c>
      <c r="J1500" s="6" t="s">
        <v>44828</v>
      </c>
      <c r="K1500" s="6" t="s">
        <v>44829</v>
      </c>
      <c r="L1500" s="6" t="s">
        <v>39404</v>
      </c>
      <c r="M1500" s="6" t="s">
        <v>43282</v>
      </c>
      <c r="N1500" s="6" t="s">
        <v>38065</v>
      </c>
      <c r="O1500" s="6"/>
      <c r="P1500" s="6"/>
      <c r="Q1500" s="6"/>
      <c r="R1500" s="6"/>
      <c r="S1500" s="6"/>
      <c r="T1500" s="6"/>
      <c r="U1500" s="6"/>
      <c r="V1500" s="6"/>
      <c r="W1500" s="6"/>
      <c r="X1500" s="6"/>
      <c r="Y1500" s="6"/>
      <c r="Z1500" s="6"/>
      <c r="AA1500" s="6"/>
      <c r="AB1500" s="6"/>
      <c r="AC1500" s="6"/>
      <c r="AD1500" s="6"/>
      <c r="AE1500" s="6"/>
      <c r="AF1500" s="6"/>
      <c r="AG1500" s="6"/>
      <c r="AH1500" s="6"/>
      <c r="AI1500" s="6"/>
      <c r="AJ1500" s="6"/>
      <c r="AK1500" s="6"/>
      <c r="AL1500" s="6"/>
      <c r="AM1500" s="6"/>
      <c r="AN1500" s="6"/>
      <c r="AO1500" s="6"/>
      <c r="AP1500" s="6"/>
      <c r="AQ1500" s="6"/>
      <c r="AR1500" s="6"/>
      <c r="AS1500" s="6"/>
      <c r="AT1500" s="6"/>
      <c r="AU1500" s="6"/>
      <c r="AV1500" s="6"/>
      <c r="AW1500" s="6"/>
      <c r="AX1500" s="6"/>
      <c r="AY1500" s="6"/>
      <c r="AZ1500" s="6"/>
      <c r="BA1500" s="6"/>
      <c r="BB1500" s="6"/>
      <c r="BC1500" s="6"/>
      <c r="BD1500" s="6"/>
      <c r="BE1500" s="6"/>
      <c r="BF1500" s="6"/>
      <c r="BG1500" s="6"/>
      <c r="BH1500" s="6"/>
      <c r="BI1500" s="6"/>
      <c r="BJ1500" s="6"/>
      <c r="BK1500" s="6"/>
      <c r="BL1500" s="6"/>
      <c r="BM1500" s="6"/>
      <c r="BN1500" s="6"/>
      <c r="BO1500" s="6"/>
      <c r="BP1500" s="6"/>
      <c r="BQ1500" s="6"/>
      <c r="BR1500" s="6"/>
      <c r="BS1500" s="6"/>
      <c r="BT1500" s="6"/>
    </row>
    <row r="1501" spans="1:72">
      <c r="A1501" s="8" t="s">
        <v>28814</v>
      </c>
      <c r="B1501" s="11" t="s">
        <v>28819</v>
      </c>
      <c r="C1501" s="9" t="s">
        <v>28815</v>
      </c>
      <c r="D1501" s="10" t="s">
        <v>138</v>
      </c>
      <c r="E1501" s="28" t="s">
        <v>668</v>
      </c>
      <c r="F1501" s="28" t="s">
        <v>200</v>
      </c>
      <c r="G1501" s="28" t="s">
        <v>162</v>
      </c>
      <c r="H1501" s="13">
        <v>23</v>
      </c>
      <c r="I1501" s="12" t="s">
        <v>28828</v>
      </c>
      <c r="J1501" s="12" t="s">
        <v>44830</v>
      </c>
      <c r="K1501" s="12" t="s">
        <v>42075</v>
      </c>
      <c r="L1501" s="12" t="s">
        <v>42889</v>
      </c>
      <c r="M1501" s="12" t="s">
        <v>44831</v>
      </c>
      <c r="N1501" s="12" t="s">
        <v>44832</v>
      </c>
      <c r="O1501" s="12" t="s">
        <v>44833</v>
      </c>
      <c r="P1501" s="12" t="s">
        <v>38012</v>
      </c>
      <c r="Q1501" s="12" t="s">
        <v>44834</v>
      </c>
      <c r="R1501" s="12" t="s">
        <v>41367</v>
      </c>
      <c r="S1501" s="12" t="s">
        <v>44835</v>
      </c>
      <c r="T1501" s="12" t="s">
        <v>40229</v>
      </c>
      <c r="U1501" s="12" t="s">
        <v>38334</v>
      </c>
      <c r="V1501" s="12" t="s">
        <v>38063</v>
      </c>
      <c r="W1501" s="12" t="s">
        <v>41420</v>
      </c>
      <c r="X1501" s="12" t="s">
        <v>38065</v>
      </c>
      <c r="Y1501" s="12" t="s">
        <v>39295</v>
      </c>
      <c r="Z1501" s="12" t="s">
        <v>38225</v>
      </c>
      <c r="AA1501" s="12" t="s">
        <v>38294</v>
      </c>
      <c r="AB1501" s="12" t="s">
        <v>39071</v>
      </c>
      <c r="AC1501" s="12" t="s">
        <v>38143</v>
      </c>
      <c r="AD1501" s="12" t="s">
        <v>40600</v>
      </c>
      <c r="AE1501" s="12" t="s">
        <v>40644</v>
      </c>
      <c r="AF1501" s="12" t="s">
        <v>39626</v>
      </c>
      <c r="AG1501" s="12"/>
      <c r="AH1501" s="12"/>
      <c r="AI1501" s="12"/>
      <c r="AJ1501" s="12"/>
      <c r="AK1501" s="12"/>
      <c r="AL1501" s="12"/>
      <c r="AM1501" s="12"/>
      <c r="AN1501" s="12"/>
      <c r="AO1501" s="12"/>
      <c r="AP1501" s="12"/>
      <c r="AQ1501" s="12"/>
      <c r="AR1501" s="12"/>
      <c r="AS1501" s="12"/>
      <c r="AT1501" s="12"/>
      <c r="AU1501" s="12"/>
      <c r="AV1501" s="12"/>
      <c r="AW1501" s="12"/>
      <c r="AX1501" s="12"/>
      <c r="AY1501" s="12"/>
      <c r="AZ1501" s="12"/>
      <c r="BA1501" s="12"/>
      <c r="BB1501" s="12"/>
      <c r="BC1501" s="12"/>
      <c r="BD1501" s="12"/>
      <c r="BE1501" s="12"/>
      <c r="BF1501" s="12"/>
      <c r="BG1501" s="12"/>
      <c r="BH1501" s="12"/>
      <c r="BI1501" s="12"/>
      <c r="BJ1501" s="12"/>
      <c r="BK1501" s="12"/>
      <c r="BL1501" s="12"/>
      <c r="BM1501" s="12"/>
      <c r="BN1501" s="12"/>
      <c r="BO1501" s="12"/>
      <c r="BP1501" s="12"/>
      <c r="BQ1501" s="12"/>
      <c r="BR1501" s="12"/>
      <c r="BS1501" s="12"/>
      <c r="BT1501" s="12"/>
    </row>
    <row r="1502" spans="1:72">
      <c r="A1502" s="2" t="s">
        <v>28832</v>
      </c>
      <c r="B1502" s="5" t="s">
        <v>28835</v>
      </c>
      <c r="C1502" s="3" t="s">
        <v>138</v>
      </c>
      <c r="D1502" s="4" t="s">
        <v>138</v>
      </c>
      <c r="E1502" s="15" t="s">
        <v>499</v>
      </c>
      <c r="F1502" s="15" t="s">
        <v>28842</v>
      </c>
      <c r="G1502" s="15" t="s">
        <v>450</v>
      </c>
      <c r="H1502" s="7">
        <v>3</v>
      </c>
      <c r="I1502" s="6" t="s">
        <v>28847</v>
      </c>
      <c r="J1502" s="6" t="s">
        <v>16877</v>
      </c>
      <c r="K1502" s="6" t="s">
        <v>44836</v>
      </c>
      <c r="L1502" s="6" t="s">
        <v>44837</v>
      </c>
      <c r="M1502" s="6"/>
      <c r="N1502" s="6"/>
      <c r="O1502" s="6"/>
      <c r="P1502" s="6"/>
      <c r="Q1502" s="6"/>
      <c r="R1502" s="6"/>
      <c r="S1502" s="6"/>
      <c r="T1502" s="6"/>
      <c r="U1502" s="6"/>
      <c r="V1502" s="6"/>
      <c r="W1502" s="6"/>
      <c r="X1502" s="6"/>
      <c r="Y1502" s="6"/>
      <c r="Z1502" s="6"/>
      <c r="AA1502" s="6"/>
      <c r="AB1502" s="6"/>
      <c r="AC1502" s="6"/>
      <c r="AD1502" s="6"/>
      <c r="AE1502" s="6"/>
      <c r="AF1502" s="6"/>
      <c r="AG1502" s="6"/>
      <c r="AH1502" s="6"/>
      <c r="AI1502" s="6"/>
      <c r="AJ1502" s="6"/>
      <c r="AK1502" s="6"/>
      <c r="AL1502" s="6"/>
      <c r="AM1502" s="6"/>
      <c r="AN1502" s="6"/>
      <c r="AO1502" s="6"/>
      <c r="AP1502" s="6"/>
      <c r="AQ1502" s="6"/>
      <c r="AR1502" s="6"/>
      <c r="AS1502" s="6"/>
      <c r="AT1502" s="6"/>
      <c r="AU1502" s="6"/>
      <c r="AV1502" s="6"/>
      <c r="AW1502" s="6"/>
      <c r="AX1502" s="6"/>
      <c r="AY1502" s="6"/>
      <c r="AZ1502" s="6"/>
      <c r="BA1502" s="6"/>
      <c r="BB1502" s="6"/>
      <c r="BC1502" s="6"/>
      <c r="BD1502" s="6"/>
      <c r="BE1502" s="6"/>
      <c r="BF1502" s="6"/>
      <c r="BG1502" s="6"/>
      <c r="BH1502" s="6"/>
      <c r="BI1502" s="6"/>
      <c r="BJ1502" s="6"/>
      <c r="BK1502" s="6"/>
      <c r="BL1502" s="6"/>
      <c r="BM1502" s="6"/>
      <c r="BN1502" s="6"/>
      <c r="BO1502" s="6"/>
      <c r="BP1502" s="6"/>
      <c r="BQ1502" s="6"/>
      <c r="BR1502" s="6"/>
      <c r="BS1502" s="6"/>
      <c r="BT1502" s="6"/>
    </row>
    <row r="1503" spans="1:72">
      <c r="A1503" s="8" t="s">
        <v>28850</v>
      </c>
      <c r="B1503" s="11" t="s">
        <v>28855</v>
      </c>
      <c r="C1503" s="9" t="s">
        <v>138</v>
      </c>
      <c r="D1503" s="10" t="s">
        <v>138</v>
      </c>
      <c r="E1503" s="28" t="s">
        <v>426</v>
      </c>
      <c r="F1503" s="28" t="s">
        <v>426</v>
      </c>
      <c r="G1503" s="28" t="s">
        <v>162</v>
      </c>
      <c r="H1503" s="13">
        <v>13</v>
      </c>
      <c r="I1503" s="12" t="s">
        <v>28863</v>
      </c>
      <c r="J1503" s="12" t="s">
        <v>39545</v>
      </c>
      <c r="K1503" s="12" t="s">
        <v>37936</v>
      </c>
      <c r="L1503" s="12" t="s">
        <v>40679</v>
      </c>
      <c r="M1503" s="12" t="s">
        <v>38297</v>
      </c>
      <c r="N1503" s="12" t="s">
        <v>39133</v>
      </c>
      <c r="O1503" s="12" t="s">
        <v>38990</v>
      </c>
      <c r="P1503" s="12" t="s">
        <v>39116</v>
      </c>
      <c r="Q1503" s="12" t="s">
        <v>44838</v>
      </c>
      <c r="R1503" s="12" t="s">
        <v>42486</v>
      </c>
      <c r="S1503" s="12" t="s">
        <v>44839</v>
      </c>
      <c r="T1503" s="12" t="s">
        <v>38371</v>
      </c>
      <c r="U1503" s="12" t="s">
        <v>38143</v>
      </c>
      <c r="V1503" s="12" t="s">
        <v>44840</v>
      </c>
      <c r="W1503" s="12"/>
      <c r="X1503" s="12"/>
      <c r="Y1503" s="12"/>
      <c r="Z1503" s="12"/>
      <c r="AA1503" s="12"/>
      <c r="AB1503" s="12"/>
      <c r="AC1503" s="12"/>
      <c r="AD1503" s="12"/>
      <c r="AE1503" s="12"/>
      <c r="AF1503" s="12"/>
      <c r="AG1503" s="12"/>
      <c r="AH1503" s="12"/>
      <c r="AI1503" s="12"/>
      <c r="AJ1503" s="12"/>
      <c r="AK1503" s="12"/>
      <c r="AL1503" s="12"/>
      <c r="AM1503" s="12"/>
      <c r="AN1503" s="12"/>
      <c r="AO1503" s="12"/>
      <c r="AP1503" s="12"/>
      <c r="AQ1503" s="12"/>
      <c r="AR1503" s="12"/>
      <c r="AS1503" s="12"/>
      <c r="AT1503" s="12"/>
      <c r="AU1503" s="12"/>
      <c r="AV1503" s="12"/>
      <c r="AW1503" s="12"/>
      <c r="AX1503" s="12"/>
      <c r="AY1503" s="12"/>
      <c r="AZ1503" s="12"/>
      <c r="BA1503" s="12"/>
      <c r="BB1503" s="12"/>
      <c r="BC1503" s="12"/>
      <c r="BD1503" s="12"/>
      <c r="BE1503" s="12"/>
      <c r="BF1503" s="12"/>
      <c r="BG1503" s="12"/>
      <c r="BH1503" s="12"/>
      <c r="BI1503" s="12"/>
      <c r="BJ1503" s="12"/>
      <c r="BK1503" s="12"/>
      <c r="BL1503" s="12"/>
      <c r="BM1503" s="12"/>
      <c r="BN1503" s="12"/>
      <c r="BO1503" s="12"/>
      <c r="BP1503" s="12"/>
      <c r="BQ1503" s="12"/>
      <c r="BR1503" s="12"/>
      <c r="BS1503" s="12"/>
      <c r="BT1503" s="12"/>
    </row>
    <row r="1504" spans="1:72">
      <c r="A1504" s="2" t="s">
        <v>28870</v>
      </c>
      <c r="B1504" s="5" t="s">
        <v>28874</v>
      </c>
      <c r="C1504" s="3" t="s">
        <v>138</v>
      </c>
      <c r="D1504" s="4" t="s">
        <v>138</v>
      </c>
      <c r="E1504" s="15" t="s">
        <v>668</v>
      </c>
      <c r="F1504" s="15" t="s">
        <v>200</v>
      </c>
      <c r="G1504" s="15" t="s">
        <v>162</v>
      </c>
      <c r="H1504" s="7">
        <v>18</v>
      </c>
      <c r="I1504" s="6" t="s">
        <v>28882</v>
      </c>
      <c r="J1504" s="6" t="s">
        <v>40432</v>
      </c>
      <c r="K1504" s="6" t="s">
        <v>38209</v>
      </c>
      <c r="L1504" s="6" t="s">
        <v>42359</v>
      </c>
      <c r="M1504" s="6" t="s">
        <v>42505</v>
      </c>
      <c r="N1504" s="6" t="s">
        <v>41528</v>
      </c>
      <c r="O1504" s="6" t="s">
        <v>37922</v>
      </c>
      <c r="P1504" s="6" t="s">
        <v>40206</v>
      </c>
      <c r="Q1504" s="6" t="s">
        <v>39360</v>
      </c>
      <c r="R1504" s="6" t="s">
        <v>40606</v>
      </c>
      <c r="S1504" s="6" t="s">
        <v>40272</v>
      </c>
      <c r="T1504" s="6" t="s">
        <v>40208</v>
      </c>
      <c r="U1504" s="6" t="s">
        <v>37998</v>
      </c>
      <c r="V1504" s="6" t="s">
        <v>38184</v>
      </c>
      <c r="W1504" s="6" t="s">
        <v>43238</v>
      </c>
      <c r="X1504" s="6" t="s">
        <v>42015</v>
      </c>
      <c r="Y1504" s="6" t="s">
        <v>37781</v>
      </c>
      <c r="Z1504" s="6" t="s">
        <v>42000</v>
      </c>
      <c r="AA1504" s="6" t="s">
        <v>44841</v>
      </c>
      <c r="AB1504" s="6"/>
      <c r="AC1504" s="6"/>
      <c r="AD1504" s="6"/>
      <c r="AE1504" s="6"/>
      <c r="AF1504" s="6"/>
      <c r="AG1504" s="6"/>
      <c r="AH1504" s="6"/>
      <c r="AI1504" s="6"/>
      <c r="AJ1504" s="6"/>
      <c r="AK1504" s="6"/>
      <c r="AL1504" s="6"/>
      <c r="AM1504" s="6"/>
      <c r="AN1504" s="6"/>
      <c r="AO1504" s="6"/>
      <c r="AP1504" s="6"/>
      <c r="AQ1504" s="6"/>
      <c r="AR1504" s="6"/>
      <c r="AS1504" s="6"/>
      <c r="AT1504" s="6"/>
      <c r="AU1504" s="6"/>
      <c r="AV1504" s="6"/>
      <c r="AW1504" s="6"/>
      <c r="AX1504" s="6"/>
      <c r="AY1504" s="6"/>
      <c r="AZ1504" s="6"/>
      <c r="BA1504" s="6"/>
      <c r="BB1504" s="6"/>
      <c r="BC1504" s="6"/>
      <c r="BD1504" s="6"/>
      <c r="BE1504" s="6"/>
      <c r="BF1504" s="6"/>
      <c r="BG1504" s="6"/>
      <c r="BH1504" s="6"/>
      <c r="BI1504" s="6"/>
      <c r="BJ1504" s="6"/>
      <c r="BK1504" s="6"/>
      <c r="BL1504" s="6"/>
      <c r="BM1504" s="6"/>
      <c r="BN1504" s="6"/>
      <c r="BO1504" s="6"/>
      <c r="BP1504" s="6"/>
      <c r="BQ1504" s="6"/>
      <c r="BR1504" s="6"/>
      <c r="BS1504" s="6"/>
      <c r="BT1504" s="6"/>
    </row>
    <row r="1505" spans="1:72">
      <c r="A1505" s="8" t="s">
        <v>28885</v>
      </c>
      <c r="B1505" s="11" t="s">
        <v>28890</v>
      </c>
      <c r="C1505" s="9" t="s">
        <v>28886</v>
      </c>
      <c r="D1505" s="10" t="s">
        <v>28887</v>
      </c>
      <c r="E1505" s="28" t="s">
        <v>1294</v>
      </c>
      <c r="F1505" s="28" t="s">
        <v>864</v>
      </c>
      <c r="G1505" s="28" t="s">
        <v>162</v>
      </c>
      <c r="H1505" s="13">
        <v>5</v>
      </c>
      <c r="I1505" s="12" t="s">
        <v>28899</v>
      </c>
      <c r="J1505" s="12" t="s">
        <v>44842</v>
      </c>
      <c r="K1505" s="12" t="s">
        <v>44843</v>
      </c>
      <c r="L1505" s="12" t="s">
        <v>44844</v>
      </c>
      <c r="M1505" s="12" t="s">
        <v>37781</v>
      </c>
      <c r="N1505" s="12" t="s">
        <v>44381</v>
      </c>
      <c r="O1505" s="12"/>
      <c r="P1505" s="12"/>
      <c r="Q1505" s="12"/>
      <c r="R1505" s="12"/>
      <c r="S1505" s="12"/>
      <c r="T1505" s="12"/>
      <c r="U1505" s="12"/>
      <c r="V1505" s="12"/>
      <c r="W1505" s="12"/>
      <c r="X1505" s="12"/>
      <c r="Y1505" s="12"/>
      <c r="Z1505" s="12"/>
      <c r="AA1505" s="12"/>
      <c r="AB1505" s="12"/>
      <c r="AC1505" s="12"/>
      <c r="AD1505" s="12"/>
      <c r="AE1505" s="12"/>
      <c r="AF1505" s="12"/>
      <c r="AG1505" s="12"/>
      <c r="AH1505" s="12"/>
      <c r="AI1505" s="12"/>
      <c r="AJ1505" s="12"/>
      <c r="AK1505" s="12"/>
      <c r="AL1505" s="12"/>
      <c r="AM1505" s="12"/>
      <c r="AN1505" s="12"/>
      <c r="AO1505" s="12"/>
      <c r="AP1505" s="12"/>
      <c r="AQ1505" s="12"/>
      <c r="AR1505" s="12"/>
      <c r="AS1505" s="12"/>
      <c r="AT1505" s="12"/>
      <c r="AU1505" s="12"/>
      <c r="AV1505" s="12"/>
      <c r="AW1505" s="12"/>
      <c r="AX1505" s="12"/>
      <c r="AY1505" s="12"/>
      <c r="AZ1505" s="12"/>
      <c r="BA1505" s="12"/>
      <c r="BB1505" s="12"/>
      <c r="BC1505" s="12"/>
      <c r="BD1505" s="12"/>
      <c r="BE1505" s="12"/>
      <c r="BF1505" s="12"/>
      <c r="BG1505" s="12"/>
      <c r="BH1505" s="12"/>
      <c r="BI1505" s="12"/>
      <c r="BJ1505" s="12"/>
      <c r="BK1505" s="12"/>
      <c r="BL1505" s="12"/>
      <c r="BM1505" s="12"/>
      <c r="BN1505" s="12"/>
      <c r="BO1505" s="12"/>
      <c r="BP1505" s="12"/>
      <c r="BQ1505" s="12"/>
      <c r="BR1505" s="12"/>
      <c r="BS1505" s="12"/>
      <c r="BT1505" s="12"/>
    </row>
    <row r="1506" spans="1:72">
      <c r="A1506" s="2" t="s">
        <v>28902</v>
      </c>
      <c r="B1506" s="5" t="s">
        <v>28907</v>
      </c>
      <c r="C1506" s="3" t="s">
        <v>28903</v>
      </c>
      <c r="D1506" s="4" t="s">
        <v>138</v>
      </c>
      <c r="E1506" s="15" t="s">
        <v>3820</v>
      </c>
      <c r="F1506" s="15" t="s">
        <v>864</v>
      </c>
      <c r="G1506" s="15" t="s">
        <v>162</v>
      </c>
      <c r="H1506" s="7">
        <v>14</v>
      </c>
      <c r="I1506" s="6" t="s">
        <v>28917</v>
      </c>
      <c r="J1506" s="6" t="s">
        <v>44845</v>
      </c>
      <c r="K1506" s="6" t="s">
        <v>44846</v>
      </c>
      <c r="L1506" s="6" t="s">
        <v>40536</v>
      </c>
      <c r="M1506" s="6" t="s">
        <v>44847</v>
      </c>
      <c r="N1506" s="6" t="s">
        <v>44848</v>
      </c>
      <c r="O1506" s="6" t="s">
        <v>44849</v>
      </c>
      <c r="P1506" s="6" t="s">
        <v>44850</v>
      </c>
      <c r="Q1506" s="6" t="s">
        <v>44851</v>
      </c>
      <c r="R1506" s="6" t="s">
        <v>42310</v>
      </c>
      <c r="S1506" s="6" t="s">
        <v>44852</v>
      </c>
      <c r="T1506" s="6" t="s">
        <v>39964</v>
      </c>
      <c r="U1506" s="6" t="s">
        <v>37839</v>
      </c>
      <c r="V1506" s="6" t="s">
        <v>40911</v>
      </c>
      <c r="W1506" s="6" t="s">
        <v>44853</v>
      </c>
      <c r="X1506" s="6"/>
      <c r="Y1506" s="6"/>
      <c r="Z1506" s="6"/>
      <c r="AA1506" s="6"/>
      <c r="AB1506" s="6"/>
      <c r="AC1506" s="6"/>
      <c r="AD1506" s="6"/>
      <c r="AE1506" s="6"/>
      <c r="AF1506" s="6"/>
      <c r="AG1506" s="6"/>
      <c r="AH1506" s="6"/>
      <c r="AI1506" s="6"/>
      <c r="AJ1506" s="6"/>
      <c r="AK1506" s="6"/>
      <c r="AL1506" s="6"/>
      <c r="AM1506" s="6"/>
      <c r="AN1506" s="6"/>
      <c r="AO1506" s="6"/>
      <c r="AP1506" s="6"/>
      <c r="AQ1506" s="6"/>
      <c r="AR1506" s="6"/>
      <c r="AS1506" s="6"/>
      <c r="AT1506" s="6"/>
      <c r="AU1506" s="6"/>
      <c r="AV1506" s="6"/>
      <c r="AW1506" s="6"/>
      <c r="AX1506" s="6"/>
      <c r="AY1506" s="6"/>
      <c r="AZ1506" s="6"/>
      <c r="BA1506" s="6"/>
      <c r="BB1506" s="6"/>
      <c r="BC1506" s="6"/>
      <c r="BD1506" s="6"/>
      <c r="BE1506" s="6"/>
      <c r="BF1506" s="6"/>
      <c r="BG1506" s="6"/>
      <c r="BH1506" s="6"/>
      <c r="BI1506" s="6"/>
      <c r="BJ1506" s="6"/>
      <c r="BK1506" s="6"/>
      <c r="BL1506" s="6"/>
      <c r="BM1506" s="6"/>
      <c r="BN1506" s="6"/>
      <c r="BO1506" s="6"/>
      <c r="BP1506" s="6"/>
      <c r="BQ1506" s="6"/>
      <c r="BR1506" s="6"/>
      <c r="BS1506" s="6"/>
      <c r="BT1506" s="6"/>
    </row>
    <row r="1507" spans="1:72">
      <c r="A1507" s="8" t="s">
        <v>28922</v>
      </c>
      <c r="B1507" s="11" t="s">
        <v>28928</v>
      </c>
      <c r="C1507" s="9" t="s">
        <v>28923</v>
      </c>
      <c r="D1507" s="10" t="s">
        <v>28924</v>
      </c>
      <c r="E1507" s="28" t="s">
        <v>426</v>
      </c>
      <c r="F1507" s="28" t="s">
        <v>426</v>
      </c>
      <c r="G1507" s="28" t="s">
        <v>162</v>
      </c>
      <c r="H1507" s="13">
        <v>21</v>
      </c>
      <c r="I1507" s="12" t="s">
        <v>28937</v>
      </c>
      <c r="J1507" s="12" t="s">
        <v>44854</v>
      </c>
      <c r="K1507" s="12" t="s">
        <v>39908</v>
      </c>
      <c r="L1507" s="12" t="s">
        <v>44855</v>
      </c>
      <c r="M1507" s="12" t="s">
        <v>41197</v>
      </c>
      <c r="N1507" s="12" t="s">
        <v>38826</v>
      </c>
      <c r="O1507" s="12" t="s">
        <v>44856</v>
      </c>
      <c r="P1507" s="12" t="s">
        <v>38511</v>
      </c>
      <c r="Q1507" s="12" t="s">
        <v>44857</v>
      </c>
      <c r="R1507" s="12" t="s">
        <v>40303</v>
      </c>
      <c r="S1507" s="12" t="s">
        <v>38811</v>
      </c>
      <c r="T1507" s="12" t="s">
        <v>38812</v>
      </c>
      <c r="U1507" s="12" t="s">
        <v>40272</v>
      </c>
      <c r="V1507" s="12" t="s">
        <v>43830</v>
      </c>
      <c r="W1507" s="12" t="s">
        <v>38829</v>
      </c>
      <c r="X1507" s="12" t="s">
        <v>38184</v>
      </c>
      <c r="Y1507" s="12" t="s">
        <v>41041</v>
      </c>
      <c r="Z1507" s="12" t="s">
        <v>42225</v>
      </c>
      <c r="AA1507" s="12" t="s">
        <v>39111</v>
      </c>
      <c r="AB1507" s="12" t="s">
        <v>43174</v>
      </c>
      <c r="AC1507" s="12" t="s">
        <v>44858</v>
      </c>
      <c r="AD1507" s="12" t="s">
        <v>44859</v>
      </c>
      <c r="AE1507" s="12"/>
      <c r="AF1507" s="12"/>
      <c r="AG1507" s="12"/>
      <c r="AH1507" s="12"/>
      <c r="AI1507" s="12"/>
      <c r="AJ1507" s="12"/>
      <c r="AK1507" s="12"/>
      <c r="AL1507" s="12"/>
      <c r="AM1507" s="12"/>
      <c r="AN1507" s="12"/>
      <c r="AO1507" s="12"/>
      <c r="AP1507" s="12"/>
      <c r="AQ1507" s="12"/>
      <c r="AR1507" s="12"/>
      <c r="AS1507" s="12"/>
      <c r="AT1507" s="12"/>
      <c r="AU1507" s="12"/>
      <c r="AV1507" s="12"/>
      <c r="AW1507" s="12"/>
      <c r="AX1507" s="12"/>
      <c r="AY1507" s="12"/>
      <c r="AZ1507" s="12"/>
      <c r="BA1507" s="12"/>
      <c r="BB1507" s="12"/>
      <c r="BC1507" s="12"/>
      <c r="BD1507" s="12"/>
      <c r="BE1507" s="12"/>
      <c r="BF1507" s="12"/>
      <c r="BG1507" s="12"/>
      <c r="BH1507" s="12"/>
      <c r="BI1507" s="12"/>
      <c r="BJ1507" s="12"/>
      <c r="BK1507" s="12"/>
      <c r="BL1507" s="12"/>
      <c r="BM1507" s="12"/>
      <c r="BN1507" s="12"/>
      <c r="BO1507" s="12"/>
      <c r="BP1507" s="12"/>
      <c r="BQ1507" s="12"/>
      <c r="BR1507" s="12"/>
      <c r="BS1507" s="12"/>
      <c r="BT1507" s="12"/>
    </row>
    <row r="1508" spans="1:72">
      <c r="A1508" s="2" t="s">
        <v>28941</v>
      </c>
      <c r="B1508" s="5" t="s">
        <v>28945</v>
      </c>
      <c r="C1508" s="3" t="s">
        <v>138</v>
      </c>
      <c r="D1508" s="4" t="s">
        <v>138</v>
      </c>
      <c r="E1508" s="15" t="s">
        <v>426</v>
      </c>
      <c r="F1508" s="15" t="s">
        <v>426</v>
      </c>
      <c r="G1508" s="15" t="s">
        <v>162</v>
      </c>
      <c r="H1508" s="7">
        <v>23</v>
      </c>
      <c r="I1508" s="6" t="s">
        <v>28952</v>
      </c>
      <c r="J1508" s="6" t="s">
        <v>39907</v>
      </c>
      <c r="K1508" s="6" t="s">
        <v>40342</v>
      </c>
      <c r="L1508" s="6" t="s">
        <v>44860</v>
      </c>
      <c r="M1508" s="6" t="s">
        <v>40260</v>
      </c>
      <c r="N1508" s="6" t="s">
        <v>44861</v>
      </c>
      <c r="O1508" s="6" t="s">
        <v>39899</v>
      </c>
      <c r="P1508" s="6" t="s">
        <v>38485</v>
      </c>
      <c r="Q1508" s="6" t="s">
        <v>39473</v>
      </c>
      <c r="R1508" s="6" t="s">
        <v>39474</v>
      </c>
      <c r="S1508" s="6" t="s">
        <v>38841</v>
      </c>
      <c r="T1508" s="6" t="s">
        <v>40326</v>
      </c>
      <c r="U1508" s="6" t="s">
        <v>37821</v>
      </c>
      <c r="V1508" s="6" t="s">
        <v>44862</v>
      </c>
      <c r="W1508" s="6" t="s">
        <v>39945</v>
      </c>
      <c r="X1508" s="6" t="s">
        <v>44863</v>
      </c>
      <c r="Y1508" s="6" t="s">
        <v>44864</v>
      </c>
      <c r="Z1508" s="6" t="s">
        <v>42212</v>
      </c>
      <c r="AA1508" s="6" t="s">
        <v>42213</v>
      </c>
      <c r="AB1508" s="6" t="s">
        <v>43043</v>
      </c>
      <c r="AC1508" s="6" t="s">
        <v>38504</v>
      </c>
      <c r="AD1508" s="6" t="s">
        <v>39524</v>
      </c>
      <c r="AE1508" s="6" t="s">
        <v>44865</v>
      </c>
      <c r="AF1508" s="6" t="s">
        <v>39143</v>
      </c>
      <c r="AG1508" s="6"/>
      <c r="AH1508" s="6"/>
      <c r="AI1508" s="6"/>
      <c r="AJ1508" s="6"/>
      <c r="AK1508" s="6"/>
      <c r="AL1508" s="6"/>
      <c r="AM1508" s="6"/>
      <c r="AN1508" s="6"/>
      <c r="AO1508" s="6"/>
      <c r="AP1508" s="6"/>
      <c r="AQ1508" s="6"/>
      <c r="AR1508" s="6"/>
      <c r="AS1508" s="6"/>
      <c r="AT1508" s="6"/>
      <c r="AU1508" s="6"/>
      <c r="AV1508" s="6"/>
      <c r="AW1508" s="6"/>
      <c r="AX1508" s="6"/>
      <c r="AY1508" s="6"/>
      <c r="AZ1508" s="6"/>
      <c r="BA1508" s="6"/>
      <c r="BB1508" s="6"/>
      <c r="BC1508" s="6"/>
      <c r="BD1508" s="6"/>
      <c r="BE1508" s="6"/>
      <c r="BF1508" s="6"/>
      <c r="BG1508" s="6"/>
      <c r="BH1508" s="6"/>
      <c r="BI1508" s="6"/>
      <c r="BJ1508" s="6"/>
      <c r="BK1508" s="6"/>
      <c r="BL1508" s="6"/>
      <c r="BM1508" s="6"/>
      <c r="BN1508" s="6"/>
      <c r="BO1508" s="6"/>
      <c r="BP1508" s="6"/>
      <c r="BQ1508" s="6"/>
      <c r="BR1508" s="6"/>
      <c r="BS1508" s="6"/>
      <c r="BT1508" s="6"/>
    </row>
    <row r="1509" spans="1:72">
      <c r="A1509" s="8" t="s">
        <v>28957</v>
      </c>
      <c r="B1509" s="11" t="s">
        <v>28962</v>
      </c>
      <c r="C1509" s="9" t="s">
        <v>138</v>
      </c>
      <c r="D1509" s="10" t="s">
        <v>138</v>
      </c>
      <c r="E1509" s="28" t="s">
        <v>3774</v>
      </c>
      <c r="F1509" s="28" t="s">
        <v>864</v>
      </c>
      <c r="G1509" s="28" t="s">
        <v>162</v>
      </c>
      <c r="H1509" s="13">
        <v>5</v>
      </c>
      <c r="I1509" s="12" t="s">
        <v>28971</v>
      </c>
      <c r="J1509" s="12" t="s">
        <v>37790</v>
      </c>
      <c r="K1509" s="12" t="s">
        <v>44866</v>
      </c>
      <c r="L1509" s="12" t="s">
        <v>37960</v>
      </c>
      <c r="M1509" s="12" t="s">
        <v>40183</v>
      </c>
      <c r="N1509" s="12" t="s">
        <v>44867</v>
      </c>
      <c r="O1509" s="12"/>
      <c r="P1509" s="12"/>
      <c r="Q1509" s="12"/>
      <c r="R1509" s="12"/>
      <c r="S1509" s="12"/>
      <c r="T1509" s="12"/>
      <c r="U1509" s="12"/>
      <c r="V1509" s="12"/>
      <c r="W1509" s="12"/>
      <c r="X1509" s="12"/>
      <c r="Y1509" s="12"/>
      <c r="Z1509" s="12"/>
      <c r="AA1509" s="12"/>
      <c r="AB1509" s="12"/>
      <c r="AC1509" s="12"/>
      <c r="AD1509" s="12"/>
      <c r="AE1509" s="12"/>
      <c r="AF1509" s="12"/>
      <c r="AG1509" s="12"/>
      <c r="AH1509" s="12"/>
      <c r="AI1509" s="12"/>
      <c r="AJ1509" s="12"/>
      <c r="AK1509" s="12"/>
      <c r="AL1509" s="12"/>
      <c r="AM1509" s="12"/>
      <c r="AN1509" s="12"/>
      <c r="AO1509" s="12"/>
      <c r="AP1509" s="12"/>
      <c r="AQ1509" s="12"/>
      <c r="AR1509" s="12"/>
      <c r="AS1509" s="12"/>
      <c r="AT1509" s="12"/>
      <c r="AU1509" s="12"/>
      <c r="AV1509" s="12"/>
      <c r="AW1509" s="12"/>
      <c r="AX1509" s="12"/>
      <c r="AY1509" s="12"/>
      <c r="AZ1509" s="12"/>
      <c r="BA1509" s="12"/>
      <c r="BB1509" s="12"/>
      <c r="BC1509" s="12"/>
      <c r="BD1509" s="12"/>
      <c r="BE1509" s="12"/>
      <c r="BF1509" s="12"/>
      <c r="BG1509" s="12"/>
      <c r="BH1509" s="12"/>
      <c r="BI1509" s="12"/>
      <c r="BJ1509" s="12"/>
      <c r="BK1509" s="12"/>
      <c r="BL1509" s="12"/>
      <c r="BM1509" s="12"/>
      <c r="BN1509" s="12"/>
      <c r="BO1509" s="12"/>
      <c r="BP1509" s="12"/>
      <c r="BQ1509" s="12"/>
      <c r="BR1509" s="12"/>
      <c r="BS1509" s="12"/>
      <c r="BT1509" s="12"/>
    </row>
    <row r="1510" spans="1:72">
      <c r="A1510" s="2" t="s">
        <v>28975</v>
      </c>
      <c r="B1510" s="5" t="s">
        <v>28981</v>
      </c>
      <c r="C1510" s="3" t="s">
        <v>28976</v>
      </c>
      <c r="D1510" s="4" t="s">
        <v>138</v>
      </c>
      <c r="E1510" s="15" t="s">
        <v>1246</v>
      </c>
      <c r="F1510" s="15" t="s">
        <v>200</v>
      </c>
      <c r="G1510" s="15" t="s">
        <v>162</v>
      </c>
      <c r="H1510" s="7">
        <v>22</v>
      </c>
      <c r="I1510" s="6" t="s">
        <v>28990</v>
      </c>
      <c r="J1510" s="6" t="s">
        <v>38482</v>
      </c>
      <c r="K1510" s="6" t="s">
        <v>44868</v>
      </c>
      <c r="L1510" s="6" t="s">
        <v>39804</v>
      </c>
      <c r="M1510" s="6" t="s">
        <v>44869</v>
      </c>
      <c r="N1510" s="6" t="s">
        <v>44870</v>
      </c>
      <c r="O1510" s="6" t="s">
        <v>44871</v>
      </c>
      <c r="P1510" s="6" t="s">
        <v>44872</v>
      </c>
      <c r="Q1510" s="6" t="s">
        <v>38044</v>
      </c>
      <c r="R1510" s="6" t="s">
        <v>38379</v>
      </c>
      <c r="S1510" s="6" t="s">
        <v>37822</v>
      </c>
      <c r="T1510" s="6" t="s">
        <v>42770</v>
      </c>
      <c r="U1510" s="6" t="s">
        <v>38654</v>
      </c>
      <c r="V1510" s="6" t="s">
        <v>43039</v>
      </c>
      <c r="W1510" s="6" t="s">
        <v>44873</v>
      </c>
      <c r="X1510" s="6" t="s">
        <v>40464</v>
      </c>
      <c r="Y1510" s="6" t="s">
        <v>44874</v>
      </c>
      <c r="Z1510" s="6" t="s">
        <v>44875</v>
      </c>
      <c r="AA1510" s="6" t="s">
        <v>38200</v>
      </c>
      <c r="AB1510" s="6" t="s">
        <v>42644</v>
      </c>
      <c r="AC1510" s="6" t="s">
        <v>38625</v>
      </c>
      <c r="AD1510" s="6" t="s">
        <v>44876</v>
      </c>
      <c r="AE1510" s="6" t="s">
        <v>44877</v>
      </c>
      <c r="AF1510" s="6"/>
      <c r="AG1510" s="6"/>
      <c r="AH1510" s="6"/>
      <c r="AI1510" s="6"/>
      <c r="AJ1510" s="6"/>
      <c r="AK1510" s="6"/>
      <c r="AL1510" s="6"/>
      <c r="AM1510" s="6"/>
      <c r="AN1510" s="6"/>
      <c r="AO1510" s="6"/>
      <c r="AP1510" s="6"/>
      <c r="AQ1510" s="6"/>
      <c r="AR1510" s="6"/>
      <c r="AS1510" s="6"/>
      <c r="AT1510" s="6"/>
      <c r="AU1510" s="6"/>
      <c r="AV1510" s="6"/>
      <c r="AW1510" s="6"/>
      <c r="AX1510" s="6"/>
      <c r="AY1510" s="6"/>
      <c r="AZ1510" s="6"/>
      <c r="BA1510" s="6"/>
      <c r="BB1510" s="6"/>
      <c r="BC1510" s="6"/>
      <c r="BD1510" s="6"/>
      <c r="BE1510" s="6"/>
      <c r="BF1510" s="6"/>
      <c r="BG1510" s="6"/>
      <c r="BH1510" s="6"/>
      <c r="BI1510" s="6"/>
      <c r="BJ1510" s="6"/>
      <c r="BK1510" s="6"/>
      <c r="BL1510" s="6"/>
      <c r="BM1510" s="6"/>
      <c r="BN1510" s="6"/>
      <c r="BO1510" s="6"/>
      <c r="BP1510" s="6"/>
      <c r="BQ1510" s="6"/>
      <c r="BR1510" s="6"/>
      <c r="BS1510" s="6"/>
      <c r="BT1510" s="6"/>
    </row>
    <row r="1511" spans="1:72">
      <c r="A1511" s="8" t="s">
        <v>28995</v>
      </c>
      <c r="B1511" s="11" t="s">
        <v>28999</v>
      </c>
      <c r="C1511" s="9" t="s">
        <v>138</v>
      </c>
      <c r="D1511" s="10" t="s">
        <v>138</v>
      </c>
      <c r="E1511" s="28" t="s">
        <v>426</v>
      </c>
      <c r="F1511" s="28" t="s">
        <v>426</v>
      </c>
      <c r="G1511" s="28" t="s">
        <v>162</v>
      </c>
      <c r="H1511" s="13">
        <v>6</v>
      </c>
      <c r="I1511" s="12" t="s">
        <v>29006</v>
      </c>
      <c r="J1511" s="12" t="s">
        <v>44878</v>
      </c>
      <c r="K1511" s="12" t="s">
        <v>44879</v>
      </c>
      <c r="L1511" s="12" t="s">
        <v>38836</v>
      </c>
      <c r="M1511" s="12" t="s">
        <v>37819</v>
      </c>
      <c r="N1511" s="12" t="s">
        <v>39645</v>
      </c>
      <c r="O1511" s="12" t="s">
        <v>43491</v>
      </c>
      <c r="P1511" s="12"/>
      <c r="Q1511" s="12"/>
      <c r="R1511" s="12"/>
      <c r="S1511" s="12"/>
      <c r="T1511" s="12"/>
      <c r="U1511" s="12"/>
      <c r="V1511" s="12"/>
      <c r="W1511" s="12"/>
      <c r="X1511" s="12"/>
      <c r="Y1511" s="12"/>
      <c r="Z1511" s="12"/>
      <c r="AA1511" s="12"/>
      <c r="AB1511" s="12"/>
      <c r="AC1511" s="12"/>
      <c r="AD1511" s="12"/>
      <c r="AE1511" s="12"/>
      <c r="AF1511" s="12"/>
      <c r="AG1511" s="12"/>
      <c r="AH1511" s="12"/>
      <c r="AI1511" s="12"/>
      <c r="AJ1511" s="12"/>
      <c r="AK1511" s="12"/>
      <c r="AL1511" s="12"/>
      <c r="AM1511" s="12"/>
      <c r="AN1511" s="12"/>
      <c r="AO1511" s="12"/>
      <c r="AP1511" s="12"/>
      <c r="AQ1511" s="12"/>
      <c r="AR1511" s="12"/>
      <c r="AS1511" s="12"/>
      <c r="AT1511" s="12"/>
      <c r="AU1511" s="12"/>
      <c r="AV1511" s="12"/>
      <c r="AW1511" s="12"/>
      <c r="AX1511" s="12"/>
      <c r="AY1511" s="12"/>
      <c r="AZ1511" s="12"/>
      <c r="BA1511" s="12"/>
      <c r="BB1511" s="12"/>
      <c r="BC1511" s="12"/>
      <c r="BD1511" s="12"/>
      <c r="BE1511" s="12"/>
      <c r="BF1511" s="12"/>
      <c r="BG1511" s="12"/>
      <c r="BH1511" s="12"/>
      <c r="BI1511" s="12"/>
      <c r="BJ1511" s="12"/>
      <c r="BK1511" s="12"/>
      <c r="BL1511" s="12"/>
      <c r="BM1511" s="12"/>
      <c r="BN1511" s="12"/>
      <c r="BO1511" s="12"/>
      <c r="BP1511" s="12"/>
      <c r="BQ1511" s="12"/>
      <c r="BR1511" s="12"/>
      <c r="BS1511" s="12"/>
      <c r="BT1511" s="12"/>
    </row>
    <row r="1512" spans="1:72">
      <c r="A1512" s="2" t="s">
        <v>29009</v>
      </c>
      <c r="B1512" s="5" t="s">
        <v>29014</v>
      </c>
      <c r="C1512" s="3" t="s">
        <v>29010</v>
      </c>
      <c r="D1512" s="4" t="s">
        <v>138</v>
      </c>
      <c r="E1512" s="15" t="s">
        <v>668</v>
      </c>
      <c r="F1512" s="15" t="s">
        <v>200</v>
      </c>
      <c r="G1512" s="15" t="s">
        <v>162</v>
      </c>
      <c r="H1512" s="7">
        <v>14</v>
      </c>
      <c r="I1512" s="6" t="s">
        <v>29022</v>
      </c>
      <c r="J1512" s="6" t="s">
        <v>44880</v>
      </c>
      <c r="K1512" s="6" t="s">
        <v>37936</v>
      </c>
      <c r="L1512" s="6" t="s">
        <v>44881</v>
      </c>
      <c r="M1512" s="6" t="s">
        <v>38418</v>
      </c>
      <c r="N1512" s="6" t="s">
        <v>38803</v>
      </c>
      <c r="O1512" s="6" t="s">
        <v>38860</v>
      </c>
      <c r="P1512" s="6" t="s">
        <v>44882</v>
      </c>
      <c r="Q1512" s="6" t="s">
        <v>37781</v>
      </c>
      <c r="R1512" s="6" t="s">
        <v>39296</v>
      </c>
      <c r="S1512" s="6" t="s">
        <v>43189</v>
      </c>
      <c r="T1512" s="6" t="s">
        <v>37892</v>
      </c>
      <c r="U1512" s="6" t="s">
        <v>40600</v>
      </c>
      <c r="V1512" s="6" t="s">
        <v>44883</v>
      </c>
      <c r="W1512" s="6" t="s">
        <v>39212</v>
      </c>
      <c r="X1512" s="6"/>
      <c r="Y1512" s="6"/>
      <c r="Z1512" s="6"/>
      <c r="AA1512" s="6"/>
      <c r="AB1512" s="6"/>
      <c r="AC1512" s="6"/>
      <c r="AD1512" s="6"/>
      <c r="AE1512" s="6"/>
      <c r="AF1512" s="6"/>
      <c r="AG1512" s="6"/>
      <c r="AH1512" s="6"/>
      <c r="AI1512" s="6"/>
      <c r="AJ1512" s="6"/>
      <c r="AK1512" s="6"/>
      <c r="AL1512" s="6"/>
      <c r="AM1512" s="6"/>
      <c r="AN1512" s="6"/>
      <c r="AO1512" s="6"/>
      <c r="AP1512" s="6"/>
      <c r="AQ1512" s="6"/>
      <c r="AR1512" s="6"/>
      <c r="AS1512" s="6"/>
      <c r="AT1512" s="6"/>
      <c r="AU1512" s="6"/>
      <c r="AV1512" s="6"/>
      <c r="AW1512" s="6"/>
      <c r="AX1512" s="6"/>
      <c r="AY1512" s="6"/>
      <c r="AZ1512" s="6"/>
      <c r="BA1512" s="6"/>
      <c r="BB1512" s="6"/>
      <c r="BC1512" s="6"/>
      <c r="BD1512" s="6"/>
      <c r="BE1512" s="6"/>
      <c r="BF1512" s="6"/>
      <c r="BG1512" s="6"/>
      <c r="BH1512" s="6"/>
      <c r="BI1512" s="6"/>
      <c r="BJ1512" s="6"/>
      <c r="BK1512" s="6"/>
      <c r="BL1512" s="6"/>
      <c r="BM1512" s="6"/>
      <c r="BN1512" s="6"/>
      <c r="BO1512" s="6"/>
      <c r="BP1512" s="6"/>
      <c r="BQ1512" s="6"/>
      <c r="BR1512" s="6"/>
      <c r="BS1512" s="6"/>
      <c r="BT1512" s="6"/>
    </row>
    <row r="1513" spans="1:72">
      <c r="A1513" s="8" t="s">
        <v>29026</v>
      </c>
      <c r="B1513" s="11" t="s">
        <v>29032</v>
      </c>
      <c r="C1513" s="9" t="s">
        <v>138</v>
      </c>
      <c r="D1513" s="10" t="s">
        <v>138</v>
      </c>
      <c r="E1513" s="28" t="s">
        <v>3774</v>
      </c>
      <c r="F1513" s="28" t="s">
        <v>864</v>
      </c>
      <c r="G1513" s="28" t="s">
        <v>162</v>
      </c>
      <c r="H1513" s="13">
        <v>33</v>
      </c>
      <c r="I1513" s="12" t="s">
        <v>29041</v>
      </c>
      <c r="J1513" s="12" t="s">
        <v>44884</v>
      </c>
      <c r="K1513" s="12" t="s">
        <v>41171</v>
      </c>
      <c r="L1513" s="12" t="s">
        <v>37795</v>
      </c>
      <c r="M1513" s="12" t="s">
        <v>39274</v>
      </c>
      <c r="N1513" s="12" t="s">
        <v>41639</v>
      </c>
      <c r="O1513" s="12" t="s">
        <v>38964</v>
      </c>
      <c r="P1513" s="12" t="s">
        <v>44885</v>
      </c>
      <c r="Q1513" s="12" t="s">
        <v>40488</v>
      </c>
      <c r="R1513" s="12" t="s">
        <v>38148</v>
      </c>
      <c r="S1513" s="12" t="s">
        <v>37851</v>
      </c>
      <c r="T1513" s="12" t="s">
        <v>38803</v>
      </c>
      <c r="U1513" s="12" t="s">
        <v>44886</v>
      </c>
      <c r="V1513" s="12" t="s">
        <v>38062</v>
      </c>
      <c r="W1513" s="12" t="s">
        <v>39962</v>
      </c>
      <c r="X1513" s="12" t="s">
        <v>44887</v>
      </c>
      <c r="Y1513" s="12" t="s">
        <v>43291</v>
      </c>
      <c r="Z1513" s="12" t="s">
        <v>39057</v>
      </c>
      <c r="AA1513" s="12" t="s">
        <v>44888</v>
      </c>
      <c r="AB1513" s="12" t="s">
        <v>44889</v>
      </c>
      <c r="AC1513" s="12" t="s">
        <v>37824</v>
      </c>
      <c r="AD1513" s="12" t="s">
        <v>44890</v>
      </c>
      <c r="AE1513" s="12" t="s">
        <v>40464</v>
      </c>
      <c r="AF1513" s="12" t="s">
        <v>38080</v>
      </c>
      <c r="AG1513" s="12" t="s">
        <v>40682</v>
      </c>
      <c r="AH1513" s="12" t="s">
        <v>40748</v>
      </c>
      <c r="AI1513" s="12" t="s">
        <v>44891</v>
      </c>
      <c r="AJ1513" s="12" t="s">
        <v>37901</v>
      </c>
      <c r="AK1513" s="12" t="s">
        <v>43651</v>
      </c>
      <c r="AL1513" s="12" t="s">
        <v>44892</v>
      </c>
      <c r="AM1513" s="12" t="s">
        <v>44893</v>
      </c>
      <c r="AN1513" s="12" t="s">
        <v>44894</v>
      </c>
      <c r="AO1513" s="12" t="s">
        <v>40367</v>
      </c>
      <c r="AP1513" s="12" t="s">
        <v>44895</v>
      </c>
      <c r="AQ1513" s="12"/>
      <c r="AR1513" s="12"/>
      <c r="AS1513" s="12"/>
      <c r="AT1513" s="12"/>
      <c r="AU1513" s="12"/>
      <c r="AV1513" s="12"/>
      <c r="AW1513" s="12"/>
      <c r="AX1513" s="12"/>
      <c r="AY1513" s="12"/>
      <c r="AZ1513" s="12"/>
      <c r="BA1513" s="12"/>
      <c r="BB1513" s="12"/>
      <c r="BC1513" s="12"/>
      <c r="BD1513" s="12"/>
      <c r="BE1513" s="12"/>
      <c r="BF1513" s="12"/>
      <c r="BG1513" s="12"/>
      <c r="BH1513" s="12"/>
      <c r="BI1513" s="12"/>
      <c r="BJ1513" s="12"/>
      <c r="BK1513" s="12"/>
      <c r="BL1513" s="12"/>
      <c r="BM1513" s="12"/>
      <c r="BN1513" s="12"/>
      <c r="BO1513" s="12"/>
      <c r="BP1513" s="12"/>
      <c r="BQ1513" s="12"/>
      <c r="BR1513" s="12"/>
      <c r="BS1513" s="12"/>
      <c r="BT1513" s="12"/>
    </row>
    <row r="1514" spans="1:72">
      <c r="A1514" s="2" t="s">
        <v>29044</v>
      </c>
      <c r="B1514" s="5" t="s">
        <v>29048</v>
      </c>
      <c r="C1514" s="3" t="s">
        <v>138</v>
      </c>
      <c r="D1514" s="4" t="s">
        <v>138</v>
      </c>
      <c r="E1514" s="15" t="s">
        <v>6495</v>
      </c>
      <c r="F1514" s="15" t="s">
        <v>138</v>
      </c>
      <c r="G1514" s="15" t="s">
        <v>6495</v>
      </c>
      <c r="H1514" s="7">
        <v>9</v>
      </c>
      <c r="I1514" s="6" t="s">
        <v>29059</v>
      </c>
      <c r="J1514" s="6" t="s">
        <v>44896</v>
      </c>
      <c r="K1514" s="6" t="s">
        <v>38299</v>
      </c>
      <c r="L1514" s="6" t="s">
        <v>43901</v>
      </c>
      <c r="M1514" s="6" t="s">
        <v>38945</v>
      </c>
      <c r="N1514" s="6" t="s">
        <v>44897</v>
      </c>
      <c r="O1514" s="6" t="s">
        <v>39327</v>
      </c>
      <c r="P1514" s="6" t="s">
        <v>44535</v>
      </c>
      <c r="Q1514" s="6" t="s">
        <v>44898</v>
      </c>
      <c r="R1514" s="6" t="s">
        <v>44899</v>
      </c>
      <c r="S1514" s="6"/>
      <c r="T1514" s="6"/>
      <c r="U1514" s="6"/>
      <c r="V1514" s="6"/>
      <c r="W1514" s="6"/>
      <c r="X1514" s="6"/>
      <c r="Y1514" s="6"/>
      <c r="Z1514" s="6"/>
      <c r="AA1514" s="6"/>
      <c r="AB1514" s="6"/>
      <c r="AC1514" s="6"/>
      <c r="AD1514" s="6"/>
      <c r="AE1514" s="6"/>
      <c r="AF1514" s="6"/>
      <c r="AG1514" s="6"/>
      <c r="AH1514" s="6"/>
      <c r="AI1514" s="6"/>
      <c r="AJ1514" s="6"/>
      <c r="AK1514" s="6"/>
      <c r="AL1514" s="6"/>
      <c r="AM1514" s="6"/>
      <c r="AN1514" s="6"/>
      <c r="AO1514" s="6"/>
      <c r="AP1514" s="6"/>
      <c r="AQ1514" s="6"/>
      <c r="AR1514" s="6"/>
      <c r="AS1514" s="6"/>
      <c r="AT1514" s="6"/>
      <c r="AU1514" s="6"/>
      <c r="AV1514" s="6"/>
      <c r="AW1514" s="6"/>
      <c r="AX1514" s="6"/>
      <c r="AY1514" s="6"/>
      <c r="AZ1514" s="6"/>
      <c r="BA1514" s="6"/>
      <c r="BB1514" s="6"/>
      <c r="BC1514" s="6"/>
      <c r="BD1514" s="6"/>
      <c r="BE1514" s="6"/>
      <c r="BF1514" s="6"/>
      <c r="BG1514" s="6"/>
      <c r="BH1514" s="6"/>
      <c r="BI1514" s="6"/>
      <c r="BJ1514" s="6"/>
      <c r="BK1514" s="6"/>
      <c r="BL1514" s="6"/>
      <c r="BM1514" s="6"/>
      <c r="BN1514" s="6"/>
      <c r="BO1514" s="6"/>
      <c r="BP1514" s="6"/>
      <c r="BQ1514" s="6"/>
      <c r="BR1514" s="6"/>
      <c r="BS1514" s="6"/>
      <c r="BT1514" s="6"/>
    </row>
    <row r="1515" spans="1:72">
      <c r="A1515" s="8" t="s">
        <v>29062</v>
      </c>
      <c r="B1515" s="11" t="s">
        <v>29066</v>
      </c>
      <c r="C1515" s="9" t="s">
        <v>138</v>
      </c>
      <c r="D1515" s="10" t="s">
        <v>138</v>
      </c>
      <c r="E1515" s="28" t="s">
        <v>29075</v>
      </c>
      <c r="F1515" s="28" t="s">
        <v>524</v>
      </c>
      <c r="G1515" s="28" t="s">
        <v>526</v>
      </c>
      <c r="H1515" s="13">
        <v>8</v>
      </c>
      <c r="I1515" s="12" t="s">
        <v>29080</v>
      </c>
      <c r="J1515" s="12" t="s">
        <v>44900</v>
      </c>
      <c r="K1515" s="12" t="s">
        <v>44901</v>
      </c>
      <c r="L1515" s="12" t="s">
        <v>37786</v>
      </c>
      <c r="M1515" s="12" t="s">
        <v>39807</v>
      </c>
      <c r="N1515" s="12" t="s">
        <v>37839</v>
      </c>
      <c r="O1515" s="12" t="s">
        <v>41485</v>
      </c>
      <c r="P1515" s="12" t="s">
        <v>44902</v>
      </c>
      <c r="Q1515" s="12" t="s">
        <v>44903</v>
      </c>
      <c r="R1515" s="12"/>
      <c r="S1515" s="12"/>
      <c r="T1515" s="12"/>
      <c r="U1515" s="12"/>
      <c r="V1515" s="12"/>
      <c r="W1515" s="12"/>
      <c r="X1515" s="12"/>
      <c r="Y1515" s="12"/>
      <c r="Z1515" s="12"/>
      <c r="AA1515" s="12"/>
      <c r="AB1515" s="12"/>
      <c r="AC1515" s="12"/>
      <c r="AD1515" s="12"/>
      <c r="AE1515" s="12"/>
      <c r="AF1515" s="12"/>
      <c r="AG1515" s="12"/>
      <c r="AH1515" s="12"/>
      <c r="AI1515" s="12"/>
      <c r="AJ1515" s="12"/>
      <c r="AK1515" s="12"/>
      <c r="AL1515" s="12"/>
      <c r="AM1515" s="12"/>
      <c r="AN1515" s="12"/>
      <c r="AO1515" s="12"/>
      <c r="AP1515" s="12"/>
      <c r="AQ1515" s="12"/>
      <c r="AR1515" s="12"/>
      <c r="AS1515" s="12"/>
      <c r="AT1515" s="12"/>
      <c r="AU1515" s="12"/>
      <c r="AV1515" s="12"/>
      <c r="AW1515" s="12"/>
      <c r="AX1515" s="12"/>
      <c r="AY1515" s="12"/>
      <c r="AZ1515" s="12"/>
      <c r="BA1515" s="12"/>
      <c r="BB1515" s="12"/>
      <c r="BC1515" s="12"/>
      <c r="BD1515" s="12"/>
      <c r="BE1515" s="12"/>
      <c r="BF1515" s="12"/>
      <c r="BG1515" s="12"/>
      <c r="BH1515" s="12"/>
      <c r="BI1515" s="12"/>
      <c r="BJ1515" s="12"/>
      <c r="BK1515" s="12"/>
      <c r="BL1515" s="12"/>
      <c r="BM1515" s="12"/>
      <c r="BN1515" s="12"/>
      <c r="BO1515" s="12"/>
      <c r="BP1515" s="12"/>
      <c r="BQ1515" s="12"/>
      <c r="BR1515" s="12"/>
      <c r="BS1515" s="12"/>
      <c r="BT1515" s="12"/>
    </row>
    <row r="1516" spans="1:72">
      <c r="A1516" s="2" t="s">
        <v>29083</v>
      </c>
      <c r="B1516" s="5" t="s">
        <v>29089</v>
      </c>
      <c r="C1516" s="3" t="s">
        <v>29084</v>
      </c>
      <c r="D1516" s="4" t="s">
        <v>138</v>
      </c>
      <c r="E1516" s="15" t="s">
        <v>8502</v>
      </c>
      <c r="F1516" s="15" t="s">
        <v>2883</v>
      </c>
      <c r="G1516" s="15" t="s">
        <v>162</v>
      </c>
      <c r="H1516" s="7">
        <v>1</v>
      </c>
      <c r="I1516" s="6" t="s">
        <v>29099</v>
      </c>
      <c r="J1516" s="6" t="s">
        <v>29099</v>
      </c>
      <c r="K1516" s="6"/>
      <c r="L1516" s="6"/>
      <c r="M1516" s="6"/>
      <c r="N1516" s="6"/>
      <c r="O1516" s="6"/>
      <c r="P1516" s="6"/>
      <c r="Q1516" s="6"/>
      <c r="R1516" s="6"/>
      <c r="S1516" s="6"/>
      <c r="T1516" s="6"/>
      <c r="U1516" s="6"/>
      <c r="V1516" s="6"/>
      <c r="W1516" s="6"/>
      <c r="X1516" s="6"/>
      <c r="Y1516" s="6"/>
      <c r="Z1516" s="6"/>
      <c r="AA1516" s="6"/>
      <c r="AB1516" s="6"/>
      <c r="AC1516" s="6"/>
      <c r="AD1516" s="6"/>
      <c r="AE1516" s="6"/>
      <c r="AF1516" s="6"/>
      <c r="AG1516" s="6"/>
      <c r="AH1516" s="6"/>
      <c r="AI1516" s="6"/>
      <c r="AJ1516" s="6"/>
      <c r="AK1516" s="6"/>
      <c r="AL1516" s="6"/>
      <c r="AM1516" s="6"/>
      <c r="AN1516" s="6"/>
      <c r="AO1516" s="6"/>
      <c r="AP1516" s="6"/>
      <c r="AQ1516" s="6"/>
      <c r="AR1516" s="6"/>
      <c r="AS1516" s="6"/>
      <c r="AT1516" s="6"/>
      <c r="AU1516" s="6"/>
      <c r="AV1516" s="6"/>
      <c r="AW1516" s="6"/>
      <c r="AX1516" s="6"/>
      <c r="AY1516" s="6"/>
      <c r="AZ1516" s="6"/>
      <c r="BA1516" s="6"/>
      <c r="BB1516" s="6"/>
      <c r="BC1516" s="6"/>
      <c r="BD1516" s="6"/>
      <c r="BE1516" s="6"/>
      <c r="BF1516" s="6"/>
      <c r="BG1516" s="6"/>
      <c r="BH1516" s="6"/>
      <c r="BI1516" s="6"/>
      <c r="BJ1516" s="6"/>
      <c r="BK1516" s="6"/>
      <c r="BL1516" s="6"/>
      <c r="BM1516" s="6"/>
      <c r="BN1516" s="6"/>
      <c r="BO1516" s="6"/>
      <c r="BP1516" s="6"/>
      <c r="BQ1516" s="6"/>
      <c r="BR1516" s="6"/>
      <c r="BS1516" s="6"/>
      <c r="BT1516" s="6"/>
    </row>
    <row r="1517" spans="1:72">
      <c r="A1517" s="8" t="s">
        <v>29101</v>
      </c>
      <c r="B1517" s="11" t="s">
        <v>29105</v>
      </c>
      <c r="C1517" s="9" t="s">
        <v>29102</v>
      </c>
      <c r="D1517" s="10" t="s">
        <v>138</v>
      </c>
      <c r="E1517" s="28" t="s">
        <v>1847</v>
      </c>
      <c r="F1517" s="28" t="s">
        <v>864</v>
      </c>
      <c r="G1517" s="28" t="s">
        <v>162</v>
      </c>
      <c r="H1517" s="13">
        <v>8</v>
      </c>
      <c r="I1517" s="12" t="s">
        <v>29114</v>
      </c>
      <c r="J1517" s="12" t="s">
        <v>15335</v>
      </c>
      <c r="K1517" s="12" t="s">
        <v>42317</v>
      </c>
      <c r="L1517" s="12" t="s">
        <v>44904</v>
      </c>
      <c r="M1517" s="12" t="s">
        <v>40032</v>
      </c>
      <c r="N1517" s="12" t="s">
        <v>41971</v>
      </c>
      <c r="O1517" s="12" t="s">
        <v>44905</v>
      </c>
      <c r="P1517" s="12" t="s">
        <v>40483</v>
      </c>
      <c r="Q1517" s="12" t="s">
        <v>44906</v>
      </c>
      <c r="R1517" s="12"/>
      <c r="S1517" s="12"/>
      <c r="T1517" s="12"/>
      <c r="U1517" s="12"/>
      <c r="V1517" s="12"/>
      <c r="W1517" s="12"/>
      <c r="X1517" s="12"/>
      <c r="Y1517" s="12"/>
      <c r="Z1517" s="12"/>
      <c r="AA1517" s="12"/>
      <c r="AB1517" s="12"/>
      <c r="AC1517" s="12"/>
      <c r="AD1517" s="12"/>
      <c r="AE1517" s="12"/>
      <c r="AF1517" s="12"/>
      <c r="AG1517" s="12"/>
      <c r="AH1517" s="12"/>
      <c r="AI1517" s="12"/>
      <c r="AJ1517" s="12"/>
      <c r="AK1517" s="12"/>
      <c r="AL1517" s="12"/>
      <c r="AM1517" s="12"/>
      <c r="AN1517" s="12"/>
      <c r="AO1517" s="12"/>
      <c r="AP1517" s="12"/>
      <c r="AQ1517" s="12"/>
      <c r="AR1517" s="12"/>
      <c r="AS1517" s="12"/>
      <c r="AT1517" s="12"/>
      <c r="AU1517" s="12"/>
      <c r="AV1517" s="12"/>
      <c r="AW1517" s="12"/>
      <c r="AX1517" s="12"/>
      <c r="AY1517" s="12"/>
      <c r="AZ1517" s="12"/>
      <c r="BA1517" s="12"/>
      <c r="BB1517" s="12"/>
      <c r="BC1517" s="12"/>
      <c r="BD1517" s="12"/>
      <c r="BE1517" s="12"/>
      <c r="BF1517" s="12"/>
      <c r="BG1517" s="12"/>
      <c r="BH1517" s="12"/>
      <c r="BI1517" s="12"/>
      <c r="BJ1517" s="12"/>
      <c r="BK1517" s="12"/>
      <c r="BL1517" s="12"/>
      <c r="BM1517" s="12"/>
      <c r="BN1517" s="12"/>
      <c r="BO1517" s="12"/>
      <c r="BP1517" s="12"/>
      <c r="BQ1517" s="12"/>
      <c r="BR1517" s="12"/>
      <c r="BS1517" s="12"/>
      <c r="BT1517" s="12"/>
    </row>
    <row r="1518" spans="1:72">
      <c r="A1518" s="2" t="s">
        <v>29119</v>
      </c>
      <c r="B1518" s="5" t="s">
        <v>29123</v>
      </c>
      <c r="C1518" s="3" t="s">
        <v>138</v>
      </c>
      <c r="D1518" s="4" t="s">
        <v>138</v>
      </c>
      <c r="E1518" s="15" t="s">
        <v>668</v>
      </c>
      <c r="F1518" s="15" t="s">
        <v>200</v>
      </c>
      <c r="G1518" s="15" t="s">
        <v>162</v>
      </c>
      <c r="H1518" s="7">
        <v>13</v>
      </c>
      <c r="I1518" s="6" t="s">
        <v>29132</v>
      </c>
      <c r="J1518" s="6" t="s">
        <v>44907</v>
      </c>
      <c r="K1518" s="6" t="s">
        <v>44908</v>
      </c>
      <c r="L1518" s="6" t="s">
        <v>42075</v>
      </c>
      <c r="M1518" s="6" t="s">
        <v>38232</v>
      </c>
      <c r="N1518" s="6" t="s">
        <v>38444</v>
      </c>
      <c r="O1518" s="6" t="s">
        <v>42830</v>
      </c>
      <c r="P1518" s="6" t="s">
        <v>37781</v>
      </c>
      <c r="Q1518" s="6" t="s">
        <v>39296</v>
      </c>
      <c r="R1518" s="6" t="s">
        <v>38446</v>
      </c>
      <c r="S1518" s="6" t="s">
        <v>37916</v>
      </c>
      <c r="T1518" s="6" t="s">
        <v>44909</v>
      </c>
      <c r="U1518" s="6" t="s">
        <v>38813</v>
      </c>
      <c r="V1518" s="6" t="s">
        <v>37871</v>
      </c>
      <c r="W1518" s="6"/>
      <c r="X1518" s="6"/>
      <c r="Y1518" s="6"/>
      <c r="Z1518" s="6"/>
      <c r="AA1518" s="6"/>
      <c r="AB1518" s="6"/>
      <c r="AC1518" s="6"/>
      <c r="AD1518" s="6"/>
      <c r="AE1518" s="6"/>
      <c r="AF1518" s="6"/>
      <c r="AG1518" s="6"/>
      <c r="AH1518" s="6"/>
      <c r="AI1518" s="6"/>
      <c r="AJ1518" s="6"/>
      <c r="AK1518" s="6"/>
      <c r="AL1518" s="6"/>
      <c r="AM1518" s="6"/>
      <c r="AN1518" s="6"/>
      <c r="AO1518" s="6"/>
      <c r="AP1518" s="6"/>
      <c r="AQ1518" s="6"/>
      <c r="AR1518" s="6"/>
      <c r="AS1518" s="6"/>
      <c r="AT1518" s="6"/>
      <c r="AU1518" s="6"/>
      <c r="AV1518" s="6"/>
      <c r="AW1518" s="6"/>
      <c r="AX1518" s="6"/>
      <c r="AY1518" s="6"/>
      <c r="AZ1518" s="6"/>
      <c r="BA1518" s="6"/>
      <c r="BB1518" s="6"/>
      <c r="BC1518" s="6"/>
      <c r="BD1518" s="6"/>
      <c r="BE1518" s="6"/>
      <c r="BF1518" s="6"/>
      <c r="BG1518" s="6"/>
      <c r="BH1518" s="6"/>
      <c r="BI1518" s="6"/>
      <c r="BJ1518" s="6"/>
      <c r="BK1518" s="6"/>
      <c r="BL1518" s="6"/>
      <c r="BM1518" s="6"/>
      <c r="BN1518" s="6"/>
      <c r="BO1518" s="6"/>
      <c r="BP1518" s="6"/>
      <c r="BQ1518" s="6"/>
      <c r="BR1518" s="6"/>
      <c r="BS1518" s="6"/>
      <c r="BT1518" s="6"/>
    </row>
    <row r="1519" spans="1:72">
      <c r="A1519" s="8" t="s">
        <v>29136</v>
      </c>
      <c r="B1519" s="11" t="s">
        <v>29142</v>
      </c>
      <c r="C1519" s="9" t="s">
        <v>29137</v>
      </c>
      <c r="D1519" s="10" t="s">
        <v>138</v>
      </c>
      <c r="E1519" s="28" t="s">
        <v>2931</v>
      </c>
      <c r="F1519" s="28" t="s">
        <v>200</v>
      </c>
      <c r="G1519" s="28" t="s">
        <v>162</v>
      </c>
      <c r="H1519" s="13">
        <v>25</v>
      </c>
      <c r="I1519" s="12" t="s">
        <v>29151</v>
      </c>
      <c r="J1519" s="12" t="s">
        <v>44910</v>
      </c>
      <c r="K1519" s="12" t="s">
        <v>44911</v>
      </c>
      <c r="L1519" s="12" t="s">
        <v>44912</v>
      </c>
      <c r="M1519" s="12" t="s">
        <v>41197</v>
      </c>
      <c r="N1519" s="12" t="s">
        <v>37949</v>
      </c>
      <c r="O1519" s="12" t="s">
        <v>44913</v>
      </c>
      <c r="P1519" s="12" t="s">
        <v>40625</v>
      </c>
      <c r="Q1519" s="12" t="s">
        <v>39943</v>
      </c>
      <c r="R1519" s="12" t="s">
        <v>40628</v>
      </c>
      <c r="S1519" s="12" t="s">
        <v>44914</v>
      </c>
      <c r="T1519" s="12" t="s">
        <v>44915</v>
      </c>
      <c r="U1519" s="12" t="s">
        <v>38986</v>
      </c>
      <c r="V1519" s="12" t="s">
        <v>37998</v>
      </c>
      <c r="W1519" s="12" t="s">
        <v>38323</v>
      </c>
      <c r="X1519" s="12" t="s">
        <v>40089</v>
      </c>
      <c r="Y1519" s="12" t="s">
        <v>43928</v>
      </c>
      <c r="Z1519" s="12" t="s">
        <v>40044</v>
      </c>
      <c r="AA1519" s="12" t="s">
        <v>44916</v>
      </c>
      <c r="AB1519" s="12" t="s">
        <v>44917</v>
      </c>
      <c r="AC1519" s="12" t="s">
        <v>38582</v>
      </c>
      <c r="AD1519" s="12" t="s">
        <v>40168</v>
      </c>
      <c r="AE1519" s="12" t="s">
        <v>39086</v>
      </c>
      <c r="AF1519" s="12" t="s">
        <v>41217</v>
      </c>
      <c r="AG1519" s="12" t="s">
        <v>41843</v>
      </c>
      <c r="AH1519" s="12" t="s">
        <v>44918</v>
      </c>
      <c r="AI1519" s="12"/>
      <c r="AJ1519" s="12"/>
      <c r="AK1519" s="12"/>
      <c r="AL1519" s="12"/>
      <c r="AM1519" s="12"/>
      <c r="AN1519" s="12"/>
      <c r="AO1519" s="12"/>
      <c r="AP1519" s="12"/>
      <c r="AQ1519" s="12"/>
      <c r="AR1519" s="12"/>
      <c r="AS1519" s="12"/>
      <c r="AT1519" s="12"/>
      <c r="AU1519" s="12"/>
      <c r="AV1519" s="12"/>
      <c r="AW1519" s="12"/>
      <c r="AX1519" s="12"/>
      <c r="AY1519" s="12"/>
      <c r="AZ1519" s="12"/>
      <c r="BA1519" s="12"/>
      <c r="BB1519" s="12"/>
      <c r="BC1519" s="12"/>
      <c r="BD1519" s="12"/>
      <c r="BE1519" s="12"/>
      <c r="BF1519" s="12"/>
      <c r="BG1519" s="12"/>
      <c r="BH1519" s="12"/>
      <c r="BI1519" s="12"/>
      <c r="BJ1519" s="12"/>
      <c r="BK1519" s="12"/>
      <c r="BL1519" s="12"/>
      <c r="BM1519" s="12"/>
      <c r="BN1519" s="12"/>
      <c r="BO1519" s="12"/>
      <c r="BP1519" s="12"/>
      <c r="BQ1519" s="12"/>
      <c r="BR1519" s="12"/>
      <c r="BS1519" s="12"/>
      <c r="BT1519" s="12"/>
    </row>
    <row r="1520" spans="1:72">
      <c r="A1520" s="2" t="s">
        <v>29155</v>
      </c>
      <c r="B1520" s="5" t="s">
        <v>29161</v>
      </c>
      <c r="C1520" s="3" t="s">
        <v>138</v>
      </c>
      <c r="D1520" s="4" t="s">
        <v>138</v>
      </c>
      <c r="E1520" s="15" t="s">
        <v>966</v>
      </c>
      <c r="F1520" s="15" t="s">
        <v>200</v>
      </c>
      <c r="G1520" s="15" t="s">
        <v>162</v>
      </c>
      <c r="H1520" s="7">
        <v>17</v>
      </c>
      <c r="I1520" s="6" t="s">
        <v>29171</v>
      </c>
      <c r="J1520" s="6" t="s">
        <v>38472</v>
      </c>
      <c r="K1520" s="6" t="s">
        <v>37979</v>
      </c>
      <c r="L1520" s="6" t="s">
        <v>40941</v>
      </c>
      <c r="M1520" s="6" t="s">
        <v>42834</v>
      </c>
      <c r="N1520" s="6" t="s">
        <v>38075</v>
      </c>
      <c r="O1520" s="6" t="s">
        <v>44919</v>
      </c>
      <c r="P1520" s="6" t="s">
        <v>38114</v>
      </c>
      <c r="Q1520" s="6" t="s">
        <v>41915</v>
      </c>
      <c r="R1520" s="6" t="s">
        <v>43685</v>
      </c>
      <c r="S1520" s="6" t="s">
        <v>38770</v>
      </c>
      <c r="T1520" s="6" t="s">
        <v>37839</v>
      </c>
      <c r="U1520" s="6" t="s">
        <v>37998</v>
      </c>
      <c r="V1520" s="6" t="s">
        <v>44920</v>
      </c>
      <c r="W1520" s="6" t="s">
        <v>42180</v>
      </c>
      <c r="X1520" s="6" t="s">
        <v>44516</v>
      </c>
      <c r="Y1520" s="6" t="s">
        <v>38006</v>
      </c>
      <c r="Z1520" s="6" t="s">
        <v>37886</v>
      </c>
      <c r="AA1520" s="6"/>
      <c r="AB1520" s="6"/>
      <c r="AC1520" s="6"/>
      <c r="AD1520" s="6"/>
      <c r="AE1520" s="6"/>
      <c r="AF1520" s="6"/>
      <c r="AG1520" s="6"/>
      <c r="AH1520" s="6"/>
      <c r="AI1520" s="6"/>
      <c r="AJ1520" s="6"/>
      <c r="AK1520" s="6"/>
      <c r="AL1520" s="6"/>
      <c r="AM1520" s="6"/>
      <c r="AN1520" s="6"/>
      <c r="AO1520" s="6"/>
      <c r="AP1520" s="6"/>
      <c r="AQ1520" s="6"/>
      <c r="AR1520" s="6"/>
      <c r="AS1520" s="6"/>
      <c r="AT1520" s="6"/>
      <c r="AU1520" s="6"/>
      <c r="AV1520" s="6"/>
      <c r="AW1520" s="6"/>
      <c r="AX1520" s="6"/>
      <c r="AY1520" s="6"/>
      <c r="AZ1520" s="6"/>
      <c r="BA1520" s="6"/>
      <c r="BB1520" s="6"/>
      <c r="BC1520" s="6"/>
      <c r="BD1520" s="6"/>
      <c r="BE1520" s="6"/>
      <c r="BF1520" s="6"/>
      <c r="BG1520" s="6"/>
      <c r="BH1520" s="6"/>
      <c r="BI1520" s="6"/>
      <c r="BJ1520" s="6"/>
      <c r="BK1520" s="6"/>
      <c r="BL1520" s="6"/>
      <c r="BM1520" s="6"/>
      <c r="BN1520" s="6"/>
      <c r="BO1520" s="6"/>
      <c r="BP1520" s="6"/>
      <c r="BQ1520" s="6"/>
      <c r="BR1520" s="6"/>
      <c r="BS1520" s="6"/>
      <c r="BT1520" s="6"/>
    </row>
    <row r="1521" spans="1:72">
      <c r="A1521" s="8" t="s">
        <v>29174</v>
      </c>
      <c r="B1521" s="11" t="s">
        <v>29180</v>
      </c>
      <c r="C1521" s="9" t="s">
        <v>29175</v>
      </c>
      <c r="D1521" s="10" t="s">
        <v>138</v>
      </c>
      <c r="E1521" s="28" t="s">
        <v>310</v>
      </c>
      <c r="F1521" s="28" t="s">
        <v>200</v>
      </c>
      <c r="G1521" s="28" t="s">
        <v>162</v>
      </c>
      <c r="H1521" s="13">
        <v>6</v>
      </c>
      <c r="I1521" s="12" t="s">
        <v>29188</v>
      </c>
      <c r="J1521" s="12" t="s">
        <v>39282</v>
      </c>
      <c r="K1521" s="12" t="s">
        <v>40413</v>
      </c>
      <c r="L1521" s="12" t="s">
        <v>38200</v>
      </c>
      <c r="M1521" s="12" t="s">
        <v>39694</v>
      </c>
      <c r="N1521" s="12" t="s">
        <v>37808</v>
      </c>
      <c r="O1521" s="12" t="s">
        <v>39626</v>
      </c>
      <c r="P1521" s="12"/>
      <c r="Q1521" s="12"/>
      <c r="R1521" s="12"/>
      <c r="S1521" s="12"/>
      <c r="T1521" s="12"/>
      <c r="U1521" s="12"/>
      <c r="V1521" s="12"/>
      <c r="W1521" s="12"/>
      <c r="X1521" s="12"/>
      <c r="Y1521" s="12"/>
      <c r="Z1521" s="12"/>
      <c r="AA1521" s="12"/>
      <c r="AB1521" s="12"/>
      <c r="AC1521" s="12"/>
      <c r="AD1521" s="12"/>
      <c r="AE1521" s="12"/>
      <c r="AF1521" s="12"/>
      <c r="AG1521" s="12"/>
      <c r="AH1521" s="12"/>
      <c r="AI1521" s="12"/>
      <c r="AJ1521" s="12"/>
      <c r="AK1521" s="12"/>
      <c r="AL1521" s="12"/>
      <c r="AM1521" s="12"/>
      <c r="AN1521" s="12"/>
      <c r="AO1521" s="12"/>
      <c r="AP1521" s="12"/>
      <c r="AQ1521" s="12"/>
      <c r="AR1521" s="12"/>
      <c r="AS1521" s="12"/>
      <c r="AT1521" s="12"/>
      <c r="AU1521" s="12"/>
      <c r="AV1521" s="12"/>
      <c r="AW1521" s="12"/>
      <c r="AX1521" s="12"/>
      <c r="AY1521" s="12"/>
      <c r="AZ1521" s="12"/>
      <c r="BA1521" s="12"/>
      <c r="BB1521" s="12"/>
      <c r="BC1521" s="12"/>
      <c r="BD1521" s="12"/>
      <c r="BE1521" s="12"/>
      <c r="BF1521" s="12"/>
      <c r="BG1521" s="12"/>
      <c r="BH1521" s="12"/>
      <c r="BI1521" s="12"/>
      <c r="BJ1521" s="12"/>
      <c r="BK1521" s="12"/>
      <c r="BL1521" s="12"/>
      <c r="BM1521" s="12"/>
      <c r="BN1521" s="12"/>
      <c r="BO1521" s="12"/>
      <c r="BP1521" s="12"/>
      <c r="BQ1521" s="12"/>
      <c r="BR1521" s="12"/>
      <c r="BS1521" s="12"/>
      <c r="BT1521" s="12"/>
    </row>
    <row r="1522" spans="1:72">
      <c r="A1522" s="2" t="s">
        <v>29191</v>
      </c>
      <c r="B1522" s="5" t="s">
        <v>29195</v>
      </c>
      <c r="C1522" s="3" t="s">
        <v>138</v>
      </c>
      <c r="D1522" s="4" t="s">
        <v>138</v>
      </c>
      <c r="E1522" s="15" t="s">
        <v>1171</v>
      </c>
      <c r="F1522" s="15" t="s">
        <v>200</v>
      </c>
      <c r="G1522" s="15" t="s">
        <v>162</v>
      </c>
      <c r="H1522" s="7">
        <v>9</v>
      </c>
      <c r="I1522" s="6" t="s">
        <v>29204</v>
      </c>
      <c r="J1522" s="6" t="s">
        <v>37811</v>
      </c>
      <c r="K1522" s="6" t="s">
        <v>37936</v>
      </c>
      <c r="L1522" s="6" t="s">
        <v>39612</v>
      </c>
      <c r="M1522" s="6" t="s">
        <v>38630</v>
      </c>
      <c r="N1522" s="6" t="s">
        <v>42836</v>
      </c>
      <c r="O1522" s="6" t="s">
        <v>38049</v>
      </c>
      <c r="P1522" s="6" t="s">
        <v>37998</v>
      </c>
      <c r="Q1522" s="6" t="s">
        <v>38085</v>
      </c>
      <c r="R1522" s="6" t="s">
        <v>38137</v>
      </c>
      <c r="S1522" s="6"/>
      <c r="T1522" s="6"/>
      <c r="U1522" s="6"/>
      <c r="V1522" s="6"/>
      <c r="W1522" s="6"/>
      <c r="X1522" s="6"/>
      <c r="Y1522" s="6"/>
      <c r="Z1522" s="6"/>
      <c r="AA1522" s="6"/>
      <c r="AB1522" s="6"/>
      <c r="AC1522" s="6"/>
      <c r="AD1522" s="6"/>
      <c r="AE1522" s="6"/>
      <c r="AF1522" s="6"/>
      <c r="AG1522" s="6"/>
      <c r="AH1522" s="6"/>
      <c r="AI1522" s="6"/>
      <c r="AJ1522" s="6"/>
      <c r="AK1522" s="6"/>
      <c r="AL1522" s="6"/>
      <c r="AM1522" s="6"/>
      <c r="AN1522" s="6"/>
      <c r="AO1522" s="6"/>
      <c r="AP1522" s="6"/>
      <c r="AQ1522" s="6"/>
      <c r="AR1522" s="6"/>
      <c r="AS1522" s="6"/>
      <c r="AT1522" s="6"/>
      <c r="AU1522" s="6"/>
      <c r="AV1522" s="6"/>
      <c r="AW1522" s="6"/>
      <c r="AX1522" s="6"/>
      <c r="AY1522" s="6"/>
      <c r="AZ1522" s="6"/>
      <c r="BA1522" s="6"/>
      <c r="BB1522" s="6"/>
      <c r="BC1522" s="6"/>
      <c r="BD1522" s="6"/>
      <c r="BE1522" s="6"/>
      <c r="BF1522" s="6"/>
      <c r="BG1522" s="6"/>
      <c r="BH1522" s="6"/>
      <c r="BI1522" s="6"/>
      <c r="BJ1522" s="6"/>
      <c r="BK1522" s="6"/>
      <c r="BL1522" s="6"/>
      <c r="BM1522" s="6"/>
      <c r="BN1522" s="6"/>
      <c r="BO1522" s="6"/>
      <c r="BP1522" s="6"/>
      <c r="BQ1522" s="6"/>
      <c r="BR1522" s="6"/>
      <c r="BS1522" s="6"/>
      <c r="BT1522" s="6"/>
    </row>
    <row r="1523" spans="1:72">
      <c r="A1523" s="8" t="s">
        <v>29207</v>
      </c>
      <c r="B1523" s="11" t="s">
        <v>29212</v>
      </c>
      <c r="C1523" s="9" t="s">
        <v>138</v>
      </c>
      <c r="D1523" s="10" t="s">
        <v>138</v>
      </c>
      <c r="E1523" s="28" t="s">
        <v>668</v>
      </c>
      <c r="F1523" s="28" t="s">
        <v>200</v>
      </c>
      <c r="G1523" s="28" t="s">
        <v>162</v>
      </c>
      <c r="H1523" s="13">
        <v>9</v>
      </c>
      <c r="I1523" s="12" t="s">
        <v>29220</v>
      </c>
      <c r="J1523" s="12" t="s">
        <v>43064</v>
      </c>
      <c r="K1523" s="12" t="s">
        <v>39849</v>
      </c>
      <c r="L1523" s="12" t="s">
        <v>39091</v>
      </c>
      <c r="M1523" s="12" t="s">
        <v>38209</v>
      </c>
      <c r="N1523" s="12" t="s">
        <v>38968</v>
      </c>
      <c r="O1523" s="12" t="s">
        <v>39359</v>
      </c>
      <c r="P1523" s="12" t="s">
        <v>41234</v>
      </c>
      <c r="Q1523" s="12" t="s">
        <v>38049</v>
      </c>
      <c r="R1523" s="12" t="s">
        <v>37976</v>
      </c>
      <c r="S1523" s="12"/>
      <c r="T1523" s="12"/>
      <c r="U1523" s="12"/>
      <c r="V1523" s="12"/>
      <c r="W1523" s="12"/>
      <c r="X1523" s="12"/>
      <c r="Y1523" s="12"/>
      <c r="Z1523" s="12"/>
      <c r="AA1523" s="12"/>
      <c r="AB1523" s="12"/>
      <c r="AC1523" s="12"/>
      <c r="AD1523" s="12"/>
      <c r="AE1523" s="12"/>
      <c r="AF1523" s="12"/>
      <c r="AG1523" s="12"/>
      <c r="AH1523" s="12"/>
      <c r="AI1523" s="12"/>
      <c r="AJ1523" s="12"/>
      <c r="AK1523" s="12"/>
      <c r="AL1523" s="12"/>
      <c r="AM1523" s="12"/>
      <c r="AN1523" s="12"/>
      <c r="AO1523" s="12"/>
      <c r="AP1523" s="12"/>
      <c r="AQ1523" s="12"/>
      <c r="AR1523" s="12"/>
      <c r="AS1523" s="12"/>
      <c r="AT1523" s="12"/>
      <c r="AU1523" s="12"/>
      <c r="AV1523" s="12"/>
      <c r="AW1523" s="12"/>
      <c r="AX1523" s="12"/>
      <c r="AY1523" s="12"/>
      <c r="AZ1523" s="12"/>
      <c r="BA1523" s="12"/>
      <c r="BB1523" s="12"/>
      <c r="BC1523" s="12"/>
      <c r="BD1523" s="12"/>
      <c r="BE1523" s="12"/>
      <c r="BF1523" s="12"/>
      <c r="BG1523" s="12"/>
      <c r="BH1523" s="12"/>
      <c r="BI1523" s="12"/>
      <c r="BJ1523" s="12"/>
      <c r="BK1523" s="12"/>
      <c r="BL1523" s="12"/>
      <c r="BM1523" s="12"/>
      <c r="BN1523" s="12"/>
      <c r="BO1523" s="12"/>
      <c r="BP1523" s="12"/>
      <c r="BQ1523" s="12"/>
      <c r="BR1523" s="12"/>
      <c r="BS1523" s="12"/>
      <c r="BT1523" s="12"/>
    </row>
    <row r="1524" spans="1:72">
      <c r="A1524" s="2" t="s">
        <v>29223</v>
      </c>
      <c r="B1524" s="5" t="s">
        <v>29228</v>
      </c>
      <c r="C1524" s="3" t="s">
        <v>138</v>
      </c>
      <c r="D1524" s="4" t="s">
        <v>138</v>
      </c>
      <c r="E1524" s="15" t="s">
        <v>5700</v>
      </c>
      <c r="F1524" s="15" t="s">
        <v>138</v>
      </c>
      <c r="G1524" s="15" t="s">
        <v>740</v>
      </c>
      <c r="H1524" s="7">
        <v>13</v>
      </c>
      <c r="I1524" s="6" t="s">
        <v>29239</v>
      </c>
      <c r="J1524" s="6" t="s">
        <v>44921</v>
      </c>
      <c r="K1524" s="6" t="s">
        <v>42147</v>
      </c>
      <c r="L1524" s="6" t="s">
        <v>40363</v>
      </c>
      <c r="M1524" s="6" t="s">
        <v>43229</v>
      </c>
      <c r="N1524" s="6" t="s">
        <v>44922</v>
      </c>
      <c r="O1524" s="6" t="s">
        <v>41828</v>
      </c>
      <c r="P1524" s="6" t="s">
        <v>37818</v>
      </c>
      <c r="Q1524" s="6" t="s">
        <v>44923</v>
      </c>
      <c r="R1524" s="6" t="s">
        <v>41704</v>
      </c>
      <c r="S1524" s="6" t="s">
        <v>44924</v>
      </c>
      <c r="T1524" s="6" t="s">
        <v>38049</v>
      </c>
      <c r="U1524" s="6" t="s">
        <v>44925</v>
      </c>
      <c r="V1524" s="6" t="s">
        <v>44926</v>
      </c>
      <c r="W1524" s="6"/>
      <c r="X1524" s="6"/>
      <c r="Y1524" s="6"/>
      <c r="Z1524" s="6"/>
      <c r="AA1524" s="6"/>
      <c r="AB1524" s="6"/>
      <c r="AC1524" s="6"/>
      <c r="AD1524" s="6"/>
      <c r="AE1524" s="6"/>
      <c r="AF1524" s="6"/>
      <c r="AG1524" s="6"/>
      <c r="AH1524" s="6"/>
      <c r="AI1524" s="6"/>
      <c r="AJ1524" s="6"/>
      <c r="AK1524" s="6"/>
      <c r="AL1524" s="6"/>
      <c r="AM1524" s="6"/>
      <c r="AN1524" s="6"/>
      <c r="AO1524" s="6"/>
      <c r="AP1524" s="6"/>
      <c r="AQ1524" s="6"/>
      <c r="AR1524" s="6"/>
      <c r="AS1524" s="6"/>
      <c r="AT1524" s="6"/>
      <c r="AU1524" s="6"/>
      <c r="AV1524" s="6"/>
      <c r="AW1524" s="6"/>
      <c r="AX1524" s="6"/>
      <c r="AY1524" s="6"/>
      <c r="AZ1524" s="6"/>
      <c r="BA1524" s="6"/>
      <c r="BB1524" s="6"/>
      <c r="BC1524" s="6"/>
      <c r="BD1524" s="6"/>
      <c r="BE1524" s="6"/>
      <c r="BF1524" s="6"/>
      <c r="BG1524" s="6"/>
      <c r="BH1524" s="6"/>
      <c r="BI1524" s="6"/>
      <c r="BJ1524" s="6"/>
      <c r="BK1524" s="6"/>
      <c r="BL1524" s="6"/>
      <c r="BM1524" s="6"/>
      <c r="BN1524" s="6"/>
      <c r="BO1524" s="6"/>
      <c r="BP1524" s="6"/>
      <c r="BQ1524" s="6"/>
      <c r="BR1524" s="6"/>
      <c r="BS1524" s="6"/>
      <c r="BT1524" s="6"/>
    </row>
    <row r="1525" spans="1:72">
      <c r="A1525" s="8" t="s">
        <v>29242</v>
      </c>
      <c r="B1525" s="11" t="s">
        <v>29245</v>
      </c>
      <c r="C1525" s="9" t="s">
        <v>138</v>
      </c>
      <c r="D1525" s="10" t="s">
        <v>138</v>
      </c>
      <c r="E1525" s="28" t="s">
        <v>1171</v>
      </c>
      <c r="F1525" s="28" t="s">
        <v>200</v>
      </c>
      <c r="G1525" s="28" t="s">
        <v>162</v>
      </c>
      <c r="H1525" s="13">
        <v>5</v>
      </c>
      <c r="I1525" s="12" t="s">
        <v>29252</v>
      </c>
      <c r="J1525" s="12" t="s">
        <v>42021</v>
      </c>
      <c r="K1525" s="12" t="s">
        <v>38057</v>
      </c>
      <c r="L1525" s="12" t="s">
        <v>39738</v>
      </c>
      <c r="M1525" s="12" t="s">
        <v>40763</v>
      </c>
      <c r="N1525" s="12" t="s">
        <v>39428</v>
      </c>
      <c r="O1525" s="12"/>
      <c r="P1525" s="12"/>
      <c r="Q1525" s="12"/>
      <c r="R1525" s="12"/>
      <c r="S1525" s="12"/>
      <c r="T1525" s="12"/>
      <c r="U1525" s="12"/>
      <c r="V1525" s="12"/>
      <c r="W1525" s="12"/>
      <c r="X1525" s="12"/>
      <c r="Y1525" s="12"/>
      <c r="Z1525" s="12"/>
      <c r="AA1525" s="12"/>
      <c r="AB1525" s="12"/>
      <c r="AC1525" s="12"/>
      <c r="AD1525" s="12"/>
      <c r="AE1525" s="12"/>
      <c r="AF1525" s="12"/>
      <c r="AG1525" s="12"/>
      <c r="AH1525" s="12"/>
      <c r="AI1525" s="12"/>
      <c r="AJ1525" s="12"/>
      <c r="AK1525" s="12"/>
      <c r="AL1525" s="12"/>
      <c r="AM1525" s="12"/>
      <c r="AN1525" s="12"/>
      <c r="AO1525" s="12"/>
      <c r="AP1525" s="12"/>
      <c r="AQ1525" s="12"/>
      <c r="AR1525" s="12"/>
      <c r="AS1525" s="12"/>
      <c r="AT1525" s="12"/>
      <c r="AU1525" s="12"/>
      <c r="AV1525" s="12"/>
      <c r="AW1525" s="12"/>
      <c r="AX1525" s="12"/>
      <c r="AY1525" s="12"/>
      <c r="AZ1525" s="12"/>
      <c r="BA1525" s="12"/>
      <c r="BB1525" s="12"/>
      <c r="BC1525" s="12"/>
      <c r="BD1525" s="12"/>
      <c r="BE1525" s="12"/>
      <c r="BF1525" s="12"/>
      <c r="BG1525" s="12"/>
      <c r="BH1525" s="12"/>
      <c r="BI1525" s="12"/>
      <c r="BJ1525" s="12"/>
      <c r="BK1525" s="12"/>
      <c r="BL1525" s="12"/>
      <c r="BM1525" s="12"/>
      <c r="BN1525" s="12"/>
      <c r="BO1525" s="12"/>
      <c r="BP1525" s="12"/>
      <c r="BQ1525" s="12"/>
      <c r="BR1525" s="12"/>
      <c r="BS1525" s="12"/>
      <c r="BT1525" s="12"/>
    </row>
    <row r="1526" spans="1:72">
      <c r="A1526" s="2" t="s">
        <v>29255</v>
      </c>
      <c r="B1526" s="5" t="s">
        <v>29260</v>
      </c>
      <c r="C1526" s="3" t="s">
        <v>138</v>
      </c>
      <c r="D1526" s="4" t="s">
        <v>138</v>
      </c>
      <c r="E1526" s="15" t="s">
        <v>1246</v>
      </c>
      <c r="F1526" s="15" t="s">
        <v>200</v>
      </c>
      <c r="G1526" s="15" t="s">
        <v>162</v>
      </c>
      <c r="H1526" s="7">
        <v>9</v>
      </c>
      <c r="I1526" s="6" t="s">
        <v>29269</v>
      </c>
      <c r="J1526" s="6" t="s">
        <v>44927</v>
      </c>
      <c r="K1526" s="6" t="s">
        <v>44928</v>
      </c>
      <c r="L1526" s="6" t="s">
        <v>44929</v>
      </c>
      <c r="M1526" s="6" t="s">
        <v>39405</v>
      </c>
      <c r="N1526" s="6" t="s">
        <v>44930</v>
      </c>
      <c r="O1526" s="6" t="s">
        <v>37883</v>
      </c>
      <c r="P1526" s="6" t="s">
        <v>44931</v>
      </c>
      <c r="Q1526" s="6" t="s">
        <v>37824</v>
      </c>
      <c r="R1526" s="6" t="s">
        <v>37770</v>
      </c>
      <c r="S1526" s="6"/>
      <c r="T1526" s="6"/>
      <c r="U1526" s="6"/>
      <c r="V1526" s="6"/>
      <c r="W1526" s="6"/>
      <c r="X1526" s="6"/>
      <c r="Y1526" s="6"/>
      <c r="Z1526" s="6"/>
      <c r="AA1526" s="6"/>
      <c r="AB1526" s="6"/>
      <c r="AC1526" s="6"/>
      <c r="AD1526" s="6"/>
      <c r="AE1526" s="6"/>
      <c r="AF1526" s="6"/>
      <c r="AG1526" s="6"/>
      <c r="AH1526" s="6"/>
      <c r="AI1526" s="6"/>
      <c r="AJ1526" s="6"/>
      <c r="AK1526" s="6"/>
      <c r="AL1526" s="6"/>
      <c r="AM1526" s="6"/>
      <c r="AN1526" s="6"/>
      <c r="AO1526" s="6"/>
      <c r="AP1526" s="6"/>
      <c r="AQ1526" s="6"/>
      <c r="AR1526" s="6"/>
      <c r="AS1526" s="6"/>
      <c r="AT1526" s="6"/>
      <c r="AU1526" s="6"/>
      <c r="AV1526" s="6"/>
      <c r="AW1526" s="6"/>
      <c r="AX1526" s="6"/>
      <c r="AY1526" s="6"/>
      <c r="AZ1526" s="6"/>
      <c r="BA1526" s="6"/>
      <c r="BB1526" s="6"/>
      <c r="BC1526" s="6"/>
      <c r="BD1526" s="6"/>
      <c r="BE1526" s="6"/>
      <c r="BF1526" s="6"/>
      <c r="BG1526" s="6"/>
      <c r="BH1526" s="6"/>
      <c r="BI1526" s="6"/>
      <c r="BJ1526" s="6"/>
      <c r="BK1526" s="6"/>
      <c r="BL1526" s="6"/>
      <c r="BM1526" s="6"/>
      <c r="BN1526" s="6"/>
      <c r="BO1526" s="6"/>
      <c r="BP1526" s="6"/>
      <c r="BQ1526" s="6"/>
      <c r="BR1526" s="6"/>
      <c r="BS1526" s="6"/>
      <c r="BT1526" s="6"/>
    </row>
    <row r="1527" spans="1:72">
      <c r="A1527" s="8" t="s">
        <v>29272</v>
      </c>
      <c r="B1527" s="11" t="s">
        <v>29278</v>
      </c>
      <c r="C1527" s="9" t="s">
        <v>138</v>
      </c>
      <c r="D1527" s="10" t="s">
        <v>29273</v>
      </c>
      <c r="E1527" s="28" t="s">
        <v>6495</v>
      </c>
      <c r="F1527" s="28" t="s">
        <v>138</v>
      </c>
      <c r="G1527" s="28" t="s">
        <v>6495</v>
      </c>
      <c r="H1527" s="13">
        <v>6</v>
      </c>
      <c r="I1527" s="12" t="s">
        <v>29287</v>
      </c>
      <c r="J1527" s="12" t="s">
        <v>44932</v>
      </c>
      <c r="K1527" s="12" t="s">
        <v>44933</v>
      </c>
      <c r="L1527" s="12" t="s">
        <v>44934</v>
      </c>
      <c r="M1527" s="12" t="s">
        <v>44935</v>
      </c>
      <c r="N1527" s="12" t="s">
        <v>38049</v>
      </c>
      <c r="O1527" s="12" t="s">
        <v>44936</v>
      </c>
      <c r="P1527" s="12"/>
      <c r="Q1527" s="12"/>
      <c r="R1527" s="12"/>
      <c r="S1527" s="12"/>
      <c r="T1527" s="12"/>
      <c r="U1527" s="12"/>
      <c r="V1527" s="12"/>
      <c r="W1527" s="12"/>
      <c r="X1527" s="12"/>
      <c r="Y1527" s="12"/>
      <c r="Z1527" s="12"/>
      <c r="AA1527" s="12"/>
      <c r="AB1527" s="12"/>
      <c r="AC1527" s="12"/>
      <c r="AD1527" s="12"/>
      <c r="AE1527" s="12"/>
      <c r="AF1527" s="12"/>
      <c r="AG1527" s="12"/>
      <c r="AH1527" s="12"/>
      <c r="AI1527" s="12"/>
      <c r="AJ1527" s="12"/>
      <c r="AK1527" s="12"/>
      <c r="AL1527" s="12"/>
      <c r="AM1527" s="12"/>
      <c r="AN1527" s="12"/>
      <c r="AO1527" s="12"/>
      <c r="AP1527" s="12"/>
      <c r="AQ1527" s="12"/>
      <c r="AR1527" s="12"/>
      <c r="AS1527" s="12"/>
      <c r="AT1527" s="12"/>
      <c r="AU1527" s="12"/>
      <c r="AV1527" s="12"/>
      <c r="AW1527" s="12"/>
      <c r="AX1527" s="12"/>
      <c r="AY1527" s="12"/>
      <c r="AZ1527" s="12"/>
      <c r="BA1527" s="12"/>
      <c r="BB1527" s="12"/>
      <c r="BC1527" s="12"/>
      <c r="BD1527" s="12"/>
      <c r="BE1527" s="12"/>
      <c r="BF1527" s="12"/>
      <c r="BG1527" s="12"/>
      <c r="BH1527" s="12"/>
      <c r="BI1527" s="12"/>
      <c r="BJ1527" s="12"/>
      <c r="BK1527" s="12"/>
      <c r="BL1527" s="12"/>
      <c r="BM1527" s="12"/>
      <c r="BN1527" s="12"/>
      <c r="BO1527" s="12"/>
      <c r="BP1527" s="12"/>
      <c r="BQ1527" s="12"/>
      <c r="BR1527" s="12"/>
      <c r="BS1527" s="12"/>
      <c r="BT1527" s="12"/>
    </row>
    <row r="1528" spans="1:72">
      <c r="A1528" s="2" t="s">
        <v>29290</v>
      </c>
      <c r="B1528" s="5" t="s">
        <v>29296</v>
      </c>
      <c r="C1528" s="3" t="s">
        <v>29291</v>
      </c>
      <c r="D1528" s="4" t="s">
        <v>138</v>
      </c>
      <c r="E1528" s="15" t="s">
        <v>1246</v>
      </c>
      <c r="F1528" s="15" t="s">
        <v>200</v>
      </c>
      <c r="G1528" s="15" t="s">
        <v>162</v>
      </c>
      <c r="H1528" s="7">
        <v>4</v>
      </c>
      <c r="I1528" s="6" t="s">
        <v>29305</v>
      </c>
      <c r="J1528" s="6" t="s">
        <v>38206</v>
      </c>
      <c r="K1528" s="6" t="s">
        <v>37960</v>
      </c>
      <c r="L1528" s="6" t="s">
        <v>44937</v>
      </c>
      <c r="M1528" s="6" t="s">
        <v>38200</v>
      </c>
      <c r="N1528" s="6"/>
      <c r="O1528" s="6"/>
      <c r="P1528" s="6"/>
      <c r="Q1528" s="6"/>
      <c r="R1528" s="6"/>
      <c r="S1528" s="6"/>
      <c r="T1528" s="6"/>
      <c r="U1528" s="6"/>
      <c r="V1528" s="6"/>
      <c r="W1528" s="6"/>
      <c r="X1528" s="6"/>
      <c r="Y1528" s="6"/>
      <c r="Z1528" s="6"/>
      <c r="AA1528" s="6"/>
      <c r="AB1528" s="6"/>
      <c r="AC1528" s="6"/>
      <c r="AD1528" s="6"/>
      <c r="AE1528" s="6"/>
      <c r="AF1528" s="6"/>
      <c r="AG1528" s="6"/>
      <c r="AH1528" s="6"/>
      <c r="AI1528" s="6"/>
      <c r="AJ1528" s="6"/>
      <c r="AK1528" s="6"/>
      <c r="AL1528" s="6"/>
      <c r="AM1528" s="6"/>
      <c r="AN1528" s="6"/>
      <c r="AO1528" s="6"/>
      <c r="AP1528" s="6"/>
      <c r="AQ1528" s="6"/>
      <c r="AR1528" s="6"/>
      <c r="AS1528" s="6"/>
      <c r="AT1528" s="6"/>
      <c r="AU1528" s="6"/>
      <c r="AV1528" s="6"/>
      <c r="AW1528" s="6"/>
      <c r="AX1528" s="6"/>
      <c r="AY1528" s="6"/>
      <c r="AZ1528" s="6"/>
      <c r="BA1528" s="6"/>
      <c r="BB1528" s="6"/>
      <c r="BC1528" s="6"/>
      <c r="BD1528" s="6"/>
      <c r="BE1528" s="6"/>
      <c r="BF1528" s="6"/>
      <c r="BG1528" s="6"/>
      <c r="BH1528" s="6"/>
      <c r="BI1528" s="6"/>
      <c r="BJ1528" s="6"/>
      <c r="BK1528" s="6"/>
      <c r="BL1528" s="6"/>
      <c r="BM1528" s="6"/>
      <c r="BN1528" s="6"/>
      <c r="BO1528" s="6"/>
      <c r="BP1528" s="6"/>
      <c r="BQ1528" s="6"/>
      <c r="BR1528" s="6"/>
      <c r="BS1528" s="6"/>
      <c r="BT1528" s="6"/>
    </row>
    <row r="1529" spans="1:72">
      <c r="A1529" s="8" t="s">
        <v>29308</v>
      </c>
      <c r="B1529" s="11" t="s">
        <v>29312</v>
      </c>
      <c r="C1529" s="9" t="s">
        <v>138</v>
      </c>
      <c r="D1529" s="10" t="s">
        <v>138</v>
      </c>
      <c r="E1529" s="28" t="s">
        <v>8145</v>
      </c>
      <c r="F1529" s="28" t="s">
        <v>2331</v>
      </c>
      <c r="G1529" s="28" t="s">
        <v>2333</v>
      </c>
      <c r="H1529" s="13">
        <v>19</v>
      </c>
      <c r="I1529" s="12" t="s">
        <v>29323</v>
      </c>
      <c r="J1529" s="12" t="s">
        <v>44938</v>
      </c>
      <c r="K1529" s="12" t="s">
        <v>44939</v>
      </c>
      <c r="L1529" s="12" t="s">
        <v>40279</v>
      </c>
      <c r="M1529" s="12" t="s">
        <v>43671</v>
      </c>
      <c r="N1529" s="12" t="s">
        <v>44940</v>
      </c>
      <c r="O1529" s="12" t="s">
        <v>44941</v>
      </c>
      <c r="P1529" s="12" t="s">
        <v>44942</v>
      </c>
      <c r="Q1529" s="12" t="s">
        <v>44943</v>
      </c>
      <c r="R1529" s="12" t="s">
        <v>44944</v>
      </c>
      <c r="S1529" s="12" t="s">
        <v>43906</v>
      </c>
      <c r="T1529" s="12" t="s">
        <v>44945</v>
      </c>
      <c r="U1529" s="12" t="s">
        <v>44946</v>
      </c>
      <c r="V1529" s="12" t="s">
        <v>38065</v>
      </c>
      <c r="W1529" s="12" t="s">
        <v>44947</v>
      </c>
      <c r="X1529" s="12" t="s">
        <v>44948</v>
      </c>
      <c r="Y1529" s="12" t="s">
        <v>44949</v>
      </c>
      <c r="Z1529" s="12" t="s">
        <v>44950</v>
      </c>
      <c r="AA1529" s="12" t="s">
        <v>44951</v>
      </c>
      <c r="AB1529" s="12" t="s">
        <v>44952</v>
      </c>
      <c r="AC1529" s="12"/>
      <c r="AD1529" s="12"/>
      <c r="AE1529" s="12"/>
      <c r="AF1529" s="12"/>
      <c r="AG1529" s="12"/>
      <c r="AH1529" s="12"/>
      <c r="AI1529" s="12"/>
      <c r="AJ1529" s="12"/>
      <c r="AK1529" s="12"/>
      <c r="AL1529" s="12"/>
      <c r="AM1529" s="12"/>
      <c r="AN1529" s="12"/>
      <c r="AO1529" s="12"/>
      <c r="AP1529" s="12"/>
      <c r="AQ1529" s="12"/>
      <c r="AR1529" s="12"/>
      <c r="AS1529" s="12"/>
      <c r="AT1529" s="12"/>
      <c r="AU1529" s="12"/>
      <c r="AV1529" s="12"/>
      <c r="AW1529" s="12"/>
      <c r="AX1529" s="12"/>
      <c r="AY1529" s="12"/>
      <c r="AZ1529" s="12"/>
      <c r="BA1529" s="12"/>
      <c r="BB1529" s="12"/>
      <c r="BC1529" s="12"/>
      <c r="BD1529" s="12"/>
      <c r="BE1529" s="12"/>
      <c r="BF1529" s="12"/>
      <c r="BG1529" s="12"/>
      <c r="BH1529" s="12"/>
      <c r="BI1529" s="12"/>
      <c r="BJ1529" s="12"/>
      <c r="BK1529" s="12"/>
      <c r="BL1529" s="12"/>
      <c r="BM1529" s="12"/>
      <c r="BN1529" s="12"/>
      <c r="BO1529" s="12"/>
      <c r="BP1529" s="12"/>
      <c r="BQ1529" s="12"/>
      <c r="BR1529" s="12"/>
      <c r="BS1529" s="12"/>
      <c r="BT1529" s="12"/>
    </row>
    <row r="1530" spans="1:72">
      <c r="A1530" s="2" t="s">
        <v>29326</v>
      </c>
      <c r="B1530" s="5" t="s">
        <v>29332</v>
      </c>
      <c r="C1530" s="3" t="s">
        <v>29327</v>
      </c>
      <c r="D1530" s="4" t="s">
        <v>138</v>
      </c>
      <c r="E1530" s="15" t="s">
        <v>29340</v>
      </c>
      <c r="F1530" s="15" t="s">
        <v>371</v>
      </c>
      <c r="G1530" s="15" t="s">
        <v>162</v>
      </c>
      <c r="H1530" s="7">
        <v>7</v>
      </c>
      <c r="I1530" s="6" t="s">
        <v>29345</v>
      </c>
      <c r="J1530" s="6" t="s">
        <v>44953</v>
      </c>
      <c r="K1530" s="6" t="s">
        <v>42879</v>
      </c>
      <c r="L1530" s="6" t="s">
        <v>44954</v>
      </c>
      <c r="M1530" s="6" t="s">
        <v>44247</v>
      </c>
      <c r="N1530" s="6" t="s">
        <v>44955</v>
      </c>
      <c r="O1530" s="6" t="s">
        <v>37931</v>
      </c>
      <c r="P1530" s="6" t="s">
        <v>39531</v>
      </c>
      <c r="Q1530" s="6"/>
      <c r="R1530" s="6"/>
      <c r="S1530" s="6"/>
      <c r="T1530" s="6"/>
      <c r="U1530" s="6"/>
      <c r="V1530" s="6"/>
      <c r="W1530" s="6"/>
      <c r="X1530" s="6"/>
      <c r="Y1530" s="6"/>
      <c r="Z1530" s="6"/>
      <c r="AA1530" s="6"/>
      <c r="AB1530" s="6"/>
      <c r="AC1530" s="6"/>
      <c r="AD1530" s="6"/>
      <c r="AE1530" s="6"/>
      <c r="AF1530" s="6"/>
      <c r="AG1530" s="6"/>
      <c r="AH1530" s="6"/>
      <c r="AI1530" s="6"/>
      <c r="AJ1530" s="6"/>
      <c r="AK1530" s="6"/>
      <c r="AL1530" s="6"/>
      <c r="AM1530" s="6"/>
      <c r="AN1530" s="6"/>
      <c r="AO1530" s="6"/>
      <c r="AP1530" s="6"/>
      <c r="AQ1530" s="6"/>
      <c r="AR1530" s="6"/>
      <c r="AS1530" s="6"/>
      <c r="AT1530" s="6"/>
      <c r="AU1530" s="6"/>
      <c r="AV1530" s="6"/>
      <c r="AW1530" s="6"/>
      <c r="AX1530" s="6"/>
      <c r="AY1530" s="6"/>
      <c r="AZ1530" s="6"/>
      <c r="BA1530" s="6"/>
      <c r="BB1530" s="6"/>
      <c r="BC1530" s="6"/>
      <c r="BD1530" s="6"/>
      <c r="BE1530" s="6"/>
      <c r="BF1530" s="6"/>
      <c r="BG1530" s="6"/>
      <c r="BH1530" s="6"/>
      <c r="BI1530" s="6"/>
      <c r="BJ1530" s="6"/>
      <c r="BK1530" s="6"/>
      <c r="BL1530" s="6"/>
      <c r="BM1530" s="6"/>
      <c r="BN1530" s="6"/>
      <c r="BO1530" s="6"/>
      <c r="BP1530" s="6"/>
      <c r="BQ1530" s="6"/>
      <c r="BR1530" s="6"/>
      <c r="BS1530" s="6"/>
      <c r="BT1530" s="6"/>
    </row>
    <row r="1531" spans="1:72">
      <c r="A1531" s="8" t="s">
        <v>24162</v>
      </c>
      <c r="B1531" s="11" t="s">
        <v>29356</v>
      </c>
      <c r="C1531" s="9" t="s">
        <v>29351</v>
      </c>
      <c r="D1531" s="10" t="s">
        <v>138</v>
      </c>
      <c r="E1531" s="28" t="s">
        <v>1294</v>
      </c>
      <c r="F1531" s="28" t="s">
        <v>864</v>
      </c>
      <c r="G1531" s="28" t="s">
        <v>162</v>
      </c>
      <c r="H1531" s="13">
        <v>22</v>
      </c>
      <c r="I1531" s="12" t="s">
        <v>29364</v>
      </c>
      <c r="J1531" s="12" t="s">
        <v>38519</v>
      </c>
      <c r="K1531" s="12" t="s">
        <v>38520</v>
      </c>
      <c r="L1531" s="12" t="s">
        <v>38299</v>
      </c>
      <c r="M1531" s="12" t="s">
        <v>38348</v>
      </c>
      <c r="N1531" s="12" t="s">
        <v>44956</v>
      </c>
      <c r="O1531" s="12" t="s">
        <v>40148</v>
      </c>
      <c r="P1531" s="12" t="s">
        <v>41931</v>
      </c>
      <c r="Q1531" s="12" t="s">
        <v>39116</v>
      </c>
      <c r="R1531" s="12" t="s">
        <v>37822</v>
      </c>
      <c r="S1531" s="12" t="s">
        <v>37787</v>
      </c>
      <c r="T1531" s="12" t="s">
        <v>41614</v>
      </c>
      <c r="U1531" s="12" t="s">
        <v>39028</v>
      </c>
      <c r="V1531" s="12" t="s">
        <v>37824</v>
      </c>
      <c r="W1531" s="12" t="s">
        <v>44957</v>
      </c>
      <c r="X1531" s="12" t="s">
        <v>39911</v>
      </c>
      <c r="Y1531" s="12" t="s">
        <v>38975</v>
      </c>
      <c r="Z1531" s="12" t="s">
        <v>37998</v>
      </c>
      <c r="AA1531" s="12" t="s">
        <v>38065</v>
      </c>
      <c r="AB1531" s="12" t="s">
        <v>38926</v>
      </c>
      <c r="AC1531" s="12" t="s">
        <v>39642</v>
      </c>
      <c r="AD1531" s="12" t="s">
        <v>38371</v>
      </c>
      <c r="AE1531" s="12" t="s">
        <v>40643</v>
      </c>
      <c r="AF1531" s="12"/>
      <c r="AG1531" s="12"/>
      <c r="AH1531" s="12"/>
      <c r="AI1531" s="12"/>
      <c r="AJ1531" s="12"/>
      <c r="AK1531" s="12"/>
      <c r="AL1531" s="12"/>
      <c r="AM1531" s="12"/>
      <c r="AN1531" s="12"/>
      <c r="AO1531" s="12"/>
      <c r="AP1531" s="12"/>
      <c r="AQ1531" s="12"/>
      <c r="AR1531" s="12"/>
      <c r="AS1531" s="12"/>
      <c r="AT1531" s="12"/>
      <c r="AU1531" s="12"/>
      <c r="AV1531" s="12"/>
      <c r="AW1531" s="12"/>
      <c r="AX1531" s="12"/>
      <c r="AY1531" s="12"/>
      <c r="AZ1531" s="12"/>
      <c r="BA1531" s="12"/>
      <c r="BB1531" s="12"/>
      <c r="BC1531" s="12"/>
      <c r="BD1531" s="12"/>
      <c r="BE1531" s="12"/>
      <c r="BF1531" s="12"/>
      <c r="BG1531" s="12"/>
      <c r="BH1531" s="12"/>
      <c r="BI1531" s="12"/>
      <c r="BJ1531" s="12"/>
      <c r="BK1531" s="12"/>
      <c r="BL1531" s="12"/>
      <c r="BM1531" s="12"/>
      <c r="BN1531" s="12"/>
      <c r="BO1531" s="12"/>
      <c r="BP1531" s="12"/>
      <c r="BQ1531" s="12"/>
      <c r="BR1531" s="12"/>
      <c r="BS1531" s="12"/>
      <c r="BT1531" s="12"/>
    </row>
    <row r="1532" spans="1:72">
      <c r="A1532" s="2" t="s">
        <v>29369</v>
      </c>
      <c r="B1532" s="5" t="s">
        <v>29373</v>
      </c>
      <c r="C1532" s="3" t="s">
        <v>138</v>
      </c>
      <c r="D1532" s="4" t="s">
        <v>138</v>
      </c>
      <c r="E1532" s="15" t="s">
        <v>426</v>
      </c>
      <c r="F1532" s="15" t="s">
        <v>426</v>
      </c>
      <c r="G1532" s="15" t="s">
        <v>162</v>
      </c>
      <c r="H1532" s="7">
        <v>8</v>
      </c>
      <c r="I1532" s="6" t="s">
        <v>29381</v>
      </c>
      <c r="J1532" s="6" t="s">
        <v>40432</v>
      </c>
      <c r="K1532" s="6" t="s">
        <v>38298</v>
      </c>
      <c r="L1532" s="6" t="s">
        <v>41814</v>
      </c>
      <c r="M1532" s="6" t="s">
        <v>44958</v>
      </c>
      <c r="N1532" s="6" t="s">
        <v>38915</v>
      </c>
      <c r="O1532" s="6" t="s">
        <v>38049</v>
      </c>
      <c r="P1532" s="6" t="s">
        <v>44069</v>
      </c>
      <c r="Q1532" s="6" t="s">
        <v>39212</v>
      </c>
      <c r="R1532" s="6"/>
      <c r="S1532" s="6"/>
      <c r="T1532" s="6"/>
      <c r="U1532" s="6"/>
      <c r="V1532" s="6"/>
      <c r="W1532" s="6"/>
      <c r="X1532" s="6"/>
      <c r="Y1532" s="6"/>
      <c r="Z1532" s="6"/>
      <c r="AA1532" s="6"/>
      <c r="AB1532" s="6"/>
      <c r="AC1532" s="6"/>
      <c r="AD1532" s="6"/>
      <c r="AE1532" s="6"/>
      <c r="AF1532" s="6"/>
      <c r="AG1532" s="6"/>
      <c r="AH1532" s="6"/>
      <c r="AI1532" s="6"/>
      <c r="AJ1532" s="6"/>
      <c r="AK1532" s="6"/>
      <c r="AL1532" s="6"/>
      <c r="AM1532" s="6"/>
      <c r="AN1532" s="6"/>
      <c r="AO1532" s="6"/>
      <c r="AP1532" s="6"/>
      <c r="AQ1532" s="6"/>
      <c r="AR1532" s="6"/>
      <c r="AS1532" s="6"/>
      <c r="AT1532" s="6"/>
      <c r="AU1532" s="6"/>
      <c r="AV1532" s="6"/>
      <c r="AW1532" s="6"/>
      <c r="AX1532" s="6"/>
      <c r="AY1532" s="6"/>
      <c r="AZ1532" s="6"/>
      <c r="BA1532" s="6"/>
      <c r="BB1532" s="6"/>
      <c r="BC1532" s="6"/>
      <c r="BD1532" s="6"/>
      <c r="BE1532" s="6"/>
      <c r="BF1532" s="6"/>
      <c r="BG1532" s="6"/>
      <c r="BH1532" s="6"/>
      <c r="BI1532" s="6"/>
      <c r="BJ1532" s="6"/>
      <c r="BK1532" s="6"/>
      <c r="BL1532" s="6"/>
      <c r="BM1532" s="6"/>
      <c r="BN1532" s="6"/>
      <c r="BO1532" s="6"/>
      <c r="BP1532" s="6"/>
      <c r="BQ1532" s="6"/>
      <c r="BR1532" s="6"/>
      <c r="BS1532" s="6"/>
      <c r="BT1532" s="6"/>
    </row>
    <row r="1533" spans="1:72">
      <c r="A1533" s="8" t="s">
        <v>29384</v>
      </c>
      <c r="B1533" s="11" t="s">
        <v>29388</v>
      </c>
      <c r="C1533" s="9" t="s">
        <v>138</v>
      </c>
      <c r="D1533" s="10" t="s">
        <v>138</v>
      </c>
      <c r="E1533" s="28" t="s">
        <v>5382</v>
      </c>
      <c r="F1533" s="28" t="s">
        <v>200</v>
      </c>
      <c r="G1533" s="28" t="s">
        <v>162</v>
      </c>
      <c r="H1533" s="13">
        <v>3</v>
      </c>
      <c r="I1533" s="12" t="s">
        <v>29395</v>
      </c>
      <c r="J1533" s="12" t="s">
        <v>2075</v>
      </c>
      <c r="K1533" s="12" t="s">
        <v>38294</v>
      </c>
      <c r="L1533" s="12" t="s">
        <v>44950</v>
      </c>
      <c r="M1533" s="12"/>
      <c r="N1533" s="12"/>
      <c r="O1533" s="12"/>
      <c r="P1533" s="12"/>
      <c r="Q1533" s="12"/>
      <c r="R1533" s="12"/>
      <c r="S1533" s="12"/>
      <c r="T1533" s="12"/>
      <c r="U1533" s="12"/>
      <c r="V1533" s="12"/>
      <c r="W1533" s="12"/>
      <c r="X1533" s="12"/>
      <c r="Y1533" s="12"/>
      <c r="Z1533" s="12"/>
      <c r="AA1533" s="12"/>
      <c r="AB1533" s="12"/>
      <c r="AC1533" s="12"/>
      <c r="AD1533" s="12"/>
      <c r="AE1533" s="12"/>
      <c r="AF1533" s="12"/>
      <c r="AG1533" s="12"/>
      <c r="AH1533" s="12"/>
      <c r="AI1533" s="12"/>
      <c r="AJ1533" s="12"/>
      <c r="AK1533" s="12"/>
      <c r="AL1533" s="12"/>
      <c r="AM1533" s="12"/>
      <c r="AN1533" s="12"/>
      <c r="AO1533" s="12"/>
      <c r="AP1533" s="12"/>
      <c r="AQ1533" s="12"/>
      <c r="AR1533" s="12"/>
      <c r="AS1533" s="12"/>
      <c r="AT1533" s="12"/>
      <c r="AU1533" s="12"/>
      <c r="AV1533" s="12"/>
      <c r="AW1533" s="12"/>
      <c r="AX1533" s="12"/>
      <c r="AY1533" s="12"/>
      <c r="AZ1533" s="12"/>
      <c r="BA1533" s="12"/>
      <c r="BB1533" s="12"/>
      <c r="BC1533" s="12"/>
      <c r="BD1533" s="12"/>
      <c r="BE1533" s="12"/>
      <c r="BF1533" s="12"/>
      <c r="BG1533" s="12"/>
      <c r="BH1533" s="12"/>
      <c r="BI1533" s="12"/>
      <c r="BJ1533" s="12"/>
      <c r="BK1533" s="12"/>
      <c r="BL1533" s="12"/>
      <c r="BM1533" s="12"/>
      <c r="BN1533" s="12"/>
      <c r="BO1533" s="12"/>
      <c r="BP1533" s="12"/>
      <c r="BQ1533" s="12"/>
      <c r="BR1533" s="12"/>
      <c r="BS1533" s="12"/>
      <c r="BT1533" s="12"/>
    </row>
    <row r="1534" spans="1:72">
      <c r="A1534" s="2" t="s">
        <v>29399</v>
      </c>
      <c r="B1534" s="5" t="s">
        <v>29403</v>
      </c>
      <c r="C1534" s="3" t="s">
        <v>138</v>
      </c>
      <c r="D1534" s="4" t="s">
        <v>138</v>
      </c>
      <c r="E1534" s="15" t="s">
        <v>642</v>
      </c>
      <c r="F1534" s="15" t="s">
        <v>474</v>
      </c>
      <c r="G1534" s="15" t="s">
        <v>162</v>
      </c>
      <c r="H1534" s="7">
        <v>35</v>
      </c>
      <c r="I1534" s="6" t="s">
        <v>29412</v>
      </c>
      <c r="J1534" s="6" t="s">
        <v>44959</v>
      </c>
      <c r="K1534" s="6" t="s">
        <v>44960</v>
      </c>
      <c r="L1534" s="6" t="s">
        <v>44961</v>
      </c>
      <c r="M1534" s="6" t="s">
        <v>44962</v>
      </c>
      <c r="N1534" s="6" t="s">
        <v>40196</v>
      </c>
      <c r="O1534" s="6" t="s">
        <v>38838</v>
      </c>
      <c r="P1534" s="6" t="s">
        <v>41679</v>
      </c>
      <c r="Q1534" s="6" t="s">
        <v>44963</v>
      </c>
      <c r="R1534" s="6" t="s">
        <v>44964</v>
      </c>
      <c r="S1534" s="6" t="s">
        <v>44965</v>
      </c>
      <c r="T1534" s="6" t="s">
        <v>38332</v>
      </c>
      <c r="U1534" s="6" t="s">
        <v>44966</v>
      </c>
      <c r="V1534" s="6" t="s">
        <v>39435</v>
      </c>
      <c r="W1534" s="6" t="s">
        <v>43669</v>
      </c>
      <c r="X1534" s="6" t="s">
        <v>44967</v>
      </c>
      <c r="Y1534" s="6" t="s">
        <v>44968</v>
      </c>
      <c r="Z1534" s="6" t="s">
        <v>44969</v>
      </c>
      <c r="AA1534" s="6" t="s">
        <v>40927</v>
      </c>
      <c r="AB1534" s="6" t="s">
        <v>39023</v>
      </c>
      <c r="AC1534" s="6" t="s">
        <v>44092</v>
      </c>
      <c r="AD1534" s="6" t="s">
        <v>44970</v>
      </c>
      <c r="AE1534" s="6" t="s">
        <v>40764</v>
      </c>
      <c r="AF1534" s="6" t="s">
        <v>38050</v>
      </c>
      <c r="AG1534" s="6" t="s">
        <v>44971</v>
      </c>
      <c r="AH1534" s="6" t="s">
        <v>44972</v>
      </c>
      <c r="AI1534" s="6" t="s">
        <v>44973</v>
      </c>
      <c r="AJ1534" s="6" t="s">
        <v>38645</v>
      </c>
      <c r="AK1534" s="6" t="s">
        <v>37890</v>
      </c>
      <c r="AL1534" s="6" t="s">
        <v>38139</v>
      </c>
      <c r="AM1534" s="6" t="s">
        <v>38579</v>
      </c>
      <c r="AN1534" s="6" t="s">
        <v>44974</v>
      </c>
      <c r="AO1534" s="6" t="s">
        <v>42630</v>
      </c>
      <c r="AP1534" s="6" t="s">
        <v>43769</v>
      </c>
      <c r="AQ1534" s="6" t="s">
        <v>44975</v>
      </c>
      <c r="AR1534" s="6" t="s">
        <v>38337</v>
      </c>
      <c r="AS1534" s="6"/>
      <c r="AT1534" s="6"/>
      <c r="AU1534" s="6"/>
      <c r="AV1534" s="6"/>
      <c r="AW1534" s="6"/>
      <c r="AX1534" s="6"/>
      <c r="AY1534" s="6"/>
      <c r="AZ1534" s="6"/>
      <c r="BA1534" s="6"/>
      <c r="BB1534" s="6"/>
      <c r="BC1534" s="6"/>
      <c r="BD1534" s="6"/>
      <c r="BE1534" s="6"/>
      <c r="BF1534" s="6"/>
      <c r="BG1534" s="6"/>
      <c r="BH1534" s="6"/>
      <c r="BI1534" s="6"/>
      <c r="BJ1534" s="6"/>
      <c r="BK1534" s="6"/>
      <c r="BL1534" s="6"/>
      <c r="BM1534" s="6"/>
      <c r="BN1534" s="6"/>
      <c r="BO1534" s="6"/>
      <c r="BP1534" s="6"/>
      <c r="BQ1534" s="6"/>
      <c r="BR1534" s="6"/>
      <c r="BS1534" s="6"/>
      <c r="BT1534" s="6"/>
    </row>
    <row r="1535" spans="1:72">
      <c r="A1535" s="8" t="s">
        <v>29415</v>
      </c>
      <c r="B1535" s="11" t="s">
        <v>29418</v>
      </c>
      <c r="C1535" s="9" t="s">
        <v>138</v>
      </c>
      <c r="D1535" s="10" t="s">
        <v>138</v>
      </c>
      <c r="E1535" s="28" t="s">
        <v>1294</v>
      </c>
      <c r="F1535" s="28" t="s">
        <v>864</v>
      </c>
      <c r="G1535" s="28" t="s">
        <v>162</v>
      </c>
      <c r="H1535" s="13">
        <v>2</v>
      </c>
      <c r="I1535" s="12" t="s">
        <v>29425</v>
      </c>
      <c r="J1535" s="12" t="s">
        <v>25482</v>
      </c>
      <c r="K1535" s="12" t="s">
        <v>37921</v>
      </c>
      <c r="L1535" s="12"/>
      <c r="M1535" s="12"/>
      <c r="N1535" s="12"/>
      <c r="O1535" s="12"/>
      <c r="P1535" s="12"/>
      <c r="Q1535" s="12"/>
      <c r="R1535" s="12"/>
      <c r="S1535" s="12"/>
      <c r="T1535" s="12"/>
      <c r="U1535" s="12"/>
      <c r="V1535" s="12"/>
      <c r="W1535" s="12"/>
      <c r="X1535" s="12"/>
      <c r="Y1535" s="12"/>
      <c r="Z1535" s="12"/>
      <c r="AA1535" s="12"/>
      <c r="AB1535" s="12"/>
      <c r="AC1535" s="12"/>
      <c r="AD1535" s="12"/>
      <c r="AE1535" s="12"/>
      <c r="AF1535" s="12"/>
      <c r="AG1535" s="12"/>
      <c r="AH1535" s="12"/>
      <c r="AI1535" s="12"/>
      <c r="AJ1535" s="12"/>
      <c r="AK1535" s="12"/>
      <c r="AL1535" s="12"/>
      <c r="AM1535" s="12"/>
      <c r="AN1535" s="12"/>
      <c r="AO1535" s="12"/>
      <c r="AP1535" s="12"/>
      <c r="AQ1535" s="12"/>
      <c r="AR1535" s="12"/>
      <c r="AS1535" s="12"/>
      <c r="AT1535" s="12"/>
      <c r="AU1535" s="12"/>
      <c r="AV1535" s="12"/>
      <c r="AW1535" s="12"/>
      <c r="AX1535" s="12"/>
      <c r="AY1535" s="12"/>
      <c r="AZ1535" s="12"/>
      <c r="BA1535" s="12"/>
      <c r="BB1535" s="12"/>
      <c r="BC1535" s="12"/>
      <c r="BD1535" s="12"/>
      <c r="BE1535" s="12"/>
      <c r="BF1535" s="12"/>
      <c r="BG1535" s="12"/>
      <c r="BH1535" s="12"/>
      <c r="BI1535" s="12"/>
      <c r="BJ1535" s="12"/>
      <c r="BK1535" s="12"/>
      <c r="BL1535" s="12"/>
      <c r="BM1535" s="12"/>
      <c r="BN1535" s="12"/>
      <c r="BO1535" s="12"/>
      <c r="BP1535" s="12"/>
      <c r="BQ1535" s="12"/>
      <c r="BR1535" s="12"/>
      <c r="BS1535" s="12"/>
      <c r="BT1535" s="12"/>
    </row>
    <row r="1536" spans="1:72">
      <c r="A1536" s="2" t="s">
        <v>29428</v>
      </c>
      <c r="B1536" s="5" t="s">
        <v>29433</v>
      </c>
      <c r="C1536" s="3" t="s">
        <v>138</v>
      </c>
      <c r="D1536" s="4" t="s">
        <v>138</v>
      </c>
      <c r="E1536" s="15" t="s">
        <v>668</v>
      </c>
      <c r="F1536" s="15" t="s">
        <v>200</v>
      </c>
      <c r="G1536" s="15" t="s">
        <v>162</v>
      </c>
      <c r="H1536" s="7">
        <v>10</v>
      </c>
      <c r="I1536" s="6" t="s">
        <v>29440</v>
      </c>
      <c r="J1536" s="6" t="s">
        <v>13176</v>
      </c>
      <c r="K1536" s="6" t="s">
        <v>38075</v>
      </c>
      <c r="L1536" s="6" t="s">
        <v>38367</v>
      </c>
      <c r="M1536" s="6" t="s">
        <v>42752</v>
      </c>
      <c r="N1536" s="6" t="s">
        <v>38065</v>
      </c>
      <c r="O1536" s="6" t="s">
        <v>40591</v>
      </c>
      <c r="P1536" s="6" t="s">
        <v>43238</v>
      </c>
      <c r="Q1536" s="6" t="s">
        <v>43097</v>
      </c>
      <c r="R1536" s="6" t="s">
        <v>37890</v>
      </c>
      <c r="S1536" s="6" t="s">
        <v>39694</v>
      </c>
      <c r="T1536" s="6"/>
      <c r="U1536" s="6"/>
      <c r="V1536" s="6"/>
      <c r="W1536" s="6"/>
      <c r="X1536" s="6"/>
      <c r="Y1536" s="6"/>
      <c r="Z1536" s="6"/>
      <c r="AA1536" s="6"/>
      <c r="AB1536" s="6"/>
      <c r="AC1536" s="6"/>
      <c r="AD1536" s="6"/>
      <c r="AE1536" s="6"/>
      <c r="AF1536" s="6"/>
      <c r="AG1536" s="6"/>
      <c r="AH1536" s="6"/>
      <c r="AI1536" s="6"/>
      <c r="AJ1536" s="6"/>
      <c r="AK1536" s="6"/>
      <c r="AL1536" s="6"/>
      <c r="AM1536" s="6"/>
      <c r="AN1536" s="6"/>
      <c r="AO1536" s="6"/>
      <c r="AP1536" s="6"/>
      <c r="AQ1536" s="6"/>
      <c r="AR1536" s="6"/>
      <c r="AS1536" s="6"/>
      <c r="AT1536" s="6"/>
      <c r="AU1536" s="6"/>
      <c r="AV1536" s="6"/>
      <c r="AW1536" s="6"/>
      <c r="AX1536" s="6"/>
      <c r="AY1536" s="6"/>
      <c r="AZ1536" s="6"/>
      <c r="BA1536" s="6"/>
      <c r="BB1536" s="6"/>
      <c r="BC1536" s="6"/>
      <c r="BD1536" s="6"/>
      <c r="BE1536" s="6"/>
      <c r="BF1536" s="6"/>
      <c r="BG1536" s="6"/>
      <c r="BH1536" s="6"/>
      <c r="BI1536" s="6"/>
      <c r="BJ1536" s="6"/>
      <c r="BK1536" s="6"/>
      <c r="BL1536" s="6"/>
      <c r="BM1536" s="6"/>
      <c r="BN1536" s="6"/>
      <c r="BO1536" s="6"/>
      <c r="BP1536" s="6"/>
      <c r="BQ1536" s="6"/>
      <c r="BR1536" s="6"/>
      <c r="BS1536" s="6"/>
      <c r="BT1536" s="6"/>
    </row>
    <row r="1537" spans="1:72">
      <c r="A1537" s="8" t="s">
        <v>29443</v>
      </c>
      <c r="B1537" s="11" t="s">
        <v>29448</v>
      </c>
      <c r="C1537" s="9" t="s">
        <v>138</v>
      </c>
      <c r="D1537" s="10" t="s">
        <v>138</v>
      </c>
      <c r="E1537" s="28" t="s">
        <v>863</v>
      </c>
      <c r="F1537" s="28" t="s">
        <v>824</v>
      </c>
      <c r="G1537" s="28" t="s">
        <v>526</v>
      </c>
      <c r="H1537" s="13">
        <v>13</v>
      </c>
      <c r="I1537" s="12" t="s">
        <v>29459</v>
      </c>
      <c r="J1537" s="12" t="s">
        <v>44729</v>
      </c>
      <c r="K1537" s="12" t="s">
        <v>44101</v>
      </c>
      <c r="L1537" s="12" t="s">
        <v>37953</v>
      </c>
      <c r="M1537" s="12" t="s">
        <v>44976</v>
      </c>
      <c r="N1537" s="12" t="s">
        <v>43549</v>
      </c>
      <c r="O1537" s="12" t="s">
        <v>43714</v>
      </c>
      <c r="P1537" s="12" t="s">
        <v>38200</v>
      </c>
      <c r="Q1537" s="12" t="s">
        <v>37892</v>
      </c>
      <c r="R1537" s="12" t="s">
        <v>37932</v>
      </c>
      <c r="S1537" s="12" t="s">
        <v>39727</v>
      </c>
      <c r="T1537" s="12" t="s">
        <v>44977</v>
      </c>
      <c r="U1537" s="12" t="s">
        <v>44978</v>
      </c>
      <c r="V1537" s="12" t="s">
        <v>42975</v>
      </c>
      <c r="W1537" s="12"/>
      <c r="X1537" s="12"/>
      <c r="Y1537" s="12"/>
      <c r="Z1537" s="12"/>
      <c r="AA1537" s="12"/>
      <c r="AB1537" s="12"/>
      <c r="AC1537" s="12"/>
      <c r="AD1537" s="12"/>
      <c r="AE1537" s="12"/>
      <c r="AF1537" s="12"/>
      <c r="AG1537" s="12"/>
      <c r="AH1537" s="12"/>
      <c r="AI1537" s="12"/>
      <c r="AJ1537" s="12"/>
      <c r="AK1537" s="12"/>
      <c r="AL1537" s="12"/>
      <c r="AM1537" s="12"/>
      <c r="AN1537" s="12"/>
      <c r="AO1537" s="12"/>
      <c r="AP1537" s="12"/>
      <c r="AQ1537" s="12"/>
      <c r="AR1537" s="12"/>
      <c r="AS1537" s="12"/>
      <c r="AT1537" s="12"/>
      <c r="AU1537" s="12"/>
      <c r="AV1537" s="12"/>
      <c r="AW1537" s="12"/>
      <c r="AX1537" s="12"/>
      <c r="AY1537" s="12"/>
      <c r="AZ1537" s="12"/>
      <c r="BA1537" s="12"/>
      <c r="BB1537" s="12"/>
      <c r="BC1537" s="12"/>
      <c r="BD1537" s="12"/>
      <c r="BE1537" s="12"/>
      <c r="BF1537" s="12"/>
      <c r="BG1537" s="12"/>
      <c r="BH1537" s="12"/>
      <c r="BI1537" s="12"/>
      <c r="BJ1537" s="12"/>
      <c r="BK1537" s="12"/>
      <c r="BL1537" s="12"/>
      <c r="BM1537" s="12"/>
      <c r="BN1537" s="12"/>
      <c r="BO1537" s="12"/>
      <c r="BP1537" s="12"/>
      <c r="BQ1537" s="12"/>
      <c r="BR1537" s="12"/>
      <c r="BS1537" s="12"/>
      <c r="BT1537" s="12"/>
    </row>
    <row r="1538" spans="1:72">
      <c r="A1538" s="2" t="s">
        <v>29464</v>
      </c>
      <c r="B1538" s="5" t="s">
        <v>29468</v>
      </c>
      <c r="C1538" s="3" t="s">
        <v>138</v>
      </c>
      <c r="D1538" s="4" t="s">
        <v>29465</v>
      </c>
      <c r="E1538" s="15" t="s">
        <v>426</v>
      </c>
      <c r="F1538" s="15" t="s">
        <v>426</v>
      </c>
      <c r="G1538" s="15" t="s">
        <v>162</v>
      </c>
      <c r="H1538" s="7">
        <v>15</v>
      </c>
      <c r="I1538" s="6" t="s">
        <v>29476</v>
      </c>
      <c r="J1538" s="6" t="s">
        <v>44979</v>
      </c>
      <c r="K1538" s="6" t="s">
        <v>38175</v>
      </c>
      <c r="L1538" s="6" t="s">
        <v>42900</v>
      </c>
      <c r="M1538" s="6" t="s">
        <v>37984</v>
      </c>
      <c r="N1538" s="6" t="s">
        <v>37819</v>
      </c>
      <c r="O1538" s="6" t="s">
        <v>40346</v>
      </c>
      <c r="P1538" s="6" t="s">
        <v>44980</v>
      </c>
      <c r="Q1538" s="6" t="s">
        <v>39236</v>
      </c>
      <c r="R1538" s="6" t="s">
        <v>44981</v>
      </c>
      <c r="S1538" s="6" t="s">
        <v>38803</v>
      </c>
      <c r="T1538" s="6" t="s">
        <v>42224</v>
      </c>
      <c r="U1538" s="6" t="s">
        <v>37824</v>
      </c>
      <c r="V1538" s="6" t="s">
        <v>38788</v>
      </c>
      <c r="W1538" s="6" t="s">
        <v>44982</v>
      </c>
      <c r="X1538" s="6" t="s">
        <v>38169</v>
      </c>
      <c r="Y1538" s="6"/>
      <c r="Z1538" s="6"/>
      <c r="AA1538" s="6"/>
      <c r="AB1538" s="6"/>
      <c r="AC1538" s="6"/>
      <c r="AD1538" s="6"/>
      <c r="AE1538" s="6"/>
      <c r="AF1538" s="6"/>
      <c r="AG1538" s="6"/>
      <c r="AH1538" s="6"/>
      <c r="AI1538" s="6"/>
      <c r="AJ1538" s="6"/>
      <c r="AK1538" s="6"/>
      <c r="AL1538" s="6"/>
      <c r="AM1538" s="6"/>
      <c r="AN1538" s="6"/>
      <c r="AO1538" s="6"/>
      <c r="AP1538" s="6"/>
      <c r="AQ1538" s="6"/>
      <c r="AR1538" s="6"/>
      <c r="AS1538" s="6"/>
      <c r="AT1538" s="6"/>
      <c r="AU1538" s="6"/>
      <c r="AV1538" s="6"/>
      <c r="AW1538" s="6"/>
      <c r="AX1538" s="6"/>
      <c r="AY1538" s="6"/>
      <c r="AZ1538" s="6"/>
      <c r="BA1538" s="6"/>
      <c r="BB1538" s="6"/>
      <c r="BC1538" s="6"/>
      <c r="BD1538" s="6"/>
      <c r="BE1538" s="6"/>
      <c r="BF1538" s="6"/>
      <c r="BG1538" s="6"/>
      <c r="BH1538" s="6"/>
      <c r="BI1538" s="6"/>
      <c r="BJ1538" s="6"/>
      <c r="BK1538" s="6"/>
      <c r="BL1538" s="6"/>
      <c r="BM1538" s="6"/>
      <c r="BN1538" s="6"/>
      <c r="BO1538" s="6"/>
      <c r="BP1538" s="6"/>
      <c r="BQ1538" s="6"/>
      <c r="BR1538" s="6"/>
      <c r="BS1538" s="6"/>
      <c r="BT1538" s="6"/>
    </row>
    <row r="1539" spans="1:72">
      <c r="A1539" s="8" t="s">
        <v>29479</v>
      </c>
      <c r="B1539" s="11" t="s">
        <v>29483</v>
      </c>
      <c r="C1539" s="9" t="s">
        <v>138</v>
      </c>
      <c r="D1539" s="10" t="s">
        <v>138</v>
      </c>
      <c r="E1539" s="28" t="s">
        <v>426</v>
      </c>
      <c r="F1539" s="28" t="s">
        <v>426</v>
      </c>
      <c r="G1539" s="28" t="s">
        <v>162</v>
      </c>
      <c r="H1539" s="13">
        <v>22</v>
      </c>
      <c r="I1539" s="12" t="s">
        <v>29492</v>
      </c>
      <c r="J1539" s="12" t="s">
        <v>43506</v>
      </c>
      <c r="K1539" s="12" t="s">
        <v>37875</v>
      </c>
      <c r="L1539" s="12" t="s">
        <v>44983</v>
      </c>
      <c r="M1539" s="12" t="s">
        <v>44984</v>
      </c>
      <c r="N1539" s="12" t="s">
        <v>44985</v>
      </c>
      <c r="O1539" s="12" t="s">
        <v>37984</v>
      </c>
      <c r="P1539" s="12" t="s">
        <v>44986</v>
      </c>
      <c r="Q1539" s="12" t="s">
        <v>44987</v>
      </c>
      <c r="R1539" s="12" t="s">
        <v>41143</v>
      </c>
      <c r="S1539" s="12" t="s">
        <v>43785</v>
      </c>
      <c r="T1539" s="12" t="s">
        <v>37883</v>
      </c>
      <c r="U1539" s="12" t="s">
        <v>38746</v>
      </c>
      <c r="V1539" s="12" t="s">
        <v>43786</v>
      </c>
      <c r="W1539" s="12" t="s">
        <v>39956</v>
      </c>
      <c r="X1539" s="12" t="s">
        <v>40427</v>
      </c>
      <c r="Y1539" s="12" t="s">
        <v>42506</v>
      </c>
      <c r="Z1539" s="12" t="s">
        <v>44988</v>
      </c>
      <c r="AA1539" s="12" t="s">
        <v>44989</v>
      </c>
      <c r="AB1539" s="12" t="s">
        <v>42838</v>
      </c>
      <c r="AC1539" s="12" t="s">
        <v>43662</v>
      </c>
      <c r="AD1539" s="12" t="s">
        <v>44990</v>
      </c>
      <c r="AE1539" s="12" t="s">
        <v>38404</v>
      </c>
      <c r="AF1539" s="12"/>
      <c r="AG1539" s="12"/>
      <c r="AH1539" s="12"/>
      <c r="AI1539" s="12"/>
      <c r="AJ1539" s="12"/>
      <c r="AK1539" s="12"/>
      <c r="AL1539" s="12"/>
      <c r="AM1539" s="12"/>
      <c r="AN1539" s="12"/>
      <c r="AO1539" s="12"/>
      <c r="AP1539" s="12"/>
      <c r="AQ1539" s="12"/>
      <c r="AR1539" s="12"/>
      <c r="AS1539" s="12"/>
      <c r="AT1539" s="12"/>
      <c r="AU1539" s="12"/>
      <c r="AV1539" s="12"/>
      <c r="AW1539" s="12"/>
      <c r="AX1539" s="12"/>
      <c r="AY1539" s="12"/>
      <c r="AZ1539" s="12"/>
      <c r="BA1539" s="12"/>
      <c r="BB1539" s="12"/>
      <c r="BC1539" s="12"/>
      <c r="BD1539" s="12"/>
      <c r="BE1539" s="12"/>
      <c r="BF1539" s="12"/>
      <c r="BG1539" s="12"/>
      <c r="BH1539" s="12"/>
      <c r="BI1539" s="12"/>
      <c r="BJ1539" s="12"/>
      <c r="BK1539" s="12"/>
      <c r="BL1539" s="12"/>
      <c r="BM1539" s="12"/>
      <c r="BN1539" s="12"/>
      <c r="BO1539" s="12"/>
      <c r="BP1539" s="12"/>
      <c r="BQ1539" s="12"/>
      <c r="BR1539" s="12"/>
      <c r="BS1539" s="12"/>
      <c r="BT1539" s="12"/>
    </row>
    <row r="1540" spans="1:72">
      <c r="A1540" s="2" t="s">
        <v>29496</v>
      </c>
      <c r="B1540" s="5" t="s">
        <v>29503</v>
      </c>
      <c r="C1540" s="3" t="s">
        <v>29497</v>
      </c>
      <c r="D1540" s="4" t="s">
        <v>138</v>
      </c>
      <c r="E1540" s="15" t="s">
        <v>3691</v>
      </c>
      <c r="F1540" s="15" t="s">
        <v>138</v>
      </c>
      <c r="G1540" s="15" t="s">
        <v>3693</v>
      </c>
      <c r="H1540" s="7">
        <v>3</v>
      </c>
      <c r="I1540" s="6" t="s">
        <v>29515</v>
      </c>
      <c r="J1540" s="6" t="s">
        <v>44991</v>
      </c>
      <c r="K1540" s="6" t="s">
        <v>40725</v>
      </c>
      <c r="L1540" s="6" t="s">
        <v>38200</v>
      </c>
      <c r="M1540" s="6"/>
      <c r="N1540" s="6"/>
      <c r="O1540" s="6"/>
      <c r="P1540" s="6"/>
      <c r="Q1540" s="6"/>
      <c r="R1540" s="6"/>
      <c r="S1540" s="6"/>
      <c r="T1540" s="6"/>
      <c r="U1540" s="6"/>
      <c r="V1540" s="6"/>
      <c r="W1540" s="6"/>
      <c r="X1540" s="6"/>
      <c r="Y1540" s="6"/>
      <c r="Z1540" s="6"/>
      <c r="AA1540" s="6"/>
      <c r="AB1540" s="6"/>
      <c r="AC1540" s="6"/>
      <c r="AD1540" s="6"/>
      <c r="AE1540" s="6"/>
      <c r="AF1540" s="6"/>
      <c r="AG1540" s="6"/>
      <c r="AH1540" s="6"/>
      <c r="AI1540" s="6"/>
      <c r="AJ1540" s="6"/>
      <c r="AK1540" s="6"/>
      <c r="AL1540" s="6"/>
      <c r="AM1540" s="6"/>
      <c r="AN1540" s="6"/>
      <c r="AO1540" s="6"/>
      <c r="AP1540" s="6"/>
      <c r="AQ1540" s="6"/>
      <c r="AR1540" s="6"/>
      <c r="AS1540" s="6"/>
      <c r="AT1540" s="6"/>
      <c r="AU1540" s="6"/>
      <c r="AV1540" s="6"/>
      <c r="AW1540" s="6"/>
      <c r="AX1540" s="6"/>
      <c r="AY1540" s="6"/>
      <c r="AZ1540" s="6"/>
      <c r="BA1540" s="6"/>
      <c r="BB1540" s="6"/>
      <c r="BC1540" s="6"/>
      <c r="BD1540" s="6"/>
      <c r="BE1540" s="6"/>
      <c r="BF1540" s="6"/>
      <c r="BG1540" s="6"/>
      <c r="BH1540" s="6"/>
      <c r="BI1540" s="6"/>
      <c r="BJ1540" s="6"/>
      <c r="BK1540" s="6"/>
      <c r="BL1540" s="6"/>
      <c r="BM1540" s="6"/>
      <c r="BN1540" s="6"/>
      <c r="BO1540" s="6"/>
      <c r="BP1540" s="6"/>
      <c r="BQ1540" s="6"/>
      <c r="BR1540" s="6"/>
      <c r="BS1540" s="6"/>
      <c r="BT1540" s="6"/>
    </row>
    <row r="1541" spans="1:72">
      <c r="A1541" s="8" t="s">
        <v>29519</v>
      </c>
      <c r="B1541" s="11" t="s">
        <v>29522</v>
      </c>
      <c r="C1541" s="9" t="s">
        <v>138</v>
      </c>
      <c r="D1541" s="10" t="s">
        <v>138</v>
      </c>
      <c r="E1541" s="28" t="s">
        <v>4604</v>
      </c>
      <c r="F1541" s="28" t="s">
        <v>17451</v>
      </c>
      <c r="G1541" s="28" t="s">
        <v>2071</v>
      </c>
      <c r="H1541" s="13">
        <v>6</v>
      </c>
      <c r="I1541" s="12" t="s">
        <v>29531</v>
      </c>
      <c r="J1541" s="12" t="s">
        <v>44992</v>
      </c>
      <c r="K1541" s="12" t="s">
        <v>42685</v>
      </c>
      <c r="L1541" s="12" t="s">
        <v>44993</v>
      </c>
      <c r="M1541" s="12" t="s">
        <v>38200</v>
      </c>
      <c r="N1541" s="12" t="s">
        <v>44994</v>
      </c>
      <c r="O1541" s="12" t="s">
        <v>44995</v>
      </c>
      <c r="P1541" s="12"/>
      <c r="Q1541" s="12"/>
      <c r="R1541" s="12"/>
      <c r="S1541" s="12"/>
      <c r="T1541" s="12"/>
      <c r="U1541" s="12"/>
      <c r="V1541" s="12"/>
      <c r="W1541" s="12"/>
      <c r="X1541" s="12"/>
      <c r="Y1541" s="12"/>
      <c r="Z1541" s="12"/>
      <c r="AA1541" s="12"/>
      <c r="AB1541" s="12"/>
      <c r="AC1541" s="12"/>
      <c r="AD1541" s="12"/>
      <c r="AE1541" s="12"/>
      <c r="AF1541" s="12"/>
      <c r="AG1541" s="12"/>
      <c r="AH1541" s="12"/>
      <c r="AI1541" s="12"/>
      <c r="AJ1541" s="12"/>
      <c r="AK1541" s="12"/>
      <c r="AL1541" s="12"/>
      <c r="AM1541" s="12"/>
      <c r="AN1541" s="12"/>
      <c r="AO1541" s="12"/>
      <c r="AP1541" s="12"/>
      <c r="AQ1541" s="12"/>
      <c r="AR1541" s="12"/>
      <c r="AS1541" s="12"/>
      <c r="AT1541" s="12"/>
      <c r="AU1541" s="12"/>
      <c r="AV1541" s="12"/>
      <c r="AW1541" s="12"/>
      <c r="AX1541" s="12"/>
      <c r="AY1541" s="12"/>
      <c r="AZ1541" s="12"/>
      <c r="BA1541" s="12"/>
      <c r="BB1541" s="12"/>
      <c r="BC1541" s="12"/>
      <c r="BD1541" s="12"/>
      <c r="BE1541" s="12"/>
      <c r="BF1541" s="12"/>
      <c r="BG1541" s="12"/>
      <c r="BH1541" s="12"/>
      <c r="BI1541" s="12"/>
      <c r="BJ1541" s="12"/>
      <c r="BK1541" s="12"/>
      <c r="BL1541" s="12"/>
      <c r="BM1541" s="12"/>
      <c r="BN1541" s="12"/>
      <c r="BO1541" s="12"/>
      <c r="BP1541" s="12"/>
      <c r="BQ1541" s="12"/>
      <c r="BR1541" s="12"/>
      <c r="BS1541" s="12"/>
      <c r="BT1541" s="12"/>
    </row>
    <row r="1542" spans="1:72">
      <c r="A1542" s="2" t="s">
        <v>29535</v>
      </c>
      <c r="B1542" s="5" t="s">
        <v>29541</v>
      </c>
      <c r="C1542" s="3" t="s">
        <v>29536</v>
      </c>
      <c r="D1542" s="4" t="s">
        <v>138</v>
      </c>
      <c r="E1542" s="15" t="s">
        <v>1223</v>
      </c>
      <c r="F1542" s="15" t="s">
        <v>200</v>
      </c>
      <c r="G1542" s="15" t="s">
        <v>162</v>
      </c>
      <c r="H1542" s="7">
        <v>7</v>
      </c>
      <c r="I1542" s="6" t="s">
        <v>29550</v>
      </c>
      <c r="J1542" s="6" t="s">
        <v>44996</v>
      </c>
      <c r="K1542" s="6" t="s">
        <v>42182</v>
      </c>
      <c r="L1542" s="6" t="s">
        <v>44997</v>
      </c>
      <c r="M1542" s="6" t="s">
        <v>39115</v>
      </c>
      <c r="N1542" s="6" t="s">
        <v>44998</v>
      </c>
      <c r="O1542" s="6" t="s">
        <v>38200</v>
      </c>
      <c r="P1542" s="6" t="s">
        <v>44999</v>
      </c>
      <c r="Q1542" s="6"/>
      <c r="R1542" s="6"/>
      <c r="S1542" s="6"/>
      <c r="T1542" s="6"/>
      <c r="U1542" s="6"/>
      <c r="V1542" s="6"/>
      <c r="W1542" s="6"/>
      <c r="X1542" s="6"/>
      <c r="Y1542" s="6"/>
      <c r="Z1542" s="6"/>
      <c r="AA1542" s="6"/>
      <c r="AB1542" s="6"/>
      <c r="AC1542" s="6"/>
      <c r="AD1542" s="6"/>
      <c r="AE1542" s="6"/>
      <c r="AF1542" s="6"/>
      <c r="AG1542" s="6"/>
      <c r="AH1542" s="6"/>
      <c r="AI1542" s="6"/>
      <c r="AJ1542" s="6"/>
      <c r="AK1542" s="6"/>
      <c r="AL1542" s="6"/>
      <c r="AM1542" s="6"/>
      <c r="AN1542" s="6"/>
      <c r="AO1542" s="6"/>
      <c r="AP1542" s="6"/>
      <c r="AQ1542" s="6"/>
      <c r="AR1542" s="6"/>
      <c r="AS1542" s="6"/>
      <c r="AT1542" s="6"/>
      <c r="AU1542" s="6"/>
      <c r="AV1542" s="6"/>
      <c r="AW1542" s="6"/>
      <c r="AX1542" s="6"/>
      <c r="AY1542" s="6"/>
      <c r="AZ1542" s="6"/>
      <c r="BA1542" s="6"/>
      <c r="BB1542" s="6"/>
      <c r="BC1542" s="6"/>
      <c r="BD1542" s="6"/>
      <c r="BE1542" s="6"/>
      <c r="BF1542" s="6"/>
      <c r="BG1542" s="6"/>
      <c r="BH1542" s="6"/>
      <c r="BI1542" s="6"/>
      <c r="BJ1542" s="6"/>
      <c r="BK1542" s="6"/>
      <c r="BL1542" s="6"/>
      <c r="BM1542" s="6"/>
      <c r="BN1542" s="6"/>
      <c r="BO1542" s="6"/>
      <c r="BP1542" s="6"/>
      <c r="BQ1542" s="6"/>
      <c r="BR1542" s="6"/>
      <c r="BS1542" s="6"/>
      <c r="BT1542" s="6"/>
    </row>
    <row r="1543" spans="1:72">
      <c r="A1543" s="8" t="s">
        <v>29554</v>
      </c>
      <c r="B1543" s="11" t="s">
        <v>29558</v>
      </c>
      <c r="C1543" s="9" t="s">
        <v>138</v>
      </c>
      <c r="D1543" s="10" t="s">
        <v>138</v>
      </c>
      <c r="E1543" s="28" t="s">
        <v>5473</v>
      </c>
      <c r="F1543" s="28" t="s">
        <v>3112</v>
      </c>
      <c r="G1543" s="28" t="s">
        <v>2742</v>
      </c>
      <c r="H1543" s="13">
        <v>25</v>
      </c>
      <c r="I1543" s="12" t="s">
        <v>29570</v>
      </c>
      <c r="J1543" s="12" t="s">
        <v>42529</v>
      </c>
      <c r="K1543" s="12" t="s">
        <v>45000</v>
      </c>
      <c r="L1543" s="12" t="s">
        <v>39833</v>
      </c>
      <c r="M1543" s="12" t="s">
        <v>39834</v>
      </c>
      <c r="N1543" s="12" t="s">
        <v>39835</v>
      </c>
      <c r="O1543" s="12" t="s">
        <v>39836</v>
      </c>
      <c r="P1543" s="12" t="s">
        <v>38960</v>
      </c>
      <c r="Q1543" s="12" t="s">
        <v>45001</v>
      </c>
      <c r="R1543" s="12" t="s">
        <v>39838</v>
      </c>
      <c r="S1543" s="12" t="s">
        <v>45002</v>
      </c>
      <c r="T1543" s="12" t="s">
        <v>45003</v>
      </c>
      <c r="U1543" s="12" t="s">
        <v>38076</v>
      </c>
      <c r="V1543" s="12" t="s">
        <v>37944</v>
      </c>
      <c r="W1543" s="12" t="s">
        <v>37881</v>
      </c>
      <c r="X1543" s="12" t="s">
        <v>45004</v>
      </c>
      <c r="Y1543" s="12" t="s">
        <v>37822</v>
      </c>
      <c r="Z1543" s="12" t="s">
        <v>45005</v>
      </c>
      <c r="AA1543" s="12" t="s">
        <v>38971</v>
      </c>
      <c r="AB1543" s="12" t="s">
        <v>38827</v>
      </c>
      <c r="AC1543" s="12" t="s">
        <v>37764</v>
      </c>
      <c r="AD1543" s="12" t="s">
        <v>38020</v>
      </c>
      <c r="AE1543" s="12" t="s">
        <v>39840</v>
      </c>
      <c r="AF1543" s="12" t="s">
        <v>39519</v>
      </c>
      <c r="AG1543" s="12" t="s">
        <v>39143</v>
      </c>
      <c r="AH1543" s="12" t="s">
        <v>41823</v>
      </c>
      <c r="AI1543" s="12" t="s">
        <v>37871</v>
      </c>
      <c r="AJ1543" s="12"/>
      <c r="AK1543" s="12"/>
      <c r="AL1543" s="12"/>
      <c r="AM1543" s="12"/>
      <c r="AN1543" s="12"/>
      <c r="AO1543" s="12"/>
      <c r="AP1543" s="12"/>
      <c r="AQ1543" s="12"/>
      <c r="AR1543" s="12"/>
      <c r="AS1543" s="12"/>
      <c r="AT1543" s="12"/>
      <c r="AU1543" s="12"/>
      <c r="AV1543" s="12"/>
      <c r="AW1543" s="12"/>
      <c r="AX1543" s="12"/>
      <c r="AY1543" s="12"/>
      <c r="AZ1543" s="12"/>
      <c r="BA1543" s="12"/>
      <c r="BB1543" s="12"/>
      <c r="BC1543" s="12"/>
      <c r="BD1543" s="12"/>
      <c r="BE1543" s="12"/>
      <c r="BF1543" s="12"/>
      <c r="BG1543" s="12"/>
      <c r="BH1543" s="12"/>
      <c r="BI1543" s="12"/>
      <c r="BJ1543" s="12"/>
      <c r="BK1543" s="12"/>
      <c r="BL1543" s="12"/>
      <c r="BM1543" s="12"/>
      <c r="BN1543" s="12"/>
      <c r="BO1543" s="12"/>
      <c r="BP1543" s="12"/>
      <c r="BQ1543" s="12"/>
      <c r="BR1543" s="12"/>
      <c r="BS1543" s="12"/>
      <c r="BT1543" s="12"/>
    </row>
    <row r="1544" spans="1:72">
      <c r="A1544" s="2" t="s">
        <v>29575</v>
      </c>
      <c r="B1544" s="5" t="s">
        <v>29579</v>
      </c>
      <c r="C1544" s="3" t="s">
        <v>138</v>
      </c>
      <c r="D1544" s="4" t="s">
        <v>138</v>
      </c>
      <c r="E1544" s="15" t="s">
        <v>22871</v>
      </c>
      <c r="F1544" s="15" t="s">
        <v>138</v>
      </c>
      <c r="G1544" s="15" t="s">
        <v>946</v>
      </c>
      <c r="H1544" s="7">
        <v>1</v>
      </c>
      <c r="I1544" s="6" t="s">
        <v>2912</v>
      </c>
      <c r="J1544" s="6" t="s">
        <v>2912</v>
      </c>
      <c r="K1544" s="6"/>
      <c r="L1544" s="6"/>
      <c r="M1544" s="6"/>
      <c r="N1544" s="6"/>
      <c r="O1544" s="6"/>
      <c r="P1544" s="6"/>
      <c r="Q1544" s="6"/>
      <c r="R1544" s="6"/>
      <c r="S1544" s="6"/>
      <c r="T1544" s="6"/>
      <c r="U1544" s="6"/>
      <c r="V1544" s="6"/>
      <c r="W1544" s="6"/>
      <c r="X1544" s="6"/>
      <c r="Y1544" s="6"/>
      <c r="Z1544" s="6"/>
      <c r="AA1544" s="6"/>
      <c r="AB1544" s="6"/>
      <c r="AC1544" s="6"/>
      <c r="AD1544" s="6"/>
      <c r="AE1544" s="6"/>
      <c r="AF1544" s="6"/>
      <c r="AG1544" s="6"/>
      <c r="AH1544" s="6"/>
      <c r="AI1544" s="6"/>
      <c r="AJ1544" s="6"/>
      <c r="AK1544" s="6"/>
      <c r="AL1544" s="6"/>
      <c r="AM1544" s="6"/>
      <c r="AN1544" s="6"/>
      <c r="AO1544" s="6"/>
      <c r="AP1544" s="6"/>
      <c r="AQ1544" s="6"/>
      <c r="AR1544" s="6"/>
      <c r="AS1544" s="6"/>
      <c r="AT1544" s="6"/>
      <c r="AU1544" s="6"/>
      <c r="AV1544" s="6"/>
      <c r="AW1544" s="6"/>
      <c r="AX1544" s="6"/>
      <c r="AY1544" s="6"/>
      <c r="AZ1544" s="6"/>
      <c r="BA1544" s="6"/>
      <c r="BB1544" s="6"/>
      <c r="BC1544" s="6"/>
      <c r="BD1544" s="6"/>
      <c r="BE1544" s="6"/>
      <c r="BF1544" s="6"/>
      <c r="BG1544" s="6"/>
      <c r="BH1544" s="6"/>
      <c r="BI1544" s="6"/>
      <c r="BJ1544" s="6"/>
      <c r="BK1544" s="6"/>
      <c r="BL1544" s="6"/>
      <c r="BM1544" s="6"/>
      <c r="BN1544" s="6"/>
      <c r="BO1544" s="6"/>
      <c r="BP1544" s="6"/>
      <c r="BQ1544" s="6"/>
      <c r="BR1544" s="6"/>
      <c r="BS1544" s="6"/>
      <c r="BT1544" s="6"/>
    </row>
    <row r="1545" spans="1:72">
      <c r="A1545" s="8" t="s">
        <v>29591</v>
      </c>
      <c r="B1545" s="11" t="s">
        <v>29596</v>
      </c>
      <c r="C1545" s="9" t="s">
        <v>138</v>
      </c>
      <c r="D1545" s="10" t="s">
        <v>29592</v>
      </c>
      <c r="E1545" s="28" t="s">
        <v>4604</v>
      </c>
      <c r="F1545" s="28" t="s">
        <v>17451</v>
      </c>
      <c r="G1545" s="28" t="s">
        <v>2071</v>
      </c>
      <c r="H1545" s="13">
        <v>4</v>
      </c>
      <c r="I1545" s="12" t="s">
        <v>29607</v>
      </c>
      <c r="J1545" s="12" t="s">
        <v>39699</v>
      </c>
      <c r="K1545" s="12" t="s">
        <v>45006</v>
      </c>
      <c r="L1545" s="12" t="s">
        <v>45007</v>
      </c>
      <c r="M1545" s="12" t="s">
        <v>38200</v>
      </c>
      <c r="N1545" s="12"/>
      <c r="O1545" s="12"/>
      <c r="P1545" s="12"/>
      <c r="Q1545" s="12"/>
      <c r="R1545" s="12"/>
      <c r="S1545" s="12"/>
      <c r="T1545" s="12"/>
      <c r="U1545" s="12"/>
      <c r="V1545" s="12"/>
      <c r="W1545" s="12"/>
      <c r="X1545" s="12"/>
      <c r="Y1545" s="12"/>
      <c r="Z1545" s="12"/>
      <c r="AA1545" s="12"/>
      <c r="AB1545" s="12"/>
      <c r="AC1545" s="12"/>
      <c r="AD1545" s="12"/>
      <c r="AE1545" s="12"/>
      <c r="AF1545" s="12"/>
      <c r="AG1545" s="12"/>
      <c r="AH1545" s="12"/>
      <c r="AI1545" s="12"/>
      <c r="AJ1545" s="12"/>
      <c r="AK1545" s="12"/>
      <c r="AL1545" s="12"/>
      <c r="AM1545" s="12"/>
      <c r="AN1545" s="12"/>
      <c r="AO1545" s="12"/>
      <c r="AP1545" s="12"/>
      <c r="AQ1545" s="12"/>
      <c r="AR1545" s="12"/>
      <c r="AS1545" s="12"/>
      <c r="AT1545" s="12"/>
      <c r="AU1545" s="12"/>
      <c r="AV1545" s="12"/>
      <c r="AW1545" s="12"/>
      <c r="AX1545" s="12"/>
      <c r="AY1545" s="12"/>
      <c r="AZ1545" s="12"/>
      <c r="BA1545" s="12"/>
      <c r="BB1545" s="12"/>
      <c r="BC1545" s="12"/>
      <c r="BD1545" s="12"/>
      <c r="BE1545" s="12"/>
      <c r="BF1545" s="12"/>
      <c r="BG1545" s="12"/>
      <c r="BH1545" s="12"/>
      <c r="BI1545" s="12"/>
      <c r="BJ1545" s="12"/>
      <c r="BK1545" s="12"/>
      <c r="BL1545" s="12"/>
      <c r="BM1545" s="12"/>
      <c r="BN1545" s="12"/>
      <c r="BO1545" s="12"/>
      <c r="BP1545" s="12"/>
      <c r="BQ1545" s="12"/>
      <c r="BR1545" s="12"/>
      <c r="BS1545" s="12"/>
      <c r="BT1545" s="12"/>
    </row>
    <row r="1546" spans="1:72">
      <c r="A1546" s="2" t="s">
        <v>29611</v>
      </c>
      <c r="B1546" s="5" t="s">
        <v>29614</v>
      </c>
      <c r="C1546" s="3" t="s">
        <v>138</v>
      </c>
      <c r="D1546" s="4" t="s">
        <v>138</v>
      </c>
      <c r="E1546" s="15" t="s">
        <v>668</v>
      </c>
      <c r="F1546" s="15" t="s">
        <v>200</v>
      </c>
      <c r="G1546" s="15" t="s">
        <v>162</v>
      </c>
      <c r="H1546" s="7">
        <v>12</v>
      </c>
      <c r="I1546" s="6" t="s">
        <v>29624</v>
      </c>
      <c r="J1546" s="6" t="s">
        <v>455</v>
      </c>
      <c r="K1546" s="6" t="s">
        <v>45008</v>
      </c>
      <c r="L1546" s="6" t="s">
        <v>45009</v>
      </c>
      <c r="M1546" s="6" t="s">
        <v>43780</v>
      </c>
      <c r="N1546" s="6" t="s">
        <v>45010</v>
      </c>
      <c r="O1546" s="6" t="s">
        <v>45011</v>
      </c>
      <c r="P1546" s="6" t="s">
        <v>38044</v>
      </c>
      <c r="Q1546" s="6" t="s">
        <v>41993</v>
      </c>
      <c r="R1546" s="6" t="s">
        <v>37989</v>
      </c>
      <c r="S1546" s="6" t="s">
        <v>38770</v>
      </c>
      <c r="T1546" s="6" t="s">
        <v>45012</v>
      </c>
      <c r="U1546" s="6" t="s">
        <v>45013</v>
      </c>
      <c r="V1546" s="6" t="s">
        <v>39011</v>
      </c>
      <c r="W1546" s="6"/>
      <c r="X1546" s="6"/>
      <c r="Y1546" s="6"/>
      <c r="Z1546" s="6"/>
      <c r="AA1546" s="6"/>
      <c r="AB1546" s="6"/>
      <c r="AC1546" s="6"/>
      <c r="AD1546" s="6"/>
      <c r="AE1546" s="6"/>
      <c r="AF1546" s="6"/>
      <c r="AG1546" s="6"/>
      <c r="AH1546" s="6"/>
      <c r="AI1546" s="6"/>
      <c r="AJ1546" s="6"/>
      <c r="AK1546" s="6"/>
      <c r="AL1546" s="6"/>
      <c r="AM1546" s="6"/>
      <c r="AN1546" s="6"/>
      <c r="AO1546" s="6"/>
      <c r="AP1546" s="6"/>
      <c r="AQ1546" s="6"/>
      <c r="AR1546" s="6"/>
      <c r="AS1546" s="6"/>
      <c r="AT1546" s="6"/>
      <c r="AU1546" s="6"/>
      <c r="AV1546" s="6"/>
      <c r="AW1546" s="6"/>
      <c r="AX1546" s="6"/>
      <c r="AY1546" s="6"/>
      <c r="AZ1546" s="6"/>
      <c r="BA1546" s="6"/>
      <c r="BB1546" s="6"/>
      <c r="BC1546" s="6"/>
      <c r="BD1546" s="6"/>
      <c r="BE1546" s="6"/>
      <c r="BF1546" s="6"/>
      <c r="BG1546" s="6"/>
      <c r="BH1546" s="6"/>
      <c r="BI1546" s="6"/>
      <c r="BJ1546" s="6"/>
      <c r="BK1546" s="6"/>
      <c r="BL1546" s="6"/>
      <c r="BM1546" s="6"/>
      <c r="BN1546" s="6"/>
      <c r="BO1546" s="6"/>
      <c r="BP1546" s="6"/>
      <c r="BQ1546" s="6"/>
      <c r="BR1546" s="6"/>
      <c r="BS1546" s="6"/>
      <c r="BT1546" s="6"/>
    </row>
    <row r="1547" spans="1:72">
      <c r="A1547" s="8" t="s">
        <v>29627</v>
      </c>
      <c r="B1547" s="11" t="s">
        <v>29632</v>
      </c>
      <c r="C1547" s="9" t="s">
        <v>138</v>
      </c>
      <c r="D1547" s="10" t="s">
        <v>138</v>
      </c>
      <c r="E1547" s="28" t="s">
        <v>29640</v>
      </c>
      <c r="F1547" s="28" t="s">
        <v>138</v>
      </c>
      <c r="G1547" s="28" t="s">
        <v>946</v>
      </c>
      <c r="H1547" s="13">
        <v>9</v>
      </c>
      <c r="I1547" s="12" t="s">
        <v>29645</v>
      </c>
      <c r="J1547" s="12" t="s">
        <v>45014</v>
      </c>
      <c r="K1547" s="12" t="s">
        <v>45015</v>
      </c>
      <c r="L1547" s="12" t="s">
        <v>40723</v>
      </c>
      <c r="M1547" s="12" t="s">
        <v>43313</v>
      </c>
      <c r="N1547" s="12" t="s">
        <v>45016</v>
      </c>
      <c r="O1547" s="12" t="s">
        <v>38200</v>
      </c>
      <c r="P1547" s="12" t="s">
        <v>45017</v>
      </c>
      <c r="Q1547" s="12" t="s">
        <v>45018</v>
      </c>
      <c r="R1547" s="12" t="s">
        <v>45019</v>
      </c>
      <c r="S1547" s="12"/>
      <c r="T1547" s="12"/>
      <c r="U1547" s="12"/>
      <c r="V1547" s="12"/>
      <c r="W1547" s="12"/>
      <c r="X1547" s="12"/>
      <c r="Y1547" s="12"/>
      <c r="Z1547" s="12"/>
      <c r="AA1547" s="12"/>
      <c r="AB1547" s="12"/>
      <c r="AC1547" s="12"/>
      <c r="AD1547" s="12"/>
      <c r="AE1547" s="12"/>
      <c r="AF1547" s="12"/>
      <c r="AG1547" s="12"/>
      <c r="AH1547" s="12"/>
      <c r="AI1547" s="12"/>
      <c r="AJ1547" s="12"/>
      <c r="AK1547" s="12"/>
      <c r="AL1547" s="12"/>
      <c r="AM1547" s="12"/>
      <c r="AN1547" s="12"/>
      <c r="AO1547" s="12"/>
      <c r="AP1547" s="12"/>
      <c r="AQ1547" s="12"/>
      <c r="AR1547" s="12"/>
      <c r="AS1547" s="12"/>
      <c r="AT1547" s="12"/>
      <c r="AU1547" s="12"/>
      <c r="AV1547" s="12"/>
      <c r="AW1547" s="12"/>
      <c r="AX1547" s="12"/>
      <c r="AY1547" s="12"/>
      <c r="AZ1547" s="12"/>
      <c r="BA1547" s="12"/>
      <c r="BB1547" s="12"/>
      <c r="BC1547" s="12"/>
      <c r="BD1547" s="12"/>
      <c r="BE1547" s="12"/>
      <c r="BF1547" s="12"/>
      <c r="BG1547" s="12"/>
      <c r="BH1547" s="12"/>
      <c r="BI1547" s="12"/>
      <c r="BJ1547" s="12"/>
      <c r="BK1547" s="12"/>
      <c r="BL1547" s="12"/>
      <c r="BM1547" s="12"/>
      <c r="BN1547" s="12"/>
      <c r="BO1547" s="12"/>
      <c r="BP1547" s="12"/>
      <c r="BQ1547" s="12"/>
      <c r="BR1547" s="12"/>
      <c r="BS1547" s="12"/>
      <c r="BT1547" s="12"/>
    </row>
    <row r="1548" spans="1:72">
      <c r="A1548" s="2" t="s">
        <v>29650</v>
      </c>
      <c r="B1548" s="5" t="s">
        <v>29657</v>
      </c>
      <c r="C1548" s="3" t="s">
        <v>29651</v>
      </c>
      <c r="D1548" s="4" t="s">
        <v>138</v>
      </c>
      <c r="E1548" s="15" t="s">
        <v>1171</v>
      </c>
      <c r="F1548" s="15" t="s">
        <v>200</v>
      </c>
      <c r="G1548" s="15" t="s">
        <v>162</v>
      </c>
      <c r="H1548" s="7">
        <v>16</v>
      </c>
      <c r="I1548" s="6" t="s">
        <v>29665</v>
      </c>
      <c r="J1548" s="6" t="s">
        <v>39319</v>
      </c>
      <c r="K1548" s="6" t="s">
        <v>37936</v>
      </c>
      <c r="L1548" s="6" t="s">
        <v>45020</v>
      </c>
      <c r="M1548" s="6" t="s">
        <v>42182</v>
      </c>
      <c r="N1548" s="6" t="s">
        <v>38379</v>
      </c>
      <c r="O1548" s="6" t="s">
        <v>38721</v>
      </c>
      <c r="P1548" s="6" t="s">
        <v>38654</v>
      </c>
      <c r="Q1548" s="6" t="s">
        <v>40561</v>
      </c>
      <c r="R1548" s="6" t="s">
        <v>38322</v>
      </c>
      <c r="S1548" s="6" t="s">
        <v>38323</v>
      </c>
      <c r="T1548" s="6" t="s">
        <v>37781</v>
      </c>
      <c r="U1548" s="6" t="s">
        <v>39524</v>
      </c>
      <c r="V1548" s="6" t="s">
        <v>45021</v>
      </c>
      <c r="W1548" s="6" t="s">
        <v>40784</v>
      </c>
      <c r="X1548" s="6" t="s">
        <v>38581</v>
      </c>
      <c r="Y1548" s="6" t="s">
        <v>39064</v>
      </c>
      <c r="Z1548" s="6"/>
      <c r="AA1548" s="6"/>
      <c r="AB1548" s="6"/>
      <c r="AC1548" s="6"/>
      <c r="AD1548" s="6"/>
      <c r="AE1548" s="6"/>
      <c r="AF1548" s="6"/>
      <c r="AG1548" s="6"/>
      <c r="AH1548" s="6"/>
      <c r="AI1548" s="6"/>
      <c r="AJ1548" s="6"/>
      <c r="AK1548" s="6"/>
      <c r="AL1548" s="6"/>
      <c r="AM1548" s="6"/>
      <c r="AN1548" s="6"/>
      <c r="AO1548" s="6"/>
      <c r="AP1548" s="6"/>
      <c r="AQ1548" s="6"/>
      <c r="AR1548" s="6"/>
      <c r="AS1548" s="6"/>
      <c r="AT1548" s="6"/>
      <c r="AU1548" s="6"/>
      <c r="AV1548" s="6"/>
      <c r="AW1548" s="6"/>
      <c r="AX1548" s="6"/>
      <c r="AY1548" s="6"/>
      <c r="AZ1548" s="6"/>
      <c r="BA1548" s="6"/>
      <c r="BB1548" s="6"/>
      <c r="BC1548" s="6"/>
      <c r="BD1548" s="6"/>
      <c r="BE1548" s="6"/>
      <c r="BF1548" s="6"/>
      <c r="BG1548" s="6"/>
      <c r="BH1548" s="6"/>
      <c r="BI1548" s="6"/>
      <c r="BJ1548" s="6"/>
      <c r="BK1548" s="6"/>
      <c r="BL1548" s="6"/>
      <c r="BM1548" s="6"/>
      <c r="BN1548" s="6"/>
      <c r="BO1548" s="6"/>
      <c r="BP1548" s="6"/>
      <c r="BQ1548" s="6"/>
      <c r="BR1548" s="6"/>
      <c r="BS1548" s="6"/>
      <c r="BT1548" s="6"/>
    </row>
    <row r="1549" spans="1:72">
      <c r="A1549" s="8" t="s">
        <v>29669</v>
      </c>
      <c r="B1549" s="11" t="s">
        <v>29673</v>
      </c>
      <c r="C1549" s="9" t="s">
        <v>138</v>
      </c>
      <c r="D1549" s="10" t="s">
        <v>138</v>
      </c>
      <c r="E1549" s="28" t="s">
        <v>426</v>
      </c>
      <c r="F1549" s="28" t="s">
        <v>426</v>
      </c>
      <c r="G1549" s="28" t="s">
        <v>162</v>
      </c>
      <c r="H1549" s="13">
        <v>7</v>
      </c>
      <c r="I1549" s="12" t="s">
        <v>29681</v>
      </c>
      <c r="J1549" s="12" t="s">
        <v>45022</v>
      </c>
      <c r="K1549" s="12" t="s">
        <v>39645</v>
      </c>
      <c r="L1549" s="12" t="s">
        <v>38113</v>
      </c>
      <c r="M1549" s="12" t="s">
        <v>37964</v>
      </c>
      <c r="N1549" s="12" t="s">
        <v>44069</v>
      </c>
      <c r="O1549" s="12" t="s">
        <v>37890</v>
      </c>
      <c r="P1549" s="12" t="s">
        <v>38536</v>
      </c>
      <c r="Q1549" s="12"/>
      <c r="R1549" s="12"/>
      <c r="S1549" s="12"/>
      <c r="T1549" s="12"/>
      <c r="U1549" s="12"/>
      <c r="V1549" s="12"/>
      <c r="W1549" s="12"/>
      <c r="X1549" s="12"/>
      <c r="Y1549" s="12"/>
      <c r="Z1549" s="12"/>
      <c r="AA1549" s="12"/>
      <c r="AB1549" s="12"/>
      <c r="AC1549" s="12"/>
      <c r="AD1549" s="12"/>
      <c r="AE1549" s="12"/>
      <c r="AF1549" s="12"/>
      <c r="AG1549" s="12"/>
      <c r="AH1549" s="12"/>
      <c r="AI1549" s="12"/>
      <c r="AJ1549" s="12"/>
      <c r="AK1549" s="12"/>
      <c r="AL1549" s="12"/>
      <c r="AM1549" s="12"/>
      <c r="AN1549" s="12"/>
      <c r="AO1549" s="12"/>
      <c r="AP1549" s="12"/>
      <c r="AQ1549" s="12"/>
      <c r="AR1549" s="12"/>
      <c r="AS1549" s="12"/>
      <c r="AT1549" s="12"/>
      <c r="AU1549" s="12"/>
      <c r="AV1549" s="12"/>
      <c r="AW1549" s="12"/>
      <c r="AX1549" s="12"/>
      <c r="AY1549" s="12"/>
      <c r="AZ1549" s="12"/>
      <c r="BA1549" s="12"/>
      <c r="BB1549" s="12"/>
      <c r="BC1549" s="12"/>
      <c r="BD1549" s="12"/>
      <c r="BE1549" s="12"/>
      <c r="BF1549" s="12"/>
      <c r="BG1549" s="12"/>
      <c r="BH1549" s="12"/>
      <c r="BI1549" s="12"/>
      <c r="BJ1549" s="12"/>
      <c r="BK1549" s="12"/>
      <c r="BL1549" s="12"/>
      <c r="BM1549" s="12"/>
      <c r="BN1549" s="12"/>
      <c r="BO1549" s="12"/>
      <c r="BP1549" s="12"/>
      <c r="BQ1549" s="12"/>
      <c r="BR1549" s="12"/>
      <c r="BS1549" s="12"/>
      <c r="BT1549" s="12"/>
    </row>
    <row r="1550" spans="1:72">
      <c r="A1550" s="2" t="s">
        <v>29686</v>
      </c>
      <c r="B1550" s="5" t="s">
        <v>29689</v>
      </c>
      <c r="C1550" s="3" t="s">
        <v>138</v>
      </c>
      <c r="D1550" s="4" t="s">
        <v>138</v>
      </c>
      <c r="E1550" s="15" t="s">
        <v>1198</v>
      </c>
      <c r="F1550" s="15" t="s">
        <v>138</v>
      </c>
      <c r="G1550" s="15" t="s">
        <v>1200</v>
      </c>
      <c r="H1550" s="7">
        <v>3</v>
      </c>
      <c r="I1550" s="6" t="s">
        <v>29699</v>
      </c>
      <c r="J1550" s="6" t="s">
        <v>44400</v>
      </c>
      <c r="K1550" s="6" t="s">
        <v>39343</v>
      </c>
      <c r="L1550" s="6" t="s">
        <v>37781</v>
      </c>
      <c r="M1550" s="6"/>
      <c r="N1550" s="6"/>
      <c r="O1550" s="6"/>
      <c r="P1550" s="6"/>
      <c r="Q1550" s="6"/>
      <c r="R1550" s="6"/>
      <c r="S1550" s="6"/>
      <c r="T1550" s="6"/>
      <c r="U1550" s="6"/>
      <c r="V1550" s="6"/>
      <c r="W1550" s="6"/>
      <c r="X1550" s="6"/>
      <c r="Y1550" s="6"/>
      <c r="Z1550" s="6"/>
      <c r="AA1550" s="6"/>
      <c r="AB1550" s="6"/>
      <c r="AC1550" s="6"/>
      <c r="AD1550" s="6"/>
      <c r="AE1550" s="6"/>
      <c r="AF1550" s="6"/>
      <c r="AG1550" s="6"/>
      <c r="AH1550" s="6"/>
      <c r="AI1550" s="6"/>
      <c r="AJ1550" s="6"/>
      <c r="AK1550" s="6"/>
      <c r="AL1550" s="6"/>
      <c r="AM1550" s="6"/>
      <c r="AN1550" s="6"/>
      <c r="AO1550" s="6"/>
      <c r="AP1550" s="6"/>
      <c r="AQ1550" s="6"/>
      <c r="AR1550" s="6"/>
      <c r="AS1550" s="6"/>
      <c r="AT1550" s="6"/>
      <c r="AU1550" s="6"/>
      <c r="AV1550" s="6"/>
      <c r="AW1550" s="6"/>
      <c r="AX1550" s="6"/>
      <c r="AY1550" s="6"/>
      <c r="AZ1550" s="6"/>
      <c r="BA1550" s="6"/>
      <c r="BB1550" s="6"/>
      <c r="BC1550" s="6"/>
      <c r="BD1550" s="6"/>
      <c r="BE1550" s="6"/>
      <c r="BF1550" s="6"/>
      <c r="BG1550" s="6"/>
      <c r="BH1550" s="6"/>
      <c r="BI1550" s="6"/>
      <c r="BJ1550" s="6"/>
      <c r="BK1550" s="6"/>
      <c r="BL1550" s="6"/>
      <c r="BM1550" s="6"/>
      <c r="BN1550" s="6"/>
      <c r="BO1550" s="6"/>
      <c r="BP1550" s="6"/>
      <c r="BQ1550" s="6"/>
      <c r="BR1550" s="6"/>
      <c r="BS1550" s="6"/>
      <c r="BT1550" s="6"/>
    </row>
    <row r="1551" spans="1:72">
      <c r="A1551" s="8" t="s">
        <v>29703</v>
      </c>
      <c r="B1551" s="11" t="s">
        <v>29707</v>
      </c>
      <c r="C1551" s="9" t="s">
        <v>138</v>
      </c>
      <c r="D1551" s="10" t="s">
        <v>29704</v>
      </c>
      <c r="E1551" s="28" t="s">
        <v>2845</v>
      </c>
      <c r="F1551" s="28" t="s">
        <v>200</v>
      </c>
      <c r="G1551" s="28" t="s">
        <v>162</v>
      </c>
      <c r="H1551" s="13">
        <v>4</v>
      </c>
      <c r="I1551" s="12" t="s">
        <v>29718</v>
      </c>
      <c r="J1551" s="12" t="s">
        <v>45023</v>
      </c>
      <c r="K1551" s="12" t="s">
        <v>45024</v>
      </c>
      <c r="L1551" s="12" t="s">
        <v>38770</v>
      </c>
      <c r="M1551" s="12" t="s">
        <v>37839</v>
      </c>
      <c r="N1551" s="12"/>
      <c r="O1551" s="12"/>
      <c r="P1551" s="12"/>
      <c r="Q1551" s="12"/>
      <c r="R1551" s="12"/>
      <c r="S1551" s="12"/>
      <c r="T1551" s="12"/>
      <c r="U1551" s="12"/>
      <c r="V1551" s="12"/>
      <c r="W1551" s="12"/>
      <c r="X1551" s="12"/>
      <c r="Y1551" s="12"/>
      <c r="Z1551" s="12"/>
      <c r="AA1551" s="12"/>
      <c r="AB1551" s="12"/>
      <c r="AC1551" s="12"/>
      <c r="AD1551" s="12"/>
      <c r="AE1551" s="12"/>
      <c r="AF1551" s="12"/>
      <c r="AG1551" s="12"/>
      <c r="AH1551" s="12"/>
      <c r="AI1551" s="12"/>
      <c r="AJ1551" s="12"/>
      <c r="AK1551" s="12"/>
      <c r="AL1551" s="12"/>
      <c r="AM1551" s="12"/>
      <c r="AN1551" s="12"/>
      <c r="AO1551" s="12"/>
      <c r="AP1551" s="12"/>
      <c r="AQ1551" s="12"/>
      <c r="AR1551" s="12"/>
      <c r="AS1551" s="12"/>
      <c r="AT1551" s="12"/>
      <c r="AU1551" s="12"/>
      <c r="AV1551" s="12"/>
      <c r="AW1551" s="12"/>
      <c r="AX1551" s="12"/>
      <c r="AY1551" s="12"/>
      <c r="AZ1551" s="12"/>
      <c r="BA1551" s="12"/>
      <c r="BB1551" s="12"/>
      <c r="BC1551" s="12"/>
      <c r="BD1551" s="12"/>
      <c r="BE1551" s="12"/>
      <c r="BF1551" s="12"/>
      <c r="BG1551" s="12"/>
      <c r="BH1551" s="12"/>
      <c r="BI1551" s="12"/>
      <c r="BJ1551" s="12"/>
      <c r="BK1551" s="12"/>
      <c r="BL1551" s="12"/>
      <c r="BM1551" s="12"/>
      <c r="BN1551" s="12"/>
      <c r="BO1551" s="12"/>
      <c r="BP1551" s="12"/>
      <c r="BQ1551" s="12"/>
      <c r="BR1551" s="12"/>
      <c r="BS1551" s="12"/>
      <c r="BT1551" s="12"/>
    </row>
    <row r="1552" spans="1:72">
      <c r="A1552" s="2" t="s">
        <v>29721</v>
      </c>
      <c r="B1552" s="5" t="s">
        <v>29725</v>
      </c>
      <c r="C1552" s="3" t="s">
        <v>138</v>
      </c>
      <c r="D1552" s="4" t="s">
        <v>138</v>
      </c>
      <c r="E1552" s="15" t="s">
        <v>1294</v>
      </c>
      <c r="F1552" s="15" t="s">
        <v>864</v>
      </c>
      <c r="G1552" s="15" t="s">
        <v>162</v>
      </c>
      <c r="H1552" s="7">
        <v>6</v>
      </c>
      <c r="I1552" s="6" t="s">
        <v>29734</v>
      </c>
      <c r="J1552" s="6" t="s">
        <v>41427</v>
      </c>
      <c r="K1552" s="6" t="s">
        <v>38232</v>
      </c>
      <c r="L1552" s="6" t="s">
        <v>37764</v>
      </c>
      <c r="M1552" s="6" t="s">
        <v>37892</v>
      </c>
      <c r="N1552" s="6" t="s">
        <v>39327</v>
      </c>
      <c r="O1552" s="6" t="s">
        <v>37806</v>
      </c>
      <c r="P1552" s="6"/>
      <c r="Q1552" s="6"/>
      <c r="R1552" s="6"/>
      <c r="S1552" s="6"/>
      <c r="T1552" s="6"/>
      <c r="U1552" s="6"/>
      <c r="V1552" s="6"/>
      <c r="W1552" s="6"/>
      <c r="X1552" s="6"/>
      <c r="Y1552" s="6"/>
      <c r="Z1552" s="6"/>
      <c r="AA1552" s="6"/>
      <c r="AB1552" s="6"/>
      <c r="AC1552" s="6"/>
      <c r="AD1552" s="6"/>
      <c r="AE1552" s="6"/>
      <c r="AF1552" s="6"/>
      <c r="AG1552" s="6"/>
      <c r="AH1552" s="6"/>
      <c r="AI1552" s="6"/>
      <c r="AJ1552" s="6"/>
      <c r="AK1552" s="6"/>
      <c r="AL1552" s="6"/>
      <c r="AM1552" s="6"/>
      <c r="AN1552" s="6"/>
      <c r="AO1552" s="6"/>
      <c r="AP1552" s="6"/>
      <c r="AQ1552" s="6"/>
      <c r="AR1552" s="6"/>
      <c r="AS1552" s="6"/>
      <c r="AT1552" s="6"/>
      <c r="AU1552" s="6"/>
      <c r="AV1552" s="6"/>
      <c r="AW1552" s="6"/>
      <c r="AX1552" s="6"/>
      <c r="AY1552" s="6"/>
      <c r="AZ1552" s="6"/>
      <c r="BA1552" s="6"/>
      <c r="BB1552" s="6"/>
      <c r="BC1552" s="6"/>
      <c r="BD1552" s="6"/>
      <c r="BE1552" s="6"/>
      <c r="BF1552" s="6"/>
      <c r="BG1552" s="6"/>
      <c r="BH1552" s="6"/>
      <c r="BI1552" s="6"/>
      <c r="BJ1552" s="6"/>
      <c r="BK1552" s="6"/>
      <c r="BL1552" s="6"/>
      <c r="BM1552" s="6"/>
      <c r="BN1552" s="6"/>
      <c r="BO1552" s="6"/>
      <c r="BP1552" s="6"/>
      <c r="BQ1552" s="6"/>
      <c r="BR1552" s="6"/>
      <c r="BS1552" s="6"/>
      <c r="BT1552" s="6"/>
    </row>
    <row r="1553" spans="1:72">
      <c r="A1553" s="8" t="s">
        <v>29737</v>
      </c>
      <c r="B1553" s="11" t="s">
        <v>29742</v>
      </c>
      <c r="C1553" s="9" t="s">
        <v>138</v>
      </c>
      <c r="D1553" s="10" t="s">
        <v>138</v>
      </c>
      <c r="E1553" s="28" t="s">
        <v>668</v>
      </c>
      <c r="F1553" s="28" t="s">
        <v>200</v>
      </c>
      <c r="G1553" s="28" t="s">
        <v>162</v>
      </c>
      <c r="H1553" s="13">
        <v>7</v>
      </c>
      <c r="I1553" s="12" t="s">
        <v>29751</v>
      </c>
      <c r="J1553" s="12" t="s">
        <v>45025</v>
      </c>
      <c r="K1553" s="12" t="s">
        <v>37832</v>
      </c>
      <c r="L1553" s="12" t="s">
        <v>37819</v>
      </c>
      <c r="M1553" s="12" t="s">
        <v>45026</v>
      </c>
      <c r="N1553" s="12" t="s">
        <v>37921</v>
      </c>
      <c r="O1553" s="12" t="s">
        <v>45027</v>
      </c>
      <c r="P1553" s="12" t="s">
        <v>39944</v>
      </c>
      <c r="Q1553" s="12"/>
      <c r="R1553" s="12"/>
      <c r="S1553" s="12"/>
      <c r="T1553" s="12"/>
      <c r="U1553" s="12"/>
      <c r="V1553" s="12"/>
      <c r="W1553" s="12"/>
      <c r="X1553" s="12"/>
      <c r="Y1553" s="12"/>
      <c r="Z1553" s="12"/>
      <c r="AA1553" s="12"/>
      <c r="AB1553" s="12"/>
      <c r="AC1553" s="12"/>
      <c r="AD1553" s="12"/>
      <c r="AE1553" s="12"/>
      <c r="AF1553" s="12"/>
      <c r="AG1553" s="12"/>
      <c r="AH1553" s="12"/>
      <c r="AI1553" s="12"/>
      <c r="AJ1553" s="12"/>
      <c r="AK1553" s="12"/>
      <c r="AL1553" s="12"/>
      <c r="AM1553" s="12"/>
      <c r="AN1553" s="12"/>
      <c r="AO1553" s="12"/>
      <c r="AP1553" s="12"/>
      <c r="AQ1553" s="12"/>
      <c r="AR1553" s="12"/>
      <c r="AS1553" s="12"/>
      <c r="AT1553" s="12"/>
      <c r="AU1553" s="12"/>
      <c r="AV1553" s="12"/>
      <c r="AW1553" s="12"/>
      <c r="AX1553" s="12"/>
      <c r="AY1553" s="12"/>
      <c r="AZ1553" s="12"/>
      <c r="BA1553" s="12"/>
      <c r="BB1553" s="12"/>
      <c r="BC1553" s="12"/>
      <c r="BD1553" s="12"/>
      <c r="BE1553" s="12"/>
      <c r="BF1553" s="12"/>
      <c r="BG1553" s="12"/>
      <c r="BH1553" s="12"/>
      <c r="BI1553" s="12"/>
      <c r="BJ1553" s="12"/>
      <c r="BK1553" s="12"/>
      <c r="BL1553" s="12"/>
      <c r="BM1553" s="12"/>
      <c r="BN1553" s="12"/>
      <c r="BO1553" s="12"/>
      <c r="BP1553" s="12"/>
      <c r="BQ1553" s="12"/>
      <c r="BR1553" s="12"/>
      <c r="BS1553" s="12"/>
      <c r="BT1553" s="12"/>
    </row>
    <row r="1554" spans="1:72">
      <c r="A1554" s="2" t="s">
        <v>29755</v>
      </c>
      <c r="B1554" s="5" t="s">
        <v>29759</v>
      </c>
      <c r="C1554" s="3" t="s">
        <v>138</v>
      </c>
      <c r="D1554" s="4" t="s">
        <v>138</v>
      </c>
      <c r="E1554" s="15" t="s">
        <v>1516</v>
      </c>
      <c r="F1554" s="15" t="s">
        <v>284</v>
      </c>
      <c r="G1554" s="15" t="s">
        <v>162</v>
      </c>
      <c r="H1554" s="7">
        <v>2</v>
      </c>
      <c r="I1554" s="6" t="s">
        <v>29768</v>
      </c>
      <c r="J1554" s="6" t="s">
        <v>25482</v>
      </c>
      <c r="K1554" s="6" t="s">
        <v>45028</v>
      </c>
      <c r="L1554" s="6"/>
      <c r="M1554" s="6"/>
      <c r="N1554" s="6"/>
      <c r="O1554" s="6"/>
      <c r="P1554" s="6"/>
      <c r="Q1554" s="6"/>
      <c r="R1554" s="6"/>
      <c r="S1554" s="6"/>
      <c r="T1554" s="6"/>
      <c r="U1554" s="6"/>
      <c r="V1554" s="6"/>
      <c r="W1554" s="6"/>
      <c r="X1554" s="6"/>
      <c r="Y1554" s="6"/>
      <c r="Z1554" s="6"/>
      <c r="AA1554" s="6"/>
      <c r="AB1554" s="6"/>
      <c r="AC1554" s="6"/>
      <c r="AD1554" s="6"/>
      <c r="AE1554" s="6"/>
      <c r="AF1554" s="6"/>
      <c r="AG1554" s="6"/>
      <c r="AH1554" s="6"/>
      <c r="AI1554" s="6"/>
      <c r="AJ1554" s="6"/>
      <c r="AK1554" s="6"/>
      <c r="AL1554" s="6"/>
      <c r="AM1554" s="6"/>
      <c r="AN1554" s="6"/>
      <c r="AO1554" s="6"/>
      <c r="AP1554" s="6"/>
      <c r="AQ1554" s="6"/>
      <c r="AR1554" s="6"/>
      <c r="AS1554" s="6"/>
      <c r="AT1554" s="6"/>
      <c r="AU1554" s="6"/>
      <c r="AV1554" s="6"/>
      <c r="AW1554" s="6"/>
      <c r="AX1554" s="6"/>
      <c r="AY1554" s="6"/>
      <c r="AZ1554" s="6"/>
      <c r="BA1554" s="6"/>
      <c r="BB1554" s="6"/>
      <c r="BC1554" s="6"/>
      <c r="BD1554" s="6"/>
      <c r="BE1554" s="6"/>
      <c r="BF1554" s="6"/>
      <c r="BG1554" s="6"/>
      <c r="BH1554" s="6"/>
      <c r="BI1554" s="6"/>
      <c r="BJ1554" s="6"/>
      <c r="BK1554" s="6"/>
      <c r="BL1554" s="6"/>
      <c r="BM1554" s="6"/>
      <c r="BN1554" s="6"/>
      <c r="BO1554" s="6"/>
      <c r="BP1554" s="6"/>
      <c r="BQ1554" s="6"/>
      <c r="BR1554" s="6"/>
      <c r="BS1554" s="6"/>
      <c r="BT1554" s="6"/>
    </row>
    <row r="1555" spans="1:72">
      <c r="A1555" s="8" t="s">
        <v>29771</v>
      </c>
      <c r="B1555" s="11" t="s">
        <v>29776</v>
      </c>
      <c r="C1555" s="9" t="s">
        <v>138</v>
      </c>
      <c r="D1555" s="10" t="s">
        <v>138</v>
      </c>
      <c r="E1555" s="28" t="s">
        <v>29784</v>
      </c>
      <c r="F1555" s="28" t="s">
        <v>339</v>
      </c>
      <c r="G1555" s="28" t="s">
        <v>162</v>
      </c>
      <c r="H1555" s="13">
        <v>8</v>
      </c>
      <c r="I1555" s="12" t="s">
        <v>29787</v>
      </c>
      <c r="J1555" s="12" t="s">
        <v>34505</v>
      </c>
      <c r="K1555" s="12" t="s">
        <v>45029</v>
      </c>
      <c r="L1555" s="12" t="s">
        <v>40181</v>
      </c>
      <c r="M1555" s="12" t="s">
        <v>45030</v>
      </c>
      <c r="N1555" s="12" t="s">
        <v>45031</v>
      </c>
      <c r="O1555" s="12" t="s">
        <v>37931</v>
      </c>
      <c r="P1555" s="12" t="s">
        <v>37779</v>
      </c>
      <c r="Q1555" s="12" t="s">
        <v>39042</v>
      </c>
      <c r="R1555" s="12"/>
      <c r="S1555" s="12"/>
      <c r="T1555" s="12"/>
      <c r="U1555" s="12"/>
      <c r="V1555" s="12"/>
      <c r="W1555" s="12"/>
      <c r="X1555" s="12"/>
      <c r="Y1555" s="12"/>
      <c r="Z1555" s="12"/>
      <c r="AA1555" s="12"/>
      <c r="AB1555" s="12"/>
      <c r="AC1555" s="12"/>
      <c r="AD1555" s="12"/>
      <c r="AE1555" s="12"/>
      <c r="AF1555" s="12"/>
      <c r="AG1555" s="12"/>
      <c r="AH1555" s="12"/>
      <c r="AI1555" s="12"/>
      <c r="AJ1555" s="12"/>
      <c r="AK1555" s="12"/>
      <c r="AL1555" s="12"/>
      <c r="AM1555" s="12"/>
      <c r="AN1555" s="12"/>
      <c r="AO1555" s="12"/>
      <c r="AP1555" s="12"/>
      <c r="AQ1555" s="12"/>
      <c r="AR1555" s="12"/>
      <c r="AS1555" s="12"/>
      <c r="AT1555" s="12"/>
      <c r="AU1555" s="12"/>
      <c r="AV1555" s="12"/>
      <c r="AW1555" s="12"/>
      <c r="AX1555" s="12"/>
      <c r="AY1555" s="12"/>
      <c r="AZ1555" s="12"/>
      <c r="BA1555" s="12"/>
      <c r="BB1555" s="12"/>
      <c r="BC1555" s="12"/>
      <c r="BD1555" s="12"/>
      <c r="BE1555" s="12"/>
      <c r="BF1555" s="12"/>
      <c r="BG1555" s="12"/>
      <c r="BH1555" s="12"/>
      <c r="BI1555" s="12"/>
      <c r="BJ1555" s="12"/>
      <c r="BK1555" s="12"/>
      <c r="BL1555" s="12"/>
      <c r="BM1555" s="12"/>
      <c r="BN1555" s="12"/>
      <c r="BO1555" s="12"/>
      <c r="BP1555" s="12"/>
      <c r="BQ1555" s="12"/>
      <c r="BR1555" s="12"/>
      <c r="BS1555" s="12"/>
      <c r="BT1555" s="12"/>
    </row>
    <row r="1556" spans="1:72">
      <c r="A1556" s="2" t="s">
        <v>29794</v>
      </c>
      <c r="B1556" s="5" t="s">
        <v>29799</v>
      </c>
      <c r="C1556" s="3" t="s">
        <v>138</v>
      </c>
      <c r="D1556" s="4" t="s">
        <v>29795</v>
      </c>
      <c r="E1556" s="15" t="s">
        <v>863</v>
      </c>
      <c r="F1556" s="15" t="s">
        <v>864</v>
      </c>
      <c r="G1556" s="15" t="s">
        <v>162</v>
      </c>
      <c r="H1556" s="7">
        <v>3</v>
      </c>
      <c r="I1556" s="6" t="s">
        <v>29805</v>
      </c>
      <c r="J1556" s="6" t="s">
        <v>45032</v>
      </c>
      <c r="K1556" s="6" t="s">
        <v>39003</v>
      </c>
      <c r="L1556" s="6" t="s">
        <v>38363</v>
      </c>
      <c r="M1556" s="6"/>
      <c r="N1556" s="6"/>
      <c r="O1556" s="6"/>
      <c r="P1556" s="6"/>
      <c r="Q1556" s="6"/>
      <c r="R1556" s="6"/>
      <c r="S1556" s="6"/>
      <c r="T1556" s="6"/>
      <c r="U1556" s="6"/>
      <c r="V1556" s="6"/>
      <c r="W1556" s="6"/>
      <c r="X1556" s="6"/>
      <c r="Y1556" s="6"/>
      <c r="Z1556" s="6"/>
      <c r="AA1556" s="6"/>
      <c r="AB1556" s="6"/>
      <c r="AC1556" s="6"/>
      <c r="AD1556" s="6"/>
      <c r="AE1556" s="6"/>
      <c r="AF1556" s="6"/>
      <c r="AG1556" s="6"/>
      <c r="AH1556" s="6"/>
      <c r="AI1556" s="6"/>
      <c r="AJ1556" s="6"/>
      <c r="AK1556" s="6"/>
      <c r="AL1556" s="6"/>
      <c r="AM1556" s="6"/>
      <c r="AN1556" s="6"/>
      <c r="AO1556" s="6"/>
      <c r="AP1556" s="6"/>
      <c r="AQ1556" s="6"/>
      <c r="AR1556" s="6"/>
      <c r="AS1556" s="6"/>
      <c r="AT1556" s="6"/>
      <c r="AU1556" s="6"/>
      <c r="AV1556" s="6"/>
      <c r="AW1556" s="6"/>
      <c r="AX1556" s="6"/>
      <c r="AY1556" s="6"/>
      <c r="AZ1556" s="6"/>
      <c r="BA1556" s="6"/>
      <c r="BB1556" s="6"/>
      <c r="BC1556" s="6"/>
      <c r="BD1556" s="6"/>
      <c r="BE1556" s="6"/>
      <c r="BF1556" s="6"/>
      <c r="BG1556" s="6"/>
      <c r="BH1556" s="6"/>
      <c r="BI1556" s="6"/>
      <c r="BJ1556" s="6"/>
      <c r="BK1556" s="6"/>
      <c r="BL1556" s="6"/>
      <c r="BM1556" s="6"/>
      <c r="BN1556" s="6"/>
      <c r="BO1556" s="6"/>
      <c r="BP1556" s="6"/>
      <c r="BQ1556" s="6"/>
      <c r="BR1556" s="6"/>
      <c r="BS1556" s="6"/>
      <c r="BT1556" s="6"/>
    </row>
    <row r="1557" spans="1:72">
      <c r="A1557" s="8" t="s">
        <v>29808</v>
      </c>
      <c r="B1557" s="11" t="s">
        <v>29812</v>
      </c>
      <c r="C1557" s="9" t="s">
        <v>138</v>
      </c>
      <c r="D1557" s="10" t="s">
        <v>29809</v>
      </c>
      <c r="E1557" s="28" t="s">
        <v>668</v>
      </c>
      <c r="F1557" s="28" t="s">
        <v>200</v>
      </c>
      <c r="G1557" s="28" t="s">
        <v>162</v>
      </c>
      <c r="H1557" s="13">
        <v>4</v>
      </c>
      <c r="I1557" s="12" t="s">
        <v>29819</v>
      </c>
      <c r="J1557" s="12" t="s">
        <v>40432</v>
      </c>
      <c r="K1557" s="12" t="s">
        <v>37890</v>
      </c>
      <c r="L1557" s="12" t="s">
        <v>45033</v>
      </c>
      <c r="M1557" s="12" t="s">
        <v>42575</v>
      </c>
      <c r="N1557" s="12"/>
      <c r="O1557" s="12"/>
      <c r="P1557" s="12"/>
      <c r="Q1557" s="12"/>
      <c r="R1557" s="12"/>
      <c r="S1557" s="12"/>
      <c r="T1557" s="12"/>
      <c r="U1557" s="12"/>
      <c r="V1557" s="12"/>
      <c r="W1557" s="12"/>
      <c r="X1557" s="12"/>
      <c r="Y1557" s="12"/>
      <c r="Z1557" s="12"/>
      <c r="AA1557" s="12"/>
      <c r="AB1557" s="12"/>
      <c r="AC1557" s="12"/>
      <c r="AD1557" s="12"/>
      <c r="AE1557" s="12"/>
      <c r="AF1557" s="12"/>
      <c r="AG1557" s="12"/>
      <c r="AH1557" s="12"/>
      <c r="AI1557" s="12"/>
      <c r="AJ1557" s="12"/>
      <c r="AK1557" s="12"/>
      <c r="AL1557" s="12"/>
      <c r="AM1557" s="12"/>
      <c r="AN1557" s="12"/>
      <c r="AO1557" s="12"/>
      <c r="AP1557" s="12"/>
      <c r="AQ1557" s="12"/>
      <c r="AR1557" s="12"/>
      <c r="AS1557" s="12"/>
      <c r="AT1557" s="12"/>
      <c r="AU1557" s="12"/>
      <c r="AV1557" s="12"/>
      <c r="AW1557" s="12"/>
      <c r="AX1557" s="12"/>
      <c r="AY1557" s="12"/>
      <c r="AZ1557" s="12"/>
      <c r="BA1557" s="12"/>
      <c r="BB1557" s="12"/>
      <c r="BC1557" s="12"/>
      <c r="BD1557" s="12"/>
      <c r="BE1557" s="12"/>
      <c r="BF1557" s="12"/>
      <c r="BG1557" s="12"/>
      <c r="BH1557" s="12"/>
      <c r="BI1557" s="12"/>
      <c r="BJ1557" s="12"/>
      <c r="BK1557" s="12"/>
      <c r="BL1557" s="12"/>
      <c r="BM1557" s="12"/>
      <c r="BN1557" s="12"/>
      <c r="BO1557" s="12"/>
      <c r="BP1557" s="12"/>
      <c r="BQ1557" s="12"/>
      <c r="BR1557" s="12"/>
      <c r="BS1557" s="12"/>
      <c r="BT1557" s="12"/>
    </row>
    <row r="1558" spans="1:72">
      <c r="A1558" s="2" t="s">
        <v>29822</v>
      </c>
      <c r="B1558" s="5" t="s">
        <v>29827</v>
      </c>
      <c r="C1558" s="3" t="s">
        <v>29823</v>
      </c>
      <c r="D1558" s="4" t="s">
        <v>138</v>
      </c>
      <c r="E1558" s="15" t="s">
        <v>426</v>
      </c>
      <c r="F1558" s="15" t="s">
        <v>426</v>
      </c>
      <c r="G1558" s="15" t="s">
        <v>162</v>
      </c>
      <c r="H1558" s="7">
        <v>11</v>
      </c>
      <c r="I1558" s="6" t="s">
        <v>29836</v>
      </c>
      <c r="J1558" s="6" t="s">
        <v>42337</v>
      </c>
      <c r="K1558" s="6" t="s">
        <v>45034</v>
      </c>
      <c r="L1558" s="6" t="s">
        <v>38841</v>
      </c>
      <c r="M1558" s="6" t="s">
        <v>41036</v>
      </c>
      <c r="N1558" s="6" t="s">
        <v>37821</v>
      </c>
      <c r="O1558" s="6" t="s">
        <v>45035</v>
      </c>
      <c r="P1558" s="6" t="s">
        <v>44533</v>
      </c>
      <c r="Q1558" s="6" t="s">
        <v>39966</v>
      </c>
      <c r="R1558" s="6" t="s">
        <v>45036</v>
      </c>
      <c r="S1558" s="6" t="s">
        <v>45037</v>
      </c>
      <c r="T1558" s="6" t="s">
        <v>38370</v>
      </c>
      <c r="U1558" s="6"/>
      <c r="V1558" s="6"/>
      <c r="W1558" s="6"/>
      <c r="X1558" s="6"/>
      <c r="Y1558" s="6"/>
      <c r="Z1558" s="6"/>
      <c r="AA1558" s="6"/>
      <c r="AB1558" s="6"/>
      <c r="AC1558" s="6"/>
      <c r="AD1558" s="6"/>
      <c r="AE1558" s="6"/>
      <c r="AF1558" s="6"/>
      <c r="AG1558" s="6"/>
      <c r="AH1558" s="6"/>
      <c r="AI1558" s="6"/>
      <c r="AJ1558" s="6"/>
      <c r="AK1558" s="6"/>
      <c r="AL1558" s="6"/>
      <c r="AM1558" s="6"/>
      <c r="AN1558" s="6"/>
      <c r="AO1558" s="6"/>
      <c r="AP1558" s="6"/>
      <c r="AQ1558" s="6"/>
      <c r="AR1558" s="6"/>
      <c r="AS1558" s="6"/>
      <c r="AT1558" s="6"/>
      <c r="AU1558" s="6"/>
      <c r="AV1558" s="6"/>
      <c r="AW1558" s="6"/>
      <c r="AX1558" s="6"/>
      <c r="AY1558" s="6"/>
      <c r="AZ1558" s="6"/>
      <c r="BA1558" s="6"/>
      <c r="BB1558" s="6"/>
      <c r="BC1558" s="6"/>
      <c r="BD1558" s="6"/>
      <c r="BE1558" s="6"/>
      <c r="BF1558" s="6"/>
      <c r="BG1558" s="6"/>
      <c r="BH1558" s="6"/>
      <c r="BI1558" s="6"/>
      <c r="BJ1558" s="6"/>
      <c r="BK1558" s="6"/>
      <c r="BL1558" s="6"/>
      <c r="BM1558" s="6"/>
      <c r="BN1558" s="6"/>
      <c r="BO1558" s="6"/>
      <c r="BP1558" s="6"/>
      <c r="BQ1558" s="6"/>
      <c r="BR1558" s="6"/>
      <c r="BS1558" s="6"/>
      <c r="BT1558" s="6"/>
    </row>
    <row r="1559" spans="1:72">
      <c r="A1559" s="8" t="s">
        <v>29840</v>
      </c>
      <c r="B1559" s="11" t="s">
        <v>29845</v>
      </c>
      <c r="C1559" s="9" t="s">
        <v>29841</v>
      </c>
      <c r="D1559" s="10" t="s">
        <v>138</v>
      </c>
      <c r="E1559" s="28" t="s">
        <v>29855</v>
      </c>
      <c r="F1559" s="28" t="s">
        <v>138</v>
      </c>
      <c r="G1559" s="28" t="s">
        <v>573</v>
      </c>
      <c r="H1559" s="13">
        <v>1</v>
      </c>
      <c r="I1559" s="12" t="s">
        <v>29860</v>
      </c>
      <c r="J1559" s="12" t="s">
        <v>29860</v>
      </c>
      <c r="K1559" s="12"/>
      <c r="L1559" s="12"/>
      <c r="M1559" s="12"/>
      <c r="N1559" s="12"/>
      <c r="O1559" s="12"/>
      <c r="P1559" s="12"/>
      <c r="Q1559" s="12"/>
      <c r="R1559" s="12"/>
      <c r="S1559" s="12"/>
      <c r="T1559" s="12"/>
      <c r="U1559" s="12"/>
      <c r="V1559" s="12"/>
      <c r="W1559" s="12"/>
      <c r="X1559" s="12"/>
      <c r="Y1559" s="12"/>
      <c r="Z1559" s="12"/>
      <c r="AA1559" s="12"/>
      <c r="AB1559" s="12"/>
      <c r="AC1559" s="12"/>
      <c r="AD1559" s="12"/>
      <c r="AE1559" s="12"/>
      <c r="AF1559" s="12"/>
      <c r="AG1559" s="12"/>
      <c r="AH1559" s="12"/>
      <c r="AI1559" s="12"/>
      <c r="AJ1559" s="12"/>
      <c r="AK1559" s="12"/>
      <c r="AL1559" s="12"/>
      <c r="AM1559" s="12"/>
      <c r="AN1559" s="12"/>
      <c r="AO1559" s="12"/>
      <c r="AP1559" s="12"/>
      <c r="AQ1559" s="12"/>
      <c r="AR1559" s="12"/>
      <c r="AS1559" s="12"/>
      <c r="AT1559" s="12"/>
      <c r="AU1559" s="12"/>
      <c r="AV1559" s="12"/>
      <c r="AW1559" s="12"/>
      <c r="AX1559" s="12"/>
      <c r="AY1559" s="12"/>
      <c r="AZ1559" s="12"/>
      <c r="BA1559" s="12"/>
      <c r="BB1559" s="12"/>
      <c r="BC1559" s="12"/>
      <c r="BD1559" s="12"/>
      <c r="BE1559" s="12"/>
      <c r="BF1559" s="12"/>
      <c r="BG1559" s="12"/>
      <c r="BH1559" s="12"/>
      <c r="BI1559" s="12"/>
      <c r="BJ1559" s="12"/>
      <c r="BK1559" s="12"/>
      <c r="BL1559" s="12"/>
      <c r="BM1559" s="12"/>
      <c r="BN1559" s="12"/>
      <c r="BO1559" s="12"/>
      <c r="BP1559" s="12"/>
      <c r="BQ1559" s="12"/>
      <c r="BR1559" s="12"/>
      <c r="BS1559" s="12"/>
      <c r="BT1559" s="12"/>
    </row>
    <row r="1560" spans="1:72">
      <c r="A1560" s="2" t="s">
        <v>29866</v>
      </c>
      <c r="B1560" s="5" t="s">
        <v>29870</v>
      </c>
      <c r="C1560" s="3" t="s">
        <v>138</v>
      </c>
      <c r="D1560" s="4" t="s">
        <v>138</v>
      </c>
      <c r="E1560" s="15" t="s">
        <v>2845</v>
      </c>
      <c r="F1560" s="15" t="s">
        <v>200</v>
      </c>
      <c r="G1560" s="15" t="s">
        <v>162</v>
      </c>
      <c r="H1560" s="7">
        <v>6</v>
      </c>
      <c r="I1560" s="6" t="s">
        <v>29878</v>
      </c>
      <c r="J1560" s="6" t="s">
        <v>37790</v>
      </c>
      <c r="K1560" s="6" t="s">
        <v>45038</v>
      </c>
      <c r="L1560" s="6" t="s">
        <v>45039</v>
      </c>
      <c r="M1560" s="6" t="s">
        <v>45040</v>
      </c>
      <c r="N1560" s="6" t="s">
        <v>41094</v>
      </c>
      <c r="O1560" s="6" t="s">
        <v>45041</v>
      </c>
      <c r="P1560" s="6"/>
      <c r="Q1560" s="6"/>
      <c r="R1560" s="6"/>
      <c r="S1560" s="6"/>
      <c r="T1560" s="6"/>
      <c r="U1560" s="6"/>
      <c r="V1560" s="6"/>
      <c r="W1560" s="6"/>
      <c r="X1560" s="6"/>
      <c r="Y1560" s="6"/>
      <c r="Z1560" s="6"/>
      <c r="AA1560" s="6"/>
      <c r="AB1560" s="6"/>
      <c r="AC1560" s="6"/>
      <c r="AD1560" s="6"/>
      <c r="AE1560" s="6"/>
      <c r="AF1560" s="6"/>
      <c r="AG1560" s="6"/>
      <c r="AH1560" s="6"/>
      <c r="AI1560" s="6"/>
      <c r="AJ1560" s="6"/>
      <c r="AK1560" s="6"/>
      <c r="AL1560" s="6"/>
      <c r="AM1560" s="6"/>
      <c r="AN1560" s="6"/>
      <c r="AO1560" s="6"/>
      <c r="AP1560" s="6"/>
      <c r="AQ1560" s="6"/>
      <c r="AR1560" s="6"/>
      <c r="AS1560" s="6"/>
      <c r="AT1560" s="6"/>
      <c r="AU1560" s="6"/>
      <c r="AV1560" s="6"/>
      <c r="AW1560" s="6"/>
      <c r="AX1560" s="6"/>
      <c r="AY1560" s="6"/>
      <c r="AZ1560" s="6"/>
      <c r="BA1560" s="6"/>
      <c r="BB1560" s="6"/>
      <c r="BC1560" s="6"/>
      <c r="BD1560" s="6"/>
      <c r="BE1560" s="6"/>
      <c r="BF1560" s="6"/>
      <c r="BG1560" s="6"/>
      <c r="BH1560" s="6"/>
      <c r="BI1560" s="6"/>
      <c r="BJ1560" s="6"/>
      <c r="BK1560" s="6"/>
      <c r="BL1560" s="6"/>
      <c r="BM1560" s="6"/>
      <c r="BN1560" s="6"/>
      <c r="BO1560" s="6"/>
      <c r="BP1560" s="6"/>
      <c r="BQ1560" s="6"/>
      <c r="BR1560" s="6"/>
      <c r="BS1560" s="6"/>
      <c r="BT1560" s="6"/>
    </row>
    <row r="1561" spans="1:72">
      <c r="A1561" s="8" t="s">
        <v>29881</v>
      </c>
      <c r="B1561" s="11" t="s">
        <v>29885</v>
      </c>
      <c r="C1561" s="9" t="s">
        <v>138</v>
      </c>
      <c r="D1561" s="10" t="s">
        <v>138</v>
      </c>
      <c r="E1561" s="28" t="s">
        <v>1872</v>
      </c>
      <c r="F1561" s="28" t="s">
        <v>200</v>
      </c>
      <c r="G1561" s="28" t="s">
        <v>162</v>
      </c>
      <c r="H1561" s="13">
        <v>9</v>
      </c>
      <c r="I1561" s="12" t="s">
        <v>29893</v>
      </c>
      <c r="J1561" s="12" t="s">
        <v>45042</v>
      </c>
      <c r="K1561" s="12" t="s">
        <v>42439</v>
      </c>
      <c r="L1561" s="12" t="s">
        <v>39177</v>
      </c>
      <c r="M1561" s="12" t="s">
        <v>45043</v>
      </c>
      <c r="N1561" s="12" t="s">
        <v>45044</v>
      </c>
      <c r="O1561" s="12" t="s">
        <v>38223</v>
      </c>
      <c r="P1561" s="12" t="s">
        <v>38577</v>
      </c>
      <c r="Q1561" s="12" t="s">
        <v>45045</v>
      </c>
      <c r="R1561" s="12" t="s">
        <v>45046</v>
      </c>
      <c r="S1561" s="12"/>
      <c r="T1561" s="12"/>
      <c r="U1561" s="12"/>
      <c r="V1561" s="12"/>
      <c r="W1561" s="12"/>
      <c r="X1561" s="12"/>
      <c r="Y1561" s="12"/>
      <c r="Z1561" s="12"/>
      <c r="AA1561" s="12"/>
      <c r="AB1561" s="12"/>
      <c r="AC1561" s="12"/>
      <c r="AD1561" s="12"/>
      <c r="AE1561" s="12"/>
      <c r="AF1561" s="12"/>
      <c r="AG1561" s="12"/>
      <c r="AH1561" s="12"/>
      <c r="AI1561" s="12"/>
      <c r="AJ1561" s="12"/>
      <c r="AK1561" s="12"/>
      <c r="AL1561" s="12"/>
      <c r="AM1561" s="12"/>
      <c r="AN1561" s="12"/>
      <c r="AO1561" s="12"/>
      <c r="AP1561" s="12"/>
      <c r="AQ1561" s="12"/>
      <c r="AR1561" s="12"/>
      <c r="AS1561" s="12"/>
      <c r="AT1561" s="12"/>
      <c r="AU1561" s="12"/>
      <c r="AV1561" s="12"/>
      <c r="AW1561" s="12"/>
      <c r="AX1561" s="12"/>
      <c r="AY1561" s="12"/>
      <c r="AZ1561" s="12"/>
      <c r="BA1561" s="12"/>
      <c r="BB1561" s="12"/>
      <c r="BC1561" s="12"/>
      <c r="BD1561" s="12"/>
      <c r="BE1561" s="12"/>
      <c r="BF1561" s="12"/>
      <c r="BG1561" s="12"/>
      <c r="BH1561" s="12"/>
      <c r="BI1561" s="12"/>
      <c r="BJ1561" s="12"/>
      <c r="BK1561" s="12"/>
      <c r="BL1561" s="12"/>
      <c r="BM1561" s="12"/>
      <c r="BN1561" s="12"/>
      <c r="BO1561" s="12"/>
      <c r="BP1561" s="12"/>
      <c r="BQ1561" s="12"/>
      <c r="BR1561" s="12"/>
      <c r="BS1561" s="12"/>
      <c r="BT1561" s="12"/>
    </row>
    <row r="1562" spans="1:72">
      <c r="A1562" s="2" t="s">
        <v>29896</v>
      </c>
      <c r="B1562" s="5" t="s">
        <v>29900</v>
      </c>
      <c r="C1562" s="3" t="s">
        <v>138</v>
      </c>
      <c r="D1562" s="4" t="s">
        <v>138</v>
      </c>
      <c r="E1562" s="15" t="s">
        <v>22353</v>
      </c>
      <c r="F1562" s="15" t="s">
        <v>864</v>
      </c>
      <c r="G1562" s="15" t="s">
        <v>162</v>
      </c>
      <c r="H1562" s="7">
        <v>1</v>
      </c>
      <c r="I1562" s="6" t="s">
        <v>25482</v>
      </c>
      <c r="J1562" s="6" t="s">
        <v>25482</v>
      </c>
      <c r="K1562" s="6"/>
      <c r="L1562" s="6"/>
      <c r="M1562" s="6"/>
      <c r="N1562" s="6"/>
      <c r="O1562" s="6"/>
      <c r="P1562" s="6"/>
      <c r="Q1562" s="6"/>
      <c r="R1562" s="6"/>
      <c r="S1562" s="6"/>
      <c r="T1562" s="6"/>
      <c r="U1562" s="6"/>
      <c r="V1562" s="6"/>
      <c r="W1562" s="6"/>
      <c r="X1562" s="6"/>
      <c r="Y1562" s="6"/>
      <c r="Z1562" s="6"/>
      <c r="AA1562" s="6"/>
      <c r="AB1562" s="6"/>
      <c r="AC1562" s="6"/>
      <c r="AD1562" s="6"/>
      <c r="AE1562" s="6"/>
      <c r="AF1562" s="6"/>
      <c r="AG1562" s="6"/>
      <c r="AH1562" s="6"/>
      <c r="AI1562" s="6"/>
      <c r="AJ1562" s="6"/>
      <c r="AK1562" s="6"/>
      <c r="AL1562" s="6"/>
      <c r="AM1562" s="6"/>
      <c r="AN1562" s="6"/>
      <c r="AO1562" s="6"/>
      <c r="AP1562" s="6"/>
      <c r="AQ1562" s="6"/>
      <c r="AR1562" s="6"/>
      <c r="AS1562" s="6"/>
      <c r="AT1562" s="6"/>
      <c r="AU1562" s="6"/>
      <c r="AV1562" s="6"/>
      <c r="AW1562" s="6"/>
      <c r="AX1562" s="6"/>
      <c r="AY1562" s="6"/>
      <c r="AZ1562" s="6"/>
      <c r="BA1562" s="6"/>
      <c r="BB1562" s="6"/>
      <c r="BC1562" s="6"/>
      <c r="BD1562" s="6"/>
      <c r="BE1562" s="6"/>
      <c r="BF1562" s="6"/>
      <c r="BG1562" s="6"/>
      <c r="BH1562" s="6"/>
      <c r="BI1562" s="6"/>
      <c r="BJ1562" s="6"/>
      <c r="BK1562" s="6"/>
      <c r="BL1562" s="6"/>
      <c r="BM1562" s="6"/>
      <c r="BN1562" s="6"/>
      <c r="BO1562" s="6"/>
      <c r="BP1562" s="6"/>
      <c r="BQ1562" s="6"/>
      <c r="BR1562" s="6"/>
      <c r="BS1562" s="6"/>
      <c r="BT1562" s="6"/>
    </row>
    <row r="1563" spans="1:72">
      <c r="A1563" s="8" t="s">
        <v>29912</v>
      </c>
      <c r="B1563" s="11" t="s">
        <v>29916</v>
      </c>
      <c r="C1563" s="9" t="s">
        <v>138</v>
      </c>
      <c r="D1563" s="10" t="s">
        <v>138</v>
      </c>
      <c r="E1563" s="28" t="s">
        <v>29924</v>
      </c>
      <c r="F1563" s="28" t="s">
        <v>25570</v>
      </c>
      <c r="G1563" s="28" t="s">
        <v>740</v>
      </c>
      <c r="H1563" s="13">
        <v>10</v>
      </c>
      <c r="I1563" s="12" t="s">
        <v>29929</v>
      </c>
      <c r="J1563" s="12" t="s">
        <v>39768</v>
      </c>
      <c r="K1563" s="12" t="s">
        <v>38075</v>
      </c>
      <c r="L1563" s="12" t="s">
        <v>38299</v>
      </c>
      <c r="M1563" s="12" t="s">
        <v>45047</v>
      </c>
      <c r="N1563" s="12" t="s">
        <v>37961</v>
      </c>
      <c r="O1563" s="12" t="s">
        <v>41629</v>
      </c>
      <c r="P1563" s="12" t="s">
        <v>38505</v>
      </c>
      <c r="Q1563" s="12" t="s">
        <v>37975</v>
      </c>
      <c r="R1563" s="12" t="s">
        <v>40132</v>
      </c>
      <c r="S1563" s="12" t="s">
        <v>45048</v>
      </c>
      <c r="T1563" s="12"/>
      <c r="U1563" s="12"/>
      <c r="V1563" s="12"/>
      <c r="W1563" s="12"/>
      <c r="X1563" s="12"/>
      <c r="Y1563" s="12"/>
      <c r="Z1563" s="12"/>
      <c r="AA1563" s="12"/>
      <c r="AB1563" s="12"/>
      <c r="AC1563" s="12"/>
      <c r="AD1563" s="12"/>
      <c r="AE1563" s="12"/>
      <c r="AF1563" s="12"/>
      <c r="AG1563" s="12"/>
      <c r="AH1563" s="12"/>
      <c r="AI1563" s="12"/>
      <c r="AJ1563" s="12"/>
      <c r="AK1563" s="12"/>
      <c r="AL1563" s="12"/>
      <c r="AM1563" s="12"/>
      <c r="AN1563" s="12"/>
      <c r="AO1563" s="12"/>
      <c r="AP1563" s="12"/>
      <c r="AQ1563" s="12"/>
      <c r="AR1563" s="12"/>
      <c r="AS1563" s="12"/>
      <c r="AT1563" s="12"/>
      <c r="AU1563" s="12"/>
      <c r="AV1563" s="12"/>
      <c r="AW1563" s="12"/>
      <c r="AX1563" s="12"/>
      <c r="AY1563" s="12"/>
      <c r="AZ1563" s="12"/>
      <c r="BA1563" s="12"/>
      <c r="BB1563" s="12"/>
      <c r="BC1563" s="12"/>
      <c r="BD1563" s="12"/>
      <c r="BE1563" s="12"/>
      <c r="BF1563" s="12"/>
      <c r="BG1563" s="12"/>
      <c r="BH1563" s="12"/>
      <c r="BI1563" s="12"/>
      <c r="BJ1563" s="12"/>
      <c r="BK1563" s="12"/>
      <c r="BL1563" s="12"/>
      <c r="BM1563" s="12"/>
      <c r="BN1563" s="12"/>
      <c r="BO1563" s="12"/>
      <c r="BP1563" s="12"/>
      <c r="BQ1563" s="12"/>
      <c r="BR1563" s="12"/>
      <c r="BS1563" s="12"/>
      <c r="BT1563" s="12"/>
    </row>
    <row r="1564" spans="1:72">
      <c r="A1564" s="2" t="s">
        <v>29933</v>
      </c>
      <c r="B1564" s="5" t="s">
        <v>29936</v>
      </c>
      <c r="C1564" s="3" t="s">
        <v>138</v>
      </c>
      <c r="D1564" s="4" t="s">
        <v>138</v>
      </c>
      <c r="E1564" s="15" t="s">
        <v>3841</v>
      </c>
      <c r="F1564" s="15" t="s">
        <v>200</v>
      </c>
      <c r="G1564" s="15" t="s">
        <v>162</v>
      </c>
      <c r="H1564" s="7">
        <v>9</v>
      </c>
      <c r="I1564" s="6" t="s">
        <v>29944</v>
      </c>
      <c r="J1564" s="6" t="s">
        <v>25820</v>
      </c>
      <c r="K1564" s="6" t="s">
        <v>45049</v>
      </c>
      <c r="L1564" s="6" t="s">
        <v>40979</v>
      </c>
      <c r="M1564" s="6" t="s">
        <v>44577</v>
      </c>
      <c r="N1564" s="6" t="s">
        <v>45050</v>
      </c>
      <c r="O1564" s="6" t="s">
        <v>45051</v>
      </c>
      <c r="P1564" s="6" t="s">
        <v>39616</v>
      </c>
      <c r="Q1564" s="6" t="s">
        <v>41070</v>
      </c>
      <c r="R1564" s="6" t="s">
        <v>38240</v>
      </c>
      <c r="S1564" s="6"/>
      <c r="T1564" s="6"/>
      <c r="U1564" s="6"/>
      <c r="V1564" s="6"/>
      <c r="W1564" s="6"/>
      <c r="X1564" s="6"/>
      <c r="Y1564" s="6"/>
      <c r="Z1564" s="6"/>
      <c r="AA1564" s="6"/>
      <c r="AB1564" s="6"/>
      <c r="AC1564" s="6"/>
      <c r="AD1564" s="6"/>
      <c r="AE1564" s="6"/>
      <c r="AF1564" s="6"/>
      <c r="AG1564" s="6"/>
      <c r="AH1564" s="6"/>
      <c r="AI1564" s="6"/>
      <c r="AJ1564" s="6"/>
      <c r="AK1564" s="6"/>
      <c r="AL1564" s="6"/>
      <c r="AM1564" s="6"/>
      <c r="AN1564" s="6"/>
      <c r="AO1564" s="6"/>
      <c r="AP1564" s="6"/>
      <c r="AQ1564" s="6"/>
      <c r="AR1564" s="6"/>
      <c r="AS1564" s="6"/>
      <c r="AT1564" s="6"/>
      <c r="AU1564" s="6"/>
      <c r="AV1564" s="6"/>
      <c r="AW1564" s="6"/>
      <c r="AX1564" s="6"/>
      <c r="AY1564" s="6"/>
      <c r="AZ1564" s="6"/>
      <c r="BA1564" s="6"/>
      <c r="BB1564" s="6"/>
      <c r="BC1564" s="6"/>
      <c r="BD1564" s="6"/>
      <c r="BE1564" s="6"/>
      <c r="BF1564" s="6"/>
      <c r="BG1564" s="6"/>
      <c r="BH1564" s="6"/>
      <c r="BI1564" s="6"/>
      <c r="BJ1564" s="6"/>
      <c r="BK1564" s="6"/>
      <c r="BL1564" s="6"/>
      <c r="BM1564" s="6"/>
      <c r="BN1564" s="6"/>
      <c r="BO1564" s="6"/>
      <c r="BP1564" s="6"/>
      <c r="BQ1564" s="6"/>
      <c r="BR1564" s="6"/>
      <c r="BS1564" s="6"/>
      <c r="BT1564" s="6"/>
    </row>
    <row r="1565" spans="1:72">
      <c r="A1565" s="8" t="s">
        <v>29947</v>
      </c>
      <c r="B1565" s="11" t="s">
        <v>29951</v>
      </c>
      <c r="C1565" s="9" t="s">
        <v>138</v>
      </c>
      <c r="D1565" s="10" t="s">
        <v>138</v>
      </c>
      <c r="E1565" s="28" t="s">
        <v>29959</v>
      </c>
      <c r="F1565" s="28" t="s">
        <v>3182</v>
      </c>
      <c r="G1565" s="28" t="s">
        <v>162</v>
      </c>
      <c r="H1565" s="13">
        <v>15</v>
      </c>
      <c r="I1565" s="12" t="s">
        <v>29963</v>
      </c>
      <c r="J1565" s="12" t="s">
        <v>45052</v>
      </c>
      <c r="K1565" s="12" t="s">
        <v>45053</v>
      </c>
      <c r="L1565" s="12" t="s">
        <v>41933</v>
      </c>
      <c r="M1565" s="12" t="s">
        <v>42437</v>
      </c>
      <c r="N1565" s="12" t="s">
        <v>45054</v>
      </c>
      <c r="O1565" s="12" t="s">
        <v>45055</v>
      </c>
      <c r="P1565" s="12" t="s">
        <v>45056</v>
      </c>
      <c r="Q1565" s="12" t="s">
        <v>37801</v>
      </c>
      <c r="R1565" s="12" t="s">
        <v>45057</v>
      </c>
      <c r="S1565" s="12" t="s">
        <v>45058</v>
      </c>
      <c r="T1565" s="12" t="s">
        <v>45059</v>
      </c>
      <c r="U1565" s="12" t="s">
        <v>45060</v>
      </c>
      <c r="V1565" s="12" t="s">
        <v>45061</v>
      </c>
      <c r="W1565" s="12" t="s">
        <v>45062</v>
      </c>
      <c r="X1565" s="12" t="s">
        <v>37781</v>
      </c>
      <c r="Y1565" s="12"/>
      <c r="Z1565" s="12"/>
      <c r="AA1565" s="12"/>
      <c r="AB1565" s="12"/>
      <c r="AC1565" s="12"/>
      <c r="AD1565" s="12"/>
      <c r="AE1565" s="12"/>
      <c r="AF1565" s="12"/>
      <c r="AG1565" s="12"/>
      <c r="AH1565" s="12"/>
      <c r="AI1565" s="12"/>
      <c r="AJ1565" s="12"/>
      <c r="AK1565" s="12"/>
      <c r="AL1565" s="12"/>
      <c r="AM1565" s="12"/>
      <c r="AN1565" s="12"/>
      <c r="AO1565" s="12"/>
      <c r="AP1565" s="12"/>
      <c r="AQ1565" s="12"/>
      <c r="AR1565" s="12"/>
      <c r="AS1565" s="12"/>
      <c r="AT1565" s="12"/>
      <c r="AU1565" s="12"/>
      <c r="AV1565" s="12"/>
      <c r="AW1565" s="12"/>
      <c r="AX1565" s="12"/>
      <c r="AY1565" s="12"/>
      <c r="AZ1565" s="12"/>
      <c r="BA1565" s="12"/>
      <c r="BB1565" s="12"/>
      <c r="BC1565" s="12"/>
      <c r="BD1565" s="12"/>
      <c r="BE1565" s="12"/>
      <c r="BF1565" s="12"/>
      <c r="BG1565" s="12"/>
      <c r="BH1565" s="12"/>
      <c r="BI1565" s="12"/>
      <c r="BJ1565" s="12"/>
      <c r="BK1565" s="12"/>
      <c r="BL1565" s="12"/>
      <c r="BM1565" s="12"/>
      <c r="BN1565" s="12"/>
      <c r="BO1565" s="12"/>
      <c r="BP1565" s="12"/>
      <c r="BQ1565" s="12"/>
      <c r="BR1565" s="12"/>
      <c r="BS1565" s="12"/>
      <c r="BT1565" s="12"/>
    </row>
    <row r="1566" spans="1:72">
      <c r="A1566" s="2" t="s">
        <v>29966</v>
      </c>
      <c r="B1566" s="5" t="s">
        <v>29970</v>
      </c>
      <c r="C1566" s="3" t="s">
        <v>138</v>
      </c>
      <c r="D1566" s="4" t="s">
        <v>29967</v>
      </c>
      <c r="E1566" s="15" t="s">
        <v>29978</v>
      </c>
      <c r="F1566" s="15" t="s">
        <v>426</v>
      </c>
      <c r="G1566" s="15" t="s">
        <v>162</v>
      </c>
      <c r="H1566" s="7" t="s">
        <v>138</v>
      </c>
      <c r="I1566" s="6" t="s">
        <v>138</v>
      </c>
      <c r="J1566" s="6"/>
      <c r="K1566" s="6"/>
      <c r="L1566" s="6"/>
      <c r="M1566" s="6"/>
      <c r="N1566" s="6"/>
      <c r="O1566" s="6"/>
      <c r="P1566" s="6"/>
      <c r="Q1566" s="6"/>
      <c r="R1566" s="6"/>
      <c r="S1566" s="6"/>
      <c r="T1566" s="6"/>
      <c r="U1566" s="6"/>
      <c r="V1566" s="6"/>
      <c r="W1566" s="6"/>
      <c r="X1566" s="6"/>
      <c r="Y1566" s="6"/>
      <c r="Z1566" s="6"/>
      <c r="AA1566" s="6"/>
      <c r="AB1566" s="6"/>
      <c r="AC1566" s="6"/>
      <c r="AD1566" s="6"/>
      <c r="AE1566" s="6"/>
      <c r="AF1566" s="6"/>
      <c r="AG1566" s="6"/>
      <c r="AH1566" s="6"/>
      <c r="AI1566" s="6"/>
      <c r="AJ1566" s="6"/>
      <c r="AK1566" s="6"/>
      <c r="AL1566" s="6"/>
      <c r="AM1566" s="6"/>
      <c r="AN1566" s="6"/>
      <c r="AO1566" s="6"/>
      <c r="AP1566" s="6"/>
      <c r="AQ1566" s="6"/>
      <c r="AR1566" s="6"/>
      <c r="AS1566" s="6"/>
      <c r="AT1566" s="6"/>
      <c r="AU1566" s="6"/>
      <c r="AV1566" s="6"/>
      <c r="AW1566" s="6"/>
      <c r="AX1566" s="6"/>
      <c r="AY1566" s="6"/>
      <c r="AZ1566" s="6"/>
      <c r="BA1566" s="6"/>
      <c r="BB1566" s="6"/>
      <c r="BC1566" s="6"/>
      <c r="BD1566" s="6"/>
      <c r="BE1566" s="6"/>
      <c r="BF1566" s="6"/>
      <c r="BG1566" s="6"/>
      <c r="BH1566" s="6"/>
      <c r="BI1566" s="6"/>
      <c r="BJ1566" s="6"/>
      <c r="BK1566" s="6"/>
      <c r="BL1566" s="6"/>
      <c r="BM1566" s="6"/>
      <c r="BN1566" s="6"/>
      <c r="BO1566" s="6"/>
      <c r="BP1566" s="6"/>
      <c r="BQ1566" s="6"/>
      <c r="BR1566" s="6"/>
      <c r="BS1566" s="6"/>
      <c r="BT1566" s="6"/>
    </row>
    <row r="1567" spans="1:72">
      <c r="A1567" s="8" t="s">
        <v>29986</v>
      </c>
      <c r="B1567" s="11" t="s">
        <v>29992</v>
      </c>
      <c r="C1567" s="9" t="s">
        <v>138</v>
      </c>
      <c r="D1567" s="10" t="s">
        <v>138</v>
      </c>
      <c r="E1567" s="28" t="s">
        <v>3111</v>
      </c>
      <c r="F1567" s="28" t="s">
        <v>3112</v>
      </c>
      <c r="G1567" s="28" t="s">
        <v>2742</v>
      </c>
      <c r="H1567" s="13">
        <v>35</v>
      </c>
      <c r="I1567" s="12" t="s">
        <v>30000</v>
      </c>
      <c r="J1567" s="12" t="s">
        <v>38061</v>
      </c>
      <c r="K1567" s="12" t="s">
        <v>45063</v>
      </c>
      <c r="L1567" s="12" t="s">
        <v>45064</v>
      </c>
      <c r="M1567" s="12" t="s">
        <v>42457</v>
      </c>
      <c r="N1567" s="12" t="s">
        <v>45065</v>
      </c>
      <c r="O1567" s="12" t="s">
        <v>37981</v>
      </c>
      <c r="P1567" s="12" t="s">
        <v>38569</v>
      </c>
      <c r="Q1567" s="12" t="s">
        <v>45066</v>
      </c>
      <c r="R1567" s="12" t="s">
        <v>38209</v>
      </c>
      <c r="S1567" s="12" t="s">
        <v>39093</v>
      </c>
      <c r="T1567" s="12" t="s">
        <v>38392</v>
      </c>
      <c r="U1567" s="12" t="s">
        <v>45067</v>
      </c>
      <c r="V1567" s="12" t="s">
        <v>45068</v>
      </c>
      <c r="W1567" s="12" t="s">
        <v>43182</v>
      </c>
      <c r="X1567" s="12" t="s">
        <v>38803</v>
      </c>
      <c r="Y1567" s="12" t="s">
        <v>45069</v>
      </c>
      <c r="Z1567" s="12" t="s">
        <v>45070</v>
      </c>
      <c r="AA1567" s="12" t="s">
        <v>45071</v>
      </c>
      <c r="AB1567" s="12" t="s">
        <v>45072</v>
      </c>
      <c r="AC1567" s="12" t="s">
        <v>45073</v>
      </c>
      <c r="AD1567" s="12" t="s">
        <v>43846</v>
      </c>
      <c r="AE1567" s="12" t="s">
        <v>44013</v>
      </c>
      <c r="AF1567" s="12" t="s">
        <v>40231</v>
      </c>
      <c r="AG1567" s="12" t="s">
        <v>40639</v>
      </c>
      <c r="AH1567" s="12" t="s">
        <v>38428</v>
      </c>
      <c r="AI1567" s="12" t="s">
        <v>38804</v>
      </c>
      <c r="AJ1567" s="12" t="s">
        <v>37890</v>
      </c>
      <c r="AK1567" s="12" t="s">
        <v>37783</v>
      </c>
      <c r="AL1567" s="12" t="s">
        <v>45074</v>
      </c>
      <c r="AM1567" s="12" t="s">
        <v>38157</v>
      </c>
      <c r="AN1567" s="12" t="s">
        <v>37975</v>
      </c>
      <c r="AO1567" s="12" t="s">
        <v>44340</v>
      </c>
      <c r="AP1567" s="12" t="s">
        <v>45075</v>
      </c>
      <c r="AQ1567" s="12" t="s">
        <v>38566</v>
      </c>
      <c r="AR1567" s="12" t="s">
        <v>45076</v>
      </c>
      <c r="AS1567" s="12"/>
      <c r="AT1567" s="12"/>
      <c r="AU1567" s="12"/>
      <c r="AV1567" s="12"/>
      <c r="AW1567" s="12"/>
      <c r="AX1567" s="12"/>
      <c r="AY1567" s="12"/>
      <c r="AZ1567" s="12"/>
      <c r="BA1567" s="12"/>
      <c r="BB1567" s="12"/>
      <c r="BC1567" s="12"/>
      <c r="BD1567" s="12"/>
      <c r="BE1567" s="12"/>
      <c r="BF1567" s="12"/>
      <c r="BG1567" s="12"/>
      <c r="BH1567" s="12"/>
      <c r="BI1567" s="12"/>
      <c r="BJ1567" s="12"/>
      <c r="BK1567" s="12"/>
      <c r="BL1567" s="12"/>
      <c r="BM1567" s="12"/>
      <c r="BN1567" s="12"/>
      <c r="BO1567" s="12"/>
      <c r="BP1567" s="12"/>
      <c r="BQ1567" s="12"/>
      <c r="BR1567" s="12"/>
      <c r="BS1567" s="12"/>
      <c r="BT1567" s="12"/>
    </row>
    <row r="1568" spans="1:72">
      <c r="A1568" s="2" t="s">
        <v>30003</v>
      </c>
      <c r="B1568" s="5" t="s">
        <v>30009</v>
      </c>
      <c r="C1568" s="3" t="s">
        <v>138</v>
      </c>
      <c r="D1568" s="4" t="s">
        <v>138</v>
      </c>
      <c r="E1568" s="15" t="s">
        <v>668</v>
      </c>
      <c r="F1568" s="15" t="s">
        <v>200</v>
      </c>
      <c r="G1568" s="15" t="s">
        <v>162</v>
      </c>
      <c r="H1568" s="7">
        <v>9</v>
      </c>
      <c r="I1568" s="6" t="s">
        <v>30017</v>
      </c>
      <c r="J1568" s="6" t="s">
        <v>44497</v>
      </c>
      <c r="K1568" s="6" t="s">
        <v>45077</v>
      </c>
      <c r="L1568" s="6" t="s">
        <v>42376</v>
      </c>
      <c r="M1568" s="6" t="s">
        <v>43961</v>
      </c>
      <c r="N1568" s="6" t="s">
        <v>38418</v>
      </c>
      <c r="O1568" s="6" t="s">
        <v>38419</v>
      </c>
      <c r="P1568" s="6" t="s">
        <v>38476</v>
      </c>
      <c r="Q1568" s="6" t="s">
        <v>37781</v>
      </c>
      <c r="R1568" s="6" t="s">
        <v>37783</v>
      </c>
      <c r="S1568" s="6"/>
      <c r="T1568" s="6"/>
      <c r="U1568" s="6"/>
      <c r="V1568" s="6"/>
      <c r="W1568" s="6"/>
      <c r="X1568" s="6"/>
      <c r="Y1568" s="6"/>
      <c r="Z1568" s="6"/>
      <c r="AA1568" s="6"/>
      <c r="AB1568" s="6"/>
      <c r="AC1568" s="6"/>
      <c r="AD1568" s="6"/>
      <c r="AE1568" s="6"/>
      <c r="AF1568" s="6"/>
      <c r="AG1568" s="6"/>
      <c r="AH1568" s="6"/>
      <c r="AI1568" s="6"/>
      <c r="AJ1568" s="6"/>
      <c r="AK1568" s="6"/>
      <c r="AL1568" s="6"/>
      <c r="AM1568" s="6"/>
      <c r="AN1568" s="6"/>
      <c r="AO1568" s="6"/>
      <c r="AP1568" s="6"/>
      <c r="AQ1568" s="6"/>
      <c r="AR1568" s="6"/>
      <c r="AS1568" s="6"/>
      <c r="AT1568" s="6"/>
      <c r="AU1568" s="6"/>
      <c r="AV1568" s="6"/>
      <c r="AW1568" s="6"/>
      <c r="AX1568" s="6"/>
      <c r="AY1568" s="6"/>
      <c r="AZ1568" s="6"/>
      <c r="BA1568" s="6"/>
      <c r="BB1568" s="6"/>
      <c r="BC1568" s="6"/>
      <c r="BD1568" s="6"/>
      <c r="BE1568" s="6"/>
      <c r="BF1568" s="6"/>
      <c r="BG1568" s="6"/>
      <c r="BH1568" s="6"/>
      <c r="BI1568" s="6"/>
      <c r="BJ1568" s="6"/>
      <c r="BK1568" s="6"/>
      <c r="BL1568" s="6"/>
      <c r="BM1568" s="6"/>
      <c r="BN1568" s="6"/>
      <c r="BO1568" s="6"/>
      <c r="BP1568" s="6"/>
      <c r="BQ1568" s="6"/>
      <c r="BR1568" s="6"/>
      <c r="BS1568" s="6"/>
      <c r="BT1568" s="6"/>
    </row>
    <row r="1569" spans="1:72">
      <c r="A1569" s="8" t="s">
        <v>30020</v>
      </c>
      <c r="B1569" s="11" t="s">
        <v>30025</v>
      </c>
      <c r="C1569" s="9" t="s">
        <v>138</v>
      </c>
      <c r="D1569" s="10" t="s">
        <v>138</v>
      </c>
      <c r="E1569" s="28" t="s">
        <v>426</v>
      </c>
      <c r="F1569" s="28" t="s">
        <v>426</v>
      </c>
      <c r="G1569" s="28" t="s">
        <v>162</v>
      </c>
      <c r="H1569" s="13">
        <v>19</v>
      </c>
      <c r="I1569" s="12" t="s">
        <v>30033</v>
      </c>
      <c r="J1569" s="12" t="s">
        <v>45078</v>
      </c>
      <c r="K1569" s="12" t="s">
        <v>38354</v>
      </c>
      <c r="L1569" s="12" t="s">
        <v>45079</v>
      </c>
      <c r="M1569" s="12" t="s">
        <v>45080</v>
      </c>
      <c r="N1569" s="12" t="s">
        <v>45081</v>
      </c>
      <c r="O1569" s="12" t="s">
        <v>41762</v>
      </c>
      <c r="P1569" s="12" t="s">
        <v>38914</v>
      </c>
      <c r="Q1569" s="12" t="s">
        <v>45082</v>
      </c>
      <c r="R1569" s="12" t="s">
        <v>40536</v>
      </c>
      <c r="S1569" s="12" t="s">
        <v>42329</v>
      </c>
      <c r="T1569" s="12" t="s">
        <v>37922</v>
      </c>
      <c r="U1569" s="12" t="s">
        <v>38182</v>
      </c>
      <c r="V1569" s="12" t="s">
        <v>45083</v>
      </c>
      <c r="W1569" s="12" t="s">
        <v>41423</v>
      </c>
      <c r="X1569" s="12" t="s">
        <v>37892</v>
      </c>
      <c r="Y1569" s="12" t="s">
        <v>41497</v>
      </c>
      <c r="Z1569" s="12" t="s">
        <v>45084</v>
      </c>
      <c r="AA1569" s="12" t="s">
        <v>38371</v>
      </c>
      <c r="AB1569" s="12" t="s">
        <v>45085</v>
      </c>
      <c r="AC1569" s="12"/>
      <c r="AD1569" s="12"/>
      <c r="AE1569" s="12"/>
      <c r="AF1569" s="12"/>
      <c r="AG1569" s="12"/>
      <c r="AH1569" s="12"/>
      <c r="AI1569" s="12"/>
      <c r="AJ1569" s="12"/>
      <c r="AK1569" s="12"/>
      <c r="AL1569" s="12"/>
      <c r="AM1569" s="12"/>
      <c r="AN1569" s="12"/>
      <c r="AO1569" s="12"/>
      <c r="AP1569" s="12"/>
      <c r="AQ1569" s="12"/>
      <c r="AR1569" s="12"/>
      <c r="AS1569" s="12"/>
      <c r="AT1569" s="12"/>
      <c r="AU1569" s="12"/>
      <c r="AV1569" s="12"/>
      <c r="AW1569" s="12"/>
      <c r="AX1569" s="12"/>
      <c r="AY1569" s="12"/>
      <c r="AZ1569" s="12"/>
      <c r="BA1569" s="12"/>
      <c r="BB1569" s="12"/>
      <c r="BC1569" s="12"/>
      <c r="BD1569" s="12"/>
      <c r="BE1569" s="12"/>
      <c r="BF1569" s="12"/>
      <c r="BG1569" s="12"/>
      <c r="BH1569" s="12"/>
      <c r="BI1569" s="12"/>
      <c r="BJ1569" s="12"/>
      <c r="BK1569" s="12"/>
      <c r="BL1569" s="12"/>
      <c r="BM1569" s="12"/>
      <c r="BN1569" s="12"/>
      <c r="BO1569" s="12"/>
      <c r="BP1569" s="12"/>
      <c r="BQ1569" s="12"/>
      <c r="BR1569" s="12"/>
      <c r="BS1569" s="12"/>
      <c r="BT1569" s="12"/>
    </row>
    <row r="1570" spans="1:72">
      <c r="A1570" s="2" t="s">
        <v>30036</v>
      </c>
      <c r="B1570" s="5" t="s">
        <v>30039</v>
      </c>
      <c r="C1570" s="3" t="s">
        <v>138</v>
      </c>
      <c r="D1570" s="4" t="s">
        <v>138</v>
      </c>
      <c r="E1570" s="15" t="s">
        <v>668</v>
      </c>
      <c r="F1570" s="15" t="s">
        <v>200</v>
      </c>
      <c r="G1570" s="15" t="s">
        <v>162</v>
      </c>
      <c r="H1570" s="7">
        <v>10</v>
      </c>
      <c r="I1570" s="6" t="s">
        <v>30046</v>
      </c>
      <c r="J1570" s="6" t="s">
        <v>45086</v>
      </c>
      <c r="K1570" s="6" t="s">
        <v>38569</v>
      </c>
      <c r="L1570" s="6" t="s">
        <v>40346</v>
      </c>
      <c r="M1570" s="6" t="s">
        <v>38721</v>
      </c>
      <c r="N1570" s="6" t="s">
        <v>39944</v>
      </c>
      <c r="O1570" s="6" t="s">
        <v>37824</v>
      </c>
      <c r="P1570" s="6" t="s">
        <v>37998</v>
      </c>
      <c r="Q1570" s="6" t="s">
        <v>38166</v>
      </c>
      <c r="R1570" s="6" t="s">
        <v>37829</v>
      </c>
      <c r="S1570" s="6" t="s">
        <v>37783</v>
      </c>
      <c r="T1570" s="6"/>
      <c r="U1570" s="6"/>
      <c r="V1570" s="6"/>
      <c r="W1570" s="6"/>
      <c r="X1570" s="6"/>
      <c r="Y1570" s="6"/>
      <c r="Z1570" s="6"/>
      <c r="AA1570" s="6"/>
      <c r="AB1570" s="6"/>
      <c r="AC1570" s="6"/>
      <c r="AD1570" s="6"/>
      <c r="AE1570" s="6"/>
      <c r="AF1570" s="6"/>
      <c r="AG1570" s="6"/>
      <c r="AH1570" s="6"/>
      <c r="AI1570" s="6"/>
      <c r="AJ1570" s="6"/>
      <c r="AK1570" s="6"/>
      <c r="AL1570" s="6"/>
      <c r="AM1570" s="6"/>
      <c r="AN1570" s="6"/>
      <c r="AO1570" s="6"/>
      <c r="AP1570" s="6"/>
      <c r="AQ1570" s="6"/>
      <c r="AR1570" s="6"/>
      <c r="AS1570" s="6"/>
      <c r="AT1570" s="6"/>
      <c r="AU1570" s="6"/>
      <c r="AV1570" s="6"/>
      <c r="AW1570" s="6"/>
      <c r="AX1570" s="6"/>
      <c r="AY1570" s="6"/>
      <c r="AZ1570" s="6"/>
      <c r="BA1570" s="6"/>
      <c r="BB1570" s="6"/>
      <c r="BC1570" s="6"/>
      <c r="BD1570" s="6"/>
      <c r="BE1570" s="6"/>
      <c r="BF1570" s="6"/>
      <c r="BG1570" s="6"/>
      <c r="BH1570" s="6"/>
      <c r="BI1570" s="6"/>
      <c r="BJ1570" s="6"/>
      <c r="BK1570" s="6"/>
      <c r="BL1570" s="6"/>
      <c r="BM1570" s="6"/>
      <c r="BN1570" s="6"/>
      <c r="BO1570" s="6"/>
      <c r="BP1570" s="6"/>
      <c r="BQ1570" s="6"/>
      <c r="BR1570" s="6"/>
      <c r="BS1570" s="6"/>
      <c r="BT1570" s="6"/>
    </row>
    <row r="1571" spans="1:72">
      <c r="A1571" s="8" t="s">
        <v>30050</v>
      </c>
      <c r="B1571" s="11" t="s">
        <v>30055</v>
      </c>
      <c r="C1571" s="9" t="s">
        <v>138</v>
      </c>
      <c r="D1571" s="10" t="s">
        <v>138</v>
      </c>
      <c r="E1571" s="28" t="s">
        <v>944</v>
      </c>
      <c r="F1571" s="28" t="s">
        <v>138</v>
      </c>
      <c r="G1571" s="28" t="s">
        <v>946</v>
      </c>
      <c r="H1571" s="13">
        <v>12</v>
      </c>
      <c r="I1571" s="12" t="s">
        <v>30065</v>
      </c>
      <c r="J1571" s="12" t="s">
        <v>39907</v>
      </c>
      <c r="K1571" s="12" t="s">
        <v>40448</v>
      </c>
      <c r="L1571" s="12" t="s">
        <v>45087</v>
      </c>
      <c r="M1571" s="12" t="s">
        <v>38485</v>
      </c>
      <c r="N1571" s="12" t="s">
        <v>44491</v>
      </c>
      <c r="O1571" s="12" t="s">
        <v>45088</v>
      </c>
      <c r="P1571" s="12" t="s">
        <v>40755</v>
      </c>
      <c r="Q1571" s="12" t="s">
        <v>39919</v>
      </c>
      <c r="R1571" s="12" t="s">
        <v>45089</v>
      </c>
      <c r="S1571" s="12" t="s">
        <v>39233</v>
      </c>
      <c r="T1571" s="12" t="s">
        <v>38131</v>
      </c>
      <c r="U1571" s="12" t="s">
        <v>45090</v>
      </c>
      <c r="V1571" s="12"/>
      <c r="W1571" s="12"/>
      <c r="X1571" s="12"/>
      <c r="Y1571" s="12"/>
      <c r="Z1571" s="12"/>
      <c r="AA1571" s="12"/>
      <c r="AB1571" s="12"/>
      <c r="AC1571" s="12"/>
      <c r="AD1571" s="12"/>
      <c r="AE1571" s="12"/>
      <c r="AF1571" s="12"/>
      <c r="AG1571" s="12"/>
      <c r="AH1571" s="12"/>
      <c r="AI1571" s="12"/>
      <c r="AJ1571" s="12"/>
      <c r="AK1571" s="12"/>
      <c r="AL1571" s="12"/>
      <c r="AM1571" s="12"/>
      <c r="AN1571" s="12"/>
      <c r="AO1571" s="12"/>
      <c r="AP1571" s="12"/>
      <c r="AQ1571" s="12"/>
      <c r="AR1571" s="12"/>
      <c r="AS1571" s="12"/>
      <c r="AT1571" s="12"/>
      <c r="AU1571" s="12"/>
      <c r="AV1571" s="12"/>
      <c r="AW1571" s="12"/>
      <c r="AX1571" s="12"/>
      <c r="AY1571" s="12"/>
      <c r="AZ1571" s="12"/>
      <c r="BA1571" s="12"/>
      <c r="BB1571" s="12"/>
      <c r="BC1571" s="12"/>
      <c r="BD1571" s="12"/>
      <c r="BE1571" s="12"/>
      <c r="BF1571" s="12"/>
      <c r="BG1571" s="12"/>
      <c r="BH1571" s="12"/>
      <c r="BI1571" s="12"/>
      <c r="BJ1571" s="12"/>
      <c r="BK1571" s="12"/>
      <c r="BL1571" s="12"/>
      <c r="BM1571" s="12"/>
      <c r="BN1571" s="12"/>
      <c r="BO1571" s="12"/>
      <c r="BP1571" s="12"/>
      <c r="BQ1571" s="12"/>
      <c r="BR1571" s="12"/>
      <c r="BS1571" s="12"/>
      <c r="BT1571" s="12"/>
    </row>
    <row r="1572" spans="1:72">
      <c r="A1572" s="2" t="s">
        <v>30068</v>
      </c>
      <c r="B1572" s="5" t="s">
        <v>30071</v>
      </c>
      <c r="C1572" s="3" t="s">
        <v>138</v>
      </c>
      <c r="D1572" s="4" t="s">
        <v>138</v>
      </c>
      <c r="E1572" s="15" t="s">
        <v>30077</v>
      </c>
      <c r="F1572" s="15" t="s">
        <v>200</v>
      </c>
      <c r="G1572" s="15" t="s">
        <v>162</v>
      </c>
      <c r="H1572" s="7">
        <v>5</v>
      </c>
      <c r="I1572" s="6" t="s">
        <v>30081</v>
      </c>
      <c r="J1572" s="6" t="s">
        <v>45091</v>
      </c>
      <c r="K1572" s="6" t="s">
        <v>38721</v>
      </c>
      <c r="L1572" s="6" t="s">
        <v>45092</v>
      </c>
      <c r="M1572" s="6" t="s">
        <v>38954</v>
      </c>
      <c r="N1572" s="6" t="s">
        <v>38073</v>
      </c>
      <c r="O1572" s="6"/>
      <c r="P1572" s="6"/>
      <c r="Q1572" s="6"/>
      <c r="R1572" s="6"/>
      <c r="S1572" s="6"/>
      <c r="T1572" s="6"/>
      <c r="U1572" s="6"/>
      <c r="V1572" s="6"/>
      <c r="W1572" s="6"/>
      <c r="X1572" s="6"/>
      <c r="Y1572" s="6"/>
      <c r="Z1572" s="6"/>
      <c r="AA1572" s="6"/>
      <c r="AB1572" s="6"/>
      <c r="AC1572" s="6"/>
      <c r="AD1572" s="6"/>
      <c r="AE1572" s="6"/>
      <c r="AF1572" s="6"/>
      <c r="AG1572" s="6"/>
      <c r="AH1572" s="6"/>
      <c r="AI1572" s="6"/>
      <c r="AJ1572" s="6"/>
      <c r="AK1572" s="6"/>
      <c r="AL1572" s="6"/>
      <c r="AM1572" s="6"/>
      <c r="AN1572" s="6"/>
      <c r="AO1572" s="6"/>
      <c r="AP1572" s="6"/>
      <c r="AQ1572" s="6"/>
      <c r="AR1572" s="6"/>
      <c r="AS1572" s="6"/>
      <c r="AT1572" s="6"/>
      <c r="AU1572" s="6"/>
      <c r="AV1572" s="6"/>
      <c r="AW1572" s="6"/>
      <c r="AX1572" s="6"/>
      <c r="AY1572" s="6"/>
      <c r="AZ1572" s="6"/>
      <c r="BA1572" s="6"/>
      <c r="BB1572" s="6"/>
      <c r="BC1572" s="6"/>
      <c r="BD1572" s="6"/>
      <c r="BE1572" s="6"/>
      <c r="BF1572" s="6"/>
      <c r="BG1572" s="6"/>
      <c r="BH1572" s="6"/>
      <c r="BI1572" s="6"/>
      <c r="BJ1572" s="6"/>
      <c r="BK1572" s="6"/>
      <c r="BL1572" s="6"/>
      <c r="BM1572" s="6"/>
      <c r="BN1572" s="6"/>
      <c r="BO1572" s="6"/>
      <c r="BP1572" s="6"/>
      <c r="BQ1572" s="6"/>
      <c r="BR1572" s="6"/>
      <c r="BS1572" s="6"/>
      <c r="BT1572" s="6"/>
    </row>
    <row r="1573" spans="1:72">
      <c r="A1573" s="8" t="s">
        <v>30084</v>
      </c>
      <c r="B1573" s="11" t="s">
        <v>30088</v>
      </c>
      <c r="C1573" s="9" t="s">
        <v>138</v>
      </c>
      <c r="D1573" s="10" t="s">
        <v>138</v>
      </c>
      <c r="E1573" s="28" t="s">
        <v>426</v>
      </c>
      <c r="F1573" s="28" t="s">
        <v>426</v>
      </c>
      <c r="G1573" s="28" t="s">
        <v>162</v>
      </c>
      <c r="H1573" s="13">
        <v>1</v>
      </c>
      <c r="I1573" s="12" t="s">
        <v>30095</v>
      </c>
      <c r="J1573" s="12" t="s">
        <v>30095</v>
      </c>
      <c r="K1573" s="12"/>
      <c r="L1573" s="12"/>
      <c r="M1573" s="12"/>
      <c r="N1573" s="12"/>
      <c r="O1573" s="12"/>
      <c r="P1573" s="12"/>
      <c r="Q1573" s="12"/>
      <c r="R1573" s="12"/>
      <c r="S1573" s="12"/>
      <c r="T1573" s="12"/>
      <c r="U1573" s="12"/>
      <c r="V1573" s="12"/>
      <c r="W1573" s="12"/>
      <c r="X1573" s="12"/>
      <c r="Y1573" s="12"/>
      <c r="Z1573" s="12"/>
      <c r="AA1573" s="12"/>
      <c r="AB1573" s="12"/>
      <c r="AC1573" s="12"/>
      <c r="AD1573" s="12"/>
      <c r="AE1573" s="12"/>
      <c r="AF1573" s="12"/>
      <c r="AG1573" s="12"/>
      <c r="AH1573" s="12"/>
      <c r="AI1573" s="12"/>
      <c r="AJ1573" s="12"/>
      <c r="AK1573" s="12"/>
      <c r="AL1573" s="12"/>
      <c r="AM1573" s="12"/>
      <c r="AN1573" s="12"/>
      <c r="AO1573" s="12"/>
      <c r="AP1573" s="12"/>
      <c r="AQ1573" s="12"/>
      <c r="AR1573" s="12"/>
      <c r="AS1573" s="12"/>
      <c r="AT1573" s="12"/>
      <c r="AU1573" s="12"/>
      <c r="AV1573" s="12"/>
      <c r="AW1573" s="12"/>
      <c r="AX1573" s="12"/>
      <c r="AY1573" s="12"/>
      <c r="AZ1573" s="12"/>
      <c r="BA1573" s="12"/>
      <c r="BB1573" s="12"/>
      <c r="BC1573" s="12"/>
      <c r="BD1573" s="12"/>
      <c r="BE1573" s="12"/>
      <c r="BF1573" s="12"/>
      <c r="BG1573" s="12"/>
      <c r="BH1573" s="12"/>
      <c r="BI1573" s="12"/>
      <c r="BJ1573" s="12"/>
      <c r="BK1573" s="12"/>
      <c r="BL1573" s="12"/>
      <c r="BM1573" s="12"/>
      <c r="BN1573" s="12"/>
      <c r="BO1573" s="12"/>
      <c r="BP1573" s="12"/>
      <c r="BQ1573" s="12"/>
      <c r="BR1573" s="12"/>
      <c r="BS1573" s="12"/>
      <c r="BT1573" s="12"/>
    </row>
    <row r="1574" spans="1:72">
      <c r="A1574" s="2" t="s">
        <v>30099</v>
      </c>
      <c r="B1574" s="5" t="s">
        <v>30104</v>
      </c>
      <c r="C1574" s="3" t="s">
        <v>138</v>
      </c>
      <c r="D1574" s="4" t="s">
        <v>138</v>
      </c>
      <c r="E1574" s="15" t="s">
        <v>642</v>
      </c>
      <c r="F1574" s="15" t="s">
        <v>474</v>
      </c>
      <c r="G1574" s="15" t="s">
        <v>162</v>
      </c>
      <c r="H1574" s="7">
        <v>4</v>
      </c>
      <c r="I1574" s="6" t="s">
        <v>30114</v>
      </c>
      <c r="J1574" s="6" t="s">
        <v>6235</v>
      </c>
      <c r="K1574" s="6" t="s">
        <v>39177</v>
      </c>
      <c r="L1574" s="6" t="s">
        <v>41681</v>
      </c>
      <c r="M1574" s="6" t="s">
        <v>39041</v>
      </c>
      <c r="N1574" s="6"/>
      <c r="O1574" s="6"/>
      <c r="P1574" s="6"/>
      <c r="Q1574" s="6"/>
      <c r="R1574" s="6"/>
      <c r="S1574" s="6"/>
      <c r="T1574" s="6"/>
      <c r="U1574" s="6"/>
      <c r="V1574" s="6"/>
      <c r="W1574" s="6"/>
      <c r="X1574" s="6"/>
      <c r="Y1574" s="6"/>
      <c r="Z1574" s="6"/>
      <c r="AA1574" s="6"/>
      <c r="AB1574" s="6"/>
      <c r="AC1574" s="6"/>
      <c r="AD1574" s="6"/>
      <c r="AE1574" s="6"/>
      <c r="AF1574" s="6"/>
      <c r="AG1574" s="6"/>
      <c r="AH1574" s="6"/>
      <c r="AI1574" s="6"/>
      <c r="AJ1574" s="6"/>
      <c r="AK1574" s="6"/>
      <c r="AL1574" s="6"/>
      <c r="AM1574" s="6"/>
      <c r="AN1574" s="6"/>
      <c r="AO1574" s="6"/>
      <c r="AP1574" s="6"/>
      <c r="AQ1574" s="6"/>
      <c r="AR1574" s="6"/>
      <c r="AS1574" s="6"/>
      <c r="AT1574" s="6"/>
      <c r="AU1574" s="6"/>
      <c r="AV1574" s="6"/>
      <c r="AW1574" s="6"/>
      <c r="AX1574" s="6"/>
      <c r="AY1574" s="6"/>
      <c r="AZ1574" s="6"/>
      <c r="BA1574" s="6"/>
      <c r="BB1574" s="6"/>
      <c r="BC1574" s="6"/>
      <c r="BD1574" s="6"/>
      <c r="BE1574" s="6"/>
      <c r="BF1574" s="6"/>
      <c r="BG1574" s="6"/>
      <c r="BH1574" s="6"/>
      <c r="BI1574" s="6"/>
      <c r="BJ1574" s="6"/>
      <c r="BK1574" s="6"/>
      <c r="BL1574" s="6"/>
      <c r="BM1574" s="6"/>
      <c r="BN1574" s="6"/>
      <c r="BO1574" s="6"/>
      <c r="BP1574" s="6"/>
      <c r="BQ1574" s="6"/>
      <c r="BR1574" s="6"/>
      <c r="BS1574" s="6"/>
      <c r="BT1574" s="6"/>
    </row>
    <row r="1575" spans="1:72">
      <c r="A1575" s="8" t="s">
        <v>30117</v>
      </c>
      <c r="B1575" s="11" t="s">
        <v>30122</v>
      </c>
      <c r="C1575" s="9" t="s">
        <v>30118</v>
      </c>
      <c r="D1575" s="10" t="s">
        <v>138</v>
      </c>
      <c r="E1575" s="28" t="s">
        <v>30131</v>
      </c>
      <c r="F1575" s="28" t="s">
        <v>474</v>
      </c>
      <c r="G1575" s="28" t="s">
        <v>162</v>
      </c>
      <c r="H1575" s="13" t="s">
        <v>138</v>
      </c>
      <c r="I1575" s="12" t="s">
        <v>138</v>
      </c>
      <c r="J1575" s="12"/>
      <c r="K1575" s="12"/>
      <c r="L1575" s="12"/>
      <c r="M1575" s="12"/>
      <c r="N1575" s="12"/>
      <c r="O1575" s="12"/>
      <c r="P1575" s="12"/>
      <c r="Q1575" s="12"/>
      <c r="R1575" s="12"/>
      <c r="S1575" s="12"/>
      <c r="T1575" s="12"/>
      <c r="U1575" s="12"/>
      <c r="V1575" s="12"/>
      <c r="W1575" s="12"/>
      <c r="X1575" s="12"/>
      <c r="Y1575" s="12"/>
      <c r="Z1575" s="12"/>
      <c r="AA1575" s="12"/>
      <c r="AB1575" s="12"/>
      <c r="AC1575" s="12"/>
      <c r="AD1575" s="12"/>
      <c r="AE1575" s="12"/>
      <c r="AF1575" s="12"/>
      <c r="AG1575" s="12"/>
      <c r="AH1575" s="12"/>
      <c r="AI1575" s="12"/>
      <c r="AJ1575" s="12"/>
      <c r="AK1575" s="12"/>
      <c r="AL1575" s="12"/>
      <c r="AM1575" s="12"/>
      <c r="AN1575" s="12"/>
      <c r="AO1575" s="12"/>
      <c r="AP1575" s="12"/>
      <c r="AQ1575" s="12"/>
      <c r="AR1575" s="12"/>
      <c r="AS1575" s="12"/>
      <c r="AT1575" s="12"/>
      <c r="AU1575" s="12"/>
      <c r="AV1575" s="12"/>
      <c r="AW1575" s="12"/>
      <c r="AX1575" s="12"/>
      <c r="AY1575" s="12"/>
      <c r="AZ1575" s="12"/>
      <c r="BA1575" s="12"/>
      <c r="BB1575" s="12"/>
      <c r="BC1575" s="12"/>
      <c r="BD1575" s="12"/>
      <c r="BE1575" s="12"/>
      <c r="BF1575" s="12"/>
      <c r="BG1575" s="12"/>
      <c r="BH1575" s="12"/>
      <c r="BI1575" s="12"/>
      <c r="BJ1575" s="12"/>
      <c r="BK1575" s="12"/>
      <c r="BL1575" s="12"/>
      <c r="BM1575" s="12"/>
      <c r="BN1575" s="12"/>
      <c r="BO1575" s="12"/>
      <c r="BP1575" s="12"/>
      <c r="BQ1575" s="12"/>
      <c r="BR1575" s="12"/>
      <c r="BS1575" s="12"/>
      <c r="BT1575" s="12"/>
    </row>
    <row r="1576" spans="1:72">
      <c r="A1576" s="2" t="s">
        <v>30140</v>
      </c>
      <c r="B1576" s="5" t="s">
        <v>30144</v>
      </c>
      <c r="C1576" s="3" t="s">
        <v>138</v>
      </c>
      <c r="D1576" s="4" t="s">
        <v>138</v>
      </c>
      <c r="E1576" s="15" t="s">
        <v>1516</v>
      </c>
      <c r="F1576" s="15" t="s">
        <v>284</v>
      </c>
      <c r="G1576" s="15" t="s">
        <v>162</v>
      </c>
      <c r="H1576" s="7">
        <v>20</v>
      </c>
      <c r="I1576" s="6" t="s">
        <v>30154</v>
      </c>
      <c r="J1576" s="6" t="s">
        <v>45093</v>
      </c>
      <c r="K1576" s="6" t="s">
        <v>38569</v>
      </c>
      <c r="L1576" s="6" t="s">
        <v>37819</v>
      </c>
      <c r="M1576" s="6" t="s">
        <v>42377</v>
      </c>
      <c r="N1576" s="6" t="s">
        <v>38392</v>
      </c>
      <c r="O1576" s="6" t="s">
        <v>38418</v>
      </c>
      <c r="P1576" s="6" t="s">
        <v>38114</v>
      </c>
      <c r="Q1576" s="6" t="s">
        <v>41504</v>
      </c>
      <c r="R1576" s="6" t="s">
        <v>38803</v>
      </c>
      <c r="S1576" s="6" t="s">
        <v>37786</v>
      </c>
      <c r="T1576" s="6" t="s">
        <v>37955</v>
      </c>
      <c r="U1576" s="6" t="s">
        <v>40246</v>
      </c>
      <c r="V1576" s="6" t="s">
        <v>43153</v>
      </c>
      <c r="W1576" s="6" t="s">
        <v>45094</v>
      </c>
      <c r="X1576" s="6" t="s">
        <v>39635</v>
      </c>
      <c r="Y1576" s="6" t="s">
        <v>42848</v>
      </c>
      <c r="Z1576" s="6" t="s">
        <v>41041</v>
      </c>
      <c r="AA1576" s="6" t="s">
        <v>38005</v>
      </c>
      <c r="AB1576" s="6" t="s">
        <v>38143</v>
      </c>
      <c r="AC1576" s="6" t="s">
        <v>45095</v>
      </c>
      <c r="AD1576" s="6"/>
      <c r="AE1576" s="6"/>
      <c r="AF1576" s="6"/>
      <c r="AG1576" s="6"/>
      <c r="AH1576" s="6"/>
      <c r="AI1576" s="6"/>
      <c r="AJ1576" s="6"/>
      <c r="AK1576" s="6"/>
      <c r="AL1576" s="6"/>
      <c r="AM1576" s="6"/>
      <c r="AN1576" s="6"/>
      <c r="AO1576" s="6"/>
      <c r="AP1576" s="6"/>
      <c r="AQ1576" s="6"/>
      <c r="AR1576" s="6"/>
      <c r="AS1576" s="6"/>
      <c r="AT1576" s="6"/>
      <c r="AU1576" s="6"/>
      <c r="AV1576" s="6"/>
      <c r="AW1576" s="6"/>
      <c r="AX1576" s="6"/>
      <c r="AY1576" s="6"/>
      <c r="AZ1576" s="6"/>
      <c r="BA1576" s="6"/>
      <c r="BB1576" s="6"/>
      <c r="BC1576" s="6"/>
      <c r="BD1576" s="6"/>
      <c r="BE1576" s="6"/>
      <c r="BF1576" s="6"/>
      <c r="BG1576" s="6"/>
      <c r="BH1576" s="6"/>
      <c r="BI1576" s="6"/>
      <c r="BJ1576" s="6"/>
      <c r="BK1576" s="6"/>
      <c r="BL1576" s="6"/>
      <c r="BM1576" s="6"/>
      <c r="BN1576" s="6"/>
      <c r="BO1576" s="6"/>
      <c r="BP1576" s="6"/>
      <c r="BQ1576" s="6"/>
      <c r="BR1576" s="6"/>
      <c r="BS1576" s="6"/>
      <c r="BT1576" s="6"/>
    </row>
    <row r="1577" spans="1:72">
      <c r="A1577" s="8" t="s">
        <v>30158</v>
      </c>
      <c r="B1577" s="11" t="s">
        <v>30164</v>
      </c>
      <c r="C1577" s="9" t="s">
        <v>138</v>
      </c>
      <c r="D1577" s="10" t="s">
        <v>138</v>
      </c>
      <c r="E1577" s="28" t="s">
        <v>668</v>
      </c>
      <c r="F1577" s="28" t="s">
        <v>200</v>
      </c>
      <c r="G1577" s="28" t="s">
        <v>162</v>
      </c>
      <c r="H1577" s="13">
        <v>6</v>
      </c>
      <c r="I1577" s="12" t="s">
        <v>30171</v>
      </c>
      <c r="J1577" s="12" t="s">
        <v>45096</v>
      </c>
      <c r="K1577" s="12" t="s">
        <v>42247</v>
      </c>
      <c r="L1577" s="12" t="s">
        <v>45097</v>
      </c>
      <c r="M1577" s="12" t="s">
        <v>38463</v>
      </c>
      <c r="N1577" s="12" t="s">
        <v>45098</v>
      </c>
      <c r="O1577" s="12" t="s">
        <v>40184</v>
      </c>
      <c r="P1577" s="12"/>
      <c r="Q1577" s="12"/>
      <c r="R1577" s="12"/>
      <c r="S1577" s="12"/>
      <c r="T1577" s="12"/>
      <c r="U1577" s="12"/>
      <c r="V1577" s="12"/>
      <c r="W1577" s="12"/>
      <c r="X1577" s="12"/>
      <c r="Y1577" s="12"/>
      <c r="Z1577" s="12"/>
      <c r="AA1577" s="12"/>
      <c r="AB1577" s="12"/>
      <c r="AC1577" s="12"/>
      <c r="AD1577" s="12"/>
      <c r="AE1577" s="12"/>
      <c r="AF1577" s="12"/>
      <c r="AG1577" s="12"/>
      <c r="AH1577" s="12"/>
      <c r="AI1577" s="12"/>
      <c r="AJ1577" s="12"/>
      <c r="AK1577" s="12"/>
      <c r="AL1577" s="12"/>
      <c r="AM1577" s="12"/>
      <c r="AN1577" s="12"/>
      <c r="AO1577" s="12"/>
      <c r="AP1577" s="12"/>
      <c r="AQ1577" s="12"/>
      <c r="AR1577" s="12"/>
      <c r="AS1577" s="12"/>
      <c r="AT1577" s="12"/>
      <c r="AU1577" s="12"/>
      <c r="AV1577" s="12"/>
      <c r="AW1577" s="12"/>
      <c r="AX1577" s="12"/>
      <c r="AY1577" s="12"/>
      <c r="AZ1577" s="12"/>
      <c r="BA1577" s="12"/>
      <c r="BB1577" s="12"/>
      <c r="BC1577" s="12"/>
      <c r="BD1577" s="12"/>
      <c r="BE1577" s="12"/>
      <c r="BF1577" s="12"/>
      <c r="BG1577" s="12"/>
      <c r="BH1577" s="12"/>
      <c r="BI1577" s="12"/>
      <c r="BJ1577" s="12"/>
      <c r="BK1577" s="12"/>
      <c r="BL1577" s="12"/>
      <c r="BM1577" s="12"/>
      <c r="BN1577" s="12"/>
      <c r="BO1577" s="12"/>
      <c r="BP1577" s="12"/>
      <c r="BQ1577" s="12"/>
      <c r="BR1577" s="12"/>
      <c r="BS1577" s="12"/>
      <c r="BT1577" s="12"/>
    </row>
    <row r="1578" spans="1:72">
      <c r="A1578" s="2" t="s">
        <v>30175</v>
      </c>
      <c r="B1578" s="5" t="s">
        <v>30182</v>
      </c>
      <c r="C1578" s="3" t="s">
        <v>138</v>
      </c>
      <c r="D1578" s="4" t="s">
        <v>30176</v>
      </c>
      <c r="E1578" s="15" t="s">
        <v>668</v>
      </c>
      <c r="F1578" s="15" t="s">
        <v>200</v>
      </c>
      <c r="G1578" s="15" t="s">
        <v>162</v>
      </c>
      <c r="H1578" s="7">
        <v>18</v>
      </c>
      <c r="I1578" s="6" t="s">
        <v>30193</v>
      </c>
      <c r="J1578" s="6" t="s">
        <v>17579</v>
      </c>
      <c r="K1578" s="6" t="s">
        <v>38105</v>
      </c>
      <c r="L1578" s="6" t="s">
        <v>37794</v>
      </c>
      <c r="M1578" s="6" t="s">
        <v>43229</v>
      </c>
      <c r="N1578" s="6" t="s">
        <v>44430</v>
      </c>
      <c r="O1578" s="6" t="s">
        <v>45099</v>
      </c>
      <c r="P1578" s="6" t="s">
        <v>40516</v>
      </c>
      <c r="Q1578" s="6" t="s">
        <v>45100</v>
      </c>
      <c r="R1578" s="6" t="s">
        <v>43314</v>
      </c>
      <c r="S1578" s="6" t="s">
        <v>38129</v>
      </c>
      <c r="T1578" s="6" t="s">
        <v>40307</v>
      </c>
      <c r="U1578" s="6" t="s">
        <v>38184</v>
      </c>
      <c r="V1578" s="6" t="s">
        <v>45101</v>
      </c>
      <c r="W1578" s="6" t="s">
        <v>38864</v>
      </c>
      <c r="X1578" s="6" t="s">
        <v>45102</v>
      </c>
      <c r="Y1578" s="6" t="s">
        <v>41509</v>
      </c>
      <c r="Z1578" s="6" t="s">
        <v>41969</v>
      </c>
      <c r="AA1578" s="6" t="s">
        <v>45103</v>
      </c>
      <c r="AB1578" s="6"/>
      <c r="AC1578" s="6"/>
      <c r="AD1578" s="6"/>
      <c r="AE1578" s="6"/>
      <c r="AF1578" s="6"/>
      <c r="AG1578" s="6"/>
      <c r="AH1578" s="6"/>
      <c r="AI1578" s="6"/>
      <c r="AJ1578" s="6"/>
      <c r="AK1578" s="6"/>
      <c r="AL1578" s="6"/>
      <c r="AM1578" s="6"/>
      <c r="AN1578" s="6"/>
      <c r="AO1578" s="6"/>
      <c r="AP1578" s="6"/>
      <c r="AQ1578" s="6"/>
      <c r="AR1578" s="6"/>
      <c r="AS1578" s="6"/>
      <c r="AT1578" s="6"/>
      <c r="AU1578" s="6"/>
      <c r="AV1578" s="6"/>
      <c r="AW1578" s="6"/>
      <c r="AX1578" s="6"/>
      <c r="AY1578" s="6"/>
      <c r="AZ1578" s="6"/>
      <c r="BA1578" s="6"/>
      <c r="BB1578" s="6"/>
      <c r="BC1578" s="6"/>
      <c r="BD1578" s="6"/>
      <c r="BE1578" s="6"/>
      <c r="BF1578" s="6"/>
      <c r="BG1578" s="6"/>
      <c r="BH1578" s="6"/>
      <c r="BI1578" s="6"/>
      <c r="BJ1578" s="6"/>
      <c r="BK1578" s="6"/>
      <c r="BL1578" s="6"/>
      <c r="BM1578" s="6"/>
      <c r="BN1578" s="6"/>
      <c r="BO1578" s="6"/>
      <c r="BP1578" s="6"/>
      <c r="BQ1578" s="6"/>
      <c r="BR1578" s="6"/>
      <c r="BS1578" s="6"/>
      <c r="BT1578" s="6"/>
    </row>
    <row r="1579" spans="1:72">
      <c r="A1579" s="8" t="s">
        <v>30196</v>
      </c>
      <c r="B1579" s="11" t="s">
        <v>30202</v>
      </c>
      <c r="C1579" s="9" t="s">
        <v>30197</v>
      </c>
      <c r="D1579" s="10" t="s">
        <v>138</v>
      </c>
      <c r="E1579" s="28" t="s">
        <v>16915</v>
      </c>
      <c r="F1579" s="28" t="s">
        <v>7605</v>
      </c>
      <c r="G1579" s="28" t="s">
        <v>162</v>
      </c>
      <c r="H1579" s="13">
        <v>14</v>
      </c>
      <c r="I1579" s="12" t="s">
        <v>30212</v>
      </c>
      <c r="J1579" s="12" t="s">
        <v>45104</v>
      </c>
      <c r="K1579" s="12" t="s">
        <v>45105</v>
      </c>
      <c r="L1579" s="12" t="s">
        <v>42568</v>
      </c>
      <c r="M1579" s="12" t="s">
        <v>42569</v>
      </c>
      <c r="N1579" s="12" t="s">
        <v>40347</v>
      </c>
      <c r="O1579" s="12" t="s">
        <v>45106</v>
      </c>
      <c r="P1579" s="12" t="s">
        <v>45107</v>
      </c>
      <c r="Q1579" s="12" t="s">
        <v>40900</v>
      </c>
      <c r="R1579" s="12" t="s">
        <v>39278</v>
      </c>
      <c r="S1579" s="12" t="s">
        <v>38083</v>
      </c>
      <c r="T1579" s="12" t="s">
        <v>38026</v>
      </c>
      <c r="U1579" s="12" t="s">
        <v>42493</v>
      </c>
      <c r="V1579" s="12" t="s">
        <v>45108</v>
      </c>
      <c r="W1579" s="12" t="s">
        <v>42570</v>
      </c>
      <c r="X1579" s="12"/>
      <c r="Y1579" s="12"/>
      <c r="Z1579" s="12"/>
      <c r="AA1579" s="12"/>
      <c r="AB1579" s="12"/>
      <c r="AC1579" s="12"/>
      <c r="AD1579" s="12"/>
      <c r="AE1579" s="12"/>
      <c r="AF1579" s="12"/>
      <c r="AG1579" s="12"/>
      <c r="AH1579" s="12"/>
      <c r="AI1579" s="12"/>
      <c r="AJ1579" s="12"/>
      <c r="AK1579" s="12"/>
      <c r="AL1579" s="12"/>
      <c r="AM1579" s="12"/>
      <c r="AN1579" s="12"/>
      <c r="AO1579" s="12"/>
      <c r="AP1579" s="12"/>
      <c r="AQ1579" s="12"/>
      <c r="AR1579" s="12"/>
      <c r="AS1579" s="12"/>
      <c r="AT1579" s="12"/>
      <c r="AU1579" s="12"/>
      <c r="AV1579" s="12"/>
      <c r="AW1579" s="12"/>
      <c r="AX1579" s="12"/>
      <c r="AY1579" s="12"/>
      <c r="AZ1579" s="12"/>
      <c r="BA1579" s="12"/>
      <c r="BB1579" s="12"/>
      <c r="BC1579" s="12"/>
      <c r="BD1579" s="12"/>
      <c r="BE1579" s="12"/>
      <c r="BF1579" s="12"/>
      <c r="BG1579" s="12"/>
      <c r="BH1579" s="12"/>
      <c r="BI1579" s="12"/>
      <c r="BJ1579" s="12"/>
      <c r="BK1579" s="12"/>
      <c r="BL1579" s="12"/>
      <c r="BM1579" s="12"/>
      <c r="BN1579" s="12"/>
      <c r="BO1579" s="12"/>
      <c r="BP1579" s="12"/>
      <c r="BQ1579" s="12"/>
      <c r="BR1579" s="12"/>
      <c r="BS1579" s="12"/>
      <c r="BT1579" s="12"/>
    </row>
    <row r="1580" spans="1:72">
      <c r="A1580" s="2" t="s">
        <v>30217</v>
      </c>
      <c r="B1580" s="5" t="s">
        <v>30222</v>
      </c>
      <c r="C1580" s="3" t="s">
        <v>138</v>
      </c>
      <c r="D1580" s="4" t="s">
        <v>138</v>
      </c>
      <c r="E1580" s="15" t="s">
        <v>668</v>
      </c>
      <c r="F1580" s="15" t="s">
        <v>200</v>
      </c>
      <c r="G1580" s="15" t="s">
        <v>162</v>
      </c>
      <c r="H1580" s="7">
        <v>17</v>
      </c>
      <c r="I1580" s="6" t="s">
        <v>30229</v>
      </c>
      <c r="J1580" s="6" t="s">
        <v>39772</v>
      </c>
      <c r="K1580" s="6" t="s">
        <v>37820</v>
      </c>
      <c r="L1580" s="6" t="s">
        <v>39884</v>
      </c>
      <c r="M1580" s="6" t="s">
        <v>38113</v>
      </c>
      <c r="N1580" s="6" t="s">
        <v>38723</v>
      </c>
      <c r="O1580" s="6" t="s">
        <v>39418</v>
      </c>
      <c r="P1580" s="6" t="s">
        <v>37998</v>
      </c>
      <c r="Q1580" s="6" t="s">
        <v>45109</v>
      </c>
      <c r="R1580" s="6" t="s">
        <v>38200</v>
      </c>
      <c r="S1580" s="6" t="s">
        <v>38166</v>
      </c>
      <c r="T1580" s="6" t="s">
        <v>38579</v>
      </c>
      <c r="U1580" s="6" t="s">
        <v>41041</v>
      </c>
      <c r="V1580" s="6" t="s">
        <v>37783</v>
      </c>
      <c r="W1580" s="6" t="s">
        <v>40446</v>
      </c>
      <c r="X1580" s="6" t="s">
        <v>45110</v>
      </c>
      <c r="Y1580" s="6" t="s">
        <v>40600</v>
      </c>
      <c r="Z1580" s="6" t="s">
        <v>37976</v>
      </c>
      <c r="AA1580" s="6"/>
      <c r="AB1580" s="6"/>
      <c r="AC1580" s="6"/>
      <c r="AD1580" s="6"/>
      <c r="AE1580" s="6"/>
      <c r="AF1580" s="6"/>
      <c r="AG1580" s="6"/>
      <c r="AH1580" s="6"/>
      <c r="AI1580" s="6"/>
      <c r="AJ1580" s="6"/>
      <c r="AK1580" s="6"/>
      <c r="AL1580" s="6"/>
      <c r="AM1580" s="6"/>
      <c r="AN1580" s="6"/>
      <c r="AO1580" s="6"/>
      <c r="AP1580" s="6"/>
      <c r="AQ1580" s="6"/>
      <c r="AR1580" s="6"/>
      <c r="AS1580" s="6"/>
      <c r="AT1580" s="6"/>
      <c r="AU1580" s="6"/>
      <c r="AV1580" s="6"/>
      <c r="AW1580" s="6"/>
      <c r="AX1580" s="6"/>
      <c r="AY1580" s="6"/>
      <c r="AZ1580" s="6"/>
      <c r="BA1580" s="6"/>
      <c r="BB1580" s="6"/>
      <c r="BC1580" s="6"/>
      <c r="BD1580" s="6"/>
      <c r="BE1580" s="6"/>
      <c r="BF1580" s="6"/>
      <c r="BG1580" s="6"/>
      <c r="BH1580" s="6"/>
      <c r="BI1580" s="6"/>
      <c r="BJ1580" s="6"/>
      <c r="BK1580" s="6"/>
      <c r="BL1580" s="6"/>
      <c r="BM1580" s="6"/>
      <c r="BN1580" s="6"/>
      <c r="BO1580" s="6"/>
      <c r="BP1580" s="6"/>
      <c r="BQ1580" s="6"/>
      <c r="BR1580" s="6"/>
      <c r="BS1580" s="6"/>
      <c r="BT1580" s="6"/>
    </row>
    <row r="1581" spans="1:72">
      <c r="A1581" s="8" t="s">
        <v>30232</v>
      </c>
      <c r="B1581" s="11" t="s">
        <v>30238</v>
      </c>
      <c r="C1581" s="9" t="s">
        <v>30233</v>
      </c>
      <c r="D1581" s="10" t="s">
        <v>138</v>
      </c>
      <c r="E1581" s="28" t="s">
        <v>12394</v>
      </c>
      <c r="F1581" s="28" t="s">
        <v>200</v>
      </c>
      <c r="G1581" s="28" t="s">
        <v>162</v>
      </c>
      <c r="H1581" s="13">
        <v>8</v>
      </c>
      <c r="I1581" s="12" t="s">
        <v>30244</v>
      </c>
      <c r="J1581" s="12" t="s">
        <v>5796</v>
      </c>
      <c r="K1581" s="12" t="s">
        <v>43816</v>
      </c>
      <c r="L1581" s="12" t="s">
        <v>45111</v>
      </c>
      <c r="M1581" s="12" t="s">
        <v>38663</v>
      </c>
      <c r="N1581" s="12" t="s">
        <v>40457</v>
      </c>
      <c r="O1581" s="12" t="s">
        <v>39057</v>
      </c>
      <c r="P1581" s="12" t="s">
        <v>37890</v>
      </c>
      <c r="Q1581" s="12" t="s">
        <v>37783</v>
      </c>
      <c r="R1581" s="12"/>
      <c r="S1581" s="12"/>
      <c r="T1581" s="12"/>
      <c r="U1581" s="12"/>
      <c r="V1581" s="12"/>
      <c r="W1581" s="12"/>
      <c r="X1581" s="12"/>
      <c r="Y1581" s="12"/>
      <c r="Z1581" s="12"/>
      <c r="AA1581" s="12"/>
      <c r="AB1581" s="12"/>
      <c r="AC1581" s="12"/>
      <c r="AD1581" s="12"/>
      <c r="AE1581" s="12"/>
      <c r="AF1581" s="12"/>
      <c r="AG1581" s="12"/>
      <c r="AH1581" s="12"/>
      <c r="AI1581" s="12"/>
      <c r="AJ1581" s="12"/>
      <c r="AK1581" s="12"/>
      <c r="AL1581" s="12"/>
      <c r="AM1581" s="12"/>
      <c r="AN1581" s="12"/>
      <c r="AO1581" s="12"/>
      <c r="AP1581" s="12"/>
      <c r="AQ1581" s="12"/>
      <c r="AR1581" s="12"/>
      <c r="AS1581" s="12"/>
      <c r="AT1581" s="12"/>
      <c r="AU1581" s="12"/>
      <c r="AV1581" s="12"/>
      <c r="AW1581" s="12"/>
      <c r="AX1581" s="12"/>
      <c r="AY1581" s="12"/>
      <c r="AZ1581" s="12"/>
      <c r="BA1581" s="12"/>
      <c r="BB1581" s="12"/>
      <c r="BC1581" s="12"/>
      <c r="BD1581" s="12"/>
      <c r="BE1581" s="12"/>
      <c r="BF1581" s="12"/>
      <c r="BG1581" s="12"/>
      <c r="BH1581" s="12"/>
      <c r="BI1581" s="12"/>
      <c r="BJ1581" s="12"/>
      <c r="BK1581" s="12"/>
      <c r="BL1581" s="12"/>
      <c r="BM1581" s="12"/>
      <c r="BN1581" s="12"/>
      <c r="BO1581" s="12"/>
      <c r="BP1581" s="12"/>
      <c r="BQ1581" s="12"/>
      <c r="BR1581" s="12"/>
      <c r="BS1581" s="12"/>
      <c r="BT1581" s="12"/>
    </row>
    <row r="1582" spans="1:72">
      <c r="A1582" s="2" t="s">
        <v>30247</v>
      </c>
      <c r="B1582" s="5" t="s">
        <v>30252</v>
      </c>
      <c r="C1582" s="3" t="s">
        <v>138</v>
      </c>
      <c r="D1582" s="4" t="s">
        <v>138</v>
      </c>
      <c r="E1582" s="15" t="s">
        <v>3452</v>
      </c>
      <c r="F1582" s="15" t="s">
        <v>3453</v>
      </c>
      <c r="G1582" s="15" t="s">
        <v>2333</v>
      </c>
      <c r="H1582" s="7">
        <v>5</v>
      </c>
      <c r="I1582" s="6" t="s">
        <v>30263</v>
      </c>
      <c r="J1582" s="6" t="s">
        <v>45112</v>
      </c>
      <c r="K1582" s="6" t="s">
        <v>38299</v>
      </c>
      <c r="L1582" s="6" t="s">
        <v>38938</v>
      </c>
      <c r="M1582" s="6" t="s">
        <v>45113</v>
      </c>
      <c r="N1582" s="6" t="s">
        <v>45114</v>
      </c>
      <c r="O1582" s="6"/>
      <c r="P1582" s="6"/>
      <c r="Q1582" s="6"/>
      <c r="R1582" s="6"/>
      <c r="S1582" s="6"/>
      <c r="T1582" s="6"/>
      <c r="U1582" s="6"/>
      <c r="V1582" s="6"/>
      <c r="W1582" s="6"/>
      <c r="X1582" s="6"/>
      <c r="Y1582" s="6"/>
      <c r="Z1582" s="6"/>
      <c r="AA1582" s="6"/>
      <c r="AB1582" s="6"/>
      <c r="AC1582" s="6"/>
      <c r="AD1582" s="6"/>
      <c r="AE1582" s="6"/>
      <c r="AF1582" s="6"/>
      <c r="AG1582" s="6"/>
      <c r="AH1582" s="6"/>
      <c r="AI1582" s="6"/>
      <c r="AJ1582" s="6"/>
      <c r="AK1582" s="6"/>
      <c r="AL1582" s="6"/>
      <c r="AM1582" s="6"/>
      <c r="AN1582" s="6"/>
      <c r="AO1582" s="6"/>
      <c r="AP1582" s="6"/>
      <c r="AQ1582" s="6"/>
      <c r="AR1582" s="6"/>
      <c r="AS1582" s="6"/>
      <c r="AT1582" s="6"/>
      <c r="AU1582" s="6"/>
      <c r="AV1582" s="6"/>
      <c r="AW1582" s="6"/>
      <c r="AX1582" s="6"/>
      <c r="AY1582" s="6"/>
      <c r="AZ1582" s="6"/>
      <c r="BA1582" s="6"/>
      <c r="BB1582" s="6"/>
      <c r="BC1582" s="6"/>
      <c r="BD1582" s="6"/>
      <c r="BE1582" s="6"/>
      <c r="BF1582" s="6"/>
      <c r="BG1582" s="6"/>
      <c r="BH1582" s="6"/>
      <c r="BI1582" s="6"/>
      <c r="BJ1582" s="6"/>
      <c r="BK1582" s="6"/>
      <c r="BL1582" s="6"/>
      <c r="BM1582" s="6"/>
      <c r="BN1582" s="6"/>
      <c r="BO1582" s="6"/>
      <c r="BP1582" s="6"/>
      <c r="BQ1582" s="6"/>
      <c r="BR1582" s="6"/>
      <c r="BS1582" s="6"/>
      <c r="BT1582" s="6"/>
    </row>
    <row r="1583" spans="1:72">
      <c r="A1583" s="8" t="s">
        <v>30266</v>
      </c>
      <c r="B1583" s="11" t="s">
        <v>30271</v>
      </c>
      <c r="C1583" s="9" t="s">
        <v>138</v>
      </c>
      <c r="D1583" s="10" t="s">
        <v>138</v>
      </c>
      <c r="E1583" s="28" t="s">
        <v>30281</v>
      </c>
      <c r="F1583" s="28" t="s">
        <v>228</v>
      </c>
      <c r="G1583" s="28" t="s">
        <v>162</v>
      </c>
      <c r="H1583" s="13" t="s">
        <v>138</v>
      </c>
      <c r="I1583" s="12" t="s">
        <v>138</v>
      </c>
      <c r="J1583" s="12"/>
      <c r="K1583" s="12"/>
      <c r="L1583" s="12"/>
      <c r="M1583" s="12"/>
      <c r="N1583" s="12"/>
      <c r="O1583" s="12"/>
      <c r="P1583" s="12"/>
      <c r="Q1583" s="12"/>
      <c r="R1583" s="12"/>
      <c r="S1583" s="12"/>
      <c r="T1583" s="12"/>
      <c r="U1583" s="12"/>
      <c r="V1583" s="12"/>
      <c r="W1583" s="12"/>
      <c r="X1583" s="12"/>
      <c r="Y1583" s="12"/>
      <c r="Z1583" s="12"/>
      <c r="AA1583" s="12"/>
      <c r="AB1583" s="12"/>
      <c r="AC1583" s="12"/>
      <c r="AD1583" s="12"/>
      <c r="AE1583" s="12"/>
      <c r="AF1583" s="12"/>
      <c r="AG1583" s="12"/>
      <c r="AH1583" s="12"/>
      <c r="AI1583" s="12"/>
      <c r="AJ1583" s="12"/>
      <c r="AK1583" s="12"/>
      <c r="AL1583" s="12"/>
      <c r="AM1583" s="12"/>
      <c r="AN1583" s="12"/>
      <c r="AO1583" s="12"/>
      <c r="AP1583" s="12"/>
      <c r="AQ1583" s="12"/>
      <c r="AR1583" s="12"/>
      <c r="AS1583" s="12"/>
      <c r="AT1583" s="12"/>
      <c r="AU1583" s="12"/>
      <c r="AV1583" s="12"/>
      <c r="AW1583" s="12"/>
      <c r="AX1583" s="12"/>
      <c r="AY1583" s="12"/>
      <c r="AZ1583" s="12"/>
      <c r="BA1583" s="12"/>
      <c r="BB1583" s="12"/>
      <c r="BC1583" s="12"/>
      <c r="BD1583" s="12"/>
      <c r="BE1583" s="12"/>
      <c r="BF1583" s="12"/>
      <c r="BG1583" s="12"/>
      <c r="BH1583" s="12"/>
      <c r="BI1583" s="12"/>
      <c r="BJ1583" s="12"/>
      <c r="BK1583" s="12"/>
      <c r="BL1583" s="12"/>
      <c r="BM1583" s="12"/>
      <c r="BN1583" s="12"/>
      <c r="BO1583" s="12"/>
      <c r="BP1583" s="12"/>
      <c r="BQ1583" s="12"/>
      <c r="BR1583" s="12"/>
      <c r="BS1583" s="12"/>
      <c r="BT1583" s="12"/>
    </row>
    <row r="1584" spans="1:72">
      <c r="A1584" s="2" t="s">
        <v>30288</v>
      </c>
      <c r="B1584" s="5" t="s">
        <v>30293</v>
      </c>
      <c r="C1584" s="3" t="s">
        <v>30289</v>
      </c>
      <c r="D1584" s="4" t="s">
        <v>138</v>
      </c>
      <c r="E1584" s="15" t="s">
        <v>3820</v>
      </c>
      <c r="F1584" s="15" t="s">
        <v>864</v>
      </c>
      <c r="G1584" s="15" t="s">
        <v>162</v>
      </c>
      <c r="H1584" s="7">
        <v>16</v>
      </c>
      <c r="I1584" s="6" t="s">
        <v>30301</v>
      </c>
      <c r="J1584" s="6" t="s">
        <v>45115</v>
      </c>
      <c r="K1584" s="6" t="s">
        <v>45116</v>
      </c>
      <c r="L1584" s="6" t="s">
        <v>45117</v>
      </c>
      <c r="M1584" s="6" t="s">
        <v>38914</v>
      </c>
      <c r="N1584" s="6" t="s">
        <v>39917</v>
      </c>
      <c r="O1584" s="6" t="s">
        <v>40536</v>
      </c>
      <c r="P1584" s="6" t="s">
        <v>39901</v>
      </c>
      <c r="Q1584" s="6" t="s">
        <v>45118</v>
      </c>
      <c r="R1584" s="6" t="s">
        <v>39140</v>
      </c>
      <c r="S1584" s="6" t="s">
        <v>37839</v>
      </c>
      <c r="T1584" s="6" t="s">
        <v>38948</v>
      </c>
      <c r="U1584" s="6" t="s">
        <v>37827</v>
      </c>
      <c r="V1584" s="6" t="s">
        <v>45119</v>
      </c>
      <c r="W1584" s="6" t="s">
        <v>38505</v>
      </c>
      <c r="X1584" s="6" t="s">
        <v>44978</v>
      </c>
      <c r="Y1584" s="6" t="s">
        <v>39143</v>
      </c>
      <c r="Z1584" s="6"/>
      <c r="AA1584" s="6"/>
      <c r="AB1584" s="6"/>
      <c r="AC1584" s="6"/>
      <c r="AD1584" s="6"/>
      <c r="AE1584" s="6"/>
      <c r="AF1584" s="6"/>
      <c r="AG1584" s="6"/>
      <c r="AH1584" s="6"/>
      <c r="AI1584" s="6"/>
      <c r="AJ1584" s="6"/>
      <c r="AK1584" s="6"/>
      <c r="AL1584" s="6"/>
      <c r="AM1584" s="6"/>
      <c r="AN1584" s="6"/>
      <c r="AO1584" s="6"/>
      <c r="AP1584" s="6"/>
      <c r="AQ1584" s="6"/>
      <c r="AR1584" s="6"/>
      <c r="AS1584" s="6"/>
      <c r="AT1584" s="6"/>
      <c r="AU1584" s="6"/>
      <c r="AV1584" s="6"/>
      <c r="AW1584" s="6"/>
      <c r="AX1584" s="6"/>
      <c r="AY1584" s="6"/>
      <c r="AZ1584" s="6"/>
      <c r="BA1584" s="6"/>
      <c r="BB1584" s="6"/>
      <c r="BC1584" s="6"/>
      <c r="BD1584" s="6"/>
      <c r="BE1584" s="6"/>
      <c r="BF1584" s="6"/>
      <c r="BG1584" s="6"/>
      <c r="BH1584" s="6"/>
      <c r="BI1584" s="6"/>
      <c r="BJ1584" s="6"/>
      <c r="BK1584" s="6"/>
      <c r="BL1584" s="6"/>
      <c r="BM1584" s="6"/>
      <c r="BN1584" s="6"/>
      <c r="BO1584" s="6"/>
      <c r="BP1584" s="6"/>
      <c r="BQ1584" s="6"/>
      <c r="BR1584" s="6"/>
      <c r="BS1584" s="6"/>
      <c r="BT1584" s="6"/>
    </row>
    <row r="1585" spans="1:72">
      <c r="A1585" s="8" t="s">
        <v>30308</v>
      </c>
      <c r="B1585" s="11" t="s">
        <v>30313</v>
      </c>
      <c r="C1585" s="9" t="s">
        <v>30309</v>
      </c>
      <c r="D1585" s="10" t="s">
        <v>138</v>
      </c>
      <c r="E1585" s="28" t="s">
        <v>30321</v>
      </c>
      <c r="F1585" s="28" t="s">
        <v>138</v>
      </c>
      <c r="G1585" s="28" t="s">
        <v>1054</v>
      </c>
      <c r="H1585" s="13">
        <v>10</v>
      </c>
      <c r="I1585" s="12" t="s">
        <v>30324</v>
      </c>
      <c r="J1585" s="12" t="s">
        <v>27849</v>
      </c>
      <c r="K1585" s="12" t="s">
        <v>45120</v>
      </c>
      <c r="L1585" s="12" t="s">
        <v>39470</v>
      </c>
      <c r="M1585" s="12" t="s">
        <v>45121</v>
      </c>
      <c r="N1585" s="12" t="s">
        <v>45122</v>
      </c>
      <c r="O1585" s="12" t="s">
        <v>45123</v>
      </c>
      <c r="P1585" s="12" t="s">
        <v>45124</v>
      </c>
      <c r="Q1585" s="12" t="s">
        <v>39996</v>
      </c>
      <c r="R1585" s="12" t="s">
        <v>45125</v>
      </c>
      <c r="S1585" s="12" t="s">
        <v>37868</v>
      </c>
      <c r="T1585" s="12"/>
      <c r="U1585" s="12"/>
      <c r="V1585" s="12"/>
      <c r="W1585" s="12"/>
      <c r="X1585" s="12"/>
      <c r="Y1585" s="12"/>
      <c r="Z1585" s="12"/>
      <c r="AA1585" s="12"/>
      <c r="AB1585" s="12"/>
      <c r="AC1585" s="12"/>
      <c r="AD1585" s="12"/>
      <c r="AE1585" s="12"/>
      <c r="AF1585" s="12"/>
      <c r="AG1585" s="12"/>
      <c r="AH1585" s="12"/>
      <c r="AI1585" s="12"/>
      <c r="AJ1585" s="12"/>
      <c r="AK1585" s="12"/>
      <c r="AL1585" s="12"/>
      <c r="AM1585" s="12"/>
      <c r="AN1585" s="12"/>
      <c r="AO1585" s="12"/>
      <c r="AP1585" s="12"/>
      <c r="AQ1585" s="12"/>
      <c r="AR1585" s="12"/>
      <c r="AS1585" s="12"/>
      <c r="AT1585" s="12"/>
      <c r="AU1585" s="12"/>
      <c r="AV1585" s="12"/>
      <c r="AW1585" s="12"/>
      <c r="AX1585" s="12"/>
      <c r="AY1585" s="12"/>
      <c r="AZ1585" s="12"/>
      <c r="BA1585" s="12"/>
      <c r="BB1585" s="12"/>
      <c r="BC1585" s="12"/>
      <c r="BD1585" s="12"/>
      <c r="BE1585" s="12"/>
      <c r="BF1585" s="12"/>
      <c r="BG1585" s="12"/>
      <c r="BH1585" s="12"/>
      <c r="BI1585" s="12"/>
      <c r="BJ1585" s="12"/>
      <c r="BK1585" s="12"/>
      <c r="BL1585" s="12"/>
      <c r="BM1585" s="12"/>
      <c r="BN1585" s="12"/>
      <c r="BO1585" s="12"/>
      <c r="BP1585" s="12"/>
      <c r="BQ1585" s="12"/>
      <c r="BR1585" s="12"/>
      <c r="BS1585" s="12"/>
      <c r="BT1585" s="12"/>
    </row>
    <row r="1586" spans="1:72">
      <c r="A1586" s="2" t="s">
        <v>30329</v>
      </c>
      <c r="B1586" s="5" t="s">
        <v>30334</v>
      </c>
      <c r="C1586" s="3" t="s">
        <v>30330</v>
      </c>
      <c r="D1586" s="4" t="s">
        <v>138</v>
      </c>
      <c r="E1586" s="15" t="s">
        <v>8837</v>
      </c>
      <c r="F1586" s="15" t="s">
        <v>864</v>
      </c>
      <c r="G1586" s="15" t="s">
        <v>162</v>
      </c>
      <c r="H1586" s="7">
        <v>12</v>
      </c>
      <c r="I1586" s="6" t="s">
        <v>30343</v>
      </c>
      <c r="J1586" s="6" t="s">
        <v>45126</v>
      </c>
      <c r="K1586" s="6" t="s">
        <v>45127</v>
      </c>
      <c r="L1586" s="6" t="s">
        <v>37832</v>
      </c>
      <c r="M1586" s="6" t="s">
        <v>39020</v>
      </c>
      <c r="N1586" s="6" t="s">
        <v>45128</v>
      </c>
      <c r="O1586" s="6" t="s">
        <v>38915</v>
      </c>
      <c r="P1586" s="6" t="s">
        <v>38148</v>
      </c>
      <c r="Q1586" s="6" t="s">
        <v>39395</v>
      </c>
      <c r="R1586" s="6" t="s">
        <v>38770</v>
      </c>
      <c r="S1586" s="6" t="s">
        <v>41897</v>
      </c>
      <c r="T1586" s="6" t="s">
        <v>40683</v>
      </c>
      <c r="U1586" s="6" t="s">
        <v>38538</v>
      </c>
      <c r="V1586" s="6"/>
      <c r="W1586" s="6"/>
      <c r="X1586" s="6"/>
      <c r="Y1586" s="6"/>
      <c r="Z1586" s="6"/>
      <c r="AA1586" s="6"/>
      <c r="AB1586" s="6"/>
      <c r="AC1586" s="6"/>
      <c r="AD1586" s="6"/>
      <c r="AE1586" s="6"/>
      <c r="AF1586" s="6"/>
      <c r="AG1586" s="6"/>
      <c r="AH1586" s="6"/>
      <c r="AI1586" s="6"/>
      <c r="AJ1586" s="6"/>
      <c r="AK1586" s="6"/>
      <c r="AL1586" s="6"/>
      <c r="AM1586" s="6"/>
      <c r="AN1586" s="6"/>
      <c r="AO1586" s="6"/>
      <c r="AP1586" s="6"/>
      <c r="AQ1586" s="6"/>
      <c r="AR1586" s="6"/>
      <c r="AS1586" s="6"/>
      <c r="AT1586" s="6"/>
      <c r="AU1586" s="6"/>
      <c r="AV1586" s="6"/>
      <c r="AW1586" s="6"/>
      <c r="AX1586" s="6"/>
      <c r="AY1586" s="6"/>
      <c r="AZ1586" s="6"/>
      <c r="BA1586" s="6"/>
      <c r="BB1586" s="6"/>
      <c r="BC1586" s="6"/>
      <c r="BD1586" s="6"/>
      <c r="BE1586" s="6"/>
      <c r="BF1586" s="6"/>
      <c r="BG1586" s="6"/>
      <c r="BH1586" s="6"/>
      <c r="BI1586" s="6"/>
      <c r="BJ1586" s="6"/>
      <c r="BK1586" s="6"/>
      <c r="BL1586" s="6"/>
      <c r="BM1586" s="6"/>
      <c r="BN1586" s="6"/>
      <c r="BO1586" s="6"/>
      <c r="BP1586" s="6"/>
      <c r="BQ1586" s="6"/>
      <c r="BR1586" s="6"/>
      <c r="BS1586" s="6"/>
      <c r="BT1586" s="6"/>
    </row>
    <row r="1587" spans="1:72">
      <c r="A1587" s="8" t="s">
        <v>30347</v>
      </c>
      <c r="B1587" s="11" t="s">
        <v>30352</v>
      </c>
      <c r="C1587" s="9" t="s">
        <v>30348</v>
      </c>
      <c r="D1587" s="10" t="s">
        <v>138</v>
      </c>
      <c r="E1587" s="28" t="s">
        <v>7019</v>
      </c>
      <c r="F1587" s="28" t="s">
        <v>138</v>
      </c>
      <c r="G1587" s="28" t="s">
        <v>7021</v>
      </c>
      <c r="H1587" s="13">
        <v>5</v>
      </c>
      <c r="I1587" s="12" t="s">
        <v>30366</v>
      </c>
      <c r="J1587" s="12" t="s">
        <v>45129</v>
      </c>
      <c r="K1587" s="12" t="s">
        <v>45130</v>
      </c>
      <c r="L1587" s="12" t="s">
        <v>38299</v>
      </c>
      <c r="M1587" s="12" t="s">
        <v>45131</v>
      </c>
      <c r="N1587" s="12" t="s">
        <v>45132</v>
      </c>
      <c r="O1587" s="12"/>
      <c r="P1587" s="12"/>
      <c r="Q1587" s="12"/>
      <c r="R1587" s="12"/>
      <c r="S1587" s="12"/>
      <c r="T1587" s="12"/>
      <c r="U1587" s="12"/>
      <c r="V1587" s="12"/>
      <c r="W1587" s="12"/>
      <c r="X1587" s="12"/>
      <c r="Y1587" s="12"/>
      <c r="Z1587" s="12"/>
      <c r="AA1587" s="12"/>
      <c r="AB1587" s="12"/>
      <c r="AC1587" s="12"/>
      <c r="AD1587" s="12"/>
      <c r="AE1587" s="12"/>
      <c r="AF1587" s="12"/>
      <c r="AG1587" s="12"/>
      <c r="AH1587" s="12"/>
      <c r="AI1587" s="12"/>
      <c r="AJ1587" s="12"/>
      <c r="AK1587" s="12"/>
      <c r="AL1587" s="12"/>
      <c r="AM1587" s="12"/>
      <c r="AN1587" s="12"/>
      <c r="AO1587" s="12"/>
      <c r="AP1587" s="12"/>
      <c r="AQ1587" s="12"/>
      <c r="AR1587" s="12"/>
      <c r="AS1587" s="12"/>
      <c r="AT1587" s="12"/>
      <c r="AU1587" s="12"/>
      <c r="AV1587" s="12"/>
      <c r="AW1587" s="12"/>
      <c r="AX1587" s="12"/>
      <c r="AY1587" s="12"/>
      <c r="AZ1587" s="12"/>
      <c r="BA1587" s="12"/>
      <c r="BB1587" s="12"/>
      <c r="BC1587" s="12"/>
      <c r="BD1587" s="12"/>
      <c r="BE1587" s="12"/>
      <c r="BF1587" s="12"/>
      <c r="BG1587" s="12"/>
      <c r="BH1587" s="12"/>
      <c r="BI1587" s="12"/>
      <c r="BJ1587" s="12"/>
      <c r="BK1587" s="12"/>
      <c r="BL1587" s="12"/>
      <c r="BM1587" s="12"/>
      <c r="BN1587" s="12"/>
      <c r="BO1587" s="12"/>
      <c r="BP1587" s="12"/>
      <c r="BQ1587" s="12"/>
      <c r="BR1587" s="12"/>
      <c r="BS1587" s="12"/>
      <c r="BT1587" s="12"/>
    </row>
    <row r="1588" spans="1:72">
      <c r="A1588" s="2" t="s">
        <v>30372</v>
      </c>
      <c r="B1588" s="5" t="s">
        <v>30377</v>
      </c>
      <c r="C1588" s="3" t="s">
        <v>138</v>
      </c>
      <c r="D1588" s="4" t="s">
        <v>138</v>
      </c>
      <c r="E1588" s="15" t="s">
        <v>7019</v>
      </c>
      <c r="F1588" s="15" t="s">
        <v>138</v>
      </c>
      <c r="G1588" s="15" t="s">
        <v>7021</v>
      </c>
      <c r="H1588" s="7">
        <v>3</v>
      </c>
      <c r="I1588" s="6" t="s">
        <v>30387</v>
      </c>
      <c r="J1588" s="6" t="s">
        <v>45133</v>
      </c>
      <c r="K1588" s="6" t="s">
        <v>37839</v>
      </c>
      <c r="L1588" s="6" t="s">
        <v>45134</v>
      </c>
      <c r="M1588" s="6"/>
      <c r="N1588" s="6"/>
      <c r="O1588" s="6"/>
      <c r="P1588" s="6"/>
      <c r="Q1588" s="6"/>
      <c r="R1588" s="6"/>
      <c r="S1588" s="6"/>
      <c r="T1588" s="6"/>
      <c r="U1588" s="6"/>
      <c r="V1588" s="6"/>
      <c r="W1588" s="6"/>
      <c r="X1588" s="6"/>
      <c r="Y1588" s="6"/>
      <c r="Z1588" s="6"/>
      <c r="AA1588" s="6"/>
      <c r="AB1588" s="6"/>
      <c r="AC1588" s="6"/>
      <c r="AD1588" s="6"/>
      <c r="AE1588" s="6"/>
      <c r="AF1588" s="6"/>
      <c r="AG1588" s="6"/>
      <c r="AH1588" s="6"/>
      <c r="AI1588" s="6"/>
      <c r="AJ1588" s="6"/>
      <c r="AK1588" s="6"/>
      <c r="AL1588" s="6"/>
      <c r="AM1588" s="6"/>
      <c r="AN1588" s="6"/>
      <c r="AO1588" s="6"/>
      <c r="AP1588" s="6"/>
      <c r="AQ1588" s="6"/>
      <c r="AR1588" s="6"/>
      <c r="AS1588" s="6"/>
      <c r="AT1588" s="6"/>
      <c r="AU1588" s="6"/>
      <c r="AV1588" s="6"/>
      <c r="AW1588" s="6"/>
      <c r="AX1588" s="6"/>
      <c r="AY1588" s="6"/>
      <c r="AZ1588" s="6"/>
      <c r="BA1588" s="6"/>
      <c r="BB1588" s="6"/>
      <c r="BC1588" s="6"/>
      <c r="BD1588" s="6"/>
      <c r="BE1588" s="6"/>
      <c r="BF1588" s="6"/>
      <c r="BG1588" s="6"/>
      <c r="BH1588" s="6"/>
      <c r="BI1588" s="6"/>
      <c r="BJ1588" s="6"/>
      <c r="BK1588" s="6"/>
      <c r="BL1588" s="6"/>
      <c r="BM1588" s="6"/>
      <c r="BN1588" s="6"/>
      <c r="BO1588" s="6"/>
      <c r="BP1588" s="6"/>
      <c r="BQ1588" s="6"/>
      <c r="BR1588" s="6"/>
      <c r="BS1588" s="6"/>
      <c r="BT1588" s="6"/>
    </row>
    <row r="1589" spans="1:72">
      <c r="A1589" s="8" t="s">
        <v>30390</v>
      </c>
      <c r="B1589" s="11" t="s">
        <v>30395</v>
      </c>
      <c r="C1589" s="9" t="s">
        <v>30391</v>
      </c>
      <c r="D1589" s="10" t="s">
        <v>138</v>
      </c>
      <c r="E1589" s="28" t="s">
        <v>14302</v>
      </c>
      <c r="F1589" s="28" t="s">
        <v>1146</v>
      </c>
      <c r="G1589" s="28" t="s">
        <v>162</v>
      </c>
      <c r="H1589" s="13">
        <v>11</v>
      </c>
      <c r="I1589" s="12" t="s">
        <v>30406</v>
      </c>
      <c r="J1589" s="12" t="s">
        <v>40608</v>
      </c>
      <c r="K1589" s="12" t="s">
        <v>41364</v>
      </c>
      <c r="L1589" s="12" t="s">
        <v>38339</v>
      </c>
      <c r="M1589" s="12" t="s">
        <v>44855</v>
      </c>
      <c r="N1589" s="12" t="s">
        <v>38590</v>
      </c>
      <c r="O1589" s="12" t="s">
        <v>45135</v>
      </c>
      <c r="P1589" s="12" t="s">
        <v>40886</v>
      </c>
      <c r="Q1589" s="12" t="s">
        <v>37931</v>
      </c>
      <c r="R1589" s="12" t="s">
        <v>40869</v>
      </c>
      <c r="S1589" s="12" t="s">
        <v>38370</v>
      </c>
      <c r="T1589" s="12" t="s">
        <v>43540</v>
      </c>
      <c r="U1589" s="12"/>
      <c r="V1589" s="12"/>
      <c r="W1589" s="12"/>
      <c r="X1589" s="12"/>
      <c r="Y1589" s="12"/>
      <c r="Z1589" s="12"/>
      <c r="AA1589" s="12"/>
      <c r="AB1589" s="12"/>
      <c r="AC1589" s="12"/>
      <c r="AD1589" s="12"/>
      <c r="AE1589" s="12"/>
      <c r="AF1589" s="12"/>
      <c r="AG1589" s="12"/>
      <c r="AH1589" s="12"/>
      <c r="AI1589" s="12"/>
      <c r="AJ1589" s="12"/>
      <c r="AK1589" s="12"/>
      <c r="AL1589" s="12"/>
      <c r="AM1589" s="12"/>
      <c r="AN1589" s="12"/>
      <c r="AO1589" s="12"/>
      <c r="AP1589" s="12"/>
      <c r="AQ1589" s="12"/>
      <c r="AR1589" s="12"/>
      <c r="AS1589" s="12"/>
      <c r="AT1589" s="12"/>
      <c r="AU1589" s="12"/>
      <c r="AV1589" s="12"/>
      <c r="AW1589" s="12"/>
      <c r="AX1589" s="12"/>
      <c r="AY1589" s="12"/>
      <c r="AZ1589" s="12"/>
      <c r="BA1589" s="12"/>
      <c r="BB1589" s="12"/>
      <c r="BC1589" s="12"/>
      <c r="BD1589" s="12"/>
      <c r="BE1589" s="12"/>
      <c r="BF1589" s="12"/>
      <c r="BG1589" s="12"/>
      <c r="BH1589" s="12"/>
      <c r="BI1589" s="12"/>
      <c r="BJ1589" s="12"/>
      <c r="BK1589" s="12"/>
      <c r="BL1589" s="12"/>
      <c r="BM1589" s="12"/>
      <c r="BN1589" s="12"/>
      <c r="BO1589" s="12"/>
      <c r="BP1589" s="12"/>
      <c r="BQ1589" s="12"/>
      <c r="BR1589" s="12"/>
      <c r="BS1589" s="12"/>
      <c r="BT1589" s="12"/>
    </row>
    <row r="1590" spans="1:72">
      <c r="A1590" s="2" t="s">
        <v>30412</v>
      </c>
      <c r="B1590" s="5" t="s">
        <v>30417</v>
      </c>
      <c r="C1590" s="3" t="s">
        <v>138</v>
      </c>
      <c r="D1590" s="4" t="s">
        <v>30413</v>
      </c>
      <c r="E1590" s="15" t="s">
        <v>668</v>
      </c>
      <c r="F1590" s="15" t="s">
        <v>200</v>
      </c>
      <c r="G1590" s="15" t="s">
        <v>162</v>
      </c>
      <c r="H1590" s="7">
        <v>7</v>
      </c>
      <c r="I1590" s="6" t="s">
        <v>30424</v>
      </c>
      <c r="J1590" s="6" t="s">
        <v>32972</v>
      </c>
      <c r="K1590" s="6" t="s">
        <v>38521</v>
      </c>
      <c r="L1590" s="6" t="s">
        <v>38010</v>
      </c>
      <c r="M1590" s="6" t="s">
        <v>41114</v>
      </c>
      <c r="N1590" s="6" t="s">
        <v>38954</v>
      </c>
      <c r="O1590" s="6" t="s">
        <v>38791</v>
      </c>
      <c r="P1590" s="6" t="s">
        <v>41477</v>
      </c>
      <c r="Q1590" s="6"/>
      <c r="R1590" s="6"/>
      <c r="S1590" s="6"/>
      <c r="T1590" s="6"/>
      <c r="U1590" s="6"/>
      <c r="V1590" s="6"/>
      <c r="W1590" s="6"/>
      <c r="X1590" s="6"/>
      <c r="Y1590" s="6"/>
      <c r="Z1590" s="6"/>
      <c r="AA1590" s="6"/>
      <c r="AB1590" s="6"/>
      <c r="AC1590" s="6"/>
      <c r="AD1590" s="6"/>
      <c r="AE1590" s="6"/>
      <c r="AF1590" s="6"/>
      <c r="AG1590" s="6"/>
      <c r="AH1590" s="6"/>
      <c r="AI1590" s="6"/>
      <c r="AJ1590" s="6"/>
      <c r="AK1590" s="6"/>
      <c r="AL1590" s="6"/>
      <c r="AM1590" s="6"/>
      <c r="AN1590" s="6"/>
      <c r="AO1590" s="6"/>
      <c r="AP1590" s="6"/>
      <c r="AQ1590" s="6"/>
      <c r="AR1590" s="6"/>
      <c r="AS1590" s="6"/>
      <c r="AT1590" s="6"/>
      <c r="AU1590" s="6"/>
      <c r="AV1590" s="6"/>
      <c r="AW1590" s="6"/>
      <c r="AX1590" s="6"/>
      <c r="AY1590" s="6"/>
      <c r="AZ1590" s="6"/>
      <c r="BA1590" s="6"/>
      <c r="BB1590" s="6"/>
      <c r="BC1590" s="6"/>
      <c r="BD1590" s="6"/>
      <c r="BE1590" s="6"/>
      <c r="BF1590" s="6"/>
      <c r="BG1590" s="6"/>
      <c r="BH1590" s="6"/>
      <c r="BI1590" s="6"/>
      <c r="BJ1590" s="6"/>
      <c r="BK1590" s="6"/>
      <c r="BL1590" s="6"/>
      <c r="BM1590" s="6"/>
      <c r="BN1590" s="6"/>
      <c r="BO1590" s="6"/>
      <c r="BP1590" s="6"/>
      <c r="BQ1590" s="6"/>
      <c r="BR1590" s="6"/>
      <c r="BS1590" s="6"/>
      <c r="BT1590" s="6"/>
    </row>
    <row r="1591" spans="1:72">
      <c r="A1591" s="8" t="s">
        <v>30427</v>
      </c>
      <c r="B1591" s="11" t="s">
        <v>30431</v>
      </c>
      <c r="C1591" s="9" t="s">
        <v>138</v>
      </c>
      <c r="D1591" s="10" t="s">
        <v>138</v>
      </c>
      <c r="E1591" s="28" t="s">
        <v>6611</v>
      </c>
      <c r="F1591" s="28" t="s">
        <v>138</v>
      </c>
      <c r="G1591" s="28" t="s">
        <v>1614</v>
      </c>
      <c r="H1591" s="13">
        <v>2</v>
      </c>
      <c r="I1591" s="12" t="s">
        <v>30440</v>
      </c>
      <c r="J1591" s="12" t="s">
        <v>38328</v>
      </c>
      <c r="K1591" s="12" t="s">
        <v>37781</v>
      </c>
      <c r="L1591" s="12"/>
      <c r="M1591" s="12"/>
      <c r="N1591" s="12"/>
      <c r="O1591" s="12"/>
      <c r="P1591" s="12"/>
      <c r="Q1591" s="12"/>
      <c r="R1591" s="12"/>
      <c r="S1591" s="12"/>
      <c r="T1591" s="12"/>
      <c r="U1591" s="12"/>
      <c r="V1591" s="12"/>
      <c r="W1591" s="12"/>
      <c r="X1591" s="12"/>
      <c r="Y1591" s="12"/>
      <c r="Z1591" s="12"/>
      <c r="AA1591" s="12"/>
      <c r="AB1591" s="12"/>
      <c r="AC1591" s="12"/>
      <c r="AD1591" s="12"/>
      <c r="AE1591" s="12"/>
      <c r="AF1591" s="12"/>
      <c r="AG1591" s="12"/>
      <c r="AH1591" s="12"/>
      <c r="AI1591" s="12"/>
      <c r="AJ1591" s="12"/>
      <c r="AK1591" s="12"/>
      <c r="AL1591" s="12"/>
      <c r="AM1591" s="12"/>
      <c r="AN1591" s="12"/>
      <c r="AO1591" s="12"/>
      <c r="AP1591" s="12"/>
      <c r="AQ1591" s="12"/>
      <c r="AR1591" s="12"/>
      <c r="AS1591" s="12"/>
      <c r="AT1591" s="12"/>
      <c r="AU1591" s="12"/>
      <c r="AV1591" s="12"/>
      <c r="AW1591" s="12"/>
      <c r="AX1591" s="12"/>
      <c r="AY1591" s="12"/>
      <c r="AZ1591" s="12"/>
      <c r="BA1591" s="12"/>
      <c r="BB1591" s="12"/>
      <c r="BC1591" s="12"/>
      <c r="BD1591" s="12"/>
      <c r="BE1591" s="12"/>
      <c r="BF1591" s="12"/>
      <c r="BG1591" s="12"/>
      <c r="BH1591" s="12"/>
      <c r="BI1591" s="12"/>
      <c r="BJ1591" s="12"/>
      <c r="BK1591" s="12"/>
      <c r="BL1591" s="12"/>
      <c r="BM1591" s="12"/>
      <c r="BN1591" s="12"/>
      <c r="BO1591" s="12"/>
      <c r="BP1591" s="12"/>
      <c r="BQ1591" s="12"/>
      <c r="BR1591" s="12"/>
      <c r="BS1591" s="12"/>
      <c r="BT1591" s="12"/>
    </row>
    <row r="1592" spans="1:72">
      <c r="A1592" s="2" t="s">
        <v>30443</v>
      </c>
      <c r="B1592" s="5" t="s">
        <v>30447</v>
      </c>
      <c r="C1592" s="3" t="s">
        <v>138</v>
      </c>
      <c r="D1592" s="4" t="s">
        <v>138</v>
      </c>
      <c r="E1592" s="15" t="s">
        <v>3972</v>
      </c>
      <c r="F1592" s="15" t="s">
        <v>138</v>
      </c>
      <c r="G1592" s="15" t="s">
        <v>740</v>
      </c>
      <c r="H1592" s="7">
        <v>6</v>
      </c>
      <c r="I1592" s="6" t="s">
        <v>30455</v>
      </c>
      <c r="J1592" s="6" t="s">
        <v>38449</v>
      </c>
      <c r="K1592" s="6" t="s">
        <v>45136</v>
      </c>
      <c r="L1592" s="6" t="s">
        <v>37781</v>
      </c>
      <c r="M1592" s="6" t="s">
        <v>42502</v>
      </c>
      <c r="N1592" s="6" t="s">
        <v>37808</v>
      </c>
      <c r="O1592" s="6" t="s">
        <v>40134</v>
      </c>
      <c r="P1592" s="6"/>
      <c r="Q1592" s="6"/>
      <c r="R1592" s="6"/>
      <c r="S1592" s="6"/>
      <c r="T1592" s="6"/>
      <c r="U1592" s="6"/>
      <c r="V1592" s="6"/>
      <c r="W1592" s="6"/>
      <c r="X1592" s="6"/>
      <c r="Y1592" s="6"/>
      <c r="Z1592" s="6"/>
      <c r="AA1592" s="6"/>
      <c r="AB1592" s="6"/>
      <c r="AC1592" s="6"/>
      <c r="AD1592" s="6"/>
      <c r="AE1592" s="6"/>
      <c r="AF1592" s="6"/>
      <c r="AG1592" s="6"/>
      <c r="AH1592" s="6"/>
      <c r="AI1592" s="6"/>
      <c r="AJ1592" s="6"/>
      <c r="AK1592" s="6"/>
      <c r="AL1592" s="6"/>
      <c r="AM1592" s="6"/>
      <c r="AN1592" s="6"/>
      <c r="AO1592" s="6"/>
      <c r="AP1592" s="6"/>
      <c r="AQ1592" s="6"/>
      <c r="AR1592" s="6"/>
      <c r="AS1592" s="6"/>
      <c r="AT1592" s="6"/>
      <c r="AU1592" s="6"/>
      <c r="AV1592" s="6"/>
      <c r="AW1592" s="6"/>
      <c r="AX1592" s="6"/>
      <c r="AY1592" s="6"/>
      <c r="AZ1592" s="6"/>
      <c r="BA1592" s="6"/>
      <c r="BB1592" s="6"/>
      <c r="BC1592" s="6"/>
      <c r="BD1592" s="6"/>
      <c r="BE1592" s="6"/>
      <c r="BF1592" s="6"/>
      <c r="BG1592" s="6"/>
      <c r="BH1592" s="6"/>
      <c r="BI1592" s="6"/>
      <c r="BJ1592" s="6"/>
      <c r="BK1592" s="6"/>
      <c r="BL1592" s="6"/>
      <c r="BM1592" s="6"/>
      <c r="BN1592" s="6"/>
      <c r="BO1592" s="6"/>
      <c r="BP1592" s="6"/>
      <c r="BQ1592" s="6"/>
      <c r="BR1592" s="6"/>
      <c r="BS1592" s="6"/>
      <c r="BT1592" s="6"/>
    </row>
    <row r="1593" spans="1:72">
      <c r="A1593" s="8" t="s">
        <v>30458</v>
      </c>
      <c r="B1593" s="11" t="s">
        <v>30465</v>
      </c>
      <c r="C1593" s="9" t="s">
        <v>30459</v>
      </c>
      <c r="D1593" s="10" t="s">
        <v>138</v>
      </c>
      <c r="E1593" s="28" t="s">
        <v>30472</v>
      </c>
      <c r="F1593" s="28" t="s">
        <v>371</v>
      </c>
      <c r="G1593" s="28" t="s">
        <v>162</v>
      </c>
      <c r="H1593" s="13">
        <v>19</v>
      </c>
      <c r="I1593" s="12" t="s">
        <v>30475</v>
      </c>
      <c r="J1593" s="12" t="s">
        <v>45137</v>
      </c>
      <c r="K1593" s="12" t="s">
        <v>45138</v>
      </c>
      <c r="L1593" s="12" t="s">
        <v>41322</v>
      </c>
      <c r="M1593" s="12" t="s">
        <v>40029</v>
      </c>
      <c r="N1593" s="12" t="s">
        <v>45139</v>
      </c>
      <c r="O1593" s="12" t="s">
        <v>41099</v>
      </c>
      <c r="P1593" s="12" t="s">
        <v>38234</v>
      </c>
      <c r="Q1593" s="12" t="s">
        <v>37897</v>
      </c>
      <c r="R1593" s="12" t="s">
        <v>39146</v>
      </c>
      <c r="S1593" s="12" t="s">
        <v>44032</v>
      </c>
      <c r="T1593" s="12" t="s">
        <v>37851</v>
      </c>
      <c r="U1593" s="12" t="s">
        <v>38803</v>
      </c>
      <c r="V1593" s="12" t="s">
        <v>39946</v>
      </c>
      <c r="W1593" s="12" t="s">
        <v>45140</v>
      </c>
      <c r="X1593" s="12" t="s">
        <v>37789</v>
      </c>
      <c r="Y1593" s="12" t="s">
        <v>45141</v>
      </c>
      <c r="Z1593" s="12" t="s">
        <v>39143</v>
      </c>
      <c r="AA1593" s="12" t="s">
        <v>45142</v>
      </c>
      <c r="AB1593" s="12" t="s">
        <v>45143</v>
      </c>
      <c r="AC1593" s="12"/>
      <c r="AD1593" s="12"/>
      <c r="AE1593" s="12"/>
      <c r="AF1593" s="12"/>
      <c r="AG1593" s="12"/>
      <c r="AH1593" s="12"/>
      <c r="AI1593" s="12"/>
      <c r="AJ1593" s="12"/>
      <c r="AK1593" s="12"/>
      <c r="AL1593" s="12"/>
      <c r="AM1593" s="12"/>
      <c r="AN1593" s="12"/>
      <c r="AO1593" s="12"/>
      <c r="AP1593" s="12"/>
      <c r="AQ1593" s="12"/>
      <c r="AR1593" s="12"/>
      <c r="AS1593" s="12"/>
      <c r="AT1593" s="12"/>
      <c r="AU1593" s="12"/>
      <c r="AV1593" s="12"/>
      <c r="AW1593" s="12"/>
      <c r="AX1593" s="12"/>
      <c r="AY1593" s="12"/>
      <c r="AZ1593" s="12"/>
      <c r="BA1593" s="12"/>
      <c r="BB1593" s="12"/>
      <c r="BC1593" s="12"/>
      <c r="BD1593" s="12"/>
      <c r="BE1593" s="12"/>
      <c r="BF1593" s="12"/>
      <c r="BG1593" s="12"/>
      <c r="BH1593" s="12"/>
      <c r="BI1593" s="12"/>
      <c r="BJ1593" s="12"/>
      <c r="BK1593" s="12"/>
      <c r="BL1593" s="12"/>
      <c r="BM1593" s="12"/>
      <c r="BN1593" s="12"/>
      <c r="BO1593" s="12"/>
      <c r="BP1593" s="12"/>
      <c r="BQ1593" s="12"/>
      <c r="BR1593" s="12"/>
      <c r="BS1593" s="12"/>
      <c r="BT1593" s="12"/>
    </row>
    <row r="1594" spans="1:72">
      <c r="A1594" s="2" t="s">
        <v>30480</v>
      </c>
      <c r="B1594" s="5" t="s">
        <v>30483</v>
      </c>
      <c r="C1594" s="3" t="s">
        <v>138</v>
      </c>
      <c r="D1594" s="4" t="s">
        <v>138</v>
      </c>
      <c r="E1594" s="15" t="s">
        <v>30490</v>
      </c>
      <c r="F1594" s="15" t="s">
        <v>200</v>
      </c>
      <c r="G1594" s="15" t="s">
        <v>162</v>
      </c>
      <c r="H1594" s="7">
        <v>1</v>
      </c>
      <c r="I1594" s="6" t="s">
        <v>2075</v>
      </c>
      <c r="J1594" s="6" t="s">
        <v>2075</v>
      </c>
      <c r="K1594" s="6"/>
      <c r="L1594" s="6"/>
      <c r="M1594" s="6"/>
      <c r="N1594" s="6"/>
      <c r="O1594" s="6"/>
      <c r="P1594" s="6"/>
      <c r="Q1594" s="6"/>
      <c r="R1594" s="6"/>
      <c r="S1594" s="6"/>
      <c r="T1594" s="6"/>
      <c r="U1594" s="6"/>
      <c r="V1594" s="6"/>
      <c r="W1594" s="6"/>
      <c r="X1594" s="6"/>
      <c r="Y1594" s="6"/>
      <c r="Z1594" s="6"/>
      <c r="AA1594" s="6"/>
      <c r="AB1594" s="6"/>
      <c r="AC1594" s="6"/>
      <c r="AD1594" s="6"/>
      <c r="AE1594" s="6"/>
      <c r="AF1594" s="6"/>
      <c r="AG1594" s="6"/>
      <c r="AH1594" s="6"/>
      <c r="AI1594" s="6"/>
      <c r="AJ1594" s="6"/>
      <c r="AK1594" s="6"/>
      <c r="AL1594" s="6"/>
      <c r="AM1594" s="6"/>
      <c r="AN1594" s="6"/>
      <c r="AO1594" s="6"/>
      <c r="AP1594" s="6"/>
      <c r="AQ1594" s="6"/>
      <c r="AR1594" s="6"/>
      <c r="AS1594" s="6"/>
      <c r="AT1594" s="6"/>
      <c r="AU1594" s="6"/>
      <c r="AV1594" s="6"/>
      <c r="AW1594" s="6"/>
      <c r="AX1594" s="6"/>
      <c r="AY1594" s="6"/>
      <c r="AZ1594" s="6"/>
      <c r="BA1594" s="6"/>
      <c r="BB1594" s="6"/>
      <c r="BC1594" s="6"/>
      <c r="BD1594" s="6"/>
      <c r="BE1594" s="6"/>
      <c r="BF1594" s="6"/>
      <c r="BG1594" s="6"/>
      <c r="BH1594" s="6"/>
      <c r="BI1594" s="6"/>
      <c r="BJ1594" s="6"/>
      <c r="BK1594" s="6"/>
      <c r="BL1594" s="6"/>
      <c r="BM1594" s="6"/>
      <c r="BN1594" s="6"/>
      <c r="BO1594" s="6"/>
      <c r="BP1594" s="6"/>
      <c r="BQ1594" s="6"/>
      <c r="BR1594" s="6"/>
      <c r="BS1594" s="6"/>
      <c r="BT1594" s="6"/>
    </row>
    <row r="1595" spans="1:72">
      <c r="A1595" s="8" t="s">
        <v>30495</v>
      </c>
      <c r="B1595" s="11" t="s">
        <v>30500</v>
      </c>
      <c r="C1595" s="9" t="s">
        <v>138</v>
      </c>
      <c r="D1595" s="10" t="s">
        <v>30496</v>
      </c>
      <c r="E1595" s="28" t="s">
        <v>668</v>
      </c>
      <c r="F1595" s="28" t="s">
        <v>200</v>
      </c>
      <c r="G1595" s="28" t="s">
        <v>162</v>
      </c>
      <c r="H1595" s="13">
        <v>4</v>
      </c>
      <c r="I1595" s="12" t="s">
        <v>30508</v>
      </c>
      <c r="J1595" s="12" t="s">
        <v>45144</v>
      </c>
      <c r="K1595" s="12" t="s">
        <v>38926</v>
      </c>
      <c r="L1595" s="12" t="s">
        <v>37890</v>
      </c>
      <c r="M1595" s="12" t="s">
        <v>38371</v>
      </c>
      <c r="N1595" s="12"/>
      <c r="O1595" s="12"/>
      <c r="P1595" s="12"/>
      <c r="Q1595" s="12"/>
      <c r="R1595" s="12"/>
      <c r="S1595" s="12"/>
      <c r="T1595" s="12"/>
      <c r="U1595" s="12"/>
      <c r="V1595" s="12"/>
      <c r="W1595" s="12"/>
      <c r="X1595" s="12"/>
      <c r="Y1595" s="12"/>
      <c r="Z1595" s="12"/>
      <c r="AA1595" s="12"/>
      <c r="AB1595" s="12"/>
      <c r="AC1595" s="12"/>
      <c r="AD1595" s="12"/>
      <c r="AE1595" s="12"/>
      <c r="AF1595" s="12"/>
      <c r="AG1595" s="12"/>
      <c r="AH1595" s="12"/>
      <c r="AI1595" s="12"/>
      <c r="AJ1595" s="12"/>
      <c r="AK1595" s="12"/>
      <c r="AL1595" s="12"/>
      <c r="AM1595" s="12"/>
      <c r="AN1595" s="12"/>
      <c r="AO1595" s="12"/>
      <c r="AP1595" s="12"/>
      <c r="AQ1595" s="12"/>
      <c r="AR1595" s="12"/>
      <c r="AS1595" s="12"/>
      <c r="AT1595" s="12"/>
      <c r="AU1595" s="12"/>
      <c r="AV1595" s="12"/>
      <c r="AW1595" s="12"/>
      <c r="AX1595" s="12"/>
      <c r="AY1595" s="12"/>
      <c r="AZ1595" s="12"/>
      <c r="BA1595" s="12"/>
      <c r="BB1595" s="12"/>
      <c r="BC1595" s="12"/>
      <c r="BD1595" s="12"/>
      <c r="BE1595" s="12"/>
      <c r="BF1595" s="12"/>
      <c r="BG1595" s="12"/>
      <c r="BH1595" s="12"/>
      <c r="BI1595" s="12"/>
      <c r="BJ1595" s="12"/>
      <c r="BK1595" s="12"/>
      <c r="BL1595" s="12"/>
      <c r="BM1595" s="12"/>
      <c r="BN1595" s="12"/>
      <c r="BO1595" s="12"/>
      <c r="BP1595" s="12"/>
      <c r="BQ1595" s="12"/>
      <c r="BR1595" s="12"/>
      <c r="BS1595" s="12"/>
      <c r="BT1595" s="12"/>
    </row>
    <row r="1596" spans="1:72">
      <c r="A1596" s="2" t="s">
        <v>30511</v>
      </c>
      <c r="B1596" s="5" t="s">
        <v>30515</v>
      </c>
      <c r="C1596" s="3" t="s">
        <v>138</v>
      </c>
      <c r="D1596" s="4" t="s">
        <v>138</v>
      </c>
      <c r="E1596" s="15" t="s">
        <v>3670</v>
      </c>
      <c r="F1596" s="15" t="s">
        <v>200</v>
      </c>
      <c r="G1596" s="15" t="s">
        <v>162</v>
      </c>
      <c r="H1596" s="7">
        <v>10</v>
      </c>
      <c r="I1596" s="6" t="s">
        <v>30523</v>
      </c>
      <c r="J1596" s="6" t="s">
        <v>45145</v>
      </c>
      <c r="K1596" s="6" t="s">
        <v>40346</v>
      </c>
      <c r="L1596" s="6" t="s">
        <v>45146</v>
      </c>
      <c r="M1596" s="6" t="s">
        <v>45147</v>
      </c>
      <c r="N1596" s="6" t="s">
        <v>45148</v>
      </c>
      <c r="O1596" s="6" t="s">
        <v>37998</v>
      </c>
      <c r="P1596" s="6" t="s">
        <v>39990</v>
      </c>
      <c r="Q1596" s="6" t="s">
        <v>38821</v>
      </c>
      <c r="R1596" s="6" t="s">
        <v>42445</v>
      </c>
      <c r="S1596" s="6" t="s">
        <v>37975</v>
      </c>
      <c r="T1596" s="6"/>
      <c r="U1596" s="6"/>
      <c r="V1596" s="6"/>
      <c r="W1596" s="6"/>
      <c r="X1596" s="6"/>
      <c r="Y1596" s="6"/>
      <c r="Z1596" s="6"/>
      <c r="AA1596" s="6"/>
      <c r="AB1596" s="6"/>
      <c r="AC1596" s="6"/>
      <c r="AD1596" s="6"/>
      <c r="AE1596" s="6"/>
      <c r="AF1596" s="6"/>
      <c r="AG1596" s="6"/>
      <c r="AH1596" s="6"/>
      <c r="AI1596" s="6"/>
      <c r="AJ1596" s="6"/>
      <c r="AK1596" s="6"/>
      <c r="AL1596" s="6"/>
      <c r="AM1596" s="6"/>
      <c r="AN1596" s="6"/>
      <c r="AO1596" s="6"/>
      <c r="AP1596" s="6"/>
      <c r="AQ1596" s="6"/>
      <c r="AR1596" s="6"/>
      <c r="AS1596" s="6"/>
      <c r="AT1596" s="6"/>
      <c r="AU1596" s="6"/>
      <c r="AV1596" s="6"/>
      <c r="AW1596" s="6"/>
      <c r="AX1596" s="6"/>
      <c r="AY1596" s="6"/>
      <c r="AZ1596" s="6"/>
      <c r="BA1596" s="6"/>
      <c r="BB1596" s="6"/>
      <c r="BC1596" s="6"/>
      <c r="BD1596" s="6"/>
      <c r="BE1596" s="6"/>
      <c r="BF1596" s="6"/>
      <c r="BG1596" s="6"/>
      <c r="BH1596" s="6"/>
      <c r="BI1596" s="6"/>
      <c r="BJ1596" s="6"/>
      <c r="BK1596" s="6"/>
      <c r="BL1596" s="6"/>
      <c r="BM1596" s="6"/>
      <c r="BN1596" s="6"/>
      <c r="BO1596" s="6"/>
      <c r="BP1596" s="6"/>
      <c r="BQ1596" s="6"/>
      <c r="BR1596" s="6"/>
      <c r="BS1596" s="6"/>
      <c r="BT1596" s="6"/>
    </row>
    <row r="1597" spans="1:72">
      <c r="A1597" s="8" t="s">
        <v>30526</v>
      </c>
      <c r="B1597" s="11" t="s">
        <v>30531</v>
      </c>
      <c r="C1597" s="9" t="s">
        <v>30527</v>
      </c>
      <c r="D1597" s="10" t="s">
        <v>138</v>
      </c>
      <c r="E1597" s="28" t="s">
        <v>944</v>
      </c>
      <c r="F1597" s="28" t="s">
        <v>138</v>
      </c>
      <c r="G1597" s="28" t="s">
        <v>946</v>
      </c>
      <c r="H1597" s="13">
        <v>14</v>
      </c>
      <c r="I1597" s="12" t="s">
        <v>30539</v>
      </c>
      <c r="J1597" s="12" t="s">
        <v>45149</v>
      </c>
      <c r="K1597" s="12" t="s">
        <v>41568</v>
      </c>
      <c r="L1597" s="12" t="s">
        <v>42182</v>
      </c>
      <c r="M1597" s="12" t="s">
        <v>45150</v>
      </c>
      <c r="N1597" s="12" t="s">
        <v>37949</v>
      </c>
      <c r="O1597" s="12" t="s">
        <v>40203</v>
      </c>
      <c r="P1597" s="12" t="s">
        <v>45151</v>
      </c>
      <c r="Q1597" s="12" t="s">
        <v>39463</v>
      </c>
      <c r="R1597" s="12" t="s">
        <v>38829</v>
      </c>
      <c r="S1597" s="12" t="s">
        <v>41908</v>
      </c>
      <c r="T1597" s="12" t="s">
        <v>37781</v>
      </c>
      <c r="U1597" s="12" t="s">
        <v>39642</v>
      </c>
      <c r="V1597" s="12" t="s">
        <v>42526</v>
      </c>
      <c r="W1597" s="12" t="s">
        <v>38582</v>
      </c>
      <c r="X1597" s="12"/>
      <c r="Y1597" s="12"/>
      <c r="Z1597" s="12"/>
      <c r="AA1597" s="12"/>
      <c r="AB1597" s="12"/>
      <c r="AC1597" s="12"/>
      <c r="AD1597" s="12"/>
      <c r="AE1597" s="12"/>
      <c r="AF1597" s="12"/>
      <c r="AG1597" s="12"/>
      <c r="AH1597" s="12"/>
      <c r="AI1597" s="12"/>
      <c r="AJ1597" s="12"/>
      <c r="AK1597" s="12"/>
      <c r="AL1597" s="12"/>
      <c r="AM1597" s="12"/>
      <c r="AN1597" s="12"/>
      <c r="AO1597" s="12"/>
      <c r="AP1597" s="12"/>
      <c r="AQ1597" s="12"/>
      <c r="AR1597" s="12"/>
      <c r="AS1597" s="12"/>
      <c r="AT1597" s="12"/>
      <c r="AU1597" s="12"/>
      <c r="AV1597" s="12"/>
      <c r="AW1597" s="12"/>
      <c r="AX1597" s="12"/>
      <c r="AY1597" s="12"/>
      <c r="AZ1597" s="12"/>
      <c r="BA1597" s="12"/>
      <c r="BB1597" s="12"/>
      <c r="BC1597" s="12"/>
      <c r="BD1597" s="12"/>
      <c r="BE1597" s="12"/>
      <c r="BF1597" s="12"/>
      <c r="BG1597" s="12"/>
      <c r="BH1597" s="12"/>
      <c r="BI1597" s="12"/>
      <c r="BJ1597" s="12"/>
      <c r="BK1597" s="12"/>
      <c r="BL1597" s="12"/>
      <c r="BM1597" s="12"/>
      <c r="BN1597" s="12"/>
      <c r="BO1597" s="12"/>
      <c r="BP1597" s="12"/>
      <c r="BQ1597" s="12"/>
      <c r="BR1597" s="12"/>
      <c r="BS1597" s="12"/>
      <c r="BT1597" s="12"/>
    </row>
    <row r="1598" spans="1:72">
      <c r="A1598" s="2" t="s">
        <v>30544</v>
      </c>
      <c r="B1598" s="5" t="s">
        <v>30549</v>
      </c>
      <c r="C1598" s="3" t="s">
        <v>138</v>
      </c>
      <c r="D1598" s="4" t="s">
        <v>138</v>
      </c>
      <c r="E1598" s="15" t="s">
        <v>11750</v>
      </c>
      <c r="F1598" s="15" t="s">
        <v>200</v>
      </c>
      <c r="G1598" s="15" t="s">
        <v>162</v>
      </c>
      <c r="H1598" s="7">
        <v>7</v>
      </c>
      <c r="I1598" s="6" t="s">
        <v>30559</v>
      </c>
      <c r="J1598" s="6" t="s">
        <v>45152</v>
      </c>
      <c r="K1598" s="6" t="s">
        <v>45153</v>
      </c>
      <c r="L1598" s="6" t="s">
        <v>45154</v>
      </c>
      <c r="M1598" s="6" t="s">
        <v>43557</v>
      </c>
      <c r="N1598" s="6" t="s">
        <v>38770</v>
      </c>
      <c r="O1598" s="6" t="s">
        <v>37998</v>
      </c>
      <c r="P1598" s="6" t="s">
        <v>38200</v>
      </c>
      <c r="Q1598" s="6"/>
      <c r="R1598" s="6"/>
      <c r="S1598" s="6"/>
      <c r="T1598" s="6"/>
      <c r="U1598" s="6"/>
      <c r="V1598" s="6"/>
      <c r="W1598" s="6"/>
      <c r="X1598" s="6"/>
      <c r="Y1598" s="6"/>
      <c r="Z1598" s="6"/>
      <c r="AA1598" s="6"/>
      <c r="AB1598" s="6"/>
      <c r="AC1598" s="6"/>
      <c r="AD1598" s="6"/>
      <c r="AE1598" s="6"/>
      <c r="AF1598" s="6"/>
      <c r="AG1598" s="6"/>
      <c r="AH1598" s="6"/>
      <c r="AI1598" s="6"/>
      <c r="AJ1598" s="6"/>
      <c r="AK1598" s="6"/>
      <c r="AL1598" s="6"/>
      <c r="AM1598" s="6"/>
      <c r="AN1598" s="6"/>
      <c r="AO1598" s="6"/>
      <c r="AP1598" s="6"/>
      <c r="AQ1598" s="6"/>
      <c r="AR1598" s="6"/>
      <c r="AS1598" s="6"/>
      <c r="AT1598" s="6"/>
      <c r="AU1598" s="6"/>
      <c r="AV1598" s="6"/>
      <c r="AW1598" s="6"/>
      <c r="AX1598" s="6"/>
      <c r="AY1598" s="6"/>
      <c r="AZ1598" s="6"/>
      <c r="BA1598" s="6"/>
      <c r="BB1598" s="6"/>
      <c r="BC1598" s="6"/>
      <c r="BD1598" s="6"/>
      <c r="BE1598" s="6"/>
      <c r="BF1598" s="6"/>
      <c r="BG1598" s="6"/>
      <c r="BH1598" s="6"/>
      <c r="BI1598" s="6"/>
      <c r="BJ1598" s="6"/>
      <c r="BK1598" s="6"/>
      <c r="BL1598" s="6"/>
      <c r="BM1598" s="6"/>
      <c r="BN1598" s="6"/>
      <c r="BO1598" s="6"/>
      <c r="BP1598" s="6"/>
      <c r="BQ1598" s="6"/>
      <c r="BR1598" s="6"/>
      <c r="BS1598" s="6"/>
      <c r="BT1598" s="6"/>
    </row>
    <row r="1599" spans="1:72">
      <c r="A1599" s="8" t="s">
        <v>30564</v>
      </c>
      <c r="B1599" s="11" t="s">
        <v>30569</v>
      </c>
      <c r="C1599" s="9" t="s">
        <v>30565</v>
      </c>
      <c r="D1599" s="10" t="s">
        <v>138</v>
      </c>
      <c r="E1599" s="28" t="s">
        <v>5382</v>
      </c>
      <c r="F1599" s="28" t="s">
        <v>200</v>
      </c>
      <c r="G1599" s="28" t="s">
        <v>162</v>
      </c>
      <c r="H1599" s="13">
        <v>4</v>
      </c>
      <c r="I1599" s="12" t="s">
        <v>30577</v>
      </c>
      <c r="J1599" s="12" t="s">
        <v>45155</v>
      </c>
      <c r="K1599" s="12" t="s">
        <v>45156</v>
      </c>
      <c r="L1599" s="12" t="s">
        <v>44319</v>
      </c>
      <c r="M1599" s="12" t="s">
        <v>38816</v>
      </c>
      <c r="N1599" s="12"/>
      <c r="O1599" s="12"/>
      <c r="P1599" s="12"/>
      <c r="Q1599" s="12"/>
      <c r="R1599" s="12"/>
      <c r="S1599" s="12"/>
      <c r="T1599" s="12"/>
      <c r="U1599" s="12"/>
      <c r="V1599" s="12"/>
      <c r="W1599" s="12"/>
      <c r="X1599" s="12"/>
      <c r="Y1599" s="12"/>
      <c r="Z1599" s="12"/>
      <c r="AA1599" s="12"/>
      <c r="AB1599" s="12"/>
      <c r="AC1599" s="12"/>
      <c r="AD1599" s="12"/>
      <c r="AE1599" s="12"/>
      <c r="AF1599" s="12"/>
      <c r="AG1599" s="12"/>
      <c r="AH1599" s="12"/>
      <c r="AI1599" s="12"/>
      <c r="AJ1599" s="12"/>
      <c r="AK1599" s="12"/>
      <c r="AL1599" s="12"/>
      <c r="AM1599" s="12"/>
      <c r="AN1599" s="12"/>
      <c r="AO1599" s="12"/>
      <c r="AP1599" s="12"/>
      <c r="AQ1599" s="12"/>
      <c r="AR1599" s="12"/>
      <c r="AS1599" s="12"/>
      <c r="AT1599" s="12"/>
      <c r="AU1599" s="12"/>
      <c r="AV1599" s="12"/>
      <c r="AW1599" s="12"/>
      <c r="AX1599" s="12"/>
      <c r="AY1599" s="12"/>
      <c r="AZ1599" s="12"/>
      <c r="BA1599" s="12"/>
      <c r="BB1599" s="12"/>
      <c r="BC1599" s="12"/>
      <c r="BD1599" s="12"/>
      <c r="BE1599" s="12"/>
      <c r="BF1599" s="12"/>
      <c r="BG1599" s="12"/>
      <c r="BH1599" s="12"/>
      <c r="BI1599" s="12"/>
      <c r="BJ1599" s="12"/>
      <c r="BK1599" s="12"/>
      <c r="BL1599" s="12"/>
      <c r="BM1599" s="12"/>
      <c r="BN1599" s="12"/>
      <c r="BO1599" s="12"/>
      <c r="BP1599" s="12"/>
      <c r="BQ1599" s="12"/>
      <c r="BR1599" s="12"/>
      <c r="BS1599" s="12"/>
      <c r="BT1599" s="12"/>
    </row>
    <row r="1600" spans="1:72">
      <c r="A1600" s="2" t="s">
        <v>30581</v>
      </c>
      <c r="B1600" s="5" t="s">
        <v>30587</v>
      </c>
      <c r="C1600" s="3" t="s">
        <v>30582</v>
      </c>
      <c r="D1600" s="4" t="s">
        <v>138</v>
      </c>
      <c r="E1600" s="15" t="s">
        <v>30595</v>
      </c>
      <c r="F1600" s="15" t="s">
        <v>2031</v>
      </c>
      <c r="G1600" s="15" t="s">
        <v>162</v>
      </c>
      <c r="H1600" s="7">
        <v>22</v>
      </c>
      <c r="I1600" s="6" t="s">
        <v>30600</v>
      </c>
      <c r="J1600" s="6" t="s">
        <v>45157</v>
      </c>
      <c r="K1600" s="6" t="s">
        <v>42834</v>
      </c>
      <c r="L1600" s="6" t="s">
        <v>42298</v>
      </c>
      <c r="M1600" s="6" t="s">
        <v>45158</v>
      </c>
      <c r="N1600" s="6" t="s">
        <v>38606</v>
      </c>
      <c r="O1600" s="6" t="s">
        <v>38989</v>
      </c>
      <c r="P1600" s="6" t="s">
        <v>40932</v>
      </c>
      <c r="Q1600" s="6" t="s">
        <v>40934</v>
      </c>
      <c r="R1600" s="6" t="s">
        <v>45159</v>
      </c>
      <c r="S1600" s="6" t="s">
        <v>45160</v>
      </c>
      <c r="T1600" s="6" t="s">
        <v>45161</v>
      </c>
      <c r="U1600" s="6" t="s">
        <v>39259</v>
      </c>
      <c r="V1600" s="6" t="s">
        <v>45162</v>
      </c>
      <c r="W1600" s="6" t="s">
        <v>45163</v>
      </c>
      <c r="X1600" s="6" t="s">
        <v>37998</v>
      </c>
      <c r="Y1600" s="6" t="s">
        <v>45164</v>
      </c>
      <c r="Z1600" s="6" t="s">
        <v>45165</v>
      </c>
      <c r="AA1600" s="6" t="s">
        <v>45166</v>
      </c>
      <c r="AB1600" s="6" t="s">
        <v>44556</v>
      </c>
      <c r="AC1600" s="6" t="s">
        <v>37804</v>
      </c>
      <c r="AD1600" s="6" t="s">
        <v>40938</v>
      </c>
      <c r="AE1600" s="6" t="s">
        <v>39664</v>
      </c>
      <c r="AF1600" s="6"/>
      <c r="AG1600" s="6"/>
      <c r="AH1600" s="6"/>
      <c r="AI1600" s="6"/>
      <c r="AJ1600" s="6"/>
      <c r="AK1600" s="6"/>
      <c r="AL1600" s="6"/>
      <c r="AM1600" s="6"/>
      <c r="AN1600" s="6"/>
      <c r="AO1600" s="6"/>
      <c r="AP1600" s="6"/>
      <c r="AQ1600" s="6"/>
      <c r="AR1600" s="6"/>
      <c r="AS1600" s="6"/>
      <c r="AT1600" s="6"/>
      <c r="AU1600" s="6"/>
      <c r="AV1600" s="6"/>
      <c r="AW1600" s="6"/>
      <c r="AX1600" s="6"/>
      <c r="AY1600" s="6"/>
      <c r="AZ1600" s="6"/>
      <c r="BA1600" s="6"/>
      <c r="BB1600" s="6"/>
      <c r="BC1600" s="6"/>
      <c r="BD1600" s="6"/>
      <c r="BE1600" s="6"/>
      <c r="BF1600" s="6"/>
      <c r="BG1600" s="6"/>
      <c r="BH1600" s="6"/>
      <c r="BI1600" s="6"/>
      <c r="BJ1600" s="6"/>
      <c r="BK1600" s="6"/>
      <c r="BL1600" s="6"/>
      <c r="BM1600" s="6"/>
      <c r="BN1600" s="6"/>
      <c r="BO1600" s="6"/>
      <c r="BP1600" s="6"/>
      <c r="BQ1600" s="6"/>
      <c r="BR1600" s="6"/>
      <c r="BS1600" s="6"/>
      <c r="BT1600" s="6"/>
    </row>
    <row r="1601" spans="1:72">
      <c r="A1601" s="8" t="s">
        <v>30604</v>
      </c>
      <c r="B1601" s="11" t="s">
        <v>30608</v>
      </c>
      <c r="C1601" s="9" t="s">
        <v>138</v>
      </c>
      <c r="D1601" s="10" t="s">
        <v>138</v>
      </c>
      <c r="E1601" s="28" t="s">
        <v>30616</v>
      </c>
      <c r="F1601" s="28" t="s">
        <v>371</v>
      </c>
      <c r="G1601" s="28" t="s">
        <v>162</v>
      </c>
      <c r="H1601" s="13">
        <v>2</v>
      </c>
      <c r="I1601" s="12" t="s">
        <v>30440</v>
      </c>
      <c r="J1601" s="12" t="s">
        <v>38328</v>
      </c>
      <c r="K1601" s="12" t="s">
        <v>37781</v>
      </c>
      <c r="L1601" s="12"/>
      <c r="M1601" s="12"/>
      <c r="N1601" s="12"/>
      <c r="O1601" s="12"/>
      <c r="P1601" s="12"/>
      <c r="Q1601" s="12"/>
      <c r="R1601" s="12"/>
      <c r="S1601" s="12"/>
      <c r="T1601" s="12"/>
      <c r="U1601" s="12"/>
      <c r="V1601" s="12"/>
      <c r="W1601" s="12"/>
      <c r="X1601" s="12"/>
      <c r="Y1601" s="12"/>
      <c r="Z1601" s="12"/>
      <c r="AA1601" s="12"/>
      <c r="AB1601" s="12"/>
      <c r="AC1601" s="12"/>
      <c r="AD1601" s="12"/>
      <c r="AE1601" s="12"/>
      <c r="AF1601" s="12"/>
      <c r="AG1601" s="12"/>
      <c r="AH1601" s="12"/>
      <c r="AI1601" s="12"/>
      <c r="AJ1601" s="12"/>
      <c r="AK1601" s="12"/>
      <c r="AL1601" s="12"/>
      <c r="AM1601" s="12"/>
      <c r="AN1601" s="12"/>
      <c r="AO1601" s="12"/>
      <c r="AP1601" s="12"/>
      <c r="AQ1601" s="12"/>
      <c r="AR1601" s="12"/>
      <c r="AS1601" s="12"/>
      <c r="AT1601" s="12"/>
      <c r="AU1601" s="12"/>
      <c r="AV1601" s="12"/>
      <c r="AW1601" s="12"/>
      <c r="AX1601" s="12"/>
      <c r="AY1601" s="12"/>
      <c r="AZ1601" s="12"/>
      <c r="BA1601" s="12"/>
      <c r="BB1601" s="12"/>
      <c r="BC1601" s="12"/>
      <c r="BD1601" s="12"/>
      <c r="BE1601" s="12"/>
      <c r="BF1601" s="12"/>
      <c r="BG1601" s="12"/>
      <c r="BH1601" s="12"/>
      <c r="BI1601" s="12"/>
      <c r="BJ1601" s="12"/>
      <c r="BK1601" s="12"/>
      <c r="BL1601" s="12"/>
      <c r="BM1601" s="12"/>
      <c r="BN1601" s="12"/>
      <c r="BO1601" s="12"/>
      <c r="BP1601" s="12"/>
      <c r="BQ1601" s="12"/>
      <c r="BR1601" s="12"/>
      <c r="BS1601" s="12"/>
      <c r="BT1601" s="12"/>
    </row>
    <row r="1602" spans="1:72">
      <c r="A1602" s="2" t="s">
        <v>30623</v>
      </c>
      <c r="B1602" s="5" t="s">
        <v>30628</v>
      </c>
      <c r="C1602" s="3" t="s">
        <v>138</v>
      </c>
      <c r="D1602" s="4" t="s">
        <v>30624</v>
      </c>
      <c r="E1602" s="15" t="s">
        <v>2779</v>
      </c>
      <c r="F1602" s="15" t="s">
        <v>138</v>
      </c>
      <c r="G1602" s="15" t="s">
        <v>2780</v>
      </c>
      <c r="H1602" s="7">
        <v>2</v>
      </c>
      <c r="I1602" s="6" t="s">
        <v>30640</v>
      </c>
      <c r="J1602" s="6" t="s">
        <v>45167</v>
      </c>
      <c r="K1602" s="6" t="s">
        <v>38196</v>
      </c>
      <c r="L1602" s="6"/>
      <c r="M1602" s="6"/>
      <c r="N1602" s="6"/>
      <c r="O1602" s="6"/>
      <c r="P1602" s="6"/>
      <c r="Q1602" s="6"/>
      <c r="R1602" s="6"/>
      <c r="S1602" s="6"/>
      <c r="T1602" s="6"/>
      <c r="U1602" s="6"/>
      <c r="V1602" s="6"/>
      <c r="W1602" s="6"/>
      <c r="X1602" s="6"/>
      <c r="Y1602" s="6"/>
      <c r="Z1602" s="6"/>
      <c r="AA1602" s="6"/>
      <c r="AB1602" s="6"/>
      <c r="AC1602" s="6"/>
      <c r="AD1602" s="6"/>
      <c r="AE1602" s="6"/>
      <c r="AF1602" s="6"/>
      <c r="AG1602" s="6"/>
      <c r="AH1602" s="6"/>
      <c r="AI1602" s="6"/>
      <c r="AJ1602" s="6"/>
      <c r="AK1602" s="6"/>
      <c r="AL1602" s="6"/>
      <c r="AM1602" s="6"/>
      <c r="AN1602" s="6"/>
      <c r="AO1602" s="6"/>
      <c r="AP1602" s="6"/>
      <c r="AQ1602" s="6"/>
      <c r="AR1602" s="6"/>
      <c r="AS1602" s="6"/>
      <c r="AT1602" s="6"/>
      <c r="AU1602" s="6"/>
      <c r="AV1602" s="6"/>
      <c r="AW1602" s="6"/>
      <c r="AX1602" s="6"/>
      <c r="AY1602" s="6"/>
      <c r="AZ1602" s="6"/>
      <c r="BA1602" s="6"/>
      <c r="BB1602" s="6"/>
      <c r="BC1602" s="6"/>
      <c r="BD1602" s="6"/>
      <c r="BE1602" s="6"/>
      <c r="BF1602" s="6"/>
      <c r="BG1602" s="6"/>
      <c r="BH1602" s="6"/>
      <c r="BI1602" s="6"/>
      <c r="BJ1602" s="6"/>
      <c r="BK1602" s="6"/>
      <c r="BL1602" s="6"/>
      <c r="BM1602" s="6"/>
      <c r="BN1602" s="6"/>
      <c r="BO1602" s="6"/>
      <c r="BP1602" s="6"/>
      <c r="BQ1602" s="6"/>
      <c r="BR1602" s="6"/>
      <c r="BS1602" s="6"/>
      <c r="BT1602" s="6"/>
    </row>
    <row r="1603" spans="1:72">
      <c r="A1603" s="8" t="s">
        <v>30647</v>
      </c>
      <c r="B1603" s="11" t="s">
        <v>30651</v>
      </c>
      <c r="C1603" s="9" t="s">
        <v>138</v>
      </c>
      <c r="D1603" s="10" t="s">
        <v>138</v>
      </c>
      <c r="E1603" s="28" t="s">
        <v>17667</v>
      </c>
      <c r="F1603" s="28" t="s">
        <v>339</v>
      </c>
      <c r="G1603" s="28" t="s">
        <v>162</v>
      </c>
      <c r="H1603" s="13">
        <v>3</v>
      </c>
      <c r="I1603" s="12" t="s">
        <v>30659</v>
      </c>
      <c r="J1603" s="12" t="s">
        <v>45168</v>
      </c>
      <c r="K1603" s="12" t="s">
        <v>45169</v>
      </c>
      <c r="L1603" s="12" t="s">
        <v>38926</v>
      </c>
      <c r="M1603" s="12"/>
      <c r="N1603" s="12"/>
      <c r="O1603" s="12"/>
      <c r="P1603" s="12"/>
      <c r="Q1603" s="12"/>
      <c r="R1603" s="12"/>
      <c r="S1603" s="12"/>
      <c r="T1603" s="12"/>
      <c r="U1603" s="12"/>
      <c r="V1603" s="12"/>
      <c r="W1603" s="12"/>
      <c r="X1603" s="12"/>
      <c r="Y1603" s="12"/>
      <c r="Z1603" s="12"/>
      <c r="AA1603" s="12"/>
      <c r="AB1603" s="12"/>
      <c r="AC1603" s="12"/>
      <c r="AD1603" s="12"/>
      <c r="AE1603" s="12"/>
      <c r="AF1603" s="12"/>
      <c r="AG1603" s="12"/>
      <c r="AH1603" s="12"/>
      <c r="AI1603" s="12"/>
      <c r="AJ1603" s="12"/>
      <c r="AK1603" s="12"/>
      <c r="AL1603" s="12"/>
      <c r="AM1603" s="12"/>
      <c r="AN1603" s="12"/>
      <c r="AO1603" s="12"/>
      <c r="AP1603" s="12"/>
      <c r="AQ1603" s="12"/>
      <c r="AR1603" s="12"/>
      <c r="AS1603" s="12"/>
      <c r="AT1603" s="12"/>
      <c r="AU1603" s="12"/>
      <c r="AV1603" s="12"/>
      <c r="AW1603" s="12"/>
      <c r="AX1603" s="12"/>
      <c r="AY1603" s="12"/>
      <c r="AZ1603" s="12"/>
      <c r="BA1603" s="12"/>
      <c r="BB1603" s="12"/>
      <c r="BC1603" s="12"/>
      <c r="BD1603" s="12"/>
      <c r="BE1603" s="12"/>
      <c r="BF1603" s="12"/>
      <c r="BG1603" s="12"/>
      <c r="BH1603" s="12"/>
      <c r="BI1603" s="12"/>
      <c r="BJ1603" s="12"/>
      <c r="BK1603" s="12"/>
      <c r="BL1603" s="12"/>
      <c r="BM1603" s="12"/>
      <c r="BN1603" s="12"/>
      <c r="BO1603" s="12"/>
      <c r="BP1603" s="12"/>
      <c r="BQ1603" s="12"/>
      <c r="BR1603" s="12"/>
      <c r="BS1603" s="12"/>
      <c r="BT1603" s="12"/>
    </row>
    <row r="1604" spans="1:72">
      <c r="A1604" s="2" t="s">
        <v>30662</v>
      </c>
      <c r="B1604" s="5" t="s">
        <v>30666</v>
      </c>
      <c r="C1604" s="3" t="s">
        <v>138</v>
      </c>
      <c r="D1604" s="4" t="s">
        <v>138</v>
      </c>
      <c r="E1604" s="15" t="s">
        <v>4900</v>
      </c>
      <c r="F1604" s="15" t="s">
        <v>200</v>
      </c>
      <c r="G1604" s="15" t="s">
        <v>162</v>
      </c>
      <c r="H1604" s="7">
        <v>18</v>
      </c>
      <c r="I1604" s="6" t="s">
        <v>30672</v>
      </c>
      <c r="J1604" s="6" t="s">
        <v>37785</v>
      </c>
      <c r="K1604" s="6" t="s">
        <v>45170</v>
      </c>
      <c r="L1604" s="6" t="s">
        <v>45171</v>
      </c>
      <c r="M1604" s="6" t="s">
        <v>45172</v>
      </c>
      <c r="N1604" s="6" t="s">
        <v>37875</v>
      </c>
      <c r="O1604" s="6" t="s">
        <v>42054</v>
      </c>
      <c r="P1604" s="6" t="s">
        <v>37819</v>
      </c>
      <c r="Q1604" s="6" t="s">
        <v>45173</v>
      </c>
      <c r="R1604" s="6" t="s">
        <v>39229</v>
      </c>
      <c r="S1604" s="6" t="s">
        <v>38331</v>
      </c>
      <c r="T1604" s="6" t="s">
        <v>37941</v>
      </c>
      <c r="U1604" s="6" t="s">
        <v>37921</v>
      </c>
      <c r="V1604" s="6" t="s">
        <v>40206</v>
      </c>
      <c r="W1604" s="6" t="s">
        <v>39359</v>
      </c>
      <c r="X1604" s="6" t="s">
        <v>45174</v>
      </c>
      <c r="Y1604" s="6" t="s">
        <v>38850</v>
      </c>
      <c r="Z1604" s="6" t="s">
        <v>42737</v>
      </c>
      <c r="AA1604" s="6" t="s">
        <v>39086</v>
      </c>
      <c r="AB1604" s="6"/>
      <c r="AC1604" s="6"/>
      <c r="AD1604" s="6"/>
      <c r="AE1604" s="6"/>
      <c r="AF1604" s="6"/>
      <c r="AG1604" s="6"/>
      <c r="AH1604" s="6"/>
      <c r="AI1604" s="6"/>
      <c r="AJ1604" s="6"/>
      <c r="AK1604" s="6"/>
      <c r="AL1604" s="6"/>
      <c r="AM1604" s="6"/>
      <c r="AN1604" s="6"/>
      <c r="AO1604" s="6"/>
      <c r="AP1604" s="6"/>
      <c r="AQ1604" s="6"/>
      <c r="AR1604" s="6"/>
      <c r="AS1604" s="6"/>
      <c r="AT1604" s="6"/>
      <c r="AU1604" s="6"/>
      <c r="AV1604" s="6"/>
      <c r="AW1604" s="6"/>
      <c r="AX1604" s="6"/>
      <c r="AY1604" s="6"/>
      <c r="AZ1604" s="6"/>
      <c r="BA1604" s="6"/>
      <c r="BB1604" s="6"/>
      <c r="BC1604" s="6"/>
      <c r="BD1604" s="6"/>
      <c r="BE1604" s="6"/>
      <c r="BF1604" s="6"/>
      <c r="BG1604" s="6"/>
      <c r="BH1604" s="6"/>
      <c r="BI1604" s="6"/>
      <c r="BJ1604" s="6"/>
      <c r="BK1604" s="6"/>
      <c r="BL1604" s="6"/>
      <c r="BM1604" s="6"/>
      <c r="BN1604" s="6"/>
      <c r="BO1604" s="6"/>
      <c r="BP1604" s="6"/>
      <c r="BQ1604" s="6"/>
      <c r="BR1604" s="6"/>
      <c r="BS1604" s="6"/>
      <c r="BT1604" s="6"/>
    </row>
    <row r="1605" spans="1:72">
      <c r="A1605" s="8" t="s">
        <v>30675</v>
      </c>
      <c r="B1605" s="11" t="s">
        <v>30680</v>
      </c>
      <c r="C1605" s="9" t="s">
        <v>138</v>
      </c>
      <c r="D1605" s="10" t="s">
        <v>138</v>
      </c>
      <c r="E1605" s="28" t="s">
        <v>21196</v>
      </c>
      <c r="F1605" s="28" t="s">
        <v>138</v>
      </c>
      <c r="G1605" s="28" t="s">
        <v>21196</v>
      </c>
      <c r="H1605" s="13">
        <v>10</v>
      </c>
      <c r="I1605" s="12" t="s">
        <v>30691</v>
      </c>
      <c r="J1605" s="12" t="s">
        <v>45175</v>
      </c>
      <c r="K1605" s="12" t="s">
        <v>45176</v>
      </c>
      <c r="L1605" s="12" t="s">
        <v>39028</v>
      </c>
      <c r="M1605" s="12" t="s">
        <v>45177</v>
      </c>
      <c r="N1605" s="12" t="s">
        <v>40512</v>
      </c>
      <c r="O1605" s="12" t="s">
        <v>38321</v>
      </c>
      <c r="P1605" s="12" t="s">
        <v>45178</v>
      </c>
      <c r="Q1605" s="12" t="s">
        <v>39397</v>
      </c>
      <c r="R1605" s="12" t="s">
        <v>40049</v>
      </c>
      <c r="S1605" s="12" t="s">
        <v>44602</v>
      </c>
      <c r="T1605" s="12"/>
      <c r="U1605" s="12"/>
      <c r="V1605" s="12"/>
      <c r="W1605" s="12"/>
      <c r="X1605" s="12"/>
      <c r="Y1605" s="12"/>
      <c r="Z1605" s="12"/>
      <c r="AA1605" s="12"/>
      <c r="AB1605" s="12"/>
      <c r="AC1605" s="12"/>
      <c r="AD1605" s="12"/>
      <c r="AE1605" s="12"/>
      <c r="AF1605" s="12"/>
      <c r="AG1605" s="12"/>
      <c r="AH1605" s="12"/>
      <c r="AI1605" s="12"/>
      <c r="AJ1605" s="12"/>
      <c r="AK1605" s="12"/>
      <c r="AL1605" s="12"/>
      <c r="AM1605" s="12"/>
      <c r="AN1605" s="12"/>
      <c r="AO1605" s="12"/>
      <c r="AP1605" s="12"/>
      <c r="AQ1605" s="12"/>
      <c r="AR1605" s="12"/>
      <c r="AS1605" s="12"/>
      <c r="AT1605" s="12"/>
      <c r="AU1605" s="12"/>
      <c r="AV1605" s="12"/>
      <c r="AW1605" s="12"/>
      <c r="AX1605" s="12"/>
      <c r="AY1605" s="12"/>
      <c r="AZ1605" s="12"/>
      <c r="BA1605" s="12"/>
      <c r="BB1605" s="12"/>
      <c r="BC1605" s="12"/>
      <c r="BD1605" s="12"/>
      <c r="BE1605" s="12"/>
      <c r="BF1605" s="12"/>
      <c r="BG1605" s="12"/>
      <c r="BH1605" s="12"/>
      <c r="BI1605" s="12"/>
      <c r="BJ1605" s="12"/>
      <c r="BK1605" s="12"/>
      <c r="BL1605" s="12"/>
      <c r="BM1605" s="12"/>
      <c r="BN1605" s="12"/>
      <c r="BO1605" s="12"/>
      <c r="BP1605" s="12"/>
      <c r="BQ1605" s="12"/>
      <c r="BR1605" s="12"/>
      <c r="BS1605" s="12"/>
      <c r="BT1605" s="12"/>
    </row>
    <row r="1606" spans="1:72">
      <c r="A1606" s="2" t="s">
        <v>30694</v>
      </c>
      <c r="B1606" s="5" t="s">
        <v>30700</v>
      </c>
      <c r="C1606" s="3" t="s">
        <v>30695</v>
      </c>
      <c r="D1606" s="4" t="s">
        <v>138</v>
      </c>
      <c r="E1606" s="15" t="s">
        <v>13357</v>
      </c>
      <c r="F1606" s="15" t="s">
        <v>200</v>
      </c>
      <c r="G1606" s="15" t="s">
        <v>162</v>
      </c>
      <c r="H1606" s="7">
        <v>50</v>
      </c>
      <c r="I1606" s="6" t="s">
        <v>30710</v>
      </c>
      <c r="J1606" s="6" t="s">
        <v>38406</v>
      </c>
      <c r="K1606" s="6" t="s">
        <v>40192</v>
      </c>
      <c r="L1606" s="6" t="s">
        <v>37979</v>
      </c>
      <c r="M1606" s="6" t="s">
        <v>43955</v>
      </c>
      <c r="N1606" s="6" t="s">
        <v>45179</v>
      </c>
      <c r="O1606" s="6" t="s">
        <v>40833</v>
      </c>
      <c r="P1606" s="6" t="s">
        <v>38411</v>
      </c>
      <c r="Q1606" s="6" t="s">
        <v>38412</v>
      </c>
      <c r="R1606" s="6" t="s">
        <v>45180</v>
      </c>
      <c r="S1606" s="6" t="s">
        <v>45181</v>
      </c>
      <c r="T1606" s="6" t="s">
        <v>37819</v>
      </c>
      <c r="U1606" s="6" t="s">
        <v>38391</v>
      </c>
      <c r="V1606" s="6" t="s">
        <v>45182</v>
      </c>
      <c r="W1606" s="6" t="s">
        <v>45183</v>
      </c>
      <c r="X1606" s="6" t="s">
        <v>39621</v>
      </c>
      <c r="Y1606" s="6" t="s">
        <v>38968</v>
      </c>
      <c r="Z1606" s="6" t="s">
        <v>37946</v>
      </c>
      <c r="AA1606" s="6" t="s">
        <v>38419</v>
      </c>
      <c r="AB1606" s="6" t="s">
        <v>37949</v>
      </c>
      <c r="AC1606" s="6" t="s">
        <v>38593</v>
      </c>
      <c r="AD1606" s="6" t="s">
        <v>37952</v>
      </c>
      <c r="AE1606" s="6" t="s">
        <v>39900</v>
      </c>
      <c r="AF1606" s="6" t="s">
        <v>42041</v>
      </c>
      <c r="AG1606" s="6" t="s">
        <v>45184</v>
      </c>
      <c r="AH1606" s="6" t="s">
        <v>41388</v>
      </c>
      <c r="AI1606" s="6" t="s">
        <v>37960</v>
      </c>
      <c r="AJ1606" s="6" t="s">
        <v>43557</v>
      </c>
      <c r="AK1606" s="6" t="s">
        <v>45185</v>
      </c>
      <c r="AL1606" s="6" t="s">
        <v>37992</v>
      </c>
      <c r="AM1606" s="6" t="s">
        <v>45186</v>
      </c>
      <c r="AN1606" s="6" t="s">
        <v>45187</v>
      </c>
      <c r="AO1606" s="6" t="s">
        <v>37995</v>
      </c>
      <c r="AP1606" s="6" t="s">
        <v>41836</v>
      </c>
      <c r="AQ1606" s="6" t="s">
        <v>38429</v>
      </c>
      <c r="AR1606" s="6" t="s">
        <v>38430</v>
      </c>
      <c r="AS1606" s="6" t="s">
        <v>45188</v>
      </c>
      <c r="AT1606" s="6" t="s">
        <v>45189</v>
      </c>
      <c r="AU1606" s="6" t="s">
        <v>41040</v>
      </c>
      <c r="AV1606" s="6" t="s">
        <v>38432</v>
      </c>
      <c r="AW1606" s="6" t="s">
        <v>38532</v>
      </c>
      <c r="AX1606" s="6" t="s">
        <v>45190</v>
      </c>
      <c r="AY1606" s="6" t="s">
        <v>45191</v>
      </c>
      <c r="AZ1606" s="6" t="s">
        <v>38000</v>
      </c>
      <c r="BA1606" s="6" t="s">
        <v>38579</v>
      </c>
      <c r="BB1606" s="6" t="s">
        <v>38002</v>
      </c>
      <c r="BC1606" s="6" t="s">
        <v>41393</v>
      </c>
      <c r="BD1606" s="6" t="s">
        <v>45192</v>
      </c>
      <c r="BE1606" s="6" t="s">
        <v>45193</v>
      </c>
      <c r="BF1606" s="6" t="s">
        <v>45194</v>
      </c>
      <c r="BG1606" s="6" t="s">
        <v>37886</v>
      </c>
      <c r="BH1606" s="6"/>
      <c r="BI1606" s="6"/>
      <c r="BJ1606" s="6"/>
      <c r="BK1606" s="6"/>
      <c r="BL1606" s="6"/>
      <c r="BM1606" s="6"/>
      <c r="BN1606" s="6"/>
      <c r="BO1606" s="6"/>
      <c r="BP1606" s="6"/>
      <c r="BQ1606" s="6"/>
      <c r="BR1606" s="6"/>
      <c r="BS1606" s="6"/>
      <c r="BT1606" s="6"/>
    </row>
    <row r="1607" spans="1:72">
      <c r="A1607" s="8" t="s">
        <v>30713</v>
      </c>
      <c r="B1607" s="11" t="s">
        <v>30719</v>
      </c>
      <c r="C1607" s="9" t="s">
        <v>138</v>
      </c>
      <c r="D1607" s="10" t="s">
        <v>30714</v>
      </c>
      <c r="E1607" s="28" t="s">
        <v>1031</v>
      </c>
      <c r="F1607" s="28" t="s">
        <v>1032</v>
      </c>
      <c r="G1607" s="28" t="s">
        <v>162</v>
      </c>
      <c r="H1607" s="13">
        <v>8</v>
      </c>
      <c r="I1607" s="12" t="s">
        <v>30728</v>
      </c>
      <c r="J1607" s="12" t="s">
        <v>45195</v>
      </c>
      <c r="K1607" s="12" t="s">
        <v>37819</v>
      </c>
      <c r="L1607" s="12" t="s">
        <v>45196</v>
      </c>
      <c r="M1607" s="12" t="s">
        <v>39097</v>
      </c>
      <c r="N1607" s="12" t="s">
        <v>45197</v>
      </c>
      <c r="O1607" s="12" t="s">
        <v>45198</v>
      </c>
      <c r="P1607" s="12" t="s">
        <v>45199</v>
      </c>
      <c r="Q1607" s="12" t="s">
        <v>39106</v>
      </c>
      <c r="R1607" s="12"/>
      <c r="S1607" s="12"/>
      <c r="T1607" s="12"/>
      <c r="U1607" s="12"/>
      <c r="V1607" s="12"/>
      <c r="W1607" s="12"/>
      <c r="X1607" s="12"/>
      <c r="Y1607" s="12"/>
      <c r="Z1607" s="12"/>
      <c r="AA1607" s="12"/>
      <c r="AB1607" s="12"/>
      <c r="AC1607" s="12"/>
      <c r="AD1607" s="12"/>
      <c r="AE1607" s="12"/>
      <c r="AF1607" s="12"/>
      <c r="AG1607" s="12"/>
      <c r="AH1607" s="12"/>
      <c r="AI1607" s="12"/>
      <c r="AJ1607" s="12"/>
      <c r="AK1607" s="12"/>
      <c r="AL1607" s="12"/>
      <c r="AM1607" s="12"/>
      <c r="AN1607" s="12"/>
      <c r="AO1607" s="12"/>
      <c r="AP1607" s="12"/>
      <c r="AQ1607" s="12"/>
      <c r="AR1607" s="12"/>
      <c r="AS1607" s="12"/>
      <c r="AT1607" s="12"/>
      <c r="AU1607" s="12"/>
      <c r="AV1607" s="12"/>
      <c r="AW1607" s="12"/>
      <c r="AX1607" s="12"/>
      <c r="AY1607" s="12"/>
      <c r="AZ1607" s="12"/>
      <c r="BA1607" s="12"/>
      <c r="BB1607" s="12"/>
      <c r="BC1607" s="12"/>
      <c r="BD1607" s="12"/>
      <c r="BE1607" s="12"/>
      <c r="BF1607" s="12"/>
      <c r="BG1607" s="12"/>
      <c r="BH1607" s="12"/>
      <c r="BI1607" s="12"/>
      <c r="BJ1607" s="12"/>
      <c r="BK1607" s="12"/>
      <c r="BL1607" s="12"/>
      <c r="BM1607" s="12"/>
      <c r="BN1607" s="12"/>
      <c r="BO1607" s="12"/>
      <c r="BP1607" s="12"/>
      <c r="BQ1607" s="12"/>
      <c r="BR1607" s="12"/>
      <c r="BS1607" s="12"/>
      <c r="BT1607" s="12"/>
    </row>
    <row r="1608" spans="1:72">
      <c r="A1608" s="2" t="s">
        <v>30733</v>
      </c>
      <c r="B1608" s="5" t="s">
        <v>30738</v>
      </c>
      <c r="C1608" s="3" t="s">
        <v>138</v>
      </c>
      <c r="D1608" s="4" t="s">
        <v>138</v>
      </c>
      <c r="E1608" s="15" t="s">
        <v>30746</v>
      </c>
      <c r="F1608" s="15" t="s">
        <v>138</v>
      </c>
      <c r="G1608" s="15" t="s">
        <v>946</v>
      </c>
      <c r="H1608" s="7">
        <v>6</v>
      </c>
      <c r="I1608" s="6" t="s">
        <v>30751</v>
      </c>
      <c r="J1608" s="6" t="s">
        <v>44586</v>
      </c>
      <c r="K1608" s="6" t="s">
        <v>45200</v>
      </c>
      <c r="L1608" s="6" t="s">
        <v>37787</v>
      </c>
      <c r="M1608" s="6" t="s">
        <v>45201</v>
      </c>
      <c r="N1608" s="6" t="s">
        <v>42296</v>
      </c>
      <c r="O1608" s="6" t="s">
        <v>45202</v>
      </c>
      <c r="P1608" s="6"/>
      <c r="Q1608" s="6"/>
      <c r="R1608" s="6"/>
      <c r="S1608" s="6"/>
      <c r="T1608" s="6"/>
      <c r="U1608" s="6"/>
      <c r="V1608" s="6"/>
      <c r="W1608" s="6"/>
      <c r="X1608" s="6"/>
      <c r="Y1608" s="6"/>
      <c r="Z1608" s="6"/>
      <c r="AA1608" s="6"/>
      <c r="AB1608" s="6"/>
      <c r="AC1608" s="6"/>
      <c r="AD1608" s="6"/>
      <c r="AE1608" s="6"/>
      <c r="AF1608" s="6"/>
      <c r="AG1608" s="6"/>
      <c r="AH1608" s="6"/>
      <c r="AI1608" s="6"/>
      <c r="AJ1608" s="6"/>
      <c r="AK1608" s="6"/>
      <c r="AL1608" s="6"/>
      <c r="AM1608" s="6"/>
      <c r="AN1608" s="6"/>
      <c r="AO1608" s="6"/>
      <c r="AP1608" s="6"/>
      <c r="AQ1608" s="6"/>
      <c r="AR1608" s="6"/>
      <c r="AS1608" s="6"/>
      <c r="AT1608" s="6"/>
      <c r="AU1608" s="6"/>
      <c r="AV1608" s="6"/>
      <c r="AW1608" s="6"/>
      <c r="AX1608" s="6"/>
      <c r="AY1608" s="6"/>
      <c r="AZ1608" s="6"/>
      <c r="BA1608" s="6"/>
      <c r="BB1608" s="6"/>
      <c r="BC1608" s="6"/>
      <c r="BD1608" s="6"/>
      <c r="BE1608" s="6"/>
      <c r="BF1608" s="6"/>
      <c r="BG1608" s="6"/>
      <c r="BH1608" s="6"/>
      <c r="BI1608" s="6"/>
      <c r="BJ1608" s="6"/>
      <c r="BK1608" s="6"/>
      <c r="BL1608" s="6"/>
      <c r="BM1608" s="6"/>
      <c r="BN1608" s="6"/>
      <c r="BO1608" s="6"/>
      <c r="BP1608" s="6"/>
      <c r="BQ1608" s="6"/>
      <c r="BR1608" s="6"/>
      <c r="BS1608" s="6"/>
      <c r="BT1608" s="6"/>
    </row>
    <row r="1609" spans="1:72">
      <c r="A1609" s="8" t="s">
        <v>30754</v>
      </c>
      <c r="B1609" s="11" t="s">
        <v>30758</v>
      </c>
      <c r="C1609" s="9" t="s">
        <v>138</v>
      </c>
      <c r="D1609" s="10" t="s">
        <v>138</v>
      </c>
      <c r="E1609" s="28" t="s">
        <v>15411</v>
      </c>
      <c r="F1609" s="28" t="s">
        <v>15412</v>
      </c>
      <c r="G1609" s="28" t="s">
        <v>2742</v>
      </c>
      <c r="H1609" s="13">
        <v>3</v>
      </c>
      <c r="I1609" s="12" t="s">
        <v>30769</v>
      </c>
      <c r="J1609" s="12" t="s">
        <v>45203</v>
      </c>
      <c r="K1609" s="12" t="s">
        <v>38269</v>
      </c>
      <c r="L1609" s="12" t="s">
        <v>42143</v>
      </c>
      <c r="M1609" s="12"/>
      <c r="N1609" s="12"/>
      <c r="O1609" s="12"/>
      <c r="P1609" s="12"/>
      <c r="Q1609" s="12"/>
      <c r="R1609" s="12"/>
      <c r="S1609" s="12"/>
      <c r="T1609" s="12"/>
      <c r="U1609" s="12"/>
      <c r="V1609" s="12"/>
      <c r="W1609" s="12"/>
      <c r="X1609" s="12"/>
      <c r="Y1609" s="12"/>
      <c r="Z1609" s="12"/>
      <c r="AA1609" s="12"/>
      <c r="AB1609" s="12"/>
      <c r="AC1609" s="12"/>
      <c r="AD1609" s="12"/>
      <c r="AE1609" s="12"/>
      <c r="AF1609" s="12"/>
      <c r="AG1609" s="12"/>
      <c r="AH1609" s="12"/>
      <c r="AI1609" s="12"/>
      <c r="AJ1609" s="12"/>
      <c r="AK1609" s="12"/>
      <c r="AL1609" s="12"/>
      <c r="AM1609" s="12"/>
      <c r="AN1609" s="12"/>
      <c r="AO1609" s="12"/>
      <c r="AP1609" s="12"/>
      <c r="AQ1609" s="12"/>
      <c r="AR1609" s="12"/>
      <c r="AS1609" s="12"/>
      <c r="AT1609" s="12"/>
      <c r="AU1609" s="12"/>
      <c r="AV1609" s="12"/>
      <c r="AW1609" s="12"/>
      <c r="AX1609" s="12"/>
      <c r="AY1609" s="12"/>
      <c r="AZ1609" s="12"/>
      <c r="BA1609" s="12"/>
      <c r="BB1609" s="12"/>
      <c r="BC1609" s="12"/>
      <c r="BD1609" s="12"/>
      <c r="BE1609" s="12"/>
      <c r="BF1609" s="12"/>
      <c r="BG1609" s="12"/>
      <c r="BH1609" s="12"/>
      <c r="BI1609" s="12"/>
      <c r="BJ1609" s="12"/>
      <c r="BK1609" s="12"/>
      <c r="BL1609" s="12"/>
      <c r="BM1609" s="12"/>
      <c r="BN1609" s="12"/>
      <c r="BO1609" s="12"/>
      <c r="BP1609" s="12"/>
      <c r="BQ1609" s="12"/>
      <c r="BR1609" s="12"/>
      <c r="BS1609" s="12"/>
      <c r="BT1609" s="12"/>
    </row>
    <row r="1610" spans="1:72">
      <c r="A1610" s="2" t="s">
        <v>30774</v>
      </c>
      <c r="B1610" s="5" t="s">
        <v>30779</v>
      </c>
      <c r="C1610" s="3" t="s">
        <v>138</v>
      </c>
      <c r="D1610" s="4" t="s">
        <v>138</v>
      </c>
      <c r="E1610" s="15" t="s">
        <v>823</v>
      </c>
      <c r="F1610" s="15" t="s">
        <v>824</v>
      </c>
      <c r="G1610" s="15" t="s">
        <v>526</v>
      </c>
      <c r="H1610" s="7">
        <v>5</v>
      </c>
      <c r="I1610" s="6" t="s">
        <v>30789</v>
      </c>
      <c r="J1610" s="6" t="s">
        <v>45204</v>
      </c>
      <c r="K1610" s="6" t="s">
        <v>38841</v>
      </c>
      <c r="L1610" s="6" t="s">
        <v>37786</v>
      </c>
      <c r="M1610" s="6" t="s">
        <v>44103</v>
      </c>
      <c r="N1610" s="6" t="s">
        <v>42986</v>
      </c>
      <c r="O1610" s="6"/>
      <c r="P1610" s="6"/>
      <c r="Q1610" s="6"/>
      <c r="R1610" s="6"/>
      <c r="S1610" s="6"/>
      <c r="T1610" s="6"/>
      <c r="U1610" s="6"/>
      <c r="V1610" s="6"/>
      <c r="W1610" s="6"/>
      <c r="X1610" s="6"/>
      <c r="Y1610" s="6"/>
      <c r="Z1610" s="6"/>
      <c r="AA1610" s="6"/>
      <c r="AB1610" s="6"/>
      <c r="AC1610" s="6"/>
      <c r="AD1610" s="6"/>
      <c r="AE1610" s="6"/>
      <c r="AF1610" s="6"/>
      <c r="AG1610" s="6"/>
      <c r="AH1610" s="6"/>
      <c r="AI1610" s="6"/>
      <c r="AJ1610" s="6"/>
      <c r="AK1610" s="6"/>
      <c r="AL1610" s="6"/>
      <c r="AM1610" s="6"/>
      <c r="AN1610" s="6"/>
      <c r="AO1610" s="6"/>
      <c r="AP1610" s="6"/>
      <c r="AQ1610" s="6"/>
      <c r="AR1610" s="6"/>
      <c r="AS1610" s="6"/>
      <c r="AT1610" s="6"/>
      <c r="AU1610" s="6"/>
      <c r="AV1610" s="6"/>
      <c r="AW1610" s="6"/>
      <c r="AX1610" s="6"/>
      <c r="AY1610" s="6"/>
      <c r="AZ1610" s="6"/>
      <c r="BA1610" s="6"/>
      <c r="BB1610" s="6"/>
      <c r="BC1610" s="6"/>
      <c r="BD1610" s="6"/>
      <c r="BE1610" s="6"/>
      <c r="BF1610" s="6"/>
      <c r="BG1610" s="6"/>
      <c r="BH1610" s="6"/>
      <c r="BI1610" s="6"/>
      <c r="BJ1610" s="6"/>
      <c r="BK1610" s="6"/>
      <c r="BL1610" s="6"/>
      <c r="BM1610" s="6"/>
      <c r="BN1610" s="6"/>
      <c r="BO1610" s="6"/>
      <c r="BP1610" s="6"/>
      <c r="BQ1610" s="6"/>
      <c r="BR1610" s="6"/>
      <c r="BS1610" s="6"/>
      <c r="BT1610" s="6"/>
    </row>
    <row r="1611" spans="1:72">
      <c r="A1611" s="8" t="s">
        <v>30793</v>
      </c>
      <c r="B1611" s="11" t="s">
        <v>30797</v>
      </c>
      <c r="C1611" s="9" t="s">
        <v>138</v>
      </c>
      <c r="D1611" s="10" t="s">
        <v>138</v>
      </c>
      <c r="E1611" s="28" t="s">
        <v>1171</v>
      </c>
      <c r="F1611" s="28" t="s">
        <v>200</v>
      </c>
      <c r="G1611" s="28" t="s">
        <v>162</v>
      </c>
      <c r="H1611" s="13">
        <v>3</v>
      </c>
      <c r="I1611" s="12" t="s">
        <v>30805</v>
      </c>
      <c r="J1611" s="12" t="s">
        <v>45205</v>
      </c>
      <c r="K1611" s="12" t="s">
        <v>37791</v>
      </c>
      <c r="L1611" s="12" t="s">
        <v>42049</v>
      </c>
      <c r="M1611" s="12"/>
      <c r="N1611" s="12"/>
      <c r="O1611" s="12"/>
      <c r="P1611" s="12"/>
      <c r="Q1611" s="12"/>
      <c r="R1611" s="12"/>
      <c r="S1611" s="12"/>
      <c r="T1611" s="12"/>
      <c r="U1611" s="12"/>
      <c r="V1611" s="12"/>
      <c r="W1611" s="12"/>
      <c r="X1611" s="12"/>
      <c r="Y1611" s="12"/>
      <c r="Z1611" s="12"/>
      <c r="AA1611" s="12"/>
      <c r="AB1611" s="12"/>
      <c r="AC1611" s="12"/>
      <c r="AD1611" s="12"/>
      <c r="AE1611" s="12"/>
      <c r="AF1611" s="12"/>
      <c r="AG1611" s="12"/>
      <c r="AH1611" s="12"/>
      <c r="AI1611" s="12"/>
      <c r="AJ1611" s="12"/>
      <c r="AK1611" s="12"/>
      <c r="AL1611" s="12"/>
      <c r="AM1611" s="12"/>
      <c r="AN1611" s="12"/>
      <c r="AO1611" s="12"/>
      <c r="AP1611" s="12"/>
      <c r="AQ1611" s="12"/>
      <c r="AR1611" s="12"/>
      <c r="AS1611" s="12"/>
      <c r="AT1611" s="12"/>
      <c r="AU1611" s="12"/>
      <c r="AV1611" s="12"/>
      <c r="AW1611" s="12"/>
      <c r="AX1611" s="12"/>
      <c r="AY1611" s="12"/>
      <c r="AZ1611" s="12"/>
      <c r="BA1611" s="12"/>
      <c r="BB1611" s="12"/>
      <c r="BC1611" s="12"/>
      <c r="BD1611" s="12"/>
      <c r="BE1611" s="12"/>
      <c r="BF1611" s="12"/>
      <c r="BG1611" s="12"/>
      <c r="BH1611" s="12"/>
      <c r="BI1611" s="12"/>
      <c r="BJ1611" s="12"/>
      <c r="BK1611" s="12"/>
      <c r="BL1611" s="12"/>
      <c r="BM1611" s="12"/>
      <c r="BN1611" s="12"/>
      <c r="BO1611" s="12"/>
      <c r="BP1611" s="12"/>
      <c r="BQ1611" s="12"/>
      <c r="BR1611" s="12"/>
      <c r="BS1611" s="12"/>
      <c r="BT1611" s="12"/>
    </row>
    <row r="1612" spans="1:72">
      <c r="A1612" s="2" t="s">
        <v>30808</v>
      </c>
      <c r="B1612" s="5" t="s">
        <v>30812</v>
      </c>
      <c r="C1612" s="3" t="s">
        <v>138</v>
      </c>
      <c r="D1612" s="4" t="s">
        <v>138</v>
      </c>
      <c r="E1612" s="15" t="s">
        <v>1223</v>
      </c>
      <c r="F1612" s="15" t="s">
        <v>200</v>
      </c>
      <c r="G1612" s="15" t="s">
        <v>162</v>
      </c>
      <c r="H1612" s="7">
        <v>18</v>
      </c>
      <c r="I1612" s="6" t="s">
        <v>30820</v>
      </c>
      <c r="J1612" s="6" t="s">
        <v>37811</v>
      </c>
      <c r="K1612" s="6" t="s">
        <v>41558</v>
      </c>
      <c r="L1612" s="6" t="s">
        <v>38339</v>
      </c>
      <c r="M1612" s="6" t="s">
        <v>38299</v>
      </c>
      <c r="N1612" s="6" t="s">
        <v>38416</v>
      </c>
      <c r="O1612" s="6" t="s">
        <v>38931</v>
      </c>
      <c r="P1612" s="6" t="s">
        <v>38803</v>
      </c>
      <c r="Q1612" s="6" t="s">
        <v>38700</v>
      </c>
      <c r="R1612" s="6" t="s">
        <v>41865</v>
      </c>
      <c r="S1612" s="6" t="s">
        <v>39751</v>
      </c>
      <c r="T1612" s="6" t="s">
        <v>40583</v>
      </c>
      <c r="U1612" s="6" t="s">
        <v>38320</v>
      </c>
      <c r="V1612" s="6" t="s">
        <v>38322</v>
      </c>
      <c r="W1612" s="6" t="s">
        <v>37805</v>
      </c>
      <c r="X1612" s="6" t="s">
        <v>38714</v>
      </c>
      <c r="Y1612" s="6" t="s">
        <v>38582</v>
      </c>
      <c r="Z1612" s="6" t="s">
        <v>41370</v>
      </c>
      <c r="AA1612" s="6" t="s">
        <v>38326</v>
      </c>
      <c r="AB1612" s="6"/>
      <c r="AC1612" s="6"/>
      <c r="AD1612" s="6"/>
      <c r="AE1612" s="6"/>
      <c r="AF1612" s="6"/>
      <c r="AG1612" s="6"/>
      <c r="AH1612" s="6"/>
      <c r="AI1612" s="6"/>
      <c r="AJ1612" s="6"/>
      <c r="AK1612" s="6"/>
      <c r="AL1612" s="6"/>
      <c r="AM1612" s="6"/>
      <c r="AN1612" s="6"/>
      <c r="AO1612" s="6"/>
      <c r="AP1612" s="6"/>
      <c r="AQ1612" s="6"/>
      <c r="AR1612" s="6"/>
      <c r="AS1612" s="6"/>
      <c r="AT1612" s="6"/>
      <c r="AU1612" s="6"/>
      <c r="AV1612" s="6"/>
      <c r="AW1612" s="6"/>
      <c r="AX1612" s="6"/>
      <c r="AY1612" s="6"/>
      <c r="AZ1612" s="6"/>
      <c r="BA1612" s="6"/>
      <c r="BB1612" s="6"/>
      <c r="BC1612" s="6"/>
      <c r="BD1612" s="6"/>
      <c r="BE1612" s="6"/>
      <c r="BF1612" s="6"/>
      <c r="BG1612" s="6"/>
      <c r="BH1612" s="6"/>
      <c r="BI1612" s="6"/>
      <c r="BJ1612" s="6"/>
      <c r="BK1612" s="6"/>
      <c r="BL1612" s="6"/>
      <c r="BM1612" s="6"/>
      <c r="BN1612" s="6"/>
      <c r="BO1612" s="6"/>
      <c r="BP1612" s="6"/>
      <c r="BQ1612" s="6"/>
      <c r="BR1612" s="6"/>
      <c r="BS1612" s="6"/>
      <c r="BT1612" s="6"/>
    </row>
    <row r="1613" spans="1:72">
      <c r="A1613" s="8" t="s">
        <v>30825</v>
      </c>
      <c r="B1613" s="11" t="s">
        <v>30831</v>
      </c>
      <c r="C1613" s="9" t="s">
        <v>30826</v>
      </c>
      <c r="D1613" s="10" t="s">
        <v>138</v>
      </c>
      <c r="E1613" s="28" t="s">
        <v>426</v>
      </c>
      <c r="F1613" s="28" t="s">
        <v>426</v>
      </c>
      <c r="G1613" s="28" t="s">
        <v>162</v>
      </c>
      <c r="H1613" s="13">
        <v>16</v>
      </c>
      <c r="I1613" s="12" t="s">
        <v>30837</v>
      </c>
      <c r="J1613" s="12" t="s">
        <v>45206</v>
      </c>
      <c r="K1613" s="12" t="s">
        <v>45207</v>
      </c>
      <c r="L1613" s="12" t="s">
        <v>41523</v>
      </c>
      <c r="M1613" s="12" t="s">
        <v>45208</v>
      </c>
      <c r="N1613" s="12" t="s">
        <v>45209</v>
      </c>
      <c r="O1613" s="12" t="s">
        <v>45210</v>
      </c>
      <c r="P1613" s="12" t="s">
        <v>45211</v>
      </c>
      <c r="Q1613" s="12" t="s">
        <v>45212</v>
      </c>
      <c r="R1613" s="12" t="s">
        <v>38680</v>
      </c>
      <c r="S1613" s="12" t="s">
        <v>45213</v>
      </c>
      <c r="T1613" s="12" t="s">
        <v>37890</v>
      </c>
      <c r="U1613" s="12" t="s">
        <v>41360</v>
      </c>
      <c r="V1613" s="12" t="s">
        <v>38033</v>
      </c>
      <c r="W1613" s="12" t="s">
        <v>45214</v>
      </c>
      <c r="X1613" s="12" t="s">
        <v>45215</v>
      </c>
      <c r="Y1613" s="12" t="s">
        <v>45216</v>
      </c>
      <c r="Z1613" s="12"/>
      <c r="AA1613" s="12"/>
      <c r="AB1613" s="12"/>
      <c r="AC1613" s="12"/>
      <c r="AD1613" s="12"/>
      <c r="AE1613" s="12"/>
      <c r="AF1613" s="12"/>
      <c r="AG1613" s="12"/>
      <c r="AH1613" s="12"/>
      <c r="AI1613" s="12"/>
      <c r="AJ1613" s="12"/>
      <c r="AK1613" s="12"/>
      <c r="AL1613" s="12"/>
      <c r="AM1613" s="12"/>
      <c r="AN1613" s="12"/>
      <c r="AO1613" s="12"/>
      <c r="AP1613" s="12"/>
      <c r="AQ1613" s="12"/>
      <c r="AR1613" s="12"/>
      <c r="AS1613" s="12"/>
      <c r="AT1613" s="12"/>
      <c r="AU1613" s="12"/>
      <c r="AV1613" s="12"/>
      <c r="AW1613" s="12"/>
      <c r="AX1613" s="12"/>
      <c r="AY1613" s="12"/>
      <c r="AZ1613" s="12"/>
      <c r="BA1613" s="12"/>
      <c r="BB1613" s="12"/>
      <c r="BC1613" s="12"/>
      <c r="BD1613" s="12"/>
      <c r="BE1613" s="12"/>
      <c r="BF1613" s="12"/>
      <c r="BG1613" s="12"/>
      <c r="BH1613" s="12"/>
      <c r="BI1613" s="12"/>
      <c r="BJ1613" s="12"/>
      <c r="BK1613" s="12"/>
      <c r="BL1613" s="12"/>
      <c r="BM1613" s="12"/>
      <c r="BN1613" s="12"/>
      <c r="BO1613" s="12"/>
      <c r="BP1613" s="12"/>
      <c r="BQ1613" s="12"/>
      <c r="BR1613" s="12"/>
      <c r="BS1613" s="12"/>
      <c r="BT1613" s="12"/>
    </row>
    <row r="1614" spans="1:72">
      <c r="A1614" s="2" t="s">
        <v>30840</v>
      </c>
      <c r="B1614" s="5" t="s">
        <v>30844</v>
      </c>
      <c r="C1614" s="3" t="s">
        <v>138</v>
      </c>
      <c r="D1614" s="4" t="s">
        <v>138</v>
      </c>
      <c r="E1614" s="15" t="s">
        <v>1294</v>
      </c>
      <c r="F1614" s="15" t="s">
        <v>864</v>
      </c>
      <c r="G1614" s="15" t="s">
        <v>162</v>
      </c>
      <c r="H1614" s="7">
        <v>9</v>
      </c>
      <c r="I1614" s="6" t="s">
        <v>30855</v>
      </c>
      <c r="J1614" s="6" t="s">
        <v>38930</v>
      </c>
      <c r="K1614" s="6" t="s">
        <v>38366</v>
      </c>
      <c r="L1614" s="6" t="s">
        <v>38177</v>
      </c>
      <c r="M1614" s="6" t="s">
        <v>39714</v>
      </c>
      <c r="N1614" s="6" t="s">
        <v>43633</v>
      </c>
      <c r="O1614" s="6" t="s">
        <v>39099</v>
      </c>
      <c r="P1614" s="6" t="s">
        <v>40612</v>
      </c>
      <c r="Q1614" s="6" t="s">
        <v>42385</v>
      </c>
      <c r="R1614" s="6" t="s">
        <v>38384</v>
      </c>
      <c r="S1614" s="6"/>
      <c r="T1614" s="6"/>
      <c r="U1614" s="6"/>
      <c r="V1614" s="6"/>
      <c r="W1614" s="6"/>
      <c r="X1614" s="6"/>
      <c r="Y1614" s="6"/>
      <c r="Z1614" s="6"/>
      <c r="AA1614" s="6"/>
      <c r="AB1614" s="6"/>
      <c r="AC1614" s="6"/>
      <c r="AD1614" s="6"/>
      <c r="AE1614" s="6"/>
      <c r="AF1614" s="6"/>
      <c r="AG1614" s="6"/>
      <c r="AH1614" s="6"/>
      <c r="AI1614" s="6"/>
      <c r="AJ1614" s="6"/>
      <c r="AK1614" s="6"/>
      <c r="AL1614" s="6"/>
      <c r="AM1614" s="6"/>
      <c r="AN1614" s="6"/>
      <c r="AO1614" s="6"/>
      <c r="AP1614" s="6"/>
      <c r="AQ1614" s="6"/>
      <c r="AR1614" s="6"/>
      <c r="AS1614" s="6"/>
      <c r="AT1614" s="6"/>
      <c r="AU1614" s="6"/>
      <c r="AV1614" s="6"/>
      <c r="AW1614" s="6"/>
      <c r="AX1614" s="6"/>
      <c r="AY1614" s="6"/>
      <c r="AZ1614" s="6"/>
      <c r="BA1614" s="6"/>
      <c r="BB1614" s="6"/>
      <c r="BC1614" s="6"/>
      <c r="BD1614" s="6"/>
      <c r="BE1614" s="6"/>
      <c r="BF1614" s="6"/>
      <c r="BG1614" s="6"/>
      <c r="BH1614" s="6"/>
      <c r="BI1614" s="6"/>
      <c r="BJ1614" s="6"/>
      <c r="BK1614" s="6"/>
      <c r="BL1614" s="6"/>
      <c r="BM1614" s="6"/>
      <c r="BN1614" s="6"/>
      <c r="BO1614" s="6"/>
      <c r="BP1614" s="6"/>
      <c r="BQ1614" s="6"/>
      <c r="BR1614" s="6"/>
      <c r="BS1614" s="6"/>
      <c r="BT1614" s="6"/>
    </row>
    <row r="1615" spans="1:72">
      <c r="A1615" s="8" t="s">
        <v>30858</v>
      </c>
      <c r="B1615" s="11" t="s">
        <v>30861</v>
      </c>
      <c r="C1615" s="9" t="s">
        <v>138</v>
      </c>
      <c r="D1615" s="10" t="s">
        <v>138</v>
      </c>
      <c r="E1615" s="28" t="s">
        <v>22891</v>
      </c>
      <c r="F1615" s="28" t="s">
        <v>138</v>
      </c>
      <c r="G1615" s="28" t="s">
        <v>450</v>
      </c>
      <c r="H1615" s="13">
        <v>6</v>
      </c>
      <c r="I1615" s="12" t="s">
        <v>30868</v>
      </c>
      <c r="J1615" s="12" t="s">
        <v>455</v>
      </c>
      <c r="K1615" s="12" t="s">
        <v>45217</v>
      </c>
      <c r="L1615" s="12" t="s">
        <v>45218</v>
      </c>
      <c r="M1615" s="12" t="s">
        <v>40596</v>
      </c>
      <c r="N1615" s="12" t="s">
        <v>39219</v>
      </c>
      <c r="O1615" s="12" t="s">
        <v>38668</v>
      </c>
      <c r="P1615" s="12"/>
      <c r="Q1615" s="12"/>
      <c r="R1615" s="12"/>
      <c r="S1615" s="12"/>
      <c r="T1615" s="12"/>
      <c r="U1615" s="12"/>
      <c r="V1615" s="12"/>
      <c r="W1615" s="12"/>
      <c r="X1615" s="12"/>
      <c r="Y1615" s="12"/>
      <c r="Z1615" s="12"/>
      <c r="AA1615" s="12"/>
      <c r="AB1615" s="12"/>
      <c r="AC1615" s="12"/>
      <c r="AD1615" s="12"/>
      <c r="AE1615" s="12"/>
      <c r="AF1615" s="12"/>
      <c r="AG1615" s="12"/>
      <c r="AH1615" s="12"/>
      <c r="AI1615" s="12"/>
      <c r="AJ1615" s="12"/>
      <c r="AK1615" s="12"/>
      <c r="AL1615" s="12"/>
      <c r="AM1615" s="12"/>
      <c r="AN1615" s="12"/>
      <c r="AO1615" s="12"/>
      <c r="AP1615" s="12"/>
      <c r="AQ1615" s="12"/>
      <c r="AR1615" s="12"/>
      <c r="AS1615" s="12"/>
      <c r="AT1615" s="12"/>
      <c r="AU1615" s="12"/>
      <c r="AV1615" s="12"/>
      <c r="AW1615" s="12"/>
      <c r="AX1615" s="12"/>
      <c r="AY1615" s="12"/>
      <c r="AZ1615" s="12"/>
      <c r="BA1615" s="12"/>
      <c r="BB1615" s="12"/>
      <c r="BC1615" s="12"/>
      <c r="BD1615" s="12"/>
      <c r="BE1615" s="12"/>
      <c r="BF1615" s="12"/>
      <c r="BG1615" s="12"/>
      <c r="BH1615" s="12"/>
      <c r="BI1615" s="12"/>
      <c r="BJ1615" s="12"/>
      <c r="BK1615" s="12"/>
      <c r="BL1615" s="12"/>
      <c r="BM1615" s="12"/>
      <c r="BN1615" s="12"/>
      <c r="BO1615" s="12"/>
      <c r="BP1615" s="12"/>
      <c r="BQ1615" s="12"/>
      <c r="BR1615" s="12"/>
      <c r="BS1615" s="12"/>
      <c r="BT1615" s="12"/>
    </row>
    <row r="1616" spans="1:72">
      <c r="A1616" s="2" t="s">
        <v>30871</v>
      </c>
      <c r="B1616" s="5" t="s">
        <v>30875</v>
      </c>
      <c r="C1616" s="3" t="s">
        <v>138</v>
      </c>
      <c r="D1616" s="4" t="s">
        <v>138</v>
      </c>
      <c r="E1616" s="15" t="s">
        <v>3841</v>
      </c>
      <c r="F1616" s="15" t="s">
        <v>200</v>
      </c>
      <c r="G1616" s="15" t="s">
        <v>162</v>
      </c>
      <c r="H1616" s="7">
        <v>8</v>
      </c>
      <c r="I1616" s="6" t="s">
        <v>30885</v>
      </c>
      <c r="J1616" s="6" t="s">
        <v>38800</v>
      </c>
      <c r="K1616" s="6" t="s">
        <v>45219</v>
      </c>
      <c r="L1616" s="6" t="s">
        <v>37883</v>
      </c>
      <c r="M1616" s="6" t="s">
        <v>42751</v>
      </c>
      <c r="N1616" s="6" t="s">
        <v>37824</v>
      </c>
      <c r="O1616" s="6" t="s">
        <v>45220</v>
      </c>
      <c r="P1616" s="6" t="s">
        <v>38321</v>
      </c>
      <c r="Q1616" s="6" t="s">
        <v>37893</v>
      </c>
      <c r="R1616" s="6"/>
      <c r="S1616" s="6"/>
      <c r="T1616" s="6"/>
      <c r="U1616" s="6"/>
      <c r="V1616" s="6"/>
      <c r="W1616" s="6"/>
      <c r="X1616" s="6"/>
      <c r="Y1616" s="6"/>
      <c r="Z1616" s="6"/>
      <c r="AA1616" s="6"/>
      <c r="AB1616" s="6"/>
      <c r="AC1616" s="6"/>
      <c r="AD1616" s="6"/>
      <c r="AE1616" s="6"/>
      <c r="AF1616" s="6"/>
      <c r="AG1616" s="6"/>
      <c r="AH1616" s="6"/>
      <c r="AI1616" s="6"/>
      <c r="AJ1616" s="6"/>
      <c r="AK1616" s="6"/>
      <c r="AL1616" s="6"/>
      <c r="AM1616" s="6"/>
      <c r="AN1616" s="6"/>
      <c r="AO1616" s="6"/>
      <c r="AP1616" s="6"/>
      <c r="AQ1616" s="6"/>
      <c r="AR1616" s="6"/>
      <c r="AS1616" s="6"/>
      <c r="AT1616" s="6"/>
      <c r="AU1616" s="6"/>
      <c r="AV1616" s="6"/>
      <c r="AW1616" s="6"/>
      <c r="AX1616" s="6"/>
      <c r="AY1616" s="6"/>
      <c r="AZ1616" s="6"/>
      <c r="BA1616" s="6"/>
      <c r="BB1616" s="6"/>
      <c r="BC1616" s="6"/>
      <c r="BD1616" s="6"/>
      <c r="BE1616" s="6"/>
      <c r="BF1616" s="6"/>
      <c r="BG1616" s="6"/>
      <c r="BH1616" s="6"/>
      <c r="BI1616" s="6"/>
      <c r="BJ1616" s="6"/>
      <c r="BK1616" s="6"/>
      <c r="BL1616" s="6"/>
      <c r="BM1616" s="6"/>
      <c r="BN1616" s="6"/>
      <c r="BO1616" s="6"/>
      <c r="BP1616" s="6"/>
      <c r="BQ1616" s="6"/>
      <c r="BR1616" s="6"/>
      <c r="BS1616" s="6"/>
      <c r="BT1616" s="6"/>
    </row>
    <row r="1617" spans="1:72">
      <c r="A1617" s="8" t="s">
        <v>30888</v>
      </c>
      <c r="B1617" s="11" t="s">
        <v>30893</v>
      </c>
      <c r="C1617" s="9" t="s">
        <v>138</v>
      </c>
      <c r="D1617" s="10" t="s">
        <v>138</v>
      </c>
      <c r="E1617" s="28" t="s">
        <v>30900</v>
      </c>
      <c r="F1617" s="28" t="s">
        <v>17430</v>
      </c>
      <c r="G1617" s="28" t="s">
        <v>8999</v>
      </c>
      <c r="H1617" s="13">
        <v>7</v>
      </c>
      <c r="I1617" s="12" t="s">
        <v>30905</v>
      </c>
      <c r="J1617" s="12" t="s">
        <v>16877</v>
      </c>
      <c r="K1617" s="12" t="s">
        <v>45221</v>
      </c>
      <c r="L1617" s="12" t="s">
        <v>45222</v>
      </c>
      <c r="M1617" s="12" t="s">
        <v>45223</v>
      </c>
      <c r="N1617" s="12" t="s">
        <v>45224</v>
      </c>
      <c r="O1617" s="12" t="s">
        <v>45225</v>
      </c>
      <c r="P1617" s="12" t="s">
        <v>39263</v>
      </c>
      <c r="Q1617" s="12"/>
      <c r="R1617" s="12"/>
      <c r="S1617" s="12"/>
      <c r="T1617" s="12"/>
      <c r="U1617" s="12"/>
      <c r="V1617" s="12"/>
      <c r="W1617" s="12"/>
      <c r="X1617" s="12"/>
      <c r="Y1617" s="12"/>
      <c r="Z1617" s="12"/>
      <c r="AA1617" s="12"/>
      <c r="AB1617" s="12"/>
      <c r="AC1617" s="12"/>
      <c r="AD1617" s="12"/>
      <c r="AE1617" s="12"/>
      <c r="AF1617" s="12"/>
      <c r="AG1617" s="12"/>
      <c r="AH1617" s="12"/>
      <c r="AI1617" s="12"/>
      <c r="AJ1617" s="12"/>
      <c r="AK1617" s="12"/>
      <c r="AL1617" s="12"/>
      <c r="AM1617" s="12"/>
      <c r="AN1617" s="12"/>
      <c r="AO1617" s="12"/>
      <c r="AP1617" s="12"/>
      <c r="AQ1617" s="12"/>
      <c r="AR1617" s="12"/>
      <c r="AS1617" s="12"/>
      <c r="AT1617" s="12"/>
      <c r="AU1617" s="12"/>
      <c r="AV1617" s="12"/>
      <c r="AW1617" s="12"/>
      <c r="AX1617" s="12"/>
      <c r="AY1617" s="12"/>
      <c r="AZ1617" s="12"/>
      <c r="BA1617" s="12"/>
      <c r="BB1617" s="12"/>
      <c r="BC1617" s="12"/>
      <c r="BD1617" s="12"/>
      <c r="BE1617" s="12"/>
      <c r="BF1617" s="12"/>
      <c r="BG1617" s="12"/>
      <c r="BH1617" s="12"/>
      <c r="BI1617" s="12"/>
      <c r="BJ1617" s="12"/>
      <c r="BK1617" s="12"/>
      <c r="BL1617" s="12"/>
      <c r="BM1617" s="12"/>
      <c r="BN1617" s="12"/>
      <c r="BO1617" s="12"/>
      <c r="BP1617" s="12"/>
      <c r="BQ1617" s="12"/>
      <c r="BR1617" s="12"/>
      <c r="BS1617" s="12"/>
      <c r="BT1617" s="12"/>
    </row>
    <row r="1618" spans="1:72">
      <c r="A1618" s="2" t="s">
        <v>30908</v>
      </c>
      <c r="B1618" s="5" t="s">
        <v>30914</v>
      </c>
      <c r="C1618" s="3" t="s">
        <v>138</v>
      </c>
      <c r="D1618" s="4" t="s">
        <v>30909</v>
      </c>
      <c r="E1618" s="15" t="s">
        <v>7578</v>
      </c>
      <c r="F1618" s="15" t="s">
        <v>30921</v>
      </c>
      <c r="G1618" s="15" t="s">
        <v>946</v>
      </c>
      <c r="H1618" s="7">
        <v>4</v>
      </c>
      <c r="I1618" s="6" t="s">
        <v>30926</v>
      </c>
      <c r="J1618" s="6" t="s">
        <v>45226</v>
      </c>
      <c r="K1618" s="6" t="s">
        <v>37764</v>
      </c>
      <c r="L1618" s="6" t="s">
        <v>45227</v>
      </c>
      <c r="M1618" s="6" t="s">
        <v>45228</v>
      </c>
      <c r="N1618" s="6"/>
      <c r="O1618" s="6"/>
      <c r="P1618" s="6"/>
      <c r="Q1618" s="6"/>
      <c r="R1618" s="6"/>
      <c r="S1618" s="6"/>
      <c r="T1618" s="6"/>
      <c r="U1618" s="6"/>
      <c r="V1618" s="6"/>
      <c r="W1618" s="6"/>
      <c r="X1618" s="6"/>
      <c r="Y1618" s="6"/>
      <c r="Z1618" s="6"/>
      <c r="AA1618" s="6"/>
      <c r="AB1618" s="6"/>
      <c r="AC1618" s="6"/>
      <c r="AD1618" s="6"/>
      <c r="AE1618" s="6"/>
      <c r="AF1618" s="6"/>
      <c r="AG1618" s="6"/>
      <c r="AH1618" s="6"/>
      <c r="AI1618" s="6"/>
      <c r="AJ1618" s="6"/>
      <c r="AK1618" s="6"/>
      <c r="AL1618" s="6"/>
      <c r="AM1618" s="6"/>
      <c r="AN1618" s="6"/>
      <c r="AO1618" s="6"/>
      <c r="AP1618" s="6"/>
      <c r="AQ1618" s="6"/>
      <c r="AR1618" s="6"/>
      <c r="AS1618" s="6"/>
      <c r="AT1618" s="6"/>
      <c r="AU1618" s="6"/>
      <c r="AV1618" s="6"/>
      <c r="AW1618" s="6"/>
      <c r="AX1618" s="6"/>
      <c r="AY1618" s="6"/>
      <c r="AZ1618" s="6"/>
      <c r="BA1618" s="6"/>
      <c r="BB1618" s="6"/>
      <c r="BC1618" s="6"/>
      <c r="BD1618" s="6"/>
      <c r="BE1618" s="6"/>
      <c r="BF1618" s="6"/>
      <c r="BG1618" s="6"/>
      <c r="BH1618" s="6"/>
      <c r="BI1618" s="6"/>
      <c r="BJ1618" s="6"/>
      <c r="BK1618" s="6"/>
      <c r="BL1618" s="6"/>
      <c r="BM1618" s="6"/>
      <c r="BN1618" s="6"/>
      <c r="BO1618" s="6"/>
      <c r="BP1618" s="6"/>
      <c r="BQ1618" s="6"/>
      <c r="BR1618" s="6"/>
      <c r="BS1618" s="6"/>
      <c r="BT1618" s="6"/>
    </row>
    <row r="1619" spans="1:72">
      <c r="A1619" s="8" t="s">
        <v>30929</v>
      </c>
      <c r="B1619" s="11" t="s">
        <v>30934</v>
      </c>
      <c r="C1619" s="9" t="s">
        <v>138</v>
      </c>
      <c r="D1619" s="10" t="s">
        <v>138</v>
      </c>
      <c r="E1619" s="28" t="s">
        <v>14647</v>
      </c>
      <c r="F1619" s="28" t="s">
        <v>138</v>
      </c>
      <c r="G1619" s="28" t="s">
        <v>740</v>
      </c>
      <c r="H1619" s="13">
        <v>6</v>
      </c>
      <c r="I1619" s="12" t="s">
        <v>30940</v>
      </c>
      <c r="J1619" s="12" t="s">
        <v>39029</v>
      </c>
      <c r="K1619" s="12" t="s">
        <v>45229</v>
      </c>
      <c r="L1619" s="12" t="s">
        <v>45230</v>
      </c>
      <c r="M1619" s="12" t="s">
        <v>39394</v>
      </c>
      <c r="N1619" s="12" t="s">
        <v>38189</v>
      </c>
      <c r="O1619" s="12" t="s">
        <v>39296</v>
      </c>
      <c r="P1619" s="12"/>
      <c r="Q1619" s="12"/>
      <c r="R1619" s="12"/>
      <c r="S1619" s="12"/>
      <c r="T1619" s="12"/>
      <c r="U1619" s="12"/>
      <c r="V1619" s="12"/>
      <c r="W1619" s="12"/>
      <c r="X1619" s="12"/>
      <c r="Y1619" s="12"/>
      <c r="Z1619" s="12"/>
      <c r="AA1619" s="12"/>
      <c r="AB1619" s="12"/>
      <c r="AC1619" s="12"/>
      <c r="AD1619" s="12"/>
      <c r="AE1619" s="12"/>
      <c r="AF1619" s="12"/>
      <c r="AG1619" s="12"/>
      <c r="AH1619" s="12"/>
      <c r="AI1619" s="12"/>
      <c r="AJ1619" s="12"/>
      <c r="AK1619" s="12"/>
      <c r="AL1619" s="12"/>
      <c r="AM1619" s="12"/>
      <c r="AN1619" s="12"/>
      <c r="AO1619" s="12"/>
      <c r="AP1619" s="12"/>
      <c r="AQ1619" s="12"/>
      <c r="AR1619" s="12"/>
      <c r="AS1619" s="12"/>
      <c r="AT1619" s="12"/>
      <c r="AU1619" s="12"/>
      <c r="AV1619" s="12"/>
      <c r="AW1619" s="12"/>
      <c r="AX1619" s="12"/>
      <c r="AY1619" s="12"/>
      <c r="AZ1619" s="12"/>
      <c r="BA1619" s="12"/>
      <c r="BB1619" s="12"/>
      <c r="BC1619" s="12"/>
      <c r="BD1619" s="12"/>
      <c r="BE1619" s="12"/>
      <c r="BF1619" s="12"/>
      <c r="BG1619" s="12"/>
      <c r="BH1619" s="12"/>
      <c r="BI1619" s="12"/>
      <c r="BJ1619" s="12"/>
      <c r="BK1619" s="12"/>
      <c r="BL1619" s="12"/>
      <c r="BM1619" s="12"/>
      <c r="BN1619" s="12"/>
      <c r="BO1619" s="12"/>
      <c r="BP1619" s="12"/>
      <c r="BQ1619" s="12"/>
      <c r="BR1619" s="12"/>
      <c r="BS1619" s="12"/>
      <c r="BT1619" s="12"/>
    </row>
    <row r="1620" spans="1:72">
      <c r="A1620" s="2" t="s">
        <v>30943</v>
      </c>
      <c r="B1620" s="5" t="s">
        <v>30947</v>
      </c>
      <c r="C1620" s="3" t="s">
        <v>138</v>
      </c>
      <c r="D1620" s="4" t="s">
        <v>138</v>
      </c>
      <c r="E1620" s="15" t="s">
        <v>1294</v>
      </c>
      <c r="F1620" s="15" t="s">
        <v>864</v>
      </c>
      <c r="G1620" s="15" t="s">
        <v>162</v>
      </c>
      <c r="H1620" s="7">
        <v>11</v>
      </c>
      <c r="I1620" s="6" t="s">
        <v>30957</v>
      </c>
      <c r="J1620" s="6" t="s">
        <v>45231</v>
      </c>
      <c r="K1620" s="6" t="s">
        <v>38339</v>
      </c>
      <c r="L1620" s="6" t="s">
        <v>37763</v>
      </c>
      <c r="M1620" s="6" t="s">
        <v>41735</v>
      </c>
      <c r="N1620" s="6" t="s">
        <v>38057</v>
      </c>
      <c r="O1620" s="6" t="s">
        <v>45232</v>
      </c>
      <c r="P1620" s="6" t="s">
        <v>43854</v>
      </c>
      <c r="Q1620" s="6" t="s">
        <v>43784</v>
      </c>
      <c r="R1620" s="6" t="s">
        <v>37781</v>
      </c>
      <c r="S1620" s="6" t="s">
        <v>39143</v>
      </c>
      <c r="T1620" s="6" t="s">
        <v>37871</v>
      </c>
      <c r="U1620" s="6"/>
      <c r="V1620" s="6"/>
      <c r="W1620" s="6"/>
      <c r="X1620" s="6"/>
      <c r="Y1620" s="6"/>
      <c r="Z1620" s="6"/>
      <c r="AA1620" s="6"/>
      <c r="AB1620" s="6"/>
      <c r="AC1620" s="6"/>
      <c r="AD1620" s="6"/>
      <c r="AE1620" s="6"/>
      <c r="AF1620" s="6"/>
      <c r="AG1620" s="6"/>
      <c r="AH1620" s="6"/>
      <c r="AI1620" s="6"/>
      <c r="AJ1620" s="6"/>
      <c r="AK1620" s="6"/>
      <c r="AL1620" s="6"/>
      <c r="AM1620" s="6"/>
      <c r="AN1620" s="6"/>
      <c r="AO1620" s="6"/>
      <c r="AP1620" s="6"/>
      <c r="AQ1620" s="6"/>
      <c r="AR1620" s="6"/>
      <c r="AS1620" s="6"/>
      <c r="AT1620" s="6"/>
      <c r="AU1620" s="6"/>
      <c r="AV1620" s="6"/>
      <c r="AW1620" s="6"/>
      <c r="AX1620" s="6"/>
      <c r="AY1620" s="6"/>
      <c r="AZ1620" s="6"/>
      <c r="BA1620" s="6"/>
      <c r="BB1620" s="6"/>
      <c r="BC1620" s="6"/>
      <c r="BD1620" s="6"/>
      <c r="BE1620" s="6"/>
      <c r="BF1620" s="6"/>
      <c r="BG1620" s="6"/>
      <c r="BH1620" s="6"/>
      <c r="BI1620" s="6"/>
      <c r="BJ1620" s="6"/>
      <c r="BK1620" s="6"/>
      <c r="BL1620" s="6"/>
      <c r="BM1620" s="6"/>
      <c r="BN1620" s="6"/>
      <c r="BO1620" s="6"/>
      <c r="BP1620" s="6"/>
      <c r="BQ1620" s="6"/>
      <c r="BR1620" s="6"/>
      <c r="BS1620" s="6"/>
      <c r="BT1620" s="6"/>
    </row>
    <row r="1621" spans="1:72">
      <c r="A1621" s="8" t="s">
        <v>30962</v>
      </c>
      <c r="B1621" s="11" t="s">
        <v>30967</v>
      </c>
      <c r="C1621" s="9" t="s">
        <v>30963</v>
      </c>
      <c r="D1621" s="10" t="s">
        <v>138</v>
      </c>
      <c r="E1621" s="28" t="s">
        <v>668</v>
      </c>
      <c r="F1621" s="28" t="s">
        <v>200</v>
      </c>
      <c r="G1621" s="28" t="s">
        <v>162</v>
      </c>
      <c r="H1621" s="13">
        <v>10</v>
      </c>
      <c r="I1621" s="12" t="s">
        <v>30975</v>
      </c>
      <c r="J1621" s="12" t="s">
        <v>44636</v>
      </c>
      <c r="K1621" s="12" t="s">
        <v>37984</v>
      </c>
      <c r="L1621" s="12" t="s">
        <v>38332</v>
      </c>
      <c r="M1621" s="12" t="s">
        <v>39391</v>
      </c>
      <c r="N1621" s="12" t="s">
        <v>37781</v>
      </c>
      <c r="O1621" s="12" t="s">
        <v>37783</v>
      </c>
      <c r="P1621" s="12" t="s">
        <v>37885</v>
      </c>
      <c r="Q1621" s="12" t="s">
        <v>38157</v>
      </c>
      <c r="R1621" s="12" t="s">
        <v>40431</v>
      </c>
      <c r="S1621" s="12" t="s">
        <v>37976</v>
      </c>
      <c r="T1621" s="12"/>
      <c r="U1621" s="12"/>
      <c r="V1621" s="12"/>
      <c r="W1621" s="12"/>
      <c r="X1621" s="12"/>
      <c r="Y1621" s="12"/>
      <c r="Z1621" s="12"/>
      <c r="AA1621" s="12"/>
      <c r="AB1621" s="12"/>
      <c r="AC1621" s="12"/>
      <c r="AD1621" s="12"/>
      <c r="AE1621" s="12"/>
      <c r="AF1621" s="12"/>
      <c r="AG1621" s="12"/>
      <c r="AH1621" s="12"/>
      <c r="AI1621" s="12"/>
      <c r="AJ1621" s="12"/>
      <c r="AK1621" s="12"/>
      <c r="AL1621" s="12"/>
      <c r="AM1621" s="12"/>
      <c r="AN1621" s="12"/>
      <c r="AO1621" s="12"/>
      <c r="AP1621" s="12"/>
      <c r="AQ1621" s="12"/>
      <c r="AR1621" s="12"/>
      <c r="AS1621" s="12"/>
      <c r="AT1621" s="12"/>
      <c r="AU1621" s="12"/>
      <c r="AV1621" s="12"/>
      <c r="AW1621" s="12"/>
      <c r="AX1621" s="12"/>
      <c r="AY1621" s="12"/>
      <c r="AZ1621" s="12"/>
      <c r="BA1621" s="12"/>
      <c r="BB1621" s="12"/>
      <c r="BC1621" s="12"/>
      <c r="BD1621" s="12"/>
      <c r="BE1621" s="12"/>
      <c r="BF1621" s="12"/>
      <c r="BG1621" s="12"/>
      <c r="BH1621" s="12"/>
      <c r="BI1621" s="12"/>
      <c r="BJ1621" s="12"/>
      <c r="BK1621" s="12"/>
      <c r="BL1621" s="12"/>
      <c r="BM1621" s="12"/>
      <c r="BN1621" s="12"/>
      <c r="BO1621" s="12"/>
      <c r="BP1621" s="12"/>
      <c r="BQ1621" s="12"/>
      <c r="BR1621" s="12"/>
      <c r="BS1621" s="12"/>
      <c r="BT1621" s="12"/>
    </row>
    <row r="1622" spans="1:72">
      <c r="A1622" s="2" t="s">
        <v>30978</v>
      </c>
      <c r="B1622" s="5" t="s">
        <v>30983</v>
      </c>
      <c r="C1622" s="3" t="s">
        <v>138</v>
      </c>
      <c r="D1622" s="4" t="s">
        <v>30979</v>
      </c>
      <c r="E1622" s="15" t="s">
        <v>1223</v>
      </c>
      <c r="F1622" s="15" t="s">
        <v>200</v>
      </c>
      <c r="G1622" s="15" t="s">
        <v>162</v>
      </c>
      <c r="H1622" s="7">
        <v>17</v>
      </c>
      <c r="I1622" s="6" t="s">
        <v>30993</v>
      </c>
      <c r="J1622" s="6" t="s">
        <v>38344</v>
      </c>
      <c r="K1622" s="6" t="s">
        <v>45233</v>
      </c>
      <c r="L1622" s="6" t="s">
        <v>39003</v>
      </c>
      <c r="M1622" s="6" t="s">
        <v>39031</v>
      </c>
      <c r="N1622" s="6" t="s">
        <v>38299</v>
      </c>
      <c r="O1622" s="6" t="s">
        <v>38230</v>
      </c>
      <c r="P1622" s="6" t="s">
        <v>44438</v>
      </c>
      <c r="Q1622" s="6" t="s">
        <v>38334</v>
      </c>
      <c r="R1622" s="6" t="s">
        <v>45234</v>
      </c>
      <c r="S1622" s="6" t="s">
        <v>45235</v>
      </c>
      <c r="T1622" s="6" t="s">
        <v>40191</v>
      </c>
      <c r="U1622" s="6" t="s">
        <v>38200</v>
      </c>
      <c r="V1622" s="6" t="s">
        <v>38704</v>
      </c>
      <c r="W1622" s="6" t="s">
        <v>37891</v>
      </c>
      <c r="X1622" s="6" t="s">
        <v>39466</v>
      </c>
      <c r="Y1622" s="6" t="s">
        <v>40049</v>
      </c>
      <c r="Z1622" s="6" t="s">
        <v>38706</v>
      </c>
      <c r="AA1622" s="6"/>
      <c r="AB1622" s="6"/>
      <c r="AC1622" s="6"/>
      <c r="AD1622" s="6"/>
      <c r="AE1622" s="6"/>
      <c r="AF1622" s="6"/>
      <c r="AG1622" s="6"/>
      <c r="AH1622" s="6"/>
      <c r="AI1622" s="6"/>
      <c r="AJ1622" s="6"/>
      <c r="AK1622" s="6"/>
      <c r="AL1622" s="6"/>
      <c r="AM1622" s="6"/>
      <c r="AN1622" s="6"/>
      <c r="AO1622" s="6"/>
      <c r="AP1622" s="6"/>
      <c r="AQ1622" s="6"/>
      <c r="AR1622" s="6"/>
      <c r="AS1622" s="6"/>
      <c r="AT1622" s="6"/>
      <c r="AU1622" s="6"/>
      <c r="AV1622" s="6"/>
      <c r="AW1622" s="6"/>
      <c r="AX1622" s="6"/>
      <c r="AY1622" s="6"/>
      <c r="AZ1622" s="6"/>
      <c r="BA1622" s="6"/>
      <c r="BB1622" s="6"/>
      <c r="BC1622" s="6"/>
      <c r="BD1622" s="6"/>
      <c r="BE1622" s="6"/>
      <c r="BF1622" s="6"/>
      <c r="BG1622" s="6"/>
      <c r="BH1622" s="6"/>
      <c r="BI1622" s="6"/>
      <c r="BJ1622" s="6"/>
      <c r="BK1622" s="6"/>
      <c r="BL1622" s="6"/>
      <c r="BM1622" s="6"/>
      <c r="BN1622" s="6"/>
      <c r="BO1622" s="6"/>
      <c r="BP1622" s="6"/>
      <c r="BQ1622" s="6"/>
      <c r="BR1622" s="6"/>
      <c r="BS1622" s="6"/>
      <c r="BT1622" s="6"/>
    </row>
    <row r="1623" spans="1:72">
      <c r="A1623" s="8" t="s">
        <v>30997</v>
      </c>
      <c r="B1623" s="11" t="s">
        <v>31004</v>
      </c>
      <c r="C1623" s="9" t="s">
        <v>30998</v>
      </c>
      <c r="D1623" s="10" t="s">
        <v>30999</v>
      </c>
      <c r="E1623" s="28" t="s">
        <v>863</v>
      </c>
      <c r="F1623" s="28" t="s">
        <v>824</v>
      </c>
      <c r="G1623" s="28" t="s">
        <v>526</v>
      </c>
      <c r="H1623" s="13">
        <v>6</v>
      </c>
      <c r="I1623" s="12" t="s">
        <v>31015</v>
      </c>
      <c r="J1623" s="12" t="s">
        <v>39462</v>
      </c>
      <c r="K1623" s="12" t="s">
        <v>45236</v>
      </c>
      <c r="L1623" s="12" t="s">
        <v>45237</v>
      </c>
      <c r="M1623" s="12" t="s">
        <v>45238</v>
      </c>
      <c r="N1623" s="12" t="s">
        <v>45239</v>
      </c>
      <c r="O1623" s="12" t="s">
        <v>45240</v>
      </c>
      <c r="P1623" s="12"/>
      <c r="Q1623" s="12"/>
      <c r="R1623" s="12"/>
      <c r="S1623" s="12"/>
      <c r="T1623" s="12"/>
      <c r="U1623" s="12"/>
      <c r="V1623" s="12"/>
      <c r="W1623" s="12"/>
      <c r="X1623" s="12"/>
      <c r="Y1623" s="12"/>
      <c r="Z1623" s="12"/>
      <c r="AA1623" s="12"/>
      <c r="AB1623" s="12"/>
      <c r="AC1623" s="12"/>
      <c r="AD1623" s="12"/>
      <c r="AE1623" s="12"/>
      <c r="AF1623" s="12"/>
      <c r="AG1623" s="12"/>
      <c r="AH1623" s="12"/>
      <c r="AI1623" s="12"/>
      <c r="AJ1623" s="12"/>
      <c r="AK1623" s="12"/>
      <c r="AL1623" s="12"/>
      <c r="AM1623" s="12"/>
      <c r="AN1623" s="12"/>
      <c r="AO1623" s="12"/>
      <c r="AP1623" s="12"/>
      <c r="AQ1623" s="12"/>
      <c r="AR1623" s="12"/>
      <c r="AS1623" s="12"/>
      <c r="AT1623" s="12"/>
      <c r="AU1623" s="12"/>
      <c r="AV1623" s="12"/>
      <c r="AW1623" s="12"/>
      <c r="AX1623" s="12"/>
      <c r="AY1623" s="12"/>
      <c r="AZ1623" s="12"/>
      <c r="BA1623" s="12"/>
      <c r="BB1623" s="12"/>
      <c r="BC1623" s="12"/>
      <c r="BD1623" s="12"/>
      <c r="BE1623" s="12"/>
      <c r="BF1623" s="12"/>
      <c r="BG1623" s="12"/>
      <c r="BH1623" s="12"/>
      <c r="BI1623" s="12"/>
      <c r="BJ1623" s="12"/>
      <c r="BK1623" s="12"/>
      <c r="BL1623" s="12"/>
      <c r="BM1623" s="12"/>
      <c r="BN1623" s="12"/>
      <c r="BO1623" s="12"/>
      <c r="BP1623" s="12"/>
      <c r="BQ1623" s="12"/>
      <c r="BR1623" s="12"/>
      <c r="BS1623" s="12"/>
      <c r="BT1623" s="12"/>
    </row>
    <row r="1624" spans="1:72">
      <c r="A1624" s="2" t="s">
        <v>31020</v>
      </c>
      <c r="B1624" s="5" t="s">
        <v>31023</v>
      </c>
      <c r="C1624" s="3" t="s">
        <v>138</v>
      </c>
      <c r="D1624" s="4" t="s">
        <v>138</v>
      </c>
      <c r="E1624" s="15" t="s">
        <v>6575</v>
      </c>
      <c r="F1624" s="15" t="s">
        <v>6576</v>
      </c>
      <c r="G1624" s="15" t="s">
        <v>162</v>
      </c>
      <c r="H1624" s="7">
        <v>2</v>
      </c>
      <c r="I1624" s="6" t="s">
        <v>31034</v>
      </c>
      <c r="J1624" s="6" t="s">
        <v>45241</v>
      </c>
      <c r="K1624" s="6" t="s">
        <v>37781</v>
      </c>
      <c r="L1624" s="6"/>
      <c r="M1624" s="6"/>
      <c r="N1624" s="6"/>
      <c r="O1624" s="6"/>
      <c r="P1624" s="6"/>
      <c r="Q1624" s="6"/>
      <c r="R1624" s="6"/>
      <c r="S1624" s="6"/>
      <c r="T1624" s="6"/>
      <c r="U1624" s="6"/>
      <c r="V1624" s="6"/>
      <c r="W1624" s="6"/>
      <c r="X1624" s="6"/>
      <c r="Y1624" s="6"/>
      <c r="Z1624" s="6"/>
      <c r="AA1624" s="6"/>
      <c r="AB1624" s="6"/>
      <c r="AC1624" s="6"/>
      <c r="AD1624" s="6"/>
      <c r="AE1624" s="6"/>
      <c r="AF1624" s="6"/>
      <c r="AG1624" s="6"/>
      <c r="AH1624" s="6"/>
      <c r="AI1624" s="6"/>
      <c r="AJ1624" s="6"/>
      <c r="AK1624" s="6"/>
      <c r="AL1624" s="6"/>
      <c r="AM1624" s="6"/>
      <c r="AN1624" s="6"/>
      <c r="AO1624" s="6"/>
      <c r="AP1624" s="6"/>
      <c r="AQ1624" s="6"/>
      <c r="AR1624" s="6"/>
      <c r="AS1624" s="6"/>
      <c r="AT1624" s="6"/>
      <c r="AU1624" s="6"/>
      <c r="AV1624" s="6"/>
      <c r="AW1624" s="6"/>
      <c r="AX1624" s="6"/>
      <c r="AY1624" s="6"/>
      <c r="AZ1624" s="6"/>
      <c r="BA1624" s="6"/>
      <c r="BB1624" s="6"/>
      <c r="BC1624" s="6"/>
      <c r="BD1624" s="6"/>
      <c r="BE1624" s="6"/>
      <c r="BF1624" s="6"/>
      <c r="BG1624" s="6"/>
      <c r="BH1624" s="6"/>
      <c r="BI1624" s="6"/>
      <c r="BJ1624" s="6"/>
      <c r="BK1624" s="6"/>
      <c r="BL1624" s="6"/>
      <c r="BM1624" s="6"/>
      <c r="BN1624" s="6"/>
      <c r="BO1624" s="6"/>
      <c r="BP1624" s="6"/>
      <c r="BQ1624" s="6"/>
      <c r="BR1624" s="6"/>
      <c r="BS1624" s="6"/>
      <c r="BT1624" s="6"/>
    </row>
    <row r="1625" spans="1:72">
      <c r="A1625" s="8" t="s">
        <v>31037</v>
      </c>
      <c r="B1625" s="11" t="s">
        <v>31043</v>
      </c>
      <c r="C1625" s="9" t="s">
        <v>31038</v>
      </c>
      <c r="D1625" s="10" t="s">
        <v>138</v>
      </c>
      <c r="E1625" s="28" t="s">
        <v>3841</v>
      </c>
      <c r="F1625" s="28" t="s">
        <v>200</v>
      </c>
      <c r="G1625" s="28" t="s">
        <v>162</v>
      </c>
      <c r="H1625" s="13">
        <v>5</v>
      </c>
      <c r="I1625" s="12" t="s">
        <v>31055</v>
      </c>
      <c r="J1625" s="12" t="s">
        <v>16877</v>
      </c>
      <c r="K1625" s="12" t="s">
        <v>39751</v>
      </c>
      <c r="L1625" s="12" t="s">
        <v>38476</v>
      </c>
      <c r="M1625" s="12" t="s">
        <v>39080</v>
      </c>
      <c r="N1625" s="12" t="s">
        <v>38201</v>
      </c>
      <c r="O1625" s="12"/>
      <c r="P1625" s="12"/>
      <c r="Q1625" s="12"/>
      <c r="R1625" s="12"/>
      <c r="S1625" s="12"/>
      <c r="T1625" s="12"/>
      <c r="U1625" s="12"/>
      <c r="V1625" s="12"/>
      <c r="W1625" s="12"/>
      <c r="X1625" s="12"/>
      <c r="Y1625" s="12"/>
      <c r="Z1625" s="12"/>
      <c r="AA1625" s="12"/>
      <c r="AB1625" s="12"/>
      <c r="AC1625" s="12"/>
      <c r="AD1625" s="12"/>
      <c r="AE1625" s="12"/>
      <c r="AF1625" s="12"/>
      <c r="AG1625" s="12"/>
      <c r="AH1625" s="12"/>
      <c r="AI1625" s="12"/>
      <c r="AJ1625" s="12"/>
      <c r="AK1625" s="12"/>
      <c r="AL1625" s="12"/>
      <c r="AM1625" s="12"/>
      <c r="AN1625" s="12"/>
      <c r="AO1625" s="12"/>
      <c r="AP1625" s="12"/>
      <c r="AQ1625" s="12"/>
      <c r="AR1625" s="12"/>
      <c r="AS1625" s="12"/>
      <c r="AT1625" s="12"/>
      <c r="AU1625" s="12"/>
      <c r="AV1625" s="12"/>
      <c r="AW1625" s="12"/>
      <c r="AX1625" s="12"/>
      <c r="AY1625" s="12"/>
      <c r="AZ1625" s="12"/>
      <c r="BA1625" s="12"/>
      <c r="BB1625" s="12"/>
      <c r="BC1625" s="12"/>
      <c r="BD1625" s="12"/>
      <c r="BE1625" s="12"/>
      <c r="BF1625" s="12"/>
      <c r="BG1625" s="12"/>
      <c r="BH1625" s="12"/>
      <c r="BI1625" s="12"/>
      <c r="BJ1625" s="12"/>
      <c r="BK1625" s="12"/>
      <c r="BL1625" s="12"/>
      <c r="BM1625" s="12"/>
      <c r="BN1625" s="12"/>
      <c r="BO1625" s="12"/>
      <c r="BP1625" s="12"/>
      <c r="BQ1625" s="12"/>
      <c r="BR1625" s="12"/>
      <c r="BS1625" s="12"/>
      <c r="BT1625" s="12"/>
    </row>
    <row r="1626" spans="1:72">
      <c r="A1626" s="2" t="s">
        <v>31060</v>
      </c>
      <c r="B1626" s="5" t="s">
        <v>31065</v>
      </c>
      <c r="C1626" s="3" t="s">
        <v>138</v>
      </c>
      <c r="D1626" s="4" t="s">
        <v>31061</v>
      </c>
      <c r="E1626" s="15" t="s">
        <v>823</v>
      </c>
      <c r="F1626" s="15" t="s">
        <v>824</v>
      </c>
      <c r="G1626" s="15" t="s">
        <v>526</v>
      </c>
      <c r="H1626" s="7">
        <v>5</v>
      </c>
      <c r="I1626" s="6" t="s">
        <v>31078</v>
      </c>
      <c r="J1626" s="6" t="s">
        <v>45242</v>
      </c>
      <c r="K1626" s="6" t="s">
        <v>37788</v>
      </c>
      <c r="L1626" s="6" t="s">
        <v>37781</v>
      </c>
      <c r="M1626" s="6" t="s">
        <v>44977</v>
      </c>
      <c r="N1626" s="6" t="s">
        <v>45243</v>
      </c>
      <c r="O1626" s="6"/>
      <c r="P1626" s="6"/>
      <c r="Q1626" s="6"/>
      <c r="R1626" s="6"/>
      <c r="S1626" s="6"/>
      <c r="T1626" s="6"/>
      <c r="U1626" s="6"/>
      <c r="V1626" s="6"/>
      <c r="W1626" s="6"/>
      <c r="X1626" s="6"/>
      <c r="Y1626" s="6"/>
      <c r="Z1626" s="6"/>
      <c r="AA1626" s="6"/>
      <c r="AB1626" s="6"/>
      <c r="AC1626" s="6"/>
      <c r="AD1626" s="6"/>
      <c r="AE1626" s="6"/>
      <c r="AF1626" s="6"/>
      <c r="AG1626" s="6"/>
      <c r="AH1626" s="6"/>
      <c r="AI1626" s="6"/>
      <c r="AJ1626" s="6"/>
      <c r="AK1626" s="6"/>
      <c r="AL1626" s="6"/>
      <c r="AM1626" s="6"/>
      <c r="AN1626" s="6"/>
      <c r="AO1626" s="6"/>
      <c r="AP1626" s="6"/>
      <c r="AQ1626" s="6"/>
      <c r="AR1626" s="6"/>
      <c r="AS1626" s="6"/>
      <c r="AT1626" s="6"/>
      <c r="AU1626" s="6"/>
      <c r="AV1626" s="6"/>
      <c r="AW1626" s="6"/>
      <c r="AX1626" s="6"/>
      <c r="AY1626" s="6"/>
      <c r="AZ1626" s="6"/>
      <c r="BA1626" s="6"/>
      <c r="BB1626" s="6"/>
      <c r="BC1626" s="6"/>
      <c r="BD1626" s="6"/>
      <c r="BE1626" s="6"/>
      <c r="BF1626" s="6"/>
      <c r="BG1626" s="6"/>
      <c r="BH1626" s="6"/>
      <c r="BI1626" s="6"/>
      <c r="BJ1626" s="6"/>
      <c r="BK1626" s="6"/>
      <c r="BL1626" s="6"/>
      <c r="BM1626" s="6"/>
      <c r="BN1626" s="6"/>
      <c r="BO1626" s="6"/>
      <c r="BP1626" s="6"/>
      <c r="BQ1626" s="6"/>
      <c r="BR1626" s="6"/>
      <c r="BS1626" s="6"/>
      <c r="BT1626" s="6"/>
    </row>
    <row r="1627" spans="1:72">
      <c r="A1627" s="8" t="s">
        <v>31085</v>
      </c>
      <c r="B1627" s="11" t="s">
        <v>31090</v>
      </c>
      <c r="C1627" s="9" t="s">
        <v>138</v>
      </c>
      <c r="D1627" s="10" t="s">
        <v>138</v>
      </c>
      <c r="E1627" s="28" t="s">
        <v>668</v>
      </c>
      <c r="F1627" s="28" t="s">
        <v>200</v>
      </c>
      <c r="G1627" s="28" t="s">
        <v>162</v>
      </c>
      <c r="H1627" s="13">
        <v>13</v>
      </c>
      <c r="I1627" s="12" t="s">
        <v>31100</v>
      </c>
      <c r="J1627" s="12" t="s">
        <v>39768</v>
      </c>
      <c r="K1627" s="12" t="s">
        <v>37938</v>
      </c>
      <c r="L1627" s="12" t="s">
        <v>37819</v>
      </c>
      <c r="M1627" s="12" t="s">
        <v>40346</v>
      </c>
      <c r="N1627" s="12" t="s">
        <v>45244</v>
      </c>
      <c r="O1627" s="12" t="s">
        <v>37883</v>
      </c>
      <c r="P1627" s="12" t="s">
        <v>39028</v>
      </c>
      <c r="Q1627" s="12" t="s">
        <v>43471</v>
      </c>
      <c r="R1627" s="12" t="s">
        <v>38579</v>
      </c>
      <c r="S1627" s="12" t="s">
        <v>45245</v>
      </c>
      <c r="T1627" s="12" t="s">
        <v>41394</v>
      </c>
      <c r="U1627" s="12" t="s">
        <v>39662</v>
      </c>
      <c r="V1627" s="12" t="s">
        <v>38728</v>
      </c>
      <c r="W1627" s="12"/>
      <c r="X1627" s="12"/>
      <c r="Y1627" s="12"/>
      <c r="Z1627" s="12"/>
      <c r="AA1627" s="12"/>
      <c r="AB1627" s="12"/>
      <c r="AC1627" s="12"/>
      <c r="AD1627" s="12"/>
      <c r="AE1627" s="12"/>
      <c r="AF1627" s="12"/>
      <c r="AG1627" s="12"/>
      <c r="AH1627" s="12"/>
      <c r="AI1627" s="12"/>
      <c r="AJ1627" s="12"/>
      <c r="AK1627" s="12"/>
      <c r="AL1627" s="12"/>
      <c r="AM1627" s="12"/>
      <c r="AN1627" s="12"/>
      <c r="AO1627" s="12"/>
      <c r="AP1627" s="12"/>
      <c r="AQ1627" s="12"/>
      <c r="AR1627" s="12"/>
      <c r="AS1627" s="12"/>
      <c r="AT1627" s="12"/>
      <c r="AU1627" s="12"/>
      <c r="AV1627" s="12"/>
      <c r="AW1627" s="12"/>
      <c r="AX1627" s="12"/>
      <c r="AY1627" s="12"/>
      <c r="AZ1627" s="12"/>
      <c r="BA1627" s="12"/>
      <c r="BB1627" s="12"/>
      <c r="BC1627" s="12"/>
      <c r="BD1627" s="12"/>
      <c r="BE1627" s="12"/>
      <c r="BF1627" s="12"/>
      <c r="BG1627" s="12"/>
      <c r="BH1627" s="12"/>
      <c r="BI1627" s="12"/>
      <c r="BJ1627" s="12"/>
      <c r="BK1627" s="12"/>
      <c r="BL1627" s="12"/>
      <c r="BM1627" s="12"/>
      <c r="BN1627" s="12"/>
      <c r="BO1627" s="12"/>
      <c r="BP1627" s="12"/>
      <c r="BQ1627" s="12"/>
      <c r="BR1627" s="12"/>
      <c r="BS1627" s="12"/>
      <c r="BT1627" s="12"/>
    </row>
    <row r="1628" spans="1:72">
      <c r="A1628" s="2" t="s">
        <v>31104</v>
      </c>
      <c r="B1628" s="5" t="s">
        <v>31110</v>
      </c>
      <c r="C1628" s="3" t="s">
        <v>31105</v>
      </c>
      <c r="D1628" s="4" t="s">
        <v>138</v>
      </c>
      <c r="E1628" s="15" t="s">
        <v>6495</v>
      </c>
      <c r="F1628" s="15" t="s">
        <v>138</v>
      </c>
      <c r="G1628" s="15" t="s">
        <v>6495</v>
      </c>
      <c r="H1628" s="7">
        <v>2</v>
      </c>
      <c r="I1628" s="6" t="s">
        <v>31121</v>
      </c>
      <c r="J1628" s="6" t="s">
        <v>16877</v>
      </c>
      <c r="K1628" s="6" t="s">
        <v>37787</v>
      </c>
      <c r="L1628" s="6"/>
      <c r="M1628" s="6"/>
      <c r="N1628" s="6"/>
      <c r="O1628" s="6"/>
      <c r="P1628" s="6"/>
      <c r="Q1628" s="6"/>
      <c r="R1628" s="6"/>
      <c r="S1628" s="6"/>
      <c r="T1628" s="6"/>
      <c r="U1628" s="6"/>
      <c r="V1628" s="6"/>
      <c r="W1628" s="6"/>
      <c r="X1628" s="6"/>
      <c r="Y1628" s="6"/>
      <c r="Z1628" s="6"/>
      <c r="AA1628" s="6"/>
      <c r="AB1628" s="6"/>
      <c r="AC1628" s="6"/>
      <c r="AD1628" s="6"/>
      <c r="AE1628" s="6"/>
      <c r="AF1628" s="6"/>
      <c r="AG1628" s="6"/>
      <c r="AH1628" s="6"/>
      <c r="AI1628" s="6"/>
      <c r="AJ1628" s="6"/>
      <c r="AK1628" s="6"/>
      <c r="AL1628" s="6"/>
      <c r="AM1628" s="6"/>
      <c r="AN1628" s="6"/>
      <c r="AO1628" s="6"/>
      <c r="AP1628" s="6"/>
      <c r="AQ1628" s="6"/>
      <c r="AR1628" s="6"/>
      <c r="AS1628" s="6"/>
      <c r="AT1628" s="6"/>
      <c r="AU1628" s="6"/>
      <c r="AV1628" s="6"/>
      <c r="AW1628" s="6"/>
      <c r="AX1628" s="6"/>
      <c r="AY1628" s="6"/>
      <c r="AZ1628" s="6"/>
      <c r="BA1628" s="6"/>
      <c r="BB1628" s="6"/>
      <c r="BC1628" s="6"/>
      <c r="BD1628" s="6"/>
      <c r="BE1628" s="6"/>
      <c r="BF1628" s="6"/>
      <c r="BG1628" s="6"/>
      <c r="BH1628" s="6"/>
      <c r="BI1628" s="6"/>
      <c r="BJ1628" s="6"/>
      <c r="BK1628" s="6"/>
      <c r="BL1628" s="6"/>
      <c r="BM1628" s="6"/>
      <c r="BN1628" s="6"/>
      <c r="BO1628" s="6"/>
      <c r="BP1628" s="6"/>
      <c r="BQ1628" s="6"/>
      <c r="BR1628" s="6"/>
      <c r="BS1628" s="6"/>
      <c r="BT1628" s="6"/>
    </row>
    <row r="1629" spans="1:72">
      <c r="A1629" s="8" t="s">
        <v>31124</v>
      </c>
      <c r="B1629" s="11" t="s">
        <v>31129</v>
      </c>
      <c r="C1629" s="9" t="s">
        <v>138</v>
      </c>
      <c r="D1629" s="10" t="s">
        <v>31125</v>
      </c>
      <c r="E1629" s="28" t="s">
        <v>3428</v>
      </c>
      <c r="F1629" s="28" t="s">
        <v>3883</v>
      </c>
      <c r="G1629" s="28" t="s">
        <v>162</v>
      </c>
      <c r="H1629" s="13">
        <v>10</v>
      </c>
      <c r="I1629" s="12" t="s">
        <v>31138</v>
      </c>
      <c r="J1629" s="12" t="s">
        <v>45246</v>
      </c>
      <c r="K1629" s="12" t="s">
        <v>43899</v>
      </c>
      <c r="L1629" s="12" t="s">
        <v>38299</v>
      </c>
      <c r="M1629" s="12" t="s">
        <v>42717</v>
      </c>
      <c r="N1629" s="12" t="s">
        <v>45247</v>
      </c>
      <c r="O1629" s="12" t="s">
        <v>38189</v>
      </c>
      <c r="P1629" s="12" t="s">
        <v>39080</v>
      </c>
      <c r="Q1629" s="12" t="s">
        <v>45248</v>
      </c>
      <c r="R1629" s="12" t="s">
        <v>45249</v>
      </c>
      <c r="S1629" s="12" t="s">
        <v>45250</v>
      </c>
      <c r="T1629" s="12"/>
      <c r="U1629" s="12"/>
      <c r="V1629" s="12"/>
      <c r="W1629" s="12"/>
      <c r="X1629" s="12"/>
      <c r="Y1629" s="12"/>
      <c r="Z1629" s="12"/>
      <c r="AA1629" s="12"/>
      <c r="AB1629" s="12"/>
      <c r="AC1629" s="12"/>
      <c r="AD1629" s="12"/>
      <c r="AE1629" s="12"/>
      <c r="AF1629" s="12"/>
      <c r="AG1629" s="12"/>
      <c r="AH1629" s="12"/>
      <c r="AI1629" s="12"/>
      <c r="AJ1629" s="12"/>
      <c r="AK1629" s="12"/>
      <c r="AL1629" s="12"/>
      <c r="AM1629" s="12"/>
      <c r="AN1629" s="12"/>
      <c r="AO1629" s="12"/>
      <c r="AP1629" s="12"/>
      <c r="AQ1629" s="12"/>
      <c r="AR1629" s="12"/>
      <c r="AS1629" s="12"/>
      <c r="AT1629" s="12"/>
      <c r="AU1629" s="12"/>
      <c r="AV1629" s="12"/>
      <c r="AW1629" s="12"/>
      <c r="AX1629" s="12"/>
      <c r="AY1629" s="12"/>
      <c r="AZ1629" s="12"/>
      <c r="BA1629" s="12"/>
      <c r="BB1629" s="12"/>
      <c r="BC1629" s="12"/>
      <c r="BD1629" s="12"/>
      <c r="BE1629" s="12"/>
      <c r="BF1629" s="12"/>
      <c r="BG1629" s="12"/>
      <c r="BH1629" s="12"/>
      <c r="BI1629" s="12"/>
      <c r="BJ1629" s="12"/>
      <c r="BK1629" s="12"/>
      <c r="BL1629" s="12"/>
      <c r="BM1629" s="12"/>
      <c r="BN1629" s="12"/>
      <c r="BO1629" s="12"/>
      <c r="BP1629" s="12"/>
      <c r="BQ1629" s="12"/>
      <c r="BR1629" s="12"/>
      <c r="BS1629" s="12"/>
      <c r="BT1629" s="12"/>
    </row>
    <row r="1630" spans="1:72">
      <c r="A1630" s="2" t="s">
        <v>31142</v>
      </c>
      <c r="B1630" s="5" t="s">
        <v>31146</v>
      </c>
      <c r="C1630" s="3" t="s">
        <v>138</v>
      </c>
      <c r="D1630" s="4" t="s">
        <v>138</v>
      </c>
      <c r="E1630" s="15" t="s">
        <v>1223</v>
      </c>
      <c r="F1630" s="15" t="s">
        <v>200</v>
      </c>
      <c r="G1630" s="15" t="s">
        <v>162</v>
      </c>
      <c r="H1630" s="7">
        <v>14</v>
      </c>
      <c r="I1630" s="6" t="s">
        <v>31157</v>
      </c>
      <c r="J1630" s="6" t="s">
        <v>45251</v>
      </c>
      <c r="K1630" s="6" t="s">
        <v>40875</v>
      </c>
      <c r="L1630" s="6" t="s">
        <v>43538</v>
      </c>
      <c r="M1630" s="6" t="s">
        <v>42145</v>
      </c>
      <c r="N1630" s="6" t="s">
        <v>44928</v>
      </c>
      <c r="O1630" s="6" t="s">
        <v>45252</v>
      </c>
      <c r="P1630" s="6" t="s">
        <v>45253</v>
      </c>
      <c r="Q1630" s="6" t="s">
        <v>37883</v>
      </c>
      <c r="R1630" s="6" t="s">
        <v>45254</v>
      </c>
      <c r="S1630" s="6" t="s">
        <v>39290</v>
      </c>
      <c r="T1630" s="6" t="s">
        <v>45255</v>
      </c>
      <c r="U1630" s="6" t="s">
        <v>45256</v>
      </c>
      <c r="V1630" s="6" t="s">
        <v>45257</v>
      </c>
      <c r="W1630" s="6" t="s">
        <v>38145</v>
      </c>
      <c r="X1630" s="6"/>
      <c r="Y1630" s="6"/>
      <c r="Z1630" s="6"/>
      <c r="AA1630" s="6"/>
      <c r="AB1630" s="6"/>
      <c r="AC1630" s="6"/>
      <c r="AD1630" s="6"/>
      <c r="AE1630" s="6"/>
      <c r="AF1630" s="6"/>
      <c r="AG1630" s="6"/>
      <c r="AH1630" s="6"/>
      <c r="AI1630" s="6"/>
      <c r="AJ1630" s="6"/>
      <c r="AK1630" s="6"/>
      <c r="AL1630" s="6"/>
      <c r="AM1630" s="6"/>
      <c r="AN1630" s="6"/>
      <c r="AO1630" s="6"/>
      <c r="AP1630" s="6"/>
      <c r="AQ1630" s="6"/>
      <c r="AR1630" s="6"/>
      <c r="AS1630" s="6"/>
      <c r="AT1630" s="6"/>
      <c r="AU1630" s="6"/>
      <c r="AV1630" s="6"/>
      <c r="AW1630" s="6"/>
      <c r="AX1630" s="6"/>
      <c r="AY1630" s="6"/>
      <c r="AZ1630" s="6"/>
      <c r="BA1630" s="6"/>
      <c r="BB1630" s="6"/>
      <c r="BC1630" s="6"/>
      <c r="BD1630" s="6"/>
      <c r="BE1630" s="6"/>
      <c r="BF1630" s="6"/>
      <c r="BG1630" s="6"/>
      <c r="BH1630" s="6"/>
      <c r="BI1630" s="6"/>
      <c r="BJ1630" s="6"/>
      <c r="BK1630" s="6"/>
      <c r="BL1630" s="6"/>
      <c r="BM1630" s="6"/>
      <c r="BN1630" s="6"/>
      <c r="BO1630" s="6"/>
      <c r="BP1630" s="6"/>
      <c r="BQ1630" s="6"/>
      <c r="BR1630" s="6"/>
      <c r="BS1630" s="6"/>
      <c r="BT1630" s="6"/>
    </row>
    <row r="1631" spans="1:72">
      <c r="A1631" s="8" t="s">
        <v>31162</v>
      </c>
      <c r="B1631" s="11" t="s">
        <v>31166</v>
      </c>
      <c r="C1631" s="9" t="s">
        <v>138</v>
      </c>
      <c r="D1631" s="10" t="s">
        <v>138</v>
      </c>
      <c r="E1631" s="28" t="s">
        <v>31173</v>
      </c>
      <c r="F1631" s="28" t="s">
        <v>200</v>
      </c>
      <c r="G1631" s="28" t="s">
        <v>162</v>
      </c>
      <c r="H1631" s="13">
        <v>1</v>
      </c>
      <c r="I1631" s="12" t="s">
        <v>3186</v>
      </c>
      <c r="J1631" s="12" t="s">
        <v>3186</v>
      </c>
      <c r="K1631" s="12"/>
      <c r="L1631" s="12"/>
      <c r="M1631" s="12"/>
      <c r="N1631" s="12"/>
      <c r="O1631" s="12"/>
      <c r="P1631" s="12"/>
      <c r="Q1631" s="12"/>
      <c r="R1631" s="12"/>
      <c r="S1631" s="12"/>
      <c r="T1631" s="12"/>
      <c r="U1631" s="12"/>
      <c r="V1631" s="12"/>
      <c r="W1631" s="12"/>
      <c r="X1631" s="12"/>
      <c r="Y1631" s="12"/>
      <c r="Z1631" s="12"/>
      <c r="AA1631" s="12"/>
      <c r="AB1631" s="12"/>
      <c r="AC1631" s="12"/>
      <c r="AD1631" s="12"/>
      <c r="AE1631" s="12"/>
      <c r="AF1631" s="12"/>
      <c r="AG1631" s="12"/>
      <c r="AH1631" s="12"/>
      <c r="AI1631" s="12"/>
      <c r="AJ1631" s="12"/>
      <c r="AK1631" s="12"/>
      <c r="AL1631" s="12"/>
      <c r="AM1631" s="12"/>
      <c r="AN1631" s="12"/>
      <c r="AO1631" s="12"/>
      <c r="AP1631" s="12"/>
      <c r="AQ1631" s="12"/>
      <c r="AR1631" s="12"/>
      <c r="AS1631" s="12"/>
      <c r="AT1631" s="12"/>
      <c r="AU1631" s="12"/>
      <c r="AV1631" s="12"/>
      <c r="AW1631" s="12"/>
      <c r="AX1631" s="12"/>
      <c r="AY1631" s="12"/>
      <c r="AZ1631" s="12"/>
      <c r="BA1631" s="12"/>
      <c r="BB1631" s="12"/>
      <c r="BC1631" s="12"/>
      <c r="BD1631" s="12"/>
      <c r="BE1631" s="12"/>
      <c r="BF1631" s="12"/>
      <c r="BG1631" s="12"/>
      <c r="BH1631" s="12"/>
      <c r="BI1631" s="12"/>
      <c r="BJ1631" s="12"/>
      <c r="BK1631" s="12"/>
      <c r="BL1631" s="12"/>
      <c r="BM1631" s="12"/>
      <c r="BN1631" s="12"/>
      <c r="BO1631" s="12"/>
      <c r="BP1631" s="12"/>
      <c r="BQ1631" s="12"/>
      <c r="BR1631" s="12"/>
      <c r="BS1631" s="12"/>
      <c r="BT1631" s="12"/>
    </row>
    <row r="1632" spans="1:72">
      <c r="A1632" s="2" t="s">
        <v>31177</v>
      </c>
      <c r="B1632" s="5" t="s">
        <v>31181</v>
      </c>
      <c r="C1632" s="3" t="s">
        <v>138</v>
      </c>
      <c r="D1632" s="4" t="s">
        <v>31178</v>
      </c>
      <c r="E1632" s="15" t="s">
        <v>1872</v>
      </c>
      <c r="F1632" s="15" t="s">
        <v>200</v>
      </c>
      <c r="G1632" s="15" t="s">
        <v>162</v>
      </c>
      <c r="H1632" s="7">
        <v>18</v>
      </c>
      <c r="I1632" s="6" t="s">
        <v>31190</v>
      </c>
      <c r="J1632" s="6" t="s">
        <v>38353</v>
      </c>
      <c r="K1632" s="6" t="s">
        <v>39924</v>
      </c>
      <c r="L1632" s="6" t="s">
        <v>37875</v>
      </c>
      <c r="M1632" s="6" t="s">
        <v>38354</v>
      </c>
      <c r="N1632" s="6" t="s">
        <v>42054</v>
      </c>
      <c r="O1632" s="6" t="s">
        <v>41156</v>
      </c>
      <c r="P1632" s="6" t="s">
        <v>42057</v>
      </c>
      <c r="Q1632" s="6" t="s">
        <v>38802</v>
      </c>
      <c r="R1632" s="6" t="s">
        <v>37921</v>
      </c>
      <c r="S1632" s="6" t="s">
        <v>37922</v>
      </c>
      <c r="T1632" s="6" t="s">
        <v>39759</v>
      </c>
      <c r="U1632" s="6" t="s">
        <v>38199</v>
      </c>
      <c r="V1632" s="6" t="s">
        <v>41259</v>
      </c>
      <c r="W1632" s="6" t="s">
        <v>45258</v>
      </c>
      <c r="X1632" s="6" t="s">
        <v>39279</v>
      </c>
      <c r="Y1632" s="6" t="s">
        <v>37783</v>
      </c>
      <c r="Z1632" s="6" t="s">
        <v>42336</v>
      </c>
      <c r="AA1632" s="6" t="s">
        <v>38566</v>
      </c>
      <c r="AB1632" s="6"/>
      <c r="AC1632" s="6"/>
      <c r="AD1632" s="6"/>
      <c r="AE1632" s="6"/>
      <c r="AF1632" s="6"/>
      <c r="AG1632" s="6"/>
      <c r="AH1632" s="6"/>
      <c r="AI1632" s="6"/>
      <c r="AJ1632" s="6"/>
      <c r="AK1632" s="6"/>
      <c r="AL1632" s="6"/>
      <c r="AM1632" s="6"/>
      <c r="AN1632" s="6"/>
      <c r="AO1632" s="6"/>
      <c r="AP1632" s="6"/>
      <c r="AQ1632" s="6"/>
      <c r="AR1632" s="6"/>
      <c r="AS1632" s="6"/>
      <c r="AT1632" s="6"/>
      <c r="AU1632" s="6"/>
      <c r="AV1632" s="6"/>
      <c r="AW1632" s="6"/>
      <c r="AX1632" s="6"/>
      <c r="AY1632" s="6"/>
      <c r="AZ1632" s="6"/>
      <c r="BA1632" s="6"/>
      <c r="BB1632" s="6"/>
      <c r="BC1632" s="6"/>
      <c r="BD1632" s="6"/>
      <c r="BE1632" s="6"/>
      <c r="BF1632" s="6"/>
      <c r="BG1632" s="6"/>
      <c r="BH1632" s="6"/>
      <c r="BI1632" s="6"/>
      <c r="BJ1632" s="6"/>
      <c r="BK1632" s="6"/>
      <c r="BL1632" s="6"/>
      <c r="BM1632" s="6"/>
      <c r="BN1632" s="6"/>
      <c r="BO1632" s="6"/>
      <c r="BP1632" s="6"/>
      <c r="BQ1632" s="6"/>
      <c r="BR1632" s="6"/>
      <c r="BS1632" s="6"/>
      <c r="BT1632" s="6"/>
    </row>
    <row r="1633" spans="1:72">
      <c r="A1633" s="8" t="s">
        <v>31194</v>
      </c>
      <c r="B1633" s="11" t="s">
        <v>31198</v>
      </c>
      <c r="C1633" s="9" t="s">
        <v>138</v>
      </c>
      <c r="D1633" s="10" t="s">
        <v>138</v>
      </c>
      <c r="E1633" s="28" t="s">
        <v>1246</v>
      </c>
      <c r="F1633" s="28" t="s">
        <v>200</v>
      </c>
      <c r="G1633" s="28" t="s">
        <v>162</v>
      </c>
      <c r="H1633" s="13">
        <v>5</v>
      </c>
      <c r="I1633" s="12" t="s">
        <v>31204</v>
      </c>
      <c r="J1633" s="12" t="s">
        <v>45259</v>
      </c>
      <c r="K1633" s="12" t="s">
        <v>45260</v>
      </c>
      <c r="L1633" s="12" t="s">
        <v>45261</v>
      </c>
      <c r="M1633" s="12" t="s">
        <v>40942</v>
      </c>
      <c r="N1633" s="12" t="s">
        <v>38145</v>
      </c>
      <c r="O1633" s="12"/>
      <c r="P1633" s="12"/>
      <c r="Q1633" s="12"/>
      <c r="R1633" s="12"/>
      <c r="S1633" s="12"/>
      <c r="T1633" s="12"/>
      <c r="U1633" s="12"/>
      <c r="V1633" s="12"/>
      <c r="W1633" s="12"/>
      <c r="X1633" s="12"/>
      <c r="Y1633" s="12"/>
      <c r="Z1633" s="12"/>
      <c r="AA1633" s="12"/>
      <c r="AB1633" s="12"/>
      <c r="AC1633" s="12"/>
      <c r="AD1633" s="12"/>
      <c r="AE1633" s="12"/>
      <c r="AF1633" s="12"/>
      <c r="AG1633" s="12"/>
      <c r="AH1633" s="12"/>
      <c r="AI1633" s="12"/>
      <c r="AJ1633" s="12"/>
      <c r="AK1633" s="12"/>
      <c r="AL1633" s="12"/>
      <c r="AM1633" s="12"/>
      <c r="AN1633" s="12"/>
      <c r="AO1633" s="12"/>
      <c r="AP1633" s="12"/>
      <c r="AQ1633" s="12"/>
      <c r="AR1633" s="12"/>
      <c r="AS1633" s="12"/>
      <c r="AT1633" s="12"/>
      <c r="AU1633" s="12"/>
      <c r="AV1633" s="12"/>
      <c r="AW1633" s="12"/>
      <c r="AX1633" s="12"/>
      <c r="AY1633" s="12"/>
      <c r="AZ1633" s="12"/>
      <c r="BA1633" s="12"/>
      <c r="BB1633" s="12"/>
      <c r="BC1633" s="12"/>
      <c r="BD1633" s="12"/>
      <c r="BE1633" s="12"/>
      <c r="BF1633" s="12"/>
      <c r="BG1633" s="12"/>
      <c r="BH1633" s="12"/>
      <c r="BI1633" s="12"/>
      <c r="BJ1633" s="12"/>
      <c r="BK1633" s="12"/>
      <c r="BL1633" s="12"/>
      <c r="BM1633" s="12"/>
      <c r="BN1633" s="12"/>
      <c r="BO1633" s="12"/>
      <c r="BP1633" s="12"/>
      <c r="BQ1633" s="12"/>
      <c r="BR1633" s="12"/>
      <c r="BS1633" s="12"/>
      <c r="BT1633" s="12"/>
    </row>
    <row r="1634" spans="1:72">
      <c r="A1634" s="2" t="s">
        <v>31207</v>
      </c>
      <c r="B1634" s="5" t="s">
        <v>31211</v>
      </c>
      <c r="C1634" s="3" t="s">
        <v>138</v>
      </c>
      <c r="D1634" s="4" t="s">
        <v>138</v>
      </c>
      <c r="E1634" s="15" t="s">
        <v>2030</v>
      </c>
      <c r="F1634" s="15" t="s">
        <v>2031</v>
      </c>
      <c r="G1634" s="15" t="s">
        <v>162</v>
      </c>
      <c r="H1634" s="7">
        <v>8</v>
      </c>
      <c r="I1634" s="6" t="s">
        <v>31219</v>
      </c>
      <c r="J1634" s="6" t="s">
        <v>45262</v>
      </c>
      <c r="K1634" s="6" t="s">
        <v>42879</v>
      </c>
      <c r="L1634" s="6" t="s">
        <v>45263</v>
      </c>
      <c r="M1634" s="6" t="s">
        <v>39076</v>
      </c>
      <c r="N1634" s="6" t="s">
        <v>39482</v>
      </c>
      <c r="O1634" s="6" t="s">
        <v>37931</v>
      </c>
      <c r="P1634" s="6" t="s">
        <v>45264</v>
      </c>
      <c r="Q1634" s="6" t="s">
        <v>44722</v>
      </c>
      <c r="R1634" s="6"/>
      <c r="S1634" s="6"/>
      <c r="T1634" s="6"/>
      <c r="U1634" s="6"/>
      <c r="V1634" s="6"/>
      <c r="W1634" s="6"/>
      <c r="X1634" s="6"/>
      <c r="Y1634" s="6"/>
      <c r="Z1634" s="6"/>
      <c r="AA1634" s="6"/>
      <c r="AB1634" s="6"/>
      <c r="AC1634" s="6"/>
      <c r="AD1634" s="6"/>
      <c r="AE1634" s="6"/>
      <c r="AF1634" s="6"/>
      <c r="AG1634" s="6"/>
      <c r="AH1634" s="6"/>
      <c r="AI1634" s="6"/>
      <c r="AJ1634" s="6"/>
      <c r="AK1634" s="6"/>
      <c r="AL1634" s="6"/>
      <c r="AM1634" s="6"/>
      <c r="AN1634" s="6"/>
      <c r="AO1634" s="6"/>
      <c r="AP1634" s="6"/>
      <c r="AQ1634" s="6"/>
      <c r="AR1634" s="6"/>
      <c r="AS1634" s="6"/>
      <c r="AT1634" s="6"/>
      <c r="AU1634" s="6"/>
      <c r="AV1634" s="6"/>
      <c r="AW1634" s="6"/>
      <c r="AX1634" s="6"/>
      <c r="AY1634" s="6"/>
      <c r="AZ1634" s="6"/>
      <c r="BA1634" s="6"/>
      <c r="BB1634" s="6"/>
      <c r="BC1634" s="6"/>
      <c r="BD1634" s="6"/>
      <c r="BE1634" s="6"/>
      <c r="BF1634" s="6"/>
      <c r="BG1634" s="6"/>
      <c r="BH1634" s="6"/>
      <c r="BI1634" s="6"/>
      <c r="BJ1634" s="6"/>
      <c r="BK1634" s="6"/>
      <c r="BL1634" s="6"/>
      <c r="BM1634" s="6"/>
      <c r="BN1634" s="6"/>
      <c r="BO1634" s="6"/>
      <c r="BP1634" s="6"/>
      <c r="BQ1634" s="6"/>
      <c r="BR1634" s="6"/>
      <c r="BS1634" s="6"/>
      <c r="BT1634" s="6"/>
    </row>
    <row r="1635" spans="1:72">
      <c r="A1635" s="8" t="s">
        <v>31223</v>
      </c>
      <c r="B1635" s="11" t="s">
        <v>31229</v>
      </c>
      <c r="C1635" s="9" t="s">
        <v>138</v>
      </c>
      <c r="D1635" s="10" t="s">
        <v>31224</v>
      </c>
      <c r="E1635" s="28" t="s">
        <v>1294</v>
      </c>
      <c r="F1635" s="28" t="s">
        <v>864</v>
      </c>
      <c r="G1635" s="28" t="s">
        <v>162</v>
      </c>
      <c r="H1635" s="13">
        <v>18</v>
      </c>
      <c r="I1635" s="12" t="s">
        <v>31238</v>
      </c>
      <c r="J1635" s="12" t="s">
        <v>17054</v>
      </c>
      <c r="K1635" s="12" t="s">
        <v>37797</v>
      </c>
      <c r="L1635" s="12" t="s">
        <v>43147</v>
      </c>
      <c r="M1635" s="12" t="s">
        <v>37987</v>
      </c>
      <c r="N1635" s="12" t="s">
        <v>40058</v>
      </c>
      <c r="O1635" s="12" t="s">
        <v>45265</v>
      </c>
      <c r="P1635" s="12" t="s">
        <v>39390</v>
      </c>
      <c r="Q1635" s="12" t="s">
        <v>37791</v>
      </c>
      <c r="R1635" s="12" t="s">
        <v>39395</v>
      </c>
      <c r="S1635" s="12" t="s">
        <v>40687</v>
      </c>
      <c r="T1635" s="12" t="s">
        <v>40688</v>
      </c>
      <c r="U1635" s="12" t="s">
        <v>43796</v>
      </c>
      <c r="V1635" s="12" t="s">
        <v>41539</v>
      </c>
      <c r="W1635" s="12" t="s">
        <v>40562</v>
      </c>
      <c r="X1635" s="12" t="s">
        <v>45266</v>
      </c>
      <c r="Y1635" s="12" t="s">
        <v>45267</v>
      </c>
      <c r="Z1635" s="12" t="s">
        <v>40213</v>
      </c>
      <c r="AA1635" s="12" t="s">
        <v>45268</v>
      </c>
      <c r="AB1635" s="12"/>
      <c r="AC1635" s="12"/>
      <c r="AD1635" s="12"/>
      <c r="AE1635" s="12"/>
      <c r="AF1635" s="12"/>
      <c r="AG1635" s="12"/>
      <c r="AH1635" s="12"/>
      <c r="AI1635" s="12"/>
      <c r="AJ1635" s="12"/>
      <c r="AK1635" s="12"/>
      <c r="AL1635" s="12"/>
      <c r="AM1635" s="12"/>
      <c r="AN1635" s="12"/>
      <c r="AO1635" s="12"/>
      <c r="AP1635" s="12"/>
      <c r="AQ1635" s="12"/>
      <c r="AR1635" s="12"/>
      <c r="AS1635" s="12"/>
      <c r="AT1635" s="12"/>
      <c r="AU1635" s="12"/>
      <c r="AV1635" s="12"/>
      <c r="AW1635" s="12"/>
      <c r="AX1635" s="12"/>
      <c r="AY1635" s="12"/>
      <c r="AZ1635" s="12"/>
      <c r="BA1635" s="12"/>
      <c r="BB1635" s="12"/>
      <c r="BC1635" s="12"/>
      <c r="BD1635" s="12"/>
      <c r="BE1635" s="12"/>
      <c r="BF1635" s="12"/>
      <c r="BG1635" s="12"/>
      <c r="BH1635" s="12"/>
      <c r="BI1635" s="12"/>
      <c r="BJ1635" s="12"/>
      <c r="BK1635" s="12"/>
      <c r="BL1635" s="12"/>
      <c r="BM1635" s="12"/>
      <c r="BN1635" s="12"/>
      <c r="BO1635" s="12"/>
      <c r="BP1635" s="12"/>
      <c r="BQ1635" s="12"/>
      <c r="BR1635" s="12"/>
      <c r="BS1635" s="12"/>
      <c r="BT1635" s="12"/>
    </row>
    <row r="1636" spans="1:72">
      <c r="A1636" s="2" t="s">
        <v>31242</v>
      </c>
      <c r="B1636" s="5" t="s">
        <v>31248</v>
      </c>
      <c r="C1636" s="3" t="s">
        <v>138</v>
      </c>
      <c r="D1636" s="4" t="s">
        <v>31243</v>
      </c>
      <c r="E1636" s="15" t="s">
        <v>4273</v>
      </c>
      <c r="F1636" s="15" t="s">
        <v>3112</v>
      </c>
      <c r="G1636" s="15" t="s">
        <v>2742</v>
      </c>
      <c r="H1636" s="7">
        <v>3</v>
      </c>
      <c r="I1636" s="6" t="s">
        <v>31258</v>
      </c>
      <c r="J1636" s="6" t="s">
        <v>27608</v>
      </c>
      <c r="K1636" s="6" t="s">
        <v>45269</v>
      </c>
      <c r="L1636" s="6" t="s">
        <v>41102</v>
      </c>
      <c r="M1636" s="6"/>
      <c r="N1636" s="6"/>
      <c r="O1636" s="6"/>
      <c r="P1636" s="6"/>
      <c r="Q1636" s="6"/>
      <c r="R1636" s="6"/>
      <c r="S1636" s="6"/>
      <c r="T1636" s="6"/>
      <c r="U1636" s="6"/>
      <c r="V1636" s="6"/>
      <c r="W1636" s="6"/>
      <c r="X1636" s="6"/>
      <c r="Y1636" s="6"/>
      <c r="Z1636" s="6"/>
      <c r="AA1636" s="6"/>
      <c r="AB1636" s="6"/>
      <c r="AC1636" s="6"/>
      <c r="AD1636" s="6"/>
      <c r="AE1636" s="6"/>
      <c r="AF1636" s="6"/>
      <c r="AG1636" s="6"/>
      <c r="AH1636" s="6"/>
      <c r="AI1636" s="6"/>
      <c r="AJ1636" s="6"/>
      <c r="AK1636" s="6"/>
      <c r="AL1636" s="6"/>
      <c r="AM1636" s="6"/>
      <c r="AN1636" s="6"/>
      <c r="AO1636" s="6"/>
      <c r="AP1636" s="6"/>
      <c r="AQ1636" s="6"/>
      <c r="AR1636" s="6"/>
      <c r="AS1636" s="6"/>
      <c r="AT1636" s="6"/>
      <c r="AU1636" s="6"/>
      <c r="AV1636" s="6"/>
      <c r="AW1636" s="6"/>
      <c r="AX1636" s="6"/>
      <c r="AY1636" s="6"/>
      <c r="AZ1636" s="6"/>
      <c r="BA1636" s="6"/>
      <c r="BB1636" s="6"/>
      <c r="BC1636" s="6"/>
      <c r="BD1636" s="6"/>
      <c r="BE1636" s="6"/>
      <c r="BF1636" s="6"/>
      <c r="BG1636" s="6"/>
      <c r="BH1636" s="6"/>
      <c r="BI1636" s="6"/>
      <c r="BJ1636" s="6"/>
      <c r="BK1636" s="6"/>
      <c r="BL1636" s="6"/>
      <c r="BM1636" s="6"/>
      <c r="BN1636" s="6"/>
      <c r="BO1636" s="6"/>
      <c r="BP1636" s="6"/>
      <c r="BQ1636" s="6"/>
      <c r="BR1636" s="6"/>
      <c r="BS1636" s="6"/>
      <c r="BT1636" s="6"/>
    </row>
    <row r="1637" spans="1:72">
      <c r="A1637" s="8" t="s">
        <v>31264</v>
      </c>
      <c r="B1637" s="11" t="s">
        <v>31271</v>
      </c>
      <c r="C1637" s="9" t="s">
        <v>138</v>
      </c>
      <c r="D1637" s="10" t="s">
        <v>31265</v>
      </c>
      <c r="E1637" s="28" t="s">
        <v>3354</v>
      </c>
      <c r="F1637" s="28" t="s">
        <v>2740</v>
      </c>
      <c r="G1637" s="28" t="s">
        <v>2742</v>
      </c>
      <c r="H1637" s="13">
        <v>19</v>
      </c>
      <c r="I1637" s="12" t="s">
        <v>31282</v>
      </c>
      <c r="J1637" s="12" t="s">
        <v>41590</v>
      </c>
      <c r="K1637" s="12" t="s">
        <v>45270</v>
      </c>
      <c r="L1637" s="12" t="s">
        <v>41808</v>
      </c>
      <c r="M1637" s="12" t="s">
        <v>40039</v>
      </c>
      <c r="N1637" s="12" t="s">
        <v>45271</v>
      </c>
      <c r="O1637" s="12" t="s">
        <v>43688</v>
      </c>
      <c r="P1637" s="12" t="s">
        <v>37851</v>
      </c>
      <c r="Q1637" s="12" t="s">
        <v>41143</v>
      </c>
      <c r="R1637" s="12" t="s">
        <v>38910</v>
      </c>
      <c r="S1637" s="12" t="s">
        <v>38619</v>
      </c>
      <c r="T1637" s="12" t="s">
        <v>38827</v>
      </c>
      <c r="U1637" s="12" t="s">
        <v>45272</v>
      </c>
      <c r="V1637" s="12" t="s">
        <v>45273</v>
      </c>
      <c r="W1637" s="12" t="s">
        <v>41818</v>
      </c>
      <c r="X1637" s="12" t="s">
        <v>38184</v>
      </c>
      <c r="Y1637" s="12" t="s">
        <v>37915</v>
      </c>
      <c r="Z1637" s="12" t="s">
        <v>38626</v>
      </c>
      <c r="AA1637" s="12" t="s">
        <v>42142</v>
      </c>
      <c r="AB1637" s="12" t="s">
        <v>41820</v>
      </c>
      <c r="AC1637" s="12"/>
      <c r="AD1637" s="12"/>
      <c r="AE1637" s="12"/>
      <c r="AF1637" s="12"/>
      <c r="AG1637" s="12"/>
      <c r="AH1637" s="12"/>
      <c r="AI1637" s="12"/>
      <c r="AJ1637" s="12"/>
      <c r="AK1637" s="12"/>
      <c r="AL1637" s="12"/>
      <c r="AM1637" s="12"/>
      <c r="AN1637" s="12"/>
      <c r="AO1637" s="12"/>
      <c r="AP1637" s="12"/>
      <c r="AQ1637" s="12"/>
      <c r="AR1637" s="12"/>
      <c r="AS1637" s="12"/>
      <c r="AT1637" s="12"/>
      <c r="AU1637" s="12"/>
      <c r="AV1637" s="12"/>
      <c r="AW1637" s="12"/>
      <c r="AX1637" s="12"/>
      <c r="AY1637" s="12"/>
      <c r="AZ1637" s="12"/>
      <c r="BA1637" s="12"/>
      <c r="BB1637" s="12"/>
      <c r="BC1637" s="12"/>
      <c r="BD1637" s="12"/>
      <c r="BE1637" s="12"/>
      <c r="BF1637" s="12"/>
      <c r="BG1637" s="12"/>
      <c r="BH1637" s="12"/>
      <c r="BI1637" s="12"/>
      <c r="BJ1637" s="12"/>
      <c r="BK1637" s="12"/>
      <c r="BL1637" s="12"/>
      <c r="BM1637" s="12"/>
      <c r="BN1637" s="12"/>
      <c r="BO1637" s="12"/>
      <c r="BP1637" s="12"/>
      <c r="BQ1637" s="12"/>
      <c r="BR1637" s="12"/>
      <c r="BS1637" s="12"/>
      <c r="BT1637" s="12"/>
    </row>
    <row r="1638" spans="1:72">
      <c r="A1638" s="2" t="s">
        <v>31286</v>
      </c>
      <c r="B1638" s="5" t="s">
        <v>31290</v>
      </c>
      <c r="C1638" s="3" t="s">
        <v>138</v>
      </c>
      <c r="D1638" s="4" t="s">
        <v>138</v>
      </c>
      <c r="E1638" s="15" t="s">
        <v>668</v>
      </c>
      <c r="F1638" s="15" t="s">
        <v>200</v>
      </c>
      <c r="G1638" s="15" t="s">
        <v>162</v>
      </c>
      <c r="H1638" s="7">
        <v>15</v>
      </c>
      <c r="I1638" s="6" t="s">
        <v>31298</v>
      </c>
      <c r="J1638" s="6" t="s">
        <v>36284</v>
      </c>
      <c r="K1638" s="6" t="s">
        <v>45274</v>
      </c>
      <c r="L1638" s="6" t="s">
        <v>45275</v>
      </c>
      <c r="M1638" s="6" t="s">
        <v>39900</v>
      </c>
      <c r="N1638" s="6" t="s">
        <v>45276</v>
      </c>
      <c r="O1638" s="6" t="s">
        <v>45277</v>
      </c>
      <c r="P1638" s="6" t="s">
        <v>45278</v>
      </c>
      <c r="Q1638" s="6" t="s">
        <v>37824</v>
      </c>
      <c r="R1638" s="6" t="s">
        <v>37998</v>
      </c>
      <c r="S1638" s="6" t="s">
        <v>38083</v>
      </c>
      <c r="T1638" s="6" t="s">
        <v>45279</v>
      </c>
      <c r="U1638" s="6" t="s">
        <v>38821</v>
      </c>
      <c r="V1638" s="6" t="s">
        <v>45280</v>
      </c>
      <c r="W1638" s="6" t="s">
        <v>45281</v>
      </c>
      <c r="X1638" s="6" t="s">
        <v>38954</v>
      </c>
      <c r="Y1638" s="6"/>
      <c r="Z1638" s="6"/>
      <c r="AA1638" s="6"/>
      <c r="AB1638" s="6"/>
      <c r="AC1638" s="6"/>
      <c r="AD1638" s="6"/>
      <c r="AE1638" s="6"/>
      <c r="AF1638" s="6"/>
      <c r="AG1638" s="6"/>
      <c r="AH1638" s="6"/>
      <c r="AI1638" s="6"/>
      <c r="AJ1638" s="6"/>
      <c r="AK1638" s="6"/>
      <c r="AL1638" s="6"/>
      <c r="AM1638" s="6"/>
      <c r="AN1638" s="6"/>
      <c r="AO1638" s="6"/>
      <c r="AP1638" s="6"/>
      <c r="AQ1638" s="6"/>
      <c r="AR1638" s="6"/>
      <c r="AS1638" s="6"/>
      <c r="AT1638" s="6"/>
      <c r="AU1638" s="6"/>
      <c r="AV1638" s="6"/>
      <c r="AW1638" s="6"/>
      <c r="AX1638" s="6"/>
      <c r="AY1638" s="6"/>
      <c r="AZ1638" s="6"/>
      <c r="BA1638" s="6"/>
      <c r="BB1638" s="6"/>
      <c r="BC1638" s="6"/>
      <c r="BD1638" s="6"/>
      <c r="BE1638" s="6"/>
      <c r="BF1638" s="6"/>
      <c r="BG1638" s="6"/>
      <c r="BH1638" s="6"/>
      <c r="BI1638" s="6"/>
      <c r="BJ1638" s="6"/>
      <c r="BK1638" s="6"/>
      <c r="BL1638" s="6"/>
      <c r="BM1638" s="6"/>
      <c r="BN1638" s="6"/>
      <c r="BO1638" s="6"/>
      <c r="BP1638" s="6"/>
      <c r="BQ1638" s="6"/>
      <c r="BR1638" s="6"/>
      <c r="BS1638" s="6"/>
      <c r="BT1638" s="6"/>
    </row>
    <row r="1639" spans="1:72">
      <c r="A1639" s="8" t="s">
        <v>31301</v>
      </c>
      <c r="B1639" s="11" t="s">
        <v>31307</v>
      </c>
      <c r="C1639" s="9" t="s">
        <v>31302</v>
      </c>
      <c r="D1639" s="10" t="s">
        <v>138</v>
      </c>
      <c r="E1639" s="28" t="s">
        <v>2005</v>
      </c>
      <c r="F1639" s="28" t="s">
        <v>200</v>
      </c>
      <c r="G1639" s="28" t="s">
        <v>162</v>
      </c>
      <c r="H1639" s="13">
        <v>15</v>
      </c>
      <c r="I1639" s="12" t="s">
        <v>31317</v>
      </c>
      <c r="J1639" s="12" t="s">
        <v>45282</v>
      </c>
      <c r="K1639" s="12" t="s">
        <v>42524</v>
      </c>
      <c r="L1639" s="12" t="s">
        <v>44430</v>
      </c>
      <c r="M1639" s="12" t="s">
        <v>45283</v>
      </c>
      <c r="N1639" s="12" t="s">
        <v>44474</v>
      </c>
      <c r="O1639" s="12" t="s">
        <v>45284</v>
      </c>
      <c r="P1639" s="12" t="s">
        <v>39186</v>
      </c>
      <c r="Q1639" s="12" t="s">
        <v>38548</v>
      </c>
      <c r="R1639" s="12" t="s">
        <v>40265</v>
      </c>
      <c r="S1639" s="12" t="s">
        <v>43991</v>
      </c>
      <c r="T1639" s="12" t="s">
        <v>45285</v>
      </c>
      <c r="U1639" s="12" t="s">
        <v>37781</v>
      </c>
      <c r="V1639" s="12" t="s">
        <v>45286</v>
      </c>
      <c r="W1639" s="12" t="s">
        <v>37871</v>
      </c>
      <c r="X1639" s="12" t="s">
        <v>38789</v>
      </c>
      <c r="Y1639" s="12"/>
      <c r="Z1639" s="12"/>
      <c r="AA1639" s="12"/>
      <c r="AB1639" s="12"/>
      <c r="AC1639" s="12"/>
      <c r="AD1639" s="12"/>
      <c r="AE1639" s="12"/>
      <c r="AF1639" s="12"/>
      <c r="AG1639" s="12"/>
      <c r="AH1639" s="12"/>
      <c r="AI1639" s="12"/>
      <c r="AJ1639" s="12"/>
      <c r="AK1639" s="12"/>
      <c r="AL1639" s="12"/>
      <c r="AM1639" s="12"/>
      <c r="AN1639" s="12"/>
      <c r="AO1639" s="12"/>
      <c r="AP1639" s="12"/>
      <c r="AQ1639" s="12"/>
      <c r="AR1639" s="12"/>
      <c r="AS1639" s="12"/>
      <c r="AT1639" s="12"/>
      <c r="AU1639" s="12"/>
      <c r="AV1639" s="12"/>
      <c r="AW1639" s="12"/>
      <c r="AX1639" s="12"/>
      <c r="AY1639" s="12"/>
      <c r="AZ1639" s="12"/>
      <c r="BA1639" s="12"/>
      <c r="BB1639" s="12"/>
      <c r="BC1639" s="12"/>
      <c r="BD1639" s="12"/>
      <c r="BE1639" s="12"/>
      <c r="BF1639" s="12"/>
      <c r="BG1639" s="12"/>
      <c r="BH1639" s="12"/>
      <c r="BI1639" s="12"/>
      <c r="BJ1639" s="12"/>
      <c r="BK1639" s="12"/>
      <c r="BL1639" s="12"/>
      <c r="BM1639" s="12"/>
      <c r="BN1639" s="12"/>
      <c r="BO1639" s="12"/>
      <c r="BP1639" s="12"/>
      <c r="BQ1639" s="12"/>
      <c r="BR1639" s="12"/>
      <c r="BS1639" s="12"/>
      <c r="BT1639" s="12"/>
    </row>
    <row r="1640" spans="1:72">
      <c r="A1640" s="2" t="s">
        <v>31322</v>
      </c>
      <c r="B1640" s="5" t="s">
        <v>31327</v>
      </c>
      <c r="C1640" s="3" t="s">
        <v>138</v>
      </c>
      <c r="D1640" s="4" t="s">
        <v>138</v>
      </c>
      <c r="E1640" s="15" t="s">
        <v>4604</v>
      </c>
      <c r="F1640" s="15" t="s">
        <v>31333</v>
      </c>
      <c r="G1640" s="15" t="s">
        <v>2071</v>
      </c>
      <c r="H1640" s="7">
        <v>4</v>
      </c>
      <c r="I1640" s="6" t="s">
        <v>31337</v>
      </c>
      <c r="J1640" s="6" t="s">
        <v>43663</v>
      </c>
      <c r="K1640" s="6" t="s">
        <v>43204</v>
      </c>
      <c r="L1640" s="6" t="s">
        <v>42083</v>
      </c>
      <c r="M1640" s="6" t="s">
        <v>38200</v>
      </c>
      <c r="N1640" s="6"/>
      <c r="O1640" s="6"/>
      <c r="P1640" s="6"/>
      <c r="Q1640" s="6"/>
      <c r="R1640" s="6"/>
      <c r="S1640" s="6"/>
      <c r="T1640" s="6"/>
      <c r="U1640" s="6"/>
      <c r="V1640" s="6"/>
      <c r="W1640" s="6"/>
      <c r="X1640" s="6"/>
      <c r="Y1640" s="6"/>
      <c r="Z1640" s="6"/>
      <c r="AA1640" s="6"/>
      <c r="AB1640" s="6"/>
      <c r="AC1640" s="6"/>
      <c r="AD1640" s="6"/>
      <c r="AE1640" s="6"/>
      <c r="AF1640" s="6"/>
      <c r="AG1640" s="6"/>
      <c r="AH1640" s="6"/>
      <c r="AI1640" s="6"/>
      <c r="AJ1640" s="6"/>
      <c r="AK1640" s="6"/>
      <c r="AL1640" s="6"/>
      <c r="AM1640" s="6"/>
      <c r="AN1640" s="6"/>
      <c r="AO1640" s="6"/>
      <c r="AP1640" s="6"/>
      <c r="AQ1640" s="6"/>
      <c r="AR1640" s="6"/>
      <c r="AS1640" s="6"/>
      <c r="AT1640" s="6"/>
      <c r="AU1640" s="6"/>
      <c r="AV1640" s="6"/>
      <c r="AW1640" s="6"/>
      <c r="AX1640" s="6"/>
      <c r="AY1640" s="6"/>
      <c r="AZ1640" s="6"/>
      <c r="BA1640" s="6"/>
      <c r="BB1640" s="6"/>
      <c r="BC1640" s="6"/>
      <c r="BD1640" s="6"/>
      <c r="BE1640" s="6"/>
      <c r="BF1640" s="6"/>
      <c r="BG1640" s="6"/>
      <c r="BH1640" s="6"/>
      <c r="BI1640" s="6"/>
      <c r="BJ1640" s="6"/>
      <c r="BK1640" s="6"/>
      <c r="BL1640" s="6"/>
      <c r="BM1640" s="6"/>
      <c r="BN1640" s="6"/>
      <c r="BO1640" s="6"/>
      <c r="BP1640" s="6"/>
      <c r="BQ1640" s="6"/>
      <c r="BR1640" s="6"/>
      <c r="BS1640" s="6"/>
      <c r="BT1640" s="6"/>
    </row>
    <row r="1641" spans="1:72">
      <c r="A1641" s="8" t="s">
        <v>31342</v>
      </c>
      <c r="B1641" s="11" t="s">
        <v>31348</v>
      </c>
      <c r="C1641" s="9" t="s">
        <v>31343</v>
      </c>
      <c r="D1641" s="10" t="s">
        <v>138</v>
      </c>
      <c r="E1641" s="28" t="s">
        <v>426</v>
      </c>
      <c r="F1641" s="28" t="s">
        <v>426</v>
      </c>
      <c r="G1641" s="28" t="s">
        <v>162</v>
      </c>
      <c r="H1641" s="13">
        <v>57</v>
      </c>
      <c r="I1641" s="12" t="s">
        <v>31357</v>
      </c>
      <c r="J1641" s="12" t="s">
        <v>38720</v>
      </c>
      <c r="K1641" s="12" t="s">
        <v>43273</v>
      </c>
      <c r="L1641" s="12" t="s">
        <v>45287</v>
      </c>
      <c r="M1641" s="12" t="s">
        <v>41249</v>
      </c>
      <c r="N1641" s="12" t="s">
        <v>45020</v>
      </c>
      <c r="O1641" s="12" t="s">
        <v>37875</v>
      </c>
      <c r="P1641" s="12" t="s">
        <v>45288</v>
      </c>
      <c r="Q1641" s="12" t="s">
        <v>42937</v>
      </c>
      <c r="R1641" s="12" t="s">
        <v>39882</v>
      </c>
      <c r="S1641" s="12" t="s">
        <v>38175</v>
      </c>
      <c r="T1641" s="12" t="s">
        <v>38412</v>
      </c>
      <c r="U1641" s="12" t="s">
        <v>41517</v>
      </c>
      <c r="V1641" s="12" t="s">
        <v>43817</v>
      </c>
      <c r="W1641" s="12" t="s">
        <v>38010</v>
      </c>
      <c r="X1641" s="12" t="s">
        <v>40199</v>
      </c>
      <c r="Y1641" s="12" t="s">
        <v>38178</v>
      </c>
      <c r="Z1641" s="12" t="s">
        <v>38914</v>
      </c>
      <c r="AA1641" s="12" t="s">
        <v>38012</v>
      </c>
      <c r="AB1641" s="12" t="s">
        <v>39402</v>
      </c>
      <c r="AC1641" s="12" t="s">
        <v>39170</v>
      </c>
      <c r="AD1641" s="12" t="s">
        <v>37949</v>
      </c>
      <c r="AE1641" s="12" t="s">
        <v>39347</v>
      </c>
      <c r="AF1641" s="12" t="s">
        <v>45289</v>
      </c>
      <c r="AG1641" s="12" t="s">
        <v>42221</v>
      </c>
      <c r="AH1641" s="12" t="s">
        <v>38803</v>
      </c>
      <c r="AI1641" s="12" t="s">
        <v>38474</v>
      </c>
      <c r="AJ1641" s="12" t="s">
        <v>38422</v>
      </c>
      <c r="AK1641" s="12" t="s">
        <v>37801</v>
      </c>
      <c r="AL1641" s="12" t="s">
        <v>39186</v>
      </c>
      <c r="AM1641" s="12" t="s">
        <v>45290</v>
      </c>
      <c r="AN1641" s="12" t="s">
        <v>38722</v>
      </c>
      <c r="AO1641" s="12" t="s">
        <v>38017</v>
      </c>
      <c r="AP1641" s="12" t="s">
        <v>41903</v>
      </c>
      <c r="AQ1641" s="12" t="s">
        <v>38746</v>
      </c>
      <c r="AR1641" s="12" t="s">
        <v>38476</v>
      </c>
      <c r="AS1641" s="12" t="s">
        <v>45258</v>
      </c>
      <c r="AT1641" s="12" t="s">
        <v>38994</v>
      </c>
      <c r="AU1641" s="12" t="s">
        <v>37965</v>
      </c>
      <c r="AV1641" s="12" t="s">
        <v>40153</v>
      </c>
      <c r="AW1641" s="12" t="s">
        <v>39692</v>
      </c>
      <c r="AX1641" s="12" t="s">
        <v>38065</v>
      </c>
      <c r="AY1641" s="12" t="s">
        <v>38433</v>
      </c>
      <c r="AZ1641" s="12" t="s">
        <v>38926</v>
      </c>
      <c r="BA1641" s="12" t="s">
        <v>43784</v>
      </c>
      <c r="BB1641" s="12" t="s">
        <v>38000</v>
      </c>
      <c r="BC1641" s="12" t="s">
        <v>38478</v>
      </c>
      <c r="BD1641" s="12" t="s">
        <v>41422</v>
      </c>
      <c r="BE1641" s="12" t="s">
        <v>38030</v>
      </c>
      <c r="BF1641" s="12" t="s">
        <v>41360</v>
      </c>
      <c r="BG1641" s="12" t="s">
        <v>45291</v>
      </c>
      <c r="BH1641" s="12" t="s">
        <v>37783</v>
      </c>
      <c r="BI1641" s="12" t="s">
        <v>38864</v>
      </c>
      <c r="BJ1641" s="12" t="s">
        <v>38371</v>
      </c>
      <c r="BK1641" s="12" t="s">
        <v>38401</v>
      </c>
      <c r="BL1641" s="12" t="s">
        <v>37885</v>
      </c>
      <c r="BM1641" s="12" t="s">
        <v>41777</v>
      </c>
      <c r="BN1641" s="12" t="s">
        <v>41240</v>
      </c>
      <c r="BO1641" s="12"/>
      <c r="BP1641" s="12"/>
      <c r="BQ1641" s="12"/>
      <c r="BR1641" s="12"/>
      <c r="BS1641" s="12"/>
      <c r="BT1641" s="12"/>
    </row>
    <row r="1642" spans="1:72">
      <c r="A1642" s="2" t="s">
        <v>31362</v>
      </c>
      <c r="B1642" s="5" t="s">
        <v>31366</v>
      </c>
      <c r="C1642" s="3" t="s">
        <v>138</v>
      </c>
      <c r="D1642" s="4" t="s">
        <v>138</v>
      </c>
      <c r="E1642" s="15" t="s">
        <v>426</v>
      </c>
      <c r="F1642" s="15" t="s">
        <v>426</v>
      </c>
      <c r="G1642" s="15" t="s">
        <v>162</v>
      </c>
      <c r="H1642" s="7">
        <v>19</v>
      </c>
      <c r="I1642" s="6" t="s">
        <v>31375</v>
      </c>
      <c r="J1642" s="6" t="s">
        <v>27849</v>
      </c>
      <c r="K1642" s="6" t="s">
        <v>38075</v>
      </c>
      <c r="L1642" s="6" t="s">
        <v>37795</v>
      </c>
      <c r="M1642" s="6" t="s">
        <v>37797</v>
      </c>
      <c r="N1642" s="6" t="s">
        <v>43147</v>
      </c>
      <c r="O1642" s="6" t="s">
        <v>39900</v>
      </c>
      <c r="P1642" s="6" t="s">
        <v>39614</v>
      </c>
      <c r="Q1642" s="6" t="s">
        <v>38398</v>
      </c>
      <c r="R1642" s="6" t="s">
        <v>39325</v>
      </c>
      <c r="S1642" s="6" t="s">
        <v>37839</v>
      </c>
      <c r="T1642" s="6" t="s">
        <v>41118</v>
      </c>
      <c r="U1642" s="6" t="s">
        <v>39785</v>
      </c>
      <c r="V1642" s="6" t="s">
        <v>41629</v>
      </c>
      <c r="W1642" s="6" t="s">
        <v>45292</v>
      </c>
      <c r="X1642" s="6" t="s">
        <v>40119</v>
      </c>
      <c r="Y1642" s="6" t="s">
        <v>38442</v>
      </c>
      <c r="Z1642" s="6" t="s">
        <v>43702</v>
      </c>
      <c r="AA1642" s="6" t="s">
        <v>39455</v>
      </c>
      <c r="AB1642" s="6" t="s">
        <v>38401</v>
      </c>
      <c r="AC1642" s="6"/>
      <c r="AD1642" s="6"/>
      <c r="AE1642" s="6"/>
      <c r="AF1642" s="6"/>
      <c r="AG1642" s="6"/>
      <c r="AH1642" s="6"/>
      <c r="AI1642" s="6"/>
      <c r="AJ1642" s="6"/>
      <c r="AK1642" s="6"/>
      <c r="AL1642" s="6"/>
      <c r="AM1642" s="6"/>
      <c r="AN1642" s="6"/>
      <c r="AO1642" s="6"/>
      <c r="AP1642" s="6"/>
      <c r="AQ1642" s="6"/>
      <c r="AR1642" s="6"/>
      <c r="AS1642" s="6"/>
      <c r="AT1642" s="6"/>
      <c r="AU1642" s="6"/>
      <c r="AV1642" s="6"/>
      <c r="AW1642" s="6"/>
      <c r="AX1642" s="6"/>
      <c r="AY1642" s="6"/>
      <c r="AZ1642" s="6"/>
      <c r="BA1642" s="6"/>
      <c r="BB1642" s="6"/>
      <c r="BC1642" s="6"/>
      <c r="BD1642" s="6"/>
      <c r="BE1642" s="6"/>
      <c r="BF1642" s="6"/>
      <c r="BG1642" s="6"/>
      <c r="BH1642" s="6"/>
      <c r="BI1642" s="6"/>
      <c r="BJ1642" s="6"/>
      <c r="BK1642" s="6"/>
      <c r="BL1642" s="6"/>
      <c r="BM1642" s="6"/>
      <c r="BN1642" s="6"/>
      <c r="BO1642" s="6"/>
      <c r="BP1642" s="6"/>
      <c r="BQ1642" s="6"/>
      <c r="BR1642" s="6"/>
      <c r="BS1642" s="6"/>
      <c r="BT1642" s="6"/>
    </row>
    <row r="1643" spans="1:72">
      <c r="A1643" s="8" t="s">
        <v>31378</v>
      </c>
      <c r="B1643" s="11" t="s">
        <v>31383</v>
      </c>
      <c r="C1643" s="9" t="s">
        <v>31379</v>
      </c>
      <c r="D1643" s="10" t="s">
        <v>138</v>
      </c>
      <c r="E1643" s="28" t="s">
        <v>31391</v>
      </c>
      <c r="F1643" s="28" t="s">
        <v>17250</v>
      </c>
      <c r="G1643" s="28" t="s">
        <v>162</v>
      </c>
      <c r="H1643" s="13">
        <v>9</v>
      </c>
      <c r="I1643" s="12" t="s">
        <v>31396</v>
      </c>
      <c r="J1643" s="12" t="s">
        <v>45293</v>
      </c>
      <c r="K1643" s="12" t="s">
        <v>39020</v>
      </c>
      <c r="L1643" s="12" t="s">
        <v>45294</v>
      </c>
      <c r="M1643" s="12" t="s">
        <v>45295</v>
      </c>
      <c r="N1643" s="12" t="s">
        <v>45296</v>
      </c>
      <c r="O1643" s="12" t="s">
        <v>40481</v>
      </c>
      <c r="P1643" s="12" t="s">
        <v>41263</v>
      </c>
      <c r="Q1643" s="12" t="s">
        <v>37901</v>
      </c>
      <c r="R1643" s="12" t="s">
        <v>45297</v>
      </c>
      <c r="S1643" s="12"/>
      <c r="T1643" s="12"/>
      <c r="U1643" s="12"/>
      <c r="V1643" s="12"/>
      <c r="W1643" s="12"/>
      <c r="X1643" s="12"/>
      <c r="Y1643" s="12"/>
      <c r="Z1643" s="12"/>
      <c r="AA1643" s="12"/>
      <c r="AB1643" s="12"/>
      <c r="AC1643" s="12"/>
      <c r="AD1643" s="12"/>
      <c r="AE1643" s="12"/>
      <c r="AF1643" s="12"/>
      <c r="AG1643" s="12"/>
      <c r="AH1643" s="12"/>
      <c r="AI1643" s="12"/>
      <c r="AJ1643" s="12"/>
      <c r="AK1643" s="12"/>
      <c r="AL1643" s="12"/>
      <c r="AM1643" s="12"/>
      <c r="AN1643" s="12"/>
      <c r="AO1643" s="12"/>
      <c r="AP1643" s="12"/>
      <c r="AQ1643" s="12"/>
      <c r="AR1643" s="12"/>
      <c r="AS1643" s="12"/>
      <c r="AT1643" s="12"/>
      <c r="AU1643" s="12"/>
      <c r="AV1643" s="12"/>
      <c r="AW1643" s="12"/>
      <c r="AX1643" s="12"/>
      <c r="AY1643" s="12"/>
      <c r="AZ1643" s="12"/>
      <c r="BA1643" s="12"/>
      <c r="BB1643" s="12"/>
      <c r="BC1643" s="12"/>
      <c r="BD1643" s="12"/>
      <c r="BE1643" s="12"/>
      <c r="BF1643" s="12"/>
      <c r="BG1643" s="12"/>
      <c r="BH1643" s="12"/>
      <c r="BI1643" s="12"/>
      <c r="BJ1643" s="12"/>
      <c r="BK1643" s="12"/>
      <c r="BL1643" s="12"/>
      <c r="BM1643" s="12"/>
      <c r="BN1643" s="12"/>
      <c r="BO1643" s="12"/>
      <c r="BP1643" s="12"/>
      <c r="BQ1643" s="12"/>
      <c r="BR1643" s="12"/>
      <c r="BS1643" s="12"/>
      <c r="BT1643" s="12"/>
    </row>
    <row r="1644" spans="1:72">
      <c r="A1644" s="2" t="s">
        <v>31401</v>
      </c>
      <c r="B1644" s="5" t="s">
        <v>31406</v>
      </c>
      <c r="C1644" s="3" t="s">
        <v>138</v>
      </c>
      <c r="D1644" s="4" t="s">
        <v>138</v>
      </c>
      <c r="E1644" s="15" t="s">
        <v>426</v>
      </c>
      <c r="F1644" s="15" t="s">
        <v>426</v>
      </c>
      <c r="G1644" s="15" t="s">
        <v>162</v>
      </c>
      <c r="H1644" s="7">
        <v>15</v>
      </c>
      <c r="I1644" s="6" t="s">
        <v>31414</v>
      </c>
      <c r="J1644" s="6" t="s">
        <v>45298</v>
      </c>
      <c r="K1644" s="6" t="s">
        <v>38803</v>
      </c>
      <c r="L1644" s="6" t="s">
        <v>45299</v>
      </c>
      <c r="M1644" s="6" t="s">
        <v>39206</v>
      </c>
      <c r="N1644" s="6" t="s">
        <v>39057</v>
      </c>
      <c r="O1644" s="6" t="s">
        <v>38199</v>
      </c>
      <c r="P1644" s="6" t="s">
        <v>38049</v>
      </c>
      <c r="Q1644" s="6" t="s">
        <v>45300</v>
      </c>
      <c r="R1644" s="6" t="s">
        <v>38785</v>
      </c>
      <c r="S1644" s="6" t="s">
        <v>40787</v>
      </c>
      <c r="T1644" s="6" t="s">
        <v>38322</v>
      </c>
      <c r="U1644" s="6" t="s">
        <v>38925</v>
      </c>
      <c r="V1644" s="6" t="s">
        <v>38157</v>
      </c>
      <c r="W1644" s="6" t="s">
        <v>45301</v>
      </c>
      <c r="X1644" s="6" t="s">
        <v>42963</v>
      </c>
      <c r="Y1644" s="6"/>
      <c r="Z1644" s="6"/>
      <c r="AA1644" s="6"/>
      <c r="AB1644" s="6"/>
      <c r="AC1644" s="6"/>
      <c r="AD1644" s="6"/>
      <c r="AE1644" s="6"/>
      <c r="AF1644" s="6"/>
      <c r="AG1644" s="6"/>
      <c r="AH1644" s="6"/>
      <c r="AI1644" s="6"/>
      <c r="AJ1644" s="6"/>
      <c r="AK1644" s="6"/>
      <c r="AL1644" s="6"/>
      <c r="AM1644" s="6"/>
      <c r="AN1644" s="6"/>
      <c r="AO1644" s="6"/>
      <c r="AP1644" s="6"/>
      <c r="AQ1644" s="6"/>
      <c r="AR1644" s="6"/>
      <c r="AS1644" s="6"/>
      <c r="AT1644" s="6"/>
      <c r="AU1644" s="6"/>
      <c r="AV1644" s="6"/>
      <c r="AW1644" s="6"/>
      <c r="AX1644" s="6"/>
      <c r="AY1644" s="6"/>
      <c r="AZ1644" s="6"/>
      <c r="BA1644" s="6"/>
      <c r="BB1644" s="6"/>
      <c r="BC1644" s="6"/>
      <c r="BD1644" s="6"/>
      <c r="BE1644" s="6"/>
      <c r="BF1644" s="6"/>
      <c r="BG1644" s="6"/>
      <c r="BH1644" s="6"/>
      <c r="BI1644" s="6"/>
      <c r="BJ1644" s="6"/>
      <c r="BK1644" s="6"/>
      <c r="BL1644" s="6"/>
      <c r="BM1644" s="6"/>
      <c r="BN1644" s="6"/>
      <c r="BO1644" s="6"/>
      <c r="BP1644" s="6"/>
      <c r="BQ1644" s="6"/>
      <c r="BR1644" s="6"/>
      <c r="BS1644" s="6"/>
      <c r="BT1644" s="6"/>
    </row>
    <row r="1645" spans="1:72">
      <c r="A1645" s="8" t="s">
        <v>31417</v>
      </c>
      <c r="B1645" s="11" t="s">
        <v>31421</v>
      </c>
      <c r="C1645" s="9" t="s">
        <v>138</v>
      </c>
      <c r="D1645" s="10" t="s">
        <v>138</v>
      </c>
      <c r="E1645" s="28" t="s">
        <v>31427</v>
      </c>
      <c r="F1645" s="28" t="s">
        <v>200</v>
      </c>
      <c r="G1645" s="28" t="s">
        <v>162</v>
      </c>
      <c r="H1645" s="13">
        <v>14</v>
      </c>
      <c r="I1645" s="12" t="s">
        <v>31432</v>
      </c>
      <c r="J1645" s="12" t="s">
        <v>45302</v>
      </c>
      <c r="K1645" s="12" t="s">
        <v>45303</v>
      </c>
      <c r="L1645" s="12" t="s">
        <v>45304</v>
      </c>
      <c r="M1645" s="12" t="s">
        <v>45305</v>
      </c>
      <c r="N1645" s="12" t="s">
        <v>45306</v>
      </c>
      <c r="O1645" s="12" t="s">
        <v>39045</v>
      </c>
      <c r="P1645" s="12" t="s">
        <v>37791</v>
      </c>
      <c r="Q1645" s="12" t="s">
        <v>45307</v>
      </c>
      <c r="R1645" s="12" t="s">
        <v>45308</v>
      </c>
      <c r="S1645" s="12" t="s">
        <v>45309</v>
      </c>
      <c r="T1645" s="12" t="s">
        <v>38785</v>
      </c>
      <c r="U1645" s="12" t="s">
        <v>37998</v>
      </c>
      <c r="V1645" s="12" t="s">
        <v>45310</v>
      </c>
      <c r="W1645" s="12" t="s">
        <v>37781</v>
      </c>
      <c r="X1645" s="12"/>
      <c r="Y1645" s="12"/>
      <c r="Z1645" s="12"/>
      <c r="AA1645" s="12"/>
      <c r="AB1645" s="12"/>
      <c r="AC1645" s="12"/>
      <c r="AD1645" s="12"/>
      <c r="AE1645" s="12"/>
      <c r="AF1645" s="12"/>
      <c r="AG1645" s="12"/>
      <c r="AH1645" s="12"/>
      <c r="AI1645" s="12"/>
      <c r="AJ1645" s="12"/>
      <c r="AK1645" s="12"/>
      <c r="AL1645" s="12"/>
      <c r="AM1645" s="12"/>
      <c r="AN1645" s="12"/>
      <c r="AO1645" s="12"/>
      <c r="AP1645" s="12"/>
      <c r="AQ1645" s="12"/>
      <c r="AR1645" s="12"/>
      <c r="AS1645" s="12"/>
      <c r="AT1645" s="12"/>
      <c r="AU1645" s="12"/>
      <c r="AV1645" s="12"/>
      <c r="AW1645" s="12"/>
      <c r="AX1645" s="12"/>
      <c r="AY1645" s="12"/>
      <c r="AZ1645" s="12"/>
      <c r="BA1645" s="12"/>
      <c r="BB1645" s="12"/>
      <c r="BC1645" s="12"/>
      <c r="BD1645" s="12"/>
      <c r="BE1645" s="12"/>
      <c r="BF1645" s="12"/>
      <c r="BG1645" s="12"/>
      <c r="BH1645" s="12"/>
      <c r="BI1645" s="12"/>
      <c r="BJ1645" s="12"/>
      <c r="BK1645" s="12"/>
      <c r="BL1645" s="12"/>
      <c r="BM1645" s="12"/>
      <c r="BN1645" s="12"/>
      <c r="BO1645" s="12"/>
      <c r="BP1645" s="12"/>
      <c r="BQ1645" s="12"/>
      <c r="BR1645" s="12"/>
      <c r="BS1645" s="12"/>
      <c r="BT1645" s="12"/>
    </row>
    <row r="1646" spans="1:72">
      <c r="A1646" s="2" t="s">
        <v>31435</v>
      </c>
      <c r="B1646" s="5" t="s">
        <v>31440</v>
      </c>
      <c r="C1646" s="3" t="s">
        <v>138</v>
      </c>
      <c r="D1646" s="4" t="s">
        <v>31436</v>
      </c>
      <c r="E1646" s="15" t="s">
        <v>3139</v>
      </c>
      <c r="F1646" s="15" t="s">
        <v>3140</v>
      </c>
      <c r="G1646" s="15" t="s">
        <v>162</v>
      </c>
      <c r="H1646" s="7">
        <v>4</v>
      </c>
      <c r="I1646" s="6" t="s">
        <v>31449</v>
      </c>
      <c r="J1646" s="6" t="s">
        <v>44447</v>
      </c>
      <c r="K1646" s="6" t="s">
        <v>40878</v>
      </c>
      <c r="L1646" s="6" t="s">
        <v>38145</v>
      </c>
      <c r="M1646" s="6" t="s">
        <v>41318</v>
      </c>
      <c r="N1646" s="6"/>
      <c r="O1646" s="6"/>
      <c r="P1646" s="6"/>
      <c r="Q1646" s="6"/>
      <c r="R1646" s="6"/>
      <c r="S1646" s="6"/>
      <c r="T1646" s="6"/>
      <c r="U1646" s="6"/>
      <c r="V1646" s="6"/>
      <c r="W1646" s="6"/>
      <c r="X1646" s="6"/>
      <c r="Y1646" s="6"/>
      <c r="Z1646" s="6"/>
      <c r="AA1646" s="6"/>
      <c r="AB1646" s="6"/>
      <c r="AC1646" s="6"/>
      <c r="AD1646" s="6"/>
      <c r="AE1646" s="6"/>
      <c r="AF1646" s="6"/>
      <c r="AG1646" s="6"/>
      <c r="AH1646" s="6"/>
      <c r="AI1646" s="6"/>
      <c r="AJ1646" s="6"/>
      <c r="AK1646" s="6"/>
      <c r="AL1646" s="6"/>
      <c r="AM1646" s="6"/>
      <c r="AN1646" s="6"/>
      <c r="AO1646" s="6"/>
      <c r="AP1646" s="6"/>
      <c r="AQ1646" s="6"/>
      <c r="AR1646" s="6"/>
      <c r="AS1646" s="6"/>
      <c r="AT1646" s="6"/>
      <c r="AU1646" s="6"/>
      <c r="AV1646" s="6"/>
      <c r="AW1646" s="6"/>
      <c r="AX1646" s="6"/>
      <c r="AY1646" s="6"/>
      <c r="AZ1646" s="6"/>
      <c r="BA1646" s="6"/>
      <c r="BB1646" s="6"/>
      <c r="BC1646" s="6"/>
      <c r="BD1646" s="6"/>
      <c r="BE1646" s="6"/>
      <c r="BF1646" s="6"/>
      <c r="BG1646" s="6"/>
      <c r="BH1646" s="6"/>
      <c r="BI1646" s="6"/>
      <c r="BJ1646" s="6"/>
      <c r="BK1646" s="6"/>
      <c r="BL1646" s="6"/>
      <c r="BM1646" s="6"/>
      <c r="BN1646" s="6"/>
      <c r="BO1646" s="6"/>
      <c r="BP1646" s="6"/>
      <c r="BQ1646" s="6"/>
      <c r="BR1646" s="6"/>
      <c r="BS1646" s="6"/>
      <c r="BT1646" s="6"/>
    </row>
    <row r="1647" spans="1:72">
      <c r="A1647" s="8" t="s">
        <v>31452</v>
      </c>
      <c r="B1647" s="11" t="s">
        <v>31455</v>
      </c>
      <c r="C1647" s="9" t="s">
        <v>138</v>
      </c>
      <c r="D1647" s="10" t="s">
        <v>138</v>
      </c>
      <c r="E1647" s="28" t="s">
        <v>426</v>
      </c>
      <c r="F1647" s="28" t="s">
        <v>426</v>
      </c>
      <c r="G1647" s="28" t="s">
        <v>162</v>
      </c>
      <c r="H1647" s="13">
        <v>2</v>
      </c>
      <c r="I1647" s="12" t="s">
        <v>31465</v>
      </c>
      <c r="J1647" s="12" t="s">
        <v>6235</v>
      </c>
      <c r="K1647" s="12" t="s">
        <v>43526</v>
      </c>
      <c r="L1647" s="12"/>
      <c r="M1647" s="12"/>
      <c r="N1647" s="12"/>
      <c r="O1647" s="12"/>
      <c r="P1647" s="12"/>
      <c r="Q1647" s="12"/>
      <c r="R1647" s="12"/>
      <c r="S1647" s="12"/>
      <c r="T1647" s="12"/>
      <c r="U1647" s="12"/>
      <c r="V1647" s="12"/>
      <c r="W1647" s="12"/>
      <c r="X1647" s="12"/>
      <c r="Y1647" s="12"/>
      <c r="Z1647" s="12"/>
      <c r="AA1647" s="12"/>
      <c r="AB1647" s="12"/>
      <c r="AC1647" s="12"/>
      <c r="AD1647" s="12"/>
      <c r="AE1647" s="12"/>
      <c r="AF1647" s="12"/>
      <c r="AG1647" s="12"/>
      <c r="AH1647" s="12"/>
      <c r="AI1647" s="12"/>
      <c r="AJ1647" s="12"/>
      <c r="AK1647" s="12"/>
      <c r="AL1647" s="12"/>
      <c r="AM1647" s="12"/>
      <c r="AN1647" s="12"/>
      <c r="AO1647" s="12"/>
      <c r="AP1647" s="12"/>
      <c r="AQ1647" s="12"/>
      <c r="AR1647" s="12"/>
      <c r="AS1647" s="12"/>
      <c r="AT1647" s="12"/>
      <c r="AU1647" s="12"/>
      <c r="AV1647" s="12"/>
      <c r="AW1647" s="12"/>
      <c r="AX1647" s="12"/>
      <c r="AY1647" s="12"/>
      <c r="AZ1647" s="12"/>
      <c r="BA1647" s="12"/>
      <c r="BB1647" s="12"/>
      <c r="BC1647" s="12"/>
      <c r="BD1647" s="12"/>
      <c r="BE1647" s="12"/>
      <c r="BF1647" s="12"/>
      <c r="BG1647" s="12"/>
      <c r="BH1647" s="12"/>
      <c r="BI1647" s="12"/>
      <c r="BJ1647" s="12"/>
      <c r="BK1647" s="12"/>
      <c r="BL1647" s="12"/>
      <c r="BM1647" s="12"/>
      <c r="BN1647" s="12"/>
      <c r="BO1647" s="12"/>
      <c r="BP1647" s="12"/>
      <c r="BQ1647" s="12"/>
      <c r="BR1647" s="12"/>
      <c r="BS1647" s="12"/>
      <c r="BT1647" s="12"/>
    </row>
    <row r="1648" spans="1:72">
      <c r="A1648" s="2" t="s">
        <v>31467</v>
      </c>
      <c r="B1648" s="5" t="s">
        <v>31474</v>
      </c>
      <c r="C1648" s="3" t="s">
        <v>138</v>
      </c>
      <c r="D1648" s="4" t="s">
        <v>31468</v>
      </c>
      <c r="E1648" s="15" t="s">
        <v>20817</v>
      </c>
      <c r="F1648" s="15" t="s">
        <v>20818</v>
      </c>
      <c r="G1648" s="15" t="s">
        <v>450</v>
      </c>
      <c r="H1648" s="7">
        <v>4</v>
      </c>
      <c r="I1648" s="6" t="s">
        <v>31485</v>
      </c>
      <c r="J1648" s="6" t="s">
        <v>16877</v>
      </c>
      <c r="K1648" s="6" t="s">
        <v>45311</v>
      </c>
      <c r="L1648" s="6" t="s">
        <v>45312</v>
      </c>
      <c r="M1648" s="6" t="s">
        <v>45313</v>
      </c>
      <c r="N1648" s="6"/>
      <c r="O1648" s="6"/>
      <c r="P1648" s="6"/>
      <c r="Q1648" s="6"/>
      <c r="R1648" s="6"/>
      <c r="S1648" s="6"/>
      <c r="T1648" s="6"/>
      <c r="U1648" s="6"/>
      <c r="V1648" s="6"/>
      <c r="W1648" s="6"/>
      <c r="X1648" s="6"/>
      <c r="Y1648" s="6"/>
      <c r="Z1648" s="6"/>
      <c r="AA1648" s="6"/>
      <c r="AB1648" s="6"/>
      <c r="AC1648" s="6"/>
      <c r="AD1648" s="6"/>
      <c r="AE1648" s="6"/>
      <c r="AF1648" s="6"/>
      <c r="AG1648" s="6"/>
      <c r="AH1648" s="6"/>
      <c r="AI1648" s="6"/>
      <c r="AJ1648" s="6"/>
      <c r="AK1648" s="6"/>
      <c r="AL1648" s="6"/>
      <c r="AM1648" s="6"/>
      <c r="AN1648" s="6"/>
      <c r="AO1648" s="6"/>
      <c r="AP1648" s="6"/>
      <c r="AQ1648" s="6"/>
      <c r="AR1648" s="6"/>
      <c r="AS1648" s="6"/>
      <c r="AT1648" s="6"/>
      <c r="AU1648" s="6"/>
      <c r="AV1648" s="6"/>
      <c r="AW1648" s="6"/>
      <c r="AX1648" s="6"/>
      <c r="AY1648" s="6"/>
      <c r="AZ1648" s="6"/>
      <c r="BA1648" s="6"/>
      <c r="BB1648" s="6"/>
      <c r="BC1648" s="6"/>
      <c r="BD1648" s="6"/>
      <c r="BE1648" s="6"/>
      <c r="BF1648" s="6"/>
      <c r="BG1648" s="6"/>
      <c r="BH1648" s="6"/>
      <c r="BI1648" s="6"/>
      <c r="BJ1648" s="6"/>
      <c r="BK1648" s="6"/>
      <c r="BL1648" s="6"/>
      <c r="BM1648" s="6"/>
      <c r="BN1648" s="6"/>
      <c r="BO1648" s="6"/>
      <c r="BP1648" s="6"/>
      <c r="BQ1648" s="6"/>
      <c r="BR1648" s="6"/>
      <c r="BS1648" s="6"/>
      <c r="BT1648" s="6"/>
    </row>
    <row r="1649" spans="1:72">
      <c r="A1649" s="8" t="s">
        <v>31488</v>
      </c>
      <c r="B1649" s="11" t="s">
        <v>31492</v>
      </c>
      <c r="C1649" s="9" t="s">
        <v>138</v>
      </c>
      <c r="D1649" s="10" t="s">
        <v>31489</v>
      </c>
      <c r="E1649" s="28" t="s">
        <v>2694</v>
      </c>
      <c r="F1649" s="28" t="s">
        <v>138</v>
      </c>
      <c r="G1649" s="28" t="s">
        <v>1054</v>
      </c>
      <c r="H1649" s="13">
        <v>3</v>
      </c>
      <c r="I1649" s="12" t="s">
        <v>31501</v>
      </c>
      <c r="J1649" s="12" t="s">
        <v>45314</v>
      </c>
      <c r="K1649" s="12" t="s">
        <v>45315</v>
      </c>
      <c r="L1649" s="12" t="s">
        <v>38821</v>
      </c>
      <c r="M1649" s="12"/>
      <c r="N1649" s="12"/>
      <c r="O1649" s="12"/>
      <c r="P1649" s="12"/>
      <c r="Q1649" s="12"/>
      <c r="R1649" s="12"/>
      <c r="S1649" s="12"/>
      <c r="T1649" s="12"/>
      <c r="U1649" s="12"/>
      <c r="V1649" s="12"/>
      <c r="W1649" s="12"/>
      <c r="X1649" s="12"/>
      <c r="Y1649" s="12"/>
      <c r="Z1649" s="12"/>
      <c r="AA1649" s="12"/>
      <c r="AB1649" s="12"/>
      <c r="AC1649" s="12"/>
      <c r="AD1649" s="12"/>
      <c r="AE1649" s="12"/>
      <c r="AF1649" s="12"/>
      <c r="AG1649" s="12"/>
      <c r="AH1649" s="12"/>
      <c r="AI1649" s="12"/>
      <c r="AJ1649" s="12"/>
      <c r="AK1649" s="12"/>
      <c r="AL1649" s="12"/>
      <c r="AM1649" s="12"/>
      <c r="AN1649" s="12"/>
      <c r="AO1649" s="12"/>
      <c r="AP1649" s="12"/>
      <c r="AQ1649" s="12"/>
      <c r="AR1649" s="12"/>
      <c r="AS1649" s="12"/>
      <c r="AT1649" s="12"/>
      <c r="AU1649" s="12"/>
      <c r="AV1649" s="12"/>
      <c r="AW1649" s="12"/>
      <c r="AX1649" s="12"/>
      <c r="AY1649" s="12"/>
      <c r="AZ1649" s="12"/>
      <c r="BA1649" s="12"/>
      <c r="BB1649" s="12"/>
      <c r="BC1649" s="12"/>
      <c r="BD1649" s="12"/>
      <c r="BE1649" s="12"/>
      <c r="BF1649" s="12"/>
      <c r="BG1649" s="12"/>
      <c r="BH1649" s="12"/>
      <c r="BI1649" s="12"/>
      <c r="BJ1649" s="12"/>
      <c r="BK1649" s="12"/>
      <c r="BL1649" s="12"/>
      <c r="BM1649" s="12"/>
      <c r="BN1649" s="12"/>
      <c r="BO1649" s="12"/>
      <c r="BP1649" s="12"/>
      <c r="BQ1649" s="12"/>
      <c r="BR1649" s="12"/>
      <c r="BS1649" s="12"/>
      <c r="BT1649" s="12"/>
    </row>
    <row r="1650" spans="1:72">
      <c r="A1650" s="2" t="s">
        <v>31504</v>
      </c>
      <c r="B1650" s="5" t="s">
        <v>31509</v>
      </c>
      <c r="C1650" s="3" t="s">
        <v>138</v>
      </c>
      <c r="D1650" s="4" t="s">
        <v>138</v>
      </c>
      <c r="E1650" s="15" t="s">
        <v>1294</v>
      </c>
      <c r="F1650" s="15" t="s">
        <v>864</v>
      </c>
      <c r="G1650" s="15" t="s">
        <v>162</v>
      </c>
      <c r="H1650" s="7">
        <v>26</v>
      </c>
      <c r="I1650" s="6" t="s">
        <v>31519</v>
      </c>
      <c r="J1650" s="6" t="s">
        <v>37811</v>
      </c>
      <c r="K1650" s="6" t="s">
        <v>38662</v>
      </c>
      <c r="L1650" s="6" t="s">
        <v>40713</v>
      </c>
      <c r="M1650" s="6" t="s">
        <v>39933</v>
      </c>
      <c r="N1650" s="6" t="s">
        <v>38484</v>
      </c>
      <c r="O1650" s="6" t="s">
        <v>38376</v>
      </c>
      <c r="P1650" s="6" t="s">
        <v>43045</v>
      </c>
      <c r="Q1650" s="6" t="s">
        <v>38708</v>
      </c>
      <c r="R1650" s="6" t="s">
        <v>39093</v>
      </c>
      <c r="S1650" s="6" t="s">
        <v>45316</v>
      </c>
      <c r="T1650" s="6" t="s">
        <v>39096</v>
      </c>
      <c r="U1650" s="6" t="s">
        <v>39097</v>
      </c>
      <c r="V1650" s="6" t="s">
        <v>37949</v>
      </c>
      <c r="W1650" s="6" t="s">
        <v>45317</v>
      </c>
      <c r="X1650" s="6" t="s">
        <v>38421</v>
      </c>
      <c r="Y1650" s="6" t="s">
        <v>38058</v>
      </c>
      <c r="Z1650" s="6" t="s">
        <v>38688</v>
      </c>
      <c r="AA1650" s="6" t="s">
        <v>40512</v>
      </c>
      <c r="AB1650" s="6" t="s">
        <v>39103</v>
      </c>
      <c r="AC1650" s="6" t="s">
        <v>45318</v>
      </c>
      <c r="AD1650" s="6" t="s">
        <v>38137</v>
      </c>
      <c r="AE1650" s="6" t="s">
        <v>38503</v>
      </c>
      <c r="AF1650" s="6" t="s">
        <v>38479</v>
      </c>
      <c r="AG1650" s="6" t="s">
        <v>39143</v>
      </c>
      <c r="AH1650" s="6" t="s">
        <v>45319</v>
      </c>
      <c r="AI1650" s="6" t="s">
        <v>38460</v>
      </c>
      <c r="AJ1650" s="6"/>
      <c r="AK1650" s="6"/>
      <c r="AL1650" s="6"/>
      <c r="AM1650" s="6"/>
      <c r="AN1650" s="6"/>
      <c r="AO1650" s="6"/>
      <c r="AP1650" s="6"/>
      <c r="AQ1650" s="6"/>
      <c r="AR1650" s="6"/>
      <c r="AS1650" s="6"/>
      <c r="AT1650" s="6"/>
      <c r="AU1650" s="6"/>
      <c r="AV1650" s="6"/>
      <c r="AW1650" s="6"/>
      <c r="AX1650" s="6"/>
      <c r="AY1650" s="6"/>
      <c r="AZ1650" s="6"/>
      <c r="BA1650" s="6"/>
      <c r="BB1650" s="6"/>
      <c r="BC1650" s="6"/>
      <c r="BD1650" s="6"/>
      <c r="BE1650" s="6"/>
      <c r="BF1650" s="6"/>
      <c r="BG1650" s="6"/>
      <c r="BH1650" s="6"/>
      <c r="BI1650" s="6"/>
      <c r="BJ1650" s="6"/>
      <c r="BK1650" s="6"/>
      <c r="BL1650" s="6"/>
      <c r="BM1650" s="6"/>
      <c r="BN1650" s="6"/>
      <c r="BO1650" s="6"/>
      <c r="BP1650" s="6"/>
      <c r="BQ1650" s="6"/>
      <c r="BR1650" s="6"/>
      <c r="BS1650" s="6"/>
      <c r="BT1650" s="6"/>
    </row>
    <row r="1651" spans="1:72">
      <c r="A1651" s="8" t="s">
        <v>31524</v>
      </c>
      <c r="B1651" s="11" t="s">
        <v>31531</v>
      </c>
      <c r="C1651" s="9" t="s">
        <v>138</v>
      </c>
      <c r="D1651" s="10" t="s">
        <v>31525</v>
      </c>
      <c r="E1651" s="28" t="s">
        <v>22871</v>
      </c>
      <c r="F1651" s="28" t="s">
        <v>138</v>
      </c>
      <c r="G1651" s="28" t="s">
        <v>946</v>
      </c>
      <c r="H1651" s="13">
        <v>4</v>
      </c>
      <c r="I1651" s="12" t="s">
        <v>31539</v>
      </c>
      <c r="J1651" s="12" t="s">
        <v>45320</v>
      </c>
      <c r="K1651" s="12" t="s">
        <v>38286</v>
      </c>
      <c r="L1651" s="12" t="s">
        <v>40382</v>
      </c>
      <c r="M1651" s="12" t="s">
        <v>45321</v>
      </c>
      <c r="N1651" s="12"/>
      <c r="O1651" s="12"/>
      <c r="P1651" s="12"/>
      <c r="Q1651" s="12"/>
      <c r="R1651" s="12"/>
      <c r="S1651" s="12"/>
      <c r="T1651" s="12"/>
      <c r="U1651" s="12"/>
      <c r="V1651" s="12"/>
      <c r="W1651" s="12"/>
      <c r="X1651" s="12"/>
      <c r="Y1651" s="12"/>
      <c r="Z1651" s="12"/>
      <c r="AA1651" s="12"/>
      <c r="AB1651" s="12"/>
      <c r="AC1651" s="12"/>
      <c r="AD1651" s="12"/>
      <c r="AE1651" s="12"/>
      <c r="AF1651" s="12"/>
      <c r="AG1651" s="12"/>
      <c r="AH1651" s="12"/>
      <c r="AI1651" s="12"/>
      <c r="AJ1651" s="12"/>
      <c r="AK1651" s="12"/>
      <c r="AL1651" s="12"/>
      <c r="AM1651" s="12"/>
      <c r="AN1651" s="12"/>
      <c r="AO1651" s="12"/>
      <c r="AP1651" s="12"/>
      <c r="AQ1651" s="12"/>
      <c r="AR1651" s="12"/>
      <c r="AS1651" s="12"/>
      <c r="AT1651" s="12"/>
      <c r="AU1651" s="12"/>
      <c r="AV1651" s="12"/>
      <c r="AW1651" s="12"/>
      <c r="AX1651" s="12"/>
      <c r="AY1651" s="12"/>
      <c r="AZ1651" s="12"/>
      <c r="BA1651" s="12"/>
      <c r="BB1651" s="12"/>
      <c r="BC1651" s="12"/>
      <c r="BD1651" s="12"/>
      <c r="BE1651" s="12"/>
      <c r="BF1651" s="12"/>
      <c r="BG1651" s="12"/>
      <c r="BH1651" s="12"/>
      <c r="BI1651" s="12"/>
      <c r="BJ1651" s="12"/>
      <c r="BK1651" s="12"/>
      <c r="BL1651" s="12"/>
      <c r="BM1651" s="12"/>
      <c r="BN1651" s="12"/>
      <c r="BO1651" s="12"/>
      <c r="BP1651" s="12"/>
      <c r="BQ1651" s="12"/>
      <c r="BR1651" s="12"/>
      <c r="BS1651" s="12"/>
      <c r="BT1651" s="12"/>
    </row>
    <row r="1652" spans="1:72">
      <c r="A1652" s="2" t="s">
        <v>31542</v>
      </c>
      <c r="B1652" s="5" t="s">
        <v>31547</v>
      </c>
      <c r="C1652" s="3" t="s">
        <v>138</v>
      </c>
      <c r="D1652" s="4" t="s">
        <v>138</v>
      </c>
      <c r="E1652" s="15" t="s">
        <v>3841</v>
      </c>
      <c r="F1652" s="15" t="s">
        <v>200</v>
      </c>
      <c r="G1652" s="15" t="s">
        <v>162</v>
      </c>
      <c r="H1652" s="7">
        <v>8</v>
      </c>
      <c r="I1652" s="6" t="s">
        <v>31554</v>
      </c>
      <c r="J1652" s="6" t="s">
        <v>45322</v>
      </c>
      <c r="K1652" s="6" t="s">
        <v>45323</v>
      </c>
      <c r="L1652" s="6" t="s">
        <v>38299</v>
      </c>
      <c r="M1652" s="6" t="s">
        <v>45324</v>
      </c>
      <c r="N1652" s="6" t="s">
        <v>45325</v>
      </c>
      <c r="O1652" s="6" t="s">
        <v>37786</v>
      </c>
      <c r="P1652" s="6" t="s">
        <v>42767</v>
      </c>
      <c r="Q1652" s="6" t="s">
        <v>37892</v>
      </c>
      <c r="R1652" s="6"/>
      <c r="S1652" s="6"/>
      <c r="T1652" s="6"/>
      <c r="U1652" s="6"/>
      <c r="V1652" s="6"/>
      <c r="W1652" s="6"/>
      <c r="X1652" s="6"/>
      <c r="Y1652" s="6"/>
      <c r="Z1652" s="6"/>
      <c r="AA1652" s="6"/>
      <c r="AB1652" s="6"/>
      <c r="AC1652" s="6"/>
      <c r="AD1652" s="6"/>
      <c r="AE1652" s="6"/>
      <c r="AF1652" s="6"/>
      <c r="AG1652" s="6"/>
      <c r="AH1652" s="6"/>
      <c r="AI1652" s="6"/>
      <c r="AJ1652" s="6"/>
      <c r="AK1652" s="6"/>
      <c r="AL1652" s="6"/>
      <c r="AM1652" s="6"/>
      <c r="AN1652" s="6"/>
      <c r="AO1652" s="6"/>
      <c r="AP1652" s="6"/>
      <c r="AQ1652" s="6"/>
      <c r="AR1652" s="6"/>
      <c r="AS1652" s="6"/>
      <c r="AT1652" s="6"/>
      <c r="AU1652" s="6"/>
      <c r="AV1652" s="6"/>
      <c r="AW1652" s="6"/>
      <c r="AX1652" s="6"/>
      <c r="AY1652" s="6"/>
      <c r="AZ1652" s="6"/>
      <c r="BA1652" s="6"/>
      <c r="BB1652" s="6"/>
      <c r="BC1652" s="6"/>
      <c r="BD1652" s="6"/>
      <c r="BE1652" s="6"/>
      <c r="BF1652" s="6"/>
      <c r="BG1652" s="6"/>
      <c r="BH1652" s="6"/>
      <c r="BI1652" s="6"/>
      <c r="BJ1652" s="6"/>
      <c r="BK1652" s="6"/>
      <c r="BL1652" s="6"/>
      <c r="BM1652" s="6"/>
      <c r="BN1652" s="6"/>
      <c r="BO1652" s="6"/>
      <c r="BP1652" s="6"/>
      <c r="BQ1652" s="6"/>
      <c r="BR1652" s="6"/>
      <c r="BS1652" s="6"/>
      <c r="BT1652" s="6"/>
    </row>
    <row r="1653" spans="1:72">
      <c r="A1653" s="8" t="s">
        <v>31557</v>
      </c>
      <c r="B1653" s="11" t="s">
        <v>31562</v>
      </c>
      <c r="C1653" s="9" t="s">
        <v>138</v>
      </c>
      <c r="D1653" s="10" t="s">
        <v>31558</v>
      </c>
      <c r="E1653" s="28" t="s">
        <v>14975</v>
      </c>
      <c r="F1653" s="28" t="s">
        <v>864</v>
      </c>
      <c r="G1653" s="28" t="s">
        <v>162</v>
      </c>
      <c r="H1653" s="13">
        <v>6</v>
      </c>
      <c r="I1653" s="12" t="s">
        <v>31570</v>
      </c>
      <c r="J1653" s="12" t="s">
        <v>45326</v>
      </c>
      <c r="K1653" s="12" t="s">
        <v>38882</v>
      </c>
      <c r="L1653" s="12" t="s">
        <v>41971</v>
      </c>
      <c r="M1653" s="12" t="s">
        <v>40483</v>
      </c>
      <c r="N1653" s="12" t="s">
        <v>45327</v>
      </c>
      <c r="O1653" s="12" t="s">
        <v>45328</v>
      </c>
      <c r="P1653" s="12"/>
      <c r="Q1653" s="12"/>
      <c r="R1653" s="12"/>
      <c r="S1653" s="12"/>
      <c r="T1653" s="12"/>
      <c r="U1653" s="12"/>
      <c r="V1653" s="12"/>
      <c r="W1653" s="12"/>
      <c r="X1653" s="12"/>
      <c r="Y1653" s="12"/>
      <c r="Z1653" s="12"/>
      <c r="AA1653" s="12"/>
      <c r="AB1653" s="12"/>
      <c r="AC1653" s="12"/>
      <c r="AD1653" s="12"/>
      <c r="AE1653" s="12"/>
      <c r="AF1653" s="12"/>
      <c r="AG1653" s="12"/>
      <c r="AH1653" s="12"/>
      <c r="AI1653" s="12"/>
      <c r="AJ1653" s="12"/>
      <c r="AK1653" s="12"/>
      <c r="AL1653" s="12"/>
      <c r="AM1653" s="12"/>
      <c r="AN1653" s="12"/>
      <c r="AO1653" s="12"/>
      <c r="AP1653" s="12"/>
      <c r="AQ1653" s="12"/>
      <c r="AR1653" s="12"/>
      <c r="AS1653" s="12"/>
      <c r="AT1653" s="12"/>
      <c r="AU1653" s="12"/>
      <c r="AV1653" s="12"/>
      <c r="AW1653" s="12"/>
      <c r="AX1653" s="12"/>
      <c r="AY1653" s="12"/>
      <c r="AZ1653" s="12"/>
      <c r="BA1653" s="12"/>
      <c r="BB1653" s="12"/>
      <c r="BC1653" s="12"/>
      <c r="BD1653" s="12"/>
      <c r="BE1653" s="12"/>
      <c r="BF1653" s="12"/>
      <c r="BG1653" s="12"/>
      <c r="BH1653" s="12"/>
      <c r="BI1653" s="12"/>
      <c r="BJ1653" s="12"/>
      <c r="BK1653" s="12"/>
      <c r="BL1653" s="12"/>
      <c r="BM1653" s="12"/>
      <c r="BN1653" s="12"/>
      <c r="BO1653" s="12"/>
      <c r="BP1653" s="12"/>
      <c r="BQ1653" s="12"/>
      <c r="BR1653" s="12"/>
      <c r="BS1653" s="12"/>
      <c r="BT1653" s="12"/>
    </row>
    <row r="1654" spans="1:72">
      <c r="A1654" s="2" t="s">
        <v>31573</v>
      </c>
      <c r="B1654" s="5" t="s">
        <v>31577</v>
      </c>
      <c r="C1654" s="3" t="s">
        <v>138</v>
      </c>
      <c r="D1654" s="4" t="s">
        <v>138</v>
      </c>
      <c r="E1654" s="15" t="s">
        <v>449</v>
      </c>
      <c r="F1654" s="15" t="s">
        <v>31584</v>
      </c>
      <c r="G1654" s="15" t="s">
        <v>450</v>
      </c>
      <c r="H1654" s="7">
        <v>6</v>
      </c>
      <c r="I1654" s="6" t="s">
        <v>31588</v>
      </c>
      <c r="J1654" s="6" t="s">
        <v>45329</v>
      </c>
      <c r="K1654" s="6" t="s">
        <v>45330</v>
      </c>
      <c r="L1654" s="6" t="s">
        <v>38137</v>
      </c>
      <c r="M1654" s="6" t="s">
        <v>45331</v>
      </c>
      <c r="N1654" s="6" t="s">
        <v>45332</v>
      </c>
      <c r="O1654" s="6" t="s">
        <v>45333</v>
      </c>
      <c r="P1654" s="6"/>
      <c r="Q1654" s="6"/>
      <c r="R1654" s="6"/>
      <c r="S1654" s="6"/>
      <c r="T1654" s="6"/>
      <c r="U1654" s="6"/>
      <c r="V1654" s="6"/>
      <c r="W1654" s="6"/>
      <c r="X1654" s="6"/>
      <c r="Y1654" s="6"/>
      <c r="Z1654" s="6"/>
      <c r="AA1654" s="6"/>
      <c r="AB1654" s="6"/>
      <c r="AC1654" s="6"/>
      <c r="AD1654" s="6"/>
      <c r="AE1654" s="6"/>
      <c r="AF1654" s="6"/>
      <c r="AG1654" s="6"/>
      <c r="AH1654" s="6"/>
      <c r="AI1654" s="6"/>
      <c r="AJ1654" s="6"/>
      <c r="AK1654" s="6"/>
      <c r="AL1654" s="6"/>
      <c r="AM1654" s="6"/>
      <c r="AN1654" s="6"/>
      <c r="AO1654" s="6"/>
      <c r="AP1654" s="6"/>
      <c r="AQ1654" s="6"/>
      <c r="AR1654" s="6"/>
      <c r="AS1654" s="6"/>
      <c r="AT1654" s="6"/>
      <c r="AU1654" s="6"/>
      <c r="AV1654" s="6"/>
      <c r="AW1654" s="6"/>
      <c r="AX1654" s="6"/>
      <c r="AY1654" s="6"/>
      <c r="AZ1654" s="6"/>
      <c r="BA1654" s="6"/>
      <c r="BB1654" s="6"/>
      <c r="BC1654" s="6"/>
      <c r="BD1654" s="6"/>
      <c r="BE1654" s="6"/>
      <c r="BF1654" s="6"/>
      <c r="BG1654" s="6"/>
      <c r="BH1654" s="6"/>
      <c r="BI1654" s="6"/>
      <c r="BJ1654" s="6"/>
      <c r="BK1654" s="6"/>
      <c r="BL1654" s="6"/>
      <c r="BM1654" s="6"/>
      <c r="BN1654" s="6"/>
      <c r="BO1654" s="6"/>
      <c r="BP1654" s="6"/>
      <c r="BQ1654" s="6"/>
      <c r="BR1654" s="6"/>
      <c r="BS1654" s="6"/>
      <c r="BT1654" s="6"/>
    </row>
    <row r="1655" spans="1:72">
      <c r="A1655" s="8" t="s">
        <v>31591</v>
      </c>
      <c r="B1655" s="11" t="s">
        <v>31596</v>
      </c>
      <c r="C1655" s="9" t="s">
        <v>138</v>
      </c>
      <c r="D1655" s="10" t="s">
        <v>31592</v>
      </c>
      <c r="E1655" s="28" t="s">
        <v>31604</v>
      </c>
      <c r="F1655" s="28" t="s">
        <v>3712</v>
      </c>
      <c r="G1655" s="28" t="s">
        <v>162</v>
      </c>
      <c r="H1655" s="13">
        <v>16</v>
      </c>
      <c r="I1655" s="12" t="s">
        <v>31608</v>
      </c>
      <c r="J1655" s="12" t="s">
        <v>45334</v>
      </c>
      <c r="K1655" s="12" t="s">
        <v>45335</v>
      </c>
      <c r="L1655" s="12" t="s">
        <v>45336</v>
      </c>
      <c r="M1655" s="12" t="s">
        <v>38299</v>
      </c>
      <c r="N1655" s="12" t="s">
        <v>45337</v>
      </c>
      <c r="O1655" s="12" t="s">
        <v>45338</v>
      </c>
      <c r="P1655" s="12" t="s">
        <v>45339</v>
      </c>
      <c r="Q1655" s="12" t="s">
        <v>38524</v>
      </c>
      <c r="R1655" s="12" t="s">
        <v>45340</v>
      </c>
      <c r="S1655" s="12" t="s">
        <v>45341</v>
      </c>
      <c r="T1655" s="12" t="s">
        <v>40583</v>
      </c>
      <c r="U1655" s="12" t="s">
        <v>40406</v>
      </c>
      <c r="V1655" s="12" t="s">
        <v>38975</v>
      </c>
      <c r="W1655" s="12" t="s">
        <v>45342</v>
      </c>
      <c r="X1655" s="12" t="s">
        <v>45343</v>
      </c>
      <c r="Y1655" s="12" t="s">
        <v>45344</v>
      </c>
      <c r="Z1655" s="12"/>
      <c r="AA1655" s="12"/>
      <c r="AB1655" s="12"/>
      <c r="AC1655" s="12"/>
      <c r="AD1655" s="12"/>
      <c r="AE1655" s="12"/>
      <c r="AF1655" s="12"/>
      <c r="AG1655" s="12"/>
      <c r="AH1655" s="12"/>
      <c r="AI1655" s="12"/>
      <c r="AJ1655" s="12"/>
      <c r="AK1655" s="12"/>
      <c r="AL1655" s="12"/>
      <c r="AM1655" s="12"/>
      <c r="AN1655" s="12"/>
      <c r="AO1655" s="12"/>
      <c r="AP1655" s="12"/>
      <c r="AQ1655" s="12"/>
      <c r="AR1655" s="12"/>
      <c r="AS1655" s="12"/>
      <c r="AT1655" s="12"/>
      <c r="AU1655" s="12"/>
      <c r="AV1655" s="12"/>
      <c r="AW1655" s="12"/>
      <c r="AX1655" s="12"/>
      <c r="AY1655" s="12"/>
      <c r="AZ1655" s="12"/>
      <c r="BA1655" s="12"/>
      <c r="BB1655" s="12"/>
      <c r="BC1655" s="12"/>
      <c r="BD1655" s="12"/>
      <c r="BE1655" s="12"/>
      <c r="BF1655" s="12"/>
      <c r="BG1655" s="12"/>
      <c r="BH1655" s="12"/>
      <c r="BI1655" s="12"/>
      <c r="BJ1655" s="12"/>
      <c r="BK1655" s="12"/>
      <c r="BL1655" s="12"/>
      <c r="BM1655" s="12"/>
      <c r="BN1655" s="12"/>
      <c r="BO1655" s="12"/>
      <c r="BP1655" s="12"/>
      <c r="BQ1655" s="12"/>
      <c r="BR1655" s="12"/>
      <c r="BS1655" s="12"/>
      <c r="BT1655" s="12"/>
    </row>
    <row r="1656" spans="1:72">
      <c r="A1656" s="2" t="s">
        <v>31614</v>
      </c>
      <c r="B1656" s="5" t="s">
        <v>31617</v>
      </c>
      <c r="C1656" s="3" t="s">
        <v>138</v>
      </c>
      <c r="D1656" s="4" t="s">
        <v>138</v>
      </c>
      <c r="E1656" s="15" t="s">
        <v>31626</v>
      </c>
      <c r="F1656" s="15" t="s">
        <v>138</v>
      </c>
      <c r="G1656" s="15" t="s">
        <v>27338</v>
      </c>
      <c r="H1656" s="7" t="s">
        <v>138</v>
      </c>
      <c r="I1656" s="6" t="s">
        <v>138</v>
      </c>
      <c r="J1656" s="6"/>
      <c r="K1656" s="6"/>
      <c r="L1656" s="6"/>
      <c r="M1656" s="6"/>
      <c r="N1656" s="6"/>
      <c r="O1656" s="6"/>
      <c r="P1656" s="6"/>
      <c r="Q1656" s="6"/>
      <c r="R1656" s="6"/>
      <c r="S1656" s="6"/>
      <c r="T1656" s="6"/>
      <c r="U1656" s="6"/>
      <c r="V1656" s="6"/>
      <c r="W1656" s="6"/>
      <c r="X1656" s="6"/>
      <c r="Y1656" s="6"/>
      <c r="Z1656" s="6"/>
      <c r="AA1656" s="6"/>
      <c r="AB1656" s="6"/>
      <c r="AC1656" s="6"/>
      <c r="AD1656" s="6"/>
      <c r="AE1656" s="6"/>
      <c r="AF1656" s="6"/>
      <c r="AG1656" s="6"/>
      <c r="AH1656" s="6"/>
      <c r="AI1656" s="6"/>
      <c r="AJ1656" s="6"/>
      <c r="AK1656" s="6"/>
      <c r="AL1656" s="6"/>
      <c r="AM1656" s="6"/>
      <c r="AN1656" s="6"/>
      <c r="AO1656" s="6"/>
      <c r="AP1656" s="6"/>
      <c r="AQ1656" s="6"/>
      <c r="AR1656" s="6"/>
      <c r="AS1656" s="6"/>
      <c r="AT1656" s="6"/>
      <c r="AU1656" s="6"/>
      <c r="AV1656" s="6"/>
      <c r="AW1656" s="6"/>
      <c r="AX1656" s="6"/>
      <c r="AY1656" s="6"/>
      <c r="AZ1656" s="6"/>
      <c r="BA1656" s="6"/>
      <c r="BB1656" s="6"/>
      <c r="BC1656" s="6"/>
      <c r="BD1656" s="6"/>
      <c r="BE1656" s="6"/>
      <c r="BF1656" s="6"/>
      <c r="BG1656" s="6"/>
      <c r="BH1656" s="6"/>
      <c r="BI1656" s="6"/>
      <c r="BJ1656" s="6"/>
      <c r="BK1656" s="6"/>
      <c r="BL1656" s="6"/>
      <c r="BM1656" s="6"/>
      <c r="BN1656" s="6"/>
      <c r="BO1656" s="6"/>
      <c r="BP1656" s="6"/>
      <c r="BQ1656" s="6"/>
      <c r="BR1656" s="6"/>
      <c r="BS1656" s="6"/>
      <c r="BT1656" s="6"/>
    </row>
    <row r="1657" spans="1:72">
      <c r="A1657" s="8" t="s">
        <v>31632</v>
      </c>
      <c r="B1657" s="11" t="s">
        <v>31638</v>
      </c>
      <c r="C1657" s="9" t="s">
        <v>31633</v>
      </c>
      <c r="D1657" s="10" t="s">
        <v>31634</v>
      </c>
      <c r="E1657" s="28" t="s">
        <v>11750</v>
      </c>
      <c r="F1657" s="28" t="s">
        <v>200</v>
      </c>
      <c r="G1657" s="28" t="s">
        <v>162</v>
      </c>
      <c r="H1657" s="13">
        <v>16</v>
      </c>
      <c r="I1657" s="12" t="s">
        <v>31646</v>
      </c>
      <c r="J1657" s="12" t="s">
        <v>38454</v>
      </c>
      <c r="K1657" s="12" t="s">
        <v>42757</v>
      </c>
      <c r="L1657" s="12" t="s">
        <v>40736</v>
      </c>
      <c r="M1657" s="12" t="s">
        <v>37832</v>
      </c>
      <c r="N1657" s="12" t="s">
        <v>37820</v>
      </c>
      <c r="O1657" s="12" t="s">
        <v>45345</v>
      </c>
      <c r="P1657" s="12" t="s">
        <v>41560</v>
      </c>
      <c r="Q1657" s="12" t="s">
        <v>45346</v>
      </c>
      <c r="R1657" s="12" t="s">
        <v>37851</v>
      </c>
      <c r="S1657" s="12" t="s">
        <v>41891</v>
      </c>
      <c r="T1657" s="12" t="s">
        <v>39976</v>
      </c>
      <c r="U1657" s="12" t="s">
        <v>41690</v>
      </c>
      <c r="V1657" s="12" t="s">
        <v>45347</v>
      </c>
      <c r="W1657" s="12" t="s">
        <v>45348</v>
      </c>
      <c r="X1657" s="12" t="s">
        <v>39011</v>
      </c>
      <c r="Y1657" s="12" t="s">
        <v>41054</v>
      </c>
      <c r="Z1657" s="12"/>
      <c r="AA1657" s="12"/>
      <c r="AB1657" s="12"/>
      <c r="AC1657" s="12"/>
      <c r="AD1657" s="12"/>
      <c r="AE1657" s="12"/>
      <c r="AF1657" s="12"/>
      <c r="AG1657" s="12"/>
      <c r="AH1657" s="12"/>
      <c r="AI1657" s="12"/>
      <c r="AJ1657" s="12"/>
      <c r="AK1657" s="12"/>
      <c r="AL1657" s="12"/>
      <c r="AM1657" s="12"/>
      <c r="AN1657" s="12"/>
      <c r="AO1657" s="12"/>
      <c r="AP1657" s="12"/>
      <c r="AQ1657" s="12"/>
      <c r="AR1657" s="12"/>
      <c r="AS1657" s="12"/>
      <c r="AT1657" s="12"/>
      <c r="AU1657" s="12"/>
      <c r="AV1657" s="12"/>
      <c r="AW1657" s="12"/>
      <c r="AX1657" s="12"/>
      <c r="AY1657" s="12"/>
      <c r="AZ1657" s="12"/>
      <c r="BA1657" s="12"/>
      <c r="BB1657" s="12"/>
      <c r="BC1657" s="12"/>
      <c r="BD1657" s="12"/>
      <c r="BE1657" s="12"/>
      <c r="BF1657" s="12"/>
      <c r="BG1657" s="12"/>
      <c r="BH1657" s="12"/>
      <c r="BI1657" s="12"/>
      <c r="BJ1657" s="12"/>
      <c r="BK1657" s="12"/>
      <c r="BL1657" s="12"/>
      <c r="BM1657" s="12"/>
      <c r="BN1657" s="12"/>
      <c r="BO1657" s="12"/>
      <c r="BP1657" s="12"/>
      <c r="BQ1657" s="12"/>
      <c r="BR1657" s="12"/>
      <c r="BS1657" s="12"/>
      <c r="BT1657" s="12"/>
    </row>
    <row r="1658" spans="1:72">
      <c r="A1658" s="2" t="s">
        <v>31650</v>
      </c>
      <c r="B1658" s="5" t="s">
        <v>31656</v>
      </c>
      <c r="C1658" s="3" t="s">
        <v>31651</v>
      </c>
      <c r="D1658" s="4" t="s">
        <v>138</v>
      </c>
      <c r="E1658" s="15" t="s">
        <v>31664</v>
      </c>
      <c r="F1658" s="15" t="s">
        <v>426</v>
      </c>
      <c r="G1658" s="15" t="s">
        <v>162</v>
      </c>
      <c r="H1658" s="7">
        <v>5</v>
      </c>
      <c r="I1658" s="6" t="s">
        <v>31668</v>
      </c>
      <c r="J1658" s="6" t="s">
        <v>45349</v>
      </c>
      <c r="K1658" s="6" t="s">
        <v>38011</v>
      </c>
      <c r="L1658" s="6" t="s">
        <v>42659</v>
      </c>
      <c r="M1658" s="6" t="s">
        <v>45350</v>
      </c>
      <c r="N1658" s="6" t="s">
        <v>45351</v>
      </c>
      <c r="O1658" s="6"/>
      <c r="P1658" s="6"/>
      <c r="Q1658" s="6"/>
      <c r="R1658" s="6"/>
      <c r="S1658" s="6"/>
      <c r="T1658" s="6"/>
      <c r="U1658" s="6"/>
      <c r="V1658" s="6"/>
      <c r="W1658" s="6"/>
      <c r="X1658" s="6"/>
      <c r="Y1658" s="6"/>
      <c r="Z1658" s="6"/>
      <c r="AA1658" s="6"/>
      <c r="AB1658" s="6"/>
      <c r="AC1658" s="6"/>
      <c r="AD1658" s="6"/>
      <c r="AE1658" s="6"/>
      <c r="AF1658" s="6"/>
      <c r="AG1658" s="6"/>
      <c r="AH1658" s="6"/>
      <c r="AI1658" s="6"/>
      <c r="AJ1658" s="6"/>
      <c r="AK1658" s="6"/>
      <c r="AL1658" s="6"/>
      <c r="AM1658" s="6"/>
      <c r="AN1658" s="6"/>
      <c r="AO1658" s="6"/>
      <c r="AP1658" s="6"/>
      <c r="AQ1658" s="6"/>
      <c r="AR1658" s="6"/>
      <c r="AS1658" s="6"/>
      <c r="AT1658" s="6"/>
      <c r="AU1658" s="6"/>
      <c r="AV1658" s="6"/>
      <c r="AW1658" s="6"/>
      <c r="AX1658" s="6"/>
      <c r="AY1658" s="6"/>
      <c r="AZ1658" s="6"/>
      <c r="BA1658" s="6"/>
      <c r="BB1658" s="6"/>
      <c r="BC1658" s="6"/>
      <c r="BD1658" s="6"/>
      <c r="BE1658" s="6"/>
      <c r="BF1658" s="6"/>
      <c r="BG1658" s="6"/>
      <c r="BH1658" s="6"/>
      <c r="BI1658" s="6"/>
      <c r="BJ1658" s="6"/>
      <c r="BK1658" s="6"/>
      <c r="BL1658" s="6"/>
      <c r="BM1658" s="6"/>
      <c r="BN1658" s="6"/>
      <c r="BO1658" s="6"/>
      <c r="BP1658" s="6"/>
      <c r="BQ1658" s="6"/>
      <c r="BR1658" s="6"/>
      <c r="BS1658" s="6"/>
      <c r="BT1658" s="6"/>
    </row>
    <row r="1659" spans="1:72">
      <c r="A1659" s="8" t="s">
        <v>31673</v>
      </c>
      <c r="B1659" s="11" t="s">
        <v>31678</v>
      </c>
      <c r="C1659" s="9" t="s">
        <v>138</v>
      </c>
      <c r="D1659" s="10" t="s">
        <v>138</v>
      </c>
      <c r="E1659" s="28" t="s">
        <v>449</v>
      </c>
      <c r="F1659" s="28" t="s">
        <v>138</v>
      </c>
      <c r="G1659" s="28" t="s">
        <v>450</v>
      </c>
      <c r="H1659" s="13">
        <v>5</v>
      </c>
      <c r="I1659" s="12" t="s">
        <v>31688</v>
      </c>
      <c r="J1659" s="12" t="s">
        <v>45352</v>
      </c>
      <c r="K1659" s="12" t="s">
        <v>38425</v>
      </c>
      <c r="L1659" s="12" t="s">
        <v>39634</v>
      </c>
      <c r="M1659" s="12" t="s">
        <v>39609</v>
      </c>
      <c r="N1659" s="12" t="s">
        <v>45353</v>
      </c>
      <c r="O1659" s="12"/>
      <c r="P1659" s="12"/>
      <c r="Q1659" s="12"/>
      <c r="R1659" s="12"/>
      <c r="S1659" s="12"/>
      <c r="T1659" s="12"/>
      <c r="U1659" s="12"/>
      <c r="V1659" s="12"/>
      <c r="W1659" s="12"/>
      <c r="X1659" s="12"/>
      <c r="Y1659" s="12"/>
      <c r="Z1659" s="12"/>
      <c r="AA1659" s="12"/>
      <c r="AB1659" s="12"/>
      <c r="AC1659" s="12"/>
      <c r="AD1659" s="12"/>
      <c r="AE1659" s="12"/>
      <c r="AF1659" s="12"/>
      <c r="AG1659" s="12"/>
      <c r="AH1659" s="12"/>
      <c r="AI1659" s="12"/>
      <c r="AJ1659" s="12"/>
      <c r="AK1659" s="12"/>
      <c r="AL1659" s="12"/>
      <c r="AM1659" s="12"/>
      <c r="AN1659" s="12"/>
      <c r="AO1659" s="12"/>
      <c r="AP1659" s="12"/>
      <c r="AQ1659" s="12"/>
      <c r="AR1659" s="12"/>
      <c r="AS1659" s="12"/>
      <c r="AT1659" s="12"/>
      <c r="AU1659" s="12"/>
      <c r="AV1659" s="12"/>
      <c r="AW1659" s="12"/>
      <c r="AX1659" s="12"/>
      <c r="AY1659" s="12"/>
      <c r="AZ1659" s="12"/>
      <c r="BA1659" s="12"/>
      <c r="BB1659" s="12"/>
      <c r="BC1659" s="12"/>
      <c r="BD1659" s="12"/>
      <c r="BE1659" s="12"/>
      <c r="BF1659" s="12"/>
      <c r="BG1659" s="12"/>
      <c r="BH1659" s="12"/>
      <c r="BI1659" s="12"/>
      <c r="BJ1659" s="12"/>
      <c r="BK1659" s="12"/>
      <c r="BL1659" s="12"/>
      <c r="BM1659" s="12"/>
      <c r="BN1659" s="12"/>
      <c r="BO1659" s="12"/>
      <c r="BP1659" s="12"/>
      <c r="BQ1659" s="12"/>
      <c r="BR1659" s="12"/>
      <c r="BS1659" s="12"/>
      <c r="BT1659" s="12"/>
    </row>
    <row r="1660" spans="1:72">
      <c r="A1660" s="2" t="s">
        <v>31693</v>
      </c>
      <c r="B1660" s="5" t="s">
        <v>31699</v>
      </c>
      <c r="C1660" s="3" t="s">
        <v>138</v>
      </c>
      <c r="D1660" s="4" t="s">
        <v>138</v>
      </c>
      <c r="E1660" s="15" t="s">
        <v>426</v>
      </c>
      <c r="F1660" s="15" t="s">
        <v>426</v>
      </c>
      <c r="G1660" s="15" t="s">
        <v>162</v>
      </c>
      <c r="H1660" s="7">
        <v>16</v>
      </c>
      <c r="I1660" s="6" t="s">
        <v>31709</v>
      </c>
      <c r="J1660" s="6" t="s">
        <v>45354</v>
      </c>
      <c r="K1660" s="6" t="s">
        <v>39924</v>
      </c>
      <c r="L1660" s="6" t="s">
        <v>45355</v>
      </c>
      <c r="M1660" s="6" t="s">
        <v>39897</v>
      </c>
      <c r="N1660" s="6" t="s">
        <v>38147</v>
      </c>
      <c r="O1660" s="6" t="s">
        <v>37819</v>
      </c>
      <c r="P1660" s="6" t="s">
        <v>40077</v>
      </c>
      <c r="Q1660" s="6" t="s">
        <v>39435</v>
      </c>
      <c r="R1660" s="6" t="s">
        <v>45356</v>
      </c>
      <c r="S1660" s="6" t="s">
        <v>38557</v>
      </c>
      <c r="T1660" s="6" t="s">
        <v>37883</v>
      </c>
      <c r="U1660" s="6" t="s">
        <v>45357</v>
      </c>
      <c r="V1660" s="6" t="s">
        <v>38399</v>
      </c>
      <c r="W1660" s="6" t="s">
        <v>43979</v>
      </c>
      <c r="X1660" s="6" t="s">
        <v>39143</v>
      </c>
      <c r="Y1660" s="6" t="s">
        <v>37976</v>
      </c>
      <c r="Z1660" s="6"/>
      <c r="AA1660" s="6"/>
      <c r="AB1660" s="6"/>
      <c r="AC1660" s="6"/>
      <c r="AD1660" s="6"/>
      <c r="AE1660" s="6"/>
      <c r="AF1660" s="6"/>
      <c r="AG1660" s="6"/>
      <c r="AH1660" s="6"/>
      <c r="AI1660" s="6"/>
      <c r="AJ1660" s="6"/>
      <c r="AK1660" s="6"/>
      <c r="AL1660" s="6"/>
      <c r="AM1660" s="6"/>
      <c r="AN1660" s="6"/>
      <c r="AO1660" s="6"/>
      <c r="AP1660" s="6"/>
      <c r="AQ1660" s="6"/>
      <c r="AR1660" s="6"/>
      <c r="AS1660" s="6"/>
      <c r="AT1660" s="6"/>
      <c r="AU1660" s="6"/>
      <c r="AV1660" s="6"/>
      <c r="AW1660" s="6"/>
      <c r="AX1660" s="6"/>
      <c r="AY1660" s="6"/>
      <c r="AZ1660" s="6"/>
      <c r="BA1660" s="6"/>
      <c r="BB1660" s="6"/>
      <c r="BC1660" s="6"/>
      <c r="BD1660" s="6"/>
      <c r="BE1660" s="6"/>
      <c r="BF1660" s="6"/>
      <c r="BG1660" s="6"/>
      <c r="BH1660" s="6"/>
      <c r="BI1660" s="6"/>
      <c r="BJ1660" s="6"/>
      <c r="BK1660" s="6"/>
      <c r="BL1660" s="6"/>
      <c r="BM1660" s="6"/>
      <c r="BN1660" s="6"/>
      <c r="BO1660" s="6"/>
      <c r="BP1660" s="6"/>
      <c r="BQ1660" s="6"/>
      <c r="BR1660" s="6"/>
      <c r="BS1660" s="6"/>
      <c r="BT1660" s="6"/>
    </row>
    <row r="1661" spans="1:72">
      <c r="A1661" s="8" t="s">
        <v>31714</v>
      </c>
      <c r="B1661" s="11" t="s">
        <v>31718</v>
      </c>
      <c r="C1661" s="9" t="s">
        <v>138</v>
      </c>
      <c r="D1661" s="10" t="s">
        <v>138</v>
      </c>
      <c r="E1661" s="28" t="s">
        <v>31727</v>
      </c>
      <c r="F1661" s="28" t="s">
        <v>6898</v>
      </c>
      <c r="G1661" s="28" t="s">
        <v>162</v>
      </c>
      <c r="H1661" s="13">
        <v>2</v>
      </c>
      <c r="I1661" s="12" t="s">
        <v>31732</v>
      </c>
      <c r="J1661" s="12" t="s">
        <v>38328</v>
      </c>
      <c r="K1661" s="12" t="s">
        <v>38329</v>
      </c>
      <c r="L1661" s="12"/>
      <c r="M1661" s="12"/>
      <c r="N1661" s="12"/>
      <c r="O1661" s="12"/>
      <c r="P1661" s="12"/>
      <c r="Q1661" s="12"/>
      <c r="R1661" s="12"/>
      <c r="S1661" s="12"/>
      <c r="T1661" s="12"/>
      <c r="U1661" s="12"/>
      <c r="V1661" s="12"/>
      <c r="W1661" s="12"/>
      <c r="X1661" s="12"/>
      <c r="Y1661" s="12"/>
      <c r="Z1661" s="12"/>
      <c r="AA1661" s="12"/>
      <c r="AB1661" s="12"/>
      <c r="AC1661" s="12"/>
      <c r="AD1661" s="12"/>
      <c r="AE1661" s="12"/>
      <c r="AF1661" s="12"/>
      <c r="AG1661" s="12"/>
      <c r="AH1661" s="12"/>
      <c r="AI1661" s="12"/>
      <c r="AJ1661" s="12"/>
      <c r="AK1661" s="12"/>
      <c r="AL1661" s="12"/>
      <c r="AM1661" s="12"/>
      <c r="AN1661" s="12"/>
      <c r="AO1661" s="12"/>
      <c r="AP1661" s="12"/>
      <c r="AQ1661" s="12"/>
      <c r="AR1661" s="12"/>
      <c r="AS1661" s="12"/>
      <c r="AT1661" s="12"/>
      <c r="AU1661" s="12"/>
      <c r="AV1661" s="12"/>
      <c r="AW1661" s="12"/>
      <c r="AX1661" s="12"/>
      <c r="AY1661" s="12"/>
      <c r="AZ1661" s="12"/>
      <c r="BA1661" s="12"/>
      <c r="BB1661" s="12"/>
      <c r="BC1661" s="12"/>
      <c r="BD1661" s="12"/>
      <c r="BE1661" s="12"/>
      <c r="BF1661" s="12"/>
      <c r="BG1661" s="12"/>
      <c r="BH1661" s="12"/>
      <c r="BI1661" s="12"/>
      <c r="BJ1661" s="12"/>
      <c r="BK1661" s="12"/>
      <c r="BL1661" s="12"/>
      <c r="BM1661" s="12"/>
      <c r="BN1661" s="12"/>
      <c r="BO1661" s="12"/>
      <c r="BP1661" s="12"/>
      <c r="BQ1661" s="12"/>
      <c r="BR1661" s="12"/>
      <c r="BS1661" s="12"/>
      <c r="BT1661" s="12"/>
    </row>
    <row r="1662" spans="1:72">
      <c r="A1662" s="2" t="s">
        <v>31738</v>
      </c>
      <c r="B1662" s="5" t="s">
        <v>31744</v>
      </c>
      <c r="C1662" s="3" t="s">
        <v>31739</v>
      </c>
      <c r="D1662" s="4" t="s">
        <v>138</v>
      </c>
      <c r="E1662" s="15" t="s">
        <v>1198</v>
      </c>
      <c r="F1662" s="15" t="s">
        <v>138</v>
      </c>
      <c r="G1662" s="15" t="s">
        <v>1200</v>
      </c>
      <c r="H1662" s="7">
        <v>6</v>
      </c>
      <c r="I1662" s="6" t="s">
        <v>31751</v>
      </c>
      <c r="J1662" s="6" t="s">
        <v>45358</v>
      </c>
      <c r="K1662" s="6" t="s">
        <v>45359</v>
      </c>
      <c r="L1662" s="6" t="s">
        <v>43202</v>
      </c>
      <c r="M1662" s="6" t="s">
        <v>45360</v>
      </c>
      <c r="N1662" s="6" t="s">
        <v>37781</v>
      </c>
      <c r="O1662" s="6" t="s">
        <v>38205</v>
      </c>
      <c r="P1662" s="6"/>
      <c r="Q1662" s="6"/>
      <c r="R1662" s="6"/>
      <c r="S1662" s="6"/>
      <c r="T1662" s="6"/>
      <c r="U1662" s="6"/>
      <c r="V1662" s="6"/>
      <c r="W1662" s="6"/>
      <c r="X1662" s="6"/>
      <c r="Y1662" s="6"/>
      <c r="Z1662" s="6"/>
      <c r="AA1662" s="6"/>
      <c r="AB1662" s="6"/>
      <c r="AC1662" s="6"/>
      <c r="AD1662" s="6"/>
      <c r="AE1662" s="6"/>
      <c r="AF1662" s="6"/>
      <c r="AG1662" s="6"/>
      <c r="AH1662" s="6"/>
      <c r="AI1662" s="6"/>
      <c r="AJ1662" s="6"/>
      <c r="AK1662" s="6"/>
      <c r="AL1662" s="6"/>
      <c r="AM1662" s="6"/>
      <c r="AN1662" s="6"/>
      <c r="AO1662" s="6"/>
      <c r="AP1662" s="6"/>
      <c r="AQ1662" s="6"/>
      <c r="AR1662" s="6"/>
      <c r="AS1662" s="6"/>
      <c r="AT1662" s="6"/>
      <c r="AU1662" s="6"/>
      <c r="AV1662" s="6"/>
      <c r="AW1662" s="6"/>
      <c r="AX1662" s="6"/>
      <c r="AY1662" s="6"/>
      <c r="AZ1662" s="6"/>
      <c r="BA1662" s="6"/>
      <c r="BB1662" s="6"/>
      <c r="BC1662" s="6"/>
      <c r="BD1662" s="6"/>
      <c r="BE1662" s="6"/>
      <c r="BF1662" s="6"/>
      <c r="BG1662" s="6"/>
      <c r="BH1662" s="6"/>
      <c r="BI1662" s="6"/>
      <c r="BJ1662" s="6"/>
      <c r="BK1662" s="6"/>
      <c r="BL1662" s="6"/>
      <c r="BM1662" s="6"/>
      <c r="BN1662" s="6"/>
      <c r="BO1662" s="6"/>
      <c r="BP1662" s="6"/>
      <c r="BQ1662" s="6"/>
      <c r="BR1662" s="6"/>
      <c r="BS1662" s="6"/>
      <c r="BT1662" s="6"/>
    </row>
    <row r="1663" spans="1:72">
      <c r="A1663" s="8" t="s">
        <v>31754</v>
      </c>
      <c r="B1663" s="11" t="s">
        <v>31759</v>
      </c>
      <c r="C1663" s="9" t="s">
        <v>138</v>
      </c>
      <c r="D1663" s="10" t="s">
        <v>138</v>
      </c>
      <c r="E1663" s="28" t="s">
        <v>668</v>
      </c>
      <c r="F1663" s="28" t="s">
        <v>200</v>
      </c>
      <c r="G1663" s="28" t="s">
        <v>162</v>
      </c>
      <c r="H1663" s="13">
        <v>10</v>
      </c>
      <c r="I1663" s="12" t="s">
        <v>31767</v>
      </c>
      <c r="J1663" s="12" t="s">
        <v>45361</v>
      </c>
      <c r="K1663" s="12" t="s">
        <v>38020</v>
      </c>
      <c r="L1663" s="12" t="s">
        <v>38688</v>
      </c>
      <c r="M1663" s="12" t="s">
        <v>38065</v>
      </c>
      <c r="N1663" s="12" t="s">
        <v>37805</v>
      </c>
      <c r="O1663" s="12" t="s">
        <v>38479</v>
      </c>
      <c r="P1663" s="12" t="s">
        <v>42913</v>
      </c>
      <c r="Q1663" s="12" t="s">
        <v>40235</v>
      </c>
      <c r="R1663" s="12" t="s">
        <v>38324</v>
      </c>
      <c r="S1663" s="12" t="s">
        <v>38438</v>
      </c>
      <c r="T1663" s="12"/>
      <c r="U1663" s="12"/>
      <c r="V1663" s="12"/>
      <c r="W1663" s="12"/>
      <c r="X1663" s="12"/>
      <c r="Y1663" s="12"/>
      <c r="Z1663" s="12"/>
      <c r="AA1663" s="12"/>
      <c r="AB1663" s="12"/>
      <c r="AC1663" s="12"/>
      <c r="AD1663" s="12"/>
      <c r="AE1663" s="12"/>
      <c r="AF1663" s="12"/>
      <c r="AG1663" s="12"/>
      <c r="AH1663" s="12"/>
      <c r="AI1663" s="12"/>
      <c r="AJ1663" s="12"/>
      <c r="AK1663" s="12"/>
      <c r="AL1663" s="12"/>
      <c r="AM1663" s="12"/>
      <c r="AN1663" s="12"/>
      <c r="AO1663" s="12"/>
      <c r="AP1663" s="12"/>
      <c r="AQ1663" s="12"/>
      <c r="AR1663" s="12"/>
      <c r="AS1663" s="12"/>
      <c r="AT1663" s="12"/>
      <c r="AU1663" s="12"/>
      <c r="AV1663" s="12"/>
      <c r="AW1663" s="12"/>
      <c r="AX1663" s="12"/>
      <c r="AY1663" s="12"/>
      <c r="AZ1663" s="12"/>
      <c r="BA1663" s="12"/>
      <c r="BB1663" s="12"/>
      <c r="BC1663" s="12"/>
      <c r="BD1663" s="12"/>
      <c r="BE1663" s="12"/>
      <c r="BF1663" s="12"/>
      <c r="BG1663" s="12"/>
      <c r="BH1663" s="12"/>
      <c r="BI1663" s="12"/>
      <c r="BJ1663" s="12"/>
      <c r="BK1663" s="12"/>
      <c r="BL1663" s="12"/>
      <c r="BM1663" s="12"/>
      <c r="BN1663" s="12"/>
      <c r="BO1663" s="12"/>
      <c r="BP1663" s="12"/>
      <c r="BQ1663" s="12"/>
      <c r="BR1663" s="12"/>
      <c r="BS1663" s="12"/>
      <c r="BT1663" s="12"/>
    </row>
    <row r="1664" spans="1:72">
      <c r="A1664" s="2" t="s">
        <v>31770</v>
      </c>
      <c r="B1664" s="5" t="s">
        <v>31776</v>
      </c>
      <c r="C1664" s="3" t="s">
        <v>31771</v>
      </c>
      <c r="D1664" s="4" t="s">
        <v>138</v>
      </c>
      <c r="E1664" s="15" t="s">
        <v>2651</v>
      </c>
      <c r="F1664" s="15" t="s">
        <v>200</v>
      </c>
      <c r="G1664" s="15" t="s">
        <v>162</v>
      </c>
      <c r="H1664" s="7">
        <v>41</v>
      </c>
      <c r="I1664" s="6" t="s">
        <v>31786</v>
      </c>
      <c r="J1664" s="6" t="s">
        <v>38373</v>
      </c>
      <c r="K1664" s="6" t="s">
        <v>45362</v>
      </c>
      <c r="L1664" s="6" t="s">
        <v>45363</v>
      </c>
      <c r="M1664" s="6" t="s">
        <v>44078</v>
      </c>
      <c r="N1664" s="6" t="s">
        <v>37795</v>
      </c>
      <c r="O1664" s="6" t="s">
        <v>43143</v>
      </c>
      <c r="P1664" s="6" t="s">
        <v>43675</v>
      </c>
      <c r="Q1664" s="6" t="s">
        <v>39020</v>
      </c>
      <c r="R1664" s="6" t="s">
        <v>37797</v>
      </c>
      <c r="S1664" s="6" t="s">
        <v>38234</v>
      </c>
      <c r="T1664" s="6" t="s">
        <v>38605</v>
      </c>
      <c r="U1664" s="6" t="s">
        <v>45364</v>
      </c>
      <c r="V1664" s="6" t="s">
        <v>39133</v>
      </c>
      <c r="W1664" s="6" t="s">
        <v>41632</v>
      </c>
      <c r="X1664" s="6" t="s">
        <v>43207</v>
      </c>
      <c r="Y1664" s="6" t="s">
        <v>45365</v>
      </c>
      <c r="Z1664" s="6" t="s">
        <v>39134</v>
      </c>
      <c r="AA1664" s="6" t="s">
        <v>45366</v>
      </c>
      <c r="AB1664" s="6" t="s">
        <v>45367</v>
      </c>
      <c r="AC1664" s="6" t="s">
        <v>39918</v>
      </c>
      <c r="AD1664" s="6" t="s">
        <v>38741</v>
      </c>
      <c r="AE1664" s="6" t="s">
        <v>39463</v>
      </c>
      <c r="AF1664" s="6" t="s">
        <v>45368</v>
      </c>
      <c r="AG1664" s="6" t="s">
        <v>38062</v>
      </c>
      <c r="AH1664" s="6" t="s">
        <v>39137</v>
      </c>
      <c r="AI1664" s="6" t="s">
        <v>45369</v>
      </c>
      <c r="AJ1664" s="6" t="s">
        <v>45370</v>
      </c>
      <c r="AK1664" s="6" t="s">
        <v>45371</v>
      </c>
      <c r="AL1664" s="6" t="s">
        <v>41282</v>
      </c>
      <c r="AM1664" s="6" t="s">
        <v>45372</v>
      </c>
      <c r="AN1664" s="6" t="s">
        <v>37839</v>
      </c>
      <c r="AO1664" s="6" t="s">
        <v>45373</v>
      </c>
      <c r="AP1664" s="6" t="s">
        <v>38806</v>
      </c>
      <c r="AQ1664" s="6" t="s">
        <v>45374</v>
      </c>
      <c r="AR1664" s="6" t="s">
        <v>45375</v>
      </c>
      <c r="AS1664" s="6" t="s">
        <v>39947</v>
      </c>
      <c r="AT1664" s="6" t="s">
        <v>45376</v>
      </c>
      <c r="AU1664" s="6" t="s">
        <v>38442</v>
      </c>
      <c r="AV1664" s="6" t="s">
        <v>45377</v>
      </c>
      <c r="AW1664" s="6" t="s">
        <v>45378</v>
      </c>
      <c r="AX1664" s="6" t="s">
        <v>37871</v>
      </c>
      <c r="AY1664" s="6"/>
      <c r="AZ1664" s="6"/>
      <c r="BA1664" s="6"/>
      <c r="BB1664" s="6"/>
      <c r="BC1664" s="6"/>
      <c r="BD1664" s="6"/>
      <c r="BE1664" s="6"/>
      <c r="BF1664" s="6"/>
      <c r="BG1664" s="6"/>
      <c r="BH1664" s="6"/>
      <c r="BI1664" s="6"/>
      <c r="BJ1664" s="6"/>
      <c r="BK1664" s="6"/>
      <c r="BL1664" s="6"/>
      <c r="BM1664" s="6"/>
      <c r="BN1664" s="6"/>
      <c r="BO1664" s="6"/>
      <c r="BP1664" s="6"/>
      <c r="BQ1664" s="6"/>
      <c r="BR1664" s="6"/>
      <c r="BS1664" s="6"/>
      <c r="BT1664" s="6"/>
    </row>
    <row r="1665" spans="1:72">
      <c r="A1665" s="8" t="s">
        <v>31793</v>
      </c>
      <c r="B1665" s="11" t="s">
        <v>31798</v>
      </c>
      <c r="C1665" s="9" t="s">
        <v>138</v>
      </c>
      <c r="D1665" s="10" t="s">
        <v>31794</v>
      </c>
      <c r="E1665" s="28" t="s">
        <v>23270</v>
      </c>
      <c r="F1665" s="28" t="s">
        <v>31804</v>
      </c>
      <c r="G1665" s="28" t="s">
        <v>450</v>
      </c>
      <c r="H1665" s="13">
        <v>7</v>
      </c>
      <c r="I1665" s="12" t="s">
        <v>31807</v>
      </c>
      <c r="J1665" s="12" t="s">
        <v>455</v>
      </c>
      <c r="K1665" s="12" t="s">
        <v>45379</v>
      </c>
      <c r="L1665" s="12" t="s">
        <v>45380</v>
      </c>
      <c r="M1665" s="12" t="s">
        <v>45381</v>
      </c>
      <c r="N1665" s="12" t="s">
        <v>39219</v>
      </c>
      <c r="O1665" s="12" t="s">
        <v>45382</v>
      </c>
      <c r="P1665" s="12" t="s">
        <v>38668</v>
      </c>
      <c r="Q1665" s="12"/>
      <c r="R1665" s="12"/>
      <c r="S1665" s="12"/>
      <c r="T1665" s="12"/>
      <c r="U1665" s="12"/>
      <c r="V1665" s="12"/>
      <c r="W1665" s="12"/>
      <c r="X1665" s="12"/>
      <c r="Y1665" s="12"/>
      <c r="Z1665" s="12"/>
      <c r="AA1665" s="12"/>
      <c r="AB1665" s="12"/>
      <c r="AC1665" s="12"/>
      <c r="AD1665" s="12"/>
      <c r="AE1665" s="12"/>
      <c r="AF1665" s="12"/>
      <c r="AG1665" s="12"/>
      <c r="AH1665" s="12"/>
      <c r="AI1665" s="12"/>
      <c r="AJ1665" s="12"/>
      <c r="AK1665" s="12"/>
      <c r="AL1665" s="12"/>
      <c r="AM1665" s="12"/>
      <c r="AN1665" s="12"/>
      <c r="AO1665" s="12"/>
      <c r="AP1665" s="12"/>
      <c r="AQ1665" s="12"/>
      <c r="AR1665" s="12"/>
      <c r="AS1665" s="12"/>
      <c r="AT1665" s="12"/>
      <c r="AU1665" s="12"/>
      <c r="AV1665" s="12"/>
      <c r="AW1665" s="12"/>
      <c r="AX1665" s="12"/>
      <c r="AY1665" s="12"/>
      <c r="AZ1665" s="12"/>
      <c r="BA1665" s="12"/>
      <c r="BB1665" s="12"/>
      <c r="BC1665" s="12"/>
      <c r="BD1665" s="12"/>
      <c r="BE1665" s="12"/>
      <c r="BF1665" s="12"/>
      <c r="BG1665" s="12"/>
      <c r="BH1665" s="12"/>
      <c r="BI1665" s="12"/>
      <c r="BJ1665" s="12"/>
      <c r="BK1665" s="12"/>
      <c r="BL1665" s="12"/>
      <c r="BM1665" s="12"/>
      <c r="BN1665" s="12"/>
      <c r="BO1665" s="12"/>
      <c r="BP1665" s="12"/>
      <c r="BQ1665" s="12"/>
      <c r="BR1665" s="12"/>
      <c r="BS1665" s="12"/>
      <c r="BT1665" s="12"/>
    </row>
    <row r="1666" spans="1:72">
      <c r="A1666" s="2" t="s">
        <v>31810</v>
      </c>
      <c r="B1666" s="5" t="s">
        <v>31816</v>
      </c>
      <c r="C1666" s="3" t="s">
        <v>138</v>
      </c>
      <c r="D1666" s="4" t="s">
        <v>31811</v>
      </c>
      <c r="E1666" s="15" t="s">
        <v>642</v>
      </c>
      <c r="F1666" s="15" t="s">
        <v>474</v>
      </c>
      <c r="G1666" s="15" t="s">
        <v>162</v>
      </c>
      <c r="H1666" s="7">
        <v>7</v>
      </c>
      <c r="I1666" s="6" t="s">
        <v>31824</v>
      </c>
      <c r="J1666" s="6" t="s">
        <v>39029</v>
      </c>
      <c r="K1666" s="6" t="s">
        <v>45383</v>
      </c>
      <c r="L1666" s="6" t="s">
        <v>39422</v>
      </c>
      <c r="M1666" s="6" t="s">
        <v>40531</v>
      </c>
      <c r="N1666" s="6" t="s">
        <v>38062</v>
      </c>
      <c r="O1666" s="6" t="s">
        <v>39658</v>
      </c>
      <c r="P1666" s="6" t="s">
        <v>37841</v>
      </c>
      <c r="Q1666" s="6"/>
      <c r="R1666" s="6"/>
      <c r="S1666" s="6"/>
      <c r="T1666" s="6"/>
      <c r="U1666" s="6"/>
      <c r="V1666" s="6"/>
      <c r="W1666" s="6"/>
      <c r="X1666" s="6"/>
      <c r="Y1666" s="6"/>
      <c r="Z1666" s="6"/>
      <c r="AA1666" s="6"/>
      <c r="AB1666" s="6"/>
      <c r="AC1666" s="6"/>
      <c r="AD1666" s="6"/>
      <c r="AE1666" s="6"/>
      <c r="AF1666" s="6"/>
      <c r="AG1666" s="6"/>
      <c r="AH1666" s="6"/>
      <c r="AI1666" s="6"/>
      <c r="AJ1666" s="6"/>
      <c r="AK1666" s="6"/>
      <c r="AL1666" s="6"/>
      <c r="AM1666" s="6"/>
      <c r="AN1666" s="6"/>
      <c r="AO1666" s="6"/>
      <c r="AP1666" s="6"/>
      <c r="AQ1666" s="6"/>
      <c r="AR1666" s="6"/>
      <c r="AS1666" s="6"/>
      <c r="AT1666" s="6"/>
      <c r="AU1666" s="6"/>
      <c r="AV1666" s="6"/>
      <c r="AW1666" s="6"/>
      <c r="AX1666" s="6"/>
      <c r="AY1666" s="6"/>
      <c r="AZ1666" s="6"/>
      <c r="BA1666" s="6"/>
      <c r="BB1666" s="6"/>
      <c r="BC1666" s="6"/>
      <c r="BD1666" s="6"/>
      <c r="BE1666" s="6"/>
      <c r="BF1666" s="6"/>
      <c r="BG1666" s="6"/>
      <c r="BH1666" s="6"/>
      <c r="BI1666" s="6"/>
      <c r="BJ1666" s="6"/>
      <c r="BK1666" s="6"/>
      <c r="BL1666" s="6"/>
      <c r="BM1666" s="6"/>
      <c r="BN1666" s="6"/>
      <c r="BO1666" s="6"/>
      <c r="BP1666" s="6"/>
      <c r="BQ1666" s="6"/>
      <c r="BR1666" s="6"/>
      <c r="BS1666" s="6"/>
      <c r="BT1666" s="6"/>
    </row>
    <row r="1667" spans="1:72">
      <c r="A1667" s="8" t="s">
        <v>31827</v>
      </c>
      <c r="B1667" s="11" t="s">
        <v>31832</v>
      </c>
      <c r="C1667" s="9" t="s">
        <v>138</v>
      </c>
      <c r="D1667" s="10" t="s">
        <v>138</v>
      </c>
      <c r="E1667" s="28" t="s">
        <v>6611</v>
      </c>
      <c r="F1667" s="28" t="s">
        <v>138</v>
      </c>
      <c r="G1667" s="28" t="s">
        <v>1614</v>
      </c>
      <c r="H1667" s="13">
        <v>1</v>
      </c>
      <c r="I1667" s="12" t="s">
        <v>2783</v>
      </c>
      <c r="J1667" s="12" t="s">
        <v>2783</v>
      </c>
      <c r="K1667" s="12"/>
      <c r="L1667" s="12"/>
      <c r="M1667" s="12"/>
      <c r="N1667" s="12"/>
      <c r="O1667" s="12"/>
      <c r="P1667" s="12"/>
      <c r="Q1667" s="12"/>
      <c r="R1667" s="12"/>
      <c r="S1667" s="12"/>
      <c r="T1667" s="12"/>
      <c r="U1667" s="12"/>
      <c r="V1667" s="12"/>
      <c r="W1667" s="12"/>
      <c r="X1667" s="12"/>
      <c r="Y1667" s="12"/>
      <c r="Z1667" s="12"/>
      <c r="AA1667" s="12"/>
      <c r="AB1667" s="12"/>
      <c r="AC1667" s="12"/>
      <c r="AD1667" s="12"/>
      <c r="AE1667" s="12"/>
      <c r="AF1667" s="12"/>
      <c r="AG1667" s="12"/>
      <c r="AH1667" s="12"/>
      <c r="AI1667" s="12"/>
      <c r="AJ1667" s="12"/>
      <c r="AK1667" s="12"/>
      <c r="AL1667" s="12"/>
      <c r="AM1667" s="12"/>
      <c r="AN1667" s="12"/>
      <c r="AO1667" s="12"/>
      <c r="AP1667" s="12"/>
      <c r="AQ1667" s="12"/>
      <c r="AR1667" s="12"/>
      <c r="AS1667" s="12"/>
      <c r="AT1667" s="12"/>
      <c r="AU1667" s="12"/>
      <c r="AV1667" s="12"/>
      <c r="AW1667" s="12"/>
      <c r="AX1667" s="12"/>
      <c r="AY1667" s="12"/>
      <c r="AZ1667" s="12"/>
      <c r="BA1667" s="12"/>
      <c r="BB1667" s="12"/>
      <c r="BC1667" s="12"/>
      <c r="BD1667" s="12"/>
      <c r="BE1667" s="12"/>
      <c r="BF1667" s="12"/>
      <c r="BG1667" s="12"/>
      <c r="BH1667" s="12"/>
      <c r="BI1667" s="12"/>
      <c r="BJ1667" s="12"/>
      <c r="BK1667" s="12"/>
      <c r="BL1667" s="12"/>
      <c r="BM1667" s="12"/>
      <c r="BN1667" s="12"/>
      <c r="BO1667" s="12"/>
      <c r="BP1667" s="12"/>
      <c r="BQ1667" s="12"/>
      <c r="BR1667" s="12"/>
      <c r="BS1667" s="12"/>
      <c r="BT1667" s="12"/>
    </row>
    <row r="1668" spans="1:72">
      <c r="A1668" s="2" t="s">
        <v>31844</v>
      </c>
      <c r="B1668" s="5" t="s">
        <v>31849</v>
      </c>
      <c r="C1668" s="3" t="s">
        <v>31845</v>
      </c>
      <c r="D1668" s="4" t="s">
        <v>138</v>
      </c>
      <c r="E1668" s="15" t="s">
        <v>31856</v>
      </c>
      <c r="F1668" s="15" t="s">
        <v>26310</v>
      </c>
      <c r="G1668" s="15" t="s">
        <v>2071</v>
      </c>
      <c r="H1668" s="7">
        <v>1</v>
      </c>
      <c r="I1668" s="6" t="s">
        <v>2075</v>
      </c>
      <c r="J1668" s="6" t="s">
        <v>2075</v>
      </c>
      <c r="K1668" s="6"/>
      <c r="L1668" s="6"/>
      <c r="M1668" s="6"/>
      <c r="N1668" s="6"/>
      <c r="O1668" s="6"/>
      <c r="P1668" s="6"/>
      <c r="Q1668" s="6"/>
      <c r="R1668" s="6"/>
      <c r="S1668" s="6"/>
      <c r="T1668" s="6"/>
      <c r="U1668" s="6"/>
      <c r="V1668" s="6"/>
      <c r="W1668" s="6"/>
      <c r="X1668" s="6"/>
      <c r="Y1668" s="6"/>
      <c r="Z1668" s="6"/>
      <c r="AA1668" s="6"/>
      <c r="AB1668" s="6"/>
      <c r="AC1668" s="6"/>
      <c r="AD1668" s="6"/>
      <c r="AE1668" s="6"/>
      <c r="AF1668" s="6"/>
      <c r="AG1668" s="6"/>
      <c r="AH1668" s="6"/>
      <c r="AI1668" s="6"/>
      <c r="AJ1668" s="6"/>
      <c r="AK1668" s="6"/>
      <c r="AL1668" s="6"/>
      <c r="AM1668" s="6"/>
      <c r="AN1668" s="6"/>
      <c r="AO1668" s="6"/>
      <c r="AP1668" s="6"/>
      <c r="AQ1668" s="6"/>
      <c r="AR1668" s="6"/>
      <c r="AS1668" s="6"/>
      <c r="AT1668" s="6"/>
      <c r="AU1668" s="6"/>
      <c r="AV1668" s="6"/>
      <c r="AW1668" s="6"/>
      <c r="AX1668" s="6"/>
      <c r="AY1668" s="6"/>
      <c r="AZ1668" s="6"/>
      <c r="BA1668" s="6"/>
      <c r="BB1668" s="6"/>
      <c r="BC1668" s="6"/>
      <c r="BD1668" s="6"/>
      <c r="BE1668" s="6"/>
      <c r="BF1668" s="6"/>
      <c r="BG1668" s="6"/>
      <c r="BH1668" s="6"/>
      <c r="BI1668" s="6"/>
      <c r="BJ1668" s="6"/>
      <c r="BK1668" s="6"/>
      <c r="BL1668" s="6"/>
      <c r="BM1668" s="6"/>
      <c r="BN1668" s="6"/>
      <c r="BO1668" s="6"/>
      <c r="BP1668" s="6"/>
      <c r="BQ1668" s="6"/>
      <c r="BR1668" s="6"/>
      <c r="BS1668" s="6"/>
      <c r="BT1668" s="6"/>
    </row>
    <row r="1669" spans="1:72">
      <c r="A1669" s="8" t="s">
        <v>31860</v>
      </c>
      <c r="B1669" s="11" t="s">
        <v>31864</v>
      </c>
      <c r="C1669" s="9" t="s">
        <v>138</v>
      </c>
      <c r="D1669" s="10" t="s">
        <v>138</v>
      </c>
      <c r="E1669" s="28" t="s">
        <v>3841</v>
      </c>
      <c r="F1669" s="28" t="s">
        <v>200</v>
      </c>
      <c r="G1669" s="28" t="s">
        <v>162</v>
      </c>
      <c r="H1669" s="13">
        <v>1</v>
      </c>
      <c r="I1669" s="12" t="s">
        <v>3779</v>
      </c>
      <c r="J1669" s="12" t="s">
        <v>3779</v>
      </c>
      <c r="K1669" s="12"/>
      <c r="L1669" s="12"/>
      <c r="M1669" s="12"/>
      <c r="N1669" s="12"/>
      <c r="O1669" s="12"/>
      <c r="P1669" s="12"/>
      <c r="Q1669" s="12"/>
      <c r="R1669" s="12"/>
      <c r="S1669" s="12"/>
      <c r="T1669" s="12"/>
      <c r="U1669" s="12"/>
      <c r="V1669" s="12"/>
      <c r="W1669" s="12"/>
      <c r="X1669" s="12"/>
      <c r="Y1669" s="12"/>
      <c r="Z1669" s="12"/>
      <c r="AA1669" s="12"/>
      <c r="AB1669" s="12"/>
      <c r="AC1669" s="12"/>
      <c r="AD1669" s="12"/>
      <c r="AE1669" s="12"/>
      <c r="AF1669" s="12"/>
      <c r="AG1669" s="12"/>
      <c r="AH1669" s="12"/>
      <c r="AI1669" s="12"/>
      <c r="AJ1669" s="12"/>
      <c r="AK1669" s="12"/>
      <c r="AL1669" s="12"/>
      <c r="AM1669" s="12"/>
      <c r="AN1669" s="12"/>
      <c r="AO1669" s="12"/>
      <c r="AP1669" s="12"/>
      <c r="AQ1669" s="12"/>
      <c r="AR1669" s="12"/>
      <c r="AS1669" s="12"/>
      <c r="AT1669" s="12"/>
      <c r="AU1669" s="12"/>
      <c r="AV1669" s="12"/>
      <c r="AW1669" s="12"/>
      <c r="AX1669" s="12"/>
      <c r="AY1669" s="12"/>
      <c r="AZ1669" s="12"/>
      <c r="BA1669" s="12"/>
      <c r="BB1669" s="12"/>
      <c r="BC1669" s="12"/>
      <c r="BD1669" s="12"/>
      <c r="BE1669" s="12"/>
      <c r="BF1669" s="12"/>
      <c r="BG1669" s="12"/>
      <c r="BH1669" s="12"/>
      <c r="BI1669" s="12"/>
      <c r="BJ1669" s="12"/>
      <c r="BK1669" s="12"/>
      <c r="BL1669" s="12"/>
      <c r="BM1669" s="12"/>
      <c r="BN1669" s="12"/>
      <c r="BO1669" s="12"/>
      <c r="BP1669" s="12"/>
      <c r="BQ1669" s="12"/>
      <c r="BR1669" s="12"/>
      <c r="BS1669" s="12"/>
      <c r="BT1669" s="12"/>
    </row>
    <row r="1670" spans="1:72">
      <c r="A1670" s="2" t="s">
        <v>31878</v>
      </c>
      <c r="B1670" s="5" t="s">
        <v>31883</v>
      </c>
      <c r="C1670" s="3" t="s">
        <v>138</v>
      </c>
      <c r="D1670" s="4" t="s">
        <v>138</v>
      </c>
      <c r="E1670" s="15" t="s">
        <v>14129</v>
      </c>
      <c r="F1670" s="15" t="s">
        <v>14130</v>
      </c>
      <c r="G1670" s="15" t="s">
        <v>2742</v>
      </c>
      <c r="H1670" s="7">
        <v>5</v>
      </c>
      <c r="I1670" s="6" t="s">
        <v>31894</v>
      </c>
      <c r="J1670" s="6" t="s">
        <v>45384</v>
      </c>
      <c r="K1670" s="6" t="s">
        <v>44547</v>
      </c>
      <c r="L1670" s="6" t="s">
        <v>45385</v>
      </c>
      <c r="M1670" s="6" t="s">
        <v>38383</v>
      </c>
      <c r="N1670" s="6" t="s">
        <v>38767</v>
      </c>
      <c r="O1670" s="6"/>
      <c r="P1670" s="6"/>
      <c r="Q1670" s="6"/>
      <c r="R1670" s="6"/>
      <c r="S1670" s="6"/>
      <c r="T1670" s="6"/>
      <c r="U1670" s="6"/>
      <c r="V1670" s="6"/>
      <c r="W1670" s="6"/>
      <c r="X1670" s="6"/>
      <c r="Y1670" s="6"/>
      <c r="Z1670" s="6"/>
      <c r="AA1670" s="6"/>
      <c r="AB1670" s="6"/>
      <c r="AC1670" s="6"/>
      <c r="AD1670" s="6"/>
      <c r="AE1670" s="6"/>
      <c r="AF1670" s="6"/>
      <c r="AG1670" s="6"/>
      <c r="AH1670" s="6"/>
      <c r="AI1670" s="6"/>
      <c r="AJ1670" s="6"/>
      <c r="AK1670" s="6"/>
      <c r="AL1670" s="6"/>
      <c r="AM1670" s="6"/>
      <c r="AN1670" s="6"/>
      <c r="AO1670" s="6"/>
      <c r="AP1670" s="6"/>
      <c r="AQ1670" s="6"/>
      <c r="AR1670" s="6"/>
      <c r="AS1670" s="6"/>
      <c r="AT1670" s="6"/>
      <c r="AU1670" s="6"/>
      <c r="AV1670" s="6"/>
      <c r="AW1670" s="6"/>
      <c r="AX1670" s="6"/>
      <c r="AY1670" s="6"/>
      <c r="AZ1670" s="6"/>
      <c r="BA1670" s="6"/>
      <c r="BB1670" s="6"/>
      <c r="BC1670" s="6"/>
      <c r="BD1670" s="6"/>
      <c r="BE1670" s="6"/>
      <c r="BF1670" s="6"/>
      <c r="BG1670" s="6"/>
      <c r="BH1670" s="6"/>
      <c r="BI1670" s="6"/>
      <c r="BJ1670" s="6"/>
      <c r="BK1670" s="6"/>
      <c r="BL1670" s="6"/>
      <c r="BM1670" s="6"/>
      <c r="BN1670" s="6"/>
      <c r="BO1670" s="6"/>
      <c r="BP1670" s="6"/>
      <c r="BQ1670" s="6"/>
      <c r="BR1670" s="6"/>
      <c r="BS1670" s="6"/>
      <c r="BT1670" s="6"/>
    </row>
    <row r="1671" spans="1:72">
      <c r="A1671" s="8" t="s">
        <v>31897</v>
      </c>
      <c r="B1671" s="11" t="s">
        <v>31902</v>
      </c>
      <c r="C1671" s="9" t="s">
        <v>138</v>
      </c>
      <c r="D1671" s="10" t="s">
        <v>31898</v>
      </c>
      <c r="E1671" s="28" t="s">
        <v>499</v>
      </c>
      <c r="F1671" s="28" t="s">
        <v>138</v>
      </c>
      <c r="G1671" s="28" t="s">
        <v>450</v>
      </c>
      <c r="H1671" s="13">
        <v>1</v>
      </c>
      <c r="I1671" s="12" t="s">
        <v>455</v>
      </c>
      <c r="J1671" s="12" t="s">
        <v>455</v>
      </c>
      <c r="K1671" s="12"/>
      <c r="L1671" s="12"/>
      <c r="M1671" s="12"/>
      <c r="N1671" s="12"/>
      <c r="O1671" s="12"/>
      <c r="P1671" s="12"/>
      <c r="Q1671" s="12"/>
      <c r="R1671" s="12"/>
      <c r="S1671" s="12"/>
      <c r="T1671" s="12"/>
      <c r="U1671" s="12"/>
      <c r="V1671" s="12"/>
      <c r="W1671" s="12"/>
      <c r="X1671" s="12"/>
      <c r="Y1671" s="12"/>
      <c r="Z1671" s="12"/>
      <c r="AA1671" s="12"/>
      <c r="AB1671" s="12"/>
      <c r="AC1671" s="12"/>
      <c r="AD1671" s="12"/>
      <c r="AE1671" s="12"/>
      <c r="AF1671" s="12"/>
      <c r="AG1671" s="12"/>
      <c r="AH1671" s="12"/>
      <c r="AI1671" s="12"/>
      <c r="AJ1671" s="12"/>
      <c r="AK1671" s="12"/>
      <c r="AL1671" s="12"/>
      <c r="AM1671" s="12"/>
      <c r="AN1671" s="12"/>
      <c r="AO1671" s="12"/>
      <c r="AP1671" s="12"/>
      <c r="AQ1671" s="12"/>
      <c r="AR1671" s="12"/>
      <c r="AS1671" s="12"/>
      <c r="AT1671" s="12"/>
      <c r="AU1671" s="12"/>
      <c r="AV1671" s="12"/>
      <c r="AW1671" s="12"/>
      <c r="AX1671" s="12"/>
      <c r="AY1671" s="12"/>
      <c r="AZ1671" s="12"/>
      <c r="BA1671" s="12"/>
      <c r="BB1671" s="12"/>
      <c r="BC1671" s="12"/>
      <c r="BD1671" s="12"/>
      <c r="BE1671" s="12"/>
      <c r="BF1671" s="12"/>
      <c r="BG1671" s="12"/>
      <c r="BH1671" s="12"/>
      <c r="BI1671" s="12"/>
      <c r="BJ1671" s="12"/>
      <c r="BK1671" s="12"/>
      <c r="BL1671" s="12"/>
      <c r="BM1671" s="12"/>
      <c r="BN1671" s="12"/>
      <c r="BO1671" s="12"/>
      <c r="BP1671" s="12"/>
      <c r="BQ1671" s="12"/>
      <c r="BR1671" s="12"/>
      <c r="BS1671" s="12"/>
      <c r="BT1671" s="12"/>
    </row>
    <row r="1672" spans="1:72">
      <c r="A1672" s="2" t="s">
        <v>31906</v>
      </c>
      <c r="B1672" s="5" t="s">
        <v>31910</v>
      </c>
      <c r="C1672" s="3" t="s">
        <v>138</v>
      </c>
      <c r="D1672" s="4" t="s">
        <v>138</v>
      </c>
      <c r="E1672" s="15" t="s">
        <v>499</v>
      </c>
      <c r="F1672" s="15" t="s">
        <v>31915</v>
      </c>
      <c r="G1672" s="15" t="s">
        <v>450</v>
      </c>
      <c r="H1672" s="7">
        <v>3</v>
      </c>
      <c r="I1672" s="6" t="s">
        <v>31917</v>
      </c>
      <c r="J1672" s="6" t="s">
        <v>45386</v>
      </c>
      <c r="K1672" s="6" t="s">
        <v>38663</v>
      </c>
      <c r="L1672" s="6" t="s">
        <v>45387</v>
      </c>
      <c r="M1672" s="6"/>
      <c r="N1672" s="6"/>
      <c r="O1672" s="6"/>
      <c r="P1672" s="6"/>
      <c r="Q1672" s="6"/>
      <c r="R1672" s="6"/>
      <c r="S1672" s="6"/>
      <c r="T1672" s="6"/>
      <c r="U1672" s="6"/>
      <c r="V1672" s="6"/>
      <c r="W1672" s="6"/>
      <c r="X1672" s="6"/>
      <c r="Y1672" s="6"/>
      <c r="Z1672" s="6"/>
      <c r="AA1672" s="6"/>
      <c r="AB1672" s="6"/>
      <c r="AC1672" s="6"/>
      <c r="AD1672" s="6"/>
      <c r="AE1672" s="6"/>
      <c r="AF1672" s="6"/>
      <c r="AG1672" s="6"/>
      <c r="AH1672" s="6"/>
      <c r="AI1672" s="6"/>
      <c r="AJ1672" s="6"/>
      <c r="AK1672" s="6"/>
      <c r="AL1672" s="6"/>
      <c r="AM1672" s="6"/>
      <c r="AN1672" s="6"/>
      <c r="AO1672" s="6"/>
      <c r="AP1672" s="6"/>
      <c r="AQ1672" s="6"/>
      <c r="AR1672" s="6"/>
      <c r="AS1672" s="6"/>
      <c r="AT1672" s="6"/>
      <c r="AU1672" s="6"/>
      <c r="AV1672" s="6"/>
      <c r="AW1672" s="6"/>
      <c r="AX1672" s="6"/>
      <c r="AY1672" s="6"/>
      <c r="AZ1672" s="6"/>
      <c r="BA1672" s="6"/>
      <c r="BB1672" s="6"/>
      <c r="BC1672" s="6"/>
      <c r="BD1672" s="6"/>
      <c r="BE1672" s="6"/>
      <c r="BF1672" s="6"/>
      <c r="BG1672" s="6"/>
      <c r="BH1672" s="6"/>
      <c r="BI1672" s="6"/>
      <c r="BJ1672" s="6"/>
      <c r="BK1672" s="6"/>
      <c r="BL1672" s="6"/>
      <c r="BM1672" s="6"/>
      <c r="BN1672" s="6"/>
      <c r="BO1672" s="6"/>
      <c r="BP1672" s="6"/>
      <c r="BQ1672" s="6"/>
      <c r="BR1672" s="6"/>
      <c r="BS1672" s="6"/>
      <c r="BT1672" s="6"/>
    </row>
    <row r="1673" spans="1:72">
      <c r="A1673" s="8" t="s">
        <v>31920</v>
      </c>
      <c r="B1673" s="11" t="s">
        <v>31925</v>
      </c>
      <c r="C1673" s="9" t="s">
        <v>31921</v>
      </c>
      <c r="D1673" s="10" t="s">
        <v>138</v>
      </c>
      <c r="E1673" s="28" t="s">
        <v>31934</v>
      </c>
      <c r="F1673" s="28" t="s">
        <v>138</v>
      </c>
      <c r="G1673" s="28" t="s">
        <v>740</v>
      </c>
      <c r="H1673" s="13">
        <v>14</v>
      </c>
      <c r="I1673" s="12" t="s">
        <v>31939</v>
      </c>
      <c r="J1673" s="12" t="s">
        <v>38449</v>
      </c>
      <c r="K1673" s="12" t="s">
        <v>38299</v>
      </c>
      <c r="L1673" s="12" t="s">
        <v>38042</v>
      </c>
      <c r="M1673" s="12" t="s">
        <v>41447</v>
      </c>
      <c r="N1673" s="12" t="s">
        <v>37788</v>
      </c>
      <c r="O1673" s="12" t="s">
        <v>45388</v>
      </c>
      <c r="P1673" s="12" t="s">
        <v>38050</v>
      </c>
      <c r="Q1673" s="12" t="s">
        <v>38082</v>
      </c>
      <c r="R1673" s="12" t="s">
        <v>38996</v>
      </c>
      <c r="S1673" s="12" t="s">
        <v>41629</v>
      </c>
      <c r="T1673" s="12" t="s">
        <v>39351</v>
      </c>
      <c r="U1673" s="12" t="s">
        <v>45389</v>
      </c>
      <c r="V1673" s="12" t="s">
        <v>40132</v>
      </c>
      <c r="W1673" s="12" t="s">
        <v>39366</v>
      </c>
      <c r="X1673" s="12"/>
      <c r="Y1673" s="12"/>
      <c r="Z1673" s="12"/>
      <c r="AA1673" s="12"/>
      <c r="AB1673" s="12"/>
      <c r="AC1673" s="12"/>
      <c r="AD1673" s="12"/>
      <c r="AE1673" s="12"/>
      <c r="AF1673" s="12"/>
      <c r="AG1673" s="12"/>
      <c r="AH1673" s="12"/>
      <c r="AI1673" s="12"/>
      <c r="AJ1673" s="12"/>
      <c r="AK1673" s="12"/>
      <c r="AL1673" s="12"/>
      <c r="AM1673" s="12"/>
      <c r="AN1673" s="12"/>
      <c r="AO1673" s="12"/>
      <c r="AP1673" s="12"/>
      <c r="AQ1673" s="12"/>
      <c r="AR1673" s="12"/>
      <c r="AS1673" s="12"/>
      <c r="AT1673" s="12"/>
      <c r="AU1673" s="12"/>
      <c r="AV1673" s="12"/>
      <c r="AW1673" s="12"/>
      <c r="AX1673" s="12"/>
      <c r="AY1673" s="12"/>
      <c r="AZ1673" s="12"/>
      <c r="BA1673" s="12"/>
      <c r="BB1673" s="12"/>
      <c r="BC1673" s="12"/>
      <c r="BD1673" s="12"/>
      <c r="BE1673" s="12"/>
      <c r="BF1673" s="12"/>
      <c r="BG1673" s="12"/>
      <c r="BH1673" s="12"/>
      <c r="BI1673" s="12"/>
      <c r="BJ1673" s="12"/>
      <c r="BK1673" s="12"/>
      <c r="BL1673" s="12"/>
      <c r="BM1673" s="12"/>
      <c r="BN1673" s="12"/>
      <c r="BO1673" s="12"/>
      <c r="BP1673" s="12"/>
      <c r="BQ1673" s="12"/>
      <c r="BR1673" s="12"/>
      <c r="BS1673" s="12"/>
      <c r="BT1673" s="12"/>
    </row>
    <row r="1674" spans="1:72">
      <c r="A1674" s="2" t="s">
        <v>31942</v>
      </c>
      <c r="B1674" s="5" t="s">
        <v>31945</v>
      </c>
      <c r="C1674" s="3" t="s">
        <v>138</v>
      </c>
      <c r="D1674" s="4" t="s">
        <v>138</v>
      </c>
      <c r="E1674" s="15" t="s">
        <v>668</v>
      </c>
      <c r="F1674" s="15" t="s">
        <v>200</v>
      </c>
      <c r="G1674" s="15" t="s">
        <v>162</v>
      </c>
      <c r="H1674" s="7">
        <v>6</v>
      </c>
      <c r="I1674" s="6" t="s">
        <v>31954</v>
      </c>
      <c r="J1674" s="6" t="s">
        <v>45390</v>
      </c>
      <c r="K1674" s="6" t="s">
        <v>39305</v>
      </c>
      <c r="L1674" s="6" t="s">
        <v>45391</v>
      </c>
      <c r="M1674" s="6" t="s">
        <v>38182</v>
      </c>
      <c r="N1674" s="6" t="s">
        <v>39695</v>
      </c>
      <c r="O1674" s="6" t="s">
        <v>37871</v>
      </c>
      <c r="P1674" s="6"/>
      <c r="Q1674" s="6"/>
      <c r="R1674" s="6"/>
      <c r="S1674" s="6"/>
      <c r="T1674" s="6"/>
      <c r="U1674" s="6"/>
      <c r="V1674" s="6"/>
      <c r="W1674" s="6"/>
      <c r="X1674" s="6"/>
      <c r="Y1674" s="6"/>
      <c r="Z1674" s="6"/>
      <c r="AA1674" s="6"/>
      <c r="AB1674" s="6"/>
      <c r="AC1674" s="6"/>
      <c r="AD1674" s="6"/>
      <c r="AE1674" s="6"/>
      <c r="AF1674" s="6"/>
      <c r="AG1674" s="6"/>
      <c r="AH1674" s="6"/>
      <c r="AI1674" s="6"/>
      <c r="AJ1674" s="6"/>
      <c r="AK1674" s="6"/>
      <c r="AL1674" s="6"/>
      <c r="AM1674" s="6"/>
      <c r="AN1674" s="6"/>
      <c r="AO1674" s="6"/>
      <c r="AP1674" s="6"/>
      <c r="AQ1674" s="6"/>
      <c r="AR1674" s="6"/>
      <c r="AS1674" s="6"/>
      <c r="AT1674" s="6"/>
      <c r="AU1674" s="6"/>
      <c r="AV1674" s="6"/>
      <c r="AW1674" s="6"/>
      <c r="AX1674" s="6"/>
      <c r="AY1674" s="6"/>
      <c r="AZ1674" s="6"/>
      <c r="BA1674" s="6"/>
      <c r="BB1674" s="6"/>
      <c r="BC1674" s="6"/>
      <c r="BD1674" s="6"/>
      <c r="BE1674" s="6"/>
      <c r="BF1674" s="6"/>
      <c r="BG1674" s="6"/>
      <c r="BH1674" s="6"/>
      <c r="BI1674" s="6"/>
      <c r="BJ1674" s="6"/>
      <c r="BK1674" s="6"/>
      <c r="BL1674" s="6"/>
      <c r="BM1674" s="6"/>
      <c r="BN1674" s="6"/>
      <c r="BO1674" s="6"/>
      <c r="BP1674" s="6"/>
      <c r="BQ1674" s="6"/>
      <c r="BR1674" s="6"/>
      <c r="BS1674" s="6"/>
      <c r="BT1674" s="6"/>
    </row>
    <row r="1675" spans="1:72">
      <c r="A1675" s="8" t="s">
        <v>31957</v>
      </c>
      <c r="B1675" s="11" t="s">
        <v>31961</v>
      </c>
      <c r="C1675" s="9" t="s">
        <v>138</v>
      </c>
      <c r="D1675" s="10" t="s">
        <v>138</v>
      </c>
      <c r="E1675" s="28" t="s">
        <v>1294</v>
      </c>
      <c r="F1675" s="28" t="s">
        <v>864</v>
      </c>
      <c r="G1675" s="28" t="s">
        <v>162</v>
      </c>
      <c r="H1675" s="13">
        <v>21</v>
      </c>
      <c r="I1675" s="12" t="s">
        <v>31969</v>
      </c>
      <c r="J1675" s="12" t="s">
        <v>38800</v>
      </c>
      <c r="K1675" s="12" t="s">
        <v>45392</v>
      </c>
      <c r="L1675" s="12" t="s">
        <v>38663</v>
      </c>
      <c r="M1675" s="12" t="s">
        <v>42921</v>
      </c>
      <c r="N1675" s="12" t="s">
        <v>41889</v>
      </c>
      <c r="O1675" s="12" t="s">
        <v>40346</v>
      </c>
      <c r="P1675" s="12" t="s">
        <v>38964</v>
      </c>
      <c r="Q1675" s="12" t="s">
        <v>42359</v>
      </c>
      <c r="R1675" s="12" t="s">
        <v>42842</v>
      </c>
      <c r="S1675" s="12" t="s">
        <v>43182</v>
      </c>
      <c r="T1675" s="12" t="s">
        <v>42844</v>
      </c>
      <c r="U1675" s="12" t="s">
        <v>37927</v>
      </c>
      <c r="V1675" s="12" t="s">
        <v>40439</v>
      </c>
      <c r="W1675" s="12" t="s">
        <v>37824</v>
      </c>
      <c r="X1675" s="12" t="s">
        <v>38977</v>
      </c>
      <c r="Y1675" s="12" t="s">
        <v>45393</v>
      </c>
      <c r="Z1675" s="12" t="s">
        <v>45394</v>
      </c>
      <c r="AA1675" s="12" t="s">
        <v>38083</v>
      </c>
      <c r="AB1675" s="12" t="s">
        <v>38001</v>
      </c>
      <c r="AC1675" s="12" t="s">
        <v>39446</v>
      </c>
      <c r="AD1675" s="12" t="s">
        <v>40366</v>
      </c>
      <c r="AE1675" s="12"/>
      <c r="AF1675" s="12"/>
      <c r="AG1675" s="12"/>
      <c r="AH1675" s="12"/>
      <c r="AI1675" s="12"/>
      <c r="AJ1675" s="12"/>
      <c r="AK1675" s="12"/>
      <c r="AL1675" s="12"/>
      <c r="AM1675" s="12"/>
      <c r="AN1675" s="12"/>
      <c r="AO1675" s="12"/>
      <c r="AP1675" s="12"/>
      <c r="AQ1675" s="12"/>
      <c r="AR1675" s="12"/>
      <c r="AS1675" s="12"/>
      <c r="AT1675" s="12"/>
      <c r="AU1675" s="12"/>
      <c r="AV1675" s="12"/>
      <c r="AW1675" s="12"/>
      <c r="AX1675" s="12"/>
      <c r="AY1675" s="12"/>
      <c r="AZ1675" s="12"/>
      <c r="BA1675" s="12"/>
      <c r="BB1675" s="12"/>
      <c r="BC1675" s="12"/>
      <c r="BD1675" s="12"/>
      <c r="BE1675" s="12"/>
      <c r="BF1675" s="12"/>
      <c r="BG1675" s="12"/>
      <c r="BH1675" s="12"/>
      <c r="BI1675" s="12"/>
      <c r="BJ1675" s="12"/>
      <c r="BK1675" s="12"/>
      <c r="BL1675" s="12"/>
      <c r="BM1675" s="12"/>
      <c r="BN1675" s="12"/>
      <c r="BO1675" s="12"/>
      <c r="BP1675" s="12"/>
      <c r="BQ1675" s="12"/>
      <c r="BR1675" s="12"/>
      <c r="BS1675" s="12"/>
      <c r="BT1675" s="12"/>
    </row>
    <row r="1676" spans="1:72">
      <c r="A1676" s="2" t="s">
        <v>31972</v>
      </c>
      <c r="B1676" s="5" t="s">
        <v>31977</v>
      </c>
      <c r="C1676" s="3" t="s">
        <v>138</v>
      </c>
      <c r="D1676" s="4" t="s">
        <v>138</v>
      </c>
      <c r="E1676" s="15" t="s">
        <v>1223</v>
      </c>
      <c r="F1676" s="15" t="s">
        <v>200</v>
      </c>
      <c r="G1676" s="15" t="s">
        <v>162</v>
      </c>
      <c r="H1676" s="7">
        <v>5</v>
      </c>
      <c r="I1676" s="6" t="s">
        <v>31983</v>
      </c>
      <c r="J1676" s="6" t="s">
        <v>45395</v>
      </c>
      <c r="K1676" s="6" t="s">
        <v>45396</v>
      </c>
      <c r="L1676" s="6" t="s">
        <v>37998</v>
      </c>
      <c r="M1676" s="6" t="s">
        <v>38261</v>
      </c>
      <c r="N1676" s="6" t="s">
        <v>38200</v>
      </c>
      <c r="O1676" s="6"/>
      <c r="P1676" s="6"/>
      <c r="Q1676" s="6"/>
      <c r="R1676" s="6"/>
      <c r="S1676" s="6"/>
      <c r="T1676" s="6"/>
      <c r="U1676" s="6"/>
      <c r="V1676" s="6"/>
      <c r="W1676" s="6"/>
      <c r="X1676" s="6"/>
      <c r="Y1676" s="6"/>
      <c r="Z1676" s="6"/>
      <c r="AA1676" s="6"/>
      <c r="AB1676" s="6"/>
      <c r="AC1676" s="6"/>
      <c r="AD1676" s="6"/>
      <c r="AE1676" s="6"/>
      <c r="AF1676" s="6"/>
      <c r="AG1676" s="6"/>
      <c r="AH1676" s="6"/>
      <c r="AI1676" s="6"/>
      <c r="AJ1676" s="6"/>
      <c r="AK1676" s="6"/>
      <c r="AL1676" s="6"/>
      <c r="AM1676" s="6"/>
      <c r="AN1676" s="6"/>
      <c r="AO1676" s="6"/>
      <c r="AP1676" s="6"/>
      <c r="AQ1676" s="6"/>
      <c r="AR1676" s="6"/>
      <c r="AS1676" s="6"/>
      <c r="AT1676" s="6"/>
      <c r="AU1676" s="6"/>
      <c r="AV1676" s="6"/>
      <c r="AW1676" s="6"/>
      <c r="AX1676" s="6"/>
      <c r="AY1676" s="6"/>
      <c r="AZ1676" s="6"/>
      <c r="BA1676" s="6"/>
      <c r="BB1676" s="6"/>
      <c r="BC1676" s="6"/>
      <c r="BD1676" s="6"/>
      <c r="BE1676" s="6"/>
      <c r="BF1676" s="6"/>
      <c r="BG1676" s="6"/>
      <c r="BH1676" s="6"/>
      <c r="BI1676" s="6"/>
      <c r="BJ1676" s="6"/>
      <c r="BK1676" s="6"/>
      <c r="BL1676" s="6"/>
      <c r="BM1676" s="6"/>
      <c r="BN1676" s="6"/>
      <c r="BO1676" s="6"/>
      <c r="BP1676" s="6"/>
      <c r="BQ1676" s="6"/>
      <c r="BR1676" s="6"/>
      <c r="BS1676" s="6"/>
      <c r="BT1676" s="6"/>
    </row>
    <row r="1677" spans="1:72">
      <c r="A1677" s="8" t="s">
        <v>31986</v>
      </c>
      <c r="B1677" s="11" t="s">
        <v>31990</v>
      </c>
      <c r="C1677" s="9" t="s">
        <v>138</v>
      </c>
      <c r="D1677" s="10" t="s">
        <v>138</v>
      </c>
      <c r="E1677" s="28" t="s">
        <v>4466</v>
      </c>
      <c r="F1677" s="28" t="s">
        <v>426</v>
      </c>
      <c r="G1677" s="28" t="s">
        <v>162</v>
      </c>
      <c r="H1677" s="13">
        <v>8</v>
      </c>
      <c r="I1677" s="12" t="s">
        <v>31997</v>
      </c>
      <c r="J1677" s="12" t="s">
        <v>37811</v>
      </c>
      <c r="K1677" s="12" t="s">
        <v>44491</v>
      </c>
      <c r="L1677" s="12" t="s">
        <v>38310</v>
      </c>
      <c r="M1677" s="12" t="s">
        <v>37781</v>
      </c>
      <c r="N1677" s="12" t="s">
        <v>38626</v>
      </c>
      <c r="O1677" s="12" t="s">
        <v>45397</v>
      </c>
      <c r="P1677" s="12" t="s">
        <v>45398</v>
      </c>
      <c r="Q1677" s="12" t="s">
        <v>38313</v>
      </c>
      <c r="R1677" s="12"/>
      <c r="S1677" s="12"/>
      <c r="T1677" s="12"/>
      <c r="U1677" s="12"/>
      <c r="V1677" s="12"/>
      <c r="W1677" s="12"/>
      <c r="X1677" s="12"/>
      <c r="Y1677" s="12"/>
      <c r="Z1677" s="12"/>
      <c r="AA1677" s="12"/>
      <c r="AB1677" s="12"/>
      <c r="AC1677" s="12"/>
      <c r="AD1677" s="12"/>
      <c r="AE1677" s="12"/>
      <c r="AF1677" s="12"/>
      <c r="AG1677" s="12"/>
      <c r="AH1677" s="12"/>
      <c r="AI1677" s="12"/>
      <c r="AJ1677" s="12"/>
      <c r="AK1677" s="12"/>
      <c r="AL1677" s="12"/>
      <c r="AM1677" s="12"/>
      <c r="AN1677" s="12"/>
      <c r="AO1677" s="12"/>
      <c r="AP1677" s="12"/>
      <c r="AQ1677" s="12"/>
      <c r="AR1677" s="12"/>
      <c r="AS1677" s="12"/>
      <c r="AT1677" s="12"/>
      <c r="AU1677" s="12"/>
      <c r="AV1677" s="12"/>
      <c r="AW1677" s="12"/>
      <c r="AX1677" s="12"/>
      <c r="AY1677" s="12"/>
      <c r="AZ1677" s="12"/>
      <c r="BA1677" s="12"/>
      <c r="BB1677" s="12"/>
      <c r="BC1677" s="12"/>
      <c r="BD1677" s="12"/>
      <c r="BE1677" s="12"/>
      <c r="BF1677" s="12"/>
      <c r="BG1677" s="12"/>
      <c r="BH1677" s="12"/>
      <c r="BI1677" s="12"/>
      <c r="BJ1677" s="12"/>
      <c r="BK1677" s="12"/>
      <c r="BL1677" s="12"/>
      <c r="BM1677" s="12"/>
      <c r="BN1677" s="12"/>
      <c r="BO1677" s="12"/>
      <c r="BP1677" s="12"/>
      <c r="BQ1677" s="12"/>
      <c r="BR1677" s="12"/>
      <c r="BS1677" s="12"/>
      <c r="BT1677" s="12"/>
    </row>
    <row r="1678" spans="1:72">
      <c r="A1678" s="2" t="s">
        <v>32001</v>
      </c>
      <c r="B1678" s="5" t="s">
        <v>32006</v>
      </c>
      <c r="C1678" s="3" t="s">
        <v>138</v>
      </c>
      <c r="D1678" s="4" t="s">
        <v>138</v>
      </c>
      <c r="E1678" s="15" t="s">
        <v>642</v>
      </c>
      <c r="F1678" s="15" t="s">
        <v>474</v>
      </c>
      <c r="G1678" s="15" t="s">
        <v>162</v>
      </c>
      <c r="H1678" s="7">
        <v>6</v>
      </c>
      <c r="I1678" s="6" t="s">
        <v>32017</v>
      </c>
      <c r="J1678" s="6" t="s">
        <v>41026</v>
      </c>
      <c r="K1678" s="6" t="s">
        <v>45399</v>
      </c>
      <c r="L1678" s="6" t="s">
        <v>45400</v>
      </c>
      <c r="M1678" s="6" t="s">
        <v>38926</v>
      </c>
      <c r="N1678" s="6" t="s">
        <v>37781</v>
      </c>
      <c r="O1678" s="6" t="s">
        <v>38371</v>
      </c>
      <c r="P1678" s="6"/>
      <c r="Q1678" s="6"/>
      <c r="R1678" s="6"/>
      <c r="S1678" s="6"/>
      <c r="T1678" s="6"/>
      <c r="U1678" s="6"/>
      <c r="V1678" s="6"/>
      <c r="W1678" s="6"/>
      <c r="X1678" s="6"/>
      <c r="Y1678" s="6"/>
      <c r="Z1678" s="6"/>
      <c r="AA1678" s="6"/>
      <c r="AB1678" s="6"/>
      <c r="AC1678" s="6"/>
      <c r="AD1678" s="6"/>
      <c r="AE1678" s="6"/>
      <c r="AF1678" s="6"/>
      <c r="AG1678" s="6"/>
      <c r="AH1678" s="6"/>
      <c r="AI1678" s="6"/>
      <c r="AJ1678" s="6"/>
      <c r="AK1678" s="6"/>
      <c r="AL1678" s="6"/>
      <c r="AM1678" s="6"/>
      <c r="AN1678" s="6"/>
      <c r="AO1678" s="6"/>
      <c r="AP1678" s="6"/>
      <c r="AQ1678" s="6"/>
      <c r="AR1678" s="6"/>
      <c r="AS1678" s="6"/>
      <c r="AT1678" s="6"/>
      <c r="AU1678" s="6"/>
      <c r="AV1678" s="6"/>
      <c r="AW1678" s="6"/>
      <c r="AX1678" s="6"/>
      <c r="AY1678" s="6"/>
      <c r="AZ1678" s="6"/>
      <c r="BA1678" s="6"/>
      <c r="BB1678" s="6"/>
      <c r="BC1678" s="6"/>
      <c r="BD1678" s="6"/>
      <c r="BE1678" s="6"/>
      <c r="BF1678" s="6"/>
      <c r="BG1678" s="6"/>
      <c r="BH1678" s="6"/>
      <c r="BI1678" s="6"/>
      <c r="BJ1678" s="6"/>
      <c r="BK1678" s="6"/>
      <c r="BL1678" s="6"/>
      <c r="BM1678" s="6"/>
      <c r="BN1678" s="6"/>
      <c r="BO1678" s="6"/>
      <c r="BP1678" s="6"/>
      <c r="BQ1678" s="6"/>
      <c r="BR1678" s="6"/>
      <c r="BS1678" s="6"/>
      <c r="BT1678" s="6"/>
    </row>
    <row r="1679" spans="1:72">
      <c r="A1679" s="8" t="s">
        <v>32020</v>
      </c>
      <c r="B1679" s="11" t="s">
        <v>32024</v>
      </c>
      <c r="C1679" s="9" t="s">
        <v>138</v>
      </c>
      <c r="D1679" s="10" t="s">
        <v>138</v>
      </c>
      <c r="E1679" s="28" t="s">
        <v>944</v>
      </c>
      <c r="F1679" s="28" t="s">
        <v>138</v>
      </c>
      <c r="G1679" s="28" t="s">
        <v>946</v>
      </c>
      <c r="H1679" s="13">
        <v>14</v>
      </c>
      <c r="I1679" s="12" t="s">
        <v>32036</v>
      </c>
      <c r="J1679" s="12" t="s">
        <v>45401</v>
      </c>
      <c r="K1679" s="12" t="s">
        <v>38281</v>
      </c>
      <c r="L1679" s="12" t="s">
        <v>37795</v>
      </c>
      <c r="M1679" s="12" t="s">
        <v>45402</v>
      </c>
      <c r="N1679" s="12" t="s">
        <v>45403</v>
      </c>
      <c r="O1679" s="12" t="s">
        <v>41188</v>
      </c>
      <c r="P1679" s="12" t="s">
        <v>45404</v>
      </c>
      <c r="Q1679" s="12" t="s">
        <v>45405</v>
      </c>
      <c r="R1679" s="12" t="s">
        <v>37945</v>
      </c>
      <c r="S1679" s="12" t="s">
        <v>45406</v>
      </c>
      <c r="T1679" s="12" t="s">
        <v>45407</v>
      </c>
      <c r="U1679" s="12" t="s">
        <v>37802</v>
      </c>
      <c r="V1679" s="12" t="s">
        <v>38291</v>
      </c>
      <c r="W1679" s="12" t="s">
        <v>38716</v>
      </c>
      <c r="X1679" s="12"/>
      <c r="Y1679" s="12"/>
      <c r="Z1679" s="12"/>
      <c r="AA1679" s="12"/>
      <c r="AB1679" s="12"/>
      <c r="AC1679" s="12"/>
      <c r="AD1679" s="12"/>
      <c r="AE1679" s="12"/>
      <c r="AF1679" s="12"/>
      <c r="AG1679" s="12"/>
      <c r="AH1679" s="12"/>
      <c r="AI1679" s="12"/>
      <c r="AJ1679" s="12"/>
      <c r="AK1679" s="12"/>
      <c r="AL1679" s="12"/>
      <c r="AM1679" s="12"/>
      <c r="AN1679" s="12"/>
      <c r="AO1679" s="12"/>
      <c r="AP1679" s="12"/>
      <c r="AQ1679" s="12"/>
      <c r="AR1679" s="12"/>
      <c r="AS1679" s="12"/>
      <c r="AT1679" s="12"/>
      <c r="AU1679" s="12"/>
      <c r="AV1679" s="12"/>
      <c r="AW1679" s="12"/>
      <c r="AX1679" s="12"/>
      <c r="AY1679" s="12"/>
      <c r="AZ1679" s="12"/>
      <c r="BA1679" s="12"/>
      <c r="BB1679" s="12"/>
      <c r="BC1679" s="12"/>
      <c r="BD1679" s="12"/>
      <c r="BE1679" s="12"/>
      <c r="BF1679" s="12"/>
      <c r="BG1679" s="12"/>
      <c r="BH1679" s="12"/>
      <c r="BI1679" s="12"/>
      <c r="BJ1679" s="12"/>
      <c r="BK1679" s="12"/>
      <c r="BL1679" s="12"/>
      <c r="BM1679" s="12"/>
      <c r="BN1679" s="12"/>
      <c r="BO1679" s="12"/>
      <c r="BP1679" s="12"/>
      <c r="BQ1679" s="12"/>
      <c r="BR1679" s="12"/>
      <c r="BS1679" s="12"/>
      <c r="BT1679" s="12"/>
    </row>
    <row r="1680" spans="1:72">
      <c r="A1680" s="2" t="s">
        <v>32039</v>
      </c>
      <c r="B1680" s="5" t="s">
        <v>32045</v>
      </c>
      <c r="C1680" s="3" t="s">
        <v>138</v>
      </c>
      <c r="D1680" s="4" t="s">
        <v>32040</v>
      </c>
      <c r="E1680" s="15" t="s">
        <v>426</v>
      </c>
      <c r="F1680" s="15" t="s">
        <v>426</v>
      </c>
      <c r="G1680" s="15" t="s">
        <v>162</v>
      </c>
      <c r="H1680" s="7">
        <v>31</v>
      </c>
      <c r="I1680" s="6" t="s">
        <v>32054</v>
      </c>
      <c r="J1680" s="6" t="s">
        <v>45408</v>
      </c>
      <c r="K1680" s="6" t="s">
        <v>45020</v>
      </c>
      <c r="L1680" s="6" t="s">
        <v>45409</v>
      </c>
      <c r="M1680" s="6" t="s">
        <v>45410</v>
      </c>
      <c r="N1680" s="6" t="s">
        <v>45411</v>
      </c>
      <c r="O1680" s="6" t="s">
        <v>45412</v>
      </c>
      <c r="P1680" s="6" t="s">
        <v>40413</v>
      </c>
      <c r="Q1680" s="6" t="s">
        <v>45413</v>
      </c>
      <c r="R1680" s="6" t="s">
        <v>41828</v>
      </c>
      <c r="S1680" s="6" t="s">
        <v>45414</v>
      </c>
      <c r="T1680" s="6" t="s">
        <v>38522</v>
      </c>
      <c r="U1680" s="6" t="s">
        <v>42917</v>
      </c>
      <c r="V1680" s="6" t="s">
        <v>42601</v>
      </c>
      <c r="W1680" s="6" t="s">
        <v>45415</v>
      </c>
      <c r="X1680" s="6" t="s">
        <v>37987</v>
      </c>
      <c r="Y1680" s="6" t="s">
        <v>37947</v>
      </c>
      <c r="Z1680" s="6" t="s">
        <v>45416</v>
      </c>
      <c r="AA1680" s="6" t="s">
        <v>45417</v>
      </c>
      <c r="AB1680" s="6" t="s">
        <v>40231</v>
      </c>
      <c r="AC1680" s="6" t="s">
        <v>43187</v>
      </c>
      <c r="AD1680" s="6" t="s">
        <v>38099</v>
      </c>
      <c r="AE1680" s="6" t="s">
        <v>45045</v>
      </c>
      <c r="AF1680" s="6" t="s">
        <v>45418</v>
      </c>
      <c r="AG1680" s="6" t="s">
        <v>37998</v>
      </c>
      <c r="AH1680" s="6" t="s">
        <v>45419</v>
      </c>
      <c r="AI1680" s="6" t="s">
        <v>38100</v>
      </c>
      <c r="AJ1680" s="6" t="s">
        <v>42338</v>
      </c>
      <c r="AK1680" s="6" t="s">
        <v>45420</v>
      </c>
      <c r="AL1680" s="6" t="s">
        <v>38371</v>
      </c>
      <c r="AM1680" s="6" t="s">
        <v>37784</v>
      </c>
      <c r="AN1680" s="6" t="s">
        <v>45421</v>
      </c>
      <c r="AO1680" s="6"/>
      <c r="AP1680" s="6"/>
      <c r="AQ1680" s="6"/>
      <c r="AR1680" s="6"/>
      <c r="AS1680" s="6"/>
      <c r="AT1680" s="6"/>
      <c r="AU1680" s="6"/>
      <c r="AV1680" s="6"/>
      <c r="AW1680" s="6"/>
      <c r="AX1680" s="6"/>
      <c r="AY1680" s="6"/>
      <c r="AZ1680" s="6"/>
      <c r="BA1680" s="6"/>
      <c r="BB1680" s="6"/>
      <c r="BC1680" s="6"/>
      <c r="BD1680" s="6"/>
      <c r="BE1680" s="6"/>
      <c r="BF1680" s="6"/>
      <c r="BG1680" s="6"/>
      <c r="BH1680" s="6"/>
      <c r="BI1680" s="6"/>
      <c r="BJ1680" s="6"/>
      <c r="BK1680" s="6"/>
      <c r="BL1680" s="6"/>
      <c r="BM1680" s="6"/>
      <c r="BN1680" s="6"/>
      <c r="BO1680" s="6"/>
      <c r="BP1680" s="6"/>
      <c r="BQ1680" s="6"/>
      <c r="BR1680" s="6"/>
      <c r="BS1680" s="6"/>
      <c r="BT1680" s="6"/>
    </row>
    <row r="1681" spans="1:72">
      <c r="A1681" s="8" t="s">
        <v>32057</v>
      </c>
      <c r="B1681" s="11" t="s">
        <v>32061</v>
      </c>
      <c r="C1681" s="9" t="s">
        <v>138</v>
      </c>
      <c r="D1681" s="10" t="s">
        <v>138</v>
      </c>
      <c r="E1681" s="28" t="s">
        <v>668</v>
      </c>
      <c r="F1681" s="28" t="s">
        <v>200</v>
      </c>
      <c r="G1681" s="28" t="s">
        <v>162</v>
      </c>
      <c r="H1681" s="13">
        <v>8</v>
      </c>
      <c r="I1681" s="12" t="s">
        <v>32068</v>
      </c>
      <c r="J1681" s="12" t="s">
        <v>45422</v>
      </c>
      <c r="K1681" s="12" t="s">
        <v>45423</v>
      </c>
      <c r="L1681" s="12" t="s">
        <v>38089</v>
      </c>
      <c r="M1681" s="12" t="s">
        <v>38574</v>
      </c>
      <c r="N1681" s="12" t="s">
        <v>45424</v>
      </c>
      <c r="O1681" s="12" t="s">
        <v>45425</v>
      </c>
      <c r="P1681" s="12" t="s">
        <v>45426</v>
      </c>
      <c r="Q1681" s="12" t="s">
        <v>45427</v>
      </c>
      <c r="R1681" s="12"/>
      <c r="S1681" s="12"/>
      <c r="T1681" s="12"/>
      <c r="U1681" s="12"/>
      <c r="V1681" s="12"/>
      <c r="W1681" s="12"/>
      <c r="X1681" s="12"/>
      <c r="Y1681" s="12"/>
      <c r="Z1681" s="12"/>
      <c r="AA1681" s="12"/>
      <c r="AB1681" s="12"/>
      <c r="AC1681" s="12"/>
      <c r="AD1681" s="12"/>
      <c r="AE1681" s="12"/>
      <c r="AF1681" s="12"/>
      <c r="AG1681" s="12"/>
      <c r="AH1681" s="12"/>
      <c r="AI1681" s="12"/>
      <c r="AJ1681" s="12"/>
      <c r="AK1681" s="12"/>
      <c r="AL1681" s="12"/>
      <c r="AM1681" s="12"/>
      <c r="AN1681" s="12"/>
      <c r="AO1681" s="12"/>
      <c r="AP1681" s="12"/>
      <c r="AQ1681" s="12"/>
      <c r="AR1681" s="12"/>
      <c r="AS1681" s="12"/>
      <c r="AT1681" s="12"/>
      <c r="AU1681" s="12"/>
      <c r="AV1681" s="12"/>
      <c r="AW1681" s="12"/>
      <c r="AX1681" s="12"/>
      <c r="AY1681" s="12"/>
      <c r="AZ1681" s="12"/>
      <c r="BA1681" s="12"/>
      <c r="BB1681" s="12"/>
      <c r="BC1681" s="12"/>
      <c r="BD1681" s="12"/>
      <c r="BE1681" s="12"/>
      <c r="BF1681" s="12"/>
      <c r="BG1681" s="12"/>
      <c r="BH1681" s="12"/>
      <c r="BI1681" s="12"/>
      <c r="BJ1681" s="12"/>
      <c r="BK1681" s="12"/>
      <c r="BL1681" s="12"/>
      <c r="BM1681" s="12"/>
      <c r="BN1681" s="12"/>
      <c r="BO1681" s="12"/>
      <c r="BP1681" s="12"/>
      <c r="BQ1681" s="12"/>
      <c r="BR1681" s="12"/>
      <c r="BS1681" s="12"/>
      <c r="BT1681" s="12"/>
    </row>
    <row r="1682" spans="1:72">
      <c r="A1682" s="2" t="s">
        <v>32071</v>
      </c>
      <c r="B1682" s="5" t="s">
        <v>32076</v>
      </c>
      <c r="C1682" s="3" t="s">
        <v>32072</v>
      </c>
      <c r="D1682" s="4" t="s">
        <v>138</v>
      </c>
      <c r="E1682" s="15" t="s">
        <v>426</v>
      </c>
      <c r="F1682" s="15" t="s">
        <v>426</v>
      </c>
      <c r="G1682" s="15" t="s">
        <v>162</v>
      </c>
      <c r="H1682" s="7">
        <v>16</v>
      </c>
      <c r="I1682" s="6" t="s">
        <v>32085</v>
      </c>
      <c r="J1682" s="6" t="s">
        <v>37785</v>
      </c>
      <c r="K1682" s="6" t="s">
        <v>45428</v>
      </c>
      <c r="L1682" s="6" t="s">
        <v>39320</v>
      </c>
      <c r="M1682" s="6" t="s">
        <v>45429</v>
      </c>
      <c r="N1682" s="6" t="s">
        <v>39915</v>
      </c>
      <c r="O1682" s="6" t="s">
        <v>38412</v>
      </c>
      <c r="P1682" s="6" t="s">
        <v>45430</v>
      </c>
      <c r="Q1682" s="6" t="s">
        <v>37986</v>
      </c>
      <c r="R1682" s="6" t="s">
        <v>39987</v>
      </c>
      <c r="S1682" s="6" t="s">
        <v>38513</v>
      </c>
      <c r="T1682" s="6" t="s">
        <v>38514</v>
      </c>
      <c r="U1682" s="6" t="s">
        <v>38026</v>
      </c>
      <c r="V1682" s="6" t="s">
        <v>38033</v>
      </c>
      <c r="W1682" s="6" t="s">
        <v>45431</v>
      </c>
      <c r="X1682" s="6" t="s">
        <v>45432</v>
      </c>
      <c r="Y1682" s="6" t="s">
        <v>43176</v>
      </c>
      <c r="Z1682" s="6"/>
      <c r="AA1682" s="6"/>
      <c r="AB1682" s="6"/>
      <c r="AC1682" s="6"/>
      <c r="AD1682" s="6"/>
      <c r="AE1682" s="6"/>
      <c r="AF1682" s="6"/>
      <c r="AG1682" s="6"/>
      <c r="AH1682" s="6"/>
      <c r="AI1682" s="6"/>
      <c r="AJ1682" s="6"/>
      <c r="AK1682" s="6"/>
      <c r="AL1682" s="6"/>
      <c r="AM1682" s="6"/>
      <c r="AN1682" s="6"/>
      <c r="AO1682" s="6"/>
      <c r="AP1682" s="6"/>
      <c r="AQ1682" s="6"/>
      <c r="AR1682" s="6"/>
      <c r="AS1682" s="6"/>
      <c r="AT1682" s="6"/>
      <c r="AU1682" s="6"/>
      <c r="AV1682" s="6"/>
      <c r="AW1682" s="6"/>
      <c r="AX1682" s="6"/>
      <c r="AY1682" s="6"/>
      <c r="AZ1682" s="6"/>
      <c r="BA1682" s="6"/>
      <c r="BB1682" s="6"/>
      <c r="BC1682" s="6"/>
      <c r="BD1682" s="6"/>
      <c r="BE1682" s="6"/>
      <c r="BF1682" s="6"/>
      <c r="BG1682" s="6"/>
      <c r="BH1682" s="6"/>
      <c r="BI1682" s="6"/>
      <c r="BJ1682" s="6"/>
      <c r="BK1682" s="6"/>
      <c r="BL1682" s="6"/>
      <c r="BM1682" s="6"/>
      <c r="BN1682" s="6"/>
      <c r="BO1682" s="6"/>
      <c r="BP1682" s="6"/>
      <c r="BQ1682" s="6"/>
      <c r="BR1682" s="6"/>
      <c r="BS1682" s="6"/>
      <c r="BT1682" s="6"/>
    </row>
    <row r="1683" spans="1:72">
      <c r="A1683" s="8" t="s">
        <v>32090</v>
      </c>
      <c r="B1683" s="11" t="s">
        <v>32096</v>
      </c>
      <c r="C1683" s="9" t="s">
        <v>138</v>
      </c>
      <c r="D1683" s="10" t="s">
        <v>32091</v>
      </c>
      <c r="E1683" s="28" t="s">
        <v>32104</v>
      </c>
      <c r="F1683" s="28" t="s">
        <v>3112</v>
      </c>
      <c r="G1683" s="28" t="s">
        <v>2742</v>
      </c>
      <c r="H1683" s="13">
        <v>13</v>
      </c>
      <c r="I1683" s="12" t="s">
        <v>32108</v>
      </c>
      <c r="J1683" s="12" t="s">
        <v>45433</v>
      </c>
      <c r="K1683" s="12" t="s">
        <v>39020</v>
      </c>
      <c r="L1683" s="12" t="s">
        <v>40479</v>
      </c>
      <c r="M1683" s="12" t="s">
        <v>37986</v>
      </c>
      <c r="N1683" s="12" t="s">
        <v>40206</v>
      </c>
      <c r="O1683" s="12" t="s">
        <v>45434</v>
      </c>
      <c r="P1683" s="12" t="s">
        <v>45435</v>
      </c>
      <c r="Q1683" s="12" t="s">
        <v>45436</v>
      </c>
      <c r="R1683" s="12" t="s">
        <v>40366</v>
      </c>
      <c r="S1683" s="12" t="s">
        <v>38767</v>
      </c>
      <c r="T1683" s="12" t="s">
        <v>45437</v>
      </c>
      <c r="U1683" s="12" t="s">
        <v>38004</v>
      </c>
      <c r="V1683" s="12" t="s">
        <v>41379</v>
      </c>
      <c r="W1683" s="12"/>
      <c r="X1683" s="12"/>
      <c r="Y1683" s="12"/>
      <c r="Z1683" s="12"/>
      <c r="AA1683" s="12"/>
      <c r="AB1683" s="12"/>
      <c r="AC1683" s="12"/>
      <c r="AD1683" s="12"/>
      <c r="AE1683" s="12"/>
      <c r="AF1683" s="12"/>
      <c r="AG1683" s="12"/>
      <c r="AH1683" s="12"/>
      <c r="AI1683" s="12"/>
      <c r="AJ1683" s="12"/>
      <c r="AK1683" s="12"/>
      <c r="AL1683" s="12"/>
      <c r="AM1683" s="12"/>
      <c r="AN1683" s="12"/>
      <c r="AO1683" s="12"/>
      <c r="AP1683" s="12"/>
      <c r="AQ1683" s="12"/>
      <c r="AR1683" s="12"/>
      <c r="AS1683" s="12"/>
      <c r="AT1683" s="12"/>
      <c r="AU1683" s="12"/>
      <c r="AV1683" s="12"/>
      <c r="AW1683" s="12"/>
      <c r="AX1683" s="12"/>
      <c r="AY1683" s="12"/>
      <c r="AZ1683" s="12"/>
      <c r="BA1683" s="12"/>
      <c r="BB1683" s="12"/>
      <c r="BC1683" s="12"/>
      <c r="BD1683" s="12"/>
      <c r="BE1683" s="12"/>
      <c r="BF1683" s="12"/>
      <c r="BG1683" s="12"/>
      <c r="BH1683" s="12"/>
      <c r="BI1683" s="12"/>
      <c r="BJ1683" s="12"/>
      <c r="BK1683" s="12"/>
      <c r="BL1683" s="12"/>
      <c r="BM1683" s="12"/>
      <c r="BN1683" s="12"/>
      <c r="BO1683" s="12"/>
      <c r="BP1683" s="12"/>
      <c r="BQ1683" s="12"/>
      <c r="BR1683" s="12"/>
      <c r="BS1683" s="12"/>
      <c r="BT1683" s="12"/>
    </row>
    <row r="1684" spans="1:72">
      <c r="A1684" s="2" t="s">
        <v>32112</v>
      </c>
      <c r="B1684" s="5" t="s">
        <v>32118</v>
      </c>
      <c r="C1684" s="3" t="s">
        <v>32113</v>
      </c>
      <c r="D1684" s="4" t="s">
        <v>138</v>
      </c>
      <c r="E1684" s="15" t="s">
        <v>310</v>
      </c>
      <c r="F1684" s="15" t="s">
        <v>200</v>
      </c>
      <c r="G1684" s="15" t="s">
        <v>162</v>
      </c>
      <c r="H1684" s="7">
        <v>24</v>
      </c>
      <c r="I1684" s="6" t="s">
        <v>32127</v>
      </c>
      <c r="J1684" s="6" t="s">
        <v>45438</v>
      </c>
      <c r="K1684" s="6" t="s">
        <v>45439</v>
      </c>
      <c r="L1684" s="6" t="s">
        <v>45440</v>
      </c>
      <c r="M1684" s="6" t="s">
        <v>39331</v>
      </c>
      <c r="N1684" s="6" t="s">
        <v>45441</v>
      </c>
      <c r="O1684" s="6" t="s">
        <v>37795</v>
      </c>
      <c r="P1684" s="6" t="s">
        <v>38391</v>
      </c>
      <c r="Q1684" s="6" t="s">
        <v>45442</v>
      </c>
      <c r="R1684" s="6" t="s">
        <v>37944</v>
      </c>
      <c r="S1684" s="6" t="s">
        <v>39381</v>
      </c>
      <c r="T1684" s="6" t="s">
        <v>37851</v>
      </c>
      <c r="U1684" s="6" t="s">
        <v>38803</v>
      </c>
      <c r="V1684" s="6" t="s">
        <v>38047</v>
      </c>
      <c r="W1684" s="6" t="s">
        <v>43639</v>
      </c>
      <c r="X1684" s="6" t="s">
        <v>45443</v>
      </c>
      <c r="Y1684" s="6" t="s">
        <v>39058</v>
      </c>
      <c r="Z1684" s="6" t="s">
        <v>38063</v>
      </c>
      <c r="AA1684" s="6" t="s">
        <v>45444</v>
      </c>
      <c r="AB1684" s="6" t="s">
        <v>45445</v>
      </c>
      <c r="AC1684" s="6" t="s">
        <v>37805</v>
      </c>
      <c r="AD1684" s="6" t="s">
        <v>37916</v>
      </c>
      <c r="AE1684" s="6" t="s">
        <v>39269</v>
      </c>
      <c r="AF1684" s="6" t="s">
        <v>45446</v>
      </c>
      <c r="AG1684" s="6" t="s">
        <v>37977</v>
      </c>
      <c r="AH1684" s="6"/>
      <c r="AI1684" s="6"/>
      <c r="AJ1684" s="6"/>
      <c r="AK1684" s="6"/>
      <c r="AL1684" s="6"/>
      <c r="AM1684" s="6"/>
      <c r="AN1684" s="6"/>
      <c r="AO1684" s="6"/>
      <c r="AP1684" s="6"/>
      <c r="AQ1684" s="6"/>
      <c r="AR1684" s="6"/>
      <c r="AS1684" s="6"/>
      <c r="AT1684" s="6"/>
      <c r="AU1684" s="6"/>
      <c r="AV1684" s="6"/>
      <c r="AW1684" s="6"/>
      <c r="AX1684" s="6"/>
      <c r="AY1684" s="6"/>
      <c r="AZ1684" s="6"/>
      <c r="BA1684" s="6"/>
      <c r="BB1684" s="6"/>
      <c r="BC1684" s="6"/>
      <c r="BD1684" s="6"/>
      <c r="BE1684" s="6"/>
      <c r="BF1684" s="6"/>
      <c r="BG1684" s="6"/>
      <c r="BH1684" s="6"/>
      <c r="BI1684" s="6"/>
      <c r="BJ1684" s="6"/>
      <c r="BK1684" s="6"/>
      <c r="BL1684" s="6"/>
      <c r="BM1684" s="6"/>
      <c r="BN1684" s="6"/>
      <c r="BO1684" s="6"/>
      <c r="BP1684" s="6"/>
      <c r="BQ1684" s="6"/>
      <c r="BR1684" s="6"/>
      <c r="BS1684" s="6"/>
      <c r="BT1684" s="6"/>
    </row>
    <row r="1685" spans="1:72">
      <c r="A1685" s="8" t="s">
        <v>32130</v>
      </c>
      <c r="B1685" s="11" t="s">
        <v>32133</v>
      </c>
      <c r="C1685" s="9" t="s">
        <v>138</v>
      </c>
      <c r="D1685" s="10" t="s">
        <v>138</v>
      </c>
      <c r="E1685" s="28" t="s">
        <v>2030</v>
      </c>
      <c r="F1685" s="28" t="s">
        <v>2031</v>
      </c>
      <c r="G1685" s="28" t="s">
        <v>162</v>
      </c>
      <c r="H1685" s="13">
        <v>2</v>
      </c>
      <c r="I1685" s="12" t="s">
        <v>32142</v>
      </c>
      <c r="J1685" s="12" t="s">
        <v>2783</v>
      </c>
      <c r="K1685" s="12" t="s">
        <v>45447</v>
      </c>
      <c r="L1685" s="12"/>
      <c r="M1685" s="12"/>
      <c r="N1685" s="12"/>
      <c r="O1685" s="12"/>
      <c r="P1685" s="12"/>
      <c r="Q1685" s="12"/>
      <c r="R1685" s="12"/>
      <c r="S1685" s="12"/>
      <c r="T1685" s="12"/>
      <c r="U1685" s="12"/>
      <c r="V1685" s="12"/>
      <c r="W1685" s="12"/>
      <c r="X1685" s="12"/>
      <c r="Y1685" s="12"/>
      <c r="Z1685" s="12"/>
      <c r="AA1685" s="12"/>
      <c r="AB1685" s="12"/>
      <c r="AC1685" s="12"/>
      <c r="AD1685" s="12"/>
      <c r="AE1685" s="12"/>
      <c r="AF1685" s="12"/>
      <c r="AG1685" s="12"/>
      <c r="AH1685" s="12"/>
      <c r="AI1685" s="12"/>
      <c r="AJ1685" s="12"/>
      <c r="AK1685" s="12"/>
      <c r="AL1685" s="12"/>
      <c r="AM1685" s="12"/>
      <c r="AN1685" s="12"/>
      <c r="AO1685" s="12"/>
      <c r="AP1685" s="12"/>
      <c r="AQ1685" s="12"/>
      <c r="AR1685" s="12"/>
      <c r="AS1685" s="12"/>
      <c r="AT1685" s="12"/>
      <c r="AU1685" s="12"/>
      <c r="AV1685" s="12"/>
      <c r="AW1685" s="12"/>
      <c r="AX1685" s="12"/>
      <c r="AY1685" s="12"/>
      <c r="AZ1685" s="12"/>
      <c r="BA1685" s="12"/>
      <c r="BB1685" s="12"/>
      <c r="BC1685" s="12"/>
      <c r="BD1685" s="12"/>
      <c r="BE1685" s="12"/>
      <c r="BF1685" s="12"/>
      <c r="BG1685" s="12"/>
      <c r="BH1685" s="12"/>
      <c r="BI1685" s="12"/>
      <c r="BJ1685" s="12"/>
      <c r="BK1685" s="12"/>
      <c r="BL1685" s="12"/>
      <c r="BM1685" s="12"/>
      <c r="BN1685" s="12"/>
      <c r="BO1685" s="12"/>
      <c r="BP1685" s="12"/>
      <c r="BQ1685" s="12"/>
      <c r="BR1685" s="12"/>
      <c r="BS1685" s="12"/>
      <c r="BT1685" s="12"/>
    </row>
    <row r="1686" spans="1:72">
      <c r="A1686" s="2" t="s">
        <v>32145</v>
      </c>
      <c r="B1686" s="5" t="s">
        <v>138</v>
      </c>
      <c r="C1686" s="3" t="s">
        <v>138</v>
      </c>
      <c r="D1686" s="4" t="s">
        <v>138</v>
      </c>
      <c r="E1686" s="15" t="s">
        <v>138</v>
      </c>
      <c r="F1686" s="15" t="s">
        <v>138</v>
      </c>
      <c r="G1686" s="15" t="s">
        <v>138</v>
      </c>
      <c r="H1686" s="7">
        <v>1</v>
      </c>
      <c r="I1686" s="6" t="s">
        <v>16877</v>
      </c>
      <c r="J1686" s="6" t="s">
        <v>16877</v>
      </c>
      <c r="K1686" s="6"/>
      <c r="L1686" s="6"/>
      <c r="M1686" s="6"/>
      <c r="N1686" s="6"/>
      <c r="O1686" s="6"/>
      <c r="P1686" s="6"/>
      <c r="Q1686" s="6"/>
      <c r="R1686" s="6"/>
      <c r="S1686" s="6"/>
      <c r="T1686" s="6"/>
      <c r="U1686" s="6"/>
      <c r="V1686" s="6"/>
      <c r="W1686" s="6"/>
      <c r="X1686" s="6"/>
      <c r="Y1686" s="6"/>
      <c r="Z1686" s="6"/>
      <c r="AA1686" s="6"/>
      <c r="AB1686" s="6"/>
      <c r="AC1686" s="6"/>
      <c r="AD1686" s="6"/>
      <c r="AE1686" s="6"/>
      <c r="AF1686" s="6"/>
      <c r="AG1686" s="6"/>
      <c r="AH1686" s="6"/>
      <c r="AI1686" s="6"/>
      <c r="AJ1686" s="6"/>
      <c r="AK1686" s="6"/>
      <c r="AL1686" s="6"/>
      <c r="AM1686" s="6"/>
      <c r="AN1686" s="6"/>
      <c r="AO1686" s="6"/>
      <c r="AP1686" s="6"/>
      <c r="AQ1686" s="6"/>
      <c r="AR1686" s="6"/>
      <c r="AS1686" s="6"/>
      <c r="AT1686" s="6"/>
      <c r="AU1686" s="6"/>
      <c r="AV1686" s="6"/>
      <c r="AW1686" s="6"/>
      <c r="AX1686" s="6"/>
      <c r="AY1686" s="6"/>
      <c r="AZ1686" s="6"/>
      <c r="BA1686" s="6"/>
      <c r="BB1686" s="6"/>
      <c r="BC1686" s="6"/>
      <c r="BD1686" s="6"/>
      <c r="BE1686" s="6"/>
      <c r="BF1686" s="6"/>
      <c r="BG1686" s="6"/>
      <c r="BH1686" s="6"/>
      <c r="BI1686" s="6"/>
      <c r="BJ1686" s="6"/>
      <c r="BK1686" s="6"/>
      <c r="BL1686" s="6"/>
      <c r="BM1686" s="6"/>
      <c r="BN1686" s="6"/>
      <c r="BO1686" s="6"/>
      <c r="BP1686" s="6"/>
      <c r="BQ1686" s="6"/>
      <c r="BR1686" s="6"/>
      <c r="BS1686" s="6"/>
      <c r="BT1686" s="6"/>
    </row>
    <row r="1687" spans="1:72">
      <c r="A1687" s="8" t="s">
        <v>32153</v>
      </c>
      <c r="B1687" s="11" t="s">
        <v>32157</v>
      </c>
      <c r="C1687" s="9" t="s">
        <v>138</v>
      </c>
      <c r="D1687" s="10" t="s">
        <v>138</v>
      </c>
      <c r="E1687" s="28" t="s">
        <v>138</v>
      </c>
      <c r="F1687" s="28" t="s">
        <v>138</v>
      </c>
      <c r="G1687" s="28" t="s">
        <v>7021</v>
      </c>
      <c r="H1687" s="13">
        <v>2</v>
      </c>
      <c r="I1687" s="12" t="s">
        <v>32163</v>
      </c>
      <c r="J1687" s="12" t="s">
        <v>45448</v>
      </c>
      <c r="K1687" s="12" t="s">
        <v>39181</v>
      </c>
      <c r="L1687" s="12"/>
      <c r="M1687" s="12"/>
      <c r="N1687" s="12"/>
      <c r="O1687" s="12"/>
      <c r="P1687" s="12"/>
      <c r="Q1687" s="12"/>
      <c r="R1687" s="12"/>
      <c r="S1687" s="12"/>
      <c r="T1687" s="12"/>
      <c r="U1687" s="12"/>
      <c r="V1687" s="12"/>
      <c r="W1687" s="12"/>
      <c r="X1687" s="12"/>
      <c r="Y1687" s="12"/>
      <c r="Z1687" s="12"/>
      <c r="AA1687" s="12"/>
      <c r="AB1687" s="12"/>
      <c r="AC1687" s="12"/>
      <c r="AD1687" s="12"/>
      <c r="AE1687" s="12"/>
      <c r="AF1687" s="12"/>
      <c r="AG1687" s="12"/>
      <c r="AH1687" s="12"/>
      <c r="AI1687" s="12"/>
      <c r="AJ1687" s="12"/>
      <c r="AK1687" s="12"/>
      <c r="AL1687" s="12"/>
      <c r="AM1687" s="12"/>
      <c r="AN1687" s="12"/>
      <c r="AO1687" s="12"/>
      <c r="AP1687" s="12"/>
      <c r="AQ1687" s="12"/>
      <c r="AR1687" s="12"/>
      <c r="AS1687" s="12"/>
      <c r="AT1687" s="12"/>
      <c r="AU1687" s="12"/>
      <c r="AV1687" s="12"/>
      <c r="AW1687" s="12"/>
      <c r="AX1687" s="12"/>
      <c r="AY1687" s="12"/>
      <c r="AZ1687" s="12"/>
      <c r="BA1687" s="12"/>
      <c r="BB1687" s="12"/>
      <c r="BC1687" s="12"/>
      <c r="BD1687" s="12"/>
      <c r="BE1687" s="12"/>
      <c r="BF1687" s="12"/>
      <c r="BG1687" s="12"/>
      <c r="BH1687" s="12"/>
      <c r="BI1687" s="12"/>
      <c r="BJ1687" s="12"/>
      <c r="BK1687" s="12"/>
      <c r="BL1687" s="12"/>
      <c r="BM1687" s="12"/>
      <c r="BN1687" s="12"/>
      <c r="BO1687" s="12"/>
      <c r="BP1687" s="12"/>
      <c r="BQ1687" s="12"/>
      <c r="BR1687" s="12"/>
      <c r="BS1687" s="12"/>
      <c r="BT1687" s="12"/>
    </row>
    <row r="1688" spans="1:72">
      <c r="A1688" s="2" t="s">
        <v>32166</v>
      </c>
      <c r="B1688" s="5" t="s">
        <v>32171</v>
      </c>
      <c r="C1688" s="3" t="s">
        <v>138</v>
      </c>
      <c r="D1688" s="4" t="s">
        <v>138</v>
      </c>
      <c r="E1688" s="15" t="s">
        <v>1872</v>
      </c>
      <c r="F1688" s="15" t="s">
        <v>200</v>
      </c>
      <c r="G1688" s="15" t="s">
        <v>162</v>
      </c>
      <c r="H1688" s="7">
        <v>6</v>
      </c>
      <c r="I1688" s="6" t="s">
        <v>32182</v>
      </c>
      <c r="J1688" s="6" t="s">
        <v>45449</v>
      </c>
      <c r="K1688" s="6" t="s">
        <v>37819</v>
      </c>
      <c r="L1688" s="6" t="s">
        <v>45265</v>
      </c>
      <c r="M1688" s="6" t="s">
        <v>45450</v>
      </c>
      <c r="N1688" s="6" t="s">
        <v>45451</v>
      </c>
      <c r="O1688" s="6" t="s">
        <v>45268</v>
      </c>
      <c r="P1688" s="6"/>
      <c r="Q1688" s="6"/>
      <c r="R1688" s="6"/>
      <c r="S1688" s="6"/>
      <c r="T1688" s="6"/>
      <c r="U1688" s="6"/>
      <c r="V1688" s="6"/>
      <c r="W1688" s="6"/>
      <c r="X1688" s="6"/>
      <c r="Y1688" s="6"/>
      <c r="Z1688" s="6"/>
      <c r="AA1688" s="6"/>
      <c r="AB1688" s="6"/>
      <c r="AC1688" s="6"/>
      <c r="AD1688" s="6"/>
      <c r="AE1688" s="6"/>
      <c r="AF1688" s="6"/>
      <c r="AG1688" s="6"/>
      <c r="AH1688" s="6"/>
      <c r="AI1688" s="6"/>
      <c r="AJ1688" s="6"/>
      <c r="AK1688" s="6"/>
      <c r="AL1688" s="6"/>
      <c r="AM1688" s="6"/>
      <c r="AN1688" s="6"/>
      <c r="AO1688" s="6"/>
      <c r="AP1688" s="6"/>
      <c r="AQ1688" s="6"/>
      <c r="AR1688" s="6"/>
      <c r="AS1688" s="6"/>
      <c r="AT1688" s="6"/>
      <c r="AU1688" s="6"/>
      <c r="AV1688" s="6"/>
      <c r="AW1688" s="6"/>
      <c r="AX1688" s="6"/>
      <c r="AY1688" s="6"/>
      <c r="AZ1688" s="6"/>
      <c r="BA1688" s="6"/>
      <c r="BB1688" s="6"/>
      <c r="BC1688" s="6"/>
      <c r="BD1688" s="6"/>
      <c r="BE1688" s="6"/>
      <c r="BF1688" s="6"/>
      <c r="BG1688" s="6"/>
      <c r="BH1688" s="6"/>
      <c r="BI1688" s="6"/>
      <c r="BJ1688" s="6"/>
      <c r="BK1688" s="6"/>
      <c r="BL1688" s="6"/>
      <c r="BM1688" s="6"/>
      <c r="BN1688" s="6"/>
      <c r="BO1688" s="6"/>
      <c r="BP1688" s="6"/>
      <c r="BQ1688" s="6"/>
      <c r="BR1688" s="6"/>
      <c r="BS1688" s="6"/>
      <c r="BT1688" s="6"/>
    </row>
    <row r="1689" spans="1:72">
      <c r="A1689" s="8" t="s">
        <v>32189</v>
      </c>
      <c r="B1689" s="11" t="s">
        <v>32196</v>
      </c>
      <c r="C1689" s="9" t="s">
        <v>32190</v>
      </c>
      <c r="D1689" s="10" t="s">
        <v>32191</v>
      </c>
      <c r="E1689" s="28" t="s">
        <v>863</v>
      </c>
      <c r="F1689" s="28" t="s">
        <v>824</v>
      </c>
      <c r="G1689" s="28" t="s">
        <v>526</v>
      </c>
      <c r="H1689" s="13">
        <v>12</v>
      </c>
      <c r="I1689" s="12" t="s">
        <v>32207</v>
      </c>
      <c r="J1689" s="12" t="s">
        <v>37811</v>
      </c>
      <c r="K1689" s="12" t="s">
        <v>45452</v>
      </c>
      <c r="L1689" s="12" t="s">
        <v>39813</v>
      </c>
      <c r="M1689" s="12" t="s">
        <v>45453</v>
      </c>
      <c r="N1689" s="12" t="s">
        <v>45454</v>
      </c>
      <c r="O1689" s="12" t="s">
        <v>40755</v>
      </c>
      <c r="P1689" s="12" t="s">
        <v>45455</v>
      </c>
      <c r="Q1689" s="12" t="s">
        <v>40471</v>
      </c>
      <c r="R1689" s="12" t="s">
        <v>45456</v>
      </c>
      <c r="S1689" s="12" t="s">
        <v>38200</v>
      </c>
      <c r="T1689" s="12" t="s">
        <v>41370</v>
      </c>
      <c r="U1689" s="12" t="s">
        <v>45457</v>
      </c>
      <c r="V1689" s="12"/>
      <c r="W1689" s="12"/>
      <c r="X1689" s="12"/>
      <c r="Y1689" s="12"/>
      <c r="Z1689" s="12"/>
      <c r="AA1689" s="12"/>
      <c r="AB1689" s="12"/>
      <c r="AC1689" s="12"/>
      <c r="AD1689" s="12"/>
      <c r="AE1689" s="12"/>
      <c r="AF1689" s="12"/>
      <c r="AG1689" s="12"/>
      <c r="AH1689" s="12"/>
      <c r="AI1689" s="12"/>
      <c r="AJ1689" s="12"/>
      <c r="AK1689" s="12"/>
      <c r="AL1689" s="12"/>
      <c r="AM1689" s="12"/>
      <c r="AN1689" s="12"/>
      <c r="AO1689" s="12"/>
      <c r="AP1689" s="12"/>
      <c r="AQ1689" s="12"/>
      <c r="AR1689" s="12"/>
      <c r="AS1689" s="12"/>
      <c r="AT1689" s="12"/>
      <c r="AU1689" s="12"/>
      <c r="AV1689" s="12"/>
      <c r="AW1689" s="12"/>
      <c r="AX1689" s="12"/>
      <c r="AY1689" s="12"/>
      <c r="AZ1689" s="12"/>
      <c r="BA1689" s="12"/>
      <c r="BB1689" s="12"/>
      <c r="BC1689" s="12"/>
      <c r="BD1689" s="12"/>
      <c r="BE1689" s="12"/>
      <c r="BF1689" s="12"/>
      <c r="BG1689" s="12"/>
      <c r="BH1689" s="12"/>
      <c r="BI1689" s="12"/>
      <c r="BJ1689" s="12"/>
      <c r="BK1689" s="12"/>
      <c r="BL1689" s="12"/>
      <c r="BM1689" s="12"/>
      <c r="BN1689" s="12"/>
      <c r="BO1689" s="12"/>
      <c r="BP1689" s="12"/>
      <c r="BQ1689" s="12"/>
      <c r="BR1689" s="12"/>
      <c r="BS1689" s="12"/>
      <c r="BT1689" s="12"/>
    </row>
    <row r="1690" spans="1:72">
      <c r="A1690" s="2" t="s">
        <v>32212</v>
      </c>
      <c r="B1690" s="5" t="s">
        <v>32217</v>
      </c>
      <c r="C1690" s="3" t="s">
        <v>138</v>
      </c>
      <c r="D1690" s="4" t="s">
        <v>138</v>
      </c>
      <c r="E1690" s="15" t="s">
        <v>668</v>
      </c>
      <c r="F1690" s="15" t="s">
        <v>200</v>
      </c>
      <c r="G1690" s="15" t="s">
        <v>162</v>
      </c>
      <c r="H1690" s="7">
        <v>31</v>
      </c>
      <c r="I1690" s="6" t="s">
        <v>32225</v>
      </c>
      <c r="J1690" s="6" t="s">
        <v>45458</v>
      </c>
      <c r="K1690" s="6" t="s">
        <v>45459</v>
      </c>
      <c r="L1690" s="6" t="s">
        <v>45460</v>
      </c>
      <c r="M1690" s="6" t="s">
        <v>42247</v>
      </c>
      <c r="N1690" s="6" t="s">
        <v>42264</v>
      </c>
      <c r="O1690" s="6" t="s">
        <v>38569</v>
      </c>
      <c r="P1690" s="6" t="s">
        <v>38413</v>
      </c>
      <c r="Q1690" s="6" t="s">
        <v>42953</v>
      </c>
      <c r="R1690" s="6" t="s">
        <v>39355</v>
      </c>
      <c r="S1690" s="6" t="s">
        <v>39035</v>
      </c>
      <c r="T1690" s="6" t="s">
        <v>45461</v>
      </c>
      <c r="U1690" s="6" t="s">
        <v>37953</v>
      </c>
      <c r="V1690" s="6" t="s">
        <v>38574</v>
      </c>
      <c r="W1690" s="6" t="s">
        <v>39731</v>
      </c>
      <c r="X1690" s="6" t="s">
        <v>45462</v>
      </c>
      <c r="Y1690" s="6" t="s">
        <v>43410</v>
      </c>
      <c r="Z1690" s="6" t="s">
        <v>38575</v>
      </c>
      <c r="AA1690" s="6" t="s">
        <v>45463</v>
      </c>
      <c r="AB1690" s="6" t="s">
        <v>43411</v>
      </c>
      <c r="AC1690" s="6" t="s">
        <v>38126</v>
      </c>
      <c r="AD1690" s="6" t="s">
        <v>39955</v>
      </c>
      <c r="AE1690" s="6" t="s">
        <v>38289</v>
      </c>
      <c r="AF1690" s="6" t="s">
        <v>45464</v>
      </c>
      <c r="AG1690" s="6" t="s">
        <v>45465</v>
      </c>
      <c r="AH1690" s="6" t="s">
        <v>39734</v>
      </c>
      <c r="AI1690" s="6" t="s">
        <v>37971</v>
      </c>
      <c r="AJ1690" s="6" t="s">
        <v>45466</v>
      </c>
      <c r="AK1690" s="6" t="s">
        <v>45467</v>
      </c>
      <c r="AL1690" s="6" t="s">
        <v>45286</v>
      </c>
      <c r="AM1690" s="6" t="s">
        <v>37974</v>
      </c>
      <c r="AN1690" s="6" t="s">
        <v>40526</v>
      </c>
      <c r="AO1690" s="6"/>
      <c r="AP1690" s="6"/>
      <c r="AQ1690" s="6"/>
      <c r="AR1690" s="6"/>
      <c r="AS1690" s="6"/>
      <c r="AT1690" s="6"/>
      <c r="AU1690" s="6"/>
      <c r="AV1690" s="6"/>
      <c r="AW1690" s="6"/>
      <c r="AX1690" s="6"/>
      <c r="AY1690" s="6"/>
      <c r="AZ1690" s="6"/>
      <c r="BA1690" s="6"/>
      <c r="BB1690" s="6"/>
      <c r="BC1690" s="6"/>
      <c r="BD1690" s="6"/>
      <c r="BE1690" s="6"/>
      <c r="BF1690" s="6"/>
      <c r="BG1690" s="6"/>
      <c r="BH1690" s="6"/>
      <c r="BI1690" s="6"/>
      <c r="BJ1690" s="6"/>
      <c r="BK1690" s="6"/>
      <c r="BL1690" s="6"/>
      <c r="BM1690" s="6"/>
      <c r="BN1690" s="6"/>
      <c r="BO1690" s="6"/>
      <c r="BP1690" s="6"/>
      <c r="BQ1690" s="6"/>
      <c r="BR1690" s="6"/>
      <c r="BS1690" s="6"/>
      <c r="BT1690" s="6"/>
    </row>
    <row r="1691" spans="1:72">
      <c r="A1691" s="8" t="s">
        <v>32229</v>
      </c>
      <c r="B1691" s="11" t="s">
        <v>32235</v>
      </c>
      <c r="C1691" s="9" t="s">
        <v>32230</v>
      </c>
      <c r="D1691" s="10" t="s">
        <v>138</v>
      </c>
      <c r="E1691" s="28" t="s">
        <v>32242</v>
      </c>
      <c r="F1691" s="28" t="s">
        <v>138</v>
      </c>
      <c r="G1691" s="28" t="s">
        <v>740</v>
      </c>
      <c r="H1691" s="13">
        <v>8</v>
      </c>
      <c r="I1691" s="12" t="s">
        <v>32246</v>
      </c>
      <c r="J1691" s="12" t="s">
        <v>42387</v>
      </c>
      <c r="K1691" s="12" t="s">
        <v>45468</v>
      </c>
      <c r="L1691" s="12" t="s">
        <v>44342</v>
      </c>
      <c r="M1691" s="12" t="s">
        <v>45469</v>
      </c>
      <c r="N1691" s="12" t="s">
        <v>44844</v>
      </c>
      <c r="O1691" s="12" t="s">
        <v>37788</v>
      </c>
      <c r="P1691" s="12" t="s">
        <v>45470</v>
      </c>
      <c r="Q1691" s="12" t="s">
        <v>43796</v>
      </c>
      <c r="R1691" s="12"/>
      <c r="S1691" s="12"/>
      <c r="T1691" s="12"/>
      <c r="U1691" s="12"/>
      <c r="V1691" s="12"/>
      <c r="W1691" s="12"/>
      <c r="X1691" s="12"/>
      <c r="Y1691" s="12"/>
      <c r="Z1691" s="12"/>
      <c r="AA1691" s="12"/>
      <c r="AB1691" s="12"/>
      <c r="AC1691" s="12"/>
      <c r="AD1691" s="12"/>
      <c r="AE1691" s="12"/>
      <c r="AF1691" s="12"/>
      <c r="AG1691" s="12"/>
      <c r="AH1691" s="12"/>
      <c r="AI1691" s="12"/>
      <c r="AJ1691" s="12"/>
      <c r="AK1691" s="12"/>
      <c r="AL1691" s="12"/>
      <c r="AM1691" s="12"/>
      <c r="AN1691" s="12"/>
      <c r="AO1691" s="12"/>
      <c r="AP1691" s="12"/>
      <c r="AQ1691" s="12"/>
      <c r="AR1691" s="12"/>
      <c r="AS1691" s="12"/>
      <c r="AT1691" s="12"/>
      <c r="AU1691" s="12"/>
      <c r="AV1691" s="12"/>
      <c r="AW1691" s="12"/>
      <c r="AX1691" s="12"/>
      <c r="AY1691" s="12"/>
      <c r="AZ1691" s="12"/>
      <c r="BA1691" s="12"/>
      <c r="BB1691" s="12"/>
      <c r="BC1691" s="12"/>
      <c r="BD1691" s="12"/>
      <c r="BE1691" s="12"/>
      <c r="BF1691" s="12"/>
      <c r="BG1691" s="12"/>
      <c r="BH1691" s="12"/>
      <c r="BI1691" s="12"/>
      <c r="BJ1691" s="12"/>
      <c r="BK1691" s="12"/>
      <c r="BL1691" s="12"/>
      <c r="BM1691" s="12"/>
      <c r="BN1691" s="12"/>
      <c r="BO1691" s="12"/>
      <c r="BP1691" s="12"/>
      <c r="BQ1691" s="12"/>
      <c r="BR1691" s="12"/>
      <c r="BS1691" s="12"/>
      <c r="BT1691" s="12"/>
    </row>
    <row r="1692" spans="1:72">
      <c r="A1692" s="2" t="s">
        <v>32249</v>
      </c>
      <c r="B1692" s="5" t="s">
        <v>32254</v>
      </c>
      <c r="C1692" s="3" t="s">
        <v>138</v>
      </c>
      <c r="D1692" s="4" t="s">
        <v>32250</v>
      </c>
      <c r="E1692" s="15" t="s">
        <v>32261</v>
      </c>
      <c r="F1692" s="15" t="s">
        <v>200</v>
      </c>
      <c r="G1692" s="15" t="s">
        <v>162</v>
      </c>
      <c r="H1692" s="7">
        <v>3</v>
      </c>
      <c r="I1692" s="6" t="s">
        <v>32265</v>
      </c>
      <c r="J1692" s="6" t="s">
        <v>6235</v>
      </c>
      <c r="K1692" s="6" t="s">
        <v>45471</v>
      </c>
      <c r="L1692" s="6" t="s">
        <v>45472</v>
      </c>
      <c r="M1692" s="6"/>
      <c r="N1692" s="6"/>
      <c r="O1692" s="6"/>
      <c r="P1692" s="6"/>
      <c r="Q1692" s="6"/>
      <c r="R1692" s="6"/>
      <c r="S1692" s="6"/>
      <c r="T1692" s="6"/>
      <c r="U1692" s="6"/>
      <c r="V1692" s="6"/>
      <c r="W1692" s="6"/>
      <c r="X1692" s="6"/>
      <c r="Y1692" s="6"/>
      <c r="Z1692" s="6"/>
      <c r="AA1692" s="6"/>
      <c r="AB1692" s="6"/>
      <c r="AC1692" s="6"/>
      <c r="AD1692" s="6"/>
      <c r="AE1692" s="6"/>
      <c r="AF1692" s="6"/>
      <c r="AG1692" s="6"/>
      <c r="AH1692" s="6"/>
      <c r="AI1692" s="6"/>
      <c r="AJ1692" s="6"/>
      <c r="AK1692" s="6"/>
      <c r="AL1692" s="6"/>
      <c r="AM1692" s="6"/>
      <c r="AN1692" s="6"/>
      <c r="AO1692" s="6"/>
      <c r="AP1692" s="6"/>
      <c r="AQ1692" s="6"/>
      <c r="AR1692" s="6"/>
      <c r="AS1692" s="6"/>
      <c r="AT1692" s="6"/>
      <c r="AU1692" s="6"/>
      <c r="AV1692" s="6"/>
      <c r="AW1692" s="6"/>
      <c r="AX1692" s="6"/>
      <c r="AY1692" s="6"/>
      <c r="AZ1692" s="6"/>
      <c r="BA1692" s="6"/>
      <c r="BB1692" s="6"/>
      <c r="BC1692" s="6"/>
      <c r="BD1692" s="6"/>
      <c r="BE1692" s="6"/>
      <c r="BF1692" s="6"/>
      <c r="BG1692" s="6"/>
      <c r="BH1692" s="6"/>
      <c r="BI1692" s="6"/>
      <c r="BJ1692" s="6"/>
      <c r="BK1692" s="6"/>
      <c r="BL1692" s="6"/>
      <c r="BM1692" s="6"/>
      <c r="BN1692" s="6"/>
      <c r="BO1692" s="6"/>
      <c r="BP1692" s="6"/>
      <c r="BQ1692" s="6"/>
      <c r="BR1692" s="6"/>
      <c r="BS1692" s="6"/>
      <c r="BT1692" s="6"/>
    </row>
    <row r="1693" spans="1:72">
      <c r="A1693" s="8" t="s">
        <v>32269</v>
      </c>
      <c r="B1693" s="11" t="s">
        <v>32272</v>
      </c>
      <c r="C1693" s="9" t="s">
        <v>138</v>
      </c>
      <c r="D1693" s="10" t="s">
        <v>138</v>
      </c>
      <c r="E1693" s="28" t="s">
        <v>32281</v>
      </c>
      <c r="F1693" s="28" t="s">
        <v>138</v>
      </c>
      <c r="G1693" s="28" t="s">
        <v>1054</v>
      </c>
      <c r="H1693" s="13">
        <v>8</v>
      </c>
      <c r="I1693" s="12" t="s">
        <v>32285</v>
      </c>
      <c r="J1693" s="12" t="s">
        <v>45473</v>
      </c>
      <c r="K1693" s="12" t="s">
        <v>38299</v>
      </c>
      <c r="L1693" s="12" t="s">
        <v>45474</v>
      </c>
      <c r="M1693" s="12" t="s">
        <v>45124</v>
      </c>
      <c r="N1693" s="12" t="s">
        <v>43605</v>
      </c>
      <c r="O1693" s="12" t="s">
        <v>38514</v>
      </c>
      <c r="P1693" s="12" t="s">
        <v>45475</v>
      </c>
      <c r="Q1693" s="12" t="s">
        <v>45476</v>
      </c>
      <c r="R1693" s="12"/>
      <c r="S1693" s="12"/>
      <c r="T1693" s="12"/>
      <c r="U1693" s="12"/>
      <c r="V1693" s="12"/>
      <c r="W1693" s="12"/>
      <c r="X1693" s="12"/>
      <c r="Y1693" s="12"/>
      <c r="Z1693" s="12"/>
      <c r="AA1693" s="12"/>
      <c r="AB1693" s="12"/>
      <c r="AC1693" s="12"/>
      <c r="AD1693" s="12"/>
      <c r="AE1693" s="12"/>
      <c r="AF1693" s="12"/>
      <c r="AG1693" s="12"/>
      <c r="AH1693" s="12"/>
      <c r="AI1693" s="12"/>
      <c r="AJ1693" s="12"/>
      <c r="AK1693" s="12"/>
      <c r="AL1693" s="12"/>
      <c r="AM1693" s="12"/>
      <c r="AN1693" s="12"/>
      <c r="AO1693" s="12"/>
      <c r="AP1693" s="12"/>
      <c r="AQ1693" s="12"/>
      <c r="AR1693" s="12"/>
      <c r="AS1693" s="12"/>
      <c r="AT1693" s="12"/>
      <c r="AU1693" s="12"/>
      <c r="AV1693" s="12"/>
      <c r="AW1693" s="12"/>
      <c r="AX1693" s="12"/>
      <c r="AY1693" s="12"/>
      <c r="AZ1693" s="12"/>
      <c r="BA1693" s="12"/>
      <c r="BB1693" s="12"/>
      <c r="BC1693" s="12"/>
      <c r="BD1693" s="12"/>
      <c r="BE1693" s="12"/>
      <c r="BF1693" s="12"/>
      <c r="BG1693" s="12"/>
      <c r="BH1693" s="12"/>
      <c r="BI1693" s="12"/>
      <c r="BJ1693" s="12"/>
      <c r="BK1693" s="12"/>
      <c r="BL1693" s="12"/>
      <c r="BM1693" s="12"/>
      <c r="BN1693" s="12"/>
      <c r="BO1693" s="12"/>
      <c r="BP1693" s="12"/>
      <c r="BQ1693" s="12"/>
      <c r="BR1693" s="12"/>
      <c r="BS1693" s="12"/>
      <c r="BT1693" s="12"/>
    </row>
    <row r="1694" spans="1:72">
      <c r="A1694" s="2" t="s">
        <v>32289</v>
      </c>
      <c r="B1694" s="5" t="s">
        <v>32294</v>
      </c>
      <c r="C1694" s="3" t="s">
        <v>138</v>
      </c>
      <c r="D1694" s="4" t="s">
        <v>138</v>
      </c>
      <c r="E1694" s="15" t="s">
        <v>426</v>
      </c>
      <c r="F1694" s="15" t="s">
        <v>426</v>
      </c>
      <c r="G1694" s="15" t="s">
        <v>162</v>
      </c>
      <c r="H1694" s="7">
        <v>10</v>
      </c>
      <c r="I1694" s="6" t="s">
        <v>32307</v>
      </c>
      <c r="J1694" s="6" t="s">
        <v>44854</v>
      </c>
      <c r="K1694" s="6" t="s">
        <v>38299</v>
      </c>
      <c r="L1694" s="6" t="s">
        <v>42711</v>
      </c>
      <c r="M1694" s="6" t="s">
        <v>43814</v>
      </c>
      <c r="N1694" s="6" t="s">
        <v>37786</v>
      </c>
      <c r="O1694" s="6" t="s">
        <v>37787</v>
      </c>
      <c r="P1694" s="6" t="s">
        <v>42114</v>
      </c>
      <c r="Q1694" s="6" t="s">
        <v>38907</v>
      </c>
      <c r="R1694" s="6" t="s">
        <v>45477</v>
      </c>
      <c r="S1694" s="6" t="s">
        <v>41193</v>
      </c>
      <c r="T1694" s="6"/>
      <c r="U1694" s="6"/>
      <c r="V1694" s="6"/>
      <c r="W1694" s="6"/>
      <c r="X1694" s="6"/>
      <c r="Y1694" s="6"/>
      <c r="Z1694" s="6"/>
      <c r="AA1694" s="6"/>
      <c r="AB1694" s="6"/>
      <c r="AC1694" s="6"/>
      <c r="AD1694" s="6"/>
      <c r="AE1694" s="6"/>
      <c r="AF1694" s="6"/>
      <c r="AG1694" s="6"/>
      <c r="AH1694" s="6"/>
      <c r="AI1694" s="6"/>
      <c r="AJ1694" s="6"/>
      <c r="AK1694" s="6"/>
      <c r="AL1694" s="6"/>
      <c r="AM1694" s="6"/>
      <c r="AN1694" s="6"/>
      <c r="AO1694" s="6"/>
      <c r="AP1694" s="6"/>
      <c r="AQ1694" s="6"/>
      <c r="AR1694" s="6"/>
      <c r="AS1694" s="6"/>
      <c r="AT1694" s="6"/>
      <c r="AU1694" s="6"/>
      <c r="AV1694" s="6"/>
      <c r="AW1694" s="6"/>
      <c r="AX1694" s="6"/>
      <c r="AY1694" s="6"/>
      <c r="AZ1694" s="6"/>
      <c r="BA1694" s="6"/>
      <c r="BB1694" s="6"/>
      <c r="BC1694" s="6"/>
      <c r="BD1694" s="6"/>
      <c r="BE1694" s="6"/>
      <c r="BF1694" s="6"/>
      <c r="BG1694" s="6"/>
      <c r="BH1694" s="6"/>
      <c r="BI1694" s="6"/>
      <c r="BJ1694" s="6"/>
      <c r="BK1694" s="6"/>
      <c r="BL1694" s="6"/>
      <c r="BM1694" s="6"/>
      <c r="BN1694" s="6"/>
      <c r="BO1694" s="6"/>
      <c r="BP1694" s="6"/>
      <c r="BQ1694" s="6"/>
      <c r="BR1694" s="6"/>
      <c r="BS1694" s="6"/>
      <c r="BT1694" s="6"/>
    </row>
    <row r="1695" spans="1:72">
      <c r="A1695" s="8" t="s">
        <v>32310</v>
      </c>
      <c r="B1695" s="11" t="s">
        <v>32313</v>
      </c>
      <c r="C1695" s="9" t="s">
        <v>138</v>
      </c>
      <c r="D1695" s="10" t="s">
        <v>138</v>
      </c>
      <c r="E1695" s="28" t="s">
        <v>12065</v>
      </c>
      <c r="F1695" s="28" t="s">
        <v>200</v>
      </c>
      <c r="G1695" s="28" t="s">
        <v>162</v>
      </c>
      <c r="H1695" s="13">
        <v>6</v>
      </c>
      <c r="I1695" s="12" t="s">
        <v>32324</v>
      </c>
      <c r="J1695" s="12" t="s">
        <v>45478</v>
      </c>
      <c r="K1695" s="12" t="s">
        <v>38114</v>
      </c>
      <c r="L1695" s="12" t="s">
        <v>38057</v>
      </c>
      <c r="M1695" s="12" t="s">
        <v>38992</v>
      </c>
      <c r="N1695" s="12" t="s">
        <v>38563</v>
      </c>
      <c r="O1695" s="12" t="s">
        <v>39087</v>
      </c>
      <c r="P1695" s="12"/>
      <c r="Q1695" s="12"/>
      <c r="R1695" s="12"/>
      <c r="S1695" s="12"/>
      <c r="T1695" s="12"/>
      <c r="U1695" s="12"/>
      <c r="V1695" s="12"/>
      <c r="W1695" s="12"/>
      <c r="X1695" s="12"/>
      <c r="Y1695" s="12"/>
      <c r="Z1695" s="12"/>
      <c r="AA1695" s="12"/>
      <c r="AB1695" s="12"/>
      <c r="AC1695" s="12"/>
      <c r="AD1695" s="12"/>
      <c r="AE1695" s="12"/>
      <c r="AF1695" s="12"/>
      <c r="AG1695" s="12"/>
      <c r="AH1695" s="12"/>
      <c r="AI1695" s="12"/>
      <c r="AJ1695" s="12"/>
      <c r="AK1695" s="12"/>
      <c r="AL1695" s="12"/>
      <c r="AM1695" s="12"/>
      <c r="AN1695" s="12"/>
      <c r="AO1695" s="12"/>
      <c r="AP1695" s="12"/>
      <c r="AQ1695" s="12"/>
      <c r="AR1695" s="12"/>
      <c r="AS1695" s="12"/>
      <c r="AT1695" s="12"/>
      <c r="AU1695" s="12"/>
      <c r="AV1695" s="12"/>
      <c r="AW1695" s="12"/>
      <c r="AX1695" s="12"/>
      <c r="AY1695" s="12"/>
      <c r="AZ1695" s="12"/>
      <c r="BA1695" s="12"/>
      <c r="BB1695" s="12"/>
      <c r="BC1695" s="12"/>
      <c r="BD1695" s="12"/>
      <c r="BE1695" s="12"/>
      <c r="BF1695" s="12"/>
      <c r="BG1695" s="12"/>
      <c r="BH1695" s="12"/>
      <c r="BI1695" s="12"/>
      <c r="BJ1695" s="12"/>
      <c r="BK1695" s="12"/>
      <c r="BL1695" s="12"/>
      <c r="BM1695" s="12"/>
      <c r="BN1695" s="12"/>
      <c r="BO1695" s="12"/>
      <c r="BP1695" s="12"/>
      <c r="BQ1695" s="12"/>
      <c r="BR1695" s="12"/>
      <c r="BS1695" s="12"/>
      <c r="BT1695" s="12"/>
    </row>
    <row r="1696" spans="1:72">
      <c r="A1696" s="2" t="s">
        <v>32327</v>
      </c>
      <c r="B1696" s="5" t="s">
        <v>32332</v>
      </c>
      <c r="C1696" s="3" t="s">
        <v>138</v>
      </c>
      <c r="D1696" s="4" t="s">
        <v>32328</v>
      </c>
      <c r="E1696" s="15" t="s">
        <v>32340</v>
      </c>
      <c r="F1696" s="15" t="s">
        <v>4493</v>
      </c>
      <c r="G1696" s="15" t="s">
        <v>162</v>
      </c>
      <c r="H1696" s="7">
        <v>6</v>
      </c>
      <c r="I1696" s="6" t="s">
        <v>32344</v>
      </c>
      <c r="J1696" s="6" t="s">
        <v>45479</v>
      </c>
      <c r="K1696" s="6" t="s">
        <v>39201</v>
      </c>
      <c r="L1696" s="6" t="s">
        <v>40934</v>
      </c>
      <c r="M1696" s="6" t="s">
        <v>45480</v>
      </c>
      <c r="N1696" s="6" t="s">
        <v>45162</v>
      </c>
      <c r="O1696" s="6" t="s">
        <v>45481</v>
      </c>
      <c r="P1696" s="6"/>
      <c r="Q1696" s="6"/>
      <c r="R1696" s="6"/>
      <c r="S1696" s="6"/>
      <c r="T1696" s="6"/>
      <c r="U1696" s="6"/>
      <c r="V1696" s="6"/>
      <c r="W1696" s="6"/>
      <c r="X1696" s="6"/>
      <c r="Y1696" s="6"/>
      <c r="Z1696" s="6"/>
      <c r="AA1696" s="6"/>
      <c r="AB1696" s="6"/>
      <c r="AC1696" s="6"/>
      <c r="AD1696" s="6"/>
      <c r="AE1696" s="6"/>
      <c r="AF1696" s="6"/>
      <c r="AG1696" s="6"/>
      <c r="AH1696" s="6"/>
      <c r="AI1696" s="6"/>
      <c r="AJ1696" s="6"/>
      <c r="AK1696" s="6"/>
      <c r="AL1696" s="6"/>
      <c r="AM1696" s="6"/>
      <c r="AN1696" s="6"/>
      <c r="AO1696" s="6"/>
      <c r="AP1696" s="6"/>
      <c r="AQ1696" s="6"/>
      <c r="AR1696" s="6"/>
      <c r="AS1696" s="6"/>
      <c r="AT1696" s="6"/>
      <c r="AU1696" s="6"/>
      <c r="AV1696" s="6"/>
      <c r="AW1696" s="6"/>
      <c r="AX1696" s="6"/>
      <c r="AY1696" s="6"/>
      <c r="AZ1696" s="6"/>
      <c r="BA1696" s="6"/>
      <c r="BB1696" s="6"/>
      <c r="BC1696" s="6"/>
      <c r="BD1696" s="6"/>
      <c r="BE1696" s="6"/>
      <c r="BF1696" s="6"/>
      <c r="BG1696" s="6"/>
      <c r="BH1696" s="6"/>
      <c r="BI1696" s="6"/>
      <c r="BJ1696" s="6"/>
      <c r="BK1696" s="6"/>
      <c r="BL1696" s="6"/>
      <c r="BM1696" s="6"/>
      <c r="BN1696" s="6"/>
      <c r="BO1696" s="6"/>
      <c r="BP1696" s="6"/>
      <c r="BQ1696" s="6"/>
      <c r="BR1696" s="6"/>
      <c r="BS1696" s="6"/>
      <c r="BT1696" s="6"/>
    </row>
    <row r="1697" spans="1:72">
      <c r="A1697" s="8" t="s">
        <v>32348</v>
      </c>
      <c r="B1697" s="11" t="s">
        <v>32355</v>
      </c>
      <c r="C1697" s="9" t="s">
        <v>32349</v>
      </c>
      <c r="D1697" s="10" t="s">
        <v>32350</v>
      </c>
      <c r="E1697" s="28" t="s">
        <v>310</v>
      </c>
      <c r="F1697" s="28" t="s">
        <v>200</v>
      </c>
      <c r="G1697" s="28" t="s">
        <v>162</v>
      </c>
      <c r="H1697" s="13">
        <v>12</v>
      </c>
      <c r="I1697" s="12" t="s">
        <v>32364</v>
      </c>
      <c r="J1697" s="12" t="s">
        <v>45482</v>
      </c>
      <c r="K1697" s="12" t="s">
        <v>38234</v>
      </c>
      <c r="L1697" s="12" t="s">
        <v>40157</v>
      </c>
      <c r="M1697" s="12" t="s">
        <v>39944</v>
      </c>
      <c r="N1697" s="12" t="s">
        <v>45483</v>
      </c>
      <c r="O1697" s="12" t="s">
        <v>38154</v>
      </c>
      <c r="P1697" s="12" t="s">
        <v>38363</v>
      </c>
      <c r="Q1697" s="12" t="s">
        <v>38813</v>
      </c>
      <c r="R1697" s="12" t="s">
        <v>45484</v>
      </c>
      <c r="S1697" s="12" t="s">
        <v>45485</v>
      </c>
      <c r="T1697" s="12" t="s">
        <v>37974</v>
      </c>
      <c r="U1697" s="12" t="s">
        <v>38628</v>
      </c>
      <c r="V1697" s="12"/>
      <c r="W1697" s="12"/>
      <c r="X1697" s="12"/>
      <c r="Y1697" s="12"/>
      <c r="Z1697" s="12"/>
      <c r="AA1697" s="12"/>
      <c r="AB1697" s="12"/>
      <c r="AC1697" s="12"/>
      <c r="AD1697" s="12"/>
      <c r="AE1697" s="12"/>
      <c r="AF1697" s="12"/>
      <c r="AG1697" s="12"/>
      <c r="AH1697" s="12"/>
      <c r="AI1697" s="12"/>
      <c r="AJ1697" s="12"/>
      <c r="AK1697" s="12"/>
      <c r="AL1697" s="12"/>
      <c r="AM1697" s="12"/>
      <c r="AN1697" s="12"/>
      <c r="AO1697" s="12"/>
      <c r="AP1697" s="12"/>
      <c r="AQ1697" s="12"/>
      <c r="AR1697" s="12"/>
      <c r="AS1697" s="12"/>
      <c r="AT1697" s="12"/>
      <c r="AU1697" s="12"/>
      <c r="AV1697" s="12"/>
      <c r="AW1697" s="12"/>
      <c r="AX1697" s="12"/>
      <c r="AY1697" s="12"/>
      <c r="AZ1697" s="12"/>
      <c r="BA1697" s="12"/>
      <c r="BB1697" s="12"/>
      <c r="BC1697" s="12"/>
      <c r="BD1697" s="12"/>
      <c r="BE1697" s="12"/>
      <c r="BF1697" s="12"/>
      <c r="BG1697" s="12"/>
      <c r="BH1697" s="12"/>
      <c r="BI1697" s="12"/>
      <c r="BJ1697" s="12"/>
      <c r="BK1697" s="12"/>
      <c r="BL1697" s="12"/>
      <c r="BM1697" s="12"/>
      <c r="BN1697" s="12"/>
      <c r="BO1697" s="12"/>
      <c r="BP1697" s="12"/>
      <c r="BQ1697" s="12"/>
      <c r="BR1697" s="12"/>
      <c r="BS1697" s="12"/>
      <c r="BT1697" s="12"/>
    </row>
    <row r="1698" spans="1:72">
      <c r="A1698" s="2" t="s">
        <v>32368</v>
      </c>
      <c r="B1698" s="5" t="s">
        <v>32372</v>
      </c>
      <c r="C1698" s="3" t="s">
        <v>138</v>
      </c>
      <c r="D1698" s="4" t="s">
        <v>138</v>
      </c>
      <c r="E1698" s="15" t="s">
        <v>426</v>
      </c>
      <c r="F1698" s="15" t="s">
        <v>426</v>
      </c>
      <c r="G1698" s="15" t="s">
        <v>162</v>
      </c>
      <c r="H1698" s="7">
        <v>4</v>
      </c>
      <c r="I1698" s="6" t="s">
        <v>32381</v>
      </c>
      <c r="J1698" s="6" t="s">
        <v>45486</v>
      </c>
      <c r="K1698" s="6" t="s">
        <v>45487</v>
      </c>
      <c r="L1698" s="6" t="s">
        <v>45488</v>
      </c>
      <c r="M1698" s="6" t="s">
        <v>37839</v>
      </c>
      <c r="N1698" s="6"/>
      <c r="O1698" s="6"/>
      <c r="P1698" s="6"/>
      <c r="Q1698" s="6"/>
      <c r="R1698" s="6"/>
      <c r="S1698" s="6"/>
      <c r="T1698" s="6"/>
      <c r="U1698" s="6"/>
      <c r="V1698" s="6"/>
      <c r="W1698" s="6"/>
      <c r="X1698" s="6"/>
      <c r="Y1698" s="6"/>
      <c r="Z1698" s="6"/>
      <c r="AA1698" s="6"/>
      <c r="AB1698" s="6"/>
      <c r="AC1698" s="6"/>
      <c r="AD1698" s="6"/>
      <c r="AE1698" s="6"/>
      <c r="AF1698" s="6"/>
      <c r="AG1698" s="6"/>
      <c r="AH1698" s="6"/>
      <c r="AI1698" s="6"/>
      <c r="AJ1698" s="6"/>
      <c r="AK1698" s="6"/>
      <c r="AL1698" s="6"/>
      <c r="AM1698" s="6"/>
      <c r="AN1698" s="6"/>
      <c r="AO1698" s="6"/>
      <c r="AP1698" s="6"/>
      <c r="AQ1698" s="6"/>
      <c r="AR1698" s="6"/>
      <c r="AS1698" s="6"/>
      <c r="AT1698" s="6"/>
      <c r="AU1698" s="6"/>
      <c r="AV1698" s="6"/>
      <c r="AW1698" s="6"/>
      <c r="AX1698" s="6"/>
      <c r="AY1698" s="6"/>
      <c r="AZ1698" s="6"/>
      <c r="BA1698" s="6"/>
      <c r="BB1698" s="6"/>
      <c r="BC1698" s="6"/>
      <c r="BD1698" s="6"/>
      <c r="BE1698" s="6"/>
      <c r="BF1698" s="6"/>
      <c r="BG1698" s="6"/>
      <c r="BH1698" s="6"/>
      <c r="BI1698" s="6"/>
      <c r="BJ1698" s="6"/>
      <c r="BK1698" s="6"/>
      <c r="BL1698" s="6"/>
      <c r="BM1698" s="6"/>
      <c r="BN1698" s="6"/>
      <c r="BO1698" s="6"/>
      <c r="BP1698" s="6"/>
      <c r="BQ1698" s="6"/>
      <c r="BR1698" s="6"/>
      <c r="BS1698" s="6"/>
      <c r="BT1698" s="6"/>
    </row>
    <row r="1699" spans="1:72">
      <c r="A1699" s="8" t="s">
        <v>32385</v>
      </c>
      <c r="B1699" s="11" t="s">
        <v>32390</v>
      </c>
      <c r="C1699" s="9" t="s">
        <v>138</v>
      </c>
      <c r="D1699" s="10" t="s">
        <v>138</v>
      </c>
      <c r="E1699" s="28" t="s">
        <v>426</v>
      </c>
      <c r="F1699" s="28" t="s">
        <v>426</v>
      </c>
      <c r="G1699" s="28" t="s">
        <v>162</v>
      </c>
      <c r="H1699" s="13">
        <v>20</v>
      </c>
      <c r="I1699" s="12" t="s">
        <v>32397</v>
      </c>
      <c r="J1699" s="12" t="s">
        <v>38061</v>
      </c>
      <c r="K1699" s="12" t="s">
        <v>38364</v>
      </c>
      <c r="L1699" s="12" t="s">
        <v>40196</v>
      </c>
      <c r="M1699" s="12" t="s">
        <v>39229</v>
      </c>
      <c r="N1699" s="12" t="s">
        <v>38523</v>
      </c>
      <c r="O1699" s="12" t="s">
        <v>38148</v>
      </c>
      <c r="P1699" s="12" t="s">
        <v>38779</v>
      </c>
      <c r="Q1699" s="12" t="s">
        <v>38057</v>
      </c>
      <c r="R1699" s="12" t="s">
        <v>45489</v>
      </c>
      <c r="S1699" s="12" t="s">
        <v>37922</v>
      </c>
      <c r="T1699" s="12" t="s">
        <v>45490</v>
      </c>
      <c r="U1699" s="12" t="s">
        <v>40538</v>
      </c>
      <c r="V1699" s="12" t="s">
        <v>37884</v>
      </c>
      <c r="W1699" s="12" t="s">
        <v>37824</v>
      </c>
      <c r="X1699" s="12" t="s">
        <v>45315</v>
      </c>
      <c r="Y1699" s="12" t="s">
        <v>40211</v>
      </c>
      <c r="Z1699" s="12" t="s">
        <v>38184</v>
      </c>
      <c r="AA1699" s="12" t="s">
        <v>37892</v>
      </c>
      <c r="AB1699" s="12" t="s">
        <v>37783</v>
      </c>
      <c r="AC1699" s="12" t="s">
        <v>41239</v>
      </c>
      <c r="AD1699" s="12"/>
      <c r="AE1699" s="12"/>
      <c r="AF1699" s="12"/>
      <c r="AG1699" s="12"/>
      <c r="AH1699" s="12"/>
      <c r="AI1699" s="12"/>
      <c r="AJ1699" s="12"/>
      <c r="AK1699" s="12"/>
      <c r="AL1699" s="12"/>
      <c r="AM1699" s="12"/>
      <c r="AN1699" s="12"/>
      <c r="AO1699" s="12"/>
      <c r="AP1699" s="12"/>
      <c r="AQ1699" s="12"/>
      <c r="AR1699" s="12"/>
      <c r="AS1699" s="12"/>
      <c r="AT1699" s="12"/>
      <c r="AU1699" s="12"/>
      <c r="AV1699" s="12"/>
      <c r="AW1699" s="12"/>
      <c r="AX1699" s="12"/>
      <c r="AY1699" s="12"/>
      <c r="AZ1699" s="12"/>
      <c r="BA1699" s="12"/>
      <c r="BB1699" s="12"/>
      <c r="BC1699" s="12"/>
      <c r="BD1699" s="12"/>
      <c r="BE1699" s="12"/>
      <c r="BF1699" s="12"/>
      <c r="BG1699" s="12"/>
      <c r="BH1699" s="12"/>
      <c r="BI1699" s="12"/>
      <c r="BJ1699" s="12"/>
      <c r="BK1699" s="12"/>
      <c r="BL1699" s="12"/>
      <c r="BM1699" s="12"/>
      <c r="BN1699" s="12"/>
      <c r="BO1699" s="12"/>
      <c r="BP1699" s="12"/>
      <c r="BQ1699" s="12"/>
      <c r="BR1699" s="12"/>
      <c r="BS1699" s="12"/>
      <c r="BT1699" s="12"/>
    </row>
    <row r="1700" spans="1:72">
      <c r="A1700" s="2" t="s">
        <v>32402</v>
      </c>
      <c r="B1700" s="5" t="s">
        <v>32405</v>
      </c>
      <c r="C1700" s="3" t="s">
        <v>138</v>
      </c>
      <c r="D1700" s="4" t="s">
        <v>138</v>
      </c>
      <c r="E1700" s="15" t="s">
        <v>5700</v>
      </c>
      <c r="F1700" s="15" t="s">
        <v>138</v>
      </c>
      <c r="G1700" s="15" t="s">
        <v>740</v>
      </c>
      <c r="H1700" s="7" t="s">
        <v>138</v>
      </c>
      <c r="I1700" s="6" t="s">
        <v>138</v>
      </c>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c r="AG1700" s="6"/>
      <c r="AH1700" s="6"/>
      <c r="AI1700" s="6"/>
      <c r="AJ1700" s="6"/>
      <c r="AK1700" s="6"/>
      <c r="AL1700" s="6"/>
      <c r="AM1700" s="6"/>
      <c r="AN1700" s="6"/>
      <c r="AO1700" s="6"/>
      <c r="AP1700" s="6"/>
      <c r="AQ1700" s="6"/>
      <c r="AR1700" s="6"/>
      <c r="AS1700" s="6"/>
      <c r="AT1700" s="6"/>
      <c r="AU1700" s="6"/>
      <c r="AV1700" s="6"/>
      <c r="AW1700" s="6"/>
      <c r="AX1700" s="6"/>
      <c r="AY1700" s="6"/>
      <c r="AZ1700" s="6"/>
      <c r="BA1700" s="6"/>
      <c r="BB1700" s="6"/>
      <c r="BC1700" s="6"/>
      <c r="BD1700" s="6"/>
      <c r="BE1700" s="6"/>
      <c r="BF1700" s="6"/>
      <c r="BG1700" s="6"/>
      <c r="BH1700" s="6"/>
      <c r="BI1700" s="6"/>
      <c r="BJ1700" s="6"/>
      <c r="BK1700" s="6"/>
      <c r="BL1700" s="6"/>
      <c r="BM1700" s="6"/>
      <c r="BN1700" s="6"/>
      <c r="BO1700" s="6"/>
      <c r="BP1700" s="6"/>
      <c r="BQ1700" s="6"/>
      <c r="BR1700" s="6"/>
      <c r="BS1700" s="6"/>
      <c r="BT1700" s="6"/>
    </row>
    <row r="1701" spans="1:72">
      <c r="A1701" s="8" t="s">
        <v>32414</v>
      </c>
      <c r="B1701" s="11" t="s">
        <v>32418</v>
      </c>
      <c r="C1701" s="9" t="s">
        <v>138</v>
      </c>
      <c r="D1701" s="10" t="s">
        <v>138</v>
      </c>
      <c r="E1701" s="28" t="s">
        <v>32426</v>
      </c>
      <c r="F1701" s="28" t="s">
        <v>3883</v>
      </c>
      <c r="G1701" s="28" t="s">
        <v>162</v>
      </c>
      <c r="H1701" s="13">
        <v>1</v>
      </c>
      <c r="I1701" s="12" t="s">
        <v>24301</v>
      </c>
      <c r="J1701" s="12" t="s">
        <v>24301</v>
      </c>
      <c r="K1701" s="12"/>
      <c r="L1701" s="12"/>
      <c r="M1701" s="12"/>
      <c r="N1701" s="12"/>
      <c r="O1701" s="12"/>
      <c r="P1701" s="12"/>
      <c r="Q1701" s="12"/>
      <c r="R1701" s="12"/>
      <c r="S1701" s="12"/>
      <c r="T1701" s="12"/>
      <c r="U1701" s="12"/>
      <c r="V1701" s="12"/>
      <c r="W1701" s="12"/>
      <c r="X1701" s="12"/>
      <c r="Y1701" s="12"/>
      <c r="Z1701" s="12"/>
      <c r="AA1701" s="12"/>
      <c r="AB1701" s="12"/>
      <c r="AC1701" s="12"/>
      <c r="AD1701" s="12"/>
      <c r="AE1701" s="12"/>
      <c r="AF1701" s="12"/>
      <c r="AG1701" s="12"/>
      <c r="AH1701" s="12"/>
      <c r="AI1701" s="12"/>
      <c r="AJ1701" s="12"/>
      <c r="AK1701" s="12"/>
      <c r="AL1701" s="12"/>
      <c r="AM1701" s="12"/>
      <c r="AN1701" s="12"/>
      <c r="AO1701" s="12"/>
      <c r="AP1701" s="12"/>
      <c r="AQ1701" s="12"/>
      <c r="AR1701" s="12"/>
      <c r="AS1701" s="12"/>
      <c r="AT1701" s="12"/>
      <c r="AU1701" s="12"/>
      <c r="AV1701" s="12"/>
      <c r="AW1701" s="12"/>
      <c r="AX1701" s="12"/>
      <c r="AY1701" s="12"/>
      <c r="AZ1701" s="12"/>
      <c r="BA1701" s="12"/>
      <c r="BB1701" s="12"/>
      <c r="BC1701" s="12"/>
      <c r="BD1701" s="12"/>
      <c r="BE1701" s="12"/>
      <c r="BF1701" s="12"/>
      <c r="BG1701" s="12"/>
      <c r="BH1701" s="12"/>
      <c r="BI1701" s="12"/>
      <c r="BJ1701" s="12"/>
      <c r="BK1701" s="12"/>
      <c r="BL1701" s="12"/>
      <c r="BM1701" s="12"/>
      <c r="BN1701" s="12"/>
      <c r="BO1701" s="12"/>
      <c r="BP1701" s="12"/>
      <c r="BQ1701" s="12"/>
      <c r="BR1701" s="12"/>
      <c r="BS1701" s="12"/>
      <c r="BT1701" s="12"/>
    </row>
    <row r="1702" spans="1:72">
      <c r="A1702" s="2" t="s">
        <v>32432</v>
      </c>
      <c r="B1702" s="5" t="s">
        <v>32436</v>
      </c>
      <c r="C1702" s="3" t="s">
        <v>32433</v>
      </c>
      <c r="D1702" s="4" t="s">
        <v>138</v>
      </c>
      <c r="E1702" s="15" t="s">
        <v>14129</v>
      </c>
      <c r="F1702" s="15" t="s">
        <v>14130</v>
      </c>
      <c r="G1702" s="15" t="s">
        <v>2742</v>
      </c>
      <c r="H1702" s="7">
        <v>21</v>
      </c>
      <c r="I1702" s="6" t="s">
        <v>32446</v>
      </c>
      <c r="J1702" s="6" t="s">
        <v>45491</v>
      </c>
      <c r="K1702" s="6" t="s">
        <v>45492</v>
      </c>
      <c r="L1702" s="6" t="s">
        <v>37795</v>
      </c>
      <c r="M1702" s="6" t="s">
        <v>39410</v>
      </c>
      <c r="N1702" s="6" t="s">
        <v>45493</v>
      </c>
      <c r="O1702" s="6" t="s">
        <v>45494</v>
      </c>
      <c r="P1702" s="6" t="s">
        <v>45495</v>
      </c>
      <c r="Q1702" s="6" t="s">
        <v>45496</v>
      </c>
      <c r="R1702" s="6" t="s">
        <v>45497</v>
      </c>
      <c r="S1702" s="6" t="s">
        <v>38444</v>
      </c>
      <c r="T1702" s="6" t="s">
        <v>45498</v>
      </c>
      <c r="U1702" s="6" t="s">
        <v>45499</v>
      </c>
      <c r="V1702" s="6" t="s">
        <v>45500</v>
      </c>
      <c r="W1702" s="6" t="s">
        <v>45501</v>
      </c>
      <c r="X1702" s="6" t="s">
        <v>45502</v>
      </c>
      <c r="Y1702" s="6" t="s">
        <v>45503</v>
      </c>
      <c r="Z1702" s="6" t="s">
        <v>45504</v>
      </c>
      <c r="AA1702" s="6" t="s">
        <v>40247</v>
      </c>
      <c r="AB1702" s="6" t="s">
        <v>45505</v>
      </c>
      <c r="AC1702" s="6" t="s">
        <v>39419</v>
      </c>
      <c r="AD1702" s="6" t="s">
        <v>37976</v>
      </c>
      <c r="AE1702" s="6"/>
      <c r="AF1702" s="6"/>
      <c r="AG1702" s="6"/>
      <c r="AH1702" s="6"/>
      <c r="AI1702" s="6"/>
      <c r="AJ1702" s="6"/>
      <c r="AK1702" s="6"/>
      <c r="AL1702" s="6"/>
      <c r="AM1702" s="6"/>
      <c r="AN1702" s="6"/>
      <c r="AO1702" s="6"/>
      <c r="AP1702" s="6"/>
      <c r="AQ1702" s="6"/>
      <c r="AR1702" s="6"/>
      <c r="AS1702" s="6"/>
      <c r="AT1702" s="6"/>
      <c r="AU1702" s="6"/>
      <c r="AV1702" s="6"/>
      <c r="AW1702" s="6"/>
      <c r="AX1702" s="6"/>
      <c r="AY1702" s="6"/>
      <c r="AZ1702" s="6"/>
      <c r="BA1702" s="6"/>
      <c r="BB1702" s="6"/>
      <c r="BC1702" s="6"/>
      <c r="BD1702" s="6"/>
      <c r="BE1702" s="6"/>
      <c r="BF1702" s="6"/>
      <c r="BG1702" s="6"/>
      <c r="BH1702" s="6"/>
      <c r="BI1702" s="6"/>
      <c r="BJ1702" s="6"/>
      <c r="BK1702" s="6"/>
      <c r="BL1702" s="6"/>
      <c r="BM1702" s="6"/>
      <c r="BN1702" s="6"/>
      <c r="BO1702" s="6"/>
      <c r="BP1702" s="6"/>
      <c r="BQ1702" s="6"/>
      <c r="BR1702" s="6"/>
      <c r="BS1702" s="6"/>
      <c r="BT1702" s="6"/>
    </row>
    <row r="1703" spans="1:72">
      <c r="A1703" s="8" t="s">
        <v>32449</v>
      </c>
      <c r="B1703" s="11" t="s">
        <v>32455</v>
      </c>
      <c r="C1703" s="9" t="s">
        <v>138</v>
      </c>
      <c r="D1703" s="10" t="s">
        <v>138</v>
      </c>
      <c r="E1703" s="28" t="s">
        <v>668</v>
      </c>
      <c r="F1703" s="28" t="s">
        <v>200</v>
      </c>
      <c r="G1703" s="28" t="s">
        <v>162</v>
      </c>
      <c r="H1703" s="13">
        <v>13</v>
      </c>
      <c r="I1703" s="12" t="s">
        <v>32464</v>
      </c>
      <c r="J1703" s="12" t="s">
        <v>45506</v>
      </c>
      <c r="K1703" s="12" t="s">
        <v>45507</v>
      </c>
      <c r="L1703" s="12" t="s">
        <v>45508</v>
      </c>
      <c r="M1703" s="12" t="s">
        <v>45099</v>
      </c>
      <c r="N1703" s="12" t="s">
        <v>39569</v>
      </c>
      <c r="O1703" s="12" t="s">
        <v>37819</v>
      </c>
      <c r="P1703" s="12" t="s">
        <v>45100</v>
      </c>
      <c r="Q1703" s="12" t="s">
        <v>38097</v>
      </c>
      <c r="R1703" s="12" t="s">
        <v>37859</v>
      </c>
      <c r="S1703" s="12" t="s">
        <v>40307</v>
      </c>
      <c r="T1703" s="12" t="s">
        <v>41114</v>
      </c>
      <c r="U1703" s="12" t="s">
        <v>42688</v>
      </c>
      <c r="V1703" s="12" t="s">
        <v>45509</v>
      </c>
      <c r="W1703" s="12"/>
      <c r="X1703" s="12"/>
      <c r="Y1703" s="12"/>
      <c r="Z1703" s="12"/>
      <c r="AA1703" s="12"/>
      <c r="AB1703" s="12"/>
      <c r="AC1703" s="12"/>
      <c r="AD1703" s="12"/>
      <c r="AE1703" s="12"/>
      <c r="AF1703" s="12"/>
      <c r="AG1703" s="12"/>
      <c r="AH1703" s="12"/>
      <c r="AI1703" s="12"/>
      <c r="AJ1703" s="12"/>
      <c r="AK1703" s="12"/>
      <c r="AL1703" s="12"/>
      <c r="AM1703" s="12"/>
      <c r="AN1703" s="12"/>
      <c r="AO1703" s="12"/>
      <c r="AP1703" s="12"/>
      <c r="AQ1703" s="12"/>
      <c r="AR1703" s="12"/>
      <c r="AS1703" s="12"/>
      <c r="AT1703" s="12"/>
      <c r="AU1703" s="12"/>
      <c r="AV1703" s="12"/>
      <c r="AW1703" s="12"/>
      <c r="AX1703" s="12"/>
      <c r="AY1703" s="12"/>
      <c r="AZ1703" s="12"/>
      <c r="BA1703" s="12"/>
      <c r="BB1703" s="12"/>
      <c r="BC1703" s="12"/>
      <c r="BD1703" s="12"/>
      <c r="BE1703" s="12"/>
      <c r="BF1703" s="12"/>
      <c r="BG1703" s="12"/>
      <c r="BH1703" s="12"/>
      <c r="BI1703" s="12"/>
      <c r="BJ1703" s="12"/>
      <c r="BK1703" s="12"/>
      <c r="BL1703" s="12"/>
      <c r="BM1703" s="12"/>
      <c r="BN1703" s="12"/>
      <c r="BO1703" s="12"/>
      <c r="BP1703" s="12"/>
      <c r="BQ1703" s="12"/>
      <c r="BR1703" s="12"/>
      <c r="BS1703" s="12"/>
      <c r="BT1703" s="12"/>
    </row>
    <row r="1704" spans="1:72">
      <c r="A1704" s="2" t="s">
        <v>32468</v>
      </c>
      <c r="B1704" s="5" t="s">
        <v>32473</v>
      </c>
      <c r="C1704" s="3" t="s">
        <v>138</v>
      </c>
      <c r="D1704" s="4" t="s">
        <v>138</v>
      </c>
      <c r="E1704" s="15" t="s">
        <v>668</v>
      </c>
      <c r="F1704" s="15" t="s">
        <v>200</v>
      </c>
      <c r="G1704" s="15" t="s">
        <v>162</v>
      </c>
      <c r="H1704" s="7" t="s">
        <v>138</v>
      </c>
      <c r="I1704" s="6" t="s">
        <v>138</v>
      </c>
      <c r="J1704" s="6"/>
      <c r="K1704" s="6"/>
      <c r="L1704" s="6"/>
      <c r="M1704" s="6"/>
      <c r="N1704" s="6"/>
      <c r="O1704" s="6"/>
      <c r="P1704" s="6"/>
      <c r="Q1704" s="6"/>
      <c r="R1704" s="6"/>
      <c r="S1704" s="6"/>
      <c r="T1704" s="6"/>
      <c r="U1704" s="6"/>
      <c r="V1704" s="6"/>
      <c r="W1704" s="6"/>
      <c r="X1704" s="6"/>
      <c r="Y1704" s="6"/>
      <c r="Z1704" s="6"/>
      <c r="AA1704" s="6"/>
      <c r="AB1704" s="6"/>
      <c r="AC1704" s="6"/>
      <c r="AD1704" s="6"/>
      <c r="AE1704" s="6"/>
      <c r="AF1704" s="6"/>
      <c r="AG1704" s="6"/>
      <c r="AH1704" s="6"/>
      <c r="AI1704" s="6"/>
      <c r="AJ1704" s="6"/>
      <c r="AK1704" s="6"/>
      <c r="AL1704" s="6"/>
      <c r="AM1704" s="6"/>
      <c r="AN1704" s="6"/>
      <c r="AO1704" s="6"/>
      <c r="AP1704" s="6"/>
      <c r="AQ1704" s="6"/>
      <c r="AR1704" s="6"/>
      <c r="AS1704" s="6"/>
      <c r="AT1704" s="6"/>
      <c r="AU1704" s="6"/>
      <c r="AV1704" s="6"/>
      <c r="AW1704" s="6"/>
      <c r="AX1704" s="6"/>
      <c r="AY1704" s="6"/>
      <c r="AZ1704" s="6"/>
      <c r="BA1704" s="6"/>
      <c r="BB1704" s="6"/>
      <c r="BC1704" s="6"/>
      <c r="BD1704" s="6"/>
      <c r="BE1704" s="6"/>
      <c r="BF1704" s="6"/>
      <c r="BG1704" s="6"/>
      <c r="BH1704" s="6"/>
      <c r="BI1704" s="6"/>
      <c r="BJ1704" s="6"/>
      <c r="BK1704" s="6"/>
      <c r="BL1704" s="6"/>
      <c r="BM1704" s="6"/>
      <c r="BN1704" s="6"/>
      <c r="BO1704" s="6"/>
      <c r="BP1704" s="6"/>
      <c r="BQ1704" s="6"/>
      <c r="BR1704" s="6"/>
      <c r="BS1704" s="6"/>
      <c r="BT1704" s="6"/>
    </row>
    <row r="1705" spans="1:72">
      <c r="A1705" s="8" t="s">
        <v>32490</v>
      </c>
      <c r="B1705" s="11" t="s">
        <v>32497</v>
      </c>
      <c r="C1705" s="9" t="s">
        <v>138</v>
      </c>
      <c r="D1705" s="10" t="s">
        <v>32491</v>
      </c>
      <c r="E1705" s="28" t="s">
        <v>426</v>
      </c>
      <c r="F1705" s="28" t="s">
        <v>426</v>
      </c>
      <c r="G1705" s="28" t="s">
        <v>162</v>
      </c>
      <c r="H1705" s="13">
        <v>5</v>
      </c>
      <c r="I1705" s="12" t="s">
        <v>32505</v>
      </c>
      <c r="J1705" s="12" t="s">
        <v>45510</v>
      </c>
      <c r="K1705" s="12" t="s">
        <v>37786</v>
      </c>
      <c r="L1705" s="12" t="s">
        <v>38770</v>
      </c>
      <c r="M1705" s="12" t="s">
        <v>37806</v>
      </c>
      <c r="N1705" s="12" t="s">
        <v>38145</v>
      </c>
      <c r="O1705" s="12"/>
      <c r="P1705" s="12"/>
      <c r="Q1705" s="12"/>
      <c r="R1705" s="12"/>
      <c r="S1705" s="12"/>
      <c r="T1705" s="12"/>
      <c r="U1705" s="12"/>
      <c r="V1705" s="12"/>
      <c r="W1705" s="12"/>
      <c r="X1705" s="12"/>
      <c r="Y1705" s="12"/>
      <c r="Z1705" s="12"/>
      <c r="AA1705" s="12"/>
      <c r="AB1705" s="12"/>
      <c r="AC1705" s="12"/>
      <c r="AD1705" s="12"/>
      <c r="AE1705" s="12"/>
      <c r="AF1705" s="12"/>
      <c r="AG1705" s="12"/>
      <c r="AH1705" s="12"/>
      <c r="AI1705" s="12"/>
      <c r="AJ1705" s="12"/>
      <c r="AK1705" s="12"/>
      <c r="AL1705" s="12"/>
      <c r="AM1705" s="12"/>
      <c r="AN1705" s="12"/>
      <c r="AO1705" s="12"/>
      <c r="AP1705" s="12"/>
      <c r="AQ1705" s="12"/>
      <c r="AR1705" s="12"/>
      <c r="AS1705" s="12"/>
      <c r="AT1705" s="12"/>
      <c r="AU1705" s="12"/>
      <c r="AV1705" s="12"/>
      <c r="AW1705" s="12"/>
      <c r="AX1705" s="12"/>
      <c r="AY1705" s="12"/>
      <c r="AZ1705" s="12"/>
      <c r="BA1705" s="12"/>
      <c r="BB1705" s="12"/>
      <c r="BC1705" s="12"/>
      <c r="BD1705" s="12"/>
      <c r="BE1705" s="12"/>
      <c r="BF1705" s="12"/>
      <c r="BG1705" s="12"/>
      <c r="BH1705" s="12"/>
      <c r="BI1705" s="12"/>
      <c r="BJ1705" s="12"/>
      <c r="BK1705" s="12"/>
      <c r="BL1705" s="12"/>
      <c r="BM1705" s="12"/>
      <c r="BN1705" s="12"/>
      <c r="BO1705" s="12"/>
      <c r="BP1705" s="12"/>
      <c r="BQ1705" s="12"/>
      <c r="BR1705" s="12"/>
      <c r="BS1705" s="12"/>
      <c r="BT1705" s="12"/>
    </row>
    <row r="1706" spans="1:72">
      <c r="A1706" s="2" t="s">
        <v>32511</v>
      </c>
      <c r="B1706" s="5" t="s">
        <v>32515</v>
      </c>
      <c r="C1706" s="3" t="s">
        <v>138</v>
      </c>
      <c r="D1706" s="4" t="s">
        <v>138</v>
      </c>
      <c r="E1706" s="15" t="s">
        <v>32523</v>
      </c>
      <c r="F1706" s="15" t="s">
        <v>864</v>
      </c>
      <c r="G1706" s="15" t="s">
        <v>162</v>
      </c>
      <c r="H1706" s="7">
        <v>2</v>
      </c>
      <c r="I1706" s="6" t="s">
        <v>32527</v>
      </c>
      <c r="J1706" s="6" t="s">
        <v>45511</v>
      </c>
      <c r="K1706" s="6" t="s">
        <v>38011</v>
      </c>
      <c r="L1706" s="6"/>
      <c r="M1706" s="6"/>
      <c r="N1706" s="6"/>
      <c r="O1706" s="6"/>
      <c r="P1706" s="6"/>
      <c r="Q1706" s="6"/>
      <c r="R1706" s="6"/>
      <c r="S1706" s="6"/>
      <c r="T1706" s="6"/>
      <c r="U1706" s="6"/>
      <c r="V1706" s="6"/>
      <c r="W1706" s="6"/>
      <c r="X1706" s="6"/>
      <c r="Y1706" s="6"/>
      <c r="Z1706" s="6"/>
      <c r="AA1706" s="6"/>
      <c r="AB1706" s="6"/>
      <c r="AC1706" s="6"/>
      <c r="AD1706" s="6"/>
      <c r="AE1706" s="6"/>
      <c r="AF1706" s="6"/>
      <c r="AG1706" s="6"/>
      <c r="AH1706" s="6"/>
      <c r="AI1706" s="6"/>
      <c r="AJ1706" s="6"/>
      <c r="AK1706" s="6"/>
      <c r="AL1706" s="6"/>
      <c r="AM1706" s="6"/>
      <c r="AN1706" s="6"/>
      <c r="AO1706" s="6"/>
      <c r="AP1706" s="6"/>
      <c r="AQ1706" s="6"/>
      <c r="AR1706" s="6"/>
      <c r="AS1706" s="6"/>
      <c r="AT1706" s="6"/>
      <c r="AU1706" s="6"/>
      <c r="AV1706" s="6"/>
      <c r="AW1706" s="6"/>
      <c r="AX1706" s="6"/>
      <c r="AY1706" s="6"/>
      <c r="AZ1706" s="6"/>
      <c r="BA1706" s="6"/>
      <c r="BB1706" s="6"/>
      <c r="BC1706" s="6"/>
      <c r="BD1706" s="6"/>
      <c r="BE1706" s="6"/>
      <c r="BF1706" s="6"/>
      <c r="BG1706" s="6"/>
      <c r="BH1706" s="6"/>
      <c r="BI1706" s="6"/>
      <c r="BJ1706" s="6"/>
      <c r="BK1706" s="6"/>
      <c r="BL1706" s="6"/>
      <c r="BM1706" s="6"/>
      <c r="BN1706" s="6"/>
      <c r="BO1706" s="6"/>
      <c r="BP1706" s="6"/>
      <c r="BQ1706" s="6"/>
      <c r="BR1706" s="6"/>
      <c r="BS1706" s="6"/>
      <c r="BT1706" s="6"/>
    </row>
    <row r="1707" spans="1:72">
      <c r="A1707" s="8" t="s">
        <v>32529</v>
      </c>
      <c r="B1707" s="11" t="s">
        <v>32533</v>
      </c>
      <c r="C1707" s="9" t="s">
        <v>138</v>
      </c>
      <c r="D1707" s="10" t="s">
        <v>138</v>
      </c>
      <c r="E1707" s="28" t="s">
        <v>32538</v>
      </c>
      <c r="F1707" s="28" t="s">
        <v>13654</v>
      </c>
      <c r="G1707" s="28" t="s">
        <v>8999</v>
      </c>
      <c r="H1707" s="13">
        <v>6</v>
      </c>
      <c r="I1707" s="12" t="s">
        <v>32544</v>
      </c>
      <c r="J1707" s="12" t="s">
        <v>45512</v>
      </c>
      <c r="K1707" s="12" t="s">
        <v>39314</v>
      </c>
      <c r="L1707" s="12" t="s">
        <v>45513</v>
      </c>
      <c r="M1707" s="12" t="s">
        <v>40471</v>
      </c>
      <c r="N1707" s="12" t="s">
        <v>45514</v>
      </c>
      <c r="O1707" s="12" t="s">
        <v>45515</v>
      </c>
      <c r="P1707" s="12"/>
      <c r="Q1707" s="12"/>
      <c r="R1707" s="12"/>
      <c r="S1707" s="12"/>
      <c r="T1707" s="12"/>
      <c r="U1707" s="12"/>
      <c r="V1707" s="12"/>
      <c r="W1707" s="12"/>
      <c r="X1707" s="12"/>
      <c r="Y1707" s="12"/>
      <c r="Z1707" s="12"/>
      <c r="AA1707" s="12"/>
      <c r="AB1707" s="12"/>
      <c r="AC1707" s="12"/>
      <c r="AD1707" s="12"/>
      <c r="AE1707" s="12"/>
      <c r="AF1707" s="12"/>
      <c r="AG1707" s="12"/>
      <c r="AH1707" s="12"/>
      <c r="AI1707" s="12"/>
      <c r="AJ1707" s="12"/>
      <c r="AK1707" s="12"/>
      <c r="AL1707" s="12"/>
      <c r="AM1707" s="12"/>
      <c r="AN1707" s="12"/>
      <c r="AO1707" s="12"/>
      <c r="AP1707" s="12"/>
      <c r="AQ1707" s="12"/>
      <c r="AR1707" s="12"/>
      <c r="AS1707" s="12"/>
      <c r="AT1707" s="12"/>
      <c r="AU1707" s="12"/>
      <c r="AV1707" s="12"/>
      <c r="AW1707" s="12"/>
      <c r="AX1707" s="12"/>
      <c r="AY1707" s="12"/>
      <c r="AZ1707" s="12"/>
      <c r="BA1707" s="12"/>
      <c r="BB1707" s="12"/>
      <c r="BC1707" s="12"/>
      <c r="BD1707" s="12"/>
      <c r="BE1707" s="12"/>
      <c r="BF1707" s="12"/>
      <c r="BG1707" s="12"/>
      <c r="BH1707" s="12"/>
      <c r="BI1707" s="12"/>
      <c r="BJ1707" s="12"/>
      <c r="BK1707" s="12"/>
      <c r="BL1707" s="12"/>
      <c r="BM1707" s="12"/>
      <c r="BN1707" s="12"/>
      <c r="BO1707" s="12"/>
      <c r="BP1707" s="12"/>
      <c r="BQ1707" s="12"/>
      <c r="BR1707" s="12"/>
      <c r="BS1707" s="12"/>
      <c r="BT1707" s="12"/>
    </row>
    <row r="1708" spans="1:72">
      <c r="A1708" s="2" t="s">
        <v>32547</v>
      </c>
      <c r="B1708" s="5" t="s">
        <v>32551</v>
      </c>
      <c r="C1708" s="3" t="s">
        <v>138</v>
      </c>
      <c r="D1708" s="4" t="s">
        <v>138</v>
      </c>
      <c r="E1708" s="15" t="s">
        <v>5700</v>
      </c>
      <c r="F1708" s="15" t="s">
        <v>138</v>
      </c>
      <c r="G1708" s="15" t="s">
        <v>740</v>
      </c>
      <c r="H1708" s="7">
        <v>7</v>
      </c>
      <c r="I1708" s="6" t="s">
        <v>32557</v>
      </c>
      <c r="J1708" s="6" t="s">
        <v>45516</v>
      </c>
      <c r="K1708" s="6" t="s">
        <v>38515</v>
      </c>
      <c r="L1708" s="6" t="s">
        <v>39394</v>
      </c>
      <c r="M1708" s="6" t="s">
        <v>38050</v>
      </c>
      <c r="N1708" s="6" t="s">
        <v>37890</v>
      </c>
      <c r="O1708" s="6" t="s">
        <v>38625</v>
      </c>
      <c r="P1708" s="6" t="s">
        <v>38787</v>
      </c>
      <c r="Q1708" s="6"/>
      <c r="R1708" s="6"/>
      <c r="S1708" s="6"/>
      <c r="T1708" s="6"/>
      <c r="U1708" s="6"/>
      <c r="V1708" s="6"/>
      <c r="W1708" s="6"/>
      <c r="X1708" s="6"/>
      <c r="Y1708" s="6"/>
      <c r="Z1708" s="6"/>
      <c r="AA1708" s="6"/>
      <c r="AB1708" s="6"/>
      <c r="AC1708" s="6"/>
      <c r="AD1708" s="6"/>
      <c r="AE1708" s="6"/>
      <c r="AF1708" s="6"/>
      <c r="AG1708" s="6"/>
      <c r="AH1708" s="6"/>
      <c r="AI1708" s="6"/>
      <c r="AJ1708" s="6"/>
      <c r="AK1708" s="6"/>
      <c r="AL1708" s="6"/>
      <c r="AM1708" s="6"/>
      <c r="AN1708" s="6"/>
      <c r="AO1708" s="6"/>
      <c r="AP1708" s="6"/>
      <c r="AQ1708" s="6"/>
      <c r="AR1708" s="6"/>
      <c r="AS1708" s="6"/>
      <c r="AT1708" s="6"/>
      <c r="AU1708" s="6"/>
      <c r="AV1708" s="6"/>
      <c r="AW1708" s="6"/>
      <c r="AX1708" s="6"/>
      <c r="AY1708" s="6"/>
      <c r="AZ1708" s="6"/>
      <c r="BA1708" s="6"/>
      <c r="BB1708" s="6"/>
      <c r="BC1708" s="6"/>
      <c r="BD1708" s="6"/>
      <c r="BE1708" s="6"/>
      <c r="BF1708" s="6"/>
      <c r="BG1708" s="6"/>
      <c r="BH1708" s="6"/>
      <c r="BI1708" s="6"/>
      <c r="BJ1708" s="6"/>
      <c r="BK1708" s="6"/>
      <c r="BL1708" s="6"/>
      <c r="BM1708" s="6"/>
      <c r="BN1708" s="6"/>
      <c r="BO1708" s="6"/>
      <c r="BP1708" s="6"/>
      <c r="BQ1708" s="6"/>
      <c r="BR1708" s="6"/>
      <c r="BS1708" s="6"/>
      <c r="BT1708" s="6"/>
    </row>
    <row r="1709" spans="1:72">
      <c r="A1709" s="8" t="s">
        <v>32560</v>
      </c>
      <c r="B1709" s="11" t="s">
        <v>32565</v>
      </c>
      <c r="C1709" s="9" t="s">
        <v>138</v>
      </c>
      <c r="D1709" s="10" t="s">
        <v>138</v>
      </c>
      <c r="E1709" s="28" t="s">
        <v>668</v>
      </c>
      <c r="F1709" s="28" t="s">
        <v>200</v>
      </c>
      <c r="G1709" s="28" t="s">
        <v>162</v>
      </c>
      <c r="H1709" s="13">
        <v>26</v>
      </c>
      <c r="I1709" s="12" t="s">
        <v>32574</v>
      </c>
      <c r="J1709" s="12" t="s">
        <v>42374</v>
      </c>
      <c r="K1709" s="12" t="s">
        <v>44216</v>
      </c>
      <c r="L1709" s="12" t="s">
        <v>42376</v>
      </c>
      <c r="M1709" s="12" t="s">
        <v>40199</v>
      </c>
      <c r="N1709" s="12" t="s">
        <v>39702</v>
      </c>
      <c r="O1709" s="12" t="s">
        <v>40011</v>
      </c>
      <c r="P1709" s="12" t="s">
        <v>38914</v>
      </c>
      <c r="Q1709" s="12" t="s">
        <v>37947</v>
      </c>
      <c r="R1709" s="12" t="s">
        <v>42869</v>
      </c>
      <c r="S1709" s="12" t="s">
        <v>37949</v>
      </c>
      <c r="T1709" s="12" t="s">
        <v>45517</v>
      </c>
      <c r="U1709" s="12" t="s">
        <v>38721</v>
      </c>
      <c r="V1709" s="12" t="s">
        <v>37787</v>
      </c>
      <c r="W1709" s="12" t="s">
        <v>44835</v>
      </c>
      <c r="X1709" s="12" t="s">
        <v>38017</v>
      </c>
      <c r="Y1709" s="12" t="s">
        <v>37922</v>
      </c>
      <c r="Z1709" s="12" t="s">
        <v>39927</v>
      </c>
      <c r="AA1709" s="12" t="s">
        <v>39724</v>
      </c>
      <c r="AB1709" s="12" t="s">
        <v>39362</v>
      </c>
      <c r="AC1709" s="12" t="s">
        <v>40512</v>
      </c>
      <c r="AD1709" s="12" t="s">
        <v>45518</v>
      </c>
      <c r="AE1709" s="12" t="s">
        <v>38140</v>
      </c>
      <c r="AF1709" s="12" t="s">
        <v>38750</v>
      </c>
      <c r="AG1709" s="12" t="s">
        <v>38030</v>
      </c>
      <c r="AH1709" s="12" t="s">
        <v>45519</v>
      </c>
      <c r="AI1709" s="12" t="s">
        <v>38145</v>
      </c>
      <c r="AJ1709" s="12"/>
      <c r="AK1709" s="12"/>
      <c r="AL1709" s="12"/>
      <c r="AM1709" s="12"/>
      <c r="AN1709" s="12"/>
      <c r="AO1709" s="12"/>
      <c r="AP1709" s="12"/>
      <c r="AQ1709" s="12"/>
      <c r="AR1709" s="12"/>
      <c r="AS1709" s="12"/>
      <c r="AT1709" s="12"/>
      <c r="AU1709" s="12"/>
      <c r="AV1709" s="12"/>
      <c r="AW1709" s="12"/>
      <c r="AX1709" s="12"/>
      <c r="AY1709" s="12"/>
      <c r="AZ1709" s="12"/>
      <c r="BA1709" s="12"/>
      <c r="BB1709" s="12"/>
      <c r="BC1709" s="12"/>
      <c r="BD1709" s="12"/>
      <c r="BE1709" s="12"/>
      <c r="BF1709" s="12"/>
      <c r="BG1709" s="12"/>
      <c r="BH1709" s="12"/>
      <c r="BI1709" s="12"/>
      <c r="BJ1709" s="12"/>
      <c r="BK1709" s="12"/>
      <c r="BL1709" s="12"/>
      <c r="BM1709" s="12"/>
      <c r="BN1709" s="12"/>
      <c r="BO1709" s="12"/>
      <c r="BP1709" s="12"/>
      <c r="BQ1709" s="12"/>
      <c r="BR1709" s="12"/>
      <c r="BS1709" s="12"/>
      <c r="BT1709" s="12"/>
    </row>
    <row r="1710" spans="1:72">
      <c r="A1710" s="2" t="s">
        <v>32577</v>
      </c>
      <c r="B1710" s="5" t="s">
        <v>32582</v>
      </c>
      <c r="C1710" s="3" t="s">
        <v>138</v>
      </c>
      <c r="D1710" s="4" t="s">
        <v>138</v>
      </c>
      <c r="E1710" s="15" t="s">
        <v>5700</v>
      </c>
      <c r="F1710" s="15" t="s">
        <v>138</v>
      </c>
      <c r="G1710" s="15" t="s">
        <v>740</v>
      </c>
      <c r="H1710" s="7">
        <v>11</v>
      </c>
      <c r="I1710" s="6" t="s">
        <v>32591</v>
      </c>
      <c r="J1710" s="6" t="s">
        <v>43793</v>
      </c>
      <c r="K1710" s="6" t="s">
        <v>45520</v>
      </c>
      <c r="L1710" s="6" t="s">
        <v>45521</v>
      </c>
      <c r="M1710" s="6" t="s">
        <v>45522</v>
      </c>
      <c r="N1710" s="6" t="s">
        <v>45523</v>
      </c>
      <c r="O1710" s="6" t="s">
        <v>37839</v>
      </c>
      <c r="P1710" s="6" t="s">
        <v>45261</v>
      </c>
      <c r="Q1710" s="6" t="s">
        <v>40319</v>
      </c>
      <c r="R1710" s="6" t="s">
        <v>37781</v>
      </c>
      <c r="S1710" s="6" t="s">
        <v>45524</v>
      </c>
      <c r="T1710" s="6" t="s">
        <v>42502</v>
      </c>
      <c r="U1710" s="6"/>
      <c r="V1710" s="6"/>
      <c r="W1710" s="6"/>
      <c r="X1710" s="6"/>
      <c r="Y1710" s="6"/>
      <c r="Z1710" s="6"/>
      <c r="AA1710" s="6"/>
      <c r="AB1710" s="6"/>
      <c r="AC1710" s="6"/>
      <c r="AD1710" s="6"/>
      <c r="AE1710" s="6"/>
      <c r="AF1710" s="6"/>
      <c r="AG1710" s="6"/>
      <c r="AH1710" s="6"/>
      <c r="AI1710" s="6"/>
      <c r="AJ1710" s="6"/>
      <c r="AK1710" s="6"/>
      <c r="AL1710" s="6"/>
      <c r="AM1710" s="6"/>
      <c r="AN1710" s="6"/>
      <c r="AO1710" s="6"/>
      <c r="AP1710" s="6"/>
      <c r="AQ1710" s="6"/>
      <c r="AR1710" s="6"/>
      <c r="AS1710" s="6"/>
      <c r="AT1710" s="6"/>
      <c r="AU1710" s="6"/>
      <c r="AV1710" s="6"/>
      <c r="AW1710" s="6"/>
      <c r="AX1710" s="6"/>
      <c r="AY1710" s="6"/>
      <c r="AZ1710" s="6"/>
      <c r="BA1710" s="6"/>
      <c r="BB1710" s="6"/>
      <c r="BC1710" s="6"/>
      <c r="BD1710" s="6"/>
      <c r="BE1710" s="6"/>
      <c r="BF1710" s="6"/>
      <c r="BG1710" s="6"/>
      <c r="BH1710" s="6"/>
      <c r="BI1710" s="6"/>
      <c r="BJ1710" s="6"/>
      <c r="BK1710" s="6"/>
      <c r="BL1710" s="6"/>
      <c r="BM1710" s="6"/>
      <c r="BN1710" s="6"/>
      <c r="BO1710" s="6"/>
      <c r="BP1710" s="6"/>
      <c r="BQ1710" s="6"/>
      <c r="BR1710" s="6"/>
      <c r="BS1710" s="6"/>
      <c r="BT1710" s="6"/>
    </row>
    <row r="1711" spans="1:72">
      <c r="A1711" s="8" t="s">
        <v>32594</v>
      </c>
      <c r="B1711" s="11" t="s">
        <v>32601</v>
      </c>
      <c r="C1711" s="9" t="s">
        <v>32595</v>
      </c>
      <c r="D1711" s="10" t="s">
        <v>138</v>
      </c>
      <c r="E1711" s="28" t="s">
        <v>3330</v>
      </c>
      <c r="F1711" s="28" t="s">
        <v>200</v>
      </c>
      <c r="G1711" s="28" t="s">
        <v>162</v>
      </c>
      <c r="H1711" s="13">
        <v>21</v>
      </c>
      <c r="I1711" s="12" t="s">
        <v>32613</v>
      </c>
      <c r="J1711" s="12" t="s">
        <v>45525</v>
      </c>
      <c r="K1711" s="12" t="s">
        <v>42818</v>
      </c>
      <c r="L1711" s="12" t="s">
        <v>45526</v>
      </c>
      <c r="M1711" s="12" t="s">
        <v>45527</v>
      </c>
      <c r="N1711" s="12" t="s">
        <v>40029</v>
      </c>
      <c r="O1711" s="12" t="s">
        <v>45528</v>
      </c>
      <c r="P1711" s="12" t="s">
        <v>45529</v>
      </c>
      <c r="Q1711" s="12" t="s">
        <v>39020</v>
      </c>
      <c r="R1711" s="12" t="s">
        <v>45530</v>
      </c>
      <c r="S1711" s="12" t="s">
        <v>37846</v>
      </c>
      <c r="T1711" s="12" t="s">
        <v>40148</v>
      </c>
      <c r="U1711" s="12" t="s">
        <v>38076</v>
      </c>
      <c r="V1711" s="12" t="s">
        <v>43207</v>
      </c>
      <c r="W1711" s="12" t="s">
        <v>45531</v>
      </c>
      <c r="X1711" s="12" t="s">
        <v>39463</v>
      </c>
      <c r="Y1711" s="12" t="s">
        <v>38150</v>
      </c>
      <c r="Z1711" s="12" t="s">
        <v>40583</v>
      </c>
      <c r="AA1711" s="12" t="s">
        <v>42642</v>
      </c>
      <c r="AB1711" s="12" t="s">
        <v>38502</v>
      </c>
      <c r="AC1711" s="12" t="s">
        <v>39143</v>
      </c>
      <c r="AD1711" s="12" t="s">
        <v>39467</v>
      </c>
      <c r="AE1711" s="12"/>
      <c r="AF1711" s="12"/>
      <c r="AG1711" s="12"/>
      <c r="AH1711" s="12"/>
      <c r="AI1711" s="12"/>
      <c r="AJ1711" s="12"/>
      <c r="AK1711" s="12"/>
      <c r="AL1711" s="12"/>
      <c r="AM1711" s="12"/>
      <c r="AN1711" s="12"/>
      <c r="AO1711" s="12"/>
      <c r="AP1711" s="12"/>
      <c r="AQ1711" s="12"/>
      <c r="AR1711" s="12"/>
      <c r="AS1711" s="12"/>
      <c r="AT1711" s="12"/>
      <c r="AU1711" s="12"/>
      <c r="AV1711" s="12"/>
      <c r="AW1711" s="12"/>
      <c r="AX1711" s="12"/>
      <c r="AY1711" s="12"/>
      <c r="AZ1711" s="12"/>
      <c r="BA1711" s="12"/>
      <c r="BB1711" s="12"/>
      <c r="BC1711" s="12"/>
      <c r="BD1711" s="12"/>
      <c r="BE1711" s="12"/>
      <c r="BF1711" s="12"/>
      <c r="BG1711" s="12"/>
      <c r="BH1711" s="12"/>
      <c r="BI1711" s="12"/>
      <c r="BJ1711" s="12"/>
      <c r="BK1711" s="12"/>
      <c r="BL1711" s="12"/>
      <c r="BM1711" s="12"/>
      <c r="BN1711" s="12"/>
      <c r="BO1711" s="12"/>
      <c r="BP1711" s="12"/>
      <c r="BQ1711" s="12"/>
      <c r="BR1711" s="12"/>
      <c r="BS1711" s="12"/>
      <c r="BT1711" s="12"/>
    </row>
    <row r="1712" spans="1:72">
      <c r="A1712" s="2" t="s">
        <v>32617</v>
      </c>
      <c r="B1712" s="5" t="s">
        <v>32621</v>
      </c>
      <c r="C1712" s="3" t="s">
        <v>138</v>
      </c>
      <c r="D1712" s="4" t="s">
        <v>138</v>
      </c>
      <c r="E1712" s="15" t="s">
        <v>138</v>
      </c>
      <c r="F1712" s="15" t="s">
        <v>138</v>
      </c>
      <c r="G1712" s="15" t="s">
        <v>138</v>
      </c>
      <c r="H1712" s="7">
        <v>3</v>
      </c>
      <c r="I1712" s="6" t="s">
        <v>32627</v>
      </c>
      <c r="J1712" s="6" t="s">
        <v>25482</v>
      </c>
      <c r="K1712" s="6" t="s">
        <v>39572</v>
      </c>
      <c r="L1712" s="6" t="s">
        <v>38582</v>
      </c>
      <c r="M1712" s="6"/>
      <c r="N1712" s="6"/>
      <c r="O1712" s="6"/>
      <c r="P1712" s="6"/>
      <c r="Q1712" s="6"/>
      <c r="R1712" s="6"/>
      <c r="S1712" s="6"/>
      <c r="T1712" s="6"/>
      <c r="U1712" s="6"/>
      <c r="V1712" s="6"/>
      <c r="W1712" s="6"/>
      <c r="X1712" s="6"/>
      <c r="Y1712" s="6"/>
      <c r="Z1712" s="6"/>
      <c r="AA1712" s="6"/>
      <c r="AB1712" s="6"/>
      <c r="AC1712" s="6"/>
      <c r="AD1712" s="6"/>
      <c r="AE1712" s="6"/>
      <c r="AF1712" s="6"/>
      <c r="AG1712" s="6"/>
      <c r="AH1712" s="6"/>
      <c r="AI1712" s="6"/>
      <c r="AJ1712" s="6"/>
      <c r="AK1712" s="6"/>
      <c r="AL1712" s="6"/>
      <c r="AM1712" s="6"/>
      <c r="AN1712" s="6"/>
      <c r="AO1712" s="6"/>
      <c r="AP1712" s="6"/>
      <c r="AQ1712" s="6"/>
      <c r="AR1712" s="6"/>
      <c r="AS1712" s="6"/>
      <c r="AT1712" s="6"/>
      <c r="AU1712" s="6"/>
      <c r="AV1712" s="6"/>
      <c r="AW1712" s="6"/>
      <c r="AX1712" s="6"/>
      <c r="AY1712" s="6"/>
      <c r="AZ1712" s="6"/>
      <c r="BA1712" s="6"/>
      <c r="BB1712" s="6"/>
      <c r="BC1712" s="6"/>
      <c r="BD1712" s="6"/>
      <c r="BE1712" s="6"/>
      <c r="BF1712" s="6"/>
      <c r="BG1712" s="6"/>
      <c r="BH1712" s="6"/>
      <c r="BI1712" s="6"/>
      <c r="BJ1712" s="6"/>
      <c r="BK1712" s="6"/>
      <c r="BL1712" s="6"/>
      <c r="BM1712" s="6"/>
      <c r="BN1712" s="6"/>
      <c r="BO1712" s="6"/>
      <c r="BP1712" s="6"/>
      <c r="BQ1712" s="6"/>
      <c r="BR1712" s="6"/>
      <c r="BS1712" s="6"/>
      <c r="BT1712" s="6"/>
    </row>
    <row r="1713" spans="1:72">
      <c r="A1713" s="8" t="s">
        <v>32630</v>
      </c>
      <c r="B1713" s="11" t="s">
        <v>32636</v>
      </c>
      <c r="C1713" s="9" t="s">
        <v>138</v>
      </c>
      <c r="D1713" s="10" t="s">
        <v>138</v>
      </c>
      <c r="E1713" s="28" t="s">
        <v>32645</v>
      </c>
      <c r="F1713" s="28" t="s">
        <v>426</v>
      </c>
      <c r="G1713" s="28" t="s">
        <v>162</v>
      </c>
      <c r="H1713" s="13">
        <v>14</v>
      </c>
      <c r="I1713" s="12" t="s">
        <v>32650</v>
      </c>
      <c r="J1713" s="12" t="s">
        <v>44154</v>
      </c>
      <c r="K1713" s="12" t="s">
        <v>38365</v>
      </c>
      <c r="L1713" s="12" t="s">
        <v>42879</v>
      </c>
      <c r="M1713" s="12" t="s">
        <v>40261</v>
      </c>
      <c r="N1713" s="12" t="s">
        <v>39332</v>
      </c>
      <c r="O1713" s="12" t="s">
        <v>38011</v>
      </c>
      <c r="P1713" s="12" t="s">
        <v>38474</v>
      </c>
      <c r="Q1713" s="12" t="s">
        <v>38476</v>
      </c>
      <c r="R1713" s="12" t="s">
        <v>38099</v>
      </c>
      <c r="S1713" s="12" t="s">
        <v>41328</v>
      </c>
      <c r="T1713" s="12" t="s">
        <v>45532</v>
      </c>
      <c r="U1713" s="12" t="s">
        <v>45533</v>
      </c>
      <c r="V1713" s="12" t="s">
        <v>38582</v>
      </c>
      <c r="W1713" s="12" t="s">
        <v>43711</v>
      </c>
      <c r="X1713" s="12"/>
      <c r="Y1713" s="12"/>
      <c r="Z1713" s="12"/>
      <c r="AA1713" s="12"/>
      <c r="AB1713" s="12"/>
      <c r="AC1713" s="12"/>
      <c r="AD1713" s="12"/>
      <c r="AE1713" s="12"/>
      <c r="AF1713" s="12"/>
      <c r="AG1713" s="12"/>
      <c r="AH1713" s="12"/>
      <c r="AI1713" s="12"/>
      <c r="AJ1713" s="12"/>
      <c r="AK1713" s="12"/>
      <c r="AL1713" s="12"/>
      <c r="AM1713" s="12"/>
      <c r="AN1713" s="12"/>
      <c r="AO1713" s="12"/>
      <c r="AP1713" s="12"/>
      <c r="AQ1713" s="12"/>
      <c r="AR1713" s="12"/>
      <c r="AS1713" s="12"/>
      <c r="AT1713" s="12"/>
      <c r="AU1713" s="12"/>
      <c r="AV1713" s="12"/>
      <c r="AW1713" s="12"/>
      <c r="AX1713" s="12"/>
      <c r="AY1713" s="12"/>
      <c r="AZ1713" s="12"/>
      <c r="BA1713" s="12"/>
      <c r="BB1713" s="12"/>
      <c r="BC1713" s="12"/>
      <c r="BD1713" s="12"/>
      <c r="BE1713" s="12"/>
      <c r="BF1713" s="12"/>
      <c r="BG1713" s="12"/>
      <c r="BH1713" s="12"/>
      <c r="BI1713" s="12"/>
      <c r="BJ1713" s="12"/>
      <c r="BK1713" s="12"/>
      <c r="BL1713" s="12"/>
      <c r="BM1713" s="12"/>
      <c r="BN1713" s="12"/>
      <c r="BO1713" s="12"/>
      <c r="BP1713" s="12"/>
      <c r="BQ1713" s="12"/>
      <c r="BR1713" s="12"/>
      <c r="BS1713" s="12"/>
      <c r="BT1713" s="12"/>
    </row>
    <row r="1714" spans="1:72">
      <c r="A1714" s="2" t="s">
        <v>32654</v>
      </c>
      <c r="B1714" s="5" t="s">
        <v>32657</v>
      </c>
      <c r="C1714" s="3" t="s">
        <v>138</v>
      </c>
      <c r="D1714" s="4" t="s">
        <v>138</v>
      </c>
      <c r="E1714" s="15" t="s">
        <v>944</v>
      </c>
      <c r="F1714" s="15" t="s">
        <v>138</v>
      </c>
      <c r="G1714" s="15" t="s">
        <v>946</v>
      </c>
      <c r="H1714" s="7">
        <v>2</v>
      </c>
      <c r="I1714" s="6" t="s">
        <v>32664</v>
      </c>
      <c r="J1714" s="6" t="s">
        <v>38660</v>
      </c>
      <c r="K1714" s="6" t="s">
        <v>38089</v>
      </c>
      <c r="L1714" s="6"/>
      <c r="M1714" s="6"/>
      <c r="N1714" s="6"/>
      <c r="O1714" s="6"/>
      <c r="P1714" s="6"/>
      <c r="Q1714" s="6"/>
      <c r="R1714" s="6"/>
      <c r="S1714" s="6"/>
      <c r="T1714" s="6"/>
      <c r="U1714" s="6"/>
      <c r="V1714" s="6"/>
      <c r="W1714" s="6"/>
      <c r="X1714" s="6"/>
      <c r="Y1714" s="6"/>
      <c r="Z1714" s="6"/>
      <c r="AA1714" s="6"/>
      <c r="AB1714" s="6"/>
      <c r="AC1714" s="6"/>
      <c r="AD1714" s="6"/>
      <c r="AE1714" s="6"/>
      <c r="AF1714" s="6"/>
      <c r="AG1714" s="6"/>
      <c r="AH1714" s="6"/>
      <c r="AI1714" s="6"/>
      <c r="AJ1714" s="6"/>
      <c r="AK1714" s="6"/>
      <c r="AL1714" s="6"/>
      <c r="AM1714" s="6"/>
      <c r="AN1714" s="6"/>
      <c r="AO1714" s="6"/>
      <c r="AP1714" s="6"/>
      <c r="AQ1714" s="6"/>
      <c r="AR1714" s="6"/>
      <c r="AS1714" s="6"/>
      <c r="AT1714" s="6"/>
      <c r="AU1714" s="6"/>
      <c r="AV1714" s="6"/>
      <c r="AW1714" s="6"/>
      <c r="AX1714" s="6"/>
      <c r="AY1714" s="6"/>
      <c r="AZ1714" s="6"/>
      <c r="BA1714" s="6"/>
      <c r="BB1714" s="6"/>
      <c r="BC1714" s="6"/>
      <c r="BD1714" s="6"/>
      <c r="BE1714" s="6"/>
      <c r="BF1714" s="6"/>
      <c r="BG1714" s="6"/>
      <c r="BH1714" s="6"/>
      <c r="BI1714" s="6"/>
      <c r="BJ1714" s="6"/>
      <c r="BK1714" s="6"/>
      <c r="BL1714" s="6"/>
      <c r="BM1714" s="6"/>
      <c r="BN1714" s="6"/>
      <c r="BO1714" s="6"/>
      <c r="BP1714" s="6"/>
      <c r="BQ1714" s="6"/>
      <c r="BR1714" s="6"/>
      <c r="BS1714" s="6"/>
      <c r="BT1714" s="6"/>
    </row>
    <row r="1715" spans="1:72">
      <c r="A1715" s="8" t="s">
        <v>32667</v>
      </c>
      <c r="B1715" s="11" t="s">
        <v>32672</v>
      </c>
      <c r="C1715" s="9" t="s">
        <v>32668</v>
      </c>
      <c r="D1715" s="10" t="s">
        <v>138</v>
      </c>
      <c r="E1715" s="28" t="s">
        <v>668</v>
      </c>
      <c r="F1715" s="28" t="s">
        <v>200</v>
      </c>
      <c r="G1715" s="28" t="s">
        <v>162</v>
      </c>
      <c r="H1715" s="13">
        <v>7</v>
      </c>
      <c r="I1715" s="12" t="s">
        <v>32680</v>
      </c>
      <c r="J1715" s="12" t="s">
        <v>37874</v>
      </c>
      <c r="K1715" s="12" t="s">
        <v>37795</v>
      </c>
      <c r="L1715" s="12" t="s">
        <v>43688</v>
      </c>
      <c r="M1715" s="12" t="s">
        <v>39917</v>
      </c>
      <c r="N1715" s="12" t="s">
        <v>41073</v>
      </c>
      <c r="O1715" s="12" t="s">
        <v>41931</v>
      </c>
      <c r="P1715" s="12" t="s">
        <v>39057</v>
      </c>
      <c r="Q1715" s="12"/>
      <c r="R1715" s="12"/>
      <c r="S1715" s="12"/>
      <c r="T1715" s="12"/>
      <c r="U1715" s="12"/>
      <c r="V1715" s="12"/>
      <c r="W1715" s="12"/>
      <c r="X1715" s="12"/>
      <c r="Y1715" s="12"/>
      <c r="Z1715" s="12"/>
      <c r="AA1715" s="12"/>
      <c r="AB1715" s="12"/>
      <c r="AC1715" s="12"/>
      <c r="AD1715" s="12"/>
      <c r="AE1715" s="12"/>
      <c r="AF1715" s="12"/>
      <c r="AG1715" s="12"/>
      <c r="AH1715" s="12"/>
      <c r="AI1715" s="12"/>
      <c r="AJ1715" s="12"/>
      <c r="AK1715" s="12"/>
      <c r="AL1715" s="12"/>
      <c r="AM1715" s="12"/>
      <c r="AN1715" s="12"/>
      <c r="AO1715" s="12"/>
      <c r="AP1715" s="12"/>
      <c r="AQ1715" s="12"/>
      <c r="AR1715" s="12"/>
      <c r="AS1715" s="12"/>
      <c r="AT1715" s="12"/>
      <c r="AU1715" s="12"/>
      <c r="AV1715" s="12"/>
      <c r="AW1715" s="12"/>
      <c r="AX1715" s="12"/>
      <c r="AY1715" s="12"/>
      <c r="AZ1715" s="12"/>
      <c r="BA1715" s="12"/>
      <c r="BB1715" s="12"/>
      <c r="BC1715" s="12"/>
      <c r="BD1715" s="12"/>
      <c r="BE1715" s="12"/>
      <c r="BF1715" s="12"/>
      <c r="BG1715" s="12"/>
      <c r="BH1715" s="12"/>
      <c r="BI1715" s="12"/>
      <c r="BJ1715" s="12"/>
      <c r="BK1715" s="12"/>
      <c r="BL1715" s="12"/>
      <c r="BM1715" s="12"/>
      <c r="BN1715" s="12"/>
      <c r="BO1715" s="12"/>
      <c r="BP1715" s="12"/>
      <c r="BQ1715" s="12"/>
      <c r="BR1715" s="12"/>
      <c r="BS1715" s="12"/>
      <c r="BT1715" s="12"/>
    </row>
    <row r="1716" spans="1:72">
      <c r="A1716" s="2" t="s">
        <v>32683</v>
      </c>
      <c r="B1716" s="5" t="s">
        <v>32686</v>
      </c>
      <c r="C1716" s="3" t="s">
        <v>138</v>
      </c>
      <c r="D1716" s="4" t="s">
        <v>138</v>
      </c>
      <c r="E1716" s="15" t="s">
        <v>284</v>
      </c>
      <c r="F1716" s="15" t="s">
        <v>2822</v>
      </c>
      <c r="G1716" s="15" t="s">
        <v>162</v>
      </c>
      <c r="H1716" s="7">
        <v>3</v>
      </c>
      <c r="I1716" s="6" t="s">
        <v>32695</v>
      </c>
      <c r="J1716" s="6" t="s">
        <v>45534</v>
      </c>
      <c r="K1716" s="6" t="s">
        <v>42601</v>
      </c>
      <c r="L1716" s="6" t="s">
        <v>45535</v>
      </c>
      <c r="M1716" s="6"/>
      <c r="N1716" s="6"/>
      <c r="O1716" s="6"/>
      <c r="P1716" s="6"/>
      <c r="Q1716" s="6"/>
      <c r="R1716" s="6"/>
      <c r="S1716" s="6"/>
      <c r="T1716" s="6"/>
      <c r="U1716" s="6"/>
      <c r="V1716" s="6"/>
      <c r="W1716" s="6"/>
      <c r="X1716" s="6"/>
      <c r="Y1716" s="6"/>
      <c r="Z1716" s="6"/>
      <c r="AA1716" s="6"/>
      <c r="AB1716" s="6"/>
      <c r="AC1716" s="6"/>
      <c r="AD1716" s="6"/>
      <c r="AE1716" s="6"/>
      <c r="AF1716" s="6"/>
      <c r="AG1716" s="6"/>
      <c r="AH1716" s="6"/>
      <c r="AI1716" s="6"/>
      <c r="AJ1716" s="6"/>
      <c r="AK1716" s="6"/>
      <c r="AL1716" s="6"/>
      <c r="AM1716" s="6"/>
      <c r="AN1716" s="6"/>
      <c r="AO1716" s="6"/>
      <c r="AP1716" s="6"/>
      <c r="AQ1716" s="6"/>
      <c r="AR1716" s="6"/>
      <c r="AS1716" s="6"/>
      <c r="AT1716" s="6"/>
      <c r="AU1716" s="6"/>
      <c r="AV1716" s="6"/>
      <c r="AW1716" s="6"/>
      <c r="AX1716" s="6"/>
      <c r="AY1716" s="6"/>
      <c r="AZ1716" s="6"/>
      <c r="BA1716" s="6"/>
      <c r="BB1716" s="6"/>
      <c r="BC1716" s="6"/>
      <c r="BD1716" s="6"/>
      <c r="BE1716" s="6"/>
      <c r="BF1716" s="6"/>
      <c r="BG1716" s="6"/>
      <c r="BH1716" s="6"/>
      <c r="BI1716" s="6"/>
      <c r="BJ1716" s="6"/>
      <c r="BK1716" s="6"/>
      <c r="BL1716" s="6"/>
      <c r="BM1716" s="6"/>
      <c r="BN1716" s="6"/>
      <c r="BO1716" s="6"/>
      <c r="BP1716" s="6"/>
      <c r="BQ1716" s="6"/>
      <c r="BR1716" s="6"/>
      <c r="BS1716" s="6"/>
      <c r="BT1716" s="6"/>
    </row>
    <row r="1717" spans="1:72">
      <c r="A1717" s="8" t="s">
        <v>32699</v>
      </c>
      <c r="B1717" s="11" t="s">
        <v>32703</v>
      </c>
      <c r="C1717" s="9" t="s">
        <v>138</v>
      </c>
      <c r="D1717" s="10" t="s">
        <v>138</v>
      </c>
      <c r="E1717" s="28" t="s">
        <v>3354</v>
      </c>
      <c r="F1717" s="28" t="s">
        <v>2740</v>
      </c>
      <c r="G1717" s="28" t="s">
        <v>2742</v>
      </c>
      <c r="H1717" s="13">
        <v>25</v>
      </c>
      <c r="I1717" s="12" t="s">
        <v>32713</v>
      </c>
      <c r="J1717" s="12" t="s">
        <v>41879</v>
      </c>
      <c r="K1717" s="12" t="s">
        <v>39410</v>
      </c>
      <c r="L1717" s="12" t="s">
        <v>41811</v>
      </c>
      <c r="M1717" s="12" t="s">
        <v>41814</v>
      </c>
      <c r="N1717" s="12" t="s">
        <v>42364</v>
      </c>
      <c r="O1717" s="12" t="s">
        <v>37799</v>
      </c>
      <c r="P1717" s="12" t="s">
        <v>41143</v>
      </c>
      <c r="Q1717" s="12" t="s">
        <v>37777</v>
      </c>
      <c r="R1717" s="12" t="s">
        <v>45536</v>
      </c>
      <c r="S1717" s="12" t="s">
        <v>45537</v>
      </c>
      <c r="T1717" s="12" t="s">
        <v>40519</v>
      </c>
      <c r="U1717" s="12" t="s">
        <v>39732</v>
      </c>
      <c r="V1717" s="12" t="s">
        <v>45538</v>
      </c>
      <c r="W1717" s="12" t="s">
        <v>39287</v>
      </c>
      <c r="X1717" s="12" t="s">
        <v>41882</v>
      </c>
      <c r="Y1717" s="12" t="s">
        <v>38849</v>
      </c>
      <c r="Z1717" s="12" t="s">
        <v>43378</v>
      </c>
      <c r="AA1717" s="12" t="s">
        <v>37781</v>
      </c>
      <c r="AB1717" s="12" t="s">
        <v>39008</v>
      </c>
      <c r="AC1717" s="12" t="s">
        <v>45539</v>
      </c>
      <c r="AD1717" s="12" t="s">
        <v>45540</v>
      </c>
      <c r="AE1717" s="12" t="s">
        <v>42865</v>
      </c>
      <c r="AF1717" s="12" t="s">
        <v>42368</v>
      </c>
      <c r="AG1717" s="12" t="s">
        <v>38912</v>
      </c>
      <c r="AH1717" s="12" t="s">
        <v>41823</v>
      </c>
      <c r="AI1717" s="12"/>
      <c r="AJ1717" s="12"/>
      <c r="AK1717" s="12"/>
      <c r="AL1717" s="12"/>
      <c r="AM1717" s="12"/>
      <c r="AN1717" s="12"/>
      <c r="AO1717" s="12"/>
      <c r="AP1717" s="12"/>
      <c r="AQ1717" s="12"/>
      <c r="AR1717" s="12"/>
      <c r="AS1717" s="12"/>
      <c r="AT1717" s="12"/>
      <c r="AU1717" s="12"/>
      <c r="AV1717" s="12"/>
      <c r="AW1717" s="12"/>
      <c r="AX1717" s="12"/>
      <c r="AY1717" s="12"/>
      <c r="AZ1717" s="12"/>
      <c r="BA1717" s="12"/>
      <c r="BB1717" s="12"/>
      <c r="BC1717" s="12"/>
      <c r="BD1717" s="12"/>
      <c r="BE1717" s="12"/>
      <c r="BF1717" s="12"/>
      <c r="BG1717" s="12"/>
      <c r="BH1717" s="12"/>
      <c r="BI1717" s="12"/>
      <c r="BJ1717" s="12"/>
      <c r="BK1717" s="12"/>
      <c r="BL1717" s="12"/>
      <c r="BM1717" s="12"/>
      <c r="BN1717" s="12"/>
      <c r="BO1717" s="12"/>
      <c r="BP1717" s="12"/>
      <c r="BQ1717" s="12"/>
      <c r="BR1717" s="12"/>
      <c r="BS1717" s="12"/>
      <c r="BT1717" s="12"/>
    </row>
    <row r="1718" spans="1:72">
      <c r="A1718" s="2" t="s">
        <v>32716</v>
      </c>
      <c r="B1718" s="5" t="s">
        <v>32722</v>
      </c>
      <c r="C1718" s="3" t="s">
        <v>138</v>
      </c>
      <c r="D1718" s="4" t="s">
        <v>138</v>
      </c>
      <c r="E1718" s="15" t="s">
        <v>2493</v>
      </c>
      <c r="F1718" s="15" t="s">
        <v>371</v>
      </c>
      <c r="G1718" s="15" t="s">
        <v>162</v>
      </c>
      <c r="H1718" s="7">
        <v>5</v>
      </c>
      <c r="I1718" s="6" t="s">
        <v>32730</v>
      </c>
      <c r="J1718" s="6" t="s">
        <v>8453</v>
      </c>
      <c r="K1718" s="6" t="s">
        <v>39201</v>
      </c>
      <c r="L1718" s="6" t="s">
        <v>43225</v>
      </c>
      <c r="M1718" s="6" t="s">
        <v>45541</v>
      </c>
      <c r="N1718" s="6" t="s">
        <v>40651</v>
      </c>
      <c r="O1718" s="6"/>
      <c r="P1718" s="6"/>
      <c r="Q1718" s="6"/>
      <c r="R1718" s="6"/>
      <c r="S1718" s="6"/>
      <c r="T1718" s="6"/>
      <c r="U1718" s="6"/>
      <c r="V1718" s="6"/>
      <c r="W1718" s="6"/>
      <c r="X1718" s="6"/>
      <c r="Y1718" s="6"/>
      <c r="Z1718" s="6"/>
      <c r="AA1718" s="6"/>
      <c r="AB1718" s="6"/>
      <c r="AC1718" s="6"/>
      <c r="AD1718" s="6"/>
      <c r="AE1718" s="6"/>
      <c r="AF1718" s="6"/>
      <c r="AG1718" s="6"/>
      <c r="AH1718" s="6"/>
      <c r="AI1718" s="6"/>
      <c r="AJ1718" s="6"/>
      <c r="AK1718" s="6"/>
      <c r="AL1718" s="6"/>
      <c r="AM1718" s="6"/>
      <c r="AN1718" s="6"/>
      <c r="AO1718" s="6"/>
      <c r="AP1718" s="6"/>
      <c r="AQ1718" s="6"/>
      <c r="AR1718" s="6"/>
      <c r="AS1718" s="6"/>
      <c r="AT1718" s="6"/>
      <c r="AU1718" s="6"/>
      <c r="AV1718" s="6"/>
      <c r="AW1718" s="6"/>
      <c r="AX1718" s="6"/>
      <c r="AY1718" s="6"/>
      <c r="AZ1718" s="6"/>
      <c r="BA1718" s="6"/>
      <c r="BB1718" s="6"/>
      <c r="BC1718" s="6"/>
      <c r="BD1718" s="6"/>
      <c r="BE1718" s="6"/>
      <c r="BF1718" s="6"/>
      <c r="BG1718" s="6"/>
      <c r="BH1718" s="6"/>
      <c r="BI1718" s="6"/>
      <c r="BJ1718" s="6"/>
      <c r="BK1718" s="6"/>
      <c r="BL1718" s="6"/>
      <c r="BM1718" s="6"/>
      <c r="BN1718" s="6"/>
      <c r="BO1718" s="6"/>
      <c r="BP1718" s="6"/>
      <c r="BQ1718" s="6"/>
      <c r="BR1718" s="6"/>
      <c r="BS1718" s="6"/>
      <c r="BT1718" s="6"/>
    </row>
    <row r="1719" spans="1:72">
      <c r="A1719" s="8" t="s">
        <v>32733</v>
      </c>
      <c r="B1719" s="11" t="s">
        <v>32738</v>
      </c>
      <c r="C1719" s="9" t="s">
        <v>32734</v>
      </c>
      <c r="D1719" s="10" t="s">
        <v>138</v>
      </c>
      <c r="E1719" s="28" t="s">
        <v>1872</v>
      </c>
      <c r="F1719" s="28" t="s">
        <v>200</v>
      </c>
      <c r="G1719" s="28" t="s">
        <v>162</v>
      </c>
      <c r="H1719" s="13">
        <v>13</v>
      </c>
      <c r="I1719" s="12" t="s">
        <v>32747</v>
      </c>
      <c r="J1719" s="12" t="s">
        <v>41055</v>
      </c>
      <c r="K1719" s="12" t="s">
        <v>40412</v>
      </c>
      <c r="L1719" s="12" t="s">
        <v>45542</v>
      </c>
      <c r="M1719" s="12" t="s">
        <v>42058</v>
      </c>
      <c r="N1719" s="12" t="s">
        <v>39738</v>
      </c>
      <c r="O1719" s="12" t="s">
        <v>38974</v>
      </c>
      <c r="P1719" s="12" t="s">
        <v>43577</v>
      </c>
      <c r="Q1719" s="12" t="s">
        <v>39078</v>
      </c>
      <c r="R1719" s="12" t="s">
        <v>39655</v>
      </c>
      <c r="S1719" s="12" t="s">
        <v>39428</v>
      </c>
      <c r="T1719" s="12" t="s">
        <v>42064</v>
      </c>
      <c r="U1719" s="12" t="s">
        <v>38196</v>
      </c>
      <c r="V1719" s="12" t="s">
        <v>39686</v>
      </c>
      <c r="W1719" s="12"/>
      <c r="X1719" s="12"/>
      <c r="Y1719" s="12"/>
      <c r="Z1719" s="12"/>
      <c r="AA1719" s="12"/>
      <c r="AB1719" s="12"/>
      <c r="AC1719" s="12"/>
      <c r="AD1719" s="12"/>
      <c r="AE1719" s="12"/>
      <c r="AF1719" s="12"/>
      <c r="AG1719" s="12"/>
      <c r="AH1719" s="12"/>
      <c r="AI1719" s="12"/>
      <c r="AJ1719" s="12"/>
      <c r="AK1719" s="12"/>
      <c r="AL1719" s="12"/>
      <c r="AM1719" s="12"/>
      <c r="AN1719" s="12"/>
      <c r="AO1719" s="12"/>
      <c r="AP1719" s="12"/>
      <c r="AQ1719" s="12"/>
      <c r="AR1719" s="12"/>
      <c r="AS1719" s="12"/>
      <c r="AT1719" s="12"/>
      <c r="AU1719" s="12"/>
      <c r="AV1719" s="12"/>
      <c r="AW1719" s="12"/>
      <c r="AX1719" s="12"/>
      <c r="AY1719" s="12"/>
      <c r="AZ1719" s="12"/>
      <c r="BA1719" s="12"/>
      <c r="BB1719" s="12"/>
      <c r="BC1719" s="12"/>
      <c r="BD1719" s="12"/>
      <c r="BE1719" s="12"/>
      <c r="BF1719" s="12"/>
      <c r="BG1719" s="12"/>
      <c r="BH1719" s="12"/>
      <c r="BI1719" s="12"/>
      <c r="BJ1719" s="12"/>
      <c r="BK1719" s="12"/>
      <c r="BL1719" s="12"/>
      <c r="BM1719" s="12"/>
      <c r="BN1719" s="12"/>
      <c r="BO1719" s="12"/>
      <c r="BP1719" s="12"/>
      <c r="BQ1719" s="12"/>
      <c r="BR1719" s="12"/>
      <c r="BS1719" s="12"/>
      <c r="BT1719" s="12"/>
    </row>
    <row r="1720" spans="1:72">
      <c r="A1720" s="2" t="s">
        <v>32752</v>
      </c>
      <c r="B1720" s="5" t="s">
        <v>32757</v>
      </c>
      <c r="C1720" s="3" t="s">
        <v>138</v>
      </c>
      <c r="D1720" s="4" t="s">
        <v>138</v>
      </c>
      <c r="E1720" s="15" t="s">
        <v>32766</v>
      </c>
      <c r="F1720" s="15" t="s">
        <v>138</v>
      </c>
      <c r="G1720" s="15" t="s">
        <v>740</v>
      </c>
      <c r="H1720" s="7">
        <v>14</v>
      </c>
      <c r="I1720" s="6" t="s">
        <v>32769</v>
      </c>
      <c r="J1720" s="6" t="s">
        <v>45543</v>
      </c>
      <c r="K1720" s="6" t="s">
        <v>45544</v>
      </c>
      <c r="L1720" s="6" t="s">
        <v>40201</v>
      </c>
      <c r="M1720" s="6" t="s">
        <v>45545</v>
      </c>
      <c r="N1720" s="6" t="s">
        <v>38089</v>
      </c>
      <c r="O1720" s="6" t="s">
        <v>37855</v>
      </c>
      <c r="P1720" s="6" t="s">
        <v>45546</v>
      </c>
      <c r="Q1720" s="6" t="s">
        <v>43170</v>
      </c>
      <c r="R1720" s="6" t="s">
        <v>45547</v>
      </c>
      <c r="S1720" s="6" t="s">
        <v>37998</v>
      </c>
      <c r="T1720" s="6" t="s">
        <v>45548</v>
      </c>
      <c r="U1720" s="6" t="s">
        <v>45549</v>
      </c>
      <c r="V1720" s="6" t="s">
        <v>45550</v>
      </c>
      <c r="W1720" s="6" t="s">
        <v>45551</v>
      </c>
      <c r="X1720" s="6"/>
      <c r="Y1720" s="6"/>
      <c r="Z1720" s="6"/>
      <c r="AA1720" s="6"/>
      <c r="AB1720" s="6"/>
      <c r="AC1720" s="6"/>
      <c r="AD1720" s="6"/>
      <c r="AE1720" s="6"/>
      <c r="AF1720" s="6"/>
      <c r="AG1720" s="6"/>
      <c r="AH1720" s="6"/>
      <c r="AI1720" s="6"/>
      <c r="AJ1720" s="6"/>
      <c r="AK1720" s="6"/>
      <c r="AL1720" s="6"/>
      <c r="AM1720" s="6"/>
      <c r="AN1720" s="6"/>
      <c r="AO1720" s="6"/>
      <c r="AP1720" s="6"/>
      <c r="AQ1720" s="6"/>
      <c r="AR1720" s="6"/>
      <c r="AS1720" s="6"/>
      <c r="AT1720" s="6"/>
      <c r="AU1720" s="6"/>
      <c r="AV1720" s="6"/>
      <c r="AW1720" s="6"/>
      <c r="AX1720" s="6"/>
      <c r="AY1720" s="6"/>
      <c r="AZ1720" s="6"/>
      <c r="BA1720" s="6"/>
      <c r="BB1720" s="6"/>
      <c r="BC1720" s="6"/>
      <c r="BD1720" s="6"/>
      <c r="BE1720" s="6"/>
      <c r="BF1720" s="6"/>
      <c r="BG1720" s="6"/>
      <c r="BH1720" s="6"/>
      <c r="BI1720" s="6"/>
      <c r="BJ1720" s="6"/>
      <c r="BK1720" s="6"/>
      <c r="BL1720" s="6"/>
      <c r="BM1720" s="6"/>
      <c r="BN1720" s="6"/>
      <c r="BO1720" s="6"/>
      <c r="BP1720" s="6"/>
      <c r="BQ1720" s="6"/>
      <c r="BR1720" s="6"/>
      <c r="BS1720" s="6"/>
      <c r="BT1720" s="6"/>
    </row>
    <row r="1721" spans="1:72">
      <c r="A1721" s="8" t="s">
        <v>32772</v>
      </c>
      <c r="B1721" s="11" t="s">
        <v>32777</v>
      </c>
      <c r="C1721" s="9" t="s">
        <v>138</v>
      </c>
      <c r="D1721" s="10" t="s">
        <v>32773</v>
      </c>
      <c r="E1721" s="28" t="s">
        <v>13086</v>
      </c>
      <c r="F1721" s="28" t="s">
        <v>200</v>
      </c>
      <c r="G1721" s="28" t="s">
        <v>162</v>
      </c>
      <c r="H1721" s="13">
        <v>13</v>
      </c>
      <c r="I1721" s="12" t="s">
        <v>32784</v>
      </c>
      <c r="J1721" s="12" t="s">
        <v>42374</v>
      </c>
      <c r="K1721" s="12" t="s">
        <v>38569</v>
      </c>
      <c r="L1721" s="12" t="s">
        <v>45552</v>
      </c>
      <c r="M1721" s="12" t="s">
        <v>42376</v>
      </c>
      <c r="N1721" s="12" t="s">
        <v>43818</v>
      </c>
      <c r="O1721" s="12" t="s">
        <v>40927</v>
      </c>
      <c r="P1721" s="12" t="s">
        <v>37883</v>
      </c>
      <c r="Q1721" s="12" t="s">
        <v>39047</v>
      </c>
      <c r="R1721" s="12" t="s">
        <v>39854</v>
      </c>
      <c r="S1721" s="12" t="s">
        <v>45553</v>
      </c>
      <c r="T1721" s="12" t="s">
        <v>45484</v>
      </c>
      <c r="U1721" s="12" t="s">
        <v>37974</v>
      </c>
      <c r="V1721" s="12" t="s">
        <v>39071</v>
      </c>
      <c r="W1721" s="12"/>
      <c r="X1721" s="12"/>
      <c r="Y1721" s="12"/>
      <c r="Z1721" s="12"/>
      <c r="AA1721" s="12"/>
      <c r="AB1721" s="12"/>
      <c r="AC1721" s="12"/>
      <c r="AD1721" s="12"/>
      <c r="AE1721" s="12"/>
      <c r="AF1721" s="12"/>
      <c r="AG1721" s="12"/>
      <c r="AH1721" s="12"/>
      <c r="AI1721" s="12"/>
      <c r="AJ1721" s="12"/>
      <c r="AK1721" s="12"/>
      <c r="AL1721" s="12"/>
      <c r="AM1721" s="12"/>
      <c r="AN1721" s="12"/>
      <c r="AO1721" s="12"/>
      <c r="AP1721" s="12"/>
      <c r="AQ1721" s="12"/>
      <c r="AR1721" s="12"/>
      <c r="AS1721" s="12"/>
      <c r="AT1721" s="12"/>
      <c r="AU1721" s="12"/>
      <c r="AV1721" s="12"/>
      <c r="AW1721" s="12"/>
      <c r="AX1721" s="12"/>
      <c r="AY1721" s="12"/>
      <c r="AZ1721" s="12"/>
      <c r="BA1721" s="12"/>
      <c r="BB1721" s="12"/>
      <c r="BC1721" s="12"/>
      <c r="BD1721" s="12"/>
      <c r="BE1721" s="12"/>
      <c r="BF1721" s="12"/>
      <c r="BG1721" s="12"/>
      <c r="BH1721" s="12"/>
      <c r="BI1721" s="12"/>
      <c r="BJ1721" s="12"/>
      <c r="BK1721" s="12"/>
      <c r="BL1721" s="12"/>
      <c r="BM1721" s="12"/>
      <c r="BN1721" s="12"/>
      <c r="BO1721" s="12"/>
      <c r="BP1721" s="12"/>
      <c r="BQ1721" s="12"/>
      <c r="BR1721" s="12"/>
      <c r="BS1721" s="12"/>
      <c r="BT1721" s="12"/>
    </row>
    <row r="1722" spans="1:72">
      <c r="A1722" s="2" t="s">
        <v>32787</v>
      </c>
      <c r="B1722" s="5" t="s">
        <v>32790</v>
      </c>
      <c r="C1722" s="3" t="s">
        <v>138</v>
      </c>
      <c r="D1722" s="4" t="s">
        <v>138</v>
      </c>
      <c r="E1722" s="15" t="s">
        <v>32797</v>
      </c>
      <c r="F1722" s="15" t="s">
        <v>200</v>
      </c>
      <c r="G1722" s="15" t="s">
        <v>162</v>
      </c>
      <c r="H1722" s="7">
        <v>6</v>
      </c>
      <c r="I1722" s="6" t="s">
        <v>32800</v>
      </c>
      <c r="J1722" s="6" t="s">
        <v>39264</v>
      </c>
      <c r="K1722" s="6" t="s">
        <v>38569</v>
      </c>
      <c r="L1722" s="6" t="s">
        <v>45554</v>
      </c>
      <c r="M1722" s="6" t="s">
        <v>45555</v>
      </c>
      <c r="N1722" s="6" t="s">
        <v>45556</v>
      </c>
      <c r="O1722" s="6" t="s">
        <v>42301</v>
      </c>
      <c r="P1722" s="6"/>
      <c r="Q1722" s="6"/>
      <c r="R1722" s="6"/>
      <c r="S1722" s="6"/>
      <c r="T1722" s="6"/>
      <c r="U1722" s="6"/>
      <c r="V1722" s="6"/>
      <c r="W1722" s="6"/>
      <c r="X1722" s="6"/>
      <c r="Y1722" s="6"/>
      <c r="Z1722" s="6"/>
      <c r="AA1722" s="6"/>
      <c r="AB1722" s="6"/>
      <c r="AC1722" s="6"/>
      <c r="AD1722" s="6"/>
      <c r="AE1722" s="6"/>
      <c r="AF1722" s="6"/>
      <c r="AG1722" s="6"/>
      <c r="AH1722" s="6"/>
      <c r="AI1722" s="6"/>
      <c r="AJ1722" s="6"/>
      <c r="AK1722" s="6"/>
      <c r="AL1722" s="6"/>
      <c r="AM1722" s="6"/>
      <c r="AN1722" s="6"/>
      <c r="AO1722" s="6"/>
      <c r="AP1722" s="6"/>
      <c r="AQ1722" s="6"/>
      <c r="AR1722" s="6"/>
      <c r="AS1722" s="6"/>
      <c r="AT1722" s="6"/>
      <c r="AU1722" s="6"/>
      <c r="AV1722" s="6"/>
      <c r="AW1722" s="6"/>
      <c r="AX1722" s="6"/>
      <c r="AY1722" s="6"/>
      <c r="AZ1722" s="6"/>
      <c r="BA1722" s="6"/>
      <c r="BB1722" s="6"/>
      <c r="BC1722" s="6"/>
      <c r="BD1722" s="6"/>
      <c r="BE1722" s="6"/>
      <c r="BF1722" s="6"/>
      <c r="BG1722" s="6"/>
      <c r="BH1722" s="6"/>
      <c r="BI1722" s="6"/>
      <c r="BJ1722" s="6"/>
      <c r="BK1722" s="6"/>
      <c r="BL1722" s="6"/>
      <c r="BM1722" s="6"/>
      <c r="BN1722" s="6"/>
      <c r="BO1722" s="6"/>
      <c r="BP1722" s="6"/>
      <c r="BQ1722" s="6"/>
      <c r="BR1722" s="6"/>
      <c r="BS1722" s="6"/>
      <c r="BT1722" s="6"/>
    </row>
    <row r="1723" spans="1:72">
      <c r="A1723" s="8" t="s">
        <v>32804</v>
      </c>
      <c r="B1723" s="11" t="s">
        <v>32809</v>
      </c>
      <c r="C1723" s="9" t="s">
        <v>32805</v>
      </c>
      <c r="D1723" s="10" t="s">
        <v>138</v>
      </c>
      <c r="E1723" s="28" t="s">
        <v>310</v>
      </c>
      <c r="F1723" s="28" t="s">
        <v>200</v>
      </c>
      <c r="G1723" s="28" t="s">
        <v>162</v>
      </c>
      <c r="H1723" s="13">
        <v>23</v>
      </c>
      <c r="I1723" s="12" t="s">
        <v>32819</v>
      </c>
      <c r="J1723" s="12" t="s">
        <v>45557</v>
      </c>
      <c r="K1723" s="12" t="s">
        <v>42055</v>
      </c>
      <c r="L1723" s="12" t="s">
        <v>42376</v>
      </c>
      <c r="M1723" s="12" t="s">
        <v>38348</v>
      </c>
      <c r="N1723" s="12" t="s">
        <v>39115</v>
      </c>
      <c r="O1723" s="12" t="s">
        <v>38416</v>
      </c>
      <c r="P1723" s="12" t="s">
        <v>37947</v>
      </c>
      <c r="Q1723" s="12" t="s">
        <v>38114</v>
      </c>
      <c r="R1723" s="12" t="s">
        <v>41251</v>
      </c>
      <c r="S1723" s="12" t="s">
        <v>37801</v>
      </c>
      <c r="T1723" s="12" t="s">
        <v>37786</v>
      </c>
      <c r="U1723" s="12" t="s">
        <v>37883</v>
      </c>
      <c r="V1723" s="12" t="s">
        <v>40093</v>
      </c>
      <c r="W1723" s="12" t="s">
        <v>37824</v>
      </c>
      <c r="X1723" s="12" t="s">
        <v>40444</v>
      </c>
      <c r="Y1723" s="12" t="s">
        <v>39367</v>
      </c>
      <c r="Z1723" s="12" t="s">
        <v>38323</v>
      </c>
      <c r="AA1723" s="12" t="s">
        <v>37890</v>
      </c>
      <c r="AB1723" s="12" t="s">
        <v>42896</v>
      </c>
      <c r="AC1723" s="12" t="s">
        <v>38954</v>
      </c>
      <c r="AD1723" s="12" t="s">
        <v>39351</v>
      </c>
      <c r="AE1723" s="12" t="s">
        <v>43110</v>
      </c>
      <c r="AF1723" s="12" t="s">
        <v>43272</v>
      </c>
      <c r="AG1723" s="12"/>
      <c r="AH1723" s="12"/>
      <c r="AI1723" s="12"/>
      <c r="AJ1723" s="12"/>
      <c r="AK1723" s="12"/>
      <c r="AL1723" s="12"/>
      <c r="AM1723" s="12"/>
      <c r="AN1723" s="12"/>
      <c r="AO1723" s="12"/>
      <c r="AP1723" s="12"/>
      <c r="AQ1723" s="12"/>
      <c r="AR1723" s="12"/>
      <c r="AS1723" s="12"/>
      <c r="AT1723" s="12"/>
      <c r="AU1723" s="12"/>
      <c r="AV1723" s="12"/>
      <c r="AW1723" s="12"/>
      <c r="AX1723" s="12"/>
      <c r="AY1723" s="12"/>
      <c r="AZ1723" s="12"/>
      <c r="BA1723" s="12"/>
      <c r="BB1723" s="12"/>
      <c r="BC1723" s="12"/>
      <c r="BD1723" s="12"/>
      <c r="BE1723" s="12"/>
      <c r="BF1723" s="12"/>
      <c r="BG1723" s="12"/>
      <c r="BH1723" s="12"/>
      <c r="BI1723" s="12"/>
      <c r="BJ1723" s="12"/>
      <c r="BK1723" s="12"/>
      <c r="BL1723" s="12"/>
      <c r="BM1723" s="12"/>
      <c r="BN1723" s="12"/>
      <c r="BO1723" s="12"/>
      <c r="BP1723" s="12"/>
      <c r="BQ1723" s="12"/>
      <c r="BR1723" s="12"/>
      <c r="BS1723" s="12"/>
      <c r="BT1723" s="12"/>
    </row>
    <row r="1724" spans="1:72">
      <c r="A1724" s="2" t="s">
        <v>32822</v>
      </c>
      <c r="B1724" s="5" t="s">
        <v>32826</v>
      </c>
      <c r="C1724" s="3" t="s">
        <v>138</v>
      </c>
      <c r="D1724" s="4" t="s">
        <v>138</v>
      </c>
      <c r="E1724" s="15" t="s">
        <v>3841</v>
      </c>
      <c r="F1724" s="15" t="s">
        <v>200</v>
      </c>
      <c r="G1724" s="15" t="s">
        <v>162</v>
      </c>
      <c r="H1724" s="7">
        <v>2</v>
      </c>
      <c r="I1724" s="6" t="s">
        <v>32836</v>
      </c>
      <c r="J1724" s="6" t="s">
        <v>2912</v>
      </c>
      <c r="K1724" s="6" t="s">
        <v>45558</v>
      </c>
      <c r="L1724" s="6"/>
      <c r="M1724" s="6"/>
      <c r="N1724" s="6"/>
      <c r="O1724" s="6"/>
      <c r="P1724" s="6"/>
      <c r="Q1724" s="6"/>
      <c r="R1724" s="6"/>
      <c r="S1724" s="6"/>
      <c r="T1724" s="6"/>
      <c r="U1724" s="6"/>
      <c r="V1724" s="6"/>
      <c r="W1724" s="6"/>
      <c r="X1724" s="6"/>
      <c r="Y1724" s="6"/>
      <c r="Z1724" s="6"/>
      <c r="AA1724" s="6"/>
      <c r="AB1724" s="6"/>
      <c r="AC1724" s="6"/>
      <c r="AD1724" s="6"/>
      <c r="AE1724" s="6"/>
      <c r="AF1724" s="6"/>
      <c r="AG1724" s="6"/>
      <c r="AH1724" s="6"/>
      <c r="AI1724" s="6"/>
      <c r="AJ1724" s="6"/>
      <c r="AK1724" s="6"/>
      <c r="AL1724" s="6"/>
      <c r="AM1724" s="6"/>
      <c r="AN1724" s="6"/>
      <c r="AO1724" s="6"/>
      <c r="AP1724" s="6"/>
      <c r="AQ1724" s="6"/>
      <c r="AR1724" s="6"/>
      <c r="AS1724" s="6"/>
      <c r="AT1724" s="6"/>
      <c r="AU1724" s="6"/>
      <c r="AV1724" s="6"/>
      <c r="AW1724" s="6"/>
      <c r="AX1724" s="6"/>
      <c r="AY1724" s="6"/>
      <c r="AZ1724" s="6"/>
      <c r="BA1724" s="6"/>
      <c r="BB1724" s="6"/>
      <c r="BC1724" s="6"/>
      <c r="BD1724" s="6"/>
      <c r="BE1724" s="6"/>
      <c r="BF1724" s="6"/>
      <c r="BG1724" s="6"/>
      <c r="BH1724" s="6"/>
      <c r="BI1724" s="6"/>
      <c r="BJ1724" s="6"/>
      <c r="BK1724" s="6"/>
      <c r="BL1724" s="6"/>
      <c r="BM1724" s="6"/>
      <c r="BN1724" s="6"/>
      <c r="BO1724" s="6"/>
      <c r="BP1724" s="6"/>
      <c r="BQ1724" s="6"/>
      <c r="BR1724" s="6"/>
      <c r="BS1724" s="6"/>
      <c r="BT1724" s="6"/>
    </row>
    <row r="1725" spans="1:72">
      <c r="A1725" s="8" t="s">
        <v>32840</v>
      </c>
      <c r="B1725" s="11" t="s">
        <v>32845</v>
      </c>
      <c r="C1725" s="9" t="s">
        <v>32841</v>
      </c>
      <c r="D1725" s="10" t="s">
        <v>138</v>
      </c>
      <c r="E1725" s="28" t="s">
        <v>138</v>
      </c>
      <c r="F1725" s="28" t="s">
        <v>138</v>
      </c>
      <c r="G1725" s="28" t="s">
        <v>1054</v>
      </c>
      <c r="H1725" s="13">
        <v>3</v>
      </c>
      <c r="I1725" s="12" t="s">
        <v>32854</v>
      </c>
      <c r="J1725" s="12" t="s">
        <v>45559</v>
      </c>
      <c r="K1725" s="12" t="s">
        <v>37839</v>
      </c>
      <c r="L1725" s="12" t="s">
        <v>45560</v>
      </c>
      <c r="M1725" s="12"/>
      <c r="N1725" s="12"/>
      <c r="O1725" s="12"/>
      <c r="P1725" s="12"/>
      <c r="Q1725" s="12"/>
      <c r="R1725" s="12"/>
      <c r="S1725" s="12"/>
      <c r="T1725" s="12"/>
      <c r="U1725" s="12"/>
      <c r="V1725" s="12"/>
      <c r="W1725" s="12"/>
      <c r="X1725" s="12"/>
      <c r="Y1725" s="12"/>
      <c r="Z1725" s="12"/>
      <c r="AA1725" s="12"/>
      <c r="AB1725" s="12"/>
      <c r="AC1725" s="12"/>
      <c r="AD1725" s="12"/>
      <c r="AE1725" s="12"/>
      <c r="AF1725" s="12"/>
      <c r="AG1725" s="12"/>
      <c r="AH1725" s="12"/>
      <c r="AI1725" s="12"/>
      <c r="AJ1725" s="12"/>
      <c r="AK1725" s="12"/>
      <c r="AL1725" s="12"/>
      <c r="AM1725" s="12"/>
      <c r="AN1725" s="12"/>
      <c r="AO1725" s="12"/>
      <c r="AP1725" s="12"/>
      <c r="AQ1725" s="12"/>
      <c r="AR1725" s="12"/>
      <c r="AS1725" s="12"/>
      <c r="AT1725" s="12"/>
      <c r="AU1725" s="12"/>
      <c r="AV1725" s="12"/>
      <c r="AW1725" s="12"/>
      <c r="AX1725" s="12"/>
      <c r="AY1725" s="12"/>
      <c r="AZ1725" s="12"/>
      <c r="BA1725" s="12"/>
      <c r="BB1725" s="12"/>
      <c r="BC1725" s="12"/>
      <c r="BD1725" s="12"/>
      <c r="BE1725" s="12"/>
      <c r="BF1725" s="12"/>
      <c r="BG1725" s="12"/>
      <c r="BH1725" s="12"/>
      <c r="BI1725" s="12"/>
      <c r="BJ1725" s="12"/>
      <c r="BK1725" s="12"/>
      <c r="BL1725" s="12"/>
      <c r="BM1725" s="12"/>
      <c r="BN1725" s="12"/>
      <c r="BO1725" s="12"/>
      <c r="BP1725" s="12"/>
      <c r="BQ1725" s="12"/>
      <c r="BR1725" s="12"/>
      <c r="BS1725" s="12"/>
      <c r="BT1725" s="12"/>
    </row>
    <row r="1726" spans="1:72">
      <c r="A1726" s="2" t="s">
        <v>32858</v>
      </c>
      <c r="B1726" s="5" t="s">
        <v>32863</v>
      </c>
      <c r="C1726" s="3" t="s">
        <v>32859</v>
      </c>
      <c r="D1726" s="4" t="s">
        <v>138</v>
      </c>
      <c r="E1726" s="15" t="s">
        <v>32871</v>
      </c>
      <c r="F1726" s="15" t="s">
        <v>138</v>
      </c>
      <c r="G1726" s="15" t="s">
        <v>27338</v>
      </c>
      <c r="H1726" s="7">
        <v>4</v>
      </c>
      <c r="I1726" s="6" t="s">
        <v>32875</v>
      </c>
      <c r="J1726" s="6" t="s">
        <v>45561</v>
      </c>
      <c r="K1726" s="6" t="s">
        <v>44373</v>
      </c>
      <c r="L1726" s="6" t="s">
        <v>38286</v>
      </c>
      <c r="M1726" s="6" t="s">
        <v>37859</v>
      </c>
      <c r="N1726" s="6"/>
      <c r="O1726" s="6"/>
      <c r="P1726" s="6"/>
      <c r="Q1726" s="6"/>
      <c r="R1726" s="6"/>
      <c r="S1726" s="6"/>
      <c r="T1726" s="6"/>
      <c r="U1726" s="6"/>
      <c r="V1726" s="6"/>
      <c r="W1726" s="6"/>
      <c r="X1726" s="6"/>
      <c r="Y1726" s="6"/>
      <c r="Z1726" s="6"/>
      <c r="AA1726" s="6"/>
      <c r="AB1726" s="6"/>
      <c r="AC1726" s="6"/>
      <c r="AD1726" s="6"/>
      <c r="AE1726" s="6"/>
      <c r="AF1726" s="6"/>
      <c r="AG1726" s="6"/>
      <c r="AH1726" s="6"/>
      <c r="AI1726" s="6"/>
      <c r="AJ1726" s="6"/>
      <c r="AK1726" s="6"/>
      <c r="AL1726" s="6"/>
      <c r="AM1726" s="6"/>
      <c r="AN1726" s="6"/>
      <c r="AO1726" s="6"/>
      <c r="AP1726" s="6"/>
      <c r="AQ1726" s="6"/>
      <c r="AR1726" s="6"/>
      <c r="AS1726" s="6"/>
      <c r="AT1726" s="6"/>
      <c r="AU1726" s="6"/>
      <c r="AV1726" s="6"/>
      <c r="AW1726" s="6"/>
      <c r="AX1726" s="6"/>
      <c r="AY1726" s="6"/>
      <c r="AZ1726" s="6"/>
      <c r="BA1726" s="6"/>
      <c r="BB1726" s="6"/>
      <c r="BC1726" s="6"/>
      <c r="BD1726" s="6"/>
      <c r="BE1726" s="6"/>
      <c r="BF1726" s="6"/>
      <c r="BG1726" s="6"/>
      <c r="BH1726" s="6"/>
      <c r="BI1726" s="6"/>
      <c r="BJ1726" s="6"/>
      <c r="BK1726" s="6"/>
      <c r="BL1726" s="6"/>
      <c r="BM1726" s="6"/>
      <c r="BN1726" s="6"/>
      <c r="BO1726" s="6"/>
      <c r="BP1726" s="6"/>
      <c r="BQ1726" s="6"/>
      <c r="BR1726" s="6"/>
      <c r="BS1726" s="6"/>
      <c r="BT1726" s="6"/>
    </row>
    <row r="1727" spans="1:72">
      <c r="A1727" s="8" t="s">
        <v>32879</v>
      </c>
      <c r="B1727" s="11" t="s">
        <v>32883</v>
      </c>
      <c r="C1727" s="9" t="s">
        <v>138</v>
      </c>
      <c r="D1727" s="10" t="s">
        <v>138</v>
      </c>
      <c r="E1727" s="28" t="s">
        <v>499</v>
      </c>
      <c r="F1727" s="28" t="s">
        <v>138</v>
      </c>
      <c r="G1727" s="28" t="s">
        <v>450</v>
      </c>
      <c r="H1727" s="13">
        <v>1</v>
      </c>
      <c r="I1727" s="12" t="s">
        <v>2783</v>
      </c>
      <c r="J1727" s="12" t="s">
        <v>2783</v>
      </c>
      <c r="K1727" s="12"/>
      <c r="L1727" s="12"/>
      <c r="M1727" s="12"/>
      <c r="N1727" s="12"/>
      <c r="O1727" s="12"/>
      <c r="P1727" s="12"/>
      <c r="Q1727" s="12"/>
      <c r="R1727" s="12"/>
      <c r="S1727" s="12"/>
      <c r="T1727" s="12"/>
      <c r="U1727" s="12"/>
      <c r="V1727" s="12"/>
      <c r="W1727" s="12"/>
      <c r="X1727" s="12"/>
      <c r="Y1727" s="12"/>
      <c r="Z1727" s="12"/>
      <c r="AA1727" s="12"/>
      <c r="AB1727" s="12"/>
      <c r="AC1727" s="12"/>
      <c r="AD1727" s="12"/>
      <c r="AE1727" s="12"/>
      <c r="AF1727" s="12"/>
      <c r="AG1727" s="12"/>
      <c r="AH1727" s="12"/>
      <c r="AI1727" s="12"/>
      <c r="AJ1727" s="12"/>
      <c r="AK1727" s="12"/>
      <c r="AL1727" s="12"/>
      <c r="AM1727" s="12"/>
      <c r="AN1727" s="12"/>
      <c r="AO1727" s="12"/>
      <c r="AP1727" s="12"/>
      <c r="AQ1727" s="12"/>
      <c r="AR1727" s="12"/>
      <c r="AS1727" s="12"/>
      <c r="AT1727" s="12"/>
      <c r="AU1727" s="12"/>
      <c r="AV1727" s="12"/>
      <c r="AW1727" s="12"/>
      <c r="AX1727" s="12"/>
      <c r="AY1727" s="12"/>
      <c r="AZ1727" s="12"/>
      <c r="BA1727" s="12"/>
      <c r="BB1727" s="12"/>
      <c r="BC1727" s="12"/>
      <c r="BD1727" s="12"/>
      <c r="BE1727" s="12"/>
      <c r="BF1727" s="12"/>
      <c r="BG1727" s="12"/>
      <c r="BH1727" s="12"/>
      <c r="BI1727" s="12"/>
      <c r="BJ1727" s="12"/>
      <c r="BK1727" s="12"/>
      <c r="BL1727" s="12"/>
      <c r="BM1727" s="12"/>
      <c r="BN1727" s="12"/>
      <c r="BO1727" s="12"/>
      <c r="BP1727" s="12"/>
      <c r="BQ1727" s="12"/>
      <c r="BR1727" s="12"/>
      <c r="BS1727" s="12"/>
      <c r="BT1727" s="12"/>
    </row>
    <row r="1728" spans="1:72">
      <c r="A1728" s="2" t="s">
        <v>32894</v>
      </c>
      <c r="B1728" s="5" t="s">
        <v>32898</v>
      </c>
      <c r="C1728" s="3" t="s">
        <v>138</v>
      </c>
      <c r="D1728" s="4" t="s">
        <v>138</v>
      </c>
      <c r="E1728" s="15" t="s">
        <v>426</v>
      </c>
      <c r="F1728" s="15" t="s">
        <v>426</v>
      </c>
      <c r="G1728" s="15" t="s">
        <v>162</v>
      </c>
      <c r="H1728" s="7">
        <v>7</v>
      </c>
      <c r="I1728" s="6" t="s">
        <v>32905</v>
      </c>
      <c r="J1728" s="6" t="s">
        <v>45562</v>
      </c>
      <c r="K1728" s="6" t="s">
        <v>40657</v>
      </c>
      <c r="L1728" s="6" t="s">
        <v>39981</v>
      </c>
      <c r="M1728" s="6" t="s">
        <v>40751</v>
      </c>
      <c r="N1728" s="6" t="s">
        <v>44120</v>
      </c>
      <c r="O1728" s="6" t="s">
        <v>38200</v>
      </c>
      <c r="P1728" s="6" t="s">
        <v>40416</v>
      </c>
      <c r="Q1728" s="6"/>
      <c r="R1728" s="6"/>
      <c r="S1728" s="6"/>
      <c r="T1728" s="6"/>
      <c r="U1728" s="6"/>
      <c r="V1728" s="6"/>
      <c r="W1728" s="6"/>
      <c r="X1728" s="6"/>
      <c r="Y1728" s="6"/>
      <c r="Z1728" s="6"/>
      <c r="AA1728" s="6"/>
      <c r="AB1728" s="6"/>
      <c r="AC1728" s="6"/>
      <c r="AD1728" s="6"/>
      <c r="AE1728" s="6"/>
      <c r="AF1728" s="6"/>
      <c r="AG1728" s="6"/>
      <c r="AH1728" s="6"/>
      <c r="AI1728" s="6"/>
      <c r="AJ1728" s="6"/>
      <c r="AK1728" s="6"/>
      <c r="AL1728" s="6"/>
      <c r="AM1728" s="6"/>
      <c r="AN1728" s="6"/>
      <c r="AO1728" s="6"/>
      <c r="AP1728" s="6"/>
      <c r="AQ1728" s="6"/>
      <c r="AR1728" s="6"/>
      <c r="AS1728" s="6"/>
      <c r="AT1728" s="6"/>
      <c r="AU1728" s="6"/>
      <c r="AV1728" s="6"/>
      <c r="AW1728" s="6"/>
      <c r="AX1728" s="6"/>
      <c r="AY1728" s="6"/>
      <c r="AZ1728" s="6"/>
      <c r="BA1728" s="6"/>
      <c r="BB1728" s="6"/>
      <c r="BC1728" s="6"/>
      <c r="BD1728" s="6"/>
      <c r="BE1728" s="6"/>
      <c r="BF1728" s="6"/>
      <c r="BG1728" s="6"/>
      <c r="BH1728" s="6"/>
      <c r="BI1728" s="6"/>
      <c r="BJ1728" s="6"/>
      <c r="BK1728" s="6"/>
      <c r="BL1728" s="6"/>
      <c r="BM1728" s="6"/>
      <c r="BN1728" s="6"/>
      <c r="BO1728" s="6"/>
      <c r="BP1728" s="6"/>
      <c r="BQ1728" s="6"/>
      <c r="BR1728" s="6"/>
      <c r="BS1728" s="6"/>
      <c r="BT1728" s="6"/>
    </row>
    <row r="1729" spans="1:72">
      <c r="A1729" s="8" t="s">
        <v>32909</v>
      </c>
      <c r="B1729" s="11" t="s">
        <v>32913</v>
      </c>
      <c r="C1729" s="9" t="s">
        <v>138</v>
      </c>
      <c r="D1729" s="10" t="s">
        <v>138</v>
      </c>
      <c r="E1729" s="28" t="s">
        <v>3330</v>
      </c>
      <c r="F1729" s="28" t="s">
        <v>200</v>
      </c>
      <c r="G1729" s="28" t="s">
        <v>162</v>
      </c>
      <c r="H1729" s="13">
        <v>7</v>
      </c>
      <c r="I1729" s="12" t="s">
        <v>32919</v>
      </c>
      <c r="J1729" s="12" t="s">
        <v>45563</v>
      </c>
      <c r="K1729" s="12" t="s">
        <v>45564</v>
      </c>
      <c r="L1729" s="12" t="s">
        <v>42480</v>
      </c>
      <c r="M1729" s="12" t="s">
        <v>40444</v>
      </c>
      <c r="N1729" s="12" t="s">
        <v>45268</v>
      </c>
      <c r="O1729" s="12" t="s">
        <v>44516</v>
      </c>
      <c r="P1729" s="12" t="s">
        <v>39664</v>
      </c>
      <c r="Q1729" s="12"/>
      <c r="R1729" s="12"/>
      <c r="S1729" s="12"/>
      <c r="T1729" s="12"/>
      <c r="U1729" s="12"/>
      <c r="V1729" s="12"/>
      <c r="W1729" s="12"/>
      <c r="X1729" s="12"/>
      <c r="Y1729" s="12"/>
      <c r="Z1729" s="12"/>
      <c r="AA1729" s="12"/>
      <c r="AB1729" s="12"/>
      <c r="AC1729" s="12"/>
      <c r="AD1729" s="12"/>
      <c r="AE1729" s="12"/>
      <c r="AF1729" s="12"/>
      <c r="AG1729" s="12"/>
      <c r="AH1729" s="12"/>
      <c r="AI1729" s="12"/>
      <c r="AJ1729" s="12"/>
      <c r="AK1729" s="12"/>
      <c r="AL1729" s="12"/>
      <c r="AM1729" s="12"/>
      <c r="AN1729" s="12"/>
      <c r="AO1729" s="12"/>
      <c r="AP1729" s="12"/>
      <c r="AQ1729" s="12"/>
      <c r="AR1729" s="12"/>
      <c r="AS1729" s="12"/>
      <c r="AT1729" s="12"/>
      <c r="AU1729" s="12"/>
      <c r="AV1729" s="12"/>
      <c r="AW1729" s="12"/>
      <c r="AX1729" s="12"/>
      <c r="AY1729" s="12"/>
      <c r="AZ1729" s="12"/>
      <c r="BA1729" s="12"/>
      <c r="BB1729" s="12"/>
      <c r="BC1729" s="12"/>
      <c r="BD1729" s="12"/>
      <c r="BE1729" s="12"/>
      <c r="BF1729" s="12"/>
      <c r="BG1729" s="12"/>
      <c r="BH1729" s="12"/>
      <c r="BI1729" s="12"/>
      <c r="BJ1729" s="12"/>
      <c r="BK1729" s="12"/>
      <c r="BL1729" s="12"/>
      <c r="BM1729" s="12"/>
      <c r="BN1729" s="12"/>
      <c r="BO1729" s="12"/>
      <c r="BP1729" s="12"/>
      <c r="BQ1729" s="12"/>
      <c r="BR1729" s="12"/>
      <c r="BS1729" s="12"/>
      <c r="BT1729" s="12"/>
    </row>
    <row r="1730" spans="1:72">
      <c r="A1730" s="2" t="s">
        <v>32922</v>
      </c>
      <c r="B1730" s="5" t="s">
        <v>32929</v>
      </c>
      <c r="C1730" s="3" t="s">
        <v>32923</v>
      </c>
      <c r="D1730" s="4" t="s">
        <v>138</v>
      </c>
      <c r="E1730" s="15" t="s">
        <v>13653</v>
      </c>
      <c r="F1730" s="15" t="s">
        <v>13654</v>
      </c>
      <c r="G1730" s="15" t="s">
        <v>8999</v>
      </c>
      <c r="H1730" s="7">
        <v>1</v>
      </c>
      <c r="I1730" s="6" t="s">
        <v>2783</v>
      </c>
      <c r="J1730" s="6" t="s">
        <v>2783</v>
      </c>
      <c r="K1730" s="6"/>
      <c r="L1730" s="6"/>
      <c r="M1730" s="6"/>
      <c r="N1730" s="6"/>
      <c r="O1730" s="6"/>
      <c r="P1730" s="6"/>
      <c r="Q1730" s="6"/>
      <c r="R1730" s="6"/>
      <c r="S1730" s="6"/>
      <c r="T1730" s="6"/>
      <c r="U1730" s="6"/>
      <c r="V1730" s="6"/>
      <c r="W1730" s="6"/>
      <c r="X1730" s="6"/>
      <c r="Y1730" s="6"/>
      <c r="Z1730" s="6"/>
      <c r="AA1730" s="6"/>
      <c r="AB1730" s="6"/>
      <c r="AC1730" s="6"/>
      <c r="AD1730" s="6"/>
      <c r="AE1730" s="6"/>
      <c r="AF1730" s="6"/>
      <c r="AG1730" s="6"/>
      <c r="AH1730" s="6"/>
      <c r="AI1730" s="6"/>
      <c r="AJ1730" s="6"/>
      <c r="AK1730" s="6"/>
      <c r="AL1730" s="6"/>
      <c r="AM1730" s="6"/>
      <c r="AN1730" s="6"/>
      <c r="AO1730" s="6"/>
      <c r="AP1730" s="6"/>
      <c r="AQ1730" s="6"/>
      <c r="AR1730" s="6"/>
      <c r="AS1730" s="6"/>
      <c r="AT1730" s="6"/>
      <c r="AU1730" s="6"/>
      <c r="AV1730" s="6"/>
      <c r="AW1730" s="6"/>
      <c r="AX1730" s="6"/>
      <c r="AY1730" s="6"/>
      <c r="AZ1730" s="6"/>
      <c r="BA1730" s="6"/>
      <c r="BB1730" s="6"/>
      <c r="BC1730" s="6"/>
      <c r="BD1730" s="6"/>
      <c r="BE1730" s="6"/>
      <c r="BF1730" s="6"/>
      <c r="BG1730" s="6"/>
      <c r="BH1730" s="6"/>
      <c r="BI1730" s="6"/>
      <c r="BJ1730" s="6"/>
      <c r="BK1730" s="6"/>
      <c r="BL1730" s="6"/>
      <c r="BM1730" s="6"/>
      <c r="BN1730" s="6"/>
      <c r="BO1730" s="6"/>
      <c r="BP1730" s="6"/>
      <c r="BQ1730" s="6"/>
      <c r="BR1730" s="6"/>
      <c r="BS1730" s="6"/>
      <c r="BT1730" s="6"/>
    </row>
    <row r="1731" spans="1:72">
      <c r="A1731" s="8" t="s">
        <v>32940</v>
      </c>
      <c r="B1731" s="11" t="s">
        <v>32943</v>
      </c>
      <c r="C1731" s="9" t="s">
        <v>138</v>
      </c>
      <c r="D1731" s="10" t="s">
        <v>138</v>
      </c>
      <c r="E1731" s="28" t="s">
        <v>2391</v>
      </c>
      <c r="F1731" s="28" t="s">
        <v>200</v>
      </c>
      <c r="G1731" s="28" t="s">
        <v>162</v>
      </c>
      <c r="H1731" s="13">
        <v>5</v>
      </c>
      <c r="I1731" s="12" t="s">
        <v>32951</v>
      </c>
      <c r="J1731" s="12" t="s">
        <v>13176</v>
      </c>
      <c r="K1731" s="12" t="s">
        <v>45565</v>
      </c>
      <c r="L1731" s="12" t="s">
        <v>45566</v>
      </c>
      <c r="M1731" s="12" t="s">
        <v>45567</v>
      </c>
      <c r="N1731" s="12" t="s">
        <v>40019</v>
      </c>
      <c r="O1731" s="12"/>
      <c r="P1731" s="12"/>
      <c r="Q1731" s="12"/>
      <c r="R1731" s="12"/>
      <c r="S1731" s="12"/>
      <c r="T1731" s="12"/>
      <c r="U1731" s="12"/>
      <c r="V1731" s="12"/>
      <c r="W1731" s="12"/>
      <c r="X1731" s="12"/>
      <c r="Y1731" s="12"/>
      <c r="Z1731" s="12"/>
      <c r="AA1731" s="12"/>
      <c r="AB1731" s="12"/>
      <c r="AC1731" s="12"/>
      <c r="AD1731" s="12"/>
      <c r="AE1731" s="12"/>
      <c r="AF1731" s="12"/>
      <c r="AG1731" s="12"/>
      <c r="AH1731" s="12"/>
      <c r="AI1731" s="12"/>
      <c r="AJ1731" s="12"/>
      <c r="AK1731" s="12"/>
      <c r="AL1731" s="12"/>
      <c r="AM1731" s="12"/>
      <c r="AN1731" s="12"/>
      <c r="AO1731" s="12"/>
      <c r="AP1731" s="12"/>
      <c r="AQ1731" s="12"/>
      <c r="AR1731" s="12"/>
      <c r="AS1731" s="12"/>
      <c r="AT1731" s="12"/>
      <c r="AU1731" s="12"/>
      <c r="AV1731" s="12"/>
      <c r="AW1731" s="12"/>
      <c r="AX1731" s="12"/>
      <c r="AY1731" s="12"/>
      <c r="AZ1731" s="12"/>
      <c r="BA1731" s="12"/>
      <c r="BB1731" s="12"/>
      <c r="BC1731" s="12"/>
      <c r="BD1731" s="12"/>
      <c r="BE1731" s="12"/>
      <c r="BF1731" s="12"/>
      <c r="BG1731" s="12"/>
      <c r="BH1731" s="12"/>
      <c r="BI1731" s="12"/>
      <c r="BJ1731" s="12"/>
      <c r="BK1731" s="12"/>
      <c r="BL1731" s="12"/>
      <c r="BM1731" s="12"/>
      <c r="BN1731" s="12"/>
      <c r="BO1731" s="12"/>
      <c r="BP1731" s="12"/>
      <c r="BQ1731" s="12"/>
      <c r="BR1731" s="12"/>
      <c r="BS1731" s="12"/>
      <c r="BT1731" s="12"/>
    </row>
    <row r="1732" spans="1:72">
      <c r="A1732" s="2" t="s">
        <v>32954</v>
      </c>
      <c r="B1732" s="5" t="s">
        <v>32959</v>
      </c>
      <c r="C1732" s="3" t="s">
        <v>32955</v>
      </c>
      <c r="D1732" s="4" t="s">
        <v>138</v>
      </c>
      <c r="E1732" s="15" t="s">
        <v>18578</v>
      </c>
      <c r="F1732" s="15" t="s">
        <v>200</v>
      </c>
      <c r="G1732" s="15" t="s">
        <v>162</v>
      </c>
      <c r="H1732" s="7">
        <v>3</v>
      </c>
      <c r="I1732" s="6" t="s">
        <v>32968</v>
      </c>
      <c r="J1732" s="6" t="s">
        <v>40460</v>
      </c>
      <c r="K1732" s="6" t="s">
        <v>40155</v>
      </c>
      <c r="L1732" s="6" t="s">
        <v>45568</v>
      </c>
      <c r="M1732" s="6"/>
      <c r="N1732" s="6"/>
      <c r="O1732" s="6"/>
      <c r="P1732" s="6"/>
      <c r="Q1732" s="6"/>
      <c r="R1732" s="6"/>
      <c r="S1732" s="6"/>
      <c r="T1732" s="6"/>
      <c r="U1732" s="6"/>
      <c r="V1732" s="6"/>
      <c r="W1732" s="6"/>
      <c r="X1732" s="6"/>
      <c r="Y1732" s="6"/>
      <c r="Z1732" s="6"/>
      <c r="AA1732" s="6"/>
      <c r="AB1732" s="6"/>
      <c r="AC1732" s="6"/>
      <c r="AD1732" s="6"/>
      <c r="AE1732" s="6"/>
      <c r="AF1732" s="6"/>
      <c r="AG1732" s="6"/>
      <c r="AH1732" s="6"/>
      <c r="AI1732" s="6"/>
      <c r="AJ1732" s="6"/>
      <c r="AK1732" s="6"/>
      <c r="AL1732" s="6"/>
      <c r="AM1732" s="6"/>
      <c r="AN1732" s="6"/>
      <c r="AO1732" s="6"/>
      <c r="AP1732" s="6"/>
      <c r="AQ1732" s="6"/>
      <c r="AR1732" s="6"/>
      <c r="AS1732" s="6"/>
      <c r="AT1732" s="6"/>
      <c r="AU1732" s="6"/>
      <c r="AV1732" s="6"/>
      <c r="AW1732" s="6"/>
      <c r="AX1732" s="6"/>
      <c r="AY1732" s="6"/>
      <c r="AZ1732" s="6"/>
      <c r="BA1732" s="6"/>
      <c r="BB1732" s="6"/>
      <c r="BC1732" s="6"/>
      <c r="BD1732" s="6"/>
      <c r="BE1732" s="6"/>
      <c r="BF1732" s="6"/>
      <c r="BG1732" s="6"/>
      <c r="BH1732" s="6"/>
      <c r="BI1732" s="6"/>
      <c r="BJ1732" s="6"/>
      <c r="BK1732" s="6"/>
      <c r="BL1732" s="6"/>
      <c r="BM1732" s="6"/>
      <c r="BN1732" s="6"/>
      <c r="BO1732" s="6"/>
      <c r="BP1732" s="6"/>
      <c r="BQ1732" s="6"/>
      <c r="BR1732" s="6"/>
      <c r="BS1732" s="6"/>
      <c r="BT1732" s="6"/>
    </row>
    <row r="1733" spans="1:72">
      <c r="A1733" s="8" t="s">
        <v>32972</v>
      </c>
      <c r="B1733" s="11" t="s">
        <v>32977</v>
      </c>
      <c r="C1733" s="9" t="s">
        <v>138</v>
      </c>
      <c r="D1733" s="10" t="s">
        <v>32973</v>
      </c>
      <c r="E1733" s="28" t="s">
        <v>668</v>
      </c>
      <c r="F1733" s="28" t="s">
        <v>200</v>
      </c>
      <c r="G1733" s="28" t="s">
        <v>162</v>
      </c>
      <c r="H1733" s="13">
        <v>17</v>
      </c>
      <c r="I1733" s="12" t="s">
        <v>32985</v>
      </c>
      <c r="J1733" s="12" t="s">
        <v>39628</v>
      </c>
      <c r="K1733" s="12" t="s">
        <v>41195</v>
      </c>
      <c r="L1733" s="12" t="s">
        <v>42530</v>
      </c>
      <c r="M1733" s="12" t="s">
        <v>38299</v>
      </c>
      <c r="N1733" s="12" t="s">
        <v>38231</v>
      </c>
      <c r="O1733" s="12" t="s">
        <v>40314</v>
      </c>
      <c r="P1733" s="12" t="s">
        <v>37910</v>
      </c>
      <c r="Q1733" s="12" t="s">
        <v>37786</v>
      </c>
      <c r="R1733" s="12" t="s">
        <v>42532</v>
      </c>
      <c r="S1733" s="12" t="s">
        <v>45569</v>
      </c>
      <c r="T1733" s="12" t="s">
        <v>45570</v>
      </c>
      <c r="U1733" s="12" t="s">
        <v>45571</v>
      </c>
      <c r="V1733" s="12" t="s">
        <v>40184</v>
      </c>
      <c r="W1733" s="12" t="s">
        <v>45572</v>
      </c>
      <c r="X1733" s="12" t="s">
        <v>40143</v>
      </c>
      <c r="Y1733" s="12" t="s">
        <v>41974</v>
      </c>
      <c r="Z1733" s="12" t="s">
        <v>45573</v>
      </c>
      <c r="AA1733" s="12"/>
      <c r="AB1733" s="12"/>
      <c r="AC1733" s="12"/>
      <c r="AD1733" s="12"/>
      <c r="AE1733" s="12"/>
      <c r="AF1733" s="12"/>
      <c r="AG1733" s="12"/>
      <c r="AH1733" s="12"/>
      <c r="AI1733" s="12"/>
      <c r="AJ1733" s="12"/>
      <c r="AK1733" s="12"/>
      <c r="AL1733" s="12"/>
      <c r="AM1733" s="12"/>
      <c r="AN1733" s="12"/>
      <c r="AO1733" s="12"/>
      <c r="AP1733" s="12"/>
      <c r="AQ1733" s="12"/>
      <c r="AR1733" s="12"/>
      <c r="AS1733" s="12"/>
      <c r="AT1733" s="12"/>
      <c r="AU1733" s="12"/>
      <c r="AV1733" s="12"/>
      <c r="AW1733" s="12"/>
      <c r="AX1733" s="12"/>
      <c r="AY1733" s="12"/>
      <c r="AZ1733" s="12"/>
      <c r="BA1733" s="12"/>
      <c r="BB1733" s="12"/>
      <c r="BC1733" s="12"/>
      <c r="BD1733" s="12"/>
      <c r="BE1733" s="12"/>
      <c r="BF1733" s="12"/>
      <c r="BG1733" s="12"/>
      <c r="BH1733" s="12"/>
      <c r="BI1733" s="12"/>
      <c r="BJ1733" s="12"/>
      <c r="BK1733" s="12"/>
      <c r="BL1733" s="12"/>
      <c r="BM1733" s="12"/>
      <c r="BN1733" s="12"/>
      <c r="BO1733" s="12"/>
      <c r="BP1733" s="12"/>
      <c r="BQ1733" s="12"/>
      <c r="BR1733" s="12"/>
      <c r="BS1733" s="12"/>
      <c r="BT1733" s="12"/>
    </row>
    <row r="1734" spans="1:72">
      <c r="A1734" s="2" t="s">
        <v>32989</v>
      </c>
      <c r="B1734" s="5" t="s">
        <v>32995</v>
      </c>
      <c r="C1734" s="3" t="s">
        <v>32990</v>
      </c>
      <c r="D1734" s="4" t="s">
        <v>138</v>
      </c>
      <c r="E1734" s="15" t="s">
        <v>17029</v>
      </c>
      <c r="F1734" s="15" t="s">
        <v>4493</v>
      </c>
      <c r="G1734" s="15" t="s">
        <v>162</v>
      </c>
      <c r="H1734" s="7" t="s">
        <v>138</v>
      </c>
      <c r="I1734" s="6" t="s">
        <v>138</v>
      </c>
      <c r="J1734" s="6"/>
      <c r="K1734" s="6"/>
      <c r="L1734" s="6"/>
      <c r="M1734" s="6"/>
      <c r="N1734" s="6"/>
      <c r="O1734" s="6"/>
      <c r="P1734" s="6"/>
      <c r="Q1734" s="6"/>
      <c r="R1734" s="6"/>
      <c r="S1734" s="6"/>
      <c r="T1734" s="6"/>
      <c r="U1734" s="6"/>
      <c r="V1734" s="6"/>
      <c r="W1734" s="6"/>
      <c r="X1734" s="6"/>
      <c r="Y1734" s="6"/>
      <c r="Z1734" s="6"/>
      <c r="AA1734" s="6"/>
      <c r="AB1734" s="6"/>
      <c r="AC1734" s="6"/>
      <c r="AD1734" s="6"/>
      <c r="AE1734" s="6"/>
      <c r="AF1734" s="6"/>
      <c r="AG1734" s="6"/>
      <c r="AH1734" s="6"/>
      <c r="AI1734" s="6"/>
      <c r="AJ1734" s="6"/>
      <c r="AK1734" s="6"/>
      <c r="AL1734" s="6"/>
      <c r="AM1734" s="6"/>
      <c r="AN1734" s="6"/>
      <c r="AO1734" s="6"/>
      <c r="AP1734" s="6"/>
      <c r="AQ1734" s="6"/>
      <c r="AR1734" s="6"/>
      <c r="AS1734" s="6"/>
      <c r="AT1734" s="6"/>
      <c r="AU1734" s="6"/>
      <c r="AV1734" s="6"/>
      <c r="AW1734" s="6"/>
      <c r="AX1734" s="6"/>
      <c r="AY1734" s="6"/>
      <c r="AZ1734" s="6"/>
      <c r="BA1734" s="6"/>
      <c r="BB1734" s="6"/>
      <c r="BC1734" s="6"/>
      <c r="BD1734" s="6"/>
      <c r="BE1734" s="6"/>
      <c r="BF1734" s="6"/>
      <c r="BG1734" s="6"/>
      <c r="BH1734" s="6"/>
      <c r="BI1734" s="6"/>
      <c r="BJ1734" s="6"/>
      <c r="BK1734" s="6"/>
      <c r="BL1734" s="6"/>
      <c r="BM1734" s="6"/>
      <c r="BN1734" s="6"/>
      <c r="BO1734" s="6"/>
      <c r="BP1734" s="6"/>
      <c r="BQ1734" s="6"/>
      <c r="BR1734" s="6"/>
      <c r="BS1734" s="6"/>
      <c r="BT1734" s="6"/>
    </row>
    <row r="1735" spans="1:72">
      <c r="A1735" s="8" t="s">
        <v>33010</v>
      </c>
      <c r="B1735" s="11" t="s">
        <v>33014</v>
      </c>
      <c r="C1735" s="9" t="s">
        <v>138</v>
      </c>
      <c r="D1735" s="10" t="s">
        <v>138</v>
      </c>
      <c r="E1735" s="28" t="s">
        <v>449</v>
      </c>
      <c r="F1735" s="28" t="s">
        <v>138</v>
      </c>
      <c r="G1735" s="28" t="s">
        <v>450</v>
      </c>
      <c r="H1735" s="13">
        <v>5</v>
      </c>
      <c r="I1735" s="12" t="s">
        <v>33022</v>
      </c>
      <c r="J1735" s="12" t="s">
        <v>455</v>
      </c>
      <c r="K1735" s="12" t="s">
        <v>45574</v>
      </c>
      <c r="L1735" s="12" t="s">
        <v>45575</v>
      </c>
      <c r="M1735" s="12" t="s">
        <v>40049</v>
      </c>
      <c r="N1735" s="12" t="s">
        <v>43169</v>
      </c>
      <c r="O1735" s="12"/>
      <c r="P1735" s="12"/>
      <c r="Q1735" s="12"/>
      <c r="R1735" s="12"/>
      <c r="S1735" s="12"/>
      <c r="T1735" s="12"/>
      <c r="U1735" s="12"/>
      <c r="V1735" s="12"/>
      <c r="W1735" s="12"/>
      <c r="X1735" s="12"/>
      <c r="Y1735" s="12"/>
      <c r="Z1735" s="12"/>
      <c r="AA1735" s="12"/>
      <c r="AB1735" s="12"/>
      <c r="AC1735" s="12"/>
      <c r="AD1735" s="12"/>
      <c r="AE1735" s="12"/>
      <c r="AF1735" s="12"/>
      <c r="AG1735" s="12"/>
      <c r="AH1735" s="12"/>
      <c r="AI1735" s="12"/>
      <c r="AJ1735" s="12"/>
      <c r="AK1735" s="12"/>
      <c r="AL1735" s="12"/>
      <c r="AM1735" s="12"/>
      <c r="AN1735" s="12"/>
      <c r="AO1735" s="12"/>
      <c r="AP1735" s="12"/>
      <c r="AQ1735" s="12"/>
      <c r="AR1735" s="12"/>
      <c r="AS1735" s="12"/>
      <c r="AT1735" s="12"/>
      <c r="AU1735" s="12"/>
      <c r="AV1735" s="12"/>
      <c r="AW1735" s="12"/>
      <c r="AX1735" s="12"/>
      <c r="AY1735" s="12"/>
      <c r="AZ1735" s="12"/>
      <c r="BA1735" s="12"/>
      <c r="BB1735" s="12"/>
      <c r="BC1735" s="12"/>
      <c r="BD1735" s="12"/>
      <c r="BE1735" s="12"/>
      <c r="BF1735" s="12"/>
      <c r="BG1735" s="12"/>
      <c r="BH1735" s="12"/>
      <c r="BI1735" s="12"/>
      <c r="BJ1735" s="12"/>
      <c r="BK1735" s="12"/>
      <c r="BL1735" s="12"/>
      <c r="BM1735" s="12"/>
      <c r="BN1735" s="12"/>
      <c r="BO1735" s="12"/>
      <c r="BP1735" s="12"/>
      <c r="BQ1735" s="12"/>
      <c r="BR1735" s="12"/>
      <c r="BS1735" s="12"/>
      <c r="BT1735" s="12"/>
    </row>
    <row r="1736" spans="1:72">
      <c r="A1736" s="2" t="s">
        <v>33025</v>
      </c>
      <c r="B1736" s="5" t="s">
        <v>33029</v>
      </c>
      <c r="C1736" s="3" t="s">
        <v>138</v>
      </c>
      <c r="D1736" s="4" t="s">
        <v>33026</v>
      </c>
      <c r="E1736" s="15" t="s">
        <v>6232</v>
      </c>
      <c r="F1736" s="15" t="s">
        <v>371</v>
      </c>
      <c r="G1736" s="15" t="s">
        <v>162</v>
      </c>
      <c r="H1736" s="7">
        <v>2</v>
      </c>
      <c r="I1736" s="6" t="s">
        <v>33037</v>
      </c>
      <c r="J1736" s="6" t="s">
        <v>12498</v>
      </c>
      <c r="K1736" s="6" t="s">
        <v>45568</v>
      </c>
      <c r="L1736" s="6"/>
      <c r="M1736" s="6"/>
      <c r="N1736" s="6"/>
      <c r="O1736" s="6"/>
      <c r="P1736" s="6"/>
      <c r="Q1736" s="6"/>
      <c r="R1736" s="6"/>
      <c r="S1736" s="6"/>
      <c r="T1736" s="6"/>
      <c r="U1736" s="6"/>
      <c r="V1736" s="6"/>
      <c r="W1736" s="6"/>
      <c r="X1736" s="6"/>
      <c r="Y1736" s="6"/>
      <c r="Z1736" s="6"/>
      <c r="AA1736" s="6"/>
      <c r="AB1736" s="6"/>
      <c r="AC1736" s="6"/>
      <c r="AD1736" s="6"/>
      <c r="AE1736" s="6"/>
      <c r="AF1736" s="6"/>
      <c r="AG1736" s="6"/>
      <c r="AH1736" s="6"/>
      <c r="AI1736" s="6"/>
      <c r="AJ1736" s="6"/>
      <c r="AK1736" s="6"/>
      <c r="AL1736" s="6"/>
      <c r="AM1736" s="6"/>
      <c r="AN1736" s="6"/>
      <c r="AO1736" s="6"/>
      <c r="AP1736" s="6"/>
      <c r="AQ1736" s="6"/>
      <c r="AR1736" s="6"/>
      <c r="AS1736" s="6"/>
      <c r="AT1736" s="6"/>
      <c r="AU1736" s="6"/>
      <c r="AV1736" s="6"/>
      <c r="AW1736" s="6"/>
      <c r="AX1736" s="6"/>
      <c r="AY1736" s="6"/>
      <c r="AZ1736" s="6"/>
      <c r="BA1736" s="6"/>
      <c r="BB1736" s="6"/>
      <c r="BC1736" s="6"/>
      <c r="BD1736" s="6"/>
      <c r="BE1736" s="6"/>
      <c r="BF1736" s="6"/>
      <c r="BG1736" s="6"/>
      <c r="BH1736" s="6"/>
      <c r="BI1736" s="6"/>
      <c r="BJ1736" s="6"/>
      <c r="BK1736" s="6"/>
      <c r="BL1736" s="6"/>
      <c r="BM1736" s="6"/>
      <c r="BN1736" s="6"/>
      <c r="BO1736" s="6"/>
      <c r="BP1736" s="6"/>
      <c r="BQ1736" s="6"/>
      <c r="BR1736" s="6"/>
      <c r="BS1736" s="6"/>
      <c r="BT1736" s="6"/>
    </row>
    <row r="1737" spans="1:72">
      <c r="A1737" s="8" t="s">
        <v>33041</v>
      </c>
      <c r="B1737" s="11" t="s">
        <v>33047</v>
      </c>
      <c r="C1737" s="9" t="s">
        <v>138</v>
      </c>
      <c r="D1737" s="10" t="s">
        <v>33042</v>
      </c>
      <c r="E1737" s="28" t="s">
        <v>823</v>
      </c>
      <c r="F1737" s="28" t="s">
        <v>824</v>
      </c>
      <c r="G1737" s="28" t="s">
        <v>526</v>
      </c>
      <c r="H1737" s="13">
        <v>10</v>
      </c>
      <c r="I1737" s="12" t="s">
        <v>33058</v>
      </c>
      <c r="J1737" s="12" t="s">
        <v>39433</v>
      </c>
      <c r="K1737" s="12" t="s">
        <v>38339</v>
      </c>
      <c r="L1737" s="12" t="s">
        <v>38075</v>
      </c>
      <c r="M1737" s="12" t="s">
        <v>42129</v>
      </c>
      <c r="N1737" s="12" t="s">
        <v>38590</v>
      </c>
      <c r="O1737" s="12" t="s">
        <v>40201</v>
      </c>
      <c r="P1737" s="12" t="s">
        <v>45576</v>
      </c>
      <c r="Q1737" s="12" t="s">
        <v>39724</v>
      </c>
      <c r="R1737" s="12" t="s">
        <v>38321</v>
      </c>
      <c r="S1737" s="12" t="s">
        <v>42986</v>
      </c>
      <c r="T1737" s="12"/>
      <c r="U1737" s="12"/>
      <c r="V1737" s="12"/>
      <c r="W1737" s="12"/>
      <c r="X1737" s="12"/>
      <c r="Y1737" s="12"/>
      <c r="Z1737" s="12"/>
      <c r="AA1737" s="12"/>
      <c r="AB1737" s="12"/>
      <c r="AC1737" s="12"/>
      <c r="AD1737" s="12"/>
      <c r="AE1737" s="12"/>
      <c r="AF1737" s="12"/>
      <c r="AG1737" s="12"/>
      <c r="AH1737" s="12"/>
      <c r="AI1737" s="12"/>
      <c r="AJ1737" s="12"/>
      <c r="AK1737" s="12"/>
      <c r="AL1737" s="12"/>
      <c r="AM1737" s="12"/>
      <c r="AN1737" s="12"/>
      <c r="AO1737" s="12"/>
      <c r="AP1737" s="12"/>
      <c r="AQ1737" s="12"/>
      <c r="AR1737" s="12"/>
      <c r="AS1737" s="12"/>
      <c r="AT1737" s="12"/>
      <c r="AU1737" s="12"/>
      <c r="AV1737" s="12"/>
      <c r="AW1737" s="12"/>
      <c r="AX1737" s="12"/>
      <c r="AY1737" s="12"/>
      <c r="AZ1737" s="12"/>
      <c r="BA1737" s="12"/>
      <c r="BB1737" s="12"/>
      <c r="BC1737" s="12"/>
      <c r="BD1737" s="12"/>
      <c r="BE1737" s="12"/>
      <c r="BF1737" s="12"/>
      <c r="BG1737" s="12"/>
      <c r="BH1737" s="12"/>
      <c r="BI1737" s="12"/>
      <c r="BJ1737" s="12"/>
      <c r="BK1737" s="12"/>
      <c r="BL1737" s="12"/>
      <c r="BM1737" s="12"/>
      <c r="BN1737" s="12"/>
      <c r="BO1737" s="12"/>
      <c r="BP1737" s="12"/>
      <c r="BQ1737" s="12"/>
      <c r="BR1737" s="12"/>
      <c r="BS1737" s="12"/>
      <c r="BT1737" s="12"/>
    </row>
    <row r="1738" spans="1:72">
      <c r="A1738" s="2" t="s">
        <v>33063</v>
      </c>
      <c r="B1738" s="5" t="s">
        <v>33068</v>
      </c>
      <c r="C1738" s="3" t="s">
        <v>138</v>
      </c>
      <c r="D1738" s="4" t="s">
        <v>138</v>
      </c>
      <c r="E1738" s="15" t="s">
        <v>1460</v>
      </c>
      <c r="F1738" s="15" t="s">
        <v>474</v>
      </c>
      <c r="G1738" s="15" t="s">
        <v>162</v>
      </c>
      <c r="H1738" s="7">
        <v>2</v>
      </c>
      <c r="I1738" s="6" t="s">
        <v>33078</v>
      </c>
      <c r="J1738" s="6" t="s">
        <v>45577</v>
      </c>
      <c r="K1738" s="6" t="s">
        <v>38363</v>
      </c>
      <c r="L1738" s="6"/>
      <c r="M1738" s="6"/>
      <c r="N1738" s="6"/>
      <c r="O1738" s="6"/>
      <c r="P1738" s="6"/>
      <c r="Q1738" s="6"/>
      <c r="R1738" s="6"/>
      <c r="S1738" s="6"/>
      <c r="T1738" s="6"/>
      <c r="U1738" s="6"/>
      <c r="V1738" s="6"/>
      <c r="W1738" s="6"/>
      <c r="X1738" s="6"/>
      <c r="Y1738" s="6"/>
      <c r="Z1738" s="6"/>
      <c r="AA1738" s="6"/>
      <c r="AB1738" s="6"/>
      <c r="AC1738" s="6"/>
      <c r="AD1738" s="6"/>
      <c r="AE1738" s="6"/>
      <c r="AF1738" s="6"/>
      <c r="AG1738" s="6"/>
      <c r="AH1738" s="6"/>
      <c r="AI1738" s="6"/>
      <c r="AJ1738" s="6"/>
      <c r="AK1738" s="6"/>
      <c r="AL1738" s="6"/>
      <c r="AM1738" s="6"/>
      <c r="AN1738" s="6"/>
      <c r="AO1738" s="6"/>
      <c r="AP1738" s="6"/>
      <c r="AQ1738" s="6"/>
      <c r="AR1738" s="6"/>
      <c r="AS1738" s="6"/>
      <c r="AT1738" s="6"/>
      <c r="AU1738" s="6"/>
      <c r="AV1738" s="6"/>
      <c r="AW1738" s="6"/>
      <c r="AX1738" s="6"/>
      <c r="AY1738" s="6"/>
      <c r="AZ1738" s="6"/>
      <c r="BA1738" s="6"/>
      <c r="BB1738" s="6"/>
      <c r="BC1738" s="6"/>
      <c r="BD1738" s="6"/>
      <c r="BE1738" s="6"/>
      <c r="BF1738" s="6"/>
      <c r="BG1738" s="6"/>
      <c r="BH1738" s="6"/>
      <c r="BI1738" s="6"/>
      <c r="BJ1738" s="6"/>
      <c r="BK1738" s="6"/>
      <c r="BL1738" s="6"/>
      <c r="BM1738" s="6"/>
      <c r="BN1738" s="6"/>
      <c r="BO1738" s="6"/>
      <c r="BP1738" s="6"/>
      <c r="BQ1738" s="6"/>
      <c r="BR1738" s="6"/>
      <c r="BS1738" s="6"/>
      <c r="BT1738" s="6"/>
    </row>
    <row r="1739" spans="1:72">
      <c r="A1739" s="8" t="s">
        <v>33080</v>
      </c>
      <c r="B1739" s="11" t="s">
        <v>33087</v>
      </c>
      <c r="C1739" s="9" t="s">
        <v>33081</v>
      </c>
      <c r="D1739" s="10" t="s">
        <v>138</v>
      </c>
      <c r="E1739" s="28" t="s">
        <v>2651</v>
      </c>
      <c r="F1739" s="28" t="s">
        <v>200</v>
      </c>
      <c r="G1739" s="28" t="s">
        <v>162</v>
      </c>
      <c r="H1739" s="13">
        <v>10</v>
      </c>
      <c r="I1739" s="12" t="s">
        <v>33096</v>
      </c>
      <c r="J1739" s="12" t="s">
        <v>42936</v>
      </c>
      <c r="K1739" s="12" t="s">
        <v>37936</v>
      </c>
      <c r="L1739" s="12" t="s">
        <v>39639</v>
      </c>
      <c r="M1739" s="12" t="s">
        <v>38317</v>
      </c>
      <c r="N1739" s="12" t="s">
        <v>37787</v>
      </c>
      <c r="O1739" s="12" t="s">
        <v>38321</v>
      </c>
      <c r="P1739" s="12" t="s">
        <v>38322</v>
      </c>
      <c r="Q1739" s="12" t="s">
        <v>41622</v>
      </c>
      <c r="R1739" s="12" t="s">
        <v>38323</v>
      </c>
      <c r="S1739" s="12" t="s">
        <v>38200</v>
      </c>
      <c r="T1739" s="12"/>
      <c r="U1739" s="12"/>
      <c r="V1739" s="12"/>
      <c r="W1739" s="12"/>
      <c r="X1739" s="12"/>
      <c r="Y1739" s="12"/>
      <c r="Z1739" s="12"/>
      <c r="AA1739" s="12"/>
      <c r="AB1739" s="12"/>
      <c r="AC1739" s="12"/>
      <c r="AD1739" s="12"/>
      <c r="AE1739" s="12"/>
      <c r="AF1739" s="12"/>
      <c r="AG1739" s="12"/>
      <c r="AH1739" s="12"/>
      <c r="AI1739" s="12"/>
      <c r="AJ1739" s="12"/>
      <c r="AK1739" s="12"/>
      <c r="AL1739" s="12"/>
      <c r="AM1739" s="12"/>
      <c r="AN1739" s="12"/>
      <c r="AO1739" s="12"/>
      <c r="AP1739" s="12"/>
      <c r="AQ1739" s="12"/>
      <c r="AR1739" s="12"/>
      <c r="AS1739" s="12"/>
      <c r="AT1739" s="12"/>
      <c r="AU1739" s="12"/>
      <c r="AV1739" s="12"/>
      <c r="AW1739" s="12"/>
      <c r="AX1739" s="12"/>
      <c r="AY1739" s="12"/>
      <c r="AZ1739" s="12"/>
      <c r="BA1739" s="12"/>
      <c r="BB1739" s="12"/>
      <c r="BC1739" s="12"/>
      <c r="BD1739" s="12"/>
      <c r="BE1739" s="12"/>
      <c r="BF1739" s="12"/>
      <c r="BG1739" s="12"/>
      <c r="BH1739" s="12"/>
      <c r="BI1739" s="12"/>
      <c r="BJ1739" s="12"/>
      <c r="BK1739" s="12"/>
      <c r="BL1739" s="12"/>
      <c r="BM1739" s="12"/>
      <c r="BN1739" s="12"/>
      <c r="BO1739" s="12"/>
      <c r="BP1739" s="12"/>
      <c r="BQ1739" s="12"/>
      <c r="BR1739" s="12"/>
      <c r="BS1739" s="12"/>
      <c r="BT1739" s="12"/>
    </row>
    <row r="1740" spans="1:72">
      <c r="A1740" s="2" t="s">
        <v>33103</v>
      </c>
      <c r="B1740" s="5" t="s">
        <v>33108</v>
      </c>
      <c r="C1740" s="3" t="s">
        <v>138</v>
      </c>
      <c r="D1740" s="4" t="s">
        <v>138</v>
      </c>
      <c r="E1740" s="15" t="s">
        <v>426</v>
      </c>
      <c r="F1740" s="15" t="s">
        <v>426</v>
      </c>
      <c r="G1740" s="15" t="s">
        <v>162</v>
      </c>
      <c r="H1740" s="7">
        <v>7</v>
      </c>
      <c r="I1740" s="6" t="s">
        <v>33115</v>
      </c>
      <c r="J1740" s="6" t="s">
        <v>34505</v>
      </c>
      <c r="K1740" s="6" t="s">
        <v>37819</v>
      </c>
      <c r="L1740" s="6" t="s">
        <v>38739</v>
      </c>
      <c r="M1740" s="6" t="s">
        <v>42505</v>
      </c>
      <c r="N1740" s="6" t="s">
        <v>45578</v>
      </c>
      <c r="O1740" s="6" t="s">
        <v>45579</v>
      </c>
      <c r="P1740" s="6" t="s">
        <v>45580</v>
      </c>
      <c r="Q1740" s="6"/>
      <c r="R1740" s="6"/>
      <c r="S1740" s="6"/>
      <c r="T1740" s="6"/>
      <c r="U1740" s="6"/>
      <c r="V1740" s="6"/>
      <c r="W1740" s="6"/>
      <c r="X1740" s="6"/>
      <c r="Y1740" s="6"/>
      <c r="Z1740" s="6"/>
      <c r="AA1740" s="6"/>
      <c r="AB1740" s="6"/>
      <c r="AC1740" s="6"/>
      <c r="AD1740" s="6"/>
      <c r="AE1740" s="6"/>
      <c r="AF1740" s="6"/>
      <c r="AG1740" s="6"/>
      <c r="AH1740" s="6"/>
      <c r="AI1740" s="6"/>
      <c r="AJ1740" s="6"/>
      <c r="AK1740" s="6"/>
      <c r="AL1740" s="6"/>
      <c r="AM1740" s="6"/>
      <c r="AN1740" s="6"/>
      <c r="AO1740" s="6"/>
      <c r="AP1740" s="6"/>
      <c r="AQ1740" s="6"/>
      <c r="AR1740" s="6"/>
      <c r="AS1740" s="6"/>
      <c r="AT1740" s="6"/>
      <c r="AU1740" s="6"/>
      <c r="AV1740" s="6"/>
      <c r="AW1740" s="6"/>
      <c r="AX1740" s="6"/>
      <c r="AY1740" s="6"/>
      <c r="AZ1740" s="6"/>
      <c r="BA1740" s="6"/>
      <c r="BB1740" s="6"/>
      <c r="BC1740" s="6"/>
      <c r="BD1740" s="6"/>
      <c r="BE1740" s="6"/>
      <c r="BF1740" s="6"/>
      <c r="BG1740" s="6"/>
      <c r="BH1740" s="6"/>
      <c r="BI1740" s="6"/>
      <c r="BJ1740" s="6"/>
      <c r="BK1740" s="6"/>
      <c r="BL1740" s="6"/>
      <c r="BM1740" s="6"/>
      <c r="BN1740" s="6"/>
      <c r="BO1740" s="6"/>
      <c r="BP1740" s="6"/>
      <c r="BQ1740" s="6"/>
      <c r="BR1740" s="6"/>
      <c r="BS1740" s="6"/>
      <c r="BT1740" s="6"/>
    </row>
    <row r="1741" spans="1:72">
      <c r="A1741" s="8" t="s">
        <v>33118</v>
      </c>
      <c r="B1741" s="11" t="s">
        <v>33123</v>
      </c>
      <c r="C1741" s="9" t="s">
        <v>138</v>
      </c>
      <c r="D1741" s="10" t="s">
        <v>138</v>
      </c>
      <c r="E1741" s="28" t="s">
        <v>966</v>
      </c>
      <c r="F1741" s="28" t="s">
        <v>200</v>
      </c>
      <c r="G1741" s="28" t="s">
        <v>162</v>
      </c>
      <c r="H1741" s="13">
        <v>16</v>
      </c>
      <c r="I1741" s="12" t="s">
        <v>33132</v>
      </c>
      <c r="J1741" s="12" t="s">
        <v>37811</v>
      </c>
      <c r="K1741" s="12" t="s">
        <v>45581</v>
      </c>
      <c r="L1741" s="12" t="s">
        <v>45582</v>
      </c>
      <c r="M1741" s="12" t="s">
        <v>38339</v>
      </c>
      <c r="N1741" s="12" t="s">
        <v>38555</v>
      </c>
      <c r="O1741" s="12" t="s">
        <v>40657</v>
      </c>
      <c r="P1741" s="12" t="s">
        <v>40149</v>
      </c>
      <c r="Q1741" s="12" t="s">
        <v>45583</v>
      </c>
      <c r="R1741" s="12" t="s">
        <v>38688</v>
      </c>
      <c r="S1741" s="12" t="s">
        <v>37824</v>
      </c>
      <c r="T1741" s="12" t="s">
        <v>40560</v>
      </c>
      <c r="U1741" s="12" t="s">
        <v>38319</v>
      </c>
      <c r="V1741" s="12" t="s">
        <v>38320</v>
      </c>
      <c r="W1741" s="12" t="s">
        <v>42981</v>
      </c>
      <c r="X1741" s="12" t="s">
        <v>45584</v>
      </c>
      <c r="Y1741" s="12" t="s">
        <v>38326</v>
      </c>
      <c r="Z1741" s="12"/>
      <c r="AA1741" s="12"/>
      <c r="AB1741" s="12"/>
      <c r="AC1741" s="12"/>
      <c r="AD1741" s="12"/>
      <c r="AE1741" s="12"/>
      <c r="AF1741" s="12"/>
      <c r="AG1741" s="12"/>
      <c r="AH1741" s="12"/>
      <c r="AI1741" s="12"/>
      <c r="AJ1741" s="12"/>
      <c r="AK1741" s="12"/>
      <c r="AL1741" s="12"/>
      <c r="AM1741" s="12"/>
      <c r="AN1741" s="12"/>
      <c r="AO1741" s="12"/>
      <c r="AP1741" s="12"/>
      <c r="AQ1741" s="12"/>
      <c r="AR1741" s="12"/>
      <c r="AS1741" s="12"/>
      <c r="AT1741" s="12"/>
      <c r="AU1741" s="12"/>
      <c r="AV1741" s="12"/>
      <c r="AW1741" s="12"/>
      <c r="AX1741" s="12"/>
      <c r="AY1741" s="12"/>
      <c r="AZ1741" s="12"/>
      <c r="BA1741" s="12"/>
      <c r="BB1741" s="12"/>
      <c r="BC1741" s="12"/>
      <c r="BD1741" s="12"/>
      <c r="BE1741" s="12"/>
      <c r="BF1741" s="12"/>
      <c r="BG1741" s="12"/>
      <c r="BH1741" s="12"/>
      <c r="BI1741" s="12"/>
      <c r="BJ1741" s="12"/>
      <c r="BK1741" s="12"/>
      <c r="BL1741" s="12"/>
      <c r="BM1741" s="12"/>
      <c r="BN1741" s="12"/>
      <c r="BO1741" s="12"/>
      <c r="BP1741" s="12"/>
      <c r="BQ1741" s="12"/>
      <c r="BR1741" s="12"/>
      <c r="BS1741" s="12"/>
      <c r="BT1741" s="12"/>
    </row>
    <row r="1742" spans="1:72">
      <c r="A1742" s="2" t="s">
        <v>33136</v>
      </c>
      <c r="B1742" s="5" t="s">
        <v>33141</v>
      </c>
      <c r="C1742" s="3" t="s">
        <v>138</v>
      </c>
      <c r="D1742" s="4" t="s">
        <v>33137</v>
      </c>
      <c r="E1742" s="15" t="s">
        <v>1246</v>
      </c>
      <c r="F1742" s="15" t="s">
        <v>200</v>
      </c>
      <c r="G1742" s="15" t="s">
        <v>162</v>
      </c>
      <c r="H1742" s="7">
        <v>12</v>
      </c>
      <c r="I1742" s="6" t="s">
        <v>33148</v>
      </c>
      <c r="J1742" s="6" t="s">
        <v>45585</v>
      </c>
      <c r="K1742" s="6" t="s">
        <v>40875</v>
      </c>
      <c r="L1742" s="6" t="s">
        <v>45409</v>
      </c>
      <c r="M1742" s="6" t="s">
        <v>45586</v>
      </c>
      <c r="N1742" s="6" t="s">
        <v>45587</v>
      </c>
      <c r="O1742" s="6" t="s">
        <v>40169</v>
      </c>
      <c r="P1742" s="6" t="s">
        <v>45588</v>
      </c>
      <c r="Q1742" s="6" t="s">
        <v>40464</v>
      </c>
      <c r="R1742" s="6" t="s">
        <v>45589</v>
      </c>
      <c r="S1742" s="6" t="s">
        <v>45590</v>
      </c>
      <c r="T1742" s="6" t="s">
        <v>37998</v>
      </c>
      <c r="U1742" s="6" t="s">
        <v>45591</v>
      </c>
      <c r="V1742" s="6"/>
      <c r="W1742" s="6"/>
      <c r="X1742" s="6"/>
      <c r="Y1742" s="6"/>
      <c r="Z1742" s="6"/>
      <c r="AA1742" s="6"/>
      <c r="AB1742" s="6"/>
      <c r="AC1742" s="6"/>
      <c r="AD1742" s="6"/>
      <c r="AE1742" s="6"/>
      <c r="AF1742" s="6"/>
      <c r="AG1742" s="6"/>
      <c r="AH1742" s="6"/>
      <c r="AI1742" s="6"/>
      <c r="AJ1742" s="6"/>
      <c r="AK1742" s="6"/>
      <c r="AL1742" s="6"/>
      <c r="AM1742" s="6"/>
      <c r="AN1742" s="6"/>
      <c r="AO1742" s="6"/>
      <c r="AP1742" s="6"/>
      <c r="AQ1742" s="6"/>
      <c r="AR1742" s="6"/>
      <c r="AS1742" s="6"/>
      <c r="AT1742" s="6"/>
      <c r="AU1742" s="6"/>
      <c r="AV1742" s="6"/>
      <c r="AW1742" s="6"/>
      <c r="AX1742" s="6"/>
      <c r="AY1742" s="6"/>
      <c r="AZ1742" s="6"/>
      <c r="BA1742" s="6"/>
      <c r="BB1742" s="6"/>
      <c r="BC1742" s="6"/>
      <c r="BD1742" s="6"/>
      <c r="BE1742" s="6"/>
      <c r="BF1742" s="6"/>
      <c r="BG1742" s="6"/>
      <c r="BH1742" s="6"/>
      <c r="BI1742" s="6"/>
      <c r="BJ1742" s="6"/>
      <c r="BK1742" s="6"/>
      <c r="BL1742" s="6"/>
      <c r="BM1742" s="6"/>
      <c r="BN1742" s="6"/>
      <c r="BO1742" s="6"/>
      <c r="BP1742" s="6"/>
      <c r="BQ1742" s="6"/>
      <c r="BR1742" s="6"/>
      <c r="BS1742" s="6"/>
      <c r="BT1742" s="6"/>
    </row>
    <row r="1743" spans="1:72">
      <c r="A1743" s="8" t="s">
        <v>33153</v>
      </c>
      <c r="B1743" s="11" t="s">
        <v>33158</v>
      </c>
      <c r="C1743" s="9" t="s">
        <v>33154</v>
      </c>
      <c r="D1743" s="10" t="s">
        <v>138</v>
      </c>
      <c r="E1743" s="28" t="s">
        <v>33166</v>
      </c>
      <c r="F1743" s="28" t="s">
        <v>160</v>
      </c>
      <c r="G1743" s="28" t="s">
        <v>162</v>
      </c>
      <c r="H1743" s="13">
        <v>5</v>
      </c>
      <c r="I1743" s="12" t="s">
        <v>33171</v>
      </c>
      <c r="J1743" s="12" t="s">
        <v>45592</v>
      </c>
      <c r="K1743" s="12" t="s">
        <v>45593</v>
      </c>
      <c r="L1743" s="12" t="s">
        <v>45594</v>
      </c>
      <c r="M1743" s="12" t="s">
        <v>37931</v>
      </c>
      <c r="N1743" s="12" t="s">
        <v>44461</v>
      </c>
      <c r="O1743" s="12"/>
      <c r="P1743" s="12"/>
      <c r="Q1743" s="12"/>
      <c r="R1743" s="12"/>
      <c r="S1743" s="12"/>
      <c r="T1743" s="12"/>
      <c r="U1743" s="12"/>
      <c r="V1743" s="12"/>
      <c r="W1743" s="12"/>
      <c r="X1743" s="12"/>
      <c r="Y1743" s="12"/>
      <c r="Z1743" s="12"/>
      <c r="AA1743" s="12"/>
      <c r="AB1743" s="12"/>
      <c r="AC1743" s="12"/>
      <c r="AD1743" s="12"/>
      <c r="AE1743" s="12"/>
      <c r="AF1743" s="12"/>
      <c r="AG1743" s="12"/>
      <c r="AH1743" s="12"/>
      <c r="AI1743" s="12"/>
      <c r="AJ1743" s="12"/>
      <c r="AK1743" s="12"/>
      <c r="AL1743" s="12"/>
      <c r="AM1743" s="12"/>
      <c r="AN1743" s="12"/>
      <c r="AO1743" s="12"/>
      <c r="AP1743" s="12"/>
      <c r="AQ1743" s="12"/>
      <c r="AR1743" s="12"/>
      <c r="AS1743" s="12"/>
      <c r="AT1743" s="12"/>
      <c r="AU1743" s="12"/>
      <c r="AV1743" s="12"/>
      <c r="AW1743" s="12"/>
      <c r="AX1743" s="12"/>
      <c r="AY1743" s="12"/>
      <c r="AZ1743" s="12"/>
      <c r="BA1743" s="12"/>
      <c r="BB1743" s="12"/>
      <c r="BC1743" s="12"/>
      <c r="BD1743" s="12"/>
      <c r="BE1743" s="12"/>
      <c r="BF1743" s="12"/>
      <c r="BG1743" s="12"/>
      <c r="BH1743" s="12"/>
      <c r="BI1743" s="12"/>
      <c r="BJ1743" s="12"/>
      <c r="BK1743" s="12"/>
      <c r="BL1743" s="12"/>
      <c r="BM1743" s="12"/>
      <c r="BN1743" s="12"/>
      <c r="BO1743" s="12"/>
      <c r="BP1743" s="12"/>
      <c r="BQ1743" s="12"/>
      <c r="BR1743" s="12"/>
      <c r="BS1743" s="12"/>
      <c r="BT1743" s="12"/>
    </row>
    <row r="1744" spans="1:72">
      <c r="A1744" s="2" t="s">
        <v>33176</v>
      </c>
      <c r="B1744" s="5" t="s">
        <v>33179</v>
      </c>
      <c r="C1744" s="3" t="s">
        <v>138</v>
      </c>
      <c r="D1744" s="4" t="s">
        <v>138</v>
      </c>
      <c r="E1744" s="15" t="s">
        <v>15411</v>
      </c>
      <c r="F1744" s="15" t="s">
        <v>15412</v>
      </c>
      <c r="G1744" s="15" t="s">
        <v>2742</v>
      </c>
      <c r="H1744" s="7">
        <v>1</v>
      </c>
      <c r="I1744" s="6" t="s">
        <v>33189</v>
      </c>
      <c r="J1744" s="6" t="s">
        <v>33189</v>
      </c>
      <c r="K1744" s="6"/>
      <c r="L1744" s="6"/>
      <c r="M1744" s="6"/>
      <c r="N1744" s="6"/>
      <c r="O1744" s="6"/>
      <c r="P1744" s="6"/>
      <c r="Q1744" s="6"/>
      <c r="R1744" s="6"/>
      <c r="S1744" s="6"/>
      <c r="T1744" s="6"/>
      <c r="U1744" s="6"/>
      <c r="V1744" s="6"/>
      <c r="W1744" s="6"/>
      <c r="X1744" s="6"/>
      <c r="Y1744" s="6"/>
      <c r="Z1744" s="6"/>
      <c r="AA1744" s="6"/>
      <c r="AB1744" s="6"/>
      <c r="AC1744" s="6"/>
      <c r="AD1744" s="6"/>
      <c r="AE1744" s="6"/>
      <c r="AF1744" s="6"/>
      <c r="AG1744" s="6"/>
      <c r="AH1744" s="6"/>
      <c r="AI1744" s="6"/>
      <c r="AJ1744" s="6"/>
      <c r="AK1744" s="6"/>
      <c r="AL1744" s="6"/>
      <c r="AM1744" s="6"/>
      <c r="AN1744" s="6"/>
      <c r="AO1744" s="6"/>
      <c r="AP1744" s="6"/>
      <c r="AQ1744" s="6"/>
      <c r="AR1744" s="6"/>
      <c r="AS1744" s="6"/>
      <c r="AT1744" s="6"/>
      <c r="AU1744" s="6"/>
      <c r="AV1744" s="6"/>
      <c r="AW1744" s="6"/>
      <c r="AX1744" s="6"/>
      <c r="AY1744" s="6"/>
      <c r="AZ1744" s="6"/>
      <c r="BA1744" s="6"/>
      <c r="BB1744" s="6"/>
      <c r="BC1744" s="6"/>
      <c r="BD1744" s="6"/>
      <c r="BE1744" s="6"/>
      <c r="BF1744" s="6"/>
      <c r="BG1744" s="6"/>
      <c r="BH1744" s="6"/>
      <c r="BI1744" s="6"/>
      <c r="BJ1744" s="6"/>
      <c r="BK1744" s="6"/>
      <c r="BL1744" s="6"/>
      <c r="BM1744" s="6"/>
      <c r="BN1744" s="6"/>
      <c r="BO1744" s="6"/>
      <c r="BP1744" s="6"/>
      <c r="BQ1744" s="6"/>
      <c r="BR1744" s="6"/>
      <c r="BS1744" s="6"/>
      <c r="BT1744" s="6"/>
    </row>
    <row r="1745" spans="1:72">
      <c r="A1745" s="8" t="s">
        <v>33191</v>
      </c>
      <c r="B1745" s="11" t="s">
        <v>33198</v>
      </c>
      <c r="C1745" s="9" t="s">
        <v>33192</v>
      </c>
      <c r="D1745" s="10" t="s">
        <v>33193</v>
      </c>
      <c r="E1745" s="28" t="s">
        <v>3841</v>
      </c>
      <c r="F1745" s="28" t="s">
        <v>200</v>
      </c>
      <c r="G1745" s="28" t="s">
        <v>162</v>
      </c>
      <c r="H1745" s="13">
        <v>4</v>
      </c>
      <c r="I1745" s="12" t="s">
        <v>33207</v>
      </c>
      <c r="J1745" s="12" t="s">
        <v>40289</v>
      </c>
      <c r="K1745" s="12" t="s">
        <v>38063</v>
      </c>
      <c r="L1745" s="12" t="s">
        <v>37805</v>
      </c>
      <c r="M1745" s="12" t="s">
        <v>37916</v>
      </c>
      <c r="N1745" s="12"/>
      <c r="O1745" s="12"/>
      <c r="P1745" s="12"/>
      <c r="Q1745" s="12"/>
      <c r="R1745" s="12"/>
      <c r="S1745" s="12"/>
      <c r="T1745" s="12"/>
      <c r="U1745" s="12"/>
      <c r="V1745" s="12"/>
      <c r="W1745" s="12"/>
      <c r="X1745" s="12"/>
      <c r="Y1745" s="12"/>
      <c r="Z1745" s="12"/>
      <c r="AA1745" s="12"/>
      <c r="AB1745" s="12"/>
      <c r="AC1745" s="12"/>
      <c r="AD1745" s="12"/>
      <c r="AE1745" s="12"/>
      <c r="AF1745" s="12"/>
      <c r="AG1745" s="12"/>
      <c r="AH1745" s="12"/>
      <c r="AI1745" s="12"/>
      <c r="AJ1745" s="12"/>
      <c r="AK1745" s="12"/>
      <c r="AL1745" s="12"/>
      <c r="AM1745" s="12"/>
      <c r="AN1745" s="12"/>
      <c r="AO1745" s="12"/>
      <c r="AP1745" s="12"/>
      <c r="AQ1745" s="12"/>
      <c r="AR1745" s="12"/>
      <c r="AS1745" s="12"/>
      <c r="AT1745" s="12"/>
      <c r="AU1745" s="12"/>
      <c r="AV1745" s="12"/>
      <c r="AW1745" s="12"/>
      <c r="AX1745" s="12"/>
      <c r="AY1745" s="12"/>
      <c r="AZ1745" s="12"/>
      <c r="BA1745" s="12"/>
      <c r="BB1745" s="12"/>
      <c r="BC1745" s="12"/>
      <c r="BD1745" s="12"/>
      <c r="BE1745" s="12"/>
      <c r="BF1745" s="12"/>
      <c r="BG1745" s="12"/>
      <c r="BH1745" s="12"/>
      <c r="BI1745" s="12"/>
      <c r="BJ1745" s="12"/>
      <c r="BK1745" s="12"/>
      <c r="BL1745" s="12"/>
      <c r="BM1745" s="12"/>
      <c r="BN1745" s="12"/>
      <c r="BO1745" s="12"/>
      <c r="BP1745" s="12"/>
      <c r="BQ1745" s="12"/>
      <c r="BR1745" s="12"/>
      <c r="BS1745" s="12"/>
      <c r="BT1745" s="12"/>
    </row>
    <row r="1746" spans="1:72">
      <c r="A1746" s="2" t="s">
        <v>33210</v>
      </c>
      <c r="B1746" s="5" t="s">
        <v>33215</v>
      </c>
      <c r="C1746" s="3" t="s">
        <v>138</v>
      </c>
      <c r="D1746" s="4" t="s">
        <v>138</v>
      </c>
      <c r="E1746" s="15" t="s">
        <v>966</v>
      </c>
      <c r="F1746" s="15" t="s">
        <v>200</v>
      </c>
      <c r="G1746" s="15" t="s">
        <v>162</v>
      </c>
      <c r="H1746" s="7">
        <v>7</v>
      </c>
      <c r="I1746" s="6" t="s">
        <v>33224</v>
      </c>
      <c r="J1746" s="6" t="s">
        <v>39398</v>
      </c>
      <c r="K1746" s="6" t="s">
        <v>38339</v>
      </c>
      <c r="L1746" s="6" t="s">
        <v>38738</v>
      </c>
      <c r="M1746" s="6" t="s">
        <v>42301</v>
      </c>
      <c r="N1746" s="6" t="s">
        <v>37883</v>
      </c>
      <c r="O1746" s="6" t="s">
        <v>39563</v>
      </c>
      <c r="P1746" s="6" t="s">
        <v>37781</v>
      </c>
      <c r="Q1746" s="6"/>
      <c r="R1746" s="6"/>
      <c r="S1746" s="6"/>
      <c r="T1746" s="6"/>
      <c r="U1746" s="6"/>
      <c r="V1746" s="6"/>
      <c r="W1746" s="6"/>
      <c r="X1746" s="6"/>
      <c r="Y1746" s="6"/>
      <c r="Z1746" s="6"/>
      <c r="AA1746" s="6"/>
      <c r="AB1746" s="6"/>
      <c r="AC1746" s="6"/>
      <c r="AD1746" s="6"/>
      <c r="AE1746" s="6"/>
      <c r="AF1746" s="6"/>
      <c r="AG1746" s="6"/>
      <c r="AH1746" s="6"/>
      <c r="AI1746" s="6"/>
      <c r="AJ1746" s="6"/>
      <c r="AK1746" s="6"/>
      <c r="AL1746" s="6"/>
      <c r="AM1746" s="6"/>
      <c r="AN1746" s="6"/>
      <c r="AO1746" s="6"/>
      <c r="AP1746" s="6"/>
      <c r="AQ1746" s="6"/>
      <c r="AR1746" s="6"/>
      <c r="AS1746" s="6"/>
      <c r="AT1746" s="6"/>
      <c r="AU1746" s="6"/>
      <c r="AV1746" s="6"/>
      <c r="AW1746" s="6"/>
      <c r="AX1746" s="6"/>
      <c r="AY1746" s="6"/>
      <c r="AZ1746" s="6"/>
      <c r="BA1746" s="6"/>
      <c r="BB1746" s="6"/>
      <c r="BC1746" s="6"/>
      <c r="BD1746" s="6"/>
      <c r="BE1746" s="6"/>
      <c r="BF1746" s="6"/>
      <c r="BG1746" s="6"/>
      <c r="BH1746" s="6"/>
      <c r="BI1746" s="6"/>
      <c r="BJ1746" s="6"/>
      <c r="BK1746" s="6"/>
      <c r="BL1746" s="6"/>
      <c r="BM1746" s="6"/>
      <c r="BN1746" s="6"/>
      <c r="BO1746" s="6"/>
      <c r="BP1746" s="6"/>
      <c r="BQ1746" s="6"/>
      <c r="BR1746" s="6"/>
      <c r="BS1746" s="6"/>
      <c r="BT1746" s="6"/>
    </row>
    <row r="1747" spans="1:72">
      <c r="A1747" s="8" t="s">
        <v>33228</v>
      </c>
      <c r="B1747" s="11" t="s">
        <v>33235</v>
      </c>
      <c r="C1747" s="9" t="s">
        <v>33229</v>
      </c>
      <c r="D1747" s="10" t="s">
        <v>138</v>
      </c>
      <c r="E1747" s="28" t="s">
        <v>668</v>
      </c>
      <c r="F1747" s="28" t="s">
        <v>200</v>
      </c>
      <c r="G1747" s="28" t="s">
        <v>162</v>
      </c>
      <c r="H1747" s="13">
        <v>26</v>
      </c>
      <c r="I1747" s="12" t="s">
        <v>33244</v>
      </c>
      <c r="J1747" s="12" t="s">
        <v>42527</v>
      </c>
      <c r="K1747" s="12" t="s">
        <v>42426</v>
      </c>
      <c r="L1747" s="12" t="s">
        <v>40664</v>
      </c>
      <c r="M1747" s="12" t="s">
        <v>37981</v>
      </c>
      <c r="N1747" s="12" t="s">
        <v>38569</v>
      </c>
      <c r="O1747" s="12" t="s">
        <v>45595</v>
      </c>
      <c r="P1747" s="12" t="s">
        <v>45596</v>
      </c>
      <c r="Q1747" s="12" t="s">
        <v>45597</v>
      </c>
      <c r="R1747" s="12" t="s">
        <v>45598</v>
      </c>
      <c r="S1747" s="12" t="s">
        <v>45599</v>
      </c>
      <c r="T1747" s="12" t="s">
        <v>38991</v>
      </c>
      <c r="U1747" s="12" t="s">
        <v>45600</v>
      </c>
      <c r="V1747" s="12" t="s">
        <v>45601</v>
      </c>
      <c r="W1747" s="12" t="s">
        <v>38165</v>
      </c>
      <c r="X1747" s="12" t="s">
        <v>38048</v>
      </c>
      <c r="Y1747" s="12" t="s">
        <v>39309</v>
      </c>
      <c r="Z1747" s="12" t="s">
        <v>45602</v>
      </c>
      <c r="AA1747" s="12" t="s">
        <v>38849</v>
      </c>
      <c r="AB1747" s="12" t="s">
        <v>37998</v>
      </c>
      <c r="AC1747" s="12" t="s">
        <v>45603</v>
      </c>
      <c r="AD1747" s="12" t="s">
        <v>45604</v>
      </c>
      <c r="AE1747" s="12" t="s">
        <v>39446</v>
      </c>
      <c r="AF1747" s="12" t="s">
        <v>39765</v>
      </c>
      <c r="AG1747" s="12" t="s">
        <v>39269</v>
      </c>
      <c r="AH1747" s="12" t="s">
        <v>37871</v>
      </c>
      <c r="AI1747" s="12" t="s">
        <v>45605</v>
      </c>
      <c r="AJ1747" s="12"/>
      <c r="AK1747" s="12"/>
      <c r="AL1747" s="12"/>
      <c r="AM1747" s="12"/>
      <c r="AN1747" s="12"/>
      <c r="AO1747" s="12"/>
      <c r="AP1747" s="12"/>
      <c r="AQ1747" s="12"/>
      <c r="AR1747" s="12"/>
      <c r="AS1747" s="12"/>
      <c r="AT1747" s="12"/>
      <c r="AU1747" s="12"/>
      <c r="AV1747" s="12"/>
      <c r="AW1747" s="12"/>
      <c r="AX1747" s="12"/>
      <c r="AY1747" s="12"/>
      <c r="AZ1747" s="12"/>
      <c r="BA1747" s="12"/>
      <c r="BB1747" s="12"/>
      <c r="BC1747" s="12"/>
      <c r="BD1747" s="12"/>
      <c r="BE1747" s="12"/>
      <c r="BF1747" s="12"/>
      <c r="BG1747" s="12"/>
      <c r="BH1747" s="12"/>
      <c r="BI1747" s="12"/>
      <c r="BJ1747" s="12"/>
      <c r="BK1747" s="12"/>
      <c r="BL1747" s="12"/>
      <c r="BM1747" s="12"/>
      <c r="BN1747" s="12"/>
      <c r="BO1747" s="12"/>
      <c r="BP1747" s="12"/>
      <c r="BQ1747" s="12"/>
      <c r="BR1747" s="12"/>
      <c r="BS1747" s="12"/>
      <c r="BT1747" s="12"/>
    </row>
    <row r="1748" spans="1:72">
      <c r="A1748" s="2" t="s">
        <v>33248</v>
      </c>
      <c r="B1748" s="5" t="s">
        <v>33253</v>
      </c>
      <c r="C1748" s="3" t="s">
        <v>138</v>
      </c>
      <c r="D1748" s="4" t="s">
        <v>138</v>
      </c>
      <c r="E1748" s="15" t="s">
        <v>6098</v>
      </c>
      <c r="F1748" s="15" t="s">
        <v>6099</v>
      </c>
      <c r="G1748" s="15" t="s">
        <v>2071</v>
      </c>
      <c r="H1748" s="7">
        <v>9</v>
      </c>
      <c r="I1748" s="6" t="s">
        <v>33260</v>
      </c>
      <c r="J1748" s="6" t="s">
        <v>45606</v>
      </c>
      <c r="K1748" s="6" t="s">
        <v>40326</v>
      </c>
      <c r="L1748" s="6" t="s">
        <v>45607</v>
      </c>
      <c r="M1748" s="6" t="s">
        <v>45608</v>
      </c>
      <c r="N1748" s="6" t="s">
        <v>43714</v>
      </c>
      <c r="O1748" s="6" t="s">
        <v>38200</v>
      </c>
      <c r="P1748" s="6" t="s">
        <v>40048</v>
      </c>
      <c r="Q1748" s="6" t="s">
        <v>44210</v>
      </c>
      <c r="R1748" s="6" t="s">
        <v>40905</v>
      </c>
      <c r="S1748" s="6"/>
      <c r="T1748" s="6"/>
      <c r="U1748" s="6"/>
      <c r="V1748" s="6"/>
      <c r="W1748" s="6"/>
      <c r="X1748" s="6"/>
      <c r="Y1748" s="6"/>
      <c r="Z1748" s="6"/>
      <c r="AA1748" s="6"/>
      <c r="AB1748" s="6"/>
      <c r="AC1748" s="6"/>
      <c r="AD1748" s="6"/>
      <c r="AE1748" s="6"/>
      <c r="AF1748" s="6"/>
      <c r="AG1748" s="6"/>
      <c r="AH1748" s="6"/>
      <c r="AI1748" s="6"/>
      <c r="AJ1748" s="6"/>
      <c r="AK1748" s="6"/>
      <c r="AL1748" s="6"/>
      <c r="AM1748" s="6"/>
      <c r="AN1748" s="6"/>
      <c r="AO1748" s="6"/>
      <c r="AP1748" s="6"/>
      <c r="AQ1748" s="6"/>
      <c r="AR1748" s="6"/>
      <c r="AS1748" s="6"/>
      <c r="AT1748" s="6"/>
      <c r="AU1748" s="6"/>
      <c r="AV1748" s="6"/>
      <c r="AW1748" s="6"/>
      <c r="AX1748" s="6"/>
      <c r="AY1748" s="6"/>
      <c r="AZ1748" s="6"/>
      <c r="BA1748" s="6"/>
      <c r="BB1748" s="6"/>
      <c r="BC1748" s="6"/>
      <c r="BD1748" s="6"/>
      <c r="BE1748" s="6"/>
      <c r="BF1748" s="6"/>
      <c r="BG1748" s="6"/>
      <c r="BH1748" s="6"/>
      <c r="BI1748" s="6"/>
      <c r="BJ1748" s="6"/>
      <c r="BK1748" s="6"/>
      <c r="BL1748" s="6"/>
      <c r="BM1748" s="6"/>
      <c r="BN1748" s="6"/>
      <c r="BO1748" s="6"/>
      <c r="BP1748" s="6"/>
      <c r="BQ1748" s="6"/>
      <c r="BR1748" s="6"/>
      <c r="BS1748" s="6"/>
      <c r="BT1748" s="6"/>
    </row>
    <row r="1749" spans="1:72">
      <c r="A1749" s="8" t="s">
        <v>33263</v>
      </c>
      <c r="B1749" s="11" t="s">
        <v>33267</v>
      </c>
      <c r="C1749" s="9" t="s">
        <v>138</v>
      </c>
      <c r="D1749" s="10" t="s">
        <v>138</v>
      </c>
      <c r="E1749" s="28" t="s">
        <v>426</v>
      </c>
      <c r="F1749" s="28" t="s">
        <v>426</v>
      </c>
      <c r="G1749" s="28" t="s">
        <v>162</v>
      </c>
      <c r="H1749" s="13">
        <v>12</v>
      </c>
      <c r="I1749" s="12" t="s">
        <v>33275</v>
      </c>
      <c r="J1749" s="12" t="s">
        <v>45609</v>
      </c>
      <c r="K1749" s="12" t="s">
        <v>39001</v>
      </c>
      <c r="L1749" s="12" t="s">
        <v>44528</v>
      </c>
      <c r="M1749" s="12" t="s">
        <v>44529</v>
      </c>
      <c r="N1749" s="12" t="s">
        <v>45610</v>
      </c>
      <c r="O1749" s="12" t="s">
        <v>45611</v>
      </c>
      <c r="P1749" s="12" t="s">
        <v>45612</v>
      </c>
      <c r="Q1749" s="12" t="s">
        <v>40978</v>
      </c>
      <c r="R1749" s="12" t="s">
        <v>42113</v>
      </c>
      <c r="S1749" s="12" t="s">
        <v>40191</v>
      </c>
      <c r="T1749" s="12" t="s">
        <v>38065</v>
      </c>
      <c r="U1749" s="12" t="s">
        <v>45604</v>
      </c>
      <c r="V1749" s="12"/>
      <c r="W1749" s="12"/>
      <c r="X1749" s="12"/>
      <c r="Y1749" s="12"/>
      <c r="Z1749" s="12"/>
      <c r="AA1749" s="12"/>
      <c r="AB1749" s="12"/>
      <c r="AC1749" s="12"/>
      <c r="AD1749" s="12"/>
      <c r="AE1749" s="12"/>
      <c r="AF1749" s="12"/>
      <c r="AG1749" s="12"/>
      <c r="AH1749" s="12"/>
      <c r="AI1749" s="12"/>
      <c r="AJ1749" s="12"/>
      <c r="AK1749" s="12"/>
      <c r="AL1749" s="12"/>
      <c r="AM1749" s="12"/>
      <c r="AN1749" s="12"/>
      <c r="AO1749" s="12"/>
      <c r="AP1749" s="12"/>
      <c r="AQ1749" s="12"/>
      <c r="AR1749" s="12"/>
      <c r="AS1749" s="12"/>
      <c r="AT1749" s="12"/>
      <c r="AU1749" s="12"/>
      <c r="AV1749" s="12"/>
      <c r="AW1749" s="12"/>
      <c r="AX1749" s="12"/>
      <c r="AY1749" s="12"/>
      <c r="AZ1749" s="12"/>
      <c r="BA1749" s="12"/>
      <c r="BB1749" s="12"/>
      <c r="BC1749" s="12"/>
      <c r="BD1749" s="12"/>
      <c r="BE1749" s="12"/>
      <c r="BF1749" s="12"/>
      <c r="BG1749" s="12"/>
      <c r="BH1749" s="12"/>
      <c r="BI1749" s="12"/>
      <c r="BJ1749" s="12"/>
      <c r="BK1749" s="12"/>
      <c r="BL1749" s="12"/>
      <c r="BM1749" s="12"/>
      <c r="BN1749" s="12"/>
      <c r="BO1749" s="12"/>
      <c r="BP1749" s="12"/>
      <c r="BQ1749" s="12"/>
      <c r="BR1749" s="12"/>
      <c r="BS1749" s="12"/>
      <c r="BT1749" s="12"/>
    </row>
    <row r="1750" spans="1:72">
      <c r="A1750" s="2" t="s">
        <v>33280</v>
      </c>
      <c r="B1750" s="5" t="s">
        <v>33285</v>
      </c>
      <c r="C1750" s="3" t="s">
        <v>138</v>
      </c>
      <c r="D1750" s="4" t="s">
        <v>138</v>
      </c>
      <c r="E1750" s="15" t="s">
        <v>426</v>
      </c>
      <c r="F1750" s="15" t="s">
        <v>426</v>
      </c>
      <c r="G1750" s="15" t="s">
        <v>162</v>
      </c>
      <c r="H1750" s="7">
        <v>11</v>
      </c>
      <c r="I1750" s="6" t="s">
        <v>33295</v>
      </c>
      <c r="J1750" s="6" t="s">
        <v>43732</v>
      </c>
      <c r="K1750" s="6" t="s">
        <v>37819</v>
      </c>
      <c r="L1750" s="6" t="s">
        <v>37909</v>
      </c>
      <c r="M1750" s="6" t="s">
        <v>40203</v>
      </c>
      <c r="N1750" s="6" t="s">
        <v>45613</v>
      </c>
      <c r="O1750" s="6" t="s">
        <v>37922</v>
      </c>
      <c r="P1750" s="6" t="s">
        <v>38165</v>
      </c>
      <c r="Q1750" s="6" t="s">
        <v>45614</v>
      </c>
      <c r="R1750" s="6" t="s">
        <v>45615</v>
      </c>
      <c r="S1750" s="6" t="s">
        <v>37998</v>
      </c>
      <c r="T1750" s="6" t="s">
        <v>38000</v>
      </c>
      <c r="U1750" s="6"/>
      <c r="V1750" s="6"/>
      <c r="W1750" s="6"/>
      <c r="X1750" s="6"/>
      <c r="Y1750" s="6"/>
      <c r="Z1750" s="6"/>
      <c r="AA1750" s="6"/>
      <c r="AB1750" s="6"/>
      <c r="AC1750" s="6"/>
      <c r="AD1750" s="6"/>
      <c r="AE1750" s="6"/>
      <c r="AF1750" s="6"/>
      <c r="AG1750" s="6"/>
      <c r="AH1750" s="6"/>
      <c r="AI1750" s="6"/>
      <c r="AJ1750" s="6"/>
      <c r="AK1750" s="6"/>
      <c r="AL1750" s="6"/>
      <c r="AM1750" s="6"/>
      <c r="AN1750" s="6"/>
      <c r="AO1750" s="6"/>
      <c r="AP1750" s="6"/>
      <c r="AQ1750" s="6"/>
      <c r="AR1750" s="6"/>
      <c r="AS1750" s="6"/>
      <c r="AT1750" s="6"/>
      <c r="AU1750" s="6"/>
      <c r="AV1750" s="6"/>
      <c r="AW1750" s="6"/>
      <c r="AX1750" s="6"/>
      <c r="AY1750" s="6"/>
      <c r="AZ1750" s="6"/>
      <c r="BA1750" s="6"/>
      <c r="BB1750" s="6"/>
      <c r="BC1750" s="6"/>
      <c r="BD1750" s="6"/>
      <c r="BE1750" s="6"/>
      <c r="BF1750" s="6"/>
      <c r="BG1750" s="6"/>
      <c r="BH1750" s="6"/>
      <c r="BI1750" s="6"/>
      <c r="BJ1750" s="6"/>
      <c r="BK1750" s="6"/>
      <c r="BL1750" s="6"/>
      <c r="BM1750" s="6"/>
      <c r="BN1750" s="6"/>
      <c r="BO1750" s="6"/>
      <c r="BP1750" s="6"/>
      <c r="BQ1750" s="6"/>
      <c r="BR1750" s="6"/>
      <c r="BS1750" s="6"/>
      <c r="BT1750" s="6"/>
    </row>
    <row r="1751" spans="1:72">
      <c r="A1751" s="8" t="s">
        <v>33298</v>
      </c>
      <c r="B1751" s="11" t="s">
        <v>33302</v>
      </c>
      <c r="C1751" s="9" t="s">
        <v>138</v>
      </c>
      <c r="D1751" s="10" t="s">
        <v>138</v>
      </c>
      <c r="E1751" s="28" t="s">
        <v>642</v>
      </c>
      <c r="F1751" s="28" t="s">
        <v>474</v>
      </c>
      <c r="G1751" s="28" t="s">
        <v>162</v>
      </c>
      <c r="H1751" s="13">
        <v>12</v>
      </c>
      <c r="I1751" s="12" t="s">
        <v>33309</v>
      </c>
      <c r="J1751" s="12" t="s">
        <v>45616</v>
      </c>
      <c r="K1751" s="12" t="s">
        <v>45617</v>
      </c>
      <c r="L1751" s="12" t="s">
        <v>45618</v>
      </c>
      <c r="M1751" s="12" t="s">
        <v>45619</v>
      </c>
      <c r="N1751" s="12" t="s">
        <v>45620</v>
      </c>
      <c r="O1751" s="12" t="s">
        <v>45621</v>
      </c>
      <c r="P1751" s="12" t="s">
        <v>45622</v>
      </c>
      <c r="Q1751" s="12" t="s">
        <v>38049</v>
      </c>
      <c r="R1751" s="12" t="s">
        <v>38926</v>
      </c>
      <c r="S1751" s="12" t="s">
        <v>37890</v>
      </c>
      <c r="T1751" s="12" t="s">
        <v>38852</v>
      </c>
      <c r="U1751" s="12" t="s">
        <v>38371</v>
      </c>
      <c r="V1751" s="12"/>
      <c r="W1751" s="12"/>
      <c r="X1751" s="12"/>
      <c r="Y1751" s="12"/>
      <c r="Z1751" s="12"/>
      <c r="AA1751" s="12"/>
      <c r="AB1751" s="12"/>
      <c r="AC1751" s="12"/>
      <c r="AD1751" s="12"/>
      <c r="AE1751" s="12"/>
      <c r="AF1751" s="12"/>
      <c r="AG1751" s="12"/>
      <c r="AH1751" s="12"/>
      <c r="AI1751" s="12"/>
      <c r="AJ1751" s="12"/>
      <c r="AK1751" s="12"/>
      <c r="AL1751" s="12"/>
      <c r="AM1751" s="12"/>
      <c r="AN1751" s="12"/>
      <c r="AO1751" s="12"/>
      <c r="AP1751" s="12"/>
      <c r="AQ1751" s="12"/>
      <c r="AR1751" s="12"/>
      <c r="AS1751" s="12"/>
      <c r="AT1751" s="12"/>
      <c r="AU1751" s="12"/>
      <c r="AV1751" s="12"/>
      <c r="AW1751" s="12"/>
      <c r="AX1751" s="12"/>
      <c r="AY1751" s="12"/>
      <c r="AZ1751" s="12"/>
      <c r="BA1751" s="12"/>
      <c r="BB1751" s="12"/>
      <c r="BC1751" s="12"/>
      <c r="BD1751" s="12"/>
      <c r="BE1751" s="12"/>
      <c r="BF1751" s="12"/>
      <c r="BG1751" s="12"/>
      <c r="BH1751" s="12"/>
      <c r="BI1751" s="12"/>
      <c r="BJ1751" s="12"/>
      <c r="BK1751" s="12"/>
      <c r="BL1751" s="12"/>
      <c r="BM1751" s="12"/>
      <c r="BN1751" s="12"/>
      <c r="BO1751" s="12"/>
      <c r="BP1751" s="12"/>
      <c r="BQ1751" s="12"/>
      <c r="BR1751" s="12"/>
      <c r="BS1751" s="12"/>
      <c r="BT1751" s="12"/>
    </row>
    <row r="1752" spans="1:72">
      <c r="A1752" s="2" t="s">
        <v>33313</v>
      </c>
      <c r="B1752" s="5" t="s">
        <v>33318</v>
      </c>
      <c r="C1752" s="3" t="s">
        <v>138</v>
      </c>
      <c r="D1752" s="4" t="s">
        <v>138</v>
      </c>
      <c r="E1752" s="15" t="s">
        <v>668</v>
      </c>
      <c r="F1752" s="15" t="s">
        <v>200</v>
      </c>
      <c r="G1752" s="15" t="s">
        <v>162</v>
      </c>
      <c r="H1752" s="7">
        <v>11</v>
      </c>
      <c r="I1752" s="6" t="s">
        <v>33325</v>
      </c>
      <c r="J1752" s="6" t="s">
        <v>37785</v>
      </c>
      <c r="K1752" s="6" t="s">
        <v>45623</v>
      </c>
      <c r="L1752" s="6" t="s">
        <v>39687</v>
      </c>
      <c r="M1752" s="6" t="s">
        <v>37819</v>
      </c>
      <c r="N1752" s="6" t="s">
        <v>38739</v>
      </c>
      <c r="O1752" s="6" t="s">
        <v>38803</v>
      </c>
      <c r="P1752" s="6" t="s">
        <v>40164</v>
      </c>
      <c r="Q1752" s="6" t="s">
        <v>38494</v>
      </c>
      <c r="R1752" s="6" t="s">
        <v>38397</v>
      </c>
      <c r="S1752" s="6" t="s">
        <v>43740</v>
      </c>
      <c r="T1752" s="6" t="s">
        <v>41838</v>
      </c>
      <c r="U1752" s="6"/>
      <c r="V1752" s="6"/>
      <c r="W1752" s="6"/>
      <c r="X1752" s="6"/>
      <c r="Y1752" s="6"/>
      <c r="Z1752" s="6"/>
      <c r="AA1752" s="6"/>
      <c r="AB1752" s="6"/>
      <c r="AC1752" s="6"/>
      <c r="AD1752" s="6"/>
      <c r="AE1752" s="6"/>
      <c r="AF1752" s="6"/>
      <c r="AG1752" s="6"/>
      <c r="AH1752" s="6"/>
      <c r="AI1752" s="6"/>
      <c r="AJ1752" s="6"/>
      <c r="AK1752" s="6"/>
      <c r="AL1752" s="6"/>
      <c r="AM1752" s="6"/>
      <c r="AN1752" s="6"/>
      <c r="AO1752" s="6"/>
      <c r="AP1752" s="6"/>
      <c r="AQ1752" s="6"/>
      <c r="AR1752" s="6"/>
      <c r="AS1752" s="6"/>
      <c r="AT1752" s="6"/>
      <c r="AU1752" s="6"/>
      <c r="AV1752" s="6"/>
      <c r="AW1752" s="6"/>
      <c r="AX1752" s="6"/>
      <c r="AY1752" s="6"/>
      <c r="AZ1752" s="6"/>
      <c r="BA1752" s="6"/>
      <c r="BB1752" s="6"/>
      <c r="BC1752" s="6"/>
      <c r="BD1752" s="6"/>
      <c r="BE1752" s="6"/>
      <c r="BF1752" s="6"/>
      <c r="BG1752" s="6"/>
      <c r="BH1752" s="6"/>
      <c r="BI1752" s="6"/>
      <c r="BJ1752" s="6"/>
      <c r="BK1752" s="6"/>
      <c r="BL1752" s="6"/>
      <c r="BM1752" s="6"/>
      <c r="BN1752" s="6"/>
      <c r="BO1752" s="6"/>
      <c r="BP1752" s="6"/>
      <c r="BQ1752" s="6"/>
      <c r="BR1752" s="6"/>
      <c r="BS1752" s="6"/>
      <c r="BT1752" s="6"/>
    </row>
    <row r="1753" spans="1:72">
      <c r="A1753" s="8" t="s">
        <v>33330</v>
      </c>
      <c r="B1753" s="11" t="s">
        <v>33336</v>
      </c>
      <c r="C1753" s="9" t="s">
        <v>33331</v>
      </c>
      <c r="D1753" s="10" t="s">
        <v>138</v>
      </c>
      <c r="E1753" s="28" t="s">
        <v>8816</v>
      </c>
      <c r="F1753" s="28" t="s">
        <v>6898</v>
      </c>
      <c r="G1753" s="28" t="s">
        <v>162</v>
      </c>
      <c r="H1753" s="13" t="s">
        <v>138</v>
      </c>
      <c r="I1753" s="12" t="s">
        <v>138</v>
      </c>
      <c r="J1753" s="12"/>
      <c r="K1753" s="12"/>
      <c r="L1753" s="12"/>
      <c r="M1753" s="12"/>
      <c r="N1753" s="12"/>
      <c r="O1753" s="12"/>
      <c r="P1753" s="12"/>
      <c r="Q1753" s="12"/>
      <c r="R1753" s="12"/>
      <c r="S1753" s="12"/>
      <c r="T1753" s="12"/>
      <c r="U1753" s="12"/>
      <c r="V1753" s="12"/>
      <c r="W1753" s="12"/>
      <c r="X1753" s="12"/>
      <c r="Y1753" s="12"/>
      <c r="Z1753" s="12"/>
      <c r="AA1753" s="12"/>
      <c r="AB1753" s="12"/>
      <c r="AC1753" s="12"/>
      <c r="AD1753" s="12"/>
      <c r="AE1753" s="12"/>
      <c r="AF1753" s="12"/>
      <c r="AG1753" s="12"/>
      <c r="AH1753" s="12"/>
      <c r="AI1753" s="12"/>
      <c r="AJ1753" s="12"/>
      <c r="AK1753" s="12"/>
      <c r="AL1753" s="12"/>
      <c r="AM1753" s="12"/>
      <c r="AN1753" s="12"/>
      <c r="AO1753" s="12"/>
      <c r="AP1753" s="12"/>
      <c r="AQ1753" s="12"/>
      <c r="AR1753" s="12"/>
      <c r="AS1753" s="12"/>
      <c r="AT1753" s="12"/>
      <c r="AU1753" s="12"/>
      <c r="AV1753" s="12"/>
      <c r="AW1753" s="12"/>
      <c r="AX1753" s="12"/>
      <c r="AY1753" s="12"/>
      <c r="AZ1753" s="12"/>
      <c r="BA1753" s="12"/>
      <c r="BB1753" s="12"/>
      <c r="BC1753" s="12"/>
      <c r="BD1753" s="12"/>
      <c r="BE1753" s="12"/>
      <c r="BF1753" s="12"/>
      <c r="BG1753" s="12"/>
      <c r="BH1753" s="12"/>
      <c r="BI1753" s="12"/>
      <c r="BJ1753" s="12"/>
      <c r="BK1753" s="12"/>
      <c r="BL1753" s="12"/>
      <c r="BM1753" s="12"/>
      <c r="BN1753" s="12"/>
      <c r="BO1753" s="12"/>
      <c r="BP1753" s="12"/>
      <c r="BQ1753" s="12"/>
      <c r="BR1753" s="12"/>
      <c r="BS1753" s="12"/>
      <c r="BT1753" s="12"/>
    </row>
    <row r="1754" spans="1:72">
      <c r="A1754" s="2" t="s">
        <v>33351</v>
      </c>
      <c r="B1754" s="5" t="s">
        <v>33356</v>
      </c>
      <c r="C1754" s="3" t="s">
        <v>138</v>
      </c>
      <c r="D1754" s="4" t="s">
        <v>138</v>
      </c>
      <c r="E1754" s="15" t="s">
        <v>944</v>
      </c>
      <c r="F1754" s="15" t="s">
        <v>138</v>
      </c>
      <c r="G1754" s="15" t="s">
        <v>946</v>
      </c>
      <c r="H1754" s="7">
        <v>8</v>
      </c>
      <c r="I1754" s="6" t="s">
        <v>33367</v>
      </c>
      <c r="J1754" s="6" t="s">
        <v>45624</v>
      </c>
      <c r="K1754" s="6" t="s">
        <v>45625</v>
      </c>
      <c r="L1754" s="6" t="s">
        <v>42151</v>
      </c>
      <c r="M1754" s="6" t="s">
        <v>41156</v>
      </c>
      <c r="N1754" s="6" t="s">
        <v>45626</v>
      </c>
      <c r="O1754" s="6" t="s">
        <v>45364</v>
      </c>
      <c r="P1754" s="6" t="s">
        <v>42668</v>
      </c>
      <c r="Q1754" s="6" t="s">
        <v>38065</v>
      </c>
      <c r="R1754" s="6"/>
      <c r="S1754" s="6"/>
      <c r="T1754" s="6"/>
      <c r="U1754" s="6"/>
      <c r="V1754" s="6"/>
      <c r="W1754" s="6"/>
      <c r="X1754" s="6"/>
      <c r="Y1754" s="6"/>
      <c r="Z1754" s="6"/>
      <c r="AA1754" s="6"/>
      <c r="AB1754" s="6"/>
      <c r="AC1754" s="6"/>
      <c r="AD1754" s="6"/>
      <c r="AE1754" s="6"/>
      <c r="AF1754" s="6"/>
      <c r="AG1754" s="6"/>
      <c r="AH1754" s="6"/>
      <c r="AI1754" s="6"/>
      <c r="AJ1754" s="6"/>
      <c r="AK1754" s="6"/>
      <c r="AL1754" s="6"/>
      <c r="AM1754" s="6"/>
      <c r="AN1754" s="6"/>
      <c r="AO1754" s="6"/>
      <c r="AP1754" s="6"/>
      <c r="AQ1754" s="6"/>
      <c r="AR1754" s="6"/>
      <c r="AS1754" s="6"/>
      <c r="AT1754" s="6"/>
      <c r="AU1754" s="6"/>
      <c r="AV1754" s="6"/>
      <c r="AW1754" s="6"/>
      <c r="AX1754" s="6"/>
      <c r="AY1754" s="6"/>
      <c r="AZ1754" s="6"/>
      <c r="BA1754" s="6"/>
      <c r="BB1754" s="6"/>
      <c r="BC1754" s="6"/>
      <c r="BD1754" s="6"/>
      <c r="BE1754" s="6"/>
      <c r="BF1754" s="6"/>
      <c r="BG1754" s="6"/>
      <c r="BH1754" s="6"/>
      <c r="BI1754" s="6"/>
      <c r="BJ1754" s="6"/>
      <c r="BK1754" s="6"/>
      <c r="BL1754" s="6"/>
      <c r="BM1754" s="6"/>
      <c r="BN1754" s="6"/>
      <c r="BO1754" s="6"/>
      <c r="BP1754" s="6"/>
      <c r="BQ1754" s="6"/>
      <c r="BR1754" s="6"/>
      <c r="BS1754" s="6"/>
      <c r="BT1754" s="6"/>
    </row>
    <row r="1755" spans="1:72">
      <c r="A1755" s="8" t="s">
        <v>33372</v>
      </c>
      <c r="B1755" s="11" t="s">
        <v>33377</v>
      </c>
      <c r="C1755" s="9" t="s">
        <v>138</v>
      </c>
      <c r="D1755" s="10" t="s">
        <v>138</v>
      </c>
      <c r="E1755" s="28" t="s">
        <v>33387</v>
      </c>
      <c r="F1755" s="28" t="s">
        <v>864</v>
      </c>
      <c r="G1755" s="28" t="s">
        <v>162</v>
      </c>
      <c r="H1755" s="13">
        <v>1</v>
      </c>
      <c r="I1755" s="12" t="s">
        <v>33392</v>
      </c>
      <c r="J1755" s="12" t="s">
        <v>33392</v>
      </c>
      <c r="K1755" s="12"/>
      <c r="L1755" s="12"/>
      <c r="M1755" s="12"/>
      <c r="N1755" s="12"/>
      <c r="O1755" s="12"/>
      <c r="P1755" s="12"/>
      <c r="Q1755" s="12"/>
      <c r="R1755" s="12"/>
      <c r="S1755" s="12"/>
      <c r="T1755" s="12"/>
      <c r="U1755" s="12"/>
      <c r="V1755" s="12"/>
      <c r="W1755" s="12"/>
      <c r="X1755" s="12"/>
      <c r="Y1755" s="12"/>
      <c r="Z1755" s="12"/>
      <c r="AA1755" s="12"/>
      <c r="AB1755" s="12"/>
      <c r="AC1755" s="12"/>
      <c r="AD1755" s="12"/>
      <c r="AE1755" s="12"/>
      <c r="AF1755" s="12"/>
      <c r="AG1755" s="12"/>
      <c r="AH1755" s="12"/>
      <c r="AI1755" s="12"/>
      <c r="AJ1755" s="12"/>
      <c r="AK1755" s="12"/>
      <c r="AL1755" s="12"/>
      <c r="AM1755" s="12"/>
      <c r="AN1755" s="12"/>
      <c r="AO1755" s="12"/>
      <c r="AP1755" s="12"/>
      <c r="AQ1755" s="12"/>
      <c r="AR1755" s="12"/>
      <c r="AS1755" s="12"/>
      <c r="AT1755" s="12"/>
      <c r="AU1755" s="12"/>
      <c r="AV1755" s="12"/>
      <c r="AW1755" s="12"/>
      <c r="AX1755" s="12"/>
      <c r="AY1755" s="12"/>
      <c r="AZ1755" s="12"/>
      <c r="BA1755" s="12"/>
      <c r="BB1755" s="12"/>
      <c r="BC1755" s="12"/>
      <c r="BD1755" s="12"/>
      <c r="BE1755" s="12"/>
      <c r="BF1755" s="12"/>
      <c r="BG1755" s="12"/>
      <c r="BH1755" s="12"/>
      <c r="BI1755" s="12"/>
      <c r="BJ1755" s="12"/>
      <c r="BK1755" s="12"/>
      <c r="BL1755" s="12"/>
      <c r="BM1755" s="12"/>
      <c r="BN1755" s="12"/>
      <c r="BO1755" s="12"/>
      <c r="BP1755" s="12"/>
      <c r="BQ1755" s="12"/>
      <c r="BR1755" s="12"/>
      <c r="BS1755" s="12"/>
      <c r="BT1755" s="12"/>
    </row>
    <row r="1756" spans="1:72">
      <c r="A1756" s="2" t="s">
        <v>33395</v>
      </c>
      <c r="B1756" s="5" t="s">
        <v>33399</v>
      </c>
      <c r="C1756" s="3" t="s">
        <v>138</v>
      </c>
      <c r="D1756" s="4" t="s">
        <v>138</v>
      </c>
      <c r="E1756" s="15" t="s">
        <v>426</v>
      </c>
      <c r="F1756" s="15" t="s">
        <v>426</v>
      </c>
      <c r="G1756" s="15" t="s">
        <v>162</v>
      </c>
      <c r="H1756" s="7">
        <v>21</v>
      </c>
      <c r="I1756" s="6" t="s">
        <v>33407</v>
      </c>
      <c r="J1756" s="6" t="s">
        <v>45627</v>
      </c>
      <c r="K1756" s="6" t="s">
        <v>45628</v>
      </c>
      <c r="L1756" s="6" t="s">
        <v>45629</v>
      </c>
      <c r="M1756" s="6" t="s">
        <v>45630</v>
      </c>
      <c r="N1756" s="6" t="s">
        <v>45631</v>
      </c>
      <c r="O1756" s="6" t="s">
        <v>45522</v>
      </c>
      <c r="P1756" s="6" t="s">
        <v>39452</v>
      </c>
      <c r="Q1756" s="6" t="s">
        <v>43653</v>
      </c>
      <c r="R1756" s="6" t="s">
        <v>40620</v>
      </c>
      <c r="S1756" s="6" t="s">
        <v>45632</v>
      </c>
      <c r="T1756" s="6" t="s">
        <v>39138</v>
      </c>
      <c r="U1756" s="6" t="s">
        <v>45633</v>
      </c>
      <c r="V1756" s="6" t="s">
        <v>45634</v>
      </c>
      <c r="W1756" s="6" t="s">
        <v>44803</v>
      </c>
      <c r="X1756" s="6" t="s">
        <v>45635</v>
      </c>
      <c r="Y1756" s="6" t="s">
        <v>37839</v>
      </c>
      <c r="Z1756" s="6" t="s">
        <v>38050</v>
      </c>
      <c r="AA1756" s="6" t="s">
        <v>45636</v>
      </c>
      <c r="AB1756" s="6" t="s">
        <v>40017</v>
      </c>
      <c r="AC1756" s="6" t="s">
        <v>40133</v>
      </c>
      <c r="AD1756" s="6" t="s">
        <v>45637</v>
      </c>
      <c r="AE1756" s="6"/>
      <c r="AF1756" s="6"/>
      <c r="AG1756" s="6"/>
      <c r="AH1756" s="6"/>
      <c r="AI1756" s="6"/>
      <c r="AJ1756" s="6"/>
      <c r="AK1756" s="6"/>
      <c r="AL1756" s="6"/>
      <c r="AM1756" s="6"/>
      <c r="AN1756" s="6"/>
      <c r="AO1756" s="6"/>
      <c r="AP1756" s="6"/>
      <c r="AQ1756" s="6"/>
      <c r="AR1756" s="6"/>
      <c r="AS1756" s="6"/>
      <c r="AT1756" s="6"/>
      <c r="AU1756" s="6"/>
      <c r="AV1756" s="6"/>
      <c r="AW1756" s="6"/>
      <c r="AX1756" s="6"/>
      <c r="AY1756" s="6"/>
      <c r="AZ1756" s="6"/>
      <c r="BA1756" s="6"/>
      <c r="BB1756" s="6"/>
      <c r="BC1756" s="6"/>
      <c r="BD1756" s="6"/>
      <c r="BE1756" s="6"/>
      <c r="BF1756" s="6"/>
      <c r="BG1756" s="6"/>
      <c r="BH1756" s="6"/>
      <c r="BI1756" s="6"/>
      <c r="BJ1756" s="6"/>
      <c r="BK1756" s="6"/>
      <c r="BL1756" s="6"/>
      <c r="BM1756" s="6"/>
      <c r="BN1756" s="6"/>
      <c r="BO1756" s="6"/>
      <c r="BP1756" s="6"/>
      <c r="BQ1756" s="6"/>
      <c r="BR1756" s="6"/>
      <c r="BS1756" s="6"/>
      <c r="BT1756" s="6"/>
    </row>
    <row r="1757" spans="1:72">
      <c r="A1757" s="8" t="s">
        <v>33411</v>
      </c>
      <c r="B1757" s="11" t="s">
        <v>33415</v>
      </c>
      <c r="C1757" s="9" t="s">
        <v>138</v>
      </c>
      <c r="D1757" s="10" t="s">
        <v>138</v>
      </c>
      <c r="E1757" s="28" t="s">
        <v>1198</v>
      </c>
      <c r="F1757" s="28" t="s">
        <v>138</v>
      </c>
      <c r="G1757" s="28" t="s">
        <v>1200</v>
      </c>
      <c r="H1757" s="13">
        <v>14</v>
      </c>
      <c r="I1757" s="12" t="s">
        <v>33424</v>
      </c>
      <c r="J1757" s="12" t="s">
        <v>39324</v>
      </c>
      <c r="K1757" s="12" t="s">
        <v>43202</v>
      </c>
      <c r="L1757" s="12" t="s">
        <v>45638</v>
      </c>
      <c r="M1757" s="12" t="s">
        <v>43490</v>
      </c>
      <c r="N1757" s="12" t="s">
        <v>39535</v>
      </c>
      <c r="O1757" s="12" t="s">
        <v>39459</v>
      </c>
      <c r="P1757" s="12" t="s">
        <v>45639</v>
      </c>
      <c r="Q1757" s="12" t="s">
        <v>42114</v>
      </c>
      <c r="R1757" s="12" t="s">
        <v>37781</v>
      </c>
      <c r="S1757" s="12" t="s">
        <v>39197</v>
      </c>
      <c r="T1757" s="12" t="s">
        <v>45640</v>
      </c>
      <c r="U1757" s="12" t="s">
        <v>45641</v>
      </c>
      <c r="V1757" s="12" t="s">
        <v>45642</v>
      </c>
      <c r="W1757" s="12" t="s">
        <v>38205</v>
      </c>
      <c r="X1757" s="12"/>
      <c r="Y1757" s="12"/>
      <c r="Z1757" s="12"/>
      <c r="AA1757" s="12"/>
      <c r="AB1757" s="12"/>
      <c r="AC1757" s="12"/>
      <c r="AD1757" s="12"/>
      <c r="AE1757" s="12"/>
      <c r="AF1757" s="12"/>
      <c r="AG1757" s="12"/>
      <c r="AH1757" s="12"/>
      <c r="AI1757" s="12"/>
      <c r="AJ1757" s="12"/>
      <c r="AK1757" s="12"/>
      <c r="AL1757" s="12"/>
      <c r="AM1757" s="12"/>
      <c r="AN1757" s="12"/>
      <c r="AO1757" s="12"/>
      <c r="AP1757" s="12"/>
      <c r="AQ1757" s="12"/>
      <c r="AR1757" s="12"/>
      <c r="AS1757" s="12"/>
      <c r="AT1757" s="12"/>
      <c r="AU1757" s="12"/>
      <c r="AV1757" s="12"/>
      <c r="AW1757" s="12"/>
      <c r="AX1757" s="12"/>
      <c r="AY1757" s="12"/>
      <c r="AZ1757" s="12"/>
      <c r="BA1757" s="12"/>
      <c r="BB1757" s="12"/>
      <c r="BC1757" s="12"/>
      <c r="BD1757" s="12"/>
      <c r="BE1757" s="12"/>
      <c r="BF1757" s="12"/>
      <c r="BG1757" s="12"/>
      <c r="BH1757" s="12"/>
      <c r="BI1757" s="12"/>
      <c r="BJ1757" s="12"/>
      <c r="BK1757" s="12"/>
      <c r="BL1757" s="12"/>
      <c r="BM1757" s="12"/>
      <c r="BN1757" s="12"/>
      <c r="BO1757" s="12"/>
      <c r="BP1757" s="12"/>
      <c r="BQ1757" s="12"/>
      <c r="BR1757" s="12"/>
      <c r="BS1757" s="12"/>
      <c r="BT1757" s="12"/>
    </row>
    <row r="1758" spans="1:72">
      <c r="A1758" s="2" t="s">
        <v>33427</v>
      </c>
      <c r="B1758" s="5" t="s">
        <v>33432</v>
      </c>
      <c r="C1758" s="3" t="s">
        <v>33428</v>
      </c>
      <c r="D1758" s="4" t="s">
        <v>138</v>
      </c>
      <c r="E1758" s="15" t="s">
        <v>1198</v>
      </c>
      <c r="F1758" s="15" t="s">
        <v>138</v>
      </c>
      <c r="G1758" s="15" t="s">
        <v>1200</v>
      </c>
      <c r="H1758" s="7">
        <v>1</v>
      </c>
      <c r="I1758" s="6" t="s">
        <v>3186</v>
      </c>
      <c r="J1758" s="6" t="s">
        <v>3186</v>
      </c>
      <c r="K1758" s="6"/>
      <c r="L1758" s="6"/>
      <c r="M1758" s="6"/>
      <c r="N1758" s="6"/>
      <c r="O1758" s="6"/>
      <c r="P1758" s="6"/>
      <c r="Q1758" s="6"/>
      <c r="R1758" s="6"/>
      <c r="S1758" s="6"/>
      <c r="T1758" s="6"/>
      <c r="U1758" s="6"/>
      <c r="V1758" s="6"/>
      <c r="W1758" s="6"/>
      <c r="X1758" s="6"/>
      <c r="Y1758" s="6"/>
      <c r="Z1758" s="6"/>
      <c r="AA1758" s="6"/>
      <c r="AB1758" s="6"/>
      <c r="AC1758" s="6"/>
      <c r="AD1758" s="6"/>
      <c r="AE1758" s="6"/>
      <c r="AF1758" s="6"/>
      <c r="AG1758" s="6"/>
      <c r="AH1758" s="6"/>
      <c r="AI1758" s="6"/>
      <c r="AJ1758" s="6"/>
      <c r="AK1758" s="6"/>
      <c r="AL1758" s="6"/>
      <c r="AM1758" s="6"/>
      <c r="AN1758" s="6"/>
      <c r="AO1758" s="6"/>
      <c r="AP1758" s="6"/>
      <c r="AQ1758" s="6"/>
      <c r="AR1758" s="6"/>
      <c r="AS1758" s="6"/>
      <c r="AT1758" s="6"/>
      <c r="AU1758" s="6"/>
      <c r="AV1758" s="6"/>
      <c r="AW1758" s="6"/>
      <c r="AX1758" s="6"/>
      <c r="AY1758" s="6"/>
      <c r="AZ1758" s="6"/>
      <c r="BA1758" s="6"/>
      <c r="BB1758" s="6"/>
      <c r="BC1758" s="6"/>
      <c r="BD1758" s="6"/>
      <c r="BE1758" s="6"/>
      <c r="BF1758" s="6"/>
      <c r="BG1758" s="6"/>
      <c r="BH1758" s="6"/>
      <c r="BI1758" s="6"/>
      <c r="BJ1758" s="6"/>
      <c r="BK1758" s="6"/>
      <c r="BL1758" s="6"/>
      <c r="BM1758" s="6"/>
      <c r="BN1758" s="6"/>
      <c r="BO1758" s="6"/>
      <c r="BP1758" s="6"/>
      <c r="BQ1758" s="6"/>
      <c r="BR1758" s="6"/>
      <c r="BS1758" s="6"/>
      <c r="BT1758" s="6"/>
    </row>
    <row r="1759" spans="1:72">
      <c r="A1759" s="8" t="s">
        <v>33441</v>
      </c>
      <c r="B1759" s="11" t="s">
        <v>33446</v>
      </c>
      <c r="C1759" s="9" t="s">
        <v>138</v>
      </c>
      <c r="D1759" s="10" t="s">
        <v>33442</v>
      </c>
      <c r="E1759" s="28" t="s">
        <v>1294</v>
      </c>
      <c r="F1759" s="28" t="s">
        <v>864</v>
      </c>
      <c r="G1759" s="28" t="s">
        <v>162</v>
      </c>
      <c r="H1759" s="13">
        <v>13</v>
      </c>
      <c r="I1759" s="12" t="s">
        <v>33458</v>
      </c>
      <c r="J1759" s="12" t="s">
        <v>25482</v>
      </c>
      <c r="K1759" s="12" t="s">
        <v>41495</v>
      </c>
      <c r="L1759" s="12" t="s">
        <v>38915</v>
      </c>
      <c r="M1759" s="12" t="s">
        <v>37774</v>
      </c>
      <c r="N1759" s="12" t="s">
        <v>39399</v>
      </c>
      <c r="O1759" s="12" t="s">
        <v>37788</v>
      </c>
      <c r="P1759" s="12" t="s">
        <v>38199</v>
      </c>
      <c r="Q1759" s="12" t="s">
        <v>38770</v>
      </c>
      <c r="R1759" s="12" t="s">
        <v>45643</v>
      </c>
      <c r="S1759" s="12" t="s">
        <v>45644</v>
      </c>
      <c r="T1759" s="12" t="s">
        <v>38505</v>
      </c>
      <c r="U1759" s="12" t="s">
        <v>45645</v>
      </c>
      <c r="V1759" s="12" t="s">
        <v>37895</v>
      </c>
      <c r="W1759" s="12"/>
      <c r="X1759" s="12"/>
      <c r="Y1759" s="12"/>
      <c r="Z1759" s="12"/>
      <c r="AA1759" s="12"/>
      <c r="AB1759" s="12"/>
      <c r="AC1759" s="12"/>
      <c r="AD1759" s="12"/>
      <c r="AE1759" s="12"/>
      <c r="AF1759" s="12"/>
      <c r="AG1759" s="12"/>
      <c r="AH1759" s="12"/>
      <c r="AI1759" s="12"/>
      <c r="AJ1759" s="12"/>
      <c r="AK1759" s="12"/>
      <c r="AL1759" s="12"/>
      <c r="AM1759" s="12"/>
      <c r="AN1759" s="12"/>
      <c r="AO1759" s="12"/>
      <c r="AP1759" s="12"/>
      <c r="AQ1759" s="12"/>
      <c r="AR1759" s="12"/>
      <c r="AS1759" s="12"/>
      <c r="AT1759" s="12"/>
      <c r="AU1759" s="12"/>
      <c r="AV1759" s="12"/>
      <c r="AW1759" s="12"/>
      <c r="AX1759" s="12"/>
      <c r="AY1759" s="12"/>
      <c r="AZ1759" s="12"/>
      <c r="BA1759" s="12"/>
      <c r="BB1759" s="12"/>
      <c r="BC1759" s="12"/>
      <c r="BD1759" s="12"/>
      <c r="BE1759" s="12"/>
      <c r="BF1759" s="12"/>
      <c r="BG1759" s="12"/>
      <c r="BH1759" s="12"/>
      <c r="BI1759" s="12"/>
      <c r="BJ1759" s="12"/>
      <c r="BK1759" s="12"/>
      <c r="BL1759" s="12"/>
      <c r="BM1759" s="12"/>
      <c r="BN1759" s="12"/>
      <c r="BO1759" s="12"/>
      <c r="BP1759" s="12"/>
      <c r="BQ1759" s="12"/>
      <c r="BR1759" s="12"/>
      <c r="BS1759" s="12"/>
      <c r="BT1759" s="12"/>
    </row>
    <row r="1760" spans="1:72">
      <c r="A1760" s="2" t="s">
        <v>33462</v>
      </c>
      <c r="B1760" s="5" t="s">
        <v>33466</v>
      </c>
      <c r="C1760" s="3" t="s">
        <v>138</v>
      </c>
      <c r="D1760" s="4" t="s">
        <v>138</v>
      </c>
      <c r="E1760" s="15" t="s">
        <v>1171</v>
      </c>
      <c r="F1760" s="15" t="s">
        <v>200</v>
      </c>
      <c r="G1760" s="15" t="s">
        <v>162</v>
      </c>
      <c r="H1760" s="7">
        <v>23</v>
      </c>
      <c r="I1760" s="6" t="s">
        <v>33475</v>
      </c>
      <c r="J1760" s="6" t="s">
        <v>38102</v>
      </c>
      <c r="K1760" s="6" t="s">
        <v>43805</v>
      </c>
      <c r="L1760" s="6" t="s">
        <v>45646</v>
      </c>
      <c r="M1760" s="6" t="s">
        <v>39933</v>
      </c>
      <c r="N1760" s="6" t="s">
        <v>38823</v>
      </c>
      <c r="O1760" s="6" t="s">
        <v>45647</v>
      </c>
      <c r="P1760" s="6" t="s">
        <v>37941</v>
      </c>
      <c r="Q1760" s="6" t="s">
        <v>39093</v>
      </c>
      <c r="R1760" s="6" t="s">
        <v>38841</v>
      </c>
      <c r="S1760" s="6" t="s">
        <v>45648</v>
      </c>
      <c r="T1760" s="6" t="s">
        <v>40003</v>
      </c>
      <c r="U1760" s="6" t="s">
        <v>37947</v>
      </c>
      <c r="V1760" s="6" t="s">
        <v>45611</v>
      </c>
      <c r="W1760" s="6" t="s">
        <v>37821</v>
      </c>
      <c r="X1760" s="6" t="s">
        <v>45649</v>
      </c>
      <c r="Y1760" s="6" t="s">
        <v>41561</v>
      </c>
      <c r="Z1760" s="6" t="s">
        <v>45650</v>
      </c>
      <c r="AA1760" s="6" t="s">
        <v>45651</v>
      </c>
      <c r="AB1760" s="6" t="s">
        <v>45652</v>
      </c>
      <c r="AC1760" s="6" t="s">
        <v>41622</v>
      </c>
      <c r="AD1760" s="6" t="s">
        <v>38323</v>
      </c>
      <c r="AE1760" s="6" t="s">
        <v>39544</v>
      </c>
      <c r="AF1760" s="6" t="s">
        <v>40069</v>
      </c>
      <c r="AG1760" s="6"/>
      <c r="AH1760" s="6"/>
      <c r="AI1760" s="6"/>
      <c r="AJ1760" s="6"/>
      <c r="AK1760" s="6"/>
      <c r="AL1760" s="6"/>
      <c r="AM1760" s="6"/>
      <c r="AN1760" s="6"/>
      <c r="AO1760" s="6"/>
      <c r="AP1760" s="6"/>
      <c r="AQ1760" s="6"/>
      <c r="AR1760" s="6"/>
      <c r="AS1760" s="6"/>
      <c r="AT1760" s="6"/>
      <c r="AU1760" s="6"/>
      <c r="AV1760" s="6"/>
      <c r="AW1760" s="6"/>
      <c r="AX1760" s="6"/>
      <c r="AY1760" s="6"/>
      <c r="AZ1760" s="6"/>
      <c r="BA1760" s="6"/>
      <c r="BB1760" s="6"/>
      <c r="BC1760" s="6"/>
      <c r="BD1760" s="6"/>
      <c r="BE1760" s="6"/>
      <c r="BF1760" s="6"/>
      <c r="BG1760" s="6"/>
      <c r="BH1760" s="6"/>
      <c r="BI1760" s="6"/>
      <c r="BJ1760" s="6"/>
      <c r="BK1760" s="6"/>
      <c r="BL1760" s="6"/>
      <c r="BM1760" s="6"/>
      <c r="BN1760" s="6"/>
      <c r="BO1760" s="6"/>
      <c r="BP1760" s="6"/>
      <c r="BQ1760" s="6"/>
      <c r="BR1760" s="6"/>
      <c r="BS1760" s="6"/>
      <c r="BT1760" s="6"/>
    </row>
    <row r="1761" spans="1:72">
      <c r="A1761" s="8" t="s">
        <v>33479</v>
      </c>
      <c r="B1761" s="11" t="s">
        <v>33484</v>
      </c>
      <c r="C1761" s="9" t="s">
        <v>138</v>
      </c>
      <c r="D1761" s="10" t="s">
        <v>138</v>
      </c>
      <c r="E1761" s="28" t="s">
        <v>1246</v>
      </c>
      <c r="F1761" s="28" t="s">
        <v>200</v>
      </c>
      <c r="G1761" s="28" t="s">
        <v>162</v>
      </c>
      <c r="H1761" s="13">
        <v>15</v>
      </c>
      <c r="I1761" s="12" t="s">
        <v>33491</v>
      </c>
      <c r="J1761" s="12" t="s">
        <v>45653</v>
      </c>
      <c r="K1761" s="12" t="s">
        <v>42435</v>
      </c>
      <c r="L1761" s="12" t="s">
        <v>40196</v>
      </c>
      <c r="M1761" s="12" t="s">
        <v>38964</v>
      </c>
      <c r="N1761" s="12" t="s">
        <v>45654</v>
      </c>
      <c r="O1761" s="12" t="s">
        <v>39851</v>
      </c>
      <c r="P1761" s="12" t="s">
        <v>45655</v>
      </c>
      <c r="Q1761" s="12" t="s">
        <v>45621</v>
      </c>
      <c r="R1761" s="12" t="s">
        <v>44432</v>
      </c>
      <c r="S1761" s="12" t="s">
        <v>38926</v>
      </c>
      <c r="T1761" s="12" t="s">
        <v>38200</v>
      </c>
      <c r="U1761" s="12" t="s">
        <v>37891</v>
      </c>
      <c r="V1761" s="12" t="s">
        <v>38371</v>
      </c>
      <c r="W1761" s="12" t="s">
        <v>41823</v>
      </c>
      <c r="X1761" s="12" t="s">
        <v>41825</v>
      </c>
      <c r="Y1761" s="12"/>
      <c r="Z1761" s="12"/>
      <c r="AA1761" s="12"/>
      <c r="AB1761" s="12"/>
      <c r="AC1761" s="12"/>
      <c r="AD1761" s="12"/>
      <c r="AE1761" s="12"/>
      <c r="AF1761" s="12"/>
      <c r="AG1761" s="12"/>
      <c r="AH1761" s="12"/>
      <c r="AI1761" s="12"/>
      <c r="AJ1761" s="12"/>
      <c r="AK1761" s="12"/>
      <c r="AL1761" s="12"/>
      <c r="AM1761" s="12"/>
      <c r="AN1761" s="12"/>
      <c r="AO1761" s="12"/>
      <c r="AP1761" s="12"/>
      <c r="AQ1761" s="12"/>
      <c r="AR1761" s="12"/>
      <c r="AS1761" s="12"/>
      <c r="AT1761" s="12"/>
      <c r="AU1761" s="12"/>
      <c r="AV1761" s="12"/>
      <c r="AW1761" s="12"/>
      <c r="AX1761" s="12"/>
      <c r="AY1761" s="12"/>
      <c r="AZ1761" s="12"/>
      <c r="BA1761" s="12"/>
      <c r="BB1761" s="12"/>
      <c r="BC1761" s="12"/>
      <c r="BD1761" s="12"/>
      <c r="BE1761" s="12"/>
      <c r="BF1761" s="12"/>
      <c r="BG1761" s="12"/>
      <c r="BH1761" s="12"/>
      <c r="BI1761" s="12"/>
      <c r="BJ1761" s="12"/>
      <c r="BK1761" s="12"/>
      <c r="BL1761" s="12"/>
      <c r="BM1761" s="12"/>
      <c r="BN1761" s="12"/>
      <c r="BO1761" s="12"/>
      <c r="BP1761" s="12"/>
      <c r="BQ1761" s="12"/>
      <c r="BR1761" s="12"/>
      <c r="BS1761" s="12"/>
      <c r="BT1761" s="12"/>
    </row>
    <row r="1762" spans="1:72">
      <c r="A1762" s="2" t="s">
        <v>33494</v>
      </c>
      <c r="B1762" s="5" t="s">
        <v>33498</v>
      </c>
      <c r="C1762" s="3" t="s">
        <v>138</v>
      </c>
      <c r="D1762" s="4" t="s">
        <v>138</v>
      </c>
      <c r="E1762" s="15" t="s">
        <v>823</v>
      </c>
      <c r="F1762" s="15" t="s">
        <v>824</v>
      </c>
      <c r="G1762" s="15" t="s">
        <v>526</v>
      </c>
      <c r="H1762" s="7">
        <v>24</v>
      </c>
      <c r="I1762" s="6" t="s">
        <v>33507</v>
      </c>
      <c r="J1762" s="6" t="s">
        <v>45656</v>
      </c>
      <c r="K1762" s="6" t="s">
        <v>45657</v>
      </c>
      <c r="L1762" s="6" t="s">
        <v>45658</v>
      </c>
      <c r="M1762" s="6" t="s">
        <v>39933</v>
      </c>
      <c r="N1762" s="6" t="s">
        <v>45659</v>
      </c>
      <c r="O1762" s="6" t="s">
        <v>45660</v>
      </c>
      <c r="P1762" s="6" t="s">
        <v>45661</v>
      </c>
      <c r="Q1762" s="6" t="s">
        <v>38841</v>
      </c>
      <c r="R1762" s="6" t="s">
        <v>45662</v>
      </c>
      <c r="S1762" s="6" t="s">
        <v>45663</v>
      </c>
      <c r="T1762" s="6" t="s">
        <v>45611</v>
      </c>
      <c r="U1762" s="6" t="s">
        <v>45664</v>
      </c>
      <c r="V1762" s="6" t="s">
        <v>45665</v>
      </c>
      <c r="W1762" s="6" t="s">
        <v>45666</v>
      </c>
      <c r="X1762" s="6" t="s">
        <v>37786</v>
      </c>
      <c r="Y1762" s="6" t="s">
        <v>39499</v>
      </c>
      <c r="Z1762" s="6" t="s">
        <v>42039</v>
      </c>
      <c r="AA1762" s="6" t="s">
        <v>43251</v>
      </c>
      <c r="AB1762" s="6" t="s">
        <v>37991</v>
      </c>
      <c r="AC1762" s="6" t="s">
        <v>45667</v>
      </c>
      <c r="AD1762" s="6" t="s">
        <v>42751</v>
      </c>
      <c r="AE1762" s="6" t="s">
        <v>45668</v>
      </c>
      <c r="AF1762" s="6" t="s">
        <v>39692</v>
      </c>
      <c r="AG1762" s="6" t="s">
        <v>45669</v>
      </c>
      <c r="AH1762" s="6"/>
      <c r="AI1762" s="6"/>
      <c r="AJ1762" s="6"/>
      <c r="AK1762" s="6"/>
      <c r="AL1762" s="6"/>
      <c r="AM1762" s="6"/>
      <c r="AN1762" s="6"/>
      <c r="AO1762" s="6"/>
      <c r="AP1762" s="6"/>
      <c r="AQ1762" s="6"/>
      <c r="AR1762" s="6"/>
      <c r="AS1762" s="6"/>
      <c r="AT1762" s="6"/>
      <c r="AU1762" s="6"/>
      <c r="AV1762" s="6"/>
      <c r="AW1762" s="6"/>
      <c r="AX1762" s="6"/>
      <c r="AY1762" s="6"/>
      <c r="AZ1762" s="6"/>
      <c r="BA1762" s="6"/>
      <c r="BB1762" s="6"/>
      <c r="BC1762" s="6"/>
      <c r="BD1762" s="6"/>
      <c r="BE1762" s="6"/>
      <c r="BF1762" s="6"/>
      <c r="BG1762" s="6"/>
      <c r="BH1762" s="6"/>
      <c r="BI1762" s="6"/>
      <c r="BJ1762" s="6"/>
      <c r="BK1762" s="6"/>
      <c r="BL1762" s="6"/>
      <c r="BM1762" s="6"/>
      <c r="BN1762" s="6"/>
      <c r="BO1762" s="6"/>
      <c r="BP1762" s="6"/>
      <c r="BQ1762" s="6"/>
      <c r="BR1762" s="6"/>
      <c r="BS1762" s="6"/>
      <c r="BT1762" s="6"/>
    </row>
    <row r="1763" spans="1:72">
      <c r="A1763" s="8" t="s">
        <v>33514</v>
      </c>
      <c r="B1763" s="11" t="s">
        <v>33518</v>
      </c>
      <c r="C1763" s="9" t="s">
        <v>138</v>
      </c>
      <c r="D1763" s="10" t="s">
        <v>138</v>
      </c>
      <c r="E1763" s="28" t="s">
        <v>1198</v>
      </c>
      <c r="F1763" s="28" t="s">
        <v>8339</v>
      </c>
      <c r="G1763" s="28" t="s">
        <v>1200</v>
      </c>
      <c r="H1763" s="13">
        <v>15</v>
      </c>
      <c r="I1763" s="12" t="s">
        <v>33528</v>
      </c>
      <c r="J1763" s="12" t="s">
        <v>28931</v>
      </c>
      <c r="K1763" s="12" t="s">
        <v>45670</v>
      </c>
      <c r="L1763" s="12" t="s">
        <v>38246</v>
      </c>
      <c r="M1763" s="12" t="s">
        <v>39093</v>
      </c>
      <c r="N1763" s="12" t="s">
        <v>43202</v>
      </c>
      <c r="O1763" s="12" t="s">
        <v>40633</v>
      </c>
      <c r="P1763" s="12" t="s">
        <v>38719</v>
      </c>
      <c r="Q1763" s="12" t="s">
        <v>39460</v>
      </c>
      <c r="R1763" s="12" t="s">
        <v>38312</v>
      </c>
      <c r="S1763" s="12" t="s">
        <v>39195</v>
      </c>
      <c r="T1763" s="12" t="s">
        <v>45671</v>
      </c>
      <c r="U1763" s="12" t="s">
        <v>38065</v>
      </c>
      <c r="V1763" s="12" t="s">
        <v>38712</v>
      </c>
      <c r="W1763" s="12" t="s">
        <v>39197</v>
      </c>
      <c r="X1763" s="12" t="s">
        <v>45672</v>
      </c>
      <c r="Y1763" s="12"/>
      <c r="Z1763" s="12"/>
      <c r="AA1763" s="12"/>
      <c r="AB1763" s="12"/>
      <c r="AC1763" s="12"/>
      <c r="AD1763" s="12"/>
      <c r="AE1763" s="12"/>
      <c r="AF1763" s="12"/>
      <c r="AG1763" s="12"/>
      <c r="AH1763" s="12"/>
      <c r="AI1763" s="12"/>
      <c r="AJ1763" s="12"/>
      <c r="AK1763" s="12"/>
      <c r="AL1763" s="12"/>
      <c r="AM1763" s="12"/>
      <c r="AN1763" s="12"/>
      <c r="AO1763" s="12"/>
      <c r="AP1763" s="12"/>
      <c r="AQ1763" s="12"/>
      <c r="AR1763" s="12"/>
      <c r="AS1763" s="12"/>
      <c r="AT1763" s="12"/>
      <c r="AU1763" s="12"/>
      <c r="AV1763" s="12"/>
      <c r="AW1763" s="12"/>
      <c r="AX1763" s="12"/>
      <c r="AY1763" s="12"/>
      <c r="AZ1763" s="12"/>
      <c r="BA1763" s="12"/>
      <c r="BB1763" s="12"/>
      <c r="BC1763" s="12"/>
      <c r="BD1763" s="12"/>
      <c r="BE1763" s="12"/>
      <c r="BF1763" s="12"/>
      <c r="BG1763" s="12"/>
      <c r="BH1763" s="12"/>
      <c r="BI1763" s="12"/>
      <c r="BJ1763" s="12"/>
      <c r="BK1763" s="12"/>
      <c r="BL1763" s="12"/>
      <c r="BM1763" s="12"/>
      <c r="BN1763" s="12"/>
      <c r="BO1763" s="12"/>
      <c r="BP1763" s="12"/>
      <c r="BQ1763" s="12"/>
      <c r="BR1763" s="12"/>
      <c r="BS1763" s="12"/>
      <c r="BT1763" s="12"/>
    </row>
    <row r="1764" spans="1:72">
      <c r="A1764" s="2" t="s">
        <v>33532</v>
      </c>
      <c r="B1764" s="5" t="s">
        <v>33535</v>
      </c>
      <c r="C1764" s="3" t="s">
        <v>138</v>
      </c>
      <c r="D1764" s="4" t="s">
        <v>138</v>
      </c>
      <c r="E1764" s="15" t="s">
        <v>33543</v>
      </c>
      <c r="F1764" s="15" t="s">
        <v>824</v>
      </c>
      <c r="G1764" s="15" t="s">
        <v>526</v>
      </c>
      <c r="H1764" s="7">
        <v>5</v>
      </c>
      <c r="I1764" s="6" t="s">
        <v>33548</v>
      </c>
      <c r="J1764" s="6" t="s">
        <v>45673</v>
      </c>
      <c r="K1764" s="6" t="s">
        <v>41099</v>
      </c>
      <c r="L1764" s="6" t="s">
        <v>37897</v>
      </c>
      <c r="M1764" s="6" t="s">
        <v>37851</v>
      </c>
      <c r="N1764" s="6" t="s">
        <v>41949</v>
      </c>
      <c r="O1764" s="6"/>
      <c r="P1764" s="6"/>
      <c r="Q1764" s="6"/>
      <c r="R1764" s="6"/>
      <c r="S1764" s="6"/>
      <c r="T1764" s="6"/>
      <c r="U1764" s="6"/>
      <c r="V1764" s="6"/>
      <c r="W1764" s="6"/>
      <c r="X1764" s="6"/>
      <c r="Y1764" s="6"/>
      <c r="Z1764" s="6"/>
      <c r="AA1764" s="6"/>
      <c r="AB1764" s="6"/>
      <c r="AC1764" s="6"/>
      <c r="AD1764" s="6"/>
      <c r="AE1764" s="6"/>
      <c r="AF1764" s="6"/>
      <c r="AG1764" s="6"/>
      <c r="AH1764" s="6"/>
      <c r="AI1764" s="6"/>
      <c r="AJ1764" s="6"/>
      <c r="AK1764" s="6"/>
      <c r="AL1764" s="6"/>
      <c r="AM1764" s="6"/>
      <c r="AN1764" s="6"/>
      <c r="AO1764" s="6"/>
      <c r="AP1764" s="6"/>
      <c r="AQ1764" s="6"/>
      <c r="AR1764" s="6"/>
      <c r="AS1764" s="6"/>
      <c r="AT1764" s="6"/>
      <c r="AU1764" s="6"/>
      <c r="AV1764" s="6"/>
      <c r="AW1764" s="6"/>
      <c r="AX1764" s="6"/>
      <c r="AY1764" s="6"/>
      <c r="AZ1764" s="6"/>
      <c r="BA1764" s="6"/>
      <c r="BB1764" s="6"/>
      <c r="BC1764" s="6"/>
      <c r="BD1764" s="6"/>
      <c r="BE1764" s="6"/>
      <c r="BF1764" s="6"/>
      <c r="BG1764" s="6"/>
      <c r="BH1764" s="6"/>
      <c r="BI1764" s="6"/>
      <c r="BJ1764" s="6"/>
      <c r="BK1764" s="6"/>
      <c r="BL1764" s="6"/>
      <c r="BM1764" s="6"/>
      <c r="BN1764" s="6"/>
      <c r="BO1764" s="6"/>
      <c r="BP1764" s="6"/>
      <c r="BQ1764" s="6"/>
      <c r="BR1764" s="6"/>
      <c r="BS1764" s="6"/>
      <c r="BT1764" s="6"/>
    </row>
    <row r="1765" spans="1:72">
      <c r="A1765" s="8" t="s">
        <v>33552</v>
      </c>
      <c r="B1765" s="11" t="s">
        <v>33557</v>
      </c>
      <c r="C1765" s="9" t="s">
        <v>138</v>
      </c>
      <c r="D1765" s="10" t="s">
        <v>138</v>
      </c>
      <c r="E1765" s="28" t="s">
        <v>426</v>
      </c>
      <c r="F1765" s="28" t="s">
        <v>426</v>
      </c>
      <c r="G1765" s="28" t="s">
        <v>162</v>
      </c>
      <c r="H1765" s="13">
        <v>2</v>
      </c>
      <c r="I1765" s="12" t="s">
        <v>33566</v>
      </c>
      <c r="J1765" s="12" t="s">
        <v>45674</v>
      </c>
      <c r="K1765" s="12" t="s">
        <v>45675</v>
      </c>
      <c r="L1765" s="12"/>
      <c r="M1765" s="12"/>
      <c r="N1765" s="12"/>
      <c r="O1765" s="12"/>
      <c r="P1765" s="12"/>
      <c r="Q1765" s="12"/>
      <c r="R1765" s="12"/>
      <c r="S1765" s="12"/>
      <c r="T1765" s="12"/>
      <c r="U1765" s="12"/>
      <c r="V1765" s="12"/>
      <c r="W1765" s="12"/>
      <c r="X1765" s="12"/>
      <c r="Y1765" s="12"/>
      <c r="Z1765" s="12"/>
      <c r="AA1765" s="12"/>
      <c r="AB1765" s="12"/>
      <c r="AC1765" s="12"/>
      <c r="AD1765" s="12"/>
      <c r="AE1765" s="12"/>
      <c r="AF1765" s="12"/>
      <c r="AG1765" s="12"/>
      <c r="AH1765" s="12"/>
      <c r="AI1765" s="12"/>
      <c r="AJ1765" s="12"/>
      <c r="AK1765" s="12"/>
      <c r="AL1765" s="12"/>
      <c r="AM1765" s="12"/>
      <c r="AN1765" s="12"/>
      <c r="AO1765" s="12"/>
      <c r="AP1765" s="12"/>
      <c r="AQ1765" s="12"/>
      <c r="AR1765" s="12"/>
      <c r="AS1765" s="12"/>
      <c r="AT1765" s="12"/>
      <c r="AU1765" s="12"/>
      <c r="AV1765" s="12"/>
      <c r="AW1765" s="12"/>
      <c r="AX1765" s="12"/>
      <c r="AY1765" s="12"/>
      <c r="AZ1765" s="12"/>
      <c r="BA1765" s="12"/>
      <c r="BB1765" s="12"/>
      <c r="BC1765" s="12"/>
      <c r="BD1765" s="12"/>
      <c r="BE1765" s="12"/>
      <c r="BF1765" s="12"/>
      <c r="BG1765" s="12"/>
      <c r="BH1765" s="12"/>
      <c r="BI1765" s="12"/>
      <c r="BJ1765" s="12"/>
      <c r="BK1765" s="12"/>
      <c r="BL1765" s="12"/>
      <c r="BM1765" s="12"/>
      <c r="BN1765" s="12"/>
      <c r="BO1765" s="12"/>
      <c r="BP1765" s="12"/>
      <c r="BQ1765" s="12"/>
      <c r="BR1765" s="12"/>
      <c r="BS1765" s="12"/>
      <c r="BT1765" s="12"/>
    </row>
    <row r="1766" spans="1:72">
      <c r="A1766" s="2" t="s">
        <v>33573</v>
      </c>
      <c r="B1766" s="5" t="s">
        <v>33579</v>
      </c>
      <c r="C1766" s="3" t="s">
        <v>138</v>
      </c>
      <c r="D1766" s="4" t="s">
        <v>33574</v>
      </c>
      <c r="E1766" s="15" t="s">
        <v>426</v>
      </c>
      <c r="F1766" s="15" t="s">
        <v>426</v>
      </c>
      <c r="G1766" s="15" t="s">
        <v>162</v>
      </c>
      <c r="H1766" s="7">
        <v>3</v>
      </c>
      <c r="I1766" s="6" t="s">
        <v>33587</v>
      </c>
      <c r="J1766" s="6" t="s">
        <v>45676</v>
      </c>
      <c r="K1766" s="6" t="s">
        <v>38049</v>
      </c>
      <c r="L1766" s="6" t="s">
        <v>37998</v>
      </c>
      <c r="M1766" s="6"/>
      <c r="N1766" s="6"/>
      <c r="O1766" s="6"/>
      <c r="P1766" s="6"/>
      <c r="Q1766" s="6"/>
      <c r="R1766" s="6"/>
      <c r="S1766" s="6"/>
      <c r="T1766" s="6"/>
      <c r="U1766" s="6"/>
      <c r="V1766" s="6"/>
      <c r="W1766" s="6"/>
      <c r="X1766" s="6"/>
      <c r="Y1766" s="6"/>
      <c r="Z1766" s="6"/>
      <c r="AA1766" s="6"/>
      <c r="AB1766" s="6"/>
      <c r="AC1766" s="6"/>
      <c r="AD1766" s="6"/>
      <c r="AE1766" s="6"/>
      <c r="AF1766" s="6"/>
      <c r="AG1766" s="6"/>
      <c r="AH1766" s="6"/>
      <c r="AI1766" s="6"/>
      <c r="AJ1766" s="6"/>
      <c r="AK1766" s="6"/>
      <c r="AL1766" s="6"/>
      <c r="AM1766" s="6"/>
      <c r="AN1766" s="6"/>
      <c r="AO1766" s="6"/>
      <c r="AP1766" s="6"/>
      <c r="AQ1766" s="6"/>
      <c r="AR1766" s="6"/>
      <c r="AS1766" s="6"/>
      <c r="AT1766" s="6"/>
      <c r="AU1766" s="6"/>
      <c r="AV1766" s="6"/>
      <c r="AW1766" s="6"/>
      <c r="AX1766" s="6"/>
      <c r="AY1766" s="6"/>
      <c r="AZ1766" s="6"/>
      <c r="BA1766" s="6"/>
      <c r="BB1766" s="6"/>
      <c r="BC1766" s="6"/>
      <c r="BD1766" s="6"/>
      <c r="BE1766" s="6"/>
      <c r="BF1766" s="6"/>
      <c r="BG1766" s="6"/>
      <c r="BH1766" s="6"/>
      <c r="BI1766" s="6"/>
      <c r="BJ1766" s="6"/>
      <c r="BK1766" s="6"/>
      <c r="BL1766" s="6"/>
      <c r="BM1766" s="6"/>
      <c r="BN1766" s="6"/>
      <c r="BO1766" s="6"/>
      <c r="BP1766" s="6"/>
      <c r="BQ1766" s="6"/>
      <c r="BR1766" s="6"/>
      <c r="BS1766" s="6"/>
      <c r="BT1766" s="6"/>
    </row>
    <row r="1767" spans="1:72">
      <c r="A1767" s="8" t="s">
        <v>33590</v>
      </c>
      <c r="B1767" s="11" t="s">
        <v>33596</v>
      </c>
      <c r="C1767" s="9" t="s">
        <v>138</v>
      </c>
      <c r="D1767" s="10" t="s">
        <v>33591</v>
      </c>
      <c r="E1767" s="28" t="s">
        <v>19369</v>
      </c>
      <c r="F1767" s="28" t="s">
        <v>474</v>
      </c>
      <c r="G1767" s="28" t="s">
        <v>162</v>
      </c>
      <c r="H1767" s="13" t="s">
        <v>138</v>
      </c>
      <c r="I1767" s="12" t="s">
        <v>138</v>
      </c>
      <c r="J1767" s="12"/>
      <c r="K1767" s="12"/>
      <c r="L1767" s="12"/>
      <c r="M1767" s="12"/>
      <c r="N1767" s="12"/>
      <c r="O1767" s="12"/>
      <c r="P1767" s="12"/>
      <c r="Q1767" s="12"/>
      <c r="R1767" s="12"/>
      <c r="S1767" s="12"/>
      <c r="T1767" s="12"/>
      <c r="U1767" s="12"/>
      <c r="V1767" s="12"/>
      <c r="W1767" s="12"/>
      <c r="X1767" s="12"/>
      <c r="Y1767" s="12"/>
      <c r="Z1767" s="12"/>
      <c r="AA1767" s="12"/>
      <c r="AB1767" s="12"/>
      <c r="AC1767" s="12"/>
      <c r="AD1767" s="12"/>
      <c r="AE1767" s="12"/>
      <c r="AF1767" s="12"/>
      <c r="AG1767" s="12"/>
      <c r="AH1767" s="12"/>
      <c r="AI1767" s="12"/>
      <c r="AJ1767" s="12"/>
      <c r="AK1767" s="12"/>
      <c r="AL1767" s="12"/>
      <c r="AM1767" s="12"/>
      <c r="AN1767" s="12"/>
      <c r="AO1767" s="12"/>
      <c r="AP1767" s="12"/>
      <c r="AQ1767" s="12"/>
      <c r="AR1767" s="12"/>
      <c r="AS1767" s="12"/>
      <c r="AT1767" s="12"/>
      <c r="AU1767" s="12"/>
      <c r="AV1767" s="12"/>
      <c r="AW1767" s="12"/>
      <c r="AX1767" s="12"/>
      <c r="AY1767" s="12"/>
      <c r="AZ1767" s="12"/>
      <c r="BA1767" s="12"/>
      <c r="BB1767" s="12"/>
      <c r="BC1767" s="12"/>
      <c r="BD1767" s="12"/>
      <c r="BE1767" s="12"/>
      <c r="BF1767" s="12"/>
      <c r="BG1767" s="12"/>
      <c r="BH1767" s="12"/>
      <c r="BI1767" s="12"/>
      <c r="BJ1767" s="12"/>
      <c r="BK1767" s="12"/>
      <c r="BL1767" s="12"/>
      <c r="BM1767" s="12"/>
      <c r="BN1767" s="12"/>
      <c r="BO1767" s="12"/>
      <c r="BP1767" s="12"/>
      <c r="BQ1767" s="12"/>
      <c r="BR1767" s="12"/>
      <c r="BS1767" s="12"/>
      <c r="BT1767" s="12"/>
    </row>
    <row r="1768" spans="1:72">
      <c r="A1768" s="2" t="s">
        <v>33610</v>
      </c>
      <c r="B1768" s="5" t="s">
        <v>33615</v>
      </c>
      <c r="C1768" s="3" t="s">
        <v>138</v>
      </c>
      <c r="D1768" s="4" t="s">
        <v>33611</v>
      </c>
      <c r="E1768" s="15" t="s">
        <v>823</v>
      </c>
      <c r="F1768" s="15" t="s">
        <v>824</v>
      </c>
      <c r="G1768" s="15" t="s">
        <v>526</v>
      </c>
      <c r="H1768" s="7">
        <v>24</v>
      </c>
      <c r="I1768" s="6" t="s">
        <v>33625</v>
      </c>
      <c r="J1768" s="6" t="s">
        <v>45677</v>
      </c>
      <c r="K1768" s="6" t="s">
        <v>41599</v>
      </c>
      <c r="L1768" s="6" t="s">
        <v>45678</v>
      </c>
      <c r="M1768" s="6" t="s">
        <v>40452</v>
      </c>
      <c r="N1768" s="6" t="s">
        <v>38611</v>
      </c>
      <c r="O1768" s="6" t="s">
        <v>37786</v>
      </c>
      <c r="P1768" s="6" t="s">
        <v>38910</v>
      </c>
      <c r="Q1768" s="6" t="s">
        <v>41663</v>
      </c>
      <c r="R1768" s="6" t="s">
        <v>45679</v>
      </c>
      <c r="S1768" s="6" t="s">
        <v>39438</v>
      </c>
      <c r="T1768" s="6" t="s">
        <v>45680</v>
      </c>
      <c r="U1768" s="6" t="s">
        <v>38017</v>
      </c>
      <c r="V1768" s="6" t="s">
        <v>45681</v>
      </c>
      <c r="W1768" s="6" t="s">
        <v>38724</v>
      </c>
      <c r="X1768" s="6" t="s">
        <v>45682</v>
      </c>
      <c r="Y1768" s="6" t="s">
        <v>37998</v>
      </c>
      <c r="Z1768" s="6" t="s">
        <v>38084</v>
      </c>
      <c r="AA1768" s="6" t="s">
        <v>37890</v>
      </c>
      <c r="AB1768" s="6" t="s">
        <v>42420</v>
      </c>
      <c r="AC1768" s="6" t="s">
        <v>38030</v>
      </c>
      <c r="AD1768" s="6" t="s">
        <v>41059</v>
      </c>
      <c r="AE1768" s="6" t="s">
        <v>45683</v>
      </c>
      <c r="AF1768" s="6" t="s">
        <v>38169</v>
      </c>
      <c r="AG1768" s="6" t="s">
        <v>45684</v>
      </c>
      <c r="AH1768" s="6"/>
      <c r="AI1768" s="6"/>
      <c r="AJ1768" s="6"/>
      <c r="AK1768" s="6"/>
      <c r="AL1768" s="6"/>
      <c r="AM1768" s="6"/>
      <c r="AN1768" s="6"/>
      <c r="AO1768" s="6"/>
      <c r="AP1768" s="6"/>
      <c r="AQ1768" s="6"/>
      <c r="AR1768" s="6"/>
      <c r="AS1768" s="6"/>
      <c r="AT1768" s="6"/>
      <c r="AU1768" s="6"/>
      <c r="AV1768" s="6"/>
      <c r="AW1768" s="6"/>
      <c r="AX1768" s="6"/>
      <c r="AY1768" s="6"/>
      <c r="AZ1768" s="6"/>
      <c r="BA1768" s="6"/>
      <c r="BB1768" s="6"/>
      <c r="BC1768" s="6"/>
      <c r="BD1768" s="6"/>
      <c r="BE1768" s="6"/>
      <c r="BF1768" s="6"/>
      <c r="BG1768" s="6"/>
      <c r="BH1768" s="6"/>
      <c r="BI1768" s="6"/>
      <c r="BJ1768" s="6"/>
      <c r="BK1768" s="6"/>
      <c r="BL1768" s="6"/>
      <c r="BM1768" s="6"/>
      <c r="BN1768" s="6"/>
      <c r="BO1768" s="6"/>
      <c r="BP1768" s="6"/>
      <c r="BQ1768" s="6"/>
      <c r="BR1768" s="6"/>
      <c r="BS1768" s="6"/>
      <c r="BT1768" s="6"/>
    </row>
    <row r="1769" spans="1:72">
      <c r="A1769" s="8" t="s">
        <v>33630</v>
      </c>
      <c r="B1769" s="11" t="s">
        <v>33635</v>
      </c>
      <c r="C1769" s="9" t="s">
        <v>138</v>
      </c>
      <c r="D1769" s="10" t="s">
        <v>138</v>
      </c>
      <c r="E1769" s="28" t="s">
        <v>22555</v>
      </c>
      <c r="F1769" s="28" t="s">
        <v>2031</v>
      </c>
      <c r="G1769" s="28" t="s">
        <v>162</v>
      </c>
      <c r="H1769" s="13">
        <v>2</v>
      </c>
      <c r="I1769" s="12" t="s">
        <v>33645</v>
      </c>
      <c r="J1769" s="12" t="s">
        <v>45685</v>
      </c>
      <c r="K1769" s="12" t="s">
        <v>38137</v>
      </c>
      <c r="L1769" s="12"/>
      <c r="M1769" s="12"/>
      <c r="N1769" s="12"/>
      <c r="O1769" s="12"/>
      <c r="P1769" s="12"/>
      <c r="Q1769" s="12"/>
      <c r="R1769" s="12"/>
      <c r="S1769" s="12"/>
      <c r="T1769" s="12"/>
      <c r="U1769" s="12"/>
      <c r="V1769" s="12"/>
      <c r="W1769" s="12"/>
      <c r="X1769" s="12"/>
      <c r="Y1769" s="12"/>
      <c r="Z1769" s="12"/>
      <c r="AA1769" s="12"/>
      <c r="AB1769" s="12"/>
      <c r="AC1769" s="12"/>
      <c r="AD1769" s="12"/>
      <c r="AE1769" s="12"/>
      <c r="AF1769" s="12"/>
      <c r="AG1769" s="12"/>
      <c r="AH1769" s="12"/>
      <c r="AI1769" s="12"/>
      <c r="AJ1769" s="12"/>
      <c r="AK1769" s="12"/>
      <c r="AL1769" s="12"/>
      <c r="AM1769" s="12"/>
      <c r="AN1769" s="12"/>
      <c r="AO1769" s="12"/>
      <c r="AP1769" s="12"/>
      <c r="AQ1769" s="12"/>
      <c r="AR1769" s="12"/>
      <c r="AS1769" s="12"/>
      <c r="AT1769" s="12"/>
      <c r="AU1769" s="12"/>
      <c r="AV1769" s="12"/>
      <c r="AW1769" s="12"/>
      <c r="AX1769" s="12"/>
      <c r="AY1769" s="12"/>
      <c r="AZ1769" s="12"/>
      <c r="BA1769" s="12"/>
      <c r="BB1769" s="12"/>
      <c r="BC1769" s="12"/>
      <c r="BD1769" s="12"/>
      <c r="BE1769" s="12"/>
      <c r="BF1769" s="12"/>
      <c r="BG1769" s="12"/>
      <c r="BH1769" s="12"/>
      <c r="BI1769" s="12"/>
      <c r="BJ1769" s="12"/>
      <c r="BK1769" s="12"/>
      <c r="BL1769" s="12"/>
      <c r="BM1769" s="12"/>
      <c r="BN1769" s="12"/>
      <c r="BO1769" s="12"/>
      <c r="BP1769" s="12"/>
      <c r="BQ1769" s="12"/>
      <c r="BR1769" s="12"/>
      <c r="BS1769" s="12"/>
      <c r="BT1769" s="12"/>
    </row>
    <row r="1770" spans="1:72">
      <c r="A1770" s="2" t="s">
        <v>33648</v>
      </c>
      <c r="B1770" s="5" t="s">
        <v>33652</v>
      </c>
      <c r="C1770" s="3" t="s">
        <v>138</v>
      </c>
      <c r="D1770" s="4" t="s">
        <v>138</v>
      </c>
      <c r="E1770" s="15" t="s">
        <v>5131</v>
      </c>
      <c r="F1770" s="15" t="s">
        <v>138</v>
      </c>
      <c r="G1770" s="15" t="s">
        <v>740</v>
      </c>
      <c r="H1770" s="7">
        <v>11</v>
      </c>
      <c r="I1770" s="6" t="s">
        <v>33663</v>
      </c>
      <c r="J1770" s="6" t="s">
        <v>43732</v>
      </c>
      <c r="K1770" s="6" t="s">
        <v>43596</v>
      </c>
      <c r="L1770" s="6" t="s">
        <v>37819</v>
      </c>
      <c r="M1770" s="6" t="s">
        <v>38043</v>
      </c>
      <c r="N1770" s="6" t="s">
        <v>37909</v>
      </c>
      <c r="O1770" s="6" t="s">
        <v>43543</v>
      </c>
      <c r="P1770" s="6" t="s">
        <v>38189</v>
      </c>
      <c r="Q1770" s="6" t="s">
        <v>37998</v>
      </c>
      <c r="R1770" s="6" t="s">
        <v>39641</v>
      </c>
      <c r="S1770" s="6" t="s">
        <v>39296</v>
      </c>
      <c r="T1770" s="6" t="s">
        <v>37871</v>
      </c>
      <c r="U1770" s="6"/>
      <c r="V1770" s="6"/>
      <c r="W1770" s="6"/>
      <c r="X1770" s="6"/>
      <c r="Y1770" s="6"/>
      <c r="Z1770" s="6"/>
      <c r="AA1770" s="6"/>
      <c r="AB1770" s="6"/>
      <c r="AC1770" s="6"/>
      <c r="AD1770" s="6"/>
      <c r="AE1770" s="6"/>
      <c r="AF1770" s="6"/>
      <c r="AG1770" s="6"/>
      <c r="AH1770" s="6"/>
      <c r="AI1770" s="6"/>
      <c r="AJ1770" s="6"/>
      <c r="AK1770" s="6"/>
      <c r="AL1770" s="6"/>
      <c r="AM1770" s="6"/>
      <c r="AN1770" s="6"/>
      <c r="AO1770" s="6"/>
      <c r="AP1770" s="6"/>
      <c r="AQ1770" s="6"/>
      <c r="AR1770" s="6"/>
      <c r="AS1770" s="6"/>
      <c r="AT1770" s="6"/>
      <c r="AU1770" s="6"/>
      <c r="AV1770" s="6"/>
      <c r="AW1770" s="6"/>
      <c r="AX1770" s="6"/>
      <c r="AY1770" s="6"/>
      <c r="AZ1770" s="6"/>
      <c r="BA1770" s="6"/>
      <c r="BB1770" s="6"/>
      <c r="BC1770" s="6"/>
      <c r="BD1770" s="6"/>
      <c r="BE1770" s="6"/>
      <c r="BF1770" s="6"/>
      <c r="BG1770" s="6"/>
      <c r="BH1770" s="6"/>
      <c r="BI1770" s="6"/>
      <c r="BJ1770" s="6"/>
      <c r="BK1770" s="6"/>
      <c r="BL1770" s="6"/>
      <c r="BM1770" s="6"/>
      <c r="BN1770" s="6"/>
      <c r="BO1770" s="6"/>
      <c r="BP1770" s="6"/>
      <c r="BQ1770" s="6"/>
      <c r="BR1770" s="6"/>
      <c r="BS1770" s="6"/>
      <c r="BT1770" s="6"/>
    </row>
    <row r="1771" spans="1:72">
      <c r="A1771" s="8" t="s">
        <v>33667</v>
      </c>
      <c r="B1771" s="11" t="s">
        <v>33673</v>
      </c>
      <c r="C1771" s="9" t="s">
        <v>33668</v>
      </c>
      <c r="D1771" s="10" t="s">
        <v>138</v>
      </c>
      <c r="E1771" s="28" t="s">
        <v>642</v>
      </c>
      <c r="F1771" s="28" t="s">
        <v>474</v>
      </c>
      <c r="G1771" s="28" t="s">
        <v>162</v>
      </c>
      <c r="H1771" s="13">
        <v>16</v>
      </c>
      <c r="I1771" s="12" t="s">
        <v>33683</v>
      </c>
      <c r="J1771" s="12" t="s">
        <v>38733</v>
      </c>
      <c r="K1771" s="12" t="s">
        <v>38332</v>
      </c>
      <c r="L1771" s="12" t="s">
        <v>37949</v>
      </c>
      <c r="M1771" s="12" t="s">
        <v>37774</v>
      </c>
      <c r="N1771" s="12" t="s">
        <v>40202</v>
      </c>
      <c r="O1771" s="12" t="s">
        <v>43486</v>
      </c>
      <c r="P1771" s="12" t="s">
        <v>45686</v>
      </c>
      <c r="Q1771" s="12" t="s">
        <v>41704</v>
      </c>
      <c r="R1771" s="12" t="s">
        <v>37779</v>
      </c>
      <c r="S1771" s="12" t="s">
        <v>38200</v>
      </c>
      <c r="T1771" s="12" t="s">
        <v>37892</v>
      </c>
      <c r="U1771" s="12" t="s">
        <v>44909</v>
      </c>
      <c r="V1771" s="12" t="s">
        <v>37932</v>
      </c>
      <c r="W1771" s="12" t="s">
        <v>37893</v>
      </c>
      <c r="X1771" s="12" t="s">
        <v>39662</v>
      </c>
      <c r="Y1771" s="12" t="s">
        <v>45687</v>
      </c>
      <c r="Z1771" s="12"/>
      <c r="AA1771" s="12"/>
      <c r="AB1771" s="12"/>
      <c r="AC1771" s="12"/>
      <c r="AD1771" s="12"/>
      <c r="AE1771" s="12"/>
      <c r="AF1771" s="12"/>
      <c r="AG1771" s="12"/>
      <c r="AH1771" s="12"/>
      <c r="AI1771" s="12"/>
      <c r="AJ1771" s="12"/>
      <c r="AK1771" s="12"/>
      <c r="AL1771" s="12"/>
      <c r="AM1771" s="12"/>
      <c r="AN1771" s="12"/>
      <c r="AO1771" s="12"/>
      <c r="AP1771" s="12"/>
      <c r="AQ1771" s="12"/>
      <c r="AR1771" s="12"/>
      <c r="AS1771" s="12"/>
      <c r="AT1771" s="12"/>
      <c r="AU1771" s="12"/>
      <c r="AV1771" s="12"/>
      <c r="AW1771" s="12"/>
      <c r="AX1771" s="12"/>
      <c r="AY1771" s="12"/>
      <c r="AZ1771" s="12"/>
      <c r="BA1771" s="12"/>
      <c r="BB1771" s="12"/>
      <c r="BC1771" s="12"/>
      <c r="BD1771" s="12"/>
      <c r="BE1771" s="12"/>
      <c r="BF1771" s="12"/>
      <c r="BG1771" s="12"/>
      <c r="BH1771" s="12"/>
      <c r="BI1771" s="12"/>
      <c r="BJ1771" s="12"/>
      <c r="BK1771" s="12"/>
      <c r="BL1771" s="12"/>
      <c r="BM1771" s="12"/>
      <c r="BN1771" s="12"/>
      <c r="BO1771" s="12"/>
      <c r="BP1771" s="12"/>
      <c r="BQ1771" s="12"/>
      <c r="BR1771" s="12"/>
      <c r="BS1771" s="12"/>
      <c r="BT1771" s="12"/>
    </row>
    <row r="1772" spans="1:72">
      <c r="A1772" s="2" t="s">
        <v>33687</v>
      </c>
      <c r="B1772" s="5" t="s">
        <v>33694</v>
      </c>
      <c r="C1772" s="3" t="s">
        <v>33688</v>
      </c>
      <c r="D1772" s="4" t="s">
        <v>138</v>
      </c>
      <c r="E1772" s="15" t="s">
        <v>966</v>
      </c>
      <c r="F1772" s="15" t="s">
        <v>200</v>
      </c>
      <c r="G1772" s="15" t="s">
        <v>162</v>
      </c>
      <c r="H1772" s="7">
        <v>9</v>
      </c>
      <c r="I1772" s="6" t="s">
        <v>33703</v>
      </c>
      <c r="J1772" s="6" t="s">
        <v>15335</v>
      </c>
      <c r="K1772" s="6" t="s">
        <v>40759</v>
      </c>
      <c r="L1772" s="6" t="s">
        <v>40057</v>
      </c>
      <c r="M1772" s="6" t="s">
        <v>38825</v>
      </c>
      <c r="N1772" s="6" t="s">
        <v>45688</v>
      </c>
      <c r="O1772" s="6" t="s">
        <v>39889</v>
      </c>
      <c r="P1772" s="6" t="s">
        <v>37960</v>
      </c>
      <c r="Q1772" s="6" t="s">
        <v>37998</v>
      </c>
      <c r="R1772" s="6" t="s">
        <v>40267</v>
      </c>
      <c r="S1772" s="6"/>
      <c r="T1772" s="6"/>
      <c r="U1772" s="6"/>
      <c r="V1772" s="6"/>
      <c r="W1772" s="6"/>
      <c r="X1772" s="6"/>
      <c r="Y1772" s="6"/>
      <c r="Z1772" s="6"/>
      <c r="AA1772" s="6"/>
      <c r="AB1772" s="6"/>
      <c r="AC1772" s="6"/>
      <c r="AD1772" s="6"/>
      <c r="AE1772" s="6"/>
      <c r="AF1772" s="6"/>
      <c r="AG1772" s="6"/>
      <c r="AH1772" s="6"/>
      <c r="AI1772" s="6"/>
      <c r="AJ1772" s="6"/>
      <c r="AK1772" s="6"/>
      <c r="AL1772" s="6"/>
      <c r="AM1772" s="6"/>
      <c r="AN1772" s="6"/>
      <c r="AO1772" s="6"/>
      <c r="AP1772" s="6"/>
      <c r="AQ1772" s="6"/>
      <c r="AR1772" s="6"/>
      <c r="AS1772" s="6"/>
      <c r="AT1772" s="6"/>
      <c r="AU1772" s="6"/>
      <c r="AV1772" s="6"/>
      <c r="AW1772" s="6"/>
      <c r="AX1772" s="6"/>
      <c r="AY1772" s="6"/>
      <c r="AZ1772" s="6"/>
      <c r="BA1772" s="6"/>
      <c r="BB1772" s="6"/>
      <c r="BC1772" s="6"/>
      <c r="BD1772" s="6"/>
      <c r="BE1772" s="6"/>
      <c r="BF1772" s="6"/>
      <c r="BG1772" s="6"/>
      <c r="BH1772" s="6"/>
      <c r="BI1772" s="6"/>
      <c r="BJ1772" s="6"/>
      <c r="BK1772" s="6"/>
      <c r="BL1772" s="6"/>
      <c r="BM1772" s="6"/>
      <c r="BN1772" s="6"/>
      <c r="BO1772" s="6"/>
      <c r="BP1772" s="6"/>
      <c r="BQ1772" s="6"/>
      <c r="BR1772" s="6"/>
      <c r="BS1772" s="6"/>
      <c r="BT1772" s="6"/>
    </row>
    <row r="1773" spans="1:72">
      <c r="A1773" s="8" t="s">
        <v>33707</v>
      </c>
      <c r="B1773" s="11" t="s">
        <v>33715</v>
      </c>
      <c r="C1773" s="9" t="s">
        <v>33708</v>
      </c>
      <c r="D1773" s="10" t="s">
        <v>33709</v>
      </c>
      <c r="E1773" s="28" t="s">
        <v>33724</v>
      </c>
      <c r="F1773" s="28" t="s">
        <v>864</v>
      </c>
      <c r="G1773" s="28" t="s">
        <v>162</v>
      </c>
      <c r="H1773" s="13">
        <v>4</v>
      </c>
      <c r="I1773" s="12" t="s">
        <v>33727</v>
      </c>
      <c r="J1773" s="12" t="s">
        <v>45689</v>
      </c>
      <c r="K1773" s="12" t="s">
        <v>45690</v>
      </c>
      <c r="L1773" s="12" t="s">
        <v>42825</v>
      </c>
      <c r="M1773" s="12" t="s">
        <v>38882</v>
      </c>
      <c r="N1773" s="12"/>
      <c r="O1773" s="12"/>
      <c r="P1773" s="12"/>
      <c r="Q1773" s="12"/>
      <c r="R1773" s="12"/>
      <c r="S1773" s="12"/>
      <c r="T1773" s="12"/>
      <c r="U1773" s="12"/>
      <c r="V1773" s="12"/>
      <c r="W1773" s="12"/>
      <c r="X1773" s="12"/>
      <c r="Y1773" s="12"/>
      <c r="Z1773" s="12"/>
      <c r="AA1773" s="12"/>
      <c r="AB1773" s="12"/>
      <c r="AC1773" s="12"/>
      <c r="AD1773" s="12"/>
      <c r="AE1773" s="12"/>
      <c r="AF1773" s="12"/>
      <c r="AG1773" s="12"/>
      <c r="AH1773" s="12"/>
      <c r="AI1773" s="12"/>
      <c r="AJ1773" s="12"/>
      <c r="AK1773" s="12"/>
      <c r="AL1773" s="12"/>
      <c r="AM1773" s="12"/>
      <c r="AN1773" s="12"/>
      <c r="AO1773" s="12"/>
      <c r="AP1773" s="12"/>
      <c r="AQ1773" s="12"/>
      <c r="AR1773" s="12"/>
      <c r="AS1773" s="12"/>
      <c r="AT1773" s="12"/>
      <c r="AU1773" s="12"/>
      <c r="AV1773" s="12"/>
      <c r="AW1773" s="12"/>
      <c r="AX1773" s="12"/>
      <c r="AY1773" s="12"/>
      <c r="AZ1773" s="12"/>
      <c r="BA1773" s="12"/>
      <c r="BB1773" s="12"/>
      <c r="BC1773" s="12"/>
      <c r="BD1773" s="12"/>
      <c r="BE1773" s="12"/>
      <c r="BF1773" s="12"/>
      <c r="BG1773" s="12"/>
      <c r="BH1773" s="12"/>
      <c r="BI1773" s="12"/>
      <c r="BJ1773" s="12"/>
      <c r="BK1773" s="12"/>
      <c r="BL1773" s="12"/>
      <c r="BM1773" s="12"/>
      <c r="BN1773" s="12"/>
      <c r="BO1773" s="12"/>
      <c r="BP1773" s="12"/>
      <c r="BQ1773" s="12"/>
      <c r="BR1773" s="12"/>
      <c r="BS1773" s="12"/>
      <c r="BT1773" s="12"/>
    </row>
    <row r="1774" spans="1:72">
      <c r="A1774" s="2" t="s">
        <v>33733</v>
      </c>
      <c r="B1774" s="5" t="s">
        <v>33738</v>
      </c>
      <c r="C1774" s="3" t="s">
        <v>138</v>
      </c>
      <c r="D1774" s="4" t="s">
        <v>138</v>
      </c>
      <c r="E1774" s="15" t="s">
        <v>668</v>
      </c>
      <c r="F1774" s="15" t="s">
        <v>200</v>
      </c>
      <c r="G1774" s="15" t="s">
        <v>162</v>
      </c>
      <c r="H1774" s="7">
        <v>13</v>
      </c>
      <c r="I1774" s="6" t="s">
        <v>33746</v>
      </c>
      <c r="J1774" s="6" t="s">
        <v>43444</v>
      </c>
      <c r="K1774" s="6" t="s">
        <v>39355</v>
      </c>
      <c r="L1774" s="6" t="s">
        <v>37985</v>
      </c>
      <c r="M1774" s="6" t="s">
        <v>37986</v>
      </c>
      <c r="N1774" s="6" t="s">
        <v>45691</v>
      </c>
      <c r="O1774" s="6" t="s">
        <v>38114</v>
      </c>
      <c r="P1774" s="6" t="s">
        <v>38803</v>
      </c>
      <c r="Q1774" s="6" t="s">
        <v>42323</v>
      </c>
      <c r="R1774" s="6" t="s">
        <v>38018</v>
      </c>
      <c r="S1774" s="6" t="s">
        <v>38645</v>
      </c>
      <c r="T1774" s="6" t="s">
        <v>38001</v>
      </c>
      <c r="U1774" s="6" t="s">
        <v>38928</v>
      </c>
      <c r="V1774" s="6" t="s">
        <v>40811</v>
      </c>
      <c r="W1774" s="6"/>
      <c r="X1774" s="6"/>
      <c r="Y1774" s="6"/>
      <c r="Z1774" s="6"/>
      <c r="AA1774" s="6"/>
      <c r="AB1774" s="6"/>
      <c r="AC1774" s="6"/>
      <c r="AD1774" s="6"/>
      <c r="AE1774" s="6"/>
      <c r="AF1774" s="6"/>
      <c r="AG1774" s="6"/>
      <c r="AH1774" s="6"/>
      <c r="AI1774" s="6"/>
      <c r="AJ1774" s="6"/>
      <c r="AK1774" s="6"/>
      <c r="AL1774" s="6"/>
      <c r="AM1774" s="6"/>
      <c r="AN1774" s="6"/>
      <c r="AO1774" s="6"/>
      <c r="AP1774" s="6"/>
      <c r="AQ1774" s="6"/>
      <c r="AR1774" s="6"/>
      <c r="AS1774" s="6"/>
      <c r="AT1774" s="6"/>
      <c r="AU1774" s="6"/>
      <c r="AV1774" s="6"/>
      <c r="AW1774" s="6"/>
      <c r="AX1774" s="6"/>
      <c r="AY1774" s="6"/>
      <c r="AZ1774" s="6"/>
      <c r="BA1774" s="6"/>
      <c r="BB1774" s="6"/>
      <c r="BC1774" s="6"/>
      <c r="BD1774" s="6"/>
      <c r="BE1774" s="6"/>
      <c r="BF1774" s="6"/>
      <c r="BG1774" s="6"/>
      <c r="BH1774" s="6"/>
      <c r="BI1774" s="6"/>
      <c r="BJ1774" s="6"/>
      <c r="BK1774" s="6"/>
      <c r="BL1774" s="6"/>
      <c r="BM1774" s="6"/>
      <c r="BN1774" s="6"/>
      <c r="BO1774" s="6"/>
      <c r="BP1774" s="6"/>
      <c r="BQ1774" s="6"/>
      <c r="BR1774" s="6"/>
      <c r="BS1774" s="6"/>
      <c r="BT1774" s="6"/>
    </row>
    <row r="1775" spans="1:72">
      <c r="A1775" s="8" t="s">
        <v>33749</v>
      </c>
      <c r="B1775" s="11" t="s">
        <v>33753</v>
      </c>
      <c r="C1775" s="9" t="s">
        <v>138</v>
      </c>
      <c r="D1775" s="10" t="s">
        <v>138</v>
      </c>
      <c r="E1775" s="28" t="s">
        <v>3907</v>
      </c>
      <c r="F1775" s="28" t="s">
        <v>2740</v>
      </c>
      <c r="G1775" s="28" t="s">
        <v>2742</v>
      </c>
      <c r="H1775" s="13">
        <v>3</v>
      </c>
      <c r="I1775" s="12" t="s">
        <v>33764</v>
      </c>
      <c r="J1775" s="12" t="s">
        <v>45692</v>
      </c>
      <c r="K1775" s="12" t="s">
        <v>45693</v>
      </c>
      <c r="L1775" s="12" t="s">
        <v>37791</v>
      </c>
      <c r="M1775" s="12"/>
      <c r="N1775" s="12"/>
      <c r="O1775" s="12"/>
      <c r="P1775" s="12"/>
      <c r="Q1775" s="12"/>
      <c r="R1775" s="12"/>
      <c r="S1775" s="12"/>
      <c r="T1775" s="12"/>
      <c r="U1775" s="12"/>
      <c r="V1775" s="12"/>
      <c r="W1775" s="12"/>
      <c r="X1775" s="12"/>
      <c r="Y1775" s="12"/>
      <c r="Z1775" s="12"/>
      <c r="AA1775" s="12"/>
      <c r="AB1775" s="12"/>
      <c r="AC1775" s="12"/>
      <c r="AD1775" s="12"/>
      <c r="AE1775" s="12"/>
      <c r="AF1775" s="12"/>
      <c r="AG1775" s="12"/>
      <c r="AH1775" s="12"/>
      <c r="AI1775" s="12"/>
      <c r="AJ1775" s="12"/>
      <c r="AK1775" s="12"/>
      <c r="AL1775" s="12"/>
      <c r="AM1775" s="12"/>
      <c r="AN1775" s="12"/>
      <c r="AO1775" s="12"/>
      <c r="AP1775" s="12"/>
      <c r="AQ1775" s="12"/>
      <c r="AR1775" s="12"/>
      <c r="AS1775" s="12"/>
      <c r="AT1775" s="12"/>
      <c r="AU1775" s="12"/>
      <c r="AV1775" s="12"/>
      <c r="AW1775" s="12"/>
      <c r="AX1775" s="12"/>
      <c r="AY1775" s="12"/>
      <c r="AZ1775" s="12"/>
      <c r="BA1775" s="12"/>
      <c r="BB1775" s="12"/>
      <c r="BC1775" s="12"/>
      <c r="BD1775" s="12"/>
      <c r="BE1775" s="12"/>
      <c r="BF1775" s="12"/>
      <c r="BG1775" s="12"/>
      <c r="BH1775" s="12"/>
      <c r="BI1775" s="12"/>
      <c r="BJ1775" s="12"/>
      <c r="BK1775" s="12"/>
      <c r="BL1775" s="12"/>
      <c r="BM1775" s="12"/>
      <c r="BN1775" s="12"/>
      <c r="BO1775" s="12"/>
      <c r="BP1775" s="12"/>
      <c r="BQ1775" s="12"/>
      <c r="BR1775" s="12"/>
      <c r="BS1775" s="12"/>
      <c r="BT1775" s="12"/>
    </row>
    <row r="1776" spans="1:72">
      <c r="A1776" s="2" t="s">
        <v>33767</v>
      </c>
      <c r="B1776" s="5" t="s">
        <v>33773</v>
      </c>
      <c r="C1776" s="3" t="s">
        <v>138</v>
      </c>
      <c r="D1776" s="4" t="s">
        <v>138</v>
      </c>
      <c r="E1776" s="15" t="s">
        <v>20362</v>
      </c>
      <c r="F1776" s="15" t="s">
        <v>138</v>
      </c>
      <c r="G1776" s="15" t="s">
        <v>3693</v>
      </c>
      <c r="H1776" s="7">
        <v>14</v>
      </c>
      <c r="I1776" s="6" t="s">
        <v>33784</v>
      </c>
      <c r="J1776" s="6" t="s">
        <v>45694</v>
      </c>
      <c r="K1776" s="6" t="s">
        <v>40362</v>
      </c>
      <c r="L1776" s="6" t="s">
        <v>45695</v>
      </c>
      <c r="M1776" s="6" t="s">
        <v>45696</v>
      </c>
      <c r="N1776" s="6" t="s">
        <v>45697</v>
      </c>
      <c r="O1776" s="6" t="s">
        <v>38306</v>
      </c>
      <c r="P1776" s="6" t="s">
        <v>38189</v>
      </c>
      <c r="Q1776" s="6" t="s">
        <v>45407</v>
      </c>
      <c r="R1776" s="6" t="s">
        <v>45698</v>
      </c>
      <c r="S1776" s="6" t="s">
        <v>38024</v>
      </c>
      <c r="T1776" s="6" t="s">
        <v>44701</v>
      </c>
      <c r="U1776" s="6" t="s">
        <v>37998</v>
      </c>
      <c r="V1776" s="6" t="s">
        <v>45699</v>
      </c>
      <c r="W1776" s="6" t="s">
        <v>42348</v>
      </c>
      <c r="X1776" s="6"/>
      <c r="Y1776" s="6"/>
      <c r="Z1776" s="6"/>
      <c r="AA1776" s="6"/>
      <c r="AB1776" s="6"/>
      <c r="AC1776" s="6"/>
      <c r="AD1776" s="6"/>
      <c r="AE1776" s="6"/>
      <c r="AF1776" s="6"/>
      <c r="AG1776" s="6"/>
      <c r="AH1776" s="6"/>
      <c r="AI1776" s="6"/>
      <c r="AJ1776" s="6"/>
      <c r="AK1776" s="6"/>
      <c r="AL1776" s="6"/>
      <c r="AM1776" s="6"/>
      <c r="AN1776" s="6"/>
      <c r="AO1776" s="6"/>
      <c r="AP1776" s="6"/>
      <c r="AQ1776" s="6"/>
      <c r="AR1776" s="6"/>
      <c r="AS1776" s="6"/>
      <c r="AT1776" s="6"/>
      <c r="AU1776" s="6"/>
      <c r="AV1776" s="6"/>
      <c r="AW1776" s="6"/>
      <c r="AX1776" s="6"/>
      <c r="AY1776" s="6"/>
      <c r="AZ1776" s="6"/>
      <c r="BA1776" s="6"/>
      <c r="BB1776" s="6"/>
      <c r="BC1776" s="6"/>
      <c r="BD1776" s="6"/>
      <c r="BE1776" s="6"/>
      <c r="BF1776" s="6"/>
      <c r="BG1776" s="6"/>
      <c r="BH1776" s="6"/>
      <c r="BI1776" s="6"/>
      <c r="BJ1776" s="6"/>
      <c r="BK1776" s="6"/>
      <c r="BL1776" s="6"/>
      <c r="BM1776" s="6"/>
      <c r="BN1776" s="6"/>
      <c r="BO1776" s="6"/>
      <c r="BP1776" s="6"/>
      <c r="BQ1776" s="6"/>
      <c r="BR1776" s="6"/>
      <c r="BS1776" s="6"/>
      <c r="BT1776" s="6"/>
    </row>
    <row r="1777" spans="1:72">
      <c r="A1777" s="8" t="s">
        <v>33787</v>
      </c>
      <c r="B1777" s="11" t="s">
        <v>33792</v>
      </c>
      <c r="C1777" s="9" t="s">
        <v>138</v>
      </c>
      <c r="D1777" s="10" t="s">
        <v>138</v>
      </c>
      <c r="E1777" s="28" t="s">
        <v>14975</v>
      </c>
      <c r="F1777" s="28" t="s">
        <v>864</v>
      </c>
      <c r="G1777" s="28" t="s">
        <v>162</v>
      </c>
      <c r="H1777" s="13">
        <v>8</v>
      </c>
      <c r="I1777" s="12" t="s">
        <v>33802</v>
      </c>
      <c r="J1777" s="12" t="s">
        <v>45700</v>
      </c>
      <c r="K1777" s="12" t="s">
        <v>37819</v>
      </c>
      <c r="L1777" s="12" t="s">
        <v>42075</v>
      </c>
      <c r="M1777" s="12" t="s">
        <v>37788</v>
      </c>
      <c r="N1777" s="12" t="s">
        <v>42875</v>
      </c>
      <c r="O1777" s="12" t="s">
        <v>37806</v>
      </c>
      <c r="P1777" s="12" t="s">
        <v>42497</v>
      </c>
      <c r="Q1777" s="12" t="s">
        <v>38813</v>
      </c>
      <c r="R1777" s="12"/>
      <c r="S1777" s="12"/>
      <c r="T1777" s="12"/>
      <c r="U1777" s="12"/>
      <c r="V1777" s="12"/>
      <c r="W1777" s="12"/>
      <c r="X1777" s="12"/>
      <c r="Y1777" s="12"/>
      <c r="Z1777" s="12"/>
      <c r="AA1777" s="12"/>
      <c r="AB1777" s="12"/>
      <c r="AC1777" s="12"/>
      <c r="AD1777" s="12"/>
      <c r="AE1777" s="12"/>
      <c r="AF1777" s="12"/>
      <c r="AG1777" s="12"/>
      <c r="AH1777" s="12"/>
      <c r="AI1777" s="12"/>
      <c r="AJ1777" s="12"/>
      <c r="AK1777" s="12"/>
      <c r="AL1777" s="12"/>
      <c r="AM1777" s="12"/>
      <c r="AN1777" s="12"/>
      <c r="AO1777" s="12"/>
      <c r="AP1777" s="12"/>
      <c r="AQ1777" s="12"/>
      <c r="AR1777" s="12"/>
      <c r="AS1777" s="12"/>
      <c r="AT1777" s="12"/>
      <c r="AU1777" s="12"/>
      <c r="AV1777" s="12"/>
      <c r="AW1777" s="12"/>
      <c r="AX1777" s="12"/>
      <c r="AY1777" s="12"/>
      <c r="AZ1777" s="12"/>
      <c r="BA1777" s="12"/>
      <c r="BB1777" s="12"/>
      <c r="BC1777" s="12"/>
      <c r="BD1777" s="12"/>
      <c r="BE1777" s="12"/>
      <c r="BF1777" s="12"/>
      <c r="BG1777" s="12"/>
      <c r="BH1777" s="12"/>
      <c r="BI1777" s="12"/>
      <c r="BJ1777" s="12"/>
      <c r="BK1777" s="12"/>
      <c r="BL1777" s="12"/>
      <c r="BM1777" s="12"/>
      <c r="BN1777" s="12"/>
      <c r="BO1777" s="12"/>
      <c r="BP1777" s="12"/>
      <c r="BQ1777" s="12"/>
      <c r="BR1777" s="12"/>
      <c r="BS1777" s="12"/>
      <c r="BT1777" s="12"/>
    </row>
    <row r="1778" spans="1:72">
      <c r="A1778" s="2" t="s">
        <v>33807</v>
      </c>
      <c r="B1778" s="5" t="s">
        <v>33812</v>
      </c>
      <c r="C1778" s="3" t="s">
        <v>138</v>
      </c>
      <c r="D1778" s="4" t="s">
        <v>33808</v>
      </c>
      <c r="E1778" s="15" t="s">
        <v>668</v>
      </c>
      <c r="F1778" s="15" t="s">
        <v>200</v>
      </c>
      <c r="G1778" s="15" t="s">
        <v>162</v>
      </c>
      <c r="H1778" s="7">
        <v>14</v>
      </c>
      <c r="I1778" s="6" t="s">
        <v>33822</v>
      </c>
      <c r="J1778" s="6" t="s">
        <v>45701</v>
      </c>
      <c r="K1778" s="6" t="s">
        <v>43229</v>
      </c>
      <c r="L1778" s="6" t="s">
        <v>42264</v>
      </c>
      <c r="M1778" s="6" t="s">
        <v>37819</v>
      </c>
      <c r="N1778" s="6" t="s">
        <v>38277</v>
      </c>
      <c r="O1778" s="6" t="s">
        <v>45702</v>
      </c>
      <c r="P1778" s="6" t="s">
        <v>44243</v>
      </c>
      <c r="Q1778" s="6" t="s">
        <v>45703</v>
      </c>
      <c r="R1778" s="6" t="s">
        <v>45632</v>
      </c>
      <c r="S1778" s="6" t="s">
        <v>45704</v>
      </c>
      <c r="T1778" s="6" t="s">
        <v>43849</v>
      </c>
      <c r="U1778" s="6" t="s">
        <v>39106</v>
      </c>
      <c r="V1778" s="6" t="s">
        <v>37998</v>
      </c>
      <c r="W1778" s="6" t="s">
        <v>45705</v>
      </c>
      <c r="X1778" s="6"/>
      <c r="Y1778" s="6"/>
      <c r="Z1778" s="6"/>
      <c r="AA1778" s="6"/>
      <c r="AB1778" s="6"/>
      <c r="AC1778" s="6"/>
      <c r="AD1778" s="6"/>
      <c r="AE1778" s="6"/>
      <c r="AF1778" s="6"/>
      <c r="AG1778" s="6"/>
      <c r="AH1778" s="6"/>
      <c r="AI1778" s="6"/>
      <c r="AJ1778" s="6"/>
      <c r="AK1778" s="6"/>
      <c r="AL1778" s="6"/>
      <c r="AM1778" s="6"/>
      <c r="AN1778" s="6"/>
      <c r="AO1778" s="6"/>
      <c r="AP1778" s="6"/>
      <c r="AQ1778" s="6"/>
      <c r="AR1778" s="6"/>
      <c r="AS1778" s="6"/>
      <c r="AT1778" s="6"/>
      <c r="AU1778" s="6"/>
      <c r="AV1778" s="6"/>
      <c r="AW1778" s="6"/>
      <c r="AX1778" s="6"/>
      <c r="AY1778" s="6"/>
      <c r="AZ1778" s="6"/>
      <c r="BA1778" s="6"/>
      <c r="BB1778" s="6"/>
      <c r="BC1778" s="6"/>
      <c r="BD1778" s="6"/>
      <c r="BE1778" s="6"/>
      <c r="BF1778" s="6"/>
      <c r="BG1778" s="6"/>
      <c r="BH1778" s="6"/>
      <c r="BI1778" s="6"/>
      <c r="BJ1778" s="6"/>
      <c r="BK1778" s="6"/>
      <c r="BL1778" s="6"/>
      <c r="BM1778" s="6"/>
      <c r="BN1778" s="6"/>
      <c r="BO1778" s="6"/>
      <c r="BP1778" s="6"/>
      <c r="BQ1778" s="6"/>
      <c r="BR1778" s="6"/>
      <c r="BS1778" s="6"/>
      <c r="BT1778" s="6"/>
    </row>
    <row r="1779" spans="1:72">
      <c r="A1779" s="8" t="s">
        <v>33826</v>
      </c>
      <c r="B1779" s="11" t="s">
        <v>33834</v>
      </c>
      <c r="C1779" s="9" t="s">
        <v>33827</v>
      </c>
      <c r="D1779" s="10" t="s">
        <v>33828</v>
      </c>
      <c r="E1779" s="28" t="s">
        <v>3111</v>
      </c>
      <c r="F1779" s="28" t="s">
        <v>3112</v>
      </c>
      <c r="G1779" s="28" t="s">
        <v>2742</v>
      </c>
      <c r="H1779" s="13">
        <v>22</v>
      </c>
      <c r="I1779" s="12" t="s">
        <v>33844</v>
      </c>
      <c r="J1779" s="12" t="s">
        <v>45706</v>
      </c>
      <c r="K1779" s="12" t="s">
        <v>44908</v>
      </c>
      <c r="L1779" s="12" t="s">
        <v>39908</v>
      </c>
      <c r="M1779" s="12" t="s">
        <v>40793</v>
      </c>
      <c r="N1779" s="12" t="s">
        <v>45707</v>
      </c>
      <c r="O1779" s="12" t="s">
        <v>45708</v>
      </c>
      <c r="P1779" s="12" t="s">
        <v>45709</v>
      </c>
      <c r="Q1779" s="12" t="s">
        <v>41143</v>
      </c>
      <c r="R1779" s="12" t="s">
        <v>37786</v>
      </c>
      <c r="S1779" s="12" t="s">
        <v>38910</v>
      </c>
      <c r="T1779" s="12" t="s">
        <v>40519</v>
      </c>
      <c r="U1779" s="12" t="s">
        <v>37922</v>
      </c>
      <c r="V1779" s="12" t="s">
        <v>38022</v>
      </c>
      <c r="W1779" s="12" t="s">
        <v>37966</v>
      </c>
      <c r="X1779" s="12" t="s">
        <v>38807</v>
      </c>
      <c r="Y1779" s="12" t="s">
        <v>43090</v>
      </c>
      <c r="Z1779" s="12" t="s">
        <v>38065</v>
      </c>
      <c r="AA1779" s="12" t="s">
        <v>38926</v>
      </c>
      <c r="AB1779" s="12" t="s">
        <v>37915</v>
      </c>
      <c r="AC1779" s="12" t="s">
        <v>38371</v>
      </c>
      <c r="AD1779" s="12" t="s">
        <v>41847</v>
      </c>
      <c r="AE1779" s="12" t="s">
        <v>45710</v>
      </c>
      <c r="AF1779" s="12"/>
      <c r="AG1779" s="12"/>
      <c r="AH1779" s="12"/>
      <c r="AI1779" s="12"/>
      <c r="AJ1779" s="12"/>
      <c r="AK1779" s="12"/>
      <c r="AL1779" s="12"/>
      <c r="AM1779" s="12"/>
      <c r="AN1779" s="12"/>
      <c r="AO1779" s="12"/>
      <c r="AP1779" s="12"/>
      <c r="AQ1779" s="12"/>
      <c r="AR1779" s="12"/>
      <c r="AS1779" s="12"/>
      <c r="AT1779" s="12"/>
      <c r="AU1779" s="12"/>
      <c r="AV1779" s="12"/>
      <c r="AW1779" s="12"/>
      <c r="AX1779" s="12"/>
      <c r="AY1779" s="12"/>
      <c r="AZ1779" s="12"/>
      <c r="BA1779" s="12"/>
      <c r="BB1779" s="12"/>
      <c r="BC1779" s="12"/>
      <c r="BD1779" s="12"/>
      <c r="BE1779" s="12"/>
      <c r="BF1779" s="12"/>
      <c r="BG1779" s="12"/>
      <c r="BH1779" s="12"/>
      <c r="BI1779" s="12"/>
      <c r="BJ1779" s="12"/>
      <c r="BK1779" s="12"/>
      <c r="BL1779" s="12"/>
      <c r="BM1779" s="12"/>
      <c r="BN1779" s="12"/>
      <c r="BO1779" s="12"/>
      <c r="BP1779" s="12"/>
      <c r="BQ1779" s="12"/>
      <c r="BR1779" s="12"/>
      <c r="BS1779" s="12"/>
      <c r="BT1779" s="12"/>
    </row>
    <row r="1780" spans="1:72">
      <c r="A1780" s="2" t="s">
        <v>33847</v>
      </c>
      <c r="B1780" s="5" t="s">
        <v>33852</v>
      </c>
      <c r="C1780" s="3" t="s">
        <v>138</v>
      </c>
      <c r="D1780" s="4" t="s">
        <v>138</v>
      </c>
      <c r="E1780" s="15" t="s">
        <v>25401</v>
      </c>
      <c r="F1780" s="15" t="s">
        <v>2740</v>
      </c>
      <c r="G1780" s="15" t="s">
        <v>2742</v>
      </c>
      <c r="H1780" s="7">
        <v>9</v>
      </c>
      <c r="I1780" s="6" t="s">
        <v>33863</v>
      </c>
      <c r="J1780" s="6" t="s">
        <v>41879</v>
      </c>
      <c r="K1780" s="6" t="s">
        <v>39834</v>
      </c>
      <c r="L1780" s="6" t="s">
        <v>39838</v>
      </c>
      <c r="M1780" s="6" t="s">
        <v>45711</v>
      </c>
      <c r="N1780" s="6" t="s">
        <v>41882</v>
      </c>
      <c r="O1780" s="6" t="s">
        <v>41818</v>
      </c>
      <c r="P1780" s="6" t="s">
        <v>45540</v>
      </c>
      <c r="Q1780" s="6" t="s">
        <v>38145</v>
      </c>
      <c r="R1780" s="6" t="s">
        <v>45712</v>
      </c>
      <c r="S1780" s="6"/>
      <c r="T1780" s="6"/>
      <c r="U1780" s="6"/>
      <c r="V1780" s="6"/>
      <c r="W1780" s="6"/>
      <c r="X1780" s="6"/>
      <c r="Y1780" s="6"/>
      <c r="Z1780" s="6"/>
      <c r="AA1780" s="6"/>
      <c r="AB1780" s="6"/>
      <c r="AC1780" s="6"/>
      <c r="AD1780" s="6"/>
      <c r="AE1780" s="6"/>
      <c r="AF1780" s="6"/>
      <c r="AG1780" s="6"/>
      <c r="AH1780" s="6"/>
      <c r="AI1780" s="6"/>
      <c r="AJ1780" s="6"/>
      <c r="AK1780" s="6"/>
      <c r="AL1780" s="6"/>
      <c r="AM1780" s="6"/>
      <c r="AN1780" s="6"/>
      <c r="AO1780" s="6"/>
      <c r="AP1780" s="6"/>
      <c r="AQ1780" s="6"/>
      <c r="AR1780" s="6"/>
      <c r="AS1780" s="6"/>
      <c r="AT1780" s="6"/>
      <c r="AU1780" s="6"/>
      <c r="AV1780" s="6"/>
      <c r="AW1780" s="6"/>
      <c r="AX1780" s="6"/>
      <c r="AY1780" s="6"/>
      <c r="AZ1780" s="6"/>
      <c r="BA1780" s="6"/>
      <c r="BB1780" s="6"/>
      <c r="BC1780" s="6"/>
      <c r="BD1780" s="6"/>
      <c r="BE1780" s="6"/>
      <c r="BF1780" s="6"/>
      <c r="BG1780" s="6"/>
      <c r="BH1780" s="6"/>
      <c r="BI1780" s="6"/>
      <c r="BJ1780" s="6"/>
      <c r="BK1780" s="6"/>
      <c r="BL1780" s="6"/>
      <c r="BM1780" s="6"/>
      <c r="BN1780" s="6"/>
      <c r="BO1780" s="6"/>
      <c r="BP1780" s="6"/>
      <c r="BQ1780" s="6"/>
      <c r="BR1780" s="6"/>
      <c r="BS1780" s="6"/>
      <c r="BT1780" s="6"/>
    </row>
    <row r="1781" spans="1:72">
      <c r="A1781" s="8" t="s">
        <v>33866</v>
      </c>
      <c r="B1781" s="11" t="s">
        <v>33870</v>
      </c>
      <c r="C1781" s="9" t="s">
        <v>138</v>
      </c>
      <c r="D1781" s="10" t="s">
        <v>138</v>
      </c>
      <c r="E1781" s="28" t="s">
        <v>4442</v>
      </c>
      <c r="F1781" s="28" t="s">
        <v>138</v>
      </c>
      <c r="G1781" s="28" t="s">
        <v>4444</v>
      </c>
      <c r="H1781" s="13">
        <v>15</v>
      </c>
      <c r="I1781" s="12" t="s">
        <v>33879</v>
      </c>
      <c r="J1781" s="12" t="s">
        <v>39907</v>
      </c>
      <c r="K1781" s="12" t="s">
        <v>45713</v>
      </c>
      <c r="L1781" s="12" t="s">
        <v>38299</v>
      </c>
      <c r="M1781" s="12" t="s">
        <v>45714</v>
      </c>
      <c r="N1781" s="12" t="s">
        <v>40326</v>
      </c>
      <c r="O1781" s="12" t="s">
        <v>39198</v>
      </c>
      <c r="P1781" s="12" t="s">
        <v>45715</v>
      </c>
      <c r="Q1781" s="12" t="s">
        <v>45716</v>
      </c>
      <c r="R1781" s="12" t="s">
        <v>45717</v>
      </c>
      <c r="S1781" s="12" t="s">
        <v>39233</v>
      </c>
      <c r="T1781" s="12" t="s">
        <v>39726</v>
      </c>
      <c r="U1781" s="12" t="s">
        <v>45718</v>
      </c>
      <c r="V1781" s="12" t="s">
        <v>37998</v>
      </c>
      <c r="W1781" s="12" t="s">
        <v>45719</v>
      </c>
      <c r="X1781" s="12" t="s">
        <v>45720</v>
      </c>
      <c r="Y1781" s="12"/>
      <c r="Z1781" s="12"/>
      <c r="AA1781" s="12"/>
      <c r="AB1781" s="12"/>
      <c r="AC1781" s="12"/>
      <c r="AD1781" s="12"/>
      <c r="AE1781" s="12"/>
      <c r="AF1781" s="12"/>
      <c r="AG1781" s="12"/>
      <c r="AH1781" s="12"/>
      <c r="AI1781" s="12"/>
      <c r="AJ1781" s="12"/>
      <c r="AK1781" s="12"/>
      <c r="AL1781" s="12"/>
      <c r="AM1781" s="12"/>
      <c r="AN1781" s="12"/>
      <c r="AO1781" s="12"/>
      <c r="AP1781" s="12"/>
      <c r="AQ1781" s="12"/>
      <c r="AR1781" s="12"/>
      <c r="AS1781" s="12"/>
      <c r="AT1781" s="12"/>
      <c r="AU1781" s="12"/>
      <c r="AV1781" s="12"/>
      <c r="AW1781" s="12"/>
      <c r="AX1781" s="12"/>
      <c r="AY1781" s="12"/>
      <c r="AZ1781" s="12"/>
      <c r="BA1781" s="12"/>
      <c r="BB1781" s="12"/>
      <c r="BC1781" s="12"/>
      <c r="BD1781" s="12"/>
      <c r="BE1781" s="12"/>
      <c r="BF1781" s="12"/>
      <c r="BG1781" s="12"/>
      <c r="BH1781" s="12"/>
      <c r="BI1781" s="12"/>
      <c r="BJ1781" s="12"/>
      <c r="BK1781" s="12"/>
      <c r="BL1781" s="12"/>
      <c r="BM1781" s="12"/>
      <c r="BN1781" s="12"/>
      <c r="BO1781" s="12"/>
      <c r="BP1781" s="12"/>
      <c r="BQ1781" s="12"/>
      <c r="BR1781" s="12"/>
      <c r="BS1781" s="12"/>
      <c r="BT1781" s="12"/>
    </row>
    <row r="1782" spans="1:72">
      <c r="A1782" s="2" t="s">
        <v>33884</v>
      </c>
      <c r="B1782" s="5" t="s">
        <v>33890</v>
      </c>
      <c r="C1782" s="3" t="s">
        <v>33885</v>
      </c>
      <c r="D1782" s="4" t="s">
        <v>138</v>
      </c>
      <c r="E1782" s="15" t="s">
        <v>426</v>
      </c>
      <c r="F1782" s="15" t="s">
        <v>426</v>
      </c>
      <c r="G1782" s="15" t="s">
        <v>162</v>
      </c>
      <c r="H1782" s="7">
        <v>12</v>
      </c>
      <c r="I1782" s="6" t="s">
        <v>33901</v>
      </c>
      <c r="J1782" s="6" t="s">
        <v>45721</v>
      </c>
      <c r="K1782" s="6" t="s">
        <v>41628</v>
      </c>
      <c r="L1782" s="6" t="s">
        <v>45704</v>
      </c>
      <c r="M1782" s="6" t="s">
        <v>43515</v>
      </c>
      <c r="N1782" s="6" t="s">
        <v>41631</v>
      </c>
      <c r="O1782" s="6" t="s">
        <v>38863</v>
      </c>
      <c r="P1782" s="6" t="s">
        <v>37806</v>
      </c>
      <c r="Q1782" s="6" t="s">
        <v>38717</v>
      </c>
      <c r="R1782" s="6" t="s">
        <v>40132</v>
      </c>
      <c r="S1782" s="6" t="s">
        <v>45722</v>
      </c>
      <c r="T1782" s="6" t="s">
        <v>40133</v>
      </c>
      <c r="U1782" s="6" t="s">
        <v>38196</v>
      </c>
      <c r="V1782" s="6"/>
      <c r="W1782" s="6"/>
      <c r="X1782" s="6"/>
      <c r="Y1782" s="6"/>
      <c r="Z1782" s="6"/>
      <c r="AA1782" s="6"/>
      <c r="AB1782" s="6"/>
      <c r="AC1782" s="6"/>
      <c r="AD1782" s="6"/>
      <c r="AE1782" s="6"/>
      <c r="AF1782" s="6"/>
      <c r="AG1782" s="6"/>
      <c r="AH1782" s="6"/>
      <c r="AI1782" s="6"/>
      <c r="AJ1782" s="6"/>
      <c r="AK1782" s="6"/>
      <c r="AL1782" s="6"/>
      <c r="AM1782" s="6"/>
      <c r="AN1782" s="6"/>
      <c r="AO1782" s="6"/>
      <c r="AP1782" s="6"/>
      <c r="AQ1782" s="6"/>
      <c r="AR1782" s="6"/>
      <c r="AS1782" s="6"/>
      <c r="AT1782" s="6"/>
      <c r="AU1782" s="6"/>
      <c r="AV1782" s="6"/>
      <c r="AW1782" s="6"/>
      <c r="AX1782" s="6"/>
      <c r="AY1782" s="6"/>
      <c r="AZ1782" s="6"/>
      <c r="BA1782" s="6"/>
      <c r="BB1782" s="6"/>
      <c r="BC1782" s="6"/>
      <c r="BD1782" s="6"/>
      <c r="BE1782" s="6"/>
      <c r="BF1782" s="6"/>
      <c r="BG1782" s="6"/>
      <c r="BH1782" s="6"/>
      <c r="BI1782" s="6"/>
      <c r="BJ1782" s="6"/>
      <c r="BK1782" s="6"/>
      <c r="BL1782" s="6"/>
      <c r="BM1782" s="6"/>
      <c r="BN1782" s="6"/>
      <c r="BO1782" s="6"/>
      <c r="BP1782" s="6"/>
      <c r="BQ1782" s="6"/>
      <c r="BR1782" s="6"/>
      <c r="BS1782" s="6"/>
      <c r="BT1782" s="6"/>
    </row>
    <row r="1783" spans="1:72">
      <c r="A1783" s="8" t="s">
        <v>33905</v>
      </c>
      <c r="B1783" s="11" t="s">
        <v>33909</v>
      </c>
      <c r="C1783" s="9" t="s">
        <v>138</v>
      </c>
      <c r="D1783" s="10" t="s">
        <v>138</v>
      </c>
      <c r="E1783" s="28" t="s">
        <v>426</v>
      </c>
      <c r="F1783" s="28" t="s">
        <v>426</v>
      </c>
      <c r="G1783" s="28" t="s">
        <v>162</v>
      </c>
      <c r="H1783" s="13">
        <v>16</v>
      </c>
      <c r="I1783" s="12" t="s">
        <v>33915</v>
      </c>
      <c r="J1783" s="12" t="s">
        <v>44880</v>
      </c>
      <c r="K1783" s="12" t="s">
        <v>45723</v>
      </c>
      <c r="L1783" s="12" t="s">
        <v>45724</v>
      </c>
      <c r="M1783" s="12" t="s">
        <v>45725</v>
      </c>
      <c r="N1783" s="12" t="s">
        <v>38231</v>
      </c>
      <c r="O1783" s="12" t="s">
        <v>40815</v>
      </c>
      <c r="P1783" s="12" t="s">
        <v>37910</v>
      </c>
      <c r="Q1783" s="12" t="s">
        <v>45726</v>
      </c>
      <c r="R1783" s="12" t="s">
        <v>43687</v>
      </c>
      <c r="S1783" s="12" t="s">
        <v>42177</v>
      </c>
      <c r="T1783" s="12" t="s">
        <v>37922</v>
      </c>
      <c r="U1783" s="12" t="s">
        <v>45727</v>
      </c>
      <c r="V1783" s="12" t="s">
        <v>40320</v>
      </c>
      <c r="W1783" s="12" t="s">
        <v>38184</v>
      </c>
      <c r="X1783" s="12" t="s">
        <v>37783</v>
      </c>
      <c r="Y1783" s="12" t="s">
        <v>38073</v>
      </c>
      <c r="Z1783" s="12"/>
      <c r="AA1783" s="12"/>
      <c r="AB1783" s="12"/>
      <c r="AC1783" s="12"/>
      <c r="AD1783" s="12"/>
      <c r="AE1783" s="12"/>
      <c r="AF1783" s="12"/>
      <c r="AG1783" s="12"/>
      <c r="AH1783" s="12"/>
      <c r="AI1783" s="12"/>
      <c r="AJ1783" s="12"/>
      <c r="AK1783" s="12"/>
      <c r="AL1783" s="12"/>
      <c r="AM1783" s="12"/>
      <c r="AN1783" s="12"/>
      <c r="AO1783" s="12"/>
      <c r="AP1783" s="12"/>
      <c r="AQ1783" s="12"/>
      <c r="AR1783" s="12"/>
      <c r="AS1783" s="12"/>
      <c r="AT1783" s="12"/>
      <c r="AU1783" s="12"/>
      <c r="AV1783" s="12"/>
      <c r="AW1783" s="12"/>
      <c r="AX1783" s="12"/>
      <c r="AY1783" s="12"/>
      <c r="AZ1783" s="12"/>
      <c r="BA1783" s="12"/>
      <c r="BB1783" s="12"/>
      <c r="BC1783" s="12"/>
      <c r="BD1783" s="12"/>
      <c r="BE1783" s="12"/>
      <c r="BF1783" s="12"/>
      <c r="BG1783" s="12"/>
      <c r="BH1783" s="12"/>
      <c r="BI1783" s="12"/>
      <c r="BJ1783" s="12"/>
      <c r="BK1783" s="12"/>
      <c r="BL1783" s="12"/>
      <c r="BM1783" s="12"/>
      <c r="BN1783" s="12"/>
      <c r="BO1783" s="12"/>
      <c r="BP1783" s="12"/>
      <c r="BQ1783" s="12"/>
      <c r="BR1783" s="12"/>
      <c r="BS1783" s="12"/>
      <c r="BT1783" s="12"/>
    </row>
    <row r="1784" spans="1:72">
      <c r="A1784" s="2" t="s">
        <v>33919</v>
      </c>
      <c r="B1784" s="5" t="s">
        <v>33922</v>
      </c>
      <c r="C1784" s="3" t="s">
        <v>138</v>
      </c>
      <c r="D1784" s="4" t="s">
        <v>138</v>
      </c>
      <c r="E1784" s="15" t="s">
        <v>426</v>
      </c>
      <c r="F1784" s="15" t="s">
        <v>426</v>
      </c>
      <c r="G1784" s="15" t="s">
        <v>162</v>
      </c>
      <c r="H1784" s="7">
        <v>1</v>
      </c>
      <c r="I1784" s="6" t="s">
        <v>2783</v>
      </c>
      <c r="J1784" s="6" t="s">
        <v>2783</v>
      </c>
      <c r="K1784" s="6"/>
      <c r="L1784" s="6"/>
      <c r="M1784" s="6"/>
      <c r="N1784" s="6"/>
      <c r="O1784" s="6"/>
      <c r="P1784" s="6"/>
      <c r="Q1784" s="6"/>
      <c r="R1784" s="6"/>
      <c r="S1784" s="6"/>
      <c r="T1784" s="6"/>
      <c r="U1784" s="6"/>
      <c r="V1784" s="6"/>
      <c r="W1784" s="6"/>
      <c r="X1784" s="6"/>
      <c r="Y1784" s="6"/>
      <c r="Z1784" s="6"/>
      <c r="AA1784" s="6"/>
      <c r="AB1784" s="6"/>
      <c r="AC1784" s="6"/>
      <c r="AD1784" s="6"/>
      <c r="AE1784" s="6"/>
      <c r="AF1784" s="6"/>
      <c r="AG1784" s="6"/>
      <c r="AH1784" s="6"/>
      <c r="AI1784" s="6"/>
      <c r="AJ1784" s="6"/>
      <c r="AK1784" s="6"/>
      <c r="AL1784" s="6"/>
      <c r="AM1784" s="6"/>
      <c r="AN1784" s="6"/>
      <c r="AO1784" s="6"/>
      <c r="AP1784" s="6"/>
      <c r="AQ1784" s="6"/>
      <c r="AR1784" s="6"/>
      <c r="AS1784" s="6"/>
      <c r="AT1784" s="6"/>
      <c r="AU1784" s="6"/>
      <c r="AV1784" s="6"/>
      <c r="AW1784" s="6"/>
      <c r="AX1784" s="6"/>
      <c r="AY1784" s="6"/>
      <c r="AZ1784" s="6"/>
      <c r="BA1784" s="6"/>
      <c r="BB1784" s="6"/>
      <c r="BC1784" s="6"/>
      <c r="BD1784" s="6"/>
      <c r="BE1784" s="6"/>
      <c r="BF1784" s="6"/>
      <c r="BG1784" s="6"/>
      <c r="BH1784" s="6"/>
      <c r="BI1784" s="6"/>
      <c r="BJ1784" s="6"/>
      <c r="BK1784" s="6"/>
      <c r="BL1784" s="6"/>
      <c r="BM1784" s="6"/>
      <c r="BN1784" s="6"/>
      <c r="BO1784" s="6"/>
      <c r="BP1784" s="6"/>
      <c r="BQ1784" s="6"/>
      <c r="BR1784" s="6"/>
      <c r="BS1784" s="6"/>
      <c r="BT1784" s="6"/>
    </row>
    <row r="1785" spans="1:72">
      <c r="A1785" s="8" t="s">
        <v>33928</v>
      </c>
      <c r="B1785" s="11" t="s">
        <v>33931</v>
      </c>
      <c r="C1785" s="9" t="s">
        <v>138</v>
      </c>
      <c r="D1785" s="10" t="s">
        <v>138</v>
      </c>
      <c r="E1785" s="28" t="s">
        <v>33940</v>
      </c>
      <c r="F1785" s="28" t="s">
        <v>824</v>
      </c>
      <c r="G1785" s="28" t="s">
        <v>526</v>
      </c>
      <c r="H1785" s="13">
        <v>1</v>
      </c>
      <c r="I1785" s="12" t="s">
        <v>2783</v>
      </c>
      <c r="J1785" s="12" t="s">
        <v>2783</v>
      </c>
      <c r="K1785" s="12"/>
      <c r="L1785" s="12"/>
      <c r="M1785" s="12"/>
      <c r="N1785" s="12"/>
      <c r="O1785" s="12"/>
      <c r="P1785" s="12"/>
      <c r="Q1785" s="12"/>
      <c r="R1785" s="12"/>
      <c r="S1785" s="12"/>
      <c r="T1785" s="12"/>
      <c r="U1785" s="12"/>
      <c r="V1785" s="12"/>
      <c r="W1785" s="12"/>
      <c r="X1785" s="12"/>
      <c r="Y1785" s="12"/>
      <c r="Z1785" s="12"/>
      <c r="AA1785" s="12"/>
      <c r="AB1785" s="12"/>
      <c r="AC1785" s="12"/>
      <c r="AD1785" s="12"/>
      <c r="AE1785" s="12"/>
      <c r="AF1785" s="12"/>
      <c r="AG1785" s="12"/>
      <c r="AH1785" s="12"/>
      <c r="AI1785" s="12"/>
      <c r="AJ1785" s="12"/>
      <c r="AK1785" s="12"/>
      <c r="AL1785" s="12"/>
      <c r="AM1785" s="12"/>
      <c r="AN1785" s="12"/>
      <c r="AO1785" s="12"/>
      <c r="AP1785" s="12"/>
      <c r="AQ1785" s="12"/>
      <c r="AR1785" s="12"/>
      <c r="AS1785" s="12"/>
      <c r="AT1785" s="12"/>
      <c r="AU1785" s="12"/>
      <c r="AV1785" s="12"/>
      <c r="AW1785" s="12"/>
      <c r="AX1785" s="12"/>
      <c r="AY1785" s="12"/>
      <c r="AZ1785" s="12"/>
      <c r="BA1785" s="12"/>
      <c r="BB1785" s="12"/>
      <c r="BC1785" s="12"/>
      <c r="BD1785" s="12"/>
      <c r="BE1785" s="12"/>
      <c r="BF1785" s="12"/>
      <c r="BG1785" s="12"/>
      <c r="BH1785" s="12"/>
      <c r="BI1785" s="12"/>
      <c r="BJ1785" s="12"/>
      <c r="BK1785" s="12"/>
      <c r="BL1785" s="12"/>
      <c r="BM1785" s="12"/>
      <c r="BN1785" s="12"/>
      <c r="BO1785" s="12"/>
      <c r="BP1785" s="12"/>
      <c r="BQ1785" s="12"/>
      <c r="BR1785" s="12"/>
      <c r="BS1785" s="12"/>
      <c r="BT1785" s="12"/>
    </row>
    <row r="1786" spans="1:72">
      <c r="A1786" s="2" t="s">
        <v>33945</v>
      </c>
      <c r="B1786" s="5" t="s">
        <v>33949</v>
      </c>
      <c r="C1786" s="3" t="s">
        <v>138</v>
      </c>
      <c r="D1786" s="4" t="s">
        <v>138</v>
      </c>
      <c r="E1786" s="15" t="s">
        <v>3691</v>
      </c>
      <c r="F1786" s="15" t="s">
        <v>138</v>
      </c>
      <c r="G1786" s="15" t="s">
        <v>3693</v>
      </c>
      <c r="H1786" s="7">
        <v>16</v>
      </c>
      <c r="I1786" s="6" t="s">
        <v>33959</v>
      </c>
      <c r="J1786" s="6" t="s">
        <v>39120</v>
      </c>
      <c r="K1786" s="6" t="s">
        <v>41156</v>
      </c>
      <c r="L1786" s="6" t="s">
        <v>45728</v>
      </c>
      <c r="M1786" s="6" t="s">
        <v>45729</v>
      </c>
      <c r="N1786" s="6" t="s">
        <v>44966</v>
      </c>
      <c r="O1786" s="6" t="s">
        <v>40328</v>
      </c>
      <c r="P1786" s="6" t="s">
        <v>40125</v>
      </c>
      <c r="Q1786" s="6" t="s">
        <v>45730</v>
      </c>
      <c r="R1786" s="6" t="s">
        <v>45731</v>
      </c>
      <c r="S1786" s="6" t="s">
        <v>45732</v>
      </c>
      <c r="T1786" s="6" t="s">
        <v>37998</v>
      </c>
      <c r="U1786" s="6" t="s">
        <v>45591</v>
      </c>
      <c r="V1786" s="6" t="s">
        <v>37890</v>
      </c>
      <c r="W1786" s="6" t="s">
        <v>42959</v>
      </c>
      <c r="X1786" s="6" t="s">
        <v>43354</v>
      </c>
      <c r="Y1786" s="6" t="s">
        <v>41060</v>
      </c>
      <c r="Z1786" s="6"/>
      <c r="AA1786" s="6"/>
      <c r="AB1786" s="6"/>
      <c r="AC1786" s="6"/>
      <c r="AD1786" s="6"/>
      <c r="AE1786" s="6"/>
      <c r="AF1786" s="6"/>
      <c r="AG1786" s="6"/>
      <c r="AH1786" s="6"/>
      <c r="AI1786" s="6"/>
      <c r="AJ1786" s="6"/>
      <c r="AK1786" s="6"/>
      <c r="AL1786" s="6"/>
      <c r="AM1786" s="6"/>
      <c r="AN1786" s="6"/>
      <c r="AO1786" s="6"/>
      <c r="AP1786" s="6"/>
      <c r="AQ1786" s="6"/>
      <c r="AR1786" s="6"/>
      <c r="AS1786" s="6"/>
      <c r="AT1786" s="6"/>
      <c r="AU1786" s="6"/>
      <c r="AV1786" s="6"/>
      <c r="AW1786" s="6"/>
      <c r="AX1786" s="6"/>
      <c r="AY1786" s="6"/>
      <c r="AZ1786" s="6"/>
      <c r="BA1786" s="6"/>
      <c r="BB1786" s="6"/>
      <c r="BC1786" s="6"/>
      <c r="BD1786" s="6"/>
      <c r="BE1786" s="6"/>
      <c r="BF1786" s="6"/>
      <c r="BG1786" s="6"/>
      <c r="BH1786" s="6"/>
      <c r="BI1786" s="6"/>
      <c r="BJ1786" s="6"/>
      <c r="BK1786" s="6"/>
      <c r="BL1786" s="6"/>
      <c r="BM1786" s="6"/>
      <c r="BN1786" s="6"/>
      <c r="BO1786" s="6"/>
      <c r="BP1786" s="6"/>
      <c r="BQ1786" s="6"/>
      <c r="BR1786" s="6"/>
      <c r="BS1786" s="6"/>
      <c r="BT1786" s="6"/>
    </row>
    <row r="1787" spans="1:72">
      <c r="A1787" s="8" t="s">
        <v>33964</v>
      </c>
      <c r="B1787" s="11" t="s">
        <v>33968</v>
      </c>
      <c r="C1787" s="9" t="s">
        <v>138</v>
      </c>
      <c r="D1787" s="10" t="s">
        <v>33965</v>
      </c>
      <c r="E1787" s="28" t="s">
        <v>1198</v>
      </c>
      <c r="F1787" s="28" t="s">
        <v>138</v>
      </c>
      <c r="G1787" s="28" t="s">
        <v>1200</v>
      </c>
      <c r="H1787" s="13" t="s">
        <v>138</v>
      </c>
      <c r="I1787" s="12" t="s">
        <v>138</v>
      </c>
      <c r="J1787" s="12"/>
      <c r="K1787" s="12"/>
      <c r="L1787" s="12"/>
      <c r="M1787" s="12"/>
      <c r="N1787" s="12"/>
      <c r="O1787" s="12"/>
      <c r="P1787" s="12"/>
      <c r="Q1787" s="12"/>
      <c r="R1787" s="12"/>
      <c r="S1787" s="12"/>
      <c r="T1787" s="12"/>
      <c r="U1787" s="12"/>
      <c r="V1787" s="12"/>
      <c r="W1787" s="12"/>
      <c r="X1787" s="12"/>
      <c r="Y1787" s="12"/>
      <c r="Z1787" s="12"/>
      <c r="AA1787" s="12"/>
      <c r="AB1787" s="12"/>
      <c r="AC1787" s="12"/>
      <c r="AD1787" s="12"/>
      <c r="AE1787" s="12"/>
      <c r="AF1787" s="12"/>
      <c r="AG1787" s="12"/>
      <c r="AH1787" s="12"/>
      <c r="AI1787" s="12"/>
      <c r="AJ1787" s="12"/>
      <c r="AK1787" s="12"/>
      <c r="AL1787" s="12"/>
      <c r="AM1787" s="12"/>
      <c r="AN1787" s="12"/>
      <c r="AO1787" s="12"/>
      <c r="AP1787" s="12"/>
      <c r="AQ1787" s="12"/>
      <c r="AR1787" s="12"/>
      <c r="AS1787" s="12"/>
      <c r="AT1787" s="12"/>
      <c r="AU1787" s="12"/>
      <c r="AV1787" s="12"/>
      <c r="AW1787" s="12"/>
      <c r="AX1787" s="12"/>
      <c r="AY1787" s="12"/>
      <c r="AZ1787" s="12"/>
      <c r="BA1787" s="12"/>
      <c r="BB1787" s="12"/>
      <c r="BC1787" s="12"/>
      <c r="BD1787" s="12"/>
      <c r="BE1787" s="12"/>
      <c r="BF1787" s="12"/>
      <c r="BG1787" s="12"/>
      <c r="BH1787" s="12"/>
      <c r="BI1787" s="12"/>
      <c r="BJ1787" s="12"/>
      <c r="BK1787" s="12"/>
      <c r="BL1787" s="12"/>
      <c r="BM1787" s="12"/>
      <c r="BN1787" s="12"/>
      <c r="BO1787" s="12"/>
      <c r="BP1787" s="12"/>
      <c r="BQ1787" s="12"/>
      <c r="BR1787" s="12"/>
      <c r="BS1787" s="12"/>
      <c r="BT1787" s="12"/>
    </row>
    <row r="1788" spans="1:72">
      <c r="A1788" s="2" t="s">
        <v>33980</v>
      </c>
      <c r="B1788" s="5" t="s">
        <v>33985</v>
      </c>
      <c r="C1788" s="3" t="s">
        <v>138</v>
      </c>
      <c r="D1788" s="4" t="s">
        <v>138</v>
      </c>
      <c r="E1788" s="15" t="s">
        <v>1223</v>
      </c>
      <c r="F1788" s="15" t="s">
        <v>200</v>
      </c>
      <c r="G1788" s="15" t="s">
        <v>162</v>
      </c>
      <c r="H1788" s="7">
        <v>1</v>
      </c>
      <c r="I1788" s="6" t="s">
        <v>4056</v>
      </c>
      <c r="J1788" s="6" t="s">
        <v>4056</v>
      </c>
      <c r="K1788" s="6"/>
      <c r="L1788" s="6"/>
      <c r="M1788" s="6"/>
      <c r="N1788" s="6"/>
      <c r="O1788" s="6"/>
      <c r="P1788" s="6"/>
      <c r="Q1788" s="6"/>
      <c r="R1788" s="6"/>
      <c r="S1788" s="6"/>
      <c r="T1788" s="6"/>
      <c r="U1788" s="6"/>
      <c r="V1788" s="6"/>
      <c r="W1788" s="6"/>
      <c r="X1788" s="6"/>
      <c r="Y1788" s="6"/>
      <c r="Z1788" s="6"/>
      <c r="AA1788" s="6"/>
      <c r="AB1788" s="6"/>
      <c r="AC1788" s="6"/>
      <c r="AD1788" s="6"/>
      <c r="AE1788" s="6"/>
      <c r="AF1788" s="6"/>
      <c r="AG1788" s="6"/>
      <c r="AH1788" s="6"/>
      <c r="AI1788" s="6"/>
      <c r="AJ1788" s="6"/>
      <c r="AK1788" s="6"/>
      <c r="AL1788" s="6"/>
      <c r="AM1788" s="6"/>
      <c r="AN1788" s="6"/>
      <c r="AO1788" s="6"/>
      <c r="AP1788" s="6"/>
      <c r="AQ1788" s="6"/>
      <c r="AR1788" s="6"/>
      <c r="AS1788" s="6"/>
      <c r="AT1788" s="6"/>
      <c r="AU1788" s="6"/>
      <c r="AV1788" s="6"/>
      <c r="AW1788" s="6"/>
      <c r="AX1788" s="6"/>
      <c r="AY1788" s="6"/>
      <c r="AZ1788" s="6"/>
      <c r="BA1788" s="6"/>
      <c r="BB1788" s="6"/>
      <c r="BC1788" s="6"/>
      <c r="BD1788" s="6"/>
      <c r="BE1788" s="6"/>
      <c r="BF1788" s="6"/>
      <c r="BG1788" s="6"/>
      <c r="BH1788" s="6"/>
      <c r="BI1788" s="6"/>
      <c r="BJ1788" s="6"/>
      <c r="BK1788" s="6"/>
      <c r="BL1788" s="6"/>
      <c r="BM1788" s="6"/>
      <c r="BN1788" s="6"/>
      <c r="BO1788" s="6"/>
      <c r="BP1788" s="6"/>
      <c r="BQ1788" s="6"/>
      <c r="BR1788" s="6"/>
      <c r="BS1788" s="6"/>
      <c r="BT1788" s="6"/>
    </row>
    <row r="1789" spans="1:72">
      <c r="A1789" s="8" t="s">
        <v>33995</v>
      </c>
      <c r="B1789" s="11" t="s">
        <v>34000</v>
      </c>
      <c r="C1789" s="9" t="s">
        <v>138</v>
      </c>
      <c r="D1789" s="10" t="s">
        <v>138</v>
      </c>
      <c r="E1789" s="28" t="s">
        <v>668</v>
      </c>
      <c r="F1789" s="28" t="s">
        <v>200</v>
      </c>
      <c r="G1789" s="28" t="s">
        <v>162</v>
      </c>
      <c r="H1789" s="13">
        <v>28</v>
      </c>
      <c r="I1789" s="12" t="s">
        <v>34009</v>
      </c>
      <c r="J1789" s="12" t="s">
        <v>45733</v>
      </c>
      <c r="K1789" s="12" t="s">
        <v>45734</v>
      </c>
      <c r="L1789" s="12" t="s">
        <v>45735</v>
      </c>
      <c r="M1789" s="12" t="s">
        <v>37937</v>
      </c>
      <c r="N1789" s="12" t="s">
        <v>38354</v>
      </c>
      <c r="O1789" s="12" t="s">
        <v>38569</v>
      </c>
      <c r="P1789" s="12" t="s">
        <v>40573</v>
      </c>
      <c r="Q1789" s="12" t="s">
        <v>39916</v>
      </c>
      <c r="R1789" s="12" t="s">
        <v>39284</v>
      </c>
      <c r="S1789" s="12" t="s">
        <v>41547</v>
      </c>
      <c r="T1789" s="12" t="s">
        <v>37942</v>
      </c>
      <c r="U1789" s="12" t="s">
        <v>39918</v>
      </c>
      <c r="V1789" s="12" t="s">
        <v>38318</v>
      </c>
      <c r="W1789" s="12" t="s">
        <v>39900</v>
      </c>
      <c r="X1789" s="12" t="s">
        <v>39549</v>
      </c>
      <c r="Y1789" s="12" t="s">
        <v>41561</v>
      </c>
      <c r="Z1789" s="12" t="s">
        <v>43967</v>
      </c>
      <c r="AA1789" s="12" t="s">
        <v>38424</v>
      </c>
      <c r="AB1789" s="12" t="s">
        <v>38018</v>
      </c>
      <c r="AC1789" s="12" t="s">
        <v>45187</v>
      </c>
      <c r="AD1789" s="12" t="s">
        <v>37995</v>
      </c>
      <c r="AE1789" s="12" t="s">
        <v>38428</v>
      </c>
      <c r="AF1789" s="12" t="s">
        <v>37997</v>
      </c>
      <c r="AG1789" s="12" t="s">
        <v>42871</v>
      </c>
      <c r="AH1789" s="12" t="s">
        <v>38457</v>
      </c>
      <c r="AI1789" s="12" t="s">
        <v>40211</v>
      </c>
      <c r="AJ1789" s="12" t="s">
        <v>38400</v>
      </c>
      <c r="AK1789" s="12" t="s">
        <v>37783</v>
      </c>
      <c r="AL1789" s="12"/>
      <c r="AM1789" s="12"/>
      <c r="AN1789" s="12"/>
      <c r="AO1789" s="12"/>
      <c r="AP1789" s="12"/>
      <c r="AQ1789" s="12"/>
      <c r="AR1789" s="12"/>
      <c r="AS1789" s="12"/>
      <c r="AT1789" s="12"/>
      <c r="AU1789" s="12"/>
      <c r="AV1789" s="12"/>
      <c r="AW1789" s="12"/>
      <c r="AX1789" s="12"/>
      <c r="AY1789" s="12"/>
      <c r="AZ1789" s="12"/>
      <c r="BA1789" s="12"/>
      <c r="BB1789" s="12"/>
      <c r="BC1789" s="12"/>
      <c r="BD1789" s="12"/>
      <c r="BE1789" s="12"/>
      <c r="BF1789" s="12"/>
      <c r="BG1789" s="12"/>
      <c r="BH1789" s="12"/>
      <c r="BI1789" s="12"/>
      <c r="BJ1789" s="12"/>
      <c r="BK1789" s="12"/>
      <c r="BL1789" s="12"/>
      <c r="BM1789" s="12"/>
      <c r="BN1789" s="12"/>
      <c r="BO1789" s="12"/>
      <c r="BP1789" s="12"/>
      <c r="BQ1789" s="12"/>
      <c r="BR1789" s="12"/>
      <c r="BS1789" s="12"/>
      <c r="BT1789" s="12"/>
    </row>
    <row r="1790" spans="1:72">
      <c r="A1790" s="2" t="s">
        <v>34013</v>
      </c>
      <c r="B1790" s="5" t="s">
        <v>34018</v>
      </c>
      <c r="C1790" s="3" t="s">
        <v>138</v>
      </c>
      <c r="D1790" s="4" t="s">
        <v>34014</v>
      </c>
      <c r="E1790" s="15" t="s">
        <v>1872</v>
      </c>
      <c r="F1790" s="15" t="s">
        <v>200</v>
      </c>
      <c r="G1790" s="15" t="s">
        <v>162</v>
      </c>
      <c r="H1790" s="7">
        <v>28</v>
      </c>
      <c r="I1790" s="6" t="s">
        <v>34026</v>
      </c>
      <c r="J1790" s="6" t="s">
        <v>41088</v>
      </c>
      <c r="K1790" s="6" t="s">
        <v>37876</v>
      </c>
      <c r="L1790" s="6" t="s">
        <v>45736</v>
      </c>
      <c r="M1790" s="6" t="s">
        <v>38569</v>
      </c>
      <c r="N1790" s="6" t="s">
        <v>45737</v>
      </c>
      <c r="O1790" s="6" t="s">
        <v>45738</v>
      </c>
      <c r="P1790" s="6" t="s">
        <v>45739</v>
      </c>
      <c r="Q1790" s="6" t="s">
        <v>42657</v>
      </c>
      <c r="R1790" s="6" t="s">
        <v>41961</v>
      </c>
      <c r="S1790" s="6" t="s">
        <v>40886</v>
      </c>
      <c r="T1790" s="6" t="s">
        <v>45740</v>
      </c>
      <c r="U1790" s="6" t="s">
        <v>39438</v>
      </c>
      <c r="V1790" s="6" t="s">
        <v>44121</v>
      </c>
      <c r="W1790" s="6" t="s">
        <v>45741</v>
      </c>
      <c r="X1790" s="6" t="s">
        <v>45742</v>
      </c>
      <c r="Y1790" s="6" t="s">
        <v>45743</v>
      </c>
      <c r="Z1790" s="6" t="s">
        <v>45744</v>
      </c>
      <c r="AA1790" s="6" t="s">
        <v>45258</v>
      </c>
      <c r="AB1790" s="6" t="s">
        <v>45745</v>
      </c>
      <c r="AC1790" s="6" t="s">
        <v>39692</v>
      </c>
      <c r="AD1790" s="6" t="s">
        <v>42380</v>
      </c>
      <c r="AE1790" s="6" t="s">
        <v>38084</v>
      </c>
      <c r="AF1790" s="6" t="s">
        <v>45746</v>
      </c>
      <c r="AG1790" s="6" t="s">
        <v>45747</v>
      </c>
      <c r="AH1790" s="6" t="s">
        <v>38647</v>
      </c>
      <c r="AI1790" s="6" t="s">
        <v>38754</v>
      </c>
      <c r="AJ1790" s="6" t="s">
        <v>45748</v>
      </c>
      <c r="AK1790" s="6" t="s">
        <v>43279</v>
      </c>
      <c r="AL1790" s="6"/>
      <c r="AM1790" s="6"/>
      <c r="AN1790" s="6"/>
      <c r="AO1790" s="6"/>
      <c r="AP1790" s="6"/>
      <c r="AQ1790" s="6"/>
      <c r="AR1790" s="6"/>
      <c r="AS1790" s="6"/>
      <c r="AT1790" s="6"/>
      <c r="AU1790" s="6"/>
      <c r="AV1790" s="6"/>
      <c r="AW1790" s="6"/>
      <c r="AX1790" s="6"/>
      <c r="AY1790" s="6"/>
      <c r="AZ1790" s="6"/>
      <c r="BA1790" s="6"/>
      <c r="BB1790" s="6"/>
      <c r="BC1790" s="6"/>
      <c r="BD1790" s="6"/>
      <c r="BE1790" s="6"/>
      <c r="BF1790" s="6"/>
      <c r="BG1790" s="6"/>
      <c r="BH1790" s="6"/>
      <c r="BI1790" s="6"/>
      <c r="BJ1790" s="6"/>
      <c r="BK1790" s="6"/>
      <c r="BL1790" s="6"/>
      <c r="BM1790" s="6"/>
      <c r="BN1790" s="6"/>
      <c r="BO1790" s="6"/>
      <c r="BP1790" s="6"/>
      <c r="BQ1790" s="6"/>
      <c r="BR1790" s="6"/>
      <c r="BS1790" s="6"/>
      <c r="BT1790" s="6"/>
    </row>
    <row r="1791" spans="1:72">
      <c r="A1791" s="8" t="s">
        <v>34030</v>
      </c>
      <c r="B1791" s="11" t="s">
        <v>34036</v>
      </c>
      <c r="C1791" s="9" t="s">
        <v>34031</v>
      </c>
      <c r="D1791" s="10" t="s">
        <v>138</v>
      </c>
      <c r="E1791" s="28" t="s">
        <v>5700</v>
      </c>
      <c r="F1791" s="28" t="s">
        <v>138</v>
      </c>
      <c r="G1791" s="28" t="s">
        <v>740</v>
      </c>
      <c r="H1791" s="13">
        <v>5</v>
      </c>
      <c r="I1791" s="12" t="s">
        <v>34045</v>
      </c>
      <c r="J1791" s="12" t="s">
        <v>45749</v>
      </c>
      <c r="K1791" s="12" t="s">
        <v>39900</v>
      </c>
      <c r="L1791" s="12" t="s">
        <v>38398</v>
      </c>
      <c r="M1791" s="12" t="s">
        <v>45750</v>
      </c>
      <c r="N1791" s="12" t="s">
        <v>38145</v>
      </c>
      <c r="O1791" s="12"/>
      <c r="P1791" s="12"/>
      <c r="Q1791" s="12"/>
      <c r="R1791" s="12"/>
      <c r="S1791" s="12"/>
      <c r="T1791" s="12"/>
      <c r="U1791" s="12"/>
      <c r="V1791" s="12"/>
      <c r="W1791" s="12"/>
      <c r="X1791" s="12"/>
      <c r="Y1791" s="12"/>
      <c r="Z1791" s="12"/>
      <c r="AA1791" s="12"/>
      <c r="AB1791" s="12"/>
      <c r="AC1791" s="12"/>
      <c r="AD1791" s="12"/>
      <c r="AE1791" s="12"/>
      <c r="AF1791" s="12"/>
      <c r="AG1791" s="12"/>
      <c r="AH1791" s="12"/>
      <c r="AI1791" s="12"/>
      <c r="AJ1791" s="12"/>
      <c r="AK1791" s="12"/>
      <c r="AL1791" s="12"/>
      <c r="AM1791" s="12"/>
      <c r="AN1791" s="12"/>
      <c r="AO1791" s="12"/>
      <c r="AP1791" s="12"/>
      <c r="AQ1791" s="12"/>
      <c r="AR1791" s="12"/>
      <c r="AS1791" s="12"/>
      <c r="AT1791" s="12"/>
      <c r="AU1791" s="12"/>
      <c r="AV1791" s="12"/>
      <c r="AW1791" s="12"/>
      <c r="AX1791" s="12"/>
      <c r="AY1791" s="12"/>
      <c r="AZ1791" s="12"/>
      <c r="BA1791" s="12"/>
      <c r="BB1791" s="12"/>
      <c r="BC1791" s="12"/>
      <c r="BD1791" s="12"/>
      <c r="BE1791" s="12"/>
      <c r="BF1791" s="12"/>
      <c r="BG1791" s="12"/>
      <c r="BH1791" s="12"/>
      <c r="BI1791" s="12"/>
      <c r="BJ1791" s="12"/>
      <c r="BK1791" s="12"/>
      <c r="BL1791" s="12"/>
      <c r="BM1791" s="12"/>
      <c r="BN1791" s="12"/>
      <c r="BO1791" s="12"/>
      <c r="BP1791" s="12"/>
      <c r="BQ1791" s="12"/>
      <c r="BR1791" s="12"/>
      <c r="BS1791" s="12"/>
      <c r="BT1791" s="12"/>
    </row>
    <row r="1792" spans="1:72">
      <c r="A1792" s="2" t="s">
        <v>34049</v>
      </c>
      <c r="B1792" s="5" t="s">
        <v>34055</v>
      </c>
      <c r="C1792" s="3" t="s">
        <v>34050</v>
      </c>
      <c r="D1792" s="4" t="s">
        <v>138</v>
      </c>
      <c r="E1792" s="15" t="s">
        <v>823</v>
      </c>
      <c r="F1792" s="15" t="s">
        <v>824</v>
      </c>
      <c r="G1792" s="15" t="s">
        <v>526</v>
      </c>
      <c r="H1792" s="7">
        <v>13</v>
      </c>
      <c r="I1792" s="6" t="s">
        <v>34067</v>
      </c>
      <c r="J1792" s="6" t="s">
        <v>39015</v>
      </c>
      <c r="K1792" s="6" t="s">
        <v>40196</v>
      </c>
      <c r="L1792" s="6" t="s">
        <v>45729</v>
      </c>
      <c r="M1792" s="6" t="s">
        <v>45751</v>
      </c>
      <c r="N1792" s="6" t="s">
        <v>39122</v>
      </c>
      <c r="O1792" s="6" t="s">
        <v>45752</v>
      </c>
      <c r="P1792" s="6" t="s">
        <v>45753</v>
      </c>
      <c r="Q1792" s="6" t="s">
        <v>38721</v>
      </c>
      <c r="R1792" s="6" t="s">
        <v>39724</v>
      </c>
      <c r="S1792" s="6" t="s">
        <v>38334</v>
      </c>
      <c r="T1792" s="6" t="s">
        <v>42286</v>
      </c>
      <c r="U1792" s="6" t="s">
        <v>45102</v>
      </c>
      <c r="V1792" s="6" t="s">
        <v>38337</v>
      </c>
      <c r="W1792" s="6"/>
      <c r="X1792" s="6"/>
      <c r="Y1792" s="6"/>
      <c r="Z1792" s="6"/>
      <c r="AA1792" s="6"/>
      <c r="AB1792" s="6"/>
      <c r="AC1792" s="6"/>
      <c r="AD1792" s="6"/>
      <c r="AE1792" s="6"/>
      <c r="AF1792" s="6"/>
      <c r="AG1792" s="6"/>
      <c r="AH1792" s="6"/>
      <c r="AI1792" s="6"/>
      <c r="AJ1792" s="6"/>
      <c r="AK1792" s="6"/>
      <c r="AL1792" s="6"/>
      <c r="AM1792" s="6"/>
      <c r="AN1792" s="6"/>
      <c r="AO1792" s="6"/>
      <c r="AP1792" s="6"/>
      <c r="AQ1792" s="6"/>
      <c r="AR1792" s="6"/>
      <c r="AS1792" s="6"/>
      <c r="AT1792" s="6"/>
      <c r="AU1792" s="6"/>
      <c r="AV1792" s="6"/>
      <c r="AW1792" s="6"/>
      <c r="AX1792" s="6"/>
      <c r="AY1792" s="6"/>
      <c r="AZ1792" s="6"/>
      <c r="BA1792" s="6"/>
      <c r="BB1792" s="6"/>
      <c r="BC1792" s="6"/>
      <c r="BD1792" s="6"/>
      <c r="BE1792" s="6"/>
      <c r="BF1792" s="6"/>
      <c r="BG1792" s="6"/>
      <c r="BH1792" s="6"/>
      <c r="BI1792" s="6"/>
      <c r="BJ1792" s="6"/>
      <c r="BK1792" s="6"/>
      <c r="BL1792" s="6"/>
      <c r="BM1792" s="6"/>
      <c r="BN1792" s="6"/>
      <c r="BO1792" s="6"/>
      <c r="BP1792" s="6"/>
      <c r="BQ1792" s="6"/>
      <c r="BR1792" s="6"/>
      <c r="BS1792" s="6"/>
      <c r="BT1792" s="6"/>
    </row>
    <row r="1793" spans="1:72">
      <c r="A1793" s="8" t="s">
        <v>34071</v>
      </c>
      <c r="B1793" s="11" t="s">
        <v>34076</v>
      </c>
      <c r="C1793" s="9" t="s">
        <v>138</v>
      </c>
      <c r="D1793" s="10" t="s">
        <v>138</v>
      </c>
      <c r="E1793" s="28" t="s">
        <v>3907</v>
      </c>
      <c r="F1793" s="28" t="s">
        <v>2740</v>
      </c>
      <c r="G1793" s="28" t="s">
        <v>2742</v>
      </c>
      <c r="H1793" s="13">
        <v>5</v>
      </c>
      <c r="I1793" s="12" t="s">
        <v>34084</v>
      </c>
      <c r="J1793" s="12" t="s">
        <v>45754</v>
      </c>
      <c r="K1793" s="12" t="s">
        <v>45755</v>
      </c>
      <c r="L1793" s="12" t="s">
        <v>45756</v>
      </c>
      <c r="M1793" s="12" t="s">
        <v>45757</v>
      </c>
      <c r="N1793" s="12" t="s">
        <v>38775</v>
      </c>
      <c r="O1793" s="12"/>
      <c r="P1793" s="12"/>
      <c r="Q1793" s="12"/>
      <c r="R1793" s="12"/>
      <c r="S1793" s="12"/>
      <c r="T1793" s="12"/>
      <c r="U1793" s="12"/>
      <c r="V1793" s="12"/>
      <c r="W1793" s="12"/>
      <c r="X1793" s="12"/>
      <c r="Y1793" s="12"/>
      <c r="Z1793" s="12"/>
      <c r="AA1793" s="12"/>
      <c r="AB1793" s="12"/>
      <c r="AC1793" s="12"/>
      <c r="AD1793" s="12"/>
      <c r="AE1793" s="12"/>
      <c r="AF1793" s="12"/>
      <c r="AG1793" s="12"/>
      <c r="AH1793" s="12"/>
      <c r="AI1793" s="12"/>
      <c r="AJ1793" s="12"/>
      <c r="AK1793" s="12"/>
      <c r="AL1793" s="12"/>
      <c r="AM1793" s="12"/>
      <c r="AN1793" s="12"/>
      <c r="AO1793" s="12"/>
      <c r="AP1793" s="12"/>
      <c r="AQ1793" s="12"/>
      <c r="AR1793" s="12"/>
      <c r="AS1793" s="12"/>
      <c r="AT1793" s="12"/>
      <c r="AU1793" s="12"/>
      <c r="AV1793" s="12"/>
      <c r="AW1793" s="12"/>
      <c r="AX1793" s="12"/>
      <c r="AY1793" s="12"/>
      <c r="AZ1793" s="12"/>
      <c r="BA1793" s="12"/>
      <c r="BB1793" s="12"/>
      <c r="BC1793" s="12"/>
      <c r="BD1793" s="12"/>
      <c r="BE1793" s="12"/>
      <c r="BF1793" s="12"/>
      <c r="BG1793" s="12"/>
      <c r="BH1793" s="12"/>
      <c r="BI1793" s="12"/>
      <c r="BJ1793" s="12"/>
      <c r="BK1793" s="12"/>
      <c r="BL1793" s="12"/>
      <c r="BM1793" s="12"/>
      <c r="BN1793" s="12"/>
      <c r="BO1793" s="12"/>
      <c r="BP1793" s="12"/>
      <c r="BQ1793" s="12"/>
      <c r="BR1793" s="12"/>
      <c r="BS1793" s="12"/>
      <c r="BT1793" s="12"/>
    </row>
    <row r="1794" spans="1:72">
      <c r="A1794" s="2" t="s">
        <v>34087</v>
      </c>
      <c r="B1794" s="5" t="s">
        <v>34092</v>
      </c>
      <c r="C1794" s="3" t="s">
        <v>138</v>
      </c>
      <c r="D1794" s="4" t="s">
        <v>138</v>
      </c>
      <c r="E1794" s="15" t="s">
        <v>1223</v>
      </c>
      <c r="F1794" s="15" t="s">
        <v>200</v>
      </c>
      <c r="G1794" s="15" t="s">
        <v>162</v>
      </c>
      <c r="H1794" s="7">
        <v>10</v>
      </c>
      <c r="I1794" s="6" t="s">
        <v>34103</v>
      </c>
      <c r="J1794" s="6" t="s">
        <v>45758</v>
      </c>
      <c r="K1794" s="6" t="s">
        <v>38299</v>
      </c>
      <c r="L1794" s="6" t="s">
        <v>45759</v>
      </c>
      <c r="M1794" s="6" t="s">
        <v>40467</v>
      </c>
      <c r="N1794" s="6" t="s">
        <v>37787</v>
      </c>
      <c r="O1794" s="6" t="s">
        <v>45760</v>
      </c>
      <c r="P1794" s="6" t="s">
        <v>45761</v>
      </c>
      <c r="Q1794" s="6" t="s">
        <v>38770</v>
      </c>
      <c r="R1794" s="6" t="s">
        <v>45762</v>
      </c>
      <c r="S1794" s="6" t="s">
        <v>45763</v>
      </c>
      <c r="T1794" s="6"/>
      <c r="U1794" s="6"/>
      <c r="V1794" s="6"/>
      <c r="W1794" s="6"/>
      <c r="X1794" s="6"/>
      <c r="Y1794" s="6"/>
      <c r="Z1794" s="6"/>
      <c r="AA1794" s="6"/>
      <c r="AB1794" s="6"/>
      <c r="AC1794" s="6"/>
      <c r="AD1794" s="6"/>
      <c r="AE1794" s="6"/>
      <c r="AF1794" s="6"/>
      <c r="AG1794" s="6"/>
      <c r="AH1794" s="6"/>
      <c r="AI1794" s="6"/>
      <c r="AJ1794" s="6"/>
      <c r="AK1794" s="6"/>
      <c r="AL1794" s="6"/>
      <c r="AM1794" s="6"/>
      <c r="AN1794" s="6"/>
      <c r="AO1794" s="6"/>
      <c r="AP1794" s="6"/>
      <c r="AQ1794" s="6"/>
      <c r="AR1794" s="6"/>
      <c r="AS1794" s="6"/>
      <c r="AT1794" s="6"/>
      <c r="AU1794" s="6"/>
      <c r="AV1794" s="6"/>
      <c r="AW1794" s="6"/>
      <c r="AX1794" s="6"/>
      <c r="AY1794" s="6"/>
      <c r="AZ1794" s="6"/>
      <c r="BA1794" s="6"/>
      <c r="BB1794" s="6"/>
      <c r="BC1794" s="6"/>
      <c r="BD1794" s="6"/>
      <c r="BE1794" s="6"/>
      <c r="BF1794" s="6"/>
      <c r="BG1794" s="6"/>
      <c r="BH1794" s="6"/>
      <c r="BI1794" s="6"/>
      <c r="BJ1794" s="6"/>
      <c r="BK1794" s="6"/>
      <c r="BL1794" s="6"/>
      <c r="BM1794" s="6"/>
      <c r="BN1794" s="6"/>
      <c r="BO1794" s="6"/>
      <c r="BP1794" s="6"/>
      <c r="BQ1794" s="6"/>
      <c r="BR1794" s="6"/>
      <c r="BS1794" s="6"/>
      <c r="BT1794" s="6"/>
    </row>
    <row r="1795" spans="1:72">
      <c r="A1795" s="8" t="s">
        <v>34106</v>
      </c>
      <c r="B1795" s="11" t="s">
        <v>34110</v>
      </c>
      <c r="C1795" s="9" t="s">
        <v>138</v>
      </c>
      <c r="D1795" s="10" t="s">
        <v>138</v>
      </c>
      <c r="E1795" s="28" t="s">
        <v>10537</v>
      </c>
      <c r="F1795" s="28" t="s">
        <v>5271</v>
      </c>
      <c r="G1795" s="28" t="s">
        <v>162</v>
      </c>
      <c r="H1795" s="13">
        <v>6</v>
      </c>
      <c r="I1795" s="12" t="s">
        <v>34119</v>
      </c>
      <c r="J1795" s="12" t="s">
        <v>39988</v>
      </c>
      <c r="K1795" s="12" t="s">
        <v>39198</v>
      </c>
      <c r="L1795" s="12" t="s">
        <v>39307</v>
      </c>
      <c r="M1795" s="12" t="s">
        <v>37890</v>
      </c>
      <c r="N1795" s="12" t="s">
        <v>40361</v>
      </c>
      <c r="O1795" s="12" t="s">
        <v>45764</v>
      </c>
      <c r="P1795" s="12"/>
      <c r="Q1795" s="12"/>
      <c r="R1795" s="12"/>
      <c r="S1795" s="12"/>
      <c r="T1795" s="12"/>
      <c r="U1795" s="12"/>
      <c r="V1795" s="12"/>
      <c r="W1795" s="12"/>
      <c r="X1795" s="12"/>
      <c r="Y1795" s="12"/>
      <c r="Z1795" s="12"/>
      <c r="AA1795" s="12"/>
      <c r="AB1795" s="12"/>
      <c r="AC1795" s="12"/>
      <c r="AD1795" s="12"/>
      <c r="AE1795" s="12"/>
      <c r="AF1795" s="12"/>
      <c r="AG1795" s="12"/>
      <c r="AH1795" s="12"/>
      <c r="AI1795" s="12"/>
      <c r="AJ1795" s="12"/>
      <c r="AK1795" s="12"/>
      <c r="AL1795" s="12"/>
      <c r="AM1795" s="12"/>
      <c r="AN1795" s="12"/>
      <c r="AO1795" s="12"/>
      <c r="AP1795" s="12"/>
      <c r="AQ1795" s="12"/>
      <c r="AR1795" s="12"/>
      <c r="AS1795" s="12"/>
      <c r="AT1795" s="12"/>
      <c r="AU1795" s="12"/>
      <c r="AV1795" s="12"/>
      <c r="AW1795" s="12"/>
      <c r="AX1795" s="12"/>
      <c r="AY1795" s="12"/>
      <c r="AZ1795" s="12"/>
      <c r="BA1795" s="12"/>
      <c r="BB1795" s="12"/>
      <c r="BC1795" s="12"/>
      <c r="BD1795" s="12"/>
      <c r="BE1795" s="12"/>
      <c r="BF1795" s="12"/>
      <c r="BG1795" s="12"/>
      <c r="BH1795" s="12"/>
      <c r="BI1795" s="12"/>
      <c r="BJ1795" s="12"/>
      <c r="BK1795" s="12"/>
      <c r="BL1795" s="12"/>
      <c r="BM1795" s="12"/>
      <c r="BN1795" s="12"/>
      <c r="BO1795" s="12"/>
      <c r="BP1795" s="12"/>
      <c r="BQ1795" s="12"/>
      <c r="BR1795" s="12"/>
      <c r="BS1795" s="12"/>
      <c r="BT1795" s="12"/>
    </row>
    <row r="1796" spans="1:72">
      <c r="A1796" s="2" t="s">
        <v>34123</v>
      </c>
      <c r="B1796" s="5" t="s">
        <v>34128</v>
      </c>
      <c r="C1796" s="3" t="s">
        <v>138</v>
      </c>
      <c r="D1796" s="4" t="s">
        <v>34124</v>
      </c>
      <c r="E1796" s="15" t="s">
        <v>449</v>
      </c>
      <c r="F1796" s="15" t="s">
        <v>448</v>
      </c>
      <c r="G1796" s="15" t="s">
        <v>450</v>
      </c>
      <c r="H1796" s="7">
        <v>1</v>
      </c>
      <c r="I1796" s="6" t="s">
        <v>3047</v>
      </c>
      <c r="J1796" s="6" t="s">
        <v>3047</v>
      </c>
      <c r="K1796" s="6"/>
      <c r="L1796" s="6"/>
      <c r="M1796" s="6"/>
      <c r="N1796" s="6"/>
      <c r="O1796" s="6"/>
      <c r="P1796" s="6"/>
      <c r="Q1796" s="6"/>
      <c r="R1796" s="6"/>
      <c r="S1796" s="6"/>
      <c r="T1796" s="6"/>
      <c r="U1796" s="6"/>
      <c r="V1796" s="6"/>
      <c r="W1796" s="6"/>
      <c r="X1796" s="6"/>
      <c r="Y1796" s="6"/>
      <c r="Z1796" s="6"/>
      <c r="AA1796" s="6"/>
      <c r="AB1796" s="6"/>
      <c r="AC1796" s="6"/>
      <c r="AD1796" s="6"/>
      <c r="AE1796" s="6"/>
      <c r="AF1796" s="6"/>
      <c r="AG1796" s="6"/>
      <c r="AH1796" s="6"/>
      <c r="AI1796" s="6"/>
      <c r="AJ1796" s="6"/>
      <c r="AK1796" s="6"/>
      <c r="AL1796" s="6"/>
      <c r="AM1796" s="6"/>
      <c r="AN1796" s="6"/>
      <c r="AO1796" s="6"/>
      <c r="AP1796" s="6"/>
      <c r="AQ1796" s="6"/>
      <c r="AR1796" s="6"/>
      <c r="AS1796" s="6"/>
      <c r="AT1796" s="6"/>
      <c r="AU1796" s="6"/>
      <c r="AV1796" s="6"/>
      <c r="AW1796" s="6"/>
      <c r="AX1796" s="6"/>
      <c r="AY1796" s="6"/>
      <c r="AZ1796" s="6"/>
      <c r="BA1796" s="6"/>
      <c r="BB1796" s="6"/>
      <c r="BC1796" s="6"/>
      <c r="BD1796" s="6"/>
      <c r="BE1796" s="6"/>
      <c r="BF1796" s="6"/>
      <c r="BG1796" s="6"/>
      <c r="BH1796" s="6"/>
      <c r="BI1796" s="6"/>
      <c r="BJ1796" s="6"/>
      <c r="BK1796" s="6"/>
      <c r="BL1796" s="6"/>
      <c r="BM1796" s="6"/>
      <c r="BN1796" s="6"/>
      <c r="BO1796" s="6"/>
      <c r="BP1796" s="6"/>
      <c r="BQ1796" s="6"/>
      <c r="BR1796" s="6"/>
      <c r="BS1796" s="6"/>
      <c r="BT1796" s="6"/>
    </row>
    <row r="1797" spans="1:72">
      <c r="A1797" s="8" t="s">
        <v>34142</v>
      </c>
      <c r="B1797" s="11" t="s">
        <v>34146</v>
      </c>
      <c r="C1797" s="9" t="s">
        <v>138</v>
      </c>
      <c r="D1797" s="10" t="s">
        <v>138</v>
      </c>
      <c r="E1797" s="28" t="s">
        <v>668</v>
      </c>
      <c r="F1797" s="28" t="s">
        <v>200</v>
      </c>
      <c r="G1797" s="28" t="s">
        <v>162</v>
      </c>
      <c r="H1797" s="13">
        <v>3</v>
      </c>
      <c r="I1797" s="12" t="s">
        <v>34154</v>
      </c>
      <c r="J1797" s="12" t="s">
        <v>45765</v>
      </c>
      <c r="K1797" s="12" t="s">
        <v>37819</v>
      </c>
      <c r="L1797" s="12" t="s">
        <v>40643</v>
      </c>
      <c r="M1797" s="12"/>
      <c r="N1797" s="12"/>
      <c r="O1797" s="12"/>
      <c r="P1797" s="12"/>
      <c r="Q1797" s="12"/>
      <c r="R1797" s="12"/>
      <c r="S1797" s="12"/>
      <c r="T1797" s="12"/>
      <c r="U1797" s="12"/>
      <c r="V1797" s="12"/>
      <c r="W1797" s="12"/>
      <c r="X1797" s="12"/>
      <c r="Y1797" s="12"/>
      <c r="Z1797" s="12"/>
      <c r="AA1797" s="12"/>
      <c r="AB1797" s="12"/>
      <c r="AC1797" s="12"/>
      <c r="AD1797" s="12"/>
      <c r="AE1797" s="12"/>
      <c r="AF1797" s="12"/>
      <c r="AG1797" s="12"/>
      <c r="AH1797" s="12"/>
      <c r="AI1797" s="12"/>
      <c r="AJ1797" s="12"/>
      <c r="AK1797" s="12"/>
      <c r="AL1797" s="12"/>
      <c r="AM1797" s="12"/>
      <c r="AN1797" s="12"/>
      <c r="AO1797" s="12"/>
      <c r="AP1797" s="12"/>
      <c r="AQ1797" s="12"/>
      <c r="AR1797" s="12"/>
      <c r="AS1797" s="12"/>
      <c r="AT1797" s="12"/>
      <c r="AU1797" s="12"/>
      <c r="AV1797" s="12"/>
      <c r="AW1797" s="12"/>
      <c r="AX1797" s="12"/>
      <c r="AY1797" s="12"/>
      <c r="AZ1797" s="12"/>
      <c r="BA1797" s="12"/>
      <c r="BB1797" s="12"/>
      <c r="BC1797" s="12"/>
      <c r="BD1797" s="12"/>
      <c r="BE1797" s="12"/>
      <c r="BF1797" s="12"/>
      <c r="BG1797" s="12"/>
      <c r="BH1797" s="12"/>
      <c r="BI1797" s="12"/>
      <c r="BJ1797" s="12"/>
      <c r="BK1797" s="12"/>
      <c r="BL1797" s="12"/>
      <c r="BM1797" s="12"/>
      <c r="BN1797" s="12"/>
      <c r="BO1797" s="12"/>
      <c r="BP1797" s="12"/>
      <c r="BQ1797" s="12"/>
      <c r="BR1797" s="12"/>
      <c r="BS1797" s="12"/>
      <c r="BT1797" s="12"/>
    </row>
    <row r="1798" spans="1:72">
      <c r="A1798" s="2" t="s">
        <v>34157</v>
      </c>
      <c r="B1798" s="5" t="s">
        <v>34162</v>
      </c>
      <c r="C1798" s="3" t="s">
        <v>34158</v>
      </c>
      <c r="D1798" s="4" t="s">
        <v>138</v>
      </c>
      <c r="E1798" s="15" t="s">
        <v>426</v>
      </c>
      <c r="F1798" s="15" t="s">
        <v>426</v>
      </c>
      <c r="G1798" s="15" t="s">
        <v>162</v>
      </c>
      <c r="H1798" s="7">
        <v>15</v>
      </c>
      <c r="I1798" s="6" t="s">
        <v>34170</v>
      </c>
      <c r="J1798" s="6" t="s">
        <v>37811</v>
      </c>
      <c r="K1798" s="6" t="s">
        <v>38950</v>
      </c>
      <c r="L1798" s="6" t="s">
        <v>39321</v>
      </c>
      <c r="M1798" s="6" t="s">
        <v>37819</v>
      </c>
      <c r="N1798" s="6" t="s">
        <v>45766</v>
      </c>
      <c r="O1798" s="6" t="s">
        <v>45767</v>
      </c>
      <c r="P1798" s="6" t="s">
        <v>38148</v>
      </c>
      <c r="Q1798" s="6" t="s">
        <v>40815</v>
      </c>
      <c r="R1798" s="6" t="s">
        <v>37921</v>
      </c>
      <c r="S1798" s="6" t="s">
        <v>45768</v>
      </c>
      <c r="T1798" s="6" t="s">
        <v>37786</v>
      </c>
      <c r="U1798" s="6" t="s">
        <v>42039</v>
      </c>
      <c r="V1798" s="6" t="s">
        <v>37922</v>
      </c>
      <c r="W1798" s="6" t="s">
        <v>40044</v>
      </c>
      <c r="X1798" s="6" t="s">
        <v>39351</v>
      </c>
      <c r="Y1798" s="6"/>
      <c r="Z1798" s="6"/>
      <c r="AA1798" s="6"/>
      <c r="AB1798" s="6"/>
      <c r="AC1798" s="6"/>
      <c r="AD1798" s="6"/>
      <c r="AE1798" s="6"/>
      <c r="AF1798" s="6"/>
      <c r="AG1798" s="6"/>
      <c r="AH1798" s="6"/>
      <c r="AI1798" s="6"/>
      <c r="AJ1798" s="6"/>
      <c r="AK1798" s="6"/>
      <c r="AL1798" s="6"/>
      <c r="AM1798" s="6"/>
      <c r="AN1798" s="6"/>
      <c r="AO1798" s="6"/>
      <c r="AP1798" s="6"/>
      <c r="AQ1798" s="6"/>
      <c r="AR1798" s="6"/>
      <c r="AS1798" s="6"/>
      <c r="AT1798" s="6"/>
      <c r="AU1798" s="6"/>
      <c r="AV1798" s="6"/>
      <c r="AW1798" s="6"/>
      <c r="AX1798" s="6"/>
      <c r="AY1798" s="6"/>
      <c r="AZ1798" s="6"/>
      <c r="BA1798" s="6"/>
      <c r="BB1798" s="6"/>
      <c r="BC1798" s="6"/>
      <c r="BD1798" s="6"/>
      <c r="BE1798" s="6"/>
      <c r="BF1798" s="6"/>
      <c r="BG1798" s="6"/>
      <c r="BH1798" s="6"/>
      <c r="BI1798" s="6"/>
      <c r="BJ1798" s="6"/>
      <c r="BK1798" s="6"/>
      <c r="BL1798" s="6"/>
      <c r="BM1798" s="6"/>
      <c r="BN1798" s="6"/>
      <c r="BO1798" s="6"/>
      <c r="BP1798" s="6"/>
      <c r="BQ1798" s="6"/>
      <c r="BR1798" s="6"/>
      <c r="BS1798" s="6"/>
      <c r="BT1798" s="6"/>
    </row>
    <row r="1799" spans="1:72">
      <c r="A1799" s="8" t="s">
        <v>34174</v>
      </c>
      <c r="B1799" s="11" t="s">
        <v>34178</v>
      </c>
      <c r="C1799" s="9" t="s">
        <v>34175</v>
      </c>
      <c r="D1799" s="10" t="s">
        <v>138</v>
      </c>
      <c r="E1799" s="28" t="s">
        <v>34185</v>
      </c>
      <c r="F1799" s="28" t="s">
        <v>1146</v>
      </c>
      <c r="G1799" s="28" t="s">
        <v>162</v>
      </c>
      <c r="H1799" s="13">
        <v>3</v>
      </c>
      <c r="I1799" s="12" t="s">
        <v>34190</v>
      </c>
      <c r="J1799" s="12" t="s">
        <v>45769</v>
      </c>
      <c r="K1799" s="12" t="s">
        <v>38011</v>
      </c>
      <c r="L1799" s="12" t="s">
        <v>44459</v>
      </c>
      <c r="M1799" s="12"/>
      <c r="N1799" s="12"/>
      <c r="O1799" s="12"/>
      <c r="P1799" s="12"/>
      <c r="Q1799" s="12"/>
      <c r="R1799" s="12"/>
      <c r="S1799" s="12"/>
      <c r="T1799" s="12"/>
      <c r="U1799" s="12"/>
      <c r="V1799" s="12"/>
      <c r="W1799" s="12"/>
      <c r="X1799" s="12"/>
      <c r="Y1799" s="12"/>
      <c r="Z1799" s="12"/>
      <c r="AA1799" s="12"/>
      <c r="AB1799" s="12"/>
      <c r="AC1799" s="12"/>
      <c r="AD1799" s="12"/>
      <c r="AE1799" s="12"/>
      <c r="AF1799" s="12"/>
      <c r="AG1799" s="12"/>
      <c r="AH1799" s="12"/>
      <c r="AI1799" s="12"/>
      <c r="AJ1799" s="12"/>
      <c r="AK1799" s="12"/>
      <c r="AL1799" s="12"/>
      <c r="AM1799" s="12"/>
      <c r="AN1799" s="12"/>
      <c r="AO1799" s="12"/>
      <c r="AP1799" s="12"/>
      <c r="AQ1799" s="12"/>
      <c r="AR1799" s="12"/>
      <c r="AS1799" s="12"/>
      <c r="AT1799" s="12"/>
      <c r="AU1799" s="12"/>
      <c r="AV1799" s="12"/>
      <c r="AW1799" s="12"/>
      <c r="AX1799" s="12"/>
      <c r="AY1799" s="12"/>
      <c r="AZ1799" s="12"/>
      <c r="BA1799" s="12"/>
      <c r="BB1799" s="12"/>
      <c r="BC1799" s="12"/>
      <c r="BD1799" s="12"/>
      <c r="BE1799" s="12"/>
      <c r="BF1799" s="12"/>
      <c r="BG1799" s="12"/>
      <c r="BH1799" s="12"/>
      <c r="BI1799" s="12"/>
      <c r="BJ1799" s="12"/>
      <c r="BK1799" s="12"/>
      <c r="BL1799" s="12"/>
      <c r="BM1799" s="12"/>
      <c r="BN1799" s="12"/>
      <c r="BO1799" s="12"/>
      <c r="BP1799" s="12"/>
      <c r="BQ1799" s="12"/>
      <c r="BR1799" s="12"/>
      <c r="BS1799" s="12"/>
      <c r="BT1799" s="12"/>
    </row>
    <row r="1800" spans="1:72">
      <c r="A1800" s="2" t="s">
        <v>34193</v>
      </c>
      <c r="B1800" s="5" t="s">
        <v>34199</v>
      </c>
      <c r="C1800" s="3" t="s">
        <v>138</v>
      </c>
      <c r="D1800" s="4" t="s">
        <v>138</v>
      </c>
      <c r="E1800" s="15" t="s">
        <v>426</v>
      </c>
      <c r="F1800" s="15" t="s">
        <v>426</v>
      </c>
      <c r="G1800" s="15" t="s">
        <v>162</v>
      </c>
      <c r="H1800" s="7">
        <v>26</v>
      </c>
      <c r="I1800" s="6" t="s">
        <v>34208</v>
      </c>
      <c r="J1800" s="6" t="s">
        <v>37785</v>
      </c>
      <c r="K1800" s="6" t="s">
        <v>43954</v>
      </c>
      <c r="L1800" s="6" t="s">
        <v>39385</v>
      </c>
      <c r="M1800" s="6" t="s">
        <v>38354</v>
      </c>
      <c r="N1800" s="6" t="s">
        <v>38175</v>
      </c>
      <c r="O1800" s="6" t="s">
        <v>38569</v>
      </c>
      <c r="P1800" s="6" t="s">
        <v>45770</v>
      </c>
      <c r="Q1800" s="6" t="s">
        <v>42056</v>
      </c>
      <c r="R1800" s="6" t="s">
        <v>40199</v>
      </c>
      <c r="S1800" s="6" t="s">
        <v>39579</v>
      </c>
      <c r="T1800" s="6" t="s">
        <v>38178</v>
      </c>
      <c r="U1800" s="6" t="s">
        <v>39388</v>
      </c>
      <c r="V1800" s="6" t="s">
        <v>42869</v>
      </c>
      <c r="W1800" s="6" t="s">
        <v>37786</v>
      </c>
      <c r="X1800" s="6" t="s">
        <v>38017</v>
      </c>
      <c r="Y1800" s="6" t="s">
        <v>37922</v>
      </c>
      <c r="Z1800" s="6" t="s">
        <v>45771</v>
      </c>
      <c r="AA1800" s="6" t="s">
        <v>41836</v>
      </c>
      <c r="AB1800" s="6" t="s">
        <v>40910</v>
      </c>
      <c r="AC1800" s="6" t="s">
        <v>45518</v>
      </c>
      <c r="AD1800" s="6" t="s">
        <v>38532</v>
      </c>
      <c r="AE1800" s="6" t="s">
        <v>45772</v>
      </c>
      <c r="AF1800" s="6" t="s">
        <v>38184</v>
      </c>
      <c r="AG1800" s="6" t="s">
        <v>38030</v>
      </c>
      <c r="AH1800" s="6" t="s">
        <v>41240</v>
      </c>
      <c r="AI1800" s="6" t="s">
        <v>41045</v>
      </c>
      <c r="AJ1800" s="6"/>
      <c r="AK1800" s="6"/>
      <c r="AL1800" s="6"/>
      <c r="AM1800" s="6"/>
      <c r="AN1800" s="6"/>
      <c r="AO1800" s="6"/>
      <c r="AP1800" s="6"/>
      <c r="AQ1800" s="6"/>
      <c r="AR1800" s="6"/>
      <c r="AS1800" s="6"/>
      <c r="AT1800" s="6"/>
      <c r="AU1800" s="6"/>
      <c r="AV1800" s="6"/>
      <c r="AW1800" s="6"/>
      <c r="AX1800" s="6"/>
      <c r="AY1800" s="6"/>
      <c r="AZ1800" s="6"/>
      <c r="BA1800" s="6"/>
      <c r="BB1800" s="6"/>
      <c r="BC1800" s="6"/>
      <c r="BD1800" s="6"/>
      <c r="BE1800" s="6"/>
      <c r="BF1800" s="6"/>
      <c r="BG1800" s="6"/>
      <c r="BH1800" s="6"/>
      <c r="BI1800" s="6"/>
      <c r="BJ1800" s="6"/>
      <c r="BK1800" s="6"/>
      <c r="BL1800" s="6"/>
      <c r="BM1800" s="6"/>
      <c r="BN1800" s="6"/>
      <c r="BO1800" s="6"/>
      <c r="BP1800" s="6"/>
      <c r="BQ1800" s="6"/>
      <c r="BR1800" s="6"/>
      <c r="BS1800" s="6"/>
      <c r="BT1800" s="6"/>
    </row>
    <row r="1801" spans="1:72">
      <c r="A1801" s="8" t="s">
        <v>34213</v>
      </c>
      <c r="B1801" s="11" t="s">
        <v>34217</v>
      </c>
      <c r="C1801" s="9" t="s">
        <v>138</v>
      </c>
      <c r="D1801" s="10" t="s">
        <v>138</v>
      </c>
      <c r="E1801" s="28" t="s">
        <v>3841</v>
      </c>
      <c r="F1801" s="28" t="s">
        <v>200</v>
      </c>
      <c r="G1801" s="28" t="s">
        <v>162</v>
      </c>
      <c r="H1801" s="13">
        <v>17</v>
      </c>
      <c r="I1801" s="12" t="s">
        <v>34227</v>
      </c>
      <c r="J1801" s="12" t="s">
        <v>40549</v>
      </c>
      <c r="K1801" s="12" t="s">
        <v>39468</v>
      </c>
      <c r="L1801" s="12" t="s">
        <v>37936</v>
      </c>
      <c r="M1801" s="12" t="s">
        <v>38230</v>
      </c>
      <c r="N1801" s="12" t="s">
        <v>38416</v>
      </c>
      <c r="O1801" s="12" t="s">
        <v>38056</v>
      </c>
      <c r="P1801" s="12" t="s">
        <v>37821</v>
      </c>
      <c r="Q1801" s="12" t="s">
        <v>45531</v>
      </c>
      <c r="R1801" s="12" t="s">
        <v>44135</v>
      </c>
      <c r="S1801" s="12" t="s">
        <v>38700</v>
      </c>
      <c r="T1801" s="12" t="s">
        <v>37883</v>
      </c>
      <c r="U1801" s="12" t="s">
        <v>38975</v>
      </c>
      <c r="V1801" s="12" t="s">
        <v>45773</v>
      </c>
      <c r="W1801" s="12" t="s">
        <v>37805</v>
      </c>
      <c r="X1801" s="12" t="s">
        <v>40446</v>
      </c>
      <c r="Y1801" s="12" t="s">
        <v>39143</v>
      </c>
      <c r="Z1801" s="12" t="s">
        <v>38705</v>
      </c>
      <c r="AA1801" s="12"/>
      <c r="AB1801" s="12"/>
      <c r="AC1801" s="12"/>
      <c r="AD1801" s="12"/>
      <c r="AE1801" s="12"/>
      <c r="AF1801" s="12"/>
      <c r="AG1801" s="12"/>
      <c r="AH1801" s="12"/>
      <c r="AI1801" s="12"/>
      <c r="AJ1801" s="12"/>
      <c r="AK1801" s="12"/>
      <c r="AL1801" s="12"/>
      <c r="AM1801" s="12"/>
      <c r="AN1801" s="12"/>
      <c r="AO1801" s="12"/>
      <c r="AP1801" s="12"/>
      <c r="AQ1801" s="12"/>
      <c r="AR1801" s="12"/>
      <c r="AS1801" s="12"/>
      <c r="AT1801" s="12"/>
      <c r="AU1801" s="12"/>
      <c r="AV1801" s="12"/>
      <c r="AW1801" s="12"/>
      <c r="AX1801" s="12"/>
      <c r="AY1801" s="12"/>
      <c r="AZ1801" s="12"/>
      <c r="BA1801" s="12"/>
      <c r="BB1801" s="12"/>
      <c r="BC1801" s="12"/>
      <c r="BD1801" s="12"/>
      <c r="BE1801" s="12"/>
      <c r="BF1801" s="12"/>
      <c r="BG1801" s="12"/>
      <c r="BH1801" s="12"/>
      <c r="BI1801" s="12"/>
      <c r="BJ1801" s="12"/>
      <c r="BK1801" s="12"/>
      <c r="BL1801" s="12"/>
      <c r="BM1801" s="12"/>
      <c r="BN1801" s="12"/>
      <c r="BO1801" s="12"/>
      <c r="BP1801" s="12"/>
      <c r="BQ1801" s="12"/>
      <c r="BR1801" s="12"/>
      <c r="BS1801" s="12"/>
      <c r="BT1801" s="12"/>
    </row>
    <row r="1802" spans="1:72">
      <c r="A1802" s="2" t="s">
        <v>34230</v>
      </c>
      <c r="B1802" s="5" t="s">
        <v>34235</v>
      </c>
      <c r="C1802" s="3" t="s">
        <v>138</v>
      </c>
      <c r="D1802" s="4" t="s">
        <v>34231</v>
      </c>
      <c r="E1802" s="15" t="s">
        <v>668</v>
      </c>
      <c r="F1802" s="15" t="s">
        <v>200</v>
      </c>
      <c r="G1802" s="15" t="s">
        <v>162</v>
      </c>
      <c r="H1802" s="7">
        <v>6</v>
      </c>
      <c r="I1802" s="6" t="s">
        <v>34246</v>
      </c>
      <c r="J1802" s="6" t="s">
        <v>44449</v>
      </c>
      <c r="K1802" s="6" t="s">
        <v>38011</v>
      </c>
      <c r="L1802" s="6" t="s">
        <v>41328</v>
      </c>
      <c r="M1802" s="6" t="s">
        <v>45774</v>
      </c>
      <c r="N1802" s="6" t="s">
        <v>41269</v>
      </c>
      <c r="O1802" s="6" t="s">
        <v>44990</v>
      </c>
      <c r="P1802" s="6"/>
      <c r="Q1802" s="6"/>
      <c r="R1802" s="6"/>
      <c r="S1802" s="6"/>
      <c r="T1802" s="6"/>
      <c r="U1802" s="6"/>
      <c r="V1802" s="6"/>
      <c r="W1802" s="6"/>
      <c r="X1802" s="6"/>
      <c r="Y1802" s="6"/>
      <c r="Z1802" s="6"/>
      <c r="AA1802" s="6"/>
      <c r="AB1802" s="6"/>
      <c r="AC1802" s="6"/>
      <c r="AD1802" s="6"/>
      <c r="AE1802" s="6"/>
      <c r="AF1802" s="6"/>
      <c r="AG1802" s="6"/>
      <c r="AH1802" s="6"/>
      <c r="AI1802" s="6"/>
      <c r="AJ1802" s="6"/>
      <c r="AK1802" s="6"/>
      <c r="AL1802" s="6"/>
      <c r="AM1802" s="6"/>
      <c r="AN1802" s="6"/>
      <c r="AO1802" s="6"/>
      <c r="AP1802" s="6"/>
      <c r="AQ1802" s="6"/>
      <c r="AR1802" s="6"/>
      <c r="AS1802" s="6"/>
      <c r="AT1802" s="6"/>
      <c r="AU1802" s="6"/>
      <c r="AV1802" s="6"/>
      <c r="AW1802" s="6"/>
      <c r="AX1802" s="6"/>
      <c r="AY1802" s="6"/>
      <c r="AZ1802" s="6"/>
      <c r="BA1802" s="6"/>
      <c r="BB1802" s="6"/>
      <c r="BC1802" s="6"/>
      <c r="BD1802" s="6"/>
      <c r="BE1802" s="6"/>
      <c r="BF1802" s="6"/>
      <c r="BG1802" s="6"/>
      <c r="BH1802" s="6"/>
      <c r="BI1802" s="6"/>
      <c r="BJ1802" s="6"/>
      <c r="BK1802" s="6"/>
      <c r="BL1802" s="6"/>
      <c r="BM1802" s="6"/>
      <c r="BN1802" s="6"/>
      <c r="BO1802" s="6"/>
      <c r="BP1802" s="6"/>
      <c r="BQ1802" s="6"/>
      <c r="BR1802" s="6"/>
      <c r="BS1802" s="6"/>
      <c r="BT1802" s="6"/>
    </row>
    <row r="1803" spans="1:72">
      <c r="A1803" s="8" t="s">
        <v>34252</v>
      </c>
      <c r="B1803" s="11" t="s">
        <v>34256</v>
      </c>
      <c r="C1803" s="9" t="s">
        <v>138</v>
      </c>
      <c r="D1803" s="10" t="s">
        <v>138</v>
      </c>
      <c r="E1803" s="28" t="s">
        <v>310</v>
      </c>
      <c r="F1803" s="28" t="s">
        <v>200</v>
      </c>
      <c r="G1803" s="28" t="s">
        <v>162</v>
      </c>
      <c r="H1803" s="13">
        <v>17</v>
      </c>
      <c r="I1803" s="12" t="s">
        <v>34264</v>
      </c>
      <c r="J1803" s="12" t="s">
        <v>38353</v>
      </c>
      <c r="K1803" s="12" t="s">
        <v>38175</v>
      </c>
      <c r="L1803" s="12" t="s">
        <v>40413</v>
      </c>
      <c r="M1803" s="12" t="s">
        <v>37819</v>
      </c>
      <c r="N1803" s="12" t="s">
        <v>38636</v>
      </c>
      <c r="O1803" s="12" t="s">
        <v>38393</v>
      </c>
      <c r="P1803" s="12" t="s">
        <v>38511</v>
      </c>
      <c r="Q1803" s="12" t="s">
        <v>38637</v>
      </c>
      <c r="R1803" s="12" t="s">
        <v>44438</v>
      </c>
      <c r="S1803" s="12" t="s">
        <v>40231</v>
      </c>
      <c r="T1803" s="12" t="s">
        <v>38979</v>
      </c>
      <c r="U1803" s="12" t="s">
        <v>38980</v>
      </c>
      <c r="V1803" s="12" t="s">
        <v>37890</v>
      </c>
      <c r="W1803" s="12" t="s">
        <v>38200</v>
      </c>
      <c r="X1803" s="12" t="s">
        <v>45775</v>
      </c>
      <c r="Y1803" s="12" t="s">
        <v>39765</v>
      </c>
      <c r="Z1803" s="12" t="s">
        <v>45776</v>
      </c>
      <c r="AA1803" s="12"/>
      <c r="AB1803" s="12"/>
      <c r="AC1803" s="12"/>
      <c r="AD1803" s="12"/>
      <c r="AE1803" s="12"/>
      <c r="AF1803" s="12"/>
      <c r="AG1803" s="12"/>
      <c r="AH1803" s="12"/>
      <c r="AI1803" s="12"/>
      <c r="AJ1803" s="12"/>
      <c r="AK1803" s="12"/>
      <c r="AL1803" s="12"/>
      <c r="AM1803" s="12"/>
      <c r="AN1803" s="12"/>
      <c r="AO1803" s="12"/>
      <c r="AP1803" s="12"/>
      <c r="AQ1803" s="12"/>
      <c r="AR1803" s="12"/>
      <c r="AS1803" s="12"/>
      <c r="AT1803" s="12"/>
      <c r="AU1803" s="12"/>
      <c r="AV1803" s="12"/>
      <c r="AW1803" s="12"/>
      <c r="AX1803" s="12"/>
      <c r="AY1803" s="12"/>
      <c r="AZ1803" s="12"/>
      <c r="BA1803" s="12"/>
      <c r="BB1803" s="12"/>
      <c r="BC1803" s="12"/>
      <c r="BD1803" s="12"/>
      <c r="BE1803" s="12"/>
      <c r="BF1803" s="12"/>
      <c r="BG1803" s="12"/>
      <c r="BH1803" s="12"/>
      <c r="BI1803" s="12"/>
      <c r="BJ1803" s="12"/>
      <c r="BK1803" s="12"/>
      <c r="BL1803" s="12"/>
      <c r="BM1803" s="12"/>
      <c r="BN1803" s="12"/>
      <c r="BO1803" s="12"/>
      <c r="BP1803" s="12"/>
      <c r="BQ1803" s="12"/>
      <c r="BR1803" s="12"/>
      <c r="BS1803" s="12"/>
      <c r="BT1803" s="12"/>
    </row>
    <row r="1804" spans="1:72">
      <c r="A1804" s="2" t="s">
        <v>34267</v>
      </c>
      <c r="B1804" s="5" t="s">
        <v>34270</v>
      </c>
      <c r="C1804" s="3" t="s">
        <v>138</v>
      </c>
      <c r="D1804" s="4" t="s">
        <v>11658</v>
      </c>
      <c r="E1804" s="15" t="s">
        <v>34277</v>
      </c>
      <c r="F1804" s="15" t="s">
        <v>284</v>
      </c>
      <c r="G1804" s="15" t="s">
        <v>162</v>
      </c>
      <c r="H1804" s="7">
        <v>3</v>
      </c>
      <c r="I1804" s="6" t="s">
        <v>34281</v>
      </c>
      <c r="J1804" s="6" t="s">
        <v>45777</v>
      </c>
      <c r="K1804" s="6" t="s">
        <v>45778</v>
      </c>
      <c r="L1804" s="6" t="s">
        <v>41217</v>
      </c>
      <c r="M1804" s="6"/>
      <c r="N1804" s="6"/>
      <c r="O1804" s="6"/>
      <c r="P1804" s="6"/>
      <c r="Q1804" s="6"/>
      <c r="R1804" s="6"/>
      <c r="S1804" s="6"/>
      <c r="T1804" s="6"/>
      <c r="U1804" s="6"/>
      <c r="V1804" s="6"/>
      <c r="W1804" s="6"/>
      <c r="X1804" s="6"/>
      <c r="Y1804" s="6"/>
      <c r="Z1804" s="6"/>
      <c r="AA1804" s="6"/>
      <c r="AB1804" s="6"/>
      <c r="AC1804" s="6"/>
      <c r="AD1804" s="6"/>
      <c r="AE1804" s="6"/>
      <c r="AF1804" s="6"/>
      <c r="AG1804" s="6"/>
      <c r="AH1804" s="6"/>
      <c r="AI1804" s="6"/>
      <c r="AJ1804" s="6"/>
      <c r="AK1804" s="6"/>
      <c r="AL1804" s="6"/>
      <c r="AM1804" s="6"/>
      <c r="AN1804" s="6"/>
      <c r="AO1804" s="6"/>
      <c r="AP1804" s="6"/>
      <c r="AQ1804" s="6"/>
      <c r="AR1804" s="6"/>
      <c r="AS1804" s="6"/>
      <c r="AT1804" s="6"/>
      <c r="AU1804" s="6"/>
      <c r="AV1804" s="6"/>
      <c r="AW1804" s="6"/>
      <c r="AX1804" s="6"/>
      <c r="AY1804" s="6"/>
      <c r="AZ1804" s="6"/>
      <c r="BA1804" s="6"/>
      <c r="BB1804" s="6"/>
      <c r="BC1804" s="6"/>
      <c r="BD1804" s="6"/>
      <c r="BE1804" s="6"/>
      <c r="BF1804" s="6"/>
      <c r="BG1804" s="6"/>
      <c r="BH1804" s="6"/>
      <c r="BI1804" s="6"/>
      <c r="BJ1804" s="6"/>
      <c r="BK1804" s="6"/>
      <c r="BL1804" s="6"/>
      <c r="BM1804" s="6"/>
      <c r="BN1804" s="6"/>
      <c r="BO1804" s="6"/>
      <c r="BP1804" s="6"/>
      <c r="BQ1804" s="6"/>
      <c r="BR1804" s="6"/>
      <c r="BS1804" s="6"/>
      <c r="BT1804" s="6"/>
    </row>
    <row r="1805" spans="1:72">
      <c r="A1805" s="8" t="s">
        <v>34284</v>
      </c>
      <c r="B1805" s="11" t="s">
        <v>34289</v>
      </c>
      <c r="C1805" s="9" t="s">
        <v>34285</v>
      </c>
      <c r="D1805" s="10" t="s">
        <v>138</v>
      </c>
      <c r="E1805" s="28" t="s">
        <v>1516</v>
      </c>
      <c r="F1805" s="28" t="s">
        <v>284</v>
      </c>
      <c r="G1805" s="28" t="s">
        <v>162</v>
      </c>
      <c r="H1805" s="13">
        <v>11</v>
      </c>
      <c r="I1805" s="12" t="s">
        <v>34297</v>
      </c>
      <c r="J1805" s="12" t="s">
        <v>39846</v>
      </c>
      <c r="K1805" s="12" t="s">
        <v>38076</v>
      </c>
      <c r="L1805" s="12" t="s">
        <v>39475</v>
      </c>
      <c r="M1805" s="12" t="s">
        <v>37851</v>
      </c>
      <c r="N1805" s="12" t="s">
        <v>45779</v>
      </c>
      <c r="O1805" s="12" t="s">
        <v>39458</v>
      </c>
      <c r="P1805" s="12" t="s">
        <v>45780</v>
      </c>
      <c r="Q1805" s="12" t="s">
        <v>45781</v>
      </c>
      <c r="R1805" s="12" t="s">
        <v>40852</v>
      </c>
      <c r="S1805" s="12" t="s">
        <v>45782</v>
      </c>
      <c r="T1805" s="12" t="s">
        <v>38626</v>
      </c>
      <c r="U1805" s="12"/>
      <c r="V1805" s="12"/>
      <c r="W1805" s="12"/>
      <c r="X1805" s="12"/>
      <c r="Y1805" s="12"/>
      <c r="Z1805" s="12"/>
      <c r="AA1805" s="12"/>
      <c r="AB1805" s="12"/>
      <c r="AC1805" s="12"/>
      <c r="AD1805" s="12"/>
      <c r="AE1805" s="12"/>
      <c r="AF1805" s="12"/>
      <c r="AG1805" s="12"/>
      <c r="AH1805" s="12"/>
      <c r="AI1805" s="12"/>
      <c r="AJ1805" s="12"/>
      <c r="AK1805" s="12"/>
      <c r="AL1805" s="12"/>
      <c r="AM1805" s="12"/>
      <c r="AN1805" s="12"/>
      <c r="AO1805" s="12"/>
      <c r="AP1805" s="12"/>
      <c r="AQ1805" s="12"/>
      <c r="AR1805" s="12"/>
      <c r="AS1805" s="12"/>
      <c r="AT1805" s="12"/>
      <c r="AU1805" s="12"/>
      <c r="AV1805" s="12"/>
      <c r="AW1805" s="12"/>
      <c r="AX1805" s="12"/>
      <c r="AY1805" s="12"/>
      <c r="AZ1805" s="12"/>
      <c r="BA1805" s="12"/>
      <c r="BB1805" s="12"/>
      <c r="BC1805" s="12"/>
      <c r="BD1805" s="12"/>
      <c r="BE1805" s="12"/>
      <c r="BF1805" s="12"/>
      <c r="BG1805" s="12"/>
      <c r="BH1805" s="12"/>
      <c r="BI1805" s="12"/>
      <c r="BJ1805" s="12"/>
      <c r="BK1805" s="12"/>
      <c r="BL1805" s="12"/>
      <c r="BM1805" s="12"/>
      <c r="BN1805" s="12"/>
      <c r="BO1805" s="12"/>
      <c r="BP1805" s="12"/>
      <c r="BQ1805" s="12"/>
      <c r="BR1805" s="12"/>
      <c r="BS1805" s="12"/>
      <c r="BT1805" s="12"/>
    </row>
    <row r="1806" spans="1:72">
      <c r="A1806" s="2" t="s">
        <v>34301</v>
      </c>
      <c r="B1806" s="5" t="s">
        <v>34304</v>
      </c>
      <c r="C1806" s="3" t="s">
        <v>138</v>
      </c>
      <c r="D1806" s="4" t="s">
        <v>138</v>
      </c>
      <c r="E1806" s="15" t="s">
        <v>426</v>
      </c>
      <c r="F1806" s="15" t="s">
        <v>426</v>
      </c>
      <c r="G1806" s="15" t="s">
        <v>162</v>
      </c>
      <c r="H1806" s="7">
        <v>2</v>
      </c>
      <c r="I1806" s="6" t="s">
        <v>34314</v>
      </c>
      <c r="J1806" s="6" t="s">
        <v>1012</v>
      </c>
      <c r="K1806" s="6" t="s">
        <v>37786</v>
      </c>
      <c r="L1806" s="6"/>
      <c r="M1806" s="6"/>
      <c r="N1806" s="6"/>
      <c r="O1806" s="6"/>
      <c r="P1806" s="6"/>
      <c r="Q1806" s="6"/>
      <c r="R1806" s="6"/>
      <c r="S1806" s="6"/>
      <c r="T1806" s="6"/>
      <c r="U1806" s="6"/>
      <c r="V1806" s="6"/>
      <c r="W1806" s="6"/>
      <c r="X1806" s="6"/>
      <c r="Y1806" s="6"/>
      <c r="Z1806" s="6"/>
      <c r="AA1806" s="6"/>
      <c r="AB1806" s="6"/>
      <c r="AC1806" s="6"/>
      <c r="AD1806" s="6"/>
      <c r="AE1806" s="6"/>
      <c r="AF1806" s="6"/>
      <c r="AG1806" s="6"/>
      <c r="AH1806" s="6"/>
      <c r="AI1806" s="6"/>
      <c r="AJ1806" s="6"/>
      <c r="AK1806" s="6"/>
      <c r="AL1806" s="6"/>
      <c r="AM1806" s="6"/>
      <c r="AN1806" s="6"/>
      <c r="AO1806" s="6"/>
      <c r="AP1806" s="6"/>
      <c r="AQ1806" s="6"/>
      <c r="AR1806" s="6"/>
      <c r="AS1806" s="6"/>
      <c r="AT1806" s="6"/>
      <c r="AU1806" s="6"/>
      <c r="AV1806" s="6"/>
      <c r="AW1806" s="6"/>
      <c r="AX1806" s="6"/>
      <c r="AY1806" s="6"/>
      <c r="AZ1806" s="6"/>
      <c r="BA1806" s="6"/>
      <c r="BB1806" s="6"/>
      <c r="BC1806" s="6"/>
      <c r="BD1806" s="6"/>
      <c r="BE1806" s="6"/>
      <c r="BF1806" s="6"/>
      <c r="BG1806" s="6"/>
      <c r="BH1806" s="6"/>
      <c r="BI1806" s="6"/>
      <c r="BJ1806" s="6"/>
      <c r="BK1806" s="6"/>
      <c r="BL1806" s="6"/>
      <c r="BM1806" s="6"/>
      <c r="BN1806" s="6"/>
      <c r="BO1806" s="6"/>
      <c r="BP1806" s="6"/>
      <c r="BQ1806" s="6"/>
      <c r="BR1806" s="6"/>
      <c r="BS1806" s="6"/>
      <c r="BT1806" s="6"/>
    </row>
    <row r="1807" spans="1:72">
      <c r="A1807" s="8" t="s">
        <v>34317</v>
      </c>
      <c r="B1807" s="11" t="s">
        <v>34322</v>
      </c>
      <c r="C1807" s="9" t="s">
        <v>138</v>
      </c>
      <c r="D1807" s="10" t="s">
        <v>34318</v>
      </c>
      <c r="E1807" s="28" t="s">
        <v>34329</v>
      </c>
      <c r="F1807" s="28" t="s">
        <v>426</v>
      </c>
      <c r="G1807" s="28" t="s">
        <v>162</v>
      </c>
      <c r="H1807" s="13">
        <v>1</v>
      </c>
      <c r="I1807" s="12" t="s">
        <v>2783</v>
      </c>
      <c r="J1807" s="12" t="s">
        <v>2783</v>
      </c>
      <c r="K1807" s="12"/>
      <c r="L1807" s="12"/>
      <c r="M1807" s="12"/>
      <c r="N1807" s="12"/>
      <c r="O1807" s="12"/>
      <c r="P1807" s="12"/>
      <c r="Q1807" s="12"/>
      <c r="R1807" s="12"/>
      <c r="S1807" s="12"/>
      <c r="T1807" s="12"/>
      <c r="U1807" s="12"/>
      <c r="V1807" s="12"/>
      <c r="W1807" s="12"/>
      <c r="X1807" s="12"/>
      <c r="Y1807" s="12"/>
      <c r="Z1807" s="12"/>
      <c r="AA1807" s="12"/>
      <c r="AB1807" s="12"/>
      <c r="AC1807" s="12"/>
      <c r="AD1807" s="12"/>
      <c r="AE1807" s="12"/>
      <c r="AF1807" s="12"/>
      <c r="AG1807" s="12"/>
      <c r="AH1807" s="12"/>
      <c r="AI1807" s="12"/>
      <c r="AJ1807" s="12"/>
      <c r="AK1807" s="12"/>
      <c r="AL1807" s="12"/>
      <c r="AM1807" s="12"/>
      <c r="AN1807" s="12"/>
      <c r="AO1807" s="12"/>
      <c r="AP1807" s="12"/>
      <c r="AQ1807" s="12"/>
      <c r="AR1807" s="12"/>
      <c r="AS1807" s="12"/>
      <c r="AT1807" s="12"/>
      <c r="AU1807" s="12"/>
      <c r="AV1807" s="12"/>
      <c r="AW1807" s="12"/>
      <c r="AX1807" s="12"/>
      <c r="AY1807" s="12"/>
      <c r="AZ1807" s="12"/>
      <c r="BA1807" s="12"/>
      <c r="BB1807" s="12"/>
      <c r="BC1807" s="12"/>
      <c r="BD1807" s="12"/>
      <c r="BE1807" s="12"/>
      <c r="BF1807" s="12"/>
      <c r="BG1807" s="12"/>
      <c r="BH1807" s="12"/>
      <c r="BI1807" s="12"/>
      <c r="BJ1807" s="12"/>
      <c r="BK1807" s="12"/>
      <c r="BL1807" s="12"/>
      <c r="BM1807" s="12"/>
      <c r="BN1807" s="12"/>
      <c r="BO1807" s="12"/>
      <c r="BP1807" s="12"/>
      <c r="BQ1807" s="12"/>
      <c r="BR1807" s="12"/>
      <c r="BS1807" s="12"/>
      <c r="BT1807" s="12"/>
    </row>
    <row r="1808" spans="1:72">
      <c r="A1808" s="2" t="s">
        <v>34333</v>
      </c>
      <c r="B1808" s="5" t="s">
        <v>34339</v>
      </c>
      <c r="C1808" s="3" t="s">
        <v>34334</v>
      </c>
      <c r="D1808" s="4" t="s">
        <v>138</v>
      </c>
      <c r="E1808" s="15" t="s">
        <v>668</v>
      </c>
      <c r="F1808" s="15" t="s">
        <v>200</v>
      </c>
      <c r="G1808" s="15" t="s">
        <v>162</v>
      </c>
      <c r="H1808" s="7">
        <v>14</v>
      </c>
      <c r="I1808" s="6" t="s">
        <v>34345</v>
      </c>
      <c r="J1808" s="6" t="s">
        <v>45783</v>
      </c>
      <c r="K1808" s="6" t="s">
        <v>37819</v>
      </c>
      <c r="L1808" s="6" t="s">
        <v>40452</v>
      </c>
      <c r="M1808" s="6" t="s">
        <v>39170</v>
      </c>
      <c r="N1808" s="6" t="s">
        <v>37800</v>
      </c>
      <c r="O1808" s="6" t="s">
        <v>37960</v>
      </c>
      <c r="P1808" s="6" t="s">
        <v>44914</v>
      </c>
      <c r="Q1808" s="6" t="s">
        <v>45784</v>
      </c>
      <c r="R1808" s="6" t="s">
        <v>37966</v>
      </c>
      <c r="S1808" s="6" t="s">
        <v>45785</v>
      </c>
      <c r="T1808" s="6" t="s">
        <v>37998</v>
      </c>
      <c r="U1808" s="6" t="s">
        <v>37971</v>
      </c>
      <c r="V1808" s="6" t="s">
        <v>39351</v>
      </c>
      <c r="W1808" s="6" t="s">
        <v>41270</v>
      </c>
      <c r="X1808" s="6"/>
      <c r="Y1808" s="6"/>
      <c r="Z1808" s="6"/>
      <c r="AA1808" s="6"/>
      <c r="AB1808" s="6"/>
      <c r="AC1808" s="6"/>
      <c r="AD1808" s="6"/>
      <c r="AE1808" s="6"/>
      <c r="AF1808" s="6"/>
      <c r="AG1808" s="6"/>
      <c r="AH1808" s="6"/>
      <c r="AI1808" s="6"/>
      <c r="AJ1808" s="6"/>
      <c r="AK1808" s="6"/>
      <c r="AL1808" s="6"/>
      <c r="AM1808" s="6"/>
      <c r="AN1808" s="6"/>
      <c r="AO1808" s="6"/>
      <c r="AP1808" s="6"/>
      <c r="AQ1808" s="6"/>
      <c r="AR1808" s="6"/>
      <c r="AS1808" s="6"/>
      <c r="AT1808" s="6"/>
      <c r="AU1808" s="6"/>
      <c r="AV1808" s="6"/>
      <c r="AW1808" s="6"/>
      <c r="AX1808" s="6"/>
      <c r="AY1808" s="6"/>
      <c r="AZ1808" s="6"/>
      <c r="BA1808" s="6"/>
      <c r="BB1808" s="6"/>
      <c r="BC1808" s="6"/>
      <c r="BD1808" s="6"/>
      <c r="BE1808" s="6"/>
      <c r="BF1808" s="6"/>
      <c r="BG1808" s="6"/>
      <c r="BH1808" s="6"/>
      <c r="BI1808" s="6"/>
      <c r="BJ1808" s="6"/>
      <c r="BK1808" s="6"/>
      <c r="BL1808" s="6"/>
      <c r="BM1808" s="6"/>
      <c r="BN1808" s="6"/>
      <c r="BO1808" s="6"/>
      <c r="BP1808" s="6"/>
      <c r="BQ1808" s="6"/>
      <c r="BR1808" s="6"/>
      <c r="BS1808" s="6"/>
      <c r="BT1808" s="6"/>
    </row>
    <row r="1809" spans="1:72">
      <c r="A1809" s="8" t="s">
        <v>34348</v>
      </c>
      <c r="B1809" s="11" t="s">
        <v>34353</v>
      </c>
      <c r="C1809" s="9" t="s">
        <v>138</v>
      </c>
      <c r="D1809" s="10" t="s">
        <v>34349</v>
      </c>
      <c r="E1809" s="28" t="s">
        <v>4604</v>
      </c>
      <c r="F1809" s="28" t="s">
        <v>138</v>
      </c>
      <c r="G1809" s="28" t="s">
        <v>2071</v>
      </c>
      <c r="H1809" s="13">
        <v>1</v>
      </c>
      <c r="I1809" s="12" t="s">
        <v>2075</v>
      </c>
      <c r="J1809" s="12" t="s">
        <v>2075</v>
      </c>
      <c r="K1809" s="12"/>
      <c r="L1809" s="12"/>
      <c r="M1809" s="12"/>
      <c r="N1809" s="12"/>
      <c r="O1809" s="12"/>
      <c r="P1809" s="12"/>
      <c r="Q1809" s="12"/>
      <c r="R1809" s="12"/>
      <c r="S1809" s="12"/>
      <c r="T1809" s="12"/>
      <c r="U1809" s="12"/>
      <c r="V1809" s="12"/>
      <c r="W1809" s="12"/>
      <c r="X1809" s="12"/>
      <c r="Y1809" s="12"/>
      <c r="Z1809" s="12"/>
      <c r="AA1809" s="12"/>
      <c r="AB1809" s="12"/>
      <c r="AC1809" s="12"/>
      <c r="AD1809" s="12"/>
      <c r="AE1809" s="12"/>
      <c r="AF1809" s="12"/>
      <c r="AG1809" s="12"/>
      <c r="AH1809" s="12"/>
      <c r="AI1809" s="12"/>
      <c r="AJ1809" s="12"/>
      <c r="AK1809" s="12"/>
      <c r="AL1809" s="12"/>
      <c r="AM1809" s="12"/>
      <c r="AN1809" s="12"/>
      <c r="AO1809" s="12"/>
      <c r="AP1809" s="12"/>
      <c r="AQ1809" s="12"/>
      <c r="AR1809" s="12"/>
      <c r="AS1809" s="12"/>
      <c r="AT1809" s="12"/>
      <c r="AU1809" s="12"/>
      <c r="AV1809" s="12"/>
      <c r="AW1809" s="12"/>
      <c r="AX1809" s="12"/>
      <c r="AY1809" s="12"/>
      <c r="AZ1809" s="12"/>
      <c r="BA1809" s="12"/>
      <c r="BB1809" s="12"/>
      <c r="BC1809" s="12"/>
      <c r="BD1809" s="12"/>
      <c r="BE1809" s="12"/>
      <c r="BF1809" s="12"/>
      <c r="BG1809" s="12"/>
      <c r="BH1809" s="12"/>
      <c r="BI1809" s="12"/>
      <c r="BJ1809" s="12"/>
      <c r="BK1809" s="12"/>
      <c r="BL1809" s="12"/>
      <c r="BM1809" s="12"/>
      <c r="BN1809" s="12"/>
      <c r="BO1809" s="12"/>
      <c r="BP1809" s="12"/>
      <c r="BQ1809" s="12"/>
      <c r="BR1809" s="12"/>
      <c r="BS1809" s="12"/>
      <c r="BT1809" s="12"/>
    </row>
    <row r="1810" spans="1:72">
      <c r="A1810" s="2" t="s">
        <v>34366</v>
      </c>
      <c r="B1810" s="5" t="s">
        <v>34371</v>
      </c>
      <c r="C1810" s="3" t="s">
        <v>138</v>
      </c>
      <c r="D1810" s="4" t="s">
        <v>34367</v>
      </c>
      <c r="E1810" s="15" t="s">
        <v>1246</v>
      </c>
      <c r="F1810" s="15" t="s">
        <v>200</v>
      </c>
      <c r="G1810" s="15" t="s">
        <v>162</v>
      </c>
      <c r="H1810" s="7">
        <v>13</v>
      </c>
      <c r="I1810" s="6" t="s">
        <v>34383</v>
      </c>
      <c r="J1810" s="6" t="s">
        <v>37811</v>
      </c>
      <c r="K1810" s="6" t="s">
        <v>45077</v>
      </c>
      <c r="L1810" s="6" t="s">
        <v>45079</v>
      </c>
      <c r="M1810" s="6" t="s">
        <v>42825</v>
      </c>
      <c r="N1810" s="6" t="s">
        <v>45786</v>
      </c>
      <c r="O1810" s="6" t="s">
        <v>45787</v>
      </c>
      <c r="P1810" s="6" t="s">
        <v>37786</v>
      </c>
      <c r="Q1810" s="6" t="s">
        <v>38917</v>
      </c>
      <c r="R1810" s="6" t="s">
        <v>40738</v>
      </c>
      <c r="S1810" s="6" t="s">
        <v>39028</v>
      </c>
      <c r="T1810" s="6" t="s">
        <v>40471</v>
      </c>
      <c r="U1810" s="6" t="s">
        <v>38321</v>
      </c>
      <c r="V1810" s="6" t="s">
        <v>44602</v>
      </c>
      <c r="W1810" s="6"/>
      <c r="X1810" s="6"/>
      <c r="Y1810" s="6"/>
      <c r="Z1810" s="6"/>
      <c r="AA1810" s="6"/>
      <c r="AB1810" s="6"/>
      <c r="AC1810" s="6"/>
      <c r="AD1810" s="6"/>
      <c r="AE1810" s="6"/>
      <c r="AF1810" s="6"/>
      <c r="AG1810" s="6"/>
      <c r="AH1810" s="6"/>
      <c r="AI1810" s="6"/>
      <c r="AJ1810" s="6"/>
      <c r="AK1810" s="6"/>
      <c r="AL1810" s="6"/>
      <c r="AM1810" s="6"/>
      <c r="AN1810" s="6"/>
      <c r="AO1810" s="6"/>
      <c r="AP1810" s="6"/>
      <c r="AQ1810" s="6"/>
      <c r="AR1810" s="6"/>
      <c r="AS1810" s="6"/>
      <c r="AT1810" s="6"/>
      <c r="AU1810" s="6"/>
      <c r="AV1810" s="6"/>
      <c r="AW1810" s="6"/>
      <c r="AX1810" s="6"/>
      <c r="AY1810" s="6"/>
      <c r="AZ1810" s="6"/>
      <c r="BA1810" s="6"/>
      <c r="BB1810" s="6"/>
      <c r="BC1810" s="6"/>
      <c r="BD1810" s="6"/>
      <c r="BE1810" s="6"/>
      <c r="BF1810" s="6"/>
      <c r="BG1810" s="6"/>
      <c r="BH1810" s="6"/>
      <c r="BI1810" s="6"/>
      <c r="BJ1810" s="6"/>
      <c r="BK1810" s="6"/>
      <c r="BL1810" s="6"/>
      <c r="BM1810" s="6"/>
      <c r="BN1810" s="6"/>
      <c r="BO1810" s="6"/>
      <c r="BP1810" s="6"/>
      <c r="BQ1810" s="6"/>
      <c r="BR1810" s="6"/>
      <c r="BS1810" s="6"/>
      <c r="BT1810" s="6"/>
    </row>
    <row r="1811" spans="1:72">
      <c r="A1811" s="8" t="s">
        <v>34389</v>
      </c>
      <c r="B1811" s="11" t="s">
        <v>34396</v>
      </c>
      <c r="C1811" s="9" t="s">
        <v>138</v>
      </c>
      <c r="D1811" s="10" t="s">
        <v>34390</v>
      </c>
      <c r="E1811" s="28" t="s">
        <v>3841</v>
      </c>
      <c r="F1811" s="28" t="s">
        <v>200</v>
      </c>
      <c r="G1811" s="28" t="s">
        <v>162</v>
      </c>
      <c r="H1811" s="13">
        <v>18</v>
      </c>
      <c r="I1811" s="12" t="s">
        <v>34407</v>
      </c>
      <c r="J1811" s="12" t="s">
        <v>45788</v>
      </c>
      <c r="K1811" s="12" t="s">
        <v>45789</v>
      </c>
      <c r="L1811" s="12" t="s">
        <v>45790</v>
      </c>
      <c r="M1811" s="12" t="s">
        <v>45791</v>
      </c>
      <c r="N1811" s="12" t="s">
        <v>38297</v>
      </c>
      <c r="O1811" s="12" t="s">
        <v>38299</v>
      </c>
      <c r="P1811" s="12" t="s">
        <v>38331</v>
      </c>
      <c r="Q1811" s="12" t="s">
        <v>45792</v>
      </c>
      <c r="R1811" s="12" t="s">
        <v>37856</v>
      </c>
      <c r="S1811" s="12" t="s">
        <v>38667</v>
      </c>
      <c r="T1811" s="12" t="s">
        <v>39325</v>
      </c>
      <c r="U1811" s="12" t="s">
        <v>39259</v>
      </c>
      <c r="V1811" s="12" t="s">
        <v>45793</v>
      </c>
      <c r="W1811" s="12" t="s">
        <v>45794</v>
      </c>
      <c r="X1811" s="12" t="s">
        <v>40921</v>
      </c>
      <c r="Y1811" s="12" t="s">
        <v>38185</v>
      </c>
      <c r="Z1811" s="12" t="s">
        <v>45795</v>
      </c>
      <c r="AA1811" s="12" t="s">
        <v>40957</v>
      </c>
      <c r="AB1811" s="12"/>
      <c r="AC1811" s="12"/>
      <c r="AD1811" s="12"/>
      <c r="AE1811" s="12"/>
      <c r="AF1811" s="12"/>
      <c r="AG1811" s="12"/>
      <c r="AH1811" s="12"/>
      <c r="AI1811" s="12"/>
      <c r="AJ1811" s="12"/>
      <c r="AK1811" s="12"/>
      <c r="AL1811" s="12"/>
      <c r="AM1811" s="12"/>
      <c r="AN1811" s="12"/>
      <c r="AO1811" s="12"/>
      <c r="AP1811" s="12"/>
      <c r="AQ1811" s="12"/>
      <c r="AR1811" s="12"/>
      <c r="AS1811" s="12"/>
      <c r="AT1811" s="12"/>
      <c r="AU1811" s="12"/>
      <c r="AV1811" s="12"/>
      <c r="AW1811" s="12"/>
      <c r="AX1811" s="12"/>
      <c r="AY1811" s="12"/>
      <c r="AZ1811" s="12"/>
      <c r="BA1811" s="12"/>
      <c r="BB1811" s="12"/>
      <c r="BC1811" s="12"/>
      <c r="BD1811" s="12"/>
      <c r="BE1811" s="12"/>
      <c r="BF1811" s="12"/>
      <c r="BG1811" s="12"/>
      <c r="BH1811" s="12"/>
      <c r="BI1811" s="12"/>
      <c r="BJ1811" s="12"/>
      <c r="BK1811" s="12"/>
      <c r="BL1811" s="12"/>
      <c r="BM1811" s="12"/>
      <c r="BN1811" s="12"/>
      <c r="BO1811" s="12"/>
      <c r="BP1811" s="12"/>
      <c r="BQ1811" s="12"/>
      <c r="BR1811" s="12"/>
      <c r="BS1811" s="12"/>
      <c r="BT1811" s="12"/>
    </row>
    <row r="1812" spans="1:72">
      <c r="A1812" s="2" t="s">
        <v>34412</v>
      </c>
      <c r="B1812" s="5" t="s">
        <v>34415</v>
      </c>
      <c r="C1812" s="3" t="s">
        <v>138</v>
      </c>
      <c r="D1812" s="4" t="s">
        <v>138</v>
      </c>
      <c r="E1812" s="15" t="s">
        <v>34424</v>
      </c>
      <c r="F1812" s="15" t="s">
        <v>864</v>
      </c>
      <c r="G1812" s="15" t="s">
        <v>162</v>
      </c>
      <c r="H1812" s="7">
        <v>7</v>
      </c>
      <c r="I1812" s="6" t="s">
        <v>34429</v>
      </c>
      <c r="J1812" s="6" t="s">
        <v>45796</v>
      </c>
      <c r="K1812" s="6" t="s">
        <v>45797</v>
      </c>
      <c r="L1812" s="6" t="s">
        <v>39986</v>
      </c>
      <c r="M1812" s="6" t="s">
        <v>37786</v>
      </c>
      <c r="N1812" s="6" t="s">
        <v>40755</v>
      </c>
      <c r="O1812" s="6" t="s">
        <v>38321</v>
      </c>
      <c r="P1812" s="6" t="s">
        <v>40134</v>
      </c>
      <c r="Q1812" s="6"/>
      <c r="R1812" s="6"/>
      <c r="S1812" s="6"/>
      <c r="T1812" s="6"/>
      <c r="U1812" s="6"/>
      <c r="V1812" s="6"/>
      <c r="W1812" s="6"/>
      <c r="X1812" s="6"/>
      <c r="Y1812" s="6"/>
      <c r="Z1812" s="6"/>
      <c r="AA1812" s="6"/>
      <c r="AB1812" s="6"/>
      <c r="AC1812" s="6"/>
      <c r="AD1812" s="6"/>
      <c r="AE1812" s="6"/>
      <c r="AF1812" s="6"/>
      <c r="AG1812" s="6"/>
      <c r="AH1812" s="6"/>
      <c r="AI1812" s="6"/>
      <c r="AJ1812" s="6"/>
      <c r="AK1812" s="6"/>
      <c r="AL1812" s="6"/>
      <c r="AM1812" s="6"/>
      <c r="AN1812" s="6"/>
      <c r="AO1812" s="6"/>
      <c r="AP1812" s="6"/>
      <c r="AQ1812" s="6"/>
      <c r="AR1812" s="6"/>
      <c r="AS1812" s="6"/>
      <c r="AT1812" s="6"/>
      <c r="AU1812" s="6"/>
      <c r="AV1812" s="6"/>
      <c r="AW1812" s="6"/>
      <c r="AX1812" s="6"/>
      <c r="AY1812" s="6"/>
      <c r="AZ1812" s="6"/>
      <c r="BA1812" s="6"/>
      <c r="BB1812" s="6"/>
      <c r="BC1812" s="6"/>
      <c r="BD1812" s="6"/>
      <c r="BE1812" s="6"/>
      <c r="BF1812" s="6"/>
      <c r="BG1812" s="6"/>
      <c r="BH1812" s="6"/>
      <c r="BI1812" s="6"/>
      <c r="BJ1812" s="6"/>
      <c r="BK1812" s="6"/>
      <c r="BL1812" s="6"/>
      <c r="BM1812" s="6"/>
      <c r="BN1812" s="6"/>
      <c r="BO1812" s="6"/>
      <c r="BP1812" s="6"/>
      <c r="BQ1812" s="6"/>
      <c r="BR1812" s="6"/>
      <c r="BS1812" s="6"/>
      <c r="BT1812" s="6"/>
    </row>
    <row r="1813" spans="1:72">
      <c r="A1813" s="8" t="s">
        <v>34432</v>
      </c>
      <c r="B1813" s="11" t="s">
        <v>34438</v>
      </c>
      <c r="C1813" s="9" t="s">
        <v>138</v>
      </c>
      <c r="D1813" s="10" t="s">
        <v>138</v>
      </c>
      <c r="E1813" s="28" t="s">
        <v>4273</v>
      </c>
      <c r="F1813" s="28" t="s">
        <v>200</v>
      </c>
      <c r="G1813" s="28" t="s">
        <v>162</v>
      </c>
      <c r="H1813" s="13">
        <v>16</v>
      </c>
      <c r="I1813" s="12" t="s">
        <v>34449</v>
      </c>
      <c r="J1813" s="12" t="s">
        <v>45798</v>
      </c>
      <c r="K1813" s="12" t="s">
        <v>40388</v>
      </c>
      <c r="L1813" s="12" t="s">
        <v>43147</v>
      </c>
      <c r="M1813" s="12" t="s">
        <v>40803</v>
      </c>
      <c r="N1813" s="12" t="s">
        <v>45799</v>
      </c>
      <c r="O1813" s="12" t="s">
        <v>45800</v>
      </c>
      <c r="P1813" s="12" t="s">
        <v>45801</v>
      </c>
      <c r="Q1813" s="12" t="s">
        <v>45802</v>
      </c>
      <c r="R1813" s="12" t="s">
        <v>45803</v>
      </c>
      <c r="S1813" s="12" t="s">
        <v>38363</v>
      </c>
      <c r="T1813" s="12" t="s">
        <v>45804</v>
      </c>
      <c r="U1813" s="12" t="s">
        <v>38954</v>
      </c>
      <c r="V1813" s="12" t="s">
        <v>41127</v>
      </c>
      <c r="W1813" s="12" t="s">
        <v>45805</v>
      </c>
      <c r="X1813" s="12" t="s">
        <v>45806</v>
      </c>
      <c r="Y1813" s="12" t="s">
        <v>41869</v>
      </c>
      <c r="Z1813" s="12"/>
      <c r="AA1813" s="12"/>
      <c r="AB1813" s="12"/>
      <c r="AC1813" s="12"/>
      <c r="AD1813" s="12"/>
      <c r="AE1813" s="12"/>
      <c r="AF1813" s="12"/>
      <c r="AG1813" s="12"/>
      <c r="AH1813" s="12"/>
      <c r="AI1813" s="12"/>
      <c r="AJ1813" s="12"/>
      <c r="AK1813" s="12"/>
      <c r="AL1813" s="12"/>
      <c r="AM1813" s="12"/>
      <c r="AN1813" s="12"/>
      <c r="AO1813" s="12"/>
      <c r="AP1813" s="12"/>
      <c r="AQ1813" s="12"/>
      <c r="AR1813" s="12"/>
      <c r="AS1813" s="12"/>
      <c r="AT1813" s="12"/>
      <c r="AU1813" s="12"/>
      <c r="AV1813" s="12"/>
      <c r="AW1813" s="12"/>
      <c r="AX1813" s="12"/>
      <c r="AY1813" s="12"/>
      <c r="AZ1813" s="12"/>
      <c r="BA1813" s="12"/>
      <c r="BB1813" s="12"/>
      <c r="BC1813" s="12"/>
      <c r="BD1813" s="12"/>
      <c r="BE1813" s="12"/>
      <c r="BF1813" s="12"/>
      <c r="BG1813" s="12"/>
      <c r="BH1813" s="12"/>
      <c r="BI1813" s="12"/>
      <c r="BJ1813" s="12"/>
      <c r="BK1813" s="12"/>
      <c r="BL1813" s="12"/>
      <c r="BM1813" s="12"/>
      <c r="BN1813" s="12"/>
      <c r="BO1813" s="12"/>
      <c r="BP1813" s="12"/>
      <c r="BQ1813" s="12"/>
      <c r="BR1813" s="12"/>
      <c r="BS1813" s="12"/>
      <c r="BT1813" s="12"/>
    </row>
    <row r="1814" spans="1:72">
      <c r="A1814" s="2" t="s">
        <v>34452</v>
      </c>
      <c r="B1814" s="5" t="s">
        <v>34457</v>
      </c>
      <c r="C1814" s="3" t="s">
        <v>138</v>
      </c>
      <c r="D1814" s="4" t="s">
        <v>138</v>
      </c>
      <c r="E1814" s="15" t="s">
        <v>3111</v>
      </c>
      <c r="F1814" s="15" t="s">
        <v>3112</v>
      </c>
      <c r="G1814" s="15" t="s">
        <v>2742</v>
      </c>
      <c r="H1814" s="7">
        <v>13</v>
      </c>
      <c r="I1814" s="6" t="s">
        <v>34467</v>
      </c>
      <c r="J1814" s="6" t="s">
        <v>38274</v>
      </c>
      <c r="K1814" s="6" t="s">
        <v>39833</v>
      </c>
      <c r="L1814" s="6" t="s">
        <v>39835</v>
      </c>
      <c r="M1814" s="6" t="s">
        <v>39836</v>
      </c>
      <c r="N1814" s="6" t="s">
        <v>39838</v>
      </c>
      <c r="O1814" s="6" t="s">
        <v>45807</v>
      </c>
      <c r="P1814" s="6" t="s">
        <v>42554</v>
      </c>
      <c r="Q1814" s="6" t="s">
        <v>45808</v>
      </c>
      <c r="R1814" s="6" t="s">
        <v>45809</v>
      </c>
      <c r="S1814" s="6" t="s">
        <v>45810</v>
      </c>
      <c r="T1814" s="6" t="s">
        <v>39809</v>
      </c>
      <c r="U1814" s="6" t="s">
        <v>38767</v>
      </c>
      <c r="V1814" s="6" t="s">
        <v>43588</v>
      </c>
      <c r="W1814" s="6" t="s">
        <v>43589</v>
      </c>
      <c r="X1814" s="6"/>
      <c r="Y1814" s="6"/>
      <c r="Z1814" s="6"/>
      <c r="AA1814" s="6"/>
      <c r="AB1814" s="6"/>
      <c r="AC1814" s="6"/>
      <c r="AD1814" s="6"/>
      <c r="AE1814" s="6"/>
      <c r="AF1814" s="6"/>
      <c r="AG1814" s="6"/>
      <c r="AH1814" s="6"/>
      <c r="AI1814" s="6"/>
      <c r="AJ1814" s="6"/>
      <c r="AK1814" s="6"/>
      <c r="AL1814" s="6"/>
      <c r="AM1814" s="6"/>
      <c r="AN1814" s="6"/>
      <c r="AO1814" s="6"/>
      <c r="AP1814" s="6"/>
      <c r="AQ1814" s="6"/>
      <c r="AR1814" s="6"/>
      <c r="AS1814" s="6"/>
      <c r="AT1814" s="6"/>
      <c r="AU1814" s="6"/>
      <c r="AV1814" s="6"/>
      <c r="AW1814" s="6"/>
      <c r="AX1814" s="6"/>
      <c r="AY1814" s="6"/>
      <c r="AZ1814" s="6"/>
      <c r="BA1814" s="6"/>
      <c r="BB1814" s="6"/>
      <c r="BC1814" s="6"/>
      <c r="BD1814" s="6"/>
      <c r="BE1814" s="6"/>
      <c r="BF1814" s="6"/>
      <c r="BG1814" s="6"/>
      <c r="BH1814" s="6"/>
      <c r="BI1814" s="6"/>
      <c r="BJ1814" s="6"/>
      <c r="BK1814" s="6"/>
      <c r="BL1814" s="6"/>
      <c r="BM1814" s="6"/>
      <c r="BN1814" s="6"/>
      <c r="BO1814" s="6"/>
      <c r="BP1814" s="6"/>
      <c r="BQ1814" s="6"/>
      <c r="BR1814" s="6"/>
      <c r="BS1814" s="6"/>
      <c r="BT1814" s="6"/>
    </row>
    <row r="1815" spans="1:72">
      <c r="A1815" s="8" t="s">
        <v>34472</v>
      </c>
      <c r="B1815" s="11" t="s">
        <v>34478</v>
      </c>
      <c r="C1815" s="9" t="s">
        <v>34473</v>
      </c>
      <c r="D1815" s="10" t="s">
        <v>138</v>
      </c>
      <c r="E1815" s="28" t="s">
        <v>426</v>
      </c>
      <c r="F1815" s="28" t="s">
        <v>426</v>
      </c>
      <c r="G1815" s="28" t="s">
        <v>162</v>
      </c>
      <c r="H1815" s="13">
        <v>21</v>
      </c>
      <c r="I1815" s="12" t="s">
        <v>34486</v>
      </c>
      <c r="J1815" s="12" t="s">
        <v>41026</v>
      </c>
      <c r="K1815" s="12" t="s">
        <v>37819</v>
      </c>
      <c r="L1815" s="12" t="s">
        <v>45811</v>
      </c>
      <c r="M1815" s="12" t="s">
        <v>45812</v>
      </c>
      <c r="N1815" s="12" t="s">
        <v>38277</v>
      </c>
      <c r="O1815" s="12" t="s">
        <v>37986</v>
      </c>
      <c r="P1815" s="12" t="s">
        <v>37945</v>
      </c>
      <c r="Q1815" s="12" t="s">
        <v>43318</v>
      </c>
      <c r="R1815" s="12" t="s">
        <v>37786</v>
      </c>
      <c r="S1815" s="12" t="s">
        <v>42894</v>
      </c>
      <c r="T1815" s="12" t="s">
        <v>44968</v>
      </c>
      <c r="U1815" s="12" t="s">
        <v>37922</v>
      </c>
      <c r="V1815" s="12" t="s">
        <v>45813</v>
      </c>
      <c r="W1815" s="12" t="s">
        <v>42270</v>
      </c>
      <c r="X1815" s="12" t="s">
        <v>44972</v>
      </c>
      <c r="Y1815" s="12" t="s">
        <v>38323</v>
      </c>
      <c r="Z1815" s="12" t="s">
        <v>45814</v>
      </c>
      <c r="AA1815" s="12" t="s">
        <v>45815</v>
      </c>
      <c r="AB1815" s="12" t="s">
        <v>45816</v>
      </c>
      <c r="AC1815" s="12" t="s">
        <v>38867</v>
      </c>
      <c r="AD1815" s="12" t="s">
        <v>38279</v>
      </c>
      <c r="AE1815" s="12"/>
      <c r="AF1815" s="12"/>
      <c r="AG1815" s="12"/>
      <c r="AH1815" s="12"/>
      <c r="AI1815" s="12"/>
      <c r="AJ1815" s="12"/>
      <c r="AK1815" s="12"/>
      <c r="AL1815" s="12"/>
      <c r="AM1815" s="12"/>
      <c r="AN1815" s="12"/>
      <c r="AO1815" s="12"/>
      <c r="AP1815" s="12"/>
      <c r="AQ1815" s="12"/>
      <c r="AR1815" s="12"/>
      <c r="AS1815" s="12"/>
      <c r="AT1815" s="12"/>
      <c r="AU1815" s="12"/>
      <c r="AV1815" s="12"/>
      <c r="AW1815" s="12"/>
      <c r="AX1815" s="12"/>
      <c r="AY1815" s="12"/>
      <c r="AZ1815" s="12"/>
      <c r="BA1815" s="12"/>
      <c r="BB1815" s="12"/>
      <c r="BC1815" s="12"/>
      <c r="BD1815" s="12"/>
      <c r="BE1815" s="12"/>
      <c r="BF1815" s="12"/>
      <c r="BG1815" s="12"/>
      <c r="BH1815" s="12"/>
      <c r="BI1815" s="12"/>
      <c r="BJ1815" s="12"/>
      <c r="BK1815" s="12"/>
      <c r="BL1815" s="12"/>
      <c r="BM1815" s="12"/>
      <c r="BN1815" s="12"/>
      <c r="BO1815" s="12"/>
      <c r="BP1815" s="12"/>
      <c r="BQ1815" s="12"/>
      <c r="BR1815" s="12"/>
      <c r="BS1815" s="12"/>
      <c r="BT1815" s="12"/>
    </row>
    <row r="1816" spans="1:72">
      <c r="A1816" s="2" t="s">
        <v>34490</v>
      </c>
      <c r="B1816" s="5" t="s">
        <v>34495</v>
      </c>
      <c r="C1816" s="3" t="s">
        <v>138</v>
      </c>
      <c r="D1816" s="4" t="s">
        <v>138</v>
      </c>
      <c r="E1816" s="15" t="s">
        <v>426</v>
      </c>
      <c r="F1816" s="15" t="s">
        <v>426</v>
      </c>
      <c r="G1816" s="15" t="s">
        <v>162</v>
      </c>
      <c r="H1816" s="7">
        <v>20</v>
      </c>
      <c r="I1816" s="6" t="s">
        <v>34504</v>
      </c>
      <c r="J1816" s="6" t="s">
        <v>37811</v>
      </c>
      <c r="K1816" s="6" t="s">
        <v>45817</v>
      </c>
      <c r="L1816" s="6" t="s">
        <v>38735</v>
      </c>
      <c r="M1816" s="6" t="s">
        <v>39331</v>
      </c>
      <c r="N1816" s="6" t="s">
        <v>41600</v>
      </c>
      <c r="O1816" s="6" t="s">
        <v>38339</v>
      </c>
      <c r="P1816" s="6" t="s">
        <v>45818</v>
      </c>
      <c r="Q1816" s="6" t="s">
        <v>37819</v>
      </c>
      <c r="R1816" s="6" t="s">
        <v>38209</v>
      </c>
      <c r="S1816" s="6" t="s">
        <v>37879</v>
      </c>
      <c r="T1816" s="6" t="s">
        <v>42505</v>
      </c>
      <c r="U1816" s="6" t="s">
        <v>38113</v>
      </c>
      <c r="V1816" s="6" t="s">
        <v>43636</v>
      </c>
      <c r="W1816" s="6" t="s">
        <v>45819</v>
      </c>
      <c r="X1816" s="6" t="s">
        <v>42972</v>
      </c>
      <c r="Y1816" s="6" t="s">
        <v>39692</v>
      </c>
      <c r="Z1816" s="6" t="s">
        <v>45820</v>
      </c>
      <c r="AA1816" s="6" t="s">
        <v>41059</v>
      </c>
      <c r="AB1816" s="6" t="s">
        <v>45821</v>
      </c>
      <c r="AC1816" s="6" t="s">
        <v>38756</v>
      </c>
      <c r="AD1816" s="6"/>
      <c r="AE1816" s="6"/>
      <c r="AF1816" s="6"/>
      <c r="AG1816" s="6"/>
      <c r="AH1816" s="6"/>
      <c r="AI1816" s="6"/>
      <c r="AJ1816" s="6"/>
      <c r="AK1816" s="6"/>
      <c r="AL1816" s="6"/>
      <c r="AM1816" s="6"/>
      <c r="AN1816" s="6"/>
      <c r="AO1816" s="6"/>
      <c r="AP1816" s="6"/>
      <c r="AQ1816" s="6"/>
      <c r="AR1816" s="6"/>
      <c r="AS1816" s="6"/>
      <c r="AT1816" s="6"/>
      <c r="AU1816" s="6"/>
      <c r="AV1816" s="6"/>
      <c r="AW1816" s="6"/>
      <c r="AX1816" s="6"/>
      <c r="AY1816" s="6"/>
      <c r="AZ1816" s="6"/>
      <c r="BA1816" s="6"/>
      <c r="BB1816" s="6"/>
      <c r="BC1816" s="6"/>
      <c r="BD1816" s="6"/>
      <c r="BE1816" s="6"/>
      <c r="BF1816" s="6"/>
      <c r="BG1816" s="6"/>
      <c r="BH1816" s="6"/>
      <c r="BI1816" s="6"/>
      <c r="BJ1816" s="6"/>
      <c r="BK1816" s="6"/>
      <c r="BL1816" s="6"/>
      <c r="BM1816" s="6"/>
      <c r="BN1816" s="6"/>
      <c r="BO1816" s="6"/>
      <c r="BP1816" s="6"/>
      <c r="BQ1816" s="6"/>
      <c r="BR1816" s="6"/>
      <c r="BS1816" s="6"/>
      <c r="BT1816" s="6"/>
    </row>
    <row r="1817" spans="1:72">
      <c r="A1817" s="8" t="s">
        <v>34509</v>
      </c>
      <c r="B1817" s="11" t="s">
        <v>34515</v>
      </c>
      <c r="C1817" s="9" t="s">
        <v>138</v>
      </c>
      <c r="D1817" s="10" t="s">
        <v>138</v>
      </c>
      <c r="E1817" s="28" t="s">
        <v>668</v>
      </c>
      <c r="F1817" s="28" t="s">
        <v>200</v>
      </c>
      <c r="G1817" s="28" t="s">
        <v>162</v>
      </c>
      <c r="H1817" s="13">
        <v>17</v>
      </c>
      <c r="I1817" s="12" t="s">
        <v>34524</v>
      </c>
      <c r="J1817" s="12" t="s">
        <v>38543</v>
      </c>
      <c r="K1817" s="12" t="s">
        <v>45822</v>
      </c>
      <c r="L1817" s="12" t="s">
        <v>40386</v>
      </c>
      <c r="M1817" s="12" t="s">
        <v>39458</v>
      </c>
      <c r="N1817" s="12" t="s">
        <v>40971</v>
      </c>
      <c r="O1817" s="12" t="s">
        <v>45823</v>
      </c>
      <c r="P1817" s="12" t="s">
        <v>42685</v>
      </c>
      <c r="Q1817" s="12" t="s">
        <v>45824</v>
      </c>
      <c r="R1817" s="12" t="s">
        <v>37998</v>
      </c>
      <c r="S1817" s="12" t="s">
        <v>38925</v>
      </c>
      <c r="T1817" s="12" t="s">
        <v>38200</v>
      </c>
      <c r="U1817" s="12" t="s">
        <v>38954</v>
      </c>
      <c r="V1817" s="12" t="s">
        <v>38371</v>
      </c>
      <c r="W1817" s="12" t="s">
        <v>38907</v>
      </c>
      <c r="X1817" s="12" t="s">
        <v>45825</v>
      </c>
      <c r="Y1817" s="12" t="s">
        <v>37871</v>
      </c>
      <c r="Z1817" s="12" t="s">
        <v>45826</v>
      </c>
      <c r="AA1817" s="12"/>
      <c r="AB1817" s="12"/>
      <c r="AC1817" s="12"/>
      <c r="AD1817" s="12"/>
      <c r="AE1817" s="12"/>
      <c r="AF1817" s="12"/>
      <c r="AG1817" s="12"/>
      <c r="AH1817" s="12"/>
      <c r="AI1817" s="12"/>
      <c r="AJ1817" s="12"/>
      <c r="AK1817" s="12"/>
      <c r="AL1817" s="12"/>
      <c r="AM1817" s="12"/>
      <c r="AN1817" s="12"/>
      <c r="AO1817" s="12"/>
      <c r="AP1817" s="12"/>
      <c r="AQ1817" s="12"/>
      <c r="AR1817" s="12"/>
      <c r="AS1817" s="12"/>
      <c r="AT1817" s="12"/>
      <c r="AU1817" s="12"/>
      <c r="AV1817" s="12"/>
      <c r="AW1817" s="12"/>
      <c r="AX1817" s="12"/>
      <c r="AY1817" s="12"/>
      <c r="AZ1817" s="12"/>
      <c r="BA1817" s="12"/>
      <c r="BB1817" s="12"/>
      <c r="BC1817" s="12"/>
      <c r="BD1817" s="12"/>
      <c r="BE1817" s="12"/>
      <c r="BF1817" s="12"/>
      <c r="BG1817" s="12"/>
      <c r="BH1817" s="12"/>
      <c r="BI1817" s="12"/>
      <c r="BJ1817" s="12"/>
      <c r="BK1817" s="12"/>
      <c r="BL1817" s="12"/>
      <c r="BM1817" s="12"/>
      <c r="BN1817" s="12"/>
      <c r="BO1817" s="12"/>
      <c r="BP1817" s="12"/>
      <c r="BQ1817" s="12"/>
      <c r="BR1817" s="12"/>
      <c r="BS1817" s="12"/>
      <c r="BT1817" s="12"/>
    </row>
    <row r="1818" spans="1:72">
      <c r="A1818" s="2" t="s">
        <v>34527</v>
      </c>
      <c r="B1818" s="5" t="s">
        <v>34532</v>
      </c>
      <c r="C1818" s="3" t="s">
        <v>138</v>
      </c>
      <c r="D1818" s="4" t="s">
        <v>138</v>
      </c>
      <c r="E1818" s="15" t="s">
        <v>3354</v>
      </c>
      <c r="F1818" s="15" t="s">
        <v>2740</v>
      </c>
      <c r="G1818" s="15" t="s">
        <v>2742</v>
      </c>
      <c r="H1818" s="7">
        <v>14</v>
      </c>
      <c r="I1818" s="6" t="s">
        <v>34543</v>
      </c>
      <c r="J1818" s="6" t="s">
        <v>44634</v>
      </c>
      <c r="K1818" s="6" t="s">
        <v>39833</v>
      </c>
      <c r="L1818" s="6" t="s">
        <v>41811</v>
      </c>
      <c r="M1818" s="6" t="s">
        <v>38418</v>
      </c>
      <c r="N1818" s="6" t="s">
        <v>37774</v>
      </c>
      <c r="O1818" s="6" t="s">
        <v>45827</v>
      </c>
      <c r="P1818" s="6" t="s">
        <v>45828</v>
      </c>
      <c r="Q1818" s="6" t="s">
        <v>45829</v>
      </c>
      <c r="R1818" s="6" t="s">
        <v>37839</v>
      </c>
      <c r="S1818" s="6" t="s">
        <v>40247</v>
      </c>
      <c r="T1818" s="6" t="s">
        <v>39446</v>
      </c>
      <c r="U1818" s="6" t="s">
        <v>41030</v>
      </c>
      <c r="V1818" s="6" t="s">
        <v>39071</v>
      </c>
      <c r="W1818" s="6" t="s">
        <v>38912</v>
      </c>
      <c r="X1818" s="6"/>
      <c r="Y1818" s="6"/>
      <c r="Z1818" s="6"/>
      <c r="AA1818" s="6"/>
      <c r="AB1818" s="6"/>
      <c r="AC1818" s="6"/>
      <c r="AD1818" s="6"/>
      <c r="AE1818" s="6"/>
      <c r="AF1818" s="6"/>
      <c r="AG1818" s="6"/>
      <c r="AH1818" s="6"/>
      <c r="AI1818" s="6"/>
      <c r="AJ1818" s="6"/>
      <c r="AK1818" s="6"/>
      <c r="AL1818" s="6"/>
      <c r="AM1818" s="6"/>
      <c r="AN1818" s="6"/>
      <c r="AO1818" s="6"/>
      <c r="AP1818" s="6"/>
      <c r="AQ1818" s="6"/>
      <c r="AR1818" s="6"/>
      <c r="AS1818" s="6"/>
      <c r="AT1818" s="6"/>
      <c r="AU1818" s="6"/>
      <c r="AV1818" s="6"/>
      <c r="AW1818" s="6"/>
      <c r="AX1818" s="6"/>
      <c r="AY1818" s="6"/>
      <c r="AZ1818" s="6"/>
      <c r="BA1818" s="6"/>
      <c r="BB1818" s="6"/>
      <c r="BC1818" s="6"/>
      <c r="BD1818" s="6"/>
      <c r="BE1818" s="6"/>
      <c r="BF1818" s="6"/>
      <c r="BG1818" s="6"/>
      <c r="BH1818" s="6"/>
      <c r="BI1818" s="6"/>
      <c r="BJ1818" s="6"/>
      <c r="BK1818" s="6"/>
      <c r="BL1818" s="6"/>
      <c r="BM1818" s="6"/>
      <c r="BN1818" s="6"/>
      <c r="BO1818" s="6"/>
      <c r="BP1818" s="6"/>
      <c r="BQ1818" s="6"/>
      <c r="BR1818" s="6"/>
      <c r="BS1818" s="6"/>
      <c r="BT1818" s="6"/>
    </row>
    <row r="1819" spans="1:72">
      <c r="A1819" s="8" t="s">
        <v>34547</v>
      </c>
      <c r="B1819" s="11" t="s">
        <v>34552</v>
      </c>
      <c r="C1819" s="9" t="s">
        <v>138</v>
      </c>
      <c r="D1819" s="10" t="s">
        <v>138</v>
      </c>
      <c r="E1819" s="28" t="s">
        <v>1171</v>
      </c>
      <c r="F1819" s="28" t="s">
        <v>200</v>
      </c>
      <c r="G1819" s="28" t="s">
        <v>162</v>
      </c>
      <c r="H1819" s="13">
        <v>6</v>
      </c>
      <c r="I1819" s="12" t="s">
        <v>34560</v>
      </c>
      <c r="J1819" s="12" t="s">
        <v>41427</v>
      </c>
      <c r="K1819" s="12" t="s">
        <v>38419</v>
      </c>
      <c r="L1819" s="12" t="s">
        <v>38318</v>
      </c>
      <c r="M1819" s="12" t="s">
        <v>37788</v>
      </c>
      <c r="N1819" s="12" t="s">
        <v>39329</v>
      </c>
      <c r="O1819" s="12" t="s">
        <v>45830</v>
      </c>
      <c r="P1819" s="12"/>
      <c r="Q1819" s="12"/>
      <c r="R1819" s="12"/>
      <c r="S1819" s="12"/>
      <c r="T1819" s="12"/>
      <c r="U1819" s="12"/>
      <c r="V1819" s="12"/>
      <c r="W1819" s="12"/>
      <c r="X1819" s="12"/>
      <c r="Y1819" s="12"/>
      <c r="Z1819" s="12"/>
      <c r="AA1819" s="12"/>
      <c r="AB1819" s="12"/>
      <c r="AC1819" s="12"/>
      <c r="AD1819" s="12"/>
      <c r="AE1819" s="12"/>
      <c r="AF1819" s="12"/>
      <c r="AG1819" s="12"/>
      <c r="AH1819" s="12"/>
      <c r="AI1819" s="12"/>
      <c r="AJ1819" s="12"/>
      <c r="AK1819" s="12"/>
      <c r="AL1819" s="12"/>
      <c r="AM1819" s="12"/>
      <c r="AN1819" s="12"/>
      <c r="AO1819" s="12"/>
      <c r="AP1819" s="12"/>
      <c r="AQ1819" s="12"/>
      <c r="AR1819" s="12"/>
      <c r="AS1819" s="12"/>
      <c r="AT1819" s="12"/>
      <c r="AU1819" s="12"/>
      <c r="AV1819" s="12"/>
      <c r="AW1819" s="12"/>
      <c r="AX1819" s="12"/>
      <c r="AY1819" s="12"/>
      <c r="AZ1819" s="12"/>
      <c r="BA1819" s="12"/>
      <c r="BB1819" s="12"/>
      <c r="BC1819" s="12"/>
      <c r="BD1819" s="12"/>
      <c r="BE1819" s="12"/>
      <c r="BF1819" s="12"/>
      <c r="BG1819" s="12"/>
      <c r="BH1819" s="12"/>
      <c r="BI1819" s="12"/>
      <c r="BJ1819" s="12"/>
      <c r="BK1819" s="12"/>
      <c r="BL1819" s="12"/>
      <c r="BM1819" s="12"/>
      <c r="BN1819" s="12"/>
      <c r="BO1819" s="12"/>
      <c r="BP1819" s="12"/>
      <c r="BQ1819" s="12"/>
      <c r="BR1819" s="12"/>
      <c r="BS1819" s="12"/>
      <c r="BT1819" s="12"/>
    </row>
    <row r="1820" spans="1:72">
      <c r="A1820" s="2" t="s">
        <v>34563</v>
      </c>
      <c r="B1820" s="5" t="s">
        <v>34567</v>
      </c>
      <c r="C1820" s="3" t="s">
        <v>138</v>
      </c>
      <c r="D1820" s="4" t="s">
        <v>138</v>
      </c>
      <c r="E1820" s="15" t="s">
        <v>3841</v>
      </c>
      <c r="F1820" s="15" t="s">
        <v>200</v>
      </c>
      <c r="G1820" s="15" t="s">
        <v>162</v>
      </c>
      <c r="H1820" s="7">
        <v>5</v>
      </c>
      <c r="I1820" s="6" t="s">
        <v>34576</v>
      </c>
      <c r="J1820" s="6" t="s">
        <v>16877</v>
      </c>
      <c r="K1820" s="6" t="s">
        <v>39115</v>
      </c>
      <c r="L1820" s="6" t="s">
        <v>38114</v>
      </c>
      <c r="M1820" s="6" t="s">
        <v>37883</v>
      </c>
      <c r="N1820" s="6" t="s">
        <v>38199</v>
      </c>
      <c r="O1820" s="6"/>
      <c r="P1820" s="6"/>
      <c r="Q1820" s="6"/>
      <c r="R1820" s="6"/>
      <c r="S1820" s="6"/>
      <c r="T1820" s="6"/>
      <c r="U1820" s="6"/>
      <c r="V1820" s="6"/>
      <c r="W1820" s="6"/>
      <c r="X1820" s="6"/>
      <c r="Y1820" s="6"/>
      <c r="Z1820" s="6"/>
      <c r="AA1820" s="6"/>
      <c r="AB1820" s="6"/>
      <c r="AC1820" s="6"/>
      <c r="AD1820" s="6"/>
      <c r="AE1820" s="6"/>
      <c r="AF1820" s="6"/>
      <c r="AG1820" s="6"/>
      <c r="AH1820" s="6"/>
      <c r="AI1820" s="6"/>
      <c r="AJ1820" s="6"/>
      <c r="AK1820" s="6"/>
      <c r="AL1820" s="6"/>
      <c r="AM1820" s="6"/>
      <c r="AN1820" s="6"/>
      <c r="AO1820" s="6"/>
      <c r="AP1820" s="6"/>
      <c r="AQ1820" s="6"/>
      <c r="AR1820" s="6"/>
      <c r="AS1820" s="6"/>
      <c r="AT1820" s="6"/>
      <c r="AU1820" s="6"/>
      <c r="AV1820" s="6"/>
      <c r="AW1820" s="6"/>
      <c r="AX1820" s="6"/>
      <c r="AY1820" s="6"/>
      <c r="AZ1820" s="6"/>
      <c r="BA1820" s="6"/>
      <c r="BB1820" s="6"/>
      <c r="BC1820" s="6"/>
      <c r="BD1820" s="6"/>
      <c r="BE1820" s="6"/>
      <c r="BF1820" s="6"/>
      <c r="BG1820" s="6"/>
      <c r="BH1820" s="6"/>
      <c r="BI1820" s="6"/>
      <c r="BJ1820" s="6"/>
      <c r="BK1820" s="6"/>
      <c r="BL1820" s="6"/>
      <c r="BM1820" s="6"/>
      <c r="BN1820" s="6"/>
      <c r="BO1820" s="6"/>
      <c r="BP1820" s="6"/>
      <c r="BQ1820" s="6"/>
      <c r="BR1820" s="6"/>
      <c r="BS1820" s="6"/>
      <c r="BT1820" s="6"/>
    </row>
    <row r="1821" spans="1:72">
      <c r="A1821" s="8" t="s">
        <v>34579</v>
      </c>
      <c r="B1821" s="11" t="s">
        <v>34583</v>
      </c>
      <c r="C1821" s="9" t="s">
        <v>138</v>
      </c>
      <c r="D1821" s="10" t="s">
        <v>138</v>
      </c>
      <c r="E1821" s="28" t="s">
        <v>34593</v>
      </c>
      <c r="F1821" s="28" t="s">
        <v>138</v>
      </c>
      <c r="G1821" s="28" t="s">
        <v>1054</v>
      </c>
      <c r="H1821" s="13">
        <v>6</v>
      </c>
      <c r="I1821" s="12" t="s">
        <v>34597</v>
      </c>
      <c r="J1821" s="12" t="s">
        <v>40768</v>
      </c>
      <c r="K1821" s="12" t="s">
        <v>40769</v>
      </c>
      <c r="L1821" s="12" t="s">
        <v>45831</v>
      </c>
      <c r="M1821" s="12" t="s">
        <v>39368</v>
      </c>
      <c r="N1821" s="12" t="s">
        <v>44582</v>
      </c>
      <c r="O1821" s="12" t="s">
        <v>37868</v>
      </c>
      <c r="P1821" s="12"/>
      <c r="Q1821" s="12"/>
      <c r="R1821" s="12"/>
      <c r="S1821" s="12"/>
      <c r="T1821" s="12"/>
      <c r="U1821" s="12"/>
      <c r="V1821" s="12"/>
      <c r="W1821" s="12"/>
      <c r="X1821" s="12"/>
      <c r="Y1821" s="12"/>
      <c r="Z1821" s="12"/>
      <c r="AA1821" s="12"/>
      <c r="AB1821" s="12"/>
      <c r="AC1821" s="12"/>
      <c r="AD1821" s="12"/>
      <c r="AE1821" s="12"/>
      <c r="AF1821" s="12"/>
      <c r="AG1821" s="12"/>
      <c r="AH1821" s="12"/>
      <c r="AI1821" s="12"/>
      <c r="AJ1821" s="12"/>
      <c r="AK1821" s="12"/>
      <c r="AL1821" s="12"/>
      <c r="AM1821" s="12"/>
      <c r="AN1821" s="12"/>
      <c r="AO1821" s="12"/>
      <c r="AP1821" s="12"/>
      <c r="AQ1821" s="12"/>
      <c r="AR1821" s="12"/>
      <c r="AS1821" s="12"/>
      <c r="AT1821" s="12"/>
      <c r="AU1821" s="12"/>
      <c r="AV1821" s="12"/>
      <c r="AW1821" s="12"/>
      <c r="AX1821" s="12"/>
      <c r="AY1821" s="12"/>
      <c r="AZ1821" s="12"/>
      <c r="BA1821" s="12"/>
      <c r="BB1821" s="12"/>
      <c r="BC1821" s="12"/>
      <c r="BD1821" s="12"/>
      <c r="BE1821" s="12"/>
      <c r="BF1821" s="12"/>
      <c r="BG1821" s="12"/>
      <c r="BH1821" s="12"/>
      <c r="BI1821" s="12"/>
      <c r="BJ1821" s="12"/>
      <c r="BK1821" s="12"/>
      <c r="BL1821" s="12"/>
      <c r="BM1821" s="12"/>
      <c r="BN1821" s="12"/>
      <c r="BO1821" s="12"/>
      <c r="BP1821" s="12"/>
      <c r="BQ1821" s="12"/>
      <c r="BR1821" s="12"/>
      <c r="BS1821" s="12"/>
      <c r="BT1821" s="12"/>
    </row>
    <row r="1822" spans="1:72">
      <c r="A1822" s="2" t="s">
        <v>34601</v>
      </c>
      <c r="B1822" s="5" t="s">
        <v>34607</v>
      </c>
      <c r="C1822" s="3" t="s">
        <v>34602</v>
      </c>
      <c r="D1822" s="4" t="s">
        <v>138</v>
      </c>
      <c r="E1822" s="15" t="s">
        <v>34615</v>
      </c>
      <c r="F1822" s="15" t="s">
        <v>138</v>
      </c>
      <c r="G1822" s="15" t="s">
        <v>1054</v>
      </c>
      <c r="H1822" s="7">
        <v>17</v>
      </c>
      <c r="I1822" s="6" t="s">
        <v>34620</v>
      </c>
      <c r="J1822" s="6" t="s">
        <v>40476</v>
      </c>
      <c r="K1822" s="6" t="s">
        <v>45832</v>
      </c>
      <c r="L1822" s="6" t="s">
        <v>45833</v>
      </c>
      <c r="M1822" s="6" t="s">
        <v>45834</v>
      </c>
      <c r="N1822" s="6" t="s">
        <v>45835</v>
      </c>
      <c r="O1822" s="6" t="s">
        <v>45836</v>
      </c>
      <c r="P1822" s="6" t="s">
        <v>44583</v>
      </c>
      <c r="Q1822" s="6" t="s">
        <v>37855</v>
      </c>
      <c r="R1822" s="6" t="s">
        <v>37787</v>
      </c>
      <c r="S1822" s="6" t="s">
        <v>38453</v>
      </c>
      <c r="T1822" s="6" t="s">
        <v>45837</v>
      </c>
      <c r="U1822" s="6" t="s">
        <v>40464</v>
      </c>
      <c r="V1822" s="6" t="s">
        <v>38024</v>
      </c>
      <c r="W1822" s="6" t="s">
        <v>43568</v>
      </c>
      <c r="X1822" s="6" t="s">
        <v>38200</v>
      </c>
      <c r="Y1822" s="6" t="s">
        <v>42606</v>
      </c>
      <c r="Z1822" s="6" t="s">
        <v>45838</v>
      </c>
      <c r="AA1822" s="6"/>
      <c r="AB1822" s="6"/>
      <c r="AC1822" s="6"/>
      <c r="AD1822" s="6"/>
      <c r="AE1822" s="6"/>
      <c r="AF1822" s="6"/>
      <c r="AG1822" s="6"/>
      <c r="AH1822" s="6"/>
      <c r="AI1822" s="6"/>
      <c r="AJ1822" s="6"/>
      <c r="AK1822" s="6"/>
      <c r="AL1822" s="6"/>
      <c r="AM1822" s="6"/>
      <c r="AN1822" s="6"/>
      <c r="AO1822" s="6"/>
      <c r="AP1822" s="6"/>
      <c r="AQ1822" s="6"/>
      <c r="AR1822" s="6"/>
      <c r="AS1822" s="6"/>
      <c r="AT1822" s="6"/>
      <c r="AU1822" s="6"/>
      <c r="AV1822" s="6"/>
      <c r="AW1822" s="6"/>
      <c r="AX1822" s="6"/>
      <c r="AY1822" s="6"/>
      <c r="AZ1822" s="6"/>
      <c r="BA1822" s="6"/>
      <c r="BB1822" s="6"/>
      <c r="BC1822" s="6"/>
      <c r="BD1822" s="6"/>
      <c r="BE1822" s="6"/>
      <c r="BF1822" s="6"/>
      <c r="BG1822" s="6"/>
      <c r="BH1822" s="6"/>
      <c r="BI1822" s="6"/>
      <c r="BJ1822" s="6"/>
      <c r="BK1822" s="6"/>
      <c r="BL1822" s="6"/>
      <c r="BM1822" s="6"/>
      <c r="BN1822" s="6"/>
      <c r="BO1822" s="6"/>
      <c r="BP1822" s="6"/>
      <c r="BQ1822" s="6"/>
      <c r="BR1822" s="6"/>
      <c r="BS1822" s="6"/>
      <c r="BT1822" s="6"/>
    </row>
    <row r="1823" spans="1:72">
      <c r="A1823" s="8" t="s">
        <v>34624</v>
      </c>
      <c r="B1823" s="11" t="s">
        <v>34628</v>
      </c>
      <c r="C1823" s="9" t="s">
        <v>138</v>
      </c>
      <c r="D1823" s="10" t="s">
        <v>138</v>
      </c>
      <c r="E1823" s="28" t="s">
        <v>34637</v>
      </c>
      <c r="F1823" s="28" t="s">
        <v>200</v>
      </c>
      <c r="G1823" s="28" t="s">
        <v>162</v>
      </c>
      <c r="H1823" s="13">
        <v>16</v>
      </c>
      <c r="I1823" s="12" t="s">
        <v>34641</v>
      </c>
      <c r="J1823" s="12" t="s">
        <v>37785</v>
      </c>
      <c r="K1823" s="12" t="s">
        <v>38258</v>
      </c>
      <c r="L1823" s="12" t="s">
        <v>39314</v>
      </c>
      <c r="M1823" s="12" t="s">
        <v>45839</v>
      </c>
      <c r="N1823" s="12" t="s">
        <v>43213</v>
      </c>
      <c r="O1823" s="12" t="s">
        <v>45840</v>
      </c>
      <c r="P1823" s="12" t="s">
        <v>41188</v>
      </c>
      <c r="Q1823" s="12" t="s">
        <v>37787</v>
      </c>
      <c r="R1823" s="12" t="s">
        <v>40627</v>
      </c>
      <c r="S1823" s="12" t="s">
        <v>45841</v>
      </c>
      <c r="T1823" s="12" t="s">
        <v>45842</v>
      </c>
      <c r="U1823" s="12" t="s">
        <v>45843</v>
      </c>
      <c r="V1823" s="12" t="s">
        <v>40629</v>
      </c>
      <c r="W1823" s="12" t="s">
        <v>45844</v>
      </c>
      <c r="X1823" s="12" t="s">
        <v>38143</v>
      </c>
      <c r="Y1823" s="12" t="s">
        <v>40049</v>
      </c>
      <c r="Z1823" s="12"/>
      <c r="AA1823" s="12"/>
      <c r="AB1823" s="12"/>
      <c r="AC1823" s="12"/>
      <c r="AD1823" s="12"/>
      <c r="AE1823" s="12"/>
      <c r="AF1823" s="12"/>
      <c r="AG1823" s="12"/>
      <c r="AH1823" s="12"/>
      <c r="AI1823" s="12"/>
      <c r="AJ1823" s="12"/>
      <c r="AK1823" s="12"/>
      <c r="AL1823" s="12"/>
      <c r="AM1823" s="12"/>
      <c r="AN1823" s="12"/>
      <c r="AO1823" s="12"/>
      <c r="AP1823" s="12"/>
      <c r="AQ1823" s="12"/>
      <c r="AR1823" s="12"/>
      <c r="AS1823" s="12"/>
      <c r="AT1823" s="12"/>
      <c r="AU1823" s="12"/>
      <c r="AV1823" s="12"/>
      <c r="AW1823" s="12"/>
      <c r="AX1823" s="12"/>
      <c r="AY1823" s="12"/>
      <c r="AZ1823" s="12"/>
      <c r="BA1823" s="12"/>
      <c r="BB1823" s="12"/>
      <c r="BC1823" s="12"/>
      <c r="BD1823" s="12"/>
      <c r="BE1823" s="12"/>
      <c r="BF1823" s="12"/>
      <c r="BG1823" s="12"/>
      <c r="BH1823" s="12"/>
      <c r="BI1823" s="12"/>
      <c r="BJ1823" s="12"/>
      <c r="BK1823" s="12"/>
      <c r="BL1823" s="12"/>
      <c r="BM1823" s="12"/>
      <c r="BN1823" s="12"/>
      <c r="BO1823" s="12"/>
      <c r="BP1823" s="12"/>
      <c r="BQ1823" s="12"/>
      <c r="BR1823" s="12"/>
      <c r="BS1823" s="12"/>
      <c r="BT1823" s="12"/>
    </row>
    <row r="1824" spans="1:72">
      <c r="A1824" s="2" t="s">
        <v>34646</v>
      </c>
      <c r="B1824" s="5" t="s">
        <v>34650</v>
      </c>
      <c r="C1824" s="3" t="s">
        <v>138</v>
      </c>
      <c r="D1824" s="4" t="s">
        <v>138</v>
      </c>
      <c r="E1824" s="15" t="s">
        <v>13888</v>
      </c>
      <c r="F1824" s="15" t="s">
        <v>200</v>
      </c>
      <c r="G1824" s="15" t="s">
        <v>162</v>
      </c>
      <c r="H1824" s="7">
        <v>20</v>
      </c>
      <c r="I1824" s="6" t="s">
        <v>34659</v>
      </c>
      <c r="J1824" s="6" t="s">
        <v>5796</v>
      </c>
      <c r="K1824" s="6" t="s">
        <v>45845</v>
      </c>
      <c r="L1824" s="6" t="s">
        <v>40151</v>
      </c>
      <c r="M1824" s="6" t="s">
        <v>39882</v>
      </c>
      <c r="N1824" s="6" t="s">
        <v>42010</v>
      </c>
      <c r="O1824" s="6" t="s">
        <v>39475</v>
      </c>
      <c r="P1824" s="6" t="s">
        <v>40669</v>
      </c>
      <c r="Q1824" s="6" t="s">
        <v>37787</v>
      </c>
      <c r="R1824" s="6" t="s">
        <v>45846</v>
      </c>
      <c r="S1824" s="6" t="s">
        <v>45847</v>
      </c>
      <c r="T1824" s="6" t="s">
        <v>39329</v>
      </c>
      <c r="U1824" s="6" t="s">
        <v>43292</v>
      </c>
      <c r="V1824" s="6" t="s">
        <v>41191</v>
      </c>
      <c r="W1824" s="6" t="s">
        <v>45848</v>
      </c>
      <c r="X1824" s="6" t="s">
        <v>41419</v>
      </c>
      <c r="Y1824" s="6" t="s">
        <v>40591</v>
      </c>
      <c r="Z1824" s="6" t="s">
        <v>39695</v>
      </c>
      <c r="AA1824" s="6" t="s">
        <v>42181</v>
      </c>
      <c r="AB1824" s="6" t="s">
        <v>43167</v>
      </c>
      <c r="AC1824" s="6" t="s">
        <v>38983</v>
      </c>
      <c r="AD1824" s="6"/>
      <c r="AE1824" s="6"/>
      <c r="AF1824" s="6"/>
      <c r="AG1824" s="6"/>
      <c r="AH1824" s="6"/>
      <c r="AI1824" s="6"/>
      <c r="AJ1824" s="6"/>
      <c r="AK1824" s="6"/>
      <c r="AL1824" s="6"/>
      <c r="AM1824" s="6"/>
      <c r="AN1824" s="6"/>
      <c r="AO1824" s="6"/>
      <c r="AP1824" s="6"/>
      <c r="AQ1824" s="6"/>
      <c r="AR1824" s="6"/>
      <c r="AS1824" s="6"/>
      <c r="AT1824" s="6"/>
      <c r="AU1824" s="6"/>
      <c r="AV1824" s="6"/>
      <c r="AW1824" s="6"/>
      <c r="AX1824" s="6"/>
      <c r="AY1824" s="6"/>
      <c r="AZ1824" s="6"/>
      <c r="BA1824" s="6"/>
      <c r="BB1824" s="6"/>
      <c r="BC1824" s="6"/>
      <c r="BD1824" s="6"/>
      <c r="BE1824" s="6"/>
      <c r="BF1824" s="6"/>
      <c r="BG1824" s="6"/>
      <c r="BH1824" s="6"/>
      <c r="BI1824" s="6"/>
      <c r="BJ1824" s="6"/>
      <c r="BK1824" s="6"/>
      <c r="BL1824" s="6"/>
      <c r="BM1824" s="6"/>
      <c r="BN1824" s="6"/>
      <c r="BO1824" s="6"/>
      <c r="BP1824" s="6"/>
      <c r="BQ1824" s="6"/>
      <c r="BR1824" s="6"/>
      <c r="BS1824" s="6"/>
      <c r="BT1824" s="6"/>
    </row>
    <row r="1825" spans="1:72">
      <c r="A1825" s="8" t="s">
        <v>34663</v>
      </c>
      <c r="B1825" s="11" t="s">
        <v>34667</v>
      </c>
      <c r="C1825" s="9" t="s">
        <v>138</v>
      </c>
      <c r="D1825" s="10" t="s">
        <v>138</v>
      </c>
      <c r="E1825" s="28" t="s">
        <v>1223</v>
      </c>
      <c r="F1825" s="28" t="s">
        <v>200</v>
      </c>
      <c r="G1825" s="28" t="s">
        <v>162</v>
      </c>
      <c r="H1825" s="13">
        <v>4</v>
      </c>
      <c r="I1825" s="12" t="s">
        <v>34676</v>
      </c>
      <c r="J1825" s="12" t="s">
        <v>45849</v>
      </c>
      <c r="K1825" s="12" t="s">
        <v>42912</v>
      </c>
      <c r="L1825" s="12" t="s">
        <v>37998</v>
      </c>
      <c r="M1825" s="12" t="s">
        <v>38137</v>
      </c>
      <c r="N1825" s="12"/>
      <c r="O1825" s="12"/>
      <c r="P1825" s="12"/>
      <c r="Q1825" s="12"/>
      <c r="R1825" s="12"/>
      <c r="S1825" s="12"/>
      <c r="T1825" s="12"/>
      <c r="U1825" s="12"/>
      <c r="V1825" s="12"/>
      <c r="W1825" s="12"/>
      <c r="X1825" s="12"/>
      <c r="Y1825" s="12"/>
      <c r="Z1825" s="12"/>
      <c r="AA1825" s="12"/>
      <c r="AB1825" s="12"/>
      <c r="AC1825" s="12"/>
      <c r="AD1825" s="12"/>
      <c r="AE1825" s="12"/>
      <c r="AF1825" s="12"/>
      <c r="AG1825" s="12"/>
      <c r="AH1825" s="12"/>
      <c r="AI1825" s="12"/>
      <c r="AJ1825" s="12"/>
      <c r="AK1825" s="12"/>
      <c r="AL1825" s="12"/>
      <c r="AM1825" s="12"/>
      <c r="AN1825" s="12"/>
      <c r="AO1825" s="12"/>
      <c r="AP1825" s="12"/>
      <c r="AQ1825" s="12"/>
      <c r="AR1825" s="12"/>
      <c r="AS1825" s="12"/>
      <c r="AT1825" s="12"/>
      <c r="AU1825" s="12"/>
      <c r="AV1825" s="12"/>
      <c r="AW1825" s="12"/>
      <c r="AX1825" s="12"/>
      <c r="AY1825" s="12"/>
      <c r="AZ1825" s="12"/>
      <c r="BA1825" s="12"/>
      <c r="BB1825" s="12"/>
      <c r="BC1825" s="12"/>
      <c r="BD1825" s="12"/>
      <c r="BE1825" s="12"/>
      <c r="BF1825" s="12"/>
      <c r="BG1825" s="12"/>
      <c r="BH1825" s="12"/>
      <c r="BI1825" s="12"/>
      <c r="BJ1825" s="12"/>
      <c r="BK1825" s="12"/>
      <c r="BL1825" s="12"/>
      <c r="BM1825" s="12"/>
      <c r="BN1825" s="12"/>
      <c r="BO1825" s="12"/>
      <c r="BP1825" s="12"/>
      <c r="BQ1825" s="12"/>
      <c r="BR1825" s="12"/>
      <c r="BS1825" s="12"/>
      <c r="BT1825" s="12"/>
    </row>
    <row r="1826" spans="1:72">
      <c r="A1826" s="2" t="s">
        <v>34679</v>
      </c>
      <c r="B1826" s="5" t="s">
        <v>34683</v>
      </c>
      <c r="C1826" s="3" t="s">
        <v>138</v>
      </c>
      <c r="D1826" s="4" t="s">
        <v>138</v>
      </c>
      <c r="E1826" s="15" t="s">
        <v>34692</v>
      </c>
      <c r="F1826" s="15" t="s">
        <v>138</v>
      </c>
      <c r="G1826" s="15" t="s">
        <v>740</v>
      </c>
      <c r="H1826" s="7">
        <v>15</v>
      </c>
      <c r="I1826" s="6" t="s">
        <v>34697</v>
      </c>
      <c r="J1826" s="6" t="s">
        <v>39130</v>
      </c>
      <c r="K1826" s="6" t="s">
        <v>41550</v>
      </c>
      <c r="L1826" s="6" t="s">
        <v>38610</v>
      </c>
      <c r="M1826" s="6" t="s">
        <v>39986</v>
      </c>
      <c r="N1826" s="6" t="s">
        <v>40249</v>
      </c>
      <c r="O1826" s="6" t="s">
        <v>41552</v>
      </c>
      <c r="P1826" s="6" t="s">
        <v>40436</v>
      </c>
      <c r="Q1826" s="6" t="s">
        <v>39927</v>
      </c>
      <c r="R1826" s="6" t="s">
        <v>39138</v>
      </c>
      <c r="S1826" s="6" t="s">
        <v>39394</v>
      </c>
      <c r="T1826" s="6" t="s">
        <v>39140</v>
      </c>
      <c r="U1826" s="6" t="s">
        <v>37770</v>
      </c>
      <c r="V1826" s="6" t="s">
        <v>39684</v>
      </c>
      <c r="W1826" s="6" t="s">
        <v>38388</v>
      </c>
      <c r="X1826" s="6" t="s">
        <v>40132</v>
      </c>
      <c r="Y1826" s="6"/>
      <c r="Z1826" s="6"/>
      <c r="AA1826" s="6"/>
      <c r="AB1826" s="6"/>
      <c r="AC1826" s="6"/>
      <c r="AD1826" s="6"/>
      <c r="AE1826" s="6"/>
      <c r="AF1826" s="6"/>
      <c r="AG1826" s="6"/>
      <c r="AH1826" s="6"/>
      <c r="AI1826" s="6"/>
      <c r="AJ1826" s="6"/>
      <c r="AK1826" s="6"/>
      <c r="AL1826" s="6"/>
      <c r="AM1826" s="6"/>
      <c r="AN1826" s="6"/>
      <c r="AO1826" s="6"/>
      <c r="AP1826" s="6"/>
      <c r="AQ1826" s="6"/>
      <c r="AR1826" s="6"/>
      <c r="AS1826" s="6"/>
      <c r="AT1826" s="6"/>
      <c r="AU1826" s="6"/>
      <c r="AV1826" s="6"/>
      <c r="AW1826" s="6"/>
      <c r="AX1826" s="6"/>
      <c r="AY1826" s="6"/>
      <c r="AZ1826" s="6"/>
      <c r="BA1826" s="6"/>
      <c r="BB1826" s="6"/>
      <c r="BC1826" s="6"/>
      <c r="BD1826" s="6"/>
      <c r="BE1826" s="6"/>
      <c r="BF1826" s="6"/>
      <c r="BG1826" s="6"/>
      <c r="BH1826" s="6"/>
      <c r="BI1826" s="6"/>
      <c r="BJ1826" s="6"/>
      <c r="BK1826" s="6"/>
      <c r="BL1826" s="6"/>
      <c r="BM1826" s="6"/>
      <c r="BN1826" s="6"/>
      <c r="BO1826" s="6"/>
      <c r="BP1826" s="6"/>
      <c r="BQ1826" s="6"/>
      <c r="BR1826" s="6"/>
      <c r="BS1826" s="6"/>
      <c r="BT1826" s="6"/>
    </row>
    <row r="1827" spans="1:72">
      <c r="A1827" s="8" t="s">
        <v>34700</v>
      </c>
      <c r="B1827" s="11" t="s">
        <v>34705</v>
      </c>
      <c r="C1827" s="9" t="s">
        <v>34701</v>
      </c>
      <c r="D1827" s="10" t="s">
        <v>138</v>
      </c>
      <c r="E1827" s="28" t="s">
        <v>668</v>
      </c>
      <c r="F1827" s="28" t="s">
        <v>200</v>
      </c>
      <c r="G1827" s="28" t="s">
        <v>162</v>
      </c>
      <c r="H1827" s="13">
        <v>12</v>
      </c>
      <c r="I1827" s="12" t="s">
        <v>34713</v>
      </c>
      <c r="J1827" s="12" t="s">
        <v>45850</v>
      </c>
      <c r="K1827" s="12" t="s">
        <v>40086</v>
      </c>
      <c r="L1827" s="12" t="s">
        <v>43277</v>
      </c>
      <c r="M1827" s="12" t="s">
        <v>37786</v>
      </c>
      <c r="N1827" s="12" t="s">
        <v>45851</v>
      </c>
      <c r="O1827" s="12" t="s">
        <v>45852</v>
      </c>
      <c r="P1827" s="12" t="s">
        <v>45853</v>
      </c>
      <c r="Q1827" s="12" t="s">
        <v>40591</v>
      </c>
      <c r="R1827" s="12" t="s">
        <v>37781</v>
      </c>
      <c r="S1827" s="12" t="s">
        <v>38731</v>
      </c>
      <c r="T1827" s="12" t="s">
        <v>39041</v>
      </c>
      <c r="U1827" s="12" t="s">
        <v>39656</v>
      </c>
      <c r="V1827" s="12"/>
      <c r="W1827" s="12"/>
      <c r="X1827" s="12"/>
      <c r="Y1827" s="12"/>
      <c r="Z1827" s="12"/>
      <c r="AA1827" s="12"/>
      <c r="AB1827" s="12"/>
      <c r="AC1827" s="12"/>
      <c r="AD1827" s="12"/>
      <c r="AE1827" s="12"/>
      <c r="AF1827" s="12"/>
      <c r="AG1827" s="12"/>
      <c r="AH1827" s="12"/>
      <c r="AI1827" s="12"/>
      <c r="AJ1827" s="12"/>
      <c r="AK1827" s="12"/>
      <c r="AL1827" s="12"/>
      <c r="AM1827" s="12"/>
      <c r="AN1827" s="12"/>
      <c r="AO1827" s="12"/>
      <c r="AP1827" s="12"/>
      <c r="AQ1827" s="12"/>
      <c r="AR1827" s="12"/>
      <c r="AS1827" s="12"/>
      <c r="AT1827" s="12"/>
      <c r="AU1827" s="12"/>
      <c r="AV1827" s="12"/>
      <c r="AW1827" s="12"/>
      <c r="AX1827" s="12"/>
      <c r="AY1827" s="12"/>
      <c r="AZ1827" s="12"/>
      <c r="BA1827" s="12"/>
      <c r="BB1827" s="12"/>
      <c r="BC1827" s="12"/>
      <c r="BD1827" s="12"/>
      <c r="BE1827" s="12"/>
      <c r="BF1827" s="12"/>
      <c r="BG1827" s="12"/>
      <c r="BH1827" s="12"/>
      <c r="BI1827" s="12"/>
      <c r="BJ1827" s="12"/>
      <c r="BK1827" s="12"/>
      <c r="BL1827" s="12"/>
      <c r="BM1827" s="12"/>
      <c r="BN1827" s="12"/>
      <c r="BO1827" s="12"/>
      <c r="BP1827" s="12"/>
      <c r="BQ1827" s="12"/>
      <c r="BR1827" s="12"/>
      <c r="BS1827" s="12"/>
      <c r="BT1827" s="12"/>
    </row>
    <row r="1828" spans="1:72">
      <c r="A1828" s="2" t="s">
        <v>34716</v>
      </c>
      <c r="B1828" s="5" t="s">
        <v>34720</v>
      </c>
      <c r="C1828" s="3" t="s">
        <v>138</v>
      </c>
      <c r="D1828" s="4" t="s">
        <v>138</v>
      </c>
      <c r="E1828" s="15" t="s">
        <v>1171</v>
      </c>
      <c r="F1828" s="15" t="s">
        <v>200</v>
      </c>
      <c r="G1828" s="15" t="s">
        <v>162</v>
      </c>
      <c r="H1828" s="7">
        <v>11</v>
      </c>
      <c r="I1828" s="6" t="s">
        <v>34728</v>
      </c>
      <c r="J1828" s="6" t="s">
        <v>39120</v>
      </c>
      <c r="K1828" s="6" t="s">
        <v>45150</v>
      </c>
      <c r="L1828" s="6" t="s">
        <v>42210</v>
      </c>
      <c r="M1828" s="6" t="s">
        <v>37953</v>
      </c>
      <c r="N1828" s="6" t="s">
        <v>39970</v>
      </c>
      <c r="O1828" s="6" t="s">
        <v>37958</v>
      </c>
      <c r="P1828" s="6" t="s">
        <v>45732</v>
      </c>
      <c r="Q1828" s="6" t="s">
        <v>41908</v>
      </c>
      <c r="R1828" s="6" t="s">
        <v>39971</v>
      </c>
      <c r="S1828" s="6" t="s">
        <v>37781</v>
      </c>
      <c r="T1828" s="6" t="s">
        <v>45854</v>
      </c>
      <c r="U1828" s="6"/>
      <c r="V1828" s="6"/>
      <c r="W1828" s="6"/>
      <c r="X1828" s="6"/>
      <c r="Y1828" s="6"/>
      <c r="Z1828" s="6"/>
      <c r="AA1828" s="6"/>
      <c r="AB1828" s="6"/>
      <c r="AC1828" s="6"/>
      <c r="AD1828" s="6"/>
      <c r="AE1828" s="6"/>
      <c r="AF1828" s="6"/>
      <c r="AG1828" s="6"/>
      <c r="AH1828" s="6"/>
      <c r="AI1828" s="6"/>
      <c r="AJ1828" s="6"/>
      <c r="AK1828" s="6"/>
      <c r="AL1828" s="6"/>
      <c r="AM1828" s="6"/>
      <c r="AN1828" s="6"/>
      <c r="AO1828" s="6"/>
      <c r="AP1828" s="6"/>
      <c r="AQ1828" s="6"/>
      <c r="AR1828" s="6"/>
      <c r="AS1828" s="6"/>
      <c r="AT1828" s="6"/>
      <c r="AU1828" s="6"/>
      <c r="AV1828" s="6"/>
      <c r="AW1828" s="6"/>
      <c r="AX1828" s="6"/>
      <c r="AY1828" s="6"/>
      <c r="AZ1828" s="6"/>
      <c r="BA1828" s="6"/>
      <c r="BB1828" s="6"/>
      <c r="BC1828" s="6"/>
      <c r="BD1828" s="6"/>
      <c r="BE1828" s="6"/>
      <c r="BF1828" s="6"/>
      <c r="BG1828" s="6"/>
      <c r="BH1828" s="6"/>
      <c r="BI1828" s="6"/>
      <c r="BJ1828" s="6"/>
      <c r="BK1828" s="6"/>
      <c r="BL1828" s="6"/>
      <c r="BM1828" s="6"/>
      <c r="BN1828" s="6"/>
      <c r="BO1828" s="6"/>
      <c r="BP1828" s="6"/>
      <c r="BQ1828" s="6"/>
      <c r="BR1828" s="6"/>
      <c r="BS1828" s="6"/>
      <c r="BT1828" s="6"/>
    </row>
    <row r="1829" spans="1:72">
      <c r="A1829" s="8" t="s">
        <v>34731</v>
      </c>
      <c r="B1829" s="11" t="s">
        <v>34736</v>
      </c>
      <c r="C1829" s="9" t="s">
        <v>34732</v>
      </c>
      <c r="D1829" s="10" t="s">
        <v>138</v>
      </c>
      <c r="E1829" s="28" t="s">
        <v>668</v>
      </c>
      <c r="F1829" s="28" t="s">
        <v>200</v>
      </c>
      <c r="G1829" s="28" t="s">
        <v>162</v>
      </c>
      <c r="H1829" s="13">
        <v>5</v>
      </c>
      <c r="I1829" s="12" t="s">
        <v>34743</v>
      </c>
      <c r="J1829" s="12" t="s">
        <v>39120</v>
      </c>
      <c r="K1829" s="12" t="s">
        <v>38663</v>
      </c>
      <c r="L1829" s="12" t="s">
        <v>45403</v>
      </c>
      <c r="M1829" s="12" t="s">
        <v>41245</v>
      </c>
      <c r="N1829" s="12" t="s">
        <v>45855</v>
      </c>
      <c r="O1829" s="12"/>
      <c r="P1829" s="12"/>
      <c r="Q1829" s="12"/>
      <c r="R1829" s="12"/>
      <c r="S1829" s="12"/>
      <c r="T1829" s="12"/>
      <c r="U1829" s="12"/>
      <c r="V1829" s="12"/>
      <c r="W1829" s="12"/>
      <c r="X1829" s="12"/>
      <c r="Y1829" s="12"/>
      <c r="Z1829" s="12"/>
      <c r="AA1829" s="12"/>
      <c r="AB1829" s="12"/>
      <c r="AC1829" s="12"/>
      <c r="AD1829" s="12"/>
      <c r="AE1829" s="12"/>
      <c r="AF1829" s="12"/>
      <c r="AG1829" s="12"/>
      <c r="AH1829" s="12"/>
      <c r="AI1829" s="12"/>
      <c r="AJ1829" s="12"/>
      <c r="AK1829" s="12"/>
      <c r="AL1829" s="12"/>
      <c r="AM1829" s="12"/>
      <c r="AN1829" s="12"/>
      <c r="AO1829" s="12"/>
      <c r="AP1829" s="12"/>
      <c r="AQ1829" s="12"/>
      <c r="AR1829" s="12"/>
      <c r="AS1829" s="12"/>
      <c r="AT1829" s="12"/>
      <c r="AU1829" s="12"/>
      <c r="AV1829" s="12"/>
      <c r="AW1829" s="12"/>
      <c r="AX1829" s="12"/>
      <c r="AY1829" s="12"/>
      <c r="AZ1829" s="12"/>
      <c r="BA1829" s="12"/>
      <c r="BB1829" s="12"/>
      <c r="BC1829" s="12"/>
      <c r="BD1829" s="12"/>
      <c r="BE1829" s="12"/>
      <c r="BF1829" s="12"/>
      <c r="BG1829" s="12"/>
      <c r="BH1829" s="12"/>
      <c r="BI1829" s="12"/>
      <c r="BJ1829" s="12"/>
      <c r="BK1829" s="12"/>
      <c r="BL1829" s="12"/>
      <c r="BM1829" s="12"/>
      <c r="BN1829" s="12"/>
      <c r="BO1829" s="12"/>
      <c r="BP1829" s="12"/>
      <c r="BQ1829" s="12"/>
      <c r="BR1829" s="12"/>
      <c r="BS1829" s="12"/>
      <c r="BT1829" s="12"/>
    </row>
    <row r="1830" spans="1:72">
      <c r="A1830" s="2" t="s">
        <v>34747</v>
      </c>
      <c r="B1830" s="5" t="s">
        <v>34752</v>
      </c>
      <c r="C1830" s="3" t="s">
        <v>34748</v>
      </c>
      <c r="D1830" s="4" t="s">
        <v>138</v>
      </c>
      <c r="E1830" s="15" t="s">
        <v>1223</v>
      </c>
      <c r="F1830" s="15" t="s">
        <v>200</v>
      </c>
      <c r="G1830" s="15" t="s">
        <v>162</v>
      </c>
      <c r="H1830" s="7">
        <v>6</v>
      </c>
      <c r="I1830" s="6" t="s">
        <v>34761</v>
      </c>
      <c r="J1830" s="6" t="s">
        <v>45856</v>
      </c>
      <c r="K1830" s="6" t="s">
        <v>41735</v>
      </c>
      <c r="L1830" s="6" t="s">
        <v>37824</v>
      </c>
      <c r="M1830" s="6" t="s">
        <v>39327</v>
      </c>
      <c r="N1830" s="6" t="s">
        <v>39551</v>
      </c>
      <c r="O1830" s="6" t="s">
        <v>38337</v>
      </c>
      <c r="P1830" s="6"/>
      <c r="Q1830" s="6"/>
      <c r="R1830" s="6"/>
      <c r="S1830" s="6"/>
      <c r="T1830" s="6"/>
      <c r="U1830" s="6"/>
      <c r="V1830" s="6"/>
      <c r="W1830" s="6"/>
      <c r="X1830" s="6"/>
      <c r="Y1830" s="6"/>
      <c r="Z1830" s="6"/>
      <c r="AA1830" s="6"/>
      <c r="AB1830" s="6"/>
      <c r="AC1830" s="6"/>
      <c r="AD1830" s="6"/>
      <c r="AE1830" s="6"/>
      <c r="AF1830" s="6"/>
      <c r="AG1830" s="6"/>
      <c r="AH1830" s="6"/>
      <c r="AI1830" s="6"/>
      <c r="AJ1830" s="6"/>
      <c r="AK1830" s="6"/>
      <c r="AL1830" s="6"/>
      <c r="AM1830" s="6"/>
      <c r="AN1830" s="6"/>
      <c r="AO1830" s="6"/>
      <c r="AP1830" s="6"/>
      <c r="AQ1830" s="6"/>
      <c r="AR1830" s="6"/>
      <c r="AS1830" s="6"/>
      <c r="AT1830" s="6"/>
      <c r="AU1830" s="6"/>
      <c r="AV1830" s="6"/>
      <c r="AW1830" s="6"/>
      <c r="AX1830" s="6"/>
      <c r="AY1830" s="6"/>
      <c r="AZ1830" s="6"/>
      <c r="BA1830" s="6"/>
      <c r="BB1830" s="6"/>
      <c r="BC1830" s="6"/>
      <c r="BD1830" s="6"/>
      <c r="BE1830" s="6"/>
      <c r="BF1830" s="6"/>
      <c r="BG1830" s="6"/>
      <c r="BH1830" s="6"/>
      <c r="BI1830" s="6"/>
      <c r="BJ1830" s="6"/>
      <c r="BK1830" s="6"/>
      <c r="BL1830" s="6"/>
      <c r="BM1830" s="6"/>
      <c r="BN1830" s="6"/>
      <c r="BO1830" s="6"/>
      <c r="BP1830" s="6"/>
      <c r="BQ1830" s="6"/>
      <c r="BR1830" s="6"/>
      <c r="BS1830" s="6"/>
      <c r="BT1830" s="6"/>
    </row>
    <row r="1831" spans="1:72">
      <c r="A1831" s="8" t="s">
        <v>34765</v>
      </c>
      <c r="B1831" s="11" t="s">
        <v>34769</v>
      </c>
      <c r="C1831" s="9" t="s">
        <v>138</v>
      </c>
      <c r="D1831" s="10" t="s">
        <v>34766</v>
      </c>
      <c r="E1831" s="28" t="s">
        <v>823</v>
      </c>
      <c r="F1831" s="28" t="s">
        <v>824</v>
      </c>
      <c r="G1831" s="28" t="s">
        <v>526</v>
      </c>
      <c r="H1831" s="13">
        <v>7</v>
      </c>
      <c r="I1831" s="12" t="s">
        <v>34780</v>
      </c>
      <c r="J1831" s="12" t="s">
        <v>39462</v>
      </c>
      <c r="K1831" s="12" t="s">
        <v>45857</v>
      </c>
      <c r="L1831" s="12" t="s">
        <v>45858</v>
      </c>
      <c r="M1831" s="12" t="s">
        <v>45859</v>
      </c>
      <c r="N1831" s="12" t="s">
        <v>45860</v>
      </c>
      <c r="O1831" s="12" t="s">
        <v>39724</v>
      </c>
      <c r="P1831" s="12" t="s">
        <v>39728</v>
      </c>
      <c r="Q1831" s="12"/>
      <c r="R1831" s="12"/>
      <c r="S1831" s="12"/>
      <c r="T1831" s="12"/>
      <c r="U1831" s="12"/>
      <c r="V1831" s="12"/>
      <c r="W1831" s="12"/>
      <c r="X1831" s="12"/>
      <c r="Y1831" s="12"/>
      <c r="Z1831" s="12"/>
      <c r="AA1831" s="12"/>
      <c r="AB1831" s="12"/>
      <c r="AC1831" s="12"/>
      <c r="AD1831" s="12"/>
      <c r="AE1831" s="12"/>
      <c r="AF1831" s="12"/>
      <c r="AG1831" s="12"/>
      <c r="AH1831" s="12"/>
      <c r="AI1831" s="12"/>
      <c r="AJ1831" s="12"/>
      <c r="AK1831" s="12"/>
      <c r="AL1831" s="12"/>
      <c r="AM1831" s="12"/>
      <c r="AN1831" s="12"/>
      <c r="AO1831" s="12"/>
      <c r="AP1831" s="12"/>
      <c r="AQ1831" s="12"/>
      <c r="AR1831" s="12"/>
      <c r="AS1831" s="12"/>
      <c r="AT1831" s="12"/>
      <c r="AU1831" s="12"/>
      <c r="AV1831" s="12"/>
      <c r="AW1831" s="12"/>
      <c r="AX1831" s="12"/>
      <c r="AY1831" s="12"/>
      <c r="AZ1831" s="12"/>
      <c r="BA1831" s="12"/>
      <c r="BB1831" s="12"/>
      <c r="BC1831" s="12"/>
      <c r="BD1831" s="12"/>
      <c r="BE1831" s="12"/>
      <c r="BF1831" s="12"/>
      <c r="BG1831" s="12"/>
      <c r="BH1831" s="12"/>
      <c r="BI1831" s="12"/>
      <c r="BJ1831" s="12"/>
      <c r="BK1831" s="12"/>
      <c r="BL1831" s="12"/>
      <c r="BM1831" s="12"/>
      <c r="BN1831" s="12"/>
      <c r="BO1831" s="12"/>
      <c r="BP1831" s="12"/>
      <c r="BQ1831" s="12"/>
      <c r="BR1831" s="12"/>
      <c r="BS1831" s="12"/>
      <c r="BT1831" s="12"/>
    </row>
    <row r="1832" spans="1:72">
      <c r="A1832" s="2" t="s">
        <v>34783</v>
      </c>
      <c r="B1832" s="5" t="s">
        <v>34787</v>
      </c>
      <c r="C1832" s="3" t="s">
        <v>138</v>
      </c>
      <c r="D1832" s="4" t="s">
        <v>138</v>
      </c>
      <c r="E1832" s="15" t="s">
        <v>14129</v>
      </c>
      <c r="F1832" s="15" t="s">
        <v>14130</v>
      </c>
      <c r="G1832" s="15" t="s">
        <v>2742</v>
      </c>
      <c r="H1832" s="7">
        <v>10</v>
      </c>
      <c r="I1832" s="6" t="s">
        <v>34793</v>
      </c>
      <c r="J1832" s="6" t="s">
        <v>41590</v>
      </c>
      <c r="K1832" s="6" t="s">
        <v>37819</v>
      </c>
      <c r="L1832" s="6" t="s">
        <v>41814</v>
      </c>
      <c r="M1832" s="6" t="s">
        <v>45861</v>
      </c>
      <c r="N1832" s="6" t="s">
        <v>40765</v>
      </c>
      <c r="O1832" s="6" t="s">
        <v>40247</v>
      </c>
      <c r="P1832" s="6" t="s">
        <v>41633</v>
      </c>
      <c r="Q1832" s="6" t="s">
        <v>37782</v>
      </c>
      <c r="R1832" s="6" t="s">
        <v>41193</v>
      </c>
      <c r="S1832" s="6" t="s">
        <v>38073</v>
      </c>
      <c r="T1832" s="6"/>
      <c r="U1832" s="6"/>
      <c r="V1832" s="6"/>
      <c r="W1832" s="6"/>
      <c r="X1832" s="6"/>
      <c r="Y1832" s="6"/>
      <c r="Z1832" s="6"/>
      <c r="AA1832" s="6"/>
      <c r="AB1832" s="6"/>
      <c r="AC1832" s="6"/>
      <c r="AD1832" s="6"/>
      <c r="AE1832" s="6"/>
      <c r="AF1832" s="6"/>
      <c r="AG1832" s="6"/>
      <c r="AH1832" s="6"/>
      <c r="AI1832" s="6"/>
      <c r="AJ1832" s="6"/>
      <c r="AK1832" s="6"/>
      <c r="AL1832" s="6"/>
      <c r="AM1832" s="6"/>
      <c r="AN1832" s="6"/>
      <c r="AO1832" s="6"/>
      <c r="AP1832" s="6"/>
      <c r="AQ1832" s="6"/>
      <c r="AR1832" s="6"/>
      <c r="AS1832" s="6"/>
      <c r="AT1832" s="6"/>
      <c r="AU1832" s="6"/>
      <c r="AV1832" s="6"/>
      <c r="AW1832" s="6"/>
      <c r="AX1832" s="6"/>
      <c r="AY1832" s="6"/>
      <c r="AZ1832" s="6"/>
      <c r="BA1832" s="6"/>
      <c r="BB1832" s="6"/>
      <c r="BC1832" s="6"/>
      <c r="BD1832" s="6"/>
      <c r="BE1832" s="6"/>
      <c r="BF1832" s="6"/>
      <c r="BG1832" s="6"/>
      <c r="BH1832" s="6"/>
      <c r="BI1832" s="6"/>
      <c r="BJ1832" s="6"/>
      <c r="BK1832" s="6"/>
      <c r="BL1832" s="6"/>
      <c r="BM1832" s="6"/>
      <c r="BN1832" s="6"/>
      <c r="BO1832" s="6"/>
      <c r="BP1832" s="6"/>
      <c r="BQ1832" s="6"/>
      <c r="BR1832" s="6"/>
      <c r="BS1832" s="6"/>
      <c r="BT1832" s="6"/>
    </row>
    <row r="1833" spans="1:72">
      <c r="A1833" s="8" t="s">
        <v>34796</v>
      </c>
      <c r="B1833" s="11" t="s">
        <v>34801</v>
      </c>
      <c r="C1833" s="9" t="s">
        <v>138</v>
      </c>
      <c r="D1833" s="10" t="s">
        <v>138</v>
      </c>
      <c r="E1833" s="28" t="s">
        <v>310</v>
      </c>
      <c r="F1833" s="28" t="s">
        <v>200</v>
      </c>
      <c r="G1833" s="28" t="s">
        <v>162</v>
      </c>
      <c r="H1833" s="13">
        <v>21</v>
      </c>
      <c r="I1833" s="12" t="s">
        <v>34812</v>
      </c>
      <c r="J1833" s="12" t="s">
        <v>45862</v>
      </c>
      <c r="K1833" s="12" t="s">
        <v>37797</v>
      </c>
      <c r="L1833" s="12" t="s">
        <v>45863</v>
      </c>
      <c r="M1833" s="12" t="s">
        <v>40759</v>
      </c>
      <c r="N1833" s="12" t="s">
        <v>38882</v>
      </c>
      <c r="O1833" s="12" t="s">
        <v>38666</v>
      </c>
      <c r="P1833" s="12" t="s">
        <v>41632</v>
      </c>
      <c r="Q1833" s="12" t="s">
        <v>38931</v>
      </c>
      <c r="R1833" s="12" t="s">
        <v>39889</v>
      </c>
      <c r="S1833" s="12" t="s">
        <v>39890</v>
      </c>
      <c r="T1833" s="12" t="s">
        <v>45864</v>
      </c>
      <c r="U1833" s="12" t="s">
        <v>40687</v>
      </c>
      <c r="V1833" s="12" t="s">
        <v>40688</v>
      </c>
      <c r="W1833" s="12" t="s">
        <v>45865</v>
      </c>
      <c r="X1833" s="12" t="s">
        <v>45866</v>
      </c>
      <c r="Y1833" s="12" t="s">
        <v>40119</v>
      </c>
      <c r="Z1833" s="12" t="s">
        <v>38363</v>
      </c>
      <c r="AA1833" s="12" t="s">
        <v>39744</v>
      </c>
      <c r="AB1833" s="12" t="s">
        <v>45867</v>
      </c>
      <c r="AC1833" s="12" t="s">
        <v>37868</v>
      </c>
      <c r="AD1833" s="12" t="s">
        <v>38240</v>
      </c>
      <c r="AE1833" s="12"/>
      <c r="AF1833" s="12"/>
      <c r="AG1833" s="12"/>
      <c r="AH1833" s="12"/>
      <c r="AI1833" s="12"/>
      <c r="AJ1833" s="12"/>
      <c r="AK1833" s="12"/>
      <c r="AL1833" s="12"/>
      <c r="AM1833" s="12"/>
      <c r="AN1833" s="12"/>
      <c r="AO1833" s="12"/>
      <c r="AP1833" s="12"/>
      <c r="AQ1833" s="12"/>
      <c r="AR1833" s="12"/>
      <c r="AS1833" s="12"/>
      <c r="AT1833" s="12"/>
      <c r="AU1833" s="12"/>
      <c r="AV1833" s="12"/>
      <c r="AW1833" s="12"/>
      <c r="AX1833" s="12"/>
      <c r="AY1833" s="12"/>
      <c r="AZ1833" s="12"/>
      <c r="BA1833" s="12"/>
      <c r="BB1833" s="12"/>
      <c r="BC1833" s="12"/>
      <c r="BD1833" s="12"/>
      <c r="BE1833" s="12"/>
      <c r="BF1833" s="12"/>
      <c r="BG1833" s="12"/>
      <c r="BH1833" s="12"/>
      <c r="BI1833" s="12"/>
      <c r="BJ1833" s="12"/>
      <c r="BK1833" s="12"/>
      <c r="BL1833" s="12"/>
      <c r="BM1833" s="12"/>
      <c r="BN1833" s="12"/>
      <c r="BO1833" s="12"/>
      <c r="BP1833" s="12"/>
      <c r="BQ1833" s="12"/>
      <c r="BR1833" s="12"/>
      <c r="BS1833" s="12"/>
      <c r="BT1833" s="12"/>
    </row>
    <row r="1834" spans="1:72">
      <c r="A1834" s="2" t="s">
        <v>34816</v>
      </c>
      <c r="B1834" s="5" t="s">
        <v>34820</v>
      </c>
      <c r="C1834" s="3" t="s">
        <v>138</v>
      </c>
      <c r="D1834" s="4" t="s">
        <v>138</v>
      </c>
      <c r="E1834" s="15" t="s">
        <v>1171</v>
      </c>
      <c r="F1834" s="15" t="s">
        <v>200</v>
      </c>
      <c r="G1834" s="15" t="s">
        <v>162</v>
      </c>
      <c r="H1834" s="7">
        <v>10</v>
      </c>
      <c r="I1834" s="6" t="s">
        <v>34827</v>
      </c>
      <c r="J1834" s="6" t="s">
        <v>45868</v>
      </c>
      <c r="K1834" s="6" t="s">
        <v>45869</v>
      </c>
      <c r="L1834" s="6" t="s">
        <v>41931</v>
      </c>
      <c r="M1834" s="6" t="s">
        <v>38114</v>
      </c>
      <c r="N1834" s="6" t="s">
        <v>38721</v>
      </c>
      <c r="O1834" s="6" t="s">
        <v>37883</v>
      </c>
      <c r="P1834" s="6" t="s">
        <v>45870</v>
      </c>
      <c r="Q1834" s="6" t="s">
        <v>37805</v>
      </c>
      <c r="R1834" s="6" t="s">
        <v>38363</v>
      </c>
      <c r="S1834" s="6" t="s">
        <v>38752</v>
      </c>
      <c r="T1834" s="6"/>
      <c r="U1834" s="6"/>
      <c r="V1834" s="6"/>
      <c r="W1834" s="6"/>
      <c r="X1834" s="6"/>
      <c r="Y1834" s="6"/>
      <c r="Z1834" s="6"/>
      <c r="AA1834" s="6"/>
      <c r="AB1834" s="6"/>
      <c r="AC1834" s="6"/>
      <c r="AD1834" s="6"/>
      <c r="AE1834" s="6"/>
      <c r="AF1834" s="6"/>
      <c r="AG1834" s="6"/>
      <c r="AH1834" s="6"/>
      <c r="AI1834" s="6"/>
      <c r="AJ1834" s="6"/>
      <c r="AK1834" s="6"/>
      <c r="AL1834" s="6"/>
      <c r="AM1834" s="6"/>
      <c r="AN1834" s="6"/>
      <c r="AO1834" s="6"/>
      <c r="AP1834" s="6"/>
      <c r="AQ1834" s="6"/>
      <c r="AR1834" s="6"/>
      <c r="AS1834" s="6"/>
      <c r="AT1834" s="6"/>
      <c r="AU1834" s="6"/>
      <c r="AV1834" s="6"/>
      <c r="AW1834" s="6"/>
      <c r="AX1834" s="6"/>
      <c r="AY1834" s="6"/>
      <c r="AZ1834" s="6"/>
      <c r="BA1834" s="6"/>
      <c r="BB1834" s="6"/>
      <c r="BC1834" s="6"/>
      <c r="BD1834" s="6"/>
      <c r="BE1834" s="6"/>
      <c r="BF1834" s="6"/>
      <c r="BG1834" s="6"/>
      <c r="BH1834" s="6"/>
      <c r="BI1834" s="6"/>
      <c r="BJ1834" s="6"/>
      <c r="BK1834" s="6"/>
      <c r="BL1834" s="6"/>
      <c r="BM1834" s="6"/>
      <c r="BN1834" s="6"/>
      <c r="BO1834" s="6"/>
      <c r="BP1834" s="6"/>
      <c r="BQ1834" s="6"/>
      <c r="BR1834" s="6"/>
      <c r="BS1834" s="6"/>
      <c r="BT1834" s="6"/>
    </row>
    <row r="1835" spans="1:72">
      <c r="A1835" s="8" t="s">
        <v>34830</v>
      </c>
      <c r="B1835" s="11" t="s">
        <v>34837</v>
      </c>
      <c r="C1835" s="9" t="s">
        <v>138</v>
      </c>
      <c r="D1835" s="10" t="s">
        <v>34831</v>
      </c>
      <c r="E1835" s="28" t="s">
        <v>2030</v>
      </c>
      <c r="F1835" s="28" t="s">
        <v>2031</v>
      </c>
      <c r="G1835" s="28" t="s">
        <v>162</v>
      </c>
      <c r="H1835" s="13">
        <v>11</v>
      </c>
      <c r="I1835" s="12" t="s">
        <v>34846</v>
      </c>
      <c r="J1835" s="12" t="s">
        <v>45871</v>
      </c>
      <c r="K1835" s="12" t="s">
        <v>45872</v>
      </c>
      <c r="L1835" s="12" t="s">
        <v>38463</v>
      </c>
      <c r="M1835" s="12" t="s">
        <v>45873</v>
      </c>
      <c r="N1835" s="12" t="s">
        <v>45874</v>
      </c>
      <c r="O1835" s="12" t="s">
        <v>45875</v>
      </c>
      <c r="P1835" s="12" t="s">
        <v>38469</v>
      </c>
      <c r="Q1835" s="12" t="s">
        <v>40808</v>
      </c>
      <c r="R1835" s="12" t="s">
        <v>45876</v>
      </c>
      <c r="S1835" s="12" t="s">
        <v>45877</v>
      </c>
      <c r="T1835" s="12" t="s">
        <v>45878</v>
      </c>
      <c r="U1835" s="12"/>
      <c r="V1835" s="12"/>
      <c r="W1835" s="12"/>
      <c r="X1835" s="12"/>
      <c r="Y1835" s="12"/>
      <c r="Z1835" s="12"/>
      <c r="AA1835" s="12"/>
      <c r="AB1835" s="12"/>
      <c r="AC1835" s="12"/>
      <c r="AD1835" s="12"/>
      <c r="AE1835" s="12"/>
      <c r="AF1835" s="12"/>
      <c r="AG1835" s="12"/>
      <c r="AH1835" s="12"/>
      <c r="AI1835" s="12"/>
      <c r="AJ1835" s="12"/>
      <c r="AK1835" s="12"/>
      <c r="AL1835" s="12"/>
      <c r="AM1835" s="12"/>
      <c r="AN1835" s="12"/>
      <c r="AO1835" s="12"/>
      <c r="AP1835" s="12"/>
      <c r="AQ1835" s="12"/>
      <c r="AR1835" s="12"/>
      <c r="AS1835" s="12"/>
      <c r="AT1835" s="12"/>
      <c r="AU1835" s="12"/>
      <c r="AV1835" s="12"/>
      <c r="AW1835" s="12"/>
      <c r="AX1835" s="12"/>
      <c r="AY1835" s="12"/>
      <c r="AZ1835" s="12"/>
      <c r="BA1835" s="12"/>
      <c r="BB1835" s="12"/>
      <c r="BC1835" s="12"/>
      <c r="BD1835" s="12"/>
      <c r="BE1835" s="12"/>
      <c r="BF1835" s="12"/>
      <c r="BG1835" s="12"/>
      <c r="BH1835" s="12"/>
      <c r="BI1835" s="12"/>
      <c r="BJ1835" s="12"/>
      <c r="BK1835" s="12"/>
      <c r="BL1835" s="12"/>
      <c r="BM1835" s="12"/>
      <c r="BN1835" s="12"/>
      <c r="BO1835" s="12"/>
      <c r="BP1835" s="12"/>
      <c r="BQ1835" s="12"/>
      <c r="BR1835" s="12"/>
      <c r="BS1835" s="12"/>
      <c r="BT1835" s="12"/>
    </row>
    <row r="1836" spans="1:72">
      <c r="A1836" s="2" t="s">
        <v>34850</v>
      </c>
      <c r="B1836" s="5" t="s">
        <v>34857</v>
      </c>
      <c r="C1836" s="3" t="s">
        <v>138</v>
      </c>
      <c r="D1836" s="4" t="s">
        <v>34851</v>
      </c>
      <c r="E1836" s="15" t="s">
        <v>2694</v>
      </c>
      <c r="F1836" s="15" t="s">
        <v>138</v>
      </c>
      <c r="G1836" s="15" t="s">
        <v>1054</v>
      </c>
      <c r="H1836" s="7">
        <v>9</v>
      </c>
      <c r="I1836" s="6" t="s">
        <v>34866</v>
      </c>
      <c r="J1836" s="6" t="s">
        <v>45879</v>
      </c>
      <c r="K1836" s="6" t="s">
        <v>41613</v>
      </c>
      <c r="L1836" s="6" t="s">
        <v>45880</v>
      </c>
      <c r="M1836" s="6" t="s">
        <v>45881</v>
      </c>
      <c r="N1836" s="6" t="s">
        <v>41604</v>
      </c>
      <c r="O1836" s="6" t="s">
        <v>45882</v>
      </c>
      <c r="P1836" s="6" t="s">
        <v>37781</v>
      </c>
      <c r="Q1836" s="6" t="s">
        <v>45033</v>
      </c>
      <c r="R1836" s="6" t="s">
        <v>45883</v>
      </c>
      <c r="S1836" s="6"/>
      <c r="T1836" s="6"/>
      <c r="U1836" s="6"/>
      <c r="V1836" s="6"/>
      <c r="W1836" s="6"/>
      <c r="X1836" s="6"/>
      <c r="Y1836" s="6"/>
      <c r="Z1836" s="6"/>
      <c r="AA1836" s="6"/>
      <c r="AB1836" s="6"/>
      <c r="AC1836" s="6"/>
      <c r="AD1836" s="6"/>
      <c r="AE1836" s="6"/>
      <c r="AF1836" s="6"/>
      <c r="AG1836" s="6"/>
      <c r="AH1836" s="6"/>
      <c r="AI1836" s="6"/>
      <c r="AJ1836" s="6"/>
      <c r="AK1836" s="6"/>
      <c r="AL1836" s="6"/>
      <c r="AM1836" s="6"/>
      <c r="AN1836" s="6"/>
      <c r="AO1836" s="6"/>
      <c r="AP1836" s="6"/>
      <c r="AQ1836" s="6"/>
      <c r="AR1836" s="6"/>
      <c r="AS1836" s="6"/>
      <c r="AT1836" s="6"/>
      <c r="AU1836" s="6"/>
      <c r="AV1836" s="6"/>
      <c r="AW1836" s="6"/>
      <c r="AX1836" s="6"/>
      <c r="AY1836" s="6"/>
      <c r="AZ1836" s="6"/>
      <c r="BA1836" s="6"/>
      <c r="BB1836" s="6"/>
      <c r="BC1836" s="6"/>
      <c r="BD1836" s="6"/>
      <c r="BE1836" s="6"/>
      <c r="BF1836" s="6"/>
      <c r="BG1836" s="6"/>
      <c r="BH1836" s="6"/>
      <c r="BI1836" s="6"/>
      <c r="BJ1836" s="6"/>
      <c r="BK1836" s="6"/>
      <c r="BL1836" s="6"/>
      <c r="BM1836" s="6"/>
      <c r="BN1836" s="6"/>
      <c r="BO1836" s="6"/>
      <c r="BP1836" s="6"/>
      <c r="BQ1836" s="6"/>
      <c r="BR1836" s="6"/>
      <c r="BS1836" s="6"/>
      <c r="BT1836" s="6"/>
    </row>
    <row r="1837" spans="1:72">
      <c r="A1837" s="8" t="s">
        <v>34869</v>
      </c>
      <c r="B1837" s="11" t="s">
        <v>34874</v>
      </c>
      <c r="C1837" s="9" t="s">
        <v>138</v>
      </c>
      <c r="D1837" s="10" t="s">
        <v>138</v>
      </c>
      <c r="E1837" s="28" t="s">
        <v>426</v>
      </c>
      <c r="F1837" s="28" t="s">
        <v>426</v>
      </c>
      <c r="G1837" s="28" t="s">
        <v>162</v>
      </c>
      <c r="H1837" s="13">
        <v>16</v>
      </c>
      <c r="I1837" s="12" t="s">
        <v>34883</v>
      </c>
      <c r="J1837" s="12" t="s">
        <v>45884</v>
      </c>
      <c r="K1837" s="12" t="s">
        <v>41228</v>
      </c>
      <c r="L1837" s="12" t="s">
        <v>41523</v>
      </c>
      <c r="M1837" s="12" t="s">
        <v>45885</v>
      </c>
      <c r="N1837" s="12" t="s">
        <v>45886</v>
      </c>
      <c r="O1837" s="12" t="s">
        <v>45887</v>
      </c>
      <c r="P1837" s="12" t="s">
        <v>40178</v>
      </c>
      <c r="Q1837" s="12" t="s">
        <v>45888</v>
      </c>
      <c r="R1837" s="12" t="s">
        <v>37839</v>
      </c>
      <c r="S1837" s="12" t="s">
        <v>38645</v>
      </c>
      <c r="T1837" s="12" t="s">
        <v>40044</v>
      </c>
      <c r="U1837" s="12" t="s">
        <v>39656</v>
      </c>
      <c r="V1837" s="12" t="s">
        <v>41217</v>
      </c>
      <c r="W1837" s="12" t="s">
        <v>45351</v>
      </c>
      <c r="X1837" s="12" t="s">
        <v>38159</v>
      </c>
      <c r="Y1837" s="12" t="s">
        <v>42138</v>
      </c>
      <c r="Z1837" s="12"/>
      <c r="AA1837" s="12"/>
      <c r="AB1837" s="12"/>
      <c r="AC1837" s="12"/>
      <c r="AD1837" s="12"/>
      <c r="AE1837" s="12"/>
      <c r="AF1837" s="12"/>
      <c r="AG1837" s="12"/>
      <c r="AH1837" s="12"/>
      <c r="AI1837" s="12"/>
      <c r="AJ1837" s="12"/>
      <c r="AK1837" s="12"/>
      <c r="AL1837" s="12"/>
      <c r="AM1837" s="12"/>
      <c r="AN1837" s="12"/>
      <c r="AO1837" s="12"/>
      <c r="AP1837" s="12"/>
      <c r="AQ1837" s="12"/>
      <c r="AR1837" s="12"/>
      <c r="AS1837" s="12"/>
      <c r="AT1837" s="12"/>
      <c r="AU1837" s="12"/>
      <c r="AV1837" s="12"/>
      <c r="AW1837" s="12"/>
      <c r="AX1837" s="12"/>
      <c r="AY1837" s="12"/>
      <c r="AZ1837" s="12"/>
      <c r="BA1837" s="12"/>
      <c r="BB1837" s="12"/>
      <c r="BC1837" s="12"/>
      <c r="BD1837" s="12"/>
      <c r="BE1837" s="12"/>
      <c r="BF1837" s="12"/>
      <c r="BG1837" s="12"/>
      <c r="BH1837" s="12"/>
      <c r="BI1837" s="12"/>
      <c r="BJ1837" s="12"/>
      <c r="BK1837" s="12"/>
      <c r="BL1837" s="12"/>
      <c r="BM1837" s="12"/>
      <c r="BN1837" s="12"/>
      <c r="BO1837" s="12"/>
      <c r="BP1837" s="12"/>
      <c r="BQ1837" s="12"/>
      <c r="BR1837" s="12"/>
      <c r="BS1837" s="12"/>
      <c r="BT1837" s="12"/>
    </row>
    <row r="1838" spans="1:72">
      <c r="A1838" s="2" t="s">
        <v>34888</v>
      </c>
      <c r="B1838" s="5" t="s">
        <v>34894</v>
      </c>
      <c r="C1838" s="3" t="s">
        <v>138</v>
      </c>
      <c r="D1838" s="4" t="s">
        <v>138</v>
      </c>
      <c r="E1838" s="15" t="s">
        <v>1171</v>
      </c>
      <c r="F1838" s="15" t="s">
        <v>200</v>
      </c>
      <c r="G1838" s="15" t="s">
        <v>162</v>
      </c>
      <c r="H1838" s="7">
        <v>10</v>
      </c>
      <c r="I1838" s="6" t="s">
        <v>34903</v>
      </c>
      <c r="J1838" s="6" t="s">
        <v>42387</v>
      </c>
      <c r="K1838" s="6" t="s">
        <v>45889</v>
      </c>
      <c r="L1838" s="6" t="s">
        <v>45890</v>
      </c>
      <c r="M1838" s="6" t="s">
        <v>45661</v>
      </c>
      <c r="N1838" s="6" t="s">
        <v>43303</v>
      </c>
      <c r="O1838" s="6" t="s">
        <v>45891</v>
      </c>
      <c r="P1838" s="6" t="s">
        <v>40437</v>
      </c>
      <c r="Q1838" s="6" t="s">
        <v>45892</v>
      </c>
      <c r="R1838" s="6" t="s">
        <v>45893</v>
      </c>
      <c r="S1838" s="6" t="s">
        <v>38200</v>
      </c>
      <c r="T1838" s="6"/>
      <c r="U1838" s="6"/>
      <c r="V1838" s="6"/>
      <c r="W1838" s="6"/>
      <c r="X1838" s="6"/>
      <c r="Y1838" s="6"/>
      <c r="Z1838" s="6"/>
      <c r="AA1838" s="6"/>
      <c r="AB1838" s="6"/>
      <c r="AC1838" s="6"/>
      <c r="AD1838" s="6"/>
      <c r="AE1838" s="6"/>
      <c r="AF1838" s="6"/>
      <c r="AG1838" s="6"/>
      <c r="AH1838" s="6"/>
      <c r="AI1838" s="6"/>
      <c r="AJ1838" s="6"/>
      <c r="AK1838" s="6"/>
      <c r="AL1838" s="6"/>
      <c r="AM1838" s="6"/>
      <c r="AN1838" s="6"/>
      <c r="AO1838" s="6"/>
      <c r="AP1838" s="6"/>
      <c r="AQ1838" s="6"/>
      <c r="AR1838" s="6"/>
      <c r="AS1838" s="6"/>
      <c r="AT1838" s="6"/>
      <c r="AU1838" s="6"/>
      <c r="AV1838" s="6"/>
      <c r="AW1838" s="6"/>
      <c r="AX1838" s="6"/>
      <c r="AY1838" s="6"/>
      <c r="AZ1838" s="6"/>
      <c r="BA1838" s="6"/>
      <c r="BB1838" s="6"/>
      <c r="BC1838" s="6"/>
      <c r="BD1838" s="6"/>
      <c r="BE1838" s="6"/>
      <c r="BF1838" s="6"/>
      <c r="BG1838" s="6"/>
      <c r="BH1838" s="6"/>
      <c r="BI1838" s="6"/>
      <c r="BJ1838" s="6"/>
      <c r="BK1838" s="6"/>
      <c r="BL1838" s="6"/>
      <c r="BM1838" s="6"/>
      <c r="BN1838" s="6"/>
      <c r="BO1838" s="6"/>
      <c r="BP1838" s="6"/>
      <c r="BQ1838" s="6"/>
      <c r="BR1838" s="6"/>
      <c r="BS1838" s="6"/>
      <c r="BT1838" s="6"/>
    </row>
    <row r="1839" spans="1:72">
      <c r="A1839" s="8" t="s">
        <v>34906</v>
      </c>
      <c r="B1839" s="11" t="s">
        <v>34911</v>
      </c>
      <c r="C1839" s="9" t="s">
        <v>138</v>
      </c>
      <c r="D1839" s="10" t="s">
        <v>138</v>
      </c>
      <c r="E1839" s="28" t="s">
        <v>499</v>
      </c>
      <c r="F1839" s="28" t="s">
        <v>138</v>
      </c>
      <c r="G1839" s="28" t="s">
        <v>450</v>
      </c>
      <c r="H1839" s="13">
        <v>11</v>
      </c>
      <c r="I1839" s="12" t="s">
        <v>34916</v>
      </c>
      <c r="J1839" s="12" t="s">
        <v>45894</v>
      </c>
      <c r="K1839" s="12" t="s">
        <v>45895</v>
      </c>
      <c r="L1839" s="12" t="s">
        <v>45896</v>
      </c>
      <c r="M1839" s="12" t="s">
        <v>43021</v>
      </c>
      <c r="N1839" s="12" t="s">
        <v>45897</v>
      </c>
      <c r="O1839" s="12" t="s">
        <v>45898</v>
      </c>
      <c r="P1839" s="12" t="s">
        <v>38057</v>
      </c>
      <c r="Q1839" s="12" t="s">
        <v>45899</v>
      </c>
      <c r="R1839" s="12" t="s">
        <v>39290</v>
      </c>
      <c r="S1839" s="12" t="s">
        <v>41182</v>
      </c>
      <c r="T1839" s="12" t="s">
        <v>45900</v>
      </c>
      <c r="U1839" s="12"/>
      <c r="V1839" s="12"/>
      <c r="W1839" s="12"/>
      <c r="X1839" s="12"/>
      <c r="Y1839" s="12"/>
      <c r="Z1839" s="12"/>
      <c r="AA1839" s="12"/>
      <c r="AB1839" s="12"/>
      <c r="AC1839" s="12"/>
      <c r="AD1839" s="12"/>
      <c r="AE1839" s="12"/>
      <c r="AF1839" s="12"/>
      <c r="AG1839" s="12"/>
      <c r="AH1839" s="12"/>
      <c r="AI1839" s="12"/>
      <c r="AJ1839" s="12"/>
      <c r="AK1839" s="12"/>
      <c r="AL1839" s="12"/>
      <c r="AM1839" s="12"/>
      <c r="AN1839" s="12"/>
      <c r="AO1839" s="12"/>
      <c r="AP1839" s="12"/>
      <c r="AQ1839" s="12"/>
      <c r="AR1839" s="12"/>
      <c r="AS1839" s="12"/>
      <c r="AT1839" s="12"/>
      <c r="AU1839" s="12"/>
      <c r="AV1839" s="12"/>
      <c r="AW1839" s="12"/>
      <c r="AX1839" s="12"/>
      <c r="AY1839" s="12"/>
      <c r="AZ1839" s="12"/>
      <c r="BA1839" s="12"/>
      <c r="BB1839" s="12"/>
      <c r="BC1839" s="12"/>
      <c r="BD1839" s="12"/>
      <c r="BE1839" s="12"/>
      <c r="BF1839" s="12"/>
      <c r="BG1839" s="12"/>
      <c r="BH1839" s="12"/>
      <c r="BI1839" s="12"/>
      <c r="BJ1839" s="12"/>
      <c r="BK1839" s="12"/>
      <c r="BL1839" s="12"/>
      <c r="BM1839" s="12"/>
      <c r="BN1839" s="12"/>
      <c r="BO1839" s="12"/>
      <c r="BP1839" s="12"/>
      <c r="BQ1839" s="12"/>
      <c r="BR1839" s="12"/>
      <c r="BS1839" s="12"/>
      <c r="BT1839" s="12"/>
    </row>
    <row r="1840" spans="1:72">
      <c r="A1840" s="2" t="s">
        <v>34919</v>
      </c>
      <c r="B1840" s="5" t="s">
        <v>34923</v>
      </c>
      <c r="C1840" s="3" t="s">
        <v>138</v>
      </c>
      <c r="D1840" s="4" t="s">
        <v>138</v>
      </c>
      <c r="E1840" s="15" t="s">
        <v>5382</v>
      </c>
      <c r="F1840" s="15" t="s">
        <v>200</v>
      </c>
      <c r="G1840" s="15" t="s">
        <v>162</v>
      </c>
      <c r="H1840" s="7">
        <v>9</v>
      </c>
      <c r="I1840" s="6" t="s">
        <v>34931</v>
      </c>
      <c r="J1840" s="6" t="s">
        <v>39398</v>
      </c>
      <c r="K1840" s="6" t="s">
        <v>38882</v>
      </c>
      <c r="L1840" s="6" t="s">
        <v>45901</v>
      </c>
      <c r="M1840" s="6" t="s">
        <v>39198</v>
      </c>
      <c r="N1840" s="6" t="s">
        <v>39751</v>
      </c>
      <c r="O1840" s="6" t="s">
        <v>45902</v>
      </c>
      <c r="P1840" s="6" t="s">
        <v>45861</v>
      </c>
      <c r="Q1840" s="6" t="s">
        <v>45903</v>
      </c>
      <c r="R1840" s="6" t="s">
        <v>38505</v>
      </c>
      <c r="S1840" s="6"/>
      <c r="T1840" s="6"/>
      <c r="U1840" s="6"/>
      <c r="V1840" s="6"/>
      <c r="W1840" s="6"/>
      <c r="X1840" s="6"/>
      <c r="Y1840" s="6"/>
      <c r="Z1840" s="6"/>
      <c r="AA1840" s="6"/>
      <c r="AB1840" s="6"/>
      <c r="AC1840" s="6"/>
      <c r="AD1840" s="6"/>
      <c r="AE1840" s="6"/>
      <c r="AF1840" s="6"/>
      <c r="AG1840" s="6"/>
      <c r="AH1840" s="6"/>
      <c r="AI1840" s="6"/>
      <c r="AJ1840" s="6"/>
      <c r="AK1840" s="6"/>
      <c r="AL1840" s="6"/>
      <c r="AM1840" s="6"/>
      <c r="AN1840" s="6"/>
      <c r="AO1840" s="6"/>
      <c r="AP1840" s="6"/>
      <c r="AQ1840" s="6"/>
      <c r="AR1840" s="6"/>
      <c r="AS1840" s="6"/>
      <c r="AT1840" s="6"/>
      <c r="AU1840" s="6"/>
      <c r="AV1840" s="6"/>
      <c r="AW1840" s="6"/>
      <c r="AX1840" s="6"/>
      <c r="AY1840" s="6"/>
      <c r="AZ1840" s="6"/>
      <c r="BA1840" s="6"/>
      <c r="BB1840" s="6"/>
      <c r="BC1840" s="6"/>
      <c r="BD1840" s="6"/>
      <c r="BE1840" s="6"/>
      <c r="BF1840" s="6"/>
      <c r="BG1840" s="6"/>
      <c r="BH1840" s="6"/>
      <c r="BI1840" s="6"/>
      <c r="BJ1840" s="6"/>
      <c r="BK1840" s="6"/>
      <c r="BL1840" s="6"/>
      <c r="BM1840" s="6"/>
      <c r="BN1840" s="6"/>
      <c r="BO1840" s="6"/>
      <c r="BP1840" s="6"/>
      <c r="BQ1840" s="6"/>
      <c r="BR1840" s="6"/>
      <c r="BS1840" s="6"/>
      <c r="BT1840" s="6"/>
    </row>
    <row r="1841" spans="1:72">
      <c r="A1841" s="8" t="s">
        <v>34936</v>
      </c>
      <c r="B1841" s="11" t="s">
        <v>34941</v>
      </c>
      <c r="C1841" s="9" t="s">
        <v>138</v>
      </c>
      <c r="D1841" s="10" t="s">
        <v>138</v>
      </c>
      <c r="E1841" s="28" t="s">
        <v>2005</v>
      </c>
      <c r="F1841" s="28" t="s">
        <v>200</v>
      </c>
      <c r="G1841" s="28" t="s">
        <v>162</v>
      </c>
      <c r="H1841" s="13">
        <v>12</v>
      </c>
      <c r="I1841" s="12" t="s">
        <v>34949</v>
      </c>
      <c r="J1841" s="12" t="s">
        <v>44673</v>
      </c>
      <c r="K1841" s="12" t="s">
        <v>45904</v>
      </c>
      <c r="L1841" s="12" t="s">
        <v>39778</v>
      </c>
      <c r="M1841" s="12" t="s">
        <v>38721</v>
      </c>
      <c r="N1841" s="12" t="s">
        <v>45905</v>
      </c>
      <c r="O1841" s="12" t="s">
        <v>40637</v>
      </c>
      <c r="P1841" s="12" t="s">
        <v>37960</v>
      </c>
      <c r="Q1841" s="12" t="s">
        <v>38322</v>
      </c>
      <c r="R1841" s="12" t="s">
        <v>37781</v>
      </c>
      <c r="S1841" s="12" t="s">
        <v>37893</v>
      </c>
      <c r="T1841" s="12" t="s">
        <v>45906</v>
      </c>
      <c r="U1841" s="12" t="s">
        <v>45907</v>
      </c>
      <c r="V1841" s="12"/>
      <c r="W1841" s="12"/>
      <c r="X1841" s="12"/>
      <c r="Y1841" s="12"/>
      <c r="Z1841" s="12"/>
      <c r="AA1841" s="12"/>
      <c r="AB1841" s="12"/>
      <c r="AC1841" s="12"/>
      <c r="AD1841" s="12"/>
      <c r="AE1841" s="12"/>
      <c r="AF1841" s="12"/>
      <c r="AG1841" s="12"/>
      <c r="AH1841" s="12"/>
      <c r="AI1841" s="12"/>
      <c r="AJ1841" s="12"/>
      <c r="AK1841" s="12"/>
      <c r="AL1841" s="12"/>
      <c r="AM1841" s="12"/>
      <c r="AN1841" s="12"/>
      <c r="AO1841" s="12"/>
      <c r="AP1841" s="12"/>
      <c r="AQ1841" s="12"/>
      <c r="AR1841" s="12"/>
      <c r="AS1841" s="12"/>
      <c r="AT1841" s="12"/>
      <c r="AU1841" s="12"/>
      <c r="AV1841" s="12"/>
      <c r="AW1841" s="12"/>
      <c r="AX1841" s="12"/>
      <c r="AY1841" s="12"/>
      <c r="AZ1841" s="12"/>
      <c r="BA1841" s="12"/>
      <c r="BB1841" s="12"/>
      <c r="BC1841" s="12"/>
      <c r="BD1841" s="12"/>
      <c r="BE1841" s="12"/>
      <c r="BF1841" s="12"/>
      <c r="BG1841" s="12"/>
      <c r="BH1841" s="12"/>
      <c r="BI1841" s="12"/>
      <c r="BJ1841" s="12"/>
      <c r="BK1841" s="12"/>
      <c r="BL1841" s="12"/>
      <c r="BM1841" s="12"/>
      <c r="BN1841" s="12"/>
      <c r="BO1841" s="12"/>
      <c r="BP1841" s="12"/>
      <c r="BQ1841" s="12"/>
      <c r="BR1841" s="12"/>
      <c r="BS1841" s="12"/>
      <c r="BT1841" s="12"/>
    </row>
    <row r="1842" spans="1:72">
      <c r="A1842" s="2" t="s">
        <v>34952</v>
      </c>
      <c r="B1842" s="5" t="s">
        <v>34956</v>
      </c>
      <c r="C1842" s="3" t="s">
        <v>138</v>
      </c>
      <c r="D1842" s="4" t="s">
        <v>138</v>
      </c>
      <c r="E1842" s="15" t="s">
        <v>3670</v>
      </c>
      <c r="F1842" s="15" t="s">
        <v>200</v>
      </c>
      <c r="G1842" s="15" t="s">
        <v>162</v>
      </c>
      <c r="H1842" s="7">
        <v>14</v>
      </c>
      <c r="I1842" s="6" t="s">
        <v>34966</v>
      </c>
      <c r="J1842" s="6" t="s">
        <v>41861</v>
      </c>
      <c r="K1842" s="6" t="s">
        <v>37979</v>
      </c>
      <c r="L1842" s="6" t="s">
        <v>45908</v>
      </c>
      <c r="M1842" s="6" t="s">
        <v>39114</v>
      </c>
      <c r="N1842" s="6" t="s">
        <v>37819</v>
      </c>
      <c r="O1842" s="6" t="s">
        <v>37927</v>
      </c>
      <c r="P1842" s="6" t="s">
        <v>45909</v>
      </c>
      <c r="Q1842" s="6" t="s">
        <v>43581</v>
      </c>
      <c r="R1842" s="6" t="s">
        <v>38343</v>
      </c>
      <c r="S1842" s="6" t="s">
        <v>39269</v>
      </c>
      <c r="T1842" s="6" t="s">
        <v>39466</v>
      </c>
      <c r="U1842" s="6" t="s">
        <v>43951</v>
      </c>
      <c r="V1842" s="6" t="s">
        <v>39478</v>
      </c>
      <c r="W1842" s="6" t="s">
        <v>37886</v>
      </c>
      <c r="X1842" s="6"/>
      <c r="Y1842" s="6"/>
      <c r="Z1842" s="6"/>
      <c r="AA1842" s="6"/>
      <c r="AB1842" s="6"/>
      <c r="AC1842" s="6"/>
      <c r="AD1842" s="6"/>
      <c r="AE1842" s="6"/>
      <c r="AF1842" s="6"/>
      <c r="AG1842" s="6"/>
      <c r="AH1842" s="6"/>
      <c r="AI1842" s="6"/>
      <c r="AJ1842" s="6"/>
      <c r="AK1842" s="6"/>
      <c r="AL1842" s="6"/>
      <c r="AM1842" s="6"/>
      <c r="AN1842" s="6"/>
      <c r="AO1842" s="6"/>
      <c r="AP1842" s="6"/>
      <c r="AQ1842" s="6"/>
      <c r="AR1842" s="6"/>
      <c r="AS1842" s="6"/>
      <c r="AT1842" s="6"/>
      <c r="AU1842" s="6"/>
      <c r="AV1842" s="6"/>
      <c r="AW1842" s="6"/>
      <c r="AX1842" s="6"/>
      <c r="AY1842" s="6"/>
      <c r="AZ1842" s="6"/>
      <c r="BA1842" s="6"/>
      <c r="BB1842" s="6"/>
      <c r="BC1842" s="6"/>
      <c r="BD1842" s="6"/>
      <c r="BE1842" s="6"/>
      <c r="BF1842" s="6"/>
      <c r="BG1842" s="6"/>
      <c r="BH1842" s="6"/>
      <c r="BI1842" s="6"/>
      <c r="BJ1842" s="6"/>
      <c r="BK1842" s="6"/>
      <c r="BL1842" s="6"/>
      <c r="BM1842" s="6"/>
      <c r="BN1842" s="6"/>
      <c r="BO1842" s="6"/>
      <c r="BP1842" s="6"/>
      <c r="BQ1842" s="6"/>
      <c r="BR1842" s="6"/>
      <c r="BS1842" s="6"/>
      <c r="BT1842" s="6"/>
    </row>
    <row r="1843" spans="1:72">
      <c r="A1843" s="8" t="s">
        <v>34970</v>
      </c>
      <c r="B1843" s="11" t="s">
        <v>34974</v>
      </c>
      <c r="C1843" s="9" t="s">
        <v>138</v>
      </c>
      <c r="D1843" s="10" t="s">
        <v>138</v>
      </c>
      <c r="E1843" s="28" t="s">
        <v>17745</v>
      </c>
      <c r="F1843" s="28" t="s">
        <v>138</v>
      </c>
      <c r="G1843" s="28" t="s">
        <v>740</v>
      </c>
      <c r="H1843" s="13">
        <v>11</v>
      </c>
      <c r="I1843" s="12" t="s">
        <v>34985</v>
      </c>
      <c r="J1843" s="12" t="s">
        <v>39657</v>
      </c>
      <c r="K1843" s="12" t="s">
        <v>45910</v>
      </c>
      <c r="L1843" s="12" t="s">
        <v>42757</v>
      </c>
      <c r="M1843" s="12" t="s">
        <v>37763</v>
      </c>
      <c r="N1843" s="12" t="s">
        <v>45911</v>
      </c>
      <c r="O1843" s="12" t="s">
        <v>45912</v>
      </c>
      <c r="P1843" s="12" t="s">
        <v>39100</v>
      </c>
      <c r="Q1843" s="12" t="s">
        <v>45913</v>
      </c>
      <c r="R1843" s="12" t="s">
        <v>45914</v>
      </c>
      <c r="S1843" s="12" t="s">
        <v>39634</v>
      </c>
      <c r="T1843" s="12" t="s">
        <v>45915</v>
      </c>
      <c r="U1843" s="12"/>
      <c r="V1843" s="12"/>
      <c r="W1843" s="12"/>
      <c r="X1843" s="12"/>
      <c r="Y1843" s="12"/>
      <c r="Z1843" s="12"/>
      <c r="AA1843" s="12"/>
      <c r="AB1843" s="12"/>
      <c r="AC1843" s="12"/>
      <c r="AD1843" s="12"/>
      <c r="AE1843" s="12"/>
      <c r="AF1843" s="12"/>
      <c r="AG1843" s="12"/>
      <c r="AH1843" s="12"/>
      <c r="AI1843" s="12"/>
      <c r="AJ1843" s="12"/>
      <c r="AK1843" s="12"/>
      <c r="AL1843" s="12"/>
      <c r="AM1843" s="12"/>
      <c r="AN1843" s="12"/>
      <c r="AO1843" s="12"/>
      <c r="AP1843" s="12"/>
      <c r="AQ1843" s="12"/>
      <c r="AR1843" s="12"/>
      <c r="AS1843" s="12"/>
      <c r="AT1843" s="12"/>
      <c r="AU1843" s="12"/>
      <c r="AV1843" s="12"/>
      <c r="AW1843" s="12"/>
      <c r="AX1843" s="12"/>
      <c r="AY1843" s="12"/>
      <c r="AZ1843" s="12"/>
      <c r="BA1843" s="12"/>
      <c r="BB1843" s="12"/>
      <c r="BC1843" s="12"/>
      <c r="BD1843" s="12"/>
      <c r="BE1843" s="12"/>
      <c r="BF1843" s="12"/>
      <c r="BG1843" s="12"/>
      <c r="BH1843" s="12"/>
      <c r="BI1843" s="12"/>
      <c r="BJ1843" s="12"/>
      <c r="BK1843" s="12"/>
      <c r="BL1843" s="12"/>
      <c r="BM1843" s="12"/>
      <c r="BN1843" s="12"/>
      <c r="BO1843" s="12"/>
      <c r="BP1843" s="12"/>
      <c r="BQ1843" s="12"/>
      <c r="BR1843" s="12"/>
      <c r="BS1843" s="12"/>
      <c r="BT1843" s="12"/>
    </row>
    <row r="1844" spans="1:72">
      <c r="A1844" s="2" t="s">
        <v>34988</v>
      </c>
      <c r="B1844" s="5" t="s">
        <v>34995</v>
      </c>
      <c r="C1844" s="3" t="s">
        <v>34989</v>
      </c>
      <c r="D1844" s="4" t="s">
        <v>138</v>
      </c>
      <c r="E1844" s="15" t="s">
        <v>668</v>
      </c>
      <c r="F1844" s="15" t="s">
        <v>200</v>
      </c>
      <c r="G1844" s="15" t="s">
        <v>162</v>
      </c>
      <c r="H1844" s="7">
        <v>22</v>
      </c>
      <c r="I1844" s="6" t="s">
        <v>35002</v>
      </c>
      <c r="J1844" s="6" t="s">
        <v>38800</v>
      </c>
      <c r="K1844" s="6" t="s">
        <v>44413</v>
      </c>
      <c r="L1844" s="6" t="s">
        <v>38663</v>
      </c>
      <c r="M1844" s="6" t="s">
        <v>41814</v>
      </c>
      <c r="N1844" s="6" t="s">
        <v>38964</v>
      </c>
      <c r="O1844" s="6" t="s">
        <v>45916</v>
      </c>
      <c r="P1844" s="6" t="s">
        <v>38044</v>
      </c>
      <c r="Q1844" s="6" t="s">
        <v>40086</v>
      </c>
      <c r="R1844" s="6" t="s">
        <v>38076</v>
      </c>
      <c r="S1844" s="6" t="s">
        <v>39621</v>
      </c>
      <c r="T1844" s="6" t="s">
        <v>45917</v>
      </c>
      <c r="U1844" s="6" t="s">
        <v>45918</v>
      </c>
      <c r="V1844" s="6" t="s">
        <v>37960</v>
      </c>
      <c r="W1844" s="6" t="s">
        <v>45919</v>
      </c>
      <c r="X1844" s="6" t="s">
        <v>39278</v>
      </c>
      <c r="Y1844" s="6" t="s">
        <v>38977</v>
      </c>
      <c r="Z1844" s="6" t="s">
        <v>37862</v>
      </c>
      <c r="AA1844" s="6" t="s">
        <v>45920</v>
      </c>
      <c r="AB1844" s="6" t="s">
        <v>40446</v>
      </c>
      <c r="AC1844" s="6" t="s">
        <v>42368</v>
      </c>
      <c r="AD1844" s="6" t="s">
        <v>45921</v>
      </c>
      <c r="AE1844" s="6" t="s">
        <v>37976</v>
      </c>
      <c r="AF1844" s="6"/>
      <c r="AG1844" s="6"/>
      <c r="AH1844" s="6"/>
      <c r="AI1844" s="6"/>
      <c r="AJ1844" s="6"/>
      <c r="AK1844" s="6"/>
      <c r="AL1844" s="6"/>
      <c r="AM1844" s="6"/>
      <c r="AN1844" s="6"/>
      <c r="AO1844" s="6"/>
      <c r="AP1844" s="6"/>
      <c r="AQ1844" s="6"/>
      <c r="AR1844" s="6"/>
      <c r="AS1844" s="6"/>
      <c r="AT1844" s="6"/>
      <c r="AU1844" s="6"/>
      <c r="AV1844" s="6"/>
      <c r="AW1844" s="6"/>
      <c r="AX1844" s="6"/>
      <c r="AY1844" s="6"/>
      <c r="AZ1844" s="6"/>
      <c r="BA1844" s="6"/>
      <c r="BB1844" s="6"/>
      <c r="BC1844" s="6"/>
      <c r="BD1844" s="6"/>
      <c r="BE1844" s="6"/>
      <c r="BF1844" s="6"/>
      <c r="BG1844" s="6"/>
      <c r="BH1844" s="6"/>
      <c r="BI1844" s="6"/>
      <c r="BJ1844" s="6"/>
      <c r="BK1844" s="6"/>
      <c r="BL1844" s="6"/>
      <c r="BM1844" s="6"/>
      <c r="BN1844" s="6"/>
      <c r="BO1844" s="6"/>
      <c r="BP1844" s="6"/>
      <c r="BQ1844" s="6"/>
      <c r="BR1844" s="6"/>
      <c r="BS1844" s="6"/>
      <c r="BT1844" s="6"/>
    </row>
    <row r="1845" spans="1:72">
      <c r="A1845" s="8" t="s">
        <v>35005</v>
      </c>
      <c r="B1845" s="11" t="s">
        <v>35008</v>
      </c>
      <c r="C1845" s="9" t="s">
        <v>138</v>
      </c>
      <c r="D1845" s="10" t="s">
        <v>138</v>
      </c>
      <c r="E1845" s="28" t="s">
        <v>13609</v>
      </c>
      <c r="F1845" s="28" t="s">
        <v>5271</v>
      </c>
      <c r="G1845" s="28" t="s">
        <v>162</v>
      </c>
      <c r="H1845" s="13">
        <v>5</v>
      </c>
      <c r="I1845" s="12" t="s">
        <v>35020</v>
      </c>
      <c r="J1845" s="12" t="s">
        <v>39462</v>
      </c>
      <c r="K1845" s="12" t="s">
        <v>37835</v>
      </c>
      <c r="L1845" s="12" t="s">
        <v>45922</v>
      </c>
      <c r="M1845" s="12" t="s">
        <v>37839</v>
      </c>
      <c r="N1845" s="12" t="s">
        <v>38442</v>
      </c>
      <c r="O1845" s="12"/>
      <c r="P1845" s="12"/>
      <c r="Q1845" s="12"/>
      <c r="R1845" s="12"/>
      <c r="S1845" s="12"/>
      <c r="T1845" s="12"/>
      <c r="U1845" s="12"/>
      <c r="V1845" s="12"/>
      <c r="W1845" s="12"/>
      <c r="X1845" s="12"/>
      <c r="Y1845" s="12"/>
      <c r="Z1845" s="12"/>
      <c r="AA1845" s="12"/>
      <c r="AB1845" s="12"/>
      <c r="AC1845" s="12"/>
      <c r="AD1845" s="12"/>
      <c r="AE1845" s="12"/>
      <c r="AF1845" s="12"/>
      <c r="AG1845" s="12"/>
      <c r="AH1845" s="12"/>
      <c r="AI1845" s="12"/>
      <c r="AJ1845" s="12"/>
      <c r="AK1845" s="12"/>
      <c r="AL1845" s="12"/>
      <c r="AM1845" s="12"/>
      <c r="AN1845" s="12"/>
      <c r="AO1845" s="12"/>
      <c r="AP1845" s="12"/>
      <c r="AQ1845" s="12"/>
      <c r="AR1845" s="12"/>
      <c r="AS1845" s="12"/>
      <c r="AT1845" s="12"/>
      <c r="AU1845" s="12"/>
      <c r="AV1845" s="12"/>
      <c r="AW1845" s="12"/>
      <c r="AX1845" s="12"/>
      <c r="AY1845" s="12"/>
      <c r="AZ1845" s="12"/>
      <c r="BA1845" s="12"/>
      <c r="BB1845" s="12"/>
      <c r="BC1845" s="12"/>
      <c r="BD1845" s="12"/>
      <c r="BE1845" s="12"/>
      <c r="BF1845" s="12"/>
      <c r="BG1845" s="12"/>
      <c r="BH1845" s="12"/>
      <c r="BI1845" s="12"/>
      <c r="BJ1845" s="12"/>
      <c r="BK1845" s="12"/>
      <c r="BL1845" s="12"/>
      <c r="BM1845" s="12"/>
      <c r="BN1845" s="12"/>
      <c r="BO1845" s="12"/>
      <c r="BP1845" s="12"/>
      <c r="BQ1845" s="12"/>
      <c r="BR1845" s="12"/>
      <c r="BS1845" s="12"/>
      <c r="BT1845" s="12"/>
    </row>
    <row r="1846" spans="1:72">
      <c r="A1846" s="2" t="s">
        <v>35024</v>
      </c>
      <c r="B1846" s="5" t="s">
        <v>35028</v>
      </c>
      <c r="C1846" s="3" t="s">
        <v>138</v>
      </c>
      <c r="D1846" s="4" t="s">
        <v>138</v>
      </c>
      <c r="E1846" s="15" t="s">
        <v>35037</v>
      </c>
      <c r="F1846" s="15" t="s">
        <v>824</v>
      </c>
      <c r="G1846" s="15" t="s">
        <v>526</v>
      </c>
      <c r="H1846" s="7">
        <v>1</v>
      </c>
      <c r="I1846" s="6" t="s">
        <v>2783</v>
      </c>
      <c r="J1846" s="6" t="s">
        <v>2783</v>
      </c>
      <c r="K1846" s="6"/>
      <c r="L1846" s="6"/>
      <c r="M1846" s="6"/>
      <c r="N1846" s="6"/>
      <c r="O1846" s="6"/>
      <c r="P1846" s="6"/>
      <c r="Q1846" s="6"/>
      <c r="R1846" s="6"/>
      <c r="S1846" s="6"/>
      <c r="T1846" s="6"/>
      <c r="U1846" s="6"/>
      <c r="V1846" s="6"/>
      <c r="W1846" s="6"/>
      <c r="X1846" s="6"/>
      <c r="Y1846" s="6"/>
      <c r="Z1846" s="6"/>
      <c r="AA1846" s="6"/>
      <c r="AB1846" s="6"/>
      <c r="AC1846" s="6"/>
      <c r="AD1846" s="6"/>
      <c r="AE1846" s="6"/>
      <c r="AF1846" s="6"/>
      <c r="AG1846" s="6"/>
      <c r="AH1846" s="6"/>
      <c r="AI1846" s="6"/>
      <c r="AJ1846" s="6"/>
      <c r="AK1846" s="6"/>
      <c r="AL1846" s="6"/>
      <c r="AM1846" s="6"/>
      <c r="AN1846" s="6"/>
      <c r="AO1846" s="6"/>
      <c r="AP1846" s="6"/>
      <c r="AQ1846" s="6"/>
      <c r="AR1846" s="6"/>
      <c r="AS1846" s="6"/>
      <c r="AT1846" s="6"/>
      <c r="AU1846" s="6"/>
      <c r="AV1846" s="6"/>
      <c r="AW1846" s="6"/>
      <c r="AX1846" s="6"/>
      <c r="AY1846" s="6"/>
      <c r="AZ1846" s="6"/>
      <c r="BA1846" s="6"/>
      <c r="BB1846" s="6"/>
      <c r="BC1846" s="6"/>
      <c r="BD1846" s="6"/>
      <c r="BE1846" s="6"/>
      <c r="BF1846" s="6"/>
      <c r="BG1846" s="6"/>
      <c r="BH1846" s="6"/>
      <c r="BI1846" s="6"/>
      <c r="BJ1846" s="6"/>
      <c r="BK1846" s="6"/>
      <c r="BL1846" s="6"/>
      <c r="BM1846" s="6"/>
      <c r="BN1846" s="6"/>
      <c r="BO1846" s="6"/>
      <c r="BP1846" s="6"/>
      <c r="BQ1846" s="6"/>
      <c r="BR1846" s="6"/>
      <c r="BS1846" s="6"/>
      <c r="BT1846" s="6"/>
    </row>
    <row r="1847" spans="1:72">
      <c r="A1847" s="8" t="s">
        <v>35042</v>
      </c>
      <c r="B1847" s="11" t="s">
        <v>35046</v>
      </c>
      <c r="C1847" s="9" t="s">
        <v>138</v>
      </c>
      <c r="D1847" s="10" t="s">
        <v>138</v>
      </c>
      <c r="E1847" s="28" t="s">
        <v>668</v>
      </c>
      <c r="F1847" s="28" t="s">
        <v>200</v>
      </c>
      <c r="G1847" s="28" t="s">
        <v>162</v>
      </c>
      <c r="H1847" s="13">
        <v>5</v>
      </c>
      <c r="I1847" s="12" t="s">
        <v>35052</v>
      </c>
      <c r="J1847" s="12" t="s">
        <v>455</v>
      </c>
      <c r="K1847" s="12" t="s">
        <v>45923</v>
      </c>
      <c r="L1847" s="12" t="s">
        <v>38416</v>
      </c>
      <c r="M1847" s="12" t="s">
        <v>39096</v>
      </c>
      <c r="N1847" s="12" t="s">
        <v>40096</v>
      </c>
      <c r="O1847" s="12"/>
      <c r="P1847" s="12"/>
      <c r="Q1847" s="12"/>
      <c r="R1847" s="12"/>
      <c r="S1847" s="12"/>
      <c r="T1847" s="12"/>
      <c r="U1847" s="12"/>
      <c r="V1847" s="12"/>
      <c r="W1847" s="12"/>
      <c r="X1847" s="12"/>
      <c r="Y1847" s="12"/>
      <c r="Z1847" s="12"/>
      <c r="AA1847" s="12"/>
      <c r="AB1847" s="12"/>
      <c r="AC1847" s="12"/>
      <c r="AD1847" s="12"/>
      <c r="AE1847" s="12"/>
      <c r="AF1847" s="12"/>
      <c r="AG1847" s="12"/>
      <c r="AH1847" s="12"/>
      <c r="AI1847" s="12"/>
      <c r="AJ1847" s="12"/>
      <c r="AK1847" s="12"/>
      <c r="AL1847" s="12"/>
      <c r="AM1847" s="12"/>
      <c r="AN1847" s="12"/>
      <c r="AO1847" s="12"/>
      <c r="AP1847" s="12"/>
      <c r="AQ1847" s="12"/>
      <c r="AR1847" s="12"/>
      <c r="AS1847" s="12"/>
      <c r="AT1847" s="12"/>
      <c r="AU1847" s="12"/>
      <c r="AV1847" s="12"/>
      <c r="AW1847" s="12"/>
      <c r="AX1847" s="12"/>
      <c r="AY1847" s="12"/>
      <c r="AZ1847" s="12"/>
      <c r="BA1847" s="12"/>
      <c r="BB1847" s="12"/>
      <c r="BC1847" s="12"/>
      <c r="BD1847" s="12"/>
      <c r="BE1847" s="12"/>
      <c r="BF1847" s="12"/>
      <c r="BG1847" s="12"/>
      <c r="BH1847" s="12"/>
      <c r="BI1847" s="12"/>
      <c r="BJ1847" s="12"/>
      <c r="BK1847" s="12"/>
      <c r="BL1847" s="12"/>
      <c r="BM1847" s="12"/>
      <c r="BN1847" s="12"/>
      <c r="BO1847" s="12"/>
      <c r="BP1847" s="12"/>
      <c r="BQ1847" s="12"/>
      <c r="BR1847" s="12"/>
      <c r="BS1847" s="12"/>
      <c r="BT1847" s="12"/>
    </row>
    <row r="1848" spans="1:72">
      <c r="A1848" s="2" t="s">
        <v>35055</v>
      </c>
      <c r="B1848" s="5" t="s">
        <v>35059</v>
      </c>
      <c r="C1848" s="3" t="s">
        <v>138</v>
      </c>
      <c r="D1848" s="4" t="s">
        <v>138</v>
      </c>
      <c r="E1848" s="15" t="s">
        <v>426</v>
      </c>
      <c r="F1848" s="15" t="s">
        <v>426</v>
      </c>
      <c r="G1848" s="15" t="s">
        <v>162</v>
      </c>
      <c r="H1848" s="7">
        <v>27</v>
      </c>
      <c r="I1848" s="6" t="s">
        <v>35068</v>
      </c>
      <c r="J1848" s="6" t="s">
        <v>41088</v>
      </c>
      <c r="K1848" s="6" t="s">
        <v>45924</v>
      </c>
      <c r="L1848" s="6" t="s">
        <v>37934</v>
      </c>
      <c r="M1848" s="6" t="s">
        <v>38354</v>
      </c>
      <c r="N1848" s="6" t="s">
        <v>45925</v>
      </c>
      <c r="O1848" s="6" t="s">
        <v>38332</v>
      </c>
      <c r="P1848" s="6" t="s">
        <v>41537</v>
      </c>
      <c r="Q1848" s="6" t="s">
        <v>45926</v>
      </c>
      <c r="R1848" s="6" t="s">
        <v>45927</v>
      </c>
      <c r="S1848" s="6" t="s">
        <v>38745</v>
      </c>
      <c r="T1848" s="6" t="s">
        <v>38016</v>
      </c>
      <c r="U1848" s="6" t="s">
        <v>37882</v>
      </c>
      <c r="V1848" s="6" t="s">
        <v>45928</v>
      </c>
      <c r="W1848" s="6" t="s">
        <v>39759</v>
      </c>
      <c r="X1848" s="6" t="s">
        <v>43039</v>
      </c>
      <c r="Y1848" s="6" t="s">
        <v>38021</v>
      </c>
      <c r="Z1848" s="6" t="s">
        <v>40383</v>
      </c>
      <c r="AA1848" s="6" t="s">
        <v>45929</v>
      </c>
      <c r="AB1848" s="6" t="s">
        <v>45930</v>
      </c>
      <c r="AC1848" s="6" t="s">
        <v>38749</v>
      </c>
      <c r="AD1848" s="6" t="s">
        <v>45931</v>
      </c>
      <c r="AE1848" s="6" t="s">
        <v>38864</v>
      </c>
      <c r="AF1848" s="6" t="s">
        <v>38480</v>
      </c>
      <c r="AG1848" s="6" t="s">
        <v>41509</v>
      </c>
      <c r="AH1848" s="6" t="s">
        <v>45932</v>
      </c>
      <c r="AI1848" s="6" t="s">
        <v>41205</v>
      </c>
      <c r="AJ1848" s="6" t="s">
        <v>45933</v>
      </c>
      <c r="AK1848" s="6"/>
      <c r="AL1848" s="6"/>
      <c r="AM1848" s="6"/>
      <c r="AN1848" s="6"/>
      <c r="AO1848" s="6"/>
      <c r="AP1848" s="6"/>
      <c r="AQ1848" s="6"/>
      <c r="AR1848" s="6"/>
      <c r="AS1848" s="6"/>
      <c r="AT1848" s="6"/>
      <c r="AU1848" s="6"/>
      <c r="AV1848" s="6"/>
      <c r="AW1848" s="6"/>
      <c r="AX1848" s="6"/>
      <c r="AY1848" s="6"/>
      <c r="AZ1848" s="6"/>
      <c r="BA1848" s="6"/>
      <c r="BB1848" s="6"/>
      <c r="BC1848" s="6"/>
      <c r="BD1848" s="6"/>
      <c r="BE1848" s="6"/>
      <c r="BF1848" s="6"/>
      <c r="BG1848" s="6"/>
      <c r="BH1848" s="6"/>
      <c r="BI1848" s="6"/>
      <c r="BJ1848" s="6"/>
      <c r="BK1848" s="6"/>
      <c r="BL1848" s="6"/>
      <c r="BM1848" s="6"/>
      <c r="BN1848" s="6"/>
      <c r="BO1848" s="6"/>
      <c r="BP1848" s="6"/>
      <c r="BQ1848" s="6"/>
      <c r="BR1848" s="6"/>
      <c r="BS1848" s="6"/>
      <c r="BT1848" s="6"/>
    </row>
    <row r="1849" spans="1:72">
      <c r="A1849" s="8" t="s">
        <v>35073</v>
      </c>
      <c r="B1849" s="11" t="s">
        <v>35078</v>
      </c>
      <c r="C1849" s="9" t="s">
        <v>138</v>
      </c>
      <c r="D1849" s="10" t="s">
        <v>138</v>
      </c>
      <c r="E1849" s="28" t="s">
        <v>1847</v>
      </c>
      <c r="F1849" s="28" t="s">
        <v>864</v>
      </c>
      <c r="G1849" s="28" t="s">
        <v>162</v>
      </c>
      <c r="H1849" s="13">
        <v>4</v>
      </c>
      <c r="I1849" s="12" t="s">
        <v>35090</v>
      </c>
      <c r="J1849" s="12" t="s">
        <v>40535</v>
      </c>
      <c r="K1849" s="12" t="s">
        <v>40772</v>
      </c>
      <c r="L1849" s="12" t="s">
        <v>45934</v>
      </c>
      <c r="M1849" s="12" t="s">
        <v>45935</v>
      </c>
      <c r="N1849" s="12"/>
      <c r="O1849" s="12"/>
      <c r="P1849" s="12"/>
      <c r="Q1849" s="12"/>
      <c r="R1849" s="12"/>
      <c r="S1849" s="12"/>
      <c r="T1849" s="12"/>
      <c r="U1849" s="12"/>
      <c r="V1849" s="12"/>
      <c r="W1849" s="12"/>
      <c r="X1849" s="12"/>
      <c r="Y1849" s="12"/>
      <c r="Z1849" s="12"/>
      <c r="AA1849" s="12"/>
      <c r="AB1849" s="12"/>
      <c r="AC1849" s="12"/>
      <c r="AD1849" s="12"/>
      <c r="AE1849" s="12"/>
      <c r="AF1849" s="12"/>
      <c r="AG1849" s="12"/>
      <c r="AH1849" s="12"/>
      <c r="AI1849" s="12"/>
      <c r="AJ1849" s="12"/>
      <c r="AK1849" s="12"/>
      <c r="AL1849" s="12"/>
      <c r="AM1849" s="12"/>
      <c r="AN1849" s="12"/>
      <c r="AO1849" s="12"/>
      <c r="AP1849" s="12"/>
      <c r="AQ1849" s="12"/>
      <c r="AR1849" s="12"/>
      <c r="AS1849" s="12"/>
      <c r="AT1849" s="12"/>
      <c r="AU1849" s="12"/>
      <c r="AV1849" s="12"/>
      <c r="AW1849" s="12"/>
      <c r="AX1849" s="12"/>
      <c r="AY1849" s="12"/>
      <c r="AZ1849" s="12"/>
      <c r="BA1849" s="12"/>
      <c r="BB1849" s="12"/>
      <c r="BC1849" s="12"/>
      <c r="BD1849" s="12"/>
      <c r="BE1849" s="12"/>
      <c r="BF1849" s="12"/>
      <c r="BG1849" s="12"/>
      <c r="BH1849" s="12"/>
      <c r="BI1849" s="12"/>
      <c r="BJ1849" s="12"/>
      <c r="BK1849" s="12"/>
      <c r="BL1849" s="12"/>
      <c r="BM1849" s="12"/>
      <c r="BN1849" s="12"/>
      <c r="BO1849" s="12"/>
      <c r="BP1849" s="12"/>
      <c r="BQ1849" s="12"/>
      <c r="BR1849" s="12"/>
      <c r="BS1849" s="12"/>
      <c r="BT1849" s="12"/>
    </row>
    <row r="1850" spans="1:72">
      <c r="A1850" s="2" t="s">
        <v>35097</v>
      </c>
      <c r="B1850" s="5" t="s">
        <v>35102</v>
      </c>
      <c r="C1850" s="3" t="s">
        <v>138</v>
      </c>
      <c r="D1850" s="4" t="s">
        <v>138</v>
      </c>
      <c r="E1850" s="15" t="s">
        <v>2005</v>
      </c>
      <c r="F1850" s="15" t="s">
        <v>200</v>
      </c>
      <c r="G1850" s="15" t="s">
        <v>162</v>
      </c>
      <c r="H1850" s="7">
        <v>6</v>
      </c>
      <c r="I1850" s="6" t="s">
        <v>35112</v>
      </c>
      <c r="J1850" s="6" t="s">
        <v>37785</v>
      </c>
      <c r="K1850" s="6" t="s">
        <v>44474</v>
      </c>
      <c r="L1850" s="6" t="s">
        <v>39778</v>
      </c>
      <c r="M1850" s="6" t="s">
        <v>45936</v>
      </c>
      <c r="N1850" s="6" t="s">
        <v>38816</v>
      </c>
      <c r="O1850" s="6" t="s">
        <v>45937</v>
      </c>
      <c r="P1850" s="6"/>
      <c r="Q1850" s="6"/>
      <c r="R1850" s="6"/>
      <c r="S1850" s="6"/>
      <c r="T1850" s="6"/>
      <c r="U1850" s="6"/>
      <c r="V1850" s="6"/>
      <c r="W1850" s="6"/>
      <c r="X1850" s="6"/>
      <c r="Y1850" s="6"/>
      <c r="Z1850" s="6"/>
      <c r="AA1850" s="6"/>
      <c r="AB1850" s="6"/>
      <c r="AC1850" s="6"/>
      <c r="AD1850" s="6"/>
      <c r="AE1850" s="6"/>
      <c r="AF1850" s="6"/>
      <c r="AG1850" s="6"/>
      <c r="AH1850" s="6"/>
      <c r="AI1850" s="6"/>
      <c r="AJ1850" s="6"/>
      <c r="AK1850" s="6"/>
      <c r="AL1850" s="6"/>
      <c r="AM1850" s="6"/>
      <c r="AN1850" s="6"/>
      <c r="AO1850" s="6"/>
      <c r="AP1850" s="6"/>
      <c r="AQ1850" s="6"/>
      <c r="AR1850" s="6"/>
      <c r="AS1850" s="6"/>
      <c r="AT1850" s="6"/>
      <c r="AU1850" s="6"/>
      <c r="AV1850" s="6"/>
      <c r="AW1850" s="6"/>
      <c r="AX1850" s="6"/>
      <c r="AY1850" s="6"/>
      <c r="AZ1850" s="6"/>
      <c r="BA1850" s="6"/>
      <c r="BB1850" s="6"/>
      <c r="BC1850" s="6"/>
      <c r="BD1850" s="6"/>
      <c r="BE1850" s="6"/>
      <c r="BF1850" s="6"/>
      <c r="BG1850" s="6"/>
      <c r="BH1850" s="6"/>
      <c r="BI1850" s="6"/>
      <c r="BJ1850" s="6"/>
      <c r="BK1850" s="6"/>
      <c r="BL1850" s="6"/>
      <c r="BM1850" s="6"/>
      <c r="BN1850" s="6"/>
      <c r="BO1850" s="6"/>
      <c r="BP1850" s="6"/>
      <c r="BQ1850" s="6"/>
      <c r="BR1850" s="6"/>
      <c r="BS1850" s="6"/>
      <c r="BT1850" s="6"/>
    </row>
    <row r="1851" spans="1:72">
      <c r="A1851" s="8" t="s">
        <v>35119</v>
      </c>
      <c r="B1851" s="11" t="s">
        <v>35125</v>
      </c>
      <c r="C1851" s="9" t="s">
        <v>138</v>
      </c>
      <c r="D1851" s="10" t="s">
        <v>138</v>
      </c>
      <c r="E1851" s="28" t="s">
        <v>35132</v>
      </c>
      <c r="F1851" s="28" t="s">
        <v>138</v>
      </c>
      <c r="G1851" s="28" t="s">
        <v>3693</v>
      </c>
      <c r="H1851" s="13">
        <v>8</v>
      </c>
      <c r="I1851" s="12" t="s">
        <v>35137</v>
      </c>
      <c r="J1851" s="12" t="s">
        <v>39029</v>
      </c>
      <c r="K1851" s="12" t="s">
        <v>45696</v>
      </c>
      <c r="L1851" s="12" t="s">
        <v>45938</v>
      </c>
      <c r="M1851" s="12" t="s">
        <v>45939</v>
      </c>
      <c r="N1851" s="12" t="s">
        <v>40125</v>
      </c>
      <c r="O1851" s="12" t="s">
        <v>45940</v>
      </c>
      <c r="P1851" s="12" t="s">
        <v>45941</v>
      </c>
      <c r="Q1851" s="12" t="s">
        <v>40651</v>
      </c>
      <c r="R1851" s="12"/>
      <c r="S1851" s="12"/>
      <c r="T1851" s="12"/>
      <c r="U1851" s="12"/>
      <c r="V1851" s="12"/>
      <c r="W1851" s="12"/>
      <c r="X1851" s="12"/>
      <c r="Y1851" s="12"/>
      <c r="Z1851" s="12"/>
      <c r="AA1851" s="12"/>
      <c r="AB1851" s="12"/>
      <c r="AC1851" s="12"/>
      <c r="AD1851" s="12"/>
      <c r="AE1851" s="12"/>
      <c r="AF1851" s="12"/>
      <c r="AG1851" s="12"/>
      <c r="AH1851" s="12"/>
      <c r="AI1851" s="12"/>
      <c r="AJ1851" s="12"/>
      <c r="AK1851" s="12"/>
      <c r="AL1851" s="12"/>
      <c r="AM1851" s="12"/>
      <c r="AN1851" s="12"/>
      <c r="AO1851" s="12"/>
      <c r="AP1851" s="12"/>
      <c r="AQ1851" s="12"/>
      <c r="AR1851" s="12"/>
      <c r="AS1851" s="12"/>
      <c r="AT1851" s="12"/>
      <c r="AU1851" s="12"/>
      <c r="AV1851" s="12"/>
      <c r="AW1851" s="12"/>
      <c r="AX1851" s="12"/>
      <c r="AY1851" s="12"/>
      <c r="AZ1851" s="12"/>
      <c r="BA1851" s="12"/>
      <c r="BB1851" s="12"/>
      <c r="BC1851" s="12"/>
      <c r="BD1851" s="12"/>
      <c r="BE1851" s="12"/>
      <c r="BF1851" s="12"/>
      <c r="BG1851" s="12"/>
      <c r="BH1851" s="12"/>
      <c r="BI1851" s="12"/>
      <c r="BJ1851" s="12"/>
      <c r="BK1851" s="12"/>
      <c r="BL1851" s="12"/>
      <c r="BM1851" s="12"/>
      <c r="BN1851" s="12"/>
      <c r="BO1851" s="12"/>
      <c r="BP1851" s="12"/>
      <c r="BQ1851" s="12"/>
      <c r="BR1851" s="12"/>
      <c r="BS1851" s="12"/>
      <c r="BT1851" s="12"/>
    </row>
    <row r="1852" spans="1:72">
      <c r="A1852" s="2" t="s">
        <v>35141</v>
      </c>
      <c r="B1852" s="5" t="s">
        <v>35145</v>
      </c>
      <c r="C1852" s="3" t="s">
        <v>138</v>
      </c>
      <c r="D1852" s="4" t="s">
        <v>138</v>
      </c>
      <c r="E1852" s="15" t="s">
        <v>310</v>
      </c>
      <c r="F1852" s="15" t="s">
        <v>200</v>
      </c>
      <c r="G1852" s="15" t="s">
        <v>162</v>
      </c>
      <c r="H1852" s="7">
        <v>14</v>
      </c>
      <c r="I1852" s="6" t="s">
        <v>35155</v>
      </c>
      <c r="J1852" s="6" t="s">
        <v>40289</v>
      </c>
      <c r="K1852" s="6" t="s">
        <v>41692</v>
      </c>
      <c r="L1852" s="6" t="s">
        <v>40657</v>
      </c>
      <c r="M1852" s="6" t="s">
        <v>45942</v>
      </c>
      <c r="N1852" s="6" t="s">
        <v>45943</v>
      </c>
      <c r="O1852" s="6" t="s">
        <v>40471</v>
      </c>
      <c r="P1852" s="6" t="s">
        <v>45944</v>
      </c>
      <c r="Q1852" s="6" t="s">
        <v>45945</v>
      </c>
      <c r="R1852" s="6" t="s">
        <v>45946</v>
      </c>
      <c r="S1852" s="6" t="s">
        <v>39744</v>
      </c>
      <c r="T1852" s="6" t="s">
        <v>43354</v>
      </c>
      <c r="U1852" s="6" t="s">
        <v>40784</v>
      </c>
      <c r="V1852" s="6" t="s">
        <v>45947</v>
      </c>
      <c r="W1852" s="6" t="s">
        <v>45948</v>
      </c>
      <c r="X1852" s="6"/>
      <c r="Y1852" s="6"/>
      <c r="Z1852" s="6"/>
      <c r="AA1852" s="6"/>
      <c r="AB1852" s="6"/>
      <c r="AC1852" s="6"/>
      <c r="AD1852" s="6"/>
      <c r="AE1852" s="6"/>
      <c r="AF1852" s="6"/>
      <c r="AG1852" s="6"/>
      <c r="AH1852" s="6"/>
      <c r="AI1852" s="6"/>
      <c r="AJ1852" s="6"/>
      <c r="AK1852" s="6"/>
      <c r="AL1852" s="6"/>
      <c r="AM1852" s="6"/>
      <c r="AN1852" s="6"/>
      <c r="AO1852" s="6"/>
      <c r="AP1852" s="6"/>
      <c r="AQ1852" s="6"/>
      <c r="AR1852" s="6"/>
      <c r="AS1852" s="6"/>
      <c r="AT1852" s="6"/>
      <c r="AU1852" s="6"/>
      <c r="AV1852" s="6"/>
      <c r="AW1852" s="6"/>
      <c r="AX1852" s="6"/>
      <c r="AY1852" s="6"/>
      <c r="AZ1852" s="6"/>
      <c r="BA1852" s="6"/>
      <c r="BB1852" s="6"/>
      <c r="BC1852" s="6"/>
      <c r="BD1852" s="6"/>
      <c r="BE1852" s="6"/>
      <c r="BF1852" s="6"/>
      <c r="BG1852" s="6"/>
      <c r="BH1852" s="6"/>
      <c r="BI1852" s="6"/>
      <c r="BJ1852" s="6"/>
      <c r="BK1852" s="6"/>
      <c r="BL1852" s="6"/>
      <c r="BM1852" s="6"/>
      <c r="BN1852" s="6"/>
      <c r="BO1852" s="6"/>
      <c r="BP1852" s="6"/>
      <c r="BQ1852" s="6"/>
      <c r="BR1852" s="6"/>
      <c r="BS1852" s="6"/>
      <c r="BT1852" s="6"/>
    </row>
    <row r="1853" spans="1:72">
      <c r="A1853" s="8" t="s">
        <v>35160</v>
      </c>
      <c r="B1853" s="11" t="s">
        <v>35163</v>
      </c>
      <c r="C1853" s="9" t="s">
        <v>138</v>
      </c>
      <c r="D1853" s="10" t="s">
        <v>138</v>
      </c>
      <c r="E1853" s="28" t="s">
        <v>449</v>
      </c>
      <c r="F1853" s="28" t="s">
        <v>138</v>
      </c>
      <c r="G1853" s="28" t="s">
        <v>450</v>
      </c>
      <c r="H1853" s="13">
        <v>4</v>
      </c>
      <c r="I1853" s="12" t="s">
        <v>35171</v>
      </c>
      <c r="J1853" s="12" t="s">
        <v>455</v>
      </c>
      <c r="K1853" s="12" t="s">
        <v>38651</v>
      </c>
      <c r="L1853" s="12" t="s">
        <v>41479</v>
      </c>
      <c r="M1853" s="12" t="s">
        <v>38189</v>
      </c>
      <c r="N1853" s="12"/>
      <c r="O1853" s="12"/>
      <c r="P1853" s="12"/>
      <c r="Q1853" s="12"/>
      <c r="R1853" s="12"/>
      <c r="S1853" s="12"/>
      <c r="T1853" s="12"/>
      <c r="U1853" s="12"/>
      <c r="V1853" s="12"/>
      <c r="W1853" s="12"/>
      <c r="X1853" s="12"/>
      <c r="Y1853" s="12"/>
      <c r="Z1853" s="12"/>
      <c r="AA1853" s="12"/>
      <c r="AB1853" s="12"/>
      <c r="AC1853" s="12"/>
      <c r="AD1853" s="12"/>
      <c r="AE1853" s="12"/>
      <c r="AF1853" s="12"/>
      <c r="AG1853" s="12"/>
      <c r="AH1853" s="12"/>
      <c r="AI1853" s="12"/>
      <c r="AJ1853" s="12"/>
      <c r="AK1853" s="12"/>
      <c r="AL1853" s="12"/>
      <c r="AM1853" s="12"/>
      <c r="AN1853" s="12"/>
      <c r="AO1853" s="12"/>
      <c r="AP1853" s="12"/>
      <c r="AQ1853" s="12"/>
      <c r="AR1853" s="12"/>
      <c r="AS1853" s="12"/>
      <c r="AT1853" s="12"/>
      <c r="AU1853" s="12"/>
      <c r="AV1853" s="12"/>
      <c r="AW1853" s="12"/>
      <c r="AX1853" s="12"/>
      <c r="AY1853" s="12"/>
      <c r="AZ1853" s="12"/>
      <c r="BA1853" s="12"/>
      <c r="BB1853" s="12"/>
      <c r="BC1853" s="12"/>
      <c r="BD1853" s="12"/>
      <c r="BE1853" s="12"/>
      <c r="BF1853" s="12"/>
      <c r="BG1853" s="12"/>
      <c r="BH1853" s="12"/>
      <c r="BI1853" s="12"/>
      <c r="BJ1853" s="12"/>
      <c r="BK1853" s="12"/>
      <c r="BL1853" s="12"/>
      <c r="BM1853" s="12"/>
      <c r="BN1853" s="12"/>
      <c r="BO1853" s="12"/>
      <c r="BP1853" s="12"/>
      <c r="BQ1853" s="12"/>
      <c r="BR1853" s="12"/>
      <c r="BS1853" s="12"/>
      <c r="BT1853" s="12"/>
    </row>
    <row r="1854" spans="1:72">
      <c r="A1854" s="2" t="s">
        <v>35174</v>
      </c>
      <c r="B1854" s="5" t="s">
        <v>35178</v>
      </c>
      <c r="C1854" s="3" t="s">
        <v>138</v>
      </c>
      <c r="D1854" s="4" t="s">
        <v>138</v>
      </c>
      <c r="E1854" s="15" t="s">
        <v>668</v>
      </c>
      <c r="F1854" s="15" t="s">
        <v>200</v>
      </c>
      <c r="G1854" s="15" t="s">
        <v>162</v>
      </c>
      <c r="H1854" s="7">
        <v>8</v>
      </c>
      <c r="I1854" s="6" t="s">
        <v>35189</v>
      </c>
      <c r="J1854" s="6" t="s">
        <v>43211</v>
      </c>
      <c r="K1854" s="6" t="s">
        <v>37832</v>
      </c>
      <c r="L1854" s="6" t="s">
        <v>38299</v>
      </c>
      <c r="M1854" s="6" t="s">
        <v>37851</v>
      </c>
      <c r="N1854" s="6" t="s">
        <v>45949</v>
      </c>
      <c r="O1854" s="6" t="s">
        <v>45950</v>
      </c>
      <c r="P1854" s="6" t="s">
        <v>45951</v>
      </c>
      <c r="Q1854" s="6" t="s">
        <v>45952</v>
      </c>
      <c r="R1854" s="6"/>
      <c r="S1854" s="6"/>
      <c r="T1854" s="6"/>
      <c r="U1854" s="6"/>
      <c r="V1854" s="6"/>
      <c r="W1854" s="6"/>
      <c r="X1854" s="6"/>
      <c r="Y1854" s="6"/>
      <c r="Z1854" s="6"/>
      <c r="AA1854" s="6"/>
      <c r="AB1854" s="6"/>
      <c r="AC1854" s="6"/>
      <c r="AD1854" s="6"/>
      <c r="AE1854" s="6"/>
      <c r="AF1854" s="6"/>
      <c r="AG1854" s="6"/>
      <c r="AH1854" s="6"/>
      <c r="AI1854" s="6"/>
      <c r="AJ1854" s="6"/>
      <c r="AK1854" s="6"/>
      <c r="AL1854" s="6"/>
      <c r="AM1854" s="6"/>
      <c r="AN1854" s="6"/>
      <c r="AO1854" s="6"/>
      <c r="AP1854" s="6"/>
      <c r="AQ1854" s="6"/>
      <c r="AR1854" s="6"/>
      <c r="AS1854" s="6"/>
      <c r="AT1854" s="6"/>
      <c r="AU1854" s="6"/>
      <c r="AV1854" s="6"/>
      <c r="AW1854" s="6"/>
      <c r="AX1854" s="6"/>
      <c r="AY1854" s="6"/>
      <c r="AZ1854" s="6"/>
      <c r="BA1854" s="6"/>
      <c r="BB1854" s="6"/>
      <c r="BC1854" s="6"/>
      <c r="BD1854" s="6"/>
      <c r="BE1854" s="6"/>
      <c r="BF1854" s="6"/>
      <c r="BG1854" s="6"/>
      <c r="BH1854" s="6"/>
      <c r="BI1854" s="6"/>
      <c r="BJ1854" s="6"/>
      <c r="BK1854" s="6"/>
      <c r="BL1854" s="6"/>
      <c r="BM1854" s="6"/>
      <c r="BN1854" s="6"/>
      <c r="BO1854" s="6"/>
      <c r="BP1854" s="6"/>
      <c r="BQ1854" s="6"/>
      <c r="BR1854" s="6"/>
      <c r="BS1854" s="6"/>
      <c r="BT1854" s="6"/>
    </row>
    <row r="1855" spans="1:72">
      <c r="A1855" s="8" t="s">
        <v>35192</v>
      </c>
      <c r="B1855" s="11" t="s">
        <v>35197</v>
      </c>
      <c r="C1855" s="9" t="s">
        <v>138</v>
      </c>
      <c r="D1855" s="10" t="s">
        <v>35193</v>
      </c>
      <c r="E1855" s="28" t="s">
        <v>4349</v>
      </c>
      <c r="F1855" s="28" t="s">
        <v>138</v>
      </c>
      <c r="G1855" s="28" t="s">
        <v>1054</v>
      </c>
      <c r="H1855" s="13">
        <v>6</v>
      </c>
      <c r="I1855" s="12" t="s">
        <v>35207</v>
      </c>
      <c r="J1855" s="12" t="s">
        <v>38274</v>
      </c>
      <c r="K1855" s="12" t="s">
        <v>45835</v>
      </c>
      <c r="L1855" s="12" t="s">
        <v>45953</v>
      </c>
      <c r="M1855" s="12" t="s">
        <v>45954</v>
      </c>
      <c r="N1855" s="12" t="s">
        <v>45859</v>
      </c>
      <c r="O1855" s="12" t="s">
        <v>43605</v>
      </c>
      <c r="P1855" s="12"/>
      <c r="Q1855" s="12"/>
      <c r="R1855" s="12"/>
      <c r="S1855" s="12"/>
      <c r="T1855" s="12"/>
      <c r="U1855" s="12"/>
      <c r="V1855" s="12"/>
      <c r="W1855" s="12"/>
      <c r="X1855" s="12"/>
      <c r="Y1855" s="12"/>
      <c r="Z1855" s="12"/>
      <c r="AA1855" s="12"/>
      <c r="AB1855" s="12"/>
      <c r="AC1855" s="12"/>
      <c r="AD1855" s="12"/>
      <c r="AE1855" s="12"/>
      <c r="AF1855" s="12"/>
      <c r="AG1855" s="12"/>
      <c r="AH1855" s="12"/>
      <c r="AI1855" s="12"/>
      <c r="AJ1855" s="12"/>
      <c r="AK1855" s="12"/>
      <c r="AL1855" s="12"/>
      <c r="AM1855" s="12"/>
      <c r="AN1855" s="12"/>
      <c r="AO1855" s="12"/>
      <c r="AP1855" s="12"/>
      <c r="AQ1855" s="12"/>
      <c r="AR1855" s="12"/>
      <c r="AS1855" s="12"/>
      <c r="AT1855" s="12"/>
      <c r="AU1855" s="12"/>
      <c r="AV1855" s="12"/>
      <c r="AW1855" s="12"/>
      <c r="AX1855" s="12"/>
      <c r="AY1855" s="12"/>
      <c r="AZ1855" s="12"/>
      <c r="BA1855" s="12"/>
      <c r="BB1855" s="12"/>
      <c r="BC1855" s="12"/>
      <c r="BD1855" s="12"/>
      <c r="BE1855" s="12"/>
      <c r="BF1855" s="12"/>
      <c r="BG1855" s="12"/>
      <c r="BH1855" s="12"/>
      <c r="BI1855" s="12"/>
      <c r="BJ1855" s="12"/>
      <c r="BK1855" s="12"/>
      <c r="BL1855" s="12"/>
      <c r="BM1855" s="12"/>
      <c r="BN1855" s="12"/>
      <c r="BO1855" s="12"/>
      <c r="BP1855" s="12"/>
      <c r="BQ1855" s="12"/>
      <c r="BR1855" s="12"/>
      <c r="BS1855" s="12"/>
      <c r="BT1855" s="12"/>
    </row>
    <row r="1856" spans="1:72">
      <c r="A1856" s="2" t="s">
        <v>35210</v>
      </c>
      <c r="B1856" s="5" t="s">
        <v>35214</v>
      </c>
      <c r="C1856" s="3" t="s">
        <v>138</v>
      </c>
      <c r="D1856" s="4" t="s">
        <v>138</v>
      </c>
      <c r="E1856" s="15" t="s">
        <v>3670</v>
      </c>
      <c r="F1856" s="15" t="s">
        <v>200</v>
      </c>
      <c r="G1856" s="15" t="s">
        <v>162</v>
      </c>
      <c r="H1856" s="7">
        <v>9</v>
      </c>
      <c r="I1856" s="6" t="s">
        <v>35222</v>
      </c>
      <c r="J1856" s="6" t="s">
        <v>39330</v>
      </c>
      <c r="K1856" s="6" t="s">
        <v>43486</v>
      </c>
      <c r="L1856" s="6" t="s">
        <v>39944</v>
      </c>
      <c r="M1856" s="6" t="s">
        <v>40348</v>
      </c>
      <c r="N1856" s="6" t="s">
        <v>40560</v>
      </c>
      <c r="O1856" s="6" t="s">
        <v>38321</v>
      </c>
      <c r="P1856" s="6" t="s">
        <v>39744</v>
      </c>
      <c r="Q1856" s="6" t="s">
        <v>38201</v>
      </c>
      <c r="R1856" s="6" t="s">
        <v>38582</v>
      </c>
      <c r="S1856" s="6"/>
      <c r="T1856" s="6"/>
      <c r="U1856" s="6"/>
      <c r="V1856" s="6"/>
      <c r="W1856" s="6"/>
      <c r="X1856" s="6"/>
      <c r="Y1856" s="6"/>
      <c r="Z1856" s="6"/>
      <c r="AA1856" s="6"/>
      <c r="AB1856" s="6"/>
      <c r="AC1856" s="6"/>
      <c r="AD1856" s="6"/>
      <c r="AE1856" s="6"/>
      <c r="AF1856" s="6"/>
      <c r="AG1856" s="6"/>
      <c r="AH1856" s="6"/>
      <c r="AI1856" s="6"/>
      <c r="AJ1856" s="6"/>
      <c r="AK1856" s="6"/>
      <c r="AL1856" s="6"/>
      <c r="AM1856" s="6"/>
      <c r="AN1856" s="6"/>
      <c r="AO1856" s="6"/>
      <c r="AP1856" s="6"/>
      <c r="AQ1856" s="6"/>
      <c r="AR1856" s="6"/>
      <c r="AS1856" s="6"/>
      <c r="AT1856" s="6"/>
      <c r="AU1856" s="6"/>
      <c r="AV1856" s="6"/>
      <c r="AW1856" s="6"/>
      <c r="AX1856" s="6"/>
      <c r="AY1856" s="6"/>
      <c r="AZ1856" s="6"/>
      <c r="BA1856" s="6"/>
      <c r="BB1856" s="6"/>
      <c r="BC1856" s="6"/>
      <c r="BD1856" s="6"/>
      <c r="BE1856" s="6"/>
      <c r="BF1856" s="6"/>
      <c r="BG1856" s="6"/>
      <c r="BH1856" s="6"/>
      <c r="BI1856" s="6"/>
      <c r="BJ1856" s="6"/>
      <c r="BK1856" s="6"/>
      <c r="BL1856" s="6"/>
      <c r="BM1856" s="6"/>
      <c r="BN1856" s="6"/>
      <c r="BO1856" s="6"/>
      <c r="BP1856" s="6"/>
      <c r="BQ1856" s="6"/>
      <c r="BR1856" s="6"/>
      <c r="BS1856" s="6"/>
      <c r="BT1856" s="6"/>
    </row>
    <row r="1857" spans="1:72">
      <c r="A1857" s="8" t="s">
        <v>35227</v>
      </c>
      <c r="B1857" s="11" t="s">
        <v>35230</v>
      </c>
      <c r="C1857" s="9" t="s">
        <v>138</v>
      </c>
      <c r="D1857" s="10" t="s">
        <v>138</v>
      </c>
      <c r="E1857" s="28" t="s">
        <v>13653</v>
      </c>
      <c r="F1857" s="28" t="s">
        <v>13654</v>
      </c>
      <c r="G1857" s="28" t="s">
        <v>8999</v>
      </c>
      <c r="H1857" s="13">
        <v>3</v>
      </c>
      <c r="I1857" s="12" t="s">
        <v>35240</v>
      </c>
      <c r="J1857" s="12" t="s">
        <v>45955</v>
      </c>
      <c r="K1857" s="12" t="s">
        <v>37781</v>
      </c>
      <c r="L1857" s="12" t="s">
        <v>45956</v>
      </c>
      <c r="M1857" s="12"/>
      <c r="N1857" s="12"/>
      <c r="O1857" s="12"/>
      <c r="P1857" s="12"/>
      <c r="Q1857" s="12"/>
      <c r="R1857" s="12"/>
      <c r="S1857" s="12"/>
      <c r="T1857" s="12"/>
      <c r="U1857" s="12"/>
      <c r="V1857" s="12"/>
      <c r="W1857" s="12"/>
      <c r="X1857" s="12"/>
      <c r="Y1857" s="12"/>
      <c r="Z1857" s="12"/>
      <c r="AA1857" s="12"/>
      <c r="AB1857" s="12"/>
      <c r="AC1857" s="12"/>
      <c r="AD1857" s="12"/>
      <c r="AE1857" s="12"/>
      <c r="AF1857" s="12"/>
      <c r="AG1857" s="12"/>
      <c r="AH1857" s="12"/>
      <c r="AI1857" s="12"/>
      <c r="AJ1857" s="12"/>
      <c r="AK1857" s="12"/>
      <c r="AL1857" s="12"/>
      <c r="AM1857" s="12"/>
      <c r="AN1857" s="12"/>
      <c r="AO1857" s="12"/>
      <c r="AP1857" s="12"/>
      <c r="AQ1857" s="12"/>
      <c r="AR1857" s="12"/>
      <c r="AS1857" s="12"/>
      <c r="AT1857" s="12"/>
      <c r="AU1857" s="12"/>
      <c r="AV1857" s="12"/>
      <c r="AW1857" s="12"/>
      <c r="AX1857" s="12"/>
      <c r="AY1857" s="12"/>
      <c r="AZ1857" s="12"/>
      <c r="BA1857" s="12"/>
      <c r="BB1857" s="12"/>
      <c r="BC1857" s="12"/>
      <c r="BD1857" s="12"/>
      <c r="BE1857" s="12"/>
      <c r="BF1857" s="12"/>
      <c r="BG1857" s="12"/>
      <c r="BH1857" s="12"/>
      <c r="BI1857" s="12"/>
      <c r="BJ1857" s="12"/>
      <c r="BK1857" s="12"/>
      <c r="BL1857" s="12"/>
      <c r="BM1857" s="12"/>
      <c r="BN1857" s="12"/>
      <c r="BO1857" s="12"/>
      <c r="BP1857" s="12"/>
      <c r="BQ1857" s="12"/>
      <c r="BR1857" s="12"/>
      <c r="BS1857" s="12"/>
      <c r="BT1857" s="12"/>
    </row>
    <row r="1858" spans="1:72">
      <c r="A1858" s="2" t="s">
        <v>35243</v>
      </c>
      <c r="B1858" s="5" t="s">
        <v>35248</v>
      </c>
      <c r="C1858" s="3" t="s">
        <v>35244</v>
      </c>
      <c r="D1858" s="4" t="s">
        <v>138</v>
      </c>
      <c r="E1858" s="15" t="s">
        <v>426</v>
      </c>
      <c r="F1858" s="15" t="s">
        <v>426</v>
      </c>
      <c r="G1858" s="15" t="s">
        <v>162</v>
      </c>
      <c r="H1858" s="7">
        <v>3</v>
      </c>
      <c r="I1858" s="6" t="s">
        <v>35256</v>
      </c>
      <c r="J1858" s="6" t="s">
        <v>45957</v>
      </c>
      <c r="K1858" s="6" t="s">
        <v>45958</v>
      </c>
      <c r="L1858" s="6" t="s">
        <v>38286</v>
      </c>
      <c r="M1858" s="6"/>
      <c r="N1858" s="6"/>
      <c r="O1858" s="6"/>
      <c r="P1858" s="6"/>
      <c r="Q1858" s="6"/>
      <c r="R1858" s="6"/>
      <c r="S1858" s="6"/>
      <c r="T1858" s="6"/>
      <c r="U1858" s="6"/>
      <c r="V1858" s="6"/>
      <c r="W1858" s="6"/>
      <c r="X1858" s="6"/>
      <c r="Y1858" s="6"/>
      <c r="Z1858" s="6"/>
      <c r="AA1858" s="6"/>
      <c r="AB1858" s="6"/>
      <c r="AC1858" s="6"/>
      <c r="AD1858" s="6"/>
      <c r="AE1858" s="6"/>
      <c r="AF1858" s="6"/>
      <c r="AG1858" s="6"/>
      <c r="AH1858" s="6"/>
      <c r="AI1858" s="6"/>
      <c r="AJ1858" s="6"/>
      <c r="AK1858" s="6"/>
      <c r="AL1858" s="6"/>
      <c r="AM1858" s="6"/>
      <c r="AN1858" s="6"/>
      <c r="AO1858" s="6"/>
      <c r="AP1858" s="6"/>
      <c r="AQ1858" s="6"/>
      <c r="AR1858" s="6"/>
      <c r="AS1858" s="6"/>
      <c r="AT1858" s="6"/>
      <c r="AU1858" s="6"/>
      <c r="AV1858" s="6"/>
      <c r="AW1858" s="6"/>
      <c r="AX1858" s="6"/>
      <c r="AY1858" s="6"/>
      <c r="AZ1858" s="6"/>
      <c r="BA1858" s="6"/>
      <c r="BB1858" s="6"/>
      <c r="BC1858" s="6"/>
      <c r="BD1858" s="6"/>
      <c r="BE1858" s="6"/>
      <c r="BF1858" s="6"/>
      <c r="BG1858" s="6"/>
      <c r="BH1858" s="6"/>
      <c r="BI1858" s="6"/>
      <c r="BJ1858" s="6"/>
      <c r="BK1858" s="6"/>
      <c r="BL1858" s="6"/>
      <c r="BM1858" s="6"/>
      <c r="BN1858" s="6"/>
      <c r="BO1858" s="6"/>
      <c r="BP1858" s="6"/>
      <c r="BQ1858" s="6"/>
      <c r="BR1858" s="6"/>
      <c r="BS1858" s="6"/>
      <c r="BT1858" s="6"/>
    </row>
    <row r="1859" spans="1:72">
      <c r="A1859" s="8" t="s">
        <v>35259</v>
      </c>
      <c r="B1859" s="11" t="s">
        <v>35264</v>
      </c>
      <c r="C1859" s="9" t="s">
        <v>138</v>
      </c>
      <c r="D1859" s="10" t="s">
        <v>138</v>
      </c>
      <c r="E1859" s="28" t="s">
        <v>3330</v>
      </c>
      <c r="F1859" s="28" t="s">
        <v>200</v>
      </c>
      <c r="G1859" s="28" t="s">
        <v>162</v>
      </c>
      <c r="H1859" s="13">
        <v>7</v>
      </c>
      <c r="I1859" s="12" t="s">
        <v>35272</v>
      </c>
      <c r="J1859" s="12" t="s">
        <v>45390</v>
      </c>
      <c r="K1859" s="12" t="s">
        <v>38354</v>
      </c>
      <c r="L1859" s="12" t="s">
        <v>39865</v>
      </c>
      <c r="M1859" s="12" t="s">
        <v>45959</v>
      </c>
      <c r="N1859" s="12" t="s">
        <v>38928</v>
      </c>
      <c r="O1859" s="12" t="s">
        <v>39713</v>
      </c>
      <c r="P1859" s="12" t="s">
        <v>43110</v>
      </c>
      <c r="Q1859" s="12"/>
      <c r="R1859" s="12"/>
      <c r="S1859" s="12"/>
      <c r="T1859" s="12"/>
      <c r="U1859" s="12"/>
      <c r="V1859" s="12"/>
      <c r="W1859" s="12"/>
      <c r="X1859" s="12"/>
      <c r="Y1859" s="12"/>
      <c r="Z1859" s="12"/>
      <c r="AA1859" s="12"/>
      <c r="AB1859" s="12"/>
      <c r="AC1859" s="12"/>
      <c r="AD1859" s="12"/>
      <c r="AE1859" s="12"/>
      <c r="AF1859" s="12"/>
      <c r="AG1859" s="12"/>
      <c r="AH1859" s="12"/>
      <c r="AI1859" s="12"/>
      <c r="AJ1859" s="12"/>
      <c r="AK1859" s="12"/>
      <c r="AL1859" s="12"/>
      <c r="AM1859" s="12"/>
      <c r="AN1859" s="12"/>
      <c r="AO1859" s="12"/>
      <c r="AP1859" s="12"/>
      <c r="AQ1859" s="12"/>
      <c r="AR1859" s="12"/>
      <c r="AS1859" s="12"/>
      <c r="AT1859" s="12"/>
      <c r="AU1859" s="12"/>
      <c r="AV1859" s="12"/>
      <c r="AW1859" s="12"/>
      <c r="AX1859" s="12"/>
      <c r="AY1859" s="12"/>
      <c r="AZ1859" s="12"/>
      <c r="BA1859" s="12"/>
      <c r="BB1859" s="12"/>
      <c r="BC1859" s="12"/>
      <c r="BD1859" s="12"/>
      <c r="BE1859" s="12"/>
      <c r="BF1859" s="12"/>
      <c r="BG1859" s="12"/>
      <c r="BH1859" s="12"/>
      <c r="BI1859" s="12"/>
      <c r="BJ1859" s="12"/>
      <c r="BK1859" s="12"/>
      <c r="BL1859" s="12"/>
      <c r="BM1859" s="12"/>
      <c r="BN1859" s="12"/>
      <c r="BO1859" s="12"/>
      <c r="BP1859" s="12"/>
      <c r="BQ1859" s="12"/>
      <c r="BR1859" s="12"/>
      <c r="BS1859" s="12"/>
      <c r="BT1859" s="12"/>
    </row>
    <row r="1860" spans="1:72">
      <c r="A1860" s="2" t="s">
        <v>35275</v>
      </c>
      <c r="B1860" s="5" t="s">
        <v>35280</v>
      </c>
      <c r="C1860" s="3" t="s">
        <v>138</v>
      </c>
      <c r="D1860" s="4" t="s">
        <v>138</v>
      </c>
      <c r="E1860" s="15" t="s">
        <v>1031</v>
      </c>
      <c r="F1860" s="15" t="s">
        <v>1032</v>
      </c>
      <c r="G1860" s="15" t="s">
        <v>162</v>
      </c>
      <c r="H1860" s="7">
        <v>3</v>
      </c>
      <c r="I1860" s="6" t="s">
        <v>35286</v>
      </c>
      <c r="J1860" s="6" t="s">
        <v>45022</v>
      </c>
      <c r="K1860" s="6" t="s">
        <v>38816</v>
      </c>
      <c r="L1860" s="6" t="s">
        <v>45960</v>
      </c>
      <c r="M1860" s="6"/>
      <c r="N1860" s="6"/>
      <c r="O1860" s="6"/>
      <c r="P1860" s="6"/>
      <c r="Q1860" s="6"/>
      <c r="R1860" s="6"/>
      <c r="S1860" s="6"/>
      <c r="T1860" s="6"/>
      <c r="U1860" s="6"/>
      <c r="V1860" s="6"/>
      <c r="W1860" s="6"/>
      <c r="X1860" s="6"/>
      <c r="Y1860" s="6"/>
      <c r="Z1860" s="6"/>
      <c r="AA1860" s="6"/>
      <c r="AB1860" s="6"/>
      <c r="AC1860" s="6"/>
      <c r="AD1860" s="6"/>
      <c r="AE1860" s="6"/>
      <c r="AF1860" s="6"/>
      <c r="AG1860" s="6"/>
      <c r="AH1860" s="6"/>
      <c r="AI1860" s="6"/>
      <c r="AJ1860" s="6"/>
      <c r="AK1860" s="6"/>
      <c r="AL1860" s="6"/>
      <c r="AM1860" s="6"/>
      <c r="AN1860" s="6"/>
      <c r="AO1860" s="6"/>
      <c r="AP1860" s="6"/>
      <c r="AQ1860" s="6"/>
      <c r="AR1860" s="6"/>
      <c r="AS1860" s="6"/>
      <c r="AT1860" s="6"/>
      <c r="AU1860" s="6"/>
      <c r="AV1860" s="6"/>
      <c r="AW1860" s="6"/>
      <c r="AX1860" s="6"/>
      <c r="AY1860" s="6"/>
      <c r="AZ1860" s="6"/>
      <c r="BA1860" s="6"/>
      <c r="BB1860" s="6"/>
      <c r="BC1860" s="6"/>
      <c r="BD1860" s="6"/>
      <c r="BE1860" s="6"/>
      <c r="BF1860" s="6"/>
      <c r="BG1860" s="6"/>
      <c r="BH1860" s="6"/>
      <c r="BI1860" s="6"/>
      <c r="BJ1860" s="6"/>
      <c r="BK1860" s="6"/>
      <c r="BL1860" s="6"/>
      <c r="BM1860" s="6"/>
      <c r="BN1860" s="6"/>
      <c r="BO1860" s="6"/>
      <c r="BP1860" s="6"/>
      <c r="BQ1860" s="6"/>
      <c r="BR1860" s="6"/>
      <c r="BS1860" s="6"/>
      <c r="BT1860" s="6"/>
    </row>
    <row r="1861" spans="1:72">
      <c r="A1861" s="8" t="s">
        <v>35289</v>
      </c>
      <c r="B1861" s="11" t="s">
        <v>35294</v>
      </c>
      <c r="C1861" s="9" t="s">
        <v>35290</v>
      </c>
      <c r="D1861" s="10" t="s">
        <v>138</v>
      </c>
      <c r="E1861" s="28" t="s">
        <v>35301</v>
      </c>
      <c r="F1861" s="28" t="s">
        <v>160</v>
      </c>
      <c r="G1861" s="28" t="s">
        <v>162</v>
      </c>
      <c r="H1861" s="13">
        <v>6</v>
      </c>
      <c r="I1861" s="12" t="s">
        <v>35306</v>
      </c>
      <c r="J1861" s="12" t="s">
        <v>18057</v>
      </c>
      <c r="K1861" s="12" t="s">
        <v>45961</v>
      </c>
      <c r="L1861" s="12" t="s">
        <v>45962</v>
      </c>
      <c r="M1861" s="12" t="s">
        <v>37838</v>
      </c>
      <c r="N1861" s="12" t="s">
        <v>45963</v>
      </c>
      <c r="O1861" s="12" t="s">
        <v>45964</v>
      </c>
      <c r="P1861" s="12"/>
      <c r="Q1861" s="12"/>
      <c r="R1861" s="12"/>
      <c r="S1861" s="12"/>
      <c r="T1861" s="12"/>
      <c r="U1861" s="12"/>
      <c r="V1861" s="12"/>
      <c r="W1861" s="12"/>
      <c r="X1861" s="12"/>
      <c r="Y1861" s="12"/>
      <c r="Z1861" s="12"/>
      <c r="AA1861" s="12"/>
      <c r="AB1861" s="12"/>
      <c r="AC1861" s="12"/>
      <c r="AD1861" s="12"/>
      <c r="AE1861" s="12"/>
      <c r="AF1861" s="12"/>
      <c r="AG1861" s="12"/>
      <c r="AH1861" s="12"/>
      <c r="AI1861" s="12"/>
      <c r="AJ1861" s="12"/>
      <c r="AK1861" s="12"/>
      <c r="AL1861" s="12"/>
      <c r="AM1861" s="12"/>
      <c r="AN1861" s="12"/>
      <c r="AO1861" s="12"/>
      <c r="AP1861" s="12"/>
      <c r="AQ1861" s="12"/>
      <c r="AR1861" s="12"/>
      <c r="AS1861" s="12"/>
      <c r="AT1861" s="12"/>
      <c r="AU1861" s="12"/>
      <c r="AV1861" s="12"/>
      <c r="AW1861" s="12"/>
      <c r="AX1861" s="12"/>
      <c r="AY1861" s="12"/>
      <c r="AZ1861" s="12"/>
      <c r="BA1861" s="12"/>
      <c r="BB1861" s="12"/>
      <c r="BC1861" s="12"/>
      <c r="BD1861" s="12"/>
      <c r="BE1861" s="12"/>
      <c r="BF1861" s="12"/>
      <c r="BG1861" s="12"/>
      <c r="BH1861" s="12"/>
      <c r="BI1861" s="12"/>
      <c r="BJ1861" s="12"/>
      <c r="BK1861" s="12"/>
      <c r="BL1861" s="12"/>
      <c r="BM1861" s="12"/>
      <c r="BN1861" s="12"/>
      <c r="BO1861" s="12"/>
      <c r="BP1861" s="12"/>
      <c r="BQ1861" s="12"/>
      <c r="BR1861" s="12"/>
      <c r="BS1861" s="12"/>
      <c r="BT1861" s="12"/>
    </row>
    <row r="1862" spans="1:72">
      <c r="A1862" s="2" t="s">
        <v>35309</v>
      </c>
      <c r="B1862" s="5" t="s">
        <v>35312</v>
      </c>
      <c r="C1862" s="3" t="s">
        <v>138</v>
      </c>
      <c r="D1862" s="4" t="s">
        <v>138</v>
      </c>
      <c r="E1862" s="15" t="s">
        <v>1516</v>
      </c>
      <c r="F1862" s="15" t="s">
        <v>284</v>
      </c>
      <c r="G1862" s="15" t="s">
        <v>162</v>
      </c>
      <c r="H1862" s="7">
        <v>4</v>
      </c>
      <c r="I1862" s="6" t="s">
        <v>35321</v>
      </c>
      <c r="J1862" s="6" t="s">
        <v>948</v>
      </c>
      <c r="K1862" s="6" t="s">
        <v>40597</v>
      </c>
      <c r="L1862" s="6" t="s">
        <v>45965</v>
      </c>
      <c r="M1862" s="6" t="s">
        <v>38954</v>
      </c>
      <c r="N1862" s="6"/>
      <c r="O1862" s="6"/>
      <c r="P1862" s="6"/>
      <c r="Q1862" s="6"/>
      <c r="R1862" s="6"/>
      <c r="S1862" s="6"/>
      <c r="T1862" s="6"/>
      <c r="U1862" s="6"/>
      <c r="V1862" s="6"/>
      <c r="W1862" s="6"/>
      <c r="X1862" s="6"/>
      <c r="Y1862" s="6"/>
      <c r="Z1862" s="6"/>
      <c r="AA1862" s="6"/>
      <c r="AB1862" s="6"/>
      <c r="AC1862" s="6"/>
      <c r="AD1862" s="6"/>
      <c r="AE1862" s="6"/>
      <c r="AF1862" s="6"/>
      <c r="AG1862" s="6"/>
      <c r="AH1862" s="6"/>
      <c r="AI1862" s="6"/>
      <c r="AJ1862" s="6"/>
      <c r="AK1862" s="6"/>
      <c r="AL1862" s="6"/>
      <c r="AM1862" s="6"/>
      <c r="AN1862" s="6"/>
      <c r="AO1862" s="6"/>
      <c r="AP1862" s="6"/>
      <c r="AQ1862" s="6"/>
      <c r="AR1862" s="6"/>
      <c r="AS1862" s="6"/>
      <c r="AT1862" s="6"/>
      <c r="AU1862" s="6"/>
      <c r="AV1862" s="6"/>
      <c r="AW1862" s="6"/>
      <c r="AX1862" s="6"/>
      <c r="AY1862" s="6"/>
      <c r="AZ1862" s="6"/>
      <c r="BA1862" s="6"/>
      <c r="BB1862" s="6"/>
      <c r="BC1862" s="6"/>
      <c r="BD1862" s="6"/>
      <c r="BE1862" s="6"/>
      <c r="BF1862" s="6"/>
      <c r="BG1862" s="6"/>
      <c r="BH1862" s="6"/>
      <c r="BI1862" s="6"/>
      <c r="BJ1862" s="6"/>
      <c r="BK1862" s="6"/>
      <c r="BL1862" s="6"/>
      <c r="BM1862" s="6"/>
      <c r="BN1862" s="6"/>
      <c r="BO1862" s="6"/>
      <c r="BP1862" s="6"/>
      <c r="BQ1862" s="6"/>
      <c r="BR1862" s="6"/>
      <c r="BS1862" s="6"/>
      <c r="BT1862" s="6"/>
    </row>
    <row r="1863" spans="1:72">
      <c r="A1863" s="8" t="s">
        <v>35325</v>
      </c>
      <c r="B1863" s="11" t="s">
        <v>35331</v>
      </c>
      <c r="C1863" s="9" t="s">
        <v>35326</v>
      </c>
      <c r="D1863" s="10" t="s">
        <v>138</v>
      </c>
      <c r="E1863" s="28" t="s">
        <v>35338</v>
      </c>
      <c r="F1863" s="28" t="s">
        <v>864</v>
      </c>
      <c r="G1863" s="28" t="s">
        <v>162</v>
      </c>
      <c r="H1863" s="13">
        <v>8</v>
      </c>
      <c r="I1863" s="12" t="s">
        <v>35342</v>
      </c>
      <c r="J1863" s="12" t="s">
        <v>37771</v>
      </c>
      <c r="K1863" s="12" t="s">
        <v>37798</v>
      </c>
      <c r="L1863" s="12" t="s">
        <v>38418</v>
      </c>
      <c r="M1863" s="12" t="s">
        <v>37949</v>
      </c>
      <c r="N1863" s="12" t="s">
        <v>37822</v>
      </c>
      <c r="O1863" s="12" t="s">
        <v>39057</v>
      </c>
      <c r="P1863" s="12" t="s">
        <v>38918</v>
      </c>
      <c r="Q1863" s="12" t="s">
        <v>41217</v>
      </c>
      <c r="R1863" s="12"/>
      <c r="S1863" s="12"/>
      <c r="T1863" s="12"/>
      <c r="U1863" s="12"/>
      <c r="V1863" s="12"/>
      <c r="W1863" s="12"/>
      <c r="X1863" s="12"/>
      <c r="Y1863" s="12"/>
      <c r="Z1863" s="12"/>
      <c r="AA1863" s="12"/>
      <c r="AB1863" s="12"/>
      <c r="AC1863" s="12"/>
      <c r="AD1863" s="12"/>
      <c r="AE1863" s="12"/>
      <c r="AF1863" s="12"/>
      <c r="AG1863" s="12"/>
      <c r="AH1863" s="12"/>
      <c r="AI1863" s="12"/>
      <c r="AJ1863" s="12"/>
      <c r="AK1863" s="12"/>
      <c r="AL1863" s="12"/>
      <c r="AM1863" s="12"/>
      <c r="AN1863" s="12"/>
      <c r="AO1863" s="12"/>
      <c r="AP1863" s="12"/>
      <c r="AQ1863" s="12"/>
      <c r="AR1863" s="12"/>
      <c r="AS1863" s="12"/>
      <c r="AT1863" s="12"/>
      <c r="AU1863" s="12"/>
      <c r="AV1863" s="12"/>
      <c r="AW1863" s="12"/>
      <c r="AX1863" s="12"/>
      <c r="AY1863" s="12"/>
      <c r="AZ1863" s="12"/>
      <c r="BA1863" s="12"/>
      <c r="BB1863" s="12"/>
      <c r="BC1863" s="12"/>
      <c r="BD1863" s="12"/>
      <c r="BE1863" s="12"/>
      <c r="BF1863" s="12"/>
      <c r="BG1863" s="12"/>
      <c r="BH1863" s="12"/>
      <c r="BI1863" s="12"/>
      <c r="BJ1863" s="12"/>
      <c r="BK1863" s="12"/>
      <c r="BL1863" s="12"/>
      <c r="BM1863" s="12"/>
      <c r="BN1863" s="12"/>
      <c r="BO1863" s="12"/>
      <c r="BP1863" s="12"/>
      <c r="BQ1863" s="12"/>
      <c r="BR1863" s="12"/>
      <c r="BS1863" s="12"/>
      <c r="BT1863" s="12"/>
    </row>
    <row r="1864" spans="1:72">
      <c r="A1864" s="2" t="s">
        <v>35347</v>
      </c>
      <c r="B1864" s="5" t="s">
        <v>35353</v>
      </c>
      <c r="C1864" s="3" t="s">
        <v>35348</v>
      </c>
      <c r="D1864" s="4" t="s">
        <v>138</v>
      </c>
      <c r="E1864" s="15" t="s">
        <v>12065</v>
      </c>
      <c r="F1864" s="15" t="s">
        <v>200</v>
      </c>
      <c r="G1864" s="15" t="s">
        <v>162</v>
      </c>
      <c r="H1864" s="7">
        <v>7</v>
      </c>
      <c r="I1864" s="6" t="s">
        <v>35363</v>
      </c>
      <c r="J1864" s="6" t="s">
        <v>42833</v>
      </c>
      <c r="K1864" s="6" t="s">
        <v>40362</v>
      </c>
      <c r="L1864" s="6" t="s">
        <v>37822</v>
      </c>
      <c r="M1864" s="6" t="s">
        <v>37960</v>
      </c>
      <c r="N1864" s="6" t="s">
        <v>39056</v>
      </c>
      <c r="O1864" s="6" t="s">
        <v>38321</v>
      </c>
      <c r="P1864" s="6" t="s">
        <v>40183</v>
      </c>
      <c r="Q1864" s="6"/>
      <c r="R1864" s="6"/>
      <c r="S1864" s="6"/>
      <c r="T1864" s="6"/>
      <c r="U1864" s="6"/>
      <c r="V1864" s="6"/>
      <c r="W1864" s="6"/>
      <c r="X1864" s="6"/>
      <c r="Y1864" s="6"/>
      <c r="Z1864" s="6"/>
      <c r="AA1864" s="6"/>
      <c r="AB1864" s="6"/>
      <c r="AC1864" s="6"/>
      <c r="AD1864" s="6"/>
      <c r="AE1864" s="6"/>
      <c r="AF1864" s="6"/>
      <c r="AG1864" s="6"/>
      <c r="AH1864" s="6"/>
      <c r="AI1864" s="6"/>
      <c r="AJ1864" s="6"/>
      <c r="AK1864" s="6"/>
      <c r="AL1864" s="6"/>
      <c r="AM1864" s="6"/>
      <c r="AN1864" s="6"/>
      <c r="AO1864" s="6"/>
      <c r="AP1864" s="6"/>
      <c r="AQ1864" s="6"/>
      <c r="AR1864" s="6"/>
      <c r="AS1864" s="6"/>
      <c r="AT1864" s="6"/>
      <c r="AU1864" s="6"/>
      <c r="AV1864" s="6"/>
      <c r="AW1864" s="6"/>
      <c r="AX1864" s="6"/>
      <c r="AY1864" s="6"/>
      <c r="AZ1864" s="6"/>
      <c r="BA1864" s="6"/>
      <c r="BB1864" s="6"/>
      <c r="BC1864" s="6"/>
      <c r="BD1864" s="6"/>
      <c r="BE1864" s="6"/>
      <c r="BF1864" s="6"/>
      <c r="BG1864" s="6"/>
      <c r="BH1864" s="6"/>
      <c r="BI1864" s="6"/>
      <c r="BJ1864" s="6"/>
      <c r="BK1864" s="6"/>
      <c r="BL1864" s="6"/>
      <c r="BM1864" s="6"/>
      <c r="BN1864" s="6"/>
      <c r="BO1864" s="6"/>
      <c r="BP1864" s="6"/>
      <c r="BQ1864" s="6"/>
      <c r="BR1864" s="6"/>
      <c r="BS1864" s="6"/>
      <c r="BT1864" s="6"/>
    </row>
    <row r="1865" spans="1:72">
      <c r="A1865" s="8" t="s">
        <v>35368</v>
      </c>
      <c r="B1865" s="11" t="s">
        <v>35372</v>
      </c>
      <c r="C1865" s="9" t="s">
        <v>138</v>
      </c>
      <c r="D1865" s="10" t="s">
        <v>138</v>
      </c>
      <c r="E1865" s="28" t="s">
        <v>1744</v>
      </c>
      <c r="F1865" s="28" t="s">
        <v>138</v>
      </c>
      <c r="G1865" s="28" t="s">
        <v>1746</v>
      </c>
      <c r="H1865" s="13">
        <v>5</v>
      </c>
      <c r="I1865" s="12" t="s">
        <v>35384</v>
      </c>
      <c r="J1865" s="12" t="s">
        <v>38718</v>
      </c>
      <c r="K1865" s="12" t="s">
        <v>37786</v>
      </c>
      <c r="L1865" s="12" t="s">
        <v>38065</v>
      </c>
      <c r="M1865" s="12" t="s">
        <v>45966</v>
      </c>
      <c r="N1865" s="12" t="s">
        <v>39686</v>
      </c>
      <c r="O1865" s="12"/>
      <c r="P1865" s="12"/>
      <c r="Q1865" s="12"/>
      <c r="R1865" s="12"/>
      <c r="S1865" s="12"/>
      <c r="T1865" s="12"/>
      <c r="U1865" s="12"/>
      <c r="V1865" s="12"/>
      <c r="W1865" s="12"/>
      <c r="X1865" s="12"/>
      <c r="Y1865" s="12"/>
      <c r="Z1865" s="12"/>
      <c r="AA1865" s="12"/>
      <c r="AB1865" s="12"/>
      <c r="AC1865" s="12"/>
      <c r="AD1865" s="12"/>
      <c r="AE1865" s="12"/>
      <c r="AF1865" s="12"/>
      <c r="AG1865" s="12"/>
      <c r="AH1865" s="12"/>
      <c r="AI1865" s="12"/>
      <c r="AJ1865" s="12"/>
      <c r="AK1865" s="12"/>
      <c r="AL1865" s="12"/>
      <c r="AM1865" s="12"/>
      <c r="AN1865" s="12"/>
      <c r="AO1865" s="12"/>
      <c r="AP1865" s="12"/>
      <c r="AQ1865" s="12"/>
      <c r="AR1865" s="12"/>
      <c r="AS1865" s="12"/>
      <c r="AT1865" s="12"/>
      <c r="AU1865" s="12"/>
      <c r="AV1865" s="12"/>
      <c r="AW1865" s="12"/>
      <c r="AX1865" s="12"/>
      <c r="AY1865" s="12"/>
      <c r="AZ1865" s="12"/>
      <c r="BA1865" s="12"/>
      <c r="BB1865" s="12"/>
      <c r="BC1865" s="12"/>
      <c r="BD1865" s="12"/>
      <c r="BE1865" s="12"/>
      <c r="BF1865" s="12"/>
      <c r="BG1865" s="12"/>
      <c r="BH1865" s="12"/>
      <c r="BI1865" s="12"/>
      <c r="BJ1865" s="12"/>
      <c r="BK1865" s="12"/>
      <c r="BL1865" s="12"/>
      <c r="BM1865" s="12"/>
      <c r="BN1865" s="12"/>
      <c r="BO1865" s="12"/>
      <c r="BP1865" s="12"/>
      <c r="BQ1865" s="12"/>
      <c r="BR1865" s="12"/>
      <c r="BS1865" s="12"/>
      <c r="BT1865" s="12"/>
    </row>
    <row r="1866" spans="1:72">
      <c r="A1866" s="2" t="s">
        <v>35388</v>
      </c>
      <c r="B1866" s="5" t="s">
        <v>35392</v>
      </c>
      <c r="C1866" s="3" t="s">
        <v>138</v>
      </c>
      <c r="D1866" s="4" t="s">
        <v>138</v>
      </c>
      <c r="E1866" s="15" t="s">
        <v>284</v>
      </c>
      <c r="F1866" s="15" t="s">
        <v>2822</v>
      </c>
      <c r="G1866" s="15" t="s">
        <v>162</v>
      </c>
      <c r="H1866" s="7">
        <v>19</v>
      </c>
      <c r="I1866" s="6" t="s">
        <v>35401</v>
      </c>
      <c r="J1866" s="6" t="s">
        <v>44636</v>
      </c>
      <c r="K1866" s="6" t="s">
        <v>45967</v>
      </c>
      <c r="L1866" s="6" t="s">
        <v>43817</v>
      </c>
      <c r="M1866" s="6" t="s">
        <v>41112</v>
      </c>
      <c r="N1866" s="6" t="s">
        <v>45968</v>
      </c>
      <c r="O1866" s="6" t="s">
        <v>40388</v>
      </c>
      <c r="P1866" s="6" t="s">
        <v>38882</v>
      </c>
      <c r="Q1866" s="6" t="s">
        <v>39381</v>
      </c>
      <c r="R1866" s="6" t="s">
        <v>45969</v>
      </c>
      <c r="S1866" s="6" t="s">
        <v>38016</v>
      </c>
      <c r="T1866" s="6" t="s">
        <v>43268</v>
      </c>
      <c r="U1866" s="6" t="s">
        <v>45970</v>
      </c>
      <c r="V1866" s="6" t="s">
        <v>45971</v>
      </c>
      <c r="W1866" s="6" t="s">
        <v>40682</v>
      </c>
      <c r="X1866" s="6" t="s">
        <v>45972</v>
      </c>
      <c r="Y1866" s="6" t="s">
        <v>40810</v>
      </c>
      <c r="Z1866" s="6" t="s">
        <v>41094</v>
      </c>
      <c r="AA1866" s="6" t="s">
        <v>45973</v>
      </c>
      <c r="AB1866" s="6" t="s">
        <v>42314</v>
      </c>
      <c r="AC1866" s="6"/>
      <c r="AD1866" s="6"/>
      <c r="AE1866" s="6"/>
      <c r="AF1866" s="6"/>
      <c r="AG1866" s="6"/>
      <c r="AH1866" s="6"/>
      <c r="AI1866" s="6"/>
      <c r="AJ1866" s="6"/>
      <c r="AK1866" s="6"/>
      <c r="AL1866" s="6"/>
      <c r="AM1866" s="6"/>
      <c r="AN1866" s="6"/>
      <c r="AO1866" s="6"/>
      <c r="AP1866" s="6"/>
      <c r="AQ1866" s="6"/>
      <c r="AR1866" s="6"/>
      <c r="AS1866" s="6"/>
      <c r="AT1866" s="6"/>
      <c r="AU1866" s="6"/>
      <c r="AV1866" s="6"/>
      <c r="AW1866" s="6"/>
      <c r="AX1866" s="6"/>
      <c r="AY1866" s="6"/>
      <c r="AZ1866" s="6"/>
      <c r="BA1866" s="6"/>
      <c r="BB1866" s="6"/>
      <c r="BC1866" s="6"/>
      <c r="BD1866" s="6"/>
      <c r="BE1866" s="6"/>
      <c r="BF1866" s="6"/>
      <c r="BG1866" s="6"/>
      <c r="BH1866" s="6"/>
      <c r="BI1866" s="6"/>
      <c r="BJ1866" s="6"/>
      <c r="BK1866" s="6"/>
      <c r="BL1866" s="6"/>
      <c r="BM1866" s="6"/>
      <c r="BN1866" s="6"/>
      <c r="BO1866" s="6"/>
      <c r="BP1866" s="6"/>
      <c r="BQ1866" s="6"/>
      <c r="BR1866" s="6"/>
      <c r="BS1866" s="6"/>
      <c r="BT1866" s="6"/>
    </row>
    <row r="1867" spans="1:72">
      <c r="A1867" s="8" t="s">
        <v>35404</v>
      </c>
      <c r="B1867" s="11" t="s">
        <v>35409</v>
      </c>
      <c r="C1867" s="9" t="s">
        <v>35405</v>
      </c>
      <c r="D1867" s="10" t="s">
        <v>138</v>
      </c>
      <c r="E1867" s="28" t="s">
        <v>668</v>
      </c>
      <c r="F1867" s="28" t="s">
        <v>200</v>
      </c>
      <c r="G1867" s="28" t="s">
        <v>162</v>
      </c>
      <c r="H1867" s="13">
        <v>12</v>
      </c>
      <c r="I1867" s="12" t="s">
        <v>35419</v>
      </c>
      <c r="J1867" s="12" t="s">
        <v>45974</v>
      </c>
      <c r="K1867" s="12" t="s">
        <v>45975</v>
      </c>
      <c r="L1867" s="12" t="s">
        <v>45976</v>
      </c>
      <c r="M1867" s="12" t="s">
        <v>45977</v>
      </c>
      <c r="N1867" s="12" t="s">
        <v>38299</v>
      </c>
      <c r="O1867" s="12" t="s">
        <v>43542</v>
      </c>
      <c r="P1867" s="12" t="s">
        <v>44356</v>
      </c>
      <c r="Q1867" s="12" t="s">
        <v>37786</v>
      </c>
      <c r="R1867" s="12" t="s">
        <v>45978</v>
      </c>
      <c r="S1867" s="12" t="s">
        <v>39922</v>
      </c>
      <c r="T1867" s="12" t="s">
        <v>40696</v>
      </c>
      <c r="U1867" s="12" t="s">
        <v>38729</v>
      </c>
      <c r="V1867" s="12"/>
      <c r="W1867" s="12"/>
      <c r="X1867" s="12"/>
      <c r="Y1867" s="12"/>
      <c r="Z1867" s="12"/>
      <c r="AA1867" s="12"/>
      <c r="AB1867" s="12"/>
      <c r="AC1867" s="12"/>
      <c r="AD1867" s="12"/>
      <c r="AE1867" s="12"/>
      <c r="AF1867" s="12"/>
      <c r="AG1867" s="12"/>
      <c r="AH1867" s="12"/>
      <c r="AI1867" s="12"/>
      <c r="AJ1867" s="12"/>
      <c r="AK1867" s="12"/>
      <c r="AL1867" s="12"/>
      <c r="AM1867" s="12"/>
      <c r="AN1867" s="12"/>
      <c r="AO1867" s="12"/>
      <c r="AP1867" s="12"/>
      <c r="AQ1867" s="12"/>
      <c r="AR1867" s="12"/>
      <c r="AS1867" s="12"/>
      <c r="AT1867" s="12"/>
      <c r="AU1867" s="12"/>
      <c r="AV1867" s="12"/>
      <c r="AW1867" s="12"/>
      <c r="AX1867" s="12"/>
      <c r="AY1867" s="12"/>
      <c r="AZ1867" s="12"/>
      <c r="BA1867" s="12"/>
      <c r="BB1867" s="12"/>
      <c r="BC1867" s="12"/>
      <c r="BD1867" s="12"/>
      <c r="BE1867" s="12"/>
      <c r="BF1867" s="12"/>
      <c r="BG1867" s="12"/>
      <c r="BH1867" s="12"/>
      <c r="BI1867" s="12"/>
      <c r="BJ1867" s="12"/>
      <c r="BK1867" s="12"/>
      <c r="BL1867" s="12"/>
      <c r="BM1867" s="12"/>
      <c r="BN1867" s="12"/>
      <c r="BO1867" s="12"/>
      <c r="BP1867" s="12"/>
      <c r="BQ1867" s="12"/>
      <c r="BR1867" s="12"/>
      <c r="BS1867" s="12"/>
      <c r="BT1867" s="12"/>
    </row>
    <row r="1868" spans="1:72">
      <c r="A1868" s="2" t="s">
        <v>35424</v>
      </c>
      <c r="B1868" s="5" t="s">
        <v>35427</v>
      </c>
      <c r="C1868" s="3" t="s">
        <v>138</v>
      </c>
      <c r="D1868" s="4" t="s">
        <v>138</v>
      </c>
      <c r="E1868" s="15" t="s">
        <v>2005</v>
      </c>
      <c r="F1868" s="15" t="s">
        <v>200</v>
      </c>
      <c r="G1868" s="15" t="s">
        <v>162</v>
      </c>
      <c r="H1868" s="7">
        <v>9</v>
      </c>
      <c r="I1868" s="6" t="s">
        <v>35437</v>
      </c>
      <c r="J1868" s="6" t="s">
        <v>45979</v>
      </c>
      <c r="K1868" s="6" t="s">
        <v>42825</v>
      </c>
      <c r="L1868" s="6" t="s">
        <v>38882</v>
      </c>
      <c r="M1868" s="6" t="s">
        <v>45980</v>
      </c>
      <c r="N1868" s="6" t="s">
        <v>45981</v>
      </c>
      <c r="O1868" s="6" t="s">
        <v>41737</v>
      </c>
      <c r="P1868" s="6" t="s">
        <v>42331</v>
      </c>
      <c r="Q1868" s="6" t="s">
        <v>45982</v>
      </c>
      <c r="R1868" s="6" t="s">
        <v>44044</v>
      </c>
      <c r="S1868" s="6"/>
      <c r="T1868" s="6"/>
      <c r="U1868" s="6"/>
      <c r="V1868" s="6"/>
      <c r="W1868" s="6"/>
      <c r="X1868" s="6"/>
      <c r="Y1868" s="6"/>
      <c r="Z1868" s="6"/>
      <c r="AA1868" s="6"/>
      <c r="AB1868" s="6"/>
      <c r="AC1868" s="6"/>
      <c r="AD1868" s="6"/>
      <c r="AE1868" s="6"/>
      <c r="AF1868" s="6"/>
      <c r="AG1868" s="6"/>
      <c r="AH1868" s="6"/>
      <c r="AI1868" s="6"/>
      <c r="AJ1868" s="6"/>
      <c r="AK1868" s="6"/>
      <c r="AL1868" s="6"/>
      <c r="AM1868" s="6"/>
      <c r="AN1868" s="6"/>
      <c r="AO1868" s="6"/>
      <c r="AP1868" s="6"/>
      <c r="AQ1868" s="6"/>
      <c r="AR1868" s="6"/>
      <c r="AS1868" s="6"/>
      <c r="AT1868" s="6"/>
      <c r="AU1868" s="6"/>
      <c r="AV1868" s="6"/>
      <c r="AW1868" s="6"/>
      <c r="AX1868" s="6"/>
      <c r="AY1868" s="6"/>
      <c r="AZ1868" s="6"/>
      <c r="BA1868" s="6"/>
      <c r="BB1868" s="6"/>
      <c r="BC1868" s="6"/>
      <c r="BD1868" s="6"/>
      <c r="BE1868" s="6"/>
      <c r="BF1868" s="6"/>
      <c r="BG1868" s="6"/>
      <c r="BH1868" s="6"/>
      <c r="BI1868" s="6"/>
      <c r="BJ1868" s="6"/>
      <c r="BK1868" s="6"/>
      <c r="BL1868" s="6"/>
      <c r="BM1868" s="6"/>
      <c r="BN1868" s="6"/>
      <c r="BO1868" s="6"/>
      <c r="BP1868" s="6"/>
      <c r="BQ1868" s="6"/>
      <c r="BR1868" s="6"/>
      <c r="BS1868" s="6"/>
      <c r="BT1868" s="6"/>
    </row>
    <row r="1869" spans="1:72">
      <c r="A1869" s="8" t="s">
        <v>35443</v>
      </c>
      <c r="B1869" s="11" t="s">
        <v>35447</v>
      </c>
      <c r="C1869" s="9" t="s">
        <v>138</v>
      </c>
      <c r="D1869" s="10" t="s">
        <v>138</v>
      </c>
      <c r="E1869" s="28" t="s">
        <v>449</v>
      </c>
      <c r="F1869" s="28" t="s">
        <v>138</v>
      </c>
      <c r="G1869" s="28" t="s">
        <v>450</v>
      </c>
      <c r="H1869" s="13">
        <v>5</v>
      </c>
      <c r="I1869" s="12" t="s">
        <v>35454</v>
      </c>
      <c r="J1869" s="12" t="s">
        <v>455</v>
      </c>
      <c r="K1869" s="12" t="s">
        <v>39865</v>
      </c>
      <c r="L1869" s="12" t="s">
        <v>38652</v>
      </c>
      <c r="M1869" s="12" t="s">
        <v>45983</v>
      </c>
      <c r="N1869" s="12" t="s">
        <v>45984</v>
      </c>
      <c r="O1869" s="12"/>
      <c r="P1869" s="12"/>
      <c r="Q1869" s="12"/>
      <c r="R1869" s="12"/>
      <c r="S1869" s="12"/>
      <c r="T1869" s="12"/>
      <c r="U1869" s="12"/>
      <c r="V1869" s="12"/>
      <c r="W1869" s="12"/>
      <c r="X1869" s="12"/>
      <c r="Y1869" s="12"/>
      <c r="Z1869" s="12"/>
      <c r="AA1869" s="12"/>
      <c r="AB1869" s="12"/>
      <c r="AC1869" s="12"/>
      <c r="AD1869" s="12"/>
      <c r="AE1869" s="12"/>
      <c r="AF1869" s="12"/>
      <c r="AG1869" s="12"/>
      <c r="AH1869" s="12"/>
      <c r="AI1869" s="12"/>
      <c r="AJ1869" s="12"/>
      <c r="AK1869" s="12"/>
      <c r="AL1869" s="12"/>
      <c r="AM1869" s="12"/>
      <c r="AN1869" s="12"/>
      <c r="AO1869" s="12"/>
      <c r="AP1869" s="12"/>
      <c r="AQ1869" s="12"/>
      <c r="AR1869" s="12"/>
      <c r="AS1869" s="12"/>
      <c r="AT1869" s="12"/>
      <c r="AU1869" s="12"/>
      <c r="AV1869" s="12"/>
      <c r="AW1869" s="12"/>
      <c r="AX1869" s="12"/>
      <c r="AY1869" s="12"/>
      <c r="AZ1869" s="12"/>
      <c r="BA1869" s="12"/>
      <c r="BB1869" s="12"/>
      <c r="BC1869" s="12"/>
      <c r="BD1869" s="12"/>
      <c r="BE1869" s="12"/>
      <c r="BF1869" s="12"/>
      <c r="BG1869" s="12"/>
      <c r="BH1869" s="12"/>
      <c r="BI1869" s="12"/>
      <c r="BJ1869" s="12"/>
      <c r="BK1869" s="12"/>
      <c r="BL1869" s="12"/>
      <c r="BM1869" s="12"/>
      <c r="BN1869" s="12"/>
      <c r="BO1869" s="12"/>
      <c r="BP1869" s="12"/>
      <c r="BQ1869" s="12"/>
      <c r="BR1869" s="12"/>
      <c r="BS1869" s="12"/>
      <c r="BT1869" s="12"/>
    </row>
    <row r="1870" spans="1:72">
      <c r="A1870" s="2" t="s">
        <v>35457</v>
      </c>
      <c r="B1870" s="5" t="s">
        <v>35462</v>
      </c>
      <c r="C1870" s="3" t="s">
        <v>138</v>
      </c>
      <c r="D1870" s="4" t="s">
        <v>138</v>
      </c>
      <c r="E1870" s="15" t="s">
        <v>3670</v>
      </c>
      <c r="F1870" s="15" t="s">
        <v>200</v>
      </c>
      <c r="G1870" s="15" t="s">
        <v>162</v>
      </c>
      <c r="H1870" s="7">
        <v>1</v>
      </c>
      <c r="I1870" s="6" t="s">
        <v>3779</v>
      </c>
      <c r="J1870" s="6" t="s">
        <v>3779</v>
      </c>
      <c r="K1870" s="6"/>
      <c r="L1870" s="6"/>
      <c r="M1870" s="6"/>
      <c r="N1870" s="6"/>
      <c r="O1870" s="6"/>
      <c r="P1870" s="6"/>
      <c r="Q1870" s="6"/>
      <c r="R1870" s="6"/>
      <c r="S1870" s="6"/>
      <c r="T1870" s="6"/>
      <c r="U1870" s="6"/>
      <c r="V1870" s="6"/>
      <c r="W1870" s="6"/>
      <c r="X1870" s="6"/>
      <c r="Y1870" s="6"/>
      <c r="Z1870" s="6"/>
      <c r="AA1870" s="6"/>
      <c r="AB1870" s="6"/>
      <c r="AC1870" s="6"/>
      <c r="AD1870" s="6"/>
      <c r="AE1870" s="6"/>
      <c r="AF1870" s="6"/>
      <c r="AG1870" s="6"/>
      <c r="AH1870" s="6"/>
      <c r="AI1870" s="6"/>
      <c r="AJ1870" s="6"/>
      <c r="AK1870" s="6"/>
      <c r="AL1870" s="6"/>
      <c r="AM1870" s="6"/>
      <c r="AN1870" s="6"/>
      <c r="AO1870" s="6"/>
      <c r="AP1870" s="6"/>
      <c r="AQ1870" s="6"/>
      <c r="AR1870" s="6"/>
      <c r="AS1870" s="6"/>
      <c r="AT1870" s="6"/>
      <c r="AU1870" s="6"/>
      <c r="AV1870" s="6"/>
      <c r="AW1870" s="6"/>
      <c r="AX1870" s="6"/>
      <c r="AY1870" s="6"/>
      <c r="AZ1870" s="6"/>
      <c r="BA1870" s="6"/>
      <c r="BB1870" s="6"/>
      <c r="BC1870" s="6"/>
      <c r="BD1870" s="6"/>
      <c r="BE1870" s="6"/>
      <c r="BF1870" s="6"/>
      <c r="BG1870" s="6"/>
      <c r="BH1870" s="6"/>
      <c r="BI1870" s="6"/>
      <c r="BJ1870" s="6"/>
      <c r="BK1870" s="6"/>
      <c r="BL1870" s="6"/>
      <c r="BM1870" s="6"/>
      <c r="BN1870" s="6"/>
      <c r="BO1870" s="6"/>
      <c r="BP1870" s="6"/>
      <c r="BQ1870" s="6"/>
      <c r="BR1870" s="6"/>
      <c r="BS1870" s="6"/>
      <c r="BT1870" s="6"/>
    </row>
    <row r="1871" spans="1:72">
      <c r="A1871" s="8" t="s">
        <v>35475</v>
      </c>
      <c r="B1871" s="11" t="s">
        <v>35479</v>
      </c>
      <c r="C1871" s="9" t="s">
        <v>138</v>
      </c>
      <c r="D1871" s="10" t="s">
        <v>138</v>
      </c>
      <c r="E1871" s="28" t="s">
        <v>9136</v>
      </c>
      <c r="F1871" s="28" t="s">
        <v>200</v>
      </c>
      <c r="G1871" s="28" t="s">
        <v>162</v>
      </c>
      <c r="H1871" s="13">
        <v>6</v>
      </c>
      <c r="I1871" s="12" t="s">
        <v>35488</v>
      </c>
      <c r="J1871" s="12" t="s">
        <v>39421</v>
      </c>
      <c r="K1871" s="12" t="s">
        <v>45985</v>
      </c>
      <c r="L1871" s="12" t="s">
        <v>37960</v>
      </c>
      <c r="M1871" s="12" t="s">
        <v>42912</v>
      </c>
      <c r="N1871" s="12" t="s">
        <v>37770</v>
      </c>
      <c r="O1871" s="12" t="s">
        <v>39143</v>
      </c>
      <c r="P1871" s="12"/>
      <c r="Q1871" s="12"/>
      <c r="R1871" s="12"/>
      <c r="S1871" s="12"/>
      <c r="T1871" s="12"/>
      <c r="U1871" s="12"/>
      <c r="V1871" s="12"/>
      <c r="W1871" s="12"/>
      <c r="X1871" s="12"/>
      <c r="Y1871" s="12"/>
      <c r="Z1871" s="12"/>
      <c r="AA1871" s="12"/>
      <c r="AB1871" s="12"/>
      <c r="AC1871" s="12"/>
      <c r="AD1871" s="12"/>
      <c r="AE1871" s="12"/>
      <c r="AF1871" s="12"/>
      <c r="AG1871" s="12"/>
      <c r="AH1871" s="12"/>
      <c r="AI1871" s="12"/>
      <c r="AJ1871" s="12"/>
      <c r="AK1871" s="12"/>
      <c r="AL1871" s="12"/>
      <c r="AM1871" s="12"/>
      <c r="AN1871" s="12"/>
      <c r="AO1871" s="12"/>
      <c r="AP1871" s="12"/>
      <c r="AQ1871" s="12"/>
      <c r="AR1871" s="12"/>
      <c r="AS1871" s="12"/>
      <c r="AT1871" s="12"/>
      <c r="AU1871" s="12"/>
      <c r="AV1871" s="12"/>
      <c r="AW1871" s="12"/>
      <c r="AX1871" s="12"/>
      <c r="AY1871" s="12"/>
      <c r="AZ1871" s="12"/>
      <c r="BA1871" s="12"/>
      <c r="BB1871" s="12"/>
      <c r="BC1871" s="12"/>
      <c r="BD1871" s="12"/>
      <c r="BE1871" s="12"/>
      <c r="BF1871" s="12"/>
      <c r="BG1871" s="12"/>
      <c r="BH1871" s="12"/>
      <c r="BI1871" s="12"/>
      <c r="BJ1871" s="12"/>
      <c r="BK1871" s="12"/>
      <c r="BL1871" s="12"/>
      <c r="BM1871" s="12"/>
      <c r="BN1871" s="12"/>
      <c r="BO1871" s="12"/>
      <c r="BP1871" s="12"/>
      <c r="BQ1871" s="12"/>
      <c r="BR1871" s="12"/>
      <c r="BS1871" s="12"/>
      <c r="BT1871" s="12"/>
    </row>
    <row r="1872" spans="1:72">
      <c r="A1872" s="2" t="s">
        <v>35492</v>
      </c>
      <c r="B1872" s="5" t="s">
        <v>35496</v>
      </c>
      <c r="C1872" s="3" t="s">
        <v>138</v>
      </c>
      <c r="D1872" s="4" t="s">
        <v>138</v>
      </c>
      <c r="E1872" s="15" t="s">
        <v>426</v>
      </c>
      <c r="F1872" s="15" t="s">
        <v>426</v>
      </c>
      <c r="G1872" s="15" t="s">
        <v>162</v>
      </c>
      <c r="H1872" s="7">
        <v>12</v>
      </c>
      <c r="I1872" s="6" t="s">
        <v>35505</v>
      </c>
      <c r="J1872" s="6" t="s">
        <v>43082</v>
      </c>
      <c r="K1872" s="6" t="s">
        <v>37819</v>
      </c>
      <c r="L1872" s="6" t="s">
        <v>37945</v>
      </c>
      <c r="M1872" s="6" t="s">
        <v>39035</v>
      </c>
      <c r="N1872" s="6" t="s">
        <v>39244</v>
      </c>
      <c r="O1872" s="6" t="s">
        <v>38113</v>
      </c>
      <c r="P1872" s="6" t="s">
        <v>38077</v>
      </c>
      <c r="Q1872" s="6" t="s">
        <v>42469</v>
      </c>
      <c r="R1872" s="6" t="s">
        <v>37968</v>
      </c>
      <c r="S1872" s="6" t="s">
        <v>44704</v>
      </c>
      <c r="T1872" s="6" t="s">
        <v>37783</v>
      </c>
      <c r="U1872" s="6" t="s">
        <v>37976</v>
      </c>
      <c r="V1872" s="6"/>
      <c r="W1872" s="6"/>
      <c r="X1872" s="6"/>
      <c r="Y1872" s="6"/>
      <c r="Z1872" s="6"/>
      <c r="AA1872" s="6"/>
      <c r="AB1872" s="6"/>
      <c r="AC1872" s="6"/>
      <c r="AD1872" s="6"/>
      <c r="AE1872" s="6"/>
      <c r="AF1872" s="6"/>
      <c r="AG1872" s="6"/>
      <c r="AH1872" s="6"/>
      <c r="AI1872" s="6"/>
      <c r="AJ1872" s="6"/>
      <c r="AK1872" s="6"/>
      <c r="AL1872" s="6"/>
      <c r="AM1872" s="6"/>
      <c r="AN1872" s="6"/>
      <c r="AO1872" s="6"/>
      <c r="AP1872" s="6"/>
      <c r="AQ1872" s="6"/>
      <c r="AR1872" s="6"/>
      <c r="AS1872" s="6"/>
      <c r="AT1872" s="6"/>
      <c r="AU1872" s="6"/>
      <c r="AV1872" s="6"/>
      <c r="AW1872" s="6"/>
      <c r="AX1872" s="6"/>
      <c r="AY1872" s="6"/>
      <c r="AZ1872" s="6"/>
      <c r="BA1872" s="6"/>
      <c r="BB1872" s="6"/>
      <c r="BC1872" s="6"/>
      <c r="BD1872" s="6"/>
      <c r="BE1872" s="6"/>
      <c r="BF1872" s="6"/>
      <c r="BG1872" s="6"/>
      <c r="BH1872" s="6"/>
      <c r="BI1872" s="6"/>
      <c r="BJ1872" s="6"/>
      <c r="BK1872" s="6"/>
      <c r="BL1872" s="6"/>
      <c r="BM1872" s="6"/>
      <c r="BN1872" s="6"/>
      <c r="BO1872" s="6"/>
      <c r="BP1872" s="6"/>
      <c r="BQ1872" s="6"/>
      <c r="BR1872" s="6"/>
      <c r="BS1872" s="6"/>
      <c r="BT1872" s="6"/>
    </row>
    <row r="1873" spans="1:72">
      <c r="A1873" s="8" t="s">
        <v>35508</v>
      </c>
      <c r="B1873" s="11" t="s">
        <v>35512</v>
      </c>
      <c r="C1873" s="9" t="s">
        <v>138</v>
      </c>
      <c r="D1873" s="10" t="s">
        <v>138</v>
      </c>
      <c r="E1873" s="28" t="s">
        <v>3139</v>
      </c>
      <c r="F1873" s="28" t="s">
        <v>3140</v>
      </c>
      <c r="G1873" s="28" t="s">
        <v>162</v>
      </c>
      <c r="H1873" s="13">
        <v>1</v>
      </c>
      <c r="I1873" s="12" t="s">
        <v>6904</v>
      </c>
      <c r="J1873" s="12" t="s">
        <v>6904</v>
      </c>
      <c r="K1873" s="12"/>
      <c r="L1873" s="12"/>
      <c r="M1873" s="12"/>
      <c r="N1873" s="12"/>
      <c r="O1873" s="12"/>
      <c r="P1873" s="12"/>
      <c r="Q1873" s="12"/>
      <c r="R1873" s="12"/>
      <c r="S1873" s="12"/>
      <c r="T1873" s="12"/>
      <c r="U1873" s="12"/>
      <c r="V1873" s="12"/>
      <c r="W1873" s="12"/>
      <c r="X1873" s="12"/>
      <c r="Y1873" s="12"/>
      <c r="Z1873" s="12"/>
      <c r="AA1873" s="12"/>
      <c r="AB1873" s="12"/>
      <c r="AC1873" s="12"/>
      <c r="AD1873" s="12"/>
      <c r="AE1873" s="12"/>
      <c r="AF1873" s="12"/>
      <c r="AG1873" s="12"/>
      <c r="AH1873" s="12"/>
      <c r="AI1873" s="12"/>
      <c r="AJ1873" s="12"/>
      <c r="AK1873" s="12"/>
      <c r="AL1873" s="12"/>
      <c r="AM1873" s="12"/>
      <c r="AN1873" s="12"/>
      <c r="AO1873" s="12"/>
      <c r="AP1873" s="12"/>
      <c r="AQ1873" s="12"/>
      <c r="AR1873" s="12"/>
      <c r="AS1873" s="12"/>
      <c r="AT1873" s="12"/>
      <c r="AU1873" s="12"/>
      <c r="AV1873" s="12"/>
      <c r="AW1873" s="12"/>
      <c r="AX1873" s="12"/>
      <c r="AY1873" s="12"/>
      <c r="AZ1873" s="12"/>
      <c r="BA1873" s="12"/>
      <c r="BB1873" s="12"/>
      <c r="BC1873" s="12"/>
      <c r="BD1873" s="12"/>
      <c r="BE1873" s="12"/>
      <c r="BF1873" s="12"/>
      <c r="BG1873" s="12"/>
      <c r="BH1873" s="12"/>
      <c r="BI1873" s="12"/>
      <c r="BJ1873" s="12"/>
      <c r="BK1873" s="12"/>
      <c r="BL1873" s="12"/>
      <c r="BM1873" s="12"/>
      <c r="BN1873" s="12"/>
      <c r="BO1873" s="12"/>
      <c r="BP1873" s="12"/>
      <c r="BQ1873" s="12"/>
      <c r="BR1873" s="12"/>
      <c r="BS1873" s="12"/>
      <c r="BT1873" s="12"/>
    </row>
    <row r="1874" spans="1:72">
      <c r="A1874" s="2" t="s">
        <v>35525</v>
      </c>
      <c r="B1874" s="5" t="s">
        <v>35529</v>
      </c>
      <c r="C1874" s="3" t="s">
        <v>138</v>
      </c>
      <c r="D1874" s="4" t="s">
        <v>138</v>
      </c>
      <c r="E1874" s="15" t="s">
        <v>15388</v>
      </c>
      <c r="F1874" s="15" t="s">
        <v>284</v>
      </c>
      <c r="G1874" s="15" t="s">
        <v>162</v>
      </c>
      <c r="H1874" s="7">
        <v>1</v>
      </c>
      <c r="I1874" s="6" t="s">
        <v>1489</v>
      </c>
      <c r="J1874" s="6" t="s">
        <v>1489</v>
      </c>
      <c r="K1874" s="6"/>
      <c r="L1874" s="6"/>
      <c r="M1874" s="6"/>
      <c r="N1874" s="6"/>
      <c r="O1874" s="6"/>
      <c r="P1874" s="6"/>
      <c r="Q1874" s="6"/>
      <c r="R1874" s="6"/>
      <c r="S1874" s="6"/>
      <c r="T1874" s="6"/>
      <c r="U1874" s="6"/>
      <c r="V1874" s="6"/>
      <c r="W1874" s="6"/>
      <c r="X1874" s="6"/>
      <c r="Y1874" s="6"/>
      <c r="Z1874" s="6"/>
      <c r="AA1874" s="6"/>
      <c r="AB1874" s="6"/>
      <c r="AC1874" s="6"/>
      <c r="AD1874" s="6"/>
      <c r="AE1874" s="6"/>
      <c r="AF1874" s="6"/>
      <c r="AG1874" s="6"/>
      <c r="AH1874" s="6"/>
      <c r="AI1874" s="6"/>
      <c r="AJ1874" s="6"/>
      <c r="AK1874" s="6"/>
      <c r="AL1874" s="6"/>
      <c r="AM1874" s="6"/>
      <c r="AN1874" s="6"/>
      <c r="AO1874" s="6"/>
      <c r="AP1874" s="6"/>
      <c r="AQ1874" s="6"/>
      <c r="AR1874" s="6"/>
      <c r="AS1874" s="6"/>
      <c r="AT1874" s="6"/>
      <c r="AU1874" s="6"/>
      <c r="AV1874" s="6"/>
      <c r="AW1874" s="6"/>
      <c r="AX1874" s="6"/>
      <c r="AY1874" s="6"/>
      <c r="AZ1874" s="6"/>
      <c r="BA1874" s="6"/>
      <c r="BB1874" s="6"/>
      <c r="BC1874" s="6"/>
      <c r="BD1874" s="6"/>
      <c r="BE1874" s="6"/>
      <c r="BF1874" s="6"/>
      <c r="BG1874" s="6"/>
      <c r="BH1874" s="6"/>
      <c r="BI1874" s="6"/>
      <c r="BJ1874" s="6"/>
      <c r="BK1874" s="6"/>
      <c r="BL1874" s="6"/>
      <c r="BM1874" s="6"/>
      <c r="BN1874" s="6"/>
      <c r="BO1874" s="6"/>
      <c r="BP1874" s="6"/>
      <c r="BQ1874" s="6"/>
      <c r="BR1874" s="6"/>
      <c r="BS1874" s="6"/>
      <c r="BT1874" s="6"/>
    </row>
    <row r="1875" spans="1:72">
      <c r="A1875" s="8" t="s">
        <v>35542</v>
      </c>
      <c r="B1875" s="11" t="s">
        <v>35547</v>
      </c>
      <c r="C1875" s="9" t="s">
        <v>35543</v>
      </c>
      <c r="D1875" s="10" t="s">
        <v>138</v>
      </c>
      <c r="E1875" s="28" t="s">
        <v>1294</v>
      </c>
      <c r="F1875" s="28" t="s">
        <v>864</v>
      </c>
      <c r="G1875" s="28" t="s">
        <v>162</v>
      </c>
      <c r="H1875" s="13">
        <v>12</v>
      </c>
      <c r="I1875" s="12" t="s">
        <v>35558</v>
      </c>
      <c r="J1875" s="12" t="s">
        <v>45986</v>
      </c>
      <c r="K1875" s="12" t="s">
        <v>45111</v>
      </c>
      <c r="L1875" s="12" t="s">
        <v>39908</v>
      </c>
      <c r="M1875" s="12" t="s">
        <v>38339</v>
      </c>
      <c r="N1875" s="12" t="s">
        <v>42691</v>
      </c>
      <c r="O1875" s="12" t="s">
        <v>44831</v>
      </c>
      <c r="P1875" s="12" t="s">
        <v>45987</v>
      </c>
      <c r="Q1875" s="12" t="s">
        <v>45988</v>
      </c>
      <c r="R1875" s="12" t="s">
        <v>38548</v>
      </c>
      <c r="S1875" s="12" t="s">
        <v>40612</v>
      </c>
      <c r="T1875" s="12" t="s">
        <v>39859</v>
      </c>
      <c r="U1875" s="12" t="s">
        <v>45989</v>
      </c>
      <c r="V1875" s="12"/>
      <c r="W1875" s="12"/>
      <c r="X1875" s="12"/>
      <c r="Y1875" s="12"/>
      <c r="Z1875" s="12"/>
      <c r="AA1875" s="12"/>
      <c r="AB1875" s="12"/>
      <c r="AC1875" s="12"/>
      <c r="AD1875" s="12"/>
      <c r="AE1875" s="12"/>
      <c r="AF1875" s="12"/>
      <c r="AG1875" s="12"/>
      <c r="AH1875" s="12"/>
      <c r="AI1875" s="12"/>
      <c r="AJ1875" s="12"/>
      <c r="AK1875" s="12"/>
      <c r="AL1875" s="12"/>
      <c r="AM1875" s="12"/>
      <c r="AN1875" s="12"/>
      <c r="AO1875" s="12"/>
      <c r="AP1875" s="12"/>
      <c r="AQ1875" s="12"/>
      <c r="AR1875" s="12"/>
      <c r="AS1875" s="12"/>
      <c r="AT1875" s="12"/>
      <c r="AU1875" s="12"/>
      <c r="AV1875" s="12"/>
      <c r="AW1875" s="12"/>
      <c r="AX1875" s="12"/>
      <c r="AY1875" s="12"/>
      <c r="AZ1875" s="12"/>
      <c r="BA1875" s="12"/>
      <c r="BB1875" s="12"/>
      <c r="BC1875" s="12"/>
      <c r="BD1875" s="12"/>
      <c r="BE1875" s="12"/>
      <c r="BF1875" s="12"/>
      <c r="BG1875" s="12"/>
      <c r="BH1875" s="12"/>
      <c r="BI1875" s="12"/>
      <c r="BJ1875" s="12"/>
      <c r="BK1875" s="12"/>
      <c r="BL1875" s="12"/>
      <c r="BM1875" s="12"/>
      <c r="BN1875" s="12"/>
      <c r="BO1875" s="12"/>
      <c r="BP1875" s="12"/>
      <c r="BQ1875" s="12"/>
      <c r="BR1875" s="12"/>
      <c r="BS1875" s="12"/>
      <c r="BT1875" s="12"/>
    </row>
    <row r="1876" spans="1:72">
      <c r="A1876" s="2" t="s">
        <v>35565</v>
      </c>
      <c r="B1876" s="5" t="s">
        <v>35570</v>
      </c>
      <c r="C1876" s="3" t="s">
        <v>138</v>
      </c>
      <c r="D1876" s="4" t="s">
        <v>138</v>
      </c>
      <c r="E1876" s="15" t="s">
        <v>3139</v>
      </c>
      <c r="F1876" s="15" t="s">
        <v>3140</v>
      </c>
      <c r="G1876" s="15" t="s">
        <v>162</v>
      </c>
      <c r="H1876" s="7">
        <v>1</v>
      </c>
      <c r="I1876" s="6" t="s">
        <v>3186</v>
      </c>
      <c r="J1876" s="6" t="s">
        <v>3186</v>
      </c>
      <c r="K1876" s="6"/>
      <c r="L1876" s="6"/>
      <c r="M1876" s="6"/>
      <c r="N1876" s="6"/>
      <c r="O1876" s="6"/>
      <c r="P1876" s="6"/>
      <c r="Q1876" s="6"/>
      <c r="R1876" s="6"/>
      <c r="S1876" s="6"/>
      <c r="T1876" s="6"/>
      <c r="U1876" s="6"/>
      <c r="V1876" s="6"/>
      <c r="W1876" s="6"/>
      <c r="X1876" s="6"/>
      <c r="Y1876" s="6"/>
      <c r="Z1876" s="6"/>
      <c r="AA1876" s="6"/>
      <c r="AB1876" s="6"/>
      <c r="AC1876" s="6"/>
      <c r="AD1876" s="6"/>
      <c r="AE1876" s="6"/>
      <c r="AF1876" s="6"/>
      <c r="AG1876" s="6"/>
      <c r="AH1876" s="6"/>
      <c r="AI1876" s="6"/>
      <c r="AJ1876" s="6"/>
      <c r="AK1876" s="6"/>
      <c r="AL1876" s="6"/>
      <c r="AM1876" s="6"/>
      <c r="AN1876" s="6"/>
      <c r="AO1876" s="6"/>
      <c r="AP1876" s="6"/>
      <c r="AQ1876" s="6"/>
      <c r="AR1876" s="6"/>
      <c r="AS1876" s="6"/>
      <c r="AT1876" s="6"/>
      <c r="AU1876" s="6"/>
      <c r="AV1876" s="6"/>
      <c r="AW1876" s="6"/>
      <c r="AX1876" s="6"/>
      <c r="AY1876" s="6"/>
      <c r="AZ1876" s="6"/>
      <c r="BA1876" s="6"/>
      <c r="BB1876" s="6"/>
      <c r="BC1876" s="6"/>
      <c r="BD1876" s="6"/>
      <c r="BE1876" s="6"/>
      <c r="BF1876" s="6"/>
      <c r="BG1876" s="6"/>
      <c r="BH1876" s="6"/>
      <c r="BI1876" s="6"/>
      <c r="BJ1876" s="6"/>
      <c r="BK1876" s="6"/>
      <c r="BL1876" s="6"/>
      <c r="BM1876" s="6"/>
      <c r="BN1876" s="6"/>
      <c r="BO1876" s="6"/>
      <c r="BP1876" s="6"/>
      <c r="BQ1876" s="6"/>
      <c r="BR1876" s="6"/>
      <c r="BS1876" s="6"/>
      <c r="BT1876" s="6"/>
    </row>
    <row r="1877" spans="1:72">
      <c r="A1877" s="8" t="s">
        <v>35580</v>
      </c>
      <c r="B1877" s="11" t="s">
        <v>35584</v>
      </c>
      <c r="C1877" s="9" t="s">
        <v>138</v>
      </c>
      <c r="D1877" s="10" t="s">
        <v>138</v>
      </c>
      <c r="E1877" s="28" t="s">
        <v>668</v>
      </c>
      <c r="F1877" s="28" t="s">
        <v>200</v>
      </c>
      <c r="G1877" s="28" t="s">
        <v>162</v>
      </c>
      <c r="H1877" s="13">
        <v>7</v>
      </c>
      <c r="I1877" s="12" t="s">
        <v>35589</v>
      </c>
      <c r="J1877" s="12" t="s">
        <v>37811</v>
      </c>
      <c r="K1877" s="12" t="s">
        <v>38318</v>
      </c>
      <c r="L1877" s="12" t="s">
        <v>38293</v>
      </c>
      <c r="M1877" s="12" t="s">
        <v>37781</v>
      </c>
      <c r="N1877" s="12" t="s">
        <v>38141</v>
      </c>
      <c r="O1877" s="12" t="s">
        <v>37783</v>
      </c>
      <c r="P1877" s="12" t="s">
        <v>37976</v>
      </c>
      <c r="Q1877" s="12"/>
      <c r="R1877" s="12"/>
      <c r="S1877" s="12"/>
      <c r="T1877" s="12"/>
      <c r="U1877" s="12"/>
      <c r="V1877" s="12"/>
      <c r="W1877" s="12"/>
      <c r="X1877" s="12"/>
      <c r="Y1877" s="12"/>
      <c r="Z1877" s="12"/>
      <c r="AA1877" s="12"/>
      <c r="AB1877" s="12"/>
      <c r="AC1877" s="12"/>
      <c r="AD1877" s="12"/>
      <c r="AE1877" s="12"/>
      <c r="AF1877" s="12"/>
      <c r="AG1877" s="12"/>
      <c r="AH1877" s="12"/>
      <c r="AI1877" s="12"/>
      <c r="AJ1877" s="12"/>
      <c r="AK1877" s="12"/>
      <c r="AL1877" s="12"/>
      <c r="AM1877" s="12"/>
      <c r="AN1877" s="12"/>
      <c r="AO1877" s="12"/>
      <c r="AP1877" s="12"/>
      <c r="AQ1877" s="12"/>
      <c r="AR1877" s="12"/>
      <c r="AS1877" s="12"/>
      <c r="AT1877" s="12"/>
      <c r="AU1877" s="12"/>
      <c r="AV1877" s="12"/>
      <c r="AW1877" s="12"/>
      <c r="AX1877" s="12"/>
      <c r="AY1877" s="12"/>
      <c r="AZ1877" s="12"/>
      <c r="BA1877" s="12"/>
      <c r="BB1877" s="12"/>
      <c r="BC1877" s="12"/>
      <c r="BD1877" s="12"/>
      <c r="BE1877" s="12"/>
      <c r="BF1877" s="12"/>
      <c r="BG1877" s="12"/>
      <c r="BH1877" s="12"/>
      <c r="BI1877" s="12"/>
      <c r="BJ1877" s="12"/>
      <c r="BK1877" s="12"/>
      <c r="BL1877" s="12"/>
      <c r="BM1877" s="12"/>
      <c r="BN1877" s="12"/>
      <c r="BO1877" s="12"/>
      <c r="BP1877" s="12"/>
      <c r="BQ1877" s="12"/>
      <c r="BR1877" s="12"/>
      <c r="BS1877" s="12"/>
      <c r="BT1877" s="12"/>
    </row>
    <row r="1878" spans="1:72">
      <c r="A1878" s="2" t="s">
        <v>35592</v>
      </c>
      <c r="B1878" s="5" t="s">
        <v>35596</v>
      </c>
      <c r="C1878" s="3" t="s">
        <v>138</v>
      </c>
      <c r="D1878" s="4" t="s">
        <v>138</v>
      </c>
      <c r="E1878" s="15" t="s">
        <v>1223</v>
      </c>
      <c r="F1878" s="15" t="s">
        <v>200</v>
      </c>
      <c r="G1878" s="15" t="s">
        <v>162</v>
      </c>
      <c r="H1878" s="7">
        <v>6</v>
      </c>
      <c r="I1878" s="6" t="s">
        <v>35603</v>
      </c>
      <c r="J1878" s="6" t="s">
        <v>25482</v>
      </c>
      <c r="K1878" s="6" t="s">
        <v>38964</v>
      </c>
      <c r="L1878" s="6" t="s">
        <v>45990</v>
      </c>
      <c r="M1878" s="6" t="s">
        <v>40688</v>
      </c>
      <c r="N1878" s="6" t="s">
        <v>45991</v>
      </c>
      <c r="O1878" s="6" t="s">
        <v>38326</v>
      </c>
      <c r="P1878" s="6"/>
      <c r="Q1878" s="6"/>
      <c r="R1878" s="6"/>
      <c r="S1878" s="6"/>
      <c r="T1878" s="6"/>
      <c r="U1878" s="6"/>
      <c r="V1878" s="6"/>
      <c r="W1878" s="6"/>
      <c r="X1878" s="6"/>
      <c r="Y1878" s="6"/>
      <c r="Z1878" s="6"/>
      <c r="AA1878" s="6"/>
      <c r="AB1878" s="6"/>
      <c r="AC1878" s="6"/>
      <c r="AD1878" s="6"/>
      <c r="AE1878" s="6"/>
      <c r="AF1878" s="6"/>
      <c r="AG1878" s="6"/>
      <c r="AH1878" s="6"/>
      <c r="AI1878" s="6"/>
      <c r="AJ1878" s="6"/>
      <c r="AK1878" s="6"/>
      <c r="AL1878" s="6"/>
      <c r="AM1878" s="6"/>
      <c r="AN1878" s="6"/>
      <c r="AO1878" s="6"/>
      <c r="AP1878" s="6"/>
      <c r="AQ1878" s="6"/>
      <c r="AR1878" s="6"/>
      <c r="AS1878" s="6"/>
      <c r="AT1878" s="6"/>
      <c r="AU1878" s="6"/>
      <c r="AV1878" s="6"/>
      <c r="AW1878" s="6"/>
      <c r="AX1878" s="6"/>
      <c r="AY1878" s="6"/>
      <c r="AZ1878" s="6"/>
      <c r="BA1878" s="6"/>
      <c r="BB1878" s="6"/>
      <c r="BC1878" s="6"/>
      <c r="BD1878" s="6"/>
      <c r="BE1878" s="6"/>
      <c r="BF1878" s="6"/>
      <c r="BG1878" s="6"/>
      <c r="BH1878" s="6"/>
      <c r="BI1878" s="6"/>
      <c r="BJ1878" s="6"/>
      <c r="BK1878" s="6"/>
      <c r="BL1878" s="6"/>
      <c r="BM1878" s="6"/>
      <c r="BN1878" s="6"/>
      <c r="BO1878" s="6"/>
      <c r="BP1878" s="6"/>
      <c r="BQ1878" s="6"/>
      <c r="BR1878" s="6"/>
      <c r="BS1878" s="6"/>
      <c r="BT1878" s="6"/>
    </row>
    <row r="1879" spans="1:72">
      <c r="A1879" s="8" t="s">
        <v>35606</v>
      </c>
      <c r="B1879" s="11" t="s">
        <v>35612</v>
      </c>
      <c r="C1879" s="9" t="s">
        <v>138</v>
      </c>
      <c r="D1879" s="10" t="s">
        <v>138</v>
      </c>
      <c r="E1879" s="28" t="s">
        <v>1171</v>
      </c>
      <c r="F1879" s="28" t="s">
        <v>200</v>
      </c>
      <c r="G1879" s="28" t="s">
        <v>162</v>
      </c>
      <c r="H1879" s="13">
        <v>5</v>
      </c>
      <c r="I1879" s="12" t="s">
        <v>35620</v>
      </c>
      <c r="J1879" s="12" t="s">
        <v>39029</v>
      </c>
      <c r="K1879" s="12" t="s">
        <v>37832</v>
      </c>
      <c r="L1879" s="12" t="s">
        <v>37883</v>
      </c>
      <c r="M1879" s="12" t="s">
        <v>39664</v>
      </c>
      <c r="N1879" s="12" t="s">
        <v>38325</v>
      </c>
      <c r="O1879" s="12"/>
      <c r="P1879" s="12"/>
      <c r="Q1879" s="12"/>
      <c r="R1879" s="12"/>
      <c r="S1879" s="12"/>
      <c r="T1879" s="12"/>
      <c r="U1879" s="12"/>
      <c r="V1879" s="12"/>
      <c r="W1879" s="12"/>
      <c r="X1879" s="12"/>
      <c r="Y1879" s="12"/>
      <c r="Z1879" s="12"/>
      <c r="AA1879" s="12"/>
      <c r="AB1879" s="12"/>
      <c r="AC1879" s="12"/>
      <c r="AD1879" s="12"/>
      <c r="AE1879" s="12"/>
      <c r="AF1879" s="12"/>
      <c r="AG1879" s="12"/>
      <c r="AH1879" s="12"/>
      <c r="AI1879" s="12"/>
      <c r="AJ1879" s="12"/>
      <c r="AK1879" s="12"/>
      <c r="AL1879" s="12"/>
      <c r="AM1879" s="12"/>
      <c r="AN1879" s="12"/>
      <c r="AO1879" s="12"/>
      <c r="AP1879" s="12"/>
      <c r="AQ1879" s="12"/>
      <c r="AR1879" s="12"/>
      <c r="AS1879" s="12"/>
      <c r="AT1879" s="12"/>
      <c r="AU1879" s="12"/>
      <c r="AV1879" s="12"/>
      <c r="AW1879" s="12"/>
      <c r="AX1879" s="12"/>
      <c r="AY1879" s="12"/>
      <c r="AZ1879" s="12"/>
      <c r="BA1879" s="12"/>
      <c r="BB1879" s="12"/>
      <c r="BC1879" s="12"/>
      <c r="BD1879" s="12"/>
      <c r="BE1879" s="12"/>
      <c r="BF1879" s="12"/>
      <c r="BG1879" s="12"/>
      <c r="BH1879" s="12"/>
      <c r="BI1879" s="12"/>
      <c r="BJ1879" s="12"/>
      <c r="BK1879" s="12"/>
      <c r="BL1879" s="12"/>
      <c r="BM1879" s="12"/>
      <c r="BN1879" s="12"/>
      <c r="BO1879" s="12"/>
      <c r="BP1879" s="12"/>
      <c r="BQ1879" s="12"/>
      <c r="BR1879" s="12"/>
      <c r="BS1879" s="12"/>
      <c r="BT1879" s="12"/>
    </row>
    <row r="1880" spans="1:72">
      <c r="A1880" s="2" t="s">
        <v>35623</v>
      </c>
      <c r="B1880" s="5" t="s">
        <v>35629</v>
      </c>
      <c r="C1880" s="3" t="s">
        <v>35624</v>
      </c>
      <c r="D1880" s="4" t="s">
        <v>138</v>
      </c>
      <c r="E1880" s="15" t="s">
        <v>3139</v>
      </c>
      <c r="F1880" s="15" t="s">
        <v>3140</v>
      </c>
      <c r="G1880" s="15" t="s">
        <v>162</v>
      </c>
      <c r="H1880" s="7">
        <v>10</v>
      </c>
      <c r="I1880" s="6" t="s">
        <v>35640</v>
      </c>
      <c r="J1880" s="6" t="s">
        <v>45992</v>
      </c>
      <c r="K1880" s="6" t="s">
        <v>45993</v>
      </c>
      <c r="L1880" s="6" t="s">
        <v>38841</v>
      </c>
      <c r="M1880" s="6" t="s">
        <v>37851</v>
      </c>
      <c r="N1880" s="6" t="s">
        <v>37800</v>
      </c>
      <c r="O1880" s="6" t="s">
        <v>40976</v>
      </c>
      <c r="P1880" s="6" t="s">
        <v>39416</v>
      </c>
      <c r="Q1880" s="6" t="s">
        <v>41690</v>
      </c>
      <c r="R1880" s="6" t="s">
        <v>45994</v>
      </c>
      <c r="S1880" s="6" t="s">
        <v>38850</v>
      </c>
      <c r="T1880" s="6"/>
      <c r="U1880" s="6"/>
      <c r="V1880" s="6"/>
      <c r="W1880" s="6"/>
      <c r="X1880" s="6"/>
      <c r="Y1880" s="6"/>
      <c r="Z1880" s="6"/>
      <c r="AA1880" s="6"/>
      <c r="AB1880" s="6"/>
      <c r="AC1880" s="6"/>
      <c r="AD1880" s="6"/>
      <c r="AE1880" s="6"/>
      <c r="AF1880" s="6"/>
      <c r="AG1880" s="6"/>
      <c r="AH1880" s="6"/>
      <c r="AI1880" s="6"/>
      <c r="AJ1880" s="6"/>
      <c r="AK1880" s="6"/>
      <c r="AL1880" s="6"/>
      <c r="AM1880" s="6"/>
      <c r="AN1880" s="6"/>
      <c r="AO1880" s="6"/>
      <c r="AP1880" s="6"/>
      <c r="AQ1880" s="6"/>
      <c r="AR1880" s="6"/>
      <c r="AS1880" s="6"/>
      <c r="AT1880" s="6"/>
      <c r="AU1880" s="6"/>
      <c r="AV1880" s="6"/>
      <c r="AW1880" s="6"/>
      <c r="AX1880" s="6"/>
      <c r="AY1880" s="6"/>
      <c r="AZ1880" s="6"/>
      <c r="BA1880" s="6"/>
      <c r="BB1880" s="6"/>
      <c r="BC1880" s="6"/>
      <c r="BD1880" s="6"/>
      <c r="BE1880" s="6"/>
      <c r="BF1880" s="6"/>
      <c r="BG1880" s="6"/>
      <c r="BH1880" s="6"/>
      <c r="BI1880" s="6"/>
      <c r="BJ1880" s="6"/>
      <c r="BK1880" s="6"/>
      <c r="BL1880" s="6"/>
      <c r="BM1880" s="6"/>
      <c r="BN1880" s="6"/>
      <c r="BO1880" s="6"/>
      <c r="BP1880" s="6"/>
      <c r="BQ1880" s="6"/>
      <c r="BR1880" s="6"/>
      <c r="BS1880" s="6"/>
      <c r="BT1880" s="6"/>
    </row>
    <row r="1881" spans="1:72">
      <c r="A1881" s="8" t="s">
        <v>35645</v>
      </c>
      <c r="B1881" s="11" t="s">
        <v>35649</v>
      </c>
      <c r="C1881" s="9" t="s">
        <v>138</v>
      </c>
      <c r="D1881" s="10" t="s">
        <v>138</v>
      </c>
      <c r="E1881" s="28" t="s">
        <v>2005</v>
      </c>
      <c r="F1881" s="28" t="s">
        <v>200</v>
      </c>
      <c r="G1881" s="28" t="s">
        <v>162</v>
      </c>
      <c r="H1881" s="13">
        <v>8</v>
      </c>
      <c r="I1881" s="12" t="s">
        <v>35658</v>
      </c>
      <c r="J1881" s="12" t="s">
        <v>45995</v>
      </c>
      <c r="K1881" s="12" t="s">
        <v>39778</v>
      </c>
      <c r="L1881" s="12" t="s">
        <v>43435</v>
      </c>
      <c r="M1881" s="12" t="s">
        <v>45996</v>
      </c>
      <c r="N1881" s="12" t="s">
        <v>45997</v>
      </c>
      <c r="O1881" s="12" t="s">
        <v>39445</v>
      </c>
      <c r="P1881" s="12" t="s">
        <v>45998</v>
      </c>
      <c r="Q1881" s="12" t="s">
        <v>38145</v>
      </c>
      <c r="R1881" s="12"/>
      <c r="S1881" s="12"/>
      <c r="T1881" s="12"/>
      <c r="U1881" s="12"/>
      <c r="V1881" s="12"/>
      <c r="W1881" s="12"/>
      <c r="X1881" s="12"/>
      <c r="Y1881" s="12"/>
      <c r="Z1881" s="12"/>
      <c r="AA1881" s="12"/>
      <c r="AB1881" s="12"/>
      <c r="AC1881" s="12"/>
      <c r="AD1881" s="12"/>
      <c r="AE1881" s="12"/>
      <c r="AF1881" s="12"/>
      <c r="AG1881" s="12"/>
      <c r="AH1881" s="12"/>
      <c r="AI1881" s="12"/>
      <c r="AJ1881" s="12"/>
      <c r="AK1881" s="12"/>
      <c r="AL1881" s="12"/>
      <c r="AM1881" s="12"/>
      <c r="AN1881" s="12"/>
      <c r="AO1881" s="12"/>
      <c r="AP1881" s="12"/>
      <c r="AQ1881" s="12"/>
      <c r="AR1881" s="12"/>
      <c r="AS1881" s="12"/>
      <c r="AT1881" s="12"/>
      <c r="AU1881" s="12"/>
      <c r="AV1881" s="12"/>
      <c r="AW1881" s="12"/>
      <c r="AX1881" s="12"/>
      <c r="AY1881" s="12"/>
      <c r="AZ1881" s="12"/>
      <c r="BA1881" s="12"/>
      <c r="BB1881" s="12"/>
      <c r="BC1881" s="12"/>
      <c r="BD1881" s="12"/>
      <c r="BE1881" s="12"/>
      <c r="BF1881" s="12"/>
      <c r="BG1881" s="12"/>
      <c r="BH1881" s="12"/>
      <c r="BI1881" s="12"/>
      <c r="BJ1881" s="12"/>
      <c r="BK1881" s="12"/>
      <c r="BL1881" s="12"/>
      <c r="BM1881" s="12"/>
      <c r="BN1881" s="12"/>
      <c r="BO1881" s="12"/>
      <c r="BP1881" s="12"/>
      <c r="BQ1881" s="12"/>
      <c r="BR1881" s="12"/>
      <c r="BS1881" s="12"/>
      <c r="BT1881" s="12"/>
    </row>
    <row r="1882" spans="1:72">
      <c r="A1882" s="2" t="s">
        <v>35661</v>
      </c>
      <c r="B1882" s="5" t="s">
        <v>35668</v>
      </c>
      <c r="C1882" s="3" t="s">
        <v>35662</v>
      </c>
      <c r="D1882" s="4" t="s">
        <v>35663</v>
      </c>
      <c r="E1882" s="15" t="s">
        <v>20817</v>
      </c>
      <c r="F1882" s="15" t="s">
        <v>20818</v>
      </c>
      <c r="G1882" s="15" t="s">
        <v>450</v>
      </c>
      <c r="H1882" s="7">
        <v>28</v>
      </c>
      <c r="I1882" s="6" t="s">
        <v>35678</v>
      </c>
      <c r="J1882" s="6" t="s">
        <v>39545</v>
      </c>
      <c r="K1882" s="6" t="s">
        <v>39331</v>
      </c>
      <c r="L1882" s="6" t="s">
        <v>45999</v>
      </c>
      <c r="M1882" s="6" t="s">
        <v>43675</v>
      </c>
      <c r="N1882" s="6" t="s">
        <v>46000</v>
      </c>
      <c r="O1882" s="6" t="s">
        <v>46001</v>
      </c>
      <c r="P1882" s="6" t="s">
        <v>46002</v>
      </c>
      <c r="Q1882" s="6" t="s">
        <v>46003</v>
      </c>
      <c r="R1882" s="6" t="s">
        <v>45895</v>
      </c>
      <c r="S1882" s="6" t="s">
        <v>46004</v>
      </c>
      <c r="T1882" s="6" t="s">
        <v>46005</v>
      </c>
      <c r="U1882" s="6" t="s">
        <v>46006</v>
      </c>
      <c r="V1882" s="6" t="s">
        <v>37945</v>
      </c>
      <c r="W1882" s="6" t="s">
        <v>38779</v>
      </c>
      <c r="X1882" s="6" t="s">
        <v>41790</v>
      </c>
      <c r="Y1882" s="6" t="s">
        <v>46007</v>
      </c>
      <c r="Z1882" s="6" t="s">
        <v>46008</v>
      </c>
      <c r="AA1882" s="6" t="s">
        <v>40778</v>
      </c>
      <c r="AB1882" s="6" t="s">
        <v>46009</v>
      </c>
      <c r="AC1882" s="6" t="s">
        <v>46010</v>
      </c>
      <c r="AD1882" s="6" t="s">
        <v>38668</v>
      </c>
      <c r="AE1882" s="6" t="s">
        <v>37916</v>
      </c>
      <c r="AF1882" s="6" t="s">
        <v>38752</v>
      </c>
      <c r="AG1882" s="6" t="s">
        <v>38401</v>
      </c>
      <c r="AH1882" s="6" t="s">
        <v>46011</v>
      </c>
      <c r="AI1882" s="6" t="s">
        <v>37895</v>
      </c>
      <c r="AJ1882" s="6" t="s">
        <v>46012</v>
      </c>
      <c r="AK1882" s="6" t="s">
        <v>38631</v>
      </c>
      <c r="AL1882" s="6"/>
      <c r="AM1882" s="6"/>
      <c r="AN1882" s="6"/>
      <c r="AO1882" s="6"/>
      <c r="AP1882" s="6"/>
      <c r="AQ1882" s="6"/>
      <c r="AR1882" s="6"/>
      <c r="AS1882" s="6"/>
      <c r="AT1882" s="6"/>
      <c r="AU1882" s="6"/>
      <c r="AV1882" s="6"/>
      <c r="AW1882" s="6"/>
      <c r="AX1882" s="6"/>
      <c r="AY1882" s="6"/>
      <c r="AZ1882" s="6"/>
      <c r="BA1882" s="6"/>
      <c r="BB1882" s="6"/>
      <c r="BC1882" s="6"/>
      <c r="BD1882" s="6"/>
      <c r="BE1882" s="6"/>
      <c r="BF1882" s="6"/>
      <c r="BG1882" s="6"/>
      <c r="BH1882" s="6"/>
      <c r="BI1882" s="6"/>
      <c r="BJ1882" s="6"/>
      <c r="BK1882" s="6"/>
      <c r="BL1882" s="6"/>
      <c r="BM1882" s="6"/>
      <c r="BN1882" s="6"/>
      <c r="BO1882" s="6"/>
      <c r="BP1882" s="6"/>
      <c r="BQ1882" s="6"/>
      <c r="BR1882" s="6"/>
      <c r="BS1882" s="6"/>
      <c r="BT1882" s="6"/>
    </row>
    <row r="1883" spans="1:72">
      <c r="A1883" s="8" t="s">
        <v>35683</v>
      </c>
      <c r="B1883" s="11" t="s">
        <v>35687</v>
      </c>
      <c r="C1883" s="9" t="s">
        <v>138</v>
      </c>
      <c r="D1883" s="10" t="s">
        <v>35684</v>
      </c>
      <c r="E1883" s="28" t="s">
        <v>35696</v>
      </c>
      <c r="F1883" s="28" t="s">
        <v>138</v>
      </c>
      <c r="G1883" s="28" t="s">
        <v>35697</v>
      </c>
      <c r="H1883" s="13">
        <v>1</v>
      </c>
      <c r="I1883" s="12" t="s">
        <v>8373</v>
      </c>
      <c r="J1883" s="12" t="s">
        <v>8373</v>
      </c>
      <c r="K1883" s="12"/>
      <c r="L1883" s="12"/>
      <c r="M1883" s="12"/>
      <c r="N1883" s="12"/>
      <c r="O1883" s="12"/>
      <c r="P1883" s="12"/>
      <c r="Q1883" s="12"/>
      <c r="R1883" s="12"/>
      <c r="S1883" s="12"/>
      <c r="T1883" s="12"/>
      <c r="U1883" s="12"/>
      <c r="V1883" s="12"/>
      <c r="W1883" s="12"/>
      <c r="X1883" s="12"/>
      <c r="Y1883" s="12"/>
      <c r="Z1883" s="12"/>
      <c r="AA1883" s="12"/>
      <c r="AB1883" s="12"/>
      <c r="AC1883" s="12"/>
      <c r="AD1883" s="12"/>
      <c r="AE1883" s="12"/>
      <c r="AF1883" s="12"/>
      <c r="AG1883" s="12"/>
      <c r="AH1883" s="12"/>
      <c r="AI1883" s="12"/>
      <c r="AJ1883" s="12"/>
      <c r="AK1883" s="12"/>
      <c r="AL1883" s="12"/>
      <c r="AM1883" s="12"/>
      <c r="AN1883" s="12"/>
      <c r="AO1883" s="12"/>
      <c r="AP1883" s="12"/>
      <c r="AQ1883" s="12"/>
      <c r="AR1883" s="12"/>
      <c r="AS1883" s="12"/>
      <c r="AT1883" s="12"/>
      <c r="AU1883" s="12"/>
      <c r="AV1883" s="12"/>
      <c r="AW1883" s="12"/>
      <c r="AX1883" s="12"/>
      <c r="AY1883" s="12"/>
      <c r="AZ1883" s="12"/>
      <c r="BA1883" s="12"/>
      <c r="BB1883" s="12"/>
      <c r="BC1883" s="12"/>
      <c r="BD1883" s="12"/>
      <c r="BE1883" s="12"/>
      <c r="BF1883" s="12"/>
      <c r="BG1883" s="12"/>
      <c r="BH1883" s="12"/>
      <c r="BI1883" s="12"/>
      <c r="BJ1883" s="12"/>
      <c r="BK1883" s="12"/>
      <c r="BL1883" s="12"/>
      <c r="BM1883" s="12"/>
      <c r="BN1883" s="12"/>
      <c r="BO1883" s="12"/>
      <c r="BP1883" s="12"/>
      <c r="BQ1883" s="12"/>
      <c r="BR1883" s="12"/>
      <c r="BS1883" s="12"/>
      <c r="BT1883" s="12"/>
    </row>
    <row r="1884" spans="1:72">
      <c r="A1884" s="2" t="s">
        <v>35701</v>
      </c>
      <c r="B1884" s="5" t="s">
        <v>35708</v>
      </c>
      <c r="C1884" s="3" t="s">
        <v>35702</v>
      </c>
      <c r="D1884" s="4" t="s">
        <v>138</v>
      </c>
      <c r="E1884" s="15" t="s">
        <v>24385</v>
      </c>
      <c r="F1884" s="15" t="s">
        <v>864</v>
      </c>
      <c r="G1884" s="15" t="s">
        <v>162</v>
      </c>
      <c r="H1884" s="7">
        <v>7</v>
      </c>
      <c r="I1884" s="6" t="s">
        <v>35718</v>
      </c>
      <c r="J1884" s="6" t="s">
        <v>40374</v>
      </c>
      <c r="K1884" s="6" t="s">
        <v>37910</v>
      </c>
      <c r="L1884" s="6" t="s">
        <v>38844</v>
      </c>
      <c r="M1884" s="6" t="s">
        <v>39946</v>
      </c>
      <c r="N1884" s="6" t="s">
        <v>40512</v>
      </c>
      <c r="O1884" s="6" t="s">
        <v>46013</v>
      </c>
      <c r="P1884" s="6" t="s">
        <v>40957</v>
      </c>
      <c r="Q1884" s="6"/>
      <c r="R1884" s="6"/>
      <c r="S1884" s="6"/>
      <c r="T1884" s="6"/>
      <c r="U1884" s="6"/>
      <c r="V1884" s="6"/>
      <c r="W1884" s="6"/>
      <c r="X1884" s="6"/>
      <c r="Y1884" s="6"/>
      <c r="Z1884" s="6"/>
      <c r="AA1884" s="6"/>
      <c r="AB1884" s="6"/>
      <c r="AC1884" s="6"/>
      <c r="AD1884" s="6"/>
      <c r="AE1884" s="6"/>
      <c r="AF1884" s="6"/>
      <c r="AG1884" s="6"/>
      <c r="AH1884" s="6"/>
      <c r="AI1884" s="6"/>
      <c r="AJ1884" s="6"/>
      <c r="AK1884" s="6"/>
      <c r="AL1884" s="6"/>
      <c r="AM1884" s="6"/>
      <c r="AN1884" s="6"/>
      <c r="AO1884" s="6"/>
      <c r="AP1884" s="6"/>
      <c r="AQ1884" s="6"/>
      <c r="AR1884" s="6"/>
      <c r="AS1884" s="6"/>
      <c r="AT1884" s="6"/>
      <c r="AU1884" s="6"/>
      <c r="AV1884" s="6"/>
      <c r="AW1884" s="6"/>
      <c r="AX1884" s="6"/>
      <c r="AY1884" s="6"/>
      <c r="AZ1884" s="6"/>
      <c r="BA1884" s="6"/>
      <c r="BB1884" s="6"/>
      <c r="BC1884" s="6"/>
      <c r="BD1884" s="6"/>
      <c r="BE1884" s="6"/>
      <c r="BF1884" s="6"/>
      <c r="BG1884" s="6"/>
      <c r="BH1884" s="6"/>
      <c r="BI1884" s="6"/>
      <c r="BJ1884" s="6"/>
      <c r="BK1884" s="6"/>
      <c r="BL1884" s="6"/>
      <c r="BM1884" s="6"/>
      <c r="BN1884" s="6"/>
      <c r="BO1884" s="6"/>
      <c r="BP1884" s="6"/>
      <c r="BQ1884" s="6"/>
      <c r="BR1884" s="6"/>
      <c r="BS1884" s="6"/>
      <c r="BT1884" s="6"/>
    </row>
    <row r="1885" spans="1:72">
      <c r="A1885" s="8" t="s">
        <v>35724</v>
      </c>
      <c r="B1885" s="11" t="s">
        <v>35728</v>
      </c>
      <c r="C1885" s="9" t="s">
        <v>138</v>
      </c>
      <c r="D1885" s="10" t="s">
        <v>138</v>
      </c>
      <c r="E1885" s="28" t="s">
        <v>35735</v>
      </c>
      <c r="F1885" s="28" t="s">
        <v>6099</v>
      </c>
      <c r="G1885" s="28" t="s">
        <v>2071</v>
      </c>
      <c r="H1885" s="13">
        <v>1</v>
      </c>
      <c r="I1885" s="12" t="s">
        <v>2075</v>
      </c>
      <c r="J1885" s="12" t="s">
        <v>2075</v>
      </c>
      <c r="K1885" s="12"/>
      <c r="L1885" s="12"/>
      <c r="M1885" s="12"/>
      <c r="N1885" s="12"/>
      <c r="O1885" s="12"/>
      <c r="P1885" s="12"/>
      <c r="Q1885" s="12"/>
      <c r="R1885" s="12"/>
      <c r="S1885" s="12"/>
      <c r="T1885" s="12"/>
      <c r="U1885" s="12"/>
      <c r="V1885" s="12"/>
      <c r="W1885" s="12"/>
      <c r="X1885" s="12"/>
      <c r="Y1885" s="12"/>
      <c r="Z1885" s="12"/>
      <c r="AA1885" s="12"/>
      <c r="AB1885" s="12"/>
      <c r="AC1885" s="12"/>
      <c r="AD1885" s="12"/>
      <c r="AE1885" s="12"/>
      <c r="AF1885" s="12"/>
      <c r="AG1885" s="12"/>
      <c r="AH1885" s="12"/>
      <c r="AI1885" s="12"/>
      <c r="AJ1885" s="12"/>
      <c r="AK1885" s="12"/>
      <c r="AL1885" s="12"/>
      <c r="AM1885" s="12"/>
      <c r="AN1885" s="12"/>
      <c r="AO1885" s="12"/>
      <c r="AP1885" s="12"/>
      <c r="AQ1885" s="12"/>
      <c r="AR1885" s="12"/>
      <c r="AS1885" s="12"/>
      <c r="AT1885" s="12"/>
      <c r="AU1885" s="12"/>
      <c r="AV1885" s="12"/>
      <c r="AW1885" s="12"/>
      <c r="AX1885" s="12"/>
      <c r="AY1885" s="12"/>
      <c r="AZ1885" s="12"/>
      <c r="BA1885" s="12"/>
      <c r="BB1885" s="12"/>
      <c r="BC1885" s="12"/>
      <c r="BD1885" s="12"/>
      <c r="BE1885" s="12"/>
      <c r="BF1885" s="12"/>
      <c r="BG1885" s="12"/>
      <c r="BH1885" s="12"/>
      <c r="BI1885" s="12"/>
      <c r="BJ1885" s="12"/>
      <c r="BK1885" s="12"/>
      <c r="BL1885" s="12"/>
      <c r="BM1885" s="12"/>
      <c r="BN1885" s="12"/>
      <c r="BO1885" s="12"/>
      <c r="BP1885" s="12"/>
      <c r="BQ1885" s="12"/>
      <c r="BR1885" s="12"/>
      <c r="BS1885" s="12"/>
      <c r="BT1885" s="12"/>
    </row>
    <row r="1886" spans="1:72">
      <c r="A1886" s="2" t="s">
        <v>35739</v>
      </c>
      <c r="B1886" s="5" t="s">
        <v>35743</v>
      </c>
      <c r="C1886" s="3" t="s">
        <v>138</v>
      </c>
      <c r="D1886" s="4" t="s">
        <v>138</v>
      </c>
      <c r="E1886" s="15" t="s">
        <v>668</v>
      </c>
      <c r="F1886" s="15" t="s">
        <v>200</v>
      </c>
      <c r="G1886" s="15" t="s">
        <v>162</v>
      </c>
      <c r="H1886" s="7">
        <v>21</v>
      </c>
      <c r="I1886" s="6" t="s">
        <v>35751</v>
      </c>
      <c r="J1886" s="6" t="s">
        <v>46014</v>
      </c>
      <c r="K1886" s="6" t="s">
        <v>38391</v>
      </c>
      <c r="L1886" s="6" t="s">
        <v>43542</v>
      </c>
      <c r="M1886" s="6" t="s">
        <v>43744</v>
      </c>
      <c r="N1886" s="6" t="s">
        <v>40845</v>
      </c>
      <c r="O1886" s="6" t="s">
        <v>46015</v>
      </c>
      <c r="P1886" s="6" t="s">
        <v>46016</v>
      </c>
      <c r="Q1886" s="6" t="s">
        <v>46017</v>
      </c>
      <c r="R1886" s="6" t="s">
        <v>46018</v>
      </c>
      <c r="S1886" s="6" t="s">
        <v>46019</v>
      </c>
      <c r="T1886" s="6" t="s">
        <v>42047</v>
      </c>
      <c r="U1886" s="6" t="s">
        <v>39048</v>
      </c>
      <c r="V1886" s="6" t="s">
        <v>43990</v>
      </c>
      <c r="W1886" s="6" t="s">
        <v>43991</v>
      </c>
      <c r="X1886" s="6" t="s">
        <v>37781</v>
      </c>
      <c r="Y1886" s="6" t="s">
        <v>46020</v>
      </c>
      <c r="Z1886" s="6" t="s">
        <v>37804</v>
      </c>
      <c r="AA1886" s="6" t="s">
        <v>41041</v>
      </c>
      <c r="AB1886" s="6" t="s">
        <v>38954</v>
      </c>
      <c r="AC1886" s="6" t="s">
        <v>46021</v>
      </c>
      <c r="AD1886" s="6" t="s">
        <v>46022</v>
      </c>
      <c r="AE1886" s="6"/>
      <c r="AF1886" s="6"/>
      <c r="AG1886" s="6"/>
      <c r="AH1886" s="6"/>
      <c r="AI1886" s="6"/>
      <c r="AJ1886" s="6"/>
      <c r="AK1886" s="6"/>
      <c r="AL1886" s="6"/>
      <c r="AM1886" s="6"/>
      <c r="AN1886" s="6"/>
      <c r="AO1886" s="6"/>
      <c r="AP1886" s="6"/>
      <c r="AQ1886" s="6"/>
      <c r="AR1886" s="6"/>
      <c r="AS1886" s="6"/>
      <c r="AT1886" s="6"/>
      <c r="AU1886" s="6"/>
      <c r="AV1886" s="6"/>
      <c r="AW1886" s="6"/>
      <c r="AX1886" s="6"/>
      <c r="AY1886" s="6"/>
      <c r="AZ1886" s="6"/>
      <c r="BA1886" s="6"/>
      <c r="BB1886" s="6"/>
      <c r="BC1886" s="6"/>
      <c r="BD1886" s="6"/>
      <c r="BE1886" s="6"/>
      <c r="BF1886" s="6"/>
      <c r="BG1886" s="6"/>
      <c r="BH1886" s="6"/>
      <c r="BI1886" s="6"/>
      <c r="BJ1886" s="6"/>
      <c r="BK1886" s="6"/>
      <c r="BL1886" s="6"/>
      <c r="BM1886" s="6"/>
      <c r="BN1886" s="6"/>
      <c r="BO1886" s="6"/>
      <c r="BP1886" s="6"/>
      <c r="BQ1886" s="6"/>
      <c r="BR1886" s="6"/>
      <c r="BS1886" s="6"/>
      <c r="BT1886" s="6"/>
    </row>
    <row r="1887" spans="1:72">
      <c r="A1887" s="8" t="s">
        <v>35754</v>
      </c>
      <c r="B1887" s="11" t="s">
        <v>35761</v>
      </c>
      <c r="C1887" s="9" t="s">
        <v>138</v>
      </c>
      <c r="D1887" s="10" t="s">
        <v>35755</v>
      </c>
      <c r="E1887" s="28" t="s">
        <v>1198</v>
      </c>
      <c r="F1887" s="28" t="s">
        <v>138</v>
      </c>
      <c r="G1887" s="28" t="s">
        <v>1200</v>
      </c>
      <c r="H1887" s="13">
        <v>4</v>
      </c>
      <c r="I1887" s="12" t="s">
        <v>35770</v>
      </c>
      <c r="J1887" s="12" t="s">
        <v>44277</v>
      </c>
      <c r="K1887" s="12" t="s">
        <v>37798</v>
      </c>
      <c r="L1887" s="12" t="s">
        <v>37781</v>
      </c>
      <c r="M1887" s="12" t="s">
        <v>46023</v>
      </c>
      <c r="N1887" s="12"/>
      <c r="O1887" s="12"/>
      <c r="P1887" s="12"/>
      <c r="Q1887" s="12"/>
      <c r="R1887" s="12"/>
      <c r="S1887" s="12"/>
      <c r="T1887" s="12"/>
      <c r="U1887" s="12"/>
      <c r="V1887" s="12"/>
      <c r="W1887" s="12"/>
      <c r="X1887" s="12"/>
      <c r="Y1887" s="12"/>
      <c r="Z1887" s="12"/>
      <c r="AA1887" s="12"/>
      <c r="AB1887" s="12"/>
      <c r="AC1887" s="12"/>
      <c r="AD1887" s="12"/>
      <c r="AE1887" s="12"/>
      <c r="AF1887" s="12"/>
      <c r="AG1887" s="12"/>
      <c r="AH1887" s="12"/>
      <c r="AI1887" s="12"/>
      <c r="AJ1887" s="12"/>
      <c r="AK1887" s="12"/>
      <c r="AL1887" s="12"/>
      <c r="AM1887" s="12"/>
      <c r="AN1887" s="12"/>
      <c r="AO1887" s="12"/>
      <c r="AP1887" s="12"/>
      <c r="AQ1887" s="12"/>
      <c r="AR1887" s="12"/>
      <c r="AS1887" s="12"/>
      <c r="AT1887" s="12"/>
      <c r="AU1887" s="12"/>
      <c r="AV1887" s="12"/>
      <c r="AW1887" s="12"/>
      <c r="AX1887" s="12"/>
      <c r="AY1887" s="12"/>
      <c r="AZ1887" s="12"/>
      <c r="BA1887" s="12"/>
      <c r="BB1887" s="12"/>
      <c r="BC1887" s="12"/>
      <c r="BD1887" s="12"/>
      <c r="BE1887" s="12"/>
      <c r="BF1887" s="12"/>
      <c r="BG1887" s="12"/>
      <c r="BH1887" s="12"/>
      <c r="BI1887" s="12"/>
      <c r="BJ1887" s="12"/>
      <c r="BK1887" s="12"/>
      <c r="BL1887" s="12"/>
      <c r="BM1887" s="12"/>
      <c r="BN1887" s="12"/>
      <c r="BO1887" s="12"/>
      <c r="BP1887" s="12"/>
      <c r="BQ1887" s="12"/>
      <c r="BR1887" s="12"/>
      <c r="BS1887" s="12"/>
      <c r="BT1887" s="12"/>
    </row>
    <row r="1888" spans="1:72">
      <c r="A1888" s="2" t="s">
        <v>35773</v>
      </c>
      <c r="B1888" s="5" t="s">
        <v>35778</v>
      </c>
      <c r="C1888" s="3" t="s">
        <v>35774</v>
      </c>
      <c r="D1888" s="4" t="s">
        <v>138</v>
      </c>
      <c r="E1888" s="15" t="s">
        <v>2694</v>
      </c>
      <c r="F1888" s="15" t="s">
        <v>138</v>
      </c>
      <c r="G1888" s="15" t="s">
        <v>1054</v>
      </c>
      <c r="H1888" s="7">
        <v>6</v>
      </c>
      <c r="I1888" s="6" t="s">
        <v>35787</v>
      </c>
      <c r="J1888" s="6" t="s">
        <v>44729</v>
      </c>
      <c r="K1888" s="6" t="s">
        <v>45729</v>
      </c>
      <c r="L1888" s="6" t="s">
        <v>38514</v>
      </c>
      <c r="M1888" s="6" t="s">
        <v>45315</v>
      </c>
      <c r="N1888" s="6" t="s">
        <v>38821</v>
      </c>
      <c r="O1888" s="6" t="s">
        <v>46024</v>
      </c>
      <c r="P1888" s="6"/>
      <c r="Q1888" s="6"/>
      <c r="R1888" s="6"/>
      <c r="S1888" s="6"/>
      <c r="T1888" s="6"/>
      <c r="U1888" s="6"/>
      <c r="V1888" s="6"/>
      <c r="W1888" s="6"/>
      <c r="X1888" s="6"/>
      <c r="Y1888" s="6"/>
      <c r="Z1888" s="6"/>
      <c r="AA1888" s="6"/>
      <c r="AB1888" s="6"/>
      <c r="AC1888" s="6"/>
      <c r="AD1888" s="6"/>
      <c r="AE1888" s="6"/>
      <c r="AF1888" s="6"/>
      <c r="AG1888" s="6"/>
      <c r="AH1888" s="6"/>
      <c r="AI1888" s="6"/>
      <c r="AJ1888" s="6"/>
      <c r="AK1888" s="6"/>
      <c r="AL1888" s="6"/>
      <c r="AM1888" s="6"/>
      <c r="AN1888" s="6"/>
      <c r="AO1888" s="6"/>
      <c r="AP1888" s="6"/>
      <c r="AQ1888" s="6"/>
      <c r="AR1888" s="6"/>
      <c r="AS1888" s="6"/>
      <c r="AT1888" s="6"/>
      <c r="AU1888" s="6"/>
      <c r="AV1888" s="6"/>
      <c r="AW1888" s="6"/>
      <c r="AX1888" s="6"/>
      <c r="AY1888" s="6"/>
      <c r="AZ1888" s="6"/>
      <c r="BA1888" s="6"/>
      <c r="BB1888" s="6"/>
      <c r="BC1888" s="6"/>
      <c r="BD1888" s="6"/>
      <c r="BE1888" s="6"/>
      <c r="BF1888" s="6"/>
      <c r="BG1888" s="6"/>
      <c r="BH1888" s="6"/>
      <c r="BI1888" s="6"/>
      <c r="BJ1888" s="6"/>
      <c r="BK1888" s="6"/>
      <c r="BL1888" s="6"/>
      <c r="BM1888" s="6"/>
      <c r="BN1888" s="6"/>
      <c r="BO1888" s="6"/>
      <c r="BP1888" s="6"/>
      <c r="BQ1888" s="6"/>
      <c r="BR1888" s="6"/>
      <c r="BS1888" s="6"/>
      <c r="BT1888" s="6"/>
    </row>
    <row r="1889" spans="1:72">
      <c r="A1889" s="8" t="s">
        <v>35790</v>
      </c>
      <c r="B1889" s="11" t="s">
        <v>35794</v>
      </c>
      <c r="C1889" s="9" t="s">
        <v>138</v>
      </c>
      <c r="D1889" s="10" t="s">
        <v>138</v>
      </c>
      <c r="E1889" s="28" t="s">
        <v>426</v>
      </c>
      <c r="F1889" s="28" t="s">
        <v>426</v>
      </c>
      <c r="G1889" s="28" t="s">
        <v>162</v>
      </c>
      <c r="H1889" s="13">
        <v>38</v>
      </c>
      <c r="I1889" s="12" t="s">
        <v>35802</v>
      </c>
      <c r="J1889" s="12" t="s">
        <v>46025</v>
      </c>
      <c r="K1889" s="12" t="s">
        <v>41249</v>
      </c>
      <c r="L1889" s="12" t="s">
        <v>38570</v>
      </c>
      <c r="M1889" s="12" t="s">
        <v>41500</v>
      </c>
      <c r="N1889" s="12" t="s">
        <v>44373</v>
      </c>
      <c r="O1889" s="12" t="s">
        <v>37846</v>
      </c>
      <c r="P1889" s="12" t="s">
        <v>38872</v>
      </c>
      <c r="Q1889" s="12" t="s">
        <v>42266</v>
      </c>
      <c r="R1889" s="12" t="s">
        <v>38148</v>
      </c>
      <c r="S1889" s="12" t="s">
        <v>38873</v>
      </c>
      <c r="T1889" s="12" t="s">
        <v>39612</v>
      </c>
      <c r="U1889" s="12" t="s">
        <v>41504</v>
      </c>
      <c r="V1889" s="12" t="s">
        <v>38803</v>
      </c>
      <c r="W1889" s="12" t="s">
        <v>46026</v>
      </c>
      <c r="X1889" s="12" t="s">
        <v>42863</v>
      </c>
      <c r="Y1889" s="12" t="s">
        <v>40246</v>
      </c>
      <c r="Z1889" s="12" t="s">
        <v>44377</v>
      </c>
      <c r="AA1889" s="12" t="s">
        <v>44092</v>
      </c>
      <c r="AB1889" s="12" t="s">
        <v>43013</v>
      </c>
      <c r="AC1889" s="12" t="s">
        <v>39016</v>
      </c>
      <c r="AD1889" s="12" t="s">
        <v>37859</v>
      </c>
      <c r="AE1889" s="12" t="s">
        <v>38128</v>
      </c>
      <c r="AF1889" s="12" t="s">
        <v>43237</v>
      </c>
      <c r="AG1889" s="12" t="s">
        <v>40209</v>
      </c>
      <c r="AH1889" s="12" t="s">
        <v>38645</v>
      </c>
      <c r="AI1889" s="12" t="s">
        <v>37781</v>
      </c>
      <c r="AJ1889" s="12" t="s">
        <v>46027</v>
      </c>
      <c r="AK1889" s="12" t="s">
        <v>42506</v>
      </c>
      <c r="AL1889" s="12" t="s">
        <v>46028</v>
      </c>
      <c r="AM1889" s="12" t="s">
        <v>37806</v>
      </c>
      <c r="AN1889" s="12" t="s">
        <v>44210</v>
      </c>
      <c r="AO1889" s="12" t="s">
        <v>39350</v>
      </c>
      <c r="AP1889" s="12" t="s">
        <v>40309</v>
      </c>
      <c r="AQ1889" s="12" t="s">
        <v>42637</v>
      </c>
      <c r="AR1889" s="12" t="s">
        <v>38580</v>
      </c>
      <c r="AS1889" s="12" t="s">
        <v>45036</v>
      </c>
      <c r="AT1889" s="12" t="s">
        <v>40525</v>
      </c>
      <c r="AU1889" s="12" t="s">
        <v>39848</v>
      </c>
      <c r="AV1889" s="12"/>
      <c r="AW1889" s="12"/>
      <c r="AX1889" s="12"/>
      <c r="AY1889" s="12"/>
      <c r="AZ1889" s="12"/>
      <c r="BA1889" s="12"/>
      <c r="BB1889" s="12"/>
      <c r="BC1889" s="12"/>
      <c r="BD1889" s="12"/>
      <c r="BE1889" s="12"/>
      <c r="BF1889" s="12"/>
      <c r="BG1889" s="12"/>
      <c r="BH1889" s="12"/>
      <c r="BI1889" s="12"/>
      <c r="BJ1889" s="12"/>
      <c r="BK1889" s="12"/>
      <c r="BL1889" s="12"/>
      <c r="BM1889" s="12"/>
      <c r="BN1889" s="12"/>
      <c r="BO1889" s="12"/>
      <c r="BP1889" s="12"/>
      <c r="BQ1889" s="12"/>
      <c r="BR1889" s="12"/>
      <c r="BS1889" s="12"/>
      <c r="BT1889" s="12"/>
    </row>
    <row r="1890" spans="1:72">
      <c r="A1890" s="2" t="s">
        <v>35807</v>
      </c>
      <c r="B1890" s="5" t="s">
        <v>35811</v>
      </c>
      <c r="C1890" s="3" t="s">
        <v>138</v>
      </c>
      <c r="D1890" s="4" t="s">
        <v>138</v>
      </c>
      <c r="E1890" s="15" t="s">
        <v>1223</v>
      </c>
      <c r="F1890" s="15" t="s">
        <v>200</v>
      </c>
      <c r="G1890" s="15" t="s">
        <v>162</v>
      </c>
      <c r="H1890" s="7">
        <v>4</v>
      </c>
      <c r="I1890" s="6" t="s">
        <v>35818</v>
      </c>
      <c r="J1890" s="6" t="s">
        <v>45562</v>
      </c>
      <c r="K1890" s="6" t="s">
        <v>38299</v>
      </c>
      <c r="L1890" s="6" t="s">
        <v>37787</v>
      </c>
      <c r="M1890" s="6" t="s">
        <v>46029</v>
      </c>
      <c r="N1890" s="6"/>
      <c r="O1890" s="6"/>
      <c r="P1890" s="6"/>
      <c r="Q1890" s="6"/>
      <c r="R1890" s="6"/>
      <c r="S1890" s="6"/>
      <c r="T1890" s="6"/>
      <c r="U1890" s="6"/>
      <c r="V1890" s="6"/>
      <c r="W1890" s="6"/>
      <c r="X1890" s="6"/>
      <c r="Y1890" s="6"/>
      <c r="Z1890" s="6"/>
      <c r="AA1890" s="6"/>
      <c r="AB1890" s="6"/>
      <c r="AC1890" s="6"/>
      <c r="AD1890" s="6"/>
      <c r="AE1890" s="6"/>
      <c r="AF1890" s="6"/>
      <c r="AG1890" s="6"/>
      <c r="AH1890" s="6"/>
      <c r="AI1890" s="6"/>
      <c r="AJ1890" s="6"/>
      <c r="AK1890" s="6"/>
      <c r="AL1890" s="6"/>
      <c r="AM1890" s="6"/>
      <c r="AN1890" s="6"/>
      <c r="AO1890" s="6"/>
      <c r="AP1890" s="6"/>
      <c r="AQ1890" s="6"/>
      <c r="AR1890" s="6"/>
      <c r="AS1890" s="6"/>
      <c r="AT1890" s="6"/>
      <c r="AU1890" s="6"/>
      <c r="AV1890" s="6"/>
      <c r="AW1890" s="6"/>
      <c r="AX1890" s="6"/>
      <c r="AY1890" s="6"/>
      <c r="AZ1890" s="6"/>
      <c r="BA1890" s="6"/>
      <c r="BB1890" s="6"/>
      <c r="BC1890" s="6"/>
      <c r="BD1890" s="6"/>
      <c r="BE1890" s="6"/>
      <c r="BF1890" s="6"/>
      <c r="BG1890" s="6"/>
      <c r="BH1890" s="6"/>
      <c r="BI1890" s="6"/>
      <c r="BJ1890" s="6"/>
      <c r="BK1890" s="6"/>
      <c r="BL1890" s="6"/>
      <c r="BM1890" s="6"/>
      <c r="BN1890" s="6"/>
      <c r="BO1890" s="6"/>
      <c r="BP1890" s="6"/>
      <c r="BQ1890" s="6"/>
      <c r="BR1890" s="6"/>
      <c r="BS1890" s="6"/>
      <c r="BT1890" s="6"/>
    </row>
    <row r="1891" spans="1:72">
      <c r="A1891" s="8" t="s">
        <v>35821</v>
      </c>
      <c r="B1891" s="11" t="s">
        <v>35825</v>
      </c>
      <c r="C1891" s="9" t="s">
        <v>138</v>
      </c>
      <c r="D1891" s="10" t="s">
        <v>138</v>
      </c>
      <c r="E1891" s="28" t="s">
        <v>6232</v>
      </c>
      <c r="F1891" s="28" t="s">
        <v>371</v>
      </c>
      <c r="G1891" s="28" t="s">
        <v>162</v>
      </c>
      <c r="H1891" s="13">
        <v>9</v>
      </c>
      <c r="I1891" s="12" t="s">
        <v>35835</v>
      </c>
      <c r="J1891" s="12" t="s">
        <v>46030</v>
      </c>
      <c r="K1891" s="12" t="s">
        <v>46031</v>
      </c>
      <c r="L1891" s="12" t="s">
        <v>46032</v>
      </c>
      <c r="M1891" s="12" t="s">
        <v>46033</v>
      </c>
      <c r="N1891" s="12" t="s">
        <v>37786</v>
      </c>
      <c r="O1891" s="12" t="s">
        <v>46034</v>
      </c>
      <c r="P1891" s="12" t="s">
        <v>38049</v>
      </c>
      <c r="Q1891" s="12" t="s">
        <v>38321</v>
      </c>
      <c r="R1891" s="12" t="s">
        <v>46035</v>
      </c>
      <c r="S1891" s="12"/>
      <c r="T1891" s="12"/>
      <c r="U1891" s="12"/>
      <c r="V1891" s="12"/>
      <c r="W1891" s="12"/>
      <c r="X1891" s="12"/>
      <c r="Y1891" s="12"/>
      <c r="Z1891" s="12"/>
      <c r="AA1891" s="12"/>
      <c r="AB1891" s="12"/>
      <c r="AC1891" s="12"/>
      <c r="AD1891" s="12"/>
      <c r="AE1891" s="12"/>
      <c r="AF1891" s="12"/>
      <c r="AG1891" s="12"/>
      <c r="AH1891" s="12"/>
      <c r="AI1891" s="12"/>
      <c r="AJ1891" s="12"/>
      <c r="AK1891" s="12"/>
      <c r="AL1891" s="12"/>
      <c r="AM1891" s="12"/>
      <c r="AN1891" s="12"/>
      <c r="AO1891" s="12"/>
      <c r="AP1891" s="12"/>
      <c r="AQ1891" s="12"/>
      <c r="AR1891" s="12"/>
      <c r="AS1891" s="12"/>
      <c r="AT1891" s="12"/>
      <c r="AU1891" s="12"/>
      <c r="AV1891" s="12"/>
      <c r="AW1891" s="12"/>
      <c r="AX1891" s="12"/>
      <c r="AY1891" s="12"/>
      <c r="AZ1891" s="12"/>
      <c r="BA1891" s="12"/>
      <c r="BB1891" s="12"/>
      <c r="BC1891" s="12"/>
      <c r="BD1891" s="12"/>
      <c r="BE1891" s="12"/>
      <c r="BF1891" s="12"/>
      <c r="BG1891" s="12"/>
      <c r="BH1891" s="12"/>
      <c r="BI1891" s="12"/>
      <c r="BJ1891" s="12"/>
      <c r="BK1891" s="12"/>
      <c r="BL1891" s="12"/>
      <c r="BM1891" s="12"/>
      <c r="BN1891" s="12"/>
      <c r="BO1891" s="12"/>
      <c r="BP1891" s="12"/>
      <c r="BQ1891" s="12"/>
      <c r="BR1891" s="12"/>
      <c r="BS1891" s="12"/>
      <c r="BT1891" s="12"/>
    </row>
    <row r="1892" spans="1:72">
      <c r="A1892" s="2" t="s">
        <v>35839</v>
      </c>
      <c r="B1892" s="5" t="s">
        <v>35846</v>
      </c>
      <c r="C1892" s="3" t="s">
        <v>35840</v>
      </c>
      <c r="D1892" s="4" t="s">
        <v>35841</v>
      </c>
      <c r="E1892" s="15" t="s">
        <v>426</v>
      </c>
      <c r="F1892" s="15" t="s">
        <v>426</v>
      </c>
      <c r="G1892" s="15" t="s">
        <v>162</v>
      </c>
      <c r="H1892" s="7">
        <v>13</v>
      </c>
      <c r="I1892" s="6" t="s">
        <v>35855</v>
      </c>
      <c r="J1892" s="6" t="s">
        <v>42073</v>
      </c>
      <c r="K1892" s="6" t="s">
        <v>46036</v>
      </c>
      <c r="L1892" s="6" t="s">
        <v>39449</v>
      </c>
      <c r="M1892" s="6" t="s">
        <v>46037</v>
      </c>
      <c r="N1892" s="6" t="s">
        <v>39458</v>
      </c>
      <c r="O1892" s="6" t="s">
        <v>39004</v>
      </c>
      <c r="P1892" s="6" t="s">
        <v>46038</v>
      </c>
      <c r="Q1892" s="6" t="s">
        <v>46039</v>
      </c>
      <c r="R1892" s="6" t="s">
        <v>38926</v>
      </c>
      <c r="S1892" s="6" t="s">
        <v>46040</v>
      </c>
      <c r="T1892" s="6" t="s">
        <v>38371</v>
      </c>
      <c r="U1892" s="6" t="s">
        <v>41869</v>
      </c>
      <c r="V1892" s="6" t="s">
        <v>38054</v>
      </c>
      <c r="W1892" s="6"/>
      <c r="X1892" s="6"/>
      <c r="Y1892" s="6"/>
      <c r="Z1892" s="6"/>
      <c r="AA1892" s="6"/>
      <c r="AB1892" s="6"/>
      <c r="AC1892" s="6"/>
      <c r="AD1892" s="6"/>
      <c r="AE1892" s="6"/>
      <c r="AF1892" s="6"/>
      <c r="AG1892" s="6"/>
      <c r="AH1892" s="6"/>
      <c r="AI1892" s="6"/>
      <c r="AJ1892" s="6"/>
      <c r="AK1892" s="6"/>
      <c r="AL1892" s="6"/>
      <c r="AM1892" s="6"/>
      <c r="AN1892" s="6"/>
      <c r="AO1892" s="6"/>
      <c r="AP1892" s="6"/>
      <c r="AQ1892" s="6"/>
      <c r="AR1892" s="6"/>
      <c r="AS1892" s="6"/>
      <c r="AT1892" s="6"/>
      <c r="AU1892" s="6"/>
      <c r="AV1892" s="6"/>
      <c r="AW1892" s="6"/>
      <c r="AX1892" s="6"/>
      <c r="AY1892" s="6"/>
      <c r="AZ1892" s="6"/>
      <c r="BA1892" s="6"/>
      <c r="BB1892" s="6"/>
      <c r="BC1892" s="6"/>
      <c r="BD1892" s="6"/>
      <c r="BE1892" s="6"/>
      <c r="BF1892" s="6"/>
      <c r="BG1892" s="6"/>
      <c r="BH1892" s="6"/>
      <c r="BI1892" s="6"/>
      <c r="BJ1892" s="6"/>
      <c r="BK1892" s="6"/>
      <c r="BL1892" s="6"/>
      <c r="BM1892" s="6"/>
      <c r="BN1892" s="6"/>
      <c r="BO1892" s="6"/>
      <c r="BP1892" s="6"/>
      <c r="BQ1892" s="6"/>
      <c r="BR1892" s="6"/>
      <c r="BS1892" s="6"/>
      <c r="BT1892" s="6"/>
    </row>
    <row r="1893" spans="1:72">
      <c r="A1893" s="8" t="s">
        <v>35858</v>
      </c>
      <c r="B1893" s="11" t="s">
        <v>35862</v>
      </c>
      <c r="C1893" s="9" t="s">
        <v>138</v>
      </c>
      <c r="D1893" s="10" t="s">
        <v>138</v>
      </c>
      <c r="E1893" s="28" t="s">
        <v>3841</v>
      </c>
      <c r="F1893" s="28" t="s">
        <v>200</v>
      </c>
      <c r="G1893" s="28" t="s">
        <v>162</v>
      </c>
      <c r="H1893" s="13">
        <v>1</v>
      </c>
      <c r="I1893" s="12" t="s">
        <v>35873</v>
      </c>
      <c r="J1893" s="12" t="s">
        <v>35873</v>
      </c>
      <c r="K1893" s="12"/>
      <c r="L1893" s="12"/>
      <c r="M1893" s="12"/>
      <c r="N1893" s="12"/>
      <c r="O1893" s="12"/>
      <c r="P1893" s="12"/>
      <c r="Q1893" s="12"/>
      <c r="R1893" s="12"/>
      <c r="S1893" s="12"/>
      <c r="T1893" s="12"/>
      <c r="U1893" s="12"/>
      <c r="V1893" s="12"/>
      <c r="W1893" s="12"/>
      <c r="X1893" s="12"/>
      <c r="Y1893" s="12"/>
      <c r="Z1893" s="12"/>
      <c r="AA1893" s="12"/>
      <c r="AB1893" s="12"/>
      <c r="AC1893" s="12"/>
      <c r="AD1893" s="12"/>
      <c r="AE1893" s="12"/>
      <c r="AF1893" s="12"/>
      <c r="AG1893" s="12"/>
      <c r="AH1893" s="12"/>
      <c r="AI1893" s="12"/>
      <c r="AJ1893" s="12"/>
      <c r="AK1893" s="12"/>
      <c r="AL1893" s="12"/>
      <c r="AM1893" s="12"/>
      <c r="AN1893" s="12"/>
      <c r="AO1893" s="12"/>
      <c r="AP1893" s="12"/>
      <c r="AQ1893" s="12"/>
      <c r="AR1893" s="12"/>
      <c r="AS1893" s="12"/>
      <c r="AT1893" s="12"/>
      <c r="AU1893" s="12"/>
      <c r="AV1893" s="12"/>
      <c r="AW1893" s="12"/>
      <c r="AX1893" s="12"/>
      <c r="AY1893" s="12"/>
      <c r="AZ1893" s="12"/>
      <c r="BA1893" s="12"/>
      <c r="BB1893" s="12"/>
      <c r="BC1893" s="12"/>
      <c r="BD1893" s="12"/>
      <c r="BE1893" s="12"/>
      <c r="BF1893" s="12"/>
      <c r="BG1893" s="12"/>
      <c r="BH1893" s="12"/>
      <c r="BI1893" s="12"/>
      <c r="BJ1893" s="12"/>
      <c r="BK1893" s="12"/>
      <c r="BL1893" s="12"/>
      <c r="BM1893" s="12"/>
      <c r="BN1893" s="12"/>
      <c r="BO1893" s="12"/>
      <c r="BP1893" s="12"/>
      <c r="BQ1893" s="12"/>
      <c r="BR1893" s="12"/>
      <c r="BS1893" s="12"/>
      <c r="BT1893" s="12"/>
    </row>
    <row r="1894" spans="1:72">
      <c r="A1894" s="2" t="s">
        <v>35880</v>
      </c>
      <c r="B1894" s="5" t="s">
        <v>35885</v>
      </c>
      <c r="C1894" s="3" t="s">
        <v>138</v>
      </c>
      <c r="D1894" s="4" t="s">
        <v>138</v>
      </c>
      <c r="E1894" s="15" t="s">
        <v>1198</v>
      </c>
      <c r="F1894" s="15" t="s">
        <v>138</v>
      </c>
      <c r="G1894" s="15" t="s">
        <v>1200</v>
      </c>
      <c r="H1894" s="7">
        <v>10</v>
      </c>
      <c r="I1894" s="6" t="s">
        <v>35891</v>
      </c>
      <c r="J1894" s="6" t="s">
        <v>46041</v>
      </c>
      <c r="K1894" s="6" t="s">
        <v>46042</v>
      </c>
      <c r="L1894" s="6" t="s">
        <v>41084</v>
      </c>
      <c r="M1894" s="6" t="s">
        <v>39460</v>
      </c>
      <c r="N1894" s="6" t="s">
        <v>39140</v>
      </c>
      <c r="O1894" s="6" t="s">
        <v>46043</v>
      </c>
      <c r="P1894" s="6" t="s">
        <v>37931</v>
      </c>
      <c r="Q1894" s="6" t="s">
        <v>42606</v>
      </c>
      <c r="R1894" s="6" t="s">
        <v>46044</v>
      </c>
      <c r="S1894" s="6" t="s">
        <v>41417</v>
      </c>
      <c r="T1894" s="6"/>
      <c r="U1894" s="6"/>
      <c r="V1894" s="6"/>
      <c r="W1894" s="6"/>
      <c r="X1894" s="6"/>
      <c r="Y1894" s="6"/>
      <c r="Z1894" s="6"/>
      <c r="AA1894" s="6"/>
      <c r="AB1894" s="6"/>
      <c r="AC1894" s="6"/>
      <c r="AD1894" s="6"/>
      <c r="AE1894" s="6"/>
      <c r="AF1894" s="6"/>
      <c r="AG1894" s="6"/>
      <c r="AH1894" s="6"/>
      <c r="AI1894" s="6"/>
      <c r="AJ1894" s="6"/>
      <c r="AK1894" s="6"/>
      <c r="AL1894" s="6"/>
      <c r="AM1894" s="6"/>
      <c r="AN1894" s="6"/>
      <c r="AO1894" s="6"/>
      <c r="AP1894" s="6"/>
      <c r="AQ1894" s="6"/>
      <c r="AR1894" s="6"/>
      <c r="AS1894" s="6"/>
      <c r="AT1894" s="6"/>
      <c r="AU1894" s="6"/>
      <c r="AV1894" s="6"/>
      <c r="AW1894" s="6"/>
      <c r="AX1894" s="6"/>
      <c r="AY1894" s="6"/>
      <c r="AZ1894" s="6"/>
      <c r="BA1894" s="6"/>
      <c r="BB1894" s="6"/>
      <c r="BC1894" s="6"/>
      <c r="BD1894" s="6"/>
      <c r="BE1894" s="6"/>
      <c r="BF1894" s="6"/>
      <c r="BG1894" s="6"/>
      <c r="BH1894" s="6"/>
      <c r="BI1894" s="6"/>
      <c r="BJ1894" s="6"/>
      <c r="BK1894" s="6"/>
      <c r="BL1894" s="6"/>
      <c r="BM1894" s="6"/>
      <c r="BN1894" s="6"/>
      <c r="BO1894" s="6"/>
      <c r="BP1894" s="6"/>
      <c r="BQ1894" s="6"/>
      <c r="BR1894" s="6"/>
      <c r="BS1894" s="6"/>
      <c r="BT1894" s="6"/>
    </row>
    <row r="1895" spans="1:72">
      <c r="A1895" s="8" t="s">
        <v>35894</v>
      </c>
      <c r="B1895" s="11" t="s">
        <v>35899</v>
      </c>
      <c r="C1895" s="9" t="s">
        <v>138</v>
      </c>
      <c r="D1895" s="10" t="s">
        <v>35895</v>
      </c>
      <c r="E1895" s="28" t="s">
        <v>35908</v>
      </c>
      <c r="F1895" s="28" t="s">
        <v>138</v>
      </c>
      <c r="G1895" s="28" t="s">
        <v>1054</v>
      </c>
      <c r="H1895" s="13">
        <v>5</v>
      </c>
      <c r="I1895" s="12" t="s">
        <v>35914</v>
      </c>
      <c r="J1895" s="12" t="s">
        <v>46045</v>
      </c>
      <c r="K1895" s="12" t="s">
        <v>38306</v>
      </c>
      <c r="L1895" s="12" t="s">
        <v>46046</v>
      </c>
      <c r="M1895" s="12" t="s">
        <v>46047</v>
      </c>
      <c r="N1895" s="12" t="s">
        <v>38200</v>
      </c>
      <c r="O1895" s="12"/>
      <c r="P1895" s="12"/>
      <c r="Q1895" s="12"/>
      <c r="R1895" s="12"/>
      <c r="S1895" s="12"/>
      <c r="T1895" s="12"/>
      <c r="U1895" s="12"/>
      <c r="V1895" s="12"/>
      <c r="W1895" s="12"/>
      <c r="X1895" s="12"/>
      <c r="Y1895" s="12"/>
      <c r="Z1895" s="12"/>
      <c r="AA1895" s="12"/>
      <c r="AB1895" s="12"/>
      <c r="AC1895" s="12"/>
      <c r="AD1895" s="12"/>
      <c r="AE1895" s="12"/>
      <c r="AF1895" s="12"/>
      <c r="AG1895" s="12"/>
      <c r="AH1895" s="12"/>
      <c r="AI1895" s="12"/>
      <c r="AJ1895" s="12"/>
      <c r="AK1895" s="12"/>
      <c r="AL1895" s="12"/>
      <c r="AM1895" s="12"/>
      <c r="AN1895" s="12"/>
      <c r="AO1895" s="12"/>
      <c r="AP1895" s="12"/>
      <c r="AQ1895" s="12"/>
      <c r="AR1895" s="12"/>
      <c r="AS1895" s="12"/>
      <c r="AT1895" s="12"/>
      <c r="AU1895" s="12"/>
      <c r="AV1895" s="12"/>
      <c r="AW1895" s="12"/>
      <c r="AX1895" s="12"/>
      <c r="AY1895" s="12"/>
      <c r="AZ1895" s="12"/>
      <c r="BA1895" s="12"/>
      <c r="BB1895" s="12"/>
      <c r="BC1895" s="12"/>
      <c r="BD1895" s="12"/>
      <c r="BE1895" s="12"/>
      <c r="BF1895" s="12"/>
      <c r="BG1895" s="12"/>
      <c r="BH1895" s="12"/>
      <c r="BI1895" s="12"/>
      <c r="BJ1895" s="12"/>
      <c r="BK1895" s="12"/>
      <c r="BL1895" s="12"/>
      <c r="BM1895" s="12"/>
      <c r="BN1895" s="12"/>
      <c r="BO1895" s="12"/>
      <c r="BP1895" s="12"/>
      <c r="BQ1895" s="12"/>
      <c r="BR1895" s="12"/>
      <c r="BS1895" s="12"/>
      <c r="BT1895" s="12"/>
    </row>
    <row r="1896" spans="1:72">
      <c r="A1896" s="2" t="s">
        <v>35920</v>
      </c>
      <c r="B1896" s="5" t="s">
        <v>35924</v>
      </c>
      <c r="C1896" s="3" t="s">
        <v>138</v>
      </c>
      <c r="D1896" s="4" t="s">
        <v>138</v>
      </c>
      <c r="E1896" s="15" t="s">
        <v>1516</v>
      </c>
      <c r="F1896" s="15" t="s">
        <v>284</v>
      </c>
      <c r="G1896" s="15" t="s">
        <v>162</v>
      </c>
      <c r="H1896" s="7">
        <v>8</v>
      </c>
      <c r="I1896" s="6" t="s">
        <v>35933</v>
      </c>
      <c r="J1896" s="6" t="s">
        <v>46048</v>
      </c>
      <c r="K1896" s="6" t="s">
        <v>46049</v>
      </c>
      <c r="L1896" s="6" t="s">
        <v>37921</v>
      </c>
      <c r="M1896" s="6" t="s">
        <v>38318</v>
      </c>
      <c r="N1896" s="6" t="s">
        <v>37781</v>
      </c>
      <c r="O1896" s="6" t="s">
        <v>46050</v>
      </c>
      <c r="P1896" s="6" t="s">
        <v>46051</v>
      </c>
      <c r="Q1896" s="6" t="s">
        <v>38628</v>
      </c>
      <c r="R1896" s="6"/>
      <c r="S1896" s="6"/>
      <c r="T1896" s="6"/>
      <c r="U1896" s="6"/>
      <c r="V1896" s="6"/>
      <c r="W1896" s="6"/>
      <c r="X1896" s="6"/>
      <c r="Y1896" s="6"/>
      <c r="Z1896" s="6"/>
      <c r="AA1896" s="6"/>
      <c r="AB1896" s="6"/>
      <c r="AC1896" s="6"/>
      <c r="AD1896" s="6"/>
      <c r="AE1896" s="6"/>
      <c r="AF1896" s="6"/>
      <c r="AG1896" s="6"/>
      <c r="AH1896" s="6"/>
      <c r="AI1896" s="6"/>
      <c r="AJ1896" s="6"/>
      <c r="AK1896" s="6"/>
      <c r="AL1896" s="6"/>
      <c r="AM1896" s="6"/>
      <c r="AN1896" s="6"/>
      <c r="AO1896" s="6"/>
      <c r="AP1896" s="6"/>
      <c r="AQ1896" s="6"/>
      <c r="AR1896" s="6"/>
      <c r="AS1896" s="6"/>
      <c r="AT1896" s="6"/>
      <c r="AU1896" s="6"/>
      <c r="AV1896" s="6"/>
      <c r="AW1896" s="6"/>
      <c r="AX1896" s="6"/>
      <c r="AY1896" s="6"/>
      <c r="AZ1896" s="6"/>
      <c r="BA1896" s="6"/>
      <c r="BB1896" s="6"/>
      <c r="BC1896" s="6"/>
      <c r="BD1896" s="6"/>
      <c r="BE1896" s="6"/>
      <c r="BF1896" s="6"/>
      <c r="BG1896" s="6"/>
      <c r="BH1896" s="6"/>
      <c r="BI1896" s="6"/>
      <c r="BJ1896" s="6"/>
      <c r="BK1896" s="6"/>
      <c r="BL1896" s="6"/>
      <c r="BM1896" s="6"/>
      <c r="BN1896" s="6"/>
      <c r="BO1896" s="6"/>
      <c r="BP1896" s="6"/>
      <c r="BQ1896" s="6"/>
      <c r="BR1896" s="6"/>
      <c r="BS1896" s="6"/>
      <c r="BT1896" s="6"/>
    </row>
    <row r="1897" spans="1:72">
      <c r="A1897" s="8" t="s">
        <v>35937</v>
      </c>
      <c r="B1897" s="11" t="s">
        <v>35940</v>
      </c>
      <c r="C1897" s="9" t="s">
        <v>138</v>
      </c>
      <c r="D1897" s="10" t="s">
        <v>138</v>
      </c>
      <c r="E1897" s="28" t="s">
        <v>668</v>
      </c>
      <c r="F1897" s="28" t="s">
        <v>200</v>
      </c>
      <c r="G1897" s="28" t="s">
        <v>162</v>
      </c>
      <c r="H1897" s="13">
        <v>10</v>
      </c>
      <c r="I1897" s="12" t="s">
        <v>35948</v>
      </c>
      <c r="J1897" s="12" t="s">
        <v>46052</v>
      </c>
      <c r="K1897" s="12" t="s">
        <v>40635</v>
      </c>
      <c r="L1897" s="12" t="s">
        <v>46053</v>
      </c>
      <c r="M1897" s="12" t="s">
        <v>46054</v>
      </c>
      <c r="N1897" s="12" t="s">
        <v>38099</v>
      </c>
      <c r="O1897" s="12" t="s">
        <v>41163</v>
      </c>
      <c r="P1897" s="12" t="s">
        <v>38363</v>
      </c>
      <c r="Q1897" s="12" t="s">
        <v>46055</v>
      </c>
      <c r="R1897" s="12" t="s">
        <v>40102</v>
      </c>
      <c r="S1897" s="12" t="s">
        <v>41869</v>
      </c>
      <c r="T1897" s="12"/>
      <c r="U1897" s="12"/>
      <c r="V1897" s="12"/>
      <c r="W1897" s="12"/>
      <c r="X1897" s="12"/>
      <c r="Y1897" s="12"/>
      <c r="Z1897" s="12"/>
      <c r="AA1897" s="12"/>
      <c r="AB1897" s="12"/>
      <c r="AC1897" s="12"/>
      <c r="AD1897" s="12"/>
      <c r="AE1897" s="12"/>
      <c r="AF1897" s="12"/>
      <c r="AG1897" s="12"/>
      <c r="AH1897" s="12"/>
      <c r="AI1897" s="12"/>
      <c r="AJ1897" s="12"/>
      <c r="AK1897" s="12"/>
      <c r="AL1897" s="12"/>
      <c r="AM1897" s="12"/>
      <c r="AN1897" s="12"/>
      <c r="AO1897" s="12"/>
      <c r="AP1897" s="12"/>
      <c r="AQ1897" s="12"/>
      <c r="AR1897" s="12"/>
      <c r="AS1897" s="12"/>
      <c r="AT1897" s="12"/>
      <c r="AU1897" s="12"/>
      <c r="AV1897" s="12"/>
      <c r="AW1897" s="12"/>
      <c r="AX1897" s="12"/>
      <c r="AY1897" s="12"/>
      <c r="AZ1897" s="12"/>
      <c r="BA1897" s="12"/>
      <c r="BB1897" s="12"/>
      <c r="BC1897" s="12"/>
      <c r="BD1897" s="12"/>
      <c r="BE1897" s="12"/>
      <c r="BF1897" s="12"/>
      <c r="BG1897" s="12"/>
      <c r="BH1897" s="12"/>
      <c r="BI1897" s="12"/>
      <c r="BJ1897" s="12"/>
      <c r="BK1897" s="12"/>
      <c r="BL1897" s="12"/>
      <c r="BM1897" s="12"/>
      <c r="BN1897" s="12"/>
      <c r="BO1897" s="12"/>
      <c r="BP1897" s="12"/>
      <c r="BQ1897" s="12"/>
      <c r="BR1897" s="12"/>
      <c r="BS1897" s="12"/>
      <c r="BT1897" s="12"/>
    </row>
    <row r="1898" spans="1:72">
      <c r="A1898" s="2" t="s">
        <v>35951</v>
      </c>
      <c r="B1898" s="5" t="s">
        <v>35956</v>
      </c>
      <c r="C1898" s="3" t="s">
        <v>35952</v>
      </c>
      <c r="D1898" s="4" t="s">
        <v>138</v>
      </c>
      <c r="E1898" s="15" t="s">
        <v>2493</v>
      </c>
      <c r="F1898" s="15" t="s">
        <v>371</v>
      </c>
      <c r="G1898" s="15" t="s">
        <v>162</v>
      </c>
      <c r="H1898" s="7">
        <v>5</v>
      </c>
      <c r="I1898" s="6" t="s">
        <v>35964</v>
      </c>
      <c r="J1898" s="6" t="s">
        <v>455</v>
      </c>
      <c r="K1898" s="6" t="s">
        <v>46056</v>
      </c>
      <c r="L1898" s="6" t="s">
        <v>41245</v>
      </c>
      <c r="M1898" s="6" t="s">
        <v>40967</v>
      </c>
      <c r="N1898" s="6" t="s">
        <v>40489</v>
      </c>
      <c r="O1898" s="6"/>
      <c r="P1898" s="6"/>
      <c r="Q1898" s="6"/>
      <c r="R1898" s="6"/>
      <c r="S1898" s="6"/>
      <c r="T1898" s="6"/>
      <c r="U1898" s="6"/>
      <c r="V1898" s="6"/>
      <c r="W1898" s="6"/>
      <c r="X1898" s="6"/>
      <c r="Y1898" s="6"/>
      <c r="Z1898" s="6"/>
      <c r="AA1898" s="6"/>
      <c r="AB1898" s="6"/>
      <c r="AC1898" s="6"/>
      <c r="AD1898" s="6"/>
      <c r="AE1898" s="6"/>
      <c r="AF1898" s="6"/>
      <c r="AG1898" s="6"/>
      <c r="AH1898" s="6"/>
      <c r="AI1898" s="6"/>
      <c r="AJ1898" s="6"/>
      <c r="AK1898" s="6"/>
      <c r="AL1898" s="6"/>
      <c r="AM1898" s="6"/>
      <c r="AN1898" s="6"/>
      <c r="AO1898" s="6"/>
      <c r="AP1898" s="6"/>
      <c r="AQ1898" s="6"/>
      <c r="AR1898" s="6"/>
      <c r="AS1898" s="6"/>
      <c r="AT1898" s="6"/>
      <c r="AU1898" s="6"/>
      <c r="AV1898" s="6"/>
      <c r="AW1898" s="6"/>
      <c r="AX1898" s="6"/>
      <c r="AY1898" s="6"/>
      <c r="AZ1898" s="6"/>
      <c r="BA1898" s="6"/>
      <c r="BB1898" s="6"/>
      <c r="BC1898" s="6"/>
      <c r="BD1898" s="6"/>
      <c r="BE1898" s="6"/>
      <c r="BF1898" s="6"/>
      <c r="BG1898" s="6"/>
      <c r="BH1898" s="6"/>
      <c r="BI1898" s="6"/>
      <c r="BJ1898" s="6"/>
      <c r="BK1898" s="6"/>
      <c r="BL1898" s="6"/>
      <c r="BM1898" s="6"/>
      <c r="BN1898" s="6"/>
      <c r="BO1898" s="6"/>
      <c r="BP1898" s="6"/>
      <c r="BQ1898" s="6"/>
      <c r="BR1898" s="6"/>
      <c r="BS1898" s="6"/>
      <c r="BT1898" s="6"/>
    </row>
    <row r="1899" spans="1:72">
      <c r="A1899" s="8" t="s">
        <v>35967</v>
      </c>
      <c r="B1899" s="11" t="s">
        <v>35971</v>
      </c>
      <c r="C1899" s="9" t="s">
        <v>138</v>
      </c>
      <c r="D1899" s="10" t="s">
        <v>138</v>
      </c>
      <c r="E1899" s="28" t="s">
        <v>668</v>
      </c>
      <c r="F1899" s="28" t="s">
        <v>200</v>
      </c>
      <c r="G1899" s="28" t="s">
        <v>162</v>
      </c>
      <c r="H1899" s="13">
        <v>4</v>
      </c>
      <c r="I1899" s="12" t="s">
        <v>35980</v>
      </c>
      <c r="J1899" s="12" t="s">
        <v>46057</v>
      </c>
      <c r="K1899" s="12" t="s">
        <v>41323</v>
      </c>
      <c r="L1899" s="12" t="s">
        <v>46058</v>
      </c>
      <c r="M1899" s="12" t="s">
        <v>38011</v>
      </c>
      <c r="N1899" s="12"/>
      <c r="O1899" s="12"/>
      <c r="P1899" s="12"/>
      <c r="Q1899" s="12"/>
      <c r="R1899" s="12"/>
      <c r="S1899" s="12"/>
      <c r="T1899" s="12"/>
      <c r="U1899" s="12"/>
      <c r="V1899" s="12"/>
      <c r="W1899" s="12"/>
      <c r="X1899" s="12"/>
      <c r="Y1899" s="12"/>
      <c r="Z1899" s="12"/>
      <c r="AA1899" s="12"/>
      <c r="AB1899" s="12"/>
      <c r="AC1899" s="12"/>
      <c r="AD1899" s="12"/>
      <c r="AE1899" s="12"/>
      <c r="AF1899" s="12"/>
      <c r="AG1899" s="12"/>
      <c r="AH1899" s="12"/>
      <c r="AI1899" s="12"/>
      <c r="AJ1899" s="12"/>
      <c r="AK1899" s="12"/>
      <c r="AL1899" s="12"/>
      <c r="AM1899" s="12"/>
      <c r="AN1899" s="12"/>
      <c r="AO1899" s="12"/>
      <c r="AP1899" s="12"/>
      <c r="AQ1899" s="12"/>
      <c r="AR1899" s="12"/>
      <c r="AS1899" s="12"/>
      <c r="AT1899" s="12"/>
      <c r="AU1899" s="12"/>
      <c r="AV1899" s="12"/>
      <c r="AW1899" s="12"/>
      <c r="AX1899" s="12"/>
      <c r="AY1899" s="12"/>
      <c r="AZ1899" s="12"/>
      <c r="BA1899" s="12"/>
      <c r="BB1899" s="12"/>
      <c r="BC1899" s="12"/>
      <c r="BD1899" s="12"/>
      <c r="BE1899" s="12"/>
      <c r="BF1899" s="12"/>
      <c r="BG1899" s="12"/>
      <c r="BH1899" s="12"/>
      <c r="BI1899" s="12"/>
      <c r="BJ1899" s="12"/>
      <c r="BK1899" s="12"/>
      <c r="BL1899" s="12"/>
      <c r="BM1899" s="12"/>
      <c r="BN1899" s="12"/>
      <c r="BO1899" s="12"/>
      <c r="BP1899" s="12"/>
      <c r="BQ1899" s="12"/>
      <c r="BR1899" s="12"/>
      <c r="BS1899" s="12"/>
      <c r="BT1899" s="12"/>
    </row>
    <row r="1900" spans="1:72">
      <c r="A1900" s="2" t="s">
        <v>35983</v>
      </c>
      <c r="B1900" s="5" t="s">
        <v>35987</v>
      </c>
      <c r="C1900" s="3" t="s">
        <v>35984</v>
      </c>
      <c r="D1900" s="4" t="s">
        <v>138</v>
      </c>
      <c r="E1900" s="15" t="s">
        <v>4492</v>
      </c>
      <c r="F1900" s="15" t="s">
        <v>4493</v>
      </c>
      <c r="G1900" s="15" t="s">
        <v>162</v>
      </c>
      <c r="H1900" s="7">
        <v>11</v>
      </c>
      <c r="I1900" s="6" t="s">
        <v>35995</v>
      </c>
      <c r="J1900" s="6" t="s">
        <v>46059</v>
      </c>
      <c r="K1900" s="6" t="s">
        <v>46060</v>
      </c>
      <c r="L1900" s="6" t="s">
        <v>37986</v>
      </c>
      <c r="M1900" s="6" t="s">
        <v>39244</v>
      </c>
      <c r="N1900" s="6" t="s">
        <v>37996</v>
      </c>
      <c r="O1900" s="6" t="s">
        <v>46061</v>
      </c>
      <c r="P1900" s="6" t="s">
        <v>46062</v>
      </c>
      <c r="Q1900" s="6" t="s">
        <v>46063</v>
      </c>
      <c r="R1900" s="6" t="s">
        <v>46064</v>
      </c>
      <c r="S1900" s="6" t="s">
        <v>37871</v>
      </c>
      <c r="T1900" s="6" t="s">
        <v>38073</v>
      </c>
      <c r="U1900" s="6"/>
      <c r="V1900" s="6"/>
      <c r="W1900" s="6"/>
      <c r="X1900" s="6"/>
      <c r="Y1900" s="6"/>
      <c r="Z1900" s="6"/>
      <c r="AA1900" s="6"/>
      <c r="AB1900" s="6"/>
      <c r="AC1900" s="6"/>
      <c r="AD1900" s="6"/>
      <c r="AE1900" s="6"/>
      <c r="AF1900" s="6"/>
      <c r="AG1900" s="6"/>
      <c r="AH1900" s="6"/>
      <c r="AI1900" s="6"/>
      <c r="AJ1900" s="6"/>
      <c r="AK1900" s="6"/>
      <c r="AL1900" s="6"/>
      <c r="AM1900" s="6"/>
      <c r="AN1900" s="6"/>
      <c r="AO1900" s="6"/>
      <c r="AP1900" s="6"/>
      <c r="AQ1900" s="6"/>
      <c r="AR1900" s="6"/>
      <c r="AS1900" s="6"/>
      <c r="AT1900" s="6"/>
      <c r="AU1900" s="6"/>
      <c r="AV1900" s="6"/>
      <c r="AW1900" s="6"/>
      <c r="AX1900" s="6"/>
      <c r="AY1900" s="6"/>
      <c r="AZ1900" s="6"/>
      <c r="BA1900" s="6"/>
      <c r="BB1900" s="6"/>
      <c r="BC1900" s="6"/>
      <c r="BD1900" s="6"/>
      <c r="BE1900" s="6"/>
      <c r="BF1900" s="6"/>
      <c r="BG1900" s="6"/>
      <c r="BH1900" s="6"/>
      <c r="BI1900" s="6"/>
      <c r="BJ1900" s="6"/>
      <c r="BK1900" s="6"/>
      <c r="BL1900" s="6"/>
      <c r="BM1900" s="6"/>
      <c r="BN1900" s="6"/>
      <c r="BO1900" s="6"/>
      <c r="BP1900" s="6"/>
      <c r="BQ1900" s="6"/>
      <c r="BR1900" s="6"/>
      <c r="BS1900" s="6"/>
      <c r="BT1900" s="6"/>
    </row>
    <row r="1901" spans="1:72">
      <c r="A1901" s="8" t="s">
        <v>35998</v>
      </c>
      <c r="B1901" s="11" t="s">
        <v>36003</v>
      </c>
      <c r="C1901" s="9" t="s">
        <v>138</v>
      </c>
      <c r="D1901" s="10" t="s">
        <v>35999</v>
      </c>
      <c r="E1901" s="28" t="s">
        <v>426</v>
      </c>
      <c r="F1901" s="28" t="s">
        <v>426</v>
      </c>
      <c r="G1901" s="28" t="s">
        <v>162</v>
      </c>
      <c r="H1901" s="13">
        <v>28</v>
      </c>
      <c r="I1901" s="12" t="s">
        <v>36011</v>
      </c>
      <c r="J1901" s="12" t="s">
        <v>38344</v>
      </c>
      <c r="K1901" s="12" t="s">
        <v>42530</v>
      </c>
      <c r="L1901" s="12" t="s">
        <v>38175</v>
      </c>
      <c r="M1901" s="12" t="s">
        <v>46065</v>
      </c>
      <c r="N1901" s="12" t="s">
        <v>40199</v>
      </c>
      <c r="O1901" s="12" t="s">
        <v>46066</v>
      </c>
      <c r="P1901" s="12" t="s">
        <v>44334</v>
      </c>
      <c r="Q1901" s="12" t="s">
        <v>38803</v>
      </c>
      <c r="R1901" s="12" t="s">
        <v>37775</v>
      </c>
      <c r="S1901" s="12" t="s">
        <v>38057</v>
      </c>
      <c r="T1901" s="12" t="s">
        <v>37786</v>
      </c>
      <c r="U1901" s="12" t="s">
        <v>42532</v>
      </c>
      <c r="V1901" s="12" t="s">
        <v>38722</v>
      </c>
      <c r="W1901" s="12" t="s">
        <v>38017</v>
      </c>
      <c r="X1901" s="12" t="s">
        <v>45060</v>
      </c>
      <c r="Y1901" s="12" t="s">
        <v>41967</v>
      </c>
      <c r="Z1901" s="12" t="s">
        <v>38926</v>
      </c>
      <c r="AA1901" s="12" t="s">
        <v>38749</v>
      </c>
      <c r="AB1901" s="12" t="s">
        <v>40184</v>
      </c>
      <c r="AC1901" s="12" t="s">
        <v>38030</v>
      </c>
      <c r="AD1901" s="12" t="s">
        <v>38384</v>
      </c>
      <c r="AE1901" s="12" t="s">
        <v>37783</v>
      </c>
      <c r="AF1901" s="12" t="s">
        <v>38371</v>
      </c>
      <c r="AG1901" s="12" t="s">
        <v>38157</v>
      </c>
      <c r="AH1901" s="12" t="s">
        <v>37975</v>
      </c>
      <c r="AI1901" s="12" t="s">
        <v>39087</v>
      </c>
      <c r="AJ1901" s="12" t="s">
        <v>41974</v>
      </c>
      <c r="AK1901" s="12" t="s">
        <v>39830</v>
      </c>
      <c r="AL1901" s="12"/>
      <c r="AM1901" s="12"/>
      <c r="AN1901" s="12"/>
      <c r="AO1901" s="12"/>
      <c r="AP1901" s="12"/>
      <c r="AQ1901" s="12"/>
      <c r="AR1901" s="12"/>
      <c r="AS1901" s="12"/>
      <c r="AT1901" s="12"/>
      <c r="AU1901" s="12"/>
      <c r="AV1901" s="12"/>
      <c r="AW1901" s="12"/>
      <c r="AX1901" s="12"/>
      <c r="AY1901" s="12"/>
      <c r="AZ1901" s="12"/>
      <c r="BA1901" s="12"/>
      <c r="BB1901" s="12"/>
      <c r="BC1901" s="12"/>
      <c r="BD1901" s="12"/>
      <c r="BE1901" s="12"/>
      <c r="BF1901" s="12"/>
      <c r="BG1901" s="12"/>
      <c r="BH1901" s="12"/>
      <c r="BI1901" s="12"/>
      <c r="BJ1901" s="12"/>
      <c r="BK1901" s="12"/>
      <c r="BL1901" s="12"/>
      <c r="BM1901" s="12"/>
      <c r="BN1901" s="12"/>
      <c r="BO1901" s="12"/>
      <c r="BP1901" s="12"/>
      <c r="BQ1901" s="12"/>
      <c r="BR1901" s="12"/>
      <c r="BS1901" s="12"/>
      <c r="BT1901" s="12"/>
    </row>
    <row r="1902" spans="1:72">
      <c r="A1902" s="2" t="s">
        <v>36014</v>
      </c>
      <c r="B1902" s="5" t="s">
        <v>36018</v>
      </c>
      <c r="C1902" s="3" t="s">
        <v>138</v>
      </c>
      <c r="D1902" s="4" t="s">
        <v>138</v>
      </c>
      <c r="E1902" s="15" t="s">
        <v>36025</v>
      </c>
      <c r="F1902" s="15" t="s">
        <v>138</v>
      </c>
      <c r="G1902" s="15" t="s">
        <v>4444</v>
      </c>
      <c r="H1902" s="7">
        <v>11</v>
      </c>
      <c r="I1902" s="6" t="s">
        <v>36029</v>
      </c>
      <c r="J1902" s="6" t="s">
        <v>39462</v>
      </c>
      <c r="K1902" s="6" t="s">
        <v>46067</v>
      </c>
      <c r="L1902" s="6" t="s">
        <v>46068</v>
      </c>
      <c r="M1902" s="6" t="s">
        <v>46069</v>
      </c>
      <c r="N1902" s="6" t="s">
        <v>46070</v>
      </c>
      <c r="O1902" s="6" t="s">
        <v>46071</v>
      </c>
      <c r="P1902" s="6" t="s">
        <v>46072</v>
      </c>
      <c r="Q1902" s="6" t="s">
        <v>42396</v>
      </c>
      <c r="R1902" s="6" t="s">
        <v>46073</v>
      </c>
      <c r="S1902" s="6" t="s">
        <v>46074</v>
      </c>
      <c r="T1902" s="6" t="s">
        <v>46075</v>
      </c>
      <c r="U1902" s="6"/>
      <c r="V1902" s="6"/>
      <c r="W1902" s="6"/>
      <c r="X1902" s="6"/>
      <c r="Y1902" s="6"/>
      <c r="Z1902" s="6"/>
      <c r="AA1902" s="6"/>
      <c r="AB1902" s="6"/>
      <c r="AC1902" s="6"/>
      <c r="AD1902" s="6"/>
      <c r="AE1902" s="6"/>
      <c r="AF1902" s="6"/>
      <c r="AG1902" s="6"/>
      <c r="AH1902" s="6"/>
      <c r="AI1902" s="6"/>
      <c r="AJ1902" s="6"/>
      <c r="AK1902" s="6"/>
      <c r="AL1902" s="6"/>
      <c r="AM1902" s="6"/>
      <c r="AN1902" s="6"/>
      <c r="AO1902" s="6"/>
      <c r="AP1902" s="6"/>
      <c r="AQ1902" s="6"/>
      <c r="AR1902" s="6"/>
      <c r="AS1902" s="6"/>
      <c r="AT1902" s="6"/>
      <c r="AU1902" s="6"/>
      <c r="AV1902" s="6"/>
      <c r="AW1902" s="6"/>
      <c r="AX1902" s="6"/>
      <c r="AY1902" s="6"/>
      <c r="AZ1902" s="6"/>
      <c r="BA1902" s="6"/>
      <c r="BB1902" s="6"/>
      <c r="BC1902" s="6"/>
      <c r="BD1902" s="6"/>
      <c r="BE1902" s="6"/>
      <c r="BF1902" s="6"/>
      <c r="BG1902" s="6"/>
      <c r="BH1902" s="6"/>
      <c r="BI1902" s="6"/>
      <c r="BJ1902" s="6"/>
      <c r="BK1902" s="6"/>
      <c r="BL1902" s="6"/>
      <c r="BM1902" s="6"/>
      <c r="BN1902" s="6"/>
      <c r="BO1902" s="6"/>
      <c r="BP1902" s="6"/>
      <c r="BQ1902" s="6"/>
      <c r="BR1902" s="6"/>
      <c r="BS1902" s="6"/>
      <c r="BT1902" s="6"/>
    </row>
    <row r="1903" spans="1:72">
      <c r="A1903" s="8" t="s">
        <v>36032</v>
      </c>
      <c r="B1903" s="11" t="s">
        <v>36037</v>
      </c>
      <c r="C1903" s="9" t="s">
        <v>138</v>
      </c>
      <c r="D1903" s="10" t="s">
        <v>138</v>
      </c>
      <c r="E1903" s="28" t="s">
        <v>668</v>
      </c>
      <c r="F1903" s="28" t="s">
        <v>200</v>
      </c>
      <c r="G1903" s="28" t="s">
        <v>162</v>
      </c>
      <c r="H1903" s="13">
        <v>2</v>
      </c>
      <c r="I1903" s="12" t="s">
        <v>36045</v>
      </c>
      <c r="J1903" s="12" t="s">
        <v>1012</v>
      </c>
      <c r="K1903" s="12" t="s">
        <v>46076</v>
      </c>
      <c r="L1903" s="12"/>
      <c r="M1903" s="12"/>
      <c r="N1903" s="12"/>
      <c r="O1903" s="12"/>
      <c r="P1903" s="12"/>
      <c r="Q1903" s="12"/>
      <c r="R1903" s="12"/>
      <c r="S1903" s="12"/>
      <c r="T1903" s="12"/>
      <c r="U1903" s="12"/>
      <c r="V1903" s="12"/>
      <c r="W1903" s="12"/>
      <c r="X1903" s="12"/>
      <c r="Y1903" s="12"/>
      <c r="Z1903" s="12"/>
      <c r="AA1903" s="12"/>
      <c r="AB1903" s="12"/>
      <c r="AC1903" s="12"/>
      <c r="AD1903" s="12"/>
      <c r="AE1903" s="12"/>
      <c r="AF1903" s="12"/>
      <c r="AG1903" s="12"/>
      <c r="AH1903" s="12"/>
      <c r="AI1903" s="12"/>
      <c r="AJ1903" s="12"/>
      <c r="AK1903" s="12"/>
      <c r="AL1903" s="12"/>
      <c r="AM1903" s="12"/>
      <c r="AN1903" s="12"/>
      <c r="AO1903" s="12"/>
      <c r="AP1903" s="12"/>
      <c r="AQ1903" s="12"/>
      <c r="AR1903" s="12"/>
      <c r="AS1903" s="12"/>
      <c r="AT1903" s="12"/>
      <c r="AU1903" s="12"/>
      <c r="AV1903" s="12"/>
      <c r="AW1903" s="12"/>
      <c r="AX1903" s="12"/>
      <c r="AY1903" s="12"/>
      <c r="AZ1903" s="12"/>
      <c r="BA1903" s="12"/>
      <c r="BB1903" s="12"/>
      <c r="BC1903" s="12"/>
      <c r="BD1903" s="12"/>
      <c r="BE1903" s="12"/>
      <c r="BF1903" s="12"/>
      <c r="BG1903" s="12"/>
      <c r="BH1903" s="12"/>
      <c r="BI1903" s="12"/>
      <c r="BJ1903" s="12"/>
      <c r="BK1903" s="12"/>
      <c r="BL1903" s="12"/>
      <c r="BM1903" s="12"/>
      <c r="BN1903" s="12"/>
      <c r="BO1903" s="12"/>
      <c r="BP1903" s="12"/>
      <c r="BQ1903" s="12"/>
      <c r="BR1903" s="12"/>
      <c r="BS1903" s="12"/>
      <c r="BT1903" s="12"/>
    </row>
    <row r="1904" spans="1:72">
      <c r="A1904" s="2" t="s">
        <v>36049</v>
      </c>
      <c r="B1904" s="5" t="s">
        <v>36054</v>
      </c>
      <c r="C1904" s="3" t="s">
        <v>36050</v>
      </c>
      <c r="D1904" s="4" t="s">
        <v>138</v>
      </c>
      <c r="E1904" s="15" t="s">
        <v>36062</v>
      </c>
      <c r="F1904" s="15" t="s">
        <v>864</v>
      </c>
      <c r="G1904" s="15" t="s">
        <v>162</v>
      </c>
      <c r="H1904" s="7">
        <v>9</v>
      </c>
      <c r="I1904" s="6" t="s">
        <v>36066</v>
      </c>
      <c r="J1904" s="6" t="s">
        <v>41876</v>
      </c>
      <c r="K1904" s="6" t="s">
        <v>46077</v>
      </c>
      <c r="L1904" s="6" t="s">
        <v>40057</v>
      </c>
      <c r="M1904" s="6" t="s">
        <v>37960</v>
      </c>
      <c r="N1904" s="6" t="s">
        <v>46078</v>
      </c>
      <c r="O1904" s="6" t="s">
        <v>38806</v>
      </c>
      <c r="P1904" s="6" t="s">
        <v>38386</v>
      </c>
      <c r="Q1904" s="6" t="s">
        <v>37868</v>
      </c>
      <c r="R1904" s="6" t="s">
        <v>41379</v>
      </c>
      <c r="S1904" s="6"/>
      <c r="T1904" s="6"/>
      <c r="U1904" s="6"/>
      <c r="V1904" s="6"/>
      <c r="W1904" s="6"/>
      <c r="X1904" s="6"/>
      <c r="Y1904" s="6"/>
      <c r="Z1904" s="6"/>
      <c r="AA1904" s="6"/>
      <c r="AB1904" s="6"/>
      <c r="AC1904" s="6"/>
      <c r="AD1904" s="6"/>
      <c r="AE1904" s="6"/>
      <c r="AF1904" s="6"/>
      <c r="AG1904" s="6"/>
      <c r="AH1904" s="6"/>
      <c r="AI1904" s="6"/>
      <c r="AJ1904" s="6"/>
      <c r="AK1904" s="6"/>
      <c r="AL1904" s="6"/>
      <c r="AM1904" s="6"/>
      <c r="AN1904" s="6"/>
      <c r="AO1904" s="6"/>
      <c r="AP1904" s="6"/>
      <c r="AQ1904" s="6"/>
      <c r="AR1904" s="6"/>
      <c r="AS1904" s="6"/>
      <c r="AT1904" s="6"/>
      <c r="AU1904" s="6"/>
      <c r="AV1904" s="6"/>
      <c r="AW1904" s="6"/>
      <c r="AX1904" s="6"/>
      <c r="AY1904" s="6"/>
      <c r="AZ1904" s="6"/>
      <c r="BA1904" s="6"/>
      <c r="BB1904" s="6"/>
      <c r="BC1904" s="6"/>
      <c r="BD1904" s="6"/>
      <c r="BE1904" s="6"/>
      <c r="BF1904" s="6"/>
      <c r="BG1904" s="6"/>
      <c r="BH1904" s="6"/>
      <c r="BI1904" s="6"/>
      <c r="BJ1904" s="6"/>
      <c r="BK1904" s="6"/>
      <c r="BL1904" s="6"/>
      <c r="BM1904" s="6"/>
      <c r="BN1904" s="6"/>
      <c r="BO1904" s="6"/>
      <c r="BP1904" s="6"/>
      <c r="BQ1904" s="6"/>
      <c r="BR1904" s="6"/>
      <c r="BS1904" s="6"/>
      <c r="BT1904" s="6"/>
    </row>
    <row r="1905" spans="1:72">
      <c r="A1905" s="8" t="s">
        <v>36071</v>
      </c>
      <c r="B1905" s="11" t="s">
        <v>36077</v>
      </c>
      <c r="C1905" s="9" t="s">
        <v>36072</v>
      </c>
      <c r="D1905" s="10" t="s">
        <v>138</v>
      </c>
      <c r="E1905" s="28" t="s">
        <v>642</v>
      </c>
      <c r="F1905" s="28" t="s">
        <v>474</v>
      </c>
      <c r="G1905" s="28" t="s">
        <v>162</v>
      </c>
      <c r="H1905" s="13">
        <v>20</v>
      </c>
      <c r="I1905" s="12" t="s">
        <v>36089</v>
      </c>
      <c r="J1905" s="12" t="s">
        <v>45023</v>
      </c>
      <c r="K1905" s="12" t="s">
        <v>45077</v>
      </c>
      <c r="L1905" s="12" t="s">
        <v>45219</v>
      </c>
      <c r="M1905" s="12" t="s">
        <v>38299</v>
      </c>
      <c r="N1905" s="12" t="s">
        <v>41639</v>
      </c>
      <c r="O1905" s="12" t="s">
        <v>38076</v>
      </c>
      <c r="P1905" s="12" t="s">
        <v>39917</v>
      </c>
      <c r="Q1905" s="12" t="s">
        <v>46079</v>
      </c>
      <c r="R1905" s="12" t="s">
        <v>46080</v>
      </c>
      <c r="S1905" s="12" t="s">
        <v>40625</v>
      </c>
      <c r="T1905" s="12" t="s">
        <v>38062</v>
      </c>
      <c r="U1905" s="12" t="s">
        <v>40762</v>
      </c>
      <c r="V1905" s="12" t="s">
        <v>39005</v>
      </c>
      <c r="W1905" s="12" t="s">
        <v>40787</v>
      </c>
      <c r="X1905" s="12" t="s">
        <v>40464</v>
      </c>
      <c r="Y1905" s="12" t="s">
        <v>40183</v>
      </c>
      <c r="Z1905" s="12" t="s">
        <v>39656</v>
      </c>
      <c r="AA1905" s="12" t="s">
        <v>38895</v>
      </c>
      <c r="AB1905" s="12" t="s">
        <v>40367</v>
      </c>
      <c r="AC1905" s="12" t="s">
        <v>42579</v>
      </c>
      <c r="AD1905" s="12"/>
      <c r="AE1905" s="12"/>
      <c r="AF1905" s="12"/>
      <c r="AG1905" s="12"/>
      <c r="AH1905" s="12"/>
      <c r="AI1905" s="12"/>
      <c r="AJ1905" s="12"/>
      <c r="AK1905" s="12"/>
      <c r="AL1905" s="12"/>
      <c r="AM1905" s="12"/>
      <c r="AN1905" s="12"/>
      <c r="AO1905" s="12"/>
      <c r="AP1905" s="12"/>
      <c r="AQ1905" s="12"/>
      <c r="AR1905" s="12"/>
      <c r="AS1905" s="12"/>
      <c r="AT1905" s="12"/>
      <c r="AU1905" s="12"/>
      <c r="AV1905" s="12"/>
      <c r="AW1905" s="12"/>
      <c r="AX1905" s="12"/>
      <c r="AY1905" s="12"/>
      <c r="AZ1905" s="12"/>
      <c r="BA1905" s="12"/>
      <c r="BB1905" s="12"/>
      <c r="BC1905" s="12"/>
      <c r="BD1905" s="12"/>
      <c r="BE1905" s="12"/>
      <c r="BF1905" s="12"/>
      <c r="BG1905" s="12"/>
      <c r="BH1905" s="12"/>
      <c r="BI1905" s="12"/>
      <c r="BJ1905" s="12"/>
      <c r="BK1905" s="12"/>
      <c r="BL1905" s="12"/>
      <c r="BM1905" s="12"/>
      <c r="BN1905" s="12"/>
      <c r="BO1905" s="12"/>
      <c r="BP1905" s="12"/>
      <c r="BQ1905" s="12"/>
      <c r="BR1905" s="12"/>
      <c r="BS1905" s="12"/>
      <c r="BT1905" s="12"/>
    </row>
    <row r="1906" spans="1:72">
      <c r="A1906" s="2" t="s">
        <v>36095</v>
      </c>
      <c r="B1906" s="5" t="s">
        <v>36101</v>
      </c>
      <c r="C1906" s="3" t="s">
        <v>138</v>
      </c>
      <c r="D1906" s="4" t="s">
        <v>138</v>
      </c>
      <c r="E1906" s="15" t="s">
        <v>966</v>
      </c>
      <c r="F1906" s="15" t="s">
        <v>200</v>
      </c>
      <c r="G1906" s="15" t="s">
        <v>162</v>
      </c>
      <c r="H1906" s="7">
        <v>2</v>
      </c>
      <c r="I1906" s="6" t="s">
        <v>36108</v>
      </c>
      <c r="J1906" s="6" t="s">
        <v>42906</v>
      </c>
      <c r="K1906" s="6" t="s">
        <v>38821</v>
      </c>
      <c r="L1906" s="6"/>
      <c r="M1906" s="6"/>
      <c r="N1906" s="6"/>
      <c r="O1906" s="6"/>
      <c r="P1906" s="6"/>
      <c r="Q1906" s="6"/>
      <c r="R1906" s="6"/>
      <c r="S1906" s="6"/>
      <c r="T1906" s="6"/>
      <c r="U1906" s="6"/>
      <c r="V1906" s="6"/>
      <c r="W1906" s="6"/>
      <c r="X1906" s="6"/>
      <c r="Y1906" s="6"/>
      <c r="Z1906" s="6"/>
      <c r="AA1906" s="6"/>
      <c r="AB1906" s="6"/>
      <c r="AC1906" s="6"/>
      <c r="AD1906" s="6"/>
      <c r="AE1906" s="6"/>
      <c r="AF1906" s="6"/>
      <c r="AG1906" s="6"/>
      <c r="AH1906" s="6"/>
      <c r="AI1906" s="6"/>
      <c r="AJ1906" s="6"/>
      <c r="AK1906" s="6"/>
      <c r="AL1906" s="6"/>
      <c r="AM1906" s="6"/>
      <c r="AN1906" s="6"/>
      <c r="AO1906" s="6"/>
      <c r="AP1906" s="6"/>
      <c r="AQ1906" s="6"/>
      <c r="AR1906" s="6"/>
      <c r="AS1906" s="6"/>
      <c r="AT1906" s="6"/>
      <c r="AU1906" s="6"/>
      <c r="AV1906" s="6"/>
      <c r="AW1906" s="6"/>
      <c r="AX1906" s="6"/>
      <c r="AY1906" s="6"/>
      <c r="AZ1906" s="6"/>
      <c r="BA1906" s="6"/>
      <c r="BB1906" s="6"/>
      <c r="BC1906" s="6"/>
      <c r="BD1906" s="6"/>
      <c r="BE1906" s="6"/>
      <c r="BF1906" s="6"/>
      <c r="BG1906" s="6"/>
      <c r="BH1906" s="6"/>
      <c r="BI1906" s="6"/>
      <c r="BJ1906" s="6"/>
      <c r="BK1906" s="6"/>
      <c r="BL1906" s="6"/>
      <c r="BM1906" s="6"/>
      <c r="BN1906" s="6"/>
      <c r="BO1906" s="6"/>
      <c r="BP1906" s="6"/>
      <c r="BQ1906" s="6"/>
      <c r="BR1906" s="6"/>
      <c r="BS1906" s="6"/>
      <c r="BT1906" s="6"/>
    </row>
    <row r="1907" spans="1:72">
      <c r="A1907" s="8" t="s">
        <v>36111</v>
      </c>
      <c r="B1907" s="11" t="s">
        <v>36116</v>
      </c>
      <c r="C1907" s="9" t="s">
        <v>138</v>
      </c>
      <c r="D1907" s="10" t="s">
        <v>36112</v>
      </c>
      <c r="E1907" s="28" t="s">
        <v>1223</v>
      </c>
      <c r="F1907" s="28" t="s">
        <v>200</v>
      </c>
      <c r="G1907" s="28" t="s">
        <v>162</v>
      </c>
      <c r="H1907" s="13">
        <v>1</v>
      </c>
      <c r="I1907" s="12" t="s">
        <v>2075</v>
      </c>
      <c r="J1907" s="12" t="s">
        <v>2075</v>
      </c>
      <c r="K1907" s="12"/>
      <c r="L1907" s="12"/>
      <c r="M1907" s="12"/>
      <c r="N1907" s="12"/>
      <c r="O1907" s="12"/>
      <c r="P1907" s="12"/>
      <c r="Q1907" s="12"/>
      <c r="R1907" s="12"/>
      <c r="S1907" s="12"/>
      <c r="T1907" s="12"/>
      <c r="U1907" s="12"/>
      <c r="V1907" s="12"/>
      <c r="W1907" s="12"/>
      <c r="X1907" s="12"/>
      <c r="Y1907" s="12"/>
      <c r="Z1907" s="12"/>
      <c r="AA1907" s="12"/>
      <c r="AB1907" s="12"/>
      <c r="AC1907" s="12"/>
      <c r="AD1907" s="12"/>
      <c r="AE1907" s="12"/>
      <c r="AF1907" s="12"/>
      <c r="AG1907" s="12"/>
      <c r="AH1907" s="12"/>
      <c r="AI1907" s="12"/>
      <c r="AJ1907" s="12"/>
      <c r="AK1907" s="12"/>
      <c r="AL1907" s="12"/>
      <c r="AM1907" s="12"/>
      <c r="AN1907" s="12"/>
      <c r="AO1907" s="12"/>
      <c r="AP1907" s="12"/>
      <c r="AQ1907" s="12"/>
      <c r="AR1907" s="12"/>
      <c r="AS1907" s="12"/>
      <c r="AT1907" s="12"/>
      <c r="AU1907" s="12"/>
      <c r="AV1907" s="12"/>
      <c r="AW1907" s="12"/>
      <c r="AX1907" s="12"/>
      <c r="AY1907" s="12"/>
      <c r="AZ1907" s="12"/>
      <c r="BA1907" s="12"/>
      <c r="BB1907" s="12"/>
      <c r="BC1907" s="12"/>
      <c r="BD1907" s="12"/>
      <c r="BE1907" s="12"/>
      <c r="BF1907" s="12"/>
      <c r="BG1907" s="12"/>
      <c r="BH1907" s="12"/>
      <c r="BI1907" s="12"/>
      <c r="BJ1907" s="12"/>
      <c r="BK1907" s="12"/>
      <c r="BL1907" s="12"/>
      <c r="BM1907" s="12"/>
      <c r="BN1907" s="12"/>
      <c r="BO1907" s="12"/>
      <c r="BP1907" s="12"/>
      <c r="BQ1907" s="12"/>
      <c r="BR1907" s="12"/>
      <c r="BS1907" s="12"/>
      <c r="BT1907" s="12"/>
    </row>
    <row r="1908" spans="1:72">
      <c r="A1908" s="2" t="s">
        <v>36127</v>
      </c>
      <c r="B1908" s="5" t="s">
        <v>36132</v>
      </c>
      <c r="C1908" s="3" t="s">
        <v>36128</v>
      </c>
      <c r="D1908" s="4" t="s">
        <v>138</v>
      </c>
      <c r="E1908" s="15" t="s">
        <v>1246</v>
      </c>
      <c r="F1908" s="15" t="s">
        <v>200</v>
      </c>
      <c r="G1908" s="15" t="s">
        <v>162</v>
      </c>
      <c r="H1908" s="7">
        <v>4</v>
      </c>
      <c r="I1908" s="6" t="s">
        <v>36140</v>
      </c>
      <c r="J1908" s="6" t="s">
        <v>46081</v>
      </c>
      <c r="K1908" s="6" t="s">
        <v>46082</v>
      </c>
      <c r="L1908" s="6" t="s">
        <v>40903</v>
      </c>
      <c r="M1908" s="6" t="s">
        <v>42590</v>
      </c>
      <c r="N1908" s="6"/>
      <c r="O1908" s="6"/>
      <c r="P1908" s="6"/>
      <c r="Q1908" s="6"/>
      <c r="R1908" s="6"/>
      <c r="S1908" s="6"/>
      <c r="T1908" s="6"/>
      <c r="U1908" s="6"/>
      <c r="V1908" s="6"/>
      <c r="W1908" s="6"/>
      <c r="X1908" s="6"/>
      <c r="Y1908" s="6"/>
      <c r="Z1908" s="6"/>
      <c r="AA1908" s="6"/>
      <c r="AB1908" s="6"/>
      <c r="AC1908" s="6"/>
      <c r="AD1908" s="6"/>
      <c r="AE1908" s="6"/>
      <c r="AF1908" s="6"/>
      <c r="AG1908" s="6"/>
      <c r="AH1908" s="6"/>
      <c r="AI1908" s="6"/>
      <c r="AJ1908" s="6"/>
      <c r="AK1908" s="6"/>
      <c r="AL1908" s="6"/>
      <c r="AM1908" s="6"/>
      <c r="AN1908" s="6"/>
      <c r="AO1908" s="6"/>
      <c r="AP1908" s="6"/>
      <c r="AQ1908" s="6"/>
      <c r="AR1908" s="6"/>
      <c r="AS1908" s="6"/>
      <c r="AT1908" s="6"/>
      <c r="AU1908" s="6"/>
      <c r="AV1908" s="6"/>
      <c r="AW1908" s="6"/>
      <c r="AX1908" s="6"/>
      <c r="AY1908" s="6"/>
      <c r="AZ1908" s="6"/>
      <c r="BA1908" s="6"/>
      <c r="BB1908" s="6"/>
      <c r="BC1908" s="6"/>
      <c r="BD1908" s="6"/>
      <c r="BE1908" s="6"/>
      <c r="BF1908" s="6"/>
      <c r="BG1908" s="6"/>
      <c r="BH1908" s="6"/>
      <c r="BI1908" s="6"/>
      <c r="BJ1908" s="6"/>
      <c r="BK1908" s="6"/>
      <c r="BL1908" s="6"/>
      <c r="BM1908" s="6"/>
      <c r="BN1908" s="6"/>
      <c r="BO1908" s="6"/>
      <c r="BP1908" s="6"/>
      <c r="BQ1908" s="6"/>
      <c r="BR1908" s="6"/>
      <c r="BS1908" s="6"/>
      <c r="BT1908" s="6"/>
    </row>
    <row r="1909" spans="1:72">
      <c r="A1909" s="8" t="s">
        <v>36143</v>
      </c>
      <c r="B1909" s="11" t="s">
        <v>36148</v>
      </c>
      <c r="C1909" s="9" t="s">
        <v>138</v>
      </c>
      <c r="D1909" s="10" t="s">
        <v>138</v>
      </c>
      <c r="E1909" s="28" t="s">
        <v>5362</v>
      </c>
      <c r="F1909" s="28" t="s">
        <v>3453</v>
      </c>
      <c r="G1909" s="28" t="s">
        <v>2333</v>
      </c>
      <c r="H1909" s="13">
        <v>10</v>
      </c>
      <c r="I1909" s="12" t="s">
        <v>36158</v>
      </c>
      <c r="J1909" s="12" t="s">
        <v>46083</v>
      </c>
      <c r="K1909" s="12" t="s">
        <v>46084</v>
      </c>
      <c r="L1909" s="12" t="s">
        <v>46085</v>
      </c>
      <c r="M1909" s="12" t="s">
        <v>38189</v>
      </c>
      <c r="N1909" s="12" t="s">
        <v>46086</v>
      </c>
      <c r="O1909" s="12" t="s">
        <v>43132</v>
      </c>
      <c r="P1909" s="12" t="s">
        <v>46087</v>
      </c>
      <c r="Q1909" s="12" t="s">
        <v>39428</v>
      </c>
      <c r="R1909" s="12" t="s">
        <v>46088</v>
      </c>
      <c r="S1909" s="12" t="s">
        <v>38983</v>
      </c>
      <c r="T1909" s="12"/>
      <c r="U1909" s="12"/>
      <c r="V1909" s="12"/>
      <c r="W1909" s="12"/>
      <c r="X1909" s="12"/>
      <c r="Y1909" s="12"/>
      <c r="Z1909" s="12"/>
      <c r="AA1909" s="12"/>
      <c r="AB1909" s="12"/>
      <c r="AC1909" s="12"/>
      <c r="AD1909" s="12"/>
      <c r="AE1909" s="12"/>
      <c r="AF1909" s="12"/>
      <c r="AG1909" s="12"/>
      <c r="AH1909" s="12"/>
      <c r="AI1909" s="12"/>
      <c r="AJ1909" s="12"/>
      <c r="AK1909" s="12"/>
      <c r="AL1909" s="12"/>
      <c r="AM1909" s="12"/>
      <c r="AN1909" s="12"/>
      <c r="AO1909" s="12"/>
      <c r="AP1909" s="12"/>
      <c r="AQ1909" s="12"/>
      <c r="AR1909" s="12"/>
      <c r="AS1909" s="12"/>
      <c r="AT1909" s="12"/>
      <c r="AU1909" s="12"/>
      <c r="AV1909" s="12"/>
      <c r="AW1909" s="12"/>
      <c r="AX1909" s="12"/>
      <c r="AY1909" s="12"/>
      <c r="AZ1909" s="12"/>
      <c r="BA1909" s="12"/>
      <c r="BB1909" s="12"/>
      <c r="BC1909" s="12"/>
      <c r="BD1909" s="12"/>
      <c r="BE1909" s="12"/>
      <c r="BF1909" s="12"/>
      <c r="BG1909" s="12"/>
      <c r="BH1909" s="12"/>
      <c r="BI1909" s="12"/>
      <c r="BJ1909" s="12"/>
      <c r="BK1909" s="12"/>
      <c r="BL1909" s="12"/>
      <c r="BM1909" s="12"/>
      <c r="BN1909" s="12"/>
      <c r="BO1909" s="12"/>
      <c r="BP1909" s="12"/>
      <c r="BQ1909" s="12"/>
      <c r="BR1909" s="12"/>
      <c r="BS1909" s="12"/>
      <c r="BT1909" s="12"/>
    </row>
    <row r="1910" spans="1:72">
      <c r="A1910" s="2" t="s">
        <v>36161</v>
      </c>
      <c r="B1910" s="5" t="s">
        <v>36167</v>
      </c>
      <c r="C1910" s="3" t="s">
        <v>36162</v>
      </c>
      <c r="D1910" s="4" t="s">
        <v>138</v>
      </c>
      <c r="E1910" s="15" t="s">
        <v>36175</v>
      </c>
      <c r="F1910" s="15" t="s">
        <v>864</v>
      </c>
      <c r="G1910" s="15" t="s">
        <v>162</v>
      </c>
      <c r="H1910" s="7">
        <v>6</v>
      </c>
      <c r="I1910" s="6" t="s">
        <v>36180</v>
      </c>
      <c r="J1910" s="6" t="s">
        <v>16877</v>
      </c>
      <c r="K1910" s="6" t="s">
        <v>46089</v>
      </c>
      <c r="L1910" s="6" t="s">
        <v>37944</v>
      </c>
      <c r="M1910" s="6" t="s">
        <v>38322</v>
      </c>
      <c r="N1910" s="6" t="s">
        <v>42114</v>
      </c>
      <c r="O1910" s="6" t="s">
        <v>46090</v>
      </c>
      <c r="P1910" s="6"/>
      <c r="Q1910" s="6"/>
      <c r="R1910" s="6"/>
      <c r="S1910" s="6"/>
      <c r="T1910" s="6"/>
      <c r="U1910" s="6"/>
      <c r="V1910" s="6"/>
      <c r="W1910" s="6"/>
      <c r="X1910" s="6"/>
      <c r="Y1910" s="6"/>
      <c r="Z1910" s="6"/>
      <c r="AA1910" s="6"/>
      <c r="AB1910" s="6"/>
      <c r="AC1910" s="6"/>
      <c r="AD1910" s="6"/>
      <c r="AE1910" s="6"/>
      <c r="AF1910" s="6"/>
      <c r="AG1910" s="6"/>
      <c r="AH1910" s="6"/>
      <c r="AI1910" s="6"/>
      <c r="AJ1910" s="6"/>
      <c r="AK1910" s="6"/>
      <c r="AL1910" s="6"/>
      <c r="AM1910" s="6"/>
      <c r="AN1910" s="6"/>
      <c r="AO1910" s="6"/>
      <c r="AP1910" s="6"/>
      <c r="AQ1910" s="6"/>
      <c r="AR1910" s="6"/>
      <c r="AS1910" s="6"/>
      <c r="AT1910" s="6"/>
      <c r="AU1910" s="6"/>
      <c r="AV1910" s="6"/>
      <c r="AW1910" s="6"/>
      <c r="AX1910" s="6"/>
      <c r="AY1910" s="6"/>
      <c r="AZ1910" s="6"/>
      <c r="BA1910" s="6"/>
      <c r="BB1910" s="6"/>
      <c r="BC1910" s="6"/>
      <c r="BD1910" s="6"/>
      <c r="BE1910" s="6"/>
      <c r="BF1910" s="6"/>
      <c r="BG1910" s="6"/>
      <c r="BH1910" s="6"/>
      <c r="BI1910" s="6"/>
      <c r="BJ1910" s="6"/>
      <c r="BK1910" s="6"/>
      <c r="BL1910" s="6"/>
      <c r="BM1910" s="6"/>
      <c r="BN1910" s="6"/>
      <c r="BO1910" s="6"/>
      <c r="BP1910" s="6"/>
      <c r="BQ1910" s="6"/>
      <c r="BR1910" s="6"/>
      <c r="BS1910" s="6"/>
      <c r="BT1910" s="6"/>
    </row>
    <row r="1911" spans="1:72">
      <c r="A1911" s="8" t="s">
        <v>36184</v>
      </c>
      <c r="B1911" s="11" t="s">
        <v>36189</v>
      </c>
      <c r="C1911" s="9" t="s">
        <v>138</v>
      </c>
      <c r="D1911" s="10" t="s">
        <v>138</v>
      </c>
      <c r="E1911" s="28" t="s">
        <v>426</v>
      </c>
      <c r="F1911" s="28" t="s">
        <v>426</v>
      </c>
      <c r="G1911" s="28" t="s">
        <v>162</v>
      </c>
      <c r="H1911" s="13">
        <v>42</v>
      </c>
      <c r="I1911" s="12" t="s">
        <v>36197</v>
      </c>
      <c r="J1911" s="12" t="s">
        <v>46091</v>
      </c>
      <c r="K1911" s="12" t="s">
        <v>46092</v>
      </c>
      <c r="L1911" s="12" t="s">
        <v>41668</v>
      </c>
      <c r="M1911" s="12" t="s">
        <v>46093</v>
      </c>
      <c r="N1911" s="12" t="s">
        <v>37981</v>
      </c>
      <c r="O1911" s="12" t="s">
        <v>44269</v>
      </c>
      <c r="P1911" s="12" t="s">
        <v>38175</v>
      </c>
      <c r="Q1911" s="12" t="s">
        <v>44984</v>
      </c>
      <c r="R1911" s="12" t="s">
        <v>37939</v>
      </c>
      <c r="S1911" s="12" t="s">
        <v>38737</v>
      </c>
      <c r="T1911" s="12" t="s">
        <v>45403</v>
      </c>
      <c r="U1911" s="12" t="s">
        <v>38010</v>
      </c>
      <c r="V1911" s="12" t="s">
        <v>38111</v>
      </c>
      <c r="W1911" s="12" t="s">
        <v>38178</v>
      </c>
      <c r="X1911" s="12" t="s">
        <v>38011</v>
      </c>
      <c r="Y1911" s="12" t="s">
        <v>38418</v>
      </c>
      <c r="Z1911" s="12" t="s">
        <v>37986</v>
      </c>
      <c r="AA1911" s="12" t="s">
        <v>37879</v>
      </c>
      <c r="AB1911" s="12" t="s">
        <v>37947</v>
      </c>
      <c r="AC1911" s="12" t="s">
        <v>38113</v>
      </c>
      <c r="AD1911" s="12" t="s">
        <v>37910</v>
      </c>
      <c r="AE1911" s="12" t="s">
        <v>43410</v>
      </c>
      <c r="AF1911" s="12" t="s">
        <v>37960</v>
      </c>
      <c r="AG1911" s="12" t="s">
        <v>37990</v>
      </c>
      <c r="AH1911" s="12" t="s">
        <v>43411</v>
      </c>
      <c r="AI1911" s="12" t="s">
        <v>38746</v>
      </c>
      <c r="AJ1911" s="12" t="s">
        <v>46094</v>
      </c>
      <c r="AK1911" s="12" t="s">
        <v>44458</v>
      </c>
      <c r="AL1911" s="12" t="s">
        <v>38099</v>
      </c>
      <c r="AM1911" s="12" t="s">
        <v>40944</v>
      </c>
      <c r="AN1911" s="12" t="s">
        <v>37965</v>
      </c>
      <c r="AO1911" s="12" t="s">
        <v>44368</v>
      </c>
      <c r="AP1911" s="12" t="s">
        <v>39521</v>
      </c>
      <c r="AQ1911" s="12" t="s">
        <v>38579</v>
      </c>
      <c r="AR1911" s="12" t="s">
        <v>38750</v>
      </c>
      <c r="AS1911" s="12" t="s">
        <v>39261</v>
      </c>
      <c r="AT1911" s="12" t="s">
        <v>40429</v>
      </c>
      <c r="AU1911" s="12" t="s">
        <v>41509</v>
      </c>
      <c r="AV1911" s="12" t="s">
        <v>46095</v>
      </c>
      <c r="AW1911" s="12" t="s">
        <v>41970</v>
      </c>
      <c r="AX1911" s="12" t="s">
        <v>37871</v>
      </c>
      <c r="AY1911" s="12" t="s">
        <v>42273</v>
      </c>
      <c r="AZ1911" s="12"/>
      <c r="BA1911" s="12"/>
      <c r="BB1911" s="12"/>
      <c r="BC1911" s="12"/>
      <c r="BD1911" s="12"/>
      <c r="BE1911" s="12"/>
      <c r="BF1911" s="12"/>
      <c r="BG1911" s="12"/>
      <c r="BH1911" s="12"/>
      <c r="BI1911" s="12"/>
      <c r="BJ1911" s="12"/>
      <c r="BK1911" s="12"/>
      <c r="BL1911" s="12"/>
      <c r="BM1911" s="12"/>
      <c r="BN1911" s="12"/>
      <c r="BO1911" s="12"/>
      <c r="BP1911" s="12"/>
      <c r="BQ1911" s="12"/>
      <c r="BR1911" s="12"/>
      <c r="BS1911" s="12"/>
      <c r="BT1911" s="12"/>
    </row>
    <row r="1912" spans="1:72">
      <c r="A1912" s="2" t="s">
        <v>36201</v>
      </c>
      <c r="B1912" s="5" t="s">
        <v>36207</v>
      </c>
      <c r="C1912" s="3" t="s">
        <v>36202</v>
      </c>
      <c r="D1912" s="4" t="s">
        <v>138</v>
      </c>
      <c r="E1912" s="15" t="s">
        <v>3972</v>
      </c>
      <c r="F1912" s="15" t="s">
        <v>138</v>
      </c>
      <c r="G1912" s="15" t="s">
        <v>740</v>
      </c>
      <c r="H1912" s="7">
        <v>6</v>
      </c>
      <c r="I1912" s="6" t="s">
        <v>36213</v>
      </c>
      <c r="J1912" s="6" t="s">
        <v>46096</v>
      </c>
      <c r="K1912" s="6" t="s">
        <v>46097</v>
      </c>
      <c r="L1912" s="6" t="s">
        <v>40436</v>
      </c>
      <c r="M1912" s="6" t="s">
        <v>46098</v>
      </c>
      <c r="N1912" s="6" t="s">
        <v>38085</v>
      </c>
      <c r="O1912" s="6" t="s">
        <v>37770</v>
      </c>
      <c r="P1912" s="6"/>
      <c r="Q1912" s="6"/>
      <c r="R1912" s="6"/>
      <c r="S1912" s="6"/>
      <c r="T1912" s="6"/>
      <c r="U1912" s="6"/>
      <c r="V1912" s="6"/>
      <c r="W1912" s="6"/>
      <c r="X1912" s="6"/>
      <c r="Y1912" s="6"/>
      <c r="Z1912" s="6"/>
      <c r="AA1912" s="6"/>
      <c r="AB1912" s="6"/>
      <c r="AC1912" s="6"/>
      <c r="AD1912" s="6"/>
      <c r="AE1912" s="6"/>
      <c r="AF1912" s="6"/>
      <c r="AG1912" s="6"/>
      <c r="AH1912" s="6"/>
      <c r="AI1912" s="6"/>
      <c r="AJ1912" s="6"/>
      <c r="AK1912" s="6"/>
      <c r="AL1912" s="6"/>
      <c r="AM1912" s="6"/>
      <c r="AN1912" s="6"/>
      <c r="AO1912" s="6"/>
      <c r="AP1912" s="6"/>
      <c r="AQ1912" s="6"/>
      <c r="AR1912" s="6"/>
      <c r="AS1912" s="6"/>
      <c r="AT1912" s="6"/>
      <c r="AU1912" s="6"/>
      <c r="AV1912" s="6"/>
      <c r="AW1912" s="6"/>
      <c r="AX1912" s="6"/>
      <c r="AY1912" s="6"/>
      <c r="AZ1912" s="6"/>
      <c r="BA1912" s="6"/>
      <c r="BB1912" s="6"/>
      <c r="BC1912" s="6"/>
      <c r="BD1912" s="6"/>
      <c r="BE1912" s="6"/>
      <c r="BF1912" s="6"/>
      <c r="BG1912" s="6"/>
      <c r="BH1912" s="6"/>
      <c r="BI1912" s="6"/>
      <c r="BJ1912" s="6"/>
      <c r="BK1912" s="6"/>
      <c r="BL1912" s="6"/>
      <c r="BM1912" s="6"/>
      <c r="BN1912" s="6"/>
      <c r="BO1912" s="6"/>
      <c r="BP1912" s="6"/>
      <c r="BQ1912" s="6"/>
      <c r="BR1912" s="6"/>
      <c r="BS1912" s="6"/>
      <c r="BT1912" s="6"/>
    </row>
    <row r="1913" spans="1:72">
      <c r="A1913" s="8" t="s">
        <v>36216</v>
      </c>
      <c r="B1913" s="11" t="s">
        <v>36219</v>
      </c>
      <c r="C1913" s="9" t="s">
        <v>138</v>
      </c>
      <c r="D1913" s="10" t="s">
        <v>138</v>
      </c>
      <c r="E1913" s="28" t="s">
        <v>668</v>
      </c>
      <c r="F1913" s="28" t="s">
        <v>200</v>
      </c>
      <c r="G1913" s="28" t="s">
        <v>162</v>
      </c>
      <c r="H1913" s="13">
        <v>4</v>
      </c>
      <c r="I1913" s="12" t="s">
        <v>36224</v>
      </c>
      <c r="J1913" s="12" t="s">
        <v>46099</v>
      </c>
      <c r="K1913" s="12" t="s">
        <v>37949</v>
      </c>
      <c r="L1913" s="12" t="s">
        <v>38514</v>
      </c>
      <c r="M1913" s="12" t="s">
        <v>37781</v>
      </c>
      <c r="N1913" s="12"/>
      <c r="O1913" s="12"/>
      <c r="P1913" s="12"/>
      <c r="Q1913" s="12"/>
      <c r="R1913" s="12"/>
      <c r="S1913" s="12"/>
      <c r="T1913" s="12"/>
      <c r="U1913" s="12"/>
      <c r="V1913" s="12"/>
      <c r="W1913" s="12"/>
      <c r="X1913" s="12"/>
      <c r="Y1913" s="12"/>
      <c r="Z1913" s="12"/>
      <c r="AA1913" s="12"/>
      <c r="AB1913" s="12"/>
      <c r="AC1913" s="12"/>
      <c r="AD1913" s="12"/>
      <c r="AE1913" s="12"/>
      <c r="AF1913" s="12"/>
      <c r="AG1913" s="12"/>
      <c r="AH1913" s="12"/>
      <c r="AI1913" s="12"/>
      <c r="AJ1913" s="12"/>
      <c r="AK1913" s="12"/>
      <c r="AL1913" s="12"/>
      <c r="AM1913" s="12"/>
      <c r="AN1913" s="12"/>
      <c r="AO1913" s="12"/>
      <c r="AP1913" s="12"/>
      <c r="AQ1913" s="12"/>
      <c r="AR1913" s="12"/>
      <c r="AS1913" s="12"/>
      <c r="AT1913" s="12"/>
      <c r="AU1913" s="12"/>
      <c r="AV1913" s="12"/>
      <c r="AW1913" s="12"/>
      <c r="AX1913" s="12"/>
      <c r="AY1913" s="12"/>
      <c r="AZ1913" s="12"/>
      <c r="BA1913" s="12"/>
      <c r="BB1913" s="12"/>
      <c r="BC1913" s="12"/>
      <c r="BD1913" s="12"/>
      <c r="BE1913" s="12"/>
      <c r="BF1913" s="12"/>
      <c r="BG1913" s="12"/>
      <c r="BH1913" s="12"/>
      <c r="BI1913" s="12"/>
      <c r="BJ1913" s="12"/>
      <c r="BK1913" s="12"/>
      <c r="BL1913" s="12"/>
      <c r="BM1913" s="12"/>
      <c r="BN1913" s="12"/>
      <c r="BO1913" s="12"/>
      <c r="BP1913" s="12"/>
      <c r="BQ1913" s="12"/>
      <c r="BR1913" s="12"/>
      <c r="BS1913" s="12"/>
      <c r="BT1913" s="12"/>
    </row>
    <row r="1914" spans="1:72">
      <c r="A1914" s="2" t="s">
        <v>36227</v>
      </c>
      <c r="B1914" s="5" t="s">
        <v>36232</v>
      </c>
      <c r="C1914" s="3" t="s">
        <v>138</v>
      </c>
      <c r="D1914" s="4" t="s">
        <v>138</v>
      </c>
      <c r="E1914" s="15" t="s">
        <v>1294</v>
      </c>
      <c r="F1914" s="15" t="s">
        <v>864</v>
      </c>
      <c r="G1914" s="15" t="s">
        <v>162</v>
      </c>
      <c r="H1914" s="7">
        <v>8</v>
      </c>
      <c r="I1914" s="6" t="s">
        <v>36243</v>
      </c>
      <c r="J1914" s="6" t="s">
        <v>43783</v>
      </c>
      <c r="K1914" s="6" t="s">
        <v>40927</v>
      </c>
      <c r="L1914" s="6" t="s">
        <v>40043</v>
      </c>
      <c r="M1914" s="6" t="s">
        <v>38476</v>
      </c>
      <c r="N1914" s="6" t="s">
        <v>38528</v>
      </c>
      <c r="O1914" s="6" t="s">
        <v>38065</v>
      </c>
      <c r="P1914" s="6" t="s">
        <v>42334</v>
      </c>
      <c r="Q1914" s="6" t="s">
        <v>38143</v>
      </c>
      <c r="R1914" s="6"/>
      <c r="S1914" s="6"/>
      <c r="T1914" s="6"/>
      <c r="U1914" s="6"/>
      <c r="V1914" s="6"/>
      <c r="W1914" s="6"/>
      <c r="X1914" s="6"/>
      <c r="Y1914" s="6"/>
      <c r="Z1914" s="6"/>
      <c r="AA1914" s="6"/>
      <c r="AB1914" s="6"/>
      <c r="AC1914" s="6"/>
      <c r="AD1914" s="6"/>
      <c r="AE1914" s="6"/>
      <c r="AF1914" s="6"/>
      <c r="AG1914" s="6"/>
      <c r="AH1914" s="6"/>
      <c r="AI1914" s="6"/>
      <c r="AJ1914" s="6"/>
      <c r="AK1914" s="6"/>
      <c r="AL1914" s="6"/>
      <c r="AM1914" s="6"/>
      <c r="AN1914" s="6"/>
      <c r="AO1914" s="6"/>
      <c r="AP1914" s="6"/>
      <c r="AQ1914" s="6"/>
      <c r="AR1914" s="6"/>
      <c r="AS1914" s="6"/>
      <c r="AT1914" s="6"/>
      <c r="AU1914" s="6"/>
      <c r="AV1914" s="6"/>
      <c r="AW1914" s="6"/>
      <c r="AX1914" s="6"/>
      <c r="AY1914" s="6"/>
      <c r="AZ1914" s="6"/>
      <c r="BA1914" s="6"/>
      <c r="BB1914" s="6"/>
      <c r="BC1914" s="6"/>
      <c r="BD1914" s="6"/>
      <c r="BE1914" s="6"/>
      <c r="BF1914" s="6"/>
      <c r="BG1914" s="6"/>
      <c r="BH1914" s="6"/>
      <c r="BI1914" s="6"/>
      <c r="BJ1914" s="6"/>
      <c r="BK1914" s="6"/>
      <c r="BL1914" s="6"/>
      <c r="BM1914" s="6"/>
      <c r="BN1914" s="6"/>
      <c r="BO1914" s="6"/>
      <c r="BP1914" s="6"/>
      <c r="BQ1914" s="6"/>
      <c r="BR1914" s="6"/>
      <c r="BS1914" s="6"/>
      <c r="BT1914" s="6"/>
    </row>
    <row r="1915" spans="1:72">
      <c r="A1915" s="8" t="s">
        <v>36246</v>
      </c>
      <c r="B1915" s="11" t="s">
        <v>36250</v>
      </c>
      <c r="C1915" s="9" t="s">
        <v>138</v>
      </c>
      <c r="D1915" s="10" t="s">
        <v>138</v>
      </c>
      <c r="E1915" s="28" t="s">
        <v>14129</v>
      </c>
      <c r="F1915" s="28" t="s">
        <v>14130</v>
      </c>
      <c r="G1915" s="28" t="s">
        <v>2742</v>
      </c>
      <c r="H1915" s="13">
        <v>12</v>
      </c>
      <c r="I1915" s="12" t="s">
        <v>36262</v>
      </c>
      <c r="J1915" s="12" t="s">
        <v>44440</v>
      </c>
      <c r="K1915" s="12" t="s">
        <v>39410</v>
      </c>
      <c r="L1915" s="12" t="s">
        <v>38921</v>
      </c>
      <c r="M1915" s="12" t="s">
        <v>39333</v>
      </c>
      <c r="N1915" s="12" t="s">
        <v>44333</v>
      </c>
      <c r="O1915" s="12" t="s">
        <v>44511</v>
      </c>
      <c r="P1915" s="12" t="s">
        <v>38164</v>
      </c>
      <c r="Q1915" s="12" t="s">
        <v>39390</v>
      </c>
      <c r="R1915" s="12" t="s">
        <v>39367</v>
      </c>
      <c r="S1915" s="12" t="s">
        <v>37998</v>
      </c>
      <c r="T1915" s="12" t="s">
        <v>40247</v>
      </c>
      <c r="U1915" s="12" t="s">
        <v>46100</v>
      </c>
      <c r="V1915" s="12"/>
      <c r="W1915" s="12"/>
      <c r="X1915" s="12"/>
      <c r="Y1915" s="12"/>
      <c r="Z1915" s="12"/>
      <c r="AA1915" s="12"/>
      <c r="AB1915" s="12"/>
      <c r="AC1915" s="12"/>
      <c r="AD1915" s="12"/>
      <c r="AE1915" s="12"/>
      <c r="AF1915" s="12"/>
      <c r="AG1915" s="12"/>
      <c r="AH1915" s="12"/>
      <c r="AI1915" s="12"/>
      <c r="AJ1915" s="12"/>
      <c r="AK1915" s="12"/>
      <c r="AL1915" s="12"/>
      <c r="AM1915" s="12"/>
      <c r="AN1915" s="12"/>
      <c r="AO1915" s="12"/>
      <c r="AP1915" s="12"/>
      <c r="AQ1915" s="12"/>
      <c r="AR1915" s="12"/>
      <c r="AS1915" s="12"/>
      <c r="AT1915" s="12"/>
      <c r="AU1915" s="12"/>
      <c r="AV1915" s="12"/>
      <c r="AW1915" s="12"/>
      <c r="AX1915" s="12"/>
      <c r="AY1915" s="12"/>
      <c r="AZ1915" s="12"/>
      <c r="BA1915" s="12"/>
      <c r="BB1915" s="12"/>
      <c r="BC1915" s="12"/>
      <c r="BD1915" s="12"/>
      <c r="BE1915" s="12"/>
      <c r="BF1915" s="12"/>
      <c r="BG1915" s="12"/>
      <c r="BH1915" s="12"/>
      <c r="BI1915" s="12"/>
      <c r="BJ1915" s="12"/>
      <c r="BK1915" s="12"/>
      <c r="BL1915" s="12"/>
      <c r="BM1915" s="12"/>
      <c r="BN1915" s="12"/>
      <c r="BO1915" s="12"/>
      <c r="BP1915" s="12"/>
      <c r="BQ1915" s="12"/>
      <c r="BR1915" s="12"/>
      <c r="BS1915" s="12"/>
      <c r="BT1915" s="12"/>
    </row>
    <row r="1916" spans="1:72">
      <c r="A1916" s="2" t="s">
        <v>36266</v>
      </c>
      <c r="B1916" s="5" t="s">
        <v>36270</v>
      </c>
      <c r="C1916" s="3" t="s">
        <v>138</v>
      </c>
      <c r="D1916" s="4" t="s">
        <v>138</v>
      </c>
      <c r="E1916" s="15" t="s">
        <v>642</v>
      </c>
      <c r="F1916" s="15" t="s">
        <v>474</v>
      </c>
      <c r="G1916" s="15" t="s">
        <v>162</v>
      </c>
      <c r="H1916" s="7">
        <v>14</v>
      </c>
      <c r="I1916" s="6" t="s">
        <v>36279</v>
      </c>
      <c r="J1916" s="6" t="s">
        <v>39019</v>
      </c>
      <c r="K1916" s="6" t="s">
        <v>46101</v>
      </c>
      <c r="L1916" s="6" t="s">
        <v>46102</v>
      </c>
      <c r="M1916" s="6" t="s">
        <v>46103</v>
      </c>
      <c r="N1916" s="6" t="s">
        <v>46104</v>
      </c>
      <c r="O1916" s="6" t="s">
        <v>46105</v>
      </c>
      <c r="P1916" s="6" t="s">
        <v>39135</v>
      </c>
      <c r="Q1916" s="6" t="s">
        <v>40318</v>
      </c>
      <c r="R1916" s="6" t="s">
        <v>46106</v>
      </c>
      <c r="S1916" s="6" t="s">
        <v>46107</v>
      </c>
      <c r="T1916" s="6" t="s">
        <v>46108</v>
      </c>
      <c r="U1916" s="6" t="s">
        <v>38200</v>
      </c>
      <c r="V1916" s="6" t="s">
        <v>40781</v>
      </c>
      <c r="W1916" s="6" t="s">
        <v>37871</v>
      </c>
      <c r="X1916" s="6"/>
      <c r="Y1916" s="6"/>
      <c r="Z1916" s="6"/>
      <c r="AA1916" s="6"/>
      <c r="AB1916" s="6"/>
      <c r="AC1916" s="6"/>
      <c r="AD1916" s="6"/>
      <c r="AE1916" s="6"/>
      <c r="AF1916" s="6"/>
      <c r="AG1916" s="6"/>
      <c r="AH1916" s="6"/>
      <c r="AI1916" s="6"/>
      <c r="AJ1916" s="6"/>
      <c r="AK1916" s="6"/>
      <c r="AL1916" s="6"/>
      <c r="AM1916" s="6"/>
      <c r="AN1916" s="6"/>
      <c r="AO1916" s="6"/>
      <c r="AP1916" s="6"/>
      <c r="AQ1916" s="6"/>
      <c r="AR1916" s="6"/>
      <c r="AS1916" s="6"/>
      <c r="AT1916" s="6"/>
      <c r="AU1916" s="6"/>
      <c r="AV1916" s="6"/>
      <c r="AW1916" s="6"/>
      <c r="AX1916" s="6"/>
      <c r="AY1916" s="6"/>
      <c r="AZ1916" s="6"/>
      <c r="BA1916" s="6"/>
      <c r="BB1916" s="6"/>
      <c r="BC1916" s="6"/>
      <c r="BD1916" s="6"/>
      <c r="BE1916" s="6"/>
      <c r="BF1916" s="6"/>
      <c r="BG1916" s="6"/>
      <c r="BH1916" s="6"/>
      <c r="BI1916" s="6"/>
      <c r="BJ1916" s="6"/>
      <c r="BK1916" s="6"/>
      <c r="BL1916" s="6"/>
      <c r="BM1916" s="6"/>
      <c r="BN1916" s="6"/>
      <c r="BO1916" s="6"/>
      <c r="BP1916" s="6"/>
      <c r="BQ1916" s="6"/>
      <c r="BR1916" s="6"/>
      <c r="BS1916" s="6"/>
      <c r="BT1916" s="6"/>
    </row>
    <row r="1917" spans="1:72">
      <c r="A1917" s="8" t="s">
        <v>36284</v>
      </c>
      <c r="B1917" s="11" t="s">
        <v>36289</v>
      </c>
      <c r="C1917" s="9" t="s">
        <v>138</v>
      </c>
      <c r="D1917" s="10" t="s">
        <v>36285</v>
      </c>
      <c r="E1917" s="28" t="s">
        <v>668</v>
      </c>
      <c r="F1917" s="28" t="s">
        <v>200</v>
      </c>
      <c r="G1917" s="28" t="s">
        <v>162</v>
      </c>
      <c r="H1917" s="13">
        <v>17</v>
      </c>
      <c r="I1917" s="12" t="s">
        <v>36298</v>
      </c>
      <c r="J1917" s="12" t="s">
        <v>46109</v>
      </c>
      <c r="K1917" s="12" t="s">
        <v>38299</v>
      </c>
      <c r="L1917" s="12" t="s">
        <v>38076</v>
      </c>
      <c r="M1917" s="12" t="s">
        <v>38931</v>
      </c>
      <c r="N1917" s="12" t="s">
        <v>37851</v>
      </c>
      <c r="O1917" s="12" t="s">
        <v>46110</v>
      </c>
      <c r="P1917" s="12" t="s">
        <v>46111</v>
      </c>
      <c r="Q1917" s="12" t="s">
        <v>41432</v>
      </c>
      <c r="R1917" s="12" t="s">
        <v>39118</v>
      </c>
      <c r="S1917" s="12" t="s">
        <v>38495</v>
      </c>
      <c r="T1917" s="12" t="s">
        <v>37960</v>
      </c>
      <c r="U1917" s="12" t="s">
        <v>38476</v>
      </c>
      <c r="V1917" s="12" t="s">
        <v>37839</v>
      </c>
      <c r="W1917" s="12" t="s">
        <v>46112</v>
      </c>
      <c r="X1917" s="12" t="s">
        <v>37781</v>
      </c>
      <c r="Y1917" s="12" t="s">
        <v>39642</v>
      </c>
      <c r="Z1917" s="12" t="s">
        <v>38728</v>
      </c>
      <c r="AA1917" s="12"/>
      <c r="AB1917" s="12"/>
      <c r="AC1917" s="12"/>
      <c r="AD1917" s="12"/>
      <c r="AE1917" s="12"/>
      <c r="AF1917" s="12"/>
      <c r="AG1917" s="12"/>
      <c r="AH1917" s="12"/>
      <c r="AI1917" s="12"/>
      <c r="AJ1917" s="12"/>
      <c r="AK1917" s="12"/>
      <c r="AL1917" s="12"/>
      <c r="AM1917" s="12"/>
      <c r="AN1917" s="12"/>
      <c r="AO1917" s="12"/>
      <c r="AP1917" s="12"/>
      <c r="AQ1917" s="12"/>
      <c r="AR1917" s="12"/>
      <c r="AS1917" s="12"/>
      <c r="AT1917" s="12"/>
      <c r="AU1917" s="12"/>
      <c r="AV1917" s="12"/>
      <c r="AW1917" s="12"/>
      <c r="AX1917" s="12"/>
      <c r="AY1917" s="12"/>
      <c r="AZ1917" s="12"/>
      <c r="BA1917" s="12"/>
      <c r="BB1917" s="12"/>
      <c r="BC1917" s="12"/>
      <c r="BD1917" s="12"/>
      <c r="BE1917" s="12"/>
      <c r="BF1917" s="12"/>
      <c r="BG1917" s="12"/>
      <c r="BH1917" s="12"/>
      <c r="BI1917" s="12"/>
      <c r="BJ1917" s="12"/>
      <c r="BK1917" s="12"/>
      <c r="BL1917" s="12"/>
      <c r="BM1917" s="12"/>
      <c r="BN1917" s="12"/>
      <c r="BO1917" s="12"/>
      <c r="BP1917" s="12"/>
      <c r="BQ1917" s="12"/>
      <c r="BR1917" s="12"/>
      <c r="BS1917" s="12"/>
      <c r="BT1917" s="12"/>
    </row>
    <row r="1918" spans="1:72">
      <c r="A1918" s="2" t="s">
        <v>36301</v>
      </c>
      <c r="B1918" s="5" t="s">
        <v>36306</v>
      </c>
      <c r="C1918" s="3" t="s">
        <v>138</v>
      </c>
      <c r="D1918" s="4" t="s">
        <v>138</v>
      </c>
      <c r="E1918" s="15" t="s">
        <v>16557</v>
      </c>
      <c r="F1918" s="15" t="s">
        <v>200</v>
      </c>
      <c r="G1918" s="15" t="s">
        <v>162</v>
      </c>
      <c r="H1918" s="7">
        <v>6</v>
      </c>
      <c r="I1918" s="6" t="s">
        <v>36316</v>
      </c>
      <c r="J1918" s="6" t="s">
        <v>46113</v>
      </c>
      <c r="K1918" s="6" t="s">
        <v>46114</v>
      </c>
      <c r="L1918" s="6" t="s">
        <v>46115</v>
      </c>
      <c r="M1918" s="6" t="s">
        <v>42685</v>
      </c>
      <c r="N1918" s="6" t="s">
        <v>38200</v>
      </c>
      <c r="O1918" s="6" t="s">
        <v>44995</v>
      </c>
      <c r="P1918" s="6"/>
      <c r="Q1918" s="6"/>
      <c r="R1918" s="6"/>
      <c r="S1918" s="6"/>
      <c r="T1918" s="6"/>
      <c r="U1918" s="6"/>
      <c r="V1918" s="6"/>
      <c r="W1918" s="6"/>
      <c r="X1918" s="6"/>
      <c r="Y1918" s="6"/>
      <c r="Z1918" s="6"/>
      <c r="AA1918" s="6"/>
      <c r="AB1918" s="6"/>
      <c r="AC1918" s="6"/>
      <c r="AD1918" s="6"/>
      <c r="AE1918" s="6"/>
      <c r="AF1918" s="6"/>
      <c r="AG1918" s="6"/>
      <c r="AH1918" s="6"/>
      <c r="AI1918" s="6"/>
      <c r="AJ1918" s="6"/>
      <c r="AK1918" s="6"/>
      <c r="AL1918" s="6"/>
      <c r="AM1918" s="6"/>
      <c r="AN1918" s="6"/>
      <c r="AO1918" s="6"/>
      <c r="AP1918" s="6"/>
      <c r="AQ1918" s="6"/>
      <c r="AR1918" s="6"/>
      <c r="AS1918" s="6"/>
      <c r="AT1918" s="6"/>
      <c r="AU1918" s="6"/>
      <c r="AV1918" s="6"/>
      <c r="AW1918" s="6"/>
      <c r="AX1918" s="6"/>
      <c r="AY1918" s="6"/>
      <c r="AZ1918" s="6"/>
      <c r="BA1918" s="6"/>
      <c r="BB1918" s="6"/>
      <c r="BC1918" s="6"/>
      <c r="BD1918" s="6"/>
      <c r="BE1918" s="6"/>
      <c r="BF1918" s="6"/>
      <c r="BG1918" s="6"/>
      <c r="BH1918" s="6"/>
      <c r="BI1918" s="6"/>
      <c r="BJ1918" s="6"/>
      <c r="BK1918" s="6"/>
      <c r="BL1918" s="6"/>
      <c r="BM1918" s="6"/>
      <c r="BN1918" s="6"/>
      <c r="BO1918" s="6"/>
      <c r="BP1918" s="6"/>
      <c r="BQ1918" s="6"/>
      <c r="BR1918" s="6"/>
      <c r="BS1918" s="6"/>
      <c r="BT1918" s="6"/>
    </row>
    <row r="1919" spans="1:72">
      <c r="A1919" s="8" t="s">
        <v>36321</v>
      </c>
      <c r="B1919" s="11" t="s">
        <v>36325</v>
      </c>
      <c r="C1919" s="9" t="s">
        <v>138</v>
      </c>
      <c r="D1919" s="10" t="s">
        <v>138</v>
      </c>
      <c r="E1919" s="28" t="s">
        <v>310</v>
      </c>
      <c r="F1919" s="28" t="s">
        <v>200</v>
      </c>
      <c r="G1919" s="28" t="s">
        <v>162</v>
      </c>
      <c r="H1919" s="13">
        <v>17</v>
      </c>
      <c r="I1919" s="12" t="s">
        <v>36333</v>
      </c>
      <c r="J1919" s="12" t="s">
        <v>38061</v>
      </c>
      <c r="K1919" s="12" t="s">
        <v>38365</v>
      </c>
      <c r="L1919" s="12" t="s">
        <v>42075</v>
      </c>
      <c r="M1919" s="12" t="s">
        <v>38964</v>
      </c>
      <c r="N1919" s="12" t="s">
        <v>37942</v>
      </c>
      <c r="O1919" s="12" t="s">
        <v>37949</v>
      </c>
      <c r="P1919" s="12" t="s">
        <v>38420</v>
      </c>
      <c r="Q1919" s="12" t="s">
        <v>38593</v>
      </c>
      <c r="R1919" s="12" t="s">
        <v>38916</v>
      </c>
      <c r="S1919" s="12" t="s">
        <v>39405</v>
      </c>
      <c r="T1919" s="12" t="s">
        <v>38428</v>
      </c>
      <c r="U1919" s="12" t="s">
        <v>37781</v>
      </c>
      <c r="V1919" s="12" t="s">
        <v>39642</v>
      </c>
      <c r="W1919" s="12" t="s">
        <v>38954</v>
      </c>
      <c r="X1919" s="12" t="s">
        <v>43635</v>
      </c>
      <c r="Y1919" s="12" t="s">
        <v>38436</v>
      </c>
      <c r="Z1919" s="12" t="s">
        <v>40643</v>
      </c>
      <c r="AA1919" s="12"/>
      <c r="AB1919" s="12"/>
      <c r="AC1919" s="12"/>
      <c r="AD1919" s="12"/>
      <c r="AE1919" s="12"/>
      <c r="AF1919" s="12"/>
      <c r="AG1919" s="12"/>
      <c r="AH1919" s="12"/>
      <c r="AI1919" s="12"/>
      <c r="AJ1919" s="12"/>
      <c r="AK1919" s="12"/>
      <c r="AL1919" s="12"/>
      <c r="AM1919" s="12"/>
      <c r="AN1919" s="12"/>
      <c r="AO1919" s="12"/>
      <c r="AP1919" s="12"/>
      <c r="AQ1919" s="12"/>
      <c r="AR1919" s="12"/>
      <c r="AS1919" s="12"/>
      <c r="AT1919" s="12"/>
      <c r="AU1919" s="12"/>
      <c r="AV1919" s="12"/>
      <c r="AW1919" s="12"/>
      <c r="AX1919" s="12"/>
      <c r="AY1919" s="12"/>
      <c r="AZ1919" s="12"/>
      <c r="BA1919" s="12"/>
      <c r="BB1919" s="12"/>
      <c r="BC1919" s="12"/>
      <c r="BD1919" s="12"/>
      <c r="BE1919" s="12"/>
      <c r="BF1919" s="12"/>
      <c r="BG1919" s="12"/>
      <c r="BH1919" s="12"/>
      <c r="BI1919" s="12"/>
      <c r="BJ1919" s="12"/>
      <c r="BK1919" s="12"/>
      <c r="BL1919" s="12"/>
      <c r="BM1919" s="12"/>
      <c r="BN1919" s="12"/>
      <c r="BO1919" s="12"/>
      <c r="BP1919" s="12"/>
      <c r="BQ1919" s="12"/>
      <c r="BR1919" s="12"/>
      <c r="BS1919" s="12"/>
      <c r="BT1919" s="12"/>
    </row>
    <row r="1920" spans="1:72">
      <c r="A1920" s="2" t="s">
        <v>36336</v>
      </c>
      <c r="B1920" s="5" t="s">
        <v>36340</v>
      </c>
      <c r="C1920" s="3" t="s">
        <v>138</v>
      </c>
      <c r="D1920" s="4" t="s">
        <v>138</v>
      </c>
      <c r="E1920" s="15" t="s">
        <v>4442</v>
      </c>
      <c r="F1920" s="15" t="s">
        <v>138</v>
      </c>
      <c r="G1920" s="15" t="s">
        <v>4444</v>
      </c>
      <c r="H1920" s="7">
        <v>4</v>
      </c>
      <c r="I1920" s="6" t="s">
        <v>36350</v>
      </c>
      <c r="J1920" s="6" t="s">
        <v>44488</v>
      </c>
      <c r="K1920" s="6" t="s">
        <v>41156</v>
      </c>
      <c r="L1920" s="6" t="s">
        <v>46116</v>
      </c>
      <c r="M1920" s="6" t="s">
        <v>46117</v>
      </c>
      <c r="N1920" s="6"/>
      <c r="O1920" s="6"/>
      <c r="P1920" s="6"/>
      <c r="Q1920" s="6"/>
      <c r="R1920" s="6"/>
      <c r="S1920" s="6"/>
      <c r="T1920" s="6"/>
      <c r="U1920" s="6"/>
      <c r="V1920" s="6"/>
      <c r="W1920" s="6"/>
      <c r="X1920" s="6"/>
      <c r="Y1920" s="6"/>
      <c r="Z1920" s="6"/>
      <c r="AA1920" s="6"/>
      <c r="AB1920" s="6"/>
      <c r="AC1920" s="6"/>
      <c r="AD1920" s="6"/>
      <c r="AE1920" s="6"/>
      <c r="AF1920" s="6"/>
      <c r="AG1920" s="6"/>
      <c r="AH1920" s="6"/>
      <c r="AI1920" s="6"/>
      <c r="AJ1920" s="6"/>
      <c r="AK1920" s="6"/>
      <c r="AL1920" s="6"/>
      <c r="AM1920" s="6"/>
      <c r="AN1920" s="6"/>
      <c r="AO1920" s="6"/>
      <c r="AP1920" s="6"/>
      <c r="AQ1920" s="6"/>
      <c r="AR1920" s="6"/>
      <c r="AS1920" s="6"/>
      <c r="AT1920" s="6"/>
      <c r="AU1920" s="6"/>
      <c r="AV1920" s="6"/>
      <c r="AW1920" s="6"/>
      <c r="AX1920" s="6"/>
      <c r="AY1920" s="6"/>
      <c r="AZ1920" s="6"/>
      <c r="BA1920" s="6"/>
      <c r="BB1920" s="6"/>
      <c r="BC1920" s="6"/>
      <c r="BD1920" s="6"/>
      <c r="BE1920" s="6"/>
      <c r="BF1920" s="6"/>
      <c r="BG1920" s="6"/>
      <c r="BH1920" s="6"/>
      <c r="BI1920" s="6"/>
      <c r="BJ1920" s="6"/>
      <c r="BK1920" s="6"/>
      <c r="BL1920" s="6"/>
      <c r="BM1920" s="6"/>
      <c r="BN1920" s="6"/>
      <c r="BO1920" s="6"/>
      <c r="BP1920" s="6"/>
      <c r="BQ1920" s="6"/>
      <c r="BR1920" s="6"/>
      <c r="BS1920" s="6"/>
      <c r="BT1920" s="6"/>
    </row>
    <row r="1921" spans="1:72">
      <c r="A1921" s="8" t="s">
        <v>36353</v>
      </c>
      <c r="B1921" s="11" t="s">
        <v>36358</v>
      </c>
      <c r="C1921" s="9" t="s">
        <v>138</v>
      </c>
      <c r="D1921" s="10" t="s">
        <v>138</v>
      </c>
      <c r="E1921" s="28" t="s">
        <v>20362</v>
      </c>
      <c r="F1921" s="28" t="s">
        <v>138</v>
      </c>
      <c r="G1921" s="28" t="s">
        <v>3693</v>
      </c>
      <c r="H1921" s="13">
        <v>14</v>
      </c>
      <c r="I1921" s="12" t="s">
        <v>36366</v>
      </c>
      <c r="J1921" s="12" t="s">
        <v>38344</v>
      </c>
      <c r="K1921" s="12" t="s">
        <v>39003</v>
      </c>
      <c r="L1921" s="12" t="s">
        <v>45696</v>
      </c>
      <c r="M1921" s="12" t="s">
        <v>46118</v>
      </c>
      <c r="N1921" s="12" t="s">
        <v>43053</v>
      </c>
      <c r="O1921" s="12" t="s">
        <v>45697</v>
      </c>
      <c r="P1921" s="12" t="s">
        <v>46119</v>
      </c>
      <c r="Q1921" s="12" t="s">
        <v>38306</v>
      </c>
      <c r="R1921" s="12" t="s">
        <v>39889</v>
      </c>
      <c r="S1921" s="12" t="s">
        <v>39890</v>
      </c>
      <c r="T1921" s="12" t="s">
        <v>39395</v>
      </c>
      <c r="U1921" s="12" t="s">
        <v>38363</v>
      </c>
      <c r="V1921" s="12" t="s">
        <v>38386</v>
      </c>
      <c r="W1921" s="12" t="s">
        <v>37841</v>
      </c>
      <c r="X1921" s="12"/>
      <c r="Y1921" s="12"/>
      <c r="Z1921" s="12"/>
      <c r="AA1921" s="12"/>
      <c r="AB1921" s="12"/>
      <c r="AC1921" s="12"/>
      <c r="AD1921" s="12"/>
      <c r="AE1921" s="12"/>
      <c r="AF1921" s="12"/>
      <c r="AG1921" s="12"/>
      <c r="AH1921" s="12"/>
      <c r="AI1921" s="12"/>
      <c r="AJ1921" s="12"/>
      <c r="AK1921" s="12"/>
      <c r="AL1921" s="12"/>
      <c r="AM1921" s="12"/>
      <c r="AN1921" s="12"/>
      <c r="AO1921" s="12"/>
      <c r="AP1921" s="12"/>
      <c r="AQ1921" s="12"/>
      <c r="AR1921" s="12"/>
      <c r="AS1921" s="12"/>
      <c r="AT1921" s="12"/>
      <c r="AU1921" s="12"/>
      <c r="AV1921" s="12"/>
      <c r="AW1921" s="12"/>
      <c r="AX1921" s="12"/>
      <c r="AY1921" s="12"/>
      <c r="AZ1921" s="12"/>
      <c r="BA1921" s="12"/>
      <c r="BB1921" s="12"/>
      <c r="BC1921" s="12"/>
      <c r="BD1921" s="12"/>
      <c r="BE1921" s="12"/>
      <c r="BF1921" s="12"/>
      <c r="BG1921" s="12"/>
      <c r="BH1921" s="12"/>
      <c r="BI1921" s="12"/>
      <c r="BJ1921" s="12"/>
      <c r="BK1921" s="12"/>
      <c r="BL1921" s="12"/>
      <c r="BM1921" s="12"/>
      <c r="BN1921" s="12"/>
      <c r="BO1921" s="12"/>
      <c r="BP1921" s="12"/>
      <c r="BQ1921" s="12"/>
      <c r="BR1921" s="12"/>
      <c r="BS1921" s="12"/>
      <c r="BT1921" s="12"/>
    </row>
    <row r="1922" spans="1:72">
      <c r="A1922" s="2" t="s">
        <v>36369</v>
      </c>
      <c r="B1922" s="5" t="s">
        <v>36373</v>
      </c>
      <c r="C1922" s="3" t="s">
        <v>138</v>
      </c>
      <c r="D1922" s="4" t="s">
        <v>138</v>
      </c>
      <c r="E1922" s="15" t="s">
        <v>36381</v>
      </c>
      <c r="F1922" s="15" t="s">
        <v>138</v>
      </c>
      <c r="G1922" s="15" t="s">
        <v>1054</v>
      </c>
      <c r="H1922" s="7">
        <v>7</v>
      </c>
      <c r="I1922" s="6" t="s">
        <v>36385</v>
      </c>
      <c r="J1922" s="6" t="s">
        <v>43883</v>
      </c>
      <c r="K1922" s="6" t="s">
        <v>45124</v>
      </c>
      <c r="L1922" s="6" t="s">
        <v>38514</v>
      </c>
      <c r="M1922" s="6" t="s">
        <v>46120</v>
      </c>
      <c r="N1922" s="6" t="s">
        <v>38024</v>
      </c>
      <c r="O1922" s="6" t="s">
        <v>37781</v>
      </c>
      <c r="P1922" s="6" t="s">
        <v>46121</v>
      </c>
      <c r="Q1922" s="6"/>
      <c r="R1922" s="6"/>
      <c r="S1922" s="6"/>
      <c r="T1922" s="6"/>
      <c r="U1922" s="6"/>
      <c r="V1922" s="6"/>
      <c r="W1922" s="6"/>
      <c r="X1922" s="6"/>
      <c r="Y1922" s="6"/>
      <c r="Z1922" s="6"/>
      <c r="AA1922" s="6"/>
      <c r="AB1922" s="6"/>
      <c r="AC1922" s="6"/>
      <c r="AD1922" s="6"/>
      <c r="AE1922" s="6"/>
      <c r="AF1922" s="6"/>
      <c r="AG1922" s="6"/>
      <c r="AH1922" s="6"/>
      <c r="AI1922" s="6"/>
      <c r="AJ1922" s="6"/>
      <c r="AK1922" s="6"/>
      <c r="AL1922" s="6"/>
      <c r="AM1922" s="6"/>
      <c r="AN1922" s="6"/>
      <c r="AO1922" s="6"/>
      <c r="AP1922" s="6"/>
      <c r="AQ1922" s="6"/>
      <c r="AR1922" s="6"/>
      <c r="AS1922" s="6"/>
      <c r="AT1922" s="6"/>
      <c r="AU1922" s="6"/>
      <c r="AV1922" s="6"/>
      <c r="AW1922" s="6"/>
      <c r="AX1922" s="6"/>
      <c r="AY1922" s="6"/>
      <c r="AZ1922" s="6"/>
      <c r="BA1922" s="6"/>
      <c r="BB1922" s="6"/>
      <c r="BC1922" s="6"/>
      <c r="BD1922" s="6"/>
      <c r="BE1922" s="6"/>
      <c r="BF1922" s="6"/>
      <c r="BG1922" s="6"/>
      <c r="BH1922" s="6"/>
      <c r="BI1922" s="6"/>
      <c r="BJ1922" s="6"/>
      <c r="BK1922" s="6"/>
      <c r="BL1922" s="6"/>
      <c r="BM1922" s="6"/>
      <c r="BN1922" s="6"/>
      <c r="BO1922" s="6"/>
      <c r="BP1922" s="6"/>
      <c r="BQ1922" s="6"/>
      <c r="BR1922" s="6"/>
      <c r="BS1922" s="6"/>
      <c r="BT1922" s="6"/>
    </row>
    <row r="1923" spans="1:72">
      <c r="A1923" s="8" t="s">
        <v>36389</v>
      </c>
      <c r="B1923" s="11" t="s">
        <v>36394</v>
      </c>
      <c r="C1923" s="9" t="s">
        <v>138</v>
      </c>
      <c r="D1923" s="10" t="s">
        <v>138</v>
      </c>
      <c r="E1923" s="28" t="s">
        <v>3907</v>
      </c>
      <c r="F1923" s="28" t="s">
        <v>2740</v>
      </c>
      <c r="G1923" s="28" t="s">
        <v>2742</v>
      </c>
      <c r="H1923" s="13">
        <v>5</v>
      </c>
      <c r="I1923" s="12" t="s">
        <v>36404</v>
      </c>
      <c r="J1923" s="12" t="s">
        <v>38769</v>
      </c>
      <c r="K1923" s="12" t="s">
        <v>41882</v>
      </c>
      <c r="L1923" s="12" t="s">
        <v>41356</v>
      </c>
      <c r="M1923" s="12" t="s">
        <v>43378</v>
      </c>
      <c r="N1923" s="12" t="s">
        <v>37781</v>
      </c>
      <c r="O1923" s="12"/>
      <c r="P1923" s="12"/>
      <c r="Q1923" s="12"/>
      <c r="R1923" s="12"/>
      <c r="S1923" s="12"/>
      <c r="T1923" s="12"/>
      <c r="U1923" s="12"/>
      <c r="V1923" s="12"/>
      <c r="W1923" s="12"/>
      <c r="X1923" s="12"/>
      <c r="Y1923" s="12"/>
      <c r="Z1923" s="12"/>
      <c r="AA1923" s="12"/>
      <c r="AB1923" s="12"/>
      <c r="AC1923" s="12"/>
      <c r="AD1923" s="12"/>
      <c r="AE1923" s="12"/>
      <c r="AF1923" s="12"/>
      <c r="AG1923" s="12"/>
      <c r="AH1923" s="12"/>
      <c r="AI1923" s="12"/>
      <c r="AJ1923" s="12"/>
      <c r="AK1923" s="12"/>
      <c r="AL1923" s="12"/>
      <c r="AM1923" s="12"/>
      <c r="AN1923" s="12"/>
      <c r="AO1923" s="12"/>
      <c r="AP1923" s="12"/>
      <c r="AQ1923" s="12"/>
      <c r="AR1923" s="12"/>
      <c r="AS1923" s="12"/>
      <c r="AT1923" s="12"/>
      <c r="AU1923" s="12"/>
      <c r="AV1923" s="12"/>
      <c r="AW1923" s="12"/>
      <c r="AX1923" s="12"/>
      <c r="AY1923" s="12"/>
      <c r="AZ1923" s="12"/>
      <c r="BA1923" s="12"/>
      <c r="BB1923" s="12"/>
      <c r="BC1923" s="12"/>
      <c r="BD1923" s="12"/>
      <c r="BE1923" s="12"/>
      <c r="BF1923" s="12"/>
      <c r="BG1923" s="12"/>
      <c r="BH1923" s="12"/>
      <c r="BI1923" s="12"/>
      <c r="BJ1923" s="12"/>
      <c r="BK1923" s="12"/>
      <c r="BL1923" s="12"/>
      <c r="BM1923" s="12"/>
      <c r="BN1923" s="12"/>
      <c r="BO1923" s="12"/>
      <c r="BP1923" s="12"/>
      <c r="BQ1923" s="12"/>
      <c r="BR1923" s="12"/>
      <c r="BS1923" s="12"/>
      <c r="BT1923" s="12"/>
    </row>
    <row r="1924" spans="1:72">
      <c r="A1924" s="2" t="s">
        <v>36407</v>
      </c>
      <c r="B1924" s="5" t="s">
        <v>36413</v>
      </c>
      <c r="C1924" s="3" t="s">
        <v>36408</v>
      </c>
      <c r="D1924" s="4" t="s">
        <v>138</v>
      </c>
      <c r="E1924" s="15" t="s">
        <v>426</v>
      </c>
      <c r="F1924" s="15" t="s">
        <v>426</v>
      </c>
      <c r="G1924" s="15" t="s">
        <v>162</v>
      </c>
      <c r="H1924" s="7">
        <v>26</v>
      </c>
      <c r="I1924" s="6" t="s">
        <v>36422</v>
      </c>
      <c r="J1924" s="6" t="s">
        <v>37811</v>
      </c>
      <c r="K1924" s="6" t="s">
        <v>37934</v>
      </c>
      <c r="L1924" s="6" t="s">
        <v>37936</v>
      </c>
      <c r="M1924" s="6" t="s">
        <v>38106</v>
      </c>
      <c r="N1924" s="6" t="s">
        <v>38569</v>
      </c>
      <c r="O1924" s="6" t="s">
        <v>40199</v>
      </c>
      <c r="P1924" s="6" t="s">
        <v>46122</v>
      </c>
      <c r="Q1924" s="6" t="s">
        <v>37947</v>
      </c>
      <c r="R1924" s="6" t="s">
        <v>42869</v>
      </c>
      <c r="S1924" s="6" t="s">
        <v>38803</v>
      </c>
      <c r="T1924" s="6" t="s">
        <v>44835</v>
      </c>
      <c r="U1924" s="6" t="s">
        <v>38017</v>
      </c>
      <c r="V1924" s="6" t="s">
        <v>38062</v>
      </c>
      <c r="W1924" s="6" t="s">
        <v>37922</v>
      </c>
      <c r="X1924" s="6" t="s">
        <v>39362</v>
      </c>
      <c r="Y1924" s="6" t="s">
        <v>38127</v>
      </c>
      <c r="Z1924" s="6" t="s">
        <v>46123</v>
      </c>
      <c r="AA1924" s="6" t="s">
        <v>46124</v>
      </c>
      <c r="AB1924" s="6" t="s">
        <v>46125</v>
      </c>
      <c r="AC1924" s="6" t="s">
        <v>38030</v>
      </c>
      <c r="AD1924" s="6" t="s">
        <v>41041</v>
      </c>
      <c r="AE1924" s="6" t="s">
        <v>37783</v>
      </c>
      <c r="AF1924" s="6" t="s">
        <v>39656</v>
      </c>
      <c r="AG1924" s="6" t="s">
        <v>38143</v>
      </c>
      <c r="AH1924" s="6" t="s">
        <v>37976</v>
      </c>
      <c r="AI1924" s="6" t="s">
        <v>37977</v>
      </c>
      <c r="AJ1924" s="6"/>
      <c r="AK1924" s="6"/>
      <c r="AL1924" s="6"/>
      <c r="AM1924" s="6"/>
      <c r="AN1924" s="6"/>
      <c r="AO1924" s="6"/>
      <c r="AP1924" s="6"/>
      <c r="AQ1924" s="6"/>
      <c r="AR1924" s="6"/>
      <c r="AS1924" s="6"/>
      <c r="AT1924" s="6"/>
      <c r="AU1924" s="6"/>
      <c r="AV1924" s="6"/>
      <c r="AW1924" s="6"/>
      <c r="AX1924" s="6"/>
      <c r="AY1924" s="6"/>
      <c r="AZ1924" s="6"/>
      <c r="BA1924" s="6"/>
      <c r="BB1924" s="6"/>
      <c r="BC1924" s="6"/>
      <c r="BD1924" s="6"/>
      <c r="BE1924" s="6"/>
      <c r="BF1924" s="6"/>
      <c r="BG1924" s="6"/>
      <c r="BH1924" s="6"/>
      <c r="BI1924" s="6"/>
      <c r="BJ1924" s="6"/>
      <c r="BK1924" s="6"/>
      <c r="BL1924" s="6"/>
      <c r="BM1924" s="6"/>
      <c r="BN1924" s="6"/>
      <c r="BO1924" s="6"/>
      <c r="BP1924" s="6"/>
      <c r="BQ1924" s="6"/>
      <c r="BR1924" s="6"/>
      <c r="BS1924" s="6"/>
      <c r="BT1924" s="6"/>
    </row>
    <row r="1925" spans="1:72">
      <c r="A1925" s="8" t="s">
        <v>36426</v>
      </c>
      <c r="B1925" s="11" t="s">
        <v>36432</v>
      </c>
      <c r="C1925" s="9" t="s">
        <v>36427</v>
      </c>
      <c r="D1925" s="10" t="s">
        <v>138</v>
      </c>
      <c r="E1925" s="28" t="s">
        <v>2030</v>
      </c>
      <c r="F1925" s="28" t="s">
        <v>2031</v>
      </c>
      <c r="G1925" s="28" t="s">
        <v>162</v>
      </c>
      <c r="H1925" s="13">
        <v>17</v>
      </c>
      <c r="I1925" s="12" t="s">
        <v>36441</v>
      </c>
      <c r="J1925" s="12" t="s">
        <v>42765</v>
      </c>
      <c r="K1925" s="12" t="s">
        <v>44430</v>
      </c>
      <c r="L1925" s="12" t="s">
        <v>42184</v>
      </c>
      <c r="M1925" s="12" t="s">
        <v>37986</v>
      </c>
      <c r="N1925" s="12" t="s">
        <v>43208</v>
      </c>
      <c r="O1925" s="12" t="s">
        <v>38231</v>
      </c>
      <c r="P1925" s="12" t="s">
        <v>46126</v>
      </c>
      <c r="Q1925" s="12" t="s">
        <v>37787</v>
      </c>
      <c r="R1925" s="12" t="s">
        <v>40206</v>
      </c>
      <c r="S1925" s="12" t="s">
        <v>37931</v>
      </c>
      <c r="T1925" s="12" t="s">
        <v>43050</v>
      </c>
      <c r="U1925" s="12" t="s">
        <v>39081</v>
      </c>
      <c r="V1925" s="12" t="s">
        <v>43091</v>
      </c>
      <c r="W1925" s="12" t="s">
        <v>37781</v>
      </c>
      <c r="X1925" s="12" t="s">
        <v>38437</v>
      </c>
      <c r="Y1925" s="12" t="s">
        <v>39071</v>
      </c>
      <c r="Z1925" s="12" t="s">
        <v>38145</v>
      </c>
      <c r="AA1925" s="12"/>
      <c r="AB1925" s="12"/>
      <c r="AC1925" s="12"/>
      <c r="AD1925" s="12"/>
      <c r="AE1925" s="12"/>
      <c r="AF1925" s="12"/>
      <c r="AG1925" s="12"/>
      <c r="AH1925" s="12"/>
      <c r="AI1925" s="12"/>
      <c r="AJ1925" s="12"/>
      <c r="AK1925" s="12"/>
      <c r="AL1925" s="12"/>
      <c r="AM1925" s="12"/>
      <c r="AN1925" s="12"/>
      <c r="AO1925" s="12"/>
      <c r="AP1925" s="12"/>
      <c r="AQ1925" s="12"/>
      <c r="AR1925" s="12"/>
      <c r="AS1925" s="12"/>
      <c r="AT1925" s="12"/>
      <c r="AU1925" s="12"/>
      <c r="AV1925" s="12"/>
      <c r="AW1925" s="12"/>
      <c r="AX1925" s="12"/>
      <c r="AY1925" s="12"/>
      <c r="AZ1925" s="12"/>
      <c r="BA1925" s="12"/>
      <c r="BB1925" s="12"/>
      <c r="BC1925" s="12"/>
      <c r="BD1925" s="12"/>
      <c r="BE1925" s="12"/>
      <c r="BF1925" s="12"/>
      <c r="BG1925" s="12"/>
      <c r="BH1925" s="12"/>
      <c r="BI1925" s="12"/>
      <c r="BJ1925" s="12"/>
      <c r="BK1925" s="12"/>
      <c r="BL1925" s="12"/>
      <c r="BM1925" s="12"/>
      <c r="BN1925" s="12"/>
      <c r="BO1925" s="12"/>
      <c r="BP1925" s="12"/>
      <c r="BQ1925" s="12"/>
      <c r="BR1925" s="12"/>
      <c r="BS1925" s="12"/>
      <c r="BT1925" s="12"/>
    </row>
    <row r="1926" spans="1:72">
      <c r="A1926" s="2" t="s">
        <v>36445</v>
      </c>
      <c r="B1926" s="5" t="s">
        <v>36449</v>
      </c>
      <c r="C1926" s="3" t="s">
        <v>138</v>
      </c>
      <c r="D1926" s="4" t="s">
        <v>138</v>
      </c>
      <c r="E1926" s="15" t="s">
        <v>668</v>
      </c>
      <c r="F1926" s="15" t="s">
        <v>200</v>
      </c>
      <c r="G1926" s="15" t="s">
        <v>162</v>
      </c>
      <c r="H1926" s="7">
        <v>20</v>
      </c>
      <c r="I1926" s="6" t="s">
        <v>36458</v>
      </c>
      <c r="J1926" s="6" t="s">
        <v>37785</v>
      </c>
      <c r="K1926" s="6" t="s">
        <v>40346</v>
      </c>
      <c r="L1926" s="6" t="s">
        <v>38331</v>
      </c>
      <c r="M1926" s="6" t="s">
        <v>39579</v>
      </c>
      <c r="N1926" s="6" t="s">
        <v>43434</v>
      </c>
      <c r="O1926" s="6" t="s">
        <v>37786</v>
      </c>
      <c r="P1926" s="6" t="s">
        <v>37990</v>
      </c>
      <c r="Q1926" s="6" t="s">
        <v>46127</v>
      </c>
      <c r="R1926" s="6" t="s">
        <v>38126</v>
      </c>
      <c r="S1926" s="6" t="s">
        <v>40348</v>
      </c>
      <c r="T1926" s="6" t="s">
        <v>40319</v>
      </c>
      <c r="U1926" s="6" t="s">
        <v>42270</v>
      </c>
      <c r="V1926" s="6" t="s">
        <v>37781</v>
      </c>
      <c r="W1926" s="6" t="s">
        <v>46128</v>
      </c>
      <c r="X1926" s="6" t="s">
        <v>46129</v>
      </c>
      <c r="Y1926" s="6" t="s">
        <v>38343</v>
      </c>
      <c r="Z1926" s="6" t="s">
        <v>46130</v>
      </c>
      <c r="AA1926" s="6" t="s">
        <v>37784</v>
      </c>
      <c r="AB1926" s="6" t="s">
        <v>41509</v>
      </c>
      <c r="AC1926" s="6" t="s">
        <v>46131</v>
      </c>
      <c r="AD1926" s="6"/>
      <c r="AE1926" s="6"/>
      <c r="AF1926" s="6"/>
      <c r="AG1926" s="6"/>
      <c r="AH1926" s="6"/>
      <c r="AI1926" s="6"/>
      <c r="AJ1926" s="6"/>
      <c r="AK1926" s="6"/>
      <c r="AL1926" s="6"/>
      <c r="AM1926" s="6"/>
      <c r="AN1926" s="6"/>
      <c r="AO1926" s="6"/>
      <c r="AP1926" s="6"/>
      <c r="AQ1926" s="6"/>
      <c r="AR1926" s="6"/>
      <c r="AS1926" s="6"/>
      <c r="AT1926" s="6"/>
      <c r="AU1926" s="6"/>
      <c r="AV1926" s="6"/>
      <c r="AW1926" s="6"/>
      <c r="AX1926" s="6"/>
      <c r="AY1926" s="6"/>
      <c r="AZ1926" s="6"/>
      <c r="BA1926" s="6"/>
      <c r="BB1926" s="6"/>
      <c r="BC1926" s="6"/>
      <c r="BD1926" s="6"/>
      <c r="BE1926" s="6"/>
      <c r="BF1926" s="6"/>
      <c r="BG1926" s="6"/>
      <c r="BH1926" s="6"/>
      <c r="BI1926" s="6"/>
      <c r="BJ1926" s="6"/>
      <c r="BK1926" s="6"/>
      <c r="BL1926" s="6"/>
      <c r="BM1926" s="6"/>
      <c r="BN1926" s="6"/>
      <c r="BO1926" s="6"/>
      <c r="BP1926" s="6"/>
      <c r="BQ1926" s="6"/>
      <c r="BR1926" s="6"/>
      <c r="BS1926" s="6"/>
      <c r="BT1926" s="6"/>
    </row>
    <row r="1927" spans="1:72">
      <c r="A1927" s="8" t="s">
        <v>36461</v>
      </c>
      <c r="B1927" s="11" t="s">
        <v>36466</v>
      </c>
      <c r="C1927" s="9" t="s">
        <v>138</v>
      </c>
      <c r="D1927" s="10" t="s">
        <v>138</v>
      </c>
      <c r="E1927" s="28" t="s">
        <v>4900</v>
      </c>
      <c r="F1927" s="28" t="s">
        <v>200</v>
      </c>
      <c r="G1927" s="28" t="s">
        <v>162</v>
      </c>
      <c r="H1927" s="13">
        <v>28</v>
      </c>
      <c r="I1927" s="12" t="s">
        <v>36474</v>
      </c>
      <c r="J1927" s="12" t="s">
        <v>39029</v>
      </c>
      <c r="K1927" s="12" t="s">
        <v>45172</v>
      </c>
      <c r="L1927" s="12" t="s">
        <v>38663</v>
      </c>
      <c r="M1927" s="12" t="s">
        <v>44430</v>
      </c>
      <c r="N1927" s="12" t="s">
        <v>41245</v>
      </c>
      <c r="O1927" s="12" t="s">
        <v>37949</v>
      </c>
      <c r="P1927" s="12" t="s">
        <v>37775</v>
      </c>
      <c r="Q1927" s="12" t="s">
        <v>40531</v>
      </c>
      <c r="R1927" s="12" t="s">
        <v>39219</v>
      </c>
      <c r="S1927" s="12" t="s">
        <v>39057</v>
      </c>
      <c r="T1927" s="12" t="s">
        <v>38334</v>
      </c>
      <c r="U1927" s="12" t="s">
        <v>42751</v>
      </c>
      <c r="V1927" s="12" t="s">
        <v>45698</v>
      </c>
      <c r="W1927" s="12" t="s">
        <v>38850</v>
      </c>
      <c r="X1927" s="12" t="s">
        <v>39597</v>
      </c>
      <c r="Y1927" s="12" t="s">
        <v>38322</v>
      </c>
      <c r="Z1927" s="12" t="s">
        <v>42114</v>
      </c>
      <c r="AA1927" s="12" t="s">
        <v>41041</v>
      </c>
      <c r="AB1927" s="12" t="s">
        <v>46132</v>
      </c>
      <c r="AC1927" s="12" t="s">
        <v>38625</v>
      </c>
      <c r="AD1927" s="12" t="s">
        <v>45541</v>
      </c>
      <c r="AE1927" s="12" t="s">
        <v>40651</v>
      </c>
      <c r="AF1927" s="12" t="s">
        <v>44751</v>
      </c>
      <c r="AG1927" s="12" t="s">
        <v>38864</v>
      </c>
      <c r="AH1927" s="12" t="s">
        <v>38401</v>
      </c>
      <c r="AI1927" s="12" t="s">
        <v>38436</v>
      </c>
      <c r="AJ1927" s="12" t="s">
        <v>42314</v>
      </c>
      <c r="AK1927" s="12" t="s">
        <v>46133</v>
      </c>
      <c r="AL1927" s="12"/>
      <c r="AM1927" s="12"/>
      <c r="AN1927" s="12"/>
      <c r="AO1927" s="12"/>
      <c r="AP1927" s="12"/>
      <c r="AQ1927" s="12"/>
      <c r="AR1927" s="12"/>
      <c r="AS1927" s="12"/>
      <c r="AT1927" s="12"/>
      <c r="AU1927" s="12"/>
      <c r="AV1927" s="12"/>
      <c r="AW1927" s="12"/>
      <c r="AX1927" s="12"/>
      <c r="AY1927" s="12"/>
      <c r="AZ1927" s="12"/>
      <c r="BA1927" s="12"/>
      <c r="BB1927" s="12"/>
      <c r="BC1927" s="12"/>
      <c r="BD1927" s="12"/>
      <c r="BE1927" s="12"/>
      <c r="BF1927" s="12"/>
      <c r="BG1927" s="12"/>
      <c r="BH1927" s="12"/>
      <c r="BI1927" s="12"/>
      <c r="BJ1927" s="12"/>
      <c r="BK1927" s="12"/>
      <c r="BL1927" s="12"/>
      <c r="BM1927" s="12"/>
      <c r="BN1927" s="12"/>
      <c r="BO1927" s="12"/>
      <c r="BP1927" s="12"/>
      <c r="BQ1927" s="12"/>
      <c r="BR1927" s="12"/>
      <c r="BS1927" s="12"/>
      <c r="BT1927" s="12"/>
    </row>
    <row r="1928" spans="1:72">
      <c r="A1928" s="2" t="s">
        <v>36478</v>
      </c>
      <c r="B1928" s="5" t="s">
        <v>36483</v>
      </c>
      <c r="C1928" s="3" t="s">
        <v>138</v>
      </c>
      <c r="D1928" s="4" t="s">
        <v>138</v>
      </c>
      <c r="E1928" s="15" t="s">
        <v>449</v>
      </c>
      <c r="F1928" s="15" t="s">
        <v>138</v>
      </c>
      <c r="G1928" s="15" t="s">
        <v>450</v>
      </c>
      <c r="H1928" s="7">
        <v>3</v>
      </c>
      <c r="I1928" s="6" t="s">
        <v>36492</v>
      </c>
      <c r="J1928" s="6" t="s">
        <v>455</v>
      </c>
      <c r="K1928" s="6" t="s">
        <v>45999</v>
      </c>
      <c r="L1928" s="6" t="s">
        <v>46134</v>
      </c>
      <c r="M1928" s="6"/>
      <c r="N1928" s="6"/>
      <c r="O1928" s="6"/>
      <c r="P1928" s="6"/>
      <c r="Q1928" s="6"/>
      <c r="R1928" s="6"/>
      <c r="S1928" s="6"/>
      <c r="T1928" s="6"/>
      <c r="U1928" s="6"/>
      <c r="V1928" s="6"/>
      <c r="W1928" s="6"/>
      <c r="X1928" s="6"/>
      <c r="Y1928" s="6"/>
      <c r="Z1928" s="6"/>
      <c r="AA1928" s="6"/>
      <c r="AB1928" s="6"/>
      <c r="AC1928" s="6"/>
      <c r="AD1928" s="6"/>
      <c r="AE1928" s="6"/>
      <c r="AF1928" s="6"/>
      <c r="AG1928" s="6"/>
      <c r="AH1928" s="6"/>
      <c r="AI1928" s="6"/>
      <c r="AJ1928" s="6"/>
      <c r="AK1928" s="6"/>
      <c r="AL1928" s="6"/>
      <c r="AM1928" s="6"/>
      <c r="AN1928" s="6"/>
      <c r="AO1928" s="6"/>
      <c r="AP1928" s="6"/>
      <c r="AQ1928" s="6"/>
      <c r="AR1928" s="6"/>
      <c r="AS1928" s="6"/>
      <c r="AT1928" s="6"/>
      <c r="AU1928" s="6"/>
      <c r="AV1928" s="6"/>
      <c r="AW1928" s="6"/>
      <c r="AX1928" s="6"/>
      <c r="AY1928" s="6"/>
      <c r="AZ1928" s="6"/>
      <c r="BA1928" s="6"/>
      <c r="BB1928" s="6"/>
      <c r="BC1928" s="6"/>
      <c r="BD1928" s="6"/>
      <c r="BE1928" s="6"/>
      <c r="BF1928" s="6"/>
      <c r="BG1928" s="6"/>
      <c r="BH1928" s="6"/>
      <c r="BI1928" s="6"/>
      <c r="BJ1928" s="6"/>
      <c r="BK1928" s="6"/>
      <c r="BL1928" s="6"/>
      <c r="BM1928" s="6"/>
      <c r="BN1928" s="6"/>
      <c r="BO1928" s="6"/>
      <c r="BP1928" s="6"/>
      <c r="BQ1928" s="6"/>
      <c r="BR1928" s="6"/>
      <c r="BS1928" s="6"/>
      <c r="BT1928" s="6"/>
    </row>
    <row r="1929" spans="1:72">
      <c r="A1929" s="8" t="s">
        <v>36495</v>
      </c>
      <c r="B1929" s="11" t="s">
        <v>36501</v>
      </c>
      <c r="C1929" s="9" t="s">
        <v>36496</v>
      </c>
      <c r="D1929" s="10" t="s">
        <v>36497</v>
      </c>
      <c r="E1929" s="28" t="s">
        <v>36509</v>
      </c>
      <c r="F1929" s="28" t="s">
        <v>138</v>
      </c>
      <c r="G1929" s="28" t="s">
        <v>1319</v>
      </c>
      <c r="H1929" s="13">
        <v>9</v>
      </c>
      <c r="I1929" s="12" t="s">
        <v>36513</v>
      </c>
      <c r="J1929" s="12" t="s">
        <v>46135</v>
      </c>
      <c r="K1929" s="12" t="s">
        <v>39020</v>
      </c>
      <c r="L1929" s="12" t="s">
        <v>46136</v>
      </c>
      <c r="M1929" s="12" t="s">
        <v>46137</v>
      </c>
      <c r="N1929" s="12" t="s">
        <v>37901</v>
      </c>
      <c r="O1929" s="12" t="s">
        <v>46138</v>
      </c>
      <c r="P1929" s="12" t="s">
        <v>38363</v>
      </c>
      <c r="Q1929" s="12" t="s">
        <v>46139</v>
      </c>
      <c r="R1929" s="12" t="s">
        <v>40359</v>
      </c>
      <c r="S1929" s="12"/>
      <c r="T1929" s="12"/>
      <c r="U1929" s="12"/>
      <c r="V1929" s="12"/>
      <c r="W1929" s="12"/>
      <c r="X1929" s="12"/>
      <c r="Y1929" s="12"/>
      <c r="Z1929" s="12"/>
      <c r="AA1929" s="12"/>
      <c r="AB1929" s="12"/>
      <c r="AC1929" s="12"/>
      <c r="AD1929" s="12"/>
      <c r="AE1929" s="12"/>
      <c r="AF1929" s="12"/>
      <c r="AG1929" s="12"/>
      <c r="AH1929" s="12"/>
      <c r="AI1929" s="12"/>
      <c r="AJ1929" s="12"/>
      <c r="AK1929" s="12"/>
      <c r="AL1929" s="12"/>
      <c r="AM1929" s="12"/>
      <c r="AN1929" s="12"/>
      <c r="AO1929" s="12"/>
      <c r="AP1929" s="12"/>
      <c r="AQ1929" s="12"/>
      <c r="AR1929" s="12"/>
      <c r="AS1929" s="12"/>
      <c r="AT1929" s="12"/>
      <c r="AU1929" s="12"/>
      <c r="AV1929" s="12"/>
      <c r="AW1929" s="12"/>
      <c r="AX1929" s="12"/>
      <c r="AY1929" s="12"/>
      <c r="AZ1929" s="12"/>
      <c r="BA1929" s="12"/>
      <c r="BB1929" s="12"/>
      <c r="BC1929" s="12"/>
      <c r="BD1929" s="12"/>
      <c r="BE1929" s="12"/>
      <c r="BF1929" s="12"/>
      <c r="BG1929" s="12"/>
      <c r="BH1929" s="12"/>
      <c r="BI1929" s="12"/>
      <c r="BJ1929" s="12"/>
      <c r="BK1929" s="12"/>
      <c r="BL1929" s="12"/>
      <c r="BM1929" s="12"/>
      <c r="BN1929" s="12"/>
      <c r="BO1929" s="12"/>
      <c r="BP1929" s="12"/>
      <c r="BQ1929" s="12"/>
      <c r="BR1929" s="12"/>
      <c r="BS1929" s="12"/>
      <c r="BT1929" s="12"/>
    </row>
    <row r="1930" spans="1:72">
      <c r="A1930" s="2" t="s">
        <v>36517</v>
      </c>
      <c r="B1930" s="5" t="s">
        <v>36523</v>
      </c>
      <c r="C1930" s="3" t="s">
        <v>36518</v>
      </c>
      <c r="D1930" s="4" t="s">
        <v>138</v>
      </c>
      <c r="E1930" s="15" t="s">
        <v>1516</v>
      </c>
      <c r="F1930" s="15" t="s">
        <v>284</v>
      </c>
      <c r="G1930" s="15" t="s">
        <v>162</v>
      </c>
      <c r="H1930" s="7">
        <v>13</v>
      </c>
      <c r="I1930" s="6" t="s">
        <v>36534</v>
      </c>
      <c r="J1930" s="6" t="s">
        <v>46140</v>
      </c>
      <c r="K1930" s="6" t="s">
        <v>42339</v>
      </c>
      <c r="L1930" s="6" t="s">
        <v>39669</v>
      </c>
      <c r="M1930" s="6" t="s">
        <v>38318</v>
      </c>
      <c r="N1930" s="6" t="s">
        <v>37786</v>
      </c>
      <c r="O1930" s="6" t="s">
        <v>37927</v>
      </c>
      <c r="P1930" s="6" t="s">
        <v>46141</v>
      </c>
      <c r="Q1930" s="6" t="s">
        <v>37931</v>
      </c>
      <c r="R1930" s="6" t="s">
        <v>46142</v>
      </c>
      <c r="S1930" s="6" t="s">
        <v>46143</v>
      </c>
      <c r="T1930" s="6" t="s">
        <v>46144</v>
      </c>
      <c r="U1930" s="6" t="s">
        <v>38388</v>
      </c>
      <c r="V1930" s="6" t="s">
        <v>46145</v>
      </c>
      <c r="W1930" s="6"/>
      <c r="X1930" s="6"/>
      <c r="Y1930" s="6"/>
      <c r="Z1930" s="6"/>
      <c r="AA1930" s="6"/>
      <c r="AB1930" s="6"/>
      <c r="AC1930" s="6"/>
      <c r="AD1930" s="6"/>
      <c r="AE1930" s="6"/>
      <c r="AF1930" s="6"/>
      <c r="AG1930" s="6"/>
      <c r="AH1930" s="6"/>
      <c r="AI1930" s="6"/>
      <c r="AJ1930" s="6"/>
      <c r="AK1930" s="6"/>
      <c r="AL1930" s="6"/>
      <c r="AM1930" s="6"/>
      <c r="AN1930" s="6"/>
      <c r="AO1930" s="6"/>
      <c r="AP1930" s="6"/>
      <c r="AQ1930" s="6"/>
      <c r="AR1930" s="6"/>
      <c r="AS1930" s="6"/>
      <c r="AT1930" s="6"/>
      <c r="AU1930" s="6"/>
      <c r="AV1930" s="6"/>
      <c r="AW1930" s="6"/>
      <c r="AX1930" s="6"/>
      <c r="AY1930" s="6"/>
      <c r="AZ1930" s="6"/>
      <c r="BA1930" s="6"/>
      <c r="BB1930" s="6"/>
      <c r="BC1930" s="6"/>
      <c r="BD1930" s="6"/>
      <c r="BE1930" s="6"/>
      <c r="BF1930" s="6"/>
      <c r="BG1930" s="6"/>
      <c r="BH1930" s="6"/>
      <c r="BI1930" s="6"/>
      <c r="BJ1930" s="6"/>
      <c r="BK1930" s="6"/>
      <c r="BL1930" s="6"/>
      <c r="BM1930" s="6"/>
      <c r="BN1930" s="6"/>
      <c r="BO1930" s="6"/>
      <c r="BP1930" s="6"/>
      <c r="BQ1930" s="6"/>
      <c r="BR1930" s="6"/>
      <c r="BS1930" s="6"/>
      <c r="BT1930" s="6"/>
    </row>
    <row r="1931" spans="1:72">
      <c r="A1931" s="8" t="s">
        <v>36538</v>
      </c>
      <c r="B1931" s="11" t="s">
        <v>36544</v>
      </c>
      <c r="C1931" s="9" t="s">
        <v>138</v>
      </c>
      <c r="D1931" s="10" t="s">
        <v>138</v>
      </c>
      <c r="E1931" s="28" t="s">
        <v>7217</v>
      </c>
      <c r="F1931" s="28" t="s">
        <v>200</v>
      </c>
      <c r="G1931" s="28" t="s">
        <v>162</v>
      </c>
      <c r="H1931" s="13">
        <v>11</v>
      </c>
      <c r="I1931" s="12" t="s">
        <v>36552</v>
      </c>
      <c r="J1931" s="12" t="s">
        <v>46146</v>
      </c>
      <c r="K1931" s="12" t="s">
        <v>39315</v>
      </c>
      <c r="L1931" s="12" t="s">
        <v>40735</v>
      </c>
      <c r="M1931" s="12" t="s">
        <v>38521</v>
      </c>
      <c r="N1931" s="12" t="s">
        <v>39778</v>
      </c>
      <c r="O1931" s="12" t="s">
        <v>38418</v>
      </c>
      <c r="P1931" s="12" t="s">
        <v>41613</v>
      </c>
      <c r="Q1931" s="12" t="s">
        <v>39057</v>
      </c>
      <c r="R1931" s="12" t="s">
        <v>46147</v>
      </c>
      <c r="S1931" s="12" t="s">
        <v>38770</v>
      </c>
      <c r="T1931" s="12" t="s">
        <v>46148</v>
      </c>
      <c r="U1931" s="12"/>
      <c r="V1931" s="12"/>
      <c r="W1931" s="12"/>
      <c r="X1931" s="12"/>
      <c r="Y1931" s="12"/>
      <c r="Z1931" s="12"/>
      <c r="AA1931" s="12"/>
      <c r="AB1931" s="12"/>
      <c r="AC1931" s="12"/>
      <c r="AD1931" s="12"/>
      <c r="AE1931" s="12"/>
      <c r="AF1931" s="12"/>
      <c r="AG1931" s="12"/>
      <c r="AH1931" s="12"/>
      <c r="AI1931" s="12"/>
      <c r="AJ1931" s="12"/>
      <c r="AK1931" s="12"/>
      <c r="AL1931" s="12"/>
      <c r="AM1931" s="12"/>
      <c r="AN1931" s="12"/>
      <c r="AO1931" s="12"/>
      <c r="AP1931" s="12"/>
      <c r="AQ1931" s="12"/>
      <c r="AR1931" s="12"/>
      <c r="AS1931" s="12"/>
      <c r="AT1931" s="12"/>
      <c r="AU1931" s="12"/>
      <c r="AV1931" s="12"/>
      <c r="AW1931" s="12"/>
      <c r="AX1931" s="12"/>
      <c r="AY1931" s="12"/>
      <c r="AZ1931" s="12"/>
      <c r="BA1931" s="12"/>
      <c r="BB1931" s="12"/>
      <c r="BC1931" s="12"/>
      <c r="BD1931" s="12"/>
      <c r="BE1931" s="12"/>
      <c r="BF1931" s="12"/>
      <c r="BG1931" s="12"/>
      <c r="BH1931" s="12"/>
      <c r="BI1931" s="12"/>
      <c r="BJ1931" s="12"/>
      <c r="BK1931" s="12"/>
      <c r="BL1931" s="12"/>
      <c r="BM1931" s="12"/>
      <c r="BN1931" s="12"/>
      <c r="BO1931" s="12"/>
      <c r="BP1931" s="12"/>
      <c r="BQ1931" s="12"/>
      <c r="BR1931" s="12"/>
      <c r="BS1931" s="12"/>
      <c r="BT1931" s="12"/>
    </row>
    <row r="1932" spans="1:72">
      <c r="A1932" s="2" t="s">
        <v>36556</v>
      </c>
      <c r="B1932" s="5" t="s">
        <v>36561</v>
      </c>
      <c r="C1932" s="3" t="s">
        <v>36557</v>
      </c>
      <c r="D1932" s="4" t="s">
        <v>138</v>
      </c>
      <c r="E1932" s="15" t="s">
        <v>36570</v>
      </c>
      <c r="F1932" s="15" t="s">
        <v>138</v>
      </c>
      <c r="G1932" s="15" t="s">
        <v>36572</v>
      </c>
      <c r="H1932" s="7">
        <v>11</v>
      </c>
      <c r="I1932" s="6" t="s">
        <v>36576</v>
      </c>
      <c r="J1932" s="6" t="s">
        <v>38443</v>
      </c>
      <c r="K1932" s="6" t="s">
        <v>38299</v>
      </c>
      <c r="L1932" s="6" t="s">
        <v>46149</v>
      </c>
      <c r="M1932" s="6" t="s">
        <v>40086</v>
      </c>
      <c r="N1932" s="6" t="s">
        <v>46150</v>
      </c>
      <c r="O1932" s="6" t="s">
        <v>38049</v>
      </c>
      <c r="P1932" s="6" t="s">
        <v>46151</v>
      </c>
      <c r="Q1932" s="6" t="s">
        <v>46152</v>
      </c>
      <c r="R1932" s="6" t="s">
        <v>38085</v>
      </c>
      <c r="S1932" s="6" t="s">
        <v>37770</v>
      </c>
      <c r="T1932" s="6" t="s">
        <v>46153</v>
      </c>
      <c r="U1932" s="6"/>
      <c r="V1932" s="6"/>
      <c r="W1932" s="6"/>
      <c r="X1932" s="6"/>
      <c r="Y1932" s="6"/>
      <c r="Z1932" s="6"/>
      <c r="AA1932" s="6"/>
      <c r="AB1932" s="6"/>
      <c r="AC1932" s="6"/>
      <c r="AD1932" s="6"/>
      <c r="AE1932" s="6"/>
      <c r="AF1932" s="6"/>
      <c r="AG1932" s="6"/>
      <c r="AH1932" s="6"/>
      <c r="AI1932" s="6"/>
      <c r="AJ1932" s="6"/>
      <c r="AK1932" s="6"/>
      <c r="AL1932" s="6"/>
      <c r="AM1932" s="6"/>
      <c r="AN1932" s="6"/>
      <c r="AO1932" s="6"/>
      <c r="AP1932" s="6"/>
      <c r="AQ1932" s="6"/>
      <c r="AR1932" s="6"/>
      <c r="AS1932" s="6"/>
      <c r="AT1932" s="6"/>
      <c r="AU1932" s="6"/>
      <c r="AV1932" s="6"/>
      <c r="AW1932" s="6"/>
      <c r="AX1932" s="6"/>
      <c r="AY1932" s="6"/>
      <c r="AZ1932" s="6"/>
      <c r="BA1932" s="6"/>
      <c r="BB1932" s="6"/>
      <c r="BC1932" s="6"/>
      <c r="BD1932" s="6"/>
      <c r="BE1932" s="6"/>
      <c r="BF1932" s="6"/>
      <c r="BG1932" s="6"/>
      <c r="BH1932" s="6"/>
      <c r="BI1932" s="6"/>
      <c r="BJ1932" s="6"/>
      <c r="BK1932" s="6"/>
      <c r="BL1932" s="6"/>
      <c r="BM1932" s="6"/>
      <c r="BN1932" s="6"/>
      <c r="BO1932" s="6"/>
      <c r="BP1932" s="6"/>
      <c r="BQ1932" s="6"/>
      <c r="BR1932" s="6"/>
      <c r="BS1932" s="6"/>
      <c r="BT1932" s="6"/>
    </row>
    <row r="1933" spans="1:72">
      <c r="A1933" s="8" t="s">
        <v>36583</v>
      </c>
      <c r="B1933" s="11" t="s">
        <v>36586</v>
      </c>
      <c r="C1933" s="9" t="s">
        <v>138</v>
      </c>
      <c r="D1933" s="10" t="s">
        <v>138</v>
      </c>
      <c r="E1933" s="28" t="s">
        <v>3691</v>
      </c>
      <c r="F1933" s="28" t="s">
        <v>138</v>
      </c>
      <c r="G1933" s="28" t="s">
        <v>3693</v>
      </c>
      <c r="H1933" s="13">
        <v>3</v>
      </c>
      <c r="I1933" s="12" t="s">
        <v>36590</v>
      </c>
      <c r="J1933" s="12" t="s">
        <v>455</v>
      </c>
      <c r="K1933" s="12" t="s">
        <v>46154</v>
      </c>
      <c r="L1933" s="12" t="s">
        <v>41060</v>
      </c>
      <c r="M1933" s="12"/>
      <c r="N1933" s="12"/>
      <c r="O1933" s="12"/>
      <c r="P1933" s="12"/>
      <c r="Q1933" s="12"/>
      <c r="R1933" s="12"/>
      <c r="S1933" s="12"/>
      <c r="T1933" s="12"/>
      <c r="U1933" s="12"/>
      <c r="V1933" s="12"/>
      <c r="W1933" s="12"/>
      <c r="X1933" s="12"/>
      <c r="Y1933" s="12"/>
      <c r="Z1933" s="12"/>
      <c r="AA1933" s="12"/>
      <c r="AB1933" s="12"/>
      <c r="AC1933" s="12"/>
      <c r="AD1933" s="12"/>
      <c r="AE1933" s="12"/>
      <c r="AF1933" s="12"/>
      <c r="AG1933" s="12"/>
      <c r="AH1933" s="12"/>
      <c r="AI1933" s="12"/>
      <c r="AJ1933" s="12"/>
      <c r="AK1933" s="12"/>
      <c r="AL1933" s="12"/>
      <c r="AM1933" s="12"/>
      <c r="AN1933" s="12"/>
      <c r="AO1933" s="12"/>
      <c r="AP1933" s="12"/>
      <c r="AQ1933" s="12"/>
      <c r="AR1933" s="12"/>
      <c r="AS1933" s="12"/>
      <c r="AT1933" s="12"/>
      <c r="AU1933" s="12"/>
      <c r="AV1933" s="12"/>
      <c r="AW1933" s="12"/>
      <c r="AX1933" s="12"/>
      <c r="AY1933" s="12"/>
      <c r="AZ1933" s="12"/>
      <c r="BA1933" s="12"/>
      <c r="BB1933" s="12"/>
      <c r="BC1933" s="12"/>
      <c r="BD1933" s="12"/>
      <c r="BE1933" s="12"/>
      <c r="BF1933" s="12"/>
      <c r="BG1933" s="12"/>
      <c r="BH1933" s="12"/>
      <c r="BI1933" s="12"/>
      <c r="BJ1933" s="12"/>
      <c r="BK1933" s="12"/>
      <c r="BL1933" s="12"/>
      <c r="BM1933" s="12"/>
      <c r="BN1933" s="12"/>
      <c r="BO1933" s="12"/>
      <c r="BP1933" s="12"/>
      <c r="BQ1933" s="12"/>
      <c r="BR1933" s="12"/>
      <c r="BS1933" s="12"/>
      <c r="BT1933" s="12"/>
    </row>
    <row r="1934" spans="1:72">
      <c r="A1934" s="2" t="s">
        <v>36593</v>
      </c>
      <c r="B1934" s="5" t="s">
        <v>36596</v>
      </c>
      <c r="C1934" s="3" t="s">
        <v>138</v>
      </c>
      <c r="D1934" s="4" t="s">
        <v>138</v>
      </c>
      <c r="E1934" s="15" t="s">
        <v>6575</v>
      </c>
      <c r="F1934" s="15" t="s">
        <v>6576</v>
      </c>
      <c r="G1934" s="15" t="s">
        <v>162</v>
      </c>
      <c r="H1934" s="7">
        <v>17</v>
      </c>
      <c r="I1934" s="6" t="s">
        <v>36606</v>
      </c>
      <c r="J1934" s="6" t="s">
        <v>46155</v>
      </c>
      <c r="K1934" s="6" t="s">
        <v>41227</v>
      </c>
      <c r="L1934" s="6" t="s">
        <v>46156</v>
      </c>
      <c r="M1934" s="6" t="s">
        <v>45172</v>
      </c>
      <c r="N1934" s="6" t="s">
        <v>46157</v>
      </c>
      <c r="O1934" s="6" t="s">
        <v>46158</v>
      </c>
      <c r="P1934" s="6" t="s">
        <v>46159</v>
      </c>
      <c r="Q1934" s="6" t="s">
        <v>40346</v>
      </c>
      <c r="R1934" s="6" t="s">
        <v>38210</v>
      </c>
      <c r="S1934" s="6" t="s">
        <v>38392</v>
      </c>
      <c r="T1934" s="6" t="s">
        <v>42010</v>
      </c>
      <c r="U1934" s="6" t="s">
        <v>37947</v>
      </c>
      <c r="V1934" s="6" t="s">
        <v>46160</v>
      </c>
      <c r="W1934" s="6" t="s">
        <v>38453</v>
      </c>
      <c r="X1934" s="6" t="s">
        <v>46161</v>
      </c>
      <c r="Y1934" s="6" t="s">
        <v>46162</v>
      </c>
      <c r="Z1934" s="6" t="s">
        <v>38073</v>
      </c>
      <c r="AA1934" s="6"/>
      <c r="AB1934" s="6"/>
      <c r="AC1934" s="6"/>
      <c r="AD1934" s="6"/>
      <c r="AE1934" s="6"/>
      <c r="AF1934" s="6"/>
      <c r="AG1934" s="6"/>
      <c r="AH1934" s="6"/>
      <c r="AI1934" s="6"/>
      <c r="AJ1934" s="6"/>
      <c r="AK1934" s="6"/>
      <c r="AL1934" s="6"/>
      <c r="AM1934" s="6"/>
      <c r="AN1934" s="6"/>
      <c r="AO1934" s="6"/>
      <c r="AP1934" s="6"/>
      <c r="AQ1934" s="6"/>
      <c r="AR1934" s="6"/>
      <c r="AS1934" s="6"/>
      <c r="AT1934" s="6"/>
      <c r="AU1934" s="6"/>
      <c r="AV1934" s="6"/>
      <c r="AW1934" s="6"/>
      <c r="AX1934" s="6"/>
      <c r="AY1934" s="6"/>
      <c r="AZ1934" s="6"/>
      <c r="BA1934" s="6"/>
      <c r="BB1934" s="6"/>
      <c r="BC1934" s="6"/>
      <c r="BD1934" s="6"/>
      <c r="BE1934" s="6"/>
      <c r="BF1934" s="6"/>
      <c r="BG1934" s="6"/>
      <c r="BH1934" s="6"/>
      <c r="BI1934" s="6"/>
      <c r="BJ1934" s="6"/>
      <c r="BK1934" s="6"/>
      <c r="BL1934" s="6"/>
      <c r="BM1934" s="6"/>
      <c r="BN1934" s="6"/>
      <c r="BO1934" s="6"/>
      <c r="BP1934" s="6"/>
      <c r="BQ1934" s="6"/>
      <c r="BR1934" s="6"/>
      <c r="BS1934" s="6"/>
      <c r="BT1934" s="6"/>
    </row>
    <row r="1935" spans="1:72">
      <c r="A1935" s="8" t="s">
        <v>36609</v>
      </c>
      <c r="B1935" s="11" t="s">
        <v>36613</v>
      </c>
      <c r="C1935" s="9" t="s">
        <v>138</v>
      </c>
      <c r="D1935" s="10" t="s">
        <v>138</v>
      </c>
      <c r="E1935" s="28" t="s">
        <v>1223</v>
      </c>
      <c r="F1935" s="28" t="s">
        <v>200</v>
      </c>
      <c r="G1935" s="28" t="s">
        <v>162</v>
      </c>
      <c r="H1935" s="13">
        <v>2</v>
      </c>
      <c r="I1935" s="12" t="s">
        <v>36622</v>
      </c>
      <c r="J1935" s="12" t="s">
        <v>46163</v>
      </c>
      <c r="K1935" s="12" t="s">
        <v>39201</v>
      </c>
      <c r="L1935" s="12"/>
      <c r="M1935" s="12"/>
      <c r="N1935" s="12"/>
      <c r="O1935" s="12"/>
      <c r="P1935" s="12"/>
      <c r="Q1935" s="12"/>
      <c r="R1935" s="12"/>
      <c r="S1935" s="12"/>
      <c r="T1935" s="12"/>
      <c r="U1935" s="12"/>
      <c r="V1935" s="12"/>
      <c r="W1935" s="12"/>
      <c r="X1935" s="12"/>
      <c r="Y1935" s="12"/>
      <c r="Z1935" s="12"/>
      <c r="AA1935" s="12"/>
      <c r="AB1935" s="12"/>
      <c r="AC1935" s="12"/>
      <c r="AD1935" s="12"/>
      <c r="AE1935" s="12"/>
      <c r="AF1935" s="12"/>
      <c r="AG1935" s="12"/>
      <c r="AH1935" s="12"/>
      <c r="AI1935" s="12"/>
      <c r="AJ1935" s="12"/>
      <c r="AK1935" s="12"/>
      <c r="AL1935" s="12"/>
      <c r="AM1935" s="12"/>
      <c r="AN1935" s="12"/>
      <c r="AO1935" s="12"/>
      <c r="AP1935" s="12"/>
      <c r="AQ1935" s="12"/>
      <c r="AR1935" s="12"/>
      <c r="AS1935" s="12"/>
      <c r="AT1935" s="12"/>
      <c r="AU1935" s="12"/>
      <c r="AV1935" s="12"/>
      <c r="AW1935" s="12"/>
      <c r="AX1935" s="12"/>
      <c r="AY1935" s="12"/>
      <c r="AZ1935" s="12"/>
      <c r="BA1935" s="12"/>
      <c r="BB1935" s="12"/>
      <c r="BC1935" s="12"/>
      <c r="BD1935" s="12"/>
      <c r="BE1935" s="12"/>
      <c r="BF1935" s="12"/>
      <c r="BG1935" s="12"/>
      <c r="BH1935" s="12"/>
      <c r="BI1935" s="12"/>
      <c r="BJ1935" s="12"/>
      <c r="BK1935" s="12"/>
      <c r="BL1935" s="12"/>
      <c r="BM1935" s="12"/>
      <c r="BN1935" s="12"/>
      <c r="BO1935" s="12"/>
      <c r="BP1935" s="12"/>
      <c r="BQ1935" s="12"/>
      <c r="BR1935" s="12"/>
      <c r="BS1935" s="12"/>
      <c r="BT1935" s="12"/>
    </row>
    <row r="1936" spans="1:72">
      <c r="A1936" s="2" t="s">
        <v>36625</v>
      </c>
      <c r="B1936" s="5" t="s">
        <v>36631</v>
      </c>
      <c r="C1936" s="3" t="s">
        <v>138</v>
      </c>
      <c r="D1936" s="4" t="s">
        <v>138</v>
      </c>
      <c r="E1936" s="15" t="s">
        <v>8837</v>
      </c>
      <c r="F1936" s="15" t="s">
        <v>864</v>
      </c>
      <c r="G1936" s="15" t="s">
        <v>162</v>
      </c>
      <c r="H1936" s="7">
        <v>30</v>
      </c>
      <c r="I1936" s="6" t="s">
        <v>36639</v>
      </c>
      <c r="J1936" s="6" t="s">
        <v>46164</v>
      </c>
      <c r="K1936" s="6" t="s">
        <v>39315</v>
      </c>
      <c r="L1936" s="6" t="s">
        <v>40478</v>
      </c>
      <c r="M1936" s="6" t="s">
        <v>46165</v>
      </c>
      <c r="N1936" s="6" t="s">
        <v>45128</v>
      </c>
      <c r="O1936" s="6" t="s">
        <v>39115</v>
      </c>
      <c r="P1936" s="6" t="s">
        <v>39389</v>
      </c>
      <c r="Q1936" s="6" t="s">
        <v>46166</v>
      </c>
      <c r="R1936" s="6" t="s">
        <v>46167</v>
      </c>
      <c r="S1936" s="6" t="s">
        <v>39463</v>
      </c>
      <c r="T1936" s="6" t="s">
        <v>46168</v>
      </c>
      <c r="U1936" s="6" t="s">
        <v>46169</v>
      </c>
      <c r="V1936" s="6" t="s">
        <v>38062</v>
      </c>
      <c r="W1936" s="6" t="s">
        <v>46170</v>
      </c>
      <c r="X1936" s="6" t="s">
        <v>46171</v>
      </c>
      <c r="Y1936" s="6" t="s">
        <v>39180</v>
      </c>
      <c r="Z1936" s="6" t="s">
        <v>38770</v>
      </c>
      <c r="AA1936" s="6" t="s">
        <v>38063</v>
      </c>
      <c r="AB1936" s="6" t="s">
        <v>38806</v>
      </c>
      <c r="AC1936" s="6" t="s">
        <v>46172</v>
      </c>
      <c r="AD1936" s="6" t="s">
        <v>38321</v>
      </c>
      <c r="AE1936" s="6" t="s">
        <v>41897</v>
      </c>
      <c r="AF1936" s="6" t="s">
        <v>46173</v>
      </c>
      <c r="AG1936" s="6" t="s">
        <v>46174</v>
      </c>
      <c r="AH1936" s="6" t="s">
        <v>41707</v>
      </c>
      <c r="AI1936" s="6" t="s">
        <v>46175</v>
      </c>
      <c r="AJ1936" s="6" t="s">
        <v>39351</v>
      </c>
      <c r="AK1936" s="6" t="s">
        <v>38240</v>
      </c>
      <c r="AL1936" s="6" t="s">
        <v>40076</v>
      </c>
      <c r="AM1936" s="6" t="s">
        <v>43935</v>
      </c>
      <c r="AN1936" s="6"/>
      <c r="AO1936" s="6"/>
      <c r="AP1936" s="6"/>
      <c r="AQ1936" s="6"/>
      <c r="AR1936" s="6"/>
      <c r="AS1936" s="6"/>
      <c r="AT1936" s="6"/>
      <c r="AU1936" s="6"/>
      <c r="AV1936" s="6"/>
      <c r="AW1936" s="6"/>
      <c r="AX1936" s="6"/>
      <c r="AY1936" s="6"/>
      <c r="AZ1936" s="6"/>
      <c r="BA1936" s="6"/>
      <c r="BB1936" s="6"/>
      <c r="BC1936" s="6"/>
      <c r="BD1936" s="6"/>
      <c r="BE1936" s="6"/>
      <c r="BF1936" s="6"/>
      <c r="BG1936" s="6"/>
      <c r="BH1936" s="6"/>
      <c r="BI1936" s="6"/>
      <c r="BJ1936" s="6"/>
      <c r="BK1936" s="6"/>
      <c r="BL1936" s="6"/>
      <c r="BM1936" s="6"/>
      <c r="BN1936" s="6"/>
      <c r="BO1936" s="6"/>
      <c r="BP1936" s="6"/>
      <c r="BQ1936" s="6"/>
      <c r="BR1936" s="6"/>
      <c r="BS1936" s="6"/>
      <c r="BT1936" s="6"/>
    </row>
    <row r="1937" spans="1:72">
      <c r="A1937" s="8" t="s">
        <v>36644</v>
      </c>
      <c r="B1937" s="11" t="s">
        <v>36649</v>
      </c>
      <c r="C1937" s="9" t="s">
        <v>138</v>
      </c>
      <c r="D1937" s="10" t="s">
        <v>138</v>
      </c>
      <c r="E1937" s="28" t="s">
        <v>2694</v>
      </c>
      <c r="F1937" s="28" t="s">
        <v>138</v>
      </c>
      <c r="G1937" s="28" t="s">
        <v>1054</v>
      </c>
      <c r="H1937" s="13">
        <v>12</v>
      </c>
      <c r="I1937" s="12" t="s">
        <v>36658</v>
      </c>
      <c r="J1937" s="12" t="s">
        <v>46176</v>
      </c>
      <c r="K1937" s="12" t="s">
        <v>46177</v>
      </c>
      <c r="L1937" s="12" t="s">
        <v>46178</v>
      </c>
      <c r="M1937" s="12" t="s">
        <v>38096</v>
      </c>
      <c r="N1937" s="12" t="s">
        <v>46179</v>
      </c>
      <c r="O1937" s="12" t="s">
        <v>40776</v>
      </c>
      <c r="P1937" s="12" t="s">
        <v>46180</v>
      </c>
      <c r="Q1937" s="12" t="s">
        <v>46181</v>
      </c>
      <c r="R1937" s="12" t="s">
        <v>38514</v>
      </c>
      <c r="S1937" s="12" t="s">
        <v>41146</v>
      </c>
      <c r="T1937" s="12" t="s">
        <v>46182</v>
      </c>
      <c r="U1937" s="12" t="s">
        <v>41611</v>
      </c>
      <c r="V1937" s="12"/>
      <c r="W1937" s="12"/>
      <c r="X1937" s="12"/>
      <c r="Y1937" s="12"/>
      <c r="Z1937" s="12"/>
      <c r="AA1937" s="12"/>
      <c r="AB1937" s="12"/>
      <c r="AC1937" s="12"/>
      <c r="AD1937" s="12"/>
      <c r="AE1937" s="12"/>
      <c r="AF1937" s="12"/>
      <c r="AG1937" s="12"/>
      <c r="AH1937" s="12"/>
      <c r="AI1937" s="12"/>
      <c r="AJ1937" s="12"/>
      <c r="AK1937" s="12"/>
      <c r="AL1937" s="12"/>
      <c r="AM1937" s="12"/>
      <c r="AN1937" s="12"/>
      <c r="AO1937" s="12"/>
      <c r="AP1937" s="12"/>
      <c r="AQ1937" s="12"/>
      <c r="AR1937" s="12"/>
      <c r="AS1937" s="12"/>
      <c r="AT1937" s="12"/>
      <c r="AU1937" s="12"/>
      <c r="AV1937" s="12"/>
      <c r="AW1937" s="12"/>
      <c r="AX1937" s="12"/>
      <c r="AY1937" s="12"/>
      <c r="AZ1937" s="12"/>
      <c r="BA1937" s="12"/>
      <c r="BB1937" s="12"/>
      <c r="BC1937" s="12"/>
      <c r="BD1937" s="12"/>
      <c r="BE1937" s="12"/>
      <c r="BF1937" s="12"/>
      <c r="BG1937" s="12"/>
      <c r="BH1937" s="12"/>
      <c r="BI1937" s="12"/>
      <c r="BJ1937" s="12"/>
      <c r="BK1937" s="12"/>
      <c r="BL1937" s="12"/>
      <c r="BM1937" s="12"/>
      <c r="BN1937" s="12"/>
      <c r="BO1937" s="12"/>
      <c r="BP1937" s="12"/>
      <c r="BQ1937" s="12"/>
      <c r="BR1937" s="12"/>
      <c r="BS1937" s="12"/>
      <c r="BT1937" s="12"/>
    </row>
    <row r="1938" spans="1:72">
      <c r="A1938" s="2" t="s">
        <v>36661</v>
      </c>
      <c r="B1938" s="5" t="s">
        <v>36667</v>
      </c>
      <c r="C1938" s="3" t="s">
        <v>36662</v>
      </c>
      <c r="D1938" s="4" t="s">
        <v>138</v>
      </c>
      <c r="E1938" s="15" t="s">
        <v>36674</v>
      </c>
      <c r="F1938" s="15" t="s">
        <v>2031</v>
      </c>
      <c r="G1938" s="15" t="s">
        <v>162</v>
      </c>
      <c r="H1938" s="7">
        <v>14</v>
      </c>
      <c r="I1938" s="6" t="s">
        <v>36679</v>
      </c>
      <c r="J1938" s="6" t="s">
        <v>46183</v>
      </c>
      <c r="K1938" s="6" t="s">
        <v>45530</v>
      </c>
      <c r="L1938" s="6" t="s">
        <v>46184</v>
      </c>
      <c r="M1938" s="6" t="s">
        <v>46185</v>
      </c>
      <c r="N1938" s="6" t="s">
        <v>38062</v>
      </c>
      <c r="O1938" s="6" t="s">
        <v>46186</v>
      </c>
      <c r="P1938" s="6" t="s">
        <v>42617</v>
      </c>
      <c r="Q1938" s="6" t="s">
        <v>44158</v>
      </c>
      <c r="R1938" s="6" t="s">
        <v>46187</v>
      </c>
      <c r="S1938" s="6" t="s">
        <v>45877</v>
      </c>
      <c r="T1938" s="6" t="s">
        <v>37868</v>
      </c>
      <c r="U1938" s="6" t="s">
        <v>39351</v>
      </c>
      <c r="V1938" s="6" t="s">
        <v>45095</v>
      </c>
      <c r="W1938" s="6" t="s">
        <v>41378</v>
      </c>
      <c r="X1938" s="6"/>
      <c r="Y1938" s="6"/>
      <c r="Z1938" s="6"/>
      <c r="AA1938" s="6"/>
      <c r="AB1938" s="6"/>
      <c r="AC1938" s="6"/>
      <c r="AD1938" s="6"/>
      <c r="AE1938" s="6"/>
      <c r="AF1938" s="6"/>
      <c r="AG1938" s="6"/>
      <c r="AH1938" s="6"/>
      <c r="AI1938" s="6"/>
      <c r="AJ1938" s="6"/>
      <c r="AK1938" s="6"/>
      <c r="AL1938" s="6"/>
      <c r="AM1938" s="6"/>
      <c r="AN1938" s="6"/>
      <c r="AO1938" s="6"/>
      <c r="AP1938" s="6"/>
      <c r="AQ1938" s="6"/>
      <c r="AR1938" s="6"/>
      <c r="AS1938" s="6"/>
      <c r="AT1938" s="6"/>
      <c r="AU1938" s="6"/>
      <c r="AV1938" s="6"/>
      <c r="AW1938" s="6"/>
      <c r="AX1938" s="6"/>
      <c r="AY1938" s="6"/>
      <c r="AZ1938" s="6"/>
      <c r="BA1938" s="6"/>
      <c r="BB1938" s="6"/>
      <c r="BC1938" s="6"/>
      <c r="BD1938" s="6"/>
      <c r="BE1938" s="6"/>
      <c r="BF1938" s="6"/>
      <c r="BG1938" s="6"/>
      <c r="BH1938" s="6"/>
      <c r="BI1938" s="6"/>
      <c r="BJ1938" s="6"/>
      <c r="BK1938" s="6"/>
      <c r="BL1938" s="6"/>
      <c r="BM1938" s="6"/>
      <c r="BN1938" s="6"/>
      <c r="BO1938" s="6"/>
      <c r="BP1938" s="6"/>
      <c r="BQ1938" s="6"/>
      <c r="BR1938" s="6"/>
      <c r="BS1938" s="6"/>
      <c r="BT1938" s="6"/>
    </row>
    <row r="1939" spans="1:72">
      <c r="A1939" s="8" t="s">
        <v>36684</v>
      </c>
      <c r="B1939" s="11" t="s">
        <v>138</v>
      </c>
      <c r="C1939" s="9" t="s">
        <v>138</v>
      </c>
      <c r="D1939" s="10" t="s">
        <v>138</v>
      </c>
      <c r="E1939" s="28" t="s">
        <v>642</v>
      </c>
      <c r="F1939" s="28" t="s">
        <v>474</v>
      </c>
      <c r="G1939" s="28" t="s">
        <v>162</v>
      </c>
      <c r="H1939" s="13" t="s">
        <v>138</v>
      </c>
      <c r="I1939" s="12" t="s">
        <v>138</v>
      </c>
      <c r="J1939" s="12"/>
      <c r="K1939" s="12"/>
      <c r="L1939" s="12"/>
      <c r="M1939" s="12"/>
      <c r="N1939" s="12"/>
      <c r="O1939" s="12"/>
      <c r="P1939" s="12"/>
      <c r="Q1939" s="12"/>
      <c r="R1939" s="12"/>
      <c r="S1939" s="12"/>
      <c r="T1939" s="12"/>
      <c r="U1939" s="12"/>
      <c r="V1939" s="12"/>
      <c r="W1939" s="12"/>
      <c r="X1939" s="12"/>
      <c r="Y1939" s="12"/>
      <c r="Z1939" s="12"/>
      <c r="AA1939" s="12"/>
      <c r="AB1939" s="12"/>
      <c r="AC1939" s="12"/>
      <c r="AD1939" s="12"/>
      <c r="AE1939" s="12"/>
      <c r="AF1939" s="12"/>
      <c r="AG1939" s="12"/>
      <c r="AH1939" s="12"/>
      <c r="AI1939" s="12"/>
      <c r="AJ1939" s="12"/>
      <c r="AK1939" s="12"/>
      <c r="AL1939" s="12"/>
      <c r="AM1939" s="12"/>
      <c r="AN1939" s="12"/>
      <c r="AO1939" s="12"/>
      <c r="AP1939" s="12"/>
      <c r="AQ1939" s="12"/>
      <c r="AR1939" s="12"/>
      <c r="AS1939" s="12"/>
      <c r="AT1939" s="12"/>
      <c r="AU1939" s="12"/>
      <c r="AV1939" s="12"/>
      <c r="AW1939" s="12"/>
      <c r="AX1939" s="12"/>
      <c r="AY1939" s="12"/>
      <c r="AZ1939" s="12"/>
      <c r="BA1939" s="12"/>
      <c r="BB1939" s="12"/>
      <c r="BC1939" s="12"/>
      <c r="BD1939" s="12"/>
      <c r="BE1939" s="12"/>
      <c r="BF1939" s="12"/>
      <c r="BG1939" s="12"/>
      <c r="BH1939" s="12"/>
      <c r="BI1939" s="12"/>
      <c r="BJ1939" s="12"/>
      <c r="BK1939" s="12"/>
      <c r="BL1939" s="12"/>
      <c r="BM1939" s="12"/>
      <c r="BN1939" s="12"/>
      <c r="BO1939" s="12"/>
      <c r="BP1939" s="12"/>
      <c r="BQ1939" s="12"/>
      <c r="BR1939" s="12"/>
      <c r="BS1939" s="12"/>
      <c r="BT1939" s="12"/>
    </row>
    <row r="1940" spans="1:72">
      <c r="A1940" s="2" t="s">
        <v>36692</v>
      </c>
      <c r="B1940" s="5" t="s">
        <v>36696</v>
      </c>
      <c r="C1940" s="3" t="s">
        <v>138</v>
      </c>
      <c r="D1940" s="4" t="s">
        <v>36693</v>
      </c>
      <c r="E1940" s="15" t="s">
        <v>5720</v>
      </c>
      <c r="F1940" s="15" t="s">
        <v>138</v>
      </c>
      <c r="G1940" s="15" t="s">
        <v>946</v>
      </c>
      <c r="H1940" s="7" t="s">
        <v>138</v>
      </c>
      <c r="I1940" s="6" t="s">
        <v>138</v>
      </c>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c r="AG1940" s="6"/>
      <c r="AH1940" s="6"/>
      <c r="AI1940" s="6"/>
      <c r="AJ1940" s="6"/>
      <c r="AK1940" s="6"/>
      <c r="AL1940" s="6"/>
      <c r="AM1940" s="6"/>
      <c r="AN1940" s="6"/>
      <c r="AO1940" s="6"/>
      <c r="AP1940" s="6"/>
      <c r="AQ1940" s="6"/>
      <c r="AR1940" s="6"/>
      <c r="AS1940" s="6"/>
      <c r="AT1940" s="6"/>
      <c r="AU1940" s="6"/>
      <c r="AV1940" s="6"/>
      <c r="AW1940" s="6"/>
      <c r="AX1940" s="6"/>
      <c r="AY1940" s="6"/>
      <c r="AZ1940" s="6"/>
      <c r="BA1940" s="6"/>
      <c r="BB1940" s="6"/>
      <c r="BC1940" s="6"/>
      <c r="BD1940" s="6"/>
      <c r="BE1940" s="6"/>
      <c r="BF1940" s="6"/>
      <c r="BG1940" s="6"/>
      <c r="BH1940" s="6"/>
      <c r="BI1940" s="6"/>
      <c r="BJ1940" s="6"/>
      <c r="BK1940" s="6"/>
      <c r="BL1940" s="6"/>
      <c r="BM1940" s="6"/>
      <c r="BN1940" s="6"/>
      <c r="BO1940" s="6"/>
      <c r="BP1940" s="6"/>
      <c r="BQ1940" s="6"/>
      <c r="BR1940" s="6"/>
      <c r="BS1940" s="6"/>
      <c r="BT1940" s="6"/>
    </row>
    <row r="1941" spans="1:72">
      <c r="A1941" s="8" t="s">
        <v>36707</v>
      </c>
      <c r="B1941" s="11" t="s">
        <v>36710</v>
      </c>
      <c r="C1941" s="9" t="s">
        <v>138</v>
      </c>
      <c r="D1941" s="10" t="s">
        <v>138</v>
      </c>
      <c r="E1941" s="28" t="s">
        <v>29340</v>
      </c>
      <c r="F1941" s="28" t="s">
        <v>371</v>
      </c>
      <c r="G1941" s="28" t="s">
        <v>162</v>
      </c>
      <c r="H1941" s="13">
        <v>1</v>
      </c>
      <c r="I1941" s="12" t="s">
        <v>36719</v>
      </c>
      <c r="J1941" s="12" t="s">
        <v>36719</v>
      </c>
      <c r="K1941" s="12"/>
      <c r="L1941" s="12"/>
      <c r="M1941" s="12"/>
      <c r="N1941" s="12"/>
      <c r="O1941" s="12"/>
      <c r="P1941" s="12"/>
      <c r="Q1941" s="12"/>
      <c r="R1941" s="12"/>
      <c r="S1941" s="12"/>
      <c r="T1941" s="12"/>
      <c r="U1941" s="12"/>
      <c r="V1941" s="12"/>
      <c r="W1941" s="12"/>
      <c r="X1941" s="12"/>
      <c r="Y1941" s="12"/>
      <c r="Z1941" s="12"/>
      <c r="AA1941" s="12"/>
      <c r="AB1941" s="12"/>
      <c r="AC1941" s="12"/>
      <c r="AD1941" s="12"/>
      <c r="AE1941" s="12"/>
      <c r="AF1941" s="12"/>
      <c r="AG1941" s="12"/>
      <c r="AH1941" s="12"/>
      <c r="AI1941" s="12"/>
      <c r="AJ1941" s="12"/>
      <c r="AK1941" s="12"/>
      <c r="AL1941" s="12"/>
      <c r="AM1941" s="12"/>
      <c r="AN1941" s="12"/>
      <c r="AO1941" s="12"/>
      <c r="AP1941" s="12"/>
      <c r="AQ1941" s="12"/>
      <c r="AR1941" s="12"/>
      <c r="AS1941" s="12"/>
      <c r="AT1941" s="12"/>
      <c r="AU1941" s="12"/>
      <c r="AV1941" s="12"/>
      <c r="AW1941" s="12"/>
      <c r="AX1941" s="12"/>
      <c r="AY1941" s="12"/>
      <c r="AZ1941" s="12"/>
      <c r="BA1941" s="12"/>
      <c r="BB1941" s="12"/>
      <c r="BC1941" s="12"/>
      <c r="BD1941" s="12"/>
      <c r="BE1941" s="12"/>
      <c r="BF1941" s="12"/>
      <c r="BG1941" s="12"/>
      <c r="BH1941" s="12"/>
      <c r="BI1941" s="12"/>
      <c r="BJ1941" s="12"/>
      <c r="BK1941" s="12"/>
      <c r="BL1941" s="12"/>
      <c r="BM1941" s="12"/>
      <c r="BN1941" s="12"/>
      <c r="BO1941" s="12"/>
      <c r="BP1941" s="12"/>
      <c r="BQ1941" s="12"/>
      <c r="BR1941" s="12"/>
      <c r="BS1941" s="12"/>
      <c r="BT1941" s="12"/>
    </row>
    <row r="1942" spans="1:72">
      <c r="A1942" s="2" t="s">
        <v>36722</v>
      </c>
      <c r="B1942" s="5" t="s">
        <v>36728</v>
      </c>
      <c r="C1942" s="3" t="s">
        <v>36723</v>
      </c>
      <c r="D1942" s="4" t="s">
        <v>138</v>
      </c>
      <c r="E1942" s="15" t="s">
        <v>10537</v>
      </c>
      <c r="F1942" s="15" t="s">
        <v>5271</v>
      </c>
      <c r="G1942" s="15" t="s">
        <v>162</v>
      </c>
      <c r="H1942" s="7">
        <v>12</v>
      </c>
      <c r="I1942" s="6" t="s">
        <v>36737</v>
      </c>
      <c r="J1942" s="6" t="s">
        <v>42529</v>
      </c>
      <c r="K1942" s="6" t="s">
        <v>39315</v>
      </c>
      <c r="L1942" s="6" t="s">
        <v>40277</v>
      </c>
      <c r="M1942" s="6" t="s">
        <v>39704</v>
      </c>
      <c r="N1942" s="6" t="s">
        <v>46188</v>
      </c>
      <c r="O1942" s="6" t="s">
        <v>46189</v>
      </c>
      <c r="P1942" s="6" t="s">
        <v>39278</v>
      </c>
      <c r="Q1942" s="6" t="s">
        <v>41855</v>
      </c>
      <c r="R1942" s="6" t="s">
        <v>40910</v>
      </c>
      <c r="S1942" s="6" t="s">
        <v>39454</v>
      </c>
      <c r="T1942" s="6" t="s">
        <v>41707</v>
      </c>
      <c r="U1942" s="6" t="s">
        <v>43935</v>
      </c>
      <c r="V1942" s="6"/>
      <c r="W1942" s="6"/>
      <c r="X1942" s="6"/>
      <c r="Y1942" s="6"/>
      <c r="Z1942" s="6"/>
      <c r="AA1942" s="6"/>
      <c r="AB1942" s="6"/>
      <c r="AC1942" s="6"/>
      <c r="AD1942" s="6"/>
      <c r="AE1942" s="6"/>
      <c r="AF1942" s="6"/>
      <c r="AG1942" s="6"/>
      <c r="AH1942" s="6"/>
      <c r="AI1942" s="6"/>
      <c r="AJ1942" s="6"/>
      <c r="AK1942" s="6"/>
      <c r="AL1942" s="6"/>
      <c r="AM1942" s="6"/>
      <c r="AN1942" s="6"/>
      <c r="AO1942" s="6"/>
      <c r="AP1942" s="6"/>
      <c r="AQ1942" s="6"/>
      <c r="AR1942" s="6"/>
      <c r="AS1942" s="6"/>
      <c r="AT1942" s="6"/>
      <c r="AU1942" s="6"/>
      <c r="AV1942" s="6"/>
      <c r="AW1942" s="6"/>
      <c r="AX1942" s="6"/>
      <c r="AY1942" s="6"/>
      <c r="AZ1942" s="6"/>
      <c r="BA1942" s="6"/>
      <c r="BB1942" s="6"/>
      <c r="BC1942" s="6"/>
      <c r="BD1942" s="6"/>
      <c r="BE1942" s="6"/>
      <c r="BF1942" s="6"/>
      <c r="BG1942" s="6"/>
      <c r="BH1942" s="6"/>
      <c r="BI1942" s="6"/>
      <c r="BJ1942" s="6"/>
      <c r="BK1942" s="6"/>
      <c r="BL1942" s="6"/>
      <c r="BM1942" s="6"/>
      <c r="BN1942" s="6"/>
      <c r="BO1942" s="6"/>
      <c r="BP1942" s="6"/>
      <c r="BQ1942" s="6"/>
      <c r="BR1942" s="6"/>
      <c r="BS1942" s="6"/>
      <c r="BT1942" s="6"/>
    </row>
    <row r="1943" spans="1:72">
      <c r="A1943" s="8" t="s">
        <v>36742</v>
      </c>
      <c r="B1943" s="11" t="s">
        <v>36748</v>
      </c>
      <c r="C1943" s="9" t="s">
        <v>138</v>
      </c>
      <c r="D1943" s="10" t="s">
        <v>36743</v>
      </c>
      <c r="E1943" s="28" t="s">
        <v>668</v>
      </c>
      <c r="F1943" s="28" t="s">
        <v>200</v>
      </c>
      <c r="G1943" s="28" t="s">
        <v>162</v>
      </c>
      <c r="H1943" s="13">
        <v>26</v>
      </c>
      <c r="I1943" s="12" t="s">
        <v>36755</v>
      </c>
      <c r="J1943" s="12" t="s">
        <v>38519</v>
      </c>
      <c r="K1943" s="12" t="s">
        <v>41228</v>
      </c>
      <c r="L1943" s="12" t="s">
        <v>38412</v>
      </c>
      <c r="M1943" s="12" t="s">
        <v>42376</v>
      </c>
      <c r="N1943" s="12" t="s">
        <v>45916</v>
      </c>
      <c r="O1943" s="12" t="s">
        <v>46190</v>
      </c>
      <c r="P1943" s="12" t="s">
        <v>42869</v>
      </c>
      <c r="Q1943" s="12" t="s">
        <v>37949</v>
      </c>
      <c r="R1943" s="12" t="s">
        <v>40467</v>
      </c>
      <c r="S1943" s="12" t="s">
        <v>46191</v>
      </c>
      <c r="T1943" s="12" t="s">
        <v>46192</v>
      </c>
      <c r="U1943" s="12" t="s">
        <v>38424</v>
      </c>
      <c r="V1943" s="12" t="s">
        <v>37960</v>
      </c>
      <c r="W1943" s="12" t="s">
        <v>38514</v>
      </c>
      <c r="X1943" s="12" t="s">
        <v>37992</v>
      </c>
      <c r="Y1943" s="12" t="s">
        <v>44202</v>
      </c>
      <c r="Z1943" s="12" t="s">
        <v>44092</v>
      </c>
      <c r="AA1943" s="12" t="s">
        <v>46193</v>
      </c>
      <c r="AB1943" s="12" t="s">
        <v>38428</v>
      </c>
      <c r="AC1943" s="12" t="s">
        <v>39166</v>
      </c>
      <c r="AD1943" s="12" t="s">
        <v>37890</v>
      </c>
      <c r="AE1943" s="12" t="s">
        <v>38167</v>
      </c>
      <c r="AF1943" s="12" t="s">
        <v>37783</v>
      </c>
      <c r="AG1943" s="12" t="s">
        <v>38726</v>
      </c>
      <c r="AH1943" s="12" t="s">
        <v>39071</v>
      </c>
      <c r="AI1943" s="12" t="s">
        <v>40600</v>
      </c>
      <c r="AJ1943" s="12"/>
      <c r="AK1943" s="12"/>
      <c r="AL1943" s="12"/>
      <c r="AM1943" s="12"/>
      <c r="AN1943" s="12"/>
      <c r="AO1943" s="12"/>
      <c r="AP1943" s="12"/>
      <c r="AQ1943" s="12"/>
      <c r="AR1943" s="12"/>
      <c r="AS1943" s="12"/>
      <c r="AT1943" s="12"/>
      <c r="AU1943" s="12"/>
      <c r="AV1943" s="12"/>
      <c r="AW1943" s="12"/>
      <c r="AX1943" s="12"/>
      <c r="AY1943" s="12"/>
      <c r="AZ1943" s="12"/>
      <c r="BA1943" s="12"/>
      <c r="BB1943" s="12"/>
      <c r="BC1943" s="12"/>
      <c r="BD1943" s="12"/>
      <c r="BE1943" s="12"/>
      <c r="BF1943" s="12"/>
      <c r="BG1943" s="12"/>
      <c r="BH1943" s="12"/>
      <c r="BI1943" s="12"/>
      <c r="BJ1943" s="12"/>
      <c r="BK1943" s="12"/>
      <c r="BL1943" s="12"/>
      <c r="BM1943" s="12"/>
      <c r="BN1943" s="12"/>
      <c r="BO1943" s="12"/>
      <c r="BP1943" s="12"/>
      <c r="BQ1943" s="12"/>
      <c r="BR1943" s="12"/>
      <c r="BS1943" s="12"/>
      <c r="BT1943" s="12"/>
    </row>
    <row r="1944" spans="1:72">
      <c r="A1944" s="2" t="s">
        <v>36758</v>
      </c>
      <c r="B1944" s="5" t="s">
        <v>36763</v>
      </c>
      <c r="C1944" s="3" t="s">
        <v>138</v>
      </c>
      <c r="D1944" s="4" t="s">
        <v>138</v>
      </c>
      <c r="E1944" s="15" t="s">
        <v>4466</v>
      </c>
      <c r="F1944" s="15" t="s">
        <v>426</v>
      </c>
      <c r="G1944" s="15" t="s">
        <v>162</v>
      </c>
      <c r="H1944" s="7">
        <v>3</v>
      </c>
      <c r="I1944" s="6" t="s">
        <v>36770</v>
      </c>
      <c r="J1944" s="6" t="s">
        <v>46194</v>
      </c>
      <c r="K1944" s="6" t="s">
        <v>38371</v>
      </c>
      <c r="L1944" s="6" t="s">
        <v>38054</v>
      </c>
      <c r="M1944" s="6"/>
      <c r="N1944" s="6"/>
      <c r="O1944" s="6"/>
      <c r="P1944" s="6"/>
      <c r="Q1944" s="6"/>
      <c r="R1944" s="6"/>
      <c r="S1944" s="6"/>
      <c r="T1944" s="6"/>
      <c r="U1944" s="6"/>
      <c r="V1944" s="6"/>
      <c r="W1944" s="6"/>
      <c r="X1944" s="6"/>
      <c r="Y1944" s="6"/>
      <c r="Z1944" s="6"/>
      <c r="AA1944" s="6"/>
      <c r="AB1944" s="6"/>
      <c r="AC1944" s="6"/>
      <c r="AD1944" s="6"/>
      <c r="AE1944" s="6"/>
      <c r="AF1944" s="6"/>
      <c r="AG1944" s="6"/>
      <c r="AH1944" s="6"/>
      <c r="AI1944" s="6"/>
      <c r="AJ1944" s="6"/>
      <c r="AK1944" s="6"/>
      <c r="AL1944" s="6"/>
      <c r="AM1944" s="6"/>
      <c r="AN1944" s="6"/>
      <c r="AO1944" s="6"/>
      <c r="AP1944" s="6"/>
      <c r="AQ1944" s="6"/>
      <c r="AR1944" s="6"/>
      <c r="AS1944" s="6"/>
      <c r="AT1944" s="6"/>
      <c r="AU1944" s="6"/>
      <c r="AV1944" s="6"/>
      <c r="AW1944" s="6"/>
      <c r="AX1944" s="6"/>
      <c r="AY1944" s="6"/>
      <c r="AZ1944" s="6"/>
      <c r="BA1944" s="6"/>
      <c r="BB1944" s="6"/>
      <c r="BC1944" s="6"/>
      <c r="BD1944" s="6"/>
      <c r="BE1944" s="6"/>
      <c r="BF1944" s="6"/>
      <c r="BG1944" s="6"/>
      <c r="BH1944" s="6"/>
      <c r="BI1944" s="6"/>
      <c r="BJ1944" s="6"/>
      <c r="BK1944" s="6"/>
      <c r="BL1944" s="6"/>
      <c r="BM1944" s="6"/>
      <c r="BN1944" s="6"/>
      <c r="BO1944" s="6"/>
      <c r="BP1944" s="6"/>
      <c r="BQ1944" s="6"/>
      <c r="BR1944" s="6"/>
      <c r="BS1944" s="6"/>
      <c r="BT1944" s="6"/>
    </row>
    <row r="1945" spans="1:72">
      <c r="A1945" s="8" t="s">
        <v>36773</v>
      </c>
      <c r="B1945" s="11" t="s">
        <v>36777</v>
      </c>
      <c r="C1945" s="9" t="s">
        <v>138</v>
      </c>
      <c r="D1945" s="10" t="s">
        <v>138</v>
      </c>
      <c r="E1945" s="28" t="s">
        <v>1294</v>
      </c>
      <c r="F1945" s="28" t="s">
        <v>864</v>
      </c>
      <c r="G1945" s="28" t="s">
        <v>162</v>
      </c>
      <c r="H1945" s="13">
        <v>20</v>
      </c>
      <c r="I1945" s="12" t="s">
        <v>36785</v>
      </c>
      <c r="J1945" s="12" t="s">
        <v>6940</v>
      </c>
      <c r="K1945" s="12" t="s">
        <v>39131</v>
      </c>
      <c r="L1945" s="12" t="s">
        <v>39089</v>
      </c>
      <c r="M1945" s="12" t="s">
        <v>46195</v>
      </c>
      <c r="N1945" s="12" t="s">
        <v>46196</v>
      </c>
      <c r="O1945" s="12" t="s">
        <v>40385</v>
      </c>
      <c r="P1945" s="12" t="s">
        <v>38968</v>
      </c>
      <c r="Q1945" s="12" t="s">
        <v>38511</v>
      </c>
      <c r="R1945" s="12" t="s">
        <v>37786</v>
      </c>
      <c r="S1945" s="12" t="s">
        <v>46197</v>
      </c>
      <c r="T1945" s="12" t="s">
        <v>38062</v>
      </c>
      <c r="U1945" s="12" t="s">
        <v>39962</v>
      </c>
      <c r="V1945" s="12" t="s">
        <v>39181</v>
      </c>
      <c r="W1945" s="12" t="s">
        <v>46198</v>
      </c>
      <c r="X1945" s="12" t="s">
        <v>38770</v>
      </c>
      <c r="Y1945" s="12" t="s">
        <v>46199</v>
      </c>
      <c r="Z1945" s="12" t="s">
        <v>38626</v>
      </c>
      <c r="AA1945" s="12" t="s">
        <v>38386</v>
      </c>
      <c r="AB1945" s="12" t="s">
        <v>39113</v>
      </c>
      <c r="AC1945" s="12" t="s">
        <v>38405</v>
      </c>
      <c r="AD1945" s="12"/>
      <c r="AE1945" s="12"/>
      <c r="AF1945" s="12"/>
      <c r="AG1945" s="12"/>
      <c r="AH1945" s="12"/>
      <c r="AI1945" s="12"/>
      <c r="AJ1945" s="12"/>
      <c r="AK1945" s="12"/>
      <c r="AL1945" s="12"/>
      <c r="AM1945" s="12"/>
      <c r="AN1945" s="12"/>
      <c r="AO1945" s="12"/>
      <c r="AP1945" s="12"/>
      <c r="AQ1945" s="12"/>
      <c r="AR1945" s="12"/>
      <c r="AS1945" s="12"/>
      <c r="AT1945" s="12"/>
      <c r="AU1945" s="12"/>
      <c r="AV1945" s="12"/>
      <c r="AW1945" s="12"/>
      <c r="AX1945" s="12"/>
      <c r="AY1945" s="12"/>
      <c r="AZ1945" s="12"/>
      <c r="BA1945" s="12"/>
      <c r="BB1945" s="12"/>
      <c r="BC1945" s="12"/>
      <c r="BD1945" s="12"/>
      <c r="BE1945" s="12"/>
      <c r="BF1945" s="12"/>
      <c r="BG1945" s="12"/>
      <c r="BH1945" s="12"/>
      <c r="BI1945" s="12"/>
      <c r="BJ1945" s="12"/>
      <c r="BK1945" s="12"/>
      <c r="BL1945" s="12"/>
      <c r="BM1945" s="12"/>
      <c r="BN1945" s="12"/>
      <c r="BO1945" s="12"/>
      <c r="BP1945" s="12"/>
      <c r="BQ1945" s="12"/>
      <c r="BR1945" s="12"/>
      <c r="BS1945" s="12"/>
      <c r="BT1945" s="12"/>
    </row>
    <row r="1946" spans="1:72">
      <c r="A1946" s="2" t="s">
        <v>36790</v>
      </c>
      <c r="B1946" s="5" t="s">
        <v>36794</v>
      </c>
      <c r="C1946" s="3" t="s">
        <v>138</v>
      </c>
      <c r="D1946" s="4" t="s">
        <v>138</v>
      </c>
      <c r="E1946" s="15" t="s">
        <v>13888</v>
      </c>
      <c r="F1946" s="15" t="s">
        <v>200</v>
      </c>
      <c r="G1946" s="15" t="s">
        <v>162</v>
      </c>
      <c r="H1946" s="7">
        <v>10</v>
      </c>
      <c r="I1946" s="6" t="s">
        <v>36803</v>
      </c>
      <c r="J1946" s="6" t="s">
        <v>46200</v>
      </c>
      <c r="K1946" s="6" t="s">
        <v>38968</v>
      </c>
      <c r="L1946" s="6" t="s">
        <v>40747</v>
      </c>
      <c r="M1946" s="6" t="s">
        <v>43204</v>
      </c>
      <c r="N1946" s="6" t="s">
        <v>38321</v>
      </c>
      <c r="O1946" s="6" t="s">
        <v>46201</v>
      </c>
      <c r="P1946" s="6" t="s">
        <v>37770</v>
      </c>
      <c r="Q1946" s="6" t="s">
        <v>46202</v>
      </c>
      <c r="R1946" s="6" t="s">
        <v>37892</v>
      </c>
      <c r="S1946" s="6" t="s">
        <v>43442</v>
      </c>
      <c r="T1946" s="6"/>
      <c r="U1946" s="6"/>
      <c r="V1946" s="6"/>
      <c r="W1946" s="6"/>
      <c r="X1946" s="6"/>
      <c r="Y1946" s="6"/>
      <c r="Z1946" s="6"/>
      <c r="AA1946" s="6"/>
      <c r="AB1946" s="6"/>
      <c r="AC1946" s="6"/>
      <c r="AD1946" s="6"/>
      <c r="AE1946" s="6"/>
      <c r="AF1946" s="6"/>
      <c r="AG1946" s="6"/>
      <c r="AH1946" s="6"/>
      <c r="AI1946" s="6"/>
      <c r="AJ1946" s="6"/>
      <c r="AK1946" s="6"/>
      <c r="AL1946" s="6"/>
      <c r="AM1946" s="6"/>
      <c r="AN1946" s="6"/>
      <c r="AO1946" s="6"/>
      <c r="AP1946" s="6"/>
      <c r="AQ1946" s="6"/>
      <c r="AR1946" s="6"/>
      <c r="AS1946" s="6"/>
      <c r="AT1946" s="6"/>
      <c r="AU1946" s="6"/>
      <c r="AV1946" s="6"/>
      <c r="AW1946" s="6"/>
      <c r="AX1946" s="6"/>
      <c r="AY1946" s="6"/>
      <c r="AZ1946" s="6"/>
      <c r="BA1946" s="6"/>
      <c r="BB1946" s="6"/>
      <c r="BC1946" s="6"/>
      <c r="BD1946" s="6"/>
      <c r="BE1946" s="6"/>
      <c r="BF1946" s="6"/>
      <c r="BG1946" s="6"/>
      <c r="BH1946" s="6"/>
      <c r="BI1946" s="6"/>
      <c r="BJ1946" s="6"/>
      <c r="BK1946" s="6"/>
      <c r="BL1946" s="6"/>
      <c r="BM1946" s="6"/>
      <c r="BN1946" s="6"/>
      <c r="BO1946" s="6"/>
      <c r="BP1946" s="6"/>
      <c r="BQ1946" s="6"/>
      <c r="BR1946" s="6"/>
      <c r="BS1946" s="6"/>
      <c r="BT1946" s="6"/>
    </row>
    <row r="1947" spans="1:72">
      <c r="A1947" s="8" t="s">
        <v>36806</v>
      </c>
      <c r="B1947" s="11" t="s">
        <v>36813</v>
      </c>
      <c r="C1947" s="9" t="s">
        <v>36807</v>
      </c>
      <c r="D1947" s="10" t="s">
        <v>138</v>
      </c>
      <c r="E1947" s="28" t="s">
        <v>9136</v>
      </c>
      <c r="F1947" s="28" t="s">
        <v>200</v>
      </c>
      <c r="G1947" s="28" t="s">
        <v>162</v>
      </c>
      <c r="H1947" s="13">
        <v>16</v>
      </c>
      <c r="I1947" s="12" t="s">
        <v>36822</v>
      </c>
      <c r="J1947" s="12" t="s">
        <v>39029</v>
      </c>
      <c r="K1947" s="12" t="s">
        <v>46203</v>
      </c>
      <c r="L1947" s="12" t="s">
        <v>39915</v>
      </c>
      <c r="M1947" s="12" t="s">
        <v>46204</v>
      </c>
      <c r="N1947" s="12" t="s">
        <v>38089</v>
      </c>
      <c r="O1947" s="12" t="s">
        <v>37787</v>
      </c>
      <c r="P1947" s="12" t="s">
        <v>38062</v>
      </c>
      <c r="Q1947" s="12" t="s">
        <v>42686</v>
      </c>
      <c r="R1947" s="12" t="s">
        <v>46205</v>
      </c>
      <c r="S1947" s="12" t="s">
        <v>41207</v>
      </c>
      <c r="T1947" s="12" t="s">
        <v>39643</v>
      </c>
      <c r="U1947" s="12" t="s">
        <v>46206</v>
      </c>
      <c r="V1947" s="12" t="s">
        <v>46207</v>
      </c>
      <c r="W1947" s="12" t="s">
        <v>46208</v>
      </c>
      <c r="X1947" s="12" t="s">
        <v>38006</v>
      </c>
      <c r="Y1947" s="12" t="s">
        <v>40367</v>
      </c>
      <c r="Z1947" s="12"/>
      <c r="AA1947" s="12"/>
      <c r="AB1947" s="12"/>
      <c r="AC1947" s="12"/>
      <c r="AD1947" s="12"/>
      <c r="AE1947" s="12"/>
      <c r="AF1947" s="12"/>
      <c r="AG1947" s="12"/>
      <c r="AH1947" s="12"/>
      <c r="AI1947" s="12"/>
      <c r="AJ1947" s="12"/>
      <c r="AK1947" s="12"/>
      <c r="AL1947" s="12"/>
      <c r="AM1947" s="12"/>
      <c r="AN1947" s="12"/>
      <c r="AO1947" s="12"/>
      <c r="AP1947" s="12"/>
      <c r="AQ1947" s="12"/>
      <c r="AR1947" s="12"/>
      <c r="AS1947" s="12"/>
      <c r="AT1947" s="12"/>
      <c r="AU1947" s="12"/>
      <c r="AV1947" s="12"/>
      <c r="AW1947" s="12"/>
      <c r="AX1947" s="12"/>
      <c r="AY1947" s="12"/>
      <c r="AZ1947" s="12"/>
      <c r="BA1947" s="12"/>
      <c r="BB1947" s="12"/>
      <c r="BC1947" s="12"/>
      <c r="BD1947" s="12"/>
      <c r="BE1947" s="12"/>
      <c r="BF1947" s="12"/>
      <c r="BG1947" s="12"/>
      <c r="BH1947" s="12"/>
      <c r="BI1947" s="12"/>
      <c r="BJ1947" s="12"/>
      <c r="BK1947" s="12"/>
      <c r="BL1947" s="12"/>
      <c r="BM1947" s="12"/>
      <c r="BN1947" s="12"/>
      <c r="BO1947" s="12"/>
      <c r="BP1947" s="12"/>
      <c r="BQ1947" s="12"/>
      <c r="BR1947" s="12"/>
      <c r="BS1947" s="12"/>
      <c r="BT1947" s="12"/>
    </row>
    <row r="1948" spans="1:72">
      <c r="A1948" s="2" t="s">
        <v>36825</v>
      </c>
      <c r="B1948" s="5" t="s">
        <v>36829</v>
      </c>
      <c r="C1948" s="3" t="s">
        <v>36826</v>
      </c>
      <c r="D1948" s="4" t="s">
        <v>138</v>
      </c>
      <c r="E1948" s="15" t="s">
        <v>36837</v>
      </c>
      <c r="F1948" s="15" t="s">
        <v>36838</v>
      </c>
      <c r="G1948" s="15" t="s">
        <v>2071</v>
      </c>
      <c r="H1948" s="7">
        <v>1</v>
      </c>
      <c r="I1948" s="6" t="s">
        <v>2075</v>
      </c>
      <c r="J1948" s="6" t="s">
        <v>2075</v>
      </c>
      <c r="K1948" s="6"/>
      <c r="L1948" s="6"/>
      <c r="M1948" s="6"/>
      <c r="N1948" s="6"/>
      <c r="O1948" s="6"/>
      <c r="P1948" s="6"/>
      <c r="Q1948" s="6"/>
      <c r="R1948" s="6"/>
      <c r="S1948" s="6"/>
      <c r="T1948" s="6"/>
      <c r="U1948" s="6"/>
      <c r="V1948" s="6"/>
      <c r="W1948" s="6"/>
      <c r="X1948" s="6"/>
      <c r="Y1948" s="6"/>
      <c r="Z1948" s="6"/>
      <c r="AA1948" s="6"/>
      <c r="AB1948" s="6"/>
      <c r="AC1948" s="6"/>
      <c r="AD1948" s="6"/>
      <c r="AE1948" s="6"/>
      <c r="AF1948" s="6"/>
      <c r="AG1948" s="6"/>
      <c r="AH1948" s="6"/>
      <c r="AI1948" s="6"/>
      <c r="AJ1948" s="6"/>
      <c r="AK1948" s="6"/>
      <c r="AL1948" s="6"/>
      <c r="AM1948" s="6"/>
      <c r="AN1948" s="6"/>
      <c r="AO1948" s="6"/>
      <c r="AP1948" s="6"/>
      <c r="AQ1948" s="6"/>
      <c r="AR1948" s="6"/>
      <c r="AS1948" s="6"/>
      <c r="AT1948" s="6"/>
      <c r="AU1948" s="6"/>
      <c r="AV1948" s="6"/>
      <c r="AW1948" s="6"/>
      <c r="AX1948" s="6"/>
      <c r="AY1948" s="6"/>
      <c r="AZ1948" s="6"/>
      <c r="BA1948" s="6"/>
      <c r="BB1948" s="6"/>
      <c r="BC1948" s="6"/>
      <c r="BD1948" s="6"/>
      <c r="BE1948" s="6"/>
      <c r="BF1948" s="6"/>
      <c r="BG1948" s="6"/>
      <c r="BH1948" s="6"/>
      <c r="BI1948" s="6"/>
      <c r="BJ1948" s="6"/>
      <c r="BK1948" s="6"/>
      <c r="BL1948" s="6"/>
      <c r="BM1948" s="6"/>
      <c r="BN1948" s="6"/>
      <c r="BO1948" s="6"/>
      <c r="BP1948" s="6"/>
      <c r="BQ1948" s="6"/>
      <c r="BR1948" s="6"/>
      <c r="BS1948" s="6"/>
      <c r="BT1948" s="6"/>
    </row>
    <row r="1949" spans="1:72">
      <c r="A1949" s="8" t="s">
        <v>36844</v>
      </c>
      <c r="B1949" s="11" t="s">
        <v>36849</v>
      </c>
      <c r="C1949" s="9" t="s">
        <v>36845</v>
      </c>
      <c r="D1949" s="10" t="s">
        <v>138</v>
      </c>
      <c r="E1949" s="28" t="s">
        <v>3375</v>
      </c>
      <c r="F1949" s="28" t="s">
        <v>138</v>
      </c>
      <c r="G1949" s="28" t="s">
        <v>5311</v>
      </c>
      <c r="H1949" s="13">
        <v>8</v>
      </c>
      <c r="I1949" s="12" t="s">
        <v>36859</v>
      </c>
      <c r="J1949" s="12" t="s">
        <v>42255</v>
      </c>
      <c r="K1949" s="12" t="s">
        <v>46209</v>
      </c>
      <c r="L1949" s="12" t="s">
        <v>40814</v>
      </c>
      <c r="M1949" s="12" t="s">
        <v>46210</v>
      </c>
      <c r="N1949" s="12" t="s">
        <v>42203</v>
      </c>
      <c r="O1949" s="12" t="s">
        <v>38821</v>
      </c>
      <c r="P1949" s="12" t="s">
        <v>39642</v>
      </c>
      <c r="Q1949" s="12" t="s">
        <v>38715</v>
      </c>
      <c r="R1949" s="12"/>
      <c r="S1949" s="12"/>
      <c r="T1949" s="12"/>
      <c r="U1949" s="12"/>
      <c r="V1949" s="12"/>
      <c r="W1949" s="12"/>
      <c r="X1949" s="12"/>
      <c r="Y1949" s="12"/>
      <c r="Z1949" s="12"/>
      <c r="AA1949" s="12"/>
      <c r="AB1949" s="12"/>
      <c r="AC1949" s="12"/>
      <c r="AD1949" s="12"/>
      <c r="AE1949" s="12"/>
      <c r="AF1949" s="12"/>
      <c r="AG1949" s="12"/>
      <c r="AH1949" s="12"/>
      <c r="AI1949" s="12"/>
      <c r="AJ1949" s="12"/>
      <c r="AK1949" s="12"/>
      <c r="AL1949" s="12"/>
      <c r="AM1949" s="12"/>
      <c r="AN1949" s="12"/>
      <c r="AO1949" s="12"/>
      <c r="AP1949" s="12"/>
      <c r="AQ1949" s="12"/>
      <c r="AR1949" s="12"/>
      <c r="AS1949" s="12"/>
      <c r="AT1949" s="12"/>
      <c r="AU1949" s="12"/>
      <c r="AV1949" s="12"/>
      <c r="AW1949" s="12"/>
      <c r="AX1949" s="12"/>
      <c r="AY1949" s="12"/>
      <c r="AZ1949" s="12"/>
      <c r="BA1949" s="12"/>
      <c r="BB1949" s="12"/>
      <c r="BC1949" s="12"/>
      <c r="BD1949" s="12"/>
      <c r="BE1949" s="12"/>
      <c r="BF1949" s="12"/>
      <c r="BG1949" s="12"/>
      <c r="BH1949" s="12"/>
      <c r="BI1949" s="12"/>
      <c r="BJ1949" s="12"/>
      <c r="BK1949" s="12"/>
      <c r="BL1949" s="12"/>
      <c r="BM1949" s="12"/>
      <c r="BN1949" s="12"/>
      <c r="BO1949" s="12"/>
      <c r="BP1949" s="12"/>
      <c r="BQ1949" s="12"/>
      <c r="BR1949" s="12"/>
      <c r="BS1949" s="12"/>
      <c r="BT1949" s="12"/>
    </row>
    <row r="1950" spans="1:72">
      <c r="A1950" s="2" t="s">
        <v>36862</v>
      </c>
      <c r="B1950" s="5" t="s">
        <v>36869</v>
      </c>
      <c r="C1950" s="3" t="s">
        <v>138</v>
      </c>
      <c r="D1950" s="4" t="s">
        <v>36863</v>
      </c>
      <c r="E1950" s="15" t="s">
        <v>36878</v>
      </c>
      <c r="F1950" s="15" t="s">
        <v>6898</v>
      </c>
      <c r="G1950" s="15" t="s">
        <v>162</v>
      </c>
      <c r="H1950" s="7">
        <v>2</v>
      </c>
      <c r="I1950" s="6" t="s">
        <v>36883</v>
      </c>
      <c r="J1950" s="6" t="s">
        <v>46211</v>
      </c>
      <c r="K1950" s="6" t="s">
        <v>41446</v>
      </c>
      <c r="L1950" s="6"/>
      <c r="M1950" s="6"/>
      <c r="N1950" s="6"/>
      <c r="O1950" s="6"/>
      <c r="P1950" s="6"/>
      <c r="Q1950" s="6"/>
      <c r="R1950" s="6"/>
      <c r="S1950" s="6"/>
      <c r="T1950" s="6"/>
      <c r="U1950" s="6"/>
      <c r="V1950" s="6"/>
      <c r="W1950" s="6"/>
      <c r="X1950" s="6"/>
      <c r="Y1950" s="6"/>
      <c r="Z1950" s="6"/>
      <c r="AA1950" s="6"/>
      <c r="AB1950" s="6"/>
      <c r="AC1950" s="6"/>
      <c r="AD1950" s="6"/>
      <c r="AE1950" s="6"/>
      <c r="AF1950" s="6"/>
      <c r="AG1950" s="6"/>
      <c r="AH1950" s="6"/>
      <c r="AI1950" s="6"/>
      <c r="AJ1950" s="6"/>
      <c r="AK1950" s="6"/>
      <c r="AL1950" s="6"/>
      <c r="AM1950" s="6"/>
      <c r="AN1950" s="6"/>
      <c r="AO1950" s="6"/>
      <c r="AP1950" s="6"/>
      <c r="AQ1950" s="6"/>
      <c r="AR1950" s="6"/>
      <c r="AS1950" s="6"/>
      <c r="AT1950" s="6"/>
      <c r="AU1950" s="6"/>
      <c r="AV1950" s="6"/>
      <c r="AW1950" s="6"/>
      <c r="AX1950" s="6"/>
      <c r="AY1950" s="6"/>
      <c r="AZ1950" s="6"/>
      <c r="BA1950" s="6"/>
      <c r="BB1950" s="6"/>
      <c r="BC1950" s="6"/>
      <c r="BD1950" s="6"/>
      <c r="BE1950" s="6"/>
      <c r="BF1950" s="6"/>
      <c r="BG1950" s="6"/>
      <c r="BH1950" s="6"/>
      <c r="BI1950" s="6"/>
      <c r="BJ1950" s="6"/>
      <c r="BK1950" s="6"/>
      <c r="BL1950" s="6"/>
      <c r="BM1950" s="6"/>
      <c r="BN1950" s="6"/>
      <c r="BO1950" s="6"/>
      <c r="BP1950" s="6"/>
      <c r="BQ1950" s="6"/>
      <c r="BR1950" s="6"/>
      <c r="BS1950" s="6"/>
      <c r="BT1950" s="6"/>
    </row>
    <row r="1951" spans="1:72">
      <c r="A1951" s="8" t="s">
        <v>36890</v>
      </c>
      <c r="B1951" s="11" t="s">
        <v>36894</v>
      </c>
      <c r="C1951" s="9" t="s">
        <v>138</v>
      </c>
      <c r="D1951" s="10" t="s">
        <v>138</v>
      </c>
      <c r="E1951" s="28" t="s">
        <v>11489</v>
      </c>
      <c r="F1951" s="28" t="s">
        <v>138</v>
      </c>
      <c r="G1951" s="28" t="s">
        <v>3693</v>
      </c>
      <c r="H1951" s="13">
        <v>4</v>
      </c>
      <c r="I1951" s="12" t="s">
        <v>36903</v>
      </c>
      <c r="J1951" s="12" t="s">
        <v>46212</v>
      </c>
      <c r="K1951" s="12" t="s">
        <v>37839</v>
      </c>
      <c r="L1951" s="12" t="s">
        <v>46213</v>
      </c>
      <c r="M1951" s="12" t="s">
        <v>46214</v>
      </c>
      <c r="N1951" s="12"/>
      <c r="O1951" s="12"/>
      <c r="P1951" s="12"/>
      <c r="Q1951" s="12"/>
      <c r="R1951" s="12"/>
      <c r="S1951" s="12"/>
      <c r="T1951" s="12"/>
      <c r="U1951" s="12"/>
      <c r="V1951" s="12"/>
      <c r="W1951" s="12"/>
      <c r="X1951" s="12"/>
      <c r="Y1951" s="12"/>
      <c r="Z1951" s="12"/>
      <c r="AA1951" s="12"/>
      <c r="AB1951" s="12"/>
      <c r="AC1951" s="12"/>
      <c r="AD1951" s="12"/>
      <c r="AE1951" s="12"/>
      <c r="AF1951" s="12"/>
      <c r="AG1951" s="12"/>
      <c r="AH1951" s="12"/>
      <c r="AI1951" s="12"/>
      <c r="AJ1951" s="12"/>
      <c r="AK1951" s="12"/>
      <c r="AL1951" s="12"/>
      <c r="AM1951" s="12"/>
      <c r="AN1951" s="12"/>
      <c r="AO1951" s="12"/>
      <c r="AP1951" s="12"/>
      <c r="AQ1951" s="12"/>
      <c r="AR1951" s="12"/>
      <c r="AS1951" s="12"/>
      <c r="AT1951" s="12"/>
      <c r="AU1951" s="12"/>
      <c r="AV1951" s="12"/>
      <c r="AW1951" s="12"/>
      <c r="AX1951" s="12"/>
      <c r="AY1951" s="12"/>
      <c r="AZ1951" s="12"/>
      <c r="BA1951" s="12"/>
      <c r="BB1951" s="12"/>
      <c r="BC1951" s="12"/>
      <c r="BD1951" s="12"/>
      <c r="BE1951" s="12"/>
      <c r="BF1951" s="12"/>
      <c r="BG1951" s="12"/>
      <c r="BH1951" s="12"/>
      <c r="BI1951" s="12"/>
      <c r="BJ1951" s="12"/>
      <c r="BK1951" s="12"/>
      <c r="BL1951" s="12"/>
      <c r="BM1951" s="12"/>
      <c r="BN1951" s="12"/>
      <c r="BO1951" s="12"/>
      <c r="BP1951" s="12"/>
      <c r="BQ1951" s="12"/>
      <c r="BR1951" s="12"/>
      <c r="BS1951" s="12"/>
      <c r="BT1951" s="12"/>
    </row>
    <row r="1952" spans="1:72">
      <c r="A1952" s="2" t="s">
        <v>36909</v>
      </c>
      <c r="B1952" s="5" t="s">
        <v>36916</v>
      </c>
      <c r="C1952" s="3" t="s">
        <v>138</v>
      </c>
      <c r="D1952" s="4" t="s">
        <v>36910</v>
      </c>
      <c r="E1952" s="15" t="s">
        <v>668</v>
      </c>
      <c r="F1952" s="15" t="s">
        <v>200</v>
      </c>
      <c r="G1952" s="15" t="s">
        <v>162</v>
      </c>
      <c r="H1952" s="7">
        <v>10</v>
      </c>
      <c r="I1952" s="6" t="s">
        <v>36925</v>
      </c>
      <c r="J1952" s="6" t="s">
        <v>46215</v>
      </c>
      <c r="K1952" s="6" t="s">
        <v>42126</v>
      </c>
      <c r="L1952" s="6" t="s">
        <v>37846</v>
      </c>
      <c r="M1952" s="6" t="s">
        <v>38882</v>
      </c>
      <c r="N1952" s="6" t="s">
        <v>40773</v>
      </c>
      <c r="O1952" s="6" t="s">
        <v>37851</v>
      </c>
      <c r="P1952" s="6" t="s">
        <v>42751</v>
      </c>
      <c r="Q1952" s="6" t="s">
        <v>46216</v>
      </c>
      <c r="R1952" s="6" t="s">
        <v>40097</v>
      </c>
      <c r="S1952" s="6" t="s">
        <v>38240</v>
      </c>
      <c r="T1952" s="6"/>
      <c r="U1952" s="6"/>
      <c r="V1952" s="6"/>
      <c r="W1952" s="6"/>
      <c r="X1952" s="6"/>
      <c r="Y1952" s="6"/>
      <c r="Z1952" s="6"/>
      <c r="AA1952" s="6"/>
      <c r="AB1952" s="6"/>
      <c r="AC1952" s="6"/>
      <c r="AD1952" s="6"/>
      <c r="AE1952" s="6"/>
      <c r="AF1952" s="6"/>
      <c r="AG1952" s="6"/>
      <c r="AH1952" s="6"/>
      <c r="AI1952" s="6"/>
      <c r="AJ1952" s="6"/>
      <c r="AK1952" s="6"/>
      <c r="AL1952" s="6"/>
      <c r="AM1952" s="6"/>
      <c r="AN1952" s="6"/>
      <c r="AO1952" s="6"/>
      <c r="AP1952" s="6"/>
      <c r="AQ1952" s="6"/>
      <c r="AR1952" s="6"/>
      <c r="AS1952" s="6"/>
      <c r="AT1952" s="6"/>
      <c r="AU1952" s="6"/>
      <c r="AV1952" s="6"/>
      <c r="AW1952" s="6"/>
      <c r="AX1952" s="6"/>
      <c r="AY1952" s="6"/>
      <c r="AZ1952" s="6"/>
      <c r="BA1952" s="6"/>
      <c r="BB1952" s="6"/>
      <c r="BC1952" s="6"/>
      <c r="BD1952" s="6"/>
      <c r="BE1952" s="6"/>
      <c r="BF1952" s="6"/>
      <c r="BG1952" s="6"/>
      <c r="BH1952" s="6"/>
      <c r="BI1952" s="6"/>
      <c r="BJ1952" s="6"/>
      <c r="BK1952" s="6"/>
      <c r="BL1952" s="6"/>
      <c r="BM1952" s="6"/>
      <c r="BN1952" s="6"/>
      <c r="BO1952" s="6"/>
      <c r="BP1952" s="6"/>
      <c r="BQ1952" s="6"/>
      <c r="BR1952" s="6"/>
      <c r="BS1952" s="6"/>
      <c r="BT1952" s="6"/>
    </row>
    <row r="1953" spans="1:72">
      <c r="A1953" s="8" t="s">
        <v>36929</v>
      </c>
      <c r="B1953" s="11" t="s">
        <v>36936</v>
      </c>
      <c r="C1953" s="9" t="s">
        <v>138</v>
      </c>
      <c r="D1953" s="10" t="s">
        <v>36930</v>
      </c>
      <c r="E1953" s="28" t="s">
        <v>499</v>
      </c>
      <c r="F1953" s="28" t="s">
        <v>499</v>
      </c>
      <c r="G1953" s="28" t="s">
        <v>450</v>
      </c>
      <c r="H1953" s="13">
        <v>14</v>
      </c>
      <c r="I1953" s="12" t="s">
        <v>36945</v>
      </c>
      <c r="J1953" s="12" t="s">
        <v>43151</v>
      </c>
      <c r="K1953" s="12" t="s">
        <v>39481</v>
      </c>
      <c r="L1953" s="12" t="s">
        <v>37883</v>
      </c>
      <c r="M1953" s="12" t="s">
        <v>38322</v>
      </c>
      <c r="N1953" s="12" t="s">
        <v>38323</v>
      </c>
      <c r="O1953" s="12" t="s">
        <v>38200</v>
      </c>
      <c r="P1953" s="12" t="s">
        <v>45353</v>
      </c>
      <c r="Q1953" s="12" t="s">
        <v>46217</v>
      </c>
      <c r="R1953" s="12" t="s">
        <v>46218</v>
      </c>
      <c r="S1953" s="12" t="s">
        <v>43651</v>
      </c>
      <c r="T1953" s="12" t="s">
        <v>46219</v>
      </c>
      <c r="U1953" s="12" t="s">
        <v>39143</v>
      </c>
      <c r="V1953" s="12" t="s">
        <v>46220</v>
      </c>
      <c r="W1953" s="12" t="s">
        <v>40049</v>
      </c>
      <c r="X1953" s="12"/>
      <c r="Y1953" s="12"/>
      <c r="Z1953" s="12"/>
      <c r="AA1953" s="12"/>
      <c r="AB1953" s="12"/>
      <c r="AC1953" s="12"/>
      <c r="AD1953" s="12"/>
      <c r="AE1953" s="12"/>
      <c r="AF1953" s="12"/>
      <c r="AG1953" s="12"/>
      <c r="AH1953" s="12"/>
      <c r="AI1953" s="12"/>
      <c r="AJ1953" s="12"/>
      <c r="AK1953" s="12"/>
      <c r="AL1953" s="12"/>
      <c r="AM1953" s="12"/>
      <c r="AN1953" s="12"/>
      <c r="AO1953" s="12"/>
      <c r="AP1953" s="12"/>
      <c r="AQ1953" s="12"/>
      <c r="AR1953" s="12"/>
      <c r="AS1953" s="12"/>
      <c r="AT1953" s="12"/>
      <c r="AU1953" s="12"/>
      <c r="AV1953" s="12"/>
      <c r="AW1953" s="12"/>
      <c r="AX1953" s="12"/>
      <c r="AY1953" s="12"/>
      <c r="AZ1953" s="12"/>
      <c r="BA1953" s="12"/>
      <c r="BB1953" s="12"/>
      <c r="BC1953" s="12"/>
      <c r="BD1953" s="12"/>
      <c r="BE1953" s="12"/>
      <c r="BF1953" s="12"/>
      <c r="BG1953" s="12"/>
      <c r="BH1953" s="12"/>
      <c r="BI1953" s="12"/>
      <c r="BJ1953" s="12"/>
      <c r="BK1953" s="12"/>
      <c r="BL1953" s="12"/>
      <c r="BM1953" s="12"/>
      <c r="BN1953" s="12"/>
      <c r="BO1953" s="12"/>
      <c r="BP1953" s="12"/>
      <c r="BQ1953" s="12"/>
      <c r="BR1953" s="12"/>
      <c r="BS1953" s="12"/>
      <c r="BT1953" s="12"/>
    </row>
    <row r="1954" spans="1:72">
      <c r="A1954" s="2" t="s">
        <v>36952</v>
      </c>
      <c r="B1954" s="5" t="s">
        <v>36958</v>
      </c>
      <c r="C1954" s="3" t="s">
        <v>36953</v>
      </c>
      <c r="D1954" s="4" t="s">
        <v>138</v>
      </c>
      <c r="E1954" s="15" t="s">
        <v>426</v>
      </c>
      <c r="F1954" s="15" t="s">
        <v>426</v>
      </c>
      <c r="G1954" s="15" t="s">
        <v>162</v>
      </c>
      <c r="H1954" s="7">
        <v>5</v>
      </c>
      <c r="I1954" s="6" t="s">
        <v>36967</v>
      </c>
      <c r="J1954" s="6" t="s">
        <v>46221</v>
      </c>
      <c r="K1954" s="6" t="s">
        <v>46222</v>
      </c>
      <c r="L1954" s="6" t="s">
        <v>46223</v>
      </c>
      <c r="M1954" s="6" t="s">
        <v>46224</v>
      </c>
      <c r="N1954" s="6" t="s">
        <v>38145</v>
      </c>
      <c r="O1954" s="6"/>
      <c r="P1954" s="6"/>
      <c r="Q1954" s="6"/>
      <c r="R1954" s="6"/>
      <c r="S1954" s="6"/>
      <c r="T1954" s="6"/>
      <c r="U1954" s="6"/>
      <c r="V1954" s="6"/>
      <c r="W1954" s="6"/>
      <c r="X1954" s="6"/>
      <c r="Y1954" s="6"/>
      <c r="Z1954" s="6"/>
      <c r="AA1954" s="6"/>
      <c r="AB1954" s="6"/>
      <c r="AC1954" s="6"/>
      <c r="AD1954" s="6"/>
      <c r="AE1954" s="6"/>
      <c r="AF1954" s="6"/>
      <c r="AG1954" s="6"/>
      <c r="AH1954" s="6"/>
      <c r="AI1954" s="6"/>
      <c r="AJ1954" s="6"/>
      <c r="AK1954" s="6"/>
      <c r="AL1954" s="6"/>
      <c r="AM1954" s="6"/>
      <c r="AN1954" s="6"/>
      <c r="AO1954" s="6"/>
      <c r="AP1954" s="6"/>
      <c r="AQ1954" s="6"/>
      <c r="AR1954" s="6"/>
      <c r="AS1954" s="6"/>
      <c r="AT1954" s="6"/>
      <c r="AU1954" s="6"/>
      <c r="AV1954" s="6"/>
      <c r="AW1954" s="6"/>
      <c r="AX1954" s="6"/>
      <c r="AY1954" s="6"/>
      <c r="AZ1954" s="6"/>
      <c r="BA1954" s="6"/>
      <c r="BB1954" s="6"/>
      <c r="BC1954" s="6"/>
      <c r="BD1954" s="6"/>
      <c r="BE1954" s="6"/>
      <c r="BF1954" s="6"/>
      <c r="BG1954" s="6"/>
      <c r="BH1954" s="6"/>
      <c r="BI1954" s="6"/>
      <c r="BJ1954" s="6"/>
      <c r="BK1954" s="6"/>
      <c r="BL1954" s="6"/>
      <c r="BM1954" s="6"/>
      <c r="BN1954" s="6"/>
      <c r="BO1954" s="6"/>
      <c r="BP1954" s="6"/>
      <c r="BQ1954" s="6"/>
      <c r="BR1954" s="6"/>
      <c r="BS1954" s="6"/>
      <c r="BT1954" s="6"/>
    </row>
    <row r="1955" spans="1:72">
      <c r="A1955" s="8" t="s">
        <v>36972</v>
      </c>
      <c r="B1955" s="11" t="s">
        <v>36976</v>
      </c>
      <c r="C1955" s="9" t="s">
        <v>138</v>
      </c>
      <c r="D1955" s="10" t="s">
        <v>138</v>
      </c>
      <c r="E1955" s="28" t="s">
        <v>668</v>
      </c>
      <c r="F1955" s="28" t="s">
        <v>200</v>
      </c>
      <c r="G1955" s="28" t="s">
        <v>162</v>
      </c>
      <c r="H1955" s="13">
        <v>27</v>
      </c>
      <c r="I1955" s="12" t="s">
        <v>36984</v>
      </c>
      <c r="J1955" s="12" t="s">
        <v>37785</v>
      </c>
      <c r="K1955" s="12" t="s">
        <v>42054</v>
      </c>
      <c r="L1955" s="12" t="s">
        <v>37941</v>
      </c>
      <c r="M1955" s="12" t="s">
        <v>39284</v>
      </c>
      <c r="N1955" s="12" t="s">
        <v>38415</v>
      </c>
      <c r="O1955" s="12" t="s">
        <v>42057</v>
      </c>
      <c r="P1955" s="12" t="s">
        <v>38989</v>
      </c>
      <c r="Q1955" s="12" t="s">
        <v>39153</v>
      </c>
      <c r="R1955" s="12" t="s">
        <v>42038</v>
      </c>
      <c r="S1955" s="12" t="s">
        <v>45057</v>
      </c>
      <c r="T1955" s="12" t="s">
        <v>44827</v>
      </c>
      <c r="U1955" s="12" t="s">
        <v>38574</v>
      </c>
      <c r="V1955" s="12" t="s">
        <v>42040</v>
      </c>
      <c r="W1955" s="12" t="s">
        <v>43267</v>
      </c>
      <c r="X1955" s="12" t="s">
        <v>43580</v>
      </c>
      <c r="Y1955" s="12" t="s">
        <v>41584</v>
      </c>
      <c r="Z1955" s="12" t="s">
        <v>40153</v>
      </c>
      <c r="AA1955" s="12" t="s">
        <v>39585</v>
      </c>
      <c r="AB1955" s="12" t="s">
        <v>43565</v>
      </c>
      <c r="AC1955" s="12" t="s">
        <v>38911</v>
      </c>
      <c r="AD1955" s="12" t="s">
        <v>46225</v>
      </c>
      <c r="AE1955" s="12" t="s">
        <v>38804</v>
      </c>
      <c r="AF1955" s="12" t="s">
        <v>46226</v>
      </c>
      <c r="AG1955" s="12" t="s">
        <v>46227</v>
      </c>
      <c r="AH1955" s="12" t="s">
        <v>42962</v>
      </c>
      <c r="AI1955" s="12" t="s">
        <v>38145</v>
      </c>
      <c r="AJ1955" s="12" t="s">
        <v>38438</v>
      </c>
      <c r="AK1955" s="12"/>
      <c r="AL1955" s="12"/>
      <c r="AM1955" s="12"/>
      <c r="AN1955" s="12"/>
      <c r="AO1955" s="12"/>
      <c r="AP1955" s="12"/>
      <c r="AQ1955" s="12"/>
      <c r="AR1955" s="12"/>
      <c r="AS1955" s="12"/>
      <c r="AT1955" s="12"/>
      <c r="AU1955" s="12"/>
      <c r="AV1955" s="12"/>
      <c r="AW1955" s="12"/>
      <c r="AX1955" s="12"/>
      <c r="AY1955" s="12"/>
      <c r="AZ1955" s="12"/>
      <c r="BA1955" s="12"/>
      <c r="BB1955" s="12"/>
      <c r="BC1955" s="12"/>
      <c r="BD1955" s="12"/>
      <c r="BE1955" s="12"/>
      <c r="BF1955" s="12"/>
      <c r="BG1955" s="12"/>
      <c r="BH1955" s="12"/>
      <c r="BI1955" s="12"/>
      <c r="BJ1955" s="12"/>
      <c r="BK1955" s="12"/>
      <c r="BL1955" s="12"/>
      <c r="BM1955" s="12"/>
      <c r="BN1955" s="12"/>
      <c r="BO1955" s="12"/>
      <c r="BP1955" s="12"/>
      <c r="BQ1955" s="12"/>
      <c r="BR1955" s="12"/>
      <c r="BS1955" s="12"/>
      <c r="BT1955" s="12"/>
    </row>
    <row r="1956" spans="1:72">
      <c r="A1956" s="2" t="s">
        <v>36989</v>
      </c>
      <c r="B1956" s="5" t="s">
        <v>36994</v>
      </c>
      <c r="C1956" s="3" t="s">
        <v>138</v>
      </c>
      <c r="D1956" s="4" t="s">
        <v>138</v>
      </c>
      <c r="E1956" s="15" t="s">
        <v>944</v>
      </c>
      <c r="F1956" s="15" t="s">
        <v>138</v>
      </c>
      <c r="G1956" s="15" t="s">
        <v>946</v>
      </c>
      <c r="H1956" s="7">
        <v>5</v>
      </c>
      <c r="I1956" s="6" t="s">
        <v>37005</v>
      </c>
      <c r="J1956" s="6" t="s">
        <v>13176</v>
      </c>
      <c r="K1956" s="6" t="s">
        <v>46228</v>
      </c>
      <c r="L1956" s="6" t="s">
        <v>46229</v>
      </c>
      <c r="M1956" s="6" t="s">
        <v>39491</v>
      </c>
      <c r="N1956" s="6" t="s">
        <v>44014</v>
      </c>
      <c r="O1956" s="6"/>
      <c r="P1956" s="6"/>
      <c r="Q1956" s="6"/>
      <c r="R1956" s="6"/>
      <c r="S1956" s="6"/>
      <c r="T1956" s="6"/>
      <c r="U1956" s="6"/>
      <c r="V1956" s="6"/>
      <c r="W1956" s="6"/>
      <c r="X1956" s="6"/>
      <c r="Y1956" s="6"/>
      <c r="Z1956" s="6"/>
      <c r="AA1956" s="6"/>
      <c r="AB1956" s="6"/>
      <c r="AC1956" s="6"/>
      <c r="AD1956" s="6"/>
      <c r="AE1956" s="6"/>
      <c r="AF1956" s="6"/>
      <c r="AG1956" s="6"/>
      <c r="AH1956" s="6"/>
      <c r="AI1956" s="6"/>
      <c r="AJ1956" s="6"/>
      <c r="AK1956" s="6"/>
      <c r="AL1956" s="6"/>
      <c r="AM1956" s="6"/>
      <c r="AN1956" s="6"/>
      <c r="AO1956" s="6"/>
      <c r="AP1956" s="6"/>
      <c r="AQ1956" s="6"/>
      <c r="AR1956" s="6"/>
      <c r="AS1956" s="6"/>
      <c r="AT1956" s="6"/>
      <c r="AU1956" s="6"/>
      <c r="AV1956" s="6"/>
      <c r="AW1956" s="6"/>
      <c r="AX1956" s="6"/>
      <c r="AY1956" s="6"/>
      <c r="AZ1956" s="6"/>
      <c r="BA1956" s="6"/>
      <c r="BB1956" s="6"/>
      <c r="BC1956" s="6"/>
      <c r="BD1956" s="6"/>
      <c r="BE1956" s="6"/>
      <c r="BF1956" s="6"/>
      <c r="BG1956" s="6"/>
      <c r="BH1956" s="6"/>
      <c r="BI1956" s="6"/>
      <c r="BJ1956" s="6"/>
      <c r="BK1956" s="6"/>
      <c r="BL1956" s="6"/>
      <c r="BM1956" s="6"/>
      <c r="BN1956" s="6"/>
      <c r="BO1956" s="6"/>
      <c r="BP1956" s="6"/>
      <c r="BQ1956" s="6"/>
      <c r="BR1956" s="6"/>
      <c r="BS1956" s="6"/>
      <c r="BT1956" s="6"/>
    </row>
    <row r="1957" spans="1:72">
      <c r="A1957" s="8" t="s">
        <v>37008</v>
      </c>
      <c r="B1957" s="11" t="s">
        <v>37015</v>
      </c>
      <c r="C1957" s="9" t="s">
        <v>37009</v>
      </c>
      <c r="D1957" s="10" t="s">
        <v>138</v>
      </c>
      <c r="E1957" s="28" t="s">
        <v>16915</v>
      </c>
      <c r="F1957" s="28" t="s">
        <v>7605</v>
      </c>
      <c r="G1957" s="28" t="s">
        <v>162</v>
      </c>
      <c r="H1957" s="13">
        <v>18</v>
      </c>
      <c r="I1957" s="12" t="s">
        <v>37024</v>
      </c>
      <c r="J1957" s="12" t="s">
        <v>46230</v>
      </c>
      <c r="K1957" s="12" t="s">
        <v>43293</v>
      </c>
      <c r="L1957" s="12" t="s">
        <v>46231</v>
      </c>
      <c r="M1957" s="12" t="s">
        <v>38348</v>
      </c>
      <c r="N1957" s="12" t="s">
        <v>42568</v>
      </c>
      <c r="O1957" s="12" t="s">
        <v>40178</v>
      </c>
      <c r="P1957" s="12" t="s">
        <v>46232</v>
      </c>
      <c r="Q1957" s="12" t="s">
        <v>37801</v>
      </c>
      <c r="R1957" s="12" t="s">
        <v>40899</v>
      </c>
      <c r="S1957" s="12" t="s">
        <v>37786</v>
      </c>
      <c r="T1957" s="12" t="s">
        <v>41877</v>
      </c>
      <c r="U1957" s="12" t="s">
        <v>39793</v>
      </c>
      <c r="V1957" s="12" t="s">
        <v>40900</v>
      </c>
      <c r="W1957" s="12" t="s">
        <v>39007</v>
      </c>
      <c r="X1957" s="12" t="s">
        <v>37839</v>
      </c>
      <c r="Y1957" s="12" t="s">
        <v>46233</v>
      </c>
      <c r="Z1957" s="12" t="s">
        <v>43297</v>
      </c>
      <c r="AA1957" s="12" t="s">
        <v>42493</v>
      </c>
      <c r="AB1957" s="12"/>
      <c r="AC1957" s="12"/>
      <c r="AD1957" s="12"/>
      <c r="AE1957" s="12"/>
      <c r="AF1957" s="12"/>
      <c r="AG1957" s="12"/>
      <c r="AH1957" s="12"/>
      <c r="AI1957" s="12"/>
      <c r="AJ1957" s="12"/>
      <c r="AK1957" s="12"/>
      <c r="AL1957" s="12"/>
      <c r="AM1957" s="12"/>
      <c r="AN1957" s="12"/>
      <c r="AO1957" s="12"/>
      <c r="AP1957" s="12"/>
      <c r="AQ1957" s="12"/>
      <c r="AR1957" s="12"/>
      <c r="AS1957" s="12"/>
      <c r="AT1957" s="12"/>
      <c r="AU1957" s="12"/>
      <c r="AV1957" s="12"/>
      <c r="AW1957" s="12"/>
      <c r="AX1957" s="12"/>
      <c r="AY1957" s="12"/>
      <c r="AZ1957" s="12"/>
      <c r="BA1957" s="12"/>
      <c r="BB1957" s="12"/>
      <c r="BC1957" s="12"/>
      <c r="BD1957" s="12"/>
      <c r="BE1957" s="12"/>
      <c r="BF1957" s="12"/>
      <c r="BG1957" s="12"/>
      <c r="BH1957" s="12"/>
      <c r="BI1957" s="12"/>
      <c r="BJ1957" s="12"/>
      <c r="BK1957" s="12"/>
      <c r="BL1957" s="12"/>
      <c r="BM1957" s="12"/>
      <c r="BN1957" s="12"/>
      <c r="BO1957" s="12"/>
      <c r="BP1957" s="12"/>
      <c r="BQ1957" s="12"/>
      <c r="BR1957" s="12"/>
      <c r="BS1957" s="12"/>
      <c r="BT1957" s="12"/>
    </row>
    <row r="1958" spans="1:72">
      <c r="A1958" s="2" t="s">
        <v>37027</v>
      </c>
      <c r="B1958" s="5" t="s">
        <v>37031</v>
      </c>
      <c r="C1958" s="3" t="s">
        <v>138</v>
      </c>
      <c r="D1958" s="4" t="s">
        <v>138</v>
      </c>
      <c r="E1958" s="15" t="s">
        <v>473</v>
      </c>
      <c r="F1958" s="15" t="s">
        <v>474</v>
      </c>
      <c r="G1958" s="15" t="s">
        <v>162</v>
      </c>
      <c r="H1958" s="7">
        <v>7</v>
      </c>
      <c r="I1958" s="6" t="s">
        <v>37042</v>
      </c>
      <c r="J1958" s="6" t="s">
        <v>25820</v>
      </c>
      <c r="K1958" s="6" t="s">
        <v>46234</v>
      </c>
      <c r="L1958" s="6" t="s">
        <v>37763</v>
      </c>
      <c r="M1958" s="6" t="s">
        <v>42464</v>
      </c>
      <c r="N1958" s="6" t="s">
        <v>39007</v>
      </c>
      <c r="O1958" s="6" t="s">
        <v>38770</v>
      </c>
      <c r="P1958" s="6" t="s">
        <v>46235</v>
      </c>
      <c r="Q1958" s="6"/>
      <c r="R1958" s="6"/>
      <c r="S1958" s="6"/>
      <c r="T1958" s="6"/>
      <c r="U1958" s="6"/>
      <c r="V1958" s="6"/>
      <c r="W1958" s="6"/>
      <c r="X1958" s="6"/>
      <c r="Y1958" s="6"/>
      <c r="Z1958" s="6"/>
      <c r="AA1958" s="6"/>
      <c r="AB1958" s="6"/>
      <c r="AC1958" s="6"/>
      <c r="AD1958" s="6"/>
      <c r="AE1958" s="6"/>
      <c r="AF1958" s="6"/>
      <c r="AG1958" s="6"/>
      <c r="AH1958" s="6"/>
      <c r="AI1958" s="6"/>
      <c r="AJ1958" s="6"/>
      <c r="AK1958" s="6"/>
      <c r="AL1958" s="6"/>
      <c r="AM1958" s="6"/>
      <c r="AN1958" s="6"/>
      <c r="AO1958" s="6"/>
      <c r="AP1958" s="6"/>
      <c r="AQ1958" s="6"/>
      <c r="AR1958" s="6"/>
      <c r="AS1958" s="6"/>
      <c r="AT1958" s="6"/>
      <c r="AU1958" s="6"/>
      <c r="AV1958" s="6"/>
      <c r="AW1958" s="6"/>
      <c r="AX1958" s="6"/>
      <c r="AY1958" s="6"/>
      <c r="AZ1958" s="6"/>
      <c r="BA1958" s="6"/>
      <c r="BB1958" s="6"/>
      <c r="BC1958" s="6"/>
      <c r="BD1958" s="6"/>
      <c r="BE1958" s="6"/>
      <c r="BF1958" s="6"/>
      <c r="BG1958" s="6"/>
      <c r="BH1958" s="6"/>
      <c r="BI1958" s="6"/>
      <c r="BJ1958" s="6"/>
      <c r="BK1958" s="6"/>
      <c r="BL1958" s="6"/>
      <c r="BM1958" s="6"/>
      <c r="BN1958" s="6"/>
      <c r="BO1958" s="6"/>
      <c r="BP1958" s="6"/>
      <c r="BQ1958" s="6"/>
      <c r="BR1958" s="6"/>
      <c r="BS1958" s="6"/>
      <c r="BT1958" s="6"/>
    </row>
    <row r="1959" spans="1:72">
      <c r="A1959" s="8" t="s">
        <v>37045</v>
      </c>
      <c r="B1959" s="11" t="s">
        <v>37050</v>
      </c>
      <c r="C1959" s="9" t="s">
        <v>37046</v>
      </c>
      <c r="D1959" s="10" t="s">
        <v>138</v>
      </c>
      <c r="E1959" s="28" t="s">
        <v>1171</v>
      </c>
      <c r="F1959" s="28" t="s">
        <v>200</v>
      </c>
      <c r="G1959" s="28" t="s">
        <v>162</v>
      </c>
      <c r="H1959" s="13" t="s">
        <v>138</v>
      </c>
      <c r="I1959" s="12" t="s">
        <v>138</v>
      </c>
      <c r="J1959" s="12"/>
      <c r="K1959" s="12"/>
      <c r="L1959" s="12"/>
      <c r="M1959" s="12"/>
      <c r="N1959" s="12"/>
      <c r="O1959" s="12"/>
      <c r="P1959" s="12"/>
      <c r="Q1959" s="12"/>
      <c r="R1959" s="12"/>
      <c r="S1959" s="12"/>
      <c r="T1959" s="12"/>
      <c r="U1959" s="12"/>
      <c r="V1959" s="12"/>
      <c r="W1959" s="12"/>
      <c r="X1959" s="12"/>
      <c r="Y1959" s="12"/>
      <c r="Z1959" s="12"/>
      <c r="AA1959" s="12"/>
      <c r="AB1959" s="12"/>
      <c r="AC1959" s="12"/>
      <c r="AD1959" s="12"/>
      <c r="AE1959" s="12"/>
      <c r="AF1959" s="12"/>
      <c r="AG1959" s="12"/>
      <c r="AH1959" s="12"/>
      <c r="AI1959" s="12"/>
      <c r="AJ1959" s="12"/>
      <c r="AK1959" s="12"/>
      <c r="AL1959" s="12"/>
      <c r="AM1959" s="12"/>
      <c r="AN1959" s="12"/>
      <c r="AO1959" s="12"/>
      <c r="AP1959" s="12"/>
      <c r="AQ1959" s="12"/>
      <c r="AR1959" s="12"/>
      <c r="AS1959" s="12"/>
      <c r="AT1959" s="12"/>
      <c r="AU1959" s="12"/>
      <c r="AV1959" s="12"/>
      <c r="AW1959" s="12"/>
      <c r="AX1959" s="12"/>
      <c r="AY1959" s="12"/>
      <c r="AZ1959" s="12"/>
      <c r="BA1959" s="12"/>
      <c r="BB1959" s="12"/>
      <c r="BC1959" s="12"/>
      <c r="BD1959" s="12"/>
      <c r="BE1959" s="12"/>
      <c r="BF1959" s="12"/>
      <c r="BG1959" s="12"/>
      <c r="BH1959" s="12"/>
      <c r="BI1959" s="12"/>
      <c r="BJ1959" s="12"/>
      <c r="BK1959" s="12"/>
      <c r="BL1959" s="12"/>
      <c r="BM1959" s="12"/>
      <c r="BN1959" s="12"/>
      <c r="BO1959" s="12"/>
      <c r="BP1959" s="12"/>
      <c r="BQ1959" s="12"/>
      <c r="BR1959" s="12"/>
      <c r="BS1959" s="12"/>
      <c r="BT1959" s="12"/>
    </row>
    <row r="1960" spans="1:72">
      <c r="A1960" s="2" t="s">
        <v>37065</v>
      </c>
      <c r="B1960" s="5" t="s">
        <v>37070</v>
      </c>
      <c r="C1960" s="3" t="s">
        <v>138</v>
      </c>
      <c r="D1960" s="4" t="s">
        <v>138</v>
      </c>
      <c r="E1960" s="15" t="s">
        <v>863</v>
      </c>
      <c r="F1960" s="15" t="s">
        <v>864</v>
      </c>
      <c r="G1960" s="15" t="s">
        <v>162</v>
      </c>
      <c r="H1960" s="7">
        <v>3</v>
      </c>
      <c r="I1960" s="6" t="s">
        <v>37078</v>
      </c>
      <c r="J1960" s="6" t="s">
        <v>46236</v>
      </c>
      <c r="K1960" s="6" t="s">
        <v>39475</v>
      </c>
      <c r="L1960" s="6" t="s">
        <v>40134</v>
      </c>
      <c r="M1960" s="6"/>
      <c r="N1960" s="6"/>
      <c r="O1960" s="6"/>
      <c r="P1960" s="6"/>
      <c r="Q1960" s="6"/>
      <c r="R1960" s="6"/>
      <c r="S1960" s="6"/>
      <c r="T1960" s="6"/>
      <c r="U1960" s="6"/>
      <c r="V1960" s="6"/>
      <c r="W1960" s="6"/>
      <c r="X1960" s="6"/>
      <c r="Y1960" s="6"/>
      <c r="Z1960" s="6"/>
      <c r="AA1960" s="6"/>
      <c r="AB1960" s="6"/>
      <c r="AC1960" s="6"/>
      <c r="AD1960" s="6"/>
      <c r="AE1960" s="6"/>
      <c r="AF1960" s="6"/>
      <c r="AG1960" s="6"/>
      <c r="AH1960" s="6"/>
      <c r="AI1960" s="6"/>
      <c r="AJ1960" s="6"/>
      <c r="AK1960" s="6"/>
      <c r="AL1960" s="6"/>
      <c r="AM1960" s="6"/>
      <c r="AN1960" s="6"/>
      <c r="AO1960" s="6"/>
      <c r="AP1960" s="6"/>
      <c r="AQ1960" s="6"/>
      <c r="AR1960" s="6"/>
      <c r="AS1960" s="6"/>
      <c r="AT1960" s="6"/>
      <c r="AU1960" s="6"/>
      <c r="AV1960" s="6"/>
      <c r="AW1960" s="6"/>
      <c r="AX1960" s="6"/>
      <c r="AY1960" s="6"/>
      <c r="AZ1960" s="6"/>
      <c r="BA1960" s="6"/>
      <c r="BB1960" s="6"/>
      <c r="BC1960" s="6"/>
      <c r="BD1960" s="6"/>
      <c r="BE1960" s="6"/>
      <c r="BF1960" s="6"/>
      <c r="BG1960" s="6"/>
      <c r="BH1960" s="6"/>
      <c r="BI1960" s="6"/>
      <c r="BJ1960" s="6"/>
      <c r="BK1960" s="6"/>
      <c r="BL1960" s="6"/>
      <c r="BM1960" s="6"/>
      <c r="BN1960" s="6"/>
      <c r="BO1960" s="6"/>
      <c r="BP1960" s="6"/>
      <c r="BQ1960" s="6"/>
      <c r="BR1960" s="6"/>
      <c r="BS1960" s="6"/>
      <c r="BT1960" s="6"/>
    </row>
    <row r="1961" spans="1:72">
      <c r="A1961" s="8" t="s">
        <v>37082</v>
      </c>
      <c r="B1961" s="11" t="s">
        <v>37088</v>
      </c>
      <c r="C1961" s="9" t="s">
        <v>37083</v>
      </c>
      <c r="D1961" s="10" t="s">
        <v>37084</v>
      </c>
      <c r="E1961" s="28" t="s">
        <v>37096</v>
      </c>
      <c r="F1961" s="28" t="s">
        <v>864</v>
      </c>
      <c r="G1961" s="28" t="s">
        <v>162</v>
      </c>
      <c r="H1961" s="13">
        <v>11</v>
      </c>
      <c r="I1961" s="12" t="s">
        <v>37101</v>
      </c>
      <c r="J1961" s="12" t="s">
        <v>18057</v>
      </c>
      <c r="K1961" s="12" t="s">
        <v>42613</v>
      </c>
      <c r="L1961" s="12" t="s">
        <v>45337</v>
      </c>
      <c r="M1961" s="12" t="s">
        <v>46237</v>
      </c>
      <c r="N1961" s="12" t="s">
        <v>46238</v>
      </c>
      <c r="O1961" s="12" t="s">
        <v>46239</v>
      </c>
      <c r="P1961" s="12" t="s">
        <v>46171</v>
      </c>
      <c r="Q1961" s="12" t="s">
        <v>46240</v>
      </c>
      <c r="R1961" s="12" t="s">
        <v>38321</v>
      </c>
      <c r="S1961" s="12" t="s">
        <v>46241</v>
      </c>
      <c r="T1961" s="12" t="s">
        <v>46242</v>
      </c>
      <c r="U1961" s="12"/>
      <c r="V1961" s="12"/>
      <c r="W1961" s="12"/>
      <c r="X1961" s="12"/>
      <c r="Y1961" s="12"/>
      <c r="Z1961" s="12"/>
      <c r="AA1961" s="12"/>
      <c r="AB1961" s="12"/>
      <c r="AC1961" s="12"/>
      <c r="AD1961" s="12"/>
      <c r="AE1961" s="12"/>
      <c r="AF1961" s="12"/>
      <c r="AG1961" s="12"/>
      <c r="AH1961" s="12"/>
      <c r="AI1961" s="12"/>
      <c r="AJ1961" s="12"/>
      <c r="AK1961" s="12"/>
      <c r="AL1961" s="12"/>
      <c r="AM1961" s="12"/>
      <c r="AN1961" s="12"/>
      <c r="AO1961" s="12"/>
      <c r="AP1961" s="12"/>
      <c r="AQ1961" s="12"/>
      <c r="AR1961" s="12"/>
      <c r="AS1961" s="12"/>
      <c r="AT1961" s="12"/>
      <c r="AU1961" s="12"/>
      <c r="AV1961" s="12"/>
      <c r="AW1961" s="12"/>
      <c r="AX1961" s="12"/>
      <c r="AY1961" s="12"/>
      <c r="AZ1961" s="12"/>
      <c r="BA1961" s="12"/>
      <c r="BB1961" s="12"/>
      <c r="BC1961" s="12"/>
      <c r="BD1961" s="12"/>
      <c r="BE1961" s="12"/>
      <c r="BF1961" s="12"/>
      <c r="BG1961" s="12"/>
      <c r="BH1961" s="12"/>
      <c r="BI1961" s="12"/>
      <c r="BJ1961" s="12"/>
      <c r="BK1961" s="12"/>
      <c r="BL1961" s="12"/>
      <c r="BM1961" s="12"/>
      <c r="BN1961" s="12"/>
      <c r="BO1961" s="12"/>
      <c r="BP1961" s="12"/>
      <c r="BQ1961" s="12"/>
      <c r="BR1961" s="12"/>
      <c r="BS1961" s="12"/>
      <c r="BT1961" s="12"/>
    </row>
    <row r="1962" spans="1:72">
      <c r="A1962" s="2" t="s">
        <v>37104</v>
      </c>
      <c r="B1962" s="5" t="s">
        <v>37109</v>
      </c>
      <c r="C1962" s="3" t="s">
        <v>138</v>
      </c>
      <c r="D1962" s="4" t="s">
        <v>138</v>
      </c>
      <c r="E1962" s="15" t="s">
        <v>2694</v>
      </c>
      <c r="F1962" s="15" t="s">
        <v>138</v>
      </c>
      <c r="G1962" s="15" t="s">
        <v>1054</v>
      </c>
      <c r="H1962" s="7">
        <v>17</v>
      </c>
      <c r="I1962" s="6" t="s">
        <v>37119</v>
      </c>
      <c r="J1962" s="6" t="s">
        <v>46243</v>
      </c>
      <c r="K1962" s="6" t="s">
        <v>46244</v>
      </c>
      <c r="L1962" s="6" t="s">
        <v>39368</v>
      </c>
      <c r="M1962" s="6" t="s">
        <v>45834</v>
      </c>
      <c r="N1962" s="6" t="s">
        <v>38299</v>
      </c>
      <c r="O1962" s="6" t="s">
        <v>46245</v>
      </c>
      <c r="P1962" s="6" t="s">
        <v>38379</v>
      </c>
      <c r="Q1962" s="6" t="s">
        <v>45665</v>
      </c>
      <c r="R1962" s="6" t="s">
        <v>37855</v>
      </c>
      <c r="S1962" s="6" t="s">
        <v>46246</v>
      </c>
      <c r="T1962" s="6" t="s">
        <v>40948</v>
      </c>
      <c r="U1962" s="6" t="s">
        <v>38642</v>
      </c>
      <c r="V1962" s="6" t="s">
        <v>45315</v>
      </c>
      <c r="W1962" s="6" t="s">
        <v>38085</v>
      </c>
      <c r="X1962" s="6" t="s">
        <v>43353</v>
      </c>
      <c r="Y1962" s="6" t="s">
        <v>43354</v>
      </c>
      <c r="Z1962" s="6" t="s">
        <v>46247</v>
      </c>
      <c r="AA1962" s="6"/>
      <c r="AB1962" s="6"/>
      <c r="AC1962" s="6"/>
      <c r="AD1962" s="6"/>
      <c r="AE1962" s="6"/>
      <c r="AF1962" s="6"/>
      <c r="AG1962" s="6"/>
      <c r="AH1962" s="6"/>
      <c r="AI1962" s="6"/>
      <c r="AJ1962" s="6"/>
      <c r="AK1962" s="6"/>
      <c r="AL1962" s="6"/>
      <c r="AM1962" s="6"/>
      <c r="AN1962" s="6"/>
      <c r="AO1962" s="6"/>
      <c r="AP1962" s="6"/>
      <c r="AQ1962" s="6"/>
      <c r="AR1962" s="6"/>
      <c r="AS1962" s="6"/>
      <c r="AT1962" s="6"/>
      <c r="AU1962" s="6"/>
      <c r="AV1962" s="6"/>
      <c r="AW1962" s="6"/>
      <c r="AX1962" s="6"/>
      <c r="AY1962" s="6"/>
      <c r="AZ1962" s="6"/>
      <c r="BA1962" s="6"/>
      <c r="BB1962" s="6"/>
      <c r="BC1962" s="6"/>
      <c r="BD1962" s="6"/>
      <c r="BE1962" s="6"/>
      <c r="BF1962" s="6"/>
      <c r="BG1962" s="6"/>
      <c r="BH1962" s="6"/>
      <c r="BI1962" s="6"/>
      <c r="BJ1962" s="6"/>
      <c r="BK1962" s="6"/>
      <c r="BL1962" s="6"/>
      <c r="BM1962" s="6"/>
      <c r="BN1962" s="6"/>
      <c r="BO1962" s="6"/>
      <c r="BP1962" s="6"/>
      <c r="BQ1962" s="6"/>
      <c r="BR1962" s="6"/>
      <c r="BS1962" s="6"/>
      <c r="BT1962" s="6"/>
    </row>
    <row r="1963" spans="1:72">
      <c r="A1963" s="8" t="s">
        <v>37123</v>
      </c>
      <c r="B1963" s="11" t="s">
        <v>37127</v>
      </c>
      <c r="C1963" s="9" t="s">
        <v>138</v>
      </c>
      <c r="D1963" s="10" t="s">
        <v>138</v>
      </c>
      <c r="E1963" s="28" t="s">
        <v>2030</v>
      </c>
      <c r="F1963" s="28" t="s">
        <v>2031</v>
      </c>
      <c r="G1963" s="28" t="s">
        <v>162</v>
      </c>
      <c r="H1963" s="13">
        <v>10</v>
      </c>
      <c r="I1963" s="12" t="s">
        <v>37136</v>
      </c>
      <c r="J1963" s="12" t="s">
        <v>16877</v>
      </c>
      <c r="K1963" s="12" t="s">
        <v>46248</v>
      </c>
      <c r="L1963" s="12" t="s">
        <v>38319</v>
      </c>
      <c r="M1963" s="12" t="s">
        <v>40471</v>
      </c>
      <c r="N1963" s="12" t="s">
        <v>39744</v>
      </c>
      <c r="O1963" s="12" t="s">
        <v>42725</v>
      </c>
      <c r="P1963" s="12" t="s">
        <v>39082</v>
      </c>
      <c r="Q1963" s="12" t="s">
        <v>38582</v>
      </c>
      <c r="R1963" s="12" t="s">
        <v>38728</v>
      </c>
      <c r="S1963" s="12" t="s">
        <v>40957</v>
      </c>
      <c r="T1963" s="12"/>
      <c r="U1963" s="12"/>
      <c r="V1963" s="12"/>
      <c r="W1963" s="12"/>
      <c r="X1963" s="12"/>
      <c r="Y1963" s="12"/>
      <c r="Z1963" s="12"/>
      <c r="AA1963" s="12"/>
      <c r="AB1963" s="12"/>
      <c r="AC1963" s="12"/>
      <c r="AD1963" s="12"/>
      <c r="AE1963" s="12"/>
      <c r="AF1963" s="12"/>
      <c r="AG1963" s="12"/>
      <c r="AH1963" s="12"/>
      <c r="AI1963" s="12"/>
      <c r="AJ1963" s="12"/>
      <c r="AK1963" s="12"/>
      <c r="AL1963" s="12"/>
      <c r="AM1963" s="12"/>
      <c r="AN1963" s="12"/>
      <c r="AO1963" s="12"/>
      <c r="AP1963" s="12"/>
      <c r="AQ1963" s="12"/>
      <c r="AR1963" s="12"/>
      <c r="AS1963" s="12"/>
      <c r="AT1963" s="12"/>
      <c r="AU1963" s="12"/>
      <c r="AV1963" s="12"/>
      <c r="AW1963" s="12"/>
      <c r="AX1963" s="12"/>
      <c r="AY1963" s="12"/>
      <c r="AZ1963" s="12"/>
      <c r="BA1963" s="12"/>
      <c r="BB1963" s="12"/>
      <c r="BC1963" s="12"/>
      <c r="BD1963" s="12"/>
      <c r="BE1963" s="12"/>
      <c r="BF1963" s="12"/>
      <c r="BG1963" s="12"/>
      <c r="BH1963" s="12"/>
      <c r="BI1963" s="12"/>
      <c r="BJ1963" s="12"/>
      <c r="BK1963" s="12"/>
      <c r="BL1963" s="12"/>
      <c r="BM1963" s="12"/>
      <c r="BN1963" s="12"/>
      <c r="BO1963" s="12"/>
      <c r="BP1963" s="12"/>
      <c r="BQ1963" s="12"/>
      <c r="BR1963" s="12"/>
      <c r="BS1963" s="12"/>
      <c r="BT1963" s="12"/>
    </row>
    <row r="1964" spans="1:72">
      <c r="A1964" s="2" t="s">
        <v>37141</v>
      </c>
      <c r="B1964" s="5" t="s">
        <v>37145</v>
      </c>
      <c r="C1964" s="3" t="s">
        <v>138</v>
      </c>
      <c r="D1964" s="4" t="s">
        <v>138</v>
      </c>
      <c r="E1964" s="15" t="s">
        <v>6404</v>
      </c>
      <c r="F1964" s="15" t="s">
        <v>200</v>
      </c>
      <c r="G1964" s="15" t="s">
        <v>162</v>
      </c>
      <c r="H1964" s="7">
        <v>31</v>
      </c>
      <c r="I1964" s="6" t="s">
        <v>37155</v>
      </c>
      <c r="J1964" s="6" t="s">
        <v>39398</v>
      </c>
      <c r="K1964" s="6" t="s">
        <v>45034</v>
      </c>
      <c r="L1964" s="6" t="s">
        <v>41553</v>
      </c>
      <c r="M1964" s="6" t="s">
        <v>46249</v>
      </c>
      <c r="N1964" s="6" t="s">
        <v>37819</v>
      </c>
      <c r="O1964" s="6" t="s">
        <v>46250</v>
      </c>
      <c r="P1964" s="6" t="s">
        <v>38417</v>
      </c>
      <c r="Q1964" s="6" t="s">
        <v>38802</v>
      </c>
      <c r="R1964" s="6" t="s">
        <v>40820</v>
      </c>
      <c r="S1964" s="6" t="s">
        <v>38113</v>
      </c>
      <c r="T1964" s="6" t="s">
        <v>37921</v>
      </c>
      <c r="U1964" s="6" t="s">
        <v>46251</v>
      </c>
      <c r="V1964" s="6" t="s">
        <v>37801</v>
      </c>
      <c r="W1964" s="6" t="s">
        <v>38742</v>
      </c>
      <c r="X1964" s="6" t="s">
        <v>46252</v>
      </c>
      <c r="Y1964" s="6" t="s">
        <v>41233</v>
      </c>
      <c r="Z1964" s="6" t="s">
        <v>39416</v>
      </c>
      <c r="AA1964" s="6" t="s">
        <v>46253</v>
      </c>
      <c r="AB1964" s="6" t="s">
        <v>40406</v>
      </c>
      <c r="AC1964" s="6" t="s">
        <v>37884</v>
      </c>
      <c r="AD1964" s="6" t="s">
        <v>37996</v>
      </c>
      <c r="AE1964" s="6" t="s">
        <v>40153</v>
      </c>
      <c r="AF1964" s="6" t="s">
        <v>46254</v>
      </c>
      <c r="AG1964" s="6" t="s">
        <v>44920</v>
      </c>
      <c r="AH1964" s="6" t="s">
        <v>40725</v>
      </c>
      <c r="AI1964" s="6" t="s">
        <v>37971</v>
      </c>
      <c r="AJ1964" s="6" t="s">
        <v>46255</v>
      </c>
      <c r="AK1964" s="6" t="s">
        <v>38168</v>
      </c>
      <c r="AL1964" s="6" t="s">
        <v>45484</v>
      </c>
      <c r="AM1964" s="6" t="s">
        <v>38273</v>
      </c>
      <c r="AN1964" s="6" t="s">
        <v>42051</v>
      </c>
      <c r="AO1964" s="6"/>
      <c r="AP1964" s="6"/>
      <c r="AQ1964" s="6"/>
      <c r="AR1964" s="6"/>
      <c r="AS1964" s="6"/>
      <c r="AT1964" s="6"/>
      <c r="AU1964" s="6"/>
      <c r="AV1964" s="6"/>
      <c r="AW1964" s="6"/>
      <c r="AX1964" s="6"/>
      <c r="AY1964" s="6"/>
      <c r="AZ1964" s="6"/>
      <c r="BA1964" s="6"/>
      <c r="BB1964" s="6"/>
      <c r="BC1964" s="6"/>
      <c r="BD1964" s="6"/>
      <c r="BE1964" s="6"/>
      <c r="BF1964" s="6"/>
      <c r="BG1964" s="6"/>
      <c r="BH1964" s="6"/>
      <c r="BI1964" s="6"/>
      <c r="BJ1964" s="6"/>
      <c r="BK1964" s="6"/>
      <c r="BL1964" s="6"/>
      <c r="BM1964" s="6"/>
      <c r="BN1964" s="6"/>
      <c r="BO1964" s="6"/>
      <c r="BP1964" s="6"/>
      <c r="BQ1964" s="6"/>
      <c r="BR1964" s="6"/>
      <c r="BS1964" s="6"/>
      <c r="BT1964" s="6"/>
    </row>
    <row r="1965" spans="1:72">
      <c r="A1965" s="8" t="s">
        <v>37162</v>
      </c>
      <c r="B1965" s="11" t="s">
        <v>37166</v>
      </c>
      <c r="C1965" s="9" t="s">
        <v>138</v>
      </c>
      <c r="D1965" s="10" t="s">
        <v>138</v>
      </c>
      <c r="E1965" s="28" t="s">
        <v>1744</v>
      </c>
      <c r="F1965" s="28" t="s">
        <v>138</v>
      </c>
      <c r="G1965" s="28" t="s">
        <v>1746</v>
      </c>
      <c r="H1965" s="13">
        <v>15</v>
      </c>
      <c r="I1965" s="12" t="s">
        <v>37173</v>
      </c>
      <c r="J1965" s="12" t="s">
        <v>35368</v>
      </c>
      <c r="K1965" s="12" t="s">
        <v>46256</v>
      </c>
      <c r="L1965" s="12" t="s">
        <v>46257</v>
      </c>
      <c r="M1965" s="12" t="s">
        <v>42102</v>
      </c>
      <c r="N1965" s="12" t="s">
        <v>46258</v>
      </c>
      <c r="O1965" s="12" t="s">
        <v>46259</v>
      </c>
      <c r="P1965" s="12" t="s">
        <v>40633</v>
      </c>
      <c r="Q1965" s="12" t="s">
        <v>46260</v>
      </c>
      <c r="R1965" s="12" t="s">
        <v>46261</v>
      </c>
      <c r="S1965" s="12" t="s">
        <v>44638</v>
      </c>
      <c r="T1965" s="12" t="s">
        <v>44639</v>
      </c>
      <c r="U1965" s="12" t="s">
        <v>38948</v>
      </c>
      <c r="V1965" s="12" t="s">
        <v>38321</v>
      </c>
      <c r="W1965" s="12" t="s">
        <v>45966</v>
      </c>
      <c r="X1965" s="12" t="s">
        <v>46262</v>
      </c>
      <c r="Y1965" s="12"/>
      <c r="Z1965" s="12"/>
      <c r="AA1965" s="12"/>
      <c r="AB1965" s="12"/>
      <c r="AC1965" s="12"/>
      <c r="AD1965" s="12"/>
      <c r="AE1965" s="12"/>
      <c r="AF1965" s="12"/>
      <c r="AG1965" s="12"/>
      <c r="AH1965" s="12"/>
      <c r="AI1965" s="12"/>
      <c r="AJ1965" s="12"/>
      <c r="AK1965" s="12"/>
      <c r="AL1965" s="12"/>
      <c r="AM1965" s="12"/>
      <c r="AN1965" s="12"/>
      <c r="AO1965" s="12"/>
      <c r="AP1965" s="12"/>
      <c r="AQ1965" s="12"/>
      <c r="AR1965" s="12"/>
      <c r="AS1965" s="12"/>
      <c r="AT1965" s="12"/>
      <c r="AU1965" s="12"/>
      <c r="AV1965" s="12"/>
      <c r="AW1965" s="12"/>
      <c r="AX1965" s="12"/>
      <c r="AY1965" s="12"/>
      <c r="AZ1965" s="12"/>
      <c r="BA1965" s="12"/>
      <c r="BB1965" s="12"/>
      <c r="BC1965" s="12"/>
      <c r="BD1965" s="12"/>
      <c r="BE1965" s="12"/>
      <c r="BF1965" s="12"/>
      <c r="BG1965" s="12"/>
      <c r="BH1965" s="12"/>
      <c r="BI1965" s="12"/>
      <c r="BJ1965" s="12"/>
      <c r="BK1965" s="12"/>
      <c r="BL1965" s="12"/>
      <c r="BM1965" s="12"/>
      <c r="BN1965" s="12"/>
      <c r="BO1965" s="12"/>
      <c r="BP1965" s="12"/>
      <c r="BQ1965" s="12"/>
      <c r="BR1965" s="12"/>
      <c r="BS1965" s="12"/>
      <c r="BT1965" s="12"/>
    </row>
    <row r="1966" spans="1:72">
      <c r="A1966" s="2" t="s">
        <v>37178</v>
      </c>
      <c r="B1966" s="5" t="s">
        <v>37182</v>
      </c>
      <c r="C1966" s="3" t="s">
        <v>138</v>
      </c>
      <c r="D1966" s="4" t="s">
        <v>138</v>
      </c>
      <c r="E1966" s="15" t="s">
        <v>37189</v>
      </c>
      <c r="F1966" s="15" t="s">
        <v>138</v>
      </c>
      <c r="G1966" s="15" t="s">
        <v>2071</v>
      </c>
      <c r="H1966" s="7">
        <v>1</v>
      </c>
      <c r="I1966" s="6" t="s">
        <v>2075</v>
      </c>
      <c r="J1966" s="6" t="s">
        <v>2075</v>
      </c>
      <c r="K1966" s="6"/>
      <c r="L1966" s="6"/>
      <c r="M1966" s="6"/>
      <c r="N1966" s="6"/>
      <c r="O1966" s="6"/>
      <c r="P1966" s="6"/>
      <c r="Q1966" s="6"/>
      <c r="R1966" s="6"/>
      <c r="S1966" s="6"/>
      <c r="T1966" s="6"/>
      <c r="U1966" s="6"/>
      <c r="V1966" s="6"/>
      <c r="W1966" s="6"/>
      <c r="X1966" s="6"/>
      <c r="Y1966" s="6"/>
      <c r="Z1966" s="6"/>
      <c r="AA1966" s="6"/>
      <c r="AB1966" s="6"/>
      <c r="AC1966" s="6"/>
      <c r="AD1966" s="6"/>
      <c r="AE1966" s="6"/>
      <c r="AF1966" s="6"/>
      <c r="AG1966" s="6"/>
      <c r="AH1966" s="6"/>
      <c r="AI1966" s="6"/>
      <c r="AJ1966" s="6"/>
      <c r="AK1966" s="6"/>
      <c r="AL1966" s="6"/>
      <c r="AM1966" s="6"/>
      <c r="AN1966" s="6"/>
      <c r="AO1966" s="6"/>
      <c r="AP1966" s="6"/>
      <c r="AQ1966" s="6"/>
      <c r="AR1966" s="6"/>
      <c r="AS1966" s="6"/>
      <c r="AT1966" s="6"/>
      <c r="AU1966" s="6"/>
      <c r="AV1966" s="6"/>
      <c r="AW1966" s="6"/>
      <c r="AX1966" s="6"/>
      <c r="AY1966" s="6"/>
      <c r="AZ1966" s="6"/>
      <c r="BA1966" s="6"/>
      <c r="BB1966" s="6"/>
      <c r="BC1966" s="6"/>
      <c r="BD1966" s="6"/>
      <c r="BE1966" s="6"/>
      <c r="BF1966" s="6"/>
      <c r="BG1966" s="6"/>
      <c r="BH1966" s="6"/>
      <c r="BI1966" s="6"/>
      <c r="BJ1966" s="6"/>
      <c r="BK1966" s="6"/>
      <c r="BL1966" s="6"/>
      <c r="BM1966" s="6"/>
      <c r="BN1966" s="6"/>
      <c r="BO1966" s="6"/>
      <c r="BP1966" s="6"/>
      <c r="BQ1966" s="6"/>
      <c r="BR1966" s="6"/>
      <c r="BS1966" s="6"/>
      <c r="BT1966" s="6"/>
    </row>
    <row r="1967" spans="1:72">
      <c r="A1967" s="8" t="s">
        <v>37194</v>
      </c>
      <c r="B1967" s="11" t="s">
        <v>37200</v>
      </c>
      <c r="C1967" s="9" t="s">
        <v>138</v>
      </c>
      <c r="D1967" s="10" t="s">
        <v>138</v>
      </c>
      <c r="E1967" s="28" t="s">
        <v>37208</v>
      </c>
      <c r="F1967" s="28" t="s">
        <v>4493</v>
      </c>
      <c r="G1967" s="28" t="s">
        <v>162</v>
      </c>
      <c r="H1967" s="13">
        <v>21</v>
      </c>
      <c r="I1967" s="12" t="s">
        <v>37213</v>
      </c>
      <c r="J1967" s="12" t="s">
        <v>46263</v>
      </c>
      <c r="K1967" s="12" t="s">
        <v>39001</v>
      </c>
      <c r="L1967" s="12" t="s">
        <v>37936</v>
      </c>
      <c r="M1967" s="12" t="s">
        <v>46060</v>
      </c>
      <c r="N1967" s="12" t="s">
        <v>42933</v>
      </c>
      <c r="O1967" s="12" t="s">
        <v>39003</v>
      </c>
      <c r="P1967" s="12" t="s">
        <v>39031</v>
      </c>
      <c r="Q1967" s="12" t="s">
        <v>37819</v>
      </c>
      <c r="R1967" s="12" t="s">
        <v>40147</v>
      </c>
      <c r="S1967" s="12" t="s">
        <v>43803</v>
      </c>
      <c r="T1967" s="12" t="s">
        <v>38349</v>
      </c>
      <c r="U1967" s="12" t="s">
        <v>46264</v>
      </c>
      <c r="V1967" s="12" t="s">
        <v>42934</v>
      </c>
      <c r="W1967" s="12" t="s">
        <v>46265</v>
      </c>
      <c r="X1967" s="12" t="s">
        <v>40093</v>
      </c>
      <c r="Y1967" s="12" t="s">
        <v>43322</v>
      </c>
      <c r="Z1967" s="12" t="s">
        <v>46266</v>
      </c>
      <c r="AA1967" s="12" t="s">
        <v>46267</v>
      </c>
      <c r="AB1967" s="12" t="s">
        <v>39108</v>
      </c>
      <c r="AC1967" s="12" t="s">
        <v>39685</v>
      </c>
      <c r="AD1967" s="12" t="s">
        <v>39109</v>
      </c>
      <c r="AE1967" s="12"/>
      <c r="AF1967" s="12"/>
      <c r="AG1967" s="12"/>
      <c r="AH1967" s="12"/>
      <c r="AI1967" s="12"/>
      <c r="AJ1967" s="12"/>
      <c r="AK1967" s="12"/>
      <c r="AL1967" s="12"/>
      <c r="AM1967" s="12"/>
      <c r="AN1967" s="12"/>
      <c r="AO1967" s="12"/>
      <c r="AP1967" s="12"/>
      <c r="AQ1967" s="12"/>
      <c r="AR1967" s="12"/>
      <c r="AS1967" s="12"/>
      <c r="AT1967" s="12"/>
      <c r="AU1967" s="12"/>
      <c r="AV1967" s="12"/>
      <c r="AW1967" s="12"/>
      <c r="AX1967" s="12"/>
      <c r="AY1967" s="12"/>
      <c r="AZ1967" s="12"/>
      <c r="BA1967" s="12"/>
      <c r="BB1967" s="12"/>
      <c r="BC1967" s="12"/>
      <c r="BD1967" s="12"/>
      <c r="BE1967" s="12"/>
      <c r="BF1967" s="12"/>
      <c r="BG1967" s="12"/>
      <c r="BH1967" s="12"/>
      <c r="BI1967" s="12"/>
      <c r="BJ1967" s="12"/>
      <c r="BK1967" s="12"/>
      <c r="BL1967" s="12"/>
      <c r="BM1967" s="12"/>
      <c r="BN1967" s="12"/>
      <c r="BO1967" s="12"/>
      <c r="BP1967" s="12"/>
      <c r="BQ1967" s="12"/>
      <c r="BR1967" s="12"/>
      <c r="BS1967" s="12"/>
      <c r="BT1967" s="12"/>
    </row>
    <row r="1968" spans="1:72">
      <c r="A1968" s="2" t="s">
        <v>37217</v>
      </c>
      <c r="B1968" s="5" t="s">
        <v>37222</v>
      </c>
      <c r="C1968" s="3" t="s">
        <v>138</v>
      </c>
      <c r="D1968" s="4" t="s">
        <v>138</v>
      </c>
      <c r="E1968" s="15" t="s">
        <v>1294</v>
      </c>
      <c r="F1968" s="15" t="s">
        <v>864</v>
      </c>
      <c r="G1968" s="15" t="s">
        <v>162</v>
      </c>
      <c r="H1968" s="7">
        <v>26</v>
      </c>
      <c r="I1968" s="6" t="s">
        <v>37233</v>
      </c>
      <c r="J1968" s="6" t="s">
        <v>46268</v>
      </c>
      <c r="K1968" s="6" t="s">
        <v>37979</v>
      </c>
      <c r="L1968" s="6" t="s">
        <v>39201</v>
      </c>
      <c r="M1968" s="6" t="s">
        <v>40802</v>
      </c>
      <c r="N1968" s="6" t="s">
        <v>38148</v>
      </c>
      <c r="O1968" s="6" t="s">
        <v>37947</v>
      </c>
      <c r="P1968" s="6" t="s">
        <v>46269</v>
      </c>
      <c r="Q1968" s="6" t="s">
        <v>39277</v>
      </c>
      <c r="R1968" s="6" t="s">
        <v>38017</v>
      </c>
      <c r="S1968" s="6" t="s">
        <v>46270</v>
      </c>
      <c r="T1968" s="6" t="s">
        <v>46271</v>
      </c>
      <c r="U1968" s="6" t="s">
        <v>44604</v>
      </c>
      <c r="V1968" s="6" t="s">
        <v>46272</v>
      </c>
      <c r="W1968" s="6" t="s">
        <v>38184</v>
      </c>
      <c r="X1968" s="6" t="s">
        <v>38000</v>
      </c>
      <c r="Y1968" s="6" t="s">
        <v>45266</v>
      </c>
      <c r="Z1968" s="6" t="s">
        <v>46273</v>
      </c>
      <c r="AA1968" s="6" t="s">
        <v>38579</v>
      </c>
      <c r="AB1968" s="6" t="s">
        <v>38030</v>
      </c>
      <c r="AC1968" s="6" t="s">
        <v>43225</v>
      </c>
      <c r="AD1968" s="6" t="s">
        <v>40651</v>
      </c>
      <c r="AE1968" s="6" t="s">
        <v>38386</v>
      </c>
      <c r="AF1968" s="6" t="s">
        <v>46274</v>
      </c>
      <c r="AG1968" s="6" t="s">
        <v>46275</v>
      </c>
      <c r="AH1968" s="6" t="s">
        <v>37841</v>
      </c>
      <c r="AI1968" s="6" t="s">
        <v>42630</v>
      </c>
      <c r="AJ1968" s="6"/>
      <c r="AK1968" s="6"/>
      <c r="AL1968" s="6"/>
      <c r="AM1968" s="6"/>
      <c r="AN1968" s="6"/>
      <c r="AO1968" s="6"/>
      <c r="AP1968" s="6"/>
      <c r="AQ1968" s="6"/>
      <c r="AR1968" s="6"/>
      <c r="AS1968" s="6"/>
      <c r="AT1968" s="6"/>
      <c r="AU1968" s="6"/>
      <c r="AV1968" s="6"/>
      <c r="AW1968" s="6"/>
      <c r="AX1968" s="6"/>
      <c r="AY1968" s="6"/>
      <c r="AZ1968" s="6"/>
      <c r="BA1968" s="6"/>
      <c r="BB1968" s="6"/>
      <c r="BC1968" s="6"/>
      <c r="BD1968" s="6"/>
      <c r="BE1968" s="6"/>
      <c r="BF1968" s="6"/>
      <c r="BG1968" s="6"/>
      <c r="BH1968" s="6"/>
      <c r="BI1968" s="6"/>
      <c r="BJ1968" s="6"/>
      <c r="BK1968" s="6"/>
      <c r="BL1968" s="6"/>
      <c r="BM1968" s="6"/>
      <c r="BN1968" s="6"/>
      <c r="BO1968" s="6"/>
      <c r="BP1968" s="6"/>
      <c r="BQ1968" s="6"/>
      <c r="BR1968" s="6"/>
      <c r="BS1968" s="6"/>
      <c r="BT1968" s="6"/>
    </row>
    <row r="1969" spans="1:72">
      <c r="A1969" s="8" t="s">
        <v>37237</v>
      </c>
      <c r="B1969" s="11" t="s">
        <v>37241</v>
      </c>
      <c r="C1969" s="9" t="s">
        <v>138</v>
      </c>
      <c r="D1969" s="10" t="s">
        <v>37238</v>
      </c>
      <c r="E1969" s="28" t="s">
        <v>37249</v>
      </c>
      <c r="F1969" s="28" t="s">
        <v>3140</v>
      </c>
      <c r="G1969" s="28" t="s">
        <v>162</v>
      </c>
      <c r="H1969" s="13">
        <v>3</v>
      </c>
      <c r="I1969" s="12" t="s">
        <v>37254</v>
      </c>
      <c r="J1969" s="12" t="s">
        <v>46276</v>
      </c>
      <c r="K1969" s="12" t="s">
        <v>44247</v>
      </c>
      <c r="L1969" s="12" t="s">
        <v>37931</v>
      </c>
      <c r="M1969" s="12"/>
      <c r="N1969" s="12"/>
      <c r="O1969" s="12"/>
      <c r="P1969" s="12"/>
      <c r="Q1969" s="12"/>
      <c r="R1969" s="12"/>
      <c r="S1969" s="12"/>
      <c r="T1969" s="12"/>
      <c r="U1969" s="12"/>
      <c r="V1969" s="12"/>
      <c r="W1969" s="12"/>
      <c r="X1969" s="12"/>
      <c r="Y1969" s="12"/>
      <c r="Z1969" s="12"/>
      <c r="AA1969" s="12"/>
      <c r="AB1969" s="12"/>
      <c r="AC1969" s="12"/>
      <c r="AD1969" s="12"/>
      <c r="AE1969" s="12"/>
      <c r="AF1969" s="12"/>
      <c r="AG1969" s="12"/>
      <c r="AH1969" s="12"/>
      <c r="AI1969" s="12"/>
      <c r="AJ1969" s="12"/>
      <c r="AK1969" s="12"/>
      <c r="AL1969" s="12"/>
      <c r="AM1969" s="12"/>
      <c r="AN1969" s="12"/>
      <c r="AO1969" s="12"/>
      <c r="AP1969" s="12"/>
      <c r="AQ1969" s="12"/>
      <c r="AR1969" s="12"/>
      <c r="AS1969" s="12"/>
      <c r="AT1969" s="12"/>
      <c r="AU1969" s="12"/>
      <c r="AV1969" s="12"/>
      <c r="AW1969" s="12"/>
      <c r="AX1969" s="12"/>
      <c r="AY1969" s="12"/>
      <c r="AZ1969" s="12"/>
      <c r="BA1969" s="12"/>
      <c r="BB1969" s="12"/>
      <c r="BC1969" s="12"/>
      <c r="BD1969" s="12"/>
      <c r="BE1969" s="12"/>
      <c r="BF1969" s="12"/>
      <c r="BG1969" s="12"/>
      <c r="BH1969" s="12"/>
      <c r="BI1969" s="12"/>
      <c r="BJ1969" s="12"/>
      <c r="BK1969" s="12"/>
      <c r="BL1969" s="12"/>
      <c r="BM1969" s="12"/>
      <c r="BN1969" s="12"/>
      <c r="BO1969" s="12"/>
      <c r="BP1969" s="12"/>
      <c r="BQ1969" s="12"/>
      <c r="BR1969" s="12"/>
      <c r="BS1969" s="12"/>
      <c r="BT1969" s="12"/>
    </row>
    <row r="1970" spans="1:72">
      <c r="A1970" s="2" t="s">
        <v>37260</v>
      </c>
      <c r="B1970" s="5" t="s">
        <v>37265</v>
      </c>
      <c r="C1970" s="3" t="s">
        <v>138</v>
      </c>
      <c r="D1970" s="4" t="s">
        <v>37261</v>
      </c>
      <c r="E1970" s="15" t="s">
        <v>7845</v>
      </c>
      <c r="F1970" s="15" t="s">
        <v>1198</v>
      </c>
      <c r="G1970" s="15" t="s">
        <v>1200</v>
      </c>
      <c r="H1970" s="7">
        <v>4</v>
      </c>
      <c r="I1970" s="6" t="s">
        <v>37278</v>
      </c>
      <c r="J1970" s="6" t="s">
        <v>46277</v>
      </c>
      <c r="K1970" s="6" t="s">
        <v>39140</v>
      </c>
      <c r="L1970" s="6" t="s">
        <v>38321</v>
      </c>
      <c r="M1970" s="6" t="s">
        <v>44461</v>
      </c>
      <c r="N1970" s="6"/>
      <c r="O1970" s="6"/>
      <c r="P1970" s="6"/>
      <c r="Q1970" s="6"/>
      <c r="R1970" s="6"/>
      <c r="S1970" s="6"/>
      <c r="T1970" s="6"/>
      <c r="U1970" s="6"/>
      <c r="V1970" s="6"/>
      <c r="W1970" s="6"/>
      <c r="X1970" s="6"/>
      <c r="Y1970" s="6"/>
      <c r="Z1970" s="6"/>
      <c r="AA1970" s="6"/>
      <c r="AB1970" s="6"/>
      <c r="AC1970" s="6"/>
      <c r="AD1970" s="6"/>
      <c r="AE1970" s="6"/>
      <c r="AF1970" s="6"/>
      <c r="AG1970" s="6"/>
      <c r="AH1970" s="6"/>
      <c r="AI1970" s="6"/>
      <c r="AJ1970" s="6"/>
      <c r="AK1970" s="6"/>
      <c r="AL1970" s="6"/>
      <c r="AM1970" s="6"/>
      <c r="AN1970" s="6"/>
      <c r="AO1970" s="6"/>
      <c r="AP1970" s="6"/>
      <c r="AQ1970" s="6"/>
      <c r="AR1970" s="6"/>
      <c r="AS1970" s="6"/>
      <c r="AT1970" s="6"/>
      <c r="AU1970" s="6"/>
      <c r="AV1970" s="6"/>
      <c r="AW1970" s="6"/>
      <c r="AX1970" s="6"/>
      <c r="AY1970" s="6"/>
      <c r="AZ1970" s="6"/>
      <c r="BA1970" s="6"/>
      <c r="BB1970" s="6"/>
      <c r="BC1970" s="6"/>
      <c r="BD1970" s="6"/>
      <c r="BE1970" s="6"/>
      <c r="BF1970" s="6"/>
      <c r="BG1970" s="6"/>
      <c r="BH1970" s="6"/>
      <c r="BI1970" s="6"/>
      <c r="BJ1970" s="6"/>
      <c r="BK1970" s="6"/>
      <c r="BL1970" s="6"/>
      <c r="BM1970" s="6"/>
      <c r="BN1970" s="6"/>
      <c r="BO1970" s="6"/>
      <c r="BP1970" s="6"/>
      <c r="BQ1970" s="6"/>
      <c r="BR1970" s="6"/>
      <c r="BS1970" s="6"/>
      <c r="BT1970" s="6"/>
    </row>
    <row r="1971" spans="1:72">
      <c r="A1971" s="8" t="s">
        <v>37281</v>
      </c>
      <c r="B1971" s="11" t="s">
        <v>37286</v>
      </c>
      <c r="C1971" s="9" t="s">
        <v>138</v>
      </c>
      <c r="D1971" s="10" t="s">
        <v>138</v>
      </c>
      <c r="E1971" s="28" t="s">
        <v>11750</v>
      </c>
      <c r="F1971" s="28" t="s">
        <v>200</v>
      </c>
      <c r="G1971" s="28" t="s">
        <v>162</v>
      </c>
      <c r="H1971" s="13">
        <v>8</v>
      </c>
      <c r="I1971" s="12" t="s">
        <v>37294</v>
      </c>
      <c r="J1971" s="12" t="s">
        <v>46278</v>
      </c>
      <c r="K1971" s="12" t="s">
        <v>41245</v>
      </c>
      <c r="L1971" s="12" t="s">
        <v>38803</v>
      </c>
      <c r="M1971" s="12" t="s">
        <v>46279</v>
      </c>
      <c r="N1971" s="12" t="s">
        <v>44701</v>
      </c>
      <c r="O1971" s="12" t="s">
        <v>43227</v>
      </c>
      <c r="P1971" s="12" t="s">
        <v>46280</v>
      </c>
      <c r="Q1971" s="12" t="s">
        <v>39074</v>
      </c>
      <c r="R1971" s="12"/>
      <c r="S1971" s="12"/>
      <c r="T1971" s="12"/>
      <c r="U1971" s="12"/>
      <c r="V1971" s="12"/>
      <c r="W1971" s="12"/>
      <c r="X1971" s="12"/>
      <c r="Y1971" s="12"/>
      <c r="Z1971" s="12"/>
      <c r="AA1971" s="12"/>
      <c r="AB1971" s="12"/>
      <c r="AC1971" s="12"/>
      <c r="AD1971" s="12"/>
      <c r="AE1971" s="12"/>
      <c r="AF1971" s="12"/>
      <c r="AG1971" s="12"/>
      <c r="AH1971" s="12"/>
      <c r="AI1971" s="12"/>
      <c r="AJ1971" s="12"/>
      <c r="AK1971" s="12"/>
      <c r="AL1971" s="12"/>
      <c r="AM1971" s="12"/>
      <c r="AN1971" s="12"/>
      <c r="AO1971" s="12"/>
      <c r="AP1971" s="12"/>
      <c r="AQ1971" s="12"/>
      <c r="AR1971" s="12"/>
      <c r="AS1971" s="12"/>
      <c r="AT1971" s="12"/>
      <c r="AU1971" s="12"/>
      <c r="AV1971" s="12"/>
      <c r="AW1971" s="12"/>
      <c r="AX1971" s="12"/>
      <c r="AY1971" s="12"/>
      <c r="AZ1971" s="12"/>
      <c r="BA1971" s="12"/>
      <c r="BB1971" s="12"/>
      <c r="BC1971" s="12"/>
      <c r="BD1971" s="12"/>
      <c r="BE1971" s="12"/>
      <c r="BF1971" s="12"/>
      <c r="BG1971" s="12"/>
      <c r="BH1971" s="12"/>
      <c r="BI1971" s="12"/>
      <c r="BJ1971" s="12"/>
      <c r="BK1971" s="12"/>
      <c r="BL1971" s="12"/>
      <c r="BM1971" s="12"/>
      <c r="BN1971" s="12"/>
      <c r="BO1971" s="12"/>
      <c r="BP1971" s="12"/>
      <c r="BQ1971" s="12"/>
      <c r="BR1971" s="12"/>
      <c r="BS1971" s="12"/>
      <c r="BT1971" s="12"/>
    </row>
    <row r="1972" spans="1:72">
      <c r="A1972" s="2" t="s">
        <v>37297</v>
      </c>
      <c r="B1972" s="5" t="s">
        <v>37302</v>
      </c>
      <c r="C1972" s="3" t="s">
        <v>138</v>
      </c>
      <c r="D1972" s="4" t="s">
        <v>138</v>
      </c>
      <c r="E1972" s="15" t="s">
        <v>1198</v>
      </c>
      <c r="F1972" s="15" t="s">
        <v>138</v>
      </c>
      <c r="G1972" s="15" t="s">
        <v>1200</v>
      </c>
      <c r="H1972" s="7">
        <v>18</v>
      </c>
      <c r="I1972" s="6" t="s">
        <v>37315</v>
      </c>
      <c r="J1972" s="6" t="s">
        <v>44910</v>
      </c>
      <c r="K1972" s="6" t="s">
        <v>46281</v>
      </c>
      <c r="L1972" s="6" t="s">
        <v>46282</v>
      </c>
      <c r="M1972" s="6" t="s">
        <v>41084</v>
      </c>
      <c r="N1972" s="6" t="s">
        <v>46283</v>
      </c>
      <c r="O1972" s="6" t="s">
        <v>46284</v>
      </c>
      <c r="P1972" s="6" t="s">
        <v>39460</v>
      </c>
      <c r="Q1972" s="6" t="s">
        <v>39195</v>
      </c>
      <c r="R1972" s="6" t="s">
        <v>46285</v>
      </c>
      <c r="S1972" s="6" t="s">
        <v>38948</v>
      </c>
      <c r="T1972" s="6" t="s">
        <v>38049</v>
      </c>
      <c r="U1972" s="6" t="s">
        <v>39048</v>
      </c>
      <c r="V1972" s="6" t="s">
        <v>46286</v>
      </c>
      <c r="W1972" s="6" t="s">
        <v>46287</v>
      </c>
      <c r="X1972" s="6" t="s">
        <v>37781</v>
      </c>
      <c r="Y1972" s="6" t="s">
        <v>38712</v>
      </c>
      <c r="Z1972" s="6" t="s">
        <v>46288</v>
      </c>
      <c r="AA1972" s="6" t="s">
        <v>46289</v>
      </c>
      <c r="AB1972" s="6"/>
      <c r="AC1972" s="6"/>
      <c r="AD1972" s="6"/>
      <c r="AE1972" s="6"/>
      <c r="AF1972" s="6"/>
      <c r="AG1972" s="6"/>
      <c r="AH1972" s="6"/>
      <c r="AI1972" s="6"/>
      <c r="AJ1972" s="6"/>
      <c r="AK1972" s="6"/>
      <c r="AL1972" s="6"/>
      <c r="AM1972" s="6"/>
      <c r="AN1972" s="6"/>
      <c r="AO1972" s="6"/>
      <c r="AP1972" s="6"/>
      <c r="AQ1972" s="6"/>
      <c r="AR1972" s="6"/>
      <c r="AS1972" s="6"/>
      <c r="AT1972" s="6"/>
      <c r="AU1972" s="6"/>
      <c r="AV1972" s="6"/>
      <c r="AW1972" s="6"/>
      <c r="AX1972" s="6"/>
      <c r="AY1972" s="6"/>
      <c r="AZ1972" s="6"/>
      <c r="BA1972" s="6"/>
      <c r="BB1972" s="6"/>
      <c r="BC1972" s="6"/>
      <c r="BD1972" s="6"/>
      <c r="BE1972" s="6"/>
      <c r="BF1972" s="6"/>
      <c r="BG1972" s="6"/>
      <c r="BH1972" s="6"/>
      <c r="BI1972" s="6"/>
      <c r="BJ1972" s="6"/>
      <c r="BK1972" s="6"/>
      <c r="BL1972" s="6"/>
      <c r="BM1972" s="6"/>
      <c r="BN1972" s="6"/>
      <c r="BO1972" s="6"/>
      <c r="BP1972" s="6"/>
      <c r="BQ1972" s="6"/>
      <c r="BR1972" s="6"/>
      <c r="BS1972" s="6"/>
      <c r="BT1972" s="6"/>
    </row>
    <row r="1973" spans="1:72">
      <c r="A1973" s="8" t="s">
        <v>37318</v>
      </c>
      <c r="B1973" s="11" t="s">
        <v>37324</v>
      </c>
      <c r="C1973" s="9" t="s">
        <v>37319</v>
      </c>
      <c r="D1973" s="10" t="s">
        <v>138</v>
      </c>
      <c r="E1973" s="28" t="s">
        <v>426</v>
      </c>
      <c r="F1973" s="28" t="s">
        <v>426</v>
      </c>
      <c r="G1973" s="28" t="s">
        <v>162</v>
      </c>
      <c r="H1973" s="13">
        <v>14</v>
      </c>
      <c r="I1973" s="12" t="s">
        <v>37332</v>
      </c>
      <c r="J1973" s="12" t="s">
        <v>43506</v>
      </c>
      <c r="K1973" s="12" t="s">
        <v>39002</v>
      </c>
      <c r="L1973" s="12" t="s">
        <v>41249</v>
      </c>
      <c r="M1973" s="12" t="s">
        <v>38521</v>
      </c>
      <c r="N1973" s="12" t="s">
        <v>42219</v>
      </c>
      <c r="O1973" s="12" t="s">
        <v>39702</v>
      </c>
      <c r="P1973" s="12" t="s">
        <v>37953</v>
      </c>
      <c r="Q1973" s="12" t="s">
        <v>41704</v>
      </c>
      <c r="R1973" s="12" t="s">
        <v>38994</v>
      </c>
      <c r="S1973" s="12" t="s">
        <v>44469</v>
      </c>
      <c r="T1973" s="12" t="s">
        <v>40444</v>
      </c>
      <c r="U1973" s="12" t="s">
        <v>39764</v>
      </c>
      <c r="V1973" s="12" t="s">
        <v>39712</v>
      </c>
      <c r="W1973" s="12" t="s">
        <v>44645</v>
      </c>
      <c r="X1973" s="12"/>
      <c r="Y1973" s="12"/>
      <c r="Z1973" s="12"/>
      <c r="AA1973" s="12"/>
      <c r="AB1973" s="12"/>
      <c r="AC1973" s="12"/>
      <c r="AD1973" s="12"/>
      <c r="AE1973" s="12"/>
      <c r="AF1973" s="12"/>
      <c r="AG1973" s="12"/>
      <c r="AH1973" s="12"/>
      <c r="AI1973" s="12"/>
      <c r="AJ1973" s="12"/>
      <c r="AK1973" s="12"/>
      <c r="AL1973" s="12"/>
      <c r="AM1973" s="12"/>
      <c r="AN1973" s="12"/>
      <c r="AO1973" s="12"/>
      <c r="AP1973" s="12"/>
      <c r="AQ1973" s="12"/>
      <c r="AR1973" s="12"/>
      <c r="AS1973" s="12"/>
      <c r="AT1973" s="12"/>
      <c r="AU1973" s="12"/>
      <c r="AV1973" s="12"/>
      <c r="AW1973" s="12"/>
      <c r="AX1973" s="12"/>
      <c r="AY1973" s="12"/>
      <c r="AZ1973" s="12"/>
      <c r="BA1973" s="12"/>
      <c r="BB1973" s="12"/>
      <c r="BC1973" s="12"/>
      <c r="BD1973" s="12"/>
      <c r="BE1973" s="12"/>
      <c r="BF1973" s="12"/>
      <c r="BG1973" s="12"/>
      <c r="BH1973" s="12"/>
      <c r="BI1973" s="12"/>
      <c r="BJ1973" s="12"/>
      <c r="BK1973" s="12"/>
      <c r="BL1973" s="12"/>
      <c r="BM1973" s="12"/>
      <c r="BN1973" s="12"/>
      <c r="BO1973" s="12"/>
      <c r="BP1973" s="12"/>
      <c r="BQ1973" s="12"/>
      <c r="BR1973" s="12"/>
      <c r="BS1973" s="12"/>
      <c r="BT1973" s="12"/>
    </row>
    <row r="1974" spans="1:72">
      <c r="A1974" s="2" t="s">
        <v>37336</v>
      </c>
      <c r="B1974" s="5" t="s">
        <v>37340</v>
      </c>
      <c r="C1974" s="3" t="s">
        <v>138</v>
      </c>
      <c r="D1974" s="4" t="s">
        <v>138</v>
      </c>
      <c r="E1974" s="15" t="s">
        <v>1198</v>
      </c>
      <c r="F1974" s="15" t="s">
        <v>1341</v>
      </c>
      <c r="G1974" s="15" t="s">
        <v>1200</v>
      </c>
      <c r="H1974" s="7">
        <v>9</v>
      </c>
      <c r="I1974" s="6" t="s">
        <v>37351</v>
      </c>
      <c r="J1974" s="6" t="s">
        <v>46290</v>
      </c>
      <c r="K1974" s="6" t="s">
        <v>42101</v>
      </c>
      <c r="L1974" s="6" t="s">
        <v>38590</v>
      </c>
      <c r="M1974" s="6" t="s">
        <v>43491</v>
      </c>
      <c r="N1974" s="6" t="s">
        <v>46291</v>
      </c>
      <c r="O1974" s="6" t="s">
        <v>41287</v>
      </c>
      <c r="P1974" s="6" t="s">
        <v>46292</v>
      </c>
      <c r="Q1974" s="6" t="s">
        <v>37781</v>
      </c>
      <c r="R1974" s="6" t="s">
        <v>39197</v>
      </c>
      <c r="S1974" s="6"/>
      <c r="T1974" s="6"/>
      <c r="U1974" s="6"/>
      <c r="V1974" s="6"/>
      <c r="W1974" s="6"/>
      <c r="X1974" s="6"/>
      <c r="Y1974" s="6"/>
      <c r="Z1974" s="6"/>
      <c r="AA1974" s="6"/>
      <c r="AB1974" s="6"/>
      <c r="AC1974" s="6"/>
      <c r="AD1974" s="6"/>
      <c r="AE1974" s="6"/>
      <c r="AF1974" s="6"/>
      <c r="AG1974" s="6"/>
      <c r="AH1974" s="6"/>
      <c r="AI1974" s="6"/>
      <c r="AJ1974" s="6"/>
      <c r="AK1974" s="6"/>
      <c r="AL1974" s="6"/>
      <c r="AM1974" s="6"/>
      <c r="AN1974" s="6"/>
      <c r="AO1974" s="6"/>
      <c r="AP1974" s="6"/>
      <c r="AQ1974" s="6"/>
      <c r="AR1974" s="6"/>
      <c r="AS1974" s="6"/>
      <c r="AT1974" s="6"/>
      <c r="AU1974" s="6"/>
      <c r="AV1974" s="6"/>
      <c r="AW1974" s="6"/>
      <c r="AX1974" s="6"/>
      <c r="AY1974" s="6"/>
      <c r="AZ1974" s="6"/>
      <c r="BA1974" s="6"/>
      <c r="BB1974" s="6"/>
      <c r="BC1974" s="6"/>
      <c r="BD1974" s="6"/>
      <c r="BE1974" s="6"/>
      <c r="BF1974" s="6"/>
      <c r="BG1974" s="6"/>
      <c r="BH1974" s="6"/>
      <c r="BI1974" s="6"/>
      <c r="BJ1974" s="6"/>
      <c r="BK1974" s="6"/>
      <c r="BL1974" s="6"/>
      <c r="BM1974" s="6"/>
      <c r="BN1974" s="6"/>
      <c r="BO1974" s="6"/>
      <c r="BP1974" s="6"/>
      <c r="BQ1974" s="6"/>
      <c r="BR1974" s="6"/>
      <c r="BS1974" s="6"/>
      <c r="BT1974" s="6"/>
    </row>
    <row r="1975" spans="1:72">
      <c r="A1975" s="8" t="s">
        <v>37354</v>
      </c>
      <c r="B1975" s="11" t="s">
        <v>37358</v>
      </c>
      <c r="C1975" s="9" t="s">
        <v>138</v>
      </c>
      <c r="D1975" s="10" t="s">
        <v>138</v>
      </c>
      <c r="E1975" s="28" t="s">
        <v>823</v>
      </c>
      <c r="F1975" s="28" t="s">
        <v>824</v>
      </c>
      <c r="G1975" s="28" t="s">
        <v>526</v>
      </c>
      <c r="H1975" s="13">
        <v>7</v>
      </c>
      <c r="I1975" s="12" t="s">
        <v>37365</v>
      </c>
      <c r="J1975" s="12" t="s">
        <v>46293</v>
      </c>
      <c r="K1975" s="12" t="s">
        <v>38354</v>
      </c>
      <c r="L1975" s="12" t="s">
        <v>46294</v>
      </c>
      <c r="M1975" s="12" t="s">
        <v>38609</v>
      </c>
      <c r="N1975" s="12" t="s">
        <v>46295</v>
      </c>
      <c r="O1975" s="12" t="s">
        <v>40752</v>
      </c>
      <c r="P1975" s="12" t="s">
        <v>46296</v>
      </c>
      <c r="Q1975" s="12"/>
      <c r="R1975" s="12"/>
      <c r="S1975" s="12"/>
      <c r="T1975" s="12"/>
      <c r="U1975" s="12"/>
      <c r="V1975" s="12"/>
      <c r="W1975" s="12"/>
      <c r="X1975" s="12"/>
      <c r="Y1975" s="12"/>
      <c r="Z1975" s="12"/>
      <c r="AA1975" s="12"/>
      <c r="AB1975" s="12"/>
      <c r="AC1975" s="12"/>
      <c r="AD1975" s="12"/>
      <c r="AE1975" s="12"/>
      <c r="AF1975" s="12"/>
      <c r="AG1975" s="12"/>
      <c r="AH1975" s="12"/>
      <c r="AI1975" s="12"/>
      <c r="AJ1975" s="12"/>
      <c r="AK1975" s="12"/>
      <c r="AL1975" s="12"/>
      <c r="AM1975" s="12"/>
      <c r="AN1975" s="12"/>
      <c r="AO1975" s="12"/>
      <c r="AP1975" s="12"/>
      <c r="AQ1975" s="12"/>
      <c r="AR1975" s="12"/>
      <c r="AS1975" s="12"/>
      <c r="AT1975" s="12"/>
      <c r="AU1975" s="12"/>
      <c r="AV1975" s="12"/>
      <c r="AW1975" s="12"/>
      <c r="AX1975" s="12"/>
      <c r="AY1975" s="12"/>
      <c r="AZ1975" s="12"/>
      <c r="BA1975" s="12"/>
      <c r="BB1975" s="12"/>
      <c r="BC1975" s="12"/>
      <c r="BD1975" s="12"/>
      <c r="BE1975" s="12"/>
      <c r="BF1975" s="12"/>
      <c r="BG1975" s="12"/>
      <c r="BH1975" s="12"/>
      <c r="BI1975" s="12"/>
      <c r="BJ1975" s="12"/>
      <c r="BK1975" s="12"/>
      <c r="BL1975" s="12"/>
      <c r="BM1975" s="12"/>
      <c r="BN1975" s="12"/>
      <c r="BO1975" s="12"/>
      <c r="BP1975" s="12"/>
      <c r="BQ1975" s="12"/>
      <c r="BR1975" s="12"/>
      <c r="BS1975" s="12"/>
      <c r="BT1975" s="12"/>
    </row>
    <row r="1976" spans="1:72">
      <c r="A1976" s="2" t="s">
        <v>37368</v>
      </c>
      <c r="B1976" s="5" t="s">
        <v>37372</v>
      </c>
      <c r="C1976" s="3" t="s">
        <v>138</v>
      </c>
      <c r="D1976" s="4" t="s">
        <v>138</v>
      </c>
      <c r="E1976" s="15" t="s">
        <v>8996</v>
      </c>
      <c r="F1976" s="15" t="s">
        <v>8997</v>
      </c>
      <c r="G1976" s="15" t="s">
        <v>8999</v>
      </c>
      <c r="H1976" s="7">
        <v>9</v>
      </c>
      <c r="I1976" s="6" t="s">
        <v>37382</v>
      </c>
      <c r="J1976" s="6" t="s">
        <v>37811</v>
      </c>
      <c r="K1976" s="6" t="s">
        <v>46297</v>
      </c>
      <c r="L1976" s="6" t="s">
        <v>39472</v>
      </c>
      <c r="M1976" s="6" t="s">
        <v>46298</v>
      </c>
      <c r="N1976" s="6" t="s">
        <v>41953</v>
      </c>
      <c r="O1976" s="6" t="s">
        <v>43636</v>
      </c>
      <c r="P1976" s="6" t="s">
        <v>46193</v>
      </c>
      <c r="Q1976" s="6" t="s">
        <v>38065</v>
      </c>
      <c r="R1976" s="6" t="s">
        <v>45821</v>
      </c>
      <c r="S1976" s="6"/>
      <c r="T1976" s="6"/>
      <c r="U1976" s="6"/>
      <c r="V1976" s="6"/>
      <c r="W1976" s="6"/>
      <c r="X1976" s="6"/>
      <c r="Y1976" s="6"/>
      <c r="Z1976" s="6"/>
      <c r="AA1976" s="6"/>
      <c r="AB1976" s="6"/>
      <c r="AC1976" s="6"/>
      <c r="AD1976" s="6"/>
      <c r="AE1976" s="6"/>
      <c r="AF1976" s="6"/>
      <c r="AG1976" s="6"/>
      <c r="AH1976" s="6"/>
      <c r="AI1976" s="6"/>
      <c r="AJ1976" s="6"/>
      <c r="AK1976" s="6"/>
      <c r="AL1976" s="6"/>
      <c r="AM1976" s="6"/>
      <c r="AN1976" s="6"/>
      <c r="AO1976" s="6"/>
      <c r="AP1976" s="6"/>
      <c r="AQ1976" s="6"/>
      <c r="AR1976" s="6"/>
      <c r="AS1976" s="6"/>
      <c r="AT1976" s="6"/>
      <c r="AU1976" s="6"/>
      <c r="AV1976" s="6"/>
      <c r="AW1976" s="6"/>
      <c r="AX1976" s="6"/>
      <c r="AY1976" s="6"/>
      <c r="AZ1976" s="6"/>
      <c r="BA1976" s="6"/>
      <c r="BB1976" s="6"/>
      <c r="BC1976" s="6"/>
      <c r="BD1976" s="6"/>
      <c r="BE1976" s="6"/>
      <c r="BF1976" s="6"/>
      <c r="BG1976" s="6"/>
      <c r="BH1976" s="6"/>
      <c r="BI1976" s="6"/>
      <c r="BJ1976" s="6"/>
      <c r="BK1976" s="6"/>
      <c r="BL1976" s="6"/>
      <c r="BM1976" s="6"/>
      <c r="BN1976" s="6"/>
      <c r="BO1976" s="6"/>
      <c r="BP1976" s="6"/>
      <c r="BQ1976" s="6"/>
      <c r="BR1976" s="6"/>
      <c r="BS1976" s="6"/>
      <c r="BT1976" s="6"/>
    </row>
    <row r="1977" spans="1:72">
      <c r="A1977" s="8" t="s">
        <v>37386</v>
      </c>
      <c r="B1977" s="11" t="s">
        <v>37390</v>
      </c>
      <c r="C1977" s="9" t="s">
        <v>138</v>
      </c>
      <c r="D1977" s="10" t="s">
        <v>138</v>
      </c>
      <c r="E1977" s="28" t="s">
        <v>1294</v>
      </c>
      <c r="F1977" s="28" t="s">
        <v>864</v>
      </c>
      <c r="G1977" s="28" t="s">
        <v>162</v>
      </c>
      <c r="H1977" s="13">
        <v>29</v>
      </c>
      <c r="I1977" s="12" t="s">
        <v>37399</v>
      </c>
      <c r="J1977" s="12" t="s">
        <v>46299</v>
      </c>
      <c r="K1977" s="12" t="s">
        <v>39315</v>
      </c>
      <c r="L1977" s="12" t="s">
        <v>46300</v>
      </c>
      <c r="M1977" s="12" t="s">
        <v>46301</v>
      </c>
      <c r="N1977" s="12" t="s">
        <v>46302</v>
      </c>
      <c r="O1977" s="12" t="s">
        <v>46303</v>
      </c>
      <c r="P1977" s="12" t="s">
        <v>46304</v>
      </c>
      <c r="Q1977" s="12" t="s">
        <v>46305</v>
      </c>
      <c r="R1977" s="12" t="s">
        <v>39463</v>
      </c>
      <c r="S1977" s="12" t="s">
        <v>37822</v>
      </c>
      <c r="T1977" s="12" t="s">
        <v>46306</v>
      </c>
      <c r="U1977" s="12" t="s">
        <v>46307</v>
      </c>
      <c r="V1977" s="12" t="s">
        <v>46308</v>
      </c>
      <c r="W1977" s="12" t="s">
        <v>46309</v>
      </c>
      <c r="X1977" s="12" t="s">
        <v>46310</v>
      </c>
      <c r="Y1977" s="12" t="s">
        <v>46311</v>
      </c>
      <c r="Z1977" s="12" t="s">
        <v>46312</v>
      </c>
      <c r="AA1977" s="12" t="s">
        <v>46313</v>
      </c>
      <c r="AB1977" s="12" t="s">
        <v>46314</v>
      </c>
      <c r="AC1977" s="12" t="s">
        <v>40855</v>
      </c>
      <c r="AD1977" s="12" t="s">
        <v>46315</v>
      </c>
      <c r="AE1977" s="12" t="s">
        <v>46316</v>
      </c>
      <c r="AF1977" s="12" t="s">
        <v>37827</v>
      </c>
      <c r="AG1977" s="12" t="s">
        <v>39008</v>
      </c>
      <c r="AH1977" s="12" t="s">
        <v>37901</v>
      </c>
      <c r="AI1977" s="12" t="s">
        <v>38383</v>
      </c>
      <c r="AJ1977" s="12" t="s">
        <v>46317</v>
      </c>
      <c r="AK1977" s="12" t="s">
        <v>37972</v>
      </c>
      <c r="AL1977" s="12" t="s">
        <v>46318</v>
      </c>
      <c r="AM1977" s="12"/>
      <c r="AN1977" s="12"/>
      <c r="AO1977" s="12"/>
      <c r="AP1977" s="12"/>
      <c r="AQ1977" s="12"/>
      <c r="AR1977" s="12"/>
      <c r="AS1977" s="12"/>
      <c r="AT1977" s="12"/>
      <c r="AU1977" s="12"/>
      <c r="AV1977" s="12"/>
      <c r="AW1977" s="12"/>
      <c r="AX1977" s="12"/>
      <c r="AY1977" s="12"/>
      <c r="AZ1977" s="12"/>
      <c r="BA1977" s="12"/>
      <c r="BB1977" s="12"/>
      <c r="BC1977" s="12"/>
      <c r="BD1977" s="12"/>
      <c r="BE1977" s="12"/>
      <c r="BF1977" s="12"/>
      <c r="BG1977" s="12"/>
      <c r="BH1977" s="12"/>
      <c r="BI1977" s="12"/>
      <c r="BJ1977" s="12"/>
      <c r="BK1977" s="12"/>
      <c r="BL1977" s="12"/>
      <c r="BM1977" s="12"/>
      <c r="BN1977" s="12"/>
      <c r="BO1977" s="12"/>
      <c r="BP1977" s="12"/>
      <c r="BQ1977" s="12"/>
      <c r="BR1977" s="12"/>
      <c r="BS1977" s="12"/>
      <c r="BT1977" s="12"/>
    </row>
    <row r="1978" spans="1:72">
      <c r="A1978" s="2" t="s">
        <v>37402</v>
      </c>
      <c r="B1978" s="5" t="s">
        <v>37406</v>
      </c>
      <c r="C1978" s="3" t="s">
        <v>138</v>
      </c>
      <c r="D1978" s="4" t="s">
        <v>138</v>
      </c>
      <c r="E1978" s="15" t="s">
        <v>1872</v>
      </c>
      <c r="F1978" s="15" t="s">
        <v>200</v>
      </c>
      <c r="G1978" s="15" t="s">
        <v>162</v>
      </c>
      <c r="H1978" s="7">
        <v>29</v>
      </c>
      <c r="I1978" s="6" t="s">
        <v>37413</v>
      </c>
      <c r="J1978" s="6" t="s">
        <v>38353</v>
      </c>
      <c r="K1978" s="6" t="s">
        <v>46319</v>
      </c>
      <c r="L1978" s="6" t="s">
        <v>38663</v>
      </c>
      <c r="M1978" s="6" t="s">
        <v>38354</v>
      </c>
      <c r="N1978" s="6" t="s">
        <v>39091</v>
      </c>
      <c r="O1978" s="6" t="s">
        <v>38044</v>
      </c>
      <c r="P1978" s="6" t="s">
        <v>42774</v>
      </c>
      <c r="Q1978" s="6" t="s">
        <v>37947</v>
      </c>
      <c r="R1978" s="6" t="s">
        <v>38393</v>
      </c>
      <c r="S1978" s="6" t="s">
        <v>38057</v>
      </c>
      <c r="T1978" s="6" t="s">
        <v>38511</v>
      </c>
      <c r="U1978" s="6" t="s">
        <v>46320</v>
      </c>
      <c r="V1978" s="6" t="s">
        <v>42845</v>
      </c>
      <c r="W1978" s="6" t="s">
        <v>43967</v>
      </c>
      <c r="X1978" s="6" t="s">
        <v>46321</v>
      </c>
      <c r="Y1978" s="6" t="s">
        <v>46322</v>
      </c>
      <c r="Z1978" s="6" t="s">
        <v>41645</v>
      </c>
      <c r="AA1978" s="6" t="s">
        <v>42330</v>
      </c>
      <c r="AB1978" s="6" t="s">
        <v>42583</v>
      </c>
      <c r="AC1978" s="6" t="s">
        <v>38645</v>
      </c>
      <c r="AD1978" s="6" t="s">
        <v>38184</v>
      </c>
      <c r="AE1978" s="6" t="s">
        <v>37890</v>
      </c>
      <c r="AF1978" s="6" t="s">
        <v>38200</v>
      </c>
      <c r="AG1978" s="6" t="s">
        <v>46323</v>
      </c>
      <c r="AH1978" s="6" t="s">
        <v>38953</v>
      </c>
      <c r="AI1978" s="6" t="s">
        <v>37971</v>
      </c>
      <c r="AJ1978" s="6" t="s">
        <v>38145</v>
      </c>
      <c r="AK1978" s="6" t="s">
        <v>42779</v>
      </c>
      <c r="AL1978" s="6" t="s">
        <v>39087</v>
      </c>
      <c r="AM1978" s="6"/>
      <c r="AN1978" s="6"/>
      <c r="AO1978" s="6"/>
      <c r="AP1978" s="6"/>
      <c r="AQ1978" s="6"/>
      <c r="AR1978" s="6"/>
      <c r="AS1978" s="6"/>
      <c r="AT1978" s="6"/>
      <c r="AU1978" s="6"/>
      <c r="AV1978" s="6"/>
      <c r="AW1978" s="6"/>
      <c r="AX1978" s="6"/>
      <c r="AY1978" s="6"/>
      <c r="AZ1978" s="6"/>
      <c r="BA1978" s="6"/>
      <c r="BB1978" s="6"/>
      <c r="BC1978" s="6"/>
      <c r="BD1978" s="6"/>
      <c r="BE1978" s="6"/>
      <c r="BF1978" s="6"/>
      <c r="BG1978" s="6"/>
      <c r="BH1978" s="6"/>
      <c r="BI1978" s="6"/>
      <c r="BJ1978" s="6"/>
      <c r="BK1978" s="6"/>
      <c r="BL1978" s="6"/>
      <c r="BM1978" s="6"/>
      <c r="BN1978" s="6"/>
      <c r="BO1978" s="6"/>
      <c r="BP1978" s="6"/>
      <c r="BQ1978" s="6"/>
      <c r="BR1978" s="6"/>
      <c r="BS1978" s="6"/>
      <c r="BT1978" s="6"/>
    </row>
    <row r="1979" spans="1:72">
      <c r="A1979" s="8" t="s">
        <v>37416</v>
      </c>
      <c r="B1979" s="11" t="s">
        <v>37421</v>
      </c>
      <c r="C1979" s="9" t="s">
        <v>37417</v>
      </c>
      <c r="D1979" s="10" t="s">
        <v>138</v>
      </c>
      <c r="E1979" s="28" t="s">
        <v>426</v>
      </c>
      <c r="F1979" s="28" t="s">
        <v>426</v>
      </c>
      <c r="G1979" s="28" t="s">
        <v>162</v>
      </c>
      <c r="H1979" s="13">
        <v>3</v>
      </c>
      <c r="I1979" s="12" t="s">
        <v>37426</v>
      </c>
      <c r="J1979" s="12" t="s">
        <v>46324</v>
      </c>
      <c r="K1979" s="12" t="s">
        <v>38647</v>
      </c>
      <c r="L1979" s="12" t="s">
        <v>41318</v>
      </c>
      <c r="M1979" s="12"/>
      <c r="N1979" s="12"/>
      <c r="O1979" s="12"/>
      <c r="P1979" s="12"/>
      <c r="Q1979" s="12"/>
      <c r="R1979" s="12"/>
      <c r="S1979" s="12"/>
      <c r="T1979" s="12"/>
      <c r="U1979" s="12"/>
      <c r="V1979" s="12"/>
      <c r="W1979" s="12"/>
      <c r="X1979" s="12"/>
      <c r="Y1979" s="12"/>
      <c r="Z1979" s="12"/>
      <c r="AA1979" s="12"/>
      <c r="AB1979" s="12"/>
      <c r="AC1979" s="12"/>
      <c r="AD1979" s="12"/>
      <c r="AE1979" s="12"/>
      <c r="AF1979" s="12"/>
      <c r="AG1979" s="12"/>
      <c r="AH1979" s="12"/>
      <c r="AI1979" s="12"/>
      <c r="AJ1979" s="12"/>
      <c r="AK1979" s="12"/>
      <c r="AL1979" s="12"/>
      <c r="AM1979" s="12"/>
      <c r="AN1979" s="12"/>
      <c r="AO1979" s="12"/>
      <c r="AP1979" s="12"/>
      <c r="AQ1979" s="12"/>
      <c r="AR1979" s="12"/>
      <c r="AS1979" s="12"/>
      <c r="AT1979" s="12"/>
      <c r="AU1979" s="12"/>
      <c r="AV1979" s="12"/>
      <c r="AW1979" s="12"/>
      <c r="AX1979" s="12"/>
      <c r="AY1979" s="12"/>
      <c r="AZ1979" s="12"/>
      <c r="BA1979" s="12"/>
      <c r="BB1979" s="12"/>
      <c r="BC1979" s="12"/>
      <c r="BD1979" s="12"/>
      <c r="BE1979" s="12"/>
      <c r="BF1979" s="12"/>
      <c r="BG1979" s="12"/>
      <c r="BH1979" s="12"/>
      <c r="BI1979" s="12"/>
      <c r="BJ1979" s="12"/>
      <c r="BK1979" s="12"/>
      <c r="BL1979" s="12"/>
      <c r="BM1979" s="12"/>
      <c r="BN1979" s="12"/>
      <c r="BO1979" s="12"/>
      <c r="BP1979" s="12"/>
      <c r="BQ1979" s="12"/>
      <c r="BR1979" s="12"/>
      <c r="BS1979" s="12"/>
      <c r="BT1979" s="12"/>
    </row>
    <row r="1980" spans="1:72">
      <c r="A1980" s="2" t="s">
        <v>37429</v>
      </c>
      <c r="B1980" s="5" t="s">
        <v>37433</v>
      </c>
      <c r="C1980" s="3" t="s">
        <v>138</v>
      </c>
      <c r="D1980" s="4" t="s">
        <v>138</v>
      </c>
      <c r="E1980" s="15" t="s">
        <v>449</v>
      </c>
      <c r="F1980" s="15" t="s">
        <v>138</v>
      </c>
      <c r="G1980" s="15" t="s">
        <v>450</v>
      </c>
      <c r="H1980" s="7">
        <v>3</v>
      </c>
      <c r="I1980" s="6" t="s">
        <v>37441</v>
      </c>
      <c r="J1980" s="6" t="s">
        <v>46325</v>
      </c>
      <c r="K1980" s="6" t="s">
        <v>37781</v>
      </c>
      <c r="L1980" s="6" t="s">
        <v>37891</v>
      </c>
      <c r="M1980" s="6"/>
      <c r="N1980" s="6"/>
      <c r="O1980" s="6"/>
      <c r="P1980" s="6"/>
      <c r="Q1980" s="6"/>
      <c r="R1980" s="6"/>
      <c r="S1980" s="6"/>
      <c r="T1980" s="6"/>
      <c r="U1980" s="6"/>
      <c r="V1980" s="6"/>
      <c r="W1980" s="6"/>
      <c r="X1980" s="6"/>
      <c r="Y1980" s="6"/>
      <c r="Z1980" s="6"/>
      <c r="AA1980" s="6"/>
      <c r="AB1980" s="6"/>
      <c r="AC1980" s="6"/>
      <c r="AD1980" s="6"/>
      <c r="AE1980" s="6"/>
      <c r="AF1980" s="6"/>
      <c r="AG1980" s="6"/>
      <c r="AH1980" s="6"/>
      <c r="AI1980" s="6"/>
      <c r="AJ1980" s="6"/>
      <c r="AK1980" s="6"/>
      <c r="AL1980" s="6"/>
      <c r="AM1980" s="6"/>
      <c r="AN1980" s="6"/>
      <c r="AO1980" s="6"/>
      <c r="AP1980" s="6"/>
      <c r="AQ1980" s="6"/>
      <c r="AR1980" s="6"/>
      <c r="AS1980" s="6"/>
      <c r="AT1980" s="6"/>
      <c r="AU1980" s="6"/>
      <c r="AV1980" s="6"/>
      <c r="AW1980" s="6"/>
      <c r="AX1980" s="6"/>
      <c r="AY1980" s="6"/>
      <c r="AZ1980" s="6"/>
      <c r="BA1980" s="6"/>
      <c r="BB1980" s="6"/>
      <c r="BC1980" s="6"/>
      <c r="BD1980" s="6"/>
      <c r="BE1980" s="6"/>
      <c r="BF1980" s="6"/>
      <c r="BG1980" s="6"/>
      <c r="BH1980" s="6"/>
      <c r="BI1980" s="6"/>
      <c r="BJ1980" s="6"/>
      <c r="BK1980" s="6"/>
      <c r="BL1980" s="6"/>
      <c r="BM1980" s="6"/>
      <c r="BN1980" s="6"/>
      <c r="BO1980" s="6"/>
      <c r="BP1980" s="6"/>
      <c r="BQ1980" s="6"/>
      <c r="BR1980" s="6"/>
      <c r="BS1980" s="6"/>
      <c r="BT1980" s="6"/>
    </row>
    <row r="1981" spans="1:72">
      <c r="A1981" s="8" t="s">
        <v>37444</v>
      </c>
      <c r="B1981" s="11" t="s">
        <v>37449</v>
      </c>
      <c r="C1981" s="9" t="s">
        <v>138</v>
      </c>
      <c r="D1981" s="10" t="s">
        <v>138</v>
      </c>
      <c r="E1981" s="28" t="s">
        <v>37456</v>
      </c>
      <c r="F1981" s="28" t="s">
        <v>4628</v>
      </c>
      <c r="G1981" s="28" t="s">
        <v>162</v>
      </c>
      <c r="H1981" s="13">
        <v>3</v>
      </c>
      <c r="I1981" s="12" t="s">
        <v>37459</v>
      </c>
      <c r="J1981" s="12" t="s">
        <v>46326</v>
      </c>
      <c r="K1981" s="12" t="s">
        <v>37781</v>
      </c>
      <c r="L1981" s="12" t="s">
        <v>46327</v>
      </c>
      <c r="M1981" s="12"/>
      <c r="N1981" s="12"/>
      <c r="O1981" s="12"/>
      <c r="P1981" s="12"/>
      <c r="Q1981" s="12"/>
      <c r="R1981" s="12"/>
      <c r="S1981" s="12"/>
      <c r="T1981" s="12"/>
      <c r="U1981" s="12"/>
      <c r="V1981" s="12"/>
      <c r="W1981" s="12"/>
      <c r="X1981" s="12"/>
      <c r="Y1981" s="12"/>
      <c r="Z1981" s="12"/>
      <c r="AA1981" s="12"/>
      <c r="AB1981" s="12"/>
      <c r="AC1981" s="12"/>
      <c r="AD1981" s="12"/>
      <c r="AE1981" s="12"/>
      <c r="AF1981" s="12"/>
      <c r="AG1981" s="12"/>
      <c r="AH1981" s="12"/>
      <c r="AI1981" s="12"/>
      <c r="AJ1981" s="12"/>
      <c r="AK1981" s="12"/>
      <c r="AL1981" s="12"/>
      <c r="AM1981" s="12"/>
      <c r="AN1981" s="12"/>
      <c r="AO1981" s="12"/>
      <c r="AP1981" s="12"/>
      <c r="AQ1981" s="12"/>
      <c r="AR1981" s="12"/>
      <c r="AS1981" s="12"/>
      <c r="AT1981" s="12"/>
      <c r="AU1981" s="12"/>
      <c r="AV1981" s="12"/>
      <c r="AW1981" s="12"/>
      <c r="AX1981" s="12"/>
      <c r="AY1981" s="12"/>
      <c r="AZ1981" s="12"/>
      <c r="BA1981" s="12"/>
      <c r="BB1981" s="12"/>
      <c r="BC1981" s="12"/>
      <c r="BD1981" s="12"/>
      <c r="BE1981" s="12"/>
      <c r="BF1981" s="12"/>
      <c r="BG1981" s="12"/>
      <c r="BH1981" s="12"/>
      <c r="BI1981" s="12"/>
      <c r="BJ1981" s="12"/>
      <c r="BK1981" s="12"/>
      <c r="BL1981" s="12"/>
      <c r="BM1981" s="12"/>
      <c r="BN1981" s="12"/>
      <c r="BO1981" s="12"/>
      <c r="BP1981" s="12"/>
      <c r="BQ1981" s="12"/>
      <c r="BR1981" s="12"/>
      <c r="BS1981" s="12"/>
      <c r="BT1981" s="12"/>
    </row>
    <row r="1982" spans="1:72">
      <c r="A1982" s="2" t="s">
        <v>37464</v>
      </c>
      <c r="B1982" s="5" t="s">
        <v>37469</v>
      </c>
      <c r="C1982" s="3" t="s">
        <v>138</v>
      </c>
      <c r="D1982" s="4" t="s">
        <v>138</v>
      </c>
      <c r="E1982" s="15" t="s">
        <v>37478</v>
      </c>
      <c r="F1982" s="15" t="s">
        <v>138</v>
      </c>
      <c r="G1982" s="15" t="s">
        <v>1054</v>
      </c>
      <c r="H1982" s="7">
        <v>7</v>
      </c>
      <c r="I1982" s="6" t="s">
        <v>37482</v>
      </c>
      <c r="J1982" s="6" t="s">
        <v>46328</v>
      </c>
      <c r="K1982" s="6" t="s">
        <v>38299</v>
      </c>
      <c r="L1982" s="6" t="s">
        <v>46329</v>
      </c>
      <c r="M1982" s="6" t="s">
        <v>46330</v>
      </c>
      <c r="N1982" s="6" t="s">
        <v>45946</v>
      </c>
      <c r="O1982" s="6" t="s">
        <v>46331</v>
      </c>
      <c r="P1982" s="6" t="s">
        <v>46332</v>
      </c>
      <c r="Q1982" s="6"/>
      <c r="R1982" s="6"/>
      <c r="S1982" s="6"/>
      <c r="T1982" s="6"/>
      <c r="U1982" s="6"/>
      <c r="V1982" s="6"/>
      <c r="W1982" s="6"/>
      <c r="X1982" s="6"/>
      <c r="Y1982" s="6"/>
      <c r="Z1982" s="6"/>
      <c r="AA1982" s="6"/>
      <c r="AB1982" s="6"/>
      <c r="AC1982" s="6"/>
      <c r="AD1982" s="6"/>
      <c r="AE1982" s="6"/>
      <c r="AF1982" s="6"/>
      <c r="AG1982" s="6"/>
      <c r="AH1982" s="6"/>
      <c r="AI1982" s="6"/>
      <c r="AJ1982" s="6"/>
      <c r="AK1982" s="6"/>
      <c r="AL1982" s="6"/>
      <c r="AM1982" s="6"/>
      <c r="AN1982" s="6"/>
      <c r="AO1982" s="6"/>
      <c r="AP1982" s="6"/>
      <c r="AQ1982" s="6"/>
      <c r="AR1982" s="6"/>
      <c r="AS1982" s="6"/>
      <c r="AT1982" s="6"/>
      <c r="AU1982" s="6"/>
      <c r="AV1982" s="6"/>
      <c r="AW1982" s="6"/>
      <c r="AX1982" s="6"/>
      <c r="AY1982" s="6"/>
      <c r="AZ1982" s="6"/>
      <c r="BA1982" s="6"/>
      <c r="BB1982" s="6"/>
      <c r="BC1982" s="6"/>
      <c r="BD1982" s="6"/>
      <c r="BE1982" s="6"/>
      <c r="BF1982" s="6"/>
      <c r="BG1982" s="6"/>
      <c r="BH1982" s="6"/>
      <c r="BI1982" s="6"/>
      <c r="BJ1982" s="6"/>
      <c r="BK1982" s="6"/>
      <c r="BL1982" s="6"/>
      <c r="BM1982" s="6"/>
      <c r="BN1982" s="6"/>
      <c r="BO1982" s="6"/>
      <c r="BP1982" s="6"/>
      <c r="BQ1982" s="6"/>
      <c r="BR1982" s="6"/>
      <c r="BS1982" s="6"/>
      <c r="BT1982" s="6"/>
    </row>
    <row r="1983" spans="1:72">
      <c r="A1983" s="8" t="s">
        <v>37486</v>
      </c>
      <c r="B1983" s="11" t="s">
        <v>37491</v>
      </c>
      <c r="C1983" s="9" t="s">
        <v>37487</v>
      </c>
      <c r="D1983" s="10" t="s">
        <v>138</v>
      </c>
      <c r="E1983" s="28" t="s">
        <v>668</v>
      </c>
      <c r="F1983" s="28" t="s">
        <v>200</v>
      </c>
      <c r="G1983" s="28" t="s">
        <v>162</v>
      </c>
      <c r="H1983" s="13">
        <v>11</v>
      </c>
      <c r="I1983" s="12" t="s">
        <v>37500</v>
      </c>
      <c r="J1983" s="12" t="s">
        <v>39398</v>
      </c>
      <c r="K1983" s="12" t="s">
        <v>39687</v>
      </c>
      <c r="L1983" s="12" t="s">
        <v>38339</v>
      </c>
      <c r="M1983" s="12" t="s">
        <v>42075</v>
      </c>
      <c r="N1983" s="12" t="s">
        <v>37927</v>
      </c>
      <c r="O1983" s="12" t="s">
        <v>37781</v>
      </c>
      <c r="P1983" s="12" t="s">
        <v>37915</v>
      </c>
      <c r="Q1983" s="12" t="s">
        <v>46333</v>
      </c>
      <c r="R1983" s="12" t="s">
        <v>46334</v>
      </c>
      <c r="S1983" s="12" t="s">
        <v>37975</v>
      </c>
      <c r="T1983" s="12" t="s">
        <v>37976</v>
      </c>
      <c r="U1983" s="12"/>
      <c r="V1983" s="12"/>
      <c r="W1983" s="12"/>
      <c r="X1983" s="12"/>
      <c r="Y1983" s="12"/>
      <c r="Z1983" s="12"/>
      <c r="AA1983" s="12"/>
      <c r="AB1983" s="12"/>
      <c r="AC1983" s="12"/>
      <c r="AD1983" s="12"/>
      <c r="AE1983" s="12"/>
      <c r="AF1983" s="12"/>
      <c r="AG1983" s="12"/>
      <c r="AH1983" s="12"/>
      <c r="AI1983" s="12"/>
      <c r="AJ1983" s="12"/>
      <c r="AK1983" s="12"/>
      <c r="AL1983" s="12"/>
      <c r="AM1983" s="12"/>
      <c r="AN1983" s="12"/>
      <c r="AO1983" s="12"/>
      <c r="AP1983" s="12"/>
      <c r="AQ1983" s="12"/>
      <c r="AR1983" s="12"/>
      <c r="AS1983" s="12"/>
      <c r="AT1983" s="12"/>
      <c r="AU1983" s="12"/>
      <c r="AV1983" s="12"/>
      <c r="AW1983" s="12"/>
      <c r="AX1983" s="12"/>
      <c r="AY1983" s="12"/>
      <c r="AZ1983" s="12"/>
      <c r="BA1983" s="12"/>
      <c r="BB1983" s="12"/>
      <c r="BC1983" s="12"/>
      <c r="BD1983" s="12"/>
      <c r="BE1983" s="12"/>
      <c r="BF1983" s="12"/>
      <c r="BG1983" s="12"/>
      <c r="BH1983" s="12"/>
      <c r="BI1983" s="12"/>
      <c r="BJ1983" s="12"/>
      <c r="BK1983" s="12"/>
      <c r="BL1983" s="12"/>
      <c r="BM1983" s="12"/>
      <c r="BN1983" s="12"/>
      <c r="BO1983" s="12"/>
      <c r="BP1983" s="12"/>
      <c r="BQ1983" s="12"/>
      <c r="BR1983" s="12"/>
      <c r="BS1983" s="12"/>
      <c r="BT1983" s="12"/>
    </row>
    <row r="1984" spans="1:72">
      <c r="A1984" s="2" t="s">
        <v>37503</v>
      </c>
      <c r="B1984" s="5" t="s">
        <v>37508</v>
      </c>
      <c r="C1984" s="3" t="s">
        <v>138</v>
      </c>
      <c r="D1984" s="4" t="s">
        <v>138</v>
      </c>
      <c r="E1984" s="15" t="s">
        <v>2694</v>
      </c>
      <c r="F1984" s="15" t="s">
        <v>138</v>
      </c>
      <c r="G1984" s="15" t="s">
        <v>1054</v>
      </c>
      <c r="H1984" s="7">
        <v>1</v>
      </c>
      <c r="I1984" s="6" t="s">
        <v>6083</v>
      </c>
      <c r="J1984" s="6" t="s">
        <v>6083</v>
      </c>
      <c r="K1984" s="6"/>
      <c r="L1984" s="6"/>
      <c r="M1984" s="6"/>
      <c r="N1984" s="6"/>
      <c r="O1984" s="6"/>
      <c r="P1984" s="6"/>
      <c r="Q1984" s="6"/>
      <c r="R1984" s="6"/>
      <c r="S1984" s="6"/>
      <c r="T1984" s="6"/>
      <c r="U1984" s="6"/>
      <c r="V1984" s="6"/>
      <c r="W1984" s="6"/>
      <c r="X1984" s="6"/>
      <c r="Y1984" s="6"/>
      <c r="Z1984" s="6"/>
      <c r="AA1984" s="6"/>
      <c r="AB1984" s="6"/>
      <c r="AC1984" s="6"/>
      <c r="AD1984" s="6"/>
      <c r="AE1984" s="6"/>
      <c r="AF1984" s="6"/>
      <c r="AG1984" s="6"/>
      <c r="AH1984" s="6"/>
      <c r="AI1984" s="6"/>
      <c r="AJ1984" s="6"/>
      <c r="AK1984" s="6"/>
      <c r="AL1984" s="6"/>
      <c r="AM1984" s="6"/>
      <c r="AN1984" s="6"/>
      <c r="AO1984" s="6"/>
      <c r="AP1984" s="6"/>
      <c r="AQ1984" s="6"/>
      <c r="AR1984" s="6"/>
      <c r="AS1984" s="6"/>
      <c r="AT1984" s="6"/>
      <c r="AU1984" s="6"/>
      <c r="AV1984" s="6"/>
      <c r="AW1984" s="6"/>
      <c r="AX1984" s="6"/>
      <c r="AY1984" s="6"/>
      <c r="AZ1984" s="6"/>
      <c r="BA1984" s="6"/>
      <c r="BB1984" s="6"/>
      <c r="BC1984" s="6"/>
      <c r="BD1984" s="6"/>
      <c r="BE1984" s="6"/>
      <c r="BF1984" s="6"/>
      <c r="BG1984" s="6"/>
      <c r="BH1984" s="6"/>
      <c r="BI1984" s="6"/>
      <c r="BJ1984" s="6"/>
      <c r="BK1984" s="6"/>
      <c r="BL1984" s="6"/>
      <c r="BM1984" s="6"/>
      <c r="BN1984" s="6"/>
      <c r="BO1984" s="6"/>
      <c r="BP1984" s="6"/>
      <c r="BQ1984" s="6"/>
      <c r="BR1984" s="6"/>
      <c r="BS1984" s="6"/>
      <c r="BT1984" s="6"/>
    </row>
    <row r="1985" spans="1:72">
      <c r="A1985" s="8" t="s">
        <v>37517</v>
      </c>
      <c r="B1985" s="11" t="s">
        <v>37522</v>
      </c>
      <c r="C1985" s="9" t="s">
        <v>37518</v>
      </c>
      <c r="D1985" s="10" t="s">
        <v>138</v>
      </c>
      <c r="E1985" s="28" t="s">
        <v>3670</v>
      </c>
      <c r="F1985" s="28" t="s">
        <v>200</v>
      </c>
      <c r="G1985" s="28" t="s">
        <v>162</v>
      </c>
      <c r="H1985" s="13">
        <v>14</v>
      </c>
      <c r="I1985" s="12" t="s">
        <v>37531</v>
      </c>
      <c r="J1985" s="12" t="s">
        <v>46335</v>
      </c>
      <c r="K1985" s="12" t="s">
        <v>37819</v>
      </c>
      <c r="L1985" s="12" t="s">
        <v>40573</v>
      </c>
      <c r="M1985" s="12" t="s">
        <v>38076</v>
      </c>
      <c r="N1985" s="12" t="s">
        <v>41023</v>
      </c>
      <c r="O1985" s="12" t="s">
        <v>46336</v>
      </c>
      <c r="P1985" s="12" t="s">
        <v>39140</v>
      </c>
      <c r="Q1985" s="12" t="s">
        <v>41496</v>
      </c>
      <c r="R1985" s="12" t="s">
        <v>39866</v>
      </c>
      <c r="S1985" s="12" t="s">
        <v>46337</v>
      </c>
      <c r="T1985" s="12" t="s">
        <v>39465</v>
      </c>
      <c r="U1985" s="12" t="s">
        <v>46338</v>
      </c>
      <c r="V1985" s="12" t="s">
        <v>38728</v>
      </c>
      <c r="W1985" s="12" t="s">
        <v>37870</v>
      </c>
      <c r="X1985" s="12"/>
      <c r="Y1985" s="12"/>
      <c r="Z1985" s="12"/>
      <c r="AA1985" s="12"/>
      <c r="AB1985" s="12"/>
      <c r="AC1985" s="12"/>
      <c r="AD1985" s="12"/>
      <c r="AE1985" s="12"/>
      <c r="AF1985" s="12"/>
      <c r="AG1985" s="12"/>
      <c r="AH1985" s="12"/>
      <c r="AI1985" s="12"/>
      <c r="AJ1985" s="12"/>
      <c r="AK1985" s="12"/>
      <c r="AL1985" s="12"/>
      <c r="AM1985" s="12"/>
      <c r="AN1985" s="12"/>
      <c r="AO1985" s="12"/>
      <c r="AP1985" s="12"/>
      <c r="AQ1985" s="12"/>
      <c r="AR1985" s="12"/>
      <c r="AS1985" s="12"/>
      <c r="AT1985" s="12"/>
      <c r="AU1985" s="12"/>
      <c r="AV1985" s="12"/>
      <c r="AW1985" s="12"/>
      <c r="AX1985" s="12"/>
      <c r="AY1985" s="12"/>
      <c r="AZ1985" s="12"/>
      <c r="BA1985" s="12"/>
      <c r="BB1985" s="12"/>
      <c r="BC1985" s="12"/>
      <c r="BD1985" s="12"/>
      <c r="BE1985" s="12"/>
      <c r="BF1985" s="12"/>
      <c r="BG1985" s="12"/>
      <c r="BH1985" s="12"/>
      <c r="BI1985" s="12"/>
      <c r="BJ1985" s="12"/>
      <c r="BK1985" s="12"/>
      <c r="BL1985" s="12"/>
      <c r="BM1985" s="12"/>
      <c r="BN1985" s="12"/>
      <c r="BO1985" s="12"/>
      <c r="BP1985" s="12"/>
      <c r="BQ1985" s="12"/>
      <c r="BR1985" s="12"/>
      <c r="BS1985" s="12"/>
      <c r="BT1985" s="12"/>
    </row>
    <row r="1986" spans="1:72">
      <c r="A1986" s="2" t="s">
        <v>37536</v>
      </c>
      <c r="B1986" s="5" t="s">
        <v>37541</v>
      </c>
      <c r="C1986" s="3" t="s">
        <v>138</v>
      </c>
      <c r="D1986" s="4" t="s">
        <v>37537</v>
      </c>
      <c r="E1986" s="15" t="s">
        <v>37550</v>
      </c>
      <c r="F1986" s="15" t="s">
        <v>138</v>
      </c>
      <c r="G1986" s="15" t="s">
        <v>10418</v>
      </c>
      <c r="H1986" s="7">
        <v>2</v>
      </c>
      <c r="I1986" s="6" t="s">
        <v>37554</v>
      </c>
      <c r="J1986" s="6" t="s">
        <v>3186</v>
      </c>
      <c r="K1986" s="6" t="s">
        <v>46339</v>
      </c>
      <c r="L1986" s="6"/>
      <c r="M1986" s="6"/>
      <c r="N1986" s="6"/>
      <c r="O1986" s="6"/>
      <c r="P1986" s="6"/>
      <c r="Q1986" s="6"/>
      <c r="R1986" s="6"/>
      <c r="S1986" s="6"/>
      <c r="T1986" s="6"/>
      <c r="U1986" s="6"/>
      <c r="V1986" s="6"/>
      <c r="W1986" s="6"/>
      <c r="X1986" s="6"/>
      <c r="Y1986" s="6"/>
      <c r="Z1986" s="6"/>
      <c r="AA1986" s="6"/>
      <c r="AB1986" s="6"/>
      <c r="AC1986" s="6"/>
      <c r="AD1986" s="6"/>
      <c r="AE1986" s="6"/>
      <c r="AF1986" s="6"/>
      <c r="AG1986" s="6"/>
      <c r="AH1986" s="6"/>
      <c r="AI1986" s="6"/>
      <c r="AJ1986" s="6"/>
      <c r="AK1986" s="6"/>
      <c r="AL1986" s="6"/>
      <c r="AM1986" s="6"/>
      <c r="AN1986" s="6"/>
      <c r="AO1986" s="6"/>
      <c r="AP1986" s="6"/>
      <c r="AQ1986" s="6"/>
      <c r="AR1986" s="6"/>
      <c r="AS1986" s="6"/>
      <c r="AT1986" s="6"/>
      <c r="AU1986" s="6"/>
      <c r="AV1986" s="6"/>
      <c r="AW1986" s="6"/>
      <c r="AX1986" s="6"/>
      <c r="AY1986" s="6"/>
      <c r="AZ1986" s="6"/>
      <c r="BA1986" s="6"/>
      <c r="BB1986" s="6"/>
      <c r="BC1986" s="6"/>
      <c r="BD1986" s="6"/>
      <c r="BE1986" s="6"/>
      <c r="BF1986" s="6"/>
      <c r="BG1986" s="6"/>
      <c r="BH1986" s="6"/>
      <c r="BI1986" s="6"/>
      <c r="BJ1986" s="6"/>
      <c r="BK1986" s="6"/>
      <c r="BL1986" s="6"/>
      <c r="BM1986" s="6"/>
      <c r="BN1986" s="6"/>
      <c r="BO1986" s="6"/>
      <c r="BP1986" s="6"/>
      <c r="BQ1986" s="6"/>
      <c r="BR1986" s="6"/>
      <c r="BS1986" s="6"/>
      <c r="BT1986" s="6"/>
    </row>
    <row r="1987" spans="1:72">
      <c r="A1987" s="8" t="s">
        <v>37558</v>
      </c>
      <c r="B1987" s="11" t="s">
        <v>37563</v>
      </c>
      <c r="C1987" s="9" t="s">
        <v>138</v>
      </c>
      <c r="D1987" s="10" t="s">
        <v>138</v>
      </c>
      <c r="E1987" s="28" t="s">
        <v>668</v>
      </c>
      <c r="F1987" s="28" t="s">
        <v>200</v>
      </c>
      <c r="G1987" s="28" t="s">
        <v>162</v>
      </c>
      <c r="H1987" s="13">
        <v>2</v>
      </c>
      <c r="I1987" s="12" t="s">
        <v>37571</v>
      </c>
      <c r="J1987" s="12" t="s">
        <v>46340</v>
      </c>
      <c r="K1987" s="12" t="s">
        <v>38011</v>
      </c>
      <c r="L1987" s="12"/>
      <c r="M1987" s="12"/>
      <c r="N1987" s="12"/>
      <c r="O1987" s="12"/>
      <c r="P1987" s="12"/>
      <c r="Q1987" s="12"/>
      <c r="R1987" s="12"/>
      <c r="S1987" s="12"/>
      <c r="T1987" s="12"/>
      <c r="U1987" s="12"/>
      <c r="V1987" s="12"/>
      <c r="W1987" s="12"/>
      <c r="X1987" s="12"/>
      <c r="Y1987" s="12"/>
      <c r="Z1987" s="12"/>
      <c r="AA1987" s="12"/>
      <c r="AB1987" s="12"/>
      <c r="AC1987" s="12"/>
      <c r="AD1987" s="12"/>
      <c r="AE1987" s="12"/>
      <c r="AF1987" s="12"/>
      <c r="AG1987" s="12"/>
      <c r="AH1987" s="12"/>
      <c r="AI1987" s="12"/>
      <c r="AJ1987" s="12"/>
      <c r="AK1987" s="12"/>
      <c r="AL1987" s="12"/>
      <c r="AM1987" s="12"/>
      <c r="AN1987" s="12"/>
      <c r="AO1987" s="12"/>
      <c r="AP1987" s="12"/>
      <c r="AQ1987" s="12"/>
      <c r="AR1987" s="12"/>
      <c r="AS1987" s="12"/>
      <c r="AT1987" s="12"/>
      <c r="AU1987" s="12"/>
      <c r="AV1987" s="12"/>
      <c r="AW1987" s="12"/>
      <c r="AX1987" s="12"/>
      <c r="AY1987" s="12"/>
      <c r="AZ1987" s="12"/>
      <c r="BA1987" s="12"/>
      <c r="BB1987" s="12"/>
      <c r="BC1987" s="12"/>
      <c r="BD1987" s="12"/>
      <c r="BE1987" s="12"/>
      <c r="BF1987" s="12"/>
      <c r="BG1987" s="12"/>
      <c r="BH1987" s="12"/>
      <c r="BI1987" s="12"/>
      <c r="BJ1987" s="12"/>
      <c r="BK1987" s="12"/>
      <c r="BL1987" s="12"/>
      <c r="BM1987" s="12"/>
      <c r="BN1987" s="12"/>
      <c r="BO1987" s="12"/>
      <c r="BP1987" s="12"/>
      <c r="BQ1987" s="12"/>
      <c r="BR1987" s="12"/>
      <c r="BS1987" s="12"/>
      <c r="BT1987" s="12"/>
    </row>
    <row r="1988" spans="1:72">
      <c r="A1988" s="2" t="s">
        <v>37574</v>
      </c>
      <c r="B1988" s="5" t="s">
        <v>37577</v>
      </c>
      <c r="C1988" s="3" t="s">
        <v>138</v>
      </c>
      <c r="D1988" s="4" t="s">
        <v>138</v>
      </c>
      <c r="E1988" s="15" t="s">
        <v>668</v>
      </c>
      <c r="F1988" s="15" t="s">
        <v>200</v>
      </c>
      <c r="G1988" s="15" t="s">
        <v>162</v>
      </c>
      <c r="H1988" s="7">
        <v>2</v>
      </c>
      <c r="I1988" s="6" t="s">
        <v>37585</v>
      </c>
      <c r="J1988" s="6" t="s">
        <v>6235</v>
      </c>
      <c r="K1988" s="6" t="s">
        <v>46341</v>
      </c>
      <c r="L1988" s="6"/>
      <c r="M1988" s="6"/>
      <c r="N1988" s="6"/>
      <c r="O1988" s="6"/>
      <c r="P1988" s="6"/>
      <c r="Q1988" s="6"/>
      <c r="R1988" s="6"/>
      <c r="S1988" s="6"/>
      <c r="T1988" s="6"/>
      <c r="U1988" s="6"/>
      <c r="V1988" s="6"/>
      <c r="W1988" s="6"/>
      <c r="X1988" s="6"/>
      <c r="Y1988" s="6"/>
      <c r="Z1988" s="6"/>
      <c r="AA1988" s="6"/>
      <c r="AB1988" s="6"/>
      <c r="AC1988" s="6"/>
      <c r="AD1988" s="6"/>
      <c r="AE1988" s="6"/>
      <c r="AF1988" s="6"/>
      <c r="AG1988" s="6"/>
      <c r="AH1988" s="6"/>
      <c r="AI1988" s="6"/>
      <c r="AJ1988" s="6"/>
      <c r="AK1988" s="6"/>
      <c r="AL1988" s="6"/>
      <c r="AM1988" s="6"/>
      <c r="AN1988" s="6"/>
      <c r="AO1988" s="6"/>
      <c r="AP1988" s="6"/>
      <c r="AQ1988" s="6"/>
      <c r="AR1988" s="6"/>
      <c r="AS1988" s="6"/>
      <c r="AT1988" s="6"/>
      <c r="AU1988" s="6"/>
      <c r="AV1988" s="6"/>
      <c r="AW1988" s="6"/>
      <c r="AX1988" s="6"/>
      <c r="AY1988" s="6"/>
      <c r="AZ1988" s="6"/>
      <c r="BA1988" s="6"/>
      <c r="BB1988" s="6"/>
      <c r="BC1988" s="6"/>
      <c r="BD1988" s="6"/>
      <c r="BE1988" s="6"/>
      <c r="BF1988" s="6"/>
      <c r="BG1988" s="6"/>
      <c r="BH1988" s="6"/>
      <c r="BI1988" s="6"/>
      <c r="BJ1988" s="6"/>
      <c r="BK1988" s="6"/>
      <c r="BL1988" s="6"/>
      <c r="BM1988" s="6"/>
      <c r="BN1988" s="6"/>
      <c r="BO1988" s="6"/>
      <c r="BP1988" s="6"/>
      <c r="BQ1988" s="6"/>
      <c r="BR1988" s="6"/>
      <c r="BS1988" s="6"/>
      <c r="BT1988" s="6"/>
    </row>
    <row r="1989" spans="1:72">
      <c r="A1989" s="8" t="s">
        <v>22290</v>
      </c>
      <c r="B1989" s="11" t="s">
        <v>37591</v>
      </c>
      <c r="C1989" s="9" t="s">
        <v>138</v>
      </c>
      <c r="D1989" s="10" t="s">
        <v>138</v>
      </c>
      <c r="E1989" s="28" t="s">
        <v>30616</v>
      </c>
      <c r="F1989" s="28" t="s">
        <v>371</v>
      </c>
      <c r="G1989" s="28" t="s">
        <v>162</v>
      </c>
      <c r="H1989" s="13">
        <v>1</v>
      </c>
      <c r="I1989" s="12" t="s">
        <v>24320</v>
      </c>
      <c r="J1989" s="12" t="s">
        <v>24320</v>
      </c>
      <c r="K1989" s="12"/>
      <c r="L1989" s="12"/>
      <c r="M1989" s="12"/>
      <c r="N1989" s="12"/>
      <c r="O1989" s="12"/>
      <c r="P1989" s="12"/>
      <c r="Q1989" s="12"/>
      <c r="R1989" s="12"/>
      <c r="S1989" s="12"/>
      <c r="T1989" s="12"/>
      <c r="U1989" s="12"/>
      <c r="V1989" s="12"/>
      <c r="W1989" s="12"/>
      <c r="X1989" s="12"/>
      <c r="Y1989" s="12"/>
      <c r="Z1989" s="12"/>
      <c r="AA1989" s="12"/>
      <c r="AB1989" s="12"/>
      <c r="AC1989" s="12"/>
      <c r="AD1989" s="12"/>
      <c r="AE1989" s="12"/>
      <c r="AF1989" s="12"/>
      <c r="AG1989" s="12"/>
      <c r="AH1989" s="12"/>
      <c r="AI1989" s="12"/>
      <c r="AJ1989" s="12"/>
      <c r="AK1989" s="12"/>
      <c r="AL1989" s="12"/>
      <c r="AM1989" s="12"/>
      <c r="AN1989" s="12"/>
      <c r="AO1989" s="12"/>
      <c r="AP1989" s="12"/>
      <c r="AQ1989" s="12"/>
      <c r="AR1989" s="12"/>
      <c r="AS1989" s="12"/>
      <c r="AT1989" s="12"/>
      <c r="AU1989" s="12"/>
      <c r="AV1989" s="12"/>
      <c r="AW1989" s="12"/>
      <c r="AX1989" s="12"/>
      <c r="AY1989" s="12"/>
      <c r="AZ1989" s="12"/>
      <c r="BA1989" s="12"/>
      <c r="BB1989" s="12"/>
      <c r="BC1989" s="12"/>
      <c r="BD1989" s="12"/>
      <c r="BE1989" s="12"/>
      <c r="BF1989" s="12"/>
      <c r="BG1989" s="12"/>
      <c r="BH1989" s="12"/>
      <c r="BI1989" s="12"/>
      <c r="BJ1989" s="12"/>
      <c r="BK1989" s="12"/>
      <c r="BL1989" s="12"/>
      <c r="BM1989" s="12"/>
      <c r="BN1989" s="12"/>
      <c r="BO1989" s="12"/>
      <c r="BP1989" s="12"/>
      <c r="BQ1989" s="12"/>
      <c r="BR1989" s="12"/>
      <c r="BS1989" s="12"/>
      <c r="BT1989" s="12"/>
    </row>
    <row r="1990" spans="1:72">
      <c r="A1990" s="2" t="s">
        <v>37603</v>
      </c>
      <c r="B1990" s="5" t="s">
        <v>37607</v>
      </c>
      <c r="C1990" s="3" t="s">
        <v>138</v>
      </c>
      <c r="D1990" s="4" t="s">
        <v>138</v>
      </c>
      <c r="E1990" s="15" t="s">
        <v>668</v>
      </c>
      <c r="F1990" s="15" t="s">
        <v>200</v>
      </c>
      <c r="G1990" s="15" t="s">
        <v>162</v>
      </c>
      <c r="H1990" s="7">
        <v>15</v>
      </c>
      <c r="I1990" s="6" t="s">
        <v>37616</v>
      </c>
      <c r="J1990" s="6" t="s">
        <v>36284</v>
      </c>
      <c r="K1990" s="6" t="s">
        <v>38663</v>
      </c>
      <c r="L1990" s="6" t="s">
        <v>45010</v>
      </c>
      <c r="M1990" s="6" t="s">
        <v>45011</v>
      </c>
      <c r="N1990" s="6" t="s">
        <v>41245</v>
      </c>
      <c r="O1990" s="6" t="s">
        <v>38964</v>
      </c>
      <c r="P1990" s="6" t="s">
        <v>38044</v>
      </c>
      <c r="Q1990" s="6" t="s">
        <v>46342</v>
      </c>
      <c r="R1990" s="6" t="s">
        <v>39057</v>
      </c>
      <c r="S1990" s="6" t="s">
        <v>44567</v>
      </c>
      <c r="T1990" s="6" t="s">
        <v>38977</v>
      </c>
      <c r="U1990" s="6" t="s">
        <v>39279</v>
      </c>
      <c r="V1990" s="6" t="s">
        <v>46028</v>
      </c>
      <c r="W1990" s="6" t="s">
        <v>42226</v>
      </c>
      <c r="X1990" s="6" t="s">
        <v>46343</v>
      </c>
      <c r="Y1990" s="6"/>
      <c r="Z1990" s="6"/>
      <c r="AA1990" s="6"/>
      <c r="AB1990" s="6"/>
      <c r="AC1990" s="6"/>
      <c r="AD1990" s="6"/>
      <c r="AE1990" s="6"/>
      <c r="AF1990" s="6"/>
      <c r="AG1990" s="6"/>
      <c r="AH1990" s="6"/>
      <c r="AI1990" s="6"/>
      <c r="AJ1990" s="6"/>
      <c r="AK1990" s="6"/>
      <c r="AL1990" s="6"/>
      <c r="AM1990" s="6"/>
      <c r="AN1990" s="6"/>
      <c r="AO1990" s="6"/>
      <c r="AP1990" s="6"/>
      <c r="AQ1990" s="6"/>
      <c r="AR1990" s="6"/>
      <c r="AS1990" s="6"/>
      <c r="AT1990" s="6"/>
      <c r="AU1990" s="6"/>
      <c r="AV1990" s="6"/>
      <c r="AW1990" s="6"/>
      <c r="AX1990" s="6"/>
      <c r="AY1990" s="6"/>
      <c r="AZ1990" s="6"/>
      <c r="BA1990" s="6"/>
      <c r="BB1990" s="6"/>
      <c r="BC1990" s="6"/>
      <c r="BD1990" s="6"/>
      <c r="BE1990" s="6"/>
      <c r="BF1990" s="6"/>
      <c r="BG1990" s="6"/>
      <c r="BH1990" s="6"/>
      <c r="BI1990" s="6"/>
      <c r="BJ1990" s="6"/>
      <c r="BK1990" s="6"/>
      <c r="BL1990" s="6"/>
      <c r="BM1990" s="6"/>
      <c r="BN1990" s="6"/>
      <c r="BO1990" s="6"/>
      <c r="BP1990" s="6"/>
      <c r="BQ1990" s="6"/>
      <c r="BR1990" s="6"/>
      <c r="BS1990" s="6"/>
      <c r="BT1990" s="6"/>
    </row>
    <row r="1991" spans="1:72">
      <c r="A1991" s="8" t="s">
        <v>37619</v>
      </c>
      <c r="B1991" s="11" t="s">
        <v>37624</v>
      </c>
      <c r="C1991" s="9" t="s">
        <v>138</v>
      </c>
      <c r="D1991" s="10" t="s">
        <v>37620</v>
      </c>
      <c r="E1991" s="28" t="s">
        <v>2845</v>
      </c>
      <c r="F1991" s="28" t="s">
        <v>200</v>
      </c>
      <c r="G1991" s="28" t="s">
        <v>162</v>
      </c>
      <c r="H1991" s="13">
        <v>22</v>
      </c>
      <c r="I1991" s="12" t="s">
        <v>37634</v>
      </c>
      <c r="J1991" s="12" t="s">
        <v>45562</v>
      </c>
      <c r="K1991" s="12" t="s">
        <v>45440</v>
      </c>
      <c r="L1991" s="12" t="s">
        <v>39618</v>
      </c>
      <c r="M1991" s="12" t="s">
        <v>43036</v>
      </c>
      <c r="N1991" s="12" t="s">
        <v>38416</v>
      </c>
      <c r="O1991" s="12" t="s">
        <v>38231</v>
      </c>
      <c r="P1991" s="12" t="s">
        <v>37927</v>
      </c>
      <c r="Q1991" s="12" t="s">
        <v>38476</v>
      </c>
      <c r="R1991" s="12" t="s">
        <v>43039</v>
      </c>
      <c r="S1991" s="12" t="s">
        <v>43795</v>
      </c>
      <c r="T1991" s="12" t="s">
        <v>40765</v>
      </c>
      <c r="U1991" s="12" t="s">
        <v>38322</v>
      </c>
      <c r="V1991" s="12" t="s">
        <v>42848</v>
      </c>
      <c r="W1991" s="12" t="s">
        <v>40242</v>
      </c>
      <c r="X1991" s="12" t="s">
        <v>37789</v>
      </c>
      <c r="Y1991" s="12" t="s">
        <v>39279</v>
      </c>
      <c r="Z1991" s="12" t="s">
        <v>39071</v>
      </c>
      <c r="AA1991" s="12" t="s">
        <v>38536</v>
      </c>
      <c r="AB1991" s="12" t="s">
        <v>40980</v>
      </c>
      <c r="AC1991" s="12" t="s">
        <v>45095</v>
      </c>
      <c r="AD1991" s="12" t="s">
        <v>38705</v>
      </c>
      <c r="AE1991" s="12" t="s">
        <v>40896</v>
      </c>
      <c r="AF1991" s="12"/>
      <c r="AG1991" s="12"/>
      <c r="AH1991" s="12"/>
      <c r="AI1991" s="12"/>
      <c r="AJ1991" s="12"/>
      <c r="AK1991" s="12"/>
      <c r="AL1991" s="12"/>
      <c r="AM1991" s="12"/>
      <c r="AN1991" s="12"/>
      <c r="AO1991" s="12"/>
      <c r="AP1991" s="12"/>
      <c r="AQ1991" s="12"/>
      <c r="AR1991" s="12"/>
      <c r="AS1991" s="12"/>
      <c r="AT1991" s="12"/>
      <c r="AU1991" s="12"/>
      <c r="AV1991" s="12"/>
      <c r="AW1991" s="12"/>
      <c r="AX1991" s="12"/>
      <c r="AY1991" s="12"/>
      <c r="AZ1991" s="12"/>
      <c r="BA1991" s="12"/>
      <c r="BB1991" s="12"/>
      <c r="BC1991" s="12"/>
      <c r="BD1991" s="12"/>
      <c r="BE1991" s="12"/>
      <c r="BF1991" s="12"/>
      <c r="BG1991" s="12"/>
      <c r="BH1991" s="12"/>
      <c r="BI1991" s="12"/>
      <c r="BJ1991" s="12"/>
      <c r="BK1991" s="12"/>
      <c r="BL1991" s="12"/>
      <c r="BM1991" s="12"/>
      <c r="BN1991" s="12"/>
      <c r="BO1991" s="12"/>
      <c r="BP1991" s="12"/>
      <c r="BQ1991" s="12"/>
      <c r="BR1991" s="12"/>
      <c r="BS1991" s="12"/>
      <c r="BT1991" s="12"/>
    </row>
    <row r="1992" spans="1:72">
      <c r="A1992" s="2" t="s">
        <v>37639</v>
      </c>
      <c r="B1992" s="5" t="s">
        <v>37645</v>
      </c>
      <c r="C1992" s="3" t="s">
        <v>138</v>
      </c>
      <c r="D1992" s="4" t="s">
        <v>138</v>
      </c>
      <c r="E1992" s="15" t="s">
        <v>1317</v>
      </c>
      <c r="F1992" s="15" t="s">
        <v>138</v>
      </c>
      <c r="G1992" s="15" t="s">
        <v>1319</v>
      </c>
      <c r="H1992" s="7">
        <v>11</v>
      </c>
      <c r="I1992" s="6" t="s">
        <v>37654</v>
      </c>
      <c r="J1992" s="6" t="s">
        <v>46344</v>
      </c>
      <c r="K1992" s="6" t="s">
        <v>41568</v>
      </c>
      <c r="L1992" s="6" t="s">
        <v>46345</v>
      </c>
      <c r="M1992" s="6" t="s">
        <v>39122</v>
      </c>
      <c r="N1992" s="6" t="s">
        <v>46346</v>
      </c>
      <c r="O1992" s="6" t="s">
        <v>38057</v>
      </c>
      <c r="P1992" s="6" t="s">
        <v>46347</v>
      </c>
      <c r="Q1992" s="6" t="s">
        <v>46348</v>
      </c>
      <c r="R1992" s="6" t="s">
        <v>46349</v>
      </c>
      <c r="S1992" s="6" t="s">
        <v>40120</v>
      </c>
      <c r="T1992" s="6" t="s">
        <v>46350</v>
      </c>
      <c r="U1992" s="6"/>
      <c r="V1992" s="6"/>
      <c r="W1992" s="6"/>
      <c r="X1992" s="6"/>
      <c r="Y1992" s="6"/>
      <c r="Z1992" s="6"/>
      <c r="AA1992" s="6"/>
      <c r="AB1992" s="6"/>
      <c r="AC1992" s="6"/>
      <c r="AD1992" s="6"/>
      <c r="AE1992" s="6"/>
      <c r="AF1992" s="6"/>
      <c r="AG1992" s="6"/>
      <c r="AH1992" s="6"/>
      <c r="AI1992" s="6"/>
      <c r="AJ1992" s="6"/>
      <c r="AK1992" s="6"/>
      <c r="AL1992" s="6"/>
      <c r="AM1992" s="6"/>
      <c r="AN1992" s="6"/>
      <c r="AO1992" s="6"/>
      <c r="AP1992" s="6"/>
      <c r="AQ1992" s="6"/>
      <c r="AR1992" s="6"/>
      <c r="AS1992" s="6"/>
      <c r="AT1992" s="6"/>
      <c r="AU1992" s="6"/>
      <c r="AV1992" s="6"/>
      <c r="AW1992" s="6"/>
      <c r="AX1992" s="6"/>
      <c r="AY1992" s="6"/>
      <c r="AZ1992" s="6"/>
      <c r="BA1992" s="6"/>
      <c r="BB1992" s="6"/>
      <c r="BC1992" s="6"/>
      <c r="BD1992" s="6"/>
      <c r="BE1992" s="6"/>
      <c r="BF1992" s="6"/>
      <c r="BG1992" s="6"/>
      <c r="BH1992" s="6"/>
      <c r="BI1992" s="6"/>
      <c r="BJ1992" s="6"/>
      <c r="BK1992" s="6"/>
      <c r="BL1992" s="6"/>
      <c r="BM1992" s="6"/>
      <c r="BN1992" s="6"/>
      <c r="BO1992" s="6"/>
      <c r="BP1992" s="6"/>
      <c r="BQ1992" s="6"/>
      <c r="BR1992" s="6"/>
      <c r="BS1992" s="6"/>
      <c r="BT1992" s="6"/>
    </row>
    <row r="1993" spans="1:72">
      <c r="A1993" s="8" t="s">
        <v>37657</v>
      </c>
      <c r="B1993" s="11" t="s">
        <v>37662</v>
      </c>
      <c r="C1993" s="9" t="s">
        <v>138</v>
      </c>
      <c r="D1993" s="10" t="s">
        <v>37658</v>
      </c>
      <c r="E1993" s="28" t="s">
        <v>9463</v>
      </c>
      <c r="F1993" s="28" t="s">
        <v>9464</v>
      </c>
      <c r="G1993" s="28" t="s">
        <v>162</v>
      </c>
      <c r="H1993" s="13">
        <v>6</v>
      </c>
      <c r="I1993" s="12" t="s">
        <v>37674</v>
      </c>
      <c r="J1993" s="12" t="s">
        <v>46351</v>
      </c>
      <c r="K1993" s="12" t="s">
        <v>38770</v>
      </c>
      <c r="L1993" s="12" t="s">
        <v>40658</v>
      </c>
      <c r="M1993" s="12" t="s">
        <v>38200</v>
      </c>
      <c r="N1993" s="12" t="s">
        <v>38195</v>
      </c>
      <c r="O1993" s="12" t="s">
        <v>39011</v>
      </c>
      <c r="P1993" s="12"/>
      <c r="Q1993" s="12"/>
      <c r="R1993" s="12"/>
      <c r="S1993" s="12"/>
      <c r="T1993" s="12"/>
      <c r="U1993" s="12"/>
      <c r="V1993" s="12"/>
      <c r="W1993" s="12"/>
      <c r="X1993" s="12"/>
      <c r="Y1993" s="12"/>
      <c r="Z1993" s="12"/>
      <c r="AA1993" s="12"/>
      <c r="AB1993" s="12"/>
      <c r="AC1993" s="12"/>
      <c r="AD1993" s="12"/>
      <c r="AE1993" s="12"/>
      <c r="AF1993" s="12"/>
      <c r="AG1993" s="12"/>
      <c r="AH1993" s="12"/>
      <c r="AI1993" s="12"/>
      <c r="AJ1993" s="12"/>
      <c r="AK1993" s="12"/>
      <c r="AL1993" s="12"/>
      <c r="AM1993" s="12"/>
      <c r="AN1993" s="12"/>
      <c r="AO1993" s="12"/>
      <c r="AP1993" s="12"/>
      <c r="AQ1993" s="12"/>
      <c r="AR1993" s="12"/>
      <c r="AS1993" s="12"/>
      <c r="AT1993" s="12"/>
      <c r="AU1993" s="12"/>
      <c r="AV1993" s="12"/>
      <c r="AW1993" s="12"/>
      <c r="AX1993" s="12"/>
      <c r="AY1993" s="12"/>
      <c r="AZ1993" s="12"/>
      <c r="BA1993" s="12"/>
      <c r="BB1993" s="12"/>
      <c r="BC1993" s="12"/>
      <c r="BD1993" s="12"/>
      <c r="BE1993" s="12"/>
      <c r="BF1993" s="12"/>
      <c r="BG1993" s="12"/>
      <c r="BH1993" s="12"/>
      <c r="BI1993" s="12"/>
      <c r="BJ1993" s="12"/>
      <c r="BK1993" s="12"/>
      <c r="BL1993" s="12"/>
      <c r="BM1993" s="12"/>
      <c r="BN1993" s="12"/>
      <c r="BO1993" s="12"/>
      <c r="BP1993" s="12"/>
      <c r="BQ1993" s="12"/>
      <c r="BR1993" s="12"/>
      <c r="BS1993" s="12"/>
      <c r="BT1993" s="12"/>
    </row>
    <row r="1994" spans="1:72">
      <c r="A1994" s="2" t="s">
        <v>37677</v>
      </c>
      <c r="B1994" s="5" t="s">
        <v>37681</v>
      </c>
      <c r="C1994" s="3" t="s">
        <v>138</v>
      </c>
      <c r="D1994" s="4" t="s">
        <v>138</v>
      </c>
      <c r="E1994" s="15" t="s">
        <v>159</v>
      </c>
      <c r="F1994" s="15" t="s">
        <v>160</v>
      </c>
      <c r="G1994" s="15" t="s">
        <v>162</v>
      </c>
      <c r="H1994" s="7">
        <v>10</v>
      </c>
      <c r="I1994" s="6" t="s">
        <v>37690</v>
      </c>
      <c r="J1994" s="6" t="s">
        <v>46352</v>
      </c>
      <c r="K1994" s="6" t="s">
        <v>39808</v>
      </c>
      <c r="L1994" s="6" t="s">
        <v>46353</v>
      </c>
      <c r="M1994" s="6" t="s">
        <v>45594</v>
      </c>
      <c r="N1994" s="6" t="s">
        <v>45963</v>
      </c>
      <c r="O1994" s="6" t="s">
        <v>42945</v>
      </c>
      <c r="P1994" s="6" t="s">
        <v>46354</v>
      </c>
      <c r="Q1994" s="6" t="s">
        <v>46355</v>
      </c>
      <c r="R1994" s="6" t="s">
        <v>40076</v>
      </c>
      <c r="S1994" s="6" t="s">
        <v>40525</v>
      </c>
      <c r="T1994" s="6"/>
      <c r="U1994" s="6"/>
      <c r="V1994" s="6"/>
      <c r="W1994" s="6"/>
      <c r="X1994" s="6"/>
      <c r="Y1994" s="6"/>
      <c r="Z1994" s="6"/>
      <c r="AA1994" s="6"/>
      <c r="AB1994" s="6"/>
      <c r="AC1994" s="6"/>
      <c r="AD1994" s="6"/>
      <c r="AE1994" s="6"/>
      <c r="AF1994" s="6"/>
      <c r="AG1994" s="6"/>
      <c r="AH1994" s="6"/>
      <c r="AI1994" s="6"/>
      <c r="AJ1994" s="6"/>
      <c r="AK1994" s="6"/>
      <c r="AL1994" s="6"/>
      <c r="AM1994" s="6"/>
      <c r="AN1994" s="6"/>
      <c r="AO1994" s="6"/>
      <c r="AP1994" s="6"/>
      <c r="AQ1994" s="6"/>
      <c r="AR1994" s="6"/>
      <c r="AS1994" s="6"/>
      <c r="AT1994" s="6"/>
      <c r="AU1994" s="6"/>
      <c r="AV1994" s="6"/>
      <c r="AW1994" s="6"/>
      <c r="AX1994" s="6"/>
      <c r="AY1994" s="6"/>
      <c r="AZ1994" s="6"/>
      <c r="BA1994" s="6"/>
      <c r="BB1994" s="6"/>
      <c r="BC1994" s="6"/>
      <c r="BD1994" s="6"/>
      <c r="BE1994" s="6"/>
      <c r="BF1994" s="6"/>
      <c r="BG1994" s="6"/>
      <c r="BH1994" s="6"/>
      <c r="BI1994" s="6"/>
      <c r="BJ1994" s="6"/>
      <c r="BK1994" s="6"/>
      <c r="BL1994" s="6"/>
      <c r="BM1994" s="6"/>
      <c r="BN1994" s="6"/>
      <c r="BO1994" s="6"/>
      <c r="BP1994" s="6"/>
      <c r="BQ1994" s="6"/>
      <c r="BR1994" s="6"/>
      <c r="BS1994" s="6"/>
      <c r="BT1994" s="6"/>
    </row>
    <row r="1995" spans="1:72">
      <c r="A1995" s="8" t="s">
        <v>37695</v>
      </c>
      <c r="B1995" s="11" t="s">
        <v>37698</v>
      </c>
      <c r="C1995" s="9" t="s">
        <v>138</v>
      </c>
      <c r="D1995" s="10" t="s">
        <v>138</v>
      </c>
      <c r="E1995" s="28" t="s">
        <v>5131</v>
      </c>
      <c r="F1995" s="28" t="s">
        <v>138</v>
      </c>
      <c r="G1995" s="28" t="s">
        <v>740</v>
      </c>
      <c r="H1995" s="13">
        <v>2</v>
      </c>
      <c r="I1995" s="12" t="s">
        <v>37704</v>
      </c>
      <c r="J1995" s="12" t="s">
        <v>46356</v>
      </c>
      <c r="K1995" s="12" t="s">
        <v>37890</v>
      </c>
      <c r="L1995" s="12"/>
      <c r="M1995" s="12"/>
      <c r="N1995" s="12"/>
      <c r="O1995" s="12"/>
      <c r="P1995" s="12"/>
      <c r="Q1995" s="12"/>
      <c r="R1995" s="12"/>
      <c r="S1995" s="12"/>
      <c r="T1995" s="12"/>
      <c r="U1995" s="12"/>
      <c r="V1995" s="12"/>
      <c r="W1995" s="12"/>
      <c r="X1995" s="12"/>
      <c r="Y1995" s="12"/>
      <c r="Z1995" s="12"/>
      <c r="AA1995" s="12"/>
      <c r="AB1995" s="12"/>
      <c r="AC1995" s="12"/>
      <c r="AD1995" s="12"/>
      <c r="AE1995" s="12"/>
      <c r="AF1995" s="12"/>
      <c r="AG1995" s="12"/>
      <c r="AH1995" s="12"/>
      <c r="AI1995" s="12"/>
      <c r="AJ1995" s="12"/>
      <c r="AK1995" s="12"/>
      <c r="AL1995" s="12"/>
      <c r="AM1995" s="12"/>
      <c r="AN1995" s="12"/>
      <c r="AO1995" s="12"/>
      <c r="AP1995" s="12"/>
      <c r="AQ1995" s="12"/>
      <c r="AR1995" s="12"/>
      <c r="AS1995" s="12"/>
      <c r="AT1995" s="12"/>
      <c r="AU1995" s="12"/>
      <c r="AV1995" s="12"/>
      <c r="AW1995" s="12"/>
      <c r="AX1995" s="12"/>
      <c r="AY1995" s="12"/>
      <c r="AZ1995" s="12"/>
      <c r="BA1995" s="12"/>
      <c r="BB1995" s="12"/>
      <c r="BC1995" s="12"/>
      <c r="BD1995" s="12"/>
      <c r="BE1995" s="12"/>
      <c r="BF1995" s="12"/>
      <c r="BG1995" s="12"/>
      <c r="BH1995" s="12"/>
      <c r="BI1995" s="12"/>
      <c r="BJ1995" s="12"/>
      <c r="BK1995" s="12"/>
      <c r="BL1995" s="12"/>
      <c r="BM1995" s="12"/>
      <c r="BN1995" s="12"/>
      <c r="BO1995" s="12"/>
      <c r="BP1995" s="12"/>
      <c r="BQ1995" s="12"/>
      <c r="BR1995" s="12"/>
      <c r="BS1995" s="12"/>
      <c r="BT1995" s="12"/>
    </row>
    <row r="1996" spans="1:72">
      <c r="A1996" s="2" t="s">
        <v>37707</v>
      </c>
      <c r="B1996" s="5" t="s">
        <v>37712</v>
      </c>
      <c r="C1996" s="3" t="s">
        <v>138</v>
      </c>
      <c r="D1996" s="4" t="s">
        <v>37708</v>
      </c>
      <c r="E1996" s="15" t="s">
        <v>426</v>
      </c>
      <c r="F1996" s="15" t="s">
        <v>426</v>
      </c>
      <c r="G1996" s="15" t="s">
        <v>162</v>
      </c>
      <c r="H1996" s="7">
        <v>1</v>
      </c>
      <c r="I1996" s="6" t="s">
        <v>1012</v>
      </c>
      <c r="J1996" s="6" t="s">
        <v>1012</v>
      </c>
      <c r="K1996" s="6"/>
      <c r="L1996" s="6"/>
      <c r="M1996" s="6"/>
      <c r="N1996" s="6"/>
      <c r="O1996" s="6"/>
      <c r="P1996" s="6"/>
      <c r="Q1996" s="6"/>
      <c r="R1996" s="6"/>
      <c r="S1996" s="6"/>
      <c r="T1996" s="6"/>
      <c r="U1996" s="6"/>
      <c r="V1996" s="6"/>
      <c r="W1996" s="6"/>
      <c r="X1996" s="6"/>
      <c r="Y1996" s="6"/>
      <c r="Z1996" s="6"/>
      <c r="AA1996" s="6"/>
      <c r="AB1996" s="6"/>
      <c r="AC1996" s="6"/>
      <c r="AD1996" s="6"/>
      <c r="AE1996" s="6"/>
      <c r="AF1996" s="6"/>
      <c r="AG1996" s="6"/>
      <c r="AH1996" s="6"/>
      <c r="AI1996" s="6"/>
      <c r="AJ1996" s="6"/>
      <c r="AK1996" s="6"/>
      <c r="AL1996" s="6"/>
      <c r="AM1996" s="6"/>
      <c r="AN1996" s="6"/>
      <c r="AO1996" s="6"/>
      <c r="AP1996" s="6"/>
      <c r="AQ1996" s="6"/>
      <c r="AR1996" s="6"/>
      <c r="AS1996" s="6"/>
      <c r="AT1996" s="6"/>
      <c r="AU1996" s="6"/>
      <c r="AV1996" s="6"/>
      <c r="AW1996" s="6"/>
      <c r="AX1996" s="6"/>
      <c r="AY1996" s="6"/>
      <c r="AZ1996" s="6"/>
      <c r="BA1996" s="6"/>
      <c r="BB1996" s="6"/>
      <c r="BC1996" s="6"/>
      <c r="BD1996" s="6"/>
      <c r="BE1996" s="6"/>
      <c r="BF1996" s="6"/>
      <c r="BG1996" s="6"/>
      <c r="BH1996" s="6"/>
      <c r="BI1996" s="6"/>
      <c r="BJ1996" s="6"/>
      <c r="BK1996" s="6"/>
      <c r="BL1996" s="6"/>
      <c r="BM1996" s="6"/>
      <c r="BN1996" s="6"/>
      <c r="BO1996" s="6"/>
      <c r="BP1996" s="6"/>
      <c r="BQ1996" s="6"/>
      <c r="BR1996" s="6"/>
      <c r="BS1996" s="6"/>
      <c r="BT1996" s="6"/>
    </row>
    <row r="1997" spans="1:72">
      <c r="A1997" s="8" t="s">
        <v>37723</v>
      </c>
      <c r="B1997" s="11" t="s">
        <v>37729</v>
      </c>
      <c r="C1997" s="9" t="s">
        <v>138</v>
      </c>
      <c r="D1997" s="10" t="s">
        <v>37724</v>
      </c>
      <c r="E1997" s="28" t="s">
        <v>37736</v>
      </c>
      <c r="F1997" s="28" t="s">
        <v>138</v>
      </c>
      <c r="G1997" s="28" t="s">
        <v>1319</v>
      </c>
      <c r="H1997" s="13">
        <v>8</v>
      </c>
      <c r="I1997" s="12" t="s">
        <v>37741</v>
      </c>
      <c r="J1997" s="12" t="s">
        <v>43416</v>
      </c>
      <c r="K1997" s="12" t="s">
        <v>46357</v>
      </c>
      <c r="L1997" s="12" t="s">
        <v>46358</v>
      </c>
      <c r="M1997" s="12" t="s">
        <v>46359</v>
      </c>
      <c r="N1997" s="12" t="s">
        <v>40306</v>
      </c>
      <c r="O1997" s="12" t="s">
        <v>41485</v>
      </c>
      <c r="P1997" s="12" t="s">
        <v>38363</v>
      </c>
      <c r="Q1997" s="12" t="s">
        <v>46247</v>
      </c>
      <c r="R1997" s="12"/>
      <c r="S1997" s="12"/>
      <c r="T1997" s="12"/>
      <c r="U1997" s="12"/>
      <c r="V1997" s="12"/>
      <c r="W1997" s="12"/>
      <c r="X1997" s="12"/>
      <c r="Y1997" s="12"/>
      <c r="Z1997" s="12"/>
      <c r="AA1997" s="12"/>
      <c r="AB1997" s="12"/>
      <c r="AC1997" s="12"/>
      <c r="AD1997" s="12"/>
      <c r="AE1997" s="12"/>
      <c r="AF1997" s="12"/>
      <c r="AG1997" s="12"/>
      <c r="AH1997" s="12"/>
      <c r="AI1997" s="12"/>
      <c r="AJ1997" s="12"/>
      <c r="AK1997" s="12"/>
      <c r="AL1997" s="12"/>
      <c r="AM1997" s="12"/>
      <c r="AN1997" s="12"/>
      <c r="AO1997" s="12"/>
      <c r="AP1997" s="12"/>
      <c r="AQ1997" s="12"/>
      <c r="AR1997" s="12"/>
      <c r="AS1997" s="12"/>
      <c r="AT1997" s="12"/>
      <c r="AU1997" s="12"/>
      <c r="AV1997" s="12"/>
      <c r="AW1997" s="12"/>
      <c r="AX1997" s="12"/>
      <c r="AY1997" s="12"/>
      <c r="AZ1997" s="12"/>
      <c r="BA1997" s="12"/>
      <c r="BB1997" s="12"/>
      <c r="BC1997" s="12"/>
      <c r="BD1997" s="12"/>
      <c r="BE1997" s="12"/>
      <c r="BF1997" s="12"/>
      <c r="BG1997" s="12"/>
      <c r="BH1997" s="12"/>
      <c r="BI1997" s="12"/>
      <c r="BJ1997" s="12"/>
      <c r="BK1997" s="12"/>
      <c r="BL1997" s="12"/>
      <c r="BM1997" s="12"/>
      <c r="BN1997" s="12"/>
      <c r="BO1997" s="12"/>
      <c r="BP1997" s="12"/>
      <c r="BQ1997" s="12"/>
      <c r="BR1997" s="12"/>
      <c r="BS1997" s="12"/>
      <c r="BT1997" s="12"/>
    </row>
    <row r="1998" spans="1:72">
      <c r="A1998" s="2" t="s">
        <v>37744</v>
      </c>
      <c r="B1998" s="5" t="s">
        <v>37749</v>
      </c>
      <c r="C1998" s="3" t="s">
        <v>138</v>
      </c>
      <c r="D1998" s="4" t="s">
        <v>138</v>
      </c>
      <c r="E1998" s="15" t="s">
        <v>3111</v>
      </c>
      <c r="F1998" s="15" t="s">
        <v>3112</v>
      </c>
      <c r="G1998" s="15" t="s">
        <v>2742</v>
      </c>
      <c r="H1998" s="7">
        <v>11</v>
      </c>
      <c r="I1998" s="6" t="s">
        <v>37759</v>
      </c>
      <c r="J1998" s="6" t="s">
        <v>38809</v>
      </c>
      <c r="K1998" s="6" t="s">
        <v>46360</v>
      </c>
      <c r="L1998" s="6" t="s">
        <v>46361</v>
      </c>
      <c r="M1998" s="6" t="s">
        <v>46362</v>
      </c>
      <c r="N1998" s="6" t="s">
        <v>38485</v>
      </c>
      <c r="O1998" s="6" t="s">
        <v>41230</v>
      </c>
      <c r="P1998" s="6" t="s">
        <v>46079</v>
      </c>
      <c r="Q1998" s="6" t="s">
        <v>39418</v>
      </c>
      <c r="R1998" s="6" t="s">
        <v>46363</v>
      </c>
      <c r="S1998" s="6" t="s">
        <v>40936</v>
      </c>
      <c r="T1998" s="6" t="s">
        <v>38228</v>
      </c>
      <c r="U1998" s="6"/>
      <c r="V1998" s="6"/>
      <c r="W1998" s="6"/>
      <c r="X1998" s="6"/>
      <c r="Y1998" s="6"/>
      <c r="Z1998" s="6"/>
      <c r="AA1998" s="6"/>
      <c r="AB1998" s="6"/>
      <c r="AC1998" s="6"/>
      <c r="AD1998" s="6"/>
      <c r="AE1998" s="6"/>
      <c r="AF1998" s="6"/>
      <c r="AG1998" s="6"/>
      <c r="AH1998" s="6"/>
      <c r="AI1998" s="6"/>
      <c r="AJ1998" s="6"/>
      <c r="AK1998" s="6"/>
      <c r="AL1998" s="6"/>
      <c r="AM1998" s="6"/>
      <c r="AN1998" s="6"/>
      <c r="AO1998" s="6"/>
      <c r="AP1998" s="6"/>
      <c r="AQ1998" s="6"/>
      <c r="AR1998" s="6"/>
      <c r="AS1998" s="6"/>
      <c r="AT1998" s="6"/>
      <c r="AU1998" s="6"/>
      <c r="AV1998" s="6"/>
      <c r="AW1998" s="6"/>
      <c r="AX1998" s="6"/>
      <c r="AY1998" s="6"/>
      <c r="AZ1998" s="6"/>
      <c r="BA1998" s="6"/>
      <c r="BB1998" s="6"/>
      <c r="BC1998" s="6"/>
      <c r="BD1998" s="6"/>
      <c r="BE1998" s="6"/>
      <c r="BF1998" s="6"/>
      <c r="BG1998" s="6"/>
      <c r="BH1998" s="6"/>
      <c r="BI1998" s="6"/>
      <c r="BJ1998" s="6"/>
      <c r="BK1998" s="6"/>
      <c r="BL1998" s="6"/>
      <c r="BM1998" s="6"/>
      <c r="BN1998" s="6"/>
      <c r="BO1998" s="6"/>
      <c r="BP1998" s="6"/>
      <c r="BQ1998" s="6"/>
      <c r="BR1998" s="6"/>
      <c r="BS1998" s="6"/>
      <c r="BT1998" s="6"/>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E1998"/>
  <sheetViews>
    <sheetView tabSelected="1" topLeftCell="AC1" workbookViewId="0">
      <selection activeCell="AV1" sqref="AV1:AV1998"/>
    </sheetView>
  </sheetViews>
  <sheetFormatPr baseColWidth="10" defaultColWidth="8.83203125" defaultRowHeight="14" x14ac:dyDescent="0"/>
  <sheetData>
    <row r="1" spans="1:135" ht="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6" t="s">
        <v>134</v>
      </c>
    </row>
    <row r="2" spans="1:135">
      <c r="A2" s="15" t="s">
        <v>135</v>
      </c>
      <c r="B2" s="15" t="s">
        <v>136</v>
      </c>
      <c r="C2" s="15" t="s">
        <v>137</v>
      </c>
      <c r="D2" s="15" t="s">
        <v>138</v>
      </c>
      <c r="E2" s="15" t="s">
        <v>139</v>
      </c>
      <c r="F2" s="15" t="s">
        <v>135</v>
      </c>
      <c r="G2" s="15" t="s">
        <v>140</v>
      </c>
      <c r="H2" s="15" t="s">
        <v>141</v>
      </c>
      <c r="I2" s="15" t="s">
        <v>142</v>
      </c>
      <c r="J2" s="15" t="s">
        <v>143</v>
      </c>
      <c r="K2" s="15" t="s">
        <v>144</v>
      </c>
      <c r="L2" s="15" t="s">
        <v>145</v>
      </c>
      <c r="M2" s="15" t="s">
        <v>146</v>
      </c>
      <c r="N2" s="15" t="s">
        <v>147</v>
      </c>
      <c r="O2" s="17">
        <v>4</v>
      </c>
      <c r="P2" s="15" t="s">
        <v>148</v>
      </c>
      <c r="Q2" s="15" t="s">
        <v>149</v>
      </c>
      <c r="R2" s="15" t="s">
        <v>150</v>
      </c>
      <c r="S2" s="15" t="s">
        <v>151</v>
      </c>
      <c r="T2" s="18" t="s">
        <v>138</v>
      </c>
      <c r="U2" s="15" t="s">
        <v>138</v>
      </c>
      <c r="V2" s="15" t="s">
        <v>138</v>
      </c>
      <c r="W2" s="15" t="s">
        <v>138</v>
      </c>
      <c r="X2" s="19">
        <v>1997</v>
      </c>
      <c r="Y2" s="15" t="s">
        <v>138</v>
      </c>
      <c r="Z2" s="15" t="s">
        <v>138</v>
      </c>
      <c r="AA2" s="15" t="s">
        <v>138</v>
      </c>
      <c r="AB2" s="20" t="s">
        <v>138</v>
      </c>
      <c r="AC2" s="20" t="s">
        <v>138</v>
      </c>
      <c r="AD2" s="20" t="s">
        <v>138</v>
      </c>
      <c r="AE2" s="20" t="s">
        <v>138</v>
      </c>
      <c r="AF2" s="20" t="s">
        <v>138</v>
      </c>
      <c r="AG2" s="15" t="s">
        <v>138</v>
      </c>
      <c r="AH2" s="20" t="s">
        <v>138</v>
      </c>
      <c r="AI2" s="20" t="s">
        <v>138</v>
      </c>
      <c r="AJ2" s="20" t="s">
        <v>138</v>
      </c>
      <c r="AK2" s="15" t="s">
        <v>152</v>
      </c>
      <c r="AL2" s="15" t="s">
        <v>153</v>
      </c>
      <c r="AM2" s="15" t="s">
        <v>154</v>
      </c>
      <c r="AN2" s="15" t="s">
        <v>138</v>
      </c>
      <c r="AO2" s="15" t="s">
        <v>155</v>
      </c>
      <c r="AP2" s="15" t="s">
        <v>156</v>
      </c>
      <c r="AQ2" s="15" t="s">
        <v>157</v>
      </c>
      <c r="AR2" s="15" t="s">
        <v>158</v>
      </c>
      <c r="AS2" s="15" t="s">
        <v>159</v>
      </c>
      <c r="AT2" s="15" t="s">
        <v>160</v>
      </c>
      <c r="AU2" s="15" t="s">
        <v>161</v>
      </c>
      <c r="AV2" s="15" t="s">
        <v>162</v>
      </c>
      <c r="AW2" s="15" t="s">
        <v>155</v>
      </c>
      <c r="AX2" s="15" t="s">
        <v>138</v>
      </c>
      <c r="AY2" s="15" t="s">
        <v>163</v>
      </c>
      <c r="AZ2" s="15" t="s">
        <v>164</v>
      </c>
      <c r="BA2" s="15" t="s">
        <v>165</v>
      </c>
      <c r="BB2" s="15" t="s">
        <v>166</v>
      </c>
      <c r="BC2" s="15" t="s">
        <v>167</v>
      </c>
      <c r="BD2" s="21">
        <v>7</v>
      </c>
      <c r="BE2" s="15" t="s">
        <v>138</v>
      </c>
      <c r="BF2" s="15" t="s">
        <v>138</v>
      </c>
      <c r="BG2" s="15" t="s">
        <v>168</v>
      </c>
      <c r="BH2" s="15" t="s">
        <v>169</v>
      </c>
      <c r="BI2" s="15" t="s">
        <v>138</v>
      </c>
      <c r="BJ2" s="15" t="s">
        <v>170</v>
      </c>
      <c r="BK2" s="15" t="s">
        <v>171</v>
      </c>
      <c r="BL2" s="15" t="s">
        <v>138</v>
      </c>
      <c r="BM2" s="22">
        <v>39615</v>
      </c>
      <c r="BN2" s="17">
        <v>4</v>
      </c>
      <c r="BO2" s="15" t="s">
        <v>172</v>
      </c>
      <c r="BP2" s="17" t="s">
        <v>138</v>
      </c>
      <c r="BQ2" s="15" t="s">
        <v>138</v>
      </c>
      <c r="BR2" s="15" t="s">
        <v>173</v>
      </c>
      <c r="BS2" s="15" t="s">
        <v>138</v>
      </c>
      <c r="BT2" s="15" t="s">
        <v>138</v>
      </c>
      <c r="BU2" s="15" t="s">
        <v>174</v>
      </c>
      <c r="BV2" s="15" t="s">
        <v>138</v>
      </c>
      <c r="BW2" s="15" t="s">
        <v>138</v>
      </c>
      <c r="BX2" s="15" t="s">
        <v>138</v>
      </c>
      <c r="BY2" s="15" t="s">
        <v>175</v>
      </c>
      <c r="BZ2" s="22">
        <v>40179</v>
      </c>
      <c r="CA2" s="17">
        <v>7.2</v>
      </c>
      <c r="CB2" s="15" t="s">
        <v>172</v>
      </c>
      <c r="CC2" s="17" t="s">
        <v>138</v>
      </c>
      <c r="CD2" s="15" t="s">
        <v>138</v>
      </c>
      <c r="CE2" s="15" t="s">
        <v>176</v>
      </c>
      <c r="CF2" s="15" t="s">
        <v>138</v>
      </c>
      <c r="CG2" s="15" t="s">
        <v>138</v>
      </c>
      <c r="CH2" s="15" t="s">
        <v>177</v>
      </c>
      <c r="CI2" s="15" t="s">
        <v>138</v>
      </c>
      <c r="CJ2" s="15" t="s">
        <v>138</v>
      </c>
      <c r="CK2" s="15" t="s">
        <v>138</v>
      </c>
      <c r="CL2" s="15" t="s">
        <v>175</v>
      </c>
      <c r="CM2" s="22" t="s">
        <v>138</v>
      </c>
      <c r="CN2" s="17" t="s">
        <v>138</v>
      </c>
      <c r="CO2" s="23">
        <v>-4.2699999999999996</v>
      </c>
      <c r="CP2" s="24">
        <v>2</v>
      </c>
      <c r="CQ2" s="23">
        <v>0</v>
      </c>
      <c r="CR2" s="23">
        <v>0</v>
      </c>
      <c r="CS2" s="23">
        <v>-4.2699999999999996</v>
      </c>
      <c r="CT2" s="24">
        <v>3</v>
      </c>
      <c r="CU2" s="23" t="s">
        <v>138</v>
      </c>
      <c r="CV2" s="24" t="s">
        <v>138</v>
      </c>
      <c r="CW2" s="23" t="s">
        <v>138</v>
      </c>
      <c r="CX2" s="24" t="s">
        <v>138</v>
      </c>
      <c r="CY2" s="23">
        <v>-4.2699999999999996</v>
      </c>
      <c r="CZ2" s="24">
        <v>4</v>
      </c>
      <c r="DA2" s="23" t="s">
        <v>138</v>
      </c>
      <c r="DB2" s="24" t="s">
        <v>138</v>
      </c>
      <c r="DC2" s="25">
        <v>3.86</v>
      </c>
      <c r="DD2" s="24">
        <v>79</v>
      </c>
      <c r="DE2" s="25">
        <v>-0.03</v>
      </c>
      <c r="DF2" s="23">
        <v>-0.88</v>
      </c>
      <c r="DG2" s="25">
        <v>3.86</v>
      </c>
      <c r="DH2" s="24">
        <v>79</v>
      </c>
      <c r="DI2" s="25" t="s">
        <v>138</v>
      </c>
      <c r="DJ2" s="24" t="s">
        <v>138</v>
      </c>
      <c r="DK2" s="25" t="s">
        <v>138</v>
      </c>
      <c r="DL2" s="24" t="s">
        <v>138</v>
      </c>
      <c r="DM2" s="25">
        <v>3.86</v>
      </c>
      <c r="DN2" s="24">
        <v>78</v>
      </c>
      <c r="DO2" s="25" t="s">
        <v>138</v>
      </c>
      <c r="DP2" s="24" t="s">
        <v>138</v>
      </c>
      <c r="DQ2" s="24" t="s">
        <v>138</v>
      </c>
      <c r="DR2" s="26" t="s">
        <v>138</v>
      </c>
      <c r="DS2" s="23" t="s">
        <v>138</v>
      </c>
      <c r="DT2" s="24">
        <v>112</v>
      </c>
      <c r="DU2" s="26">
        <v>0</v>
      </c>
      <c r="DV2" s="23">
        <v>0</v>
      </c>
      <c r="DW2" s="24" t="s">
        <v>138</v>
      </c>
      <c r="DX2" s="27" t="s">
        <v>138</v>
      </c>
      <c r="DY2" s="23" t="s">
        <v>138</v>
      </c>
      <c r="DZ2" s="15" t="s">
        <v>178</v>
      </c>
      <c r="EA2" s="22">
        <v>43495</v>
      </c>
      <c r="EB2" s="17" t="s">
        <v>138</v>
      </c>
      <c r="EC2" s="22" t="s">
        <v>138</v>
      </c>
      <c r="ED2" s="15" t="s">
        <v>138</v>
      </c>
      <c r="EE2" s="14" t="str">
        <f>HYPERLINK("https://my.pitchbook.com?c=63996-58", "View company online")</f>
        <v>View company online</v>
      </c>
    </row>
    <row r="3" spans="1:135">
      <c r="A3" s="28" t="s">
        <v>179</v>
      </c>
      <c r="B3" s="28" t="s">
        <v>180</v>
      </c>
      <c r="C3" s="28" t="s">
        <v>138</v>
      </c>
      <c r="D3" s="28" t="s">
        <v>138</v>
      </c>
      <c r="E3" s="28" t="s">
        <v>181</v>
      </c>
      <c r="F3" s="28" t="s">
        <v>179</v>
      </c>
      <c r="G3" s="28" t="s">
        <v>182</v>
      </c>
      <c r="H3" s="28" t="s">
        <v>183</v>
      </c>
      <c r="I3" s="28" t="s">
        <v>184</v>
      </c>
      <c r="J3" s="28" t="s">
        <v>185</v>
      </c>
      <c r="K3" s="28" t="s">
        <v>186</v>
      </c>
      <c r="L3" s="28" t="s">
        <v>187</v>
      </c>
      <c r="M3" s="28" t="s">
        <v>188</v>
      </c>
      <c r="N3" s="28" t="s">
        <v>147</v>
      </c>
      <c r="O3" s="29">
        <v>23.11</v>
      </c>
      <c r="P3" s="28" t="s">
        <v>189</v>
      </c>
      <c r="Q3" s="28" t="s">
        <v>149</v>
      </c>
      <c r="R3" s="28" t="s">
        <v>174</v>
      </c>
      <c r="S3" s="28" t="s">
        <v>190</v>
      </c>
      <c r="T3" s="30" t="s">
        <v>138</v>
      </c>
      <c r="U3" s="28" t="s">
        <v>138</v>
      </c>
      <c r="V3" s="28" t="s">
        <v>138</v>
      </c>
      <c r="W3" s="28" t="s">
        <v>138</v>
      </c>
      <c r="X3" s="31">
        <v>2007</v>
      </c>
      <c r="Y3" s="28" t="s">
        <v>138</v>
      </c>
      <c r="Z3" s="28" t="s">
        <v>138</v>
      </c>
      <c r="AA3" s="28" t="s">
        <v>138</v>
      </c>
      <c r="AB3" s="32" t="s">
        <v>138</v>
      </c>
      <c r="AC3" s="32" t="s">
        <v>138</v>
      </c>
      <c r="AD3" s="32" t="s">
        <v>138</v>
      </c>
      <c r="AE3" s="32" t="s">
        <v>138</v>
      </c>
      <c r="AF3" s="32" t="s">
        <v>138</v>
      </c>
      <c r="AG3" s="28" t="s">
        <v>138</v>
      </c>
      <c r="AH3" s="32" t="s">
        <v>138</v>
      </c>
      <c r="AI3" s="32" t="s">
        <v>138</v>
      </c>
      <c r="AJ3" s="32" t="s">
        <v>138</v>
      </c>
      <c r="AK3" s="28" t="s">
        <v>191</v>
      </c>
      <c r="AL3" s="28" t="s">
        <v>192</v>
      </c>
      <c r="AM3" s="28" t="s">
        <v>193</v>
      </c>
      <c r="AN3" s="28" t="s">
        <v>194</v>
      </c>
      <c r="AO3" s="28" t="s">
        <v>195</v>
      </c>
      <c r="AP3" s="28" t="s">
        <v>196</v>
      </c>
      <c r="AQ3" s="28" t="s">
        <v>197</v>
      </c>
      <c r="AR3" s="28" t="s">
        <v>198</v>
      </c>
      <c r="AS3" s="28" t="s">
        <v>199</v>
      </c>
      <c r="AT3" s="28" t="s">
        <v>200</v>
      </c>
      <c r="AU3" s="28" t="s">
        <v>138</v>
      </c>
      <c r="AV3" s="28" t="s">
        <v>162</v>
      </c>
      <c r="AW3" s="28" t="s">
        <v>195</v>
      </c>
      <c r="AX3" s="28" t="s">
        <v>138</v>
      </c>
      <c r="AY3" s="28" t="s">
        <v>138</v>
      </c>
      <c r="AZ3" s="28" t="s">
        <v>164</v>
      </c>
      <c r="BA3" s="28" t="s">
        <v>165</v>
      </c>
      <c r="BB3" s="28" t="s">
        <v>201</v>
      </c>
      <c r="BC3" s="28" t="s">
        <v>202</v>
      </c>
      <c r="BD3" s="33">
        <v>2</v>
      </c>
      <c r="BE3" s="28" t="s">
        <v>138</v>
      </c>
      <c r="BF3" s="28" t="s">
        <v>138</v>
      </c>
      <c r="BG3" s="28" t="s">
        <v>138</v>
      </c>
      <c r="BH3" s="28" t="s">
        <v>203</v>
      </c>
      <c r="BI3" s="28" t="s">
        <v>138</v>
      </c>
      <c r="BJ3" s="28" t="s">
        <v>138</v>
      </c>
      <c r="BK3" s="28" t="s">
        <v>204</v>
      </c>
      <c r="BL3" s="28" t="s">
        <v>204</v>
      </c>
      <c r="BM3" s="34">
        <v>40375</v>
      </c>
      <c r="BN3" s="29">
        <v>1</v>
      </c>
      <c r="BO3" s="28" t="s">
        <v>172</v>
      </c>
      <c r="BP3" s="29">
        <v>2.5</v>
      </c>
      <c r="BQ3" s="28" t="s">
        <v>172</v>
      </c>
      <c r="BR3" s="28" t="s">
        <v>205</v>
      </c>
      <c r="BS3" s="28" t="s">
        <v>206</v>
      </c>
      <c r="BT3" s="28" t="s">
        <v>138</v>
      </c>
      <c r="BU3" s="28" t="s">
        <v>174</v>
      </c>
      <c r="BV3" s="28" t="s">
        <v>138</v>
      </c>
      <c r="BW3" s="28" t="s">
        <v>138</v>
      </c>
      <c r="BX3" s="28" t="s">
        <v>138</v>
      </c>
      <c r="BY3" s="28" t="s">
        <v>175</v>
      </c>
      <c r="BZ3" s="34">
        <v>42507</v>
      </c>
      <c r="CA3" s="29">
        <v>10.61</v>
      </c>
      <c r="CB3" s="28" t="s">
        <v>172</v>
      </c>
      <c r="CC3" s="29">
        <v>132.61000000000001</v>
      </c>
      <c r="CD3" s="28" t="s">
        <v>172</v>
      </c>
      <c r="CE3" s="28" t="s">
        <v>205</v>
      </c>
      <c r="CF3" s="28" t="s">
        <v>207</v>
      </c>
      <c r="CG3" s="28" t="s">
        <v>138</v>
      </c>
      <c r="CH3" s="28" t="s">
        <v>174</v>
      </c>
      <c r="CI3" s="28" t="s">
        <v>138</v>
      </c>
      <c r="CJ3" s="28" t="s">
        <v>138</v>
      </c>
      <c r="CK3" s="28" t="s">
        <v>138</v>
      </c>
      <c r="CL3" s="28" t="s">
        <v>175</v>
      </c>
      <c r="CM3" s="34" t="s">
        <v>138</v>
      </c>
      <c r="CN3" s="29" t="s">
        <v>138</v>
      </c>
      <c r="CO3" s="35">
        <v>0</v>
      </c>
      <c r="CP3" s="36">
        <v>26</v>
      </c>
      <c r="CQ3" s="35">
        <v>0</v>
      </c>
      <c r="CR3" s="35">
        <v>0</v>
      </c>
      <c r="CS3" s="35">
        <v>0</v>
      </c>
      <c r="CT3" s="36">
        <v>23</v>
      </c>
      <c r="CU3" s="35" t="s">
        <v>138</v>
      </c>
      <c r="CV3" s="36" t="s">
        <v>138</v>
      </c>
      <c r="CW3" s="35" t="s">
        <v>138</v>
      </c>
      <c r="CX3" s="36" t="s">
        <v>138</v>
      </c>
      <c r="CY3" s="35">
        <v>0</v>
      </c>
      <c r="CZ3" s="36">
        <v>25</v>
      </c>
      <c r="DA3" s="35" t="s">
        <v>138</v>
      </c>
      <c r="DB3" s="36" t="s">
        <v>138</v>
      </c>
      <c r="DC3" s="37">
        <v>0.03</v>
      </c>
      <c r="DD3" s="36">
        <v>1</v>
      </c>
      <c r="DE3" s="37">
        <v>0</v>
      </c>
      <c r="DF3" s="35">
        <v>0</v>
      </c>
      <c r="DG3" s="37">
        <v>0.03</v>
      </c>
      <c r="DH3" s="36">
        <v>1</v>
      </c>
      <c r="DI3" s="37" t="s">
        <v>138</v>
      </c>
      <c r="DJ3" s="36" t="s">
        <v>138</v>
      </c>
      <c r="DK3" s="37" t="s">
        <v>138</v>
      </c>
      <c r="DL3" s="36" t="s">
        <v>138</v>
      </c>
      <c r="DM3" s="37">
        <v>0.03</v>
      </c>
      <c r="DN3" s="36">
        <v>1</v>
      </c>
      <c r="DO3" s="37" t="s">
        <v>138</v>
      </c>
      <c r="DP3" s="36" t="s">
        <v>138</v>
      </c>
      <c r="DQ3" s="36" t="s">
        <v>138</v>
      </c>
      <c r="DR3" s="38" t="s">
        <v>138</v>
      </c>
      <c r="DS3" s="35" t="s">
        <v>138</v>
      </c>
      <c r="DT3" s="36">
        <v>1</v>
      </c>
      <c r="DU3" s="38">
        <v>0</v>
      </c>
      <c r="DV3" s="35">
        <v>0</v>
      </c>
      <c r="DW3" s="36" t="s">
        <v>138</v>
      </c>
      <c r="DX3" s="39" t="s">
        <v>138</v>
      </c>
      <c r="DY3" s="35" t="s">
        <v>138</v>
      </c>
      <c r="DZ3" s="28" t="s">
        <v>178</v>
      </c>
      <c r="EA3" s="34">
        <v>43594</v>
      </c>
      <c r="EB3" s="29">
        <v>132.61000000000001</v>
      </c>
      <c r="EC3" s="34">
        <v>42507</v>
      </c>
      <c r="ED3" s="28" t="s">
        <v>205</v>
      </c>
      <c r="EE3" s="40" t="str">
        <f>HYPERLINK("https://my.pitchbook.com?c=60184-09", "View company online")</f>
        <v>View company online</v>
      </c>
    </row>
    <row r="4" spans="1:135">
      <c r="A4" s="15" t="s">
        <v>208</v>
      </c>
      <c r="B4" s="15" t="s">
        <v>209</v>
      </c>
      <c r="C4" s="15" t="s">
        <v>138</v>
      </c>
      <c r="D4" s="15" t="s">
        <v>138</v>
      </c>
      <c r="E4" s="15" t="s">
        <v>210</v>
      </c>
      <c r="F4" s="15" t="s">
        <v>208</v>
      </c>
      <c r="G4" s="15" t="s">
        <v>211</v>
      </c>
      <c r="H4" s="15" t="s">
        <v>141</v>
      </c>
      <c r="I4" s="15" t="s">
        <v>212</v>
      </c>
      <c r="J4" s="15" t="s">
        <v>213</v>
      </c>
      <c r="K4" s="15" t="s">
        <v>214</v>
      </c>
      <c r="L4" s="15" t="s">
        <v>215</v>
      </c>
      <c r="M4" s="15" t="s">
        <v>216</v>
      </c>
      <c r="N4" s="15" t="s">
        <v>147</v>
      </c>
      <c r="O4" s="17">
        <v>12.6</v>
      </c>
      <c r="P4" s="15" t="s">
        <v>148</v>
      </c>
      <c r="Q4" s="15" t="s">
        <v>149</v>
      </c>
      <c r="R4" s="15" t="s">
        <v>174</v>
      </c>
      <c r="S4" s="15" t="s">
        <v>217</v>
      </c>
      <c r="T4" s="18">
        <v>23</v>
      </c>
      <c r="U4" s="15" t="s">
        <v>218</v>
      </c>
      <c r="V4" s="15" t="s">
        <v>138</v>
      </c>
      <c r="W4" s="15" t="s">
        <v>138</v>
      </c>
      <c r="X4" s="19">
        <v>2016</v>
      </c>
      <c r="Y4" s="15" t="s">
        <v>138</v>
      </c>
      <c r="Z4" s="15" t="s">
        <v>138</v>
      </c>
      <c r="AA4" s="15" t="s">
        <v>138</v>
      </c>
      <c r="AB4" s="20" t="s">
        <v>138</v>
      </c>
      <c r="AC4" s="20" t="s">
        <v>138</v>
      </c>
      <c r="AD4" s="20" t="s">
        <v>138</v>
      </c>
      <c r="AE4" s="20" t="s">
        <v>138</v>
      </c>
      <c r="AF4" s="20" t="s">
        <v>138</v>
      </c>
      <c r="AG4" s="15" t="s">
        <v>138</v>
      </c>
      <c r="AH4" s="20" t="s">
        <v>138</v>
      </c>
      <c r="AI4" s="20" t="s">
        <v>138</v>
      </c>
      <c r="AJ4" s="20" t="s">
        <v>138</v>
      </c>
      <c r="AK4" s="15" t="s">
        <v>219</v>
      </c>
      <c r="AL4" s="15" t="s">
        <v>220</v>
      </c>
      <c r="AM4" s="15" t="s">
        <v>221</v>
      </c>
      <c r="AN4" s="15" t="s">
        <v>222</v>
      </c>
      <c r="AO4" s="15" t="s">
        <v>223</v>
      </c>
      <c r="AP4" s="15" t="s">
        <v>224</v>
      </c>
      <c r="AQ4" s="15" t="s">
        <v>225</v>
      </c>
      <c r="AR4" s="15" t="s">
        <v>226</v>
      </c>
      <c r="AS4" s="15" t="s">
        <v>227</v>
      </c>
      <c r="AT4" s="15" t="s">
        <v>228</v>
      </c>
      <c r="AU4" s="15" t="s">
        <v>229</v>
      </c>
      <c r="AV4" s="15" t="s">
        <v>162</v>
      </c>
      <c r="AW4" s="15" t="s">
        <v>223</v>
      </c>
      <c r="AX4" s="15" t="s">
        <v>138</v>
      </c>
      <c r="AY4" s="15" t="s">
        <v>230</v>
      </c>
      <c r="AZ4" s="15" t="s">
        <v>164</v>
      </c>
      <c r="BA4" s="15" t="s">
        <v>165</v>
      </c>
      <c r="BB4" s="15" t="s">
        <v>231</v>
      </c>
      <c r="BC4" s="15" t="s">
        <v>232</v>
      </c>
      <c r="BD4" s="21">
        <v>14</v>
      </c>
      <c r="BE4" s="15" t="s">
        <v>138</v>
      </c>
      <c r="BF4" s="15" t="s">
        <v>138</v>
      </c>
      <c r="BG4" s="15" t="s">
        <v>138</v>
      </c>
      <c r="BH4" s="15" t="s">
        <v>233</v>
      </c>
      <c r="BI4" s="15" t="s">
        <v>138</v>
      </c>
      <c r="BJ4" s="15" t="s">
        <v>138</v>
      </c>
      <c r="BK4" s="15" t="s">
        <v>138</v>
      </c>
      <c r="BL4" s="15" t="s">
        <v>138</v>
      </c>
      <c r="BM4" s="22">
        <v>42656</v>
      </c>
      <c r="BN4" s="17">
        <v>3.3</v>
      </c>
      <c r="BO4" s="15" t="s">
        <v>172</v>
      </c>
      <c r="BP4" s="17">
        <v>13.2</v>
      </c>
      <c r="BQ4" s="15" t="s">
        <v>172</v>
      </c>
      <c r="BR4" s="15" t="s">
        <v>234</v>
      </c>
      <c r="BS4" s="15" t="s">
        <v>234</v>
      </c>
      <c r="BT4" s="15" t="s">
        <v>138</v>
      </c>
      <c r="BU4" s="15" t="s">
        <v>174</v>
      </c>
      <c r="BV4" s="15" t="s">
        <v>138</v>
      </c>
      <c r="BW4" s="15" t="s">
        <v>138</v>
      </c>
      <c r="BX4" s="15" t="s">
        <v>138</v>
      </c>
      <c r="BY4" s="15" t="s">
        <v>175</v>
      </c>
      <c r="BZ4" s="22">
        <v>43123</v>
      </c>
      <c r="CA4" s="17">
        <v>9.3000000000000007</v>
      </c>
      <c r="CB4" s="15" t="s">
        <v>172</v>
      </c>
      <c r="CC4" s="17">
        <v>29.3</v>
      </c>
      <c r="CD4" s="15" t="s">
        <v>172</v>
      </c>
      <c r="CE4" s="15" t="s">
        <v>205</v>
      </c>
      <c r="CF4" s="15" t="s">
        <v>206</v>
      </c>
      <c r="CG4" s="15" t="s">
        <v>138</v>
      </c>
      <c r="CH4" s="15" t="s">
        <v>174</v>
      </c>
      <c r="CI4" s="15" t="s">
        <v>138</v>
      </c>
      <c r="CJ4" s="15" t="s">
        <v>138</v>
      </c>
      <c r="CK4" s="15" t="s">
        <v>138</v>
      </c>
      <c r="CL4" s="15" t="s">
        <v>175</v>
      </c>
      <c r="CM4" s="22" t="s">
        <v>138</v>
      </c>
      <c r="CN4" s="17" t="s">
        <v>138</v>
      </c>
      <c r="CO4" s="23">
        <v>2.23</v>
      </c>
      <c r="CP4" s="24">
        <v>99</v>
      </c>
      <c r="CQ4" s="23">
        <v>0.11</v>
      </c>
      <c r="CR4" s="23">
        <v>5.22</v>
      </c>
      <c r="CS4" s="23">
        <v>3.8</v>
      </c>
      <c r="CT4" s="24">
        <v>100</v>
      </c>
      <c r="CU4" s="23">
        <v>0.66</v>
      </c>
      <c r="CV4" s="24">
        <v>96</v>
      </c>
      <c r="CW4" s="23">
        <v>7.6</v>
      </c>
      <c r="CX4" s="24">
        <v>98</v>
      </c>
      <c r="CY4" s="23">
        <v>0</v>
      </c>
      <c r="CZ4" s="24">
        <v>25</v>
      </c>
      <c r="DA4" s="23">
        <v>0.66</v>
      </c>
      <c r="DB4" s="24">
        <v>96</v>
      </c>
      <c r="DC4" s="25">
        <v>4.18</v>
      </c>
      <c r="DD4" s="24">
        <v>80</v>
      </c>
      <c r="DE4" s="25">
        <v>0.72</v>
      </c>
      <c r="DF4" s="23">
        <v>20.95</v>
      </c>
      <c r="DG4" s="25">
        <v>4.3</v>
      </c>
      <c r="DH4" s="24">
        <v>80</v>
      </c>
      <c r="DI4" s="25">
        <v>4.0599999999999996</v>
      </c>
      <c r="DJ4" s="24">
        <v>74</v>
      </c>
      <c r="DK4" s="25">
        <v>7.29</v>
      </c>
      <c r="DL4" s="24">
        <v>84</v>
      </c>
      <c r="DM4" s="25">
        <v>1.31</v>
      </c>
      <c r="DN4" s="24">
        <v>56</v>
      </c>
      <c r="DO4" s="25">
        <v>4.0599999999999996</v>
      </c>
      <c r="DP4" s="24">
        <v>76</v>
      </c>
      <c r="DQ4" s="24">
        <v>2392</v>
      </c>
      <c r="DR4" s="26">
        <v>328</v>
      </c>
      <c r="DS4" s="23">
        <v>15.89</v>
      </c>
      <c r="DT4" s="24">
        <v>38</v>
      </c>
      <c r="DU4" s="26">
        <v>0</v>
      </c>
      <c r="DV4" s="23">
        <v>0</v>
      </c>
      <c r="DW4" s="24">
        <v>1451</v>
      </c>
      <c r="DX4" s="27">
        <v>7</v>
      </c>
      <c r="DY4" s="23">
        <v>0.48</v>
      </c>
      <c r="DZ4" s="15" t="s">
        <v>178</v>
      </c>
      <c r="EA4" s="22">
        <v>43474</v>
      </c>
      <c r="EB4" s="17">
        <v>29.3</v>
      </c>
      <c r="EC4" s="22">
        <v>43123</v>
      </c>
      <c r="ED4" s="15" t="s">
        <v>205</v>
      </c>
      <c r="EE4" s="14" t="str">
        <f>HYPERLINK("https://my.pitchbook.com?c=162693-55", "View company online")</f>
        <v>View company online</v>
      </c>
    </row>
    <row r="5" spans="1:135">
      <c r="A5" s="28" t="s">
        <v>235</v>
      </c>
      <c r="B5" s="28" t="s">
        <v>236</v>
      </c>
      <c r="C5" s="28" t="s">
        <v>138</v>
      </c>
      <c r="D5" s="28" t="s">
        <v>138</v>
      </c>
      <c r="E5" s="28" t="s">
        <v>138</v>
      </c>
      <c r="F5" s="28" t="s">
        <v>235</v>
      </c>
      <c r="G5" s="28" t="s">
        <v>237</v>
      </c>
      <c r="H5" s="28" t="s">
        <v>238</v>
      </c>
      <c r="I5" s="28" t="s">
        <v>239</v>
      </c>
      <c r="J5" s="28" t="s">
        <v>240</v>
      </c>
      <c r="K5" s="28" t="s">
        <v>241</v>
      </c>
      <c r="L5" s="28" t="s">
        <v>242</v>
      </c>
      <c r="M5" s="28" t="s">
        <v>243</v>
      </c>
      <c r="N5" s="28" t="s">
        <v>147</v>
      </c>
      <c r="O5" s="29">
        <v>53.86</v>
      </c>
      <c r="P5" s="28" t="s">
        <v>148</v>
      </c>
      <c r="Q5" s="28" t="s">
        <v>149</v>
      </c>
      <c r="R5" s="28" t="s">
        <v>244</v>
      </c>
      <c r="S5" s="28" t="s">
        <v>245</v>
      </c>
      <c r="T5" s="30">
        <v>51</v>
      </c>
      <c r="U5" s="28" t="s">
        <v>246</v>
      </c>
      <c r="V5" s="28" t="s">
        <v>138</v>
      </c>
      <c r="W5" s="28" t="s">
        <v>138</v>
      </c>
      <c r="X5" s="31">
        <v>2008</v>
      </c>
      <c r="Y5" s="28" t="s">
        <v>138</v>
      </c>
      <c r="Z5" s="28" t="s">
        <v>138</v>
      </c>
      <c r="AA5" s="28" t="s">
        <v>138</v>
      </c>
      <c r="AB5" s="32" t="s">
        <v>138</v>
      </c>
      <c r="AC5" s="32" t="s">
        <v>138</v>
      </c>
      <c r="AD5" s="32" t="s">
        <v>138</v>
      </c>
      <c r="AE5" s="32" t="s">
        <v>138</v>
      </c>
      <c r="AF5" s="32" t="s">
        <v>138</v>
      </c>
      <c r="AG5" s="28" t="s">
        <v>138</v>
      </c>
      <c r="AH5" s="32" t="s">
        <v>138</v>
      </c>
      <c r="AI5" s="32" t="s">
        <v>138</v>
      </c>
      <c r="AJ5" s="32" t="s">
        <v>138</v>
      </c>
      <c r="AK5" s="28" t="s">
        <v>247</v>
      </c>
      <c r="AL5" s="28" t="s">
        <v>248</v>
      </c>
      <c r="AM5" s="28" t="s">
        <v>249</v>
      </c>
      <c r="AN5" s="28" t="s">
        <v>250</v>
      </c>
      <c r="AO5" s="28" t="s">
        <v>251</v>
      </c>
      <c r="AP5" s="28" t="s">
        <v>252</v>
      </c>
      <c r="AQ5" s="28" t="s">
        <v>253</v>
      </c>
      <c r="AR5" s="28" t="s">
        <v>138</v>
      </c>
      <c r="AS5" s="28" t="s">
        <v>254</v>
      </c>
      <c r="AT5" s="28" t="s">
        <v>200</v>
      </c>
      <c r="AU5" s="28" t="s">
        <v>255</v>
      </c>
      <c r="AV5" s="28" t="s">
        <v>162</v>
      </c>
      <c r="AW5" s="28" t="s">
        <v>251</v>
      </c>
      <c r="AX5" s="28" t="s">
        <v>256</v>
      </c>
      <c r="AY5" s="28" t="s">
        <v>257</v>
      </c>
      <c r="AZ5" s="28" t="s">
        <v>164</v>
      </c>
      <c r="BA5" s="28" t="s">
        <v>165</v>
      </c>
      <c r="BB5" s="28" t="s">
        <v>258</v>
      </c>
      <c r="BC5" s="28" t="s">
        <v>259</v>
      </c>
      <c r="BD5" s="33">
        <v>5</v>
      </c>
      <c r="BE5" s="28" t="s">
        <v>138</v>
      </c>
      <c r="BF5" s="28" t="s">
        <v>138</v>
      </c>
      <c r="BG5" s="28" t="s">
        <v>138</v>
      </c>
      <c r="BH5" s="28" t="s">
        <v>260</v>
      </c>
      <c r="BI5" s="28" t="s">
        <v>138</v>
      </c>
      <c r="BJ5" s="28" t="s">
        <v>138</v>
      </c>
      <c r="BK5" s="28" t="s">
        <v>261</v>
      </c>
      <c r="BL5" s="28" t="s">
        <v>261</v>
      </c>
      <c r="BM5" s="34">
        <v>40234</v>
      </c>
      <c r="BN5" s="29">
        <v>4.82</v>
      </c>
      <c r="BO5" s="28" t="s">
        <v>172</v>
      </c>
      <c r="BP5" s="29">
        <v>20.18</v>
      </c>
      <c r="BQ5" s="28" t="s">
        <v>172</v>
      </c>
      <c r="BR5" s="28" t="s">
        <v>262</v>
      </c>
      <c r="BS5" s="28" t="s">
        <v>262</v>
      </c>
      <c r="BT5" s="28" t="s">
        <v>138</v>
      </c>
      <c r="BU5" s="28" t="s">
        <v>263</v>
      </c>
      <c r="BV5" s="28" t="s">
        <v>138</v>
      </c>
      <c r="BW5" s="28" t="s">
        <v>138</v>
      </c>
      <c r="BX5" s="28" t="s">
        <v>138</v>
      </c>
      <c r="BY5" s="28" t="s">
        <v>175</v>
      </c>
      <c r="BZ5" s="34">
        <v>43008</v>
      </c>
      <c r="CA5" s="29">
        <v>9</v>
      </c>
      <c r="CB5" s="28" t="s">
        <v>172</v>
      </c>
      <c r="CC5" s="29" t="s">
        <v>138</v>
      </c>
      <c r="CD5" s="28" t="s">
        <v>138</v>
      </c>
      <c r="CE5" s="28" t="s">
        <v>173</v>
      </c>
      <c r="CF5" s="28" t="s">
        <v>138</v>
      </c>
      <c r="CG5" s="28" t="s">
        <v>138</v>
      </c>
      <c r="CH5" s="28" t="s">
        <v>174</v>
      </c>
      <c r="CI5" s="28" t="s">
        <v>264</v>
      </c>
      <c r="CJ5" s="28" t="s">
        <v>138</v>
      </c>
      <c r="CK5" s="28" t="s">
        <v>138</v>
      </c>
      <c r="CL5" s="28" t="s">
        <v>175</v>
      </c>
      <c r="CM5" s="34" t="s">
        <v>138</v>
      </c>
      <c r="CN5" s="29" t="s">
        <v>138</v>
      </c>
      <c r="CO5" s="35">
        <v>-4.5599999999999996</v>
      </c>
      <c r="CP5" s="36">
        <v>1</v>
      </c>
      <c r="CQ5" s="35">
        <v>0</v>
      </c>
      <c r="CR5" s="35">
        <v>7.0000000000000007E-2</v>
      </c>
      <c r="CS5" s="35">
        <v>-9.11</v>
      </c>
      <c r="CT5" s="36">
        <v>1</v>
      </c>
      <c r="CU5" s="35">
        <v>-0.01</v>
      </c>
      <c r="CV5" s="36">
        <v>20</v>
      </c>
      <c r="CW5" s="35">
        <v>-11.09</v>
      </c>
      <c r="CX5" s="36">
        <v>1</v>
      </c>
      <c r="CY5" s="35">
        <v>-7.13</v>
      </c>
      <c r="CZ5" s="36">
        <v>1</v>
      </c>
      <c r="DA5" s="35">
        <v>-0.05</v>
      </c>
      <c r="DB5" s="36">
        <v>13</v>
      </c>
      <c r="DC5" s="37">
        <v>41.16</v>
      </c>
      <c r="DD5" s="36">
        <v>97</v>
      </c>
      <c r="DE5" s="37">
        <v>-2.29</v>
      </c>
      <c r="DF5" s="35">
        <v>-5.26</v>
      </c>
      <c r="DG5" s="37">
        <v>42.38</v>
      </c>
      <c r="DH5" s="36">
        <v>98</v>
      </c>
      <c r="DI5" s="37">
        <v>39.93</v>
      </c>
      <c r="DJ5" s="36">
        <v>94</v>
      </c>
      <c r="DK5" s="37">
        <v>71.31</v>
      </c>
      <c r="DL5" s="36">
        <v>97</v>
      </c>
      <c r="DM5" s="37">
        <v>13.45</v>
      </c>
      <c r="DN5" s="36">
        <v>91</v>
      </c>
      <c r="DO5" s="37">
        <v>15.7</v>
      </c>
      <c r="DP5" s="36">
        <v>91</v>
      </c>
      <c r="DQ5" s="36">
        <v>24385</v>
      </c>
      <c r="DR5" s="38">
        <v>220</v>
      </c>
      <c r="DS5" s="35">
        <v>0.91</v>
      </c>
      <c r="DT5" s="36">
        <v>390</v>
      </c>
      <c r="DU5" s="38">
        <v>0</v>
      </c>
      <c r="DV5" s="35">
        <v>0</v>
      </c>
      <c r="DW5" s="36">
        <v>5622</v>
      </c>
      <c r="DX5" s="39">
        <v>-6</v>
      </c>
      <c r="DY5" s="35">
        <v>-0.11</v>
      </c>
      <c r="DZ5" s="28" t="s">
        <v>178</v>
      </c>
      <c r="EA5" s="34">
        <v>43622</v>
      </c>
      <c r="EB5" s="29">
        <v>12.56</v>
      </c>
      <c r="EC5" s="34">
        <v>42381</v>
      </c>
      <c r="ED5" s="28" t="s">
        <v>265</v>
      </c>
      <c r="EE5" s="40" t="str">
        <f>HYPERLINK("https://my.pitchbook.com?c=52214-95", "View company online")</f>
        <v>View company online</v>
      </c>
    </row>
    <row r="6" spans="1:135">
      <c r="A6" s="15" t="s">
        <v>266</v>
      </c>
      <c r="B6" s="15" t="s">
        <v>267</v>
      </c>
      <c r="C6" s="15" t="s">
        <v>138</v>
      </c>
      <c r="D6" s="15" t="s">
        <v>138</v>
      </c>
      <c r="E6" s="15" t="s">
        <v>138</v>
      </c>
      <c r="F6" s="15" t="s">
        <v>266</v>
      </c>
      <c r="G6" s="15" t="s">
        <v>268</v>
      </c>
      <c r="H6" s="15" t="s">
        <v>238</v>
      </c>
      <c r="I6" s="15" t="s">
        <v>269</v>
      </c>
      <c r="J6" s="15" t="s">
        <v>270</v>
      </c>
      <c r="K6" s="15" t="s">
        <v>271</v>
      </c>
      <c r="L6" s="15" t="s">
        <v>272</v>
      </c>
      <c r="M6" s="15" t="s">
        <v>273</v>
      </c>
      <c r="N6" s="15" t="s">
        <v>147</v>
      </c>
      <c r="O6" s="17">
        <v>0</v>
      </c>
      <c r="P6" s="15" t="s">
        <v>148</v>
      </c>
      <c r="Q6" s="15" t="s">
        <v>149</v>
      </c>
      <c r="R6" s="15" t="s">
        <v>174</v>
      </c>
      <c r="S6" s="15" t="s">
        <v>274</v>
      </c>
      <c r="T6" s="18">
        <v>70</v>
      </c>
      <c r="U6" s="15" t="s">
        <v>275</v>
      </c>
      <c r="V6" s="15" t="s">
        <v>138</v>
      </c>
      <c r="W6" s="15" t="s">
        <v>138</v>
      </c>
      <c r="X6" s="19">
        <v>2013</v>
      </c>
      <c r="Y6" s="15" t="s">
        <v>138</v>
      </c>
      <c r="Z6" s="15" t="s">
        <v>138</v>
      </c>
      <c r="AA6" s="15" t="s">
        <v>138</v>
      </c>
      <c r="AB6" s="20" t="s">
        <v>138</v>
      </c>
      <c r="AC6" s="20" t="s">
        <v>138</v>
      </c>
      <c r="AD6" s="20" t="s">
        <v>138</v>
      </c>
      <c r="AE6" s="20" t="s">
        <v>138</v>
      </c>
      <c r="AF6" s="20" t="s">
        <v>138</v>
      </c>
      <c r="AG6" s="15" t="s">
        <v>138</v>
      </c>
      <c r="AH6" s="20" t="s">
        <v>138</v>
      </c>
      <c r="AI6" s="20" t="s">
        <v>138</v>
      </c>
      <c r="AJ6" s="20" t="s">
        <v>138</v>
      </c>
      <c r="AK6" s="15" t="s">
        <v>276</v>
      </c>
      <c r="AL6" s="15" t="s">
        <v>277</v>
      </c>
      <c r="AM6" s="15" t="s">
        <v>278</v>
      </c>
      <c r="AN6" s="15" t="s">
        <v>279</v>
      </c>
      <c r="AO6" s="15" t="s">
        <v>138</v>
      </c>
      <c r="AP6" s="15" t="s">
        <v>280</v>
      </c>
      <c r="AQ6" s="15" t="s">
        <v>281</v>
      </c>
      <c r="AR6" s="15" t="s">
        <v>282</v>
      </c>
      <c r="AS6" s="15" t="s">
        <v>283</v>
      </c>
      <c r="AT6" s="15" t="s">
        <v>284</v>
      </c>
      <c r="AU6" s="15" t="s">
        <v>285</v>
      </c>
      <c r="AV6" s="15" t="s">
        <v>162</v>
      </c>
      <c r="AW6" s="15" t="s">
        <v>138</v>
      </c>
      <c r="AX6" s="15" t="s">
        <v>138</v>
      </c>
      <c r="AY6" s="15" t="s">
        <v>286</v>
      </c>
      <c r="AZ6" s="15" t="s">
        <v>164</v>
      </c>
      <c r="BA6" s="15" t="s">
        <v>165</v>
      </c>
      <c r="BB6" s="15" t="s">
        <v>287</v>
      </c>
      <c r="BC6" s="15" t="s">
        <v>288</v>
      </c>
      <c r="BD6" s="21">
        <v>3</v>
      </c>
      <c r="BE6" s="15" t="s">
        <v>138</v>
      </c>
      <c r="BF6" s="15" t="s">
        <v>138</v>
      </c>
      <c r="BG6" s="15" t="s">
        <v>138</v>
      </c>
      <c r="BH6" s="15" t="s">
        <v>289</v>
      </c>
      <c r="BI6" s="15" t="s">
        <v>138</v>
      </c>
      <c r="BJ6" s="15" t="s">
        <v>138</v>
      </c>
      <c r="BK6" s="15" t="s">
        <v>290</v>
      </c>
      <c r="BL6" s="15" t="s">
        <v>290</v>
      </c>
      <c r="BM6" s="22">
        <v>42906</v>
      </c>
      <c r="BN6" s="17">
        <v>0.8</v>
      </c>
      <c r="BO6" s="15" t="s">
        <v>172</v>
      </c>
      <c r="BP6" s="17" t="s">
        <v>138</v>
      </c>
      <c r="BQ6" s="15" t="s">
        <v>138</v>
      </c>
      <c r="BR6" s="15" t="s">
        <v>176</v>
      </c>
      <c r="BS6" s="15" t="s">
        <v>138</v>
      </c>
      <c r="BT6" s="15" t="s">
        <v>138</v>
      </c>
      <c r="BU6" s="15" t="s">
        <v>177</v>
      </c>
      <c r="BV6" s="15" t="s">
        <v>138</v>
      </c>
      <c r="BW6" s="15" t="s">
        <v>138</v>
      </c>
      <c r="BX6" s="15" t="s">
        <v>138</v>
      </c>
      <c r="BY6" s="15" t="s">
        <v>175</v>
      </c>
      <c r="BZ6" s="22">
        <v>43110</v>
      </c>
      <c r="CA6" s="17">
        <v>0.01</v>
      </c>
      <c r="CB6" s="15" t="s">
        <v>172</v>
      </c>
      <c r="CC6" s="17" t="s">
        <v>138</v>
      </c>
      <c r="CD6" s="15" t="s">
        <v>138</v>
      </c>
      <c r="CE6" s="15" t="s">
        <v>262</v>
      </c>
      <c r="CF6" s="15" t="s">
        <v>262</v>
      </c>
      <c r="CG6" s="15" t="s">
        <v>138</v>
      </c>
      <c r="CH6" s="15" t="s">
        <v>263</v>
      </c>
      <c r="CI6" s="15" t="s">
        <v>138</v>
      </c>
      <c r="CJ6" s="15" t="s">
        <v>138</v>
      </c>
      <c r="CK6" s="15" t="s">
        <v>138</v>
      </c>
      <c r="CL6" s="15" t="s">
        <v>175</v>
      </c>
      <c r="CM6" s="22" t="s">
        <v>138</v>
      </c>
      <c r="CN6" s="17" t="s">
        <v>138</v>
      </c>
      <c r="CO6" s="23">
        <v>0.53</v>
      </c>
      <c r="CP6" s="24">
        <v>95</v>
      </c>
      <c r="CQ6" s="23">
        <v>-0.01</v>
      </c>
      <c r="CR6" s="23">
        <v>-1.66</v>
      </c>
      <c r="CS6" s="23" t="s">
        <v>138</v>
      </c>
      <c r="CT6" s="24" t="s">
        <v>138</v>
      </c>
      <c r="CU6" s="23">
        <v>0.53</v>
      </c>
      <c r="CV6" s="24">
        <v>94</v>
      </c>
      <c r="CW6" s="23" t="s">
        <v>138</v>
      </c>
      <c r="CX6" s="24" t="s">
        <v>138</v>
      </c>
      <c r="CY6" s="23" t="s">
        <v>138</v>
      </c>
      <c r="CZ6" s="24" t="s">
        <v>138</v>
      </c>
      <c r="DA6" s="23">
        <v>0.53</v>
      </c>
      <c r="DB6" s="24">
        <v>94</v>
      </c>
      <c r="DC6" s="25">
        <v>6.34</v>
      </c>
      <c r="DD6" s="24">
        <v>86</v>
      </c>
      <c r="DE6" s="25">
        <v>0.06</v>
      </c>
      <c r="DF6" s="23">
        <v>0.96</v>
      </c>
      <c r="DG6" s="25" t="s">
        <v>138</v>
      </c>
      <c r="DH6" s="24" t="s">
        <v>138</v>
      </c>
      <c r="DI6" s="25">
        <v>6.34</v>
      </c>
      <c r="DJ6" s="24">
        <v>80</v>
      </c>
      <c r="DK6" s="25" t="s">
        <v>138</v>
      </c>
      <c r="DL6" s="24" t="s">
        <v>138</v>
      </c>
      <c r="DM6" s="25" t="s">
        <v>138</v>
      </c>
      <c r="DN6" s="24" t="s">
        <v>138</v>
      </c>
      <c r="DO6" s="25">
        <v>6.34</v>
      </c>
      <c r="DP6" s="24">
        <v>82</v>
      </c>
      <c r="DQ6" s="24" t="s">
        <v>138</v>
      </c>
      <c r="DR6" s="26" t="s">
        <v>138</v>
      </c>
      <c r="DS6" s="23" t="s">
        <v>138</v>
      </c>
      <c r="DT6" s="24" t="s">
        <v>138</v>
      </c>
      <c r="DU6" s="26" t="s">
        <v>138</v>
      </c>
      <c r="DV6" s="23" t="s">
        <v>138</v>
      </c>
      <c r="DW6" s="24">
        <v>2266</v>
      </c>
      <c r="DX6" s="27">
        <v>13</v>
      </c>
      <c r="DY6" s="23">
        <v>0.57999999999999996</v>
      </c>
      <c r="DZ6" s="15" t="s">
        <v>178</v>
      </c>
      <c r="EA6" s="22">
        <v>43622</v>
      </c>
      <c r="EB6" s="17" t="s">
        <v>138</v>
      </c>
      <c r="EC6" s="22" t="s">
        <v>138</v>
      </c>
      <c r="ED6" s="15" t="s">
        <v>138</v>
      </c>
      <c r="EE6" s="14" t="str">
        <f>HYPERLINK("https://my.pitchbook.com?c=179431-57", "View company online")</f>
        <v>View company online</v>
      </c>
    </row>
    <row r="7" spans="1:135">
      <c r="A7" s="28" t="s">
        <v>291</v>
      </c>
      <c r="B7" s="28" t="s">
        <v>292</v>
      </c>
      <c r="C7" s="28" t="s">
        <v>293</v>
      </c>
      <c r="D7" s="28" t="s">
        <v>138</v>
      </c>
      <c r="E7" s="28" t="s">
        <v>294</v>
      </c>
      <c r="F7" s="28" t="s">
        <v>291</v>
      </c>
      <c r="G7" s="28" t="s">
        <v>295</v>
      </c>
      <c r="H7" s="28" t="s">
        <v>238</v>
      </c>
      <c r="I7" s="28" t="s">
        <v>269</v>
      </c>
      <c r="J7" s="28" t="s">
        <v>296</v>
      </c>
      <c r="K7" s="28" t="s">
        <v>297</v>
      </c>
      <c r="L7" s="28" t="s">
        <v>298</v>
      </c>
      <c r="M7" s="28" t="s">
        <v>299</v>
      </c>
      <c r="N7" s="28" t="s">
        <v>147</v>
      </c>
      <c r="O7" s="29">
        <v>68.5</v>
      </c>
      <c r="P7" s="28" t="s">
        <v>148</v>
      </c>
      <c r="Q7" s="28" t="s">
        <v>149</v>
      </c>
      <c r="R7" s="28" t="s">
        <v>174</v>
      </c>
      <c r="S7" s="28" t="s">
        <v>300</v>
      </c>
      <c r="T7" s="30">
        <v>100</v>
      </c>
      <c r="U7" s="28" t="s">
        <v>301</v>
      </c>
      <c r="V7" s="28" t="s">
        <v>138</v>
      </c>
      <c r="W7" s="28" t="s">
        <v>138</v>
      </c>
      <c r="X7" s="31">
        <v>2014</v>
      </c>
      <c r="Y7" s="28" t="s">
        <v>138</v>
      </c>
      <c r="Z7" s="28" t="s">
        <v>138</v>
      </c>
      <c r="AA7" s="28" t="s">
        <v>138</v>
      </c>
      <c r="AB7" s="32" t="s">
        <v>138</v>
      </c>
      <c r="AC7" s="32" t="s">
        <v>138</v>
      </c>
      <c r="AD7" s="32" t="s">
        <v>138</v>
      </c>
      <c r="AE7" s="32" t="s">
        <v>138</v>
      </c>
      <c r="AF7" s="32" t="s">
        <v>138</v>
      </c>
      <c r="AG7" s="28" t="s">
        <v>138</v>
      </c>
      <c r="AH7" s="32" t="s">
        <v>138</v>
      </c>
      <c r="AI7" s="32" t="s">
        <v>138</v>
      </c>
      <c r="AJ7" s="32" t="s">
        <v>138</v>
      </c>
      <c r="AK7" s="28" t="s">
        <v>302</v>
      </c>
      <c r="AL7" s="28" t="s">
        <v>303</v>
      </c>
      <c r="AM7" s="28" t="s">
        <v>304</v>
      </c>
      <c r="AN7" s="28" t="s">
        <v>305</v>
      </c>
      <c r="AO7" s="28" t="s">
        <v>306</v>
      </c>
      <c r="AP7" s="28" t="s">
        <v>307</v>
      </c>
      <c r="AQ7" s="28" t="s">
        <v>308</v>
      </c>
      <c r="AR7" s="28" t="s">
        <v>309</v>
      </c>
      <c r="AS7" s="28" t="s">
        <v>310</v>
      </c>
      <c r="AT7" s="28" t="s">
        <v>200</v>
      </c>
      <c r="AU7" s="28" t="s">
        <v>311</v>
      </c>
      <c r="AV7" s="28" t="s">
        <v>162</v>
      </c>
      <c r="AW7" s="28" t="s">
        <v>306</v>
      </c>
      <c r="AX7" s="28" t="s">
        <v>138</v>
      </c>
      <c r="AY7" s="28" t="s">
        <v>138</v>
      </c>
      <c r="AZ7" s="28" t="s">
        <v>164</v>
      </c>
      <c r="BA7" s="28" t="s">
        <v>165</v>
      </c>
      <c r="BB7" s="28" t="s">
        <v>312</v>
      </c>
      <c r="BC7" s="28" t="s">
        <v>313</v>
      </c>
      <c r="BD7" s="33">
        <v>18</v>
      </c>
      <c r="BE7" s="28" t="s">
        <v>138</v>
      </c>
      <c r="BF7" s="28" t="s">
        <v>138</v>
      </c>
      <c r="BG7" s="28" t="s">
        <v>138</v>
      </c>
      <c r="BH7" s="28" t="s">
        <v>314</v>
      </c>
      <c r="BI7" s="28" t="s">
        <v>138</v>
      </c>
      <c r="BJ7" s="28" t="s">
        <v>138</v>
      </c>
      <c r="BK7" s="28" t="s">
        <v>138</v>
      </c>
      <c r="BL7" s="28" t="s">
        <v>315</v>
      </c>
      <c r="BM7" s="34" t="s">
        <v>138</v>
      </c>
      <c r="BN7" s="29" t="s">
        <v>138</v>
      </c>
      <c r="BO7" s="28" t="s">
        <v>138</v>
      </c>
      <c r="BP7" s="29" t="s">
        <v>138</v>
      </c>
      <c r="BQ7" s="28" t="s">
        <v>138</v>
      </c>
      <c r="BR7" s="28" t="s">
        <v>316</v>
      </c>
      <c r="BS7" s="28" t="s">
        <v>138</v>
      </c>
      <c r="BT7" s="28" t="s">
        <v>138</v>
      </c>
      <c r="BU7" s="28" t="s">
        <v>177</v>
      </c>
      <c r="BV7" s="28" t="s">
        <v>138</v>
      </c>
      <c r="BW7" s="28" t="s">
        <v>138</v>
      </c>
      <c r="BX7" s="28" t="s">
        <v>138</v>
      </c>
      <c r="BY7" s="28" t="s">
        <v>175</v>
      </c>
      <c r="BZ7" s="34">
        <v>43482</v>
      </c>
      <c r="CA7" s="29">
        <v>44</v>
      </c>
      <c r="CB7" s="28" t="s">
        <v>172</v>
      </c>
      <c r="CC7" s="29">
        <v>194</v>
      </c>
      <c r="CD7" s="28" t="s">
        <v>172</v>
      </c>
      <c r="CE7" s="28" t="s">
        <v>173</v>
      </c>
      <c r="CF7" s="28" t="s">
        <v>317</v>
      </c>
      <c r="CG7" s="28" t="s">
        <v>138</v>
      </c>
      <c r="CH7" s="28" t="s">
        <v>174</v>
      </c>
      <c r="CI7" s="28" t="s">
        <v>138</v>
      </c>
      <c r="CJ7" s="28" t="s">
        <v>138</v>
      </c>
      <c r="CK7" s="28" t="s">
        <v>138</v>
      </c>
      <c r="CL7" s="28" t="s">
        <v>175</v>
      </c>
      <c r="CM7" s="34" t="s">
        <v>138</v>
      </c>
      <c r="CN7" s="29" t="s">
        <v>138</v>
      </c>
      <c r="CO7" s="35">
        <v>1.48</v>
      </c>
      <c r="CP7" s="36">
        <v>98</v>
      </c>
      <c r="CQ7" s="35">
        <v>-0.01</v>
      </c>
      <c r="CR7" s="35">
        <v>-0.65</v>
      </c>
      <c r="CS7" s="35">
        <v>2.87</v>
      </c>
      <c r="CT7" s="36">
        <v>99</v>
      </c>
      <c r="CU7" s="35">
        <v>1.26</v>
      </c>
      <c r="CV7" s="36">
        <v>99</v>
      </c>
      <c r="CW7" s="35">
        <v>5.74</v>
      </c>
      <c r="CX7" s="36">
        <v>97</v>
      </c>
      <c r="CY7" s="35">
        <v>0</v>
      </c>
      <c r="CZ7" s="36">
        <v>25</v>
      </c>
      <c r="DA7" s="35">
        <v>2.2400000000000002</v>
      </c>
      <c r="DB7" s="36">
        <v>100</v>
      </c>
      <c r="DC7" s="37">
        <v>8.4</v>
      </c>
      <c r="DD7" s="36">
        <v>88</v>
      </c>
      <c r="DE7" s="37">
        <v>-0.31</v>
      </c>
      <c r="DF7" s="35">
        <v>-3.55</v>
      </c>
      <c r="DG7" s="37">
        <v>11.79</v>
      </c>
      <c r="DH7" s="36">
        <v>91</v>
      </c>
      <c r="DI7" s="37">
        <v>3.07</v>
      </c>
      <c r="DJ7" s="36">
        <v>70</v>
      </c>
      <c r="DK7" s="37">
        <v>21.62</v>
      </c>
      <c r="DL7" s="36">
        <v>92</v>
      </c>
      <c r="DM7" s="37">
        <v>1.97</v>
      </c>
      <c r="DN7" s="36">
        <v>65</v>
      </c>
      <c r="DO7" s="37">
        <v>1.33</v>
      </c>
      <c r="DP7" s="36">
        <v>56</v>
      </c>
      <c r="DQ7" s="36">
        <v>7259</v>
      </c>
      <c r="DR7" s="38">
        <v>473</v>
      </c>
      <c r="DS7" s="35">
        <v>6.97</v>
      </c>
      <c r="DT7" s="36">
        <v>57</v>
      </c>
      <c r="DU7" s="38">
        <v>0</v>
      </c>
      <c r="DV7" s="35">
        <v>0</v>
      </c>
      <c r="DW7" s="36">
        <v>474</v>
      </c>
      <c r="DX7" s="39">
        <v>5</v>
      </c>
      <c r="DY7" s="35">
        <v>1.07</v>
      </c>
      <c r="DZ7" s="28" t="s">
        <v>178</v>
      </c>
      <c r="EA7" s="34">
        <v>43587</v>
      </c>
      <c r="EB7" s="29">
        <v>194</v>
      </c>
      <c r="EC7" s="34">
        <v>43482</v>
      </c>
      <c r="ED7" s="28" t="s">
        <v>173</v>
      </c>
      <c r="EE7" s="40" t="str">
        <f>HYPERLINK("https://my.pitchbook.com?c=155065-42", "View company online")</f>
        <v>View company online</v>
      </c>
    </row>
    <row r="8" spans="1:135">
      <c r="A8" s="15" t="s">
        <v>318</v>
      </c>
      <c r="B8" s="15" t="s">
        <v>319</v>
      </c>
      <c r="C8" s="15" t="s">
        <v>138</v>
      </c>
      <c r="D8" s="15" t="s">
        <v>138</v>
      </c>
      <c r="E8" s="15" t="s">
        <v>320</v>
      </c>
      <c r="F8" s="15" t="s">
        <v>318</v>
      </c>
      <c r="G8" s="15" t="s">
        <v>321</v>
      </c>
      <c r="H8" s="15" t="s">
        <v>322</v>
      </c>
      <c r="I8" s="15" t="s">
        <v>323</v>
      </c>
      <c r="J8" s="15" t="s">
        <v>324</v>
      </c>
      <c r="K8" s="15" t="s">
        <v>325</v>
      </c>
      <c r="L8" s="15" t="s">
        <v>326</v>
      </c>
      <c r="M8" s="15" t="s">
        <v>327</v>
      </c>
      <c r="N8" s="15" t="s">
        <v>147</v>
      </c>
      <c r="O8" s="17">
        <v>59.2</v>
      </c>
      <c r="P8" s="15" t="s">
        <v>148</v>
      </c>
      <c r="Q8" s="15" t="s">
        <v>149</v>
      </c>
      <c r="R8" s="15" t="s">
        <v>328</v>
      </c>
      <c r="S8" s="15" t="s">
        <v>329</v>
      </c>
      <c r="T8" s="18">
        <v>100</v>
      </c>
      <c r="U8" s="15" t="s">
        <v>330</v>
      </c>
      <c r="V8" s="15" t="s">
        <v>138</v>
      </c>
      <c r="W8" s="15" t="s">
        <v>138</v>
      </c>
      <c r="X8" s="19">
        <v>2012</v>
      </c>
      <c r="Y8" s="15" t="s">
        <v>138</v>
      </c>
      <c r="Z8" s="15" t="s">
        <v>331</v>
      </c>
      <c r="AA8" s="15" t="s">
        <v>331</v>
      </c>
      <c r="AB8" s="20" t="s">
        <v>138</v>
      </c>
      <c r="AC8" s="20" t="s">
        <v>138</v>
      </c>
      <c r="AD8" s="20" t="s">
        <v>138</v>
      </c>
      <c r="AE8" s="20" t="s">
        <v>138</v>
      </c>
      <c r="AF8" s="20" t="s">
        <v>138</v>
      </c>
      <c r="AG8" s="15" t="s">
        <v>138</v>
      </c>
      <c r="AH8" s="20" t="s">
        <v>138</v>
      </c>
      <c r="AI8" s="20" t="s">
        <v>138</v>
      </c>
      <c r="AJ8" s="20" t="s">
        <v>138</v>
      </c>
      <c r="AK8" s="15" t="s">
        <v>332</v>
      </c>
      <c r="AL8" s="15" t="s">
        <v>333</v>
      </c>
      <c r="AM8" s="15" t="s">
        <v>249</v>
      </c>
      <c r="AN8" s="15" t="s">
        <v>334</v>
      </c>
      <c r="AO8" s="15" t="s">
        <v>138</v>
      </c>
      <c r="AP8" s="15" t="s">
        <v>335</v>
      </c>
      <c r="AQ8" s="15" t="s">
        <v>336</v>
      </c>
      <c r="AR8" s="15" t="s">
        <v>337</v>
      </c>
      <c r="AS8" s="15" t="s">
        <v>338</v>
      </c>
      <c r="AT8" s="15" t="s">
        <v>339</v>
      </c>
      <c r="AU8" s="15" t="s">
        <v>340</v>
      </c>
      <c r="AV8" s="15" t="s">
        <v>162</v>
      </c>
      <c r="AW8" s="15" t="s">
        <v>341</v>
      </c>
      <c r="AX8" s="15" t="s">
        <v>138</v>
      </c>
      <c r="AY8" s="15" t="s">
        <v>138</v>
      </c>
      <c r="AZ8" s="15" t="s">
        <v>164</v>
      </c>
      <c r="BA8" s="15" t="s">
        <v>165</v>
      </c>
      <c r="BB8" s="15" t="s">
        <v>342</v>
      </c>
      <c r="BC8" s="15" t="s">
        <v>343</v>
      </c>
      <c r="BD8" s="21">
        <v>20</v>
      </c>
      <c r="BE8" s="15" t="s">
        <v>138</v>
      </c>
      <c r="BF8" s="15" t="s">
        <v>138</v>
      </c>
      <c r="BG8" s="15" t="s">
        <v>344</v>
      </c>
      <c r="BH8" s="15" t="s">
        <v>345</v>
      </c>
      <c r="BI8" s="15" t="s">
        <v>138</v>
      </c>
      <c r="BJ8" s="15" t="s">
        <v>346</v>
      </c>
      <c r="BK8" s="15" t="s">
        <v>347</v>
      </c>
      <c r="BL8" s="15" t="s">
        <v>348</v>
      </c>
      <c r="BM8" s="22">
        <v>41226</v>
      </c>
      <c r="BN8" s="17">
        <v>1.1000000000000001</v>
      </c>
      <c r="BO8" s="15" t="s">
        <v>172</v>
      </c>
      <c r="BP8" s="17" t="s">
        <v>138</v>
      </c>
      <c r="BQ8" s="15" t="s">
        <v>138</v>
      </c>
      <c r="BR8" s="15" t="s">
        <v>234</v>
      </c>
      <c r="BS8" s="15" t="s">
        <v>234</v>
      </c>
      <c r="BT8" s="15" t="s">
        <v>138</v>
      </c>
      <c r="BU8" s="15" t="s">
        <v>174</v>
      </c>
      <c r="BV8" s="15" t="s">
        <v>138</v>
      </c>
      <c r="BW8" s="15" t="s">
        <v>138</v>
      </c>
      <c r="BX8" s="15" t="s">
        <v>138</v>
      </c>
      <c r="BY8" s="15" t="s">
        <v>175</v>
      </c>
      <c r="BZ8" s="22">
        <v>43620</v>
      </c>
      <c r="CA8" s="17" t="s">
        <v>138</v>
      </c>
      <c r="CB8" s="15" t="s">
        <v>138</v>
      </c>
      <c r="CC8" s="17" t="s">
        <v>138</v>
      </c>
      <c r="CD8" s="15" t="s">
        <v>138</v>
      </c>
      <c r="CE8" s="15" t="s">
        <v>349</v>
      </c>
      <c r="CF8" s="15" t="s">
        <v>350</v>
      </c>
      <c r="CG8" s="15" t="s">
        <v>138</v>
      </c>
      <c r="CH8" s="15" t="s">
        <v>351</v>
      </c>
      <c r="CI8" s="15" t="s">
        <v>138</v>
      </c>
      <c r="CJ8" s="15" t="s">
        <v>138</v>
      </c>
      <c r="CK8" s="15" t="s">
        <v>138</v>
      </c>
      <c r="CL8" s="15" t="s">
        <v>352</v>
      </c>
      <c r="CM8" s="22" t="s">
        <v>138</v>
      </c>
      <c r="CN8" s="17" t="s">
        <v>138</v>
      </c>
      <c r="CO8" s="23">
        <v>-0.56000000000000005</v>
      </c>
      <c r="CP8" s="24">
        <v>15</v>
      </c>
      <c r="CQ8" s="23">
        <v>-0.03</v>
      </c>
      <c r="CR8" s="23">
        <v>-5.63</v>
      </c>
      <c r="CS8" s="23">
        <v>-1.07</v>
      </c>
      <c r="CT8" s="24">
        <v>14</v>
      </c>
      <c r="CU8" s="23">
        <v>-0.06</v>
      </c>
      <c r="CV8" s="24">
        <v>8</v>
      </c>
      <c r="CW8" s="23">
        <v>-0.4</v>
      </c>
      <c r="CX8" s="24">
        <v>11</v>
      </c>
      <c r="CY8" s="23">
        <v>-1.73</v>
      </c>
      <c r="CZ8" s="24">
        <v>13</v>
      </c>
      <c r="DA8" s="23">
        <v>-0.05</v>
      </c>
      <c r="DB8" s="24">
        <v>13</v>
      </c>
      <c r="DC8" s="25">
        <v>11.14</v>
      </c>
      <c r="DD8" s="24">
        <v>91</v>
      </c>
      <c r="DE8" s="25">
        <v>-0.25</v>
      </c>
      <c r="DF8" s="23">
        <v>-2.2000000000000002</v>
      </c>
      <c r="DG8" s="25">
        <v>16.98</v>
      </c>
      <c r="DH8" s="24">
        <v>94</v>
      </c>
      <c r="DI8" s="25">
        <v>5.31</v>
      </c>
      <c r="DJ8" s="24">
        <v>78</v>
      </c>
      <c r="DK8" s="25">
        <v>6.16</v>
      </c>
      <c r="DL8" s="24">
        <v>82</v>
      </c>
      <c r="DM8" s="25">
        <v>27.79</v>
      </c>
      <c r="DN8" s="24">
        <v>96</v>
      </c>
      <c r="DO8" s="25">
        <v>6.36</v>
      </c>
      <c r="DP8" s="24">
        <v>82</v>
      </c>
      <c r="DQ8" s="24">
        <v>2089</v>
      </c>
      <c r="DR8" s="26">
        <v>72</v>
      </c>
      <c r="DS8" s="23">
        <v>3.57</v>
      </c>
      <c r="DT8" s="24">
        <v>808</v>
      </c>
      <c r="DU8" s="26">
        <v>-8</v>
      </c>
      <c r="DV8" s="23">
        <v>-0.98</v>
      </c>
      <c r="DW8" s="24">
        <v>2277</v>
      </c>
      <c r="DX8" s="27">
        <v>-1</v>
      </c>
      <c r="DY8" s="23">
        <v>-0.04</v>
      </c>
      <c r="DZ8" s="15" t="s">
        <v>178</v>
      </c>
      <c r="EA8" s="22">
        <v>43621</v>
      </c>
      <c r="EB8" s="17">
        <v>72</v>
      </c>
      <c r="EC8" s="22">
        <v>43040</v>
      </c>
      <c r="ED8" s="15" t="s">
        <v>173</v>
      </c>
      <c r="EE8" s="14" t="str">
        <f>HYPERLINK("https://my.pitchbook.com?c=55601-29", "View company online")</f>
        <v>View company online</v>
      </c>
    </row>
    <row r="9" spans="1:135">
      <c r="A9" s="28" t="s">
        <v>353</v>
      </c>
      <c r="B9" s="28" t="s">
        <v>354</v>
      </c>
      <c r="C9" s="28" t="s">
        <v>138</v>
      </c>
      <c r="D9" s="28" t="s">
        <v>138</v>
      </c>
      <c r="E9" s="28" t="s">
        <v>138</v>
      </c>
      <c r="F9" s="28" t="s">
        <v>353</v>
      </c>
      <c r="G9" s="28" t="s">
        <v>355</v>
      </c>
      <c r="H9" s="28" t="s">
        <v>322</v>
      </c>
      <c r="I9" s="28" t="s">
        <v>356</v>
      </c>
      <c r="J9" s="28" t="s">
        <v>357</v>
      </c>
      <c r="K9" s="28" t="s">
        <v>358</v>
      </c>
      <c r="L9" s="28" t="s">
        <v>359</v>
      </c>
      <c r="M9" s="28" t="s">
        <v>360</v>
      </c>
      <c r="N9" s="28" t="s">
        <v>147</v>
      </c>
      <c r="O9" s="29">
        <v>69.5</v>
      </c>
      <c r="P9" s="28" t="s">
        <v>148</v>
      </c>
      <c r="Q9" s="28" t="s">
        <v>149</v>
      </c>
      <c r="R9" s="28" t="s">
        <v>174</v>
      </c>
      <c r="S9" s="28" t="s">
        <v>361</v>
      </c>
      <c r="T9" s="30">
        <v>33</v>
      </c>
      <c r="U9" s="28" t="s">
        <v>362</v>
      </c>
      <c r="V9" s="28" t="s">
        <v>138</v>
      </c>
      <c r="W9" s="28" t="s">
        <v>138</v>
      </c>
      <c r="X9" s="31">
        <v>1999</v>
      </c>
      <c r="Y9" s="28" t="s">
        <v>138</v>
      </c>
      <c r="Z9" s="28" t="s">
        <v>138</v>
      </c>
      <c r="AA9" s="28" t="s">
        <v>138</v>
      </c>
      <c r="AB9" s="32" t="s">
        <v>138</v>
      </c>
      <c r="AC9" s="32" t="s">
        <v>138</v>
      </c>
      <c r="AD9" s="32" t="s">
        <v>138</v>
      </c>
      <c r="AE9" s="32" t="s">
        <v>138</v>
      </c>
      <c r="AF9" s="32" t="s">
        <v>138</v>
      </c>
      <c r="AG9" s="28" t="s">
        <v>138</v>
      </c>
      <c r="AH9" s="32" t="s">
        <v>138</v>
      </c>
      <c r="AI9" s="32" t="s">
        <v>138</v>
      </c>
      <c r="AJ9" s="32" t="s">
        <v>138</v>
      </c>
      <c r="AK9" s="28" t="s">
        <v>363</v>
      </c>
      <c r="AL9" s="28" t="s">
        <v>364</v>
      </c>
      <c r="AM9" s="28" t="s">
        <v>365</v>
      </c>
      <c r="AN9" s="28" t="s">
        <v>366</v>
      </c>
      <c r="AO9" s="28" t="s">
        <v>367</v>
      </c>
      <c r="AP9" s="28" t="s">
        <v>368</v>
      </c>
      <c r="AQ9" s="28" t="s">
        <v>369</v>
      </c>
      <c r="AR9" s="28" t="s">
        <v>158</v>
      </c>
      <c r="AS9" s="28" t="s">
        <v>370</v>
      </c>
      <c r="AT9" s="28" t="s">
        <v>371</v>
      </c>
      <c r="AU9" s="28" t="s">
        <v>372</v>
      </c>
      <c r="AV9" s="28" t="s">
        <v>162</v>
      </c>
      <c r="AW9" s="28" t="s">
        <v>373</v>
      </c>
      <c r="AX9" s="28" t="s">
        <v>138</v>
      </c>
      <c r="AY9" s="28" t="s">
        <v>138</v>
      </c>
      <c r="AZ9" s="28" t="s">
        <v>164</v>
      </c>
      <c r="BA9" s="28" t="s">
        <v>165</v>
      </c>
      <c r="BB9" s="28" t="s">
        <v>374</v>
      </c>
      <c r="BC9" s="28" t="s">
        <v>375</v>
      </c>
      <c r="BD9" s="33">
        <v>12</v>
      </c>
      <c r="BE9" s="28" t="s">
        <v>138</v>
      </c>
      <c r="BF9" s="28" t="s">
        <v>376</v>
      </c>
      <c r="BG9" s="28" t="s">
        <v>138</v>
      </c>
      <c r="BH9" s="28" t="s">
        <v>377</v>
      </c>
      <c r="BI9" s="28" t="s">
        <v>378</v>
      </c>
      <c r="BJ9" s="28" t="s">
        <v>138</v>
      </c>
      <c r="BK9" s="28" t="s">
        <v>138</v>
      </c>
      <c r="BL9" s="28" t="s">
        <v>138</v>
      </c>
      <c r="BM9" s="34">
        <v>36781</v>
      </c>
      <c r="BN9" s="29">
        <v>18</v>
      </c>
      <c r="BO9" s="28" t="s">
        <v>172</v>
      </c>
      <c r="BP9" s="29">
        <v>60</v>
      </c>
      <c r="BQ9" s="28" t="s">
        <v>172</v>
      </c>
      <c r="BR9" s="28" t="s">
        <v>205</v>
      </c>
      <c r="BS9" s="28" t="s">
        <v>206</v>
      </c>
      <c r="BT9" s="28" t="s">
        <v>138</v>
      </c>
      <c r="BU9" s="28" t="s">
        <v>174</v>
      </c>
      <c r="BV9" s="28" t="s">
        <v>138</v>
      </c>
      <c r="BW9" s="28" t="s">
        <v>138</v>
      </c>
      <c r="BX9" s="28" t="s">
        <v>138</v>
      </c>
      <c r="BY9" s="28" t="s">
        <v>175</v>
      </c>
      <c r="BZ9" s="34" t="s">
        <v>138</v>
      </c>
      <c r="CA9" s="29" t="s">
        <v>138</v>
      </c>
      <c r="CB9" s="28" t="s">
        <v>138</v>
      </c>
      <c r="CC9" s="29" t="s">
        <v>138</v>
      </c>
      <c r="CD9" s="28" t="s">
        <v>138</v>
      </c>
      <c r="CE9" s="28" t="s">
        <v>379</v>
      </c>
      <c r="CF9" s="28" t="s">
        <v>138</v>
      </c>
      <c r="CG9" s="28" t="s">
        <v>138</v>
      </c>
      <c r="CH9" s="28" t="s">
        <v>174</v>
      </c>
      <c r="CI9" s="28" t="s">
        <v>138</v>
      </c>
      <c r="CJ9" s="28" t="s">
        <v>138</v>
      </c>
      <c r="CK9" s="28" t="s">
        <v>138</v>
      </c>
      <c r="CL9" s="28" t="s">
        <v>175</v>
      </c>
      <c r="CM9" s="34" t="s">
        <v>138</v>
      </c>
      <c r="CN9" s="29" t="s">
        <v>138</v>
      </c>
      <c r="CO9" s="35">
        <v>0</v>
      </c>
      <c r="CP9" s="36">
        <v>26</v>
      </c>
      <c r="CQ9" s="35">
        <v>0</v>
      </c>
      <c r="CR9" s="35">
        <v>0</v>
      </c>
      <c r="CS9" s="35">
        <v>0</v>
      </c>
      <c r="CT9" s="36">
        <v>23</v>
      </c>
      <c r="CU9" s="35">
        <v>0</v>
      </c>
      <c r="CV9" s="36">
        <v>22</v>
      </c>
      <c r="CW9" s="35" t="s">
        <v>138</v>
      </c>
      <c r="CX9" s="36" t="s">
        <v>138</v>
      </c>
      <c r="CY9" s="35">
        <v>0</v>
      </c>
      <c r="CZ9" s="36">
        <v>25</v>
      </c>
      <c r="DA9" s="35">
        <v>0</v>
      </c>
      <c r="DB9" s="36">
        <v>22</v>
      </c>
      <c r="DC9" s="37">
        <v>1.1200000000000001</v>
      </c>
      <c r="DD9" s="36">
        <v>54</v>
      </c>
      <c r="DE9" s="37">
        <v>-1.02</v>
      </c>
      <c r="DF9" s="35">
        <v>-47.84</v>
      </c>
      <c r="DG9" s="37">
        <v>2.14</v>
      </c>
      <c r="DH9" s="36">
        <v>68</v>
      </c>
      <c r="DI9" s="37">
        <v>0.09</v>
      </c>
      <c r="DJ9" s="36">
        <v>13</v>
      </c>
      <c r="DK9" s="37" t="s">
        <v>138</v>
      </c>
      <c r="DL9" s="36" t="s">
        <v>138</v>
      </c>
      <c r="DM9" s="37">
        <v>2.14</v>
      </c>
      <c r="DN9" s="36">
        <v>67</v>
      </c>
      <c r="DO9" s="37">
        <v>0.09</v>
      </c>
      <c r="DP9" s="36">
        <v>15</v>
      </c>
      <c r="DQ9" s="36" t="s">
        <v>138</v>
      </c>
      <c r="DR9" s="38" t="s">
        <v>138</v>
      </c>
      <c r="DS9" s="35" t="s">
        <v>138</v>
      </c>
      <c r="DT9" s="36">
        <v>62</v>
      </c>
      <c r="DU9" s="38">
        <v>0</v>
      </c>
      <c r="DV9" s="35">
        <v>0</v>
      </c>
      <c r="DW9" s="36">
        <v>33</v>
      </c>
      <c r="DX9" s="39">
        <v>3</v>
      </c>
      <c r="DY9" s="35">
        <v>10</v>
      </c>
      <c r="DZ9" s="28" t="s">
        <v>178</v>
      </c>
      <c r="EA9" s="34">
        <v>43521</v>
      </c>
      <c r="EB9" s="29">
        <v>63.41</v>
      </c>
      <c r="EC9" s="34">
        <v>40072</v>
      </c>
      <c r="ED9" s="28" t="s">
        <v>173</v>
      </c>
      <c r="EE9" s="40" t="str">
        <f>HYPERLINK("https://my.pitchbook.com?c=42711-67", "View company online")</f>
        <v>View company online</v>
      </c>
    </row>
    <row r="10" spans="1:135">
      <c r="A10" s="15" t="s">
        <v>380</v>
      </c>
      <c r="B10" s="15" t="s">
        <v>381</v>
      </c>
      <c r="C10" s="15" t="s">
        <v>382</v>
      </c>
      <c r="D10" s="15" t="s">
        <v>138</v>
      </c>
      <c r="E10" s="15" t="s">
        <v>383</v>
      </c>
      <c r="F10" s="15" t="s">
        <v>380</v>
      </c>
      <c r="G10" s="15" t="s">
        <v>384</v>
      </c>
      <c r="H10" s="15" t="s">
        <v>385</v>
      </c>
      <c r="I10" s="15" t="s">
        <v>386</v>
      </c>
      <c r="J10" s="15" t="s">
        <v>387</v>
      </c>
      <c r="K10" s="15" t="s">
        <v>388</v>
      </c>
      <c r="L10" s="15" t="s">
        <v>389</v>
      </c>
      <c r="M10" s="15" t="s">
        <v>390</v>
      </c>
      <c r="N10" s="15" t="s">
        <v>147</v>
      </c>
      <c r="O10" s="17">
        <v>175.5</v>
      </c>
      <c r="P10" s="15" t="s">
        <v>148</v>
      </c>
      <c r="Q10" s="15" t="s">
        <v>149</v>
      </c>
      <c r="R10" s="15" t="s">
        <v>244</v>
      </c>
      <c r="S10" s="15" t="s">
        <v>391</v>
      </c>
      <c r="T10" s="18">
        <v>1000</v>
      </c>
      <c r="U10" s="15" t="s">
        <v>392</v>
      </c>
      <c r="V10" s="15" t="s">
        <v>138</v>
      </c>
      <c r="W10" s="15" t="s">
        <v>138</v>
      </c>
      <c r="X10" s="19">
        <v>2012</v>
      </c>
      <c r="Y10" s="15" t="s">
        <v>138</v>
      </c>
      <c r="Z10" s="15" t="s">
        <v>138</v>
      </c>
      <c r="AA10" s="15" t="s">
        <v>138</v>
      </c>
      <c r="AB10" s="20" t="s">
        <v>138</v>
      </c>
      <c r="AC10" s="20" t="s">
        <v>138</v>
      </c>
      <c r="AD10" s="20" t="s">
        <v>138</v>
      </c>
      <c r="AE10" s="20" t="s">
        <v>138</v>
      </c>
      <c r="AF10" s="20" t="s">
        <v>138</v>
      </c>
      <c r="AG10" s="15" t="s">
        <v>138</v>
      </c>
      <c r="AH10" s="20" t="s">
        <v>138</v>
      </c>
      <c r="AI10" s="20" t="s">
        <v>138</v>
      </c>
      <c r="AJ10" s="20" t="s">
        <v>138</v>
      </c>
      <c r="AK10" s="15" t="s">
        <v>393</v>
      </c>
      <c r="AL10" s="15" t="s">
        <v>394</v>
      </c>
      <c r="AM10" s="15" t="s">
        <v>221</v>
      </c>
      <c r="AN10" s="15" t="s">
        <v>395</v>
      </c>
      <c r="AO10" s="15" t="s">
        <v>138</v>
      </c>
      <c r="AP10" s="15" t="s">
        <v>396</v>
      </c>
      <c r="AQ10" s="15" t="s">
        <v>397</v>
      </c>
      <c r="AR10" s="15" t="s">
        <v>398</v>
      </c>
      <c r="AS10" s="15" t="s">
        <v>399</v>
      </c>
      <c r="AT10" s="15" t="s">
        <v>138</v>
      </c>
      <c r="AU10" s="15" t="s">
        <v>138</v>
      </c>
      <c r="AV10" s="15" t="s">
        <v>400</v>
      </c>
      <c r="AW10" s="15" t="s">
        <v>138</v>
      </c>
      <c r="AX10" s="15" t="s">
        <v>138</v>
      </c>
      <c r="AY10" s="15" t="s">
        <v>138</v>
      </c>
      <c r="AZ10" s="15" t="s">
        <v>401</v>
      </c>
      <c r="BA10" s="15" t="s">
        <v>402</v>
      </c>
      <c r="BB10" s="15" t="s">
        <v>403</v>
      </c>
      <c r="BC10" s="15" t="s">
        <v>404</v>
      </c>
      <c r="BD10" s="21">
        <v>32</v>
      </c>
      <c r="BE10" s="15" t="s">
        <v>138</v>
      </c>
      <c r="BF10" s="15" t="s">
        <v>138</v>
      </c>
      <c r="BG10" s="15" t="s">
        <v>138</v>
      </c>
      <c r="BH10" s="15" t="s">
        <v>405</v>
      </c>
      <c r="BI10" s="15" t="s">
        <v>138</v>
      </c>
      <c r="BJ10" s="15" t="s">
        <v>138</v>
      </c>
      <c r="BK10" s="15" t="s">
        <v>406</v>
      </c>
      <c r="BL10" s="15" t="s">
        <v>407</v>
      </c>
      <c r="BM10" s="22">
        <v>41640</v>
      </c>
      <c r="BN10" s="17" t="s">
        <v>138</v>
      </c>
      <c r="BO10" s="15" t="s">
        <v>138</v>
      </c>
      <c r="BP10" s="17" t="s">
        <v>138</v>
      </c>
      <c r="BQ10" s="15" t="s">
        <v>138</v>
      </c>
      <c r="BR10" s="15" t="s">
        <v>176</v>
      </c>
      <c r="BS10" s="15" t="s">
        <v>138</v>
      </c>
      <c r="BT10" s="15" t="s">
        <v>138</v>
      </c>
      <c r="BU10" s="15" t="s">
        <v>177</v>
      </c>
      <c r="BV10" s="15" t="s">
        <v>138</v>
      </c>
      <c r="BW10" s="15" t="s">
        <v>138</v>
      </c>
      <c r="BX10" s="15" t="s">
        <v>138</v>
      </c>
      <c r="BY10" s="15" t="s">
        <v>175</v>
      </c>
      <c r="BZ10" s="22">
        <v>43287</v>
      </c>
      <c r="CA10" s="17">
        <v>55</v>
      </c>
      <c r="CB10" s="15" t="s">
        <v>172</v>
      </c>
      <c r="CC10" s="17" t="s">
        <v>138</v>
      </c>
      <c r="CD10" s="15" t="s">
        <v>138</v>
      </c>
      <c r="CE10" s="15" t="s">
        <v>173</v>
      </c>
      <c r="CF10" s="15" t="s">
        <v>408</v>
      </c>
      <c r="CG10" s="15" t="s">
        <v>138</v>
      </c>
      <c r="CH10" s="15" t="s">
        <v>174</v>
      </c>
      <c r="CI10" s="15" t="s">
        <v>138</v>
      </c>
      <c r="CJ10" s="15" t="s">
        <v>138</v>
      </c>
      <c r="CK10" s="15" t="s">
        <v>138</v>
      </c>
      <c r="CL10" s="15" t="s">
        <v>175</v>
      </c>
      <c r="CM10" s="22">
        <v>42737</v>
      </c>
      <c r="CN10" s="17">
        <v>7.5</v>
      </c>
      <c r="CO10" s="23">
        <v>0.24</v>
      </c>
      <c r="CP10" s="24">
        <v>93</v>
      </c>
      <c r="CQ10" s="23">
        <v>0</v>
      </c>
      <c r="CR10" s="23">
        <v>0</v>
      </c>
      <c r="CS10" s="23" t="s">
        <v>138</v>
      </c>
      <c r="CT10" s="24" t="s">
        <v>138</v>
      </c>
      <c r="CU10" s="23">
        <v>0</v>
      </c>
      <c r="CV10" s="24">
        <v>22</v>
      </c>
      <c r="CW10" s="23" t="s">
        <v>138</v>
      </c>
      <c r="CX10" s="24" t="s">
        <v>138</v>
      </c>
      <c r="CY10" s="23" t="s">
        <v>138</v>
      </c>
      <c r="CZ10" s="24" t="s">
        <v>138</v>
      </c>
      <c r="DA10" s="23">
        <v>0</v>
      </c>
      <c r="DB10" s="24">
        <v>22</v>
      </c>
      <c r="DC10" s="25">
        <v>0.97</v>
      </c>
      <c r="DD10" s="24">
        <v>50</v>
      </c>
      <c r="DE10" s="25">
        <v>0</v>
      </c>
      <c r="DF10" s="23">
        <v>0.17</v>
      </c>
      <c r="DG10" s="25" t="s">
        <v>138</v>
      </c>
      <c r="DH10" s="24" t="s">
        <v>138</v>
      </c>
      <c r="DI10" s="25">
        <v>0.08</v>
      </c>
      <c r="DJ10" s="24">
        <v>12</v>
      </c>
      <c r="DK10" s="25" t="s">
        <v>138</v>
      </c>
      <c r="DL10" s="24" t="s">
        <v>138</v>
      </c>
      <c r="DM10" s="25" t="s">
        <v>138</v>
      </c>
      <c r="DN10" s="24" t="s">
        <v>138</v>
      </c>
      <c r="DO10" s="25">
        <v>0.08</v>
      </c>
      <c r="DP10" s="24">
        <v>14</v>
      </c>
      <c r="DQ10" s="24" t="s">
        <v>138</v>
      </c>
      <c r="DR10" s="26" t="s">
        <v>138</v>
      </c>
      <c r="DS10" s="23" t="s">
        <v>138</v>
      </c>
      <c r="DT10" s="24" t="s">
        <v>138</v>
      </c>
      <c r="DU10" s="26" t="s">
        <v>138</v>
      </c>
      <c r="DV10" s="23" t="s">
        <v>138</v>
      </c>
      <c r="DW10" s="24">
        <v>27</v>
      </c>
      <c r="DX10" s="27">
        <v>0</v>
      </c>
      <c r="DY10" s="23">
        <v>0</v>
      </c>
      <c r="DZ10" s="15" t="s">
        <v>178</v>
      </c>
      <c r="EA10" s="22">
        <v>43622</v>
      </c>
      <c r="EB10" s="17" t="s">
        <v>138</v>
      </c>
      <c r="EC10" s="22" t="s">
        <v>138</v>
      </c>
      <c r="ED10" s="15" t="s">
        <v>138</v>
      </c>
      <c r="EE10" s="14" t="str">
        <f>HYPERLINK("https://my.pitchbook.com?c=62070-94", "View company online")</f>
        <v>View company online</v>
      </c>
    </row>
    <row r="11" spans="1:135">
      <c r="A11" s="28" t="s">
        <v>409</v>
      </c>
      <c r="B11" s="28" t="s">
        <v>410</v>
      </c>
      <c r="C11" s="28" t="s">
        <v>138</v>
      </c>
      <c r="D11" s="28" t="s">
        <v>138</v>
      </c>
      <c r="E11" s="28" t="s">
        <v>411</v>
      </c>
      <c r="F11" s="28" t="s">
        <v>409</v>
      </c>
      <c r="G11" s="28" t="s">
        <v>412</v>
      </c>
      <c r="H11" s="28" t="s">
        <v>322</v>
      </c>
      <c r="I11" s="28" t="s">
        <v>323</v>
      </c>
      <c r="J11" s="28" t="s">
        <v>413</v>
      </c>
      <c r="K11" s="28" t="s">
        <v>414</v>
      </c>
      <c r="L11" s="28" t="s">
        <v>415</v>
      </c>
      <c r="M11" s="28" t="s">
        <v>416</v>
      </c>
      <c r="N11" s="28" t="s">
        <v>147</v>
      </c>
      <c r="O11" s="29">
        <v>141.35</v>
      </c>
      <c r="P11" s="28" t="s">
        <v>148</v>
      </c>
      <c r="Q11" s="28" t="s">
        <v>149</v>
      </c>
      <c r="R11" s="28" t="s">
        <v>174</v>
      </c>
      <c r="S11" s="28" t="s">
        <v>417</v>
      </c>
      <c r="T11" s="30">
        <v>140</v>
      </c>
      <c r="U11" s="28" t="s">
        <v>418</v>
      </c>
      <c r="V11" s="28" t="s">
        <v>138</v>
      </c>
      <c r="W11" s="28" t="s">
        <v>138</v>
      </c>
      <c r="X11" s="31">
        <v>2013</v>
      </c>
      <c r="Y11" s="28" t="s">
        <v>138</v>
      </c>
      <c r="Z11" s="28" t="s">
        <v>138</v>
      </c>
      <c r="AA11" s="28" t="s">
        <v>138</v>
      </c>
      <c r="AB11" s="32">
        <v>120</v>
      </c>
      <c r="AC11" s="32" t="s">
        <v>138</v>
      </c>
      <c r="AD11" s="32" t="s">
        <v>138</v>
      </c>
      <c r="AE11" s="32" t="s">
        <v>138</v>
      </c>
      <c r="AF11" s="32" t="s">
        <v>138</v>
      </c>
      <c r="AG11" s="28" t="s">
        <v>419</v>
      </c>
      <c r="AH11" s="32" t="s">
        <v>138</v>
      </c>
      <c r="AI11" s="32" t="s">
        <v>138</v>
      </c>
      <c r="AJ11" s="32" t="s">
        <v>138</v>
      </c>
      <c r="AK11" s="28" t="s">
        <v>420</v>
      </c>
      <c r="AL11" s="28" t="s">
        <v>421</v>
      </c>
      <c r="AM11" s="28" t="s">
        <v>422</v>
      </c>
      <c r="AN11" s="28" t="s">
        <v>138</v>
      </c>
      <c r="AO11" s="28" t="s">
        <v>138</v>
      </c>
      <c r="AP11" s="28" t="s">
        <v>423</v>
      </c>
      <c r="AQ11" s="28" t="s">
        <v>424</v>
      </c>
      <c r="AR11" s="28" t="s">
        <v>425</v>
      </c>
      <c r="AS11" s="28" t="s">
        <v>426</v>
      </c>
      <c r="AT11" s="28" t="s">
        <v>426</v>
      </c>
      <c r="AU11" s="28" t="s">
        <v>427</v>
      </c>
      <c r="AV11" s="28" t="s">
        <v>162</v>
      </c>
      <c r="AW11" s="28" t="s">
        <v>138</v>
      </c>
      <c r="AX11" s="28" t="s">
        <v>138</v>
      </c>
      <c r="AY11" s="28" t="s">
        <v>138</v>
      </c>
      <c r="AZ11" s="28" t="s">
        <v>164</v>
      </c>
      <c r="BA11" s="28" t="s">
        <v>165</v>
      </c>
      <c r="BB11" s="28" t="s">
        <v>428</v>
      </c>
      <c r="BC11" s="28" t="s">
        <v>429</v>
      </c>
      <c r="BD11" s="33">
        <v>14</v>
      </c>
      <c r="BE11" s="28" t="s">
        <v>138</v>
      </c>
      <c r="BF11" s="28" t="s">
        <v>138</v>
      </c>
      <c r="BG11" s="28" t="s">
        <v>138</v>
      </c>
      <c r="BH11" s="28" t="s">
        <v>430</v>
      </c>
      <c r="BI11" s="28" t="s">
        <v>138</v>
      </c>
      <c r="BJ11" s="28" t="s">
        <v>138</v>
      </c>
      <c r="BK11" s="28" t="s">
        <v>431</v>
      </c>
      <c r="BL11" s="28" t="s">
        <v>432</v>
      </c>
      <c r="BM11" s="34">
        <v>41429</v>
      </c>
      <c r="BN11" s="29">
        <v>0.25</v>
      </c>
      <c r="BO11" s="28" t="s">
        <v>172</v>
      </c>
      <c r="BP11" s="29">
        <v>2.25</v>
      </c>
      <c r="BQ11" s="28" t="s">
        <v>172</v>
      </c>
      <c r="BR11" s="28" t="s">
        <v>234</v>
      </c>
      <c r="BS11" s="28" t="s">
        <v>234</v>
      </c>
      <c r="BT11" s="28" t="s">
        <v>138</v>
      </c>
      <c r="BU11" s="28" t="s">
        <v>174</v>
      </c>
      <c r="BV11" s="28" t="s">
        <v>138</v>
      </c>
      <c r="BW11" s="28" t="s">
        <v>138</v>
      </c>
      <c r="BX11" s="28" t="s">
        <v>138</v>
      </c>
      <c r="BY11" s="28" t="s">
        <v>175</v>
      </c>
      <c r="BZ11" s="34">
        <v>43255</v>
      </c>
      <c r="CA11" s="29">
        <v>100</v>
      </c>
      <c r="CB11" s="28" t="s">
        <v>172</v>
      </c>
      <c r="CC11" s="29">
        <v>650</v>
      </c>
      <c r="CD11" s="28" t="s">
        <v>172</v>
      </c>
      <c r="CE11" s="28" t="s">
        <v>173</v>
      </c>
      <c r="CF11" s="28" t="s">
        <v>433</v>
      </c>
      <c r="CG11" s="28" t="s">
        <v>138</v>
      </c>
      <c r="CH11" s="28" t="s">
        <v>174</v>
      </c>
      <c r="CI11" s="28" t="s">
        <v>177</v>
      </c>
      <c r="CJ11" s="28" t="s">
        <v>138</v>
      </c>
      <c r="CK11" s="28" t="s">
        <v>138</v>
      </c>
      <c r="CL11" s="28" t="s">
        <v>175</v>
      </c>
      <c r="CM11" s="34" t="s">
        <v>138</v>
      </c>
      <c r="CN11" s="29" t="s">
        <v>138</v>
      </c>
      <c r="CO11" s="35">
        <v>1.19</v>
      </c>
      <c r="CP11" s="36">
        <v>98</v>
      </c>
      <c r="CQ11" s="35">
        <v>-0.01</v>
      </c>
      <c r="CR11" s="35">
        <v>-0.72</v>
      </c>
      <c r="CS11" s="35">
        <v>1.64</v>
      </c>
      <c r="CT11" s="36">
        <v>98</v>
      </c>
      <c r="CU11" s="35">
        <v>0</v>
      </c>
      <c r="CV11" s="36">
        <v>22</v>
      </c>
      <c r="CW11" s="35">
        <v>3.35</v>
      </c>
      <c r="CX11" s="36">
        <v>92</v>
      </c>
      <c r="CY11" s="35">
        <v>-7.0000000000000007E-2</v>
      </c>
      <c r="CZ11" s="36">
        <v>24</v>
      </c>
      <c r="DA11" s="35">
        <v>0</v>
      </c>
      <c r="DB11" s="36">
        <v>22</v>
      </c>
      <c r="DC11" s="37">
        <v>436.96</v>
      </c>
      <c r="DD11" s="36">
        <v>100</v>
      </c>
      <c r="DE11" s="37">
        <v>-30.06</v>
      </c>
      <c r="DF11" s="35">
        <v>-6.44</v>
      </c>
      <c r="DG11" s="37">
        <v>993.59</v>
      </c>
      <c r="DH11" s="36">
        <v>100</v>
      </c>
      <c r="DI11" s="37">
        <v>0.04</v>
      </c>
      <c r="DJ11" s="36">
        <v>7</v>
      </c>
      <c r="DK11" s="37">
        <v>1688.84</v>
      </c>
      <c r="DL11" s="36">
        <v>100</v>
      </c>
      <c r="DM11" s="37">
        <v>298.33999999999997</v>
      </c>
      <c r="DN11" s="36">
        <v>100</v>
      </c>
      <c r="DO11" s="37">
        <v>0.04</v>
      </c>
      <c r="DP11" s="36">
        <v>8</v>
      </c>
      <c r="DQ11" s="36">
        <v>567914</v>
      </c>
      <c r="DR11" s="38">
        <v>34073</v>
      </c>
      <c r="DS11" s="35">
        <v>6.38</v>
      </c>
      <c r="DT11" s="36">
        <v>8669</v>
      </c>
      <c r="DU11" s="38">
        <v>22</v>
      </c>
      <c r="DV11" s="35">
        <v>0.25</v>
      </c>
      <c r="DW11" s="36">
        <v>16</v>
      </c>
      <c r="DX11" s="39">
        <v>1</v>
      </c>
      <c r="DY11" s="35">
        <v>6.67</v>
      </c>
      <c r="DZ11" s="28" t="s">
        <v>178</v>
      </c>
      <c r="EA11" s="34">
        <v>43622</v>
      </c>
      <c r="EB11" s="29">
        <v>650</v>
      </c>
      <c r="EC11" s="34">
        <v>43255</v>
      </c>
      <c r="ED11" s="28" t="s">
        <v>173</v>
      </c>
      <c r="EE11" s="40" t="str">
        <f>HYPERLINK("https://my.pitchbook.com?c=59276-17", "View company online")</f>
        <v>View company online</v>
      </c>
    </row>
    <row r="12" spans="1:135">
      <c r="A12" s="15" t="s">
        <v>434</v>
      </c>
      <c r="B12" s="15" t="s">
        <v>435</v>
      </c>
      <c r="C12" s="15" t="s">
        <v>138</v>
      </c>
      <c r="D12" s="15" t="s">
        <v>138</v>
      </c>
      <c r="E12" s="15" t="s">
        <v>138</v>
      </c>
      <c r="F12" s="15" t="s">
        <v>434</v>
      </c>
      <c r="G12" s="15" t="s">
        <v>436</v>
      </c>
      <c r="H12" s="15" t="s">
        <v>322</v>
      </c>
      <c r="I12" s="15" t="s">
        <v>323</v>
      </c>
      <c r="J12" s="15" t="s">
        <v>437</v>
      </c>
      <c r="K12" s="15" t="s">
        <v>438</v>
      </c>
      <c r="L12" s="15" t="s">
        <v>439</v>
      </c>
      <c r="M12" s="15" t="s">
        <v>440</v>
      </c>
      <c r="N12" s="15" t="s">
        <v>147</v>
      </c>
      <c r="O12" s="17" t="s">
        <v>138</v>
      </c>
      <c r="P12" s="15" t="s">
        <v>148</v>
      </c>
      <c r="Q12" s="15" t="s">
        <v>149</v>
      </c>
      <c r="R12" s="15" t="s">
        <v>174</v>
      </c>
      <c r="S12" s="15" t="s">
        <v>441</v>
      </c>
      <c r="T12" s="18" t="s">
        <v>138</v>
      </c>
      <c r="U12" s="15" t="s">
        <v>138</v>
      </c>
      <c r="V12" s="15" t="s">
        <v>138</v>
      </c>
      <c r="W12" s="15" t="s">
        <v>138</v>
      </c>
      <c r="X12" s="19">
        <v>2015</v>
      </c>
      <c r="Y12" s="15" t="s">
        <v>138</v>
      </c>
      <c r="Z12" s="15" t="s">
        <v>138</v>
      </c>
      <c r="AA12" s="15" t="s">
        <v>138</v>
      </c>
      <c r="AB12" s="20" t="s">
        <v>138</v>
      </c>
      <c r="AC12" s="20" t="s">
        <v>138</v>
      </c>
      <c r="AD12" s="20" t="s">
        <v>138</v>
      </c>
      <c r="AE12" s="20" t="s">
        <v>138</v>
      </c>
      <c r="AF12" s="20" t="s">
        <v>138</v>
      </c>
      <c r="AG12" s="15" t="s">
        <v>138</v>
      </c>
      <c r="AH12" s="20" t="s">
        <v>138</v>
      </c>
      <c r="AI12" s="20" t="s">
        <v>138</v>
      </c>
      <c r="AJ12" s="20" t="s">
        <v>138</v>
      </c>
      <c r="AK12" s="15" t="s">
        <v>442</v>
      </c>
      <c r="AL12" s="15" t="s">
        <v>443</v>
      </c>
      <c r="AM12" s="15" t="s">
        <v>444</v>
      </c>
      <c r="AN12" s="15" t="s">
        <v>445</v>
      </c>
      <c r="AO12" s="15" t="s">
        <v>138</v>
      </c>
      <c r="AP12" s="15" t="s">
        <v>446</v>
      </c>
      <c r="AQ12" s="15" t="s">
        <v>447</v>
      </c>
      <c r="AR12" s="15" t="s">
        <v>448</v>
      </c>
      <c r="AS12" s="15" t="s">
        <v>449</v>
      </c>
      <c r="AT12" s="15" t="s">
        <v>138</v>
      </c>
      <c r="AU12" s="15" t="s">
        <v>138</v>
      </c>
      <c r="AV12" s="15" t="s">
        <v>450</v>
      </c>
      <c r="AW12" s="15" t="s">
        <v>138</v>
      </c>
      <c r="AX12" s="15" t="s">
        <v>138</v>
      </c>
      <c r="AY12" s="15" t="s">
        <v>451</v>
      </c>
      <c r="AZ12" s="15" t="s">
        <v>452</v>
      </c>
      <c r="BA12" s="15" t="s">
        <v>453</v>
      </c>
      <c r="BB12" s="15" t="s">
        <v>454</v>
      </c>
      <c r="BC12" s="15" t="s">
        <v>455</v>
      </c>
      <c r="BD12" s="21">
        <v>1</v>
      </c>
      <c r="BE12" s="15" t="s">
        <v>138</v>
      </c>
      <c r="BF12" s="15" t="s">
        <v>138</v>
      </c>
      <c r="BG12" s="15" t="s">
        <v>138</v>
      </c>
      <c r="BH12" s="15" t="s">
        <v>456</v>
      </c>
      <c r="BI12" s="15" t="s">
        <v>138</v>
      </c>
      <c r="BJ12" s="15" t="s">
        <v>138</v>
      </c>
      <c r="BK12" s="15" t="s">
        <v>138</v>
      </c>
      <c r="BL12" s="15" t="s">
        <v>138</v>
      </c>
      <c r="BM12" s="22">
        <v>42401</v>
      </c>
      <c r="BN12" s="17" t="s">
        <v>138</v>
      </c>
      <c r="BO12" s="15" t="s">
        <v>138</v>
      </c>
      <c r="BP12" s="17" t="s">
        <v>138</v>
      </c>
      <c r="BQ12" s="15" t="s">
        <v>138</v>
      </c>
      <c r="BR12" s="15" t="s">
        <v>262</v>
      </c>
      <c r="BS12" s="15" t="s">
        <v>262</v>
      </c>
      <c r="BT12" s="15" t="s">
        <v>138</v>
      </c>
      <c r="BU12" s="15" t="s">
        <v>263</v>
      </c>
      <c r="BV12" s="15" t="s">
        <v>138</v>
      </c>
      <c r="BW12" s="15" t="s">
        <v>138</v>
      </c>
      <c r="BX12" s="15" t="s">
        <v>138</v>
      </c>
      <c r="BY12" s="15" t="s">
        <v>175</v>
      </c>
      <c r="BZ12" s="22">
        <v>43270</v>
      </c>
      <c r="CA12" s="17" t="s">
        <v>138</v>
      </c>
      <c r="CB12" s="15" t="s">
        <v>138</v>
      </c>
      <c r="CC12" s="17" t="s">
        <v>138</v>
      </c>
      <c r="CD12" s="15" t="s">
        <v>138</v>
      </c>
      <c r="CE12" s="15" t="s">
        <v>205</v>
      </c>
      <c r="CF12" s="15" t="s">
        <v>206</v>
      </c>
      <c r="CG12" s="15" t="s">
        <v>138</v>
      </c>
      <c r="CH12" s="15" t="s">
        <v>174</v>
      </c>
      <c r="CI12" s="15" t="s">
        <v>138</v>
      </c>
      <c r="CJ12" s="15" t="s">
        <v>138</v>
      </c>
      <c r="CK12" s="15" t="s">
        <v>138</v>
      </c>
      <c r="CL12" s="15" t="s">
        <v>175</v>
      </c>
      <c r="CM12" s="22" t="s">
        <v>138</v>
      </c>
      <c r="CN12" s="17" t="s">
        <v>138</v>
      </c>
      <c r="CO12" s="23">
        <v>-0.99</v>
      </c>
      <c r="CP12" s="24">
        <v>11</v>
      </c>
      <c r="CQ12" s="23">
        <v>0</v>
      </c>
      <c r="CR12" s="23">
        <v>0</v>
      </c>
      <c r="CS12" s="23">
        <v>-1.98</v>
      </c>
      <c r="CT12" s="24">
        <v>9</v>
      </c>
      <c r="CU12" s="23">
        <v>0</v>
      </c>
      <c r="CV12" s="24">
        <v>22</v>
      </c>
      <c r="CW12" s="23">
        <v>-3.96</v>
      </c>
      <c r="CX12" s="24">
        <v>4</v>
      </c>
      <c r="CY12" s="23">
        <v>0</v>
      </c>
      <c r="CZ12" s="24">
        <v>25</v>
      </c>
      <c r="DA12" s="23">
        <v>0</v>
      </c>
      <c r="DB12" s="24">
        <v>22</v>
      </c>
      <c r="DC12" s="25">
        <v>1.1399999999999999</v>
      </c>
      <c r="DD12" s="24">
        <v>54</v>
      </c>
      <c r="DE12" s="25">
        <v>-0.08</v>
      </c>
      <c r="DF12" s="23">
        <v>-6.72</v>
      </c>
      <c r="DG12" s="25">
        <v>2.2200000000000002</v>
      </c>
      <c r="DH12" s="24">
        <v>69</v>
      </c>
      <c r="DI12" s="25">
        <v>7.0000000000000007E-2</v>
      </c>
      <c r="DJ12" s="24">
        <v>11</v>
      </c>
      <c r="DK12" s="25">
        <v>1.81</v>
      </c>
      <c r="DL12" s="24">
        <v>62</v>
      </c>
      <c r="DM12" s="25">
        <v>2.62</v>
      </c>
      <c r="DN12" s="24">
        <v>71</v>
      </c>
      <c r="DO12" s="25">
        <v>7.0000000000000007E-2</v>
      </c>
      <c r="DP12" s="24">
        <v>13</v>
      </c>
      <c r="DQ12" s="24">
        <v>622</v>
      </c>
      <c r="DR12" s="26">
        <v>-3</v>
      </c>
      <c r="DS12" s="23">
        <v>-0.48</v>
      </c>
      <c r="DT12" s="24">
        <v>77</v>
      </c>
      <c r="DU12" s="26">
        <v>-1</v>
      </c>
      <c r="DV12" s="23">
        <v>-1.28</v>
      </c>
      <c r="DW12" s="24">
        <v>24</v>
      </c>
      <c r="DX12" s="27">
        <v>3</v>
      </c>
      <c r="DY12" s="23">
        <v>14.29</v>
      </c>
      <c r="DZ12" s="15" t="s">
        <v>178</v>
      </c>
      <c r="EA12" s="22">
        <v>43351</v>
      </c>
      <c r="EB12" s="17" t="s">
        <v>138</v>
      </c>
      <c r="EC12" s="22" t="s">
        <v>138</v>
      </c>
      <c r="ED12" s="15" t="s">
        <v>138</v>
      </c>
      <c r="EE12" s="14" t="str">
        <f>HYPERLINK("https://my.pitchbook.com?c=231934-96", "View company online")</f>
        <v>View company online</v>
      </c>
    </row>
    <row r="13" spans="1:135">
      <c r="A13" s="28" t="s">
        <v>457</v>
      </c>
      <c r="B13" s="28" t="s">
        <v>458</v>
      </c>
      <c r="C13" s="28" t="s">
        <v>138</v>
      </c>
      <c r="D13" s="28" t="s">
        <v>138</v>
      </c>
      <c r="E13" s="28" t="s">
        <v>459</v>
      </c>
      <c r="F13" s="28" t="s">
        <v>457</v>
      </c>
      <c r="G13" s="28" t="s">
        <v>460</v>
      </c>
      <c r="H13" s="28" t="s">
        <v>322</v>
      </c>
      <c r="I13" s="28" t="s">
        <v>323</v>
      </c>
      <c r="J13" s="28" t="s">
        <v>461</v>
      </c>
      <c r="K13" s="28" t="s">
        <v>462</v>
      </c>
      <c r="L13" s="28" t="s">
        <v>463</v>
      </c>
      <c r="M13" s="28" t="s">
        <v>464</v>
      </c>
      <c r="N13" s="28" t="s">
        <v>147</v>
      </c>
      <c r="O13" s="29">
        <v>72.430000000000007</v>
      </c>
      <c r="P13" s="28" t="s">
        <v>148</v>
      </c>
      <c r="Q13" s="28" t="s">
        <v>149</v>
      </c>
      <c r="R13" s="28" t="s">
        <v>174</v>
      </c>
      <c r="S13" s="28" t="s">
        <v>465</v>
      </c>
      <c r="T13" s="30">
        <v>63</v>
      </c>
      <c r="U13" s="28" t="s">
        <v>466</v>
      </c>
      <c r="V13" s="28" t="s">
        <v>138</v>
      </c>
      <c r="W13" s="28" t="s">
        <v>138</v>
      </c>
      <c r="X13" s="31">
        <v>2010</v>
      </c>
      <c r="Y13" s="28" t="s">
        <v>138</v>
      </c>
      <c r="Z13" s="28" t="s">
        <v>138</v>
      </c>
      <c r="AA13" s="28" t="s">
        <v>138</v>
      </c>
      <c r="AB13" s="32" t="s">
        <v>138</v>
      </c>
      <c r="AC13" s="32" t="s">
        <v>138</v>
      </c>
      <c r="AD13" s="32" t="s">
        <v>138</v>
      </c>
      <c r="AE13" s="32" t="s">
        <v>138</v>
      </c>
      <c r="AF13" s="32" t="s">
        <v>138</v>
      </c>
      <c r="AG13" s="28" t="s">
        <v>138</v>
      </c>
      <c r="AH13" s="32" t="s">
        <v>138</v>
      </c>
      <c r="AI13" s="32" t="s">
        <v>138</v>
      </c>
      <c r="AJ13" s="32" t="s">
        <v>138</v>
      </c>
      <c r="AK13" s="28" t="s">
        <v>467</v>
      </c>
      <c r="AL13" s="28" t="s">
        <v>468</v>
      </c>
      <c r="AM13" s="28" t="s">
        <v>249</v>
      </c>
      <c r="AN13" s="28" t="s">
        <v>469</v>
      </c>
      <c r="AO13" s="28" t="s">
        <v>470</v>
      </c>
      <c r="AP13" s="28" t="s">
        <v>471</v>
      </c>
      <c r="AQ13" s="28" t="s">
        <v>472</v>
      </c>
      <c r="AR13" s="28" t="s">
        <v>138</v>
      </c>
      <c r="AS13" s="28" t="s">
        <v>473</v>
      </c>
      <c r="AT13" s="28" t="s">
        <v>474</v>
      </c>
      <c r="AU13" s="28" t="s">
        <v>475</v>
      </c>
      <c r="AV13" s="28" t="s">
        <v>162</v>
      </c>
      <c r="AW13" s="28" t="s">
        <v>470</v>
      </c>
      <c r="AX13" s="28" t="s">
        <v>138</v>
      </c>
      <c r="AY13" s="28" t="s">
        <v>476</v>
      </c>
      <c r="AZ13" s="28" t="s">
        <v>164</v>
      </c>
      <c r="BA13" s="28" t="s">
        <v>165</v>
      </c>
      <c r="BB13" s="28" t="s">
        <v>477</v>
      </c>
      <c r="BC13" s="28" t="s">
        <v>478</v>
      </c>
      <c r="BD13" s="33">
        <v>9</v>
      </c>
      <c r="BE13" s="28" t="s">
        <v>138</v>
      </c>
      <c r="BF13" s="28" t="s">
        <v>138</v>
      </c>
      <c r="BG13" s="28" t="s">
        <v>138</v>
      </c>
      <c r="BH13" s="28" t="s">
        <v>479</v>
      </c>
      <c r="BI13" s="28" t="s">
        <v>138</v>
      </c>
      <c r="BJ13" s="28" t="s">
        <v>138</v>
      </c>
      <c r="BK13" s="28" t="s">
        <v>480</v>
      </c>
      <c r="BL13" s="28" t="s">
        <v>481</v>
      </c>
      <c r="BM13" s="34">
        <v>41199</v>
      </c>
      <c r="BN13" s="29">
        <v>0.25</v>
      </c>
      <c r="BO13" s="28" t="s">
        <v>172</v>
      </c>
      <c r="BP13" s="29" t="s">
        <v>138</v>
      </c>
      <c r="BQ13" s="28" t="s">
        <v>138</v>
      </c>
      <c r="BR13" s="28" t="s">
        <v>205</v>
      </c>
      <c r="BS13" s="28" t="s">
        <v>138</v>
      </c>
      <c r="BT13" s="28" t="s">
        <v>138</v>
      </c>
      <c r="BU13" s="28" t="s">
        <v>174</v>
      </c>
      <c r="BV13" s="28" t="s">
        <v>138</v>
      </c>
      <c r="BW13" s="28" t="s">
        <v>138</v>
      </c>
      <c r="BX13" s="28" t="s">
        <v>138</v>
      </c>
      <c r="BY13" s="28" t="s">
        <v>175</v>
      </c>
      <c r="BZ13" s="34">
        <v>43420</v>
      </c>
      <c r="CA13" s="29">
        <v>12</v>
      </c>
      <c r="CB13" s="28" t="s">
        <v>172</v>
      </c>
      <c r="CC13" s="29">
        <v>210</v>
      </c>
      <c r="CD13" s="28" t="s">
        <v>172</v>
      </c>
      <c r="CE13" s="28" t="s">
        <v>173</v>
      </c>
      <c r="CF13" s="28" t="s">
        <v>482</v>
      </c>
      <c r="CG13" s="28" t="s">
        <v>138</v>
      </c>
      <c r="CH13" s="28" t="s">
        <v>174</v>
      </c>
      <c r="CI13" s="28" t="s">
        <v>138</v>
      </c>
      <c r="CJ13" s="28" t="s">
        <v>138</v>
      </c>
      <c r="CK13" s="28" t="s">
        <v>138</v>
      </c>
      <c r="CL13" s="28" t="s">
        <v>175</v>
      </c>
      <c r="CM13" s="34" t="s">
        <v>138</v>
      </c>
      <c r="CN13" s="29" t="s">
        <v>138</v>
      </c>
      <c r="CO13" s="35">
        <v>-0.21</v>
      </c>
      <c r="CP13" s="36">
        <v>19</v>
      </c>
      <c r="CQ13" s="35">
        <v>0.11</v>
      </c>
      <c r="CR13" s="35">
        <v>34.36</v>
      </c>
      <c r="CS13" s="35">
        <v>-0.68</v>
      </c>
      <c r="CT13" s="36">
        <v>18</v>
      </c>
      <c r="CU13" s="35">
        <v>0.06</v>
      </c>
      <c r="CV13" s="36">
        <v>60</v>
      </c>
      <c r="CW13" s="35">
        <v>0.89</v>
      </c>
      <c r="CX13" s="36">
        <v>84</v>
      </c>
      <c r="CY13" s="35">
        <v>-2.25</v>
      </c>
      <c r="CZ13" s="36">
        <v>10</v>
      </c>
      <c r="DA13" s="35">
        <v>0.13</v>
      </c>
      <c r="DB13" s="36">
        <v>76</v>
      </c>
      <c r="DC13" s="37">
        <v>19.88</v>
      </c>
      <c r="DD13" s="36">
        <v>95</v>
      </c>
      <c r="DE13" s="37">
        <v>-0.08</v>
      </c>
      <c r="DF13" s="35">
        <v>-0.4</v>
      </c>
      <c r="DG13" s="37">
        <v>40.090000000000003</v>
      </c>
      <c r="DH13" s="36">
        <v>98</v>
      </c>
      <c r="DI13" s="37">
        <v>19.03</v>
      </c>
      <c r="DJ13" s="36">
        <v>90</v>
      </c>
      <c r="DK13" s="37">
        <v>6.91</v>
      </c>
      <c r="DL13" s="36">
        <v>83</v>
      </c>
      <c r="DM13" s="37">
        <v>73.28</v>
      </c>
      <c r="DN13" s="36">
        <v>99</v>
      </c>
      <c r="DO13" s="37">
        <v>30.11</v>
      </c>
      <c r="DP13" s="36">
        <v>95</v>
      </c>
      <c r="DQ13" s="36">
        <v>2323</v>
      </c>
      <c r="DR13" s="38">
        <v>141</v>
      </c>
      <c r="DS13" s="35">
        <v>6.46</v>
      </c>
      <c r="DT13" s="36">
        <v>2122</v>
      </c>
      <c r="DU13" s="38">
        <v>13</v>
      </c>
      <c r="DV13" s="35">
        <v>0.62</v>
      </c>
      <c r="DW13" s="36">
        <v>10779</v>
      </c>
      <c r="DX13" s="39">
        <v>1</v>
      </c>
      <c r="DY13" s="35">
        <v>0.01</v>
      </c>
      <c r="DZ13" s="28" t="s">
        <v>178</v>
      </c>
      <c r="EA13" s="34">
        <v>43599</v>
      </c>
      <c r="EB13" s="29">
        <v>210</v>
      </c>
      <c r="EC13" s="34">
        <v>43420</v>
      </c>
      <c r="ED13" s="28" t="s">
        <v>173</v>
      </c>
      <c r="EE13" s="40" t="str">
        <f>HYPERLINK("https://my.pitchbook.com?c=55451-98", "View company online")</f>
        <v>View company online</v>
      </c>
    </row>
    <row r="14" spans="1:135">
      <c r="A14" s="15" t="s">
        <v>483</v>
      </c>
      <c r="B14" s="15" t="s">
        <v>484</v>
      </c>
      <c r="C14" s="15" t="s">
        <v>138</v>
      </c>
      <c r="D14" s="15" t="s">
        <v>138</v>
      </c>
      <c r="E14" s="15" t="s">
        <v>138</v>
      </c>
      <c r="F14" s="15" t="s">
        <v>483</v>
      </c>
      <c r="G14" s="15" t="s">
        <v>485</v>
      </c>
      <c r="H14" s="15" t="s">
        <v>141</v>
      </c>
      <c r="I14" s="15" t="s">
        <v>212</v>
      </c>
      <c r="J14" s="15" t="s">
        <v>486</v>
      </c>
      <c r="K14" s="15" t="s">
        <v>487</v>
      </c>
      <c r="L14" s="15" t="s">
        <v>488</v>
      </c>
      <c r="M14" s="15" t="s">
        <v>489</v>
      </c>
      <c r="N14" s="15" t="s">
        <v>147</v>
      </c>
      <c r="O14" s="17" t="s">
        <v>138</v>
      </c>
      <c r="P14" s="15" t="s">
        <v>148</v>
      </c>
      <c r="Q14" s="15" t="s">
        <v>149</v>
      </c>
      <c r="R14" s="15" t="s">
        <v>174</v>
      </c>
      <c r="S14" s="15" t="s">
        <v>490</v>
      </c>
      <c r="T14" s="18" t="s">
        <v>138</v>
      </c>
      <c r="U14" s="15" t="s">
        <v>138</v>
      </c>
      <c r="V14" s="15" t="s">
        <v>138</v>
      </c>
      <c r="W14" s="15" t="s">
        <v>138</v>
      </c>
      <c r="X14" s="19" t="s">
        <v>138</v>
      </c>
      <c r="Y14" s="15" t="s">
        <v>138</v>
      </c>
      <c r="Z14" s="15" t="s">
        <v>138</v>
      </c>
      <c r="AA14" s="15" t="s">
        <v>138</v>
      </c>
      <c r="AB14" s="20" t="s">
        <v>138</v>
      </c>
      <c r="AC14" s="20" t="s">
        <v>138</v>
      </c>
      <c r="AD14" s="20" t="s">
        <v>138</v>
      </c>
      <c r="AE14" s="20" t="s">
        <v>138</v>
      </c>
      <c r="AF14" s="20" t="s">
        <v>138</v>
      </c>
      <c r="AG14" s="15" t="s">
        <v>138</v>
      </c>
      <c r="AH14" s="20" t="s">
        <v>138</v>
      </c>
      <c r="AI14" s="20" t="s">
        <v>138</v>
      </c>
      <c r="AJ14" s="20" t="s">
        <v>138</v>
      </c>
      <c r="AK14" s="15" t="s">
        <v>491</v>
      </c>
      <c r="AL14" s="15" t="s">
        <v>492</v>
      </c>
      <c r="AM14" s="15" t="s">
        <v>493</v>
      </c>
      <c r="AN14" s="15" t="s">
        <v>494</v>
      </c>
      <c r="AO14" s="15" t="s">
        <v>495</v>
      </c>
      <c r="AP14" s="15" t="s">
        <v>496</v>
      </c>
      <c r="AQ14" s="15" t="s">
        <v>497</v>
      </c>
      <c r="AR14" s="15" t="s">
        <v>498</v>
      </c>
      <c r="AS14" s="15" t="s">
        <v>499</v>
      </c>
      <c r="AT14" s="15" t="s">
        <v>138</v>
      </c>
      <c r="AU14" s="15" t="s">
        <v>138</v>
      </c>
      <c r="AV14" s="15" t="s">
        <v>450</v>
      </c>
      <c r="AW14" s="15" t="s">
        <v>500</v>
      </c>
      <c r="AX14" s="15" t="s">
        <v>138</v>
      </c>
      <c r="AY14" s="15" t="s">
        <v>501</v>
      </c>
      <c r="AZ14" s="15" t="s">
        <v>452</v>
      </c>
      <c r="BA14" s="15" t="s">
        <v>453</v>
      </c>
      <c r="BB14" s="15" t="s">
        <v>502</v>
      </c>
      <c r="BC14" s="15" t="s">
        <v>503</v>
      </c>
      <c r="BD14" s="21">
        <v>2</v>
      </c>
      <c r="BE14" s="15" t="s">
        <v>138</v>
      </c>
      <c r="BF14" s="15" t="s">
        <v>138</v>
      </c>
      <c r="BG14" s="15" t="s">
        <v>138</v>
      </c>
      <c r="BH14" s="15" t="s">
        <v>504</v>
      </c>
      <c r="BI14" s="15" t="s">
        <v>138</v>
      </c>
      <c r="BJ14" s="15" t="s">
        <v>138</v>
      </c>
      <c r="BK14" s="15" t="s">
        <v>138</v>
      </c>
      <c r="BL14" s="15" t="s">
        <v>138</v>
      </c>
      <c r="BM14" s="22">
        <v>41640</v>
      </c>
      <c r="BN14" s="17" t="s">
        <v>138</v>
      </c>
      <c r="BO14" s="15" t="s">
        <v>138</v>
      </c>
      <c r="BP14" s="17" t="s">
        <v>138</v>
      </c>
      <c r="BQ14" s="15" t="s">
        <v>138</v>
      </c>
      <c r="BR14" s="15" t="s">
        <v>176</v>
      </c>
      <c r="BS14" s="15" t="s">
        <v>138</v>
      </c>
      <c r="BT14" s="15" t="s">
        <v>138</v>
      </c>
      <c r="BU14" s="15" t="s">
        <v>177</v>
      </c>
      <c r="BV14" s="15" t="s">
        <v>138</v>
      </c>
      <c r="BW14" s="15" t="s">
        <v>138</v>
      </c>
      <c r="BX14" s="15" t="s">
        <v>138</v>
      </c>
      <c r="BY14" s="15" t="s">
        <v>175</v>
      </c>
      <c r="BZ14" s="22" t="s">
        <v>138</v>
      </c>
      <c r="CA14" s="17" t="s">
        <v>138</v>
      </c>
      <c r="CB14" s="15" t="s">
        <v>138</v>
      </c>
      <c r="CC14" s="17" t="s">
        <v>138</v>
      </c>
      <c r="CD14" s="15" t="s">
        <v>138</v>
      </c>
      <c r="CE14" s="15" t="s">
        <v>205</v>
      </c>
      <c r="CF14" s="15" t="s">
        <v>138</v>
      </c>
      <c r="CG14" s="15" t="s">
        <v>138</v>
      </c>
      <c r="CH14" s="15" t="s">
        <v>174</v>
      </c>
      <c r="CI14" s="15" t="s">
        <v>138</v>
      </c>
      <c r="CJ14" s="15" t="s">
        <v>138</v>
      </c>
      <c r="CK14" s="15" t="s">
        <v>138</v>
      </c>
      <c r="CL14" s="15" t="s">
        <v>175</v>
      </c>
      <c r="CM14" s="22" t="s">
        <v>138</v>
      </c>
      <c r="CN14" s="17" t="s">
        <v>138</v>
      </c>
      <c r="CO14" s="23">
        <v>0</v>
      </c>
      <c r="CP14" s="24">
        <v>26</v>
      </c>
      <c r="CQ14" s="23">
        <v>0</v>
      </c>
      <c r="CR14" s="23">
        <v>0</v>
      </c>
      <c r="CS14" s="23">
        <v>0</v>
      </c>
      <c r="CT14" s="24">
        <v>23</v>
      </c>
      <c r="CU14" s="23">
        <v>0</v>
      </c>
      <c r="CV14" s="24">
        <v>22</v>
      </c>
      <c r="CW14" s="23" t="s">
        <v>138</v>
      </c>
      <c r="CX14" s="24" t="s">
        <v>138</v>
      </c>
      <c r="CY14" s="23">
        <v>0</v>
      </c>
      <c r="CZ14" s="24">
        <v>25</v>
      </c>
      <c r="DA14" s="23">
        <v>0</v>
      </c>
      <c r="DB14" s="24">
        <v>22</v>
      </c>
      <c r="DC14" s="25">
        <v>0.32</v>
      </c>
      <c r="DD14" s="24">
        <v>24</v>
      </c>
      <c r="DE14" s="25">
        <v>0.02</v>
      </c>
      <c r="DF14" s="23">
        <v>5.76</v>
      </c>
      <c r="DG14" s="25">
        <v>0.52</v>
      </c>
      <c r="DH14" s="24">
        <v>35</v>
      </c>
      <c r="DI14" s="25">
        <v>0.13</v>
      </c>
      <c r="DJ14" s="24">
        <v>17</v>
      </c>
      <c r="DK14" s="25" t="s">
        <v>138</v>
      </c>
      <c r="DL14" s="24" t="s">
        <v>138</v>
      </c>
      <c r="DM14" s="25">
        <v>0.52</v>
      </c>
      <c r="DN14" s="24">
        <v>35</v>
      </c>
      <c r="DO14" s="25">
        <v>0.13</v>
      </c>
      <c r="DP14" s="24">
        <v>19</v>
      </c>
      <c r="DQ14" s="24" t="s">
        <v>138</v>
      </c>
      <c r="DR14" s="26" t="s">
        <v>138</v>
      </c>
      <c r="DS14" s="23" t="s">
        <v>138</v>
      </c>
      <c r="DT14" s="24">
        <v>14</v>
      </c>
      <c r="DU14" s="26">
        <v>0</v>
      </c>
      <c r="DV14" s="23">
        <v>0</v>
      </c>
      <c r="DW14" s="24">
        <v>46</v>
      </c>
      <c r="DX14" s="27">
        <v>0</v>
      </c>
      <c r="DY14" s="23">
        <v>0</v>
      </c>
      <c r="DZ14" s="15" t="s">
        <v>178</v>
      </c>
      <c r="EA14" s="22">
        <v>43351</v>
      </c>
      <c r="EB14" s="17" t="s">
        <v>138</v>
      </c>
      <c r="EC14" s="22" t="s">
        <v>138</v>
      </c>
      <c r="ED14" s="15" t="s">
        <v>138</v>
      </c>
      <c r="EE14" s="14" t="str">
        <f>HYPERLINK("https://my.pitchbook.com?c=178170-85", "View company online")</f>
        <v>View company online</v>
      </c>
    </row>
    <row r="15" spans="1:135">
      <c r="A15" s="28" t="s">
        <v>505</v>
      </c>
      <c r="B15" s="28" t="s">
        <v>506</v>
      </c>
      <c r="C15" s="28" t="s">
        <v>138</v>
      </c>
      <c r="D15" s="28" t="s">
        <v>138</v>
      </c>
      <c r="E15" s="28" t="s">
        <v>138</v>
      </c>
      <c r="F15" s="28" t="s">
        <v>505</v>
      </c>
      <c r="G15" s="28" t="s">
        <v>507</v>
      </c>
      <c r="H15" s="28" t="s">
        <v>141</v>
      </c>
      <c r="I15" s="28" t="s">
        <v>142</v>
      </c>
      <c r="J15" s="28" t="s">
        <v>508</v>
      </c>
      <c r="K15" s="28" t="s">
        <v>509</v>
      </c>
      <c r="L15" s="28" t="s">
        <v>510</v>
      </c>
      <c r="M15" s="28" t="s">
        <v>511</v>
      </c>
      <c r="N15" s="28" t="s">
        <v>147</v>
      </c>
      <c r="O15" s="29">
        <v>11.61</v>
      </c>
      <c r="P15" s="28" t="s">
        <v>148</v>
      </c>
      <c r="Q15" s="28" t="s">
        <v>149</v>
      </c>
      <c r="R15" s="28" t="s">
        <v>174</v>
      </c>
      <c r="S15" s="28" t="s">
        <v>512</v>
      </c>
      <c r="T15" s="30">
        <v>30</v>
      </c>
      <c r="U15" s="28" t="s">
        <v>513</v>
      </c>
      <c r="V15" s="28" t="s">
        <v>138</v>
      </c>
      <c r="W15" s="28" t="s">
        <v>138</v>
      </c>
      <c r="X15" s="31">
        <v>2009</v>
      </c>
      <c r="Y15" s="28" t="s">
        <v>138</v>
      </c>
      <c r="Z15" s="28" t="s">
        <v>138</v>
      </c>
      <c r="AA15" s="28" t="s">
        <v>138</v>
      </c>
      <c r="AB15" s="32">
        <v>1.06</v>
      </c>
      <c r="AC15" s="32">
        <v>-1.78</v>
      </c>
      <c r="AD15" s="32">
        <v>-5.4</v>
      </c>
      <c r="AE15" s="32" t="s">
        <v>138</v>
      </c>
      <c r="AF15" s="32">
        <v>-4.7300000000000004</v>
      </c>
      <c r="AG15" s="28" t="s">
        <v>514</v>
      </c>
      <c r="AH15" s="32" t="s">
        <v>138</v>
      </c>
      <c r="AI15" s="32" t="s">
        <v>138</v>
      </c>
      <c r="AJ15" s="32" t="s">
        <v>138</v>
      </c>
      <c r="AK15" s="28" t="s">
        <v>515</v>
      </c>
      <c r="AL15" s="28" t="s">
        <v>516</v>
      </c>
      <c r="AM15" s="28" t="s">
        <v>517</v>
      </c>
      <c r="AN15" s="28" t="s">
        <v>518</v>
      </c>
      <c r="AO15" s="28" t="s">
        <v>519</v>
      </c>
      <c r="AP15" s="28" t="s">
        <v>520</v>
      </c>
      <c r="AQ15" s="28" t="s">
        <v>521</v>
      </c>
      <c r="AR15" s="28" t="s">
        <v>522</v>
      </c>
      <c r="AS15" s="28" t="s">
        <v>523</v>
      </c>
      <c r="AT15" s="28" t="s">
        <v>524</v>
      </c>
      <c r="AU15" s="28" t="s">
        <v>525</v>
      </c>
      <c r="AV15" s="28" t="s">
        <v>526</v>
      </c>
      <c r="AW15" s="28" t="s">
        <v>527</v>
      </c>
      <c r="AX15" s="28" t="s">
        <v>528</v>
      </c>
      <c r="AY15" s="28" t="s">
        <v>529</v>
      </c>
      <c r="AZ15" s="28" t="s">
        <v>530</v>
      </c>
      <c r="BA15" s="28" t="s">
        <v>531</v>
      </c>
      <c r="BB15" s="28" t="s">
        <v>532</v>
      </c>
      <c r="BC15" s="28" t="s">
        <v>533</v>
      </c>
      <c r="BD15" s="33">
        <v>8</v>
      </c>
      <c r="BE15" s="28" t="s">
        <v>138</v>
      </c>
      <c r="BF15" s="28" t="s">
        <v>138</v>
      </c>
      <c r="BG15" s="28" t="s">
        <v>138</v>
      </c>
      <c r="BH15" s="28" t="s">
        <v>534</v>
      </c>
      <c r="BI15" s="28" t="s">
        <v>138</v>
      </c>
      <c r="BJ15" s="28" t="s">
        <v>138</v>
      </c>
      <c r="BK15" s="28" t="s">
        <v>535</v>
      </c>
      <c r="BL15" s="28" t="s">
        <v>138</v>
      </c>
      <c r="BM15" s="34" t="s">
        <v>138</v>
      </c>
      <c r="BN15" s="29" t="s">
        <v>138</v>
      </c>
      <c r="BO15" s="28" t="s">
        <v>138</v>
      </c>
      <c r="BP15" s="29" t="s">
        <v>138</v>
      </c>
      <c r="BQ15" s="28" t="s">
        <v>138</v>
      </c>
      <c r="BR15" s="28" t="s">
        <v>205</v>
      </c>
      <c r="BS15" s="28" t="s">
        <v>138</v>
      </c>
      <c r="BT15" s="28" t="s">
        <v>138</v>
      </c>
      <c r="BU15" s="28" t="s">
        <v>174</v>
      </c>
      <c r="BV15" s="28" t="s">
        <v>138</v>
      </c>
      <c r="BW15" s="28" t="s">
        <v>138</v>
      </c>
      <c r="BX15" s="28" t="s">
        <v>138</v>
      </c>
      <c r="BY15" s="28" t="s">
        <v>175</v>
      </c>
      <c r="BZ15" s="34">
        <v>41428</v>
      </c>
      <c r="CA15" s="29">
        <v>4.6100000000000003</v>
      </c>
      <c r="CB15" s="28" t="s">
        <v>172</v>
      </c>
      <c r="CC15" s="29" t="s">
        <v>138</v>
      </c>
      <c r="CD15" s="28" t="s">
        <v>138</v>
      </c>
      <c r="CE15" s="28" t="s">
        <v>205</v>
      </c>
      <c r="CF15" s="28" t="s">
        <v>138</v>
      </c>
      <c r="CG15" s="28" t="s">
        <v>138</v>
      </c>
      <c r="CH15" s="28" t="s">
        <v>174</v>
      </c>
      <c r="CI15" s="28" t="s">
        <v>138</v>
      </c>
      <c r="CJ15" s="28" t="s">
        <v>138</v>
      </c>
      <c r="CK15" s="28" t="s">
        <v>138</v>
      </c>
      <c r="CL15" s="28" t="s">
        <v>175</v>
      </c>
      <c r="CM15" s="34" t="s">
        <v>138</v>
      </c>
      <c r="CN15" s="29" t="s">
        <v>138</v>
      </c>
      <c r="CO15" s="35">
        <v>0</v>
      </c>
      <c r="CP15" s="36">
        <v>26</v>
      </c>
      <c r="CQ15" s="35">
        <v>0</v>
      </c>
      <c r="CR15" s="35">
        <v>0</v>
      </c>
      <c r="CS15" s="35">
        <v>0</v>
      </c>
      <c r="CT15" s="36">
        <v>23</v>
      </c>
      <c r="CU15" s="35" t="s">
        <v>138</v>
      </c>
      <c r="CV15" s="36" t="s">
        <v>138</v>
      </c>
      <c r="CW15" s="35" t="s">
        <v>138</v>
      </c>
      <c r="CX15" s="36" t="s">
        <v>138</v>
      </c>
      <c r="CY15" s="35">
        <v>0</v>
      </c>
      <c r="CZ15" s="36">
        <v>25</v>
      </c>
      <c r="DA15" s="35" t="s">
        <v>138</v>
      </c>
      <c r="DB15" s="36" t="s">
        <v>138</v>
      </c>
      <c r="DC15" s="37">
        <v>1.52</v>
      </c>
      <c r="DD15" s="36">
        <v>61</v>
      </c>
      <c r="DE15" s="37">
        <v>0</v>
      </c>
      <c r="DF15" s="35">
        <v>0</v>
      </c>
      <c r="DG15" s="37">
        <v>1.52</v>
      </c>
      <c r="DH15" s="36">
        <v>61</v>
      </c>
      <c r="DI15" s="37" t="s">
        <v>138</v>
      </c>
      <c r="DJ15" s="36" t="s">
        <v>138</v>
      </c>
      <c r="DK15" s="37" t="s">
        <v>138</v>
      </c>
      <c r="DL15" s="36" t="s">
        <v>138</v>
      </c>
      <c r="DM15" s="37">
        <v>1.52</v>
      </c>
      <c r="DN15" s="36">
        <v>60</v>
      </c>
      <c r="DO15" s="37" t="s">
        <v>138</v>
      </c>
      <c r="DP15" s="36" t="s">
        <v>138</v>
      </c>
      <c r="DQ15" s="36" t="s">
        <v>138</v>
      </c>
      <c r="DR15" s="38" t="s">
        <v>138</v>
      </c>
      <c r="DS15" s="35" t="s">
        <v>138</v>
      </c>
      <c r="DT15" s="36">
        <v>44</v>
      </c>
      <c r="DU15" s="38">
        <v>1</v>
      </c>
      <c r="DV15" s="35">
        <v>2.33</v>
      </c>
      <c r="DW15" s="36" t="s">
        <v>138</v>
      </c>
      <c r="DX15" s="39" t="s">
        <v>138</v>
      </c>
      <c r="DY15" s="35" t="s">
        <v>138</v>
      </c>
      <c r="DZ15" s="28" t="s">
        <v>178</v>
      </c>
      <c r="EA15" s="34">
        <v>43448</v>
      </c>
      <c r="EB15" s="29" t="s">
        <v>138</v>
      </c>
      <c r="EC15" s="34" t="s">
        <v>138</v>
      </c>
      <c r="ED15" s="28" t="s">
        <v>138</v>
      </c>
      <c r="EE15" s="40" t="str">
        <f>HYPERLINK("https://my.pitchbook.com?c=54449-83", "View company online")</f>
        <v>View company online</v>
      </c>
    </row>
    <row r="16" spans="1:135">
      <c r="A16" s="15" t="s">
        <v>536</v>
      </c>
      <c r="B16" s="15" t="s">
        <v>537</v>
      </c>
      <c r="C16" s="15" t="s">
        <v>138</v>
      </c>
      <c r="D16" s="15" t="s">
        <v>138</v>
      </c>
      <c r="E16" s="15" t="s">
        <v>138</v>
      </c>
      <c r="F16" s="15" t="s">
        <v>536</v>
      </c>
      <c r="G16" s="15" t="s">
        <v>538</v>
      </c>
      <c r="H16" s="15" t="s">
        <v>322</v>
      </c>
      <c r="I16" s="15" t="s">
        <v>323</v>
      </c>
      <c r="J16" s="15" t="s">
        <v>539</v>
      </c>
      <c r="K16" s="15" t="s">
        <v>540</v>
      </c>
      <c r="L16" s="15" t="s">
        <v>415</v>
      </c>
      <c r="M16" s="15" t="s">
        <v>541</v>
      </c>
      <c r="N16" s="15" t="s">
        <v>542</v>
      </c>
      <c r="O16" s="17" t="s">
        <v>138</v>
      </c>
      <c r="P16" s="15" t="s">
        <v>148</v>
      </c>
      <c r="Q16" s="15" t="s">
        <v>149</v>
      </c>
      <c r="R16" s="15" t="s">
        <v>543</v>
      </c>
      <c r="S16" s="15" t="s">
        <v>544</v>
      </c>
      <c r="T16" s="18" t="s">
        <v>138</v>
      </c>
      <c r="U16" s="15" t="s">
        <v>138</v>
      </c>
      <c r="V16" s="15" t="s">
        <v>138</v>
      </c>
      <c r="W16" s="15" t="s">
        <v>138</v>
      </c>
      <c r="X16" s="19">
        <v>2014</v>
      </c>
      <c r="Y16" s="15" t="s">
        <v>138</v>
      </c>
      <c r="Z16" s="15" t="s">
        <v>138</v>
      </c>
      <c r="AA16" s="15" t="s">
        <v>138</v>
      </c>
      <c r="AB16" s="20" t="s">
        <v>138</v>
      </c>
      <c r="AC16" s="20" t="s">
        <v>138</v>
      </c>
      <c r="AD16" s="20" t="s">
        <v>138</v>
      </c>
      <c r="AE16" s="20" t="s">
        <v>138</v>
      </c>
      <c r="AF16" s="20" t="s">
        <v>138</v>
      </c>
      <c r="AG16" s="15" t="s">
        <v>138</v>
      </c>
      <c r="AH16" s="20" t="s">
        <v>138</v>
      </c>
      <c r="AI16" s="20" t="s">
        <v>138</v>
      </c>
      <c r="AJ16" s="20" t="s">
        <v>138</v>
      </c>
      <c r="AK16" s="15" t="s">
        <v>545</v>
      </c>
      <c r="AL16" s="15" t="s">
        <v>546</v>
      </c>
      <c r="AM16" s="15" t="s">
        <v>304</v>
      </c>
      <c r="AN16" s="15" t="s">
        <v>138</v>
      </c>
      <c r="AO16" s="15" t="s">
        <v>547</v>
      </c>
      <c r="AP16" s="15" t="s">
        <v>423</v>
      </c>
      <c r="AQ16" s="15" t="s">
        <v>548</v>
      </c>
      <c r="AR16" s="15" t="s">
        <v>138</v>
      </c>
      <c r="AS16" s="15" t="s">
        <v>426</v>
      </c>
      <c r="AT16" s="15" t="s">
        <v>426</v>
      </c>
      <c r="AU16" s="15" t="s">
        <v>549</v>
      </c>
      <c r="AV16" s="15" t="s">
        <v>162</v>
      </c>
      <c r="AW16" s="15" t="s">
        <v>547</v>
      </c>
      <c r="AX16" s="15" t="s">
        <v>138</v>
      </c>
      <c r="AY16" s="15" t="s">
        <v>550</v>
      </c>
      <c r="AZ16" s="15" t="s">
        <v>164</v>
      </c>
      <c r="BA16" s="15" t="s">
        <v>165</v>
      </c>
      <c r="BB16" s="15" t="s">
        <v>551</v>
      </c>
      <c r="BC16" s="15" t="s">
        <v>552</v>
      </c>
      <c r="BD16" s="21">
        <v>1</v>
      </c>
      <c r="BE16" s="15" t="s">
        <v>138</v>
      </c>
      <c r="BF16" s="15" t="s">
        <v>138</v>
      </c>
      <c r="BG16" s="15" t="s">
        <v>138</v>
      </c>
      <c r="BH16" s="15" t="s">
        <v>553</v>
      </c>
      <c r="BI16" s="15" t="s">
        <v>138</v>
      </c>
      <c r="BJ16" s="15" t="s">
        <v>138</v>
      </c>
      <c r="BK16" s="15" t="s">
        <v>138</v>
      </c>
      <c r="BL16" s="15" t="s">
        <v>138</v>
      </c>
      <c r="BM16" s="22">
        <v>43325</v>
      </c>
      <c r="BN16" s="17" t="s">
        <v>138</v>
      </c>
      <c r="BO16" s="15" t="s">
        <v>138</v>
      </c>
      <c r="BP16" s="17" t="s">
        <v>138</v>
      </c>
      <c r="BQ16" s="15" t="s">
        <v>138</v>
      </c>
      <c r="BR16" s="15" t="s">
        <v>316</v>
      </c>
      <c r="BS16" s="15" t="s">
        <v>138</v>
      </c>
      <c r="BT16" s="15" t="s">
        <v>138</v>
      </c>
      <c r="BU16" s="15" t="s">
        <v>177</v>
      </c>
      <c r="BV16" s="15" t="s">
        <v>138</v>
      </c>
      <c r="BW16" s="15" t="s">
        <v>138</v>
      </c>
      <c r="BX16" s="15" t="s">
        <v>138</v>
      </c>
      <c r="BY16" s="15" t="s">
        <v>175</v>
      </c>
      <c r="BZ16" s="22">
        <v>43325</v>
      </c>
      <c r="CA16" s="17" t="s">
        <v>138</v>
      </c>
      <c r="CB16" s="15" t="s">
        <v>138</v>
      </c>
      <c r="CC16" s="17" t="s">
        <v>138</v>
      </c>
      <c r="CD16" s="15" t="s">
        <v>138</v>
      </c>
      <c r="CE16" s="15" t="s">
        <v>316</v>
      </c>
      <c r="CF16" s="15" t="s">
        <v>138</v>
      </c>
      <c r="CG16" s="15" t="s">
        <v>138</v>
      </c>
      <c r="CH16" s="15" t="s">
        <v>177</v>
      </c>
      <c r="CI16" s="15" t="s">
        <v>138</v>
      </c>
      <c r="CJ16" s="15" t="s">
        <v>138</v>
      </c>
      <c r="CK16" s="15" t="s">
        <v>138</v>
      </c>
      <c r="CL16" s="15" t="s">
        <v>175</v>
      </c>
      <c r="CM16" s="22" t="s">
        <v>138</v>
      </c>
      <c r="CN16" s="17" t="s">
        <v>138</v>
      </c>
      <c r="CO16" s="23">
        <v>-0.56000000000000005</v>
      </c>
      <c r="CP16" s="24">
        <v>15</v>
      </c>
      <c r="CQ16" s="23">
        <v>0</v>
      </c>
      <c r="CR16" s="23">
        <v>0.24</v>
      </c>
      <c r="CS16" s="23">
        <v>-1.33</v>
      </c>
      <c r="CT16" s="24">
        <v>13</v>
      </c>
      <c r="CU16" s="23">
        <v>0.21</v>
      </c>
      <c r="CV16" s="24">
        <v>81</v>
      </c>
      <c r="CW16" s="23">
        <v>-2.66</v>
      </c>
      <c r="CX16" s="24">
        <v>6</v>
      </c>
      <c r="CY16" s="23">
        <v>0</v>
      </c>
      <c r="CZ16" s="24">
        <v>25</v>
      </c>
      <c r="DA16" s="23">
        <v>0.21</v>
      </c>
      <c r="DB16" s="24">
        <v>83</v>
      </c>
      <c r="DC16" s="25">
        <v>7.48</v>
      </c>
      <c r="DD16" s="24">
        <v>87</v>
      </c>
      <c r="DE16" s="25">
        <v>-0.12</v>
      </c>
      <c r="DF16" s="23">
        <v>-1.52</v>
      </c>
      <c r="DG16" s="25">
        <v>2.79</v>
      </c>
      <c r="DH16" s="24">
        <v>73</v>
      </c>
      <c r="DI16" s="25">
        <v>12.18</v>
      </c>
      <c r="DJ16" s="24">
        <v>87</v>
      </c>
      <c r="DK16" s="25">
        <v>4.75</v>
      </c>
      <c r="DL16" s="24">
        <v>78</v>
      </c>
      <c r="DM16" s="25">
        <v>0.83</v>
      </c>
      <c r="DN16" s="24">
        <v>46</v>
      </c>
      <c r="DO16" s="25">
        <v>12.18</v>
      </c>
      <c r="DP16" s="24">
        <v>89</v>
      </c>
      <c r="DQ16" s="24">
        <v>1656</v>
      </c>
      <c r="DR16" s="26">
        <v>-77</v>
      </c>
      <c r="DS16" s="23">
        <v>-4.4400000000000004</v>
      </c>
      <c r="DT16" s="24">
        <v>24</v>
      </c>
      <c r="DU16" s="26">
        <v>0</v>
      </c>
      <c r="DV16" s="23">
        <v>0</v>
      </c>
      <c r="DW16" s="24">
        <v>4358</v>
      </c>
      <c r="DX16" s="27">
        <v>4</v>
      </c>
      <c r="DY16" s="23">
        <v>0.09</v>
      </c>
      <c r="DZ16" s="15" t="s">
        <v>178</v>
      </c>
      <c r="EA16" s="22">
        <v>43622</v>
      </c>
      <c r="EB16" s="17" t="s">
        <v>138</v>
      </c>
      <c r="EC16" s="22" t="s">
        <v>138</v>
      </c>
      <c r="ED16" s="15" t="s">
        <v>138</v>
      </c>
      <c r="EE16" s="14" t="str">
        <f>HYPERLINK("https://my.pitchbook.com?c=231950-35", "View company online")</f>
        <v>View company online</v>
      </c>
    </row>
    <row r="17" spans="1:135">
      <c r="A17" s="28" t="s">
        <v>554</v>
      </c>
      <c r="B17" s="28" t="s">
        <v>555</v>
      </c>
      <c r="C17" s="28" t="s">
        <v>556</v>
      </c>
      <c r="D17" s="28" t="s">
        <v>138</v>
      </c>
      <c r="E17" s="28" t="s">
        <v>138</v>
      </c>
      <c r="F17" s="28" t="s">
        <v>554</v>
      </c>
      <c r="G17" s="28" t="s">
        <v>557</v>
      </c>
      <c r="H17" s="28" t="s">
        <v>385</v>
      </c>
      <c r="I17" s="28" t="s">
        <v>386</v>
      </c>
      <c r="J17" s="28" t="s">
        <v>558</v>
      </c>
      <c r="K17" s="28" t="s">
        <v>559</v>
      </c>
      <c r="L17" s="28" t="s">
        <v>560</v>
      </c>
      <c r="M17" s="28" t="s">
        <v>561</v>
      </c>
      <c r="N17" s="28" t="s">
        <v>147</v>
      </c>
      <c r="O17" s="29">
        <v>44.35</v>
      </c>
      <c r="P17" s="28" t="s">
        <v>148</v>
      </c>
      <c r="Q17" s="28" t="s">
        <v>149</v>
      </c>
      <c r="R17" s="28" t="s">
        <v>174</v>
      </c>
      <c r="S17" s="28" t="s">
        <v>562</v>
      </c>
      <c r="T17" s="30" t="s">
        <v>138</v>
      </c>
      <c r="U17" s="28" t="s">
        <v>138</v>
      </c>
      <c r="V17" s="28" t="s">
        <v>138</v>
      </c>
      <c r="W17" s="28" t="s">
        <v>138</v>
      </c>
      <c r="X17" s="31">
        <v>2006</v>
      </c>
      <c r="Y17" s="28" t="s">
        <v>138</v>
      </c>
      <c r="Z17" s="28" t="s">
        <v>138</v>
      </c>
      <c r="AA17" s="28" t="s">
        <v>138</v>
      </c>
      <c r="AB17" s="32">
        <v>12.68</v>
      </c>
      <c r="AC17" s="32" t="s">
        <v>138</v>
      </c>
      <c r="AD17" s="32" t="s">
        <v>138</v>
      </c>
      <c r="AE17" s="32" t="s">
        <v>138</v>
      </c>
      <c r="AF17" s="32" t="s">
        <v>138</v>
      </c>
      <c r="AG17" s="28" t="s">
        <v>563</v>
      </c>
      <c r="AH17" s="32" t="s">
        <v>138</v>
      </c>
      <c r="AI17" s="32" t="s">
        <v>138</v>
      </c>
      <c r="AJ17" s="32" t="s">
        <v>138</v>
      </c>
      <c r="AK17" s="28" t="s">
        <v>564</v>
      </c>
      <c r="AL17" s="28" t="s">
        <v>565</v>
      </c>
      <c r="AM17" s="28" t="s">
        <v>566</v>
      </c>
      <c r="AN17" s="28" t="s">
        <v>567</v>
      </c>
      <c r="AO17" s="28" t="s">
        <v>568</v>
      </c>
      <c r="AP17" s="28" t="s">
        <v>569</v>
      </c>
      <c r="AQ17" s="28" t="s">
        <v>570</v>
      </c>
      <c r="AR17" s="28" t="s">
        <v>138</v>
      </c>
      <c r="AS17" s="28" t="s">
        <v>571</v>
      </c>
      <c r="AT17" s="28" t="s">
        <v>138</v>
      </c>
      <c r="AU17" s="28" t="s">
        <v>572</v>
      </c>
      <c r="AV17" s="28" t="s">
        <v>573</v>
      </c>
      <c r="AW17" s="28" t="s">
        <v>574</v>
      </c>
      <c r="AX17" s="28" t="s">
        <v>575</v>
      </c>
      <c r="AY17" s="28" t="s">
        <v>576</v>
      </c>
      <c r="AZ17" s="28" t="s">
        <v>530</v>
      </c>
      <c r="BA17" s="28" t="s">
        <v>577</v>
      </c>
      <c r="BB17" s="28" t="s">
        <v>578</v>
      </c>
      <c r="BC17" s="28" t="s">
        <v>138</v>
      </c>
      <c r="BD17" s="33" t="s">
        <v>138</v>
      </c>
      <c r="BE17" s="28" t="s">
        <v>138</v>
      </c>
      <c r="BF17" s="28" t="s">
        <v>579</v>
      </c>
      <c r="BG17" s="28" t="s">
        <v>138</v>
      </c>
      <c r="BH17" s="28" t="s">
        <v>138</v>
      </c>
      <c r="BI17" s="28" t="s">
        <v>580</v>
      </c>
      <c r="BJ17" s="28" t="s">
        <v>138</v>
      </c>
      <c r="BK17" s="28" t="s">
        <v>138</v>
      </c>
      <c r="BL17" s="28" t="s">
        <v>138</v>
      </c>
      <c r="BM17" s="34">
        <v>38835</v>
      </c>
      <c r="BN17" s="29">
        <v>18.690000000000001</v>
      </c>
      <c r="BO17" s="28" t="s">
        <v>172</v>
      </c>
      <c r="BP17" s="29" t="s">
        <v>138</v>
      </c>
      <c r="BQ17" s="28" t="s">
        <v>138</v>
      </c>
      <c r="BR17" s="28" t="s">
        <v>205</v>
      </c>
      <c r="BS17" s="28" t="s">
        <v>138</v>
      </c>
      <c r="BT17" s="28" t="s">
        <v>138</v>
      </c>
      <c r="BU17" s="28" t="s">
        <v>174</v>
      </c>
      <c r="BV17" s="28" t="s">
        <v>138</v>
      </c>
      <c r="BW17" s="28" t="s">
        <v>138</v>
      </c>
      <c r="BX17" s="28" t="s">
        <v>138</v>
      </c>
      <c r="BY17" s="28" t="s">
        <v>175</v>
      </c>
      <c r="BZ17" s="34" t="s">
        <v>138</v>
      </c>
      <c r="CA17" s="29" t="s">
        <v>138</v>
      </c>
      <c r="CB17" s="28" t="s">
        <v>138</v>
      </c>
      <c r="CC17" s="29" t="s">
        <v>138</v>
      </c>
      <c r="CD17" s="28" t="s">
        <v>138</v>
      </c>
      <c r="CE17" s="28" t="s">
        <v>379</v>
      </c>
      <c r="CF17" s="28" t="s">
        <v>138</v>
      </c>
      <c r="CG17" s="28" t="s">
        <v>138</v>
      </c>
      <c r="CH17" s="28" t="s">
        <v>174</v>
      </c>
      <c r="CI17" s="28" t="s">
        <v>138</v>
      </c>
      <c r="CJ17" s="28" t="s">
        <v>138</v>
      </c>
      <c r="CK17" s="28" t="s">
        <v>138</v>
      </c>
      <c r="CL17" s="28" t="s">
        <v>175</v>
      </c>
      <c r="CM17" s="34" t="s">
        <v>138</v>
      </c>
      <c r="CN17" s="29" t="s">
        <v>138</v>
      </c>
      <c r="CO17" s="35">
        <v>0.05</v>
      </c>
      <c r="CP17" s="36">
        <v>88</v>
      </c>
      <c r="CQ17" s="35">
        <v>0</v>
      </c>
      <c r="CR17" s="35">
        <v>-5.03</v>
      </c>
      <c r="CS17" s="35">
        <v>0</v>
      </c>
      <c r="CT17" s="36">
        <v>23</v>
      </c>
      <c r="CU17" s="35">
        <v>0.11</v>
      </c>
      <c r="CV17" s="36">
        <v>70</v>
      </c>
      <c r="CW17" s="35" t="s">
        <v>138</v>
      </c>
      <c r="CX17" s="36" t="s">
        <v>138</v>
      </c>
      <c r="CY17" s="35">
        <v>0</v>
      </c>
      <c r="CZ17" s="36">
        <v>25</v>
      </c>
      <c r="DA17" s="35">
        <v>-0.02</v>
      </c>
      <c r="DB17" s="36">
        <v>19</v>
      </c>
      <c r="DC17" s="37">
        <v>1.82</v>
      </c>
      <c r="DD17" s="36">
        <v>65</v>
      </c>
      <c r="DE17" s="37">
        <v>0.02</v>
      </c>
      <c r="DF17" s="35">
        <v>1.1399999999999999</v>
      </c>
      <c r="DG17" s="37">
        <v>1.41</v>
      </c>
      <c r="DH17" s="36">
        <v>59</v>
      </c>
      <c r="DI17" s="37">
        <v>2.2200000000000002</v>
      </c>
      <c r="DJ17" s="36">
        <v>64</v>
      </c>
      <c r="DK17" s="37" t="s">
        <v>138</v>
      </c>
      <c r="DL17" s="36" t="s">
        <v>138</v>
      </c>
      <c r="DM17" s="37">
        <v>1.41</v>
      </c>
      <c r="DN17" s="36">
        <v>58</v>
      </c>
      <c r="DO17" s="37">
        <v>3.04</v>
      </c>
      <c r="DP17" s="36">
        <v>71</v>
      </c>
      <c r="DQ17" s="36" t="s">
        <v>138</v>
      </c>
      <c r="DR17" s="38" t="s">
        <v>138</v>
      </c>
      <c r="DS17" s="35" t="s">
        <v>138</v>
      </c>
      <c r="DT17" s="36">
        <v>40</v>
      </c>
      <c r="DU17" s="38">
        <v>0</v>
      </c>
      <c r="DV17" s="35">
        <v>0</v>
      </c>
      <c r="DW17" s="36">
        <v>1089</v>
      </c>
      <c r="DX17" s="39">
        <v>-1</v>
      </c>
      <c r="DY17" s="35">
        <v>-0.09</v>
      </c>
      <c r="DZ17" s="28" t="s">
        <v>178</v>
      </c>
      <c r="EA17" s="34">
        <v>43448</v>
      </c>
      <c r="EB17" s="29" t="s">
        <v>138</v>
      </c>
      <c r="EC17" s="34" t="s">
        <v>138</v>
      </c>
      <c r="ED17" s="28" t="s">
        <v>138</v>
      </c>
      <c r="EE17" s="40" t="str">
        <f>HYPERLINK("https://my.pitchbook.com?c=54171-37", "View company online")</f>
        <v>View company online</v>
      </c>
    </row>
    <row r="18" spans="1:135">
      <c r="A18" s="15" t="s">
        <v>581</v>
      </c>
      <c r="B18" s="15" t="s">
        <v>582</v>
      </c>
      <c r="C18" s="15" t="s">
        <v>583</v>
      </c>
      <c r="D18" s="15" t="s">
        <v>138</v>
      </c>
      <c r="E18" s="15" t="s">
        <v>584</v>
      </c>
      <c r="F18" s="15" t="s">
        <v>581</v>
      </c>
      <c r="G18" s="15" t="s">
        <v>585</v>
      </c>
      <c r="H18" s="15" t="s">
        <v>322</v>
      </c>
      <c r="I18" s="15" t="s">
        <v>323</v>
      </c>
      <c r="J18" s="15" t="s">
        <v>461</v>
      </c>
      <c r="K18" s="15" t="s">
        <v>462</v>
      </c>
      <c r="L18" s="15" t="s">
        <v>586</v>
      </c>
      <c r="M18" s="15" t="s">
        <v>587</v>
      </c>
      <c r="N18" s="15" t="s">
        <v>147</v>
      </c>
      <c r="O18" s="17">
        <v>88</v>
      </c>
      <c r="P18" s="15" t="s">
        <v>148</v>
      </c>
      <c r="Q18" s="15" t="s">
        <v>149</v>
      </c>
      <c r="R18" s="15" t="s">
        <v>174</v>
      </c>
      <c r="S18" s="15" t="s">
        <v>588</v>
      </c>
      <c r="T18" s="18">
        <v>182</v>
      </c>
      <c r="U18" s="15" t="s">
        <v>589</v>
      </c>
      <c r="V18" s="15" t="s">
        <v>138</v>
      </c>
      <c r="W18" s="15" t="s">
        <v>138</v>
      </c>
      <c r="X18" s="19">
        <v>2013</v>
      </c>
      <c r="Y18" s="15" t="s">
        <v>138</v>
      </c>
      <c r="Z18" s="15" t="s">
        <v>138</v>
      </c>
      <c r="AA18" s="15" t="s">
        <v>138</v>
      </c>
      <c r="AB18" s="20" t="s">
        <v>138</v>
      </c>
      <c r="AC18" s="20" t="s">
        <v>138</v>
      </c>
      <c r="AD18" s="20" t="s">
        <v>138</v>
      </c>
      <c r="AE18" s="20" t="s">
        <v>138</v>
      </c>
      <c r="AF18" s="20" t="s">
        <v>138</v>
      </c>
      <c r="AG18" s="15" t="s">
        <v>138</v>
      </c>
      <c r="AH18" s="20" t="s">
        <v>138</v>
      </c>
      <c r="AI18" s="20" t="s">
        <v>138</v>
      </c>
      <c r="AJ18" s="20" t="s">
        <v>138</v>
      </c>
      <c r="AK18" s="15" t="s">
        <v>590</v>
      </c>
      <c r="AL18" s="15" t="s">
        <v>591</v>
      </c>
      <c r="AM18" s="15" t="s">
        <v>249</v>
      </c>
      <c r="AN18" s="15" t="s">
        <v>592</v>
      </c>
      <c r="AO18" s="15" t="s">
        <v>593</v>
      </c>
      <c r="AP18" s="15" t="s">
        <v>594</v>
      </c>
      <c r="AQ18" s="15" t="s">
        <v>595</v>
      </c>
      <c r="AR18" s="15" t="s">
        <v>138</v>
      </c>
      <c r="AS18" s="15" t="s">
        <v>596</v>
      </c>
      <c r="AT18" s="15" t="s">
        <v>597</v>
      </c>
      <c r="AU18" s="15" t="s">
        <v>598</v>
      </c>
      <c r="AV18" s="15" t="s">
        <v>162</v>
      </c>
      <c r="AW18" s="15" t="s">
        <v>593</v>
      </c>
      <c r="AX18" s="15" t="s">
        <v>138</v>
      </c>
      <c r="AY18" s="15" t="s">
        <v>599</v>
      </c>
      <c r="AZ18" s="15" t="s">
        <v>164</v>
      </c>
      <c r="BA18" s="15" t="s">
        <v>165</v>
      </c>
      <c r="BB18" s="15" t="s">
        <v>600</v>
      </c>
      <c r="BC18" s="15" t="s">
        <v>601</v>
      </c>
      <c r="BD18" s="21">
        <v>20</v>
      </c>
      <c r="BE18" s="15" t="s">
        <v>138</v>
      </c>
      <c r="BF18" s="15" t="s">
        <v>138</v>
      </c>
      <c r="BG18" s="15" t="s">
        <v>138</v>
      </c>
      <c r="BH18" s="15" t="s">
        <v>602</v>
      </c>
      <c r="BI18" s="15" t="s">
        <v>138</v>
      </c>
      <c r="BJ18" s="15" t="s">
        <v>138</v>
      </c>
      <c r="BK18" s="15" t="s">
        <v>603</v>
      </c>
      <c r="BL18" s="15" t="s">
        <v>138</v>
      </c>
      <c r="BM18" s="22">
        <v>41275</v>
      </c>
      <c r="BN18" s="17" t="s">
        <v>138</v>
      </c>
      <c r="BO18" s="15" t="s">
        <v>138</v>
      </c>
      <c r="BP18" s="17" t="s">
        <v>138</v>
      </c>
      <c r="BQ18" s="15" t="s">
        <v>138</v>
      </c>
      <c r="BR18" s="15" t="s">
        <v>316</v>
      </c>
      <c r="BS18" s="15" t="s">
        <v>138</v>
      </c>
      <c r="BT18" s="15" t="s">
        <v>138</v>
      </c>
      <c r="BU18" s="15" t="s">
        <v>177</v>
      </c>
      <c r="BV18" s="15" t="s">
        <v>138</v>
      </c>
      <c r="BW18" s="15" t="s">
        <v>138</v>
      </c>
      <c r="BX18" s="15" t="s">
        <v>138</v>
      </c>
      <c r="BY18" s="15" t="s">
        <v>175</v>
      </c>
      <c r="BZ18" s="22">
        <v>42881</v>
      </c>
      <c r="CA18" s="17">
        <v>40</v>
      </c>
      <c r="CB18" s="15" t="s">
        <v>172</v>
      </c>
      <c r="CC18" s="17">
        <v>170</v>
      </c>
      <c r="CD18" s="15" t="s">
        <v>172</v>
      </c>
      <c r="CE18" s="15" t="s">
        <v>173</v>
      </c>
      <c r="CF18" s="15" t="s">
        <v>317</v>
      </c>
      <c r="CG18" s="15" t="s">
        <v>138</v>
      </c>
      <c r="CH18" s="15" t="s">
        <v>174</v>
      </c>
      <c r="CI18" s="15" t="s">
        <v>138</v>
      </c>
      <c r="CJ18" s="15" t="s">
        <v>138</v>
      </c>
      <c r="CK18" s="15" t="s">
        <v>138</v>
      </c>
      <c r="CL18" s="15" t="s">
        <v>175</v>
      </c>
      <c r="CM18" s="22" t="s">
        <v>138</v>
      </c>
      <c r="CN18" s="17" t="s">
        <v>138</v>
      </c>
      <c r="CO18" s="23">
        <v>-7.0000000000000007E-2</v>
      </c>
      <c r="CP18" s="24">
        <v>21</v>
      </c>
      <c r="CQ18" s="23">
        <v>0.9</v>
      </c>
      <c r="CR18" s="23">
        <v>93.02</v>
      </c>
      <c r="CS18" s="23">
        <v>-2.09</v>
      </c>
      <c r="CT18" s="24">
        <v>8</v>
      </c>
      <c r="CU18" s="23">
        <v>0.1</v>
      </c>
      <c r="CV18" s="24">
        <v>68</v>
      </c>
      <c r="CW18" s="23">
        <v>-2.86</v>
      </c>
      <c r="CX18" s="24">
        <v>6</v>
      </c>
      <c r="CY18" s="23">
        <v>-1.32</v>
      </c>
      <c r="CZ18" s="24">
        <v>16</v>
      </c>
      <c r="DA18" s="23">
        <v>0.13</v>
      </c>
      <c r="DB18" s="24">
        <v>76</v>
      </c>
      <c r="DC18" s="25">
        <v>9.66</v>
      </c>
      <c r="DD18" s="24">
        <v>90</v>
      </c>
      <c r="DE18" s="25">
        <v>-4.9800000000000004</v>
      </c>
      <c r="DF18" s="23">
        <v>-34.020000000000003</v>
      </c>
      <c r="DG18" s="25">
        <v>22.19</v>
      </c>
      <c r="DH18" s="24">
        <v>95</v>
      </c>
      <c r="DI18" s="25">
        <v>6.65</v>
      </c>
      <c r="DJ18" s="24">
        <v>81</v>
      </c>
      <c r="DK18" s="25">
        <v>7.83</v>
      </c>
      <c r="DL18" s="24">
        <v>84</v>
      </c>
      <c r="DM18" s="25">
        <v>36.549999999999997</v>
      </c>
      <c r="DN18" s="24">
        <v>97</v>
      </c>
      <c r="DO18" s="25">
        <v>11.84</v>
      </c>
      <c r="DP18" s="24">
        <v>89</v>
      </c>
      <c r="DQ18" s="24">
        <v>2631</v>
      </c>
      <c r="DR18" s="26">
        <v>167</v>
      </c>
      <c r="DS18" s="23">
        <v>6.78</v>
      </c>
      <c r="DT18" s="24">
        <v>1059</v>
      </c>
      <c r="DU18" s="26">
        <v>0</v>
      </c>
      <c r="DV18" s="23">
        <v>0</v>
      </c>
      <c r="DW18" s="24">
        <v>4234</v>
      </c>
      <c r="DX18" s="27">
        <v>5</v>
      </c>
      <c r="DY18" s="23">
        <v>0.12</v>
      </c>
      <c r="DZ18" s="15" t="s">
        <v>178</v>
      </c>
      <c r="EA18" s="22">
        <v>43622</v>
      </c>
      <c r="EB18" s="17">
        <v>170</v>
      </c>
      <c r="EC18" s="22">
        <v>42881</v>
      </c>
      <c r="ED18" s="15" t="s">
        <v>173</v>
      </c>
      <c r="EE18" s="14" t="str">
        <f>HYPERLINK("https://my.pitchbook.com?c=57860-56", "View company online")</f>
        <v>View company online</v>
      </c>
    </row>
    <row r="19" spans="1:135">
      <c r="A19" s="28" t="s">
        <v>604</v>
      </c>
      <c r="B19" s="28" t="s">
        <v>605</v>
      </c>
      <c r="C19" s="28" t="s">
        <v>138</v>
      </c>
      <c r="D19" s="28" t="s">
        <v>138</v>
      </c>
      <c r="E19" s="28" t="s">
        <v>606</v>
      </c>
      <c r="F19" s="28" t="s">
        <v>604</v>
      </c>
      <c r="G19" s="28" t="s">
        <v>607</v>
      </c>
      <c r="H19" s="28" t="s">
        <v>141</v>
      </c>
      <c r="I19" s="28" t="s">
        <v>212</v>
      </c>
      <c r="J19" s="28" t="s">
        <v>213</v>
      </c>
      <c r="K19" s="28" t="s">
        <v>608</v>
      </c>
      <c r="L19" s="28" t="s">
        <v>215</v>
      </c>
      <c r="M19" s="28" t="s">
        <v>609</v>
      </c>
      <c r="N19" s="28" t="s">
        <v>147</v>
      </c>
      <c r="O19" s="29">
        <v>12.47</v>
      </c>
      <c r="P19" s="28" t="s">
        <v>610</v>
      </c>
      <c r="Q19" s="28" t="s">
        <v>149</v>
      </c>
      <c r="R19" s="28" t="s">
        <v>174</v>
      </c>
      <c r="S19" s="28" t="s">
        <v>611</v>
      </c>
      <c r="T19" s="30">
        <v>25</v>
      </c>
      <c r="U19" s="28" t="s">
        <v>612</v>
      </c>
      <c r="V19" s="28" t="s">
        <v>138</v>
      </c>
      <c r="W19" s="28" t="s">
        <v>138</v>
      </c>
      <c r="X19" s="31">
        <v>2012</v>
      </c>
      <c r="Y19" s="28" t="s">
        <v>138</v>
      </c>
      <c r="Z19" s="28" t="s">
        <v>138</v>
      </c>
      <c r="AA19" s="28" t="s">
        <v>138</v>
      </c>
      <c r="AB19" s="32" t="s">
        <v>138</v>
      </c>
      <c r="AC19" s="32" t="s">
        <v>138</v>
      </c>
      <c r="AD19" s="32" t="s">
        <v>138</v>
      </c>
      <c r="AE19" s="32" t="s">
        <v>138</v>
      </c>
      <c r="AF19" s="32" t="s">
        <v>138</v>
      </c>
      <c r="AG19" s="28" t="s">
        <v>138</v>
      </c>
      <c r="AH19" s="32" t="s">
        <v>138</v>
      </c>
      <c r="AI19" s="32" t="s">
        <v>138</v>
      </c>
      <c r="AJ19" s="32" t="s">
        <v>138</v>
      </c>
      <c r="AK19" s="28" t="s">
        <v>613</v>
      </c>
      <c r="AL19" s="28" t="s">
        <v>614</v>
      </c>
      <c r="AM19" s="28" t="s">
        <v>304</v>
      </c>
      <c r="AN19" s="28" t="s">
        <v>615</v>
      </c>
      <c r="AO19" s="28" t="s">
        <v>616</v>
      </c>
      <c r="AP19" s="28" t="s">
        <v>423</v>
      </c>
      <c r="AQ19" s="28" t="s">
        <v>617</v>
      </c>
      <c r="AR19" s="28" t="s">
        <v>618</v>
      </c>
      <c r="AS19" s="28" t="s">
        <v>426</v>
      </c>
      <c r="AT19" s="28" t="s">
        <v>426</v>
      </c>
      <c r="AU19" s="28" t="s">
        <v>619</v>
      </c>
      <c r="AV19" s="28" t="s">
        <v>162</v>
      </c>
      <c r="AW19" s="28" t="s">
        <v>616</v>
      </c>
      <c r="AX19" s="28" t="s">
        <v>138</v>
      </c>
      <c r="AY19" s="28" t="s">
        <v>138</v>
      </c>
      <c r="AZ19" s="28" t="s">
        <v>164</v>
      </c>
      <c r="BA19" s="28" t="s">
        <v>165</v>
      </c>
      <c r="BB19" s="28" t="s">
        <v>620</v>
      </c>
      <c r="BC19" s="28" t="s">
        <v>621</v>
      </c>
      <c r="BD19" s="33">
        <v>5</v>
      </c>
      <c r="BE19" s="28" t="s">
        <v>138</v>
      </c>
      <c r="BF19" s="28" t="s">
        <v>138</v>
      </c>
      <c r="BG19" s="28" t="s">
        <v>138</v>
      </c>
      <c r="BH19" s="28" t="s">
        <v>622</v>
      </c>
      <c r="BI19" s="28" t="s">
        <v>138</v>
      </c>
      <c r="BJ19" s="28" t="s">
        <v>138</v>
      </c>
      <c r="BK19" s="28" t="s">
        <v>138</v>
      </c>
      <c r="BL19" s="28" t="s">
        <v>138</v>
      </c>
      <c r="BM19" s="34">
        <v>41948</v>
      </c>
      <c r="BN19" s="29">
        <v>3.2</v>
      </c>
      <c r="BO19" s="28" t="s">
        <v>172</v>
      </c>
      <c r="BP19" s="29">
        <v>149.71</v>
      </c>
      <c r="BQ19" s="28" t="s">
        <v>172</v>
      </c>
      <c r="BR19" s="28" t="s">
        <v>205</v>
      </c>
      <c r="BS19" s="28" t="s">
        <v>206</v>
      </c>
      <c r="BT19" s="28" t="s">
        <v>138</v>
      </c>
      <c r="BU19" s="28" t="s">
        <v>174</v>
      </c>
      <c r="BV19" s="28" t="s">
        <v>138</v>
      </c>
      <c r="BW19" s="28" t="s">
        <v>138</v>
      </c>
      <c r="BX19" s="28" t="s">
        <v>138</v>
      </c>
      <c r="BY19" s="28" t="s">
        <v>175</v>
      </c>
      <c r="BZ19" s="34">
        <v>42299</v>
      </c>
      <c r="CA19" s="29">
        <v>6</v>
      </c>
      <c r="CB19" s="28" t="s">
        <v>172</v>
      </c>
      <c r="CC19" s="29">
        <v>30</v>
      </c>
      <c r="CD19" s="28" t="s">
        <v>172</v>
      </c>
      <c r="CE19" s="28" t="s">
        <v>205</v>
      </c>
      <c r="CF19" s="28" t="s">
        <v>623</v>
      </c>
      <c r="CG19" s="28" t="s">
        <v>138</v>
      </c>
      <c r="CH19" s="28" t="s">
        <v>174</v>
      </c>
      <c r="CI19" s="28" t="s">
        <v>138</v>
      </c>
      <c r="CJ19" s="28" t="s">
        <v>138</v>
      </c>
      <c r="CK19" s="28" t="s">
        <v>138</v>
      </c>
      <c r="CL19" s="28" t="s">
        <v>175</v>
      </c>
      <c r="CM19" s="34" t="s">
        <v>138</v>
      </c>
      <c r="CN19" s="29" t="s">
        <v>138</v>
      </c>
      <c r="CO19" s="35">
        <v>0.35</v>
      </c>
      <c r="CP19" s="36">
        <v>94</v>
      </c>
      <c r="CQ19" s="35">
        <v>0</v>
      </c>
      <c r="CR19" s="35">
        <v>0.39</v>
      </c>
      <c r="CS19" s="35">
        <v>0.71</v>
      </c>
      <c r="CT19" s="36">
        <v>96</v>
      </c>
      <c r="CU19" s="35">
        <v>-0.01</v>
      </c>
      <c r="CV19" s="36">
        <v>20</v>
      </c>
      <c r="CW19" s="35">
        <v>0.71</v>
      </c>
      <c r="CX19" s="36">
        <v>83</v>
      </c>
      <c r="CY19" s="35" t="s">
        <v>138</v>
      </c>
      <c r="CZ19" s="36" t="s">
        <v>138</v>
      </c>
      <c r="DA19" s="35">
        <v>-0.04</v>
      </c>
      <c r="DB19" s="36">
        <v>15</v>
      </c>
      <c r="DC19" s="37">
        <v>4819.7</v>
      </c>
      <c r="DD19" s="36">
        <v>100</v>
      </c>
      <c r="DE19" s="37">
        <v>-617.07000000000005</v>
      </c>
      <c r="DF19" s="35">
        <v>-11.35</v>
      </c>
      <c r="DG19" s="37">
        <v>9620.39</v>
      </c>
      <c r="DH19" s="36">
        <v>100</v>
      </c>
      <c r="DI19" s="37">
        <v>19.010000000000002</v>
      </c>
      <c r="DJ19" s="36">
        <v>90</v>
      </c>
      <c r="DK19" s="37">
        <v>9620.39</v>
      </c>
      <c r="DL19" s="36">
        <v>100</v>
      </c>
      <c r="DM19" s="37" t="s">
        <v>138</v>
      </c>
      <c r="DN19" s="36" t="s">
        <v>138</v>
      </c>
      <c r="DO19" s="37">
        <v>25.62</v>
      </c>
      <c r="DP19" s="36">
        <v>94</v>
      </c>
      <c r="DQ19" s="36">
        <v>3294410</v>
      </c>
      <c r="DR19" s="38">
        <v>16154</v>
      </c>
      <c r="DS19" s="35">
        <v>0.49</v>
      </c>
      <c r="DT19" s="36" t="s">
        <v>138</v>
      </c>
      <c r="DU19" s="38" t="s">
        <v>138</v>
      </c>
      <c r="DV19" s="35" t="s">
        <v>138</v>
      </c>
      <c r="DW19" s="36">
        <v>9170</v>
      </c>
      <c r="DX19" s="39">
        <v>-4</v>
      </c>
      <c r="DY19" s="35">
        <v>-0.04</v>
      </c>
      <c r="DZ19" s="28" t="s">
        <v>178</v>
      </c>
      <c r="EA19" s="34">
        <v>43607</v>
      </c>
      <c r="EB19" s="29">
        <v>30</v>
      </c>
      <c r="EC19" s="34">
        <v>42299</v>
      </c>
      <c r="ED19" s="28" t="s">
        <v>205</v>
      </c>
      <c r="EE19" s="40" t="str">
        <f>HYPERLINK("https://my.pitchbook.com?c=99142-48", "View company online")</f>
        <v>View company online</v>
      </c>
    </row>
    <row r="20" spans="1:135">
      <c r="A20" s="15" t="s">
        <v>624</v>
      </c>
      <c r="B20" s="15" t="s">
        <v>625</v>
      </c>
      <c r="C20" s="15" t="s">
        <v>626</v>
      </c>
      <c r="D20" s="15" t="s">
        <v>138</v>
      </c>
      <c r="E20" s="15" t="s">
        <v>627</v>
      </c>
      <c r="F20" s="15" t="s">
        <v>624</v>
      </c>
      <c r="G20" s="15" t="s">
        <v>628</v>
      </c>
      <c r="H20" s="15" t="s">
        <v>322</v>
      </c>
      <c r="I20" s="15" t="s">
        <v>323</v>
      </c>
      <c r="J20" s="15" t="s">
        <v>324</v>
      </c>
      <c r="K20" s="15" t="s">
        <v>629</v>
      </c>
      <c r="L20" s="15" t="s">
        <v>215</v>
      </c>
      <c r="M20" s="15" t="s">
        <v>630</v>
      </c>
      <c r="N20" s="15" t="s">
        <v>147</v>
      </c>
      <c r="O20" s="17">
        <v>50.61</v>
      </c>
      <c r="P20" s="15" t="s">
        <v>148</v>
      </c>
      <c r="Q20" s="15" t="s">
        <v>149</v>
      </c>
      <c r="R20" s="15" t="s">
        <v>244</v>
      </c>
      <c r="S20" s="15" t="s">
        <v>631</v>
      </c>
      <c r="T20" s="18">
        <v>181</v>
      </c>
      <c r="U20" s="15" t="s">
        <v>632</v>
      </c>
      <c r="V20" s="15" t="s">
        <v>138</v>
      </c>
      <c r="W20" s="15" t="s">
        <v>138</v>
      </c>
      <c r="X20" s="19">
        <v>2005</v>
      </c>
      <c r="Y20" s="15" t="s">
        <v>138</v>
      </c>
      <c r="Z20" s="15" t="s">
        <v>138</v>
      </c>
      <c r="AA20" s="15" t="s">
        <v>138</v>
      </c>
      <c r="AB20" s="20">
        <v>22.43</v>
      </c>
      <c r="AC20" s="20" t="s">
        <v>138</v>
      </c>
      <c r="AD20" s="20" t="s">
        <v>138</v>
      </c>
      <c r="AE20" s="20" t="s">
        <v>138</v>
      </c>
      <c r="AF20" s="20" t="s">
        <v>138</v>
      </c>
      <c r="AG20" s="15" t="s">
        <v>633</v>
      </c>
      <c r="AH20" s="20" t="s">
        <v>138</v>
      </c>
      <c r="AI20" s="20" t="s">
        <v>138</v>
      </c>
      <c r="AJ20" s="20" t="s">
        <v>138</v>
      </c>
      <c r="AK20" s="15" t="s">
        <v>634</v>
      </c>
      <c r="AL20" s="15" t="s">
        <v>635</v>
      </c>
      <c r="AM20" s="15" t="s">
        <v>636</v>
      </c>
      <c r="AN20" s="15" t="s">
        <v>637</v>
      </c>
      <c r="AO20" s="15" t="s">
        <v>638</v>
      </c>
      <c r="AP20" s="15" t="s">
        <v>639</v>
      </c>
      <c r="AQ20" s="15" t="s">
        <v>640</v>
      </c>
      <c r="AR20" s="15" t="s">
        <v>641</v>
      </c>
      <c r="AS20" s="15" t="s">
        <v>642</v>
      </c>
      <c r="AT20" s="15" t="s">
        <v>474</v>
      </c>
      <c r="AU20" s="15" t="s">
        <v>643</v>
      </c>
      <c r="AV20" s="15" t="s">
        <v>162</v>
      </c>
      <c r="AW20" s="15" t="s">
        <v>638</v>
      </c>
      <c r="AX20" s="15" t="s">
        <v>644</v>
      </c>
      <c r="AY20" s="15" t="s">
        <v>645</v>
      </c>
      <c r="AZ20" s="15" t="s">
        <v>164</v>
      </c>
      <c r="BA20" s="15" t="s">
        <v>165</v>
      </c>
      <c r="BB20" s="15" t="s">
        <v>646</v>
      </c>
      <c r="BC20" s="15" t="s">
        <v>647</v>
      </c>
      <c r="BD20" s="21">
        <v>11</v>
      </c>
      <c r="BE20" s="15" t="s">
        <v>138</v>
      </c>
      <c r="BF20" s="15" t="s">
        <v>138</v>
      </c>
      <c r="BG20" s="15" t="s">
        <v>138</v>
      </c>
      <c r="BH20" s="15" t="s">
        <v>648</v>
      </c>
      <c r="BI20" s="15" t="s">
        <v>138</v>
      </c>
      <c r="BJ20" s="15" t="s">
        <v>138</v>
      </c>
      <c r="BK20" s="15" t="s">
        <v>649</v>
      </c>
      <c r="BL20" s="15" t="s">
        <v>650</v>
      </c>
      <c r="BM20" s="22">
        <v>38777</v>
      </c>
      <c r="BN20" s="17">
        <v>0.2</v>
      </c>
      <c r="BO20" s="15" t="s">
        <v>172</v>
      </c>
      <c r="BP20" s="17" t="s">
        <v>138</v>
      </c>
      <c r="BQ20" s="15" t="s">
        <v>138</v>
      </c>
      <c r="BR20" s="15" t="s">
        <v>205</v>
      </c>
      <c r="BS20" s="15" t="s">
        <v>138</v>
      </c>
      <c r="BT20" s="15" t="s">
        <v>138</v>
      </c>
      <c r="BU20" s="15" t="s">
        <v>174</v>
      </c>
      <c r="BV20" s="15" t="s">
        <v>138</v>
      </c>
      <c r="BW20" s="15" t="s">
        <v>138</v>
      </c>
      <c r="BX20" s="15" t="s">
        <v>138</v>
      </c>
      <c r="BY20" s="15" t="s">
        <v>175</v>
      </c>
      <c r="BZ20" s="22">
        <v>43543</v>
      </c>
      <c r="CA20" s="17" t="s">
        <v>138</v>
      </c>
      <c r="CB20" s="15" t="s">
        <v>138</v>
      </c>
      <c r="CC20" s="17" t="s">
        <v>138</v>
      </c>
      <c r="CD20" s="15" t="s">
        <v>138</v>
      </c>
      <c r="CE20" s="15" t="s">
        <v>173</v>
      </c>
      <c r="CF20" s="15" t="s">
        <v>138</v>
      </c>
      <c r="CG20" s="15" t="s">
        <v>138</v>
      </c>
      <c r="CH20" s="15" t="s">
        <v>174</v>
      </c>
      <c r="CI20" s="15" t="s">
        <v>138</v>
      </c>
      <c r="CJ20" s="15" t="s">
        <v>138</v>
      </c>
      <c r="CK20" s="15" t="s">
        <v>138</v>
      </c>
      <c r="CL20" s="15" t="s">
        <v>175</v>
      </c>
      <c r="CM20" s="22">
        <v>39783</v>
      </c>
      <c r="CN20" s="17" t="s">
        <v>138</v>
      </c>
      <c r="CO20" s="23">
        <v>0.47</v>
      </c>
      <c r="CP20" s="24">
        <v>95</v>
      </c>
      <c r="CQ20" s="23">
        <v>0</v>
      </c>
      <c r="CR20" s="23">
        <v>0.76</v>
      </c>
      <c r="CS20" s="23">
        <v>0.93</v>
      </c>
      <c r="CT20" s="24">
        <v>96</v>
      </c>
      <c r="CU20" s="23">
        <v>0.01</v>
      </c>
      <c r="CV20" s="24">
        <v>49</v>
      </c>
      <c r="CW20" s="23">
        <v>3.64</v>
      </c>
      <c r="CX20" s="24">
        <v>93</v>
      </c>
      <c r="CY20" s="23">
        <v>-1.77</v>
      </c>
      <c r="CZ20" s="24">
        <v>13</v>
      </c>
      <c r="DA20" s="23">
        <v>-0.09</v>
      </c>
      <c r="DB20" s="24">
        <v>7</v>
      </c>
      <c r="DC20" s="25">
        <v>38.950000000000003</v>
      </c>
      <c r="DD20" s="24">
        <v>97</v>
      </c>
      <c r="DE20" s="25">
        <v>-0.64</v>
      </c>
      <c r="DF20" s="23">
        <v>-1.63</v>
      </c>
      <c r="DG20" s="25">
        <v>52.48</v>
      </c>
      <c r="DH20" s="24">
        <v>98</v>
      </c>
      <c r="DI20" s="25">
        <v>25.42</v>
      </c>
      <c r="DJ20" s="24">
        <v>92</v>
      </c>
      <c r="DK20" s="25">
        <v>22.31</v>
      </c>
      <c r="DL20" s="24">
        <v>92</v>
      </c>
      <c r="DM20" s="25">
        <v>82.66</v>
      </c>
      <c r="DN20" s="24">
        <v>99</v>
      </c>
      <c r="DO20" s="25">
        <v>50.72</v>
      </c>
      <c r="DP20" s="24">
        <v>97</v>
      </c>
      <c r="DQ20" s="24">
        <v>7508</v>
      </c>
      <c r="DR20" s="26">
        <v>429</v>
      </c>
      <c r="DS20" s="23">
        <v>6.06</v>
      </c>
      <c r="DT20" s="24">
        <v>2396</v>
      </c>
      <c r="DU20" s="26">
        <v>3</v>
      </c>
      <c r="DV20" s="23">
        <v>0.13</v>
      </c>
      <c r="DW20" s="24">
        <v>18167</v>
      </c>
      <c r="DX20" s="27">
        <v>-22</v>
      </c>
      <c r="DY20" s="23">
        <v>-0.12</v>
      </c>
      <c r="DZ20" s="15" t="s">
        <v>178</v>
      </c>
      <c r="EA20" s="22">
        <v>43622</v>
      </c>
      <c r="EB20" s="17">
        <v>120.52</v>
      </c>
      <c r="EC20" s="22">
        <v>41176</v>
      </c>
      <c r="ED20" s="15" t="s">
        <v>173</v>
      </c>
      <c r="EE20" s="14" t="str">
        <f>HYPERLINK("https://my.pitchbook.com?c=12031-66", "View company online")</f>
        <v>View company online</v>
      </c>
    </row>
    <row r="21" spans="1:135">
      <c r="A21" s="28" t="s">
        <v>651</v>
      </c>
      <c r="B21" s="28" t="s">
        <v>652</v>
      </c>
      <c r="C21" s="28" t="s">
        <v>138</v>
      </c>
      <c r="D21" s="28" t="s">
        <v>138</v>
      </c>
      <c r="E21" s="28" t="s">
        <v>653</v>
      </c>
      <c r="F21" s="28" t="s">
        <v>651</v>
      </c>
      <c r="G21" s="28" t="s">
        <v>654</v>
      </c>
      <c r="H21" s="28" t="s">
        <v>141</v>
      </c>
      <c r="I21" s="28" t="s">
        <v>212</v>
      </c>
      <c r="J21" s="28" t="s">
        <v>655</v>
      </c>
      <c r="K21" s="28" t="s">
        <v>656</v>
      </c>
      <c r="L21" s="28" t="s">
        <v>657</v>
      </c>
      <c r="M21" s="28" t="s">
        <v>658</v>
      </c>
      <c r="N21" s="28" t="s">
        <v>147</v>
      </c>
      <c r="O21" s="29">
        <v>598.27</v>
      </c>
      <c r="P21" s="28" t="s">
        <v>148</v>
      </c>
      <c r="Q21" s="28" t="s">
        <v>149</v>
      </c>
      <c r="R21" s="28" t="s">
        <v>174</v>
      </c>
      <c r="S21" s="28" t="s">
        <v>659</v>
      </c>
      <c r="T21" s="30">
        <v>500</v>
      </c>
      <c r="U21" s="28" t="s">
        <v>660</v>
      </c>
      <c r="V21" s="28" t="s">
        <v>138</v>
      </c>
      <c r="W21" s="28" t="s">
        <v>138</v>
      </c>
      <c r="X21" s="31">
        <v>2013</v>
      </c>
      <c r="Y21" s="28" t="s">
        <v>138</v>
      </c>
      <c r="Z21" s="28" t="s">
        <v>661</v>
      </c>
      <c r="AA21" s="28" t="s">
        <v>661</v>
      </c>
      <c r="AB21" s="32">
        <v>70.599999999999994</v>
      </c>
      <c r="AC21" s="32" t="s">
        <v>138</v>
      </c>
      <c r="AD21" s="32">
        <v>-200</v>
      </c>
      <c r="AE21" s="32" t="s">
        <v>138</v>
      </c>
      <c r="AF21" s="32" t="s">
        <v>138</v>
      </c>
      <c r="AG21" s="28" t="s">
        <v>419</v>
      </c>
      <c r="AH21" s="32" t="s">
        <v>138</v>
      </c>
      <c r="AI21" s="32" t="s">
        <v>138</v>
      </c>
      <c r="AJ21" s="32" t="s">
        <v>138</v>
      </c>
      <c r="AK21" s="28" t="s">
        <v>662</v>
      </c>
      <c r="AL21" s="28" t="s">
        <v>663</v>
      </c>
      <c r="AM21" s="28" t="s">
        <v>249</v>
      </c>
      <c r="AN21" s="28" t="s">
        <v>664</v>
      </c>
      <c r="AO21" s="28" t="s">
        <v>138</v>
      </c>
      <c r="AP21" s="28" t="s">
        <v>665</v>
      </c>
      <c r="AQ21" s="28" t="s">
        <v>666</v>
      </c>
      <c r="AR21" s="28" t="s">
        <v>667</v>
      </c>
      <c r="AS21" s="28" t="s">
        <v>668</v>
      </c>
      <c r="AT21" s="28" t="s">
        <v>200</v>
      </c>
      <c r="AU21" s="28" t="s">
        <v>669</v>
      </c>
      <c r="AV21" s="28" t="s">
        <v>162</v>
      </c>
      <c r="AW21" s="28" t="s">
        <v>138</v>
      </c>
      <c r="AX21" s="28" t="s">
        <v>138</v>
      </c>
      <c r="AY21" s="28" t="s">
        <v>138</v>
      </c>
      <c r="AZ21" s="28" t="s">
        <v>164</v>
      </c>
      <c r="BA21" s="28" t="s">
        <v>165</v>
      </c>
      <c r="BB21" s="28" t="s">
        <v>670</v>
      </c>
      <c r="BC21" s="28" t="s">
        <v>671</v>
      </c>
      <c r="BD21" s="33">
        <v>47</v>
      </c>
      <c r="BE21" s="28" t="s">
        <v>138</v>
      </c>
      <c r="BF21" s="28" t="s">
        <v>672</v>
      </c>
      <c r="BG21" s="28" t="s">
        <v>138</v>
      </c>
      <c r="BH21" s="28" t="s">
        <v>673</v>
      </c>
      <c r="BI21" s="28" t="s">
        <v>674</v>
      </c>
      <c r="BJ21" s="28" t="s">
        <v>138</v>
      </c>
      <c r="BK21" s="28" t="s">
        <v>675</v>
      </c>
      <c r="BL21" s="28" t="s">
        <v>676</v>
      </c>
      <c r="BM21" s="34" t="s">
        <v>138</v>
      </c>
      <c r="BN21" s="29" t="s">
        <v>138</v>
      </c>
      <c r="BO21" s="28" t="s">
        <v>138</v>
      </c>
      <c r="BP21" s="29" t="s">
        <v>138</v>
      </c>
      <c r="BQ21" s="28" t="s">
        <v>138</v>
      </c>
      <c r="BR21" s="28" t="s">
        <v>316</v>
      </c>
      <c r="BS21" s="28" t="s">
        <v>138</v>
      </c>
      <c r="BT21" s="28" t="s">
        <v>138</v>
      </c>
      <c r="BU21" s="28" t="s">
        <v>177</v>
      </c>
      <c r="BV21" s="28" t="s">
        <v>138</v>
      </c>
      <c r="BW21" s="28" t="s">
        <v>138</v>
      </c>
      <c r="BX21" s="28" t="s">
        <v>138</v>
      </c>
      <c r="BY21" s="28" t="s">
        <v>175</v>
      </c>
      <c r="BZ21" s="34" t="s">
        <v>138</v>
      </c>
      <c r="CA21" s="29" t="s">
        <v>138</v>
      </c>
      <c r="CB21" s="28" t="s">
        <v>138</v>
      </c>
      <c r="CC21" s="29" t="s">
        <v>138</v>
      </c>
      <c r="CD21" s="28" t="s">
        <v>138</v>
      </c>
      <c r="CE21" s="28" t="s">
        <v>379</v>
      </c>
      <c r="CF21" s="28" t="s">
        <v>138</v>
      </c>
      <c r="CG21" s="28" t="s">
        <v>138</v>
      </c>
      <c r="CH21" s="28" t="s">
        <v>174</v>
      </c>
      <c r="CI21" s="28" t="s">
        <v>138</v>
      </c>
      <c r="CJ21" s="28" t="s">
        <v>138</v>
      </c>
      <c r="CK21" s="28" t="s">
        <v>138</v>
      </c>
      <c r="CL21" s="28" t="s">
        <v>175</v>
      </c>
      <c r="CM21" s="34" t="s">
        <v>138</v>
      </c>
      <c r="CN21" s="29" t="s">
        <v>138</v>
      </c>
      <c r="CO21" s="35">
        <v>0.03</v>
      </c>
      <c r="CP21" s="36">
        <v>86</v>
      </c>
      <c r="CQ21" s="35">
        <v>0</v>
      </c>
      <c r="CR21" s="35">
        <v>-7.29</v>
      </c>
      <c r="CS21" s="35">
        <v>-0.3</v>
      </c>
      <c r="CT21" s="36">
        <v>21</v>
      </c>
      <c r="CU21" s="35">
        <v>0.26</v>
      </c>
      <c r="CV21" s="36">
        <v>85</v>
      </c>
      <c r="CW21" s="35">
        <v>-0.11</v>
      </c>
      <c r="CX21" s="36">
        <v>12</v>
      </c>
      <c r="CY21" s="35">
        <v>-0.49</v>
      </c>
      <c r="CZ21" s="36">
        <v>22</v>
      </c>
      <c r="DA21" s="35">
        <v>0.1</v>
      </c>
      <c r="DB21" s="36">
        <v>72</v>
      </c>
      <c r="DC21" s="37">
        <v>73.77</v>
      </c>
      <c r="DD21" s="36">
        <v>99</v>
      </c>
      <c r="DE21" s="37">
        <v>-6.28</v>
      </c>
      <c r="DF21" s="35">
        <v>-7.84</v>
      </c>
      <c r="DG21" s="37">
        <v>195.64</v>
      </c>
      <c r="DH21" s="36">
        <v>100</v>
      </c>
      <c r="DI21" s="37">
        <v>22.36</v>
      </c>
      <c r="DJ21" s="36">
        <v>91</v>
      </c>
      <c r="DK21" s="37">
        <v>301.32</v>
      </c>
      <c r="DL21" s="36">
        <v>99</v>
      </c>
      <c r="DM21" s="37">
        <v>89.97</v>
      </c>
      <c r="DN21" s="36">
        <v>99</v>
      </c>
      <c r="DO21" s="37">
        <v>23.77</v>
      </c>
      <c r="DP21" s="36">
        <v>93</v>
      </c>
      <c r="DQ21" s="36">
        <v>103547</v>
      </c>
      <c r="DR21" s="38">
        <v>-586</v>
      </c>
      <c r="DS21" s="35">
        <v>-0.56000000000000005</v>
      </c>
      <c r="DT21" s="36">
        <v>2602</v>
      </c>
      <c r="DU21" s="38">
        <v>14</v>
      </c>
      <c r="DV21" s="35">
        <v>0.54</v>
      </c>
      <c r="DW21" s="36">
        <v>8507</v>
      </c>
      <c r="DX21" s="39">
        <v>6</v>
      </c>
      <c r="DY21" s="35">
        <v>7.0000000000000007E-2</v>
      </c>
      <c r="DZ21" s="28" t="s">
        <v>178</v>
      </c>
      <c r="EA21" s="34">
        <v>43622</v>
      </c>
      <c r="EB21" s="29">
        <v>4500</v>
      </c>
      <c r="EC21" s="34">
        <v>42136</v>
      </c>
      <c r="ED21" s="28" t="s">
        <v>173</v>
      </c>
      <c r="EE21" s="40" t="str">
        <f>HYPERLINK("https://my.pitchbook.com?c=56149-21", "View company online")</f>
        <v>View company online</v>
      </c>
    </row>
    <row r="22" spans="1:135">
      <c r="A22" s="15" t="s">
        <v>677</v>
      </c>
      <c r="B22" s="15" t="s">
        <v>678</v>
      </c>
      <c r="C22" s="15" t="s">
        <v>679</v>
      </c>
      <c r="D22" s="15" t="s">
        <v>138</v>
      </c>
      <c r="E22" s="15" t="s">
        <v>680</v>
      </c>
      <c r="F22" s="15" t="s">
        <v>677</v>
      </c>
      <c r="G22" s="15" t="s">
        <v>681</v>
      </c>
      <c r="H22" s="15" t="s">
        <v>322</v>
      </c>
      <c r="I22" s="15" t="s">
        <v>323</v>
      </c>
      <c r="J22" s="15" t="s">
        <v>413</v>
      </c>
      <c r="K22" s="15" t="s">
        <v>682</v>
      </c>
      <c r="L22" s="15" t="s">
        <v>683</v>
      </c>
      <c r="M22" s="15" t="s">
        <v>684</v>
      </c>
      <c r="N22" s="15" t="s">
        <v>147</v>
      </c>
      <c r="O22" s="17">
        <v>16.62</v>
      </c>
      <c r="P22" s="15" t="s">
        <v>148</v>
      </c>
      <c r="Q22" s="15" t="s">
        <v>149</v>
      </c>
      <c r="R22" s="15" t="s">
        <v>174</v>
      </c>
      <c r="S22" s="15" t="s">
        <v>685</v>
      </c>
      <c r="T22" s="18">
        <v>28</v>
      </c>
      <c r="U22" s="15" t="s">
        <v>686</v>
      </c>
      <c r="V22" s="15" t="s">
        <v>138</v>
      </c>
      <c r="W22" s="15" t="s">
        <v>138</v>
      </c>
      <c r="X22" s="19">
        <v>2013</v>
      </c>
      <c r="Y22" s="15" t="s">
        <v>138</v>
      </c>
      <c r="Z22" s="15" t="s">
        <v>138</v>
      </c>
      <c r="AA22" s="15" t="s">
        <v>138</v>
      </c>
      <c r="AB22" s="20" t="s">
        <v>138</v>
      </c>
      <c r="AC22" s="20" t="s">
        <v>138</v>
      </c>
      <c r="AD22" s="20" t="s">
        <v>138</v>
      </c>
      <c r="AE22" s="20" t="s">
        <v>138</v>
      </c>
      <c r="AF22" s="20" t="s">
        <v>138</v>
      </c>
      <c r="AG22" s="15" t="s">
        <v>138</v>
      </c>
      <c r="AH22" s="20" t="s">
        <v>138</v>
      </c>
      <c r="AI22" s="20" t="s">
        <v>138</v>
      </c>
      <c r="AJ22" s="20" t="s">
        <v>138</v>
      </c>
      <c r="AK22" s="15" t="s">
        <v>687</v>
      </c>
      <c r="AL22" s="15" t="s">
        <v>688</v>
      </c>
      <c r="AM22" s="15" t="s">
        <v>304</v>
      </c>
      <c r="AN22" s="15" t="s">
        <v>689</v>
      </c>
      <c r="AO22" s="15" t="s">
        <v>138</v>
      </c>
      <c r="AP22" s="15" t="s">
        <v>665</v>
      </c>
      <c r="AQ22" s="15" t="s">
        <v>690</v>
      </c>
      <c r="AR22" s="15" t="s">
        <v>138</v>
      </c>
      <c r="AS22" s="15" t="s">
        <v>668</v>
      </c>
      <c r="AT22" s="15" t="s">
        <v>200</v>
      </c>
      <c r="AU22" s="15" t="s">
        <v>691</v>
      </c>
      <c r="AV22" s="15" t="s">
        <v>162</v>
      </c>
      <c r="AW22" s="15" t="s">
        <v>138</v>
      </c>
      <c r="AX22" s="15" t="s">
        <v>138</v>
      </c>
      <c r="AY22" s="15" t="s">
        <v>692</v>
      </c>
      <c r="AZ22" s="15" t="s">
        <v>164</v>
      </c>
      <c r="BA22" s="15" t="s">
        <v>165</v>
      </c>
      <c r="BB22" s="15" t="s">
        <v>693</v>
      </c>
      <c r="BC22" s="15" t="s">
        <v>694</v>
      </c>
      <c r="BD22" s="21">
        <v>33</v>
      </c>
      <c r="BE22" s="15" t="s">
        <v>138</v>
      </c>
      <c r="BF22" s="15" t="s">
        <v>138</v>
      </c>
      <c r="BG22" s="15" t="s">
        <v>138</v>
      </c>
      <c r="BH22" s="15" t="s">
        <v>695</v>
      </c>
      <c r="BI22" s="15" t="s">
        <v>138</v>
      </c>
      <c r="BJ22" s="15" t="s">
        <v>138</v>
      </c>
      <c r="BK22" s="15" t="s">
        <v>696</v>
      </c>
      <c r="BL22" s="15" t="s">
        <v>697</v>
      </c>
      <c r="BM22" s="22">
        <v>41515</v>
      </c>
      <c r="BN22" s="17">
        <v>1.5</v>
      </c>
      <c r="BO22" s="15" t="s">
        <v>172</v>
      </c>
      <c r="BP22" s="17" t="s">
        <v>138</v>
      </c>
      <c r="BQ22" s="15" t="s">
        <v>138</v>
      </c>
      <c r="BR22" s="15" t="s">
        <v>234</v>
      </c>
      <c r="BS22" s="15" t="s">
        <v>234</v>
      </c>
      <c r="BT22" s="15" t="s">
        <v>138</v>
      </c>
      <c r="BU22" s="15" t="s">
        <v>174</v>
      </c>
      <c r="BV22" s="15" t="s">
        <v>138</v>
      </c>
      <c r="BW22" s="15" t="s">
        <v>138</v>
      </c>
      <c r="BX22" s="15" t="s">
        <v>138</v>
      </c>
      <c r="BY22" s="15" t="s">
        <v>175</v>
      </c>
      <c r="BZ22" s="22" t="s">
        <v>138</v>
      </c>
      <c r="CA22" s="17" t="s">
        <v>138</v>
      </c>
      <c r="CB22" s="15" t="s">
        <v>138</v>
      </c>
      <c r="CC22" s="17" t="s">
        <v>138</v>
      </c>
      <c r="CD22" s="15" t="s">
        <v>138</v>
      </c>
      <c r="CE22" s="15" t="s">
        <v>205</v>
      </c>
      <c r="CF22" s="15" t="s">
        <v>138</v>
      </c>
      <c r="CG22" s="15" t="s">
        <v>138</v>
      </c>
      <c r="CH22" s="15" t="s">
        <v>174</v>
      </c>
      <c r="CI22" s="15" t="s">
        <v>138</v>
      </c>
      <c r="CJ22" s="15" t="s">
        <v>138</v>
      </c>
      <c r="CK22" s="15" t="s">
        <v>138</v>
      </c>
      <c r="CL22" s="15" t="s">
        <v>175</v>
      </c>
      <c r="CM22" s="22" t="s">
        <v>138</v>
      </c>
      <c r="CN22" s="17" t="s">
        <v>138</v>
      </c>
      <c r="CO22" s="23">
        <v>1.68</v>
      </c>
      <c r="CP22" s="24">
        <v>99</v>
      </c>
      <c r="CQ22" s="23">
        <v>-0.09</v>
      </c>
      <c r="CR22" s="23">
        <v>-4.96</v>
      </c>
      <c r="CS22" s="23">
        <v>3.2</v>
      </c>
      <c r="CT22" s="24">
        <v>99</v>
      </c>
      <c r="CU22" s="23">
        <v>0.17</v>
      </c>
      <c r="CV22" s="24">
        <v>77</v>
      </c>
      <c r="CW22" s="23">
        <v>7.73</v>
      </c>
      <c r="CX22" s="24">
        <v>98</v>
      </c>
      <c r="CY22" s="23">
        <v>-1.33</v>
      </c>
      <c r="CZ22" s="24">
        <v>16</v>
      </c>
      <c r="DA22" s="23">
        <v>0.26</v>
      </c>
      <c r="DB22" s="24">
        <v>87</v>
      </c>
      <c r="DC22" s="25">
        <v>8.56</v>
      </c>
      <c r="DD22" s="24">
        <v>89</v>
      </c>
      <c r="DE22" s="25">
        <v>-0.34</v>
      </c>
      <c r="DF22" s="23">
        <v>-3.83</v>
      </c>
      <c r="DG22" s="25">
        <v>13.05</v>
      </c>
      <c r="DH22" s="24">
        <v>92</v>
      </c>
      <c r="DI22" s="25">
        <v>4.08</v>
      </c>
      <c r="DJ22" s="24">
        <v>74</v>
      </c>
      <c r="DK22" s="25">
        <v>7.54</v>
      </c>
      <c r="DL22" s="24">
        <v>84</v>
      </c>
      <c r="DM22" s="25">
        <v>18.55</v>
      </c>
      <c r="DN22" s="24">
        <v>94</v>
      </c>
      <c r="DO22" s="25">
        <v>5.86</v>
      </c>
      <c r="DP22" s="24">
        <v>81</v>
      </c>
      <c r="DQ22" s="24">
        <v>2455</v>
      </c>
      <c r="DR22" s="26">
        <v>393</v>
      </c>
      <c r="DS22" s="23">
        <v>19.059999999999999</v>
      </c>
      <c r="DT22" s="24">
        <v>543</v>
      </c>
      <c r="DU22" s="26">
        <v>-9</v>
      </c>
      <c r="DV22" s="23">
        <v>-1.63</v>
      </c>
      <c r="DW22" s="24">
        <v>2083</v>
      </c>
      <c r="DX22" s="27">
        <v>5</v>
      </c>
      <c r="DY22" s="23">
        <v>0.24</v>
      </c>
      <c r="DZ22" s="15" t="s">
        <v>178</v>
      </c>
      <c r="EA22" s="22">
        <v>43594</v>
      </c>
      <c r="EB22" s="17">
        <v>43.76</v>
      </c>
      <c r="EC22" s="22">
        <v>42405</v>
      </c>
      <c r="ED22" s="15" t="s">
        <v>205</v>
      </c>
      <c r="EE22" s="14" t="str">
        <f>HYPERLINK("https://my.pitchbook.com?c=58683-16", "View company online")</f>
        <v>View company online</v>
      </c>
    </row>
    <row r="23" spans="1:135">
      <c r="A23" s="28" t="s">
        <v>698</v>
      </c>
      <c r="B23" s="28" t="s">
        <v>699</v>
      </c>
      <c r="C23" s="28" t="s">
        <v>138</v>
      </c>
      <c r="D23" s="28" t="s">
        <v>138</v>
      </c>
      <c r="E23" s="28" t="s">
        <v>700</v>
      </c>
      <c r="F23" s="28" t="s">
        <v>698</v>
      </c>
      <c r="G23" s="28" t="s">
        <v>701</v>
      </c>
      <c r="H23" s="28" t="s">
        <v>322</v>
      </c>
      <c r="I23" s="28" t="s">
        <v>323</v>
      </c>
      <c r="J23" s="28" t="s">
        <v>413</v>
      </c>
      <c r="K23" s="28" t="s">
        <v>702</v>
      </c>
      <c r="L23" s="28" t="s">
        <v>703</v>
      </c>
      <c r="M23" s="28" t="s">
        <v>704</v>
      </c>
      <c r="N23" s="28" t="s">
        <v>147</v>
      </c>
      <c r="O23" s="29">
        <v>26.25</v>
      </c>
      <c r="P23" s="28" t="s">
        <v>148</v>
      </c>
      <c r="Q23" s="28" t="s">
        <v>149</v>
      </c>
      <c r="R23" s="28" t="s">
        <v>174</v>
      </c>
      <c r="S23" s="28" t="s">
        <v>705</v>
      </c>
      <c r="T23" s="30">
        <v>136</v>
      </c>
      <c r="U23" s="28" t="s">
        <v>706</v>
      </c>
      <c r="V23" s="28" t="s">
        <v>138</v>
      </c>
      <c r="W23" s="28" t="s">
        <v>138</v>
      </c>
      <c r="X23" s="31">
        <v>2010</v>
      </c>
      <c r="Y23" s="28" t="s">
        <v>138</v>
      </c>
      <c r="Z23" s="28" t="s">
        <v>138</v>
      </c>
      <c r="AA23" s="28" t="s">
        <v>138</v>
      </c>
      <c r="AB23" s="32">
        <v>12.64</v>
      </c>
      <c r="AC23" s="32" t="s">
        <v>138</v>
      </c>
      <c r="AD23" s="32" t="s">
        <v>138</v>
      </c>
      <c r="AE23" s="32" t="s">
        <v>138</v>
      </c>
      <c r="AF23" s="32" t="s">
        <v>138</v>
      </c>
      <c r="AG23" s="28" t="s">
        <v>707</v>
      </c>
      <c r="AH23" s="32" t="s">
        <v>138</v>
      </c>
      <c r="AI23" s="32" t="s">
        <v>138</v>
      </c>
      <c r="AJ23" s="32" t="s">
        <v>138</v>
      </c>
      <c r="AK23" s="28" t="s">
        <v>708</v>
      </c>
      <c r="AL23" s="28" t="s">
        <v>709</v>
      </c>
      <c r="AM23" s="28" t="s">
        <v>304</v>
      </c>
      <c r="AN23" s="28" t="s">
        <v>710</v>
      </c>
      <c r="AO23" s="28" t="s">
        <v>711</v>
      </c>
      <c r="AP23" s="28" t="s">
        <v>423</v>
      </c>
      <c r="AQ23" s="28" t="s">
        <v>712</v>
      </c>
      <c r="AR23" s="28" t="s">
        <v>713</v>
      </c>
      <c r="AS23" s="28" t="s">
        <v>426</v>
      </c>
      <c r="AT23" s="28" t="s">
        <v>426</v>
      </c>
      <c r="AU23" s="28" t="s">
        <v>714</v>
      </c>
      <c r="AV23" s="28" t="s">
        <v>162</v>
      </c>
      <c r="AW23" s="28" t="s">
        <v>715</v>
      </c>
      <c r="AX23" s="28" t="s">
        <v>138</v>
      </c>
      <c r="AY23" s="28" t="s">
        <v>716</v>
      </c>
      <c r="AZ23" s="28" t="s">
        <v>164</v>
      </c>
      <c r="BA23" s="28" t="s">
        <v>165</v>
      </c>
      <c r="BB23" s="28" t="s">
        <v>717</v>
      </c>
      <c r="BC23" s="28" t="s">
        <v>718</v>
      </c>
      <c r="BD23" s="33">
        <v>33</v>
      </c>
      <c r="BE23" s="28" t="s">
        <v>138</v>
      </c>
      <c r="BF23" s="28" t="s">
        <v>138</v>
      </c>
      <c r="BG23" s="28" t="s">
        <v>138</v>
      </c>
      <c r="BH23" s="28" t="s">
        <v>719</v>
      </c>
      <c r="BI23" s="28" t="s">
        <v>138</v>
      </c>
      <c r="BJ23" s="28" t="s">
        <v>138</v>
      </c>
      <c r="BK23" s="28" t="s">
        <v>290</v>
      </c>
      <c r="BL23" s="28" t="s">
        <v>290</v>
      </c>
      <c r="BM23" s="34" t="s">
        <v>138</v>
      </c>
      <c r="BN23" s="29" t="s">
        <v>138</v>
      </c>
      <c r="BO23" s="28" t="s">
        <v>138</v>
      </c>
      <c r="BP23" s="29" t="s">
        <v>138</v>
      </c>
      <c r="BQ23" s="28" t="s">
        <v>138</v>
      </c>
      <c r="BR23" s="28" t="s">
        <v>316</v>
      </c>
      <c r="BS23" s="28" t="s">
        <v>138</v>
      </c>
      <c r="BT23" s="28" t="s">
        <v>138</v>
      </c>
      <c r="BU23" s="28" t="s">
        <v>174</v>
      </c>
      <c r="BV23" s="28" t="s">
        <v>138</v>
      </c>
      <c r="BW23" s="28" t="s">
        <v>138</v>
      </c>
      <c r="BX23" s="28" t="s">
        <v>138</v>
      </c>
      <c r="BY23" s="28" t="s">
        <v>175</v>
      </c>
      <c r="BZ23" s="34">
        <v>43125</v>
      </c>
      <c r="CA23" s="29">
        <v>11.25</v>
      </c>
      <c r="CB23" s="28" t="s">
        <v>172</v>
      </c>
      <c r="CC23" s="29">
        <v>76.25</v>
      </c>
      <c r="CD23" s="28" t="s">
        <v>172</v>
      </c>
      <c r="CE23" s="28" t="s">
        <v>173</v>
      </c>
      <c r="CF23" s="28" t="s">
        <v>720</v>
      </c>
      <c r="CG23" s="28" t="s">
        <v>138</v>
      </c>
      <c r="CH23" s="28" t="s">
        <v>174</v>
      </c>
      <c r="CI23" s="28" t="s">
        <v>138</v>
      </c>
      <c r="CJ23" s="28" t="s">
        <v>138</v>
      </c>
      <c r="CK23" s="28" t="s">
        <v>138</v>
      </c>
      <c r="CL23" s="28" t="s">
        <v>175</v>
      </c>
      <c r="CM23" s="34" t="s">
        <v>138</v>
      </c>
      <c r="CN23" s="29" t="s">
        <v>138</v>
      </c>
      <c r="CO23" s="35">
        <v>0.2</v>
      </c>
      <c r="CP23" s="36">
        <v>92</v>
      </c>
      <c r="CQ23" s="35">
        <v>-0.04</v>
      </c>
      <c r="CR23" s="35">
        <v>-14.7</v>
      </c>
      <c r="CS23" s="35">
        <v>-1.07</v>
      </c>
      <c r="CT23" s="36">
        <v>14</v>
      </c>
      <c r="CU23" s="35">
        <v>0.03</v>
      </c>
      <c r="CV23" s="36">
        <v>54</v>
      </c>
      <c r="CW23" s="35">
        <v>0.2</v>
      </c>
      <c r="CX23" s="36">
        <v>81</v>
      </c>
      <c r="CY23" s="35">
        <v>-2.34</v>
      </c>
      <c r="CZ23" s="36">
        <v>9</v>
      </c>
      <c r="DA23" s="35">
        <v>-0.03</v>
      </c>
      <c r="DB23" s="36">
        <v>17</v>
      </c>
      <c r="DC23" s="37">
        <v>63.87</v>
      </c>
      <c r="DD23" s="36">
        <v>98</v>
      </c>
      <c r="DE23" s="37">
        <v>-0.19</v>
      </c>
      <c r="DF23" s="35">
        <v>-0.3</v>
      </c>
      <c r="DG23" s="37">
        <v>78.77</v>
      </c>
      <c r="DH23" s="36">
        <v>99</v>
      </c>
      <c r="DI23" s="37">
        <v>21.85</v>
      </c>
      <c r="DJ23" s="36">
        <v>91</v>
      </c>
      <c r="DK23" s="37">
        <v>85.72</v>
      </c>
      <c r="DL23" s="36">
        <v>97</v>
      </c>
      <c r="DM23" s="37">
        <v>71.83</v>
      </c>
      <c r="DN23" s="36">
        <v>99</v>
      </c>
      <c r="DO23" s="37">
        <v>19.79</v>
      </c>
      <c r="DP23" s="36">
        <v>92</v>
      </c>
      <c r="DQ23" s="36">
        <v>29580</v>
      </c>
      <c r="DR23" s="38">
        <v>-534</v>
      </c>
      <c r="DS23" s="35">
        <v>-1.77</v>
      </c>
      <c r="DT23" s="36">
        <v>2084</v>
      </c>
      <c r="DU23" s="38">
        <v>-5</v>
      </c>
      <c r="DV23" s="35">
        <v>-0.24</v>
      </c>
      <c r="DW23" s="36">
        <v>7082</v>
      </c>
      <c r="DX23" s="39">
        <v>7</v>
      </c>
      <c r="DY23" s="35">
        <v>0.1</v>
      </c>
      <c r="DZ23" s="28" t="s">
        <v>178</v>
      </c>
      <c r="EA23" s="34">
        <v>43607</v>
      </c>
      <c r="EB23" s="29">
        <v>76.25</v>
      </c>
      <c r="EC23" s="34">
        <v>43125</v>
      </c>
      <c r="ED23" s="28" t="s">
        <v>173</v>
      </c>
      <c r="EE23" s="40" t="str">
        <f>HYPERLINK("https://my.pitchbook.com?c=53595-73", "View company online")</f>
        <v>View company online</v>
      </c>
    </row>
    <row r="24" spans="1:135">
      <c r="A24" s="15" t="s">
        <v>721</v>
      </c>
      <c r="B24" s="15" t="s">
        <v>722</v>
      </c>
      <c r="C24" s="15" t="s">
        <v>138</v>
      </c>
      <c r="D24" s="15" t="s">
        <v>138</v>
      </c>
      <c r="E24" s="15" t="s">
        <v>723</v>
      </c>
      <c r="F24" s="15" t="s">
        <v>721</v>
      </c>
      <c r="G24" s="15" t="s">
        <v>724</v>
      </c>
      <c r="H24" s="15" t="s">
        <v>183</v>
      </c>
      <c r="I24" s="15" t="s">
        <v>725</v>
      </c>
      <c r="J24" s="15" t="s">
        <v>726</v>
      </c>
      <c r="K24" s="15" t="s">
        <v>727</v>
      </c>
      <c r="L24" s="15" t="s">
        <v>728</v>
      </c>
      <c r="M24" s="15" t="s">
        <v>729</v>
      </c>
      <c r="N24" s="15" t="s">
        <v>147</v>
      </c>
      <c r="O24" s="17">
        <v>50</v>
      </c>
      <c r="P24" s="15" t="s">
        <v>148</v>
      </c>
      <c r="Q24" s="15" t="s">
        <v>149</v>
      </c>
      <c r="R24" s="15" t="s">
        <v>174</v>
      </c>
      <c r="S24" s="15" t="s">
        <v>730</v>
      </c>
      <c r="T24" s="18">
        <v>30</v>
      </c>
      <c r="U24" s="15" t="s">
        <v>731</v>
      </c>
      <c r="V24" s="15" t="s">
        <v>138</v>
      </c>
      <c r="W24" s="15" t="s">
        <v>138</v>
      </c>
      <c r="X24" s="19">
        <v>2014</v>
      </c>
      <c r="Y24" s="15" t="s">
        <v>138</v>
      </c>
      <c r="Z24" s="15" t="s">
        <v>138</v>
      </c>
      <c r="AA24" s="15" t="s">
        <v>138</v>
      </c>
      <c r="AB24" s="20" t="s">
        <v>138</v>
      </c>
      <c r="AC24" s="20" t="s">
        <v>138</v>
      </c>
      <c r="AD24" s="20" t="s">
        <v>138</v>
      </c>
      <c r="AE24" s="20" t="s">
        <v>138</v>
      </c>
      <c r="AF24" s="20" t="s">
        <v>138</v>
      </c>
      <c r="AG24" s="15" t="s">
        <v>138</v>
      </c>
      <c r="AH24" s="20" t="s">
        <v>138</v>
      </c>
      <c r="AI24" s="20" t="s">
        <v>138</v>
      </c>
      <c r="AJ24" s="20" t="s">
        <v>138</v>
      </c>
      <c r="AK24" s="15" t="s">
        <v>732</v>
      </c>
      <c r="AL24" s="15" t="s">
        <v>733</v>
      </c>
      <c r="AM24" s="15" t="s">
        <v>734</v>
      </c>
      <c r="AN24" s="15" t="s">
        <v>735</v>
      </c>
      <c r="AO24" s="15" t="s">
        <v>138</v>
      </c>
      <c r="AP24" s="15" t="s">
        <v>736</v>
      </c>
      <c r="AQ24" s="15" t="s">
        <v>737</v>
      </c>
      <c r="AR24" s="15" t="s">
        <v>138</v>
      </c>
      <c r="AS24" s="15" t="s">
        <v>738</v>
      </c>
      <c r="AT24" s="15" t="s">
        <v>138</v>
      </c>
      <c r="AU24" s="15" t="s">
        <v>739</v>
      </c>
      <c r="AV24" s="15" t="s">
        <v>740</v>
      </c>
      <c r="AW24" s="15" t="s">
        <v>138</v>
      </c>
      <c r="AX24" s="15" t="s">
        <v>138</v>
      </c>
      <c r="AY24" s="15" t="s">
        <v>741</v>
      </c>
      <c r="AZ24" s="15" t="s">
        <v>742</v>
      </c>
      <c r="BA24" s="15" t="s">
        <v>742</v>
      </c>
      <c r="BB24" s="15" t="s">
        <v>743</v>
      </c>
      <c r="BC24" s="15" t="s">
        <v>744</v>
      </c>
      <c r="BD24" s="21">
        <v>16</v>
      </c>
      <c r="BE24" s="15" t="s">
        <v>138</v>
      </c>
      <c r="BF24" s="15" t="s">
        <v>138</v>
      </c>
      <c r="BG24" s="15" t="s">
        <v>138</v>
      </c>
      <c r="BH24" s="15" t="s">
        <v>745</v>
      </c>
      <c r="BI24" s="15" t="s">
        <v>138</v>
      </c>
      <c r="BJ24" s="15" t="s">
        <v>138</v>
      </c>
      <c r="BK24" s="15" t="s">
        <v>138</v>
      </c>
      <c r="BL24" s="15" t="s">
        <v>138</v>
      </c>
      <c r="BM24" s="22">
        <v>42100</v>
      </c>
      <c r="BN24" s="17">
        <v>8</v>
      </c>
      <c r="BO24" s="15" t="s">
        <v>172</v>
      </c>
      <c r="BP24" s="17" t="s">
        <v>138</v>
      </c>
      <c r="BQ24" s="15" t="s">
        <v>138</v>
      </c>
      <c r="BR24" s="15" t="s">
        <v>205</v>
      </c>
      <c r="BS24" s="15" t="s">
        <v>206</v>
      </c>
      <c r="BT24" s="15" t="s">
        <v>138</v>
      </c>
      <c r="BU24" s="15" t="s">
        <v>174</v>
      </c>
      <c r="BV24" s="15" t="s">
        <v>138</v>
      </c>
      <c r="BW24" s="15" t="s">
        <v>138</v>
      </c>
      <c r="BX24" s="15" t="s">
        <v>138</v>
      </c>
      <c r="BY24" s="15" t="s">
        <v>175</v>
      </c>
      <c r="BZ24" s="22">
        <v>43258</v>
      </c>
      <c r="CA24" s="17">
        <v>30</v>
      </c>
      <c r="CB24" s="15" t="s">
        <v>172</v>
      </c>
      <c r="CC24" s="17" t="s">
        <v>138</v>
      </c>
      <c r="CD24" s="15" t="s">
        <v>138</v>
      </c>
      <c r="CE24" s="15" t="s">
        <v>173</v>
      </c>
      <c r="CF24" s="15" t="s">
        <v>317</v>
      </c>
      <c r="CG24" s="15" t="s">
        <v>138</v>
      </c>
      <c r="CH24" s="15" t="s">
        <v>174</v>
      </c>
      <c r="CI24" s="15" t="s">
        <v>138</v>
      </c>
      <c r="CJ24" s="15" t="s">
        <v>138</v>
      </c>
      <c r="CK24" s="15" t="s">
        <v>138</v>
      </c>
      <c r="CL24" s="15" t="s">
        <v>175</v>
      </c>
      <c r="CM24" s="22" t="s">
        <v>138</v>
      </c>
      <c r="CN24" s="17" t="s">
        <v>138</v>
      </c>
      <c r="CO24" s="23">
        <v>0.39</v>
      </c>
      <c r="CP24" s="24">
        <v>94</v>
      </c>
      <c r="CQ24" s="23">
        <v>-0.01</v>
      </c>
      <c r="CR24" s="23">
        <v>-2.96</v>
      </c>
      <c r="CS24" s="23">
        <v>0.32</v>
      </c>
      <c r="CT24" s="24">
        <v>95</v>
      </c>
      <c r="CU24" s="23">
        <v>0.46</v>
      </c>
      <c r="CV24" s="24">
        <v>93</v>
      </c>
      <c r="CW24" s="23">
        <v>1.62</v>
      </c>
      <c r="CX24" s="24">
        <v>87</v>
      </c>
      <c r="CY24" s="23">
        <v>-0.98</v>
      </c>
      <c r="CZ24" s="24">
        <v>19</v>
      </c>
      <c r="DA24" s="23">
        <v>0.75</v>
      </c>
      <c r="DB24" s="24">
        <v>97</v>
      </c>
      <c r="DC24" s="25">
        <v>9.74</v>
      </c>
      <c r="DD24" s="24">
        <v>90</v>
      </c>
      <c r="DE24" s="25">
        <v>-0.14000000000000001</v>
      </c>
      <c r="DF24" s="23">
        <v>-1.45</v>
      </c>
      <c r="DG24" s="25">
        <v>17.03</v>
      </c>
      <c r="DH24" s="24">
        <v>94</v>
      </c>
      <c r="DI24" s="25">
        <v>2.4500000000000002</v>
      </c>
      <c r="DJ24" s="24">
        <v>66</v>
      </c>
      <c r="DK24" s="25">
        <v>3.96</v>
      </c>
      <c r="DL24" s="24">
        <v>76</v>
      </c>
      <c r="DM24" s="25">
        <v>30.1</v>
      </c>
      <c r="DN24" s="24">
        <v>96</v>
      </c>
      <c r="DO24" s="25">
        <v>3.35</v>
      </c>
      <c r="DP24" s="24">
        <v>73</v>
      </c>
      <c r="DQ24" s="24">
        <v>1300</v>
      </c>
      <c r="DR24" s="26">
        <v>173</v>
      </c>
      <c r="DS24" s="23">
        <v>15.35</v>
      </c>
      <c r="DT24" s="24">
        <v>874</v>
      </c>
      <c r="DU24" s="26">
        <v>-2</v>
      </c>
      <c r="DV24" s="23">
        <v>-0.23</v>
      </c>
      <c r="DW24" s="24">
        <v>1195</v>
      </c>
      <c r="DX24" s="27">
        <v>14</v>
      </c>
      <c r="DY24" s="23">
        <v>1.19</v>
      </c>
      <c r="DZ24" s="15" t="s">
        <v>178</v>
      </c>
      <c r="EA24" s="22">
        <v>43564</v>
      </c>
      <c r="EB24" s="17" t="s">
        <v>138</v>
      </c>
      <c r="EC24" s="22" t="s">
        <v>138</v>
      </c>
      <c r="ED24" s="15" t="s">
        <v>138</v>
      </c>
      <c r="EE24" s="14" t="str">
        <f>HYPERLINK("https://my.pitchbook.com?c=103794-13", "View company online")</f>
        <v>View company online</v>
      </c>
    </row>
    <row r="25" spans="1:135">
      <c r="A25" s="28" t="s">
        <v>746</v>
      </c>
      <c r="B25" s="28" t="s">
        <v>747</v>
      </c>
      <c r="C25" s="28" t="s">
        <v>138</v>
      </c>
      <c r="D25" s="28" t="s">
        <v>138</v>
      </c>
      <c r="E25" s="28" t="s">
        <v>138</v>
      </c>
      <c r="F25" s="28" t="s">
        <v>746</v>
      </c>
      <c r="G25" s="28" t="s">
        <v>748</v>
      </c>
      <c r="H25" s="28" t="s">
        <v>238</v>
      </c>
      <c r="I25" s="28" t="s">
        <v>749</v>
      </c>
      <c r="J25" s="28" t="s">
        <v>750</v>
      </c>
      <c r="K25" s="28" t="s">
        <v>751</v>
      </c>
      <c r="L25" s="28" t="s">
        <v>752</v>
      </c>
      <c r="M25" s="28" t="s">
        <v>753</v>
      </c>
      <c r="N25" s="28" t="s">
        <v>147</v>
      </c>
      <c r="O25" s="29" t="s">
        <v>138</v>
      </c>
      <c r="P25" s="28" t="s">
        <v>148</v>
      </c>
      <c r="Q25" s="28" t="s">
        <v>149</v>
      </c>
      <c r="R25" s="28" t="s">
        <v>174</v>
      </c>
      <c r="S25" s="28" t="s">
        <v>754</v>
      </c>
      <c r="T25" s="30" t="s">
        <v>138</v>
      </c>
      <c r="U25" s="28" t="s">
        <v>138</v>
      </c>
      <c r="V25" s="28" t="s">
        <v>138</v>
      </c>
      <c r="W25" s="28" t="s">
        <v>138</v>
      </c>
      <c r="X25" s="31" t="s">
        <v>138</v>
      </c>
      <c r="Y25" s="28" t="s">
        <v>138</v>
      </c>
      <c r="Z25" s="28" t="s">
        <v>138</v>
      </c>
      <c r="AA25" s="28" t="s">
        <v>138</v>
      </c>
      <c r="AB25" s="32" t="s">
        <v>138</v>
      </c>
      <c r="AC25" s="32" t="s">
        <v>138</v>
      </c>
      <c r="AD25" s="32" t="s">
        <v>138</v>
      </c>
      <c r="AE25" s="32" t="s">
        <v>138</v>
      </c>
      <c r="AF25" s="32" t="s">
        <v>138</v>
      </c>
      <c r="AG25" s="28" t="s">
        <v>138</v>
      </c>
      <c r="AH25" s="32" t="s">
        <v>138</v>
      </c>
      <c r="AI25" s="32" t="s">
        <v>138</v>
      </c>
      <c r="AJ25" s="32" t="s">
        <v>138</v>
      </c>
      <c r="AK25" s="28" t="s">
        <v>755</v>
      </c>
      <c r="AL25" s="28" t="s">
        <v>756</v>
      </c>
      <c r="AM25" s="28" t="s">
        <v>422</v>
      </c>
      <c r="AN25" s="28" t="s">
        <v>757</v>
      </c>
      <c r="AO25" s="28" t="s">
        <v>138</v>
      </c>
      <c r="AP25" s="28" t="s">
        <v>758</v>
      </c>
      <c r="AQ25" s="28" t="s">
        <v>138</v>
      </c>
      <c r="AR25" s="28" t="s">
        <v>138</v>
      </c>
      <c r="AS25" s="28" t="s">
        <v>759</v>
      </c>
      <c r="AT25" s="28" t="s">
        <v>760</v>
      </c>
      <c r="AU25" s="28" t="s">
        <v>138</v>
      </c>
      <c r="AV25" s="28" t="s">
        <v>162</v>
      </c>
      <c r="AW25" s="28" t="s">
        <v>138</v>
      </c>
      <c r="AX25" s="28" t="s">
        <v>138</v>
      </c>
      <c r="AY25" s="28" t="s">
        <v>761</v>
      </c>
      <c r="AZ25" s="28" t="s">
        <v>164</v>
      </c>
      <c r="BA25" s="28" t="s">
        <v>165</v>
      </c>
      <c r="BB25" s="28" t="s">
        <v>762</v>
      </c>
      <c r="BC25" s="28" t="s">
        <v>763</v>
      </c>
      <c r="BD25" s="33">
        <v>2</v>
      </c>
      <c r="BE25" s="28" t="s">
        <v>138</v>
      </c>
      <c r="BF25" s="28" t="s">
        <v>138</v>
      </c>
      <c r="BG25" s="28" t="s">
        <v>138</v>
      </c>
      <c r="BH25" s="28" t="s">
        <v>764</v>
      </c>
      <c r="BI25" s="28" t="s">
        <v>138</v>
      </c>
      <c r="BJ25" s="28" t="s">
        <v>138</v>
      </c>
      <c r="BK25" s="28" t="s">
        <v>138</v>
      </c>
      <c r="BL25" s="28" t="s">
        <v>765</v>
      </c>
      <c r="BM25" s="34" t="s">
        <v>138</v>
      </c>
      <c r="BN25" s="29" t="s">
        <v>138</v>
      </c>
      <c r="BO25" s="28" t="s">
        <v>138</v>
      </c>
      <c r="BP25" s="29" t="s">
        <v>138</v>
      </c>
      <c r="BQ25" s="28" t="s">
        <v>138</v>
      </c>
      <c r="BR25" s="28" t="s">
        <v>316</v>
      </c>
      <c r="BS25" s="28" t="s">
        <v>138</v>
      </c>
      <c r="BT25" s="28" t="s">
        <v>138</v>
      </c>
      <c r="BU25" s="28" t="s">
        <v>177</v>
      </c>
      <c r="BV25" s="28" t="s">
        <v>138</v>
      </c>
      <c r="BW25" s="28" t="s">
        <v>138</v>
      </c>
      <c r="BX25" s="28" t="s">
        <v>138</v>
      </c>
      <c r="BY25" s="28" t="s">
        <v>175</v>
      </c>
      <c r="BZ25" s="34">
        <v>43314</v>
      </c>
      <c r="CA25" s="29" t="s">
        <v>138</v>
      </c>
      <c r="CB25" s="28" t="s">
        <v>138</v>
      </c>
      <c r="CC25" s="29" t="s">
        <v>138</v>
      </c>
      <c r="CD25" s="28" t="s">
        <v>138</v>
      </c>
      <c r="CE25" s="28" t="s">
        <v>205</v>
      </c>
      <c r="CF25" s="28" t="s">
        <v>720</v>
      </c>
      <c r="CG25" s="28" t="s">
        <v>138</v>
      </c>
      <c r="CH25" s="28" t="s">
        <v>174</v>
      </c>
      <c r="CI25" s="28" t="s">
        <v>138</v>
      </c>
      <c r="CJ25" s="28" t="s">
        <v>138</v>
      </c>
      <c r="CK25" s="28" t="s">
        <v>138</v>
      </c>
      <c r="CL25" s="28" t="s">
        <v>175</v>
      </c>
      <c r="CM25" s="34" t="s">
        <v>138</v>
      </c>
      <c r="CN25" s="29" t="s">
        <v>138</v>
      </c>
      <c r="CO25" s="35">
        <v>0</v>
      </c>
      <c r="CP25" s="36">
        <v>26</v>
      </c>
      <c r="CQ25" s="35">
        <v>0</v>
      </c>
      <c r="CR25" s="35">
        <v>0</v>
      </c>
      <c r="CS25" s="35">
        <v>0</v>
      </c>
      <c r="CT25" s="36">
        <v>23</v>
      </c>
      <c r="CU25" s="35" t="s">
        <v>138</v>
      </c>
      <c r="CV25" s="36" t="s">
        <v>138</v>
      </c>
      <c r="CW25" s="35" t="s">
        <v>138</v>
      </c>
      <c r="CX25" s="36" t="s">
        <v>138</v>
      </c>
      <c r="CY25" s="35">
        <v>0</v>
      </c>
      <c r="CZ25" s="36">
        <v>25</v>
      </c>
      <c r="DA25" s="35" t="s">
        <v>138</v>
      </c>
      <c r="DB25" s="36" t="s">
        <v>138</v>
      </c>
      <c r="DC25" s="37">
        <v>0.31</v>
      </c>
      <c r="DD25" s="36">
        <v>23</v>
      </c>
      <c r="DE25" s="37">
        <v>0.13</v>
      </c>
      <c r="DF25" s="35">
        <v>68.34</v>
      </c>
      <c r="DG25" s="37">
        <v>0.31</v>
      </c>
      <c r="DH25" s="36">
        <v>23</v>
      </c>
      <c r="DI25" s="37" t="s">
        <v>138</v>
      </c>
      <c r="DJ25" s="36" t="s">
        <v>138</v>
      </c>
      <c r="DK25" s="37" t="s">
        <v>138</v>
      </c>
      <c r="DL25" s="36" t="s">
        <v>138</v>
      </c>
      <c r="DM25" s="37">
        <v>0.31</v>
      </c>
      <c r="DN25" s="36">
        <v>24</v>
      </c>
      <c r="DO25" s="37" t="s">
        <v>138</v>
      </c>
      <c r="DP25" s="36" t="s">
        <v>138</v>
      </c>
      <c r="DQ25" s="36">
        <v>148</v>
      </c>
      <c r="DR25" s="38">
        <v>12</v>
      </c>
      <c r="DS25" s="35">
        <v>8.82</v>
      </c>
      <c r="DT25" s="36">
        <v>9</v>
      </c>
      <c r="DU25" s="38">
        <v>1</v>
      </c>
      <c r="DV25" s="35">
        <v>12.5</v>
      </c>
      <c r="DW25" s="36" t="s">
        <v>138</v>
      </c>
      <c r="DX25" s="39" t="s">
        <v>138</v>
      </c>
      <c r="DY25" s="35" t="s">
        <v>138</v>
      </c>
      <c r="DZ25" s="28" t="s">
        <v>178</v>
      </c>
      <c r="EA25" s="34">
        <v>43482</v>
      </c>
      <c r="EB25" s="29" t="s">
        <v>138</v>
      </c>
      <c r="EC25" s="34" t="s">
        <v>138</v>
      </c>
      <c r="ED25" s="28" t="s">
        <v>138</v>
      </c>
      <c r="EE25" s="40" t="str">
        <f>HYPERLINK("https://my.pitchbook.com?c=232740-37", "View company online")</f>
        <v>View company online</v>
      </c>
    </row>
    <row r="26" spans="1:135">
      <c r="A26" s="15" t="s">
        <v>766</v>
      </c>
      <c r="B26" s="15" t="s">
        <v>767</v>
      </c>
      <c r="C26" s="15" t="s">
        <v>138</v>
      </c>
      <c r="D26" s="15" t="s">
        <v>138</v>
      </c>
      <c r="E26" s="15" t="s">
        <v>768</v>
      </c>
      <c r="F26" s="15" t="s">
        <v>766</v>
      </c>
      <c r="G26" s="15" t="s">
        <v>769</v>
      </c>
      <c r="H26" s="15" t="s">
        <v>322</v>
      </c>
      <c r="I26" s="15" t="s">
        <v>323</v>
      </c>
      <c r="J26" s="15" t="s">
        <v>539</v>
      </c>
      <c r="K26" s="15" t="s">
        <v>540</v>
      </c>
      <c r="L26" s="15" t="s">
        <v>415</v>
      </c>
      <c r="M26" s="15" t="s">
        <v>770</v>
      </c>
      <c r="N26" s="15" t="s">
        <v>147</v>
      </c>
      <c r="O26" s="17">
        <v>28.2</v>
      </c>
      <c r="P26" s="15" t="s">
        <v>148</v>
      </c>
      <c r="Q26" s="15" t="s">
        <v>149</v>
      </c>
      <c r="R26" s="15" t="s">
        <v>174</v>
      </c>
      <c r="S26" s="15" t="s">
        <v>771</v>
      </c>
      <c r="T26" s="18" t="s">
        <v>138</v>
      </c>
      <c r="U26" s="15" t="s">
        <v>138</v>
      </c>
      <c r="V26" s="15" t="s">
        <v>138</v>
      </c>
      <c r="W26" s="15" t="s">
        <v>138</v>
      </c>
      <c r="X26" s="19">
        <v>2006</v>
      </c>
      <c r="Y26" s="15" t="s">
        <v>138</v>
      </c>
      <c r="Z26" s="15" t="s">
        <v>138</v>
      </c>
      <c r="AA26" s="15" t="s">
        <v>138</v>
      </c>
      <c r="AB26" s="20" t="s">
        <v>138</v>
      </c>
      <c r="AC26" s="20" t="s">
        <v>138</v>
      </c>
      <c r="AD26" s="20" t="s">
        <v>138</v>
      </c>
      <c r="AE26" s="20" t="s">
        <v>138</v>
      </c>
      <c r="AF26" s="20" t="s">
        <v>138</v>
      </c>
      <c r="AG26" s="15" t="s">
        <v>138</v>
      </c>
      <c r="AH26" s="20" t="s">
        <v>138</v>
      </c>
      <c r="AI26" s="20" t="s">
        <v>138</v>
      </c>
      <c r="AJ26" s="20" t="s">
        <v>138</v>
      </c>
      <c r="AK26" s="15" t="s">
        <v>772</v>
      </c>
      <c r="AL26" s="15" t="s">
        <v>773</v>
      </c>
      <c r="AM26" s="15" t="s">
        <v>774</v>
      </c>
      <c r="AN26" s="15" t="s">
        <v>775</v>
      </c>
      <c r="AO26" s="15" t="s">
        <v>776</v>
      </c>
      <c r="AP26" s="15" t="s">
        <v>450</v>
      </c>
      <c r="AQ26" s="15" t="s">
        <v>138</v>
      </c>
      <c r="AR26" s="15" t="s">
        <v>138</v>
      </c>
      <c r="AS26" s="15" t="s">
        <v>138</v>
      </c>
      <c r="AT26" s="15" t="s">
        <v>138</v>
      </c>
      <c r="AU26" s="15" t="s">
        <v>138</v>
      </c>
      <c r="AV26" s="15" t="s">
        <v>450</v>
      </c>
      <c r="AW26" s="15" t="s">
        <v>776</v>
      </c>
      <c r="AX26" s="15" t="s">
        <v>138</v>
      </c>
      <c r="AY26" s="15" t="s">
        <v>138</v>
      </c>
      <c r="AZ26" s="15" t="s">
        <v>452</v>
      </c>
      <c r="BA26" s="15" t="s">
        <v>453</v>
      </c>
      <c r="BB26" s="15" t="s">
        <v>777</v>
      </c>
      <c r="BC26" s="15" t="s">
        <v>778</v>
      </c>
      <c r="BD26" s="21">
        <v>6</v>
      </c>
      <c r="BE26" s="15" t="s">
        <v>138</v>
      </c>
      <c r="BF26" s="15" t="s">
        <v>138</v>
      </c>
      <c r="BG26" s="15" t="s">
        <v>138</v>
      </c>
      <c r="BH26" s="15" t="s">
        <v>779</v>
      </c>
      <c r="BI26" s="15" t="s">
        <v>138</v>
      </c>
      <c r="BJ26" s="15" t="s">
        <v>138</v>
      </c>
      <c r="BK26" s="15" t="s">
        <v>138</v>
      </c>
      <c r="BL26" s="15" t="s">
        <v>138</v>
      </c>
      <c r="BM26" s="22">
        <v>41850</v>
      </c>
      <c r="BN26" s="17">
        <v>3.2</v>
      </c>
      <c r="BO26" s="15" t="s">
        <v>172</v>
      </c>
      <c r="BP26" s="17" t="s">
        <v>138</v>
      </c>
      <c r="BQ26" s="15" t="s">
        <v>138</v>
      </c>
      <c r="BR26" s="15" t="s">
        <v>173</v>
      </c>
      <c r="BS26" s="15" t="s">
        <v>138</v>
      </c>
      <c r="BT26" s="15" t="s">
        <v>138</v>
      </c>
      <c r="BU26" s="15" t="s">
        <v>174</v>
      </c>
      <c r="BV26" s="15" t="s">
        <v>138</v>
      </c>
      <c r="BW26" s="15" t="s">
        <v>138</v>
      </c>
      <c r="BX26" s="15" t="s">
        <v>138</v>
      </c>
      <c r="BY26" s="15" t="s">
        <v>175</v>
      </c>
      <c r="BZ26" s="22">
        <v>43153</v>
      </c>
      <c r="CA26" s="17">
        <v>15</v>
      </c>
      <c r="CB26" s="15" t="s">
        <v>172</v>
      </c>
      <c r="CC26" s="17" t="s">
        <v>138</v>
      </c>
      <c r="CD26" s="15" t="s">
        <v>138</v>
      </c>
      <c r="CE26" s="15" t="s">
        <v>780</v>
      </c>
      <c r="CF26" s="15" t="s">
        <v>780</v>
      </c>
      <c r="CG26" s="15" t="s">
        <v>138</v>
      </c>
      <c r="CH26" s="15" t="s">
        <v>780</v>
      </c>
      <c r="CI26" s="15" t="s">
        <v>138</v>
      </c>
      <c r="CJ26" s="15" t="s">
        <v>138</v>
      </c>
      <c r="CK26" s="15" t="s">
        <v>138</v>
      </c>
      <c r="CL26" s="15" t="s">
        <v>175</v>
      </c>
      <c r="CM26" s="22" t="s">
        <v>138</v>
      </c>
      <c r="CN26" s="17" t="s">
        <v>138</v>
      </c>
      <c r="CO26" s="23">
        <v>-1.1000000000000001</v>
      </c>
      <c r="CP26" s="24">
        <v>10</v>
      </c>
      <c r="CQ26" s="23">
        <v>0.03</v>
      </c>
      <c r="CR26" s="23">
        <v>2.96</v>
      </c>
      <c r="CS26" s="23">
        <v>-1.1000000000000001</v>
      </c>
      <c r="CT26" s="24">
        <v>14</v>
      </c>
      <c r="CU26" s="23" t="s">
        <v>138</v>
      </c>
      <c r="CV26" s="24" t="s">
        <v>138</v>
      </c>
      <c r="CW26" s="23">
        <v>0.13</v>
      </c>
      <c r="CX26" s="24">
        <v>81</v>
      </c>
      <c r="CY26" s="23">
        <v>-2.3199999999999998</v>
      </c>
      <c r="CZ26" s="24">
        <v>9</v>
      </c>
      <c r="DA26" s="23" t="s">
        <v>138</v>
      </c>
      <c r="DB26" s="24" t="s">
        <v>138</v>
      </c>
      <c r="DC26" s="25">
        <v>320.86</v>
      </c>
      <c r="DD26" s="24">
        <v>100</v>
      </c>
      <c r="DE26" s="25">
        <v>-11.76</v>
      </c>
      <c r="DF26" s="23">
        <v>-3.54</v>
      </c>
      <c r="DG26" s="25">
        <v>320.86</v>
      </c>
      <c r="DH26" s="24">
        <v>100</v>
      </c>
      <c r="DI26" s="25" t="s">
        <v>138</v>
      </c>
      <c r="DJ26" s="24" t="s">
        <v>138</v>
      </c>
      <c r="DK26" s="25">
        <v>179.3</v>
      </c>
      <c r="DL26" s="24">
        <v>99</v>
      </c>
      <c r="DM26" s="25">
        <v>462.41</v>
      </c>
      <c r="DN26" s="24">
        <v>100</v>
      </c>
      <c r="DO26" s="25" t="s">
        <v>138</v>
      </c>
      <c r="DP26" s="24" t="s">
        <v>138</v>
      </c>
      <c r="DQ26" s="24">
        <v>61403</v>
      </c>
      <c r="DR26" s="26">
        <v>287</v>
      </c>
      <c r="DS26" s="23">
        <v>0.47</v>
      </c>
      <c r="DT26" s="24">
        <v>13416</v>
      </c>
      <c r="DU26" s="26">
        <v>15</v>
      </c>
      <c r="DV26" s="23">
        <v>0.11</v>
      </c>
      <c r="DW26" s="24" t="s">
        <v>138</v>
      </c>
      <c r="DX26" s="27" t="s">
        <v>138</v>
      </c>
      <c r="DY26" s="23" t="s">
        <v>138</v>
      </c>
      <c r="DZ26" s="15" t="s">
        <v>178</v>
      </c>
      <c r="EA26" s="22">
        <v>43351</v>
      </c>
      <c r="EB26" s="17" t="s">
        <v>138</v>
      </c>
      <c r="EC26" s="22" t="s">
        <v>138</v>
      </c>
      <c r="ED26" s="15" t="s">
        <v>138</v>
      </c>
      <c r="EE26" s="14" t="str">
        <f>HYPERLINK("https://my.pitchbook.com?c=166307-59", "View company online")</f>
        <v>View company online</v>
      </c>
    </row>
    <row r="27" spans="1:135">
      <c r="A27" s="28" t="s">
        <v>781</v>
      </c>
      <c r="B27" s="28" t="s">
        <v>782</v>
      </c>
      <c r="C27" s="28" t="s">
        <v>138</v>
      </c>
      <c r="D27" s="28" t="s">
        <v>138</v>
      </c>
      <c r="E27" s="28" t="s">
        <v>783</v>
      </c>
      <c r="F27" s="28" t="s">
        <v>781</v>
      </c>
      <c r="G27" s="28" t="s">
        <v>784</v>
      </c>
      <c r="H27" s="28" t="s">
        <v>238</v>
      </c>
      <c r="I27" s="28" t="s">
        <v>785</v>
      </c>
      <c r="J27" s="28" t="s">
        <v>786</v>
      </c>
      <c r="K27" s="28" t="s">
        <v>787</v>
      </c>
      <c r="L27" s="28" t="s">
        <v>788</v>
      </c>
      <c r="M27" s="28" t="s">
        <v>789</v>
      </c>
      <c r="N27" s="28" t="s">
        <v>147</v>
      </c>
      <c r="O27" s="29">
        <v>63.32</v>
      </c>
      <c r="P27" s="28" t="s">
        <v>148</v>
      </c>
      <c r="Q27" s="28" t="s">
        <v>149</v>
      </c>
      <c r="R27" s="28" t="s">
        <v>174</v>
      </c>
      <c r="S27" s="28" t="s">
        <v>790</v>
      </c>
      <c r="T27" s="30">
        <v>687</v>
      </c>
      <c r="U27" s="28" t="s">
        <v>791</v>
      </c>
      <c r="V27" s="28" t="s">
        <v>138</v>
      </c>
      <c r="W27" s="28" t="s">
        <v>138</v>
      </c>
      <c r="X27" s="31">
        <v>2005</v>
      </c>
      <c r="Y27" s="28" t="s">
        <v>138</v>
      </c>
      <c r="Z27" s="28" t="s">
        <v>138</v>
      </c>
      <c r="AA27" s="28" t="s">
        <v>138</v>
      </c>
      <c r="AB27" s="32">
        <v>250</v>
      </c>
      <c r="AC27" s="32" t="s">
        <v>138</v>
      </c>
      <c r="AD27" s="32" t="s">
        <v>138</v>
      </c>
      <c r="AE27" s="32" t="s">
        <v>138</v>
      </c>
      <c r="AF27" s="32" t="s">
        <v>138</v>
      </c>
      <c r="AG27" s="28" t="s">
        <v>514</v>
      </c>
      <c r="AH27" s="32" t="s">
        <v>138</v>
      </c>
      <c r="AI27" s="32" t="s">
        <v>138</v>
      </c>
      <c r="AJ27" s="32" t="s">
        <v>138</v>
      </c>
      <c r="AK27" s="28" t="s">
        <v>792</v>
      </c>
      <c r="AL27" s="28" t="s">
        <v>793</v>
      </c>
      <c r="AM27" s="28" t="s">
        <v>794</v>
      </c>
      <c r="AN27" s="28" t="s">
        <v>795</v>
      </c>
      <c r="AO27" s="28" t="s">
        <v>796</v>
      </c>
      <c r="AP27" s="28" t="s">
        <v>307</v>
      </c>
      <c r="AQ27" s="28" t="s">
        <v>797</v>
      </c>
      <c r="AR27" s="28" t="s">
        <v>138</v>
      </c>
      <c r="AS27" s="28" t="s">
        <v>310</v>
      </c>
      <c r="AT27" s="28" t="s">
        <v>200</v>
      </c>
      <c r="AU27" s="28" t="s">
        <v>798</v>
      </c>
      <c r="AV27" s="28" t="s">
        <v>162</v>
      </c>
      <c r="AW27" s="28" t="s">
        <v>796</v>
      </c>
      <c r="AX27" s="28" t="s">
        <v>799</v>
      </c>
      <c r="AY27" s="28" t="s">
        <v>138</v>
      </c>
      <c r="AZ27" s="28" t="s">
        <v>164</v>
      </c>
      <c r="BA27" s="28" t="s">
        <v>165</v>
      </c>
      <c r="BB27" s="28" t="s">
        <v>800</v>
      </c>
      <c r="BC27" s="28" t="s">
        <v>801</v>
      </c>
      <c r="BD27" s="33">
        <v>8</v>
      </c>
      <c r="BE27" s="28" t="s">
        <v>138</v>
      </c>
      <c r="BF27" s="28" t="s">
        <v>138</v>
      </c>
      <c r="BG27" s="28" t="s">
        <v>138</v>
      </c>
      <c r="BH27" s="28" t="s">
        <v>802</v>
      </c>
      <c r="BI27" s="28" t="s">
        <v>138</v>
      </c>
      <c r="BJ27" s="28" t="s">
        <v>138</v>
      </c>
      <c r="BK27" s="28" t="s">
        <v>204</v>
      </c>
      <c r="BL27" s="28" t="s">
        <v>204</v>
      </c>
      <c r="BM27" s="34">
        <v>38551</v>
      </c>
      <c r="BN27" s="29">
        <v>16.91</v>
      </c>
      <c r="BO27" s="28" t="s">
        <v>172</v>
      </c>
      <c r="BP27" s="29">
        <v>60.13</v>
      </c>
      <c r="BQ27" s="28" t="s">
        <v>172</v>
      </c>
      <c r="BR27" s="28" t="s">
        <v>173</v>
      </c>
      <c r="BS27" s="28" t="s">
        <v>206</v>
      </c>
      <c r="BT27" s="28" t="s">
        <v>138</v>
      </c>
      <c r="BU27" s="28" t="s">
        <v>174</v>
      </c>
      <c r="BV27" s="28" t="s">
        <v>138</v>
      </c>
      <c r="BW27" s="28" t="s">
        <v>138</v>
      </c>
      <c r="BX27" s="28" t="s">
        <v>138</v>
      </c>
      <c r="BY27" s="28" t="s">
        <v>175</v>
      </c>
      <c r="BZ27" s="34">
        <v>39826</v>
      </c>
      <c r="CA27" s="29">
        <v>23.37</v>
      </c>
      <c r="CB27" s="28" t="s">
        <v>172</v>
      </c>
      <c r="CC27" s="29">
        <v>161.66999999999999</v>
      </c>
      <c r="CD27" s="28" t="s">
        <v>172</v>
      </c>
      <c r="CE27" s="28" t="s">
        <v>173</v>
      </c>
      <c r="CF27" s="28" t="s">
        <v>317</v>
      </c>
      <c r="CG27" s="28" t="s">
        <v>138</v>
      </c>
      <c r="CH27" s="28" t="s">
        <v>174</v>
      </c>
      <c r="CI27" s="28" t="s">
        <v>138</v>
      </c>
      <c r="CJ27" s="28" t="s">
        <v>138</v>
      </c>
      <c r="CK27" s="28" t="s">
        <v>138</v>
      </c>
      <c r="CL27" s="28" t="s">
        <v>175</v>
      </c>
      <c r="CM27" s="34" t="s">
        <v>138</v>
      </c>
      <c r="CN27" s="29" t="s">
        <v>138</v>
      </c>
      <c r="CO27" s="35">
        <v>1.87</v>
      </c>
      <c r="CP27" s="36">
        <v>99</v>
      </c>
      <c r="CQ27" s="35">
        <v>-0.45</v>
      </c>
      <c r="CR27" s="35">
        <v>-19.350000000000001</v>
      </c>
      <c r="CS27" s="35">
        <v>-1.76</v>
      </c>
      <c r="CT27" s="36">
        <v>10</v>
      </c>
      <c r="CU27" s="35">
        <v>0.05</v>
      </c>
      <c r="CV27" s="36">
        <v>58</v>
      </c>
      <c r="CW27" s="35">
        <v>-2.2999999999999998</v>
      </c>
      <c r="CX27" s="36">
        <v>7</v>
      </c>
      <c r="CY27" s="35">
        <v>-1.23</v>
      </c>
      <c r="CZ27" s="36">
        <v>17</v>
      </c>
      <c r="DA27" s="35">
        <v>0.06</v>
      </c>
      <c r="DB27" s="36">
        <v>65</v>
      </c>
      <c r="DC27" s="37">
        <v>1333.7</v>
      </c>
      <c r="DD27" s="36">
        <v>100</v>
      </c>
      <c r="DE27" s="37">
        <v>-111.25</v>
      </c>
      <c r="DF27" s="35">
        <v>-7.7</v>
      </c>
      <c r="DG27" s="37">
        <v>3755.8</v>
      </c>
      <c r="DH27" s="36">
        <v>100</v>
      </c>
      <c r="DI27" s="37">
        <v>172.17</v>
      </c>
      <c r="DJ27" s="36">
        <v>98</v>
      </c>
      <c r="DK27" s="37">
        <v>5312.14</v>
      </c>
      <c r="DL27" s="36">
        <v>100</v>
      </c>
      <c r="DM27" s="37">
        <v>2199.4499999999998</v>
      </c>
      <c r="DN27" s="36">
        <v>100</v>
      </c>
      <c r="DO27" s="37">
        <v>165.14</v>
      </c>
      <c r="DP27" s="36">
        <v>99</v>
      </c>
      <c r="DQ27" s="36">
        <v>1862234</v>
      </c>
      <c r="DR27" s="38">
        <v>-120508</v>
      </c>
      <c r="DS27" s="35">
        <v>-6.08</v>
      </c>
      <c r="DT27" s="36">
        <v>63754</v>
      </c>
      <c r="DU27" s="38">
        <v>54</v>
      </c>
      <c r="DV27" s="35">
        <v>0.08</v>
      </c>
      <c r="DW27" s="36">
        <v>59111</v>
      </c>
      <c r="DX27" s="39">
        <v>41</v>
      </c>
      <c r="DY27" s="35">
        <v>7.0000000000000007E-2</v>
      </c>
      <c r="DZ27" s="28" t="s">
        <v>178</v>
      </c>
      <c r="EA27" s="34">
        <v>43622</v>
      </c>
      <c r="EB27" s="29">
        <v>161.66999999999999</v>
      </c>
      <c r="EC27" s="34">
        <v>39826</v>
      </c>
      <c r="ED27" s="28" t="s">
        <v>173</v>
      </c>
      <c r="EE27" s="40" t="str">
        <f>HYPERLINK("https://my.pitchbook.com?c=42212-98", "View company online")</f>
        <v>View company online</v>
      </c>
    </row>
    <row r="28" spans="1:135">
      <c r="A28" s="15" t="s">
        <v>803</v>
      </c>
      <c r="B28" s="15" t="s">
        <v>804</v>
      </c>
      <c r="C28" s="15" t="s">
        <v>138</v>
      </c>
      <c r="D28" s="15" t="s">
        <v>138</v>
      </c>
      <c r="E28" s="15" t="s">
        <v>805</v>
      </c>
      <c r="F28" s="15" t="s">
        <v>803</v>
      </c>
      <c r="G28" s="15" t="s">
        <v>806</v>
      </c>
      <c r="H28" s="15" t="s">
        <v>322</v>
      </c>
      <c r="I28" s="15" t="s">
        <v>807</v>
      </c>
      <c r="J28" s="15" t="s">
        <v>808</v>
      </c>
      <c r="K28" s="15" t="s">
        <v>809</v>
      </c>
      <c r="L28" s="15" t="s">
        <v>810</v>
      </c>
      <c r="M28" s="15" t="s">
        <v>811</v>
      </c>
      <c r="N28" s="15" t="s">
        <v>147</v>
      </c>
      <c r="O28" s="17">
        <v>3.75</v>
      </c>
      <c r="P28" s="15" t="s">
        <v>812</v>
      </c>
      <c r="Q28" s="15" t="s">
        <v>149</v>
      </c>
      <c r="R28" s="15" t="s">
        <v>174</v>
      </c>
      <c r="S28" s="15" t="s">
        <v>813</v>
      </c>
      <c r="T28" s="18">
        <v>50</v>
      </c>
      <c r="U28" s="15" t="s">
        <v>814</v>
      </c>
      <c r="V28" s="15" t="s">
        <v>138</v>
      </c>
      <c r="W28" s="15" t="s">
        <v>138</v>
      </c>
      <c r="X28" s="19">
        <v>2011</v>
      </c>
      <c r="Y28" s="15" t="s">
        <v>138</v>
      </c>
      <c r="Z28" s="15" t="s">
        <v>138</v>
      </c>
      <c r="AA28" s="15" t="s">
        <v>138</v>
      </c>
      <c r="AB28" s="20">
        <v>5</v>
      </c>
      <c r="AC28" s="20">
        <v>3.22</v>
      </c>
      <c r="AD28" s="20">
        <v>0.01</v>
      </c>
      <c r="AE28" s="20" t="s">
        <v>138</v>
      </c>
      <c r="AF28" s="20">
        <v>-0.08</v>
      </c>
      <c r="AG28" s="15" t="s">
        <v>815</v>
      </c>
      <c r="AH28" s="20" t="s">
        <v>138</v>
      </c>
      <c r="AI28" s="20" t="s">
        <v>138</v>
      </c>
      <c r="AJ28" s="20" t="s">
        <v>138</v>
      </c>
      <c r="AK28" s="15" t="s">
        <v>816</v>
      </c>
      <c r="AL28" s="15" t="s">
        <v>817</v>
      </c>
      <c r="AM28" s="15" t="s">
        <v>818</v>
      </c>
      <c r="AN28" s="15" t="s">
        <v>819</v>
      </c>
      <c r="AO28" s="15" t="s">
        <v>138</v>
      </c>
      <c r="AP28" s="15" t="s">
        <v>820</v>
      </c>
      <c r="AQ28" s="15" t="s">
        <v>821</v>
      </c>
      <c r="AR28" s="15" t="s">
        <v>822</v>
      </c>
      <c r="AS28" s="15" t="s">
        <v>823</v>
      </c>
      <c r="AT28" s="15" t="s">
        <v>824</v>
      </c>
      <c r="AU28" s="15" t="s">
        <v>825</v>
      </c>
      <c r="AV28" s="15" t="s">
        <v>526</v>
      </c>
      <c r="AW28" s="15" t="s">
        <v>138</v>
      </c>
      <c r="AX28" s="15" t="s">
        <v>138</v>
      </c>
      <c r="AY28" s="15" t="s">
        <v>826</v>
      </c>
      <c r="AZ28" s="15" t="s">
        <v>530</v>
      </c>
      <c r="BA28" s="15" t="s">
        <v>531</v>
      </c>
      <c r="BB28" s="15" t="s">
        <v>827</v>
      </c>
      <c r="BC28" s="15" t="s">
        <v>828</v>
      </c>
      <c r="BD28" s="21">
        <v>5</v>
      </c>
      <c r="BE28" s="15" t="s">
        <v>138</v>
      </c>
      <c r="BF28" s="15" t="s">
        <v>138</v>
      </c>
      <c r="BG28" s="15" t="s">
        <v>138</v>
      </c>
      <c r="BH28" s="15" t="s">
        <v>829</v>
      </c>
      <c r="BI28" s="15" t="s">
        <v>138</v>
      </c>
      <c r="BJ28" s="15" t="s">
        <v>138</v>
      </c>
      <c r="BK28" s="15" t="s">
        <v>138</v>
      </c>
      <c r="BL28" s="15" t="s">
        <v>138</v>
      </c>
      <c r="BM28" s="22">
        <v>41214</v>
      </c>
      <c r="BN28" s="17" t="s">
        <v>138</v>
      </c>
      <c r="BO28" s="15" t="s">
        <v>138</v>
      </c>
      <c r="BP28" s="17" t="s">
        <v>138</v>
      </c>
      <c r="BQ28" s="15" t="s">
        <v>138</v>
      </c>
      <c r="BR28" s="15" t="s">
        <v>205</v>
      </c>
      <c r="BS28" s="15" t="s">
        <v>138</v>
      </c>
      <c r="BT28" s="15" t="s">
        <v>138</v>
      </c>
      <c r="BU28" s="15" t="s">
        <v>174</v>
      </c>
      <c r="BV28" s="15" t="s">
        <v>138</v>
      </c>
      <c r="BW28" s="15" t="s">
        <v>138</v>
      </c>
      <c r="BX28" s="15" t="s">
        <v>138</v>
      </c>
      <c r="BY28" s="15" t="s">
        <v>175</v>
      </c>
      <c r="BZ28" s="22">
        <v>42789</v>
      </c>
      <c r="CA28" s="17">
        <v>3.75</v>
      </c>
      <c r="CB28" s="15" t="s">
        <v>172</v>
      </c>
      <c r="CC28" s="17" t="s">
        <v>138</v>
      </c>
      <c r="CD28" s="15" t="s">
        <v>138</v>
      </c>
      <c r="CE28" s="15" t="s">
        <v>205</v>
      </c>
      <c r="CF28" s="15" t="s">
        <v>206</v>
      </c>
      <c r="CG28" s="15" t="s">
        <v>138</v>
      </c>
      <c r="CH28" s="15" t="s">
        <v>174</v>
      </c>
      <c r="CI28" s="15" t="s">
        <v>138</v>
      </c>
      <c r="CJ28" s="15" t="s">
        <v>138</v>
      </c>
      <c r="CK28" s="15" t="s">
        <v>138</v>
      </c>
      <c r="CL28" s="15" t="s">
        <v>175</v>
      </c>
      <c r="CM28" s="22" t="s">
        <v>138</v>
      </c>
      <c r="CN28" s="17" t="s">
        <v>138</v>
      </c>
      <c r="CO28" s="23">
        <v>1.81</v>
      </c>
      <c r="CP28" s="24">
        <v>99</v>
      </c>
      <c r="CQ28" s="23">
        <v>0.02</v>
      </c>
      <c r="CR28" s="23">
        <v>0.86</v>
      </c>
      <c r="CS28" s="23">
        <v>5.13</v>
      </c>
      <c r="CT28" s="24">
        <v>100</v>
      </c>
      <c r="CU28" s="23">
        <v>0.3</v>
      </c>
      <c r="CV28" s="24">
        <v>87</v>
      </c>
      <c r="CW28" s="23">
        <v>10.3</v>
      </c>
      <c r="CX28" s="24">
        <v>100</v>
      </c>
      <c r="CY28" s="23">
        <v>-0.03</v>
      </c>
      <c r="CZ28" s="24">
        <v>24</v>
      </c>
      <c r="DA28" s="23">
        <v>0.3</v>
      </c>
      <c r="DB28" s="24">
        <v>88</v>
      </c>
      <c r="DC28" s="25">
        <v>12.85</v>
      </c>
      <c r="DD28" s="24">
        <v>92</v>
      </c>
      <c r="DE28" s="25">
        <v>-0.2</v>
      </c>
      <c r="DF28" s="23">
        <v>-1.54</v>
      </c>
      <c r="DG28" s="25">
        <v>21.74</v>
      </c>
      <c r="DH28" s="24">
        <v>95</v>
      </c>
      <c r="DI28" s="25">
        <v>14.06</v>
      </c>
      <c r="DJ28" s="24">
        <v>88</v>
      </c>
      <c r="DK28" s="25">
        <v>14.11</v>
      </c>
      <c r="DL28" s="24">
        <v>89</v>
      </c>
      <c r="DM28" s="25">
        <v>29.38</v>
      </c>
      <c r="DN28" s="24">
        <v>96</v>
      </c>
      <c r="DO28" s="25">
        <v>14.06</v>
      </c>
      <c r="DP28" s="24">
        <v>90</v>
      </c>
      <c r="DQ28" s="24">
        <v>4681</v>
      </c>
      <c r="DR28" s="26">
        <v>474</v>
      </c>
      <c r="DS28" s="23">
        <v>11.27</v>
      </c>
      <c r="DT28" s="24">
        <v>849</v>
      </c>
      <c r="DU28" s="26">
        <v>5</v>
      </c>
      <c r="DV28" s="23">
        <v>0.59</v>
      </c>
      <c r="DW28" s="24">
        <v>5034</v>
      </c>
      <c r="DX28" s="27">
        <v>3</v>
      </c>
      <c r="DY28" s="23">
        <v>0.06</v>
      </c>
      <c r="DZ28" s="15" t="s">
        <v>178</v>
      </c>
      <c r="EA28" s="22">
        <v>43567</v>
      </c>
      <c r="EB28" s="17" t="s">
        <v>138</v>
      </c>
      <c r="EC28" s="22" t="s">
        <v>138</v>
      </c>
      <c r="ED28" s="15" t="s">
        <v>138</v>
      </c>
      <c r="EE28" s="14" t="str">
        <f>HYPERLINK("https://my.pitchbook.com?c=57243-79", "View company online")</f>
        <v>View company online</v>
      </c>
    </row>
    <row r="29" spans="1:135">
      <c r="A29" s="28" t="s">
        <v>830</v>
      </c>
      <c r="B29" s="28" t="s">
        <v>831</v>
      </c>
      <c r="C29" s="28" t="s">
        <v>138</v>
      </c>
      <c r="D29" s="28" t="s">
        <v>138</v>
      </c>
      <c r="E29" s="28" t="s">
        <v>832</v>
      </c>
      <c r="F29" s="28" t="s">
        <v>830</v>
      </c>
      <c r="G29" s="28" t="s">
        <v>833</v>
      </c>
      <c r="H29" s="28" t="s">
        <v>322</v>
      </c>
      <c r="I29" s="28" t="s">
        <v>323</v>
      </c>
      <c r="J29" s="28" t="s">
        <v>324</v>
      </c>
      <c r="K29" s="28" t="s">
        <v>325</v>
      </c>
      <c r="L29" s="28" t="s">
        <v>415</v>
      </c>
      <c r="M29" s="28" t="s">
        <v>834</v>
      </c>
      <c r="N29" s="28" t="s">
        <v>147</v>
      </c>
      <c r="O29" s="29">
        <v>2.56</v>
      </c>
      <c r="P29" s="28" t="s">
        <v>812</v>
      </c>
      <c r="Q29" s="28" t="s">
        <v>149</v>
      </c>
      <c r="R29" s="28" t="s">
        <v>174</v>
      </c>
      <c r="S29" s="28" t="s">
        <v>835</v>
      </c>
      <c r="T29" s="30">
        <v>170</v>
      </c>
      <c r="U29" s="28" t="s">
        <v>836</v>
      </c>
      <c r="V29" s="28" t="s">
        <v>138</v>
      </c>
      <c r="W29" s="28" t="s">
        <v>138</v>
      </c>
      <c r="X29" s="31">
        <v>2011</v>
      </c>
      <c r="Y29" s="28" t="s">
        <v>138</v>
      </c>
      <c r="Z29" s="28" t="s">
        <v>138</v>
      </c>
      <c r="AA29" s="28" t="s">
        <v>138</v>
      </c>
      <c r="AB29" s="32">
        <v>20</v>
      </c>
      <c r="AC29" s="32" t="s">
        <v>138</v>
      </c>
      <c r="AD29" s="32" t="s">
        <v>138</v>
      </c>
      <c r="AE29" s="32" t="s">
        <v>138</v>
      </c>
      <c r="AF29" s="32" t="s">
        <v>138</v>
      </c>
      <c r="AG29" s="28" t="s">
        <v>419</v>
      </c>
      <c r="AH29" s="32" t="s">
        <v>138</v>
      </c>
      <c r="AI29" s="32" t="s">
        <v>138</v>
      </c>
      <c r="AJ29" s="32" t="s">
        <v>138</v>
      </c>
      <c r="AK29" s="28" t="s">
        <v>837</v>
      </c>
      <c r="AL29" s="28" t="s">
        <v>838</v>
      </c>
      <c r="AM29" s="28" t="s">
        <v>839</v>
      </c>
      <c r="AN29" s="28" t="s">
        <v>840</v>
      </c>
      <c r="AO29" s="28" t="s">
        <v>841</v>
      </c>
      <c r="AP29" s="28" t="s">
        <v>665</v>
      </c>
      <c r="AQ29" s="28" t="s">
        <v>842</v>
      </c>
      <c r="AR29" s="28" t="s">
        <v>843</v>
      </c>
      <c r="AS29" s="28" t="s">
        <v>668</v>
      </c>
      <c r="AT29" s="28" t="s">
        <v>200</v>
      </c>
      <c r="AU29" s="28" t="s">
        <v>844</v>
      </c>
      <c r="AV29" s="28" t="s">
        <v>162</v>
      </c>
      <c r="AW29" s="28" t="s">
        <v>841</v>
      </c>
      <c r="AX29" s="28" t="s">
        <v>138</v>
      </c>
      <c r="AY29" s="28" t="s">
        <v>845</v>
      </c>
      <c r="AZ29" s="28" t="s">
        <v>164</v>
      </c>
      <c r="BA29" s="28" t="s">
        <v>165</v>
      </c>
      <c r="BB29" s="28" t="s">
        <v>846</v>
      </c>
      <c r="BC29" s="28" t="s">
        <v>847</v>
      </c>
      <c r="BD29" s="33">
        <v>8</v>
      </c>
      <c r="BE29" s="28" t="s">
        <v>138</v>
      </c>
      <c r="BF29" s="28" t="s">
        <v>138</v>
      </c>
      <c r="BG29" s="28" t="s">
        <v>138</v>
      </c>
      <c r="BH29" s="28" t="s">
        <v>848</v>
      </c>
      <c r="BI29" s="28" t="s">
        <v>138</v>
      </c>
      <c r="BJ29" s="28" t="s">
        <v>138</v>
      </c>
      <c r="BK29" s="28" t="s">
        <v>849</v>
      </c>
      <c r="BL29" s="28" t="s">
        <v>850</v>
      </c>
      <c r="BM29" s="34">
        <v>41080</v>
      </c>
      <c r="BN29" s="29" t="s">
        <v>138</v>
      </c>
      <c r="BO29" s="28" t="s">
        <v>138</v>
      </c>
      <c r="BP29" s="29" t="s">
        <v>138</v>
      </c>
      <c r="BQ29" s="28" t="s">
        <v>138</v>
      </c>
      <c r="BR29" s="28" t="s">
        <v>316</v>
      </c>
      <c r="BS29" s="28" t="s">
        <v>138</v>
      </c>
      <c r="BT29" s="28" t="s">
        <v>138</v>
      </c>
      <c r="BU29" s="28" t="s">
        <v>177</v>
      </c>
      <c r="BV29" s="28" t="s">
        <v>138</v>
      </c>
      <c r="BW29" s="28" t="s">
        <v>138</v>
      </c>
      <c r="BX29" s="28" t="s">
        <v>138</v>
      </c>
      <c r="BY29" s="28" t="s">
        <v>175</v>
      </c>
      <c r="BZ29" s="34">
        <v>41968</v>
      </c>
      <c r="CA29" s="29">
        <v>1.36</v>
      </c>
      <c r="CB29" s="28" t="s">
        <v>172</v>
      </c>
      <c r="CC29" s="29" t="s">
        <v>138</v>
      </c>
      <c r="CD29" s="28" t="s">
        <v>138</v>
      </c>
      <c r="CE29" s="28" t="s">
        <v>205</v>
      </c>
      <c r="CF29" s="28" t="s">
        <v>138</v>
      </c>
      <c r="CG29" s="28" t="s">
        <v>138</v>
      </c>
      <c r="CH29" s="28" t="s">
        <v>174</v>
      </c>
      <c r="CI29" s="28" t="s">
        <v>138</v>
      </c>
      <c r="CJ29" s="28" t="s">
        <v>138</v>
      </c>
      <c r="CK29" s="28" t="s">
        <v>138</v>
      </c>
      <c r="CL29" s="28" t="s">
        <v>175</v>
      </c>
      <c r="CM29" s="34" t="s">
        <v>138</v>
      </c>
      <c r="CN29" s="29" t="s">
        <v>138</v>
      </c>
      <c r="CO29" s="35">
        <v>0.48</v>
      </c>
      <c r="CP29" s="36">
        <v>95</v>
      </c>
      <c r="CQ29" s="35">
        <v>-0.01</v>
      </c>
      <c r="CR29" s="35">
        <v>-1.32</v>
      </c>
      <c r="CS29" s="35">
        <v>0.55000000000000004</v>
      </c>
      <c r="CT29" s="36">
        <v>96</v>
      </c>
      <c r="CU29" s="35">
        <v>0.41</v>
      </c>
      <c r="CV29" s="36">
        <v>91</v>
      </c>
      <c r="CW29" s="35">
        <v>2.84</v>
      </c>
      <c r="CX29" s="36">
        <v>91</v>
      </c>
      <c r="CY29" s="35">
        <v>-1.75</v>
      </c>
      <c r="CZ29" s="36">
        <v>13</v>
      </c>
      <c r="DA29" s="35">
        <v>0.43</v>
      </c>
      <c r="DB29" s="36">
        <v>93</v>
      </c>
      <c r="DC29" s="37">
        <v>844.86</v>
      </c>
      <c r="DD29" s="36">
        <v>100</v>
      </c>
      <c r="DE29" s="37">
        <v>-101.94</v>
      </c>
      <c r="DF29" s="35">
        <v>-10.77</v>
      </c>
      <c r="DG29" s="37">
        <v>1632.4</v>
      </c>
      <c r="DH29" s="36">
        <v>100</v>
      </c>
      <c r="DI29" s="37">
        <v>57.32</v>
      </c>
      <c r="DJ29" s="36">
        <v>96</v>
      </c>
      <c r="DK29" s="37">
        <v>3183.98</v>
      </c>
      <c r="DL29" s="36">
        <v>100</v>
      </c>
      <c r="DM29" s="37">
        <v>80.83</v>
      </c>
      <c r="DN29" s="36">
        <v>99</v>
      </c>
      <c r="DO29" s="37">
        <v>98.17</v>
      </c>
      <c r="DP29" s="36">
        <v>98</v>
      </c>
      <c r="DQ29" s="36">
        <v>1076292</v>
      </c>
      <c r="DR29" s="38">
        <v>47433</v>
      </c>
      <c r="DS29" s="35">
        <v>4.6100000000000003</v>
      </c>
      <c r="DT29" s="36">
        <v>2345</v>
      </c>
      <c r="DU29" s="38">
        <v>1</v>
      </c>
      <c r="DV29" s="35">
        <v>0.04</v>
      </c>
      <c r="DW29" s="36">
        <v>35094</v>
      </c>
      <c r="DX29" s="39">
        <v>217</v>
      </c>
      <c r="DY29" s="35">
        <v>0.62</v>
      </c>
      <c r="DZ29" s="28" t="s">
        <v>178</v>
      </c>
      <c r="EA29" s="34">
        <v>43622</v>
      </c>
      <c r="EB29" s="29" t="s">
        <v>138</v>
      </c>
      <c r="EC29" s="34" t="s">
        <v>138</v>
      </c>
      <c r="ED29" s="28" t="s">
        <v>138</v>
      </c>
      <c r="EE29" s="40" t="str">
        <f>HYPERLINK("https://my.pitchbook.com?c=55509-31", "View company online")</f>
        <v>View company online</v>
      </c>
    </row>
    <row r="30" spans="1:135">
      <c r="A30" s="15" t="s">
        <v>851</v>
      </c>
      <c r="B30" s="15" t="s">
        <v>852</v>
      </c>
      <c r="C30" s="15" t="s">
        <v>138</v>
      </c>
      <c r="D30" s="15" t="s">
        <v>853</v>
      </c>
      <c r="E30" s="15" t="s">
        <v>138</v>
      </c>
      <c r="F30" s="15" t="s">
        <v>851</v>
      </c>
      <c r="G30" s="15" t="s">
        <v>854</v>
      </c>
      <c r="H30" s="15" t="s">
        <v>322</v>
      </c>
      <c r="I30" s="15" t="s">
        <v>323</v>
      </c>
      <c r="J30" s="15" t="s">
        <v>324</v>
      </c>
      <c r="K30" s="15" t="s">
        <v>325</v>
      </c>
      <c r="L30" s="15" t="s">
        <v>855</v>
      </c>
      <c r="M30" s="15" t="s">
        <v>856</v>
      </c>
      <c r="N30" s="15" t="s">
        <v>147</v>
      </c>
      <c r="O30" s="17">
        <v>26.4</v>
      </c>
      <c r="P30" s="15" t="s">
        <v>148</v>
      </c>
      <c r="Q30" s="15" t="s">
        <v>149</v>
      </c>
      <c r="R30" s="15" t="s">
        <v>174</v>
      </c>
      <c r="S30" s="15" t="s">
        <v>857</v>
      </c>
      <c r="T30" s="18" t="s">
        <v>138</v>
      </c>
      <c r="U30" s="15" t="s">
        <v>138</v>
      </c>
      <c r="V30" s="15" t="s">
        <v>138</v>
      </c>
      <c r="W30" s="15" t="s">
        <v>138</v>
      </c>
      <c r="X30" s="19">
        <v>2017</v>
      </c>
      <c r="Y30" s="15" t="s">
        <v>138</v>
      </c>
      <c r="Z30" s="15" t="s">
        <v>138</v>
      </c>
      <c r="AA30" s="15" t="s">
        <v>138</v>
      </c>
      <c r="AB30" s="20" t="s">
        <v>138</v>
      </c>
      <c r="AC30" s="20" t="s">
        <v>138</v>
      </c>
      <c r="AD30" s="20" t="s">
        <v>138</v>
      </c>
      <c r="AE30" s="20" t="s">
        <v>138</v>
      </c>
      <c r="AF30" s="20" t="s">
        <v>138</v>
      </c>
      <c r="AG30" s="15" t="s">
        <v>138</v>
      </c>
      <c r="AH30" s="20" t="s">
        <v>138</v>
      </c>
      <c r="AI30" s="20" t="s">
        <v>138</v>
      </c>
      <c r="AJ30" s="20" t="s">
        <v>138</v>
      </c>
      <c r="AK30" s="15" t="s">
        <v>858</v>
      </c>
      <c r="AL30" s="15" t="s">
        <v>859</v>
      </c>
      <c r="AM30" s="15" t="s">
        <v>818</v>
      </c>
      <c r="AN30" s="15" t="s">
        <v>860</v>
      </c>
      <c r="AO30" s="15" t="s">
        <v>138</v>
      </c>
      <c r="AP30" s="15" t="s">
        <v>861</v>
      </c>
      <c r="AQ30" s="15" t="s">
        <v>862</v>
      </c>
      <c r="AR30" s="15" t="s">
        <v>138</v>
      </c>
      <c r="AS30" s="15" t="s">
        <v>863</v>
      </c>
      <c r="AT30" s="15" t="s">
        <v>864</v>
      </c>
      <c r="AU30" s="15" t="s">
        <v>865</v>
      </c>
      <c r="AV30" s="15" t="s">
        <v>162</v>
      </c>
      <c r="AW30" s="15" t="s">
        <v>138</v>
      </c>
      <c r="AX30" s="15" t="s">
        <v>138</v>
      </c>
      <c r="AY30" s="15" t="s">
        <v>866</v>
      </c>
      <c r="AZ30" s="15" t="s">
        <v>164</v>
      </c>
      <c r="BA30" s="15" t="s">
        <v>165</v>
      </c>
      <c r="BB30" s="15" t="s">
        <v>867</v>
      </c>
      <c r="BC30" s="15" t="s">
        <v>868</v>
      </c>
      <c r="BD30" s="21">
        <v>10</v>
      </c>
      <c r="BE30" s="15" t="s">
        <v>138</v>
      </c>
      <c r="BF30" s="15" t="s">
        <v>138</v>
      </c>
      <c r="BG30" s="15" t="s">
        <v>138</v>
      </c>
      <c r="BH30" s="15" t="s">
        <v>869</v>
      </c>
      <c r="BI30" s="15" t="s">
        <v>138</v>
      </c>
      <c r="BJ30" s="15" t="s">
        <v>138</v>
      </c>
      <c r="BK30" s="15" t="s">
        <v>138</v>
      </c>
      <c r="BL30" s="15" t="s">
        <v>870</v>
      </c>
      <c r="BM30" s="22" t="s">
        <v>138</v>
      </c>
      <c r="BN30" s="17" t="s">
        <v>138</v>
      </c>
      <c r="BO30" s="15" t="s">
        <v>138</v>
      </c>
      <c r="BP30" s="17" t="s">
        <v>138</v>
      </c>
      <c r="BQ30" s="15" t="s">
        <v>138</v>
      </c>
      <c r="BR30" s="15" t="s">
        <v>316</v>
      </c>
      <c r="BS30" s="15" t="s">
        <v>138</v>
      </c>
      <c r="BT30" s="15" t="s">
        <v>138</v>
      </c>
      <c r="BU30" s="15" t="s">
        <v>177</v>
      </c>
      <c r="BV30" s="15" t="s">
        <v>138</v>
      </c>
      <c r="BW30" s="15" t="s">
        <v>138</v>
      </c>
      <c r="BX30" s="15" t="s">
        <v>138</v>
      </c>
      <c r="BY30" s="15" t="s">
        <v>175</v>
      </c>
      <c r="BZ30" s="22">
        <v>43572</v>
      </c>
      <c r="CA30" s="17">
        <v>21</v>
      </c>
      <c r="CB30" s="15" t="s">
        <v>172</v>
      </c>
      <c r="CC30" s="17">
        <v>60</v>
      </c>
      <c r="CD30" s="15" t="s">
        <v>172</v>
      </c>
      <c r="CE30" s="15" t="s">
        <v>205</v>
      </c>
      <c r="CF30" s="15" t="s">
        <v>206</v>
      </c>
      <c r="CG30" s="15" t="s">
        <v>138</v>
      </c>
      <c r="CH30" s="15" t="s">
        <v>174</v>
      </c>
      <c r="CI30" s="15" t="s">
        <v>138</v>
      </c>
      <c r="CJ30" s="15" t="s">
        <v>138</v>
      </c>
      <c r="CK30" s="15" t="s">
        <v>138</v>
      </c>
      <c r="CL30" s="15" t="s">
        <v>175</v>
      </c>
      <c r="CM30" s="22" t="s">
        <v>138</v>
      </c>
      <c r="CN30" s="17" t="s">
        <v>138</v>
      </c>
      <c r="CO30" s="23">
        <v>1.87</v>
      </c>
      <c r="CP30" s="24">
        <v>99</v>
      </c>
      <c r="CQ30" s="23">
        <v>-0.01</v>
      </c>
      <c r="CR30" s="23">
        <v>-0.47</v>
      </c>
      <c r="CS30" s="23">
        <v>1.98</v>
      </c>
      <c r="CT30" s="24">
        <v>98</v>
      </c>
      <c r="CU30" s="23">
        <v>1.76</v>
      </c>
      <c r="CV30" s="24">
        <v>99</v>
      </c>
      <c r="CW30" s="23">
        <v>3.96</v>
      </c>
      <c r="CX30" s="24">
        <v>93</v>
      </c>
      <c r="CY30" s="23">
        <v>0</v>
      </c>
      <c r="CZ30" s="24">
        <v>25</v>
      </c>
      <c r="DA30" s="23">
        <v>2.2799999999999998</v>
      </c>
      <c r="DB30" s="24">
        <v>100</v>
      </c>
      <c r="DC30" s="25">
        <v>2.67</v>
      </c>
      <c r="DD30" s="24">
        <v>73</v>
      </c>
      <c r="DE30" s="25">
        <v>-0.11</v>
      </c>
      <c r="DF30" s="23">
        <v>-3.89</v>
      </c>
      <c r="DG30" s="25">
        <v>3.23</v>
      </c>
      <c r="DH30" s="24">
        <v>76</v>
      </c>
      <c r="DI30" s="25">
        <v>2.11</v>
      </c>
      <c r="DJ30" s="24">
        <v>63</v>
      </c>
      <c r="DK30" s="25">
        <v>4.04</v>
      </c>
      <c r="DL30" s="24">
        <v>76</v>
      </c>
      <c r="DM30" s="25">
        <v>2.41</v>
      </c>
      <c r="DN30" s="24">
        <v>69</v>
      </c>
      <c r="DO30" s="25">
        <v>3.85</v>
      </c>
      <c r="DP30" s="24">
        <v>75</v>
      </c>
      <c r="DQ30" s="24">
        <v>1355</v>
      </c>
      <c r="DR30" s="26">
        <v>95</v>
      </c>
      <c r="DS30" s="23">
        <v>7.54</v>
      </c>
      <c r="DT30" s="24">
        <v>70</v>
      </c>
      <c r="DU30" s="26">
        <v>1</v>
      </c>
      <c r="DV30" s="23">
        <v>1.45</v>
      </c>
      <c r="DW30" s="24">
        <v>1365</v>
      </c>
      <c r="DX30" s="27">
        <v>20</v>
      </c>
      <c r="DY30" s="23">
        <v>1.49</v>
      </c>
      <c r="DZ30" s="15" t="s">
        <v>178</v>
      </c>
      <c r="EA30" s="22">
        <v>43582</v>
      </c>
      <c r="EB30" s="17">
        <v>60</v>
      </c>
      <c r="EC30" s="22">
        <v>43572</v>
      </c>
      <c r="ED30" s="15" t="s">
        <v>205</v>
      </c>
      <c r="EE30" s="14" t="str">
        <f>HYPERLINK("https://my.pitchbook.com?c=227350-00", "View company online")</f>
        <v>View company online</v>
      </c>
    </row>
    <row r="31" spans="1:135">
      <c r="A31" s="28" t="s">
        <v>871</v>
      </c>
      <c r="B31" s="28" t="s">
        <v>872</v>
      </c>
      <c r="C31" s="28" t="s">
        <v>138</v>
      </c>
      <c r="D31" s="28" t="s">
        <v>138</v>
      </c>
      <c r="E31" s="28" t="s">
        <v>138</v>
      </c>
      <c r="F31" s="28" t="s">
        <v>871</v>
      </c>
      <c r="G31" s="28" t="s">
        <v>873</v>
      </c>
      <c r="H31" s="28" t="s">
        <v>322</v>
      </c>
      <c r="I31" s="28" t="s">
        <v>323</v>
      </c>
      <c r="J31" s="28" t="s">
        <v>413</v>
      </c>
      <c r="K31" s="28" t="s">
        <v>874</v>
      </c>
      <c r="L31" s="28" t="s">
        <v>875</v>
      </c>
      <c r="M31" s="28" t="s">
        <v>876</v>
      </c>
      <c r="N31" s="28" t="s">
        <v>147</v>
      </c>
      <c r="O31" s="29">
        <v>6.7</v>
      </c>
      <c r="P31" s="28" t="s">
        <v>148</v>
      </c>
      <c r="Q31" s="28" t="s">
        <v>149</v>
      </c>
      <c r="R31" s="28" t="s">
        <v>174</v>
      </c>
      <c r="S31" s="28" t="s">
        <v>877</v>
      </c>
      <c r="T31" s="30" t="s">
        <v>138</v>
      </c>
      <c r="U31" s="28" t="s">
        <v>138</v>
      </c>
      <c r="V31" s="28" t="s">
        <v>138</v>
      </c>
      <c r="W31" s="28" t="s">
        <v>138</v>
      </c>
      <c r="X31" s="31">
        <v>2017</v>
      </c>
      <c r="Y31" s="28" t="s">
        <v>138</v>
      </c>
      <c r="Z31" s="28" t="s">
        <v>138</v>
      </c>
      <c r="AA31" s="28" t="s">
        <v>138</v>
      </c>
      <c r="AB31" s="32" t="s">
        <v>138</v>
      </c>
      <c r="AC31" s="32" t="s">
        <v>138</v>
      </c>
      <c r="AD31" s="32" t="s">
        <v>138</v>
      </c>
      <c r="AE31" s="32" t="s">
        <v>138</v>
      </c>
      <c r="AF31" s="32" t="s">
        <v>138</v>
      </c>
      <c r="AG31" s="28" t="s">
        <v>138</v>
      </c>
      <c r="AH31" s="32" t="s">
        <v>138</v>
      </c>
      <c r="AI31" s="32" t="s">
        <v>138</v>
      </c>
      <c r="AJ31" s="32" t="s">
        <v>138</v>
      </c>
      <c r="AK31" s="28" t="s">
        <v>878</v>
      </c>
      <c r="AL31" s="28" t="s">
        <v>879</v>
      </c>
      <c r="AM31" s="28" t="s">
        <v>880</v>
      </c>
      <c r="AN31" s="28" t="s">
        <v>881</v>
      </c>
      <c r="AO31" s="28" t="s">
        <v>138</v>
      </c>
      <c r="AP31" s="28" t="s">
        <v>307</v>
      </c>
      <c r="AQ31" s="28" t="s">
        <v>882</v>
      </c>
      <c r="AR31" s="28" t="s">
        <v>138</v>
      </c>
      <c r="AS31" s="28" t="s">
        <v>310</v>
      </c>
      <c r="AT31" s="28" t="s">
        <v>200</v>
      </c>
      <c r="AU31" s="28" t="s">
        <v>798</v>
      </c>
      <c r="AV31" s="28" t="s">
        <v>162</v>
      </c>
      <c r="AW31" s="28" t="s">
        <v>138</v>
      </c>
      <c r="AX31" s="28" t="s">
        <v>138</v>
      </c>
      <c r="AY31" s="28" t="s">
        <v>883</v>
      </c>
      <c r="AZ31" s="28" t="s">
        <v>164</v>
      </c>
      <c r="BA31" s="28" t="s">
        <v>165</v>
      </c>
      <c r="BB31" s="28" t="s">
        <v>884</v>
      </c>
      <c r="BC31" s="28" t="s">
        <v>885</v>
      </c>
      <c r="BD31" s="33">
        <v>7</v>
      </c>
      <c r="BE31" s="28" t="s">
        <v>138</v>
      </c>
      <c r="BF31" s="28" t="s">
        <v>138</v>
      </c>
      <c r="BG31" s="28" t="s">
        <v>138</v>
      </c>
      <c r="BH31" s="28" t="s">
        <v>886</v>
      </c>
      <c r="BI31" s="28" t="s">
        <v>138</v>
      </c>
      <c r="BJ31" s="28" t="s">
        <v>138</v>
      </c>
      <c r="BK31" s="28" t="s">
        <v>138</v>
      </c>
      <c r="BL31" s="28" t="s">
        <v>138</v>
      </c>
      <c r="BM31" s="34">
        <v>42736</v>
      </c>
      <c r="BN31" s="29">
        <v>1.7</v>
      </c>
      <c r="BO31" s="28" t="s">
        <v>172</v>
      </c>
      <c r="BP31" s="29" t="s">
        <v>138</v>
      </c>
      <c r="BQ31" s="28" t="s">
        <v>138</v>
      </c>
      <c r="BR31" s="28" t="s">
        <v>234</v>
      </c>
      <c r="BS31" s="28" t="s">
        <v>234</v>
      </c>
      <c r="BT31" s="28" t="s">
        <v>138</v>
      </c>
      <c r="BU31" s="28" t="s">
        <v>174</v>
      </c>
      <c r="BV31" s="28" t="s">
        <v>138</v>
      </c>
      <c r="BW31" s="28" t="s">
        <v>138</v>
      </c>
      <c r="BX31" s="28" t="s">
        <v>138</v>
      </c>
      <c r="BY31" s="28" t="s">
        <v>175</v>
      </c>
      <c r="BZ31" s="34">
        <v>43466</v>
      </c>
      <c r="CA31" s="29">
        <v>5</v>
      </c>
      <c r="CB31" s="28" t="s">
        <v>172</v>
      </c>
      <c r="CC31" s="29">
        <v>25</v>
      </c>
      <c r="CD31" s="28" t="s">
        <v>172</v>
      </c>
      <c r="CE31" s="28" t="s">
        <v>234</v>
      </c>
      <c r="CF31" s="28" t="s">
        <v>234</v>
      </c>
      <c r="CG31" s="28" t="s">
        <v>138</v>
      </c>
      <c r="CH31" s="28" t="s">
        <v>174</v>
      </c>
      <c r="CI31" s="28" t="s">
        <v>138</v>
      </c>
      <c r="CJ31" s="28" t="s">
        <v>138</v>
      </c>
      <c r="CK31" s="28" t="s">
        <v>138</v>
      </c>
      <c r="CL31" s="28" t="s">
        <v>175</v>
      </c>
      <c r="CM31" s="34" t="s">
        <v>138</v>
      </c>
      <c r="CN31" s="29" t="s">
        <v>138</v>
      </c>
      <c r="CO31" s="35" t="s">
        <v>138</v>
      </c>
      <c r="CP31" s="36" t="s">
        <v>138</v>
      </c>
      <c r="CQ31" s="35" t="s">
        <v>138</v>
      </c>
      <c r="CR31" s="35" t="s">
        <v>138</v>
      </c>
      <c r="CS31" s="35" t="s">
        <v>138</v>
      </c>
      <c r="CT31" s="36" t="s">
        <v>138</v>
      </c>
      <c r="CU31" s="35" t="s">
        <v>138</v>
      </c>
      <c r="CV31" s="36" t="s">
        <v>138</v>
      </c>
      <c r="CW31" s="35" t="s">
        <v>138</v>
      </c>
      <c r="CX31" s="36" t="s">
        <v>138</v>
      </c>
      <c r="CY31" s="35" t="s">
        <v>138</v>
      </c>
      <c r="CZ31" s="36" t="s">
        <v>138</v>
      </c>
      <c r="DA31" s="35" t="s">
        <v>138</v>
      </c>
      <c r="DB31" s="36" t="s">
        <v>138</v>
      </c>
      <c r="DC31" s="37" t="s">
        <v>138</v>
      </c>
      <c r="DD31" s="36" t="s">
        <v>138</v>
      </c>
      <c r="DE31" s="37" t="s">
        <v>138</v>
      </c>
      <c r="DF31" s="35" t="s">
        <v>138</v>
      </c>
      <c r="DG31" s="37" t="s">
        <v>138</v>
      </c>
      <c r="DH31" s="36" t="s">
        <v>138</v>
      </c>
      <c r="DI31" s="37" t="s">
        <v>138</v>
      </c>
      <c r="DJ31" s="36" t="s">
        <v>138</v>
      </c>
      <c r="DK31" s="37" t="s">
        <v>138</v>
      </c>
      <c r="DL31" s="36" t="s">
        <v>138</v>
      </c>
      <c r="DM31" s="37" t="s">
        <v>138</v>
      </c>
      <c r="DN31" s="36" t="s">
        <v>138</v>
      </c>
      <c r="DO31" s="37" t="s">
        <v>138</v>
      </c>
      <c r="DP31" s="36" t="s">
        <v>138</v>
      </c>
      <c r="DQ31" s="36" t="s">
        <v>138</v>
      </c>
      <c r="DR31" s="38" t="s">
        <v>138</v>
      </c>
      <c r="DS31" s="35" t="s">
        <v>138</v>
      </c>
      <c r="DT31" s="36" t="s">
        <v>138</v>
      </c>
      <c r="DU31" s="38" t="s">
        <v>138</v>
      </c>
      <c r="DV31" s="35" t="s">
        <v>138</v>
      </c>
      <c r="DW31" s="36" t="s">
        <v>138</v>
      </c>
      <c r="DX31" s="39" t="s">
        <v>138</v>
      </c>
      <c r="DY31" s="35" t="s">
        <v>138</v>
      </c>
      <c r="DZ31" s="28" t="s">
        <v>178</v>
      </c>
      <c r="EA31" s="34">
        <v>43594</v>
      </c>
      <c r="EB31" s="29">
        <v>25</v>
      </c>
      <c r="EC31" s="34">
        <v>43466</v>
      </c>
      <c r="ED31" s="28" t="s">
        <v>234</v>
      </c>
      <c r="EE31" s="40" t="str">
        <f>HYPERLINK("https://my.pitchbook.com?c=187517-26", "View company online")</f>
        <v>View company online</v>
      </c>
    </row>
    <row r="32" spans="1:135">
      <c r="A32" s="15" t="s">
        <v>887</v>
      </c>
      <c r="B32" s="15" t="s">
        <v>888</v>
      </c>
      <c r="C32" s="15" t="s">
        <v>138</v>
      </c>
      <c r="D32" s="15" t="s">
        <v>138</v>
      </c>
      <c r="E32" s="15" t="s">
        <v>138</v>
      </c>
      <c r="F32" s="15" t="s">
        <v>887</v>
      </c>
      <c r="G32" s="15" t="s">
        <v>889</v>
      </c>
      <c r="H32" s="15" t="s">
        <v>890</v>
      </c>
      <c r="I32" s="15" t="s">
        <v>891</v>
      </c>
      <c r="J32" s="15" t="s">
        <v>891</v>
      </c>
      <c r="K32" s="15" t="s">
        <v>892</v>
      </c>
      <c r="L32" s="15" t="s">
        <v>415</v>
      </c>
      <c r="M32" s="15" t="s">
        <v>893</v>
      </c>
      <c r="N32" s="15" t="s">
        <v>147</v>
      </c>
      <c r="O32" s="17" t="s">
        <v>138</v>
      </c>
      <c r="P32" s="15" t="s">
        <v>148</v>
      </c>
      <c r="Q32" s="15" t="s">
        <v>149</v>
      </c>
      <c r="R32" s="15" t="s">
        <v>174</v>
      </c>
      <c r="S32" s="15" t="s">
        <v>894</v>
      </c>
      <c r="T32" s="18" t="s">
        <v>138</v>
      </c>
      <c r="U32" s="15" t="s">
        <v>138</v>
      </c>
      <c r="V32" s="15" t="s">
        <v>138</v>
      </c>
      <c r="W32" s="15" t="s">
        <v>138</v>
      </c>
      <c r="X32" s="19" t="s">
        <v>138</v>
      </c>
      <c r="Y32" s="15" t="s">
        <v>138</v>
      </c>
      <c r="Z32" s="15" t="s">
        <v>138</v>
      </c>
      <c r="AA32" s="15" t="s">
        <v>138</v>
      </c>
      <c r="AB32" s="20" t="s">
        <v>138</v>
      </c>
      <c r="AC32" s="20" t="s">
        <v>138</v>
      </c>
      <c r="AD32" s="20" t="s">
        <v>138</v>
      </c>
      <c r="AE32" s="20" t="s">
        <v>138</v>
      </c>
      <c r="AF32" s="20" t="s">
        <v>138</v>
      </c>
      <c r="AG32" s="15" t="s">
        <v>138</v>
      </c>
      <c r="AH32" s="20" t="s">
        <v>138</v>
      </c>
      <c r="AI32" s="20" t="s">
        <v>138</v>
      </c>
      <c r="AJ32" s="20" t="s">
        <v>138</v>
      </c>
      <c r="AK32" s="15" t="s">
        <v>138</v>
      </c>
      <c r="AL32" s="15" t="s">
        <v>138</v>
      </c>
      <c r="AM32" s="15" t="s">
        <v>138</v>
      </c>
      <c r="AN32" s="15" t="s">
        <v>138</v>
      </c>
      <c r="AO32" s="15" t="s">
        <v>138</v>
      </c>
      <c r="AP32" s="15" t="s">
        <v>895</v>
      </c>
      <c r="AQ32" s="15" t="s">
        <v>896</v>
      </c>
      <c r="AR32" s="15" t="s">
        <v>897</v>
      </c>
      <c r="AS32" s="15" t="s">
        <v>898</v>
      </c>
      <c r="AT32" s="15" t="s">
        <v>899</v>
      </c>
      <c r="AU32" s="15" t="s">
        <v>138</v>
      </c>
      <c r="AV32" s="15" t="s">
        <v>450</v>
      </c>
      <c r="AW32" s="15" t="s">
        <v>900</v>
      </c>
      <c r="AX32" s="15" t="s">
        <v>138</v>
      </c>
      <c r="AY32" s="15" t="s">
        <v>138</v>
      </c>
      <c r="AZ32" s="15" t="s">
        <v>452</v>
      </c>
      <c r="BA32" s="15" t="s">
        <v>453</v>
      </c>
      <c r="BB32" s="15" t="s">
        <v>901</v>
      </c>
      <c r="BC32" s="15" t="s">
        <v>902</v>
      </c>
      <c r="BD32" s="21">
        <v>4</v>
      </c>
      <c r="BE32" s="15" t="s">
        <v>138</v>
      </c>
      <c r="BF32" s="15" t="s">
        <v>138</v>
      </c>
      <c r="BG32" s="15" t="s">
        <v>138</v>
      </c>
      <c r="BH32" s="15" t="s">
        <v>903</v>
      </c>
      <c r="BI32" s="15" t="s">
        <v>138</v>
      </c>
      <c r="BJ32" s="15" t="s">
        <v>138</v>
      </c>
      <c r="BK32" s="15" t="s">
        <v>138</v>
      </c>
      <c r="BL32" s="15" t="s">
        <v>138</v>
      </c>
      <c r="BM32" s="22">
        <v>43282</v>
      </c>
      <c r="BN32" s="17" t="s">
        <v>138</v>
      </c>
      <c r="BO32" s="15" t="s">
        <v>138</v>
      </c>
      <c r="BP32" s="17" t="s">
        <v>138</v>
      </c>
      <c r="BQ32" s="15" t="s">
        <v>138</v>
      </c>
      <c r="BR32" s="15" t="s">
        <v>205</v>
      </c>
      <c r="BS32" s="15" t="s">
        <v>138</v>
      </c>
      <c r="BT32" s="15" t="s">
        <v>138</v>
      </c>
      <c r="BU32" s="15" t="s">
        <v>174</v>
      </c>
      <c r="BV32" s="15" t="s">
        <v>138</v>
      </c>
      <c r="BW32" s="15" t="s">
        <v>138</v>
      </c>
      <c r="BX32" s="15" t="s">
        <v>138</v>
      </c>
      <c r="BY32" s="15" t="s">
        <v>175</v>
      </c>
      <c r="BZ32" s="22">
        <v>43282</v>
      </c>
      <c r="CA32" s="17" t="s">
        <v>138</v>
      </c>
      <c r="CB32" s="15" t="s">
        <v>138</v>
      </c>
      <c r="CC32" s="17" t="s">
        <v>138</v>
      </c>
      <c r="CD32" s="15" t="s">
        <v>138</v>
      </c>
      <c r="CE32" s="15" t="s">
        <v>205</v>
      </c>
      <c r="CF32" s="15" t="s">
        <v>138</v>
      </c>
      <c r="CG32" s="15" t="s">
        <v>138</v>
      </c>
      <c r="CH32" s="15" t="s">
        <v>174</v>
      </c>
      <c r="CI32" s="15" t="s">
        <v>138</v>
      </c>
      <c r="CJ32" s="15" t="s">
        <v>138</v>
      </c>
      <c r="CK32" s="15" t="s">
        <v>138</v>
      </c>
      <c r="CL32" s="15" t="s">
        <v>175</v>
      </c>
      <c r="CM32" s="22" t="s">
        <v>138</v>
      </c>
      <c r="CN32" s="17" t="s">
        <v>138</v>
      </c>
      <c r="CO32" s="23">
        <v>0</v>
      </c>
      <c r="CP32" s="24">
        <v>26</v>
      </c>
      <c r="CQ32" s="23">
        <v>0</v>
      </c>
      <c r="CR32" s="23">
        <v>0</v>
      </c>
      <c r="CS32" s="23">
        <v>0</v>
      </c>
      <c r="CT32" s="24">
        <v>23</v>
      </c>
      <c r="CU32" s="23" t="s">
        <v>138</v>
      </c>
      <c r="CV32" s="24" t="s">
        <v>138</v>
      </c>
      <c r="CW32" s="23" t="s">
        <v>138</v>
      </c>
      <c r="CX32" s="24" t="s">
        <v>138</v>
      </c>
      <c r="CY32" s="23">
        <v>0</v>
      </c>
      <c r="CZ32" s="24">
        <v>25</v>
      </c>
      <c r="DA32" s="23" t="s">
        <v>138</v>
      </c>
      <c r="DB32" s="24" t="s">
        <v>138</v>
      </c>
      <c r="DC32" s="25">
        <v>0.1</v>
      </c>
      <c r="DD32" s="24">
        <v>7</v>
      </c>
      <c r="DE32" s="25">
        <v>0</v>
      </c>
      <c r="DF32" s="23">
        <v>0</v>
      </c>
      <c r="DG32" s="25">
        <v>0.1</v>
      </c>
      <c r="DH32" s="24">
        <v>7</v>
      </c>
      <c r="DI32" s="25" t="s">
        <v>138</v>
      </c>
      <c r="DJ32" s="24" t="s">
        <v>138</v>
      </c>
      <c r="DK32" s="25" t="s">
        <v>138</v>
      </c>
      <c r="DL32" s="24" t="s">
        <v>138</v>
      </c>
      <c r="DM32" s="25">
        <v>0.1</v>
      </c>
      <c r="DN32" s="24">
        <v>8</v>
      </c>
      <c r="DO32" s="25" t="s">
        <v>138</v>
      </c>
      <c r="DP32" s="24" t="s">
        <v>138</v>
      </c>
      <c r="DQ32" s="24" t="s">
        <v>138</v>
      </c>
      <c r="DR32" s="26" t="s">
        <v>138</v>
      </c>
      <c r="DS32" s="23" t="s">
        <v>138</v>
      </c>
      <c r="DT32" s="24">
        <v>3</v>
      </c>
      <c r="DU32" s="26">
        <v>0</v>
      </c>
      <c r="DV32" s="23">
        <v>0</v>
      </c>
      <c r="DW32" s="24" t="s">
        <v>138</v>
      </c>
      <c r="DX32" s="27" t="s">
        <v>138</v>
      </c>
      <c r="DY32" s="23" t="s">
        <v>138</v>
      </c>
      <c r="DZ32" s="15" t="s">
        <v>178</v>
      </c>
      <c r="EA32" s="22">
        <v>43351</v>
      </c>
      <c r="EB32" s="17" t="s">
        <v>138</v>
      </c>
      <c r="EC32" s="22" t="s">
        <v>138</v>
      </c>
      <c r="ED32" s="15" t="s">
        <v>138</v>
      </c>
      <c r="EE32" s="14" t="str">
        <f>HYPERLINK("https://my.pitchbook.com?c=231935-59", "View company online")</f>
        <v>View company online</v>
      </c>
    </row>
    <row r="33" spans="1:135">
      <c r="A33" s="28" t="s">
        <v>904</v>
      </c>
      <c r="B33" s="28" t="s">
        <v>905</v>
      </c>
      <c r="C33" s="28" t="s">
        <v>138</v>
      </c>
      <c r="D33" s="28" t="s">
        <v>906</v>
      </c>
      <c r="E33" s="28" t="s">
        <v>907</v>
      </c>
      <c r="F33" s="28" t="s">
        <v>904</v>
      </c>
      <c r="G33" s="28" t="s">
        <v>908</v>
      </c>
      <c r="H33" s="28" t="s">
        <v>238</v>
      </c>
      <c r="I33" s="28" t="s">
        <v>749</v>
      </c>
      <c r="J33" s="28" t="s">
        <v>750</v>
      </c>
      <c r="K33" s="28" t="s">
        <v>909</v>
      </c>
      <c r="L33" s="28" t="s">
        <v>910</v>
      </c>
      <c r="M33" s="28" t="s">
        <v>911</v>
      </c>
      <c r="N33" s="28" t="s">
        <v>147</v>
      </c>
      <c r="O33" s="29">
        <v>8.5</v>
      </c>
      <c r="P33" s="28" t="s">
        <v>148</v>
      </c>
      <c r="Q33" s="28" t="s">
        <v>149</v>
      </c>
      <c r="R33" s="28" t="s">
        <v>174</v>
      </c>
      <c r="S33" s="28" t="s">
        <v>912</v>
      </c>
      <c r="T33" s="30">
        <v>15</v>
      </c>
      <c r="U33" s="28" t="s">
        <v>913</v>
      </c>
      <c r="V33" s="28" t="s">
        <v>138</v>
      </c>
      <c r="W33" s="28" t="s">
        <v>138</v>
      </c>
      <c r="X33" s="31">
        <v>2015</v>
      </c>
      <c r="Y33" s="28" t="s">
        <v>138</v>
      </c>
      <c r="Z33" s="28" t="s">
        <v>138</v>
      </c>
      <c r="AA33" s="28" t="s">
        <v>138</v>
      </c>
      <c r="AB33" s="32" t="s">
        <v>138</v>
      </c>
      <c r="AC33" s="32" t="s">
        <v>138</v>
      </c>
      <c r="AD33" s="32" t="s">
        <v>138</v>
      </c>
      <c r="AE33" s="32" t="s">
        <v>138</v>
      </c>
      <c r="AF33" s="32" t="s">
        <v>138</v>
      </c>
      <c r="AG33" s="28" t="s">
        <v>138</v>
      </c>
      <c r="AH33" s="32" t="s">
        <v>138</v>
      </c>
      <c r="AI33" s="32" t="s">
        <v>138</v>
      </c>
      <c r="AJ33" s="32" t="s">
        <v>138</v>
      </c>
      <c r="AK33" s="28" t="s">
        <v>914</v>
      </c>
      <c r="AL33" s="28" t="s">
        <v>915</v>
      </c>
      <c r="AM33" s="28" t="s">
        <v>916</v>
      </c>
      <c r="AN33" s="28" t="s">
        <v>917</v>
      </c>
      <c r="AO33" s="28" t="s">
        <v>918</v>
      </c>
      <c r="AP33" s="28" t="s">
        <v>423</v>
      </c>
      <c r="AQ33" s="28" t="s">
        <v>919</v>
      </c>
      <c r="AR33" s="28" t="s">
        <v>920</v>
      </c>
      <c r="AS33" s="28" t="s">
        <v>426</v>
      </c>
      <c r="AT33" s="28" t="s">
        <v>426</v>
      </c>
      <c r="AU33" s="28" t="s">
        <v>921</v>
      </c>
      <c r="AV33" s="28" t="s">
        <v>162</v>
      </c>
      <c r="AW33" s="28" t="s">
        <v>918</v>
      </c>
      <c r="AX33" s="28" t="s">
        <v>138</v>
      </c>
      <c r="AY33" s="28" t="s">
        <v>922</v>
      </c>
      <c r="AZ33" s="28" t="s">
        <v>164</v>
      </c>
      <c r="BA33" s="28" t="s">
        <v>165</v>
      </c>
      <c r="BB33" s="28" t="s">
        <v>923</v>
      </c>
      <c r="BC33" s="28" t="s">
        <v>924</v>
      </c>
      <c r="BD33" s="33">
        <v>8</v>
      </c>
      <c r="BE33" s="28" t="s">
        <v>138</v>
      </c>
      <c r="BF33" s="28" t="s">
        <v>138</v>
      </c>
      <c r="BG33" s="28" t="s">
        <v>138</v>
      </c>
      <c r="BH33" s="28" t="s">
        <v>925</v>
      </c>
      <c r="BI33" s="28" t="s">
        <v>138</v>
      </c>
      <c r="BJ33" s="28" t="s">
        <v>138</v>
      </c>
      <c r="BK33" s="28" t="s">
        <v>926</v>
      </c>
      <c r="BL33" s="28" t="s">
        <v>927</v>
      </c>
      <c r="BM33" s="34">
        <v>42828</v>
      </c>
      <c r="BN33" s="29">
        <v>1.5</v>
      </c>
      <c r="BO33" s="28" t="s">
        <v>138</v>
      </c>
      <c r="BP33" s="29" t="s">
        <v>138</v>
      </c>
      <c r="BQ33" s="28" t="s">
        <v>138</v>
      </c>
      <c r="BR33" s="28" t="s">
        <v>234</v>
      </c>
      <c r="BS33" s="28" t="s">
        <v>234</v>
      </c>
      <c r="BT33" s="28" t="s">
        <v>138</v>
      </c>
      <c r="BU33" s="28" t="s">
        <v>174</v>
      </c>
      <c r="BV33" s="28" t="s">
        <v>138</v>
      </c>
      <c r="BW33" s="28" t="s">
        <v>138</v>
      </c>
      <c r="BX33" s="28" t="s">
        <v>138</v>
      </c>
      <c r="BY33" s="28" t="s">
        <v>175</v>
      </c>
      <c r="BZ33" s="34">
        <v>43363</v>
      </c>
      <c r="CA33" s="29">
        <v>7</v>
      </c>
      <c r="CB33" s="28" t="s">
        <v>172</v>
      </c>
      <c r="CC33" s="29" t="s">
        <v>138</v>
      </c>
      <c r="CD33" s="28" t="s">
        <v>138</v>
      </c>
      <c r="CE33" s="28" t="s">
        <v>205</v>
      </c>
      <c r="CF33" s="28" t="s">
        <v>206</v>
      </c>
      <c r="CG33" s="28" t="s">
        <v>138</v>
      </c>
      <c r="CH33" s="28" t="s">
        <v>174</v>
      </c>
      <c r="CI33" s="28" t="s">
        <v>138</v>
      </c>
      <c r="CJ33" s="28" t="s">
        <v>138</v>
      </c>
      <c r="CK33" s="28" t="s">
        <v>138</v>
      </c>
      <c r="CL33" s="28" t="s">
        <v>175</v>
      </c>
      <c r="CM33" s="34" t="s">
        <v>138</v>
      </c>
      <c r="CN33" s="29" t="s">
        <v>138</v>
      </c>
      <c r="CO33" s="35">
        <v>5.78</v>
      </c>
      <c r="CP33" s="36">
        <v>100</v>
      </c>
      <c r="CQ33" s="35">
        <v>0</v>
      </c>
      <c r="CR33" s="35">
        <v>0</v>
      </c>
      <c r="CS33" s="35">
        <v>11.56</v>
      </c>
      <c r="CT33" s="36">
        <v>100</v>
      </c>
      <c r="CU33" s="35">
        <v>0</v>
      </c>
      <c r="CV33" s="36">
        <v>22</v>
      </c>
      <c r="CW33" s="35">
        <v>11.56</v>
      </c>
      <c r="CX33" s="36">
        <v>100</v>
      </c>
      <c r="CY33" s="35" t="s">
        <v>138</v>
      </c>
      <c r="CZ33" s="36" t="s">
        <v>138</v>
      </c>
      <c r="DA33" s="35">
        <v>0</v>
      </c>
      <c r="DB33" s="36">
        <v>22</v>
      </c>
      <c r="DC33" s="37">
        <v>12.55</v>
      </c>
      <c r="DD33" s="36">
        <v>92</v>
      </c>
      <c r="DE33" s="37">
        <v>-1.61</v>
      </c>
      <c r="DF33" s="35">
        <v>-11.34</v>
      </c>
      <c r="DG33" s="37">
        <v>25.03</v>
      </c>
      <c r="DH33" s="36">
        <v>96</v>
      </c>
      <c r="DI33" s="37">
        <v>7.0000000000000007E-2</v>
      </c>
      <c r="DJ33" s="36">
        <v>11</v>
      </c>
      <c r="DK33" s="37">
        <v>25.03</v>
      </c>
      <c r="DL33" s="36">
        <v>93</v>
      </c>
      <c r="DM33" s="37" t="s">
        <v>138</v>
      </c>
      <c r="DN33" s="36" t="s">
        <v>138</v>
      </c>
      <c r="DO33" s="37">
        <v>7.0000000000000007E-2</v>
      </c>
      <c r="DP33" s="36">
        <v>13</v>
      </c>
      <c r="DQ33" s="36">
        <v>9105</v>
      </c>
      <c r="DR33" s="38">
        <v>-1564</v>
      </c>
      <c r="DS33" s="35">
        <v>-14.66</v>
      </c>
      <c r="DT33" s="36" t="s">
        <v>138</v>
      </c>
      <c r="DU33" s="38" t="s">
        <v>138</v>
      </c>
      <c r="DV33" s="35" t="s">
        <v>138</v>
      </c>
      <c r="DW33" s="36">
        <v>24</v>
      </c>
      <c r="DX33" s="39">
        <v>0</v>
      </c>
      <c r="DY33" s="35">
        <v>0</v>
      </c>
      <c r="DZ33" s="28" t="s">
        <v>178</v>
      </c>
      <c r="EA33" s="34">
        <v>43427</v>
      </c>
      <c r="EB33" s="29" t="s">
        <v>138</v>
      </c>
      <c r="EC33" s="34" t="s">
        <v>138</v>
      </c>
      <c r="ED33" s="28" t="s">
        <v>138</v>
      </c>
      <c r="EE33" s="40" t="str">
        <f>HYPERLINK("https://my.pitchbook.com?c=179336-26", "View company online")</f>
        <v>View company online</v>
      </c>
    </row>
    <row r="34" spans="1:135">
      <c r="A34" s="15" t="s">
        <v>928</v>
      </c>
      <c r="B34" s="15" t="s">
        <v>929</v>
      </c>
      <c r="C34" s="15" t="s">
        <v>138</v>
      </c>
      <c r="D34" s="15" t="s">
        <v>138</v>
      </c>
      <c r="E34" s="15" t="s">
        <v>138</v>
      </c>
      <c r="F34" s="15" t="s">
        <v>928</v>
      </c>
      <c r="G34" s="15" t="s">
        <v>930</v>
      </c>
      <c r="H34" s="15" t="s">
        <v>322</v>
      </c>
      <c r="I34" s="15" t="s">
        <v>323</v>
      </c>
      <c r="J34" s="15" t="s">
        <v>461</v>
      </c>
      <c r="K34" s="15" t="s">
        <v>931</v>
      </c>
      <c r="L34" s="15" t="s">
        <v>932</v>
      </c>
      <c r="M34" s="15" t="s">
        <v>933</v>
      </c>
      <c r="N34" s="15" t="s">
        <v>542</v>
      </c>
      <c r="O34" s="17" t="s">
        <v>138</v>
      </c>
      <c r="P34" s="15" t="s">
        <v>934</v>
      </c>
      <c r="Q34" s="15" t="s">
        <v>149</v>
      </c>
      <c r="R34" s="15" t="s">
        <v>174</v>
      </c>
      <c r="S34" s="15" t="s">
        <v>935</v>
      </c>
      <c r="T34" s="18" t="s">
        <v>138</v>
      </c>
      <c r="U34" s="15" t="s">
        <v>138</v>
      </c>
      <c r="V34" s="15" t="s">
        <v>138</v>
      </c>
      <c r="W34" s="15" t="s">
        <v>138</v>
      </c>
      <c r="X34" s="19">
        <v>2018</v>
      </c>
      <c r="Y34" s="15" t="s">
        <v>138</v>
      </c>
      <c r="Z34" s="15" t="s">
        <v>138</v>
      </c>
      <c r="AA34" s="15" t="s">
        <v>138</v>
      </c>
      <c r="AB34" s="20" t="s">
        <v>138</v>
      </c>
      <c r="AC34" s="20" t="s">
        <v>138</v>
      </c>
      <c r="AD34" s="20" t="s">
        <v>138</v>
      </c>
      <c r="AE34" s="20" t="s">
        <v>138</v>
      </c>
      <c r="AF34" s="20" t="s">
        <v>138</v>
      </c>
      <c r="AG34" s="15" t="s">
        <v>138</v>
      </c>
      <c r="AH34" s="20" t="s">
        <v>138</v>
      </c>
      <c r="AI34" s="20" t="s">
        <v>138</v>
      </c>
      <c r="AJ34" s="20" t="s">
        <v>138</v>
      </c>
      <c r="AK34" s="15" t="s">
        <v>936</v>
      </c>
      <c r="AL34" s="15" t="s">
        <v>937</v>
      </c>
      <c r="AM34" s="15" t="s">
        <v>938</v>
      </c>
      <c r="AN34" s="15" t="s">
        <v>939</v>
      </c>
      <c r="AO34" s="15" t="s">
        <v>940</v>
      </c>
      <c r="AP34" s="15" t="s">
        <v>941</v>
      </c>
      <c r="AQ34" s="15" t="s">
        <v>942</v>
      </c>
      <c r="AR34" s="15" t="s">
        <v>943</v>
      </c>
      <c r="AS34" s="15" t="s">
        <v>944</v>
      </c>
      <c r="AT34" s="15" t="s">
        <v>138</v>
      </c>
      <c r="AU34" s="15" t="s">
        <v>945</v>
      </c>
      <c r="AV34" s="15" t="s">
        <v>946</v>
      </c>
      <c r="AW34" s="15" t="s">
        <v>940</v>
      </c>
      <c r="AX34" s="15" t="s">
        <v>138</v>
      </c>
      <c r="AY34" s="15" t="s">
        <v>939</v>
      </c>
      <c r="AZ34" s="15" t="s">
        <v>530</v>
      </c>
      <c r="BA34" s="15" t="s">
        <v>531</v>
      </c>
      <c r="BB34" s="15" t="s">
        <v>947</v>
      </c>
      <c r="BC34" s="15" t="s">
        <v>948</v>
      </c>
      <c r="BD34" s="21">
        <v>1</v>
      </c>
      <c r="BE34" s="15" t="s">
        <v>138</v>
      </c>
      <c r="BF34" s="15" t="s">
        <v>138</v>
      </c>
      <c r="BG34" s="15" t="s">
        <v>138</v>
      </c>
      <c r="BH34" s="15" t="s">
        <v>949</v>
      </c>
      <c r="BI34" s="15" t="s">
        <v>138</v>
      </c>
      <c r="BJ34" s="15" t="s">
        <v>138</v>
      </c>
      <c r="BK34" s="15" t="s">
        <v>138</v>
      </c>
      <c r="BL34" s="15" t="s">
        <v>138</v>
      </c>
      <c r="BM34" s="22">
        <v>43279</v>
      </c>
      <c r="BN34" s="17" t="s">
        <v>138</v>
      </c>
      <c r="BO34" s="15" t="s">
        <v>138</v>
      </c>
      <c r="BP34" s="17" t="s">
        <v>138</v>
      </c>
      <c r="BQ34" s="15" t="s">
        <v>138</v>
      </c>
      <c r="BR34" s="15" t="s">
        <v>316</v>
      </c>
      <c r="BS34" s="15" t="s">
        <v>138</v>
      </c>
      <c r="BT34" s="15" t="s">
        <v>138</v>
      </c>
      <c r="BU34" s="15" t="s">
        <v>174</v>
      </c>
      <c r="BV34" s="15" t="s">
        <v>138</v>
      </c>
      <c r="BW34" s="15" t="s">
        <v>138</v>
      </c>
      <c r="BX34" s="15" t="s">
        <v>138</v>
      </c>
      <c r="BY34" s="15" t="s">
        <v>175</v>
      </c>
      <c r="BZ34" s="22">
        <v>43279</v>
      </c>
      <c r="CA34" s="17" t="s">
        <v>138</v>
      </c>
      <c r="CB34" s="15" t="s">
        <v>138</v>
      </c>
      <c r="CC34" s="17" t="s">
        <v>138</v>
      </c>
      <c r="CD34" s="15" t="s">
        <v>138</v>
      </c>
      <c r="CE34" s="15" t="s">
        <v>316</v>
      </c>
      <c r="CF34" s="15" t="s">
        <v>138</v>
      </c>
      <c r="CG34" s="15" t="s">
        <v>138</v>
      </c>
      <c r="CH34" s="15" t="s">
        <v>174</v>
      </c>
      <c r="CI34" s="15" t="s">
        <v>138</v>
      </c>
      <c r="CJ34" s="15" t="s">
        <v>138</v>
      </c>
      <c r="CK34" s="15" t="s">
        <v>138</v>
      </c>
      <c r="CL34" s="15" t="s">
        <v>175</v>
      </c>
      <c r="CM34" s="22" t="s">
        <v>138</v>
      </c>
      <c r="CN34" s="17" t="s">
        <v>138</v>
      </c>
      <c r="CO34" s="23">
        <v>0</v>
      </c>
      <c r="CP34" s="24">
        <v>26</v>
      </c>
      <c r="CQ34" s="23">
        <v>0</v>
      </c>
      <c r="CR34" s="23">
        <v>0</v>
      </c>
      <c r="CS34" s="23">
        <v>0</v>
      </c>
      <c r="CT34" s="24">
        <v>23</v>
      </c>
      <c r="CU34" s="23" t="s">
        <v>138</v>
      </c>
      <c r="CV34" s="24" t="s">
        <v>138</v>
      </c>
      <c r="CW34" s="23" t="s">
        <v>138</v>
      </c>
      <c r="CX34" s="24" t="s">
        <v>138</v>
      </c>
      <c r="CY34" s="23">
        <v>0</v>
      </c>
      <c r="CZ34" s="24">
        <v>25</v>
      </c>
      <c r="DA34" s="23" t="s">
        <v>138</v>
      </c>
      <c r="DB34" s="24" t="s">
        <v>138</v>
      </c>
      <c r="DC34" s="25">
        <v>0.17</v>
      </c>
      <c r="DD34" s="24">
        <v>13</v>
      </c>
      <c r="DE34" s="25">
        <v>0</v>
      </c>
      <c r="DF34" s="23">
        <v>0</v>
      </c>
      <c r="DG34" s="25">
        <v>0.17</v>
      </c>
      <c r="DH34" s="24">
        <v>13</v>
      </c>
      <c r="DI34" s="25" t="s">
        <v>138</v>
      </c>
      <c r="DJ34" s="24" t="s">
        <v>138</v>
      </c>
      <c r="DK34" s="25" t="s">
        <v>138</v>
      </c>
      <c r="DL34" s="24" t="s">
        <v>138</v>
      </c>
      <c r="DM34" s="25">
        <v>0.17</v>
      </c>
      <c r="DN34" s="24">
        <v>14</v>
      </c>
      <c r="DO34" s="25" t="s">
        <v>138</v>
      </c>
      <c r="DP34" s="24" t="s">
        <v>138</v>
      </c>
      <c r="DQ34" s="24" t="s">
        <v>138</v>
      </c>
      <c r="DR34" s="26" t="s">
        <v>138</v>
      </c>
      <c r="DS34" s="23" t="s">
        <v>138</v>
      </c>
      <c r="DT34" s="24">
        <v>5</v>
      </c>
      <c r="DU34" s="26">
        <v>0</v>
      </c>
      <c r="DV34" s="23">
        <v>0</v>
      </c>
      <c r="DW34" s="24" t="s">
        <v>138</v>
      </c>
      <c r="DX34" s="27" t="s">
        <v>138</v>
      </c>
      <c r="DY34" s="23" t="s">
        <v>138</v>
      </c>
      <c r="DZ34" s="15" t="s">
        <v>178</v>
      </c>
      <c r="EA34" s="22">
        <v>43496</v>
      </c>
      <c r="EB34" s="17" t="s">
        <v>138</v>
      </c>
      <c r="EC34" s="22" t="s">
        <v>138</v>
      </c>
      <c r="ED34" s="15" t="s">
        <v>138</v>
      </c>
      <c r="EE34" s="14" t="str">
        <f>HYPERLINK("https://my.pitchbook.com?c=231442-03", "View company online")</f>
        <v>View company online</v>
      </c>
    </row>
    <row r="35" spans="1:135">
      <c r="A35" s="28" t="s">
        <v>950</v>
      </c>
      <c r="B35" s="28" t="s">
        <v>951</v>
      </c>
      <c r="C35" s="28" t="s">
        <v>138</v>
      </c>
      <c r="D35" s="28" t="s">
        <v>138</v>
      </c>
      <c r="E35" s="28" t="s">
        <v>952</v>
      </c>
      <c r="F35" s="28" t="s">
        <v>950</v>
      </c>
      <c r="G35" s="28" t="s">
        <v>953</v>
      </c>
      <c r="H35" s="28" t="s">
        <v>322</v>
      </c>
      <c r="I35" s="28" t="s">
        <v>323</v>
      </c>
      <c r="J35" s="28" t="s">
        <v>954</v>
      </c>
      <c r="K35" s="28" t="s">
        <v>955</v>
      </c>
      <c r="L35" s="28" t="s">
        <v>138</v>
      </c>
      <c r="M35" s="28" t="s">
        <v>956</v>
      </c>
      <c r="N35" s="28" t="s">
        <v>147</v>
      </c>
      <c r="O35" s="29">
        <v>50.89</v>
      </c>
      <c r="P35" s="28" t="s">
        <v>148</v>
      </c>
      <c r="Q35" s="28" t="s">
        <v>149</v>
      </c>
      <c r="R35" s="28" t="s">
        <v>244</v>
      </c>
      <c r="S35" s="28" t="s">
        <v>957</v>
      </c>
      <c r="T35" s="30">
        <v>90</v>
      </c>
      <c r="U35" s="28" t="s">
        <v>958</v>
      </c>
      <c r="V35" s="28" t="s">
        <v>138</v>
      </c>
      <c r="W35" s="28" t="s">
        <v>138</v>
      </c>
      <c r="X35" s="31" t="s">
        <v>138</v>
      </c>
      <c r="Y35" s="28" t="s">
        <v>138</v>
      </c>
      <c r="Z35" s="28" t="s">
        <v>138</v>
      </c>
      <c r="AA35" s="28" t="s">
        <v>138</v>
      </c>
      <c r="AB35" s="32" t="s">
        <v>138</v>
      </c>
      <c r="AC35" s="32" t="s">
        <v>138</v>
      </c>
      <c r="AD35" s="32" t="s">
        <v>138</v>
      </c>
      <c r="AE35" s="32" t="s">
        <v>138</v>
      </c>
      <c r="AF35" s="32" t="s">
        <v>138</v>
      </c>
      <c r="AG35" s="28" t="s">
        <v>138</v>
      </c>
      <c r="AH35" s="32" t="s">
        <v>138</v>
      </c>
      <c r="AI35" s="32" t="s">
        <v>138</v>
      </c>
      <c r="AJ35" s="32" t="s">
        <v>138</v>
      </c>
      <c r="AK35" s="28" t="s">
        <v>959</v>
      </c>
      <c r="AL35" s="28" t="s">
        <v>960</v>
      </c>
      <c r="AM35" s="28" t="s">
        <v>961</v>
      </c>
      <c r="AN35" s="28" t="s">
        <v>962</v>
      </c>
      <c r="AO35" s="28" t="s">
        <v>963</v>
      </c>
      <c r="AP35" s="28" t="s">
        <v>964</v>
      </c>
      <c r="AQ35" s="28" t="s">
        <v>965</v>
      </c>
      <c r="AR35" s="28" t="s">
        <v>158</v>
      </c>
      <c r="AS35" s="28" t="s">
        <v>966</v>
      </c>
      <c r="AT35" s="28" t="s">
        <v>200</v>
      </c>
      <c r="AU35" s="28" t="s">
        <v>967</v>
      </c>
      <c r="AV35" s="28" t="s">
        <v>162</v>
      </c>
      <c r="AW35" s="28" t="s">
        <v>963</v>
      </c>
      <c r="AX35" s="28" t="s">
        <v>138</v>
      </c>
      <c r="AY35" s="28" t="s">
        <v>968</v>
      </c>
      <c r="AZ35" s="28" t="s">
        <v>164</v>
      </c>
      <c r="BA35" s="28" t="s">
        <v>165</v>
      </c>
      <c r="BB35" s="28" t="s">
        <v>969</v>
      </c>
      <c r="BC35" s="28" t="s">
        <v>970</v>
      </c>
      <c r="BD35" s="33">
        <v>55</v>
      </c>
      <c r="BE35" s="28" t="s">
        <v>138</v>
      </c>
      <c r="BF35" s="28" t="s">
        <v>138</v>
      </c>
      <c r="BG35" s="28" t="s">
        <v>138</v>
      </c>
      <c r="BH35" s="28" t="s">
        <v>971</v>
      </c>
      <c r="BI35" s="28" t="s">
        <v>138</v>
      </c>
      <c r="BJ35" s="28" t="s">
        <v>138</v>
      </c>
      <c r="BK35" s="28" t="s">
        <v>972</v>
      </c>
      <c r="BL35" s="28" t="s">
        <v>973</v>
      </c>
      <c r="BM35" s="34">
        <v>40420</v>
      </c>
      <c r="BN35" s="29" t="s">
        <v>138</v>
      </c>
      <c r="BO35" s="28" t="s">
        <v>138</v>
      </c>
      <c r="BP35" s="29" t="s">
        <v>138</v>
      </c>
      <c r="BQ35" s="28" t="s">
        <v>138</v>
      </c>
      <c r="BR35" s="28" t="s">
        <v>316</v>
      </c>
      <c r="BS35" s="28" t="s">
        <v>138</v>
      </c>
      <c r="BT35" s="28" t="s">
        <v>138</v>
      </c>
      <c r="BU35" s="28" t="s">
        <v>177</v>
      </c>
      <c r="BV35" s="28" t="s">
        <v>138</v>
      </c>
      <c r="BW35" s="28" t="s">
        <v>138</v>
      </c>
      <c r="BX35" s="28" t="s">
        <v>138</v>
      </c>
      <c r="BY35" s="28" t="s">
        <v>175</v>
      </c>
      <c r="BZ35" s="34">
        <v>43510</v>
      </c>
      <c r="CA35" s="29">
        <v>12.52</v>
      </c>
      <c r="CB35" s="28" t="s">
        <v>172</v>
      </c>
      <c r="CC35" s="29">
        <v>87.52</v>
      </c>
      <c r="CD35" s="28" t="s">
        <v>172</v>
      </c>
      <c r="CE35" s="28" t="s">
        <v>173</v>
      </c>
      <c r="CF35" s="28" t="s">
        <v>974</v>
      </c>
      <c r="CG35" s="28" t="s">
        <v>138</v>
      </c>
      <c r="CH35" s="28" t="s">
        <v>174</v>
      </c>
      <c r="CI35" s="28" t="s">
        <v>138</v>
      </c>
      <c r="CJ35" s="28" t="s">
        <v>138</v>
      </c>
      <c r="CK35" s="28" t="s">
        <v>138</v>
      </c>
      <c r="CL35" s="28" t="s">
        <v>175</v>
      </c>
      <c r="CM35" s="34" t="s">
        <v>138</v>
      </c>
      <c r="CN35" s="29" t="s">
        <v>138</v>
      </c>
      <c r="CO35" s="35">
        <v>0.73</v>
      </c>
      <c r="CP35" s="36">
        <v>96</v>
      </c>
      <c r="CQ35" s="35">
        <v>0.13</v>
      </c>
      <c r="CR35" s="35">
        <v>21.28</v>
      </c>
      <c r="CS35" s="35">
        <v>1.1200000000000001</v>
      </c>
      <c r="CT35" s="36">
        <v>97</v>
      </c>
      <c r="CU35" s="35">
        <v>0.34</v>
      </c>
      <c r="CV35" s="36">
        <v>89</v>
      </c>
      <c r="CW35" s="35">
        <v>0.99</v>
      </c>
      <c r="CX35" s="36">
        <v>85</v>
      </c>
      <c r="CY35" s="35">
        <v>1.26</v>
      </c>
      <c r="CZ35" s="36">
        <v>99</v>
      </c>
      <c r="DA35" s="35">
        <v>0.34</v>
      </c>
      <c r="DB35" s="36">
        <v>90</v>
      </c>
      <c r="DC35" s="37">
        <v>709.87</v>
      </c>
      <c r="DD35" s="36">
        <v>100</v>
      </c>
      <c r="DE35" s="37">
        <v>-82.08</v>
      </c>
      <c r="DF35" s="35">
        <v>-10.36</v>
      </c>
      <c r="DG35" s="37">
        <v>1413.2</v>
      </c>
      <c r="DH35" s="36">
        <v>100</v>
      </c>
      <c r="DI35" s="37">
        <v>6.53</v>
      </c>
      <c r="DJ35" s="36">
        <v>81</v>
      </c>
      <c r="DK35" s="37">
        <v>2613.4699999999998</v>
      </c>
      <c r="DL35" s="36">
        <v>100</v>
      </c>
      <c r="DM35" s="37">
        <v>212.93</v>
      </c>
      <c r="DN35" s="36">
        <v>100</v>
      </c>
      <c r="DO35" s="37">
        <v>6.53</v>
      </c>
      <c r="DP35" s="36">
        <v>83</v>
      </c>
      <c r="DQ35" s="36">
        <v>893064</v>
      </c>
      <c r="DR35" s="38">
        <v>10062</v>
      </c>
      <c r="DS35" s="35">
        <v>1.1399999999999999</v>
      </c>
      <c r="DT35" s="36">
        <v>6092</v>
      </c>
      <c r="DU35" s="38">
        <v>252</v>
      </c>
      <c r="DV35" s="35">
        <v>4.32</v>
      </c>
      <c r="DW35" s="36">
        <v>2336</v>
      </c>
      <c r="DX35" s="39">
        <v>8</v>
      </c>
      <c r="DY35" s="35">
        <v>0.34</v>
      </c>
      <c r="DZ35" s="28" t="s">
        <v>178</v>
      </c>
      <c r="EA35" s="34">
        <v>43622</v>
      </c>
      <c r="EB35" s="29">
        <v>87.52</v>
      </c>
      <c r="EC35" s="34">
        <v>43510</v>
      </c>
      <c r="ED35" s="28" t="s">
        <v>173</v>
      </c>
      <c r="EE35" s="40" t="str">
        <f>HYPERLINK("https://my.pitchbook.com?c=54271-18", "View company online")</f>
        <v>View company online</v>
      </c>
    </row>
    <row r="36" spans="1:135">
      <c r="A36" s="15" t="s">
        <v>975</v>
      </c>
      <c r="B36" s="15" t="s">
        <v>976</v>
      </c>
      <c r="C36" s="15" t="s">
        <v>138</v>
      </c>
      <c r="D36" s="15" t="s">
        <v>977</v>
      </c>
      <c r="E36" s="15" t="s">
        <v>978</v>
      </c>
      <c r="F36" s="15" t="s">
        <v>975</v>
      </c>
      <c r="G36" s="15" t="s">
        <v>979</v>
      </c>
      <c r="H36" s="15" t="s">
        <v>322</v>
      </c>
      <c r="I36" s="15" t="s">
        <v>323</v>
      </c>
      <c r="J36" s="15" t="s">
        <v>954</v>
      </c>
      <c r="K36" s="15" t="s">
        <v>980</v>
      </c>
      <c r="L36" s="15" t="s">
        <v>242</v>
      </c>
      <c r="M36" s="15" t="s">
        <v>981</v>
      </c>
      <c r="N36" s="15" t="s">
        <v>147</v>
      </c>
      <c r="O36" s="17">
        <v>30</v>
      </c>
      <c r="P36" s="15" t="s">
        <v>148</v>
      </c>
      <c r="Q36" s="15" t="s">
        <v>149</v>
      </c>
      <c r="R36" s="15" t="s">
        <v>174</v>
      </c>
      <c r="S36" s="15" t="s">
        <v>982</v>
      </c>
      <c r="T36" s="18">
        <v>90</v>
      </c>
      <c r="U36" s="15" t="s">
        <v>983</v>
      </c>
      <c r="V36" s="15" t="s">
        <v>138</v>
      </c>
      <c r="W36" s="15" t="s">
        <v>138</v>
      </c>
      <c r="X36" s="19">
        <v>2011</v>
      </c>
      <c r="Y36" s="15" t="s">
        <v>138</v>
      </c>
      <c r="Z36" s="15" t="s">
        <v>138</v>
      </c>
      <c r="AA36" s="15" t="s">
        <v>138</v>
      </c>
      <c r="AB36" s="20">
        <v>3.5</v>
      </c>
      <c r="AC36" s="20" t="s">
        <v>138</v>
      </c>
      <c r="AD36" s="20" t="s">
        <v>138</v>
      </c>
      <c r="AE36" s="20" t="s">
        <v>138</v>
      </c>
      <c r="AF36" s="20" t="s">
        <v>138</v>
      </c>
      <c r="AG36" s="15" t="s">
        <v>514</v>
      </c>
      <c r="AH36" s="20" t="s">
        <v>138</v>
      </c>
      <c r="AI36" s="20" t="s">
        <v>138</v>
      </c>
      <c r="AJ36" s="20" t="s">
        <v>138</v>
      </c>
      <c r="AK36" s="15" t="s">
        <v>984</v>
      </c>
      <c r="AL36" s="15" t="s">
        <v>985</v>
      </c>
      <c r="AM36" s="15" t="s">
        <v>986</v>
      </c>
      <c r="AN36" s="15" t="s">
        <v>987</v>
      </c>
      <c r="AO36" s="15" t="s">
        <v>138</v>
      </c>
      <c r="AP36" s="15" t="s">
        <v>423</v>
      </c>
      <c r="AQ36" s="15" t="s">
        <v>988</v>
      </c>
      <c r="AR36" s="15" t="s">
        <v>138</v>
      </c>
      <c r="AS36" s="15" t="s">
        <v>426</v>
      </c>
      <c r="AT36" s="15" t="s">
        <v>426</v>
      </c>
      <c r="AU36" s="15" t="s">
        <v>619</v>
      </c>
      <c r="AV36" s="15" t="s">
        <v>162</v>
      </c>
      <c r="AW36" s="15" t="s">
        <v>138</v>
      </c>
      <c r="AX36" s="15" t="s">
        <v>138</v>
      </c>
      <c r="AY36" s="15" t="s">
        <v>989</v>
      </c>
      <c r="AZ36" s="15" t="s">
        <v>164</v>
      </c>
      <c r="BA36" s="15" t="s">
        <v>165</v>
      </c>
      <c r="BB36" s="15" t="s">
        <v>990</v>
      </c>
      <c r="BC36" s="15" t="s">
        <v>991</v>
      </c>
      <c r="BD36" s="21">
        <v>18</v>
      </c>
      <c r="BE36" s="15" t="s">
        <v>138</v>
      </c>
      <c r="BF36" s="15" t="s">
        <v>138</v>
      </c>
      <c r="BG36" s="15" t="s">
        <v>138</v>
      </c>
      <c r="BH36" s="15" t="s">
        <v>992</v>
      </c>
      <c r="BI36" s="15" t="s">
        <v>138</v>
      </c>
      <c r="BJ36" s="15" t="s">
        <v>138</v>
      </c>
      <c r="BK36" s="15" t="s">
        <v>138</v>
      </c>
      <c r="BL36" s="15" t="s">
        <v>993</v>
      </c>
      <c r="BM36" s="22">
        <v>40909</v>
      </c>
      <c r="BN36" s="17">
        <v>0.95</v>
      </c>
      <c r="BO36" s="15" t="s">
        <v>172</v>
      </c>
      <c r="BP36" s="17">
        <v>4.87</v>
      </c>
      <c r="BQ36" s="15" t="s">
        <v>172</v>
      </c>
      <c r="BR36" s="15" t="s">
        <v>205</v>
      </c>
      <c r="BS36" s="15" t="s">
        <v>206</v>
      </c>
      <c r="BT36" s="15" t="s">
        <v>138</v>
      </c>
      <c r="BU36" s="15" t="s">
        <v>174</v>
      </c>
      <c r="BV36" s="15" t="s">
        <v>138</v>
      </c>
      <c r="BW36" s="15" t="s">
        <v>138</v>
      </c>
      <c r="BX36" s="15" t="s">
        <v>138</v>
      </c>
      <c r="BY36" s="15" t="s">
        <v>175</v>
      </c>
      <c r="BZ36" s="22" t="s">
        <v>138</v>
      </c>
      <c r="CA36" s="17" t="s">
        <v>138</v>
      </c>
      <c r="CB36" s="15" t="s">
        <v>138</v>
      </c>
      <c r="CC36" s="17" t="s">
        <v>138</v>
      </c>
      <c r="CD36" s="15" t="s">
        <v>138</v>
      </c>
      <c r="CE36" s="15" t="s">
        <v>173</v>
      </c>
      <c r="CF36" s="15" t="s">
        <v>138</v>
      </c>
      <c r="CG36" s="15" t="s">
        <v>138</v>
      </c>
      <c r="CH36" s="15" t="s">
        <v>174</v>
      </c>
      <c r="CI36" s="15" t="s">
        <v>138</v>
      </c>
      <c r="CJ36" s="15" t="s">
        <v>138</v>
      </c>
      <c r="CK36" s="15" t="s">
        <v>138</v>
      </c>
      <c r="CL36" s="15" t="s">
        <v>175</v>
      </c>
      <c r="CM36" s="22" t="s">
        <v>138</v>
      </c>
      <c r="CN36" s="17" t="s">
        <v>138</v>
      </c>
      <c r="CO36" s="23">
        <v>-0.45</v>
      </c>
      <c r="CP36" s="24">
        <v>17</v>
      </c>
      <c r="CQ36" s="23">
        <v>-0.02</v>
      </c>
      <c r="CR36" s="23">
        <v>-5.43</v>
      </c>
      <c r="CS36" s="23">
        <v>-1.34</v>
      </c>
      <c r="CT36" s="24">
        <v>13</v>
      </c>
      <c r="CU36" s="23">
        <v>-0.1</v>
      </c>
      <c r="CV36" s="24">
        <v>4</v>
      </c>
      <c r="CW36" s="23">
        <v>-0.38</v>
      </c>
      <c r="CX36" s="24">
        <v>12</v>
      </c>
      <c r="CY36" s="23">
        <v>-2.2999999999999998</v>
      </c>
      <c r="CZ36" s="24">
        <v>10</v>
      </c>
      <c r="DA36" s="23">
        <v>-0.1</v>
      </c>
      <c r="DB36" s="24">
        <v>6</v>
      </c>
      <c r="DC36" s="25">
        <v>434.88</v>
      </c>
      <c r="DD36" s="24">
        <v>100</v>
      </c>
      <c r="DE36" s="25">
        <v>-4.8600000000000003</v>
      </c>
      <c r="DF36" s="23">
        <v>-1.1000000000000001</v>
      </c>
      <c r="DG36" s="25">
        <v>288.58999999999997</v>
      </c>
      <c r="DH36" s="24">
        <v>100</v>
      </c>
      <c r="DI36" s="25">
        <v>800.17</v>
      </c>
      <c r="DJ36" s="24">
        <v>100</v>
      </c>
      <c r="DK36" s="25">
        <v>435.25</v>
      </c>
      <c r="DL36" s="24">
        <v>100</v>
      </c>
      <c r="DM36" s="25">
        <v>141.93</v>
      </c>
      <c r="DN36" s="24">
        <v>100</v>
      </c>
      <c r="DO36" s="25">
        <v>800.17</v>
      </c>
      <c r="DP36" s="24">
        <v>100</v>
      </c>
      <c r="DQ36" s="24">
        <v>149528</v>
      </c>
      <c r="DR36" s="26">
        <v>-712</v>
      </c>
      <c r="DS36" s="23">
        <v>-0.47</v>
      </c>
      <c r="DT36" s="24">
        <v>4121</v>
      </c>
      <c r="DU36" s="26">
        <v>-10</v>
      </c>
      <c r="DV36" s="23">
        <v>-0.24</v>
      </c>
      <c r="DW36" s="24">
        <v>286580</v>
      </c>
      <c r="DX36" s="27">
        <v>-270</v>
      </c>
      <c r="DY36" s="23">
        <v>-0.09</v>
      </c>
      <c r="DZ36" s="15" t="s">
        <v>178</v>
      </c>
      <c r="EA36" s="22">
        <v>43594</v>
      </c>
      <c r="EB36" s="17">
        <v>115</v>
      </c>
      <c r="EC36" s="22">
        <v>42282</v>
      </c>
      <c r="ED36" s="15" t="s">
        <v>205</v>
      </c>
      <c r="EE36" s="14" t="str">
        <f>HYPERLINK("https://my.pitchbook.com?c=54096-31", "View company online")</f>
        <v>View company online</v>
      </c>
    </row>
    <row r="37" spans="1:135">
      <c r="A37" s="28" t="s">
        <v>994</v>
      </c>
      <c r="B37" s="28" t="s">
        <v>995</v>
      </c>
      <c r="C37" s="28" t="s">
        <v>138</v>
      </c>
      <c r="D37" s="28" t="s">
        <v>138</v>
      </c>
      <c r="E37" s="28" t="s">
        <v>138</v>
      </c>
      <c r="F37" s="28" t="s">
        <v>994</v>
      </c>
      <c r="G37" s="28" t="s">
        <v>996</v>
      </c>
      <c r="H37" s="28" t="s">
        <v>238</v>
      </c>
      <c r="I37" s="28" t="s">
        <v>997</v>
      </c>
      <c r="J37" s="28" t="s">
        <v>998</v>
      </c>
      <c r="K37" s="28" t="s">
        <v>999</v>
      </c>
      <c r="L37" s="28" t="s">
        <v>138</v>
      </c>
      <c r="M37" s="28" t="s">
        <v>1000</v>
      </c>
      <c r="N37" s="28" t="s">
        <v>147</v>
      </c>
      <c r="O37" s="29" t="s">
        <v>138</v>
      </c>
      <c r="P37" s="28" t="s">
        <v>148</v>
      </c>
      <c r="Q37" s="28" t="s">
        <v>149</v>
      </c>
      <c r="R37" s="28" t="s">
        <v>174</v>
      </c>
      <c r="S37" s="28" t="s">
        <v>1001</v>
      </c>
      <c r="T37" s="30" t="s">
        <v>138</v>
      </c>
      <c r="U37" s="28" t="s">
        <v>138</v>
      </c>
      <c r="V37" s="28" t="s">
        <v>138</v>
      </c>
      <c r="W37" s="28" t="s">
        <v>138</v>
      </c>
      <c r="X37" s="31">
        <v>2016</v>
      </c>
      <c r="Y37" s="28" t="s">
        <v>138</v>
      </c>
      <c r="Z37" s="28" t="s">
        <v>138</v>
      </c>
      <c r="AA37" s="28" t="s">
        <v>138</v>
      </c>
      <c r="AB37" s="32" t="s">
        <v>138</v>
      </c>
      <c r="AC37" s="32" t="s">
        <v>138</v>
      </c>
      <c r="AD37" s="32">
        <v>-0.69</v>
      </c>
      <c r="AE37" s="32" t="s">
        <v>138</v>
      </c>
      <c r="AF37" s="32" t="s">
        <v>138</v>
      </c>
      <c r="AG37" s="28" t="s">
        <v>419</v>
      </c>
      <c r="AH37" s="32" t="s">
        <v>138</v>
      </c>
      <c r="AI37" s="32" t="s">
        <v>138</v>
      </c>
      <c r="AJ37" s="32" t="s">
        <v>138</v>
      </c>
      <c r="AK37" s="28" t="s">
        <v>1002</v>
      </c>
      <c r="AL37" s="28" t="s">
        <v>1003</v>
      </c>
      <c r="AM37" s="28" t="s">
        <v>1004</v>
      </c>
      <c r="AN37" s="28" t="s">
        <v>1005</v>
      </c>
      <c r="AO37" s="28" t="s">
        <v>138</v>
      </c>
      <c r="AP37" s="28" t="s">
        <v>1006</v>
      </c>
      <c r="AQ37" s="28" t="s">
        <v>1007</v>
      </c>
      <c r="AR37" s="28" t="s">
        <v>138</v>
      </c>
      <c r="AS37" s="28" t="s">
        <v>1008</v>
      </c>
      <c r="AT37" s="28" t="s">
        <v>138</v>
      </c>
      <c r="AU37" s="28" t="s">
        <v>1009</v>
      </c>
      <c r="AV37" s="28" t="s">
        <v>946</v>
      </c>
      <c r="AW37" s="28" t="s">
        <v>138</v>
      </c>
      <c r="AX37" s="28" t="s">
        <v>138</v>
      </c>
      <c r="AY37" s="28" t="s">
        <v>1010</v>
      </c>
      <c r="AZ37" s="28" t="s">
        <v>530</v>
      </c>
      <c r="BA37" s="28" t="s">
        <v>531</v>
      </c>
      <c r="BB37" s="28" t="s">
        <v>1011</v>
      </c>
      <c r="BC37" s="28" t="s">
        <v>1012</v>
      </c>
      <c r="BD37" s="33">
        <v>1</v>
      </c>
      <c r="BE37" s="28" t="s">
        <v>138</v>
      </c>
      <c r="BF37" s="28" t="s">
        <v>138</v>
      </c>
      <c r="BG37" s="28" t="s">
        <v>138</v>
      </c>
      <c r="BH37" s="28" t="s">
        <v>1013</v>
      </c>
      <c r="BI37" s="28" t="s">
        <v>138</v>
      </c>
      <c r="BJ37" s="28" t="s">
        <v>138</v>
      </c>
      <c r="BK37" s="28" t="s">
        <v>138</v>
      </c>
      <c r="BL37" s="28" t="s">
        <v>138</v>
      </c>
      <c r="BM37" s="34" t="s">
        <v>138</v>
      </c>
      <c r="BN37" s="29" t="s">
        <v>138</v>
      </c>
      <c r="BO37" s="28" t="s">
        <v>138</v>
      </c>
      <c r="BP37" s="29" t="s">
        <v>138</v>
      </c>
      <c r="BQ37" s="28" t="s">
        <v>138</v>
      </c>
      <c r="BR37" s="28" t="s">
        <v>205</v>
      </c>
      <c r="BS37" s="28" t="s">
        <v>138</v>
      </c>
      <c r="BT37" s="28" t="s">
        <v>138</v>
      </c>
      <c r="BU37" s="28" t="s">
        <v>174</v>
      </c>
      <c r="BV37" s="28" t="s">
        <v>138</v>
      </c>
      <c r="BW37" s="28" t="s">
        <v>138</v>
      </c>
      <c r="BX37" s="28" t="s">
        <v>138</v>
      </c>
      <c r="BY37" s="28" t="s">
        <v>175</v>
      </c>
      <c r="BZ37" s="34" t="s">
        <v>138</v>
      </c>
      <c r="CA37" s="29" t="s">
        <v>138</v>
      </c>
      <c r="CB37" s="28" t="s">
        <v>138</v>
      </c>
      <c r="CC37" s="29" t="s">
        <v>138</v>
      </c>
      <c r="CD37" s="28" t="s">
        <v>138</v>
      </c>
      <c r="CE37" s="28" t="s">
        <v>205</v>
      </c>
      <c r="CF37" s="28" t="s">
        <v>138</v>
      </c>
      <c r="CG37" s="28" t="s">
        <v>138</v>
      </c>
      <c r="CH37" s="28" t="s">
        <v>174</v>
      </c>
      <c r="CI37" s="28" t="s">
        <v>138</v>
      </c>
      <c r="CJ37" s="28" t="s">
        <v>138</v>
      </c>
      <c r="CK37" s="28" t="s">
        <v>138</v>
      </c>
      <c r="CL37" s="28" t="s">
        <v>175</v>
      </c>
      <c r="CM37" s="34" t="s">
        <v>138</v>
      </c>
      <c r="CN37" s="29" t="s">
        <v>138</v>
      </c>
      <c r="CO37" s="35">
        <v>0.01</v>
      </c>
      <c r="CP37" s="36">
        <v>84</v>
      </c>
      <c r="CQ37" s="35">
        <v>0</v>
      </c>
      <c r="CR37" s="35">
        <v>0</v>
      </c>
      <c r="CS37" s="35">
        <v>0</v>
      </c>
      <c r="CT37" s="36">
        <v>23</v>
      </c>
      <c r="CU37" s="35">
        <v>0.02</v>
      </c>
      <c r="CV37" s="36">
        <v>51</v>
      </c>
      <c r="CW37" s="35" t="s">
        <v>138</v>
      </c>
      <c r="CX37" s="36" t="s">
        <v>138</v>
      </c>
      <c r="CY37" s="35">
        <v>0</v>
      </c>
      <c r="CZ37" s="36">
        <v>25</v>
      </c>
      <c r="DA37" s="35">
        <v>0</v>
      </c>
      <c r="DB37" s="36">
        <v>22</v>
      </c>
      <c r="DC37" s="37">
        <v>5.0999999999999996</v>
      </c>
      <c r="DD37" s="36">
        <v>83</v>
      </c>
      <c r="DE37" s="37">
        <v>-0.01</v>
      </c>
      <c r="DF37" s="35">
        <v>-0.1</v>
      </c>
      <c r="DG37" s="37">
        <v>0.55000000000000004</v>
      </c>
      <c r="DH37" s="36">
        <v>36</v>
      </c>
      <c r="DI37" s="37">
        <v>9.65</v>
      </c>
      <c r="DJ37" s="36">
        <v>85</v>
      </c>
      <c r="DK37" s="37" t="s">
        <v>138</v>
      </c>
      <c r="DL37" s="36" t="s">
        <v>138</v>
      </c>
      <c r="DM37" s="37">
        <v>0.55000000000000004</v>
      </c>
      <c r="DN37" s="36">
        <v>36</v>
      </c>
      <c r="DO37" s="37">
        <v>7.0000000000000007E-2</v>
      </c>
      <c r="DP37" s="36">
        <v>13</v>
      </c>
      <c r="DQ37" s="36" t="s">
        <v>138</v>
      </c>
      <c r="DR37" s="38" t="s">
        <v>138</v>
      </c>
      <c r="DS37" s="35" t="s">
        <v>138</v>
      </c>
      <c r="DT37" s="36">
        <v>16</v>
      </c>
      <c r="DU37" s="38">
        <v>0</v>
      </c>
      <c r="DV37" s="35">
        <v>0</v>
      </c>
      <c r="DW37" s="36">
        <v>25</v>
      </c>
      <c r="DX37" s="39">
        <v>1</v>
      </c>
      <c r="DY37" s="35">
        <v>4.17</v>
      </c>
      <c r="DZ37" s="28" t="s">
        <v>178</v>
      </c>
      <c r="EA37" s="34">
        <v>43448</v>
      </c>
      <c r="EB37" s="29" t="s">
        <v>138</v>
      </c>
      <c r="EC37" s="34" t="s">
        <v>138</v>
      </c>
      <c r="ED37" s="28" t="s">
        <v>138</v>
      </c>
      <c r="EE37" s="40" t="str">
        <f>HYPERLINK("https://my.pitchbook.com?c=168806-35", "View company online")</f>
        <v>View company online</v>
      </c>
    </row>
    <row r="38" spans="1:135">
      <c r="A38" s="15" t="s">
        <v>1014</v>
      </c>
      <c r="B38" s="15" t="s">
        <v>1015</v>
      </c>
      <c r="C38" s="15" t="s">
        <v>138</v>
      </c>
      <c r="D38" s="15" t="s">
        <v>138</v>
      </c>
      <c r="E38" s="15" t="s">
        <v>1016</v>
      </c>
      <c r="F38" s="15" t="s">
        <v>1014</v>
      </c>
      <c r="G38" s="15" t="s">
        <v>1017</v>
      </c>
      <c r="H38" s="15" t="s">
        <v>238</v>
      </c>
      <c r="I38" s="15" t="s">
        <v>1018</v>
      </c>
      <c r="J38" s="15" t="s">
        <v>1019</v>
      </c>
      <c r="K38" s="15" t="s">
        <v>1020</v>
      </c>
      <c r="L38" s="15" t="s">
        <v>1021</v>
      </c>
      <c r="M38" s="15" t="s">
        <v>1022</v>
      </c>
      <c r="N38" s="15" t="s">
        <v>147</v>
      </c>
      <c r="O38" s="17">
        <v>15.92</v>
      </c>
      <c r="P38" s="15" t="s">
        <v>812</v>
      </c>
      <c r="Q38" s="15" t="s">
        <v>149</v>
      </c>
      <c r="R38" s="15" t="s">
        <v>174</v>
      </c>
      <c r="S38" s="15" t="s">
        <v>1023</v>
      </c>
      <c r="T38" s="18">
        <v>32</v>
      </c>
      <c r="U38" s="15" t="s">
        <v>1024</v>
      </c>
      <c r="V38" s="15" t="s">
        <v>138</v>
      </c>
      <c r="W38" s="15" t="s">
        <v>138</v>
      </c>
      <c r="X38" s="19">
        <v>2015</v>
      </c>
      <c r="Y38" s="15" t="s">
        <v>138</v>
      </c>
      <c r="Z38" s="15" t="s">
        <v>138</v>
      </c>
      <c r="AA38" s="15" t="s">
        <v>138</v>
      </c>
      <c r="AB38" s="20" t="s">
        <v>138</v>
      </c>
      <c r="AC38" s="20" t="s">
        <v>138</v>
      </c>
      <c r="AD38" s="20" t="s">
        <v>138</v>
      </c>
      <c r="AE38" s="20" t="s">
        <v>138</v>
      </c>
      <c r="AF38" s="20" t="s">
        <v>138</v>
      </c>
      <c r="AG38" s="15" t="s">
        <v>138</v>
      </c>
      <c r="AH38" s="20" t="s">
        <v>138</v>
      </c>
      <c r="AI38" s="20" t="s">
        <v>138</v>
      </c>
      <c r="AJ38" s="20" t="s">
        <v>138</v>
      </c>
      <c r="AK38" s="15" t="s">
        <v>1025</v>
      </c>
      <c r="AL38" s="15" t="s">
        <v>1026</v>
      </c>
      <c r="AM38" s="15" t="s">
        <v>221</v>
      </c>
      <c r="AN38" s="15" t="s">
        <v>1027</v>
      </c>
      <c r="AO38" s="15" t="s">
        <v>138</v>
      </c>
      <c r="AP38" s="15" t="s">
        <v>1028</v>
      </c>
      <c r="AQ38" s="15" t="s">
        <v>1029</v>
      </c>
      <c r="AR38" s="15" t="s">
        <v>1030</v>
      </c>
      <c r="AS38" s="15" t="s">
        <v>1031</v>
      </c>
      <c r="AT38" s="15" t="s">
        <v>1032</v>
      </c>
      <c r="AU38" s="15" t="s">
        <v>1033</v>
      </c>
      <c r="AV38" s="15" t="s">
        <v>162</v>
      </c>
      <c r="AW38" s="15" t="s">
        <v>138</v>
      </c>
      <c r="AX38" s="15" t="s">
        <v>138</v>
      </c>
      <c r="AY38" s="15" t="s">
        <v>1034</v>
      </c>
      <c r="AZ38" s="15" t="s">
        <v>164</v>
      </c>
      <c r="BA38" s="15" t="s">
        <v>165</v>
      </c>
      <c r="BB38" s="15" t="s">
        <v>1035</v>
      </c>
      <c r="BC38" s="15" t="s">
        <v>1036</v>
      </c>
      <c r="BD38" s="21">
        <v>11</v>
      </c>
      <c r="BE38" s="15" t="s">
        <v>138</v>
      </c>
      <c r="BF38" s="15" t="s">
        <v>138</v>
      </c>
      <c r="BG38" s="15" t="s">
        <v>138</v>
      </c>
      <c r="BH38" s="15" t="s">
        <v>1037</v>
      </c>
      <c r="BI38" s="15" t="s">
        <v>138</v>
      </c>
      <c r="BJ38" s="15" t="s">
        <v>138</v>
      </c>
      <c r="BK38" s="15" t="s">
        <v>1038</v>
      </c>
      <c r="BL38" s="15" t="s">
        <v>1038</v>
      </c>
      <c r="BM38" s="22" t="s">
        <v>138</v>
      </c>
      <c r="BN38" s="17" t="s">
        <v>138</v>
      </c>
      <c r="BO38" s="15" t="s">
        <v>138</v>
      </c>
      <c r="BP38" s="17" t="s">
        <v>138</v>
      </c>
      <c r="BQ38" s="15" t="s">
        <v>138</v>
      </c>
      <c r="BR38" s="15" t="s">
        <v>234</v>
      </c>
      <c r="BS38" s="15" t="s">
        <v>234</v>
      </c>
      <c r="BT38" s="15" t="s">
        <v>138</v>
      </c>
      <c r="BU38" s="15" t="s">
        <v>174</v>
      </c>
      <c r="BV38" s="15" t="s">
        <v>138</v>
      </c>
      <c r="BW38" s="15" t="s">
        <v>138</v>
      </c>
      <c r="BX38" s="15" t="s">
        <v>138</v>
      </c>
      <c r="BY38" s="15" t="s">
        <v>175</v>
      </c>
      <c r="BZ38" s="22">
        <v>43138</v>
      </c>
      <c r="CA38" s="17">
        <v>13.7</v>
      </c>
      <c r="CB38" s="15" t="s">
        <v>172</v>
      </c>
      <c r="CC38" s="17">
        <v>45.7</v>
      </c>
      <c r="CD38" s="15" t="s">
        <v>172</v>
      </c>
      <c r="CE38" s="15" t="s">
        <v>205</v>
      </c>
      <c r="CF38" s="15" t="s">
        <v>206</v>
      </c>
      <c r="CG38" s="15" t="s">
        <v>138</v>
      </c>
      <c r="CH38" s="15" t="s">
        <v>174</v>
      </c>
      <c r="CI38" s="15" t="s">
        <v>138</v>
      </c>
      <c r="CJ38" s="15" t="s">
        <v>138</v>
      </c>
      <c r="CK38" s="15" t="s">
        <v>138</v>
      </c>
      <c r="CL38" s="15" t="s">
        <v>175</v>
      </c>
      <c r="CM38" s="22" t="s">
        <v>138</v>
      </c>
      <c r="CN38" s="17" t="s">
        <v>138</v>
      </c>
      <c r="CO38" s="23">
        <v>2.59</v>
      </c>
      <c r="CP38" s="24">
        <v>99</v>
      </c>
      <c r="CQ38" s="23">
        <v>0</v>
      </c>
      <c r="CR38" s="23">
        <v>-7.0000000000000007E-2</v>
      </c>
      <c r="CS38" s="23">
        <v>3.23</v>
      </c>
      <c r="CT38" s="24">
        <v>99</v>
      </c>
      <c r="CU38" s="23">
        <v>0.01</v>
      </c>
      <c r="CV38" s="24">
        <v>49</v>
      </c>
      <c r="CW38" s="23">
        <v>7.3</v>
      </c>
      <c r="CX38" s="24">
        <v>98</v>
      </c>
      <c r="CY38" s="23">
        <v>-0.85</v>
      </c>
      <c r="CZ38" s="24">
        <v>20</v>
      </c>
      <c r="DA38" s="23">
        <v>0.04</v>
      </c>
      <c r="DB38" s="24">
        <v>62</v>
      </c>
      <c r="DC38" s="25">
        <v>26.39</v>
      </c>
      <c r="DD38" s="24">
        <v>96</v>
      </c>
      <c r="DE38" s="25">
        <v>-0.13</v>
      </c>
      <c r="DF38" s="23">
        <v>-0.5</v>
      </c>
      <c r="DG38" s="25">
        <v>10.58</v>
      </c>
      <c r="DH38" s="24">
        <v>90</v>
      </c>
      <c r="DI38" s="25">
        <v>61.99</v>
      </c>
      <c r="DJ38" s="24">
        <v>96</v>
      </c>
      <c r="DK38" s="25">
        <v>12.58</v>
      </c>
      <c r="DL38" s="24">
        <v>89</v>
      </c>
      <c r="DM38" s="25">
        <v>8.59</v>
      </c>
      <c r="DN38" s="24">
        <v>87</v>
      </c>
      <c r="DO38" s="25">
        <v>5.49</v>
      </c>
      <c r="DP38" s="24">
        <v>80</v>
      </c>
      <c r="DQ38" s="24">
        <v>4153</v>
      </c>
      <c r="DR38" s="26">
        <v>486</v>
      </c>
      <c r="DS38" s="23">
        <v>13.25</v>
      </c>
      <c r="DT38" s="24">
        <v>248</v>
      </c>
      <c r="DU38" s="26">
        <v>1</v>
      </c>
      <c r="DV38" s="23">
        <v>0.4</v>
      </c>
      <c r="DW38" s="24">
        <v>1967</v>
      </c>
      <c r="DX38" s="27">
        <v>1</v>
      </c>
      <c r="DY38" s="23">
        <v>0.05</v>
      </c>
      <c r="DZ38" s="15" t="s">
        <v>178</v>
      </c>
      <c r="EA38" s="22">
        <v>43602</v>
      </c>
      <c r="EB38" s="17">
        <v>45.7</v>
      </c>
      <c r="EC38" s="22">
        <v>43138</v>
      </c>
      <c r="ED38" s="15" t="s">
        <v>205</v>
      </c>
      <c r="EE38" s="14" t="str">
        <f>HYPERLINK("https://my.pitchbook.com?c=162494-56", "View company online")</f>
        <v>View company online</v>
      </c>
    </row>
    <row r="39" spans="1:135">
      <c r="A39" s="28" t="s">
        <v>1039</v>
      </c>
      <c r="B39" s="28" t="s">
        <v>1040</v>
      </c>
      <c r="C39" s="28" t="s">
        <v>138</v>
      </c>
      <c r="D39" s="28" t="s">
        <v>138</v>
      </c>
      <c r="E39" s="28" t="s">
        <v>138</v>
      </c>
      <c r="F39" s="28" t="s">
        <v>1039</v>
      </c>
      <c r="G39" s="28" t="s">
        <v>1041</v>
      </c>
      <c r="H39" s="28" t="s">
        <v>238</v>
      </c>
      <c r="I39" s="28" t="s">
        <v>749</v>
      </c>
      <c r="J39" s="28" t="s">
        <v>750</v>
      </c>
      <c r="K39" s="28" t="s">
        <v>751</v>
      </c>
      <c r="L39" s="28" t="s">
        <v>138</v>
      </c>
      <c r="M39" s="28" t="s">
        <v>1042</v>
      </c>
      <c r="N39" s="28" t="s">
        <v>147</v>
      </c>
      <c r="O39" s="29">
        <v>5.93</v>
      </c>
      <c r="P39" s="28" t="s">
        <v>148</v>
      </c>
      <c r="Q39" s="28" t="s">
        <v>149</v>
      </c>
      <c r="R39" s="28" t="s">
        <v>328</v>
      </c>
      <c r="S39" s="28" t="s">
        <v>1043</v>
      </c>
      <c r="T39" s="30">
        <v>30</v>
      </c>
      <c r="U39" s="28" t="s">
        <v>1044</v>
      </c>
      <c r="V39" s="28" t="s">
        <v>138</v>
      </c>
      <c r="W39" s="28" t="s">
        <v>138</v>
      </c>
      <c r="X39" s="31">
        <v>2012</v>
      </c>
      <c r="Y39" s="28" t="s">
        <v>138</v>
      </c>
      <c r="Z39" s="28" t="s">
        <v>138</v>
      </c>
      <c r="AA39" s="28" t="s">
        <v>138</v>
      </c>
      <c r="AB39" s="32">
        <v>0.42</v>
      </c>
      <c r="AC39" s="32" t="s">
        <v>138</v>
      </c>
      <c r="AD39" s="32">
        <v>-1.5</v>
      </c>
      <c r="AE39" s="32" t="s">
        <v>138</v>
      </c>
      <c r="AF39" s="32" t="s">
        <v>138</v>
      </c>
      <c r="AG39" s="28" t="s">
        <v>563</v>
      </c>
      <c r="AH39" s="32" t="s">
        <v>138</v>
      </c>
      <c r="AI39" s="32" t="s">
        <v>138</v>
      </c>
      <c r="AJ39" s="32" t="s">
        <v>138</v>
      </c>
      <c r="AK39" s="28" t="s">
        <v>1045</v>
      </c>
      <c r="AL39" s="28" t="s">
        <v>1046</v>
      </c>
      <c r="AM39" s="28" t="s">
        <v>1047</v>
      </c>
      <c r="AN39" s="28" t="s">
        <v>1048</v>
      </c>
      <c r="AO39" s="28" t="s">
        <v>1049</v>
      </c>
      <c r="AP39" s="28" t="s">
        <v>1050</v>
      </c>
      <c r="AQ39" s="28" t="s">
        <v>1051</v>
      </c>
      <c r="AR39" s="28" t="s">
        <v>138</v>
      </c>
      <c r="AS39" s="28" t="s">
        <v>1052</v>
      </c>
      <c r="AT39" s="28" t="s">
        <v>138</v>
      </c>
      <c r="AU39" s="28" t="s">
        <v>1053</v>
      </c>
      <c r="AV39" s="28" t="s">
        <v>1054</v>
      </c>
      <c r="AW39" s="28" t="s">
        <v>1049</v>
      </c>
      <c r="AX39" s="28" t="s">
        <v>138</v>
      </c>
      <c r="AY39" s="28" t="s">
        <v>1055</v>
      </c>
      <c r="AZ39" s="28" t="s">
        <v>530</v>
      </c>
      <c r="BA39" s="28" t="s">
        <v>531</v>
      </c>
      <c r="BB39" s="28" t="s">
        <v>1056</v>
      </c>
      <c r="BC39" s="28" t="s">
        <v>1057</v>
      </c>
      <c r="BD39" s="33">
        <v>5</v>
      </c>
      <c r="BE39" s="28" t="s">
        <v>138</v>
      </c>
      <c r="BF39" s="28" t="s">
        <v>138</v>
      </c>
      <c r="BG39" s="28" t="s">
        <v>138</v>
      </c>
      <c r="BH39" s="28" t="s">
        <v>1058</v>
      </c>
      <c r="BI39" s="28" t="s">
        <v>138</v>
      </c>
      <c r="BJ39" s="28" t="s">
        <v>138</v>
      </c>
      <c r="BK39" s="28" t="s">
        <v>138</v>
      </c>
      <c r="BL39" s="28" t="s">
        <v>1059</v>
      </c>
      <c r="BM39" s="34">
        <v>41716</v>
      </c>
      <c r="BN39" s="29">
        <v>2.0699999999999998</v>
      </c>
      <c r="BO39" s="28" t="s">
        <v>172</v>
      </c>
      <c r="BP39" s="29" t="s">
        <v>138</v>
      </c>
      <c r="BQ39" s="28" t="s">
        <v>138</v>
      </c>
      <c r="BR39" s="28" t="s">
        <v>205</v>
      </c>
      <c r="BS39" s="28" t="s">
        <v>138</v>
      </c>
      <c r="BT39" s="28" t="s">
        <v>138</v>
      </c>
      <c r="BU39" s="28" t="s">
        <v>174</v>
      </c>
      <c r="BV39" s="28" t="s">
        <v>138</v>
      </c>
      <c r="BW39" s="28" t="s">
        <v>138</v>
      </c>
      <c r="BX39" s="28" t="s">
        <v>138</v>
      </c>
      <c r="BY39" s="28" t="s">
        <v>175</v>
      </c>
      <c r="BZ39" s="34">
        <v>43006</v>
      </c>
      <c r="CA39" s="29" t="s">
        <v>138</v>
      </c>
      <c r="CB39" s="28" t="s">
        <v>138</v>
      </c>
      <c r="CC39" s="29" t="s">
        <v>138</v>
      </c>
      <c r="CD39" s="28" t="s">
        <v>138</v>
      </c>
      <c r="CE39" s="28" t="s">
        <v>205</v>
      </c>
      <c r="CF39" s="28" t="s">
        <v>138</v>
      </c>
      <c r="CG39" s="28" t="s">
        <v>138</v>
      </c>
      <c r="CH39" s="28" t="s">
        <v>174</v>
      </c>
      <c r="CI39" s="28" t="s">
        <v>138</v>
      </c>
      <c r="CJ39" s="28" t="s">
        <v>138</v>
      </c>
      <c r="CK39" s="28" t="s">
        <v>138</v>
      </c>
      <c r="CL39" s="28" t="s">
        <v>175</v>
      </c>
      <c r="CM39" s="34" t="s">
        <v>138</v>
      </c>
      <c r="CN39" s="29" t="s">
        <v>138</v>
      </c>
      <c r="CO39" s="35">
        <v>-0.42</v>
      </c>
      <c r="CP39" s="36">
        <v>17</v>
      </c>
      <c r="CQ39" s="35">
        <v>-0.09</v>
      </c>
      <c r="CR39" s="35">
        <v>-25.57</v>
      </c>
      <c r="CS39" s="35">
        <v>-0.97</v>
      </c>
      <c r="CT39" s="36">
        <v>15</v>
      </c>
      <c r="CU39" s="35">
        <v>0.13</v>
      </c>
      <c r="CV39" s="36">
        <v>73</v>
      </c>
      <c r="CW39" s="35" t="s">
        <v>138</v>
      </c>
      <c r="CX39" s="36" t="s">
        <v>138</v>
      </c>
      <c r="CY39" s="35">
        <v>-0.97</v>
      </c>
      <c r="CZ39" s="36">
        <v>19</v>
      </c>
      <c r="DA39" s="35">
        <v>0.06</v>
      </c>
      <c r="DB39" s="36">
        <v>65</v>
      </c>
      <c r="DC39" s="37">
        <v>14.56</v>
      </c>
      <c r="DD39" s="36">
        <v>93</v>
      </c>
      <c r="DE39" s="37">
        <v>-0.04</v>
      </c>
      <c r="DF39" s="35">
        <v>-0.28000000000000003</v>
      </c>
      <c r="DG39" s="37">
        <v>7.1</v>
      </c>
      <c r="DH39" s="36">
        <v>86</v>
      </c>
      <c r="DI39" s="37">
        <v>22.01</v>
      </c>
      <c r="DJ39" s="36">
        <v>91</v>
      </c>
      <c r="DK39" s="37" t="s">
        <v>138</v>
      </c>
      <c r="DL39" s="36" t="s">
        <v>138</v>
      </c>
      <c r="DM39" s="37">
        <v>7.1</v>
      </c>
      <c r="DN39" s="36">
        <v>86</v>
      </c>
      <c r="DO39" s="37">
        <v>2.82</v>
      </c>
      <c r="DP39" s="36">
        <v>70</v>
      </c>
      <c r="DQ39" s="36" t="s">
        <v>138</v>
      </c>
      <c r="DR39" s="38" t="s">
        <v>138</v>
      </c>
      <c r="DS39" s="35" t="s">
        <v>138</v>
      </c>
      <c r="DT39" s="36">
        <v>206</v>
      </c>
      <c r="DU39" s="38">
        <v>-2</v>
      </c>
      <c r="DV39" s="35">
        <v>-0.96</v>
      </c>
      <c r="DW39" s="36">
        <v>1010</v>
      </c>
      <c r="DX39" s="39">
        <v>0</v>
      </c>
      <c r="DY39" s="35">
        <v>0</v>
      </c>
      <c r="DZ39" s="28" t="s">
        <v>178</v>
      </c>
      <c r="EA39" s="34">
        <v>43621</v>
      </c>
      <c r="EB39" s="29" t="s">
        <v>138</v>
      </c>
      <c r="EC39" s="34" t="s">
        <v>138</v>
      </c>
      <c r="ED39" s="28" t="s">
        <v>138</v>
      </c>
      <c r="EE39" s="40" t="str">
        <f>HYPERLINK("https://my.pitchbook.com?c=167200-66", "View company online")</f>
        <v>View company online</v>
      </c>
    </row>
    <row r="40" spans="1:135">
      <c r="A40" s="15" t="s">
        <v>1060</v>
      </c>
      <c r="B40" s="15" t="s">
        <v>1061</v>
      </c>
      <c r="C40" s="15" t="s">
        <v>138</v>
      </c>
      <c r="D40" s="15" t="s">
        <v>138</v>
      </c>
      <c r="E40" s="15" t="s">
        <v>1062</v>
      </c>
      <c r="F40" s="15" t="s">
        <v>1060</v>
      </c>
      <c r="G40" s="15" t="s">
        <v>1063</v>
      </c>
      <c r="H40" s="15" t="s">
        <v>141</v>
      </c>
      <c r="I40" s="15" t="s">
        <v>212</v>
      </c>
      <c r="J40" s="15" t="s">
        <v>213</v>
      </c>
      <c r="K40" s="15" t="s">
        <v>1064</v>
      </c>
      <c r="L40" s="15" t="s">
        <v>1065</v>
      </c>
      <c r="M40" s="15" t="s">
        <v>1066</v>
      </c>
      <c r="N40" s="15" t="s">
        <v>147</v>
      </c>
      <c r="O40" s="17">
        <v>65.37</v>
      </c>
      <c r="P40" s="15" t="s">
        <v>812</v>
      </c>
      <c r="Q40" s="15" t="s">
        <v>149</v>
      </c>
      <c r="R40" s="15" t="s">
        <v>174</v>
      </c>
      <c r="S40" s="15" t="s">
        <v>1067</v>
      </c>
      <c r="T40" s="18">
        <v>228</v>
      </c>
      <c r="U40" s="15" t="s">
        <v>1068</v>
      </c>
      <c r="V40" s="15" t="s">
        <v>138</v>
      </c>
      <c r="W40" s="15" t="s">
        <v>138</v>
      </c>
      <c r="X40" s="19">
        <v>2009</v>
      </c>
      <c r="Y40" s="15" t="s">
        <v>138</v>
      </c>
      <c r="Z40" s="15" t="s">
        <v>138</v>
      </c>
      <c r="AA40" s="15" t="s">
        <v>138</v>
      </c>
      <c r="AB40" s="20" t="s">
        <v>138</v>
      </c>
      <c r="AC40" s="20" t="s">
        <v>138</v>
      </c>
      <c r="AD40" s="20" t="s">
        <v>138</v>
      </c>
      <c r="AE40" s="20" t="s">
        <v>138</v>
      </c>
      <c r="AF40" s="20" t="s">
        <v>138</v>
      </c>
      <c r="AG40" s="15" t="s">
        <v>138</v>
      </c>
      <c r="AH40" s="20" t="s">
        <v>138</v>
      </c>
      <c r="AI40" s="20" t="s">
        <v>138</v>
      </c>
      <c r="AJ40" s="20" t="s">
        <v>138</v>
      </c>
      <c r="AK40" s="15" t="s">
        <v>1069</v>
      </c>
      <c r="AL40" s="15" t="s">
        <v>1070</v>
      </c>
      <c r="AM40" s="15" t="s">
        <v>938</v>
      </c>
      <c r="AN40" s="15" t="s">
        <v>1071</v>
      </c>
      <c r="AO40" s="15" t="s">
        <v>138</v>
      </c>
      <c r="AP40" s="15" t="s">
        <v>423</v>
      </c>
      <c r="AQ40" s="15" t="s">
        <v>1072</v>
      </c>
      <c r="AR40" s="15" t="s">
        <v>1073</v>
      </c>
      <c r="AS40" s="15" t="s">
        <v>426</v>
      </c>
      <c r="AT40" s="15" t="s">
        <v>426</v>
      </c>
      <c r="AU40" s="15" t="s">
        <v>1074</v>
      </c>
      <c r="AV40" s="15" t="s">
        <v>162</v>
      </c>
      <c r="AW40" s="15" t="s">
        <v>138</v>
      </c>
      <c r="AX40" s="15" t="s">
        <v>138</v>
      </c>
      <c r="AY40" s="15" t="s">
        <v>1075</v>
      </c>
      <c r="AZ40" s="15" t="s">
        <v>164</v>
      </c>
      <c r="BA40" s="15" t="s">
        <v>165</v>
      </c>
      <c r="BB40" s="15" t="s">
        <v>1076</v>
      </c>
      <c r="BC40" s="15" t="s">
        <v>1077</v>
      </c>
      <c r="BD40" s="21">
        <v>15</v>
      </c>
      <c r="BE40" s="15" t="s">
        <v>138</v>
      </c>
      <c r="BF40" s="15" t="s">
        <v>138</v>
      </c>
      <c r="BG40" s="15" t="s">
        <v>138</v>
      </c>
      <c r="BH40" s="15" t="s">
        <v>1078</v>
      </c>
      <c r="BI40" s="15" t="s">
        <v>138</v>
      </c>
      <c r="BJ40" s="15" t="s">
        <v>138</v>
      </c>
      <c r="BK40" s="15" t="s">
        <v>290</v>
      </c>
      <c r="BL40" s="15" t="s">
        <v>1079</v>
      </c>
      <c r="BM40" s="22">
        <v>40535</v>
      </c>
      <c r="BN40" s="17">
        <v>0.81</v>
      </c>
      <c r="BO40" s="15" t="s">
        <v>172</v>
      </c>
      <c r="BP40" s="17">
        <v>4.3099999999999996</v>
      </c>
      <c r="BQ40" s="15" t="s">
        <v>172</v>
      </c>
      <c r="BR40" s="15" t="s">
        <v>234</v>
      </c>
      <c r="BS40" s="15" t="s">
        <v>234</v>
      </c>
      <c r="BT40" s="15" t="s">
        <v>138</v>
      </c>
      <c r="BU40" s="15" t="s">
        <v>174</v>
      </c>
      <c r="BV40" s="15" t="s">
        <v>138</v>
      </c>
      <c r="BW40" s="15" t="s">
        <v>138</v>
      </c>
      <c r="BX40" s="15" t="s">
        <v>138</v>
      </c>
      <c r="BY40" s="15" t="s">
        <v>175</v>
      </c>
      <c r="BZ40" s="22">
        <v>42948</v>
      </c>
      <c r="CA40" s="17">
        <v>35</v>
      </c>
      <c r="CB40" s="15" t="s">
        <v>172</v>
      </c>
      <c r="CC40" s="17">
        <v>95.79</v>
      </c>
      <c r="CD40" s="15" t="s">
        <v>172</v>
      </c>
      <c r="CE40" s="15" t="s">
        <v>173</v>
      </c>
      <c r="CF40" s="15" t="s">
        <v>317</v>
      </c>
      <c r="CG40" s="15" t="s">
        <v>138</v>
      </c>
      <c r="CH40" s="15" t="s">
        <v>174</v>
      </c>
      <c r="CI40" s="15" t="s">
        <v>1080</v>
      </c>
      <c r="CJ40" s="15" t="s">
        <v>138</v>
      </c>
      <c r="CK40" s="15" t="s">
        <v>138</v>
      </c>
      <c r="CL40" s="15" t="s">
        <v>175</v>
      </c>
      <c r="CM40" s="22" t="s">
        <v>138</v>
      </c>
      <c r="CN40" s="17" t="s">
        <v>138</v>
      </c>
      <c r="CO40" s="23">
        <v>-1.23</v>
      </c>
      <c r="CP40" s="24">
        <v>9</v>
      </c>
      <c r="CQ40" s="23">
        <v>0</v>
      </c>
      <c r="CR40" s="23">
        <v>-0.28999999999999998</v>
      </c>
      <c r="CS40" s="23">
        <v>-2.39</v>
      </c>
      <c r="CT40" s="24">
        <v>7</v>
      </c>
      <c r="CU40" s="23">
        <v>-0.08</v>
      </c>
      <c r="CV40" s="24">
        <v>5</v>
      </c>
      <c r="CW40" s="23">
        <v>0.53</v>
      </c>
      <c r="CX40" s="24">
        <v>83</v>
      </c>
      <c r="CY40" s="23">
        <v>-5.31</v>
      </c>
      <c r="CZ40" s="24">
        <v>3</v>
      </c>
      <c r="DA40" s="23">
        <v>-0.08</v>
      </c>
      <c r="DB40" s="24">
        <v>8</v>
      </c>
      <c r="DC40" s="25">
        <v>6.5</v>
      </c>
      <c r="DD40" s="24">
        <v>86</v>
      </c>
      <c r="DE40" s="25">
        <v>-0.03</v>
      </c>
      <c r="DF40" s="23">
        <v>-0.41</v>
      </c>
      <c r="DG40" s="25">
        <v>9.9600000000000009</v>
      </c>
      <c r="DH40" s="24">
        <v>89</v>
      </c>
      <c r="DI40" s="25">
        <v>3.04</v>
      </c>
      <c r="DJ40" s="24">
        <v>70</v>
      </c>
      <c r="DK40" s="25">
        <v>0.78</v>
      </c>
      <c r="DL40" s="24">
        <v>45</v>
      </c>
      <c r="DM40" s="25">
        <v>19.14</v>
      </c>
      <c r="DN40" s="24">
        <v>94</v>
      </c>
      <c r="DO40" s="25">
        <v>3.04</v>
      </c>
      <c r="DP40" s="24">
        <v>71</v>
      </c>
      <c r="DQ40" s="24">
        <v>343</v>
      </c>
      <c r="DR40" s="26">
        <v>-223</v>
      </c>
      <c r="DS40" s="23">
        <v>-39.4</v>
      </c>
      <c r="DT40" s="24">
        <v>555</v>
      </c>
      <c r="DU40" s="26">
        <v>0</v>
      </c>
      <c r="DV40" s="23">
        <v>0</v>
      </c>
      <c r="DW40" s="24">
        <v>1088</v>
      </c>
      <c r="DX40" s="27">
        <v>-1</v>
      </c>
      <c r="DY40" s="23">
        <v>-0.09</v>
      </c>
      <c r="DZ40" s="15" t="s">
        <v>178</v>
      </c>
      <c r="EA40" s="22">
        <v>43536</v>
      </c>
      <c r="EB40" s="17">
        <v>95.79</v>
      </c>
      <c r="EC40" s="22">
        <v>42948</v>
      </c>
      <c r="ED40" s="15" t="s">
        <v>173</v>
      </c>
      <c r="EE40" s="14" t="str">
        <f>HYPERLINK("https://my.pitchbook.com?c=53914-42", "View company online")</f>
        <v>View company online</v>
      </c>
    </row>
    <row r="41" spans="1:135">
      <c r="A41" s="28" t="s">
        <v>1081</v>
      </c>
      <c r="B41" s="28" t="s">
        <v>1082</v>
      </c>
      <c r="C41" s="28" t="s">
        <v>138</v>
      </c>
      <c r="D41" s="28" t="s">
        <v>138</v>
      </c>
      <c r="E41" s="28" t="s">
        <v>138</v>
      </c>
      <c r="F41" s="28" t="s">
        <v>1081</v>
      </c>
      <c r="G41" s="28" t="s">
        <v>1083</v>
      </c>
      <c r="H41" s="28" t="s">
        <v>322</v>
      </c>
      <c r="I41" s="28" t="s">
        <v>323</v>
      </c>
      <c r="J41" s="28" t="s">
        <v>1084</v>
      </c>
      <c r="K41" s="28" t="s">
        <v>1085</v>
      </c>
      <c r="L41" s="28" t="s">
        <v>855</v>
      </c>
      <c r="M41" s="28" t="s">
        <v>1086</v>
      </c>
      <c r="N41" s="28" t="s">
        <v>147</v>
      </c>
      <c r="O41" s="29">
        <v>1.5</v>
      </c>
      <c r="P41" s="28" t="s">
        <v>148</v>
      </c>
      <c r="Q41" s="28" t="s">
        <v>149</v>
      </c>
      <c r="R41" s="28" t="s">
        <v>174</v>
      </c>
      <c r="S41" s="28" t="s">
        <v>1087</v>
      </c>
      <c r="T41" s="30" t="s">
        <v>138</v>
      </c>
      <c r="U41" s="28" t="s">
        <v>138</v>
      </c>
      <c r="V41" s="28" t="s">
        <v>138</v>
      </c>
      <c r="W41" s="28" t="s">
        <v>138</v>
      </c>
      <c r="X41" s="31" t="s">
        <v>138</v>
      </c>
      <c r="Y41" s="28" t="s">
        <v>138</v>
      </c>
      <c r="Z41" s="28" t="s">
        <v>138</v>
      </c>
      <c r="AA41" s="28" t="s">
        <v>138</v>
      </c>
      <c r="AB41" s="32" t="s">
        <v>138</v>
      </c>
      <c r="AC41" s="32" t="s">
        <v>138</v>
      </c>
      <c r="AD41" s="32" t="s">
        <v>138</v>
      </c>
      <c r="AE41" s="32" t="s">
        <v>138</v>
      </c>
      <c r="AF41" s="32" t="s">
        <v>138</v>
      </c>
      <c r="AG41" s="28" t="s">
        <v>138</v>
      </c>
      <c r="AH41" s="32" t="s">
        <v>138</v>
      </c>
      <c r="AI41" s="32" t="s">
        <v>138</v>
      </c>
      <c r="AJ41" s="32" t="s">
        <v>138</v>
      </c>
      <c r="AK41" s="28" t="s">
        <v>1088</v>
      </c>
      <c r="AL41" s="28" t="s">
        <v>1089</v>
      </c>
      <c r="AM41" s="28" t="s">
        <v>444</v>
      </c>
      <c r="AN41" s="28" t="s">
        <v>1090</v>
      </c>
      <c r="AO41" s="28" t="s">
        <v>1091</v>
      </c>
      <c r="AP41" s="28" t="s">
        <v>446</v>
      </c>
      <c r="AQ41" s="28" t="s">
        <v>1092</v>
      </c>
      <c r="AR41" s="28" t="s">
        <v>1093</v>
      </c>
      <c r="AS41" s="28" t="s">
        <v>449</v>
      </c>
      <c r="AT41" s="28" t="s">
        <v>448</v>
      </c>
      <c r="AU41" s="28" t="s">
        <v>138</v>
      </c>
      <c r="AV41" s="28" t="s">
        <v>450</v>
      </c>
      <c r="AW41" s="28" t="s">
        <v>1091</v>
      </c>
      <c r="AX41" s="28" t="s">
        <v>138</v>
      </c>
      <c r="AY41" s="28" t="s">
        <v>1094</v>
      </c>
      <c r="AZ41" s="28" t="s">
        <v>452</v>
      </c>
      <c r="BA41" s="28" t="s">
        <v>453</v>
      </c>
      <c r="BB41" s="28" t="s">
        <v>1095</v>
      </c>
      <c r="BC41" s="28" t="s">
        <v>1096</v>
      </c>
      <c r="BD41" s="33">
        <v>4</v>
      </c>
      <c r="BE41" s="28" t="s">
        <v>138</v>
      </c>
      <c r="BF41" s="28" t="s">
        <v>138</v>
      </c>
      <c r="BG41" s="28" t="s">
        <v>138</v>
      </c>
      <c r="BH41" s="28" t="s">
        <v>1097</v>
      </c>
      <c r="BI41" s="28" t="s">
        <v>138</v>
      </c>
      <c r="BJ41" s="28" t="s">
        <v>138</v>
      </c>
      <c r="BK41" s="28" t="s">
        <v>138</v>
      </c>
      <c r="BL41" s="28" t="s">
        <v>138</v>
      </c>
      <c r="BM41" s="34">
        <v>43018</v>
      </c>
      <c r="BN41" s="29">
        <v>1.5</v>
      </c>
      <c r="BO41" s="28" t="s">
        <v>172</v>
      </c>
      <c r="BP41" s="29" t="s">
        <v>138</v>
      </c>
      <c r="BQ41" s="28" t="s">
        <v>138</v>
      </c>
      <c r="BR41" s="28" t="s">
        <v>205</v>
      </c>
      <c r="BS41" s="28" t="s">
        <v>138</v>
      </c>
      <c r="BT41" s="28" t="s">
        <v>138</v>
      </c>
      <c r="BU41" s="28" t="s">
        <v>174</v>
      </c>
      <c r="BV41" s="28" t="s">
        <v>138</v>
      </c>
      <c r="BW41" s="28" t="s">
        <v>138</v>
      </c>
      <c r="BX41" s="28" t="s">
        <v>138</v>
      </c>
      <c r="BY41" s="28" t="s">
        <v>175</v>
      </c>
      <c r="BZ41" s="34">
        <v>43168</v>
      </c>
      <c r="CA41" s="29" t="s">
        <v>138</v>
      </c>
      <c r="CB41" s="28" t="s">
        <v>138</v>
      </c>
      <c r="CC41" s="29" t="s">
        <v>138</v>
      </c>
      <c r="CD41" s="28" t="s">
        <v>138</v>
      </c>
      <c r="CE41" s="28" t="s">
        <v>316</v>
      </c>
      <c r="CF41" s="28" t="s">
        <v>138</v>
      </c>
      <c r="CG41" s="28" t="s">
        <v>138</v>
      </c>
      <c r="CH41" s="28" t="s">
        <v>177</v>
      </c>
      <c r="CI41" s="28" t="s">
        <v>138</v>
      </c>
      <c r="CJ41" s="28" t="s">
        <v>138</v>
      </c>
      <c r="CK41" s="28" t="s">
        <v>138</v>
      </c>
      <c r="CL41" s="28" t="s">
        <v>175</v>
      </c>
      <c r="CM41" s="34" t="s">
        <v>138</v>
      </c>
      <c r="CN41" s="29" t="s">
        <v>138</v>
      </c>
      <c r="CO41" s="35">
        <v>0</v>
      </c>
      <c r="CP41" s="36">
        <v>26</v>
      </c>
      <c r="CQ41" s="35">
        <v>0</v>
      </c>
      <c r="CR41" s="35">
        <v>0</v>
      </c>
      <c r="CS41" s="35">
        <v>0</v>
      </c>
      <c r="CT41" s="36">
        <v>23</v>
      </c>
      <c r="CU41" s="35">
        <v>0</v>
      </c>
      <c r="CV41" s="36">
        <v>22</v>
      </c>
      <c r="CW41" s="35" t="s">
        <v>138</v>
      </c>
      <c r="CX41" s="36" t="s">
        <v>138</v>
      </c>
      <c r="CY41" s="35">
        <v>0</v>
      </c>
      <c r="CZ41" s="36">
        <v>25</v>
      </c>
      <c r="DA41" s="35">
        <v>0</v>
      </c>
      <c r="DB41" s="36">
        <v>22</v>
      </c>
      <c r="DC41" s="37">
        <v>0.46</v>
      </c>
      <c r="DD41" s="36">
        <v>32</v>
      </c>
      <c r="DE41" s="37">
        <v>0.02</v>
      </c>
      <c r="DF41" s="35">
        <v>3.89</v>
      </c>
      <c r="DG41" s="37">
        <v>0.9</v>
      </c>
      <c r="DH41" s="36">
        <v>48</v>
      </c>
      <c r="DI41" s="37">
        <v>0.03</v>
      </c>
      <c r="DJ41" s="36">
        <v>5</v>
      </c>
      <c r="DK41" s="37" t="s">
        <v>138</v>
      </c>
      <c r="DL41" s="36" t="s">
        <v>138</v>
      </c>
      <c r="DM41" s="37">
        <v>0.9</v>
      </c>
      <c r="DN41" s="36">
        <v>47</v>
      </c>
      <c r="DO41" s="37">
        <v>0.03</v>
      </c>
      <c r="DP41" s="36">
        <v>6</v>
      </c>
      <c r="DQ41" s="36" t="s">
        <v>138</v>
      </c>
      <c r="DR41" s="38" t="s">
        <v>138</v>
      </c>
      <c r="DS41" s="35" t="s">
        <v>138</v>
      </c>
      <c r="DT41" s="36">
        <v>25</v>
      </c>
      <c r="DU41" s="38">
        <v>1</v>
      </c>
      <c r="DV41" s="35">
        <v>4.17</v>
      </c>
      <c r="DW41" s="36">
        <v>10</v>
      </c>
      <c r="DX41" s="39">
        <v>0</v>
      </c>
      <c r="DY41" s="35">
        <v>0</v>
      </c>
      <c r="DZ41" s="28" t="s">
        <v>178</v>
      </c>
      <c r="EA41" s="34">
        <v>43536</v>
      </c>
      <c r="EB41" s="29" t="s">
        <v>138</v>
      </c>
      <c r="EC41" s="34" t="s">
        <v>138</v>
      </c>
      <c r="ED41" s="28" t="s">
        <v>138</v>
      </c>
      <c r="EE41" s="40" t="str">
        <f>HYPERLINK("https://my.pitchbook.com?c=229494-97", "View company online")</f>
        <v>View company online</v>
      </c>
    </row>
    <row r="42" spans="1:135">
      <c r="A42" s="15" t="s">
        <v>1098</v>
      </c>
      <c r="B42" s="15" t="s">
        <v>1099</v>
      </c>
      <c r="C42" s="15" t="s">
        <v>138</v>
      </c>
      <c r="D42" s="15" t="s">
        <v>1100</v>
      </c>
      <c r="E42" s="15" t="s">
        <v>138</v>
      </c>
      <c r="F42" s="15" t="s">
        <v>1098</v>
      </c>
      <c r="G42" s="15" t="s">
        <v>1101</v>
      </c>
      <c r="H42" s="15" t="s">
        <v>322</v>
      </c>
      <c r="I42" s="15" t="s">
        <v>807</v>
      </c>
      <c r="J42" s="15" t="s">
        <v>1102</v>
      </c>
      <c r="K42" s="15" t="s">
        <v>1103</v>
      </c>
      <c r="L42" s="15" t="s">
        <v>1104</v>
      </c>
      <c r="M42" s="15" t="s">
        <v>1105</v>
      </c>
      <c r="N42" s="15" t="s">
        <v>147</v>
      </c>
      <c r="O42" s="17">
        <v>100.2</v>
      </c>
      <c r="P42" s="15" t="s">
        <v>148</v>
      </c>
      <c r="Q42" s="15" t="s">
        <v>149</v>
      </c>
      <c r="R42" s="15" t="s">
        <v>174</v>
      </c>
      <c r="S42" s="15" t="s">
        <v>1106</v>
      </c>
      <c r="T42" s="18">
        <v>31</v>
      </c>
      <c r="U42" s="15" t="s">
        <v>1107</v>
      </c>
      <c r="V42" s="15" t="s">
        <v>138</v>
      </c>
      <c r="W42" s="15" t="s">
        <v>138</v>
      </c>
      <c r="X42" s="19">
        <v>1999</v>
      </c>
      <c r="Y42" s="15" t="s">
        <v>138</v>
      </c>
      <c r="Z42" s="15" t="s">
        <v>138</v>
      </c>
      <c r="AA42" s="15" t="s">
        <v>138</v>
      </c>
      <c r="AB42" s="20" t="s">
        <v>138</v>
      </c>
      <c r="AC42" s="20" t="s">
        <v>138</v>
      </c>
      <c r="AD42" s="20" t="s">
        <v>138</v>
      </c>
      <c r="AE42" s="20" t="s">
        <v>138</v>
      </c>
      <c r="AF42" s="20" t="s">
        <v>138</v>
      </c>
      <c r="AG42" s="15" t="s">
        <v>138</v>
      </c>
      <c r="AH42" s="20" t="s">
        <v>138</v>
      </c>
      <c r="AI42" s="20" t="s">
        <v>138</v>
      </c>
      <c r="AJ42" s="20" t="s">
        <v>138</v>
      </c>
      <c r="AK42" s="15" t="s">
        <v>1108</v>
      </c>
      <c r="AL42" s="15" t="s">
        <v>1109</v>
      </c>
      <c r="AM42" s="15" t="s">
        <v>1110</v>
      </c>
      <c r="AN42" s="15" t="s">
        <v>1111</v>
      </c>
      <c r="AO42" s="15" t="s">
        <v>1112</v>
      </c>
      <c r="AP42" s="15" t="s">
        <v>1113</v>
      </c>
      <c r="AQ42" s="15" t="s">
        <v>1114</v>
      </c>
      <c r="AR42" s="15" t="s">
        <v>1115</v>
      </c>
      <c r="AS42" s="15" t="s">
        <v>1116</v>
      </c>
      <c r="AT42" s="15" t="s">
        <v>864</v>
      </c>
      <c r="AU42" s="15" t="s">
        <v>1117</v>
      </c>
      <c r="AV42" s="15" t="s">
        <v>162</v>
      </c>
      <c r="AW42" s="15" t="s">
        <v>1118</v>
      </c>
      <c r="AX42" s="15" t="s">
        <v>1119</v>
      </c>
      <c r="AY42" s="15" t="s">
        <v>1120</v>
      </c>
      <c r="AZ42" s="15" t="s">
        <v>164</v>
      </c>
      <c r="BA42" s="15" t="s">
        <v>165</v>
      </c>
      <c r="BB42" s="15" t="s">
        <v>1121</v>
      </c>
      <c r="BC42" s="15" t="s">
        <v>1122</v>
      </c>
      <c r="BD42" s="21">
        <v>2</v>
      </c>
      <c r="BE42" s="15" t="s">
        <v>1123</v>
      </c>
      <c r="BF42" s="15" t="s">
        <v>1124</v>
      </c>
      <c r="BG42" s="15" t="s">
        <v>138</v>
      </c>
      <c r="BH42" s="15" t="s">
        <v>1125</v>
      </c>
      <c r="BI42" s="15" t="s">
        <v>1126</v>
      </c>
      <c r="BJ42" s="15" t="s">
        <v>138</v>
      </c>
      <c r="BK42" s="15" t="s">
        <v>1127</v>
      </c>
      <c r="BL42" s="15" t="s">
        <v>138</v>
      </c>
      <c r="BM42" s="22" t="s">
        <v>138</v>
      </c>
      <c r="BN42" s="17">
        <v>20</v>
      </c>
      <c r="BO42" s="15" t="s">
        <v>172</v>
      </c>
      <c r="BP42" s="17">
        <v>59.73</v>
      </c>
      <c r="BQ42" s="15" t="s">
        <v>172</v>
      </c>
      <c r="BR42" s="15" t="s">
        <v>205</v>
      </c>
      <c r="BS42" s="15" t="s">
        <v>206</v>
      </c>
      <c r="BT42" s="15" t="s">
        <v>138</v>
      </c>
      <c r="BU42" s="15" t="s">
        <v>174</v>
      </c>
      <c r="BV42" s="15" t="s">
        <v>138</v>
      </c>
      <c r="BW42" s="15" t="s">
        <v>138</v>
      </c>
      <c r="BX42" s="15" t="s">
        <v>138</v>
      </c>
      <c r="BY42" s="15" t="s">
        <v>175</v>
      </c>
      <c r="BZ42" s="22">
        <v>40448</v>
      </c>
      <c r="CA42" s="17">
        <v>100</v>
      </c>
      <c r="CB42" s="15" t="s">
        <v>172</v>
      </c>
      <c r="CC42" s="17" t="s">
        <v>138</v>
      </c>
      <c r="CD42" s="15" t="s">
        <v>138</v>
      </c>
      <c r="CE42" s="15" t="s">
        <v>173</v>
      </c>
      <c r="CF42" s="15" t="s">
        <v>138</v>
      </c>
      <c r="CG42" s="15" t="s">
        <v>138</v>
      </c>
      <c r="CH42" s="15" t="s">
        <v>174</v>
      </c>
      <c r="CI42" s="15" t="s">
        <v>138</v>
      </c>
      <c r="CJ42" s="15" t="s">
        <v>138</v>
      </c>
      <c r="CK42" s="15" t="s">
        <v>138</v>
      </c>
      <c r="CL42" s="15" t="s">
        <v>175</v>
      </c>
      <c r="CM42" s="22" t="s">
        <v>138</v>
      </c>
      <c r="CN42" s="17" t="s">
        <v>138</v>
      </c>
      <c r="CO42" s="23">
        <v>-0.33</v>
      </c>
      <c r="CP42" s="24">
        <v>18</v>
      </c>
      <c r="CQ42" s="23">
        <v>0</v>
      </c>
      <c r="CR42" s="23">
        <v>-0.41</v>
      </c>
      <c r="CS42" s="23">
        <v>-0.73</v>
      </c>
      <c r="CT42" s="24">
        <v>17</v>
      </c>
      <c r="CU42" s="23">
        <v>7.0000000000000007E-2</v>
      </c>
      <c r="CV42" s="24">
        <v>62</v>
      </c>
      <c r="CW42" s="23">
        <v>0</v>
      </c>
      <c r="CX42" s="24">
        <v>13</v>
      </c>
      <c r="CY42" s="23">
        <v>-1.45</v>
      </c>
      <c r="CZ42" s="24">
        <v>15</v>
      </c>
      <c r="DA42" s="23">
        <v>7.0000000000000007E-2</v>
      </c>
      <c r="DB42" s="24">
        <v>67</v>
      </c>
      <c r="DC42" s="25">
        <v>9.0500000000000007</v>
      </c>
      <c r="DD42" s="24">
        <v>89</v>
      </c>
      <c r="DE42" s="25">
        <v>-0.04</v>
      </c>
      <c r="DF42" s="23">
        <v>-0.42</v>
      </c>
      <c r="DG42" s="25">
        <v>14.3</v>
      </c>
      <c r="DH42" s="24">
        <v>93</v>
      </c>
      <c r="DI42" s="25">
        <v>3.8</v>
      </c>
      <c r="DJ42" s="24">
        <v>73</v>
      </c>
      <c r="DK42" s="25">
        <v>1.39</v>
      </c>
      <c r="DL42" s="24">
        <v>57</v>
      </c>
      <c r="DM42" s="25">
        <v>27.21</v>
      </c>
      <c r="DN42" s="24">
        <v>96</v>
      </c>
      <c r="DO42" s="25">
        <v>3.8</v>
      </c>
      <c r="DP42" s="24">
        <v>75</v>
      </c>
      <c r="DQ42" s="24">
        <v>459</v>
      </c>
      <c r="DR42" s="26">
        <v>50</v>
      </c>
      <c r="DS42" s="23">
        <v>12.22</v>
      </c>
      <c r="DT42" s="24">
        <v>789</v>
      </c>
      <c r="DU42" s="26">
        <v>0</v>
      </c>
      <c r="DV42" s="23">
        <v>0</v>
      </c>
      <c r="DW42" s="24">
        <v>1358</v>
      </c>
      <c r="DX42" s="27">
        <v>1</v>
      </c>
      <c r="DY42" s="23">
        <v>7.0000000000000007E-2</v>
      </c>
      <c r="DZ42" s="15" t="s">
        <v>178</v>
      </c>
      <c r="EA42" s="22">
        <v>43607</v>
      </c>
      <c r="EB42" s="17">
        <v>59</v>
      </c>
      <c r="EC42" s="22">
        <v>36934</v>
      </c>
      <c r="ED42" s="15" t="s">
        <v>173</v>
      </c>
      <c r="EE42" s="14" t="str">
        <f>HYPERLINK("https://my.pitchbook.com?c=104514-67", "View company online")</f>
        <v>View company online</v>
      </c>
    </row>
    <row r="43" spans="1:135">
      <c r="A43" s="28" t="s">
        <v>1128</v>
      </c>
      <c r="B43" s="28" t="s">
        <v>1129</v>
      </c>
      <c r="C43" s="28" t="s">
        <v>138</v>
      </c>
      <c r="D43" s="28" t="s">
        <v>138</v>
      </c>
      <c r="E43" s="28" t="s">
        <v>1130</v>
      </c>
      <c r="F43" s="28" t="s">
        <v>1128</v>
      </c>
      <c r="G43" s="28" t="s">
        <v>1131</v>
      </c>
      <c r="H43" s="28" t="s">
        <v>322</v>
      </c>
      <c r="I43" s="28" t="s">
        <v>323</v>
      </c>
      <c r="J43" s="28" t="s">
        <v>1132</v>
      </c>
      <c r="K43" s="28" t="s">
        <v>1133</v>
      </c>
      <c r="L43" s="28" t="s">
        <v>1134</v>
      </c>
      <c r="M43" s="28" t="s">
        <v>1135</v>
      </c>
      <c r="N43" s="28" t="s">
        <v>147</v>
      </c>
      <c r="O43" s="29">
        <v>39.57</v>
      </c>
      <c r="P43" s="28" t="s">
        <v>812</v>
      </c>
      <c r="Q43" s="28" t="s">
        <v>149</v>
      </c>
      <c r="R43" s="28" t="s">
        <v>244</v>
      </c>
      <c r="S43" s="28" t="s">
        <v>1136</v>
      </c>
      <c r="T43" s="30">
        <v>45</v>
      </c>
      <c r="U43" s="28" t="s">
        <v>1137</v>
      </c>
      <c r="V43" s="28" t="s">
        <v>138</v>
      </c>
      <c r="W43" s="28" t="s">
        <v>138</v>
      </c>
      <c r="X43" s="31">
        <v>2004</v>
      </c>
      <c r="Y43" s="28" t="s">
        <v>138</v>
      </c>
      <c r="Z43" s="28" t="s">
        <v>138</v>
      </c>
      <c r="AA43" s="28" t="s">
        <v>1138</v>
      </c>
      <c r="AB43" s="32" t="s">
        <v>138</v>
      </c>
      <c r="AC43" s="32" t="s">
        <v>138</v>
      </c>
      <c r="AD43" s="32" t="s">
        <v>138</v>
      </c>
      <c r="AE43" s="32" t="s">
        <v>138</v>
      </c>
      <c r="AF43" s="32" t="s">
        <v>138</v>
      </c>
      <c r="AG43" s="28" t="s">
        <v>138</v>
      </c>
      <c r="AH43" s="32" t="s">
        <v>138</v>
      </c>
      <c r="AI43" s="32" t="s">
        <v>138</v>
      </c>
      <c r="AJ43" s="32" t="s">
        <v>138</v>
      </c>
      <c r="AK43" s="28" t="s">
        <v>1139</v>
      </c>
      <c r="AL43" s="28" t="s">
        <v>1140</v>
      </c>
      <c r="AM43" s="28" t="s">
        <v>304</v>
      </c>
      <c r="AN43" s="28" t="s">
        <v>1141</v>
      </c>
      <c r="AO43" s="28" t="s">
        <v>1142</v>
      </c>
      <c r="AP43" s="28" t="s">
        <v>1143</v>
      </c>
      <c r="AQ43" s="28" t="s">
        <v>1144</v>
      </c>
      <c r="AR43" s="28" t="s">
        <v>138</v>
      </c>
      <c r="AS43" s="28" t="s">
        <v>1145</v>
      </c>
      <c r="AT43" s="28" t="s">
        <v>1146</v>
      </c>
      <c r="AU43" s="28" t="s">
        <v>1147</v>
      </c>
      <c r="AV43" s="28" t="s">
        <v>162</v>
      </c>
      <c r="AW43" s="28" t="s">
        <v>1142</v>
      </c>
      <c r="AX43" s="28" t="s">
        <v>138</v>
      </c>
      <c r="AY43" s="28" t="s">
        <v>1148</v>
      </c>
      <c r="AZ43" s="28" t="s">
        <v>164</v>
      </c>
      <c r="BA43" s="28" t="s">
        <v>165</v>
      </c>
      <c r="BB43" s="28" t="s">
        <v>1149</v>
      </c>
      <c r="BC43" s="28" t="s">
        <v>1150</v>
      </c>
      <c r="BD43" s="33">
        <v>7</v>
      </c>
      <c r="BE43" s="28" t="s">
        <v>138</v>
      </c>
      <c r="BF43" s="28" t="s">
        <v>138</v>
      </c>
      <c r="BG43" s="28" t="s">
        <v>138</v>
      </c>
      <c r="BH43" s="28" t="s">
        <v>1151</v>
      </c>
      <c r="BI43" s="28" t="s">
        <v>138</v>
      </c>
      <c r="BJ43" s="28" t="s">
        <v>138</v>
      </c>
      <c r="BK43" s="28" t="s">
        <v>1152</v>
      </c>
      <c r="BL43" s="28" t="s">
        <v>1153</v>
      </c>
      <c r="BM43" s="34" t="s">
        <v>138</v>
      </c>
      <c r="BN43" s="29">
        <v>3.12</v>
      </c>
      <c r="BO43" s="28" t="s">
        <v>172</v>
      </c>
      <c r="BP43" s="29">
        <v>7.25</v>
      </c>
      <c r="BQ43" s="28" t="s">
        <v>172</v>
      </c>
      <c r="BR43" s="28" t="s">
        <v>205</v>
      </c>
      <c r="BS43" s="28" t="s">
        <v>206</v>
      </c>
      <c r="BT43" s="28" t="s">
        <v>138</v>
      </c>
      <c r="BU43" s="28" t="s">
        <v>174</v>
      </c>
      <c r="BV43" s="28" t="s">
        <v>138</v>
      </c>
      <c r="BW43" s="28" t="s">
        <v>138</v>
      </c>
      <c r="BX43" s="28" t="s">
        <v>138</v>
      </c>
      <c r="BY43" s="28" t="s">
        <v>175</v>
      </c>
      <c r="BZ43" s="34">
        <v>43221</v>
      </c>
      <c r="CA43" s="29">
        <v>12.5</v>
      </c>
      <c r="CB43" s="28" t="s">
        <v>172</v>
      </c>
      <c r="CC43" s="29">
        <v>90</v>
      </c>
      <c r="CD43" s="28" t="s">
        <v>172</v>
      </c>
      <c r="CE43" s="28" t="s">
        <v>173</v>
      </c>
      <c r="CF43" s="28" t="s">
        <v>433</v>
      </c>
      <c r="CG43" s="28" t="s">
        <v>138</v>
      </c>
      <c r="CH43" s="28" t="s">
        <v>174</v>
      </c>
      <c r="CI43" s="28" t="s">
        <v>138</v>
      </c>
      <c r="CJ43" s="28" t="s">
        <v>138</v>
      </c>
      <c r="CK43" s="28" t="s">
        <v>138</v>
      </c>
      <c r="CL43" s="28" t="s">
        <v>175</v>
      </c>
      <c r="CM43" s="34">
        <v>42275</v>
      </c>
      <c r="CN43" s="29" t="s">
        <v>138</v>
      </c>
      <c r="CO43" s="35">
        <v>0.01</v>
      </c>
      <c r="CP43" s="36">
        <v>84</v>
      </c>
      <c r="CQ43" s="35">
        <v>0.1</v>
      </c>
      <c r="CR43" s="35">
        <v>110.65</v>
      </c>
      <c r="CS43" s="35">
        <v>-0.43</v>
      </c>
      <c r="CT43" s="36">
        <v>20</v>
      </c>
      <c r="CU43" s="35">
        <v>0.45</v>
      </c>
      <c r="CV43" s="36">
        <v>92</v>
      </c>
      <c r="CW43" s="35" t="s">
        <v>138</v>
      </c>
      <c r="CX43" s="36" t="s">
        <v>138</v>
      </c>
      <c r="CY43" s="35">
        <v>-0.43</v>
      </c>
      <c r="CZ43" s="36">
        <v>23</v>
      </c>
      <c r="DA43" s="35">
        <v>0.45</v>
      </c>
      <c r="DB43" s="36">
        <v>93</v>
      </c>
      <c r="DC43" s="37">
        <v>3.45</v>
      </c>
      <c r="DD43" s="36">
        <v>77</v>
      </c>
      <c r="DE43" s="37">
        <v>-0.02</v>
      </c>
      <c r="DF43" s="35">
        <v>-0.47</v>
      </c>
      <c r="DG43" s="37">
        <v>6.59</v>
      </c>
      <c r="DH43" s="36">
        <v>86</v>
      </c>
      <c r="DI43" s="37">
        <v>0.32</v>
      </c>
      <c r="DJ43" s="36">
        <v>29</v>
      </c>
      <c r="DK43" s="37" t="s">
        <v>138</v>
      </c>
      <c r="DL43" s="36" t="s">
        <v>138</v>
      </c>
      <c r="DM43" s="37">
        <v>6.59</v>
      </c>
      <c r="DN43" s="36">
        <v>85</v>
      </c>
      <c r="DO43" s="37">
        <v>0.32</v>
      </c>
      <c r="DP43" s="36">
        <v>31</v>
      </c>
      <c r="DQ43" s="36">
        <v>697</v>
      </c>
      <c r="DR43" s="38">
        <v>-49</v>
      </c>
      <c r="DS43" s="35">
        <v>-6.57</v>
      </c>
      <c r="DT43" s="36">
        <v>191</v>
      </c>
      <c r="DU43" s="38">
        <v>0</v>
      </c>
      <c r="DV43" s="35">
        <v>0</v>
      </c>
      <c r="DW43" s="36">
        <v>114</v>
      </c>
      <c r="DX43" s="39">
        <v>0</v>
      </c>
      <c r="DY43" s="35">
        <v>0</v>
      </c>
      <c r="DZ43" s="28" t="s">
        <v>178</v>
      </c>
      <c r="EA43" s="34">
        <v>43622</v>
      </c>
      <c r="EB43" s="29">
        <v>90</v>
      </c>
      <c r="EC43" s="34">
        <v>43221</v>
      </c>
      <c r="ED43" s="28" t="s">
        <v>173</v>
      </c>
      <c r="EE43" s="40" t="str">
        <f>HYPERLINK("https://my.pitchbook.com?c=58597-84", "View company online")</f>
        <v>View company online</v>
      </c>
    </row>
    <row r="44" spans="1:135">
      <c r="A44" s="15" t="s">
        <v>1154</v>
      </c>
      <c r="B44" s="15" t="s">
        <v>1155</v>
      </c>
      <c r="C44" s="15" t="s">
        <v>138</v>
      </c>
      <c r="D44" s="15" t="s">
        <v>1156</v>
      </c>
      <c r="E44" s="15" t="s">
        <v>1157</v>
      </c>
      <c r="F44" s="15" t="s">
        <v>1154</v>
      </c>
      <c r="G44" s="15" t="s">
        <v>1158</v>
      </c>
      <c r="H44" s="15" t="s">
        <v>322</v>
      </c>
      <c r="I44" s="15" t="s">
        <v>323</v>
      </c>
      <c r="J44" s="15" t="s">
        <v>324</v>
      </c>
      <c r="K44" s="15" t="s">
        <v>1159</v>
      </c>
      <c r="L44" s="15" t="s">
        <v>415</v>
      </c>
      <c r="M44" s="15" t="s">
        <v>1160</v>
      </c>
      <c r="N44" s="15" t="s">
        <v>147</v>
      </c>
      <c r="O44" s="17">
        <v>214.52</v>
      </c>
      <c r="P44" s="15" t="s">
        <v>148</v>
      </c>
      <c r="Q44" s="15" t="s">
        <v>149</v>
      </c>
      <c r="R44" s="15" t="s">
        <v>174</v>
      </c>
      <c r="S44" s="15" t="s">
        <v>1161</v>
      </c>
      <c r="T44" s="18">
        <v>50</v>
      </c>
      <c r="U44" s="15" t="s">
        <v>1162</v>
      </c>
      <c r="V44" s="15" t="s">
        <v>138</v>
      </c>
      <c r="W44" s="15" t="s">
        <v>138</v>
      </c>
      <c r="X44" s="19">
        <v>2014</v>
      </c>
      <c r="Y44" s="15" t="s">
        <v>138</v>
      </c>
      <c r="Z44" s="15" t="s">
        <v>1163</v>
      </c>
      <c r="AA44" s="15" t="s">
        <v>1163</v>
      </c>
      <c r="AB44" s="20" t="s">
        <v>138</v>
      </c>
      <c r="AC44" s="20" t="s">
        <v>138</v>
      </c>
      <c r="AD44" s="20" t="s">
        <v>138</v>
      </c>
      <c r="AE44" s="20" t="s">
        <v>138</v>
      </c>
      <c r="AF44" s="20" t="s">
        <v>138</v>
      </c>
      <c r="AG44" s="15" t="s">
        <v>138</v>
      </c>
      <c r="AH44" s="20" t="s">
        <v>138</v>
      </c>
      <c r="AI44" s="20" t="s">
        <v>138</v>
      </c>
      <c r="AJ44" s="20" t="s">
        <v>138</v>
      </c>
      <c r="AK44" s="15" t="s">
        <v>1164</v>
      </c>
      <c r="AL44" s="15" t="s">
        <v>1165</v>
      </c>
      <c r="AM44" s="15" t="s">
        <v>1166</v>
      </c>
      <c r="AN44" s="15" t="s">
        <v>138</v>
      </c>
      <c r="AO44" s="15" t="s">
        <v>1167</v>
      </c>
      <c r="AP44" s="15" t="s">
        <v>1168</v>
      </c>
      <c r="AQ44" s="15" t="s">
        <v>1169</v>
      </c>
      <c r="AR44" s="15" t="s">
        <v>1170</v>
      </c>
      <c r="AS44" s="15" t="s">
        <v>1171</v>
      </c>
      <c r="AT44" s="15" t="s">
        <v>200</v>
      </c>
      <c r="AU44" s="15" t="s">
        <v>1172</v>
      </c>
      <c r="AV44" s="15" t="s">
        <v>162</v>
      </c>
      <c r="AW44" s="15" t="s">
        <v>1167</v>
      </c>
      <c r="AX44" s="15" t="s">
        <v>138</v>
      </c>
      <c r="AY44" s="15" t="s">
        <v>1173</v>
      </c>
      <c r="AZ44" s="15" t="s">
        <v>164</v>
      </c>
      <c r="BA44" s="15" t="s">
        <v>165</v>
      </c>
      <c r="BB44" s="15" t="s">
        <v>1174</v>
      </c>
      <c r="BC44" s="15" t="s">
        <v>1175</v>
      </c>
      <c r="BD44" s="21">
        <v>5</v>
      </c>
      <c r="BE44" s="15" t="s">
        <v>138</v>
      </c>
      <c r="BF44" s="15" t="s">
        <v>138</v>
      </c>
      <c r="BG44" s="15" t="s">
        <v>138</v>
      </c>
      <c r="BH44" s="15" t="s">
        <v>1176</v>
      </c>
      <c r="BI44" s="15" t="s">
        <v>138</v>
      </c>
      <c r="BJ44" s="15" t="s">
        <v>138</v>
      </c>
      <c r="BK44" s="15" t="s">
        <v>1177</v>
      </c>
      <c r="BL44" s="15" t="s">
        <v>315</v>
      </c>
      <c r="BM44" s="22">
        <v>42096</v>
      </c>
      <c r="BN44" s="17" t="s">
        <v>138</v>
      </c>
      <c r="BO44" s="15" t="s">
        <v>138</v>
      </c>
      <c r="BP44" s="17">
        <v>27.06</v>
      </c>
      <c r="BQ44" s="15" t="s">
        <v>172</v>
      </c>
      <c r="BR44" s="15" t="s">
        <v>205</v>
      </c>
      <c r="BS44" s="15" t="s">
        <v>206</v>
      </c>
      <c r="BT44" s="15" t="s">
        <v>138</v>
      </c>
      <c r="BU44" s="15" t="s">
        <v>174</v>
      </c>
      <c r="BV44" s="15" t="s">
        <v>138</v>
      </c>
      <c r="BW44" s="15" t="s">
        <v>138</v>
      </c>
      <c r="BX44" s="15" t="s">
        <v>138</v>
      </c>
      <c r="BY44" s="15" t="s">
        <v>175</v>
      </c>
      <c r="BZ44" s="22">
        <v>43599</v>
      </c>
      <c r="CA44" s="17">
        <v>81</v>
      </c>
      <c r="CB44" s="15" t="s">
        <v>1178</v>
      </c>
      <c r="CC44" s="17">
        <v>540</v>
      </c>
      <c r="CD44" s="15" t="s">
        <v>172</v>
      </c>
      <c r="CE44" s="15" t="s">
        <v>173</v>
      </c>
      <c r="CF44" s="15" t="s">
        <v>317</v>
      </c>
      <c r="CG44" s="15" t="s">
        <v>138</v>
      </c>
      <c r="CH44" s="15" t="s">
        <v>174</v>
      </c>
      <c r="CI44" s="15" t="s">
        <v>138</v>
      </c>
      <c r="CJ44" s="15" t="s">
        <v>138</v>
      </c>
      <c r="CK44" s="15" t="s">
        <v>138</v>
      </c>
      <c r="CL44" s="15" t="s">
        <v>352</v>
      </c>
      <c r="CM44" s="22" t="s">
        <v>138</v>
      </c>
      <c r="CN44" s="17" t="s">
        <v>138</v>
      </c>
      <c r="CO44" s="23">
        <v>1.78</v>
      </c>
      <c r="CP44" s="24">
        <v>99</v>
      </c>
      <c r="CQ44" s="23">
        <v>-0.01</v>
      </c>
      <c r="CR44" s="23">
        <v>-0.74</v>
      </c>
      <c r="CS44" s="23">
        <v>2.79</v>
      </c>
      <c r="CT44" s="24">
        <v>99</v>
      </c>
      <c r="CU44" s="23">
        <v>0.77</v>
      </c>
      <c r="CV44" s="24">
        <v>97</v>
      </c>
      <c r="CW44" s="23">
        <v>2.79</v>
      </c>
      <c r="CX44" s="24">
        <v>91</v>
      </c>
      <c r="CY44" s="23" t="s">
        <v>138</v>
      </c>
      <c r="CZ44" s="24" t="s">
        <v>138</v>
      </c>
      <c r="DA44" s="23">
        <v>0.77</v>
      </c>
      <c r="DB44" s="24">
        <v>97</v>
      </c>
      <c r="DC44" s="25">
        <v>2.2000000000000002</v>
      </c>
      <c r="DD44" s="24">
        <v>69</v>
      </c>
      <c r="DE44" s="25">
        <v>-0.25</v>
      </c>
      <c r="DF44" s="23">
        <v>-10.17</v>
      </c>
      <c r="DG44" s="25">
        <v>3.97</v>
      </c>
      <c r="DH44" s="24">
        <v>79</v>
      </c>
      <c r="DI44" s="25">
        <v>0.44</v>
      </c>
      <c r="DJ44" s="24">
        <v>34</v>
      </c>
      <c r="DK44" s="25">
        <v>3.97</v>
      </c>
      <c r="DL44" s="24">
        <v>76</v>
      </c>
      <c r="DM44" s="25" t="s">
        <v>138</v>
      </c>
      <c r="DN44" s="24" t="s">
        <v>138</v>
      </c>
      <c r="DO44" s="25">
        <v>0.44</v>
      </c>
      <c r="DP44" s="24">
        <v>36</v>
      </c>
      <c r="DQ44" s="24">
        <v>1327</v>
      </c>
      <c r="DR44" s="26">
        <v>101</v>
      </c>
      <c r="DS44" s="23">
        <v>8.24</v>
      </c>
      <c r="DT44" s="24" t="s">
        <v>138</v>
      </c>
      <c r="DU44" s="26" t="s">
        <v>138</v>
      </c>
      <c r="DV44" s="23" t="s">
        <v>138</v>
      </c>
      <c r="DW44" s="24">
        <v>155</v>
      </c>
      <c r="DX44" s="27">
        <v>5</v>
      </c>
      <c r="DY44" s="23">
        <v>3.33</v>
      </c>
      <c r="DZ44" s="15" t="s">
        <v>178</v>
      </c>
      <c r="EA44" s="22">
        <v>43622</v>
      </c>
      <c r="EB44" s="17">
        <v>540</v>
      </c>
      <c r="EC44" s="22">
        <v>43599</v>
      </c>
      <c r="ED44" s="15" t="s">
        <v>173</v>
      </c>
      <c r="EE44" s="14" t="str">
        <f>HYPERLINK("https://my.pitchbook.com?c=111382-48", "View company online")</f>
        <v>View company online</v>
      </c>
    </row>
    <row r="45" spans="1:135">
      <c r="A45" s="28" t="s">
        <v>1179</v>
      </c>
      <c r="B45" s="28" t="s">
        <v>1180</v>
      </c>
      <c r="C45" s="28" t="s">
        <v>1181</v>
      </c>
      <c r="D45" s="28" t="s">
        <v>138</v>
      </c>
      <c r="E45" s="28" t="s">
        <v>1182</v>
      </c>
      <c r="F45" s="28" t="s">
        <v>1179</v>
      </c>
      <c r="G45" s="28" t="s">
        <v>1183</v>
      </c>
      <c r="H45" s="28" t="s">
        <v>322</v>
      </c>
      <c r="I45" s="28" t="s">
        <v>323</v>
      </c>
      <c r="J45" s="28" t="s">
        <v>1184</v>
      </c>
      <c r="K45" s="28" t="s">
        <v>1185</v>
      </c>
      <c r="L45" s="28" t="s">
        <v>1186</v>
      </c>
      <c r="M45" s="28" t="s">
        <v>1187</v>
      </c>
      <c r="N45" s="28" t="s">
        <v>147</v>
      </c>
      <c r="O45" s="29">
        <v>3.05</v>
      </c>
      <c r="P45" s="28" t="s">
        <v>148</v>
      </c>
      <c r="Q45" s="28" t="s">
        <v>149</v>
      </c>
      <c r="R45" s="28" t="s">
        <v>174</v>
      </c>
      <c r="S45" s="28" t="s">
        <v>1188</v>
      </c>
      <c r="T45" s="30">
        <v>6</v>
      </c>
      <c r="U45" s="28" t="s">
        <v>1189</v>
      </c>
      <c r="V45" s="28" t="s">
        <v>138</v>
      </c>
      <c r="W45" s="28" t="s">
        <v>138</v>
      </c>
      <c r="X45" s="31">
        <v>2013</v>
      </c>
      <c r="Y45" s="28" t="s">
        <v>138</v>
      </c>
      <c r="Z45" s="28" t="s">
        <v>138</v>
      </c>
      <c r="AA45" s="28" t="s">
        <v>138</v>
      </c>
      <c r="AB45" s="32" t="s">
        <v>138</v>
      </c>
      <c r="AC45" s="32" t="s">
        <v>138</v>
      </c>
      <c r="AD45" s="32" t="s">
        <v>138</v>
      </c>
      <c r="AE45" s="32" t="s">
        <v>138</v>
      </c>
      <c r="AF45" s="32" t="s">
        <v>138</v>
      </c>
      <c r="AG45" s="28" t="s">
        <v>138</v>
      </c>
      <c r="AH45" s="32" t="s">
        <v>138</v>
      </c>
      <c r="AI45" s="32" t="s">
        <v>138</v>
      </c>
      <c r="AJ45" s="32" t="s">
        <v>138</v>
      </c>
      <c r="AK45" s="28" t="s">
        <v>1190</v>
      </c>
      <c r="AL45" s="28" t="s">
        <v>1191</v>
      </c>
      <c r="AM45" s="28" t="s">
        <v>1192</v>
      </c>
      <c r="AN45" s="28" t="s">
        <v>1193</v>
      </c>
      <c r="AO45" s="28" t="s">
        <v>1194</v>
      </c>
      <c r="AP45" s="28" t="s">
        <v>1195</v>
      </c>
      <c r="AQ45" s="28" t="s">
        <v>1196</v>
      </c>
      <c r="AR45" s="28" t="s">
        <v>1197</v>
      </c>
      <c r="AS45" s="28" t="s">
        <v>1198</v>
      </c>
      <c r="AT45" s="28" t="s">
        <v>138</v>
      </c>
      <c r="AU45" s="28" t="s">
        <v>1199</v>
      </c>
      <c r="AV45" s="28" t="s">
        <v>1200</v>
      </c>
      <c r="AW45" s="28" t="s">
        <v>1194</v>
      </c>
      <c r="AX45" s="28" t="s">
        <v>138</v>
      </c>
      <c r="AY45" s="28" t="s">
        <v>1201</v>
      </c>
      <c r="AZ45" s="28" t="s">
        <v>452</v>
      </c>
      <c r="BA45" s="28" t="s">
        <v>453</v>
      </c>
      <c r="BB45" s="28" t="s">
        <v>1202</v>
      </c>
      <c r="BC45" s="28" t="s">
        <v>1203</v>
      </c>
      <c r="BD45" s="33">
        <v>5</v>
      </c>
      <c r="BE45" s="28" t="s">
        <v>138</v>
      </c>
      <c r="BF45" s="28" t="s">
        <v>138</v>
      </c>
      <c r="BG45" s="28" t="s">
        <v>138</v>
      </c>
      <c r="BH45" s="28" t="s">
        <v>1204</v>
      </c>
      <c r="BI45" s="28" t="s">
        <v>138</v>
      </c>
      <c r="BJ45" s="28" t="s">
        <v>138</v>
      </c>
      <c r="BK45" s="28" t="s">
        <v>138</v>
      </c>
      <c r="BL45" s="28" t="s">
        <v>138</v>
      </c>
      <c r="BM45" s="34">
        <v>41365</v>
      </c>
      <c r="BN45" s="29">
        <v>0.31</v>
      </c>
      <c r="BO45" s="28" t="s">
        <v>172</v>
      </c>
      <c r="BP45" s="29" t="s">
        <v>138</v>
      </c>
      <c r="BQ45" s="28" t="s">
        <v>138</v>
      </c>
      <c r="BR45" s="28" t="s">
        <v>234</v>
      </c>
      <c r="BS45" s="28" t="s">
        <v>234</v>
      </c>
      <c r="BT45" s="28" t="s">
        <v>138</v>
      </c>
      <c r="BU45" s="28" t="s">
        <v>174</v>
      </c>
      <c r="BV45" s="28" t="s">
        <v>138</v>
      </c>
      <c r="BW45" s="28" t="s">
        <v>138</v>
      </c>
      <c r="BX45" s="28" t="s">
        <v>138</v>
      </c>
      <c r="BY45" s="28" t="s">
        <v>175</v>
      </c>
      <c r="BZ45" s="34">
        <v>43024</v>
      </c>
      <c r="CA45" s="29" t="s">
        <v>138</v>
      </c>
      <c r="CB45" s="28" t="s">
        <v>138</v>
      </c>
      <c r="CC45" s="29" t="s">
        <v>138</v>
      </c>
      <c r="CD45" s="28" t="s">
        <v>138</v>
      </c>
      <c r="CE45" s="28" t="s">
        <v>205</v>
      </c>
      <c r="CF45" s="28" t="s">
        <v>138</v>
      </c>
      <c r="CG45" s="28" t="s">
        <v>138</v>
      </c>
      <c r="CH45" s="28" t="s">
        <v>174</v>
      </c>
      <c r="CI45" s="28" t="s">
        <v>138</v>
      </c>
      <c r="CJ45" s="28" t="s">
        <v>138</v>
      </c>
      <c r="CK45" s="28" t="s">
        <v>138</v>
      </c>
      <c r="CL45" s="28" t="s">
        <v>175</v>
      </c>
      <c r="CM45" s="34" t="s">
        <v>138</v>
      </c>
      <c r="CN45" s="29" t="s">
        <v>138</v>
      </c>
      <c r="CO45" s="35">
        <v>7.0000000000000007E-2</v>
      </c>
      <c r="CP45" s="36">
        <v>89</v>
      </c>
      <c r="CQ45" s="35">
        <v>0</v>
      </c>
      <c r="CR45" s="35">
        <v>0</v>
      </c>
      <c r="CS45" s="35">
        <v>0</v>
      </c>
      <c r="CT45" s="36">
        <v>23</v>
      </c>
      <c r="CU45" s="35">
        <v>0.15</v>
      </c>
      <c r="CV45" s="36">
        <v>75</v>
      </c>
      <c r="CW45" s="35" t="s">
        <v>138</v>
      </c>
      <c r="CX45" s="36" t="s">
        <v>138</v>
      </c>
      <c r="CY45" s="35">
        <v>0</v>
      </c>
      <c r="CZ45" s="36">
        <v>25</v>
      </c>
      <c r="DA45" s="35" t="s">
        <v>138</v>
      </c>
      <c r="DB45" s="36" t="s">
        <v>138</v>
      </c>
      <c r="DC45" s="37">
        <v>3.4</v>
      </c>
      <c r="DD45" s="36">
        <v>77</v>
      </c>
      <c r="DE45" s="37">
        <v>0</v>
      </c>
      <c r="DF45" s="35">
        <v>-0.11</v>
      </c>
      <c r="DG45" s="37">
        <v>0.03</v>
      </c>
      <c r="DH45" s="36">
        <v>1</v>
      </c>
      <c r="DI45" s="37">
        <v>6.77</v>
      </c>
      <c r="DJ45" s="36">
        <v>81</v>
      </c>
      <c r="DK45" s="37" t="s">
        <v>138</v>
      </c>
      <c r="DL45" s="36" t="s">
        <v>138</v>
      </c>
      <c r="DM45" s="37">
        <v>0.03</v>
      </c>
      <c r="DN45" s="36">
        <v>1</v>
      </c>
      <c r="DO45" s="37" t="s">
        <v>138</v>
      </c>
      <c r="DP45" s="36" t="s">
        <v>138</v>
      </c>
      <c r="DQ45" s="36" t="s">
        <v>138</v>
      </c>
      <c r="DR45" s="38" t="s">
        <v>138</v>
      </c>
      <c r="DS45" s="35" t="s">
        <v>138</v>
      </c>
      <c r="DT45" s="36">
        <v>1</v>
      </c>
      <c r="DU45" s="38">
        <v>0</v>
      </c>
      <c r="DV45" s="35">
        <v>0</v>
      </c>
      <c r="DW45" s="36">
        <v>100</v>
      </c>
      <c r="DX45" s="39">
        <v>-1</v>
      </c>
      <c r="DY45" s="35">
        <v>-0.99</v>
      </c>
      <c r="DZ45" s="28" t="s">
        <v>178</v>
      </c>
      <c r="EA45" s="34">
        <v>43351</v>
      </c>
      <c r="EB45" s="29" t="s">
        <v>138</v>
      </c>
      <c r="EC45" s="34" t="s">
        <v>138</v>
      </c>
      <c r="ED45" s="28" t="s">
        <v>138</v>
      </c>
      <c r="EE45" s="40" t="str">
        <f>HYPERLINK("https://my.pitchbook.com?c=230459-59", "View company online")</f>
        <v>View company online</v>
      </c>
    </row>
    <row r="46" spans="1:135">
      <c r="A46" s="15" t="s">
        <v>1205</v>
      </c>
      <c r="B46" s="15" t="s">
        <v>1206</v>
      </c>
      <c r="C46" s="15" t="s">
        <v>138</v>
      </c>
      <c r="D46" s="15" t="s">
        <v>138</v>
      </c>
      <c r="E46" s="15" t="s">
        <v>138</v>
      </c>
      <c r="F46" s="15" t="s">
        <v>1205</v>
      </c>
      <c r="G46" s="15" t="s">
        <v>1207</v>
      </c>
      <c r="H46" s="15" t="s">
        <v>322</v>
      </c>
      <c r="I46" s="15" t="s">
        <v>1208</v>
      </c>
      <c r="J46" s="15" t="s">
        <v>1209</v>
      </c>
      <c r="K46" s="15" t="s">
        <v>1210</v>
      </c>
      <c r="L46" s="15" t="s">
        <v>415</v>
      </c>
      <c r="M46" s="15" t="s">
        <v>1211</v>
      </c>
      <c r="N46" s="15" t="s">
        <v>1212</v>
      </c>
      <c r="O46" s="17">
        <v>5.33</v>
      </c>
      <c r="P46" s="15" t="s">
        <v>1213</v>
      </c>
      <c r="Q46" s="15" t="s">
        <v>149</v>
      </c>
      <c r="R46" s="15" t="s">
        <v>174</v>
      </c>
      <c r="S46" s="15" t="s">
        <v>1214</v>
      </c>
      <c r="T46" s="18">
        <v>6</v>
      </c>
      <c r="U46" s="15" t="s">
        <v>1215</v>
      </c>
      <c r="V46" s="15" t="s">
        <v>138</v>
      </c>
      <c r="W46" s="15" t="s">
        <v>138</v>
      </c>
      <c r="X46" s="19">
        <v>2014</v>
      </c>
      <c r="Y46" s="15" t="s">
        <v>138</v>
      </c>
      <c r="Z46" s="15" t="s">
        <v>138</v>
      </c>
      <c r="AA46" s="15" t="s">
        <v>138</v>
      </c>
      <c r="AB46" s="20" t="s">
        <v>138</v>
      </c>
      <c r="AC46" s="20" t="s">
        <v>138</v>
      </c>
      <c r="AD46" s="20" t="s">
        <v>138</v>
      </c>
      <c r="AE46" s="20" t="s">
        <v>138</v>
      </c>
      <c r="AF46" s="20" t="s">
        <v>138</v>
      </c>
      <c r="AG46" s="15" t="s">
        <v>138</v>
      </c>
      <c r="AH46" s="20" t="s">
        <v>138</v>
      </c>
      <c r="AI46" s="20" t="s">
        <v>138</v>
      </c>
      <c r="AJ46" s="20" t="s">
        <v>138</v>
      </c>
      <c r="AK46" s="15" t="s">
        <v>1216</v>
      </c>
      <c r="AL46" s="15" t="s">
        <v>1217</v>
      </c>
      <c r="AM46" s="15" t="s">
        <v>304</v>
      </c>
      <c r="AN46" s="15" t="s">
        <v>1218</v>
      </c>
      <c r="AO46" s="15" t="s">
        <v>1219</v>
      </c>
      <c r="AP46" s="15" t="s">
        <v>1220</v>
      </c>
      <c r="AQ46" s="15" t="s">
        <v>1221</v>
      </c>
      <c r="AR46" s="15" t="s">
        <v>1222</v>
      </c>
      <c r="AS46" s="15" t="s">
        <v>1223</v>
      </c>
      <c r="AT46" s="15" t="s">
        <v>200</v>
      </c>
      <c r="AU46" s="15" t="s">
        <v>1224</v>
      </c>
      <c r="AV46" s="15" t="s">
        <v>162</v>
      </c>
      <c r="AW46" s="15" t="s">
        <v>1219</v>
      </c>
      <c r="AX46" s="15" t="s">
        <v>138</v>
      </c>
      <c r="AY46" s="15" t="s">
        <v>1225</v>
      </c>
      <c r="AZ46" s="15" t="s">
        <v>164</v>
      </c>
      <c r="BA46" s="15" t="s">
        <v>165</v>
      </c>
      <c r="BB46" s="15" t="s">
        <v>1226</v>
      </c>
      <c r="BC46" s="15" t="s">
        <v>138</v>
      </c>
      <c r="BD46" s="21" t="s">
        <v>138</v>
      </c>
      <c r="BE46" s="15" t="s">
        <v>138</v>
      </c>
      <c r="BF46" s="15" t="s">
        <v>1227</v>
      </c>
      <c r="BG46" s="15" t="s">
        <v>138</v>
      </c>
      <c r="BH46" s="15" t="s">
        <v>138</v>
      </c>
      <c r="BI46" s="15" t="s">
        <v>1228</v>
      </c>
      <c r="BJ46" s="15" t="s">
        <v>138</v>
      </c>
      <c r="BK46" s="15" t="s">
        <v>1229</v>
      </c>
      <c r="BL46" s="15" t="s">
        <v>138</v>
      </c>
      <c r="BM46" s="22" t="s">
        <v>138</v>
      </c>
      <c r="BN46" s="17" t="s">
        <v>138</v>
      </c>
      <c r="BO46" s="15" t="s">
        <v>138</v>
      </c>
      <c r="BP46" s="17" t="s">
        <v>138</v>
      </c>
      <c r="BQ46" s="15" t="s">
        <v>138</v>
      </c>
      <c r="BR46" s="15" t="s">
        <v>316</v>
      </c>
      <c r="BS46" s="15" t="s">
        <v>138</v>
      </c>
      <c r="BT46" s="15" t="s">
        <v>138</v>
      </c>
      <c r="BU46" s="15" t="s">
        <v>177</v>
      </c>
      <c r="BV46" s="15" t="s">
        <v>138</v>
      </c>
      <c r="BW46" s="15" t="s">
        <v>138</v>
      </c>
      <c r="BX46" s="15" t="s">
        <v>138</v>
      </c>
      <c r="BY46" s="15" t="s">
        <v>175</v>
      </c>
      <c r="BZ46" s="22">
        <v>43466</v>
      </c>
      <c r="CA46" s="17" t="s">
        <v>138</v>
      </c>
      <c r="CB46" s="15" t="s">
        <v>138</v>
      </c>
      <c r="CC46" s="17" t="s">
        <v>138</v>
      </c>
      <c r="CD46" s="15" t="s">
        <v>138</v>
      </c>
      <c r="CE46" s="15" t="s">
        <v>1213</v>
      </c>
      <c r="CF46" s="15" t="s">
        <v>138</v>
      </c>
      <c r="CG46" s="15" t="s">
        <v>138</v>
      </c>
      <c r="CH46" s="15" t="s">
        <v>1230</v>
      </c>
      <c r="CI46" s="15" t="s">
        <v>138</v>
      </c>
      <c r="CJ46" s="15" t="s">
        <v>138</v>
      </c>
      <c r="CK46" s="15" t="s">
        <v>138</v>
      </c>
      <c r="CL46" s="15" t="s">
        <v>175</v>
      </c>
      <c r="CM46" s="22" t="s">
        <v>138</v>
      </c>
      <c r="CN46" s="17" t="s">
        <v>138</v>
      </c>
      <c r="CO46" s="23" t="s">
        <v>138</v>
      </c>
      <c r="CP46" s="24" t="s">
        <v>138</v>
      </c>
      <c r="CQ46" s="23" t="s">
        <v>138</v>
      </c>
      <c r="CR46" s="23" t="s">
        <v>138</v>
      </c>
      <c r="CS46" s="23" t="s">
        <v>138</v>
      </c>
      <c r="CT46" s="24" t="s">
        <v>138</v>
      </c>
      <c r="CU46" s="23" t="s">
        <v>138</v>
      </c>
      <c r="CV46" s="24" t="s">
        <v>138</v>
      </c>
      <c r="CW46" s="23" t="s">
        <v>138</v>
      </c>
      <c r="CX46" s="24" t="s">
        <v>138</v>
      </c>
      <c r="CY46" s="23" t="s">
        <v>138</v>
      </c>
      <c r="CZ46" s="24" t="s">
        <v>138</v>
      </c>
      <c r="DA46" s="23" t="s">
        <v>138</v>
      </c>
      <c r="DB46" s="24" t="s">
        <v>138</v>
      </c>
      <c r="DC46" s="25" t="s">
        <v>138</v>
      </c>
      <c r="DD46" s="24" t="s">
        <v>138</v>
      </c>
      <c r="DE46" s="25" t="s">
        <v>138</v>
      </c>
      <c r="DF46" s="23" t="s">
        <v>138</v>
      </c>
      <c r="DG46" s="25" t="s">
        <v>138</v>
      </c>
      <c r="DH46" s="24" t="s">
        <v>138</v>
      </c>
      <c r="DI46" s="25" t="s">
        <v>138</v>
      </c>
      <c r="DJ46" s="24" t="s">
        <v>138</v>
      </c>
      <c r="DK46" s="25" t="s">
        <v>138</v>
      </c>
      <c r="DL46" s="24" t="s">
        <v>138</v>
      </c>
      <c r="DM46" s="25" t="s">
        <v>138</v>
      </c>
      <c r="DN46" s="24" t="s">
        <v>138</v>
      </c>
      <c r="DO46" s="25" t="s">
        <v>138</v>
      </c>
      <c r="DP46" s="24" t="s">
        <v>138</v>
      </c>
      <c r="DQ46" s="24" t="s">
        <v>138</v>
      </c>
      <c r="DR46" s="26" t="s">
        <v>138</v>
      </c>
      <c r="DS46" s="23" t="s">
        <v>138</v>
      </c>
      <c r="DT46" s="24" t="s">
        <v>138</v>
      </c>
      <c r="DU46" s="26" t="s">
        <v>138</v>
      </c>
      <c r="DV46" s="23" t="s">
        <v>138</v>
      </c>
      <c r="DW46" s="24" t="s">
        <v>138</v>
      </c>
      <c r="DX46" s="27" t="s">
        <v>138</v>
      </c>
      <c r="DY46" s="23" t="s">
        <v>138</v>
      </c>
      <c r="DZ46" s="15" t="s">
        <v>178</v>
      </c>
      <c r="EA46" s="22">
        <v>43622</v>
      </c>
      <c r="EB46" s="17" t="s">
        <v>138</v>
      </c>
      <c r="EC46" s="22" t="s">
        <v>138</v>
      </c>
      <c r="ED46" s="15" t="s">
        <v>138</v>
      </c>
      <c r="EE46" s="14" t="str">
        <f>HYPERLINK("https://my.pitchbook.com?c=155958-49", "View company online")</f>
        <v>View company online</v>
      </c>
    </row>
    <row r="47" spans="1:135">
      <c r="A47" s="28" t="s">
        <v>1231</v>
      </c>
      <c r="B47" s="28" t="s">
        <v>1232</v>
      </c>
      <c r="C47" s="28" t="s">
        <v>138</v>
      </c>
      <c r="D47" s="28" t="s">
        <v>138</v>
      </c>
      <c r="E47" s="28" t="s">
        <v>1233</v>
      </c>
      <c r="F47" s="28" t="s">
        <v>1231</v>
      </c>
      <c r="G47" s="28" t="s">
        <v>1234</v>
      </c>
      <c r="H47" s="28" t="s">
        <v>322</v>
      </c>
      <c r="I47" s="28" t="s">
        <v>323</v>
      </c>
      <c r="J47" s="28" t="s">
        <v>1235</v>
      </c>
      <c r="K47" s="28" t="s">
        <v>1236</v>
      </c>
      <c r="L47" s="28" t="s">
        <v>215</v>
      </c>
      <c r="M47" s="28" t="s">
        <v>1237</v>
      </c>
      <c r="N47" s="28" t="s">
        <v>147</v>
      </c>
      <c r="O47" s="29">
        <v>14</v>
      </c>
      <c r="P47" s="28" t="s">
        <v>148</v>
      </c>
      <c r="Q47" s="28" t="s">
        <v>149</v>
      </c>
      <c r="R47" s="28" t="s">
        <v>174</v>
      </c>
      <c r="S47" s="28" t="s">
        <v>1238</v>
      </c>
      <c r="T47" s="30">
        <v>20</v>
      </c>
      <c r="U47" s="28" t="s">
        <v>1239</v>
      </c>
      <c r="V47" s="28" t="s">
        <v>138</v>
      </c>
      <c r="W47" s="28" t="s">
        <v>138</v>
      </c>
      <c r="X47" s="31">
        <v>2013</v>
      </c>
      <c r="Y47" s="28" t="s">
        <v>138</v>
      </c>
      <c r="Z47" s="28" t="s">
        <v>138</v>
      </c>
      <c r="AA47" s="28" t="s">
        <v>138</v>
      </c>
      <c r="AB47" s="32" t="s">
        <v>138</v>
      </c>
      <c r="AC47" s="32" t="s">
        <v>138</v>
      </c>
      <c r="AD47" s="32" t="s">
        <v>138</v>
      </c>
      <c r="AE47" s="32" t="s">
        <v>138</v>
      </c>
      <c r="AF47" s="32" t="s">
        <v>138</v>
      </c>
      <c r="AG47" s="28" t="s">
        <v>138</v>
      </c>
      <c r="AH47" s="32" t="s">
        <v>138</v>
      </c>
      <c r="AI47" s="32" t="s">
        <v>138</v>
      </c>
      <c r="AJ47" s="32" t="s">
        <v>138</v>
      </c>
      <c r="AK47" s="28" t="s">
        <v>1240</v>
      </c>
      <c r="AL47" s="28" t="s">
        <v>1241</v>
      </c>
      <c r="AM47" s="28" t="s">
        <v>304</v>
      </c>
      <c r="AN47" s="28" t="s">
        <v>1242</v>
      </c>
      <c r="AO47" s="28" t="s">
        <v>1243</v>
      </c>
      <c r="AP47" s="28" t="s">
        <v>1244</v>
      </c>
      <c r="AQ47" s="28" t="s">
        <v>1245</v>
      </c>
      <c r="AR47" s="28" t="s">
        <v>138</v>
      </c>
      <c r="AS47" s="28" t="s">
        <v>1246</v>
      </c>
      <c r="AT47" s="28" t="s">
        <v>200</v>
      </c>
      <c r="AU47" s="28" t="s">
        <v>844</v>
      </c>
      <c r="AV47" s="28" t="s">
        <v>162</v>
      </c>
      <c r="AW47" s="28" t="s">
        <v>1243</v>
      </c>
      <c r="AX47" s="28" t="s">
        <v>138</v>
      </c>
      <c r="AY47" s="28" t="s">
        <v>1247</v>
      </c>
      <c r="AZ47" s="28" t="s">
        <v>164</v>
      </c>
      <c r="BA47" s="28" t="s">
        <v>165</v>
      </c>
      <c r="BB47" s="28" t="s">
        <v>1248</v>
      </c>
      <c r="BC47" s="28" t="s">
        <v>1249</v>
      </c>
      <c r="BD47" s="33">
        <v>24</v>
      </c>
      <c r="BE47" s="28" t="s">
        <v>138</v>
      </c>
      <c r="BF47" s="28" t="s">
        <v>138</v>
      </c>
      <c r="BG47" s="28" t="s">
        <v>138</v>
      </c>
      <c r="BH47" s="28" t="s">
        <v>1250</v>
      </c>
      <c r="BI47" s="28" t="s">
        <v>138</v>
      </c>
      <c r="BJ47" s="28" t="s">
        <v>138</v>
      </c>
      <c r="BK47" s="28" t="s">
        <v>1251</v>
      </c>
      <c r="BL47" s="28" t="s">
        <v>1251</v>
      </c>
      <c r="BM47" s="34">
        <v>42593</v>
      </c>
      <c r="BN47" s="29">
        <v>7</v>
      </c>
      <c r="BO47" s="28" t="s">
        <v>172</v>
      </c>
      <c r="BP47" s="29" t="s">
        <v>138</v>
      </c>
      <c r="BQ47" s="28" t="s">
        <v>138</v>
      </c>
      <c r="BR47" s="28" t="s">
        <v>205</v>
      </c>
      <c r="BS47" s="28" t="s">
        <v>138</v>
      </c>
      <c r="BT47" s="28" t="s">
        <v>138</v>
      </c>
      <c r="BU47" s="28" t="s">
        <v>174</v>
      </c>
      <c r="BV47" s="28" t="s">
        <v>138</v>
      </c>
      <c r="BW47" s="28" t="s">
        <v>138</v>
      </c>
      <c r="BX47" s="28" t="s">
        <v>138</v>
      </c>
      <c r="BY47" s="28" t="s">
        <v>175</v>
      </c>
      <c r="BZ47" s="34">
        <v>43130</v>
      </c>
      <c r="CA47" s="29">
        <v>7</v>
      </c>
      <c r="CB47" s="28" t="s">
        <v>172</v>
      </c>
      <c r="CC47" s="29" t="s">
        <v>138</v>
      </c>
      <c r="CD47" s="28" t="s">
        <v>138</v>
      </c>
      <c r="CE47" s="28" t="s">
        <v>173</v>
      </c>
      <c r="CF47" s="28" t="s">
        <v>206</v>
      </c>
      <c r="CG47" s="28" t="s">
        <v>138</v>
      </c>
      <c r="CH47" s="28" t="s">
        <v>174</v>
      </c>
      <c r="CI47" s="28" t="s">
        <v>138</v>
      </c>
      <c r="CJ47" s="28" t="s">
        <v>138</v>
      </c>
      <c r="CK47" s="28" t="s">
        <v>138</v>
      </c>
      <c r="CL47" s="28" t="s">
        <v>175</v>
      </c>
      <c r="CM47" s="34" t="s">
        <v>138</v>
      </c>
      <c r="CN47" s="29" t="s">
        <v>138</v>
      </c>
      <c r="CO47" s="35">
        <v>-0.02</v>
      </c>
      <c r="CP47" s="36">
        <v>24</v>
      </c>
      <c r="CQ47" s="35">
        <v>0</v>
      </c>
      <c r="CR47" s="35">
        <v>0.4</v>
      </c>
      <c r="CS47" s="35">
        <v>0</v>
      </c>
      <c r="CT47" s="36">
        <v>23</v>
      </c>
      <c r="CU47" s="35">
        <v>-0.03</v>
      </c>
      <c r="CV47" s="36">
        <v>14</v>
      </c>
      <c r="CW47" s="35" t="s">
        <v>138</v>
      </c>
      <c r="CX47" s="36" t="s">
        <v>138</v>
      </c>
      <c r="CY47" s="35">
        <v>0</v>
      </c>
      <c r="CZ47" s="36">
        <v>25</v>
      </c>
      <c r="DA47" s="35">
        <v>-7.0000000000000007E-2</v>
      </c>
      <c r="DB47" s="36">
        <v>9</v>
      </c>
      <c r="DC47" s="37">
        <v>2.2200000000000002</v>
      </c>
      <c r="DD47" s="36">
        <v>69</v>
      </c>
      <c r="DE47" s="37">
        <v>0.01</v>
      </c>
      <c r="DF47" s="35">
        <v>0.61</v>
      </c>
      <c r="DG47" s="37">
        <v>2.31</v>
      </c>
      <c r="DH47" s="36">
        <v>70</v>
      </c>
      <c r="DI47" s="37">
        <v>2.13</v>
      </c>
      <c r="DJ47" s="36">
        <v>64</v>
      </c>
      <c r="DK47" s="37" t="s">
        <v>138</v>
      </c>
      <c r="DL47" s="36" t="s">
        <v>138</v>
      </c>
      <c r="DM47" s="37">
        <v>2.31</v>
      </c>
      <c r="DN47" s="36">
        <v>68</v>
      </c>
      <c r="DO47" s="37">
        <v>4.2300000000000004</v>
      </c>
      <c r="DP47" s="36">
        <v>77</v>
      </c>
      <c r="DQ47" s="36">
        <v>629</v>
      </c>
      <c r="DR47" s="38">
        <v>56</v>
      </c>
      <c r="DS47" s="35">
        <v>9.77</v>
      </c>
      <c r="DT47" s="36">
        <v>67</v>
      </c>
      <c r="DU47" s="38">
        <v>1</v>
      </c>
      <c r="DV47" s="35">
        <v>1.52</v>
      </c>
      <c r="DW47" s="36">
        <v>1512</v>
      </c>
      <c r="DX47" s="39">
        <v>6</v>
      </c>
      <c r="DY47" s="35">
        <v>0.4</v>
      </c>
      <c r="DZ47" s="28" t="s">
        <v>178</v>
      </c>
      <c r="EA47" s="34">
        <v>43621</v>
      </c>
      <c r="EB47" s="29" t="s">
        <v>138</v>
      </c>
      <c r="EC47" s="34" t="s">
        <v>138</v>
      </c>
      <c r="ED47" s="28" t="s">
        <v>138</v>
      </c>
      <c r="EE47" s="40" t="str">
        <f>HYPERLINK("https://my.pitchbook.com?c=97268-41", "View company online")</f>
        <v>View company online</v>
      </c>
    </row>
    <row r="48" spans="1:135">
      <c r="A48" s="15" t="s">
        <v>1252</v>
      </c>
      <c r="B48" s="15" t="s">
        <v>1253</v>
      </c>
      <c r="C48" s="15" t="s">
        <v>1254</v>
      </c>
      <c r="D48" s="15" t="s">
        <v>138</v>
      </c>
      <c r="E48" s="15" t="s">
        <v>1255</v>
      </c>
      <c r="F48" s="15" t="s">
        <v>1252</v>
      </c>
      <c r="G48" s="15" t="s">
        <v>1256</v>
      </c>
      <c r="H48" s="15" t="s">
        <v>141</v>
      </c>
      <c r="I48" s="15" t="s">
        <v>212</v>
      </c>
      <c r="J48" s="15" t="s">
        <v>1257</v>
      </c>
      <c r="K48" s="15" t="s">
        <v>1258</v>
      </c>
      <c r="L48" s="15" t="s">
        <v>415</v>
      </c>
      <c r="M48" s="15" t="s">
        <v>1259</v>
      </c>
      <c r="N48" s="15" t="s">
        <v>147</v>
      </c>
      <c r="O48" s="17">
        <v>113</v>
      </c>
      <c r="P48" s="15" t="s">
        <v>148</v>
      </c>
      <c r="Q48" s="15" t="s">
        <v>149</v>
      </c>
      <c r="R48" s="15" t="s">
        <v>174</v>
      </c>
      <c r="S48" s="15" t="s">
        <v>1260</v>
      </c>
      <c r="T48" s="18">
        <v>90</v>
      </c>
      <c r="U48" s="15" t="s">
        <v>1261</v>
      </c>
      <c r="V48" s="15" t="s">
        <v>138</v>
      </c>
      <c r="W48" s="15" t="s">
        <v>138</v>
      </c>
      <c r="X48" s="19">
        <v>2013</v>
      </c>
      <c r="Y48" s="15" t="s">
        <v>138</v>
      </c>
      <c r="Z48" s="15" t="s">
        <v>138</v>
      </c>
      <c r="AA48" s="15" t="s">
        <v>138</v>
      </c>
      <c r="AB48" s="20">
        <v>20</v>
      </c>
      <c r="AC48" s="20" t="s">
        <v>138</v>
      </c>
      <c r="AD48" s="20" t="s">
        <v>138</v>
      </c>
      <c r="AE48" s="20" t="s">
        <v>138</v>
      </c>
      <c r="AF48" s="20" t="s">
        <v>138</v>
      </c>
      <c r="AG48" s="15" t="s">
        <v>419</v>
      </c>
      <c r="AH48" s="20" t="s">
        <v>138</v>
      </c>
      <c r="AI48" s="20" t="s">
        <v>138</v>
      </c>
      <c r="AJ48" s="20" t="s">
        <v>138</v>
      </c>
      <c r="AK48" s="15" t="s">
        <v>1262</v>
      </c>
      <c r="AL48" s="15" t="s">
        <v>1263</v>
      </c>
      <c r="AM48" s="15" t="s">
        <v>1264</v>
      </c>
      <c r="AN48" s="15" t="s">
        <v>1265</v>
      </c>
      <c r="AO48" s="15" t="s">
        <v>1266</v>
      </c>
      <c r="AP48" s="15" t="s">
        <v>1267</v>
      </c>
      <c r="AQ48" s="15" t="s">
        <v>1268</v>
      </c>
      <c r="AR48" s="15" t="s">
        <v>138</v>
      </c>
      <c r="AS48" s="15" t="s">
        <v>1269</v>
      </c>
      <c r="AT48" s="15" t="s">
        <v>597</v>
      </c>
      <c r="AU48" s="15" t="s">
        <v>1270</v>
      </c>
      <c r="AV48" s="15" t="s">
        <v>162</v>
      </c>
      <c r="AW48" s="15" t="s">
        <v>1266</v>
      </c>
      <c r="AX48" s="15" t="s">
        <v>138</v>
      </c>
      <c r="AY48" s="15" t="s">
        <v>1271</v>
      </c>
      <c r="AZ48" s="15" t="s">
        <v>164</v>
      </c>
      <c r="BA48" s="15" t="s">
        <v>165</v>
      </c>
      <c r="BB48" s="15" t="s">
        <v>1272</v>
      </c>
      <c r="BC48" s="15" t="s">
        <v>1273</v>
      </c>
      <c r="BD48" s="21">
        <v>8</v>
      </c>
      <c r="BE48" s="15" t="s">
        <v>138</v>
      </c>
      <c r="BF48" s="15" t="s">
        <v>138</v>
      </c>
      <c r="BG48" s="15" t="s">
        <v>138</v>
      </c>
      <c r="BH48" s="15" t="s">
        <v>1274</v>
      </c>
      <c r="BI48" s="15" t="s">
        <v>138</v>
      </c>
      <c r="BJ48" s="15" t="s">
        <v>138</v>
      </c>
      <c r="BK48" s="15" t="s">
        <v>1275</v>
      </c>
      <c r="BL48" s="15" t="s">
        <v>1275</v>
      </c>
      <c r="BM48" s="22">
        <v>41576</v>
      </c>
      <c r="BN48" s="17">
        <v>4.2</v>
      </c>
      <c r="BO48" s="15" t="s">
        <v>172</v>
      </c>
      <c r="BP48" s="17">
        <v>12.6</v>
      </c>
      <c r="BQ48" s="15" t="s">
        <v>172</v>
      </c>
      <c r="BR48" s="15" t="s">
        <v>205</v>
      </c>
      <c r="BS48" s="15" t="s">
        <v>206</v>
      </c>
      <c r="BT48" s="15" t="s">
        <v>138</v>
      </c>
      <c r="BU48" s="15" t="s">
        <v>174</v>
      </c>
      <c r="BV48" s="15" t="s">
        <v>138</v>
      </c>
      <c r="BW48" s="15" t="s">
        <v>138</v>
      </c>
      <c r="BX48" s="15" t="s">
        <v>138</v>
      </c>
      <c r="BY48" s="15" t="s">
        <v>175</v>
      </c>
      <c r="BZ48" s="22">
        <v>43598</v>
      </c>
      <c r="CA48" s="17">
        <v>50</v>
      </c>
      <c r="CB48" s="15" t="s">
        <v>172</v>
      </c>
      <c r="CC48" s="17" t="s">
        <v>138</v>
      </c>
      <c r="CD48" s="15" t="s">
        <v>138</v>
      </c>
      <c r="CE48" s="15" t="s">
        <v>173</v>
      </c>
      <c r="CF48" s="15" t="s">
        <v>138</v>
      </c>
      <c r="CG48" s="15" t="s">
        <v>138</v>
      </c>
      <c r="CH48" s="15" t="s">
        <v>174</v>
      </c>
      <c r="CI48" s="15" t="s">
        <v>138</v>
      </c>
      <c r="CJ48" s="15" t="s">
        <v>138</v>
      </c>
      <c r="CK48" s="15" t="s">
        <v>138</v>
      </c>
      <c r="CL48" s="15" t="s">
        <v>175</v>
      </c>
      <c r="CM48" s="22" t="s">
        <v>138</v>
      </c>
      <c r="CN48" s="17" t="s">
        <v>138</v>
      </c>
      <c r="CO48" s="23">
        <v>0.75</v>
      </c>
      <c r="CP48" s="24">
        <v>96</v>
      </c>
      <c r="CQ48" s="23">
        <v>0.01</v>
      </c>
      <c r="CR48" s="23">
        <v>0.93</v>
      </c>
      <c r="CS48" s="23">
        <v>1.1499999999999999</v>
      </c>
      <c r="CT48" s="24">
        <v>97</v>
      </c>
      <c r="CU48" s="23">
        <v>0.34</v>
      </c>
      <c r="CV48" s="24">
        <v>89</v>
      </c>
      <c r="CW48" s="23">
        <v>2.35</v>
      </c>
      <c r="CX48" s="24">
        <v>89</v>
      </c>
      <c r="CY48" s="23">
        <v>-0.05</v>
      </c>
      <c r="CZ48" s="24">
        <v>24</v>
      </c>
      <c r="DA48" s="23">
        <v>0.57999999999999996</v>
      </c>
      <c r="DB48" s="24">
        <v>95</v>
      </c>
      <c r="DC48" s="25">
        <v>31.59</v>
      </c>
      <c r="DD48" s="24">
        <v>97</v>
      </c>
      <c r="DE48" s="25">
        <v>-3.01</v>
      </c>
      <c r="DF48" s="23">
        <v>-8.69</v>
      </c>
      <c r="DG48" s="25">
        <v>54.93</v>
      </c>
      <c r="DH48" s="24">
        <v>98</v>
      </c>
      <c r="DI48" s="25">
        <v>8.25</v>
      </c>
      <c r="DJ48" s="24">
        <v>83</v>
      </c>
      <c r="DK48" s="25">
        <v>93.48</v>
      </c>
      <c r="DL48" s="24">
        <v>98</v>
      </c>
      <c r="DM48" s="25">
        <v>16.38</v>
      </c>
      <c r="DN48" s="24">
        <v>93</v>
      </c>
      <c r="DO48" s="25">
        <v>4.09</v>
      </c>
      <c r="DP48" s="24">
        <v>76</v>
      </c>
      <c r="DQ48" s="24">
        <v>31484</v>
      </c>
      <c r="DR48" s="26">
        <v>1736</v>
      </c>
      <c r="DS48" s="23">
        <v>5.84</v>
      </c>
      <c r="DT48" s="24">
        <v>475</v>
      </c>
      <c r="DU48" s="26">
        <v>0</v>
      </c>
      <c r="DV48" s="23">
        <v>0</v>
      </c>
      <c r="DW48" s="24">
        <v>1460</v>
      </c>
      <c r="DX48" s="27">
        <v>5</v>
      </c>
      <c r="DY48" s="23">
        <v>0.34</v>
      </c>
      <c r="DZ48" s="15" t="s">
        <v>178</v>
      </c>
      <c r="EA48" s="22">
        <v>43622</v>
      </c>
      <c r="EB48" s="17">
        <v>125</v>
      </c>
      <c r="EC48" s="22">
        <v>42915</v>
      </c>
      <c r="ED48" s="15" t="s">
        <v>173</v>
      </c>
      <c r="EE48" s="14" t="str">
        <f>HYPERLINK("https://my.pitchbook.com?c=118852-93", "View company online")</f>
        <v>View company online</v>
      </c>
    </row>
    <row r="49" spans="1:135">
      <c r="A49" s="28" t="s">
        <v>1276</v>
      </c>
      <c r="B49" s="28" t="s">
        <v>1277</v>
      </c>
      <c r="C49" s="28" t="s">
        <v>1278</v>
      </c>
      <c r="D49" s="28" t="s">
        <v>1279</v>
      </c>
      <c r="E49" s="28" t="s">
        <v>138</v>
      </c>
      <c r="F49" s="28" t="s">
        <v>1276</v>
      </c>
      <c r="G49" s="28" t="s">
        <v>1280</v>
      </c>
      <c r="H49" s="28" t="s">
        <v>141</v>
      </c>
      <c r="I49" s="28" t="s">
        <v>1281</v>
      </c>
      <c r="J49" s="28" t="s">
        <v>1282</v>
      </c>
      <c r="K49" s="28" t="s">
        <v>1283</v>
      </c>
      <c r="L49" s="28" t="s">
        <v>1284</v>
      </c>
      <c r="M49" s="28" t="s">
        <v>1285</v>
      </c>
      <c r="N49" s="28" t="s">
        <v>147</v>
      </c>
      <c r="O49" s="29">
        <v>45.33</v>
      </c>
      <c r="P49" s="28" t="s">
        <v>148</v>
      </c>
      <c r="Q49" s="28" t="s">
        <v>149</v>
      </c>
      <c r="R49" s="28" t="s">
        <v>244</v>
      </c>
      <c r="S49" s="28" t="s">
        <v>1286</v>
      </c>
      <c r="T49" s="30">
        <v>25</v>
      </c>
      <c r="U49" s="28" t="s">
        <v>1287</v>
      </c>
      <c r="V49" s="28" t="s">
        <v>138</v>
      </c>
      <c r="W49" s="28" t="s">
        <v>138</v>
      </c>
      <c r="X49" s="31">
        <v>2009</v>
      </c>
      <c r="Y49" s="28" t="s">
        <v>138</v>
      </c>
      <c r="Z49" s="28" t="s">
        <v>138</v>
      </c>
      <c r="AA49" s="28" t="s">
        <v>138</v>
      </c>
      <c r="AB49" s="32">
        <v>100</v>
      </c>
      <c r="AC49" s="32" t="s">
        <v>138</v>
      </c>
      <c r="AD49" s="32" t="s">
        <v>138</v>
      </c>
      <c r="AE49" s="32" t="s">
        <v>138</v>
      </c>
      <c r="AF49" s="32" t="s">
        <v>138</v>
      </c>
      <c r="AG49" s="28" t="s">
        <v>707</v>
      </c>
      <c r="AH49" s="32" t="s">
        <v>138</v>
      </c>
      <c r="AI49" s="32" t="s">
        <v>138</v>
      </c>
      <c r="AJ49" s="32" t="s">
        <v>138</v>
      </c>
      <c r="AK49" s="28" t="s">
        <v>1288</v>
      </c>
      <c r="AL49" s="28" t="s">
        <v>1289</v>
      </c>
      <c r="AM49" s="28" t="s">
        <v>221</v>
      </c>
      <c r="AN49" s="28" t="s">
        <v>1290</v>
      </c>
      <c r="AO49" s="28" t="s">
        <v>1291</v>
      </c>
      <c r="AP49" s="28" t="s">
        <v>1292</v>
      </c>
      <c r="AQ49" s="28" t="s">
        <v>1293</v>
      </c>
      <c r="AR49" s="28" t="s">
        <v>138</v>
      </c>
      <c r="AS49" s="28" t="s">
        <v>1294</v>
      </c>
      <c r="AT49" s="28" t="s">
        <v>864</v>
      </c>
      <c r="AU49" s="28" t="s">
        <v>1295</v>
      </c>
      <c r="AV49" s="28" t="s">
        <v>162</v>
      </c>
      <c r="AW49" s="28" t="s">
        <v>1291</v>
      </c>
      <c r="AX49" s="28" t="s">
        <v>1296</v>
      </c>
      <c r="AY49" s="28" t="s">
        <v>1297</v>
      </c>
      <c r="AZ49" s="28" t="s">
        <v>164</v>
      </c>
      <c r="BA49" s="28" t="s">
        <v>165</v>
      </c>
      <c r="BB49" s="28" t="s">
        <v>1298</v>
      </c>
      <c r="BC49" s="28" t="s">
        <v>1299</v>
      </c>
      <c r="BD49" s="33">
        <v>9</v>
      </c>
      <c r="BE49" s="28" t="s">
        <v>138</v>
      </c>
      <c r="BF49" s="28" t="s">
        <v>138</v>
      </c>
      <c r="BG49" s="28" t="s">
        <v>138</v>
      </c>
      <c r="BH49" s="28" t="s">
        <v>1300</v>
      </c>
      <c r="BI49" s="28" t="s">
        <v>138</v>
      </c>
      <c r="BJ49" s="28" t="s">
        <v>138</v>
      </c>
      <c r="BK49" s="28" t="s">
        <v>1301</v>
      </c>
      <c r="BL49" s="28" t="s">
        <v>1302</v>
      </c>
      <c r="BM49" s="34">
        <v>40374</v>
      </c>
      <c r="BN49" s="29">
        <v>0.3</v>
      </c>
      <c r="BO49" s="28" t="s">
        <v>172</v>
      </c>
      <c r="BP49" s="29" t="s">
        <v>138</v>
      </c>
      <c r="BQ49" s="28" t="s">
        <v>138</v>
      </c>
      <c r="BR49" s="28" t="s">
        <v>176</v>
      </c>
      <c r="BS49" s="28" t="s">
        <v>138</v>
      </c>
      <c r="BT49" s="28" t="s">
        <v>138</v>
      </c>
      <c r="BU49" s="28" t="s">
        <v>177</v>
      </c>
      <c r="BV49" s="28" t="s">
        <v>138</v>
      </c>
      <c r="BW49" s="28" t="s">
        <v>138</v>
      </c>
      <c r="BX49" s="28" t="s">
        <v>138</v>
      </c>
      <c r="BY49" s="28" t="s">
        <v>175</v>
      </c>
      <c r="BZ49" s="34">
        <v>43007</v>
      </c>
      <c r="CA49" s="29">
        <v>22.23</v>
      </c>
      <c r="CB49" s="28" t="s">
        <v>172</v>
      </c>
      <c r="CC49" s="29">
        <v>63.53</v>
      </c>
      <c r="CD49" s="28" t="s">
        <v>172</v>
      </c>
      <c r="CE49" s="28" t="s">
        <v>173</v>
      </c>
      <c r="CF49" s="28" t="s">
        <v>433</v>
      </c>
      <c r="CG49" s="28" t="s">
        <v>138</v>
      </c>
      <c r="CH49" s="28" t="s">
        <v>174</v>
      </c>
      <c r="CI49" s="28" t="s">
        <v>138</v>
      </c>
      <c r="CJ49" s="28" t="s">
        <v>138</v>
      </c>
      <c r="CK49" s="28" t="s">
        <v>138</v>
      </c>
      <c r="CL49" s="28" t="s">
        <v>175</v>
      </c>
      <c r="CM49" s="34">
        <v>41600</v>
      </c>
      <c r="CN49" s="29">
        <v>3</v>
      </c>
      <c r="CO49" s="35">
        <v>2.81</v>
      </c>
      <c r="CP49" s="36">
        <v>100</v>
      </c>
      <c r="CQ49" s="35">
        <v>-0.02</v>
      </c>
      <c r="CR49" s="35">
        <v>-0.65</v>
      </c>
      <c r="CS49" s="35">
        <v>5.51</v>
      </c>
      <c r="CT49" s="36">
        <v>100</v>
      </c>
      <c r="CU49" s="35">
        <v>0.11</v>
      </c>
      <c r="CV49" s="36">
        <v>70</v>
      </c>
      <c r="CW49" s="35">
        <v>5.51</v>
      </c>
      <c r="CX49" s="36">
        <v>96</v>
      </c>
      <c r="CY49" s="35" t="s">
        <v>138</v>
      </c>
      <c r="CZ49" s="36" t="s">
        <v>138</v>
      </c>
      <c r="DA49" s="35">
        <v>0.11</v>
      </c>
      <c r="DB49" s="36">
        <v>73</v>
      </c>
      <c r="DC49" s="37">
        <v>3.83</v>
      </c>
      <c r="DD49" s="36">
        <v>79</v>
      </c>
      <c r="DE49" s="37">
        <v>-0.36</v>
      </c>
      <c r="DF49" s="35">
        <v>-8.6199999999999992</v>
      </c>
      <c r="DG49" s="37">
        <v>5.74</v>
      </c>
      <c r="DH49" s="36">
        <v>84</v>
      </c>
      <c r="DI49" s="37">
        <v>1.92</v>
      </c>
      <c r="DJ49" s="36">
        <v>62</v>
      </c>
      <c r="DK49" s="37">
        <v>5.74</v>
      </c>
      <c r="DL49" s="36">
        <v>81</v>
      </c>
      <c r="DM49" s="37" t="s">
        <v>138</v>
      </c>
      <c r="DN49" s="36" t="s">
        <v>138</v>
      </c>
      <c r="DO49" s="37">
        <v>1.92</v>
      </c>
      <c r="DP49" s="36">
        <v>63</v>
      </c>
      <c r="DQ49" s="36">
        <v>1906</v>
      </c>
      <c r="DR49" s="38">
        <v>189</v>
      </c>
      <c r="DS49" s="35">
        <v>11.01</v>
      </c>
      <c r="DT49" s="36" t="s">
        <v>138</v>
      </c>
      <c r="DU49" s="38" t="s">
        <v>138</v>
      </c>
      <c r="DV49" s="35" t="s">
        <v>138</v>
      </c>
      <c r="DW49" s="36">
        <v>687</v>
      </c>
      <c r="DX49" s="39">
        <v>0</v>
      </c>
      <c r="DY49" s="35">
        <v>0</v>
      </c>
      <c r="DZ49" s="28" t="s">
        <v>178</v>
      </c>
      <c r="EA49" s="34">
        <v>43622</v>
      </c>
      <c r="EB49" s="29">
        <v>63.53</v>
      </c>
      <c r="EC49" s="34">
        <v>43007</v>
      </c>
      <c r="ED49" s="28" t="s">
        <v>173</v>
      </c>
      <c r="EE49" s="40" t="str">
        <f>HYPERLINK("https://my.pitchbook.com?c=53336-08", "View company online")</f>
        <v>View company online</v>
      </c>
    </row>
    <row r="50" spans="1:135">
      <c r="A50" s="15" t="s">
        <v>1303</v>
      </c>
      <c r="B50" s="15" t="s">
        <v>1304</v>
      </c>
      <c r="C50" s="15" t="s">
        <v>138</v>
      </c>
      <c r="D50" s="15" t="s">
        <v>138</v>
      </c>
      <c r="E50" s="15" t="s">
        <v>138</v>
      </c>
      <c r="F50" s="15" t="s">
        <v>1303</v>
      </c>
      <c r="G50" s="15" t="s">
        <v>1305</v>
      </c>
      <c r="H50" s="15" t="s">
        <v>238</v>
      </c>
      <c r="I50" s="15" t="s">
        <v>239</v>
      </c>
      <c r="J50" s="15" t="s">
        <v>240</v>
      </c>
      <c r="K50" s="15" t="s">
        <v>1306</v>
      </c>
      <c r="L50" s="15" t="s">
        <v>1307</v>
      </c>
      <c r="M50" s="15" t="s">
        <v>1308</v>
      </c>
      <c r="N50" s="15" t="s">
        <v>147</v>
      </c>
      <c r="O50" s="17" t="s">
        <v>138</v>
      </c>
      <c r="P50" s="15" t="s">
        <v>148</v>
      </c>
      <c r="Q50" s="15" t="s">
        <v>149</v>
      </c>
      <c r="R50" s="15" t="s">
        <v>244</v>
      </c>
      <c r="S50" s="15" t="s">
        <v>1309</v>
      </c>
      <c r="T50" s="18">
        <v>39</v>
      </c>
      <c r="U50" s="15" t="s">
        <v>1310</v>
      </c>
      <c r="V50" s="15" t="s">
        <v>138</v>
      </c>
      <c r="W50" s="15" t="s">
        <v>138</v>
      </c>
      <c r="X50" s="19">
        <v>2006</v>
      </c>
      <c r="Y50" s="15" t="s">
        <v>138</v>
      </c>
      <c r="Z50" s="15" t="s">
        <v>138</v>
      </c>
      <c r="AA50" s="15" t="s">
        <v>138</v>
      </c>
      <c r="AB50" s="20" t="s">
        <v>138</v>
      </c>
      <c r="AC50" s="20" t="s">
        <v>138</v>
      </c>
      <c r="AD50" s="20" t="s">
        <v>138</v>
      </c>
      <c r="AE50" s="20" t="s">
        <v>138</v>
      </c>
      <c r="AF50" s="20" t="s">
        <v>138</v>
      </c>
      <c r="AG50" s="15" t="s">
        <v>138</v>
      </c>
      <c r="AH50" s="20" t="s">
        <v>138</v>
      </c>
      <c r="AI50" s="20" t="s">
        <v>138</v>
      </c>
      <c r="AJ50" s="20" t="s">
        <v>138</v>
      </c>
      <c r="AK50" s="15" t="s">
        <v>1311</v>
      </c>
      <c r="AL50" s="15" t="s">
        <v>1312</v>
      </c>
      <c r="AM50" s="15" t="s">
        <v>249</v>
      </c>
      <c r="AN50" s="15" t="s">
        <v>1313</v>
      </c>
      <c r="AO50" s="15" t="s">
        <v>1314</v>
      </c>
      <c r="AP50" s="15" t="s">
        <v>1315</v>
      </c>
      <c r="AQ50" s="15" t="s">
        <v>1316</v>
      </c>
      <c r="AR50" s="15" t="s">
        <v>138</v>
      </c>
      <c r="AS50" s="15" t="s">
        <v>1317</v>
      </c>
      <c r="AT50" s="15" t="s">
        <v>138</v>
      </c>
      <c r="AU50" s="15" t="s">
        <v>1318</v>
      </c>
      <c r="AV50" s="15" t="s">
        <v>1319</v>
      </c>
      <c r="AW50" s="15" t="s">
        <v>1314</v>
      </c>
      <c r="AX50" s="15" t="s">
        <v>1320</v>
      </c>
      <c r="AY50" s="15" t="s">
        <v>1321</v>
      </c>
      <c r="AZ50" s="15" t="s">
        <v>530</v>
      </c>
      <c r="BA50" s="15" t="s">
        <v>531</v>
      </c>
      <c r="BB50" s="15" t="s">
        <v>1322</v>
      </c>
      <c r="BC50" s="15" t="s">
        <v>1323</v>
      </c>
      <c r="BD50" s="21">
        <v>5</v>
      </c>
      <c r="BE50" s="15" t="s">
        <v>138</v>
      </c>
      <c r="BF50" s="15" t="s">
        <v>138</v>
      </c>
      <c r="BG50" s="15" t="s">
        <v>138</v>
      </c>
      <c r="BH50" s="15" t="s">
        <v>1324</v>
      </c>
      <c r="BI50" s="15" t="s">
        <v>138</v>
      </c>
      <c r="BJ50" s="15" t="s">
        <v>138</v>
      </c>
      <c r="BK50" s="15" t="s">
        <v>138</v>
      </c>
      <c r="BL50" s="15" t="s">
        <v>1325</v>
      </c>
      <c r="BM50" s="22">
        <v>38921</v>
      </c>
      <c r="BN50" s="17" t="s">
        <v>138</v>
      </c>
      <c r="BO50" s="15" t="s">
        <v>138</v>
      </c>
      <c r="BP50" s="17" t="s">
        <v>138</v>
      </c>
      <c r="BQ50" s="15" t="s">
        <v>138</v>
      </c>
      <c r="BR50" s="15" t="s">
        <v>780</v>
      </c>
      <c r="BS50" s="15" t="s">
        <v>780</v>
      </c>
      <c r="BT50" s="15" t="s">
        <v>138</v>
      </c>
      <c r="BU50" s="15" t="s">
        <v>780</v>
      </c>
      <c r="BV50" s="15" t="s">
        <v>138</v>
      </c>
      <c r="BW50" s="15" t="s">
        <v>138</v>
      </c>
      <c r="BX50" s="15" t="s">
        <v>138</v>
      </c>
      <c r="BY50" s="15" t="s">
        <v>175</v>
      </c>
      <c r="BZ50" s="22">
        <v>42384</v>
      </c>
      <c r="CA50" s="17" t="s">
        <v>138</v>
      </c>
      <c r="CB50" s="15" t="s">
        <v>138</v>
      </c>
      <c r="CC50" s="17" t="s">
        <v>138</v>
      </c>
      <c r="CD50" s="15" t="s">
        <v>138</v>
      </c>
      <c r="CE50" s="15" t="s">
        <v>1326</v>
      </c>
      <c r="CF50" s="15" t="s">
        <v>138</v>
      </c>
      <c r="CG50" s="15" t="s">
        <v>138</v>
      </c>
      <c r="CH50" s="15" t="s">
        <v>1327</v>
      </c>
      <c r="CI50" s="15" t="s">
        <v>1328</v>
      </c>
      <c r="CJ50" s="15" t="s">
        <v>138</v>
      </c>
      <c r="CK50" s="15" t="s">
        <v>138</v>
      </c>
      <c r="CL50" s="15" t="s">
        <v>175</v>
      </c>
      <c r="CM50" s="22">
        <v>42384</v>
      </c>
      <c r="CN50" s="17" t="s">
        <v>138</v>
      </c>
      <c r="CO50" s="23">
        <v>-0.01</v>
      </c>
      <c r="CP50" s="24">
        <v>25</v>
      </c>
      <c r="CQ50" s="23">
        <v>0</v>
      </c>
      <c r="CR50" s="23">
        <v>30.67</v>
      </c>
      <c r="CS50" s="23">
        <v>0</v>
      </c>
      <c r="CT50" s="24">
        <v>23</v>
      </c>
      <c r="CU50" s="23">
        <v>-0.01</v>
      </c>
      <c r="CV50" s="24">
        <v>20</v>
      </c>
      <c r="CW50" s="23">
        <v>0</v>
      </c>
      <c r="CX50" s="24">
        <v>13</v>
      </c>
      <c r="CY50" s="23">
        <v>0</v>
      </c>
      <c r="CZ50" s="24">
        <v>25</v>
      </c>
      <c r="DA50" s="23">
        <v>-0.02</v>
      </c>
      <c r="DB50" s="24">
        <v>19</v>
      </c>
      <c r="DC50" s="25">
        <v>33.44</v>
      </c>
      <c r="DD50" s="24">
        <v>97</v>
      </c>
      <c r="DE50" s="25">
        <v>0.06</v>
      </c>
      <c r="DF50" s="23">
        <v>0.17</v>
      </c>
      <c r="DG50" s="25">
        <v>0.73</v>
      </c>
      <c r="DH50" s="24">
        <v>44</v>
      </c>
      <c r="DI50" s="25">
        <v>66.150000000000006</v>
      </c>
      <c r="DJ50" s="24">
        <v>96</v>
      </c>
      <c r="DK50" s="25">
        <v>0.46</v>
      </c>
      <c r="DL50" s="24">
        <v>34</v>
      </c>
      <c r="DM50" s="25">
        <v>1</v>
      </c>
      <c r="DN50" s="24">
        <v>50</v>
      </c>
      <c r="DO50" s="25">
        <v>61.44</v>
      </c>
      <c r="DP50" s="24">
        <v>97</v>
      </c>
      <c r="DQ50" s="24">
        <v>196</v>
      </c>
      <c r="DR50" s="26">
        <v>-118</v>
      </c>
      <c r="DS50" s="23">
        <v>-37.58</v>
      </c>
      <c r="DT50" s="24">
        <v>28</v>
      </c>
      <c r="DU50" s="26">
        <v>0</v>
      </c>
      <c r="DV50" s="23">
        <v>0</v>
      </c>
      <c r="DW50" s="24">
        <v>21998</v>
      </c>
      <c r="DX50" s="27">
        <v>4</v>
      </c>
      <c r="DY50" s="23">
        <v>0.02</v>
      </c>
      <c r="DZ50" s="15" t="s">
        <v>178</v>
      </c>
      <c r="EA50" s="22">
        <v>43448</v>
      </c>
      <c r="EB50" s="17" t="s">
        <v>138</v>
      </c>
      <c r="EC50" s="22" t="s">
        <v>138</v>
      </c>
      <c r="ED50" s="15" t="s">
        <v>138</v>
      </c>
      <c r="EE50" s="14" t="str">
        <f>HYPERLINK("https://my.pitchbook.com?c=65137-69", "View company online")</f>
        <v>View company online</v>
      </c>
    </row>
    <row r="51" spans="1:135">
      <c r="A51" s="28" t="s">
        <v>1329</v>
      </c>
      <c r="B51" s="28" t="s">
        <v>1330</v>
      </c>
      <c r="C51" s="28" t="s">
        <v>138</v>
      </c>
      <c r="D51" s="28" t="s">
        <v>138</v>
      </c>
      <c r="E51" s="28" t="s">
        <v>138</v>
      </c>
      <c r="F51" s="28" t="s">
        <v>1329</v>
      </c>
      <c r="G51" s="28" t="s">
        <v>1331</v>
      </c>
      <c r="H51" s="28" t="s">
        <v>322</v>
      </c>
      <c r="I51" s="28" t="s">
        <v>323</v>
      </c>
      <c r="J51" s="28" t="s">
        <v>324</v>
      </c>
      <c r="K51" s="28" t="s">
        <v>1159</v>
      </c>
      <c r="L51" s="28" t="s">
        <v>215</v>
      </c>
      <c r="M51" s="28" t="s">
        <v>1332</v>
      </c>
      <c r="N51" s="28" t="s">
        <v>147</v>
      </c>
      <c r="O51" s="29">
        <v>8.33</v>
      </c>
      <c r="P51" s="28" t="s">
        <v>148</v>
      </c>
      <c r="Q51" s="28" t="s">
        <v>149</v>
      </c>
      <c r="R51" s="28" t="s">
        <v>174</v>
      </c>
      <c r="S51" s="28" t="s">
        <v>1333</v>
      </c>
      <c r="T51" s="30">
        <v>3</v>
      </c>
      <c r="U51" s="28" t="s">
        <v>1334</v>
      </c>
      <c r="V51" s="28" t="s">
        <v>138</v>
      </c>
      <c r="W51" s="28" t="s">
        <v>138</v>
      </c>
      <c r="X51" s="31">
        <v>2012</v>
      </c>
      <c r="Y51" s="28" t="s">
        <v>138</v>
      </c>
      <c r="Z51" s="28" t="s">
        <v>138</v>
      </c>
      <c r="AA51" s="28" t="s">
        <v>138</v>
      </c>
      <c r="AB51" s="32" t="s">
        <v>138</v>
      </c>
      <c r="AC51" s="32" t="s">
        <v>138</v>
      </c>
      <c r="AD51" s="32" t="s">
        <v>138</v>
      </c>
      <c r="AE51" s="32" t="s">
        <v>138</v>
      </c>
      <c r="AF51" s="32" t="s">
        <v>138</v>
      </c>
      <c r="AG51" s="28" t="s">
        <v>138</v>
      </c>
      <c r="AH51" s="32" t="s">
        <v>138</v>
      </c>
      <c r="AI51" s="32" t="s">
        <v>138</v>
      </c>
      <c r="AJ51" s="32" t="s">
        <v>138</v>
      </c>
      <c r="AK51" s="28" t="s">
        <v>1335</v>
      </c>
      <c r="AL51" s="28" t="s">
        <v>1336</v>
      </c>
      <c r="AM51" s="28" t="s">
        <v>1337</v>
      </c>
      <c r="AN51" s="28" t="s">
        <v>1338</v>
      </c>
      <c r="AO51" s="28" t="s">
        <v>1339</v>
      </c>
      <c r="AP51" s="28" t="s">
        <v>1195</v>
      </c>
      <c r="AQ51" s="28" t="s">
        <v>1340</v>
      </c>
      <c r="AR51" s="28" t="s">
        <v>1341</v>
      </c>
      <c r="AS51" s="28" t="s">
        <v>1198</v>
      </c>
      <c r="AT51" s="28" t="s">
        <v>138</v>
      </c>
      <c r="AU51" s="28" t="s">
        <v>1342</v>
      </c>
      <c r="AV51" s="28" t="s">
        <v>1200</v>
      </c>
      <c r="AW51" s="28" t="s">
        <v>1339</v>
      </c>
      <c r="AX51" s="28" t="s">
        <v>138</v>
      </c>
      <c r="AY51" s="28" t="s">
        <v>1343</v>
      </c>
      <c r="AZ51" s="28" t="s">
        <v>452</v>
      </c>
      <c r="BA51" s="28" t="s">
        <v>453</v>
      </c>
      <c r="BB51" s="28" t="s">
        <v>1344</v>
      </c>
      <c r="BC51" s="28" t="s">
        <v>1345</v>
      </c>
      <c r="BD51" s="33">
        <v>6</v>
      </c>
      <c r="BE51" s="28" t="s">
        <v>138</v>
      </c>
      <c r="BF51" s="28" t="s">
        <v>138</v>
      </c>
      <c r="BG51" s="28" t="s">
        <v>138</v>
      </c>
      <c r="BH51" s="28" t="s">
        <v>1346</v>
      </c>
      <c r="BI51" s="28" t="s">
        <v>138</v>
      </c>
      <c r="BJ51" s="28" t="s">
        <v>138</v>
      </c>
      <c r="BK51" s="28" t="s">
        <v>204</v>
      </c>
      <c r="BL51" s="28" t="s">
        <v>204</v>
      </c>
      <c r="BM51" s="34" t="s">
        <v>138</v>
      </c>
      <c r="BN51" s="29" t="s">
        <v>138</v>
      </c>
      <c r="BO51" s="28" t="s">
        <v>138</v>
      </c>
      <c r="BP51" s="29" t="s">
        <v>138</v>
      </c>
      <c r="BQ51" s="28" t="s">
        <v>138</v>
      </c>
      <c r="BR51" s="28" t="s">
        <v>316</v>
      </c>
      <c r="BS51" s="28" t="s">
        <v>138</v>
      </c>
      <c r="BT51" s="28" t="s">
        <v>138</v>
      </c>
      <c r="BU51" s="28" t="s">
        <v>177</v>
      </c>
      <c r="BV51" s="28" t="s">
        <v>138</v>
      </c>
      <c r="BW51" s="28" t="s">
        <v>138</v>
      </c>
      <c r="BX51" s="28" t="s">
        <v>138</v>
      </c>
      <c r="BY51" s="28" t="s">
        <v>175</v>
      </c>
      <c r="BZ51" s="34">
        <v>43123</v>
      </c>
      <c r="CA51" s="29">
        <v>4.5</v>
      </c>
      <c r="CB51" s="28" t="s">
        <v>172</v>
      </c>
      <c r="CC51" s="29" t="s">
        <v>138</v>
      </c>
      <c r="CD51" s="28" t="s">
        <v>138</v>
      </c>
      <c r="CE51" s="28" t="s">
        <v>173</v>
      </c>
      <c r="CF51" s="28" t="s">
        <v>317</v>
      </c>
      <c r="CG51" s="28" t="s">
        <v>138</v>
      </c>
      <c r="CH51" s="28" t="s">
        <v>174</v>
      </c>
      <c r="CI51" s="28" t="s">
        <v>138</v>
      </c>
      <c r="CJ51" s="28" t="s">
        <v>138</v>
      </c>
      <c r="CK51" s="28" t="s">
        <v>138</v>
      </c>
      <c r="CL51" s="28" t="s">
        <v>175</v>
      </c>
      <c r="CM51" s="34" t="s">
        <v>138</v>
      </c>
      <c r="CN51" s="29" t="s">
        <v>138</v>
      </c>
      <c r="CO51" s="35">
        <v>0.21</v>
      </c>
      <c r="CP51" s="36">
        <v>92</v>
      </c>
      <c r="CQ51" s="35">
        <v>0</v>
      </c>
      <c r="CR51" s="35">
        <v>0</v>
      </c>
      <c r="CS51" s="35" t="s">
        <v>138</v>
      </c>
      <c r="CT51" s="36" t="s">
        <v>138</v>
      </c>
      <c r="CU51" s="35">
        <v>0.21</v>
      </c>
      <c r="CV51" s="36">
        <v>81</v>
      </c>
      <c r="CW51" s="35" t="s">
        <v>138</v>
      </c>
      <c r="CX51" s="36" t="s">
        <v>138</v>
      </c>
      <c r="CY51" s="35" t="s">
        <v>138</v>
      </c>
      <c r="CZ51" s="36" t="s">
        <v>138</v>
      </c>
      <c r="DA51" s="35">
        <v>0</v>
      </c>
      <c r="DB51" s="36">
        <v>22</v>
      </c>
      <c r="DC51" s="37">
        <v>1.03</v>
      </c>
      <c r="DD51" s="36">
        <v>52</v>
      </c>
      <c r="DE51" s="37">
        <v>0</v>
      </c>
      <c r="DF51" s="35">
        <v>-0.08</v>
      </c>
      <c r="DG51" s="37" t="s">
        <v>138</v>
      </c>
      <c r="DH51" s="36" t="s">
        <v>138</v>
      </c>
      <c r="DI51" s="37">
        <v>1.03</v>
      </c>
      <c r="DJ51" s="36">
        <v>50</v>
      </c>
      <c r="DK51" s="37" t="s">
        <v>138</v>
      </c>
      <c r="DL51" s="36" t="s">
        <v>138</v>
      </c>
      <c r="DM51" s="37" t="s">
        <v>138</v>
      </c>
      <c r="DN51" s="36" t="s">
        <v>138</v>
      </c>
      <c r="DO51" s="37">
        <v>0.08</v>
      </c>
      <c r="DP51" s="36">
        <v>14</v>
      </c>
      <c r="DQ51" s="36" t="s">
        <v>138</v>
      </c>
      <c r="DR51" s="38" t="s">
        <v>138</v>
      </c>
      <c r="DS51" s="35" t="s">
        <v>138</v>
      </c>
      <c r="DT51" s="36" t="s">
        <v>138</v>
      </c>
      <c r="DU51" s="38" t="s">
        <v>138</v>
      </c>
      <c r="DV51" s="35" t="s">
        <v>138</v>
      </c>
      <c r="DW51" s="36">
        <v>28</v>
      </c>
      <c r="DX51" s="39">
        <v>0</v>
      </c>
      <c r="DY51" s="35">
        <v>0</v>
      </c>
      <c r="DZ51" s="28" t="s">
        <v>178</v>
      </c>
      <c r="EA51" s="34">
        <v>43622</v>
      </c>
      <c r="EB51" s="29" t="s">
        <v>138</v>
      </c>
      <c r="EC51" s="34" t="s">
        <v>138</v>
      </c>
      <c r="ED51" s="28" t="s">
        <v>138</v>
      </c>
      <c r="EE51" s="40" t="str">
        <f>HYPERLINK("https://my.pitchbook.com?c=97638-94", "View company online")</f>
        <v>View company online</v>
      </c>
    </row>
    <row r="52" spans="1:135">
      <c r="A52" s="15" t="s">
        <v>1347</v>
      </c>
      <c r="B52" s="15" t="s">
        <v>1348</v>
      </c>
      <c r="C52" s="15" t="s">
        <v>138</v>
      </c>
      <c r="D52" s="15" t="s">
        <v>138</v>
      </c>
      <c r="E52" s="15" t="s">
        <v>1349</v>
      </c>
      <c r="F52" s="15" t="s">
        <v>1347</v>
      </c>
      <c r="G52" s="15" t="s">
        <v>1350</v>
      </c>
      <c r="H52" s="15" t="s">
        <v>238</v>
      </c>
      <c r="I52" s="15" t="s">
        <v>1351</v>
      </c>
      <c r="J52" s="15" t="s">
        <v>1352</v>
      </c>
      <c r="K52" s="15" t="s">
        <v>1353</v>
      </c>
      <c r="L52" s="15" t="s">
        <v>359</v>
      </c>
      <c r="M52" s="15" t="s">
        <v>1354</v>
      </c>
      <c r="N52" s="15" t="s">
        <v>147</v>
      </c>
      <c r="O52" s="17">
        <v>160.33000000000001</v>
      </c>
      <c r="P52" s="15" t="s">
        <v>148</v>
      </c>
      <c r="Q52" s="15" t="s">
        <v>149</v>
      </c>
      <c r="R52" s="15" t="s">
        <v>174</v>
      </c>
      <c r="S52" s="15" t="s">
        <v>1355</v>
      </c>
      <c r="T52" s="18">
        <v>11</v>
      </c>
      <c r="U52" s="15" t="s">
        <v>1356</v>
      </c>
      <c r="V52" s="15" t="s">
        <v>138</v>
      </c>
      <c r="W52" s="15" t="s">
        <v>138</v>
      </c>
      <c r="X52" s="19">
        <v>2013</v>
      </c>
      <c r="Y52" s="15" t="s">
        <v>138</v>
      </c>
      <c r="Z52" s="15" t="s">
        <v>138</v>
      </c>
      <c r="AA52" s="15" t="s">
        <v>138</v>
      </c>
      <c r="AB52" s="20" t="s">
        <v>138</v>
      </c>
      <c r="AC52" s="20" t="s">
        <v>138</v>
      </c>
      <c r="AD52" s="20" t="s">
        <v>138</v>
      </c>
      <c r="AE52" s="20" t="s">
        <v>138</v>
      </c>
      <c r="AF52" s="20" t="s">
        <v>138</v>
      </c>
      <c r="AG52" s="15" t="s">
        <v>138</v>
      </c>
      <c r="AH52" s="20" t="s">
        <v>138</v>
      </c>
      <c r="AI52" s="20" t="s">
        <v>138</v>
      </c>
      <c r="AJ52" s="20" t="s">
        <v>138</v>
      </c>
      <c r="AK52" s="15" t="s">
        <v>1357</v>
      </c>
      <c r="AL52" s="15" t="s">
        <v>1358</v>
      </c>
      <c r="AM52" s="15" t="s">
        <v>304</v>
      </c>
      <c r="AN52" s="15" t="s">
        <v>1359</v>
      </c>
      <c r="AO52" s="15" t="s">
        <v>1360</v>
      </c>
      <c r="AP52" s="15" t="s">
        <v>1361</v>
      </c>
      <c r="AQ52" s="15" t="s">
        <v>1362</v>
      </c>
      <c r="AR52" s="15" t="s">
        <v>1363</v>
      </c>
      <c r="AS52" s="15" t="s">
        <v>1364</v>
      </c>
      <c r="AT52" s="15" t="s">
        <v>138</v>
      </c>
      <c r="AU52" s="15" t="s">
        <v>1365</v>
      </c>
      <c r="AV52" s="15" t="s">
        <v>450</v>
      </c>
      <c r="AW52" s="15" t="s">
        <v>1360</v>
      </c>
      <c r="AX52" s="15" t="s">
        <v>138</v>
      </c>
      <c r="AY52" s="15" t="s">
        <v>1366</v>
      </c>
      <c r="AZ52" s="15" t="s">
        <v>452</v>
      </c>
      <c r="BA52" s="15" t="s">
        <v>453</v>
      </c>
      <c r="BB52" s="15" t="s">
        <v>1367</v>
      </c>
      <c r="BC52" s="15" t="s">
        <v>1368</v>
      </c>
      <c r="BD52" s="21">
        <v>11</v>
      </c>
      <c r="BE52" s="15" t="s">
        <v>138</v>
      </c>
      <c r="BF52" s="15" t="s">
        <v>138</v>
      </c>
      <c r="BG52" s="15" t="s">
        <v>138</v>
      </c>
      <c r="BH52" s="15" t="s">
        <v>1369</v>
      </c>
      <c r="BI52" s="15" t="s">
        <v>138</v>
      </c>
      <c r="BJ52" s="15" t="s">
        <v>138</v>
      </c>
      <c r="BK52" s="15" t="s">
        <v>138</v>
      </c>
      <c r="BL52" s="15" t="s">
        <v>1370</v>
      </c>
      <c r="BM52" s="22">
        <v>41858</v>
      </c>
      <c r="BN52" s="17">
        <v>16.239999999999998</v>
      </c>
      <c r="BO52" s="15" t="s">
        <v>172</v>
      </c>
      <c r="BP52" s="17" t="s">
        <v>138</v>
      </c>
      <c r="BQ52" s="15" t="s">
        <v>138</v>
      </c>
      <c r="BR52" s="15" t="s">
        <v>205</v>
      </c>
      <c r="BS52" s="15" t="s">
        <v>206</v>
      </c>
      <c r="BT52" s="15" t="s">
        <v>138</v>
      </c>
      <c r="BU52" s="15" t="s">
        <v>174</v>
      </c>
      <c r="BV52" s="15" t="s">
        <v>138</v>
      </c>
      <c r="BW52" s="15" t="s">
        <v>138</v>
      </c>
      <c r="BX52" s="15" t="s">
        <v>138</v>
      </c>
      <c r="BY52" s="15" t="s">
        <v>175</v>
      </c>
      <c r="BZ52" s="22">
        <v>43282</v>
      </c>
      <c r="CA52" s="17">
        <v>95</v>
      </c>
      <c r="CB52" s="15" t="s">
        <v>172</v>
      </c>
      <c r="CC52" s="17" t="s">
        <v>138</v>
      </c>
      <c r="CD52" s="15" t="s">
        <v>138</v>
      </c>
      <c r="CE52" s="15" t="s">
        <v>173</v>
      </c>
      <c r="CF52" s="15" t="s">
        <v>317</v>
      </c>
      <c r="CG52" s="15" t="s">
        <v>138</v>
      </c>
      <c r="CH52" s="15" t="s">
        <v>174</v>
      </c>
      <c r="CI52" s="15" t="s">
        <v>138</v>
      </c>
      <c r="CJ52" s="15" t="s">
        <v>138</v>
      </c>
      <c r="CK52" s="15" t="s">
        <v>138</v>
      </c>
      <c r="CL52" s="15" t="s">
        <v>175</v>
      </c>
      <c r="CM52" s="22" t="s">
        <v>138</v>
      </c>
      <c r="CN52" s="17" t="s">
        <v>138</v>
      </c>
      <c r="CO52" s="23">
        <v>-0.17</v>
      </c>
      <c r="CP52" s="24">
        <v>20</v>
      </c>
      <c r="CQ52" s="23">
        <v>0.02</v>
      </c>
      <c r="CR52" s="23">
        <v>9.15</v>
      </c>
      <c r="CS52" s="23">
        <v>-0.69</v>
      </c>
      <c r="CT52" s="24">
        <v>18</v>
      </c>
      <c r="CU52" s="23">
        <v>0.34</v>
      </c>
      <c r="CV52" s="24">
        <v>89</v>
      </c>
      <c r="CW52" s="23">
        <v>0.91</v>
      </c>
      <c r="CX52" s="24">
        <v>84</v>
      </c>
      <c r="CY52" s="23">
        <v>-2.2799999999999998</v>
      </c>
      <c r="CZ52" s="24">
        <v>10</v>
      </c>
      <c r="DA52" s="23">
        <v>0.34</v>
      </c>
      <c r="DB52" s="24">
        <v>90</v>
      </c>
      <c r="DC52" s="25">
        <v>8.3800000000000008</v>
      </c>
      <c r="DD52" s="24">
        <v>88</v>
      </c>
      <c r="DE52" s="25">
        <v>-0.28999999999999998</v>
      </c>
      <c r="DF52" s="23">
        <v>-3.3</v>
      </c>
      <c r="DG52" s="25">
        <v>14.45</v>
      </c>
      <c r="DH52" s="24">
        <v>93</v>
      </c>
      <c r="DI52" s="25">
        <v>2.2999999999999998</v>
      </c>
      <c r="DJ52" s="24">
        <v>65</v>
      </c>
      <c r="DK52" s="25">
        <v>9.8699999999999992</v>
      </c>
      <c r="DL52" s="24">
        <v>87</v>
      </c>
      <c r="DM52" s="25">
        <v>19.03</v>
      </c>
      <c r="DN52" s="24">
        <v>94</v>
      </c>
      <c r="DO52" s="25">
        <v>2.2999999999999998</v>
      </c>
      <c r="DP52" s="24">
        <v>66</v>
      </c>
      <c r="DQ52" s="24">
        <v>3313</v>
      </c>
      <c r="DR52" s="26">
        <v>219</v>
      </c>
      <c r="DS52" s="23">
        <v>7.08</v>
      </c>
      <c r="DT52" s="24">
        <v>550</v>
      </c>
      <c r="DU52" s="26">
        <v>5</v>
      </c>
      <c r="DV52" s="23">
        <v>0.92</v>
      </c>
      <c r="DW52" s="24">
        <v>825</v>
      </c>
      <c r="DX52" s="27">
        <v>1</v>
      </c>
      <c r="DY52" s="23">
        <v>0.12</v>
      </c>
      <c r="DZ52" s="15" t="s">
        <v>178</v>
      </c>
      <c r="EA52" s="22">
        <v>43552</v>
      </c>
      <c r="EB52" s="17" t="s">
        <v>138</v>
      </c>
      <c r="EC52" s="22" t="s">
        <v>138</v>
      </c>
      <c r="ED52" s="15" t="s">
        <v>138</v>
      </c>
      <c r="EE52" s="14" t="str">
        <f>HYPERLINK("https://my.pitchbook.com?c=65788-12", "View company online")</f>
        <v>View company online</v>
      </c>
    </row>
    <row r="53" spans="1:135">
      <c r="A53" s="28" t="s">
        <v>1371</v>
      </c>
      <c r="B53" s="28" t="s">
        <v>1372</v>
      </c>
      <c r="C53" s="28" t="s">
        <v>138</v>
      </c>
      <c r="D53" s="28" t="s">
        <v>138</v>
      </c>
      <c r="E53" s="28" t="s">
        <v>1373</v>
      </c>
      <c r="F53" s="28" t="s">
        <v>1371</v>
      </c>
      <c r="G53" s="28" t="s">
        <v>1374</v>
      </c>
      <c r="H53" s="28" t="s">
        <v>141</v>
      </c>
      <c r="I53" s="28" t="s">
        <v>142</v>
      </c>
      <c r="J53" s="28" t="s">
        <v>1375</v>
      </c>
      <c r="K53" s="28" t="s">
        <v>1376</v>
      </c>
      <c r="L53" s="28" t="s">
        <v>1377</v>
      </c>
      <c r="M53" s="28" t="s">
        <v>1378</v>
      </c>
      <c r="N53" s="28" t="s">
        <v>147</v>
      </c>
      <c r="O53" s="29">
        <v>54.35</v>
      </c>
      <c r="P53" s="28" t="s">
        <v>148</v>
      </c>
      <c r="Q53" s="28" t="s">
        <v>149</v>
      </c>
      <c r="R53" s="28" t="s">
        <v>244</v>
      </c>
      <c r="S53" s="28" t="s">
        <v>1379</v>
      </c>
      <c r="T53" s="30">
        <v>37</v>
      </c>
      <c r="U53" s="28" t="s">
        <v>1380</v>
      </c>
      <c r="V53" s="28" t="s">
        <v>138</v>
      </c>
      <c r="W53" s="28" t="s">
        <v>138</v>
      </c>
      <c r="X53" s="31">
        <v>2006</v>
      </c>
      <c r="Y53" s="28" t="s">
        <v>138</v>
      </c>
      <c r="Z53" s="28" t="s">
        <v>138</v>
      </c>
      <c r="AA53" s="28" t="s">
        <v>138</v>
      </c>
      <c r="AB53" s="32">
        <v>25</v>
      </c>
      <c r="AC53" s="32" t="s">
        <v>138</v>
      </c>
      <c r="AD53" s="32" t="s">
        <v>138</v>
      </c>
      <c r="AE53" s="32" t="s">
        <v>138</v>
      </c>
      <c r="AF53" s="32" t="s">
        <v>138</v>
      </c>
      <c r="AG53" s="28" t="s">
        <v>815</v>
      </c>
      <c r="AH53" s="32" t="s">
        <v>138</v>
      </c>
      <c r="AI53" s="32" t="s">
        <v>138</v>
      </c>
      <c r="AJ53" s="32" t="s">
        <v>138</v>
      </c>
      <c r="AK53" s="28" t="s">
        <v>1381</v>
      </c>
      <c r="AL53" s="28" t="s">
        <v>1382</v>
      </c>
      <c r="AM53" s="28" t="s">
        <v>1383</v>
      </c>
      <c r="AN53" s="28" t="s">
        <v>1384</v>
      </c>
      <c r="AO53" s="28" t="s">
        <v>1385</v>
      </c>
      <c r="AP53" s="28" t="s">
        <v>1386</v>
      </c>
      <c r="AQ53" s="28" t="s">
        <v>1387</v>
      </c>
      <c r="AR53" s="28" t="s">
        <v>138</v>
      </c>
      <c r="AS53" s="28" t="s">
        <v>1388</v>
      </c>
      <c r="AT53" s="28" t="s">
        <v>1389</v>
      </c>
      <c r="AU53" s="28" t="s">
        <v>1390</v>
      </c>
      <c r="AV53" s="28" t="s">
        <v>162</v>
      </c>
      <c r="AW53" s="28" t="s">
        <v>1385</v>
      </c>
      <c r="AX53" s="28" t="s">
        <v>1391</v>
      </c>
      <c r="AY53" s="28" t="s">
        <v>1392</v>
      </c>
      <c r="AZ53" s="28" t="s">
        <v>164</v>
      </c>
      <c r="BA53" s="28" t="s">
        <v>165</v>
      </c>
      <c r="BB53" s="28" t="s">
        <v>1393</v>
      </c>
      <c r="BC53" s="28" t="s">
        <v>1394</v>
      </c>
      <c r="BD53" s="33">
        <v>8</v>
      </c>
      <c r="BE53" s="28" t="s">
        <v>138</v>
      </c>
      <c r="BF53" s="28" t="s">
        <v>138</v>
      </c>
      <c r="BG53" s="28" t="s">
        <v>138</v>
      </c>
      <c r="BH53" s="28" t="s">
        <v>1395</v>
      </c>
      <c r="BI53" s="28" t="s">
        <v>138</v>
      </c>
      <c r="BJ53" s="28" t="s">
        <v>138</v>
      </c>
      <c r="BK53" s="28" t="s">
        <v>138</v>
      </c>
      <c r="BL53" s="28" t="s">
        <v>1396</v>
      </c>
      <c r="BM53" s="34">
        <v>39574</v>
      </c>
      <c r="BN53" s="29">
        <v>0.3</v>
      </c>
      <c r="BO53" s="28" t="s">
        <v>172</v>
      </c>
      <c r="BP53" s="29" t="s">
        <v>138</v>
      </c>
      <c r="BQ53" s="28" t="s">
        <v>138</v>
      </c>
      <c r="BR53" s="28" t="s">
        <v>234</v>
      </c>
      <c r="BS53" s="28" t="s">
        <v>234</v>
      </c>
      <c r="BT53" s="28" t="s">
        <v>138</v>
      </c>
      <c r="BU53" s="28" t="s">
        <v>263</v>
      </c>
      <c r="BV53" s="28" t="s">
        <v>138</v>
      </c>
      <c r="BW53" s="28" t="s">
        <v>138</v>
      </c>
      <c r="BX53" s="28" t="s">
        <v>138</v>
      </c>
      <c r="BY53" s="28" t="s">
        <v>175</v>
      </c>
      <c r="BZ53" s="34">
        <v>42713</v>
      </c>
      <c r="CA53" s="29">
        <v>10.54</v>
      </c>
      <c r="CB53" s="28" t="s">
        <v>1178</v>
      </c>
      <c r="CC53" s="29" t="s">
        <v>138</v>
      </c>
      <c r="CD53" s="28" t="s">
        <v>138</v>
      </c>
      <c r="CE53" s="28" t="s">
        <v>1326</v>
      </c>
      <c r="CF53" s="28" t="s">
        <v>138</v>
      </c>
      <c r="CG53" s="28" t="s">
        <v>138</v>
      </c>
      <c r="CH53" s="28" t="s">
        <v>1327</v>
      </c>
      <c r="CI53" s="28" t="s">
        <v>1397</v>
      </c>
      <c r="CJ53" s="28" t="s">
        <v>138</v>
      </c>
      <c r="CK53" s="28" t="s">
        <v>138</v>
      </c>
      <c r="CL53" s="28" t="s">
        <v>175</v>
      </c>
      <c r="CM53" s="34">
        <v>42713</v>
      </c>
      <c r="CN53" s="29">
        <v>10</v>
      </c>
      <c r="CO53" s="35">
        <v>-0.56000000000000005</v>
      </c>
      <c r="CP53" s="36">
        <v>15</v>
      </c>
      <c r="CQ53" s="35">
        <v>-0.01</v>
      </c>
      <c r="CR53" s="35">
        <v>-1.75</v>
      </c>
      <c r="CS53" s="35">
        <v>-1.1200000000000001</v>
      </c>
      <c r="CT53" s="36">
        <v>14</v>
      </c>
      <c r="CU53" s="35">
        <v>0</v>
      </c>
      <c r="CV53" s="36">
        <v>22</v>
      </c>
      <c r="CW53" s="35">
        <v>0</v>
      </c>
      <c r="CX53" s="36">
        <v>13</v>
      </c>
      <c r="CY53" s="35">
        <v>-2.23</v>
      </c>
      <c r="CZ53" s="36">
        <v>10</v>
      </c>
      <c r="DA53" s="35">
        <v>0</v>
      </c>
      <c r="DB53" s="36">
        <v>22</v>
      </c>
      <c r="DC53" s="37">
        <v>1.27</v>
      </c>
      <c r="DD53" s="36">
        <v>57</v>
      </c>
      <c r="DE53" s="37">
        <v>-0.04</v>
      </c>
      <c r="DF53" s="35">
        <v>-3.2</v>
      </c>
      <c r="DG53" s="37">
        <v>2.2799999999999998</v>
      </c>
      <c r="DH53" s="36">
        <v>69</v>
      </c>
      <c r="DI53" s="37">
        <v>0.27</v>
      </c>
      <c r="DJ53" s="36">
        <v>26</v>
      </c>
      <c r="DK53" s="37">
        <v>0.93</v>
      </c>
      <c r="DL53" s="36">
        <v>49</v>
      </c>
      <c r="DM53" s="37">
        <v>3.62</v>
      </c>
      <c r="DN53" s="36">
        <v>77</v>
      </c>
      <c r="DO53" s="37">
        <v>0.27</v>
      </c>
      <c r="DP53" s="36">
        <v>28</v>
      </c>
      <c r="DQ53" s="36">
        <v>309</v>
      </c>
      <c r="DR53" s="38">
        <v>28</v>
      </c>
      <c r="DS53" s="35">
        <v>9.9600000000000009</v>
      </c>
      <c r="DT53" s="36">
        <v>105</v>
      </c>
      <c r="DU53" s="38">
        <v>-2</v>
      </c>
      <c r="DV53" s="35">
        <v>-1.87</v>
      </c>
      <c r="DW53" s="36">
        <v>96</v>
      </c>
      <c r="DX53" s="39">
        <v>2</v>
      </c>
      <c r="DY53" s="35">
        <v>2.13</v>
      </c>
      <c r="DZ53" s="28" t="s">
        <v>178</v>
      </c>
      <c r="EA53" s="34">
        <v>43361</v>
      </c>
      <c r="EB53" s="29">
        <v>15</v>
      </c>
      <c r="EC53" s="34">
        <v>40702</v>
      </c>
      <c r="ED53" s="28" t="s">
        <v>780</v>
      </c>
      <c r="EE53" s="40" t="str">
        <f>HYPERLINK("https://my.pitchbook.com?c=61310-08", "View company online")</f>
        <v>View company online</v>
      </c>
    </row>
    <row r="54" spans="1:135">
      <c r="A54" s="15" t="s">
        <v>1398</v>
      </c>
      <c r="B54" s="15" t="s">
        <v>1399</v>
      </c>
      <c r="C54" s="15" t="s">
        <v>1400</v>
      </c>
      <c r="D54" s="15" t="s">
        <v>1401</v>
      </c>
      <c r="E54" s="15" t="s">
        <v>1402</v>
      </c>
      <c r="F54" s="15" t="s">
        <v>1398</v>
      </c>
      <c r="G54" s="15" t="s">
        <v>1403</v>
      </c>
      <c r="H54" s="15" t="s">
        <v>322</v>
      </c>
      <c r="I54" s="15" t="s">
        <v>807</v>
      </c>
      <c r="J54" s="15" t="s">
        <v>1102</v>
      </c>
      <c r="K54" s="15" t="s">
        <v>1404</v>
      </c>
      <c r="L54" s="15" t="s">
        <v>215</v>
      </c>
      <c r="M54" s="15" t="s">
        <v>1405</v>
      </c>
      <c r="N54" s="15" t="s">
        <v>147</v>
      </c>
      <c r="O54" s="17">
        <v>8</v>
      </c>
      <c r="P54" s="15" t="s">
        <v>148</v>
      </c>
      <c r="Q54" s="15" t="s">
        <v>149</v>
      </c>
      <c r="R54" s="15" t="s">
        <v>150</v>
      </c>
      <c r="S54" s="15" t="s">
        <v>1406</v>
      </c>
      <c r="T54" s="18">
        <v>220</v>
      </c>
      <c r="U54" s="15" t="s">
        <v>1407</v>
      </c>
      <c r="V54" s="15" t="s">
        <v>138</v>
      </c>
      <c r="W54" s="15" t="s">
        <v>138</v>
      </c>
      <c r="X54" s="19">
        <v>2016</v>
      </c>
      <c r="Y54" s="15" t="s">
        <v>138</v>
      </c>
      <c r="Z54" s="15" t="s">
        <v>138</v>
      </c>
      <c r="AA54" s="15" t="s">
        <v>138</v>
      </c>
      <c r="AB54" s="20">
        <v>33.1</v>
      </c>
      <c r="AC54" s="20" t="s">
        <v>138</v>
      </c>
      <c r="AD54" s="20" t="s">
        <v>138</v>
      </c>
      <c r="AE54" s="20" t="s">
        <v>138</v>
      </c>
      <c r="AF54" s="20" t="s">
        <v>138</v>
      </c>
      <c r="AG54" s="15" t="s">
        <v>815</v>
      </c>
      <c r="AH54" s="20" t="s">
        <v>138</v>
      </c>
      <c r="AI54" s="20" t="s">
        <v>138</v>
      </c>
      <c r="AJ54" s="20" t="s">
        <v>138</v>
      </c>
      <c r="AK54" s="15" t="s">
        <v>1408</v>
      </c>
      <c r="AL54" s="15" t="s">
        <v>1409</v>
      </c>
      <c r="AM54" s="15" t="s">
        <v>221</v>
      </c>
      <c r="AN54" s="15" t="s">
        <v>1410</v>
      </c>
      <c r="AO54" s="15" t="s">
        <v>1411</v>
      </c>
      <c r="AP54" s="15" t="s">
        <v>1412</v>
      </c>
      <c r="AQ54" s="15" t="s">
        <v>1413</v>
      </c>
      <c r="AR54" s="15" t="s">
        <v>1414</v>
      </c>
      <c r="AS54" s="15" t="s">
        <v>1415</v>
      </c>
      <c r="AT54" s="15" t="s">
        <v>1416</v>
      </c>
      <c r="AU54" s="15" t="s">
        <v>138</v>
      </c>
      <c r="AV54" s="15" t="s">
        <v>1416</v>
      </c>
      <c r="AW54" s="15" t="s">
        <v>1411</v>
      </c>
      <c r="AX54" s="15" t="s">
        <v>138</v>
      </c>
      <c r="AY54" s="15" t="s">
        <v>1417</v>
      </c>
      <c r="AZ54" s="15" t="s">
        <v>164</v>
      </c>
      <c r="BA54" s="15" t="s">
        <v>165</v>
      </c>
      <c r="BB54" s="15" t="s">
        <v>1418</v>
      </c>
      <c r="BC54" s="15" t="s">
        <v>1419</v>
      </c>
      <c r="BD54" s="21">
        <v>4</v>
      </c>
      <c r="BE54" s="15" t="s">
        <v>138</v>
      </c>
      <c r="BF54" s="15" t="s">
        <v>138</v>
      </c>
      <c r="BG54" s="15" t="s">
        <v>138</v>
      </c>
      <c r="BH54" s="15" t="s">
        <v>1420</v>
      </c>
      <c r="BI54" s="15" t="s">
        <v>138</v>
      </c>
      <c r="BJ54" s="15" t="s">
        <v>138</v>
      </c>
      <c r="BK54" s="15" t="s">
        <v>1421</v>
      </c>
      <c r="BL54" s="15" t="s">
        <v>1422</v>
      </c>
      <c r="BM54" s="22">
        <v>42675</v>
      </c>
      <c r="BN54" s="17" t="s">
        <v>138</v>
      </c>
      <c r="BO54" s="15" t="s">
        <v>138</v>
      </c>
      <c r="BP54" s="17" t="s">
        <v>138</v>
      </c>
      <c r="BQ54" s="15" t="s">
        <v>138</v>
      </c>
      <c r="BR54" s="15" t="s">
        <v>1423</v>
      </c>
      <c r="BS54" s="15" t="s">
        <v>138</v>
      </c>
      <c r="BT54" s="15" t="s">
        <v>138</v>
      </c>
      <c r="BU54" s="15" t="s">
        <v>780</v>
      </c>
      <c r="BV54" s="15" t="s">
        <v>138</v>
      </c>
      <c r="BW54" s="15" t="s">
        <v>138</v>
      </c>
      <c r="BX54" s="15" t="s">
        <v>138</v>
      </c>
      <c r="BY54" s="15" t="s">
        <v>175</v>
      </c>
      <c r="BZ54" s="22">
        <v>43556</v>
      </c>
      <c r="CA54" s="17" t="s">
        <v>138</v>
      </c>
      <c r="CB54" s="15" t="s">
        <v>138</v>
      </c>
      <c r="CC54" s="17" t="s">
        <v>138</v>
      </c>
      <c r="CD54" s="15" t="s">
        <v>138</v>
      </c>
      <c r="CE54" s="15" t="s">
        <v>205</v>
      </c>
      <c r="CF54" s="15" t="s">
        <v>720</v>
      </c>
      <c r="CG54" s="15" t="s">
        <v>138</v>
      </c>
      <c r="CH54" s="15" t="s">
        <v>174</v>
      </c>
      <c r="CI54" s="15" t="s">
        <v>138</v>
      </c>
      <c r="CJ54" s="15" t="s">
        <v>138</v>
      </c>
      <c r="CK54" s="15" t="s">
        <v>138</v>
      </c>
      <c r="CL54" s="15" t="s">
        <v>352</v>
      </c>
      <c r="CM54" s="22" t="s">
        <v>138</v>
      </c>
      <c r="CN54" s="17" t="s">
        <v>138</v>
      </c>
      <c r="CO54" s="23">
        <v>0.28999999999999998</v>
      </c>
      <c r="CP54" s="24">
        <v>93</v>
      </c>
      <c r="CQ54" s="23">
        <v>0.02</v>
      </c>
      <c r="CR54" s="23">
        <v>7.75</v>
      </c>
      <c r="CS54" s="23">
        <v>0</v>
      </c>
      <c r="CT54" s="24">
        <v>23</v>
      </c>
      <c r="CU54" s="23">
        <v>0.59</v>
      </c>
      <c r="CV54" s="24">
        <v>95</v>
      </c>
      <c r="CW54" s="23" t="s">
        <v>138</v>
      </c>
      <c r="CX54" s="24" t="s">
        <v>138</v>
      </c>
      <c r="CY54" s="23">
        <v>0</v>
      </c>
      <c r="CZ54" s="24">
        <v>25</v>
      </c>
      <c r="DA54" s="23">
        <v>0.96</v>
      </c>
      <c r="DB54" s="24">
        <v>98</v>
      </c>
      <c r="DC54" s="25">
        <v>3.9</v>
      </c>
      <c r="DD54" s="24">
        <v>79</v>
      </c>
      <c r="DE54" s="25">
        <v>0.11</v>
      </c>
      <c r="DF54" s="23">
        <v>2.93</v>
      </c>
      <c r="DG54" s="25">
        <v>3.17</v>
      </c>
      <c r="DH54" s="24">
        <v>75</v>
      </c>
      <c r="DI54" s="25">
        <v>4.6399999999999997</v>
      </c>
      <c r="DJ54" s="24">
        <v>76</v>
      </c>
      <c r="DK54" s="25" t="s">
        <v>138</v>
      </c>
      <c r="DL54" s="24" t="s">
        <v>138</v>
      </c>
      <c r="DM54" s="25">
        <v>3.17</v>
      </c>
      <c r="DN54" s="24">
        <v>74</v>
      </c>
      <c r="DO54" s="25">
        <v>1.34</v>
      </c>
      <c r="DP54" s="24">
        <v>56</v>
      </c>
      <c r="DQ54" s="24" t="s">
        <v>138</v>
      </c>
      <c r="DR54" s="26" t="s">
        <v>138</v>
      </c>
      <c r="DS54" s="23" t="s">
        <v>138</v>
      </c>
      <c r="DT54" s="24">
        <v>89</v>
      </c>
      <c r="DU54" s="26">
        <v>7</v>
      </c>
      <c r="DV54" s="23">
        <v>8.5399999999999991</v>
      </c>
      <c r="DW54" s="24">
        <v>475</v>
      </c>
      <c r="DX54" s="27">
        <v>7</v>
      </c>
      <c r="DY54" s="23">
        <v>1.5</v>
      </c>
      <c r="DZ54" s="15" t="s">
        <v>178</v>
      </c>
      <c r="EA54" s="22">
        <v>43600</v>
      </c>
      <c r="EB54" s="17" t="s">
        <v>138</v>
      </c>
      <c r="EC54" s="22" t="s">
        <v>138</v>
      </c>
      <c r="ED54" s="15" t="s">
        <v>138</v>
      </c>
      <c r="EE54" s="14" t="str">
        <f>HYPERLINK("https://my.pitchbook.com?c=226120-06", "View company online")</f>
        <v>View company online</v>
      </c>
    </row>
    <row r="55" spans="1:135">
      <c r="A55" s="28" t="s">
        <v>1424</v>
      </c>
      <c r="B55" s="28" t="s">
        <v>1425</v>
      </c>
      <c r="C55" s="28" t="s">
        <v>138</v>
      </c>
      <c r="D55" s="28" t="s">
        <v>138</v>
      </c>
      <c r="E55" s="28" t="s">
        <v>1426</v>
      </c>
      <c r="F55" s="28" t="s">
        <v>1424</v>
      </c>
      <c r="G55" s="28" t="s">
        <v>1427</v>
      </c>
      <c r="H55" s="28" t="s">
        <v>322</v>
      </c>
      <c r="I55" s="28" t="s">
        <v>323</v>
      </c>
      <c r="J55" s="28" t="s">
        <v>413</v>
      </c>
      <c r="K55" s="28" t="s">
        <v>874</v>
      </c>
      <c r="L55" s="28" t="s">
        <v>1428</v>
      </c>
      <c r="M55" s="28" t="s">
        <v>1429</v>
      </c>
      <c r="N55" s="28" t="s">
        <v>147</v>
      </c>
      <c r="O55" s="29">
        <v>23.54</v>
      </c>
      <c r="P55" s="28" t="s">
        <v>148</v>
      </c>
      <c r="Q55" s="28" t="s">
        <v>149</v>
      </c>
      <c r="R55" s="28" t="s">
        <v>174</v>
      </c>
      <c r="S55" s="28" t="s">
        <v>1430</v>
      </c>
      <c r="T55" s="30">
        <v>30</v>
      </c>
      <c r="U55" s="28" t="s">
        <v>1431</v>
      </c>
      <c r="V55" s="28" t="s">
        <v>138</v>
      </c>
      <c r="W55" s="28" t="s">
        <v>138</v>
      </c>
      <c r="X55" s="31">
        <v>2011</v>
      </c>
      <c r="Y55" s="28" t="s">
        <v>138</v>
      </c>
      <c r="Z55" s="28" t="s">
        <v>138</v>
      </c>
      <c r="AA55" s="28" t="s">
        <v>138</v>
      </c>
      <c r="AB55" s="32" t="s">
        <v>138</v>
      </c>
      <c r="AC55" s="32" t="s">
        <v>138</v>
      </c>
      <c r="AD55" s="32" t="s">
        <v>138</v>
      </c>
      <c r="AE55" s="32" t="s">
        <v>138</v>
      </c>
      <c r="AF55" s="32" t="s">
        <v>138</v>
      </c>
      <c r="AG55" s="28" t="s">
        <v>138</v>
      </c>
      <c r="AH55" s="32" t="s">
        <v>138</v>
      </c>
      <c r="AI55" s="32" t="s">
        <v>138</v>
      </c>
      <c r="AJ55" s="32" t="s">
        <v>138</v>
      </c>
      <c r="AK55" s="28" t="s">
        <v>1432</v>
      </c>
      <c r="AL55" s="28" t="s">
        <v>1433</v>
      </c>
      <c r="AM55" s="28" t="s">
        <v>566</v>
      </c>
      <c r="AN55" s="28" t="s">
        <v>1434</v>
      </c>
      <c r="AO55" s="28" t="s">
        <v>1435</v>
      </c>
      <c r="AP55" s="28" t="s">
        <v>1436</v>
      </c>
      <c r="AQ55" s="28" t="s">
        <v>1437</v>
      </c>
      <c r="AR55" s="28" t="s">
        <v>138</v>
      </c>
      <c r="AS55" s="28" t="s">
        <v>1438</v>
      </c>
      <c r="AT55" s="28" t="s">
        <v>138</v>
      </c>
      <c r="AU55" s="28" t="s">
        <v>1439</v>
      </c>
      <c r="AV55" s="28" t="s">
        <v>1054</v>
      </c>
      <c r="AW55" s="28" t="s">
        <v>1435</v>
      </c>
      <c r="AX55" s="28" t="s">
        <v>138</v>
      </c>
      <c r="AY55" s="28" t="s">
        <v>1440</v>
      </c>
      <c r="AZ55" s="28" t="s">
        <v>530</v>
      </c>
      <c r="BA55" s="28" t="s">
        <v>531</v>
      </c>
      <c r="BB55" s="28" t="s">
        <v>1441</v>
      </c>
      <c r="BC55" s="28" t="s">
        <v>1442</v>
      </c>
      <c r="BD55" s="33">
        <v>4</v>
      </c>
      <c r="BE55" s="28" t="s">
        <v>138</v>
      </c>
      <c r="BF55" s="28" t="s">
        <v>138</v>
      </c>
      <c r="BG55" s="28" t="s">
        <v>138</v>
      </c>
      <c r="BH55" s="28" t="s">
        <v>1443</v>
      </c>
      <c r="BI55" s="28" t="s">
        <v>138</v>
      </c>
      <c r="BJ55" s="28" t="s">
        <v>138</v>
      </c>
      <c r="BK55" s="28" t="s">
        <v>138</v>
      </c>
      <c r="BL55" s="28" t="s">
        <v>1444</v>
      </c>
      <c r="BM55" s="34" t="s">
        <v>138</v>
      </c>
      <c r="BN55" s="29" t="s">
        <v>138</v>
      </c>
      <c r="BO55" s="28" t="s">
        <v>138</v>
      </c>
      <c r="BP55" s="29" t="s">
        <v>138</v>
      </c>
      <c r="BQ55" s="28" t="s">
        <v>138</v>
      </c>
      <c r="BR55" s="28" t="s">
        <v>316</v>
      </c>
      <c r="BS55" s="28" t="s">
        <v>138</v>
      </c>
      <c r="BT55" s="28" t="s">
        <v>138</v>
      </c>
      <c r="BU55" s="28" t="s">
        <v>177</v>
      </c>
      <c r="BV55" s="28" t="s">
        <v>138</v>
      </c>
      <c r="BW55" s="28" t="s">
        <v>138</v>
      </c>
      <c r="BX55" s="28" t="s">
        <v>138</v>
      </c>
      <c r="BY55" s="28" t="s">
        <v>175</v>
      </c>
      <c r="BZ55" s="34">
        <v>42852</v>
      </c>
      <c r="CA55" s="29">
        <v>12.84</v>
      </c>
      <c r="CB55" s="28" t="s">
        <v>172</v>
      </c>
      <c r="CC55" s="29" t="s">
        <v>138</v>
      </c>
      <c r="CD55" s="28" t="s">
        <v>138</v>
      </c>
      <c r="CE55" s="28" t="s">
        <v>205</v>
      </c>
      <c r="CF55" s="28" t="s">
        <v>138</v>
      </c>
      <c r="CG55" s="28" t="s">
        <v>138</v>
      </c>
      <c r="CH55" s="28" t="s">
        <v>174</v>
      </c>
      <c r="CI55" s="28" t="s">
        <v>138</v>
      </c>
      <c r="CJ55" s="28" t="s">
        <v>138</v>
      </c>
      <c r="CK55" s="28" t="s">
        <v>138</v>
      </c>
      <c r="CL55" s="28" t="s">
        <v>175</v>
      </c>
      <c r="CM55" s="34" t="s">
        <v>138</v>
      </c>
      <c r="CN55" s="29" t="s">
        <v>138</v>
      </c>
      <c r="CO55" s="35">
        <v>-0.47</v>
      </c>
      <c r="CP55" s="36">
        <v>16</v>
      </c>
      <c r="CQ55" s="35">
        <v>0.06</v>
      </c>
      <c r="CR55" s="35">
        <v>10.63</v>
      </c>
      <c r="CS55" s="35">
        <v>-0.91</v>
      </c>
      <c r="CT55" s="36">
        <v>16</v>
      </c>
      <c r="CU55" s="35">
        <v>-0.04</v>
      </c>
      <c r="CV55" s="36">
        <v>12</v>
      </c>
      <c r="CW55" s="35" t="s">
        <v>138</v>
      </c>
      <c r="CX55" s="36" t="s">
        <v>138</v>
      </c>
      <c r="CY55" s="35">
        <v>-0.91</v>
      </c>
      <c r="CZ55" s="36">
        <v>19</v>
      </c>
      <c r="DA55" s="35">
        <v>-0.04</v>
      </c>
      <c r="DB55" s="36">
        <v>15</v>
      </c>
      <c r="DC55" s="37">
        <v>8.17</v>
      </c>
      <c r="DD55" s="36">
        <v>88</v>
      </c>
      <c r="DE55" s="37">
        <v>0.03</v>
      </c>
      <c r="DF55" s="35">
        <v>0.4</v>
      </c>
      <c r="DG55" s="37">
        <v>9.9700000000000006</v>
      </c>
      <c r="DH55" s="36">
        <v>89</v>
      </c>
      <c r="DI55" s="37">
        <v>6.38</v>
      </c>
      <c r="DJ55" s="36">
        <v>80</v>
      </c>
      <c r="DK55" s="37" t="s">
        <v>138</v>
      </c>
      <c r="DL55" s="36" t="s">
        <v>138</v>
      </c>
      <c r="DM55" s="37">
        <v>9.9700000000000006</v>
      </c>
      <c r="DN55" s="36">
        <v>89</v>
      </c>
      <c r="DO55" s="37">
        <v>6.38</v>
      </c>
      <c r="DP55" s="36">
        <v>82</v>
      </c>
      <c r="DQ55" s="36" t="s">
        <v>138</v>
      </c>
      <c r="DR55" s="38" t="s">
        <v>138</v>
      </c>
      <c r="DS55" s="35" t="s">
        <v>138</v>
      </c>
      <c r="DT55" s="36">
        <v>288</v>
      </c>
      <c r="DU55" s="38">
        <v>0</v>
      </c>
      <c r="DV55" s="35">
        <v>0</v>
      </c>
      <c r="DW55" s="36">
        <v>2284</v>
      </c>
      <c r="DX55" s="39">
        <v>-1</v>
      </c>
      <c r="DY55" s="35">
        <v>-0.04</v>
      </c>
      <c r="DZ55" s="28" t="s">
        <v>178</v>
      </c>
      <c r="EA55" s="34">
        <v>43448</v>
      </c>
      <c r="EB55" s="29" t="s">
        <v>138</v>
      </c>
      <c r="EC55" s="34" t="s">
        <v>138</v>
      </c>
      <c r="ED55" s="28" t="s">
        <v>138</v>
      </c>
      <c r="EE55" s="40" t="str">
        <f>HYPERLINK("https://my.pitchbook.com?c=152074-36", "View company online")</f>
        <v>View company online</v>
      </c>
    </row>
    <row r="56" spans="1:135">
      <c r="A56" s="15" t="s">
        <v>1445</v>
      </c>
      <c r="B56" s="15" t="s">
        <v>1446</v>
      </c>
      <c r="C56" s="15" t="s">
        <v>138</v>
      </c>
      <c r="D56" s="15" t="s">
        <v>138</v>
      </c>
      <c r="E56" s="15" t="s">
        <v>138</v>
      </c>
      <c r="F56" s="15" t="s">
        <v>1445</v>
      </c>
      <c r="G56" s="15" t="s">
        <v>1447</v>
      </c>
      <c r="H56" s="15" t="s">
        <v>385</v>
      </c>
      <c r="I56" s="15" t="s">
        <v>1448</v>
      </c>
      <c r="J56" s="15" t="s">
        <v>1449</v>
      </c>
      <c r="K56" s="15" t="s">
        <v>1450</v>
      </c>
      <c r="L56" s="15" t="s">
        <v>560</v>
      </c>
      <c r="M56" s="15" t="s">
        <v>1451</v>
      </c>
      <c r="N56" s="15" t="s">
        <v>1452</v>
      </c>
      <c r="O56" s="17" t="s">
        <v>138</v>
      </c>
      <c r="P56" s="15" t="s">
        <v>148</v>
      </c>
      <c r="Q56" s="15" t="s">
        <v>149</v>
      </c>
      <c r="R56" s="15" t="s">
        <v>351</v>
      </c>
      <c r="S56" s="15" t="s">
        <v>1453</v>
      </c>
      <c r="T56" s="18" t="s">
        <v>138</v>
      </c>
      <c r="U56" s="15" t="s">
        <v>138</v>
      </c>
      <c r="V56" s="15" t="s">
        <v>138</v>
      </c>
      <c r="W56" s="15" t="s">
        <v>138</v>
      </c>
      <c r="X56" s="19">
        <v>2018</v>
      </c>
      <c r="Y56" s="15" t="s">
        <v>138</v>
      </c>
      <c r="Z56" s="15" t="s">
        <v>138</v>
      </c>
      <c r="AA56" s="15" t="s">
        <v>138</v>
      </c>
      <c r="AB56" s="20" t="s">
        <v>138</v>
      </c>
      <c r="AC56" s="20" t="s">
        <v>138</v>
      </c>
      <c r="AD56" s="20" t="s">
        <v>138</v>
      </c>
      <c r="AE56" s="20" t="s">
        <v>138</v>
      </c>
      <c r="AF56" s="20" t="s">
        <v>138</v>
      </c>
      <c r="AG56" s="15" t="s">
        <v>138</v>
      </c>
      <c r="AH56" s="20" t="s">
        <v>138</v>
      </c>
      <c r="AI56" s="20" t="s">
        <v>138</v>
      </c>
      <c r="AJ56" s="20" t="s">
        <v>138</v>
      </c>
      <c r="AK56" s="15" t="s">
        <v>1454</v>
      </c>
      <c r="AL56" s="15" t="s">
        <v>1455</v>
      </c>
      <c r="AM56" s="15" t="s">
        <v>566</v>
      </c>
      <c r="AN56" s="15" t="s">
        <v>1456</v>
      </c>
      <c r="AO56" s="15" t="s">
        <v>138</v>
      </c>
      <c r="AP56" s="15" t="s">
        <v>1457</v>
      </c>
      <c r="AQ56" s="15" t="s">
        <v>1458</v>
      </c>
      <c r="AR56" s="15" t="s">
        <v>1459</v>
      </c>
      <c r="AS56" s="15" t="s">
        <v>1460</v>
      </c>
      <c r="AT56" s="15" t="s">
        <v>474</v>
      </c>
      <c r="AU56" s="15" t="s">
        <v>1461</v>
      </c>
      <c r="AV56" s="15" t="s">
        <v>162</v>
      </c>
      <c r="AW56" s="15" t="s">
        <v>138</v>
      </c>
      <c r="AX56" s="15" t="s">
        <v>138</v>
      </c>
      <c r="AY56" s="15" t="s">
        <v>138</v>
      </c>
      <c r="AZ56" s="15" t="s">
        <v>164</v>
      </c>
      <c r="BA56" s="15" t="s">
        <v>165</v>
      </c>
      <c r="BB56" s="15" t="s">
        <v>1462</v>
      </c>
      <c r="BC56" s="15" t="s">
        <v>1463</v>
      </c>
      <c r="BD56" s="21">
        <v>2</v>
      </c>
      <c r="BE56" s="15" t="s">
        <v>138</v>
      </c>
      <c r="BF56" s="15" t="s">
        <v>138</v>
      </c>
      <c r="BG56" s="15" t="s">
        <v>138</v>
      </c>
      <c r="BH56" s="15" t="s">
        <v>1464</v>
      </c>
      <c r="BI56" s="15" t="s">
        <v>138</v>
      </c>
      <c r="BJ56" s="15" t="s">
        <v>138</v>
      </c>
      <c r="BK56" s="15" t="s">
        <v>138</v>
      </c>
      <c r="BL56" s="15" t="s">
        <v>138</v>
      </c>
      <c r="BM56" s="22">
        <v>43101</v>
      </c>
      <c r="BN56" s="17" t="s">
        <v>138</v>
      </c>
      <c r="BO56" s="15" t="s">
        <v>138</v>
      </c>
      <c r="BP56" s="17" t="s">
        <v>138</v>
      </c>
      <c r="BQ56" s="15" t="s">
        <v>138</v>
      </c>
      <c r="BR56" s="15" t="s">
        <v>1465</v>
      </c>
      <c r="BS56" s="15" t="s">
        <v>138</v>
      </c>
      <c r="BT56" s="15" t="s">
        <v>138</v>
      </c>
      <c r="BU56" s="15" t="s">
        <v>351</v>
      </c>
      <c r="BV56" s="15" t="s">
        <v>138</v>
      </c>
      <c r="BW56" s="15" t="s">
        <v>138</v>
      </c>
      <c r="BX56" s="15" t="s">
        <v>138</v>
      </c>
      <c r="BY56" s="15" t="s">
        <v>175</v>
      </c>
      <c r="BZ56" s="22">
        <v>43101</v>
      </c>
      <c r="CA56" s="17" t="s">
        <v>138</v>
      </c>
      <c r="CB56" s="15" t="s">
        <v>138</v>
      </c>
      <c r="CC56" s="17" t="s">
        <v>138</v>
      </c>
      <c r="CD56" s="15" t="s">
        <v>138</v>
      </c>
      <c r="CE56" s="15" t="s">
        <v>1465</v>
      </c>
      <c r="CF56" s="15" t="s">
        <v>138</v>
      </c>
      <c r="CG56" s="15" t="s">
        <v>138</v>
      </c>
      <c r="CH56" s="15" t="s">
        <v>351</v>
      </c>
      <c r="CI56" s="15" t="s">
        <v>138</v>
      </c>
      <c r="CJ56" s="15" t="s">
        <v>138</v>
      </c>
      <c r="CK56" s="15" t="s">
        <v>138</v>
      </c>
      <c r="CL56" s="15" t="s">
        <v>175</v>
      </c>
      <c r="CM56" s="22" t="s">
        <v>138</v>
      </c>
      <c r="CN56" s="17" t="s">
        <v>138</v>
      </c>
      <c r="CO56" s="23" t="s">
        <v>138</v>
      </c>
      <c r="CP56" s="24" t="s">
        <v>138</v>
      </c>
      <c r="CQ56" s="23" t="s">
        <v>138</v>
      </c>
      <c r="CR56" s="23" t="s">
        <v>138</v>
      </c>
      <c r="CS56" s="23" t="s">
        <v>138</v>
      </c>
      <c r="CT56" s="24" t="s">
        <v>138</v>
      </c>
      <c r="CU56" s="23" t="s">
        <v>138</v>
      </c>
      <c r="CV56" s="24" t="s">
        <v>138</v>
      </c>
      <c r="CW56" s="23" t="s">
        <v>138</v>
      </c>
      <c r="CX56" s="24" t="s">
        <v>138</v>
      </c>
      <c r="CY56" s="23" t="s">
        <v>138</v>
      </c>
      <c r="CZ56" s="24" t="s">
        <v>138</v>
      </c>
      <c r="DA56" s="23" t="s">
        <v>138</v>
      </c>
      <c r="DB56" s="24" t="s">
        <v>138</v>
      </c>
      <c r="DC56" s="25" t="s">
        <v>138</v>
      </c>
      <c r="DD56" s="24" t="s">
        <v>138</v>
      </c>
      <c r="DE56" s="25" t="s">
        <v>138</v>
      </c>
      <c r="DF56" s="23" t="s">
        <v>138</v>
      </c>
      <c r="DG56" s="25" t="s">
        <v>138</v>
      </c>
      <c r="DH56" s="24" t="s">
        <v>138</v>
      </c>
      <c r="DI56" s="25" t="s">
        <v>138</v>
      </c>
      <c r="DJ56" s="24" t="s">
        <v>138</v>
      </c>
      <c r="DK56" s="25" t="s">
        <v>138</v>
      </c>
      <c r="DL56" s="24" t="s">
        <v>138</v>
      </c>
      <c r="DM56" s="25" t="s">
        <v>138</v>
      </c>
      <c r="DN56" s="24" t="s">
        <v>138</v>
      </c>
      <c r="DO56" s="25" t="s">
        <v>138</v>
      </c>
      <c r="DP56" s="24" t="s">
        <v>138</v>
      </c>
      <c r="DQ56" s="24" t="s">
        <v>138</v>
      </c>
      <c r="DR56" s="26" t="s">
        <v>138</v>
      </c>
      <c r="DS56" s="23" t="s">
        <v>138</v>
      </c>
      <c r="DT56" s="24" t="s">
        <v>138</v>
      </c>
      <c r="DU56" s="26" t="s">
        <v>138</v>
      </c>
      <c r="DV56" s="23" t="s">
        <v>138</v>
      </c>
      <c r="DW56" s="24" t="s">
        <v>138</v>
      </c>
      <c r="DX56" s="27" t="s">
        <v>138</v>
      </c>
      <c r="DY56" s="23" t="s">
        <v>138</v>
      </c>
      <c r="DZ56" s="15" t="s">
        <v>178</v>
      </c>
      <c r="EA56" s="22">
        <v>43570</v>
      </c>
      <c r="EB56" s="17" t="s">
        <v>138</v>
      </c>
      <c r="EC56" s="22" t="s">
        <v>138</v>
      </c>
      <c r="ED56" s="15" t="s">
        <v>138</v>
      </c>
      <c r="EE56" s="14" t="str">
        <f>HYPERLINK("https://my.pitchbook.com?c=266503-33", "View company online")</f>
        <v>View company online</v>
      </c>
    </row>
    <row r="57" spans="1:135">
      <c r="A57" s="28" t="s">
        <v>1466</v>
      </c>
      <c r="B57" s="28" t="s">
        <v>1467</v>
      </c>
      <c r="C57" s="28" t="s">
        <v>138</v>
      </c>
      <c r="D57" s="28" t="s">
        <v>138</v>
      </c>
      <c r="E57" s="28" t="s">
        <v>1468</v>
      </c>
      <c r="F57" s="28" t="s">
        <v>1466</v>
      </c>
      <c r="G57" s="28" t="s">
        <v>1469</v>
      </c>
      <c r="H57" s="28" t="s">
        <v>141</v>
      </c>
      <c r="I57" s="28" t="s">
        <v>212</v>
      </c>
      <c r="J57" s="28" t="s">
        <v>655</v>
      </c>
      <c r="K57" s="28" t="s">
        <v>1470</v>
      </c>
      <c r="L57" s="28" t="s">
        <v>1471</v>
      </c>
      <c r="M57" s="28" t="s">
        <v>1472</v>
      </c>
      <c r="N57" s="28" t="s">
        <v>1452</v>
      </c>
      <c r="O57" s="29">
        <v>160.46</v>
      </c>
      <c r="P57" s="28" t="s">
        <v>1473</v>
      </c>
      <c r="Q57" s="28" t="s">
        <v>149</v>
      </c>
      <c r="R57" s="28" t="s">
        <v>1474</v>
      </c>
      <c r="S57" s="28" t="s">
        <v>1475</v>
      </c>
      <c r="T57" s="30">
        <v>470</v>
      </c>
      <c r="U57" s="28" t="s">
        <v>1476</v>
      </c>
      <c r="V57" s="28" t="s">
        <v>138</v>
      </c>
      <c r="W57" s="28" t="s">
        <v>138</v>
      </c>
      <c r="X57" s="31">
        <v>2005</v>
      </c>
      <c r="Y57" s="28" t="s">
        <v>138</v>
      </c>
      <c r="Z57" s="28" t="s">
        <v>138</v>
      </c>
      <c r="AA57" s="28" t="s">
        <v>138</v>
      </c>
      <c r="AB57" s="32">
        <v>96.84</v>
      </c>
      <c r="AC57" s="32">
        <v>59.41</v>
      </c>
      <c r="AD57" s="32">
        <v>-16.940000000000001</v>
      </c>
      <c r="AE57" s="32">
        <v>342.44</v>
      </c>
      <c r="AF57" s="32">
        <v>-12.19</v>
      </c>
      <c r="AG57" s="28" t="s">
        <v>1477</v>
      </c>
      <c r="AH57" s="32" t="s">
        <v>138</v>
      </c>
      <c r="AI57" s="32" t="s">
        <v>138</v>
      </c>
      <c r="AJ57" s="32" t="s">
        <v>138</v>
      </c>
      <c r="AK57" s="28" t="s">
        <v>1478</v>
      </c>
      <c r="AL57" s="28" t="s">
        <v>1479</v>
      </c>
      <c r="AM57" s="28" t="s">
        <v>986</v>
      </c>
      <c r="AN57" s="28" t="s">
        <v>1480</v>
      </c>
      <c r="AO57" s="28" t="s">
        <v>1481</v>
      </c>
      <c r="AP57" s="28" t="s">
        <v>1220</v>
      </c>
      <c r="AQ57" s="28" t="s">
        <v>1482</v>
      </c>
      <c r="AR57" s="28" t="s">
        <v>1483</v>
      </c>
      <c r="AS57" s="28" t="s">
        <v>1223</v>
      </c>
      <c r="AT57" s="28" t="s">
        <v>200</v>
      </c>
      <c r="AU57" s="28" t="s">
        <v>1484</v>
      </c>
      <c r="AV57" s="28" t="s">
        <v>162</v>
      </c>
      <c r="AW57" s="28" t="s">
        <v>1485</v>
      </c>
      <c r="AX57" s="28" t="s">
        <v>1486</v>
      </c>
      <c r="AY57" s="28" t="s">
        <v>1487</v>
      </c>
      <c r="AZ57" s="28" t="s">
        <v>164</v>
      </c>
      <c r="BA57" s="28" t="s">
        <v>165</v>
      </c>
      <c r="BB57" s="28" t="s">
        <v>1488</v>
      </c>
      <c r="BC57" s="28" t="s">
        <v>1489</v>
      </c>
      <c r="BD57" s="33">
        <v>1</v>
      </c>
      <c r="BE57" s="28" t="s">
        <v>138</v>
      </c>
      <c r="BF57" s="28" t="s">
        <v>1490</v>
      </c>
      <c r="BG57" s="28" t="s">
        <v>138</v>
      </c>
      <c r="BH57" s="28" t="s">
        <v>1491</v>
      </c>
      <c r="BI57" s="28" t="s">
        <v>1492</v>
      </c>
      <c r="BJ57" s="28" t="s">
        <v>138</v>
      </c>
      <c r="BK57" s="28" t="s">
        <v>1493</v>
      </c>
      <c r="BL57" s="28" t="s">
        <v>1494</v>
      </c>
      <c r="BM57" s="34">
        <v>38600</v>
      </c>
      <c r="BN57" s="29">
        <v>4</v>
      </c>
      <c r="BO57" s="28" t="s">
        <v>172</v>
      </c>
      <c r="BP57" s="29">
        <v>8.5399999999999991</v>
      </c>
      <c r="BQ57" s="28" t="s">
        <v>172</v>
      </c>
      <c r="BR57" s="28" t="s">
        <v>205</v>
      </c>
      <c r="BS57" s="28" t="s">
        <v>206</v>
      </c>
      <c r="BT57" s="28" t="s">
        <v>138</v>
      </c>
      <c r="BU57" s="28" t="s">
        <v>174</v>
      </c>
      <c r="BV57" s="28" t="s">
        <v>1397</v>
      </c>
      <c r="BW57" s="28" t="s">
        <v>138</v>
      </c>
      <c r="BX57" s="28" t="s">
        <v>138</v>
      </c>
      <c r="BY57" s="28" t="s">
        <v>175</v>
      </c>
      <c r="BZ57" s="34">
        <v>42947</v>
      </c>
      <c r="CA57" s="29">
        <v>564</v>
      </c>
      <c r="CB57" s="28" t="s">
        <v>172</v>
      </c>
      <c r="CC57" s="29">
        <v>564</v>
      </c>
      <c r="CD57" s="28" t="s">
        <v>172</v>
      </c>
      <c r="CE57" s="28" t="s">
        <v>349</v>
      </c>
      <c r="CF57" s="28" t="s">
        <v>1495</v>
      </c>
      <c r="CG57" s="28" t="s">
        <v>1496</v>
      </c>
      <c r="CH57" s="28" t="s">
        <v>351</v>
      </c>
      <c r="CI57" s="28" t="s">
        <v>1497</v>
      </c>
      <c r="CJ57" s="28" t="s">
        <v>1498</v>
      </c>
      <c r="CK57" s="28" t="s">
        <v>138</v>
      </c>
      <c r="CL57" s="28" t="s">
        <v>175</v>
      </c>
      <c r="CM57" s="34">
        <v>42947</v>
      </c>
      <c r="CN57" s="29">
        <v>19.8</v>
      </c>
      <c r="CO57" s="35">
        <v>-0.33</v>
      </c>
      <c r="CP57" s="36">
        <v>18</v>
      </c>
      <c r="CQ57" s="35">
        <v>-0.01</v>
      </c>
      <c r="CR57" s="35">
        <v>-3.19</v>
      </c>
      <c r="CS57" s="35">
        <v>-0.66</v>
      </c>
      <c r="CT57" s="36">
        <v>18</v>
      </c>
      <c r="CU57" s="35">
        <v>0</v>
      </c>
      <c r="CV57" s="36">
        <v>22</v>
      </c>
      <c r="CW57" s="35">
        <v>1.35</v>
      </c>
      <c r="CX57" s="36">
        <v>86</v>
      </c>
      <c r="CY57" s="35">
        <v>-2.68</v>
      </c>
      <c r="CZ57" s="36">
        <v>8</v>
      </c>
      <c r="DA57" s="35">
        <v>0</v>
      </c>
      <c r="DB57" s="36">
        <v>22</v>
      </c>
      <c r="DC57" s="37">
        <v>48.8</v>
      </c>
      <c r="DD57" s="36">
        <v>98</v>
      </c>
      <c r="DE57" s="37">
        <v>-2.12</v>
      </c>
      <c r="DF57" s="35">
        <v>-4.17</v>
      </c>
      <c r="DG57" s="37">
        <v>59.37</v>
      </c>
      <c r="DH57" s="36">
        <v>99</v>
      </c>
      <c r="DI57" s="37">
        <v>38.229999999999997</v>
      </c>
      <c r="DJ57" s="36">
        <v>94</v>
      </c>
      <c r="DK57" s="37">
        <v>67.319999999999993</v>
      </c>
      <c r="DL57" s="36">
        <v>97</v>
      </c>
      <c r="DM57" s="37">
        <v>51.41</v>
      </c>
      <c r="DN57" s="36">
        <v>98</v>
      </c>
      <c r="DO57" s="37">
        <v>66.8</v>
      </c>
      <c r="DP57" s="36">
        <v>97</v>
      </c>
      <c r="DQ57" s="36">
        <v>22928</v>
      </c>
      <c r="DR57" s="38">
        <v>490</v>
      </c>
      <c r="DS57" s="35">
        <v>2.1800000000000002</v>
      </c>
      <c r="DT57" s="36">
        <v>1493</v>
      </c>
      <c r="DU57" s="38">
        <v>-3</v>
      </c>
      <c r="DV57" s="35">
        <v>-0.2</v>
      </c>
      <c r="DW57" s="36">
        <v>23913</v>
      </c>
      <c r="DX57" s="39">
        <v>-6</v>
      </c>
      <c r="DY57" s="35">
        <v>-0.03</v>
      </c>
      <c r="DZ57" s="28" t="s">
        <v>178</v>
      </c>
      <c r="EA57" s="34">
        <v>43622</v>
      </c>
      <c r="EB57" s="29">
        <v>564</v>
      </c>
      <c r="EC57" s="34">
        <v>42947</v>
      </c>
      <c r="ED57" s="28" t="s">
        <v>349</v>
      </c>
      <c r="EE57" s="40" t="str">
        <f>HYPERLINK("https://my.pitchbook.com?c=48551-05", "View company online")</f>
        <v>View company online</v>
      </c>
    </row>
    <row r="58" spans="1:135">
      <c r="A58" s="15" t="s">
        <v>1499</v>
      </c>
      <c r="B58" s="15" t="s">
        <v>1500</v>
      </c>
      <c r="C58" s="15" t="s">
        <v>1501</v>
      </c>
      <c r="D58" s="15" t="s">
        <v>138</v>
      </c>
      <c r="E58" s="15" t="s">
        <v>138</v>
      </c>
      <c r="F58" s="15" t="s">
        <v>1499</v>
      </c>
      <c r="G58" s="15" t="s">
        <v>1502</v>
      </c>
      <c r="H58" s="15" t="s">
        <v>322</v>
      </c>
      <c r="I58" s="15" t="s">
        <v>1503</v>
      </c>
      <c r="J58" s="15" t="s">
        <v>1504</v>
      </c>
      <c r="K58" s="15" t="s">
        <v>1505</v>
      </c>
      <c r="L58" s="15" t="s">
        <v>1506</v>
      </c>
      <c r="M58" s="15" t="s">
        <v>1507</v>
      </c>
      <c r="N58" s="15" t="s">
        <v>147</v>
      </c>
      <c r="O58" s="17">
        <v>14.78</v>
      </c>
      <c r="P58" s="15" t="s">
        <v>148</v>
      </c>
      <c r="Q58" s="15" t="s">
        <v>149</v>
      </c>
      <c r="R58" s="15" t="s">
        <v>244</v>
      </c>
      <c r="S58" s="15" t="s">
        <v>1508</v>
      </c>
      <c r="T58" s="18">
        <v>15</v>
      </c>
      <c r="U58" s="15" t="s">
        <v>1509</v>
      </c>
      <c r="V58" s="15" t="s">
        <v>138</v>
      </c>
      <c r="W58" s="15" t="s">
        <v>138</v>
      </c>
      <c r="X58" s="19">
        <v>2010</v>
      </c>
      <c r="Y58" s="15" t="s">
        <v>138</v>
      </c>
      <c r="Z58" s="15" t="s">
        <v>138</v>
      </c>
      <c r="AA58" s="15" t="s">
        <v>138</v>
      </c>
      <c r="AB58" s="20" t="s">
        <v>138</v>
      </c>
      <c r="AC58" s="20" t="s">
        <v>138</v>
      </c>
      <c r="AD58" s="20" t="s">
        <v>138</v>
      </c>
      <c r="AE58" s="20" t="s">
        <v>138</v>
      </c>
      <c r="AF58" s="20" t="s">
        <v>138</v>
      </c>
      <c r="AG58" s="15" t="s">
        <v>138</v>
      </c>
      <c r="AH58" s="20" t="s">
        <v>138</v>
      </c>
      <c r="AI58" s="20" t="s">
        <v>138</v>
      </c>
      <c r="AJ58" s="20" t="s">
        <v>138</v>
      </c>
      <c r="AK58" s="15" t="s">
        <v>1510</v>
      </c>
      <c r="AL58" s="15" t="s">
        <v>1511</v>
      </c>
      <c r="AM58" s="15" t="s">
        <v>249</v>
      </c>
      <c r="AN58" s="15" t="s">
        <v>1512</v>
      </c>
      <c r="AO58" s="15" t="s">
        <v>1513</v>
      </c>
      <c r="AP58" s="15" t="s">
        <v>1514</v>
      </c>
      <c r="AQ58" s="15" t="s">
        <v>1515</v>
      </c>
      <c r="AR58" s="15" t="s">
        <v>1459</v>
      </c>
      <c r="AS58" s="15" t="s">
        <v>1516</v>
      </c>
      <c r="AT58" s="15" t="s">
        <v>284</v>
      </c>
      <c r="AU58" s="15" t="s">
        <v>1517</v>
      </c>
      <c r="AV58" s="15" t="s">
        <v>162</v>
      </c>
      <c r="AW58" s="15" t="s">
        <v>1518</v>
      </c>
      <c r="AX58" s="15" t="s">
        <v>138</v>
      </c>
      <c r="AY58" s="15" t="s">
        <v>1519</v>
      </c>
      <c r="AZ58" s="15" t="s">
        <v>164</v>
      </c>
      <c r="BA58" s="15" t="s">
        <v>165</v>
      </c>
      <c r="BB58" s="15" t="s">
        <v>1520</v>
      </c>
      <c r="BC58" s="15" t="s">
        <v>1521</v>
      </c>
      <c r="BD58" s="21">
        <v>5</v>
      </c>
      <c r="BE58" s="15" t="s">
        <v>138</v>
      </c>
      <c r="BF58" s="15" t="s">
        <v>138</v>
      </c>
      <c r="BG58" s="15" t="s">
        <v>138</v>
      </c>
      <c r="BH58" s="15" t="s">
        <v>1522</v>
      </c>
      <c r="BI58" s="15" t="s">
        <v>138</v>
      </c>
      <c r="BJ58" s="15" t="s">
        <v>138</v>
      </c>
      <c r="BK58" s="15" t="s">
        <v>138</v>
      </c>
      <c r="BL58" s="15" t="s">
        <v>1523</v>
      </c>
      <c r="BM58" s="22">
        <v>40798</v>
      </c>
      <c r="BN58" s="17">
        <v>1.97</v>
      </c>
      <c r="BO58" s="15" t="s">
        <v>172</v>
      </c>
      <c r="BP58" s="17" t="s">
        <v>138</v>
      </c>
      <c r="BQ58" s="15" t="s">
        <v>138</v>
      </c>
      <c r="BR58" s="15" t="s">
        <v>262</v>
      </c>
      <c r="BS58" s="15" t="s">
        <v>262</v>
      </c>
      <c r="BT58" s="15" t="s">
        <v>138</v>
      </c>
      <c r="BU58" s="15" t="s">
        <v>263</v>
      </c>
      <c r="BV58" s="15" t="s">
        <v>1080</v>
      </c>
      <c r="BW58" s="15" t="s">
        <v>138</v>
      </c>
      <c r="BX58" s="15" t="s">
        <v>138</v>
      </c>
      <c r="BY58" s="15" t="s">
        <v>175</v>
      </c>
      <c r="BZ58" s="22">
        <v>42552</v>
      </c>
      <c r="CA58" s="17">
        <v>2</v>
      </c>
      <c r="CB58" s="15" t="s">
        <v>172</v>
      </c>
      <c r="CC58" s="17" t="s">
        <v>138</v>
      </c>
      <c r="CD58" s="15" t="s">
        <v>138</v>
      </c>
      <c r="CE58" s="15" t="s">
        <v>173</v>
      </c>
      <c r="CF58" s="15" t="s">
        <v>138</v>
      </c>
      <c r="CG58" s="15" t="s">
        <v>138</v>
      </c>
      <c r="CH58" s="15" t="s">
        <v>174</v>
      </c>
      <c r="CI58" s="15" t="s">
        <v>138</v>
      </c>
      <c r="CJ58" s="15" t="s">
        <v>138</v>
      </c>
      <c r="CK58" s="15" t="s">
        <v>138</v>
      </c>
      <c r="CL58" s="15" t="s">
        <v>175</v>
      </c>
      <c r="CM58" s="22" t="s">
        <v>138</v>
      </c>
      <c r="CN58" s="17" t="s">
        <v>138</v>
      </c>
      <c r="CO58" s="23">
        <v>-0.56000000000000005</v>
      </c>
      <c r="CP58" s="24">
        <v>15</v>
      </c>
      <c r="CQ58" s="23">
        <v>-0.16</v>
      </c>
      <c r="CR58" s="23">
        <v>-39.51</v>
      </c>
      <c r="CS58" s="23">
        <v>-1.02</v>
      </c>
      <c r="CT58" s="24">
        <v>15</v>
      </c>
      <c r="CU58" s="23">
        <v>-0.09</v>
      </c>
      <c r="CV58" s="24">
        <v>5</v>
      </c>
      <c r="CW58" s="23" t="s">
        <v>138</v>
      </c>
      <c r="CX58" s="24" t="s">
        <v>138</v>
      </c>
      <c r="CY58" s="23">
        <v>-1.02</v>
      </c>
      <c r="CZ58" s="24">
        <v>19</v>
      </c>
      <c r="DA58" s="23">
        <v>-0.09</v>
      </c>
      <c r="DB58" s="24">
        <v>7</v>
      </c>
      <c r="DC58" s="25">
        <v>2.76</v>
      </c>
      <c r="DD58" s="24">
        <v>73</v>
      </c>
      <c r="DE58" s="25">
        <v>-0.03</v>
      </c>
      <c r="DF58" s="23">
        <v>-1.08</v>
      </c>
      <c r="DG58" s="25">
        <v>3.97</v>
      </c>
      <c r="DH58" s="24">
        <v>79</v>
      </c>
      <c r="DI58" s="25">
        <v>1.55</v>
      </c>
      <c r="DJ58" s="24">
        <v>58</v>
      </c>
      <c r="DK58" s="25" t="s">
        <v>138</v>
      </c>
      <c r="DL58" s="24" t="s">
        <v>138</v>
      </c>
      <c r="DM58" s="25">
        <v>3.97</v>
      </c>
      <c r="DN58" s="24">
        <v>78</v>
      </c>
      <c r="DO58" s="25">
        <v>1.55</v>
      </c>
      <c r="DP58" s="24">
        <v>59</v>
      </c>
      <c r="DQ58" s="24">
        <v>62</v>
      </c>
      <c r="DR58" s="26">
        <v>2</v>
      </c>
      <c r="DS58" s="23">
        <v>3.33</v>
      </c>
      <c r="DT58" s="24">
        <v>115</v>
      </c>
      <c r="DU58" s="26">
        <v>-2</v>
      </c>
      <c r="DV58" s="23">
        <v>-1.71</v>
      </c>
      <c r="DW58" s="24">
        <v>556</v>
      </c>
      <c r="DX58" s="27">
        <v>0</v>
      </c>
      <c r="DY58" s="23">
        <v>0</v>
      </c>
      <c r="DZ58" s="15" t="s">
        <v>178</v>
      </c>
      <c r="EA58" s="22">
        <v>43571</v>
      </c>
      <c r="EB58" s="17" t="s">
        <v>138</v>
      </c>
      <c r="EC58" s="22" t="s">
        <v>138</v>
      </c>
      <c r="ED58" s="15" t="s">
        <v>138</v>
      </c>
      <c r="EE58" s="14" t="str">
        <f>HYPERLINK("https://my.pitchbook.com?c=53946-10", "View company online")</f>
        <v>View company online</v>
      </c>
    </row>
    <row r="59" spans="1:135">
      <c r="A59" s="28" t="s">
        <v>1524</v>
      </c>
      <c r="B59" s="28" t="s">
        <v>1525</v>
      </c>
      <c r="C59" s="28" t="s">
        <v>138</v>
      </c>
      <c r="D59" s="28" t="s">
        <v>1526</v>
      </c>
      <c r="E59" s="28" t="s">
        <v>138</v>
      </c>
      <c r="F59" s="28" t="s">
        <v>1524</v>
      </c>
      <c r="G59" s="28" t="s">
        <v>1527</v>
      </c>
      <c r="H59" s="28" t="s">
        <v>322</v>
      </c>
      <c r="I59" s="28" t="s">
        <v>323</v>
      </c>
      <c r="J59" s="28" t="s">
        <v>324</v>
      </c>
      <c r="K59" s="28" t="s">
        <v>325</v>
      </c>
      <c r="L59" s="28" t="s">
        <v>215</v>
      </c>
      <c r="M59" s="28" t="s">
        <v>1528</v>
      </c>
      <c r="N59" s="28" t="s">
        <v>147</v>
      </c>
      <c r="O59" s="29">
        <v>0.12</v>
      </c>
      <c r="P59" s="28" t="s">
        <v>148</v>
      </c>
      <c r="Q59" s="28" t="s">
        <v>149</v>
      </c>
      <c r="R59" s="28" t="s">
        <v>174</v>
      </c>
      <c r="S59" s="28" t="s">
        <v>1529</v>
      </c>
      <c r="T59" s="30" t="s">
        <v>138</v>
      </c>
      <c r="U59" s="28" t="s">
        <v>138</v>
      </c>
      <c r="V59" s="28" t="s">
        <v>138</v>
      </c>
      <c r="W59" s="28" t="s">
        <v>138</v>
      </c>
      <c r="X59" s="31" t="s">
        <v>138</v>
      </c>
      <c r="Y59" s="28" t="s">
        <v>138</v>
      </c>
      <c r="Z59" s="28" t="s">
        <v>138</v>
      </c>
      <c r="AA59" s="28" t="s">
        <v>138</v>
      </c>
      <c r="AB59" s="32" t="s">
        <v>138</v>
      </c>
      <c r="AC59" s="32" t="s">
        <v>138</v>
      </c>
      <c r="AD59" s="32" t="s">
        <v>138</v>
      </c>
      <c r="AE59" s="32" t="s">
        <v>138</v>
      </c>
      <c r="AF59" s="32" t="s">
        <v>138</v>
      </c>
      <c r="AG59" s="28" t="s">
        <v>138</v>
      </c>
      <c r="AH59" s="32" t="s">
        <v>138</v>
      </c>
      <c r="AI59" s="32" t="s">
        <v>138</v>
      </c>
      <c r="AJ59" s="32" t="s">
        <v>138</v>
      </c>
      <c r="AK59" s="28" t="s">
        <v>1530</v>
      </c>
      <c r="AL59" s="28" t="s">
        <v>1531</v>
      </c>
      <c r="AM59" s="28" t="s">
        <v>566</v>
      </c>
      <c r="AN59" s="28" t="s">
        <v>1532</v>
      </c>
      <c r="AO59" s="28" t="s">
        <v>138</v>
      </c>
      <c r="AP59" s="28" t="s">
        <v>1195</v>
      </c>
      <c r="AQ59" s="28" t="s">
        <v>1533</v>
      </c>
      <c r="AR59" s="28" t="s">
        <v>1534</v>
      </c>
      <c r="AS59" s="28" t="s">
        <v>1198</v>
      </c>
      <c r="AT59" s="28" t="s">
        <v>138</v>
      </c>
      <c r="AU59" s="28" t="s">
        <v>138</v>
      </c>
      <c r="AV59" s="28" t="s">
        <v>1200</v>
      </c>
      <c r="AW59" s="28" t="s">
        <v>138</v>
      </c>
      <c r="AX59" s="28" t="s">
        <v>138</v>
      </c>
      <c r="AY59" s="28" t="s">
        <v>138</v>
      </c>
      <c r="AZ59" s="28" t="s">
        <v>452</v>
      </c>
      <c r="BA59" s="28" t="s">
        <v>453</v>
      </c>
      <c r="BB59" s="28" t="s">
        <v>1535</v>
      </c>
      <c r="BC59" s="28" t="s">
        <v>1536</v>
      </c>
      <c r="BD59" s="33">
        <v>2</v>
      </c>
      <c r="BE59" s="28" t="s">
        <v>138</v>
      </c>
      <c r="BF59" s="28" t="s">
        <v>138</v>
      </c>
      <c r="BG59" s="28" t="s">
        <v>138</v>
      </c>
      <c r="BH59" s="28" t="s">
        <v>1537</v>
      </c>
      <c r="BI59" s="28" t="s">
        <v>138</v>
      </c>
      <c r="BJ59" s="28" t="s">
        <v>138</v>
      </c>
      <c r="BK59" s="28" t="s">
        <v>138</v>
      </c>
      <c r="BL59" s="28" t="s">
        <v>138</v>
      </c>
      <c r="BM59" s="34">
        <v>42736</v>
      </c>
      <c r="BN59" s="29">
        <v>0.12</v>
      </c>
      <c r="BO59" s="28" t="s">
        <v>172</v>
      </c>
      <c r="BP59" s="29" t="s">
        <v>138</v>
      </c>
      <c r="BQ59" s="28" t="s">
        <v>138</v>
      </c>
      <c r="BR59" s="28" t="s">
        <v>316</v>
      </c>
      <c r="BS59" s="28" t="s">
        <v>138</v>
      </c>
      <c r="BT59" s="28" t="s">
        <v>138</v>
      </c>
      <c r="BU59" s="28" t="s">
        <v>177</v>
      </c>
      <c r="BV59" s="28" t="s">
        <v>138</v>
      </c>
      <c r="BW59" s="28" t="s">
        <v>138</v>
      </c>
      <c r="BX59" s="28" t="s">
        <v>138</v>
      </c>
      <c r="BY59" s="28" t="s">
        <v>175</v>
      </c>
      <c r="BZ59" s="34" t="s">
        <v>138</v>
      </c>
      <c r="CA59" s="29" t="s">
        <v>138</v>
      </c>
      <c r="CB59" s="28" t="s">
        <v>138</v>
      </c>
      <c r="CC59" s="29" t="s">
        <v>138</v>
      </c>
      <c r="CD59" s="28" t="s">
        <v>138</v>
      </c>
      <c r="CE59" s="28" t="s">
        <v>205</v>
      </c>
      <c r="CF59" s="28" t="s">
        <v>138</v>
      </c>
      <c r="CG59" s="28" t="s">
        <v>138</v>
      </c>
      <c r="CH59" s="28" t="s">
        <v>174</v>
      </c>
      <c r="CI59" s="28" t="s">
        <v>138</v>
      </c>
      <c r="CJ59" s="28" t="s">
        <v>138</v>
      </c>
      <c r="CK59" s="28" t="s">
        <v>138</v>
      </c>
      <c r="CL59" s="28" t="s">
        <v>175</v>
      </c>
      <c r="CM59" s="34" t="s">
        <v>138</v>
      </c>
      <c r="CN59" s="29" t="s">
        <v>138</v>
      </c>
      <c r="CO59" s="35">
        <v>0</v>
      </c>
      <c r="CP59" s="36">
        <v>26</v>
      </c>
      <c r="CQ59" s="35">
        <v>0</v>
      </c>
      <c r="CR59" s="35">
        <v>0</v>
      </c>
      <c r="CS59" s="35">
        <v>0</v>
      </c>
      <c r="CT59" s="36">
        <v>23</v>
      </c>
      <c r="CU59" s="35" t="s">
        <v>138</v>
      </c>
      <c r="CV59" s="36" t="s">
        <v>138</v>
      </c>
      <c r="CW59" s="35" t="s">
        <v>138</v>
      </c>
      <c r="CX59" s="36" t="s">
        <v>138</v>
      </c>
      <c r="CY59" s="35">
        <v>0</v>
      </c>
      <c r="CZ59" s="36">
        <v>25</v>
      </c>
      <c r="DA59" s="35" t="s">
        <v>138</v>
      </c>
      <c r="DB59" s="36" t="s">
        <v>138</v>
      </c>
      <c r="DC59" s="37">
        <v>0.03</v>
      </c>
      <c r="DD59" s="36">
        <v>1</v>
      </c>
      <c r="DE59" s="37">
        <v>0</v>
      </c>
      <c r="DF59" s="35">
        <v>0</v>
      </c>
      <c r="DG59" s="37">
        <v>0.03</v>
      </c>
      <c r="DH59" s="36">
        <v>1</v>
      </c>
      <c r="DI59" s="37" t="s">
        <v>138</v>
      </c>
      <c r="DJ59" s="36" t="s">
        <v>138</v>
      </c>
      <c r="DK59" s="37" t="s">
        <v>138</v>
      </c>
      <c r="DL59" s="36" t="s">
        <v>138</v>
      </c>
      <c r="DM59" s="37">
        <v>0.03</v>
      </c>
      <c r="DN59" s="36">
        <v>1</v>
      </c>
      <c r="DO59" s="37" t="s">
        <v>138</v>
      </c>
      <c r="DP59" s="36" t="s">
        <v>138</v>
      </c>
      <c r="DQ59" s="36" t="s">
        <v>138</v>
      </c>
      <c r="DR59" s="38" t="s">
        <v>138</v>
      </c>
      <c r="DS59" s="35" t="s">
        <v>138</v>
      </c>
      <c r="DT59" s="36">
        <v>1</v>
      </c>
      <c r="DU59" s="38">
        <v>0</v>
      </c>
      <c r="DV59" s="35">
        <v>0</v>
      </c>
      <c r="DW59" s="36" t="s">
        <v>138</v>
      </c>
      <c r="DX59" s="39" t="s">
        <v>138</v>
      </c>
      <c r="DY59" s="35" t="s">
        <v>138</v>
      </c>
      <c r="DZ59" s="28" t="s">
        <v>178</v>
      </c>
      <c r="EA59" s="34">
        <v>43351</v>
      </c>
      <c r="EB59" s="29" t="s">
        <v>138</v>
      </c>
      <c r="EC59" s="34" t="s">
        <v>138</v>
      </c>
      <c r="ED59" s="28" t="s">
        <v>138</v>
      </c>
      <c r="EE59" s="40" t="str">
        <f>HYPERLINK("https://my.pitchbook.com?c=225679-33", "View company online")</f>
        <v>View company online</v>
      </c>
    </row>
    <row r="60" spans="1:135">
      <c r="A60" s="15" t="s">
        <v>1538</v>
      </c>
      <c r="B60" s="15" t="s">
        <v>1539</v>
      </c>
      <c r="C60" s="15" t="s">
        <v>1540</v>
      </c>
      <c r="D60" s="15" t="s">
        <v>138</v>
      </c>
      <c r="E60" s="15" t="s">
        <v>1541</v>
      </c>
      <c r="F60" s="15" t="s">
        <v>1538</v>
      </c>
      <c r="G60" s="15" t="s">
        <v>1542</v>
      </c>
      <c r="H60" s="15" t="s">
        <v>322</v>
      </c>
      <c r="I60" s="15" t="s">
        <v>323</v>
      </c>
      <c r="J60" s="15" t="s">
        <v>324</v>
      </c>
      <c r="K60" s="15" t="s">
        <v>1543</v>
      </c>
      <c r="L60" s="15" t="s">
        <v>1544</v>
      </c>
      <c r="M60" s="15" t="s">
        <v>1545</v>
      </c>
      <c r="N60" s="15" t="s">
        <v>147</v>
      </c>
      <c r="O60" s="17">
        <v>35.06</v>
      </c>
      <c r="P60" s="15" t="s">
        <v>148</v>
      </c>
      <c r="Q60" s="15" t="s">
        <v>149</v>
      </c>
      <c r="R60" s="15" t="s">
        <v>174</v>
      </c>
      <c r="S60" s="15" t="s">
        <v>1546</v>
      </c>
      <c r="T60" s="18">
        <v>136</v>
      </c>
      <c r="U60" s="15" t="s">
        <v>1547</v>
      </c>
      <c r="V60" s="15" t="s">
        <v>138</v>
      </c>
      <c r="W60" s="15" t="s">
        <v>138</v>
      </c>
      <c r="X60" s="19">
        <v>2005</v>
      </c>
      <c r="Y60" s="15" t="s">
        <v>138</v>
      </c>
      <c r="Z60" s="15" t="s">
        <v>138</v>
      </c>
      <c r="AA60" s="15" t="s">
        <v>138</v>
      </c>
      <c r="AB60" s="20" t="s">
        <v>138</v>
      </c>
      <c r="AC60" s="20" t="s">
        <v>138</v>
      </c>
      <c r="AD60" s="20" t="s">
        <v>138</v>
      </c>
      <c r="AE60" s="20" t="s">
        <v>138</v>
      </c>
      <c r="AF60" s="20" t="s">
        <v>138</v>
      </c>
      <c r="AG60" s="15" t="s">
        <v>138</v>
      </c>
      <c r="AH60" s="20" t="s">
        <v>138</v>
      </c>
      <c r="AI60" s="20" t="s">
        <v>138</v>
      </c>
      <c r="AJ60" s="20" t="s">
        <v>138</v>
      </c>
      <c r="AK60" s="15" t="s">
        <v>1548</v>
      </c>
      <c r="AL60" s="15" t="s">
        <v>1549</v>
      </c>
      <c r="AM60" s="15" t="s">
        <v>249</v>
      </c>
      <c r="AN60" s="15" t="s">
        <v>138</v>
      </c>
      <c r="AO60" s="15" t="s">
        <v>138</v>
      </c>
      <c r="AP60" s="15" t="s">
        <v>423</v>
      </c>
      <c r="AQ60" s="15" t="s">
        <v>1550</v>
      </c>
      <c r="AR60" s="15" t="s">
        <v>1551</v>
      </c>
      <c r="AS60" s="15" t="s">
        <v>426</v>
      </c>
      <c r="AT60" s="15" t="s">
        <v>426</v>
      </c>
      <c r="AU60" s="15" t="s">
        <v>1074</v>
      </c>
      <c r="AV60" s="15" t="s">
        <v>162</v>
      </c>
      <c r="AW60" s="15" t="s">
        <v>1552</v>
      </c>
      <c r="AX60" s="15" t="s">
        <v>138</v>
      </c>
      <c r="AY60" s="15" t="s">
        <v>138</v>
      </c>
      <c r="AZ60" s="15" t="s">
        <v>164</v>
      </c>
      <c r="BA60" s="15" t="s">
        <v>165</v>
      </c>
      <c r="BB60" s="15" t="s">
        <v>1553</v>
      </c>
      <c r="BC60" s="15" t="s">
        <v>1554</v>
      </c>
      <c r="BD60" s="21">
        <v>8</v>
      </c>
      <c r="BE60" s="15" t="s">
        <v>138</v>
      </c>
      <c r="BF60" s="15" t="s">
        <v>138</v>
      </c>
      <c r="BG60" s="15" t="s">
        <v>138</v>
      </c>
      <c r="BH60" s="15" t="s">
        <v>1555</v>
      </c>
      <c r="BI60" s="15" t="s">
        <v>138</v>
      </c>
      <c r="BJ60" s="15" t="s">
        <v>138</v>
      </c>
      <c r="BK60" s="15" t="s">
        <v>1556</v>
      </c>
      <c r="BL60" s="15" t="s">
        <v>1557</v>
      </c>
      <c r="BM60" s="22">
        <v>40486</v>
      </c>
      <c r="BN60" s="17">
        <v>1.35</v>
      </c>
      <c r="BO60" s="15" t="s">
        <v>172</v>
      </c>
      <c r="BP60" s="17">
        <v>4.25</v>
      </c>
      <c r="BQ60" s="15" t="s">
        <v>172</v>
      </c>
      <c r="BR60" s="15" t="s">
        <v>205</v>
      </c>
      <c r="BS60" s="15" t="s">
        <v>206</v>
      </c>
      <c r="BT60" s="15" t="s">
        <v>138</v>
      </c>
      <c r="BU60" s="15" t="s">
        <v>174</v>
      </c>
      <c r="BV60" s="15" t="s">
        <v>138</v>
      </c>
      <c r="BW60" s="15" t="s">
        <v>138</v>
      </c>
      <c r="BX60" s="15" t="s">
        <v>138</v>
      </c>
      <c r="BY60" s="15" t="s">
        <v>175</v>
      </c>
      <c r="BZ60" s="22">
        <v>43068</v>
      </c>
      <c r="CA60" s="17">
        <v>2</v>
      </c>
      <c r="CB60" s="15" t="s">
        <v>172</v>
      </c>
      <c r="CC60" s="17">
        <v>6</v>
      </c>
      <c r="CD60" s="15" t="s">
        <v>172</v>
      </c>
      <c r="CE60" s="15" t="s">
        <v>173</v>
      </c>
      <c r="CF60" s="15" t="s">
        <v>482</v>
      </c>
      <c r="CG60" s="15" t="s">
        <v>138</v>
      </c>
      <c r="CH60" s="15" t="s">
        <v>174</v>
      </c>
      <c r="CI60" s="15" t="s">
        <v>138</v>
      </c>
      <c r="CJ60" s="15" t="s">
        <v>138</v>
      </c>
      <c r="CK60" s="15" t="s">
        <v>138</v>
      </c>
      <c r="CL60" s="15" t="s">
        <v>175</v>
      </c>
      <c r="CM60" s="22" t="s">
        <v>138</v>
      </c>
      <c r="CN60" s="17" t="s">
        <v>138</v>
      </c>
      <c r="CO60" s="23">
        <v>-6.53</v>
      </c>
      <c r="CP60" s="24">
        <v>1</v>
      </c>
      <c r="CQ60" s="23">
        <v>0</v>
      </c>
      <c r="CR60" s="23">
        <v>0.02</v>
      </c>
      <c r="CS60" s="23">
        <v>-13.08</v>
      </c>
      <c r="CT60" s="24">
        <v>1</v>
      </c>
      <c r="CU60" s="23">
        <v>0.02</v>
      </c>
      <c r="CV60" s="24">
        <v>51</v>
      </c>
      <c r="CW60" s="23">
        <v>-13.08</v>
      </c>
      <c r="CX60" s="24">
        <v>1</v>
      </c>
      <c r="CY60" s="23" t="s">
        <v>138</v>
      </c>
      <c r="CZ60" s="24" t="s">
        <v>138</v>
      </c>
      <c r="DA60" s="23">
        <v>0.03</v>
      </c>
      <c r="DB60" s="24">
        <v>60</v>
      </c>
      <c r="DC60" s="25">
        <v>33.58</v>
      </c>
      <c r="DD60" s="24">
        <v>97</v>
      </c>
      <c r="DE60" s="25">
        <v>-1.87</v>
      </c>
      <c r="DF60" s="23">
        <v>-5.28</v>
      </c>
      <c r="DG60" s="25">
        <v>29.47</v>
      </c>
      <c r="DH60" s="24">
        <v>97</v>
      </c>
      <c r="DI60" s="25">
        <v>37.69</v>
      </c>
      <c r="DJ60" s="24">
        <v>94</v>
      </c>
      <c r="DK60" s="25">
        <v>29.47</v>
      </c>
      <c r="DL60" s="24">
        <v>94</v>
      </c>
      <c r="DM60" s="25" t="s">
        <v>138</v>
      </c>
      <c r="DN60" s="24" t="s">
        <v>138</v>
      </c>
      <c r="DO60" s="25">
        <v>22.91</v>
      </c>
      <c r="DP60" s="24">
        <v>93</v>
      </c>
      <c r="DQ60" s="24">
        <v>10926</v>
      </c>
      <c r="DR60" s="26">
        <v>-2452</v>
      </c>
      <c r="DS60" s="23">
        <v>-18.329999999999998</v>
      </c>
      <c r="DT60" s="24" t="s">
        <v>138</v>
      </c>
      <c r="DU60" s="26" t="s">
        <v>138</v>
      </c>
      <c r="DV60" s="23" t="s">
        <v>138</v>
      </c>
      <c r="DW60" s="24">
        <v>8198</v>
      </c>
      <c r="DX60" s="27">
        <v>-2</v>
      </c>
      <c r="DY60" s="23">
        <v>-0.02</v>
      </c>
      <c r="DZ60" s="15" t="s">
        <v>178</v>
      </c>
      <c r="EA60" s="22">
        <v>43385</v>
      </c>
      <c r="EB60" s="17">
        <v>6</v>
      </c>
      <c r="EC60" s="22">
        <v>43068</v>
      </c>
      <c r="ED60" s="15" t="s">
        <v>173</v>
      </c>
      <c r="EE60" s="14" t="str">
        <f>HYPERLINK("https://my.pitchbook.com?c=54027-01", "View company online")</f>
        <v>View company online</v>
      </c>
    </row>
    <row r="61" spans="1:135">
      <c r="A61" s="28" t="s">
        <v>1558</v>
      </c>
      <c r="B61" s="28" t="s">
        <v>1559</v>
      </c>
      <c r="C61" s="28" t="s">
        <v>138</v>
      </c>
      <c r="D61" s="28" t="s">
        <v>138</v>
      </c>
      <c r="E61" s="28" t="s">
        <v>1560</v>
      </c>
      <c r="F61" s="28" t="s">
        <v>1558</v>
      </c>
      <c r="G61" s="28" t="s">
        <v>1561</v>
      </c>
      <c r="H61" s="28" t="s">
        <v>322</v>
      </c>
      <c r="I61" s="28" t="s">
        <v>323</v>
      </c>
      <c r="J61" s="28" t="s">
        <v>954</v>
      </c>
      <c r="K61" s="28" t="s">
        <v>1562</v>
      </c>
      <c r="L61" s="28" t="s">
        <v>415</v>
      </c>
      <c r="M61" s="28" t="s">
        <v>1563</v>
      </c>
      <c r="N61" s="28" t="s">
        <v>147</v>
      </c>
      <c r="O61" s="29">
        <v>4.08</v>
      </c>
      <c r="P61" s="28" t="s">
        <v>148</v>
      </c>
      <c r="Q61" s="28" t="s">
        <v>149</v>
      </c>
      <c r="R61" s="28" t="s">
        <v>174</v>
      </c>
      <c r="S61" s="28" t="s">
        <v>1564</v>
      </c>
      <c r="T61" s="30" t="s">
        <v>138</v>
      </c>
      <c r="U61" s="28" t="s">
        <v>138</v>
      </c>
      <c r="V61" s="28" t="s">
        <v>138</v>
      </c>
      <c r="W61" s="28" t="s">
        <v>138</v>
      </c>
      <c r="X61" s="31">
        <v>2014</v>
      </c>
      <c r="Y61" s="28" t="s">
        <v>138</v>
      </c>
      <c r="Z61" s="28" t="s">
        <v>138</v>
      </c>
      <c r="AA61" s="28" t="s">
        <v>138</v>
      </c>
      <c r="AB61" s="32" t="s">
        <v>138</v>
      </c>
      <c r="AC61" s="32" t="s">
        <v>138</v>
      </c>
      <c r="AD61" s="32" t="s">
        <v>138</v>
      </c>
      <c r="AE61" s="32" t="s">
        <v>138</v>
      </c>
      <c r="AF61" s="32" t="s">
        <v>138</v>
      </c>
      <c r="AG61" s="28" t="s">
        <v>138</v>
      </c>
      <c r="AH61" s="32" t="s">
        <v>138</v>
      </c>
      <c r="AI61" s="32" t="s">
        <v>138</v>
      </c>
      <c r="AJ61" s="32" t="s">
        <v>138</v>
      </c>
      <c r="AK61" s="28" t="s">
        <v>1565</v>
      </c>
      <c r="AL61" s="28" t="s">
        <v>1566</v>
      </c>
      <c r="AM61" s="28" t="s">
        <v>304</v>
      </c>
      <c r="AN61" s="28" t="s">
        <v>1567</v>
      </c>
      <c r="AO61" s="28" t="s">
        <v>1568</v>
      </c>
      <c r="AP61" s="28" t="s">
        <v>941</v>
      </c>
      <c r="AQ61" s="28" t="s">
        <v>1569</v>
      </c>
      <c r="AR61" s="28" t="s">
        <v>138</v>
      </c>
      <c r="AS61" s="28" t="s">
        <v>944</v>
      </c>
      <c r="AT61" s="28" t="s">
        <v>138</v>
      </c>
      <c r="AU61" s="28" t="s">
        <v>1570</v>
      </c>
      <c r="AV61" s="28" t="s">
        <v>946</v>
      </c>
      <c r="AW61" s="28" t="s">
        <v>1568</v>
      </c>
      <c r="AX61" s="28" t="s">
        <v>138</v>
      </c>
      <c r="AY61" s="28" t="s">
        <v>1571</v>
      </c>
      <c r="AZ61" s="28" t="s">
        <v>530</v>
      </c>
      <c r="BA61" s="28" t="s">
        <v>531</v>
      </c>
      <c r="BB61" s="28" t="s">
        <v>1572</v>
      </c>
      <c r="BC61" s="28" t="s">
        <v>1573</v>
      </c>
      <c r="BD61" s="33">
        <v>13</v>
      </c>
      <c r="BE61" s="28" t="s">
        <v>138</v>
      </c>
      <c r="BF61" s="28" t="s">
        <v>138</v>
      </c>
      <c r="BG61" s="28" t="s">
        <v>138</v>
      </c>
      <c r="BH61" s="28" t="s">
        <v>1574</v>
      </c>
      <c r="BI61" s="28" t="s">
        <v>138</v>
      </c>
      <c r="BJ61" s="28" t="s">
        <v>138</v>
      </c>
      <c r="BK61" s="28" t="s">
        <v>138</v>
      </c>
      <c r="BL61" s="28" t="s">
        <v>138</v>
      </c>
      <c r="BM61" s="34">
        <v>41852</v>
      </c>
      <c r="BN61" s="29" t="s">
        <v>138</v>
      </c>
      <c r="BO61" s="28" t="s">
        <v>138</v>
      </c>
      <c r="BP61" s="29" t="s">
        <v>138</v>
      </c>
      <c r="BQ61" s="28" t="s">
        <v>138</v>
      </c>
      <c r="BR61" s="28" t="s">
        <v>316</v>
      </c>
      <c r="BS61" s="28" t="s">
        <v>138</v>
      </c>
      <c r="BT61" s="28" t="s">
        <v>138</v>
      </c>
      <c r="BU61" s="28" t="s">
        <v>177</v>
      </c>
      <c r="BV61" s="28" t="s">
        <v>138</v>
      </c>
      <c r="BW61" s="28" t="s">
        <v>138</v>
      </c>
      <c r="BX61" s="28" t="s">
        <v>138</v>
      </c>
      <c r="BY61" s="28" t="s">
        <v>175</v>
      </c>
      <c r="BZ61" s="34">
        <v>43055</v>
      </c>
      <c r="CA61" s="29">
        <v>3.52</v>
      </c>
      <c r="CB61" s="28" t="s">
        <v>172</v>
      </c>
      <c r="CC61" s="29" t="s">
        <v>138</v>
      </c>
      <c r="CD61" s="28" t="s">
        <v>138</v>
      </c>
      <c r="CE61" s="28" t="s">
        <v>205</v>
      </c>
      <c r="CF61" s="28" t="s">
        <v>138</v>
      </c>
      <c r="CG61" s="28" t="s">
        <v>138</v>
      </c>
      <c r="CH61" s="28" t="s">
        <v>174</v>
      </c>
      <c r="CI61" s="28" t="s">
        <v>138</v>
      </c>
      <c r="CJ61" s="28" t="s">
        <v>138</v>
      </c>
      <c r="CK61" s="28" t="s">
        <v>138</v>
      </c>
      <c r="CL61" s="28" t="s">
        <v>175</v>
      </c>
      <c r="CM61" s="34" t="s">
        <v>138</v>
      </c>
      <c r="CN61" s="29" t="s">
        <v>138</v>
      </c>
      <c r="CO61" s="35">
        <v>0.45</v>
      </c>
      <c r="CP61" s="36">
        <v>95</v>
      </c>
      <c r="CQ61" s="35">
        <v>-0.01</v>
      </c>
      <c r="CR61" s="35">
        <v>-1.46</v>
      </c>
      <c r="CS61" s="35">
        <v>0</v>
      </c>
      <c r="CT61" s="36">
        <v>23</v>
      </c>
      <c r="CU61" s="35">
        <v>0.9</v>
      </c>
      <c r="CV61" s="36">
        <v>97</v>
      </c>
      <c r="CW61" s="35" t="s">
        <v>138</v>
      </c>
      <c r="CX61" s="36" t="s">
        <v>138</v>
      </c>
      <c r="CY61" s="35">
        <v>0</v>
      </c>
      <c r="CZ61" s="36">
        <v>25</v>
      </c>
      <c r="DA61" s="35">
        <v>0.22</v>
      </c>
      <c r="DB61" s="36">
        <v>84</v>
      </c>
      <c r="DC61" s="37">
        <v>1.51</v>
      </c>
      <c r="DD61" s="36">
        <v>61</v>
      </c>
      <c r="DE61" s="37">
        <v>0.01</v>
      </c>
      <c r="DF61" s="35">
        <v>0.82</v>
      </c>
      <c r="DG61" s="37">
        <v>0.34</v>
      </c>
      <c r="DH61" s="36">
        <v>25</v>
      </c>
      <c r="DI61" s="37">
        <v>2.67</v>
      </c>
      <c r="DJ61" s="36">
        <v>68</v>
      </c>
      <c r="DK61" s="37" t="s">
        <v>138</v>
      </c>
      <c r="DL61" s="36" t="s">
        <v>138</v>
      </c>
      <c r="DM61" s="37">
        <v>0.34</v>
      </c>
      <c r="DN61" s="36">
        <v>26</v>
      </c>
      <c r="DO61" s="37">
        <v>0.65</v>
      </c>
      <c r="DP61" s="36">
        <v>42</v>
      </c>
      <c r="DQ61" s="36" t="s">
        <v>138</v>
      </c>
      <c r="DR61" s="38" t="s">
        <v>138</v>
      </c>
      <c r="DS61" s="35" t="s">
        <v>138</v>
      </c>
      <c r="DT61" s="36">
        <v>10</v>
      </c>
      <c r="DU61" s="38">
        <v>0</v>
      </c>
      <c r="DV61" s="35">
        <v>0</v>
      </c>
      <c r="DW61" s="36">
        <v>234</v>
      </c>
      <c r="DX61" s="39">
        <v>1</v>
      </c>
      <c r="DY61" s="35">
        <v>0.43</v>
      </c>
      <c r="DZ61" s="28" t="s">
        <v>178</v>
      </c>
      <c r="EA61" s="34">
        <v>43467</v>
      </c>
      <c r="EB61" s="29" t="s">
        <v>138</v>
      </c>
      <c r="EC61" s="34" t="s">
        <v>138</v>
      </c>
      <c r="ED61" s="28" t="s">
        <v>138</v>
      </c>
      <c r="EE61" s="40" t="str">
        <f>HYPERLINK("https://my.pitchbook.com?c=117895-87", "View company online")</f>
        <v>View company online</v>
      </c>
    </row>
    <row r="62" spans="1:135">
      <c r="A62" s="15" t="s">
        <v>1575</v>
      </c>
      <c r="B62" s="15" t="s">
        <v>1576</v>
      </c>
      <c r="C62" s="15" t="s">
        <v>138</v>
      </c>
      <c r="D62" s="15" t="s">
        <v>138</v>
      </c>
      <c r="E62" s="15" t="s">
        <v>1577</v>
      </c>
      <c r="F62" s="15" t="s">
        <v>1575</v>
      </c>
      <c r="G62" s="15" t="s">
        <v>1578</v>
      </c>
      <c r="H62" s="15" t="s">
        <v>322</v>
      </c>
      <c r="I62" s="15" t="s">
        <v>323</v>
      </c>
      <c r="J62" s="15" t="s">
        <v>1084</v>
      </c>
      <c r="K62" s="15" t="s">
        <v>1579</v>
      </c>
      <c r="L62" s="15" t="s">
        <v>1580</v>
      </c>
      <c r="M62" s="15" t="s">
        <v>1581</v>
      </c>
      <c r="N62" s="15" t="s">
        <v>147</v>
      </c>
      <c r="O62" s="17">
        <v>56.21</v>
      </c>
      <c r="P62" s="15" t="s">
        <v>148</v>
      </c>
      <c r="Q62" s="15" t="s">
        <v>149</v>
      </c>
      <c r="R62" s="15" t="s">
        <v>174</v>
      </c>
      <c r="S62" s="15" t="s">
        <v>1582</v>
      </c>
      <c r="T62" s="18">
        <v>506</v>
      </c>
      <c r="U62" s="15" t="s">
        <v>1583</v>
      </c>
      <c r="V62" s="15" t="s">
        <v>138</v>
      </c>
      <c r="W62" s="15" t="s">
        <v>138</v>
      </c>
      <c r="X62" s="19">
        <v>2005</v>
      </c>
      <c r="Y62" s="15" t="s">
        <v>138</v>
      </c>
      <c r="Z62" s="15" t="s">
        <v>138</v>
      </c>
      <c r="AA62" s="15" t="s">
        <v>138</v>
      </c>
      <c r="AB62" s="20">
        <v>16.88</v>
      </c>
      <c r="AC62" s="20" t="s">
        <v>138</v>
      </c>
      <c r="AD62" s="20" t="s">
        <v>138</v>
      </c>
      <c r="AE62" s="20" t="s">
        <v>138</v>
      </c>
      <c r="AF62" s="20" t="s">
        <v>138</v>
      </c>
      <c r="AG62" s="15" t="s">
        <v>563</v>
      </c>
      <c r="AH62" s="20" t="s">
        <v>138</v>
      </c>
      <c r="AI62" s="20" t="s">
        <v>138</v>
      </c>
      <c r="AJ62" s="20" t="s">
        <v>138</v>
      </c>
      <c r="AK62" s="15" t="s">
        <v>1584</v>
      </c>
      <c r="AL62" s="15" t="s">
        <v>1585</v>
      </c>
      <c r="AM62" s="15" t="s">
        <v>1586</v>
      </c>
      <c r="AN62" s="15" t="s">
        <v>1587</v>
      </c>
      <c r="AO62" s="15" t="s">
        <v>1588</v>
      </c>
      <c r="AP62" s="15" t="s">
        <v>964</v>
      </c>
      <c r="AQ62" s="15" t="s">
        <v>1589</v>
      </c>
      <c r="AR62" s="15" t="s">
        <v>1459</v>
      </c>
      <c r="AS62" s="15" t="s">
        <v>966</v>
      </c>
      <c r="AT62" s="15" t="s">
        <v>200</v>
      </c>
      <c r="AU62" s="15" t="s">
        <v>1590</v>
      </c>
      <c r="AV62" s="15" t="s">
        <v>162</v>
      </c>
      <c r="AW62" s="15" t="s">
        <v>1588</v>
      </c>
      <c r="AX62" s="15" t="s">
        <v>1591</v>
      </c>
      <c r="AY62" s="15" t="s">
        <v>138</v>
      </c>
      <c r="AZ62" s="15" t="s">
        <v>164</v>
      </c>
      <c r="BA62" s="15" t="s">
        <v>165</v>
      </c>
      <c r="BB62" s="15" t="s">
        <v>1592</v>
      </c>
      <c r="BC62" s="15" t="s">
        <v>1593</v>
      </c>
      <c r="BD62" s="21">
        <v>5</v>
      </c>
      <c r="BE62" s="15" t="s">
        <v>138</v>
      </c>
      <c r="BF62" s="15" t="s">
        <v>138</v>
      </c>
      <c r="BG62" s="15" t="s">
        <v>138</v>
      </c>
      <c r="BH62" s="15" t="s">
        <v>1594</v>
      </c>
      <c r="BI62" s="15" t="s">
        <v>138</v>
      </c>
      <c r="BJ62" s="15" t="s">
        <v>138</v>
      </c>
      <c r="BK62" s="15" t="s">
        <v>1595</v>
      </c>
      <c r="BL62" s="15" t="s">
        <v>1596</v>
      </c>
      <c r="BM62" s="22">
        <v>38595</v>
      </c>
      <c r="BN62" s="17">
        <v>0.63</v>
      </c>
      <c r="BO62" s="15" t="s">
        <v>172</v>
      </c>
      <c r="BP62" s="17">
        <v>2.66</v>
      </c>
      <c r="BQ62" s="15" t="s">
        <v>172</v>
      </c>
      <c r="BR62" s="15" t="s">
        <v>234</v>
      </c>
      <c r="BS62" s="15" t="s">
        <v>234</v>
      </c>
      <c r="BT62" s="15" t="s">
        <v>138</v>
      </c>
      <c r="BU62" s="15" t="s">
        <v>174</v>
      </c>
      <c r="BV62" s="15" t="s">
        <v>138</v>
      </c>
      <c r="BW62" s="15" t="s">
        <v>138</v>
      </c>
      <c r="BX62" s="15" t="s">
        <v>138</v>
      </c>
      <c r="BY62" s="15" t="s">
        <v>175</v>
      </c>
      <c r="BZ62" s="22">
        <v>42223</v>
      </c>
      <c r="CA62" s="17">
        <v>20.04</v>
      </c>
      <c r="CB62" s="15" t="s">
        <v>172</v>
      </c>
      <c r="CC62" s="17">
        <v>200.04</v>
      </c>
      <c r="CD62" s="15" t="s">
        <v>172</v>
      </c>
      <c r="CE62" s="15" t="s">
        <v>173</v>
      </c>
      <c r="CF62" s="15" t="s">
        <v>433</v>
      </c>
      <c r="CG62" s="15" t="s">
        <v>138</v>
      </c>
      <c r="CH62" s="15" t="s">
        <v>174</v>
      </c>
      <c r="CI62" s="15" t="s">
        <v>138</v>
      </c>
      <c r="CJ62" s="15" t="s">
        <v>138</v>
      </c>
      <c r="CK62" s="15" t="s">
        <v>138</v>
      </c>
      <c r="CL62" s="15" t="s">
        <v>175</v>
      </c>
      <c r="CM62" s="22" t="s">
        <v>138</v>
      </c>
      <c r="CN62" s="17" t="s">
        <v>138</v>
      </c>
      <c r="CO62" s="23">
        <v>-1.34</v>
      </c>
      <c r="CP62" s="24">
        <v>8</v>
      </c>
      <c r="CQ62" s="23">
        <v>0.01</v>
      </c>
      <c r="CR62" s="23">
        <v>0.61</v>
      </c>
      <c r="CS62" s="23">
        <v>-2.83</v>
      </c>
      <c r="CT62" s="24">
        <v>6</v>
      </c>
      <c r="CU62" s="23">
        <v>0.14000000000000001</v>
      </c>
      <c r="CV62" s="24">
        <v>74</v>
      </c>
      <c r="CW62" s="23">
        <v>0.03</v>
      </c>
      <c r="CX62" s="24">
        <v>80</v>
      </c>
      <c r="CY62" s="23">
        <v>-5.69</v>
      </c>
      <c r="CZ62" s="24">
        <v>2</v>
      </c>
      <c r="DA62" s="23">
        <v>0.17</v>
      </c>
      <c r="DB62" s="24">
        <v>80</v>
      </c>
      <c r="DC62" s="25">
        <v>23.02</v>
      </c>
      <c r="DD62" s="24">
        <v>95</v>
      </c>
      <c r="DE62" s="25">
        <v>-0.8</v>
      </c>
      <c r="DF62" s="23">
        <v>-3.34</v>
      </c>
      <c r="DG62" s="25">
        <v>21.94</v>
      </c>
      <c r="DH62" s="24">
        <v>95</v>
      </c>
      <c r="DI62" s="25">
        <v>24.09</v>
      </c>
      <c r="DJ62" s="24">
        <v>92</v>
      </c>
      <c r="DK62" s="25">
        <v>25.6</v>
      </c>
      <c r="DL62" s="24">
        <v>93</v>
      </c>
      <c r="DM62" s="25">
        <v>18.28</v>
      </c>
      <c r="DN62" s="24">
        <v>94</v>
      </c>
      <c r="DO62" s="25">
        <v>24.95</v>
      </c>
      <c r="DP62" s="24">
        <v>94</v>
      </c>
      <c r="DQ62" s="24">
        <v>8719</v>
      </c>
      <c r="DR62" s="26">
        <v>187</v>
      </c>
      <c r="DS62" s="23">
        <v>2.19</v>
      </c>
      <c r="DT62" s="24">
        <v>530</v>
      </c>
      <c r="DU62" s="26">
        <v>0</v>
      </c>
      <c r="DV62" s="23">
        <v>0</v>
      </c>
      <c r="DW62" s="24">
        <v>8925</v>
      </c>
      <c r="DX62" s="27">
        <v>4</v>
      </c>
      <c r="DY62" s="23">
        <v>0.04</v>
      </c>
      <c r="DZ62" s="15" t="s">
        <v>178</v>
      </c>
      <c r="EA62" s="22">
        <v>43622</v>
      </c>
      <c r="EB62" s="17">
        <v>200.04</v>
      </c>
      <c r="EC62" s="22">
        <v>42223</v>
      </c>
      <c r="ED62" s="15" t="s">
        <v>173</v>
      </c>
      <c r="EE62" s="14" t="str">
        <f>HYPERLINK("https://my.pitchbook.com?c=52180-93", "View company online")</f>
        <v>View company online</v>
      </c>
    </row>
    <row r="63" spans="1:135">
      <c r="A63" s="28" t="s">
        <v>1597</v>
      </c>
      <c r="B63" s="28" t="s">
        <v>1598</v>
      </c>
      <c r="C63" s="28" t="s">
        <v>138</v>
      </c>
      <c r="D63" s="28" t="s">
        <v>138</v>
      </c>
      <c r="E63" s="28" t="s">
        <v>1599</v>
      </c>
      <c r="F63" s="28" t="s">
        <v>1597</v>
      </c>
      <c r="G63" s="28" t="s">
        <v>1600</v>
      </c>
      <c r="H63" s="28" t="s">
        <v>322</v>
      </c>
      <c r="I63" s="28" t="s">
        <v>323</v>
      </c>
      <c r="J63" s="28" t="s">
        <v>461</v>
      </c>
      <c r="K63" s="28" t="s">
        <v>1601</v>
      </c>
      <c r="L63" s="28" t="s">
        <v>1602</v>
      </c>
      <c r="M63" s="28" t="s">
        <v>1603</v>
      </c>
      <c r="N63" s="28" t="s">
        <v>147</v>
      </c>
      <c r="O63" s="29">
        <v>10.74</v>
      </c>
      <c r="P63" s="28" t="s">
        <v>148</v>
      </c>
      <c r="Q63" s="28" t="s">
        <v>149</v>
      </c>
      <c r="R63" s="28" t="s">
        <v>174</v>
      </c>
      <c r="S63" s="28" t="s">
        <v>1604</v>
      </c>
      <c r="T63" s="30">
        <v>70</v>
      </c>
      <c r="U63" s="28" t="s">
        <v>1605</v>
      </c>
      <c r="V63" s="28" t="s">
        <v>138</v>
      </c>
      <c r="W63" s="28" t="s">
        <v>138</v>
      </c>
      <c r="X63" s="31">
        <v>2008</v>
      </c>
      <c r="Y63" s="28" t="s">
        <v>138</v>
      </c>
      <c r="Z63" s="28" t="s">
        <v>138</v>
      </c>
      <c r="AA63" s="28" t="s">
        <v>138</v>
      </c>
      <c r="AB63" s="32">
        <v>10.38</v>
      </c>
      <c r="AC63" s="32" t="s">
        <v>138</v>
      </c>
      <c r="AD63" s="32" t="s">
        <v>138</v>
      </c>
      <c r="AE63" s="32" t="s">
        <v>138</v>
      </c>
      <c r="AF63" s="32" t="s">
        <v>138</v>
      </c>
      <c r="AG63" s="28" t="s">
        <v>419</v>
      </c>
      <c r="AH63" s="32" t="s">
        <v>138</v>
      </c>
      <c r="AI63" s="32" t="s">
        <v>138</v>
      </c>
      <c r="AJ63" s="32" t="s">
        <v>138</v>
      </c>
      <c r="AK63" s="28" t="s">
        <v>1606</v>
      </c>
      <c r="AL63" s="28" t="s">
        <v>1607</v>
      </c>
      <c r="AM63" s="28" t="s">
        <v>304</v>
      </c>
      <c r="AN63" s="28" t="s">
        <v>1608</v>
      </c>
      <c r="AO63" s="28" t="s">
        <v>1609</v>
      </c>
      <c r="AP63" s="28" t="s">
        <v>1610</v>
      </c>
      <c r="AQ63" s="28" t="s">
        <v>1611</v>
      </c>
      <c r="AR63" s="28" t="s">
        <v>138</v>
      </c>
      <c r="AS63" s="28" t="s">
        <v>1612</v>
      </c>
      <c r="AT63" s="28" t="s">
        <v>138</v>
      </c>
      <c r="AU63" s="28" t="s">
        <v>1613</v>
      </c>
      <c r="AV63" s="28" t="s">
        <v>1614</v>
      </c>
      <c r="AW63" s="28" t="s">
        <v>1609</v>
      </c>
      <c r="AX63" s="28" t="s">
        <v>138</v>
      </c>
      <c r="AY63" s="28" t="s">
        <v>1615</v>
      </c>
      <c r="AZ63" s="28" t="s">
        <v>530</v>
      </c>
      <c r="BA63" s="28" t="s">
        <v>1616</v>
      </c>
      <c r="BB63" s="28" t="s">
        <v>1617</v>
      </c>
      <c r="BC63" s="28" t="s">
        <v>1618</v>
      </c>
      <c r="BD63" s="33">
        <v>19</v>
      </c>
      <c r="BE63" s="28" t="s">
        <v>138</v>
      </c>
      <c r="BF63" s="28" t="s">
        <v>138</v>
      </c>
      <c r="BG63" s="28" t="s">
        <v>138</v>
      </c>
      <c r="BH63" s="28" t="s">
        <v>1619</v>
      </c>
      <c r="BI63" s="28" t="s">
        <v>138</v>
      </c>
      <c r="BJ63" s="28" t="s">
        <v>138</v>
      </c>
      <c r="BK63" s="28" t="s">
        <v>1620</v>
      </c>
      <c r="BL63" s="28" t="s">
        <v>1621</v>
      </c>
      <c r="BM63" s="34" t="s">
        <v>138</v>
      </c>
      <c r="BN63" s="29" t="s">
        <v>138</v>
      </c>
      <c r="BO63" s="28" t="s">
        <v>138</v>
      </c>
      <c r="BP63" s="29" t="s">
        <v>138</v>
      </c>
      <c r="BQ63" s="28" t="s">
        <v>138</v>
      </c>
      <c r="BR63" s="28" t="s">
        <v>176</v>
      </c>
      <c r="BS63" s="28" t="s">
        <v>138</v>
      </c>
      <c r="BT63" s="28" t="s">
        <v>138</v>
      </c>
      <c r="BU63" s="28" t="s">
        <v>177</v>
      </c>
      <c r="BV63" s="28" t="s">
        <v>138</v>
      </c>
      <c r="BW63" s="28" t="s">
        <v>138</v>
      </c>
      <c r="BX63" s="28" t="s">
        <v>138</v>
      </c>
      <c r="BY63" s="28" t="s">
        <v>175</v>
      </c>
      <c r="BZ63" s="34">
        <v>43220</v>
      </c>
      <c r="CA63" s="29">
        <v>7.0000000000000007E-2</v>
      </c>
      <c r="CB63" s="28" t="s">
        <v>1178</v>
      </c>
      <c r="CC63" s="29" t="s">
        <v>138</v>
      </c>
      <c r="CD63" s="28" t="s">
        <v>138</v>
      </c>
      <c r="CE63" s="28" t="s">
        <v>316</v>
      </c>
      <c r="CF63" s="28" t="s">
        <v>138</v>
      </c>
      <c r="CG63" s="28" t="s">
        <v>138</v>
      </c>
      <c r="CH63" s="28" t="s">
        <v>177</v>
      </c>
      <c r="CI63" s="28" t="s">
        <v>138</v>
      </c>
      <c r="CJ63" s="28" t="s">
        <v>138</v>
      </c>
      <c r="CK63" s="28" t="s">
        <v>138</v>
      </c>
      <c r="CL63" s="28" t="s">
        <v>175</v>
      </c>
      <c r="CM63" s="34" t="s">
        <v>138</v>
      </c>
      <c r="CN63" s="29" t="s">
        <v>138</v>
      </c>
      <c r="CO63" s="35">
        <v>0.26</v>
      </c>
      <c r="CP63" s="36">
        <v>93</v>
      </c>
      <c r="CQ63" s="35">
        <v>0.5</v>
      </c>
      <c r="CR63" s="35">
        <v>207.28</v>
      </c>
      <c r="CS63" s="35">
        <v>-0.51</v>
      </c>
      <c r="CT63" s="36">
        <v>19</v>
      </c>
      <c r="CU63" s="35">
        <v>0.05</v>
      </c>
      <c r="CV63" s="36">
        <v>58</v>
      </c>
      <c r="CW63" s="35" t="s">
        <v>138</v>
      </c>
      <c r="CX63" s="36" t="s">
        <v>138</v>
      </c>
      <c r="CY63" s="35">
        <v>-0.51</v>
      </c>
      <c r="CZ63" s="36">
        <v>22</v>
      </c>
      <c r="DA63" s="35">
        <v>0.05</v>
      </c>
      <c r="DB63" s="36">
        <v>64</v>
      </c>
      <c r="DC63" s="37">
        <v>8.3800000000000008</v>
      </c>
      <c r="DD63" s="36">
        <v>88</v>
      </c>
      <c r="DE63" s="37">
        <v>-3.69</v>
      </c>
      <c r="DF63" s="35">
        <v>-30.58</v>
      </c>
      <c r="DG63" s="37">
        <v>13.34</v>
      </c>
      <c r="DH63" s="36">
        <v>92</v>
      </c>
      <c r="DI63" s="37">
        <v>10.93</v>
      </c>
      <c r="DJ63" s="36">
        <v>86</v>
      </c>
      <c r="DK63" s="37" t="s">
        <v>138</v>
      </c>
      <c r="DL63" s="36" t="s">
        <v>138</v>
      </c>
      <c r="DM63" s="37">
        <v>13.34</v>
      </c>
      <c r="DN63" s="36">
        <v>91</v>
      </c>
      <c r="DO63" s="37">
        <v>10.93</v>
      </c>
      <c r="DP63" s="36">
        <v>88</v>
      </c>
      <c r="DQ63" s="36" t="s">
        <v>138</v>
      </c>
      <c r="DR63" s="38" t="s">
        <v>138</v>
      </c>
      <c r="DS63" s="35" t="s">
        <v>138</v>
      </c>
      <c r="DT63" s="36">
        <v>386</v>
      </c>
      <c r="DU63" s="38">
        <v>1</v>
      </c>
      <c r="DV63" s="35">
        <v>0.26</v>
      </c>
      <c r="DW63" s="36">
        <v>3911</v>
      </c>
      <c r="DX63" s="39">
        <v>4</v>
      </c>
      <c r="DY63" s="35">
        <v>0.1</v>
      </c>
      <c r="DZ63" s="28" t="s">
        <v>178</v>
      </c>
      <c r="EA63" s="34">
        <v>43482</v>
      </c>
      <c r="EB63" s="29" t="s">
        <v>138</v>
      </c>
      <c r="EC63" s="34" t="s">
        <v>138</v>
      </c>
      <c r="ED63" s="28" t="s">
        <v>138</v>
      </c>
      <c r="EE63" s="40" t="str">
        <f>HYPERLINK("https://my.pitchbook.com?c=64454-50", "View company online")</f>
        <v>View company online</v>
      </c>
    </row>
    <row r="64" spans="1:135">
      <c r="A64" s="15" t="s">
        <v>1622</v>
      </c>
      <c r="B64" s="15" t="s">
        <v>1623</v>
      </c>
      <c r="C64" s="15" t="s">
        <v>1624</v>
      </c>
      <c r="D64" s="15" t="s">
        <v>138</v>
      </c>
      <c r="E64" s="15" t="s">
        <v>1625</v>
      </c>
      <c r="F64" s="15" t="s">
        <v>1622</v>
      </c>
      <c r="G64" s="15" t="s">
        <v>1626</v>
      </c>
      <c r="H64" s="15" t="s">
        <v>322</v>
      </c>
      <c r="I64" s="15" t="s">
        <v>323</v>
      </c>
      <c r="J64" s="15" t="s">
        <v>324</v>
      </c>
      <c r="K64" s="15" t="s">
        <v>325</v>
      </c>
      <c r="L64" s="15" t="s">
        <v>215</v>
      </c>
      <c r="M64" s="15" t="s">
        <v>1627</v>
      </c>
      <c r="N64" s="15" t="s">
        <v>147</v>
      </c>
      <c r="O64" s="17">
        <v>39.700000000000003</v>
      </c>
      <c r="P64" s="15" t="s">
        <v>148</v>
      </c>
      <c r="Q64" s="15" t="s">
        <v>149</v>
      </c>
      <c r="R64" s="15" t="s">
        <v>244</v>
      </c>
      <c r="S64" s="15" t="s">
        <v>1628</v>
      </c>
      <c r="T64" s="18">
        <v>35</v>
      </c>
      <c r="U64" s="15" t="s">
        <v>1629</v>
      </c>
      <c r="V64" s="15" t="s">
        <v>138</v>
      </c>
      <c r="W64" s="15" t="s">
        <v>138</v>
      </c>
      <c r="X64" s="19">
        <v>2012</v>
      </c>
      <c r="Y64" s="15" t="s">
        <v>138</v>
      </c>
      <c r="Z64" s="15" t="s">
        <v>138</v>
      </c>
      <c r="AA64" s="15" t="s">
        <v>138</v>
      </c>
      <c r="AB64" s="20" t="s">
        <v>138</v>
      </c>
      <c r="AC64" s="20" t="s">
        <v>138</v>
      </c>
      <c r="AD64" s="20" t="s">
        <v>138</v>
      </c>
      <c r="AE64" s="20" t="s">
        <v>138</v>
      </c>
      <c r="AF64" s="20" t="s">
        <v>138</v>
      </c>
      <c r="AG64" s="15" t="s">
        <v>138</v>
      </c>
      <c r="AH64" s="20" t="s">
        <v>138</v>
      </c>
      <c r="AI64" s="20" t="s">
        <v>138</v>
      </c>
      <c r="AJ64" s="20" t="s">
        <v>138</v>
      </c>
      <c r="AK64" s="15" t="s">
        <v>1630</v>
      </c>
      <c r="AL64" s="15" t="s">
        <v>1631</v>
      </c>
      <c r="AM64" s="15" t="s">
        <v>1632</v>
      </c>
      <c r="AN64" s="15" t="s">
        <v>1633</v>
      </c>
      <c r="AO64" s="15" t="s">
        <v>1634</v>
      </c>
      <c r="AP64" s="15" t="s">
        <v>1635</v>
      </c>
      <c r="AQ64" s="15" t="s">
        <v>1636</v>
      </c>
      <c r="AR64" s="15" t="s">
        <v>1637</v>
      </c>
      <c r="AS64" s="15" t="s">
        <v>1638</v>
      </c>
      <c r="AT64" s="15" t="s">
        <v>200</v>
      </c>
      <c r="AU64" s="15" t="s">
        <v>1639</v>
      </c>
      <c r="AV64" s="15" t="s">
        <v>162</v>
      </c>
      <c r="AW64" s="15" t="s">
        <v>1634</v>
      </c>
      <c r="AX64" s="15" t="s">
        <v>138</v>
      </c>
      <c r="AY64" s="15" t="s">
        <v>138</v>
      </c>
      <c r="AZ64" s="15" t="s">
        <v>164</v>
      </c>
      <c r="BA64" s="15" t="s">
        <v>165</v>
      </c>
      <c r="BB64" s="15" t="s">
        <v>1640</v>
      </c>
      <c r="BC64" s="15" t="s">
        <v>1641</v>
      </c>
      <c r="BD64" s="21">
        <v>15</v>
      </c>
      <c r="BE64" s="15" t="s">
        <v>138</v>
      </c>
      <c r="BF64" s="15" t="s">
        <v>138</v>
      </c>
      <c r="BG64" s="15" t="s">
        <v>138</v>
      </c>
      <c r="BH64" s="15" t="s">
        <v>1642</v>
      </c>
      <c r="BI64" s="15" t="s">
        <v>138</v>
      </c>
      <c r="BJ64" s="15" t="s">
        <v>138</v>
      </c>
      <c r="BK64" s="15" t="s">
        <v>1643</v>
      </c>
      <c r="BL64" s="15" t="s">
        <v>1643</v>
      </c>
      <c r="BM64" s="22">
        <v>41135</v>
      </c>
      <c r="BN64" s="17">
        <v>1.9</v>
      </c>
      <c r="BO64" s="15" t="s">
        <v>172</v>
      </c>
      <c r="BP64" s="17" t="s">
        <v>138</v>
      </c>
      <c r="BQ64" s="15" t="s">
        <v>138</v>
      </c>
      <c r="BR64" s="15" t="s">
        <v>1644</v>
      </c>
      <c r="BS64" s="15" t="s">
        <v>138</v>
      </c>
      <c r="BT64" s="15" t="s">
        <v>138</v>
      </c>
      <c r="BU64" s="15" t="s">
        <v>1327</v>
      </c>
      <c r="BV64" s="15" t="s">
        <v>1644</v>
      </c>
      <c r="BW64" s="15" t="s">
        <v>138</v>
      </c>
      <c r="BX64" s="15" t="s">
        <v>138</v>
      </c>
      <c r="BY64" s="15" t="s">
        <v>175</v>
      </c>
      <c r="BZ64" s="22">
        <v>43306</v>
      </c>
      <c r="CA64" s="17">
        <v>7</v>
      </c>
      <c r="CB64" s="15" t="s">
        <v>172</v>
      </c>
      <c r="CC64" s="17" t="s">
        <v>138</v>
      </c>
      <c r="CD64" s="15" t="s">
        <v>138</v>
      </c>
      <c r="CE64" s="15" t="s">
        <v>173</v>
      </c>
      <c r="CF64" s="15" t="s">
        <v>138</v>
      </c>
      <c r="CG64" s="15" t="s">
        <v>138</v>
      </c>
      <c r="CH64" s="15" t="s">
        <v>174</v>
      </c>
      <c r="CI64" s="15" t="s">
        <v>264</v>
      </c>
      <c r="CJ64" s="15" t="s">
        <v>138</v>
      </c>
      <c r="CK64" s="15" t="s">
        <v>138</v>
      </c>
      <c r="CL64" s="15" t="s">
        <v>175</v>
      </c>
      <c r="CM64" s="22" t="s">
        <v>138</v>
      </c>
      <c r="CN64" s="17" t="s">
        <v>138</v>
      </c>
      <c r="CO64" s="23">
        <v>1.23</v>
      </c>
      <c r="CP64" s="24">
        <v>98</v>
      </c>
      <c r="CQ64" s="23">
        <v>0</v>
      </c>
      <c r="CR64" s="23">
        <v>-0.08</v>
      </c>
      <c r="CS64" s="23">
        <v>2.3199999999999998</v>
      </c>
      <c r="CT64" s="24">
        <v>99</v>
      </c>
      <c r="CU64" s="23">
        <v>0.15</v>
      </c>
      <c r="CV64" s="24">
        <v>75</v>
      </c>
      <c r="CW64" s="23">
        <v>6.07</v>
      </c>
      <c r="CX64" s="24">
        <v>97</v>
      </c>
      <c r="CY64" s="23">
        <v>-1.43</v>
      </c>
      <c r="CZ64" s="24">
        <v>15</v>
      </c>
      <c r="DA64" s="23">
        <v>0</v>
      </c>
      <c r="DB64" s="24">
        <v>22</v>
      </c>
      <c r="DC64" s="25">
        <v>9.06</v>
      </c>
      <c r="DD64" s="24">
        <v>89</v>
      </c>
      <c r="DE64" s="25">
        <v>-0.42</v>
      </c>
      <c r="DF64" s="23">
        <v>-4.3899999999999997</v>
      </c>
      <c r="DG64" s="25">
        <v>15.45</v>
      </c>
      <c r="DH64" s="24">
        <v>93</v>
      </c>
      <c r="DI64" s="25">
        <v>2.66</v>
      </c>
      <c r="DJ64" s="24">
        <v>67</v>
      </c>
      <c r="DK64" s="25">
        <v>14.04</v>
      </c>
      <c r="DL64" s="24">
        <v>89</v>
      </c>
      <c r="DM64" s="25">
        <v>16.86</v>
      </c>
      <c r="DN64" s="24">
        <v>93</v>
      </c>
      <c r="DO64" s="25">
        <v>5.19</v>
      </c>
      <c r="DP64" s="24">
        <v>80</v>
      </c>
      <c r="DQ64" s="24">
        <v>4714</v>
      </c>
      <c r="DR64" s="26">
        <v>309</v>
      </c>
      <c r="DS64" s="23">
        <v>7.01</v>
      </c>
      <c r="DT64" s="24">
        <v>487</v>
      </c>
      <c r="DU64" s="26">
        <v>3</v>
      </c>
      <c r="DV64" s="23">
        <v>0.62</v>
      </c>
      <c r="DW64" s="24">
        <v>1856</v>
      </c>
      <c r="DX64" s="27">
        <v>2</v>
      </c>
      <c r="DY64" s="23">
        <v>0.11</v>
      </c>
      <c r="DZ64" s="15" t="s">
        <v>178</v>
      </c>
      <c r="EA64" s="22">
        <v>43426</v>
      </c>
      <c r="EB64" s="17">
        <v>46.37</v>
      </c>
      <c r="EC64" s="22">
        <v>43123</v>
      </c>
      <c r="ED64" s="15" t="s">
        <v>173</v>
      </c>
      <c r="EE64" s="14" t="str">
        <f>HYPERLINK("https://my.pitchbook.com?c=56145-88", "View company online")</f>
        <v>View company online</v>
      </c>
    </row>
    <row r="65" spans="1:135">
      <c r="A65" s="28" t="s">
        <v>1645</v>
      </c>
      <c r="B65" s="28" t="s">
        <v>1646</v>
      </c>
      <c r="C65" s="28" t="s">
        <v>138</v>
      </c>
      <c r="D65" s="28" t="s">
        <v>138</v>
      </c>
      <c r="E65" s="28" t="s">
        <v>1647</v>
      </c>
      <c r="F65" s="28" t="s">
        <v>1645</v>
      </c>
      <c r="G65" s="28" t="s">
        <v>1648</v>
      </c>
      <c r="H65" s="28" t="s">
        <v>322</v>
      </c>
      <c r="I65" s="28" t="s">
        <v>323</v>
      </c>
      <c r="J65" s="28" t="s">
        <v>324</v>
      </c>
      <c r="K65" s="28" t="s">
        <v>1649</v>
      </c>
      <c r="L65" s="28" t="s">
        <v>1650</v>
      </c>
      <c r="M65" s="28" t="s">
        <v>1651</v>
      </c>
      <c r="N65" s="28" t="s">
        <v>1452</v>
      </c>
      <c r="O65" s="29">
        <v>41.94</v>
      </c>
      <c r="P65" s="28" t="s">
        <v>812</v>
      </c>
      <c r="Q65" s="28" t="s">
        <v>149</v>
      </c>
      <c r="R65" s="28" t="s">
        <v>1652</v>
      </c>
      <c r="S65" s="28" t="s">
        <v>1653</v>
      </c>
      <c r="T65" s="30">
        <v>600</v>
      </c>
      <c r="U65" s="28" t="s">
        <v>1654</v>
      </c>
      <c r="V65" s="28" t="s">
        <v>138</v>
      </c>
      <c r="W65" s="28" t="s">
        <v>138</v>
      </c>
      <c r="X65" s="31">
        <v>1999</v>
      </c>
      <c r="Y65" s="28" t="s">
        <v>138</v>
      </c>
      <c r="Z65" s="28" t="s">
        <v>138</v>
      </c>
      <c r="AA65" s="28" t="s">
        <v>138</v>
      </c>
      <c r="AB65" s="32">
        <v>60.86</v>
      </c>
      <c r="AC65" s="32" t="s">
        <v>138</v>
      </c>
      <c r="AD65" s="32" t="s">
        <v>138</v>
      </c>
      <c r="AE65" s="32" t="s">
        <v>138</v>
      </c>
      <c r="AF65" s="32" t="s">
        <v>138</v>
      </c>
      <c r="AG65" s="28" t="s">
        <v>563</v>
      </c>
      <c r="AH65" s="32" t="s">
        <v>138</v>
      </c>
      <c r="AI65" s="32" t="s">
        <v>138</v>
      </c>
      <c r="AJ65" s="32" t="s">
        <v>138</v>
      </c>
      <c r="AK65" s="28" t="s">
        <v>1655</v>
      </c>
      <c r="AL65" s="28" t="s">
        <v>1656</v>
      </c>
      <c r="AM65" s="28" t="s">
        <v>249</v>
      </c>
      <c r="AN65" s="28" t="s">
        <v>1657</v>
      </c>
      <c r="AO65" s="28" t="s">
        <v>1658</v>
      </c>
      <c r="AP65" s="28" t="s">
        <v>1659</v>
      </c>
      <c r="AQ65" s="28" t="s">
        <v>1660</v>
      </c>
      <c r="AR65" s="28" t="s">
        <v>138</v>
      </c>
      <c r="AS65" s="28" t="s">
        <v>1661</v>
      </c>
      <c r="AT65" s="28" t="s">
        <v>1389</v>
      </c>
      <c r="AU65" s="28" t="s">
        <v>1662</v>
      </c>
      <c r="AV65" s="28" t="s">
        <v>162</v>
      </c>
      <c r="AW65" s="28" t="s">
        <v>1663</v>
      </c>
      <c r="AX65" s="28" t="s">
        <v>1664</v>
      </c>
      <c r="AY65" s="28" t="s">
        <v>1665</v>
      </c>
      <c r="AZ65" s="28" t="s">
        <v>164</v>
      </c>
      <c r="BA65" s="28" t="s">
        <v>165</v>
      </c>
      <c r="BB65" s="28" t="s">
        <v>1666</v>
      </c>
      <c r="BC65" s="28" t="s">
        <v>1667</v>
      </c>
      <c r="BD65" s="33">
        <v>3</v>
      </c>
      <c r="BE65" s="28" t="s">
        <v>138</v>
      </c>
      <c r="BF65" s="28" t="s">
        <v>1668</v>
      </c>
      <c r="BG65" s="28" t="s">
        <v>138</v>
      </c>
      <c r="BH65" s="28" t="s">
        <v>1669</v>
      </c>
      <c r="BI65" s="28" t="s">
        <v>1670</v>
      </c>
      <c r="BJ65" s="28" t="s">
        <v>138</v>
      </c>
      <c r="BK65" s="28" t="s">
        <v>1671</v>
      </c>
      <c r="BL65" s="28" t="s">
        <v>1672</v>
      </c>
      <c r="BM65" s="34">
        <v>39469</v>
      </c>
      <c r="BN65" s="29">
        <v>5.5</v>
      </c>
      <c r="BO65" s="28" t="s">
        <v>172</v>
      </c>
      <c r="BP65" s="29" t="s">
        <v>138</v>
      </c>
      <c r="BQ65" s="28" t="s">
        <v>138</v>
      </c>
      <c r="BR65" s="28" t="s">
        <v>173</v>
      </c>
      <c r="BS65" s="28" t="s">
        <v>138</v>
      </c>
      <c r="BT65" s="28" t="s">
        <v>138</v>
      </c>
      <c r="BU65" s="28" t="s">
        <v>174</v>
      </c>
      <c r="BV65" s="28" t="s">
        <v>138</v>
      </c>
      <c r="BW65" s="28" t="s">
        <v>138</v>
      </c>
      <c r="BX65" s="28" t="s">
        <v>138</v>
      </c>
      <c r="BY65" s="28" t="s">
        <v>175</v>
      </c>
      <c r="BZ65" s="34">
        <v>43290</v>
      </c>
      <c r="CA65" s="29">
        <v>36.9</v>
      </c>
      <c r="CB65" s="28" t="s">
        <v>172</v>
      </c>
      <c r="CC65" s="29" t="s">
        <v>138</v>
      </c>
      <c r="CD65" s="28" t="s">
        <v>138</v>
      </c>
      <c r="CE65" s="28" t="s">
        <v>1673</v>
      </c>
      <c r="CF65" s="28" t="s">
        <v>138</v>
      </c>
      <c r="CG65" s="28" t="s">
        <v>138</v>
      </c>
      <c r="CH65" s="28" t="s">
        <v>351</v>
      </c>
      <c r="CI65" s="28" t="s">
        <v>138</v>
      </c>
      <c r="CJ65" s="28" t="s">
        <v>138</v>
      </c>
      <c r="CK65" s="28" t="s">
        <v>138</v>
      </c>
      <c r="CL65" s="28" t="s">
        <v>175</v>
      </c>
      <c r="CM65" s="34">
        <v>42643</v>
      </c>
      <c r="CN65" s="29">
        <v>5.04</v>
      </c>
      <c r="CO65" s="35">
        <v>-2.1</v>
      </c>
      <c r="CP65" s="36">
        <v>5</v>
      </c>
      <c r="CQ65" s="35">
        <v>-0.06</v>
      </c>
      <c r="CR65" s="35">
        <v>-2.79</v>
      </c>
      <c r="CS65" s="35">
        <v>-4.3</v>
      </c>
      <c r="CT65" s="36">
        <v>3</v>
      </c>
      <c r="CU65" s="35">
        <v>0.11</v>
      </c>
      <c r="CV65" s="36">
        <v>70</v>
      </c>
      <c r="CW65" s="35">
        <v>-4.7</v>
      </c>
      <c r="CX65" s="36">
        <v>3</v>
      </c>
      <c r="CY65" s="35">
        <v>-3.9</v>
      </c>
      <c r="CZ65" s="36">
        <v>5</v>
      </c>
      <c r="DA65" s="35">
        <v>0.12</v>
      </c>
      <c r="DB65" s="36">
        <v>75</v>
      </c>
      <c r="DC65" s="37">
        <v>11.47</v>
      </c>
      <c r="DD65" s="36">
        <v>91</v>
      </c>
      <c r="DE65" s="37">
        <v>-0.36</v>
      </c>
      <c r="DF65" s="35">
        <v>-3.06</v>
      </c>
      <c r="DG65" s="37">
        <v>18.82</v>
      </c>
      <c r="DH65" s="36">
        <v>94</v>
      </c>
      <c r="DI65" s="37">
        <v>4.13</v>
      </c>
      <c r="DJ65" s="36">
        <v>75</v>
      </c>
      <c r="DK65" s="37">
        <v>8.36</v>
      </c>
      <c r="DL65" s="36">
        <v>85</v>
      </c>
      <c r="DM65" s="37">
        <v>29.28</v>
      </c>
      <c r="DN65" s="36">
        <v>96</v>
      </c>
      <c r="DO65" s="37">
        <v>6.36</v>
      </c>
      <c r="DP65" s="36">
        <v>82</v>
      </c>
      <c r="DQ65" s="36">
        <v>2872</v>
      </c>
      <c r="DR65" s="38">
        <v>-16</v>
      </c>
      <c r="DS65" s="35">
        <v>-0.55000000000000004</v>
      </c>
      <c r="DT65" s="36">
        <v>854</v>
      </c>
      <c r="DU65" s="38">
        <v>-8</v>
      </c>
      <c r="DV65" s="35">
        <v>-0.93</v>
      </c>
      <c r="DW65" s="36">
        <v>2275</v>
      </c>
      <c r="DX65" s="39">
        <v>3</v>
      </c>
      <c r="DY65" s="35">
        <v>0.13</v>
      </c>
      <c r="DZ65" s="28" t="s">
        <v>178</v>
      </c>
      <c r="EA65" s="34">
        <v>43622</v>
      </c>
      <c r="EB65" s="29" t="s">
        <v>138</v>
      </c>
      <c r="EC65" s="34" t="s">
        <v>138</v>
      </c>
      <c r="ED65" s="28" t="s">
        <v>138</v>
      </c>
      <c r="EE65" s="40" t="str">
        <f>HYPERLINK("https://my.pitchbook.com?c=53422-57", "View company online")</f>
        <v>View company online</v>
      </c>
    </row>
    <row r="66" spans="1:135">
      <c r="A66" s="15" t="s">
        <v>1674</v>
      </c>
      <c r="B66" s="15" t="s">
        <v>1675</v>
      </c>
      <c r="C66" s="15" t="s">
        <v>138</v>
      </c>
      <c r="D66" s="15" t="s">
        <v>138</v>
      </c>
      <c r="E66" s="15" t="s">
        <v>1676</v>
      </c>
      <c r="F66" s="15" t="s">
        <v>1674</v>
      </c>
      <c r="G66" s="15" t="s">
        <v>1677</v>
      </c>
      <c r="H66" s="15" t="s">
        <v>322</v>
      </c>
      <c r="I66" s="15" t="s">
        <v>323</v>
      </c>
      <c r="J66" s="15" t="s">
        <v>324</v>
      </c>
      <c r="K66" s="15" t="s">
        <v>1678</v>
      </c>
      <c r="L66" s="15" t="s">
        <v>215</v>
      </c>
      <c r="M66" s="15" t="s">
        <v>1679</v>
      </c>
      <c r="N66" s="15" t="s">
        <v>147</v>
      </c>
      <c r="O66" s="17">
        <v>35.049999999999997</v>
      </c>
      <c r="P66" s="15" t="s">
        <v>148</v>
      </c>
      <c r="Q66" s="15" t="s">
        <v>149</v>
      </c>
      <c r="R66" s="15" t="s">
        <v>174</v>
      </c>
      <c r="S66" s="15" t="s">
        <v>1680</v>
      </c>
      <c r="T66" s="18">
        <v>23</v>
      </c>
      <c r="U66" s="15" t="s">
        <v>1681</v>
      </c>
      <c r="V66" s="15" t="s">
        <v>138</v>
      </c>
      <c r="W66" s="15" t="s">
        <v>138</v>
      </c>
      <c r="X66" s="19">
        <v>2013</v>
      </c>
      <c r="Y66" s="15" t="s">
        <v>138</v>
      </c>
      <c r="Z66" s="15" t="s">
        <v>138</v>
      </c>
      <c r="AA66" s="15" t="s">
        <v>138</v>
      </c>
      <c r="AB66" s="20" t="s">
        <v>138</v>
      </c>
      <c r="AC66" s="20" t="s">
        <v>138</v>
      </c>
      <c r="AD66" s="20" t="s">
        <v>138</v>
      </c>
      <c r="AE66" s="20" t="s">
        <v>138</v>
      </c>
      <c r="AF66" s="20" t="s">
        <v>138</v>
      </c>
      <c r="AG66" s="15" t="s">
        <v>138</v>
      </c>
      <c r="AH66" s="20" t="s">
        <v>138</v>
      </c>
      <c r="AI66" s="20" t="s">
        <v>138</v>
      </c>
      <c r="AJ66" s="20" t="s">
        <v>138</v>
      </c>
      <c r="AK66" s="15" t="s">
        <v>1682</v>
      </c>
      <c r="AL66" s="15" t="s">
        <v>1683</v>
      </c>
      <c r="AM66" s="15" t="s">
        <v>221</v>
      </c>
      <c r="AN66" s="15" t="s">
        <v>1684</v>
      </c>
      <c r="AO66" s="15" t="s">
        <v>1685</v>
      </c>
      <c r="AP66" s="15" t="s">
        <v>307</v>
      </c>
      <c r="AQ66" s="15" t="s">
        <v>1686</v>
      </c>
      <c r="AR66" s="15" t="s">
        <v>158</v>
      </c>
      <c r="AS66" s="15" t="s">
        <v>310</v>
      </c>
      <c r="AT66" s="15" t="s">
        <v>200</v>
      </c>
      <c r="AU66" s="15" t="s">
        <v>798</v>
      </c>
      <c r="AV66" s="15" t="s">
        <v>162</v>
      </c>
      <c r="AW66" s="15" t="s">
        <v>1687</v>
      </c>
      <c r="AX66" s="15" t="s">
        <v>138</v>
      </c>
      <c r="AY66" s="15" t="s">
        <v>138</v>
      </c>
      <c r="AZ66" s="15" t="s">
        <v>164</v>
      </c>
      <c r="BA66" s="15" t="s">
        <v>165</v>
      </c>
      <c r="BB66" s="15" t="s">
        <v>1688</v>
      </c>
      <c r="BC66" s="15" t="s">
        <v>1689</v>
      </c>
      <c r="BD66" s="21">
        <v>10</v>
      </c>
      <c r="BE66" s="15" t="s">
        <v>138</v>
      </c>
      <c r="BF66" s="15" t="s">
        <v>138</v>
      </c>
      <c r="BG66" s="15" t="s">
        <v>138</v>
      </c>
      <c r="BH66" s="15" t="s">
        <v>1690</v>
      </c>
      <c r="BI66" s="15" t="s">
        <v>138</v>
      </c>
      <c r="BJ66" s="15" t="s">
        <v>138</v>
      </c>
      <c r="BK66" s="15" t="s">
        <v>1691</v>
      </c>
      <c r="BL66" s="15" t="s">
        <v>1692</v>
      </c>
      <c r="BM66" s="22">
        <v>41695</v>
      </c>
      <c r="BN66" s="17">
        <v>2.75</v>
      </c>
      <c r="BO66" s="15" t="s">
        <v>172</v>
      </c>
      <c r="BP66" s="17">
        <v>5.75</v>
      </c>
      <c r="BQ66" s="15" t="s">
        <v>172</v>
      </c>
      <c r="BR66" s="15" t="s">
        <v>205</v>
      </c>
      <c r="BS66" s="15" t="s">
        <v>206</v>
      </c>
      <c r="BT66" s="15" t="s">
        <v>138</v>
      </c>
      <c r="BU66" s="15" t="s">
        <v>174</v>
      </c>
      <c r="BV66" s="15" t="s">
        <v>138</v>
      </c>
      <c r="BW66" s="15" t="s">
        <v>138</v>
      </c>
      <c r="BX66" s="15" t="s">
        <v>138</v>
      </c>
      <c r="BY66" s="15" t="s">
        <v>175</v>
      </c>
      <c r="BZ66" s="22">
        <v>43544</v>
      </c>
      <c r="CA66" s="17">
        <v>23</v>
      </c>
      <c r="CB66" s="15" t="s">
        <v>172</v>
      </c>
      <c r="CC66" s="17">
        <v>115</v>
      </c>
      <c r="CD66" s="15" t="s">
        <v>172</v>
      </c>
      <c r="CE66" s="15" t="s">
        <v>173</v>
      </c>
      <c r="CF66" s="15" t="s">
        <v>720</v>
      </c>
      <c r="CG66" s="15" t="s">
        <v>138</v>
      </c>
      <c r="CH66" s="15" t="s">
        <v>174</v>
      </c>
      <c r="CI66" s="15" t="s">
        <v>138</v>
      </c>
      <c r="CJ66" s="15" t="s">
        <v>138</v>
      </c>
      <c r="CK66" s="15" t="s">
        <v>138</v>
      </c>
      <c r="CL66" s="15" t="s">
        <v>175</v>
      </c>
      <c r="CM66" s="22" t="s">
        <v>138</v>
      </c>
      <c r="CN66" s="17" t="s">
        <v>138</v>
      </c>
      <c r="CO66" s="23">
        <v>0.41</v>
      </c>
      <c r="CP66" s="24">
        <v>95</v>
      </c>
      <c r="CQ66" s="23">
        <v>0.01</v>
      </c>
      <c r="CR66" s="23">
        <v>2.86</v>
      </c>
      <c r="CS66" s="23">
        <v>0.64</v>
      </c>
      <c r="CT66" s="24">
        <v>96</v>
      </c>
      <c r="CU66" s="23">
        <v>-0.06</v>
      </c>
      <c r="CV66" s="24">
        <v>8</v>
      </c>
      <c r="CW66" s="23">
        <v>1.85</v>
      </c>
      <c r="CX66" s="24">
        <v>88</v>
      </c>
      <c r="CY66" s="23">
        <v>-0.56999999999999995</v>
      </c>
      <c r="CZ66" s="24">
        <v>22</v>
      </c>
      <c r="DA66" s="23">
        <v>-0.08</v>
      </c>
      <c r="DB66" s="24">
        <v>8</v>
      </c>
      <c r="DC66" s="25">
        <v>7.18</v>
      </c>
      <c r="DD66" s="24">
        <v>87</v>
      </c>
      <c r="DE66" s="25">
        <v>-0.13</v>
      </c>
      <c r="DF66" s="23">
        <v>-1.75</v>
      </c>
      <c r="DG66" s="25">
        <v>10.62</v>
      </c>
      <c r="DH66" s="24">
        <v>90</v>
      </c>
      <c r="DI66" s="25">
        <v>10.27</v>
      </c>
      <c r="DJ66" s="24">
        <v>85</v>
      </c>
      <c r="DK66" s="25">
        <v>6.32</v>
      </c>
      <c r="DL66" s="24">
        <v>82</v>
      </c>
      <c r="DM66" s="25">
        <v>14.93</v>
      </c>
      <c r="DN66" s="24">
        <v>92</v>
      </c>
      <c r="DO66" s="25">
        <v>5.47</v>
      </c>
      <c r="DP66" s="24">
        <v>80</v>
      </c>
      <c r="DQ66" s="24">
        <v>2189</v>
      </c>
      <c r="DR66" s="26">
        <v>-65</v>
      </c>
      <c r="DS66" s="23">
        <v>-2.88</v>
      </c>
      <c r="DT66" s="24">
        <v>433</v>
      </c>
      <c r="DU66" s="26">
        <v>0</v>
      </c>
      <c r="DV66" s="23">
        <v>0</v>
      </c>
      <c r="DW66" s="24">
        <v>1960</v>
      </c>
      <c r="DX66" s="27">
        <v>5</v>
      </c>
      <c r="DY66" s="23">
        <v>0.26</v>
      </c>
      <c r="DZ66" s="15" t="s">
        <v>178</v>
      </c>
      <c r="EA66" s="22">
        <v>43591</v>
      </c>
      <c r="EB66" s="17">
        <v>115</v>
      </c>
      <c r="EC66" s="22">
        <v>43544</v>
      </c>
      <c r="ED66" s="15" t="s">
        <v>173</v>
      </c>
      <c r="EE66" s="14" t="str">
        <f>HYPERLINK("https://my.pitchbook.com?c=61664-77", "View company online")</f>
        <v>View company online</v>
      </c>
    </row>
    <row r="67" spans="1:135">
      <c r="A67" s="28" t="s">
        <v>1693</v>
      </c>
      <c r="B67" s="28" t="s">
        <v>1694</v>
      </c>
      <c r="C67" s="28" t="s">
        <v>138</v>
      </c>
      <c r="D67" s="28" t="s">
        <v>138</v>
      </c>
      <c r="E67" s="28" t="s">
        <v>1695</v>
      </c>
      <c r="F67" s="28" t="s">
        <v>1693</v>
      </c>
      <c r="G67" s="28" t="s">
        <v>1696</v>
      </c>
      <c r="H67" s="28" t="s">
        <v>322</v>
      </c>
      <c r="I67" s="28" t="s">
        <v>323</v>
      </c>
      <c r="J67" s="28" t="s">
        <v>1184</v>
      </c>
      <c r="K67" s="28" t="s">
        <v>1697</v>
      </c>
      <c r="L67" s="28" t="s">
        <v>215</v>
      </c>
      <c r="M67" s="28" t="s">
        <v>1698</v>
      </c>
      <c r="N67" s="28" t="s">
        <v>147</v>
      </c>
      <c r="O67" s="29">
        <v>41.2</v>
      </c>
      <c r="P67" s="28" t="s">
        <v>148</v>
      </c>
      <c r="Q67" s="28" t="s">
        <v>149</v>
      </c>
      <c r="R67" s="28" t="s">
        <v>174</v>
      </c>
      <c r="S67" s="28" t="s">
        <v>1699</v>
      </c>
      <c r="T67" s="30" t="s">
        <v>138</v>
      </c>
      <c r="U67" s="28" t="s">
        <v>138</v>
      </c>
      <c r="V67" s="28" t="s">
        <v>138</v>
      </c>
      <c r="W67" s="28" t="s">
        <v>138</v>
      </c>
      <c r="X67" s="31">
        <v>2013</v>
      </c>
      <c r="Y67" s="28" t="s">
        <v>138</v>
      </c>
      <c r="Z67" s="28" t="s">
        <v>138</v>
      </c>
      <c r="AA67" s="28" t="s">
        <v>138</v>
      </c>
      <c r="AB67" s="32" t="s">
        <v>138</v>
      </c>
      <c r="AC67" s="32" t="s">
        <v>138</v>
      </c>
      <c r="AD67" s="32" t="s">
        <v>138</v>
      </c>
      <c r="AE67" s="32" t="s">
        <v>138</v>
      </c>
      <c r="AF67" s="32" t="s">
        <v>138</v>
      </c>
      <c r="AG67" s="28" t="s">
        <v>138</v>
      </c>
      <c r="AH67" s="32" t="s">
        <v>138</v>
      </c>
      <c r="AI67" s="32" t="s">
        <v>138</v>
      </c>
      <c r="AJ67" s="32" t="s">
        <v>138</v>
      </c>
      <c r="AK67" s="28" t="s">
        <v>1700</v>
      </c>
      <c r="AL67" s="28" t="s">
        <v>1701</v>
      </c>
      <c r="AM67" s="28" t="s">
        <v>249</v>
      </c>
      <c r="AN67" s="28" t="s">
        <v>1702</v>
      </c>
      <c r="AO67" s="28" t="s">
        <v>1703</v>
      </c>
      <c r="AP67" s="28" t="s">
        <v>1635</v>
      </c>
      <c r="AQ67" s="28" t="s">
        <v>1704</v>
      </c>
      <c r="AR67" s="28" t="s">
        <v>1705</v>
      </c>
      <c r="AS67" s="28" t="s">
        <v>1638</v>
      </c>
      <c r="AT67" s="28" t="s">
        <v>200</v>
      </c>
      <c r="AU67" s="28" t="s">
        <v>1639</v>
      </c>
      <c r="AV67" s="28" t="s">
        <v>162</v>
      </c>
      <c r="AW67" s="28" t="s">
        <v>1703</v>
      </c>
      <c r="AX67" s="28" t="s">
        <v>138</v>
      </c>
      <c r="AY67" s="28" t="s">
        <v>1706</v>
      </c>
      <c r="AZ67" s="28" t="s">
        <v>164</v>
      </c>
      <c r="BA67" s="28" t="s">
        <v>165</v>
      </c>
      <c r="BB67" s="28" t="s">
        <v>1707</v>
      </c>
      <c r="BC67" s="28" t="s">
        <v>1708</v>
      </c>
      <c r="BD67" s="33">
        <v>8</v>
      </c>
      <c r="BE67" s="28" t="s">
        <v>138</v>
      </c>
      <c r="BF67" s="28" t="s">
        <v>138</v>
      </c>
      <c r="BG67" s="28" t="s">
        <v>138</v>
      </c>
      <c r="BH67" s="28" t="s">
        <v>1709</v>
      </c>
      <c r="BI67" s="28" t="s">
        <v>138</v>
      </c>
      <c r="BJ67" s="28" t="s">
        <v>138</v>
      </c>
      <c r="BK67" s="28" t="s">
        <v>138</v>
      </c>
      <c r="BL67" s="28" t="s">
        <v>1710</v>
      </c>
      <c r="BM67" s="34">
        <v>42353</v>
      </c>
      <c r="BN67" s="29">
        <v>6.2</v>
      </c>
      <c r="BO67" s="28" t="s">
        <v>172</v>
      </c>
      <c r="BP67" s="29">
        <v>21</v>
      </c>
      <c r="BQ67" s="28" t="s">
        <v>172</v>
      </c>
      <c r="BR67" s="28" t="s">
        <v>234</v>
      </c>
      <c r="BS67" s="28" t="s">
        <v>234</v>
      </c>
      <c r="BT67" s="28" t="s">
        <v>138</v>
      </c>
      <c r="BU67" s="28" t="s">
        <v>174</v>
      </c>
      <c r="BV67" s="28" t="s">
        <v>138</v>
      </c>
      <c r="BW67" s="28" t="s">
        <v>138</v>
      </c>
      <c r="BX67" s="28" t="s">
        <v>138</v>
      </c>
      <c r="BY67" s="28" t="s">
        <v>175</v>
      </c>
      <c r="BZ67" s="34">
        <v>43439</v>
      </c>
      <c r="CA67" s="29">
        <v>25</v>
      </c>
      <c r="CB67" s="28" t="s">
        <v>172</v>
      </c>
      <c r="CC67" s="29">
        <v>145</v>
      </c>
      <c r="CD67" s="28" t="s">
        <v>172</v>
      </c>
      <c r="CE67" s="28" t="s">
        <v>205</v>
      </c>
      <c r="CF67" s="28" t="s">
        <v>720</v>
      </c>
      <c r="CG67" s="28" t="s">
        <v>138</v>
      </c>
      <c r="CH67" s="28" t="s">
        <v>174</v>
      </c>
      <c r="CI67" s="28" t="s">
        <v>138</v>
      </c>
      <c r="CJ67" s="28" t="s">
        <v>138</v>
      </c>
      <c r="CK67" s="28" t="s">
        <v>138</v>
      </c>
      <c r="CL67" s="28" t="s">
        <v>175</v>
      </c>
      <c r="CM67" s="34" t="s">
        <v>138</v>
      </c>
      <c r="CN67" s="29" t="s">
        <v>138</v>
      </c>
      <c r="CO67" s="35">
        <v>-0.02</v>
      </c>
      <c r="CP67" s="36">
        <v>24</v>
      </c>
      <c r="CQ67" s="35">
        <v>-0.14000000000000001</v>
      </c>
      <c r="CR67" s="35">
        <v>-113.85</v>
      </c>
      <c r="CS67" s="35">
        <v>-0.2</v>
      </c>
      <c r="CT67" s="36">
        <v>22</v>
      </c>
      <c r="CU67" s="35">
        <v>0.16</v>
      </c>
      <c r="CV67" s="36">
        <v>76</v>
      </c>
      <c r="CW67" s="35">
        <v>0.05</v>
      </c>
      <c r="CX67" s="36">
        <v>80</v>
      </c>
      <c r="CY67" s="35">
        <v>-0.45</v>
      </c>
      <c r="CZ67" s="36">
        <v>22</v>
      </c>
      <c r="DA67" s="35">
        <v>0.16</v>
      </c>
      <c r="DB67" s="36">
        <v>79</v>
      </c>
      <c r="DC67" s="37">
        <v>19.29</v>
      </c>
      <c r="DD67" s="36">
        <v>94</v>
      </c>
      <c r="DE67" s="37">
        <v>-1.64</v>
      </c>
      <c r="DF67" s="35">
        <v>-7.83</v>
      </c>
      <c r="DG67" s="37">
        <v>34.29</v>
      </c>
      <c r="DH67" s="36">
        <v>97</v>
      </c>
      <c r="DI67" s="37">
        <v>4.28</v>
      </c>
      <c r="DJ67" s="36">
        <v>75</v>
      </c>
      <c r="DK67" s="37">
        <v>44.24</v>
      </c>
      <c r="DL67" s="36">
        <v>95</v>
      </c>
      <c r="DM67" s="37">
        <v>24.34</v>
      </c>
      <c r="DN67" s="36">
        <v>95</v>
      </c>
      <c r="DO67" s="37">
        <v>4.28</v>
      </c>
      <c r="DP67" s="36">
        <v>77</v>
      </c>
      <c r="DQ67" s="36">
        <v>15088</v>
      </c>
      <c r="DR67" s="38">
        <v>255</v>
      </c>
      <c r="DS67" s="35">
        <v>1.72</v>
      </c>
      <c r="DT67" s="36">
        <v>717</v>
      </c>
      <c r="DU67" s="38">
        <v>-20</v>
      </c>
      <c r="DV67" s="35">
        <v>-2.71</v>
      </c>
      <c r="DW67" s="36">
        <v>1533</v>
      </c>
      <c r="DX67" s="39">
        <v>3</v>
      </c>
      <c r="DY67" s="35">
        <v>0.2</v>
      </c>
      <c r="DZ67" s="28" t="s">
        <v>178</v>
      </c>
      <c r="EA67" s="34">
        <v>43602</v>
      </c>
      <c r="EB67" s="29">
        <v>145</v>
      </c>
      <c r="EC67" s="34">
        <v>43439</v>
      </c>
      <c r="ED67" s="28" t="s">
        <v>205</v>
      </c>
      <c r="EE67" s="40" t="str">
        <f>HYPERLINK("https://my.pitchbook.com?c=104504-05", "View company online")</f>
        <v>View company online</v>
      </c>
    </row>
    <row r="68" spans="1:135">
      <c r="A68" s="15" t="s">
        <v>1711</v>
      </c>
      <c r="B68" s="15" t="s">
        <v>1712</v>
      </c>
      <c r="C68" s="15" t="s">
        <v>138</v>
      </c>
      <c r="D68" s="15" t="s">
        <v>138</v>
      </c>
      <c r="E68" s="15" t="s">
        <v>1713</v>
      </c>
      <c r="F68" s="15" t="s">
        <v>1711</v>
      </c>
      <c r="G68" s="15" t="s">
        <v>1714</v>
      </c>
      <c r="H68" s="15" t="s">
        <v>322</v>
      </c>
      <c r="I68" s="15" t="s">
        <v>323</v>
      </c>
      <c r="J68" s="15" t="s">
        <v>954</v>
      </c>
      <c r="K68" s="15" t="s">
        <v>1715</v>
      </c>
      <c r="L68" s="15" t="s">
        <v>242</v>
      </c>
      <c r="M68" s="15" t="s">
        <v>1716</v>
      </c>
      <c r="N68" s="15" t="s">
        <v>147</v>
      </c>
      <c r="O68" s="17">
        <v>5.59</v>
      </c>
      <c r="P68" s="15" t="s">
        <v>148</v>
      </c>
      <c r="Q68" s="15" t="s">
        <v>149</v>
      </c>
      <c r="R68" s="15" t="s">
        <v>174</v>
      </c>
      <c r="S68" s="15" t="s">
        <v>1717</v>
      </c>
      <c r="T68" s="18">
        <v>11</v>
      </c>
      <c r="U68" s="15" t="s">
        <v>1356</v>
      </c>
      <c r="V68" s="15" t="s">
        <v>138</v>
      </c>
      <c r="W68" s="15" t="s">
        <v>138</v>
      </c>
      <c r="X68" s="19">
        <v>2013</v>
      </c>
      <c r="Y68" s="15" t="s">
        <v>138</v>
      </c>
      <c r="Z68" s="15" t="s">
        <v>138</v>
      </c>
      <c r="AA68" s="15" t="s">
        <v>138</v>
      </c>
      <c r="AB68" s="20" t="s">
        <v>138</v>
      </c>
      <c r="AC68" s="20" t="s">
        <v>138</v>
      </c>
      <c r="AD68" s="20" t="s">
        <v>138</v>
      </c>
      <c r="AE68" s="20" t="s">
        <v>138</v>
      </c>
      <c r="AF68" s="20" t="s">
        <v>138</v>
      </c>
      <c r="AG68" s="15" t="s">
        <v>138</v>
      </c>
      <c r="AH68" s="20" t="s">
        <v>138</v>
      </c>
      <c r="AI68" s="20" t="s">
        <v>138</v>
      </c>
      <c r="AJ68" s="20" t="s">
        <v>138</v>
      </c>
      <c r="AK68" s="15" t="s">
        <v>1718</v>
      </c>
      <c r="AL68" s="15" t="s">
        <v>1719</v>
      </c>
      <c r="AM68" s="15" t="s">
        <v>938</v>
      </c>
      <c r="AN68" s="15" t="s">
        <v>1720</v>
      </c>
      <c r="AO68" s="15" t="s">
        <v>138</v>
      </c>
      <c r="AP68" s="15" t="s">
        <v>665</v>
      </c>
      <c r="AQ68" s="15" t="s">
        <v>1721</v>
      </c>
      <c r="AR68" s="15" t="s">
        <v>1722</v>
      </c>
      <c r="AS68" s="15" t="s">
        <v>668</v>
      </c>
      <c r="AT68" s="15" t="s">
        <v>200</v>
      </c>
      <c r="AU68" s="15" t="s">
        <v>1723</v>
      </c>
      <c r="AV68" s="15" t="s">
        <v>162</v>
      </c>
      <c r="AW68" s="15" t="s">
        <v>138</v>
      </c>
      <c r="AX68" s="15" t="s">
        <v>138</v>
      </c>
      <c r="AY68" s="15" t="s">
        <v>138</v>
      </c>
      <c r="AZ68" s="15" t="s">
        <v>164</v>
      </c>
      <c r="BA68" s="15" t="s">
        <v>165</v>
      </c>
      <c r="BB68" s="15" t="s">
        <v>1724</v>
      </c>
      <c r="BC68" s="15" t="s">
        <v>1725</v>
      </c>
      <c r="BD68" s="21">
        <v>8</v>
      </c>
      <c r="BE68" s="15" t="s">
        <v>138</v>
      </c>
      <c r="BF68" s="15" t="s">
        <v>138</v>
      </c>
      <c r="BG68" s="15" t="s">
        <v>138</v>
      </c>
      <c r="BH68" s="15" t="s">
        <v>1726</v>
      </c>
      <c r="BI68" s="15" t="s">
        <v>138</v>
      </c>
      <c r="BJ68" s="15" t="s">
        <v>138</v>
      </c>
      <c r="BK68" s="15" t="s">
        <v>138</v>
      </c>
      <c r="BL68" s="15" t="s">
        <v>138</v>
      </c>
      <c r="BM68" s="22">
        <v>42479</v>
      </c>
      <c r="BN68" s="17">
        <v>2.59</v>
      </c>
      <c r="BO68" s="15" t="s">
        <v>172</v>
      </c>
      <c r="BP68" s="17">
        <v>10</v>
      </c>
      <c r="BQ68" s="15" t="s">
        <v>172</v>
      </c>
      <c r="BR68" s="15" t="s">
        <v>205</v>
      </c>
      <c r="BS68" s="15" t="s">
        <v>206</v>
      </c>
      <c r="BT68" s="15" t="s">
        <v>138</v>
      </c>
      <c r="BU68" s="15" t="s">
        <v>174</v>
      </c>
      <c r="BV68" s="15" t="s">
        <v>138</v>
      </c>
      <c r="BW68" s="15" t="s">
        <v>138</v>
      </c>
      <c r="BX68" s="15" t="s">
        <v>138</v>
      </c>
      <c r="BY68" s="15" t="s">
        <v>175</v>
      </c>
      <c r="BZ68" s="22">
        <v>42713</v>
      </c>
      <c r="CA68" s="17">
        <v>3</v>
      </c>
      <c r="CB68" s="15" t="s">
        <v>1178</v>
      </c>
      <c r="CC68" s="17">
        <v>13</v>
      </c>
      <c r="CD68" s="15" t="s">
        <v>172</v>
      </c>
      <c r="CE68" s="15" t="s">
        <v>205</v>
      </c>
      <c r="CF68" s="15" t="s">
        <v>1727</v>
      </c>
      <c r="CG68" s="15" t="s">
        <v>138</v>
      </c>
      <c r="CH68" s="15" t="s">
        <v>174</v>
      </c>
      <c r="CI68" s="15" t="s">
        <v>138</v>
      </c>
      <c r="CJ68" s="15" t="s">
        <v>138</v>
      </c>
      <c r="CK68" s="15" t="s">
        <v>138</v>
      </c>
      <c r="CL68" s="15" t="s">
        <v>175</v>
      </c>
      <c r="CM68" s="22" t="s">
        <v>138</v>
      </c>
      <c r="CN68" s="17" t="s">
        <v>138</v>
      </c>
      <c r="CO68" s="23">
        <v>0.66</v>
      </c>
      <c r="CP68" s="24">
        <v>96</v>
      </c>
      <c r="CQ68" s="23">
        <v>0.01</v>
      </c>
      <c r="CR68" s="23">
        <v>0.82</v>
      </c>
      <c r="CS68" s="23">
        <v>1.39</v>
      </c>
      <c r="CT68" s="24">
        <v>97</v>
      </c>
      <c r="CU68" s="23">
        <v>-0.06</v>
      </c>
      <c r="CV68" s="24">
        <v>8</v>
      </c>
      <c r="CW68" s="23">
        <v>2.98</v>
      </c>
      <c r="CX68" s="24">
        <v>91</v>
      </c>
      <c r="CY68" s="23">
        <v>-0.21</v>
      </c>
      <c r="CZ68" s="24">
        <v>24</v>
      </c>
      <c r="DA68" s="23">
        <v>-0.05</v>
      </c>
      <c r="DB68" s="24">
        <v>13</v>
      </c>
      <c r="DC68" s="25">
        <v>25.48</v>
      </c>
      <c r="DD68" s="24">
        <v>96</v>
      </c>
      <c r="DE68" s="25">
        <v>-0.44</v>
      </c>
      <c r="DF68" s="23">
        <v>-1.69</v>
      </c>
      <c r="DG68" s="25">
        <v>16.55</v>
      </c>
      <c r="DH68" s="24">
        <v>94</v>
      </c>
      <c r="DI68" s="25">
        <v>34.4</v>
      </c>
      <c r="DJ68" s="24">
        <v>94</v>
      </c>
      <c r="DK68" s="25">
        <v>15.83</v>
      </c>
      <c r="DL68" s="24">
        <v>90</v>
      </c>
      <c r="DM68" s="25">
        <v>17.28</v>
      </c>
      <c r="DN68" s="24">
        <v>93</v>
      </c>
      <c r="DO68" s="25">
        <v>64.84</v>
      </c>
      <c r="DP68" s="24">
        <v>97</v>
      </c>
      <c r="DQ68" s="24">
        <v>5403</v>
      </c>
      <c r="DR68" s="26">
        <v>79</v>
      </c>
      <c r="DS68" s="23">
        <v>1.48</v>
      </c>
      <c r="DT68" s="24">
        <v>501</v>
      </c>
      <c r="DU68" s="26">
        <v>1</v>
      </c>
      <c r="DV68" s="23">
        <v>0.2</v>
      </c>
      <c r="DW68" s="24">
        <v>23214</v>
      </c>
      <c r="DX68" s="27">
        <v>-4</v>
      </c>
      <c r="DY68" s="23">
        <v>-0.02</v>
      </c>
      <c r="DZ68" s="15" t="s">
        <v>178</v>
      </c>
      <c r="EA68" s="22">
        <v>43622</v>
      </c>
      <c r="EB68" s="17">
        <v>13</v>
      </c>
      <c r="EC68" s="22">
        <v>42713</v>
      </c>
      <c r="ED68" s="15" t="s">
        <v>205</v>
      </c>
      <c r="EE68" s="14" t="str">
        <f>HYPERLINK("https://my.pitchbook.com?c=103623-94", "View company online")</f>
        <v>View company online</v>
      </c>
    </row>
    <row r="69" spans="1:135">
      <c r="A69" s="28" t="s">
        <v>1728</v>
      </c>
      <c r="B69" s="28" t="s">
        <v>1729</v>
      </c>
      <c r="C69" s="28" t="s">
        <v>138</v>
      </c>
      <c r="D69" s="28" t="s">
        <v>138</v>
      </c>
      <c r="E69" s="28" t="s">
        <v>1730</v>
      </c>
      <c r="F69" s="28" t="s">
        <v>1728</v>
      </c>
      <c r="G69" s="28" t="s">
        <v>1731</v>
      </c>
      <c r="H69" s="28" t="s">
        <v>322</v>
      </c>
      <c r="I69" s="28" t="s">
        <v>323</v>
      </c>
      <c r="J69" s="28" t="s">
        <v>413</v>
      </c>
      <c r="K69" s="28" t="s">
        <v>874</v>
      </c>
      <c r="L69" s="28" t="s">
        <v>1732</v>
      </c>
      <c r="M69" s="28" t="s">
        <v>1733</v>
      </c>
      <c r="N69" s="28" t="s">
        <v>147</v>
      </c>
      <c r="O69" s="29">
        <v>1.85</v>
      </c>
      <c r="P69" s="28" t="s">
        <v>148</v>
      </c>
      <c r="Q69" s="28" t="s">
        <v>149</v>
      </c>
      <c r="R69" s="28" t="s">
        <v>174</v>
      </c>
      <c r="S69" s="28" t="s">
        <v>1734</v>
      </c>
      <c r="T69" s="30">
        <v>51</v>
      </c>
      <c r="U69" s="28" t="s">
        <v>1735</v>
      </c>
      <c r="V69" s="28" t="s">
        <v>138</v>
      </c>
      <c r="W69" s="28" t="s">
        <v>138</v>
      </c>
      <c r="X69" s="31">
        <v>2010</v>
      </c>
      <c r="Y69" s="28" t="s">
        <v>138</v>
      </c>
      <c r="Z69" s="28" t="s">
        <v>138</v>
      </c>
      <c r="AA69" s="28" t="s">
        <v>138</v>
      </c>
      <c r="AB69" s="32" t="s">
        <v>138</v>
      </c>
      <c r="AC69" s="32" t="s">
        <v>138</v>
      </c>
      <c r="AD69" s="32" t="s">
        <v>138</v>
      </c>
      <c r="AE69" s="32" t="s">
        <v>138</v>
      </c>
      <c r="AF69" s="32" t="s">
        <v>138</v>
      </c>
      <c r="AG69" s="28" t="s">
        <v>138</v>
      </c>
      <c r="AH69" s="32" t="s">
        <v>138</v>
      </c>
      <c r="AI69" s="32" t="s">
        <v>138</v>
      </c>
      <c r="AJ69" s="32" t="s">
        <v>138</v>
      </c>
      <c r="AK69" s="28" t="s">
        <v>1736</v>
      </c>
      <c r="AL69" s="28" t="s">
        <v>1737</v>
      </c>
      <c r="AM69" s="28" t="s">
        <v>1738</v>
      </c>
      <c r="AN69" s="28" t="s">
        <v>1739</v>
      </c>
      <c r="AO69" s="28" t="s">
        <v>1740</v>
      </c>
      <c r="AP69" s="28" t="s">
        <v>1741</v>
      </c>
      <c r="AQ69" s="28" t="s">
        <v>1742</v>
      </c>
      <c r="AR69" s="28" t="s">
        <v>1743</v>
      </c>
      <c r="AS69" s="28" t="s">
        <v>1744</v>
      </c>
      <c r="AT69" s="28" t="s">
        <v>138</v>
      </c>
      <c r="AU69" s="28" t="s">
        <v>1745</v>
      </c>
      <c r="AV69" s="28" t="s">
        <v>1746</v>
      </c>
      <c r="AW69" s="28" t="s">
        <v>1740</v>
      </c>
      <c r="AX69" s="28" t="s">
        <v>138</v>
      </c>
      <c r="AY69" s="28" t="s">
        <v>1747</v>
      </c>
      <c r="AZ69" s="28" t="s">
        <v>452</v>
      </c>
      <c r="BA69" s="28" t="s">
        <v>1748</v>
      </c>
      <c r="BB69" s="28" t="s">
        <v>1749</v>
      </c>
      <c r="BC69" s="28" t="s">
        <v>1750</v>
      </c>
      <c r="BD69" s="33">
        <v>3</v>
      </c>
      <c r="BE69" s="28" t="s">
        <v>138</v>
      </c>
      <c r="BF69" s="28" t="s">
        <v>138</v>
      </c>
      <c r="BG69" s="28" t="s">
        <v>138</v>
      </c>
      <c r="BH69" s="28" t="s">
        <v>1751</v>
      </c>
      <c r="BI69" s="28" t="s">
        <v>138</v>
      </c>
      <c r="BJ69" s="28" t="s">
        <v>138</v>
      </c>
      <c r="BK69" s="28" t="s">
        <v>138</v>
      </c>
      <c r="BL69" s="28" t="s">
        <v>138</v>
      </c>
      <c r="BM69" s="34">
        <v>41424</v>
      </c>
      <c r="BN69" s="29">
        <v>1</v>
      </c>
      <c r="BO69" s="28" t="s">
        <v>1178</v>
      </c>
      <c r="BP69" s="29" t="s">
        <v>138</v>
      </c>
      <c r="BQ69" s="28" t="s">
        <v>138</v>
      </c>
      <c r="BR69" s="28" t="s">
        <v>205</v>
      </c>
      <c r="BS69" s="28" t="s">
        <v>206</v>
      </c>
      <c r="BT69" s="28" t="s">
        <v>138</v>
      </c>
      <c r="BU69" s="28" t="s">
        <v>174</v>
      </c>
      <c r="BV69" s="28" t="s">
        <v>138</v>
      </c>
      <c r="BW69" s="28" t="s">
        <v>138</v>
      </c>
      <c r="BX69" s="28" t="s">
        <v>138</v>
      </c>
      <c r="BY69" s="28" t="s">
        <v>175</v>
      </c>
      <c r="BZ69" s="34">
        <v>42675</v>
      </c>
      <c r="CA69" s="29" t="s">
        <v>138</v>
      </c>
      <c r="CB69" s="28" t="s">
        <v>138</v>
      </c>
      <c r="CC69" s="29" t="s">
        <v>138</v>
      </c>
      <c r="CD69" s="28" t="s">
        <v>138</v>
      </c>
      <c r="CE69" s="28" t="s">
        <v>316</v>
      </c>
      <c r="CF69" s="28" t="s">
        <v>138</v>
      </c>
      <c r="CG69" s="28" t="s">
        <v>138</v>
      </c>
      <c r="CH69" s="28" t="s">
        <v>177</v>
      </c>
      <c r="CI69" s="28" t="s">
        <v>138</v>
      </c>
      <c r="CJ69" s="28" t="s">
        <v>138</v>
      </c>
      <c r="CK69" s="28" t="s">
        <v>138</v>
      </c>
      <c r="CL69" s="28" t="s">
        <v>175</v>
      </c>
      <c r="CM69" s="34" t="s">
        <v>138</v>
      </c>
      <c r="CN69" s="29" t="s">
        <v>138</v>
      </c>
      <c r="CO69" s="35">
        <v>-0.65</v>
      </c>
      <c r="CP69" s="36">
        <v>14</v>
      </c>
      <c r="CQ69" s="35">
        <v>-0.02</v>
      </c>
      <c r="CR69" s="35">
        <v>-3.17</v>
      </c>
      <c r="CS69" s="35">
        <v>-2.64</v>
      </c>
      <c r="CT69" s="36">
        <v>6</v>
      </c>
      <c r="CU69" s="35">
        <v>0.11</v>
      </c>
      <c r="CV69" s="36">
        <v>70</v>
      </c>
      <c r="CW69" s="35" t="s">
        <v>138</v>
      </c>
      <c r="CX69" s="36" t="s">
        <v>138</v>
      </c>
      <c r="CY69" s="35">
        <v>-2.64</v>
      </c>
      <c r="CZ69" s="36">
        <v>8</v>
      </c>
      <c r="DA69" s="35">
        <v>0.09</v>
      </c>
      <c r="DB69" s="36">
        <v>70</v>
      </c>
      <c r="DC69" s="37">
        <v>1722.08</v>
      </c>
      <c r="DD69" s="36">
        <v>100</v>
      </c>
      <c r="DE69" s="37">
        <v>5.98</v>
      </c>
      <c r="DF69" s="35">
        <v>0.35</v>
      </c>
      <c r="DG69" s="37">
        <v>65.14</v>
      </c>
      <c r="DH69" s="36">
        <v>99</v>
      </c>
      <c r="DI69" s="37">
        <v>5084.24</v>
      </c>
      <c r="DJ69" s="36">
        <v>100</v>
      </c>
      <c r="DK69" s="37" t="s">
        <v>138</v>
      </c>
      <c r="DL69" s="36" t="s">
        <v>138</v>
      </c>
      <c r="DM69" s="37">
        <v>65.14</v>
      </c>
      <c r="DN69" s="36">
        <v>99</v>
      </c>
      <c r="DO69" s="37">
        <v>6145.12</v>
      </c>
      <c r="DP69" s="36">
        <v>100</v>
      </c>
      <c r="DQ69" s="36" t="s">
        <v>138</v>
      </c>
      <c r="DR69" s="38" t="s">
        <v>138</v>
      </c>
      <c r="DS69" s="35" t="s">
        <v>138</v>
      </c>
      <c r="DT69" s="36">
        <v>1889</v>
      </c>
      <c r="DU69" s="38">
        <v>-3</v>
      </c>
      <c r="DV69" s="35">
        <v>-0.16</v>
      </c>
      <c r="DW69" s="36">
        <v>2199172</v>
      </c>
      <c r="DX69" s="39">
        <v>1860</v>
      </c>
      <c r="DY69" s="35">
        <v>0.08</v>
      </c>
      <c r="DZ69" s="28" t="s">
        <v>178</v>
      </c>
      <c r="EA69" s="34">
        <v>43351</v>
      </c>
      <c r="EB69" s="29">
        <v>8.5500000000000007</v>
      </c>
      <c r="EC69" s="34">
        <v>42487</v>
      </c>
      <c r="ED69" s="28" t="s">
        <v>173</v>
      </c>
      <c r="EE69" s="40" t="str">
        <f>HYPERLINK("https://my.pitchbook.com?c=57248-38", "View company online")</f>
        <v>View company online</v>
      </c>
    </row>
    <row r="70" spans="1:135">
      <c r="A70" s="15" t="s">
        <v>1752</v>
      </c>
      <c r="B70" s="15" t="s">
        <v>1753</v>
      </c>
      <c r="C70" s="15" t="s">
        <v>138</v>
      </c>
      <c r="D70" s="15" t="s">
        <v>138</v>
      </c>
      <c r="E70" s="15" t="s">
        <v>1754</v>
      </c>
      <c r="F70" s="15" t="s">
        <v>1752</v>
      </c>
      <c r="G70" s="15" t="s">
        <v>1755</v>
      </c>
      <c r="H70" s="15" t="s">
        <v>238</v>
      </c>
      <c r="I70" s="15" t="s">
        <v>239</v>
      </c>
      <c r="J70" s="15" t="s">
        <v>1756</v>
      </c>
      <c r="K70" s="15" t="s">
        <v>1757</v>
      </c>
      <c r="L70" s="15" t="s">
        <v>415</v>
      </c>
      <c r="M70" s="15" t="s">
        <v>1758</v>
      </c>
      <c r="N70" s="15" t="s">
        <v>147</v>
      </c>
      <c r="O70" s="17">
        <v>7.99</v>
      </c>
      <c r="P70" s="15" t="s">
        <v>148</v>
      </c>
      <c r="Q70" s="15" t="s">
        <v>149</v>
      </c>
      <c r="R70" s="15" t="s">
        <v>174</v>
      </c>
      <c r="S70" s="15" t="s">
        <v>1759</v>
      </c>
      <c r="T70" s="18">
        <v>30</v>
      </c>
      <c r="U70" s="15" t="s">
        <v>1760</v>
      </c>
      <c r="V70" s="15" t="s">
        <v>138</v>
      </c>
      <c r="W70" s="15" t="s">
        <v>138</v>
      </c>
      <c r="X70" s="19">
        <v>2016</v>
      </c>
      <c r="Y70" s="15" t="s">
        <v>138</v>
      </c>
      <c r="Z70" s="15" t="s">
        <v>138</v>
      </c>
      <c r="AA70" s="15" t="s">
        <v>138</v>
      </c>
      <c r="AB70" s="20">
        <v>10</v>
      </c>
      <c r="AC70" s="20" t="s">
        <v>138</v>
      </c>
      <c r="AD70" s="20" t="s">
        <v>138</v>
      </c>
      <c r="AE70" s="20" t="s">
        <v>138</v>
      </c>
      <c r="AF70" s="20" t="s">
        <v>138</v>
      </c>
      <c r="AG70" s="15" t="s">
        <v>815</v>
      </c>
      <c r="AH70" s="20" t="s">
        <v>138</v>
      </c>
      <c r="AI70" s="20" t="s">
        <v>138</v>
      </c>
      <c r="AJ70" s="20" t="s">
        <v>138</v>
      </c>
      <c r="AK70" s="15" t="s">
        <v>1761</v>
      </c>
      <c r="AL70" s="15" t="s">
        <v>1762</v>
      </c>
      <c r="AM70" s="15" t="s">
        <v>986</v>
      </c>
      <c r="AN70" s="15" t="s">
        <v>1763</v>
      </c>
      <c r="AO70" s="15" t="s">
        <v>1764</v>
      </c>
      <c r="AP70" s="15" t="s">
        <v>1765</v>
      </c>
      <c r="AQ70" s="15" t="s">
        <v>1766</v>
      </c>
      <c r="AR70" s="15" t="s">
        <v>1767</v>
      </c>
      <c r="AS70" s="15" t="s">
        <v>1768</v>
      </c>
      <c r="AT70" s="15" t="s">
        <v>200</v>
      </c>
      <c r="AU70" s="15" t="s">
        <v>1769</v>
      </c>
      <c r="AV70" s="15" t="s">
        <v>162</v>
      </c>
      <c r="AW70" s="15" t="s">
        <v>1764</v>
      </c>
      <c r="AX70" s="15" t="s">
        <v>138</v>
      </c>
      <c r="AY70" s="15" t="s">
        <v>1770</v>
      </c>
      <c r="AZ70" s="15" t="s">
        <v>164</v>
      </c>
      <c r="BA70" s="15" t="s">
        <v>165</v>
      </c>
      <c r="BB70" s="15" t="s">
        <v>1771</v>
      </c>
      <c r="BC70" s="15" t="s">
        <v>1772</v>
      </c>
      <c r="BD70" s="21">
        <v>11</v>
      </c>
      <c r="BE70" s="15" t="s">
        <v>138</v>
      </c>
      <c r="BF70" s="15" t="s">
        <v>138</v>
      </c>
      <c r="BG70" s="15" t="s">
        <v>138</v>
      </c>
      <c r="BH70" s="15" t="s">
        <v>1773</v>
      </c>
      <c r="BI70" s="15" t="s">
        <v>138</v>
      </c>
      <c r="BJ70" s="15" t="s">
        <v>138</v>
      </c>
      <c r="BK70" s="15" t="s">
        <v>138</v>
      </c>
      <c r="BL70" s="15" t="s">
        <v>138</v>
      </c>
      <c r="BM70" s="22">
        <v>42461</v>
      </c>
      <c r="BN70" s="17">
        <v>0.03</v>
      </c>
      <c r="BO70" s="15" t="s">
        <v>1178</v>
      </c>
      <c r="BP70" s="17" t="s">
        <v>138</v>
      </c>
      <c r="BQ70" s="15" t="s">
        <v>138</v>
      </c>
      <c r="BR70" s="15" t="s">
        <v>316</v>
      </c>
      <c r="BS70" s="15" t="s">
        <v>138</v>
      </c>
      <c r="BT70" s="15" t="s">
        <v>138</v>
      </c>
      <c r="BU70" s="15" t="s">
        <v>177</v>
      </c>
      <c r="BV70" s="15" t="s">
        <v>138</v>
      </c>
      <c r="BW70" s="15" t="s">
        <v>138</v>
      </c>
      <c r="BX70" s="15" t="s">
        <v>138</v>
      </c>
      <c r="BY70" s="15" t="s">
        <v>175</v>
      </c>
      <c r="BZ70" s="22">
        <v>43187</v>
      </c>
      <c r="CA70" s="17">
        <v>4.93</v>
      </c>
      <c r="CB70" s="15" t="s">
        <v>172</v>
      </c>
      <c r="CC70" s="17">
        <v>23</v>
      </c>
      <c r="CD70" s="15" t="s">
        <v>172</v>
      </c>
      <c r="CE70" s="15" t="s">
        <v>205</v>
      </c>
      <c r="CF70" s="15" t="s">
        <v>206</v>
      </c>
      <c r="CG70" s="15" t="s">
        <v>138</v>
      </c>
      <c r="CH70" s="15" t="s">
        <v>174</v>
      </c>
      <c r="CI70" s="15" t="s">
        <v>138</v>
      </c>
      <c r="CJ70" s="15" t="s">
        <v>138</v>
      </c>
      <c r="CK70" s="15" t="s">
        <v>138</v>
      </c>
      <c r="CL70" s="15" t="s">
        <v>175</v>
      </c>
      <c r="CM70" s="22" t="s">
        <v>138</v>
      </c>
      <c r="CN70" s="17" t="s">
        <v>138</v>
      </c>
      <c r="CO70" s="23">
        <v>1.18</v>
      </c>
      <c r="CP70" s="24">
        <v>98</v>
      </c>
      <c r="CQ70" s="23">
        <v>0.74</v>
      </c>
      <c r="CR70" s="23">
        <v>164.88</v>
      </c>
      <c r="CS70" s="23">
        <v>-1.99</v>
      </c>
      <c r="CT70" s="24">
        <v>9</v>
      </c>
      <c r="CU70" s="23">
        <v>4.67</v>
      </c>
      <c r="CV70" s="24">
        <v>100</v>
      </c>
      <c r="CW70" s="23">
        <v>-3.14</v>
      </c>
      <c r="CX70" s="24">
        <v>5</v>
      </c>
      <c r="CY70" s="23">
        <v>-0.84</v>
      </c>
      <c r="CZ70" s="24">
        <v>20</v>
      </c>
      <c r="DA70" s="23">
        <v>4.67</v>
      </c>
      <c r="DB70" s="24">
        <v>100</v>
      </c>
      <c r="DC70" s="25">
        <v>28.43</v>
      </c>
      <c r="DD70" s="24">
        <v>96</v>
      </c>
      <c r="DE70" s="25">
        <v>-0.56000000000000005</v>
      </c>
      <c r="DF70" s="23">
        <v>-1.92</v>
      </c>
      <c r="DG70" s="25">
        <v>56.78</v>
      </c>
      <c r="DH70" s="24">
        <v>98</v>
      </c>
      <c r="DI70" s="25">
        <v>28.46</v>
      </c>
      <c r="DJ70" s="24">
        <v>93</v>
      </c>
      <c r="DK70" s="25">
        <v>110.39</v>
      </c>
      <c r="DL70" s="24">
        <v>98</v>
      </c>
      <c r="DM70" s="25">
        <v>3.17</v>
      </c>
      <c r="DN70" s="24">
        <v>74</v>
      </c>
      <c r="DO70" s="25">
        <v>28.46</v>
      </c>
      <c r="DP70" s="24">
        <v>94</v>
      </c>
      <c r="DQ70" s="24">
        <v>37907</v>
      </c>
      <c r="DR70" s="26">
        <v>-127</v>
      </c>
      <c r="DS70" s="23">
        <v>-0.33</v>
      </c>
      <c r="DT70" s="24">
        <v>92</v>
      </c>
      <c r="DU70" s="26">
        <v>1</v>
      </c>
      <c r="DV70" s="23">
        <v>1.1000000000000001</v>
      </c>
      <c r="DW70" s="24">
        <v>10139</v>
      </c>
      <c r="DX70" s="27">
        <v>88</v>
      </c>
      <c r="DY70" s="23">
        <v>0.88</v>
      </c>
      <c r="DZ70" s="15" t="s">
        <v>178</v>
      </c>
      <c r="EA70" s="22">
        <v>43563</v>
      </c>
      <c r="EB70" s="17">
        <v>23</v>
      </c>
      <c r="EC70" s="22">
        <v>43187</v>
      </c>
      <c r="ED70" s="15" t="s">
        <v>205</v>
      </c>
      <c r="EE70" s="14" t="str">
        <f>HYPERLINK("https://my.pitchbook.com?c=169329-61", "View company online")</f>
        <v>View company online</v>
      </c>
    </row>
    <row r="71" spans="1:135">
      <c r="A71" s="28" t="s">
        <v>1774</v>
      </c>
      <c r="B71" s="28" t="s">
        <v>1775</v>
      </c>
      <c r="C71" s="28" t="s">
        <v>138</v>
      </c>
      <c r="D71" s="28" t="s">
        <v>138</v>
      </c>
      <c r="E71" s="28" t="s">
        <v>138</v>
      </c>
      <c r="F71" s="28" t="s">
        <v>1774</v>
      </c>
      <c r="G71" s="28" t="s">
        <v>1776</v>
      </c>
      <c r="H71" s="28" t="s">
        <v>322</v>
      </c>
      <c r="I71" s="28" t="s">
        <v>323</v>
      </c>
      <c r="J71" s="28" t="s">
        <v>1132</v>
      </c>
      <c r="K71" s="28" t="s">
        <v>1777</v>
      </c>
      <c r="L71" s="28" t="s">
        <v>138</v>
      </c>
      <c r="M71" s="28" t="s">
        <v>1778</v>
      </c>
      <c r="N71" s="28" t="s">
        <v>147</v>
      </c>
      <c r="O71" s="29">
        <v>7.14</v>
      </c>
      <c r="P71" s="28" t="s">
        <v>610</v>
      </c>
      <c r="Q71" s="28" t="s">
        <v>149</v>
      </c>
      <c r="R71" s="28" t="s">
        <v>174</v>
      </c>
      <c r="S71" s="28" t="s">
        <v>1779</v>
      </c>
      <c r="T71" s="30">
        <v>50</v>
      </c>
      <c r="U71" s="28" t="s">
        <v>1780</v>
      </c>
      <c r="V71" s="28" t="s">
        <v>138</v>
      </c>
      <c r="W71" s="28" t="s">
        <v>138</v>
      </c>
      <c r="X71" s="31">
        <v>2016</v>
      </c>
      <c r="Y71" s="28" t="s">
        <v>138</v>
      </c>
      <c r="Z71" s="28" t="s">
        <v>138</v>
      </c>
      <c r="AA71" s="28" t="s">
        <v>138</v>
      </c>
      <c r="AB71" s="32" t="s">
        <v>138</v>
      </c>
      <c r="AC71" s="32">
        <v>-0.03</v>
      </c>
      <c r="AD71" s="32">
        <v>-5.96</v>
      </c>
      <c r="AE71" s="32" t="s">
        <v>138</v>
      </c>
      <c r="AF71" s="32" t="s">
        <v>138</v>
      </c>
      <c r="AG71" s="28" t="s">
        <v>419</v>
      </c>
      <c r="AH71" s="32" t="s">
        <v>138</v>
      </c>
      <c r="AI71" s="32" t="s">
        <v>138</v>
      </c>
      <c r="AJ71" s="32" t="s">
        <v>138</v>
      </c>
      <c r="AK71" s="28" t="s">
        <v>1781</v>
      </c>
      <c r="AL71" s="28" t="s">
        <v>1782</v>
      </c>
      <c r="AM71" s="28" t="s">
        <v>1783</v>
      </c>
      <c r="AN71" s="28" t="s">
        <v>1784</v>
      </c>
      <c r="AO71" s="28" t="s">
        <v>138</v>
      </c>
      <c r="AP71" s="28" t="s">
        <v>820</v>
      </c>
      <c r="AQ71" s="28" t="s">
        <v>1785</v>
      </c>
      <c r="AR71" s="28" t="s">
        <v>1786</v>
      </c>
      <c r="AS71" s="28" t="s">
        <v>823</v>
      </c>
      <c r="AT71" s="28" t="s">
        <v>824</v>
      </c>
      <c r="AU71" s="28" t="s">
        <v>1787</v>
      </c>
      <c r="AV71" s="28" t="s">
        <v>526</v>
      </c>
      <c r="AW71" s="28" t="s">
        <v>138</v>
      </c>
      <c r="AX71" s="28" t="s">
        <v>138</v>
      </c>
      <c r="AY71" s="28" t="s">
        <v>138</v>
      </c>
      <c r="AZ71" s="28" t="s">
        <v>530</v>
      </c>
      <c r="BA71" s="28" t="s">
        <v>531</v>
      </c>
      <c r="BB71" s="28" t="s">
        <v>1788</v>
      </c>
      <c r="BC71" s="28" t="s">
        <v>1789</v>
      </c>
      <c r="BD71" s="33">
        <v>3</v>
      </c>
      <c r="BE71" s="28" t="s">
        <v>138</v>
      </c>
      <c r="BF71" s="28" t="s">
        <v>138</v>
      </c>
      <c r="BG71" s="28" t="s">
        <v>138</v>
      </c>
      <c r="BH71" s="28" t="s">
        <v>1790</v>
      </c>
      <c r="BI71" s="28" t="s">
        <v>138</v>
      </c>
      <c r="BJ71" s="28" t="s">
        <v>138</v>
      </c>
      <c r="BK71" s="28" t="s">
        <v>1791</v>
      </c>
      <c r="BL71" s="28" t="s">
        <v>138</v>
      </c>
      <c r="BM71" s="34">
        <v>42983</v>
      </c>
      <c r="BN71" s="29" t="s">
        <v>138</v>
      </c>
      <c r="BO71" s="28" t="s">
        <v>138</v>
      </c>
      <c r="BP71" s="29" t="s">
        <v>138</v>
      </c>
      <c r="BQ71" s="28" t="s">
        <v>138</v>
      </c>
      <c r="BR71" s="28" t="s">
        <v>316</v>
      </c>
      <c r="BS71" s="28" t="s">
        <v>138</v>
      </c>
      <c r="BT71" s="28" t="s">
        <v>138</v>
      </c>
      <c r="BU71" s="28" t="s">
        <v>177</v>
      </c>
      <c r="BV71" s="28" t="s">
        <v>138</v>
      </c>
      <c r="BW71" s="28" t="s">
        <v>138</v>
      </c>
      <c r="BX71" s="28" t="s">
        <v>138</v>
      </c>
      <c r="BY71" s="28" t="s">
        <v>175</v>
      </c>
      <c r="BZ71" s="34">
        <v>43298</v>
      </c>
      <c r="CA71" s="29">
        <v>7.14</v>
      </c>
      <c r="CB71" s="28" t="s">
        <v>172</v>
      </c>
      <c r="CC71" s="29">
        <v>20.68</v>
      </c>
      <c r="CD71" s="28" t="s">
        <v>172</v>
      </c>
      <c r="CE71" s="28" t="s">
        <v>205</v>
      </c>
      <c r="CF71" s="28" t="s">
        <v>138</v>
      </c>
      <c r="CG71" s="28" t="s">
        <v>138</v>
      </c>
      <c r="CH71" s="28" t="s">
        <v>174</v>
      </c>
      <c r="CI71" s="28" t="s">
        <v>177</v>
      </c>
      <c r="CJ71" s="28" t="s">
        <v>177</v>
      </c>
      <c r="CK71" s="28" t="s">
        <v>138</v>
      </c>
      <c r="CL71" s="28" t="s">
        <v>175</v>
      </c>
      <c r="CM71" s="34" t="s">
        <v>138</v>
      </c>
      <c r="CN71" s="29" t="s">
        <v>138</v>
      </c>
      <c r="CO71" s="35">
        <v>0.14000000000000001</v>
      </c>
      <c r="CP71" s="36">
        <v>91</v>
      </c>
      <c r="CQ71" s="35">
        <v>0</v>
      </c>
      <c r="CR71" s="35">
        <v>2.39</v>
      </c>
      <c r="CS71" s="35">
        <v>0</v>
      </c>
      <c r="CT71" s="36">
        <v>23</v>
      </c>
      <c r="CU71" s="35">
        <v>-0.1</v>
      </c>
      <c r="CV71" s="36">
        <v>4</v>
      </c>
      <c r="CW71" s="35" t="s">
        <v>138</v>
      </c>
      <c r="CX71" s="36" t="s">
        <v>138</v>
      </c>
      <c r="CY71" s="35">
        <v>0</v>
      </c>
      <c r="CZ71" s="36">
        <v>25</v>
      </c>
      <c r="DA71" s="35">
        <v>-0.13</v>
      </c>
      <c r="DB71" s="36">
        <v>4</v>
      </c>
      <c r="DC71" s="37">
        <v>2.93</v>
      </c>
      <c r="DD71" s="36">
        <v>75</v>
      </c>
      <c r="DE71" s="37">
        <v>0</v>
      </c>
      <c r="DF71" s="35">
        <v>-0.01</v>
      </c>
      <c r="DG71" s="37">
        <v>2.0699999999999998</v>
      </c>
      <c r="DH71" s="36">
        <v>67</v>
      </c>
      <c r="DI71" s="37">
        <v>6.63</v>
      </c>
      <c r="DJ71" s="36">
        <v>81</v>
      </c>
      <c r="DK71" s="37" t="s">
        <v>138</v>
      </c>
      <c r="DL71" s="36" t="s">
        <v>138</v>
      </c>
      <c r="DM71" s="37">
        <v>2.0699999999999998</v>
      </c>
      <c r="DN71" s="36">
        <v>66</v>
      </c>
      <c r="DO71" s="37">
        <v>1.8</v>
      </c>
      <c r="DP71" s="36">
        <v>62</v>
      </c>
      <c r="DQ71" s="36">
        <v>72</v>
      </c>
      <c r="DR71" s="38">
        <v>-9</v>
      </c>
      <c r="DS71" s="35">
        <v>-11.11</v>
      </c>
      <c r="DT71" s="36">
        <v>60</v>
      </c>
      <c r="DU71" s="38">
        <v>0</v>
      </c>
      <c r="DV71" s="35">
        <v>0</v>
      </c>
      <c r="DW71" s="36">
        <v>646</v>
      </c>
      <c r="DX71" s="39">
        <v>1</v>
      </c>
      <c r="DY71" s="35">
        <v>0.16</v>
      </c>
      <c r="DZ71" s="28" t="s">
        <v>178</v>
      </c>
      <c r="EA71" s="34">
        <v>43448</v>
      </c>
      <c r="EB71" s="29">
        <v>20.68</v>
      </c>
      <c r="EC71" s="34">
        <v>43298</v>
      </c>
      <c r="ED71" s="28" t="s">
        <v>205</v>
      </c>
      <c r="EE71" s="40" t="str">
        <f>HYPERLINK("https://my.pitchbook.com?c=228330-01", "View company online")</f>
        <v>View company online</v>
      </c>
    </row>
    <row r="72" spans="1:135">
      <c r="A72" s="15" t="s">
        <v>1792</v>
      </c>
      <c r="B72" s="15" t="s">
        <v>1793</v>
      </c>
      <c r="C72" s="15" t="s">
        <v>138</v>
      </c>
      <c r="D72" s="15" t="s">
        <v>138</v>
      </c>
      <c r="E72" s="15" t="s">
        <v>1794</v>
      </c>
      <c r="F72" s="15" t="s">
        <v>1792</v>
      </c>
      <c r="G72" s="15" t="s">
        <v>1795</v>
      </c>
      <c r="H72" s="15" t="s">
        <v>141</v>
      </c>
      <c r="I72" s="15" t="s">
        <v>212</v>
      </c>
      <c r="J72" s="15" t="s">
        <v>1257</v>
      </c>
      <c r="K72" s="15" t="s">
        <v>1258</v>
      </c>
      <c r="L72" s="15" t="s">
        <v>1796</v>
      </c>
      <c r="M72" s="15" t="s">
        <v>1797</v>
      </c>
      <c r="N72" s="15" t="s">
        <v>147</v>
      </c>
      <c r="O72" s="17">
        <v>15.09</v>
      </c>
      <c r="P72" s="15" t="s">
        <v>934</v>
      </c>
      <c r="Q72" s="15" t="s">
        <v>149</v>
      </c>
      <c r="R72" s="15" t="s">
        <v>174</v>
      </c>
      <c r="S72" s="15" t="s">
        <v>1798</v>
      </c>
      <c r="T72" s="18" t="s">
        <v>138</v>
      </c>
      <c r="U72" s="15" t="s">
        <v>138</v>
      </c>
      <c r="V72" s="15" t="s">
        <v>138</v>
      </c>
      <c r="W72" s="15" t="s">
        <v>138</v>
      </c>
      <c r="X72" s="19">
        <v>2012</v>
      </c>
      <c r="Y72" s="15" t="s">
        <v>138</v>
      </c>
      <c r="Z72" s="15" t="s">
        <v>138</v>
      </c>
      <c r="AA72" s="15" t="s">
        <v>1799</v>
      </c>
      <c r="AB72" s="20" t="s">
        <v>138</v>
      </c>
      <c r="AC72" s="20" t="s">
        <v>138</v>
      </c>
      <c r="AD72" s="20" t="s">
        <v>138</v>
      </c>
      <c r="AE72" s="20" t="s">
        <v>138</v>
      </c>
      <c r="AF72" s="20" t="s">
        <v>138</v>
      </c>
      <c r="AG72" s="15" t="s">
        <v>138</v>
      </c>
      <c r="AH72" s="20" t="s">
        <v>138</v>
      </c>
      <c r="AI72" s="20" t="s">
        <v>138</v>
      </c>
      <c r="AJ72" s="20" t="s">
        <v>138</v>
      </c>
      <c r="AK72" s="15" t="s">
        <v>1800</v>
      </c>
      <c r="AL72" s="15" t="s">
        <v>1801</v>
      </c>
      <c r="AM72" s="15" t="s">
        <v>304</v>
      </c>
      <c r="AN72" s="15" t="s">
        <v>1802</v>
      </c>
      <c r="AO72" s="15" t="s">
        <v>138</v>
      </c>
      <c r="AP72" s="15" t="s">
        <v>423</v>
      </c>
      <c r="AQ72" s="15" t="s">
        <v>1803</v>
      </c>
      <c r="AR72" s="15" t="s">
        <v>138</v>
      </c>
      <c r="AS72" s="15" t="s">
        <v>426</v>
      </c>
      <c r="AT72" s="15" t="s">
        <v>426</v>
      </c>
      <c r="AU72" s="15" t="s">
        <v>1804</v>
      </c>
      <c r="AV72" s="15" t="s">
        <v>162</v>
      </c>
      <c r="AW72" s="15" t="s">
        <v>138</v>
      </c>
      <c r="AX72" s="15" t="s">
        <v>138</v>
      </c>
      <c r="AY72" s="15" t="s">
        <v>1805</v>
      </c>
      <c r="AZ72" s="15" t="s">
        <v>164</v>
      </c>
      <c r="BA72" s="15" t="s">
        <v>165</v>
      </c>
      <c r="BB72" s="15" t="s">
        <v>1806</v>
      </c>
      <c r="BC72" s="15" t="s">
        <v>1807</v>
      </c>
      <c r="BD72" s="21">
        <v>9</v>
      </c>
      <c r="BE72" s="15" t="s">
        <v>138</v>
      </c>
      <c r="BF72" s="15" t="s">
        <v>138</v>
      </c>
      <c r="BG72" s="15" t="s">
        <v>138</v>
      </c>
      <c r="BH72" s="15" t="s">
        <v>1808</v>
      </c>
      <c r="BI72" s="15" t="s">
        <v>138</v>
      </c>
      <c r="BJ72" s="15" t="s">
        <v>138</v>
      </c>
      <c r="BK72" s="15" t="s">
        <v>1691</v>
      </c>
      <c r="BL72" s="15" t="s">
        <v>1691</v>
      </c>
      <c r="BM72" s="22">
        <v>41250</v>
      </c>
      <c r="BN72" s="17">
        <v>0.49</v>
      </c>
      <c r="BO72" s="15" t="s">
        <v>172</v>
      </c>
      <c r="BP72" s="17" t="s">
        <v>138</v>
      </c>
      <c r="BQ72" s="15" t="s">
        <v>138</v>
      </c>
      <c r="BR72" s="15" t="s">
        <v>234</v>
      </c>
      <c r="BS72" s="15" t="s">
        <v>234</v>
      </c>
      <c r="BT72" s="15" t="s">
        <v>138</v>
      </c>
      <c r="BU72" s="15" t="s">
        <v>174</v>
      </c>
      <c r="BV72" s="15" t="s">
        <v>138</v>
      </c>
      <c r="BW72" s="15" t="s">
        <v>138</v>
      </c>
      <c r="BX72" s="15" t="s">
        <v>138</v>
      </c>
      <c r="BY72" s="15" t="s">
        <v>175</v>
      </c>
      <c r="BZ72" s="22">
        <v>42916</v>
      </c>
      <c r="CA72" s="17">
        <v>12.6</v>
      </c>
      <c r="CB72" s="15" t="s">
        <v>1178</v>
      </c>
      <c r="CC72" s="17">
        <v>60</v>
      </c>
      <c r="CD72" s="15" t="s">
        <v>172</v>
      </c>
      <c r="CE72" s="15" t="s">
        <v>205</v>
      </c>
      <c r="CF72" s="15" t="s">
        <v>206</v>
      </c>
      <c r="CG72" s="15" t="s">
        <v>138</v>
      </c>
      <c r="CH72" s="15" t="s">
        <v>174</v>
      </c>
      <c r="CI72" s="15" t="s">
        <v>138</v>
      </c>
      <c r="CJ72" s="15" t="s">
        <v>138</v>
      </c>
      <c r="CK72" s="15" t="s">
        <v>138</v>
      </c>
      <c r="CL72" s="15" t="s">
        <v>175</v>
      </c>
      <c r="CM72" s="22" t="s">
        <v>138</v>
      </c>
      <c r="CN72" s="17" t="s">
        <v>138</v>
      </c>
      <c r="CO72" s="23">
        <v>0.28999999999999998</v>
      </c>
      <c r="CP72" s="24">
        <v>93</v>
      </c>
      <c r="CQ72" s="23">
        <v>0</v>
      </c>
      <c r="CR72" s="23">
        <v>0</v>
      </c>
      <c r="CS72" s="23">
        <v>0.59</v>
      </c>
      <c r="CT72" s="24">
        <v>96</v>
      </c>
      <c r="CU72" s="23">
        <v>0</v>
      </c>
      <c r="CV72" s="24">
        <v>22</v>
      </c>
      <c r="CW72" s="23">
        <v>0.59</v>
      </c>
      <c r="CX72" s="24">
        <v>83</v>
      </c>
      <c r="CY72" s="23" t="s">
        <v>138</v>
      </c>
      <c r="CZ72" s="24" t="s">
        <v>138</v>
      </c>
      <c r="DA72" s="23">
        <v>0</v>
      </c>
      <c r="DB72" s="24">
        <v>22</v>
      </c>
      <c r="DC72" s="25">
        <v>35.47</v>
      </c>
      <c r="DD72" s="24">
        <v>97</v>
      </c>
      <c r="DE72" s="25">
        <v>-4.47</v>
      </c>
      <c r="DF72" s="23">
        <v>-11.2</v>
      </c>
      <c r="DG72" s="25">
        <v>69.739999999999995</v>
      </c>
      <c r="DH72" s="24">
        <v>99</v>
      </c>
      <c r="DI72" s="25">
        <v>1.21</v>
      </c>
      <c r="DJ72" s="24">
        <v>53</v>
      </c>
      <c r="DK72" s="25">
        <v>69.739999999999995</v>
      </c>
      <c r="DL72" s="24">
        <v>97</v>
      </c>
      <c r="DM72" s="25" t="s">
        <v>138</v>
      </c>
      <c r="DN72" s="24" t="s">
        <v>138</v>
      </c>
      <c r="DO72" s="25">
        <v>1.21</v>
      </c>
      <c r="DP72" s="24">
        <v>54</v>
      </c>
      <c r="DQ72" s="24">
        <v>23758</v>
      </c>
      <c r="DR72" s="26">
        <v>489</v>
      </c>
      <c r="DS72" s="23">
        <v>2.1</v>
      </c>
      <c r="DT72" s="24" t="s">
        <v>138</v>
      </c>
      <c r="DU72" s="26" t="s">
        <v>138</v>
      </c>
      <c r="DV72" s="23" t="s">
        <v>138</v>
      </c>
      <c r="DW72" s="24">
        <v>433</v>
      </c>
      <c r="DX72" s="27">
        <v>-1</v>
      </c>
      <c r="DY72" s="23">
        <v>-0.23</v>
      </c>
      <c r="DZ72" s="15" t="s">
        <v>178</v>
      </c>
      <c r="EA72" s="22">
        <v>43615</v>
      </c>
      <c r="EB72" s="17">
        <v>60</v>
      </c>
      <c r="EC72" s="22">
        <v>42916</v>
      </c>
      <c r="ED72" s="15" t="s">
        <v>205</v>
      </c>
      <c r="EE72" s="14" t="str">
        <f>HYPERLINK("https://my.pitchbook.com?c=100100-26", "View company online")</f>
        <v>View company online</v>
      </c>
    </row>
    <row r="73" spans="1:135">
      <c r="A73" s="28" t="s">
        <v>1809</v>
      </c>
      <c r="B73" s="28" t="s">
        <v>1810</v>
      </c>
      <c r="C73" s="28" t="s">
        <v>138</v>
      </c>
      <c r="D73" s="28" t="s">
        <v>1811</v>
      </c>
      <c r="E73" s="28" t="s">
        <v>138</v>
      </c>
      <c r="F73" s="28" t="s">
        <v>1809</v>
      </c>
      <c r="G73" s="28" t="s">
        <v>1812</v>
      </c>
      <c r="H73" s="28" t="s">
        <v>238</v>
      </c>
      <c r="I73" s="28" t="s">
        <v>1351</v>
      </c>
      <c r="J73" s="28" t="s">
        <v>1813</v>
      </c>
      <c r="K73" s="28" t="s">
        <v>1814</v>
      </c>
      <c r="L73" s="28" t="s">
        <v>1815</v>
      </c>
      <c r="M73" s="28" t="s">
        <v>1816</v>
      </c>
      <c r="N73" s="28" t="s">
        <v>542</v>
      </c>
      <c r="O73" s="29">
        <v>0.02</v>
      </c>
      <c r="P73" s="28" t="s">
        <v>610</v>
      </c>
      <c r="Q73" s="28" t="s">
        <v>149</v>
      </c>
      <c r="R73" s="28" t="s">
        <v>174</v>
      </c>
      <c r="S73" s="28" t="s">
        <v>1817</v>
      </c>
      <c r="T73" s="30" t="s">
        <v>138</v>
      </c>
      <c r="U73" s="28" t="s">
        <v>138</v>
      </c>
      <c r="V73" s="28" t="s">
        <v>138</v>
      </c>
      <c r="W73" s="28" t="s">
        <v>138</v>
      </c>
      <c r="X73" s="31">
        <v>2009</v>
      </c>
      <c r="Y73" s="28" t="s">
        <v>138</v>
      </c>
      <c r="Z73" s="28" t="s">
        <v>138</v>
      </c>
      <c r="AA73" s="28" t="s">
        <v>138</v>
      </c>
      <c r="AB73" s="32" t="s">
        <v>138</v>
      </c>
      <c r="AC73" s="32" t="s">
        <v>138</v>
      </c>
      <c r="AD73" s="32" t="s">
        <v>138</v>
      </c>
      <c r="AE73" s="32" t="s">
        <v>138</v>
      </c>
      <c r="AF73" s="32" t="s">
        <v>138</v>
      </c>
      <c r="AG73" s="28" t="s">
        <v>138</v>
      </c>
      <c r="AH73" s="32" t="s">
        <v>138</v>
      </c>
      <c r="AI73" s="32" t="s">
        <v>138</v>
      </c>
      <c r="AJ73" s="32" t="s">
        <v>138</v>
      </c>
      <c r="AK73" s="28" t="s">
        <v>1818</v>
      </c>
      <c r="AL73" s="28" t="s">
        <v>1819</v>
      </c>
      <c r="AM73" s="28" t="s">
        <v>818</v>
      </c>
      <c r="AN73" s="28" t="s">
        <v>1820</v>
      </c>
      <c r="AO73" s="28" t="s">
        <v>138</v>
      </c>
      <c r="AP73" s="28" t="s">
        <v>1821</v>
      </c>
      <c r="AQ73" s="28" t="s">
        <v>1822</v>
      </c>
      <c r="AR73" s="28" t="s">
        <v>138</v>
      </c>
      <c r="AS73" s="28" t="s">
        <v>1823</v>
      </c>
      <c r="AT73" s="28" t="s">
        <v>824</v>
      </c>
      <c r="AU73" s="28" t="s">
        <v>1824</v>
      </c>
      <c r="AV73" s="28" t="s">
        <v>526</v>
      </c>
      <c r="AW73" s="28" t="s">
        <v>138</v>
      </c>
      <c r="AX73" s="28" t="s">
        <v>138</v>
      </c>
      <c r="AY73" s="28" t="s">
        <v>1825</v>
      </c>
      <c r="AZ73" s="28" t="s">
        <v>530</v>
      </c>
      <c r="BA73" s="28" t="s">
        <v>531</v>
      </c>
      <c r="BB73" s="28" t="s">
        <v>1826</v>
      </c>
      <c r="BC73" s="28" t="s">
        <v>1827</v>
      </c>
      <c r="BD73" s="33">
        <v>3</v>
      </c>
      <c r="BE73" s="28" t="s">
        <v>138</v>
      </c>
      <c r="BF73" s="28" t="s">
        <v>138</v>
      </c>
      <c r="BG73" s="28" t="s">
        <v>138</v>
      </c>
      <c r="BH73" s="28" t="s">
        <v>1828</v>
      </c>
      <c r="BI73" s="28" t="s">
        <v>138</v>
      </c>
      <c r="BJ73" s="28" t="s">
        <v>138</v>
      </c>
      <c r="BK73" s="28" t="s">
        <v>138</v>
      </c>
      <c r="BL73" s="28" t="s">
        <v>1829</v>
      </c>
      <c r="BM73" s="34">
        <v>41483</v>
      </c>
      <c r="BN73" s="29">
        <v>0.05</v>
      </c>
      <c r="BO73" s="28" t="s">
        <v>172</v>
      </c>
      <c r="BP73" s="29" t="s">
        <v>138</v>
      </c>
      <c r="BQ73" s="28" t="s">
        <v>138</v>
      </c>
      <c r="BR73" s="28" t="s">
        <v>1830</v>
      </c>
      <c r="BS73" s="28" t="s">
        <v>138</v>
      </c>
      <c r="BT73" s="28" t="s">
        <v>138</v>
      </c>
      <c r="BU73" s="28" t="s">
        <v>263</v>
      </c>
      <c r="BV73" s="28" t="s">
        <v>138</v>
      </c>
      <c r="BW73" s="28" t="s">
        <v>138</v>
      </c>
      <c r="BX73" s="28" t="s">
        <v>138</v>
      </c>
      <c r="BY73" s="28" t="s">
        <v>1831</v>
      </c>
      <c r="BZ73" s="34">
        <v>42439</v>
      </c>
      <c r="CA73" s="29">
        <v>0.02</v>
      </c>
      <c r="CB73" s="28" t="s">
        <v>172</v>
      </c>
      <c r="CC73" s="29" t="s">
        <v>138</v>
      </c>
      <c r="CD73" s="28" t="s">
        <v>138</v>
      </c>
      <c r="CE73" s="28" t="s">
        <v>316</v>
      </c>
      <c r="CF73" s="28" t="s">
        <v>138</v>
      </c>
      <c r="CG73" s="28" t="s">
        <v>138</v>
      </c>
      <c r="CH73" s="28" t="s">
        <v>177</v>
      </c>
      <c r="CI73" s="28" t="s">
        <v>138</v>
      </c>
      <c r="CJ73" s="28" t="s">
        <v>138</v>
      </c>
      <c r="CK73" s="28" t="s">
        <v>138</v>
      </c>
      <c r="CL73" s="28" t="s">
        <v>175</v>
      </c>
      <c r="CM73" s="34" t="s">
        <v>138</v>
      </c>
      <c r="CN73" s="29" t="s">
        <v>138</v>
      </c>
      <c r="CO73" s="35">
        <v>-0.37</v>
      </c>
      <c r="CP73" s="36">
        <v>18</v>
      </c>
      <c r="CQ73" s="35">
        <v>-0.01</v>
      </c>
      <c r="CR73" s="35">
        <v>-1.6</v>
      </c>
      <c r="CS73" s="35">
        <v>-0.7</v>
      </c>
      <c r="CT73" s="36">
        <v>18</v>
      </c>
      <c r="CU73" s="35">
        <v>-0.05</v>
      </c>
      <c r="CV73" s="36">
        <v>9</v>
      </c>
      <c r="CW73" s="35">
        <v>0</v>
      </c>
      <c r="CX73" s="36">
        <v>13</v>
      </c>
      <c r="CY73" s="35">
        <v>-1.4</v>
      </c>
      <c r="CZ73" s="36">
        <v>16</v>
      </c>
      <c r="DA73" s="35">
        <v>-0.05</v>
      </c>
      <c r="DB73" s="36">
        <v>13</v>
      </c>
      <c r="DC73" s="37">
        <v>3.07</v>
      </c>
      <c r="DD73" s="36">
        <v>75</v>
      </c>
      <c r="DE73" s="37">
        <v>-0.04</v>
      </c>
      <c r="DF73" s="35">
        <v>-1.3</v>
      </c>
      <c r="DG73" s="37">
        <v>3.19</v>
      </c>
      <c r="DH73" s="36">
        <v>76</v>
      </c>
      <c r="DI73" s="37">
        <v>2.96</v>
      </c>
      <c r="DJ73" s="36">
        <v>69</v>
      </c>
      <c r="DK73" s="37">
        <v>1.79</v>
      </c>
      <c r="DL73" s="36">
        <v>62</v>
      </c>
      <c r="DM73" s="37">
        <v>4.59</v>
      </c>
      <c r="DN73" s="36">
        <v>80</v>
      </c>
      <c r="DO73" s="37">
        <v>2.96</v>
      </c>
      <c r="DP73" s="36">
        <v>71</v>
      </c>
      <c r="DQ73" s="36">
        <v>599</v>
      </c>
      <c r="DR73" s="38">
        <v>41</v>
      </c>
      <c r="DS73" s="35">
        <v>7.35</v>
      </c>
      <c r="DT73" s="36">
        <v>132</v>
      </c>
      <c r="DU73" s="38">
        <v>0</v>
      </c>
      <c r="DV73" s="35">
        <v>0</v>
      </c>
      <c r="DW73" s="36">
        <v>1059</v>
      </c>
      <c r="DX73" s="39">
        <v>-1</v>
      </c>
      <c r="DY73" s="35">
        <v>-0.09</v>
      </c>
      <c r="DZ73" s="28" t="s">
        <v>178</v>
      </c>
      <c r="EA73" s="34">
        <v>43448</v>
      </c>
      <c r="EB73" s="29" t="s">
        <v>138</v>
      </c>
      <c r="EC73" s="34" t="s">
        <v>138</v>
      </c>
      <c r="ED73" s="28" t="s">
        <v>138</v>
      </c>
      <c r="EE73" s="40" t="str">
        <f>HYPERLINK("https://my.pitchbook.com?c=155314-63", "View company online")</f>
        <v>View company online</v>
      </c>
    </row>
    <row r="74" spans="1:135">
      <c r="A74" s="15" t="s">
        <v>1832</v>
      </c>
      <c r="B74" s="15" t="s">
        <v>1833</v>
      </c>
      <c r="C74" s="15" t="s">
        <v>138</v>
      </c>
      <c r="D74" s="15" t="s">
        <v>138</v>
      </c>
      <c r="E74" s="15" t="s">
        <v>1834</v>
      </c>
      <c r="F74" s="15" t="s">
        <v>1832</v>
      </c>
      <c r="G74" s="15" t="s">
        <v>1835</v>
      </c>
      <c r="H74" s="15" t="s">
        <v>322</v>
      </c>
      <c r="I74" s="15" t="s">
        <v>1503</v>
      </c>
      <c r="J74" s="15" t="s">
        <v>1836</v>
      </c>
      <c r="K74" s="15" t="s">
        <v>1837</v>
      </c>
      <c r="L74" s="15" t="s">
        <v>359</v>
      </c>
      <c r="M74" s="15" t="s">
        <v>1838</v>
      </c>
      <c r="N74" s="15" t="s">
        <v>147</v>
      </c>
      <c r="O74" s="17">
        <v>87.77</v>
      </c>
      <c r="P74" s="15" t="s">
        <v>812</v>
      </c>
      <c r="Q74" s="15" t="s">
        <v>149</v>
      </c>
      <c r="R74" s="15" t="s">
        <v>174</v>
      </c>
      <c r="S74" s="15" t="s">
        <v>1839</v>
      </c>
      <c r="T74" s="18">
        <v>55</v>
      </c>
      <c r="U74" s="15" t="s">
        <v>1840</v>
      </c>
      <c r="V74" s="15" t="s">
        <v>138</v>
      </c>
      <c r="W74" s="15" t="s">
        <v>138</v>
      </c>
      <c r="X74" s="19">
        <v>2007</v>
      </c>
      <c r="Y74" s="15" t="s">
        <v>138</v>
      </c>
      <c r="Z74" s="15" t="s">
        <v>138</v>
      </c>
      <c r="AA74" s="15" t="s">
        <v>138</v>
      </c>
      <c r="AB74" s="20" t="s">
        <v>138</v>
      </c>
      <c r="AC74" s="20" t="s">
        <v>138</v>
      </c>
      <c r="AD74" s="20" t="s">
        <v>138</v>
      </c>
      <c r="AE74" s="20" t="s">
        <v>138</v>
      </c>
      <c r="AF74" s="20" t="s">
        <v>138</v>
      </c>
      <c r="AG74" s="15" t="s">
        <v>138</v>
      </c>
      <c r="AH74" s="20" t="s">
        <v>138</v>
      </c>
      <c r="AI74" s="20" t="s">
        <v>138</v>
      </c>
      <c r="AJ74" s="20" t="s">
        <v>138</v>
      </c>
      <c r="AK74" s="15" t="s">
        <v>1841</v>
      </c>
      <c r="AL74" s="15" t="s">
        <v>1842</v>
      </c>
      <c r="AM74" s="15" t="s">
        <v>249</v>
      </c>
      <c r="AN74" s="15" t="s">
        <v>1843</v>
      </c>
      <c r="AO74" s="15" t="s">
        <v>1844</v>
      </c>
      <c r="AP74" s="15" t="s">
        <v>1845</v>
      </c>
      <c r="AQ74" s="15" t="s">
        <v>1846</v>
      </c>
      <c r="AR74" s="15" t="s">
        <v>138</v>
      </c>
      <c r="AS74" s="15" t="s">
        <v>1847</v>
      </c>
      <c r="AT74" s="15" t="s">
        <v>864</v>
      </c>
      <c r="AU74" s="15" t="s">
        <v>1848</v>
      </c>
      <c r="AV74" s="15" t="s">
        <v>162</v>
      </c>
      <c r="AW74" s="15" t="s">
        <v>1844</v>
      </c>
      <c r="AX74" s="15" t="s">
        <v>1849</v>
      </c>
      <c r="AY74" s="15" t="s">
        <v>1850</v>
      </c>
      <c r="AZ74" s="15" t="s">
        <v>164</v>
      </c>
      <c r="BA74" s="15" t="s">
        <v>165</v>
      </c>
      <c r="BB74" s="15" t="s">
        <v>1851</v>
      </c>
      <c r="BC74" s="15" t="s">
        <v>1852</v>
      </c>
      <c r="BD74" s="21">
        <v>18</v>
      </c>
      <c r="BE74" s="15" t="s">
        <v>138</v>
      </c>
      <c r="BF74" s="15" t="s">
        <v>138</v>
      </c>
      <c r="BG74" s="15" t="s">
        <v>138</v>
      </c>
      <c r="BH74" s="15" t="s">
        <v>1853</v>
      </c>
      <c r="BI74" s="15" t="s">
        <v>138</v>
      </c>
      <c r="BJ74" s="15" t="s">
        <v>138</v>
      </c>
      <c r="BK74" s="15" t="s">
        <v>1854</v>
      </c>
      <c r="BL74" s="15" t="s">
        <v>1855</v>
      </c>
      <c r="BM74" s="22">
        <v>39881</v>
      </c>
      <c r="BN74" s="17">
        <v>4.49</v>
      </c>
      <c r="BO74" s="15" t="s">
        <v>172</v>
      </c>
      <c r="BP74" s="17">
        <v>9.99</v>
      </c>
      <c r="BQ74" s="15" t="s">
        <v>172</v>
      </c>
      <c r="BR74" s="15" t="s">
        <v>205</v>
      </c>
      <c r="BS74" s="15" t="s">
        <v>206</v>
      </c>
      <c r="BT74" s="15" t="s">
        <v>138</v>
      </c>
      <c r="BU74" s="15" t="s">
        <v>174</v>
      </c>
      <c r="BV74" s="15" t="s">
        <v>138</v>
      </c>
      <c r="BW74" s="15" t="s">
        <v>138</v>
      </c>
      <c r="BX74" s="15" t="s">
        <v>138</v>
      </c>
      <c r="BY74" s="15" t="s">
        <v>175</v>
      </c>
      <c r="BZ74" s="22" t="s">
        <v>138</v>
      </c>
      <c r="CA74" s="17">
        <v>21</v>
      </c>
      <c r="CB74" s="15" t="s">
        <v>1178</v>
      </c>
      <c r="CC74" s="17">
        <v>350</v>
      </c>
      <c r="CD74" s="15" t="s">
        <v>172</v>
      </c>
      <c r="CE74" s="15" t="s">
        <v>173</v>
      </c>
      <c r="CF74" s="15" t="s">
        <v>138</v>
      </c>
      <c r="CG74" s="15" t="s">
        <v>138</v>
      </c>
      <c r="CH74" s="15" t="s">
        <v>174</v>
      </c>
      <c r="CI74" s="15" t="s">
        <v>138</v>
      </c>
      <c r="CJ74" s="15" t="s">
        <v>138</v>
      </c>
      <c r="CK74" s="15" t="s">
        <v>138</v>
      </c>
      <c r="CL74" s="15" t="s">
        <v>175</v>
      </c>
      <c r="CM74" s="22" t="s">
        <v>138</v>
      </c>
      <c r="CN74" s="17" t="s">
        <v>138</v>
      </c>
      <c r="CO74" s="23">
        <v>0.7</v>
      </c>
      <c r="CP74" s="24">
        <v>96</v>
      </c>
      <c r="CQ74" s="23">
        <v>-0.09</v>
      </c>
      <c r="CR74" s="23">
        <v>-11.47</v>
      </c>
      <c r="CS74" s="23">
        <v>1.31</v>
      </c>
      <c r="CT74" s="24">
        <v>97</v>
      </c>
      <c r="CU74" s="23">
        <v>0.1</v>
      </c>
      <c r="CV74" s="24">
        <v>68</v>
      </c>
      <c r="CW74" s="23">
        <v>5.45</v>
      </c>
      <c r="CX74" s="24">
        <v>96</v>
      </c>
      <c r="CY74" s="23">
        <v>-2.83</v>
      </c>
      <c r="CZ74" s="24">
        <v>7</v>
      </c>
      <c r="DA74" s="23">
        <v>0.21</v>
      </c>
      <c r="DB74" s="24">
        <v>83</v>
      </c>
      <c r="DC74" s="25">
        <v>17.61</v>
      </c>
      <c r="DD74" s="24">
        <v>94</v>
      </c>
      <c r="DE74" s="25">
        <v>-0.2</v>
      </c>
      <c r="DF74" s="23">
        <v>-1.1299999999999999</v>
      </c>
      <c r="DG74" s="25">
        <v>26.88</v>
      </c>
      <c r="DH74" s="24">
        <v>96</v>
      </c>
      <c r="DI74" s="25">
        <v>8.35</v>
      </c>
      <c r="DJ74" s="24">
        <v>83</v>
      </c>
      <c r="DK74" s="25">
        <v>5.17</v>
      </c>
      <c r="DL74" s="24">
        <v>80</v>
      </c>
      <c r="DM74" s="25">
        <v>48.59</v>
      </c>
      <c r="DN74" s="24">
        <v>98</v>
      </c>
      <c r="DO74" s="25">
        <v>9.1300000000000008</v>
      </c>
      <c r="DP74" s="24">
        <v>86</v>
      </c>
      <c r="DQ74" s="24">
        <v>1710</v>
      </c>
      <c r="DR74" s="26">
        <v>188</v>
      </c>
      <c r="DS74" s="23">
        <v>12.35</v>
      </c>
      <c r="DT74" s="24">
        <v>1411</v>
      </c>
      <c r="DU74" s="26">
        <v>-7</v>
      </c>
      <c r="DV74" s="23">
        <v>-0.49</v>
      </c>
      <c r="DW74" s="24">
        <v>3264</v>
      </c>
      <c r="DX74" s="27">
        <v>8</v>
      </c>
      <c r="DY74" s="23">
        <v>0.25</v>
      </c>
      <c r="DZ74" s="15" t="s">
        <v>178</v>
      </c>
      <c r="EA74" s="22">
        <v>43609</v>
      </c>
      <c r="EB74" s="17">
        <v>271.88</v>
      </c>
      <c r="EC74" s="22">
        <v>42064</v>
      </c>
      <c r="ED74" s="15" t="s">
        <v>173</v>
      </c>
      <c r="EE74" s="14" t="str">
        <f>HYPERLINK("https://my.pitchbook.com?c=52311-52", "View company online")</f>
        <v>View company online</v>
      </c>
    </row>
    <row r="75" spans="1:135">
      <c r="A75" s="28" t="s">
        <v>1856</v>
      </c>
      <c r="B75" s="28" t="s">
        <v>1857</v>
      </c>
      <c r="C75" s="28" t="s">
        <v>1858</v>
      </c>
      <c r="D75" s="28" t="s">
        <v>138</v>
      </c>
      <c r="E75" s="28" t="s">
        <v>1859</v>
      </c>
      <c r="F75" s="28" t="s">
        <v>1856</v>
      </c>
      <c r="G75" s="28" t="s">
        <v>1860</v>
      </c>
      <c r="H75" s="28" t="s">
        <v>322</v>
      </c>
      <c r="I75" s="28" t="s">
        <v>323</v>
      </c>
      <c r="J75" s="28" t="s">
        <v>437</v>
      </c>
      <c r="K75" s="28" t="s">
        <v>1861</v>
      </c>
      <c r="L75" s="28" t="s">
        <v>1862</v>
      </c>
      <c r="M75" s="28" t="s">
        <v>1863</v>
      </c>
      <c r="N75" s="28" t="s">
        <v>147</v>
      </c>
      <c r="O75" s="29">
        <v>52.56</v>
      </c>
      <c r="P75" s="28" t="s">
        <v>610</v>
      </c>
      <c r="Q75" s="28" t="s">
        <v>149</v>
      </c>
      <c r="R75" s="28" t="s">
        <v>174</v>
      </c>
      <c r="S75" s="28" t="s">
        <v>1864</v>
      </c>
      <c r="T75" s="30">
        <v>19</v>
      </c>
      <c r="U75" s="28" t="s">
        <v>1865</v>
      </c>
      <c r="V75" s="28" t="s">
        <v>138</v>
      </c>
      <c r="W75" s="28" t="s">
        <v>138</v>
      </c>
      <c r="X75" s="31">
        <v>2014</v>
      </c>
      <c r="Y75" s="28" t="s">
        <v>138</v>
      </c>
      <c r="Z75" s="28" t="s">
        <v>138</v>
      </c>
      <c r="AA75" s="28" t="s">
        <v>138</v>
      </c>
      <c r="AB75" s="32" t="s">
        <v>138</v>
      </c>
      <c r="AC75" s="32" t="s">
        <v>138</v>
      </c>
      <c r="AD75" s="32" t="s">
        <v>138</v>
      </c>
      <c r="AE75" s="32" t="s">
        <v>138</v>
      </c>
      <c r="AF75" s="32" t="s">
        <v>138</v>
      </c>
      <c r="AG75" s="28" t="s">
        <v>138</v>
      </c>
      <c r="AH75" s="32" t="s">
        <v>138</v>
      </c>
      <c r="AI75" s="32" t="s">
        <v>138</v>
      </c>
      <c r="AJ75" s="32" t="s">
        <v>138</v>
      </c>
      <c r="AK75" s="28" t="s">
        <v>1866</v>
      </c>
      <c r="AL75" s="28" t="s">
        <v>1867</v>
      </c>
      <c r="AM75" s="28" t="s">
        <v>304</v>
      </c>
      <c r="AN75" s="28" t="s">
        <v>1868</v>
      </c>
      <c r="AO75" s="28" t="s">
        <v>1869</v>
      </c>
      <c r="AP75" s="28" t="s">
        <v>1870</v>
      </c>
      <c r="AQ75" s="28" t="s">
        <v>1871</v>
      </c>
      <c r="AR75" s="28" t="s">
        <v>138</v>
      </c>
      <c r="AS75" s="28" t="s">
        <v>1872</v>
      </c>
      <c r="AT75" s="28" t="s">
        <v>200</v>
      </c>
      <c r="AU75" s="28" t="s">
        <v>1873</v>
      </c>
      <c r="AV75" s="28" t="s">
        <v>162</v>
      </c>
      <c r="AW75" s="28" t="s">
        <v>1869</v>
      </c>
      <c r="AX75" s="28" t="s">
        <v>138</v>
      </c>
      <c r="AY75" s="28" t="s">
        <v>1874</v>
      </c>
      <c r="AZ75" s="28" t="s">
        <v>164</v>
      </c>
      <c r="BA75" s="28" t="s">
        <v>165</v>
      </c>
      <c r="BB75" s="28" t="s">
        <v>1875</v>
      </c>
      <c r="BC75" s="28" t="s">
        <v>1876</v>
      </c>
      <c r="BD75" s="33">
        <v>18</v>
      </c>
      <c r="BE75" s="28" t="s">
        <v>138</v>
      </c>
      <c r="BF75" s="28" t="s">
        <v>138</v>
      </c>
      <c r="BG75" s="28" t="s">
        <v>138</v>
      </c>
      <c r="BH75" s="28" t="s">
        <v>1877</v>
      </c>
      <c r="BI75" s="28" t="s">
        <v>138</v>
      </c>
      <c r="BJ75" s="28" t="s">
        <v>138</v>
      </c>
      <c r="BK75" s="28" t="s">
        <v>1878</v>
      </c>
      <c r="BL75" s="28" t="s">
        <v>1275</v>
      </c>
      <c r="BM75" s="34">
        <v>42095</v>
      </c>
      <c r="BN75" s="29" t="s">
        <v>138</v>
      </c>
      <c r="BO75" s="28" t="s">
        <v>138</v>
      </c>
      <c r="BP75" s="29" t="s">
        <v>138</v>
      </c>
      <c r="BQ75" s="28" t="s">
        <v>138</v>
      </c>
      <c r="BR75" s="28" t="s">
        <v>234</v>
      </c>
      <c r="BS75" s="28" t="s">
        <v>234</v>
      </c>
      <c r="BT75" s="28" t="s">
        <v>138</v>
      </c>
      <c r="BU75" s="28" t="s">
        <v>174</v>
      </c>
      <c r="BV75" s="28" t="s">
        <v>138</v>
      </c>
      <c r="BW75" s="28" t="s">
        <v>138</v>
      </c>
      <c r="BX75" s="28" t="s">
        <v>138</v>
      </c>
      <c r="BY75" s="28" t="s">
        <v>175</v>
      </c>
      <c r="BZ75" s="34">
        <v>42942</v>
      </c>
      <c r="CA75" s="29">
        <v>40</v>
      </c>
      <c r="CB75" s="28" t="s">
        <v>172</v>
      </c>
      <c r="CC75" s="29">
        <v>150</v>
      </c>
      <c r="CD75" s="28" t="s">
        <v>172</v>
      </c>
      <c r="CE75" s="28" t="s">
        <v>205</v>
      </c>
      <c r="CF75" s="28" t="s">
        <v>720</v>
      </c>
      <c r="CG75" s="28" t="s">
        <v>138</v>
      </c>
      <c r="CH75" s="28" t="s">
        <v>174</v>
      </c>
      <c r="CI75" s="28" t="s">
        <v>138</v>
      </c>
      <c r="CJ75" s="28" t="s">
        <v>138</v>
      </c>
      <c r="CK75" s="28" t="s">
        <v>138</v>
      </c>
      <c r="CL75" s="28" t="s">
        <v>175</v>
      </c>
      <c r="CM75" s="34" t="s">
        <v>138</v>
      </c>
      <c r="CN75" s="29" t="s">
        <v>138</v>
      </c>
      <c r="CO75" s="35">
        <v>0.21</v>
      </c>
      <c r="CP75" s="36">
        <v>92</v>
      </c>
      <c r="CQ75" s="35">
        <v>-0.01</v>
      </c>
      <c r="CR75" s="35">
        <v>-6.22</v>
      </c>
      <c r="CS75" s="35">
        <v>-0.14000000000000001</v>
      </c>
      <c r="CT75" s="36">
        <v>22</v>
      </c>
      <c r="CU75" s="35">
        <v>0.41</v>
      </c>
      <c r="CV75" s="36">
        <v>91</v>
      </c>
      <c r="CW75" s="35">
        <v>3.75</v>
      </c>
      <c r="CX75" s="36">
        <v>93</v>
      </c>
      <c r="CY75" s="35">
        <v>-4.03</v>
      </c>
      <c r="CZ75" s="36">
        <v>5</v>
      </c>
      <c r="DA75" s="35">
        <v>0.42</v>
      </c>
      <c r="DB75" s="36">
        <v>92</v>
      </c>
      <c r="DC75" s="37">
        <v>18.98</v>
      </c>
      <c r="DD75" s="36">
        <v>94</v>
      </c>
      <c r="DE75" s="37">
        <v>-0.34</v>
      </c>
      <c r="DF75" s="35">
        <v>-1.74</v>
      </c>
      <c r="DG75" s="37">
        <v>25.88</v>
      </c>
      <c r="DH75" s="36">
        <v>96</v>
      </c>
      <c r="DI75" s="37">
        <v>22.62</v>
      </c>
      <c r="DJ75" s="36">
        <v>91</v>
      </c>
      <c r="DK75" s="37">
        <v>24.24</v>
      </c>
      <c r="DL75" s="36">
        <v>93</v>
      </c>
      <c r="DM75" s="37">
        <v>27.52</v>
      </c>
      <c r="DN75" s="36">
        <v>96</v>
      </c>
      <c r="DO75" s="37">
        <v>33.72</v>
      </c>
      <c r="DP75" s="36">
        <v>95</v>
      </c>
      <c r="DQ75" s="36">
        <v>8131</v>
      </c>
      <c r="DR75" s="38">
        <v>544</v>
      </c>
      <c r="DS75" s="35">
        <v>7.17</v>
      </c>
      <c r="DT75" s="36">
        <v>798</v>
      </c>
      <c r="DU75" s="38">
        <v>1</v>
      </c>
      <c r="DV75" s="35">
        <v>0.13</v>
      </c>
      <c r="DW75" s="36">
        <v>12040</v>
      </c>
      <c r="DX75" s="39">
        <v>42</v>
      </c>
      <c r="DY75" s="35">
        <v>0.35</v>
      </c>
      <c r="DZ75" s="28" t="s">
        <v>178</v>
      </c>
      <c r="EA75" s="34">
        <v>43472</v>
      </c>
      <c r="EB75" s="29">
        <v>150</v>
      </c>
      <c r="EC75" s="34">
        <v>42942</v>
      </c>
      <c r="ED75" s="28" t="s">
        <v>205</v>
      </c>
      <c r="EE75" s="40" t="str">
        <f>HYPERLINK("https://my.pitchbook.com?c=117068-59", "View company online")</f>
        <v>View company online</v>
      </c>
    </row>
    <row r="76" spans="1:135">
      <c r="A76" s="15" t="s">
        <v>1879</v>
      </c>
      <c r="B76" s="15" t="s">
        <v>1880</v>
      </c>
      <c r="C76" s="15" t="s">
        <v>138</v>
      </c>
      <c r="D76" s="15" t="s">
        <v>138</v>
      </c>
      <c r="E76" s="15" t="s">
        <v>1881</v>
      </c>
      <c r="F76" s="15" t="s">
        <v>1879</v>
      </c>
      <c r="G76" s="15" t="s">
        <v>1882</v>
      </c>
      <c r="H76" s="15" t="s">
        <v>238</v>
      </c>
      <c r="I76" s="15" t="s">
        <v>785</v>
      </c>
      <c r="J76" s="15" t="s">
        <v>786</v>
      </c>
      <c r="K76" s="15" t="s">
        <v>1883</v>
      </c>
      <c r="L76" s="15" t="s">
        <v>1884</v>
      </c>
      <c r="M76" s="15" t="s">
        <v>1885</v>
      </c>
      <c r="N76" s="15" t="s">
        <v>147</v>
      </c>
      <c r="O76" s="17">
        <v>1500.33</v>
      </c>
      <c r="P76" s="15" t="s">
        <v>148</v>
      </c>
      <c r="Q76" s="15" t="s">
        <v>149</v>
      </c>
      <c r="R76" s="15" t="s">
        <v>174</v>
      </c>
      <c r="S76" s="15" t="s">
        <v>1886</v>
      </c>
      <c r="T76" s="18">
        <v>900</v>
      </c>
      <c r="U76" s="15" t="s">
        <v>1887</v>
      </c>
      <c r="V76" s="15" t="s">
        <v>138</v>
      </c>
      <c r="W76" s="15" t="s">
        <v>138</v>
      </c>
      <c r="X76" s="19">
        <v>2010</v>
      </c>
      <c r="Y76" s="15" t="s">
        <v>138</v>
      </c>
      <c r="Z76" s="15" t="s">
        <v>138</v>
      </c>
      <c r="AA76" s="15" t="s">
        <v>138</v>
      </c>
      <c r="AB76" s="20">
        <v>2000</v>
      </c>
      <c r="AC76" s="20" t="s">
        <v>138</v>
      </c>
      <c r="AD76" s="20" t="s">
        <v>138</v>
      </c>
      <c r="AE76" s="20" t="s">
        <v>138</v>
      </c>
      <c r="AF76" s="20" t="s">
        <v>138</v>
      </c>
      <c r="AG76" s="15" t="s">
        <v>815</v>
      </c>
      <c r="AH76" s="20" t="s">
        <v>138</v>
      </c>
      <c r="AI76" s="20" t="s">
        <v>138</v>
      </c>
      <c r="AJ76" s="20" t="s">
        <v>138</v>
      </c>
      <c r="AK76" s="15" t="s">
        <v>1888</v>
      </c>
      <c r="AL76" s="15" t="s">
        <v>1889</v>
      </c>
      <c r="AM76" s="15" t="s">
        <v>1586</v>
      </c>
      <c r="AN76" s="15" t="s">
        <v>1890</v>
      </c>
      <c r="AO76" s="15" t="s">
        <v>1891</v>
      </c>
      <c r="AP76" s="15" t="s">
        <v>665</v>
      </c>
      <c r="AQ76" s="15" t="s">
        <v>1892</v>
      </c>
      <c r="AR76" s="15" t="s">
        <v>920</v>
      </c>
      <c r="AS76" s="15" t="s">
        <v>668</v>
      </c>
      <c r="AT76" s="15" t="s">
        <v>200</v>
      </c>
      <c r="AU76" s="15" t="s">
        <v>1893</v>
      </c>
      <c r="AV76" s="15" t="s">
        <v>162</v>
      </c>
      <c r="AW76" s="15" t="s">
        <v>1891</v>
      </c>
      <c r="AX76" s="15" t="s">
        <v>138</v>
      </c>
      <c r="AY76" s="15" t="s">
        <v>138</v>
      </c>
      <c r="AZ76" s="15" t="s">
        <v>164</v>
      </c>
      <c r="BA76" s="15" t="s">
        <v>165</v>
      </c>
      <c r="BB76" s="15" t="s">
        <v>1894</v>
      </c>
      <c r="BC76" s="15" t="s">
        <v>1895</v>
      </c>
      <c r="BD76" s="21">
        <v>51</v>
      </c>
      <c r="BE76" s="15" t="s">
        <v>138</v>
      </c>
      <c r="BF76" s="15" t="s">
        <v>138</v>
      </c>
      <c r="BG76" s="15" t="s">
        <v>138</v>
      </c>
      <c r="BH76" s="15" t="s">
        <v>1896</v>
      </c>
      <c r="BI76" s="15" t="s">
        <v>138</v>
      </c>
      <c r="BJ76" s="15" t="s">
        <v>138</v>
      </c>
      <c r="BK76" s="15" t="s">
        <v>1251</v>
      </c>
      <c r="BL76" s="15" t="s">
        <v>1251</v>
      </c>
      <c r="BM76" s="22">
        <v>40605</v>
      </c>
      <c r="BN76" s="17">
        <v>1.7</v>
      </c>
      <c r="BO76" s="15" t="s">
        <v>172</v>
      </c>
      <c r="BP76" s="17" t="s">
        <v>138</v>
      </c>
      <c r="BQ76" s="15" t="s">
        <v>138</v>
      </c>
      <c r="BR76" s="15" t="s">
        <v>234</v>
      </c>
      <c r="BS76" s="15" t="s">
        <v>234</v>
      </c>
      <c r="BT76" s="15" t="s">
        <v>138</v>
      </c>
      <c r="BU76" s="15" t="s">
        <v>174</v>
      </c>
      <c r="BV76" s="15" t="s">
        <v>138</v>
      </c>
      <c r="BW76" s="15" t="s">
        <v>138</v>
      </c>
      <c r="BX76" s="15" t="s">
        <v>138</v>
      </c>
      <c r="BY76" s="15" t="s">
        <v>175</v>
      </c>
      <c r="BZ76" s="22">
        <v>43466</v>
      </c>
      <c r="CA76" s="17" t="s">
        <v>138</v>
      </c>
      <c r="CB76" s="15" t="s">
        <v>138</v>
      </c>
      <c r="CC76" s="17" t="s">
        <v>138</v>
      </c>
      <c r="CD76" s="15" t="s">
        <v>138</v>
      </c>
      <c r="CE76" s="15" t="s">
        <v>173</v>
      </c>
      <c r="CF76" s="15" t="s">
        <v>1897</v>
      </c>
      <c r="CG76" s="15" t="s">
        <v>138</v>
      </c>
      <c r="CH76" s="15" t="s">
        <v>174</v>
      </c>
      <c r="CI76" s="15" t="s">
        <v>138</v>
      </c>
      <c r="CJ76" s="15" t="s">
        <v>138</v>
      </c>
      <c r="CK76" s="15" t="s">
        <v>138</v>
      </c>
      <c r="CL76" s="15" t="s">
        <v>175</v>
      </c>
      <c r="CM76" s="22" t="s">
        <v>138</v>
      </c>
      <c r="CN76" s="17" t="s">
        <v>138</v>
      </c>
      <c r="CO76" s="23">
        <v>-0.08</v>
      </c>
      <c r="CP76" s="24">
        <v>21</v>
      </c>
      <c r="CQ76" s="23">
        <v>-0.04</v>
      </c>
      <c r="CR76" s="23">
        <v>-103.15</v>
      </c>
      <c r="CS76" s="23">
        <v>-2.27</v>
      </c>
      <c r="CT76" s="24">
        <v>8</v>
      </c>
      <c r="CU76" s="23">
        <v>0.02</v>
      </c>
      <c r="CV76" s="24">
        <v>51</v>
      </c>
      <c r="CW76" s="23">
        <v>-3.33</v>
      </c>
      <c r="CX76" s="24">
        <v>5</v>
      </c>
      <c r="CY76" s="23">
        <v>-1.2</v>
      </c>
      <c r="CZ76" s="24">
        <v>17</v>
      </c>
      <c r="DA76" s="23">
        <v>0.02</v>
      </c>
      <c r="DB76" s="24">
        <v>58</v>
      </c>
      <c r="DC76" s="25">
        <v>13487.44</v>
      </c>
      <c r="DD76" s="24">
        <v>100</v>
      </c>
      <c r="DE76" s="25">
        <v>189.42</v>
      </c>
      <c r="DF76" s="23">
        <v>1.42</v>
      </c>
      <c r="DG76" s="25">
        <v>2932.98</v>
      </c>
      <c r="DH76" s="24">
        <v>100</v>
      </c>
      <c r="DI76" s="25">
        <v>20789.580000000002</v>
      </c>
      <c r="DJ76" s="24">
        <v>100</v>
      </c>
      <c r="DK76" s="25">
        <v>5595.83</v>
      </c>
      <c r="DL76" s="24">
        <v>100</v>
      </c>
      <c r="DM76" s="25">
        <v>270.14</v>
      </c>
      <c r="DN76" s="24">
        <v>100</v>
      </c>
      <c r="DO76" s="25">
        <v>539.65</v>
      </c>
      <c r="DP76" s="24">
        <v>100</v>
      </c>
      <c r="DQ76" s="24">
        <v>1941795</v>
      </c>
      <c r="DR76" s="26">
        <v>-67280</v>
      </c>
      <c r="DS76" s="23">
        <v>-3.35</v>
      </c>
      <c r="DT76" s="24">
        <v>7840</v>
      </c>
      <c r="DU76" s="26">
        <v>-6</v>
      </c>
      <c r="DV76" s="23">
        <v>-0.08</v>
      </c>
      <c r="DW76" s="24">
        <v>193194</v>
      </c>
      <c r="DX76" s="27">
        <v>-7</v>
      </c>
      <c r="DY76" s="23">
        <v>0</v>
      </c>
      <c r="DZ76" s="15" t="s">
        <v>178</v>
      </c>
      <c r="EA76" s="22">
        <v>43607</v>
      </c>
      <c r="EB76" s="17">
        <v>8000</v>
      </c>
      <c r="EC76" s="22">
        <v>42993</v>
      </c>
      <c r="ED76" s="15" t="s">
        <v>173</v>
      </c>
      <c r="EE76" s="14" t="str">
        <f>HYPERLINK("https://my.pitchbook.com?c=53780-77", "View company online")</f>
        <v>View company online</v>
      </c>
    </row>
    <row r="77" spans="1:135">
      <c r="A77" s="28" t="s">
        <v>1898</v>
      </c>
      <c r="B77" s="28" t="s">
        <v>1899</v>
      </c>
      <c r="C77" s="28" t="s">
        <v>138</v>
      </c>
      <c r="D77" s="28" t="s">
        <v>138</v>
      </c>
      <c r="E77" s="28" t="s">
        <v>138</v>
      </c>
      <c r="F77" s="28" t="s">
        <v>1898</v>
      </c>
      <c r="G77" s="28" t="s">
        <v>1900</v>
      </c>
      <c r="H77" s="28" t="s">
        <v>322</v>
      </c>
      <c r="I77" s="28" t="s">
        <v>356</v>
      </c>
      <c r="J77" s="28" t="s">
        <v>1901</v>
      </c>
      <c r="K77" s="28" t="s">
        <v>1902</v>
      </c>
      <c r="L77" s="28" t="s">
        <v>1104</v>
      </c>
      <c r="M77" s="28" t="s">
        <v>1903</v>
      </c>
      <c r="N77" s="28" t="s">
        <v>147</v>
      </c>
      <c r="O77" s="29">
        <v>6.26</v>
      </c>
      <c r="P77" s="28" t="s">
        <v>148</v>
      </c>
      <c r="Q77" s="28" t="s">
        <v>149</v>
      </c>
      <c r="R77" s="28" t="s">
        <v>174</v>
      </c>
      <c r="S77" s="28" t="s">
        <v>1904</v>
      </c>
      <c r="T77" s="30">
        <v>5</v>
      </c>
      <c r="U77" s="28" t="s">
        <v>1905</v>
      </c>
      <c r="V77" s="28" t="s">
        <v>138</v>
      </c>
      <c r="W77" s="28" t="s">
        <v>138</v>
      </c>
      <c r="X77" s="31">
        <v>2005</v>
      </c>
      <c r="Y77" s="28" t="s">
        <v>138</v>
      </c>
      <c r="Z77" s="28" t="s">
        <v>138</v>
      </c>
      <c r="AA77" s="28" t="s">
        <v>138</v>
      </c>
      <c r="AB77" s="32">
        <v>1.45</v>
      </c>
      <c r="AC77" s="32">
        <v>0.77</v>
      </c>
      <c r="AD77" s="32">
        <v>-0.25</v>
      </c>
      <c r="AE77" s="32" t="s">
        <v>138</v>
      </c>
      <c r="AF77" s="32">
        <v>0.05</v>
      </c>
      <c r="AG77" s="28" t="s">
        <v>419</v>
      </c>
      <c r="AH77" s="32" t="s">
        <v>138</v>
      </c>
      <c r="AI77" s="32" t="s">
        <v>138</v>
      </c>
      <c r="AJ77" s="32" t="s">
        <v>138</v>
      </c>
      <c r="AK77" s="28" t="s">
        <v>1906</v>
      </c>
      <c r="AL77" s="28" t="s">
        <v>1907</v>
      </c>
      <c r="AM77" s="28" t="s">
        <v>1908</v>
      </c>
      <c r="AN77" s="28" t="s">
        <v>1909</v>
      </c>
      <c r="AO77" s="28" t="s">
        <v>1910</v>
      </c>
      <c r="AP77" s="28" t="s">
        <v>1911</v>
      </c>
      <c r="AQ77" s="28" t="s">
        <v>1912</v>
      </c>
      <c r="AR77" s="28" t="s">
        <v>138</v>
      </c>
      <c r="AS77" s="28" t="s">
        <v>1913</v>
      </c>
      <c r="AT77" s="28" t="s">
        <v>138</v>
      </c>
      <c r="AU77" s="28" t="s">
        <v>1914</v>
      </c>
      <c r="AV77" s="28" t="s">
        <v>573</v>
      </c>
      <c r="AW77" s="28" t="s">
        <v>138</v>
      </c>
      <c r="AX77" s="28" t="s">
        <v>138</v>
      </c>
      <c r="AY77" s="28" t="s">
        <v>1915</v>
      </c>
      <c r="AZ77" s="28" t="s">
        <v>530</v>
      </c>
      <c r="BA77" s="28" t="s">
        <v>577</v>
      </c>
      <c r="BB77" s="28" t="s">
        <v>1916</v>
      </c>
      <c r="BC77" s="28" t="s">
        <v>1917</v>
      </c>
      <c r="BD77" s="33">
        <v>6</v>
      </c>
      <c r="BE77" s="28" t="s">
        <v>138</v>
      </c>
      <c r="BF77" s="28" t="s">
        <v>1918</v>
      </c>
      <c r="BG77" s="28" t="s">
        <v>138</v>
      </c>
      <c r="BH77" s="28" t="s">
        <v>1919</v>
      </c>
      <c r="BI77" s="28" t="s">
        <v>1920</v>
      </c>
      <c r="BJ77" s="28" t="s">
        <v>138</v>
      </c>
      <c r="BK77" s="28" t="s">
        <v>1791</v>
      </c>
      <c r="BL77" s="28" t="s">
        <v>138</v>
      </c>
      <c r="BM77" s="34">
        <v>38961</v>
      </c>
      <c r="BN77" s="29" t="s">
        <v>138</v>
      </c>
      <c r="BO77" s="28" t="s">
        <v>138</v>
      </c>
      <c r="BP77" s="29" t="s">
        <v>138</v>
      </c>
      <c r="BQ77" s="28" t="s">
        <v>138</v>
      </c>
      <c r="BR77" s="28" t="s">
        <v>205</v>
      </c>
      <c r="BS77" s="28" t="s">
        <v>138</v>
      </c>
      <c r="BT77" s="28" t="s">
        <v>138</v>
      </c>
      <c r="BU77" s="28" t="s">
        <v>174</v>
      </c>
      <c r="BV77" s="28" t="s">
        <v>138</v>
      </c>
      <c r="BW77" s="28" t="s">
        <v>138</v>
      </c>
      <c r="BX77" s="28" t="s">
        <v>138</v>
      </c>
      <c r="BY77" s="28" t="s">
        <v>175</v>
      </c>
      <c r="BZ77" s="34">
        <v>43257</v>
      </c>
      <c r="CA77" s="29">
        <v>0.6</v>
      </c>
      <c r="CB77" s="28" t="s">
        <v>172</v>
      </c>
      <c r="CC77" s="29">
        <v>12.6</v>
      </c>
      <c r="CD77" s="28" t="s">
        <v>172</v>
      </c>
      <c r="CE77" s="28" t="s">
        <v>173</v>
      </c>
      <c r="CF77" s="28" t="s">
        <v>138</v>
      </c>
      <c r="CG77" s="28" t="s">
        <v>138</v>
      </c>
      <c r="CH77" s="28" t="s">
        <v>174</v>
      </c>
      <c r="CI77" s="28" t="s">
        <v>138</v>
      </c>
      <c r="CJ77" s="28" t="s">
        <v>138</v>
      </c>
      <c r="CK77" s="28" t="s">
        <v>138</v>
      </c>
      <c r="CL77" s="28" t="s">
        <v>175</v>
      </c>
      <c r="CM77" s="34" t="s">
        <v>138</v>
      </c>
      <c r="CN77" s="29" t="s">
        <v>138</v>
      </c>
      <c r="CO77" s="35">
        <v>0</v>
      </c>
      <c r="CP77" s="36">
        <v>26</v>
      </c>
      <c r="CQ77" s="35">
        <v>0</v>
      </c>
      <c r="CR77" s="35">
        <v>0</v>
      </c>
      <c r="CS77" s="35">
        <v>0</v>
      </c>
      <c r="CT77" s="36">
        <v>23</v>
      </c>
      <c r="CU77" s="35">
        <v>0</v>
      </c>
      <c r="CV77" s="36">
        <v>22</v>
      </c>
      <c r="CW77" s="35" t="s">
        <v>138</v>
      </c>
      <c r="CX77" s="36" t="s">
        <v>138</v>
      </c>
      <c r="CY77" s="35">
        <v>0</v>
      </c>
      <c r="CZ77" s="36">
        <v>25</v>
      </c>
      <c r="DA77" s="35">
        <v>0</v>
      </c>
      <c r="DB77" s="36">
        <v>22</v>
      </c>
      <c r="DC77" s="37">
        <v>0.75</v>
      </c>
      <c r="DD77" s="36">
        <v>44</v>
      </c>
      <c r="DE77" s="37">
        <v>0</v>
      </c>
      <c r="DF77" s="35">
        <v>0.05</v>
      </c>
      <c r="DG77" s="37">
        <v>1.38</v>
      </c>
      <c r="DH77" s="36">
        <v>58</v>
      </c>
      <c r="DI77" s="37">
        <v>0.12</v>
      </c>
      <c r="DJ77" s="36">
        <v>16</v>
      </c>
      <c r="DK77" s="37" t="s">
        <v>138</v>
      </c>
      <c r="DL77" s="36" t="s">
        <v>138</v>
      </c>
      <c r="DM77" s="37">
        <v>1.38</v>
      </c>
      <c r="DN77" s="36">
        <v>58</v>
      </c>
      <c r="DO77" s="37">
        <v>0.12</v>
      </c>
      <c r="DP77" s="36">
        <v>18</v>
      </c>
      <c r="DQ77" s="36" t="s">
        <v>138</v>
      </c>
      <c r="DR77" s="38" t="s">
        <v>138</v>
      </c>
      <c r="DS77" s="35" t="s">
        <v>138</v>
      </c>
      <c r="DT77" s="36">
        <v>40</v>
      </c>
      <c r="DU77" s="38">
        <v>1</v>
      </c>
      <c r="DV77" s="35">
        <v>2.56</v>
      </c>
      <c r="DW77" s="36">
        <v>44</v>
      </c>
      <c r="DX77" s="39">
        <v>0</v>
      </c>
      <c r="DY77" s="35">
        <v>0</v>
      </c>
      <c r="DZ77" s="28" t="s">
        <v>178</v>
      </c>
      <c r="EA77" s="34">
        <v>43622</v>
      </c>
      <c r="EB77" s="29">
        <v>12.6</v>
      </c>
      <c r="EC77" s="34">
        <v>43257</v>
      </c>
      <c r="ED77" s="28" t="s">
        <v>173</v>
      </c>
      <c r="EE77" s="40" t="str">
        <f>HYPERLINK("https://my.pitchbook.com?c=56980-81", "View company online")</f>
        <v>View company online</v>
      </c>
    </row>
    <row r="78" spans="1:135">
      <c r="A78" s="15" t="s">
        <v>1921</v>
      </c>
      <c r="B78" s="15" t="s">
        <v>1922</v>
      </c>
      <c r="C78" s="15" t="s">
        <v>138</v>
      </c>
      <c r="D78" s="15" t="s">
        <v>138</v>
      </c>
      <c r="E78" s="15" t="s">
        <v>138</v>
      </c>
      <c r="F78" s="15" t="s">
        <v>1921</v>
      </c>
      <c r="G78" s="15" t="s">
        <v>1923</v>
      </c>
      <c r="H78" s="15" t="s">
        <v>141</v>
      </c>
      <c r="I78" s="15" t="s">
        <v>142</v>
      </c>
      <c r="J78" s="15" t="s">
        <v>1924</v>
      </c>
      <c r="K78" s="15" t="s">
        <v>1925</v>
      </c>
      <c r="L78" s="15" t="s">
        <v>359</v>
      </c>
      <c r="M78" s="15" t="s">
        <v>1926</v>
      </c>
      <c r="N78" s="15" t="s">
        <v>147</v>
      </c>
      <c r="O78" s="17">
        <v>74.05</v>
      </c>
      <c r="P78" s="15" t="s">
        <v>148</v>
      </c>
      <c r="Q78" s="15" t="s">
        <v>149</v>
      </c>
      <c r="R78" s="15" t="s">
        <v>244</v>
      </c>
      <c r="S78" s="15" t="s">
        <v>1927</v>
      </c>
      <c r="T78" s="18">
        <v>51</v>
      </c>
      <c r="U78" s="15" t="s">
        <v>1928</v>
      </c>
      <c r="V78" s="15" t="s">
        <v>138</v>
      </c>
      <c r="W78" s="15" t="s">
        <v>138</v>
      </c>
      <c r="X78" s="19">
        <v>2006</v>
      </c>
      <c r="Y78" s="15" t="s">
        <v>138</v>
      </c>
      <c r="Z78" s="15" t="s">
        <v>138</v>
      </c>
      <c r="AA78" s="15" t="s">
        <v>138</v>
      </c>
      <c r="AB78" s="20" t="s">
        <v>138</v>
      </c>
      <c r="AC78" s="20" t="s">
        <v>138</v>
      </c>
      <c r="AD78" s="20" t="s">
        <v>138</v>
      </c>
      <c r="AE78" s="20" t="s">
        <v>138</v>
      </c>
      <c r="AF78" s="20" t="s">
        <v>138</v>
      </c>
      <c r="AG78" s="15" t="s">
        <v>138</v>
      </c>
      <c r="AH78" s="20" t="s">
        <v>138</v>
      </c>
      <c r="AI78" s="20" t="s">
        <v>138</v>
      </c>
      <c r="AJ78" s="20" t="s">
        <v>138</v>
      </c>
      <c r="AK78" s="15" t="s">
        <v>1929</v>
      </c>
      <c r="AL78" s="15" t="s">
        <v>1930</v>
      </c>
      <c r="AM78" s="15" t="s">
        <v>1931</v>
      </c>
      <c r="AN78" s="15" t="s">
        <v>1932</v>
      </c>
      <c r="AO78" s="15" t="s">
        <v>1933</v>
      </c>
      <c r="AP78" s="15" t="s">
        <v>1934</v>
      </c>
      <c r="AQ78" s="15" t="s">
        <v>1935</v>
      </c>
      <c r="AR78" s="15" t="s">
        <v>1936</v>
      </c>
      <c r="AS78" s="15" t="s">
        <v>1937</v>
      </c>
      <c r="AT78" s="15" t="s">
        <v>474</v>
      </c>
      <c r="AU78" s="15" t="s">
        <v>1938</v>
      </c>
      <c r="AV78" s="15" t="s">
        <v>162</v>
      </c>
      <c r="AW78" s="15" t="s">
        <v>1933</v>
      </c>
      <c r="AX78" s="15" t="s">
        <v>1939</v>
      </c>
      <c r="AY78" s="15" t="s">
        <v>1940</v>
      </c>
      <c r="AZ78" s="15" t="s">
        <v>164</v>
      </c>
      <c r="BA78" s="15" t="s">
        <v>165</v>
      </c>
      <c r="BB78" s="15" t="s">
        <v>1941</v>
      </c>
      <c r="BC78" s="15" t="s">
        <v>1942</v>
      </c>
      <c r="BD78" s="21">
        <v>3</v>
      </c>
      <c r="BE78" s="15" t="s">
        <v>138</v>
      </c>
      <c r="BF78" s="15" t="s">
        <v>138</v>
      </c>
      <c r="BG78" s="15" t="s">
        <v>138</v>
      </c>
      <c r="BH78" s="15" t="s">
        <v>1943</v>
      </c>
      <c r="BI78" s="15" t="s">
        <v>138</v>
      </c>
      <c r="BJ78" s="15" t="s">
        <v>138</v>
      </c>
      <c r="BK78" s="15" t="s">
        <v>138</v>
      </c>
      <c r="BL78" s="15" t="s">
        <v>138</v>
      </c>
      <c r="BM78" s="22" t="s">
        <v>138</v>
      </c>
      <c r="BN78" s="17" t="s">
        <v>138</v>
      </c>
      <c r="BO78" s="15" t="s">
        <v>138</v>
      </c>
      <c r="BP78" s="17" t="s">
        <v>138</v>
      </c>
      <c r="BQ78" s="15" t="s">
        <v>138</v>
      </c>
      <c r="BR78" s="15" t="s">
        <v>205</v>
      </c>
      <c r="BS78" s="15" t="s">
        <v>206</v>
      </c>
      <c r="BT78" s="15" t="s">
        <v>138</v>
      </c>
      <c r="BU78" s="15" t="s">
        <v>174</v>
      </c>
      <c r="BV78" s="15" t="s">
        <v>138</v>
      </c>
      <c r="BW78" s="15" t="s">
        <v>138</v>
      </c>
      <c r="BX78" s="15" t="s">
        <v>138</v>
      </c>
      <c r="BY78" s="15" t="s">
        <v>175</v>
      </c>
      <c r="BZ78" s="22">
        <v>42402</v>
      </c>
      <c r="CA78" s="17">
        <v>5.05</v>
      </c>
      <c r="CB78" s="15" t="s">
        <v>172</v>
      </c>
      <c r="CC78" s="17" t="s">
        <v>138</v>
      </c>
      <c r="CD78" s="15" t="s">
        <v>138</v>
      </c>
      <c r="CE78" s="15" t="s">
        <v>173</v>
      </c>
      <c r="CF78" s="15" t="s">
        <v>138</v>
      </c>
      <c r="CG78" s="15" t="s">
        <v>138</v>
      </c>
      <c r="CH78" s="15" t="s">
        <v>174</v>
      </c>
      <c r="CI78" s="15" t="s">
        <v>138</v>
      </c>
      <c r="CJ78" s="15" t="s">
        <v>138</v>
      </c>
      <c r="CK78" s="15" t="s">
        <v>138</v>
      </c>
      <c r="CL78" s="15" t="s">
        <v>175</v>
      </c>
      <c r="CM78" s="22" t="s">
        <v>138</v>
      </c>
      <c r="CN78" s="17" t="s">
        <v>138</v>
      </c>
      <c r="CO78" s="23">
        <v>0.1</v>
      </c>
      <c r="CP78" s="24">
        <v>90</v>
      </c>
      <c r="CQ78" s="23">
        <v>0</v>
      </c>
      <c r="CR78" s="23">
        <v>-0.4</v>
      </c>
      <c r="CS78" s="23">
        <v>0</v>
      </c>
      <c r="CT78" s="24">
        <v>23</v>
      </c>
      <c r="CU78" s="23">
        <v>0.2</v>
      </c>
      <c r="CV78" s="24">
        <v>80</v>
      </c>
      <c r="CW78" s="23" t="s">
        <v>138</v>
      </c>
      <c r="CX78" s="24" t="s">
        <v>138</v>
      </c>
      <c r="CY78" s="23">
        <v>0</v>
      </c>
      <c r="CZ78" s="24">
        <v>25</v>
      </c>
      <c r="DA78" s="23" t="s">
        <v>138</v>
      </c>
      <c r="DB78" s="24" t="s">
        <v>138</v>
      </c>
      <c r="DC78" s="25">
        <v>1.53</v>
      </c>
      <c r="DD78" s="24">
        <v>61</v>
      </c>
      <c r="DE78" s="25">
        <v>0</v>
      </c>
      <c r="DF78" s="23">
        <v>-0.01</v>
      </c>
      <c r="DG78" s="25">
        <v>2.79</v>
      </c>
      <c r="DH78" s="24">
        <v>73</v>
      </c>
      <c r="DI78" s="25">
        <v>0.28000000000000003</v>
      </c>
      <c r="DJ78" s="24">
        <v>27</v>
      </c>
      <c r="DK78" s="25" t="s">
        <v>138</v>
      </c>
      <c r="DL78" s="24" t="s">
        <v>138</v>
      </c>
      <c r="DM78" s="25">
        <v>2.79</v>
      </c>
      <c r="DN78" s="24">
        <v>72</v>
      </c>
      <c r="DO78" s="25" t="s">
        <v>138</v>
      </c>
      <c r="DP78" s="24" t="s">
        <v>138</v>
      </c>
      <c r="DQ78" s="24">
        <v>54</v>
      </c>
      <c r="DR78" s="26">
        <v>-15</v>
      </c>
      <c r="DS78" s="23">
        <v>-21.74</v>
      </c>
      <c r="DT78" s="24">
        <v>81</v>
      </c>
      <c r="DU78" s="26">
        <v>0</v>
      </c>
      <c r="DV78" s="23">
        <v>0</v>
      </c>
      <c r="DW78" s="24" t="s">
        <v>138</v>
      </c>
      <c r="DX78" s="27" t="s">
        <v>138</v>
      </c>
      <c r="DY78" s="23" t="s">
        <v>138</v>
      </c>
      <c r="DZ78" s="15" t="s">
        <v>178</v>
      </c>
      <c r="EA78" s="22">
        <v>43591</v>
      </c>
      <c r="EB78" s="17">
        <v>25.15</v>
      </c>
      <c r="EC78" s="22">
        <v>42016</v>
      </c>
      <c r="ED78" s="15" t="s">
        <v>173</v>
      </c>
      <c r="EE78" s="14" t="str">
        <f>HYPERLINK("https://my.pitchbook.com?c=51413-50", "View company online")</f>
        <v>View company online</v>
      </c>
    </row>
    <row r="79" spans="1:135">
      <c r="A79" s="28" t="s">
        <v>1944</v>
      </c>
      <c r="B79" s="28" t="s">
        <v>1945</v>
      </c>
      <c r="C79" s="28" t="s">
        <v>1946</v>
      </c>
      <c r="D79" s="28" t="s">
        <v>138</v>
      </c>
      <c r="E79" s="28" t="s">
        <v>1947</v>
      </c>
      <c r="F79" s="28" t="s">
        <v>1944</v>
      </c>
      <c r="G79" s="28" t="s">
        <v>1948</v>
      </c>
      <c r="H79" s="28" t="s">
        <v>322</v>
      </c>
      <c r="I79" s="28" t="s">
        <v>323</v>
      </c>
      <c r="J79" s="28" t="s">
        <v>324</v>
      </c>
      <c r="K79" s="28" t="s">
        <v>1649</v>
      </c>
      <c r="L79" s="28" t="s">
        <v>1949</v>
      </c>
      <c r="M79" s="28" t="s">
        <v>1950</v>
      </c>
      <c r="N79" s="28" t="s">
        <v>147</v>
      </c>
      <c r="O79" s="29">
        <v>20.83</v>
      </c>
      <c r="P79" s="28" t="s">
        <v>148</v>
      </c>
      <c r="Q79" s="28" t="s">
        <v>149</v>
      </c>
      <c r="R79" s="28" t="s">
        <v>174</v>
      </c>
      <c r="S79" s="28" t="s">
        <v>1951</v>
      </c>
      <c r="T79" s="30">
        <v>52</v>
      </c>
      <c r="U79" s="28" t="s">
        <v>1952</v>
      </c>
      <c r="V79" s="28" t="s">
        <v>138</v>
      </c>
      <c r="W79" s="28" t="s">
        <v>138</v>
      </c>
      <c r="X79" s="31">
        <v>2013</v>
      </c>
      <c r="Y79" s="28" t="s">
        <v>138</v>
      </c>
      <c r="Z79" s="28" t="s">
        <v>138</v>
      </c>
      <c r="AA79" s="28" t="s">
        <v>138</v>
      </c>
      <c r="AB79" s="32" t="s">
        <v>138</v>
      </c>
      <c r="AC79" s="32" t="s">
        <v>138</v>
      </c>
      <c r="AD79" s="32" t="s">
        <v>138</v>
      </c>
      <c r="AE79" s="32" t="s">
        <v>138</v>
      </c>
      <c r="AF79" s="32" t="s">
        <v>138</v>
      </c>
      <c r="AG79" s="28" t="s">
        <v>138</v>
      </c>
      <c r="AH79" s="32" t="s">
        <v>138</v>
      </c>
      <c r="AI79" s="32" t="s">
        <v>138</v>
      </c>
      <c r="AJ79" s="32" t="s">
        <v>138</v>
      </c>
      <c r="AK79" s="28" t="s">
        <v>1953</v>
      </c>
      <c r="AL79" s="28" t="s">
        <v>1954</v>
      </c>
      <c r="AM79" s="28" t="s">
        <v>1955</v>
      </c>
      <c r="AN79" s="28" t="s">
        <v>1956</v>
      </c>
      <c r="AO79" s="28" t="s">
        <v>1957</v>
      </c>
      <c r="AP79" s="28" t="s">
        <v>665</v>
      </c>
      <c r="AQ79" s="28" t="s">
        <v>1958</v>
      </c>
      <c r="AR79" s="28" t="s">
        <v>1959</v>
      </c>
      <c r="AS79" s="28" t="s">
        <v>668</v>
      </c>
      <c r="AT79" s="28" t="s">
        <v>200</v>
      </c>
      <c r="AU79" s="28" t="s">
        <v>1960</v>
      </c>
      <c r="AV79" s="28" t="s">
        <v>162</v>
      </c>
      <c r="AW79" s="28" t="s">
        <v>1961</v>
      </c>
      <c r="AX79" s="28" t="s">
        <v>138</v>
      </c>
      <c r="AY79" s="28" t="s">
        <v>1962</v>
      </c>
      <c r="AZ79" s="28" t="s">
        <v>164</v>
      </c>
      <c r="BA79" s="28" t="s">
        <v>165</v>
      </c>
      <c r="BB79" s="28" t="s">
        <v>1963</v>
      </c>
      <c r="BC79" s="28" t="s">
        <v>1964</v>
      </c>
      <c r="BD79" s="33">
        <v>9</v>
      </c>
      <c r="BE79" s="28" t="s">
        <v>138</v>
      </c>
      <c r="BF79" s="28" t="s">
        <v>138</v>
      </c>
      <c r="BG79" s="28" t="s">
        <v>138</v>
      </c>
      <c r="BH79" s="28" t="s">
        <v>1965</v>
      </c>
      <c r="BI79" s="28" t="s">
        <v>138</v>
      </c>
      <c r="BJ79" s="28" t="s">
        <v>138</v>
      </c>
      <c r="BK79" s="28" t="s">
        <v>1966</v>
      </c>
      <c r="BL79" s="28" t="s">
        <v>290</v>
      </c>
      <c r="BM79" s="34">
        <v>41656</v>
      </c>
      <c r="BN79" s="29">
        <v>2.83</v>
      </c>
      <c r="BO79" s="28" t="s">
        <v>172</v>
      </c>
      <c r="BP79" s="29">
        <v>6.83</v>
      </c>
      <c r="BQ79" s="28" t="s">
        <v>172</v>
      </c>
      <c r="BR79" s="28" t="s">
        <v>205</v>
      </c>
      <c r="BS79" s="28" t="s">
        <v>206</v>
      </c>
      <c r="BT79" s="28" t="s">
        <v>138</v>
      </c>
      <c r="BU79" s="28" t="s">
        <v>174</v>
      </c>
      <c r="BV79" s="28" t="s">
        <v>138</v>
      </c>
      <c r="BW79" s="28" t="s">
        <v>138</v>
      </c>
      <c r="BX79" s="28" t="s">
        <v>138</v>
      </c>
      <c r="BY79" s="28" t="s">
        <v>175</v>
      </c>
      <c r="BZ79" s="34">
        <v>42480</v>
      </c>
      <c r="CA79" s="29">
        <v>18</v>
      </c>
      <c r="CB79" s="28" t="s">
        <v>172</v>
      </c>
      <c r="CC79" s="29">
        <v>34.07</v>
      </c>
      <c r="CD79" s="28" t="s">
        <v>172</v>
      </c>
      <c r="CE79" s="28" t="s">
        <v>205</v>
      </c>
      <c r="CF79" s="28" t="s">
        <v>720</v>
      </c>
      <c r="CG79" s="28" t="s">
        <v>138</v>
      </c>
      <c r="CH79" s="28" t="s">
        <v>174</v>
      </c>
      <c r="CI79" s="28" t="s">
        <v>138</v>
      </c>
      <c r="CJ79" s="28" t="s">
        <v>138</v>
      </c>
      <c r="CK79" s="28" t="s">
        <v>138</v>
      </c>
      <c r="CL79" s="28" t="s">
        <v>175</v>
      </c>
      <c r="CM79" s="34" t="s">
        <v>138</v>
      </c>
      <c r="CN79" s="29" t="s">
        <v>138</v>
      </c>
      <c r="CO79" s="35">
        <v>-0.21</v>
      </c>
      <c r="CP79" s="36">
        <v>19</v>
      </c>
      <c r="CQ79" s="35">
        <v>-0.04</v>
      </c>
      <c r="CR79" s="35">
        <v>-25.06</v>
      </c>
      <c r="CS79" s="35" t="s">
        <v>138</v>
      </c>
      <c r="CT79" s="36" t="s">
        <v>138</v>
      </c>
      <c r="CU79" s="35">
        <v>-0.21</v>
      </c>
      <c r="CV79" s="36">
        <v>1</v>
      </c>
      <c r="CW79" s="35" t="s">
        <v>138</v>
      </c>
      <c r="CX79" s="36" t="s">
        <v>138</v>
      </c>
      <c r="CY79" s="35" t="s">
        <v>138</v>
      </c>
      <c r="CZ79" s="36" t="s">
        <v>138</v>
      </c>
      <c r="DA79" s="35">
        <v>-0.21</v>
      </c>
      <c r="DB79" s="36">
        <v>2</v>
      </c>
      <c r="DC79" s="37">
        <v>1.64</v>
      </c>
      <c r="DD79" s="36">
        <v>63</v>
      </c>
      <c r="DE79" s="37">
        <v>0</v>
      </c>
      <c r="DF79" s="35">
        <v>0.22</v>
      </c>
      <c r="DG79" s="37" t="s">
        <v>138</v>
      </c>
      <c r="DH79" s="36" t="s">
        <v>138</v>
      </c>
      <c r="DI79" s="37">
        <v>1.64</v>
      </c>
      <c r="DJ79" s="36">
        <v>59</v>
      </c>
      <c r="DK79" s="37" t="s">
        <v>138</v>
      </c>
      <c r="DL79" s="36" t="s">
        <v>138</v>
      </c>
      <c r="DM79" s="37" t="s">
        <v>138</v>
      </c>
      <c r="DN79" s="36" t="s">
        <v>138</v>
      </c>
      <c r="DO79" s="37">
        <v>1.64</v>
      </c>
      <c r="DP79" s="36">
        <v>60</v>
      </c>
      <c r="DQ79" s="36" t="s">
        <v>138</v>
      </c>
      <c r="DR79" s="38" t="s">
        <v>138</v>
      </c>
      <c r="DS79" s="35" t="s">
        <v>138</v>
      </c>
      <c r="DT79" s="36" t="s">
        <v>138</v>
      </c>
      <c r="DU79" s="38" t="s">
        <v>138</v>
      </c>
      <c r="DV79" s="35" t="s">
        <v>138</v>
      </c>
      <c r="DW79" s="36">
        <v>588</v>
      </c>
      <c r="DX79" s="39">
        <v>-1</v>
      </c>
      <c r="DY79" s="35">
        <v>-0.17</v>
      </c>
      <c r="DZ79" s="28" t="s">
        <v>178</v>
      </c>
      <c r="EA79" s="34">
        <v>43558</v>
      </c>
      <c r="EB79" s="29">
        <v>34.07</v>
      </c>
      <c r="EC79" s="34">
        <v>42480</v>
      </c>
      <c r="ED79" s="28" t="s">
        <v>205</v>
      </c>
      <c r="EE79" s="40" t="str">
        <f>HYPERLINK("https://my.pitchbook.com?c=104632-48", "View company online")</f>
        <v>View company online</v>
      </c>
    </row>
    <row r="80" spans="1:135">
      <c r="A80" s="15" t="s">
        <v>1967</v>
      </c>
      <c r="B80" s="15" t="s">
        <v>1968</v>
      </c>
      <c r="C80" s="15" t="s">
        <v>138</v>
      </c>
      <c r="D80" s="15" t="s">
        <v>138</v>
      </c>
      <c r="E80" s="15" t="s">
        <v>1969</v>
      </c>
      <c r="F80" s="15" t="s">
        <v>1967</v>
      </c>
      <c r="G80" s="15" t="s">
        <v>1970</v>
      </c>
      <c r="H80" s="15" t="s">
        <v>322</v>
      </c>
      <c r="I80" s="15" t="s">
        <v>1208</v>
      </c>
      <c r="J80" s="15" t="s">
        <v>1209</v>
      </c>
      <c r="K80" s="15" t="s">
        <v>1971</v>
      </c>
      <c r="L80" s="15" t="s">
        <v>1972</v>
      </c>
      <c r="M80" s="15" t="s">
        <v>1973</v>
      </c>
      <c r="N80" s="15" t="s">
        <v>147</v>
      </c>
      <c r="O80" s="17">
        <v>49</v>
      </c>
      <c r="P80" s="15" t="s">
        <v>148</v>
      </c>
      <c r="Q80" s="15" t="s">
        <v>149</v>
      </c>
      <c r="R80" s="15" t="s">
        <v>174</v>
      </c>
      <c r="S80" s="15" t="s">
        <v>1974</v>
      </c>
      <c r="T80" s="18">
        <v>40</v>
      </c>
      <c r="U80" s="15" t="s">
        <v>1975</v>
      </c>
      <c r="V80" s="15" t="s">
        <v>138</v>
      </c>
      <c r="W80" s="15" t="s">
        <v>138</v>
      </c>
      <c r="X80" s="19">
        <v>2017</v>
      </c>
      <c r="Y80" s="15" t="s">
        <v>138</v>
      </c>
      <c r="Z80" s="15" t="s">
        <v>138</v>
      </c>
      <c r="AA80" s="15" t="s">
        <v>138</v>
      </c>
      <c r="AB80" s="20" t="s">
        <v>138</v>
      </c>
      <c r="AC80" s="20" t="s">
        <v>138</v>
      </c>
      <c r="AD80" s="20" t="s">
        <v>138</v>
      </c>
      <c r="AE80" s="20" t="s">
        <v>138</v>
      </c>
      <c r="AF80" s="20" t="s">
        <v>138</v>
      </c>
      <c r="AG80" s="15" t="s">
        <v>138</v>
      </c>
      <c r="AH80" s="20" t="s">
        <v>138</v>
      </c>
      <c r="AI80" s="20" t="s">
        <v>138</v>
      </c>
      <c r="AJ80" s="20" t="s">
        <v>138</v>
      </c>
      <c r="AK80" s="15" t="s">
        <v>1976</v>
      </c>
      <c r="AL80" s="15" t="s">
        <v>1977</v>
      </c>
      <c r="AM80" s="15" t="s">
        <v>304</v>
      </c>
      <c r="AN80" s="15" t="s">
        <v>1978</v>
      </c>
      <c r="AO80" s="15" t="s">
        <v>138</v>
      </c>
      <c r="AP80" s="15" t="s">
        <v>1979</v>
      </c>
      <c r="AQ80" s="15" t="s">
        <v>1980</v>
      </c>
      <c r="AR80" s="15" t="s">
        <v>138</v>
      </c>
      <c r="AS80" s="15" t="s">
        <v>1981</v>
      </c>
      <c r="AT80" s="15" t="s">
        <v>138</v>
      </c>
      <c r="AU80" s="15" t="s">
        <v>138</v>
      </c>
      <c r="AV80" s="15" t="s">
        <v>740</v>
      </c>
      <c r="AW80" s="15" t="s">
        <v>138</v>
      </c>
      <c r="AX80" s="15" t="s">
        <v>138</v>
      </c>
      <c r="AY80" s="15" t="s">
        <v>1982</v>
      </c>
      <c r="AZ80" s="15" t="s">
        <v>742</v>
      </c>
      <c r="BA80" s="15" t="s">
        <v>742</v>
      </c>
      <c r="BB80" s="15" t="s">
        <v>1983</v>
      </c>
      <c r="BC80" s="15" t="s">
        <v>1984</v>
      </c>
      <c r="BD80" s="21">
        <v>8</v>
      </c>
      <c r="BE80" s="15" t="s">
        <v>138</v>
      </c>
      <c r="BF80" s="15" t="s">
        <v>138</v>
      </c>
      <c r="BG80" s="15" t="s">
        <v>138</v>
      </c>
      <c r="BH80" s="15" t="s">
        <v>1985</v>
      </c>
      <c r="BI80" s="15" t="s">
        <v>138</v>
      </c>
      <c r="BJ80" s="15" t="s">
        <v>138</v>
      </c>
      <c r="BK80" s="15" t="s">
        <v>138</v>
      </c>
      <c r="BL80" s="15" t="s">
        <v>138</v>
      </c>
      <c r="BM80" s="22">
        <v>42736</v>
      </c>
      <c r="BN80" s="17">
        <v>14</v>
      </c>
      <c r="BO80" s="15" t="s">
        <v>172</v>
      </c>
      <c r="BP80" s="17" t="s">
        <v>138</v>
      </c>
      <c r="BQ80" s="15" t="s">
        <v>138</v>
      </c>
      <c r="BR80" s="15" t="s">
        <v>205</v>
      </c>
      <c r="BS80" s="15" t="s">
        <v>206</v>
      </c>
      <c r="BT80" s="15" t="s">
        <v>138</v>
      </c>
      <c r="BU80" s="15" t="s">
        <v>174</v>
      </c>
      <c r="BV80" s="15" t="s">
        <v>138</v>
      </c>
      <c r="BW80" s="15" t="s">
        <v>138</v>
      </c>
      <c r="BX80" s="15" t="s">
        <v>138</v>
      </c>
      <c r="BY80" s="15" t="s">
        <v>175</v>
      </c>
      <c r="BZ80" s="22">
        <v>43479</v>
      </c>
      <c r="CA80" s="17">
        <v>30</v>
      </c>
      <c r="CB80" s="15" t="s">
        <v>172</v>
      </c>
      <c r="CC80" s="17">
        <v>120</v>
      </c>
      <c r="CD80" s="15" t="s">
        <v>172</v>
      </c>
      <c r="CE80" s="15" t="s">
        <v>205</v>
      </c>
      <c r="CF80" s="15" t="s">
        <v>720</v>
      </c>
      <c r="CG80" s="15" t="s">
        <v>138</v>
      </c>
      <c r="CH80" s="15" t="s">
        <v>174</v>
      </c>
      <c r="CI80" s="15" t="s">
        <v>138</v>
      </c>
      <c r="CJ80" s="15" t="s">
        <v>138</v>
      </c>
      <c r="CK80" s="15" t="s">
        <v>138</v>
      </c>
      <c r="CL80" s="15" t="s">
        <v>175</v>
      </c>
      <c r="CM80" s="22" t="s">
        <v>138</v>
      </c>
      <c r="CN80" s="17" t="s">
        <v>138</v>
      </c>
      <c r="CO80" s="23">
        <v>1.65</v>
      </c>
      <c r="CP80" s="24">
        <v>98</v>
      </c>
      <c r="CQ80" s="23">
        <v>-0.13</v>
      </c>
      <c r="CR80" s="23">
        <v>-7.45</v>
      </c>
      <c r="CS80" s="23">
        <v>2.67</v>
      </c>
      <c r="CT80" s="24">
        <v>99</v>
      </c>
      <c r="CU80" s="23">
        <v>1.31</v>
      </c>
      <c r="CV80" s="24">
        <v>99</v>
      </c>
      <c r="CW80" s="23" t="s">
        <v>138</v>
      </c>
      <c r="CX80" s="24" t="s">
        <v>138</v>
      </c>
      <c r="CY80" s="23">
        <v>2.67</v>
      </c>
      <c r="CZ80" s="24">
        <v>100</v>
      </c>
      <c r="DA80" s="23">
        <v>1.31</v>
      </c>
      <c r="DB80" s="24">
        <v>99</v>
      </c>
      <c r="DC80" s="25">
        <v>4.32</v>
      </c>
      <c r="DD80" s="24">
        <v>81</v>
      </c>
      <c r="DE80" s="25">
        <v>0.04</v>
      </c>
      <c r="DF80" s="23">
        <v>0.87</v>
      </c>
      <c r="DG80" s="25">
        <v>11.86</v>
      </c>
      <c r="DH80" s="24">
        <v>91</v>
      </c>
      <c r="DI80" s="25">
        <v>1.02</v>
      </c>
      <c r="DJ80" s="24">
        <v>50</v>
      </c>
      <c r="DK80" s="25" t="s">
        <v>138</v>
      </c>
      <c r="DL80" s="24" t="s">
        <v>138</v>
      </c>
      <c r="DM80" s="25">
        <v>11.86</v>
      </c>
      <c r="DN80" s="24">
        <v>90</v>
      </c>
      <c r="DO80" s="25">
        <v>1.02</v>
      </c>
      <c r="DP80" s="24">
        <v>51</v>
      </c>
      <c r="DQ80" s="24" t="s">
        <v>138</v>
      </c>
      <c r="DR80" s="26" t="s">
        <v>138</v>
      </c>
      <c r="DS80" s="23" t="s">
        <v>138</v>
      </c>
      <c r="DT80" s="24">
        <v>343</v>
      </c>
      <c r="DU80" s="26">
        <v>4</v>
      </c>
      <c r="DV80" s="23">
        <v>1.18</v>
      </c>
      <c r="DW80" s="24">
        <v>365</v>
      </c>
      <c r="DX80" s="27">
        <v>3</v>
      </c>
      <c r="DY80" s="23">
        <v>0.83</v>
      </c>
      <c r="DZ80" s="15" t="s">
        <v>178</v>
      </c>
      <c r="EA80" s="22">
        <v>43503</v>
      </c>
      <c r="EB80" s="17">
        <v>120</v>
      </c>
      <c r="EC80" s="22">
        <v>43479</v>
      </c>
      <c r="ED80" s="15" t="s">
        <v>205</v>
      </c>
      <c r="EE80" s="14" t="str">
        <f>HYPERLINK("https://my.pitchbook.com?c=170012-17", "View company online")</f>
        <v>View company online</v>
      </c>
    </row>
    <row r="81" spans="1:135">
      <c r="A81" s="28" t="s">
        <v>1986</v>
      </c>
      <c r="B81" s="28" t="s">
        <v>1987</v>
      </c>
      <c r="C81" s="28" t="s">
        <v>138</v>
      </c>
      <c r="D81" s="28" t="s">
        <v>1988</v>
      </c>
      <c r="E81" s="28" t="s">
        <v>1989</v>
      </c>
      <c r="F81" s="28" t="s">
        <v>1986</v>
      </c>
      <c r="G81" s="28" t="s">
        <v>1990</v>
      </c>
      <c r="H81" s="28" t="s">
        <v>385</v>
      </c>
      <c r="I81" s="28" t="s">
        <v>1991</v>
      </c>
      <c r="J81" s="28" t="s">
        <v>1992</v>
      </c>
      <c r="K81" s="28" t="s">
        <v>1993</v>
      </c>
      <c r="L81" s="28" t="s">
        <v>1994</v>
      </c>
      <c r="M81" s="28" t="s">
        <v>1995</v>
      </c>
      <c r="N81" s="28" t="s">
        <v>147</v>
      </c>
      <c r="O81" s="29">
        <v>40.76</v>
      </c>
      <c r="P81" s="28" t="s">
        <v>148</v>
      </c>
      <c r="Q81" s="28" t="s">
        <v>149</v>
      </c>
      <c r="R81" s="28" t="s">
        <v>174</v>
      </c>
      <c r="S81" s="28" t="s">
        <v>1996</v>
      </c>
      <c r="T81" s="30">
        <v>25</v>
      </c>
      <c r="U81" s="28" t="s">
        <v>1997</v>
      </c>
      <c r="V81" s="28" t="s">
        <v>138</v>
      </c>
      <c r="W81" s="28" t="s">
        <v>138</v>
      </c>
      <c r="X81" s="31">
        <v>2006</v>
      </c>
      <c r="Y81" s="28" t="s">
        <v>138</v>
      </c>
      <c r="Z81" s="28" t="s">
        <v>138</v>
      </c>
      <c r="AA81" s="28" t="s">
        <v>138</v>
      </c>
      <c r="AB81" s="32" t="s">
        <v>138</v>
      </c>
      <c r="AC81" s="32" t="s">
        <v>138</v>
      </c>
      <c r="AD81" s="32" t="s">
        <v>138</v>
      </c>
      <c r="AE81" s="32" t="s">
        <v>138</v>
      </c>
      <c r="AF81" s="32" t="s">
        <v>138</v>
      </c>
      <c r="AG81" s="28" t="s">
        <v>138</v>
      </c>
      <c r="AH81" s="32" t="s">
        <v>138</v>
      </c>
      <c r="AI81" s="32" t="s">
        <v>138</v>
      </c>
      <c r="AJ81" s="32" t="s">
        <v>138</v>
      </c>
      <c r="AK81" s="28" t="s">
        <v>1998</v>
      </c>
      <c r="AL81" s="28" t="s">
        <v>1999</v>
      </c>
      <c r="AM81" s="28" t="s">
        <v>249</v>
      </c>
      <c r="AN81" s="28" t="s">
        <v>2000</v>
      </c>
      <c r="AO81" s="28" t="s">
        <v>2001</v>
      </c>
      <c r="AP81" s="28" t="s">
        <v>2002</v>
      </c>
      <c r="AQ81" s="28" t="s">
        <v>2003</v>
      </c>
      <c r="AR81" s="28" t="s">
        <v>2004</v>
      </c>
      <c r="AS81" s="28" t="s">
        <v>2005</v>
      </c>
      <c r="AT81" s="28" t="s">
        <v>200</v>
      </c>
      <c r="AU81" s="28" t="s">
        <v>2006</v>
      </c>
      <c r="AV81" s="28" t="s">
        <v>162</v>
      </c>
      <c r="AW81" s="28" t="s">
        <v>2001</v>
      </c>
      <c r="AX81" s="28" t="s">
        <v>2007</v>
      </c>
      <c r="AY81" s="28" t="s">
        <v>2008</v>
      </c>
      <c r="AZ81" s="28" t="s">
        <v>164</v>
      </c>
      <c r="BA81" s="28" t="s">
        <v>165</v>
      </c>
      <c r="BB81" s="28" t="s">
        <v>2009</v>
      </c>
      <c r="BC81" s="28" t="s">
        <v>2010</v>
      </c>
      <c r="BD81" s="33">
        <v>9</v>
      </c>
      <c r="BE81" s="28" t="s">
        <v>138</v>
      </c>
      <c r="BF81" s="28" t="s">
        <v>138</v>
      </c>
      <c r="BG81" s="28" t="s">
        <v>138</v>
      </c>
      <c r="BH81" s="28" t="s">
        <v>2011</v>
      </c>
      <c r="BI81" s="28" t="s">
        <v>138</v>
      </c>
      <c r="BJ81" s="28" t="s">
        <v>138</v>
      </c>
      <c r="BK81" s="28" t="s">
        <v>2012</v>
      </c>
      <c r="BL81" s="28" t="s">
        <v>1275</v>
      </c>
      <c r="BM81" s="34">
        <v>39623</v>
      </c>
      <c r="BN81" s="29">
        <v>16.5</v>
      </c>
      <c r="BO81" s="28" t="s">
        <v>172</v>
      </c>
      <c r="BP81" s="29">
        <v>28.24</v>
      </c>
      <c r="BQ81" s="28" t="s">
        <v>172</v>
      </c>
      <c r="BR81" s="28" t="s">
        <v>205</v>
      </c>
      <c r="BS81" s="28" t="s">
        <v>206</v>
      </c>
      <c r="BT81" s="28" t="s">
        <v>138</v>
      </c>
      <c r="BU81" s="28" t="s">
        <v>174</v>
      </c>
      <c r="BV81" s="28" t="s">
        <v>138</v>
      </c>
      <c r="BW81" s="28" t="s">
        <v>138</v>
      </c>
      <c r="BX81" s="28" t="s">
        <v>138</v>
      </c>
      <c r="BY81" s="28" t="s">
        <v>175</v>
      </c>
      <c r="BZ81" s="34">
        <v>42740</v>
      </c>
      <c r="CA81" s="29">
        <v>10.5</v>
      </c>
      <c r="CB81" s="28" t="s">
        <v>172</v>
      </c>
      <c r="CC81" s="29">
        <v>50</v>
      </c>
      <c r="CD81" s="28" t="s">
        <v>172</v>
      </c>
      <c r="CE81" s="28" t="s">
        <v>173</v>
      </c>
      <c r="CF81" s="28" t="s">
        <v>720</v>
      </c>
      <c r="CG81" s="28" t="s">
        <v>138</v>
      </c>
      <c r="CH81" s="28" t="s">
        <v>174</v>
      </c>
      <c r="CI81" s="28" t="s">
        <v>264</v>
      </c>
      <c r="CJ81" s="28" t="s">
        <v>138</v>
      </c>
      <c r="CK81" s="28" t="s">
        <v>138</v>
      </c>
      <c r="CL81" s="28" t="s">
        <v>175</v>
      </c>
      <c r="CM81" s="34" t="s">
        <v>138</v>
      </c>
      <c r="CN81" s="29" t="s">
        <v>138</v>
      </c>
      <c r="CO81" s="35">
        <v>-3.82</v>
      </c>
      <c r="CP81" s="36">
        <v>2</v>
      </c>
      <c r="CQ81" s="35">
        <v>0.17</v>
      </c>
      <c r="CR81" s="35">
        <v>4.1500000000000004</v>
      </c>
      <c r="CS81" s="35">
        <v>-3.82</v>
      </c>
      <c r="CT81" s="36">
        <v>4</v>
      </c>
      <c r="CU81" s="35" t="s">
        <v>138</v>
      </c>
      <c r="CV81" s="36" t="s">
        <v>138</v>
      </c>
      <c r="CW81" s="35" t="s">
        <v>138</v>
      </c>
      <c r="CX81" s="36" t="s">
        <v>138</v>
      </c>
      <c r="CY81" s="35">
        <v>-3.82</v>
      </c>
      <c r="CZ81" s="36">
        <v>5</v>
      </c>
      <c r="DA81" s="35" t="s">
        <v>138</v>
      </c>
      <c r="DB81" s="36" t="s">
        <v>138</v>
      </c>
      <c r="DC81" s="37">
        <v>4.0999999999999996</v>
      </c>
      <c r="DD81" s="36">
        <v>80</v>
      </c>
      <c r="DE81" s="37">
        <v>-7.0000000000000007E-2</v>
      </c>
      <c r="DF81" s="35">
        <v>-1.65</v>
      </c>
      <c r="DG81" s="37">
        <v>4.0999999999999996</v>
      </c>
      <c r="DH81" s="36">
        <v>80</v>
      </c>
      <c r="DI81" s="37" t="s">
        <v>138</v>
      </c>
      <c r="DJ81" s="36" t="s">
        <v>138</v>
      </c>
      <c r="DK81" s="37" t="s">
        <v>138</v>
      </c>
      <c r="DL81" s="36" t="s">
        <v>138</v>
      </c>
      <c r="DM81" s="37">
        <v>4.0999999999999996</v>
      </c>
      <c r="DN81" s="36">
        <v>79</v>
      </c>
      <c r="DO81" s="37" t="s">
        <v>138</v>
      </c>
      <c r="DP81" s="36" t="s">
        <v>138</v>
      </c>
      <c r="DQ81" s="36">
        <v>135</v>
      </c>
      <c r="DR81" s="38">
        <v>3</v>
      </c>
      <c r="DS81" s="35">
        <v>2.27</v>
      </c>
      <c r="DT81" s="36">
        <v>119</v>
      </c>
      <c r="DU81" s="38">
        <v>-2</v>
      </c>
      <c r="DV81" s="35">
        <v>-1.65</v>
      </c>
      <c r="DW81" s="36" t="s">
        <v>138</v>
      </c>
      <c r="DX81" s="39" t="s">
        <v>138</v>
      </c>
      <c r="DY81" s="35" t="s">
        <v>138</v>
      </c>
      <c r="DZ81" s="28" t="s">
        <v>178</v>
      </c>
      <c r="EA81" s="34">
        <v>43622</v>
      </c>
      <c r="EB81" s="29">
        <v>50</v>
      </c>
      <c r="EC81" s="34">
        <v>42740</v>
      </c>
      <c r="ED81" s="28" t="s">
        <v>173</v>
      </c>
      <c r="EE81" s="40" t="str">
        <f>HYPERLINK("https://my.pitchbook.com?c=51554-98", "View company online")</f>
        <v>View company online</v>
      </c>
    </row>
    <row r="82" spans="1:135">
      <c r="A82" s="15" t="s">
        <v>2013</v>
      </c>
      <c r="B82" s="15" t="s">
        <v>2014</v>
      </c>
      <c r="C82" s="15" t="s">
        <v>2015</v>
      </c>
      <c r="D82" s="15" t="s">
        <v>2016</v>
      </c>
      <c r="E82" s="15" t="s">
        <v>2017</v>
      </c>
      <c r="F82" s="15" t="s">
        <v>2013</v>
      </c>
      <c r="G82" s="15" t="s">
        <v>2018</v>
      </c>
      <c r="H82" s="15" t="s">
        <v>238</v>
      </c>
      <c r="I82" s="15" t="s">
        <v>749</v>
      </c>
      <c r="J82" s="15" t="s">
        <v>750</v>
      </c>
      <c r="K82" s="15" t="s">
        <v>751</v>
      </c>
      <c r="L82" s="15" t="s">
        <v>752</v>
      </c>
      <c r="M82" s="15" t="s">
        <v>2019</v>
      </c>
      <c r="N82" s="15" t="s">
        <v>147</v>
      </c>
      <c r="O82" s="17">
        <v>6.85</v>
      </c>
      <c r="P82" s="15" t="s">
        <v>148</v>
      </c>
      <c r="Q82" s="15" t="s">
        <v>149</v>
      </c>
      <c r="R82" s="15" t="s">
        <v>174</v>
      </c>
      <c r="S82" s="15" t="s">
        <v>2020</v>
      </c>
      <c r="T82" s="18">
        <v>7</v>
      </c>
      <c r="U82" s="15" t="s">
        <v>2021</v>
      </c>
      <c r="V82" s="15" t="s">
        <v>138</v>
      </c>
      <c r="W82" s="15" t="s">
        <v>138</v>
      </c>
      <c r="X82" s="19">
        <v>2011</v>
      </c>
      <c r="Y82" s="15" t="s">
        <v>138</v>
      </c>
      <c r="Z82" s="15" t="s">
        <v>138</v>
      </c>
      <c r="AA82" s="15" t="s">
        <v>138</v>
      </c>
      <c r="AB82" s="20">
        <v>7</v>
      </c>
      <c r="AC82" s="20" t="s">
        <v>138</v>
      </c>
      <c r="AD82" s="20" t="s">
        <v>138</v>
      </c>
      <c r="AE82" s="20" t="s">
        <v>138</v>
      </c>
      <c r="AF82" s="20" t="s">
        <v>138</v>
      </c>
      <c r="AG82" s="15" t="s">
        <v>707</v>
      </c>
      <c r="AH82" s="20" t="s">
        <v>138</v>
      </c>
      <c r="AI82" s="20" t="s">
        <v>138</v>
      </c>
      <c r="AJ82" s="20" t="s">
        <v>138</v>
      </c>
      <c r="AK82" s="15" t="s">
        <v>2022</v>
      </c>
      <c r="AL82" s="15" t="s">
        <v>2023</v>
      </c>
      <c r="AM82" s="15" t="s">
        <v>2024</v>
      </c>
      <c r="AN82" s="15" t="s">
        <v>2025</v>
      </c>
      <c r="AO82" s="15" t="s">
        <v>2026</v>
      </c>
      <c r="AP82" s="15" t="s">
        <v>2027</v>
      </c>
      <c r="AQ82" s="15" t="s">
        <v>2028</v>
      </c>
      <c r="AR82" s="15" t="s">
        <v>2029</v>
      </c>
      <c r="AS82" s="15" t="s">
        <v>2030</v>
      </c>
      <c r="AT82" s="15" t="s">
        <v>2031</v>
      </c>
      <c r="AU82" s="15" t="s">
        <v>2032</v>
      </c>
      <c r="AV82" s="15" t="s">
        <v>162</v>
      </c>
      <c r="AW82" s="15" t="s">
        <v>2026</v>
      </c>
      <c r="AX82" s="15" t="s">
        <v>138</v>
      </c>
      <c r="AY82" s="15" t="s">
        <v>2033</v>
      </c>
      <c r="AZ82" s="15" t="s">
        <v>164</v>
      </c>
      <c r="BA82" s="15" t="s">
        <v>165</v>
      </c>
      <c r="BB82" s="15" t="s">
        <v>2034</v>
      </c>
      <c r="BC82" s="15" t="s">
        <v>2035</v>
      </c>
      <c r="BD82" s="21">
        <v>11</v>
      </c>
      <c r="BE82" s="15" t="s">
        <v>138</v>
      </c>
      <c r="BF82" s="15" t="s">
        <v>138</v>
      </c>
      <c r="BG82" s="15" t="s">
        <v>138</v>
      </c>
      <c r="BH82" s="15" t="s">
        <v>2036</v>
      </c>
      <c r="BI82" s="15" t="s">
        <v>138</v>
      </c>
      <c r="BJ82" s="15" t="s">
        <v>138</v>
      </c>
      <c r="BK82" s="15" t="s">
        <v>2037</v>
      </c>
      <c r="BL82" s="15" t="s">
        <v>2038</v>
      </c>
      <c r="BM82" s="22">
        <v>40989</v>
      </c>
      <c r="BN82" s="17">
        <v>0.01</v>
      </c>
      <c r="BO82" s="15" t="s">
        <v>172</v>
      </c>
      <c r="BP82" s="17" t="s">
        <v>138</v>
      </c>
      <c r="BQ82" s="15" t="s">
        <v>138</v>
      </c>
      <c r="BR82" s="15" t="s">
        <v>1830</v>
      </c>
      <c r="BS82" s="15" t="s">
        <v>138</v>
      </c>
      <c r="BT82" s="15" t="s">
        <v>138</v>
      </c>
      <c r="BU82" s="15" t="s">
        <v>263</v>
      </c>
      <c r="BV82" s="15" t="s">
        <v>138</v>
      </c>
      <c r="BW82" s="15" t="s">
        <v>138</v>
      </c>
      <c r="BX82" s="15" t="s">
        <v>138</v>
      </c>
      <c r="BY82" s="15" t="s">
        <v>175</v>
      </c>
      <c r="BZ82" s="22">
        <v>43424</v>
      </c>
      <c r="CA82" s="17">
        <v>3.5</v>
      </c>
      <c r="CB82" s="15" t="s">
        <v>172</v>
      </c>
      <c r="CC82" s="17" t="s">
        <v>138</v>
      </c>
      <c r="CD82" s="15" t="s">
        <v>138</v>
      </c>
      <c r="CE82" s="15" t="s">
        <v>173</v>
      </c>
      <c r="CF82" s="15" t="s">
        <v>206</v>
      </c>
      <c r="CG82" s="15" t="s">
        <v>138</v>
      </c>
      <c r="CH82" s="15" t="s">
        <v>174</v>
      </c>
      <c r="CI82" s="15" t="s">
        <v>138</v>
      </c>
      <c r="CJ82" s="15" t="s">
        <v>138</v>
      </c>
      <c r="CK82" s="15" t="s">
        <v>138</v>
      </c>
      <c r="CL82" s="15" t="s">
        <v>175</v>
      </c>
      <c r="CM82" s="22" t="s">
        <v>138</v>
      </c>
      <c r="CN82" s="17" t="s">
        <v>138</v>
      </c>
      <c r="CO82" s="23">
        <v>0.24</v>
      </c>
      <c r="CP82" s="24">
        <v>93</v>
      </c>
      <c r="CQ82" s="23">
        <v>0.06</v>
      </c>
      <c r="CR82" s="23">
        <v>37.54</v>
      </c>
      <c r="CS82" s="23">
        <v>0.39</v>
      </c>
      <c r="CT82" s="24">
        <v>95</v>
      </c>
      <c r="CU82" s="23">
        <v>0.08</v>
      </c>
      <c r="CV82" s="24">
        <v>64</v>
      </c>
      <c r="CW82" s="23">
        <v>0.87</v>
      </c>
      <c r="CX82" s="24">
        <v>84</v>
      </c>
      <c r="CY82" s="23">
        <v>-0.09</v>
      </c>
      <c r="CZ82" s="24">
        <v>24</v>
      </c>
      <c r="DA82" s="23">
        <v>0.08</v>
      </c>
      <c r="DB82" s="24">
        <v>69</v>
      </c>
      <c r="DC82" s="25">
        <v>9.2799999999999994</v>
      </c>
      <c r="DD82" s="24">
        <v>89</v>
      </c>
      <c r="DE82" s="25">
        <v>-0.28000000000000003</v>
      </c>
      <c r="DF82" s="23">
        <v>-2.98</v>
      </c>
      <c r="DG82" s="25">
        <v>6.87</v>
      </c>
      <c r="DH82" s="24">
        <v>86</v>
      </c>
      <c r="DI82" s="25">
        <v>11.69</v>
      </c>
      <c r="DJ82" s="24">
        <v>87</v>
      </c>
      <c r="DK82" s="25">
        <v>9.98</v>
      </c>
      <c r="DL82" s="24">
        <v>87</v>
      </c>
      <c r="DM82" s="25">
        <v>3.76</v>
      </c>
      <c r="DN82" s="24">
        <v>77</v>
      </c>
      <c r="DO82" s="25">
        <v>11.69</v>
      </c>
      <c r="DP82" s="24">
        <v>89</v>
      </c>
      <c r="DQ82" s="24">
        <v>3353</v>
      </c>
      <c r="DR82" s="26">
        <v>206</v>
      </c>
      <c r="DS82" s="23">
        <v>6.55</v>
      </c>
      <c r="DT82" s="24">
        <v>109</v>
      </c>
      <c r="DU82" s="26">
        <v>2</v>
      </c>
      <c r="DV82" s="23">
        <v>1.87</v>
      </c>
      <c r="DW82" s="24">
        <v>4184</v>
      </c>
      <c r="DX82" s="27">
        <v>4</v>
      </c>
      <c r="DY82" s="23">
        <v>0.1</v>
      </c>
      <c r="DZ82" s="15" t="s">
        <v>178</v>
      </c>
      <c r="EA82" s="22">
        <v>43489</v>
      </c>
      <c r="EB82" s="17">
        <v>14.98</v>
      </c>
      <c r="EC82" s="22">
        <v>43054</v>
      </c>
      <c r="ED82" s="15" t="s">
        <v>234</v>
      </c>
      <c r="EE82" s="14" t="str">
        <f>HYPERLINK("https://my.pitchbook.com?c=126996-49", "View company online")</f>
        <v>View company online</v>
      </c>
    </row>
    <row r="83" spans="1:135">
      <c r="A83" s="28" t="s">
        <v>2039</v>
      </c>
      <c r="B83" s="28" t="s">
        <v>2040</v>
      </c>
      <c r="C83" s="28" t="s">
        <v>138</v>
      </c>
      <c r="D83" s="28" t="s">
        <v>138</v>
      </c>
      <c r="E83" s="28" t="s">
        <v>2041</v>
      </c>
      <c r="F83" s="28" t="s">
        <v>2039</v>
      </c>
      <c r="G83" s="28" t="s">
        <v>2042</v>
      </c>
      <c r="H83" s="28" t="s">
        <v>141</v>
      </c>
      <c r="I83" s="28" t="s">
        <v>212</v>
      </c>
      <c r="J83" s="28" t="s">
        <v>213</v>
      </c>
      <c r="K83" s="28" t="s">
        <v>1064</v>
      </c>
      <c r="L83" s="28" t="s">
        <v>2043</v>
      </c>
      <c r="M83" s="28" t="s">
        <v>2044</v>
      </c>
      <c r="N83" s="28" t="s">
        <v>147</v>
      </c>
      <c r="O83" s="29">
        <v>35.590000000000003</v>
      </c>
      <c r="P83" s="28" t="s">
        <v>812</v>
      </c>
      <c r="Q83" s="28" t="s">
        <v>149</v>
      </c>
      <c r="R83" s="28" t="s">
        <v>244</v>
      </c>
      <c r="S83" s="28" t="s">
        <v>2045</v>
      </c>
      <c r="T83" s="30">
        <v>522</v>
      </c>
      <c r="U83" s="28" t="s">
        <v>2046</v>
      </c>
      <c r="V83" s="28" t="s">
        <v>138</v>
      </c>
      <c r="W83" s="28" t="s">
        <v>138</v>
      </c>
      <c r="X83" s="31">
        <v>1999</v>
      </c>
      <c r="Y83" s="28" t="s">
        <v>138</v>
      </c>
      <c r="Z83" s="28" t="s">
        <v>138</v>
      </c>
      <c r="AA83" s="28" t="s">
        <v>138</v>
      </c>
      <c r="AB83" s="32">
        <v>117.99</v>
      </c>
      <c r="AC83" s="32" t="s">
        <v>138</v>
      </c>
      <c r="AD83" s="32" t="s">
        <v>138</v>
      </c>
      <c r="AE83" s="32" t="s">
        <v>138</v>
      </c>
      <c r="AF83" s="32" t="s">
        <v>138</v>
      </c>
      <c r="AG83" s="28" t="s">
        <v>707</v>
      </c>
      <c r="AH83" s="32" t="s">
        <v>138</v>
      </c>
      <c r="AI83" s="32" t="s">
        <v>138</v>
      </c>
      <c r="AJ83" s="32" t="s">
        <v>138</v>
      </c>
      <c r="AK83" s="28" t="s">
        <v>2047</v>
      </c>
      <c r="AL83" s="28" t="s">
        <v>2048</v>
      </c>
      <c r="AM83" s="28" t="s">
        <v>249</v>
      </c>
      <c r="AN83" s="28" t="s">
        <v>2049</v>
      </c>
      <c r="AO83" s="28" t="s">
        <v>2050</v>
      </c>
      <c r="AP83" s="28" t="s">
        <v>665</v>
      </c>
      <c r="AQ83" s="28" t="s">
        <v>2051</v>
      </c>
      <c r="AR83" s="28" t="s">
        <v>1170</v>
      </c>
      <c r="AS83" s="28" t="s">
        <v>668</v>
      </c>
      <c r="AT83" s="28" t="s">
        <v>200</v>
      </c>
      <c r="AU83" s="28" t="s">
        <v>2052</v>
      </c>
      <c r="AV83" s="28" t="s">
        <v>162</v>
      </c>
      <c r="AW83" s="28" t="s">
        <v>2050</v>
      </c>
      <c r="AX83" s="28" t="s">
        <v>2053</v>
      </c>
      <c r="AY83" s="28" t="s">
        <v>2054</v>
      </c>
      <c r="AZ83" s="28" t="s">
        <v>164</v>
      </c>
      <c r="BA83" s="28" t="s">
        <v>165</v>
      </c>
      <c r="BB83" s="28" t="s">
        <v>2055</v>
      </c>
      <c r="BC83" s="28" t="s">
        <v>2056</v>
      </c>
      <c r="BD83" s="33">
        <v>14</v>
      </c>
      <c r="BE83" s="28" t="s">
        <v>138</v>
      </c>
      <c r="BF83" s="28" t="s">
        <v>138</v>
      </c>
      <c r="BG83" s="28" t="s">
        <v>138</v>
      </c>
      <c r="BH83" s="28" t="s">
        <v>2057</v>
      </c>
      <c r="BI83" s="28" t="s">
        <v>138</v>
      </c>
      <c r="BJ83" s="28" t="s">
        <v>138</v>
      </c>
      <c r="BK83" s="28" t="s">
        <v>290</v>
      </c>
      <c r="BL83" s="28" t="s">
        <v>290</v>
      </c>
      <c r="BM83" s="34">
        <v>36689</v>
      </c>
      <c r="BN83" s="29">
        <v>3</v>
      </c>
      <c r="BO83" s="28" t="s">
        <v>172</v>
      </c>
      <c r="BP83" s="29">
        <v>13</v>
      </c>
      <c r="BQ83" s="28" t="s">
        <v>172</v>
      </c>
      <c r="BR83" s="28" t="s">
        <v>205</v>
      </c>
      <c r="BS83" s="28" t="s">
        <v>206</v>
      </c>
      <c r="BT83" s="28" t="s">
        <v>138</v>
      </c>
      <c r="BU83" s="28" t="s">
        <v>174</v>
      </c>
      <c r="BV83" s="28" t="s">
        <v>138</v>
      </c>
      <c r="BW83" s="28" t="s">
        <v>138</v>
      </c>
      <c r="BX83" s="28" t="s">
        <v>138</v>
      </c>
      <c r="BY83" s="28" t="s">
        <v>175</v>
      </c>
      <c r="BZ83" s="34">
        <v>39727</v>
      </c>
      <c r="CA83" s="29">
        <v>9.5</v>
      </c>
      <c r="CB83" s="28" t="s">
        <v>172</v>
      </c>
      <c r="CC83" s="29">
        <v>89.5</v>
      </c>
      <c r="CD83" s="28" t="s">
        <v>172</v>
      </c>
      <c r="CE83" s="28" t="s">
        <v>173</v>
      </c>
      <c r="CF83" s="28" t="s">
        <v>433</v>
      </c>
      <c r="CG83" s="28" t="s">
        <v>138</v>
      </c>
      <c r="CH83" s="28" t="s">
        <v>174</v>
      </c>
      <c r="CI83" s="28" t="s">
        <v>138</v>
      </c>
      <c r="CJ83" s="28" t="s">
        <v>138</v>
      </c>
      <c r="CK83" s="28" t="s">
        <v>138</v>
      </c>
      <c r="CL83" s="28" t="s">
        <v>175</v>
      </c>
      <c r="CM83" s="34" t="s">
        <v>138</v>
      </c>
      <c r="CN83" s="29" t="s">
        <v>138</v>
      </c>
      <c r="CO83" s="35">
        <v>0.23</v>
      </c>
      <c r="CP83" s="36">
        <v>93</v>
      </c>
      <c r="CQ83" s="35">
        <v>-0.01</v>
      </c>
      <c r="CR83" s="35">
        <v>-3.07</v>
      </c>
      <c r="CS83" s="35">
        <v>-1.53</v>
      </c>
      <c r="CT83" s="36">
        <v>11</v>
      </c>
      <c r="CU83" s="35">
        <v>0.13</v>
      </c>
      <c r="CV83" s="36">
        <v>73</v>
      </c>
      <c r="CW83" s="35">
        <v>0.87</v>
      </c>
      <c r="CX83" s="36">
        <v>84</v>
      </c>
      <c r="CY83" s="35">
        <v>-3.94</v>
      </c>
      <c r="CZ83" s="36">
        <v>5</v>
      </c>
      <c r="DA83" s="35">
        <v>0.13</v>
      </c>
      <c r="DB83" s="36">
        <v>76</v>
      </c>
      <c r="DC83" s="37">
        <v>8.2899999999999991</v>
      </c>
      <c r="DD83" s="36">
        <v>88</v>
      </c>
      <c r="DE83" s="37">
        <v>-0.24</v>
      </c>
      <c r="DF83" s="35">
        <v>-2.81</v>
      </c>
      <c r="DG83" s="37">
        <v>22.41</v>
      </c>
      <c r="DH83" s="36">
        <v>95</v>
      </c>
      <c r="DI83" s="37">
        <v>2.36</v>
      </c>
      <c r="DJ83" s="36">
        <v>65</v>
      </c>
      <c r="DK83" s="37">
        <v>11.33</v>
      </c>
      <c r="DL83" s="36">
        <v>88</v>
      </c>
      <c r="DM83" s="37">
        <v>33.479999999999997</v>
      </c>
      <c r="DN83" s="36">
        <v>97</v>
      </c>
      <c r="DO83" s="37">
        <v>2.36</v>
      </c>
      <c r="DP83" s="36">
        <v>67</v>
      </c>
      <c r="DQ83" s="36">
        <v>3756</v>
      </c>
      <c r="DR83" s="38">
        <v>388</v>
      </c>
      <c r="DS83" s="35">
        <v>11.52</v>
      </c>
      <c r="DT83" s="36">
        <v>971</v>
      </c>
      <c r="DU83" s="38">
        <v>-1</v>
      </c>
      <c r="DV83" s="35">
        <v>-0.1</v>
      </c>
      <c r="DW83" s="36">
        <v>843</v>
      </c>
      <c r="DX83" s="39">
        <v>1</v>
      </c>
      <c r="DY83" s="35">
        <v>0.12</v>
      </c>
      <c r="DZ83" s="28" t="s">
        <v>178</v>
      </c>
      <c r="EA83" s="34">
        <v>43622</v>
      </c>
      <c r="EB83" s="29">
        <v>89.5</v>
      </c>
      <c r="EC83" s="34">
        <v>39727</v>
      </c>
      <c r="ED83" s="28" t="s">
        <v>173</v>
      </c>
      <c r="EE83" s="40" t="str">
        <f>HYPERLINK("https://my.pitchbook.com?c=52390-27", "View company online")</f>
        <v>View company online</v>
      </c>
    </row>
    <row r="84" spans="1:135">
      <c r="A84" s="15" t="s">
        <v>2058</v>
      </c>
      <c r="B84" s="15" t="s">
        <v>2059</v>
      </c>
      <c r="C84" s="15" t="s">
        <v>138</v>
      </c>
      <c r="D84" s="15" t="s">
        <v>138</v>
      </c>
      <c r="E84" s="15" t="s">
        <v>138</v>
      </c>
      <c r="F84" s="15" t="s">
        <v>2058</v>
      </c>
      <c r="G84" s="15" t="s">
        <v>2060</v>
      </c>
      <c r="H84" s="15" t="s">
        <v>322</v>
      </c>
      <c r="I84" s="15" t="s">
        <v>1208</v>
      </c>
      <c r="J84" s="15" t="s">
        <v>1209</v>
      </c>
      <c r="K84" s="15" t="s">
        <v>2061</v>
      </c>
      <c r="L84" s="15" t="s">
        <v>415</v>
      </c>
      <c r="M84" s="15" t="s">
        <v>2062</v>
      </c>
      <c r="N84" s="15" t="s">
        <v>2063</v>
      </c>
      <c r="O84" s="17" t="s">
        <v>138</v>
      </c>
      <c r="P84" s="15" t="s">
        <v>148</v>
      </c>
      <c r="Q84" s="15" t="s">
        <v>149</v>
      </c>
      <c r="R84" s="15" t="s">
        <v>328</v>
      </c>
      <c r="S84" s="15" t="s">
        <v>2064</v>
      </c>
      <c r="T84" s="18" t="s">
        <v>138</v>
      </c>
      <c r="U84" s="15" t="s">
        <v>138</v>
      </c>
      <c r="V84" s="15" t="s">
        <v>138</v>
      </c>
      <c r="W84" s="15" t="s">
        <v>138</v>
      </c>
      <c r="X84" s="19">
        <v>2005</v>
      </c>
      <c r="Y84" s="15" t="s">
        <v>138</v>
      </c>
      <c r="Z84" s="15" t="s">
        <v>138</v>
      </c>
      <c r="AA84" s="15" t="s">
        <v>138</v>
      </c>
      <c r="AB84" s="20" t="s">
        <v>138</v>
      </c>
      <c r="AC84" s="20" t="s">
        <v>138</v>
      </c>
      <c r="AD84" s="20" t="s">
        <v>138</v>
      </c>
      <c r="AE84" s="20" t="s">
        <v>138</v>
      </c>
      <c r="AF84" s="20" t="s">
        <v>138</v>
      </c>
      <c r="AG84" s="15" t="s">
        <v>138</v>
      </c>
      <c r="AH84" s="20" t="s">
        <v>138</v>
      </c>
      <c r="AI84" s="20" t="s">
        <v>138</v>
      </c>
      <c r="AJ84" s="20" t="s">
        <v>138</v>
      </c>
      <c r="AK84" s="15" t="s">
        <v>138</v>
      </c>
      <c r="AL84" s="15" t="s">
        <v>138</v>
      </c>
      <c r="AM84" s="15" t="s">
        <v>138</v>
      </c>
      <c r="AN84" s="15" t="s">
        <v>138</v>
      </c>
      <c r="AO84" s="15" t="s">
        <v>138</v>
      </c>
      <c r="AP84" s="15" t="s">
        <v>2065</v>
      </c>
      <c r="AQ84" s="15" t="s">
        <v>2066</v>
      </c>
      <c r="AR84" s="15" t="s">
        <v>2067</v>
      </c>
      <c r="AS84" s="15" t="s">
        <v>2068</v>
      </c>
      <c r="AT84" s="15" t="s">
        <v>2069</v>
      </c>
      <c r="AU84" s="15" t="s">
        <v>2070</v>
      </c>
      <c r="AV84" s="15" t="s">
        <v>2071</v>
      </c>
      <c r="AW84" s="15" t="s">
        <v>2072</v>
      </c>
      <c r="AX84" s="15" t="s">
        <v>2073</v>
      </c>
      <c r="AY84" s="15" t="s">
        <v>138</v>
      </c>
      <c r="AZ84" s="15" t="s">
        <v>452</v>
      </c>
      <c r="BA84" s="15" t="s">
        <v>453</v>
      </c>
      <c r="BB84" s="15" t="s">
        <v>2074</v>
      </c>
      <c r="BC84" s="15" t="s">
        <v>2075</v>
      </c>
      <c r="BD84" s="21">
        <v>1</v>
      </c>
      <c r="BE84" s="15" t="s">
        <v>138</v>
      </c>
      <c r="BF84" s="15" t="s">
        <v>2076</v>
      </c>
      <c r="BG84" s="15" t="s">
        <v>138</v>
      </c>
      <c r="BH84" s="15" t="s">
        <v>2077</v>
      </c>
      <c r="BI84" s="15" t="s">
        <v>2078</v>
      </c>
      <c r="BJ84" s="15" t="s">
        <v>138</v>
      </c>
      <c r="BK84" s="15" t="s">
        <v>138</v>
      </c>
      <c r="BL84" s="15" t="s">
        <v>138</v>
      </c>
      <c r="BM84" s="22">
        <v>39173</v>
      </c>
      <c r="BN84" s="17" t="s">
        <v>138</v>
      </c>
      <c r="BO84" s="15" t="s">
        <v>138</v>
      </c>
      <c r="BP84" s="17" t="s">
        <v>138</v>
      </c>
      <c r="BQ84" s="15" t="s">
        <v>138</v>
      </c>
      <c r="BR84" s="15" t="s">
        <v>1673</v>
      </c>
      <c r="BS84" s="15" t="s">
        <v>138</v>
      </c>
      <c r="BT84" s="15" t="s">
        <v>138</v>
      </c>
      <c r="BU84" s="15" t="s">
        <v>351</v>
      </c>
      <c r="BV84" s="15" t="s">
        <v>138</v>
      </c>
      <c r="BW84" s="15" t="s">
        <v>138</v>
      </c>
      <c r="BX84" s="15" t="s">
        <v>138</v>
      </c>
      <c r="BY84" s="15" t="s">
        <v>175</v>
      </c>
      <c r="BZ84" s="22" t="s">
        <v>138</v>
      </c>
      <c r="CA84" s="17" t="s">
        <v>138</v>
      </c>
      <c r="CB84" s="15" t="s">
        <v>138</v>
      </c>
      <c r="CC84" s="17" t="s">
        <v>138</v>
      </c>
      <c r="CD84" s="15" t="s">
        <v>138</v>
      </c>
      <c r="CE84" s="15" t="s">
        <v>2079</v>
      </c>
      <c r="CF84" s="15" t="s">
        <v>138</v>
      </c>
      <c r="CG84" s="15" t="s">
        <v>138</v>
      </c>
      <c r="CH84" s="15" t="s">
        <v>177</v>
      </c>
      <c r="CI84" s="15" t="s">
        <v>138</v>
      </c>
      <c r="CJ84" s="15" t="s">
        <v>138</v>
      </c>
      <c r="CK84" s="15" t="s">
        <v>138</v>
      </c>
      <c r="CL84" s="15" t="s">
        <v>175</v>
      </c>
      <c r="CM84" s="22" t="s">
        <v>138</v>
      </c>
      <c r="CN84" s="17" t="s">
        <v>138</v>
      </c>
      <c r="CO84" s="23" t="s">
        <v>138</v>
      </c>
      <c r="CP84" s="24" t="s">
        <v>138</v>
      </c>
      <c r="CQ84" s="23" t="s">
        <v>138</v>
      </c>
      <c r="CR84" s="23" t="s">
        <v>138</v>
      </c>
      <c r="CS84" s="23" t="s">
        <v>138</v>
      </c>
      <c r="CT84" s="24" t="s">
        <v>138</v>
      </c>
      <c r="CU84" s="23" t="s">
        <v>138</v>
      </c>
      <c r="CV84" s="24" t="s">
        <v>138</v>
      </c>
      <c r="CW84" s="23" t="s">
        <v>138</v>
      </c>
      <c r="CX84" s="24" t="s">
        <v>138</v>
      </c>
      <c r="CY84" s="23" t="s">
        <v>138</v>
      </c>
      <c r="CZ84" s="24" t="s">
        <v>138</v>
      </c>
      <c r="DA84" s="23" t="s">
        <v>138</v>
      </c>
      <c r="DB84" s="24" t="s">
        <v>138</v>
      </c>
      <c r="DC84" s="25" t="s">
        <v>138</v>
      </c>
      <c r="DD84" s="24" t="s">
        <v>138</v>
      </c>
      <c r="DE84" s="25" t="s">
        <v>138</v>
      </c>
      <c r="DF84" s="23" t="s">
        <v>138</v>
      </c>
      <c r="DG84" s="25" t="s">
        <v>138</v>
      </c>
      <c r="DH84" s="24" t="s">
        <v>138</v>
      </c>
      <c r="DI84" s="25" t="s">
        <v>138</v>
      </c>
      <c r="DJ84" s="24" t="s">
        <v>138</v>
      </c>
      <c r="DK84" s="25" t="s">
        <v>138</v>
      </c>
      <c r="DL84" s="24" t="s">
        <v>138</v>
      </c>
      <c r="DM84" s="25" t="s">
        <v>138</v>
      </c>
      <c r="DN84" s="24" t="s">
        <v>138</v>
      </c>
      <c r="DO84" s="25" t="s">
        <v>138</v>
      </c>
      <c r="DP84" s="24" t="s">
        <v>138</v>
      </c>
      <c r="DQ84" s="24" t="s">
        <v>138</v>
      </c>
      <c r="DR84" s="26" t="s">
        <v>138</v>
      </c>
      <c r="DS84" s="23" t="s">
        <v>138</v>
      </c>
      <c r="DT84" s="24" t="s">
        <v>138</v>
      </c>
      <c r="DU84" s="26" t="s">
        <v>138</v>
      </c>
      <c r="DV84" s="23" t="s">
        <v>138</v>
      </c>
      <c r="DW84" s="24" t="s">
        <v>138</v>
      </c>
      <c r="DX84" s="27" t="s">
        <v>138</v>
      </c>
      <c r="DY84" s="23" t="s">
        <v>138</v>
      </c>
      <c r="DZ84" s="15" t="s">
        <v>178</v>
      </c>
      <c r="EA84" s="22">
        <v>43351</v>
      </c>
      <c r="EB84" s="17" t="s">
        <v>138</v>
      </c>
      <c r="EC84" s="22" t="s">
        <v>138</v>
      </c>
      <c r="ED84" s="15" t="s">
        <v>138</v>
      </c>
      <c r="EE84" s="14" t="str">
        <f>HYPERLINK("https://my.pitchbook.com?c=54823-69", "View company online")</f>
        <v>View company online</v>
      </c>
    </row>
    <row r="85" spans="1:135">
      <c r="A85" s="28" t="s">
        <v>2080</v>
      </c>
      <c r="B85" s="28" t="s">
        <v>2081</v>
      </c>
      <c r="C85" s="28" t="s">
        <v>138</v>
      </c>
      <c r="D85" s="28" t="s">
        <v>138</v>
      </c>
      <c r="E85" s="28" t="s">
        <v>2082</v>
      </c>
      <c r="F85" s="28" t="s">
        <v>2080</v>
      </c>
      <c r="G85" s="28" t="s">
        <v>2083</v>
      </c>
      <c r="H85" s="28" t="s">
        <v>322</v>
      </c>
      <c r="I85" s="28" t="s">
        <v>323</v>
      </c>
      <c r="J85" s="28" t="s">
        <v>2084</v>
      </c>
      <c r="K85" s="28" t="s">
        <v>2085</v>
      </c>
      <c r="L85" s="28" t="s">
        <v>2086</v>
      </c>
      <c r="M85" s="28" t="s">
        <v>2087</v>
      </c>
      <c r="N85" s="28" t="s">
        <v>147</v>
      </c>
      <c r="O85" s="29">
        <v>58.41</v>
      </c>
      <c r="P85" s="28" t="s">
        <v>148</v>
      </c>
      <c r="Q85" s="28" t="s">
        <v>149</v>
      </c>
      <c r="R85" s="28" t="s">
        <v>174</v>
      </c>
      <c r="S85" s="28" t="s">
        <v>2088</v>
      </c>
      <c r="T85" s="30">
        <v>50</v>
      </c>
      <c r="U85" s="28" t="s">
        <v>2089</v>
      </c>
      <c r="V85" s="28" t="s">
        <v>138</v>
      </c>
      <c r="W85" s="28" t="s">
        <v>138</v>
      </c>
      <c r="X85" s="31">
        <v>2012</v>
      </c>
      <c r="Y85" s="28" t="s">
        <v>138</v>
      </c>
      <c r="Z85" s="28" t="s">
        <v>138</v>
      </c>
      <c r="AA85" s="28" t="s">
        <v>138</v>
      </c>
      <c r="AB85" s="32" t="s">
        <v>138</v>
      </c>
      <c r="AC85" s="32" t="s">
        <v>138</v>
      </c>
      <c r="AD85" s="32" t="s">
        <v>138</v>
      </c>
      <c r="AE85" s="32" t="s">
        <v>138</v>
      </c>
      <c r="AF85" s="32" t="s">
        <v>138</v>
      </c>
      <c r="AG85" s="28" t="s">
        <v>138</v>
      </c>
      <c r="AH85" s="32" t="s">
        <v>138</v>
      </c>
      <c r="AI85" s="32" t="s">
        <v>138</v>
      </c>
      <c r="AJ85" s="32" t="s">
        <v>138</v>
      </c>
      <c r="AK85" s="28" t="s">
        <v>2090</v>
      </c>
      <c r="AL85" s="28" t="s">
        <v>2091</v>
      </c>
      <c r="AM85" s="28" t="s">
        <v>365</v>
      </c>
      <c r="AN85" s="28" t="s">
        <v>2092</v>
      </c>
      <c r="AO85" s="28" t="s">
        <v>2093</v>
      </c>
      <c r="AP85" s="28" t="s">
        <v>665</v>
      </c>
      <c r="AQ85" s="28" t="s">
        <v>2094</v>
      </c>
      <c r="AR85" s="28" t="s">
        <v>2095</v>
      </c>
      <c r="AS85" s="28" t="s">
        <v>668</v>
      </c>
      <c r="AT85" s="28" t="s">
        <v>200</v>
      </c>
      <c r="AU85" s="28" t="s">
        <v>1723</v>
      </c>
      <c r="AV85" s="28" t="s">
        <v>162</v>
      </c>
      <c r="AW85" s="28" t="s">
        <v>2093</v>
      </c>
      <c r="AX85" s="28" t="s">
        <v>138</v>
      </c>
      <c r="AY85" s="28" t="s">
        <v>2096</v>
      </c>
      <c r="AZ85" s="28" t="s">
        <v>164</v>
      </c>
      <c r="BA85" s="28" t="s">
        <v>165</v>
      </c>
      <c r="BB85" s="28" t="s">
        <v>2097</v>
      </c>
      <c r="BC85" s="28" t="s">
        <v>2098</v>
      </c>
      <c r="BD85" s="33">
        <v>27</v>
      </c>
      <c r="BE85" s="28" t="s">
        <v>138</v>
      </c>
      <c r="BF85" s="28" t="s">
        <v>138</v>
      </c>
      <c r="BG85" s="28" t="s">
        <v>138</v>
      </c>
      <c r="BH85" s="28" t="s">
        <v>2099</v>
      </c>
      <c r="BI85" s="28" t="s">
        <v>138</v>
      </c>
      <c r="BJ85" s="28" t="s">
        <v>138</v>
      </c>
      <c r="BK85" s="28" t="s">
        <v>2100</v>
      </c>
      <c r="BL85" s="28" t="s">
        <v>2101</v>
      </c>
      <c r="BM85" s="34" t="s">
        <v>138</v>
      </c>
      <c r="BN85" s="29" t="s">
        <v>138</v>
      </c>
      <c r="BO85" s="28" t="s">
        <v>138</v>
      </c>
      <c r="BP85" s="29" t="s">
        <v>138</v>
      </c>
      <c r="BQ85" s="28" t="s">
        <v>138</v>
      </c>
      <c r="BR85" s="28" t="s">
        <v>316</v>
      </c>
      <c r="BS85" s="28" t="s">
        <v>138</v>
      </c>
      <c r="BT85" s="28" t="s">
        <v>138</v>
      </c>
      <c r="BU85" s="28" t="s">
        <v>174</v>
      </c>
      <c r="BV85" s="28" t="s">
        <v>138</v>
      </c>
      <c r="BW85" s="28" t="s">
        <v>138</v>
      </c>
      <c r="BX85" s="28" t="s">
        <v>138</v>
      </c>
      <c r="BY85" s="28" t="s">
        <v>175</v>
      </c>
      <c r="BZ85" s="34">
        <v>43437</v>
      </c>
      <c r="CA85" s="29">
        <v>6.06</v>
      </c>
      <c r="CB85" s="28" t="s">
        <v>172</v>
      </c>
      <c r="CC85" s="29">
        <v>23.06</v>
      </c>
      <c r="CD85" s="28" t="s">
        <v>172</v>
      </c>
      <c r="CE85" s="28" t="s">
        <v>173</v>
      </c>
      <c r="CF85" s="28" t="s">
        <v>317</v>
      </c>
      <c r="CG85" s="28" t="s">
        <v>138</v>
      </c>
      <c r="CH85" s="28" t="s">
        <v>174</v>
      </c>
      <c r="CI85" s="28" t="s">
        <v>138</v>
      </c>
      <c r="CJ85" s="28" t="s">
        <v>138</v>
      </c>
      <c r="CK85" s="28" t="s">
        <v>138</v>
      </c>
      <c r="CL85" s="28" t="s">
        <v>175</v>
      </c>
      <c r="CM85" s="34" t="s">
        <v>138</v>
      </c>
      <c r="CN85" s="29" t="s">
        <v>138</v>
      </c>
      <c r="CO85" s="35">
        <v>-0.52</v>
      </c>
      <c r="CP85" s="36">
        <v>16</v>
      </c>
      <c r="CQ85" s="35">
        <v>7.0000000000000007E-2</v>
      </c>
      <c r="CR85" s="35">
        <v>11.86</v>
      </c>
      <c r="CS85" s="35">
        <v>-1.03</v>
      </c>
      <c r="CT85" s="36">
        <v>15</v>
      </c>
      <c r="CU85" s="35">
        <v>-0.01</v>
      </c>
      <c r="CV85" s="36">
        <v>20</v>
      </c>
      <c r="CW85" s="35">
        <v>-0.7</v>
      </c>
      <c r="CX85" s="36">
        <v>11</v>
      </c>
      <c r="CY85" s="35">
        <v>-1.37</v>
      </c>
      <c r="CZ85" s="36">
        <v>16</v>
      </c>
      <c r="DA85" s="35">
        <v>-0.01</v>
      </c>
      <c r="DB85" s="36">
        <v>21</v>
      </c>
      <c r="DC85" s="37">
        <v>87.55</v>
      </c>
      <c r="DD85" s="36">
        <v>99</v>
      </c>
      <c r="DE85" s="37">
        <v>-1.21</v>
      </c>
      <c r="DF85" s="35">
        <v>-1.36</v>
      </c>
      <c r="DG85" s="37">
        <v>56.99</v>
      </c>
      <c r="DH85" s="36">
        <v>98</v>
      </c>
      <c r="DI85" s="37">
        <v>118.11</v>
      </c>
      <c r="DJ85" s="36">
        <v>97</v>
      </c>
      <c r="DK85" s="37">
        <v>52.8</v>
      </c>
      <c r="DL85" s="36">
        <v>96</v>
      </c>
      <c r="DM85" s="37">
        <v>61.17</v>
      </c>
      <c r="DN85" s="36">
        <v>98</v>
      </c>
      <c r="DO85" s="37">
        <v>118.11</v>
      </c>
      <c r="DP85" s="36">
        <v>98</v>
      </c>
      <c r="DQ85" s="36">
        <v>18271</v>
      </c>
      <c r="DR85" s="38">
        <v>-480</v>
      </c>
      <c r="DS85" s="35">
        <v>-2.56</v>
      </c>
      <c r="DT85" s="36">
        <v>1765</v>
      </c>
      <c r="DU85" s="38">
        <v>5</v>
      </c>
      <c r="DV85" s="35">
        <v>0.28000000000000003</v>
      </c>
      <c r="DW85" s="36">
        <v>42289</v>
      </c>
      <c r="DX85" s="39">
        <v>-17</v>
      </c>
      <c r="DY85" s="35">
        <v>-0.04</v>
      </c>
      <c r="DZ85" s="28" t="s">
        <v>178</v>
      </c>
      <c r="EA85" s="34">
        <v>43622</v>
      </c>
      <c r="EB85" s="29">
        <v>23.06</v>
      </c>
      <c r="EC85" s="34">
        <v>43437</v>
      </c>
      <c r="ED85" s="28" t="s">
        <v>173</v>
      </c>
      <c r="EE85" s="40" t="str">
        <f>HYPERLINK("https://my.pitchbook.com?c=60487-57", "View company online")</f>
        <v>View company online</v>
      </c>
    </row>
    <row r="86" spans="1:135">
      <c r="A86" s="15" t="s">
        <v>2102</v>
      </c>
      <c r="B86" s="15" t="s">
        <v>2103</v>
      </c>
      <c r="C86" s="15" t="s">
        <v>138</v>
      </c>
      <c r="D86" s="15" t="s">
        <v>2104</v>
      </c>
      <c r="E86" s="15" t="s">
        <v>138</v>
      </c>
      <c r="F86" s="15" t="s">
        <v>2102</v>
      </c>
      <c r="G86" s="15" t="s">
        <v>2105</v>
      </c>
      <c r="H86" s="15" t="s">
        <v>322</v>
      </c>
      <c r="I86" s="15" t="s">
        <v>356</v>
      </c>
      <c r="J86" s="15" t="s">
        <v>2106</v>
      </c>
      <c r="K86" s="15" t="s">
        <v>2107</v>
      </c>
      <c r="L86" s="15" t="s">
        <v>415</v>
      </c>
      <c r="M86" s="15" t="s">
        <v>2108</v>
      </c>
      <c r="N86" s="15" t="s">
        <v>2109</v>
      </c>
      <c r="O86" s="17" t="s">
        <v>138</v>
      </c>
      <c r="P86" s="15" t="s">
        <v>610</v>
      </c>
      <c r="Q86" s="15" t="s">
        <v>149</v>
      </c>
      <c r="R86" s="15" t="s">
        <v>150</v>
      </c>
      <c r="S86" s="15" t="s">
        <v>138</v>
      </c>
      <c r="T86" s="18" t="s">
        <v>138</v>
      </c>
      <c r="U86" s="15" t="s">
        <v>138</v>
      </c>
      <c r="V86" s="15" t="s">
        <v>138</v>
      </c>
      <c r="W86" s="15" t="s">
        <v>138</v>
      </c>
      <c r="X86" s="19">
        <v>2010</v>
      </c>
      <c r="Y86" s="15" t="s">
        <v>138</v>
      </c>
      <c r="Z86" s="15" t="s">
        <v>138</v>
      </c>
      <c r="AA86" s="15" t="s">
        <v>138</v>
      </c>
      <c r="AB86" s="20" t="s">
        <v>138</v>
      </c>
      <c r="AC86" s="20" t="s">
        <v>138</v>
      </c>
      <c r="AD86" s="20" t="s">
        <v>138</v>
      </c>
      <c r="AE86" s="20" t="s">
        <v>138</v>
      </c>
      <c r="AF86" s="20" t="s">
        <v>138</v>
      </c>
      <c r="AG86" s="15" t="s">
        <v>138</v>
      </c>
      <c r="AH86" s="20" t="s">
        <v>138</v>
      </c>
      <c r="AI86" s="20" t="s">
        <v>138</v>
      </c>
      <c r="AJ86" s="20" t="s">
        <v>138</v>
      </c>
      <c r="AK86" s="15" t="s">
        <v>138</v>
      </c>
      <c r="AL86" s="15" t="s">
        <v>138</v>
      </c>
      <c r="AM86" s="15" t="s">
        <v>138</v>
      </c>
      <c r="AN86" s="15" t="s">
        <v>138</v>
      </c>
      <c r="AO86" s="15" t="s">
        <v>138</v>
      </c>
      <c r="AP86" s="15" t="s">
        <v>2110</v>
      </c>
      <c r="AQ86" s="15" t="s">
        <v>2111</v>
      </c>
      <c r="AR86" s="15" t="s">
        <v>138</v>
      </c>
      <c r="AS86" s="15" t="s">
        <v>2112</v>
      </c>
      <c r="AT86" s="15" t="s">
        <v>138</v>
      </c>
      <c r="AU86" s="15" t="s">
        <v>2113</v>
      </c>
      <c r="AV86" s="15" t="s">
        <v>2071</v>
      </c>
      <c r="AW86" s="15" t="s">
        <v>138</v>
      </c>
      <c r="AX86" s="15" t="s">
        <v>138</v>
      </c>
      <c r="AY86" s="15" t="s">
        <v>138</v>
      </c>
      <c r="AZ86" s="15" t="s">
        <v>452</v>
      </c>
      <c r="BA86" s="15" t="s">
        <v>453</v>
      </c>
      <c r="BB86" s="15" t="s">
        <v>2114</v>
      </c>
      <c r="BC86" s="15" t="s">
        <v>2115</v>
      </c>
      <c r="BD86" s="21">
        <v>3</v>
      </c>
      <c r="BE86" s="15" t="s">
        <v>138</v>
      </c>
      <c r="BF86" s="15" t="s">
        <v>138</v>
      </c>
      <c r="BG86" s="15" t="s">
        <v>138</v>
      </c>
      <c r="BH86" s="15" t="s">
        <v>2116</v>
      </c>
      <c r="BI86" s="15" t="s">
        <v>138</v>
      </c>
      <c r="BJ86" s="15" t="s">
        <v>138</v>
      </c>
      <c r="BK86" s="15" t="s">
        <v>138</v>
      </c>
      <c r="BL86" s="15" t="s">
        <v>138</v>
      </c>
      <c r="BM86" s="22">
        <v>40451</v>
      </c>
      <c r="BN86" s="17" t="s">
        <v>138</v>
      </c>
      <c r="BO86" s="15" t="s">
        <v>138</v>
      </c>
      <c r="BP86" s="17" t="s">
        <v>138</v>
      </c>
      <c r="BQ86" s="15" t="s">
        <v>138</v>
      </c>
      <c r="BR86" s="15" t="s">
        <v>1465</v>
      </c>
      <c r="BS86" s="15" t="s">
        <v>138</v>
      </c>
      <c r="BT86" s="15" t="s">
        <v>138</v>
      </c>
      <c r="BU86" s="15" t="s">
        <v>177</v>
      </c>
      <c r="BV86" s="15" t="s">
        <v>138</v>
      </c>
      <c r="BW86" s="15" t="s">
        <v>138</v>
      </c>
      <c r="BX86" s="15" t="s">
        <v>138</v>
      </c>
      <c r="BY86" s="15" t="s">
        <v>175</v>
      </c>
      <c r="BZ86" s="22">
        <v>40451</v>
      </c>
      <c r="CA86" s="17" t="s">
        <v>138</v>
      </c>
      <c r="CB86" s="15" t="s">
        <v>138</v>
      </c>
      <c r="CC86" s="17" t="s">
        <v>138</v>
      </c>
      <c r="CD86" s="15" t="s">
        <v>138</v>
      </c>
      <c r="CE86" s="15" t="s">
        <v>1465</v>
      </c>
      <c r="CF86" s="15" t="s">
        <v>138</v>
      </c>
      <c r="CG86" s="15" t="s">
        <v>138</v>
      </c>
      <c r="CH86" s="15" t="s">
        <v>177</v>
      </c>
      <c r="CI86" s="15" t="s">
        <v>138</v>
      </c>
      <c r="CJ86" s="15" t="s">
        <v>138</v>
      </c>
      <c r="CK86" s="15" t="s">
        <v>138</v>
      </c>
      <c r="CL86" s="15" t="s">
        <v>175</v>
      </c>
      <c r="CM86" s="22" t="s">
        <v>138</v>
      </c>
      <c r="CN86" s="17" t="s">
        <v>138</v>
      </c>
      <c r="CO86" s="23" t="s">
        <v>138</v>
      </c>
      <c r="CP86" s="24" t="s">
        <v>138</v>
      </c>
      <c r="CQ86" s="23" t="s">
        <v>138</v>
      </c>
      <c r="CR86" s="23" t="s">
        <v>138</v>
      </c>
      <c r="CS86" s="23" t="s">
        <v>138</v>
      </c>
      <c r="CT86" s="24" t="s">
        <v>138</v>
      </c>
      <c r="CU86" s="23" t="s">
        <v>138</v>
      </c>
      <c r="CV86" s="24" t="s">
        <v>138</v>
      </c>
      <c r="CW86" s="23" t="s">
        <v>138</v>
      </c>
      <c r="CX86" s="24" t="s">
        <v>138</v>
      </c>
      <c r="CY86" s="23" t="s">
        <v>138</v>
      </c>
      <c r="CZ86" s="24" t="s">
        <v>138</v>
      </c>
      <c r="DA86" s="23" t="s">
        <v>138</v>
      </c>
      <c r="DB86" s="24" t="s">
        <v>138</v>
      </c>
      <c r="DC86" s="25" t="s">
        <v>138</v>
      </c>
      <c r="DD86" s="24" t="s">
        <v>138</v>
      </c>
      <c r="DE86" s="25" t="s">
        <v>138</v>
      </c>
      <c r="DF86" s="23" t="s">
        <v>138</v>
      </c>
      <c r="DG86" s="25" t="s">
        <v>138</v>
      </c>
      <c r="DH86" s="24" t="s">
        <v>138</v>
      </c>
      <c r="DI86" s="25" t="s">
        <v>138</v>
      </c>
      <c r="DJ86" s="24" t="s">
        <v>138</v>
      </c>
      <c r="DK86" s="25" t="s">
        <v>138</v>
      </c>
      <c r="DL86" s="24" t="s">
        <v>138</v>
      </c>
      <c r="DM86" s="25" t="s">
        <v>138</v>
      </c>
      <c r="DN86" s="24" t="s">
        <v>138</v>
      </c>
      <c r="DO86" s="25" t="s">
        <v>138</v>
      </c>
      <c r="DP86" s="24" t="s">
        <v>138</v>
      </c>
      <c r="DQ86" s="24" t="s">
        <v>138</v>
      </c>
      <c r="DR86" s="26" t="s">
        <v>138</v>
      </c>
      <c r="DS86" s="23" t="s">
        <v>138</v>
      </c>
      <c r="DT86" s="24" t="s">
        <v>138</v>
      </c>
      <c r="DU86" s="26" t="s">
        <v>138</v>
      </c>
      <c r="DV86" s="23" t="s">
        <v>138</v>
      </c>
      <c r="DW86" s="24" t="s">
        <v>138</v>
      </c>
      <c r="DX86" s="27" t="s">
        <v>138</v>
      </c>
      <c r="DY86" s="23" t="s">
        <v>138</v>
      </c>
      <c r="DZ86" s="15" t="s">
        <v>178</v>
      </c>
      <c r="EA86" s="22">
        <v>43351</v>
      </c>
      <c r="EB86" s="17" t="s">
        <v>138</v>
      </c>
      <c r="EC86" s="22" t="s">
        <v>138</v>
      </c>
      <c r="ED86" s="15" t="s">
        <v>138</v>
      </c>
      <c r="EE86" s="14" t="str">
        <f>HYPERLINK("https://my.pitchbook.com?c=60165-19", "View company online")</f>
        <v>View company online</v>
      </c>
    </row>
    <row r="87" spans="1:135">
      <c r="A87" s="28" t="s">
        <v>2117</v>
      </c>
      <c r="B87" s="28" t="s">
        <v>2118</v>
      </c>
      <c r="C87" s="28" t="s">
        <v>138</v>
      </c>
      <c r="D87" s="28" t="s">
        <v>138</v>
      </c>
      <c r="E87" s="28" t="s">
        <v>2119</v>
      </c>
      <c r="F87" s="28" t="s">
        <v>2117</v>
      </c>
      <c r="G87" s="28" t="s">
        <v>2120</v>
      </c>
      <c r="H87" s="28" t="s">
        <v>322</v>
      </c>
      <c r="I87" s="28" t="s">
        <v>323</v>
      </c>
      <c r="J87" s="28" t="s">
        <v>539</v>
      </c>
      <c r="K87" s="28" t="s">
        <v>2121</v>
      </c>
      <c r="L87" s="28" t="s">
        <v>855</v>
      </c>
      <c r="M87" s="28" t="s">
        <v>2122</v>
      </c>
      <c r="N87" s="28" t="s">
        <v>147</v>
      </c>
      <c r="O87" s="29">
        <v>31.8</v>
      </c>
      <c r="P87" s="28" t="s">
        <v>148</v>
      </c>
      <c r="Q87" s="28" t="s">
        <v>149</v>
      </c>
      <c r="R87" s="28" t="s">
        <v>174</v>
      </c>
      <c r="S87" s="28" t="s">
        <v>2123</v>
      </c>
      <c r="T87" s="30">
        <v>90</v>
      </c>
      <c r="U87" s="28" t="s">
        <v>2124</v>
      </c>
      <c r="V87" s="28" t="s">
        <v>138</v>
      </c>
      <c r="W87" s="28" t="s">
        <v>138</v>
      </c>
      <c r="X87" s="31">
        <v>2011</v>
      </c>
      <c r="Y87" s="28" t="s">
        <v>138</v>
      </c>
      <c r="Z87" s="28" t="s">
        <v>138</v>
      </c>
      <c r="AA87" s="28" t="s">
        <v>138</v>
      </c>
      <c r="AB87" s="32" t="s">
        <v>138</v>
      </c>
      <c r="AC87" s="32" t="s">
        <v>138</v>
      </c>
      <c r="AD87" s="32" t="s">
        <v>138</v>
      </c>
      <c r="AE87" s="32" t="s">
        <v>138</v>
      </c>
      <c r="AF87" s="32" t="s">
        <v>138</v>
      </c>
      <c r="AG87" s="28" t="s">
        <v>138</v>
      </c>
      <c r="AH87" s="32" t="s">
        <v>138</v>
      </c>
      <c r="AI87" s="32" t="s">
        <v>138</v>
      </c>
      <c r="AJ87" s="32" t="s">
        <v>138</v>
      </c>
      <c r="AK87" s="28" t="s">
        <v>2125</v>
      </c>
      <c r="AL87" s="28" t="s">
        <v>2126</v>
      </c>
      <c r="AM87" s="28" t="s">
        <v>304</v>
      </c>
      <c r="AN87" s="28" t="s">
        <v>2127</v>
      </c>
      <c r="AO87" s="28" t="s">
        <v>2128</v>
      </c>
      <c r="AP87" s="28" t="s">
        <v>423</v>
      </c>
      <c r="AQ87" s="28" t="s">
        <v>2129</v>
      </c>
      <c r="AR87" s="28" t="s">
        <v>138</v>
      </c>
      <c r="AS87" s="28" t="s">
        <v>426</v>
      </c>
      <c r="AT87" s="28" t="s">
        <v>426</v>
      </c>
      <c r="AU87" s="28" t="s">
        <v>2130</v>
      </c>
      <c r="AV87" s="28" t="s">
        <v>162</v>
      </c>
      <c r="AW87" s="28" t="s">
        <v>138</v>
      </c>
      <c r="AX87" s="28" t="s">
        <v>138</v>
      </c>
      <c r="AY87" s="28" t="s">
        <v>2131</v>
      </c>
      <c r="AZ87" s="28" t="s">
        <v>164</v>
      </c>
      <c r="BA87" s="28" t="s">
        <v>165</v>
      </c>
      <c r="BB87" s="28" t="s">
        <v>2132</v>
      </c>
      <c r="BC87" s="28" t="s">
        <v>2133</v>
      </c>
      <c r="BD87" s="33">
        <v>10</v>
      </c>
      <c r="BE87" s="28" t="s">
        <v>138</v>
      </c>
      <c r="BF87" s="28" t="s">
        <v>138</v>
      </c>
      <c r="BG87" s="28" t="s">
        <v>138</v>
      </c>
      <c r="BH87" s="28" t="s">
        <v>2134</v>
      </c>
      <c r="BI87" s="28" t="s">
        <v>138</v>
      </c>
      <c r="BJ87" s="28" t="s">
        <v>138</v>
      </c>
      <c r="BK87" s="28" t="s">
        <v>138</v>
      </c>
      <c r="BL87" s="28" t="s">
        <v>2135</v>
      </c>
      <c r="BM87" s="34">
        <v>40727</v>
      </c>
      <c r="BN87" s="29">
        <v>0.5</v>
      </c>
      <c r="BO87" s="28" t="s">
        <v>1178</v>
      </c>
      <c r="BP87" s="29" t="s">
        <v>138</v>
      </c>
      <c r="BQ87" s="28" t="s">
        <v>138</v>
      </c>
      <c r="BR87" s="28" t="s">
        <v>234</v>
      </c>
      <c r="BS87" s="28" t="s">
        <v>234</v>
      </c>
      <c r="BT87" s="28" t="s">
        <v>138</v>
      </c>
      <c r="BU87" s="28" t="s">
        <v>174</v>
      </c>
      <c r="BV87" s="28" t="s">
        <v>138</v>
      </c>
      <c r="BW87" s="28" t="s">
        <v>138</v>
      </c>
      <c r="BX87" s="28" t="s">
        <v>138</v>
      </c>
      <c r="BY87" s="28" t="s">
        <v>175</v>
      </c>
      <c r="BZ87" s="34">
        <v>43032</v>
      </c>
      <c r="CA87" s="29">
        <v>20</v>
      </c>
      <c r="CB87" s="28" t="s">
        <v>172</v>
      </c>
      <c r="CC87" s="29" t="s">
        <v>138</v>
      </c>
      <c r="CD87" s="28" t="s">
        <v>138</v>
      </c>
      <c r="CE87" s="28" t="s">
        <v>173</v>
      </c>
      <c r="CF87" s="28" t="s">
        <v>317</v>
      </c>
      <c r="CG87" s="28" t="s">
        <v>138</v>
      </c>
      <c r="CH87" s="28" t="s">
        <v>174</v>
      </c>
      <c r="CI87" s="28" t="s">
        <v>138</v>
      </c>
      <c r="CJ87" s="28" t="s">
        <v>138</v>
      </c>
      <c r="CK87" s="28" t="s">
        <v>138</v>
      </c>
      <c r="CL87" s="28" t="s">
        <v>175</v>
      </c>
      <c r="CM87" s="34" t="s">
        <v>138</v>
      </c>
      <c r="CN87" s="29" t="s">
        <v>138</v>
      </c>
      <c r="CO87" s="35">
        <v>-1.2</v>
      </c>
      <c r="CP87" s="36">
        <v>9</v>
      </c>
      <c r="CQ87" s="35">
        <v>0.03</v>
      </c>
      <c r="CR87" s="35">
        <v>2.52</v>
      </c>
      <c r="CS87" s="35">
        <v>-2.75</v>
      </c>
      <c r="CT87" s="36">
        <v>6</v>
      </c>
      <c r="CU87" s="35">
        <v>0.35</v>
      </c>
      <c r="CV87" s="36">
        <v>89</v>
      </c>
      <c r="CW87" s="35">
        <v>-2.02</v>
      </c>
      <c r="CX87" s="36">
        <v>7</v>
      </c>
      <c r="CY87" s="35">
        <v>-3.47</v>
      </c>
      <c r="CZ87" s="36">
        <v>6</v>
      </c>
      <c r="DA87" s="35">
        <v>0.69</v>
      </c>
      <c r="DB87" s="36">
        <v>96</v>
      </c>
      <c r="DC87" s="37">
        <v>27.61</v>
      </c>
      <c r="DD87" s="36">
        <v>96</v>
      </c>
      <c r="DE87" s="37">
        <v>-0.93</v>
      </c>
      <c r="DF87" s="35">
        <v>-3.26</v>
      </c>
      <c r="DG87" s="37">
        <v>35.380000000000003</v>
      </c>
      <c r="DH87" s="36">
        <v>97</v>
      </c>
      <c r="DI87" s="37">
        <v>19.84</v>
      </c>
      <c r="DJ87" s="36">
        <v>91</v>
      </c>
      <c r="DK87" s="37">
        <v>30.66</v>
      </c>
      <c r="DL87" s="36">
        <v>94</v>
      </c>
      <c r="DM87" s="37">
        <v>40.1</v>
      </c>
      <c r="DN87" s="36">
        <v>97</v>
      </c>
      <c r="DO87" s="37">
        <v>11.82</v>
      </c>
      <c r="DP87" s="36">
        <v>89</v>
      </c>
      <c r="DQ87" s="36">
        <v>10285</v>
      </c>
      <c r="DR87" s="38">
        <v>693</v>
      </c>
      <c r="DS87" s="35">
        <v>7.22</v>
      </c>
      <c r="DT87" s="36">
        <v>1162</v>
      </c>
      <c r="DU87" s="38">
        <v>1</v>
      </c>
      <c r="DV87" s="35">
        <v>0.09</v>
      </c>
      <c r="DW87" s="36">
        <v>4201</v>
      </c>
      <c r="DX87" s="39">
        <v>45</v>
      </c>
      <c r="DY87" s="35">
        <v>1.08</v>
      </c>
      <c r="DZ87" s="28" t="s">
        <v>178</v>
      </c>
      <c r="EA87" s="34">
        <v>43351</v>
      </c>
      <c r="EB87" s="29" t="s">
        <v>138</v>
      </c>
      <c r="EC87" s="34" t="s">
        <v>138</v>
      </c>
      <c r="ED87" s="28" t="s">
        <v>138</v>
      </c>
      <c r="EE87" s="40" t="str">
        <f>HYPERLINK("https://my.pitchbook.com?c=54594-55", "View company online")</f>
        <v>View company online</v>
      </c>
    </row>
    <row r="88" spans="1:135">
      <c r="A88" s="15" t="s">
        <v>2136</v>
      </c>
      <c r="B88" s="15" t="s">
        <v>2137</v>
      </c>
      <c r="C88" s="15" t="s">
        <v>2138</v>
      </c>
      <c r="D88" s="15" t="s">
        <v>138</v>
      </c>
      <c r="E88" s="15" t="s">
        <v>2139</v>
      </c>
      <c r="F88" s="15" t="s">
        <v>2136</v>
      </c>
      <c r="G88" s="15" t="s">
        <v>2140</v>
      </c>
      <c r="H88" s="15" t="s">
        <v>183</v>
      </c>
      <c r="I88" s="15" t="s">
        <v>184</v>
      </c>
      <c r="J88" s="15" t="s">
        <v>2141</v>
      </c>
      <c r="K88" s="15" t="s">
        <v>2142</v>
      </c>
      <c r="L88" s="15" t="s">
        <v>2143</v>
      </c>
      <c r="M88" s="15" t="s">
        <v>2144</v>
      </c>
      <c r="N88" s="15" t="s">
        <v>147</v>
      </c>
      <c r="O88" s="17">
        <v>46.39</v>
      </c>
      <c r="P88" s="15" t="s">
        <v>148</v>
      </c>
      <c r="Q88" s="15" t="s">
        <v>149</v>
      </c>
      <c r="R88" s="15" t="s">
        <v>174</v>
      </c>
      <c r="S88" s="15" t="s">
        <v>2145</v>
      </c>
      <c r="T88" s="18">
        <v>43</v>
      </c>
      <c r="U88" s="15" t="s">
        <v>2146</v>
      </c>
      <c r="V88" s="15" t="s">
        <v>138</v>
      </c>
      <c r="W88" s="15" t="s">
        <v>138</v>
      </c>
      <c r="X88" s="19">
        <v>2011</v>
      </c>
      <c r="Y88" s="15" t="s">
        <v>138</v>
      </c>
      <c r="Z88" s="15" t="s">
        <v>138</v>
      </c>
      <c r="AA88" s="15" t="s">
        <v>138</v>
      </c>
      <c r="AB88" s="20" t="s">
        <v>138</v>
      </c>
      <c r="AC88" s="20" t="s">
        <v>138</v>
      </c>
      <c r="AD88" s="20" t="s">
        <v>138</v>
      </c>
      <c r="AE88" s="20" t="s">
        <v>138</v>
      </c>
      <c r="AF88" s="20" t="s">
        <v>138</v>
      </c>
      <c r="AG88" s="15" t="s">
        <v>138</v>
      </c>
      <c r="AH88" s="20" t="s">
        <v>138</v>
      </c>
      <c r="AI88" s="20" t="s">
        <v>138</v>
      </c>
      <c r="AJ88" s="20" t="s">
        <v>138</v>
      </c>
      <c r="AK88" s="15" t="s">
        <v>2147</v>
      </c>
      <c r="AL88" s="15" t="s">
        <v>2148</v>
      </c>
      <c r="AM88" s="15" t="s">
        <v>2149</v>
      </c>
      <c r="AN88" s="15" t="s">
        <v>2150</v>
      </c>
      <c r="AO88" s="15" t="s">
        <v>2151</v>
      </c>
      <c r="AP88" s="15" t="s">
        <v>1292</v>
      </c>
      <c r="AQ88" s="15" t="s">
        <v>2152</v>
      </c>
      <c r="AR88" s="15" t="s">
        <v>2153</v>
      </c>
      <c r="AS88" s="15" t="s">
        <v>1294</v>
      </c>
      <c r="AT88" s="15" t="s">
        <v>864</v>
      </c>
      <c r="AU88" s="15" t="s">
        <v>2154</v>
      </c>
      <c r="AV88" s="15" t="s">
        <v>162</v>
      </c>
      <c r="AW88" s="15" t="s">
        <v>2151</v>
      </c>
      <c r="AX88" s="15" t="s">
        <v>138</v>
      </c>
      <c r="AY88" s="15" t="s">
        <v>2155</v>
      </c>
      <c r="AZ88" s="15" t="s">
        <v>164</v>
      </c>
      <c r="BA88" s="15" t="s">
        <v>165</v>
      </c>
      <c r="BB88" s="15" t="s">
        <v>2156</v>
      </c>
      <c r="BC88" s="15" t="s">
        <v>2157</v>
      </c>
      <c r="BD88" s="21">
        <v>24</v>
      </c>
      <c r="BE88" s="15" t="s">
        <v>138</v>
      </c>
      <c r="BF88" s="15" t="s">
        <v>138</v>
      </c>
      <c r="BG88" s="15" t="s">
        <v>138</v>
      </c>
      <c r="BH88" s="15" t="s">
        <v>2158</v>
      </c>
      <c r="BI88" s="15" t="s">
        <v>138</v>
      </c>
      <c r="BJ88" s="15" t="s">
        <v>138</v>
      </c>
      <c r="BK88" s="15" t="s">
        <v>2159</v>
      </c>
      <c r="BL88" s="15" t="s">
        <v>2160</v>
      </c>
      <c r="BM88" s="22">
        <v>41487</v>
      </c>
      <c r="BN88" s="17">
        <v>3.39</v>
      </c>
      <c r="BO88" s="15" t="s">
        <v>172</v>
      </c>
      <c r="BP88" s="17">
        <v>10.84</v>
      </c>
      <c r="BQ88" s="15" t="s">
        <v>172</v>
      </c>
      <c r="BR88" s="15" t="s">
        <v>234</v>
      </c>
      <c r="BS88" s="15" t="s">
        <v>234</v>
      </c>
      <c r="BT88" s="15" t="s">
        <v>138</v>
      </c>
      <c r="BU88" s="15" t="s">
        <v>174</v>
      </c>
      <c r="BV88" s="15" t="s">
        <v>138</v>
      </c>
      <c r="BW88" s="15" t="s">
        <v>138</v>
      </c>
      <c r="BX88" s="15" t="s">
        <v>138</v>
      </c>
      <c r="BY88" s="15" t="s">
        <v>175</v>
      </c>
      <c r="BZ88" s="22">
        <v>43165</v>
      </c>
      <c r="CA88" s="17">
        <v>25</v>
      </c>
      <c r="CB88" s="15" t="s">
        <v>172</v>
      </c>
      <c r="CC88" s="17">
        <v>125</v>
      </c>
      <c r="CD88" s="15" t="s">
        <v>172</v>
      </c>
      <c r="CE88" s="15" t="s">
        <v>173</v>
      </c>
      <c r="CF88" s="15" t="s">
        <v>317</v>
      </c>
      <c r="CG88" s="15" t="s">
        <v>138</v>
      </c>
      <c r="CH88" s="15" t="s">
        <v>174</v>
      </c>
      <c r="CI88" s="15" t="s">
        <v>138</v>
      </c>
      <c r="CJ88" s="15" t="s">
        <v>138</v>
      </c>
      <c r="CK88" s="15" t="s">
        <v>138</v>
      </c>
      <c r="CL88" s="15" t="s">
        <v>175</v>
      </c>
      <c r="CM88" s="22" t="s">
        <v>138</v>
      </c>
      <c r="CN88" s="17" t="s">
        <v>138</v>
      </c>
      <c r="CO88" s="23">
        <v>0.95</v>
      </c>
      <c r="CP88" s="24">
        <v>97</v>
      </c>
      <c r="CQ88" s="23">
        <v>-7.0000000000000007E-2</v>
      </c>
      <c r="CR88" s="23">
        <v>-6.54</v>
      </c>
      <c r="CS88" s="23">
        <v>0.83</v>
      </c>
      <c r="CT88" s="24">
        <v>96</v>
      </c>
      <c r="CU88" s="23">
        <v>0.61</v>
      </c>
      <c r="CV88" s="24">
        <v>95</v>
      </c>
      <c r="CW88" s="23">
        <v>0.98</v>
      </c>
      <c r="CX88" s="24">
        <v>84</v>
      </c>
      <c r="CY88" s="23">
        <v>0.67</v>
      </c>
      <c r="CZ88" s="24">
        <v>99</v>
      </c>
      <c r="DA88" s="23">
        <v>0.92</v>
      </c>
      <c r="DB88" s="24">
        <v>98</v>
      </c>
      <c r="DC88" s="25">
        <v>20.23</v>
      </c>
      <c r="DD88" s="24">
        <v>95</v>
      </c>
      <c r="DE88" s="25">
        <v>-1.02</v>
      </c>
      <c r="DF88" s="23">
        <v>-4.8099999999999996</v>
      </c>
      <c r="DG88" s="25">
        <v>33.14</v>
      </c>
      <c r="DH88" s="24">
        <v>97</v>
      </c>
      <c r="DI88" s="25">
        <v>25.88</v>
      </c>
      <c r="DJ88" s="24">
        <v>92</v>
      </c>
      <c r="DK88" s="25">
        <v>52.08</v>
      </c>
      <c r="DL88" s="24">
        <v>96</v>
      </c>
      <c r="DM88" s="25">
        <v>14.21</v>
      </c>
      <c r="DN88" s="24">
        <v>92</v>
      </c>
      <c r="DO88" s="25">
        <v>23.79</v>
      </c>
      <c r="DP88" s="24">
        <v>93</v>
      </c>
      <c r="DQ88" s="24">
        <v>17675</v>
      </c>
      <c r="DR88" s="26">
        <v>565</v>
      </c>
      <c r="DS88" s="23">
        <v>3.3</v>
      </c>
      <c r="DT88" s="24">
        <v>412</v>
      </c>
      <c r="DU88" s="26">
        <v>-1</v>
      </c>
      <c r="DV88" s="23">
        <v>-0.24</v>
      </c>
      <c r="DW88" s="24">
        <v>8479</v>
      </c>
      <c r="DX88" s="27">
        <v>104</v>
      </c>
      <c r="DY88" s="23">
        <v>1.24</v>
      </c>
      <c r="DZ88" s="15" t="s">
        <v>178</v>
      </c>
      <c r="EA88" s="22">
        <v>43607</v>
      </c>
      <c r="EB88" s="17">
        <v>125</v>
      </c>
      <c r="EC88" s="22">
        <v>43165</v>
      </c>
      <c r="ED88" s="15" t="s">
        <v>173</v>
      </c>
      <c r="EE88" s="14" t="str">
        <f>HYPERLINK("https://my.pitchbook.com?c=64325-80", "View company online")</f>
        <v>View company online</v>
      </c>
    </row>
    <row r="89" spans="1:135">
      <c r="A89" s="28" t="s">
        <v>2161</v>
      </c>
      <c r="B89" s="28" t="s">
        <v>2162</v>
      </c>
      <c r="C89" s="28" t="s">
        <v>138</v>
      </c>
      <c r="D89" s="28" t="s">
        <v>138</v>
      </c>
      <c r="E89" s="28" t="s">
        <v>138</v>
      </c>
      <c r="F89" s="28" t="s">
        <v>2161</v>
      </c>
      <c r="G89" s="28" t="s">
        <v>2163</v>
      </c>
      <c r="H89" s="28" t="s">
        <v>238</v>
      </c>
      <c r="I89" s="28" t="s">
        <v>749</v>
      </c>
      <c r="J89" s="28" t="s">
        <v>750</v>
      </c>
      <c r="K89" s="28" t="s">
        <v>2164</v>
      </c>
      <c r="L89" s="28" t="s">
        <v>138</v>
      </c>
      <c r="M89" s="28" t="s">
        <v>2165</v>
      </c>
      <c r="N89" s="28" t="s">
        <v>147</v>
      </c>
      <c r="O89" s="29">
        <v>1.2</v>
      </c>
      <c r="P89" s="28" t="s">
        <v>148</v>
      </c>
      <c r="Q89" s="28" t="s">
        <v>149</v>
      </c>
      <c r="R89" s="28" t="s">
        <v>244</v>
      </c>
      <c r="S89" s="28" t="s">
        <v>2166</v>
      </c>
      <c r="T89" s="30">
        <v>12</v>
      </c>
      <c r="U89" s="28" t="s">
        <v>2167</v>
      </c>
      <c r="V89" s="28" t="s">
        <v>138</v>
      </c>
      <c r="W89" s="28" t="s">
        <v>138</v>
      </c>
      <c r="X89" s="31">
        <v>2009</v>
      </c>
      <c r="Y89" s="28" t="s">
        <v>138</v>
      </c>
      <c r="Z89" s="28" t="s">
        <v>138</v>
      </c>
      <c r="AA89" s="28" t="s">
        <v>138</v>
      </c>
      <c r="AB89" s="32" t="s">
        <v>138</v>
      </c>
      <c r="AC89" s="32" t="s">
        <v>138</v>
      </c>
      <c r="AD89" s="32" t="s">
        <v>138</v>
      </c>
      <c r="AE89" s="32" t="s">
        <v>138</v>
      </c>
      <c r="AF89" s="32" t="s">
        <v>138</v>
      </c>
      <c r="AG89" s="28" t="s">
        <v>138</v>
      </c>
      <c r="AH89" s="32" t="s">
        <v>138</v>
      </c>
      <c r="AI89" s="32" t="s">
        <v>138</v>
      </c>
      <c r="AJ89" s="32" t="s">
        <v>138</v>
      </c>
      <c r="AK89" s="28" t="s">
        <v>2168</v>
      </c>
      <c r="AL89" s="28" t="s">
        <v>2169</v>
      </c>
      <c r="AM89" s="28" t="s">
        <v>249</v>
      </c>
      <c r="AN89" s="28" t="s">
        <v>2170</v>
      </c>
      <c r="AO89" s="28" t="s">
        <v>2171</v>
      </c>
      <c r="AP89" s="28" t="s">
        <v>2172</v>
      </c>
      <c r="AQ89" s="28" t="s">
        <v>2173</v>
      </c>
      <c r="AR89" s="28" t="s">
        <v>138</v>
      </c>
      <c r="AS89" s="28" t="s">
        <v>2174</v>
      </c>
      <c r="AT89" s="28" t="s">
        <v>864</v>
      </c>
      <c r="AU89" s="28" t="s">
        <v>2175</v>
      </c>
      <c r="AV89" s="28" t="s">
        <v>162</v>
      </c>
      <c r="AW89" s="28" t="s">
        <v>2171</v>
      </c>
      <c r="AX89" s="28" t="s">
        <v>2176</v>
      </c>
      <c r="AY89" s="28" t="s">
        <v>2177</v>
      </c>
      <c r="AZ89" s="28" t="s">
        <v>164</v>
      </c>
      <c r="BA89" s="28" t="s">
        <v>165</v>
      </c>
      <c r="BB89" s="28" t="s">
        <v>2178</v>
      </c>
      <c r="BC89" s="28" t="s">
        <v>2179</v>
      </c>
      <c r="BD89" s="33">
        <v>2</v>
      </c>
      <c r="BE89" s="28" t="s">
        <v>138</v>
      </c>
      <c r="BF89" s="28" t="s">
        <v>138</v>
      </c>
      <c r="BG89" s="28" t="s">
        <v>138</v>
      </c>
      <c r="BH89" s="28" t="s">
        <v>2180</v>
      </c>
      <c r="BI89" s="28" t="s">
        <v>138</v>
      </c>
      <c r="BJ89" s="28" t="s">
        <v>138</v>
      </c>
      <c r="BK89" s="28" t="s">
        <v>138</v>
      </c>
      <c r="BL89" s="28" t="s">
        <v>2181</v>
      </c>
      <c r="BM89" s="34">
        <v>41044</v>
      </c>
      <c r="BN89" s="29">
        <v>0.2</v>
      </c>
      <c r="BO89" s="28" t="s">
        <v>172</v>
      </c>
      <c r="BP89" s="29" t="s">
        <v>138</v>
      </c>
      <c r="BQ89" s="28" t="s">
        <v>138</v>
      </c>
      <c r="BR89" s="28" t="s">
        <v>1326</v>
      </c>
      <c r="BS89" s="28" t="s">
        <v>1328</v>
      </c>
      <c r="BT89" s="28" t="s">
        <v>138</v>
      </c>
      <c r="BU89" s="28" t="s">
        <v>1327</v>
      </c>
      <c r="BV89" s="28" t="s">
        <v>1328</v>
      </c>
      <c r="BW89" s="28" t="s">
        <v>138</v>
      </c>
      <c r="BX89" s="28" t="s">
        <v>138</v>
      </c>
      <c r="BY89" s="28" t="s">
        <v>175</v>
      </c>
      <c r="BZ89" s="34" t="s">
        <v>138</v>
      </c>
      <c r="CA89" s="29">
        <v>1</v>
      </c>
      <c r="CB89" s="28" t="s">
        <v>172</v>
      </c>
      <c r="CC89" s="29" t="s">
        <v>138</v>
      </c>
      <c r="CD89" s="28" t="s">
        <v>138</v>
      </c>
      <c r="CE89" s="28" t="s">
        <v>234</v>
      </c>
      <c r="CF89" s="28" t="s">
        <v>234</v>
      </c>
      <c r="CG89" s="28" t="s">
        <v>138</v>
      </c>
      <c r="CH89" s="28" t="s">
        <v>174</v>
      </c>
      <c r="CI89" s="28" t="s">
        <v>138</v>
      </c>
      <c r="CJ89" s="28" t="s">
        <v>138</v>
      </c>
      <c r="CK89" s="28" t="s">
        <v>138</v>
      </c>
      <c r="CL89" s="28" t="s">
        <v>175</v>
      </c>
      <c r="CM89" s="34">
        <v>41044</v>
      </c>
      <c r="CN89" s="29">
        <v>0.2</v>
      </c>
      <c r="CO89" s="35">
        <v>-0.77</v>
      </c>
      <c r="CP89" s="36">
        <v>13</v>
      </c>
      <c r="CQ89" s="35">
        <v>0.03</v>
      </c>
      <c r="CR89" s="35">
        <v>3.74</v>
      </c>
      <c r="CS89" s="35">
        <v>-1.57</v>
      </c>
      <c r="CT89" s="36">
        <v>11</v>
      </c>
      <c r="CU89" s="35">
        <v>0.02</v>
      </c>
      <c r="CV89" s="36">
        <v>51</v>
      </c>
      <c r="CW89" s="35" t="s">
        <v>138</v>
      </c>
      <c r="CX89" s="36" t="s">
        <v>138</v>
      </c>
      <c r="CY89" s="35">
        <v>-1.57</v>
      </c>
      <c r="CZ89" s="36">
        <v>14</v>
      </c>
      <c r="DA89" s="35">
        <v>0.06</v>
      </c>
      <c r="DB89" s="36">
        <v>65</v>
      </c>
      <c r="DC89" s="37">
        <v>10.81</v>
      </c>
      <c r="DD89" s="36">
        <v>91</v>
      </c>
      <c r="DE89" s="37">
        <v>0.02</v>
      </c>
      <c r="DF89" s="35">
        <v>0.16</v>
      </c>
      <c r="DG89" s="37">
        <v>7.86</v>
      </c>
      <c r="DH89" s="36">
        <v>87</v>
      </c>
      <c r="DI89" s="37">
        <v>13.76</v>
      </c>
      <c r="DJ89" s="36">
        <v>88</v>
      </c>
      <c r="DK89" s="37" t="s">
        <v>138</v>
      </c>
      <c r="DL89" s="36" t="s">
        <v>138</v>
      </c>
      <c r="DM89" s="37">
        <v>7.86</v>
      </c>
      <c r="DN89" s="36">
        <v>87</v>
      </c>
      <c r="DO89" s="37">
        <v>3.72</v>
      </c>
      <c r="DP89" s="36">
        <v>75</v>
      </c>
      <c r="DQ89" s="36">
        <v>278</v>
      </c>
      <c r="DR89" s="38">
        <v>-10</v>
      </c>
      <c r="DS89" s="35">
        <v>-3.47</v>
      </c>
      <c r="DT89" s="36">
        <v>227</v>
      </c>
      <c r="DU89" s="38">
        <v>1</v>
      </c>
      <c r="DV89" s="35">
        <v>0.44</v>
      </c>
      <c r="DW89" s="36">
        <v>1329</v>
      </c>
      <c r="DX89" s="39">
        <v>0</v>
      </c>
      <c r="DY89" s="35">
        <v>0</v>
      </c>
      <c r="DZ89" s="28" t="s">
        <v>178</v>
      </c>
      <c r="EA89" s="34">
        <v>43622</v>
      </c>
      <c r="EB89" s="29" t="s">
        <v>138</v>
      </c>
      <c r="EC89" s="34" t="s">
        <v>138</v>
      </c>
      <c r="ED89" s="28" t="s">
        <v>138</v>
      </c>
      <c r="EE89" s="40" t="str">
        <f>HYPERLINK("https://my.pitchbook.com?c=172449-73", "View company online")</f>
        <v>View company online</v>
      </c>
    </row>
    <row r="90" spans="1:135">
      <c r="A90" s="15" t="s">
        <v>2182</v>
      </c>
      <c r="B90" s="15" t="s">
        <v>2183</v>
      </c>
      <c r="C90" s="15" t="s">
        <v>138</v>
      </c>
      <c r="D90" s="15" t="s">
        <v>2184</v>
      </c>
      <c r="E90" s="15" t="s">
        <v>2185</v>
      </c>
      <c r="F90" s="15" t="s">
        <v>2182</v>
      </c>
      <c r="G90" s="15" t="s">
        <v>2186</v>
      </c>
      <c r="H90" s="15" t="s">
        <v>238</v>
      </c>
      <c r="I90" s="15" t="s">
        <v>269</v>
      </c>
      <c r="J90" s="15" t="s">
        <v>296</v>
      </c>
      <c r="K90" s="15" t="s">
        <v>2187</v>
      </c>
      <c r="L90" s="15" t="s">
        <v>2188</v>
      </c>
      <c r="M90" s="15" t="s">
        <v>2189</v>
      </c>
      <c r="N90" s="15" t="s">
        <v>147</v>
      </c>
      <c r="O90" s="17">
        <v>5.0599999999999996</v>
      </c>
      <c r="P90" s="15" t="s">
        <v>148</v>
      </c>
      <c r="Q90" s="15" t="s">
        <v>149</v>
      </c>
      <c r="R90" s="15" t="s">
        <v>174</v>
      </c>
      <c r="S90" s="15" t="s">
        <v>2190</v>
      </c>
      <c r="T90" s="18">
        <v>25</v>
      </c>
      <c r="U90" s="15" t="s">
        <v>2191</v>
      </c>
      <c r="V90" s="15" t="s">
        <v>138</v>
      </c>
      <c r="W90" s="15" t="s">
        <v>138</v>
      </c>
      <c r="X90" s="19">
        <v>2011</v>
      </c>
      <c r="Y90" s="15" t="s">
        <v>138</v>
      </c>
      <c r="Z90" s="15" t="s">
        <v>138</v>
      </c>
      <c r="AA90" s="15" t="s">
        <v>138</v>
      </c>
      <c r="AB90" s="20">
        <v>29.18</v>
      </c>
      <c r="AC90" s="20" t="s">
        <v>138</v>
      </c>
      <c r="AD90" s="20" t="s">
        <v>138</v>
      </c>
      <c r="AE90" s="20" t="s">
        <v>138</v>
      </c>
      <c r="AF90" s="20" t="s">
        <v>138</v>
      </c>
      <c r="AG90" s="15" t="s">
        <v>707</v>
      </c>
      <c r="AH90" s="20" t="s">
        <v>138</v>
      </c>
      <c r="AI90" s="20" t="s">
        <v>138</v>
      </c>
      <c r="AJ90" s="20" t="s">
        <v>138</v>
      </c>
      <c r="AK90" s="15" t="s">
        <v>2192</v>
      </c>
      <c r="AL90" s="15" t="s">
        <v>2193</v>
      </c>
      <c r="AM90" s="15" t="s">
        <v>2194</v>
      </c>
      <c r="AN90" s="15" t="s">
        <v>2195</v>
      </c>
      <c r="AO90" s="15" t="s">
        <v>2196</v>
      </c>
      <c r="AP90" s="15" t="s">
        <v>2197</v>
      </c>
      <c r="AQ90" s="15" t="s">
        <v>2198</v>
      </c>
      <c r="AR90" s="15" t="s">
        <v>2199</v>
      </c>
      <c r="AS90" s="15" t="s">
        <v>2200</v>
      </c>
      <c r="AT90" s="15" t="s">
        <v>824</v>
      </c>
      <c r="AU90" s="15" t="s">
        <v>2201</v>
      </c>
      <c r="AV90" s="15" t="s">
        <v>526</v>
      </c>
      <c r="AW90" s="15" t="s">
        <v>2196</v>
      </c>
      <c r="AX90" s="15" t="s">
        <v>138</v>
      </c>
      <c r="AY90" s="15" t="s">
        <v>138</v>
      </c>
      <c r="AZ90" s="15" t="s">
        <v>530</v>
      </c>
      <c r="BA90" s="15" t="s">
        <v>531</v>
      </c>
      <c r="BB90" s="15" t="s">
        <v>2202</v>
      </c>
      <c r="BC90" s="15" t="s">
        <v>2203</v>
      </c>
      <c r="BD90" s="21">
        <v>4</v>
      </c>
      <c r="BE90" s="15" t="s">
        <v>138</v>
      </c>
      <c r="BF90" s="15" t="s">
        <v>138</v>
      </c>
      <c r="BG90" s="15" t="s">
        <v>138</v>
      </c>
      <c r="BH90" s="15" t="s">
        <v>2204</v>
      </c>
      <c r="BI90" s="15" t="s">
        <v>138</v>
      </c>
      <c r="BJ90" s="15" t="s">
        <v>138</v>
      </c>
      <c r="BK90" s="15" t="s">
        <v>138</v>
      </c>
      <c r="BL90" s="15" t="s">
        <v>138</v>
      </c>
      <c r="BM90" s="22">
        <v>42226</v>
      </c>
      <c r="BN90" s="17" t="s">
        <v>138</v>
      </c>
      <c r="BO90" s="15" t="s">
        <v>138</v>
      </c>
      <c r="BP90" s="17" t="s">
        <v>138</v>
      </c>
      <c r="BQ90" s="15" t="s">
        <v>138</v>
      </c>
      <c r="BR90" s="15" t="s">
        <v>205</v>
      </c>
      <c r="BS90" s="15" t="s">
        <v>138</v>
      </c>
      <c r="BT90" s="15" t="s">
        <v>138</v>
      </c>
      <c r="BU90" s="15" t="s">
        <v>174</v>
      </c>
      <c r="BV90" s="15" t="s">
        <v>138</v>
      </c>
      <c r="BW90" s="15" t="s">
        <v>138</v>
      </c>
      <c r="BX90" s="15" t="s">
        <v>138</v>
      </c>
      <c r="BY90" s="15" t="s">
        <v>175</v>
      </c>
      <c r="BZ90" s="22">
        <v>43314</v>
      </c>
      <c r="CA90" s="17">
        <v>5.0599999999999996</v>
      </c>
      <c r="CB90" s="15" t="s">
        <v>172</v>
      </c>
      <c r="CC90" s="17">
        <v>11.79</v>
      </c>
      <c r="CD90" s="15" t="s">
        <v>172</v>
      </c>
      <c r="CE90" s="15" t="s">
        <v>173</v>
      </c>
      <c r="CF90" s="15" t="s">
        <v>138</v>
      </c>
      <c r="CG90" s="15" t="s">
        <v>138</v>
      </c>
      <c r="CH90" s="15" t="s">
        <v>174</v>
      </c>
      <c r="CI90" s="15" t="s">
        <v>138</v>
      </c>
      <c r="CJ90" s="15" t="s">
        <v>138</v>
      </c>
      <c r="CK90" s="15" t="s">
        <v>138</v>
      </c>
      <c r="CL90" s="15" t="s">
        <v>175</v>
      </c>
      <c r="CM90" s="22" t="s">
        <v>138</v>
      </c>
      <c r="CN90" s="17" t="s">
        <v>138</v>
      </c>
      <c r="CO90" s="23">
        <v>1.86</v>
      </c>
      <c r="CP90" s="24">
        <v>99</v>
      </c>
      <c r="CQ90" s="23">
        <v>-0.02</v>
      </c>
      <c r="CR90" s="23">
        <v>-1.19</v>
      </c>
      <c r="CS90" s="23">
        <v>3.63</v>
      </c>
      <c r="CT90" s="24">
        <v>100</v>
      </c>
      <c r="CU90" s="23">
        <v>0.08</v>
      </c>
      <c r="CV90" s="24">
        <v>64</v>
      </c>
      <c r="CW90" s="23">
        <v>11.26</v>
      </c>
      <c r="CX90" s="24">
        <v>100</v>
      </c>
      <c r="CY90" s="23">
        <v>-4</v>
      </c>
      <c r="CZ90" s="24">
        <v>5</v>
      </c>
      <c r="DA90" s="23">
        <v>0.03</v>
      </c>
      <c r="DB90" s="24">
        <v>60</v>
      </c>
      <c r="DC90" s="25">
        <v>18.18</v>
      </c>
      <c r="DD90" s="24">
        <v>94</v>
      </c>
      <c r="DE90" s="25">
        <v>-0.51</v>
      </c>
      <c r="DF90" s="23">
        <v>-2.72</v>
      </c>
      <c r="DG90" s="25">
        <v>29.42</v>
      </c>
      <c r="DH90" s="24">
        <v>97</v>
      </c>
      <c r="DI90" s="25">
        <v>6.94</v>
      </c>
      <c r="DJ90" s="24">
        <v>81</v>
      </c>
      <c r="DK90" s="25">
        <v>16.079999999999998</v>
      </c>
      <c r="DL90" s="24">
        <v>90</v>
      </c>
      <c r="DM90" s="25">
        <v>42.76</v>
      </c>
      <c r="DN90" s="24">
        <v>98</v>
      </c>
      <c r="DO90" s="25">
        <v>11.33</v>
      </c>
      <c r="DP90" s="24">
        <v>88</v>
      </c>
      <c r="DQ90" s="24">
        <v>5347</v>
      </c>
      <c r="DR90" s="26">
        <v>508</v>
      </c>
      <c r="DS90" s="23">
        <v>10.5</v>
      </c>
      <c r="DT90" s="24">
        <v>1240</v>
      </c>
      <c r="DU90" s="26">
        <v>-9</v>
      </c>
      <c r="DV90" s="23">
        <v>-0.72</v>
      </c>
      <c r="DW90" s="24">
        <v>4054</v>
      </c>
      <c r="DX90" s="27">
        <v>4</v>
      </c>
      <c r="DY90" s="23">
        <v>0.1</v>
      </c>
      <c r="DZ90" s="15" t="s">
        <v>178</v>
      </c>
      <c r="EA90" s="22">
        <v>43529</v>
      </c>
      <c r="EB90" s="17">
        <v>11.79</v>
      </c>
      <c r="EC90" s="22">
        <v>43314</v>
      </c>
      <c r="ED90" s="15" t="s">
        <v>173</v>
      </c>
      <c r="EE90" s="14" t="str">
        <f>HYPERLINK("https://my.pitchbook.com?c=104799-16", "View company online")</f>
        <v>View company online</v>
      </c>
    </row>
    <row r="91" spans="1:135">
      <c r="A91" s="28" t="s">
        <v>2205</v>
      </c>
      <c r="B91" s="28" t="s">
        <v>2206</v>
      </c>
      <c r="C91" s="28" t="s">
        <v>138</v>
      </c>
      <c r="D91" s="28" t="s">
        <v>138</v>
      </c>
      <c r="E91" s="28" t="s">
        <v>2207</v>
      </c>
      <c r="F91" s="28" t="s">
        <v>2205</v>
      </c>
      <c r="G91" s="28" t="s">
        <v>2208</v>
      </c>
      <c r="H91" s="28" t="s">
        <v>322</v>
      </c>
      <c r="I91" s="28" t="s">
        <v>323</v>
      </c>
      <c r="J91" s="28" t="s">
        <v>461</v>
      </c>
      <c r="K91" s="28" t="s">
        <v>2209</v>
      </c>
      <c r="L91" s="28" t="s">
        <v>2210</v>
      </c>
      <c r="M91" s="28" t="s">
        <v>2211</v>
      </c>
      <c r="N91" s="28" t="s">
        <v>147</v>
      </c>
      <c r="O91" s="29">
        <v>53.75</v>
      </c>
      <c r="P91" s="28" t="s">
        <v>148</v>
      </c>
      <c r="Q91" s="28" t="s">
        <v>149</v>
      </c>
      <c r="R91" s="28" t="s">
        <v>174</v>
      </c>
      <c r="S91" s="28" t="s">
        <v>2212</v>
      </c>
      <c r="T91" s="30">
        <v>301</v>
      </c>
      <c r="U91" s="28" t="s">
        <v>2213</v>
      </c>
      <c r="V91" s="28" t="s">
        <v>138</v>
      </c>
      <c r="W91" s="28" t="s">
        <v>138</v>
      </c>
      <c r="X91" s="31">
        <v>2000</v>
      </c>
      <c r="Y91" s="28" t="s">
        <v>138</v>
      </c>
      <c r="Z91" s="28" t="s">
        <v>138</v>
      </c>
      <c r="AA91" s="28" t="s">
        <v>138</v>
      </c>
      <c r="AB91" s="32">
        <v>28</v>
      </c>
      <c r="AC91" s="32" t="s">
        <v>138</v>
      </c>
      <c r="AD91" s="32" t="s">
        <v>138</v>
      </c>
      <c r="AE91" s="32" t="s">
        <v>138</v>
      </c>
      <c r="AF91" s="32" t="s">
        <v>138</v>
      </c>
      <c r="AG91" s="28" t="s">
        <v>2214</v>
      </c>
      <c r="AH91" s="32" t="s">
        <v>138</v>
      </c>
      <c r="AI91" s="32" t="s">
        <v>138</v>
      </c>
      <c r="AJ91" s="32" t="s">
        <v>138</v>
      </c>
      <c r="AK91" s="28" t="s">
        <v>2215</v>
      </c>
      <c r="AL91" s="28" t="s">
        <v>2216</v>
      </c>
      <c r="AM91" s="28" t="s">
        <v>249</v>
      </c>
      <c r="AN91" s="28" t="s">
        <v>2217</v>
      </c>
      <c r="AO91" s="28" t="s">
        <v>2218</v>
      </c>
      <c r="AP91" s="28" t="s">
        <v>1220</v>
      </c>
      <c r="AQ91" s="28" t="s">
        <v>2219</v>
      </c>
      <c r="AR91" s="28" t="s">
        <v>1170</v>
      </c>
      <c r="AS91" s="28" t="s">
        <v>1223</v>
      </c>
      <c r="AT91" s="28" t="s">
        <v>200</v>
      </c>
      <c r="AU91" s="28" t="s">
        <v>1484</v>
      </c>
      <c r="AV91" s="28" t="s">
        <v>162</v>
      </c>
      <c r="AW91" s="28" t="s">
        <v>2218</v>
      </c>
      <c r="AX91" s="28" t="s">
        <v>138</v>
      </c>
      <c r="AY91" s="28" t="s">
        <v>2220</v>
      </c>
      <c r="AZ91" s="28" t="s">
        <v>164</v>
      </c>
      <c r="BA91" s="28" t="s">
        <v>165</v>
      </c>
      <c r="BB91" s="28" t="s">
        <v>2221</v>
      </c>
      <c r="BC91" s="28" t="s">
        <v>2222</v>
      </c>
      <c r="BD91" s="33">
        <v>12</v>
      </c>
      <c r="BE91" s="28" t="s">
        <v>138</v>
      </c>
      <c r="BF91" s="28" t="s">
        <v>138</v>
      </c>
      <c r="BG91" s="28" t="s">
        <v>2223</v>
      </c>
      <c r="BH91" s="28" t="s">
        <v>2224</v>
      </c>
      <c r="BI91" s="28" t="s">
        <v>138</v>
      </c>
      <c r="BJ91" s="28" t="s">
        <v>2225</v>
      </c>
      <c r="BK91" s="28" t="s">
        <v>2226</v>
      </c>
      <c r="BL91" s="28" t="s">
        <v>2227</v>
      </c>
      <c r="BM91" s="34">
        <v>37490</v>
      </c>
      <c r="BN91" s="29">
        <v>0.25</v>
      </c>
      <c r="BO91" s="28" t="s">
        <v>172</v>
      </c>
      <c r="BP91" s="29">
        <v>2.0299999999999998</v>
      </c>
      <c r="BQ91" s="28" t="s">
        <v>172</v>
      </c>
      <c r="BR91" s="28" t="s">
        <v>205</v>
      </c>
      <c r="BS91" s="28" t="s">
        <v>206</v>
      </c>
      <c r="BT91" s="28" t="s">
        <v>138</v>
      </c>
      <c r="BU91" s="28" t="s">
        <v>174</v>
      </c>
      <c r="BV91" s="28" t="s">
        <v>264</v>
      </c>
      <c r="BW91" s="28" t="s">
        <v>138</v>
      </c>
      <c r="BX91" s="28" t="s">
        <v>138</v>
      </c>
      <c r="BY91" s="28" t="s">
        <v>175</v>
      </c>
      <c r="BZ91" s="34">
        <v>43529</v>
      </c>
      <c r="CA91" s="29" t="s">
        <v>138</v>
      </c>
      <c r="CB91" s="28" t="s">
        <v>138</v>
      </c>
      <c r="CC91" s="29" t="s">
        <v>138</v>
      </c>
      <c r="CD91" s="28" t="s">
        <v>138</v>
      </c>
      <c r="CE91" s="28" t="s">
        <v>2228</v>
      </c>
      <c r="CF91" s="28" t="s">
        <v>138</v>
      </c>
      <c r="CG91" s="28" t="s">
        <v>138</v>
      </c>
      <c r="CH91" s="28" t="s">
        <v>780</v>
      </c>
      <c r="CI91" s="28" t="s">
        <v>138</v>
      </c>
      <c r="CJ91" s="28" t="s">
        <v>138</v>
      </c>
      <c r="CK91" s="28" t="s">
        <v>138</v>
      </c>
      <c r="CL91" s="28" t="s">
        <v>352</v>
      </c>
      <c r="CM91" s="34" t="s">
        <v>138</v>
      </c>
      <c r="CN91" s="29" t="s">
        <v>138</v>
      </c>
      <c r="CO91" s="35">
        <v>0.01</v>
      </c>
      <c r="CP91" s="36">
        <v>84</v>
      </c>
      <c r="CQ91" s="35">
        <v>0</v>
      </c>
      <c r="CR91" s="35">
        <v>21.57</v>
      </c>
      <c r="CS91" s="35">
        <v>-0.02</v>
      </c>
      <c r="CT91" s="36">
        <v>23</v>
      </c>
      <c r="CU91" s="35">
        <v>0.04</v>
      </c>
      <c r="CV91" s="36">
        <v>56</v>
      </c>
      <c r="CW91" s="35">
        <v>2</v>
      </c>
      <c r="CX91" s="36">
        <v>88</v>
      </c>
      <c r="CY91" s="35">
        <v>-2.0299999999999998</v>
      </c>
      <c r="CZ91" s="36">
        <v>11</v>
      </c>
      <c r="DA91" s="35">
        <v>0.04</v>
      </c>
      <c r="DB91" s="36">
        <v>62</v>
      </c>
      <c r="DC91" s="37">
        <v>86.8</v>
      </c>
      <c r="DD91" s="36">
        <v>99</v>
      </c>
      <c r="DE91" s="37">
        <v>-0.71</v>
      </c>
      <c r="DF91" s="35">
        <v>-0.82</v>
      </c>
      <c r="DG91" s="37">
        <v>59.85</v>
      </c>
      <c r="DH91" s="36">
        <v>99</v>
      </c>
      <c r="DI91" s="37">
        <v>113.75</v>
      </c>
      <c r="DJ91" s="36">
        <v>97</v>
      </c>
      <c r="DK91" s="37">
        <v>30.16</v>
      </c>
      <c r="DL91" s="36">
        <v>94</v>
      </c>
      <c r="DM91" s="37">
        <v>89.55</v>
      </c>
      <c r="DN91" s="36">
        <v>99</v>
      </c>
      <c r="DO91" s="37">
        <v>113.75</v>
      </c>
      <c r="DP91" s="36">
        <v>98</v>
      </c>
      <c r="DQ91" s="36">
        <v>10284</v>
      </c>
      <c r="DR91" s="38">
        <v>180</v>
      </c>
      <c r="DS91" s="35">
        <v>1.78</v>
      </c>
      <c r="DT91" s="36">
        <v>2599</v>
      </c>
      <c r="DU91" s="38">
        <v>-3</v>
      </c>
      <c r="DV91" s="35">
        <v>-0.12</v>
      </c>
      <c r="DW91" s="36">
        <v>40722</v>
      </c>
      <c r="DX91" s="39">
        <v>3</v>
      </c>
      <c r="DY91" s="35">
        <v>0.01</v>
      </c>
      <c r="DZ91" s="28" t="s">
        <v>178</v>
      </c>
      <c r="EA91" s="34">
        <v>43622</v>
      </c>
      <c r="EB91" s="29">
        <v>185.38</v>
      </c>
      <c r="EC91" s="34">
        <v>42739</v>
      </c>
      <c r="ED91" s="28" t="s">
        <v>173</v>
      </c>
      <c r="EE91" s="40" t="str">
        <f>HYPERLINK("https://my.pitchbook.com?c=52509-25", "View company online")</f>
        <v>View company online</v>
      </c>
    </row>
    <row r="92" spans="1:135">
      <c r="A92" s="15" t="s">
        <v>2229</v>
      </c>
      <c r="B92" s="15" t="s">
        <v>2230</v>
      </c>
      <c r="C92" s="15" t="s">
        <v>2231</v>
      </c>
      <c r="D92" s="15" t="s">
        <v>138</v>
      </c>
      <c r="E92" s="15" t="s">
        <v>2232</v>
      </c>
      <c r="F92" s="15" t="s">
        <v>2229</v>
      </c>
      <c r="G92" s="15" t="s">
        <v>2233</v>
      </c>
      <c r="H92" s="15" t="s">
        <v>238</v>
      </c>
      <c r="I92" s="15" t="s">
        <v>239</v>
      </c>
      <c r="J92" s="15" t="s">
        <v>2234</v>
      </c>
      <c r="K92" s="15" t="s">
        <v>2235</v>
      </c>
      <c r="L92" s="15" t="s">
        <v>2236</v>
      </c>
      <c r="M92" s="15" t="s">
        <v>2237</v>
      </c>
      <c r="N92" s="15" t="s">
        <v>147</v>
      </c>
      <c r="O92" s="17">
        <v>98.5</v>
      </c>
      <c r="P92" s="15" t="s">
        <v>148</v>
      </c>
      <c r="Q92" s="15" t="s">
        <v>149</v>
      </c>
      <c r="R92" s="15" t="s">
        <v>174</v>
      </c>
      <c r="S92" s="15" t="s">
        <v>2238</v>
      </c>
      <c r="T92" s="18">
        <v>95</v>
      </c>
      <c r="U92" s="15" t="s">
        <v>2239</v>
      </c>
      <c r="V92" s="15" t="s">
        <v>138</v>
      </c>
      <c r="W92" s="15" t="s">
        <v>138</v>
      </c>
      <c r="X92" s="19">
        <v>2008</v>
      </c>
      <c r="Y92" s="15" t="s">
        <v>138</v>
      </c>
      <c r="Z92" s="15" t="s">
        <v>138</v>
      </c>
      <c r="AA92" s="15" t="s">
        <v>138</v>
      </c>
      <c r="AB92" s="20" t="s">
        <v>138</v>
      </c>
      <c r="AC92" s="20" t="s">
        <v>138</v>
      </c>
      <c r="AD92" s="20" t="s">
        <v>138</v>
      </c>
      <c r="AE92" s="20" t="s">
        <v>138</v>
      </c>
      <c r="AF92" s="20" t="s">
        <v>138</v>
      </c>
      <c r="AG92" s="15" t="s">
        <v>138</v>
      </c>
      <c r="AH92" s="20" t="s">
        <v>138</v>
      </c>
      <c r="AI92" s="20" t="s">
        <v>138</v>
      </c>
      <c r="AJ92" s="20" t="s">
        <v>138</v>
      </c>
      <c r="AK92" s="15" t="s">
        <v>2240</v>
      </c>
      <c r="AL92" s="15" t="s">
        <v>2241</v>
      </c>
      <c r="AM92" s="15" t="s">
        <v>2194</v>
      </c>
      <c r="AN92" s="15" t="s">
        <v>2242</v>
      </c>
      <c r="AO92" s="15" t="s">
        <v>2243</v>
      </c>
      <c r="AP92" s="15" t="s">
        <v>423</v>
      </c>
      <c r="AQ92" s="15" t="s">
        <v>2244</v>
      </c>
      <c r="AR92" s="15" t="s">
        <v>2245</v>
      </c>
      <c r="AS92" s="15" t="s">
        <v>426</v>
      </c>
      <c r="AT92" s="15" t="s">
        <v>426</v>
      </c>
      <c r="AU92" s="15" t="s">
        <v>619</v>
      </c>
      <c r="AV92" s="15" t="s">
        <v>162</v>
      </c>
      <c r="AW92" s="15" t="s">
        <v>2243</v>
      </c>
      <c r="AX92" s="15" t="s">
        <v>138</v>
      </c>
      <c r="AY92" s="15" t="s">
        <v>138</v>
      </c>
      <c r="AZ92" s="15" t="s">
        <v>164</v>
      </c>
      <c r="BA92" s="15" t="s">
        <v>165</v>
      </c>
      <c r="BB92" s="15" t="s">
        <v>2246</v>
      </c>
      <c r="BC92" s="15" t="s">
        <v>2247</v>
      </c>
      <c r="BD92" s="21">
        <v>17</v>
      </c>
      <c r="BE92" s="15" t="s">
        <v>138</v>
      </c>
      <c r="BF92" s="15" t="s">
        <v>138</v>
      </c>
      <c r="BG92" s="15" t="s">
        <v>138</v>
      </c>
      <c r="BH92" s="15" t="s">
        <v>2248</v>
      </c>
      <c r="BI92" s="15" t="s">
        <v>138</v>
      </c>
      <c r="BJ92" s="15" t="s">
        <v>138</v>
      </c>
      <c r="BK92" s="15" t="s">
        <v>2249</v>
      </c>
      <c r="BL92" s="15" t="s">
        <v>2250</v>
      </c>
      <c r="BM92" s="22">
        <v>40909</v>
      </c>
      <c r="BN92" s="17">
        <v>8</v>
      </c>
      <c r="BO92" s="15" t="s">
        <v>172</v>
      </c>
      <c r="BP92" s="17">
        <v>23</v>
      </c>
      <c r="BQ92" s="15" t="s">
        <v>172</v>
      </c>
      <c r="BR92" s="15" t="s">
        <v>205</v>
      </c>
      <c r="BS92" s="15" t="s">
        <v>206</v>
      </c>
      <c r="BT92" s="15" t="s">
        <v>138</v>
      </c>
      <c r="BU92" s="15" t="s">
        <v>174</v>
      </c>
      <c r="BV92" s="15" t="s">
        <v>138</v>
      </c>
      <c r="BW92" s="15" t="s">
        <v>138</v>
      </c>
      <c r="BX92" s="15" t="s">
        <v>138</v>
      </c>
      <c r="BY92" s="15" t="s">
        <v>175</v>
      </c>
      <c r="BZ92" s="22">
        <v>43272</v>
      </c>
      <c r="CA92" s="17">
        <v>28</v>
      </c>
      <c r="CB92" s="15" t="s">
        <v>1178</v>
      </c>
      <c r="CC92" s="17">
        <v>238</v>
      </c>
      <c r="CD92" s="15" t="s">
        <v>172</v>
      </c>
      <c r="CE92" s="15" t="s">
        <v>173</v>
      </c>
      <c r="CF92" s="15" t="s">
        <v>433</v>
      </c>
      <c r="CG92" s="15" t="s">
        <v>138</v>
      </c>
      <c r="CH92" s="15" t="s">
        <v>174</v>
      </c>
      <c r="CI92" s="15" t="s">
        <v>138</v>
      </c>
      <c r="CJ92" s="15" t="s">
        <v>138</v>
      </c>
      <c r="CK92" s="15" t="s">
        <v>138</v>
      </c>
      <c r="CL92" s="15" t="s">
        <v>175</v>
      </c>
      <c r="CM92" s="22" t="s">
        <v>138</v>
      </c>
      <c r="CN92" s="17" t="s">
        <v>138</v>
      </c>
      <c r="CO92" s="23">
        <v>0.92</v>
      </c>
      <c r="CP92" s="24">
        <v>97</v>
      </c>
      <c r="CQ92" s="23">
        <v>-0.19</v>
      </c>
      <c r="CR92" s="23">
        <v>-17.27</v>
      </c>
      <c r="CS92" s="23">
        <v>1.87</v>
      </c>
      <c r="CT92" s="24">
        <v>98</v>
      </c>
      <c r="CU92" s="23">
        <v>-0.03</v>
      </c>
      <c r="CV92" s="24">
        <v>14</v>
      </c>
      <c r="CW92" s="23">
        <v>2.71</v>
      </c>
      <c r="CX92" s="24">
        <v>90</v>
      </c>
      <c r="CY92" s="23">
        <v>1.04</v>
      </c>
      <c r="CZ92" s="24">
        <v>99</v>
      </c>
      <c r="DA92" s="23">
        <v>-0.05</v>
      </c>
      <c r="DB92" s="24">
        <v>13</v>
      </c>
      <c r="DC92" s="25">
        <v>863.75</v>
      </c>
      <c r="DD92" s="24">
        <v>100</v>
      </c>
      <c r="DE92" s="25">
        <v>-0.68</v>
      </c>
      <c r="DF92" s="23">
        <v>-0.08</v>
      </c>
      <c r="DG92" s="25">
        <v>6.38</v>
      </c>
      <c r="DH92" s="24">
        <v>85</v>
      </c>
      <c r="DI92" s="25">
        <v>1721.12</v>
      </c>
      <c r="DJ92" s="24">
        <v>100</v>
      </c>
      <c r="DK92" s="25">
        <v>5.24</v>
      </c>
      <c r="DL92" s="24">
        <v>80</v>
      </c>
      <c r="DM92" s="25">
        <v>7.52</v>
      </c>
      <c r="DN92" s="24">
        <v>86</v>
      </c>
      <c r="DO92" s="25">
        <v>420.85</v>
      </c>
      <c r="DP92" s="24">
        <v>100</v>
      </c>
      <c r="DQ92" s="24">
        <v>1741</v>
      </c>
      <c r="DR92" s="26">
        <v>165</v>
      </c>
      <c r="DS92" s="23">
        <v>10.47</v>
      </c>
      <c r="DT92" s="24">
        <v>227</v>
      </c>
      <c r="DU92" s="26">
        <v>-15</v>
      </c>
      <c r="DV92" s="23">
        <v>-6.2</v>
      </c>
      <c r="DW92" s="24">
        <v>150715</v>
      </c>
      <c r="DX92" s="27">
        <v>-67</v>
      </c>
      <c r="DY92" s="23">
        <v>-0.04</v>
      </c>
      <c r="DZ92" s="15" t="s">
        <v>178</v>
      </c>
      <c r="EA92" s="22">
        <v>43622</v>
      </c>
      <c r="EB92" s="17">
        <v>238</v>
      </c>
      <c r="EC92" s="22">
        <v>43272</v>
      </c>
      <c r="ED92" s="15" t="s">
        <v>173</v>
      </c>
      <c r="EE92" s="14" t="str">
        <f>HYPERLINK("https://my.pitchbook.com?c=98941-15", "View company online")</f>
        <v>View company online</v>
      </c>
    </row>
    <row r="93" spans="1:135">
      <c r="A93" s="28" t="s">
        <v>2251</v>
      </c>
      <c r="B93" s="28" t="s">
        <v>2252</v>
      </c>
      <c r="C93" s="28" t="s">
        <v>138</v>
      </c>
      <c r="D93" s="28" t="s">
        <v>138</v>
      </c>
      <c r="E93" s="28" t="s">
        <v>138</v>
      </c>
      <c r="F93" s="28" t="s">
        <v>2251</v>
      </c>
      <c r="G93" s="28" t="s">
        <v>2253</v>
      </c>
      <c r="H93" s="28" t="s">
        <v>322</v>
      </c>
      <c r="I93" s="28" t="s">
        <v>323</v>
      </c>
      <c r="J93" s="28" t="s">
        <v>413</v>
      </c>
      <c r="K93" s="28" t="s">
        <v>2254</v>
      </c>
      <c r="L93" s="28" t="s">
        <v>2255</v>
      </c>
      <c r="M93" s="28" t="s">
        <v>2256</v>
      </c>
      <c r="N93" s="28" t="s">
        <v>147</v>
      </c>
      <c r="O93" s="29">
        <v>0.87</v>
      </c>
      <c r="P93" s="28" t="s">
        <v>610</v>
      </c>
      <c r="Q93" s="28" t="s">
        <v>149</v>
      </c>
      <c r="R93" s="28" t="s">
        <v>174</v>
      </c>
      <c r="S93" s="28" t="s">
        <v>2257</v>
      </c>
      <c r="T93" s="30" t="s">
        <v>138</v>
      </c>
      <c r="U93" s="28" t="s">
        <v>138</v>
      </c>
      <c r="V93" s="28" t="s">
        <v>138</v>
      </c>
      <c r="W93" s="28" t="s">
        <v>138</v>
      </c>
      <c r="X93" s="31">
        <v>2017</v>
      </c>
      <c r="Y93" s="28" t="s">
        <v>138</v>
      </c>
      <c r="Z93" s="28" t="s">
        <v>138</v>
      </c>
      <c r="AA93" s="28" t="s">
        <v>138</v>
      </c>
      <c r="AB93" s="32" t="s">
        <v>138</v>
      </c>
      <c r="AC93" s="32" t="s">
        <v>138</v>
      </c>
      <c r="AD93" s="32" t="s">
        <v>138</v>
      </c>
      <c r="AE93" s="32" t="s">
        <v>138</v>
      </c>
      <c r="AF93" s="32" t="s">
        <v>138</v>
      </c>
      <c r="AG93" s="28" t="s">
        <v>138</v>
      </c>
      <c r="AH93" s="32" t="s">
        <v>138</v>
      </c>
      <c r="AI93" s="32" t="s">
        <v>138</v>
      </c>
      <c r="AJ93" s="32" t="s">
        <v>138</v>
      </c>
      <c r="AK93" s="28" t="s">
        <v>2258</v>
      </c>
      <c r="AL93" s="28" t="s">
        <v>2259</v>
      </c>
      <c r="AM93" s="28" t="s">
        <v>916</v>
      </c>
      <c r="AN93" s="28" t="s">
        <v>2260</v>
      </c>
      <c r="AO93" s="28" t="s">
        <v>138</v>
      </c>
      <c r="AP93" s="28" t="s">
        <v>2261</v>
      </c>
      <c r="AQ93" s="28" t="s">
        <v>2262</v>
      </c>
      <c r="AR93" s="28" t="s">
        <v>138</v>
      </c>
      <c r="AS93" s="28" t="s">
        <v>2263</v>
      </c>
      <c r="AT93" s="28" t="s">
        <v>138</v>
      </c>
      <c r="AU93" s="28" t="s">
        <v>2264</v>
      </c>
      <c r="AV93" s="28" t="s">
        <v>2265</v>
      </c>
      <c r="AW93" s="28" t="s">
        <v>138</v>
      </c>
      <c r="AX93" s="28" t="s">
        <v>138</v>
      </c>
      <c r="AY93" s="28" t="s">
        <v>138</v>
      </c>
      <c r="AZ93" s="28" t="s">
        <v>530</v>
      </c>
      <c r="BA93" s="28" t="s">
        <v>577</v>
      </c>
      <c r="BB93" s="28" t="s">
        <v>2266</v>
      </c>
      <c r="BC93" s="28" t="s">
        <v>2267</v>
      </c>
      <c r="BD93" s="33">
        <v>2</v>
      </c>
      <c r="BE93" s="28" t="s">
        <v>138</v>
      </c>
      <c r="BF93" s="28" t="s">
        <v>138</v>
      </c>
      <c r="BG93" s="28" t="s">
        <v>138</v>
      </c>
      <c r="BH93" s="28" t="s">
        <v>2268</v>
      </c>
      <c r="BI93" s="28" t="s">
        <v>138</v>
      </c>
      <c r="BJ93" s="28" t="s">
        <v>138</v>
      </c>
      <c r="BK93" s="28" t="s">
        <v>138</v>
      </c>
      <c r="BL93" s="28" t="s">
        <v>138</v>
      </c>
      <c r="BM93" s="34">
        <v>43538</v>
      </c>
      <c r="BN93" s="29">
        <v>0.87</v>
      </c>
      <c r="BO93" s="28" t="s">
        <v>172</v>
      </c>
      <c r="BP93" s="29" t="s">
        <v>138</v>
      </c>
      <c r="BQ93" s="28" t="s">
        <v>138</v>
      </c>
      <c r="BR93" s="28" t="s">
        <v>205</v>
      </c>
      <c r="BS93" s="28" t="s">
        <v>138</v>
      </c>
      <c r="BT93" s="28" t="s">
        <v>138</v>
      </c>
      <c r="BU93" s="28" t="s">
        <v>174</v>
      </c>
      <c r="BV93" s="28" t="s">
        <v>138</v>
      </c>
      <c r="BW93" s="28" t="s">
        <v>138</v>
      </c>
      <c r="BX93" s="28" t="s">
        <v>138</v>
      </c>
      <c r="BY93" s="28" t="s">
        <v>175</v>
      </c>
      <c r="BZ93" s="34">
        <v>43538</v>
      </c>
      <c r="CA93" s="29">
        <v>0.87</v>
      </c>
      <c r="CB93" s="28" t="s">
        <v>172</v>
      </c>
      <c r="CC93" s="29" t="s">
        <v>138</v>
      </c>
      <c r="CD93" s="28" t="s">
        <v>138</v>
      </c>
      <c r="CE93" s="28" t="s">
        <v>205</v>
      </c>
      <c r="CF93" s="28" t="s">
        <v>138</v>
      </c>
      <c r="CG93" s="28" t="s">
        <v>138</v>
      </c>
      <c r="CH93" s="28" t="s">
        <v>174</v>
      </c>
      <c r="CI93" s="28" t="s">
        <v>138</v>
      </c>
      <c r="CJ93" s="28" t="s">
        <v>138</v>
      </c>
      <c r="CK93" s="28" t="s">
        <v>138</v>
      </c>
      <c r="CL93" s="28" t="s">
        <v>175</v>
      </c>
      <c r="CM93" s="34" t="s">
        <v>138</v>
      </c>
      <c r="CN93" s="29" t="s">
        <v>138</v>
      </c>
      <c r="CO93" s="35" t="s">
        <v>138</v>
      </c>
      <c r="CP93" s="36" t="s">
        <v>138</v>
      </c>
      <c r="CQ93" s="35" t="s">
        <v>138</v>
      </c>
      <c r="CR93" s="35" t="s">
        <v>138</v>
      </c>
      <c r="CS93" s="35" t="s">
        <v>138</v>
      </c>
      <c r="CT93" s="36" t="s">
        <v>138</v>
      </c>
      <c r="CU93" s="35" t="s">
        <v>138</v>
      </c>
      <c r="CV93" s="36" t="s">
        <v>138</v>
      </c>
      <c r="CW93" s="35" t="s">
        <v>138</v>
      </c>
      <c r="CX93" s="36" t="s">
        <v>138</v>
      </c>
      <c r="CY93" s="35" t="s">
        <v>138</v>
      </c>
      <c r="CZ93" s="36" t="s">
        <v>138</v>
      </c>
      <c r="DA93" s="35" t="s">
        <v>138</v>
      </c>
      <c r="DB93" s="36" t="s">
        <v>138</v>
      </c>
      <c r="DC93" s="37" t="s">
        <v>138</v>
      </c>
      <c r="DD93" s="36" t="s">
        <v>138</v>
      </c>
      <c r="DE93" s="37" t="s">
        <v>138</v>
      </c>
      <c r="DF93" s="35" t="s">
        <v>138</v>
      </c>
      <c r="DG93" s="37" t="s">
        <v>138</v>
      </c>
      <c r="DH93" s="36" t="s">
        <v>138</v>
      </c>
      <c r="DI93" s="37" t="s">
        <v>138</v>
      </c>
      <c r="DJ93" s="36" t="s">
        <v>138</v>
      </c>
      <c r="DK93" s="37" t="s">
        <v>138</v>
      </c>
      <c r="DL93" s="36" t="s">
        <v>138</v>
      </c>
      <c r="DM93" s="37" t="s">
        <v>138</v>
      </c>
      <c r="DN93" s="36" t="s">
        <v>138</v>
      </c>
      <c r="DO93" s="37" t="s">
        <v>138</v>
      </c>
      <c r="DP93" s="36" t="s">
        <v>138</v>
      </c>
      <c r="DQ93" s="36" t="s">
        <v>138</v>
      </c>
      <c r="DR93" s="38" t="s">
        <v>138</v>
      </c>
      <c r="DS93" s="35" t="s">
        <v>138</v>
      </c>
      <c r="DT93" s="36" t="s">
        <v>138</v>
      </c>
      <c r="DU93" s="38" t="s">
        <v>138</v>
      </c>
      <c r="DV93" s="35" t="s">
        <v>138</v>
      </c>
      <c r="DW93" s="36" t="s">
        <v>138</v>
      </c>
      <c r="DX93" s="39" t="s">
        <v>138</v>
      </c>
      <c r="DY93" s="35" t="s">
        <v>138</v>
      </c>
      <c r="DZ93" s="28" t="s">
        <v>178</v>
      </c>
      <c r="EA93" s="34">
        <v>43598</v>
      </c>
      <c r="EB93" s="29" t="s">
        <v>138</v>
      </c>
      <c r="EC93" s="34" t="s">
        <v>138</v>
      </c>
      <c r="ED93" s="28" t="s">
        <v>138</v>
      </c>
      <c r="EE93" s="40" t="str">
        <f>HYPERLINK("https://my.pitchbook.com?c=266001-31", "View company online")</f>
        <v>View company online</v>
      </c>
    </row>
    <row r="94" spans="1:135">
      <c r="A94" s="15" t="s">
        <v>2269</v>
      </c>
      <c r="B94" s="15" t="s">
        <v>2270</v>
      </c>
      <c r="C94" s="15" t="s">
        <v>138</v>
      </c>
      <c r="D94" s="15" t="s">
        <v>138</v>
      </c>
      <c r="E94" s="15" t="s">
        <v>2271</v>
      </c>
      <c r="F94" s="15" t="s">
        <v>2269</v>
      </c>
      <c r="G94" s="15" t="s">
        <v>2272</v>
      </c>
      <c r="H94" s="15" t="s">
        <v>322</v>
      </c>
      <c r="I94" s="15" t="s">
        <v>323</v>
      </c>
      <c r="J94" s="15" t="s">
        <v>413</v>
      </c>
      <c r="K94" s="15" t="s">
        <v>2273</v>
      </c>
      <c r="L94" s="15" t="s">
        <v>2274</v>
      </c>
      <c r="M94" s="15" t="s">
        <v>2275</v>
      </c>
      <c r="N94" s="15" t="s">
        <v>147</v>
      </c>
      <c r="O94" s="17">
        <v>61.05</v>
      </c>
      <c r="P94" s="15" t="s">
        <v>148</v>
      </c>
      <c r="Q94" s="15" t="s">
        <v>149</v>
      </c>
      <c r="R94" s="15" t="s">
        <v>174</v>
      </c>
      <c r="S94" s="15" t="s">
        <v>2276</v>
      </c>
      <c r="T94" s="18">
        <v>57</v>
      </c>
      <c r="U94" s="15" t="s">
        <v>2277</v>
      </c>
      <c r="V94" s="15" t="s">
        <v>138</v>
      </c>
      <c r="W94" s="15" t="s">
        <v>138</v>
      </c>
      <c r="X94" s="19">
        <v>2011</v>
      </c>
      <c r="Y94" s="15" t="s">
        <v>138</v>
      </c>
      <c r="Z94" s="15" t="s">
        <v>138</v>
      </c>
      <c r="AA94" s="15" t="s">
        <v>138</v>
      </c>
      <c r="AB94" s="20">
        <v>31.25</v>
      </c>
      <c r="AC94" s="20" t="s">
        <v>138</v>
      </c>
      <c r="AD94" s="20" t="s">
        <v>138</v>
      </c>
      <c r="AE94" s="20" t="s">
        <v>138</v>
      </c>
      <c r="AF94" s="20" t="s">
        <v>138</v>
      </c>
      <c r="AG94" s="15" t="s">
        <v>815</v>
      </c>
      <c r="AH94" s="20" t="s">
        <v>138</v>
      </c>
      <c r="AI94" s="20" t="s">
        <v>138</v>
      </c>
      <c r="AJ94" s="20" t="s">
        <v>138</v>
      </c>
      <c r="AK94" s="15" t="s">
        <v>2278</v>
      </c>
      <c r="AL94" s="15" t="s">
        <v>2279</v>
      </c>
      <c r="AM94" s="15" t="s">
        <v>916</v>
      </c>
      <c r="AN94" s="15" t="s">
        <v>2280</v>
      </c>
      <c r="AO94" s="15" t="s">
        <v>2281</v>
      </c>
      <c r="AP94" s="15" t="s">
        <v>1870</v>
      </c>
      <c r="AQ94" s="15" t="s">
        <v>2282</v>
      </c>
      <c r="AR94" s="15" t="s">
        <v>2283</v>
      </c>
      <c r="AS94" s="15" t="s">
        <v>1872</v>
      </c>
      <c r="AT94" s="15" t="s">
        <v>200</v>
      </c>
      <c r="AU94" s="15" t="s">
        <v>2284</v>
      </c>
      <c r="AV94" s="15" t="s">
        <v>162</v>
      </c>
      <c r="AW94" s="15" t="s">
        <v>2285</v>
      </c>
      <c r="AX94" s="15" t="s">
        <v>2286</v>
      </c>
      <c r="AY94" s="15" t="s">
        <v>138</v>
      </c>
      <c r="AZ94" s="15" t="s">
        <v>164</v>
      </c>
      <c r="BA94" s="15" t="s">
        <v>165</v>
      </c>
      <c r="BB94" s="15" t="s">
        <v>2287</v>
      </c>
      <c r="BC94" s="15" t="s">
        <v>2288</v>
      </c>
      <c r="BD94" s="21">
        <v>20</v>
      </c>
      <c r="BE94" s="15" t="s">
        <v>138</v>
      </c>
      <c r="BF94" s="15" t="s">
        <v>2289</v>
      </c>
      <c r="BG94" s="15" t="s">
        <v>138</v>
      </c>
      <c r="BH94" s="15" t="s">
        <v>2290</v>
      </c>
      <c r="BI94" s="15" t="s">
        <v>2291</v>
      </c>
      <c r="BJ94" s="15" t="s">
        <v>138</v>
      </c>
      <c r="BK94" s="15" t="s">
        <v>2292</v>
      </c>
      <c r="BL94" s="15" t="s">
        <v>2292</v>
      </c>
      <c r="BM94" s="22" t="s">
        <v>138</v>
      </c>
      <c r="BN94" s="17">
        <v>1.05</v>
      </c>
      <c r="BO94" s="15" t="s">
        <v>172</v>
      </c>
      <c r="BP94" s="17">
        <v>2.33</v>
      </c>
      <c r="BQ94" s="15" t="s">
        <v>172</v>
      </c>
      <c r="BR94" s="15" t="s">
        <v>205</v>
      </c>
      <c r="BS94" s="15" t="s">
        <v>623</v>
      </c>
      <c r="BT94" s="15" t="s">
        <v>138</v>
      </c>
      <c r="BU94" s="15" t="s">
        <v>174</v>
      </c>
      <c r="BV94" s="15" t="s">
        <v>138</v>
      </c>
      <c r="BW94" s="15" t="s">
        <v>138</v>
      </c>
      <c r="BX94" s="15" t="s">
        <v>138</v>
      </c>
      <c r="BY94" s="15" t="s">
        <v>175</v>
      </c>
      <c r="BZ94" s="22" t="s">
        <v>138</v>
      </c>
      <c r="CA94" s="17" t="s">
        <v>138</v>
      </c>
      <c r="CB94" s="15" t="s">
        <v>138</v>
      </c>
      <c r="CC94" s="17" t="s">
        <v>138</v>
      </c>
      <c r="CD94" s="15" t="s">
        <v>138</v>
      </c>
      <c r="CE94" s="15" t="s">
        <v>379</v>
      </c>
      <c r="CF94" s="15" t="s">
        <v>138</v>
      </c>
      <c r="CG94" s="15" t="s">
        <v>138</v>
      </c>
      <c r="CH94" s="15" t="s">
        <v>174</v>
      </c>
      <c r="CI94" s="15" t="s">
        <v>138</v>
      </c>
      <c r="CJ94" s="15" t="s">
        <v>138</v>
      </c>
      <c r="CK94" s="15" t="s">
        <v>138</v>
      </c>
      <c r="CL94" s="15" t="s">
        <v>175</v>
      </c>
      <c r="CM94" s="22" t="s">
        <v>138</v>
      </c>
      <c r="CN94" s="17" t="s">
        <v>138</v>
      </c>
      <c r="CO94" s="23">
        <v>0.06</v>
      </c>
      <c r="CP94" s="24">
        <v>88</v>
      </c>
      <c r="CQ94" s="23">
        <v>-7.0000000000000007E-2</v>
      </c>
      <c r="CR94" s="23">
        <v>-53.94</v>
      </c>
      <c r="CS94" s="23">
        <v>0.19</v>
      </c>
      <c r="CT94" s="24">
        <v>94</v>
      </c>
      <c r="CU94" s="23">
        <v>-0.15</v>
      </c>
      <c r="CV94" s="24">
        <v>2</v>
      </c>
      <c r="CW94" s="23">
        <v>0.26</v>
      </c>
      <c r="CX94" s="24">
        <v>81</v>
      </c>
      <c r="CY94" s="23">
        <v>0.11</v>
      </c>
      <c r="CZ94" s="24">
        <v>98</v>
      </c>
      <c r="DA94" s="23">
        <v>-0.15</v>
      </c>
      <c r="DB94" s="24">
        <v>3</v>
      </c>
      <c r="DC94" s="25">
        <v>380.64</v>
      </c>
      <c r="DD94" s="24">
        <v>100</v>
      </c>
      <c r="DE94" s="25">
        <v>-1.34</v>
      </c>
      <c r="DF94" s="23">
        <v>-0.35</v>
      </c>
      <c r="DG94" s="25">
        <v>313.24</v>
      </c>
      <c r="DH94" s="24">
        <v>100</v>
      </c>
      <c r="DI94" s="25">
        <v>65.28</v>
      </c>
      <c r="DJ94" s="24">
        <v>96</v>
      </c>
      <c r="DK94" s="25">
        <v>620.23</v>
      </c>
      <c r="DL94" s="24">
        <v>100</v>
      </c>
      <c r="DM94" s="25">
        <v>6.24</v>
      </c>
      <c r="DN94" s="24">
        <v>84</v>
      </c>
      <c r="DO94" s="25">
        <v>65.28</v>
      </c>
      <c r="DP94" s="24">
        <v>97</v>
      </c>
      <c r="DQ94" s="24">
        <v>212557</v>
      </c>
      <c r="DR94" s="26">
        <v>547</v>
      </c>
      <c r="DS94" s="23">
        <v>0.26</v>
      </c>
      <c r="DT94" s="24">
        <v>182</v>
      </c>
      <c r="DU94" s="26">
        <v>-4</v>
      </c>
      <c r="DV94" s="23">
        <v>-2.15</v>
      </c>
      <c r="DW94" s="24">
        <v>23380</v>
      </c>
      <c r="DX94" s="27">
        <v>-20</v>
      </c>
      <c r="DY94" s="23">
        <v>-0.09</v>
      </c>
      <c r="DZ94" s="15" t="s">
        <v>178</v>
      </c>
      <c r="EA94" s="22">
        <v>43482</v>
      </c>
      <c r="EB94" s="17">
        <v>200</v>
      </c>
      <c r="EC94" s="22">
        <v>41778</v>
      </c>
      <c r="ED94" s="15" t="s">
        <v>173</v>
      </c>
      <c r="EE94" s="14" t="str">
        <f>HYPERLINK("https://my.pitchbook.com?c=56511-37", "View company online")</f>
        <v>View company online</v>
      </c>
    </row>
    <row r="95" spans="1:135">
      <c r="A95" s="28" t="s">
        <v>2293</v>
      </c>
      <c r="B95" s="28" t="s">
        <v>2294</v>
      </c>
      <c r="C95" s="28" t="s">
        <v>138</v>
      </c>
      <c r="D95" s="28" t="s">
        <v>138</v>
      </c>
      <c r="E95" s="28" t="s">
        <v>2295</v>
      </c>
      <c r="F95" s="28" t="s">
        <v>2293</v>
      </c>
      <c r="G95" s="28" t="s">
        <v>2296</v>
      </c>
      <c r="H95" s="28" t="s">
        <v>322</v>
      </c>
      <c r="I95" s="28" t="s">
        <v>356</v>
      </c>
      <c r="J95" s="28" t="s">
        <v>1901</v>
      </c>
      <c r="K95" s="28" t="s">
        <v>2297</v>
      </c>
      <c r="L95" s="28" t="s">
        <v>2298</v>
      </c>
      <c r="M95" s="28" t="s">
        <v>2299</v>
      </c>
      <c r="N95" s="28" t="s">
        <v>147</v>
      </c>
      <c r="O95" s="29">
        <v>22.2</v>
      </c>
      <c r="P95" s="28" t="s">
        <v>148</v>
      </c>
      <c r="Q95" s="28" t="s">
        <v>149</v>
      </c>
      <c r="R95" s="28" t="s">
        <v>174</v>
      </c>
      <c r="S95" s="28" t="s">
        <v>2300</v>
      </c>
      <c r="T95" s="30">
        <v>100</v>
      </c>
      <c r="U95" s="28" t="s">
        <v>2301</v>
      </c>
      <c r="V95" s="28" t="s">
        <v>138</v>
      </c>
      <c r="W95" s="28" t="s">
        <v>138</v>
      </c>
      <c r="X95" s="31">
        <v>2009</v>
      </c>
      <c r="Y95" s="28" t="s">
        <v>138</v>
      </c>
      <c r="Z95" s="28" t="s">
        <v>138</v>
      </c>
      <c r="AA95" s="28" t="s">
        <v>138</v>
      </c>
      <c r="AB95" s="32">
        <v>0.87</v>
      </c>
      <c r="AC95" s="32" t="s">
        <v>138</v>
      </c>
      <c r="AD95" s="32" t="s">
        <v>138</v>
      </c>
      <c r="AE95" s="32" t="s">
        <v>138</v>
      </c>
      <c r="AF95" s="32" t="s">
        <v>138</v>
      </c>
      <c r="AG95" s="28" t="s">
        <v>514</v>
      </c>
      <c r="AH95" s="32" t="s">
        <v>138</v>
      </c>
      <c r="AI95" s="32" t="s">
        <v>138</v>
      </c>
      <c r="AJ95" s="32" t="s">
        <v>138</v>
      </c>
      <c r="AK95" s="28" t="s">
        <v>2302</v>
      </c>
      <c r="AL95" s="28" t="s">
        <v>2303</v>
      </c>
      <c r="AM95" s="28" t="s">
        <v>249</v>
      </c>
      <c r="AN95" s="28" t="s">
        <v>2304</v>
      </c>
      <c r="AO95" s="28" t="s">
        <v>2305</v>
      </c>
      <c r="AP95" s="28" t="s">
        <v>1610</v>
      </c>
      <c r="AQ95" s="28" t="s">
        <v>2306</v>
      </c>
      <c r="AR95" s="28" t="s">
        <v>2307</v>
      </c>
      <c r="AS95" s="28" t="s">
        <v>1612</v>
      </c>
      <c r="AT95" s="28" t="s">
        <v>138</v>
      </c>
      <c r="AU95" s="28" t="s">
        <v>2308</v>
      </c>
      <c r="AV95" s="28" t="s">
        <v>1614</v>
      </c>
      <c r="AW95" s="28" t="s">
        <v>2305</v>
      </c>
      <c r="AX95" s="28" t="s">
        <v>138</v>
      </c>
      <c r="AY95" s="28" t="s">
        <v>2309</v>
      </c>
      <c r="AZ95" s="28" t="s">
        <v>530</v>
      </c>
      <c r="BA95" s="28" t="s">
        <v>1616</v>
      </c>
      <c r="BB95" s="28" t="s">
        <v>2310</v>
      </c>
      <c r="BC95" s="28" t="s">
        <v>2311</v>
      </c>
      <c r="BD95" s="33">
        <v>4</v>
      </c>
      <c r="BE95" s="28" t="s">
        <v>138</v>
      </c>
      <c r="BF95" s="28" t="s">
        <v>138</v>
      </c>
      <c r="BG95" s="28" t="s">
        <v>138</v>
      </c>
      <c r="BH95" s="28" t="s">
        <v>2312</v>
      </c>
      <c r="BI95" s="28" t="s">
        <v>138</v>
      </c>
      <c r="BJ95" s="28" t="s">
        <v>138</v>
      </c>
      <c r="BK95" s="28" t="s">
        <v>2313</v>
      </c>
      <c r="BL95" s="28" t="s">
        <v>2314</v>
      </c>
      <c r="BM95" s="34">
        <v>40931</v>
      </c>
      <c r="BN95" s="29" t="s">
        <v>138</v>
      </c>
      <c r="BO95" s="28" t="s">
        <v>138</v>
      </c>
      <c r="BP95" s="29" t="s">
        <v>138</v>
      </c>
      <c r="BQ95" s="28" t="s">
        <v>138</v>
      </c>
      <c r="BR95" s="28" t="s">
        <v>205</v>
      </c>
      <c r="BS95" s="28" t="s">
        <v>138</v>
      </c>
      <c r="BT95" s="28" t="s">
        <v>138</v>
      </c>
      <c r="BU95" s="28" t="s">
        <v>174</v>
      </c>
      <c r="BV95" s="28" t="s">
        <v>138</v>
      </c>
      <c r="BW95" s="28" t="s">
        <v>138</v>
      </c>
      <c r="BX95" s="28" t="s">
        <v>138</v>
      </c>
      <c r="BY95" s="28" t="s">
        <v>175</v>
      </c>
      <c r="BZ95" s="34">
        <v>43446</v>
      </c>
      <c r="CA95" s="29">
        <v>5.83</v>
      </c>
      <c r="CB95" s="28" t="s">
        <v>172</v>
      </c>
      <c r="CC95" s="29" t="s">
        <v>138</v>
      </c>
      <c r="CD95" s="28" t="s">
        <v>138</v>
      </c>
      <c r="CE95" s="28" t="s">
        <v>173</v>
      </c>
      <c r="CF95" s="28" t="s">
        <v>138</v>
      </c>
      <c r="CG95" s="28" t="s">
        <v>138</v>
      </c>
      <c r="CH95" s="28" t="s">
        <v>174</v>
      </c>
      <c r="CI95" s="28" t="s">
        <v>1328</v>
      </c>
      <c r="CJ95" s="28" t="s">
        <v>138</v>
      </c>
      <c r="CK95" s="28" t="s">
        <v>138</v>
      </c>
      <c r="CL95" s="28" t="s">
        <v>175</v>
      </c>
      <c r="CM95" s="34" t="s">
        <v>138</v>
      </c>
      <c r="CN95" s="29" t="s">
        <v>138</v>
      </c>
      <c r="CO95" s="35">
        <v>-1.8</v>
      </c>
      <c r="CP95" s="36">
        <v>6</v>
      </c>
      <c r="CQ95" s="35">
        <v>-0.89</v>
      </c>
      <c r="CR95" s="35">
        <v>-97.98</v>
      </c>
      <c r="CS95" s="35">
        <v>-5.3</v>
      </c>
      <c r="CT95" s="36">
        <v>2</v>
      </c>
      <c r="CU95" s="35">
        <v>0.04</v>
      </c>
      <c r="CV95" s="36">
        <v>56</v>
      </c>
      <c r="CW95" s="35" t="s">
        <v>138</v>
      </c>
      <c r="CX95" s="36" t="s">
        <v>138</v>
      </c>
      <c r="CY95" s="35">
        <v>-5.3</v>
      </c>
      <c r="CZ95" s="36">
        <v>3</v>
      </c>
      <c r="DA95" s="35">
        <v>-0.06</v>
      </c>
      <c r="DB95" s="36">
        <v>11</v>
      </c>
      <c r="DC95" s="37">
        <v>13.04</v>
      </c>
      <c r="DD95" s="36">
        <v>92</v>
      </c>
      <c r="DE95" s="37">
        <v>3.24</v>
      </c>
      <c r="DF95" s="35">
        <v>33.020000000000003</v>
      </c>
      <c r="DG95" s="37">
        <v>20.239999999999998</v>
      </c>
      <c r="DH95" s="36">
        <v>95</v>
      </c>
      <c r="DI95" s="37">
        <v>18.690000000000001</v>
      </c>
      <c r="DJ95" s="36">
        <v>90</v>
      </c>
      <c r="DK95" s="37" t="s">
        <v>138</v>
      </c>
      <c r="DL95" s="36" t="s">
        <v>138</v>
      </c>
      <c r="DM95" s="37">
        <v>20.239999999999998</v>
      </c>
      <c r="DN95" s="36">
        <v>94</v>
      </c>
      <c r="DO95" s="37">
        <v>36.979999999999997</v>
      </c>
      <c r="DP95" s="36">
        <v>95</v>
      </c>
      <c r="DQ95" s="36">
        <v>279</v>
      </c>
      <c r="DR95" s="38">
        <v>51</v>
      </c>
      <c r="DS95" s="35">
        <v>22.37</v>
      </c>
      <c r="DT95" s="36">
        <v>587</v>
      </c>
      <c r="DU95" s="38">
        <v>-1</v>
      </c>
      <c r="DV95" s="35">
        <v>-0.17</v>
      </c>
      <c r="DW95" s="36">
        <v>13237</v>
      </c>
      <c r="DX95" s="39">
        <v>-4</v>
      </c>
      <c r="DY95" s="35">
        <v>-0.03</v>
      </c>
      <c r="DZ95" s="28" t="s">
        <v>178</v>
      </c>
      <c r="EA95" s="34">
        <v>43622</v>
      </c>
      <c r="EB95" s="29" t="s">
        <v>138</v>
      </c>
      <c r="EC95" s="34" t="s">
        <v>138</v>
      </c>
      <c r="ED95" s="28" t="s">
        <v>138</v>
      </c>
      <c r="EE95" s="40" t="str">
        <f>HYPERLINK("https://my.pitchbook.com?c=55290-43", "View company online")</f>
        <v>View company online</v>
      </c>
    </row>
    <row r="96" spans="1:135">
      <c r="A96" s="15" t="s">
        <v>2315</v>
      </c>
      <c r="B96" s="15" t="s">
        <v>2316</v>
      </c>
      <c r="C96" s="15" t="s">
        <v>138</v>
      </c>
      <c r="D96" s="15" t="s">
        <v>2317</v>
      </c>
      <c r="E96" s="15" t="s">
        <v>2318</v>
      </c>
      <c r="F96" s="15" t="s">
        <v>2315</v>
      </c>
      <c r="G96" s="15" t="s">
        <v>2319</v>
      </c>
      <c r="H96" s="15" t="s">
        <v>322</v>
      </c>
      <c r="I96" s="15" t="s">
        <v>323</v>
      </c>
      <c r="J96" s="15" t="s">
        <v>324</v>
      </c>
      <c r="K96" s="15" t="s">
        <v>325</v>
      </c>
      <c r="L96" s="15" t="s">
        <v>215</v>
      </c>
      <c r="M96" s="15" t="s">
        <v>2320</v>
      </c>
      <c r="N96" s="15" t="s">
        <v>147</v>
      </c>
      <c r="O96" s="17">
        <v>5.01</v>
      </c>
      <c r="P96" s="15" t="s">
        <v>148</v>
      </c>
      <c r="Q96" s="15" t="s">
        <v>149</v>
      </c>
      <c r="R96" s="15" t="s">
        <v>174</v>
      </c>
      <c r="S96" s="15" t="s">
        <v>2321</v>
      </c>
      <c r="T96" s="18">
        <v>71</v>
      </c>
      <c r="U96" s="15" t="s">
        <v>2322</v>
      </c>
      <c r="V96" s="15" t="s">
        <v>138</v>
      </c>
      <c r="W96" s="15" t="s">
        <v>138</v>
      </c>
      <c r="X96" s="19">
        <v>2010</v>
      </c>
      <c r="Y96" s="15" t="s">
        <v>138</v>
      </c>
      <c r="Z96" s="15" t="s">
        <v>138</v>
      </c>
      <c r="AA96" s="15" t="s">
        <v>138</v>
      </c>
      <c r="AB96" s="20" t="s">
        <v>138</v>
      </c>
      <c r="AC96" s="20" t="s">
        <v>138</v>
      </c>
      <c r="AD96" s="20" t="s">
        <v>138</v>
      </c>
      <c r="AE96" s="20" t="s">
        <v>138</v>
      </c>
      <c r="AF96" s="20" t="s">
        <v>138</v>
      </c>
      <c r="AG96" s="15" t="s">
        <v>138</v>
      </c>
      <c r="AH96" s="20" t="s">
        <v>138</v>
      </c>
      <c r="AI96" s="20" t="s">
        <v>138</v>
      </c>
      <c r="AJ96" s="20" t="s">
        <v>138</v>
      </c>
      <c r="AK96" s="15" t="s">
        <v>2323</v>
      </c>
      <c r="AL96" s="15" t="s">
        <v>2324</v>
      </c>
      <c r="AM96" s="15" t="s">
        <v>304</v>
      </c>
      <c r="AN96" s="15" t="s">
        <v>2325</v>
      </c>
      <c r="AO96" s="15" t="s">
        <v>2326</v>
      </c>
      <c r="AP96" s="15" t="s">
        <v>2327</v>
      </c>
      <c r="AQ96" s="15" t="s">
        <v>2328</v>
      </c>
      <c r="AR96" s="15" t="s">
        <v>2329</v>
      </c>
      <c r="AS96" s="15" t="s">
        <v>2330</v>
      </c>
      <c r="AT96" s="15" t="s">
        <v>2331</v>
      </c>
      <c r="AU96" s="15" t="s">
        <v>2332</v>
      </c>
      <c r="AV96" s="15" t="s">
        <v>2333</v>
      </c>
      <c r="AW96" s="15" t="s">
        <v>2326</v>
      </c>
      <c r="AX96" s="15" t="s">
        <v>138</v>
      </c>
      <c r="AY96" s="15" t="s">
        <v>2334</v>
      </c>
      <c r="AZ96" s="15" t="s">
        <v>452</v>
      </c>
      <c r="BA96" s="15" t="s">
        <v>2335</v>
      </c>
      <c r="BB96" s="15" t="s">
        <v>2336</v>
      </c>
      <c r="BC96" s="15" t="s">
        <v>2337</v>
      </c>
      <c r="BD96" s="21">
        <v>18</v>
      </c>
      <c r="BE96" s="15" t="s">
        <v>138</v>
      </c>
      <c r="BF96" s="15" t="s">
        <v>138</v>
      </c>
      <c r="BG96" s="15" t="s">
        <v>138</v>
      </c>
      <c r="BH96" s="15" t="s">
        <v>2338</v>
      </c>
      <c r="BI96" s="15" t="s">
        <v>138</v>
      </c>
      <c r="BJ96" s="15" t="s">
        <v>138</v>
      </c>
      <c r="BK96" s="15" t="s">
        <v>138</v>
      </c>
      <c r="BL96" s="15" t="s">
        <v>138</v>
      </c>
      <c r="BM96" s="22" t="s">
        <v>138</v>
      </c>
      <c r="BN96" s="17">
        <v>0.04</v>
      </c>
      <c r="BO96" s="15" t="s">
        <v>172</v>
      </c>
      <c r="BP96" s="17" t="s">
        <v>138</v>
      </c>
      <c r="BQ96" s="15" t="s">
        <v>138</v>
      </c>
      <c r="BR96" s="15" t="s">
        <v>316</v>
      </c>
      <c r="BS96" s="15" t="s">
        <v>138</v>
      </c>
      <c r="BT96" s="15" t="s">
        <v>138</v>
      </c>
      <c r="BU96" s="15" t="s">
        <v>263</v>
      </c>
      <c r="BV96" s="15" t="s">
        <v>138</v>
      </c>
      <c r="BW96" s="15" t="s">
        <v>138</v>
      </c>
      <c r="BX96" s="15" t="s">
        <v>138</v>
      </c>
      <c r="BY96" s="15" t="s">
        <v>175</v>
      </c>
      <c r="BZ96" s="22">
        <v>43536</v>
      </c>
      <c r="CA96" s="17">
        <v>0.17</v>
      </c>
      <c r="CB96" s="15" t="s">
        <v>172</v>
      </c>
      <c r="CC96" s="17" t="s">
        <v>138</v>
      </c>
      <c r="CD96" s="15" t="s">
        <v>138</v>
      </c>
      <c r="CE96" s="15" t="s">
        <v>173</v>
      </c>
      <c r="CF96" s="15" t="s">
        <v>720</v>
      </c>
      <c r="CG96" s="15" t="s">
        <v>138</v>
      </c>
      <c r="CH96" s="15" t="s">
        <v>174</v>
      </c>
      <c r="CI96" s="15" t="s">
        <v>138</v>
      </c>
      <c r="CJ96" s="15" t="s">
        <v>138</v>
      </c>
      <c r="CK96" s="15" t="s">
        <v>138</v>
      </c>
      <c r="CL96" s="15" t="s">
        <v>175</v>
      </c>
      <c r="CM96" s="22" t="s">
        <v>138</v>
      </c>
      <c r="CN96" s="17" t="s">
        <v>138</v>
      </c>
      <c r="CO96" s="23">
        <v>-0.39</v>
      </c>
      <c r="CP96" s="24">
        <v>17</v>
      </c>
      <c r="CQ96" s="23">
        <v>0</v>
      </c>
      <c r="CR96" s="23">
        <v>0.5</v>
      </c>
      <c r="CS96" s="23">
        <v>-1.02</v>
      </c>
      <c r="CT96" s="24">
        <v>15</v>
      </c>
      <c r="CU96" s="23">
        <v>0.25</v>
      </c>
      <c r="CV96" s="24">
        <v>84</v>
      </c>
      <c r="CW96" s="23">
        <v>-2.0499999999999998</v>
      </c>
      <c r="CX96" s="24">
        <v>7</v>
      </c>
      <c r="CY96" s="23">
        <v>0</v>
      </c>
      <c r="CZ96" s="24">
        <v>25</v>
      </c>
      <c r="DA96" s="23">
        <v>0.43</v>
      </c>
      <c r="DB96" s="24">
        <v>93</v>
      </c>
      <c r="DC96" s="25">
        <v>4.51</v>
      </c>
      <c r="DD96" s="24">
        <v>81</v>
      </c>
      <c r="DE96" s="25">
        <v>-0.34</v>
      </c>
      <c r="DF96" s="23">
        <v>-7.08</v>
      </c>
      <c r="DG96" s="25">
        <v>5.92</v>
      </c>
      <c r="DH96" s="24">
        <v>84</v>
      </c>
      <c r="DI96" s="25">
        <v>3.1</v>
      </c>
      <c r="DJ96" s="24">
        <v>70</v>
      </c>
      <c r="DK96" s="25">
        <v>10.78</v>
      </c>
      <c r="DL96" s="24">
        <v>87</v>
      </c>
      <c r="DM96" s="25">
        <v>1.07</v>
      </c>
      <c r="DN96" s="24">
        <v>52</v>
      </c>
      <c r="DO96" s="25">
        <v>4.3899999999999997</v>
      </c>
      <c r="DP96" s="24">
        <v>77</v>
      </c>
      <c r="DQ96" s="24">
        <v>3723</v>
      </c>
      <c r="DR96" s="26">
        <v>-81</v>
      </c>
      <c r="DS96" s="23">
        <v>-2.13</v>
      </c>
      <c r="DT96" s="24">
        <v>31</v>
      </c>
      <c r="DU96" s="26">
        <v>0</v>
      </c>
      <c r="DV96" s="23">
        <v>0</v>
      </c>
      <c r="DW96" s="24">
        <v>1568</v>
      </c>
      <c r="DX96" s="27">
        <v>2</v>
      </c>
      <c r="DY96" s="23">
        <v>0.13</v>
      </c>
      <c r="DZ96" s="15" t="s">
        <v>178</v>
      </c>
      <c r="EA96" s="22">
        <v>43622</v>
      </c>
      <c r="EB96" s="17" t="s">
        <v>138</v>
      </c>
      <c r="EC96" s="22" t="s">
        <v>138</v>
      </c>
      <c r="ED96" s="15" t="s">
        <v>138</v>
      </c>
      <c r="EE96" s="14" t="str">
        <f>HYPERLINK("https://my.pitchbook.com?c=98050-78", "View company online")</f>
        <v>View company online</v>
      </c>
    </row>
    <row r="97" spans="1:135">
      <c r="A97" s="28" t="s">
        <v>2339</v>
      </c>
      <c r="B97" s="28" t="s">
        <v>2340</v>
      </c>
      <c r="C97" s="28" t="s">
        <v>138</v>
      </c>
      <c r="D97" s="28" t="s">
        <v>138</v>
      </c>
      <c r="E97" s="28" t="s">
        <v>2341</v>
      </c>
      <c r="F97" s="28" t="s">
        <v>2339</v>
      </c>
      <c r="G97" s="28" t="s">
        <v>2342</v>
      </c>
      <c r="H97" s="28" t="s">
        <v>322</v>
      </c>
      <c r="I97" s="28" t="s">
        <v>323</v>
      </c>
      <c r="J97" s="28" t="s">
        <v>2084</v>
      </c>
      <c r="K97" s="28" t="s">
        <v>2343</v>
      </c>
      <c r="L97" s="28" t="s">
        <v>242</v>
      </c>
      <c r="M97" s="28" t="s">
        <v>2344</v>
      </c>
      <c r="N97" s="28" t="s">
        <v>147</v>
      </c>
      <c r="O97" s="29">
        <v>59.98</v>
      </c>
      <c r="P97" s="28" t="s">
        <v>148</v>
      </c>
      <c r="Q97" s="28" t="s">
        <v>149</v>
      </c>
      <c r="R97" s="28" t="s">
        <v>174</v>
      </c>
      <c r="S97" s="28" t="s">
        <v>2345</v>
      </c>
      <c r="T97" s="30">
        <v>44</v>
      </c>
      <c r="U97" s="28" t="s">
        <v>2346</v>
      </c>
      <c r="V97" s="28" t="s">
        <v>138</v>
      </c>
      <c r="W97" s="28" t="s">
        <v>138</v>
      </c>
      <c r="X97" s="31">
        <v>2013</v>
      </c>
      <c r="Y97" s="28" t="s">
        <v>138</v>
      </c>
      <c r="Z97" s="28" t="s">
        <v>138</v>
      </c>
      <c r="AA97" s="28" t="s">
        <v>138</v>
      </c>
      <c r="AB97" s="32" t="s">
        <v>138</v>
      </c>
      <c r="AC97" s="32" t="s">
        <v>138</v>
      </c>
      <c r="AD97" s="32" t="s">
        <v>138</v>
      </c>
      <c r="AE97" s="32" t="s">
        <v>138</v>
      </c>
      <c r="AF97" s="32" t="s">
        <v>138</v>
      </c>
      <c r="AG97" s="28" t="s">
        <v>138</v>
      </c>
      <c r="AH97" s="32" t="s">
        <v>138</v>
      </c>
      <c r="AI97" s="32" t="s">
        <v>138</v>
      </c>
      <c r="AJ97" s="32" t="s">
        <v>138</v>
      </c>
      <c r="AK97" s="28" t="s">
        <v>2347</v>
      </c>
      <c r="AL97" s="28" t="s">
        <v>2348</v>
      </c>
      <c r="AM97" s="28" t="s">
        <v>304</v>
      </c>
      <c r="AN97" s="28" t="s">
        <v>2349</v>
      </c>
      <c r="AO97" s="28" t="s">
        <v>138</v>
      </c>
      <c r="AP97" s="28" t="s">
        <v>820</v>
      </c>
      <c r="AQ97" s="28" t="s">
        <v>2350</v>
      </c>
      <c r="AR97" s="28" t="s">
        <v>2351</v>
      </c>
      <c r="AS97" s="28" t="s">
        <v>823</v>
      </c>
      <c r="AT97" s="28" t="s">
        <v>824</v>
      </c>
      <c r="AU97" s="28" t="s">
        <v>2352</v>
      </c>
      <c r="AV97" s="28" t="s">
        <v>526</v>
      </c>
      <c r="AW97" s="28" t="s">
        <v>138</v>
      </c>
      <c r="AX97" s="28" t="s">
        <v>138</v>
      </c>
      <c r="AY97" s="28" t="s">
        <v>2353</v>
      </c>
      <c r="AZ97" s="28" t="s">
        <v>530</v>
      </c>
      <c r="BA97" s="28" t="s">
        <v>531</v>
      </c>
      <c r="BB97" s="28" t="s">
        <v>2354</v>
      </c>
      <c r="BC97" s="28" t="s">
        <v>2355</v>
      </c>
      <c r="BD97" s="33">
        <v>32</v>
      </c>
      <c r="BE97" s="28" t="s">
        <v>138</v>
      </c>
      <c r="BF97" s="28" t="s">
        <v>138</v>
      </c>
      <c r="BG97" s="28" t="s">
        <v>138</v>
      </c>
      <c r="BH97" s="28" t="s">
        <v>2356</v>
      </c>
      <c r="BI97" s="28" t="s">
        <v>138</v>
      </c>
      <c r="BJ97" s="28" t="s">
        <v>138</v>
      </c>
      <c r="BK97" s="28" t="s">
        <v>2357</v>
      </c>
      <c r="BL97" s="28" t="s">
        <v>2358</v>
      </c>
      <c r="BM97" s="34">
        <v>41584</v>
      </c>
      <c r="BN97" s="29">
        <v>0.47</v>
      </c>
      <c r="BO97" s="28" t="s">
        <v>172</v>
      </c>
      <c r="BP97" s="29">
        <v>0.74</v>
      </c>
      <c r="BQ97" s="28" t="s">
        <v>172</v>
      </c>
      <c r="BR97" s="28" t="s">
        <v>262</v>
      </c>
      <c r="BS97" s="28" t="s">
        <v>262</v>
      </c>
      <c r="BT97" s="28" t="s">
        <v>138</v>
      </c>
      <c r="BU97" s="28" t="s">
        <v>263</v>
      </c>
      <c r="BV97" s="28" t="s">
        <v>138</v>
      </c>
      <c r="BW97" s="28" t="s">
        <v>138</v>
      </c>
      <c r="BX97" s="28" t="s">
        <v>138</v>
      </c>
      <c r="BY97" s="28" t="s">
        <v>175</v>
      </c>
      <c r="BZ97" s="34">
        <v>43378</v>
      </c>
      <c r="CA97" s="29">
        <v>5.45</v>
      </c>
      <c r="CB97" s="28" t="s">
        <v>172</v>
      </c>
      <c r="CC97" s="29">
        <v>149.21</v>
      </c>
      <c r="CD97" s="28" t="s">
        <v>172</v>
      </c>
      <c r="CE97" s="28" t="s">
        <v>173</v>
      </c>
      <c r="CF97" s="28" t="s">
        <v>2359</v>
      </c>
      <c r="CG97" s="28" t="s">
        <v>138</v>
      </c>
      <c r="CH97" s="28" t="s">
        <v>174</v>
      </c>
      <c r="CI97" s="28" t="s">
        <v>138</v>
      </c>
      <c r="CJ97" s="28" t="s">
        <v>138</v>
      </c>
      <c r="CK97" s="28" t="s">
        <v>138</v>
      </c>
      <c r="CL97" s="28" t="s">
        <v>175</v>
      </c>
      <c r="CM97" s="34" t="s">
        <v>138</v>
      </c>
      <c r="CN97" s="29" t="s">
        <v>138</v>
      </c>
      <c r="CO97" s="35">
        <v>0.72</v>
      </c>
      <c r="CP97" s="36">
        <v>96</v>
      </c>
      <c r="CQ97" s="35">
        <v>0.08</v>
      </c>
      <c r="CR97" s="35">
        <v>12.23</v>
      </c>
      <c r="CS97" s="35">
        <v>0.12</v>
      </c>
      <c r="CT97" s="36">
        <v>94</v>
      </c>
      <c r="CU97" s="35">
        <v>0.7</v>
      </c>
      <c r="CV97" s="36">
        <v>96</v>
      </c>
      <c r="CW97" s="35">
        <v>2.04</v>
      </c>
      <c r="CX97" s="36">
        <v>88</v>
      </c>
      <c r="CY97" s="35">
        <v>-1.81</v>
      </c>
      <c r="CZ97" s="36">
        <v>12</v>
      </c>
      <c r="DA97" s="35">
        <v>0.7</v>
      </c>
      <c r="DB97" s="36">
        <v>96</v>
      </c>
      <c r="DC97" s="37">
        <v>48.93</v>
      </c>
      <c r="DD97" s="36">
        <v>98</v>
      </c>
      <c r="DE97" s="37">
        <v>-4.43</v>
      </c>
      <c r="DF97" s="35">
        <v>-8.2899999999999991</v>
      </c>
      <c r="DG97" s="37">
        <v>31.79</v>
      </c>
      <c r="DH97" s="36">
        <v>97</v>
      </c>
      <c r="DI97" s="37">
        <v>64.77</v>
      </c>
      <c r="DJ97" s="36">
        <v>96</v>
      </c>
      <c r="DK97" s="37">
        <v>51.83</v>
      </c>
      <c r="DL97" s="36">
        <v>96</v>
      </c>
      <c r="DM97" s="37">
        <v>11.76</v>
      </c>
      <c r="DN97" s="36">
        <v>90</v>
      </c>
      <c r="DO97" s="37">
        <v>64.77</v>
      </c>
      <c r="DP97" s="36">
        <v>97</v>
      </c>
      <c r="DQ97" s="36">
        <v>17176</v>
      </c>
      <c r="DR97" s="38">
        <v>1803</v>
      </c>
      <c r="DS97" s="35">
        <v>11.73</v>
      </c>
      <c r="DT97" s="36">
        <v>338</v>
      </c>
      <c r="DU97" s="38">
        <v>5</v>
      </c>
      <c r="DV97" s="35">
        <v>1.5</v>
      </c>
      <c r="DW97" s="36">
        <v>23174</v>
      </c>
      <c r="DX97" s="39">
        <v>70</v>
      </c>
      <c r="DY97" s="35">
        <v>0.3</v>
      </c>
      <c r="DZ97" s="28" t="s">
        <v>178</v>
      </c>
      <c r="EA97" s="34">
        <v>43622</v>
      </c>
      <c r="EB97" s="29">
        <v>149.21</v>
      </c>
      <c r="EC97" s="34">
        <v>43378</v>
      </c>
      <c r="ED97" s="28" t="s">
        <v>173</v>
      </c>
      <c r="EE97" s="40" t="str">
        <f>HYPERLINK("https://my.pitchbook.com?c=60207-13", "View company online")</f>
        <v>View company online</v>
      </c>
    </row>
    <row r="98" spans="1:135">
      <c r="A98" s="15" t="s">
        <v>2360</v>
      </c>
      <c r="B98" s="15" t="s">
        <v>2361</v>
      </c>
      <c r="C98" s="15" t="s">
        <v>138</v>
      </c>
      <c r="D98" s="15" t="s">
        <v>2362</v>
      </c>
      <c r="E98" s="15" t="s">
        <v>138</v>
      </c>
      <c r="F98" s="15" t="s">
        <v>2360</v>
      </c>
      <c r="G98" s="15" t="s">
        <v>2363</v>
      </c>
      <c r="H98" s="15" t="s">
        <v>141</v>
      </c>
      <c r="I98" s="15" t="s">
        <v>212</v>
      </c>
      <c r="J98" s="15" t="s">
        <v>486</v>
      </c>
      <c r="K98" s="15" t="s">
        <v>2364</v>
      </c>
      <c r="L98" s="15" t="s">
        <v>1104</v>
      </c>
      <c r="M98" s="15" t="s">
        <v>2365</v>
      </c>
      <c r="N98" s="15" t="s">
        <v>147</v>
      </c>
      <c r="O98" s="17">
        <v>15</v>
      </c>
      <c r="P98" s="15" t="s">
        <v>148</v>
      </c>
      <c r="Q98" s="15" t="s">
        <v>149</v>
      </c>
      <c r="R98" s="15" t="s">
        <v>174</v>
      </c>
      <c r="S98" s="15" t="s">
        <v>2366</v>
      </c>
      <c r="T98" s="18" t="s">
        <v>138</v>
      </c>
      <c r="U98" s="15" t="s">
        <v>138</v>
      </c>
      <c r="V98" s="15" t="s">
        <v>138</v>
      </c>
      <c r="W98" s="15" t="s">
        <v>138</v>
      </c>
      <c r="X98" s="19">
        <v>2014</v>
      </c>
      <c r="Y98" s="15" t="s">
        <v>138</v>
      </c>
      <c r="Z98" s="15" t="s">
        <v>138</v>
      </c>
      <c r="AA98" s="15" t="s">
        <v>138</v>
      </c>
      <c r="AB98" s="20" t="s">
        <v>138</v>
      </c>
      <c r="AC98" s="20" t="s">
        <v>138</v>
      </c>
      <c r="AD98" s="20" t="s">
        <v>138</v>
      </c>
      <c r="AE98" s="20" t="s">
        <v>138</v>
      </c>
      <c r="AF98" s="20" t="s">
        <v>138</v>
      </c>
      <c r="AG98" s="15" t="s">
        <v>138</v>
      </c>
      <c r="AH98" s="20" t="s">
        <v>138</v>
      </c>
      <c r="AI98" s="20" t="s">
        <v>138</v>
      </c>
      <c r="AJ98" s="20" t="s">
        <v>138</v>
      </c>
      <c r="AK98" s="15" t="s">
        <v>2367</v>
      </c>
      <c r="AL98" s="15" t="s">
        <v>2368</v>
      </c>
      <c r="AM98" s="15" t="s">
        <v>444</v>
      </c>
      <c r="AN98" s="15" t="s">
        <v>2369</v>
      </c>
      <c r="AO98" s="15" t="s">
        <v>138</v>
      </c>
      <c r="AP98" s="15" t="s">
        <v>895</v>
      </c>
      <c r="AQ98" s="15" t="s">
        <v>138</v>
      </c>
      <c r="AR98" s="15" t="s">
        <v>138</v>
      </c>
      <c r="AS98" s="15" t="s">
        <v>898</v>
      </c>
      <c r="AT98" s="15" t="s">
        <v>138</v>
      </c>
      <c r="AU98" s="15" t="s">
        <v>138</v>
      </c>
      <c r="AV98" s="15" t="s">
        <v>450</v>
      </c>
      <c r="AW98" s="15" t="s">
        <v>138</v>
      </c>
      <c r="AX98" s="15" t="s">
        <v>138</v>
      </c>
      <c r="AY98" s="15" t="s">
        <v>138</v>
      </c>
      <c r="AZ98" s="15" t="s">
        <v>452</v>
      </c>
      <c r="BA98" s="15" t="s">
        <v>453</v>
      </c>
      <c r="BB98" s="15" t="s">
        <v>2370</v>
      </c>
      <c r="BC98" s="15" t="s">
        <v>2371</v>
      </c>
      <c r="BD98" s="21">
        <v>4</v>
      </c>
      <c r="BE98" s="15" t="s">
        <v>138</v>
      </c>
      <c r="BF98" s="15" t="s">
        <v>138</v>
      </c>
      <c r="BG98" s="15" t="s">
        <v>138</v>
      </c>
      <c r="BH98" s="15" t="s">
        <v>2372</v>
      </c>
      <c r="BI98" s="15" t="s">
        <v>138</v>
      </c>
      <c r="BJ98" s="15" t="s">
        <v>138</v>
      </c>
      <c r="BK98" s="15" t="s">
        <v>138</v>
      </c>
      <c r="BL98" s="15" t="s">
        <v>138</v>
      </c>
      <c r="BM98" s="22">
        <v>43063</v>
      </c>
      <c r="BN98" s="17">
        <v>15</v>
      </c>
      <c r="BO98" s="15" t="s">
        <v>172</v>
      </c>
      <c r="BP98" s="17" t="s">
        <v>138</v>
      </c>
      <c r="BQ98" s="15" t="s">
        <v>138</v>
      </c>
      <c r="BR98" s="15" t="s">
        <v>205</v>
      </c>
      <c r="BS98" s="15" t="s">
        <v>720</v>
      </c>
      <c r="BT98" s="15" t="s">
        <v>138</v>
      </c>
      <c r="BU98" s="15" t="s">
        <v>174</v>
      </c>
      <c r="BV98" s="15" t="s">
        <v>138</v>
      </c>
      <c r="BW98" s="15" t="s">
        <v>138</v>
      </c>
      <c r="BX98" s="15" t="s">
        <v>138</v>
      </c>
      <c r="BY98" s="15" t="s">
        <v>175</v>
      </c>
      <c r="BZ98" s="22">
        <v>43063</v>
      </c>
      <c r="CA98" s="17">
        <v>15</v>
      </c>
      <c r="CB98" s="15" t="s">
        <v>172</v>
      </c>
      <c r="CC98" s="17" t="s">
        <v>138</v>
      </c>
      <c r="CD98" s="15" t="s">
        <v>138</v>
      </c>
      <c r="CE98" s="15" t="s">
        <v>205</v>
      </c>
      <c r="CF98" s="15" t="s">
        <v>720</v>
      </c>
      <c r="CG98" s="15" t="s">
        <v>138</v>
      </c>
      <c r="CH98" s="15" t="s">
        <v>174</v>
      </c>
      <c r="CI98" s="15" t="s">
        <v>138</v>
      </c>
      <c r="CJ98" s="15" t="s">
        <v>138</v>
      </c>
      <c r="CK98" s="15" t="s">
        <v>138</v>
      </c>
      <c r="CL98" s="15" t="s">
        <v>175</v>
      </c>
      <c r="CM98" s="22" t="s">
        <v>138</v>
      </c>
      <c r="CN98" s="17" t="s">
        <v>138</v>
      </c>
      <c r="CO98" s="23" t="s">
        <v>138</v>
      </c>
      <c r="CP98" s="24" t="s">
        <v>138</v>
      </c>
      <c r="CQ98" s="23" t="s">
        <v>138</v>
      </c>
      <c r="CR98" s="23" t="s">
        <v>138</v>
      </c>
      <c r="CS98" s="23" t="s">
        <v>138</v>
      </c>
      <c r="CT98" s="24" t="s">
        <v>138</v>
      </c>
      <c r="CU98" s="23" t="s">
        <v>138</v>
      </c>
      <c r="CV98" s="24" t="s">
        <v>138</v>
      </c>
      <c r="CW98" s="23" t="s">
        <v>138</v>
      </c>
      <c r="CX98" s="24" t="s">
        <v>138</v>
      </c>
      <c r="CY98" s="23" t="s">
        <v>138</v>
      </c>
      <c r="CZ98" s="24" t="s">
        <v>138</v>
      </c>
      <c r="DA98" s="23" t="s">
        <v>138</v>
      </c>
      <c r="DB98" s="24" t="s">
        <v>138</v>
      </c>
      <c r="DC98" s="25" t="s">
        <v>138</v>
      </c>
      <c r="DD98" s="24" t="s">
        <v>138</v>
      </c>
      <c r="DE98" s="25" t="s">
        <v>138</v>
      </c>
      <c r="DF98" s="23" t="s">
        <v>138</v>
      </c>
      <c r="DG98" s="25" t="s">
        <v>138</v>
      </c>
      <c r="DH98" s="24" t="s">
        <v>138</v>
      </c>
      <c r="DI98" s="25" t="s">
        <v>138</v>
      </c>
      <c r="DJ98" s="24" t="s">
        <v>138</v>
      </c>
      <c r="DK98" s="25" t="s">
        <v>138</v>
      </c>
      <c r="DL98" s="24" t="s">
        <v>138</v>
      </c>
      <c r="DM98" s="25" t="s">
        <v>138</v>
      </c>
      <c r="DN98" s="24" t="s">
        <v>138</v>
      </c>
      <c r="DO98" s="25" t="s">
        <v>138</v>
      </c>
      <c r="DP98" s="24" t="s">
        <v>138</v>
      </c>
      <c r="DQ98" s="24" t="s">
        <v>138</v>
      </c>
      <c r="DR98" s="26" t="s">
        <v>138</v>
      </c>
      <c r="DS98" s="23" t="s">
        <v>138</v>
      </c>
      <c r="DT98" s="24" t="s">
        <v>138</v>
      </c>
      <c r="DU98" s="26" t="s">
        <v>138</v>
      </c>
      <c r="DV98" s="23" t="s">
        <v>138</v>
      </c>
      <c r="DW98" s="24" t="s">
        <v>138</v>
      </c>
      <c r="DX98" s="27" t="s">
        <v>138</v>
      </c>
      <c r="DY98" s="23" t="s">
        <v>138</v>
      </c>
      <c r="DZ98" s="15" t="s">
        <v>178</v>
      </c>
      <c r="EA98" s="22">
        <v>43542</v>
      </c>
      <c r="EB98" s="17" t="s">
        <v>138</v>
      </c>
      <c r="EC98" s="22" t="s">
        <v>138</v>
      </c>
      <c r="ED98" s="15" t="s">
        <v>138</v>
      </c>
      <c r="EE98" s="14" t="str">
        <f>HYPERLINK("https://my.pitchbook.com?c=222541-48", "View company online")</f>
        <v>View company online</v>
      </c>
    </row>
    <row r="99" spans="1:135">
      <c r="A99" s="28" t="s">
        <v>2373</v>
      </c>
      <c r="B99" s="28" t="s">
        <v>2374</v>
      </c>
      <c r="C99" s="28" t="s">
        <v>2375</v>
      </c>
      <c r="D99" s="28" t="s">
        <v>138</v>
      </c>
      <c r="E99" s="28" t="s">
        <v>138</v>
      </c>
      <c r="F99" s="28" t="s">
        <v>2373</v>
      </c>
      <c r="G99" s="28" t="s">
        <v>2376</v>
      </c>
      <c r="H99" s="28" t="s">
        <v>322</v>
      </c>
      <c r="I99" s="28" t="s">
        <v>1503</v>
      </c>
      <c r="J99" s="28" t="s">
        <v>2377</v>
      </c>
      <c r="K99" s="28" t="s">
        <v>2378</v>
      </c>
      <c r="L99" s="28" t="s">
        <v>415</v>
      </c>
      <c r="M99" s="28" t="s">
        <v>2379</v>
      </c>
      <c r="N99" s="28" t="s">
        <v>1452</v>
      </c>
      <c r="O99" s="29">
        <v>399.5</v>
      </c>
      <c r="P99" s="28" t="s">
        <v>812</v>
      </c>
      <c r="Q99" s="28" t="s">
        <v>149</v>
      </c>
      <c r="R99" s="28" t="s">
        <v>2380</v>
      </c>
      <c r="S99" s="28" t="s">
        <v>2381</v>
      </c>
      <c r="T99" s="30">
        <v>1</v>
      </c>
      <c r="U99" s="28" t="s">
        <v>2382</v>
      </c>
      <c r="V99" s="28" t="s">
        <v>138</v>
      </c>
      <c r="W99" s="28" t="s">
        <v>138</v>
      </c>
      <c r="X99" s="31">
        <v>1997</v>
      </c>
      <c r="Y99" s="28" t="s">
        <v>138</v>
      </c>
      <c r="Z99" s="28" t="s">
        <v>138</v>
      </c>
      <c r="AA99" s="28" t="s">
        <v>138</v>
      </c>
      <c r="AB99" s="32">
        <v>0</v>
      </c>
      <c r="AC99" s="32" t="s">
        <v>138</v>
      </c>
      <c r="AD99" s="32">
        <v>-0.87</v>
      </c>
      <c r="AE99" s="32">
        <v>-2.62</v>
      </c>
      <c r="AF99" s="32">
        <v>-0.91</v>
      </c>
      <c r="AG99" s="28" t="s">
        <v>2383</v>
      </c>
      <c r="AH99" s="32" t="s">
        <v>138</v>
      </c>
      <c r="AI99" s="32" t="s">
        <v>138</v>
      </c>
      <c r="AJ99" s="32" t="s">
        <v>138</v>
      </c>
      <c r="AK99" s="28" t="s">
        <v>2384</v>
      </c>
      <c r="AL99" s="28" t="s">
        <v>2385</v>
      </c>
      <c r="AM99" s="28" t="s">
        <v>566</v>
      </c>
      <c r="AN99" s="28" t="s">
        <v>2386</v>
      </c>
      <c r="AO99" s="28" t="s">
        <v>2387</v>
      </c>
      <c r="AP99" s="28" t="s">
        <v>2388</v>
      </c>
      <c r="AQ99" s="28" t="s">
        <v>2389</v>
      </c>
      <c r="AR99" s="28" t="s">
        <v>2390</v>
      </c>
      <c r="AS99" s="28" t="s">
        <v>2391</v>
      </c>
      <c r="AT99" s="28" t="s">
        <v>200</v>
      </c>
      <c r="AU99" s="28" t="s">
        <v>2392</v>
      </c>
      <c r="AV99" s="28" t="s">
        <v>162</v>
      </c>
      <c r="AW99" s="28" t="s">
        <v>138</v>
      </c>
      <c r="AX99" s="28" t="s">
        <v>138</v>
      </c>
      <c r="AY99" s="28" t="s">
        <v>138</v>
      </c>
      <c r="AZ99" s="28" t="s">
        <v>164</v>
      </c>
      <c r="BA99" s="28" t="s">
        <v>165</v>
      </c>
      <c r="BB99" s="28" t="s">
        <v>2393</v>
      </c>
      <c r="BC99" s="28" t="s">
        <v>2394</v>
      </c>
      <c r="BD99" s="33">
        <v>1</v>
      </c>
      <c r="BE99" s="28" t="s">
        <v>138</v>
      </c>
      <c r="BF99" s="28" t="s">
        <v>2395</v>
      </c>
      <c r="BG99" s="28" t="s">
        <v>2396</v>
      </c>
      <c r="BH99" s="28" t="s">
        <v>2397</v>
      </c>
      <c r="BI99" s="28" t="s">
        <v>2398</v>
      </c>
      <c r="BJ99" s="28" t="s">
        <v>138</v>
      </c>
      <c r="BK99" s="28" t="s">
        <v>2399</v>
      </c>
      <c r="BL99" s="28" t="s">
        <v>2400</v>
      </c>
      <c r="BM99" s="34">
        <v>35886</v>
      </c>
      <c r="BN99" s="29">
        <v>3</v>
      </c>
      <c r="BO99" s="28" t="s">
        <v>172</v>
      </c>
      <c r="BP99" s="29">
        <v>30</v>
      </c>
      <c r="BQ99" s="28" t="s">
        <v>1178</v>
      </c>
      <c r="BR99" s="28" t="s">
        <v>205</v>
      </c>
      <c r="BS99" s="28" t="s">
        <v>206</v>
      </c>
      <c r="BT99" s="28" t="s">
        <v>138</v>
      </c>
      <c r="BU99" s="28" t="s">
        <v>174</v>
      </c>
      <c r="BV99" s="28" t="s">
        <v>138</v>
      </c>
      <c r="BW99" s="28" t="s">
        <v>138</v>
      </c>
      <c r="BX99" s="28" t="s">
        <v>138</v>
      </c>
      <c r="BY99" s="28" t="s">
        <v>175</v>
      </c>
      <c r="BZ99" s="34">
        <v>42366</v>
      </c>
      <c r="CA99" s="29" t="s">
        <v>138</v>
      </c>
      <c r="CB99" s="28" t="s">
        <v>138</v>
      </c>
      <c r="CC99" s="29" t="s">
        <v>138</v>
      </c>
      <c r="CD99" s="28" t="s">
        <v>138</v>
      </c>
      <c r="CE99" s="28" t="s">
        <v>349</v>
      </c>
      <c r="CF99" s="28" t="s">
        <v>1496</v>
      </c>
      <c r="CG99" s="28" t="s">
        <v>138</v>
      </c>
      <c r="CH99" s="28" t="s">
        <v>351</v>
      </c>
      <c r="CI99" s="28" t="s">
        <v>138</v>
      </c>
      <c r="CJ99" s="28" t="s">
        <v>138</v>
      </c>
      <c r="CK99" s="28" t="s">
        <v>138</v>
      </c>
      <c r="CL99" s="28" t="s">
        <v>175</v>
      </c>
      <c r="CM99" s="34">
        <v>36656</v>
      </c>
      <c r="CN99" s="29" t="s">
        <v>138</v>
      </c>
      <c r="CO99" s="35">
        <v>0</v>
      </c>
      <c r="CP99" s="36">
        <v>26</v>
      </c>
      <c r="CQ99" s="35">
        <v>0</v>
      </c>
      <c r="CR99" s="35">
        <v>0</v>
      </c>
      <c r="CS99" s="35">
        <v>0</v>
      </c>
      <c r="CT99" s="36">
        <v>23</v>
      </c>
      <c r="CU99" s="35" t="s">
        <v>138</v>
      </c>
      <c r="CV99" s="36" t="s">
        <v>138</v>
      </c>
      <c r="CW99" s="35" t="s">
        <v>138</v>
      </c>
      <c r="CX99" s="36" t="s">
        <v>138</v>
      </c>
      <c r="CY99" s="35">
        <v>0</v>
      </c>
      <c r="CZ99" s="36">
        <v>25</v>
      </c>
      <c r="DA99" s="35" t="s">
        <v>138</v>
      </c>
      <c r="DB99" s="36" t="s">
        <v>138</v>
      </c>
      <c r="DC99" s="37">
        <v>2.69</v>
      </c>
      <c r="DD99" s="36">
        <v>73</v>
      </c>
      <c r="DE99" s="37">
        <v>0.03</v>
      </c>
      <c r="DF99" s="35">
        <v>1.3</v>
      </c>
      <c r="DG99" s="37">
        <v>2.69</v>
      </c>
      <c r="DH99" s="36">
        <v>72</v>
      </c>
      <c r="DI99" s="37" t="s">
        <v>138</v>
      </c>
      <c r="DJ99" s="36" t="s">
        <v>138</v>
      </c>
      <c r="DK99" s="37" t="s">
        <v>138</v>
      </c>
      <c r="DL99" s="36" t="s">
        <v>138</v>
      </c>
      <c r="DM99" s="37">
        <v>2.69</v>
      </c>
      <c r="DN99" s="36">
        <v>71</v>
      </c>
      <c r="DO99" s="37" t="s">
        <v>138</v>
      </c>
      <c r="DP99" s="36" t="s">
        <v>138</v>
      </c>
      <c r="DQ99" s="36" t="s">
        <v>138</v>
      </c>
      <c r="DR99" s="38" t="s">
        <v>138</v>
      </c>
      <c r="DS99" s="35" t="s">
        <v>138</v>
      </c>
      <c r="DT99" s="36">
        <v>77</v>
      </c>
      <c r="DU99" s="38">
        <v>0</v>
      </c>
      <c r="DV99" s="35">
        <v>0</v>
      </c>
      <c r="DW99" s="36" t="s">
        <v>138</v>
      </c>
      <c r="DX99" s="39" t="s">
        <v>138</v>
      </c>
      <c r="DY99" s="35" t="s">
        <v>138</v>
      </c>
      <c r="DZ99" s="28" t="s">
        <v>178</v>
      </c>
      <c r="EA99" s="34">
        <v>43351</v>
      </c>
      <c r="EB99" s="29">
        <v>24.1</v>
      </c>
      <c r="EC99" s="34">
        <v>38428</v>
      </c>
      <c r="ED99" s="28" t="s">
        <v>2228</v>
      </c>
      <c r="EE99" s="40" t="str">
        <f>HYPERLINK("https://my.pitchbook.com?c=41456-08", "View company online")</f>
        <v>View company online</v>
      </c>
    </row>
    <row r="100" spans="1:135">
      <c r="A100" s="15" t="s">
        <v>2401</v>
      </c>
      <c r="B100" s="15" t="s">
        <v>2402</v>
      </c>
      <c r="C100" s="15" t="s">
        <v>2403</v>
      </c>
      <c r="D100" s="15" t="s">
        <v>138</v>
      </c>
      <c r="E100" s="15" t="s">
        <v>2404</v>
      </c>
      <c r="F100" s="15" t="s">
        <v>2401</v>
      </c>
      <c r="G100" s="15" t="s">
        <v>2405</v>
      </c>
      <c r="H100" s="15" t="s">
        <v>322</v>
      </c>
      <c r="I100" s="15" t="s">
        <v>323</v>
      </c>
      <c r="J100" s="15" t="s">
        <v>437</v>
      </c>
      <c r="K100" s="15" t="s">
        <v>2406</v>
      </c>
      <c r="L100" s="15" t="s">
        <v>2407</v>
      </c>
      <c r="M100" s="15" t="s">
        <v>2408</v>
      </c>
      <c r="N100" s="15" t="s">
        <v>147</v>
      </c>
      <c r="O100" s="17">
        <v>44.14</v>
      </c>
      <c r="P100" s="15" t="s">
        <v>148</v>
      </c>
      <c r="Q100" s="15" t="s">
        <v>149</v>
      </c>
      <c r="R100" s="15" t="s">
        <v>174</v>
      </c>
      <c r="S100" s="15" t="s">
        <v>2409</v>
      </c>
      <c r="T100" s="18">
        <v>49</v>
      </c>
      <c r="U100" s="15" t="s">
        <v>2410</v>
      </c>
      <c r="V100" s="15" t="s">
        <v>138</v>
      </c>
      <c r="W100" s="15" t="s">
        <v>138</v>
      </c>
      <c r="X100" s="19">
        <v>2009</v>
      </c>
      <c r="Y100" s="15" t="s">
        <v>138</v>
      </c>
      <c r="Z100" s="15" t="s">
        <v>138</v>
      </c>
      <c r="AA100" s="15" t="s">
        <v>138</v>
      </c>
      <c r="AB100" s="20" t="s">
        <v>138</v>
      </c>
      <c r="AC100" s="20" t="s">
        <v>138</v>
      </c>
      <c r="AD100" s="20" t="s">
        <v>138</v>
      </c>
      <c r="AE100" s="20" t="s">
        <v>138</v>
      </c>
      <c r="AF100" s="20" t="s">
        <v>138</v>
      </c>
      <c r="AG100" s="15" t="s">
        <v>138</v>
      </c>
      <c r="AH100" s="20" t="s">
        <v>138</v>
      </c>
      <c r="AI100" s="20" t="s">
        <v>138</v>
      </c>
      <c r="AJ100" s="20" t="s">
        <v>138</v>
      </c>
      <c r="AK100" s="15" t="s">
        <v>2411</v>
      </c>
      <c r="AL100" s="15" t="s">
        <v>2412</v>
      </c>
      <c r="AM100" s="15" t="s">
        <v>2413</v>
      </c>
      <c r="AN100" s="15" t="s">
        <v>2414</v>
      </c>
      <c r="AO100" s="15" t="s">
        <v>2415</v>
      </c>
      <c r="AP100" s="15" t="s">
        <v>1870</v>
      </c>
      <c r="AQ100" s="15" t="s">
        <v>2416</v>
      </c>
      <c r="AR100" s="15" t="s">
        <v>2283</v>
      </c>
      <c r="AS100" s="15" t="s">
        <v>1872</v>
      </c>
      <c r="AT100" s="15" t="s">
        <v>200</v>
      </c>
      <c r="AU100" s="15" t="s">
        <v>2284</v>
      </c>
      <c r="AV100" s="15" t="s">
        <v>162</v>
      </c>
      <c r="AW100" s="15" t="s">
        <v>2415</v>
      </c>
      <c r="AX100" s="15" t="s">
        <v>138</v>
      </c>
      <c r="AY100" s="15" t="s">
        <v>2417</v>
      </c>
      <c r="AZ100" s="15" t="s">
        <v>164</v>
      </c>
      <c r="BA100" s="15" t="s">
        <v>165</v>
      </c>
      <c r="BB100" s="15" t="s">
        <v>2418</v>
      </c>
      <c r="BC100" s="15" t="s">
        <v>2419</v>
      </c>
      <c r="BD100" s="21">
        <v>26</v>
      </c>
      <c r="BE100" s="15" t="s">
        <v>138</v>
      </c>
      <c r="BF100" s="15" t="s">
        <v>138</v>
      </c>
      <c r="BG100" s="15" t="s">
        <v>138</v>
      </c>
      <c r="BH100" s="15" t="s">
        <v>2420</v>
      </c>
      <c r="BI100" s="15" t="s">
        <v>138</v>
      </c>
      <c r="BJ100" s="15" t="s">
        <v>138</v>
      </c>
      <c r="BK100" s="15" t="s">
        <v>1275</v>
      </c>
      <c r="BL100" s="15" t="s">
        <v>1275</v>
      </c>
      <c r="BM100" s="22">
        <v>40452</v>
      </c>
      <c r="BN100" s="17">
        <v>2.5</v>
      </c>
      <c r="BO100" s="15" t="s">
        <v>172</v>
      </c>
      <c r="BP100" s="17">
        <v>8.64</v>
      </c>
      <c r="BQ100" s="15" t="s">
        <v>172</v>
      </c>
      <c r="BR100" s="15" t="s">
        <v>262</v>
      </c>
      <c r="BS100" s="15" t="s">
        <v>206</v>
      </c>
      <c r="BT100" s="15" t="s">
        <v>138</v>
      </c>
      <c r="BU100" s="15" t="s">
        <v>263</v>
      </c>
      <c r="BV100" s="15" t="s">
        <v>138</v>
      </c>
      <c r="BW100" s="15" t="s">
        <v>138</v>
      </c>
      <c r="BX100" s="15" t="s">
        <v>138</v>
      </c>
      <c r="BY100" s="15" t="s">
        <v>175</v>
      </c>
      <c r="BZ100" s="22">
        <v>42405</v>
      </c>
      <c r="CA100" s="17">
        <v>25</v>
      </c>
      <c r="CB100" s="15" t="s">
        <v>172</v>
      </c>
      <c r="CC100" s="17">
        <v>91.67</v>
      </c>
      <c r="CD100" s="15" t="s">
        <v>172</v>
      </c>
      <c r="CE100" s="15" t="s">
        <v>173</v>
      </c>
      <c r="CF100" s="15" t="s">
        <v>720</v>
      </c>
      <c r="CG100" s="15" t="s">
        <v>138</v>
      </c>
      <c r="CH100" s="15" t="s">
        <v>174</v>
      </c>
      <c r="CI100" s="15" t="s">
        <v>138</v>
      </c>
      <c r="CJ100" s="15" t="s">
        <v>138</v>
      </c>
      <c r="CK100" s="15" t="s">
        <v>138</v>
      </c>
      <c r="CL100" s="15" t="s">
        <v>175</v>
      </c>
      <c r="CM100" s="22" t="s">
        <v>138</v>
      </c>
      <c r="CN100" s="17" t="s">
        <v>138</v>
      </c>
      <c r="CO100" s="23">
        <v>0.26</v>
      </c>
      <c r="CP100" s="24">
        <v>93</v>
      </c>
      <c r="CQ100" s="23">
        <v>0</v>
      </c>
      <c r="CR100" s="23">
        <v>-1.64</v>
      </c>
      <c r="CS100" s="23">
        <v>0.5</v>
      </c>
      <c r="CT100" s="24">
        <v>95</v>
      </c>
      <c r="CU100" s="23">
        <v>0.03</v>
      </c>
      <c r="CV100" s="24">
        <v>54</v>
      </c>
      <c r="CW100" s="23">
        <v>0.99</v>
      </c>
      <c r="CX100" s="24">
        <v>85</v>
      </c>
      <c r="CY100" s="23">
        <v>0</v>
      </c>
      <c r="CZ100" s="24">
        <v>25</v>
      </c>
      <c r="DA100" s="23">
        <v>0.03</v>
      </c>
      <c r="DB100" s="24">
        <v>60</v>
      </c>
      <c r="DC100" s="25">
        <v>20.13</v>
      </c>
      <c r="DD100" s="24">
        <v>95</v>
      </c>
      <c r="DE100" s="25">
        <v>-0.08</v>
      </c>
      <c r="DF100" s="23">
        <v>-0.39</v>
      </c>
      <c r="DG100" s="25">
        <v>4.12</v>
      </c>
      <c r="DH100" s="24">
        <v>80</v>
      </c>
      <c r="DI100" s="25">
        <v>36.130000000000003</v>
      </c>
      <c r="DJ100" s="24">
        <v>94</v>
      </c>
      <c r="DK100" s="25">
        <v>5.42</v>
      </c>
      <c r="DL100" s="24">
        <v>80</v>
      </c>
      <c r="DM100" s="25">
        <v>2.83</v>
      </c>
      <c r="DN100" s="24">
        <v>72</v>
      </c>
      <c r="DO100" s="25">
        <v>36.130000000000003</v>
      </c>
      <c r="DP100" s="24">
        <v>95</v>
      </c>
      <c r="DQ100" s="24">
        <v>1817</v>
      </c>
      <c r="DR100" s="26">
        <v>123</v>
      </c>
      <c r="DS100" s="23">
        <v>7.26</v>
      </c>
      <c r="DT100" s="24">
        <v>82</v>
      </c>
      <c r="DU100" s="26">
        <v>0</v>
      </c>
      <c r="DV100" s="23">
        <v>0</v>
      </c>
      <c r="DW100" s="24">
        <v>12936</v>
      </c>
      <c r="DX100" s="27">
        <v>-3</v>
      </c>
      <c r="DY100" s="23">
        <v>-0.02</v>
      </c>
      <c r="DZ100" s="15" t="s">
        <v>178</v>
      </c>
      <c r="EA100" s="22">
        <v>43622</v>
      </c>
      <c r="EB100" s="17">
        <v>91.67</v>
      </c>
      <c r="EC100" s="22">
        <v>42405</v>
      </c>
      <c r="ED100" s="15" t="s">
        <v>173</v>
      </c>
      <c r="EE100" s="14" t="str">
        <f>HYPERLINK("https://my.pitchbook.com?c=53604-64", "View company online")</f>
        <v>View company online</v>
      </c>
    </row>
    <row r="101" spans="1:135">
      <c r="A101" s="28" t="s">
        <v>2421</v>
      </c>
      <c r="B101" s="28" t="s">
        <v>2422</v>
      </c>
      <c r="C101" s="28" t="s">
        <v>2423</v>
      </c>
      <c r="D101" s="28" t="s">
        <v>138</v>
      </c>
      <c r="E101" s="28" t="s">
        <v>2424</v>
      </c>
      <c r="F101" s="28" t="s">
        <v>2421</v>
      </c>
      <c r="G101" s="28" t="s">
        <v>2425</v>
      </c>
      <c r="H101" s="28" t="s">
        <v>238</v>
      </c>
      <c r="I101" s="28" t="s">
        <v>269</v>
      </c>
      <c r="J101" s="28" t="s">
        <v>296</v>
      </c>
      <c r="K101" s="28" t="s">
        <v>2426</v>
      </c>
      <c r="L101" s="28" t="s">
        <v>2427</v>
      </c>
      <c r="M101" s="28" t="s">
        <v>2428</v>
      </c>
      <c r="N101" s="28" t="s">
        <v>147</v>
      </c>
      <c r="O101" s="29">
        <v>207</v>
      </c>
      <c r="P101" s="28" t="s">
        <v>148</v>
      </c>
      <c r="Q101" s="28" t="s">
        <v>149</v>
      </c>
      <c r="R101" s="28" t="s">
        <v>174</v>
      </c>
      <c r="S101" s="28" t="s">
        <v>2429</v>
      </c>
      <c r="T101" s="30">
        <v>200</v>
      </c>
      <c r="U101" s="28" t="s">
        <v>2430</v>
      </c>
      <c r="V101" s="28" t="s">
        <v>138</v>
      </c>
      <c r="W101" s="28" t="s">
        <v>138</v>
      </c>
      <c r="X101" s="31">
        <v>2017</v>
      </c>
      <c r="Y101" s="28" t="s">
        <v>138</v>
      </c>
      <c r="Z101" s="28" t="s">
        <v>138</v>
      </c>
      <c r="AA101" s="28" t="s">
        <v>138</v>
      </c>
      <c r="AB101" s="32" t="s">
        <v>138</v>
      </c>
      <c r="AC101" s="32" t="s">
        <v>138</v>
      </c>
      <c r="AD101" s="32" t="s">
        <v>138</v>
      </c>
      <c r="AE101" s="32" t="s">
        <v>138</v>
      </c>
      <c r="AF101" s="32" t="s">
        <v>138</v>
      </c>
      <c r="AG101" s="28" t="s">
        <v>138</v>
      </c>
      <c r="AH101" s="32" t="s">
        <v>138</v>
      </c>
      <c r="AI101" s="32" t="s">
        <v>138</v>
      </c>
      <c r="AJ101" s="32" t="s">
        <v>138</v>
      </c>
      <c r="AK101" s="28" t="s">
        <v>2431</v>
      </c>
      <c r="AL101" s="28" t="s">
        <v>2432</v>
      </c>
      <c r="AM101" s="28" t="s">
        <v>2433</v>
      </c>
      <c r="AN101" s="28" t="s">
        <v>2434</v>
      </c>
      <c r="AO101" s="28" t="s">
        <v>2435</v>
      </c>
      <c r="AP101" s="28" t="s">
        <v>1244</v>
      </c>
      <c r="AQ101" s="28" t="s">
        <v>2436</v>
      </c>
      <c r="AR101" s="28" t="s">
        <v>138</v>
      </c>
      <c r="AS101" s="28" t="s">
        <v>1246</v>
      </c>
      <c r="AT101" s="28" t="s">
        <v>200</v>
      </c>
      <c r="AU101" s="28" t="s">
        <v>2437</v>
      </c>
      <c r="AV101" s="28" t="s">
        <v>162</v>
      </c>
      <c r="AW101" s="28" t="s">
        <v>2435</v>
      </c>
      <c r="AX101" s="28" t="s">
        <v>2438</v>
      </c>
      <c r="AY101" s="28" t="s">
        <v>2439</v>
      </c>
      <c r="AZ101" s="28" t="s">
        <v>164</v>
      </c>
      <c r="BA101" s="28" t="s">
        <v>165</v>
      </c>
      <c r="BB101" s="28" t="s">
        <v>2440</v>
      </c>
      <c r="BC101" s="28" t="s">
        <v>2441</v>
      </c>
      <c r="BD101" s="33">
        <v>15</v>
      </c>
      <c r="BE101" s="28" t="s">
        <v>138</v>
      </c>
      <c r="BF101" s="28" t="s">
        <v>138</v>
      </c>
      <c r="BG101" s="28" t="s">
        <v>138</v>
      </c>
      <c r="BH101" s="28" t="s">
        <v>2442</v>
      </c>
      <c r="BI101" s="28" t="s">
        <v>138</v>
      </c>
      <c r="BJ101" s="28" t="s">
        <v>138</v>
      </c>
      <c r="BK101" s="28" t="s">
        <v>1251</v>
      </c>
      <c r="BL101" s="28" t="s">
        <v>2443</v>
      </c>
      <c r="BM101" s="34">
        <v>43004</v>
      </c>
      <c r="BN101" s="29">
        <v>57</v>
      </c>
      <c r="BO101" s="28" t="s">
        <v>172</v>
      </c>
      <c r="BP101" s="29" t="s">
        <v>138</v>
      </c>
      <c r="BQ101" s="28" t="s">
        <v>138</v>
      </c>
      <c r="BR101" s="28" t="s">
        <v>234</v>
      </c>
      <c r="BS101" s="28" t="s">
        <v>234</v>
      </c>
      <c r="BT101" s="28" t="s">
        <v>138</v>
      </c>
      <c r="BU101" s="28" t="s">
        <v>174</v>
      </c>
      <c r="BV101" s="28" t="s">
        <v>264</v>
      </c>
      <c r="BW101" s="28" t="s">
        <v>138</v>
      </c>
      <c r="BX101" s="28" t="s">
        <v>138</v>
      </c>
      <c r="BY101" s="28" t="s">
        <v>175</v>
      </c>
      <c r="BZ101" s="34">
        <v>43405</v>
      </c>
      <c r="CA101" s="29">
        <v>150</v>
      </c>
      <c r="CB101" s="28" t="s">
        <v>172</v>
      </c>
      <c r="CC101" s="29" t="s">
        <v>138</v>
      </c>
      <c r="CD101" s="28" t="s">
        <v>138</v>
      </c>
      <c r="CE101" s="28" t="s">
        <v>205</v>
      </c>
      <c r="CF101" s="28" t="s">
        <v>206</v>
      </c>
      <c r="CG101" s="28" t="s">
        <v>138</v>
      </c>
      <c r="CH101" s="28" t="s">
        <v>174</v>
      </c>
      <c r="CI101" s="28" t="s">
        <v>138</v>
      </c>
      <c r="CJ101" s="28" t="s">
        <v>138</v>
      </c>
      <c r="CK101" s="28" t="s">
        <v>138</v>
      </c>
      <c r="CL101" s="28" t="s">
        <v>175</v>
      </c>
      <c r="CM101" s="34" t="s">
        <v>138</v>
      </c>
      <c r="CN101" s="29" t="s">
        <v>138</v>
      </c>
      <c r="CO101" s="35">
        <v>-1.44</v>
      </c>
      <c r="CP101" s="36">
        <v>8</v>
      </c>
      <c r="CQ101" s="35">
        <v>0</v>
      </c>
      <c r="CR101" s="35">
        <v>0</v>
      </c>
      <c r="CS101" s="35">
        <v>-4.21</v>
      </c>
      <c r="CT101" s="36">
        <v>3</v>
      </c>
      <c r="CU101" s="35" t="s">
        <v>138</v>
      </c>
      <c r="CV101" s="36" t="s">
        <v>138</v>
      </c>
      <c r="CW101" s="35">
        <v>-4.21</v>
      </c>
      <c r="CX101" s="36">
        <v>4</v>
      </c>
      <c r="CY101" s="35" t="s">
        <v>138</v>
      </c>
      <c r="CZ101" s="36" t="s">
        <v>138</v>
      </c>
      <c r="DA101" s="35" t="s">
        <v>138</v>
      </c>
      <c r="DB101" s="36" t="s">
        <v>138</v>
      </c>
      <c r="DC101" s="37">
        <v>8.0399999999999991</v>
      </c>
      <c r="DD101" s="36">
        <v>88</v>
      </c>
      <c r="DE101" s="37">
        <v>-1.01</v>
      </c>
      <c r="DF101" s="35">
        <v>-11.14</v>
      </c>
      <c r="DG101" s="37">
        <v>15.7</v>
      </c>
      <c r="DH101" s="36">
        <v>93</v>
      </c>
      <c r="DI101" s="37" t="s">
        <v>138</v>
      </c>
      <c r="DJ101" s="36" t="s">
        <v>138</v>
      </c>
      <c r="DK101" s="37">
        <v>15.7</v>
      </c>
      <c r="DL101" s="36">
        <v>90</v>
      </c>
      <c r="DM101" s="37" t="s">
        <v>138</v>
      </c>
      <c r="DN101" s="36" t="s">
        <v>138</v>
      </c>
      <c r="DO101" s="37" t="s">
        <v>138</v>
      </c>
      <c r="DP101" s="36" t="s">
        <v>138</v>
      </c>
      <c r="DQ101" s="36">
        <v>5276</v>
      </c>
      <c r="DR101" s="38">
        <v>326</v>
      </c>
      <c r="DS101" s="35">
        <v>6.59</v>
      </c>
      <c r="DT101" s="36" t="s">
        <v>138</v>
      </c>
      <c r="DU101" s="38" t="s">
        <v>138</v>
      </c>
      <c r="DV101" s="35" t="s">
        <v>138</v>
      </c>
      <c r="DW101" s="36" t="s">
        <v>138</v>
      </c>
      <c r="DX101" s="39" t="s">
        <v>138</v>
      </c>
      <c r="DY101" s="35" t="s">
        <v>138</v>
      </c>
      <c r="DZ101" s="28" t="s">
        <v>178</v>
      </c>
      <c r="EA101" s="34">
        <v>43572</v>
      </c>
      <c r="EB101" s="29" t="s">
        <v>138</v>
      </c>
      <c r="EC101" s="34" t="s">
        <v>138</v>
      </c>
      <c r="ED101" s="28" t="s">
        <v>138</v>
      </c>
      <c r="EE101" s="40" t="str">
        <f>HYPERLINK("https://my.pitchbook.com?c=184736-35", "View company online")</f>
        <v>View company online</v>
      </c>
    </row>
    <row r="102" spans="1:135">
      <c r="A102" s="15" t="s">
        <v>2444</v>
      </c>
      <c r="B102" s="15" t="s">
        <v>2445</v>
      </c>
      <c r="C102" s="15" t="s">
        <v>138</v>
      </c>
      <c r="D102" s="15" t="s">
        <v>138</v>
      </c>
      <c r="E102" s="15" t="s">
        <v>138</v>
      </c>
      <c r="F102" s="15" t="s">
        <v>2444</v>
      </c>
      <c r="G102" s="15" t="s">
        <v>2446</v>
      </c>
      <c r="H102" s="15" t="s">
        <v>238</v>
      </c>
      <c r="I102" s="15" t="s">
        <v>269</v>
      </c>
      <c r="J102" s="15" t="s">
        <v>296</v>
      </c>
      <c r="K102" s="15" t="s">
        <v>2187</v>
      </c>
      <c r="L102" s="15" t="s">
        <v>1284</v>
      </c>
      <c r="M102" s="15" t="s">
        <v>2447</v>
      </c>
      <c r="N102" s="15" t="s">
        <v>147</v>
      </c>
      <c r="O102" s="17">
        <v>5421.05</v>
      </c>
      <c r="P102" s="15" t="s">
        <v>148</v>
      </c>
      <c r="Q102" s="15" t="s">
        <v>149</v>
      </c>
      <c r="R102" s="15" t="s">
        <v>174</v>
      </c>
      <c r="S102" s="15" t="s">
        <v>2448</v>
      </c>
      <c r="T102" s="18" t="s">
        <v>138</v>
      </c>
      <c r="U102" s="15" t="s">
        <v>138</v>
      </c>
      <c r="V102" s="15" t="s">
        <v>138</v>
      </c>
      <c r="W102" s="15" t="s">
        <v>138</v>
      </c>
      <c r="X102" s="19">
        <v>2015</v>
      </c>
      <c r="Y102" s="15" t="s">
        <v>138</v>
      </c>
      <c r="Z102" s="15" t="s">
        <v>138</v>
      </c>
      <c r="AA102" s="15" t="s">
        <v>138</v>
      </c>
      <c r="AB102" s="20" t="s">
        <v>138</v>
      </c>
      <c r="AC102" s="20" t="s">
        <v>138</v>
      </c>
      <c r="AD102" s="20" t="s">
        <v>138</v>
      </c>
      <c r="AE102" s="20" t="s">
        <v>138</v>
      </c>
      <c r="AF102" s="20" t="s">
        <v>138</v>
      </c>
      <c r="AG102" s="15" t="s">
        <v>138</v>
      </c>
      <c r="AH102" s="20" t="s">
        <v>138</v>
      </c>
      <c r="AI102" s="20" t="s">
        <v>138</v>
      </c>
      <c r="AJ102" s="20" t="s">
        <v>138</v>
      </c>
      <c r="AK102" s="15" t="s">
        <v>2449</v>
      </c>
      <c r="AL102" s="15" t="s">
        <v>2450</v>
      </c>
      <c r="AM102" s="15" t="s">
        <v>2451</v>
      </c>
      <c r="AN102" s="15" t="s">
        <v>2452</v>
      </c>
      <c r="AO102" s="15" t="s">
        <v>2453</v>
      </c>
      <c r="AP102" s="15" t="s">
        <v>496</v>
      </c>
      <c r="AQ102" s="15" t="s">
        <v>2454</v>
      </c>
      <c r="AR102" s="15" t="s">
        <v>2455</v>
      </c>
      <c r="AS102" s="15" t="s">
        <v>499</v>
      </c>
      <c r="AT102" s="15" t="s">
        <v>138</v>
      </c>
      <c r="AU102" s="15" t="s">
        <v>138</v>
      </c>
      <c r="AV102" s="15" t="s">
        <v>450</v>
      </c>
      <c r="AW102" s="15" t="s">
        <v>2453</v>
      </c>
      <c r="AX102" s="15" t="s">
        <v>138</v>
      </c>
      <c r="AY102" s="15" t="s">
        <v>138</v>
      </c>
      <c r="AZ102" s="15" t="s">
        <v>452</v>
      </c>
      <c r="BA102" s="15" t="s">
        <v>453</v>
      </c>
      <c r="BB102" s="15" t="s">
        <v>2456</v>
      </c>
      <c r="BC102" s="15" t="s">
        <v>2457</v>
      </c>
      <c r="BD102" s="21">
        <v>13</v>
      </c>
      <c r="BE102" s="15" t="s">
        <v>138</v>
      </c>
      <c r="BF102" s="15" t="s">
        <v>138</v>
      </c>
      <c r="BG102" s="15" t="s">
        <v>138</v>
      </c>
      <c r="BH102" s="15" t="s">
        <v>2458</v>
      </c>
      <c r="BI102" s="15" t="s">
        <v>138</v>
      </c>
      <c r="BJ102" s="15" t="s">
        <v>138</v>
      </c>
      <c r="BK102" s="15" t="s">
        <v>138</v>
      </c>
      <c r="BL102" s="15" t="s">
        <v>2459</v>
      </c>
      <c r="BM102" s="22">
        <v>42590</v>
      </c>
      <c r="BN102" s="17">
        <v>1503.93</v>
      </c>
      <c r="BO102" s="15" t="s">
        <v>172</v>
      </c>
      <c r="BP102" s="17" t="s">
        <v>138</v>
      </c>
      <c r="BQ102" s="15" t="s">
        <v>138</v>
      </c>
      <c r="BR102" s="15" t="s">
        <v>262</v>
      </c>
      <c r="BS102" s="15" t="s">
        <v>206</v>
      </c>
      <c r="BT102" s="15" t="s">
        <v>138</v>
      </c>
      <c r="BU102" s="15" t="s">
        <v>263</v>
      </c>
      <c r="BV102" s="15" t="s">
        <v>138</v>
      </c>
      <c r="BW102" s="15" t="s">
        <v>138</v>
      </c>
      <c r="BX102" s="15" t="s">
        <v>138</v>
      </c>
      <c r="BY102" s="15" t="s">
        <v>175</v>
      </c>
      <c r="BZ102" s="22">
        <v>43532</v>
      </c>
      <c r="CA102" s="17">
        <v>437.74</v>
      </c>
      <c r="CB102" s="15" t="s">
        <v>172</v>
      </c>
      <c r="CC102" s="17" t="s">
        <v>138</v>
      </c>
      <c r="CD102" s="15" t="s">
        <v>138</v>
      </c>
      <c r="CE102" s="15" t="s">
        <v>173</v>
      </c>
      <c r="CF102" s="15" t="s">
        <v>317</v>
      </c>
      <c r="CG102" s="15" t="s">
        <v>138</v>
      </c>
      <c r="CH102" s="15" t="s">
        <v>174</v>
      </c>
      <c r="CI102" s="15" t="s">
        <v>138</v>
      </c>
      <c r="CJ102" s="15" t="s">
        <v>138</v>
      </c>
      <c r="CK102" s="15" t="s">
        <v>138</v>
      </c>
      <c r="CL102" s="15" t="s">
        <v>175</v>
      </c>
      <c r="CM102" s="22" t="s">
        <v>138</v>
      </c>
      <c r="CN102" s="17" t="s">
        <v>138</v>
      </c>
      <c r="CO102" s="23">
        <v>-2.35</v>
      </c>
      <c r="CP102" s="24">
        <v>4</v>
      </c>
      <c r="CQ102" s="23">
        <v>0.2</v>
      </c>
      <c r="CR102" s="23">
        <v>7.95</v>
      </c>
      <c r="CS102" s="23">
        <v>-2.35</v>
      </c>
      <c r="CT102" s="24">
        <v>7</v>
      </c>
      <c r="CU102" s="23" t="s">
        <v>138</v>
      </c>
      <c r="CV102" s="24" t="s">
        <v>138</v>
      </c>
      <c r="CW102" s="23">
        <v>-5.39</v>
      </c>
      <c r="CX102" s="24">
        <v>2</v>
      </c>
      <c r="CY102" s="23">
        <v>0.69</v>
      </c>
      <c r="CZ102" s="24">
        <v>99</v>
      </c>
      <c r="DA102" s="23" t="s">
        <v>138</v>
      </c>
      <c r="DB102" s="24" t="s">
        <v>138</v>
      </c>
      <c r="DC102" s="25">
        <v>6.78</v>
      </c>
      <c r="DD102" s="24">
        <v>86</v>
      </c>
      <c r="DE102" s="25">
        <v>-0.05</v>
      </c>
      <c r="DF102" s="23">
        <v>-0.78</v>
      </c>
      <c r="DG102" s="25">
        <v>6.78</v>
      </c>
      <c r="DH102" s="24">
        <v>86</v>
      </c>
      <c r="DI102" s="25" t="s">
        <v>138</v>
      </c>
      <c r="DJ102" s="24" t="s">
        <v>138</v>
      </c>
      <c r="DK102" s="25">
        <v>3.52</v>
      </c>
      <c r="DL102" s="24">
        <v>74</v>
      </c>
      <c r="DM102" s="25">
        <v>10.029999999999999</v>
      </c>
      <c r="DN102" s="24">
        <v>89</v>
      </c>
      <c r="DO102" s="25" t="s">
        <v>138</v>
      </c>
      <c r="DP102" s="24" t="s">
        <v>138</v>
      </c>
      <c r="DQ102" s="24">
        <v>1282</v>
      </c>
      <c r="DR102" s="26">
        <v>-227</v>
      </c>
      <c r="DS102" s="23">
        <v>-15.04</v>
      </c>
      <c r="DT102" s="24">
        <v>286</v>
      </c>
      <c r="DU102" s="26">
        <v>8</v>
      </c>
      <c r="DV102" s="23">
        <v>2.88</v>
      </c>
      <c r="DW102" s="24" t="s">
        <v>138</v>
      </c>
      <c r="DX102" s="27" t="s">
        <v>138</v>
      </c>
      <c r="DY102" s="23" t="s">
        <v>138</v>
      </c>
      <c r="DZ102" s="15" t="s">
        <v>178</v>
      </c>
      <c r="EA102" s="22">
        <v>43594</v>
      </c>
      <c r="EB102" s="17" t="s">
        <v>138</v>
      </c>
      <c r="EC102" s="22" t="s">
        <v>138</v>
      </c>
      <c r="ED102" s="15" t="s">
        <v>138</v>
      </c>
      <c r="EE102" s="14" t="str">
        <f>HYPERLINK("https://my.pitchbook.com?c=164363-59", "View company online")</f>
        <v>View company online</v>
      </c>
    </row>
    <row r="103" spans="1:135">
      <c r="A103" s="28" t="s">
        <v>2460</v>
      </c>
      <c r="B103" s="28" t="s">
        <v>2461</v>
      </c>
      <c r="C103" s="28" t="s">
        <v>138</v>
      </c>
      <c r="D103" s="28" t="s">
        <v>138</v>
      </c>
      <c r="E103" s="28" t="s">
        <v>2462</v>
      </c>
      <c r="F103" s="28" t="s">
        <v>2460</v>
      </c>
      <c r="G103" s="28" t="s">
        <v>2463</v>
      </c>
      <c r="H103" s="28" t="s">
        <v>322</v>
      </c>
      <c r="I103" s="28" t="s">
        <v>323</v>
      </c>
      <c r="J103" s="28" t="s">
        <v>324</v>
      </c>
      <c r="K103" s="28" t="s">
        <v>2464</v>
      </c>
      <c r="L103" s="28" t="s">
        <v>2465</v>
      </c>
      <c r="M103" s="28" t="s">
        <v>2466</v>
      </c>
      <c r="N103" s="28" t="s">
        <v>147</v>
      </c>
      <c r="O103" s="29">
        <v>6.01</v>
      </c>
      <c r="P103" s="28" t="s">
        <v>148</v>
      </c>
      <c r="Q103" s="28" t="s">
        <v>149</v>
      </c>
      <c r="R103" s="28" t="s">
        <v>174</v>
      </c>
      <c r="S103" s="28" t="s">
        <v>2467</v>
      </c>
      <c r="T103" s="30">
        <v>20</v>
      </c>
      <c r="U103" s="28" t="s">
        <v>2468</v>
      </c>
      <c r="V103" s="28" t="s">
        <v>138</v>
      </c>
      <c r="W103" s="28" t="s">
        <v>138</v>
      </c>
      <c r="X103" s="31">
        <v>2013</v>
      </c>
      <c r="Y103" s="28" t="s">
        <v>138</v>
      </c>
      <c r="Z103" s="28" t="s">
        <v>138</v>
      </c>
      <c r="AA103" s="28" t="s">
        <v>138</v>
      </c>
      <c r="AB103" s="32" t="s">
        <v>138</v>
      </c>
      <c r="AC103" s="32" t="s">
        <v>138</v>
      </c>
      <c r="AD103" s="32" t="s">
        <v>138</v>
      </c>
      <c r="AE103" s="32" t="s">
        <v>138</v>
      </c>
      <c r="AF103" s="32" t="s">
        <v>138</v>
      </c>
      <c r="AG103" s="28" t="s">
        <v>138</v>
      </c>
      <c r="AH103" s="32" t="s">
        <v>138</v>
      </c>
      <c r="AI103" s="32" t="s">
        <v>138</v>
      </c>
      <c r="AJ103" s="32" t="s">
        <v>138</v>
      </c>
      <c r="AK103" s="28" t="s">
        <v>2469</v>
      </c>
      <c r="AL103" s="28" t="s">
        <v>2470</v>
      </c>
      <c r="AM103" s="28" t="s">
        <v>2471</v>
      </c>
      <c r="AN103" s="28" t="s">
        <v>2472</v>
      </c>
      <c r="AO103" s="28" t="s">
        <v>2473</v>
      </c>
      <c r="AP103" s="28" t="s">
        <v>423</v>
      </c>
      <c r="AQ103" s="28" t="s">
        <v>2474</v>
      </c>
      <c r="AR103" s="28" t="s">
        <v>138</v>
      </c>
      <c r="AS103" s="28" t="s">
        <v>426</v>
      </c>
      <c r="AT103" s="28" t="s">
        <v>426</v>
      </c>
      <c r="AU103" s="28" t="s">
        <v>2475</v>
      </c>
      <c r="AV103" s="28" t="s">
        <v>162</v>
      </c>
      <c r="AW103" s="28" t="s">
        <v>2473</v>
      </c>
      <c r="AX103" s="28" t="s">
        <v>138</v>
      </c>
      <c r="AY103" s="28" t="s">
        <v>2476</v>
      </c>
      <c r="AZ103" s="28" t="s">
        <v>164</v>
      </c>
      <c r="BA103" s="28" t="s">
        <v>165</v>
      </c>
      <c r="BB103" s="28" t="s">
        <v>2477</v>
      </c>
      <c r="BC103" s="28" t="s">
        <v>2478</v>
      </c>
      <c r="BD103" s="33">
        <v>17</v>
      </c>
      <c r="BE103" s="28" t="s">
        <v>138</v>
      </c>
      <c r="BF103" s="28" t="s">
        <v>138</v>
      </c>
      <c r="BG103" s="28" t="s">
        <v>138</v>
      </c>
      <c r="BH103" s="28" t="s">
        <v>2479</v>
      </c>
      <c r="BI103" s="28" t="s">
        <v>138</v>
      </c>
      <c r="BJ103" s="28" t="s">
        <v>138</v>
      </c>
      <c r="BK103" s="28" t="s">
        <v>1038</v>
      </c>
      <c r="BL103" s="28" t="s">
        <v>1038</v>
      </c>
      <c r="BM103" s="34">
        <v>41275</v>
      </c>
      <c r="BN103" s="29">
        <v>0.11</v>
      </c>
      <c r="BO103" s="28" t="s">
        <v>172</v>
      </c>
      <c r="BP103" s="29" t="s">
        <v>138</v>
      </c>
      <c r="BQ103" s="28" t="s">
        <v>138</v>
      </c>
      <c r="BR103" s="28" t="s">
        <v>316</v>
      </c>
      <c r="BS103" s="28" t="s">
        <v>138</v>
      </c>
      <c r="BT103" s="28" t="s">
        <v>138</v>
      </c>
      <c r="BU103" s="28" t="s">
        <v>174</v>
      </c>
      <c r="BV103" s="28" t="s">
        <v>138</v>
      </c>
      <c r="BW103" s="28" t="s">
        <v>138</v>
      </c>
      <c r="BX103" s="28" t="s">
        <v>138</v>
      </c>
      <c r="BY103" s="28" t="s">
        <v>175</v>
      </c>
      <c r="BZ103" s="34">
        <v>42826</v>
      </c>
      <c r="CA103" s="29">
        <v>5</v>
      </c>
      <c r="CB103" s="28" t="s">
        <v>172</v>
      </c>
      <c r="CC103" s="29">
        <v>19</v>
      </c>
      <c r="CD103" s="28" t="s">
        <v>1178</v>
      </c>
      <c r="CE103" s="28" t="s">
        <v>205</v>
      </c>
      <c r="CF103" s="28" t="s">
        <v>206</v>
      </c>
      <c r="CG103" s="28" t="s">
        <v>138</v>
      </c>
      <c r="CH103" s="28" t="s">
        <v>174</v>
      </c>
      <c r="CI103" s="28" t="s">
        <v>138</v>
      </c>
      <c r="CJ103" s="28" t="s">
        <v>138</v>
      </c>
      <c r="CK103" s="28" t="s">
        <v>138</v>
      </c>
      <c r="CL103" s="28" t="s">
        <v>175</v>
      </c>
      <c r="CM103" s="34" t="s">
        <v>138</v>
      </c>
      <c r="CN103" s="29" t="s">
        <v>138</v>
      </c>
      <c r="CO103" s="35">
        <v>-0.16</v>
      </c>
      <c r="CP103" s="36">
        <v>20</v>
      </c>
      <c r="CQ103" s="35">
        <v>-0.13</v>
      </c>
      <c r="CR103" s="35">
        <v>-330.19</v>
      </c>
      <c r="CS103" s="35">
        <v>-0.28999999999999998</v>
      </c>
      <c r="CT103" s="36">
        <v>21</v>
      </c>
      <c r="CU103" s="35">
        <v>-0.03</v>
      </c>
      <c r="CV103" s="36">
        <v>14</v>
      </c>
      <c r="CW103" s="35">
        <v>0</v>
      </c>
      <c r="CX103" s="36">
        <v>13</v>
      </c>
      <c r="CY103" s="35">
        <v>-0.59</v>
      </c>
      <c r="CZ103" s="36">
        <v>22</v>
      </c>
      <c r="DA103" s="35">
        <v>-0.04</v>
      </c>
      <c r="DB103" s="36">
        <v>15</v>
      </c>
      <c r="DC103" s="37">
        <v>5.0599999999999996</v>
      </c>
      <c r="DD103" s="36">
        <v>83</v>
      </c>
      <c r="DE103" s="37">
        <v>-0.05</v>
      </c>
      <c r="DF103" s="35">
        <v>-0.91</v>
      </c>
      <c r="DG103" s="37">
        <v>3.93</v>
      </c>
      <c r="DH103" s="36">
        <v>79</v>
      </c>
      <c r="DI103" s="37">
        <v>6.19</v>
      </c>
      <c r="DJ103" s="36">
        <v>80</v>
      </c>
      <c r="DK103" s="37">
        <v>1.86</v>
      </c>
      <c r="DL103" s="36">
        <v>63</v>
      </c>
      <c r="DM103" s="37">
        <v>6</v>
      </c>
      <c r="DN103" s="36">
        <v>84</v>
      </c>
      <c r="DO103" s="37">
        <v>10.19</v>
      </c>
      <c r="DP103" s="36">
        <v>87</v>
      </c>
      <c r="DQ103" s="36">
        <v>632</v>
      </c>
      <c r="DR103" s="38">
        <v>14</v>
      </c>
      <c r="DS103" s="35">
        <v>2.27</v>
      </c>
      <c r="DT103" s="36">
        <v>174</v>
      </c>
      <c r="DU103" s="38">
        <v>0</v>
      </c>
      <c r="DV103" s="35">
        <v>0</v>
      </c>
      <c r="DW103" s="36">
        <v>3647</v>
      </c>
      <c r="DX103" s="39">
        <v>-1</v>
      </c>
      <c r="DY103" s="35">
        <v>-0.03</v>
      </c>
      <c r="DZ103" s="28" t="s">
        <v>178</v>
      </c>
      <c r="EA103" s="34">
        <v>43578</v>
      </c>
      <c r="EB103" s="29">
        <v>19</v>
      </c>
      <c r="EC103" s="34">
        <v>42826</v>
      </c>
      <c r="ED103" s="28" t="s">
        <v>205</v>
      </c>
      <c r="EE103" s="40" t="str">
        <f>HYPERLINK("https://my.pitchbook.com?c=97840-99", "View company online")</f>
        <v>View company online</v>
      </c>
    </row>
    <row r="104" spans="1:135">
      <c r="A104" s="15" t="s">
        <v>2480</v>
      </c>
      <c r="B104" s="15" t="s">
        <v>2481</v>
      </c>
      <c r="C104" s="15" t="s">
        <v>138</v>
      </c>
      <c r="D104" s="15" t="s">
        <v>138</v>
      </c>
      <c r="E104" s="15" t="s">
        <v>138</v>
      </c>
      <c r="F104" s="15" t="s">
        <v>2480</v>
      </c>
      <c r="G104" s="15" t="s">
        <v>2482</v>
      </c>
      <c r="H104" s="15" t="s">
        <v>141</v>
      </c>
      <c r="I104" s="15" t="s">
        <v>212</v>
      </c>
      <c r="J104" s="15" t="s">
        <v>2483</v>
      </c>
      <c r="K104" s="15" t="s">
        <v>2484</v>
      </c>
      <c r="L104" s="15" t="s">
        <v>2485</v>
      </c>
      <c r="M104" s="15" t="s">
        <v>2486</v>
      </c>
      <c r="N104" s="15" t="s">
        <v>2487</v>
      </c>
      <c r="O104" s="17">
        <v>3.62</v>
      </c>
      <c r="P104" s="15" t="s">
        <v>148</v>
      </c>
      <c r="Q104" s="15" t="s">
        <v>149</v>
      </c>
      <c r="R104" s="15" t="s">
        <v>244</v>
      </c>
      <c r="S104" s="15" t="s">
        <v>2488</v>
      </c>
      <c r="T104" s="18">
        <v>54</v>
      </c>
      <c r="U104" s="15" t="s">
        <v>2489</v>
      </c>
      <c r="V104" s="15" t="s">
        <v>138</v>
      </c>
      <c r="W104" s="15" t="s">
        <v>138</v>
      </c>
      <c r="X104" s="19">
        <v>1999</v>
      </c>
      <c r="Y104" s="15" t="s">
        <v>138</v>
      </c>
      <c r="Z104" s="15" t="s">
        <v>138</v>
      </c>
      <c r="AA104" s="15" t="s">
        <v>138</v>
      </c>
      <c r="AB104" s="20">
        <v>18.52</v>
      </c>
      <c r="AC104" s="20" t="s">
        <v>138</v>
      </c>
      <c r="AD104" s="20" t="s">
        <v>138</v>
      </c>
      <c r="AE104" s="20" t="s">
        <v>138</v>
      </c>
      <c r="AF104" s="20" t="s">
        <v>138</v>
      </c>
      <c r="AG104" s="15" t="s">
        <v>563</v>
      </c>
      <c r="AH104" s="20" t="s">
        <v>138</v>
      </c>
      <c r="AI104" s="20" t="s">
        <v>138</v>
      </c>
      <c r="AJ104" s="20" t="s">
        <v>138</v>
      </c>
      <c r="AK104" s="15" t="s">
        <v>138</v>
      </c>
      <c r="AL104" s="15" t="s">
        <v>138</v>
      </c>
      <c r="AM104" s="15" t="s">
        <v>138</v>
      </c>
      <c r="AN104" s="15" t="s">
        <v>138</v>
      </c>
      <c r="AO104" s="15" t="s">
        <v>138</v>
      </c>
      <c r="AP104" s="15" t="s">
        <v>2490</v>
      </c>
      <c r="AQ104" s="15" t="s">
        <v>2491</v>
      </c>
      <c r="AR104" s="15" t="s">
        <v>2492</v>
      </c>
      <c r="AS104" s="15" t="s">
        <v>2493</v>
      </c>
      <c r="AT104" s="15" t="s">
        <v>371</v>
      </c>
      <c r="AU104" s="15" t="s">
        <v>2494</v>
      </c>
      <c r="AV104" s="15" t="s">
        <v>162</v>
      </c>
      <c r="AW104" s="15" t="s">
        <v>2495</v>
      </c>
      <c r="AX104" s="15" t="s">
        <v>138</v>
      </c>
      <c r="AY104" s="15" t="s">
        <v>2496</v>
      </c>
      <c r="AZ104" s="15" t="s">
        <v>164</v>
      </c>
      <c r="BA104" s="15" t="s">
        <v>165</v>
      </c>
      <c r="BB104" s="15" t="s">
        <v>2497</v>
      </c>
      <c r="BC104" s="15" t="s">
        <v>2498</v>
      </c>
      <c r="BD104" s="21">
        <v>5</v>
      </c>
      <c r="BE104" s="15" t="s">
        <v>138</v>
      </c>
      <c r="BF104" s="15" t="s">
        <v>2499</v>
      </c>
      <c r="BG104" s="15" t="s">
        <v>138</v>
      </c>
      <c r="BH104" s="15" t="s">
        <v>2500</v>
      </c>
      <c r="BI104" s="15" t="s">
        <v>2501</v>
      </c>
      <c r="BJ104" s="15" t="s">
        <v>138</v>
      </c>
      <c r="BK104" s="15" t="s">
        <v>138</v>
      </c>
      <c r="BL104" s="15" t="s">
        <v>2502</v>
      </c>
      <c r="BM104" s="22">
        <v>36892</v>
      </c>
      <c r="BN104" s="17">
        <v>0.1</v>
      </c>
      <c r="BO104" s="15" t="s">
        <v>172</v>
      </c>
      <c r="BP104" s="17" t="s">
        <v>138</v>
      </c>
      <c r="BQ104" s="15" t="s">
        <v>138</v>
      </c>
      <c r="BR104" s="15" t="s">
        <v>176</v>
      </c>
      <c r="BS104" s="15" t="s">
        <v>138</v>
      </c>
      <c r="BT104" s="15" t="s">
        <v>138</v>
      </c>
      <c r="BU104" s="15" t="s">
        <v>177</v>
      </c>
      <c r="BV104" s="15" t="s">
        <v>138</v>
      </c>
      <c r="BW104" s="15" t="s">
        <v>138</v>
      </c>
      <c r="BX104" s="15" t="s">
        <v>138</v>
      </c>
      <c r="BY104" s="15" t="s">
        <v>175</v>
      </c>
      <c r="BZ104" s="22">
        <v>42453</v>
      </c>
      <c r="CA104" s="17">
        <v>3.18</v>
      </c>
      <c r="CB104" s="15" t="s">
        <v>172</v>
      </c>
      <c r="CC104" s="17" t="s">
        <v>138</v>
      </c>
      <c r="CD104" s="15" t="s">
        <v>138</v>
      </c>
      <c r="CE104" s="15" t="s">
        <v>1326</v>
      </c>
      <c r="CF104" s="15" t="s">
        <v>138</v>
      </c>
      <c r="CG104" s="15" t="s">
        <v>138</v>
      </c>
      <c r="CH104" s="15" t="s">
        <v>1327</v>
      </c>
      <c r="CI104" s="15" t="s">
        <v>1328</v>
      </c>
      <c r="CJ104" s="15" t="s">
        <v>138</v>
      </c>
      <c r="CK104" s="15" t="s">
        <v>138</v>
      </c>
      <c r="CL104" s="15" t="s">
        <v>175</v>
      </c>
      <c r="CM104" s="22">
        <v>42453</v>
      </c>
      <c r="CN104" s="17">
        <v>3.18</v>
      </c>
      <c r="CO104" s="23">
        <v>-1.05</v>
      </c>
      <c r="CP104" s="24">
        <v>11</v>
      </c>
      <c r="CQ104" s="23">
        <v>0.14000000000000001</v>
      </c>
      <c r="CR104" s="23">
        <v>11.63</v>
      </c>
      <c r="CS104" s="23">
        <v>-2.11</v>
      </c>
      <c r="CT104" s="24">
        <v>8</v>
      </c>
      <c r="CU104" s="23">
        <v>0</v>
      </c>
      <c r="CV104" s="24">
        <v>22</v>
      </c>
      <c r="CW104" s="23" t="s">
        <v>138</v>
      </c>
      <c r="CX104" s="24" t="s">
        <v>138</v>
      </c>
      <c r="CY104" s="23">
        <v>-2.11</v>
      </c>
      <c r="CZ104" s="24">
        <v>11</v>
      </c>
      <c r="DA104" s="23">
        <v>0</v>
      </c>
      <c r="DB104" s="24">
        <v>22</v>
      </c>
      <c r="DC104" s="25">
        <v>1.99</v>
      </c>
      <c r="DD104" s="24">
        <v>67</v>
      </c>
      <c r="DE104" s="25">
        <v>-0.02</v>
      </c>
      <c r="DF104" s="23">
        <v>-0.84</v>
      </c>
      <c r="DG104" s="25">
        <v>3.83</v>
      </c>
      <c r="DH104" s="24">
        <v>78</v>
      </c>
      <c r="DI104" s="25">
        <v>0.15</v>
      </c>
      <c r="DJ104" s="24">
        <v>19</v>
      </c>
      <c r="DK104" s="25" t="s">
        <v>138</v>
      </c>
      <c r="DL104" s="24" t="s">
        <v>138</v>
      </c>
      <c r="DM104" s="25">
        <v>3.83</v>
      </c>
      <c r="DN104" s="24">
        <v>77</v>
      </c>
      <c r="DO104" s="25">
        <v>0.15</v>
      </c>
      <c r="DP104" s="24">
        <v>21</v>
      </c>
      <c r="DQ104" s="24" t="s">
        <v>138</v>
      </c>
      <c r="DR104" s="26" t="s">
        <v>138</v>
      </c>
      <c r="DS104" s="23" t="s">
        <v>138</v>
      </c>
      <c r="DT104" s="24">
        <v>111</v>
      </c>
      <c r="DU104" s="26">
        <v>0</v>
      </c>
      <c r="DV104" s="23">
        <v>0</v>
      </c>
      <c r="DW104" s="24">
        <v>53</v>
      </c>
      <c r="DX104" s="27">
        <v>0</v>
      </c>
      <c r="DY104" s="23">
        <v>0</v>
      </c>
      <c r="DZ104" s="15" t="s">
        <v>178</v>
      </c>
      <c r="EA104" s="22">
        <v>43395</v>
      </c>
      <c r="EB104" s="17" t="s">
        <v>138</v>
      </c>
      <c r="EC104" s="22" t="s">
        <v>138</v>
      </c>
      <c r="ED104" s="15" t="s">
        <v>138</v>
      </c>
      <c r="EE104" s="14" t="str">
        <f>HYPERLINK("https://my.pitchbook.com?c=107409-61", "View company online")</f>
        <v>View company online</v>
      </c>
    </row>
    <row r="105" spans="1:135">
      <c r="A105" s="28" t="s">
        <v>2503</v>
      </c>
      <c r="B105" s="28" t="s">
        <v>2504</v>
      </c>
      <c r="C105" s="28" t="s">
        <v>2505</v>
      </c>
      <c r="D105" s="28" t="s">
        <v>138</v>
      </c>
      <c r="E105" s="28" t="s">
        <v>2506</v>
      </c>
      <c r="F105" s="28" t="s">
        <v>2503</v>
      </c>
      <c r="G105" s="28" t="s">
        <v>2507</v>
      </c>
      <c r="H105" s="28" t="s">
        <v>183</v>
      </c>
      <c r="I105" s="28" t="s">
        <v>725</v>
      </c>
      <c r="J105" s="28" t="s">
        <v>2508</v>
      </c>
      <c r="K105" s="28" t="s">
        <v>2509</v>
      </c>
      <c r="L105" s="28" t="s">
        <v>2510</v>
      </c>
      <c r="M105" s="28" t="s">
        <v>2511</v>
      </c>
      <c r="N105" s="28" t="s">
        <v>147</v>
      </c>
      <c r="O105" s="29">
        <v>49.5</v>
      </c>
      <c r="P105" s="28" t="s">
        <v>148</v>
      </c>
      <c r="Q105" s="28" t="s">
        <v>149</v>
      </c>
      <c r="R105" s="28" t="s">
        <v>244</v>
      </c>
      <c r="S105" s="28" t="s">
        <v>2512</v>
      </c>
      <c r="T105" s="30">
        <v>25</v>
      </c>
      <c r="U105" s="28" t="s">
        <v>2513</v>
      </c>
      <c r="V105" s="28" t="s">
        <v>138</v>
      </c>
      <c r="W105" s="28" t="s">
        <v>138</v>
      </c>
      <c r="X105" s="31">
        <v>2005</v>
      </c>
      <c r="Y105" s="28" t="s">
        <v>138</v>
      </c>
      <c r="Z105" s="28" t="s">
        <v>138</v>
      </c>
      <c r="AA105" s="28" t="s">
        <v>1163</v>
      </c>
      <c r="AB105" s="32">
        <v>20</v>
      </c>
      <c r="AC105" s="32" t="s">
        <v>138</v>
      </c>
      <c r="AD105" s="32" t="s">
        <v>138</v>
      </c>
      <c r="AE105" s="32" t="s">
        <v>138</v>
      </c>
      <c r="AF105" s="32" t="s">
        <v>138</v>
      </c>
      <c r="AG105" s="28" t="s">
        <v>633</v>
      </c>
      <c r="AH105" s="32" t="s">
        <v>138</v>
      </c>
      <c r="AI105" s="32" t="s">
        <v>138</v>
      </c>
      <c r="AJ105" s="32" t="s">
        <v>138</v>
      </c>
      <c r="AK105" s="28" t="s">
        <v>2514</v>
      </c>
      <c r="AL105" s="28" t="s">
        <v>2515</v>
      </c>
      <c r="AM105" s="28" t="s">
        <v>249</v>
      </c>
      <c r="AN105" s="28" t="s">
        <v>2516</v>
      </c>
      <c r="AO105" s="28" t="s">
        <v>2517</v>
      </c>
      <c r="AP105" s="28" t="s">
        <v>2518</v>
      </c>
      <c r="AQ105" s="28" t="s">
        <v>2519</v>
      </c>
      <c r="AR105" s="28" t="s">
        <v>1936</v>
      </c>
      <c r="AS105" s="28" t="s">
        <v>2520</v>
      </c>
      <c r="AT105" s="28" t="s">
        <v>597</v>
      </c>
      <c r="AU105" s="28" t="s">
        <v>2521</v>
      </c>
      <c r="AV105" s="28" t="s">
        <v>162</v>
      </c>
      <c r="AW105" s="28" t="s">
        <v>2517</v>
      </c>
      <c r="AX105" s="28" t="s">
        <v>138</v>
      </c>
      <c r="AY105" s="28" t="s">
        <v>2522</v>
      </c>
      <c r="AZ105" s="28" t="s">
        <v>164</v>
      </c>
      <c r="BA105" s="28" t="s">
        <v>165</v>
      </c>
      <c r="BB105" s="28" t="s">
        <v>2523</v>
      </c>
      <c r="BC105" s="28" t="s">
        <v>2524</v>
      </c>
      <c r="BD105" s="33">
        <v>12</v>
      </c>
      <c r="BE105" s="28" t="s">
        <v>138</v>
      </c>
      <c r="BF105" s="28" t="s">
        <v>138</v>
      </c>
      <c r="BG105" s="28" t="s">
        <v>138</v>
      </c>
      <c r="BH105" s="28" t="s">
        <v>2525</v>
      </c>
      <c r="BI105" s="28" t="s">
        <v>138</v>
      </c>
      <c r="BJ105" s="28" t="s">
        <v>138</v>
      </c>
      <c r="BK105" s="28" t="s">
        <v>2526</v>
      </c>
      <c r="BL105" s="28" t="s">
        <v>2527</v>
      </c>
      <c r="BM105" s="34">
        <v>39600</v>
      </c>
      <c r="BN105" s="29" t="s">
        <v>138</v>
      </c>
      <c r="BO105" s="28" t="s">
        <v>138</v>
      </c>
      <c r="BP105" s="29" t="s">
        <v>138</v>
      </c>
      <c r="BQ105" s="28" t="s">
        <v>138</v>
      </c>
      <c r="BR105" s="28" t="s">
        <v>316</v>
      </c>
      <c r="BS105" s="28" t="s">
        <v>138</v>
      </c>
      <c r="BT105" s="28" t="s">
        <v>138</v>
      </c>
      <c r="BU105" s="28" t="s">
        <v>177</v>
      </c>
      <c r="BV105" s="28" t="s">
        <v>138</v>
      </c>
      <c r="BW105" s="28" t="s">
        <v>138</v>
      </c>
      <c r="BX105" s="28" t="s">
        <v>138</v>
      </c>
      <c r="BY105" s="28" t="s">
        <v>175</v>
      </c>
      <c r="BZ105" s="34">
        <v>42892</v>
      </c>
      <c r="CA105" s="29" t="s">
        <v>138</v>
      </c>
      <c r="CB105" s="28" t="s">
        <v>138</v>
      </c>
      <c r="CC105" s="29" t="s">
        <v>138</v>
      </c>
      <c r="CD105" s="28" t="s">
        <v>138</v>
      </c>
      <c r="CE105" s="28" t="s">
        <v>1326</v>
      </c>
      <c r="CF105" s="28" t="s">
        <v>138</v>
      </c>
      <c r="CG105" s="28" t="s">
        <v>138</v>
      </c>
      <c r="CH105" s="28" t="s">
        <v>1327</v>
      </c>
      <c r="CI105" s="28" t="s">
        <v>2528</v>
      </c>
      <c r="CJ105" s="28" t="s">
        <v>138</v>
      </c>
      <c r="CK105" s="28" t="s">
        <v>138</v>
      </c>
      <c r="CL105" s="28" t="s">
        <v>175</v>
      </c>
      <c r="CM105" s="34">
        <v>42892</v>
      </c>
      <c r="CN105" s="29" t="s">
        <v>138</v>
      </c>
      <c r="CO105" s="35">
        <v>-1.04</v>
      </c>
      <c r="CP105" s="36">
        <v>11</v>
      </c>
      <c r="CQ105" s="35">
        <v>0</v>
      </c>
      <c r="CR105" s="35">
        <v>0.41</v>
      </c>
      <c r="CS105" s="35">
        <v>-2.31</v>
      </c>
      <c r="CT105" s="36">
        <v>7</v>
      </c>
      <c r="CU105" s="35">
        <v>0.22</v>
      </c>
      <c r="CV105" s="36">
        <v>82</v>
      </c>
      <c r="CW105" s="35">
        <v>-0.03</v>
      </c>
      <c r="CX105" s="36">
        <v>13</v>
      </c>
      <c r="CY105" s="35">
        <v>-4.58</v>
      </c>
      <c r="CZ105" s="36">
        <v>4</v>
      </c>
      <c r="DA105" s="35">
        <v>0.22</v>
      </c>
      <c r="DB105" s="36">
        <v>84</v>
      </c>
      <c r="DC105" s="37">
        <v>8.6300000000000008</v>
      </c>
      <c r="DD105" s="36">
        <v>89</v>
      </c>
      <c r="DE105" s="37">
        <v>-0.06</v>
      </c>
      <c r="DF105" s="35">
        <v>-0.71</v>
      </c>
      <c r="DG105" s="37">
        <v>14.76</v>
      </c>
      <c r="DH105" s="36">
        <v>93</v>
      </c>
      <c r="DI105" s="37">
        <v>2.5</v>
      </c>
      <c r="DJ105" s="36">
        <v>66</v>
      </c>
      <c r="DK105" s="37">
        <v>1.96</v>
      </c>
      <c r="DL105" s="36">
        <v>64</v>
      </c>
      <c r="DM105" s="37">
        <v>27.55</v>
      </c>
      <c r="DN105" s="36">
        <v>96</v>
      </c>
      <c r="DO105" s="37">
        <v>4.87</v>
      </c>
      <c r="DP105" s="36">
        <v>79</v>
      </c>
      <c r="DQ105" s="36">
        <v>651</v>
      </c>
      <c r="DR105" s="38">
        <v>63</v>
      </c>
      <c r="DS105" s="35">
        <v>10.71</v>
      </c>
      <c r="DT105" s="36">
        <v>799</v>
      </c>
      <c r="DU105" s="38">
        <v>2</v>
      </c>
      <c r="DV105" s="35">
        <v>0.25</v>
      </c>
      <c r="DW105" s="36">
        <v>1743</v>
      </c>
      <c r="DX105" s="39">
        <v>7</v>
      </c>
      <c r="DY105" s="35">
        <v>0.4</v>
      </c>
      <c r="DZ105" s="28" t="s">
        <v>178</v>
      </c>
      <c r="EA105" s="34">
        <v>43622</v>
      </c>
      <c r="EB105" s="29">
        <v>53.2</v>
      </c>
      <c r="EC105" s="34">
        <v>42430</v>
      </c>
      <c r="ED105" s="28" t="s">
        <v>173</v>
      </c>
      <c r="EE105" s="40" t="str">
        <f>HYPERLINK("https://my.pitchbook.com?c=55027-18", "View company online")</f>
        <v>View company online</v>
      </c>
    </row>
    <row r="106" spans="1:135">
      <c r="A106" s="15" t="s">
        <v>2529</v>
      </c>
      <c r="B106" s="15" t="s">
        <v>2530</v>
      </c>
      <c r="C106" s="15" t="s">
        <v>138</v>
      </c>
      <c r="D106" s="15" t="s">
        <v>2531</v>
      </c>
      <c r="E106" s="15" t="s">
        <v>2532</v>
      </c>
      <c r="F106" s="15" t="s">
        <v>2529</v>
      </c>
      <c r="G106" s="15" t="s">
        <v>2533</v>
      </c>
      <c r="H106" s="15" t="s">
        <v>322</v>
      </c>
      <c r="I106" s="15" t="s">
        <v>807</v>
      </c>
      <c r="J106" s="15" t="s">
        <v>2534</v>
      </c>
      <c r="K106" s="15" t="s">
        <v>2535</v>
      </c>
      <c r="L106" s="15" t="s">
        <v>415</v>
      </c>
      <c r="M106" s="15" t="s">
        <v>2536</v>
      </c>
      <c r="N106" s="15" t="s">
        <v>147</v>
      </c>
      <c r="O106" s="17">
        <v>64.25</v>
      </c>
      <c r="P106" s="15" t="s">
        <v>148</v>
      </c>
      <c r="Q106" s="15" t="s">
        <v>149</v>
      </c>
      <c r="R106" s="15" t="s">
        <v>174</v>
      </c>
      <c r="S106" s="15" t="s">
        <v>2537</v>
      </c>
      <c r="T106" s="18">
        <v>100</v>
      </c>
      <c r="U106" s="15" t="s">
        <v>2538</v>
      </c>
      <c r="V106" s="15" t="s">
        <v>138</v>
      </c>
      <c r="W106" s="15" t="s">
        <v>138</v>
      </c>
      <c r="X106" s="19">
        <v>2013</v>
      </c>
      <c r="Y106" s="15" t="s">
        <v>138</v>
      </c>
      <c r="Z106" s="15" t="s">
        <v>138</v>
      </c>
      <c r="AA106" s="15" t="s">
        <v>1163</v>
      </c>
      <c r="AB106" s="20" t="s">
        <v>138</v>
      </c>
      <c r="AC106" s="20" t="s">
        <v>138</v>
      </c>
      <c r="AD106" s="20" t="s">
        <v>138</v>
      </c>
      <c r="AE106" s="20" t="s">
        <v>138</v>
      </c>
      <c r="AF106" s="20" t="s">
        <v>138</v>
      </c>
      <c r="AG106" s="15" t="s">
        <v>138</v>
      </c>
      <c r="AH106" s="20" t="s">
        <v>138</v>
      </c>
      <c r="AI106" s="20" t="s">
        <v>138</v>
      </c>
      <c r="AJ106" s="20" t="s">
        <v>138</v>
      </c>
      <c r="AK106" s="15" t="s">
        <v>2539</v>
      </c>
      <c r="AL106" s="15" t="s">
        <v>2540</v>
      </c>
      <c r="AM106" s="15" t="s">
        <v>304</v>
      </c>
      <c r="AN106" s="15" t="s">
        <v>2541</v>
      </c>
      <c r="AO106" s="15" t="s">
        <v>2542</v>
      </c>
      <c r="AP106" s="15" t="s">
        <v>1220</v>
      </c>
      <c r="AQ106" s="15" t="s">
        <v>2543</v>
      </c>
      <c r="AR106" s="15" t="s">
        <v>2544</v>
      </c>
      <c r="AS106" s="15" t="s">
        <v>1223</v>
      </c>
      <c r="AT106" s="15" t="s">
        <v>200</v>
      </c>
      <c r="AU106" s="15" t="s">
        <v>1484</v>
      </c>
      <c r="AV106" s="15" t="s">
        <v>162</v>
      </c>
      <c r="AW106" s="15" t="s">
        <v>2542</v>
      </c>
      <c r="AX106" s="15" t="s">
        <v>138</v>
      </c>
      <c r="AY106" s="15" t="s">
        <v>2545</v>
      </c>
      <c r="AZ106" s="15" t="s">
        <v>164</v>
      </c>
      <c r="BA106" s="15" t="s">
        <v>165</v>
      </c>
      <c r="BB106" s="15" t="s">
        <v>2546</v>
      </c>
      <c r="BC106" s="15" t="s">
        <v>2547</v>
      </c>
      <c r="BD106" s="21">
        <v>10</v>
      </c>
      <c r="BE106" s="15" t="s">
        <v>138</v>
      </c>
      <c r="BF106" s="15" t="s">
        <v>138</v>
      </c>
      <c r="BG106" s="15" t="s">
        <v>138</v>
      </c>
      <c r="BH106" s="15" t="s">
        <v>2548</v>
      </c>
      <c r="BI106" s="15" t="s">
        <v>138</v>
      </c>
      <c r="BJ106" s="15" t="s">
        <v>138</v>
      </c>
      <c r="BK106" s="15" t="s">
        <v>2549</v>
      </c>
      <c r="BL106" s="15" t="s">
        <v>2550</v>
      </c>
      <c r="BM106" s="22">
        <v>41640</v>
      </c>
      <c r="BN106" s="17">
        <v>10</v>
      </c>
      <c r="BO106" s="15" t="s">
        <v>172</v>
      </c>
      <c r="BP106" s="17" t="s">
        <v>138</v>
      </c>
      <c r="BQ106" s="15" t="s">
        <v>138</v>
      </c>
      <c r="BR106" s="15" t="s">
        <v>205</v>
      </c>
      <c r="BS106" s="15" t="s">
        <v>206</v>
      </c>
      <c r="BT106" s="15" t="s">
        <v>138</v>
      </c>
      <c r="BU106" s="15" t="s">
        <v>174</v>
      </c>
      <c r="BV106" s="15" t="s">
        <v>138</v>
      </c>
      <c r="BW106" s="15" t="s">
        <v>138</v>
      </c>
      <c r="BX106" s="15" t="s">
        <v>138</v>
      </c>
      <c r="BY106" s="15" t="s">
        <v>175</v>
      </c>
      <c r="BZ106" s="22">
        <v>43496</v>
      </c>
      <c r="CA106" s="17">
        <v>32</v>
      </c>
      <c r="CB106" s="15" t="s">
        <v>172</v>
      </c>
      <c r="CC106" s="17" t="s">
        <v>138</v>
      </c>
      <c r="CD106" s="15" t="s">
        <v>138</v>
      </c>
      <c r="CE106" s="15" t="s">
        <v>173</v>
      </c>
      <c r="CF106" s="15" t="s">
        <v>317</v>
      </c>
      <c r="CG106" s="15" t="s">
        <v>138</v>
      </c>
      <c r="CH106" s="15" t="s">
        <v>174</v>
      </c>
      <c r="CI106" s="15" t="s">
        <v>138</v>
      </c>
      <c r="CJ106" s="15" t="s">
        <v>138</v>
      </c>
      <c r="CK106" s="15" t="s">
        <v>138</v>
      </c>
      <c r="CL106" s="15" t="s">
        <v>175</v>
      </c>
      <c r="CM106" s="22" t="s">
        <v>138</v>
      </c>
      <c r="CN106" s="17" t="s">
        <v>138</v>
      </c>
      <c r="CO106" s="23">
        <v>1.81</v>
      </c>
      <c r="CP106" s="24">
        <v>99</v>
      </c>
      <c r="CQ106" s="23">
        <v>-0.05</v>
      </c>
      <c r="CR106" s="23">
        <v>-2.9</v>
      </c>
      <c r="CS106" s="23">
        <v>2.37</v>
      </c>
      <c r="CT106" s="24">
        <v>99</v>
      </c>
      <c r="CU106" s="23">
        <v>1.24</v>
      </c>
      <c r="CV106" s="24">
        <v>99</v>
      </c>
      <c r="CW106" s="23">
        <v>2.19</v>
      </c>
      <c r="CX106" s="24">
        <v>89</v>
      </c>
      <c r="CY106" s="23">
        <v>2.56</v>
      </c>
      <c r="CZ106" s="24">
        <v>100</v>
      </c>
      <c r="DA106" s="23">
        <v>1.24</v>
      </c>
      <c r="DB106" s="24">
        <v>99</v>
      </c>
      <c r="DC106" s="25">
        <v>4.74</v>
      </c>
      <c r="DD106" s="24">
        <v>82</v>
      </c>
      <c r="DE106" s="25">
        <v>-0.09</v>
      </c>
      <c r="DF106" s="23">
        <v>-1.88</v>
      </c>
      <c r="DG106" s="25">
        <v>6.81</v>
      </c>
      <c r="DH106" s="24">
        <v>86</v>
      </c>
      <c r="DI106" s="25">
        <v>2.67</v>
      </c>
      <c r="DJ106" s="24">
        <v>68</v>
      </c>
      <c r="DK106" s="25">
        <v>3.59</v>
      </c>
      <c r="DL106" s="24">
        <v>74</v>
      </c>
      <c r="DM106" s="25">
        <v>10.029999999999999</v>
      </c>
      <c r="DN106" s="24">
        <v>89</v>
      </c>
      <c r="DO106" s="25">
        <v>2.67</v>
      </c>
      <c r="DP106" s="24">
        <v>69</v>
      </c>
      <c r="DQ106" s="24">
        <v>1195</v>
      </c>
      <c r="DR106" s="26">
        <v>112</v>
      </c>
      <c r="DS106" s="23">
        <v>10.34</v>
      </c>
      <c r="DT106" s="24">
        <v>290</v>
      </c>
      <c r="DU106" s="26">
        <v>1</v>
      </c>
      <c r="DV106" s="23">
        <v>0.35</v>
      </c>
      <c r="DW106" s="24">
        <v>956</v>
      </c>
      <c r="DX106" s="27">
        <v>10</v>
      </c>
      <c r="DY106" s="23">
        <v>1.06</v>
      </c>
      <c r="DZ106" s="15" t="s">
        <v>178</v>
      </c>
      <c r="EA106" s="22">
        <v>43615</v>
      </c>
      <c r="EB106" s="17" t="s">
        <v>138</v>
      </c>
      <c r="EC106" s="22" t="s">
        <v>138</v>
      </c>
      <c r="ED106" s="15" t="s">
        <v>138</v>
      </c>
      <c r="EE106" s="14" t="str">
        <f>HYPERLINK("https://my.pitchbook.com?c=160815-16", "View company online")</f>
        <v>View company online</v>
      </c>
    </row>
    <row r="107" spans="1:135">
      <c r="A107" s="28" t="s">
        <v>2551</v>
      </c>
      <c r="B107" s="28" t="s">
        <v>2552</v>
      </c>
      <c r="C107" s="28" t="s">
        <v>2553</v>
      </c>
      <c r="D107" s="28" t="s">
        <v>138</v>
      </c>
      <c r="E107" s="28" t="s">
        <v>2554</v>
      </c>
      <c r="F107" s="28" t="s">
        <v>2551</v>
      </c>
      <c r="G107" s="28" t="s">
        <v>2555</v>
      </c>
      <c r="H107" s="28" t="s">
        <v>322</v>
      </c>
      <c r="I107" s="28" t="s">
        <v>323</v>
      </c>
      <c r="J107" s="28" t="s">
        <v>1132</v>
      </c>
      <c r="K107" s="28" t="s">
        <v>2556</v>
      </c>
      <c r="L107" s="28" t="s">
        <v>2557</v>
      </c>
      <c r="M107" s="28" t="s">
        <v>2558</v>
      </c>
      <c r="N107" s="28" t="s">
        <v>147</v>
      </c>
      <c r="O107" s="29">
        <v>164.37</v>
      </c>
      <c r="P107" s="28" t="s">
        <v>148</v>
      </c>
      <c r="Q107" s="28" t="s">
        <v>149</v>
      </c>
      <c r="R107" s="28" t="s">
        <v>244</v>
      </c>
      <c r="S107" s="28" t="s">
        <v>2559</v>
      </c>
      <c r="T107" s="30">
        <v>100</v>
      </c>
      <c r="U107" s="28" t="s">
        <v>2560</v>
      </c>
      <c r="V107" s="28" t="s">
        <v>138</v>
      </c>
      <c r="W107" s="28" t="s">
        <v>138</v>
      </c>
      <c r="X107" s="31">
        <v>2014</v>
      </c>
      <c r="Y107" s="28" t="s">
        <v>138</v>
      </c>
      <c r="Z107" s="28" t="s">
        <v>138</v>
      </c>
      <c r="AA107" s="28" t="s">
        <v>138</v>
      </c>
      <c r="AB107" s="32">
        <v>40</v>
      </c>
      <c r="AC107" s="32" t="s">
        <v>138</v>
      </c>
      <c r="AD107" s="32" t="s">
        <v>138</v>
      </c>
      <c r="AE107" s="32" t="s">
        <v>138</v>
      </c>
      <c r="AF107" s="32" t="s">
        <v>138</v>
      </c>
      <c r="AG107" s="28" t="s">
        <v>815</v>
      </c>
      <c r="AH107" s="32" t="s">
        <v>138</v>
      </c>
      <c r="AI107" s="32" t="s">
        <v>138</v>
      </c>
      <c r="AJ107" s="32" t="s">
        <v>138</v>
      </c>
      <c r="AK107" s="28" t="s">
        <v>2561</v>
      </c>
      <c r="AL107" s="28" t="s">
        <v>2562</v>
      </c>
      <c r="AM107" s="28" t="s">
        <v>2563</v>
      </c>
      <c r="AN107" s="28" t="s">
        <v>2564</v>
      </c>
      <c r="AO107" s="28" t="s">
        <v>2565</v>
      </c>
      <c r="AP107" s="28" t="s">
        <v>941</v>
      </c>
      <c r="AQ107" s="28" t="s">
        <v>2566</v>
      </c>
      <c r="AR107" s="28" t="s">
        <v>138</v>
      </c>
      <c r="AS107" s="28" t="s">
        <v>944</v>
      </c>
      <c r="AT107" s="28" t="s">
        <v>138</v>
      </c>
      <c r="AU107" s="28" t="s">
        <v>2567</v>
      </c>
      <c r="AV107" s="28" t="s">
        <v>946</v>
      </c>
      <c r="AW107" s="28" t="s">
        <v>2568</v>
      </c>
      <c r="AX107" s="28" t="s">
        <v>138</v>
      </c>
      <c r="AY107" s="28" t="s">
        <v>2569</v>
      </c>
      <c r="AZ107" s="28" t="s">
        <v>530</v>
      </c>
      <c r="BA107" s="28" t="s">
        <v>531</v>
      </c>
      <c r="BB107" s="28" t="s">
        <v>2570</v>
      </c>
      <c r="BC107" s="28" t="s">
        <v>2571</v>
      </c>
      <c r="BD107" s="33">
        <v>16</v>
      </c>
      <c r="BE107" s="28" t="s">
        <v>138</v>
      </c>
      <c r="BF107" s="28" t="s">
        <v>138</v>
      </c>
      <c r="BG107" s="28" t="s">
        <v>138</v>
      </c>
      <c r="BH107" s="28" t="s">
        <v>2572</v>
      </c>
      <c r="BI107" s="28" t="s">
        <v>138</v>
      </c>
      <c r="BJ107" s="28" t="s">
        <v>138</v>
      </c>
      <c r="BK107" s="28" t="s">
        <v>138</v>
      </c>
      <c r="BL107" s="28" t="s">
        <v>2573</v>
      </c>
      <c r="BM107" s="34">
        <v>41962</v>
      </c>
      <c r="BN107" s="29" t="s">
        <v>138</v>
      </c>
      <c r="BO107" s="28" t="s">
        <v>138</v>
      </c>
      <c r="BP107" s="29" t="s">
        <v>138</v>
      </c>
      <c r="BQ107" s="28" t="s">
        <v>138</v>
      </c>
      <c r="BR107" s="28" t="s">
        <v>234</v>
      </c>
      <c r="BS107" s="28" t="s">
        <v>234</v>
      </c>
      <c r="BT107" s="28" t="s">
        <v>138</v>
      </c>
      <c r="BU107" s="28" t="s">
        <v>177</v>
      </c>
      <c r="BV107" s="28" t="s">
        <v>138</v>
      </c>
      <c r="BW107" s="28" t="s">
        <v>138</v>
      </c>
      <c r="BX107" s="28" t="s">
        <v>138</v>
      </c>
      <c r="BY107" s="28" t="s">
        <v>175</v>
      </c>
      <c r="BZ107" s="34">
        <v>43529</v>
      </c>
      <c r="CA107" s="29">
        <v>125</v>
      </c>
      <c r="CB107" s="28" t="s">
        <v>172</v>
      </c>
      <c r="CC107" s="29" t="s">
        <v>138</v>
      </c>
      <c r="CD107" s="28" t="s">
        <v>138</v>
      </c>
      <c r="CE107" s="28" t="s">
        <v>205</v>
      </c>
      <c r="CF107" s="28" t="s">
        <v>720</v>
      </c>
      <c r="CG107" s="28" t="s">
        <v>138</v>
      </c>
      <c r="CH107" s="28" t="s">
        <v>174</v>
      </c>
      <c r="CI107" s="28" t="s">
        <v>138</v>
      </c>
      <c r="CJ107" s="28" t="s">
        <v>138</v>
      </c>
      <c r="CK107" s="28" t="s">
        <v>138</v>
      </c>
      <c r="CL107" s="28" t="s">
        <v>175</v>
      </c>
      <c r="CM107" s="34">
        <v>43048</v>
      </c>
      <c r="CN107" s="29">
        <v>5.87</v>
      </c>
      <c r="CO107" s="35">
        <v>1.07</v>
      </c>
      <c r="CP107" s="36">
        <v>97</v>
      </c>
      <c r="CQ107" s="35">
        <v>0.03</v>
      </c>
      <c r="CR107" s="35">
        <v>2.86</v>
      </c>
      <c r="CS107" s="35" t="s">
        <v>138</v>
      </c>
      <c r="CT107" s="36" t="s">
        <v>138</v>
      </c>
      <c r="CU107" s="35">
        <v>1.07</v>
      </c>
      <c r="CV107" s="36">
        <v>98</v>
      </c>
      <c r="CW107" s="35" t="s">
        <v>138</v>
      </c>
      <c r="CX107" s="36" t="s">
        <v>138</v>
      </c>
      <c r="CY107" s="35" t="s">
        <v>138</v>
      </c>
      <c r="CZ107" s="36" t="s">
        <v>138</v>
      </c>
      <c r="DA107" s="35">
        <v>1.07</v>
      </c>
      <c r="DB107" s="36">
        <v>98</v>
      </c>
      <c r="DC107" s="37">
        <v>4.25</v>
      </c>
      <c r="DD107" s="36">
        <v>80</v>
      </c>
      <c r="DE107" s="37">
        <v>7.0000000000000007E-2</v>
      </c>
      <c r="DF107" s="35">
        <v>1.69</v>
      </c>
      <c r="DG107" s="37" t="s">
        <v>138</v>
      </c>
      <c r="DH107" s="36" t="s">
        <v>138</v>
      </c>
      <c r="DI107" s="37">
        <v>4.25</v>
      </c>
      <c r="DJ107" s="36">
        <v>75</v>
      </c>
      <c r="DK107" s="37" t="s">
        <v>138</v>
      </c>
      <c r="DL107" s="36" t="s">
        <v>138</v>
      </c>
      <c r="DM107" s="37" t="s">
        <v>138</v>
      </c>
      <c r="DN107" s="36" t="s">
        <v>138</v>
      </c>
      <c r="DO107" s="37">
        <v>4.25</v>
      </c>
      <c r="DP107" s="36">
        <v>77</v>
      </c>
      <c r="DQ107" s="36" t="s">
        <v>138</v>
      </c>
      <c r="DR107" s="38" t="s">
        <v>138</v>
      </c>
      <c r="DS107" s="35" t="s">
        <v>138</v>
      </c>
      <c r="DT107" s="36" t="s">
        <v>138</v>
      </c>
      <c r="DU107" s="38" t="s">
        <v>138</v>
      </c>
      <c r="DV107" s="35" t="s">
        <v>138</v>
      </c>
      <c r="DW107" s="36">
        <v>1513</v>
      </c>
      <c r="DX107" s="39">
        <v>9</v>
      </c>
      <c r="DY107" s="35">
        <v>0.6</v>
      </c>
      <c r="DZ107" s="28" t="s">
        <v>178</v>
      </c>
      <c r="EA107" s="34">
        <v>43559</v>
      </c>
      <c r="EB107" s="29" t="s">
        <v>138</v>
      </c>
      <c r="EC107" s="34" t="s">
        <v>138</v>
      </c>
      <c r="ED107" s="28" t="s">
        <v>138</v>
      </c>
      <c r="EE107" s="40" t="str">
        <f>HYPERLINK("https://my.pitchbook.com?c=151291-54", "View company online")</f>
        <v>View company online</v>
      </c>
    </row>
    <row r="108" spans="1:135">
      <c r="A108" s="15" t="s">
        <v>2574</v>
      </c>
      <c r="B108" s="15" t="s">
        <v>2575</v>
      </c>
      <c r="C108" s="15" t="s">
        <v>138</v>
      </c>
      <c r="D108" s="15" t="s">
        <v>138</v>
      </c>
      <c r="E108" s="15" t="s">
        <v>2576</v>
      </c>
      <c r="F108" s="15" t="s">
        <v>2574</v>
      </c>
      <c r="G108" s="15" t="s">
        <v>2577</v>
      </c>
      <c r="H108" s="15" t="s">
        <v>238</v>
      </c>
      <c r="I108" s="15" t="s">
        <v>239</v>
      </c>
      <c r="J108" s="15" t="s">
        <v>2578</v>
      </c>
      <c r="K108" s="15" t="s">
        <v>2579</v>
      </c>
      <c r="L108" s="15" t="s">
        <v>326</v>
      </c>
      <c r="M108" s="15" t="s">
        <v>2580</v>
      </c>
      <c r="N108" s="15" t="s">
        <v>147</v>
      </c>
      <c r="O108" s="17" t="s">
        <v>138</v>
      </c>
      <c r="P108" s="15" t="s">
        <v>610</v>
      </c>
      <c r="Q108" s="15" t="s">
        <v>149</v>
      </c>
      <c r="R108" s="15" t="s">
        <v>174</v>
      </c>
      <c r="S108" s="15" t="s">
        <v>2581</v>
      </c>
      <c r="T108" s="18" t="s">
        <v>138</v>
      </c>
      <c r="U108" s="15" t="s">
        <v>138</v>
      </c>
      <c r="V108" s="15" t="s">
        <v>138</v>
      </c>
      <c r="W108" s="15" t="s">
        <v>138</v>
      </c>
      <c r="X108" s="19">
        <v>2005</v>
      </c>
      <c r="Y108" s="15" t="s">
        <v>138</v>
      </c>
      <c r="Z108" s="15" t="s">
        <v>138</v>
      </c>
      <c r="AA108" s="15" t="s">
        <v>138</v>
      </c>
      <c r="AB108" s="20" t="s">
        <v>138</v>
      </c>
      <c r="AC108" s="20" t="s">
        <v>138</v>
      </c>
      <c r="AD108" s="20" t="s">
        <v>138</v>
      </c>
      <c r="AE108" s="20" t="s">
        <v>138</v>
      </c>
      <c r="AF108" s="20" t="s">
        <v>138</v>
      </c>
      <c r="AG108" s="15" t="s">
        <v>138</v>
      </c>
      <c r="AH108" s="20" t="s">
        <v>138</v>
      </c>
      <c r="AI108" s="20" t="s">
        <v>138</v>
      </c>
      <c r="AJ108" s="20" t="s">
        <v>138</v>
      </c>
      <c r="AK108" s="15" t="s">
        <v>2582</v>
      </c>
      <c r="AL108" s="15" t="s">
        <v>2583</v>
      </c>
      <c r="AM108" s="15" t="s">
        <v>2584</v>
      </c>
      <c r="AN108" s="15" t="s">
        <v>2585</v>
      </c>
      <c r="AO108" s="15" t="s">
        <v>138</v>
      </c>
      <c r="AP108" s="15" t="s">
        <v>1195</v>
      </c>
      <c r="AQ108" s="15" t="s">
        <v>2586</v>
      </c>
      <c r="AR108" s="15" t="s">
        <v>2587</v>
      </c>
      <c r="AS108" s="15" t="s">
        <v>1198</v>
      </c>
      <c r="AT108" s="15" t="s">
        <v>138</v>
      </c>
      <c r="AU108" s="15" t="s">
        <v>2588</v>
      </c>
      <c r="AV108" s="15" t="s">
        <v>1200</v>
      </c>
      <c r="AW108" s="15" t="s">
        <v>138</v>
      </c>
      <c r="AX108" s="15" t="s">
        <v>138</v>
      </c>
      <c r="AY108" s="15" t="s">
        <v>2589</v>
      </c>
      <c r="AZ108" s="15" t="s">
        <v>452</v>
      </c>
      <c r="BA108" s="15" t="s">
        <v>453</v>
      </c>
      <c r="BB108" s="15" t="s">
        <v>2590</v>
      </c>
      <c r="BC108" s="15" t="s">
        <v>2591</v>
      </c>
      <c r="BD108" s="21">
        <v>3</v>
      </c>
      <c r="BE108" s="15" t="s">
        <v>138</v>
      </c>
      <c r="BF108" s="15" t="s">
        <v>138</v>
      </c>
      <c r="BG108" s="15" t="s">
        <v>138</v>
      </c>
      <c r="BH108" s="15" t="s">
        <v>2592</v>
      </c>
      <c r="BI108" s="15" t="s">
        <v>138</v>
      </c>
      <c r="BJ108" s="15" t="s">
        <v>138</v>
      </c>
      <c r="BK108" s="15" t="s">
        <v>138</v>
      </c>
      <c r="BL108" s="15" t="s">
        <v>138</v>
      </c>
      <c r="BM108" s="22">
        <v>38718</v>
      </c>
      <c r="BN108" s="17" t="s">
        <v>138</v>
      </c>
      <c r="BO108" s="15" t="s">
        <v>138</v>
      </c>
      <c r="BP108" s="17" t="s">
        <v>138</v>
      </c>
      <c r="BQ108" s="15" t="s">
        <v>138</v>
      </c>
      <c r="BR108" s="15" t="s">
        <v>234</v>
      </c>
      <c r="BS108" s="15" t="s">
        <v>234</v>
      </c>
      <c r="BT108" s="15" t="s">
        <v>138</v>
      </c>
      <c r="BU108" s="15" t="s">
        <v>174</v>
      </c>
      <c r="BV108" s="15" t="s">
        <v>138</v>
      </c>
      <c r="BW108" s="15" t="s">
        <v>138</v>
      </c>
      <c r="BX108" s="15" t="s">
        <v>138</v>
      </c>
      <c r="BY108" s="15" t="s">
        <v>175</v>
      </c>
      <c r="BZ108" s="22">
        <v>38718</v>
      </c>
      <c r="CA108" s="17" t="s">
        <v>138</v>
      </c>
      <c r="CB108" s="15" t="s">
        <v>138</v>
      </c>
      <c r="CC108" s="17" t="s">
        <v>138</v>
      </c>
      <c r="CD108" s="15" t="s">
        <v>138</v>
      </c>
      <c r="CE108" s="15" t="s">
        <v>234</v>
      </c>
      <c r="CF108" s="15" t="s">
        <v>234</v>
      </c>
      <c r="CG108" s="15" t="s">
        <v>138</v>
      </c>
      <c r="CH108" s="15" t="s">
        <v>174</v>
      </c>
      <c r="CI108" s="15" t="s">
        <v>138</v>
      </c>
      <c r="CJ108" s="15" t="s">
        <v>138</v>
      </c>
      <c r="CK108" s="15" t="s">
        <v>138</v>
      </c>
      <c r="CL108" s="15" t="s">
        <v>175</v>
      </c>
      <c r="CM108" s="22" t="s">
        <v>138</v>
      </c>
      <c r="CN108" s="17" t="s">
        <v>138</v>
      </c>
      <c r="CO108" s="23">
        <v>-1.27</v>
      </c>
      <c r="CP108" s="24">
        <v>9</v>
      </c>
      <c r="CQ108" s="23">
        <v>0.49</v>
      </c>
      <c r="CR108" s="23">
        <v>27.92</v>
      </c>
      <c r="CS108" s="23">
        <v>-2.5099999999999998</v>
      </c>
      <c r="CT108" s="24">
        <v>7</v>
      </c>
      <c r="CU108" s="23">
        <v>-0.03</v>
      </c>
      <c r="CV108" s="24">
        <v>14</v>
      </c>
      <c r="CW108" s="23" t="s">
        <v>138</v>
      </c>
      <c r="CX108" s="24" t="s">
        <v>138</v>
      </c>
      <c r="CY108" s="23">
        <v>-2.5099999999999998</v>
      </c>
      <c r="CZ108" s="24">
        <v>9</v>
      </c>
      <c r="DA108" s="23">
        <v>-0.04</v>
      </c>
      <c r="DB108" s="24">
        <v>15</v>
      </c>
      <c r="DC108" s="25">
        <v>4.57</v>
      </c>
      <c r="DD108" s="24">
        <v>81</v>
      </c>
      <c r="DE108" s="25">
        <v>0.02</v>
      </c>
      <c r="DF108" s="23">
        <v>0.46</v>
      </c>
      <c r="DG108" s="25">
        <v>7.17</v>
      </c>
      <c r="DH108" s="24">
        <v>86</v>
      </c>
      <c r="DI108" s="25">
        <v>1.96</v>
      </c>
      <c r="DJ108" s="24">
        <v>62</v>
      </c>
      <c r="DK108" s="25" t="s">
        <v>138</v>
      </c>
      <c r="DL108" s="24" t="s">
        <v>138</v>
      </c>
      <c r="DM108" s="25">
        <v>7.17</v>
      </c>
      <c r="DN108" s="24">
        <v>86</v>
      </c>
      <c r="DO108" s="25">
        <v>2.79</v>
      </c>
      <c r="DP108" s="24">
        <v>70</v>
      </c>
      <c r="DQ108" s="24">
        <v>71</v>
      </c>
      <c r="DR108" s="26">
        <v>2</v>
      </c>
      <c r="DS108" s="23">
        <v>2.9</v>
      </c>
      <c r="DT108" s="24">
        <v>207</v>
      </c>
      <c r="DU108" s="26">
        <v>0</v>
      </c>
      <c r="DV108" s="23">
        <v>0</v>
      </c>
      <c r="DW108" s="24">
        <v>998</v>
      </c>
      <c r="DX108" s="27">
        <v>-2</v>
      </c>
      <c r="DY108" s="23">
        <v>-0.2</v>
      </c>
      <c r="DZ108" s="15" t="s">
        <v>178</v>
      </c>
      <c r="EA108" s="22">
        <v>43606</v>
      </c>
      <c r="EB108" s="17" t="s">
        <v>138</v>
      </c>
      <c r="EC108" s="22" t="s">
        <v>138</v>
      </c>
      <c r="ED108" s="15" t="s">
        <v>138</v>
      </c>
      <c r="EE108" s="14" t="str">
        <f>HYPERLINK("https://my.pitchbook.com?c=102680-65", "View company online")</f>
        <v>View company online</v>
      </c>
    </row>
    <row r="109" spans="1:135">
      <c r="A109" s="28" t="s">
        <v>2593</v>
      </c>
      <c r="B109" s="28" t="s">
        <v>2594</v>
      </c>
      <c r="C109" s="28" t="s">
        <v>2595</v>
      </c>
      <c r="D109" s="28" t="s">
        <v>138</v>
      </c>
      <c r="E109" s="28" t="s">
        <v>2596</v>
      </c>
      <c r="F109" s="28" t="s">
        <v>2593</v>
      </c>
      <c r="G109" s="28" t="s">
        <v>2597</v>
      </c>
      <c r="H109" s="28" t="s">
        <v>322</v>
      </c>
      <c r="I109" s="28" t="s">
        <v>323</v>
      </c>
      <c r="J109" s="28" t="s">
        <v>954</v>
      </c>
      <c r="K109" s="28" t="s">
        <v>2598</v>
      </c>
      <c r="L109" s="28" t="s">
        <v>2599</v>
      </c>
      <c r="M109" s="28" t="s">
        <v>2600</v>
      </c>
      <c r="N109" s="28" t="s">
        <v>147</v>
      </c>
      <c r="O109" s="29">
        <v>27.6</v>
      </c>
      <c r="P109" s="28" t="s">
        <v>148</v>
      </c>
      <c r="Q109" s="28" t="s">
        <v>149</v>
      </c>
      <c r="R109" s="28" t="s">
        <v>174</v>
      </c>
      <c r="S109" s="28" t="s">
        <v>2601</v>
      </c>
      <c r="T109" s="30">
        <v>220</v>
      </c>
      <c r="U109" s="28" t="s">
        <v>2602</v>
      </c>
      <c r="V109" s="28" t="s">
        <v>138</v>
      </c>
      <c r="W109" s="28" t="s">
        <v>138</v>
      </c>
      <c r="X109" s="31">
        <v>2014</v>
      </c>
      <c r="Y109" s="28" t="s">
        <v>138</v>
      </c>
      <c r="Z109" s="28" t="s">
        <v>138</v>
      </c>
      <c r="AA109" s="28" t="s">
        <v>138</v>
      </c>
      <c r="AB109" s="32" t="s">
        <v>138</v>
      </c>
      <c r="AC109" s="32" t="s">
        <v>138</v>
      </c>
      <c r="AD109" s="32" t="s">
        <v>138</v>
      </c>
      <c r="AE109" s="32" t="s">
        <v>138</v>
      </c>
      <c r="AF109" s="32" t="s">
        <v>138</v>
      </c>
      <c r="AG109" s="28" t="s">
        <v>138</v>
      </c>
      <c r="AH109" s="32" t="s">
        <v>138</v>
      </c>
      <c r="AI109" s="32" t="s">
        <v>138</v>
      </c>
      <c r="AJ109" s="32" t="s">
        <v>138</v>
      </c>
      <c r="AK109" s="28" t="s">
        <v>2603</v>
      </c>
      <c r="AL109" s="28" t="s">
        <v>2604</v>
      </c>
      <c r="AM109" s="28" t="s">
        <v>2605</v>
      </c>
      <c r="AN109" s="28" t="s">
        <v>2606</v>
      </c>
      <c r="AO109" s="28" t="s">
        <v>2607</v>
      </c>
      <c r="AP109" s="28" t="s">
        <v>423</v>
      </c>
      <c r="AQ109" s="28" t="s">
        <v>2608</v>
      </c>
      <c r="AR109" s="28" t="s">
        <v>2609</v>
      </c>
      <c r="AS109" s="28" t="s">
        <v>426</v>
      </c>
      <c r="AT109" s="28" t="s">
        <v>426</v>
      </c>
      <c r="AU109" s="28" t="s">
        <v>2610</v>
      </c>
      <c r="AV109" s="28" t="s">
        <v>162</v>
      </c>
      <c r="AW109" s="28" t="s">
        <v>2607</v>
      </c>
      <c r="AX109" s="28" t="s">
        <v>138</v>
      </c>
      <c r="AY109" s="28" t="s">
        <v>2611</v>
      </c>
      <c r="AZ109" s="28" t="s">
        <v>164</v>
      </c>
      <c r="BA109" s="28" t="s">
        <v>165</v>
      </c>
      <c r="BB109" s="28" t="s">
        <v>2612</v>
      </c>
      <c r="BC109" s="28" t="s">
        <v>2613</v>
      </c>
      <c r="BD109" s="33">
        <v>21</v>
      </c>
      <c r="BE109" s="28" t="s">
        <v>138</v>
      </c>
      <c r="BF109" s="28" t="s">
        <v>138</v>
      </c>
      <c r="BG109" s="28" t="s">
        <v>138</v>
      </c>
      <c r="BH109" s="28" t="s">
        <v>2614</v>
      </c>
      <c r="BI109" s="28" t="s">
        <v>138</v>
      </c>
      <c r="BJ109" s="28" t="s">
        <v>138</v>
      </c>
      <c r="BK109" s="28" t="s">
        <v>2615</v>
      </c>
      <c r="BL109" s="28" t="s">
        <v>1251</v>
      </c>
      <c r="BM109" s="34">
        <v>41900</v>
      </c>
      <c r="BN109" s="29">
        <v>0.97</v>
      </c>
      <c r="BO109" s="28" t="s">
        <v>172</v>
      </c>
      <c r="BP109" s="29">
        <v>5.1100000000000003</v>
      </c>
      <c r="BQ109" s="28" t="s">
        <v>172</v>
      </c>
      <c r="BR109" s="28" t="s">
        <v>234</v>
      </c>
      <c r="BS109" s="28" t="s">
        <v>623</v>
      </c>
      <c r="BT109" s="28" t="s">
        <v>138</v>
      </c>
      <c r="BU109" s="28" t="s">
        <v>174</v>
      </c>
      <c r="BV109" s="28" t="s">
        <v>138</v>
      </c>
      <c r="BW109" s="28" t="s">
        <v>138</v>
      </c>
      <c r="BX109" s="28" t="s">
        <v>138</v>
      </c>
      <c r="BY109" s="28" t="s">
        <v>175</v>
      </c>
      <c r="BZ109" s="34">
        <v>42817</v>
      </c>
      <c r="CA109" s="29">
        <v>18.5</v>
      </c>
      <c r="CB109" s="28" t="s">
        <v>172</v>
      </c>
      <c r="CC109" s="29">
        <v>55.5</v>
      </c>
      <c r="CD109" s="28" t="s">
        <v>1178</v>
      </c>
      <c r="CE109" s="28" t="s">
        <v>205</v>
      </c>
      <c r="CF109" s="28" t="s">
        <v>720</v>
      </c>
      <c r="CG109" s="28" t="s">
        <v>138</v>
      </c>
      <c r="CH109" s="28" t="s">
        <v>174</v>
      </c>
      <c r="CI109" s="28" t="s">
        <v>138</v>
      </c>
      <c r="CJ109" s="28" t="s">
        <v>138</v>
      </c>
      <c r="CK109" s="28" t="s">
        <v>138</v>
      </c>
      <c r="CL109" s="28" t="s">
        <v>175</v>
      </c>
      <c r="CM109" s="34" t="s">
        <v>138</v>
      </c>
      <c r="CN109" s="29" t="s">
        <v>138</v>
      </c>
      <c r="CO109" s="35">
        <v>0.65</v>
      </c>
      <c r="CP109" s="36">
        <v>96</v>
      </c>
      <c r="CQ109" s="35">
        <v>0.01</v>
      </c>
      <c r="CR109" s="35">
        <v>1.4</v>
      </c>
      <c r="CS109" s="35">
        <v>1.67</v>
      </c>
      <c r="CT109" s="36">
        <v>98</v>
      </c>
      <c r="CU109" s="35">
        <v>0.01</v>
      </c>
      <c r="CV109" s="36">
        <v>49</v>
      </c>
      <c r="CW109" s="35">
        <v>1.67</v>
      </c>
      <c r="CX109" s="36">
        <v>87</v>
      </c>
      <c r="CY109" s="35" t="s">
        <v>138</v>
      </c>
      <c r="CZ109" s="36" t="s">
        <v>138</v>
      </c>
      <c r="DA109" s="35">
        <v>0.03</v>
      </c>
      <c r="DB109" s="36">
        <v>60</v>
      </c>
      <c r="DC109" s="37">
        <v>428.81</v>
      </c>
      <c r="DD109" s="36">
        <v>100</v>
      </c>
      <c r="DE109" s="37">
        <v>-52.42</v>
      </c>
      <c r="DF109" s="35">
        <v>-10.89</v>
      </c>
      <c r="DG109" s="37">
        <v>1228.49</v>
      </c>
      <c r="DH109" s="36">
        <v>100</v>
      </c>
      <c r="DI109" s="37">
        <v>50.43</v>
      </c>
      <c r="DJ109" s="36">
        <v>95</v>
      </c>
      <c r="DK109" s="37">
        <v>1228.49</v>
      </c>
      <c r="DL109" s="36">
        <v>100</v>
      </c>
      <c r="DM109" s="37" t="s">
        <v>138</v>
      </c>
      <c r="DN109" s="36" t="s">
        <v>138</v>
      </c>
      <c r="DO109" s="37">
        <v>19.579999999999998</v>
      </c>
      <c r="DP109" s="36">
        <v>92</v>
      </c>
      <c r="DQ109" s="36">
        <v>416629</v>
      </c>
      <c r="DR109" s="38">
        <v>14225</v>
      </c>
      <c r="DS109" s="35">
        <v>3.54</v>
      </c>
      <c r="DT109" s="36" t="s">
        <v>138</v>
      </c>
      <c r="DU109" s="38" t="s">
        <v>138</v>
      </c>
      <c r="DV109" s="35" t="s">
        <v>138</v>
      </c>
      <c r="DW109" s="36">
        <v>7007</v>
      </c>
      <c r="DX109" s="39">
        <v>2</v>
      </c>
      <c r="DY109" s="35">
        <v>0.03</v>
      </c>
      <c r="DZ109" s="28" t="s">
        <v>178</v>
      </c>
      <c r="EA109" s="34">
        <v>43502</v>
      </c>
      <c r="EB109" s="29">
        <v>55.5</v>
      </c>
      <c r="EC109" s="34">
        <v>42817</v>
      </c>
      <c r="ED109" s="28" t="s">
        <v>205</v>
      </c>
      <c r="EE109" s="40" t="str">
        <f>HYPERLINK("https://my.pitchbook.com?c=97628-86", "View company online")</f>
        <v>View company online</v>
      </c>
    </row>
    <row r="110" spans="1:135">
      <c r="A110" s="15" t="s">
        <v>2616</v>
      </c>
      <c r="B110" s="15" t="s">
        <v>2617</v>
      </c>
      <c r="C110" s="15" t="s">
        <v>138</v>
      </c>
      <c r="D110" s="15" t="s">
        <v>138</v>
      </c>
      <c r="E110" s="15" t="s">
        <v>2618</v>
      </c>
      <c r="F110" s="15" t="s">
        <v>2616</v>
      </c>
      <c r="G110" s="15" t="s">
        <v>2619</v>
      </c>
      <c r="H110" s="15" t="s">
        <v>322</v>
      </c>
      <c r="I110" s="15" t="s">
        <v>323</v>
      </c>
      <c r="J110" s="15" t="s">
        <v>324</v>
      </c>
      <c r="K110" s="15" t="s">
        <v>325</v>
      </c>
      <c r="L110" s="15" t="s">
        <v>2620</v>
      </c>
      <c r="M110" s="15" t="s">
        <v>2621</v>
      </c>
      <c r="N110" s="15" t="s">
        <v>147</v>
      </c>
      <c r="O110" s="17">
        <v>50.36</v>
      </c>
      <c r="P110" s="15" t="s">
        <v>148</v>
      </c>
      <c r="Q110" s="15" t="s">
        <v>149</v>
      </c>
      <c r="R110" s="15" t="s">
        <v>174</v>
      </c>
      <c r="S110" s="15" t="s">
        <v>2622</v>
      </c>
      <c r="T110" s="18">
        <v>80</v>
      </c>
      <c r="U110" s="15" t="s">
        <v>2623</v>
      </c>
      <c r="V110" s="15" t="s">
        <v>138</v>
      </c>
      <c r="W110" s="15" t="s">
        <v>138</v>
      </c>
      <c r="X110" s="19">
        <v>2010</v>
      </c>
      <c r="Y110" s="15" t="s">
        <v>138</v>
      </c>
      <c r="Z110" s="15" t="s">
        <v>138</v>
      </c>
      <c r="AA110" s="15" t="s">
        <v>138</v>
      </c>
      <c r="AB110" s="20" t="s">
        <v>138</v>
      </c>
      <c r="AC110" s="20" t="s">
        <v>138</v>
      </c>
      <c r="AD110" s="20" t="s">
        <v>138</v>
      </c>
      <c r="AE110" s="20" t="s">
        <v>138</v>
      </c>
      <c r="AF110" s="20" t="s">
        <v>138</v>
      </c>
      <c r="AG110" s="15" t="s">
        <v>138</v>
      </c>
      <c r="AH110" s="20" t="s">
        <v>138</v>
      </c>
      <c r="AI110" s="20" t="s">
        <v>138</v>
      </c>
      <c r="AJ110" s="20" t="s">
        <v>138</v>
      </c>
      <c r="AK110" s="15" t="s">
        <v>2624</v>
      </c>
      <c r="AL110" s="15" t="s">
        <v>2625</v>
      </c>
      <c r="AM110" s="15" t="s">
        <v>249</v>
      </c>
      <c r="AN110" s="15" t="s">
        <v>2626</v>
      </c>
      <c r="AO110" s="15" t="s">
        <v>2627</v>
      </c>
      <c r="AP110" s="15" t="s">
        <v>2490</v>
      </c>
      <c r="AQ110" s="15" t="s">
        <v>2628</v>
      </c>
      <c r="AR110" s="15" t="s">
        <v>138</v>
      </c>
      <c r="AS110" s="15" t="s">
        <v>2493</v>
      </c>
      <c r="AT110" s="15" t="s">
        <v>371</v>
      </c>
      <c r="AU110" s="15" t="s">
        <v>2494</v>
      </c>
      <c r="AV110" s="15" t="s">
        <v>162</v>
      </c>
      <c r="AW110" s="15" t="s">
        <v>2627</v>
      </c>
      <c r="AX110" s="15" t="s">
        <v>138</v>
      </c>
      <c r="AY110" s="15" t="s">
        <v>2629</v>
      </c>
      <c r="AZ110" s="15" t="s">
        <v>164</v>
      </c>
      <c r="BA110" s="15" t="s">
        <v>165</v>
      </c>
      <c r="BB110" s="15" t="s">
        <v>2630</v>
      </c>
      <c r="BC110" s="15" t="s">
        <v>2631</v>
      </c>
      <c r="BD110" s="21">
        <v>6</v>
      </c>
      <c r="BE110" s="15" t="s">
        <v>138</v>
      </c>
      <c r="BF110" s="15" t="s">
        <v>138</v>
      </c>
      <c r="BG110" s="15" t="s">
        <v>138</v>
      </c>
      <c r="BH110" s="15" t="s">
        <v>2632</v>
      </c>
      <c r="BI110" s="15" t="s">
        <v>138</v>
      </c>
      <c r="BJ110" s="15" t="s">
        <v>138</v>
      </c>
      <c r="BK110" s="15" t="s">
        <v>2633</v>
      </c>
      <c r="BL110" s="15" t="s">
        <v>290</v>
      </c>
      <c r="BM110" s="22">
        <v>40701</v>
      </c>
      <c r="BN110" s="17">
        <v>6.74</v>
      </c>
      <c r="BO110" s="15" t="s">
        <v>172</v>
      </c>
      <c r="BP110" s="17">
        <v>31.74</v>
      </c>
      <c r="BQ110" s="15" t="s">
        <v>172</v>
      </c>
      <c r="BR110" s="15" t="s">
        <v>262</v>
      </c>
      <c r="BS110" s="15" t="s">
        <v>206</v>
      </c>
      <c r="BT110" s="15" t="s">
        <v>138</v>
      </c>
      <c r="BU110" s="15" t="s">
        <v>263</v>
      </c>
      <c r="BV110" s="15" t="s">
        <v>138</v>
      </c>
      <c r="BW110" s="15" t="s">
        <v>138</v>
      </c>
      <c r="BX110" s="15" t="s">
        <v>138</v>
      </c>
      <c r="BY110" s="15" t="s">
        <v>175</v>
      </c>
      <c r="BZ110" s="22">
        <v>42494</v>
      </c>
      <c r="CA110" s="17">
        <v>16.12</v>
      </c>
      <c r="CB110" s="15" t="s">
        <v>172</v>
      </c>
      <c r="CC110" s="17">
        <v>80.12</v>
      </c>
      <c r="CD110" s="15" t="s">
        <v>172</v>
      </c>
      <c r="CE110" s="15" t="s">
        <v>173</v>
      </c>
      <c r="CF110" s="15" t="s">
        <v>433</v>
      </c>
      <c r="CG110" s="15" t="s">
        <v>138</v>
      </c>
      <c r="CH110" s="15" t="s">
        <v>174</v>
      </c>
      <c r="CI110" s="15" t="s">
        <v>138</v>
      </c>
      <c r="CJ110" s="15" t="s">
        <v>138</v>
      </c>
      <c r="CK110" s="15" t="s">
        <v>138</v>
      </c>
      <c r="CL110" s="15" t="s">
        <v>175</v>
      </c>
      <c r="CM110" s="22" t="s">
        <v>138</v>
      </c>
      <c r="CN110" s="17" t="s">
        <v>138</v>
      </c>
      <c r="CO110" s="23">
        <v>-2.0699999999999998</v>
      </c>
      <c r="CP110" s="24">
        <v>5</v>
      </c>
      <c r="CQ110" s="23">
        <v>-0.02</v>
      </c>
      <c r="CR110" s="23">
        <v>-0.99</v>
      </c>
      <c r="CS110" s="23">
        <v>-4.13</v>
      </c>
      <c r="CT110" s="24">
        <v>3</v>
      </c>
      <c r="CU110" s="23">
        <v>0</v>
      </c>
      <c r="CV110" s="24">
        <v>22</v>
      </c>
      <c r="CW110" s="23">
        <v>-5.65</v>
      </c>
      <c r="CX110" s="24">
        <v>2</v>
      </c>
      <c r="CY110" s="23">
        <v>-2.61</v>
      </c>
      <c r="CZ110" s="24">
        <v>8</v>
      </c>
      <c r="DA110" s="23">
        <v>-0.02</v>
      </c>
      <c r="DB110" s="24">
        <v>19</v>
      </c>
      <c r="DC110" s="25">
        <v>24.44</v>
      </c>
      <c r="DD110" s="24">
        <v>96</v>
      </c>
      <c r="DE110" s="25">
        <v>-0.08</v>
      </c>
      <c r="DF110" s="23">
        <v>-0.33</v>
      </c>
      <c r="DG110" s="25">
        <v>24.54</v>
      </c>
      <c r="DH110" s="24">
        <v>96</v>
      </c>
      <c r="DI110" s="25">
        <v>24.33</v>
      </c>
      <c r="DJ110" s="24">
        <v>92</v>
      </c>
      <c r="DK110" s="25">
        <v>4.9800000000000004</v>
      </c>
      <c r="DL110" s="24">
        <v>79</v>
      </c>
      <c r="DM110" s="25">
        <v>44.1</v>
      </c>
      <c r="DN110" s="24">
        <v>98</v>
      </c>
      <c r="DO110" s="25">
        <v>45.83</v>
      </c>
      <c r="DP110" s="24">
        <v>96</v>
      </c>
      <c r="DQ110" s="24">
        <v>1750</v>
      </c>
      <c r="DR110" s="26">
        <v>-129</v>
      </c>
      <c r="DS110" s="23">
        <v>-6.87</v>
      </c>
      <c r="DT110" s="24">
        <v>1278</v>
      </c>
      <c r="DU110" s="26">
        <v>1</v>
      </c>
      <c r="DV110" s="23">
        <v>0.08</v>
      </c>
      <c r="DW110" s="24">
        <v>16408</v>
      </c>
      <c r="DX110" s="27">
        <v>-2</v>
      </c>
      <c r="DY110" s="23">
        <v>-0.01</v>
      </c>
      <c r="DZ110" s="15" t="s">
        <v>178</v>
      </c>
      <c r="EA110" s="22">
        <v>43622</v>
      </c>
      <c r="EB110" s="17">
        <v>80.12</v>
      </c>
      <c r="EC110" s="22">
        <v>42494</v>
      </c>
      <c r="ED110" s="15" t="s">
        <v>173</v>
      </c>
      <c r="EE110" s="14" t="str">
        <f>HYPERLINK("https://my.pitchbook.com?c=52977-70", "View company online")</f>
        <v>View company online</v>
      </c>
    </row>
    <row r="111" spans="1:135">
      <c r="A111" s="28" t="s">
        <v>2634</v>
      </c>
      <c r="B111" s="28" t="s">
        <v>2635</v>
      </c>
      <c r="C111" s="28" t="s">
        <v>2636</v>
      </c>
      <c r="D111" s="28" t="s">
        <v>2637</v>
      </c>
      <c r="E111" s="28" t="s">
        <v>2638</v>
      </c>
      <c r="F111" s="28" t="s">
        <v>2634</v>
      </c>
      <c r="G111" s="28" t="s">
        <v>2639</v>
      </c>
      <c r="H111" s="28" t="s">
        <v>322</v>
      </c>
      <c r="I111" s="28" t="s">
        <v>1503</v>
      </c>
      <c r="J111" s="28" t="s">
        <v>2377</v>
      </c>
      <c r="K111" s="28" t="s">
        <v>2640</v>
      </c>
      <c r="L111" s="28" t="s">
        <v>2641</v>
      </c>
      <c r="M111" s="28" t="s">
        <v>2642</v>
      </c>
      <c r="N111" s="28" t="s">
        <v>147</v>
      </c>
      <c r="O111" s="29">
        <v>203.31</v>
      </c>
      <c r="P111" s="28" t="s">
        <v>148</v>
      </c>
      <c r="Q111" s="28" t="s">
        <v>149</v>
      </c>
      <c r="R111" s="28" t="s">
        <v>174</v>
      </c>
      <c r="S111" s="28" t="s">
        <v>2643</v>
      </c>
      <c r="T111" s="30">
        <v>200</v>
      </c>
      <c r="U111" s="28" t="s">
        <v>2644</v>
      </c>
      <c r="V111" s="28" t="s">
        <v>138</v>
      </c>
      <c r="W111" s="28" t="s">
        <v>138</v>
      </c>
      <c r="X111" s="31">
        <v>2009</v>
      </c>
      <c r="Y111" s="28" t="s">
        <v>138</v>
      </c>
      <c r="Z111" s="28" t="s">
        <v>138</v>
      </c>
      <c r="AA111" s="28" t="s">
        <v>1163</v>
      </c>
      <c r="AB111" s="32" t="s">
        <v>138</v>
      </c>
      <c r="AC111" s="32" t="s">
        <v>138</v>
      </c>
      <c r="AD111" s="32" t="s">
        <v>138</v>
      </c>
      <c r="AE111" s="32" t="s">
        <v>138</v>
      </c>
      <c r="AF111" s="32" t="s">
        <v>138</v>
      </c>
      <c r="AG111" s="28" t="s">
        <v>138</v>
      </c>
      <c r="AH111" s="32" t="s">
        <v>138</v>
      </c>
      <c r="AI111" s="32" t="s">
        <v>138</v>
      </c>
      <c r="AJ111" s="32" t="s">
        <v>138</v>
      </c>
      <c r="AK111" s="28" t="s">
        <v>2645</v>
      </c>
      <c r="AL111" s="28" t="s">
        <v>2646</v>
      </c>
      <c r="AM111" s="28" t="s">
        <v>249</v>
      </c>
      <c r="AN111" s="28" t="s">
        <v>2647</v>
      </c>
      <c r="AO111" s="28" t="s">
        <v>2648</v>
      </c>
      <c r="AP111" s="28" t="s">
        <v>2649</v>
      </c>
      <c r="AQ111" s="28" t="s">
        <v>2650</v>
      </c>
      <c r="AR111" s="28" t="s">
        <v>1030</v>
      </c>
      <c r="AS111" s="28" t="s">
        <v>2651</v>
      </c>
      <c r="AT111" s="28" t="s">
        <v>200</v>
      </c>
      <c r="AU111" s="28" t="s">
        <v>2652</v>
      </c>
      <c r="AV111" s="28" t="s">
        <v>162</v>
      </c>
      <c r="AW111" s="28" t="s">
        <v>138</v>
      </c>
      <c r="AX111" s="28" t="s">
        <v>138</v>
      </c>
      <c r="AY111" s="28" t="s">
        <v>138</v>
      </c>
      <c r="AZ111" s="28" t="s">
        <v>164</v>
      </c>
      <c r="BA111" s="28" t="s">
        <v>165</v>
      </c>
      <c r="BB111" s="28" t="s">
        <v>2653</v>
      </c>
      <c r="BC111" s="28" t="s">
        <v>2654</v>
      </c>
      <c r="BD111" s="33">
        <v>4</v>
      </c>
      <c r="BE111" s="28" t="s">
        <v>138</v>
      </c>
      <c r="BF111" s="28" t="s">
        <v>138</v>
      </c>
      <c r="BG111" s="28" t="s">
        <v>138</v>
      </c>
      <c r="BH111" s="28" t="s">
        <v>2655</v>
      </c>
      <c r="BI111" s="28" t="s">
        <v>138</v>
      </c>
      <c r="BJ111" s="28" t="s">
        <v>138</v>
      </c>
      <c r="BK111" s="28" t="s">
        <v>432</v>
      </c>
      <c r="BL111" s="28" t="s">
        <v>2656</v>
      </c>
      <c r="BM111" s="34">
        <v>40164</v>
      </c>
      <c r="BN111" s="29">
        <v>8.36</v>
      </c>
      <c r="BO111" s="28" t="s">
        <v>172</v>
      </c>
      <c r="BP111" s="29">
        <v>13.97</v>
      </c>
      <c r="BQ111" s="28" t="s">
        <v>172</v>
      </c>
      <c r="BR111" s="28" t="s">
        <v>205</v>
      </c>
      <c r="BS111" s="28" t="s">
        <v>623</v>
      </c>
      <c r="BT111" s="28" t="s">
        <v>138</v>
      </c>
      <c r="BU111" s="28" t="s">
        <v>174</v>
      </c>
      <c r="BV111" s="28" t="s">
        <v>138</v>
      </c>
      <c r="BW111" s="28" t="s">
        <v>138</v>
      </c>
      <c r="BX111" s="28" t="s">
        <v>138</v>
      </c>
      <c r="BY111" s="28" t="s">
        <v>175</v>
      </c>
      <c r="BZ111" s="34">
        <v>43433</v>
      </c>
      <c r="CA111" s="29">
        <v>86</v>
      </c>
      <c r="CB111" s="28" t="s">
        <v>172</v>
      </c>
      <c r="CC111" s="29">
        <v>601</v>
      </c>
      <c r="CD111" s="28" t="s">
        <v>172</v>
      </c>
      <c r="CE111" s="28" t="s">
        <v>173</v>
      </c>
      <c r="CF111" s="28" t="s">
        <v>482</v>
      </c>
      <c r="CG111" s="28" t="s">
        <v>138</v>
      </c>
      <c r="CH111" s="28" t="s">
        <v>174</v>
      </c>
      <c r="CI111" s="28" t="s">
        <v>138</v>
      </c>
      <c r="CJ111" s="28" t="s">
        <v>138</v>
      </c>
      <c r="CK111" s="28" t="s">
        <v>138</v>
      </c>
      <c r="CL111" s="28" t="s">
        <v>175</v>
      </c>
      <c r="CM111" s="34" t="s">
        <v>138</v>
      </c>
      <c r="CN111" s="29" t="s">
        <v>138</v>
      </c>
      <c r="CO111" s="35">
        <v>2.58</v>
      </c>
      <c r="CP111" s="36">
        <v>99</v>
      </c>
      <c r="CQ111" s="35">
        <v>0.02</v>
      </c>
      <c r="CR111" s="35">
        <v>0.68</v>
      </c>
      <c r="CS111" s="35">
        <v>0.87</v>
      </c>
      <c r="CT111" s="36">
        <v>96</v>
      </c>
      <c r="CU111" s="35">
        <v>4.5599999999999996</v>
      </c>
      <c r="CV111" s="36">
        <v>100</v>
      </c>
      <c r="CW111" s="35">
        <v>0.87</v>
      </c>
      <c r="CX111" s="36">
        <v>84</v>
      </c>
      <c r="CY111" s="35" t="s">
        <v>138</v>
      </c>
      <c r="CZ111" s="36" t="s">
        <v>138</v>
      </c>
      <c r="DA111" s="35">
        <v>4.5599999999999996</v>
      </c>
      <c r="DB111" s="36">
        <v>100</v>
      </c>
      <c r="DC111" s="37">
        <v>2.91</v>
      </c>
      <c r="DD111" s="36">
        <v>74</v>
      </c>
      <c r="DE111" s="37">
        <v>-0.32</v>
      </c>
      <c r="DF111" s="35">
        <v>-9.89</v>
      </c>
      <c r="DG111" s="37">
        <v>7.56</v>
      </c>
      <c r="DH111" s="36">
        <v>87</v>
      </c>
      <c r="DI111" s="37">
        <v>0.81</v>
      </c>
      <c r="DJ111" s="36">
        <v>45</v>
      </c>
      <c r="DK111" s="37">
        <v>7.56</v>
      </c>
      <c r="DL111" s="36">
        <v>84</v>
      </c>
      <c r="DM111" s="37" t="s">
        <v>138</v>
      </c>
      <c r="DN111" s="36" t="s">
        <v>138</v>
      </c>
      <c r="DO111" s="37">
        <v>0.81</v>
      </c>
      <c r="DP111" s="36">
        <v>47</v>
      </c>
      <c r="DQ111" s="36">
        <v>2632</v>
      </c>
      <c r="DR111" s="38">
        <v>-119</v>
      </c>
      <c r="DS111" s="35">
        <v>-4.33</v>
      </c>
      <c r="DT111" s="36" t="s">
        <v>138</v>
      </c>
      <c r="DU111" s="38" t="s">
        <v>138</v>
      </c>
      <c r="DV111" s="35" t="s">
        <v>138</v>
      </c>
      <c r="DW111" s="36">
        <v>290</v>
      </c>
      <c r="DX111" s="39">
        <v>4</v>
      </c>
      <c r="DY111" s="35">
        <v>1.4</v>
      </c>
      <c r="DZ111" s="28" t="s">
        <v>178</v>
      </c>
      <c r="EA111" s="34">
        <v>43622</v>
      </c>
      <c r="EB111" s="29">
        <v>601</v>
      </c>
      <c r="EC111" s="34">
        <v>43433</v>
      </c>
      <c r="ED111" s="28" t="s">
        <v>173</v>
      </c>
      <c r="EE111" s="40" t="str">
        <f>HYPERLINK("https://my.pitchbook.com?c=53712-19", "View company online")</f>
        <v>View company online</v>
      </c>
    </row>
    <row r="112" spans="1:135">
      <c r="A112" s="15" t="s">
        <v>2657</v>
      </c>
      <c r="B112" s="15" t="s">
        <v>2658</v>
      </c>
      <c r="C112" s="15" t="s">
        <v>138</v>
      </c>
      <c r="D112" s="15" t="s">
        <v>2659</v>
      </c>
      <c r="E112" s="15" t="s">
        <v>2660</v>
      </c>
      <c r="F112" s="15" t="s">
        <v>2657</v>
      </c>
      <c r="G112" s="15" t="s">
        <v>2661</v>
      </c>
      <c r="H112" s="15" t="s">
        <v>238</v>
      </c>
      <c r="I112" s="15" t="s">
        <v>2662</v>
      </c>
      <c r="J112" s="15" t="s">
        <v>2663</v>
      </c>
      <c r="K112" s="15" t="s">
        <v>2664</v>
      </c>
      <c r="L112" s="15" t="s">
        <v>2665</v>
      </c>
      <c r="M112" s="15" t="s">
        <v>2666</v>
      </c>
      <c r="N112" s="15" t="s">
        <v>147</v>
      </c>
      <c r="O112" s="17">
        <v>291.2</v>
      </c>
      <c r="P112" s="15" t="s">
        <v>1473</v>
      </c>
      <c r="Q112" s="15" t="s">
        <v>149</v>
      </c>
      <c r="R112" s="15" t="s">
        <v>244</v>
      </c>
      <c r="S112" s="15" t="s">
        <v>2667</v>
      </c>
      <c r="T112" s="18">
        <v>1400</v>
      </c>
      <c r="U112" s="15" t="s">
        <v>2668</v>
      </c>
      <c r="V112" s="15" t="s">
        <v>138</v>
      </c>
      <c r="W112" s="15" t="s">
        <v>138</v>
      </c>
      <c r="X112" s="19">
        <v>2010</v>
      </c>
      <c r="Y112" s="15" t="s">
        <v>138</v>
      </c>
      <c r="Z112" s="15" t="s">
        <v>138</v>
      </c>
      <c r="AA112" s="15" t="s">
        <v>138</v>
      </c>
      <c r="AB112" s="20">
        <v>100</v>
      </c>
      <c r="AC112" s="20" t="s">
        <v>138</v>
      </c>
      <c r="AD112" s="20" t="s">
        <v>138</v>
      </c>
      <c r="AE112" s="20" t="s">
        <v>138</v>
      </c>
      <c r="AF112" s="20" t="s">
        <v>138</v>
      </c>
      <c r="AG112" s="15" t="s">
        <v>815</v>
      </c>
      <c r="AH112" s="20" t="s">
        <v>138</v>
      </c>
      <c r="AI112" s="20" t="s">
        <v>138</v>
      </c>
      <c r="AJ112" s="20" t="s">
        <v>138</v>
      </c>
      <c r="AK112" s="15" t="s">
        <v>2669</v>
      </c>
      <c r="AL112" s="15" t="s">
        <v>2670</v>
      </c>
      <c r="AM112" s="15" t="s">
        <v>249</v>
      </c>
      <c r="AN112" s="15" t="s">
        <v>2671</v>
      </c>
      <c r="AO112" s="15" t="s">
        <v>2672</v>
      </c>
      <c r="AP112" s="15" t="s">
        <v>423</v>
      </c>
      <c r="AQ112" s="15" t="s">
        <v>2673</v>
      </c>
      <c r="AR112" s="15" t="s">
        <v>138</v>
      </c>
      <c r="AS112" s="15" t="s">
        <v>426</v>
      </c>
      <c r="AT112" s="15" t="s">
        <v>426</v>
      </c>
      <c r="AU112" s="15" t="s">
        <v>921</v>
      </c>
      <c r="AV112" s="15" t="s">
        <v>162</v>
      </c>
      <c r="AW112" s="15" t="s">
        <v>2672</v>
      </c>
      <c r="AX112" s="15" t="s">
        <v>138</v>
      </c>
      <c r="AY112" s="15" t="s">
        <v>2674</v>
      </c>
      <c r="AZ112" s="15" t="s">
        <v>164</v>
      </c>
      <c r="BA112" s="15" t="s">
        <v>165</v>
      </c>
      <c r="BB112" s="15" t="s">
        <v>2675</v>
      </c>
      <c r="BC112" s="15" t="s">
        <v>2676</v>
      </c>
      <c r="BD112" s="21">
        <v>43</v>
      </c>
      <c r="BE112" s="15" t="s">
        <v>138</v>
      </c>
      <c r="BF112" s="15" t="s">
        <v>138</v>
      </c>
      <c r="BG112" s="15" t="s">
        <v>138</v>
      </c>
      <c r="BH112" s="15" t="s">
        <v>2677</v>
      </c>
      <c r="BI112" s="15" t="s">
        <v>138</v>
      </c>
      <c r="BJ112" s="15" t="s">
        <v>138</v>
      </c>
      <c r="BK112" s="15" t="s">
        <v>2678</v>
      </c>
      <c r="BL112" s="15" t="s">
        <v>2679</v>
      </c>
      <c r="BM112" s="22" t="s">
        <v>138</v>
      </c>
      <c r="BN112" s="17" t="s">
        <v>138</v>
      </c>
      <c r="BO112" s="15" t="s">
        <v>138</v>
      </c>
      <c r="BP112" s="17" t="s">
        <v>138</v>
      </c>
      <c r="BQ112" s="15" t="s">
        <v>138</v>
      </c>
      <c r="BR112" s="15" t="s">
        <v>262</v>
      </c>
      <c r="BS112" s="15" t="s">
        <v>262</v>
      </c>
      <c r="BT112" s="15" t="s">
        <v>138</v>
      </c>
      <c r="BU112" s="15" t="s">
        <v>263</v>
      </c>
      <c r="BV112" s="15" t="s">
        <v>138</v>
      </c>
      <c r="BW112" s="15" t="s">
        <v>138</v>
      </c>
      <c r="BX112" s="15" t="s">
        <v>138</v>
      </c>
      <c r="BY112" s="15" t="s">
        <v>175</v>
      </c>
      <c r="BZ112" s="22">
        <v>43173</v>
      </c>
      <c r="CA112" s="17">
        <v>75</v>
      </c>
      <c r="CB112" s="15" t="s">
        <v>172</v>
      </c>
      <c r="CC112" s="17">
        <v>1750</v>
      </c>
      <c r="CD112" s="15" t="s">
        <v>172</v>
      </c>
      <c r="CE112" s="15" t="s">
        <v>173</v>
      </c>
      <c r="CF112" s="15" t="s">
        <v>482</v>
      </c>
      <c r="CG112" s="15" t="s">
        <v>138</v>
      </c>
      <c r="CH112" s="15" t="s">
        <v>174</v>
      </c>
      <c r="CI112" s="15" t="s">
        <v>138</v>
      </c>
      <c r="CJ112" s="15" t="s">
        <v>138</v>
      </c>
      <c r="CK112" s="15" t="s">
        <v>138</v>
      </c>
      <c r="CL112" s="15" t="s">
        <v>175</v>
      </c>
      <c r="CM112" s="22">
        <v>42828</v>
      </c>
      <c r="CN112" s="17" t="s">
        <v>138</v>
      </c>
      <c r="CO112" s="23">
        <v>0.59</v>
      </c>
      <c r="CP112" s="24">
        <v>96</v>
      </c>
      <c r="CQ112" s="23">
        <v>0</v>
      </c>
      <c r="CR112" s="23">
        <v>-7.0000000000000007E-2</v>
      </c>
      <c r="CS112" s="23">
        <v>0.22</v>
      </c>
      <c r="CT112" s="24">
        <v>94</v>
      </c>
      <c r="CU112" s="23">
        <v>0.13</v>
      </c>
      <c r="CV112" s="24">
        <v>73</v>
      </c>
      <c r="CW112" s="23">
        <v>1.48</v>
      </c>
      <c r="CX112" s="24">
        <v>86</v>
      </c>
      <c r="CY112" s="23">
        <v>-1.04</v>
      </c>
      <c r="CZ112" s="24">
        <v>18</v>
      </c>
      <c r="DA112" s="23">
        <v>0.13</v>
      </c>
      <c r="DB112" s="24">
        <v>76</v>
      </c>
      <c r="DC112" s="25">
        <v>539.1</v>
      </c>
      <c r="DD112" s="24">
        <v>100</v>
      </c>
      <c r="DE112" s="25">
        <v>-143.85</v>
      </c>
      <c r="DF112" s="23">
        <v>-21.06</v>
      </c>
      <c r="DG112" s="25">
        <v>1328.25</v>
      </c>
      <c r="DH112" s="24">
        <v>100</v>
      </c>
      <c r="DI112" s="25">
        <v>241.08</v>
      </c>
      <c r="DJ112" s="24">
        <v>99</v>
      </c>
      <c r="DK112" s="25">
        <v>2247.73</v>
      </c>
      <c r="DL112" s="24">
        <v>100</v>
      </c>
      <c r="DM112" s="25">
        <v>408.76</v>
      </c>
      <c r="DN112" s="24">
        <v>100</v>
      </c>
      <c r="DO112" s="25">
        <v>241.08</v>
      </c>
      <c r="DP112" s="24">
        <v>99</v>
      </c>
      <c r="DQ112" s="24">
        <v>766981</v>
      </c>
      <c r="DR112" s="26">
        <v>11972</v>
      </c>
      <c r="DS112" s="23">
        <v>1.59</v>
      </c>
      <c r="DT112" s="24">
        <v>11856</v>
      </c>
      <c r="DU112" s="26">
        <v>10</v>
      </c>
      <c r="DV112" s="23">
        <v>0.08</v>
      </c>
      <c r="DW112" s="24">
        <v>86286</v>
      </c>
      <c r="DX112" s="27">
        <v>2</v>
      </c>
      <c r="DY112" s="23">
        <v>0</v>
      </c>
      <c r="DZ112" s="15" t="s">
        <v>178</v>
      </c>
      <c r="EA112" s="22">
        <v>43622</v>
      </c>
      <c r="EB112" s="17">
        <v>1750</v>
      </c>
      <c r="EC112" s="22">
        <v>43173</v>
      </c>
      <c r="ED112" s="15" t="s">
        <v>173</v>
      </c>
      <c r="EE112" s="14" t="str">
        <f>HYPERLINK("https://my.pitchbook.com?c=52838-11", "View company online")</f>
        <v>View company online</v>
      </c>
    </row>
    <row r="113" spans="1:135">
      <c r="A113" s="28" t="s">
        <v>2680</v>
      </c>
      <c r="B113" s="28" t="s">
        <v>2681</v>
      </c>
      <c r="C113" s="28" t="s">
        <v>138</v>
      </c>
      <c r="D113" s="28" t="s">
        <v>138</v>
      </c>
      <c r="E113" s="28" t="s">
        <v>138</v>
      </c>
      <c r="F113" s="28" t="s">
        <v>2680</v>
      </c>
      <c r="G113" s="28" t="s">
        <v>2682</v>
      </c>
      <c r="H113" s="28" t="s">
        <v>238</v>
      </c>
      <c r="I113" s="28" t="s">
        <v>997</v>
      </c>
      <c r="J113" s="28" t="s">
        <v>2683</v>
      </c>
      <c r="K113" s="28" t="s">
        <v>2684</v>
      </c>
      <c r="L113" s="28" t="s">
        <v>138</v>
      </c>
      <c r="M113" s="28" t="s">
        <v>2685</v>
      </c>
      <c r="N113" s="28" t="s">
        <v>147</v>
      </c>
      <c r="O113" s="29">
        <v>1.97</v>
      </c>
      <c r="P113" s="28" t="s">
        <v>148</v>
      </c>
      <c r="Q113" s="28" t="s">
        <v>149</v>
      </c>
      <c r="R113" s="28" t="s">
        <v>174</v>
      </c>
      <c r="S113" s="28" t="s">
        <v>2686</v>
      </c>
      <c r="T113" s="30">
        <v>44</v>
      </c>
      <c r="U113" s="28" t="s">
        <v>2687</v>
      </c>
      <c r="V113" s="28" t="s">
        <v>138</v>
      </c>
      <c r="W113" s="28" t="s">
        <v>138</v>
      </c>
      <c r="X113" s="31">
        <v>2012</v>
      </c>
      <c r="Y113" s="28" t="s">
        <v>2688</v>
      </c>
      <c r="Z113" s="28" t="s">
        <v>138</v>
      </c>
      <c r="AA113" s="28" t="s">
        <v>138</v>
      </c>
      <c r="AB113" s="32">
        <v>8.07</v>
      </c>
      <c r="AC113" s="32">
        <v>2.87</v>
      </c>
      <c r="AD113" s="32">
        <v>-0.51</v>
      </c>
      <c r="AE113" s="32" t="s">
        <v>138</v>
      </c>
      <c r="AF113" s="32">
        <v>0.37</v>
      </c>
      <c r="AG113" s="28" t="s">
        <v>633</v>
      </c>
      <c r="AH113" s="32" t="s">
        <v>138</v>
      </c>
      <c r="AI113" s="32" t="s">
        <v>138</v>
      </c>
      <c r="AJ113" s="32" t="s">
        <v>138</v>
      </c>
      <c r="AK113" s="28" t="s">
        <v>2689</v>
      </c>
      <c r="AL113" s="28" t="s">
        <v>2690</v>
      </c>
      <c r="AM113" s="28" t="s">
        <v>2691</v>
      </c>
      <c r="AN113" s="28" t="s">
        <v>138</v>
      </c>
      <c r="AO113" s="28" t="s">
        <v>138</v>
      </c>
      <c r="AP113" s="28" t="s">
        <v>2692</v>
      </c>
      <c r="AQ113" s="28" t="s">
        <v>2693</v>
      </c>
      <c r="AR113" s="28" t="s">
        <v>138</v>
      </c>
      <c r="AS113" s="28" t="s">
        <v>2694</v>
      </c>
      <c r="AT113" s="28" t="s">
        <v>138</v>
      </c>
      <c r="AU113" s="28" t="s">
        <v>2695</v>
      </c>
      <c r="AV113" s="28" t="s">
        <v>1054</v>
      </c>
      <c r="AW113" s="28" t="s">
        <v>138</v>
      </c>
      <c r="AX113" s="28" t="s">
        <v>138</v>
      </c>
      <c r="AY113" s="28" t="s">
        <v>2696</v>
      </c>
      <c r="AZ113" s="28" t="s">
        <v>530</v>
      </c>
      <c r="BA113" s="28" t="s">
        <v>531</v>
      </c>
      <c r="BB113" s="28" t="s">
        <v>2697</v>
      </c>
      <c r="BC113" s="28" t="s">
        <v>2698</v>
      </c>
      <c r="BD113" s="33">
        <v>3</v>
      </c>
      <c r="BE113" s="28" t="s">
        <v>138</v>
      </c>
      <c r="BF113" s="28" t="s">
        <v>138</v>
      </c>
      <c r="BG113" s="28" t="s">
        <v>138</v>
      </c>
      <c r="BH113" s="28" t="s">
        <v>2699</v>
      </c>
      <c r="BI113" s="28" t="s">
        <v>138</v>
      </c>
      <c r="BJ113" s="28" t="s">
        <v>138</v>
      </c>
      <c r="BK113" s="28" t="s">
        <v>138</v>
      </c>
      <c r="BL113" s="28" t="s">
        <v>138</v>
      </c>
      <c r="BM113" s="34">
        <v>41438</v>
      </c>
      <c r="BN113" s="29">
        <v>1.97</v>
      </c>
      <c r="BO113" s="28" t="s">
        <v>172</v>
      </c>
      <c r="BP113" s="29">
        <v>6.58</v>
      </c>
      <c r="BQ113" s="28" t="s">
        <v>172</v>
      </c>
      <c r="BR113" s="28" t="s">
        <v>205</v>
      </c>
      <c r="BS113" s="28" t="s">
        <v>138</v>
      </c>
      <c r="BT113" s="28" t="s">
        <v>138</v>
      </c>
      <c r="BU113" s="28" t="s">
        <v>174</v>
      </c>
      <c r="BV113" s="28" t="s">
        <v>138</v>
      </c>
      <c r="BW113" s="28" t="s">
        <v>138</v>
      </c>
      <c r="BX113" s="28" t="s">
        <v>138</v>
      </c>
      <c r="BY113" s="28" t="s">
        <v>175</v>
      </c>
      <c r="BZ113" s="34">
        <v>41438</v>
      </c>
      <c r="CA113" s="29">
        <v>1.97</v>
      </c>
      <c r="CB113" s="28" t="s">
        <v>172</v>
      </c>
      <c r="CC113" s="29">
        <v>6.58</v>
      </c>
      <c r="CD113" s="28" t="s">
        <v>172</v>
      </c>
      <c r="CE113" s="28" t="s">
        <v>205</v>
      </c>
      <c r="CF113" s="28" t="s">
        <v>138</v>
      </c>
      <c r="CG113" s="28" t="s">
        <v>138</v>
      </c>
      <c r="CH113" s="28" t="s">
        <v>174</v>
      </c>
      <c r="CI113" s="28" t="s">
        <v>138</v>
      </c>
      <c r="CJ113" s="28" t="s">
        <v>138</v>
      </c>
      <c r="CK113" s="28" t="s">
        <v>138</v>
      </c>
      <c r="CL113" s="28" t="s">
        <v>175</v>
      </c>
      <c r="CM113" s="34" t="s">
        <v>138</v>
      </c>
      <c r="CN113" s="29" t="s">
        <v>138</v>
      </c>
      <c r="CO113" s="35">
        <v>-3.22</v>
      </c>
      <c r="CP113" s="36">
        <v>3</v>
      </c>
      <c r="CQ113" s="35">
        <v>0.02</v>
      </c>
      <c r="CR113" s="35">
        <v>0.73</v>
      </c>
      <c r="CS113" s="35">
        <v>-6.42</v>
      </c>
      <c r="CT113" s="36">
        <v>1</v>
      </c>
      <c r="CU113" s="35">
        <v>-0.02</v>
      </c>
      <c r="CV113" s="36">
        <v>17</v>
      </c>
      <c r="CW113" s="35" t="s">
        <v>138</v>
      </c>
      <c r="CX113" s="36" t="s">
        <v>138</v>
      </c>
      <c r="CY113" s="35">
        <v>-6.42</v>
      </c>
      <c r="CZ113" s="36">
        <v>2</v>
      </c>
      <c r="DA113" s="35">
        <v>-7.0000000000000007E-2</v>
      </c>
      <c r="DB113" s="36">
        <v>9</v>
      </c>
      <c r="DC113" s="37">
        <v>57.97</v>
      </c>
      <c r="DD113" s="36">
        <v>98</v>
      </c>
      <c r="DE113" s="37">
        <v>0.04</v>
      </c>
      <c r="DF113" s="35">
        <v>0.06</v>
      </c>
      <c r="DG113" s="37">
        <v>15</v>
      </c>
      <c r="DH113" s="36">
        <v>93</v>
      </c>
      <c r="DI113" s="37">
        <v>100.95</v>
      </c>
      <c r="DJ113" s="36">
        <v>97</v>
      </c>
      <c r="DK113" s="37" t="s">
        <v>138</v>
      </c>
      <c r="DL113" s="36" t="s">
        <v>138</v>
      </c>
      <c r="DM113" s="37">
        <v>15</v>
      </c>
      <c r="DN113" s="36">
        <v>92</v>
      </c>
      <c r="DO113" s="37">
        <v>35.200000000000003</v>
      </c>
      <c r="DP113" s="36">
        <v>95</v>
      </c>
      <c r="DQ113" s="36">
        <v>63</v>
      </c>
      <c r="DR113" s="38">
        <v>-11</v>
      </c>
      <c r="DS113" s="35">
        <v>-14.86</v>
      </c>
      <c r="DT113" s="36">
        <v>434</v>
      </c>
      <c r="DU113" s="38">
        <v>1</v>
      </c>
      <c r="DV113" s="35">
        <v>0.23</v>
      </c>
      <c r="DW113" s="36">
        <v>12603</v>
      </c>
      <c r="DX113" s="39">
        <v>-2</v>
      </c>
      <c r="DY113" s="35">
        <v>-0.02</v>
      </c>
      <c r="DZ113" s="28" t="s">
        <v>178</v>
      </c>
      <c r="EA113" s="34">
        <v>43592</v>
      </c>
      <c r="EB113" s="29">
        <v>6.58</v>
      </c>
      <c r="EC113" s="34">
        <v>41438</v>
      </c>
      <c r="ED113" s="28" t="s">
        <v>205</v>
      </c>
      <c r="EE113" s="40" t="str">
        <f>HYPERLINK("https://my.pitchbook.com?c=60871-96", "View company online")</f>
        <v>View company online</v>
      </c>
    </row>
    <row r="114" spans="1:135">
      <c r="A114" s="15" t="s">
        <v>2700</v>
      </c>
      <c r="B114" s="15" t="s">
        <v>2701</v>
      </c>
      <c r="C114" s="15" t="s">
        <v>138</v>
      </c>
      <c r="D114" s="15" t="s">
        <v>2702</v>
      </c>
      <c r="E114" s="15" t="s">
        <v>2703</v>
      </c>
      <c r="F114" s="15" t="s">
        <v>2700</v>
      </c>
      <c r="G114" s="15" t="s">
        <v>2704</v>
      </c>
      <c r="H114" s="15" t="s">
        <v>322</v>
      </c>
      <c r="I114" s="15" t="s">
        <v>356</v>
      </c>
      <c r="J114" s="15" t="s">
        <v>2705</v>
      </c>
      <c r="K114" s="15" t="s">
        <v>2706</v>
      </c>
      <c r="L114" s="15" t="s">
        <v>2707</v>
      </c>
      <c r="M114" s="15" t="s">
        <v>2708</v>
      </c>
      <c r="N114" s="15" t="s">
        <v>1452</v>
      </c>
      <c r="O114" s="17">
        <v>427.5</v>
      </c>
      <c r="P114" s="15" t="s">
        <v>148</v>
      </c>
      <c r="Q114" s="15" t="s">
        <v>149</v>
      </c>
      <c r="R114" s="15" t="s">
        <v>328</v>
      </c>
      <c r="S114" s="15" t="s">
        <v>2709</v>
      </c>
      <c r="T114" s="18">
        <v>513</v>
      </c>
      <c r="U114" s="15" t="s">
        <v>2710</v>
      </c>
      <c r="V114" s="15" t="s">
        <v>138</v>
      </c>
      <c r="W114" s="15" t="s">
        <v>138</v>
      </c>
      <c r="X114" s="19">
        <v>2008</v>
      </c>
      <c r="Y114" s="15" t="s">
        <v>138</v>
      </c>
      <c r="Z114" s="15" t="s">
        <v>138</v>
      </c>
      <c r="AA114" s="15" t="s">
        <v>138</v>
      </c>
      <c r="AB114" s="20" t="s">
        <v>138</v>
      </c>
      <c r="AC114" s="20" t="s">
        <v>138</v>
      </c>
      <c r="AD114" s="20" t="s">
        <v>138</v>
      </c>
      <c r="AE114" s="20" t="s">
        <v>138</v>
      </c>
      <c r="AF114" s="20" t="s">
        <v>138</v>
      </c>
      <c r="AG114" s="15" t="s">
        <v>138</v>
      </c>
      <c r="AH114" s="20" t="s">
        <v>138</v>
      </c>
      <c r="AI114" s="20" t="s">
        <v>138</v>
      </c>
      <c r="AJ114" s="20" t="s">
        <v>138</v>
      </c>
      <c r="AK114" s="15" t="s">
        <v>2711</v>
      </c>
      <c r="AL114" s="15" t="s">
        <v>2712</v>
      </c>
      <c r="AM114" s="15" t="s">
        <v>249</v>
      </c>
      <c r="AN114" s="15" t="s">
        <v>2713</v>
      </c>
      <c r="AO114" s="15" t="s">
        <v>2714</v>
      </c>
      <c r="AP114" s="15" t="s">
        <v>2715</v>
      </c>
      <c r="AQ114" s="15" t="s">
        <v>2716</v>
      </c>
      <c r="AR114" s="15" t="s">
        <v>2717</v>
      </c>
      <c r="AS114" s="15" t="s">
        <v>2718</v>
      </c>
      <c r="AT114" s="15" t="s">
        <v>2718</v>
      </c>
      <c r="AU114" s="15" t="s">
        <v>138</v>
      </c>
      <c r="AV114" s="15" t="s">
        <v>2719</v>
      </c>
      <c r="AW114" s="15" t="s">
        <v>2714</v>
      </c>
      <c r="AX114" s="15" t="s">
        <v>138</v>
      </c>
      <c r="AY114" s="15" t="s">
        <v>2720</v>
      </c>
      <c r="AZ114" s="15" t="s">
        <v>401</v>
      </c>
      <c r="BA114" s="15" t="s">
        <v>402</v>
      </c>
      <c r="BB114" s="15" t="s">
        <v>2721</v>
      </c>
      <c r="BC114" s="15" t="s">
        <v>2722</v>
      </c>
      <c r="BD114" s="21">
        <v>8</v>
      </c>
      <c r="BE114" s="15" t="s">
        <v>138</v>
      </c>
      <c r="BF114" s="15" t="s">
        <v>138</v>
      </c>
      <c r="BG114" s="15" t="s">
        <v>138</v>
      </c>
      <c r="BH114" s="15" t="s">
        <v>2723</v>
      </c>
      <c r="BI114" s="15" t="s">
        <v>138</v>
      </c>
      <c r="BJ114" s="15" t="s">
        <v>138</v>
      </c>
      <c r="BK114" s="15" t="s">
        <v>2724</v>
      </c>
      <c r="BL114" s="15" t="s">
        <v>2725</v>
      </c>
      <c r="BM114" s="22">
        <v>39448</v>
      </c>
      <c r="BN114" s="17" t="s">
        <v>138</v>
      </c>
      <c r="BO114" s="15" t="s">
        <v>138</v>
      </c>
      <c r="BP114" s="17" t="s">
        <v>138</v>
      </c>
      <c r="BQ114" s="15" t="s">
        <v>138</v>
      </c>
      <c r="BR114" s="15" t="s">
        <v>205</v>
      </c>
      <c r="BS114" s="15" t="s">
        <v>138</v>
      </c>
      <c r="BT114" s="15" t="s">
        <v>138</v>
      </c>
      <c r="BU114" s="15" t="s">
        <v>174</v>
      </c>
      <c r="BV114" s="15" t="s">
        <v>138</v>
      </c>
      <c r="BW114" s="15" t="s">
        <v>138</v>
      </c>
      <c r="BX114" s="15" t="s">
        <v>138</v>
      </c>
      <c r="BY114" s="15" t="s">
        <v>175</v>
      </c>
      <c r="BZ114" s="22">
        <v>41918</v>
      </c>
      <c r="CA114" s="17">
        <v>130</v>
      </c>
      <c r="CB114" s="15" t="s">
        <v>172</v>
      </c>
      <c r="CC114" s="17" t="s">
        <v>138</v>
      </c>
      <c r="CD114" s="15" t="s">
        <v>138</v>
      </c>
      <c r="CE114" s="15" t="s">
        <v>1673</v>
      </c>
      <c r="CF114" s="15" t="s">
        <v>138</v>
      </c>
      <c r="CG114" s="15" t="s">
        <v>138</v>
      </c>
      <c r="CH114" s="15" t="s">
        <v>351</v>
      </c>
      <c r="CI114" s="15" t="s">
        <v>138</v>
      </c>
      <c r="CJ114" s="15" t="s">
        <v>138</v>
      </c>
      <c r="CK114" s="15" t="s">
        <v>138</v>
      </c>
      <c r="CL114" s="15" t="s">
        <v>175</v>
      </c>
      <c r="CM114" s="22">
        <v>41093</v>
      </c>
      <c r="CN114" s="17">
        <v>72</v>
      </c>
      <c r="CO114" s="23">
        <v>-6.85</v>
      </c>
      <c r="CP114" s="24">
        <v>1</v>
      </c>
      <c r="CQ114" s="23">
        <v>7.0000000000000007E-2</v>
      </c>
      <c r="CR114" s="23">
        <v>0.96</v>
      </c>
      <c r="CS114" s="23">
        <v>-6.85</v>
      </c>
      <c r="CT114" s="24">
        <v>1</v>
      </c>
      <c r="CU114" s="23" t="s">
        <v>138</v>
      </c>
      <c r="CV114" s="24" t="s">
        <v>138</v>
      </c>
      <c r="CW114" s="23" t="s">
        <v>138</v>
      </c>
      <c r="CX114" s="24" t="s">
        <v>138</v>
      </c>
      <c r="CY114" s="23">
        <v>-6.85</v>
      </c>
      <c r="CZ114" s="24">
        <v>1</v>
      </c>
      <c r="DA114" s="23" t="s">
        <v>138</v>
      </c>
      <c r="DB114" s="24" t="s">
        <v>138</v>
      </c>
      <c r="DC114" s="25">
        <v>13.69</v>
      </c>
      <c r="DD114" s="24">
        <v>92</v>
      </c>
      <c r="DE114" s="25">
        <v>0.03</v>
      </c>
      <c r="DF114" s="23">
        <v>0.25</v>
      </c>
      <c r="DG114" s="25">
        <v>13.69</v>
      </c>
      <c r="DH114" s="24">
        <v>92</v>
      </c>
      <c r="DI114" s="25" t="s">
        <v>138</v>
      </c>
      <c r="DJ114" s="24" t="s">
        <v>138</v>
      </c>
      <c r="DK114" s="25" t="s">
        <v>138</v>
      </c>
      <c r="DL114" s="24" t="s">
        <v>138</v>
      </c>
      <c r="DM114" s="25">
        <v>13.69</v>
      </c>
      <c r="DN114" s="24">
        <v>91</v>
      </c>
      <c r="DO114" s="25" t="s">
        <v>138</v>
      </c>
      <c r="DP114" s="24" t="s">
        <v>138</v>
      </c>
      <c r="DQ114" s="24" t="s">
        <v>138</v>
      </c>
      <c r="DR114" s="26" t="s">
        <v>138</v>
      </c>
      <c r="DS114" s="23" t="s">
        <v>138</v>
      </c>
      <c r="DT114" s="24">
        <v>396</v>
      </c>
      <c r="DU114" s="26">
        <v>1</v>
      </c>
      <c r="DV114" s="23">
        <v>0.25</v>
      </c>
      <c r="DW114" s="24" t="s">
        <v>138</v>
      </c>
      <c r="DX114" s="27" t="s">
        <v>138</v>
      </c>
      <c r="DY114" s="23" t="s">
        <v>138</v>
      </c>
      <c r="DZ114" s="15" t="s">
        <v>178</v>
      </c>
      <c r="EA114" s="22">
        <v>43622</v>
      </c>
      <c r="EB114" s="17" t="s">
        <v>138</v>
      </c>
      <c r="EC114" s="22" t="s">
        <v>138</v>
      </c>
      <c r="ED114" s="15" t="s">
        <v>138</v>
      </c>
      <c r="EE114" s="14" t="str">
        <f>HYPERLINK("https://my.pitchbook.com?c=42144-22", "View company online")</f>
        <v>View company online</v>
      </c>
    </row>
    <row r="115" spans="1:135">
      <c r="A115" s="28" t="s">
        <v>2726</v>
      </c>
      <c r="B115" s="28" t="s">
        <v>2727</v>
      </c>
      <c r="C115" s="28" t="s">
        <v>138</v>
      </c>
      <c r="D115" s="28" t="s">
        <v>138</v>
      </c>
      <c r="E115" s="28" t="s">
        <v>138</v>
      </c>
      <c r="F115" s="28" t="s">
        <v>2726</v>
      </c>
      <c r="G115" s="28" t="s">
        <v>2728</v>
      </c>
      <c r="H115" s="28" t="s">
        <v>322</v>
      </c>
      <c r="I115" s="28" t="s">
        <v>1503</v>
      </c>
      <c r="J115" s="28" t="s">
        <v>2377</v>
      </c>
      <c r="K115" s="28" t="s">
        <v>2729</v>
      </c>
      <c r="L115" s="28" t="s">
        <v>359</v>
      </c>
      <c r="M115" s="28" t="s">
        <v>2730</v>
      </c>
      <c r="N115" s="28" t="s">
        <v>147</v>
      </c>
      <c r="O115" s="29">
        <v>15.5</v>
      </c>
      <c r="P115" s="28" t="s">
        <v>148</v>
      </c>
      <c r="Q115" s="28" t="s">
        <v>149</v>
      </c>
      <c r="R115" s="28" t="s">
        <v>174</v>
      </c>
      <c r="S115" s="28" t="s">
        <v>2731</v>
      </c>
      <c r="T115" s="30">
        <v>27</v>
      </c>
      <c r="U115" s="28" t="s">
        <v>2732</v>
      </c>
      <c r="V115" s="28" t="s">
        <v>138</v>
      </c>
      <c r="W115" s="28" t="s">
        <v>138</v>
      </c>
      <c r="X115" s="31">
        <v>2016</v>
      </c>
      <c r="Y115" s="28" t="s">
        <v>138</v>
      </c>
      <c r="Z115" s="28" t="s">
        <v>138</v>
      </c>
      <c r="AA115" s="28" t="s">
        <v>138</v>
      </c>
      <c r="AB115" s="32" t="s">
        <v>138</v>
      </c>
      <c r="AC115" s="32" t="s">
        <v>138</v>
      </c>
      <c r="AD115" s="32" t="s">
        <v>138</v>
      </c>
      <c r="AE115" s="32" t="s">
        <v>138</v>
      </c>
      <c r="AF115" s="32" t="s">
        <v>138</v>
      </c>
      <c r="AG115" s="28" t="s">
        <v>138</v>
      </c>
      <c r="AH115" s="32" t="s">
        <v>138</v>
      </c>
      <c r="AI115" s="32" t="s">
        <v>138</v>
      </c>
      <c r="AJ115" s="32" t="s">
        <v>138</v>
      </c>
      <c r="AK115" s="28" t="s">
        <v>2733</v>
      </c>
      <c r="AL115" s="28" t="s">
        <v>2734</v>
      </c>
      <c r="AM115" s="28" t="s">
        <v>422</v>
      </c>
      <c r="AN115" s="28" t="s">
        <v>2735</v>
      </c>
      <c r="AO115" s="28" t="s">
        <v>138</v>
      </c>
      <c r="AP115" s="28" t="s">
        <v>2736</v>
      </c>
      <c r="AQ115" s="28" t="s">
        <v>2737</v>
      </c>
      <c r="AR115" s="28" t="s">
        <v>2738</v>
      </c>
      <c r="AS115" s="28" t="s">
        <v>2739</v>
      </c>
      <c r="AT115" s="28" t="s">
        <v>2740</v>
      </c>
      <c r="AU115" s="28" t="s">
        <v>2741</v>
      </c>
      <c r="AV115" s="28" t="s">
        <v>2742</v>
      </c>
      <c r="AW115" s="28" t="s">
        <v>138</v>
      </c>
      <c r="AX115" s="28" t="s">
        <v>138</v>
      </c>
      <c r="AY115" s="28" t="s">
        <v>2743</v>
      </c>
      <c r="AZ115" s="28" t="s">
        <v>164</v>
      </c>
      <c r="BA115" s="28" t="s">
        <v>165</v>
      </c>
      <c r="BB115" s="28" t="s">
        <v>2744</v>
      </c>
      <c r="BC115" s="28" t="s">
        <v>2745</v>
      </c>
      <c r="BD115" s="33">
        <v>4</v>
      </c>
      <c r="BE115" s="28" t="s">
        <v>138</v>
      </c>
      <c r="BF115" s="28" t="s">
        <v>138</v>
      </c>
      <c r="BG115" s="28" t="s">
        <v>138</v>
      </c>
      <c r="BH115" s="28" t="s">
        <v>2746</v>
      </c>
      <c r="BI115" s="28" t="s">
        <v>138</v>
      </c>
      <c r="BJ115" s="28" t="s">
        <v>138</v>
      </c>
      <c r="BK115" s="28" t="s">
        <v>2747</v>
      </c>
      <c r="BL115" s="28" t="s">
        <v>2748</v>
      </c>
      <c r="BM115" s="34">
        <v>43165</v>
      </c>
      <c r="BN115" s="29">
        <v>15.5</v>
      </c>
      <c r="BO115" s="28" t="s">
        <v>172</v>
      </c>
      <c r="BP115" s="29" t="s">
        <v>138</v>
      </c>
      <c r="BQ115" s="28" t="s">
        <v>138</v>
      </c>
      <c r="BR115" s="28" t="s">
        <v>205</v>
      </c>
      <c r="BS115" s="28" t="s">
        <v>206</v>
      </c>
      <c r="BT115" s="28" t="s">
        <v>138</v>
      </c>
      <c r="BU115" s="28" t="s">
        <v>174</v>
      </c>
      <c r="BV115" s="28" t="s">
        <v>138</v>
      </c>
      <c r="BW115" s="28" t="s">
        <v>138</v>
      </c>
      <c r="BX115" s="28" t="s">
        <v>138</v>
      </c>
      <c r="BY115" s="28" t="s">
        <v>175</v>
      </c>
      <c r="BZ115" s="34">
        <v>43376</v>
      </c>
      <c r="CA115" s="29">
        <v>8.5</v>
      </c>
      <c r="CB115" s="28" t="s">
        <v>172</v>
      </c>
      <c r="CC115" s="29" t="s">
        <v>138</v>
      </c>
      <c r="CD115" s="28" t="s">
        <v>138</v>
      </c>
      <c r="CE115" s="28" t="s">
        <v>176</v>
      </c>
      <c r="CF115" s="28" t="s">
        <v>138</v>
      </c>
      <c r="CG115" s="28" t="s">
        <v>138</v>
      </c>
      <c r="CH115" s="28" t="s">
        <v>177</v>
      </c>
      <c r="CI115" s="28" t="s">
        <v>138</v>
      </c>
      <c r="CJ115" s="28" t="s">
        <v>138</v>
      </c>
      <c r="CK115" s="28" t="s">
        <v>138</v>
      </c>
      <c r="CL115" s="28" t="s">
        <v>175</v>
      </c>
      <c r="CM115" s="34" t="s">
        <v>138</v>
      </c>
      <c r="CN115" s="29" t="s">
        <v>138</v>
      </c>
      <c r="CO115" s="35">
        <v>0</v>
      </c>
      <c r="CP115" s="36">
        <v>26</v>
      </c>
      <c r="CQ115" s="35">
        <v>0</v>
      </c>
      <c r="CR115" s="35">
        <v>0</v>
      </c>
      <c r="CS115" s="35">
        <v>0</v>
      </c>
      <c r="CT115" s="36">
        <v>23</v>
      </c>
      <c r="CU115" s="35" t="s">
        <v>138</v>
      </c>
      <c r="CV115" s="36" t="s">
        <v>138</v>
      </c>
      <c r="CW115" s="35" t="s">
        <v>138</v>
      </c>
      <c r="CX115" s="36" t="s">
        <v>138</v>
      </c>
      <c r="CY115" s="35">
        <v>0</v>
      </c>
      <c r="CZ115" s="36">
        <v>25</v>
      </c>
      <c r="DA115" s="35" t="s">
        <v>138</v>
      </c>
      <c r="DB115" s="36" t="s">
        <v>138</v>
      </c>
      <c r="DC115" s="37">
        <v>1.1000000000000001</v>
      </c>
      <c r="DD115" s="36">
        <v>53</v>
      </c>
      <c r="DE115" s="37">
        <v>0</v>
      </c>
      <c r="DF115" s="35">
        <v>0</v>
      </c>
      <c r="DG115" s="37">
        <v>1.1000000000000001</v>
      </c>
      <c r="DH115" s="36">
        <v>53</v>
      </c>
      <c r="DI115" s="37" t="s">
        <v>138</v>
      </c>
      <c r="DJ115" s="36" t="s">
        <v>138</v>
      </c>
      <c r="DK115" s="37" t="s">
        <v>138</v>
      </c>
      <c r="DL115" s="36" t="s">
        <v>138</v>
      </c>
      <c r="DM115" s="37">
        <v>1.1000000000000001</v>
      </c>
      <c r="DN115" s="36">
        <v>52</v>
      </c>
      <c r="DO115" s="37" t="s">
        <v>138</v>
      </c>
      <c r="DP115" s="36" t="s">
        <v>138</v>
      </c>
      <c r="DQ115" s="36">
        <v>64</v>
      </c>
      <c r="DR115" s="38">
        <v>-20</v>
      </c>
      <c r="DS115" s="35">
        <v>-23.81</v>
      </c>
      <c r="DT115" s="36">
        <v>32</v>
      </c>
      <c r="DU115" s="38">
        <v>0</v>
      </c>
      <c r="DV115" s="35">
        <v>0</v>
      </c>
      <c r="DW115" s="36" t="s">
        <v>138</v>
      </c>
      <c r="DX115" s="39" t="s">
        <v>138</v>
      </c>
      <c r="DY115" s="35" t="s">
        <v>138</v>
      </c>
      <c r="DZ115" s="28" t="s">
        <v>178</v>
      </c>
      <c r="EA115" s="34">
        <v>43622</v>
      </c>
      <c r="EB115" s="29" t="s">
        <v>138</v>
      </c>
      <c r="EC115" s="34" t="s">
        <v>138</v>
      </c>
      <c r="ED115" s="28" t="s">
        <v>138</v>
      </c>
      <c r="EE115" s="40" t="str">
        <f>HYPERLINK("https://my.pitchbook.com?c=227390-86", "View company online")</f>
        <v>View company online</v>
      </c>
    </row>
    <row r="116" spans="1:135">
      <c r="A116" s="15" t="s">
        <v>2749</v>
      </c>
      <c r="B116" s="15" t="s">
        <v>2750</v>
      </c>
      <c r="C116" s="15" t="s">
        <v>138</v>
      </c>
      <c r="D116" s="15" t="s">
        <v>138</v>
      </c>
      <c r="E116" s="15" t="s">
        <v>2751</v>
      </c>
      <c r="F116" s="15" t="s">
        <v>2749</v>
      </c>
      <c r="G116" s="15" t="s">
        <v>2752</v>
      </c>
      <c r="H116" s="15" t="s">
        <v>322</v>
      </c>
      <c r="I116" s="15" t="s">
        <v>323</v>
      </c>
      <c r="J116" s="15" t="s">
        <v>2084</v>
      </c>
      <c r="K116" s="15" t="s">
        <v>2753</v>
      </c>
      <c r="L116" s="15" t="s">
        <v>2274</v>
      </c>
      <c r="M116" s="15" t="s">
        <v>2754</v>
      </c>
      <c r="N116" s="15" t="s">
        <v>147</v>
      </c>
      <c r="O116" s="17">
        <v>0.22</v>
      </c>
      <c r="P116" s="15" t="s">
        <v>148</v>
      </c>
      <c r="Q116" s="15" t="s">
        <v>149</v>
      </c>
      <c r="R116" s="15" t="s">
        <v>174</v>
      </c>
      <c r="S116" s="15" t="s">
        <v>2755</v>
      </c>
      <c r="T116" s="18">
        <v>47</v>
      </c>
      <c r="U116" s="15" t="s">
        <v>2756</v>
      </c>
      <c r="V116" s="15" t="s">
        <v>138</v>
      </c>
      <c r="W116" s="15" t="s">
        <v>138</v>
      </c>
      <c r="X116" s="19">
        <v>2003</v>
      </c>
      <c r="Y116" s="15" t="s">
        <v>138</v>
      </c>
      <c r="Z116" s="15" t="s">
        <v>138</v>
      </c>
      <c r="AA116" s="15" t="s">
        <v>138</v>
      </c>
      <c r="AB116" s="20" t="s">
        <v>138</v>
      </c>
      <c r="AC116" s="20" t="s">
        <v>138</v>
      </c>
      <c r="AD116" s="20" t="s">
        <v>138</v>
      </c>
      <c r="AE116" s="20" t="s">
        <v>138</v>
      </c>
      <c r="AF116" s="20" t="s">
        <v>138</v>
      </c>
      <c r="AG116" s="15" t="s">
        <v>138</v>
      </c>
      <c r="AH116" s="20" t="s">
        <v>138</v>
      </c>
      <c r="AI116" s="20" t="s">
        <v>138</v>
      </c>
      <c r="AJ116" s="20" t="s">
        <v>138</v>
      </c>
      <c r="AK116" s="15" t="s">
        <v>2757</v>
      </c>
      <c r="AL116" s="15" t="s">
        <v>2758</v>
      </c>
      <c r="AM116" s="15" t="s">
        <v>986</v>
      </c>
      <c r="AN116" s="15" t="s">
        <v>138</v>
      </c>
      <c r="AO116" s="15" t="s">
        <v>2759</v>
      </c>
      <c r="AP116" s="15" t="s">
        <v>1244</v>
      </c>
      <c r="AQ116" s="15" t="s">
        <v>2760</v>
      </c>
      <c r="AR116" s="15" t="s">
        <v>2761</v>
      </c>
      <c r="AS116" s="15" t="s">
        <v>1246</v>
      </c>
      <c r="AT116" s="15" t="s">
        <v>200</v>
      </c>
      <c r="AU116" s="15" t="s">
        <v>844</v>
      </c>
      <c r="AV116" s="15" t="s">
        <v>162</v>
      </c>
      <c r="AW116" s="15" t="s">
        <v>2762</v>
      </c>
      <c r="AX116" s="15" t="s">
        <v>2763</v>
      </c>
      <c r="AY116" s="15" t="s">
        <v>138</v>
      </c>
      <c r="AZ116" s="15" t="s">
        <v>164</v>
      </c>
      <c r="BA116" s="15" t="s">
        <v>165</v>
      </c>
      <c r="BB116" s="15" t="s">
        <v>2764</v>
      </c>
      <c r="BC116" s="15" t="s">
        <v>2765</v>
      </c>
      <c r="BD116" s="21">
        <v>4</v>
      </c>
      <c r="BE116" s="15" t="s">
        <v>138</v>
      </c>
      <c r="BF116" s="15" t="s">
        <v>138</v>
      </c>
      <c r="BG116" s="15" t="s">
        <v>138</v>
      </c>
      <c r="BH116" s="15" t="s">
        <v>2766</v>
      </c>
      <c r="BI116" s="15" t="s">
        <v>138</v>
      </c>
      <c r="BJ116" s="15" t="s">
        <v>138</v>
      </c>
      <c r="BK116" s="15" t="s">
        <v>2767</v>
      </c>
      <c r="BL116" s="15" t="s">
        <v>2767</v>
      </c>
      <c r="BM116" s="22">
        <v>39524</v>
      </c>
      <c r="BN116" s="17">
        <v>0.22</v>
      </c>
      <c r="BO116" s="15" t="s">
        <v>172</v>
      </c>
      <c r="BP116" s="17" t="s">
        <v>138</v>
      </c>
      <c r="BQ116" s="15" t="s">
        <v>138</v>
      </c>
      <c r="BR116" s="15" t="s">
        <v>205</v>
      </c>
      <c r="BS116" s="15" t="s">
        <v>206</v>
      </c>
      <c r="BT116" s="15" t="s">
        <v>138</v>
      </c>
      <c r="BU116" s="15" t="s">
        <v>174</v>
      </c>
      <c r="BV116" s="15" t="s">
        <v>138</v>
      </c>
      <c r="BW116" s="15" t="s">
        <v>138</v>
      </c>
      <c r="BX116" s="15" t="s">
        <v>138</v>
      </c>
      <c r="BY116" s="15" t="s">
        <v>175</v>
      </c>
      <c r="BZ116" s="22">
        <v>40701</v>
      </c>
      <c r="CA116" s="17" t="s">
        <v>138</v>
      </c>
      <c r="CB116" s="15" t="s">
        <v>138</v>
      </c>
      <c r="CC116" s="17" t="s">
        <v>138</v>
      </c>
      <c r="CD116" s="15" t="s">
        <v>138</v>
      </c>
      <c r="CE116" s="15" t="s">
        <v>173</v>
      </c>
      <c r="CF116" s="15" t="s">
        <v>138</v>
      </c>
      <c r="CG116" s="15" t="s">
        <v>138</v>
      </c>
      <c r="CH116" s="15" t="s">
        <v>174</v>
      </c>
      <c r="CI116" s="15" t="s">
        <v>138</v>
      </c>
      <c r="CJ116" s="15" t="s">
        <v>138</v>
      </c>
      <c r="CK116" s="15" t="s">
        <v>138</v>
      </c>
      <c r="CL116" s="15" t="s">
        <v>175</v>
      </c>
      <c r="CM116" s="22" t="s">
        <v>138</v>
      </c>
      <c r="CN116" s="17" t="s">
        <v>138</v>
      </c>
      <c r="CO116" s="23">
        <v>-0.55000000000000004</v>
      </c>
      <c r="CP116" s="24">
        <v>15</v>
      </c>
      <c r="CQ116" s="23">
        <v>-0.01</v>
      </c>
      <c r="CR116" s="23">
        <v>-1.64</v>
      </c>
      <c r="CS116" s="23">
        <v>-1.68</v>
      </c>
      <c r="CT116" s="24">
        <v>10</v>
      </c>
      <c r="CU116" s="23">
        <v>0.03</v>
      </c>
      <c r="CV116" s="24">
        <v>54</v>
      </c>
      <c r="CW116" s="23">
        <v>2.5499999999999998</v>
      </c>
      <c r="CX116" s="24">
        <v>90</v>
      </c>
      <c r="CY116" s="23">
        <v>-5.92</v>
      </c>
      <c r="CZ116" s="24">
        <v>2</v>
      </c>
      <c r="DA116" s="23">
        <v>0.03</v>
      </c>
      <c r="DB116" s="24">
        <v>60</v>
      </c>
      <c r="DC116" s="25">
        <v>11.48</v>
      </c>
      <c r="DD116" s="24">
        <v>91</v>
      </c>
      <c r="DE116" s="25">
        <v>-0.78</v>
      </c>
      <c r="DF116" s="23">
        <v>-6.4</v>
      </c>
      <c r="DG116" s="25">
        <v>27.62</v>
      </c>
      <c r="DH116" s="24">
        <v>96</v>
      </c>
      <c r="DI116" s="25">
        <v>5.32</v>
      </c>
      <c r="DJ116" s="24">
        <v>78</v>
      </c>
      <c r="DK116" s="25">
        <v>38.04</v>
      </c>
      <c r="DL116" s="24">
        <v>95</v>
      </c>
      <c r="DM116" s="25">
        <v>17.21</v>
      </c>
      <c r="DN116" s="24">
        <v>93</v>
      </c>
      <c r="DO116" s="25">
        <v>5.32</v>
      </c>
      <c r="DP116" s="24">
        <v>80</v>
      </c>
      <c r="DQ116" s="24">
        <v>13098</v>
      </c>
      <c r="DR116" s="26">
        <v>-153</v>
      </c>
      <c r="DS116" s="23">
        <v>-1.1499999999999999</v>
      </c>
      <c r="DT116" s="24">
        <v>499</v>
      </c>
      <c r="DU116" s="26">
        <v>-1</v>
      </c>
      <c r="DV116" s="23">
        <v>-0.2</v>
      </c>
      <c r="DW116" s="24">
        <v>1903</v>
      </c>
      <c r="DX116" s="27">
        <v>1</v>
      </c>
      <c r="DY116" s="23">
        <v>0.05</v>
      </c>
      <c r="DZ116" s="15" t="s">
        <v>178</v>
      </c>
      <c r="EA116" s="22">
        <v>43351</v>
      </c>
      <c r="EB116" s="17" t="s">
        <v>138</v>
      </c>
      <c r="EC116" s="22" t="s">
        <v>138</v>
      </c>
      <c r="ED116" s="15" t="s">
        <v>138</v>
      </c>
      <c r="EE116" s="14" t="str">
        <f>HYPERLINK("https://my.pitchbook.com?c=53517-25", "View company online")</f>
        <v>View company online</v>
      </c>
    </row>
    <row r="117" spans="1:135">
      <c r="A117" s="28" t="s">
        <v>2768</v>
      </c>
      <c r="B117" s="28" t="s">
        <v>2769</v>
      </c>
      <c r="C117" s="28" t="s">
        <v>138</v>
      </c>
      <c r="D117" s="28" t="s">
        <v>138</v>
      </c>
      <c r="E117" s="28" t="s">
        <v>138</v>
      </c>
      <c r="F117" s="28" t="s">
        <v>2768</v>
      </c>
      <c r="G117" s="28" t="s">
        <v>2770</v>
      </c>
      <c r="H117" s="28" t="s">
        <v>141</v>
      </c>
      <c r="I117" s="28" t="s">
        <v>212</v>
      </c>
      <c r="J117" s="28" t="s">
        <v>1257</v>
      </c>
      <c r="K117" s="28" t="s">
        <v>1258</v>
      </c>
      <c r="L117" s="28" t="s">
        <v>2771</v>
      </c>
      <c r="M117" s="28" t="s">
        <v>2772</v>
      </c>
      <c r="N117" s="28" t="s">
        <v>147</v>
      </c>
      <c r="O117" s="29" t="s">
        <v>138</v>
      </c>
      <c r="P117" s="28" t="s">
        <v>148</v>
      </c>
      <c r="Q117" s="28" t="s">
        <v>149</v>
      </c>
      <c r="R117" s="28" t="s">
        <v>174</v>
      </c>
      <c r="S117" s="28" t="s">
        <v>2773</v>
      </c>
      <c r="T117" s="30" t="s">
        <v>138</v>
      </c>
      <c r="U117" s="28" t="s">
        <v>138</v>
      </c>
      <c r="V117" s="28" t="s">
        <v>138</v>
      </c>
      <c r="W117" s="28" t="s">
        <v>138</v>
      </c>
      <c r="X117" s="31">
        <v>2014</v>
      </c>
      <c r="Y117" s="28" t="s">
        <v>138</v>
      </c>
      <c r="Z117" s="28" t="s">
        <v>138</v>
      </c>
      <c r="AA117" s="28" t="s">
        <v>138</v>
      </c>
      <c r="AB117" s="32" t="s">
        <v>138</v>
      </c>
      <c r="AC117" s="32" t="s">
        <v>138</v>
      </c>
      <c r="AD117" s="32" t="s">
        <v>138</v>
      </c>
      <c r="AE117" s="32" t="s">
        <v>138</v>
      </c>
      <c r="AF117" s="32" t="s">
        <v>138</v>
      </c>
      <c r="AG117" s="28" t="s">
        <v>138</v>
      </c>
      <c r="AH117" s="32" t="s">
        <v>138</v>
      </c>
      <c r="AI117" s="32" t="s">
        <v>138</v>
      </c>
      <c r="AJ117" s="32" t="s">
        <v>138</v>
      </c>
      <c r="AK117" s="28" t="s">
        <v>2774</v>
      </c>
      <c r="AL117" s="28" t="s">
        <v>2775</v>
      </c>
      <c r="AM117" s="28" t="s">
        <v>2776</v>
      </c>
      <c r="AN117" s="28" t="s">
        <v>2777</v>
      </c>
      <c r="AO117" s="28" t="s">
        <v>138</v>
      </c>
      <c r="AP117" s="28" t="s">
        <v>2778</v>
      </c>
      <c r="AQ117" s="28" t="s">
        <v>138</v>
      </c>
      <c r="AR117" s="28" t="s">
        <v>138</v>
      </c>
      <c r="AS117" s="28" t="s">
        <v>2779</v>
      </c>
      <c r="AT117" s="28" t="s">
        <v>138</v>
      </c>
      <c r="AU117" s="28" t="s">
        <v>138</v>
      </c>
      <c r="AV117" s="28" t="s">
        <v>2780</v>
      </c>
      <c r="AW117" s="28" t="s">
        <v>138</v>
      </c>
      <c r="AX117" s="28" t="s">
        <v>138</v>
      </c>
      <c r="AY117" s="28" t="s">
        <v>138</v>
      </c>
      <c r="AZ117" s="28" t="s">
        <v>164</v>
      </c>
      <c r="BA117" s="28" t="s">
        <v>2781</v>
      </c>
      <c r="BB117" s="28" t="s">
        <v>2782</v>
      </c>
      <c r="BC117" s="28" t="s">
        <v>2783</v>
      </c>
      <c r="BD117" s="33">
        <v>1</v>
      </c>
      <c r="BE117" s="28" t="s">
        <v>138</v>
      </c>
      <c r="BF117" s="28" t="s">
        <v>138</v>
      </c>
      <c r="BG117" s="28" t="s">
        <v>138</v>
      </c>
      <c r="BH117" s="28" t="s">
        <v>2784</v>
      </c>
      <c r="BI117" s="28" t="s">
        <v>138</v>
      </c>
      <c r="BJ117" s="28" t="s">
        <v>138</v>
      </c>
      <c r="BK117" s="28" t="s">
        <v>138</v>
      </c>
      <c r="BL117" s="28" t="s">
        <v>138</v>
      </c>
      <c r="BM117" s="34">
        <v>42156</v>
      </c>
      <c r="BN117" s="29" t="s">
        <v>138</v>
      </c>
      <c r="BO117" s="28" t="s">
        <v>138</v>
      </c>
      <c r="BP117" s="29" t="s">
        <v>138</v>
      </c>
      <c r="BQ117" s="28" t="s">
        <v>138</v>
      </c>
      <c r="BR117" s="28" t="s">
        <v>205</v>
      </c>
      <c r="BS117" s="28" t="s">
        <v>138</v>
      </c>
      <c r="BT117" s="28" t="s">
        <v>138</v>
      </c>
      <c r="BU117" s="28" t="s">
        <v>174</v>
      </c>
      <c r="BV117" s="28" t="s">
        <v>138</v>
      </c>
      <c r="BW117" s="28" t="s">
        <v>138</v>
      </c>
      <c r="BX117" s="28" t="s">
        <v>138</v>
      </c>
      <c r="BY117" s="28" t="s">
        <v>175</v>
      </c>
      <c r="BZ117" s="34">
        <v>42156</v>
      </c>
      <c r="CA117" s="29" t="s">
        <v>138</v>
      </c>
      <c r="CB117" s="28" t="s">
        <v>138</v>
      </c>
      <c r="CC117" s="29" t="s">
        <v>138</v>
      </c>
      <c r="CD117" s="28" t="s">
        <v>138</v>
      </c>
      <c r="CE117" s="28" t="s">
        <v>205</v>
      </c>
      <c r="CF117" s="28" t="s">
        <v>138</v>
      </c>
      <c r="CG117" s="28" t="s">
        <v>138</v>
      </c>
      <c r="CH117" s="28" t="s">
        <v>174</v>
      </c>
      <c r="CI117" s="28" t="s">
        <v>138</v>
      </c>
      <c r="CJ117" s="28" t="s">
        <v>138</v>
      </c>
      <c r="CK117" s="28" t="s">
        <v>138</v>
      </c>
      <c r="CL117" s="28" t="s">
        <v>175</v>
      </c>
      <c r="CM117" s="34" t="s">
        <v>138</v>
      </c>
      <c r="CN117" s="29" t="s">
        <v>138</v>
      </c>
      <c r="CO117" s="35">
        <v>0</v>
      </c>
      <c r="CP117" s="36">
        <v>26</v>
      </c>
      <c r="CQ117" s="35">
        <v>0</v>
      </c>
      <c r="CR117" s="35">
        <v>0</v>
      </c>
      <c r="CS117" s="35">
        <v>0</v>
      </c>
      <c r="CT117" s="36">
        <v>23</v>
      </c>
      <c r="CU117" s="35" t="s">
        <v>138</v>
      </c>
      <c r="CV117" s="36" t="s">
        <v>138</v>
      </c>
      <c r="CW117" s="35" t="s">
        <v>138</v>
      </c>
      <c r="CX117" s="36" t="s">
        <v>138</v>
      </c>
      <c r="CY117" s="35">
        <v>0</v>
      </c>
      <c r="CZ117" s="36">
        <v>25</v>
      </c>
      <c r="DA117" s="35" t="s">
        <v>138</v>
      </c>
      <c r="DB117" s="36" t="s">
        <v>138</v>
      </c>
      <c r="DC117" s="37">
        <v>1.76</v>
      </c>
      <c r="DD117" s="36">
        <v>64</v>
      </c>
      <c r="DE117" s="37">
        <v>-0.03</v>
      </c>
      <c r="DF117" s="35">
        <v>-1.92</v>
      </c>
      <c r="DG117" s="37">
        <v>1.76</v>
      </c>
      <c r="DH117" s="36">
        <v>64</v>
      </c>
      <c r="DI117" s="37" t="s">
        <v>138</v>
      </c>
      <c r="DJ117" s="36" t="s">
        <v>138</v>
      </c>
      <c r="DK117" s="37" t="s">
        <v>138</v>
      </c>
      <c r="DL117" s="36" t="s">
        <v>138</v>
      </c>
      <c r="DM117" s="37">
        <v>1.76</v>
      </c>
      <c r="DN117" s="36">
        <v>63</v>
      </c>
      <c r="DO117" s="37" t="s">
        <v>138</v>
      </c>
      <c r="DP117" s="36" t="s">
        <v>138</v>
      </c>
      <c r="DQ117" s="36" t="s">
        <v>138</v>
      </c>
      <c r="DR117" s="38" t="s">
        <v>138</v>
      </c>
      <c r="DS117" s="35" t="s">
        <v>138</v>
      </c>
      <c r="DT117" s="36">
        <v>51</v>
      </c>
      <c r="DU117" s="38">
        <v>0</v>
      </c>
      <c r="DV117" s="35">
        <v>0</v>
      </c>
      <c r="DW117" s="36" t="s">
        <v>138</v>
      </c>
      <c r="DX117" s="39" t="s">
        <v>138</v>
      </c>
      <c r="DY117" s="35" t="s">
        <v>138</v>
      </c>
      <c r="DZ117" s="28" t="s">
        <v>178</v>
      </c>
      <c r="EA117" s="34">
        <v>43364</v>
      </c>
      <c r="EB117" s="29" t="s">
        <v>138</v>
      </c>
      <c r="EC117" s="34" t="s">
        <v>138</v>
      </c>
      <c r="ED117" s="28" t="s">
        <v>138</v>
      </c>
      <c r="EE117" s="40" t="str">
        <f>HYPERLINK("https://my.pitchbook.com?c=232743-16", "View company online")</f>
        <v>View company online</v>
      </c>
    </row>
    <row r="118" spans="1:135">
      <c r="A118" s="15" t="s">
        <v>2785</v>
      </c>
      <c r="B118" s="15" t="s">
        <v>2786</v>
      </c>
      <c r="C118" s="15" t="s">
        <v>138</v>
      </c>
      <c r="D118" s="15" t="s">
        <v>138</v>
      </c>
      <c r="E118" s="15" t="s">
        <v>2787</v>
      </c>
      <c r="F118" s="15" t="s">
        <v>2785</v>
      </c>
      <c r="G118" s="15" t="s">
        <v>2788</v>
      </c>
      <c r="H118" s="15" t="s">
        <v>322</v>
      </c>
      <c r="I118" s="15" t="s">
        <v>323</v>
      </c>
      <c r="J118" s="15" t="s">
        <v>413</v>
      </c>
      <c r="K118" s="15" t="s">
        <v>874</v>
      </c>
      <c r="L118" s="15" t="s">
        <v>215</v>
      </c>
      <c r="M118" s="15" t="s">
        <v>2789</v>
      </c>
      <c r="N118" s="15" t="s">
        <v>147</v>
      </c>
      <c r="O118" s="17">
        <v>20.9</v>
      </c>
      <c r="P118" s="15" t="s">
        <v>148</v>
      </c>
      <c r="Q118" s="15" t="s">
        <v>149</v>
      </c>
      <c r="R118" s="15" t="s">
        <v>174</v>
      </c>
      <c r="S118" s="15" t="s">
        <v>2790</v>
      </c>
      <c r="T118" s="18">
        <v>201</v>
      </c>
      <c r="U118" s="15" t="s">
        <v>2791</v>
      </c>
      <c r="V118" s="15" t="s">
        <v>138</v>
      </c>
      <c r="W118" s="15" t="s">
        <v>138</v>
      </c>
      <c r="X118" s="19">
        <v>2006</v>
      </c>
      <c r="Y118" s="15" t="s">
        <v>138</v>
      </c>
      <c r="Z118" s="15" t="s">
        <v>138</v>
      </c>
      <c r="AA118" s="15" t="s">
        <v>138</v>
      </c>
      <c r="AB118" s="20">
        <v>13.57</v>
      </c>
      <c r="AC118" s="20" t="s">
        <v>138</v>
      </c>
      <c r="AD118" s="20" t="s">
        <v>138</v>
      </c>
      <c r="AE118" s="20" t="s">
        <v>138</v>
      </c>
      <c r="AF118" s="20" t="s">
        <v>138</v>
      </c>
      <c r="AG118" s="15" t="s">
        <v>633</v>
      </c>
      <c r="AH118" s="20" t="s">
        <v>138</v>
      </c>
      <c r="AI118" s="20" t="s">
        <v>138</v>
      </c>
      <c r="AJ118" s="20" t="s">
        <v>138</v>
      </c>
      <c r="AK118" s="15" t="s">
        <v>2792</v>
      </c>
      <c r="AL118" s="15" t="s">
        <v>2793</v>
      </c>
      <c r="AM118" s="15" t="s">
        <v>2794</v>
      </c>
      <c r="AN118" s="15" t="s">
        <v>2795</v>
      </c>
      <c r="AO118" s="15" t="s">
        <v>2796</v>
      </c>
      <c r="AP118" s="15" t="s">
        <v>2797</v>
      </c>
      <c r="AQ118" s="15" t="s">
        <v>2798</v>
      </c>
      <c r="AR118" s="15" t="s">
        <v>158</v>
      </c>
      <c r="AS118" s="15" t="s">
        <v>2799</v>
      </c>
      <c r="AT118" s="15" t="s">
        <v>160</v>
      </c>
      <c r="AU118" s="15" t="s">
        <v>2800</v>
      </c>
      <c r="AV118" s="15" t="s">
        <v>162</v>
      </c>
      <c r="AW118" s="15" t="s">
        <v>2796</v>
      </c>
      <c r="AX118" s="15" t="s">
        <v>138</v>
      </c>
      <c r="AY118" s="15" t="s">
        <v>2801</v>
      </c>
      <c r="AZ118" s="15" t="s">
        <v>164</v>
      </c>
      <c r="BA118" s="15" t="s">
        <v>165</v>
      </c>
      <c r="BB118" s="15" t="s">
        <v>2802</v>
      </c>
      <c r="BC118" s="15" t="s">
        <v>2803</v>
      </c>
      <c r="BD118" s="21">
        <v>6</v>
      </c>
      <c r="BE118" s="15" t="s">
        <v>138</v>
      </c>
      <c r="BF118" s="15" t="s">
        <v>138</v>
      </c>
      <c r="BG118" s="15" t="s">
        <v>138</v>
      </c>
      <c r="BH118" s="15" t="s">
        <v>2804</v>
      </c>
      <c r="BI118" s="15" t="s">
        <v>138</v>
      </c>
      <c r="BJ118" s="15" t="s">
        <v>138</v>
      </c>
      <c r="BK118" s="15" t="s">
        <v>138</v>
      </c>
      <c r="BL118" s="15" t="s">
        <v>138</v>
      </c>
      <c r="BM118" s="22" t="s">
        <v>138</v>
      </c>
      <c r="BN118" s="17">
        <v>2.85</v>
      </c>
      <c r="BO118" s="15" t="s">
        <v>172</v>
      </c>
      <c r="BP118" s="17">
        <v>18.34</v>
      </c>
      <c r="BQ118" s="15" t="s">
        <v>172</v>
      </c>
      <c r="BR118" s="15" t="s">
        <v>205</v>
      </c>
      <c r="BS118" s="15" t="s">
        <v>206</v>
      </c>
      <c r="BT118" s="15" t="s">
        <v>138</v>
      </c>
      <c r="BU118" s="15" t="s">
        <v>174</v>
      </c>
      <c r="BV118" s="15" t="s">
        <v>138</v>
      </c>
      <c r="BW118" s="15" t="s">
        <v>138</v>
      </c>
      <c r="BX118" s="15" t="s">
        <v>138</v>
      </c>
      <c r="BY118" s="15" t="s">
        <v>175</v>
      </c>
      <c r="BZ118" s="22">
        <v>43223</v>
      </c>
      <c r="CA118" s="17">
        <v>1.25</v>
      </c>
      <c r="CB118" s="15" t="s">
        <v>172</v>
      </c>
      <c r="CC118" s="17">
        <v>7.25</v>
      </c>
      <c r="CD118" s="15" t="s">
        <v>172</v>
      </c>
      <c r="CE118" s="15" t="s">
        <v>173</v>
      </c>
      <c r="CF118" s="15" t="s">
        <v>138</v>
      </c>
      <c r="CG118" s="15" t="s">
        <v>138</v>
      </c>
      <c r="CH118" s="15" t="s">
        <v>174</v>
      </c>
      <c r="CI118" s="15" t="s">
        <v>138</v>
      </c>
      <c r="CJ118" s="15" t="s">
        <v>138</v>
      </c>
      <c r="CK118" s="15" t="s">
        <v>138</v>
      </c>
      <c r="CL118" s="15" t="s">
        <v>175</v>
      </c>
      <c r="CM118" s="22" t="s">
        <v>138</v>
      </c>
      <c r="CN118" s="17" t="s">
        <v>138</v>
      </c>
      <c r="CO118" s="23">
        <v>-3.83</v>
      </c>
      <c r="CP118" s="24">
        <v>2</v>
      </c>
      <c r="CQ118" s="23">
        <v>0.9</v>
      </c>
      <c r="CR118" s="23">
        <v>19</v>
      </c>
      <c r="CS118" s="23">
        <v>-7.97</v>
      </c>
      <c r="CT118" s="24">
        <v>1</v>
      </c>
      <c r="CU118" s="23">
        <v>0.32</v>
      </c>
      <c r="CV118" s="24">
        <v>88</v>
      </c>
      <c r="CW118" s="23" t="s">
        <v>138</v>
      </c>
      <c r="CX118" s="24" t="s">
        <v>138</v>
      </c>
      <c r="CY118" s="23">
        <v>-7.97</v>
      </c>
      <c r="CZ118" s="24">
        <v>1</v>
      </c>
      <c r="DA118" s="23">
        <v>0.02</v>
      </c>
      <c r="DB118" s="24">
        <v>58</v>
      </c>
      <c r="DC118" s="25">
        <v>8.83</v>
      </c>
      <c r="DD118" s="24">
        <v>89</v>
      </c>
      <c r="DE118" s="25">
        <v>-0.04</v>
      </c>
      <c r="DF118" s="23">
        <v>-0.5</v>
      </c>
      <c r="DG118" s="25">
        <v>15.14</v>
      </c>
      <c r="DH118" s="24">
        <v>93</v>
      </c>
      <c r="DI118" s="25">
        <v>2.5299999999999998</v>
      </c>
      <c r="DJ118" s="24">
        <v>67</v>
      </c>
      <c r="DK118" s="25" t="s">
        <v>138</v>
      </c>
      <c r="DL118" s="24" t="s">
        <v>138</v>
      </c>
      <c r="DM118" s="25">
        <v>15.14</v>
      </c>
      <c r="DN118" s="24">
        <v>92</v>
      </c>
      <c r="DO118" s="25">
        <v>4.21</v>
      </c>
      <c r="DP118" s="24">
        <v>77</v>
      </c>
      <c r="DQ118" s="24">
        <v>77</v>
      </c>
      <c r="DR118" s="26">
        <v>-50</v>
      </c>
      <c r="DS118" s="23">
        <v>-39.369999999999997</v>
      </c>
      <c r="DT118" s="24">
        <v>440</v>
      </c>
      <c r="DU118" s="26">
        <v>-2</v>
      </c>
      <c r="DV118" s="23">
        <v>-0.45</v>
      </c>
      <c r="DW118" s="24">
        <v>1506</v>
      </c>
      <c r="DX118" s="27">
        <v>3</v>
      </c>
      <c r="DY118" s="23">
        <v>0.2</v>
      </c>
      <c r="DZ118" s="15" t="s">
        <v>178</v>
      </c>
      <c r="EA118" s="22">
        <v>43473</v>
      </c>
      <c r="EB118" s="17">
        <v>7.25</v>
      </c>
      <c r="EC118" s="22">
        <v>43223</v>
      </c>
      <c r="ED118" s="15" t="s">
        <v>173</v>
      </c>
      <c r="EE118" s="14" t="str">
        <f>HYPERLINK("https://my.pitchbook.com?c=54498-97", "View company online")</f>
        <v>View company online</v>
      </c>
    </row>
    <row r="119" spans="1:135">
      <c r="A119" s="28" t="s">
        <v>2805</v>
      </c>
      <c r="B119" s="28" t="s">
        <v>2806</v>
      </c>
      <c r="C119" s="28" t="s">
        <v>2807</v>
      </c>
      <c r="D119" s="28" t="s">
        <v>2808</v>
      </c>
      <c r="E119" s="28" t="s">
        <v>2809</v>
      </c>
      <c r="F119" s="28" t="s">
        <v>2805</v>
      </c>
      <c r="G119" s="28" t="s">
        <v>2810</v>
      </c>
      <c r="H119" s="28" t="s">
        <v>141</v>
      </c>
      <c r="I119" s="28" t="s">
        <v>212</v>
      </c>
      <c r="J119" s="28" t="s">
        <v>213</v>
      </c>
      <c r="K119" s="28" t="s">
        <v>2811</v>
      </c>
      <c r="L119" s="28" t="s">
        <v>215</v>
      </c>
      <c r="M119" s="28" t="s">
        <v>2812</v>
      </c>
      <c r="N119" s="28" t="s">
        <v>147</v>
      </c>
      <c r="O119" s="29">
        <v>324.83</v>
      </c>
      <c r="P119" s="28" t="s">
        <v>148</v>
      </c>
      <c r="Q119" s="28" t="s">
        <v>149</v>
      </c>
      <c r="R119" s="28" t="s">
        <v>174</v>
      </c>
      <c r="S119" s="28" t="s">
        <v>2813</v>
      </c>
      <c r="T119" s="30">
        <v>1000</v>
      </c>
      <c r="U119" s="28" t="s">
        <v>2814</v>
      </c>
      <c r="V119" s="28" t="s">
        <v>138</v>
      </c>
      <c r="W119" s="28" t="s">
        <v>138</v>
      </c>
      <c r="X119" s="31">
        <v>2003</v>
      </c>
      <c r="Y119" s="28" t="s">
        <v>138</v>
      </c>
      <c r="Z119" s="28" t="s">
        <v>138</v>
      </c>
      <c r="AA119" s="28" t="s">
        <v>138</v>
      </c>
      <c r="AB119" s="32">
        <v>185</v>
      </c>
      <c r="AC119" s="32" t="s">
        <v>138</v>
      </c>
      <c r="AD119" s="32" t="s">
        <v>138</v>
      </c>
      <c r="AE119" s="32" t="s">
        <v>138</v>
      </c>
      <c r="AF119" s="32" t="s">
        <v>138</v>
      </c>
      <c r="AG119" s="28" t="s">
        <v>815</v>
      </c>
      <c r="AH119" s="32" t="s">
        <v>138</v>
      </c>
      <c r="AI119" s="32" t="s">
        <v>138</v>
      </c>
      <c r="AJ119" s="32" t="s">
        <v>138</v>
      </c>
      <c r="AK119" s="28" t="s">
        <v>2815</v>
      </c>
      <c r="AL119" s="28" t="s">
        <v>2816</v>
      </c>
      <c r="AM119" s="28" t="s">
        <v>249</v>
      </c>
      <c r="AN119" s="28" t="s">
        <v>2817</v>
      </c>
      <c r="AO119" s="28" t="s">
        <v>2818</v>
      </c>
      <c r="AP119" s="28" t="s">
        <v>2819</v>
      </c>
      <c r="AQ119" s="28" t="s">
        <v>2820</v>
      </c>
      <c r="AR119" s="28" t="s">
        <v>2821</v>
      </c>
      <c r="AS119" s="28" t="s">
        <v>284</v>
      </c>
      <c r="AT119" s="28" t="s">
        <v>2822</v>
      </c>
      <c r="AU119" s="28" t="s">
        <v>2823</v>
      </c>
      <c r="AV119" s="28" t="s">
        <v>162</v>
      </c>
      <c r="AW119" s="28" t="s">
        <v>2818</v>
      </c>
      <c r="AX119" s="28" t="s">
        <v>138</v>
      </c>
      <c r="AY119" s="28" t="s">
        <v>2824</v>
      </c>
      <c r="AZ119" s="28" t="s">
        <v>164</v>
      </c>
      <c r="BA119" s="28" t="s">
        <v>165</v>
      </c>
      <c r="BB119" s="28" t="s">
        <v>2825</v>
      </c>
      <c r="BC119" s="28" t="s">
        <v>2826</v>
      </c>
      <c r="BD119" s="33">
        <v>11</v>
      </c>
      <c r="BE119" s="28" t="s">
        <v>138</v>
      </c>
      <c r="BF119" s="28" t="s">
        <v>138</v>
      </c>
      <c r="BG119" s="28" t="s">
        <v>138</v>
      </c>
      <c r="BH119" s="28" t="s">
        <v>2827</v>
      </c>
      <c r="BI119" s="28" t="s">
        <v>138</v>
      </c>
      <c r="BJ119" s="28" t="s">
        <v>138</v>
      </c>
      <c r="BK119" s="28" t="s">
        <v>2828</v>
      </c>
      <c r="BL119" s="28" t="s">
        <v>2829</v>
      </c>
      <c r="BM119" s="34">
        <v>39654</v>
      </c>
      <c r="BN119" s="29">
        <v>5</v>
      </c>
      <c r="BO119" s="28" t="s">
        <v>172</v>
      </c>
      <c r="BP119" s="29">
        <v>16.670000000000002</v>
      </c>
      <c r="BQ119" s="28" t="s">
        <v>172</v>
      </c>
      <c r="BR119" s="28" t="s">
        <v>205</v>
      </c>
      <c r="BS119" s="28" t="s">
        <v>206</v>
      </c>
      <c r="BT119" s="28" t="s">
        <v>138</v>
      </c>
      <c r="BU119" s="28" t="s">
        <v>174</v>
      </c>
      <c r="BV119" s="28" t="s">
        <v>138</v>
      </c>
      <c r="BW119" s="28" t="s">
        <v>138</v>
      </c>
      <c r="BX119" s="28" t="s">
        <v>138</v>
      </c>
      <c r="BY119" s="28" t="s">
        <v>175</v>
      </c>
      <c r="BZ119" s="34">
        <v>42229</v>
      </c>
      <c r="CA119" s="29">
        <v>200</v>
      </c>
      <c r="CB119" s="28" t="s">
        <v>172</v>
      </c>
      <c r="CC119" s="29">
        <v>1066.0899999999999</v>
      </c>
      <c r="CD119" s="28" t="s">
        <v>172</v>
      </c>
      <c r="CE119" s="28" t="s">
        <v>780</v>
      </c>
      <c r="CF119" s="28" t="s">
        <v>2830</v>
      </c>
      <c r="CG119" s="28" t="s">
        <v>138</v>
      </c>
      <c r="CH119" s="28" t="s">
        <v>780</v>
      </c>
      <c r="CI119" s="28" t="s">
        <v>138</v>
      </c>
      <c r="CJ119" s="28" t="s">
        <v>138</v>
      </c>
      <c r="CK119" s="28" t="s">
        <v>138</v>
      </c>
      <c r="CL119" s="28" t="s">
        <v>175</v>
      </c>
      <c r="CM119" s="34" t="s">
        <v>138</v>
      </c>
      <c r="CN119" s="29" t="s">
        <v>138</v>
      </c>
      <c r="CO119" s="35">
        <v>0.92</v>
      </c>
      <c r="CP119" s="36">
        <v>97</v>
      </c>
      <c r="CQ119" s="35">
        <v>0</v>
      </c>
      <c r="CR119" s="35">
        <v>-0.49</v>
      </c>
      <c r="CS119" s="35">
        <v>1.64</v>
      </c>
      <c r="CT119" s="36">
        <v>98</v>
      </c>
      <c r="CU119" s="35">
        <v>0.2</v>
      </c>
      <c r="CV119" s="36">
        <v>80</v>
      </c>
      <c r="CW119" s="35">
        <v>1.64</v>
      </c>
      <c r="CX119" s="36">
        <v>87</v>
      </c>
      <c r="CY119" s="35" t="s">
        <v>138</v>
      </c>
      <c r="CZ119" s="36" t="s">
        <v>138</v>
      </c>
      <c r="DA119" s="35">
        <v>0.31</v>
      </c>
      <c r="DB119" s="36">
        <v>89</v>
      </c>
      <c r="DC119" s="37">
        <v>143.84</v>
      </c>
      <c r="DD119" s="36">
        <v>99</v>
      </c>
      <c r="DE119" s="37">
        <v>-15.34</v>
      </c>
      <c r="DF119" s="35">
        <v>-9.6300000000000008</v>
      </c>
      <c r="DG119" s="37">
        <v>240.9</v>
      </c>
      <c r="DH119" s="36">
        <v>100</v>
      </c>
      <c r="DI119" s="37">
        <v>46.78</v>
      </c>
      <c r="DJ119" s="36">
        <v>95</v>
      </c>
      <c r="DK119" s="37">
        <v>240.9</v>
      </c>
      <c r="DL119" s="36">
        <v>99</v>
      </c>
      <c r="DM119" s="37" t="s">
        <v>138</v>
      </c>
      <c r="DN119" s="36" t="s">
        <v>138</v>
      </c>
      <c r="DO119" s="37">
        <v>71.58</v>
      </c>
      <c r="DP119" s="36">
        <v>97</v>
      </c>
      <c r="DQ119" s="36">
        <v>81987</v>
      </c>
      <c r="DR119" s="38">
        <v>1928</v>
      </c>
      <c r="DS119" s="35">
        <v>2.41</v>
      </c>
      <c r="DT119" s="36" t="s">
        <v>138</v>
      </c>
      <c r="DU119" s="38" t="s">
        <v>138</v>
      </c>
      <c r="DV119" s="35" t="s">
        <v>138</v>
      </c>
      <c r="DW119" s="36">
        <v>25614</v>
      </c>
      <c r="DX119" s="39">
        <v>43</v>
      </c>
      <c r="DY119" s="35">
        <v>0.17</v>
      </c>
      <c r="DZ119" s="28" t="s">
        <v>178</v>
      </c>
      <c r="EA119" s="34">
        <v>43622</v>
      </c>
      <c r="EB119" s="29">
        <v>1066.0899999999999</v>
      </c>
      <c r="EC119" s="34">
        <v>42229</v>
      </c>
      <c r="ED119" s="28" t="s">
        <v>780</v>
      </c>
      <c r="EE119" s="40" t="str">
        <f>HYPERLINK("https://my.pitchbook.com?c=51252-85", "View company online")</f>
        <v>View company online</v>
      </c>
    </row>
    <row r="120" spans="1:135">
      <c r="A120" s="15" t="s">
        <v>2831</v>
      </c>
      <c r="B120" s="15" t="s">
        <v>2832</v>
      </c>
      <c r="C120" s="15" t="s">
        <v>2833</v>
      </c>
      <c r="D120" s="15" t="s">
        <v>138</v>
      </c>
      <c r="E120" s="15" t="s">
        <v>138</v>
      </c>
      <c r="F120" s="15" t="s">
        <v>2831</v>
      </c>
      <c r="G120" s="15" t="s">
        <v>2834</v>
      </c>
      <c r="H120" s="15" t="s">
        <v>141</v>
      </c>
      <c r="I120" s="15" t="s">
        <v>212</v>
      </c>
      <c r="J120" s="15" t="s">
        <v>213</v>
      </c>
      <c r="K120" s="15" t="s">
        <v>1064</v>
      </c>
      <c r="L120" s="15" t="s">
        <v>2835</v>
      </c>
      <c r="M120" s="15" t="s">
        <v>2836</v>
      </c>
      <c r="N120" s="15" t="s">
        <v>147</v>
      </c>
      <c r="O120" s="17">
        <v>9.02</v>
      </c>
      <c r="P120" s="15" t="s">
        <v>148</v>
      </c>
      <c r="Q120" s="15" t="s">
        <v>149</v>
      </c>
      <c r="R120" s="15" t="s">
        <v>174</v>
      </c>
      <c r="S120" s="15" t="s">
        <v>2837</v>
      </c>
      <c r="T120" s="18">
        <v>6</v>
      </c>
      <c r="U120" s="15" t="s">
        <v>2838</v>
      </c>
      <c r="V120" s="15" t="s">
        <v>138</v>
      </c>
      <c r="W120" s="15" t="s">
        <v>138</v>
      </c>
      <c r="X120" s="19">
        <v>2012</v>
      </c>
      <c r="Y120" s="15" t="s">
        <v>138</v>
      </c>
      <c r="Z120" s="15" t="s">
        <v>138</v>
      </c>
      <c r="AA120" s="15" t="s">
        <v>138</v>
      </c>
      <c r="AB120" s="20" t="s">
        <v>138</v>
      </c>
      <c r="AC120" s="20" t="s">
        <v>138</v>
      </c>
      <c r="AD120" s="20" t="s">
        <v>138</v>
      </c>
      <c r="AE120" s="20" t="s">
        <v>138</v>
      </c>
      <c r="AF120" s="20" t="s">
        <v>138</v>
      </c>
      <c r="AG120" s="15" t="s">
        <v>138</v>
      </c>
      <c r="AH120" s="20" t="s">
        <v>138</v>
      </c>
      <c r="AI120" s="20" t="s">
        <v>138</v>
      </c>
      <c r="AJ120" s="20" t="s">
        <v>138</v>
      </c>
      <c r="AK120" s="15" t="s">
        <v>2839</v>
      </c>
      <c r="AL120" s="15" t="s">
        <v>2840</v>
      </c>
      <c r="AM120" s="15" t="s">
        <v>221</v>
      </c>
      <c r="AN120" s="15" t="s">
        <v>2841</v>
      </c>
      <c r="AO120" s="15" t="s">
        <v>138</v>
      </c>
      <c r="AP120" s="15" t="s">
        <v>2842</v>
      </c>
      <c r="AQ120" s="15" t="s">
        <v>2843</v>
      </c>
      <c r="AR120" s="15" t="s">
        <v>2844</v>
      </c>
      <c r="AS120" s="15" t="s">
        <v>2845</v>
      </c>
      <c r="AT120" s="15" t="s">
        <v>200</v>
      </c>
      <c r="AU120" s="15" t="s">
        <v>2846</v>
      </c>
      <c r="AV120" s="15" t="s">
        <v>162</v>
      </c>
      <c r="AW120" s="15" t="s">
        <v>138</v>
      </c>
      <c r="AX120" s="15" t="s">
        <v>138</v>
      </c>
      <c r="AY120" s="15" t="s">
        <v>2847</v>
      </c>
      <c r="AZ120" s="15" t="s">
        <v>164</v>
      </c>
      <c r="BA120" s="15" t="s">
        <v>165</v>
      </c>
      <c r="BB120" s="15" t="s">
        <v>2848</v>
      </c>
      <c r="BC120" s="15" t="s">
        <v>2849</v>
      </c>
      <c r="BD120" s="21">
        <v>10</v>
      </c>
      <c r="BE120" s="15" t="s">
        <v>138</v>
      </c>
      <c r="BF120" s="15" t="s">
        <v>138</v>
      </c>
      <c r="BG120" s="15" t="s">
        <v>138</v>
      </c>
      <c r="BH120" s="15" t="s">
        <v>2850</v>
      </c>
      <c r="BI120" s="15" t="s">
        <v>138</v>
      </c>
      <c r="BJ120" s="15" t="s">
        <v>138</v>
      </c>
      <c r="BK120" s="15" t="s">
        <v>1251</v>
      </c>
      <c r="BL120" s="15" t="s">
        <v>1251</v>
      </c>
      <c r="BM120" s="22" t="s">
        <v>138</v>
      </c>
      <c r="BN120" s="17" t="s">
        <v>138</v>
      </c>
      <c r="BO120" s="15" t="s">
        <v>138</v>
      </c>
      <c r="BP120" s="17" t="s">
        <v>138</v>
      </c>
      <c r="BQ120" s="15" t="s">
        <v>138</v>
      </c>
      <c r="BR120" s="15" t="s">
        <v>316</v>
      </c>
      <c r="BS120" s="15" t="s">
        <v>138</v>
      </c>
      <c r="BT120" s="15" t="s">
        <v>138</v>
      </c>
      <c r="BU120" s="15" t="s">
        <v>174</v>
      </c>
      <c r="BV120" s="15" t="s">
        <v>138</v>
      </c>
      <c r="BW120" s="15" t="s">
        <v>138</v>
      </c>
      <c r="BX120" s="15" t="s">
        <v>138</v>
      </c>
      <c r="BY120" s="15" t="s">
        <v>175</v>
      </c>
      <c r="BZ120" s="22">
        <v>43251</v>
      </c>
      <c r="CA120" s="17">
        <v>6.6</v>
      </c>
      <c r="CB120" s="15" t="s">
        <v>172</v>
      </c>
      <c r="CC120" s="17" t="s">
        <v>138</v>
      </c>
      <c r="CD120" s="15" t="s">
        <v>138</v>
      </c>
      <c r="CE120" s="15" t="s">
        <v>173</v>
      </c>
      <c r="CF120" s="15" t="s">
        <v>206</v>
      </c>
      <c r="CG120" s="15" t="s">
        <v>138</v>
      </c>
      <c r="CH120" s="15" t="s">
        <v>174</v>
      </c>
      <c r="CI120" s="15" t="s">
        <v>138</v>
      </c>
      <c r="CJ120" s="15" t="s">
        <v>138</v>
      </c>
      <c r="CK120" s="15" t="s">
        <v>138</v>
      </c>
      <c r="CL120" s="15" t="s">
        <v>175</v>
      </c>
      <c r="CM120" s="22" t="s">
        <v>138</v>
      </c>
      <c r="CN120" s="17" t="s">
        <v>138</v>
      </c>
      <c r="CO120" s="23">
        <v>0.14000000000000001</v>
      </c>
      <c r="CP120" s="24">
        <v>91</v>
      </c>
      <c r="CQ120" s="23">
        <v>0.01</v>
      </c>
      <c r="CR120" s="23">
        <v>5.83</v>
      </c>
      <c r="CS120" s="23">
        <v>0</v>
      </c>
      <c r="CT120" s="24">
        <v>23</v>
      </c>
      <c r="CU120" s="23">
        <v>0.28000000000000003</v>
      </c>
      <c r="CV120" s="24">
        <v>86</v>
      </c>
      <c r="CW120" s="23">
        <v>0</v>
      </c>
      <c r="CX120" s="24">
        <v>13</v>
      </c>
      <c r="CY120" s="23" t="s">
        <v>138</v>
      </c>
      <c r="CZ120" s="24" t="s">
        <v>138</v>
      </c>
      <c r="DA120" s="23">
        <v>0.56000000000000005</v>
      </c>
      <c r="DB120" s="24">
        <v>95</v>
      </c>
      <c r="DC120" s="25">
        <v>0.92</v>
      </c>
      <c r="DD120" s="24">
        <v>49</v>
      </c>
      <c r="DE120" s="25">
        <v>-0.08</v>
      </c>
      <c r="DF120" s="23">
        <v>-8.07</v>
      </c>
      <c r="DG120" s="25">
        <v>1.29</v>
      </c>
      <c r="DH120" s="24">
        <v>57</v>
      </c>
      <c r="DI120" s="25">
        <v>0.55000000000000004</v>
      </c>
      <c r="DJ120" s="24">
        <v>38</v>
      </c>
      <c r="DK120" s="25">
        <v>1.29</v>
      </c>
      <c r="DL120" s="24">
        <v>56</v>
      </c>
      <c r="DM120" s="25" t="s">
        <v>138</v>
      </c>
      <c r="DN120" s="24" t="s">
        <v>138</v>
      </c>
      <c r="DO120" s="25">
        <v>1.08</v>
      </c>
      <c r="DP120" s="24">
        <v>52</v>
      </c>
      <c r="DQ120" s="24">
        <v>464</v>
      </c>
      <c r="DR120" s="26">
        <v>-60</v>
      </c>
      <c r="DS120" s="23">
        <v>-11.45</v>
      </c>
      <c r="DT120" s="24" t="s">
        <v>138</v>
      </c>
      <c r="DU120" s="26" t="s">
        <v>138</v>
      </c>
      <c r="DV120" s="23" t="s">
        <v>138</v>
      </c>
      <c r="DW120" s="24">
        <v>388</v>
      </c>
      <c r="DX120" s="27">
        <v>2</v>
      </c>
      <c r="DY120" s="23">
        <v>0.52</v>
      </c>
      <c r="DZ120" s="15" t="s">
        <v>178</v>
      </c>
      <c r="EA120" s="22">
        <v>43580</v>
      </c>
      <c r="EB120" s="17">
        <v>9.6999999999999993</v>
      </c>
      <c r="EC120" s="22">
        <v>42676</v>
      </c>
      <c r="ED120" s="15" t="s">
        <v>234</v>
      </c>
      <c r="EE120" s="14" t="str">
        <f>HYPERLINK("https://my.pitchbook.com?c=56860-48", "View company online")</f>
        <v>View company online</v>
      </c>
    </row>
    <row r="121" spans="1:135">
      <c r="A121" s="28" t="s">
        <v>2851</v>
      </c>
      <c r="B121" s="28" t="s">
        <v>2852</v>
      </c>
      <c r="C121" s="28" t="s">
        <v>138</v>
      </c>
      <c r="D121" s="28" t="s">
        <v>2853</v>
      </c>
      <c r="E121" s="28" t="s">
        <v>138</v>
      </c>
      <c r="F121" s="28" t="s">
        <v>2851</v>
      </c>
      <c r="G121" s="28" t="s">
        <v>2854</v>
      </c>
      <c r="H121" s="28" t="s">
        <v>238</v>
      </c>
      <c r="I121" s="28" t="s">
        <v>749</v>
      </c>
      <c r="J121" s="28" t="s">
        <v>2855</v>
      </c>
      <c r="K121" s="28" t="s">
        <v>2856</v>
      </c>
      <c r="L121" s="28" t="s">
        <v>2857</v>
      </c>
      <c r="M121" s="28" t="s">
        <v>2858</v>
      </c>
      <c r="N121" s="28" t="s">
        <v>147</v>
      </c>
      <c r="O121" s="29" t="s">
        <v>138</v>
      </c>
      <c r="P121" s="28" t="s">
        <v>148</v>
      </c>
      <c r="Q121" s="28" t="s">
        <v>149</v>
      </c>
      <c r="R121" s="28" t="s">
        <v>174</v>
      </c>
      <c r="S121" s="28" t="s">
        <v>2859</v>
      </c>
      <c r="T121" s="30" t="s">
        <v>138</v>
      </c>
      <c r="U121" s="28" t="s">
        <v>138</v>
      </c>
      <c r="V121" s="28" t="s">
        <v>138</v>
      </c>
      <c r="W121" s="28" t="s">
        <v>138</v>
      </c>
      <c r="X121" s="31">
        <v>2015</v>
      </c>
      <c r="Y121" s="28" t="s">
        <v>138</v>
      </c>
      <c r="Z121" s="28" t="s">
        <v>138</v>
      </c>
      <c r="AA121" s="28" t="s">
        <v>138</v>
      </c>
      <c r="AB121" s="32" t="s">
        <v>138</v>
      </c>
      <c r="AC121" s="32" t="s">
        <v>138</v>
      </c>
      <c r="AD121" s="32" t="s">
        <v>138</v>
      </c>
      <c r="AE121" s="32" t="s">
        <v>138</v>
      </c>
      <c r="AF121" s="32" t="s">
        <v>138</v>
      </c>
      <c r="AG121" s="28" t="s">
        <v>138</v>
      </c>
      <c r="AH121" s="32" t="s">
        <v>138</v>
      </c>
      <c r="AI121" s="32" t="s">
        <v>138</v>
      </c>
      <c r="AJ121" s="32" t="s">
        <v>138</v>
      </c>
      <c r="AK121" s="28" t="s">
        <v>2860</v>
      </c>
      <c r="AL121" s="28" t="s">
        <v>2861</v>
      </c>
      <c r="AM121" s="28" t="s">
        <v>916</v>
      </c>
      <c r="AN121" s="28" t="s">
        <v>2862</v>
      </c>
      <c r="AO121" s="28" t="s">
        <v>2863</v>
      </c>
      <c r="AP121" s="28" t="s">
        <v>665</v>
      </c>
      <c r="AQ121" s="28" t="s">
        <v>138</v>
      </c>
      <c r="AR121" s="28" t="s">
        <v>138</v>
      </c>
      <c r="AS121" s="28" t="s">
        <v>668</v>
      </c>
      <c r="AT121" s="28" t="s">
        <v>200</v>
      </c>
      <c r="AU121" s="28" t="s">
        <v>138</v>
      </c>
      <c r="AV121" s="28" t="s">
        <v>162</v>
      </c>
      <c r="AW121" s="28" t="s">
        <v>2863</v>
      </c>
      <c r="AX121" s="28" t="s">
        <v>138</v>
      </c>
      <c r="AY121" s="28" t="s">
        <v>138</v>
      </c>
      <c r="AZ121" s="28" t="s">
        <v>164</v>
      </c>
      <c r="BA121" s="28" t="s">
        <v>165</v>
      </c>
      <c r="BB121" s="28" t="s">
        <v>2864</v>
      </c>
      <c r="BC121" s="28" t="s">
        <v>2865</v>
      </c>
      <c r="BD121" s="33">
        <v>3</v>
      </c>
      <c r="BE121" s="28" t="s">
        <v>138</v>
      </c>
      <c r="BF121" s="28" t="s">
        <v>138</v>
      </c>
      <c r="BG121" s="28" t="s">
        <v>138</v>
      </c>
      <c r="BH121" s="28" t="s">
        <v>2866</v>
      </c>
      <c r="BI121" s="28" t="s">
        <v>138</v>
      </c>
      <c r="BJ121" s="28" t="s">
        <v>138</v>
      </c>
      <c r="BK121" s="28" t="s">
        <v>138</v>
      </c>
      <c r="BL121" s="28" t="s">
        <v>138</v>
      </c>
      <c r="BM121" s="34" t="s">
        <v>138</v>
      </c>
      <c r="BN121" s="29" t="s">
        <v>138</v>
      </c>
      <c r="BO121" s="28" t="s">
        <v>138</v>
      </c>
      <c r="BP121" s="29" t="s">
        <v>138</v>
      </c>
      <c r="BQ121" s="28" t="s">
        <v>138</v>
      </c>
      <c r="BR121" s="28" t="s">
        <v>205</v>
      </c>
      <c r="BS121" s="28" t="s">
        <v>138</v>
      </c>
      <c r="BT121" s="28" t="s">
        <v>138</v>
      </c>
      <c r="BU121" s="28" t="s">
        <v>174</v>
      </c>
      <c r="BV121" s="28" t="s">
        <v>138</v>
      </c>
      <c r="BW121" s="28" t="s">
        <v>138</v>
      </c>
      <c r="BX121" s="28" t="s">
        <v>138</v>
      </c>
      <c r="BY121" s="28" t="s">
        <v>175</v>
      </c>
      <c r="BZ121" s="34" t="s">
        <v>138</v>
      </c>
      <c r="CA121" s="29" t="s">
        <v>138</v>
      </c>
      <c r="CB121" s="28" t="s">
        <v>138</v>
      </c>
      <c r="CC121" s="29" t="s">
        <v>138</v>
      </c>
      <c r="CD121" s="28" t="s">
        <v>138</v>
      </c>
      <c r="CE121" s="28" t="s">
        <v>205</v>
      </c>
      <c r="CF121" s="28" t="s">
        <v>138</v>
      </c>
      <c r="CG121" s="28" t="s">
        <v>138</v>
      </c>
      <c r="CH121" s="28" t="s">
        <v>174</v>
      </c>
      <c r="CI121" s="28" t="s">
        <v>138</v>
      </c>
      <c r="CJ121" s="28" t="s">
        <v>138</v>
      </c>
      <c r="CK121" s="28" t="s">
        <v>138</v>
      </c>
      <c r="CL121" s="28" t="s">
        <v>175</v>
      </c>
      <c r="CM121" s="34" t="s">
        <v>138</v>
      </c>
      <c r="CN121" s="29" t="s">
        <v>138</v>
      </c>
      <c r="CO121" s="35">
        <v>-0.61</v>
      </c>
      <c r="CP121" s="36">
        <v>15</v>
      </c>
      <c r="CQ121" s="35">
        <v>0.02</v>
      </c>
      <c r="CR121" s="35">
        <v>3.25</v>
      </c>
      <c r="CS121" s="35">
        <v>-1.27</v>
      </c>
      <c r="CT121" s="36">
        <v>13</v>
      </c>
      <c r="CU121" s="35">
        <v>0.06</v>
      </c>
      <c r="CV121" s="36">
        <v>60</v>
      </c>
      <c r="CW121" s="35">
        <v>-2.5499999999999998</v>
      </c>
      <c r="CX121" s="36">
        <v>6</v>
      </c>
      <c r="CY121" s="35">
        <v>0</v>
      </c>
      <c r="CZ121" s="36">
        <v>25</v>
      </c>
      <c r="DA121" s="35">
        <v>0.16</v>
      </c>
      <c r="DB121" s="36">
        <v>79</v>
      </c>
      <c r="DC121" s="37">
        <v>50.32</v>
      </c>
      <c r="DD121" s="36">
        <v>98</v>
      </c>
      <c r="DE121" s="37">
        <v>-0.34</v>
      </c>
      <c r="DF121" s="35">
        <v>-0.66</v>
      </c>
      <c r="DG121" s="37">
        <v>5.01</v>
      </c>
      <c r="DH121" s="36">
        <v>82</v>
      </c>
      <c r="DI121" s="37">
        <v>95.62</v>
      </c>
      <c r="DJ121" s="36">
        <v>97</v>
      </c>
      <c r="DK121" s="37">
        <v>9.43</v>
      </c>
      <c r="DL121" s="36">
        <v>86</v>
      </c>
      <c r="DM121" s="37">
        <v>0.59</v>
      </c>
      <c r="DN121" s="36">
        <v>37</v>
      </c>
      <c r="DO121" s="37">
        <v>3.44</v>
      </c>
      <c r="DP121" s="36">
        <v>73</v>
      </c>
      <c r="DQ121" s="36">
        <v>3164</v>
      </c>
      <c r="DR121" s="38">
        <v>213</v>
      </c>
      <c r="DS121" s="35">
        <v>7.22</v>
      </c>
      <c r="DT121" s="36">
        <v>16</v>
      </c>
      <c r="DU121" s="38">
        <v>0</v>
      </c>
      <c r="DV121" s="35">
        <v>0</v>
      </c>
      <c r="DW121" s="36">
        <v>1230</v>
      </c>
      <c r="DX121" s="39">
        <v>7</v>
      </c>
      <c r="DY121" s="35">
        <v>0.56999999999999995</v>
      </c>
      <c r="DZ121" s="28" t="s">
        <v>178</v>
      </c>
      <c r="EA121" s="34">
        <v>43570</v>
      </c>
      <c r="EB121" s="29" t="s">
        <v>138</v>
      </c>
      <c r="EC121" s="34" t="s">
        <v>138</v>
      </c>
      <c r="ED121" s="28" t="s">
        <v>138</v>
      </c>
      <c r="EE121" s="40" t="str">
        <f>HYPERLINK("https://my.pitchbook.com?c=182172-70", "View company online")</f>
        <v>View company online</v>
      </c>
    </row>
    <row r="122" spans="1:135">
      <c r="A122" s="15" t="s">
        <v>2867</v>
      </c>
      <c r="B122" s="15" t="s">
        <v>2868</v>
      </c>
      <c r="C122" s="15" t="s">
        <v>2869</v>
      </c>
      <c r="D122" s="15" t="s">
        <v>138</v>
      </c>
      <c r="E122" s="15" t="s">
        <v>2870</v>
      </c>
      <c r="F122" s="15" t="s">
        <v>2867</v>
      </c>
      <c r="G122" s="15" t="s">
        <v>2871</v>
      </c>
      <c r="H122" s="15" t="s">
        <v>322</v>
      </c>
      <c r="I122" s="15" t="s">
        <v>323</v>
      </c>
      <c r="J122" s="15" t="s">
        <v>324</v>
      </c>
      <c r="K122" s="15" t="s">
        <v>325</v>
      </c>
      <c r="L122" s="15" t="s">
        <v>2872</v>
      </c>
      <c r="M122" s="15" t="s">
        <v>2873</v>
      </c>
      <c r="N122" s="15" t="s">
        <v>147</v>
      </c>
      <c r="O122" s="17">
        <v>3.47</v>
      </c>
      <c r="P122" s="15" t="s">
        <v>148</v>
      </c>
      <c r="Q122" s="15" t="s">
        <v>149</v>
      </c>
      <c r="R122" s="15" t="s">
        <v>174</v>
      </c>
      <c r="S122" s="15" t="s">
        <v>2874</v>
      </c>
      <c r="T122" s="18">
        <v>11</v>
      </c>
      <c r="U122" s="15" t="s">
        <v>2875</v>
      </c>
      <c r="V122" s="15" t="s">
        <v>138</v>
      </c>
      <c r="W122" s="15" t="s">
        <v>138</v>
      </c>
      <c r="X122" s="19">
        <v>2008</v>
      </c>
      <c r="Y122" s="15" t="s">
        <v>138</v>
      </c>
      <c r="Z122" s="15" t="s">
        <v>138</v>
      </c>
      <c r="AA122" s="15" t="s">
        <v>138</v>
      </c>
      <c r="AB122" s="20" t="s">
        <v>138</v>
      </c>
      <c r="AC122" s="20" t="s">
        <v>138</v>
      </c>
      <c r="AD122" s="20" t="s">
        <v>138</v>
      </c>
      <c r="AE122" s="20" t="s">
        <v>138</v>
      </c>
      <c r="AF122" s="20" t="s">
        <v>138</v>
      </c>
      <c r="AG122" s="15" t="s">
        <v>138</v>
      </c>
      <c r="AH122" s="20" t="s">
        <v>138</v>
      </c>
      <c r="AI122" s="20" t="s">
        <v>138</v>
      </c>
      <c r="AJ122" s="20" t="s">
        <v>138</v>
      </c>
      <c r="AK122" s="15" t="s">
        <v>2876</v>
      </c>
      <c r="AL122" s="15" t="s">
        <v>2877</v>
      </c>
      <c r="AM122" s="15" t="s">
        <v>2878</v>
      </c>
      <c r="AN122" s="15" t="s">
        <v>2879</v>
      </c>
      <c r="AO122" s="15" t="s">
        <v>138</v>
      </c>
      <c r="AP122" s="15" t="s">
        <v>2880</v>
      </c>
      <c r="AQ122" s="15" t="s">
        <v>2881</v>
      </c>
      <c r="AR122" s="15" t="s">
        <v>1170</v>
      </c>
      <c r="AS122" s="15" t="s">
        <v>2882</v>
      </c>
      <c r="AT122" s="15" t="s">
        <v>2883</v>
      </c>
      <c r="AU122" s="15" t="s">
        <v>2884</v>
      </c>
      <c r="AV122" s="15" t="s">
        <v>162</v>
      </c>
      <c r="AW122" s="15" t="s">
        <v>138</v>
      </c>
      <c r="AX122" s="15" t="s">
        <v>138</v>
      </c>
      <c r="AY122" s="15" t="s">
        <v>2885</v>
      </c>
      <c r="AZ122" s="15" t="s">
        <v>164</v>
      </c>
      <c r="BA122" s="15" t="s">
        <v>165</v>
      </c>
      <c r="BB122" s="15" t="s">
        <v>2886</v>
      </c>
      <c r="BC122" s="15" t="s">
        <v>2887</v>
      </c>
      <c r="BD122" s="21">
        <v>10</v>
      </c>
      <c r="BE122" s="15" t="s">
        <v>138</v>
      </c>
      <c r="BF122" s="15" t="s">
        <v>138</v>
      </c>
      <c r="BG122" s="15" t="s">
        <v>138</v>
      </c>
      <c r="BH122" s="15" t="s">
        <v>2888</v>
      </c>
      <c r="BI122" s="15" t="s">
        <v>138</v>
      </c>
      <c r="BJ122" s="15" t="s">
        <v>138</v>
      </c>
      <c r="BK122" s="15" t="s">
        <v>2889</v>
      </c>
      <c r="BL122" s="15" t="s">
        <v>2890</v>
      </c>
      <c r="BM122" s="22">
        <v>39753</v>
      </c>
      <c r="BN122" s="17">
        <v>0.12</v>
      </c>
      <c r="BO122" s="15" t="s">
        <v>172</v>
      </c>
      <c r="BP122" s="17">
        <v>1.71</v>
      </c>
      <c r="BQ122" s="15" t="s">
        <v>172</v>
      </c>
      <c r="BR122" s="15" t="s">
        <v>316</v>
      </c>
      <c r="BS122" s="15" t="s">
        <v>138</v>
      </c>
      <c r="BT122" s="15" t="s">
        <v>138</v>
      </c>
      <c r="BU122" s="15" t="s">
        <v>177</v>
      </c>
      <c r="BV122" s="15" t="s">
        <v>138</v>
      </c>
      <c r="BW122" s="15" t="s">
        <v>138</v>
      </c>
      <c r="BX122" s="15" t="s">
        <v>138</v>
      </c>
      <c r="BY122" s="15" t="s">
        <v>175</v>
      </c>
      <c r="BZ122" s="22">
        <v>43144</v>
      </c>
      <c r="CA122" s="17">
        <v>2.63</v>
      </c>
      <c r="CB122" s="15" t="s">
        <v>172</v>
      </c>
      <c r="CC122" s="17">
        <v>11.63</v>
      </c>
      <c r="CD122" s="15" t="s">
        <v>172</v>
      </c>
      <c r="CE122" s="15" t="s">
        <v>205</v>
      </c>
      <c r="CF122" s="15" t="s">
        <v>720</v>
      </c>
      <c r="CG122" s="15" t="s">
        <v>138</v>
      </c>
      <c r="CH122" s="15" t="s">
        <v>174</v>
      </c>
      <c r="CI122" s="15" t="s">
        <v>138</v>
      </c>
      <c r="CJ122" s="15" t="s">
        <v>138</v>
      </c>
      <c r="CK122" s="15" t="s">
        <v>138</v>
      </c>
      <c r="CL122" s="15" t="s">
        <v>175</v>
      </c>
      <c r="CM122" s="22" t="s">
        <v>138</v>
      </c>
      <c r="CN122" s="17" t="s">
        <v>138</v>
      </c>
      <c r="CO122" s="23">
        <v>-0.26</v>
      </c>
      <c r="CP122" s="24">
        <v>19</v>
      </c>
      <c r="CQ122" s="23">
        <v>0.02</v>
      </c>
      <c r="CR122" s="23">
        <v>8.7100000000000009</v>
      </c>
      <c r="CS122" s="23">
        <v>-1.1299999999999999</v>
      </c>
      <c r="CT122" s="24">
        <v>14</v>
      </c>
      <c r="CU122" s="23">
        <v>0.61</v>
      </c>
      <c r="CV122" s="24">
        <v>95</v>
      </c>
      <c r="CW122" s="23">
        <v>0</v>
      </c>
      <c r="CX122" s="24">
        <v>13</v>
      </c>
      <c r="CY122" s="23">
        <v>-2.2599999999999998</v>
      </c>
      <c r="CZ122" s="24">
        <v>10</v>
      </c>
      <c r="DA122" s="23">
        <v>0.61</v>
      </c>
      <c r="DB122" s="24">
        <v>96</v>
      </c>
      <c r="DC122" s="25">
        <v>1.97</v>
      </c>
      <c r="DD122" s="24">
        <v>67</v>
      </c>
      <c r="DE122" s="25">
        <v>0.01</v>
      </c>
      <c r="DF122" s="23">
        <v>0.43</v>
      </c>
      <c r="DG122" s="25">
        <v>3.29</v>
      </c>
      <c r="DH122" s="24">
        <v>76</v>
      </c>
      <c r="DI122" s="25">
        <v>0.65</v>
      </c>
      <c r="DJ122" s="24">
        <v>41</v>
      </c>
      <c r="DK122" s="25">
        <v>0.19</v>
      </c>
      <c r="DL122" s="24">
        <v>7</v>
      </c>
      <c r="DM122" s="25">
        <v>6.38</v>
      </c>
      <c r="DN122" s="24">
        <v>84</v>
      </c>
      <c r="DO122" s="25">
        <v>0.65</v>
      </c>
      <c r="DP122" s="24">
        <v>42</v>
      </c>
      <c r="DQ122" s="24">
        <v>86</v>
      </c>
      <c r="DR122" s="26">
        <v>-63</v>
      </c>
      <c r="DS122" s="23">
        <v>-42.28</v>
      </c>
      <c r="DT122" s="24">
        <v>184</v>
      </c>
      <c r="DU122" s="26">
        <v>0</v>
      </c>
      <c r="DV122" s="23">
        <v>0</v>
      </c>
      <c r="DW122" s="24">
        <v>233</v>
      </c>
      <c r="DX122" s="27">
        <v>3</v>
      </c>
      <c r="DY122" s="23">
        <v>1.3</v>
      </c>
      <c r="DZ122" s="15" t="s">
        <v>178</v>
      </c>
      <c r="EA122" s="22">
        <v>43607</v>
      </c>
      <c r="EB122" s="17">
        <v>11.63</v>
      </c>
      <c r="EC122" s="22">
        <v>43144</v>
      </c>
      <c r="ED122" s="15" t="s">
        <v>205</v>
      </c>
      <c r="EE122" s="14" t="str">
        <f>HYPERLINK("https://my.pitchbook.com?c=130383-01", "View company online")</f>
        <v>View company online</v>
      </c>
    </row>
    <row r="123" spans="1:135">
      <c r="A123" s="28" t="s">
        <v>2891</v>
      </c>
      <c r="B123" s="28" t="s">
        <v>2892</v>
      </c>
      <c r="C123" s="28" t="s">
        <v>138</v>
      </c>
      <c r="D123" s="28" t="s">
        <v>138</v>
      </c>
      <c r="E123" s="28" t="s">
        <v>2893</v>
      </c>
      <c r="F123" s="28" t="s">
        <v>2891</v>
      </c>
      <c r="G123" s="28" t="s">
        <v>2894</v>
      </c>
      <c r="H123" s="28" t="s">
        <v>322</v>
      </c>
      <c r="I123" s="28" t="s">
        <v>356</v>
      </c>
      <c r="J123" s="28" t="s">
        <v>2895</v>
      </c>
      <c r="K123" s="28" t="s">
        <v>2896</v>
      </c>
      <c r="L123" s="28" t="s">
        <v>415</v>
      </c>
      <c r="M123" s="28" t="s">
        <v>2897</v>
      </c>
      <c r="N123" s="28" t="s">
        <v>147</v>
      </c>
      <c r="O123" s="29" t="s">
        <v>138</v>
      </c>
      <c r="P123" s="28" t="s">
        <v>148</v>
      </c>
      <c r="Q123" s="28" t="s">
        <v>149</v>
      </c>
      <c r="R123" s="28" t="s">
        <v>174</v>
      </c>
      <c r="S123" s="28" t="s">
        <v>2898</v>
      </c>
      <c r="T123" s="30">
        <v>22</v>
      </c>
      <c r="U123" s="28" t="s">
        <v>2899</v>
      </c>
      <c r="V123" s="28" t="s">
        <v>138</v>
      </c>
      <c r="W123" s="28" t="s">
        <v>138</v>
      </c>
      <c r="X123" s="31">
        <v>2007</v>
      </c>
      <c r="Y123" s="28" t="s">
        <v>138</v>
      </c>
      <c r="Z123" s="28" t="s">
        <v>138</v>
      </c>
      <c r="AA123" s="28" t="s">
        <v>138</v>
      </c>
      <c r="AB123" s="32">
        <v>1.74</v>
      </c>
      <c r="AC123" s="32" t="s">
        <v>138</v>
      </c>
      <c r="AD123" s="32" t="s">
        <v>138</v>
      </c>
      <c r="AE123" s="32" t="s">
        <v>138</v>
      </c>
      <c r="AF123" s="32" t="s">
        <v>138</v>
      </c>
      <c r="AG123" s="28" t="s">
        <v>2900</v>
      </c>
      <c r="AH123" s="32" t="s">
        <v>138</v>
      </c>
      <c r="AI123" s="32" t="s">
        <v>138</v>
      </c>
      <c r="AJ123" s="32" t="s">
        <v>138</v>
      </c>
      <c r="AK123" s="28" t="s">
        <v>2901</v>
      </c>
      <c r="AL123" s="28" t="s">
        <v>2902</v>
      </c>
      <c r="AM123" s="28" t="s">
        <v>566</v>
      </c>
      <c r="AN123" s="28" t="s">
        <v>2903</v>
      </c>
      <c r="AO123" s="28" t="s">
        <v>2904</v>
      </c>
      <c r="AP123" s="28" t="s">
        <v>2905</v>
      </c>
      <c r="AQ123" s="28" t="s">
        <v>2906</v>
      </c>
      <c r="AR123" s="28" t="s">
        <v>138</v>
      </c>
      <c r="AS123" s="28" t="s">
        <v>2907</v>
      </c>
      <c r="AT123" s="28" t="s">
        <v>138</v>
      </c>
      <c r="AU123" s="28" t="s">
        <v>2908</v>
      </c>
      <c r="AV123" s="28" t="s">
        <v>946</v>
      </c>
      <c r="AW123" s="28" t="s">
        <v>2904</v>
      </c>
      <c r="AX123" s="28" t="s">
        <v>138</v>
      </c>
      <c r="AY123" s="28" t="s">
        <v>2909</v>
      </c>
      <c r="AZ123" s="28" t="s">
        <v>530</v>
      </c>
      <c r="BA123" s="28" t="s">
        <v>531</v>
      </c>
      <c r="BB123" s="28" t="s">
        <v>2910</v>
      </c>
      <c r="BC123" s="28" t="s">
        <v>2911</v>
      </c>
      <c r="BD123" s="33">
        <v>1</v>
      </c>
      <c r="BE123" s="28" t="s">
        <v>138</v>
      </c>
      <c r="BF123" s="28" t="s">
        <v>2912</v>
      </c>
      <c r="BG123" s="28" t="s">
        <v>138</v>
      </c>
      <c r="BH123" s="28" t="s">
        <v>2913</v>
      </c>
      <c r="BI123" s="28" t="s">
        <v>2914</v>
      </c>
      <c r="BJ123" s="28" t="s">
        <v>138</v>
      </c>
      <c r="BK123" s="28" t="s">
        <v>138</v>
      </c>
      <c r="BL123" s="28" t="s">
        <v>138</v>
      </c>
      <c r="BM123" s="34">
        <v>39083</v>
      </c>
      <c r="BN123" s="29" t="s">
        <v>138</v>
      </c>
      <c r="BO123" s="28" t="s">
        <v>138</v>
      </c>
      <c r="BP123" s="29" t="s">
        <v>138</v>
      </c>
      <c r="BQ123" s="28" t="s">
        <v>138</v>
      </c>
      <c r="BR123" s="28" t="s">
        <v>234</v>
      </c>
      <c r="BS123" s="28" t="s">
        <v>234</v>
      </c>
      <c r="BT123" s="28" t="s">
        <v>138</v>
      </c>
      <c r="BU123" s="28" t="s">
        <v>174</v>
      </c>
      <c r="BV123" s="28" t="s">
        <v>138</v>
      </c>
      <c r="BW123" s="28" t="s">
        <v>138</v>
      </c>
      <c r="BX123" s="28" t="s">
        <v>138</v>
      </c>
      <c r="BY123" s="28" t="s">
        <v>175</v>
      </c>
      <c r="BZ123" s="34" t="s">
        <v>138</v>
      </c>
      <c r="CA123" s="29" t="s">
        <v>138</v>
      </c>
      <c r="CB123" s="28" t="s">
        <v>138</v>
      </c>
      <c r="CC123" s="29" t="s">
        <v>138</v>
      </c>
      <c r="CD123" s="28" t="s">
        <v>138</v>
      </c>
      <c r="CE123" s="28" t="s">
        <v>379</v>
      </c>
      <c r="CF123" s="28" t="s">
        <v>138</v>
      </c>
      <c r="CG123" s="28" t="s">
        <v>138</v>
      </c>
      <c r="CH123" s="28" t="s">
        <v>174</v>
      </c>
      <c r="CI123" s="28" t="s">
        <v>138</v>
      </c>
      <c r="CJ123" s="28" t="s">
        <v>138</v>
      </c>
      <c r="CK123" s="28" t="s">
        <v>138</v>
      </c>
      <c r="CL123" s="28" t="s">
        <v>175</v>
      </c>
      <c r="CM123" s="34" t="s">
        <v>138</v>
      </c>
      <c r="CN123" s="29" t="s">
        <v>138</v>
      </c>
      <c r="CO123" s="35">
        <v>0</v>
      </c>
      <c r="CP123" s="36">
        <v>26</v>
      </c>
      <c r="CQ123" s="35">
        <v>0</v>
      </c>
      <c r="CR123" s="35">
        <v>0</v>
      </c>
      <c r="CS123" s="35">
        <v>0</v>
      </c>
      <c r="CT123" s="36">
        <v>23</v>
      </c>
      <c r="CU123" s="35">
        <v>0</v>
      </c>
      <c r="CV123" s="36">
        <v>22</v>
      </c>
      <c r="CW123" s="35" t="s">
        <v>138</v>
      </c>
      <c r="CX123" s="36" t="s">
        <v>138</v>
      </c>
      <c r="CY123" s="35">
        <v>0</v>
      </c>
      <c r="CZ123" s="36">
        <v>25</v>
      </c>
      <c r="DA123" s="35">
        <v>0</v>
      </c>
      <c r="DB123" s="36">
        <v>22</v>
      </c>
      <c r="DC123" s="37">
        <v>1.47</v>
      </c>
      <c r="DD123" s="36">
        <v>60</v>
      </c>
      <c r="DE123" s="37">
        <v>0</v>
      </c>
      <c r="DF123" s="35">
        <v>0.05</v>
      </c>
      <c r="DG123" s="37">
        <v>2.9</v>
      </c>
      <c r="DH123" s="36">
        <v>74</v>
      </c>
      <c r="DI123" s="37">
        <v>0.04</v>
      </c>
      <c r="DJ123" s="36">
        <v>7</v>
      </c>
      <c r="DK123" s="37" t="s">
        <v>138</v>
      </c>
      <c r="DL123" s="36" t="s">
        <v>138</v>
      </c>
      <c r="DM123" s="37">
        <v>2.9</v>
      </c>
      <c r="DN123" s="36">
        <v>73</v>
      </c>
      <c r="DO123" s="37">
        <v>0.06</v>
      </c>
      <c r="DP123" s="36">
        <v>11</v>
      </c>
      <c r="DQ123" s="36" t="s">
        <v>138</v>
      </c>
      <c r="DR123" s="38" t="s">
        <v>138</v>
      </c>
      <c r="DS123" s="35" t="s">
        <v>138</v>
      </c>
      <c r="DT123" s="36">
        <v>84</v>
      </c>
      <c r="DU123" s="38">
        <v>0</v>
      </c>
      <c r="DV123" s="35">
        <v>0</v>
      </c>
      <c r="DW123" s="36">
        <v>19</v>
      </c>
      <c r="DX123" s="39">
        <v>0</v>
      </c>
      <c r="DY123" s="35">
        <v>0</v>
      </c>
      <c r="DZ123" s="28" t="s">
        <v>178</v>
      </c>
      <c r="EA123" s="34">
        <v>43448</v>
      </c>
      <c r="EB123" s="29" t="s">
        <v>138</v>
      </c>
      <c r="EC123" s="34" t="s">
        <v>138</v>
      </c>
      <c r="ED123" s="28" t="s">
        <v>138</v>
      </c>
      <c r="EE123" s="40" t="str">
        <f>HYPERLINK("https://my.pitchbook.com?c=64308-97", "View company online")</f>
        <v>View company online</v>
      </c>
    </row>
    <row r="124" spans="1:135">
      <c r="A124" s="15" t="s">
        <v>2915</v>
      </c>
      <c r="B124" s="15" t="s">
        <v>2916</v>
      </c>
      <c r="C124" s="15" t="s">
        <v>2917</v>
      </c>
      <c r="D124" s="15" t="s">
        <v>138</v>
      </c>
      <c r="E124" s="15" t="s">
        <v>2918</v>
      </c>
      <c r="F124" s="15" t="s">
        <v>2915</v>
      </c>
      <c r="G124" s="15" t="s">
        <v>2919</v>
      </c>
      <c r="H124" s="15" t="s">
        <v>322</v>
      </c>
      <c r="I124" s="15" t="s">
        <v>323</v>
      </c>
      <c r="J124" s="15" t="s">
        <v>324</v>
      </c>
      <c r="K124" s="15" t="s">
        <v>2920</v>
      </c>
      <c r="L124" s="15" t="s">
        <v>855</v>
      </c>
      <c r="M124" s="15" t="s">
        <v>2921</v>
      </c>
      <c r="N124" s="15" t="s">
        <v>147</v>
      </c>
      <c r="O124" s="17">
        <v>20</v>
      </c>
      <c r="P124" s="15" t="s">
        <v>2922</v>
      </c>
      <c r="Q124" s="15" t="s">
        <v>149</v>
      </c>
      <c r="R124" s="15" t="s">
        <v>174</v>
      </c>
      <c r="S124" s="15" t="s">
        <v>2923</v>
      </c>
      <c r="T124" s="18">
        <v>19</v>
      </c>
      <c r="U124" s="15" t="s">
        <v>2924</v>
      </c>
      <c r="V124" s="15" t="s">
        <v>138</v>
      </c>
      <c r="W124" s="15" t="s">
        <v>138</v>
      </c>
      <c r="X124" s="19">
        <v>2016</v>
      </c>
      <c r="Y124" s="15" t="s">
        <v>138</v>
      </c>
      <c r="Z124" s="15" t="s">
        <v>138</v>
      </c>
      <c r="AA124" s="15" t="s">
        <v>138</v>
      </c>
      <c r="AB124" s="20" t="s">
        <v>138</v>
      </c>
      <c r="AC124" s="20" t="s">
        <v>138</v>
      </c>
      <c r="AD124" s="20" t="s">
        <v>138</v>
      </c>
      <c r="AE124" s="20" t="s">
        <v>138</v>
      </c>
      <c r="AF124" s="20" t="s">
        <v>138</v>
      </c>
      <c r="AG124" s="15" t="s">
        <v>138</v>
      </c>
      <c r="AH124" s="20" t="s">
        <v>138</v>
      </c>
      <c r="AI124" s="20" t="s">
        <v>138</v>
      </c>
      <c r="AJ124" s="20" t="s">
        <v>138</v>
      </c>
      <c r="AK124" s="15" t="s">
        <v>2925</v>
      </c>
      <c r="AL124" s="15" t="s">
        <v>2926</v>
      </c>
      <c r="AM124" s="15" t="s">
        <v>304</v>
      </c>
      <c r="AN124" s="15" t="s">
        <v>2927</v>
      </c>
      <c r="AO124" s="15" t="s">
        <v>138</v>
      </c>
      <c r="AP124" s="15" t="s">
        <v>2928</v>
      </c>
      <c r="AQ124" s="15" t="s">
        <v>2929</v>
      </c>
      <c r="AR124" s="15" t="s">
        <v>2930</v>
      </c>
      <c r="AS124" s="15" t="s">
        <v>2931</v>
      </c>
      <c r="AT124" s="15" t="s">
        <v>200</v>
      </c>
      <c r="AU124" s="15" t="s">
        <v>2932</v>
      </c>
      <c r="AV124" s="15" t="s">
        <v>162</v>
      </c>
      <c r="AW124" s="15" t="s">
        <v>138</v>
      </c>
      <c r="AX124" s="15" t="s">
        <v>138</v>
      </c>
      <c r="AY124" s="15" t="s">
        <v>138</v>
      </c>
      <c r="AZ124" s="15" t="s">
        <v>164</v>
      </c>
      <c r="BA124" s="15" t="s">
        <v>165</v>
      </c>
      <c r="BB124" s="15" t="s">
        <v>2933</v>
      </c>
      <c r="BC124" s="15" t="s">
        <v>2934</v>
      </c>
      <c r="BD124" s="21">
        <v>12</v>
      </c>
      <c r="BE124" s="15" t="s">
        <v>138</v>
      </c>
      <c r="BF124" s="15" t="s">
        <v>138</v>
      </c>
      <c r="BG124" s="15" t="s">
        <v>138</v>
      </c>
      <c r="BH124" s="15" t="s">
        <v>2935</v>
      </c>
      <c r="BI124" s="15" t="s">
        <v>138</v>
      </c>
      <c r="BJ124" s="15" t="s">
        <v>138</v>
      </c>
      <c r="BK124" s="15" t="s">
        <v>2936</v>
      </c>
      <c r="BL124" s="15" t="s">
        <v>2936</v>
      </c>
      <c r="BM124" s="22">
        <v>42793</v>
      </c>
      <c r="BN124" s="17">
        <v>5.5</v>
      </c>
      <c r="BO124" s="15" t="s">
        <v>172</v>
      </c>
      <c r="BP124" s="17" t="s">
        <v>138</v>
      </c>
      <c r="BQ124" s="15" t="s">
        <v>138</v>
      </c>
      <c r="BR124" s="15" t="s">
        <v>234</v>
      </c>
      <c r="BS124" s="15" t="s">
        <v>234</v>
      </c>
      <c r="BT124" s="15" t="s">
        <v>138</v>
      </c>
      <c r="BU124" s="15" t="s">
        <v>174</v>
      </c>
      <c r="BV124" s="15" t="s">
        <v>138</v>
      </c>
      <c r="BW124" s="15" t="s">
        <v>138</v>
      </c>
      <c r="BX124" s="15" t="s">
        <v>138</v>
      </c>
      <c r="BY124" s="15" t="s">
        <v>175</v>
      </c>
      <c r="BZ124" s="22">
        <v>43166</v>
      </c>
      <c r="CA124" s="17">
        <v>14.5</v>
      </c>
      <c r="CB124" s="15" t="s">
        <v>172</v>
      </c>
      <c r="CC124" s="17">
        <v>54.5</v>
      </c>
      <c r="CD124" s="15" t="s">
        <v>172</v>
      </c>
      <c r="CE124" s="15" t="s">
        <v>205</v>
      </c>
      <c r="CF124" s="15" t="s">
        <v>206</v>
      </c>
      <c r="CG124" s="15" t="s">
        <v>138</v>
      </c>
      <c r="CH124" s="15" t="s">
        <v>174</v>
      </c>
      <c r="CI124" s="15" t="s">
        <v>138</v>
      </c>
      <c r="CJ124" s="15" t="s">
        <v>138</v>
      </c>
      <c r="CK124" s="15" t="s">
        <v>138</v>
      </c>
      <c r="CL124" s="15" t="s">
        <v>175</v>
      </c>
      <c r="CM124" s="22" t="s">
        <v>138</v>
      </c>
      <c r="CN124" s="17" t="s">
        <v>138</v>
      </c>
      <c r="CO124" s="23">
        <v>28.26</v>
      </c>
      <c r="CP124" s="24">
        <v>100</v>
      </c>
      <c r="CQ124" s="23">
        <v>-1.31</v>
      </c>
      <c r="CR124" s="23">
        <v>-4.43</v>
      </c>
      <c r="CS124" s="23">
        <v>28.26</v>
      </c>
      <c r="CT124" s="24">
        <v>100</v>
      </c>
      <c r="CU124" s="23" t="s">
        <v>138</v>
      </c>
      <c r="CV124" s="24" t="s">
        <v>138</v>
      </c>
      <c r="CW124" s="23">
        <v>48.48</v>
      </c>
      <c r="CX124" s="24">
        <v>100</v>
      </c>
      <c r="CY124" s="23">
        <v>8.0500000000000007</v>
      </c>
      <c r="CZ124" s="24">
        <v>100</v>
      </c>
      <c r="DA124" s="23" t="s">
        <v>138</v>
      </c>
      <c r="DB124" s="24" t="s">
        <v>138</v>
      </c>
      <c r="DC124" s="25">
        <v>55.81</v>
      </c>
      <c r="DD124" s="24">
        <v>98</v>
      </c>
      <c r="DE124" s="25">
        <v>-7.51</v>
      </c>
      <c r="DF124" s="23">
        <v>-11.86</v>
      </c>
      <c r="DG124" s="25">
        <v>55.81</v>
      </c>
      <c r="DH124" s="24">
        <v>98</v>
      </c>
      <c r="DI124" s="25" t="s">
        <v>138</v>
      </c>
      <c r="DJ124" s="24" t="s">
        <v>138</v>
      </c>
      <c r="DK124" s="25">
        <v>100.68</v>
      </c>
      <c r="DL124" s="24">
        <v>98</v>
      </c>
      <c r="DM124" s="25">
        <v>10.93</v>
      </c>
      <c r="DN124" s="24">
        <v>89</v>
      </c>
      <c r="DO124" s="25" t="s">
        <v>138</v>
      </c>
      <c r="DP124" s="24" t="s">
        <v>138</v>
      </c>
      <c r="DQ124" s="24">
        <v>32608</v>
      </c>
      <c r="DR124" s="26">
        <v>5778</v>
      </c>
      <c r="DS124" s="23">
        <v>21.54</v>
      </c>
      <c r="DT124" s="24">
        <v>342</v>
      </c>
      <c r="DU124" s="26">
        <v>-42</v>
      </c>
      <c r="DV124" s="23">
        <v>-10.94</v>
      </c>
      <c r="DW124" s="24">
        <v>809</v>
      </c>
      <c r="DX124" s="27">
        <v>0</v>
      </c>
      <c r="DY124" s="23">
        <v>0</v>
      </c>
      <c r="DZ124" s="15" t="s">
        <v>178</v>
      </c>
      <c r="EA124" s="22">
        <v>43622</v>
      </c>
      <c r="EB124" s="17">
        <v>54.5</v>
      </c>
      <c r="EC124" s="22">
        <v>43166</v>
      </c>
      <c r="ED124" s="15" t="s">
        <v>205</v>
      </c>
      <c r="EE124" s="14" t="str">
        <f>HYPERLINK("https://my.pitchbook.com?c=170959-51", "View company online")</f>
        <v>View company online</v>
      </c>
    </row>
    <row r="125" spans="1:135">
      <c r="A125" s="28" t="s">
        <v>2937</v>
      </c>
      <c r="B125" s="28" t="s">
        <v>2938</v>
      </c>
      <c r="C125" s="28" t="s">
        <v>2939</v>
      </c>
      <c r="D125" s="28" t="s">
        <v>138</v>
      </c>
      <c r="E125" s="28" t="s">
        <v>2940</v>
      </c>
      <c r="F125" s="28" t="s">
        <v>2937</v>
      </c>
      <c r="G125" s="28" t="s">
        <v>2941</v>
      </c>
      <c r="H125" s="28" t="s">
        <v>141</v>
      </c>
      <c r="I125" s="28" t="s">
        <v>1281</v>
      </c>
      <c r="J125" s="28" t="s">
        <v>1282</v>
      </c>
      <c r="K125" s="28" t="s">
        <v>2942</v>
      </c>
      <c r="L125" s="28" t="s">
        <v>2943</v>
      </c>
      <c r="M125" s="28" t="s">
        <v>2944</v>
      </c>
      <c r="N125" s="28" t="s">
        <v>147</v>
      </c>
      <c r="O125" s="29">
        <v>8.9</v>
      </c>
      <c r="P125" s="28" t="s">
        <v>148</v>
      </c>
      <c r="Q125" s="28" t="s">
        <v>149</v>
      </c>
      <c r="R125" s="28" t="s">
        <v>174</v>
      </c>
      <c r="S125" s="28" t="s">
        <v>2945</v>
      </c>
      <c r="T125" s="30">
        <v>40</v>
      </c>
      <c r="U125" s="28" t="s">
        <v>2946</v>
      </c>
      <c r="V125" s="28" t="s">
        <v>138</v>
      </c>
      <c r="W125" s="28" t="s">
        <v>138</v>
      </c>
      <c r="X125" s="31">
        <v>2008</v>
      </c>
      <c r="Y125" s="28" t="s">
        <v>138</v>
      </c>
      <c r="Z125" s="28" t="s">
        <v>138</v>
      </c>
      <c r="AA125" s="28" t="s">
        <v>138</v>
      </c>
      <c r="AB125" s="32" t="s">
        <v>138</v>
      </c>
      <c r="AC125" s="32" t="s">
        <v>138</v>
      </c>
      <c r="AD125" s="32" t="s">
        <v>138</v>
      </c>
      <c r="AE125" s="32" t="s">
        <v>138</v>
      </c>
      <c r="AF125" s="32" t="s">
        <v>138</v>
      </c>
      <c r="AG125" s="28" t="s">
        <v>138</v>
      </c>
      <c r="AH125" s="32" t="s">
        <v>138</v>
      </c>
      <c r="AI125" s="32" t="s">
        <v>138</v>
      </c>
      <c r="AJ125" s="32" t="s">
        <v>138</v>
      </c>
      <c r="AK125" s="28" t="s">
        <v>2947</v>
      </c>
      <c r="AL125" s="28" t="s">
        <v>2948</v>
      </c>
      <c r="AM125" s="28" t="s">
        <v>2949</v>
      </c>
      <c r="AN125" s="28" t="s">
        <v>2950</v>
      </c>
      <c r="AO125" s="28" t="s">
        <v>2951</v>
      </c>
      <c r="AP125" s="28" t="s">
        <v>2952</v>
      </c>
      <c r="AQ125" s="28" t="s">
        <v>2953</v>
      </c>
      <c r="AR125" s="28" t="s">
        <v>138</v>
      </c>
      <c r="AS125" s="28" t="s">
        <v>2954</v>
      </c>
      <c r="AT125" s="28" t="s">
        <v>426</v>
      </c>
      <c r="AU125" s="28" t="s">
        <v>2955</v>
      </c>
      <c r="AV125" s="28" t="s">
        <v>162</v>
      </c>
      <c r="AW125" s="28" t="s">
        <v>2951</v>
      </c>
      <c r="AX125" s="28" t="s">
        <v>138</v>
      </c>
      <c r="AY125" s="28" t="s">
        <v>2956</v>
      </c>
      <c r="AZ125" s="28" t="s">
        <v>164</v>
      </c>
      <c r="BA125" s="28" t="s">
        <v>165</v>
      </c>
      <c r="BB125" s="28" t="s">
        <v>2957</v>
      </c>
      <c r="BC125" s="28" t="s">
        <v>2958</v>
      </c>
      <c r="BD125" s="33">
        <v>6</v>
      </c>
      <c r="BE125" s="28" t="s">
        <v>138</v>
      </c>
      <c r="BF125" s="28" t="s">
        <v>138</v>
      </c>
      <c r="BG125" s="28" t="s">
        <v>138</v>
      </c>
      <c r="BH125" s="28" t="s">
        <v>2959</v>
      </c>
      <c r="BI125" s="28" t="s">
        <v>138</v>
      </c>
      <c r="BJ125" s="28" t="s">
        <v>138</v>
      </c>
      <c r="BK125" s="28" t="s">
        <v>138</v>
      </c>
      <c r="BL125" s="28" t="s">
        <v>138</v>
      </c>
      <c r="BM125" s="34">
        <v>40497</v>
      </c>
      <c r="BN125" s="29">
        <v>0.2</v>
      </c>
      <c r="BO125" s="28" t="s">
        <v>172</v>
      </c>
      <c r="BP125" s="29" t="s">
        <v>138</v>
      </c>
      <c r="BQ125" s="28" t="s">
        <v>138</v>
      </c>
      <c r="BR125" s="28" t="s">
        <v>176</v>
      </c>
      <c r="BS125" s="28" t="s">
        <v>138</v>
      </c>
      <c r="BT125" s="28" t="s">
        <v>138</v>
      </c>
      <c r="BU125" s="28" t="s">
        <v>177</v>
      </c>
      <c r="BV125" s="28" t="s">
        <v>138</v>
      </c>
      <c r="BW125" s="28" t="s">
        <v>138</v>
      </c>
      <c r="BX125" s="28" t="s">
        <v>138</v>
      </c>
      <c r="BY125" s="28" t="s">
        <v>175</v>
      </c>
      <c r="BZ125" s="34">
        <v>42635</v>
      </c>
      <c r="CA125" s="29" t="s">
        <v>138</v>
      </c>
      <c r="CB125" s="28" t="s">
        <v>138</v>
      </c>
      <c r="CC125" s="29" t="s">
        <v>138</v>
      </c>
      <c r="CD125" s="28" t="s">
        <v>138</v>
      </c>
      <c r="CE125" s="28" t="s">
        <v>173</v>
      </c>
      <c r="CF125" s="28" t="s">
        <v>138</v>
      </c>
      <c r="CG125" s="28" t="s">
        <v>138</v>
      </c>
      <c r="CH125" s="28" t="s">
        <v>174</v>
      </c>
      <c r="CI125" s="28" t="s">
        <v>138</v>
      </c>
      <c r="CJ125" s="28" t="s">
        <v>138</v>
      </c>
      <c r="CK125" s="28" t="s">
        <v>138</v>
      </c>
      <c r="CL125" s="28" t="s">
        <v>175</v>
      </c>
      <c r="CM125" s="34" t="s">
        <v>138</v>
      </c>
      <c r="CN125" s="29" t="s">
        <v>138</v>
      </c>
      <c r="CO125" s="35">
        <v>0</v>
      </c>
      <c r="CP125" s="36">
        <v>26</v>
      </c>
      <c r="CQ125" s="35">
        <v>0</v>
      </c>
      <c r="CR125" s="35">
        <v>0</v>
      </c>
      <c r="CS125" s="35">
        <v>0</v>
      </c>
      <c r="CT125" s="36">
        <v>23</v>
      </c>
      <c r="CU125" s="35">
        <v>0</v>
      </c>
      <c r="CV125" s="36">
        <v>22</v>
      </c>
      <c r="CW125" s="35" t="s">
        <v>138</v>
      </c>
      <c r="CX125" s="36" t="s">
        <v>138</v>
      </c>
      <c r="CY125" s="35">
        <v>0</v>
      </c>
      <c r="CZ125" s="36">
        <v>25</v>
      </c>
      <c r="DA125" s="35">
        <v>0</v>
      </c>
      <c r="DB125" s="36">
        <v>22</v>
      </c>
      <c r="DC125" s="37">
        <v>1.08</v>
      </c>
      <c r="DD125" s="36">
        <v>53</v>
      </c>
      <c r="DE125" s="37">
        <v>0</v>
      </c>
      <c r="DF125" s="35">
        <v>0</v>
      </c>
      <c r="DG125" s="37">
        <v>2.14</v>
      </c>
      <c r="DH125" s="36">
        <v>68</v>
      </c>
      <c r="DI125" s="37">
        <v>0.03</v>
      </c>
      <c r="DJ125" s="36">
        <v>5</v>
      </c>
      <c r="DK125" s="37" t="s">
        <v>138</v>
      </c>
      <c r="DL125" s="36" t="s">
        <v>138</v>
      </c>
      <c r="DM125" s="37">
        <v>2.14</v>
      </c>
      <c r="DN125" s="36">
        <v>67</v>
      </c>
      <c r="DO125" s="37">
        <v>0.04</v>
      </c>
      <c r="DP125" s="36">
        <v>8</v>
      </c>
      <c r="DQ125" s="36" t="s">
        <v>138</v>
      </c>
      <c r="DR125" s="38" t="s">
        <v>138</v>
      </c>
      <c r="DS125" s="35" t="s">
        <v>138</v>
      </c>
      <c r="DT125" s="36">
        <v>62</v>
      </c>
      <c r="DU125" s="38">
        <v>0</v>
      </c>
      <c r="DV125" s="35">
        <v>0</v>
      </c>
      <c r="DW125" s="36">
        <v>14</v>
      </c>
      <c r="DX125" s="39">
        <v>0</v>
      </c>
      <c r="DY125" s="35">
        <v>0</v>
      </c>
      <c r="DZ125" s="28" t="s">
        <v>178</v>
      </c>
      <c r="EA125" s="34">
        <v>43375</v>
      </c>
      <c r="EB125" s="29">
        <v>13.41</v>
      </c>
      <c r="EC125" s="34">
        <v>41376</v>
      </c>
      <c r="ED125" s="28" t="s">
        <v>205</v>
      </c>
      <c r="EE125" s="40" t="str">
        <f>HYPERLINK("https://my.pitchbook.com?c=53894-62", "View company online")</f>
        <v>View company online</v>
      </c>
    </row>
    <row r="126" spans="1:135">
      <c r="A126" s="15" t="s">
        <v>2960</v>
      </c>
      <c r="B126" s="15" t="s">
        <v>2961</v>
      </c>
      <c r="C126" s="15" t="s">
        <v>138</v>
      </c>
      <c r="D126" s="15" t="s">
        <v>138</v>
      </c>
      <c r="E126" s="15" t="s">
        <v>2962</v>
      </c>
      <c r="F126" s="15" t="s">
        <v>2960</v>
      </c>
      <c r="G126" s="15" t="s">
        <v>2963</v>
      </c>
      <c r="H126" s="15" t="s">
        <v>322</v>
      </c>
      <c r="I126" s="15" t="s">
        <v>323</v>
      </c>
      <c r="J126" s="15" t="s">
        <v>324</v>
      </c>
      <c r="K126" s="15" t="s">
        <v>2964</v>
      </c>
      <c r="L126" s="15" t="s">
        <v>2274</v>
      </c>
      <c r="M126" s="15" t="s">
        <v>2965</v>
      </c>
      <c r="N126" s="15" t="s">
        <v>147</v>
      </c>
      <c r="O126" s="17">
        <v>162.80000000000001</v>
      </c>
      <c r="P126" s="15" t="s">
        <v>148</v>
      </c>
      <c r="Q126" s="15" t="s">
        <v>149</v>
      </c>
      <c r="R126" s="15" t="s">
        <v>174</v>
      </c>
      <c r="S126" s="15" t="s">
        <v>2966</v>
      </c>
      <c r="T126" s="18">
        <v>700</v>
      </c>
      <c r="U126" s="15" t="s">
        <v>2967</v>
      </c>
      <c r="V126" s="15" t="s">
        <v>138</v>
      </c>
      <c r="W126" s="15" t="s">
        <v>138</v>
      </c>
      <c r="X126" s="19">
        <v>2014</v>
      </c>
      <c r="Y126" s="15" t="s">
        <v>138</v>
      </c>
      <c r="Z126" s="15" t="s">
        <v>138</v>
      </c>
      <c r="AA126" s="15" t="s">
        <v>1163</v>
      </c>
      <c r="AB126" s="20" t="s">
        <v>138</v>
      </c>
      <c r="AC126" s="20" t="s">
        <v>138</v>
      </c>
      <c r="AD126" s="20" t="s">
        <v>138</v>
      </c>
      <c r="AE126" s="20" t="s">
        <v>138</v>
      </c>
      <c r="AF126" s="20" t="s">
        <v>138</v>
      </c>
      <c r="AG126" s="15" t="s">
        <v>138</v>
      </c>
      <c r="AH126" s="20" t="s">
        <v>138</v>
      </c>
      <c r="AI126" s="20" t="s">
        <v>138</v>
      </c>
      <c r="AJ126" s="20" t="s">
        <v>138</v>
      </c>
      <c r="AK126" s="15" t="s">
        <v>2968</v>
      </c>
      <c r="AL126" s="15" t="s">
        <v>2969</v>
      </c>
      <c r="AM126" s="15" t="s">
        <v>221</v>
      </c>
      <c r="AN126" s="15" t="s">
        <v>2970</v>
      </c>
      <c r="AO126" s="15" t="s">
        <v>2971</v>
      </c>
      <c r="AP126" s="15" t="s">
        <v>665</v>
      </c>
      <c r="AQ126" s="15" t="s">
        <v>2972</v>
      </c>
      <c r="AR126" s="15" t="s">
        <v>2973</v>
      </c>
      <c r="AS126" s="15" t="s">
        <v>668</v>
      </c>
      <c r="AT126" s="15" t="s">
        <v>200</v>
      </c>
      <c r="AU126" s="15" t="s">
        <v>669</v>
      </c>
      <c r="AV126" s="15" t="s">
        <v>162</v>
      </c>
      <c r="AW126" s="15" t="s">
        <v>2971</v>
      </c>
      <c r="AX126" s="15" t="s">
        <v>138</v>
      </c>
      <c r="AY126" s="15" t="s">
        <v>2974</v>
      </c>
      <c r="AZ126" s="15" t="s">
        <v>164</v>
      </c>
      <c r="BA126" s="15" t="s">
        <v>165</v>
      </c>
      <c r="BB126" s="15" t="s">
        <v>2975</v>
      </c>
      <c r="BC126" s="15" t="s">
        <v>2976</v>
      </c>
      <c r="BD126" s="21">
        <v>9</v>
      </c>
      <c r="BE126" s="15" t="s">
        <v>138</v>
      </c>
      <c r="BF126" s="15" t="s">
        <v>138</v>
      </c>
      <c r="BG126" s="15" t="s">
        <v>138</v>
      </c>
      <c r="BH126" s="15" t="s">
        <v>2977</v>
      </c>
      <c r="BI126" s="15" t="s">
        <v>138</v>
      </c>
      <c r="BJ126" s="15" t="s">
        <v>138</v>
      </c>
      <c r="BK126" s="15" t="s">
        <v>2978</v>
      </c>
      <c r="BL126" s="15" t="s">
        <v>1691</v>
      </c>
      <c r="BM126" s="22">
        <v>41794</v>
      </c>
      <c r="BN126" s="17">
        <v>10</v>
      </c>
      <c r="BO126" s="15" t="s">
        <v>172</v>
      </c>
      <c r="BP126" s="17">
        <v>19.05</v>
      </c>
      <c r="BQ126" s="15" t="s">
        <v>172</v>
      </c>
      <c r="BR126" s="15" t="s">
        <v>262</v>
      </c>
      <c r="BS126" s="15" t="s">
        <v>206</v>
      </c>
      <c r="BT126" s="15" t="s">
        <v>138</v>
      </c>
      <c r="BU126" s="15" t="s">
        <v>263</v>
      </c>
      <c r="BV126" s="15" t="s">
        <v>138</v>
      </c>
      <c r="BW126" s="15" t="s">
        <v>138</v>
      </c>
      <c r="BX126" s="15" t="s">
        <v>138</v>
      </c>
      <c r="BY126" s="15" t="s">
        <v>175</v>
      </c>
      <c r="BZ126" s="22">
        <v>43550</v>
      </c>
      <c r="CA126" s="17">
        <v>60</v>
      </c>
      <c r="CB126" s="15" t="s">
        <v>172</v>
      </c>
      <c r="CC126" s="17">
        <v>1000</v>
      </c>
      <c r="CD126" s="15" t="s">
        <v>172</v>
      </c>
      <c r="CE126" s="15" t="s">
        <v>173</v>
      </c>
      <c r="CF126" s="15" t="s">
        <v>317</v>
      </c>
      <c r="CG126" s="15" t="s">
        <v>138</v>
      </c>
      <c r="CH126" s="15" t="s">
        <v>174</v>
      </c>
      <c r="CI126" s="15" t="s">
        <v>138</v>
      </c>
      <c r="CJ126" s="15" t="s">
        <v>138</v>
      </c>
      <c r="CK126" s="15" t="s">
        <v>138</v>
      </c>
      <c r="CL126" s="15" t="s">
        <v>175</v>
      </c>
      <c r="CM126" s="22" t="s">
        <v>138</v>
      </c>
      <c r="CN126" s="17" t="s">
        <v>138</v>
      </c>
      <c r="CO126" s="23">
        <v>2.08</v>
      </c>
      <c r="CP126" s="24">
        <v>99</v>
      </c>
      <c r="CQ126" s="23">
        <v>-0.01</v>
      </c>
      <c r="CR126" s="23">
        <v>-0.6</v>
      </c>
      <c r="CS126" s="23">
        <v>5.01</v>
      </c>
      <c r="CT126" s="24">
        <v>100</v>
      </c>
      <c r="CU126" s="23">
        <v>0.71</v>
      </c>
      <c r="CV126" s="24">
        <v>96</v>
      </c>
      <c r="CW126" s="23">
        <v>5.01</v>
      </c>
      <c r="CX126" s="24">
        <v>95</v>
      </c>
      <c r="CY126" s="23" t="s">
        <v>138</v>
      </c>
      <c r="CZ126" s="24" t="s">
        <v>138</v>
      </c>
      <c r="DA126" s="23">
        <v>0.71</v>
      </c>
      <c r="DB126" s="24">
        <v>96</v>
      </c>
      <c r="DC126" s="25">
        <v>8.07</v>
      </c>
      <c r="DD126" s="24">
        <v>88</v>
      </c>
      <c r="DE126" s="25">
        <v>-0.69</v>
      </c>
      <c r="DF126" s="23">
        <v>-7.88</v>
      </c>
      <c r="DG126" s="25">
        <v>16.53</v>
      </c>
      <c r="DH126" s="24">
        <v>94</v>
      </c>
      <c r="DI126" s="25">
        <v>6.38</v>
      </c>
      <c r="DJ126" s="24">
        <v>80</v>
      </c>
      <c r="DK126" s="25">
        <v>16.53</v>
      </c>
      <c r="DL126" s="24">
        <v>91</v>
      </c>
      <c r="DM126" s="25" t="s">
        <v>138</v>
      </c>
      <c r="DN126" s="24" t="s">
        <v>138</v>
      </c>
      <c r="DO126" s="25">
        <v>6.38</v>
      </c>
      <c r="DP126" s="24">
        <v>82</v>
      </c>
      <c r="DQ126" s="24">
        <v>5603</v>
      </c>
      <c r="DR126" s="26">
        <v>200</v>
      </c>
      <c r="DS126" s="23">
        <v>3.7</v>
      </c>
      <c r="DT126" s="24" t="s">
        <v>138</v>
      </c>
      <c r="DU126" s="26" t="s">
        <v>138</v>
      </c>
      <c r="DV126" s="23" t="s">
        <v>138</v>
      </c>
      <c r="DW126" s="24">
        <v>2282</v>
      </c>
      <c r="DX126" s="27">
        <v>8</v>
      </c>
      <c r="DY126" s="23">
        <v>0.35</v>
      </c>
      <c r="DZ126" s="15" t="s">
        <v>178</v>
      </c>
      <c r="EA126" s="22">
        <v>43567</v>
      </c>
      <c r="EB126" s="17">
        <v>1000</v>
      </c>
      <c r="EC126" s="22">
        <v>43550</v>
      </c>
      <c r="ED126" s="15" t="s">
        <v>173</v>
      </c>
      <c r="EE126" s="14" t="str">
        <f>HYPERLINK("https://my.pitchbook.com?c=100237-15", "View company online")</f>
        <v>View company online</v>
      </c>
    </row>
    <row r="127" spans="1:135">
      <c r="A127" s="28" t="s">
        <v>2979</v>
      </c>
      <c r="B127" s="28" t="s">
        <v>2980</v>
      </c>
      <c r="C127" s="28" t="s">
        <v>2981</v>
      </c>
      <c r="D127" s="28" t="s">
        <v>138</v>
      </c>
      <c r="E127" s="28" t="s">
        <v>2982</v>
      </c>
      <c r="F127" s="28" t="s">
        <v>2979</v>
      </c>
      <c r="G127" s="28" t="s">
        <v>2983</v>
      </c>
      <c r="H127" s="28" t="s">
        <v>322</v>
      </c>
      <c r="I127" s="28" t="s">
        <v>323</v>
      </c>
      <c r="J127" s="28" t="s">
        <v>2984</v>
      </c>
      <c r="K127" s="28" t="s">
        <v>2985</v>
      </c>
      <c r="L127" s="28" t="s">
        <v>2986</v>
      </c>
      <c r="M127" s="28" t="s">
        <v>2987</v>
      </c>
      <c r="N127" s="28" t="s">
        <v>1452</v>
      </c>
      <c r="O127" s="29" t="s">
        <v>138</v>
      </c>
      <c r="P127" s="28" t="s">
        <v>148</v>
      </c>
      <c r="Q127" s="28" t="s">
        <v>149</v>
      </c>
      <c r="R127" s="28" t="s">
        <v>328</v>
      </c>
      <c r="S127" s="28" t="s">
        <v>2988</v>
      </c>
      <c r="T127" s="30">
        <v>150</v>
      </c>
      <c r="U127" s="28" t="s">
        <v>2989</v>
      </c>
      <c r="V127" s="28" t="s">
        <v>138</v>
      </c>
      <c r="W127" s="28" t="s">
        <v>138</v>
      </c>
      <c r="X127" s="31">
        <v>2007</v>
      </c>
      <c r="Y127" s="28" t="s">
        <v>138</v>
      </c>
      <c r="Z127" s="28" t="s">
        <v>138</v>
      </c>
      <c r="AA127" s="28" t="s">
        <v>138</v>
      </c>
      <c r="AB127" s="32">
        <v>8.8699999999999992</v>
      </c>
      <c r="AC127" s="32" t="s">
        <v>138</v>
      </c>
      <c r="AD127" s="32" t="s">
        <v>138</v>
      </c>
      <c r="AE127" s="32" t="s">
        <v>138</v>
      </c>
      <c r="AF127" s="32" t="s">
        <v>138</v>
      </c>
      <c r="AG127" s="28" t="s">
        <v>563</v>
      </c>
      <c r="AH127" s="32" t="s">
        <v>138</v>
      </c>
      <c r="AI127" s="32" t="s">
        <v>138</v>
      </c>
      <c r="AJ127" s="32" t="s">
        <v>138</v>
      </c>
      <c r="AK127" s="28" t="s">
        <v>2990</v>
      </c>
      <c r="AL127" s="28" t="s">
        <v>2991</v>
      </c>
      <c r="AM127" s="28" t="s">
        <v>2992</v>
      </c>
      <c r="AN127" s="28" t="s">
        <v>2993</v>
      </c>
      <c r="AO127" s="28" t="s">
        <v>2994</v>
      </c>
      <c r="AP127" s="28" t="s">
        <v>2002</v>
      </c>
      <c r="AQ127" s="28" t="s">
        <v>2995</v>
      </c>
      <c r="AR127" s="28" t="s">
        <v>158</v>
      </c>
      <c r="AS127" s="28" t="s">
        <v>2005</v>
      </c>
      <c r="AT127" s="28" t="s">
        <v>200</v>
      </c>
      <c r="AU127" s="28" t="s">
        <v>2996</v>
      </c>
      <c r="AV127" s="28" t="s">
        <v>162</v>
      </c>
      <c r="AW127" s="28" t="s">
        <v>2994</v>
      </c>
      <c r="AX127" s="28" t="s">
        <v>2997</v>
      </c>
      <c r="AY127" s="28" t="s">
        <v>2998</v>
      </c>
      <c r="AZ127" s="28" t="s">
        <v>164</v>
      </c>
      <c r="BA127" s="28" t="s">
        <v>165</v>
      </c>
      <c r="BB127" s="28" t="s">
        <v>2999</v>
      </c>
      <c r="BC127" s="28" t="s">
        <v>3000</v>
      </c>
      <c r="BD127" s="33">
        <v>2</v>
      </c>
      <c r="BE127" s="28" t="s">
        <v>138</v>
      </c>
      <c r="BF127" s="28" t="s">
        <v>3001</v>
      </c>
      <c r="BG127" s="28" t="s">
        <v>138</v>
      </c>
      <c r="BH127" s="28" t="s">
        <v>3002</v>
      </c>
      <c r="BI127" s="28" t="s">
        <v>3003</v>
      </c>
      <c r="BJ127" s="28" t="s">
        <v>138</v>
      </c>
      <c r="BK127" s="28" t="s">
        <v>138</v>
      </c>
      <c r="BL127" s="28" t="s">
        <v>138</v>
      </c>
      <c r="BM127" s="34">
        <v>42626</v>
      </c>
      <c r="BN127" s="29" t="s">
        <v>138</v>
      </c>
      <c r="BO127" s="28" t="s">
        <v>138</v>
      </c>
      <c r="BP127" s="29" t="s">
        <v>138</v>
      </c>
      <c r="BQ127" s="28" t="s">
        <v>138</v>
      </c>
      <c r="BR127" s="28" t="s">
        <v>173</v>
      </c>
      <c r="BS127" s="28" t="s">
        <v>138</v>
      </c>
      <c r="BT127" s="28" t="s">
        <v>138</v>
      </c>
      <c r="BU127" s="28" t="s">
        <v>174</v>
      </c>
      <c r="BV127" s="28" t="s">
        <v>138</v>
      </c>
      <c r="BW127" s="28" t="s">
        <v>138</v>
      </c>
      <c r="BX127" s="28" t="s">
        <v>138</v>
      </c>
      <c r="BY127" s="28" t="s">
        <v>175</v>
      </c>
      <c r="BZ127" s="34">
        <v>43207</v>
      </c>
      <c r="CA127" s="29" t="s">
        <v>138</v>
      </c>
      <c r="CB127" s="28" t="s">
        <v>138</v>
      </c>
      <c r="CC127" s="29" t="s">
        <v>138</v>
      </c>
      <c r="CD127" s="28" t="s">
        <v>138</v>
      </c>
      <c r="CE127" s="28" t="s">
        <v>349</v>
      </c>
      <c r="CF127" s="28" t="s">
        <v>138</v>
      </c>
      <c r="CG127" s="28" t="s">
        <v>138</v>
      </c>
      <c r="CH127" s="28" t="s">
        <v>351</v>
      </c>
      <c r="CI127" s="28" t="s">
        <v>138</v>
      </c>
      <c r="CJ127" s="28" t="s">
        <v>138</v>
      </c>
      <c r="CK127" s="28" t="s">
        <v>138</v>
      </c>
      <c r="CL127" s="28" t="s">
        <v>175</v>
      </c>
      <c r="CM127" s="34" t="s">
        <v>138</v>
      </c>
      <c r="CN127" s="29" t="s">
        <v>138</v>
      </c>
      <c r="CO127" s="35">
        <v>-0.84</v>
      </c>
      <c r="CP127" s="36">
        <v>12</v>
      </c>
      <c r="CQ127" s="35">
        <v>0.21</v>
      </c>
      <c r="CR127" s="35">
        <v>19.760000000000002</v>
      </c>
      <c r="CS127" s="35">
        <v>-1.63</v>
      </c>
      <c r="CT127" s="36">
        <v>11</v>
      </c>
      <c r="CU127" s="35">
        <v>-0.04</v>
      </c>
      <c r="CV127" s="36">
        <v>12</v>
      </c>
      <c r="CW127" s="35">
        <v>-3.59</v>
      </c>
      <c r="CX127" s="36">
        <v>4</v>
      </c>
      <c r="CY127" s="35">
        <v>0.32</v>
      </c>
      <c r="CZ127" s="36">
        <v>98</v>
      </c>
      <c r="DA127" s="35">
        <v>-0.04</v>
      </c>
      <c r="DB127" s="36">
        <v>15</v>
      </c>
      <c r="DC127" s="37">
        <v>10.84</v>
      </c>
      <c r="DD127" s="36">
        <v>91</v>
      </c>
      <c r="DE127" s="37">
        <v>-0.06</v>
      </c>
      <c r="DF127" s="35">
        <v>-0.52</v>
      </c>
      <c r="DG127" s="37">
        <v>4.5199999999999996</v>
      </c>
      <c r="DH127" s="36">
        <v>81</v>
      </c>
      <c r="DI127" s="37">
        <v>17.170000000000002</v>
      </c>
      <c r="DJ127" s="36">
        <v>90</v>
      </c>
      <c r="DK127" s="37">
        <v>2.9</v>
      </c>
      <c r="DL127" s="36">
        <v>71</v>
      </c>
      <c r="DM127" s="37">
        <v>6.14</v>
      </c>
      <c r="DN127" s="36">
        <v>84</v>
      </c>
      <c r="DO127" s="37">
        <v>17.170000000000002</v>
      </c>
      <c r="DP127" s="36">
        <v>92</v>
      </c>
      <c r="DQ127" s="36">
        <v>975</v>
      </c>
      <c r="DR127" s="38">
        <v>60</v>
      </c>
      <c r="DS127" s="35">
        <v>6.56</v>
      </c>
      <c r="DT127" s="36">
        <v>178</v>
      </c>
      <c r="DU127" s="38">
        <v>0</v>
      </c>
      <c r="DV127" s="35">
        <v>0</v>
      </c>
      <c r="DW127" s="36">
        <v>6146</v>
      </c>
      <c r="DX127" s="39">
        <v>-1</v>
      </c>
      <c r="DY127" s="35">
        <v>-0.02</v>
      </c>
      <c r="DZ127" s="28" t="s">
        <v>178</v>
      </c>
      <c r="EA127" s="34">
        <v>43622</v>
      </c>
      <c r="EB127" s="29" t="s">
        <v>138</v>
      </c>
      <c r="EC127" s="34" t="s">
        <v>138</v>
      </c>
      <c r="ED127" s="28" t="s">
        <v>138</v>
      </c>
      <c r="EE127" s="40" t="str">
        <f>HYPERLINK("https://my.pitchbook.com?c=128807-20", "View company online")</f>
        <v>View company online</v>
      </c>
    </row>
    <row r="128" spans="1:135">
      <c r="A128" s="15" t="s">
        <v>3004</v>
      </c>
      <c r="B128" s="15" t="s">
        <v>3005</v>
      </c>
      <c r="C128" s="15" t="s">
        <v>3006</v>
      </c>
      <c r="D128" s="15" t="s">
        <v>138</v>
      </c>
      <c r="E128" s="15" t="s">
        <v>3007</v>
      </c>
      <c r="F128" s="15" t="s">
        <v>3004</v>
      </c>
      <c r="G128" s="15" t="s">
        <v>3008</v>
      </c>
      <c r="H128" s="15" t="s">
        <v>183</v>
      </c>
      <c r="I128" s="15" t="s">
        <v>184</v>
      </c>
      <c r="J128" s="15" t="s">
        <v>2141</v>
      </c>
      <c r="K128" s="15" t="s">
        <v>3009</v>
      </c>
      <c r="L128" s="15" t="s">
        <v>3010</v>
      </c>
      <c r="M128" s="15" t="s">
        <v>3011</v>
      </c>
      <c r="N128" s="15" t="s">
        <v>147</v>
      </c>
      <c r="O128" s="17">
        <v>109.7</v>
      </c>
      <c r="P128" s="15" t="s">
        <v>1473</v>
      </c>
      <c r="Q128" s="15" t="s">
        <v>149</v>
      </c>
      <c r="R128" s="15" t="s">
        <v>244</v>
      </c>
      <c r="S128" s="15" t="s">
        <v>3012</v>
      </c>
      <c r="T128" s="18">
        <v>61</v>
      </c>
      <c r="U128" s="15" t="s">
        <v>3013</v>
      </c>
      <c r="V128" s="15" t="s">
        <v>138</v>
      </c>
      <c r="W128" s="15" t="s">
        <v>138</v>
      </c>
      <c r="X128" s="19">
        <v>2011</v>
      </c>
      <c r="Y128" s="15" t="s">
        <v>138</v>
      </c>
      <c r="Z128" s="15" t="s">
        <v>138</v>
      </c>
      <c r="AA128" s="15" t="s">
        <v>138</v>
      </c>
      <c r="AB128" s="20" t="s">
        <v>138</v>
      </c>
      <c r="AC128" s="20" t="s">
        <v>138</v>
      </c>
      <c r="AD128" s="20" t="s">
        <v>138</v>
      </c>
      <c r="AE128" s="20" t="s">
        <v>138</v>
      </c>
      <c r="AF128" s="20" t="s">
        <v>138</v>
      </c>
      <c r="AG128" s="15" t="s">
        <v>138</v>
      </c>
      <c r="AH128" s="20" t="s">
        <v>138</v>
      </c>
      <c r="AI128" s="20" t="s">
        <v>138</v>
      </c>
      <c r="AJ128" s="20" t="s">
        <v>138</v>
      </c>
      <c r="AK128" s="15" t="s">
        <v>3014</v>
      </c>
      <c r="AL128" s="15" t="s">
        <v>3015</v>
      </c>
      <c r="AM128" s="15" t="s">
        <v>3016</v>
      </c>
      <c r="AN128" s="15" t="s">
        <v>3017</v>
      </c>
      <c r="AO128" s="15" t="s">
        <v>3018</v>
      </c>
      <c r="AP128" s="15" t="s">
        <v>1220</v>
      </c>
      <c r="AQ128" s="15" t="s">
        <v>3019</v>
      </c>
      <c r="AR128" s="15" t="s">
        <v>1170</v>
      </c>
      <c r="AS128" s="15" t="s">
        <v>1223</v>
      </c>
      <c r="AT128" s="15" t="s">
        <v>200</v>
      </c>
      <c r="AU128" s="15" t="s">
        <v>1484</v>
      </c>
      <c r="AV128" s="15" t="s">
        <v>162</v>
      </c>
      <c r="AW128" s="15" t="s">
        <v>3018</v>
      </c>
      <c r="AX128" s="15" t="s">
        <v>138</v>
      </c>
      <c r="AY128" s="15" t="s">
        <v>3020</v>
      </c>
      <c r="AZ128" s="15" t="s">
        <v>164</v>
      </c>
      <c r="BA128" s="15" t="s">
        <v>165</v>
      </c>
      <c r="BB128" s="15" t="s">
        <v>3021</v>
      </c>
      <c r="BC128" s="15" t="s">
        <v>3022</v>
      </c>
      <c r="BD128" s="21">
        <v>3</v>
      </c>
      <c r="BE128" s="15" t="s">
        <v>138</v>
      </c>
      <c r="BF128" s="15" t="s">
        <v>138</v>
      </c>
      <c r="BG128" s="15" t="s">
        <v>138</v>
      </c>
      <c r="BH128" s="15" t="s">
        <v>3023</v>
      </c>
      <c r="BI128" s="15" t="s">
        <v>138</v>
      </c>
      <c r="BJ128" s="15" t="s">
        <v>138</v>
      </c>
      <c r="BK128" s="15" t="s">
        <v>3024</v>
      </c>
      <c r="BL128" s="15" t="s">
        <v>3025</v>
      </c>
      <c r="BM128" s="22">
        <v>40862</v>
      </c>
      <c r="BN128" s="17">
        <v>12</v>
      </c>
      <c r="BO128" s="15" t="s">
        <v>172</v>
      </c>
      <c r="BP128" s="17">
        <v>90</v>
      </c>
      <c r="BQ128" s="15" t="s">
        <v>172</v>
      </c>
      <c r="BR128" s="15" t="s">
        <v>205</v>
      </c>
      <c r="BS128" s="15" t="s">
        <v>206</v>
      </c>
      <c r="BT128" s="15" t="s">
        <v>138</v>
      </c>
      <c r="BU128" s="15" t="s">
        <v>174</v>
      </c>
      <c r="BV128" s="15" t="s">
        <v>138</v>
      </c>
      <c r="BW128" s="15" t="s">
        <v>138</v>
      </c>
      <c r="BX128" s="15" t="s">
        <v>138</v>
      </c>
      <c r="BY128" s="15" t="s">
        <v>175</v>
      </c>
      <c r="BZ128" s="22" t="s">
        <v>138</v>
      </c>
      <c r="CA128" s="17">
        <v>17.5</v>
      </c>
      <c r="CB128" s="15" t="s">
        <v>172</v>
      </c>
      <c r="CC128" s="17" t="s">
        <v>138</v>
      </c>
      <c r="CD128" s="15" t="s">
        <v>138</v>
      </c>
      <c r="CE128" s="15" t="s">
        <v>3026</v>
      </c>
      <c r="CF128" s="15" t="s">
        <v>138</v>
      </c>
      <c r="CG128" s="15" t="s">
        <v>138</v>
      </c>
      <c r="CH128" s="15" t="s">
        <v>1327</v>
      </c>
      <c r="CI128" s="15" t="s">
        <v>138</v>
      </c>
      <c r="CJ128" s="15" t="s">
        <v>138</v>
      </c>
      <c r="CK128" s="15" t="s">
        <v>138</v>
      </c>
      <c r="CL128" s="15" t="s">
        <v>175</v>
      </c>
      <c r="CM128" s="22">
        <v>43068</v>
      </c>
      <c r="CN128" s="17">
        <v>20</v>
      </c>
      <c r="CO128" s="23">
        <v>-0.42</v>
      </c>
      <c r="CP128" s="24">
        <v>17</v>
      </c>
      <c r="CQ128" s="23">
        <v>-0.04</v>
      </c>
      <c r="CR128" s="23">
        <v>-11.12</v>
      </c>
      <c r="CS128" s="23">
        <v>-1.2</v>
      </c>
      <c r="CT128" s="24">
        <v>14</v>
      </c>
      <c r="CU128" s="23">
        <v>0.36</v>
      </c>
      <c r="CV128" s="24">
        <v>90</v>
      </c>
      <c r="CW128" s="23">
        <v>-0.43</v>
      </c>
      <c r="CX128" s="24">
        <v>11</v>
      </c>
      <c r="CY128" s="23">
        <v>-1.96</v>
      </c>
      <c r="CZ128" s="24">
        <v>11</v>
      </c>
      <c r="DA128" s="23">
        <v>0.36</v>
      </c>
      <c r="DB128" s="24">
        <v>91</v>
      </c>
      <c r="DC128" s="25">
        <v>4.25</v>
      </c>
      <c r="DD128" s="24">
        <v>80</v>
      </c>
      <c r="DE128" s="25">
        <v>-0.04</v>
      </c>
      <c r="DF128" s="23">
        <v>-0.88</v>
      </c>
      <c r="DG128" s="25">
        <v>6.84</v>
      </c>
      <c r="DH128" s="24">
        <v>86</v>
      </c>
      <c r="DI128" s="25">
        <v>1.67</v>
      </c>
      <c r="DJ128" s="24">
        <v>59</v>
      </c>
      <c r="DK128" s="25">
        <v>0.95</v>
      </c>
      <c r="DL128" s="24">
        <v>49</v>
      </c>
      <c r="DM128" s="25">
        <v>12.72</v>
      </c>
      <c r="DN128" s="24">
        <v>91</v>
      </c>
      <c r="DO128" s="25">
        <v>1.67</v>
      </c>
      <c r="DP128" s="24">
        <v>60</v>
      </c>
      <c r="DQ128" s="24">
        <v>349</v>
      </c>
      <c r="DR128" s="26">
        <v>-65</v>
      </c>
      <c r="DS128" s="23">
        <v>-15.7</v>
      </c>
      <c r="DT128" s="24">
        <v>369</v>
      </c>
      <c r="DU128" s="26">
        <v>-1</v>
      </c>
      <c r="DV128" s="23">
        <v>-0.27</v>
      </c>
      <c r="DW128" s="24">
        <v>595</v>
      </c>
      <c r="DX128" s="27">
        <v>2</v>
      </c>
      <c r="DY128" s="23">
        <v>0.34</v>
      </c>
      <c r="DZ128" s="15" t="s">
        <v>178</v>
      </c>
      <c r="EA128" s="22">
        <v>43622</v>
      </c>
      <c r="EB128" s="17">
        <v>78.099999999999994</v>
      </c>
      <c r="EC128" s="22">
        <v>43025</v>
      </c>
      <c r="ED128" s="15" t="s">
        <v>173</v>
      </c>
      <c r="EE128" s="14" t="str">
        <f>HYPERLINK("https://my.pitchbook.com?c=102884-50", "View company online")</f>
        <v>View company online</v>
      </c>
    </row>
    <row r="129" spans="1:135">
      <c r="A129" s="28" t="s">
        <v>3027</v>
      </c>
      <c r="B129" s="28" t="s">
        <v>3028</v>
      </c>
      <c r="C129" s="28" t="s">
        <v>138</v>
      </c>
      <c r="D129" s="28" t="s">
        <v>138</v>
      </c>
      <c r="E129" s="28" t="s">
        <v>138</v>
      </c>
      <c r="F129" s="28" t="s">
        <v>3027</v>
      </c>
      <c r="G129" s="28" t="s">
        <v>3029</v>
      </c>
      <c r="H129" s="28" t="s">
        <v>322</v>
      </c>
      <c r="I129" s="28" t="s">
        <v>356</v>
      </c>
      <c r="J129" s="28" t="s">
        <v>3030</v>
      </c>
      <c r="K129" s="28" t="s">
        <v>3031</v>
      </c>
      <c r="L129" s="28" t="s">
        <v>138</v>
      </c>
      <c r="M129" s="28" t="s">
        <v>3032</v>
      </c>
      <c r="N129" s="28" t="s">
        <v>147</v>
      </c>
      <c r="O129" s="29">
        <v>1</v>
      </c>
      <c r="P129" s="28" t="s">
        <v>148</v>
      </c>
      <c r="Q129" s="28" t="s">
        <v>149</v>
      </c>
      <c r="R129" s="28" t="s">
        <v>174</v>
      </c>
      <c r="S129" s="28" t="s">
        <v>3033</v>
      </c>
      <c r="T129" s="30">
        <v>11</v>
      </c>
      <c r="U129" s="28" t="s">
        <v>3034</v>
      </c>
      <c r="V129" s="28" t="s">
        <v>138</v>
      </c>
      <c r="W129" s="28" t="s">
        <v>138</v>
      </c>
      <c r="X129" s="31">
        <v>1998</v>
      </c>
      <c r="Y129" s="28" t="s">
        <v>138</v>
      </c>
      <c r="Z129" s="28" t="s">
        <v>138</v>
      </c>
      <c r="AA129" s="28" t="s">
        <v>138</v>
      </c>
      <c r="AB129" s="32" t="s">
        <v>138</v>
      </c>
      <c r="AC129" s="32" t="s">
        <v>138</v>
      </c>
      <c r="AD129" s="32" t="s">
        <v>138</v>
      </c>
      <c r="AE129" s="32" t="s">
        <v>138</v>
      </c>
      <c r="AF129" s="32" t="s">
        <v>138</v>
      </c>
      <c r="AG129" s="28" t="s">
        <v>138</v>
      </c>
      <c r="AH129" s="32" t="s">
        <v>138</v>
      </c>
      <c r="AI129" s="32" t="s">
        <v>138</v>
      </c>
      <c r="AJ129" s="32" t="s">
        <v>138</v>
      </c>
      <c r="AK129" s="28" t="s">
        <v>3035</v>
      </c>
      <c r="AL129" s="28" t="s">
        <v>3036</v>
      </c>
      <c r="AM129" s="28" t="s">
        <v>304</v>
      </c>
      <c r="AN129" s="28" t="s">
        <v>3037</v>
      </c>
      <c r="AO129" s="28" t="s">
        <v>3038</v>
      </c>
      <c r="AP129" s="28" t="s">
        <v>3039</v>
      </c>
      <c r="AQ129" s="28" t="s">
        <v>3040</v>
      </c>
      <c r="AR129" s="28" t="s">
        <v>3041</v>
      </c>
      <c r="AS129" s="28" t="s">
        <v>3042</v>
      </c>
      <c r="AT129" s="28" t="s">
        <v>138</v>
      </c>
      <c r="AU129" s="28" t="s">
        <v>138</v>
      </c>
      <c r="AV129" s="28" t="s">
        <v>740</v>
      </c>
      <c r="AW129" s="28" t="s">
        <v>3038</v>
      </c>
      <c r="AX129" s="28" t="s">
        <v>3043</v>
      </c>
      <c r="AY129" s="28" t="s">
        <v>3044</v>
      </c>
      <c r="AZ129" s="28" t="s">
        <v>742</v>
      </c>
      <c r="BA129" s="28" t="s">
        <v>742</v>
      </c>
      <c r="BB129" s="28" t="s">
        <v>3045</v>
      </c>
      <c r="BC129" s="28" t="s">
        <v>3046</v>
      </c>
      <c r="BD129" s="33">
        <v>2</v>
      </c>
      <c r="BE129" s="28" t="s">
        <v>138</v>
      </c>
      <c r="BF129" s="28" t="s">
        <v>3047</v>
      </c>
      <c r="BG129" s="28" t="s">
        <v>138</v>
      </c>
      <c r="BH129" s="28" t="s">
        <v>3048</v>
      </c>
      <c r="BI129" s="28" t="s">
        <v>3049</v>
      </c>
      <c r="BJ129" s="28" t="s">
        <v>138</v>
      </c>
      <c r="BK129" s="28" t="s">
        <v>138</v>
      </c>
      <c r="BL129" s="28" t="s">
        <v>138</v>
      </c>
      <c r="BM129" s="34" t="s">
        <v>138</v>
      </c>
      <c r="BN129" s="29">
        <v>0.5</v>
      </c>
      <c r="BO129" s="28" t="s">
        <v>172</v>
      </c>
      <c r="BP129" s="29" t="s">
        <v>138</v>
      </c>
      <c r="BQ129" s="28" t="s">
        <v>138</v>
      </c>
      <c r="BR129" s="28" t="s">
        <v>176</v>
      </c>
      <c r="BS129" s="28" t="s">
        <v>138</v>
      </c>
      <c r="BT129" s="28" t="s">
        <v>138</v>
      </c>
      <c r="BU129" s="28" t="s">
        <v>177</v>
      </c>
      <c r="BV129" s="28" t="s">
        <v>138</v>
      </c>
      <c r="BW129" s="28" t="s">
        <v>138</v>
      </c>
      <c r="BX129" s="28" t="s">
        <v>138</v>
      </c>
      <c r="BY129" s="28" t="s">
        <v>175</v>
      </c>
      <c r="BZ129" s="34" t="s">
        <v>138</v>
      </c>
      <c r="CA129" s="29" t="s">
        <v>138</v>
      </c>
      <c r="CB129" s="28" t="s">
        <v>138</v>
      </c>
      <c r="CC129" s="29" t="s">
        <v>138</v>
      </c>
      <c r="CD129" s="28" t="s">
        <v>138</v>
      </c>
      <c r="CE129" s="28" t="s">
        <v>379</v>
      </c>
      <c r="CF129" s="28" t="s">
        <v>138</v>
      </c>
      <c r="CG129" s="28" t="s">
        <v>138</v>
      </c>
      <c r="CH129" s="28" t="s">
        <v>174</v>
      </c>
      <c r="CI129" s="28" t="s">
        <v>138</v>
      </c>
      <c r="CJ129" s="28" t="s">
        <v>138</v>
      </c>
      <c r="CK129" s="28" t="s">
        <v>138</v>
      </c>
      <c r="CL129" s="28" t="s">
        <v>175</v>
      </c>
      <c r="CM129" s="34" t="s">
        <v>138</v>
      </c>
      <c r="CN129" s="29" t="s">
        <v>138</v>
      </c>
      <c r="CO129" s="35">
        <v>0</v>
      </c>
      <c r="CP129" s="36">
        <v>26</v>
      </c>
      <c r="CQ129" s="35">
        <v>0</v>
      </c>
      <c r="CR129" s="35">
        <v>0</v>
      </c>
      <c r="CS129" s="35">
        <v>0</v>
      </c>
      <c r="CT129" s="36">
        <v>23</v>
      </c>
      <c r="CU129" s="35">
        <v>0</v>
      </c>
      <c r="CV129" s="36">
        <v>22</v>
      </c>
      <c r="CW129" s="35" t="s">
        <v>138</v>
      </c>
      <c r="CX129" s="36" t="s">
        <v>138</v>
      </c>
      <c r="CY129" s="35">
        <v>0</v>
      </c>
      <c r="CZ129" s="36">
        <v>25</v>
      </c>
      <c r="DA129" s="35">
        <v>0</v>
      </c>
      <c r="DB129" s="36">
        <v>22</v>
      </c>
      <c r="DC129" s="37">
        <v>1.49</v>
      </c>
      <c r="DD129" s="36">
        <v>61</v>
      </c>
      <c r="DE129" s="37">
        <v>0.02</v>
      </c>
      <c r="DF129" s="35">
        <v>1.3</v>
      </c>
      <c r="DG129" s="37">
        <v>2.79</v>
      </c>
      <c r="DH129" s="36">
        <v>73</v>
      </c>
      <c r="DI129" s="37">
        <v>0.18</v>
      </c>
      <c r="DJ129" s="36">
        <v>21</v>
      </c>
      <c r="DK129" s="37" t="s">
        <v>138</v>
      </c>
      <c r="DL129" s="36" t="s">
        <v>138</v>
      </c>
      <c r="DM129" s="37">
        <v>2.79</v>
      </c>
      <c r="DN129" s="36">
        <v>72</v>
      </c>
      <c r="DO129" s="37">
        <v>0.18</v>
      </c>
      <c r="DP129" s="36">
        <v>23</v>
      </c>
      <c r="DQ129" s="36" t="s">
        <v>138</v>
      </c>
      <c r="DR129" s="38" t="s">
        <v>138</v>
      </c>
      <c r="DS129" s="35" t="s">
        <v>138</v>
      </c>
      <c r="DT129" s="36">
        <v>80</v>
      </c>
      <c r="DU129" s="38">
        <v>1</v>
      </c>
      <c r="DV129" s="35">
        <v>1.27</v>
      </c>
      <c r="DW129" s="36">
        <v>65</v>
      </c>
      <c r="DX129" s="39">
        <v>1</v>
      </c>
      <c r="DY129" s="35">
        <v>1.56</v>
      </c>
      <c r="DZ129" s="28" t="s">
        <v>178</v>
      </c>
      <c r="EA129" s="34">
        <v>43351</v>
      </c>
      <c r="EB129" s="29">
        <v>10</v>
      </c>
      <c r="EC129" s="34">
        <v>36614</v>
      </c>
      <c r="ED129" s="28" t="s">
        <v>205</v>
      </c>
      <c r="EE129" s="40" t="str">
        <f>HYPERLINK("https://my.pitchbook.com?c=59970-70", "View company online")</f>
        <v>View company online</v>
      </c>
    </row>
    <row r="130" spans="1:135">
      <c r="A130" s="15" t="s">
        <v>3050</v>
      </c>
      <c r="B130" s="15" t="s">
        <v>3051</v>
      </c>
      <c r="C130" s="15" t="s">
        <v>138</v>
      </c>
      <c r="D130" s="15" t="s">
        <v>138</v>
      </c>
      <c r="E130" s="15" t="s">
        <v>138</v>
      </c>
      <c r="F130" s="15" t="s">
        <v>3050</v>
      </c>
      <c r="G130" s="15" t="s">
        <v>3052</v>
      </c>
      <c r="H130" s="15" t="s">
        <v>141</v>
      </c>
      <c r="I130" s="15" t="s">
        <v>212</v>
      </c>
      <c r="J130" s="15" t="s">
        <v>213</v>
      </c>
      <c r="K130" s="15" t="s">
        <v>3053</v>
      </c>
      <c r="L130" s="15" t="s">
        <v>3054</v>
      </c>
      <c r="M130" s="15" t="s">
        <v>3055</v>
      </c>
      <c r="N130" s="15" t="s">
        <v>542</v>
      </c>
      <c r="O130" s="17" t="s">
        <v>138</v>
      </c>
      <c r="P130" s="15" t="s">
        <v>610</v>
      </c>
      <c r="Q130" s="15" t="s">
        <v>149</v>
      </c>
      <c r="R130" s="15" t="s">
        <v>174</v>
      </c>
      <c r="S130" s="15" t="s">
        <v>3056</v>
      </c>
      <c r="T130" s="18" t="s">
        <v>138</v>
      </c>
      <c r="U130" s="15" t="s">
        <v>138</v>
      </c>
      <c r="V130" s="15" t="s">
        <v>138</v>
      </c>
      <c r="W130" s="15" t="s">
        <v>138</v>
      </c>
      <c r="X130" s="19">
        <v>2016</v>
      </c>
      <c r="Y130" s="15" t="s">
        <v>138</v>
      </c>
      <c r="Z130" s="15" t="s">
        <v>138</v>
      </c>
      <c r="AA130" s="15" t="s">
        <v>138</v>
      </c>
      <c r="AB130" s="20" t="s">
        <v>138</v>
      </c>
      <c r="AC130" s="20" t="s">
        <v>138</v>
      </c>
      <c r="AD130" s="20" t="s">
        <v>138</v>
      </c>
      <c r="AE130" s="20" t="s">
        <v>138</v>
      </c>
      <c r="AF130" s="20" t="s">
        <v>138</v>
      </c>
      <c r="AG130" s="15" t="s">
        <v>138</v>
      </c>
      <c r="AH130" s="20" t="s">
        <v>138</v>
      </c>
      <c r="AI130" s="20" t="s">
        <v>138</v>
      </c>
      <c r="AJ130" s="20" t="s">
        <v>138</v>
      </c>
      <c r="AK130" s="15" t="s">
        <v>3057</v>
      </c>
      <c r="AL130" s="15" t="s">
        <v>3058</v>
      </c>
      <c r="AM130" s="15" t="s">
        <v>304</v>
      </c>
      <c r="AN130" s="15" t="s">
        <v>138</v>
      </c>
      <c r="AO130" s="15" t="s">
        <v>3059</v>
      </c>
      <c r="AP130" s="15" t="s">
        <v>3060</v>
      </c>
      <c r="AQ130" s="15" t="s">
        <v>3061</v>
      </c>
      <c r="AR130" s="15" t="s">
        <v>3062</v>
      </c>
      <c r="AS130" s="15" t="s">
        <v>3063</v>
      </c>
      <c r="AT130" s="15" t="s">
        <v>138</v>
      </c>
      <c r="AU130" s="15" t="s">
        <v>138</v>
      </c>
      <c r="AV130" s="15" t="s">
        <v>740</v>
      </c>
      <c r="AW130" s="15" t="s">
        <v>3059</v>
      </c>
      <c r="AX130" s="15" t="s">
        <v>138</v>
      </c>
      <c r="AY130" s="15" t="s">
        <v>3064</v>
      </c>
      <c r="AZ130" s="15" t="s">
        <v>742</v>
      </c>
      <c r="BA130" s="15" t="s">
        <v>742</v>
      </c>
      <c r="BB130" s="15" t="s">
        <v>3065</v>
      </c>
      <c r="BC130" s="15" t="s">
        <v>3066</v>
      </c>
      <c r="BD130" s="21">
        <v>2</v>
      </c>
      <c r="BE130" s="15" t="s">
        <v>138</v>
      </c>
      <c r="BF130" s="15" t="s">
        <v>138</v>
      </c>
      <c r="BG130" s="15" t="s">
        <v>138</v>
      </c>
      <c r="BH130" s="15" t="s">
        <v>3067</v>
      </c>
      <c r="BI130" s="15" t="s">
        <v>138</v>
      </c>
      <c r="BJ130" s="15" t="s">
        <v>138</v>
      </c>
      <c r="BK130" s="15" t="s">
        <v>138</v>
      </c>
      <c r="BL130" s="15" t="s">
        <v>138</v>
      </c>
      <c r="BM130" s="22" t="s">
        <v>138</v>
      </c>
      <c r="BN130" s="17" t="s">
        <v>138</v>
      </c>
      <c r="BO130" s="15" t="s">
        <v>138</v>
      </c>
      <c r="BP130" s="17" t="s">
        <v>138</v>
      </c>
      <c r="BQ130" s="15" t="s">
        <v>138</v>
      </c>
      <c r="BR130" s="15" t="s">
        <v>316</v>
      </c>
      <c r="BS130" s="15" t="s">
        <v>138</v>
      </c>
      <c r="BT130" s="15" t="s">
        <v>138</v>
      </c>
      <c r="BU130" s="15" t="s">
        <v>177</v>
      </c>
      <c r="BV130" s="15" t="s">
        <v>138</v>
      </c>
      <c r="BW130" s="15" t="s">
        <v>138</v>
      </c>
      <c r="BX130" s="15" t="s">
        <v>138</v>
      </c>
      <c r="BY130" s="15" t="s">
        <v>175</v>
      </c>
      <c r="BZ130" s="22">
        <v>43101</v>
      </c>
      <c r="CA130" s="17" t="s">
        <v>138</v>
      </c>
      <c r="CB130" s="15" t="s">
        <v>138</v>
      </c>
      <c r="CC130" s="17" t="s">
        <v>138</v>
      </c>
      <c r="CD130" s="15" t="s">
        <v>138</v>
      </c>
      <c r="CE130" s="15" t="s">
        <v>316</v>
      </c>
      <c r="CF130" s="15" t="s">
        <v>138</v>
      </c>
      <c r="CG130" s="15" t="s">
        <v>138</v>
      </c>
      <c r="CH130" s="15" t="s">
        <v>177</v>
      </c>
      <c r="CI130" s="15" t="s">
        <v>138</v>
      </c>
      <c r="CJ130" s="15" t="s">
        <v>138</v>
      </c>
      <c r="CK130" s="15" t="s">
        <v>138</v>
      </c>
      <c r="CL130" s="15" t="s">
        <v>175</v>
      </c>
      <c r="CM130" s="22" t="s">
        <v>138</v>
      </c>
      <c r="CN130" s="17" t="s">
        <v>138</v>
      </c>
      <c r="CO130" s="23">
        <v>0</v>
      </c>
      <c r="CP130" s="24">
        <v>26</v>
      </c>
      <c r="CQ130" s="23">
        <v>0</v>
      </c>
      <c r="CR130" s="23">
        <v>0</v>
      </c>
      <c r="CS130" s="23">
        <v>0</v>
      </c>
      <c r="CT130" s="24">
        <v>23</v>
      </c>
      <c r="CU130" s="23" t="s">
        <v>138</v>
      </c>
      <c r="CV130" s="24" t="s">
        <v>138</v>
      </c>
      <c r="CW130" s="23">
        <v>0</v>
      </c>
      <c r="CX130" s="24">
        <v>13</v>
      </c>
      <c r="CY130" s="23" t="s">
        <v>138</v>
      </c>
      <c r="CZ130" s="24" t="s">
        <v>138</v>
      </c>
      <c r="DA130" s="23" t="s">
        <v>138</v>
      </c>
      <c r="DB130" s="24" t="s">
        <v>138</v>
      </c>
      <c r="DC130" s="25">
        <v>1.03</v>
      </c>
      <c r="DD130" s="24">
        <v>52</v>
      </c>
      <c r="DE130" s="25">
        <v>-0.13</v>
      </c>
      <c r="DF130" s="23">
        <v>-11.37</v>
      </c>
      <c r="DG130" s="25">
        <v>1.03</v>
      </c>
      <c r="DH130" s="24">
        <v>52</v>
      </c>
      <c r="DI130" s="25" t="s">
        <v>138</v>
      </c>
      <c r="DJ130" s="24" t="s">
        <v>138</v>
      </c>
      <c r="DK130" s="25">
        <v>1.03</v>
      </c>
      <c r="DL130" s="24">
        <v>51</v>
      </c>
      <c r="DM130" s="25" t="s">
        <v>138</v>
      </c>
      <c r="DN130" s="24" t="s">
        <v>138</v>
      </c>
      <c r="DO130" s="25" t="s">
        <v>138</v>
      </c>
      <c r="DP130" s="24" t="s">
        <v>138</v>
      </c>
      <c r="DQ130" s="24">
        <v>340</v>
      </c>
      <c r="DR130" s="26">
        <v>42</v>
      </c>
      <c r="DS130" s="23">
        <v>14.09</v>
      </c>
      <c r="DT130" s="24" t="s">
        <v>138</v>
      </c>
      <c r="DU130" s="26" t="s">
        <v>138</v>
      </c>
      <c r="DV130" s="23" t="s">
        <v>138</v>
      </c>
      <c r="DW130" s="24" t="s">
        <v>138</v>
      </c>
      <c r="DX130" s="27" t="s">
        <v>138</v>
      </c>
      <c r="DY130" s="23" t="s">
        <v>138</v>
      </c>
      <c r="DZ130" s="15" t="s">
        <v>178</v>
      </c>
      <c r="EA130" s="22">
        <v>43622</v>
      </c>
      <c r="EB130" s="17" t="s">
        <v>138</v>
      </c>
      <c r="EC130" s="22" t="s">
        <v>138</v>
      </c>
      <c r="ED130" s="15" t="s">
        <v>138</v>
      </c>
      <c r="EE130" s="14" t="str">
        <f>HYPERLINK("https://my.pitchbook.com?c=234739-81", "View company online")</f>
        <v>View company online</v>
      </c>
    </row>
    <row r="131" spans="1:135">
      <c r="A131" s="28" t="s">
        <v>3068</v>
      </c>
      <c r="B131" s="28" t="s">
        <v>3069</v>
      </c>
      <c r="C131" s="28" t="s">
        <v>3070</v>
      </c>
      <c r="D131" s="28" t="s">
        <v>138</v>
      </c>
      <c r="E131" s="28" t="s">
        <v>3071</v>
      </c>
      <c r="F131" s="28" t="s">
        <v>3068</v>
      </c>
      <c r="G131" s="28" t="s">
        <v>3072</v>
      </c>
      <c r="H131" s="28" t="s">
        <v>141</v>
      </c>
      <c r="I131" s="28" t="s">
        <v>212</v>
      </c>
      <c r="J131" s="28" t="s">
        <v>213</v>
      </c>
      <c r="K131" s="28" t="s">
        <v>3073</v>
      </c>
      <c r="L131" s="28" t="s">
        <v>2236</v>
      </c>
      <c r="M131" s="28" t="s">
        <v>3074</v>
      </c>
      <c r="N131" s="28" t="s">
        <v>1212</v>
      </c>
      <c r="O131" s="29">
        <v>102.03</v>
      </c>
      <c r="P131" s="28" t="s">
        <v>1473</v>
      </c>
      <c r="Q131" s="28" t="s">
        <v>149</v>
      </c>
      <c r="R131" s="28" t="s">
        <v>328</v>
      </c>
      <c r="S131" s="28" t="s">
        <v>3075</v>
      </c>
      <c r="T131" s="30">
        <v>405</v>
      </c>
      <c r="U131" s="28" t="s">
        <v>3076</v>
      </c>
      <c r="V131" s="28" t="s">
        <v>138</v>
      </c>
      <c r="W131" s="28" t="s">
        <v>138</v>
      </c>
      <c r="X131" s="31">
        <v>2005</v>
      </c>
      <c r="Y131" s="28" t="s">
        <v>138</v>
      </c>
      <c r="Z131" s="28" t="s">
        <v>138</v>
      </c>
      <c r="AA131" s="28" t="s">
        <v>138</v>
      </c>
      <c r="AB131" s="32">
        <v>100.76</v>
      </c>
      <c r="AC131" s="32" t="s">
        <v>138</v>
      </c>
      <c r="AD131" s="32" t="s">
        <v>138</v>
      </c>
      <c r="AE131" s="32" t="s">
        <v>138</v>
      </c>
      <c r="AF131" s="32" t="s">
        <v>138</v>
      </c>
      <c r="AG131" s="28" t="s">
        <v>3077</v>
      </c>
      <c r="AH131" s="32" t="s">
        <v>138</v>
      </c>
      <c r="AI131" s="32" t="s">
        <v>138</v>
      </c>
      <c r="AJ131" s="32" t="s">
        <v>138</v>
      </c>
      <c r="AK131" s="28" t="s">
        <v>3078</v>
      </c>
      <c r="AL131" s="28" t="s">
        <v>3079</v>
      </c>
      <c r="AM131" s="28" t="s">
        <v>3080</v>
      </c>
      <c r="AN131" s="28" t="s">
        <v>3081</v>
      </c>
      <c r="AO131" s="28" t="s">
        <v>3082</v>
      </c>
      <c r="AP131" s="28" t="s">
        <v>423</v>
      </c>
      <c r="AQ131" s="28" t="s">
        <v>3083</v>
      </c>
      <c r="AR131" s="28" t="s">
        <v>3084</v>
      </c>
      <c r="AS131" s="28" t="s">
        <v>426</v>
      </c>
      <c r="AT131" s="28" t="s">
        <v>426</v>
      </c>
      <c r="AU131" s="28" t="s">
        <v>619</v>
      </c>
      <c r="AV131" s="28" t="s">
        <v>162</v>
      </c>
      <c r="AW131" s="28" t="s">
        <v>3082</v>
      </c>
      <c r="AX131" s="28" t="s">
        <v>138</v>
      </c>
      <c r="AY131" s="28" t="s">
        <v>138</v>
      </c>
      <c r="AZ131" s="28" t="s">
        <v>164</v>
      </c>
      <c r="BA131" s="28" t="s">
        <v>165</v>
      </c>
      <c r="BB131" s="28" t="s">
        <v>3085</v>
      </c>
      <c r="BC131" s="28" t="s">
        <v>3086</v>
      </c>
      <c r="BD131" s="33">
        <v>1</v>
      </c>
      <c r="BE131" s="28" t="s">
        <v>138</v>
      </c>
      <c r="BF131" s="28" t="s">
        <v>3087</v>
      </c>
      <c r="BG131" s="28" t="s">
        <v>138</v>
      </c>
      <c r="BH131" s="28" t="s">
        <v>3088</v>
      </c>
      <c r="BI131" s="28" t="s">
        <v>3089</v>
      </c>
      <c r="BJ131" s="28" t="s">
        <v>138</v>
      </c>
      <c r="BK131" s="28" t="s">
        <v>3090</v>
      </c>
      <c r="BL131" s="28" t="s">
        <v>3091</v>
      </c>
      <c r="BM131" s="34">
        <v>39051</v>
      </c>
      <c r="BN131" s="29">
        <v>0.97</v>
      </c>
      <c r="BO131" s="28" t="s">
        <v>172</v>
      </c>
      <c r="BP131" s="29" t="s">
        <v>138</v>
      </c>
      <c r="BQ131" s="28" t="s">
        <v>138</v>
      </c>
      <c r="BR131" s="28" t="s">
        <v>234</v>
      </c>
      <c r="BS131" s="28" t="s">
        <v>234</v>
      </c>
      <c r="BT131" s="28" t="s">
        <v>138</v>
      </c>
      <c r="BU131" s="28" t="s">
        <v>174</v>
      </c>
      <c r="BV131" s="28" t="s">
        <v>138</v>
      </c>
      <c r="BW131" s="28" t="s">
        <v>138</v>
      </c>
      <c r="BX131" s="28" t="s">
        <v>138</v>
      </c>
      <c r="BY131" s="28" t="s">
        <v>175</v>
      </c>
      <c r="BZ131" s="34" t="s">
        <v>138</v>
      </c>
      <c r="CA131" s="29" t="s">
        <v>138</v>
      </c>
      <c r="CB131" s="28" t="s">
        <v>138</v>
      </c>
      <c r="CC131" s="29" t="s">
        <v>138</v>
      </c>
      <c r="CD131" s="28" t="s">
        <v>138</v>
      </c>
      <c r="CE131" s="28" t="s">
        <v>349</v>
      </c>
      <c r="CF131" s="28" t="s">
        <v>350</v>
      </c>
      <c r="CG131" s="28" t="s">
        <v>3092</v>
      </c>
      <c r="CH131" s="28" t="s">
        <v>351</v>
      </c>
      <c r="CI131" s="28" t="s">
        <v>138</v>
      </c>
      <c r="CJ131" s="28" t="s">
        <v>138</v>
      </c>
      <c r="CK131" s="28" t="s">
        <v>138</v>
      </c>
      <c r="CL131" s="28" t="s">
        <v>3093</v>
      </c>
      <c r="CM131" s="34">
        <v>41467</v>
      </c>
      <c r="CN131" s="29" t="s">
        <v>138</v>
      </c>
      <c r="CO131" s="35" t="s">
        <v>138</v>
      </c>
      <c r="CP131" s="36" t="s">
        <v>138</v>
      </c>
      <c r="CQ131" s="35" t="s">
        <v>138</v>
      </c>
      <c r="CR131" s="35" t="s">
        <v>138</v>
      </c>
      <c r="CS131" s="35" t="s">
        <v>138</v>
      </c>
      <c r="CT131" s="36" t="s">
        <v>138</v>
      </c>
      <c r="CU131" s="35" t="s">
        <v>138</v>
      </c>
      <c r="CV131" s="36" t="s">
        <v>138</v>
      </c>
      <c r="CW131" s="35" t="s">
        <v>138</v>
      </c>
      <c r="CX131" s="36" t="s">
        <v>138</v>
      </c>
      <c r="CY131" s="35" t="s">
        <v>138</v>
      </c>
      <c r="CZ131" s="36" t="s">
        <v>138</v>
      </c>
      <c r="DA131" s="35" t="s">
        <v>138</v>
      </c>
      <c r="DB131" s="36" t="s">
        <v>138</v>
      </c>
      <c r="DC131" s="37" t="s">
        <v>138</v>
      </c>
      <c r="DD131" s="36" t="s">
        <v>138</v>
      </c>
      <c r="DE131" s="37" t="s">
        <v>138</v>
      </c>
      <c r="DF131" s="35" t="s">
        <v>138</v>
      </c>
      <c r="DG131" s="37" t="s">
        <v>138</v>
      </c>
      <c r="DH131" s="36" t="s">
        <v>138</v>
      </c>
      <c r="DI131" s="37" t="s">
        <v>138</v>
      </c>
      <c r="DJ131" s="36" t="s">
        <v>138</v>
      </c>
      <c r="DK131" s="37" t="s">
        <v>138</v>
      </c>
      <c r="DL131" s="36" t="s">
        <v>138</v>
      </c>
      <c r="DM131" s="37" t="s">
        <v>138</v>
      </c>
      <c r="DN131" s="36" t="s">
        <v>138</v>
      </c>
      <c r="DO131" s="37" t="s">
        <v>138</v>
      </c>
      <c r="DP131" s="36" t="s">
        <v>138</v>
      </c>
      <c r="DQ131" s="36" t="s">
        <v>138</v>
      </c>
      <c r="DR131" s="38" t="s">
        <v>138</v>
      </c>
      <c r="DS131" s="35" t="s">
        <v>138</v>
      </c>
      <c r="DT131" s="36" t="s">
        <v>138</v>
      </c>
      <c r="DU131" s="38" t="s">
        <v>138</v>
      </c>
      <c r="DV131" s="35" t="s">
        <v>138</v>
      </c>
      <c r="DW131" s="36" t="s">
        <v>138</v>
      </c>
      <c r="DX131" s="39" t="s">
        <v>138</v>
      </c>
      <c r="DY131" s="35" t="s">
        <v>138</v>
      </c>
      <c r="DZ131" s="28" t="s">
        <v>178</v>
      </c>
      <c r="EA131" s="34">
        <v>43622</v>
      </c>
      <c r="EB131" s="29">
        <v>39.47</v>
      </c>
      <c r="EC131" s="34">
        <v>43117</v>
      </c>
      <c r="ED131" s="28" t="s">
        <v>173</v>
      </c>
      <c r="EE131" s="40" t="str">
        <f>HYPERLINK("https://my.pitchbook.com?c=52984-27", "View company online")</f>
        <v>View company online</v>
      </c>
    </row>
    <row r="132" spans="1:135">
      <c r="A132" s="15" t="s">
        <v>3094</v>
      </c>
      <c r="B132" s="15" t="s">
        <v>3095</v>
      </c>
      <c r="C132" s="15" t="s">
        <v>138</v>
      </c>
      <c r="D132" s="15" t="s">
        <v>3096</v>
      </c>
      <c r="E132" s="15" t="s">
        <v>3097</v>
      </c>
      <c r="F132" s="15" t="s">
        <v>3094</v>
      </c>
      <c r="G132" s="15" t="s">
        <v>3098</v>
      </c>
      <c r="H132" s="15" t="s">
        <v>322</v>
      </c>
      <c r="I132" s="15" t="s">
        <v>323</v>
      </c>
      <c r="J132" s="15" t="s">
        <v>324</v>
      </c>
      <c r="K132" s="15" t="s">
        <v>3099</v>
      </c>
      <c r="L132" s="15" t="s">
        <v>1104</v>
      </c>
      <c r="M132" s="15" t="s">
        <v>3100</v>
      </c>
      <c r="N132" s="15" t="s">
        <v>147</v>
      </c>
      <c r="O132" s="17">
        <v>41.42</v>
      </c>
      <c r="P132" s="15" t="s">
        <v>148</v>
      </c>
      <c r="Q132" s="15" t="s">
        <v>149</v>
      </c>
      <c r="R132" s="15" t="s">
        <v>328</v>
      </c>
      <c r="S132" s="15" t="s">
        <v>3101</v>
      </c>
      <c r="T132" s="18">
        <v>600</v>
      </c>
      <c r="U132" s="15" t="s">
        <v>3102</v>
      </c>
      <c r="V132" s="15" t="s">
        <v>138</v>
      </c>
      <c r="W132" s="15" t="s">
        <v>138</v>
      </c>
      <c r="X132" s="19">
        <v>2000</v>
      </c>
      <c r="Y132" s="15" t="s">
        <v>138</v>
      </c>
      <c r="Z132" s="15" t="s">
        <v>138</v>
      </c>
      <c r="AA132" s="15" t="s">
        <v>3103</v>
      </c>
      <c r="AB132" s="20">
        <v>130</v>
      </c>
      <c r="AC132" s="20" t="s">
        <v>138</v>
      </c>
      <c r="AD132" s="20" t="s">
        <v>138</v>
      </c>
      <c r="AE132" s="20" t="s">
        <v>138</v>
      </c>
      <c r="AF132" s="20" t="s">
        <v>138</v>
      </c>
      <c r="AG132" s="15" t="s">
        <v>514</v>
      </c>
      <c r="AH132" s="20" t="s">
        <v>138</v>
      </c>
      <c r="AI132" s="20" t="s">
        <v>138</v>
      </c>
      <c r="AJ132" s="20" t="s">
        <v>138</v>
      </c>
      <c r="AK132" s="15" t="s">
        <v>3104</v>
      </c>
      <c r="AL132" s="15" t="s">
        <v>3105</v>
      </c>
      <c r="AM132" s="15" t="s">
        <v>249</v>
      </c>
      <c r="AN132" s="15" t="s">
        <v>3106</v>
      </c>
      <c r="AO132" s="15" t="s">
        <v>3107</v>
      </c>
      <c r="AP132" s="15" t="s">
        <v>3108</v>
      </c>
      <c r="AQ132" s="15" t="s">
        <v>3109</v>
      </c>
      <c r="AR132" s="15" t="s">
        <v>3110</v>
      </c>
      <c r="AS132" s="15" t="s">
        <v>3111</v>
      </c>
      <c r="AT132" s="15" t="s">
        <v>3112</v>
      </c>
      <c r="AU132" s="15" t="s">
        <v>3113</v>
      </c>
      <c r="AV132" s="15" t="s">
        <v>2742</v>
      </c>
      <c r="AW132" s="15" t="s">
        <v>3107</v>
      </c>
      <c r="AX132" s="15" t="s">
        <v>3114</v>
      </c>
      <c r="AY132" s="15" t="s">
        <v>3115</v>
      </c>
      <c r="AZ132" s="15" t="s">
        <v>164</v>
      </c>
      <c r="BA132" s="15" t="s">
        <v>165</v>
      </c>
      <c r="BB132" s="15" t="s">
        <v>3116</v>
      </c>
      <c r="BC132" s="15" t="s">
        <v>3117</v>
      </c>
      <c r="BD132" s="21">
        <v>13</v>
      </c>
      <c r="BE132" s="15" t="s">
        <v>138</v>
      </c>
      <c r="BF132" s="15" t="s">
        <v>3118</v>
      </c>
      <c r="BG132" s="15" t="s">
        <v>138</v>
      </c>
      <c r="BH132" s="15" t="s">
        <v>3119</v>
      </c>
      <c r="BI132" s="15" t="s">
        <v>3120</v>
      </c>
      <c r="BJ132" s="15" t="s">
        <v>138</v>
      </c>
      <c r="BK132" s="15" t="s">
        <v>3121</v>
      </c>
      <c r="BL132" s="15" t="s">
        <v>3122</v>
      </c>
      <c r="BM132" s="22">
        <v>38328</v>
      </c>
      <c r="BN132" s="17" t="s">
        <v>138</v>
      </c>
      <c r="BO132" s="15" t="s">
        <v>138</v>
      </c>
      <c r="BP132" s="17" t="s">
        <v>138</v>
      </c>
      <c r="BQ132" s="15" t="s">
        <v>138</v>
      </c>
      <c r="BR132" s="15" t="s">
        <v>205</v>
      </c>
      <c r="BS132" s="15" t="s">
        <v>138</v>
      </c>
      <c r="BT132" s="15" t="s">
        <v>138</v>
      </c>
      <c r="BU132" s="15" t="s">
        <v>174</v>
      </c>
      <c r="BV132" s="15" t="s">
        <v>138</v>
      </c>
      <c r="BW132" s="15" t="s">
        <v>138</v>
      </c>
      <c r="BX132" s="15" t="s">
        <v>138</v>
      </c>
      <c r="BY132" s="15" t="s">
        <v>175</v>
      </c>
      <c r="BZ132" s="22">
        <v>42793</v>
      </c>
      <c r="CA132" s="17">
        <v>76</v>
      </c>
      <c r="CB132" s="15" t="s">
        <v>172</v>
      </c>
      <c r="CC132" s="17" t="s">
        <v>138</v>
      </c>
      <c r="CD132" s="15" t="s">
        <v>138</v>
      </c>
      <c r="CE132" s="15" t="s">
        <v>379</v>
      </c>
      <c r="CF132" s="15" t="s">
        <v>138</v>
      </c>
      <c r="CG132" s="15" t="s">
        <v>138</v>
      </c>
      <c r="CH132" s="15" t="s">
        <v>174</v>
      </c>
      <c r="CI132" s="15" t="s">
        <v>138</v>
      </c>
      <c r="CJ132" s="15" t="s">
        <v>138</v>
      </c>
      <c r="CK132" s="15" t="s">
        <v>138</v>
      </c>
      <c r="CL132" s="15" t="s">
        <v>175</v>
      </c>
      <c r="CM132" s="22">
        <v>39014</v>
      </c>
      <c r="CN132" s="17" t="s">
        <v>138</v>
      </c>
      <c r="CO132" s="23">
        <v>0.43</v>
      </c>
      <c r="CP132" s="24">
        <v>95</v>
      </c>
      <c r="CQ132" s="23">
        <v>-0.02</v>
      </c>
      <c r="CR132" s="23">
        <v>-4.3099999999999996</v>
      </c>
      <c r="CS132" s="23">
        <v>0.85</v>
      </c>
      <c r="CT132" s="24">
        <v>96</v>
      </c>
      <c r="CU132" s="23">
        <v>0.01</v>
      </c>
      <c r="CV132" s="24">
        <v>49</v>
      </c>
      <c r="CW132" s="23">
        <v>3.28</v>
      </c>
      <c r="CX132" s="24">
        <v>92</v>
      </c>
      <c r="CY132" s="23">
        <v>-1.57</v>
      </c>
      <c r="CZ132" s="24">
        <v>14</v>
      </c>
      <c r="DA132" s="23">
        <v>-0.03</v>
      </c>
      <c r="DB132" s="24">
        <v>17</v>
      </c>
      <c r="DC132" s="25">
        <v>74.52</v>
      </c>
      <c r="DD132" s="24">
        <v>99</v>
      </c>
      <c r="DE132" s="25">
        <v>-2.71</v>
      </c>
      <c r="DF132" s="23">
        <v>-3.5</v>
      </c>
      <c r="DG132" s="25">
        <v>127.87</v>
      </c>
      <c r="DH132" s="24">
        <v>100</v>
      </c>
      <c r="DI132" s="25">
        <v>21.17</v>
      </c>
      <c r="DJ132" s="24">
        <v>91</v>
      </c>
      <c r="DK132" s="25">
        <v>86.67</v>
      </c>
      <c r="DL132" s="24">
        <v>97</v>
      </c>
      <c r="DM132" s="25">
        <v>169.07</v>
      </c>
      <c r="DN132" s="24">
        <v>100</v>
      </c>
      <c r="DO132" s="25">
        <v>37.03</v>
      </c>
      <c r="DP132" s="24">
        <v>95</v>
      </c>
      <c r="DQ132" s="24">
        <v>29274</v>
      </c>
      <c r="DR132" s="26">
        <v>1365</v>
      </c>
      <c r="DS132" s="23">
        <v>4.8899999999999997</v>
      </c>
      <c r="DT132" s="24">
        <v>4902</v>
      </c>
      <c r="DU132" s="26">
        <v>0</v>
      </c>
      <c r="DV132" s="23">
        <v>0</v>
      </c>
      <c r="DW132" s="24">
        <v>13256</v>
      </c>
      <c r="DX132" s="27">
        <v>-5</v>
      </c>
      <c r="DY132" s="23">
        <v>-0.04</v>
      </c>
      <c r="DZ132" s="15" t="s">
        <v>178</v>
      </c>
      <c r="EA132" s="22">
        <v>43622</v>
      </c>
      <c r="EB132" s="17" t="s">
        <v>138</v>
      </c>
      <c r="EC132" s="22" t="s">
        <v>138</v>
      </c>
      <c r="ED132" s="15" t="s">
        <v>138</v>
      </c>
      <c r="EE132" s="14" t="str">
        <f>HYPERLINK("https://my.pitchbook.com?c=55092-25", "View company online")</f>
        <v>View company online</v>
      </c>
    </row>
    <row r="133" spans="1:135">
      <c r="A133" s="28" t="s">
        <v>3123</v>
      </c>
      <c r="B133" s="28" t="s">
        <v>3124</v>
      </c>
      <c r="C133" s="28" t="s">
        <v>3125</v>
      </c>
      <c r="D133" s="28" t="s">
        <v>138</v>
      </c>
      <c r="E133" s="28" t="s">
        <v>3126</v>
      </c>
      <c r="F133" s="28" t="s">
        <v>3123</v>
      </c>
      <c r="G133" s="28" t="s">
        <v>3127</v>
      </c>
      <c r="H133" s="28" t="s">
        <v>183</v>
      </c>
      <c r="I133" s="28" t="s">
        <v>725</v>
      </c>
      <c r="J133" s="28" t="s">
        <v>726</v>
      </c>
      <c r="K133" s="28" t="s">
        <v>3128</v>
      </c>
      <c r="L133" s="28" t="s">
        <v>215</v>
      </c>
      <c r="M133" s="28" t="s">
        <v>3129</v>
      </c>
      <c r="N133" s="28" t="s">
        <v>147</v>
      </c>
      <c r="O133" s="29">
        <v>23.04</v>
      </c>
      <c r="P133" s="28" t="s">
        <v>148</v>
      </c>
      <c r="Q133" s="28" t="s">
        <v>149</v>
      </c>
      <c r="R133" s="28" t="s">
        <v>174</v>
      </c>
      <c r="S133" s="28" t="s">
        <v>3130</v>
      </c>
      <c r="T133" s="30">
        <v>50</v>
      </c>
      <c r="U133" s="28" t="s">
        <v>3131</v>
      </c>
      <c r="V133" s="28" t="s">
        <v>138</v>
      </c>
      <c r="W133" s="28" t="s">
        <v>138</v>
      </c>
      <c r="X133" s="31">
        <v>2012</v>
      </c>
      <c r="Y133" s="28" t="s">
        <v>138</v>
      </c>
      <c r="Z133" s="28" t="s">
        <v>138</v>
      </c>
      <c r="AA133" s="28" t="s">
        <v>138</v>
      </c>
      <c r="AB133" s="32" t="s">
        <v>138</v>
      </c>
      <c r="AC133" s="32" t="s">
        <v>138</v>
      </c>
      <c r="AD133" s="32" t="s">
        <v>138</v>
      </c>
      <c r="AE133" s="32" t="s">
        <v>138</v>
      </c>
      <c r="AF133" s="32" t="s">
        <v>138</v>
      </c>
      <c r="AG133" s="28" t="s">
        <v>138</v>
      </c>
      <c r="AH133" s="32" t="s">
        <v>138</v>
      </c>
      <c r="AI133" s="32" t="s">
        <v>138</v>
      </c>
      <c r="AJ133" s="32" t="s">
        <v>138</v>
      </c>
      <c r="AK133" s="28" t="s">
        <v>3132</v>
      </c>
      <c r="AL133" s="28" t="s">
        <v>3133</v>
      </c>
      <c r="AM133" s="28" t="s">
        <v>2949</v>
      </c>
      <c r="AN133" s="28" t="s">
        <v>3134</v>
      </c>
      <c r="AO133" s="28" t="s">
        <v>3135</v>
      </c>
      <c r="AP133" s="28" t="s">
        <v>3136</v>
      </c>
      <c r="AQ133" s="28" t="s">
        <v>3137</v>
      </c>
      <c r="AR133" s="28" t="s">
        <v>3138</v>
      </c>
      <c r="AS133" s="28" t="s">
        <v>3139</v>
      </c>
      <c r="AT133" s="28" t="s">
        <v>3140</v>
      </c>
      <c r="AU133" s="28" t="s">
        <v>3141</v>
      </c>
      <c r="AV133" s="28" t="s">
        <v>162</v>
      </c>
      <c r="AW133" s="28" t="s">
        <v>3135</v>
      </c>
      <c r="AX133" s="28" t="s">
        <v>138</v>
      </c>
      <c r="AY133" s="28" t="s">
        <v>3142</v>
      </c>
      <c r="AZ133" s="28" t="s">
        <v>164</v>
      </c>
      <c r="BA133" s="28" t="s">
        <v>165</v>
      </c>
      <c r="BB133" s="28" t="s">
        <v>3143</v>
      </c>
      <c r="BC133" s="28" t="s">
        <v>3144</v>
      </c>
      <c r="BD133" s="33">
        <v>27</v>
      </c>
      <c r="BE133" s="28" t="s">
        <v>138</v>
      </c>
      <c r="BF133" s="28" t="s">
        <v>138</v>
      </c>
      <c r="BG133" s="28" t="s">
        <v>138</v>
      </c>
      <c r="BH133" s="28" t="s">
        <v>3145</v>
      </c>
      <c r="BI133" s="28" t="s">
        <v>138</v>
      </c>
      <c r="BJ133" s="28" t="s">
        <v>138</v>
      </c>
      <c r="BK133" s="28" t="s">
        <v>3146</v>
      </c>
      <c r="BL133" s="28" t="s">
        <v>2936</v>
      </c>
      <c r="BM133" s="34">
        <v>41599</v>
      </c>
      <c r="BN133" s="29">
        <v>0.05</v>
      </c>
      <c r="BO133" s="28" t="s">
        <v>172</v>
      </c>
      <c r="BP133" s="29">
        <v>0.71</v>
      </c>
      <c r="BQ133" s="28" t="s">
        <v>138</v>
      </c>
      <c r="BR133" s="28" t="s">
        <v>316</v>
      </c>
      <c r="BS133" s="28" t="s">
        <v>138</v>
      </c>
      <c r="BT133" s="28" t="s">
        <v>138</v>
      </c>
      <c r="BU133" s="28" t="s">
        <v>177</v>
      </c>
      <c r="BV133" s="28" t="s">
        <v>138</v>
      </c>
      <c r="BW133" s="28" t="s">
        <v>138</v>
      </c>
      <c r="BX133" s="28" t="s">
        <v>138</v>
      </c>
      <c r="BY133" s="28" t="s">
        <v>175</v>
      </c>
      <c r="BZ133" s="34">
        <v>43412</v>
      </c>
      <c r="CA133" s="29">
        <v>9</v>
      </c>
      <c r="CB133" s="28" t="s">
        <v>172</v>
      </c>
      <c r="CC133" s="29">
        <v>39</v>
      </c>
      <c r="CD133" s="28" t="s">
        <v>172</v>
      </c>
      <c r="CE133" s="28" t="s">
        <v>173</v>
      </c>
      <c r="CF133" s="28" t="s">
        <v>138</v>
      </c>
      <c r="CG133" s="28" t="s">
        <v>138</v>
      </c>
      <c r="CH133" s="28" t="s">
        <v>174</v>
      </c>
      <c r="CI133" s="28" t="s">
        <v>138</v>
      </c>
      <c r="CJ133" s="28" t="s">
        <v>138</v>
      </c>
      <c r="CK133" s="28" t="s">
        <v>138</v>
      </c>
      <c r="CL133" s="28" t="s">
        <v>175</v>
      </c>
      <c r="CM133" s="34" t="s">
        <v>138</v>
      </c>
      <c r="CN133" s="29" t="s">
        <v>138</v>
      </c>
      <c r="CO133" s="35">
        <v>-0.12</v>
      </c>
      <c r="CP133" s="36">
        <v>21</v>
      </c>
      <c r="CQ133" s="35">
        <v>-0.12</v>
      </c>
      <c r="CR133" s="35">
        <v>-11549.06</v>
      </c>
      <c r="CS133" s="35">
        <v>-1.3</v>
      </c>
      <c r="CT133" s="36">
        <v>13</v>
      </c>
      <c r="CU133" s="35" t="s">
        <v>138</v>
      </c>
      <c r="CV133" s="36" t="s">
        <v>138</v>
      </c>
      <c r="CW133" s="35">
        <v>0.16</v>
      </c>
      <c r="CX133" s="36">
        <v>81</v>
      </c>
      <c r="CY133" s="35">
        <v>-2.75</v>
      </c>
      <c r="CZ133" s="36">
        <v>8</v>
      </c>
      <c r="DA133" s="35" t="s">
        <v>138</v>
      </c>
      <c r="DB133" s="36" t="s">
        <v>138</v>
      </c>
      <c r="DC133" s="37">
        <v>9.2899999999999991</v>
      </c>
      <c r="DD133" s="36">
        <v>89</v>
      </c>
      <c r="DE133" s="37">
        <v>-0.56000000000000005</v>
      </c>
      <c r="DF133" s="35">
        <v>-5.64</v>
      </c>
      <c r="DG133" s="37">
        <v>18.489999999999998</v>
      </c>
      <c r="DH133" s="36">
        <v>94</v>
      </c>
      <c r="DI133" s="37" t="s">
        <v>138</v>
      </c>
      <c r="DJ133" s="36" t="s">
        <v>138</v>
      </c>
      <c r="DK133" s="37">
        <v>19.739999999999998</v>
      </c>
      <c r="DL133" s="36">
        <v>92</v>
      </c>
      <c r="DM133" s="37">
        <v>17.239999999999998</v>
      </c>
      <c r="DN133" s="36">
        <v>93</v>
      </c>
      <c r="DO133" s="37" t="s">
        <v>138</v>
      </c>
      <c r="DP133" s="36" t="s">
        <v>138</v>
      </c>
      <c r="DQ133" s="36">
        <v>6766</v>
      </c>
      <c r="DR133" s="38">
        <v>10</v>
      </c>
      <c r="DS133" s="35">
        <v>0.15</v>
      </c>
      <c r="DT133" s="36">
        <v>496</v>
      </c>
      <c r="DU133" s="38">
        <v>8</v>
      </c>
      <c r="DV133" s="35">
        <v>1.64</v>
      </c>
      <c r="DW133" s="36">
        <v>2088</v>
      </c>
      <c r="DX133" s="39">
        <v>-2</v>
      </c>
      <c r="DY133" s="35">
        <v>-0.1</v>
      </c>
      <c r="DZ133" s="28" t="s">
        <v>178</v>
      </c>
      <c r="EA133" s="34">
        <v>43446</v>
      </c>
      <c r="EB133" s="29">
        <v>39</v>
      </c>
      <c r="EC133" s="34">
        <v>43412</v>
      </c>
      <c r="ED133" s="28" t="s">
        <v>173</v>
      </c>
      <c r="EE133" s="40" t="str">
        <f>HYPERLINK("https://my.pitchbook.com?c=61210-90", "View company online")</f>
        <v>View company online</v>
      </c>
    </row>
    <row r="134" spans="1:135">
      <c r="A134" s="15" t="s">
        <v>3147</v>
      </c>
      <c r="B134" s="15" t="s">
        <v>3148</v>
      </c>
      <c r="C134" s="15" t="s">
        <v>138</v>
      </c>
      <c r="D134" s="15" t="s">
        <v>138</v>
      </c>
      <c r="E134" s="15" t="s">
        <v>3149</v>
      </c>
      <c r="F134" s="15" t="s">
        <v>3147</v>
      </c>
      <c r="G134" s="15" t="s">
        <v>3150</v>
      </c>
      <c r="H134" s="15" t="s">
        <v>322</v>
      </c>
      <c r="I134" s="15" t="s">
        <v>323</v>
      </c>
      <c r="J134" s="15" t="s">
        <v>461</v>
      </c>
      <c r="K134" s="15" t="s">
        <v>2209</v>
      </c>
      <c r="L134" s="15" t="s">
        <v>586</v>
      </c>
      <c r="M134" s="15" t="s">
        <v>3151</v>
      </c>
      <c r="N134" s="15" t="s">
        <v>147</v>
      </c>
      <c r="O134" s="17">
        <v>76.75</v>
      </c>
      <c r="P134" s="15" t="s">
        <v>148</v>
      </c>
      <c r="Q134" s="15" t="s">
        <v>149</v>
      </c>
      <c r="R134" s="15" t="s">
        <v>174</v>
      </c>
      <c r="S134" s="15" t="s">
        <v>3152</v>
      </c>
      <c r="T134" s="18">
        <v>80</v>
      </c>
      <c r="U134" s="15" t="s">
        <v>3153</v>
      </c>
      <c r="V134" s="15" t="s">
        <v>138</v>
      </c>
      <c r="W134" s="15" t="s">
        <v>138</v>
      </c>
      <c r="X134" s="19">
        <v>2011</v>
      </c>
      <c r="Y134" s="15" t="s">
        <v>138</v>
      </c>
      <c r="Z134" s="15" t="s">
        <v>138</v>
      </c>
      <c r="AA134" s="15" t="s">
        <v>138</v>
      </c>
      <c r="AB134" s="20" t="s">
        <v>138</v>
      </c>
      <c r="AC134" s="20" t="s">
        <v>138</v>
      </c>
      <c r="AD134" s="20" t="s">
        <v>138</v>
      </c>
      <c r="AE134" s="20" t="s">
        <v>138</v>
      </c>
      <c r="AF134" s="20" t="s">
        <v>138</v>
      </c>
      <c r="AG134" s="15" t="s">
        <v>138</v>
      </c>
      <c r="AH134" s="20" t="s">
        <v>138</v>
      </c>
      <c r="AI134" s="20" t="s">
        <v>138</v>
      </c>
      <c r="AJ134" s="20" t="s">
        <v>138</v>
      </c>
      <c r="AK134" s="15" t="s">
        <v>3154</v>
      </c>
      <c r="AL134" s="15" t="s">
        <v>3155</v>
      </c>
      <c r="AM134" s="15" t="s">
        <v>304</v>
      </c>
      <c r="AN134" s="15" t="s">
        <v>3156</v>
      </c>
      <c r="AO134" s="15" t="s">
        <v>3157</v>
      </c>
      <c r="AP134" s="15" t="s">
        <v>2819</v>
      </c>
      <c r="AQ134" s="15" t="s">
        <v>3158</v>
      </c>
      <c r="AR134" s="15" t="s">
        <v>3159</v>
      </c>
      <c r="AS134" s="15" t="s">
        <v>284</v>
      </c>
      <c r="AT134" s="15" t="s">
        <v>2822</v>
      </c>
      <c r="AU134" s="15" t="s">
        <v>2823</v>
      </c>
      <c r="AV134" s="15" t="s">
        <v>162</v>
      </c>
      <c r="AW134" s="15" t="s">
        <v>3157</v>
      </c>
      <c r="AX134" s="15" t="s">
        <v>138</v>
      </c>
      <c r="AY134" s="15" t="s">
        <v>3160</v>
      </c>
      <c r="AZ134" s="15" t="s">
        <v>164</v>
      </c>
      <c r="BA134" s="15" t="s">
        <v>165</v>
      </c>
      <c r="BB134" s="15" t="s">
        <v>3161</v>
      </c>
      <c r="BC134" s="15" t="s">
        <v>3162</v>
      </c>
      <c r="BD134" s="21">
        <v>13</v>
      </c>
      <c r="BE134" s="15" t="s">
        <v>138</v>
      </c>
      <c r="BF134" s="15" t="s">
        <v>138</v>
      </c>
      <c r="BG134" s="15" t="s">
        <v>138</v>
      </c>
      <c r="BH134" s="15" t="s">
        <v>3163</v>
      </c>
      <c r="BI134" s="15" t="s">
        <v>138</v>
      </c>
      <c r="BJ134" s="15" t="s">
        <v>138</v>
      </c>
      <c r="BK134" s="15" t="s">
        <v>138</v>
      </c>
      <c r="BL134" s="15" t="s">
        <v>3164</v>
      </c>
      <c r="BM134" s="22">
        <v>42587</v>
      </c>
      <c r="BN134" s="17">
        <v>39.26</v>
      </c>
      <c r="BO134" s="15" t="s">
        <v>172</v>
      </c>
      <c r="BP134" s="17">
        <v>69.260000000000005</v>
      </c>
      <c r="BQ134" s="15" t="s">
        <v>172</v>
      </c>
      <c r="BR134" s="15" t="s">
        <v>205</v>
      </c>
      <c r="BS134" s="15" t="s">
        <v>206</v>
      </c>
      <c r="BT134" s="15" t="s">
        <v>138</v>
      </c>
      <c r="BU134" s="15" t="s">
        <v>174</v>
      </c>
      <c r="BV134" s="15" t="s">
        <v>138</v>
      </c>
      <c r="BW134" s="15" t="s">
        <v>138</v>
      </c>
      <c r="BX134" s="15" t="s">
        <v>138</v>
      </c>
      <c r="BY134" s="15" t="s">
        <v>175</v>
      </c>
      <c r="BZ134" s="22">
        <v>43228</v>
      </c>
      <c r="CA134" s="17">
        <v>37.5</v>
      </c>
      <c r="CB134" s="15" t="s">
        <v>172</v>
      </c>
      <c r="CC134" s="17">
        <v>152.5</v>
      </c>
      <c r="CD134" s="15" t="s">
        <v>172</v>
      </c>
      <c r="CE134" s="15" t="s">
        <v>173</v>
      </c>
      <c r="CF134" s="15" t="s">
        <v>720</v>
      </c>
      <c r="CG134" s="15" t="s">
        <v>138</v>
      </c>
      <c r="CH134" s="15" t="s">
        <v>174</v>
      </c>
      <c r="CI134" s="15" t="s">
        <v>138</v>
      </c>
      <c r="CJ134" s="15" t="s">
        <v>138</v>
      </c>
      <c r="CK134" s="15" t="s">
        <v>138</v>
      </c>
      <c r="CL134" s="15" t="s">
        <v>175</v>
      </c>
      <c r="CM134" s="22" t="s">
        <v>138</v>
      </c>
      <c r="CN134" s="17" t="s">
        <v>138</v>
      </c>
      <c r="CO134" s="23">
        <v>0.41</v>
      </c>
      <c r="CP134" s="24">
        <v>95</v>
      </c>
      <c r="CQ134" s="23">
        <v>-0.05</v>
      </c>
      <c r="CR134" s="23">
        <v>-10.87</v>
      </c>
      <c r="CS134" s="23">
        <v>0.38</v>
      </c>
      <c r="CT134" s="24">
        <v>95</v>
      </c>
      <c r="CU134" s="23">
        <v>0.24</v>
      </c>
      <c r="CV134" s="24">
        <v>84</v>
      </c>
      <c r="CW134" s="23">
        <v>1.69</v>
      </c>
      <c r="CX134" s="24">
        <v>87</v>
      </c>
      <c r="CY134" s="23">
        <v>-0.92</v>
      </c>
      <c r="CZ134" s="24">
        <v>19</v>
      </c>
      <c r="DA134" s="23">
        <v>0.24</v>
      </c>
      <c r="DB134" s="24">
        <v>85</v>
      </c>
      <c r="DC134" s="25">
        <v>26.87</v>
      </c>
      <c r="DD134" s="24">
        <v>96</v>
      </c>
      <c r="DE134" s="25">
        <v>-2.15</v>
      </c>
      <c r="DF134" s="23">
        <v>-7.41</v>
      </c>
      <c r="DG134" s="25">
        <v>74.88</v>
      </c>
      <c r="DH134" s="24">
        <v>99</v>
      </c>
      <c r="DI134" s="25">
        <v>4.7</v>
      </c>
      <c r="DJ134" s="24">
        <v>76</v>
      </c>
      <c r="DK134" s="25">
        <v>100.83</v>
      </c>
      <c r="DL134" s="24">
        <v>98</v>
      </c>
      <c r="DM134" s="25">
        <v>48.93</v>
      </c>
      <c r="DN134" s="24">
        <v>98</v>
      </c>
      <c r="DO134" s="25">
        <v>4.7</v>
      </c>
      <c r="DP134" s="24">
        <v>78</v>
      </c>
      <c r="DQ134" s="24">
        <v>34100</v>
      </c>
      <c r="DR134" s="26">
        <v>1452</v>
      </c>
      <c r="DS134" s="23">
        <v>4.45</v>
      </c>
      <c r="DT134" s="24">
        <v>1420</v>
      </c>
      <c r="DU134" s="26">
        <v>-2</v>
      </c>
      <c r="DV134" s="23">
        <v>-0.14000000000000001</v>
      </c>
      <c r="DW134" s="24">
        <v>1681</v>
      </c>
      <c r="DX134" s="27">
        <v>1</v>
      </c>
      <c r="DY134" s="23">
        <v>0.06</v>
      </c>
      <c r="DZ134" s="15" t="s">
        <v>178</v>
      </c>
      <c r="EA134" s="22">
        <v>43622</v>
      </c>
      <c r="EB134" s="17">
        <v>152.5</v>
      </c>
      <c r="EC134" s="22">
        <v>43228</v>
      </c>
      <c r="ED134" s="15" t="s">
        <v>173</v>
      </c>
      <c r="EE134" s="14" t="str">
        <f>HYPERLINK("https://my.pitchbook.com?c=57575-62", "View company online")</f>
        <v>View company online</v>
      </c>
    </row>
    <row r="135" spans="1:135">
      <c r="A135" s="28" t="s">
        <v>3165</v>
      </c>
      <c r="B135" s="28" t="s">
        <v>3166</v>
      </c>
      <c r="C135" s="28" t="s">
        <v>138</v>
      </c>
      <c r="D135" s="28" t="s">
        <v>138</v>
      </c>
      <c r="E135" s="28" t="s">
        <v>3167</v>
      </c>
      <c r="F135" s="28" t="s">
        <v>3165</v>
      </c>
      <c r="G135" s="28" t="s">
        <v>3168</v>
      </c>
      <c r="H135" s="28" t="s">
        <v>141</v>
      </c>
      <c r="I135" s="28" t="s">
        <v>212</v>
      </c>
      <c r="J135" s="28" t="s">
        <v>3169</v>
      </c>
      <c r="K135" s="28" t="s">
        <v>3170</v>
      </c>
      <c r="L135" s="28" t="s">
        <v>3171</v>
      </c>
      <c r="M135" s="28" t="s">
        <v>3172</v>
      </c>
      <c r="N135" s="28" t="s">
        <v>147</v>
      </c>
      <c r="O135" s="29" t="s">
        <v>138</v>
      </c>
      <c r="P135" s="28" t="s">
        <v>148</v>
      </c>
      <c r="Q135" s="28" t="s">
        <v>149</v>
      </c>
      <c r="R135" s="28" t="s">
        <v>174</v>
      </c>
      <c r="S135" s="28" t="s">
        <v>3173</v>
      </c>
      <c r="T135" s="30" t="s">
        <v>138</v>
      </c>
      <c r="U135" s="28" t="s">
        <v>138</v>
      </c>
      <c r="V135" s="28" t="s">
        <v>138</v>
      </c>
      <c r="W135" s="28" t="s">
        <v>138</v>
      </c>
      <c r="X135" s="31">
        <v>2011</v>
      </c>
      <c r="Y135" s="28" t="s">
        <v>138</v>
      </c>
      <c r="Z135" s="28" t="s">
        <v>138</v>
      </c>
      <c r="AA135" s="28" t="s">
        <v>138</v>
      </c>
      <c r="AB135" s="32" t="s">
        <v>138</v>
      </c>
      <c r="AC135" s="32" t="s">
        <v>138</v>
      </c>
      <c r="AD135" s="32" t="s">
        <v>138</v>
      </c>
      <c r="AE135" s="32" t="s">
        <v>138</v>
      </c>
      <c r="AF135" s="32" t="s">
        <v>138</v>
      </c>
      <c r="AG135" s="28" t="s">
        <v>138</v>
      </c>
      <c r="AH135" s="32" t="s">
        <v>138</v>
      </c>
      <c r="AI135" s="32" t="s">
        <v>138</v>
      </c>
      <c r="AJ135" s="32" t="s">
        <v>138</v>
      </c>
      <c r="AK135" s="28" t="s">
        <v>3174</v>
      </c>
      <c r="AL135" s="28" t="s">
        <v>3175</v>
      </c>
      <c r="AM135" s="28" t="s">
        <v>986</v>
      </c>
      <c r="AN135" s="28" t="s">
        <v>3176</v>
      </c>
      <c r="AO135" s="28" t="s">
        <v>3177</v>
      </c>
      <c r="AP135" s="28" t="s">
        <v>3178</v>
      </c>
      <c r="AQ135" s="28" t="s">
        <v>3179</v>
      </c>
      <c r="AR135" s="28" t="s">
        <v>3180</v>
      </c>
      <c r="AS135" s="28" t="s">
        <v>3181</v>
      </c>
      <c r="AT135" s="28" t="s">
        <v>3182</v>
      </c>
      <c r="AU135" s="28" t="s">
        <v>3183</v>
      </c>
      <c r="AV135" s="28" t="s">
        <v>162</v>
      </c>
      <c r="AW135" s="28" t="s">
        <v>3177</v>
      </c>
      <c r="AX135" s="28" t="s">
        <v>138</v>
      </c>
      <c r="AY135" s="28" t="s">
        <v>3184</v>
      </c>
      <c r="AZ135" s="28" t="s">
        <v>164</v>
      </c>
      <c r="BA135" s="28" t="s">
        <v>165</v>
      </c>
      <c r="BB135" s="28" t="s">
        <v>3185</v>
      </c>
      <c r="BC135" s="28" t="s">
        <v>3186</v>
      </c>
      <c r="BD135" s="33">
        <v>1</v>
      </c>
      <c r="BE135" s="28" t="s">
        <v>138</v>
      </c>
      <c r="BF135" s="28" t="s">
        <v>138</v>
      </c>
      <c r="BG135" s="28" t="s">
        <v>138</v>
      </c>
      <c r="BH135" s="28" t="s">
        <v>138</v>
      </c>
      <c r="BI135" s="28" t="s">
        <v>138</v>
      </c>
      <c r="BJ135" s="28" t="s">
        <v>138</v>
      </c>
      <c r="BK135" s="28" t="s">
        <v>138</v>
      </c>
      <c r="BL135" s="28" t="s">
        <v>138</v>
      </c>
      <c r="BM135" s="34">
        <v>43251</v>
      </c>
      <c r="BN135" s="29" t="s">
        <v>138</v>
      </c>
      <c r="BO135" s="28" t="s">
        <v>138</v>
      </c>
      <c r="BP135" s="29" t="s">
        <v>138</v>
      </c>
      <c r="BQ135" s="28" t="s">
        <v>138</v>
      </c>
      <c r="BR135" s="28" t="s">
        <v>173</v>
      </c>
      <c r="BS135" s="28" t="s">
        <v>138</v>
      </c>
      <c r="BT135" s="28" t="s">
        <v>138</v>
      </c>
      <c r="BU135" s="28" t="s">
        <v>174</v>
      </c>
      <c r="BV135" s="28" t="s">
        <v>138</v>
      </c>
      <c r="BW135" s="28" t="s">
        <v>138</v>
      </c>
      <c r="BX135" s="28" t="s">
        <v>138</v>
      </c>
      <c r="BY135" s="28" t="s">
        <v>175</v>
      </c>
      <c r="BZ135" s="34">
        <v>43251</v>
      </c>
      <c r="CA135" s="29" t="s">
        <v>138</v>
      </c>
      <c r="CB135" s="28" t="s">
        <v>138</v>
      </c>
      <c r="CC135" s="29" t="s">
        <v>138</v>
      </c>
      <c r="CD135" s="28" t="s">
        <v>138</v>
      </c>
      <c r="CE135" s="28" t="s">
        <v>173</v>
      </c>
      <c r="CF135" s="28" t="s">
        <v>138</v>
      </c>
      <c r="CG135" s="28" t="s">
        <v>138</v>
      </c>
      <c r="CH135" s="28" t="s">
        <v>174</v>
      </c>
      <c r="CI135" s="28" t="s">
        <v>138</v>
      </c>
      <c r="CJ135" s="28" t="s">
        <v>138</v>
      </c>
      <c r="CK135" s="28" t="s">
        <v>138</v>
      </c>
      <c r="CL135" s="28" t="s">
        <v>175</v>
      </c>
      <c r="CM135" s="34" t="s">
        <v>138</v>
      </c>
      <c r="CN135" s="29" t="s">
        <v>138</v>
      </c>
      <c r="CO135" s="35">
        <v>-0.01</v>
      </c>
      <c r="CP135" s="36">
        <v>25</v>
      </c>
      <c r="CQ135" s="35">
        <v>0</v>
      </c>
      <c r="CR135" s="35">
        <v>0</v>
      </c>
      <c r="CS135" s="35">
        <v>0</v>
      </c>
      <c r="CT135" s="36">
        <v>23</v>
      </c>
      <c r="CU135" s="35">
        <v>-0.01</v>
      </c>
      <c r="CV135" s="36">
        <v>20</v>
      </c>
      <c r="CW135" s="35" t="s">
        <v>138</v>
      </c>
      <c r="CX135" s="36" t="s">
        <v>138</v>
      </c>
      <c r="CY135" s="35">
        <v>0</v>
      </c>
      <c r="CZ135" s="36">
        <v>25</v>
      </c>
      <c r="DA135" s="35">
        <v>-0.02</v>
      </c>
      <c r="DB135" s="36">
        <v>19</v>
      </c>
      <c r="DC135" s="37">
        <v>1.56</v>
      </c>
      <c r="DD135" s="36">
        <v>62</v>
      </c>
      <c r="DE135" s="37">
        <v>0.02</v>
      </c>
      <c r="DF135" s="35">
        <v>1.45</v>
      </c>
      <c r="DG135" s="37">
        <v>1.52</v>
      </c>
      <c r="DH135" s="36">
        <v>61</v>
      </c>
      <c r="DI135" s="37">
        <v>1.59</v>
      </c>
      <c r="DJ135" s="36">
        <v>58</v>
      </c>
      <c r="DK135" s="37" t="s">
        <v>138</v>
      </c>
      <c r="DL135" s="36" t="s">
        <v>138</v>
      </c>
      <c r="DM135" s="37">
        <v>1.52</v>
      </c>
      <c r="DN135" s="36">
        <v>60</v>
      </c>
      <c r="DO135" s="37">
        <v>3.15</v>
      </c>
      <c r="DP135" s="36">
        <v>72</v>
      </c>
      <c r="DQ135" s="36">
        <v>147</v>
      </c>
      <c r="DR135" s="38">
        <v>-2</v>
      </c>
      <c r="DS135" s="35">
        <v>-1.34</v>
      </c>
      <c r="DT135" s="36">
        <v>43</v>
      </c>
      <c r="DU135" s="38">
        <v>1</v>
      </c>
      <c r="DV135" s="35">
        <v>2.38</v>
      </c>
      <c r="DW135" s="36">
        <v>1126</v>
      </c>
      <c r="DX135" s="39">
        <v>0</v>
      </c>
      <c r="DY135" s="35">
        <v>0</v>
      </c>
      <c r="DZ135" s="28" t="s">
        <v>178</v>
      </c>
      <c r="EA135" s="34">
        <v>43351</v>
      </c>
      <c r="EB135" s="29" t="s">
        <v>138</v>
      </c>
      <c r="EC135" s="34" t="s">
        <v>138</v>
      </c>
      <c r="ED135" s="28" t="s">
        <v>138</v>
      </c>
      <c r="EE135" s="40" t="str">
        <f>HYPERLINK("https://my.pitchbook.com?c=104461-21", "View company online")</f>
        <v>View company online</v>
      </c>
    </row>
    <row r="136" spans="1:135">
      <c r="A136" s="15" t="s">
        <v>3187</v>
      </c>
      <c r="B136" s="15" t="s">
        <v>3188</v>
      </c>
      <c r="C136" s="15" t="s">
        <v>3189</v>
      </c>
      <c r="D136" s="15" t="s">
        <v>138</v>
      </c>
      <c r="E136" s="15" t="s">
        <v>3190</v>
      </c>
      <c r="F136" s="15" t="s">
        <v>3187</v>
      </c>
      <c r="G136" s="15" t="s">
        <v>3191</v>
      </c>
      <c r="H136" s="15" t="s">
        <v>322</v>
      </c>
      <c r="I136" s="15" t="s">
        <v>323</v>
      </c>
      <c r="J136" s="15" t="s">
        <v>324</v>
      </c>
      <c r="K136" s="15" t="s">
        <v>3192</v>
      </c>
      <c r="L136" s="15" t="s">
        <v>3193</v>
      </c>
      <c r="M136" s="15" t="s">
        <v>3194</v>
      </c>
      <c r="N136" s="15" t="s">
        <v>147</v>
      </c>
      <c r="O136" s="17">
        <v>6.75</v>
      </c>
      <c r="P136" s="15" t="s">
        <v>148</v>
      </c>
      <c r="Q136" s="15" t="s">
        <v>149</v>
      </c>
      <c r="R136" s="15" t="s">
        <v>174</v>
      </c>
      <c r="S136" s="15" t="s">
        <v>3195</v>
      </c>
      <c r="T136" s="18">
        <v>21</v>
      </c>
      <c r="U136" s="15" t="s">
        <v>3196</v>
      </c>
      <c r="V136" s="15" t="s">
        <v>138</v>
      </c>
      <c r="W136" s="15" t="s">
        <v>138</v>
      </c>
      <c r="X136" s="19">
        <v>2009</v>
      </c>
      <c r="Y136" s="15" t="s">
        <v>138</v>
      </c>
      <c r="Z136" s="15" t="s">
        <v>138</v>
      </c>
      <c r="AA136" s="15" t="s">
        <v>138</v>
      </c>
      <c r="AB136" s="20" t="s">
        <v>138</v>
      </c>
      <c r="AC136" s="20" t="s">
        <v>138</v>
      </c>
      <c r="AD136" s="20" t="s">
        <v>138</v>
      </c>
      <c r="AE136" s="20" t="s">
        <v>138</v>
      </c>
      <c r="AF136" s="20" t="s">
        <v>138</v>
      </c>
      <c r="AG136" s="15" t="s">
        <v>138</v>
      </c>
      <c r="AH136" s="20" t="s">
        <v>138</v>
      </c>
      <c r="AI136" s="20" t="s">
        <v>138</v>
      </c>
      <c r="AJ136" s="20" t="s">
        <v>138</v>
      </c>
      <c r="AK136" s="15" t="s">
        <v>3197</v>
      </c>
      <c r="AL136" s="15" t="s">
        <v>3198</v>
      </c>
      <c r="AM136" s="15" t="s">
        <v>3199</v>
      </c>
      <c r="AN136" s="15" t="s">
        <v>3200</v>
      </c>
      <c r="AO136" s="15" t="s">
        <v>138</v>
      </c>
      <c r="AP136" s="15" t="s">
        <v>138</v>
      </c>
      <c r="AQ136" s="15" t="s">
        <v>138</v>
      </c>
      <c r="AR136" s="15" t="s">
        <v>138</v>
      </c>
      <c r="AS136" s="15" t="s">
        <v>138</v>
      </c>
      <c r="AT136" s="15" t="s">
        <v>138</v>
      </c>
      <c r="AU136" s="15" t="s">
        <v>138</v>
      </c>
      <c r="AV136" s="15" t="s">
        <v>138</v>
      </c>
      <c r="AW136" s="15" t="s">
        <v>138</v>
      </c>
      <c r="AX136" s="15" t="s">
        <v>138</v>
      </c>
      <c r="AY136" s="15" t="s">
        <v>138</v>
      </c>
      <c r="AZ136" s="15" t="s">
        <v>138</v>
      </c>
      <c r="BA136" s="15" t="s">
        <v>138</v>
      </c>
      <c r="BB136" s="15" t="s">
        <v>3201</v>
      </c>
      <c r="BC136" s="15" t="s">
        <v>3202</v>
      </c>
      <c r="BD136" s="21">
        <v>18</v>
      </c>
      <c r="BE136" s="15" t="s">
        <v>138</v>
      </c>
      <c r="BF136" s="15" t="s">
        <v>138</v>
      </c>
      <c r="BG136" s="15" t="s">
        <v>138</v>
      </c>
      <c r="BH136" s="15" t="s">
        <v>3203</v>
      </c>
      <c r="BI136" s="15" t="s">
        <v>138</v>
      </c>
      <c r="BJ136" s="15" t="s">
        <v>138</v>
      </c>
      <c r="BK136" s="15" t="s">
        <v>3204</v>
      </c>
      <c r="BL136" s="15" t="s">
        <v>204</v>
      </c>
      <c r="BM136" s="22">
        <v>41760</v>
      </c>
      <c r="BN136" s="17">
        <v>2</v>
      </c>
      <c r="BO136" s="15" t="s">
        <v>172</v>
      </c>
      <c r="BP136" s="17" t="s">
        <v>138</v>
      </c>
      <c r="BQ136" s="15" t="s">
        <v>138</v>
      </c>
      <c r="BR136" s="15" t="s">
        <v>234</v>
      </c>
      <c r="BS136" s="15" t="s">
        <v>234</v>
      </c>
      <c r="BT136" s="15" t="s">
        <v>138</v>
      </c>
      <c r="BU136" s="15" t="s">
        <v>174</v>
      </c>
      <c r="BV136" s="15" t="s">
        <v>264</v>
      </c>
      <c r="BW136" s="15" t="s">
        <v>138</v>
      </c>
      <c r="BX136" s="15" t="s">
        <v>138</v>
      </c>
      <c r="BY136" s="15" t="s">
        <v>175</v>
      </c>
      <c r="BZ136" s="22">
        <v>42824</v>
      </c>
      <c r="CA136" s="17">
        <v>4.75</v>
      </c>
      <c r="CB136" s="15" t="s">
        <v>172</v>
      </c>
      <c r="CC136" s="17">
        <v>14.75</v>
      </c>
      <c r="CD136" s="15" t="s">
        <v>172</v>
      </c>
      <c r="CE136" s="15" t="s">
        <v>173</v>
      </c>
      <c r="CF136" s="15" t="s">
        <v>206</v>
      </c>
      <c r="CG136" s="15" t="s">
        <v>138</v>
      </c>
      <c r="CH136" s="15" t="s">
        <v>174</v>
      </c>
      <c r="CI136" s="15" t="s">
        <v>138</v>
      </c>
      <c r="CJ136" s="15" t="s">
        <v>138</v>
      </c>
      <c r="CK136" s="15" t="s">
        <v>138</v>
      </c>
      <c r="CL136" s="15" t="s">
        <v>175</v>
      </c>
      <c r="CM136" s="22" t="s">
        <v>138</v>
      </c>
      <c r="CN136" s="17" t="s">
        <v>138</v>
      </c>
      <c r="CO136" s="23">
        <v>-0.27</v>
      </c>
      <c r="CP136" s="24">
        <v>19</v>
      </c>
      <c r="CQ136" s="23">
        <v>0</v>
      </c>
      <c r="CR136" s="23">
        <v>1.6</v>
      </c>
      <c r="CS136" s="23">
        <v>-0.55000000000000004</v>
      </c>
      <c r="CT136" s="24">
        <v>19</v>
      </c>
      <c r="CU136" s="23">
        <v>0</v>
      </c>
      <c r="CV136" s="24">
        <v>22</v>
      </c>
      <c r="CW136" s="23">
        <v>0</v>
      </c>
      <c r="CX136" s="24">
        <v>13</v>
      </c>
      <c r="CY136" s="23">
        <v>-1.1000000000000001</v>
      </c>
      <c r="CZ136" s="24">
        <v>18</v>
      </c>
      <c r="DA136" s="23">
        <v>0</v>
      </c>
      <c r="DB136" s="24">
        <v>22</v>
      </c>
      <c r="DC136" s="25">
        <v>1.97</v>
      </c>
      <c r="DD136" s="24">
        <v>67</v>
      </c>
      <c r="DE136" s="25">
        <v>0.3</v>
      </c>
      <c r="DF136" s="23">
        <v>18.18</v>
      </c>
      <c r="DG136" s="25">
        <v>2.46</v>
      </c>
      <c r="DH136" s="24">
        <v>71</v>
      </c>
      <c r="DI136" s="25">
        <v>1.47</v>
      </c>
      <c r="DJ136" s="24">
        <v>57</v>
      </c>
      <c r="DK136" s="25">
        <v>0.57999999999999996</v>
      </c>
      <c r="DL136" s="24">
        <v>38</v>
      </c>
      <c r="DM136" s="25">
        <v>4.34</v>
      </c>
      <c r="DN136" s="24">
        <v>79</v>
      </c>
      <c r="DO136" s="25">
        <v>1.47</v>
      </c>
      <c r="DP136" s="24">
        <v>58</v>
      </c>
      <c r="DQ136" s="24">
        <v>237</v>
      </c>
      <c r="DR136" s="26">
        <v>-116</v>
      </c>
      <c r="DS136" s="23">
        <v>-32.86</v>
      </c>
      <c r="DT136" s="24">
        <v>126</v>
      </c>
      <c r="DU136" s="26">
        <v>-1</v>
      </c>
      <c r="DV136" s="23">
        <v>-0.79</v>
      </c>
      <c r="DW136" s="24">
        <v>527</v>
      </c>
      <c r="DX136" s="27">
        <v>1</v>
      </c>
      <c r="DY136" s="23">
        <v>0.19</v>
      </c>
      <c r="DZ136" s="15" t="s">
        <v>178</v>
      </c>
      <c r="EA136" s="22">
        <v>43375</v>
      </c>
      <c r="EB136" s="17">
        <v>14.75</v>
      </c>
      <c r="EC136" s="22">
        <v>42824</v>
      </c>
      <c r="ED136" s="15" t="s">
        <v>173</v>
      </c>
      <c r="EE136" s="14" t="str">
        <f>HYPERLINK("https://my.pitchbook.com?c=57654-64", "View company online")</f>
        <v>View company online</v>
      </c>
    </row>
    <row r="137" spans="1:135">
      <c r="A137" s="28" t="s">
        <v>3205</v>
      </c>
      <c r="B137" s="28" t="s">
        <v>3206</v>
      </c>
      <c r="C137" s="28" t="s">
        <v>138</v>
      </c>
      <c r="D137" s="28" t="s">
        <v>138</v>
      </c>
      <c r="E137" s="28" t="s">
        <v>138</v>
      </c>
      <c r="F137" s="28" t="s">
        <v>3205</v>
      </c>
      <c r="G137" s="28" t="s">
        <v>3207</v>
      </c>
      <c r="H137" s="28" t="s">
        <v>322</v>
      </c>
      <c r="I137" s="28" t="s">
        <v>323</v>
      </c>
      <c r="J137" s="28" t="s">
        <v>413</v>
      </c>
      <c r="K137" s="28" t="s">
        <v>3208</v>
      </c>
      <c r="L137" s="28" t="s">
        <v>1104</v>
      </c>
      <c r="M137" s="28" t="s">
        <v>3209</v>
      </c>
      <c r="N137" s="28" t="s">
        <v>147</v>
      </c>
      <c r="O137" s="29">
        <v>8.06</v>
      </c>
      <c r="P137" s="28" t="s">
        <v>148</v>
      </c>
      <c r="Q137" s="28" t="s">
        <v>149</v>
      </c>
      <c r="R137" s="28" t="s">
        <v>174</v>
      </c>
      <c r="S137" s="28" t="s">
        <v>3210</v>
      </c>
      <c r="T137" s="30" t="s">
        <v>138</v>
      </c>
      <c r="U137" s="28" t="s">
        <v>138</v>
      </c>
      <c r="V137" s="28" t="s">
        <v>138</v>
      </c>
      <c r="W137" s="28" t="s">
        <v>138</v>
      </c>
      <c r="X137" s="31">
        <v>2012</v>
      </c>
      <c r="Y137" s="28" t="s">
        <v>138</v>
      </c>
      <c r="Z137" s="28" t="s">
        <v>138</v>
      </c>
      <c r="AA137" s="28" t="s">
        <v>138</v>
      </c>
      <c r="AB137" s="32" t="s">
        <v>138</v>
      </c>
      <c r="AC137" s="32" t="s">
        <v>138</v>
      </c>
      <c r="AD137" s="32" t="s">
        <v>138</v>
      </c>
      <c r="AE137" s="32" t="s">
        <v>138</v>
      </c>
      <c r="AF137" s="32" t="s">
        <v>138</v>
      </c>
      <c r="AG137" s="28" t="s">
        <v>138</v>
      </c>
      <c r="AH137" s="32" t="s">
        <v>138</v>
      </c>
      <c r="AI137" s="32" t="s">
        <v>138</v>
      </c>
      <c r="AJ137" s="32" t="s">
        <v>138</v>
      </c>
      <c r="AK137" s="28" t="s">
        <v>3211</v>
      </c>
      <c r="AL137" s="28" t="s">
        <v>3212</v>
      </c>
      <c r="AM137" s="28" t="s">
        <v>304</v>
      </c>
      <c r="AN137" s="28" t="s">
        <v>3213</v>
      </c>
      <c r="AO137" s="28" t="s">
        <v>3214</v>
      </c>
      <c r="AP137" s="28" t="s">
        <v>1315</v>
      </c>
      <c r="AQ137" s="28" t="s">
        <v>3215</v>
      </c>
      <c r="AR137" s="28" t="s">
        <v>138</v>
      </c>
      <c r="AS137" s="28" t="s">
        <v>1317</v>
      </c>
      <c r="AT137" s="28" t="s">
        <v>138</v>
      </c>
      <c r="AU137" s="28" t="s">
        <v>3216</v>
      </c>
      <c r="AV137" s="28" t="s">
        <v>1319</v>
      </c>
      <c r="AW137" s="28" t="s">
        <v>3214</v>
      </c>
      <c r="AX137" s="28" t="s">
        <v>138</v>
      </c>
      <c r="AY137" s="28" t="s">
        <v>3217</v>
      </c>
      <c r="AZ137" s="28" t="s">
        <v>530</v>
      </c>
      <c r="BA137" s="28" t="s">
        <v>531</v>
      </c>
      <c r="BB137" s="28" t="s">
        <v>3218</v>
      </c>
      <c r="BC137" s="28" t="s">
        <v>3219</v>
      </c>
      <c r="BD137" s="33">
        <v>6</v>
      </c>
      <c r="BE137" s="28" t="s">
        <v>138</v>
      </c>
      <c r="BF137" s="28" t="s">
        <v>138</v>
      </c>
      <c r="BG137" s="28" t="s">
        <v>138</v>
      </c>
      <c r="BH137" s="28" t="s">
        <v>3220</v>
      </c>
      <c r="BI137" s="28" t="s">
        <v>138</v>
      </c>
      <c r="BJ137" s="28" t="s">
        <v>138</v>
      </c>
      <c r="BK137" s="28" t="s">
        <v>138</v>
      </c>
      <c r="BL137" s="28" t="s">
        <v>3221</v>
      </c>
      <c r="BM137" s="34">
        <v>41153</v>
      </c>
      <c r="BN137" s="29" t="s">
        <v>138</v>
      </c>
      <c r="BO137" s="28" t="s">
        <v>138</v>
      </c>
      <c r="BP137" s="29" t="s">
        <v>138</v>
      </c>
      <c r="BQ137" s="28" t="s">
        <v>138</v>
      </c>
      <c r="BR137" s="28" t="s">
        <v>316</v>
      </c>
      <c r="BS137" s="28" t="s">
        <v>138</v>
      </c>
      <c r="BT137" s="28" t="s">
        <v>138</v>
      </c>
      <c r="BU137" s="28" t="s">
        <v>263</v>
      </c>
      <c r="BV137" s="28" t="s">
        <v>138</v>
      </c>
      <c r="BW137" s="28" t="s">
        <v>138</v>
      </c>
      <c r="BX137" s="28" t="s">
        <v>138</v>
      </c>
      <c r="BY137" s="28" t="s">
        <v>175</v>
      </c>
      <c r="BZ137" s="34">
        <v>43493</v>
      </c>
      <c r="CA137" s="29">
        <v>7.28</v>
      </c>
      <c r="CB137" s="28" t="s">
        <v>172</v>
      </c>
      <c r="CC137" s="29" t="s">
        <v>138</v>
      </c>
      <c r="CD137" s="28" t="s">
        <v>138</v>
      </c>
      <c r="CE137" s="28" t="s">
        <v>173</v>
      </c>
      <c r="CF137" s="28" t="s">
        <v>206</v>
      </c>
      <c r="CG137" s="28" t="s">
        <v>138</v>
      </c>
      <c r="CH137" s="28" t="s">
        <v>174</v>
      </c>
      <c r="CI137" s="28" t="s">
        <v>138</v>
      </c>
      <c r="CJ137" s="28" t="s">
        <v>138</v>
      </c>
      <c r="CK137" s="28" t="s">
        <v>138</v>
      </c>
      <c r="CL137" s="28" t="s">
        <v>175</v>
      </c>
      <c r="CM137" s="34" t="s">
        <v>138</v>
      </c>
      <c r="CN137" s="29" t="s">
        <v>138</v>
      </c>
      <c r="CO137" s="35">
        <v>0.14000000000000001</v>
      </c>
      <c r="CP137" s="36">
        <v>91</v>
      </c>
      <c r="CQ137" s="35">
        <v>-0.04</v>
      </c>
      <c r="CR137" s="35">
        <v>-23.62</v>
      </c>
      <c r="CS137" s="35">
        <v>0</v>
      </c>
      <c r="CT137" s="36">
        <v>23</v>
      </c>
      <c r="CU137" s="35">
        <v>0.28999999999999998</v>
      </c>
      <c r="CV137" s="36">
        <v>87</v>
      </c>
      <c r="CW137" s="35" t="s">
        <v>138</v>
      </c>
      <c r="CX137" s="36" t="s">
        <v>138</v>
      </c>
      <c r="CY137" s="35">
        <v>0</v>
      </c>
      <c r="CZ137" s="36">
        <v>25</v>
      </c>
      <c r="DA137" s="35">
        <v>0.41</v>
      </c>
      <c r="DB137" s="36">
        <v>92</v>
      </c>
      <c r="DC137" s="37">
        <v>1.84</v>
      </c>
      <c r="DD137" s="36">
        <v>65</v>
      </c>
      <c r="DE137" s="37">
        <v>0.02</v>
      </c>
      <c r="DF137" s="35">
        <v>0.95</v>
      </c>
      <c r="DG137" s="37">
        <v>3.24</v>
      </c>
      <c r="DH137" s="36">
        <v>76</v>
      </c>
      <c r="DI137" s="37">
        <v>0.43</v>
      </c>
      <c r="DJ137" s="36">
        <v>34</v>
      </c>
      <c r="DK137" s="37" t="s">
        <v>138</v>
      </c>
      <c r="DL137" s="36" t="s">
        <v>138</v>
      </c>
      <c r="DM137" s="37">
        <v>3.24</v>
      </c>
      <c r="DN137" s="36">
        <v>75</v>
      </c>
      <c r="DO137" s="37">
        <v>0.61</v>
      </c>
      <c r="DP137" s="36">
        <v>41</v>
      </c>
      <c r="DQ137" s="36" t="s">
        <v>138</v>
      </c>
      <c r="DR137" s="38" t="s">
        <v>138</v>
      </c>
      <c r="DS137" s="35" t="s">
        <v>138</v>
      </c>
      <c r="DT137" s="36">
        <v>93</v>
      </c>
      <c r="DU137" s="38">
        <v>1</v>
      </c>
      <c r="DV137" s="35">
        <v>1.0900000000000001</v>
      </c>
      <c r="DW137" s="36">
        <v>220</v>
      </c>
      <c r="DX137" s="39">
        <v>0</v>
      </c>
      <c r="DY137" s="35">
        <v>0</v>
      </c>
      <c r="DZ137" s="28" t="s">
        <v>178</v>
      </c>
      <c r="EA137" s="34">
        <v>43602</v>
      </c>
      <c r="EB137" s="29" t="s">
        <v>138</v>
      </c>
      <c r="EC137" s="34" t="s">
        <v>138</v>
      </c>
      <c r="ED137" s="28" t="s">
        <v>138</v>
      </c>
      <c r="EE137" s="40" t="str">
        <f>HYPERLINK("https://my.pitchbook.com?c=99971-29", "View company online")</f>
        <v>View company online</v>
      </c>
    </row>
    <row r="138" spans="1:135">
      <c r="A138" s="15" t="s">
        <v>3222</v>
      </c>
      <c r="B138" s="15" t="s">
        <v>3223</v>
      </c>
      <c r="C138" s="15" t="s">
        <v>138</v>
      </c>
      <c r="D138" s="15" t="s">
        <v>138</v>
      </c>
      <c r="E138" s="15" t="s">
        <v>3224</v>
      </c>
      <c r="F138" s="15" t="s">
        <v>3222</v>
      </c>
      <c r="G138" s="15" t="s">
        <v>3225</v>
      </c>
      <c r="H138" s="15" t="s">
        <v>322</v>
      </c>
      <c r="I138" s="15" t="s">
        <v>323</v>
      </c>
      <c r="J138" s="15" t="s">
        <v>324</v>
      </c>
      <c r="K138" s="15" t="s">
        <v>3226</v>
      </c>
      <c r="L138" s="15" t="s">
        <v>215</v>
      </c>
      <c r="M138" s="15" t="s">
        <v>3227</v>
      </c>
      <c r="N138" s="15" t="s">
        <v>147</v>
      </c>
      <c r="O138" s="17">
        <v>8.15</v>
      </c>
      <c r="P138" s="15" t="s">
        <v>148</v>
      </c>
      <c r="Q138" s="15" t="s">
        <v>149</v>
      </c>
      <c r="R138" s="15" t="s">
        <v>174</v>
      </c>
      <c r="S138" s="15" t="s">
        <v>3228</v>
      </c>
      <c r="T138" s="18">
        <v>66</v>
      </c>
      <c r="U138" s="15" t="s">
        <v>3229</v>
      </c>
      <c r="V138" s="15" t="s">
        <v>138</v>
      </c>
      <c r="W138" s="15" t="s">
        <v>138</v>
      </c>
      <c r="X138" s="19">
        <v>2014</v>
      </c>
      <c r="Y138" s="15" t="s">
        <v>138</v>
      </c>
      <c r="Z138" s="15" t="s">
        <v>138</v>
      </c>
      <c r="AA138" s="15" t="s">
        <v>138</v>
      </c>
      <c r="AB138" s="20">
        <v>3000</v>
      </c>
      <c r="AC138" s="20" t="s">
        <v>138</v>
      </c>
      <c r="AD138" s="20" t="s">
        <v>138</v>
      </c>
      <c r="AE138" s="20" t="s">
        <v>138</v>
      </c>
      <c r="AF138" s="20" t="s">
        <v>138</v>
      </c>
      <c r="AG138" s="15" t="s">
        <v>419</v>
      </c>
      <c r="AH138" s="20" t="s">
        <v>138</v>
      </c>
      <c r="AI138" s="20" t="s">
        <v>138</v>
      </c>
      <c r="AJ138" s="20" t="s">
        <v>138</v>
      </c>
      <c r="AK138" s="15" t="s">
        <v>3230</v>
      </c>
      <c r="AL138" s="15" t="s">
        <v>3231</v>
      </c>
      <c r="AM138" s="15" t="s">
        <v>221</v>
      </c>
      <c r="AN138" s="15" t="s">
        <v>3232</v>
      </c>
      <c r="AO138" s="15" t="s">
        <v>3233</v>
      </c>
      <c r="AP138" s="15" t="s">
        <v>224</v>
      </c>
      <c r="AQ138" s="15" t="s">
        <v>3234</v>
      </c>
      <c r="AR138" s="15" t="s">
        <v>3235</v>
      </c>
      <c r="AS138" s="15" t="s">
        <v>227</v>
      </c>
      <c r="AT138" s="15" t="s">
        <v>228</v>
      </c>
      <c r="AU138" s="15" t="s">
        <v>229</v>
      </c>
      <c r="AV138" s="15" t="s">
        <v>162</v>
      </c>
      <c r="AW138" s="15" t="s">
        <v>3233</v>
      </c>
      <c r="AX138" s="15" t="s">
        <v>138</v>
      </c>
      <c r="AY138" s="15" t="s">
        <v>3236</v>
      </c>
      <c r="AZ138" s="15" t="s">
        <v>164</v>
      </c>
      <c r="BA138" s="15" t="s">
        <v>165</v>
      </c>
      <c r="BB138" s="15" t="s">
        <v>3237</v>
      </c>
      <c r="BC138" s="15" t="s">
        <v>3238</v>
      </c>
      <c r="BD138" s="21">
        <v>4</v>
      </c>
      <c r="BE138" s="15" t="s">
        <v>138</v>
      </c>
      <c r="BF138" s="15" t="s">
        <v>138</v>
      </c>
      <c r="BG138" s="15" t="s">
        <v>138</v>
      </c>
      <c r="BH138" s="15" t="s">
        <v>3239</v>
      </c>
      <c r="BI138" s="15" t="s">
        <v>138</v>
      </c>
      <c r="BJ138" s="15" t="s">
        <v>138</v>
      </c>
      <c r="BK138" s="15" t="s">
        <v>138</v>
      </c>
      <c r="BL138" s="15" t="s">
        <v>138</v>
      </c>
      <c r="BM138" s="22">
        <v>43221</v>
      </c>
      <c r="BN138" s="17">
        <v>0.1</v>
      </c>
      <c r="BO138" s="15" t="s">
        <v>172</v>
      </c>
      <c r="BP138" s="17" t="s">
        <v>138</v>
      </c>
      <c r="BQ138" s="15" t="s">
        <v>138</v>
      </c>
      <c r="BR138" s="15" t="s">
        <v>176</v>
      </c>
      <c r="BS138" s="15" t="s">
        <v>138</v>
      </c>
      <c r="BT138" s="15" t="s">
        <v>138</v>
      </c>
      <c r="BU138" s="15" t="s">
        <v>177</v>
      </c>
      <c r="BV138" s="15" t="s">
        <v>138</v>
      </c>
      <c r="BW138" s="15" t="s">
        <v>138</v>
      </c>
      <c r="BX138" s="15" t="s">
        <v>138</v>
      </c>
      <c r="BY138" s="15" t="s">
        <v>175</v>
      </c>
      <c r="BZ138" s="22">
        <v>43579</v>
      </c>
      <c r="CA138" s="17">
        <v>7.3</v>
      </c>
      <c r="CB138" s="15" t="s">
        <v>172</v>
      </c>
      <c r="CC138" s="17">
        <v>29.2</v>
      </c>
      <c r="CD138" s="15" t="s">
        <v>172</v>
      </c>
      <c r="CE138" s="15" t="s">
        <v>205</v>
      </c>
      <c r="CF138" s="15" t="s">
        <v>206</v>
      </c>
      <c r="CG138" s="15" t="s">
        <v>138</v>
      </c>
      <c r="CH138" s="15" t="s">
        <v>174</v>
      </c>
      <c r="CI138" s="15" t="s">
        <v>138</v>
      </c>
      <c r="CJ138" s="15" t="s">
        <v>138</v>
      </c>
      <c r="CK138" s="15" t="s">
        <v>138</v>
      </c>
      <c r="CL138" s="15" t="s">
        <v>175</v>
      </c>
      <c r="CM138" s="22" t="s">
        <v>138</v>
      </c>
      <c r="CN138" s="17" t="s">
        <v>138</v>
      </c>
      <c r="CO138" s="23">
        <v>-0.1</v>
      </c>
      <c r="CP138" s="24">
        <v>21</v>
      </c>
      <c r="CQ138" s="23">
        <v>0</v>
      </c>
      <c r="CR138" s="23">
        <v>0.3</v>
      </c>
      <c r="CS138" s="23">
        <v>-0.82</v>
      </c>
      <c r="CT138" s="24">
        <v>17</v>
      </c>
      <c r="CU138" s="23">
        <v>0.62</v>
      </c>
      <c r="CV138" s="24">
        <v>95</v>
      </c>
      <c r="CW138" s="23">
        <v>-1.64</v>
      </c>
      <c r="CX138" s="24">
        <v>8</v>
      </c>
      <c r="CY138" s="23">
        <v>0</v>
      </c>
      <c r="CZ138" s="24">
        <v>25</v>
      </c>
      <c r="DA138" s="23">
        <v>0.35</v>
      </c>
      <c r="DB138" s="24">
        <v>90</v>
      </c>
      <c r="DC138" s="25">
        <v>30.96</v>
      </c>
      <c r="DD138" s="24">
        <v>97</v>
      </c>
      <c r="DE138" s="25">
        <v>-3.49</v>
      </c>
      <c r="DF138" s="23">
        <v>-10.14</v>
      </c>
      <c r="DG138" s="25">
        <v>55.27</v>
      </c>
      <c r="DH138" s="24">
        <v>98</v>
      </c>
      <c r="DI138" s="25">
        <v>6.64</v>
      </c>
      <c r="DJ138" s="24">
        <v>81</v>
      </c>
      <c r="DK138" s="25">
        <v>109.78</v>
      </c>
      <c r="DL138" s="24">
        <v>98</v>
      </c>
      <c r="DM138" s="25">
        <v>0.76</v>
      </c>
      <c r="DN138" s="24">
        <v>44</v>
      </c>
      <c r="DO138" s="25">
        <v>3.16</v>
      </c>
      <c r="DP138" s="24">
        <v>72</v>
      </c>
      <c r="DQ138" s="24">
        <v>37438</v>
      </c>
      <c r="DR138" s="26">
        <v>646</v>
      </c>
      <c r="DS138" s="23">
        <v>1.76</v>
      </c>
      <c r="DT138" s="24">
        <v>21</v>
      </c>
      <c r="DU138" s="26">
        <v>0</v>
      </c>
      <c r="DV138" s="23">
        <v>0</v>
      </c>
      <c r="DW138" s="24">
        <v>1132</v>
      </c>
      <c r="DX138" s="27">
        <v>2</v>
      </c>
      <c r="DY138" s="23">
        <v>0.18</v>
      </c>
      <c r="DZ138" s="15" t="s">
        <v>178</v>
      </c>
      <c r="EA138" s="22">
        <v>43588</v>
      </c>
      <c r="EB138" s="17">
        <v>29.2</v>
      </c>
      <c r="EC138" s="22">
        <v>43579</v>
      </c>
      <c r="ED138" s="15" t="s">
        <v>205</v>
      </c>
      <c r="EE138" s="14" t="str">
        <f>HYPERLINK("https://my.pitchbook.com?c=230550-58", "View company online")</f>
        <v>View company online</v>
      </c>
    </row>
    <row r="139" spans="1:135">
      <c r="A139" s="28" t="s">
        <v>3240</v>
      </c>
      <c r="B139" s="28" t="s">
        <v>3241</v>
      </c>
      <c r="C139" s="28" t="s">
        <v>138</v>
      </c>
      <c r="D139" s="28" t="s">
        <v>138</v>
      </c>
      <c r="E139" s="28" t="s">
        <v>138</v>
      </c>
      <c r="F139" s="28" t="s">
        <v>3240</v>
      </c>
      <c r="G139" s="28" t="s">
        <v>3242</v>
      </c>
      <c r="H139" s="28" t="s">
        <v>322</v>
      </c>
      <c r="I139" s="28" t="s">
        <v>323</v>
      </c>
      <c r="J139" s="28" t="s">
        <v>413</v>
      </c>
      <c r="K139" s="28" t="s">
        <v>3243</v>
      </c>
      <c r="L139" s="28" t="s">
        <v>415</v>
      </c>
      <c r="M139" s="28" t="s">
        <v>3244</v>
      </c>
      <c r="N139" s="28" t="s">
        <v>147</v>
      </c>
      <c r="O139" s="29">
        <v>0.73</v>
      </c>
      <c r="P139" s="28" t="s">
        <v>148</v>
      </c>
      <c r="Q139" s="28" t="s">
        <v>149</v>
      </c>
      <c r="R139" s="28" t="s">
        <v>174</v>
      </c>
      <c r="S139" s="28" t="s">
        <v>3245</v>
      </c>
      <c r="T139" s="30">
        <v>10</v>
      </c>
      <c r="U139" s="28" t="s">
        <v>3246</v>
      </c>
      <c r="V139" s="28" t="s">
        <v>138</v>
      </c>
      <c r="W139" s="28" t="s">
        <v>138</v>
      </c>
      <c r="X139" s="31">
        <v>2005</v>
      </c>
      <c r="Y139" s="28" t="s">
        <v>138</v>
      </c>
      <c r="Z139" s="28" t="s">
        <v>138</v>
      </c>
      <c r="AA139" s="28" t="s">
        <v>138</v>
      </c>
      <c r="AB139" s="32" t="s">
        <v>138</v>
      </c>
      <c r="AC139" s="32" t="s">
        <v>138</v>
      </c>
      <c r="AD139" s="32" t="s">
        <v>138</v>
      </c>
      <c r="AE139" s="32" t="s">
        <v>138</v>
      </c>
      <c r="AF139" s="32" t="s">
        <v>138</v>
      </c>
      <c r="AG139" s="28" t="s">
        <v>138</v>
      </c>
      <c r="AH139" s="32" t="s">
        <v>138</v>
      </c>
      <c r="AI139" s="32" t="s">
        <v>138</v>
      </c>
      <c r="AJ139" s="32" t="s">
        <v>138</v>
      </c>
      <c r="AK139" s="28" t="s">
        <v>3247</v>
      </c>
      <c r="AL139" s="28" t="s">
        <v>3248</v>
      </c>
      <c r="AM139" s="28" t="s">
        <v>938</v>
      </c>
      <c r="AN139" s="28" t="s">
        <v>3249</v>
      </c>
      <c r="AO139" s="28" t="s">
        <v>3250</v>
      </c>
      <c r="AP139" s="28" t="s">
        <v>3251</v>
      </c>
      <c r="AQ139" s="28" t="s">
        <v>3252</v>
      </c>
      <c r="AR139" s="28" t="s">
        <v>138</v>
      </c>
      <c r="AS139" s="28" t="s">
        <v>3253</v>
      </c>
      <c r="AT139" s="28" t="s">
        <v>138</v>
      </c>
      <c r="AU139" s="28" t="s">
        <v>3254</v>
      </c>
      <c r="AV139" s="28" t="s">
        <v>946</v>
      </c>
      <c r="AW139" s="28" t="s">
        <v>3250</v>
      </c>
      <c r="AX139" s="28" t="s">
        <v>3255</v>
      </c>
      <c r="AY139" s="28" t="s">
        <v>3256</v>
      </c>
      <c r="AZ139" s="28" t="s">
        <v>530</v>
      </c>
      <c r="BA139" s="28" t="s">
        <v>531</v>
      </c>
      <c r="BB139" s="28" t="s">
        <v>3257</v>
      </c>
      <c r="BC139" s="28" t="s">
        <v>3258</v>
      </c>
      <c r="BD139" s="33">
        <v>4</v>
      </c>
      <c r="BE139" s="28" t="s">
        <v>138</v>
      </c>
      <c r="BF139" s="28" t="s">
        <v>138</v>
      </c>
      <c r="BG139" s="28" t="s">
        <v>138</v>
      </c>
      <c r="BH139" s="28" t="s">
        <v>3259</v>
      </c>
      <c r="BI139" s="28" t="s">
        <v>138</v>
      </c>
      <c r="BJ139" s="28" t="s">
        <v>138</v>
      </c>
      <c r="BK139" s="28" t="s">
        <v>138</v>
      </c>
      <c r="BL139" s="28" t="s">
        <v>138</v>
      </c>
      <c r="BM139" s="34">
        <v>39412</v>
      </c>
      <c r="BN139" s="29">
        <v>0.73</v>
      </c>
      <c r="BO139" s="28" t="s">
        <v>172</v>
      </c>
      <c r="BP139" s="29" t="s">
        <v>138</v>
      </c>
      <c r="BQ139" s="28" t="s">
        <v>138</v>
      </c>
      <c r="BR139" s="28" t="s">
        <v>234</v>
      </c>
      <c r="BS139" s="28" t="s">
        <v>234</v>
      </c>
      <c r="BT139" s="28" t="s">
        <v>138</v>
      </c>
      <c r="BU139" s="28" t="s">
        <v>174</v>
      </c>
      <c r="BV139" s="28" t="s">
        <v>138</v>
      </c>
      <c r="BW139" s="28" t="s">
        <v>138</v>
      </c>
      <c r="BX139" s="28" t="s">
        <v>138</v>
      </c>
      <c r="BY139" s="28" t="s">
        <v>175</v>
      </c>
      <c r="BZ139" s="34">
        <v>39843</v>
      </c>
      <c r="CA139" s="29" t="s">
        <v>138</v>
      </c>
      <c r="CB139" s="28" t="s">
        <v>138</v>
      </c>
      <c r="CC139" s="29" t="s">
        <v>138</v>
      </c>
      <c r="CD139" s="28" t="s">
        <v>138</v>
      </c>
      <c r="CE139" s="28" t="s">
        <v>205</v>
      </c>
      <c r="CF139" s="28" t="s">
        <v>138</v>
      </c>
      <c r="CG139" s="28" t="s">
        <v>138</v>
      </c>
      <c r="CH139" s="28" t="s">
        <v>174</v>
      </c>
      <c r="CI139" s="28" t="s">
        <v>138</v>
      </c>
      <c r="CJ139" s="28" t="s">
        <v>138</v>
      </c>
      <c r="CK139" s="28" t="s">
        <v>138</v>
      </c>
      <c r="CL139" s="28" t="s">
        <v>175</v>
      </c>
      <c r="CM139" s="34" t="s">
        <v>138</v>
      </c>
      <c r="CN139" s="29" t="s">
        <v>138</v>
      </c>
      <c r="CO139" s="35">
        <v>-0.48</v>
      </c>
      <c r="CP139" s="36">
        <v>16</v>
      </c>
      <c r="CQ139" s="35">
        <v>0.01</v>
      </c>
      <c r="CR139" s="35">
        <v>1.91</v>
      </c>
      <c r="CS139" s="35">
        <v>-1.04</v>
      </c>
      <c r="CT139" s="36">
        <v>15</v>
      </c>
      <c r="CU139" s="35">
        <v>0.08</v>
      </c>
      <c r="CV139" s="36">
        <v>64</v>
      </c>
      <c r="CW139" s="35">
        <v>0</v>
      </c>
      <c r="CX139" s="36">
        <v>13</v>
      </c>
      <c r="CY139" s="35">
        <v>-2.09</v>
      </c>
      <c r="CZ139" s="36">
        <v>11</v>
      </c>
      <c r="DA139" s="35">
        <v>0</v>
      </c>
      <c r="DB139" s="36">
        <v>22</v>
      </c>
      <c r="DC139" s="37">
        <v>3.24</v>
      </c>
      <c r="DD139" s="36">
        <v>76</v>
      </c>
      <c r="DE139" s="37">
        <v>-0.06</v>
      </c>
      <c r="DF139" s="35">
        <v>-1.73</v>
      </c>
      <c r="DG139" s="37">
        <v>4.74</v>
      </c>
      <c r="DH139" s="36">
        <v>82</v>
      </c>
      <c r="DI139" s="37">
        <v>1.74</v>
      </c>
      <c r="DJ139" s="36">
        <v>60</v>
      </c>
      <c r="DK139" s="37">
        <v>1.76</v>
      </c>
      <c r="DL139" s="36">
        <v>62</v>
      </c>
      <c r="DM139" s="37">
        <v>7.72</v>
      </c>
      <c r="DN139" s="36">
        <v>86</v>
      </c>
      <c r="DO139" s="37">
        <v>0.2</v>
      </c>
      <c r="DP139" s="36">
        <v>24</v>
      </c>
      <c r="DQ139" s="36">
        <v>581</v>
      </c>
      <c r="DR139" s="38">
        <v>72</v>
      </c>
      <c r="DS139" s="35">
        <v>14.15</v>
      </c>
      <c r="DT139" s="36">
        <v>224</v>
      </c>
      <c r="DU139" s="38">
        <v>-1</v>
      </c>
      <c r="DV139" s="35">
        <v>-0.44</v>
      </c>
      <c r="DW139" s="36">
        <v>72</v>
      </c>
      <c r="DX139" s="39">
        <v>0</v>
      </c>
      <c r="DY139" s="35">
        <v>0</v>
      </c>
      <c r="DZ139" s="28" t="s">
        <v>178</v>
      </c>
      <c r="EA139" s="34">
        <v>43448</v>
      </c>
      <c r="EB139" s="29" t="s">
        <v>138</v>
      </c>
      <c r="EC139" s="34" t="s">
        <v>138</v>
      </c>
      <c r="ED139" s="28" t="s">
        <v>138</v>
      </c>
      <c r="EE139" s="40" t="str">
        <f>HYPERLINK("https://my.pitchbook.com?c=60112-54", "View company online")</f>
        <v>View company online</v>
      </c>
    </row>
    <row r="140" spans="1:135">
      <c r="A140" s="15" t="s">
        <v>3260</v>
      </c>
      <c r="B140" s="15" t="s">
        <v>3261</v>
      </c>
      <c r="C140" s="15" t="s">
        <v>138</v>
      </c>
      <c r="D140" s="15" t="s">
        <v>3262</v>
      </c>
      <c r="E140" s="15" t="s">
        <v>138</v>
      </c>
      <c r="F140" s="15" t="s">
        <v>3260</v>
      </c>
      <c r="G140" s="15" t="s">
        <v>3263</v>
      </c>
      <c r="H140" s="15" t="s">
        <v>322</v>
      </c>
      <c r="I140" s="15" t="s">
        <v>323</v>
      </c>
      <c r="J140" s="15" t="s">
        <v>413</v>
      </c>
      <c r="K140" s="15" t="s">
        <v>3264</v>
      </c>
      <c r="L140" s="15" t="s">
        <v>3265</v>
      </c>
      <c r="M140" s="15" t="s">
        <v>3266</v>
      </c>
      <c r="N140" s="15" t="s">
        <v>147</v>
      </c>
      <c r="O140" s="17">
        <v>20</v>
      </c>
      <c r="P140" s="15" t="s">
        <v>148</v>
      </c>
      <c r="Q140" s="15" t="s">
        <v>149</v>
      </c>
      <c r="R140" s="15" t="s">
        <v>174</v>
      </c>
      <c r="S140" s="15" t="s">
        <v>3267</v>
      </c>
      <c r="T140" s="18" t="s">
        <v>138</v>
      </c>
      <c r="U140" s="15" t="s">
        <v>138</v>
      </c>
      <c r="V140" s="15" t="s">
        <v>138</v>
      </c>
      <c r="W140" s="15" t="s">
        <v>138</v>
      </c>
      <c r="X140" s="19">
        <v>2005</v>
      </c>
      <c r="Y140" s="15" t="s">
        <v>138</v>
      </c>
      <c r="Z140" s="15" t="s">
        <v>138</v>
      </c>
      <c r="AA140" s="15" t="s">
        <v>138</v>
      </c>
      <c r="AB140" s="20" t="s">
        <v>138</v>
      </c>
      <c r="AC140" s="20" t="s">
        <v>138</v>
      </c>
      <c r="AD140" s="20" t="s">
        <v>138</v>
      </c>
      <c r="AE140" s="20" t="s">
        <v>138</v>
      </c>
      <c r="AF140" s="20" t="s">
        <v>138</v>
      </c>
      <c r="AG140" s="15" t="s">
        <v>138</v>
      </c>
      <c r="AH140" s="20" t="s">
        <v>138</v>
      </c>
      <c r="AI140" s="20" t="s">
        <v>138</v>
      </c>
      <c r="AJ140" s="20" t="s">
        <v>138</v>
      </c>
      <c r="AK140" s="15" t="s">
        <v>3268</v>
      </c>
      <c r="AL140" s="15" t="s">
        <v>3269</v>
      </c>
      <c r="AM140" s="15" t="s">
        <v>444</v>
      </c>
      <c r="AN140" s="15" t="s">
        <v>138</v>
      </c>
      <c r="AO140" s="15" t="s">
        <v>3270</v>
      </c>
      <c r="AP140" s="15" t="s">
        <v>446</v>
      </c>
      <c r="AQ140" s="15" t="s">
        <v>3271</v>
      </c>
      <c r="AR140" s="15" t="s">
        <v>3272</v>
      </c>
      <c r="AS140" s="15" t="s">
        <v>449</v>
      </c>
      <c r="AT140" s="15" t="s">
        <v>138</v>
      </c>
      <c r="AU140" s="15" t="s">
        <v>3273</v>
      </c>
      <c r="AV140" s="15" t="s">
        <v>450</v>
      </c>
      <c r="AW140" s="15" t="s">
        <v>3270</v>
      </c>
      <c r="AX140" s="15" t="s">
        <v>3274</v>
      </c>
      <c r="AY140" s="15" t="s">
        <v>3275</v>
      </c>
      <c r="AZ140" s="15" t="s">
        <v>452</v>
      </c>
      <c r="BA140" s="15" t="s">
        <v>453</v>
      </c>
      <c r="BB140" s="15" t="s">
        <v>3276</v>
      </c>
      <c r="BC140" s="15" t="s">
        <v>3277</v>
      </c>
      <c r="BD140" s="21">
        <v>7</v>
      </c>
      <c r="BE140" s="15" t="s">
        <v>138</v>
      </c>
      <c r="BF140" s="15" t="s">
        <v>138</v>
      </c>
      <c r="BG140" s="15" t="s">
        <v>138</v>
      </c>
      <c r="BH140" s="15" t="s">
        <v>3278</v>
      </c>
      <c r="BI140" s="15" t="s">
        <v>138</v>
      </c>
      <c r="BJ140" s="15" t="s">
        <v>138</v>
      </c>
      <c r="BK140" s="15" t="s">
        <v>138</v>
      </c>
      <c r="BL140" s="15" t="s">
        <v>138</v>
      </c>
      <c r="BM140" s="22">
        <v>42005</v>
      </c>
      <c r="BN140" s="17" t="s">
        <v>138</v>
      </c>
      <c r="BO140" s="15" t="s">
        <v>138</v>
      </c>
      <c r="BP140" s="17" t="s">
        <v>138</v>
      </c>
      <c r="BQ140" s="15" t="s">
        <v>138</v>
      </c>
      <c r="BR140" s="15" t="s">
        <v>173</v>
      </c>
      <c r="BS140" s="15" t="s">
        <v>206</v>
      </c>
      <c r="BT140" s="15" t="s">
        <v>138</v>
      </c>
      <c r="BU140" s="15" t="s">
        <v>174</v>
      </c>
      <c r="BV140" s="15" t="s">
        <v>138</v>
      </c>
      <c r="BW140" s="15" t="s">
        <v>138</v>
      </c>
      <c r="BX140" s="15" t="s">
        <v>138</v>
      </c>
      <c r="BY140" s="15" t="s">
        <v>175</v>
      </c>
      <c r="BZ140" s="22">
        <v>43101</v>
      </c>
      <c r="CA140" s="17">
        <v>20</v>
      </c>
      <c r="CB140" s="15" t="s">
        <v>172</v>
      </c>
      <c r="CC140" s="17" t="s">
        <v>138</v>
      </c>
      <c r="CD140" s="15" t="s">
        <v>138</v>
      </c>
      <c r="CE140" s="15" t="s">
        <v>173</v>
      </c>
      <c r="CF140" s="15" t="s">
        <v>720</v>
      </c>
      <c r="CG140" s="15" t="s">
        <v>138</v>
      </c>
      <c r="CH140" s="15" t="s">
        <v>174</v>
      </c>
      <c r="CI140" s="15" t="s">
        <v>138</v>
      </c>
      <c r="CJ140" s="15" t="s">
        <v>138</v>
      </c>
      <c r="CK140" s="15" t="s">
        <v>138</v>
      </c>
      <c r="CL140" s="15" t="s">
        <v>175</v>
      </c>
      <c r="CM140" s="22" t="s">
        <v>138</v>
      </c>
      <c r="CN140" s="17" t="s">
        <v>138</v>
      </c>
      <c r="CO140" s="23">
        <v>-3.68</v>
      </c>
      <c r="CP140" s="24">
        <v>2</v>
      </c>
      <c r="CQ140" s="23">
        <v>0.21</v>
      </c>
      <c r="CR140" s="23">
        <v>5.51</v>
      </c>
      <c r="CS140" s="23">
        <v>-3.68</v>
      </c>
      <c r="CT140" s="24">
        <v>4</v>
      </c>
      <c r="CU140" s="23" t="s">
        <v>138</v>
      </c>
      <c r="CV140" s="24" t="s">
        <v>138</v>
      </c>
      <c r="CW140" s="23" t="s">
        <v>138</v>
      </c>
      <c r="CX140" s="24" t="s">
        <v>138</v>
      </c>
      <c r="CY140" s="23">
        <v>-3.68</v>
      </c>
      <c r="CZ140" s="24">
        <v>5</v>
      </c>
      <c r="DA140" s="23" t="s">
        <v>138</v>
      </c>
      <c r="DB140" s="24" t="s">
        <v>138</v>
      </c>
      <c r="DC140" s="25">
        <v>6.41</v>
      </c>
      <c r="DD140" s="24">
        <v>86</v>
      </c>
      <c r="DE140" s="25">
        <v>0.1</v>
      </c>
      <c r="DF140" s="23">
        <v>1.64</v>
      </c>
      <c r="DG140" s="25">
        <v>6.41</v>
      </c>
      <c r="DH140" s="24">
        <v>85</v>
      </c>
      <c r="DI140" s="25" t="s">
        <v>138</v>
      </c>
      <c r="DJ140" s="24" t="s">
        <v>138</v>
      </c>
      <c r="DK140" s="25" t="s">
        <v>138</v>
      </c>
      <c r="DL140" s="24" t="s">
        <v>138</v>
      </c>
      <c r="DM140" s="25">
        <v>6.41</v>
      </c>
      <c r="DN140" s="24">
        <v>84</v>
      </c>
      <c r="DO140" s="25" t="s">
        <v>138</v>
      </c>
      <c r="DP140" s="24" t="s">
        <v>138</v>
      </c>
      <c r="DQ140" s="24" t="s">
        <v>138</v>
      </c>
      <c r="DR140" s="26" t="s">
        <v>138</v>
      </c>
      <c r="DS140" s="23" t="s">
        <v>138</v>
      </c>
      <c r="DT140" s="24">
        <v>185</v>
      </c>
      <c r="DU140" s="26">
        <v>1</v>
      </c>
      <c r="DV140" s="23">
        <v>0.54</v>
      </c>
      <c r="DW140" s="24" t="s">
        <v>138</v>
      </c>
      <c r="DX140" s="27" t="s">
        <v>138</v>
      </c>
      <c r="DY140" s="23" t="s">
        <v>138</v>
      </c>
      <c r="DZ140" s="15" t="s">
        <v>178</v>
      </c>
      <c r="EA140" s="22">
        <v>43351</v>
      </c>
      <c r="EB140" s="17" t="s">
        <v>138</v>
      </c>
      <c r="EC140" s="22" t="s">
        <v>138</v>
      </c>
      <c r="ED140" s="15" t="s">
        <v>138</v>
      </c>
      <c r="EE140" s="14" t="str">
        <f>HYPERLINK("https://my.pitchbook.com?c=222968-80", "View company online")</f>
        <v>View company online</v>
      </c>
    </row>
    <row r="141" spans="1:135">
      <c r="A141" s="28" t="s">
        <v>3279</v>
      </c>
      <c r="B141" s="28" t="s">
        <v>3280</v>
      </c>
      <c r="C141" s="28" t="s">
        <v>3281</v>
      </c>
      <c r="D141" s="28" t="s">
        <v>138</v>
      </c>
      <c r="E141" s="28" t="s">
        <v>3282</v>
      </c>
      <c r="F141" s="28" t="s">
        <v>3279</v>
      </c>
      <c r="G141" s="28" t="s">
        <v>3283</v>
      </c>
      <c r="H141" s="28" t="s">
        <v>238</v>
      </c>
      <c r="I141" s="28" t="s">
        <v>785</v>
      </c>
      <c r="J141" s="28" t="s">
        <v>786</v>
      </c>
      <c r="K141" s="28" t="s">
        <v>3284</v>
      </c>
      <c r="L141" s="28" t="s">
        <v>3285</v>
      </c>
      <c r="M141" s="28" t="s">
        <v>3286</v>
      </c>
      <c r="N141" s="28" t="s">
        <v>147</v>
      </c>
      <c r="O141" s="29">
        <v>30.4</v>
      </c>
      <c r="P141" s="28" t="s">
        <v>148</v>
      </c>
      <c r="Q141" s="28" t="s">
        <v>149</v>
      </c>
      <c r="R141" s="28" t="s">
        <v>174</v>
      </c>
      <c r="S141" s="28" t="s">
        <v>3287</v>
      </c>
      <c r="T141" s="30">
        <v>26</v>
      </c>
      <c r="U141" s="28" t="s">
        <v>3288</v>
      </c>
      <c r="V141" s="28" t="s">
        <v>138</v>
      </c>
      <c r="W141" s="28" t="s">
        <v>138</v>
      </c>
      <c r="X141" s="31">
        <v>2012</v>
      </c>
      <c r="Y141" s="28" t="s">
        <v>138</v>
      </c>
      <c r="Z141" s="28" t="s">
        <v>138</v>
      </c>
      <c r="AA141" s="28" t="s">
        <v>138</v>
      </c>
      <c r="AB141" s="32" t="s">
        <v>138</v>
      </c>
      <c r="AC141" s="32" t="s">
        <v>138</v>
      </c>
      <c r="AD141" s="32" t="s">
        <v>138</v>
      </c>
      <c r="AE141" s="32" t="s">
        <v>138</v>
      </c>
      <c r="AF141" s="32" t="s">
        <v>138</v>
      </c>
      <c r="AG141" s="28" t="s">
        <v>138</v>
      </c>
      <c r="AH141" s="32" t="s">
        <v>138</v>
      </c>
      <c r="AI141" s="32" t="s">
        <v>138</v>
      </c>
      <c r="AJ141" s="32" t="s">
        <v>138</v>
      </c>
      <c r="AK141" s="28" t="s">
        <v>3289</v>
      </c>
      <c r="AL141" s="28" t="s">
        <v>3290</v>
      </c>
      <c r="AM141" s="28" t="s">
        <v>1632</v>
      </c>
      <c r="AN141" s="28" t="s">
        <v>3291</v>
      </c>
      <c r="AO141" s="28" t="s">
        <v>3292</v>
      </c>
      <c r="AP141" s="28" t="s">
        <v>1765</v>
      </c>
      <c r="AQ141" s="28" t="s">
        <v>3293</v>
      </c>
      <c r="AR141" s="28" t="s">
        <v>138</v>
      </c>
      <c r="AS141" s="28" t="s">
        <v>1768</v>
      </c>
      <c r="AT141" s="28" t="s">
        <v>200</v>
      </c>
      <c r="AU141" s="28" t="s">
        <v>1769</v>
      </c>
      <c r="AV141" s="28" t="s">
        <v>162</v>
      </c>
      <c r="AW141" s="28" t="s">
        <v>3292</v>
      </c>
      <c r="AX141" s="28" t="s">
        <v>138</v>
      </c>
      <c r="AY141" s="28" t="s">
        <v>3294</v>
      </c>
      <c r="AZ141" s="28" t="s">
        <v>164</v>
      </c>
      <c r="BA141" s="28" t="s">
        <v>165</v>
      </c>
      <c r="BB141" s="28" t="s">
        <v>3295</v>
      </c>
      <c r="BC141" s="28" t="s">
        <v>3296</v>
      </c>
      <c r="BD141" s="33">
        <v>9</v>
      </c>
      <c r="BE141" s="28" t="s">
        <v>138</v>
      </c>
      <c r="BF141" s="28" t="s">
        <v>138</v>
      </c>
      <c r="BG141" s="28" t="s">
        <v>138</v>
      </c>
      <c r="BH141" s="28" t="s">
        <v>3297</v>
      </c>
      <c r="BI141" s="28" t="s">
        <v>138</v>
      </c>
      <c r="BJ141" s="28" t="s">
        <v>138</v>
      </c>
      <c r="BK141" s="28" t="s">
        <v>1251</v>
      </c>
      <c r="BL141" s="28" t="s">
        <v>1251</v>
      </c>
      <c r="BM141" s="34">
        <v>41618</v>
      </c>
      <c r="BN141" s="29" t="s">
        <v>138</v>
      </c>
      <c r="BO141" s="28" t="s">
        <v>138</v>
      </c>
      <c r="BP141" s="29" t="s">
        <v>138</v>
      </c>
      <c r="BQ141" s="28" t="s">
        <v>138</v>
      </c>
      <c r="BR141" s="28" t="s">
        <v>205</v>
      </c>
      <c r="BS141" s="28" t="s">
        <v>138</v>
      </c>
      <c r="BT141" s="28" t="s">
        <v>138</v>
      </c>
      <c r="BU141" s="28" t="s">
        <v>174</v>
      </c>
      <c r="BV141" s="28" t="s">
        <v>138</v>
      </c>
      <c r="BW141" s="28" t="s">
        <v>138</v>
      </c>
      <c r="BX141" s="28" t="s">
        <v>138</v>
      </c>
      <c r="BY141" s="28" t="s">
        <v>175</v>
      </c>
      <c r="BZ141" s="34">
        <v>43145</v>
      </c>
      <c r="CA141" s="29">
        <v>10.25</v>
      </c>
      <c r="CB141" s="28" t="s">
        <v>172</v>
      </c>
      <c r="CC141" s="29">
        <v>49.24</v>
      </c>
      <c r="CD141" s="28" t="s">
        <v>172</v>
      </c>
      <c r="CE141" s="28" t="s">
        <v>205</v>
      </c>
      <c r="CF141" s="28" t="s">
        <v>138</v>
      </c>
      <c r="CG141" s="28" t="s">
        <v>138</v>
      </c>
      <c r="CH141" s="28" t="s">
        <v>174</v>
      </c>
      <c r="CI141" s="28" t="s">
        <v>138</v>
      </c>
      <c r="CJ141" s="28" t="s">
        <v>138</v>
      </c>
      <c r="CK141" s="28" t="s">
        <v>138</v>
      </c>
      <c r="CL141" s="28" t="s">
        <v>175</v>
      </c>
      <c r="CM141" s="34" t="s">
        <v>138</v>
      </c>
      <c r="CN141" s="29" t="s">
        <v>138</v>
      </c>
      <c r="CO141" s="35">
        <v>0.27</v>
      </c>
      <c r="CP141" s="36">
        <v>93</v>
      </c>
      <c r="CQ141" s="35">
        <v>-0.03</v>
      </c>
      <c r="CR141" s="35">
        <v>-9.2799999999999994</v>
      </c>
      <c r="CS141" s="35">
        <v>0.55000000000000004</v>
      </c>
      <c r="CT141" s="36">
        <v>96</v>
      </c>
      <c r="CU141" s="35">
        <v>0</v>
      </c>
      <c r="CV141" s="36">
        <v>22</v>
      </c>
      <c r="CW141" s="35">
        <v>1.55</v>
      </c>
      <c r="CX141" s="36">
        <v>87</v>
      </c>
      <c r="CY141" s="35">
        <v>-0.46</v>
      </c>
      <c r="CZ141" s="36">
        <v>22</v>
      </c>
      <c r="DA141" s="35">
        <v>-0.01</v>
      </c>
      <c r="DB141" s="36">
        <v>21</v>
      </c>
      <c r="DC141" s="37">
        <v>69.34</v>
      </c>
      <c r="DD141" s="36">
        <v>99</v>
      </c>
      <c r="DE141" s="37">
        <v>-4.5</v>
      </c>
      <c r="DF141" s="35">
        <v>-6.1</v>
      </c>
      <c r="DG141" s="37">
        <v>104.81</v>
      </c>
      <c r="DH141" s="36">
        <v>99</v>
      </c>
      <c r="DI141" s="37">
        <v>33.869999999999997</v>
      </c>
      <c r="DJ141" s="36">
        <v>93</v>
      </c>
      <c r="DK141" s="37">
        <v>141.19999999999999</v>
      </c>
      <c r="DL141" s="36">
        <v>98</v>
      </c>
      <c r="DM141" s="37">
        <v>68.41</v>
      </c>
      <c r="DN141" s="36">
        <v>99</v>
      </c>
      <c r="DO141" s="37">
        <v>25.06</v>
      </c>
      <c r="DP141" s="36">
        <v>94</v>
      </c>
      <c r="DQ141" s="36">
        <v>48233</v>
      </c>
      <c r="DR141" s="38">
        <v>600</v>
      </c>
      <c r="DS141" s="35">
        <v>1.26</v>
      </c>
      <c r="DT141" s="36">
        <v>1984</v>
      </c>
      <c r="DU141" s="38">
        <v>0</v>
      </c>
      <c r="DV141" s="35">
        <v>0</v>
      </c>
      <c r="DW141" s="36">
        <v>8971</v>
      </c>
      <c r="DX141" s="39">
        <v>-1</v>
      </c>
      <c r="DY141" s="35">
        <v>-0.01</v>
      </c>
      <c r="DZ141" s="28" t="s">
        <v>178</v>
      </c>
      <c r="EA141" s="34">
        <v>43622</v>
      </c>
      <c r="EB141" s="29">
        <v>49.24</v>
      </c>
      <c r="EC141" s="34">
        <v>43145</v>
      </c>
      <c r="ED141" s="28" t="s">
        <v>205</v>
      </c>
      <c r="EE141" s="40" t="str">
        <f>HYPERLINK("https://my.pitchbook.com?c=60919-66", "View company online")</f>
        <v>View company online</v>
      </c>
    </row>
    <row r="142" spans="1:135">
      <c r="A142" s="15" t="s">
        <v>3298</v>
      </c>
      <c r="B142" s="15" t="s">
        <v>3299</v>
      </c>
      <c r="C142" s="15" t="s">
        <v>3300</v>
      </c>
      <c r="D142" s="15" t="s">
        <v>138</v>
      </c>
      <c r="E142" s="15" t="s">
        <v>3301</v>
      </c>
      <c r="F142" s="15" t="s">
        <v>3298</v>
      </c>
      <c r="G142" s="15" t="s">
        <v>3302</v>
      </c>
      <c r="H142" s="15" t="s">
        <v>322</v>
      </c>
      <c r="I142" s="15" t="s">
        <v>323</v>
      </c>
      <c r="J142" s="15" t="s">
        <v>413</v>
      </c>
      <c r="K142" s="15" t="s">
        <v>3303</v>
      </c>
      <c r="L142" s="15" t="s">
        <v>2835</v>
      </c>
      <c r="M142" s="15" t="s">
        <v>3304</v>
      </c>
      <c r="N142" s="15" t="s">
        <v>147</v>
      </c>
      <c r="O142" s="17">
        <v>25</v>
      </c>
      <c r="P142" s="15" t="s">
        <v>148</v>
      </c>
      <c r="Q142" s="15" t="s">
        <v>149</v>
      </c>
      <c r="R142" s="15" t="s">
        <v>150</v>
      </c>
      <c r="S142" s="15" t="s">
        <v>3305</v>
      </c>
      <c r="T142" s="18">
        <v>60</v>
      </c>
      <c r="U142" s="15" t="s">
        <v>3306</v>
      </c>
      <c r="V142" s="15" t="s">
        <v>138</v>
      </c>
      <c r="W142" s="15" t="s">
        <v>138</v>
      </c>
      <c r="X142" s="19">
        <v>2014</v>
      </c>
      <c r="Y142" s="15" t="s">
        <v>138</v>
      </c>
      <c r="Z142" s="15" t="s">
        <v>138</v>
      </c>
      <c r="AA142" s="15" t="s">
        <v>138</v>
      </c>
      <c r="AB142" s="20" t="s">
        <v>138</v>
      </c>
      <c r="AC142" s="20" t="s">
        <v>138</v>
      </c>
      <c r="AD142" s="20" t="s">
        <v>138</v>
      </c>
      <c r="AE142" s="20" t="s">
        <v>138</v>
      </c>
      <c r="AF142" s="20" t="s">
        <v>138</v>
      </c>
      <c r="AG142" s="15" t="s">
        <v>138</v>
      </c>
      <c r="AH142" s="20" t="s">
        <v>138</v>
      </c>
      <c r="AI142" s="20" t="s">
        <v>138</v>
      </c>
      <c r="AJ142" s="20" t="s">
        <v>138</v>
      </c>
      <c r="AK142" s="15" t="s">
        <v>3307</v>
      </c>
      <c r="AL142" s="15" t="s">
        <v>3308</v>
      </c>
      <c r="AM142" s="15" t="s">
        <v>221</v>
      </c>
      <c r="AN142" s="15" t="s">
        <v>3309</v>
      </c>
      <c r="AO142" s="15" t="s">
        <v>138</v>
      </c>
      <c r="AP142" s="15" t="s">
        <v>471</v>
      </c>
      <c r="AQ142" s="15" t="s">
        <v>3310</v>
      </c>
      <c r="AR142" s="15" t="s">
        <v>138</v>
      </c>
      <c r="AS142" s="15" t="s">
        <v>473</v>
      </c>
      <c r="AT142" s="15" t="s">
        <v>474</v>
      </c>
      <c r="AU142" s="15" t="s">
        <v>3311</v>
      </c>
      <c r="AV142" s="15" t="s">
        <v>162</v>
      </c>
      <c r="AW142" s="15" t="s">
        <v>138</v>
      </c>
      <c r="AX142" s="15" t="s">
        <v>138</v>
      </c>
      <c r="AY142" s="15" t="s">
        <v>138</v>
      </c>
      <c r="AZ142" s="15" t="s">
        <v>164</v>
      </c>
      <c r="BA142" s="15" t="s">
        <v>165</v>
      </c>
      <c r="BB142" s="15" t="s">
        <v>3312</v>
      </c>
      <c r="BC142" s="15" t="s">
        <v>3313</v>
      </c>
      <c r="BD142" s="21">
        <v>13</v>
      </c>
      <c r="BE142" s="15" t="s">
        <v>138</v>
      </c>
      <c r="BF142" s="15" t="s">
        <v>138</v>
      </c>
      <c r="BG142" s="15" t="s">
        <v>138</v>
      </c>
      <c r="BH142" s="15" t="s">
        <v>3314</v>
      </c>
      <c r="BI142" s="15" t="s">
        <v>138</v>
      </c>
      <c r="BJ142" s="15" t="s">
        <v>138</v>
      </c>
      <c r="BK142" s="15" t="s">
        <v>138</v>
      </c>
      <c r="BL142" s="15" t="s">
        <v>1370</v>
      </c>
      <c r="BM142" s="22">
        <v>41817</v>
      </c>
      <c r="BN142" s="17" t="s">
        <v>138</v>
      </c>
      <c r="BO142" s="15" t="s">
        <v>138</v>
      </c>
      <c r="BP142" s="17" t="s">
        <v>138</v>
      </c>
      <c r="BQ142" s="15" t="s">
        <v>138</v>
      </c>
      <c r="BR142" s="15" t="s">
        <v>780</v>
      </c>
      <c r="BS142" s="15" t="s">
        <v>780</v>
      </c>
      <c r="BT142" s="15" t="s">
        <v>138</v>
      </c>
      <c r="BU142" s="15" t="s">
        <v>780</v>
      </c>
      <c r="BV142" s="15" t="s">
        <v>138</v>
      </c>
      <c r="BW142" s="15" t="s">
        <v>138</v>
      </c>
      <c r="BX142" s="15" t="s">
        <v>138</v>
      </c>
      <c r="BY142" s="15" t="s">
        <v>175</v>
      </c>
      <c r="BZ142" s="22">
        <v>43501</v>
      </c>
      <c r="CA142" s="17">
        <v>13.5</v>
      </c>
      <c r="CB142" s="15" t="s">
        <v>172</v>
      </c>
      <c r="CC142" s="17">
        <v>23.5</v>
      </c>
      <c r="CD142" s="15" t="s">
        <v>172</v>
      </c>
      <c r="CE142" s="15" t="s">
        <v>205</v>
      </c>
      <c r="CF142" s="15" t="s">
        <v>974</v>
      </c>
      <c r="CG142" s="15" t="s">
        <v>138</v>
      </c>
      <c r="CH142" s="15" t="s">
        <v>174</v>
      </c>
      <c r="CI142" s="15" t="s">
        <v>138</v>
      </c>
      <c r="CJ142" s="15" t="s">
        <v>138</v>
      </c>
      <c r="CK142" s="15" t="s">
        <v>138</v>
      </c>
      <c r="CL142" s="15" t="s">
        <v>175</v>
      </c>
      <c r="CM142" s="22" t="s">
        <v>138</v>
      </c>
      <c r="CN142" s="17" t="s">
        <v>138</v>
      </c>
      <c r="CO142" s="23">
        <v>0.38</v>
      </c>
      <c r="CP142" s="24">
        <v>94</v>
      </c>
      <c r="CQ142" s="23">
        <v>-0.1</v>
      </c>
      <c r="CR142" s="23">
        <v>-20.43</v>
      </c>
      <c r="CS142" s="23" t="s">
        <v>138</v>
      </c>
      <c r="CT142" s="24" t="s">
        <v>138</v>
      </c>
      <c r="CU142" s="23">
        <v>0.03</v>
      </c>
      <c r="CV142" s="24">
        <v>54</v>
      </c>
      <c r="CW142" s="23" t="s">
        <v>138</v>
      </c>
      <c r="CX142" s="24" t="s">
        <v>138</v>
      </c>
      <c r="CY142" s="23" t="s">
        <v>138</v>
      </c>
      <c r="CZ142" s="24" t="s">
        <v>138</v>
      </c>
      <c r="DA142" s="23">
        <v>0.03</v>
      </c>
      <c r="DB142" s="24">
        <v>60</v>
      </c>
      <c r="DC142" s="25">
        <v>2.59</v>
      </c>
      <c r="DD142" s="24">
        <v>72</v>
      </c>
      <c r="DE142" s="25">
        <v>-0.4</v>
      </c>
      <c r="DF142" s="23">
        <v>-13.4</v>
      </c>
      <c r="DG142" s="25" t="s">
        <v>138</v>
      </c>
      <c r="DH142" s="24" t="s">
        <v>138</v>
      </c>
      <c r="DI142" s="25">
        <v>4.8899999999999997</v>
      </c>
      <c r="DJ142" s="24">
        <v>77</v>
      </c>
      <c r="DK142" s="25" t="s">
        <v>138</v>
      </c>
      <c r="DL142" s="24" t="s">
        <v>138</v>
      </c>
      <c r="DM142" s="25" t="s">
        <v>138</v>
      </c>
      <c r="DN142" s="24" t="s">
        <v>138</v>
      </c>
      <c r="DO142" s="25">
        <v>4.8899999999999997</v>
      </c>
      <c r="DP142" s="24">
        <v>79</v>
      </c>
      <c r="DQ142" s="24">
        <v>1158</v>
      </c>
      <c r="DR142" s="26">
        <v>9</v>
      </c>
      <c r="DS142" s="23">
        <v>0.78</v>
      </c>
      <c r="DT142" s="24" t="s">
        <v>138</v>
      </c>
      <c r="DU142" s="26" t="s">
        <v>138</v>
      </c>
      <c r="DV142" s="23" t="s">
        <v>138</v>
      </c>
      <c r="DW142" s="24">
        <v>1751</v>
      </c>
      <c r="DX142" s="27">
        <v>-1</v>
      </c>
      <c r="DY142" s="23">
        <v>-0.06</v>
      </c>
      <c r="DZ142" s="15" t="s">
        <v>178</v>
      </c>
      <c r="EA142" s="22">
        <v>43622</v>
      </c>
      <c r="EB142" s="17">
        <v>23.5</v>
      </c>
      <c r="EC142" s="22">
        <v>43501</v>
      </c>
      <c r="ED142" s="15" t="s">
        <v>205</v>
      </c>
      <c r="EE142" s="14" t="str">
        <f>HYPERLINK("https://my.pitchbook.com?c=104769-10", "View company online")</f>
        <v>View company online</v>
      </c>
    </row>
    <row r="143" spans="1:135">
      <c r="A143" s="28" t="s">
        <v>3315</v>
      </c>
      <c r="B143" s="28" t="s">
        <v>3316</v>
      </c>
      <c r="C143" s="28" t="s">
        <v>3317</v>
      </c>
      <c r="D143" s="28" t="s">
        <v>138</v>
      </c>
      <c r="E143" s="28" t="s">
        <v>3318</v>
      </c>
      <c r="F143" s="28" t="s">
        <v>3315</v>
      </c>
      <c r="G143" s="28" t="s">
        <v>3319</v>
      </c>
      <c r="H143" s="28" t="s">
        <v>322</v>
      </c>
      <c r="I143" s="28" t="s">
        <v>323</v>
      </c>
      <c r="J143" s="28" t="s">
        <v>461</v>
      </c>
      <c r="K143" s="28" t="s">
        <v>2209</v>
      </c>
      <c r="L143" s="28" t="s">
        <v>3320</v>
      </c>
      <c r="M143" s="28" t="s">
        <v>3321</v>
      </c>
      <c r="N143" s="28" t="s">
        <v>147</v>
      </c>
      <c r="O143" s="29">
        <v>22.61</v>
      </c>
      <c r="P143" s="28" t="s">
        <v>148</v>
      </c>
      <c r="Q143" s="28" t="s">
        <v>149</v>
      </c>
      <c r="R143" s="28" t="s">
        <v>174</v>
      </c>
      <c r="S143" s="28" t="s">
        <v>3322</v>
      </c>
      <c r="T143" s="30">
        <v>72</v>
      </c>
      <c r="U143" s="28" t="s">
        <v>3323</v>
      </c>
      <c r="V143" s="28" t="s">
        <v>138</v>
      </c>
      <c r="W143" s="28" t="s">
        <v>138</v>
      </c>
      <c r="X143" s="31">
        <v>2004</v>
      </c>
      <c r="Y143" s="28" t="s">
        <v>138</v>
      </c>
      <c r="Z143" s="28" t="s">
        <v>138</v>
      </c>
      <c r="AA143" s="28" t="s">
        <v>138</v>
      </c>
      <c r="AB143" s="32" t="s">
        <v>138</v>
      </c>
      <c r="AC143" s="32" t="s">
        <v>138</v>
      </c>
      <c r="AD143" s="32" t="s">
        <v>138</v>
      </c>
      <c r="AE143" s="32" t="s">
        <v>138</v>
      </c>
      <c r="AF143" s="32" t="s">
        <v>138</v>
      </c>
      <c r="AG143" s="28" t="s">
        <v>138</v>
      </c>
      <c r="AH143" s="32" t="s">
        <v>138</v>
      </c>
      <c r="AI143" s="32" t="s">
        <v>138</v>
      </c>
      <c r="AJ143" s="32" t="s">
        <v>138</v>
      </c>
      <c r="AK143" s="28" t="s">
        <v>3324</v>
      </c>
      <c r="AL143" s="28" t="s">
        <v>3325</v>
      </c>
      <c r="AM143" s="28" t="s">
        <v>249</v>
      </c>
      <c r="AN143" s="28" t="s">
        <v>3326</v>
      </c>
      <c r="AO143" s="28" t="s">
        <v>3327</v>
      </c>
      <c r="AP143" s="28" t="s">
        <v>3328</v>
      </c>
      <c r="AQ143" s="28" t="s">
        <v>3329</v>
      </c>
      <c r="AR143" s="28" t="s">
        <v>138</v>
      </c>
      <c r="AS143" s="28" t="s">
        <v>3330</v>
      </c>
      <c r="AT143" s="28" t="s">
        <v>200</v>
      </c>
      <c r="AU143" s="28" t="s">
        <v>3331</v>
      </c>
      <c r="AV143" s="28" t="s">
        <v>162</v>
      </c>
      <c r="AW143" s="28" t="s">
        <v>3327</v>
      </c>
      <c r="AX143" s="28" t="s">
        <v>138</v>
      </c>
      <c r="AY143" s="28" t="s">
        <v>3332</v>
      </c>
      <c r="AZ143" s="28" t="s">
        <v>164</v>
      </c>
      <c r="BA143" s="28" t="s">
        <v>165</v>
      </c>
      <c r="BB143" s="28" t="s">
        <v>3333</v>
      </c>
      <c r="BC143" s="28" t="s">
        <v>3334</v>
      </c>
      <c r="BD143" s="33">
        <v>8</v>
      </c>
      <c r="BE143" s="28" t="s">
        <v>138</v>
      </c>
      <c r="BF143" s="28" t="s">
        <v>138</v>
      </c>
      <c r="BG143" s="28" t="s">
        <v>138</v>
      </c>
      <c r="BH143" s="28" t="s">
        <v>3335</v>
      </c>
      <c r="BI143" s="28" t="s">
        <v>138</v>
      </c>
      <c r="BJ143" s="28" t="s">
        <v>138</v>
      </c>
      <c r="BK143" s="28" t="s">
        <v>3336</v>
      </c>
      <c r="BL143" s="28" t="s">
        <v>3337</v>
      </c>
      <c r="BM143" s="34">
        <v>39874</v>
      </c>
      <c r="BN143" s="29">
        <v>0.05</v>
      </c>
      <c r="BO143" s="28" t="s">
        <v>172</v>
      </c>
      <c r="BP143" s="29">
        <v>0.5</v>
      </c>
      <c r="BQ143" s="28" t="s">
        <v>1178</v>
      </c>
      <c r="BR143" s="28" t="s">
        <v>205</v>
      </c>
      <c r="BS143" s="28" t="s">
        <v>206</v>
      </c>
      <c r="BT143" s="28" t="s">
        <v>138</v>
      </c>
      <c r="BU143" s="28" t="s">
        <v>174</v>
      </c>
      <c r="BV143" s="28" t="s">
        <v>138</v>
      </c>
      <c r="BW143" s="28" t="s">
        <v>138</v>
      </c>
      <c r="BX143" s="28" t="s">
        <v>138</v>
      </c>
      <c r="BY143" s="28" t="s">
        <v>175</v>
      </c>
      <c r="BZ143" s="34">
        <v>42928</v>
      </c>
      <c r="CA143" s="29">
        <v>6</v>
      </c>
      <c r="CB143" s="28" t="s">
        <v>172</v>
      </c>
      <c r="CC143" s="29">
        <v>56</v>
      </c>
      <c r="CD143" s="28" t="s">
        <v>1178</v>
      </c>
      <c r="CE143" s="28" t="s">
        <v>173</v>
      </c>
      <c r="CF143" s="28" t="s">
        <v>482</v>
      </c>
      <c r="CG143" s="28" t="s">
        <v>138</v>
      </c>
      <c r="CH143" s="28" t="s">
        <v>174</v>
      </c>
      <c r="CI143" s="28" t="s">
        <v>138</v>
      </c>
      <c r="CJ143" s="28" t="s">
        <v>138</v>
      </c>
      <c r="CK143" s="28" t="s">
        <v>138</v>
      </c>
      <c r="CL143" s="28" t="s">
        <v>175</v>
      </c>
      <c r="CM143" s="34" t="s">
        <v>138</v>
      </c>
      <c r="CN143" s="29" t="s">
        <v>138</v>
      </c>
      <c r="CO143" s="35">
        <v>-0.42</v>
      </c>
      <c r="CP143" s="36">
        <v>17</v>
      </c>
      <c r="CQ143" s="35">
        <v>0.01</v>
      </c>
      <c r="CR143" s="35">
        <v>2.39</v>
      </c>
      <c r="CS143" s="35">
        <v>-0.87</v>
      </c>
      <c r="CT143" s="36">
        <v>16</v>
      </c>
      <c r="CU143" s="35">
        <v>0.03</v>
      </c>
      <c r="CV143" s="36">
        <v>54</v>
      </c>
      <c r="CW143" s="35">
        <v>0</v>
      </c>
      <c r="CX143" s="36">
        <v>13</v>
      </c>
      <c r="CY143" s="35">
        <v>-1.75</v>
      </c>
      <c r="CZ143" s="36">
        <v>13</v>
      </c>
      <c r="DA143" s="35">
        <v>0</v>
      </c>
      <c r="DB143" s="36">
        <v>22</v>
      </c>
      <c r="DC143" s="37">
        <v>1.79</v>
      </c>
      <c r="DD143" s="36">
        <v>65</v>
      </c>
      <c r="DE143" s="37">
        <v>-0.02</v>
      </c>
      <c r="DF143" s="35">
        <v>-1.23</v>
      </c>
      <c r="DG143" s="37">
        <v>3.14</v>
      </c>
      <c r="DH143" s="36">
        <v>75</v>
      </c>
      <c r="DI143" s="37">
        <v>0.43</v>
      </c>
      <c r="DJ143" s="36">
        <v>34</v>
      </c>
      <c r="DK143" s="37">
        <v>0.18</v>
      </c>
      <c r="DL143" s="36">
        <v>3</v>
      </c>
      <c r="DM143" s="37">
        <v>6.1</v>
      </c>
      <c r="DN143" s="36">
        <v>84</v>
      </c>
      <c r="DO143" s="37">
        <v>0.61</v>
      </c>
      <c r="DP143" s="36">
        <v>41</v>
      </c>
      <c r="DQ143" s="36">
        <v>74</v>
      </c>
      <c r="DR143" s="38">
        <v>-38</v>
      </c>
      <c r="DS143" s="35">
        <v>-33.93</v>
      </c>
      <c r="DT143" s="36">
        <v>177</v>
      </c>
      <c r="DU143" s="38">
        <v>-2</v>
      </c>
      <c r="DV143" s="35">
        <v>-1.1200000000000001</v>
      </c>
      <c r="DW143" s="36">
        <v>219</v>
      </c>
      <c r="DX143" s="39">
        <v>0</v>
      </c>
      <c r="DY143" s="35">
        <v>0</v>
      </c>
      <c r="DZ143" s="28" t="s">
        <v>178</v>
      </c>
      <c r="EA143" s="34">
        <v>43445</v>
      </c>
      <c r="EB143" s="29">
        <v>56</v>
      </c>
      <c r="EC143" s="34">
        <v>42928</v>
      </c>
      <c r="ED143" s="28" t="s">
        <v>173</v>
      </c>
      <c r="EE143" s="40" t="str">
        <f>HYPERLINK("https://my.pitchbook.com?c=53920-72", "View company online")</f>
        <v>View company online</v>
      </c>
    </row>
    <row r="144" spans="1:135">
      <c r="A144" s="15" t="s">
        <v>3338</v>
      </c>
      <c r="B144" s="15" t="s">
        <v>3339</v>
      </c>
      <c r="C144" s="15" t="s">
        <v>3340</v>
      </c>
      <c r="D144" s="15" t="s">
        <v>138</v>
      </c>
      <c r="E144" s="15" t="s">
        <v>3341</v>
      </c>
      <c r="F144" s="15" t="s">
        <v>3338</v>
      </c>
      <c r="G144" s="15" t="s">
        <v>3342</v>
      </c>
      <c r="H144" s="15" t="s">
        <v>141</v>
      </c>
      <c r="I144" s="15" t="s">
        <v>212</v>
      </c>
      <c r="J144" s="15" t="s">
        <v>213</v>
      </c>
      <c r="K144" s="15" t="s">
        <v>1064</v>
      </c>
      <c r="L144" s="15" t="s">
        <v>3343</v>
      </c>
      <c r="M144" s="15" t="s">
        <v>3344</v>
      </c>
      <c r="N144" s="15" t="s">
        <v>147</v>
      </c>
      <c r="O144" s="17">
        <v>60.77</v>
      </c>
      <c r="P144" s="15" t="s">
        <v>148</v>
      </c>
      <c r="Q144" s="15" t="s">
        <v>149</v>
      </c>
      <c r="R144" s="15" t="s">
        <v>174</v>
      </c>
      <c r="S144" s="15" t="s">
        <v>3345</v>
      </c>
      <c r="T144" s="18">
        <v>250</v>
      </c>
      <c r="U144" s="15" t="s">
        <v>3346</v>
      </c>
      <c r="V144" s="15" t="s">
        <v>138</v>
      </c>
      <c r="W144" s="15" t="s">
        <v>138</v>
      </c>
      <c r="X144" s="19">
        <v>2010</v>
      </c>
      <c r="Y144" s="15" t="s">
        <v>138</v>
      </c>
      <c r="Z144" s="15" t="s">
        <v>138</v>
      </c>
      <c r="AA144" s="15" t="s">
        <v>138</v>
      </c>
      <c r="AB144" s="20" t="s">
        <v>138</v>
      </c>
      <c r="AC144" s="20" t="s">
        <v>138</v>
      </c>
      <c r="AD144" s="20" t="s">
        <v>138</v>
      </c>
      <c r="AE144" s="20" t="s">
        <v>138</v>
      </c>
      <c r="AF144" s="20" t="s">
        <v>138</v>
      </c>
      <c r="AG144" s="15" t="s">
        <v>138</v>
      </c>
      <c r="AH144" s="20" t="s">
        <v>138</v>
      </c>
      <c r="AI144" s="20" t="s">
        <v>138</v>
      </c>
      <c r="AJ144" s="20" t="s">
        <v>138</v>
      </c>
      <c r="AK144" s="15" t="s">
        <v>3347</v>
      </c>
      <c r="AL144" s="15" t="s">
        <v>3348</v>
      </c>
      <c r="AM144" s="15" t="s">
        <v>818</v>
      </c>
      <c r="AN144" s="15" t="s">
        <v>3349</v>
      </c>
      <c r="AO144" s="15" t="s">
        <v>3350</v>
      </c>
      <c r="AP144" s="15" t="s">
        <v>3351</v>
      </c>
      <c r="AQ144" s="15" t="s">
        <v>3352</v>
      </c>
      <c r="AR144" s="15" t="s">
        <v>3353</v>
      </c>
      <c r="AS144" s="15" t="s">
        <v>3354</v>
      </c>
      <c r="AT144" s="15" t="s">
        <v>2740</v>
      </c>
      <c r="AU144" s="15" t="s">
        <v>3355</v>
      </c>
      <c r="AV144" s="15" t="s">
        <v>2742</v>
      </c>
      <c r="AW144" s="15" t="s">
        <v>3350</v>
      </c>
      <c r="AX144" s="15" t="s">
        <v>138</v>
      </c>
      <c r="AY144" s="15" t="s">
        <v>3356</v>
      </c>
      <c r="AZ144" s="15" t="s">
        <v>164</v>
      </c>
      <c r="BA144" s="15" t="s">
        <v>165</v>
      </c>
      <c r="BB144" s="15" t="s">
        <v>3357</v>
      </c>
      <c r="BC144" s="15" t="s">
        <v>3358</v>
      </c>
      <c r="BD144" s="21">
        <v>15</v>
      </c>
      <c r="BE144" s="15" t="s">
        <v>138</v>
      </c>
      <c r="BF144" s="15" t="s">
        <v>138</v>
      </c>
      <c r="BG144" s="15" t="s">
        <v>138</v>
      </c>
      <c r="BH144" s="15" t="s">
        <v>3359</v>
      </c>
      <c r="BI144" s="15" t="s">
        <v>138</v>
      </c>
      <c r="BJ144" s="15" t="s">
        <v>138</v>
      </c>
      <c r="BK144" s="15" t="s">
        <v>3360</v>
      </c>
      <c r="BL144" s="15" t="s">
        <v>3361</v>
      </c>
      <c r="BM144" s="22" t="s">
        <v>138</v>
      </c>
      <c r="BN144" s="17" t="s">
        <v>138</v>
      </c>
      <c r="BO144" s="15" t="s">
        <v>138</v>
      </c>
      <c r="BP144" s="17" t="s">
        <v>138</v>
      </c>
      <c r="BQ144" s="15" t="s">
        <v>138</v>
      </c>
      <c r="BR144" s="15" t="s">
        <v>316</v>
      </c>
      <c r="BS144" s="15" t="s">
        <v>138</v>
      </c>
      <c r="BT144" s="15" t="s">
        <v>138</v>
      </c>
      <c r="BU144" s="15" t="s">
        <v>177</v>
      </c>
      <c r="BV144" s="15" t="s">
        <v>138</v>
      </c>
      <c r="BW144" s="15" t="s">
        <v>138</v>
      </c>
      <c r="BX144" s="15" t="s">
        <v>138</v>
      </c>
      <c r="BY144" s="15" t="s">
        <v>175</v>
      </c>
      <c r="BZ144" s="22">
        <v>42373</v>
      </c>
      <c r="CA144" s="17">
        <v>35</v>
      </c>
      <c r="CB144" s="15" t="s">
        <v>172</v>
      </c>
      <c r="CC144" s="17">
        <v>350</v>
      </c>
      <c r="CD144" s="15" t="s">
        <v>172</v>
      </c>
      <c r="CE144" s="15" t="s">
        <v>173</v>
      </c>
      <c r="CF144" s="15" t="s">
        <v>317</v>
      </c>
      <c r="CG144" s="15" t="s">
        <v>138</v>
      </c>
      <c r="CH144" s="15" t="s">
        <v>174</v>
      </c>
      <c r="CI144" s="15" t="s">
        <v>138</v>
      </c>
      <c r="CJ144" s="15" t="s">
        <v>138</v>
      </c>
      <c r="CK144" s="15" t="s">
        <v>138</v>
      </c>
      <c r="CL144" s="15" t="s">
        <v>175</v>
      </c>
      <c r="CM144" s="22" t="s">
        <v>138</v>
      </c>
      <c r="CN144" s="17" t="s">
        <v>138</v>
      </c>
      <c r="CO144" s="23">
        <v>0.3</v>
      </c>
      <c r="CP144" s="24">
        <v>94</v>
      </c>
      <c r="CQ144" s="23">
        <v>0</v>
      </c>
      <c r="CR144" s="23">
        <v>-0.77</v>
      </c>
      <c r="CS144" s="23">
        <v>0.49</v>
      </c>
      <c r="CT144" s="24">
        <v>95</v>
      </c>
      <c r="CU144" s="23">
        <v>0.1</v>
      </c>
      <c r="CV144" s="24">
        <v>68</v>
      </c>
      <c r="CW144" s="23">
        <v>1.61</v>
      </c>
      <c r="CX144" s="24">
        <v>87</v>
      </c>
      <c r="CY144" s="23">
        <v>-0.63</v>
      </c>
      <c r="CZ144" s="24">
        <v>21</v>
      </c>
      <c r="DA144" s="23">
        <v>0.1</v>
      </c>
      <c r="DB144" s="24">
        <v>72</v>
      </c>
      <c r="DC144" s="25">
        <v>83.19</v>
      </c>
      <c r="DD144" s="24">
        <v>99</v>
      </c>
      <c r="DE144" s="25">
        <v>-3.24</v>
      </c>
      <c r="DF144" s="23">
        <v>-3.75</v>
      </c>
      <c r="DG144" s="25">
        <v>132.43</v>
      </c>
      <c r="DH144" s="24">
        <v>100</v>
      </c>
      <c r="DI144" s="25">
        <v>33.96</v>
      </c>
      <c r="DJ144" s="24">
        <v>93</v>
      </c>
      <c r="DK144" s="25">
        <v>110.92</v>
      </c>
      <c r="DL144" s="24">
        <v>98</v>
      </c>
      <c r="DM144" s="25">
        <v>153.93</v>
      </c>
      <c r="DN144" s="24">
        <v>100</v>
      </c>
      <c r="DO144" s="25">
        <v>33.96</v>
      </c>
      <c r="DP144" s="24">
        <v>95</v>
      </c>
      <c r="DQ144" s="24">
        <v>37473</v>
      </c>
      <c r="DR144" s="26">
        <v>1717</v>
      </c>
      <c r="DS144" s="23">
        <v>4.8</v>
      </c>
      <c r="DT144" s="24">
        <v>4453</v>
      </c>
      <c r="DU144" s="26">
        <v>23</v>
      </c>
      <c r="DV144" s="23">
        <v>0.52</v>
      </c>
      <c r="DW144" s="24">
        <v>12152</v>
      </c>
      <c r="DX144" s="27">
        <v>4</v>
      </c>
      <c r="DY144" s="23">
        <v>0.03</v>
      </c>
      <c r="DZ144" s="15" t="s">
        <v>178</v>
      </c>
      <c r="EA144" s="22">
        <v>43622</v>
      </c>
      <c r="EB144" s="17">
        <v>350</v>
      </c>
      <c r="EC144" s="22">
        <v>42373</v>
      </c>
      <c r="ED144" s="15" t="s">
        <v>173</v>
      </c>
      <c r="EE144" s="14" t="str">
        <f>HYPERLINK("https://my.pitchbook.com?c=53393-14", "View company online")</f>
        <v>View company online</v>
      </c>
    </row>
    <row r="145" spans="1:135">
      <c r="A145" s="28" t="s">
        <v>3362</v>
      </c>
      <c r="B145" s="28" t="s">
        <v>3363</v>
      </c>
      <c r="C145" s="28" t="s">
        <v>138</v>
      </c>
      <c r="D145" s="28" t="s">
        <v>138</v>
      </c>
      <c r="E145" s="28" t="s">
        <v>3364</v>
      </c>
      <c r="F145" s="28" t="s">
        <v>3362</v>
      </c>
      <c r="G145" s="28" t="s">
        <v>3365</v>
      </c>
      <c r="H145" s="28" t="s">
        <v>322</v>
      </c>
      <c r="I145" s="28" t="s">
        <v>323</v>
      </c>
      <c r="J145" s="28" t="s">
        <v>461</v>
      </c>
      <c r="K145" s="28" t="s">
        <v>2209</v>
      </c>
      <c r="L145" s="28" t="s">
        <v>1972</v>
      </c>
      <c r="M145" s="28" t="s">
        <v>3366</v>
      </c>
      <c r="N145" s="28" t="s">
        <v>147</v>
      </c>
      <c r="O145" s="29">
        <v>59.42</v>
      </c>
      <c r="P145" s="28" t="s">
        <v>148</v>
      </c>
      <c r="Q145" s="28" t="s">
        <v>149</v>
      </c>
      <c r="R145" s="28" t="s">
        <v>244</v>
      </c>
      <c r="S145" s="28" t="s">
        <v>3367</v>
      </c>
      <c r="T145" s="30">
        <v>50</v>
      </c>
      <c r="U145" s="28" t="s">
        <v>3368</v>
      </c>
      <c r="V145" s="28" t="s">
        <v>138</v>
      </c>
      <c r="W145" s="28" t="s">
        <v>138</v>
      </c>
      <c r="X145" s="31">
        <v>2005</v>
      </c>
      <c r="Y145" s="28" t="s">
        <v>138</v>
      </c>
      <c r="Z145" s="28" t="s">
        <v>138</v>
      </c>
      <c r="AA145" s="28" t="s">
        <v>138</v>
      </c>
      <c r="AB145" s="32" t="s">
        <v>138</v>
      </c>
      <c r="AC145" s="32" t="s">
        <v>138</v>
      </c>
      <c r="AD145" s="32" t="s">
        <v>138</v>
      </c>
      <c r="AE145" s="32" t="s">
        <v>138</v>
      </c>
      <c r="AF145" s="32" t="s">
        <v>138</v>
      </c>
      <c r="AG145" s="28" t="s">
        <v>138</v>
      </c>
      <c r="AH145" s="32" t="s">
        <v>138</v>
      </c>
      <c r="AI145" s="32" t="s">
        <v>138</v>
      </c>
      <c r="AJ145" s="32" t="s">
        <v>138</v>
      </c>
      <c r="AK145" s="28" t="s">
        <v>3369</v>
      </c>
      <c r="AL145" s="28" t="s">
        <v>3370</v>
      </c>
      <c r="AM145" s="28" t="s">
        <v>249</v>
      </c>
      <c r="AN145" s="28" t="s">
        <v>3371</v>
      </c>
      <c r="AO145" s="28" t="s">
        <v>3372</v>
      </c>
      <c r="AP145" s="28" t="s">
        <v>3373</v>
      </c>
      <c r="AQ145" s="28" t="s">
        <v>3374</v>
      </c>
      <c r="AR145" s="28" t="s">
        <v>2095</v>
      </c>
      <c r="AS145" s="28" t="s">
        <v>3375</v>
      </c>
      <c r="AT145" s="28" t="s">
        <v>339</v>
      </c>
      <c r="AU145" s="28" t="s">
        <v>3376</v>
      </c>
      <c r="AV145" s="28" t="s">
        <v>162</v>
      </c>
      <c r="AW145" s="28" t="s">
        <v>3377</v>
      </c>
      <c r="AX145" s="28" t="s">
        <v>3378</v>
      </c>
      <c r="AY145" s="28" t="s">
        <v>3379</v>
      </c>
      <c r="AZ145" s="28" t="s">
        <v>164</v>
      </c>
      <c r="BA145" s="28" t="s">
        <v>165</v>
      </c>
      <c r="BB145" s="28" t="s">
        <v>3380</v>
      </c>
      <c r="BC145" s="28" t="s">
        <v>3381</v>
      </c>
      <c r="BD145" s="33">
        <v>10</v>
      </c>
      <c r="BE145" s="28" t="s">
        <v>138</v>
      </c>
      <c r="BF145" s="28" t="s">
        <v>138</v>
      </c>
      <c r="BG145" s="28" t="s">
        <v>138</v>
      </c>
      <c r="BH145" s="28" t="s">
        <v>3382</v>
      </c>
      <c r="BI145" s="28" t="s">
        <v>138</v>
      </c>
      <c r="BJ145" s="28" t="s">
        <v>138</v>
      </c>
      <c r="BK145" s="28" t="s">
        <v>3383</v>
      </c>
      <c r="BL145" s="28" t="s">
        <v>3384</v>
      </c>
      <c r="BM145" s="34">
        <v>38616</v>
      </c>
      <c r="BN145" s="29">
        <v>6.75</v>
      </c>
      <c r="BO145" s="28" t="s">
        <v>172</v>
      </c>
      <c r="BP145" s="29">
        <v>10.75</v>
      </c>
      <c r="BQ145" s="28" t="s">
        <v>172</v>
      </c>
      <c r="BR145" s="28" t="s">
        <v>205</v>
      </c>
      <c r="BS145" s="28" t="s">
        <v>206</v>
      </c>
      <c r="BT145" s="28" t="s">
        <v>138</v>
      </c>
      <c r="BU145" s="28" t="s">
        <v>174</v>
      </c>
      <c r="BV145" s="28" t="s">
        <v>138</v>
      </c>
      <c r="BW145" s="28" t="s">
        <v>138</v>
      </c>
      <c r="BX145" s="28" t="s">
        <v>138</v>
      </c>
      <c r="BY145" s="28" t="s">
        <v>175</v>
      </c>
      <c r="BZ145" s="34">
        <v>43251</v>
      </c>
      <c r="CA145" s="29">
        <v>6.5</v>
      </c>
      <c r="CB145" s="28" t="s">
        <v>1178</v>
      </c>
      <c r="CC145" s="29">
        <v>21.5</v>
      </c>
      <c r="CD145" s="28" t="s">
        <v>172</v>
      </c>
      <c r="CE145" s="28" t="s">
        <v>173</v>
      </c>
      <c r="CF145" s="28" t="s">
        <v>720</v>
      </c>
      <c r="CG145" s="28" t="s">
        <v>138</v>
      </c>
      <c r="CH145" s="28" t="s">
        <v>174</v>
      </c>
      <c r="CI145" s="28" t="s">
        <v>138</v>
      </c>
      <c r="CJ145" s="28" t="s">
        <v>138</v>
      </c>
      <c r="CK145" s="28" t="s">
        <v>138</v>
      </c>
      <c r="CL145" s="28" t="s">
        <v>175</v>
      </c>
      <c r="CM145" s="34">
        <v>42811</v>
      </c>
      <c r="CN145" s="29">
        <v>6.33</v>
      </c>
      <c r="CO145" s="35">
        <v>-0.32</v>
      </c>
      <c r="CP145" s="36">
        <v>18</v>
      </c>
      <c r="CQ145" s="35">
        <v>0.04</v>
      </c>
      <c r="CR145" s="35">
        <v>10.4</v>
      </c>
      <c r="CS145" s="35">
        <v>-0.71</v>
      </c>
      <c r="CT145" s="36">
        <v>18</v>
      </c>
      <c r="CU145" s="35">
        <v>0.06</v>
      </c>
      <c r="CV145" s="36">
        <v>60</v>
      </c>
      <c r="CW145" s="35">
        <v>0</v>
      </c>
      <c r="CX145" s="36">
        <v>13</v>
      </c>
      <c r="CY145" s="35">
        <v>-1.42</v>
      </c>
      <c r="CZ145" s="36">
        <v>15</v>
      </c>
      <c r="DA145" s="35">
        <v>0.06</v>
      </c>
      <c r="DB145" s="36">
        <v>65</v>
      </c>
      <c r="DC145" s="37">
        <v>6.11</v>
      </c>
      <c r="DD145" s="36">
        <v>85</v>
      </c>
      <c r="DE145" s="37">
        <v>0.01</v>
      </c>
      <c r="DF145" s="35">
        <v>0.12</v>
      </c>
      <c r="DG145" s="37">
        <v>4.6900000000000004</v>
      </c>
      <c r="DH145" s="36">
        <v>81</v>
      </c>
      <c r="DI145" s="37">
        <v>7.54</v>
      </c>
      <c r="DJ145" s="36">
        <v>82</v>
      </c>
      <c r="DK145" s="37">
        <v>0.96</v>
      </c>
      <c r="DL145" s="36">
        <v>49</v>
      </c>
      <c r="DM145" s="37">
        <v>8.41</v>
      </c>
      <c r="DN145" s="36">
        <v>87</v>
      </c>
      <c r="DO145" s="37">
        <v>7.54</v>
      </c>
      <c r="DP145" s="36">
        <v>84</v>
      </c>
      <c r="DQ145" s="36">
        <v>312</v>
      </c>
      <c r="DR145" s="38">
        <v>51</v>
      </c>
      <c r="DS145" s="35">
        <v>19.54</v>
      </c>
      <c r="DT145" s="36">
        <v>243</v>
      </c>
      <c r="DU145" s="38">
        <v>1</v>
      </c>
      <c r="DV145" s="35">
        <v>0.41</v>
      </c>
      <c r="DW145" s="36">
        <v>2699</v>
      </c>
      <c r="DX145" s="39">
        <v>-1</v>
      </c>
      <c r="DY145" s="35">
        <v>-0.04</v>
      </c>
      <c r="DZ145" s="28" t="s">
        <v>178</v>
      </c>
      <c r="EA145" s="34">
        <v>43622</v>
      </c>
      <c r="EB145" s="29">
        <v>21.5</v>
      </c>
      <c r="EC145" s="34">
        <v>43251</v>
      </c>
      <c r="ED145" s="28" t="s">
        <v>173</v>
      </c>
      <c r="EE145" s="40" t="str">
        <f>HYPERLINK("https://my.pitchbook.com?c=51585-31", "View company online")</f>
        <v>View company online</v>
      </c>
    </row>
    <row r="146" spans="1:135">
      <c r="A146" s="15" t="s">
        <v>3385</v>
      </c>
      <c r="B146" s="15" t="s">
        <v>3386</v>
      </c>
      <c r="C146" s="15" t="s">
        <v>138</v>
      </c>
      <c r="D146" s="15" t="s">
        <v>138</v>
      </c>
      <c r="E146" s="15" t="s">
        <v>138</v>
      </c>
      <c r="F146" s="15" t="s">
        <v>3385</v>
      </c>
      <c r="G146" s="15" t="s">
        <v>3387</v>
      </c>
      <c r="H146" s="15" t="s">
        <v>322</v>
      </c>
      <c r="I146" s="15" t="s">
        <v>323</v>
      </c>
      <c r="J146" s="15" t="s">
        <v>413</v>
      </c>
      <c r="K146" s="15" t="s">
        <v>3388</v>
      </c>
      <c r="L146" s="15" t="s">
        <v>2641</v>
      </c>
      <c r="M146" s="15" t="s">
        <v>3389</v>
      </c>
      <c r="N146" s="15" t="s">
        <v>147</v>
      </c>
      <c r="O146" s="17">
        <v>1.35</v>
      </c>
      <c r="P146" s="15" t="s">
        <v>148</v>
      </c>
      <c r="Q146" s="15" t="s">
        <v>149</v>
      </c>
      <c r="R146" s="15" t="s">
        <v>174</v>
      </c>
      <c r="S146" s="15" t="s">
        <v>3390</v>
      </c>
      <c r="T146" s="18" t="s">
        <v>138</v>
      </c>
      <c r="U146" s="15" t="s">
        <v>138</v>
      </c>
      <c r="V146" s="15" t="s">
        <v>138</v>
      </c>
      <c r="W146" s="15" t="s">
        <v>138</v>
      </c>
      <c r="X146" s="19">
        <v>2016</v>
      </c>
      <c r="Y146" s="15" t="s">
        <v>138</v>
      </c>
      <c r="Z146" s="15" t="s">
        <v>138</v>
      </c>
      <c r="AA146" s="15" t="s">
        <v>138</v>
      </c>
      <c r="AB146" s="20" t="s">
        <v>138</v>
      </c>
      <c r="AC146" s="20" t="s">
        <v>138</v>
      </c>
      <c r="AD146" s="20" t="s">
        <v>138</v>
      </c>
      <c r="AE146" s="20" t="s">
        <v>138</v>
      </c>
      <c r="AF146" s="20" t="s">
        <v>138</v>
      </c>
      <c r="AG146" s="15" t="s">
        <v>138</v>
      </c>
      <c r="AH146" s="20" t="s">
        <v>138</v>
      </c>
      <c r="AI146" s="20" t="s">
        <v>138</v>
      </c>
      <c r="AJ146" s="20" t="s">
        <v>138</v>
      </c>
      <c r="AK146" s="15" t="s">
        <v>3391</v>
      </c>
      <c r="AL146" s="15" t="s">
        <v>3392</v>
      </c>
      <c r="AM146" s="15" t="s">
        <v>304</v>
      </c>
      <c r="AN146" s="15" t="s">
        <v>3393</v>
      </c>
      <c r="AO146" s="15" t="s">
        <v>138</v>
      </c>
      <c r="AP146" s="15" t="s">
        <v>423</v>
      </c>
      <c r="AQ146" s="15" t="s">
        <v>138</v>
      </c>
      <c r="AR146" s="15" t="s">
        <v>138</v>
      </c>
      <c r="AS146" s="15" t="s">
        <v>426</v>
      </c>
      <c r="AT146" s="15" t="s">
        <v>426</v>
      </c>
      <c r="AU146" s="15" t="s">
        <v>3394</v>
      </c>
      <c r="AV146" s="15" t="s">
        <v>162</v>
      </c>
      <c r="AW146" s="15" t="s">
        <v>138</v>
      </c>
      <c r="AX146" s="15" t="s">
        <v>138</v>
      </c>
      <c r="AY146" s="15" t="s">
        <v>3395</v>
      </c>
      <c r="AZ146" s="15" t="s">
        <v>164</v>
      </c>
      <c r="BA146" s="15" t="s">
        <v>165</v>
      </c>
      <c r="BB146" s="15" t="s">
        <v>3396</v>
      </c>
      <c r="BC146" s="15" t="s">
        <v>3397</v>
      </c>
      <c r="BD146" s="21">
        <v>14</v>
      </c>
      <c r="BE146" s="15" t="s">
        <v>138</v>
      </c>
      <c r="BF146" s="15" t="s">
        <v>138</v>
      </c>
      <c r="BG146" s="15" t="s">
        <v>138</v>
      </c>
      <c r="BH146" s="15" t="s">
        <v>3398</v>
      </c>
      <c r="BI146" s="15" t="s">
        <v>138</v>
      </c>
      <c r="BJ146" s="15" t="s">
        <v>138</v>
      </c>
      <c r="BK146" s="15" t="s">
        <v>138</v>
      </c>
      <c r="BL146" s="15" t="s">
        <v>138</v>
      </c>
      <c r="BM146" s="22">
        <v>42464</v>
      </c>
      <c r="BN146" s="17">
        <v>0.03</v>
      </c>
      <c r="BO146" s="15" t="s">
        <v>172</v>
      </c>
      <c r="BP146" s="17" t="s">
        <v>138</v>
      </c>
      <c r="BQ146" s="15" t="s">
        <v>138</v>
      </c>
      <c r="BR146" s="15" t="s">
        <v>316</v>
      </c>
      <c r="BS146" s="15" t="s">
        <v>138</v>
      </c>
      <c r="BT146" s="15" t="s">
        <v>138</v>
      </c>
      <c r="BU146" s="15" t="s">
        <v>177</v>
      </c>
      <c r="BV146" s="15" t="s">
        <v>138</v>
      </c>
      <c r="BW146" s="15" t="s">
        <v>138</v>
      </c>
      <c r="BX146" s="15" t="s">
        <v>138</v>
      </c>
      <c r="BY146" s="15" t="s">
        <v>175</v>
      </c>
      <c r="BZ146" s="22">
        <v>43101</v>
      </c>
      <c r="CA146" s="17">
        <v>0.23</v>
      </c>
      <c r="CB146" s="15" t="s">
        <v>172</v>
      </c>
      <c r="CC146" s="17" t="s">
        <v>138</v>
      </c>
      <c r="CD146" s="15" t="s">
        <v>138</v>
      </c>
      <c r="CE146" s="15" t="s">
        <v>176</v>
      </c>
      <c r="CF146" s="15" t="s">
        <v>138</v>
      </c>
      <c r="CG146" s="15" t="s">
        <v>138</v>
      </c>
      <c r="CH146" s="15" t="s">
        <v>177</v>
      </c>
      <c r="CI146" s="15" t="s">
        <v>138</v>
      </c>
      <c r="CJ146" s="15" t="s">
        <v>138</v>
      </c>
      <c r="CK146" s="15" t="s">
        <v>138</v>
      </c>
      <c r="CL146" s="15" t="s">
        <v>175</v>
      </c>
      <c r="CM146" s="22" t="s">
        <v>138</v>
      </c>
      <c r="CN146" s="17" t="s">
        <v>138</v>
      </c>
      <c r="CO146" s="23">
        <v>0.23</v>
      </c>
      <c r="CP146" s="24">
        <v>93</v>
      </c>
      <c r="CQ146" s="23">
        <v>0</v>
      </c>
      <c r="CR146" s="23">
        <v>-0.62</v>
      </c>
      <c r="CS146" s="23">
        <v>0</v>
      </c>
      <c r="CT146" s="24">
        <v>23</v>
      </c>
      <c r="CU146" s="23">
        <v>0.47</v>
      </c>
      <c r="CV146" s="24">
        <v>93</v>
      </c>
      <c r="CW146" s="23">
        <v>0</v>
      </c>
      <c r="CX146" s="24">
        <v>13</v>
      </c>
      <c r="CY146" s="23">
        <v>0</v>
      </c>
      <c r="CZ146" s="24">
        <v>25</v>
      </c>
      <c r="DA146" s="23">
        <v>0.47</v>
      </c>
      <c r="DB146" s="24">
        <v>93</v>
      </c>
      <c r="DC146" s="25">
        <v>0.61</v>
      </c>
      <c r="DD146" s="24">
        <v>39</v>
      </c>
      <c r="DE146" s="25">
        <v>0</v>
      </c>
      <c r="DF146" s="23">
        <v>0.75</v>
      </c>
      <c r="DG146" s="25">
        <v>0.75</v>
      </c>
      <c r="DH146" s="24">
        <v>44</v>
      </c>
      <c r="DI146" s="25">
        <v>0.46</v>
      </c>
      <c r="DJ146" s="24">
        <v>35</v>
      </c>
      <c r="DK146" s="25">
        <v>0.71</v>
      </c>
      <c r="DL146" s="24">
        <v>43</v>
      </c>
      <c r="DM146" s="25">
        <v>0.79</v>
      </c>
      <c r="DN146" s="24">
        <v>45</v>
      </c>
      <c r="DO146" s="25">
        <v>0.46</v>
      </c>
      <c r="DP146" s="24">
        <v>37</v>
      </c>
      <c r="DQ146" s="24">
        <v>230</v>
      </c>
      <c r="DR146" s="26">
        <v>35</v>
      </c>
      <c r="DS146" s="23">
        <v>17.95</v>
      </c>
      <c r="DT146" s="24">
        <v>22</v>
      </c>
      <c r="DU146" s="26">
        <v>2</v>
      </c>
      <c r="DV146" s="23">
        <v>10</v>
      </c>
      <c r="DW146" s="24">
        <v>165</v>
      </c>
      <c r="DX146" s="27">
        <v>1</v>
      </c>
      <c r="DY146" s="23">
        <v>0.61</v>
      </c>
      <c r="DZ146" s="15" t="s">
        <v>178</v>
      </c>
      <c r="EA146" s="22">
        <v>43363</v>
      </c>
      <c r="EB146" s="17">
        <v>6.25</v>
      </c>
      <c r="EC146" s="22">
        <v>43046</v>
      </c>
      <c r="ED146" s="15" t="s">
        <v>234</v>
      </c>
      <c r="EE146" s="14" t="str">
        <f>HYPERLINK("https://my.pitchbook.com?c=169646-05", "View company online")</f>
        <v>View company online</v>
      </c>
    </row>
    <row r="147" spans="1:135">
      <c r="A147" s="28" t="s">
        <v>3399</v>
      </c>
      <c r="B147" s="28" t="s">
        <v>3400</v>
      </c>
      <c r="C147" s="28" t="s">
        <v>138</v>
      </c>
      <c r="D147" s="28" t="s">
        <v>138</v>
      </c>
      <c r="E147" s="28" t="s">
        <v>3401</v>
      </c>
      <c r="F147" s="28" t="s">
        <v>3399</v>
      </c>
      <c r="G147" s="28" t="s">
        <v>3402</v>
      </c>
      <c r="H147" s="28" t="s">
        <v>322</v>
      </c>
      <c r="I147" s="28" t="s">
        <v>323</v>
      </c>
      <c r="J147" s="28" t="s">
        <v>954</v>
      </c>
      <c r="K147" s="28" t="s">
        <v>3403</v>
      </c>
      <c r="L147" s="28" t="s">
        <v>2274</v>
      </c>
      <c r="M147" s="28" t="s">
        <v>3404</v>
      </c>
      <c r="N147" s="28" t="s">
        <v>147</v>
      </c>
      <c r="O147" s="29">
        <v>14.12</v>
      </c>
      <c r="P147" s="28" t="s">
        <v>148</v>
      </c>
      <c r="Q147" s="28" t="s">
        <v>149</v>
      </c>
      <c r="R147" s="28" t="s">
        <v>174</v>
      </c>
      <c r="S147" s="28" t="s">
        <v>3405</v>
      </c>
      <c r="T147" s="30">
        <v>11</v>
      </c>
      <c r="U147" s="28" t="s">
        <v>3406</v>
      </c>
      <c r="V147" s="28" t="s">
        <v>138</v>
      </c>
      <c r="W147" s="28" t="s">
        <v>138</v>
      </c>
      <c r="X147" s="31">
        <v>2015</v>
      </c>
      <c r="Y147" s="28" t="s">
        <v>138</v>
      </c>
      <c r="Z147" s="28" t="s">
        <v>138</v>
      </c>
      <c r="AA147" s="28" t="s">
        <v>138</v>
      </c>
      <c r="AB147" s="32" t="s">
        <v>138</v>
      </c>
      <c r="AC147" s="32" t="s">
        <v>138</v>
      </c>
      <c r="AD147" s="32" t="s">
        <v>138</v>
      </c>
      <c r="AE147" s="32" t="s">
        <v>138</v>
      </c>
      <c r="AF147" s="32" t="s">
        <v>138</v>
      </c>
      <c r="AG147" s="28" t="s">
        <v>138</v>
      </c>
      <c r="AH147" s="32" t="s">
        <v>138</v>
      </c>
      <c r="AI147" s="32" t="s">
        <v>138</v>
      </c>
      <c r="AJ147" s="32" t="s">
        <v>138</v>
      </c>
      <c r="AK147" s="28" t="s">
        <v>3407</v>
      </c>
      <c r="AL147" s="28" t="s">
        <v>3408</v>
      </c>
      <c r="AM147" s="28" t="s">
        <v>221</v>
      </c>
      <c r="AN147" s="28" t="s">
        <v>3409</v>
      </c>
      <c r="AO147" s="28" t="s">
        <v>138</v>
      </c>
      <c r="AP147" s="28" t="s">
        <v>423</v>
      </c>
      <c r="AQ147" s="28" t="s">
        <v>3410</v>
      </c>
      <c r="AR147" s="28" t="s">
        <v>3062</v>
      </c>
      <c r="AS147" s="28" t="s">
        <v>426</v>
      </c>
      <c r="AT147" s="28" t="s">
        <v>426</v>
      </c>
      <c r="AU147" s="28" t="s">
        <v>1804</v>
      </c>
      <c r="AV147" s="28" t="s">
        <v>162</v>
      </c>
      <c r="AW147" s="28" t="s">
        <v>3411</v>
      </c>
      <c r="AX147" s="28" t="s">
        <v>138</v>
      </c>
      <c r="AY147" s="28" t="s">
        <v>138</v>
      </c>
      <c r="AZ147" s="28" t="s">
        <v>164</v>
      </c>
      <c r="BA147" s="28" t="s">
        <v>165</v>
      </c>
      <c r="BB147" s="28" t="s">
        <v>3412</v>
      </c>
      <c r="BC147" s="28" t="s">
        <v>3413</v>
      </c>
      <c r="BD147" s="33">
        <v>9</v>
      </c>
      <c r="BE147" s="28" t="s">
        <v>138</v>
      </c>
      <c r="BF147" s="28" t="s">
        <v>138</v>
      </c>
      <c r="BG147" s="28" t="s">
        <v>138</v>
      </c>
      <c r="BH147" s="28" t="s">
        <v>3414</v>
      </c>
      <c r="BI147" s="28" t="s">
        <v>138</v>
      </c>
      <c r="BJ147" s="28" t="s">
        <v>138</v>
      </c>
      <c r="BK147" s="28" t="s">
        <v>1854</v>
      </c>
      <c r="BL147" s="28" t="s">
        <v>1854</v>
      </c>
      <c r="BM147" s="34">
        <v>43056</v>
      </c>
      <c r="BN147" s="29">
        <v>7.72</v>
      </c>
      <c r="BO147" s="28" t="s">
        <v>172</v>
      </c>
      <c r="BP147" s="29">
        <v>37.72</v>
      </c>
      <c r="BQ147" s="28" t="s">
        <v>1178</v>
      </c>
      <c r="BR147" s="28" t="s">
        <v>205</v>
      </c>
      <c r="BS147" s="28" t="s">
        <v>206</v>
      </c>
      <c r="BT147" s="28" t="s">
        <v>138</v>
      </c>
      <c r="BU147" s="28" t="s">
        <v>174</v>
      </c>
      <c r="BV147" s="28" t="s">
        <v>138</v>
      </c>
      <c r="BW147" s="28" t="s">
        <v>138</v>
      </c>
      <c r="BX147" s="28" t="s">
        <v>138</v>
      </c>
      <c r="BY147" s="28" t="s">
        <v>175</v>
      </c>
      <c r="BZ147" s="34">
        <v>43231</v>
      </c>
      <c r="CA147" s="29">
        <v>6.4</v>
      </c>
      <c r="CB147" s="28" t="s">
        <v>172</v>
      </c>
      <c r="CC147" s="29">
        <v>60.4</v>
      </c>
      <c r="CD147" s="28" t="s">
        <v>172</v>
      </c>
      <c r="CE147" s="28" t="s">
        <v>205</v>
      </c>
      <c r="CF147" s="28" t="s">
        <v>138</v>
      </c>
      <c r="CG147" s="28" t="s">
        <v>138</v>
      </c>
      <c r="CH147" s="28" t="s">
        <v>174</v>
      </c>
      <c r="CI147" s="28" t="s">
        <v>138</v>
      </c>
      <c r="CJ147" s="28" t="s">
        <v>138</v>
      </c>
      <c r="CK147" s="28" t="s">
        <v>138</v>
      </c>
      <c r="CL147" s="28" t="s">
        <v>175</v>
      </c>
      <c r="CM147" s="34" t="s">
        <v>138</v>
      </c>
      <c r="CN147" s="29" t="s">
        <v>138</v>
      </c>
      <c r="CO147" s="35">
        <v>0.53</v>
      </c>
      <c r="CP147" s="36">
        <v>95</v>
      </c>
      <c r="CQ147" s="35">
        <v>-0.06</v>
      </c>
      <c r="CR147" s="35">
        <v>-10.19</v>
      </c>
      <c r="CS147" s="35">
        <v>1.08</v>
      </c>
      <c r="CT147" s="36">
        <v>97</v>
      </c>
      <c r="CU147" s="35">
        <v>0.53</v>
      </c>
      <c r="CV147" s="36">
        <v>94</v>
      </c>
      <c r="CW147" s="35">
        <v>2.83</v>
      </c>
      <c r="CX147" s="36">
        <v>91</v>
      </c>
      <c r="CY147" s="35">
        <v>-0.68</v>
      </c>
      <c r="CZ147" s="36">
        <v>21</v>
      </c>
      <c r="DA147" s="35">
        <v>0.53</v>
      </c>
      <c r="DB147" s="36">
        <v>94</v>
      </c>
      <c r="DC147" s="37">
        <v>5.1100000000000003</v>
      </c>
      <c r="DD147" s="36">
        <v>83</v>
      </c>
      <c r="DE147" s="37">
        <v>-0.28000000000000003</v>
      </c>
      <c r="DF147" s="35">
        <v>-5.18</v>
      </c>
      <c r="DG147" s="37">
        <v>11.22</v>
      </c>
      <c r="DH147" s="36">
        <v>91</v>
      </c>
      <c r="DI147" s="37">
        <v>3.07</v>
      </c>
      <c r="DJ147" s="36">
        <v>70</v>
      </c>
      <c r="DK147" s="37">
        <v>14.02</v>
      </c>
      <c r="DL147" s="36">
        <v>89</v>
      </c>
      <c r="DM147" s="37">
        <v>8.41</v>
      </c>
      <c r="DN147" s="36">
        <v>87</v>
      </c>
      <c r="DO147" s="37">
        <v>3.07</v>
      </c>
      <c r="DP147" s="36">
        <v>71</v>
      </c>
      <c r="DQ147" s="36">
        <v>4724</v>
      </c>
      <c r="DR147" s="38">
        <v>255</v>
      </c>
      <c r="DS147" s="35">
        <v>5.71</v>
      </c>
      <c r="DT147" s="36">
        <v>244</v>
      </c>
      <c r="DU147" s="38">
        <v>0</v>
      </c>
      <c r="DV147" s="35">
        <v>0</v>
      </c>
      <c r="DW147" s="36">
        <v>1095</v>
      </c>
      <c r="DX147" s="39">
        <v>2</v>
      </c>
      <c r="DY147" s="35">
        <v>0.18</v>
      </c>
      <c r="DZ147" s="28" t="s">
        <v>178</v>
      </c>
      <c r="EA147" s="34">
        <v>43397</v>
      </c>
      <c r="EB147" s="29">
        <v>60.4</v>
      </c>
      <c r="EC147" s="34">
        <v>43231</v>
      </c>
      <c r="ED147" s="28" t="s">
        <v>205</v>
      </c>
      <c r="EE147" s="40" t="str">
        <f>HYPERLINK("https://my.pitchbook.com?c=111589-39", "View company online")</f>
        <v>View company online</v>
      </c>
    </row>
    <row r="148" spans="1:135">
      <c r="A148" s="15" t="s">
        <v>3415</v>
      </c>
      <c r="B148" s="15" t="s">
        <v>3416</v>
      </c>
      <c r="C148" s="15" t="s">
        <v>138</v>
      </c>
      <c r="D148" s="15" t="s">
        <v>138</v>
      </c>
      <c r="E148" s="15" t="s">
        <v>3417</v>
      </c>
      <c r="F148" s="15" t="s">
        <v>3415</v>
      </c>
      <c r="G148" s="15" t="s">
        <v>3418</v>
      </c>
      <c r="H148" s="15" t="s">
        <v>322</v>
      </c>
      <c r="I148" s="15" t="s">
        <v>323</v>
      </c>
      <c r="J148" s="15" t="s">
        <v>413</v>
      </c>
      <c r="K148" s="15" t="s">
        <v>3419</v>
      </c>
      <c r="L148" s="15" t="s">
        <v>855</v>
      </c>
      <c r="M148" s="15" t="s">
        <v>3420</v>
      </c>
      <c r="N148" s="15" t="s">
        <v>147</v>
      </c>
      <c r="O148" s="17" t="s">
        <v>138</v>
      </c>
      <c r="P148" s="15" t="s">
        <v>148</v>
      </c>
      <c r="Q148" s="15" t="s">
        <v>149</v>
      </c>
      <c r="R148" s="15" t="s">
        <v>174</v>
      </c>
      <c r="S148" s="15" t="s">
        <v>3421</v>
      </c>
      <c r="T148" s="18" t="s">
        <v>138</v>
      </c>
      <c r="U148" s="15" t="s">
        <v>138</v>
      </c>
      <c r="V148" s="15" t="s">
        <v>138</v>
      </c>
      <c r="W148" s="15" t="s">
        <v>138</v>
      </c>
      <c r="X148" s="19">
        <v>2008</v>
      </c>
      <c r="Y148" s="15" t="s">
        <v>138</v>
      </c>
      <c r="Z148" s="15" t="s">
        <v>138</v>
      </c>
      <c r="AA148" s="15" t="s">
        <v>138</v>
      </c>
      <c r="AB148" s="20">
        <v>3.28</v>
      </c>
      <c r="AC148" s="20" t="s">
        <v>138</v>
      </c>
      <c r="AD148" s="20" t="s">
        <v>138</v>
      </c>
      <c r="AE148" s="20" t="s">
        <v>138</v>
      </c>
      <c r="AF148" s="20" t="s">
        <v>138</v>
      </c>
      <c r="AG148" s="15" t="s">
        <v>563</v>
      </c>
      <c r="AH148" s="20" t="s">
        <v>138</v>
      </c>
      <c r="AI148" s="20" t="s">
        <v>138</v>
      </c>
      <c r="AJ148" s="20" t="s">
        <v>138</v>
      </c>
      <c r="AK148" s="15" t="s">
        <v>3422</v>
      </c>
      <c r="AL148" s="15" t="s">
        <v>3423</v>
      </c>
      <c r="AM148" s="15" t="s">
        <v>566</v>
      </c>
      <c r="AN148" s="15" t="s">
        <v>3424</v>
      </c>
      <c r="AO148" s="15" t="s">
        <v>3425</v>
      </c>
      <c r="AP148" s="15" t="s">
        <v>3426</v>
      </c>
      <c r="AQ148" s="15" t="s">
        <v>3427</v>
      </c>
      <c r="AR148" s="15" t="s">
        <v>3428</v>
      </c>
      <c r="AS148" s="15" t="s">
        <v>3429</v>
      </c>
      <c r="AT148" s="15" t="s">
        <v>3430</v>
      </c>
      <c r="AU148" s="15" t="s">
        <v>3431</v>
      </c>
      <c r="AV148" s="15" t="s">
        <v>2333</v>
      </c>
      <c r="AW148" s="15" t="s">
        <v>3425</v>
      </c>
      <c r="AX148" s="15" t="s">
        <v>138</v>
      </c>
      <c r="AY148" s="15" t="s">
        <v>3432</v>
      </c>
      <c r="AZ148" s="15" t="s">
        <v>452</v>
      </c>
      <c r="BA148" s="15" t="s">
        <v>2335</v>
      </c>
      <c r="BB148" s="15" t="s">
        <v>3433</v>
      </c>
      <c r="BC148" s="15" t="s">
        <v>3434</v>
      </c>
      <c r="BD148" s="21">
        <v>4</v>
      </c>
      <c r="BE148" s="15" t="s">
        <v>138</v>
      </c>
      <c r="BF148" s="15" t="s">
        <v>138</v>
      </c>
      <c r="BG148" s="15" t="s">
        <v>138</v>
      </c>
      <c r="BH148" s="15" t="s">
        <v>3435</v>
      </c>
      <c r="BI148" s="15" t="s">
        <v>138</v>
      </c>
      <c r="BJ148" s="15" t="s">
        <v>138</v>
      </c>
      <c r="BK148" s="15" t="s">
        <v>138</v>
      </c>
      <c r="BL148" s="15" t="s">
        <v>138</v>
      </c>
      <c r="BM148" s="22" t="s">
        <v>138</v>
      </c>
      <c r="BN148" s="17" t="s">
        <v>138</v>
      </c>
      <c r="BO148" s="15" t="s">
        <v>138</v>
      </c>
      <c r="BP148" s="17" t="s">
        <v>138</v>
      </c>
      <c r="BQ148" s="15" t="s">
        <v>138</v>
      </c>
      <c r="BR148" s="15" t="s">
        <v>316</v>
      </c>
      <c r="BS148" s="15" t="s">
        <v>138</v>
      </c>
      <c r="BT148" s="15" t="s">
        <v>138</v>
      </c>
      <c r="BU148" s="15" t="s">
        <v>177</v>
      </c>
      <c r="BV148" s="15" t="s">
        <v>138</v>
      </c>
      <c r="BW148" s="15" t="s">
        <v>138</v>
      </c>
      <c r="BX148" s="15" t="s">
        <v>138</v>
      </c>
      <c r="BY148" s="15" t="s">
        <v>175</v>
      </c>
      <c r="BZ148" s="22">
        <v>42552</v>
      </c>
      <c r="CA148" s="17" t="s">
        <v>138</v>
      </c>
      <c r="CB148" s="15" t="s">
        <v>138</v>
      </c>
      <c r="CC148" s="17" t="s">
        <v>138</v>
      </c>
      <c r="CD148" s="15" t="s">
        <v>138</v>
      </c>
      <c r="CE148" s="15" t="s">
        <v>173</v>
      </c>
      <c r="CF148" s="15" t="s">
        <v>138</v>
      </c>
      <c r="CG148" s="15" t="s">
        <v>138</v>
      </c>
      <c r="CH148" s="15" t="s">
        <v>174</v>
      </c>
      <c r="CI148" s="15" t="s">
        <v>138</v>
      </c>
      <c r="CJ148" s="15" t="s">
        <v>138</v>
      </c>
      <c r="CK148" s="15" t="s">
        <v>138</v>
      </c>
      <c r="CL148" s="15" t="s">
        <v>175</v>
      </c>
      <c r="CM148" s="22" t="s">
        <v>138</v>
      </c>
      <c r="CN148" s="17" t="s">
        <v>138</v>
      </c>
      <c r="CO148" s="23">
        <v>0</v>
      </c>
      <c r="CP148" s="24">
        <v>26</v>
      </c>
      <c r="CQ148" s="23">
        <v>0</v>
      </c>
      <c r="CR148" s="23">
        <v>0</v>
      </c>
      <c r="CS148" s="23">
        <v>0</v>
      </c>
      <c r="CT148" s="24">
        <v>23</v>
      </c>
      <c r="CU148" s="23">
        <v>0</v>
      </c>
      <c r="CV148" s="24">
        <v>22</v>
      </c>
      <c r="CW148" s="23" t="s">
        <v>138</v>
      </c>
      <c r="CX148" s="24" t="s">
        <v>138</v>
      </c>
      <c r="CY148" s="23">
        <v>0</v>
      </c>
      <c r="CZ148" s="24">
        <v>25</v>
      </c>
      <c r="DA148" s="23">
        <v>0</v>
      </c>
      <c r="DB148" s="24">
        <v>22</v>
      </c>
      <c r="DC148" s="25">
        <v>0.81</v>
      </c>
      <c r="DD148" s="24">
        <v>46</v>
      </c>
      <c r="DE148" s="25">
        <v>0</v>
      </c>
      <c r="DF148" s="23">
        <v>0.21</v>
      </c>
      <c r="DG148" s="25">
        <v>1.52</v>
      </c>
      <c r="DH148" s="24">
        <v>61</v>
      </c>
      <c r="DI148" s="25">
        <v>0.11</v>
      </c>
      <c r="DJ148" s="24">
        <v>15</v>
      </c>
      <c r="DK148" s="25" t="s">
        <v>138</v>
      </c>
      <c r="DL148" s="24" t="s">
        <v>138</v>
      </c>
      <c r="DM148" s="25">
        <v>1.52</v>
      </c>
      <c r="DN148" s="24">
        <v>60</v>
      </c>
      <c r="DO148" s="25">
        <v>0.11</v>
      </c>
      <c r="DP148" s="24">
        <v>17</v>
      </c>
      <c r="DQ148" s="24" t="s">
        <v>138</v>
      </c>
      <c r="DR148" s="26" t="s">
        <v>138</v>
      </c>
      <c r="DS148" s="23" t="s">
        <v>138</v>
      </c>
      <c r="DT148" s="24">
        <v>44</v>
      </c>
      <c r="DU148" s="26">
        <v>0</v>
      </c>
      <c r="DV148" s="23">
        <v>0</v>
      </c>
      <c r="DW148" s="24">
        <v>37</v>
      </c>
      <c r="DX148" s="27">
        <v>0</v>
      </c>
      <c r="DY148" s="23">
        <v>0</v>
      </c>
      <c r="DZ148" s="15" t="s">
        <v>178</v>
      </c>
      <c r="EA148" s="22">
        <v>43622</v>
      </c>
      <c r="EB148" s="17" t="s">
        <v>138</v>
      </c>
      <c r="EC148" s="22" t="s">
        <v>138</v>
      </c>
      <c r="ED148" s="15" t="s">
        <v>138</v>
      </c>
      <c r="EE148" s="14" t="str">
        <f>HYPERLINK("https://my.pitchbook.com?c=64318-42", "View company online")</f>
        <v>View company online</v>
      </c>
    </row>
    <row r="149" spans="1:135">
      <c r="A149" s="28" t="s">
        <v>3436</v>
      </c>
      <c r="B149" s="28" t="s">
        <v>3437</v>
      </c>
      <c r="C149" s="28" t="s">
        <v>3438</v>
      </c>
      <c r="D149" s="28" t="s">
        <v>138</v>
      </c>
      <c r="E149" s="28" t="s">
        <v>3439</v>
      </c>
      <c r="F149" s="28" t="s">
        <v>3436</v>
      </c>
      <c r="G149" s="28" t="s">
        <v>3440</v>
      </c>
      <c r="H149" s="28" t="s">
        <v>322</v>
      </c>
      <c r="I149" s="28" t="s">
        <v>323</v>
      </c>
      <c r="J149" s="28" t="s">
        <v>539</v>
      </c>
      <c r="K149" s="28" t="s">
        <v>3441</v>
      </c>
      <c r="L149" s="28" t="s">
        <v>3442</v>
      </c>
      <c r="M149" s="28" t="s">
        <v>3443</v>
      </c>
      <c r="N149" s="28" t="s">
        <v>147</v>
      </c>
      <c r="O149" s="29">
        <v>7.67</v>
      </c>
      <c r="P149" s="28" t="s">
        <v>148</v>
      </c>
      <c r="Q149" s="28" t="s">
        <v>149</v>
      </c>
      <c r="R149" s="28" t="s">
        <v>174</v>
      </c>
      <c r="S149" s="28" t="s">
        <v>3444</v>
      </c>
      <c r="T149" s="30">
        <v>8</v>
      </c>
      <c r="U149" s="28" t="s">
        <v>3445</v>
      </c>
      <c r="V149" s="28" t="s">
        <v>138</v>
      </c>
      <c r="W149" s="28" t="s">
        <v>138</v>
      </c>
      <c r="X149" s="31">
        <v>2012</v>
      </c>
      <c r="Y149" s="28" t="s">
        <v>138</v>
      </c>
      <c r="Z149" s="28" t="s">
        <v>138</v>
      </c>
      <c r="AA149" s="28" t="s">
        <v>138</v>
      </c>
      <c r="AB149" s="32">
        <v>0.5</v>
      </c>
      <c r="AC149" s="32" t="s">
        <v>138</v>
      </c>
      <c r="AD149" s="32" t="s">
        <v>138</v>
      </c>
      <c r="AE149" s="32" t="s">
        <v>138</v>
      </c>
      <c r="AF149" s="32" t="s">
        <v>138</v>
      </c>
      <c r="AG149" s="28" t="s">
        <v>815</v>
      </c>
      <c r="AH149" s="32" t="s">
        <v>138</v>
      </c>
      <c r="AI149" s="32" t="s">
        <v>138</v>
      </c>
      <c r="AJ149" s="32" t="s">
        <v>138</v>
      </c>
      <c r="AK149" s="28" t="s">
        <v>3446</v>
      </c>
      <c r="AL149" s="28" t="s">
        <v>3447</v>
      </c>
      <c r="AM149" s="28" t="s">
        <v>986</v>
      </c>
      <c r="AN149" s="28" t="s">
        <v>3448</v>
      </c>
      <c r="AO149" s="28" t="s">
        <v>138</v>
      </c>
      <c r="AP149" s="28" t="s">
        <v>3449</v>
      </c>
      <c r="AQ149" s="28" t="s">
        <v>3450</v>
      </c>
      <c r="AR149" s="28" t="s">
        <v>3451</v>
      </c>
      <c r="AS149" s="28" t="s">
        <v>3452</v>
      </c>
      <c r="AT149" s="28" t="s">
        <v>3453</v>
      </c>
      <c r="AU149" s="28" t="s">
        <v>3454</v>
      </c>
      <c r="AV149" s="28" t="s">
        <v>2333</v>
      </c>
      <c r="AW149" s="28" t="s">
        <v>3455</v>
      </c>
      <c r="AX149" s="28" t="s">
        <v>138</v>
      </c>
      <c r="AY149" s="28" t="s">
        <v>3456</v>
      </c>
      <c r="AZ149" s="28" t="s">
        <v>452</v>
      </c>
      <c r="BA149" s="28" t="s">
        <v>2335</v>
      </c>
      <c r="BB149" s="28" t="s">
        <v>3457</v>
      </c>
      <c r="BC149" s="28" t="s">
        <v>3458</v>
      </c>
      <c r="BD149" s="33">
        <v>11</v>
      </c>
      <c r="BE149" s="28" t="s">
        <v>138</v>
      </c>
      <c r="BF149" s="28" t="s">
        <v>138</v>
      </c>
      <c r="BG149" s="28" t="s">
        <v>138</v>
      </c>
      <c r="BH149" s="28" t="s">
        <v>3459</v>
      </c>
      <c r="BI149" s="28" t="s">
        <v>138</v>
      </c>
      <c r="BJ149" s="28" t="s">
        <v>138</v>
      </c>
      <c r="BK149" s="28" t="s">
        <v>3460</v>
      </c>
      <c r="BL149" s="28" t="s">
        <v>290</v>
      </c>
      <c r="BM149" s="34" t="s">
        <v>138</v>
      </c>
      <c r="BN149" s="29" t="s">
        <v>138</v>
      </c>
      <c r="BO149" s="28" t="s">
        <v>138</v>
      </c>
      <c r="BP149" s="29" t="s">
        <v>138</v>
      </c>
      <c r="BQ149" s="28" t="s">
        <v>138</v>
      </c>
      <c r="BR149" s="28" t="s">
        <v>316</v>
      </c>
      <c r="BS149" s="28" t="s">
        <v>138</v>
      </c>
      <c r="BT149" s="28" t="s">
        <v>138</v>
      </c>
      <c r="BU149" s="28" t="s">
        <v>177</v>
      </c>
      <c r="BV149" s="28" t="s">
        <v>138</v>
      </c>
      <c r="BW149" s="28" t="s">
        <v>138</v>
      </c>
      <c r="BX149" s="28" t="s">
        <v>138</v>
      </c>
      <c r="BY149" s="28" t="s">
        <v>175</v>
      </c>
      <c r="BZ149" s="34">
        <v>42044</v>
      </c>
      <c r="CA149" s="29">
        <v>4.5</v>
      </c>
      <c r="CB149" s="28" t="s">
        <v>172</v>
      </c>
      <c r="CC149" s="29" t="s">
        <v>138</v>
      </c>
      <c r="CD149" s="28" t="s">
        <v>138</v>
      </c>
      <c r="CE149" s="28" t="s">
        <v>205</v>
      </c>
      <c r="CF149" s="28" t="s">
        <v>206</v>
      </c>
      <c r="CG149" s="28" t="s">
        <v>138</v>
      </c>
      <c r="CH149" s="28" t="s">
        <v>174</v>
      </c>
      <c r="CI149" s="28" t="s">
        <v>264</v>
      </c>
      <c r="CJ149" s="28" t="s">
        <v>138</v>
      </c>
      <c r="CK149" s="28" t="s">
        <v>138</v>
      </c>
      <c r="CL149" s="28" t="s">
        <v>175</v>
      </c>
      <c r="CM149" s="34" t="s">
        <v>138</v>
      </c>
      <c r="CN149" s="29" t="s">
        <v>138</v>
      </c>
      <c r="CO149" s="35">
        <v>-1.1000000000000001</v>
      </c>
      <c r="CP149" s="36">
        <v>10</v>
      </c>
      <c r="CQ149" s="35">
        <v>-0.03</v>
      </c>
      <c r="CR149" s="35">
        <v>-2.84</v>
      </c>
      <c r="CS149" s="35">
        <v>-2.25</v>
      </c>
      <c r="CT149" s="36">
        <v>8</v>
      </c>
      <c r="CU149" s="35">
        <v>0.05</v>
      </c>
      <c r="CV149" s="36">
        <v>58</v>
      </c>
      <c r="CW149" s="35" t="s">
        <v>138</v>
      </c>
      <c r="CX149" s="36" t="s">
        <v>138</v>
      </c>
      <c r="CY149" s="35">
        <v>-2.25</v>
      </c>
      <c r="CZ149" s="36">
        <v>10</v>
      </c>
      <c r="DA149" s="35">
        <v>0.09</v>
      </c>
      <c r="DB149" s="36">
        <v>70</v>
      </c>
      <c r="DC149" s="37">
        <v>7.85</v>
      </c>
      <c r="DD149" s="36">
        <v>88</v>
      </c>
      <c r="DE149" s="37">
        <v>-0.05</v>
      </c>
      <c r="DF149" s="35">
        <v>-0.65</v>
      </c>
      <c r="DG149" s="37">
        <v>15.48</v>
      </c>
      <c r="DH149" s="36">
        <v>93</v>
      </c>
      <c r="DI149" s="37">
        <v>0.22</v>
      </c>
      <c r="DJ149" s="36">
        <v>23</v>
      </c>
      <c r="DK149" s="37" t="s">
        <v>138</v>
      </c>
      <c r="DL149" s="36" t="s">
        <v>138</v>
      </c>
      <c r="DM149" s="37">
        <v>15.48</v>
      </c>
      <c r="DN149" s="36">
        <v>92</v>
      </c>
      <c r="DO149" s="37">
        <v>0.38</v>
      </c>
      <c r="DP149" s="36">
        <v>34</v>
      </c>
      <c r="DQ149" s="36" t="s">
        <v>138</v>
      </c>
      <c r="DR149" s="38" t="s">
        <v>138</v>
      </c>
      <c r="DS149" s="35" t="s">
        <v>138</v>
      </c>
      <c r="DT149" s="36">
        <v>450</v>
      </c>
      <c r="DU149" s="38">
        <v>-3</v>
      </c>
      <c r="DV149" s="35">
        <v>-0.66</v>
      </c>
      <c r="DW149" s="36">
        <v>135</v>
      </c>
      <c r="DX149" s="39">
        <v>0</v>
      </c>
      <c r="DY149" s="35">
        <v>0</v>
      </c>
      <c r="DZ149" s="28" t="s">
        <v>178</v>
      </c>
      <c r="EA149" s="34">
        <v>43577</v>
      </c>
      <c r="EB149" s="29" t="s">
        <v>138</v>
      </c>
      <c r="EC149" s="34" t="s">
        <v>138</v>
      </c>
      <c r="ED149" s="28" t="s">
        <v>138</v>
      </c>
      <c r="EE149" s="40" t="str">
        <f>HYPERLINK("https://my.pitchbook.com?c=54086-59", "View company online")</f>
        <v>View company online</v>
      </c>
    </row>
    <row r="150" spans="1:135">
      <c r="A150" s="15" t="s">
        <v>3461</v>
      </c>
      <c r="B150" s="15" t="s">
        <v>3462</v>
      </c>
      <c r="C150" s="15" t="s">
        <v>138</v>
      </c>
      <c r="D150" s="15" t="s">
        <v>3463</v>
      </c>
      <c r="E150" s="15" t="s">
        <v>3464</v>
      </c>
      <c r="F150" s="15" t="s">
        <v>3461</v>
      </c>
      <c r="G150" s="15" t="s">
        <v>3465</v>
      </c>
      <c r="H150" s="15" t="s">
        <v>183</v>
      </c>
      <c r="I150" s="15" t="s">
        <v>3466</v>
      </c>
      <c r="J150" s="15" t="s">
        <v>3467</v>
      </c>
      <c r="K150" s="15" t="s">
        <v>3468</v>
      </c>
      <c r="L150" s="15" t="s">
        <v>3469</v>
      </c>
      <c r="M150" s="15" t="s">
        <v>3470</v>
      </c>
      <c r="N150" s="15" t="s">
        <v>147</v>
      </c>
      <c r="O150" s="17">
        <v>43</v>
      </c>
      <c r="P150" s="15" t="s">
        <v>148</v>
      </c>
      <c r="Q150" s="15" t="s">
        <v>149</v>
      </c>
      <c r="R150" s="15" t="s">
        <v>174</v>
      </c>
      <c r="S150" s="15" t="s">
        <v>3471</v>
      </c>
      <c r="T150" s="18">
        <v>50</v>
      </c>
      <c r="U150" s="15" t="s">
        <v>3472</v>
      </c>
      <c r="V150" s="15" t="s">
        <v>138</v>
      </c>
      <c r="W150" s="15" t="s">
        <v>138</v>
      </c>
      <c r="X150" s="19">
        <v>2014</v>
      </c>
      <c r="Y150" s="15" t="s">
        <v>138</v>
      </c>
      <c r="Z150" s="15" t="s">
        <v>138</v>
      </c>
      <c r="AA150" s="15" t="s">
        <v>138</v>
      </c>
      <c r="AB150" s="20" t="s">
        <v>138</v>
      </c>
      <c r="AC150" s="20" t="s">
        <v>138</v>
      </c>
      <c r="AD150" s="20" t="s">
        <v>138</v>
      </c>
      <c r="AE150" s="20" t="s">
        <v>138</v>
      </c>
      <c r="AF150" s="20" t="s">
        <v>138</v>
      </c>
      <c r="AG150" s="15" t="s">
        <v>138</v>
      </c>
      <c r="AH150" s="20" t="s">
        <v>138</v>
      </c>
      <c r="AI150" s="20" t="s">
        <v>138</v>
      </c>
      <c r="AJ150" s="20" t="s">
        <v>138</v>
      </c>
      <c r="AK150" s="15" t="s">
        <v>3473</v>
      </c>
      <c r="AL150" s="15" t="s">
        <v>3474</v>
      </c>
      <c r="AM150" s="15" t="s">
        <v>304</v>
      </c>
      <c r="AN150" s="15" t="s">
        <v>138</v>
      </c>
      <c r="AO150" s="15" t="s">
        <v>138</v>
      </c>
      <c r="AP150" s="15" t="s">
        <v>665</v>
      </c>
      <c r="AQ150" s="15" t="s">
        <v>3475</v>
      </c>
      <c r="AR150" s="15" t="s">
        <v>3476</v>
      </c>
      <c r="AS150" s="15" t="s">
        <v>668</v>
      </c>
      <c r="AT150" s="15" t="s">
        <v>200</v>
      </c>
      <c r="AU150" s="15" t="s">
        <v>3477</v>
      </c>
      <c r="AV150" s="15" t="s">
        <v>162</v>
      </c>
      <c r="AW150" s="15" t="s">
        <v>138</v>
      </c>
      <c r="AX150" s="15" t="s">
        <v>138</v>
      </c>
      <c r="AY150" s="15" t="s">
        <v>138</v>
      </c>
      <c r="AZ150" s="15" t="s">
        <v>164</v>
      </c>
      <c r="BA150" s="15" t="s">
        <v>165</v>
      </c>
      <c r="BB150" s="15" t="s">
        <v>3478</v>
      </c>
      <c r="BC150" s="15" t="s">
        <v>3479</v>
      </c>
      <c r="BD150" s="21">
        <v>15</v>
      </c>
      <c r="BE150" s="15" t="s">
        <v>138</v>
      </c>
      <c r="BF150" s="15" t="s">
        <v>138</v>
      </c>
      <c r="BG150" s="15" t="s">
        <v>138</v>
      </c>
      <c r="BH150" s="15" t="s">
        <v>3480</v>
      </c>
      <c r="BI150" s="15" t="s">
        <v>138</v>
      </c>
      <c r="BJ150" s="15" t="s">
        <v>138</v>
      </c>
      <c r="BK150" s="15" t="s">
        <v>3481</v>
      </c>
      <c r="BL150" s="15" t="s">
        <v>3482</v>
      </c>
      <c r="BM150" s="22" t="s">
        <v>138</v>
      </c>
      <c r="BN150" s="17" t="s">
        <v>138</v>
      </c>
      <c r="BO150" s="15" t="s">
        <v>138</v>
      </c>
      <c r="BP150" s="17" t="s">
        <v>138</v>
      </c>
      <c r="BQ150" s="15" t="s">
        <v>138</v>
      </c>
      <c r="BR150" s="15" t="s">
        <v>316</v>
      </c>
      <c r="BS150" s="15" t="s">
        <v>138</v>
      </c>
      <c r="BT150" s="15" t="s">
        <v>138</v>
      </c>
      <c r="BU150" s="15" t="s">
        <v>177</v>
      </c>
      <c r="BV150" s="15" t="s">
        <v>138</v>
      </c>
      <c r="BW150" s="15" t="s">
        <v>138</v>
      </c>
      <c r="BX150" s="15" t="s">
        <v>138</v>
      </c>
      <c r="BY150" s="15" t="s">
        <v>175</v>
      </c>
      <c r="BZ150" s="22">
        <v>43406</v>
      </c>
      <c r="CA150" s="17">
        <v>15</v>
      </c>
      <c r="CB150" s="15" t="s">
        <v>172</v>
      </c>
      <c r="CC150" s="17">
        <v>125</v>
      </c>
      <c r="CD150" s="15" t="s">
        <v>172</v>
      </c>
      <c r="CE150" s="15" t="s">
        <v>173</v>
      </c>
      <c r="CF150" s="15" t="s">
        <v>317</v>
      </c>
      <c r="CG150" s="15" t="s">
        <v>138</v>
      </c>
      <c r="CH150" s="15" t="s">
        <v>174</v>
      </c>
      <c r="CI150" s="15" t="s">
        <v>138</v>
      </c>
      <c r="CJ150" s="15" t="s">
        <v>138</v>
      </c>
      <c r="CK150" s="15" t="s">
        <v>138</v>
      </c>
      <c r="CL150" s="15" t="s">
        <v>175</v>
      </c>
      <c r="CM150" s="22" t="s">
        <v>138</v>
      </c>
      <c r="CN150" s="17" t="s">
        <v>138</v>
      </c>
      <c r="CO150" s="23">
        <v>0.54</v>
      </c>
      <c r="CP150" s="24">
        <v>95</v>
      </c>
      <c r="CQ150" s="23">
        <v>-7.0000000000000007E-2</v>
      </c>
      <c r="CR150" s="23">
        <v>-12.15</v>
      </c>
      <c r="CS150" s="23">
        <v>0.25</v>
      </c>
      <c r="CT150" s="24">
        <v>95</v>
      </c>
      <c r="CU150" s="23">
        <v>-0.01</v>
      </c>
      <c r="CV150" s="24">
        <v>20</v>
      </c>
      <c r="CW150" s="23">
        <v>1.03</v>
      </c>
      <c r="CX150" s="24">
        <v>85</v>
      </c>
      <c r="CY150" s="23">
        <v>-0.53</v>
      </c>
      <c r="CZ150" s="24">
        <v>22</v>
      </c>
      <c r="DA150" s="23">
        <v>-0.01</v>
      </c>
      <c r="DB150" s="24">
        <v>21</v>
      </c>
      <c r="DC150" s="25">
        <v>11.6</v>
      </c>
      <c r="DD150" s="24">
        <v>91</v>
      </c>
      <c r="DE150" s="25">
        <v>1.59</v>
      </c>
      <c r="DF150" s="23">
        <v>15.92</v>
      </c>
      <c r="DG150" s="25">
        <v>15.85</v>
      </c>
      <c r="DH150" s="24">
        <v>93</v>
      </c>
      <c r="DI150" s="25">
        <v>13.42</v>
      </c>
      <c r="DJ150" s="24">
        <v>88</v>
      </c>
      <c r="DK150" s="25">
        <v>11.07</v>
      </c>
      <c r="DL150" s="24">
        <v>88</v>
      </c>
      <c r="DM150" s="25">
        <v>20.62</v>
      </c>
      <c r="DN150" s="24">
        <v>94</v>
      </c>
      <c r="DO150" s="25">
        <v>13.42</v>
      </c>
      <c r="DP150" s="24">
        <v>90</v>
      </c>
      <c r="DQ150" s="24">
        <v>3689</v>
      </c>
      <c r="DR150" s="26">
        <v>327</v>
      </c>
      <c r="DS150" s="23">
        <v>9.73</v>
      </c>
      <c r="DT150" s="24">
        <v>598</v>
      </c>
      <c r="DU150" s="26">
        <v>-4</v>
      </c>
      <c r="DV150" s="23">
        <v>-0.66</v>
      </c>
      <c r="DW150" s="24">
        <v>4803</v>
      </c>
      <c r="DX150" s="27">
        <v>3</v>
      </c>
      <c r="DY150" s="23">
        <v>0.06</v>
      </c>
      <c r="DZ150" s="15" t="s">
        <v>178</v>
      </c>
      <c r="EA150" s="22">
        <v>43622</v>
      </c>
      <c r="EB150" s="17">
        <v>125</v>
      </c>
      <c r="EC150" s="22">
        <v>43406</v>
      </c>
      <c r="ED150" s="15" t="s">
        <v>173</v>
      </c>
      <c r="EE150" s="14" t="str">
        <f>HYPERLINK("https://my.pitchbook.com?c=98895-34", "View company online")</f>
        <v>View company online</v>
      </c>
    </row>
    <row r="151" spans="1:135">
      <c r="A151" s="28" t="s">
        <v>3483</v>
      </c>
      <c r="B151" s="28" t="s">
        <v>3484</v>
      </c>
      <c r="C151" s="28" t="s">
        <v>3485</v>
      </c>
      <c r="D151" s="28" t="s">
        <v>138</v>
      </c>
      <c r="E151" s="28" t="s">
        <v>3486</v>
      </c>
      <c r="F151" s="28" t="s">
        <v>3483</v>
      </c>
      <c r="G151" s="28" t="s">
        <v>3487</v>
      </c>
      <c r="H151" s="28" t="s">
        <v>322</v>
      </c>
      <c r="I151" s="28" t="s">
        <v>3488</v>
      </c>
      <c r="J151" s="28" t="s">
        <v>3488</v>
      </c>
      <c r="K151" s="28" t="s">
        <v>3489</v>
      </c>
      <c r="L151" s="28" t="s">
        <v>3490</v>
      </c>
      <c r="M151" s="28" t="s">
        <v>3491</v>
      </c>
      <c r="N151" s="28" t="s">
        <v>147</v>
      </c>
      <c r="O151" s="29">
        <v>137.02000000000001</v>
      </c>
      <c r="P151" s="28" t="s">
        <v>148</v>
      </c>
      <c r="Q151" s="28" t="s">
        <v>149</v>
      </c>
      <c r="R151" s="28" t="s">
        <v>174</v>
      </c>
      <c r="S151" s="28" t="s">
        <v>3492</v>
      </c>
      <c r="T151" s="30">
        <v>50</v>
      </c>
      <c r="U151" s="28" t="s">
        <v>3493</v>
      </c>
      <c r="V151" s="28" t="s">
        <v>138</v>
      </c>
      <c r="W151" s="28" t="s">
        <v>138</v>
      </c>
      <c r="X151" s="31">
        <v>2010</v>
      </c>
      <c r="Y151" s="28" t="s">
        <v>138</v>
      </c>
      <c r="Z151" s="28" t="s">
        <v>138</v>
      </c>
      <c r="AA151" s="28" t="s">
        <v>138</v>
      </c>
      <c r="AB151" s="32" t="s">
        <v>138</v>
      </c>
      <c r="AC151" s="32" t="s">
        <v>138</v>
      </c>
      <c r="AD151" s="32" t="s">
        <v>138</v>
      </c>
      <c r="AE151" s="32" t="s">
        <v>138</v>
      </c>
      <c r="AF151" s="32" t="s">
        <v>138</v>
      </c>
      <c r="AG151" s="28" t="s">
        <v>138</v>
      </c>
      <c r="AH151" s="32" t="s">
        <v>138</v>
      </c>
      <c r="AI151" s="32" t="s">
        <v>138</v>
      </c>
      <c r="AJ151" s="32" t="s">
        <v>138</v>
      </c>
      <c r="AK151" s="28" t="s">
        <v>3494</v>
      </c>
      <c r="AL151" s="28" t="s">
        <v>3495</v>
      </c>
      <c r="AM151" s="28" t="s">
        <v>818</v>
      </c>
      <c r="AN151" s="28" t="s">
        <v>3496</v>
      </c>
      <c r="AO151" s="28" t="s">
        <v>138</v>
      </c>
      <c r="AP151" s="28" t="s">
        <v>1168</v>
      </c>
      <c r="AQ151" s="28" t="s">
        <v>3497</v>
      </c>
      <c r="AR151" s="28" t="s">
        <v>3498</v>
      </c>
      <c r="AS151" s="28" t="s">
        <v>1171</v>
      </c>
      <c r="AT151" s="28" t="s">
        <v>200</v>
      </c>
      <c r="AU151" s="28" t="s">
        <v>3499</v>
      </c>
      <c r="AV151" s="28" t="s">
        <v>162</v>
      </c>
      <c r="AW151" s="28" t="s">
        <v>138</v>
      </c>
      <c r="AX151" s="28" t="s">
        <v>138</v>
      </c>
      <c r="AY151" s="28" t="s">
        <v>138</v>
      </c>
      <c r="AZ151" s="28" t="s">
        <v>164</v>
      </c>
      <c r="BA151" s="28" t="s">
        <v>165</v>
      </c>
      <c r="BB151" s="28" t="s">
        <v>3500</v>
      </c>
      <c r="BC151" s="28" t="s">
        <v>3501</v>
      </c>
      <c r="BD151" s="33">
        <v>46</v>
      </c>
      <c r="BE151" s="28" t="s">
        <v>138</v>
      </c>
      <c r="BF151" s="28" t="s">
        <v>138</v>
      </c>
      <c r="BG151" s="28" t="s">
        <v>138</v>
      </c>
      <c r="BH151" s="28" t="s">
        <v>3502</v>
      </c>
      <c r="BI151" s="28" t="s">
        <v>138</v>
      </c>
      <c r="BJ151" s="28" t="s">
        <v>138</v>
      </c>
      <c r="BK151" s="28" t="s">
        <v>3503</v>
      </c>
      <c r="BL151" s="28" t="s">
        <v>3504</v>
      </c>
      <c r="BM151" s="34" t="s">
        <v>138</v>
      </c>
      <c r="BN151" s="29" t="s">
        <v>138</v>
      </c>
      <c r="BO151" s="28" t="s">
        <v>138</v>
      </c>
      <c r="BP151" s="29" t="s">
        <v>138</v>
      </c>
      <c r="BQ151" s="28" t="s">
        <v>138</v>
      </c>
      <c r="BR151" s="28" t="s">
        <v>316</v>
      </c>
      <c r="BS151" s="28" t="s">
        <v>138</v>
      </c>
      <c r="BT151" s="28" t="s">
        <v>138</v>
      </c>
      <c r="BU151" s="28" t="s">
        <v>177</v>
      </c>
      <c r="BV151" s="28" t="s">
        <v>138</v>
      </c>
      <c r="BW151" s="28" t="s">
        <v>138</v>
      </c>
      <c r="BX151" s="28" t="s">
        <v>138</v>
      </c>
      <c r="BY151" s="28" t="s">
        <v>175</v>
      </c>
      <c r="BZ151" s="34" t="s">
        <v>138</v>
      </c>
      <c r="CA151" s="29" t="s">
        <v>138</v>
      </c>
      <c r="CB151" s="28" t="s">
        <v>138</v>
      </c>
      <c r="CC151" s="29" t="s">
        <v>138</v>
      </c>
      <c r="CD151" s="28" t="s">
        <v>138</v>
      </c>
      <c r="CE151" s="28" t="s">
        <v>173</v>
      </c>
      <c r="CF151" s="28" t="s">
        <v>138</v>
      </c>
      <c r="CG151" s="28" t="s">
        <v>138</v>
      </c>
      <c r="CH151" s="28" t="s">
        <v>174</v>
      </c>
      <c r="CI151" s="28" t="s">
        <v>138</v>
      </c>
      <c r="CJ151" s="28" t="s">
        <v>138</v>
      </c>
      <c r="CK151" s="28" t="s">
        <v>138</v>
      </c>
      <c r="CL151" s="28" t="s">
        <v>175</v>
      </c>
      <c r="CM151" s="34" t="s">
        <v>138</v>
      </c>
      <c r="CN151" s="29" t="s">
        <v>138</v>
      </c>
      <c r="CO151" s="35">
        <v>0.59</v>
      </c>
      <c r="CP151" s="36">
        <v>96</v>
      </c>
      <c r="CQ151" s="35">
        <v>-0.03</v>
      </c>
      <c r="CR151" s="35">
        <v>-4.1100000000000003</v>
      </c>
      <c r="CS151" s="35">
        <v>1.01</v>
      </c>
      <c r="CT151" s="36">
        <v>97</v>
      </c>
      <c r="CU151" s="35">
        <v>0.17</v>
      </c>
      <c r="CV151" s="36">
        <v>77</v>
      </c>
      <c r="CW151" s="35">
        <v>3.26</v>
      </c>
      <c r="CX151" s="36">
        <v>92</v>
      </c>
      <c r="CY151" s="35">
        <v>-1.24</v>
      </c>
      <c r="CZ151" s="36">
        <v>17</v>
      </c>
      <c r="DA151" s="35">
        <v>0.27</v>
      </c>
      <c r="DB151" s="36">
        <v>87</v>
      </c>
      <c r="DC151" s="37">
        <v>12.73</v>
      </c>
      <c r="DD151" s="36">
        <v>92</v>
      </c>
      <c r="DE151" s="37">
        <v>-0.63</v>
      </c>
      <c r="DF151" s="35">
        <v>-4.7300000000000004</v>
      </c>
      <c r="DG151" s="37">
        <v>21.27</v>
      </c>
      <c r="DH151" s="36">
        <v>95</v>
      </c>
      <c r="DI151" s="37">
        <v>4.1900000000000004</v>
      </c>
      <c r="DJ151" s="36">
        <v>75</v>
      </c>
      <c r="DK151" s="37">
        <v>19.5</v>
      </c>
      <c r="DL151" s="36">
        <v>92</v>
      </c>
      <c r="DM151" s="37">
        <v>23.03</v>
      </c>
      <c r="DN151" s="36">
        <v>95</v>
      </c>
      <c r="DO151" s="37">
        <v>6.21</v>
      </c>
      <c r="DP151" s="36">
        <v>82</v>
      </c>
      <c r="DQ151" s="36">
        <v>6572</v>
      </c>
      <c r="DR151" s="38">
        <v>351</v>
      </c>
      <c r="DS151" s="35">
        <v>5.64</v>
      </c>
      <c r="DT151" s="36">
        <v>668</v>
      </c>
      <c r="DU151" s="38">
        <v>-2</v>
      </c>
      <c r="DV151" s="35">
        <v>-0.3</v>
      </c>
      <c r="DW151" s="36">
        <v>2222</v>
      </c>
      <c r="DX151" s="39">
        <v>4</v>
      </c>
      <c r="DY151" s="35">
        <v>0.18</v>
      </c>
      <c r="DZ151" s="28" t="s">
        <v>178</v>
      </c>
      <c r="EA151" s="34">
        <v>43572</v>
      </c>
      <c r="EB151" s="29">
        <v>400</v>
      </c>
      <c r="EC151" s="34">
        <v>42893</v>
      </c>
      <c r="ED151" s="28" t="s">
        <v>173</v>
      </c>
      <c r="EE151" s="40" t="str">
        <f>HYPERLINK("https://my.pitchbook.com?c=51577-03", "View company online")</f>
        <v>View company online</v>
      </c>
    </row>
    <row r="152" spans="1:135">
      <c r="A152" s="15" t="s">
        <v>3505</v>
      </c>
      <c r="B152" s="15" t="s">
        <v>3506</v>
      </c>
      <c r="C152" s="15" t="s">
        <v>138</v>
      </c>
      <c r="D152" s="15" t="s">
        <v>138</v>
      </c>
      <c r="E152" s="15" t="s">
        <v>3507</v>
      </c>
      <c r="F152" s="15" t="s">
        <v>3505</v>
      </c>
      <c r="G152" s="15" t="s">
        <v>3508</v>
      </c>
      <c r="H152" s="15" t="s">
        <v>322</v>
      </c>
      <c r="I152" s="15" t="s">
        <v>323</v>
      </c>
      <c r="J152" s="15" t="s">
        <v>461</v>
      </c>
      <c r="K152" s="15" t="s">
        <v>462</v>
      </c>
      <c r="L152" s="15" t="s">
        <v>3509</v>
      </c>
      <c r="M152" s="15" t="s">
        <v>3510</v>
      </c>
      <c r="N152" s="15" t="s">
        <v>147</v>
      </c>
      <c r="O152" s="17">
        <v>7.75</v>
      </c>
      <c r="P152" s="15" t="s">
        <v>148</v>
      </c>
      <c r="Q152" s="15" t="s">
        <v>149</v>
      </c>
      <c r="R152" s="15" t="s">
        <v>174</v>
      </c>
      <c r="S152" s="15" t="s">
        <v>3511</v>
      </c>
      <c r="T152" s="18">
        <v>15</v>
      </c>
      <c r="U152" s="15" t="s">
        <v>3512</v>
      </c>
      <c r="V152" s="15" t="s">
        <v>138</v>
      </c>
      <c r="W152" s="15" t="s">
        <v>138</v>
      </c>
      <c r="X152" s="19">
        <v>2013</v>
      </c>
      <c r="Y152" s="15" t="s">
        <v>138</v>
      </c>
      <c r="Z152" s="15" t="s">
        <v>138</v>
      </c>
      <c r="AA152" s="15" t="s">
        <v>138</v>
      </c>
      <c r="AB152" s="20" t="s">
        <v>138</v>
      </c>
      <c r="AC152" s="20" t="s">
        <v>138</v>
      </c>
      <c r="AD152" s="20" t="s">
        <v>138</v>
      </c>
      <c r="AE152" s="20" t="s">
        <v>138</v>
      </c>
      <c r="AF152" s="20" t="s">
        <v>138</v>
      </c>
      <c r="AG152" s="15" t="s">
        <v>138</v>
      </c>
      <c r="AH152" s="20" t="s">
        <v>138</v>
      </c>
      <c r="AI152" s="20" t="s">
        <v>138</v>
      </c>
      <c r="AJ152" s="20" t="s">
        <v>138</v>
      </c>
      <c r="AK152" s="15" t="s">
        <v>3513</v>
      </c>
      <c r="AL152" s="15" t="s">
        <v>3514</v>
      </c>
      <c r="AM152" s="15" t="s">
        <v>221</v>
      </c>
      <c r="AN152" s="15" t="s">
        <v>3515</v>
      </c>
      <c r="AO152" s="15" t="s">
        <v>3516</v>
      </c>
      <c r="AP152" s="15" t="s">
        <v>964</v>
      </c>
      <c r="AQ152" s="15" t="s">
        <v>3517</v>
      </c>
      <c r="AR152" s="15" t="s">
        <v>3518</v>
      </c>
      <c r="AS152" s="15" t="s">
        <v>966</v>
      </c>
      <c r="AT152" s="15" t="s">
        <v>200</v>
      </c>
      <c r="AU152" s="15" t="s">
        <v>967</v>
      </c>
      <c r="AV152" s="15" t="s">
        <v>162</v>
      </c>
      <c r="AW152" s="15" t="s">
        <v>3516</v>
      </c>
      <c r="AX152" s="15" t="s">
        <v>138</v>
      </c>
      <c r="AY152" s="15" t="s">
        <v>3519</v>
      </c>
      <c r="AZ152" s="15" t="s">
        <v>164</v>
      </c>
      <c r="BA152" s="15" t="s">
        <v>165</v>
      </c>
      <c r="BB152" s="15" t="s">
        <v>3520</v>
      </c>
      <c r="BC152" s="15" t="s">
        <v>3521</v>
      </c>
      <c r="BD152" s="21">
        <v>4</v>
      </c>
      <c r="BE152" s="15" t="s">
        <v>138</v>
      </c>
      <c r="BF152" s="15" t="s">
        <v>138</v>
      </c>
      <c r="BG152" s="15" t="s">
        <v>138</v>
      </c>
      <c r="BH152" s="15" t="s">
        <v>3522</v>
      </c>
      <c r="BI152" s="15" t="s">
        <v>138</v>
      </c>
      <c r="BJ152" s="15" t="s">
        <v>138</v>
      </c>
      <c r="BK152" s="15" t="s">
        <v>3460</v>
      </c>
      <c r="BL152" s="15" t="s">
        <v>138</v>
      </c>
      <c r="BM152" s="22">
        <v>41599</v>
      </c>
      <c r="BN152" s="17">
        <v>2.25</v>
      </c>
      <c r="BO152" s="15" t="s">
        <v>172</v>
      </c>
      <c r="BP152" s="17">
        <v>9.25</v>
      </c>
      <c r="BQ152" s="15" t="s">
        <v>172</v>
      </c>
      <c r="BR152" s="15" t="s">
        <v>205</v>
      </c>
      <c r="BS152" s="15" t="s">
        <v>206</v>
      </c>
      <c r="BT152" s="15" t="s">
        <v>138</v>
      </c>
      <c r="BU152" s="15" t="s">
        <v>174</v>
      </c>
      <c r="BV152" s="15" t="s">
        <v>138</v>
      </c>
      <c r="BW152" s="15" t="s">
        <v>138</v>
      </c>
      <c r="BX152" s="15" t="s">
        <v>138</v>
      </c>
      <c r="BY152" s="15" t="s">
        <v>175</v>
      </c>
      <c r="BZ152" s="22">
        <v>43119</v>
      </c>
      <c r="CA152" s="17">
        <v>2.5</v>
      </c>
      <c r="CB152" s="15" t="s">
        <v>1178</v>
      </c>
      <c r="CC152" s="17">
        <v>17.95</v>
      </c>
      <c r="CD152" s="15" t="s">
        <v>172</v>
      </c>
      <c r="CE152" s="15" t="s">
        <v>205</v>
      </c>
      <c r="CF152" s="15" t="s">
        <v>623</v>
      </c>
      <c r="CG152" s="15" t="s">
        <v>138</v>
      </c>
      <c r="CH152" s="15" t="s">
        <v>174</v>
      </c>
      <c r="CI152" s="15" t="s">
        <v>138</v>
      </c>
      <c r="CJ152" s="15" t="s">
        <v>138</v>
      </c>
      <c r="CK152" s="15" t="s">
        <v>138</v>
      </c>
      <c r="CL152" s="15" t="s">
        <v>175</v>
      </c>
      <c r="CM152" s="22" t="s">
        <v>138</v>
      </c>
      <c r="CN152" s="17" t="s">
        <v>138</v>
      </c>
      <c r="CO152" s="23">
        <v>0.05</v>
      </c>
      <c r="CP152" s="24">
        <v>88</v>
      </c>
      <c r="CQ152" s="23">
        <v>-0.06</v>
      </c>
      <c r="CR152" s="23">
        <v>-54.06</v>
      </c>
      <c r="CS152" s="23">
        <v>0.02</v>
      </c>
      <c r="CT152" s="24">
        <v>93</v>
      </c>
      <c r="CU152" s="23">
        <v>0.08</v>
      </c>
      <c r="CV152" s="24">
        <v>64</v>
      </c>
      <c r="CW152" s="23" t="s">
        <v>138</v>
      </c>
      <c r="CX152" s="24" t="s">
        <v>138</v>
      </c>
      <c r="CY152" s="23">
        <v>0.02</v>
      </c>
      <c r="CZ152" s="24">
        <v>97</v>
      </c>
      <c r="DA152" s="23" t="s">
        <v>138</v>
      </c>
      <c r="DB152" s="24" t="s">
        <v>138</v>
      </c>
      <c r="DC152" s="25">
        <v>1.88</v>
      </c>
      <c r="DD152" s="24">
        <v>66</v>
      </c>
      <c r="DE152" s="25">
        <v>-0.03</v>
      </c>
      <c r="DF152" s="23">
        <v>-1.82</v>
      </c>
      <c r="DG152" s="25">
        <v>3.41</v>
      </c>
      <c r="DH152" s="24">
        <v>77</v>
      </c>
      <c r="DI152" s="25">
        <v>0.34</v>
      </c>
      <c r="DJ152" s="24">
        <v>30</v>
      </c>
      <c r="DK152" s="25" t="s">
        <v>138</v>
      </c>
      <c r="DL152" s="24" t="s">
        <v>138</v>
      </c>
      <c r="DM152" s="25">
        <v>3.41</v>
      </c>
      <c r="DN152" s="24">
        <v>76</v>
      </c>
      <c r="DO152" s="25" t="s">
        <v>138</v>
      </c>
      <c r="DP152" s="24" t="s">
        <v>138</v>
      </c>
      <c r="DQ152" s="24" t="s">
        <v>138</v>
      </c>
      <c r="DR152" s="26" t="s">
        <v>138</v>
      </c>
      <c r="DS152" s="23" t="s">
        <v>138</v>
      </c>
      <c r="DT152" s="24">
        <v>99</v>
      </c>
      <c r="DU152" s="26">
        <v>-2</v>
      </c>
      <c r="DV152" s="23">
        <v>-1.98</v>
      </c>
      <c r="DW152" s="24" t="s">
        <v>138</v>
      </c>
      <c r="DX152" s="27" t="s">
        <v>138</v>
      </c>
      <c r="DY152" s="23" t="s">
        <v>138</v>
      </c>
      <c r="DZ152" s="15" t="s">
        <v>178</v>
      </c>
      <c r="EA152" s="22">
        <v>43622</v>
      </c>
      <c r="EB152" s="17">
        <v>17.95</v>
      </c>
      <c r="EC152" s="22">
        <v>43119</v>
      </c>
      <c r="ED152" s="15" t="s">
        <v>205</v>
      </c>
      <c r="EE152" s="14" t="str">
        <f>HYPERLINK("https://my.pitchbook.com?c=108688-60", "View company online")</f>
        <v>View company online</v>
      </c>
    </row>
    <row r="153" spans="1:135">
      <c r="A153" s="28" t="s">
        <v>3523</v>
      </c>
      <c r="B153" s="28" t="s">
        <v>3524</v>
      </c>
      <c r="C153" s="28" t="s">
        <v>138</v>
      </c>
      <c r="D153" s="28" t="s">
        <v>138</v>
      </c>
      <c r="E153" s="28" t="s">
        <v>3525</v>
      </c>
      <c r="F153" s="28" t="s">
        <v>3523</v>
      </c>
      <c r="G153" s="28" t="s">
        <v>3526</v>
      </c>
      <c r="H153" s="28" t="s">
        <v>322</v>
      </c>
      <c r="I153" s="28" t="s">
        <v>323</v>
      </c>
      <c r="J153" s="28" t="s">
        <v>954</v>
      </c>
      <c r="K153" s="28" t="s">
        <v>955</v>
      </c>
      <c r="L153" s="28" t="s">
        <v>3527</v>
      </c>
      <c r="M153" s="28" t="s">
        <v>3528</v>
      </c>
      <c r="N153" s="28" t="s">
        <v>147</v>
      </c>
      <c r="O153" s="29">
        <v>386.88</v>
      </c>
      <c r="P153" s="28" t="s">
        <v>148</v>
      </c>
      <c r="Q153" s="28" t="s">
        <v>149</v>
      </c>
      <c r="R153" s="28" t="s">
        <v>174</v>
      </c>
      <c r="S153" s="28" t="s">
        <v>3529</v>
      </c>
      <c r="T153" s="30">
        <v>400</v>
      </c>
      <c r="U153" s="28" t="s">
        <v>3530</v>
      </c>
      <c r="V153" s="28" t="s">
        <v>138</v>
      </c>
      <c r="W153" s="28" t="s">
        <v>138</v>
      </c>
      <c r="X153" s="31">
        <v>2012</v>
      </c>
      <c r="Y153" s="28" t="s">
        <v>138</v>
      </c>
      <c r="Z153" s="28" t="s">
        <v>3531</v>
      </c>
      <c r="AA153" s="28" t="s">
        <v>3531</v>
      </c>
      <c r="AB153" s="32" t="s">
        <v>138</v>
      </c>
      <c r="AC153" s="32" t="s">
        <v>138</v>
      </c>
      <c r="AD153" s="32" t="s">
        <v>138</v>
      </c>
      <c r="AE153" s="32" t="s">
        <v>138</v>
      </c>
      <c r="AF153" s="32" t="s">
        <v>138</v>
      </c>
      <c r="AG153" s="28" t="s">
        <v>138</v>
      </c>
      <c r="AH153" s="32" t="s">
        <v>138</v>
      </c>
      <c r="AI153" s="32" t="s">
        <v>138</v>
      </c>
      <c r="AJ153" s="32" t="s">
        <v>138</v>
      </c>
      <c r="AK153" s="28" t="s">
        <v>3532</v>
      </c>
      <c r="AL153" s="28" t="s">
        <v>3533</v>
      </c>
      <c r="AM153" s="28" t="s">
        <v>221</v>
      </c>
      <c r="AN153" s="28" t="s">
        <v>3534</v>
      </c>
      <c r="AO153" s="28" t="s">
        <v>138</v>
      </c>
      <c r="AP153" s="28" t="s">
        <v>423</v>
      </c>
      <c r="AQ153" s="28" t="s">
        <v>3535</v>
      </c>
      <c r="AR153" s="28" t="s">
        <v>713</v>
      </c>
      <c r="AS153" s="28" t="s">
        <v>426</v>
      </c>
      <c r="AT153" s="28" t="s">
        <v>426</v>
      </c>
      <c r="AU153" s="28" t="s">
        <v>921</v>
      </c>
      <c r="AV153" s="28" t="s">
        <v>162</v>
      </c>
      <c r="AW153" s="28" t="s">
        <v>138</v>
      </c>
      <c r="AX153" s="28" t="s">
        <v>138</v>
      </c>
      <c r="AY153" s="28" t="s">
        <v>138</v>
      </c>
      <c r="AZ153" s="28" t="s">
        <v>164</v>
      </c>
      <c r="BA153" s="28" t="s">
        <v>165</v>
      </c>
      <c r="BB153" s="28" t="s">
        <v>3536</v>
      </c>
      <c r="BC153" s="28" t="s">
        <v>3537</v>
      </c>
      <c r="BD153" s="33">
        <v>19</v>
      </c>
      <c r="BE153" s="28" t="s">
        <v>138</v>
      </c>
      <c r="BF153" s="28" t="s">
        <v>3538</v>
      </c>
      <c r="BG153" s="28" t="s">
        <v>138</v>
      </c>
      <c r="BH153" s="28" t="s">
        <v>3539</v>
      </c>
      <c r="BI153" s="28" t="s">
        <v>3540</v>
      </c>
      <c r="BJ153" s="28" t="s">
        <v>138</v>
      </c>
      <c r="BK153" s="28" t="s">
        <v>3541</v>
      </c>
      <c r="BL153" s="28" t="s">
        <v>3542</v>
      </c>
      <c r="BM153" s="34" t="s">
        <v>138</v>
      </c>
      <c r="BN153" s="29" t="s">
        <v>138</v>
      </c>
      <c r="BO153" s="28" t="s">
        <v>138</v>
      </c>
      <c r="BP153" s="29" t="s">
        <v>138</v>
      </c>
      <c r="BQ153" s="28" t="s">
        <v>138</v>
      </c>
      <c r="BR153" s="28" t="s">
        <v>316</v>
      </c>
      <c r="BS153" s="28" t="s">
        <v>138</v>
      </c>
      <c r="BT153" s="28" t="s">
        <v>138</v>
      </c>
      <c r="BU153" s="28" t="s">
        <v>177</v>
      </c>
      <c r="BV153" s="28" t="s">
        <v>138</v>
      </c>
      <c r="BW153" s="28" t="s">
        <v>138</v>
      </c>
      <c r="BX153" s="28" t="s">
        <v>138</v>
      </c>
      <c r="BY153" s="28" t="s">
        <v>175</v>
      </c>
      <c r="BZ153" s="34">
        <v>43010</v>
      </c>
      <c r="CA153" s="29">
        <v>250</v>
      </c>
      <c r="CB153" s="28" t="s">
        <v>1178</v>
      </c>
      <c r="CC153" s="29">
        <v>1000</v>
      </c>
      <c r="CD153" s="28" t="s">
        <v>172</v>
      </c>
      <c r="CE153" s="28" t="s">
        <v>173</v>
      </c>
      <c r="CF153" s="28" t="s">
        <v>138</v>
      </c>
      <c r="CG153" s="28" t="s">
        <v>138</v>
      </c>
      <c r="CH153" s="28" t="s">
        <v>174</v>
      </c>
      <c r="CI153" s="28" t="s">
        <v>264</v>
      </c>
      <c r="CJ153" s="28" t="s">
        <v>138</v>
      </c>
      <c r="CK153" s="28" t="s">
        <v>138</v>
      </c>
      <c r="CL153" s="28" t="s">
        <v>175</v>
      </c>
      <c r="CM153" s="34" t="s">
        <v>138</v>
      </c>
      <c r="CN153" s="29" t="s">
        <v>138</v>
      </c>
      <c r="CO153" s="35">
        <v>0.42</v>
      </c>
      <c r="CP153" s="36">
        <v>95</v>
      </c>
      <c r="CQ153" s="35">
        <v>0.08</v>
      </c>
      <c r="CR153" s="35">
        <v>24.97</v>
      </c>
      <c r="CS153" s="35">
        <v>0.2</v>
      </c>
      <c r="CT153" s="36">
        <v>94</v>
      </c>
      <c r="CU153" s="35">
        <v>0.56999999999999995</v>
      </c>
      <c r="CV153" s="36">
        <v>95</v>
      </c>
      <c r="CW153" s="35">
        <v>2.25</v>
      </c>
      <c r="CX153" s="36">
        <v>89</v>
      </c>
      <c r="CY153" s="35">
        <v>-1.85</v>
      </c>
      <c r="CZ153" s="36">
        <v>12</v>
      </c>
      <c r="DA153" s="35">
        <v>0.56999999999999995</v>
      </c>
      <c r="DB153" s="36">
        <v>95</v>
      </c>
      <c r="DC153" s="37">
        <v>45.92</v>
      </c>
      <c r="DD153" s="36">
        <v>98</v>
      </c>
      <c r="DE153" s="37">
        <v>0.21</v>
      </c>
      <c r="DF153" s="35">
        <v>0.45</v>
      </c>
      <c r="DG153" s="37">
        <v>33.29</v>
      </c>
      <c r="DH153" s="36">
        <v>97</v>
      </c>
      <c r="DI153" s="37">
        <v>18.22</v>
      </c>
      <c r="DJ153" s="36">
        <v>90</v>
      </c>
      <c r="DK153" s="37">
        <v>59.59</v>
      </c>
      <c r="DL153" s="36">
        <v>96</v>
      </c>
      <c r="DM153" s="37">
        <v>7</v>
      </c>
      <c r="DN153" s="36">
        <v>85</v>
      </c>
      <c r="DO153" s="37">
        <v>18.22</v>
      </c>
      <c r="DP153" s="36">
        <v>92</v>
      </c>
      <c r="DQ153" s="36">
        <v>20367</v>
      </c>
      <c r="DR153" s="38">
        <v>216</v>
      </c>
      <c r="DS153" s="35">
        <v>1.07</v>
      </c>
      <c r="DT153" s="36">
        <v>203</v>
      </c>
      <c r="DU153" s="38">
        <v>-1</v>
      </c>
      <c r="DV153" s="35">
        <v>-0.49</v>
      </c>
      <c r="DW153" s="36">
        <v>6516</v>
      </c>
      <c r="DX153" s="39">
        <v>138</v>
      </c>
      <c r="DY153" s="35">
        <v>2.16</v>
      </c>
      <c r="DZ153" s="28" t="s">
        <v>178</v>
      </c>
      <c r="EA153" s="34">
        <v>43595</v>
      </c>
      <c r="EB153" s="29">
        <v>1000</v>
      </c>
      <c r="EC153" s="34">
        <v>43010</v>
      </c>
      <c r="ED153" s="28" t="s">
        <v>173</v>
      </c>
      <c r="EE153" s="40" t="str">
        <f>HYPERLINK("https://my.pitchbook.com?c=62139-88", "View company online")</f>
        <v>View company online</v>
      </c>
    </row>
    <row r="154" spans="1:135">
      <c r="A154" s="15" t="s">
        <v>3543</v>
      </c>
      <c r="B154" s="15" t="s">
        <v>3544</v>
      </c>
      <c r="C154" s="15" t="s">
        <v>138</v>
      </c>
      <c r="D154" s="15" t="s">
        <v>3545</v>
      </c>
      <c r="E154" s="15" t="s">
        <v>138</v>
      </c>
      <c r="F154" s="15" t="s">
        <v>3543</v>
      </c>
      <c r="G154" s="15" t="s">
        <v>3546</v>
      </c>
      <c r="H154" s="15" t="s">
        <v>141</v>
      </c>
      <c r="I154" s="15" t="s">
        <v>212</v>
      </c>
      <c r="J154" s="15" t="s">
        <v>3547</v>
      </c>
      <c r="K154" s="15" t="s">
        <v>3548</v>
      </c>
      <c r="L154" s="15" t="s">
        <v>415</v>
      </c>
      <c r="M154" s="15" t="s">
        <v>3549</v>
      </c>
      <c r="N154" s="15" t="s">
        <v>147</v>
      </c>
      <c r="O154" s="17" t="s">
        <v>138</v>
      </c>
      <c r="P154" s="15" t="s">
        <v>610</v>
      </c>
      <c r="Q154" s="15" t="s">
        <v>149</v>
      </c>
      <c r="R154" s="15" t="s">
        <v>174</v>
      </c>
      <c r="S154" s="15" t="s">
        <v>3550</v>
      </c>
      <c r="T154" s="18">
        <v>2</v>
      </c>
      <c r="U154" s="15" t="s">
        <v>3551</v>
      </c>
      <c r="V154" s="15" t="s">
        <v>138</v>
      </c>
      <c r="W154" s="15" t="s">
        <v>138</v>
      </c>
      <c r="X154" s="19">
        <v>2012</v>
      </c>
      <c r="Y154" s="15" t="s">
        <v>138</v>
      </c>
      <c r="Z154" s="15" t="s">
        <v>138</v>
      </c>
      <c r="AA154" s="15" t="s">
        <v>138</v>
      </c>
      <c r="AB154" s="20" t="s">
        <v>138</v>
      </c>
      <c r="AC154" s="20" t="s">
        <v>138</v>
      </c>
      <c r="AD154" s="20" t="s">
        <v>138</v>
      </c>
      <c r="AE154" s="20" t="s">
        <v>138</v>
      </c>
      <c r="AF154" s="20" t="s">
        <v>138</v>
      </c>
      <c r="AG154" s="15" t="s">
        <v>138</v>
      </c>
      <c r="AH154" s="20" t="s">
        <v>138</v>
      </c>
      <c r="AI154" s="20" t="s">
        <v>138</v>
      </c>
      <c r="AJ154" s="20" t="s">
        <v>138</v>
      </c>
      <c r="AK154" s="15" t="s">
        <v>3552</v>
      </c>
      <c r="AL154" s="15" t="s">
        <v>3553</v>
      </c>
      <c r="AM154" s="15" t="s">
        <v>3554</v>
      </c>
      <c r="AN154" s="15" t="s">
        <v>3555</v>
      </c>
      <c r="AO154" s="15" t="s">
        <v>138</v>
      </c>
      <c r="AP154" s="15" t="s">
        <v>665</v>
      </c>
      <c r="AQ154" s="15" t="s">
        <v>3556</v>
      </c>
      <c r="AR154" s="15" t="s">
        <v>138</v>
      </c>
      <c r="AS154" s="15" t="s">
        <v>668</v>
      </c>
      <c r="AT154" s="15" t="s">
        <v>200</v>
      </c>
      <c r="AU154" s="15" t="s">
        <v>3557</v>
      </c>
      <c r="AV154" s="15" t="s">
        <v>162</v>
      </c>
      <c r="AW154" s="15" t="s">
        <v>138</v>
      </c>
      <c r="AX154" s="15" t="s">
        <v>138</v>
      </c>
      <c r="AY154" s="15" t="s">
        <v>3558</v>
      </c>
      <c r="AZ154" s="15" t="s">
        <v>164</v>
      </c>
      <c r="BA154" s="15" t="s">
        <v>165</v>
      </c>
      <c r="BB154" s="15" t="s">
        <v>3559</v>
      </c>
      <c r="BC154" s="15" t="s">
        <v>3560</v>
      </c>
      <c r="BD154" s="21">
        <v>5</v>
      </c>
      <c r="BE154" s="15" t="s">
        <v>138</v>
      </c>
      <c r="BF154" s="15" t="s">
        <v>138</v>
      </c>
      <c r="BG154" s="15" t="s">
        <v>138</v>
      </c>
      <c r="BH154" s="15" t="s">
        <v>3561</v>
      </c>
      <c r="BI154" s="15" t="s">
        <v>138</v>
      </c>
      <c r="BJ154" s="15" t="s">
        <v>138</v>
      </c>
      <c r="BK154" s="15" t="s">
        <v>138</v>
      </c>
      <c r="BL154" s="15" t="s">
        <v>1370</v>
      </c>
      <c r="BM154" s="22" t="s">
        <v>138</v>
      </c>
      <c r="BN154" s="17" t="s">
        <v>138</v>
      </c>
      <c r="BO154" s="15" t="s">
        <v>138</v>
      </c>
      <c r="BP154" s="17" t="s">
        <v>138</v>
      </c>
      <c r="BQ154" s="15" t="s">
        <v>138</v>
      </c>
      <c r="BR154" s="15" t="s">
        <v>234</v>
      </c>
      <c r="BS154" s="15" t="s">
        <v>234</v>
      </c>
      <c r="BT154" s="15" t="s">
        <v>138</v>
      </c>
      <c r="BU154" s="15" t="s">
        <v>174</v>
      </c>
      <c r="BV154" s="15" t="s">
        <v>138</v>
      </c>
      <c r="BW154" s="15" t="s">
        <v>138</v>
      </c>
      <c r="BX154" s="15" t="s">
        <v>138</v>
      </c>
      <c r="BY154" s="15" t="s">
        <v>175</v>
      </c>
      <c r="BZ154" s="22">
        <v>41640</v>
      </c>
      <c r="CA154" s="17">
        <v>0.01</v>
      </c>
      <c r="CB154" s="15" t="s">
        <v>172</v>
      </c>
      <c r="CC154" s="17" t="s">
        <v>138</v>
      </c>
      <c r="CD154" s="15" t="s">
        <v>138</v>
      </c>
      <c r="CE154" s="15" t="s">
        <v>1830</v>
      </c>
      <c r="CF154" s="15" t="s">
        <v>138</v>
      </c>
      <c r="CG154" s="15" t="s">
        <v>138</v>
      </c>
      <c r="CH154" s="15" t="s">
        <v>263</v>
      </c>
      <c r="CI154" s="15" t="s">
        <v>138</v>
      </c>
      <c r="CJ154" s="15" t="s">
        <v>138</v>
      </c>
      <c r="CK154" s="15" t="s">
        <v>138</v>
      </c>
      <c r="CL154" s="15" t="s">
        <v>175</v>
      </c>
      <c r="CM154" s="22" t="s">
        <v>138</v>
      </c>
      <c r="CN154" s="17" t="s">
        <v>138</v>
      </c>
      <c r="CO154" s="23">
        <v>-0.53</v>
      </c>
      <c r="CP154" s="24">
        <v>16</v>
      </c>
      <c r="CQ154" s="23">
        <v>0.03</v>
      </c>
      <c r="CR154" s="23">
        <v>5.17</v>
      </c>
      <c r="CS154" s="23">
        <v>-1.3</v>
      </c>
      <c r="CT154" s="24">
        <v>13</v>
      </c>
      <c r="CU154" s="23">
        <v>0.24</v>
      </c>
      <c r="CV154" s="24">
        <v>84</v>
      </c>
      <c r="CW154" s="23">
        <v>0</v>
      </c>
      <c r="CX154" s="24">
        <v>13</v>
      </c>
      <c r="CY154" s="23">
        <v>-2.59</v>
      </c>
      <c r="CZ154" s="24">
        <v>8</v>
      </c>
      <c r="DA154" s="23">
        <v>0.23</v>
      </c>
      <c r="DB154" s="24">
        <v>85</v>
      </c>
      <c r="DC154" s="25">
        <v>5.05</v>
      </c>
      <c r="DD154" s="24">
        <v>83</v>
      </c>
      <c r="DE154" s="25">
        <v>-0.05</v>
      </c>
      <c r="DF154" s="23">
        <v>-0.9</v>
      </c>
      <c r="DG154" s="25">
        <v>3.6</v>
      </c>
      <c r="DH154" s="24">
        <v>78</v>
      </c>
      <c r="DI154" s="25">
        <v>6.51</v>
      </c>
      <c r="DJ154" s="24">
        <v>81</v>
      </c>
      <c r="DK154" s="25">
        <v>1.81</v>
      </c>
      <c r="DL154" s="24">
        <v>62</v>
      </c>
      <c r="DM154" s="25">
        <v>5.38</v>
      </c>
      <c r="DN154" s="24">
        <v>82</v>
      </c>
      <c r="DO154" s="25">
        <v>11.37</v>
      </c>
      <c r="DP154" s="24">
        <v>88</v>
      </c>
      <c r="DQ154" s="24">
        <v>590</v>
      </c>
      <c r="DR154" s="26">
        <v>96</v>
      </c>
      <c r="DS154" s="23">
        <v>19.43</v>
      </c>
      <c r="DT154" s="24">
        <v>156</v>
      </c>
      <c r="DU154" s="26">
        <v>0</v>
      </c>
      <c r="DV154" s="23">
        <v>0</v>
      </c>
      <c r="DW154" s="24">
        <v>4066</v>
      </c>
      <c r="DX154" s="27">
        <v>12</v>
      </c>
      <c r="DY154" s="23">
        <v>0.3</v>
      </c>
      <c r="DZ154" s="15" t="s">
        <v>178</v>
      </c>
      <c r="EA154" s="22">
        <v>43351</v>
      </c>
      <c r="EB154" s="17" t="s">
        <v>138</v>
      </c>
      <c r="EC154" s="22" t="s">
        <v>138</v>
      </c>
      <c r="ED154" s="15" t="s">
        <v>138</v>
      </c>
      <c r="EE154" s="14" t="str">
        <f>HYPERLINK("https://my.pitchbook.com?c=55590-49", "View company online")</f>
        <v>View company online</v>
      </c>
    </row>
    <row r="155" spans="1:135">
      <c r="A155" s="28" t="s">
        <v>3562</v>
      </c>
      <c r="B155" s="28" t="s">
        <v>3563</v>
      </c>
      <c r="C155" s="28" t="s">
        <v>3564</v>
      </c>
      <c r="D155" s="28" t="s">
        <v>3565</v>
      </c>
      <c r="E155" s="28" t="s">
        <v>3566</v>
      </c>
      <c r="F155" s="28" t="s">
        <v>3562</v>
      </c>
      <c r="G155" s="28" t="s">
        <v>3567</v>
      </c>
      <c r="H155" s="28" t="s">
        <v>322</v>
      </c>
      <c r="I155" s="28" t="s">
        <v>1503</v>
      </c>
      <c r="J155" s="28" t="s">
        <v>1836</v>
      </c>
      <c r="K155" s="28" t="s">
        <v>3568</v>
      </c>
      <c r="L155" s="28" t="s">
        <v>3569</v>
      </c>
      <c r="M155" s="28" t="s">
        <v>3570</v>
      </c>
      <c r="N155" s="28" t="s">
        <v>147</v>
      </c>
      <c r="O155" s="29">
        <v>45.36</v>
      </c>
      <c r="P155" s="28" t="s">
        <v>148</v>
      </c>
      <c r="Q155" s="28" t="s">
        <v>149</v>
      </c>
      <c r="R155" s="28" t="s">
        <v>174</v>
      </c>
      <c r="S155" s="28" t="s">
        <v>3571</v>
      </c>
      <c r="T155" s="30">
        <v>27</v>
      </c>
      <c r="U155" s="28" t="s">
        <v>3572</v>
      </c>
      <c r="V155" s="28" t="s">
        <v>138</v>
      </c>
      <c r="W155" s="28" t="s">
        <v>138</v>
      </c>
      <c r="X155" s="31">
        <v>2009</v>
      </c>
      <c r="Y155" s="28" t="s">
        <v>138</v>
      </c>
      <c r="Z155" s="28" t="s">
        <v>138</v>
      </c>
      <c r="AA155" s="28" t="s">
        <v>138</v>
      </c>
      <c r="AB155" s="32" t="s">
        <v>138</v>
      </c>
      <c r="AC155" s="32" t="s">
        <v>138</v>
      </c>
      <c r="AD155" s="32" t="s">
        <v>138</v>
      </c>
      <c r="AE155" s="32" t="s">
        <v>138</v>
      </c>
      <c r="AF155" s="32" t="s">
        <v>138</v>
      </c>
      <c r="AG155" s="28" t="s">
        <v>138</v>
      </c>
      <c r="AH155" s="32" t="s">
        <v>138</v>
      </c>
      <c r="AI155" s="32" t="s">
        <v>138</v>
      </c>
      <c r="AJ155" s="32" t="s">
        <v>138</v>
      </c>
      <c r="AK155" s="28" t="s">
        <v>3573</v>
      </c>
      <c r="AL155" s="28" t="s">
        <v>3574</v>
      </c>
      <c r="AM155" s="28" t="s">
        <v>3575</v>
      </c>
      <c r="AN155" s="28" t="s">
        <v>3576</v>
      </c>
      <c r="AO155" s="28" t="s">
        <v>138</v>
      </c>
      <c r="AP155" s="28" t="s">
        <v>1292</v>
      </c>
      <c r="AQ155" s="28" t="s">
        <v>3577</v>
      </c>
      <c r="AR155" s="28" t="s">
        <v>3578</v>
      </c>
      <c r="AS155" s="28" t="s">
        <v>1294</v>
      </c>
      <c r="AT155" s="28" t="s">
        <v>864</v>
      </c>
      <c r="AU155" s="28" t="s">
        <v>3579</v>
      </c>
      <c r="AV155" s="28" t="s">
        <v>162</v>
      </c>
      <c r="AW155" s="28" t="s">
        <v>138</v>
      </c>
      <c r="AX155" s="28" t="s">
        <v>138</v>
      </c>
      <c r="AY155" s="28" t="s">
        <v>3580</v>
      </c>
      <c r="AZ155" s="28" t="s">
        <v>164</v>
      </c>
      <c r="BA155" s="28" t="s">
        <v>165</v>
      </c>
      <c r="BB155" s="28" t="s">
        <v>3581</v>
      </c>
      <c r="BC155" s="28" t="s">
        <v>3582</v>
      </c>
      <c r="BD155" s="33">
        <v>23</v>
      </c>
      <c r="BE155" s="28" t="s">
        <v>138</v>
      </c>
      <c r="BF155" s="28" t="s">
        <v>138</v>
      </c>
      <c r="BG155" s="28" t="s">
        <v>138</v>
      </c>
      <c r="BH155" s="28" t="s">
        <v>3583</v>
      </c>
      <c r="BI155" s="28" t="s">
        <v>138</v>
      </c>
      <c r="BJ155" s="28" t="s">
        <v>138</v>
      </c>
      <c r="BK155" s="28" t="s">
        <v>3584</v>
      </c>
      <c r="BL155" s="28" t="s">
        <v>3585</v>
      </c>
      <c r="BM155" s="34">
        <v>41275</v>
      </c>
      <c r="BN155" s="29">
        <v>2.61</v>
      </c>
      <c r="BO155" s="28" t="s">
        <v>1178</v>
      </c>
      <c r="BP155" s="29" t="s">
        <v>138</v>
      </c>
      <c r="BQ155" s="28" t="s">
        <v>138</v>
      </c>
      <c r="BR155" s="28" t="s">
        <v>176</v>
      </c>
      <c r="BS155" s="28" t="s">
        <v>138</v>
      </c>
      <c r="BT155" s="28" t="s">
        <v>138</v>
      </c>
      <c r="BU155" s="28" t="s">
        <v>177</v>
      </c>
      <c r="BV155" s="28" t="s">
        <v>138</v>
      </c>
      <c r="BW155" s="28" t="s">
        <v>138</v>
      </c>
      <c r="BX155" s="28" t="s">
        <v>138</v>
      </c>
      <c r="BY155" s="28" t="s">
        <v>175</v>
      </c>
      <c r="BZ155" s="34">
        <v>43318</v>
      </c>
      <c r="CA155" s="29">
        <v>25.91</v>
      </c>
      <c r="CB155" s="28" t="s">
        <v>172</v>
      </c>
      <c r="CC155" s="29">
        <v>105.91</v>
      </c>
      <c r="CD155" s="28" t="s">
        <v>172</v>
      </c>
      <c r="CE155" s="28" t="s">
        <v>173</v>
      </c>
      <c r="CF155" s="28" t="s">
        <v>720</v>
      </c>
      <c r="CG155" s="28" t="s">
        <v>138</v>
      </c>
      <c r="CH155" s="28" t="s">
        <v>174</v>
      </c>
      <c r="CI155" s="28" t="s">
        <v>138</v>
      </c>
      <c r="CJ155" s="28" t="s">
        <v>138</v>
      </c>
      <c r="CK155" s="28" t="s">
        <v>138</v>
      </c>
      <c r="CL155" s="28" t="s">
        <v>175</v>
      </c>
      <c r="CM155" s="34" t="s">
        <v>138</v>
      </c>
      <c r="CN155" s="29" t="s">
        <v>138</v>
      </c>
      <c r="CO155" s="35">
        <v>-0.6</v>
      </c>
      <c r="CP155" s="36">
        <v>15</v>
      </c>
      <c r="CQ155" s="35">
        <v>0.18</v>
      </c>
      <c r="CR155" s="35">
        <v>23.18</v>
      </c>
      <c r="CS155" s="35">
        <v>-1.36</v>
      </c>
      <c r="CT155" s="36">
        <v>12</v>
      </c>
      <c r="CU155" s="35">
        <v>0.17</v>
      </c>
      <c r="CV155" s="36">
        <v>77</v>
      </c>
      <c r="CW155" s="35">
        <v>0</v>
      </c>
      <c r="CX155" s="36">
        <v>13</v>
      </c>
      <c r="CY155" s="35">
        <v>-2.72</v>
      </c>
      <c r="CZ155" s="36">
        <v>8</v>
      </c>
      <c r="DA155" s="35">
        <v>0.17</v>
      </c>
      <c r="DB155" s="36">
        <v>80</v>
      </c>
      <c r="DC155" s="37">
        <v>2.2799999999999998</v>
      </c>
      <c r="DD155" s="36">
        <v>70</v>
      </c>
      <c r="DE155" s="37">
        <v>-0.03</v>
      </c>
      <c r="DF155" s="35">
        <v>-1.1200000000000001</v>
      </c>
      <c r="DG155" s="37">
        <v>2.4900000000000002</v>
      </c>
      <c r="DH155" s="36">
        <v>71</v>
      </c>
      <c r="DI155" s="37">
        <v>2.06</v>
      </c>
      <c r="DJ155" s="36">
        <v>63</v>
      </c>
      <c r="DK155" s="37">
        <v>1.1599999999999999</v>
      </c>
      <c r="DL155" s="36">
        <v>53</v>
      </c>
      <c r="DM155" s="37">
        <v>3.83</v>
      </c>
      <c r="DN155" s="36">
        <v>77</v>
      </c>
      <c r="DO155" s="37">
        <v>2.06</v>
      </c>
      <c r="DP155" s="36">
        <v>64</v>
      </c>
      <c r="DQ155" s="36">
        <v>408</v>
      </c>
      <c r="DR155" s="38">
        <v>-33</v>
      </c>
      <c r="DS155" s="35">
        <v>-7.48</v>
      </c>
      <c r="DT155" s="36">
        <v>111</v>
      </c>
      <c r="DU155" s="38">
        <v>1</v>
      </c>
      <c r="DV155" s="35">
        <v>0.91</v>
      </c>
      <c r="DW155" s="36">
        <v>737</v>
      </c>
      <c r="DX155" s="39">
        <v>5</v>
      </c>
      <c r="DY155" s="35">
        <v>0.68</v>
      </c>
      <c r="DZ155" s="28" t="s">
        <v>178</v>
      </c>
      <c r="EA155" s="34">
        <v>43530</v>
      </c>
      <c r="EB155" s="29">
        <v>105.91</v>
      </c>
      <c r="EC155" s="34">
        <v>43318</v>
      </c>
      <c r="ED155" s="28" t="s">
        <v>173</v>
      </c>
      <c r="EE155" s="40" t="str">
        <f>HYPERLINK("https://my.pitchbook.com?c=104764-42", "View company online")</f>
        <v>View company online</v>
      </c>
    </row>
    <row r="156" spans="1:135">
      <c r="A156" s="15" t="s">
        <v>3586</v>
      </c>
      <c r="B156" s="15" t="s">
        <v>3565</v>
      </c>
      <c r="C156" s="15" t="s">
        <v>138</v>
      </c>
      <c r="D156" s="15" t="s">
        <v>138</v>
      </c>
      <c r="E156" s="15" t="s">
        <v>138</v>
      </c>
      <c r="F156" s="15" t="s">
        <v>3586</v>
      </c>
      <c r="G156" s="15" t="s">
        <v>3587</v>
      </c>
      <c r="H156" s="15" t="s">
        <v>141</v>
      </c>
      <c r="I156" s="15" t="s">
        <v>212</v>
      </c>
      <c r="J156" s="15" t="s">
        <v>3169</v>
      </c>
      <c r="K156" s="15" t="s">
        <v>3588</v>
      </c>
      <c r="L156" s="15" t="s">
        <v>3589</v>
      </c>
      <c r="M156" s="15" t="s">
        <v>3590</v>
      </c>
      <c r="N156" s="15" t="s">
        <v>147</v>
      </c>
      <c r="O156" s="17" t="s">
        <v>138</v>
      </c>
      <c r="P156" s="15" t="s">
        <v>148</v>
      </c>
      <c r="Q156" s="15" t="s">
        <v>149</v>
      </c>
      <c r="R156" s="15" t="s">
        <v>174</v>
      </c>
      <c r="S156" s="15" t="s">
        <v>3591</v>
      </c>
      <c r="T156" s="18">
        <v>5</v>
      </c>
      <c r="U156" s="15" t="s">
        <v>3592</v>
      </c>
      <c r="V156" s="15" t="s">
        <v>138</v>
      </c>
      <c r="W156" s="15" t="s">
        <v>138</v>
      </c>
      <c r="X156" s="19">
        <v>2015</v>
      </c>
      <c r="Y156" s="15" t="s">
        <v>138</v>
      </c>
      <c r="Z156" s="15" t="s">
        <v>138</v>
      </c>
      <c r="AA156" s="15" t="s">
        <v>138</v>
      </c>
      <c r="AB156" s="20" t="s">
        <v>138</v>
      </c>
      <c r="AC156" s="20" t="s">
        <v>138</v>
      </c>
      <c r="AD156" s="20" t="s">
        <v>138</v>
      </c>
      <c r="AE156" s="20" t="s">
        <v>138</v>
      </c>
      <c r="AF156" s="20" t="s">
        <v>138</v>
      </c>
      <c r="AG156" s="15" t="s">
        <v>138</v>
      </c>
      <c r="AH156" s="20" t="s">
        <v>138</v>
      </c>
      <c r="AI156" s="20" t="s">
        <v>138</v>
      </c>
      <c r="AJ156" s="20" t="s">
        <v>138</v>
      </c>
      <c r="AK156" s="15" t="s">
        <v>3593</v>
      </c>
      <c r="AL156" s="15" t="s">
        <v>3594</v>
      </c>
      <c r="AM156" s="15" t="s">
        <v>304</v>
      </c>
      <c r="AN156" s="15" t="s">
        <v>3595</v>
      </c>
      <c r="AO156" s="15" t="s">
        <v>3596</v>
      </c>
      <c r="AP156" s="15" t="s">
        <v>423</v>
      </c>
      <c r="AQ156" s="15" t="s">
        <v>3597</v>
      </c>
      <c r="AR156" s="15" t="s">
        <v>1073</v>
      </c>
      <c r="AS156" s="15" t="s">
        <v>426</v>
      </c>
      <c r="AT156" s="15" t="s">
        <v>426</v>
      </c>
      <c r="AU156" s="15" t="s">
        <v>2130</v>
      </c>
      <c r="AV156" s="15" t="s">
        <v>162</v>
      </c>
      <c r="AW156" s="15" t="s">
        <v>3596</v>
      </c>
      <c r="AX156" s="15" t="s">
        <v>138</v>
      </c>
      <c r="AY156" s="15" t="s">
        <v>3598</v>
      </c>
      <c r="AZ156" s="15" t="s">
        <v>164</v>
      </c>
      <c r="BA156" s="15" t="s">
        <v>165</v>
      </c>
      <c r="BB156" s="15" t="s">
        <v>3599</v>
      </c>
      <c r="BC156" s="15" t="s">
        <v>3600</v>
      </c>
      <c r="BD156" s="21">
        <v>6</v>
      </c>
      <c r="BE156" s="15" t="s">
        <v>138</v>
      </c>
      <c r="BF156" s="15" t="s">
        <v>138</v>
      </c>
      <c r="BG156" s="15" t="s">
        <v>138</v>
      </c>
      <c r="BH156" s="15" t="s">
        <v>3601</v>
      </c>
      <c r="BI156" s="15" t="s">
        <v>138</v>
      </c>
      <c r="BJ156" s="15" t="s">
        <v>138</v>
      </c>
      <c r="BK156" s="15" t="s">
        <v>138</v>
      </c>
      <c r="BL156" s="15" t="s">
        <v>138</v>
      </c>
      <c r="BM156" s="22" t="s">
        <v>138</v>
      </c>
      <c r="BN156" s="17" t="s">
        <v>138</v>
      </c>
      <c r="BO156" s="15" t="s">
        <v>138</v>
      </c>
      <c r="BP156" s="17" t="s">
        <v>138</v>
      </c>
      <c r="BQ156" s="15" t="s">
        <v>138</v>
      </c>
      <c r="BR156" s="15" t="s">
        <v>316</v>
      </c>
      <c r="BS156" s="15" t="s">
        <v>138</v>
      </c>
      <c r="BT156" s="15" t="s">
        <v>138</v>
      </c>
      <c r="BU156" s="15" t="s">
        <v>177</v>
      </c>
      <c r="BV156" s="15" t="s">
        <v>138</v>
      </c>
      <c r="BW156" s="15" t="s">
        <v>138</v>
      </c>
      <c r="BX156" s="15" t="s">
        <v>138</v>
      </c>
      <c r="BY156" s="15" t="s">
        <v>175</v>
      </c>
      <c r="BZ156" s="22">
        <v>43282</v>
      </c>
      <c r="CA156" s="17" t="s">
        <v>138</v>
      </c>
      <c r="CB156" s="15" t="s">
        <v>138</v>
      </c>
      <c r="CC156" s="17" t="s">
        <v>138</v>
      </c>
      <c r="CD156" s="15" t="s">
        <v>138</v>
      </c>
      <c r="CE156" s="15" t="s">
        <v>205</v>
      </c>
      <c r="CF156" s="15" t="s">
        <v>138</v>
      </c>
      <c r="CG156" s="15" t="s">
        <v>138</v>
      </c>
      <c r="CH156" s="15" t="s">
        <v>174</v>
      </c>
      <c r="CI156" s="15" t="s">
        <v>138</v>
      </c>
      <c r="CJ156" s="15" t="s">
        <v>138</v>
      </c>
      <c r="CK156" s="15" t="s">
        <v>138</v>
      </c>
      <c r="CL156" s="15" t="s">
        <v>175</v>
      </c>
      <c r="CM156" s="22" t="s">
        <v>138</v>
      </c>
      <c r="CN156" s="17" t="s">
        <v>138</v>
      </c>
      <c r="CO156" s="23">
        <v>-0.05</v>
      </c>
      <c r="CP156" s="24">
        <v>22</v>
      </c>
      <c r="CQ156" s="23">
        <v>0</v>
      </c>
      <c r="CR156" s="23">
        <v>0</v>
      </c>
      <c r="CS156" s="23">
        <v>0</v>
      </c>
      <c r="CT156" s="24">
        <v>23</v>
      </c>
      <c r="CU156" s="23">
        <v>-0.11</v>
      </c>
      <c r="CV156" s="24">
        <v>3</v>
      </c>
      <c r="CW156" s="23" t="s">
        <v>138</v>
      </c>
      <c r="CX156" s="24" t="s">
        <v>138</v>
      </c>
      <c r="CY156" s="23">
        <v>0</v>
      </c>
      <c r="CZ156" s="24">
        <v>25</v>
      </c>
      <c r="DA156" s="23">
        <v>-0.11</v>
      </c>
      <c r="DB156" s="24">
        <v>5</v>
      </c>
      <c r="DC156" s="25">
        <v>0.78</v>
      </c>
      <c r="DD156" s="24">
        <v>45</v>
      </c>
      <c r="DE156" s="25">
        <v>0</v>
      </c>
      <c r="DF156" s="23">
        <v>0.12</v>
      </c>
      <c r="DG156" s="25">
        <v>1.24</v>
      </c>
      <c r="DH156" s="24">
        <v>56</v>
      </c>
      <c r="DI156" s="25">
        <v>0.32</v>
      </c>
      <c r="DJ156" s="24">
        <v>29</v>
      </c>
      <c r="DK156" s="25" t="s">
        <v>138</v>
      </c>
      <c r="DL156" s="24" t="s">
        <v>138</v>
      </c>
      <c r="DM156" s="25">
        <v>1.24</v>
      </c>
      <c r="DN156" s="24">
        <v>55</v>
      </c>
      <c r="DO156" s="25">
        <v>0.32</v>
      </c>
      <c r="DP156" s="24">
        <v>31</v>
      </c>
      <c r="DQ156" s="24" t="s">
        <v>138</v>
      </c>
      <c r="DR156" s="26" t="s">
        <v>138</v>
      </c>
      <c r="DS156" s="23" t="s">
        <v>138</v>
      </c>
      <c r="DT156" s="24">
        <v>36</v>
      </c>
      <c r="DU156" s="26">
        <v>0</v>
      </c>
      <c r="DV156" s="23">
        <v>0</v>
      </c>
      <c r="DW156" s="24">
        <v>116</v>
      </c>
      <c r="DX156" s="27">
        <v>0</v>
      </c>
      <c r="DY156" s="23">
        <v>0</v>
      </c>
      <c r="DZ156" s="15" t="s">
        <v>178</v>
      </c>
      <c r="EA156" s="22">
        <v>43351</v>
      </c>
      <c r="EB156" s="17" t="s">
        <v>138</v>
      </c>
      <c r="EC156" s="22" t="s">
        <v>138</v>
      </c>
      <c r="ED156" s="15" t="s">
        <v>138</v>
      </c>
      <c r="EE156" s="14" t="str">
        <f>HYPERLINK("https://my.pitchbook.com?c=157599-28", "View company online")</f>
        <v>View company online</v>
      </c>
    </row>
    <row r="157" spans="1:135">
      <c r="A157" s="28" t="s">
        <v>3602</v>
      </c>
      <c r="B157" s="28" t="s">
        <v>3603</v>
      </c>
      <c r="C157" s="28" t="s">
        <v>138</v>
      </c>
      <c r="D157" s="28" t="s">
        <v>138</v>
      </c>
      <c r="E157" s="28" t="s">
        <v>138</v>
      </c>
      <c r="F157" s="28" t="s">
        <v>3602</v>
      </c>
      <c r="G157" s="28" t="s">
        <v>3604</v>
      </c>
      <c r="H157" s="28" t="s">
        <v>322</v>
      </c>
      <c r="I157" s="28" t="s">
        <v>323</v>
      </c>
      <c r="J157" s="28" t="s">
        <v>324</v>
      </c>
      <c r="K157" s="28" t="s">
        <v>325</v>
      </c>
      <c r="L157" s="28" t="s">
        <v>215</v>
      </c>
      <c r="M157" s="28" t="s">
        <v>3605</v>
      </c>
      <c r="N157" s="28" t="s">
        <v>1212</v>
      </c>
      <c r="O157" s="29">
        <v>0.13</v>
      </c>
      <c r="P157" s="28" t="s">
        <v>148</v>
      </c>
      <c r="Q157" s="28" t="s">
        <v>149</v>
      </c>
      <c r="R157" s="28" t="s">
        <v>174</v>
      </c>
      <c r="S157" s="28" t="s">
        <v>3606</v>
      </c>
      <c r="T157" s="30">
        <v>1</v>
      </c>
      <c r="U157" s="28" t="s">
        <v>3607</v>
      </c>
      <c r="V157" s="28" t="s">
        <v>138</v>
      </c>
      <c r="W157" s="28" t="s">
        <v>138</v>
      </c>
      <c r="X157" s="31">
        <v>2012</v>
      </c>
      <c r="Y157" s="28" t="s">
        <v>138</v>
      </c>
      <c r="Z157" s="28" t="s">
        <v>138</v>
      </c>
      <c r="AA157" s="28" t="s">
        <v>138</v>
      </c>
      <c r="AB157" s="32" t="s">
        <v>138</v>
      </c>
      <c r="AC157" s="32" t="s">
        <v>138</v>
      </c>
      <c r="AD157" s="32" t="s">
        <v>138</v>
      </c>
      <c r="AE157" s="32" t="s">
        <v>138</v>
      </c>
      <c r="AF157" s="32" t="s">
        <v>138</v>
      </c>
      <c r="AG157" s="28" t="s">
        <v>138</v>
      </c>
      <c r="AH157" s="32" t="s">
        <v>138</v>
      </c>
      <c r="AI157" s="32" t="s">
        <v>138</v>
      </c>
      <c r="AJ157" s="32" t="s">
        <v>138</v>
      </c>
      <c r="AK157" s="28" t="s">
        <v>3608</v>
      </c>
      <c r="AL157" s="28" t="s">
        <v>3609</v>
      </c>
      <c r="AM157" s="28" t="s">
        <v>986</v>
      </c>
      <c r="AN157" s="28" t="s">
        <v>3610</v>
      </c>
      <c r="AO157" s="28" t="s">
        <v>3611</v>
      </c>
      <c r="AP157" s="28" t="s">
        <v>3612</v>
      </c>
      <c r="AQ157" s="28" t="s">
        <v>3613</v>
      </c>
      <c r="AR157" s="28" t="s">
        <v>138</v>
      </c>
      <c r="AS157" s="28" t="s">
        <v>3614</v>
      </c>
      <c r="AT157" s="28" t="s">
        <v>138</v>
      </c>
      <c r="AU157" s="28" t="s">
        <v>3615</v>
      </c>
      <c r="AV157" s="28" t="s">
        <v>946</v>
      </c>
      <c r="AW157" s="28" t="s">
        <v>3616</v>
      </c>
      <c r="AX157" s="28" t="s">
        <v>138</v>
      </c>
      <c r="AY157" s="28" t="s">
        <v>3617</v>
      </c>
      <c r="AZ157" s="28" t="s">
        <v>530</v>
      </c>
      <c r="BA157" s="28" t="s">
        <v>531</v>
      </c>
      <c r="BB157" s="28" t="s">
        <v>2910</v>
      </c>
      <c r="BC157" s="28" t="s">
        <v>138</v>
      </c>
      <c r="BD157" s="33" t="s">
        <v>138</v>
      </c>
      <c r="BE157" s="28" t="s">
        <v>138</v>
      </c>
      <c r="BF157" s="28" t="s">
        <v>2912</v>
      </c>
      <c r="BG157" s="28" t="s">
        <v>138</v>
      </c>
      <c r="BH157" s="28" t="s">
        <v>138</v>
      </c>
      <c r="BI157" s="28" t="s">
        <v>2914</v>
      </c>
      <c r="BJ157" s="28" t="s">
        <v>138</v>
      </c>
      <c r="BK157" s="28" t="s">
        <v>138</v>
      </c>
      <c r="BL157" s="28" t="s">
        <v>138</v>
      </c>
      <c r="BM157" s="34">
        <v>41382</v>
      </c>
      <c r="BN157" s="29">
        <v>0.13</v>
      </c>
      <c r="BO157" s="28" t="s">
        <v>172</v>
      </c>
      <c r="BP157" s="29" t="s">
        <v>138</v>
      </c>
      <c r="BQ157" s="28" t="s">
        <v>138</v>
      </c>
      <c r="BR157" s="28" t="s">
        <v>234</v>
      </c>
      <c r="BS157" s="28" t="s">
        <v>234</v>
      </c>
      <c r="BT157" s="28" t="s">
        <v>138</v>
      </c>
      <c r="BU157" s="28" t="s">
        <v>174</v>
      </c>
      <c r="BV157" s="28" t="s">
        <v>138</v>
      </c>
      <c r="BW157" s="28" t="s">
        <v>138</v>
      </c>
      <c r="BX157" s="28" t="s">
        <v>138</v>
      </c>
      <c r="BY157" s="28" t="s">
        <v>175</v>
      </c>
      <c r="BZ157" s="34" t="s">
        <v>138</v>
      </c>
      <c r="CA157" s="29" t="s">
        <v>138</v>
      </c>
      <c r="CB157" s="28" t="s">
        <v>138</v>
      </c>
      <c r="CC157" s="29" t="s">
        <v>138</v>
      </c>
      <c r="CD157" s="28" t="s">
        <v>138</v>
      </c>
      <c r="CE157" s="28" t="s">
        <v>379</v>
      </c>
      <c r="CF157" s="28" t="s">
        <v>138</v>
      </c>
      <c r="CG157" s="28" t="s">
        <v>138</v>
      </c>
      <c r="CH157" s="28" t="s">
        <v>174</v>
      </c>
      <c r="CI157" s="28" t="s">
        <v>138</v>
      </c>
      <c r="CJ157" s="28" t="s">
        <v>138</v>
      </c>
      <c r="CK157" s="28" t="s">
        <v>138</v>
      </c>
      <c r="CL157" s="28" t="s">
        <v>175</v>
      </c>
      <c r="CM157" s="34" t="s">
        <v>138</v>
      </c>
      <c r="CN157" s="29" t="s">
        <v>138</v>
      </c>
      <c r="CO157" s="35" t="s">
        <v>138</v>
      </c>
      <c r="CP157" s="36" t="s">
        <v>138</v>
      </c>
      <c r="CQ157" s="35" t="s">
        <v>138</v>
      </c>
      <c r="CR157" s="35" t="s">
        <v>138</v>
      </c>
      <c r="CS157" s="35" t="s">
        <v>138</v>
      </c>
      <c r="CT157" s="36" t="s">
        <v>138</v>
      </c>
      <c r="CU157" s="35" t="s">
        <v>138</v>
      </c>
      <c r="CV157" s="36" t="s">
        <v>138</v>
      </c>
      <c r="CW157" s="35" t="s">
        <v>138</v>
      </c>
      <c r="CX157" s="36" t="s">
        <v>138</v>
      </c>
      <c r="CY157" s="35" t="s">
        <v>138</v>
      </c>
      <c r="CZ157" s="36" t="s">
        <v>138</v>
      </c>
      <c r="DA157" s="35" t="s">
        <v>138</v>
      </c>
      <c r="DB157" s="36" t="s">
        <v>138</v>
      </c>
      <c r="DC157" s="37" t="s">
        <v>138</v>
      </c>
      <c r="DD157" s="36" t="s">
        <v>138</v>
      </c>
      <c r="DE157" s="37" t="s">
        <v>138</v>
      </c>
      <c r="DF157" s="35" t="s">
        <v>138</v>
      </c>
      <c r="DG157" s="37" t="s">
        <v>138</v>
      </c>
      <c r="DH157" s="36" t="s">
        <v>138</v>
      </c>
      <c r="DI157" s="37" t="s">
        <v>138</v>
      </c>
      <c r="DJ157" s="36" t="s">
        <v>138</v>
      </c>
      <c r="DK157" s="37" t="s">
        <v>138</v>
      </c>
      <c r="DL157" s="36" t="s">
        <v>138</v>
      </c>
      <c r="DM157" s="37" t="s">
        <v>138</v>
      </c>
      <c r="DN157" s="36" t="s">
        <v>138</v>
      </c>
      <c r="DO157" s="37" t="s">
        <v>138</v>
      </c>
      <c r="DP157" s="36" t="s">
        <v>138</v>
      </c>
      <c r="DQ157" s="36" t="s">
        <v>138</v>
      </c>
      <c r="DR157" s="38" t="s">
        <v>138</v>
      </c>
      <c r="DS157" s="35" t="s">
        <v>138</v>
      </c>
      <c r="DT157" s="36" t="s">
        <v>138</v>
      </c>
      <c r="DU157" s="38" t="s">
        <v>138</v>
      </c>
      <c r="DV157" s="35" t="s">
        <v>138</v>
      </c>
      <c r="DW157" s="36" t="s">
        <v>138</v>
      </c>
      <c r="DX157" s="39" t="s">
        <v>138</v>
      </c>
      <c r="DY157" s="35" t="s">
        <v>138</v>
      </c>
      <c r="DZ157" s="28" t="s">
        <v>178</v>
      </c>
      <c r="EA157" s="34">
        <v>43448</v>
      </c>
      <c r="EB157" s="29" t="s">
        <v>138</v>
      </c>
      <c r="EC157" s="34" t="s">
        <v>138</v>
      </c>
      <c r="ED157" s="28" t="s">
        <v>138</v>
      </c>
      <c r="EE157" s="40" t="str">
        <f>HYPERLINK("https://my.pitchbook.com?c=64308-61", "View company online")</f>
        <v>View company online</v>
      </c>
    </row>
    <row r="158" spans="1:135">
      <c r="A158" s="15" t="s">
        <v>3618</v>
      </c>
      <c r="B158" s="15" t="s">
        <v>3619</v>
      </c>
      <c r="C158" s="15" t="s">
        <v>138</v>
      </c>
      <c r="D158" s="15" t="s">
        <v>138</v>
      </c>
      <c r="E158" s="15" t="s">
        <v>3620</v>
      </c>
      <c r="F158" s="15" t="s">
        <v>3618</v>
      </c>
      <c r="G158" s="15" t="s">
        <v>3621</v>
      </c>
      <c r="H158" s="15" t="s">
        <v>322</v>
      </c>
      <c r="I158" s="15" t="s">
        <v>356</v>
      </c>
      <c r="J158" s="15" t="s">
        <v>1901</v>
      </c>
      <c r="K158" s="15" t="s">
        <v>3622</v>
      </c>
      <c r="L158" s="15" t="s">
        <v>415</v>
      </c>
      <c r="M158" s="15" t="s">
        <v>3623</v>
      </c>
      <c r="N158" s="15" t="s">
        <v>147</v>
      </c>
      <c r="O158" s="17">
        <v>57.35</v>
      </c>
      <c r="P158" s="15" t="s">
        <v>610</v>
      </c>
      <c r="Q158" s="15" t="s">
        <v>149</v>
      </c>
      <c r="R158" s="15" t="s">
        <v>174</v>
      </c>
      <c r="S158" s="15" t="s">
        <v>3624</v>
      </c>
      <c r="T158" s="18">
        <v>300</v>
      </c>
      <c r="U158" s="15" t="s">
        <v>3625</v>
      </c>
      <c r="V158" s="15" t="s">
        <v>138</v>
      </c>
      <c r="W158" s="15" t="s">
        <v>138</v>
      </c>
      <c r="X158" s="19">
        <v>2012</v>
      </c>
      <c r="Y158" s="15" t="s">
        <v>138</v>
      </c>
      <c r="Z158" s="15" t="s">
        <v>138</v>
      </c>
      <c r="AA158" s="15" t="s">
        <v>138</v>
      </c>
      <c r="AB158" s="20" t="s">
        <v>138</v>
      </c>
      <c r="AC158" s="20" t="s">
        <v>138</v>
      </c>
      <c r="AD158" s="20" t="s">
        <v>138</v>
      </c>
      <c r="AE158" s="20" t="s">
        <v>138</v>
      </c>
      <c r="AF158" s="20" t="s">
        <v>138</v>
      </c>
      <c r="AG158" s="15" t="s">
        <v>138</v>
      </c>
      <c r="AH158" s="20" t="s">
        <v>138</v>
      </c>
      <c r="AI158" s="20" t="s">
        <v>138</v>
      </c>
      <c r="AJ158" s="20" t="s">
        <v>138</v>
      </c>
      <c r="AK158" s="15" t="s">
        <v>3626</v>
      </c>
      <c r="AL158" s="15" t="s">
        <v>3627</v>
      </c>
      <c r="AM158" s="15" t="s">
        <v>3628</v>
      </c>
      <c r="AN158" s="15" t="s">
        <v>3629</v>
      </c>
      <c r="AO158" s="15" t="s">
        <v>138</v>
      </c>
      <c r="AP158" s="15" t="s">
        <v>1220</v>
      </c>
      <c r="AQ158" s="15" t="s">
        <v>2219</v>
      </c>
      <c r="AR158" s="15" t="s">
        <v>3630</v>
      </c>
      <c r="AS158" s="15" t="s">
        <v>1223</v>
      </c>
      <c r="AT158" s="15" t="s">
        <v>200</v>
      </c>
      <c r="AU158" s="15" t="s">
        <v>1484</v>
      </c>
      <c r="AV158" s="15" t="s">
        <v>162</v>
      </c>
      <c r="AW158" s="15" t="s">
        <v>3631</v>
      </c>
      <c r="AX158" s="15" t="s">
        <v>138</v>
      </c>
      <c r="AY158" s="15" t="s">
        <v>138</v>
      </c>
      <c r="AZ158" s="15" t="s">
        <v>164</v>
      </c>
      <c r="BA158" s="15" t="s">
        <v>165</v>
      </c>
      <c r="BB158" s="15" t="s">
        <v>3632</v>
      </c>
      <c r="BC158" s="15" t="s">
        <v>3633</v>
      </c>
      <c r="BD158" s="21">
        <v>6</v>
      </c>
      <c r="BE158" s="15" t="s">
        <v>138</v>
      </c>
      <c r="BF158" s="15" t="s">
        <v>138</v>
      </c>
      <c r="BG158" s="15" t="s">
        <v>138</v>
      </c>
      <c r="BH158" s="15" t="s">
        <v>3634</v>
      </c>
      <c r="BI158" s="15" t="s">
        <v>138</v>
      </c>
      <c r="BJ158" s="15" t="s">
        <v>138</v>
      </c>
      <c r="BK158" s="15" t="s">
        <v>3635</v>
      </c>
      <c r="BL158" s="15" t="s">
        <v>2936</v>
      </c>
      <c r="BM158" s="22">
        <v>41239</v>
      </c>
      <c r="BN158" s="17">
        <v>14.35</v>
      </c>
      <c r="BO158" s="15" t="s">
        <v>172</v>
      </c>
      <c r="BP158" s="17">
        <v>35</v>
      </c>
      <c r="BQ158" s="15" t="s">
        <v>172</v>
      </c>
      <c r="BR158" s="15" t="s">
        <v>205</v>
      </c>
      <c r="BS158" s="15" t="s">
        <v>206</v>
      </c>
      <c r="BT158" s="15" t="s">
        <v>138</v>
      </c>
      <c r="BU158" s="15" t="s">
        <v>174</v>
      </c>
      <c r="BV158" s="15" t="s">
        <v>138</v>
      </c>
      <c r="BW158" s="15" t="s">
        <v>138</v>
      </c>
      <c r="BX158" s="15" t="s">
        <v>138</v>
      </c>
      <c r="BY158" s="15" t="s">
        <v>175</v>
      </c>
      <c r="BZ158" s="22">
        <v>41953</v>
      </c>
      <c r="CA158" s="17">
        <v>43</v>
      </c>
      <c r="CB158" s="15" t="s">
        <v>172</v>
      </c>
      <c r="CC158" s="17">
        <v>116</v>
      </c>
      <c r="CD158" s="15" t="s">
        <v>172</v>
      </c>
      <c r="CE158" s="15" t="s">
        <v>205</v>
      </c>
      <c r="CF158" s="15" t="s">
        <v>720</v>
      </c>
      <c r="CG158" s="15" t="s">
        <v>138</v>
      </c>
      <c r="CH158" s="15" t="s">
        <v>174</v>
      </c>
      <c r="CI158" s="15" t="s">
        <v>1080</v>
      </c>
      <c r="CJ158" s="15" t="s">
        <v>138</v>
      </c>
      <c r="CK158" s="15" t="s">
        <v>138</v>
      </c>
      <c r="CL158" s="15" t="s">
        <v>175</v>
      </c>
      <c r="CM158" s="22" t="s">
        <v>138</v>
      </c>
      <c r="CN158" s="17" t="s">
        <v>138</v>
      </c>
      <c r="CO158" s="23">
        <v>-0.56999999999999995</v>
      </c>
      <c r="CP158" s="24">
        <v>15</v>
      </c>
      <c r="CQ158" s="23">
        <v>0</v>
      </c>
      <c r="CR158" s="23">
        <v>-0.12</v>
      </c>
      <c r="CS158" s="23">
        <v>-2.0499999999999998</v>
      </c>
      <c r="CT158" s="24">
        <v>9</v>
      </c>
      <c r="CU158" s="23">
        <v>-0.12</v>
      </c>
      <c r="CV158" s="24">
        <v>3</v>
      </c>
      <c r="CW158" s="23">
        <v>0.8</v>
      </c>
      <c r="CX158" s="24">
        <v>84</v>
      </c>
      <c r="CY158" s="23">
        <v>-4.9000000000000004</v>
      </c>
      <c r="CZ158" s="24">
        <v>3</v>
      </c>
      <c r="DA158" s="23">
        <v>-0.23</v>
      </c>
      <c r="DB158" s="24">
        <v>2</v>
      </c>
      <c r="DC158" s="25">
        <v>12.02</v>
      </c>
      <c r="DD158" s="24">
        <v>91</v>
      </c>
      <c r="DE158" s="25">
        <v>-0.15</v>
      </c>
      <c r="DF158" s="23">
        <v>-1.22</v>
      </c>
      <c r="DG158" s="25">
        <v>15.78</v>
      </c>
      <c r="DH158" s="24">
        <v>93</v>
      </c>
      <c r="DI158" s="25">
        <v>19.809999999999999</v>
      </c>
      <c r="DJ158" s="24">
        <v>91</v>
      </c>
      <c r="DK158" s="25">
        <v>9.01</v>
      </c>
      <c r="DL158" s="24">
        <v>86</v>
      </c>
      <c r="DM158" s="25">
        <v>22.55</v>
      </c>
      <c r="DN158" s="24">
        <v>95</v>
      </c>
      <c r="DO158" s="25">
        <v>39.549999999999997</v>
      </c>
      <c r="DP158" s="24">
        <v>96</v>
      </c>
      <c r="DQ158" s="24">
        <v>3107</v>
      </c>
      <c r="DR158" s="26">
        <v>-54</v>
      </c>
      <c r="DS158" s="23">
        <v>-1.71</v>
      </c>
      <c r="DT158" s="24">
        <v>653</v>
      </c>
      <c r="DU158" s="26">
        <v>1</v>
      </c>
      <c r="DV158" s="23">
        <v>0.15</v>
      </c>
      <c r="DW158" s="24">
        <v>14165</v>
      </c>
      <c r="DX158" s="27">
        <v>-16</v>
      </c>
      <c r="DY158" s="23">
        <v>-0.11</v>
      </c>
      <c r="DZ158" s="15" t="s">
        <v>178</v>
      </c>
      <c r="EA158" s="22">
        <v>43605</v>
      </c>
      <c r="EB158" s="17">
        <v>116</v>
      </c>
      <c r="EC158" s="22">
        <v>41953</v>
      </c>
      <c r="ED158" s="15" t="s">
        <v>205</v>
      </c>
      <c r="EE158" s="14" t="str">
        <f>HYPERLINK("https://my.pitchbook.com?c=55680-76", "View company online")</f>
        <v>View company online</v>
      </c>
    </row>
    <row r="159" spans="1:135">
      <c r="A159" s="28" t="s">
        <v>3636</v>
      </c>
      <c r="B159" s="28" t="s">
        <v>3637</v>
      </c>
      <c r="C159" s="28" t="s">
        <v>138</v>
      </c>
      <c r="D159" s="28" t="s">
        <v>138</v>
      </c>
      <c r="E159" s="28" t="s">
        <v>3638</v>
      </c>
      <c r="F159" s="28" t="s">
        <v>3636</v>
      </c>
      <c r="G159" s="28" t="s">
        <v>3639</v>
      </c>
      <c r="H159" s="28" t="s">
        <v>322</v>
      </c>
      <c r="I159" s="28" t="s">
        <v>323</v>
      </c>
      <c r="J159" s="28" t="s">
        <v>324</v>
      </c>
      <c r="K159" s="28" t="s">
        <v>325</v>
      </c>
      <c r="L159" s="28" t="s">
        <v>3640</v>
      </c>
      <c r="M159" s="28" t="s">
        <v>3641</v>
      </c>
      <c r="N159" s="28" t="s">
        <v>147</v>
      </c>
      <c r="O159" s="29">
        <v>15.2</v>
      </c>
      <c r="P159" s="28" t="s">
        <v>148</v>
      </c>
      <c r="Q159" s="28" t="s">
        <v>149</v>
      </c>
      <c r="R159" s="28" t="s">
        <v>174</v>
      </c>
      <c r="S159" s="28" t="s">
        <v>3642</v>
      </c>
      <c r="T159" s="30">
        <v>15</v>
      </c>
      <c r="U159" s="28" t="s">
        <v>3643</v>
      </c>
      <c r="V159" s="28" t="s">
        <v>138</v>
      </c>
      <c r="W159" s="28" t="s">
        <v>138</v>
      </c>
      <c r="X159" s="31">
        <v>2001</v>
      </c>
      <c r="Y159" s="28" t="s">
        <v>138</v>
      </c>
      <c r="Z159" s="28" t="s">
        <v>138</v>
      </c>
      <c r="AA159" s="28" t="s">
        <v>138</v>
      </c>
      <c r="AB159" s="32" t="s">
        <v>138</v>
      </c>
      <c r="AC159" s="32" t="s">
        <v>138</v>
      </c>
      <c r="AD159" s="32" t="s">
        <v>138</v>
      </c>
      <c r="AE159" s="32" t="s">
        <v>138</v>
      </c>
      <c r="AF159" s="32" t="s">
        <v>138</v>
      </c>
      <c r="AG159" s="28" t="s">
        <v>138</v>
      </c>
      <c r="AH159" s="32" t="s">
        <v>138</v>
      </c>
      <c r="AI159" s="32" t="s">
        <v>138</v>
      </c>
      <c r="AJ159" s="32" t="s">
        <v>138</v>
      </c>
      <c r="AK159" s="28" t="s">
        <v>3644</v>
      </c>
      <c r="AL159" s="28" t="s">
        <v>3645</v>
      </c>
      <c r="AM159" s="28" t="s">
        <v>2949</v>
      </c>
      <c r="AN159" s="28" t="s">
        <v>3646</v>
      </c>
      <c r="AO159" s="28" t="s">
        <v>3647</v>
      </c>
      <c r="AP159" s="28" t="s">
        <v>639</v>
      </c>
      <c r="AQ159" s="28" t="s">
        <v>3648</v>
      </c>
      <c r="AR159" s="28" t="s">
        <v>1936</v>
      </c>
      <c r="AS159" s="28" t="s">
        <v>642</v>
      </c>
      <c r="AT159" s="28" t="s">
        <v>474</v>
      </c>
      <c r="AU159" s="28" t="s">
        <v>3649</v>
      </c>
      <c r="AV159" s="28" t="s">
        <v>162</v>
      </c>
      <c r="AW159" s="28" t="s">
        <v>3647</v>
      </c>
      <c r="AX159" s="28" t="s">
        <v>138</v>
      </c>
      <c r="AY159" s="28" t="s">
        <v>3650</v>
      </c>
      <c r="AZ159" s="28" t="s">
        <v>164</v>
      </c>
      <c r="BA159" s="28" t="s">
        <v>165</v>
      </c>
      <c r="BB159" s="28" t="s">
        <v>3651</v>
      </c>
      <c r="BC159" s="28" t="s">
        <v>3652</v>
      </c>
      <c r="BD159" s="33">
        <v>7</v>
      </c>
      <c r="BE159" s="28" t="s">
        <v>138</v>
      </c>
      <c r="BF159" s="28" t="s">
        <v>138</v>
      </c>
      <c r="BG159" s="28" t="s">
        <v>138</v>
      </c>
      <c r="BH159" s="28" t="s">
        <v>3653</v>
      </c>
      <c r="BI159" s="28" t="s">
        <v>138</v>
      </c>
      <c r="BJ159" s="28" t="s">
        <v>138</v>
      </c>
      <c r="BK159" s="28" t="s">
        <v>290</v>
      </c>
      <c r="BL159" s="28" t="s">
        <v>290</v>
      </c>
      <c r="BM159" s="34">
        <v>39406</v>
      </c>
      <c r="BN159" s="29">
        <v>1.2</v>
      </c>
      <c r="BO159" s="28" t="s">
        <v>172</v>
      </c>
      <c r="BP159" s="29" t="s">
        <v>138</v>
      </c>
      <c r="BQ159" s="28" t="s">
        <v>138</v>
      </c>
      <c r="BR159" s="28" t="s">
        <v>173</v>
      </c>
      <c r="BS159" s="28" t="s">
        <v>206</v>
      </c>
      <c r="BT159" s="28" t="s">
        <v>138</v>
      </c>
      <c r="BU159" s="28" t="s">
        <v>174</v>
      </c>
      <c r="BV159" s="28" t="s">
        <v>138</v>
      </c>
      <c r="BW159" s="28" t="s">
        <v>138</v>
      </c>
      <c r="BX159" s="28" t="s">
        <v>138</v>
      </c>
      <c r="BY159" s="28" t="s">
        <v>175</v>
      </c>
      <c r="BZ159" s="34">
        <v>43203</v>
      </c>
      <c r="CA159" s="29">
        <v>3</v>
      </c>
      <c r="CB159" s="28" t="s">
        <v>172</v>
      </c>
      <c r="CC159" s="29" t="s">
        <v>138</v>
      </c>
      <c r="CD159" s="28" t="s">
        <v>138</v>
      </c>
      <c r="CE159" s="28" t="s">
        <v>173</v>
      </c>
      <c r="CF159" s="28" t="s">
        <v>3654</v>
      </c>
      <c r="CG159" s="28" t="s">
        <v>138</v>
      </c>
      <c r="CH159" s="28" t="s">
        <v>174</v>
      </c>
      <c r="CI159" s="28" t="s">
        <v>138</v>
      </c>
      <c r="CJ159" s="28" t="s">
        <v>138</v>
      </c>
      <c r="CK159" s="28" t="s">
        <v>138</v>
      </c>
      <c r="CL159" s="28" t="s">
        <v>175</v>
      </c>
      <c r="CM159" s="34" t="s">
        <v>138</v>
      </c>
      <c r="CN159" s="29" t="s">
        <v>138</v>
      </c>
      <c r="CO159" s="35">
        <v>0</v>
      </c>
      <c r="CP159" s="36">
        <v>26</v>
      </c>
      <c r="CQ159" s="35">
        <v>0</v>
      </c>
      <c r="CR159" s="35">
        <v>0</v>
      </c>
      <c r="CS159" s="35">
        <v>0</v>
      </c>
      <c r="CT159" s="36">
        <v>23</v>
      </c>
      <c r="CU159" s="35" t="s">
        <v>138</v>
      </c>
      <c r="CV159" s="36" t="s">
        <v>138</v>
      </c>
      <c r="CW159" s="35" t="s">
        <v>138</v>
      </c>
      <c r="CX159" s="36" t="s">
        <v>138</v>
      </c>
      <c r="CY159" s="35">
        <v>0</v>
      </c>
      <c r="CZ159" s="36">
        <v>25</v>
      </c>
      <c r="DA159" s="35" t="s">
        <v>138</v>
      </c>
      <c r="DB159" s="36" t="s">
        <v>138</v>
      </c>
      <c r="DC159" s="37">
        <v>1.03</v>
      </c>
      <c r="DD159" s="36">
        <v>52</v>
      </c>
      <c r="DE159" s="37">
        <v>0</v>
      </c>
      <c r="DF159" s="35">
        <v>0</v>
      </c>
      <c r="DG159" s="37">
        <v>1.03</v>
      </c>
      <c r="DH159" s="36">
        <v>52</v>
      </c>
      <c r="DI159" s="37" t="s">
        <v>138</v>
      </c>
      <c r="DJ159" s="36" t="s">
        <v>138</v>
      </c>
      <c r="DK159" s="37" t="s">
        <v>138</v>
      </c>
      <c r="DL159" s="36" t="s">
        <v>138</v>
      </c>
      <c r="DM159" s="37">
        <v>1.03</v>
      </c>
      <c r="DN159" s="36">
        <v>51</v>
      </c>
      <c r="DO159" s="37" t="s">
        <v>138</v>
      </c>
      <c r="DP159" s="36" t="s">
        <v>138</v>
      </c>
      <c r="DQ159" s="36" t="s">
        <v>138</v>
      </c>
      <c r="DR159" s="38" t="s">
        <v>138</v>
      </c>
      <c r="DS159" s="35" t="s">
        <v>138</v>
      </c>
      <c r="DT159" s="36">
        <v>30</v>
      </c>
      <c r="DU159" s="38">
        <v>0</v>
      </c>
      <c r="DV159" s="35">
        <v>0</v>
      </c>
      <c r="DW159" s="36" t="s">
        <v>138</v>
      </c>
      <c r="DX159" s="39" t="s">
        <v>138</v>
      </c>
      <c r="DY159" s="35" t="s">
        <v>138</v>
      </c>
      <c r="DZ159" s="28" t="s">
        <v>178</v>
      </c>
      <c r="EA159" s="34">
        <v>43351</v>
      </c>
      <c r="EB159" s="29">
        <v>18.559999999999999</v>
      </c>
      <c r="EC159" s="34">
        <v>41822</v>
      </c>
      <c r="ED159" s="28" t="s">
        <v>173</v>
      </c>
      <c r="EE159" s="40" t="str">
        <f>HYPERLINK("https://my.pitchbook.com?c=54907-12", "View company online")</f>
        <v>View company online</v>
      </c>
    </row>
    <row r="160" spans="1:135">
      <c r="A160" s="15" t="s">
        <v>3655</v>
      </c>
      <c r="B160" s="15" t="s">
        <v>3656</v>
      </c>
      <c r="C160" s="15" t="s">
        <v>138</v>
      </c>
      <c r="D160" s="15" t="s">
        <v>138</v>
      </c>
      <c r="E160" s="15" t="s">
        <v>3657</v>
      </c>
      <c r="F160" s="15" t="s">
        <v>3655</v>
      </c>
      <c r="G160" s="15" t="s">
        <v>3658</v>
      </c>
      <c r="H160" s="15" t="s">
        <v>322</v>
      </c>
      <c r="I160" s="15" t="s">
        <v>1503</v>
      </c>
      <c r="J160" s="15" t="s">
        <v>3659</v>
      </c>
      <c r="K160" s="15" t="s">
        <v>3660</v>
      </c>
      <c r="L160" s="15" t="s">
        <v>3265</v>
      </c>
      <c r="M160" s="15" t="s">
        <v>3661</v>
      </c>
      <c r="N160" s="15" t="s">
        <v>147</v>
      </c>
      <c r="O160" s="17">
        <v>58.9</v>
      </c>
      <c r="P160" s="15" t="s">
        <v>148</v>
      </c>
      <c r="Q160" s="15" t="s">
        <v>149</v>
      </c>
      <c r="R160" s="15" t="s">
        <v>174</v>
      </c>
      <c r="S160" s="15" t="s">
        <v>3662</v>
      </c>
      <c r="T160" s="18">
        <v>9</v>
      </c>
      <c r="U160" s="15" t="s">
        <v>3663</v>
      </c>
      <c r="V160" s="15" t="s">
        <v>138</v>
      </c>
      <c r="W160" s="15" t="s">
        <v>138</v>
      </c>
      <c r="X160" s="19">
        <v>2016</v>
      </c>
      <c r="Y160" s="15" t="s">
        <v>138</v>
      </c>
      <c r="Z160" s="15" t="s">
        <v>138</v>
      </c>
      <c r="AA160" s="15" t="s">
        <v>138</v>
      </c>
      <c r="AB160" s="20" t="s">
        <v>138</v>
      </c>
      <c r="AC160" s="20" t="s">
        <v>138</v>
      </c>
      <c r="AD160" s="20" t="s">
        <v>138</v>
      </c>
      <c r="AE160" s="20" t="s">
        <v>138</v>
      </c>
      <c r="AF160" s="20" t="s">
        <v>138</v>
      </c>
      <c r="AG160" s="15" t="s">
        <v>138</v>
      </c>
      <c r="AH160" s="20" t="s">
        <v>138</v>
      </c>
      <c r="AI160" s="20" t="s">
        <v>138</v>
      </c>
      <c r="AJ160" s="20" t="s">
        <v>138</v>
      </c>
      <c r="AK160" s="15" t="s">
        <v>3664</v>
      </c>
      <c r="AL160" s="15" t="s">
        <v>3665</v>
      </c>
      <c r="AM160" s="15" t="s">
        <v>221</v>
      </c>
      <c r="AN160" s="15" t="s">
        <v>3666</v>
      </c>
      <c r="AO160" s="15" t="s">
        <v>3667</v>
      </c>
      <c r="AP160" s="15" t="s">
        <v>3668</v>
      </c>
      <c r="AQ160" s="15" t="s">
        <v>3669</v>
      </c>
      <c r="AR160" s="15" t="s">
        <v>1170</v>
      </c>
      <c r="AS160" s="15" t="s">
        <v>3670</v>
      </c>
      <c r="AT160" s="15" t="s">
        <v>200</v>
      </c>
      <c r="AU160" s="15" t="s">
        <v>3671</v>
      </c>
      <c r="AV160" s="15" t="s">
        <v>162</v>
      </c>
      <c r="AW160" s="15" t="s">
        <v>3667</v>
      </c>
      <c r="AX160" s="15" t="s">
        <v>138</v>
      </c>
      <c r="AY160" s="15" t="s">
        <v>3672</v>
      </c>
      <c r="AZ160" s="15" t="s">
        <v>164</v>
      </c>
      <c r="BA160" s="15" t="s">
        <v>165</v>
      </c>
      <c r="BB160" s="15" t="s">
        <v>3673</v>
      </c>
      <c r="BC160" s="15" t="s">
        <v>3674</v>
      </c>
      <c r="BD160" s="21">
        <v>8</v>
      </c>
      <c r="BE160" s="15" t="s">
        <v>138</v>
      </c>
      <c r="BF160" s="15" t="s">
        <v>138</v>
      </c>
      <c r="BG160" s="15" t="s">
        <v>138</v>
      </c>
      <c r="BH160" s="15" t="s">
        <v>3675</v>
      </c>
      <c r="BI160" s="15" t="s">
        <v>138</v>
      </c>
      <c r="BJ160" s="15" t="s">
        <v>138</v>
      </c>
      <c r="BK160" s="15" t="s">
        <v>138</v>
      </c>
      <c r="BL160" s="15" t="s">
        <v>138</v>
      </c>
      <c r="BM160" s="22">
        <v>42999</v>
      </c>
      <c r="BN160" s="17">
        <v>3.9</v>
      </c>
      <c r="BO160" s="15" t="s">
        <v>172</v>
      </c>
      <c r="BP160" s="17">
        <v>13.9</v>
      </c>
      <c r="BQ160" s="15" t="s">
        <v>172</v>
      </c>
      <c r="BR160" s="15" t="s">
        <v>234</v>
      </c>
      <c r="BS160" s="15" t="s">
        <v>234</v>
      </c>
      <c r="BT160" s="15" t="s">
        <v>138</v>
      </c>
      <c r="BU160" s="15" t="s">
        <v>174</v>
      </c>
      <c r="BV160" s="15" t="s">
        <v>138</v>
      </c>
      <c r="BW160" s="15" t="s">
        <v>138</v>
      </c>
      <c r="BX160" s="15" t="s">
        <v>138</v>
      </c>
      <c r="BY160" s="15" t="s">
        <v>175</v>
      </c>
      <c r="BZ160" s="22">
        <v>43580</v>
      </c>
      <c r="CA160" s="17">
        <v>40</v>
      </c>
      <c r="CB160" s="15" t="s">
        <v>172</v>
      </c>
      <c r="CC160" s="17">
        <v>540</v>
      </c>
      <c r="CD160" s="15" t="s">
        <v>172</v>
      </c>
      <c r="CE160" s="15" t="s">
        <v>205</v>
      </c>
      <c r="CF160" s="15" t="s">
        <v>720</v>
      </c>
      <c r="CG160" s="15" t="s">
        <v>138</v>
      </c>
      <c r="CH160" s="15" t="s">
        <v>174</v>
      </c>
      <c r="CI160" s="15" t="s">
        <v>138</v>
      </c>
      <c r="CJ160" s="15" t="s">
        <v>138</v>
      </c>
      <c r="CK160" s="15" t="s">
        <v>138</v>
      </c>
      <c r="CL160" s="15" t="s">
        <v>175</v>
      </c>
      <c r="CM160" s="22" t="s">
        <v>138</v>
      </c>
      <c r="CN160" s="17" t="s">
        <v>138</v>
      </c>
      <c r="CO160" s="23">
        <v>2.79</v>
      </c>
      <c r="CP160" s="24">
        <v>100</v>
      </c>
      <c r="CQ160" s="23">
        <v>-0.01</v>
      </c>
      <c r="CR160" s="23">
        <v>-0.31</v>
      </c>
      <c r="CS160" s="23">
        <v>4.1500000000000004</v>
      </c>
      <c r="CT160" s="24">
        <v>100</v>
      </c>
      <c r="CU160" s="23">
        <v>1.43</v>
      </c>
      <c r="CV160" s="24">
        <v>99</v>
      </c>
      <c r="CW160" s="23">
        <v>4.1500000000000004</v>
      </c>
      <c r="CX160" s="24">
        <v>94</v>
      </c>
      <c r="CY160" s="23" t="s">
        <v>138</v>
      </c>
      <c r="CZ160" s="24" t="s">
        <v>138</v>
      </c>
      <c r="DA160" s="23">
        <v>1.61</v>
      </c>
      <c r="DB160" s="24">
        <v>99</v>
      </c>
      <c r="DC160" s="25">
        <v>18.760000000000002</v>
      </c>
      <c r="DD160" s="24">
        <v>94</v>
      </c>
      <c r="DE160" s="25">
        <v>-2.2999999999999998</v>
      </c>
      <c r="DF160" s="23">
        <v>-10.93</v>
      </c>
      <c r="DG160" s="25">
        <v>35.909999999999997</v>
      </c>
      <c r="DH160" s="24">
        <v>97</v>
      </c>
      <c r="DI160" s="25">
        <v>1.61</v>
      </c>
      <c r="DJ160" s="24">
        <v>58</v>
      </c>
      <c r="DK160" s="25">
        <v>35.909999999999997</v>
      </c>
      <c r="DL160" s="24">
        <v>95</v>
      </c>
      <c r="DM160" s="25" t="s">
        <v>138</v>
      </c>
      <c r="DN160" s="24" t="s">
        <v>138</v>
      </c>
      <c r="DO160" s="25">
        <v>0.56000000000000005</v>
      </c>
      <c r="DP160" s="24">
        <v>40</v>
      </c>
      <c r="DQ160" s="24">
        <v>12049</v>
      </c>
      <c r="DR160" s="26">
        <v>804</v>
      </c>
      <c r="DS160" s="23">
        <v>7.15</v>
      </c>
      <c r="DT160" s="24" t="s">
        <v>138</v>
      </c>
      <c r="DU160" s="26" t="s">
        <v>138</v>
      </c>
      <c r="DV160" s="23" t="s">
        <v>138</v>
      </c>
      <c r="DW160" s="24">
        <v>201</v>
      </c>
      <c r="DX160" s="27">
        <v>4</v>
      </c>
      <c r="DY160" s="23">
        <v>2.0299999999999998</v>
      </c>
      <c r="DZ160" s="15" t="s">
        <v>178</v>
      </c>
      <c r="EA160" s="22">
        <v>43581</v>
      </c>
      <c r="EB160" s="17">
        <v>540</v>
      </c>
      <c r="EC160" s="22">
        <v>43580</v>
      </c>
      <c r="ED160" s="15" t="s">
        <v>205</v>
      </c>
      <c r="EE160" s="14" t="str">
        <f>HYPERLINK("https://my.pitchbook.com?c=167981-95", "View company online")</f>
        <v>View company online</v>
      </c>
    </row>
    <row r="161" spans="1:135">
      <c r="A161" s="28" t="s">
        <v>3676</v>
      </c>
      <c r="B161" s="28" t="s">
        <v>3677</v>
      </c>
      <c r="C161" s="28" t="s">
        <v>138</v>
      </c>
      <c r="D161" s="28" t="s">
        <v>138</v>
      </c>
      <c r="E161" s="28" t="s">
        <v>138</v>
      </c>
      <c r="F161" s="28" t="s">
        <v>3676</v>
      </c>
      <c r="G161" s="28" t="s">
        <v>3678</v>
      </c>
      <c r="H161" s="28" t="s">
        <v>322</v>
      </c>
      <c r="I161" s="28" t="s">
        <v>1503</v>
      </c>
      <c r="J161" s="28" t="s">
        <v>3679</v>
      </c>
      <c r="K161" s="28" t="s">
        <v>3680</v>
      </c>
      <c r="L161" s="28" t="s">
        <v>3681</v>
      </c>
      <c r="M161" s="28" t="s">
        <v>3682</v>
      </c>
      <c r="N161" s="28" t="s">
        <v>147</v>
      </c>
      <c r="O161" s="29">
        <v>18</v>
      </c>
      <c r="P161" s="28" t="s">
        <v>148</v>
      </c>
      <c r="Q161" s="28" t="s">
        <v>149</v>
      </c>
      <c r="R161" s="28" t="s">
        <v>174</v>
      </c>
      <c r="S161" s="28" t="s">
        <v>3683</v>
      </c>
      <c r="T161" s="30">
        <v>40</v>
      </c>
      <c r="U161" s="28" t="s">
        <v>3684</v>
      </c>
      <c r="V161" s="28" t="s">
        <v>138</v>
      </c>
      <c r="W161" s="28" t="s">
        <v>138</v>
      </c>
      <c r="X161" s="31">
        <v>2014</v>
      </c>
      <c r="Y161" s="28" t="s">
        <v>138</v>
      </c>
      <c r="Z161" s="28" t="s">
        <v>138</v>
      </c>
      <c r="AA161" s="28" t="s">
        <v>138</v>
      </c>
      <c r="AB161" s="32" t="s">
        <v>138</v>
      </c>
      <c r="AC161" s="32" t="s">
        <v>138</v>
      </c>
      <c r="AD161" s="32" t="s">
        <v>138</v>
      </c>
      <c r="AE161" s="32" t="s">
        <v>138</v>
      </c>
      <c r="AF161" s="32" t="s">
        <v>138</v>
      </c>
      <c r="AG161" s="28" t="s">
        <v>138</v>
      </c>
      <c r="AH161" s="32" t="s">
        <v>138</v>
      </c>
      <c r="AI161" s="32" t="s">
        <v>138</v>
      </c>
      <c r="AJ161" s="32" t="s">
        <v>138</v>
      </c>
      <c r="AK161" s="28" t="s">
        <v>3685</v>
      </c>
      <c r="AL161" s="28" t="s">
        <v>3686</v>
      </c>
      <c r="AM161" s="28" t="s">
        <v>304</v>
      </c>
      <c r="AN161" s="28" t="s">
        <v>3687</v>
      </c>
      <c r="AO161" s="28" t="s">
        <v>3688</v>
      </c>
      <c r="AP161" s="28" t="s">
        <v>3689</v>
      </c>
      <c r="AQ161" s="28" t="s">
        <v>3690</v>
      </c>
      <c r="AR161" s="28" t="s">
        <v>138</v>
      </c>
      <c r="AS161" s="28" t="s">
        <v>3691</v>
      </c>
      <c r="AT161" s="28" t="s">
        <v>138</v>
      </c>
      <c r="AU161" s="28" t="s">
        <v>3692</v>
      </c>
      <c r="AV161" s="28" t="s">
        <v>3693</v>
      </c>
      <c r="AW161" s="28" t="s">
        <v>3688</v>
      </c>
      <c r="AX161" s="28" t="s">
        <v>138</v>
      </c>
      <c r="AY161" s="28" t="s">
        <v>3694</v>
      </c>
      <c r="AZ161" s="28" t="s">
        <v>530</v>
      </c>
      <c r="BA161" s="28" t="s">
        <v>531</v>
      </c>
      <c r="BB161" s="28" t="s">
        <v>3695</v>
      </c>
      <c r="BC161" s="28" t="s">
        <v>3696</v>
      </c>
      <c r="BD161" s="33">
        <v>10</v>
      </c>
      <c r="BE161" s="28" t="s">
        <v>138</v>
      </c>
      <c r="BF161" s="28" t="s">
        <v>138</v>
      </c>
      <c r="BG161" s="28" t="s">
        <v>138</v>
      </c>
      <c r="BH161" s="28" t="s">
        <v>3697</v>
      </c>
      <c r="BI161" s="28" t="s">
        <v>138</v>
      </c>
      <c r="BJ161" s="28" t="s">
        <v>138</v>
      </c>
      <c r="BK161" s="28" t="s">
        <v>138</v>
      </c>
      <c r="BL161" s="28" t="s">
        <v>138</v>
      </c>
      <c r="BM161" s="34">
        <v>43256</v>
      </c>
      <c r="BN161" s="29">
        <v>18</v>
      </c>
      <c r="BO161" s="28" t="s">
        <v>172</v>
      </c>
      <c r="BP161" s="29" t="s">
        <v>138</v>
      </c>
      <c r="BQ161" s="28" t="s">
        <v>138</v>
      </c>
      <c r="BR161" s="28" t="s">
        <v>205</v>
      </c>
      <c r="BS161" s="28" t="s">
        <v>206</v>
      </c>
      <c r="BT161" s="28" t="s">
        <v>138</v>
      </c>
      <c r="BU161" s="28" t="s">
        <v>174</v>
      </c>
      <c r="BV161" s="28" t="s">
        <v>138</v>
      </c>
      <c r="BW161" s="28" t="s">
        <v>138</v>
      </c>
      <c r="BX161" s="28" t="s">
        <v>138</v>
      </c>
      <c r="BY161" s="28" t="s">
        <v>175</v>
      </c>
      <c r="BZ161" s="34">
        <v>43256</v>
      </c>
      <c r="CA161" s="29">
        <v>18</v>
      </c>
      <c r="CB161" s="28" t="s">
        <v>172</v>
      </c>
      <c r="CC161" s="29" t="s">
        <v>138</v>
      </c>
      <c r="CD161" s="28" t="s">
        <v>138</v>
      </c>
      <c r="CE161" s="28" t="s">
        <v>205</v>
      </c>
      <c r="CF161" s="28" t="s">
        <v>206</v>
      </c>
      <c r="CG161" s="28" t="s">
        <v>138</v>
      </c>
      <c r="CH161" s="28" t="s">
        <v>174</v>
      </c>
      <c r="CI161" s="28" t="s">
        <v>138</v>
      </c>
      <c r="CJ161" s="28" t="s">
        <v>138</v>
      </c>
      <c r="CK161" s="28" t="s">
        <v>138</v>
      </c>
      <c r="CL161" s="28" t="s">
        <v>175</v>
      </c>
      <c r="CM161" s="34" t="s">
        <v>138</v>
      </c>
      <c r="CN161" s="29" t="s">
        <v>138</v>
      </c>
      <c r="CO161" s="35">
        <v>0.13</v>
      </c>
      <c r="CP161" s="36">
        <v>91</v>
      </c>
      <c r="CQ161" s="35">
        <v>-0.14000000000000001</v>
      </c>
      <c r="CR161" s="35">
        <v>-51.83</v>
      </c>
      <c r="CS161" s="35">
        <v>-1.28</v>
      </c>
      <c r="CT161" s="36">
        <v>13</v>
      </c>
      <c r="CU161" s="35">
        <v>1.55</v>
      </c>
      <c r="CV161" s="36">
        <v>99</v>
      </c>
      <c r="CW161" s="35" t="s">
        <v>138</v>
      </c>
      <c r="CX161" s="36" t="s">
        <v>138</v>
      </c>
      <c r="CY161" s="35">
        <v>-1.28</v>
      </c>
      <c r="CZ161" s="36">
        <v>17</v>
      </c>
      <c r="DA161" s="35">
        <v>2.0699999999999998</v>
      </c>
      <c r="DB161" s="36">
        <v>100</v>
      </c>
      <c r="DC161" s="37">
        <v>2.21</v>
      </c>
      <c r="DD161" s="36">
        <v>69</v>
      </c>
      <c r="DE161" s="37">
        <v>0.23</v>
      </c>
      <c r="DF161" s="35">
        <v>11.36</v>
      </c>
      <c r="DG161" s="37">
        <v>3.69</v>
      </c>
      <c r="DH161" s="36">
        <v>78</v>
      </c>
      <c r="DI161" s="37">
        <v>0.73</v>
      </c>
      <c r="DJ161" s="36">
        <v>43</v>
      </c>
      <c r="DK161" s="37" t="s">
        <v>138</v>
      </c>
      <c r="DL161" s="36" t="s">
        <v>138</v>
      </c>
      <c r="DM161" s="37">
        <v>3.69</v>
      </c>
      <c r="DN161" s="36">
        <v>77</v>
      </c>
      <c r="DO161" s="37">
        <v>0.91</v>
      </c>
      <c r="DP161" s="36">
        <v>49</v>
      </c>
      <c r="DQ161" s="36">
        <v>928</v>
      </c>
      <c r="DR161" s="38">
        <v>-229</v>
      </c>
      <c r="DS161" s="35">
        <v>-19.79</v>
      </c>
      <c r="DT161" s="36">
        <v>107</v>
      </c>
      <c r="DU161" s="38">
        <v>-1</v>
      </c>
      <c r="DV161" s="35">
        <v>-0.93</v>
      </c>
      <c r="DW161" s="36">
        <v>325</v>
      </c>
      <c r="DX161" s="39">
        <v>3</v>
      </c>
      <c r="DY161" s="35">
        <v>0.93</v>
      </c>
      <c r="DZ161" s="28" t="s">
        <v>178</v>
      </c>
      <c r="EA161" s="34">
        <v>43488</v>
      </c>
      <c r="EB161" s="29" t="s">
        <v>138</v>
      </c>
      <c r="EC161" s="34" t="s">
        <v>138</v>
      </c>
      <c r="ED161" s="28" t="s">
        <v>138</v>
      </c>
      <c r="EE161" s="40" t="str">
        <f>HYPERLINK("https://my.pitchbook.com?c=225917-65", "View company online")</f>
        <v>View company online</v>
      </c>
    </row>
    <row r="162" spans="1:135">
      <c r="A162" s="15" t="s">
        <v>3698</v>
      </c>
      <c r="B162" s="15" t="s">
        <v>3699</v>
      </c>
      <c r="C162" s="15" t="s">
        <v>138</v>
      </c>
      <c r="D162" s="15" t="s">
        <v>138</v>
      </c>
      <c r="E162" s="15" t="s">
        <v>138</v>
      </c>
      <c r="F162" s="15" t="s">
        <v>3698</v>
      </c>
      <c r="G162" s="15" t="s">
        <v>3700</v>
      </c>
      <c r="H162" s="15" t="s">
        <v>141</v>
      </c>
      <c r="I162" s="15" t="s">
        <v>212</v>
      </c>
      <c r="J162" s="15" t="s">
        <v>213</v>
      </c>
      <c r="K162" s="15" t="s">
        <v>1064</v>
      </c>
      <c r="L162" s="15" t="s">
        <v>3701</v>
      </c>
      <c r="M162" s="15" t="s">
        <v>3702</v>
      </c>
      <c r="N162" s="15" t="s">
        <v>147</v>
      </c>
      <c r="O162" s="17">
        <v>3.6</v>
      </c>
      <c r="P162" s="15" t="s">
        <v>148</v>
      </c>
      <c r="Q162" s="15" t="s">
        <v>149</v>
      </c>
      <c r="R162" s="15" t="s">
        <v>174</v>
      </c>
      <c r="S162" s="15" t="s">
        <v>3703</v>
      </c>
      <c r="T162" s="18">
        <v>5</v>
      </c>
      <c r="U162" s="15" t="s">
        <v>3704</v>
      </c>
      <c r="V162" s="15" t="s">
        <v>138</v>
      </c>
      <c r="W162" s="15" t="s">
        <v>138</v>
      </c>
      <c r="X162" s="19">
        <v>2015</v>
      </c>
      <c r="Y162" s="15" t="s">
        <v>138</v>
      </c>
      <c r="Z162" s="15" t="s">
        <v>138</v>
      </c>
      <c r="AA162" s="15" t="s">
        <v>138</v>
      </c>
      <c r="AB162" s="20" t="s">
        <v>138</v>
      </c>
      <c r="AC162" s="20" t="s">
        <v>138</v>
      </c>
      <c r="AD162" s="20" t="s">
        <v>138</v>
      </c>
      <c r="AE162" s="20" t="s">
        <v>138</v>
      </c>
      <c r="AF162" s="20" t="s">
        <v>138</v>
      </c>
      <c r="AG162" s="15" t="s">
        <v>138</v>
      </c>
      <c r="AH162" s="20" t="s">
        <v>138</v>
      </c>
      <c r="AI162" s="20" t="s">
        <v>138</v>
      </c>
      <c r="AJ162" s="20" t="s">
        <v>138</v>
      </c>
      <c r="AK162" s="15" t="s">
        <v>3705</v>
      </c>
      <c r="AL162" s="15" t="s">
        <v>3706</v>
      </c>
      <c r="AM162" s="15" t="s">
        <v>304</v>
      </c>
      <c r="AN162" s="15" t="s">
        <v>3707</v>
      </c>
      <c r="AO162" s="15" t="s">
        <v>3708</v>
      </c>
      <c r="AP162" s="15" t="s">
        <v>3709</v>
      </c>
      <c r="AQ162" s="15" t="s">
        <v>3710</v>
      </c>
      <c r="AR162" s="15" t="s">
        <v>138</v>
      </c>
      <c r="AS162" s="15" t="s">
        <v>3711</v>
      </c>
      <c r="AT162" s="15" t="s">
        <v>3712</v>
      </c>
      <c r="AU162" s="15" t="s">
        <v>3713</v>
      </c>
      <c r="AV162" s="15" t="s">
        <v>162</v>
      </c>
      <c r="AW162" s="15" t="s">
        <v>3708</v>
      </c>
      <c r="AX162" s="15" t="s">
        <v>138</v>
      </c>
      <c r="AY162" s="15" t="s">
        <v>3714</v>
      </c>
      <c r="AZ162" s="15" t="s">
        <v>164</v>
      </c>
      <c r="BA162" s="15" t="s">
        <v>165</v>
      </c>
      <c r="BB162" s="15" t="s">
        <v>3715</v>
      </c>
      <c r="BC162" s="15" t="s">
        <v>3716</v>
      </c>
      <c r="BD162" s="21">
        <v>12</v>
      </c>
      <c r="BE162" s="15" t="s">
        <v>138</v>
      </c>
      <c r="BF162" s="15" t="s">
        <v>138</v>
      </c>
      <c r="BG162" s="15" t="s">
        <v>138</v>
      </c>
      <c r="BH162" s="15" t="s">
        <v>3717</v>
      </c>
      <c r="BI162" s="15" t="s">
        <v>138</v>
      </c>
      <c r="BJ162" s="15" t="s">
        <v>138</v>
      </c>
      <c r="BK162" s="15" t="s">
        <v>138</v>
      </c>
      <c r="BL162" s="15" t="s">
        <v>138</v>
      </c>
      <c r="BM162" s="22">
        <v>42118</v>
      </c>
      <c r="BN162" s="17">
        <v>0.1</v>
      </c>
      <c r="BO162" s="15" t="s">
        <v>172</v>
      </c>
      <c r="BP162" s="17">
        <v>1.6</v>
      </c>
      <c r="BQ162" s="15" t="s">
        <v>172</v>
      </c>
      <c r="BR162" s="15" t="s">
        <v>234</v>
      </c>
      <c r="BS162" s="15" t="s">
        <v>234</v>
      </c>
      <c r="BT162" s="15" t="s">
        <v>138</v>
      </c>
      <c r="BU162" s="15" t="s">
        <v>174</v>
      </c>
      <c r="BV162" s="15" t="s">
        <v>138</v>
      </c>
      <c r="BW162" s="15" t="s">
        <v>138</v>
      </c>
      <c r="BX162" s="15" t="s">
        <v>138</v>
      </c>
      <c r="BY162" s="15" t="s">
        <v>175</v>
      </c>
      <c r="BZ162" s="22">
        <v>43312</v>
      </c>
      <c r="CA162" s="17">
        <v>3.5</v>
      </c>
      <c r="CB162" s="15" t="s">
        <v>172</v>
      </c>
      <c r="CC162" s="17">
        <v>10</v>
      </c>
      <c r="CD162" s="15" t="s">
        <v>172</v>
      </c>
      <c r="CE162" s="15" t="s">
        <v>234</v>
      </c>
      <c r="CF162" s="15" t="s">
        <v>234</v>
      </c>
      <c r="CG162" s="15" t="s">
        <v>138</v>
      </c>
      <c r="CH162" s="15" t="s">
        <v>174</v>
      </c>
      <c r="CI162" s="15" t="s">
        <v>138</v>
      </c>
      <c r="CJ162" s="15" t="s">
        <v>138</v>
      </c>
      <c r="CK162" s="15" t="s">
        <v>138</v>
      </c>
      <c r="CL162" s="15" t="s">
        <v>175</v>
      </c>
      <c r="CM162" s="22" t="s">
        <v>138</v>
      </c>
      <c r="CN162" s="17" t="s">
        <v>138</v>
      </c>
      <c r="CO162" s="23">
        <v>-0.75</v>
      </c>
      <c r="CP162" s="24">
        <v>13</v>
      </c>
      <c r="CQ162" s="23">
        <v>0.05</v>
      </c>
      <c r="CR162" s="23">
        <v>6.85</v>
      </c>
      <c r="CS162" s="23">
        <v>-1.49</v>
      </c>
      <c r="CT162" s="24">
        <v>12</v>
      </c>
      <c r="CU162" s="23">
        <v>0</v>
      </c>
      <c r="CV162" s="24">
        <v>22</v>
      </c>
      <c r="CW162" s="23" t="s">
        <v>138</v>
      </c>
      <c r="CX162" s="24" t="s">
        <v>138</v>
      </c>
      <c r="CY162" s="23">
        <v>-1.49</v>
      </c>
      <c r="CZ162" s="24">
        <v>15</v>
      </c>
      <c r="DA162" s="23">
        <v>0</v>
      </c>
      <c r="DB162" s="24">
        <v>22</v>
      </c>
      <c r="DC162" s="25">
        <v>1.57</v>
      </c>
      <c r="DD162" s="24">
        <v>62</v>
      </c>
      <c r="DE162" s="25">
        <v>0.02</v>
      </c>
      <c r="DF162" s="23">
        <v>1.1100000000000001</v>
      </c>
      <c r="DG162" s="25">
        <v>3.14</v>
      </c>
      <c r="DH162" s="24">
        <v>75</v>
      </c>
      <c r="DI162" s="25">
        <v>0</v>
      </c>
      <c r="DJ162" s="24">
        <v>1</v>
      </c>
      <c r="DK162" s="25" t="s">
        <v>138</v>
      </c>
      <c r="DL162" s="24" t="s">
        <v>138</v>
      </c>
      <c r="DM162" s="25">
        <v>3.14</v>
      </c>
      <c r="DN162" s="24">
        <v>74</v>
      </c>
      <c r="DO162" s="25">
        <v>0</v>
      </c>
      <c r="DP162" s="24">
        <v>1</v>
      </c>
      <c r="DQ162" s="24" t="s">
        <v>138</v>
      </c>
      <c r="DR162" s="26" t="s">
        <v>138</v>
      </c>
      <c r="DS162" s="23" t="s">
        <v>138</v>
      </c>
      <c r="DT162" s="24">
        <v>90</v>
      </c>
      <c r="DU162" s="26">
        <v>0</v>
      </c>
      <c r="DV162" s="23">
        <v>0</v>
      </c>
      <c r="DW162" s="24">
        <v>1</v>
      </c>
      <c r="DX162" s="27">
        <v>0</v>
      </c>
      <c r="DY162" s="23">
        <v>0</v>
      </c>
      <c r="DZ162" s="15" t="s">
        <v>178</v>
      </c>
      <c r="EA162" s="22">
        <v>43622</v>
      </c>
      <c r="EB162" s="17">
        <v>10</v>
      </c>
      <c r="EC162" s="22">
        <v>43312</v>
      </c>
      <c r="ED162" s="15" t="s">
        <v>234</v>
      </c>
      <c r="EE162" s="14" t="str">
        <f>HYPERLINK("https://my.pitchbook.com?c=120195-73", "View company online")</f>
        <v>View company online</v>
      </c>
    </row>
    <row r="163" spans="1:135">
      <c r="A163" s="28" t="s">
        <v>3718</v>
      </c>
      <c r="B163" s="28" t="s">
        <v>3719</v>
      </c>
      <c r="C163" s="28" t="s">
        <v>138</v>
      </c>
      <c r="D163" s="28" t="s">
        <v>138</v>
      </c>
      <c r="E163" s="28" t="s">
        <v>138</v>
      </c>
      <c r="F163" s="28" t="s">
        <v>3718</v>
      </c>
      <c r="G163" s="28" t="s">
        <v>3720</v>
      </c>
      <c r="H163" s="28" t="s">
        <v>322</v>
      </c>
      <c r="I163" s="28" t="s">
        <v>323</v>
      </c>
      <c r="J163" s="28" t="s">
        <v>413</v>
      </c>
      <c r="K163" s="28" t="s">
        <v>3721</v>
      </c>
      <c r="L163" s="28" t="s">
        <v>3722</v>
      </c>
      <c r="M163" s="28" t="s">
        <v>3723</v>
      </c>
      <c r="N163" s="28" t="s">
        <v>147</v>
      </c>
      <c r="O163" s="29" t="s">
        <v>138</v>
      </c>
      <c r="P163" s="28" t="s">
        <v>148</v>
      </c>
      <c r="Q163" s="28" t="s">
        <v>149</v>
      </c>
      <c r="R163" s="28" t="s">
        <v>174</v>
      </c>
      <c r="S163" s="28" t="s">
        <v>3724</v>
      </c>
      <c r="T163" s="30" t="s">
        <v>138</v>
      </c>
      <c r="U163" s="28" t="s">
        <v>138</v>
      </c>
      <c r="V163" s="28" t="s">
        <v>138</v>
      </c>
      <c r="W163" s="28" t="s">
        <v>138</v>
      </c>
      <c r="X163" s="31">
        <v>2017</v>
      </c>
      <c r="Y163" s="28" t="s">
        <v>138</v>
      </c>
      <c r="Z163" s="28" t="s">
        <v>138</v>
      </c>
      <c r="AA163" s="28" t="s">
        <v>138</v>
      </c>
      <c r="AB163" s="32" t="s">
        <v>138</v>
      </c>
      <c r="AC163" s="32" t="s">
        <v>138</v>
      </c>
      <c r="AD163" s="32" t="s">
        <v>138</v>
      </c>
      <c r="AE163" s="32" t="s">
        <v>138</v>
      </c>
      <c r="AF163" s="32" t="s">
        <v>138</v>
      </c>
      <c r="AG163" s="28" t="s">
        <v>138</v>
      </c>
      <c r="AH163" s="32" t="s">
        <v>138</v>
      </c>
      <c r="AI163" s="32" t="s">
        <v>138</v>
      </c>
      <c r="AJ163" s="32" t="s">
        <v>138</v>
      </c>
      <c r="AK163" s="28" t="s">
        <v>3725</v>
      </c>
      <c r="AL163" s="28" t="s">
        <v>3726</v>
      </c>
      <c r="AM163" s="28" t="s">
        <v>3727</v>
      </c>
      <c r="AN163" s="28" t="s">
        <v>3728</v>
      </c>
      <c r="AO163" s="28" t="s">
        <v>3729</v>
      </c>
      <c r="AP163" s="28" t="s">
        <v>3730</v>
      </c>
      <c r="AQ163" s="28" t="s">
        <v>3731</v>
      </c>
      <c r="AR163" s="28" t="s">
        <v>3732</v>
      </c>
      <c r="AS163" s="28" t="s">
        <v>3733</v>
      </c>
      <c r="AT163" s="28" t="s">
        <v>138</v>
      </c>
      <c r="AU163" s="28" t="s">
        <v>3734</v>
      </c>
      <c r="AV163" s="28" t="s">
        <v>946</v>
      </c>
      <c r="AW163" s="28" t="s">
        <v>3729</v>
      </c>
      <c r="AX163" s="28" t="s">
        <v>138</v>
      </c>
      <c r="AY163" s="28" t="s">
        <v>3735</v>
      </c>
      <c r="AZ163" s="28" t="s">
        <v>530</v>
      </c>
      <c r="BA163" s="28" t="s">
        <v>531</v>
      </c>
      <c r="BB163" s="28" t="s">
        <v>3736</v>
      </c>
      <c r="BC163" s="28" t="s">
        <v>3737</v>
      </c>
      <c r="BD163" s="33">
        <v>1</v>
      </c>
      <c r="BE163" s="28" t="s">
        <v>138</v>
      </c>
      <c r="BF163" s="28" t="s">
        <v>138</v>
      </c>
      <c r="BG163" s="28" t="s">
        <v>138</v>
      </c>
      <c r="BH163" s="28" t="s">
        <v>3738</v>
      </c>
      <c r="BI163" s="28" t="s">
        <v>138</v>
      </c>
      <c r="BJ163" s="28" t="s">
        <v>138</v>
      </c>
      <c r="BK163" s="28" t="s">
        <v>138</v>
      </c>
      <c r="BL163" s="28" t="s">
        <v>138</v>
      </c>
      <c r="BM163" s="34">
        <v>43483</v>
      </c>
      <c r="BN163" s="29" t="s">
        <v>138</v>
      </c>
      <c r="BO163" s="28" t="s">
        <v>138</v>
      </c>
      <c r="BP163" s="29" t="s">
        <v>138</v>
      </c>
      <c r="BQ163" s="28" t="s">
        <v>138</v>
      </c>
      <c r="BR163" s="28" t="s">
        <v>205</v>
      </c>
      <c r="BS163" s="28" t="s">
        <v>138</v>
      </c>
      <c r="BT163" s="28" t="s">
        <v>138</v>
      </c>
      <c r="BU163" s="28" t="s">
        <v>174</v>
      </c>
      <c r="BV163" s="28" t="s">
        <v>138</v>
      </c>
      <c r="BW163" s="28" t="s">
        <v>138</v>
      </c>
      <c r="BX163" s="28" t="s">
        <v>138</v>
      </c>
      <c r="BY163" s="28" t="s">
        <v>175</v>
      </c>
      <c r="BZ163" s="34">
        <v>43483</v>
      </c>
      <c r="CA163" s="29" t="s">
        <v>138</v>
      </c>
      <c r="CB163" s="28" t="s">
        <v>138</v>
      </c>
      <c r="CC163" s="29" t="s">
        <v>138</v>
      </c>
      <c r="CD163" s="28" t="s">
        <v>138</v>
      </c>
      <c r="CE163" s="28" t="s">
        <v>205</v>
      </c>
      <c r="CF163" s="28" t="s">
        <v>138</v>
      </c>
      <c r="CG163" s="28" t="s">
        <v>138</v>
      </c>
      <c r="CH163" s="28" t="s">
        <v>174</v>
      </c>
      <c r="CI163" s="28" t="s">
        <v>138</v>
      </c>
      <c r="CJ163" s="28" t="s">
        <v>138</v>
      </c>
      <c r="CK163" s="28" t="s">
        <v>138</v>
      </c>
      <c r="CL163" s="28" t="s">
        <v>175</v>
      </c>
      <c r="CM163" s="34" t="s">
        <v>138</v>
      </c>
      <c r="CN163" s="29" t="s">
        <v>138</v>
      </c>
      <c r="CO163" s="35">
        <v>0.32</v>
      </c>
      <c r="CP163" s="36">
        <v>94</v>
      </c>
      <c r="CQ163" s="35">
        <v>-0.05</v>
      </c>
      <c r="CR163" s="35">
        <v>-13.59</v>
      </c>
      <c r="CS163" s="35">
        <v>0</v>
      </c>
      <c r="CT163" s="36">
        <v>23</v>
      </c>
      <c r="CU163" s="35">
        <v>0.65</v>
      </c>
      <c r="CV163" s="36">
        <v>96</v>
      </c>
      <c r="CW163" s="35" t="s">
        <v>138</v>
      </c>
      <c r="CX163" s="36" t="s">
        <v>138</v>
      </c>
      <c r="CY163" s="35">
        <v>0</v>
      </c>
      <c r="CZ163" s="36">
        <v>25</v>
      </c>
      <c r="DA163" s="35">
        <v>0.65</v>
      </c>
      <c r="DB163" s="36">
        <v>96</v>
      </c>
      <c r="DC163" s="37">
        <v>2.56</v>
      </c>
      <c r="DD163" s="36">
        <v>72</v>
      </c>
      <c r="DE163" s="37">
        <v>0.04</v>
      </c>
      <c r="DF163" s="35">
        <v>1.78</v>
      </c>
      <c r="DG163" s="37">
        <v>2.4500000000000002</v>
      </c>
      <c r="DH163" s="36">
        <v>71</v>
      </c>
      <c r="DI163" s="37">
        <v>2.68</v>
      </c>
      <c r="DJ163" s="36">
        <v>68</v>
      </c>
      <c r="DK163" s="37" t="s">
        <v>138</v>
      </c>
      <c r="DL163" s="36" t="s">
        <v>138</v>
      </c>
      <c r="DM163" s="37">
        <v>2.4500000000000002</v>
      </c>
      <c r="DN163" s="36">
        <v>70</v>
      </c>
      <c r="DO163" s="37">
        <v>2.68</v>
      </c>
      <c r="DP163" s="36">
        <v>69</v>
      </c>
      <c r="DQ163" s="36" t="s">
        <v>138</v>
      </c>
      <c r="DR163" s="38" t="s">
        <v>138</v>
      </c>
      <c r="DS163" s="35" t="s">
        <v>138</v>
      </c>
      <c r="DT163" s="36">
        <v>70</v>
      </c>
      <c r="DU163" s="38">
        <v>2</v>
      </c>
      <c r="DV163" s="35">
        <v>2.94</v>
      </c>
      <c r="DW163" s="36">
        <v>957</v>
      </c>
      <c r="DX163" s="39">
        <v>5</v>
      </c>
      <c r="DY163" s="35">
        <v>0.53</v>
      </c>
      <c r="DZ163" s="28" t="s">
        <v>178</v>
      </c>
      <c r="EA163" s="34">
        <v>43622</v>
      </c>
      <c r="EB163" s="29" t="s">
        <v>138</v>
      </c>
      <c r="EC163" s="34" t="s">
        <v>138</v>
      </c>
      <c r="ED163" s="28" t="s">
        <v>138</v>
      </c>
      <c r="EE163" s="40" t="str">
        <f>HYPERLINK("https://my.pitchbook.com?c=265023-10", "View company online")</f>
        <v>View company online</v>
      </c>
    </row>
    <row r="164" spans="1:135">
      <c r="A164" s="15" t="s">
        <v>3739</v>
      </c>
      <c r="B164" s="15" t="s">
        <v>3740</v>
      </c>
      <c r="C164" s="15" t="s">
        <v>138</v>
      </c>
      <c r="D164" s="15" t="s">
        <v>138</v>
      </c>
      <c r="E164" s="15" t="s">
        <v>3741</v>
      </c>
      <c r="F164" s="15" t="s">
        <v>3739</v>
      </c>
      <c r="G164" s="15" t="s">
        <v>3742</v>
      </c>
      <c r="H164" s="15" t="s">
        <v>322</v>
      </c>
      <c r="I164" s="15" t="s">
        <v>323</v>
      </c>
      <c r="J164" s="15" t="s">
        <v>413</v>
      </c>
      <c r="K164" s="15" t="s">
        <v>3743</v>
      </c>
      <c r="L164" s="15" t="s">
        <v>3744</v>
      </c>
      <c r="M164" s="15" t="s">
        <v>3745</v>
      </c>
      <c r="N164" s="15" t="s">
        <v>147</v>
      </c>
      <c r="O164" s="17">
        <v>23.26</v>
      </c>
      <c r="P164" s="15" t="s">
        <v>148</v>
      </c>
      <c r="Q164" s="15" t="s">
        <v>149</v>
      </c>
      <c r="R164" s="15" t="s">
        <v>244</v>
      </c>
      <c r="S164" s="15" t="s">
        <v>3746</v>
      </c>
      <c r="T164" s="18">
        <v>28</v>
      </c>
      <c r="U164" s="15" t="s">
        <v>3747</v>
      </c>
      <c r="V164" s="15" t="s">
        <v>138</v>
      </c>
      <c r="W164" s="15" t="s">
        <v>138</v>
      </c>
      <c r="X164" s="19">
        <v>2012</v>
      </c>
      <c r="Y164" s="15" t="s">
        <v>138</v>
      </c>
      <c r="Z164" s="15" t="s">
        <v>138</v>
      </c>
      <c r="AA164" s="15" t="s">
        <v>138</v>
      </c>
      <c r="AB164" s="20" t="s">
        <v>138</v>
      </c>
      <c r="AC164" s="20" t="s">
        <v>138</v>
      </c>
      <c r="AD164" s="20" t="s">
        <v>138</v>
      </c>
      <c r="AE164" s="20" t="s">
        <v>138</v>
      </c>
      <c r="AF164" s="20" t="s">
        <v>138</v>
      </c>
      <c r="AG164" s="15" t="s">
        <v>138</v>
      </c>
      <c r="AH164" s="20" t="s">
        <v>138</v>
      </c>
      <c r="AI164" s="20" t="s">
        <v>138</v>
      </c>
      <c r="AJ164" s="20" t="s">
        <v>138</v>
      </c>
      <c r="AK164" s="15" t="s">
        <v>3748</v>
      </c>
      <c r="AL164" s="15" t="s">
        <v>3749</v>
      </c>
      <c r="AM164" s="15" t="s">
        <v>2024</v>
      </c>
      <c r="AN164" s="15" t="s">
        <v>3750</v>
      </c>
      <c r="AO164" s="15" t="s">
        <v>3751</v>
      </c>
      <c r="AP164" s="15" t="s">
        <v>964</v>
      </c>
      <c r="AQ164" s="15" t="s">
        <v>3752</v>
      </c>
      <c r="AR164" s="15" t="s">
        <v>3753</v>
      </c>
      <c r="AS164" s="15" t="s">
        <v>966</v>
      </c>
      <c r="AT164" s="15" t="s">
        <v>200</v>
      </c>
      <c r="AU164" s="15" t="s">
        <v>3754</v>
      </c>
      <c r="AV164" s="15" t="s">
        <v>162</v>
      </c>
      <c r="AW164" s="15" t="s">
        <v>3751</v>
      </c>
      <c r="AX164" s="15" t="s">
        <v>138</v>
      </c>
      <c r="AY164" s="15" t="s">
        <v>3755</v>
      </c>
      <c r="AZ164" s="15" t="s">
        <v>164</v>
      </c>
      <c r="BA164" s="15" t="s">
        <v>165</v>
      </c>
      <c r="BB164" s="15" t="s">
        <v>3756</v>
      </c>
      <c r="BC164" s="15" t="s">
        <v>3757</v>
      </c>
      <c r="BD164" s="21">
        <v>9</v>
      </c>
      <c r="BE164" s="15" t="s">
        <v>138</v>
      </c>
      <c r="BF164" s="15" t="s">
        <v>138</v>
      </c>
      <c r="BG164" s="15" t="s">
        <v>138</v>
      </c>
      <c r="BH164" s="15" t="s">
        <v>3758</v>
      </c>
      <c r="BI164" s="15" t="s">
        <v>138</v>
      </c>
      <c r="BJ164" s="15" t="s">
        <v>138</v>
      </c>
      <c r="BK164" s="15" t="s">
        <v>432</v>
      </c>
      <c r="BL164" s="15" t="s">
        <v>432</v>
      </c>
      <c r="BM164" s="22" t="s">
        <v>138</v>
      </c>
      <c r="BN164" s="17" t="s">
        <v>138</v>
      </c>
      <c r="BO164" s="15" t="s">
        <v>138</v>
      </c>
      <c r="BP164" s="17" t="s">
        <v>138</v>
      </c>
      <c r="BQ164" s="15" t="s">
        <v>138</v>
      </c>
      <c r="BR164" s="15" t="s">
        <v>316</v>
      </c>
      <c r="BS164" s="15" t="s">
        <v>138</v>
      </c>
      <c r="BT164" s="15" t="s">
        <v>138</v>
      </c>
      <c r="BU164" s="15" t="s">
        <v>177</v>
      </c>
      <c r="BV164" s="15" t="s">
        <v>138</v>
      </c>
      <c r="BW164" s="15" t="s">
        <v>138</v>
      </c>
      <c r="BX164" s="15" t="s">
        <v>138</v>
      </c>
      <c r="BY164" s="15" t="s">
        <v>175</v>
      </c>
      <c r="BZ164" s="22">
        <v>43130</v>
      </c>
      <c r="CA164" s="17">
        <v>5</v>
      </c>
      <c r="CB164" s="15" t="s">
        <v>138</v>
      </c>
      <c r="CC164" s="17" t="s">
        <v>138</v>
      </c>
      <c r="CD164" s="15" t="s">
        <v>138</v>
      </c>
      <c r="CE164" s="15" t="s">
        <v>173</v>
      </c>
      <c r="CF164" s="15" t="s">
        <v>138</v>
      </c>
      <c r="CG164" s="15" t="s">
        <v>138</v>
      </c>
      <c r="CH164" s="15" t="s">
        <v>174</v>
      </c>
      <c r="CI164" s="15" t="s">
        <v>138</v>
      </c>
      <c r="CJ164" s="15" t="s">
        <v>138</v>
      </c>
      <c r="CK164" s="15" t="s">
        <v>138</v>
      </c>
      <c r="CL164" s="15" t="s">
        <v>175</v>
      </c>
      <c r="CM164" s="22" t="s">
        <v>138</v>
      </c>
      <c r="CN164" s="17" t="s">
        <v>138</v>
      </c>
      <c r="CO164" s="23">
        <v>-0.61</v>
      </c>
      <c r="CP164" s="24">
        <v>15</v>
      </c>
      <c r="CQ164" s="23">
        <v>0</v>
      </c>
      <c r="CR164" s="23">
        <v>-0.66</v>
      </c>
      <c r="CS164" s="23">
        <v>-1.34</v>
      </c>
      <c r="CT164" s="24">
        <v>13</v>
      </c>
      <c r="CU164" s="23">
        <v>0.12</v>
      </c>
      <c r="CV164" s="24">
        <v>71</v>
      </c>
      <c r="CW164" s="23">
        <v>-2.68</v>
      </c>
      <c r="CX164" s="24">
        <v>6</v>
      </c>
      <c r="CY164" s="23">
        <v>0</v>
      </c>
      <c r="CZ164" s="24">
        <v>25</v>
      </c>
      <c r="DA164" s="23">
        <v>0.06</v>
      </c>
      <c r="DB164" s="24">
        <v>65</v>
      </c>
      <c r="DC164" s="25">
        <v>2</v>
      </c>
      <c r="DD164" s="24">
        <v>67</v>
      </c>
      <c r="DE164" s="25">
        <v>-0.04</v>
      </c>
      <c r="DF164" s="23">
        <v>-2.13</v>
      </c>
      <c r="DG164" s="25">
        <v>1.66</v>
      </c>
      <c r="DH164" s="24">
        <v>63</v>
      </c>
      <c r="DI164" s="25">
        <v>2.34</v>
      </c>
      <c r="DJ164" s="24">
        <v>65</v>
      </c>
      <c r="DK164" s="25">
        <v>1.57</v>
      </c>
      <c r="DL164" s="24">
        <v>60</v>
      </c>
      <c r="DM164" s="25">
        <v>1.76</v>
      </c>
      <c r="DN164" s="24">
        <v>63</v>
      </c>
      <c r="DO164" s="25">
        <v>4.37</v>
      </c>
      <c r="DP164" s="24">
        <v>77</v>
      </c>
      <c r="DQ164" s="24">
        <v>543</v>
      </c>
      <c r="DR164" s="26">
        <v>-18</v>
      </c>
      <c r="DS164" s="23">
        <v>-3.21</v>
      </c>
      <c r="DT164" s="24">
        <v>51</v>
      </c>
      <c r="DU164" s="26">
        <v>1</v>
      </c>
      <c r="DV164" s="23">
        <v>2</v>
      </c>
      <c r="DW164" s="24">
        <v>1562</v>
      </c>
      <c r="DX164" s="27">
        <v>0</v>
      </c>
      <c r="DY164" s="23">
        <v>0</v>
      </c>
      <c r="DZ164" s="15" t="s">
        <v>178</v>
      </c>
      <c r="EA164" s="22">
        <v>43621</v>
      </c>
      <c r="EB164" s="17">
        <v>40</v>
      </c>
      <c r="EC164" s="22">
        <v>41870</v>
      </c>
      <c r="ED164" s="15" t="s">
        <v>205</v>
      </c>
      <c r="EE164" s="14" t="str">
        <f>HYPERLINK("https://my.pitchbook.com?c=58696-39", "View company online")</f>
        <v>View company online</v>
      </c>
    </row>
    <row r="165" spans="1:135">
      <c r="A165" s="28" t="s">
        <v>3759</v>
      </c>
      <c r="B165" s="28" t="s">
        <v>3760</v>
      </c>
      <c r="C165" s="28" t="s">
        <v>138</v>
      </c>
      <c r="D165" s="28" t="s">
        <v>138</v>
      </c>
      <c r="E165" s="28" t="s">
        <v>3761</v>
      </c>
      <c r="F165" s="28" t="s">
        <v>3759</v>
      </c>
      <c r="G165" s="28" t="s">
        <v>3762</v>
      </c>
      <c r="H165" s="28" t="s">
        <v>322</v>
      </c>
      <c r="I165" s="28" t="s">
        <v>323</v>
      </c>
      <c r="J165" s="28" t="s">
        <v>1235</v>
      </c>
      <c r="K165" s="28" t="s">
        <v>3763</v>
      </c>
      <c r="L165" s="28" t="s">
        <v>3764</v>
      </c>
      <c r="M165" s="28" t="s">
        <v>3765</v>
      </c>
      <c r="N165" s="28" t="s">
        <v>1452</v>
      </c>
      <c r="O165" s="29">
        <v>134</v>
      </c>
      <c r="P165" s="28" t="s">
        <v>812</v>
      </c>
      <c r="Q165" s="28" t="s">
        <v>149</v>
      </c>
      <c r="R165" s="28" t="s">
        <v>328</v>
      </c>
      <c r="S165" s="28" t="s">
        <v>3766</v>
      </c>
      <c r="T165" s="30">
        <v>550</v>
      </c>
      <c r="U165" s="28" t="s">
        <v>3767</v>
      </c>
      <c r="V165" s="28" t="s">
        <v>138</v>
      </c>
      <c r="W165" s="28" t="s">
        <v>138</v>
      </c>
      <c r="X165" s="31">
        <v>2006</v>
      </c>
      <c r="Y165" s="28" t="s">
        <v>138</v>
      </c>
      <c r="Z165" s="28" t="s">
        <v>138</v>
      </c>
      <c r="AA165" s="28" t="s">
        <v>1163</v>
      </c>
      <c r="AB165" s="32">
        <v>100</v>
      </c>
      <c r="AC165" s="32" t="s">
        <v>138</v>
      </c>
      <c r="AD165" s="32" t="s">
        <v>138</v>
      </c>
      <c r="AE165" s="32" t="s">
        <v>138</v>
      </c>
      <c r="AF165" s="32" t="s">
        <v>138</v>
      </c>
      <c r="AG165" s="28" t="s">
        <v>419</v>
      </c>
      <c r="AH165" s="32" t="s">
        <v>138</v>
      </c>
      <c r="AI165" s="32" t="s">
        <v>138</v>
      </c>
      <c r="AJ165" s="32" t="s">
        <v>138</v>
      </c>
      <c r="AK165" s="28" t="s">
        <v>3768</v>
      </c>
      <c r="AL165" s="28" t="s">
        <v>3769</v>
      </c>
      <c r="AM165" s="28" t="s">
        <v>2605</v>
      </c>
      <c r="AN165" s="28" t="s">
        <v>3770</v>
      </c>
      <c r="AO165" s="28" t="s">
        <v>3771</v>
      </c>
      <c r="AP165" s="28" t="s">
        <v>3772</v>
      </c>
      <c r="AQ165" s="28" t="s">
        <v>3773</v>
      </c>
      <c r="AR165" s="28" t="s">
        <v>138</v>
      </c>
      <c r="AS165" s="28" t="s">
        <v>3774</v>
      </c>
      <c r="AT165" s="28" t="s">
        <v>864</v>
      </c>
      <c r="AU165" s="28" t="s">
        <v>3775</v>
      </c>
      <c r="AV165" s="28" t="s">
        <v>162</v>
      </c>
      <c r="AW165" s="28" t="s">
        <v>3771</v>
      </c>
      <c r="AX165" s="28" t="s">
        <v>3776</v>
      </c>
      <c r="AY165" s="28" t="s">
        <v>3777</v>
      </c>
      <c r="AZ165" s="28" t="s">
        <v>164</v>
      </c>
      <c r="BA165" s="28" t="s">
        <v>165</v>
      </c>
      <c r="BB165" s="28" t="s">
        <v>3778</v>
      </c>
      <c r="BC165" s="28" t="s">
        <v>3779</v>
      </c>
      <c r="BD165" s="33">
        <v>1</v>
      </c>
      <c r="BE165" s="28" t="s">
        <v>138</v>
      </c>
      <c r="BF165" s="28" t="s">
        <v>3780</v>
      </c>
      <c r="BG165" s="28" t="s">
        <v>138</v>
      </c>
      <c r="BH165" s="28" t="s">
        <v>3781</v>
      </c>
      <c r="BI165" s="28" t="s">
        <v>3782</v>
      </c>
      <c r="BJ165" s="28" t="s">
        <v>138</v>
      </c>
      <c r="BK165" s="28" t="s">
        <v>3783</v>
      </c>
      <c r="BL165" s="28" t="s">
        <v>3784</v>
      </c>
      <c r="BM165" s="34">
        <v>38785</v>
      </c>
      <c r="BN165" s="29">
        <v>7.5</v>
      </c>
      <c r="BO165" s="28" t="s">
        <v>172</v>
      </c>
      <c r="BP165" s="29">
        <v>12.95</v>
      </c>
      <c r="BQ165" s="28" t="s">
        <v>172</v>
      </c>
      <c r="BR165" s="28" t="s">
        <v>205</v>
      </c>
      <c r="BS165" s="28" t="s">
        <v>206</v>
      </c>
      <c r="BT165" s="28" t="s">
        <v>138</v>
      </c>
      <c r="BU165" s="28" t="s">
        <v>174</v>
      </c>
      <c r="BV165" s="28" t="s">
        <v>138</v>
      </c>
      <c r="BW165" s="28" t="s">
        <v>138</v>
      </c>
      <c r="BX165" s="28" t="s">
        <v>138</v>
      </c>
      <c r="BY165" s="28" t="s">
        <v>175</v>
      </c>
      <c r="BZ165" s="34">
        <v>43466</v>
      </c>
      <c r="CA165" s="29">
        <v>950</v>
      </c>
      <c r="CB165" s="28" t="s">
        <v>172</v>
      </c>
      <c r="CC165" s="29">
        <v>950</v>
      </c>
      <c r="CD165" s="28" t="s">
        <v>172</v>
      </c>
      <c r="CE165" s="28" t="s">
        <v>349</v>
      </c>
      <c r="CF165" s="28" t="s">
        <v>3785</v>
      </c>
      <c r="CG165" s="28" t="s">
        <v>138</v>
      </c>
      <c r="CH165" s="28" t="s">
        <v>351</v>
      </c>
      <c r="CI165" s="28" t="s">
        <v>138</v>
      </c>
      <c r="CJ165" s="28" t="s">
        <v>138</v>
      </c>
      <c r="CK165" s="28" t="s">
        <v>138</v>
      </c>
      <c r="CL165" s="28" t="s">
        <v>175</v>
      </c>
      <c r="CM165" s="34" t="s">
        <v>138</v>
      </c>
      <c r="CN165" s="29" t="s">
        <v>138</v>
      </c>
      <c r="CO165" s="35">
        <v>-0.77</v>
      </c>
      <c r="CP165" s="36">
        <v>13</v>
      </c>
      <c r="CQ165" s="35">
        <v>0.02</v>
      </c>
      <c r="CR165" s="35">
        <v>2.41</v>
      </c>
      <c r="CS165" s="35">
        <v>-1.65</v>
      </c>
      <c r="CT165" s="36">
        <v>11</v>
      </c>
      <c r="CU165" s="35">
        <v>0.11</v>
      </c>
      <c r="CV165" s="36">
        <v>70</v>
      </c>
      <c r="CW165" s="35" t="s">
        <v>138</v>
      </c>
      <c r="CX165" s="36" t="s">
        <v>138</v>
      </c>
      <c r="CY165" s="35">
        <v>-1.65</v>
      </c>
      <c r="CZ165" s="36">
        <v>14</v>
      </c>
      <c r="DA165" s="35">
        <v>0.11</v>
      </c>
      <c r="DB165" s="36">
        <v>73</v>
      </c>
      <c r="DC165" s="37">
        <v>118.47</v>
      </c>
      <c r="DD165" s="36">
        <v>99</v>
      </c>
      <c r="DE165" s="37">
        <v>0.3</v>
      </c>
      <c r="DF165" s="35">
        <v>0.26</v>
      </c>
      <c r="DG165" s="37">
        <v>171.14</v>
      </c>
      <c r="DH165" s="36">
        <v>100</v>
      </c>
      <c r="DI165" s="37">
        <v>65.8</v>
      </c>
      <c r="DJ165" s="36">
        <v>96</v>
      </c>
      <c r="DK165" s="37" t="s">
        <v>138</v>
      </c>
      <c r="DL165" s="36" t="s">
        <v>138</v>
      </c>
      <c r="DM165" s="37">
        <v>171.14</v>
      </c>
      <c r="DN165" s="36">
        <v>100</v>
      </c>
      <c r="DO165" s="37">
        <v>65.8</v>
      </c>
      <c r="DP165" s="36">
        <v>97</v>
      </c>
      <c r="DQ165" s="36" t="s">
        <v>138</v>
      </c>
      <c r="DR165" s="38" t="s">
        <v>138</v>
      </c>
      <c r="DS165" s="35" t="s">
        <v>138</v>
      </c>
      <c r="DT165" s="36">
        <v>4962</v>
      </c>
      <c r="DU165" s="38">
        <v>13</v>
      </c>
      <c r="DV165" s="35">
        <v>0.26</v>
      </c>
      <c r="DW165" s="36">
        <v>23534</v>
      </c>
      <c r="DX165" s="39">
        <v>51</v>
      </c>
      <c r="DY165" s="35">
        <v>0.22</v>
      </c>
      <c r="DZ165" s="28" t="s">
        <v>178</v>
      </c>
      <c r="EA165" s="34">
        <v>43535</v>
      </c>
      <c r="EB165" s="29">
        <v>950</v>
      </c>
      <c r="EC165" s="34">
        <v>43466</v>
      </c>
      <c r="ED165" s="28" t="s">
        <v>349</v>
      </c>
      <c r="EE165" s="40" t="str">
        <f>HYPERLINK("https://my.pitchbook.com?c=52819-57", "View company online")</f>
        <v>View company online</v>
      </c>
    </row>
    <row r="166" spans="1:135">
      <c r="A166" s="15" t="s">
        <v>3786</v>
      </c>
      <c r="B166" s="15" t="s">
        <v>3787</v>
      </c>
      <c r="C166" s="15" t="s">
        <v>3788</v>
      </c>
      <c r="D166" s="15" t="s">
        <v>138</v>
      </c>
      <c r="E166" s="15" t="s">
        <v>3789</v>
      </c>
      <c r="F166" s="15" t="s">
        <v>3786</v>
      </c>
      <c r="G166" s="15" t="s">
        <v>3790</v>
      </c>
      <c r="H166" s="15" t="s">
        <v>322</v>
      </c>
      <c r="I166" s="15" t="s">
        <v>323</v>
      </c>
      <c r="J166" s="15" t="s">
        <v>461</v>
      </c>
      <c r="K166" s="15" t="s">
        <v>462</v>
      </c>
      <c r="L166" s="15" t="s">
        <v>586</v>
      </c>
      <c r="M166" s="15" t="s">
        <v>3791</v>
      </c>
      <c r="N166" s="15" t="s">
        <v>147</v>
      </c>
      <c r="O166" s="17">
        <v>60</v>
      </c>
      <c r="P166" s="15" t="s">
        <v>148</v>
      </c>
      <c r="Q166" s="15" t="s">
        <v>149</v>
      </c>
      <c r="R166" s="15" t="s">
        <v>174</v>
      </c>
      <c r="S166" s="15" t="s">
        <v>3792</v>
      </c>
      <c r="T166" s="18">
        <v>115</v>
      </c>
      <c r="U166" s="15" t="s">
        <v>3793</v>
      </c>
      <c r="V166" s="15" t="s">
        <v>138</v>
      </c>
      <c r="W166" s="15" t="s">
        <v>138</v>
      </c>
      <c r="X166" s="19">
        <v>2014</v>
      </c>
      <c r="Y166" s="15" t="s">
        <v>138</v>
      </c>
      <c r="Z166" s="15" t="s">
        <v>138</v>
      </c>
      <c r="AA166" s="15" t="s">
        <v>138</v>
      </c>
      <c r="AB166" s="20" t="s">
        <v>138</v>
      </c>
      <c r="AC166" s="20" t="s">
        <v>138</v>
      </c>
      <c r="AD166" s="20" t="s">
        <v>138</v>
      </c>
      <c r="AE166" s="20" t="s">
        <v>138</v>
      </c>
      <c r="AF166" s="20" t="s">
        <v>138</v>
      </c>
      <c r="AG166" s="15" t="s">
        <v>138</v>
      </c>
      <c r="AH166" s="20" t="s">
        <v>138</v>
      </c>
      <c r="AI166" s="20" t="s">
        <v>138</v>
      </c>
      <c r="AJ166" s="20" t="s">
        <v>138</v>
      </c>
      <c r="AK166" s="15" t="s">
        <v>3794</v>
      </c>
      <c r="AL166" s="15" t="s">
        <v>3795</v>
      </c>
      <c r="AM166" s="15" t="s">
        <v>3796</v>
      </c>
      <c r="AN166" s="15" t="s">
        <v>3797</v>
      </c>
      <c r="AO166" s="15" t="s">
        <v>3798</v>
      </c>
      <c r="AP166" s="15" t="s">
        <v>1168</v>
      </c>
      <c r="AQ166" s="15" t="s">
        <v>3799</v>
      </c>
      <c r="AR166" s="15" t="s">
        <v>138</v>
      </c>
      <c r="AS166" s="15" t="s">
        <v>1171</v>
      </c>
      <c r="AT166" s="15" t="s">
        <v>200</v>
      </c>
      <c r="AU166" s="15" t="s">
        <v>1172</v>
      </c>
      <c r="AV166" s="15" t="s">
        <v>162</v>
      </c>
      <c r="AW166" s="15" t="s">
        <v>3798</v>
      </c>
      <c r="AX166" s="15" t="s">
        <v>3800</v>
      </c>
      <c r="AY166" s="15" t="s">
        <v>3801</v>
      </c>
      <c r="AZ166" s="15" t="s">
        <v>164</v>
      </c>
      <c r="BA166" s="15" t="s">
        <v>165</v>
      </c>
      <c r="BB166" s="15" t="s">
        <v>3802</v>
      </c>
      <c r="BC166" s="15" t="s">
        <v>3803</v>
      </c>
      <c r="BD166" s="21">
        <v>11</v>
      </c>
      <c r="BE166" s="15" t="s">
        <v>138</v>
      </c>
      <c r="BF166" s="15" t="s">
        <v>138</v>
      </c>
      <c r="BG166" s="15" t="s">
        <v>138</v>
      </c>
      <c r="BH166" s="15" t="s">
        <v>3804</v>
      </c>
      <c r="BI166" s="15" t="s">
        <v>138</v>
      </c>
      <c r="BJ166" s="15" t="s">
        <v>138</v>
      </c>
      <c r="BK166" s="15" t="s">
        <v>432</v>
      </c>
      <c r="BL166" s="15" t="s">
        <v>432</v>
      </c>
      <c r="BM166" s="22">
        <v>41671</v>
      </c>
      <c r="BN166" s="17">
        <v>4</v>
      </c>
      <c r="BO166" s="15" t="s">
        <v>172</v>
      </c>
      <c r="BP166" s="17">
        <v>14.5</v>
      </c>
      <c r="BQ166" s="15" t="s">
        <v>172</v>
      </c>
      <c r="BR166" s="15" t="s">
        <v>234</v>
      </c>
      <c r="BS166" s="15" t="s">
        <v>234</v>
      </c>
      <c r="BT166" s="15" t="s">
        <v>138</v>
      </c>
      <c r="BU166" s="15" t="s">
        <v>174</v>
      </c>
      <c r="BV166" s="15" t="s">
        <v>138</v>
      </c>
      <c r="BW166" s="15" t="s">
        <v>138</v>
      </c>
      <c r="BX166" s="15" t="s">
        <v>138</v>
      </c>
      <c r="BY166" s="15" t="s">
        <v>175</v>
      </c>
      <c r="BZ166" s="22">
        <v>43343</v>
      </c>
      <c r="CA166" s="17">
        <v>10</v>
      </c>
      <c r="CB166" s="15" t="s">
        <v>172</v>
      </c>
      <c r="CC166" s="17">
        <v>120</v>
      </c>
      <c r="CD166" s="15" t="s">
        <v>172</v>
      </c>
      <c r="CE166" s="15" t="s">
        <v>205</v>
      </c>
      <c r="CF166" s="15" t="s">
        <v>138</v>
      </c>
      <c r="CG166" s="15" t="s">
        <v>138</v>
      </c>
      <c r="CH166" s="15" t="s">
        <v>174</v>
      </c>
      <c r="CI166" s="15" t="s">
        <v>138</v>
      </c>
      <c r="CJ166" s="15" t="s">
        <v>138</v>
      </c>
      <c r="CK166" s="15" t="s">
        <v>138</v>
      </c>
      <c r="CL166" s="15" t="s">
        <v>175</v>
      </c>
      <c r="CM166" s="22" t="s">
        <v>138</v>
      </c>
      <c r="CN166" s="17" t="s">
        <v>138</v>
      </c>
      <c r="CO166" s="23">
        <v>0.26</v>
      </c>
      <c r="CP166" s="24">
        <v>93</v>
      </c>
      <c r="CQ166" s="23">
        <v>0</v>
      </c>
      <c r="CR166" s="23">
        <v>-1</v>
      </c>
      <c r="CS166" s="23">
        <v>0.28999999999999998</v>
      </c>
      <c r="CT166" s="24">
        <v>95</v>
      </c>
      <c r="CU166" s="23">
        <v>0.22</v>
      </c>
      <c r="CV166" s="24">
        <v>82</v>
      </c>
      <c r="CW166" s="23">
        <v>1.4</v>
      </c>
      <c r="CX166" s="24">
        <v>86</v>
      </c>
      <c r="CY166" s="23">
        <v>-0.81</v>
      </c>
      <c r="CZ166" s="24">
        <v>20</v>
      </c>
      <c r="DA166" s="23">
        <v>0.36</v>
      </c>
      <c r="DB166" s="24">
        <v>91</v>
      </c>
      <c r="DC166" s="25">
        <v>6.03</v>
      </c>
      <c r="DD166" s="24">
        <v>85</v>
      </c>
      <c r="DE166" s="25">
        <v>-0.25</v>
      </c>
      <c r="DF166" s="23">
        <v>-3.98</v>
      </c>
      <c r="DG166" s="25">
        <v>10.5</v>
      </c>
      <c r="DH166" s="24">
        <v>90</v>
      </c>
      <c r="DI166" s="25">
        <v>1.56</v>
      </c>
      <c r="DJ166" s="24">
        <v>58</v>
      </c>
      <c r="DK166" s="25">
        <v>7.87</v>
      </c>
      <c r="DL166" s="24">
        <v>84</v>
      </c>
      <c r="DM166" s="25">
        <v>13.14</v>
      </c>
      <c r="DN166" s="24">
        <v>91</v>
      </c>
      <c r="DO166" s="25">
        <v>2.5299999999999998</v>
      </c>
      <c r="DP166" s="24">
        <v>68</v>
      </c>
      <c r="DQ166" s="24">
        <v>2672</v>
      </c>
      <c r="DR166" s="26">
        <v>79</v>
      </c>
      <c r="DS166" s="23">
        <v>3.05</v>
      </c>
      <c r="DT166" s="24">
        <v>381</v>
      </c>
      <c r="DU166" s="26">
        <v>1</v>
      </c>
      <c r="DV166" s="23">
        <v>0.26</v>
      </c>
      <c r="DW166" s="24">
        <v>908</v>
      </c>
      <c r="DX166" s="27">
        <v>1</v>
      </c>
      <c r="DY166" s="23">
        <v>0.11</v>
      </c>
      <c r="DZ166" s="15" t="s">
        <v>178</v>
      </c>
      <c r="EA166" s="22">
        <v>43567</v>
      </c>
      <c r="EB166" s="17">
        <v>120</v>
      </c>
      <c r="EC166" s="22">
        <v>43343</v>
      </c>
      <c r="ED166" s="15" t="s">
        <v>205</v>
      </c>
      <c r="EE166" s="14" t="str">
        <f>HYPERLINK("https://my.pitchbook.com?c=99583-39", "View company online")</f>
        <v>View company online</v>
      </c>
    </row>
    <row r="167" spans="1:135">
      <c r="A167" s="28" t="s">
        <v>3805</v>
      </c>
      <c r="B167" s="28" t="s">
        <v>3806</v>
      </c>
      <c r="C167" s="28" t="s">
        <v>138</v>
      </c>
      <c r="D167" s="28" t="s">
        <v>3807</v>
      </c>
      <c r="E167" s="28" t="s">
        <v>3808</v>
      </c>
      <c r="F167" s="28" t="s">
        <v>3805</v>
      </c>
      <c r="G167" s="28" t="s">
        <v>3809</v>
      </c>
      <c r="H167" s="28" t="s">
        <v>322</v>
      </c>
      <c r="I167" s="28" t="s">
        <v>323</v>
      </c>
      <c r="J167" s="28" t="s">
        <v>1084</v>
      </c>
      <c r="K167" s="28" t="s">
        <v>3810</v>
      </c>
      <c r="L167" s="28" t="s">
        <v>3811</v>
      </c>
      <c r="M167" s="28" t="s">
        <v>3812</v>
      </c>
      <c r="N167" s="28" t="s">
        <v>147</v>
      </c>
      <c r="O167" s="29">
        <v>28</v>
      </c>
      <c r="P167" s="28" t="s">
        <v>148</v>
      </c>
      <c r="Q167" s="28" t="s">
        <v>149</v>
      </c>
      <c r="R167" s="28" t="s">
        <v>174</v>
      </c>
      <c r="S167" s="28" t="s">
        <v>3813</v>
      </c>
      <c r="T167" s="30">
        <v>40</v>
      </c>
      <c r="U167" s="28" t="s">
        <v>3814</v>
      </c>
      <c r="V167" s="28" t="s">
        <v>138</v>
      </c>
      <c r="W167" s="28" t="s">
        <v>138</v>
      </c>
      <c r="X167" s="31">
        <v>2016</v>
      </c>
      <c r="Y167" s="28" t="s">
        <v>138</v>
      </c>
      <c r="Z167" s="28" t="s">
        <v>138</v>
      </c>
      <c r="AA167" s="28" t="s">
        <v>138</v>
      </c>
      <c r="AB167" s="32" t="s">
        <v>138</v>
      </c>
      <c r="AC167" s="32" t="s">
        <v>138</v>
      </c>
      <c r="AD167" s="32" t="s">
        <v>138</v>
      </c>
      <c r="AE167" s="32" t="s">
        <v>138</v>
      </c>
      <c r="AF167" s="32" t="s">
        <v>138</v>
      </c>
      <c r="AG167" s="28" t="s">
        <v>138</v>
      </c>
      <c r="AH167" s="32" t="s">
        <v>138</v>
      </c>
      <c r="AI167" s="32" t="s">
        <v>138</v>
      </c>
      <c r="AJ167" s="32" t="s">
        <v>138</v>
      </c>
      <c r="AK167" s="28" t="s">
        <v>3815</v>
      </c>
      <c r="AL167" s="28" t="s">
        <v>3816</v>
      </c>
      <c r="AM167" s="28" t="s">
        <v>2794</v>
      </c>
      <c r="AN167" s="28" t="s">
        <v>138</v>
      </c>
      <c r="AO167" s="28" t="s">
        <v>138</v>
      </c>
      <c r="AP167" s="28" t="s">
        <v>3817</v>
      </c>
      <c r="AQ167" s="28" t="s">
        <v>3818</v>
      </c>
      <c r="AR167" s="28" t="s">
        <v>3819</v>
      </c>
      <c r="AS167" s="28" t="s">
        <v>3820</v>
      </c>
      <c r="AT167" s="28" t="s">
        <v>864</v>
      </c>
      <c r="AU167" s="28" t="s">
        <v>3821</v>
      </c>
      <c r="AV167" s="28" t="s">
        <v>162</v>
      </c>
      <c r="AW167" s="28" t="s">
        <v>138</v>
      </c>
      <c r="AX167" s="28" t="s">
        <v>138</v>
      </c>
      <c r="AY167" s="28" t="s">
        <v>138</v>
      </c>
      <c r="AZ167" s="28" t="s">
        <v>164</v>
      </c>
      <c r="BA167" s="28" t="s">
        <v>165</v>
      </c>
      <c r="BB167" s="28" t="s">
        <v>3822</v>
      </c>
      <c r="BC167" s="28" t="s">
        <v>3823</v>
      </c>
      <c r="BD167" s="33">
        <v>6</v>
      </c>
      <c r="BE167" s="28" t="s">
        <v>138</v>
      </c>
      <c r="BF167" s="28" t="s">
        <v>138</v>
      </c>
      <c r="BG167" s="28" t="s">
        <v>138</v>
      </c>
      <c r="BH167" s="28" t="s">
        <v>3824</v>
      </c>
      <c r="BI167" s="28" t="s">
        <v>138</v>
      </c>
      <c r="BJ167" s="28" t="s">
        <v>138</v>
      </c>
      <c r="BK167" s="28" t="s">
        <v>3825</v>
      </c>
      <c r="BL167" s="28" t="s">
        <v>3826</v>
      </c>
      <c r="BM167" s="34">
        <v>42542</v>
      </c>
      <c r="BN167" s="29">
        <v>1</v>
      </c>
      <c r="BO167" s="28" t="s">
        <v>172</v>
      </c>
      <c r="BP167" s="29">
        <v>5</v>
      </c>
      <c r="BQ167" s="28" t="s">
        <v>1178</v>
      </c>
      <c r="BR167" s="28" t="s">
        <v>234</v>
      </c>
      <c r="BS167" s="28" t="s">
        <v>234</v>
      </c>
      <c r="BT167" s="28" t="s">
        <v>138</v>
      </c>
      <c r="BU167" s="28" t="s">
        <v>174</v>
      </c>
      <c r="BV167" s="28" t="s">
        <v>138</v>
      </c>
      <c r="BW167" s="28" t="s">
        <v>138</v>
      </c>
      <c r="BX167" s="28" t="s">
        <v>138</v>
      </c>
      <c r="BY167" s="28" t="s">
        <v>175</v>
      </c>
      <c r="BZ167" s="34">
        <v>43466</v>
      </c>
      <c r="CA167" s="29">
        <v>15</v>
      </c>
      <c r="CB167" s="28" t="s">
        <v>172</v>
      </c>
      <c r="CC167" s="29">
        <v>69.5</v>
      </c>
      <c r="CD167" s="28" t="s">
        <v>172</v>
      </c>
      <c r="CE167" s="28" t="s">
        <v>205</v>
      </c>
      <c r="CF167" s="28" t="s">
        <v>623</v>
      </c>
      <c r="CG167" s="28" t="s">
        <v>138</v>
      </c>
      <c r="CH167" s="28" t="s">
        <v>174</v>
      </c>
      <c r="CI167" s="28" t="s">
        <v>138</v>
      </c>
      <c r="CJ167" s="28" t="s">
        <v>138</v>
      </c>
      <c r="CK167" s="28" t="s">
        <v>138</v>
      </c>
      <c r="CL167" s="28" t="s">
        <v>175</v>
      </c>
      <c r="CM167" s="34" t="s">
        <v>138</v>
      </c>
      <c r="CN167" s="29" t="s">
        <v>138</v>
      </c>
      <c r="CO167" s="35">
        <v>0.05</v>
      </c>
      <c r="CP167" s="36">
        <v>88</v>
      </c>
      <c r="CQ167" s="35">
        <v>-0.05</v>
      </c>
      <c r="CR167" s="35">
        <v>-47.3</v>
      </c>
      <c r="CS167" s="35">
        <v>-1.58</v>
      </c>
      <c r="CT167" s="36">
        <v>11</v>
      </c>
      <c r="CU167" s="35">
        <v>0.05</v>
      </c>
      <c r="CV167" s="36">
        <v>58</v>
      </c>
      <c r="CW167" s="35" t="s">
        <v>138</v>
      </c>
      <c r="CX167" s="36" t="s">
        <v>138</v>
      </c>
      <c r="CY167" s="35">
        <v>-1.58</v>
      </c>
      <c r="CZ167" s="36">
        <v>14</v>
      </c>
      <c r="DA167" s="35">
        <v>0.05</v>
      </c>
      <c r="DB167" s="36">
        <v>64</v>
      </c>
      <c r="DC167" s="37">
        <v>4.3899999999999997</v>
      </c>
      <c r="DD167" s="36">
        <v>81</v>
      </c>
      <c r="DE167" s="37">
        <v>-0.01</v>
      </c>
      <c r="DF167" s="35">
        <v>-0.18</v>
      </c>
      <c r="DG167" s="37">
        <v>5.52</v>
      </c>
      <c r="DH167" s="36">
        <v>84</v>
      </c>
      <c r="DI167" s="37">
        <v>7.56</v>
      </c>
      <c r="DJ167" s="36">
        <v>82</v>
      </c>
      <c r="DK167" s="37" t="s">
        <v>138</v>
      </c>
      <c r="DL167" s="36" t="s">
        <v>138</v>
      </c>
      <c r="DM167" s="37">
        <v>5.52</v>
      </c>
      <c r="DN167" s="36">
        <v>83</v>
      </c>
      <c r="DO167" s="37">
        <v>7.56</v>
      </c>
      <c r="DP167" s="36">
        <v>84</v>
      </c>
      <c r="DQ167" s="36" t="s">
        <v>138</v>
      </c>
      <c r="DR167" s="38" t="s">
        <v>138</v>
      </c>
      <c r="DS167" s="35" t="s">
        <v>138</v>
      </c>
      <c r="DT167" s="36">
        <v>160</v>
      </c>
      <c r="DU167" s="38">
        <v>-3</v>
      </c>
      <c r="DV167" s="35">
        <v>-1.84</v>
      </c>
      <c r="DW167" s="36">
        <v>2708</v>
      </c>
      <c r="DX167" s="39">
        <v>2</v>
      </c>
      <c r="DY167" s="35">
        <v>7.0000000000000007E-2</v>
      </c>
      <c r="DZ167" s="28" t="s">
        <v>178</v>
      </c>
      <c r="EA167" s="34">
        <v>43571</v>
      </c>
      <c r="EB167" s="29">
        <v>69.5</v>
      </c>
      <c r="EC167" s="34">
        <v>43466</v>
      </c>
      <c r="ED167" s="28" t="s">
        <v>205</v>
      </c>
      <c r="EE167" s="40" t="str">
        <f>HYPERLINK("https://my.pitchbook.com?c=171693-10", "View company online")</f>
        <v>View company online</v>
      </c>
    </row>
    <row r="168" spans="1:135">
      <c r="A168" s="15" t="s">
        <v>3827</v>
      </c>
      <c r="B168" s="15" t="s">
        <v>3828</v>
      </c>
      <c r="C168" s="15" t="s">
        <v>138</v>
      </c>
      <c r="D168" s="15" t="s">
        <v>138</v>
      </c>
      <c r="E168" s="15" t="s">
        <v>3829</v>
      </c>
      <c r="F168" s="15" t="s">
        <v>3827</v>
      </c>
      <c r="G168" s="15" t="s">
        <v>3830</v>
      </c>
      <c r="H168" s="15" t="s">
        <v>322</v>
      </c>
      <c r="I168" s="15" t="s">
        <v>323</v>
      </c>
      <c r="J168" s="15" t="s">
        <v>413</v>
      </c>
      <c r="K168" s="15" t="s">
        <v>3831</v>
      </c>
      <c r="L168" s="15" t="s">
        <v>242</v>
      </c>
      <c r="M168" s="15" t="s">
        <v>3832</v>
      </c>
      <c r="N168" s="15" t="s">
        <v>147</v>
      </c>
      <c r="O168" s="17">
        <v>25.34</v>
      </c>
      <c r="P168" s="15" t="s">
        <v>148</v>
      </c>
      <c r="Q168" s="15" t="s">
        <v>149</v>
      </c>
      <c r="R168" s="15" t="s">
        <v>244</v>
      </c>
      <c r="S168" s="15" t="s">
        <v>3833</v>
      </c>
      <c r="T168" s="18">
        <v>60</v>
      </c>
      <c r="U168" s="15" t="s">
        <v>3834</v>
      </c>
      <c r="V168" s="15" t="s">
        <v>138</v>
      </c>
      <c r="W168" s="15" t="s">
        <v>138</v>
      </c>
      <c r="X168" s="19">
        <v>2013</v>
      </c>
      <c r="Y168" s="15" t="s">
        <v>138</v>
      </c>
      <c r="Z168" s="15" t="s">
        <v>138</v>
      </c>
      <c r="AA168" s="15" t="s">
        <v>138</v>
      </c>
      <c r="AB168" s="20" t="s">
        <v>138</v>
      </c>
      <c r="AC168" s="20" t="s">
        <v>138</v>
      </c>
      <c r="AD168" s="20" t="s">
        <v>138</v>
      </c>
      <c r="AE168" s="20" t="s">
        <v>138</v>
      </c>
      <c r="AF168" s="20" t="s">
        <v>138</v>
      </c>
      <c r="AG168" s="15" t="s">
        <v>138</v>
      </c>
      <c r="AH168" s="20" t="s">
        <v>138</v>
      </c>
      <c r="AI168" s="20" t="s">
        <v>138</v>
      </c>
      <c r="AJ168" s="20" t="s">
        <v>138</v>
      </c>
      <c r="AK168" s="15" t="s">
        <v>3835</v>
      </c>
      <c r="AL168" s="15" t="s">
        <v>3836</v>
      </c>
      <c r="AM168" s="15" t="s">
        <v>221</v>
      </c>
      <c r="AN168" s="15" t="s">
        <v>3837</v>
      </c>
      <c r="AO168" s="15" t="s">
        <v>3838</v>
      </c>
      <c r="AP168" s="15" t="s">
        <v>3839</v>
      </c>
      <c r="AQ168" s="15" t="s">
        <v>3840</v>
      </c>
      <c r="AR168" s="15" t="s">
        <v>138</v>
      </c>
      <c r="AS168" s="15" t="s">
        <v>3841</v>
      </c>
      <c r="AT168" s="15" t="s">
        <v>200</v>
      </c>
      <c r="AU168" s="15" t="s">
        <v>3842</v>
      </c>
      <c r="AV168" s="15" t="s">
        <v>162</v>
      </c>
      <c r="AW168" s="15" t="s">
        <v>3838</v>
      </c>
      <c r="AX168" s="15" t="s">
        <v>138</v>
      </c>
      <c r="AY168" s="15" t="s">
        <v>3843</v>
      </c>
      <c r="AZ168" s="15" t="s">
        <v>164</v>
      </c>
      <c r="BA168" s="15" t="s">
        <v>165</v>
      </c>
      <c r="BB168" s="15" t="s">
        <v>3844</v>
      </c>
      <c r="BC168" s="15" t="s">
        <v>3845</v>
      </c>
      <c r="BD168" s="21">
        <v>10</v>
      </c>
      <c r="BE168" s="15" t="s">
        <v>138</v>
      </c>
      <c r="BF168" s="15" t="s">
        <v>138</v>
      </c>
      <c r="BG168" s="15" t="s">
        <v>138</v>
      </c>
      <c r="BH168" s="15" t="s">
        <v>3846</v>
      </c>
      <c r="BI168" s="15" t="s">
        <v>138</v>
      </c>
      <c r="BJ168" s="15" t="s">
        <v>138</v>
      </c>
      <c r="BK168" s="15" t="s">
        <v>138</v>
      </c>
      <c r="BL168" s="15" t="s">
        <v>3847</v>
      </c>
      <c r="BM168" s="22">
        <v>42019</v>
      </c>
      <c r="BN168" s="17" t="s">
        <v>138</v>
      </c>
      <c r="BO168" s="15" t="s">
        <v>138</v>
      </c>
      <c r="BP168" s="17" t="s">
        <v>138</v>
      </c>
      <c r="BQ168" s="15" t="s">
        <v>138</v>
      </c>
      <c r="BR168" s="15" t="s">
        <v>316</v>
      </c>
      <c r="BS168" s="15" t="s">
        <v>138</v>
      </c>
      <c r="BT168" s="15" t="s">
        <v>138</v>
      </c>
      <c r="BU168" s="15" t="s">
        <v>174</v>
      </c>
      <c r="BV168" s="15" t="s">
        <v>138</v>
      </c>
      <c r="BW168" s="15" t="s">
        <v>138</v>
      </c>
      <c r="BX168" s="15" t="s">
        <v>138</v>
      </c>
      <c r="BY168" s="15" t="s">
        <v>175</v>
      </c>
      <c r="BZ168" s="22">
        <v>43228</v>
      </c>
      <c r="CA168" s="17" t="s">
        <v>138</v>
      </c>
      <c r="CB168" s="15" t="s">
        <v>138</v>
      </c>
      <c r="CC168" s="17" t="s">
        <v>138</v>
      </c>
      <c r="CD168" s="15" t="s">
        <v>138</v>
      </c>
      <c r="CE168" s="15" t="s">
        <v>205</v>
      </c>
      <c r="CF168" s="15" t="s">
        <v>138</v>
      </c>
      <c r="CG168" s="15" t="s">
        <v>138</v>
      </c>
      <c r="CH168" s="15" t="s">
        <v>174</v>
      </c>
      <c r="CI168" s="15" t="s">
        <v>138</v>
      </c>
      <c r="CJ168" s="15" t="s">
        <v>138</v>
      </c>
      <c r="CK168" s="15" t="s">
        <v>138</v>
      </c>
      <c r="CL168" s="15" t="s">
        <v>175</v>
      </c>
      <c r="CM168" s="22">
        <v>42825</v>
      </c>
      <c r="CN168" s="17">
        <v>1.34</v>
      </c>
      <c r="CO168" s="23">
        <v>-0.27</v>
      </c>
      <c r="CP168" s="24">
        <v>19</v>
      </c>
      <c r="CQ168" s="23">
        <v>0.02</v>
      </c>
      <c r="CR168" s="23">
        <v>5.55</v>
      </c>
      <c r="CS168" s="23">
        <v>-0.97</v>
      </c>
      <c r="CT168" s="24">
        <v>15</v>
      </c>
      <c r="CU168" s="23">
        <v>0.17</v>
      </c>
      <c r="CV168" s="24">
        <v>77</v>
      </c>
      <c r="CW168" s="23">
        <v>0</v>
      </c>
      <c r="CX168" s="24">
        <v>13</v>
      </c>
      <c r="CY168" s="23">
        <v>-1.93</v>
      </c>
      <c r="CZ168" s="24">
        <v>12</v>
      </c>
      <c r="DA168" s="23">
        <v>0.17</v>
      </c>
      <c r="DB168" s="24">
        <v>80</v>
      </c>
      <c r="DC168" s="25">
        <v>3.18</v>
      </c>
      <c r="DD168" s="24">
        <v>76</v>
      </c>
      <c r="DE168" s="25">
        <v>-0.03</v>
      </c>
      <c r="DF168" s="23">
        <v>-0.82</v>
      </c>
      <c r="DG168" s="25">
        <v>5.58</v>
      </c>
      <c r="DH168" s="24">
        <v>84</v>
      </c>
      <c r="DI168" s="25">
        <v>3.75</v>
      </c>
      <c r="DJ168" s="24">
        <v>73</v>
      </c>
      <c r="DK168" s="25">
        <v>1.47</v>
      </c>
      <c r="DL168" s="24">
        <v>58</v>
      </c>
      <c r="DM168" s="25">
        <v>9.69</v>
      </c>
      <c r="DN168" s="24">
        <v>88</v>
      </c>
      <c r="DO168" s="25">
        <v>3.75</v>
      </c>
      <c r="DP168" s="24">
        <v>75</v>
      </c>
      <c r="DQ168" s="24">
        <v>479</v>
      </c>
      <c r="DR168" s="26">
        <v>69</v>
      </c>
      <c r="DS168" s="23">
        <v>16.829999999999998</v>
      </c>
      <c r="DT168" s="24">
        <v>281</v>
      </c>
      <c r="DU168" s="26">
        <v>0</v>
      </c>
      <c r="DV168" s="23">
        <v>0</v>
      </c>
      <c r="DW168" s="24">
        <v>1340</v>
      </c>
      <c r="DX168" s="27">
        <v>3</v>
      </c>
      <c r="DY168" s="23">
        <v>0.22</v>
      </c>
      <c r="DZ168" s="15" t="s">
        <v>178</v>
      </c>
      <c r="EA168" s="22">
        <v>43607</v>
      </c>
      <c r="EB168" s="17">
        <v>75</v>
      </c>
      <c r="EC168" s="22">
        <v>42654</v>
      </c>
      <c r="ED168" s="15" t="s">
        <v>205</v>
      </c>
      <c r="EE168" s="14" t="str">
        <f>HYPERLINK("https://my.pitchbook.com?c=103383-73", "View company online")</f>
        <v>View company online</v>
      </c>
    </row>
    <row r="169" spans="1:135">
      <c r="A169" s="28" t="s">
        <v>3848</v>
      </c>
      <c r="B169" s="28" t="s">
        <v>3849</v>
      </c>
      <c r="C169" s="28" t="s">
        <v>138</v>
      </c>
      <c r="D169" s="28" t="s">
        <v>138</v>
      </c>
      <c r="E169" s="28" t="s">
        <v>3850</v>
      </c>
      <c r="F169" s="28" t="s">
        <v>3848</v>
      </c>
      <c r="G169" s="28" t="s">
        <v>3851</v>
      </c>
      <c r="H169" s="28" t="s">
        <v>322</v>
      </c>
      <c r="I169" s="28" t="s">
        <v>356</v>
      </c>
      <c r="J169" s="28" t="s">
        <v>3852</v>
      </c>
      <c r="K169" s="28" t="s">
        <v>3853</v>
      </c>
      <c r="L169" s="28" t="s">
        <v>1972</v>
      </c>
      <c r="M169" s="28" t="s">
        <v>3854</v>
      </c>
      <c r="N169" s="28" t="s">
        <v>147</v>
      </c>
      <c r="O169" s="29">
        <v>29.9</v>
      </c>
      <c r="P169" s="28" t="s">
        <v>610</v>
      </c>
      <c r="Q169" s="28" t="s">
        <v>149</v>
      </c>
      <c r="R169" s="28" t="s">
        <v>174</v>
      </c>
      <c r="S169" s="28" t="s">
        <v>3855</v>
      </c>
      <c r="T169" s="30">
        <v>50</v>
      </c>
      <c r="U169" s="28" t="s">
        <v>3856</v>
      </c>
      <c r="V169" s="28" t="s">
        <v>138</v>
      </c>
      <c r="W169" s="28" t="s">
        <v>138</v>
      </c>
      <c r="X169" s="31">
        <v>2012</v>
      </c>
      <c r="Y169" s="28" t="s">
        <v>138</v>
      </c>
      <c r="Z169" s="28" t="s">
        <v>138</v>
      </c>
      <c r="AA169" s="28" t="s">
        <v>138</v>
      </c>
      <c r="AB169" s="32" t="s">
        <v>138</v>
      </c>
      <c r="AC169" s="32" t="s">
        <v>138</v>
      </c>
      <c r="AD169" s="32" t="s">
        <v>138</v>
      </c>
      <c r="AE169" s="32" t="s">
        <v>138</v>
      </c>
      <c r="AF169" s="32" t="s">
        <v>138</v>
      </c>
      <c r="AG169" s="28" t="s">
        <v>138</v>
      </c>
      <c r="AH169" s="32" t="s">
        <v>138</v>
      </c>
      <c r="AI169" s="32" t="s">
        <v>138</v>
      </c>
      <c r="AJ169" s="32" t="s">
        <v>138</v>
      </c>
      <c r="AK169" s="28" t="s">
        <v>3857</v>
      </c>
      <c r="AL169" s="28" t="s">
        <v>3858</v>
      </c>
      <c r="AM169" s="28" t="s">
        <v>221</v>
      </c>
      <c r="AN169" s="28" t="s">
        <v>3859</v>
      </c>
      <c r="AO169" s="28" t="s">
        <v>3860</v>
      </c>
      <c r="AP169" s="28" t="s">
        <v>964</v>
      </c>
      <c r="AQ169" s="28" t="s">
        <v>3861</v>
      </c>
      <c r="AR169" s="28" t="s">
        <v>138</v>
      </c>
      <c r="AS169" s="28" t="s">
        <v>966</v>
      </c>
      <c r="AT169" s="28" t="s">
        <v>200</v>
      </c>
      <c r="AU169" s="28" t="s">
        <v>1590</v>
      </c>
      <c r="AV169" s="28" t="s">
        <v>162</v>
      </c>
      <c r="AW169" s="28" t="s">
        <v>3860</v>
      </c>
      <c r="AX169" s="28" t="s">
        <v>3862</v>
      </c>
      <c r="AY169" s="28" t="s">
        <v>3863</v>
      </c>
      <c r="AZ169" s="28" t="s">
        <v>164</v>
      </c>
      <c r="BA169" s="28" t="s">
        <v>165</v>
      </c>
      <c r="BB169" s="28" t="s">
        <v>3864</v>
      </c>
      <c r="BC169" s="28" t="s">
        <v>3865</v>
      </c>
      <c r="BD169" s="33">
        <v>14</v>
      </c>
      <c r="BE169" s="28" t="s">
        <v>138</v>
      </c>
      <c r="BF169" s="28" t="s">
        <v>138</v>
      </c>
      <c r="BG169" s="28" t="s">
        <v>138</v>
      </c>
      <c r="BH169" s="28" t="s">
        <v>3866</v>
      </c>
      <c r="BI169" s="28" t="s">
        <v>138</v>
      </c>
      <c r="BJ169" s="28" t="s">
        <v>138</v>
      </c>
      <c r="BK169" s="28" t="s">
        <v>1251</v>
      </c>
      <c r="BL169" s="28" t="s">
        <v>1251</v>
      </c>
      <c r="BM169" s="34">
        <v>41693</v>
      </c>
      <c r="BN169" s="29" t="s">
        <v>138</v>
      </c>
      <c r="BO169" s="28" t="s">
        <v>138</v>
      </c>
      <c r="BP169" s="29" t="s">
        <v>138</v>
      </c>
      <c r="BQ169" s="28" t="s">
        <v>138</v>
      </c>
      <c r="BR169" s="28" t="s">
        <v>316</v>
      </c>
      <c r="BS169" s="28" t="s">
        <v>138</v>
      </c>
      <c r="BT169" s="28" t="s">
        <v>138</v>
      </c>
      <c r="BU169" s="28" t="s">
        <v>177</v>
      </c>
      <c r="BV169" s="28" t="s">
        <v>138</v>
      </c>
      <c r="BW169" s="28" t="s">
        <v>138</v>
      </c>
      <c r="BX169" s="28" t="s">
        <v>138</v>
      </c>
      <c r="BY169" s="28" t="s">
        <v>175</v>
      </c>
      <c r="BZ169" s="34" t="s">
        <v>138</v>
      </c>
      <c r="CA169" s="29">
        <v>3</v>
      </c>
      <c r="CB169" s="28" t="s">
        <v>172</v>
      </c>
      <c r="CC169" s="29" t="s">
        <v>138</v>
      </c>
      <c r="CD169" s="28" t="s">
        <v>138</v>
      </c>
      <c r="CE169" s="28" t="s">
        <v>205</v>
      </c>
      <c r="CF169" s="28" t="s">
        <v>138</v>
      </c>
      <c r="CG169" s="28" t="s">
        <v>138</v>
      </c>
      <c r="CH169" s="28" t="s">
        <v>174</v>
      </c>
      <c r="CI169" s="28" t="s">
        <v>138</v>
      </c>
      <c r="CJ169" s="28" t="s">
        <v>138</v>
      </c>
      <c r="CK169" s="28" t="s">
        <v>138</v>
      </c>
      <c r="CL169" s="28" t="s">
        <v>175</v>
      </c>
      <c r="CM169" s="34" t="s">
        <v>138</v>
      </c>
      <c r="CN169" s="29" t="s">
        <v>138</v>
      </c>
      <c r="CO169" s="35">
        <v>-0.08</v>
      </c>
      <c r="CP169" s="36">
        <v>21</v>
      </c>
      <c r="CQ169" s="35">
        <v>-0.03</v>
      </c>
      <c r="CR169" s="35">
        <v>-51.53</v>
      </c>
      <c r="CS169" s="35">
        <v>-0.31</v>
      </c>
      <c r="CT169" s="36">
        <v>21</v>
      </c>
      <c r="CU169" s="35">
        <v>0.16</v>
      </c>
      <c r="CV169" s="36">
        <v>76</v>
      </c>
      <c r="CW169" s="35">
        <v>0</v>
      </c>
      <c r="CX169" s="36">
        <v>13</v>
      </c>
      <c r="CY169" s="35">
        <v>-0.62</v>
      </c>
      <c r="CZ169" s="36">
        <v>21</v>
      </c>
      <c r="DA169" s="35">
        <v>0.16</v>
      </c>
      <c r="DB169" s="36">
        <v>79</v>
      </c>
      <c r="DC169" s="37">
        <v>3.39</v>
      </c>
      <c r="DD169" s="36">
        <v>77</v>
      </c>
      <c r="DE169" s="37">
        <v>-0.04</v>
      </c>
      <c r="DF169" s="35">
        <v>-1.02</v>
      </c>
      <c r="DG169" s="37">
        <v>3.84</v>
      </c>
      <c r="DH169" s="36">
        <v>79</v>
      </c>
      <c r="DI169" s="37">
        <v>2.94</v>
      </c>
      <c r="DJ169" s="36">
        <v>69</v>
      </c>
      <c r="DK169" s="37">
        <v>1.17</v>
      </c>
      <c r="DL169" s="36">
        <v>53</v>
      </c>
      <c r="DM169" s="37">
        <v>6.52</v>
      </c>
      <c r="DN169" s="36">
        <v>85</v>
      </c>
      <c r="DO169" s="37">
        <v>3.25</v>
      </c>
      <c r="DP169" s="36">
        <v>72</v>
      </c>
      <c r="DQ169" s="36">
        <v>399</v>
      </c>
      <c r="DR169" s="38">
        <v>7</v>
      </c>
      <c r="DS169" s="35">
        <v>1.79</v>
      </c>
      <c r="DT169" s="36">
        <v>189</v>
      </c>
      <c r="DU169" s="38">
        <v>1</v>
      </c>
      <c r="DV169" s="35">
        <v>0.53</v>
      </c>
      <c r="DW169" s="36">
        <v>1163</v>
      </c>
      <c r="DX169" s="39">
        <v>-1</v>
      </c>
      <c r="DY169" s="35">
        <v>-0.09</v>
      </c>
      <c r="DZ169" s="28" t="s">
        <v>178</v>
      </c>
      <c r="EA169" s="34">
        <v>43573</v>
      </c>
      <c r="EB169" s="29">
        <v>85.44</v>
      </c>
      <c r="EC169" s="34">
        <v>42411</v>
      </c>
      <c r="ED169" s="28" t="s">
        <v>205</v>
      </c>
      <c r="EE169" s="40" t="str">
        <f>HYPERLINK("https://my.pitchbook.com?c=97867-09", "View company online")</f>
        <v>View company online</v>
      </c>
    </row>
    <row r="170" spans="1:135">
      <c r="A170" s="15" t="s">
        <v>3867</v>
      </c>
      <c r="B170" s="15" t="s">
        <v>3868</v>
      </c>
      <c r="C170" s="15" t="s">
        <v>3869</v>
      </c>
      <c r="D170" s="15" t="s">
        <v>138</v>
      </c>
      <c r="E170" s="15" t="s">
        <v>3870</v>
      </c>
      <c r="F170" s="15" t="s">
        <v>3867</v>
      </c>
      <c r="G170" s="15" t="s">
        <v>3871</v>
      </c>
      <c r="H170" s="15" t="s">
        <v>322</v>
      </c>
      <c r="I170" s="15" t="s">
        <v>323</v>
      </c>
      <c r="J170" s="15" t="s">
        <v>461</v>
      </c>
      <c r="K170" s="15" t="s">
        <v>462</v>
      </c>
      <c r="L170" s="15" t="s">
        <v>3872</v>
      </c>
      <c r="M170" s="15" t="s">
        <v>3873</v>
      </c>
      <c r="N170" s="15" t="s">
        <v>147</v>
      </c>
      <c r="O170" s="17">
        <v>190</v>
      </c>
      <c r="P170" s="15" t="s">
        <v>148</v>
      </c>
      <c r="Q170" s="15" t="s">
        <v>149</v>
      </c>
      <c r="R170" s="15" t="s">
        <v>244</v>
      </c>
      <c r="S170" s="15" t="s">
        <v>3874</v>
      </c>
      <c r="T170" s="18">
        <v>250</v>
      </c>
      <c r="U170" s="15" t="s">
        <v>3875</v>
      </c>
      <c r="V170" s="15" t="s">
        <v>138</v>
      </c>
      <c r="W170" s="15" t="s">
        <v>138</v>
      </c>
      <c r="X170" s="19">
        <v>2004</v>
      </c>
      <c r="Y170" s="15" t="s">
        <v>138</v>
      </c>
      <c r="Z170" s="15" t="s">
        <v>138</v>
      </c>
      <c r="AA170" s="15" t="s">
        <v>3876</v>
      </c>
      <c r="AB170" s="20" t="s">
        <v>138</v>
      </c>
      <c r="AC170" s="20" t="s">
        <v>138</v>
      </c>
      <c r="AD170" s="20" t="s">
        <v>138</v>
      </c>
      <c r="AE170" s="20" t="s">
        <v>138</v>
      </c>
      <c r="AF170" s="20" t="s">
        <v>138</v>
      </c>
      <c r="AG170" s="15" t="s">
        <v>138</v>
      </c>
      <c r="AH170" s="20" t="s">
        <v>138</v>
      </c>
      <c r="AI170" s="20" t="s">
        <v>138</v>
      </c>
      <c r="AJ170" s="20" t="s">
        <v>138</v>
      </c>
      <c r="AK170" s="15" t="s">
        <v>3877</v>
      </c>
      <c r="AL170" s="15" t="s">
        <v>3878</v>
      </c>
      <c r="AM170" s="15" t="s">
        <v>2949</v>
      </c>
      <c r="AN170" s="15" t="s">
        <v>3879</v>
      </c>
      <c r="AO170" s="15" t="s">
        <v>3880</v>
      </c>
      <c r="AP170" s="15" t="s">
        <v>3881</v>
      </c>
      <c r="AQ170" s="15" t="s">
        <v>3882</v>
      </c>
      <c r="AR170" s="15" t="s">
        <v>1170</v>
      </c>
      <c r="AS170" s="15" t="s">
        <v>3428</v>
      </c>
      <c r="AT170" s="15" t="s">
        <v>3883</v>
      </c>
      <c r="AU170" s="15" t="s">
        <v>3884</v>
      </c>
      <c r="AV170" s="15" t="s">
        <v>162</v>
      </c>
      <c r="AW170" s="15" t="s">
        <v>3880</v>
      </c>
      <c r="AX170" s="15" t="s">
        <v>138</v>
      </c>
      <c r="AY170" s="15" t="s">
        <v>3885</v>
      </c>
      <c r="AZ170" s="15" t="s">
        <v>164</v>
      </c>
      <c r="BA170" s="15" t="s">
        <v>165</v>
      </c>
      <c r="BB170" s="15" t="s">
        <v>3886</v>
      </c>
      <c r="BC170" s="15" t="s">
        <v>3887</v>
      </c>
      <c r="BD170" s="21">
        <v>12</v>
      </c>
      <c r="BE170" s="15" t="s">
        <v>138</v>
      </c>
      <c r="BF170" s="15" t="s">
        <v>138</v>
      </c>
      <c r="BG170" s="15" t="s">
        <v>138</v>
      </c>
      <c r="BH170" s="15" t="s">
        <v>3888</v>
      </c>
      <c r="BI170" s="15" t="s">
        <v>138</v>
      </c>
      <c r="BJ170" s="15" t="s">
        <v>138</v>
      </c>
      <c r="BK170" s="15" t="s">
        <v>3889</v>
      </c>
      <c r="BL170" s="15" t="s">
        <v>3890</v>
      </c>
      <c r="BM170" s="22">
        <v>38078</v>
      </c>
      <c r="BN170" s="17">
        <v>5.65</v>
      </c>
      <c r="BO170" s="15" t="s">
        <v>172</v>
      </c>
      <c r="BP170" s="17">
        <v>11.5</v>
      </c>
      <c r="BQ170" s="15" t="s">
        <v>172</v>
      </c>
      <c r="BR170" s="15" t="s">
        <v>205</v>
      </c>
      <c r="BS170" s="15" t="s">
        <v>206</v>
      </c>
      <c r="BT170" s="15" t="s">
        <v>138</v>
      </c>
      <c r="BU170" s="15" t="s">
        <v>174</v>
      </c>
      <c r="BV170" s="15" t="s">
        <v>138</v>
      </c>
      <c r="BW170" s="15" t="s">
        <v>138</v>
      </c>
      <c r="BX170" s="15" t="s">
        <v>138</v>
      </c>
      <c r="BY170" s="15" t="s">
        <v>175</v>
      </c>
      <c r="BZ170" s="22">
        <v>43433</v>
      </c>
      <c r="CA170" s="17">
        <v>100</v>
      </c>
      <c r="CB170" s="15" t="s">
        <v>172</v>
      </c>
      <c r="CC170" s="17">
        <v>600</v>
      </c>
      <c r="CD170" s="15" t="s">
        <v>172</v>
      </c>
      <c r="CE170" s="15" t="s">
        <v>173</v>
      </c>
      <c r="CF170" s="15" t="s">
        <v>2830</v>
      </c>
      <c r="CG170" s="15" t="s">
        <v>138</v>
      </c>
      <c r="CH170" s="15" t="s">
        <v>174</v>
      </c>
      <c r="CI170" s="15" t="s">
        <v>138</v>
      </c>
      <c r="CJ170" s="15" t="s">
        <v>138</v>
      </c>
      <c r="CK170" s="15" t="s">
        <v>138</v>
      </c>
      <c r="CL170" s="15" t="s">
        <v>175</v>
      </c>
      <c r="CM170" s="22" t="s">
        <v>138</v>
      </c>
      <c r="CN170" s="17" t="s">
        <v>138</v>
      </c>
      <c r="CO170" s="23">
        <v>-0.05</v>
      </c>
      <c r="CP170" s="24">
        <v>22</v>
      </c>
      <c r="CQ170" s="23">
        <v>0</v>
      </c>
      <c r="CR170" s="23">
        <v>7.28</v>
      </c>
      <c r="CS170" s="23">
        <v>0.11</v>
      </c>
      <c r="CT170" s="24">
        <v>94</v>
      </c>
      <c r="CU170" s="23">
        <v>0.65</v>
      </c>
      <c r="CV170" s="24">
        <v>96</v>
      </c>
      <c r="CW170" s="23">
        <v>2.41</v>
      </c>
      <c r="CX170" s="24">
        <v>89</v>
      </c>
      <c r="CY170" s="23">
        <v>-2.19</v>
      </c>
      <c r="CZ170" s="24">
        <v>10</v>
      </c>
      <c r="DA170" s="23">
        <v>0.21</v>
      </c>
      <c r="DB170" s="24">
        <v>83</v>
      </c>
      <c r="DC170" s="25">
        <v>17.309999999999999</v>
      </c>
      <c r="DD170" s="24">
        <v>94</v>
      </c>
      <c r="DE170" s="25">
        <v>-0.1</v>
      </c>
      <c r="DF170" s="23">
        <v>-0.56999999999999995</v>
      </c>
      <c r="DG170" s="25">
        <v>44.79</v>
      </c>
      <c r="DH170" s="24">
        <v>98</v>
      </c>
      <c r="DI170" s="25">
        <v>6.84</v>
      </c>
      <c r="DJ170" s="24">
        <v>81</v>
      </c>
      <c r="DK170" s="25">
        <v>23.12</v>
      </c>
      <c r="DL170" s="24">
        <v>92</v>
      </c>
      <c r="DM170" s="25">
        <v>66.45</v>
      </c>
      <c r="DN170" s="24">
        <v>99</v>
      </c>
      <c r="DO170" s="25">
        <v>12.54</v>
      </c>
      <c r="DP170" s="24">
        <v>89</v>
      </c>
      <c r="DQ170" s="24">
        <v>7843</v>
      </c>
      <c r="DR170" s="26">
        <v>261</v>
      </c>
      <c r="DS170" s="23">
        <v>3.44</v>
      </c>
      <c r="DT170" s="24">
        <v>1899</v>
      </c>
      <c r="DU170" s="26">
        <v>53</v>
      </c>
      <c r="DV170" s="23">
        <v>2.87</v>
      </c>
      <c r="DW170" s="24">
        <v>4485</v>
      </c>
      <c r="DX170" s="27">
        <v>5</v>
      </c>
      <c r="DY170" s="23">
        <v>0.11</v>
      </c>
      <c r="DZ170" s="15" t="s">
        <v>178</v>
      </c>
      <c r="EA170" s="22">
        <v>43620</v>
      </c>
      <c r="EB170" s="17">
        <v>600</v>
      </c>
      <c r="EC170" s="22">
        <v>43433</v>
      </c>
      <c r="ED170" s="15" t="s">
        <v>173</v>
      </c>
      <c r="EE170" s="14" t="str">
        <f>HYPERLINK("https://my.pitchbook.com?c=51237-55", "View company online")</f>
        <v>View company online</v>
      </c>
    </row>
    <row r="171" spans="1:135">
      <c r="A171" s="28" t="s">
        <v>3891</v>
      </c>
      <c r="B171" s="28" t="s">
        <v>3892</v>
      </c>
      <c r="C171" s="28" t="s">
        <v>3893</v>
      </c>
      <c r="D171" s="28" t="s">
        <v>138</v>
      </c>
      <c r="E171" s="28" t="s">
        <v>3894</v>
      </c>
      <c r="F171" s="28" t="s">
        <v>3891</v>
      </c>
      <c r="G171" s="28" t="s">
        <v>3895</v>
      </c>
      <c r="H171" s="28" t="s">
        <v>322</v>
      </c>
      <c r="I171" s="28" t="s">
        <v>323</v>
      </c>
      <c r="J171" s="28" t="s">
        <v>2084</v>
      </c>
      <c r="K171" s="28" t="s">
        <v>3896</v>
      </c>
      <c r="L171" s="28" t="s">
        <v>215</v>
      </c>
      <c r="M171" s="28" t="s">
        <v>3897</v>
      </c>
      <c r="N171" s="28" t="s">
        <v>147</v>
      </c>
      <c r="O171" s="29">
        <v>11</v>
      </c>
      <c r="P171" s="28" t="s">
        <v>148</v>
      </c>
      <c r="Q171" s="28" t="s">
        <v>149</v>
      </c>
      <c r="R171" s="28" t="s">
        <v>174</v>
      </c>
      <c r="S171" s="28" t="s">
        <v>3898</v>
      </c>
      <c r="T171" s="30">
        <v>19</v>
      </c>
      <c r="U171" s="28" t="s">
        <v>3899</v>
      </c>
      <c r="V171" s="28" t="s">
        <v>138</v>
      </c>
      <c r="W171" s="28" t="s">
        <v>138</v>
      </c>
      <c r="X171" s="31">
        <v>2008</v>
      </c>
      <c r="Y171" s="28" t="s">
        <v>138</v>
      </c>
      <c r="Z171" s="28" t="s">
        <v>138</v>
      </c>
      <c r="AA171" s="28" t="s">
        <v>138</v>
      </c>
      <c r="AB171" s="32" t="s">
        <v>138</v>
      </c>
      <c r="AC171" s="32" t="s">
        <v>138</v>
      </c>
      <c r="AD171" s="32" t="s">
        <v>138</v>
      </c>
      <c r="AE171" s="32" t="s">
        <v>138</v>
      </c>
      <c r="AF171" s="32" t="s">
        <v>138</v>
      </c>
      <c r="AG171" s="28" t="s">
        <v>138</v>
      </c>
      <c r="AH171" s="32" t="s">
        <v>138</v>
      </c>
      <c r="AI171" s="32" t="s">
        <v>138</v>
      </c>
      <c r="AJ171" s="32" t="s">
        <v>138</v>
      </c>
      <c r="AK171" s="28" t="s">
        <v>3900</v>
      </c>
      <c r="AL171" s="28" t="s">
        <v>3901</v>
      </c>
      <c r="AM171" s="28" t="s">
        <v>3902</v>
      </c>
      <c r="AN171" s="28" t="s">
        <v>3903</v>
      </c>
      <c r="AO171" s="28" t="s">
        <v>3904</v>
      </c>
      <c r="AP171" s="28" t="s">
        <v>3905</v>
      </c>
      <c r="AQ171" s="28" t="s">
        <v>3906</v>
      </c>
      <c r="AR171" s="28" t="s">
        <v>2153</v>
      </c>
      <c r="AS171" s="28" t="s">
        <v>3907</v>
      </c>
      <c r="AT171" s="28" t="s">
        <v>2740</v>
      </c>
      <c r="AU171" s="28" t="s">
        <v>3908</v>
      </c>
      <c r="AV171" s="28" t="s">
        <v>2742</v>
      </c>
      <c r="AW171" s="28" t="s">
        <v>3904</v>
      </c>
      <c r="AX171" s="28" t="s">
        <v>138</v>
      </c>
      <c r="AY171" s="28" t="s">
        <v>3909</v>
      </c>
      <c r="AZ171" s="28" t="s">
        <v>164</v>
      </c>
      <c r="BA171" s="28" t="s">
        <v>165</v>
      </c>
      <c r="BB171" s="28" t="s">
        <v>3910</v>
      </c>
      <c r="BC171" s="28" t="s">
        <v>3911</v>
      </c>
      <c r="BD171" s="33">
        <v>6</v>
      </c>
      <c r="BE171" s="28" t="s">
        <v>138</v>
      </c>
      <c r="BF171" s="28" t="s">
        <v>138</v>
      </c>
      <c r="BG171" s="28" t="s">
        <v>138</v>
      </c>
      <c r="BH171" s="28" t="s">
        <v>3912</v>
      </c>
      <c r="BI171" s="28" t="s">
        <v>138</v>
      </c>
      <c r="BJ171" s="28" t="s">
        <v>138</v>
      </c>
      <c r="BK171" s="28" t="s">
        <v>138</v>
      </c>
      <c r="BL171" s="28" t="s">
        <v>138</v>
      </c>
      <c r="BM171" s="34">
        <v>41670</v>
      </c>
      <c r="BN171" s="29" t="s">
        <v>138</v>
      </c>
      <c r="BO171" s="28" t="s">
        <v>138</v>
      </c>
      <c r="BP171" s="29" t="s">
        <v>138</v>
      </c>
      <c r="BQ171" s="28" t="s">
        <v>138</v>
      </c>
      <c r="BR171" s="28" t="s">
        <v>173</v>
      </c>
      <c r="BS171" s="28" t="s">
        <v>138</v>
      </c>
      <c r="BT171" s="28" t="s">
        <v>138</v>
      </c>
      <c r="BU171" s="28" t="s">
        <v>174</v>
      </c>
      <c r="BV171" s="28" t="s">
        <v>138</v>
      </c>
      <c r="BW171" s="28" t="s">
        <v>138</v>
      </c>
      <c r="BX171" s="28" t="s">
        <v>138</v>
      </c>
      <c r="BY171" s="28" t="s">
        <v>175</v>
      </c>
      <c r="BZ171" s="34">
        <v>43026</v>
      </c>
      <c r="CA171" s="29">
        <v>6</v>
      </c>
      <c r="CB171" s="28" t="s">
        <v>172</v>
      </c>
      <c r="CC171" s="29" t="s">
        <v>138</v>
      </c>
      <c r="CD171" s="28" t="s">
        <v>138</v>
      </c>
      <c r="CE171" s="28" t="s">
        <v>173</v>
      </c>
      <c r="CF171" s="28" t="s">
        <v>623</v>
      </c>
      <c r="CG171" s="28" t="s">
        <v>138</v>
      </c>
      <c r="CH171" s="28" t="s">
        <v>174</v>
      </c>
      <c r="CI171" s="28" t="s">
        <v>138</v>
      </c>
      <c r="CJ171" s="28" t="s">
        <v>138</v>
      </c>
      <c r="CK171" s="28" t="s">
        <v>138</v>
      </c>
      <c r="CL171" s="28" t="s">
        <v>175</v>
      </c>
      <c r="CM171" s="34" t="s">
        <v>138</v>
      </c>
      <c r="CN171" s="29" t="s">
        <v>138</v>
      </c>
      <c r="CO171" s="35">
        <v>-1.75</v>
      </c>
      <c r="CP171" s="36">
        <v>6</v>
      </c>
      <c r="CQ171" s="35">
        <v>-0.01</v>
      </c>
      <c r="CR171" s="35">
        <v>-0.73</v>
      </c>
      <c r="CS171" s="35">
        <v>-3.68</v>
      </c>
      <c r="CT171" s="36">
        <v>4</v>
      </c>
      <c r="CU171" s="35">
        <v>0.18</v>
      </c>
      <c r="CV171" s="36">
        <v>78</v>
      </c>
      <c r="CW171" s="35">
        <v>0</v>
      </c>
      <c r="CX171" s="36">
        <v>13</v>
      </c>
      <c r="CY171" s="35">
        <v>-7.36</v>
      </c>
      <c r="CZ171" s="36">
        <v>1</v>
      </c>
      <c r="DA171" s="35">
        <v>0.36</v>
      </c>
      <c r="DB171" s="36">
        <v>91</v>
      </c>
      <c r="DC171" s="37">
        <v>3.78</v>
      </c>
      <c r="DD171" s="36">
        <v>79</v>
      </c>
      <c r="DE171" s="37">
        <v>-0.1</v>
      </c>
      <c r="DF171" s="35">
        <v>-2.59</v>
      </c>
      <c r="DG171" s="37">
        <v>7.38</v>
      </c>
      <c r="DH171" s="36">
        <v>87</v>
      </c>
      <c r="DI171" s="37">
        <v>0.18</v>
      </c>
      <c r="DJ171" s="36">
        <v>21</v>
      </c>
      <c r="DK171" s="37">
        <v>2.34</v>
      </c>
      <c r="DL171" s="36">
        <v>67</v>
      </c>
      <c r="DM171" s="37">
        <v>12.41</v>
      </c>
      <c r="DN171" s="36">
        <v>91</v>
      </c>
      <c r="DO171" s="37">
        <v>0.3</v>
      </c>
      <c r="DP171" s="36">
        <v>30</v>
      </c>
      <c r="DQ171" s="36">
        <v>790</v>
      </c>
      <c r="DR171" s="38">
        <v>35</v>
      </c>
      <c r="DS171" s="35">
        <v>4.6399999999999997</v>
      </c>
      <c r="DT171" s="36">
        <v>361</v>
      </c>
      <c r="DU171" s="38">
        <v>-2</v>
      </c>
      <c r="DV171" s="35">
        <v>-0.55000000000000004</v>
      </c>
      <c r="DW171" s="36">
        <v>107</v>
      </c>
      <c r="DX171" s="39">
        <v>0</v>
      </c>
      <c r="DY171" s="35">
        <v>0</v>
      </c>
      <c r="DZ171" s="28" t="s">
        <v>178</v>
      </c>
      <c r="EA171" s="34">
        <v>43351</v>
      </c>
      <c r="EB171" s="29" t="s">
        <v>138</v>
      </c>
      <c r="EC171" s="34" t="s">
        <v>138</v>
      </c>
      <c r="ED171" s="28" t="s">
        <v>138</v>
      </c>
      <c r="EE171" s="40" t="str">
        <f>HYPERLINK("https://my.pitchbook.com?c=62985-79", "View company online")</f>
        <v>View company online</v>
      </c>
    </row>
    <row r="172" spans="1:135">
      <c r="A172" s="15" t="s">
        <v>3913</v>
      </c>
      <c r="B172" s="15" t="s">
        <v>3914</v>
      </c>
      <c r="C172" s="15" t="s">
        <v>3915</v>
      </c>
      <c r="D172" s="15" t="s">
        <v>138</v>
      </c>
      <c r="E172" s="15" t="s">
        <v>3916</v>
      </c>
      <c r="F172" s="15" t="s">
        <v>3913</v>
      </c>
      <c r="G172" s="15" t="s">
        <v>3917</v>
      </c>
      <c r="H172" s="15" t="s">
        <v>322</v>
      </c>
      <c r="I172" s="15" t="s">
        <v>323</v>
      </c>
      <c r="J172" s="15" t="s">
        <v>1132</v>
      </c>
      <c r="K172" s="15" t="s">
        <v>3918</v>
      </c>
      <c r="L172" s="15" t="s">
        <v>3919</v>
      </c>
      <c r="M172" s="15" t="s">
        <v>3920</v>
      </c>
      <c r="N172" s="15" t="s">
        <v>147</v>
      </c>
      <c r="O172" s="17">
        <v>65.44</v>
      </c>
      <c r="P172" s="15" t="s">
        <v>148</v>
      </c>
      <c r="Q172" s="15" t="s">
        <v>149</v>
      </c>
      <c r="R172" s="15" t="s">
        <v>174</v>
      </c>
      <c r="S172" s="15" t="s">
        <v>3921</v>
      </c>
      <c r="T172" s="18">
        <v>50</v>
      </c>
      <c r="U172" s="15" t="s">
        <v>3922</v>
      </c>
      <c r="V172" s="15" t="s">
        <v>138</v>
      </c>
      <c r="W172" s="15" t="s">
        <v>138</v>
      </c>
      <c r="X172" s="19">
        <v>2014</v>
      </c>
      <c r="Y172" s="15" t="s">
        <v>138</v>
      </c>
      <c r="Z172" s="15" t="s">
        <v>138</v>
      </c>
      <c r="AA172" s="15" t="s">
        <v>1138</v>
      </c>
      <c r="AB172" s="20" t="s">
        <v>138</v>
      </c>
      <c r="AC172" s="20" t="s">
        <v>138</v>
      </c>
      <c r="AD172" s="20" t="s">
        <v>138</v>
      </c>
      <c r="AE172" s="20" t="s">
        <v>138</v>
      </c>
      <c r="AF172" s="20" t="s">
        <v>138</v>
      </c>
      <c r="AG172" s="15" t="s">
        <v>138</v>
      </c>
      <c r="AH172" s="20" t="s">
        <v>138</v>
      </c>
      <c r="AI172" s="20" t="s">
        <v>138</v>
      </c>
      <c r="AJ172" s="20" t="s">
        <v>138</v>
      </c>
      <c r="AK172" s="15" t="s">
        <v>3923</v>
      </c>
      <c r="AL172" s="15" t="s">
        <v>3924</v>
      </c>
      <c r="AM172" s="15" t="s">
        <v>304</v>
      </c>
      <c r="AN172" s="15" t="s">
        <v>3925</v>
      </c>
      <c r="AO172" s="15" t="s">
        <v>3926</v>
      </c>
      <c r="AP172" s="15" t="s">
        <v>665</v>
      </c>
      <c r="AQ172" s="15" t="s">
        <v>3927</v>
      </c>
      <c r="AR172" s="15" t="s">
        <v>1459</v>
      </c>
      <c r="AS172" s="15" t="s">
        <v>668</v>
      </c>
      <c r="AT172" s="15" t="s">
        <v>200</v>
      </c>
      <c r="AU172" s="15" t="s">
        <v>3928</v>
      </c>
      <c r="AV172" s="15" t="s">
        <v>162</v>
      </c>
      <c r="AW172" s="15" t="s">
        <v>3926</v>
      </c>
      <c r="AX172" s="15" t="s">
        <v>138</v>
      </c>
      <c r="AY172" s="15" t="s">
        <v>3929</v>
      </c>
      <c r="AZ172" s="15" t="s">
        <v>164</v>
      </c>
      <c r="BA172" s="15" t="s">
        <v>165</v>
      </c>
      <c r="BB172" s="15" t="s">
        <v>3930</v>
      </c>
      <c r="BC172" s="15" t="s">
        <v>3931</v>
      </c>
      <c r="BD172" s="21">
        <v>34</v>
      </c>
      <c r="BE172" s="15" t="s">
        <v>138</v>
      </c>
      <c r="BF172" s="15" t="s">
        <v>3932</v>
      </c>
      <c r="BG172" s="15" t="s">
        <v>138</v>
      </c>
      <c r="BH172" s="15" t="s">
        <v>3933</v>
      </c>
      <c r="BI172" s="15" t="s">
        <v>3934</v>
      </c>
      <c r="BJ172" s="15" t="s">
        <v>138</v>
      </c>
      <c r="BK172" s="15" t="s">
        <v>3935</v>
      </c>
      <c r="BL172" s="15" t="s">
        <v>2936</v>
      </c>
      <c r="BM172" s="22">
        <v>41942</v>
      </c>
      <c r="BN172" s="17" t="s">
        <v>138</v>
      </c>
      <c r="BO172" s="15" t="s">
        <v>138</v>
      </c>
      <c r="BP172" s="17" t="s">
        <v>138</v>
      </c>
      <c r="BQ172" s="15" t="s">
        <v>138</v>
      </c>
      <c r="BR172" s="15" t="s">
        <v>316</v>
      </c>
      <c r="BS172" s="15" t="s">
        <v>138</v>
      </c>
      <c r="BT172" s="15" t="s">
        <v>138</v>
      </c>
      <c r="BU172" s="15" t="s">
        <v>177</v>
      </c>
      <c r="BV172" s="15" t="s">
        <v>138</v>
      </c>
      <c r="BW172" s="15" t="s">
        <v>138</v>
      </c>
      <c r="BX172" s="15" t="s">
        <v>138</v>
      </c>
      <c r="BY172" s="15" t="s">
        <v>175</v>
      </c>
      <c r="BZ172" s="22">
        <v>43364</v>
      </c>
      <c r="CA172" s="17">
        <v>25</v>
      </c>
      <c r="CB172" s="15" t="s">
        <v>172</v>
      </c>
      <c r="CC172" s="17">
        <v>175</v>
      </c>
      <c r="CD172" s="15" t="s">
        <v>172</v>
      </c>
      <c r="CE172" s="15" t="s">
        <v>205</v>
      </c>
      <c r="CF172" s="15" t="s">
        <v>138</v>
      </c>
      <c r="CG172" s="15" t="s">
        <v>138</v>
      </c>
      <c r="CH172" s="15" t="s">
        <v>174</v>
      </c>
      <c r="CI172" s="15" t="s">
        <v>138</v>
      </c>
      <c r="CJ172" s="15" t="s">
        <v>138</v>
      </c>
      <c r="CK172" s="15" t="s">
        <v>138</v>
      </c>
      <c r="CL172" s="15" t="s">
        <v>175</v>
      </c>
      <c r="CM172" s="22" t="s">
        <v>138</v>
      </c>
      <c r="CN172" s="17" t="s">
        <v>138</v>
      </c>
      <c r="CO172" s="23">
        <v>0.17</v>
      </c>
      <c r="CP172" s="24">
        <v>92</v>
      </c>
      <c r="CQ172" s="23">
        <v>0.24</v>
      </c>
      <c r="CR172" s="23">
        <v>320.31</v>
      </c>
      <c r="CS172" s="23">
        <v>-0.73</v>
      </c>
      <c r="CT172" s="24">
        <v>17</v>
      </c>
      <c r="CU172" s="23">
        <v>1.07</v>
      </c>
      <c r="CV172" s="24">
        <v>98</v>
      </c>
      <c r="CW172" s="23">
        <v>0.1</v>
      </c>
      <c r="CX172" s="24">
        <v>80</v>
      </c>
      <c r="CY172" s="23">
        <v>-1.57</v>
      </c>
      <c r="CZ172" s="24">
        <v>14</v>
      </c>
      <c r="DA172" s="23">
        <v>2.09</v>
      </c>
      <c r="DB172" s="24">
        <v>100</v>
      </c>
      <c r="DC172" s="25">
        <v>25.51</v>
      </c>
      <c r="DD172" s="24">
        <v>96</v>
      </c>
      <c r="DE172" s="25">
        <v>-1.81</v>
      </c>
      <c r="DF172" s="23">
        <v>-6.63</v>
      </c>
      <c r="DG172" s="25">
        <v>44.97</v>
      </c>
      <c r="DH172" s="24">
        <v>98</v>
      </c>
      <c r="DI172" s="25">
        <v>6.06</v>
      </c>
      <c r="DJ172" s="24">
        <v>80</v>
      </c>
      <c r="DK172" s="25">
        <v>57.03</v>
      </c>
      <c r="DL172" s="24">
        <v>96</v>
      </c>
      <c r="DM172" s="25">
        <v>32.9</v>
      </c>
      <c r="DN172" s="24">
        <v>97</v>
      </c>
      <c r="DO172" s="25">
        <v>8.5</v>
      </c>
      <c r="DP172" s="24">
        <v>86</v>
      </c>
      <c r="DQ172" s="24">
        <v>19523</v>
      </c>
      <c r="DR172" s="26">
        <v>117</v>
      </c>
      <c r="DS172" s="23">
        <v>0.6</v>
      </c>
      <c r="DT172" s="24">
        <v>959</v>
      </c>
      <c r="DU172" s="26">
        <v>-7</v>
      </c>
      <c r="DV172" s="23">
        <v>-0.72</v>
      </c>
      <c r="DW172" s="24">
        <v>2978</v>
      </c>
      <c r="DX172" s="27">
        <v>252</v>
      </c>
      <c r="DY172" s="23">
        <v>9.24</v>
      </c>
      <c r="DZ172" s="15" t="s">
        <v>178</v>
      </c>
      <c r="EA172" s="22">
        <v>43622</v>
      </c>
      <c r="EB172" s="17">
        <v>175</v>
      </c>
      <c r="EC172" s="22">
        <v>43364</v>
      </c>
      <c r="ED172" s="15" t="s">
        <v>205</v>
      </c>
      <c r="EE172" s="14" t="str">
        <f>HYPERLINK("https://my.pitchbook.com?c=100779-40", "View company online")</f>
        <v>View company online</v>
      </c>
    </row>
    <row r="173" spans="1:135">
      <c r="A173" s="28" t="s">
        <v>3936</v>
      </c>
      <c r="B173" s="28" t="s">
        <v>3937</v>
      </c>
      <c r="C173" s="28" t="s">
        <v>3938</v>
      </c>
      <c r="D173" s="28" t="s">
        <v>3939</v>
      </c>
      <c r="E173" s="28" t="s">
        <v>3940</v>
      </c>
      <c r="F173" s="28" t="s">
        <v>3936</v>
      </c>
      <c r="G173" s="28" t="s">
        <v>3941</v>
      </c>
      <c r="H173" s="28" t="s">
        <v>322</v>
      </c>
      <c r="I173" s="28" t="s">
        <v>323</v>
      </c>
      <c r="J173" s="28" t="s">
        <v>461</v>
      </c>
      <c r="K173" s="28" t="s">
        <v>3942</v>
      </c>
      <c r="L173" s="28" t="s">
        <v>3943</v>
      </c>
      <c r="M173" s="28" t="s">
        <v>3944</v>
      </c>
      <c r="N173" s="28" t="s">
        <v>147</v>
      </c>
      <c r="O173" s="29">
        <v>122.74</v>
      </c>
      <c r="P173" s="28" t="s">
        <v>148</v>
      </c>
      <c r="Q173" s="28" t="s">
        <v>149</v>
      </c>
      <c r="R173" s="28" t="s">
        <v>174</v>
      </c>
      <c r="S173" s="28" t="s">
        <v>3945</v>
      </c>
      <c r="T173" s="30">
        <v>200</v>
      </c>
      <c r="U173" s="28" t="s">
        <v>3946</v>
      </c>
      <c r="V173" s="28" t="s">
        <v>138</v>
      </c>
      <c r="W173" s="28" t="s">
        <v>138</v>
      </c>
      <c r="X173" s="31">
        <v>2010</v>
      </c>
      <c r="Y173" s="28" t="s">
        <v>138</v>
      </c>
      <c r="Z173" s="28" t="s">
        <v>138</v>
      </c>
      <c r="AA173" s="28" t="s">
        <v>138</v>
      </c>
      <c r="AB173" s="32" t="s">
        <v>138</v>
      </c>
      <c r="AC173" s="32" t="s">
        <v>138</v>
      </c>
      <c r="AD173" s="32" t="s">
        <v>138</v>
      </c>
      <c r="AE173" s="32" t="s">
        <v>138</v>
      </c>
      <c r="AF173" s="32" t="s">
        <v>138</v>
      </c>
      <c r="AG173" s="28" t="s">
        <v>138</v>
      </c>
      <c r="AH173" s="32" t="s">
        <v>138</v>
      </c>
      <c r="AI173" s="32" t="s">
        <v>138</v>
      </c>
      <c r="AJ173" s="32" t="s">
        <v>138</v>
      </c>
      <c r="AK173" s="28" t="s">
        <v>3947</v>
      </c>
      <c r="AL173" s="28" t="s">
        <v>3948</v>
      </c>
      <c r="AM173" s="28" t="s">
        <v>3949</v>
      </c>
      <c r="AN173" s="28" t="s">
        <v>3950</v>
      </c>
      <c r="AO173" s="28" t="s">
        <v>3951</v>
      </c>
      <c r="AP173" s="28" t="s">
        <v>1220</v>
      </c>
      <c r="AQ173" s="28" t="s">
        <v>3952</v>
      </c>
      <c r="AR173" s="28" t="s">
        <v>1459</v>
      </c>
      <c r="AS173" s="28" t="s">
        <v>1223</v>
      </c>
      <c r="AT173" s="28" t="s">
        <v>200</v>
      </c>
      <c r="AU173" s="28" t="s">
        <v>3953</v>
      </c>
      <c r="AV173" s="28" t="s">
        <v>162</v>
      </c>
      <c r="AW173" s="28" t="s">
        <v>3951</v>
      </c>
      <c r="AX173" s="28" t="s">
        <v>138</v>
      </c>
      <c r="AY173" s="28" t="s">
        <v>3954</v>
      </c>
      <c r="AZ173" s="28" t="s">
        <v>164</v>
      </c>
      <c r="BA173" s="28" t="s">
        <v>165</v>
      </c>
      <c r="BB173" s="28" t="s">
        <v>3955</v>
      </c>
      <c r="BC173" s="28" t="s">
        <v>3956</v>
      </c>
      <c r="BD173" s="33">
        <v>11</v>
      </c>
      <c r="BE173" s="28" t="s">
        <v>138</v>
      </c>
      <c r="BF173" s="28" t="s">
        <v>138</v>
      </c>
      <c r="BG173" s="28" t="s">
        <v>138</v>
      </c>
      <c r="BH173" s="28" t="s">
        <v>3957</v>
      </c>
      <c r="BI173" s="28" t="s">
        <v>138</v>
      </c>
      <c r="BJ173" s="28" t="s">
        <v>138</v>
      </c>
      <c r="BK173" s="28" t="s">
        <v>3958</v>
      </c>
      <c r="BL173" s="28" t="s">
        <v>3959</v>
      </c>
      <c r="BM173" s="34">
        <v>40179</v>
      </c>
      <c r="BN173" s="29">
        <v>0.5</v>
      </c>
      <c r="BO173" s="28" t="s">
        <v>172</v>
      </c>
      <c r="BP173" s="29">
        <v>1.75</v>
      </c>
      <c r="BQ173" s="28" t="s">
        <v>172</v>
      </c>
      <c r="BR173" s="28" t="s">
        <v>234</v>
      </c>
      <c r="BS173" s="28" t="s">
        <v>234</v>
      </c>
      <c r="BT173" s="28" t="s">
        <v>138</v>
      </c>
      <c r="BU173" s="28" t="s">
        <v>174</v>
      </c>
      <c r="BV173" s="28" t="s">
        <v>138</v>
      </c>
      <c r="BW173" s="28" t="s">
        <v>138</v>
      </c>
      <c r="BX173" s="28" t="s">
        <v>138</v>
      </c>
      <c r="BY173" s="28" t="s">
        <v>175</v>
      </c>
      <c r="BZ173" s="34">
        <v>43152</v>
      </c>
      <c r="CA173" s="29">
        <v>36</v>
      </c>
      <c r="CB173" s="28" t="s">
        <v>172</v>
      </c>
      <c r="CC173" s="29">
        <v>224</v>
      </c>
      <c r="CD173" s="28" t="s">
        <v>172</v>
      </c>
      <c r="CE173" s="28" t="s">
        <v>173</v>
      </c>
      <c r="CF173" s="28" t="s">
        <v>433</v>
      </c>
      <c r="CG173" s="28" t="s">
        <v>138</v>
      </c>
      <c r="CH173" s="28" t="s">
        <v>174</v>
      </c>
      <c r="CI173" s="28" t="s">
        <v>177</v>
      </c>
      <c r="CJ173" s="28" t="s">
        <v>138</v>
      </c>
      <c r="CK173" s="28" t="s">
        <v>138</v>
      </c>
      <c r="CL173" s="28" t="s">
        <v>175</v>
      </c>
      <c r="CM173" s="34" t="s">
        <v>138</v>
      </c>
      <c r="CN173" s="29" t="s">
        <v>138</v>
      </c>
      <c r="CO173" s="35">
        <v>2.38</v>
      </c>
      <c r="CP173" s="36">
        <v>99</v>
      </c>
      <c r="CQ173" s="35">
        <v>-0.01</v>
      </c>
      <c r="CR173" s="35">
        <v>-0.45</v>
      </c>
      <c r="CS173" s="35">
        <v>4.3499999999999996</v>
      </c>
      <c r="CT173" s="36">
        <v>100</v>
      </c>
      <c r="CU173" s="35">
        <v>0.41</v>
      </c>
      <c r="CV173" s="36">
        <v>91</v>
      </c>
      <c r="CW173" s="35">
        <v>4.3499999999999996</v>
      </c>
      <c r="CX173" s="36">
        <v>94</v>
      </c>
      <c r="CY173" s="35" t="s">
        <v>138</v>
      </c>
      <c r="CZ173" s="36" t="s">
        <v>138</v>
      </c>
      <c r="DA173" s="35">
        <v>0.41</v>
      </c>
      <c r="DB173" s="36">
        <v>92</v>
      </c>
      <c r="DC173" s="37">
        <v>12.32</v>
      </c>
      <c r="DD173" s="36">
        <v>92</v>
      </c>
      <c r="DE173" s="37">
        <v>-1.2</v>
      </c>
      <c r="DF173" s="35">
        <v>-8.89</v>
      </c>
      <c r="DG173" s="37">
        <v>19.09</v>
      </c>
      <c r="DH173" s="36">
        <v>94</v>
      </c>
      <c r="DI173" s="37">
        <v>5.54</v>
      </c>
      <c r="DJ173" s="36">
        <v>79</v>
      </c>
      <c r="DK173" s="37">
        <v>19.09</v>
      </c>
      <c r="DL173" s="36">
        <v>91</v>
      </c>
      <c r="DM173" s="37" t="s">
        <v>138</v>
      </c>
      <c r="DN173" s="36" t="s">
        <v>138</v>
      </c>
      <c r="DO173" s="37">
        <v>5.54</v>
      </c>
      <c r="DP173" s="36">
        <v>81</v>
      </c>
      <c r="DQ173" s="36">
        <v>6405</v>
      </c>
      <c r="DR173" s="38">
        <v>429</v>
      </c>
      <c r="DS173" s="35">
        <v>7.18</v>
      </c>
      <c r="DT173" s="36" t="s">
        <v>138</v>
      </c>
      <c r="DU173" s="38" t="s">
        <v>138</v>
      </c>
      <c r="DV173" s="35" t="s">
        <v>138</v>
      </c>
      <c r="DW173" s="36">
        <v>1982</v>
      </c>
      <c r="DX173" s="39">
        <v>8</v>
      </c>
      <c r="DY173" s="35">
        <v>0.41</v>
      </c>
      <c r="DZ173" s="28" t="s">
        <v>178</v>
      </c>
      <c r="EA173" s="34">
        <v>43620</v>
      </c>
      <c r="EB173" s="29">
        <v>224</v>
      </c>
      <c r="EC173" s="34">
        <v>43152</v>
      </c>
      <c r="ED173" s="28" t="s">
        <v>173</v>
      </c>
      <c r="EE173" s="40" t="str">
        <f>HYPERLINK("https://my.pitchbook.com?c=53571-16", "View company online")</f>
        <v>View company online</v>
      </c>
    </row>
    <row r="174" spans="1:135">
      <c r="A174" s="15" t="s">
        <v>3960</v>
      </c>
      <c r="B174" s="15" t="s">
        <v>3961</v>
      </c>
      <c r="C174" s="15" t="s">
        <v>138</v>
      </c>
      <c r="D174" s="15" t="s">
        <v>138</v>
      </c>
      <c r="E174" s="15" t="s">
        <v>138</v>
      </c>
      <c r="F174" s="15" t="s">
        <v>3960</v>
      </c>
      <c r="G174" s="15" t="s">
        <v>3962</v>
      </c>
      <c r="H174" s="15" t="s">
        <v>322</v>
      </c>
      <c r="I174" s="15" t="s">
        <v>323</v>
      </c>
      <c r="J174" s="15" t="s">
        <v>413</v>
      </c>
      <c r="K174" s="15" t="s">
        <v>414</v>
      </c>
      <c r="L174" s="15" t="s">
        <v>242</v>
      </c>
      <c r="M174" s="15" t="s">
        <v>3963</v>
      </c>
      <c r="N174" s="15" t="s">
        <v>1212</v>
      </c>
      <c r="O174" s="17" t="s">
        <v>138</v>
      </c>
      <c r="P174" s="15" t="s">
        <v>148</v>
      </c>
      <c r="Q174" s="15" t="s">
        <v>149</v>
      </c>
      <c r="R174" s="15" t="s">
        <v>328</v>
      </c>
      <c r="S174" s="15" t="s">
        <v>3964</v>
      </c>
      <c r="T174" s="18">
        <v>14</v>
      </c>
      <c r="U174" s="15" t="s">
        <v>3965</v>
      </c>
      <c r="V174" s="15" t="s">
        <v>138</v>
      </c>
      <c r="W174" s="15" t="s">
        <v>138</v>
      </c>
      <c r="X174" s="19">
        <v>2009</v>
      </c>
      <c r="Y174" s="15" t="s">
        <v>138</v>
      </c>
      <c r="Z174" s="15" t="s">
        <v>138</v>
      </c>
      <c r="AA174" s="15" t="s">
        <v>138</v>
      </c>
      <c r="AB174" s="20" t="s">
        <v>138</v>
      </c>
      <c r="AC174" s="20" t="s">
        <v>138</v>
      </c>
      <c r="AD174" s="20" t="s">
        <v>138</v>
      </c>
      <c r="AE174" s="20" t="s">
        <v>138</v>
      </c>
      <c r="AF174" s="20" t="s">
        <v>138</v>
      </c>
      <c r="AG174" s="15" t="s">
        <v>138</v>
      </c>
      <c r="AH174" s="20" t="s">
        <v>138</v>
      </c>
      <c r="AI174" s="20" t="s">
        <v>138</v>
      </c>
      <c r="AJ174" s="20" t="s">
        <v>138</v>
      </c>
      <c r="AK174" s="15" t="s">
        <v>3966</v>
      </c>
      <c r="AL174" s="15" t="s">
        <v>3967</v>
      </c>
      <c r="AM174" s="15" t="s">
        <v>3968</v>
      </c>
      <c r="AN174" s="15" t="s">
        <v>3969</v>
      </c>
      <c r="AO174" s="15" t="s">
        <v>138</v>
      </c>
      <c r="AP174" s="15" t="s">
        <v>3970</v>
      </c>
      <c r="AQ174" s="15" t="s">
        <v>3971</v>
      </c>
      <c r="AR174" s="15" t="s">
        <v>138</v>
      </c>
      <c r="AS174" s="15" t="s">
        <v>3972</v>
      </c>
      <c r="AT174" s="15" t="s">
        <v>138</v>
      </c>
      <c r="AU174" s="15" t="s">
        <v>3973</v>
      </c>
      <c r="AV174" s="15" t="s">
        <v>740</v>
      </c>
      <c r="AW174" s="15" t="s">
        <v>138</v>
      </c>
      <c r="AX174" s="15" t="s">
        <v>138</v>
      </c>
      <c r="AY174" s="15" t="s">
        <v>138</v>
      </c>
      <c r="AZ174" s="15" t="s">
        <v>742</v>
      </c>
      <c r="BA174" s="15" t="s">
        <v>742</v>
      </c>
      <c r="BB174" s="15" t="s">
        <v>3974</v>
      </c>
      <c r="BC174" s="15" t="s">
        <v>3975</v>
      </c>
      <c r="BD174" s="21">
        <v>1</v>
      </c>
      <c r="BE174" s="15" t="s">
        <v>138</v>
      </c>
      <c r="BF174" s="15" t="s">
        <v>2912</v>
      </c>
      <c r="BG174" s="15" t="s">
        <v>138</v>
      </c>
      <c r="BH174" s="15" t="s">
        <v>3976</v>
      </c>
      <c r="BI174" s="15" t="s">
        <v>2914</v>
      </c>
      <c r="BJ174" s="15" t="s">
        <v>138</v>
      </c>
      <c r="BK174" s="15" t="s">
        <v>138</v>
      </c>
      <c r="BL174" s="15" t="s">
        <v>138</v>
      </c>
      <c r="BM174" s="22" t="s">
        <v>138</v>
      </c>
      <c r="BN174" s="17" t="s">
        <v>138</v>
      </c>
      <c r="BO174" s="15" t="s">
        <v>138</v>
      </c>
      <c r="BP174" s="17" t="s">
        <v>138</v>
      </c>
      <c r="BQ174" s="15" t="s">
        <v>138</v>
      </c>
      <c r="BR174" s="15" t="s">
        <v>205</v>
      </c>
      <c r="BS174" s="15" t="s">
        <v>138</v>
      </c>
      <c r="BT174" s="15" t="s">
        <v>138</v>
      </c>
      <c r="BU174" s="15" t="s">
        <v>174</v>
      </c>
      <c r="BV174" s="15" t="s">
        <v>138</v>
      </c>
      <c r="BW174" s="15" t="s">
        <v>138</v>
      </c>
      <c r="BX174" s="15" t="s">
        <v>138</v>
      </c>
      <c r="BY174" s="15" t="s">
        <v>175</v>
      </c>
      <c r="BZ174" s="22" t="s">
        <v>138</v>
      </c>
      <c r="CA174" s="17" t="s">
        <v>138</v>
      </c>
      <c r="CB174" s="15" t="s">
        <v>138</v>
      </c>
      <c r="CC174" s="17" t="s">
        <v>138</v>
      </c>
      <c r="CD174" s="15" t="s">
        <v>138</v>
      </c>
      <c r="CE174" s="15" t="s">
        <v>379</v>
      </c>
      <c r="CF174" s="15" t="s">
        <v>138</v>
      </c>
      <c r="CG174" s="15" t="s">
        <v>138</v>
      </c>
      <c r="CH174" s="15" t="s">
        <v>351</v>
      </c>
      <c r="CI174" s="15" t="s">
        <v>138</v>
      </c>
      <c r="CJ174" s="15" t="s">
        <v>138</v>
      </c>
      <c r="CK174" s="15" t="s">
        <v>138</v>
      </c>
      <c r="CL174" s="15" t="s">
        <v>175</v>
      </c>
      <c r="CM174" s="22" t="s">
        <v>138</v>
      </c>
      <c r="CN174" s="17" t="s">
        <v>138</v>
      </c>
      <c r="CO174" s="23" t="s">
        <v>138</v>
      </c>
      <c r="CP174" s="24" t="s">
        <v>138</v>
      </c>
      <c r="CQ174" s="23" t="s">
        <v>138</v>
      </c>
      <c r="CR174" s="23" t="s">
        <v>138</v>
      </c>
      <c r="CS174" s="23" t="s">
        <v>138</v>
      </c>
      <c r="CT174" s="24" t="s">
        <v>138</v>
      </c>
      <c r="CU174" s="23" t="s">
        <v>138</v>
      </c>
      <c r="CV174" s="24" t="s">
        <v>138</v>
      </c>
      <c r="CW174" s="23" t="s">
        <v>138</v>
      </c>
      <c r="CX174" s="24" t="s">
        <v>138</v>
      </c>
      <c r="CY174" s="23" t="s">
        <v>138</v>
      </c>
      <c r="CZ174" s="24" t="s">
        <v>138</v>
      </c>
      <c r="DA174" s="23" t="s">
        <v>138</v>
      </c>
      <c r="DB174" s="24" t="s">
        <v>138</v>
      </c>
      <c r="DC174" s="25" t="s">
        <v>138</v>
      </c>
      <c r="DD174" s="24" t="s">
        <v>138</v>
      </c>
      <c r="DE174" s="25" t="s">
        <v>138</v>
      </c>
      <c r="DF174" s="23" t="s">
        <v>138</v>
      </c>
      <c r="DG174" s="25" t="s">
        <v>138</v>
      </c>
      <c r="DH174" s="24" t="s">
        <v>138</v>
      </c>
      <c r="DI174" s="25" t="s">
        <v>138</v>
      </c>
      <c r="DJ174" s="24" t="s">
        <v>138</v>
      </c>
      <c r="DK174" s="25" t="s">
        <v>138</v>
      </c>
      <c r="DL174" s="24" t="s">
        <v>138</v>
      </c>
      <c r="DM174" s="25" t="s">
        <v>138</v>
      </c>
      <c r="DN174" s="24" t="s">
        <v>138</v>
      </c>
      <c r="DO174" s="25" t="s">
        <v>138</v>
      </c>
      <c r="DP174" s="24" t="s">
        <v>138</v>
      </c>
      <c r="DQ174" s="24" t="s">
        <v>138</v>
      </c>
      <c r="DR174" s="26" t="s">
        <v>138</v>
      </c>
      <c r="DS174" s="23" t="s">
        <v>138</v>
      </c>
      <c r="DT174" s="24" t="s">
        <v>138</v>
      </c>
      <c r="DU174" s="26" t="s">
        <v>138</v>
      </c>
      <c r="DV174" s="23" t="s">
        <v>138</v>
      </c>
      <c r="DW174" s="24" t="s">
        <v>138</v>
      </c>
      <c r="DX174" s="27" t="s">
        <v>138</v>
      </c>
      <c r="DY174" s="23" t="s">
        <v>138</v>
      </c>
      <c r="DZ174" s="15" t="s">
        <v>178</v>
      </c>
      <c r="EA174" s="22">
        <v>43384</v>
      </c>
      <c r="EB174" s="17" t="s">
        <v>138</v>
      </c>
      <c r="EC174" s="22" t="s">
        <v>138</v>
      </c>
      <c r="ED174" s="15" t="s">
        <v>138</v>
      </c>
      <c r="EE174" s="14" t="str">
        <f>HYPERLINK("https://my.pitchbook.com?c=64308-79", "View company online")</f>
        <v>View company online</v>
      </c>
    </row>
    <row r="175" spans="1:135">
      <c r="A175" s="28" t="s">
        <v>3977</v>
      </c>
      <c r="B175" s="28" t="s">
        <v>3978</v>
      </c>
      <c r="C175" s="28" t="s">
        <v>138</v>
      </c>
      <c r="D175" s="28" t="s">
        <v>138</v>
      </c>
      <c r="E175" s="28" t="s">
        <v>3979</v>
      </c>
      <c r="F175" s="28" t="s">
        <v>3977</v>
      </c>
      <c r="G175" s="28" t="s">
        <v>3980</v>
      </c>
      <c r="H175" s="28" t="s">
        <v>238</v>
      </c>
      <c r="I175" s="28" t="s">
        <v>1351</v>
      </c>
      <c r="J175" s="28" t="s">
        <v>1352</v>
      </c>
      <c r="K175" s="28" t="s">
        <v>3981</v>
      </c>
      <c r="L175" s="28" t="s">
        <v>3982</v>
      </c>
      <c r="M175" s="28" t="s">
        <v>3983</v>
      </c>
      <c r="N175" s="28" t="s">
        <v>147</v>
      </c>
      <c r="O175" s="29">
        <v>45.9</v>
      </c>
      <c r="P175" s="28" t="s">
        <v>2922</v>
      </c>
      <c r="Q175" s="28" t="s">
        <v>149</v>
      </c>
      <c r="R175" s="28" t="s">
        <v>174</v>
      </c>
      <c r="S175" s="28" t="s">
        <v>3984</v>
      </c>
      <c r="T175" s="30">
        <v>145</v>
      </c>
      <c r="U175" s="28" t="s">
        <v>3985</v>
      </c>
      <c r="V175" s="28" t="s">
        <v>138</v>
      </c>
      <c r="W175" s="28" t="s">
        <v>138</v>
      </c>
      <c r="X175" s="31">
        <v>2016</v>
      </c>
      <c r="Y175" s="28" t="s">
        <v>138</v>
      </c>
      <c r="Z175" s="28" t="s">
        <v>138</v>
      </c>
      <c r="AA175" s="28" t="s">
        <v>1163</v>
      </c>
      <c r="AB175" s="32" t="s">
        <v>138</v>
      </c>
      <c r="AC175" s="32" t="s">
        <v>138</v>
      </c>
      <c r="AD175" s="32" t="s">
        <v>138</v>
      </c>
      <c r="AE175" s="32" t="s">
        <v>138</v>
      </c>
      <c r="AF175" s="32" t="s">
        <v>138</v>
      </c>
      <c r="AG175" s="28" t="s">
        <v>138</v>
      </c>
      <c r="AH175" s="32" t="s">
        <v>138</v>
      </c>
      <c r="AI175" s="32" t="s">
        <v>138</v>
      </c>
      <c r="AJ175" s="32" t="s">
        <v>138</v>
      </c>
      <c r="AK175" s="28" t="s">
        <v>3986</v>
      </c>
      <c r="AL175" s="28" t="s">
        <v>3987</v>
      </c>
      <c r="AM175" s="28" t="s">
        <v>3988</v>
      </c>
      <c r="AN175" s="28" t="s">
        <v>3989</v>
      </c>
      <c r="AO175" s="28" t="s">
        <v>3990</v>
      </c>
      <c r="AP175" s="28" t="s">
        <v>3991</v>
      </c>
      <c r="AQ175" s="28" t="s">
        <v>3992</v>
      </c>
      <c r="AR175" s="28" t="s">
        <v>3993</v>
      </c>
      <c r="AS175" s="28" t="s">
        <v>3994</v>
      </c>
      <c r="AT175" s="28" t="s">
        <v>138</v>
      </c>
      <c r="AU175" s="28" t="s">
        <v>3995</v>
      </c>
      <c r="AV175" s="28" t="s">
        <v>3996</v>
      </c>
      <c r="AW175" s="28" t="s">
        <v>3990</v>
      </c>
      <c r="AX175" s="28" t="s">
        <v>138</v>
      </c>
      <c r="AY175" s="28" t="s">
        <v>3997</v>
      </c>
      <c r="AZ175" s="28" t="s">
        <v>530</v>
      </c>
      <c r="BA175" s="28" t="s">
        <v>577</v>
      </c>
      <c r="BB175" s="28" t="s">
        <v>3998</v>
      </c>
      <c r="BC175" s="28" t="s">
        <v>3999</v>
      </c>
      <c r="BD175" s="33">
        <v>12</v>
      </c>
      <c r="BE175" s="28" t="s">
        <v>138</v>
      </c>
      <c r="BF175" s="28" t="s">
        <v>138</v>
      </c>
      <c r="BG175" s="28" t="s">
        <v>138</v>
      </c>
      <c r="BH175" s="28" t="s">
        <v>4000</v>
      </c>
      <c r="BI175" s="28" t="s">
        <v>138</v>
      </c>
      <c r="BJ175" s="28" t="s">
        <v>138</v>
      </c>
      <c r="BK175" s="28" t="s">
        <v>138</v>
      </c>
      <c r="BL175" s="28" t="s">
        <v>138</v>
      </c>
      <c r="BM175" s="34">
        <v>43007</v>
      </c>
      <c r="BN175" s="29">
        <v>8.1999999999999993</v>
      </c>
      <c r="BO175" s="28" t="s">
        <v>172</v>
      </c>
      <c r="BP175" s="29" t="s">
        <v>138</v>
      </c>
      <c r="BQ175" s="28" t="s">
        <v>138</v>
      </c>
      <c r="BR175" s="28" t="s">
        <v>205</v>
      </c>
      <c r="BS175" s="28" t="s">
        <v>206</v>
      </c>
      <c r="BT175" s="28" t="s">
        <v>138</v>
      </c>
      <c r="BU175" s="28" t="s">
        <v>174</v>
      </c>
      <c r="BV175" s="28" t="s">
        <v>138</v>
      </c>
      <c r="BW175" s="28" t="s">
        <v>138</v>
      </c>
      <c r="BX175" s="28" t="s">
        <v>138</v>
      </c>
      <c r="BY175" s="28" t="s">
        <v>175</v>
      </c>
      <c r="BZ175" s="34" t="s">
        <v>138</v>
      </c>
      <c r="CA175" s="29" t="s">
        <v>138</v>
      </c>
      <c r="CB175" s="28" t="s">
        <v>138</v>
      </c>
      <c r="CC175" s="29" t="s">
        <v>138</v>
      </c>
      <c r="CD175" s="28" t="s">
        <v>138</v>
      </c>
      <c r="CE175" s="28" t="s">
        <v>205</v>
      </c>
      <c r="CF175" s="28" t="s">
        <v>138</v>
      </c>
      <c r="CG175" s="28" t="s">
        <v>138</v>
      </c>
      <c r="CH175" s="28" t="s">
        <v>174</v>
      </c>
      <c r="CI175" s="28" t="s">
        <v>138</v>
      </c>
      <c r="CJ175" s="28" t="s">
        <v>138</v>
      </c>
      <c r="CK175" s="28" t="s">
        <v>138</v>
      </c>
      <c r="CL175" s="28" t="s">
        <v>3093</v>
      </c>
      <c r="CM175" s="34" t="s">
        <v>138</v>
      </c>
      <c r="CN175" s="29" t="s">
        <v>138</v>
      </c>
      <c r="CO175" s="35">
        <v>1.48</v>
      </c>
      <c r="CP175" s="36">
        <v>98</v>
      </c>
      <c r="CQ175" s="35">
        <v>-0.01</v>
      </c>
      <c r="CR175" s="35">
        <v>-0.56000000000000005</v>
      </c>
      <c r="CS175" s="35">
        <v>-0.4</v>
      </c>
      <c r="CT175" s="36">
        <v>20</v>
      </c>
      <c r="CU175" s="35">
        <v>3.66</v>
      </c>
      <c r="CV175" s="36">
        <v>100</v>
      </c>
      <c r="CW175" s="35">
        <v>0.53</v>
      </c>
      <c r="CX175" s="36">
        <v>83</v>
      </c>
      <c r="CY175" s="35">
        <v>-1.33</v>
      </c>
      <c r="CZ175" s="36">
        <v>16</v>
      </c>
      <c r="DA175" s="35">
        <v>4.32</v>
      </c>
      <c r="DB175" s="36">
        <v>100</v>
      </c>
      <c r="DC175" s="37">
        <v>4</v>
      </c>
      <c r="DD175" s="36">
        <v>80</v>
      </c>
      <c r="DE175" s="37">
        <v>-0.04</v>
      </c>
      <c r="DF175" s="35">
        <v>-1.03</v>
      </c>
      <c r="DG175" s="37">
        <v>6.23</v>
      </c>
      <c r="DH175" s="36">
        <v>85</v>
      </c>
      <c r="DI175" s="37">
        <v>5.59</v>
      </c>
      <c r="DJ175" s="36">
        <v>79</v>
      </c>
      <c r="DK175" s="37">
        <v>2.7</v>
      </c>
      <c r="DL175" s="36">
        <v>70</v>
      </c>
      <c r="DM175" s="37">
        <v>9.76</v>
      </c>
      <c r="DN175" s="36">
        <v>88</v>
      </c>
      <c r="DO175" s="37">
        <v>9.08</v>
      </c>
      <c r="DP175" s="36">
        <v>86</v>
      </c>
      <c r="DQ175" s="36">
        <v>966</v>
      </c>
      <c r="DR175" s="38">
        <v>-123</v>
      </c>
      <c r="DS175" s="35">
        <v>-11.29</v>
      </c>
      <c r="DT175" s="36">
        <v>283</v>
      </c>
      <c r="DU175" s="38">
        <v>1</v>
      </c>
      <c r="DV175" s="35">
        <v>0.35</v>
      </c>
      <c r="DW175" s="36">
        <v>3244</v>
      </c>
      <c r="DX175" s="39">
        <v>17</v>
      </c>
      <c r="DY175" s="35">
        <v>0.53</v>
      </c>
      <c r="DZ175" s="28" t="s">
        <v>178</v>
      </c>
      <c r="EA175" s="34">
        <v>43614</v>
      </c>
      <c r="EB175" s="29" t="s">
        <v>138</v>
      </c>
      <c r="EC175" s="34" t="s">
        <v>138</v>
      </c>
      <c r="ED175" s="28" t="s">
        <v>138</v>
      </c>
      <c r="EE175" s="40" t="str">
        <f>HYPERLINK("https://my.pitchbook.com?c=179035-48", "View company online")</f>
        <v>View company online</v>
      </c>
    </row>
    <row r="176" spans="1:135">
      <c r="A176" s="15" t="s">
        <v>4001</v>
      </c>
      <c r="B176" s="15" t="s">
        <v>4002</v>
      </c>
      <c r="C176" s="15" t="s">
        <v>138</v>
      </c>
      <c r="D176" s="15" t="s">
        <v>4003</v>
      </c>
      <c r="E176" s="15" t="s">
        <v>138</v>
      </c>
      <c r="F176" s="15" t="s">
        <v>4001</v>
      </c>
      <c r="G176" s="15" t="s">
        <v>4004</v>
      </c>
      <c r="H176" s="15" t="s">
        <v>141</v>
      </c>
      <c r="I176" s="15" t="s">
        <v>142</v>
      </c>
      <c r="J176" s="15" t="s">
        <v>1924</v>
      </c>
      <c r="K176" s="15" t="s">
        <v>4005</v>
      </c>
      <c r="L176" s="15" t="s">
        <v>272</v>
      </c>
      <c r="M176" s="15" t="s">
        <v>4006</v>
      </c>
      <c r="N176" s="15" t="s">
        <v>2063</v>
      </c>
      <c r="O176" s="17" t="s">
        <v>138</v>
      </c>
      <c r="P176" s="15" t="s">
        <v>4007</v>
      </c>
      <c r="Q176" s="15" t="s">
        <v>149</v>
      </c>
      <c r="R176" s="15" t="s">
        <v>328</v>
      </c>
      <c r="S176" s="15" t="s">
        <v>4008</v>
      </c>
      <c r="T176" s="18">
        <v>11</v>
      </c>
      <c r="U176" s="15" t="s">
        <v>1356</v>
      </c>
      <c r="V176" s="15" t="s">
        <v>138</v>
      </c>
      <c r="W176" s="15" t="s">
        <v>138</v>
      </c>
      <c r="X176" s="19" t="s">
        <v>138</v>
      </c>
      <c r="Y176" s="15" t="s">
        <v>138</v>
      </c>
      <c r="Z176" s="15" t="s">
        <v>138</v>
      </c>
      <c r="AA176" s="15" t="s">
        <v>138</v>
      </c>
      <c r="AB176" s="20" t="s">
        <v>138</v>
      </c>
      <c r="AC176" s="20" t="s">
        <v>138</v>
      </c>
      <c r="AD176" s="20" t="s">
        <v>138</v>
      </c>
      <c r="AE176" s="20" t="s">
        <v>138</v>
      </c>
      <c r="AF176" s="20" t="s">
        <v>138</v>
      </c>
      <c r="AG176" s="15" t="s">
        <v>138</v>
      </c>
      <c r="AH176" s="20" t="s">
        <v>138</v>
      </c>
      <c r="AI176" s="20" t="s">
        <v>138</v>
      </c>
      <c r="AJ176" s="20" t="s">
        <v>138</v>
      </c>
      <c r="AK176" s="15" t="s">
        <v>4009</v>
      </c>
      <c r="AL176" s="15" t="s">
        <v>4010</v>
      </c>
      <c r="AM176" s="15" t="s">
        <v>4011</v>
      </c>
      <c r="AN176" s="15" t="s">
        <v>138</v>
      </c>
      <c r="AO176" s="15" t="s">
        <v>138</v>
      </c>
      <c r="AP176" s="15" t="s">
        <v>4012</v>
      </c>
      <c r="AQ176" s="15" t="s">
        <v>4013</v>
      </c>
      <c r="AR176" s="15" t="s">
        <v>4014</v>
      </c>
      <c r="AS176" s="15" t="s">
        <v>4015</v>
      </c>
      <c r="AT176" s="15" t="s">
        <v>4016</v>
      </c>
      <c r="AU176" s="15" t="s">
        <v>4017</v>
      </c>
      <c r="AV176" s="15" t="s">
        <v>162</v>
      </c>
      <c r="AW176" s="15" t="s">
        <v>138</v>
      </c>
      <c r="AX176" s="15" t="s">
        <v>138</v>
      </c>
      <c r="AY176" s="15" t="s">
        <v>138</v>
      </c>
      <c r="AZ176" s="15" t="s">
        <v>164</v>
      </c>
      <c r="BA176" s="15" t="s">
        <v>165</v>
      </c>
      <c r="BB176" s="15" t="s">
        <v>4018</v>
      </c>
      <c r="BC176" s="15" t="s">
        <v>138</v>
      </c>
      <c r="BD176" s="21" t="s">
        <v>138</v>
      </c>
      <c r="BE176" s="15" t="s">
        <v>138</v>
      </c>
      <c r="BF176" s="15" t="s">
        <v>4019</v>
      </c>
      <c r="BG176" s="15" t="s">
        <v>138</v>
      </c>
      <c r="BH176" s="15" t="s">
        <v>138</v>
      </c>
      <c r="BI176" s="15" t="s">
        <v>4020</v>
      </c>
      <c r="BJ176" s="15" t="s">
        <v>138</v>
      </c>
      <c r="BK176" s="15" t="s">
        <v>138</v>
      </c>
      <c r="BL176" s="15" t="s">
        <v>138</v>
      </c>
      <c r="BM176" s="22">
        <v>41306</v>
      </c>
      <c r="BN176" s="17" t="s">
        <v>138</v>
      </c>
      <c r="BO176" s="15" t="s">
        <v>138</v>
      </c>
      <c r="BP176" s="17" t="s">
        <v>138</v>
      </c>
      <c r="BQ176" s="15" t="s">
        <v>138</v>
      </c>
      <c r="BR176" s="15" t="s">
        <v>1673</v>
      </c>
      <c r="BS176" s="15" t="s">
        <v>138</v>
      </c>
      <c r="BT176" s="15" t="s">
        <v>138</v>
      </c>
      <c r="BU176" s="15" t="s">
        <v>351</v>
      </c>
      <c r="BV176" s="15" t="s">
        <v>138</v>
      </c>
      <c r="BW176" s="15" t="s">
        <v>138</v>
      </c>
      <c r="BX176" s="15" t="s">
        <v>138</v>
      </c>
      <c r="BY176" s="15" t="s">
        <v>175</v>
      </c>
      <c r="BZ176" s="22" t="s">
        <v>138</v>
      </c>
      <c r="CA176" s="17" t="s">
        <v>138</v>
      </c>
      <c r="CB176" s="15" t="s">
        <v>138</v>
      </c>
      <c r="CC176" s="17" t="s">
        <v>138</v>
      </c>
      <c r="CD176" s="15" t="s">
        <v>138</v>
      </c>
      <c r="CE176" s="15" t="s">
        <v>4007</v>
      </c>
      <c r="CF176" s="15" t="s">
        <v>138</v>
      </c>
      <c r="CG176" s="15" t="s">
        <v>138</v>
      </c>
      <c r="CH176" s="15" t="s">
        <v>4007</v>
      </c>
      <c r="CI176" s="15" t="s">
        <v>138</v>
      </c>
      <c r="CJ176" s="15" t="s">
        <v>138</v>
      </c>
      <c r="CK176" s="15" t="s">
        <v>138</v>
      </c>
      <c r="CL176" s="15" t="s">
        <v>175</v>
      </c>
      <c r="CM176" s="22" t="s">
        <v>138</v>
      </c>
      <c r="CN176" s="17" t="s">
        <v>138</v>
      </c>
      <c r="CO176" s="23" t="s">
        <v>138</v>
      </c>
      <c r="CP176" s="24" t="s">
        <v>138</v>
      </c>
      <c r="CQ176" s="23" t="s">
        <v>138</v>
      </c>
      <c r="CR176" s="23" t="s">
        <v>138</v>
      </c>
      <c r="CS176" s="23" t="s">
        <v>138</v>
      </c>
      <c r="CT176" s="24" t="s">
        <v>138</v>
      </c>
      <c r="CU176" s="23" t="s">
        <v>138</v>
      </c>
      <c r="CV176" s="24" t="s">
        <v>138</v>
      </c>
      <c r="CW176" s="23" t="s">
        <v>138</v>
      </c>
      <c r="CX176" s="24" t="s">
        <v>138</v>
      </c>
      <c r="CY176" s="23" t="s">
        <v>138</v>
      </c>
      <c r="CZ176" s="24" t="s">
        <v>138</v>
      </c>
      <c r="DA176" s="23" t="s">
        <v>138</v>
      </c>
      <c r="DB176" s="24" t="s">
        <v>138</v>
      </c>
      <c r="DC176" s="25" t="s">
        <v>138</v>
      </c>
      <c r="DD176" s="24" t="s">
        <v>138</v>
      </c>
      <c r="DE176" s="25" t="s">
        <v>138</v>
      </c>
      <c r="DF176" s="23" t="s">
        <v>138</v>
      </c>
      <c r="DG176" s="25" t="s">
        <v>138</v>
      </c>
      <c r="DH176" s="24" t="s">
        <v>138</v>
      </c>
      <c r="DI176" s="25" t="s">
        <v>138</v>
      </c>
      <c r="DJ176" s="24" t="s">
        <v>138</v>
      </c>
      <c r="DK176" s="25" t="s">
        <v>138</v>
      </c>
      <c r="DL176" s="24" t="s">
        <v>138</v>
      </c>
      <c r="DM176" s="25" t="s">
        <v>138</v>
      </c>
      <c r="DN176" s="24" t="s">
        <v>138</v>
      </c>
      <c r="DO176" s="25" t="s">
        <v>138</v>
      </c>
      <c r="DP176" s="24" t="s">
        <v>138</v>
      </c>
      <c r="DQ176" s="24" t="s">
        <v>138</v>
      </c>
      <c r="DR176" s="26" t="s">
        <v>138</v>
      </c>
      <c r="DS176" s="23" t="s">
        <v>138</v>
      </c>
      <c r="DT176" s="24" t="s">
        <v>138</v>
      </c>
      <c r="DU176" s="26" t="s">
        <v>138</v>
      </c>
      <c r="DV176" s="23" t="s">
        <v>138</v>
      </c>
      <c r="DW176" s="24" t="s">
        <v>138</v>
      </c>
      <c r="DX176" s="27" t="s">
        <v>138</v>
      </c>
      <c r="DY176" s="23" t="s">
        <v>138</v>
      </c>
      <c r="DZ176" s="15" t="s">
        <v>178</v>
      </c>
      <c r="EA176" s="22">
        <v>43388</v>
      </c>
      <c r="EB176" s="17" t="s">
        <v>138</v>
      </c>
      <c r="EC176" s="22" t="s">
        <v>138</v>
      </c>
      <c r="ED176" s="15" t="s">
        <v>138</v>
      </c>
      <c r="EE176" s="14" t="str">
        <f>HYPERLINK("https://my.pitchbook.com?c=56206-09", "View company online")</f>
        <v>View company online</v>
      </c>
    </row>
    <row r="177" spans="1:135">
      <c r="A177" s="28" t="s">
        <v>4021</v>
      </c>
      <c r="B177" s="28" t="s">
        <v>4022</v>
      </c>
      <c r="C177" s="28" t="s">
        <v>138</v>
      </c>
      <c r="D177" s="28" t="s">
        <v>138</v>
      </c>
      <c r="E177" s="28" t="s">
        <v>138</v>
      </c>
      <c r="F177" s="28" t="s">
        <v>4021</v>
      </c>
      <c r="G177" s="28" t="s">
        <v>4023</v>
      </c>
      <c r="H177" s="28" t="s">
        <v>322</v>
      </c>
      <c r="I177" s="28" t="s">
        <v>323</v>
      </c>
      <c r="J177" s="28" t="s">
        <v>2984</v>
      </c>
      <c r="K177" s="28" t="s">
        <v>4024</v>
      </c>
      <c r="L177" s="28" t="s">
        <v>4025</v>
      </c>
      <c r="M177" s="28" t="s">
        <v>4026</v>
      </c>
      <c r="N177" s="28" t="s">
        <v>147</v>
      </c>
      <c r="O177" s="29" t="s">
        <v>138</v>
      </c>
      <c r="P177" s="28" t="s">
        <v>148</v>
      </c>
      <c r="Q177" s="28" t="s">
        <v>149</v>
      </c>
      <c r="R177" s="28" t="s">
        <v>174</v>
      </c>
      <c r="S177" s="28" t="s">
        <v>4027</v>
      </c>
      <c r="T177" s="30" t="s">
        <v>138</v>
      </c>
      <c r="U177" s="28" t="s">
        <v>138</v>
      </c>
      <c r="V177" s="28" t="s">
        <v>138</v>
      </c>
      <c r="W177" s="28" t="s">
        <v>138</v>
      </c>
      <c r="X177" s="31">
        <v>2015</v>
      </c>
      <c r="Y177" s="28" t="s">
        <v>138</v>
      </c>
      <c r="Z177" s="28" t="s">
        <v>138</v>
      </c>
      <c r="AA177" s="28" t="s">
        <v>138</v>
      </c>
      <c r="AB177" s="32" t="s">
        <v>138</v>
      </c>
      <c r="AC177" s="32" t="s">
        <v>138</v>
      </c>
      <c r="AD177" s="32" t="s">
        <v>138</v>
      </c>
      <c r="AE177" s="32" t="s">
        <v>138</v>
      </c>
      <c r="AF177" s="32" t="s">
        <v>138</v>
      </c>
      <c r="AG177" s="28" t="s">
        <v>138</v>
      </c>
      <c r="AH177" s="32" t="s">
        <v>138</v>
      </c>
      <c r="AI177" s="32" t="s">
        <v>138</v>
      </c>
      <c r="AJ177" s="32" t="s">
        <v>138</v>
      </c>
      <c r="AK177" s="28" t="s">
        <v>4028</v>
      </c>
      <c r="AL177" s="28" t="s">
        <v>4029</v>
      </c>
      <c r="AM177" s="28" t="s">
        <v>916</v>
      </c>
      <c r="AN177" s="28" t="s">
        <v>4030</v>
      </c>
      <c r="AO177" s="28" t="s">
        <v>4031</v>
      </c>
      <c r="AP177" s="28" t="s">
        <v>941</v>
      </c>
      <c r="AQ177" s="28" t="s">
        <v>4032</v>
      </c>
      <c r="AR177" s="28" t="s">
        <v>138</v>
      </c>
      <c r="AS177" s="28" t="s">
        <v>944</v>
      </c>
      <c r="AT177" s="28" t="s">
        <v>138</v>
      </c>
      <c r="AU177" s="28" t="s">
        <v>4033</v>
      </c>
      <c r="AV177" s="28" t="s">
        <v>946</v>
      </c>
      <c r="AW177" s="28" t="s">
        <v>4031</v>
      </c>
      <c r="AX177" s="28" t="s">
        <v>4034</v>
      </c>
      <c r="AY177" s="28" t="s">
        <v>4035</v>
      </c>
      <c r="AZ177" s="28" t="s">
        <v>530</v>
      </c>
      <c r="BA177" s="28" t="s">
        <v>531</v>
      </c>
      <c r="BB177" s="28" t="s">
        <v>4036</v>
      </c>
      <c r="BC177" s="28" t="s">
        <v>4037</v>
      </c>
      <c r="BD177" s="33">
        <v>2</v>
      </c>
      <c r="BE177" s="28" t="s">
        <v>138</v>
      </c>
      <c r="BF177" s="28" t="s">
        <v>138</v>
      </c>
      <c r="BG177" s="28" t="s">
        <v>138</v>
      </c>
      <c r="BH177" s="28" t="s">
        <v>4038</v>
      </c>
      <c r="BI177" s="28" t="s">
        <v>138</v>
      </c>
      <c r="BJ177" s="28" t="s">
        <v>138</v>
      </c>
      <c r="BK177" s="28" t="s">
        <v>138</v>
      </c>
      <c r="BL177" s="28" t="s">
        <v>138</v>
      </c>
      <c r="BM177" s="34" t="s">
        <v>138</v>
      </c>
      <c r="BN177" s="29" t="s">
        <v>138</v>
      </c>
      <c r="BO177" s="28" t="s">
        <v>138</v>
      </c>
      <c r="BP177" s="29" t="s">
        <v>138</v>
      </c>
      <c r="BQ177" s="28" t="s">
        <v>138</v>
      </c>
      <c r="BR177" s="28" t="s">
        <v>316</v>
      </c>
      <c r="BS177" s="28" t="s">
        <v>138</v>
      </c>
      <c r="BT177" s="28" t="s">
        <v>138</v>
      </c>
      <c r="BU177" s="28" t="s">
        <v>177</v>
      </c>
      <c r="BV177" s="28" t="s">
        <v>138</v>
      </c>
      <c r="BW177" s="28" t="s">
        <v>138</v>
      </c>
      <c r="BX177" s="28" t="s">
        <v>138</v>
      </c>
      <c r="BY177" s="28" t="s">
        <v>175</v>
      </c>
      <c r="BZ177" s="34">
        <v>42037</v>
      </c>
      <c r="CA177" s="29" t="s">
        <v>138</v>
      </c>
      <c r="CB177" s="28" t="s">
        <v>138</v>
      </c>
      <c r="CC177" s="29" t="s">
        <v>138</v>
      </c>
      <c r="CD177" s="28" t="s">
        <v>138</v>
      </c>
      <c r="CE177" s="28" t="s">
        <v>234</v>
      </c>
      <c r="CF177" s="28" t="s">
        <v>234</v>
      </c>
      <c r="CG177" s="28" t="s">
        <v>138</v>
      </c>
      <c r="CH177" s="28" t="s">
        <v>174</v>
      </c>
      <c r="CI177" s="28" t="s">
        <v>138</v>
      </c>
      <c r="CJ177" s="28" t="s">
        <v>138</v>
      </c>
      <c r="CK177" s="28" t="s">
        <v>138</v>
      </c>
      <c r="CL177" s="28" t="s">
        <v>175</v>
      </c>
      <c r="CM177" s="34" t="s">
        <v>138</v>
      </c>
      <c r="CN177" s="29" t="s">
        <v>138</v>
      </c>
      <c r="CO177" s="35">
        <v>0.02</v>
      </c>
      <c r="CP177" s="36">
        <v>85</v>
      </c>
      <c r="CQ177" s="35">
        <v>-0.04</v>
      </c>
      <c r="CR177" s="35">
        <v>-71.680000000000007</v>
      </c>
      <c r="CS177" s="35">
        <v>0</v>
      </c>
      <c r="CT177" s="36">
        <v>23</v>
      </c>
      <c r="CU177" s="35">
        <v>0.03</v>
      </c>
      <c r="CV177" s="36">
        <v>54</v>
      </c>
      <c r="CW177" s="35" t="s">
        <v>138</v>
      </c>
      <c r="CX177" s="36" t="s">
        <v>138</v>
      </c>
      <c r="CY177" s="35">
        <v>0</v>
      </c>
      <c r="CZ177" s="36">
        <v>25</v>
      </c>
      <c r="DA177" s="35">
        <v>0</v>
      </c>
      <c r="DB177" s="36">
        <v>22</v>
      </c>
      <c r="DC177" s="37">
        <v>1.29</v>
      </c>
      <c r="DD177" s="36">
        <v>57</v>
      </c>
      <c r="DE177" s="37">
        <v>0.03</v>
      </c>
      <c r="DF177" s="35">
        <v>2.73</v>
      </c>
      <c r="DG177" s="37">
        <v>2.2799999999999998</v>
      </c>
      <c r="DH177" s="36">
        <v>69</v>
      </c>
      <c r="DI177" s="37">
        <v>0.31</v>
      </c>
      <c r="DJ177" s="36">
        <v>29</v>
      </c>
      <c r="DK177" s="37" t="s">
        <v>138</v>
      </c>
      <c r="DL177" s="36" t="s">
        <v>138</v>
      </c>
      <c r="DM177" s="37">
        <v>2.2799999999999998</v>
      </c>
      <c r="DN177" s="36">
        <v>68</v>
      </c>
      <c r="DO177" s="37">
        <v>0.41</v>
      </c>
      <c r="DP177" s="36">
        <v>35</v>
      </c>
      <c r="DQ177" s="36" t="s">
        <v>138</v>
      </c>
      <c r="DR177" s="38" t="s">
        <v>138</v>
      </c>
      <c r="DS177" s="35" t="s">
        <v>138</v>
      </c>
      <c r="DT177" s="36">
        <v>65</v>
      </c>
      <c r="DU177" s="38">
        <v>2</v>
      </c>
      <c r="DV177" s="35">
        <v>3.17</v>
      </c>
      <c r="DW177" s="36">
        <v>146</v>
      </c>
      <c r="DX177" s="39">
        <v>-1</v>
      </c>
      <c r="DY177" s="35">
        <v>-0.68</v>
      </c>
      <c r="DZ177" s="28" t="s">
        <v>178</v>
      </c>
      <c r="EA177" s="34">
        <v>43448</v>
      </c>
      <c r="EB177" s="29" t="s">
        <v>138</v>
      </c>
      <c r="EC177" s="34" t="s">
        <v>138</v>
      </c>
      <c r="ED177" s="28" t="s">
        <v>138</v>
      </c>
      <c r="EE177" s="40" t="str">
        <f>HYPERLINK("https://my.pitchbook.com?c=165918-88", "View company online")</f>
        <v>View company online</v>
      </c>
    </row>
    <row r="178" spans="1:135">
      <c r="A178" s="15" t="s">
        <v>4039</v>
      </c>
      <c r="B178" s="15" t="s">
        <v>4040</v>
      </c>
      <c r="C178" s="15" t="s">
        <v>138</v>
      </c>
      <c r="D178" s="15" t="s">
        <v>138</v>
      </c>
      <c r="E178" s="15" t="s">
        <v>138</v>
      </c>
      <c r="F178" s="15" t="s">
        <v>4039</v>
      </c>
      <c r="G178" s="15" t="s">
        <v>4041</v>
      </c>
      <c r="H178" s="15" t="s">
        <v>141</v>
      </c>
      <c r="I178" s="15" t="s">
        <v>142</v>
      </c>
      <c r="J178" s="15" t="s">
        <v>4042</v>
      </c>
      <c r="K178" s="15" t="s">
        <v>4043</v>
      </c>
      <c r="L178" s="15" t="s">
        <v>3589</v>
      </c>
      <c r="M178" s="15" t="s">
        <v>4044</v>
      </c>
      <c r="N178" s="15" t="s">
        <v>147</v>
      </c>
      <c r="O178" s="17">
        <v>0.5</v>
      </c>
      <c r="P178" s="15" t="s">
        <v>148</v>
      </c>
      <c r="Q178" s="15" t="s">
        <v>149</v>
      </c>
      <c r="R178" s="15" t="s">
        <v>174</v>
      </c>
      <c r="S178" s="15" t="s">
        <v>4045</v>
      </c>
      <c r="T178" s="18">
        <v>2</v>
      </c>
      <c r="U178" s="15" t="s">
        <v>4046</v>
      </c>
      <c r="V178" s="15" t="s">
        <v>138</v>
      </c>
      <c r="W178" s="15" t="s">
        <v>138</v>
      </c>
      <c r="X178" s="19">
        <v>2012</v>
      </c>
      <c r="Y178" s="15" t="s">
        <v>138</v>
      </c>
      <c r="Z178" s="15" t="s">
        <v>138</v>
      </c>
      <c r="AA178" s="15" t="s">
        <v>138</v>
      </c>
      <c r="AB178" s="20" t="s">
        <v>138</v>
      </c>
      <c r="AC178" s="20" t="s">
        <v>138</v>
      </c>
      <c r="AD178" s="20" t="s">
        <v>138</v>
      </c>
      <c r="AE178" s="20" t="s">
        <v>138</v>
      </c>
      <c r="AF178" s="20" t="s">
        <v>138</v>
      </c>
      <c r="AG178" s="15" t="s">
        <v>138</v>
      </c>
      <c r="AH178" s="20" t="s">
        <v>138</v>
      </c>
      <c r="AI178" s="20" t="s">
        <v>138</v>
      </c>
      <c r="AJ178" s="20" t="s">
        <v>138</v>
      </c>
      <c r="AK178" s="15" t="s">
        <v>4047</v>
      </c>
      <c r="AL178" s="15" t="s">
        <v>4048</v>
      </c>
      <c r="AM178" s="15" t="s">
        <v>422</v>
      </c>
      <c r="AN178" s="15" t="s">
        <v>4049</v>
      </c>
      <c r="AO178" s="15" t="s">
        <v>138</v>
      </c>
      <c r="AP178" s="15" t="s">
        <v>4050</v>
      </c>
      <c r="AQ178" s="15" t="s">
        <v>4051</v>
      </c>
      <c r="AR178" s="15" t="s">
        <v>138</v>
      </c>
      <c r="AS178" s="15" t="s">
        <v>4052</v>
      </c>
      <c r="AT178" s="15" t="s">
        <v>4053</v>
      </c>
      <c r="AU178" s="15" t="s">
        <v>4054</v>
      </c>
      <c r="AV178" s="15" t="s">
        <v>162</v>
      </c>
      <c r="AW178" s="15" t="s">
        <v>138</v>
      </c>
      <c r="AX178" s="15" t="s">
        <v>138</v>
      </c>
      <c r="AY178" s="15" t="s">
        <v>138</v>
      </c>
      <c r="AZ178" s="15" t="s">
        <v>164</v>
      </c>
      <c r="BA178" s="15" t="s">
        <v>165</v>
      </c>
      <c r="BB178" s="15" t="s">
        <v>4055</v>
      </c>
      <c r="BC178" s="15" t="s">
        <v>4056</v>
      </c>
      <c r="BD178" s="21">
        <v>1</v>
      </c>
      <c r="BE178" s="15" t="s">
        <v>138</v>
      </c>
      <c r="BF178" s="15" t="s">
        <v>138</v>
      </c>
      <c r="BG178" s="15" t="s">
        <v>138</v>
      </c>
      <c r="BH178" s="15" t="s">
        <v>4057</v>
      </c>
      <c r="BI178" s="15" t="s">
        <v>138</v>
      </c>
      <c r="BJ178" s="15" t="s">
        <v>138</v>
      </c>
      <c r="BK178" s="15" t="s">
        <v>138</v>
      </c>
      <c r="BL178" s="15" t="s">
        <v>138</v>
      </c>
      <c r="BM178" s="22">
        <v>42600</v>
      </c>
      <c r="BN178" s="17">
        <v>0.5</v>
      </c>
      <c r="BO178" s="15" t="s">
        <v>138</v>
      </c>
      <c r="BP178" s="17" t="s">
        <v>138</v>
      </c>
      <c r="BQ178" s="15" t="s">
        <v>138</v>
      </c>
      <c r="BR178" s="15" t="s">
        <v>234</v>
      </c>
      <c r="BS178" s="15" t="s">
        <v>234</v>
      </c>
      <c r="BT178" s="15" t="s">
        <v>138</v>
      </c>
      <c r="BU178" s="15" t="s">
        <v>174</v>
      </c>
      <c r="BV178" s="15" t="s">
        <v>138</v>
      </c>
      <c r="BW178" s="15" t="s">
        <v>138</v>
      </c>
      <c r="BX178" s="15" t="s">
        <v>138</v>
      </c>
      <c r="BY178" s="15" t="s">
        <v>175</v>
      </c>
      <c r="BZ178" s="22">
        <v>42600</v>
      </c>
      <c r="CA178" s="17">
        <v>0.5</v>
      </c>
      <c r="CB178" s="15" t="s">
        <v>138</v>
      </c>
      <c r="CC178" s="17" t="s">
        <v>138</v>
      </c>
      <c r="CD178" s="15" t="s">
        <v>138</v>
      </c>
      <c r="CE178" s="15" t="s">
        <v>234</v>
      </c>
      <c r="CF178" s="15" t="s">
        <v>234</v>
      </c>
      <c r="CG178" s="15" t="s">
        <v>138</v>
      </c>
      <c r="CH178" s="15" t="s">
        <v>174</v>
      </c>
      <c r="CI178" s="15" t="s">
        <v>138</v>
      </c>
      <c r="CJ178" s="15" t="s">
        <v>138</v>
      </c>
      <c r="CK178" s="15" t="s">
        <v>138</v>
      </c>
      <c r="CL178" s="15" t="s">
        <v>175</v>
      </c>
      <c r="CM178" s="22" t="s">
        <v>138</v>
      </c>
      <c r="CN178" s="17" t="s">
        <v>138</v>
      </c>
      <c r="CO178" s="23">
        <v>0</v>
      </c>
      <c r="CP178" s="24">
        <v>26</v>
      </c>
      <c r="CQ178" s="23">
        <v>0</v>
      </c>
      <c r="CR178" s="23">
        <v>0</v>
      </c>
      <c r="CS178" s="23">
        <v>0</v>
      </c>
      <c r="CT178" s="24">
        <v>23</v>
      </c>
      <c r="CU178" s="23">
        <v>0</v>
      </c>
      <c r="CV178" s="24">
        <v>22</v>
      </c>
      <c r="CW178" s="23" t="s">
        <v>138</v>
      </c>
      <c r="CX178" s="24" t="s">
        <v>138</v>
      </c>
      <c r="CY178" s="23">
        <v>0</v>
      </c>
      <c r="CZ178" s="24">
        <v>25</v>
      </c>
      <c r="DA178" s="23" t="s">
        <v>138</v>
      </c>
      <c r="DB178" s="24" t="s">
        <v>138</v>
      </c>
      <c r="DC178" s="25">
        <v>0.2</v>
      </c>
      <c r="DD178" s="24">
        <v>15</v>
      </c>
      <c r="DE178" s="25">
        <v>0</v>
      </c>
      <c r="DF178" s="23">
        <v>-0.03</v>
      </c>
      <c r="DG178" s="25">
        <v>0.28000000000000003</v>
      </c>
      <c r="DH178" s="24">
        <v>21</v>
      </c>
      <c r="DI178" s="25">
        <v>0.12</v>
      </c>
      <c r="DJ178" s="24">
        <v>16</v>
      </c>
      <c r="DK178" s="25" t="s">
        <v>138</v>
      </c>
      <c r="DL178" s="24" t="s">
        <v>138</v>
      </c>
      <c r="DM178" s="25">
        <v>0.28000000000000003</v>
      </c>
      <c r="DN178" s="24">
        <v>21</v>
      </c>
      <c r="DO178" s="25" t="s">
        <v>138</v>
      </c>
      <c r="DP178" s="24" t="s">
        <v>138</v>
      </c>
      <c r="DQ178" s="24" t="s">
        <v>138</v>
      </c>
      <c r="DR178" s="26" t="s">
        <v>138</v>
      </c>
      <c r="DS178" s="23" t="s">
        <v>138</v>
      </c>
      <c r="DT178" s="24">
        <v>8</v>
      </c>
      <c r="DU178" s="26">
        <v>0</v>
      </c>
      <c r="DV178" s="23">
        <v>0</v>
      </c>
      <c r="DW178" s="24" t="s">
        <v>138</v>
      </c>
      <c r="DX178" s="27" t="s">
        <v>138</v>
      </c>
      <c r="DY178" s="23" t="s">
        <v>138</v>
      </c>
      <c r="DZ178" s="15" t="s">
        <v>178</v>
      </c>
      <c r="EA178" s="22">
        <v>43438</v>
      </c>
      <c r="EB178" s="17" t="s">
        <v>138</v>
      </c>
      <c r="EC178" s="22" t="s">
        <v>138</v>
      </c>
      <c r="ED178" s="15" t="s">
        <v>138</v>
      </c>
      <c r="EE178" s="14" t="str">
        <f>HYPERLINK("https://my.pitchbook.com?c=157573-54", "View company online")</f>
        <v>View company online</v>
      </c>
    </row>
    <row r="179" spans="1:135">
      <c r="A179" s="28" t="s">
        <v>4058</v>
      </c>
      <c r="B179" s="28" t="s">
        <v>4059</v>
      </c>
      <c r="C179" s="28" t="s">
        <v>138</v>
      </c>
      <c r="D179" s="28" t="s">
        <v>138</v>
      </c>
      <c r="E179" s="28" t="s">
        <v>4060</v>
      </c>
      <c r="F179" s="28" t="s">
        <v>4058</v>
      </c>
      <c r="G179" s="28" t="s">
        <v>4061</v>
      </c>
      <c r="H179" s="28" t="s">
        <v>322</v>
      </c>
      <c r="I179" s="28" t="s">
        <v>1208</v>
      </c>
      <c r="J179" s="28" t="s">
        <v>1209</v>
      </c>
      <c r="K179" s="28" t="s">
        <v>1971</v>
      </c>
      <c r="L179" s="28" t="s">
        <v>138</v>
      </c>
      <c r="M179" s="28" t="s">
        <v>4062</v>
      </c>
      <c r="N179" s="28" t="s">
        <v>147</v>
      </c>
      <c r="O179" s="29">
        <v>164</v>
      </c>
      <c r="P179" s="28" t="s">
        <v>148</v>
      </c>
      <c r="Q179" s="28" t="s">
        <v>149</v>
      </c>
      <c r="R179" s="28" t="s">
        <v>174</v>
      </c>
      <c r="S179" s="28" t="s">
        <v>4063</v>
      </c>
      <c r="T179" s="30">
        <v>350</v>
      </c>
      <c r="U179" s="28" t="s">
        <v>4064</v>
      </c>
      <c r="V179" s="28" t="s">
        <v>138</v>
      </c>
      <c r="W179" s="28" t="s">
        <v>138</v>
      </c>
      <c r="X179" s="31">
        <v>2006</v>
      </c>
      <c r="Y179" s="28" t="s">
        <v>138</v>
      </c>
      <c r="Z179" s="28" t="s">
        <v>138</v>
      </c>
      <c r="AA179" s="28" t="s">
        <v>138</v>
      </c>
      <c r="AB179" s="32" t="s">
        <v>138</v>
      </c>
      <c r="AC179" s="32" t="s">
        <v>138</v>
      </c>
      <c r="AD179" s="32" t="s">
        <v>138</v>
      </c>
      <c r="AE179" s="32" t="s">
        <v>138</v>
      </c>
      <c r="AF179" s="32" t="s">
        <v>138</v>
      </c>
      <c r="AG179" s="28" t="s">
        <v>138</v>
      </c>
      <c r="AH179" s="32" t="s">
        <v>138</v>
      </c>
      <c r="AI179" s="32" t="s">
        <v>138</v>
      </c>
      <c r="AJ179" s="32" t="s">
        <v>138</v>
      </c>
      <c r="AK179" s="28" t="s">
        <v>4065</v>
      </c>
      <c r="AL179" s="28" t="s">
        <v>4066</v>
      </c>
      <c r="AM179" s="28" t="s">
        <v>304</v>
      </c>
      <c r="AN179" s="28" t="s">
        <v>4067</v>
      </c>
      <c r="AO179" s="28" t="s">
        <v>4068</v>
      </c>
      <c r="AP179" s="28" t="s">
        <v>4069</v>
      </c>
      <c r="AQ179" s="28" t="s">
        <v>4070</v>
      </c>
      <c r="AR179" s="28" t="s">
        <v>4071</v>
      </c>
      <c r="AS179" s="28" t="s">
        <v>4072</v>
      </c>
      <c r="AT179" s="28" t="s">
        <v>138</v>
      </c>
      <c r="AU179" s="28" t="s">
        <v>4073</v>
      </c>
      <c r="AV179" s="28" t="s">
        <v>740</v>
      </c>
      <c r="AW179" s="28" t="s">
        <v>4068</v>
      </c>
      <c r="AX179" s="28" t="s">
        <v>4074</v>
      </c>
      <c r="AY179" s="28" t="s">
        <v>4075</v>
      </c>
      <c r="AZ179" s="28" t="s">
        <v>742</v>
      </c>
      <c r="BA179" s="28" t="s">
        <v>742</v>
      </c>
      <c r="BB179" s="28" t="s">
        <v>4076</v>
      </c>
      <c r="BC179" s="28" t="s">
        <v>4077</v>
      </c>
      <c r="BD179" s="33">
        <v>15</v>
      </c>
      <c r="BE179" s="28" t="s">
        <v>138</v>
      </c>
      <c r="BF179" s="28" t="s">
        <v>4078</v>
      </c>
      <c r="BG179" s="28" t="s">
        <v>138</v>
      </c>
      <c r="BH179" s="28" t="s">
        <v>4079</v>
      </c>
      <c r="BI179" s="28" t="s">
        <v>4080</v>
      </c>
      <c r="BJ179" s="28" t="s">
        <v>138</v>
      </c>
      <c r="BK179" s="28" t="s">
        <v>4081</v>
      </c>
      <c r="BL179" s="28" t="s">
        <v>4082</v>
      </c>
      <c r="BM179" s="34">
        <v>39279</v>
      </c>
      <c r="BN179" s="29">
        <v>7</v>
      </c>
      <c r="BO179" s="28" t="s">
        <v>172</v>
      </c>
      <c r="BP179" s="29" t="s">
        <v>138</v>
      </c>
      <c r="BQ179" s="28" t="s">
        <v>138</v>
      </c>
      <c r="BR179" s="28" t="s">
        <v>205</v>
      </c>
      <c r="BS179" s="28" t="s">
        <v>206</v>
      </c>
      <c r="BT179" s="28" t="s">
        <v>138</v>
      </c>
      <c r="BU179" s="28" t="s">
        <v>174</v>
      </c>
      <c r="BV179" s="28" t="s">
        <v>1397</v>
      </c>
      <c r="BW179" s="28" t="s">
        <v>138</v>
      </c>
      <c r="BX179" s="28" t="s">
        <v>138</v>
      </c>
      <c r="BY179" s="28" t="s">
        <v>175</v>
      </c>
      <c r="BZ179" s="34">
        <v>43410</v>
      </c>
      <c r="CA179" s="29">
        <v>63</v>
      </c>
      <c r="CB179" s="28" t="s">
        <v>172</v>
      </c>
      <c r="CC179" s="29" t="s">
        <v>138</v>
      </c>
      <c r="CD179" s="28" t="s">
        <v>138</v>
      </c>
      <c r="CE179" s="28" t="s">
        <v>173</v>
      </c>
      <c r="CF179" s="28" t="s">
        <v>138</v>
      </c>
      <c r="CG179" s="28" t="s">
        <v>138</v>
      </c>
      <c r="CH179" s="28" t="s">
        <v>174</v>
      </c>
      <c r="CI179" s="28" t="s">
        <v>138</v>
      </c>
      <c r="CJ179" s="28" t="s">
        <v>138</v>
      </c>
      <c r="CK179" s="28" t="s">
        <v>138</v>
      </c>
      <c r="CL179" s="28" t="s">
        <v>175</v>
      </c>
      <c r="CM179" s="34">
        <v>39279</v>
      </c>
      <c r="CN179" s="29" t="s">
        <v>138</v>
      </c>
      <c r="CO179" s="35">
        <v>-0.38</v>
      </c>
      <c r="CP179" s="36">
        <v>17</v>
      </c>
      <c r="CQ179" s="35">
        <v>-0.02</v>
      </c>
      <c r="CR179" s="35">
        <v>-5.6</v>
      </c>
      <c r="CS179" s="35">
        <v>-0.8</v>
      </c>
      <c r="CT179" s="36">
        <v>17</v>
      </c>
      <c r="CU179" s="35">
        <v>0.05</v>
      </c>
      <c r="CV179" s="36">
        <v>58</v>
      </c>
      <c r="CW179" s="35">
        <v>0</v>
      </c>
      <c r="CX179" s="36">
        <v>13</v>
      </c>
      <c r="CY179" s="35">
        <v>-1.61</v>
      </c>
      <c r="CZ179" s="36">
        <v>14</v>
      </c>
      <c r="DA179" s="35">
        <v>-0.05</v>
      </c>
      <c r="DB179" s="36">
        <v>13</v>
      </c>
      <c r="DC179" s="37">
        <v>4.68</v>
      </c>
      <c r="DD179" s="36">
        <v>82</v>
      </c>
      <c r="DE179" s="37">
        <v>-0.04</v>
      </c>
      <c r="DF179" s="35">
        <v>-0.9</v>
      </c>
      <c r="DG179" s="37">
        <v>8.1300000000000008</v>
      </c>
      <c r="DH179" s="36">
        <v>88</v>
      </c>
      <c r="DI179" s="37">
        <v>1.23</v>
      </c>
      <c r="DJ179" s="36">
        <v>53</v>
      </c>
      <c r="DK179" s="37">
        <v>1.1200000000000001</v>
      </c>
      <c r="DL179" s="36">
        <v>53</v>
      </c>
      <c r="DM179" s="37">
        <v>15.14</v>
      </c>
      <c r="DN179" s="36">
        <v>92</v>
      </c>
      <c r="DO179" s="37">
        <v>1.99</v>
      </c>
      <c r="DP179" s="36">
        <v>64</v>
      </c>
      <c r="DQ179" s="36">
        <v>366</v>
      </c>
      <c r="DR179" s="38">
        <v>50</v>
      </c>
      <c r="DS179" s="35">
        <v>15.82</v>
      </c>
      <c r="DT179" s="36">
        <v>439</v>
      </c>
      <c r="DU179" s="38">
        <v>1</v>
      </c>
      <c r="DV179" s="35">
        <v>0.23</v>
      </c>
      <c r="DW179" s="36">
        <v>715</v>
      </c>
      <c r="DX179" s="39">
        <v>1</v>
      </c>
      <c r="DY179" s="35">
        <v>0.14000000000000001</v>
      </c>
      <c r="DZ179" s="28" t="s">
        <v>178</v>
      </c>
      <c r="EA179" s="34">
        <v>43587</v>
      </c>
      <c r="EB179" s="29" t="s">
        <v>138</v>
      </c>
      <c r="EC179" s="34" t="s">
        <v>138</v>
      </c>
      <c r="ED179" s="28" t="s">
        <v>138</v>
      </c>
      <c r="EE179" s="40" t="str">
        <f>HYPERLINK("https://my.pitchbook.com?c=53816-95", "View company online")</f>
        <v>View company online</v>
      </c>
    </row>
    <row r="180" spans="1:135">
      <c r="A180" s="15" t="s">
        <v>4083</v>
      </c>
      <c r="B180" s="15" t="s">
        <v>4084</v>
      </c>
      <c r="C180" s="15" t="s">
        <v>138</v>
      </c>
      <c r="D180" s="15" t="s">
        <v>138</v>
      </c>
      <c r="E180" s="15" t="s">
        <v>4085</v>
      </c>
      <c r="F180" s="15" t="s">
        <v>4083</v>
      </c>
      <c r="G180" s="15" t="s">
        <v>4086</v>
      </c>
      <c r="H180" s="15" t="s">
        <v>238</v>
      </c>
      <c r="I180" s="15" t="s">
        <v>1018</v>
      </c>
      <c r="J180" s="15" t="s">
        <v>4087</v>
      </c>
      <c r="K180" s="15" t="s">
        <v>4088</v>
      </c>
      <c r="L180" s="15" t="s">
        <v>415</v>
      </c>
      <c r="M180" s="15" t="s">
        <v>4089</v>
      </c>
      <c r="N180" s="15" t="s">
        <v>147</v>
      </c>
      <c r="O180" s="17">
        <v>212.5</v>
      </c>
      <c r="P180" s="15" t="s">
        <v>148</v>
      </c>
      <c r="Q180" s="15" t="s">
        <v>149</v>
      </c>
      <c r="R180" s="15" t="s">
        <v>174</v>
      </c>
      <c r="S180" s="15" t="s">
        <v>4090</v>
      </c>
      <c r="T180" s="18">
        <v>3000</v>
      </c>
      <c r="U180" s="15" t="s">
        <v>4091</v>
      </c>
      <c r="V180" s="15" t="s">
        <v>138</v>
      </c>
      <c r="W180" s="15" t="s">
        <v>138</v>
      </c>
      <c r="X180" s="19">
        <v>2009</v>
      </c>
      <c r="Y180" s="15" t="s">
        <v>138</v>
      </c>
      <c r="Z180" s="15" t="s">
        <v>138</v>
      </c>
      <c r="AA180" s="15" t="s">
        <v>138</v>
      </c>
      <c r="AB180" s="20">
        <v>100</v>
      </c>
      <c r="AC180" s="20" t="s">
        <v>138</v>
      </c>
      <c r="AD180" s="20" t="s">
        <v>138</v>
      </c>
      <c r="AE180" s="20" t="s">
        <v>138</v>
      </c>
      <c r="AF180" s="20" t="s">
        <v>138</v>
      </c>
      <c r="AG180" s="15" t="s">
        <v>514</v>
      </c>
      <c r="AH180" s="20" t="s">
        <v>138</v>
      </c>
      <c r="AI180" s="20" t="s">
        <v>138</v>
      </c>
      <c r="AJ180" s="20" t="s">
        <v>138</v>
      </c>
      <c r="AK180" s="15" t="s">
        <v>4092</v>
      </c>
      <c r="AL180" s="15" t="s">
        <v>4093</v>
      </c>
      <c r="AM180" s="15" t="s">
        <v>249</v>
      </c>
      <c r="AN180" s="15" t="s">
        <v>4094</v>
      </c>
      <c r="AO180" s="15" t="s">
        <v>4095</v>
      </c>
      <c r="AP180" s="15" t="s">
        <v>2027</v>
      </c>
      <c r="AQ180" s="15" t="s">
        <v>4096</v>
      </c>
      <c r="AR180" s="15" t="s">
        <v>138</v>
      </c>
      <c r="AS180" s="15" t="s">
        <v>2030</v>
      </c>
      <c r="AT180" s="15" t="s">
        <v>2031</v>
      </c>
      <c r="AU180" s="15" t="s">
        <v>4097</v>
      </c>
      <c r="AV180" s="15" t="s">
        <v>162</v>
      </c>
      <c r="AW180" s="15" t="s">
        <v>4095</v>
      </c>
      <c r="AX180" s="15" t="s">
        <v>4098</v>
      </c>
      <c r="AY180" s="15" t="s">
        <v>4099</v>
      </c>
      <c r="AZ180" s="15" t="s">
        <v>164</v>
      </c>
      <c r="BA180" s="15" t="s">
        <v>165</v>
      </c>
      <c r="BB180" s="15" t="s">
        <v>4100</v>
      </c>
      <c r="BC180" s="15" t="s">
        <v>4101</v>
      </c>
      <c r="BD180" s="21">
        <v>4</v>
      </c>
      <c r="BE180" s="15" t="s">
        <v>138</v>
      </c>
      <c r="BF180" s="15" t="s">
        <v>138</v>
      </c>
      <c r="BG180" s="15" t="s">
        <v>138</v>
      </c>
      <c r="BH180" s="15" t="s">
        <v>4102</v>
      </c>
      <c r="BI180" s="15" t="s">
        <v>138</v>
      </c>
      <c r="BJ180" s="15" t="s">
        <v>138</v>
      </c>
      <c r="BK180" s="15" t="s">
        <v>290</v>
      </c>
      <c r="BL180" s="15" t="s">
        <v>4103</v>
      </c>
      <c r="BM180" s="22">
        <v>42688</v>
      </c>
      <c r="BN180" s="17">
        <v>45</v>
      </c>
      <c r="BO180" s="15" t="s">
        <v>172</v>
      </c>
      <c r="BP180" s="17" t="s">
        <v>138</v>
      </c>
      <c r="BQ180" s="15" t="s">
        <v>138</v>
      </c>
      <c r="BR180" s="15" t="s">
        <v>173</v>
      </c>
      <c r="BS180" s="15" t="s">
        <v>206</v>
      </c>
      <c r="BT180" s="15" t="s">
        <v>138</v>
      </c>
      <c r="BU180" s="15" t="s">
        <v>174</v>
      </c>
      <c r="BV180" s="15" t="s">
        <v>1328</v>
      </c>
      <c r="BW180" s="15" t="s">
        <v>138</v>
      </c>
      <c r="BX180" s="15" t="s">
        <v>138</v>
      </c>
      <c r="BY180" s="15" t="s">
        <v>175</v>
      </c>
      <c r="BZ180" s="22">
        <v>43391</v>
      </c>
      <c r="CA180" s="17">
        <v>64</v>
      </c>
      <c r="CB180" s="15" t="s">
        <v>172</v>
      </c>
      <c r="CC180" s="17" t="s">
        <v>138</v>
      </c>
      <c r="CD180" s="15" t="s">
        <v>138</v>
      </c>
      <c r="CE180" s="15" t="s">
        <v>173</v>
      </c>
      <c r="CF180" s="15" t="s">
        <v>207</v>
      </c>
      <c r="CG180" s="15" t="s">
        <v>138</v>
      </c>
      <c r="CH180" s="15" t="s">
        <v>174</v>
      </c>
      <c r="CI180" s="15" t="s">
        <v>138</v>
      </c>
      <c r="CJ180" s="15" t="s">
        <v>138</v>
      </c>
      <c r="CK180" s="15" t="s">
        <v>138</v>
      </c>
      <c r="CL180" s="15" t="s">
        <v>175</v>
      </c>
      <c r="CM180" s="22">
        <v>42688</v>
      </c>
      <c r="CN180" s="17" t="s">
        <v>138</v>
      </c>
      <c r="CO180" s="23">
        <v>1.02</v>
      </c>
      <c r="CP180" s="24">
        <v>97</v>
      </c>
      <c r="CQ180" s="23">
        <v>0.21</v>
      </c>
      <c r="CR180" s="23">
        <v>26.01</v>
      </c>
      <c r="CS180" s="23">
        <v>1.79</v>
      </c>
      <c r="CT180" s="24">
        <v>98</v>
      </c>
      <c r="CU180" s="23">
        <v>0.26</v>
      </c>
      <c r="CV180" s="24">
        <v>85</v>
      </c>
      <c r="CW180" s="23">
        <v>3.48</v>
      </c>
      <c r="CX180" s="24">
        <v>92</v>
      </c>
      <c r="CY180" s="23">
        <v>0.09</v>
      </c>
      <c r="CZ180" s="24">
        <v>98</v>
      </c>
      <c r="DA180" s="23">
        <v>0.16</v>
      </c>
      <c r="DB180" s="24">
        <v>79</v>
      </c>
      <c r="DC180" s="25">
        <v>188.36</v>
      </c>
      <c r="DD180" s="24">
        <v>100</v>
      </c>
      <c r="DE180" s="25">
        <v>-6.77</v>
      </c>
      <c r="DF180" s="23">
        <v>-3.47</v>
      </c>
      <c r="DG180" s="25">
        <v>261.12</v>
      </c>
      <c r="DH180" s="24">
        <v>100</v>
      </c>
      <c r="DI180" s="25">
        <v>115.6</v>
      </c>
      <c r="DJ180" s="24">
        <v>97</v>
      </c>
      <c r="DK180" s="25">
        <v>324.93</v>
      </c>
      <c r="DL180" s="24">
        <v>99</v>
      </c>
      <c r="DM180" s="25">
        <v>197.31</v>
      </c>
      <c r="DN180" s="24">
        <v>100</v>
      </c>
      <c r="DO180" s="25">
        <v>5.4</v>
      </c>
      <c r="DP180" s="24">
        <v>80</v>
      </c>
      <c r="DQ180" s="24">
        <v>109312</v>
      </c>
      <c r="DR180" s="26">
        <v>6413</v>
      </c>
      <c r="DS180" s="23">
        <v>6.23</v>
      </c>
      <c r="DT180" s="24">
        <v>5543</v>
      </c>
      <c r="DU180" s="26">
        <v>377</v>
      </c>
      <c r="DV180" s="23">
        <v>7.3</v>
      </c>
      <c r="DW180" s="24">
        <v>1931</v>
      </c>
      <c r="DX180" s="27">
        <v>4</v>
      </c>
      <c r="DY180" s="23">
        <v>0.21</v>
      </c>
      <c r="DZ180" s="15" t="s">
        <v>178</v>
      </c>
      <c r="EA180" s="22">
        <v>43622</v>
      </c>
      <c r="EB180" s="17" t="s">
        <v>138</v>
      </c>
      <c r="EC180" s="22" t="s">
        <v>138</v>
      </c>
      <c r="ED180" s="15" t="s">
        <v>138</v>
      </c>
      <c r="EE180" s="14" t="str">
        <f>HYPERLINK("https://my.pitchbook.com?c=103459-24", "View company online")</f>
        <v>View company online</v>
      </c>
    </row>
    <row r="181" spans="1:135">
      <c r="A181" s="28" t="s">
        <v>4104</v>
      </c>
      <c r="B181" s="28" t="s">
        <v>4105</v>
      </c>
      <c r="C181" s="28" t="s">
        <v>138</v>
      </c>
      <c r="D181" s="28" t="s">
        <v>4106</v>
      </c>
      <c r="E181" s="28" t="s">
        <v>138</v>
      </c>
      <c r="F181" s="28" t="s">
        <v>4104</v>
      </c>
      <c r="G181" s="28" t="s">
        <v>4107</v>
      </c>
      <c r="H181" s="28" t="s">
        <v>385</v>
      </c>
      <c r="I181" s="28" t="s">
        <v>1448</v>
      </c>
      <c r="J181" s="28" t="s">
        <v>4108</v>
      </c>
      <c r="K181" s="28" t="s">
        <v>4109</v>
      </c>
      <c r="L181" s="28" t="s">
        <v>1994</v>
      </c>
      <c r="M181" s="28" t="s">
        <v>4110</v>
      </c>
      <c r="N181" s="28" t="s">
        <v>147</v>
      </c>
      <c r="O181" s="29" t="s">
        <v>138</v>
      </c>
      <c r="P181" s="28" t="s">
        <v>148</v>
      </c>
      <c r="Q181" s="28" t="s">
        <v>149</v>
      </c>
      <c r="R181" s="28" t="s">
        <v>174</v>
      </c>
      <c r="S181" s="28" t="s">
        <v>4111</v>
      </c>
      <c r="T181" s="30" t="s">
        <v>138</v>
      </c>
      <c r="U181" s="28" t="s">
        <v>138</v>
      </c>
      <c r="V181" s="28" t="s">
        <v>138</v>
      </c>
      <c r="W181" s="28" t="s">
        <v>138</v>
      </c>
      <c r="X181" s="31">
        <v>2013</v>
      </c>
      <c r="Y181" s="28" t="s">
        <v>138</v>
      </c>
      <c r="Z181" s="28" t="s">
        <v>138</v>
      </c>
      <c r="AA181" s="28" t="s">
        <v>138</v>
      </c>
      <c r="AB181" s="32" t="s">
        <v>138</v>
      </c>
      <c r="AC181" s="32" t="s">
        <v>138</v>
      </c>
      <c r="AD181" s="32" t="s">
        <v>138</v>
      </c>
      <c r="AE181" s="32" t="s">
        <v>138</v>
      </c>
      <c r="AF181" s="32" t="s">
        <v>138</v>
      </c>
      <c r="AG181" s="28" t="s">
        <v>138</v>
      </c>
      <c r="AH181" s="32" t="s">
        <v>138</v>
      </c>
      <c r="AI181" s="32" t="s">
        <v>138</v>
      </c>
      <c r="AJ181" s="32" t="s">
        <v>138</v>
      </c>
      <c r="AK181" s="28" t="s">
        <v>4112</v>
      </c>
      <c r="AL181" s="28" t="s">
        <v>4113</v>
      </c>
      <c r="AM181" s="28" t="s">
        <v>4114</v>
      </c>
      <c r="AN181" s="28" t="s">
        <v>4115</v>
      </c>
      <c r="AO181" s="28" t="s">
        <v>138</v>
      </c>
      <c r="AP181" s="28" t="s">
        <v>4116</v>
      </c>
      <c r="AQ181" s="28" t="s">
        <v>4117</v>
      </c>
      <c r="AR181" s="28" t="s">
        <v>4118</v>
      </c>
      <c r="AS181" s="28" t="s">
        <v>4119</v>
      </c>
      <c r="AT181" s="28" t="s">
        <v>200</v>
      </c>
      <c r="AU181" s="28" t="s">
        <v>4120</v>
      </c>
      <c r="AV181" s="28" t="s">
        <v>162</v>
      </c>
      <c r="AW181" s="28" t="s">
        <v>138</v>
      </c>
      <c r="AX181" s="28" t="s">
        <v>138</v>
      </c>
      <c r="AY181" s="28" t="s">
        <v>4121</v>
      </c>
      <c r="AZ181" s="28" t="s">
        <v>164</v>
      </c>
      <c r="BA181" s="28" t="s">
        <v>165</v>
      </c>
      <c r="BB181" s="28" t="s">
        <v>4122</v>
      </c>
      <c r="BC181" s="28" t="s">
        <v>4123</v>
      </c>
      <c r="BD181" s="33">
        <v>3</v>
      </c>
      <c r="BE181" s="28" t="s">
        <v>138</v>
      </c>
      <c r="BF181" s="28" t="s">
        <v>138</v>
      </c>
      <c r="BG181" s="28" t="s">
        <v>138</v>
      </c>
      <c r="BH181" s="28" t="s">
        <v>4124</v>
      </c>
      <c r="BI181" s="28" t="s">
        <v>138</v>
      </c>
      <c r="BJ181" s="28" t="s">
        <v>138</v>
      </c>
      <c r="BK181" s="28" t="s">
        <v>4125</v>
      </c>
      <c r="BL181" s="28" t="s">
        <v>4125</v>
      </c>
      <c r="BM181" s="34">
        <v>41275</v>
      </c>
      <c r="BN181" s="29" t="s">
        <v>138</v>
      </c>
      <c r="BO181" s="28" t="s">
        <v>138</v>
      </c>
      <c r="BP181" s="29" t="s">
        <v>138</v>
      </c>
      <c r="BQ181" s="28" t="s">
        <v>138</v>
      </c>
      <c r="BR181" s="28" t="s">
        <v>234</v>
      </c>
      <c r="BS181" s="28" t="s">
        <v>234</v>
      </c>
      <c r="BT181" s="28" t="s">
        <v>138</v>
      </c>
      <c r="BU181" s="28" t="s">
        <v>174</v>
      </c>
      <c r="BV181" s="28" t="s">
        <v>138</v>
      </c>
      <c r="BW181" s="28" t="s">
        <v>138</v>
      </c>
      <c r="BX181" s="28" t="s">
        <v>138</v>
      </c>
      <c r="BY181" s="28" t="s">
        <v>175</v>
      </c>
      <c r="BZ181" s="34" t="s">
        <v>138</v>
      </c>
      <c r="CA181" s="29" t="s">
        <v>138</v>
      </c>
      <c r="CB181" s="28" t="s">
        <v>138</v>
      </c>
      <c r="CC181" s="29" t="s">
        <v>138</v>
      </c>
      <c r="CD181" s="28" t="s">
        <v>138</v>
      </c>
      <c r="CE181" s="28" t="s">
        <v>205</v>
      </c>
      <c r="CF181" s="28" t="s">
        <v>138</v>
      </c>
      <c r="CG181" s="28" t="s">
        <v>138</v>
      </c>
      <c r="CH181" s="28" t="s">
        <v>174</v>
      </c>
      <c r="CI181" s="28" t="s">
        <v>138</v>
      </c>
      <c r="CJ181" s="28" t="s">
        <v>138</v>
      </c>
      <c r="CK181" s="28" t="s">
        <v>138</v>
      </c>
      <c r="CL181" s="28" t="s">
        <v>175</v>
      </c>
      <c r="CM181" s="34" t="s">
        <v>138</v>
      </c>
      <c r="CN181" s="29" t="s">
        <v>138</v>
      </c>
      <c r="CO181" s="35">
        <v>0</v>
      </c>
      <c r="CP181" s="36">
        <v>26</v>
      </c>
      <c r="CQ181" s="35">
        <v>0</v>
      </c>
      <c r="CR181" s="35">
        <v>0</v>
      </c>
      <c r="CS181" s="35">
        <v>0</v>
      </c>
      <c r="CT181" s="36">
        <v>23</v>
      </c>
      <c r="CU181" s="35" t="s">
        <v>138</v>
      </c>
      <c r="CV181" s="36" t="s">
        <v>138</v>
      </c>
      <c r="CW181" s="35" t="s">
        <v>138</v>
      </c>
      <c r="CX181" s="36" t="s">
        <v>138</v>
      </c>
      <c r="CY181" s="35">
        <v>0</v>
      </c>
      <c r="CZ181" s="36">
        <v>25</v>
      </c>
      <c r="DA181" s="35" t="s">
        <v>138</v>
      </c>
      <c r="DB181" s="36" t="s">
        <v>138</v>
      </c>
      <c r="DC181" s="37">
        <v>0.31</v>
      </c>
      <c r="DD181" s="36">
        <v>23</v>
      </c>
      <c r="DE181" s="37">
        <v>0</v>
      </c>
      <c r="DF181" s="35">
        <v>0</v>
      </c>
      <c r="DG181" s="37">
        <v>0.31</v>
      </c>
      <c r="DH181" s="36">
        <v>23</v>
      </c>
      <c r="DI181" s="37" t="s">
        <v>138</v>
      </c>
      <c r="DJ181" s="36" t="s">
        <v>138</v>
      </c>
      <c r="DK181" s="37" t="s">
        <v>138</v>
      </c>
      <c r="DL181" s="36" t="s">
        <v>138</v>
      </c>
      <c r="DM181" s="37">
        <v>0.31</v>
      </c>
      <c r="DN181" s="36">
        <v>24</v>
      </c>
      <c r="DO181" s="37" t="s">
        <v>138</v>
      </c>
      <c r="DP181" s="36" t="s">
        <v>138</v>
      </c>
      <c r="DQ181" s="36" t="s">
        <v>138</v>
      </c>
      <c r="DR181" s="38" t="s">
        <v>138</v>
      </c>
      <c r="DS181" s="35" t="s">
        <v>138</v>
      </c>
      <c r="DT181" s="36">
        <v>9</v>
      </c>
      <c r="DU181" s="38">
        <v>0</v>
      </c>
      <c r="DV181" s="35">
        <v>0</v>
      </c>
      <c r="DW181" s="36" t="s">
        <v>138</v>
      </c>
      <c r="DX181" s="39" t="s">
        <v>138</v>
      </c>
      <c r="DY181" s="35" t="s">
        <v>138</v>
      </c>
      <c r="DZ181" s="28" t="s">
        <v>178</v>
      </c>
      <c r="EA181" s="34">
        <v>43550</v>
      </c>
      <c r="EB181" s="29" t="s">
        <v>138</v>
      </c>
      <c r="EC181" s="34" t="s">
        <v>138</v>
      </c>
      <c r="ED181" s="28" t="s">
        <v>138</v>
      </c>
      <c r="EE181" s="40" t="str">
        <f>HYPERLINK("https://my.pitchbook.com?c=104765-50", "View company online")</f>
        <v>View company online</v>
      </c>
    </row>
    <row r="182" spans="1:135">
      <c r="A182" s="15" t="s">
        <v>4126</v>
      </c>
      <c r="B182" s="15" t="s">
        <v>4127</v>
      </c>
      <c r="C182" s="15" t="s">
        <v>138</v>
      </c>
      <c r="D182" s="15" t="s">
        <v>4128</v>
      </c>
      <c r="E182" s="15" t="s">
        <v>138</v>
      </c>
      <c r="F182" s="15" t="s">
        <v>4126</v>
      </c>
      <c r="G182" s="15" t="s">
        <v>4129</v>
      </c>
      <c r="H182" s="15" t="s">
        <v>141</v>
      </c>
      <c r="I182" s="15" t="s">
        <v>212</v>
      </c>
      <c r="J182" s="15" t="s">
        <v>486</v>
      </c>
      <c r="K182" s="15" t="s">
        <v>4130</v>
      </c>
      <c r="L182" s="15" t="s">
        <v>4131</v>
      </c>
      <c r="M182" s="15" t="s">
        <v>4132</v>
      </c>
      <c r="N182" s="15" t="s">
        <v>147</v>
      </c>
      <c r="O182" s="17" t="s">
        <v>138</v>
      </c>
      <c r="P182" s="15" t="s">
        <v>148</v>
      </c>
      <c r="Q182" s="15" t="s">
        <v>149</v>
      </c>
      <c r="R182" s="15" t="s">
        <v>174</v>
      </c>
      <c r="S182" s="15" t="s">
        <v>4133</v>
      </c>
      <c r="T182" s="18" t="s">
        <v>138</v>
      </c>
      <c r="U182" s="15" t="s">
        <v>138</v>
      </c>
      <c r="V182" s="15" t="s">
        <v>138</v>
      </c>
      <c r="W182" s="15" t="s">
        <v>138</v>
      </c>
      <c r="X182" s="19">
        <v>2014</v>
      </c>
      <c r="Y182" s="15" t="s">
        <v>138</v>
      </c>
      <c r="Z182" s="15" t="s">
        <v>138</v>
      </c>
      <c r="AA182" s="15" t="s">
        <v>138</v>
      </c>
      <c r="AB182" s="20" t="s">
        <v>138</v>
      </c>
      <c r="AC182" s="20" t="s">
        <v>138</v>
      </c>
      <c r="AD182" s="20" t="s">
        <v>138</v>
      </c>
      <c r="AE182" s="20" t="s">
        <v>138</v>
      </c>
      <c r="AF182" s="20" t="s">
        <v>138</v>
      </c>
      <c r="AG182" s="15" t="s">
        <v>138</v>
      </c>
      <c r="AH182" s="20" t="s">
        <v>138</v>
      </c>
      <c r="AI182" s="20" t="s">
        <v>138</v>
      </c>
      <c r="AJ182" s="20" t="s">
        <v>138</v>
      </c>
      <c r="AK182" s="15" t="s">
        <v>138</v>
      </c>
      <c r="AL182" s="15" t="s">
        <v>138</v>
      </c>
      <c r="AM182" s="15" t="s">
        <v>138</v>
      </c>
      <c r="AN182" s="15" t="s">
        <v>138</v>
      </c>
      <c r="AO182" s="15" t="s">
        <v>138</v>
      </c>
      <c r="AP182" s="15" t="s">
        <v>446</v>
      </c>
      <c r="AQ182" s="15" t="s">
        <v>4134</v>
      </c>
      <c r="AR182" s="15" t="s">
        <v>4135</v>
      </c>
      <c r="AS182" s="15" t="s">
        <v>449</v>
      </c>
      <c r="AT182" s="15" t="s">
        <v>4136</v>
      </c>
      <c r="AU182" s="15" t="s">
        <v>3273</v>
      </c>
      <c r="AV182" s="15" t="s">
        <v>450</v>
      </c>
      <c r="AW182" s="15" t="s">
        <v>4137</v>
      </c>
      <c r="AX182" s="15" t="s">
        <v>138</v>
      </c>
      <c r="AY182" s="15" t="s">
        <v>138</v>
      </c>
      <c r="AZ182" s="15" t="s">
        <v>452</v>
      </c>
      <c r="BA182" s="15" t="s">
        <v>453</v>
      </c>
      <c r="BB182" s="15" t="s">
        <v>4138</v>
      </c>
      <c r="BC182" s="15" t="s">
        <v>455</v>
      </c>
      <c r="BD182" s="21">
        <v>1</v>
      </c>
      <c r="BE182" s="15" t="s">
        <v>138</v>
      </c>
      <c r="BF182" s="15" t="s">
        <v>138</v>
      </c>
      <c r="BG182" s="15" t="s">
        <v>138</v>
      </c>
      <c r="BH182" s="15" t="s">
        <v>456</v>
      </c>
      <c r="BI182" s="15" t="s">
        <v>138</v>
      </c>
      <c r="BJ182" s="15" t="s">
        <v>138</v>
      </c>
      <c r="BK182" s="15" t="s">
        <v>138</v>
      </c>
      <c r="BL182" s="15" t="s">
        <v>138</v>
      </c>
      <c r="BM182" s="22">
        <v>43282</v>
      </c>
      <c r="BN182" s="17" t="s">
        <v>138</v>
      </c>
      <c r="BO182" s="15" t="s">
        <v>138</v>
      </c>
      <c r="BP182" s="17" t="s">
        <v>138</v>
      </c>
      <c r="BQ182" s="15" t="s">
        <v>138</v>
      </c>
      <c r="BR182" s="15" t="s">
        <v>205</v>
      </c>
      <c r="BS182" s="15" t="s">
        <v>138</v>
      </c>
      <c r="BT182" s="15" t="s">
        <v>138</v>
      </c>
      <c r="BU182" s="15" t="s">
        <v>174</v>
      </c>
      <c r="BV182" s="15" t="s">
        <v>138</v>
      </c>
      <c r="BW182" s="15" t="s">
        <v>138</v>
      </c>
      <c r="BX182" s="15" t="s">
        <v>138</v>
      </c>
      <c r="BY182" s="15" t="s">
        <v>175</v>
      </c>
      <c r="BZ182" s="22">
        <v>43282</v>
      </c>
      <c r="CA182" s="17" t="s">
        <v>138</v>
      </c>
      <c r="CB182" s="15" t="s">
        <v>138</v>
      </c>
      <c r="CC182" s="17" t="s">
        <v>138</v>
      </c>
      <c r="CD182" s="15" t="s">
        <v>138</v>
      </c>
      <c r="CE182" s="15" t="s">
        <v>205</v>
      </c>
      <c r="CF182" s="15" t="s">
        <v>138</v>
      </c>
      <c r="CG182" s="15" t="s">
        <v>138</v>
      </c>
      <c r="CH182" s="15" t="s">
        <v>174</v>
      </c>
      <c r="CI182" s="15" t="s">
        <v>138</v>
      </c>
      <c r="CJ182" s="15" t="s">
        <v>138</v>
      </c>
      <c r="CK182" s="15" t="s">
        <v>138</v>
      </c>
      <c r="CL182" s="15" t="s">
        <v>175</v>
      </c>
      <c r="CM182" s="22" t="s">
        <v>138</v>
      </c>
      <c r="CN182" s="17" t="s">
        <v>138</v>
      </c>
      <c r="CO182" s="23">
        <v>0</v>
      </c>
      <c r="CP182" s="24">
        <v>26</v>
      </c>
      <c r="CQ182" s="23">
        <v>0</v>
      </c>
      <c r="CR182" s="23">
        <v>0</v>
      </c>
      <c r="CS182" s="23">
        <v>0</v>
      </c>
      <c r="CT182" s="24">
        <v>23</v>
      </c>
      <c r="CU182" s="23" t="s">
        <v>138</v>
      </c>
      <c r="CV182" s="24" t="s">
        <v>138</v>
      </c>
      <c r="CW182" s="23" t="s">
        <v>138</v>
      </c>
      <c r="CX182" s="24" t="s">
        <v>138</v>
      </c>
      <c r="CY182" s="23">
        <v>0</v>
      </c>
      <c r="CZ182" s="24">
        <v>25</v>
      </c>
      <c r="DA182" s="23" t="s">
        <v>138</v>
      </c>
      <c r="DB182" s="24" t="s">
        <v>138</v>
      </c>
      <c r="DC182" s="25">
        <v>0.38</v>
      </c>
      <c r="DD182" s="24">
        <v>27</v>
      </c>
      <c r="DE182" s="25">
        <v>-0.03</v>
      </c>
      <c r="DF182" s="23">
        <v>-8.33</v>
      </c>
      <c r="DG182" s="25">
        <v>0.38</v>
      </c>
      <c r="DH182" s="24">
        <v>27</v>
      </c>
      <c r="DI182" s="25" t="s">
        <v>138</v>
      </c>
      <c r="DJ182" s="24" t="s">
        <v>138</v>
      </c>
      <c r="DK182" s="25" t="s">
        <v>138</v>
      </c>
      <c r="DL182" s="24" t="s">
        <v>138</v>
      </c>
      <c r="DM182" s="25">
        <v>0.38</v>
      </c>
      <c r="DN182" s="24">
        <v>28</v>
      </c>
      <c r="DO182" s="25" t="s">
        <v>138</v>
      </c>
      <c r="DP182" s="24" t="s">
        <v>138</v>
      </c>
      <c r="DQ182" s="24" t="s">
        <v>138</v>
      </c>
      <c r="DR182" s="26" t="s">
        <v>138</v>
      </c>
      <c r="DS182" s="23" t="s">
        <v>138</v>
      </c>
      <c r="DT182" s="24">
        <v>11</v>
      </c>
      <c r="DU182" s="26">
        <v>-1</v>
      </c>
      <c r="DV182" s="23">
        <v>-8.33</v>
      </c>
      <c r="DW182" s="24" t="s">
        <v>138</v>
      </c>
      <c r="DX182" s="27" t="s">
        <v>138</v>
      </c>
      <c r="DY182" s="23" t="s">
        <v>138</v>
      </c>
      <c r="DZ182" s="15" t="s">
        <v>178</v>
      </c>
      <c r="EA182" s="22">
        <v>43351</v>
      </c>
      <c r="EB182" s="17" t="s">
        <v>138</v>
      </c>
      <c r="EC182" s="22" t="s">
        <v>138</v>
      </c>
      <c r="ED182" s="15" t="s">
        <v>138</v>
      </c>
      <c r="EE182" s="14" t="str">
        <f>HYPERLINK("https://my.pitchbook.com?c=231936-49", "View company online")</f>
        <v>View company online</v>
      </c>
    </row>
    <row r="183" spans="1:135">
      <c r="A183" s="28" t="s">
        <v>4139</v>
      </c>
      <c r="B183" s="28" t="s">
        <v>4140</v>
      </c>
      <c r="C183" s="28" t="s">
        <v>138</v>
      </c>
      <c r="D183" s="28" t="s">
        <v>4141</v>
      </c>
      <c r="E183" s="28" t="s">
        <v>138</v>
      </c>
      <c r="F183" s="28" t="s">
        <v>4139</v>
      </c>
      <c r="G183" s="28" t="s">
        <v>4142</v>
      </c>
      <c r="H183" s="28" t="s">
        <v>322</v>
      </c>
      <c r="I183" s="28" t="s">
        <v>323</v>
      </c>
      <c r="J183" s="28" t="s">
        <v>954</v>
      </c>
      <c r="K183" s="28" t="s">
        <v>4143</v>
      </c>
      <c r="L183" s="28" t="s">
        <v>138</v>
      </c>
      <c r="M183" s="28" t="s">
        <v>4144</v>
      </c>
      <c r="N183" s="28" t="s">
        <v>147</v>
      </c>
      <c r="O183" s="29">
        <v>2</v>
      </c>
      <c r="P183" s="28" t="s">
        <v>148</v>
      </c>
      <c r="Q183" s="28" t="s">
        <v>149</v>
      </c>
      <c r="R183" s="28" t="s">
        <v>174</v>
      </c>
      <c r="S183" s="28" t="s">
        <v>4145</v>
      </c>
      <c r="T183" s="30" t="s">
        <v>138</v>
      </c>
      <c r="U183" s="28" t="s">
        <v>138</v>
      </c>
      <c r="V183" s="28" t="s">
        <v>138</v>
      </c>
      <c r="W183" s="28" t="s">
        <v>138</v>
      </c>
      <c r="X183" s="31">
        <v>2008</v>
      </c>
      <c r="Y183" s="28" t="s">
        <v>138</v>
      </c>
      <c r="Z183" s="28" t="s">
        <v>138</v>
      </c>
      <c r="AA183" s="28" t="s">
        <v>138</v>
      </c>
      <c r="AB183" s="32" t="s">
        <v>138</v>
      </c>
      <c r="AC183" s="32" t="s">
        <v>138</v>
      </c>
      <c r="AD183" s="32" t="s">
        <v>138</v>
      </c>
      <c r="AE183" s="32" t="s">
        <v>138</v>
      </c>
      <c r="AF183" s="32" t="s">
        <v>138</v>
      </c>
      <c r="AG183" s="28" t="s">
        <v>138</v>
      </c>
      <c r="AH183" s="32" t="s">
        <v>138</v>
      </c>
      <c r="AI183" s="32" t="s">
        <v>138</v>
      </c>
      <c r="AJ183" s="32" t="s">
        <v>138</v>
      </c>
      <c r="AK183" s="28" t="s">
        <v>4146</v>
      </c>
      <c r="AL183" s="28" t="s">
        <v>4147</v>
      </c>
      <c r="AM183" s="28" t="s">
        <v>636</v>
      </c>
      <c r="AN183" s="28" t="s">
        <v>4148</v>
      </c>
      <c r="AO183" s="28" t="s">
        <v>4149</v>
      </c>
      <c r="AP183" s="28" t="s">
        <v>1168</v>
      </c>
      <c r="AQ183" s="28" t="s">
        <v>4150</v>
      </c>
      <c r="AR183" s="28" t="s">
        <v>4151</v>
      </c>
      <c r="AS183" s="28" t="s">
        <v>1171</v>
      </c>
      <c r="AT183" s="28" t="s">
        <v>200</v>
      </c>
      <c r="AU183" s="28" t="s">
        <v>4152</v>
      </c>
      <c r="AV183" s="28" t="s">
        <v>162</v>
      </c>
      <c r="AW183" s="28" t="s">
        <v>4153</v>
      </c>
      <c r="AX183" s="28" t="s">
        <v>138</v>
      </c>
      <c r="AY183" s="28" t="s">
        <v>4154</v>
      </c>
      <c r="AZ183" s="28" t="s">
        <v>164</v>
      </c>
      <c r="BA183" s="28" t="s">
        <v>165</v>
      </c>
      <c r="BB183" s="28" t="s">
        <v>4155</v>
      </c>
      <c r="BC183" s="28" t="s">
        <v>4156</v>
      </c>
      <c r="BD183" s="33">
        <v>5</v>
      </c>
      <c r="BE183" s="28" t="s">
        <v>138</v>
      </c>
      <c r="BF183" s="28" t="s">
        <v>4157</v>
      </c>
      <c r="BG183" s="28" t="s">
        <v>138</v>
      </c>
      <c r="BH183" s="28" t="s">
        <v>4158</v>
      </c>
      <c r="BI183" s="28" t="s">
        <v>4159</v>
      </c>
      <c r="BJ183" s="28" t="s">
        <v>138</v>
      </c>
      <c r="BK183" s="28" t="s">
        <v>138</v>
      </c>
      <c r="BL183" s="28" t="s">
        <v>1251</v>
      </c>
      <c r="BM183" s="34">
        <v>42361</v>
      </c>
      <c r="BN183" s="29">
        <v>2</v>
      </c>
      <c r="BO183" s="28" t="s">
        <v>172</v>
      </c>
      <c r="BP183" s="29" t="s">
        <v>138</v>
      </c>
      <c r="BQ183" s="28" t="s">
        <v>138</v>
      </c>
      <c r="BR183" s="28" t="s">
        <v>173</v>
      </c>
      <c r="BS183" s="28" t="s">
        <v>138</v>
      </c>
      <c r="BT183" s="28" t="s">
        <v>138</v>
      </c>
      <c r="BU183" s="28" t="s">
        <v>174</v>
      </c>
      <c r="BV183" s="28" t="s">
        <v>138</v>
      </c>
      <c r="BW183" s="28" t="s">
        <v>138</v>
      </c>
      <c r="BX183" s="28" t="s">
        <v>138</v>
      </c>
      <c r="BY183" s="28" t="s">
        <v>175</v>
      </c>
      <c r="BZ183" s="34">
        <v>43484</v>
      </c>
      <c r="CA183" s="29" t="s">
        <v>138</v>
      </c>
      <c r="CB183" s="28" t="s">
        <v>138</v>
      </c>
      <c r="CC183" s="29" t="s">
        <v>138</v>
      </c>
      <c r="CD183" s="28" t="s">
        <v>138</v>
      </c>
      <c r="CE183" s="28" t="s">
        <v>262</v>
      </c>
      <c r="CF183" s="28" t="s">
        <v>262</v>
      </c>
      <c r="CG183" s="28" t="s">
        <v>138</v>
      </c>
      <c r="CH183" s="28" t="s">
        <v>263</v>
      </c>
      <c r="CI183" s="28" t="s">
        <v>138</v>
      </c>
      <c r="CJ183" s="28" t="s">
        <v>138</v>
      </c>
      <c r="CK183" s="28" t="s">
        <v>138</v>
      </c>
      <c r="CL183" s="28" t="s">
        <v>175</v>
      </c>
      <c r="CM183" s="34" t="s">
        <v>138</v>
      </c>
      <c r="CN183" s="29" t="s">
        <v>138</v>
      </c>
      <c r="CO183" s="35">
        <v>0.36</v>
      </c>
      <c r="CP183" s="36">
        <v>94</v>
      </c>
      <c r="CQ183" s="35">
        <v>0</v>
      </c>
      <c r="CR183" s="35">
        <v>-0.44</v>
      </c>
      <c r="CS183" s="35">
        <v>0.57999999999999996</v>
      </c>
      <c r="CT183" s="36">
        <v>96</v>
      </c>
      <c r="CU183" s="35">
        <v>0.15</v>
      </c>
      <c r="CV183" s="36">
        <v>75</v>
      </c>
      <c r="CW183" s="35">
        <v>0.57999999999999996</v>
      </c>
      <c r="CX183" s="36">
        <v>83</v>
      </c>
      <c r="CY183" s="35" t="s">
        <v>138</v>
      </c>
      <c r="CZ183" s="36" t="s">
        <v>138</v>
      </c>
      <c r="DA183" s="35">
        <v>0.14000000000000001</v>
      </c>
      <c r="DB183" s="36">
        <v>77</v>
      </c>
      <c r="DC183" s="37">
        <v>55.57</v>
      </c>
      <c r="DD183" s="36">
        <v>98</v>
      </c>
      <c r="DE183" s="37">
        <v>-5.32</v>
      </c>
      <c r="DF183" s="35">
        <v>-8.74</v>
      </c>
      <c r="DG183" s="37">
        <v>83.99</v>
      </c>
      <c r="DH183" s="36">
        <v>99</v>
      </c>
      <c r="DI183" s="37">
        <v>27.15</v>
      </c>
      <c r="DJ183" s="36">
        <v>92</v>
      </c>
      <c r="DK183" s="37">
        <v>83.99</v>
      </c>
      <c r="DL183" s="36">
        <v>97</v>
      </c>
      <c r="DM183" s="37" t="s">
        <v>138</v>
      </c>
      <c r="DN183" s="36" t="s">
        <v>138</v>
      </c>
      <c r="DO183" s="37">
        <v>39.61</v>
      </c>
      <c r="DP183" s="36">
        <v>96</v>
      </c>
      <c r="DQ183" s="36">
        <v>28844</v>
      </c>
      <c r="DR183" s="38">
        <v>-110</v>
      </c>
      <c r="DS183" s="35">
        <v>-0.38</v>
      </c>
      <c r="DT183" s="36" t="s">
        <v>138</v>
      </c>
      <c r="DU183" s="38" t="s">
        <v>138</v>
      </c>
      <c r="DV183" s="35" t="s">
        <v>138</v>
      </c>
      <c r="DW183" s="36">
        <v>14166</v>
      </c>
      <c r="DX183" s="39">
        <v>8</v>
      </c>
      <c r="DY183" s="35">
        <v>0.06</v>
      </c>
      <c r="DZ183" s="28" t="s">
        <v>178</v>
      </c>
      <c r="EA183" s="34">
        <v>43551</v>
      </c>
      <c r="EB183" s="29" t="s">
        <v>138</v>
      </c>
      <c r="EC183" s="34" t="s">
        <v>138</v>
      </c>
      <c r="ED183" s="28" t="s">
        <v>138</v>
      </c>
      <c r="EE183" s="40" t="str">
        <f>HYPERLINK("https://my.pitchbook.com?c=150267-70", "View company online")</f>
        <v>View company online</v>
      </c>
    </row>
    <row r="184" spans="1:135">
      <c r="A184" s="15" t="s">
        <v>4160</v>
      </c>
      <c r="B184" s="15" t="s">
        <v>4161</v>
      </c>
      <c r="C184" s="15" t="s">
        <v>138</v>
      </c>
      <c r="D184" s="15" t="s">
        <v>138</v>
      </c>
      <c r="E184" s="15" t="s">
        <v>4162</v>
      </c>
      <c r="F184" s="15" t="s">
        <v>4160</v>
      </c>
      <c r="G184" s="15" t="s">
        <v>4163</v>
      </c>
      <c r="H184" s="15" t="s">
        <v>322</v>
      </c>
      <c r="I184" s="15" t="s">
        <v>323</v>
      </c>
      <c r="J184" s="15" t="s">
        <v>413</v>
      </c>
      <c r="K184" s="15" t="s">
        <v>4164</v>
      </c>
      <c r="L184" s="15" t="s">
        <v>4165</v>
      </c>
      <c r="M184" s="15" t="s">
        <v>4166</v>
      </c>
      <c r="N184" s="15" t="s">
        <v>147</v>
      </c>
      <c r="O184" s="17">
        <v>10</v>
      </c>
      <c r="P184" s="15" t="s">
        <v>148</v>
      </c>
      <c r="Q184" s="15" t="s">
        <v>149</v>
      </c>
      <c r="R184" s="15" t="s">
        <v>150</v>
      </c>
      <c r="S184" s="15" t="s">
        <v>4167</v>
      </c>
      <c r="T184" s="18">
        <v>50</v>
      </c>
      <c r="U184" s="15" t="s">
        <v>4168</v>
      </c>
      <c r="V184" s="15" t="s">
        <v>138</v>
      </c>
      <c r="W184" s="15" t="s">
        <v>138</v>
      </c>
      <c r="X184" s="19">
        <v>2017</v>
      </c>
      <c r="Y184" s="15" t="s">
        <v>138</v>
      </c>
      <c r="Z184" s="15" t="s">
        <v>138</v>
      </c>
      <c r="AA184" s="15" t="s">
        <v>138</v>
      </c>
      <c r="AB184" s="20" t="s">
        <v>138</v>
      </c>
      <c r="AC184" s="20" t="s">
        <v>138</v>
      </c>
      <c r="AD184" s="20" t="s">
        <v>138</v>
      </c>
      <c r="AE184" s="20" t="s">
        <v>138</v>
      </c>
      <c r="AF184" s="20" t="s">
        <v>138</v>
      </c>
      <c r="AG184" s="15" t="s">
        <v>138</v>
      </c>
      <c r="AH184" s="20" t="s">
        <v>138</v>
      </c>
      <c r="AI184" s="20" t="s">
        <v>138</v>
      </c>
      <c r="AJ184" s="20" t="s">
        <v>138</v>
      </c>
      <c r="AK184" s="15" t="s">
        <v>4169</v>
      </c>
      <c r="AL184" s="15" t="s">
        <v>4170</v>
      </c>
      <c r="AM184" s="15" t="s">
        <v>566</v>
      </c>
      <c r="AN184" s="15" t="s">
        <v>4171</v>
      </c>
      <c r="AO184" s="15" t="s">
        <v>138</v>
      </c>
      <c r="AP184" s="15" t="s">
        <v>1659</v>
      </c>
      <c r="AQ184" s="15" t="s">
        <v>4172</v>
      </c>
      <c r="AR184" s="15" t="s">
        <v>4173</v>
      </c>
      <c r="AS184" s="15" t="s">
        <v>1661</v>
      </c>
      <c r="AT184" s="15" t="s">
        <v>1389</v>
      </c>
      <c r="AU184" s="15" t="s">
        <v>1662</v>
      </c>
      <c r="AV184" s="15" t="s">
        <v>162</v>
      </c>
      <c r="AW184" s="15" t="s">
        <v>138</v>
      </c>
      <c r="AX184" s="15" t="s">
        <v>138</v>
      </c>
      <c r="AY184" s="15" t="s">
        <v>4174</v>
      </c>
      <c r="AZ184" s="15" t="s">
        <v>164</v>
      </c>
      <c r="BA184" s="15" t="s">
        <v>165</v>
      </c>
      <c r="BB184" s="15" t="s">
        <v>4175</v>
      </c>
      <c r="BC184" s="15" t="s">
        <v>4176</v>
      </c>
      <c r="BD184" s="21">
        <v>4</v>
      </c>
      <c r="BE184" s="15" t="s">
        <v>138</v>
      </c>
      <c r="BF184" s="15" t="s">
        <v>138</v>
      </c>
      <c r="BG184" s="15" t="s">
        <v>4177</v>
      </c>
      <c r="BH184" s="15" t="s">
        <v>4178</v>
      </c>
      <c r="BI184" s="15" t="s">
        <v>138</v>
      </c>
      <c r="BJ184" s="15" t="s">
        <v>4179</v>
      </c>
      <c r="BK184" s="15" t="s">
        <v>138</v>
      </c>
      <c r="BL184" s="15" t="s">
        <v>290</v>
      </c>
      <c r="BM184" s="22">
        <v>43045</v>
      </c>
      <c r="BN184" s="17">
        <v>10</v>
      </c>
      <c r="BO184" s="15" t="s">
        <v>172</v>
      </c>
      <c r="BP184" s="17">
        <v>17</v>
      </c>
      <c r="BQ184" s="15" t="s">
        <v>172</v>
      </c>
      <c r="BR184" s="15" t="s">
        <v>205</v>
      </c>
      <c r="BS184" s="15" t="s">
        <v>206</v>
      </c>
      <c r="BT184" s="15" t="s">
        <v>138</v>
      </c>
      <c r="BU184" s="15" t="s">
        <v>174</v>
      </c>
      <c r="BV184" s="15" t="s">
        <v>138</v>
      </c>
      <c r="BW184" s="15" t="s">
        <v>138</v>
      </c>
      <c r="BX184" s="15" t="s">
        <v>138</v>
      </c>
      <c r="BY184" s="15" t="s">
        <v>175</v>
      </c>
      <c r="BZ184" s="22">
        <v>43509</v>
      </c>
      <c r="CA184" s="17">
        <v>200</v>
      </c>
      <c r="CB184" s="15" t="s">
        <v>1178</v>
      </c>
      <c r="CC184" s="17">
        <v>200</v>
      </c>
      <c r="CD184" s="15" t="s">
        <v>1178</v>
      </c>
      <c r="CE184" s="15" t="s">
        <v>2228</v>
      </c>
      <c r="CF184" s="15" t="s">
        <v>138</v>
      </c>
      <c r="CG184" s="15" t="s">
        <v>138</v>
      </c>
      <c r="CH184" s="15" t="s">
        <v>780</v>
      </c>
      <c r="CI184" s="15" t="s">
        <v>138</v>
      </c>
      <c r="CJ184" s="15" t="s">
        <v>138</v>
      </c>
      <c r="CK184" s="15" t="s">
        <v>138</v>
      </c>
      <c r="CL184" s="15" t="s">
        <v>352</v>
      </c>
      <c r="CM184" s="22" t="s">
        <v>138</v>
      </c>
      <c r="CN184" s="17" t="s">
        <v>138</v>
      </c>
      <c r="CO184" s="23">
        <v>0.37</v>
      </c>
      <c r="CP184" s="24">
        <v>94</v>
      </c>
      <c r="CQ184" s="23">
        <v>-0.05</v>
      </c>
      <c r="CR184" s="23">
        <v>-11.83</v>
      </c>
      <c r="CS184" s="23">
        <v>0</v>
      </c>
      <c r="CT184" s="24">
        <v>23</v>
      </c>
      <c r="CU184" s="23">
        <v>0.75</v>
      </c>
      <c r="CV184" s="24">
        <v>97</v>
      </c>
      <c r="CW184" s="23">
        <v>0</v>
      </c>
      <c r="CX184" s="24">
        <v>13</v>
      </c>
      <c r="CY184" s="23">
        <v>0</v>
      </c>
      <c r="CZ184" s="24">
        <v>25</v>
      </c>
      <c r="DA184" s="23">
        <v>1.01</v>
      </c>
      <c r="DB184" s="24">
        <v>98</v>
      </c>
      <c r="DC184" s="25">
        <v>1.05</v>
      </c>
      <c r="DD184" s="24">
        <v>52</v>
      </c>
      <c r="DE184" s="25">
        <v>-0.03</v>
      </c>
      <c r="DF184" s="23">
        <v>-2.91</v>
      </c>
      <c r="DG184" s="25">
        <v>1.83</v>
      </c>
      <c r="DH184" s="24">
        <v>65</v>
      </c>
      <c r="DI184" s="25">
        <v>0.26</v>
      </c>
      <c r="DJ184" s="24">
        <v>26</v>
      </c>
      <c r="DK184" s="25">
        <v>1.29</v>
      </c>
      <c r="DL184" s="24">
        <v>56</v>
      </c>
      <c r="DM184" s="25">
        <v>2.38</v>
      </c>
      <c r="DN184" s="24">
        <v>69</v>
      </c>
      <c r="DO184" s="25">
        <v>0.4</v>
      </c>
      <c r="DP184" s="24">
        <v>34</v>
      </c>
      <c r="DQ184" s="24">
        <v>423</v>
      </c>
      <c r="DR184" s="26">
        <v>53</v>
      </c>
      <c r="DS184" s="23">
        <v>14.32</v>
      </c>
      <c r="DT184" s="24">
        <v>68</v>
      </c>
      <c r="DU184" s="26">
        <v>0</v>
      </c>
      <c r="DV184" s="23">
        <v>0</v>
      </c>
      <c r="DW184" s="24">
        <v>144</v>
      </c>
      <c r="DX184" s="27">
        <v>1</v>
      </c>
      <c r="DY184" s="23">
        <v>0.7</v>
      </c>
      <c r="DZ184" s="15" t="s">
        <v>178</v>
      </c>
      <c r="EA184" s="22">
        <v>43594</v>
      </c>
      <c r="EB184" s="17">
        <v>200</v>
      </c>
      <c r="EC184" s="22">
        <v>43509</v>
      </c>
      <c r="ED184" s="15" t="s">
        <v>2228</v>
      </c>
      <c r="EE184" s="14" t="str">
        <f>HYPERLINK("https://my.pitchbook.com?c=186569-56", "View company online")</f>
        <v>View company online</v>
      </c>
    </row>
    <row r="185" spans="1:135">
      <c r="A185" s="28" t="s">
        <v>4180</v>
      </c>
      <c r="B185" s="28" t="s">
        <v>4181</v>
      </c>
      <c r="C185" s="28" t="s">
        <v>138</v>
      </c>
      <c r="D185" s="28" t="s">
        <v>138</v>
      </c>
      <c r="E185" s="28" t="s">
        <v>4182</v>
      </c>
      <c r="F185" s="28" t="s">
        <v>4180</v>
      </c>
      <c r="G185" s="28" t="s">
        <v>4183</v>
      </c>
      <c r="H185" s="28" t="s">
        <v>183</v>
      </c>
      <c r="I185" s="28" t="s">
        <v>3466</v>
      </c>
      <c r="J185" s="28" t="s">
        <v>4184</v>
      </c>
      <c r="K185" s="28" t="s">
        <v>4185</v>
      </c>
      <c r="L185" s="28" t="s">
        <v>4186</v>
      </c>
      <c r="M185" s="28" t="s">
        <v>4187</v>
      </c>
      <c r="N185" s="28" t="s">
        <v>147</v>
      </c>
      <c r="O185" s="29">
        <v>4</v>
      </c>
      <c r="P185" s="28" t="s">
        <v>148</v>
      </c>
      <c r="Q185" s="28" t="s">
        <v>149</v>
      </c>
      <c r="R185" s="28" t="s">
        <v>244</v>
      </c>
      <c r="S185" s="28" t="s">
        <v>4188</v>
      </c>
      <c r="T185" s="30">
        <v>8</v>
      </c>
      <c r="U185" s="28" t="s">
        <v>4189</v>
      </c>
      <c r="V185" s="28" t="s">
        <v>138</v>
      </c>
      <c r="W185" s="28" t="s">
        <v>138</v>
      </c>
      <c r="X185" s="31">
        <v>2010</v>
      </c>
      <c r="Y185" s="28" t="s">
        <v>138</v>
      </c>
      <c r="Z185" s="28" t="s">
        <v>138</v>
      </c>
      <c r="AA185" s="28" t="s">
        <v>138</v>
      </c>
      <c r="AB185" s="32" t="s">
        <v>138</v>
      </c>
      <c r="AC185" s="32" t="s">
        <v>138</v>
      </c>
      <c r="AD185" s="32" t="s">
        <v>138</v>
      </c>
      <c r="AE185" s="32" t="s">
        <v>138</v>
      </c>
      <c r="AF185" s="32" t="s">
        <v>138</v>
      </c>
      <c r="AG185" s="28" t="s">
        <v>138</v>
      </c>
      <c r="AH185" s="32" t="s">
        <v>138</v>
      </c>
      <c r="AI185" s="32" t="s">
        <v>138</v>
      </c>
      <c r="AJ185" s="32" t="s">
        <v>138</v>
      </c>
      <c r="AK185" s="28" t="s">
        <v>4190</v>
      </c>
      <c r="AL185" s="28" t="s">
        <v>4191</v>
      </c>
      <c r="AM185" s="28" t="s">
        <v>4192</v>
      </c>
      <c r="AN185" s="28" t="s">
        <v>4193</v>
      </c>
      <c r="AO185" s="28" t="s">
        <v>4194</v>
      </c>
      <c r="AP185" s="28" t="s">
        <v>4195</v>
      </c>
      <c r="AQ185" s="28" t="s">
        <v>4196</v>
      </c>
      <c r="AR185" s="28" t="s">
        <v>1115</v>
      </c>
      <c r="AS185" s="28" t="s">
        <v>4197</v>
      </c>
      <c r="AT185" s="28" t="s">
        <v>1146</v>
      </c>
      <c r="AU185" s="28" t="s">
        <v>4198</v>
      </c>
      <c r="AV185" s="28" t="s">
        <v>162</v>
      </c>
      <c r="AW185" s="28" t="s">
        <v>4194</v>
      </c>
      <c r="AX185" s="28" t="s">
        <v>138</v>
      </c>
      <c r="AY185" s="28" t="s">
        <v>4199</v>
      </c>
      <c r="AZ185" s="28" t="s">
        <v>164</v>
      </c>
      <c r="BA185" s="28" t="s">
        <v>165</v>
      </c>
      <c r="BB185" s="28" t="s">
        <v>4200</v>
      </c>
      <c r="BC185" s="28" t="s">
        <v>4201</v>
      </c>
      <c r="BD185" s="33">
        <v>3</v>
      </c>
      <c r="BE185" s="28" t="s">
        <v>138</v>
      </c>
      <c r="BF185" s="28" t="s">
        <v>138</v>
      </c>
      <c r="BG185" s="28" t="s">
        <v>138</v>
      </c>
      <c r="BH185" s="28" t="s">
        <v>4202</v>
      </c>
      <c r="BI185" s="28" t="s">
        <v>138</v>
      </c>
      <c r="BJ185" s="28" t="s">
        <v>138</v>
      </c>
      <c r="BK185" s="28" t="s">
        <v>138</v>
      </c>
      <c r="BL185" s="28" t="s">
        <v>4203</v>
      </c>
      <c r="BM185" s="34">
        <v>41453</v>
      </c>
      <c r="BN185" s="29" t="s">
        <v>138</v>
      </c>
      <c r="BO185" s="28" t="s">
        <v>138</v>
      </c>
      <c r="BP185" s="29" t="s">
        <v>138</v>
      </c>
      <c r="BQ185" s="28" t="s">
        <v>138</v>
      </c>
      <c r="BR185" s="28" t="s">
        <v>1326</v>
      </c>
      <c r="BS185" s="28" t="s">
        <v>138</v>
      </c>
      <c r="BT185" s="28" t="s">
        <v>138</v>
      </c>
      <c r="BU185" s="28" t="s">
        <v>1327</v>
      </c>
      <c r="BV185" s="28" t="s">
        <v>2528</v>
      </c>
      <c r="BW185" s="28" t="s">
        <v>138</v>
      </c>
      <c r="BX185" s="28" t="s">
        <v>138</v>
      </c>
      <c r="BY185" s="28" t="s">
        <v>175</v>
      </c>
      <c r="BZ185" s="34">
        <v>42069</v>
      </c>
      <c r="CA185" s="29">
        <v>4</v>
      </c>
      <c r="CB185" s="28" t="s">
        <v>172</v>
      </c>
      <c r="CC185" s="29">
        <v>12.36</v>
      </c>
      <c r="CD185" s="28" t="s">
        <v>172</v>
      </c>
      <c r="CE185" s="28" t="s">
        <v>205</v>
      </c>
      <c r="CF185" s="28" t="s">
        <v>206</v>
      </c>
      <c r="CG185" s="28" t="s">
        <v>138</v>
      </c>
      <c r="CH185" s="28" t="s">
        <v>174</v>
      </c>
      <c r="CI185" s="28" t="s">
        <v>138</v>
      </c>
      <c r="CJ185" s="28" t="s">
        <v>138</v>
      </c>
      <c r="CK185" s="28" t="s">
        <v>138</v>
      </c>
      <c r="CL185" s="28" t="s">
        <v>175</v>
      </c>
      <c r="CM185" s="34">
        <v>41453</v>
      </c>
      <c r="CN185" s="29" t="s">
        <v>138</v>
      </c>
      <c r="CO185" s="35">
        <v>0.03</v>
      </c>
      <c r="CP185" s="36">
        <v>86</v>
      </c>
      <c r="CQ185" s="35">
        <v>0</v>
      </c>
      <c r="CR185" s="35">
        <v>-0.36</v>
      </c>
      <c r="CS185" s="35">
        <v>0</v>
      </c>
      <c r="CT185" s="36">
        <v>23</v>
      </c>
      <c r="CU185" s="35">
        <v>7.0000000000000007E-2</v>
      </c>
      <c r="CV185" s="36">
        <v>62</v>
      </c>
      <c r="CW185" s="35" t="s">
        <v>138</v>
      </c>
      <c r="CX185" s="36" t="s">
        <v>138</v>
      </c>
      <c r="CY185" s="35">
        <v>0</v>
      </c>
      <c r="CZ185" s="36">
        <v>25</v>
      </c>
      <c r="DA185" s="35">
        <v>0.13</v>
      </c>
      <c r="DB185" s="36">
        <v>76</v>
      </c>
      <c r="DC185" s="37">
        <v>1.1399999999999999</v>
      </c>
      <c r="DD185" s="36">
        <v>54</v>
      </c>
      <c r="DE185" s="37">
        <v>0.03</v>
      </c>
      <c r="DF185" s="35">
        <v>2.27</v>
      </c>
      <c r="DG185" s="37">
        <v>1.83</v>
      </c>
      <c r="DH185" s="36">
        <v>65</v>
      </c>
      <c r="DI185" s="37">
        <v>0.46</v>
      </c>
      <c r="DJ185" s="36">
        <v>35</v>
      </c>
      <c r="DK185" s="37" t="s">
        <v>138</v>
      </c>
      <c r="DL185" s="36" t="s">
        <v>138</v>
      </c>
      <c r="DM185" s="37">
        <v>1.83</v>
      </c>
      <c r="DN185" s="36">
        <v>64</v>
      </c>
      <c r="DO185" s="37">
        <v>0.79</v>
      </c>
      <c r="DP185" s="36">
        <v>46</v>
      </c>
      <c r="DQ185" s="36">
        <v>514</v>
      </c>
      <c r="DR185" s="38">
        <v>30</v>
      </c>
      <c r="DS185" s="35">
        <v>6.2</v>
      </c>
      <c r="DT185" s="36">
        <v>53</v>
      </c>
      <c r="DU185" s="38">
        <v>1</v>
      </c>
      <c r="DV185" s="35">
        <v>1.92</v>
      </c>
      <c r="DW185" s="36">
        <v>283</v>
      </c>
      <c r="DX185" s="39">
        <v>1</v>
      </c>
      <c r="DY185" s="35">
        <v>0.35</v>
      </c>
      <c r="DZ185" s="28" t="s">
        <v>178</v>
      </c>
      <c r="EA185" s="34">
        <v>43412</v>
      </c>
      <c r="EB185" s="29">
        <v>12.36</v>
      </c>
      <c r="EC185" s="34">
        <v>42069</v>
      </c>
      <c r="ED185" s="28" t="s">
        <v>205</v>
      </c>
      <c r="EE185" s="40" t="str">
        <f>HYPERLINK("https://my.pitchbook.com?c=108337-87", "View company online")</f>
        <v>View company online</v>
      </c>
    </row>
    <row r="186" spans="1:135">
      <c r="A186" s="15" t="s">
        <v>4204</v>
      </c>
      <c r="B186" s="15" t="s">
        <v>4205</v>
      </c>
      <c r="C186" s="15" t="s">
        <v>138</v>
      </c>
      <c r="D186" s="15" t="s">
        <v>4206</v>
      </c>
      <c r="E186" s="15" t="s">
        <v>4207</v>
      </c>
      <c r="F186" s="15" t="s">
        <v>4204</v>
      </c>
      <c r="G186" s="15" t="s">
        <v>4208</v>
      </c>
      <c r="H186" s="15" t="s">
        <v>322</v>
      </c>
      <c r="I186" s="15" t="s">
        <v>323</v>
      </c>
      <c r="J186" s="15" t="s">
        <v>954</v>
      </c>
      <c r="K186" s="15" t="s">
        <v>955</v>
      </c>
      <c r="L186" s="15" t="s">
        <v>1949</v>
      </c>
      <c r="M186" s="15" t="s">
        <v>4209</v>
      </c>
      <c r="N186" s="15" t="s">
        <v>147</v>
      </c>
      <c r="O186" s="17">
        <v>40.909999999999997</v>
      </c>
      <c r="P186" s="15" t="s">
        <v>148</v>
      </c>
      <c r="Q186" s="15" t="s">
        <v>149</v>
      </c>
      <c r="R186" s="15" t="s">
        <v>174</v>
      </c>
      <c r="S186" s="15" t="s">
        <v>4210</v>
      </c>
      <c r="T186" s="18">
        <v>120</v>
      </c>
      <c r="U186" s="15" t="s">
        <v>4211</v>
      </c>
      <c r="V186" s="15" t="s">
        <v>138</v>
      </c>
      <c r="W186" s="15" t="s">
        <v>138</v>
      </c>
      <c r="X186" s="19">
        <v>2013</v>
      </c>
      <c r="Y186" s="15" t="s">
        <v>138</v>
      </c>
      <c r="Z186" s="15" t="s">
        <v>138</v>
      </c>
      <c r="AA186" s="15" t="s">
        <v>138</v>
      </c>
      <c r="AB186" s="20" t="s">
        <v>138</v>
      </c>
      <c r="AC186" s="20" t="s">
        <v>138</v>
      </c>
      <c r="AD186" s="20" t="s">
        <v>138</v>
      </c>
      <c r="AE186" s="20" t="s">
        <v>138</v>
      </c>
      <c r="AF186" s="20" t="s">
        <v>138</v>
      </c>
      <c r="AG186" s="15" t="s">
        <v>138</v>
      </c>
      <c r="AH186" s="20" t="s">
        <v>138</v>
      </c>
      <c r="AI186" s="20" t="s">
        <v>138</v>
      </c>
      <c r="AJ186" s="20" t="s">
        <v>138</v>
      </c>
      <c r="AK186" s="15" t="s">
        <v>4212</v>
      </c>
      <c r="AL186" s="15" t="s">
        <v>4213</v>
      </c>
      <c r="AM186" s="15" t="s">
        <v>4214</v>
      </c>
      <c r="AN186" s="15" t="s">
        <v>4215</v>
      </c>
      <c r="AO186" s="15" t="s">
        <v>138</v>
      </c>
      <c r="AP186" s="15" t="s">
        <v>3373</v>
      </c>
      <c r="AQ186" s="15" t="s">
        <v>4216</v>
      </c>
      <c r="AR186" s="15" t="s">
        <v>3180</v>
      </c>
      <c r="AS186" s="15" t="s">
        <v>3375</v>
      </c>
      <c r="AT186" s="15" t="s">
        <v>339</v>
      </c>
      <c r="AU186" s="15" t="s">
        <v>3376</v>
      </c>
      <c r="AV186" s="15" t="s">
        <v>162</v>
      </c>
      <c r="AW186" s="15" t="s">
        <v>138</v>
      </c>
      <c r="AX186" s="15" t="s">
        <v>138</v>
      </c>
      <c r="AY186" s="15" t="s">
        <v>138</v>
      </c>
      <c r="AZ186" s="15" t="s">
        <v>164</v>
      </c>
      <c r="BA186" s="15" t="s">
        <v>165</v>
      </c>
      <c r="BB186" s="15" t="s">
        <v>4217</v>
      </c>
      <c r="BC186" s="15" t="s">
        <v>4218</v>
      </c>
      <c r="BD186" s="21">
        <v>18</v>
      </c>
      <c r="BE186" s="15" t="s">
        <v>138</v>
      </c>
      <c r="BF186" s="15" t="s">
        <v>138</v>
      </c>
      <c r="BG186" s="15" t="s">
        <v>138</v>
      </c>
      <c r="BH186" s="15" t="s">
        <v>4219</v>
      </c>
      <c r="BI186" s="15" t="s">
        <v>138</v>
      </c>
      <c r="BJ186" s="15" t="s">
        <v>138</v>
      </c>
      <c r="BK186" s="15" t="s">
        <v>138</v>
      </c>
      <c r="BL186" s="15" t="s">
        <v>1275</v>
      </c>
      <c r="BM186" s="22">
        <v>41746</v>
      </c>
      <c r="BN186" s="17">
        <v>0.53</v>
      </c>
      <c r="BO186" s="15" t="s">
        <v>172</v>
      </c>
      <c r="BP186" s="17">
        <v>5.3</v>
      </c>
      <c r="BQ186" s="15" t="s">
        <v>172</v>
      </c>
      <c r="BR186" s="15" t="s">
        <v>234</v>
      </c>
      <c r="BS186" s="15" t="s">
        <v>234</v>
      </c>
      <c r="BT186" s="15" t="s">
        <v>138</v>
      </c>
      <c r="BU186" s="15" t="s">
        <v>174</v>
      </c>
      <c r="BV186" s="15" t="s">
        <v>138</v>
      </c>
      <c r="BW186" s="15" t="s">
        <v>138</v>
      </c>
      <c r="BX186" s="15" t="s">
        <v>138</v>
      </c>
      <c r="BY186" s="15" t="s">
        <v>175</v>
      </c>
      <c r="BZ186" s="22">
        <v>43488</v>
      </c>
      <c r="CA186" s="17">
        <v>21</v>
      </c>
      <c r="CB186" s="15" t="s">
        <v>172</v>
      </c>
      <c r="CC186" s="17">
        <v>97</v>
      </c>
      <c r="CD186" s="15" t="s">
        <v>172</v>
      </c>
      <c r="CE186" s="15" t="s">
        <v>173</v>
      </c>
      <c r="CF186" s="15" t="s">
        <v>974</v>
      </c>
      <c r="CG186" s="15" t="s">
        <v>138</v>
      </c>
      <c r="CH186" s="15" t="s">
        <v>174</v>
      </c>
      <c r="CI186" s="15" t="s">
        <v>138</v>
      </c>
      <c r="CJ186" s="15" t="s">
        <v>138</v>
      </c>
      <c r="CK186" s="15" t="s">
        <v>138</v>
      </c>
      <c r="CL186" s="15" t="s">
        <v>175</v>
      </c>
      <c r="CM186" s="22" t="s">
        <v>138</v>
      </c>
      <c r="CN186" s="17" t="s">
        <v>138</v>
      </c>
      <c r="CO186" s="23">
        <v>0.81</v>
      </c>
      <c r="CP186" s="24">
        <v>96</v>
      </c>
      <c r="CQ186" s="23">
        <v>0</v>
      </c>
      <c r="CR186" s="23">
        <v>0.23</v>
      </c>
      <c r="CS186" s="23">
        <v>1.57</v>
      </c>
      <c r="CT186" s="24">
        <v>98</v>
      </c>
      <c r="CU186" s="23">
        <v>0.05</v>
      </c>
      <c r="CV186" s="24">
        <v>58</v>
      </c>
      <c r="CW186" s="23">
        <v>1.57</v>
      </c>
      <c r="CX186" s="24">
        <v>87</v>
      </c>
      <c r="CY186" s="23" t="s">
        <v>138</v>
      </c>
      <c r="CZ186" s="24" t="s">
        <v>138</v>
      </c>
      <c r="DA186" s="23">
        <v>-0.05</v>
      </c>
      <c r="DB186" s="24">
        <v>13</v>
      </c>
      <c r="DC186" s="25">
        <v>14.59</v>
      </c>
      <c r="DD186" s="24">
        <v>93</v>
      </c>
      <c r="DE186" s="25">
        <v>-1.5</v>
      </c>
      <c r="DF186" s="23">
        <v>-9.31</v>
      </c>
      <c r="DG186" s="25">
        <v>23.51</v>
      </c>
      <c r="DH186" s="24">
        <v>96</v>
      </c>
      <c r="DI186" s="25">
        <v>5.67</v>
      </c>
      <c r="DJ186" s="24">
        <v>79</v>
      </c>
      <c r="DK186" s="25">
        <v>23.51</v>
      </c>
      <c r="DL186" s="24">
        <v>93</v>
      </c>
      <c r="DM186" s="25" t="s">
        <v>138</v>
      </c>
      <c r="DN186" s="24" t="s">
        <v>138</v>
      </c>
      <c r="DO186" s="25">
        <v>9.2100000000000009</v>
      </c>
      <c r="DP186" s="24">
        <v>86</v>
      </c>
      <c r="DQ186" s="24">
        <v>8561</v>
      </c>
      <c r="DR186" s="26">
        <v>-1492</v>
      </c>
      <c r="DS186" s="23">
        <v>-14.84</v>
      </c>
      <c r="DT186" s="24" t="s">
        <v>138</v>
      </c>
      <c r="DU186" s="26" t="s">
        <v>138</v>
      </c>
      <c r="DV186" s="23" t="s">
        <v>138</v>
      </c>
      <c r="DW186" s="24">
        <v>3295</v>
      </c>
      <c r="DX186" s="27">
        <v>-4</v>
      </c>
      <c r="DY186" s="23">
        <v>-0.12</v>
      </c>
      <c r="DZ186" s="15" t="s">
        <v>178</v>
      </c>
      <c r="EA186" s="22">
        <v>43620</v>
      </c>
      <c r="EB186" s="17">
        <v>97</v>
      </c>
      <c r="EC186" s="22">
        <v>43488</v>
      </c>
      <c r="ED186" s="15" t="s">
        <v>173</v>
      </c>
      <c r="EE186" s="14" t="str">
        <f>HYPERLINK("https://my.pitchbook.com?c=62463-52", "View company online")</f>
        <v>View company online</v>
      </c>
    </row>
    <row r="187" spans="1:135">
      <c r="A187" s="28" t="s">
        <v>4220</v>
      </c>
      <c r="B187" s="28" t="s">
        <v>4221</v>
      </c>
      <c r="C187" s="28" t="s">
        <v>4222</v>
      </c>
      <c r="D187" s="28" t="s">
        <v>138</v>
      </c>
      <c r="E187" s="28" t="s">
        <v>138</v>
      </c>
      <c r="F187" s="28" t="s">
        <v>4220</v>
      </c>
      <c r="G187" s="28" t="s">
        <v>4223</v>
      </c>
      <c r="H187" s="28" t="s">
        <v>141</v>
      </c>
      <c r="I187" s="28" t="s">
        <v>212</v>
      </c>
      <c r="J187" s="28" t="s">
        <v>213</v>
      </c>
      <c r="K187" s="28" t="s">
        <v>1064</v>
      </c>
      <c r="L187" s="28" t="s">
        <v>2641</v>
      </c>
      <c r="M187" s="28" t="s">
        <v>4224</v>
      </c>
      <c r="N187" s="28" t="s">
        <v>2487</v>
      </c>
      <c r="O187" s="29">
        <v>15.58</v>
      </c>
      <c r="P187" s="28" t="s">
        <v>610</v>
      </c>
      <c r="Q187" s="28" t="s">
        <v>149</v>
      </c>
      <c r="R187" s="28" t="s">
        <v>244</v>
      </c>
      <c r="S187" s="28" t="s">
        <v>4225</v>
      </c>
      <c r="T187" s="30" t="s">
        <v>138</v>
      </c>
      <c r="U187" s="28" t="s">
        <v>138</v>
      </c>
      <c r="V187" s="28" t="s">
        <v>138</v>
      </c>
      <c r="W187" s="28" t="s">
        <v>138</v>
      </c>
      <c r="X187" s="31">
        <v>2015</v>
      </c>
      <c r="Y187" s="28" t="s">
        <v>138</v>
      </c>
      <c r="Z187" s="28" t="s">
        <v>138</v>
      </c>
      <c r="AA187" s="28" t="s">
        <v>138</v>
      </c>
      <c r="AB187" s="32" t="s">
        <v>138</v>
      </c>
      <c r="AC187" s="32" t="s">
        <v>138</v>
      </c>
      <c r="AD187" s="32" t="s">
        <v>138</v>
      </c>
      <c r="AE187" s="32" t="s">
        <v>138</v>
      </c>
      <c r="AF187" s="32" t="s">
        <v>138</v>
      </c>
      <c r="AG187" s="28" t="s">
        <v>138</v>
      </c>
      <c r="AH187" s="32" t="s">
        <v>138</v>
      </c>
      <c r="AI187" s="32" t="s">
        <v>138</v>
      </c>
      <c r="AJ187" s="32" t="s">
        <v>138</v>
      </c>
      <c r="AK187" s="28" t="s">
        <v>4226</v>
      </c>
      <c r="AL187" s="28" t="s">
        <v>4227</v>
      </c>
      <c r="AM187" s="28" t="s">
        <v>221</v>
      </c>
      <c r="AN187" s="28" t="s">
        <v>4228</v>
      </c>
      <c r="AO187" s="28" t="s">
        <v>4229</v>
      </c>
      <c r="AP187" s="28" t="s">
        <v>423</v>
      </c>
      <c r="AQ187" s="28" t="s">
        <v>4230</v>
      </c>
      <c r="AR187" s="28" t="s">
        <v>4231</v>
      </c>
      <c r="AS187" s="28" t="s">
        <v>426</v>
      </c>
      <c r="AT187" s="28" t="s">
        <v>426</v>
      </c>
      <c r="AU187" s="28" t="s">
        <v>1804</v>
      </c>
      <c r="AV187" s="28" t="s">
        <v>162</v>
      </c>
      <c r="AW187" s="28" t="s">
        <v>4229</v>
      </c>
      <c r="AX187" s="28" t="s">
        <v>138</v>
      </c>
      <c r="AY187" s="28" t="s">
        <v>4232</v>
      </c>
      <c r="AZ187" s="28" t="s">
        <v>164</v>
      </c>
      <c r="BA187" s="28" t="s">
        <v>165</v>
      </c>
      <c r="BB187" s="28" t="s">
        <v>4233</v>
      </c>
      <c r="BC187" s="28" t="s">
        <v>4234</v>
      </c>
      <c r="BD187" s="33">
        <v>4</v>
      </c>
      <c r="BE187" s="28" t="s">
        <v>138</v>
      </c>
      <c r="BF187" s="28" t="s">
        <v>138</v>
      </c>
      <c r="BG187" s="28" t="s">
        <v>138</v>
      </c>
      <c r="BH187" s="28" t="s">
        <v>4235</v>
      </c>
      <c r="BI187" s="28" t="s">
        <v>138</v>
      </c>
      <c r="BJ187" s="28" t="s">
        <v>138</v>
      </c>
      <c r="BK187" s="28" t="s">
        <v>2936</v>
      </c>
      <c r="BL187" s="28" t="s">
        <v>2936</v>
      </c>
      <c r="BM187" s="34">
        <v>42410</v>
      </c>
      <c r="BN187" s="29">
        <v>0.5</v>
      </c>
      <c r="BO187" s="28" t="s">
        <v>172</v>
      </c>
      <c r="BP187" s="29" t="s">
        <v>138</v>
      </c>
      <c r="BQ187" s="28" t="s">
        <v>138</v>
      </c>
      <c r="BR187" s="28" t="s">
        <v>265</v>
      </c>
      <c r="BS187" s="28" t="s">
        <v>138</v>
      </c>
      <c r="BT187" s="28" t="s">
        <v>138</v>
      </c>
      <c r="BU187" s="28" t="s">
        <v>1327</v>
      </c>
      <c r="BV187" s="28" t="s">
        <v>264</v>
      </c>
      <c r="BW187" s="28" t="s">
        <v>138</v>
      </c>
      <c r="BX187" s="28" t="s">
        <v>138</v>
      </c>
      <c r="BY187" s="28" t="s">
        <v>175</v>
      </c>
      <c r="BZ187" s="34">
        <v>43277</v>
      </c>
      <c r="CA187" s="29">
        <v>15.08</v>
      </c>
      <c r="CB187" s="28" t="s">
        <v>172</v>
      </c>
      <c r="CC187" s="29" t="s">
        <v>138</v>
      </c>
      <c r="CD187" s="28" t="s">
        <v>138</v>
      </c>
      <c r="CE187" s="28" t="s">
        <v>234</v>
      </c>
      <c r="CF187" s="28" t="s">
        <v>234</v>
      </c>
      <c r="CG187" s="28" t="s">
        <v>138</v>
      </c>
      <c r="CH187" s="28" t="s">
        <v>174</v>
      </c>
      <c r="CI187" s="28" t="s">
        <v>264</v>
      </c>
      <c r="CJ187" s="28" t="s">
        <v>138</v>
      </c>
      <c r="CK187" s="28" t="s">
        <v>138</v>
      </c>
      <c r="CL187" s="28" t="s">
        <v>175</v>
      </c>
      <c r="CM187" s="34" t="s">
        <v>138</v>
      </c>
      <c r="CN187" s="29" t="s">
        <v>138</v>
      </c>
      <c r="CO187" s="35">
        <v>1.52</v>
      </c>
      <c r="CP187" s="36">
        <v>98</v>
      </c>
      <c r="CQ187" s="35">
        <v>-0.02</v>
      </c>
      <c r="CR187" s="35">
        <v>-1.45</v>
      </c>
      <c r="CS187" s="35">
        <v>2.89</v>
      </c>
      <c r="CT187" s="36">
        <v>99</v>
      </c>
      <c r="CU187" s="35">
        <v>0.16</v>
      </c>
      <c r="CV187" s="36">
        <v>76</v>
      </c>
      <c r="CW187" s="35">
        <v>2.89</v>
      </c>
      <c r="CX187" s="36">
        <v>91</v>
      </c>
      <c r="CY187" s="35" t="s">
        <v>138</v>
      </c>
      <c r="CZ187" s="36" t="s">
        <v>138</v>
      </c>
      <c r="DA187" s="35">
        <v>0.33</v>
      </c>
      <c r="DB187" s="36">
        <v>90</v>
      </c>
      <c r="DC187" s="37">
        <v>2.67</v>
      </c>
      <c r="DD187" s="36">
        <v>73</v>
      </c>
      <c r="DE187" s="37">
        <v>-0.25</v>
      </c>
      <c r="DF187" s="35">
        <v>-8.51</v>
      </c>
      <c r="DG187" s="37">
        <v>3.9</v>
      </c>
      <c r="DH187" s="36">
        <v>79</v>
      </c>
      <c r="DI187" s="37">
        <v>1.44</v>
      </c>
      <c r="DJ187" s="36">
        <v>56</v>
      </c>
      <c r="DK187" s="37">
        <v>3.9</v>
      </c>
      <c r="DL187" s="36">
        <v>76</v>
      </c>
      <c r="DM187" s="37" t="s">
        <v>138</v>
      </c>
      <c r="DN187" s="36" t="s">
        <v>138</v>
      </c>
      <c r="DO187" s="37">
        <v>1.59</v>
      </c>
      <c r="DP187" s="36">
        <v>59</v>
      </c>
      <c r="DQ187" s="36">
        <v>1333</v>
      </c>
      <c r="DR187" s="38">
        <v>11</v>
      </c>
      <c r="DS187" s="35">
        <v>0.83</v>
      </c>
      <c r="DT187" s="36" t="s">
        <v>138</v>
      </c>
      <c r="DU187" s="38" t="s">
        <v>138</v>
      </c>
      <c r="DV187" s="35" t="s">
        <v>138</v>
      </c>
      <c r="DW187" s="36">
        <v>570</v>
      </c>
      <c r="DX187" s="39">
        <v>-1</v>
      </c>
      <c r="DY187" s="35">
        <v>-0.18</v>
      </c>
      <c r="DZ187" s="28" t="s">
        <v>178</v>
      </c>
      <c r="EA187" s="34">
        <v>43430</v>
      </c>
      <c r="EB187" s="29" t="s">
        <v>138</v>
      </c>
      <c r="EC187" s="34" t="s">
        <v>138</v>
      </c>
      <c r="ED187" s="28" t="s">
        <v>138</v>
      </c>
      <c r="EE187" s="40" t="str">
        <f>HYPERLINK("https://my.pitchbook.com?c=169611-94", "View company online")</f>
        <v>View company online</v>
      </c>
    </row>
    <row r="188" spans="1:135">
      <c r="A188" s="15" t="s">
        <v>4236</v>
      </c>
      <c r="B188" s="15" t="s">
        <v>4237</v>
      </c>
      <c r="C188" s="15" t="s">
        <v>4238</v>
      </c>
      <c r="D188" s="15" t="s">
        <v>138</v>
      </c>
      <c r="E188" s="15" t="s">
        <v>4239</v>
      </c>
      <c r="F188" s="15" t="s">
        <v>4236</v>
      </c>
      <c r="G188" s="15" t="s">
        <v>4240</v>
      </c>
      <c r="H188" s="15" t="s">
        <v>238</v>
      </c>
      <c r="I188" s="15" t="s">
        <v>785</v>
      </c>
      <c r="J188" s="15" t="s">
        <v>786</v>
      </c>
      <c r="K188" s="15" t="s">
        <v>4241</v>
      </c>
      <c r="L188" s="15" t="s">
        <v>4242</v>
      </c>
      <c r="M188" s="15" t="s">
        <v>4243</v>
      </c>
      <c r="N188" s="15" t="s">
        <v>147</v>
      </c>
      <c r="O188" s="17">
        <v>20.68</v>
      </c>
      <c r="P188" s="15" t="s">
        <v>148</v>
      </c>
      <c r="Q188" s="15" t="s">
        <v>149</v>
      </c>
      <c r="R188" s="15" t="s">
        <v>174</v>
      </c>
      <c r="S188" s="15" t="s">
        <v>4244</v>
      </c>
      <c r="T188" s="18">
        <v>100</v>
      </c>
      <c r="U188" s="15" t="s">
        <v>4245</v>
      </c>
      <c r="V188" s="15" t="s">
        <v>138</v>
      </c>
      <c r="W188" s="15" t="s">
        <v>138</v>
      </c>
      <c r="X188" s="19">
        <v>2014</v>
      </c>
      <c r="Y188" s="15" t="s">
        <v>138</v>
      </c>
      <c r="Z188" s="15" t="s">
        <v>138</v>
      </c>
      <c r="AA188" s="15" t="s">
        <v>138</v>
      </c>
      <c r="AB188" s="20" t="s">
        <v>138</v>
      </c>
      <c r="AC188" s="20" t="s">
        <v>138</v>
      </c>
      <c r="AD188" s="20" t="s">
        <v>138</v>
      </c>
      <c r="AE188" s="20" t="s">
        <v>138</v>
      </c>
      <c r="AF188" s="20" t="s">
        <v>138</v>
      </c>
      <c r="AG188" s="15" t="s">
        <v>138</v>
      </c>
      <c r="AH188" s="20" t="s">
        <v>138</v>
      </c>
      <c r="AI188" s="20" t="s">
        <v>138</v>
      </c>
      <c r="AJ188" s="20" t="s">
        <v>138</v>
      </c>
      <c r="AK188" s="15" t="s">
        <v>4246</v>
      </c>
      <c r="AL188" s="15" t="s">
        <v>4247</v>
      </c>
      <c r="AM188" s="15" t="s">
        <v>794</v>
      </c>
      <c r="AN188" s="15" t="s">
        <v>4248</v>
      </c>
      <c r="AO188" s="15" t="s">
        <v>4249</v>
      </c>
      <c r="AP188" s="15" t="s">
        <v>2819</v>
      </c>
      <c r="AQ188" s="15" t="s">
        <v>4250</v>
      </c>
      <c r="AR188" s="15" t="s">
        <v>4251</v>
      </c>
      <c r="AS188" s="15" t="s">
        <v>284</v>
      </c>
      <c r="AT188" s="15" t="s">
        <v>2822</v>
      </c>
      <c r="AU188" s="15" t="s">
        <v>2823</v>
      </c>
      <c r="AV188" s="15" t="s">
        <v>162</v>
      </c>
      <c r="AW188" s="15" t="s">
        <v>4249</v>
      </c>
      <c r="AX188" s="15" t="s">
        <v>138</v>
      </c>
      <c r="AY188" s="15" t="s">
        <v>4252</v>
      </c>
      <c r="AZ188" s="15" t="s">
        <v>164</v>
      </c>
      <c r="BA188" s="15" t="s">
        <v>165</v>
      </c>
      <c r="BB188" s="15" t="s">
        <v>4253</v>
      </c>
      <c r="BC188" s="15" t="s">
        <v>4254</v>
      </c>
      <c r="BD188" s="21">
        <v>17</v>
      </c>
      <c r="BE188" s="15" t="s">
        <v>138</v>
      </c>
      <c r="BF188" s="15" t="s">
        <v>138</v>
      </c>
      <c r="BG188" s="15" t="s">
        <v>138</v>
      </c>
      <c r="BH188" s="15" t="s">
        <v>4255</v>
      </c>
      <c r="BI188" s="15" t="s">
        <v>138</v>
      </c>
      <c r="BJ188" s="15" t="s">
        <v>138</v>
      </c>
      <c r="BK188" s="15" t="s">
        <v>4256</v>
      </c>
      <c r="BL188" s="15" t="s">
        <v>432</v>
      </c>
      <c r="BM188" s="22">
        <v>42044</v>
      </c>
      <c r="BN188" s="17">
        <v>1.5</v>
      </c>
      <c r="BO188" s="15" t="s">
        <v>172</v>
      </c>
      <c r="BP188" s="17">
        <v>6.82</v>
      </c>
      <c r="BQ188" s="15" t="s">
        <v>172</v>
      </c>
      <c r="BR188" s="15" t="s">
        <v>234</v>
      </c>
      <c r="BS188" s="15" t="s">
        <v>234</v>
      </c>
      <c r="BT188" s="15" t="s">
        <v>138</v>
      </c>
      <c r="BU188" s="15" t="s">
        <v>174</v>
      </c>
      <c r="BV188" s="15" t="s">
        <v>138</v>
      </c>
      <c r="BW188" s="15" t="s">
        <v>138</v>
      </c>
      <c r="BX188" s="15" t="s">
        <v>138</v>
      </c>
      <c r="BY188" s="15" t="s">
        <v>175</v>
      </c>
      <c r="BZ188" s="22">
        <v>43252</v>
      </c>
      <c r="CA188" s="17">
        <v>5.8</v>
      </c>
      <c r="CB188" s="15" t="s">
        <v>1178</v>
      </c>
      <c r="CC188" s="17">
        <v>30</v>
      </c>
      <c r="CD188" s="15" t="s">
        <v>172</v>
      </c>
      <c r="CE188" s="15" t="s">
        <v>205</v>
      </c>
      <c r="CF188" s="15" t="s">
        <v>138</v>
      </c>
      <c r="CG188" s="15" t="s">
        <v>138</v>
      </c>
      <c r="CH188" s="15" t="s">
        <v>174</v>
      </c>
      <c r="CI188" s="15" t="s">
        <v>138</v>
      </c>
      <c r="CJ188" s="15" t="s">
        <v>138</v>
      </c>
      <c r="CK188" s="15" t="s">
        <v>138</v>
      </c>
      <c r="CL188" s="15" t="s">
        <v>175</v>
      </c>
      <c r="CM188" s="22" t="s">
        <v>138</v>
      </c>
      <c r="CN188" s="17" t="s">
        <v>138</v>
      </c>
      <c r="CO188" s="23">
        <v>0.98</v>
      </c>
      <c r="CP188" s="24">
        <v>97</v>
      </c>
      <c r="CQ188" s="23">
        <v>0</v>
      </c>
      <c r="CR188" s="23">
        <v>-0.21</v>
      </c>
      <c r="CS188" s="23">
        <v>1.82</v>
      </c>
      <c r="CT188" s="24">
        <v>98</v>
      </c>
      <c r="CU188" s="23">
        <v>0.14000000000000001</v>
      </c>
      <c r="CV188" s="24">
        <v>74</v>
      </c>
      <c r="CW188" s="23">
        <v>4.2699999999999996</v>
      </c>
      <c r="CX188" s="24">
        <v>94</v>
      </c>
      <c r="CY188" s="23">
        <v>-0.64</v>
      </c>
      <c r="CZ188" s="24">
        <v>21</v>
      </c>
      <c r="DA188" s="23">
        <v>0.09</v>
      </c>
      <c r="DB188" s="24">
        <v>70</v>
      </c>
      <c r="DC188" s="25">
        <v>36.46</v>
      </c>
      <c r="DD188" s="24">
        <v>97</v>
      </c>
      <c r="DE188" s="25">
        <v>-7.75</v>
      </c>
      <c r="DF188" s="23">
        <v>-17.53</v>
      </c>
      <c r="DG188" s="25">
        <v>54.15</v>
      </c>
      <c r="DH188" s="24">
        <v>98</v>
      </c>
      <c r="DI188" s="25">
        <v>18.77</v>
      </c>
      <c r="DJ188" s="24">
        <v>90</v>
      </c>
      <c r="DK188" s="25">
        <v>103.82</v>
      </c>
      <c r="DL188" s="24">
        <v>98</v>
      </c>
      <c r="DM188" s="25">
        <v>4.4800000000000004</v>
      </c>
      <c r="DN188" s="24">
        <v>80</v>
      </c>
      <c r="DO188" s="25">
        <v>9.9600000000000009</v>
      </c>
      <c r="DP188" s="24">
        <v>87</v>
      </c>
      <c r="DQ188" s="24">
        <v>34868</v>
      </c>
      <c r="DR188" s="26">
        <v>2222</v>
      </c>
      <c r="DS188" s="23">
        <v>6.81</v>
      </c>
      <c r="DT188" s="24">
        <v>130</v>
      </c>
      <c r="DU188" s="26">
        <v>1</v>
      </c>
      <c r="DV188" s="23">
        <v>0.78</v>
      </c>
      <c r="DW188" s="24">
        <v>3563</v>
      </c>
      <c r="DX188" s="27">
        <v>7</v>
      </c>
      <c r="DY188" s="23">
        <v>0.2</v>
      </c>
      <c r="DZ188" s="15" t="s">
        <v>178</v>
      </c>
      <c r="EA188" s="22">
        <v>43622</v>
      </c>
      <c r="EB188" s="17">
        <v>30</v>
      </c>
      <c r="EC188" s="22">
        <v>43252</v>
      </c>
      <c r="ED188" s="15" t="s">
        <v>205</v>
      </c>
      <c r="EE188" s="14" t="str">
        <f>HYPERLINK("https://my.pitchbook.com?c=103425-31", "View company online")</f>
        <v>View company online</v>
      </c>
    </row>
    <row r="189" spans="1:135">
      <c r="A189" s="28" t="s">
        <v>4257</v>
      </c>
      <c r="B189" s="28" t="s">
        <v>4258</v>
      </c>
      <c r="C189" s="28" t="s">
        <v>138</v>
      </c>
      <c r="D189" s="28" t="s">
        <v>138</v>
      </c>
      <c r="E189" s="28" t="s">
        <v>4259</v>
      </c>
      <c r="F189" s="28" t="s">
        <v>4257</v>
      </c>
      <c r="G189" s="28" t="s">
        <v>4260</v>
      </c>
      <c r="H189" s="28" t="s">
        <v>238</v>
      </c>
      <c r="I189" s="28" t="s">
        <v>749</v>
      </c>
      <c r="J189" s="28" t="s">
        <v>4261</v>
      </c>
      <c r="K189" s="28" t="s">
        <v>4262</v>
      </c>
      <c r="L189" s="28" t="s">
        <v>4263</v>
      </c>
      <c r="M189" s="28" t="s">
        <v>4264</v>
      </c>
      <c r="N189" s="28" t="s">
        <v>147</v>
      </c>
      <c r="O189" s="29">
        <v>25.5</v>
      </c>
      <c r="P189" s="28" t="s">
        <v>812</v>
      </c>
      <c r="Q189" s="28" t="s">
        <v>149</v>
      </c>
      <c r="R189" s="28" t="s">
        <v>174</v>
      </c>
      <c r="S189" s="28" t="s">
        <v>4265</v>
      </c>
      <c r="T189" s="30">
        <v>150</v>
      </c>
      <c r="U189" s="28" t="s">
        <v>4266</v>
      </c>
      <c r="V189" s="28" t="s">
        <v>138</v>
      </c>
      <c r="W189" s="28" t="s">
        <v>138</v>
      </c>
      <c r="X189" s="31">
        <v>2009</v>
      </c>
      <c r="Y189" s="28" t="s">
        <v>138</v>
      </c>
      <c r="Z189" s="28" t="s">
        <v>138</v>
      </c>
      <c r="AA189" s="28" t="s">
        <v>138</v>
      </c>
      <c r="AB189" s="32">
        <v>4.5999999999999996</v>
      </c>
      <c r="AC189" s="32" t="s">
        <v>138</v>
      </c>
      <c r="AD189" s="32" t="s">
        <v>138</v>
      </c>
      <c r="AE189" s="32" t="s">
        <v>138</v>
      </c>
      <c r="AF189" s="32" t="s">
        <v>138</v>
      </c>
      <c r="AG189" s="28" t="s">
        <v>563</v>
      </c>
      <c r="AH189" s="32" t="s">
        <v>138</v>
      </c>
      <c r="AI189" s="32" t="s">
        <v>138</v>
      </c>
      <c r="AJ189" s="32" t="s">
        <v>138</v>
      </c>
      <c r="AK189" s="28" t="s">
        <v>4267</v>
      </c>
      <c r="AL189" s="28" t="s">
        <v>4268</v>
      </c>
      <c r="AM189" s="28" t="s">
        <v>4269</v>
      </c>
      <c r="AN189" s="28" t="s">
        <v>4270</v>
      </c>
      <c r="AO189" s="28" t="s">
        <v>4271</v>
      </c>
      <c r="AP189" s="28" t="s">
        <v>4272</v>
      </c>
      <c r="AQ189" s="28" t="s">
        <v>138</v>
      </c>
      <c r="AR189" s="28" t="s">
        <v>138</v>
      </c>
      <c r="AS189" s="28" t="s">
        <v>4273</v>
      </c>
      <c r="AT189" s="28" t="s">
        <v>200</v>
      </c>
      <c r="AU189" s="28" t="s">
        <v>138</v>
      </c>
      <c r="AV189" s="28" t="s">
        <v>162</v>
      </c>
      <c r="AW189" s="28" t="s">
        <v>4271</v>
      </c>
      <c r="AX189" s="28" t="s">
        <v>138</v>
      </c>
      <c r="AY189" s="28" t="s">
        <v>4274</v>
      </c>
      <c r="AZ189" s="28" t="s">
        <v>164</v>
      </c>
      <c r="BA189" s="28" t="s">
        <v>165</v>
      </c>
      <c r="BB189" s="28" t="s">
        <v>4275</v>
      </c>
      <c r="BC189" s="28" t="s">
        <v>4276</v>
      </c>
      <c r="BD189" s="33">
        <v>12</v>
      </c>
      <c r="BE189" s="28" t="s">
        <v>138</v>
      </c>
      <c r="BF189" s="28" t="s">
        <v>138</v>
      </c>
      <c r="BG189" s="28" t="s">
        <v>138</v>
      </c>
      <c r="BH189" s="28" t="s">
        <v>4277</v>
      </c>
      <c r="BI189" s="28" t="s">
        <v>138</v>
      </c>
      <c r="BJ189" s="28" t="s">
        <v>138</v>
      </c>
      <c r="BK189" s="28" t="s">
        <v>4278</v>
      </c>
      <c r="BL189" s="28" t="s">
        <v>138</v>
      </c>
      <c r="BM189" s="34">
        <v>41228</v>
      </c>
      <c r="BN189" s="29">
        <v>1</v>
      </c>
      <c r="BO189" s="28" t="s">
        <v>172</v>
      </c>
      <c r="BP189" s="29" t="s">
        <v>138</v>
      </c>
      <c r="BQ189" s="28" t="s">
        <v>138</v>
      </c>
      <c r="BR189" s="28" t="s">
        <v>234</v>
      </c>
      <c r="BS189" s="28" t="s">
        <v>234</v>
      </c>
      <c r="BT189" s="28" t="s">
        <v>138</v>
      </c>
      <c r="BU189" s="28" t="s">
        <v>174</v>
      </c>
      <c r="BV189" s="28" t="s">
        <v>138</v>
      </c>
      <c r="BW189" s="28" t="s">
        <v>138</v>
      </c>
      <c r="BX189" s="28" t="s">
        <v>138</v>
      </c>
      <c r="BY189" s="28" t="s">
        <v>175</v>
      </c>
      <c r="BZ189" s="34">
        <v>43047</v>
      </c>
      <c r="CA189" s="29">
        <v>17</v>
      </c>
      <c r="CB189" s="28" t="s">
        <v>172</v>
      </c>
      <c r="CC189" s="29">
        <v>68</v>
      </c>
      <c r="CD189" s="28" t="s">
        <v>172</v>
      </c>
      <c r="CE189" s="28" t="s">
        <v>173</v>
      </c>
      <c r="CF189" s="28" t="s">
        <v>720</v>
      </c>
      <c r="CG189" s="28" t="s">
        <v>138</v>
      </c>
      <c r="CH189" s="28" t="s">
        <v>174</v>
      </c>
      <c r="CI189" s="28" t="s">
        <v>138</v>
      </c>
      <c r="CJ189" s="28" t="s">
        <v>138</v>
      </c>
      <c r="CK189" s="28" t="s">
        <v>138</v>
      </c>
      <c r="CL189" s="28" t="s">
        <v>175</v>
      </c>
      <c r="CM189" s="34" t="s">
        <v>138</v>
      </c>
      <c r="CN189" s="29" t="s">
        <v>138</v>
      </c>
      <c r="CO189" s="35">
        <v>0.95</v>
      </c>
      <c r="CP189" s="36">
        <v>97</v>
      </c>
      <c r="CQ189" s="35">
        <v>0.01</v>
      </c>
      <c r="CR189" s="35">
        <v>0.82</v>
      </c>
      <c r="CS189" s="35">
        <v>1.91</v>
      </c>
      <c r="CT189" s="36">
        <v>98</v>
      </c>
      <c r="CU189" s="35">
        <v>0</v>
      </c>
      <c r="CV189" s="36">
        <v>22</v>
      </c>
      <c r="CW189" s="35">
        <v>4.8600000000000003</v>
      </c>
      <c r="CX189" s="36">
        <v>95</v>
      </c>
      <c r="CY189" s="35">
        <v>-1.05</v>
      </c>
      <c r="CZ189" s="36">
        <v>18</v>
      </c>
      <c r="DA189" s="35">
        <v>0</v>
      </c>
      <c r="DB189" s="36">
        <v>22</v>
      </c>
      <c r="DC189" s="37">
        <v>18.23</v>
      </c>
      <c r="DD189" s="36">
        <v>94</v>
      </c>
      <c r="DE189" s="37">
        <v>-1.01</v>
      </c>
      <c r="DF189" s="35">
        <v>-5.27</v>
      </c>
      <c r="DG189" s="37">
        <v>24.81</v>
      </c>
      <c r="DH189" s="36">
        <v>96</v>
      </c>
      <c r="DI189" s="37">
        <v>11.64</v>
      </c>
      <c r="DJ189" s="36">
        <v>87</v>
      </c>
      <c r="DK189" s="37">
        <v>32.25</v>
      </c>
      <c r="DL189" s="36">
        <v>94</v>
      </c>
      <c r="DM189" s="37">
        <v>17.38</v>
      </c>
      <c r="DN189" s="36">
        <v>93</v>
      </c>
      <c r="DO189" s="37">
        <v>11.64</v>
      </c>
      <c r="DP189" s="36">
        <v>89</v>
      </c>
      <c r="DQ189" s="36">
        <v>11217</v>
      </c>
      <c r="DR189" s="38">
        <v>-470</v>
      </c>
      <c r="DS189" s="35">
        <v>-4.0199999999999996</v>
      </c>
      <c r="DT189" s="36">
        <v>504</v>
      </c>
      <c r="DU189" s="38">
        <v>1</v>
      </c>
      <c r="DV189" s="35">
        <v>0.2</v>
      </c>
      <c r="DW189" s="36">
        <v>4168</v>
      </c>
      <c r="DX189" s="39">
        <v>-2</v>
      </c>
      <c r="DY189" s="35">
        <v>-0.05</v>
      </c>
      <c r="DZ189" s="28" t="s">
        <v>178</v>
      </c>
      <c r="EA189" s="34">
        <v>43431</v>
      </c>
      <c r="EB189" s="29">
        <v>68</v>
      </c>
      <c r="EC189" s="34">
        <v>43047</v>
      </c>
      <c r="ED189" s="28" t="s">
        <v>173</v>
      </c>
      <c r="EE189" s="40" t="str">
        <f>HYPERLINK("https://my.pitchbook.com?c=55602-28", "View company online")</f>
        <v>View company online</v>
      </c>
    </row>
    <row r="190" spans="1:135">
      <c r="A190" s="15" t="s">
        <v>4279</v>
      </c>
      <c r="B190" s="15" t="s">
        <v>4280</v>
      </c>
      <c r="C190" s="15" t="s">
        <v>4281</v>
      </c>
      <c r="D190" s="15" t="s">
        <v>138</v>
      </c>
      <c r="E190" s="15" t="s">
        <v>138</v>
      </c>
      <c r="F190" s="15" t="s">
        <v>4279</v>
      </c>
      <c r="G190" s="15" t="s">
        <v>4282</v>
      </c>
      <c r="H190" s="15" t="s">
        <v>322</v>
      </c>
      <c r="I190" s="15" t="s">
        <v>323</v>
      </c>
      <c r="J190" s="15" t="s">
        <v>1084</v>
      </c>
      <c r="K190" s="15" t="s">
        <v>4283</v>
      </c>
      <c r="L190" s="15" t="s">
        <v>3343</v>
      </c>
      <c r="M190" s="15" t="s">
        <v>4284</v>
      </c>
      <c r="N190" s="15" t="s">
        <v>147</v>
      </c>
      <c r="O190" s="17">
        <v>28.66</v>
      </c>
      <c r="P190" s="15" t="s">
        <v>148</v>
      </c>
      <c r="Q190" s="15" t="s">
        <v>149</v>
      </c>
      <c r="R190" s="15" t="s">
        <v>244</v>
      </c>
      <c r="S190" s="15" t="s">
        <v>4285</v>
      </c>
      <c r="T190" s="18" t="s">
        <v>138</v>
      </c>
      <c r="U190" s="15" t="s">
        <v>138</v>
      </c>
      <c r="V190" s="15" t="s">
        <v>138</v>
      </c>
      <c r="W190" s="15" t="s">
        <v>138</v>
      </c>
      <c r="X190" s="19">
        <v>2002</v>
      </c>
      <c r="Y190" s="15" t="s">
        <v>138</v>
      </c>
      <c r="Z190" s="15" t="s">
        <v>138</v>
      </c>
      <c r="AA190" s="15" t="s">
        <v>138</v>
      </c>
      <c r="AB190" s="20" t="s">
        <v>138</v>
      </c>
      <c r="AC190" s="20" t="s">
        <v>138</v>
      </c>
      <c r="AD190" s="20" t="s">
        <v>138</v>
      </c>
      <c r="AE190" s="20" t="s">
        <v>138</v>
      </c>
      <c r="AF190" s="20" t="s">
        <v>138</v>
      </c>
      <c r="AG190" s="15" t="s">
        <v>138</v>
      </c>
      <c r="AH190" s="20" t="s">
        <v>138</v>
      </c>
      <c r="AI190" s="20" t="s">
        <v>138</v>
      </c>
      <c r="AJ190" s="20" t="s">
        <v>138</v>
      </c>
      <c r="AK190" s="15" t="s">
        <v>4286</v>
      </c>
      <c r="AL190" s="15" t="s">
        <v>4287</v>
      </c>
      <c r="AM190" s="15" t="s">
        <v>4288</v>
      </c>
      <c r="AN190" s="15" t="s">
        <v>4289</v>
      </c>
      <c r="AO190" s="15" t="s">
        <v>4290</v>
      </c>
      <c r="AP190" s="15" t="s">
        <v>1195</v>
      </c>
      <c r="AQ190" s="15" t="s">
        <v>4291</v>
      </c>
      <c r="AR190" s="15" t="s">
        <v>4292</v>
      </c>
      <c r="AS190" s="15" t="s">
        <v>1198</v>
      </c>
      <c r="AT190" s="15" t="s">
        <v>138</v>
      </c>
      <c r="AU190" s="15" t="s">
        <v>4293</v>
      </c>
      <c r="AV190" s="15" t="s">
        <v>1200</v>
      </c>
      <c r="AW190" s="15" t="s">
        <v>4290</v>
      </c>
      <c r="AX190" s="15" t="s">
        <v>4294</v>
      </c>
      <c r="AY190" s="15" t="s">
        <v>138</v>
      </c>
      <c r="AZ190" s="15" t="s">
        <v>452</v>
      </c>
      <c r="BA190" s="15" t="s">
        <v>453</v>
      </c>
      <c r="BB190" s="15" t="s">
        <v>4295</v>
      </c>
      <c r="BC190" s="15" t="s">
        <v>4296</v>
      </c>
      <c r="BD190" s="21">
        <v>6</v>
      </c>
      <c r="BE190" s="15" t="s">
        <v>138</v>
      </c>
      <c r="BF190" s="15" t="s">
        <v>138</v>
      </c>
      <c r="BG190" s="15" t="s">
        <v>138</v>
      </c>
      <c r="BH190" s="15" t="s">
        <v>4297</v>
      </c>
      <c r="BI190" s="15" t="s">
        <v>138</v>
      </c>
      <c r="BJ190" s="15" t="s">
        <v>138</v>
      </c>
      <c r="BK190" s="15" t="s">
        <v>138</v>
      </c>
      <c r="BL190" s="15" t="s">
        <v>4298</v>
      </c>
      <c r="BM190" s="22">
        <v>37316</v>
      </c>
      <c r="BN190" s="17">
        <v>3</v>
      </c>
      <c r="BO190" s="15" t="s">
        <v>172</v>
      </c>
      <c r="BP190" s="17" t="s">
        <v>138</v>
      </c>
      <c r="BQ190" s="15" t="s">
        <v>138</v>
      </c>
      <c r="BR190" s="15" t="s">
        <v>205</v>
      </c>
      <c r="BS190" s="15" t="s">
        <v>138</v>
      </c>
      <c r="BT190" s="15" t="s">
        <v>138</v>
      </c>
      <c r="BU190" s="15" t="s">
        <v>174</v>
      </c>
      <c r="BV190" s="15" t="s">
        <v>138</v>
      </c>
      <c r="BW190" s="15" t="s">
        <v>138</v>
      </c>
      <c r="BX190" s="15" t="s">
        <v>138</v>
      </c>
      <c r="BY190" s="15" t="s">
        <v>175</v>
      </c>
      <c r="BZ190" s="22">
        <v>42461</v>
      </c>
      <c r="CA190" s="17">
        <v>1.82</v>
      </c>
      <c r="CB190" s="15" t="s">
        <v>172</v>
      </c>
      <c r="CC190" s="17" t="s">
        <v>138</v>
      </c>
      <c r="CD190" s="15" t="s">
        <v>138</v>
      </c>
      <c r="CE190" s="15" t="s">
        <v>173</v>
      </c>
      <c r="CF190" s="15" t="s">
        <v>317</v>
      </c>
      <c r="CG190" s="15" t="s">
        <v>138</v>
      </c>
      <c r="CH190" s="15" t="s">
        <v>174</v>
      </c>
      <c r="CI190" s="15" t="s">
        <v>138</v>
      </c>
      <c r="CJ190" s="15" t="s">
        <v>138</v>
      </c>
      <c r="CK190" s="15" t="s">
        <v>138</v>
      </c>
      <c r="CL190" s="15" t="s">
        <v>175</v>
      </c>
      <c r="CM190" s="22">
        <v>41791</v>
      </c>
      <c r="CN190" s="17">
        <v>1</v>
      </c>
      <c r="CO190" s="23">
        <v>0</v>
      </c>
      <c r="CP190" s="24">
        <v>26</v>
      </c>
      <c r="CQ190" s="23">
        <v>7.0000000000000007E-2</v>
      </c>
      <c r="CR190" s="23">
        <v>100</v>
      </c>
      <c r="CS190" s="23" t="s">
        <v>138</v>
      </c>
      <c r="CT190" s="24" t="s">
        <v>138</v>
      </c>
      <c r="CU190" s="23">
        <v>0</v>
      </c>
      <c r="CV190" s="24">
        <v>22</v>
      </c>
      <c r="CW190" s="23" t="s">
        <v>138</v>
      </c>
      <c r="CX190" s="24" t="s">
        <v>138</v>
      </c>
      <c r="CY190" s="23" t="s">
        <v>138</v>
      </c>
      <c r="CZ190" s="24" t="s">
        <v>138</v>
      </c>
      <c r="DA190" s="23">
        <v>0</v>
      </c>
      <c r="DB190" s="24">
        <v>22</v>
      </c>
      <c r="DC190" s="25">
        <v>0.47</v>
      </c>
      <c r="DD190" s="24">
        <v>32</v>
      </c>
      <c r="DE190" s="25">
        <v>0</v>
      </c>
      <c r="DF190" s="23">
        <v>0.56000000000000005</v>
      </c>
      <c r="DG190" s="25" t="s">
        <v>138</v>
      </c>
      <c r="DH190" s="24" t="s">
        <v>138</v>
      </c>
      <c r="DI190" s="25">
        <v>0.47</v>
      </c>
      <c r="DJ190" s="24">
        <v>35</v>
      </c>
      <c r="DK190" s="25" t="s">
        <v>138</v>
      </c>
      <c r="DL190" s="24" t="s">
        <v>138</v>
      </c>
      <c r="DM190" s="25" t="s">
        <v>138</v>
      </c>
      <c r="DN190" s="24" t="s">
        <v>138</v>
      </c>
      <c r="DO190" s="25">
        <v>0.47</v>
      </c>
      <c r="DP190" s="24">
        <v>37</v>
      </c>
      <c r="DQ190" s="24" t="s">
        <v>138</v>
      </c>
      <c r="DR190" s="26" t="s">
        <v>138</v>
      </c>
      <c r="DS190" s="23" t="s">
        <v>138</v>
      </c>
      <c r="DT190" s="24" t="s">
        <v>138</v>
      </c>
      <c r="DU190" s="26" t="s">
        <v>138</v>
      </c>
      <c r="DV190" s="23" t="s">
        <v>138</v>
      </c>
      <c r="DW190" s="24">
        <v>168</v>
      </c>
      <c r="DX190" s="27">
        <v>0</v>
      </c>
      <c r="DY190" s="23">
        <v>0</v>
      </c>
      <c r="DZ190" s="15" t="s">
        <v>178</v>
      </c>
      <c r="EA190" s="22">
        <v>43622</v>
      </c>
      <c r="EB190" s="17" t="s">
        <v>138</v>
      </c>
      <c r="EC190" s="22" t="s">
        <v>138</v>
      </c>
      <c r="ED190" s="15" t="s">
        <v>138</v>
      </c>
      <c r="EE190" s="14" t="str">
        <f>HYPERLINK("https://my.pitchbook.com?c=99329-14", "View company online")</f>
        <v>View company online</v>
      </c>
    </row>
    <row r="191" spans="1:135">
      <c r="A191" s="28" t="s">
        <v>4299</v>
      </c>
      <c r="B191" s="28" t="s">
        <v>4300</v>
      </c>
      <c r="C191" s="28" t="s">
        <v>138</v>
      </c>
      <c r="D191" s="28" t="s">
        <v>138</v>
      </c>
      <c r="E191" s="28" t="s">
        <v>4301</v>
      </c>
      <c r="F191" s="28" t="s">
        <v>4299</v>
      </c>
      <c r="G191" s="28" t="s">
        <v>4302</v>
      </c>
      <c r="H191" s="28" t="s">
        <v>322</v>
      </c>
      <c r="I191" s="28" t="s">
        <v>323</v>
      </c>
      <c r="J191" s="28" t="s">
        <v>461</v>
      </c>
      <c r="K191" s="28" t="s">
        <v>2209</v>
      </c>
      <c r="L191" s="28" t="s">
        <v>586</v>
      </c>
      <c r="M191" s="28" t="s">
        <v>4303</v>
      </c>
      <c r="N191" s="28" t="s">
        <v>147</v>
      </c>
      <c r="O191" s="29">
        <v>10.25</v>
      </c>
      <c r="P191" s="28" t="s">
        <v>610</v>
      </c>
      <c r="Q191" s="28" t="s">
        <v>149</v>
      </c>
      <c r="R191" s="28" t="s">
        <v>174</v>
      </c>
      <c r="S191" s="28" t="s">
        <v>4304</v>
      </c>
      <c r="T191" s="30">
        <v>25</v>
      </c>
      <c r="U191" s="28" t="s">
        <v>4305</v>
      </c>
      <c r="V191" s="28" t="s">
        <v>138</v>
      </c>
      <c r="W191" s="28" t="s">
        <v>138</v>
      </c>
      <c r="X191" s="31">
        <v>2016</v>
      </c>
      <c r="Y191" s="28" t="s">
        <v>138</v>
      </c>
      <c r="Z191" s="28" t="s">
        <v>138</v>
      </c>
      <c r="AA191" s="28" t="s">
        <v>4306</v>
      </c>
      <c r="AB191" s="32" t="s">
        <v>138</v>
      </c>
      <c r="AC191" s="32" t="s">
        <v>138</v>
      </c>
      <c r="AD191" s="32" t="s">
        <v>138</v>
      </c>
      <c r="AE191" s="32" t="s">
        <v>138</v>
      </c>
      <c r="AF191" s="32" t="s">
        <v>138</v>
      </c>
      <c r="AG191" s="28" t="s">
        <v>138</v>
      </c>
      <c r="AH191" s="32" t="s">
        <v>138</v>
      </c>
      <c r="AI191" s="32" t="s">
        <v>138</v>
      </c>
      <c r="AJ191" s="32" t="s">
        <v>138</v>
      </c>
      <c r="AK191" s="28" t="s">
        <v>4307</v>
      </c>
      <c r="AL191" s="28" t="s">
        <v>4308</v>
      </c>
      <c r="AM191" s="28" t="s">
        <v>818</v>
      </c>
      <c r="AN191" s="28" t="s">
        <v>4309</v>
      </c>
      <c r="AO191" s="28" t="s">
        <v>138</v>
      </c>
      <c r="AP191" s="28" t="s">
        <v>3817</v>
      </c>
      <c r="AQ191" s="28" t="s">
        <v>4310</v>
      </c>
      <c r="AR191" s="28" t="s">
        <v>138</v>
      </c>
      <c r="AS191" s="28" t="s">
        <v>3820</v>
      </c>
      <c r="AT191" s="28" t="s">
        <v>864</v>
      </c>
      <c r="AU191" s="28" t="s">
        <v>4311</v>
      </c>
      <c r="AV191" s="28" t="s">
        <v>162</v>
      </c>
      <c r="AW191" s="28" t="s">
        <v>138</v>
      </c>
      <c r="AX191" s="28" t="s">
        <v>138</v>
      </c>
      <c r="AY191" s="28" t="s">
        <v>138</v>
      </c>
      <c r="AZ191" s="28" t="s">
        <v>164</v>
      </c>
      <c r="BA191" s="28" t="s">
        <v>165</v>
      </c>
      <c r="BB191" s="28" t="s">
        <v>4312</v>
      </c>
      <c r="BC191" s="28" t="s">
        <v>4313</v>
      </c>
      <c r="BD191" s="33">
        <v>4</v>
      </c>
      <c r="BE191" s="28" t="s">
        <v>138</v>
      </c>
      <c r="BF191" s="28" t="s">
        <v>138</v>
      </c>
      <c r="BG191" s="28" t="s">
        <v>138</v>
      </c>
      <c r="BH191" s="28" t="s">
        <v>4314</v>
      </c>
      <c r="BI191" s="28" t="s">
        <v>138</v>
      </c>
      <c r="BJ191" s="28" t="s">
        <v>138</v>
      </c>
      <c r="BK191" s="28" t="s">
        <v>138</v>
      </c>
      <c r="BL191" s="28" t="s">
        <v>1251</v>
      </c>
      <c r="BM191" s="34">
        <v>42538</v>
      </c>
      <c r="BN191" s="29" t="s">
        <v>138</v>
      </c>
      <c r="BO191" s="28" t="s">
        <v>138</v>
      </c>
      <c r="BP191" s="29" t="s">
        <v>138</v>
      </c>
      <c r="BQ191" s="28" t="s">
        <v>138</v>
      </c>
      <c r="BR191" s="28" t="s">
        <v>234</v>
      </c>
      <c r="BS191" s="28" t="s">
        <v>234</v>
      </c>
      <c r="BT191" s="28" t="s">
        <v>138</v>
      </c>
      <c r="BU191" s="28" t="s">
        <v>174</v>
      </c>
      <c r="BV191" s="28" t="s">
        <v>138</v>
      </c>
      <c r="BW191" s="28" t="s">
        <v>138</v>
      </c>
      <c r="BX191" s="28" t="s">
        <v>138</v>
      </c>
      <c r="BY191" s="28" t="s">
        <v>175</v>
      </c>
      <c r="BZ191" s="34">
        <v>42976</v>
      </c>
      <c r="CA191" s="29">
        <v>10.25</v>
      </c>
      <c r="CB191" s="28" t="s">
        <v>1178</v>
      </c>
      <c r="CC191" s="29" t="s">
        <v>138</v>
      </c>
      <c r="CD191" s="28" t="s">
        <v>138</v>
      </c>
      <c r="CE191" s="28" t="s">
        <v>205</v>
      </c>
      <c r="CF191" s="28" t="s">
        <v>206</v>
      </c>
      <c r="CG191" s="28" t="s">
        <v>138</v>
      </c>
      <c r="CH191" s="28" t="s">
        <v>174</v>
      </c>
      <c r="CI191" s="28" t="s">
        <v>138</v>
      </c>
      <c r="CJ191" s="28" t="s">
        <v>138</v>
      </c>
      <c r="CK191" s="28" t="s">
        <v>138</v>
      </c>
      <c r="CL191" s="28" t="s">
        <v>175</v>
      </c>
      <c r="CM191" s="34" t="s">
        <v>138</v>
      </c>
      <c r="CN191" s="29" t="s">
        <v>138</v>
      </c>
      <c r="CO191" s="35">
        <v>0.34</v>
      </c>
      <c r="CP191" s="36">
        <v>94</v>
      </c>
      <c r="CQ191" s="35">
        <v>-0.03</v>
      </c>
      <c r="CR191" s="35">
        <v>-8.99</v>
      </c>
      <c r="CS191" s="35">
        <v>0</v>
      </c>
      <c r="CT191" s="36">
        <v>23</v>
      </c>
      <c r="CU191" s="35">
        <v>0.67</v>
      </c>
      <c r="CV191" s="36">
        <v>96</v>
      </c>
      <c r="CW191" s="35">
        <v>0</v>
      </c>
      <c r="CX191" s="36">
        <v>13</v>
      </c>
      <c r="CY191" s="35" t="s">
        <v>138</v>
      </c>
      <c r="CZ191" s="36" t="s">
        <v>138</v>
      </c>
      <c r="DA191" s="35">
        <v>0.67</v>
      </c>
      <c r="DB191" s="36">
        <v>96</v>
      </c>
      <c r="DC191" s="37">
        <v>1.91</v>
      </c>
      <c r="DD191" s="36">
        <v>66</v>
      </c>
      <c r="DE191" s="37">
        <v>-0.15</v>
      </c>
      <c r="DF191" s="35">
        <v>-7.42</v>
      </c>
      <c r="DG191" s="37">
        <v>2.5299999999999998</v>
      </c>
      <c r="DH191" s="36">
        <v>71</v>
      </c>
      <c r="DI191" s="37">
        <v>1.3</v>
      </c>
      <c r="DJ191" s="36">
        <v>54</v>
      </c>
      <c r="DK191" s="37">
        <v>2.5299999999999998</v>
      </c>
      <c r="DL191" s="36">
        <v>69</v>
      </c>
      <c r="DM191" s="37" t="s">
        <v>138</v>
      </c>
      <c r="DN191" s="36" t="s">
        <v>138</v>
      </c>
      <c r="DO191" s="37">
        <v>1.3</v>
      </c>
      <c r="DP191" s="36">
        <v>55</v>
      </c>
      <c r="DQ191" s="36">
        <v>830</v>
      </c>
      <c r="DR191" s="38">
        <v>115</v>
      </c>
      <c r="DS191" s="35">
        <v>16.079999999999998</v>
      </c>
      <c r="DT191" s="36" t="s">
        <v>138</v>
      </c>
      <c r="DU191" s="38" t="s">
        <v>138</v>
      </c>
      <c r="DV191" s="35" t="s">
        <v>138</v>
      </c>
      <c r="DW191" s="36">
        <v>462</v>
      </c>
      <c r="DX191" s="39">
        <v>5</v>
      </c>
      <c r="DY191" s="35">
        <v>1.0900000000000001</v>
      </c>
      <c r="DZ191" s="28" t="s">
        <v>178</v>
      </c>
      <c r="EA191" s="34">
        <v>43553</v>
      </c>
      <c r="EB191" s="29" t="s">
        <v>138</v>
      </c>
      <c r="EC191" s="34" t="s">
        <v>138</v>
      </c>
      <c r="ED191" s="28" t="s">
        <v>138</v>
      </c>
      <c r="EE191" s="40" t="str">
        <f>HYPERLINK("https://my.pitchbook.com?c=162953-02", "View company online")</f>
        <v>View company online</v>
      </c>
    </row>
    <row r="192" spans="1:135">
      <c r="A192" s="15" t="s">
        <v>4315</v>
      </c>
      <c r="B192" s="15" t="s">
        <v>4316</v>
      </c>
      <c r="C192" s="15" t="s">
        <v>4317</v>
      </c>
      <c r="D192" s="15" t="s">
        <v>138</v>
      </c>
      <c r="E192" s="15" t="s">
        <v>4318</v>
      </c>
      <c r="F192" s="15" t="s">
        <v>4315</v>
      </c>
      <c r="G192" s="15" t="s">
        <v>4319</v>
      </c>
      <c r="H192" s="15" t="s">
        <v>322</v>
      </c>
      <c r="I192" s="15" t="s">
        <v>323</v>
      </c>
      <c r="J192" s="15" t="s">
        <v>324</v>
      </c>
      <c r="K192" s="15" t="s">
        <v>1649</v>
      </c>
      <c r="L192" s="15" t="s">
        <v>4320</v>
      </c>
      <c r="M192" s="15" t="s">
        <v>4321</v>
      </c>
      <c r="N192" s="15" t="s">
        <v>147</v>
      </c>
      <c r="O192" s="17">
        <v>57.71</v>
      </c>
      <c r="P192" s="15" t="s">
        <v>148</v>
      </c>
      <c r="Q192" s="15" t="s">
        <v>149</v>
      </c>
      <c r="R192" s="15" t="s">
        <v>174</v>
      </c>
      <c r="S192" s="15" t="s">
        <v>4322</v>
      </c>
      <c r="T192" s="18">
        <v>70</v>
      </c>
      <c r="U192" s="15" t="s">
        <v>4323</v>
      </c>
      <c r="V192" s="15" t="s">
        <v>138</v>
      </c>
      <c r="W192" s="15" t="s">
        <v>138</v>
      </c>
      <c r="X192" s="19">
        <v>2010</v>
      </c>
      <c r="Y192" s="15" t="s">
        <v>138</v>
      </c>
      <c r="Z192" s="15" t="s">
        <v>138</v>
      </c>
      <c r="AA192" s="15" t="s">
        <v>138</v>
      </c>
      <c r="AB192" s="20" t="s">
        <v>138</v>
      </c>
      <c r="AC192" s="20" t="s">
        <v>138</v>
      </c>
      <c r="AD192" s="20" t="s">
        <v>138</v>
      </c>
      <c r="AE192" s="20" t="s">
        <v>138</v>
      </c>
      <c r="AF192" s="20" t="s">
        <v>138</v>
      </c>
      <c r="AG192" s="15" t="s">
        <v>138</v>
      </c>
      <c r="AH192" s="20" t="s">
        <v>138</v>
      </c>
      <c r="AI192" s="20" t="s">
        <v>138</v>
      </c>
      <c r="AJ192" s="20" t="s">
        <v>138</v>
      </c>
      <c r="AK192" s="15" t="s">
        <v>4324</v>
      </c>
      <c r="AL192" s="15" t="s">
        <v>4325</v>
      </c>
      <c r="AM192" s="15" t="s">
        <v>4326</v>
      </c>
      <c r="AN192" s="15" t="s">
        <v>4327</v>
      </c>
      <c r="AO192" s="15" t="s">
        <v>4328</v>
      </c>
      <c r="AP192" s="15" t="s">
        <v>3373</v>
      </c>
      <c r="AQ192" s="15" t="s">
        <v>4329</v>
      </c>
      <c r="AR192" s="15" t="s">
        <v>4330</v>
      </c>
      <c r="AS192" s="15" t="s">
        <v>3375</v>
      </c>
      <c r="AT192" s="15" t="s">
        <v>339</v>
      </c>
      <c r="AU192" s="15" t="s">
        <v>3376</v>
      </c>
      <c r="AV192" s="15" t="s">
        <v>162</v>
      </c>
      <c r="AW192" s="15" t="s">
        <v>4328</v>
      </c>
      <c r="AX192" s="15" t="s">
        <v>138</v>
      </c>
      <c r="AY192" s="15" t="s">
        <v>4331</v>
      </c>
      <c r="AZ192" s="15" t="s">
        <v>164</v>
      </c>
      <c r="BA192" s="15" t="s">
        <v>165</v>
      </c>
      <c r="BB192" s="15" t="s">
        <v>4332</v>
      </c>
      <c r="BC192" s="15" t="s">
        <v>4333</v>
      </c>
      <c r="BD192" s="21">
        <v>24</v>
      </c>
      <c r="BE192" s="15" t="s">
        <v>138</v>
      </c>
      <c r="BF192" s="15" t="s">
        <v>138</v>
      </c>
      <c r="BG192" s="15" t="s">
        <v>138</v>
      </c>
      <c r="BH192" s="15" t="s">
        <v>4334</v>
      </c>
      <c r="BI192" s="15" t="s">
        <v>138</v>
      </c>
      <c r="BJ192" s="15" t="s">
        <v>138</v>
      </c>
      <c r="BK192" s="15" t="s">
        <v>4335</v>
      </c>
      <c r="BL192" s="15" t="s">
        <v>4336</v>
      </c>
      <c r="BM192" s="22">
        <v>41365</v>
      </c>
      <c r="BN192" s="17" t="s">
        <v>138</v>
      </c>
      <c r="BO192" s="15" t="s">
        <v>138</v>
      </c>
      <c r="BP192" s="17" t="s">
        <v>138</v>
      </c>
      <c r="BQ192" s="15" t="s">
        <v>138</v>
      </c>
      <c r="BR192" s="15" t="s">
        <v>262</v>
      </c>
      <c r="BS192" s="15" t="s">
        <v>262</v>
      </c>
      <c r="BT192" s="15" t="s">
        <v>138</v>
      </c>
      <c r="BU192" s="15" t="s">
        <v>263</v>
      </c>
      <c r="BV192" s="15" t="s">
        <v>138</v>
      </c>
      <c r="BW192" s="15" t="s">
        <v>138</v>
      </c>
      <c r="BX192" s="15" t="s">
        <v>138</v>
      </c>
      <c r="BY192" s="15" t="s">
        <v>175</v>
      </c>
      <c r="BZ192" s="22">
        <v>43165</v>
      </c>
      <c r="CA192" s="17">
        <v>17.2</v>
      </c>
      <c r="CB192" s="15" t="s">
        <v>172</v>
      </c>
      <c r="CC192" s="17">
        <v>84.2</v>
      </c>
      <c r="CD192" s="15" t="s">
        <v>172</v>
      </c>
      <c r="CE192" s="15" t="s">
        <v>173</v>
      </c>
      <c r="CF192" s="15" t="s">
        <v>720</v>
      </c>
      <c r="CG192" s="15" t="s">
        <v>138</v>
      </c>
      <c r="CH192" s="15" t="s">
        <v>174</v>
      </c>
      <c r="CI192" s="15" t="s">
        <v>138</v>
      </c>
      <c r="CJ192" s="15" t="s">
        <v>138</v>
      </c>
      <c r="CK192" s="15" t="s">
        <v>138</v>
      </c>
      <c r="CL192" s="15" t="s">
        <v>175</v>
      </c>
      <c r="CM192" s="22" t="s">
        <v>138</v>
      </c>
      <c r="CN192" s="17" t="s">
        <v>138</v>
      </c>
      <c r="CO192" s="23">
        <v>0.6</v>
      </c>
      <c r="CP192" s="24">
        <v>96</v>
      </c>
      <c r="CQ192" s="23">
        <v>0.01</v>
      </c>
      <c r="CR192" s="23">
        <v>1.26</v>
      </c>
      <c r="CS192" s="23">
        <v>1</v>
      </c>
      <c r="CT192" s="24">
        <v>97</v>
      </c>
      <c r="CU192" s="23">
        <v>0.21</v>
      </c>
      <c r="CV192" s="24">
        <v>81</v>
      </c>
      <c r="CW192" s="23">
        <v>1</v>
      </c>
      <c r="CX192" s="24">
        <v>85</v>
      </c>
      <c r="CY192" s="23" t="s">
        <v>138</v>
      </c>
      <c r="CZ192" s="24" t="s">
        <v>138</v>
      </c>
      <c r="DA192" s="23">
        <v>0.28000000000000003</v>
      </c>
      <c r="DB192" s="24">
        <v>88</v>
      </c>
      <c r="DC192" s="25">
        <v>5.94</v>
      </c>
      <c r="DD192" s="24">
        <v>85</v>
      </c>
      <c r="DE192" s="25">
        <v>-0.42</v>
      </c>
      <c r="DF192" s="23">
        <v>-6.65</v>
      </c>
      <c r="DG192" s="25">
        <v>6.97</v>
      </c>
      <c r="DH192" s="24">
        <v>86</v>
      </c>
      <c r="DI192" s="25">
        <v>4.9000000000000004</v>
      </c>
      <c r="DJ192" s="24">
        <v>77</v>
      </c>
      <c r="DK192" s="25">
        <v>6.97</v>
      </c>
      <c r="DL192" s="24">
        <v>83</v>
      </c>
      <c r="DM192" s="25" t="s">
        <v>138</v>
      </c>
      <c r="DN192" s="24" t="s">
        <v>138</v>
      </c>
      <c r="DO192" s="25">
        <v>9.16</v>
      </c>
      <c r="DP192" s="24">
        <v>86</v>
      </c>
      <c r="DQ192" s="24">
        <v>2306</v>
      </c>
      <c r="DR192" s="26">
        <v>254</v>
      </c>
      <c r="DS192" s="23">
        <v>12.38</v>
      </c>
      <c r="DT192" s="24" t="s">
        <v>138</v>
      </c>
      <c r="DU192" s="26" t="s">
        <v>138</v>
      </c>
      <c r="DV192" s="23" t="s">
        <v>138</v>
      </c>
      <c r="DW192" s="24">
        <v>3276</v>
      </c>
      <c r="DX192" s="27">
        <v>18</v>
      </c>
      <c r="DY192" s="23">
        <v>0.55000000000000004</v>
      </c>
      <c r="DZ192" s="15" t="s">
        <v>178</v>
      </c>
      <c r="EA192" s="22">
        <v>43622</v>
      </c>
      <c r="EB192" s="17">
        <v>84.2</v>
      </c>
      <c r="EC192" s="22">
        <v>43165</v>
      </c>
      <c r="ED192" s="15" t="s">
        <v>173</v>
      </c>
      <c r="EE192" s="14" t="str">
        <f>HYPERLINK("https://my.pitchbook.com?c=62545-60", "View company online")</f>
        <v>View company online</v>
      </c>
    </row>
    <row r="193" spans="1:135">
      <c r="A193" s="28" t="s">
        <v>4337</v>
      </c>
      <c r="B193" s="28" t="s">
        <v>4338</v>
      </c>
      <c r="C193" s="28" t="s">
        <v>138</v>
      </c>
      <c r="D193" s="28" t="s">
        <v>138</v>
      </c>
      <c r="E193" s="28" t="s">
        <v>4339</v>
      </c>
      <c r="F193" s="28" t="s">
        <v>4337</v>
      </c>
      <c r="G193" s="28" t="s">
        <v>4340</v>
      </c>
      <c r="H193" s="28" t="s">
        <v>322</v>
      </c>
      <c r="I193" s="28" t="s">
        <v>1208</v>
      </c>
      <c r="J193" s="28" t="s">
        <v>1209</v>
      </c>
      <c r="K193" s="28" t="s">
        <v>1971</v>
      </c>
      <c r="L193" s="28" t="s">
        <v>4341</v>
      </c>
      <c r="M193" s="28" t="s">
        <v>4342</v>
      </c>
      <c r="N193" s="28" t="s">
        <v>147</v>
      </c>
      <c r="O193" s="29">
        <v>3.58</v>
      </c>
      <c r="P193" s="28" t="s">
        <v>148</v>
      </c>
      <c r="Q193" s="28" t="s">
        <v>149</v>
      </c>
      <c r="R193" s="28" t="s">
        <v>174</v>
      </c>
      <c r="S193" s="28" t="s">
        <v>4343</v>
      </c>
      <c r="T193" s="30" t="s">
        <v>138</v>
      </c>
      <c r="U193" s="28" t="s">
        <v>138</v>
      </c>
      <c r="V193" s="28" t="s">
        <v>138</v>
      </c>
      <c r="W193" s="28" t="s">
        <v>138</v>
      </c>
      <c r="X193" s="31">
        <v>2015</v>
      </c>
      <c r="Y193" s="28" t="s">
        <v>138</v>
      </c>
      <c r="Z193" s="28" t="s">
        <v>138</v>
      </c>
      <c r="AA193" s="28" t="s">
        <v>138</v>
      </c>
      <c r="AB193" s="32" t="s">
        <v>138</v>
      </c>
      <c r="AC193" s="32" t="s">
        <v>138</v>
      </c>
      <c r="AD193" s="32" t="s">
        <v>138</v>
      </c>
      <c r="AE193" s="32" t="s">
        <v>138</v>
      </c>
      <c r="AF193" s="32" t="s">
        <v>138</v>
      </c>
      <c r="AG193" s="28" t="s">
        <v>138</v>
      </c>
      <c r="AH193" s="32" t="s">
        <v>138</v>
      </c>
      <c r="AI193" s="32" t="s">
        <v>138</v>
      </c>
      <c r="AJ193" s="32" t="s">
        <v>138</v>
      </c>
      <c r="AK193" s="28" t="s">
        <v>4344</v>
      </c>
      <c r="AL193" s="28" t="s">
        <v>4345</v>
      </c>
      <c r="AM193" s="28" t="s">
        <v>4346</v>
      </c>
      <c r="AN193" s="28" t="s">
        <v>138</v>
      </c>
      <c r="AO193" s="28" t="s">
        <v>138</v>
      </c>
      <c r="AP193" s="28" t="s">
        <v>4347</v>
      </c>
      <c r="AQ193" s="28" t="s">
        <v>4348</v>
      </c>
      <c r="AR193" s="28" t="s">
        <v>138</v>
      </c>
      <c r="AS193" s="28" t="s">
        <v>4349</v>
      </c>
      <c r="AT193" s="28" t="s">
        <v>138</v>
      </c>
      <c r="AU193" s="28" t="s">
        <v>4350</v>
      </c>
      <c r="AV193" s="28" t="s">
        <v>1054</v>
      </c>
      <c r="AW193" s="28" t="s">
        <v>138</v>
      </c>
      <c r="AX193" s="28" t="s">
        <v>138</v>
      </c>
      <c r="AY193" s="28" t="s">
        <v>138</v>
      </c>
      <c r="AZ193" s="28" t="s">
        <v>530</v>
      </c>
      <c r="BA193" s="28" t="s">
        <v>531</v>
      </c>
      <c r="BB193" s="28" t="s">
        <v>4351</v>
      </c>
      <c r="BC193" s="28" t="s">
        <v>4352</v>
      </c>
      <c r="BD193" s="33">
        <v>7</v>
      </c>
      <c r="BE193" s="28" t="s">
        <v>138</v>
      </c>
      <c r="BF193" s="28" t="s">
        <v>138</v>
      </c>
      <c r="BG193" s="28" t="s">
        <v>138</v>
      </c>
      <c r="BH193" s="28" t="s">
        <v>4353</v>
      </c>
      <c r="BI193" s="28" t="s">
        <v>138</v>
      </c>
      <c r="BJ193" s="28" t="s">
        <v>138</v>
      </c>
      <c r="BK193" s="28" t="s">
        <v>138</v>
      </c>
      <c r="BL193" s="28" t="s">
        <v>138</v>
      </c>
      <c r="BM193" s="34" t="s">
        <v>138</v>
      </c>
      <c r="BN193" s="29" t="s">
        <v>138</v>
      </c>
      <c r="BO193" s="28" t="s">
        <v>138</v>
      </c>
      <c r="BP193" s="29" t="s">
        <v>138</v>
      </c>
      <c r="BQ193" s="28" t="s">
        <v>138</v>
      </c>
      <c r="BR193" s="28" t="s">
        <v>262</v>
      </c>
      <c r="BS193" s="28" t="s">
        <v>262</v>
      </c>
      <c r="BT193" s="28" t="s">
        <v>138</v>
      </c>
      <c r="BU193" s="28" t="s">
        <v>263</v>
      </c>
      <c r="BV193" s="28" t="s">
        <v>138</v>
      </c>
      <c r="BW193" s="28" t="s">
        <v>138</v>
      </c>
      <c r="BX193" s="28" t="s">
        <v>138</v>
      </c>
      <c r="BY193" s="28" t="s">
        <v>175</v>
      </c>
      <c r="BZ193" s="34">
        <v>42985</v>
      </c>
      <c r="CA193" s="29">
        <v>3.58</v>
      </c>
      <c r="CB193" s="28" t="s">
        <v>172</v>
      </c>
      <c r="CC193" s="29" t="s">
        <v>138</v>
      </c>
      <c r="CD193" s="28" t="s">
        <v>138</v>
      </c>
      <c r="CE193" s="28" t="s">
        <v>205</v>
      </c>
      <c r="CF193" s="28" t="s">
        <v>206</v>
      </c>
      <c r="CG193" s="28" t="s">
        <v>138</v>
      </c>
      <c r="CH193" s="28" t="s">
        <v>174</v>
      </c>
      <c r="CI193" s="28" t="s">
        <v>138</v>
      </c>
      <c r="CJ193" s="28" t="s">
        <v>138</v>
      </c>
      <c r="CK193" s="28" t="s">
        <v>138</v>
      </c>
      <c r="CL193" s="28" t="s">
        <v>175</v>
      </c>
      <c r="CM193" s="34" t="s">
        <v>138</v>
      </c>
      <c r="CN193" s="29" t="s">
        <v>138</v>
      </c>
      <c r="CO193" s="35">
        <v>0</v>
      </c>
      <c r="CP193" s="36">
        <v>26</v>
      </c>
      <c r="CQ193" s="35">
        <v>0</v>
      </c>
      <c r="CR193" s="35">
        <v>0</v>
      </c>
      <c r="CS193" s="35">
        <v>0</v>
      </c>
      <c r="CT193" s="36">
        <v>23</v>
      </c>
      <c r="CU193" s="35">
        <v>0</v>
      </c>
      <c r="CV193" s="36">
        <v>22</v>
      </c>
      <c r="CW193" s="35" t="s">
        <v>138</v>
      </c>
      <c r="CX193" s="36" t="s">
        <v>138</v>
      </c>
      <c r="CY193" s="35">
        <v>0</v>
      </c>
      <c r="CZ193" s="36">
        <v>25</v>
      </c>
      <c r="DA193" s="35">
        <v>0</v>
      </c>
      <c r="DB193" s="36">
        <v>22</v>
      </c>
      <c r="DC193" s="37">
        <v>1.44</v>
      </c>
      <c r="DD193" s="36">
        <v>60</v>
      </c>
      <c r="DE193" s="37">
        <v>0</v>
      </c>
      <c r="DF193" s="35">
        <v>0.05</v>
      </c>
      <c r="DG193" s="37">
        <v>2.62</v>
      </c>
      <c r="DH193" s="36">
        <v>72</v>
      </c>
      <c r="DI193" s="37">
        <v>0.25</v>
      </c>
      <c r="DJ193" s="36">
        <v>25</v>
      </c>
      <c r="DK193" s="37" t="s">
        <v>138</v>
      </c>
      <c r="DL193" s="36" t="s">
        <v>138</v>
      </c>
      <c r="DM193" s="37">
        <v>2.62</v>
      </c>
      <c r="DN193" s="36">
        <v>71</v>
      </c>
      <c r="DO193" s="37">
        <v>0.25</v>
      </c>
      <c r="DP193" s="36">
        <v>27</v>
      </c>
      <c r="DQ193" s="36" t="s">
        <v>138</v>
      </c>
      <c r="DR193" s="38" t="s">
        <v>138</v>
      </c>
      <c r="DS193" s="35" t="s">
        <v>138</v>
      </c>
      <c r="DT193" s="36">
        <v>76</v>
      </c>
      <c r="DU193" s="38">
        <v>0</v>
      </c>
      <c r="DV193" s="35">
        <v>0</v>
      </c>
      <c r="DW193" s="36">
        <v>90</v>
      </c>
      <c r="DX193" s="39">
        <v>-2</v>
      </c>
      <c r="DY193" s="35">
        <v>-2.17</v>
      </c>
      <c r="DZ193" s="28" t="s">
        <v>178</v>
      </c>
      <c r="EA193" s="34">
        <v>43448</v>
      </c>
      <c r="EB193" s="29" t="s">
        <v>138</v>
      </c>
      <c r="EC193" s="34" t="s">
        <v>138</v>
      </c>
      <c r="ED193" s="28" t="s">
        <v>138</v>
      </c>
      <c r="EE193" s="40" t="str">
        <f>HYPERLINK("https://my.pitchbook.com?c=186033-79", "View company online")</f>
        <v>View company online</v>
      </c>
    </row>
    <row r="194" spans="1:135">
      <c r="A194" s="15" t="s">
        <v>4354</v>
      </c>
      <c r="B194" s="15" t="s">
        <v>4355</v>
      </c>
      <c r="C194" s="15" t="s">
        <v>138</v>
      </c>
      <c r="D194" s="15" t="s">
        <v>138</v>
      </c>
      <c r="E194" s="15" t="s">
        <v>138</v>
      </c>
      <c r="F194" s="15" t="s">
        <v>4354</v>
      </c>
      <c r="G194" s="15" t="s">
        <v>4356</v>
      </c>
      <c r="H194" s="15" t="s">
        <v>141</v>
      </c>
      <c r="I194" s="15" t="s">
        <v>142</v>
      </c>
      <c r="J194" s="15" t="s">
        <v>1924</v>
      </c>
      <c r="K194" s="15" t="s">
        <v>4357</v>
      </c>
      <c r="L194" s="15" t="s">
        <v>4358</v>
      </c>
      <c r="M194" s="15" t="s">
        <v>4359</v>
      </c>
      <c r="N194" s="15" t="s">
        <v>147</v>
      </c>
      <c r="O194" s="17">
        <v>24.59</v>
      </c>
      <c r="P194" s="15" t="s">
        <v>148</v>
      </c>
      <c r="Q194" s="15" t="s">
        <v>149</v>
      </c>
      <c r="R194" s="15" t="s">
        <v>174</v>
      </c>
      <c r="S194" s="15" t="s">
        <v>4360</v>
      </c>
      <c r="T194" s="18">
        <v>50</v>
      </c>
      <c r="U194" s="15" t="s">
        <v>2089</v>
      </c>
      <c r="V194" s="15" t="s">
        <v>138</v>
      </c>
      <c r="W194" s="15" t="s">
        <v>138</v>
      </c>
      <c r="X194" s="19">
        <v>2016</v>
      </c>
      <c r="Y194" s="15" t="s">
        <v>138</v>
      </c>
      <c r="Z194" s="15" t="s">
        <v>138</v>
      </c>
      <c r="AA194" s="15" t="s">
        <v>138</v>
      </c>
      <c r="AB194" s="20" t="s">
        <v>138</v>
      </c>
      <c r="AC194" s="20" t="s">
        <v>138</v>
      </c>
      <c r="AD194" s="20" t="s">
        <v>138</v>
      </c>
      <c r="AE194" s="20" t="s">
        <v>138</v>
      </c>
      <c r="AF194" s="20" t="s">
        <v>138</v>
      </c>
      <c r="AG194" s="15" t="s">
        <v>138</v>
      </c>
      <c r="AH194" s="20" t="s">
        <v>138</v>
      </c>
      <c r="AI194" s="20" t="s">
        <v>138</v>
      </c>
      <c r="AJ194" s="20" t="s">
        <v>138</v>
      </c>
      <c r="AK194" s="15" t="s">
        <v>4361</v>
      </c>
      <c r="AL194" s="15" t="s">
        <v>4362</v>
      </c>
      <c r="AM194" s="15" t="s">
        <v>938</v>
      </c>
      <c r="AN194" s="15" t="s">
        <v>4363</v>
      </c>
      <c r="AO194" s="15" t="s">
        <v>4364</v>
      </c>
      <c r="AP194" s="15" t="s">
        <v>446</v>
      </c>
      <c r="AQ194" s="15" t="s">
        <v>4365</v>
      </c>
      <c r="AR194" s="15" t="s">
        <v>4366</v>
      </c>
      <c r="AS194" s="15" t="s">
        <v>449</v>
      </c>
      <c r="AT194" s="15" t="s">
        <v>138</v>
      </c>
      <c r="AU194" s="15" t="s">
        <v>138</v>
      </c>
      <c r="AV194" s="15" t="s">
        <v>450</v>
      </c>
      <c r="AW194" s="15" t="s">
        <v>4364</v>
      </c>
      <c r="AX194" s="15" t="s">
        <v>138</v>
      </c>
      <c r="AY194" s="15" t="s">
        <v>138</v>
      </c>
      <c r="AZ194" s="15" t="s">
        <v>452</v>
      </c>
      <c r="BA194" s="15" t="s">
        <v>453</v>
      </c>
      <c r="BB194" s="15" t="s">
        <v>4367</v>
      </c>
      <c r="BC194" s="15" t="s">
        <v>4368</v>
      </c>
      <c r="BD194" s="21">
        <v>9</v>
      </c>
      <c r="BE194" s="15" t="s">
        <v>138</v>
      </c>
      <c r="BF194" s="15" t="s">
        <v>138</v>
      </c>
      <c r="BG194" s="15" t="s">
        <v>138</v>
      </c>
      <c r="BH194" s="15" t="s">
        <v>4369</v>
      </c>
      <c r="BI194" s="15" t="s">
        <v>138</v>
      </c>
      <c r="BJ194" s="15" t="s">
        <v>138</v>
      </c>
      <c r="BK194" s="15" t="s">
        <v>138</v>
      </c>
      <c r="BL194" s="15" t="s">
        <v>138</v>
      </c>
      <c r="BM194" s="22">
        <v>42499</v>
      </c>
      <c r="BN194" s="17" t="s">
        <v>138</v>
      </c>
      <c r="BO194" s="15" t="s">
        <v>138</v>
      </c>
      <c r="BP194" s="17" t="s">
        <v>138</v>
      </c>
      <c r="BQ194" s="15" t="s">
        <v>138</v>
      </c>
      <c r="BR194" s="15" t="s">
        <v>205</v>
      </c>
      <c r="BS194" s="15" t="s">
        <v>138</v>
      </c>
      <c r="BT194" s="15" t="s">
        <v>138</v>
      </c>
      <c r="BU194" s="15" t="s">
        <v>174</v>
      </c>
      <c r="BV194" s="15" t="s">
        <v>138</v>
      </c>
      <c r="BW194" s="15" t="s">
        <v>138</v>
      </c>
      <c r="BX194" s="15" t="s">
        <v>138</v>
      </c>
      <c r="BY194" s="15" t="s">
        <v>175</v>
      </c>
      <c r="BZ194" s="22">
        <v>43467</v>
      </c>
      <c r="CA194" s="17">
        <v>14.59</v>
      </c>
      <c r="CB194" s="15" t="s">
        <v>172</v>
      </c>
      <c r="CC194" s="17" t="s">
        <v>138</v>
      </c>
      <c r="CD194" s="15" t="s">
        <v>138</v>
      </c>
      <c r="CE194" s="15" t="s">
        <v>205</v>
      </c>
      <c r="CF194" s="15" t="s">
        <v>720</v>
      </c>
      <c r="CG194" s="15" t="s">
        <v>138</v>
      </c>
      <c r="CH194" s="15" t="s">
        <v>174</v>
      </c>
      <c r="CI194" s="15" t="s">
        <v>138</v>
      </c>
      <c r="CJ194" s="15" t="s">
        <v>138</v>
      </c>
      <c r="CK194" s="15" t="s">
        <v>138</v>
      </c>
      <c r="CL194" s="15" t="s">
        <v>175</v>
      </c>
      <c r="CM194" s="22" t="s">
        <v>138</v>
      </c>
      <c r="CN194" s="17" t="s">
        <v>138</v>
      </c>
      <c r="CO194" s="23">
        <v>0</v>
      </c>
      <c r="CP194" s="24">
        <v>26</v>
      </c>
      <c r="CQ194" s="23">
        <v>0</v>
      </c>
      <c r="CR194" s="23">
        <v>0</v>
      </c>
      <c r="CS194" s="23">
        <v>0</v>
      </c>
      <c r="CT194" s="24">
        <v>23</v>
      </c>
      <c r="CU194" s="23" t="s">
        <v>138</v>
      </c>
      <c r="CV194" s="24" t="s">
        <v>138</v>
      </c>
      <c r="CW194" s="23" t="s">
        <v>138</v>
      </c>
      <c r="CX194" s="24" t="s">
        <v>138</v>
      </c>
      <c r="CY194" s="23">
        <v>0</v>
      </c>
      <c r="CZ194" s="24">
        <v>25</v>
      </c>
      <c r="DA194" s="23" t="s">
        <v>138</v>
      </c>
      <c r="DB194" s="24" t="s">
        <v>138</v>
      </c>
      <c r="DC194" s="25">
        <v>0.79</v>
      </c>
      <c r="DD194" s="24">
        <v>45</v>
      </c>
      <c r="DE194" s="25">
        <v>7.0000000000000007E-2</v>
      </c>
      <c r="DF194" s="23">
        <v>9.52</v>
      </c>
      <c r="DG194" s="25">
        <v>0.79</v>
      </c>
      <c r="DH194" s="24">
        <v>45</v>
      </c>
      <c r="DI194" s="25" t="s">
        <v>138</v>
      </c>
      <c r="DJ194" s="24" t="s">
        <v>138</v>
      </c>
      <c r="DK194" s="25" t="s">
        <v>138</v>
      </c>
      <c r="DL194" s="24" t="s">
        <v>138</v>
      </c>
      <c r="DM194" s="25">
        <v>0.79</v>
      </c>
      <c r="DN194" s="24">
        <v>45</v>
      </c>
      <c r="DO194" s="25" t="s">
        <v>138</v>
      </c>
      <c r="DP194" s="24" t="s">
        <v>138</v>
      </c>
      <c r="DQ194" s="24" t="s">
        <v>138</v>
      </c>
      <c r="DR194" s="26" t="s">
        <v>138</v>
      </c>
      <c r="DS194" s="23" t="s">
        <v>138</v>
      </c>
      <c r="DT194" s="24">
        <v>22</v>
      </c>
      <c r="DU194" s="26">
        <v>2</v>
      </c>
      <c r="DV194" s="23">
        <v>10</v>
      </c>
      <c r="DW194" s="24" t="s">
        <v>138</v>
      </c>
      <c r="DX194" s="27" t="s">
        <v>138</v>
      </c>
      <c r="DY194" s="23" t="s">
        <v>138</v>
      </c>
      <c r="DZ194" s="15" t="s">
        <v>178</v>
      </c>
      <c r="EA194" s="22">
        <v>43473</v>
      </c>
      <c r="EB194" s="17" t="s">
        <v>138</v>
      </c>
      <c r="EC194" s="22" t="s">
        <v>138</v>
      </c>
      <c r="ED194" s="15" t="s">
        <v>138</v>
      </c>
      <c r="EE194" s="14" t="str">
        <f>HYPERLINK("https://my.pitchbook.com?c=264424-24", "View company online")</f>
        <v>View company online</v>
      </c>
    </row>
    <row r="195" spans="1:135">
      <c r="A195" s="28" t="s">
        <v>4370</v>
      </c>
      <c r="B195" s="28" t="s">
        <v>4371</v>
      </c>
      <c r="C195" s="28" t="s">
        <v>138</v>
      </c>
      <c r="D195" s="28" t="s">
        <v>138</v>
      </c>
      <c r="E195" s="28" t="s">
        <v>138</v>
      </c>
      <c r="F195" s="28" t="s">
        <v>4370</v>
      </c>
      <c r="G195" s="28" t="s">
        <v>4372</v>
      </c>
      <c r="H195" s="28" t="s">
        <v>322</v>
      </c>
      <c r="I195" s="28" t="s">
        <v>323</v>
      </c>
      <c r="J195" s="28" t="s">
        <v>437</v>
      </c>
      <c r="K195" s="28" t="s">
        <v>4373</v>
      </c>
      <c r="L195" s="28" t="s">
        <v>4374</v>
      </c>
      <c r="M195" s="28" t="s">
        <v>4375</v>
      </c>
      <c r="N195" s="28" t="s">
        <v>147</v>
      </c>
      <c r="O195" s="29">
        <v>2.59</v>
      </c>
      <c r="P195" s="28" t="s">
        <v>148</v>
      </c>
      <c r="Q195" s="28" t="s">
        <v>149</v>
      </c>
      <c r="R195" s="28" t="s">
        <v>174</v>
      </c>
      <c r="S195" s="28" t="s">
        <v>4376</v>
      </c>
      <c r="T195" s="30" t="s">
        <v>138</v>
      </c>
      <c r="U195" s="28" t="s">
        <v>138</v>
      </c>
      <c r="V195" s="28" t="s">
        <v>138</v>
      </c>
      <c r="W195" s="28" t="s">
        <v>138</v>
      </c>
      <c r="X195" s="31">
        <v>2017</v>
      </c>
      <c r="Y195" s="28" t="s">
        <v>138</v>
      </c>
      <c r="Z195" s="28" t="s">
        <v>138</v>
      </c>
      <c r="AA195" s="28" t="s">
        <v>138</v>
      </c>
      <c r="AB195" s="32">
        <v>0.09</v>
      </c>
      <c r="AC195" s="32" t="s">
        <v>138</v>
      </c>
      <c r="AD195" s="32">
        <v>-0.04</v>
      </c>
      <c r="AE195" s="32" t="s">
        <v>138</v>
      </c>
      <c r="AF195" s="32">
        <v>-0.04</v>
      </c>
      <c r="AG195" s="28" t="s">
        <v>707</v>
      </c>
      <c r="AH195" s="32" t="s">
        <v>138</v>
      </c>
      <c r="AI195" s="32" t="s">
        <v>138</v>
      </c>
      <c r="AJ195" s="32" t="s">
        <v>138</v>
      </c>
      <c r="AK195" s="28" t="s">
        <v>4377</v>
      </c>
      <c r="AL195" s="28" t="s">
        <v>4378</v>
      </c>
      <c r="AM195" s="28" t="s">
        <v>221</v>
      </c>
      <c r="AN195" s="28" t="s">
        <v>4379</v>
      </c>
      <c r="AO195" s="28" t="s">
        <v>4380</v>
      </c>
      <c r="AP195" s="28" t="s">
        <v>1870</v>
      </c>
      <c r="AQ195" s="28" t="s">
        <v>4381</v>
      </c>
      <c r="AR195" s="28" t="s">
        <v>4382</v>
      </c>
      <c r="AS195" s="28" t="s">
        <v>1872</v>
      </c>
      <c r="AT195" s="28" t="s">
        <v>200</v>
      </c>
      <c r="AU195" s="28" t="s">
        <v>4383</v>
      </c>
      <c r="AV195" s="28" t="s">
        <v>162</v>
      </c>
      <c r="AW195" s="28" t="s">
        <v>4380</v>
      </c>
      <c r="AX195" s="28" t="s">
        <v>138</v>
      </c>
      <c r="AY195" s="28" t="s">
        <v>4384</v>
      </c>
      <c r="AZ195" s="28" t="s">
        <v>164</v>
      </c>
      <c r="BA195" s="28" t="s">
        <v>165</v>
      </c>
      <c r="BB195" s="28" t="s">
        <v>4385</v>
      </c>
      <c r="BC195" s="28" t="s">
        <v>4386</v>
      </c>
      <c r="BD195" s="33">
        <v>6</v>
      </c>
      <c r="BE195" s="28" t="s">
        <v>138</v>
      </c>
      <c r="BF195" s="28" t="s">
        <v>138</v>
      </c>
      <c r="BG195" s="28" t="s">
        <v>138</v>
      </c>
      <c r="BH195" s="28" t="s">
        <v>4387</v>
      </c>
      <c r="BI195" s="28" t="s">
        <v>138</v>
      </c>
      <c r="BJ195" s="28" t="s">
        <v>138</v>
      </c>
      <c r="BK195" s="28" t="s">
        <v>138</v>
      </c>
      <c r="BL195" s="28" t="s">
        <v>138</v>
      </c>
      <c r="BM195" s="34">
        <v>43231</v>
      </c>
      <c r="BN195" s="29">
        <v>0.18</v>
      </c>
      <c r="BO195" s="28" t="s">
        <v>172</v>
      </c>
      <c r="BP195" s="29" t="s">
        <v>138</v>
      </c>
      <c r="BQ195" s="28" t="s">
        <v>138</v>
      </c>
      <c r="BR195" s="28" t="s">
        <v>234</v>
      </c>
      <c r="BS195" s="28" t="s">
        <v>234</v>
      </c>
      <c r="BT195" s="28" t="s">
        <v>138</v>
      </c>
      <c r="BU195" s="28" t="s">
        <v>174</v>
      </c>
      <c r="BV195" s="28" t="s">
        <v>138</v>
      </c>
      <c r="BW195" s="28" t="s">
        <v>138</v>
      </c>
      <c r="BX195" s="28" t="s">
        <v>138</v>
      </c>
      <c r="BY195" s="28" t="s">
        <v>175</v>
      </c>
      <c r="BZ195" s="34">
        <v>43353</v>
      </c>
      <c r="CA195" s="29">
        <v>2.41</v>
      </c>
      <c r="CB195" s="28" t="s">
        <v>172</v>
      </c>
      <c r="CC195" s="29" t="s">
        <v>138</v>
      </c>
      <c r="CD195" s="28" t="s">
        <v>138</v>
      </c>
      <c r="CE195" s="28" t="s">
        <v>234</v>
      </c>
      <c r="CF195" s="28" t="s">
        <v>234</v>
      </c>
      <c r="CG195" s="28" t="s">
        <v>138</v>
      </c>
      <c r="CH195" s="28" t="s">
        <v>174</v>
      </c>
      <c r="CI195" s="28" t="s">
        <v>138</v>
      </c>
      <c r="CJ195" s="28" t="s">
        <v>138</v>
      </c>
      <c r="CK195" s="28" t="s">
        <v>138</v>
      </c>
      <c r="CL195" s="28" t="s">
        <v>175</v>
      </c>
      <c r="CM195" s="34" t="s">
        <v>138</v>
      </c>
      <c r="CN195" s="29" t="s">
        <v>138</v>
      </c>
      <c r="CO195" s="35">
        <v>0.92</v>
      </c>
      <c r="CP195" s="36">
        <v>97</v>
      </c>
      <c r="CQ195" s="35">
        <v>-0.06</v>
      </c>
      <c r="CR195" s="35">
        <v>-6.25</v>
      </c>
      <c r="CS195" s="35">
        <v>1.85</v>
      </c>
      <c r="CT195" s="36">
        <v>98</v>
      </c>
      <c r="CU195" s="35">
        <v>-0.13</v>
      </c>
      <c r="CV195" s="36">
        <v>3</v>
      </c>
      <c r="CW195" s="35">
        <v>3.7</v>
      </c>
      <c r="CX195" s="36">
        <v>93</v>
      </c>
      <c r="CY195" s="35">
        <v>0</v>
      </c>
      <c r="CZ195" s="36">
        <v>25</v>
      </c>
      <c r="DA195" s="35">
        <v>-0.26</v>
      </c>
      <c r="DB195" s="36">
        <v>1</v>
      </c>
      <c r="DC195" s="37">
        <v>6.8</v>
      </c>
      <c r="DD195" s="36">
        <v>86</v>
      </c>
      <c r="DE195" s="37">
        <v>-0.03</v>
      </c>
      <c r="DF195" s="35">
        <v>-0.38</v>
      </c>
      <c r="DG195" s="37">
        <v>3.98</v>
      </c>
      <c r="DH195" s="36">
        <v>79</v>
      </c>
      <c r="DI195" s="37">
        <v>10.11</v>
      </c>
      <c r="DJ195" s="36">
        <v>85</v>
      </c>
      <c r="DK195" s="37">
        <v>6.75</v>
      </c>
      <c r="DL195" s="36">
        <v>83</v>
      </c>
      <c r="DM195" s="37">
        <v>1.21</v>
      </c>
      <c r="DN195" s="36">
        <v>54</v>
      </c>
      <c r="DO195" s="37">
        <v>20.059999999999999</v>
      </c>
      <c r="DP195" s="36">
        <v>92</v>
      </c>
      <c r="DQ195" s="36">
        <v>2236</v>
      </c>
      <c r="DR195" s="38">
        <v>233</v>
      </c>
      <c r="DS195" s="35">
        <v>11.63</v>
      </c>
      <c r="DT195" s="36">
        <v>35</v>
      </c>
      <c r="DU195" s="38">
        <v>-1</v>
      </c>
      <c r="DV195" s="35">
        <v>-2.78</v>
      </c>
      <c r="DW195" s="36">
        <v>7181</v>
      </c>
      <c r="DX195" s="39">
        <v>-17</v>
      </c>
      <c r="DY195" s="35">
        <v>-0.24</v>
      </c>
      <c r="DZ195" s="28" t="s">
        <v>178</v>
      </c>
      <c r="EA195" s="34">
        <v>43410</v>
      </c>
      <c r="EB195" s="29" t="s">
        <v>138</v>
      </c>
      <c r="EC195" s="34" t="s">
        <v>138</v>
      </c>
      <c r="ED195" s="28" t="s">
        <v>138</v>
      </c>
      <c r="EE195" s="40" t="str">
        <f>HYPERLINK("https://my.pitchbook.com?c=117428-32", "View company online")</f>
        <v>View company online</v>
      </c>
    </row>
    <row r="196" spans="1:135">
      <c r="A196" s="15" t="s">
        <v>4388</v>
      </c>
      <c r="B196" s="15" t="s">
        <v>4389</v>
      </c>
      <c r="C196" s="15" t="s">
        <v>138</v>
      </c>
      <c r="D196" s="15" t="s">
        <v>4390</v>
      </c>
      <c r="E196" s="15" t="s">
        <v>4391</v>
      </c>
      <c r="F196" s="15" t="s">
        <v>4388</v>
      </c>
      <c r="G196" s="15" t="s">
        <v>4392</v>
      </c>
      <c r="H196" s="15" t="s">
        <v>238</v>
      </c>
      <c r="I196" s="15" t="s">
        <v>749</v>
      </c>
      <c r="J196" s="15" t="s">
        <v>750</v>
      </c>
      <c r="K196" s="15" t="s">
        <v>751</v>
      </c>
      <c r="L196" s="15" t="s">
        <v>4393</v>
      </c>
      <c r="M196" s="15" t="s">
        <v>4394</v>
      </c>
      <c r="N196" s="15" t="s">
        <v>147</v>
      </c>
      <c r="O196" s="17">
        <v>44.69</v>
      </c>
      <c r="P196" s="15" t="s">
        <v>610</v>
      </c>
      <c r="Q196" s="15" t="s">
        <v>149</v>
      </c>
      <c r="R196" s="15" t="s">
        <v>174</v>
      </c>
      <c r="S196" s="15" t="s">
        <v>4395</v>
      </c>
      <c r="T196" s="18">
        <v>13</v>
      </c>
      <c r="U196" s="15" t="s">
        <v>4396</v>
      </c>
      <c r="V196" s="15" t="s">
        <v>138</v>
      </c>
      <c r="W196" s="15" t="s">
        <v>138</v>
      </c>
      <c r="X196" s="19">
        <v>2010</v>
      </c>
      <c r="Y196" s="15" t="s">
        <v>138</v>
      </c>
      <c r="Z196" s="15" t="s">
        <v>138</v>
      </c>
      <c r="AA196" s="15" t="s">
        <v>138</v>
      </c>
      <c r="AB196" s="20" t="s">
        <v>138</v>
      </c>
      <c r="AC196" s="20" t="s">
        <v>138</v>
      </c>
      <c r="AD196" s="20" t="s">
        <v>138</v>
      </c>
      <c r="AE196" s="20" t="s">
        <v>138</v>
      </c>
      <c r="AF196" s="20" t="s">
        <v>138</v>
      </c>
      <c r="AG196" s="15" t="s">
        <v>138</v>
      </c>
      <c r="AH196" s="20" t="s">
        <v>138</v>
      </c>
      <c r="AI196" s="20" t="s">
        <v>138</v>
      </c>
      <c r="AJ196" s="20" t="s">
        <v>138</v>
      </c>
      <c r="AK196" s="15" t="s">
        <v>4397</v>
      </c>
      <c r="AL196" s="15" t="s">
        <v>4398</v>
      </c>
      <c r="AM196" s="15" t="s">
        <v>4399</v>
      </c>
      <c r="AN196" s="15" t="s">
        <v>4400</v>
      </c>
      <c r="AO196" s="15" t="s">
        <v>4401</v>
      </c>
      <c r="AP196" s="15" t="s">
        <v>1292</v>
      </c>
      <c r="AQ196" s="15" t="s">
        <v>4402</v>
      </c>
      <c r="AR196" s="15" t="s">
        <v>4403</v>
      </c>
      <c r="AS196" s="15" t="s">
        <v>1294</v>
      </c>
      <c r="AT196" s="15" t="s">
        <v>864</v>
      </c>
      <c r="AU196" s="15" t="s">
        <v>4404</v>
      </c>
      <c r="AV196" s="15" t="s">
        <v>162</v>
      </c>
      <c r="AW196" s="15" t="s">
        <v>4401</v>
      </c>
      <c r="AX196" s="15" t="s">
        <v>138</v>
      </c>
      <c r="AY196" s="15" t="s">
        <v>4405</v>
      </c>
      <c r="AZ196" s="15" t="s">
        <v>164</v>
      </c>
      <c r="BA196" s="15" t="s">
        <v>165</v>
      </c>
      <c r="BB196" s="15" t="s">
        <v>4406</v>
      </c>
      <c r="BC196" s="15" t="s">
        <v>4407</v>
      </c>
      <c r="BD196" s="21">
        <v>7</v>
      </c>
      <c r="BE196" s="15" t="s">
        <v>138</v>
      </c>
      <c r="BF196" s="15" t="s">
        <v>138</v>
      </c>
      <c r="BG196" s="15" t="s">
        <v>138</v>
      </c>
      <c r="BH196" s="15" t="s">
        <v>4408</v>
      </c>
      <c r="BI196" s="15" t="s">
        <v>138</v>
      </c>
      <c r="BJ196" s="15" t="s">
        <v>138</v>
      </c>
      <c r="BK196" s="15" t="s">
        <v>4409</v>
      </c>
      <c r="BL196" s="15" t="s">
        <v>138</v>
      </c>
      <c r="BM196" s="22">
        <v>40878</v>
      </c>
      <c r="BN196" s="17">
        <v>10</v>
      </c>
      <c r="BO196" s="15" t="s">
        <v>172</v>
      </c>
      <c r="BP196" s="17">
        <v>44.12</v>
      </c>
      <c r="BQ196" s="15" t="s">
        <v>172</v>
      </c>
      <c r="BR196" s="15" t="s">
        <v>205</v>
      </c>
      <c r="BS196" s="15" t="s">
        <v>720</v>
      </c>
      <c r="BT196" s="15" t="s">
        <v>138</v>
      </c>
      <c r="BU196" s="15" t="s">
        <v>174</v>
      </c>
      <c r="BV196" s="15" t="s">
        <v>138</v>
      </c>
      <c r="BW196" s="15" t="s">
        <v>138</v>
      </c>
      <c r="BX196" s="15" t="s">
        <v>138</v>
      </c>
      <c r="BY196" s="15" t="s">
        <v>175</v>
      </c>
      <c r="BZ196" s="22">
        <v>41604</v>
      </c>
      <c r="CA196" s="17">
        <v>9.69</v>
      </c>
      <c r="CB196" s="15" t="s">
        <v>172</v>
      </c>
      <c r="CC196" s="17">
        <v>55</v>
      </c>
      <c r="CD196" s="15" t="s">
        <v>172</v>
      </c>
      <c r="CE196" s="15" t="s">
        <v>173</v>
      </c>
      <c r="CF196" s="15" t="s">
        <v>4410</v>
      </c>
      <c r="CG196" s="15" t="s">
        <v>138</v>
      </c>
      <c r="CH196" s="15" t="s">
        <v>174</v>
      </c>
      <c r="CI196" s="15" t="s">
        <v>138</v>
      </c>
      <c r="CJ196" s="15" t="s">
        <v>138</v>
      </c>
      <c r="CK196" s="15" t="s">
        <v>138</v>
      </c>
      <c r="CL196" s="15" t="s">
        <v>175</v>
      </c>
      <c r="CM196" s="22" t="s">
        <v>138</v>
      </c>
      <c r="CN196" s="17" t="s">
        <v>138</v>
      </c>
      <c r="CO196" s="23">
        <v>-0.87</v>
      </c>
      <c r="CP196" s="24">
        <v>12</v>
      </c>
      <c r="CQ196" s="23">
        <v>-0.01</v>
      </c>
      <c r="CR196" s="23">
        <v>-1.48</v>
      </c>
      <c r="CS196" s="23">
        <v>-1.73</v>
      </c>
      <c r="CT196" s="24">
        <v>10</v>
      </c>
      <c r="CU196" s="23">
        <v>0</v>
      </c>
      <c r="CV196" s="24">
        <v>22</v>
      </c>
      <c r="CW196" s="23">
        <v>3.7</v>
      </c>
      <c r="CX196" s="24">
        <v>93</v>
      </c>
      <c r="CY196" s="23">
        <v>-7.16</v>
      </c>
      <c r="CZ196" s="24">
        <v>1</v>
      </c>
      <c r="DA196" s="23">
        <v>0</v>
      </c>
      <c r="DB196" s="24">
        <v>22</v>
      </c>
      <c r="DC196" s="25">
        <v>27.69</v>
      </c>
      <c r="DD196" s="24">
        <v>96</v>
      </c>
      <c r="DE196" s="25">
        <v>-14.16</v>
      </c>
      <c r="DF196" s="23">
        <v>-33.85</v>
      </c>
      <c r="DG196" s="25">
        <v>10.83</v>
      </c>
      <c r="DH196" s="24">
        <v>90</v>
      </c>
      <c r="DI196" s="25">
        <v>44.54</v>
      </c>
      <c r="DJ196" s="24">
        <v>95</v>
      </c>
      <c r="DK196" s="25">
        <v>8.49</v>
      </c>
      <c r="DL196" s="24">
        <v>85</v>
      </c>
      <c r="DM196" s="25">
        <v>13.17</v>
      </c>
      <c r="DN196" s="24">
        <v>91</v>
      </c>
      <c r="DO196" s="25">
        <v>44.54</v>
      </c>
      <c r="DP196" s="24">
        <v>96</v>
      </c>
      <c r="DQ196" s="24">
        <v>2893</v>
      </c>
      <c r="DR196" s="26">
        <v>56</v>
      </c>
      <c r="DS196" s="23">
        <v>1.97</v>
      </c>
      <c r="DT196" s="24">
        <v>382</v>
      </c>
      <c r="DU196" s="26">
        <v>-2</v>
      </c>
      <c r="DV196" s="23">
        <v>-0.52</v>
      </c>
      <c r="DW196" s="24">
        <v>15947</v>
      </c>
      <c r="DX196" s="27">
        <v>2</v>
      </c>
      <c r="DY196" s="23">
        <v>0.01</v>
      </c>
      <c r="DZ196" s="15" t="s">
        <v>178</v>
      </c>
      <c r="EA196" s="22">
        <v>43351</v>
      </c>
      <c r="EB196" s="17">
        <v>55</v>
      </c>
      <c r="EC196" s="22">
        <v>41604</v>
      </c>
      <c r="ED196" s="15" t="s">
        <v>173</v>
      </c>
      <c r="EE196" s="14" t="str">
        <f>HYPERLINK("https://my.pitchbook.com?c=54685-00", "View company online")</f>
        <v>View company online</v>
      </c>
    </row>
    <row r="197" spans="1:135">
      <c r="A197" s="28" t="s">
        <v>4411</v>
      </c>
      <c r="B197" s="28" t="s">
        <v>4412</v>
      </c>
      <c r="C197" s="28" t="s">
        <v>138</v>
      </c>
      <c r="D197" s="28" t="s">
        <v>138</v>
      </c>
      <c r="E197" s="28" t="s">
        <v>138</v>
      </c>
      <c r="F197" s="28" t="s">
        <v>4411</v>
      </c>
      <c r="G197" s="28" t="s">
        <v>4413</v>
      </c>
      <c r="H197" s="28" t="s">
        <v>322</v>
      </c>
      <c r="I197" s="28" t="s">
        <v>323</v>
      </c>
      <c r="J197" s="28" t="s">
        <v>413</v>
      </c>
      <c r="K197" s="28" t="s">
        <v>4414</v>
      </c>
      <c r="L197" s="28" t="s">
        <v>242</v>
      </c>
      <c r="M197" s="28" t="s">
        <v>4415</v>
      </c>
      <c r="N197" s="28" t="s">
        <v>147</v>
      </c>
      <c r="O197" s="29">
        <v>2.2000000000000002</v>
      </c>
      <c r="P197" s="28" t="s">
        <v>148</v>
      </c>
      <c r="Q197" s="28" t="s">
        <v>149</v>
      </c>
      <c r="R197" s="28" t="s">
        <v>174</v>
      </c>
      <c r="S197" s="28" t="s">
        <v>4416</v>
      </c>
      <c r="T197" s="30">
        <v>2</v>
      </c>
      <c r="U197" s="28" t="s">
        <v>4417</v>
      </c>
      <c r="V197" s="28" t="s">
        <v>138</v>
      </c>
      <c r="W197" s="28" t="s">
        <v>138</v>
      </c>
      <c r="X197" s="31">
        <v>2015</v>
      </c>
      <c r="Y197" s="28" t="s">
        <v>138</v>
      </c>
      <c r="Z197" s="28" t="s">
        <v>138</v>
      </c>
      <c r="AA197" s="28" t="s">
        <v>138</v>
      </c>
      <c r="AB197" s="32" t="s">
        <v>138</v>
      </c>
      <c r="AC197" s="32" t="s">
        <v>138</v>
      </c>
      <c r="AD197" s="32" t="s">
        <v>138</v>
      </c>
      <c r="AE197" s="32" t="s">
        <v>138</v>
      </c>
      <c r="AF197" s="32" t="s">
        <v>138</v>
      </c>
      <c r="AG197" s="28" t="s">
        <v>138</v>
      </c>
      <c r="AH197" s="32" t="s">
        <v>138</v>
      </c>
      <c r="AI197" s="32" t="s">
        <v>138</v>
      </c>
      <c r="AJ197" s="32" t="s">
        <v>138</v>
      </c>
      <c r="AK197" s="28" t="s">
        <v>4418</v>
      </c>
      <c r="AL197" s="28" t="s">
        <v>4419</v>
      </c>
      <c r="AM197" s="28" t="s">
        <v>938</v>
      </c>
      <c r="AN197" s="28" t="s">
        <v>4420</v>
      </c>
      <c r="AO197" s="28" t="s">
        <v>138</v>
      </c>
      <c r="AP197" s="28" t="s">
        <v>1870</v>
      </c>
      <c r="AQ197" s="28" t="s">
        <v>4421</v>
      </c>
      <c r="AR197" s="28" t="s">
        <v>4422</v>
      </c>
      <c r="AS197" s="28" t="s">
        <v>1872</v>
      </c>
      <c r="AT197" s="28" t="s">
        <v>200</v>
      </c>
      <c r="AU197" s="28" t="s">
        <v>4423</v>
      </c>
      <c r="AV197" s="28" t="s">
        <v>162</v>
      </c>
      <c r="AW197" s="28" t="s">
        <v>138</v>
      </c>
      <c r="AX197" s="28" t="s">
        <v>138</v>
      </c>
      <c r="AY197" s="28" t="s">
        <v>4424</v>
      </c>
      <c r="AZ197" s="28" t="s">
        <v>164</v>
      </c>
      <c r="BA197" s="28" t="s">
        <v>165</v>
      </c>
      <c r="BB197" s="28" t="s">
        <v>4425</v>
      </c>
      <c r="BC197" s="28" t="s">
        <v>4426</v>
      </c>
      <c r="BD197" s="33">
        <v>9</v>
      </c>
      <c r="BE197" s="28" t="s">
        <v>138</v>
      </c>
      <c r="BF197" s="28" t="s">
        <v>138</v>
      </c>
      <c r="BG197" s="28" t="s">
        <v>138</v>
      </c>
      <c r="BH197" s="28" t="s">
        <v>4427</v>
      </c>
      <c r="BI197" s="28" t="s">
        <v>138</v>
      </c>
      <c r="BJ197" s="28" t="s">
        <v>138</v>
      </c>
      <c r="BK197" s="28" t="s">
        <v>290</v>
      </c>
      <c r="BL197" s="28" t="s">
        <v>290</v>
      </c>
      <c r="BM197" s="34">
        <v>42383</v>
      </c>
      <c r="BN197" s="29">
        <v>2.2000000000000002</v>
      </c>
      <c r="BO197" s="28" t="s">
        <v>172</v>
      </c>
      <c r="BP197" s="29">
        <v>10.85</v>
      </c>
      <c r="BQ197" s="28" t="s">
        <v>172</v>
      </c>
      <c r="BR197" s="28" t="s">
        <v>234</v>
      </c>
      <c r="BS197" s="28" t="s">
        <v>234</v>
      </c>
      <c r="BT197" s="28" t="s">
        <v>138</v>
      </c>
      <c r="BU197" s="28" t="s">
        <v>174</v>
      </c>
      <c r="BV197" s="28" t="s">
        <v>138</v>
      </c>
      <c r="BW197" s="28" t="s">
        <v>138</v>
      </c>
      <c r="BX197" s="28" t="s">
        <v>138</v>
      </c>
      <c r="BY197" s="28" t="s">
        <v>175</v>
      </c>
      <c r="BZ197" s="34">
        <v>42383</v>
      </c>
      <c r="CA197" s="29">
        <v>2.2000000000000002</v>
      </c>
      <c r="CB197" s="28" t="s">
        <v>172</v>
      </c>
      <c r="CC197" s="29">
        <v>10.85</v>
      </c>
      <c r="CD197" s="28" t="s">
        <v>172</v>
      </c>
      <c r="CE197" s="28" t="s">
        <v>234</v>
      </c>
      <c r="CF197" s="28" t="s">
        <v>234</v>
      </c>
      <c r="CG197" s="28" t="s">
        <v>138</v>
      </c>
      <c r="CH197" s="28" t="s">
        <v>174</v>
      </c>
      <c r="CI197" s="28" t="s">
        <v>138</v>
      </c>
      <c r="CJ197" s="28" t="s">
        <v>138</v>
      </c>
      <c r="CK197" s="28" t="s">
        <v>138</v>
      </c>
      <c r="CL197" s="28" t="s">
        <v>175</v>
      </c>
      <c r="CM197" s="34" t="s">
        <v>138</v>
      </c>
      <c r="CN197" s="29" t="s">
        <v>138</v>
      </c>
      <c r="CO197" s="35">
        <v>-0.1</v>
      </c>
      <c r="CP197" s="36">
        <v>21</v>
      </c>
      <c r="CQ197" s="35">
        <v>0.02</v>
      </c>
      <c r="CR197" s="35">
        <v>14.4</v>
      </c>
      <c r="CS197" s="35" t="s">
        <v>138</v>
      </c>
      <c r="CT197" s="36" t="s">
        <v>138</v>
      </c>
      <c r="CU197" s="35">
        <v>-0.1</v>
      </c>
      <c r="CV197" s="36">
        <v>4</v>
      </c>
      <c r="CW197" s="35" t="s">
        <v>138</v>
      </c>
      <c r="CX197" s="36" t="s">
        <v>138</v>
      </c>
      <c r="CY197" s="35" t="s">
        <v>138</v>
      </c>
      <c r="CZ197" s="36" t="s">
        <v>138</v>
      </c>
      <c r="DA197" s="35">
        <v>-0.1</v>
      </c>
      <c r="DB197" s="36">
        <v>6</v>
      </c>
      <c r="DC197" s="37">
        <v>24.34</v>
      </c>
      <c r="DD197" s="36">
        <v>96</v>
      </c>
      <c r="DE197" s="37">
        <v>0.13</v>
      </c>
      <c r="DF197" s="35">
        <v>0.54</v>
      </c>
      <c r="DG197" s="37" t="s">
        <v>138</v>
      </c>
      <c r="DH197" s="36" t="s">
        <v>138</v>
      </c>
      <c r="DI197" s="37">
        <v>24.34</v>
      </c>
      <c r="DJ197" s="36">
        <v>92</v>
      </c>
      <c r="DK197" s="37" t="s">
        <v>138</v>
      </c>
      <c r="DL197" s="36" t="s">
        <v>138</v>
      </c>
      <c r="DM197" s="37" t="s">
        <v>138</v>
      </c>
      <c r="DN197" s="36" t="s">
        <v>138</v>
      </c>
      <c r="DO197" s="37">
        <v>24.34</v>
      </c>
      <c r="DP197" s="36">
        <v>94</v>
      </c>
      <c r="DQ197" s="36" t="s">
        <v>138</v>
      </c>
      <c r="DR197" s="38" t="s">
        <v>138</v>
      </c>
      <c r="DS197" s="35" t="s">
        <v>138</v>
      </c>
      <c r="DT197" s="36" t="s">
        <v>138</v>
      </c>
      <c r="DU197" s="38" t="s">
        <v>138</v>
      </c>
      <c r="DV197" s="35" t="s">
        <v>138</v>
      </c>
      <c r="DW197" s="36">
        <v>8713</v>
      </c>
      <c r="DX197" s="39">
        <v>0</v>
      </c>
      <c r="DY197" s="35">
        <v>0</v>
      </c>
      <c r="DZ197" s="28" t="s">
        <v>178</v>
      </c>
      <c r="EA197" s="34">
        <v>43598</v>
      </c>
      <c r="EB197" s="29">
        <v>10.85</v>
      </c>
      <c r="EC197" s="34">
        <v>42383</v>
      </c>
      <c r="ED197" s="28" t="s">
        <v>234</v>
      </c>
      <c r="EE197" s="40" t="str">
        <f>HYPERLINK("https://my.pitchbook.com?c=151474-87", "View company online")</f>
        <v>View company online</v>
      </c>
    </row>
    <row r="198" spans="1:135">
      <c r="A198" s="15" t="s">
        <v>4428</v>
      </c>
      <c r="B198" s="15" t="s">
        <v>4429</v>
      </c>
      <c r="C198" s="15" t="s">
        <v>138</v>
      </c>
      <c r="D198" s="15" t="s">
        <v>4430</v>
      </c>
      <c r="E198" s="15" t="s">
        <v>4431</v>
      </c>
      <c r="F198" s="15" t="s">
        <v>4428</v>
      </c>
      <c r="G198" s="15" t="s">
        <v>4432</v>
      </c>
      <c r="H198" s="15" t="s">
        <v>322</v>
      </c>
      <c r="I198" s="15" t="s">
        <v>323</v>
      </c>
      <c r="J198" s="15" t="s">
        <v>324</v>
      </c>
      <c r="K198" s="15" t="s">
        <v>3226</v>
      </c>
      <c r="L198" s="15" t="s">
        <v>4433</v>
      </c>
      <c r="M198" s="15" t="s">
        <v>4434</v>
      </c>
      <c r="N198" s="15" t="s">
        <v>147</v>
      </c>
      <c r="O198" s="17">
        <v>24.01</v>
      </c>
      <c r="P198" s="15" t="s">
        <v>148</v>
      </c>
      <c r="Q198" s="15" t="s">
        <v>149</v>
      </c>
      <c r="R198" s="15" t="s">
        <v>150</v>
      </c>
      <c r="S198" s="15" t="s">
        <v>4435</v>
      </c>
      <c r="T198" s="18">
        <v>50</v>
      </c>
      <c r="U198" s="15" t="s">
        <v>4436</v>
      </c>
      <c r="V198" s="15" t="s">
        <v>138</v>
      </c>
      <c r="W198" s="15" t="s">
        <v>138</v>
      </c>
      <c r="X198" s="19">
        <v>2014</v>
      </c>
      <c r="Y198" s="15" t="s">
        <v>138</v>
      </c>
      <c r="Z198" s="15" t="s">
        <v>138</v>
      </c>
      <c r="AA198" s="15" t="s">
        <v>138</v>
      </c>
      <c r="AB198" s="20">
        <v>2.52</v>
      </c>
      <c r="AC198" s="20" t="s">
        <v>138</v>
      </c>
      <c r="AD198" s="20">
        <v>-5.6</v>
      </c>
      <c r="AE198" s="20" t="s">
        <v>138</v>
      </c>
      <c r="AF198" s="20">
        <v>-5.34</v>
      </c>
      <c r="AG198" s="15" t="s">
        <v>419</v>
      </c>
      <c r="AH198" s="20" t="s">
        <v>138</v>
      </c>
      <c r="AI198" s="20" t="s">
        <v>138</v>
      </c>
      <c r="AJ198" s="20" t="s">
        <v>138</v>
      </c>
      <c r="AK198" s="15" t="s">
        <v>4437</v>
      </c>
      <c r="AL198" s="15" t="s">
        <v>4438</v>
      </c>
      <c r="AM198" s="15" t="s">
        <v>221</v>
      </c>
      <c r="AN198" s="15" t="s">
        <v>4439</v>
      </c>
      <c r="AO198" s="15" t="s">
        <v>138</v>
      </c>
      <c r="AP198" s="15" t="s">
        <v>4440</v>
      </c>
      <c r="AQ198" s="15" t="s">
        <v>4441</v>
      </c>
      <c r="AR198" s="15" t="s">
        <v>138</v>
      </c>
      <c r="AS198" s="15" t="s">
        <v>4442</v>
      </c>
      <c r="AT198" s="15" t="s">
        <v>138</v>
      </c>
      <c r="AU198" s="15" t="s">
        <v>4443</v>
      </c>
      <c r="AV198" s="15" t="s">
        <v>4444</v>
      </c>
      <c r="AW198" s="15" t="s">
        <v>138</v>
      </c>
      <c r="AX198" s="15" t="s">
        <v>138</v>
      </c>
      <c r="AY198" s="15" t="s">
        <v>138</v>
      </c>
      <c r="AZ198" s="15" t="s">
        <v>530</v>
      </c>
      <c r="BA198" s="15" t="s">
        <v>577</v>
      </c>
      <c r="BB198" s="15" t="s">
        <v>4445</v>
      </c>
      <c r="BC198" s="15" t="s">
        <v>4446</v>
      </c>
      <c r="BD198" s="21">
        <v>4</v>
      </c>
      <c r="BE198" s="15" t="s">
        <v>138</v>
      </c>
      <c r="BF198" s="15" t="s">
        <v>138</v>
      </c>
      <c r="BG198" s="15" t="s">
        <v>138</v>
      </c>
      <c r="BH198" s="15" t="s">
        <v>4447</v>
      </c>
      <c r="BI198" s="15" t="s">
        <v>138</v>
      </c>
      <c r="BJ198" s="15" t="s">
        <v>138</v>
      </c>
      <c r="BK198" s="15" t="s">
        <v>138</v>
      </c>
      <c r="BL198" s="15" t="s">
        <v>4448</v>
      </c>
      <c r="BM198" s="22">
        <v>41806</v>
      </c>
      <c r="BN198" s="17">
        <v>2</v>
      </c>
      <c r="BO198" s="15" t="s">
        <v>172</v>
      </c>
      <c r="BP198" s="17" t="s">
        <v>138</v>
      </c>
      <c r="BQ198" s="15" t="s">
        <v>138</v>
      </c>
      <c r="BR198" s="15" t="s">
        <v>234</v>
      </c>
      <c r="BS198" s="15" t="s">
        <v>234</v>
      </c>
      <c r="BT198" s="15" t="s">
        <v>138</v>
      </c>
      <c r="BU198" s="15" t="s">
        <v>780</v>
      </c>
      <c r="BV198" s="15" t="s">
        <v>138</v>
      </c>
      <c r="BW198" s="15" t="s">
        <v>138</v>
      </c>
      <c r="BX198" s="15" t="s">
        <v>138</v>
      </c>
      <c r="BY198" s="15" t="s">
        <v>175</v>
      </c>
      <c r="BZ198" s="22">
        <v>43427</v>
      </c>
      <c r="CA198" s="17">
        <v>6</v>
      </c>
      <c r="CB198" s="15" t="s">
        <v>172</v>
      </c>
      <c r="CC198" s="17" t="s">
        <v>138</v>
      </c>
      <c r="CD198" s="15" t="s">
        <v>138</v>
      </c>
      <c r="CE198" s="15" t="s">
        <v>205</v>
      </c>
      <c r="CF198" s="15" t="s">
        <v>720</v>
      </c>
      <c r="CG198" s="15" t="s">
        <v>138</v>
      </c>
      <c r="CH198" s="15" t="s">
        <v>174</v>
      </c>
      <c r="CI198" s="15" t="s">
        <v>264</v>
      </c>
      <c r="CJ198" s="15" t="s">
        <v>138</v>
      </c>
      <c r="CK198" s="15" t="s">
        <v>138</v>
      </c>
      <c r="CL198" s="15" t="s">
        <v>175</v>
      </c>
      <c r="CM198" s="22" t="s">
        <v>138</v>
      </c>
      <c r="CN198" s="17" t="s">
        <v>138</v>
      </c>
      <c r="CO198" s="23">
        <v>-0.36</v>
      </c>
      <c r="CP198" s="24">
        <v>18</v>
      </c>
      <c r="CQ198" s="23">
        <v>0.1</v>
      </c>
      <c r="CR198" s="23">
        <v>21.86</v>
      </c>
      <c r="CS198" s="23">
        <v>-0.61</v>
      </c>
      <c r="CT198" s="24">
        <v>18</v>
      </c>
      <c r="CU198" s="23">
        <v>-0.12</v>
      </c>
      <c r="CV198" s="24">
        <v>3</v>
      </c>
      <c r="CW198" s="23" t="s">
        <v>138</v>
      </c>
      <c r="CX198" s="24" t="s">
        <v>138</v>
      </c>
      <c r="CY198" s="23">
        <v>-0.61</v>
      </c>
      <c r="CZ198" s="24">
        <v>21</v>
      </c>
      <c r="DA198" s="23">
        <v>-0.12</v>
      </c>
      <c r="DB198" s="24">
        <v>5</v>
      </c>
      <c r="DC198" s="25">
        <v>3.58</v>
      </c>
      <c r="DD198" s="24">
        <v>78</v>
      </c>
      <c r="DE198" s="25">
        <v>-0.64</v>
      </c>
      <c r="DF198" s="23">
        <v>-15.12</v>
      </c>
      <c r="DG198" s="25">
        <v>4</v>
      </c>
      <c r="DH198" s="24">
        <v>79</v>
      </c>
      <c r="DI198" s="25">
        <v>3.15</v>
      </c>
      <c r="DJ198" s="24">
        <v>70</v>
      </c>
      <c r="DK198" s="25" t="s">
        <v>138</v>
      </c>
      <c r="DL198" s="24" t="s">
        <v>138</v>
      </c>
      <c r="DM198" s="25">
        <v>4</v>
      </c>
      <c r="DN198" s="24">
        <v>78</v>
      </c>
      <c r="DO198" s="25">
        <v>3.15</v>
      </c>
      <c r="DP198" s="24">
        <v>72</v>
      </c>
      <c r="DQ198" s="24" t="s">
        <v>138</v>
      </c>
      <c r="DR198" s="26" t="s">
        <v>138</v>
      </c>
      <c r="DS198" s="23" t="s">
        <v>138</v>
      </c>
      <c r="DT198" s="24">
        <v>115</v>
      </c>
      <c r="DU198" s="26">
        <v>2</v>
      </c>
      <c r="DV198" s="23">
        <v>1.77</v>
      </c>
      <c r="DW198" s="24">
        <v>1129</v>
      </c>
      <c r="DX198" s="27">
        <v>-1</v>
      </c>
      <c r="DY198" s="23">
        <v>-0.09</v>
      </c>
      <c r="DZ198" s="15" t="s">
        <v>178</v>
      </c>
      <c r="EA198" s="22">
        <v>43622</v>
      </c>
      <c r="EB198" s="17">
        <v>3.94</v>
      </c>
      <c r="EC198" s="22">
        <v>43040</v>
      </c>
      <c r="ED198" s="15" t="s">
        <v>205</v>
      </c>
      <c r="EE198" s="14" t="str">
        <f>HYPERLINK("https://my.pitchbook.com?c=102648-07", "View company online")</f>
        <v>View company online</v>
      </c>
    </row>
    <row r="199" spans="1:135">
      <c r="A199" s="28" t="s">
        <v>4449</v>
      </c>
      <c r="B199" s="28" t="s">
        <v>4450</v>
      </c>
      <c r="C199" s="28" t="s">
        <v>138</v>
      </c>
      <c r="D199" s="28" t="s">
        <v>4451</v>
      </c>
      <c r="E199" s="28" t="s">
        <v>4452</v>
      </c>
      <c r="F199" s="28" t="s">
        <v>4449</v>
      </c>
      <c r="G199" s="28" t="s">
        <v>4453</v>
      </c>
      <c r="H199" s="28" t="s">
        <v>385</v>
      </c>
      <c r="I199" s="28" t="s">
        <v>1991</v>
      </c>
      <c r="J199" s="28" t="s">
        <v>4454</v>
      </c>
      <c r="K199" s="28" t="s">
        <v>4455</v>
      </c>
      <c r="L199" s="28" t="s">
        <v>138</v>
      </c>
      <c r="M199" s="28" t="s">
        <v>4456</v>
      </c>
      <c r="N199" s="28" t="s">
        <v>147</v>
      </c>
      <c r="O199" s="29">
        <v>35.4</v>
      </c>
      <c r="P199" s="28" t="s">
        <v>148</v>
      </c>
      <c r="Q199" s="28" t="s">
        <v>149</v>
      </c>
      <c r="R199" s="28" t="s">
        <v>244</v>
      </c>
      <c r="S199" s="28" t="s">
        <v>4457</v>
      </c>
      <c r="T199" s="30">
        <v>21</v>
      </c>
      <c r="U199" s="28" t="s">
        <v>4458</v>
      </c>
      <c r="V199" s="28" t="s">
        <v>138</v>
      </c>
      <c r="W199" s="28" t="s">
        <v>138</v>
      </c>
      <c r="X199" s="31">
        <v>2013</v>
      </c>
      <c r="Y199" s="28" t="s">
        <v>138</v>
      </c>
      <c r="Z199" s="28" t="s">
        <v>138</v>
      </c>
      <c r="AA199" s="28" t="s">
        <v>138</v>
      </c>
      <c r="AB199" s="32" t="s">
        <v>138</v>
      </c>
      <c r="AC199" s="32" t="s">
        <v>138</v>
      </c>
      <c r="AD199" s="32" t="s">
        <v>138</v>
      </c>
      <c r="AE199" s="32" t="s">
        <v>138</v>
      </c>
      <c r="AF199" s="32" t="s">
        <v>138</v>
      </c>
      <c r="AG199" s="28" t="s">
        <v>138</v>
      </c>
      <c r="AH199" s="32" t="s">
        <v>138</v>
      </c>
      <c r="AI199" s="32" t="s">
        <v>138</v>
      </c>
      <c r="AJ199" s="32" t="s">
        <v>138</v>
      </c>
      <c r="AK199" s="28" t="s">
        <v>4459</v>
      </c>
      <c r="AL199" s="28" t="s">
        <v>4460</v>
      </c>
      <c r="AM199" s="28" t="s">
        <v>221</v>
      </c>
      <c r="AN199" s="28" t="s">
        <v>4461</v>
      </c>
      <c r="AO199" s="28" t="s">
        <v>4462</v>
      </c>
      <c r="AP199" s="28" t="s">
        <v>4463</v>
      </c>
      <c r="AQ199" s="28" t="s">
        <v>4464</v>
      </c>
      <c r="AR199" s="28" t="s">
        <v>4465</v>
      </c>
      <c r="AS199" s="28" t="s">
        <v>4466</v>
      </c>
      <c r="AT199" s="28" t="s">
        <v>426</v>
      </c>
      <c r="AU199" s="28" t="s">
        <v>4467</v>
      </c>
      <c r="AV199" s="28" t="s">
        <v>162</v>
      </c>
      <c r="AW199" s="28" t="s">
        <v>4468</v>
      </c>
      <c r="AX199" s="28" t="s">
        <v>138</v>
      </c>
      <c r="AY199" s="28" t="s">
        <v>4469</v>
      </c>
      <c r="AZ199" s="28" t="s">
        <v>164</v>
      </c>
      <c r="BA199" s="28" t="s">
        <v>165</v>
      </c>
      <c r="BB199" s="28" t="s">
        <v>4470</v>
      </c>
      <c r="BC199" s="28" t="s">
        <v>4471</v>
      </c>
      <c r="BD199" s="33">
        <v>9</v>
      </c>
      <c r="BE199" s="28" t="s">
        <v>138</v>
      </c>
      <c r="BF199" s="28" t="s">
        <v>138</v>
      </c>
      <c r="BG199" s="28" t="s">
        <v>138</v>
      </c>
      <c r="BH199" s="28" t="s">
        <v>4472</v>
      </c>
      <c r="BI199" s="28" t="s">
        <v>138</v>
      </c>
      <c r="BJ199" s="28" t="s">
        <v>138</v>
      </c>
      <c r="BK199" s="28" t="s">
        <v>138</v>
      </c>
      <c r="BL199" s="28" t="s">
        <v>4473</v>
      </c>
      <c r="BM199" s="34">
        <v>41526</v>
      </c>
      <c r="BN199" s="29" t="s">
        <v>138</v>
      </c>
      <c r="BO199" s="28" t="s">
        <v>138</v>
      </c>
      <c r="BP199" s="29" t="s">
        <v>138</v>
      </c>
      <c r="BQ199" s="28" t="s">
        <v>138</v>
      </c>
      <c r="BR199" s="28" t="s">
        <v>1423</v>
      </c>
      <c r="BS199" s="28" t="s">
        <v>138</v>
      </c>
      <c r="BT199" s="28" t="s">
        <v>138</v>
      </c>
      <c r="BU199" s="28" t="s">
        <v>174</v>
      </c>
      <c r="BV199" s="28" t="s">
        <v>138</v>
      </c>
      <c r="BW199" s="28" t="s">
        <v>138</v>
      </c>
      <c r="BX199" s="28" t="s">
        <v>138</v>
      </c>
      <c r="BY199" s="28" t="s">
        <v>175</v>
      </c>
      <c r="BZ199" s="34">
        <v>43028</v>
      </c>
      <c r="CA199" s="29">
        <v>2.6</v>
      </c>
      <c r="CB199" s="28" t="s">
        <v>172</v>
      </c>
      <c r="CC199" s="29" t="s">
        <v>138</v>
      </c>
      <c r="CD199" s="28" t="s">
        <v>138</v>
      </c>
      <c r="CE199" s="28" t="s">
        <v>205</v>
      </c>
      <c r="CF199" s="28" t="s">
        <v>138</v>
      </c>
      <c r="CG199" s="28" t="s">
        <v>138</v>
      </c>
      <c r="CH199" s="28" t="s">
        <v>174</v>
      </c>
      <c r="CI199" s="28" t="s">
        <v>264</v>
      </c>
      <c r="CJ199" s="28" t="s">
        <v>138</v>
      </c>
      <c r="CK199" s="28" t="s">
        <v>138</v>
      </c>
      <c r="CL199" s="28" t="s">
        <v>175</v>
      </c>
      <c r="CM199" s="34">
        <v>42285</v>
      </c>
      <c r="CN199" s="29">
        <v>13.5</v>
      </c>
      <c r="CO199" s="35">
        <v>-7.0000000000000007E-2</v>
      </c>
      <c r="CP199" s="36">
        <v>21</v>
      </c>
      <c r="CQ199" s="35">
        <v>0</v>
      </c>
      <c r="CR199" s="35">
        <v>0</v>
      </c>
      <c r="CS199" s="35">
        <v>-0.12</v>
      </c>
      <c r="CT199" s="36">
        <v>22</v>
      </c>
      <c r="CU199" s="35">
        <v>-0.01</v>
      </c>
      <c r="CV199" s="36">
        <v>20</v>
      </c>
      <c r="CW199" s="35" t="s">
        <v>138</v>
      </c>
      <c r="CX199" s="36" t="s">
        <v>138</v>
      </c>
      <c r="CY199" s="35">
        <v>-0.12</v>
      </c>
      <c r="CZ199" s="36">
        <v>24</v>
      </c>
      <c r="DA199" s="35">
        <v>-0.01</v>
      </c>
      <c r="DB199" s="36">
        <v>21</v>
      </c>
      <c r="DC199" s="37">
        <v>2.77</v>
      </c>
      <c r="DD199" s="36">
        <v>74</v>
      </c>
      <c r="DE199" s="37">
        <v>-0.01</v>
      </c>
      <c r="DF199" s="35">
        <v>-0.45</v>
      </c>
      <c r="DG199" s="37">
        <v>3.17</v>
      </c>
      <c r="DH199" s="36">
        <v>75</v>
      </c>
      <c r="DI199" s="37">
        <v>2.37</v>
      </c>
      <c r="DJ199" s="36">
        <v>65</v>
      </c>
      <c r="DK199" s="37" t="s">
        <v>138</v>
      </c>
      <c r="DL199" s="36" t="s">
        <v>138</v>
      </c>
      <c r="DM199" s="37">
        <v>3.17</v>
      </c>
      <c r="DN199" s="36">
        <v>74</v>
      </c>
      <c r="DO199" s="37">
        <v>3.67</v>
      </c>
      <c r="DP199" s="36">
        <v>74</v>
      </c>
      <c r="DQ199" s="36" t="s">
        <v>138</v>
      </c>
      <c r="DR199" s="38" t="s">
        <v>138</v>
      </c>
      <c r="DS199" s="35" t="s">
        <v>138</v>
      </c>
      <c r="DT199" s="36">
        <v>92</v>
      </c>
      <c r="DU199" s="38">
        <v>-1</v>
      </c>
      <c r="DV199" s="35">
        <v>-1.08</v>
      </c>
      <c r="DW199" s="36">
        <v>1313</v>
      </c>
      <c r="DX199" s="39">
        <v>-1</v>
      </c>
      <c r="DY199" s="35">
        <v>-0.08</v>
      </c>
      <c r="DZ199" s="28" t="s">
        <v>178</v>
      </c>
      <c r="EA199" s="34">
        <v>43606</v>
      </c>
      <c r="EB199" s="29">
        <v>12.98</v>
      </c>
      <c r="EC199" s="34">
        <v>42887</v>
      </c>
      <c r="ED199" s="28" t="s">
        <v>205</v>
      </c>
      <c r="EE199" s="40" t="str">
        <f>HYPERLINK("https://my.pitchbook.com?c=61175-44", "View company online")</f>
        <v>View company online</v>
      </c>
    </row>
    <row r="200" spans="1:135">
      <c r="A200" s="15" t="s">
        <v>4474</v>
      </c>
      <c r="B200" s="15" t="s">
        <v>4475</v>
      </c>
      <c r="C200" s="15" t="s">
        <v>138</v>
      </c>
      <c r="D200" s="15" t="s">
        <v>4476</v>
      </c>
      <c r="E200" s="15" t="s">
        <v>4477</v>
      </c>
      <c r="F200" s="15" t="s">
        <v>4474</v>
      </c>
      <c r="G200" s="15" t="s">
        <v>4478</v>
      </c>
      <c r="H200" s="15" t="s">
        <v>238</v>
      </c>
      <c r="I200" s="15" t="s">
        <v>2662</v>
      </c>
      <c r="J200" s="15" t="s">
        <v>4479</v>
      </c>
      <c r="K200" s="15" t="s">
        <v>4480</v>
      </c>
      <c r="L200" s="15" t="s">
        <v>4481</v>
      </c>
      <c r="M200" s="15" t="s">
        <v>4482</v>
      </c>
      <c r="N200" s="15" t="s">
        <v>147</v>
      </c>
      <c r="O200" s="17">
        <v>1.45</v>
      </c>
      <c r="P200" s="15" t="s">
        <v>148</v>
      </c>
      <c r="Q200" s="15" t="s">
        <v>149</v>
      </c>
      <c r="R200" s="15" t="s">
        <v>174</v>
      </c>
      <c r="S200" s="15" t="s">
        <v>4483</v>
      </c>
      <c r="T200" s="18">
        <v>65</v>
      </c>
      <c r="U200" s="15" t="s">
        <v>4484</v>
      </c>
      <c r="V200" s="15" t="s">
        <v>138</v>
      </c>
      <c r="W200" s="15" t="s">
        <v>138</v>
      </c>
      <c r="X200" s="19">
        <v>2010</v>
      </c>
      <c r="Y200" s="15" t="s">
        <v>138</v>
      </c>
      <c r="Z200" s="15" t="s">
        <v>138</v>
      </c>
      <c r="AA200" s="15" t="s">
        <v>4485</v>
      </c>
      <c r="AB200" s="20">
        <v>2</v>
      </c>
      <c r="AC200" s="20" t="s">
        <v>138</v>
      </c>
      <c r="AD200" s="20" t="s">
        <v>138</v>
      </c>
      <c r="AE200" s="20" t="s">
        <v>138</v>
      </c>
      <c r="AF200" s="20" t="s">
        <v>138</v>
      </c>
      <c r="AG200" s="15" t="s">
        <v>633</v>
      </c>
      <c r="AH200" s="20" t="s">
        <v>138</v>
      </c>
      <c r="AI200" s="20" t="s">
        <v>138</v>
      </c>
      <c r="AJ200" s="20" t="s">
        <v>138</v>
      </c>
      <c r="AK200" s="15" t="s">
        <v>4486</v>
      </c>
      <c r="AL200" s="15" t="s">
        <v>4487</v>
      </c>
      <c r="AM200" s="15" t="s">
        <v>304</v>
      </c>
      <c r="AN200" s="15" t="s">
        <v>4488</v>
      </c>
      <c r="AO200" s="15" t="s">
        <v>4489</v>
      </c>
      <c r="AP200" s="15" t="s">
        <v>4490</v>
      </c>
      <c r="AQ200" s="15" t="s">
        <v>4491</v>
      </c>
      <c r="AR200" s="15" t="s">
        <v>138</v>
      </c>
      <c r="AS200" s="15" t="s">
        <v>4492</v>
      </c>
      <c r="AT200" s="15" t="s">
        <v>4493</v>
      </c>
      <c r="AU200" s="15" t="s">
        <v>4494</v>
      </c>
      <c r="AV200" s="15" t="s">
        <v>162</v>
      </c>
      <c r="AW200" s="15" t="s">
        <v>4489</v>
      </c>
      <c r="AX200" s="15" t="s">
        <v>138</v>
      </c>
      <c r="AY200" s="15" t="s">
        <v>4495</v>
      </c>
      <c r="AZ200" s="15" t="s">
        <v>164</v>
      </c>
      <c r="BA200" s="15" t="s">
        <v>165</v>
      </c>
      <c r="BB200" s="15" t="s">
        <v>4496</v>
      </c>
      <c r="BC200" s="15" t="s">
        <v>4497</v>
      </c>
      <c r="BD200" s="21">
        <v>9</v>
      </c>
      <c r="BE200" s="15" t="s">
        <v>138</v>
      </c>
      <c r="BF200" s="15" t="s">
        <v>138</v>
      </c>
      <c r="BG200" s="15" t="s">
        <v>138</v>
      </c>
      <c r="BH200" s="15" t="s">
        <v>4498</v>
      </c>
      <c r="BI200" s="15" t="s">
        <v>138</v>
      </c>
      <c r="BJ200" s="15" t="s">
        <v>138</v>
      </c>
      <c r="BK200" s="15" t="s">
        <v>138</v>
      </c>
      <c r="BL200" s="15" t="s">
        <v>1829</v>
      </c>
      <c r="BM200" s="22">
        <v>41258</v>
      </c>
      <c r="BN200" s="17">
        <v>0.02</v>
      </c>
      <c r="BO200" s="15" t="s">
        <v>172</v>
      </c>
      <c r="BP200" s="17" t="s">
        <v>138</v>
      </c>
      <c r="BQ200" s="15" t="s">
        <v>138</v>
      </c>
      <c r="BR200" s="15" t="s">
        <v>1830</v>
      </c>
      <c r="BS200" s="15" t="s">
        <v>138</v>
      </c>
      <c r="BT200" s="15" t="s">
        <v>138</v>
      </c>
      <c r="BU200" s="15" t="s">
        <v>263</v>
      </c>
      <c r="BV200" s="15" t="s">
        <v>138</v>
      </c>
      <c r="BW200" s="15" t="s">
        <v>138</v>
      </c>
      <c r="BX200" s="15" t="s">
        <v>138</v>
      </c>
      <c r="BY200" s="15" t="s">
        <v>175</v>
      </c>
      <c r="BZ200" s="22">
        <v>43412</v>
      </c>
      <c r="CA200" s="17" t="s">
        <v>138</v>
      </c>
      <c r="CB200" s="15" t="s">
        <v>138</v>
      </c>
      <c r="CC200" s="17" t="s">
        <v>138</v>
      </c>
      <c r="CD200" s="15" t="s">
        <v>138</v>
      </c>
      <c r="CE200" s="15" t="s">
        <v>173</v>
      </c>
      <c r="CF200" s="15" t="s">
        <v>138</v>
      </c>
      <c r="CG200" s="15" t="s">
        <v>138</v>
      </c>
      <c r="CH200" s="15" t="s">
        <v>174</v>
      </c>
      <c r="CI200" s="15" t="s">
        <v>138</v>
      </c>
      <c r="CJ200" s="15" t="s">
        <v>138</v>
      </c>
      <c r="CK200" s="15" t="s">
        <v>138</v>
      </c>
      <c r="CL200" s="15" t="s">
        <v>175</v>
      </c>
      <c r="CM200" s="22" t="s">
        <v>138</v>
      </c>
      <c r="CN200" s="17" t="s">
        <v>138</v>
      </c>
      <c r="CO200" s="23">
        <v>-3.47</v>
      </c>
      <c r="CP200" s="24">
        <v>2</v>
      </c>
      <c r="CQ200" s="23">
        <v>-0.17</v>
      </c>
      <c r="CR200" s="23">
        <v>-5.2</v>
      </c>
      <c r="CS200" s="23">
        <v>-6.88</v>
      </c>
      <c r="CT200" s="24">
        <v>1</v>
      </c>
      <c r="CU200" s="23">
        <v>-0.05</v>
      </c>
      <c r="CV200" s="24">
        <v>9</v>
      </c>
      <c r="CW200" s="23">
        <v>-8.34</v>
      </c>
      <c r="CX200" s="24">
        <v>1</v>
      </c>
      <c r="CY200" s="23">
        <v>-5.42</v>
      </c>
      <c r="CZ200" s="24">
        <v>3</v>
      </c>
      <c r="DA200" s="23">
        <v>-0.05</v>
      </c>
      <c r="DB200" s="24">
        <v>13</v>
      </c>
      <c r="DC200" s="25">
        <v>51.95</v>
      </c>
      <c r="DD200" s="24">
        <v>98</v>
      </c>
      <c r="DE200" s="25">
        <v>-9.4</v>
      </c>
      <c r="DF200" s="23">
        <v>-15.32</v>
      </c>
      <c r="DG200" s="25">
        <v>68.569999999999993</v>
      </c>
      <c r="DH200" s="24">
        <v>99</v>
      </c>
      <c r="DI200" s="25">
        <v>35.33</v>
      </c>
      <c r="DJ200" s="24">
        <v>94</v>
      </c>
      <c r="DK200" s="25">
        <v>117.7</v>
      </c>
      <c r="DL200" s="24">
        <v>98</v>
      </c>
      <c r="DM200" s="25">
        <v>19.45</v>
      </c>
      <c r="DN200" s="24">
        <v>94</v>
      </c>
      <c r="DO200" s="25">
        <v>35.33</v>
      </c>
      <c r="DP200" s="24">
        <v>95</v>
      </c>
      <c r="DQ200" s="24">
        <v>42454</v>
      </c>
      <c r="DR200" s="26">
        <v>-6255</v>
      </c>
      <c r="DS200" s="23">
        <v>-12.84</v>
      </c>
      <c r="DT200" s="24">
        <v>564</v>
      </c>
      <c r="DU200" s="26">
        <v>0</v>
      </c>
      <c r="DV200" s="23">
        <v>0</v>
      </c>
      <c r="DW200" s="24">
        <v>12648</v>
      </c>
      <c r="DX200" s="27">
        <v>3</v>
      </c>
      <c r="DY200" s="23">
        <v>0.02</v>
      </c>
      <c r="DZ200" s="15" t="s">
        <v>178</v>
      </c>
      <c r="EA200" s="22">
        <v>43617</v>
      </c>
      <c r="EB200" s="17" t="s">
        <v>138</v>
      </c>
      <c r="EC200" s="22" t="s">
        <v>138</v>
      </c>
      <c r="ED200" s="15" t="s">
        <v>138</v>
      </c>
      <c r="EE200" s="14" t="str">
        <f>HYPERLINK("https://my.pitchbook.com?c=57649-69", "View company online")</f>
        <v>View company online</v>
      </c>
    </row>
    <row r="201" spans="1:135">
      <c r="A201" s="28" t="s">
        <v>4499</v>
      </c>
      <c r="B201" s="28" t="s">
        <v>4500</v>
      </c>
      <c r="C201" s="28" t="s">
        <v>138</v>
      </c>
      <c r="D201" s="28" t="s">
        <v>138</v>
      </c>
      <c r="E201" s="28" t="s">
        <v>138</v>
      </c>
      <c r="F201" s="28" t="s">
        <v>4499</v>
      </c>
      <c r="G201" s="28" t="s">
        <v>4501</v>
      </c>
      <c r="H201" s="28" t="s">
        <v>385</v>
      </c>
      <c r="I201" s="28" t="s">
        <v>1991</v>
      </c>
      <c r="J201" s="28" t="s">
        <v>4454</v>
      </c>
      <c r="K201" s="28" t="s">
        <v>4502</v>
      </c>
      <c r="L201" s="28" t="s">
        <v>4503</v>
      </c>
      <c r="M201" s="28" t="s">
        <v>4504</v>
      </c>
      <c r="N201" s="28" t="s">
        <v>147</v>
      </c>
      <c r="O201" s="29" t="s">
        <v>138</v>
      </c>
      <c r="P201" s="28" t="s">
        <v>148</v>
      </c>
      <c r="Q201" s="28" t="s">
        <v>149</v>
      </c>
      <c r="R201" s="28" t="s">
        <v>174</v>
      </c>
      <c r="S201" s="28" t="s">
        <v>4505</v>
      </c>
      <c r="T201" s="30" t="s">
        <v>138</v>
      </c>
      <c r="U201" s="28" t="s">
        <v>138</v>
      </c>
      <c r="V201" s="28" t="s">
        <v>138</v>
      </c>
      <c r="W201" s="28" t="s">
        <v>138</v>
      </c>
      <c r="X201" s="31">
        <v>2014</v>
      </c>
      <c r="Y201" s="28" t="s">
        <v>138</v>
      </c>
      <c r="Z201" s="28" t="s">
        <v>138</v>
      </c>
      <c r="AA201" s="28" t="s">
        <v>138</v>
      </c>
      <c r="AB201" s="32" t="s">
        <v>138</v>
      </c>
      <c r="AC201" s="32" t="s">
        <v>138</v>
      </c>
      <c r="AD201" s="32" t="s">
        <v>138</v>
      </c>
      <c r="AE201" s="32" t="s">
        <v>138</v>
      </c>
      <c r="AF201" s="32" t="s">
        <v>138</v>
      </c>
      <c r="AG201" s="28" t="s">
        <v>138</v>
      </c>
      <c r="AH201" s="32" t="s">
        <v>138</v>
      </c>
      <c r="AI201" s="32" t="s">
        <v>138</v>
      </c>
      <c r="AJ201" s="32" t="s">
        <v>138</v>
      </c>
      <c r="AK201" s="28" t="s">
        <v>4506</v>
      </c>
      <c r="AL201" s="28" t="s">
        <v>4507</v>
      </c>
      <c r="AM201" s="28" t="s">
        <v>4508</v>
      </c>
      <c r="AN201" s="28" t="s">
        <v>4509</v>
      </c>
      <c r="AO201" s="28" t="s">
        <v>4510</v>
      </c>
      <c r="AP201" s="28" t="s">
        <v>1195</v>
      </c>
      <c r="AQ201" s="28" t="s">
        <v>4511</v>
      </c>
      <c r="AR201" s="28" t="s">
        <v>4512</v>
      </c>
      <c r="AS201" s="28" t="s">
        <v>1198</v>
      </c>
      <c r="AT201" s="28" t="s">
        <v>138</v>
      </c>
      <c r="AU201" s="28" t="s">
        <v>4513</v>
      </c>
      <c r="AV201" s="28" t="s">
        <v>1200</v>
      </c>
      <c r="AW201" s="28" t="s">
        <v>4510</v>
      </c>
      <c r="AX201" s="28" t="s">
        <v>4514</v>
      </c>
      <c r="AY201" s="28" t="s">
        <v>4515</v>
      </c>
      <c r="AZ201" s="28" t="s">
        <v>452</v>
      </c>
      <c r="BA201" s="28" t="s">
        <v>453</v>
      </c>
      <c r="BB201" s="28" t="s">
        <v>4516</v>
      </c>
      <c r="BC201" s="28" t="s">
        <v>3186</v>
      </c>
      <c r="BD201" s="33">
        <v>1</v>
      </c>
      <c r="BE201" s="28" t="s">
        <v>138</v>
      </c>
      <c r="BF201" s="28" t="s">
        <v>138</v>
      </c>
      <c r="BG201" s="28" t="s">
        <v>138</v>
      </c>
      <c r="BH201" s="28" t="s">
        <v>138</v>
      </c>
      <c r="BI201" s="28" t="s">
        <v>138</v>
      </c>
      <c r="BJ201" s="28" t="s">
        <v>138</v>
      </c>
      <c r="BK201" s="28" t="s">
        <v>138</v>
      </c>
      <c r="BL201" s="28" t="s">
        <v>138</v>
      </c>
      <c r="BM201" s="34">
        <v>42717</v>
      </c>
      <c r="BN201" s="29" t="s">
        <v>138</v>
      </c>
      <c r="BO201" s="28" t="s">
        <v>138</v>
      </c>
      <c r="BP201" s="29" t="s">
        <v>138</v>
      </c>
      <c r="BQ201" s="28" t="s">
        <v>138</v>
      </c>
      <c r="BR201" s="28" t="s">
        <v>205</v>
      </c>
      <c r="BS201" s="28" t="s">
        <v>206</v>
      </c>
      <c r="BT201" s="28" t="s">
        <v>138</v>
      </c>
      <c r="BU201" s="28" t="s">
        <v>174</v>
      </c>
      <c r="BV201" s="28" t="s">
        <v>138</v>
      </c>
      <c r="BW201" s="28" t="s">
        <v>138</v>
      </c>
      <c r="BX201" s="28" t="s">
        <v>138</v>
      </c>
      <c r="BY201" s="28" t="s">
        <v>175</v>
      </c>
      <c r="BZ201" s="34">
        <v>42717</v>
      </c>
      <c r="CA201" s="29" t="s">
        <v>138</v>
      </c>
      <c r="CB201" s="28" t="s">
        <v>138</v>
      </c>
      <c r="CC201" s="29" t="s">
        <v>138</v>
      </c>
      <c r="CD201" s="28" t="s">
        <v>138</v>
      </c>
      <c r="CE201" s="28" t="s">
        <v>205</v>
      </c>
      <c r="CF201" s="28" t="s">
        <v>206</v>
      </c>
      <c r="CG201" s="28" t="s">
        <v>138</v>
      </c>
      <c r="CH201" s="28" t="s">
        <v>174</v>
      </c>
      <c r="CI201" s="28" t="s">
        <v>138</v>
      </c>
      <c r="CJ201" s="28" t="s">
        <v>138</v>
      </c>
      <c r="CK201" s="28" t="s">
        <v>138</v>
      </c>
      <c r="CL201" s="28" t="s">
        <v>175</v>
      </c>
      <c r="CM201" s="34" t="s">
        <v>138</v>
      </c>
      <c r="CN201" s="29" t="s">
        <v>138</v>
      </c>
      <c r="CO201" s="35">
        <v>0</v>
      </c>
      <c r="CP201" s="36">
        <v>26</v>
      </c>
      <c r="CQ201" s="35">
        <v>0</v>
      </c>
      <c r="CR201" s="35">
        <v>0</v>
      </c>
      <c r="CS201" s="35" t="s">
        <v>138</v>
      </c>
      <c r="CT201" s="36" t="s">
        <v>138</v>
      </c>
      <c r="CU201" s="35">
        <v>0</v>
      </c>
      <c r="CV201" s="36">
        <v>22</v>
      </c>
      <c r="CW201" s="35" t="s">
        <v>138</v>
      </c>
      <c r="CX201" s="36" t="s">
        <v>138</v>
      </c>
      <c r="CY201" s="35" t="s">
        <v>138</v>
      </c>
      <c r="CZ201" s="36" t="s">
        <v>138</v>
      </c>
      <c r="DA201" s="35">
        <v>0</v>
      </c>
      <c r="DB201" s="36">
        <v>22</v>
      </c>
      <c r="DC201" s="37">
        <v>0.04</v>
      </c>
      <c r="DD201" s="36">
        <v>4</v>
      </c>
      <c r="DE201" s="37">
        <v>0</v>
      </c>
      <c r="DF201" s="35">
        <v>0.56000000000000005</v>
      </c>
      <c r="DG201" s="37" t="s">
        <v>138</v>
      </c>
      <c r="DH201" s="36" t="s">
        <v>138</v>
      </c>
      <c r="DI201" s="37">
        <v>0.04</v>
      </c>
      <c r="DJ201" s="36">
        <v>7</v>
      </c>
      <c r="DK201" s="37" t="s">
        <v>138</v>
      </c>
      <c r="DL201" s="36" t="s">
        <v>138</v>
      </c>
      <c r="DM201" s="37" t="s">
        <v>138</v>
      </c>
      <c r="DN201" s="36" t="s">
        <v>138</v>
      </c>
      <c r="DO201" s="37">
        <v>0.04</v>
      </c>
      <c r="DP201" s="36">
        <v>8</v>
      </c>
      <c r="DQ201" s="36" t="s">
        <v>138</v>
      </c>
      <c r="DR201" s="38" t="s">
        <v>138</v>
      </c>
      <c r="DS201" s="35" t="s">
        <v>138</v>
      </c>
      <c r="DT201" s="36" t="s">
        <v>138</v>
      </c>
      <c r="DU201" s="38" t="s">
        <v>138</v>
      </c>
      <c r="DV201" s="35" t="s">
        <v>138</v>
      </c>
      <c r="DW201" s="36">
        <v>14</v>
      </c>
      <c r="DX201" s="39">
        <v>0</v>
      </c>
      <c r="DY201" s="35">
        <v>0</v>
      </c>
      <c r="DZ201" s="28" t="s">
        <v>178</v>
      </c>
      <c r="EA201" s="34">
        <v>43351</v>
      </c>
      <c r="EB201" s="29" t="s">
        <v>138</v>
      </c>
      <c r="EC201" s="34" t="s">
        <v>138</v>
      </c>
      <c r="ED201" s="28" t="s">
        <v>138</v>
      </c>
      <c r="EE201" s="40" t="str">
        <f>HYPERLINK("https://my.pitchbook.com?c=230459-50", "View company online")</f>
        <v>View company online</v>
      </c>
    </row>
    <row r="202" spans="1:135">
      <c r="A202" s="15" t="s">
        <v>4517</v>
      </c>
      <c r="B202" s="15" t="s">
        <v>4518</v>
      </c>
      <c r="C202" s="15" t="s">
        <v>138</v>
      </c>
      <c r="D202" s="15" t="s">
        <v>138</v>
      </c>
      <c r="E202" s="15" t="s">
        <v>138</v>
      </c>
      <c r="F202" s="15" t="s">
        <v>4517</v>
      </c>
      <c r="G202" s="15" t="s">
        <v>4519</v>
      </c>
      <c r="H202" s="15" t="s">
        <v>322</v>
      </c>
      <c r="I202" s="15" t="s">
        <v>323</v>
      </c>
      <c r="J202" s="15" t="s">
        <v>539</v>
      </c>
      <c r="K202" s="15" t="s">
        <v>4520</v>
      </c>
      <c r="L202" s="15" t="s">
        <v>415</v>
      </c>
      <c r="M202" s="15" t="s">
        <v>4521</v>
      </c>
      <c r="N202" s="15" t="s">
        <v>147</v>
      </c>
      <c r="O202" s="17">
        <v>8.0299999999999994</v>
      </c>
      <c r="P202" s="15" t="s">
        <v>148</v>
      </c>
      <c r="Q202" s="15" t="s">
        <v>149</v>
      </c>
      <c r="R202" s="15" t="s">
        <v>174</v>
      </c>
      <c r="S202" s="15" t="s">
        <v>4522</v>
      </c>
      <c r="T202" s="18">
        <v>12</v>
      </c>
      <c r="U202" s="15" t="s">
        <v>4523</v>
      </c>
      <c r="V202" s="15" t="s">
        <v>138</v>
      </c>
      <c r="W202" s="15" t="s">
        <v>138</v>
      </c>
      <c r="X202" s="19">
        <v>2016</v>
      </c>
      <c r="Y202" s="15" t="s">
        <v>138</v>
      </c>
      <c r="Z202" s="15" t="s">
        <v>138</v>
      </c>
      <c r="AA202" s="15" t="s">
        <v>138</v>
      </c>
      <c r="AB202" s="20" t="s">
        <v>138</v>
      </c>
      <c r="AC202" s="20" t="s">
        <v>138</v>
      </c>
      <c r="AD202" s="20" t="s">
        <v>138</v>
      </c>
      <c r="AE202" s="20" t="s">
        <v>138</v>
      </c>
      <c r="AF202" s="20" t="s">
        <v>138</v>
      </c>
      <c r="AG202" s="15" t="s">
        <v>138</v>
      </c>
      <c r="AH202" s="20" t="s">
        <v>138</v>
      </c>
      <c r="AI202" s="20" t="s">
        <v>138</v>
      </c>
      <c r="AJ202" s="20" t="s">
        <v>138</v>
      </c>
      <c r="AK202" s="15" t="s">
        <v>4524</v>
      </c>
      <c r="AL202" s="15" t="s">
        <v>4525</v>
      </c>
      <c r="AM202" s="15" t="s">
        <v>566</v>
      </c>
      <c r="AN202" s="15" t="s">
        <v>4526</v>
      </c>
      <c r="AO202" s="15" t="s">
        <v>4527</v>
      </c>
      <c r="AP202" s="15" t="s">
        <v>3970</v>
      </c>
      <c r="AQ202" s="15" t="s">
        <v>4528</v>
      </c>
      <c r="AR202" s="15" t="s">
        <v>138</v>
      </c>
      <c r="AS202" s="15" t="s">
        <v>3972</v>
      </c>
      <c r="AT202" s="15" t="s">
        <v>138</v>
      </c>
      <c r="AU202" s="15" t="s">
        <v>4529</v>
      </c>
      <c r="AV202" s="15" t="s">
        <v>740</v>
      </c>
      <c r="AW202" s="15" t="s">
        <v>4527</v>
      </c>
      <c r="AX202" s="15" t="s">
        <v>138</v>
      </c>
      <c r="AY202" s="15" t="s">
        <v>4530</v>
      </c>
      <c r="AZ202" s="15" t="s">
        <v>742</v>
      </c>
      <c r="BA202" s="15" t="s">
        <v>742</v>
      </c>
      <c r="BB202" s="15" t="s">
        <v>4531</v>
      </c>
      <c r="BC202" s="15" t="s">
        <v>4532</v>
      </c>
      <c r="BD202" s="21">
        <v>5</v>
      </c>
      <c r="BE202" s="15" t="s">
        <v>138</v>
      </c>
      <c r="BF202" s="15" t="s">
        <v>138</v>
      </c>
      <c r="BG202" s="15" t="s">
        <v>138</v>
      </c>
      <c r="BH202" s="15" t="s">
        <v>4533</v>
      </c>
      <c r="BI202" s="15" t="s">
        <v>138</v>
      </c>
      <c r="BJ202" s="15" t="s">
        <v>138</v>
      </c>
      <c r="BK202" s="15" t="s">
        <v>138</v>
      </c>
      <c r="BL202" s="15" t="s">
        <v>138</v>
      </c>
      <c r="BM202" s="22">
        <v>42465</v>
      </c>
      <c r="BN202" s="17">
        <v>8</v>
      </c>
      <c r="BO202" s="15" t="s">
        <v>172</v>
      </c>
      <c r="BP202" s="17" t="s">
        <v>138</v>
      </c>
      <c r="BQ202" s="15" t="s">
        <v>138</v>
      </c>
      <c r="BR202" s="15" t="s">
        <v>205</v>
      </c>
      <c r="BS202" s="15" t="s">
        <v>206</v>
      </c>
      <c r="BT202" s="15" t="s">
        <v>138</v>
      </c>
      <c r="BU202" s="15" t="s">
        <v>174</v>
      </c>
      <c r="BV202" s="15" t="s">
        <v>138</v>
      </c>
      <c r="BW202" s="15" t="s">
        <v>138</v>
      </c>
      <c r="BX202" s="15" t="s">
        <v>138</v>
      </c>
      <c r="BY202" s="15" t="s">
        <v>175</v>
      </c>
      <c r="BZ202" s="22">
        <v>43009</v>
      </c>
      <c r="CA202" s="17">
        <v>0.03</v>
      </c>
      <c r="CB202" s="15" t="s">
        <v>172</v>
      </c>
      <c r="CC202" s="17" t="s">
        <v>138</v>
      </c>
      <c r="CD202" s="15" t="s">
        <v>138</v>
      </c>
      <c r="CE202" s="15" t="s">
        <v>262</v>
      </c>
      <c r="CF202" s="15" t="s">
        <v>262</v>
      </c>
      <c r="CG202" s="15" t="s">
        <v>138</v>
      </c>
      <c r="CH202" s="15" t="s">
        <v>263</v>
      </c>
      <c r="CI202" s="15" t="s">
        <v>138</v>
      </c>
      <c r="CJ202" s="15" t="s">
        <v>138</v>
      </c>
      <c r="CK202" s="15" t="s">
        <v>138</v>
      </c>
      <c r="CL202" s="15" t="s">
        <v>175</v>
      </c>
      <c r="CM202" s="22" t="s">
        <v>138</v>
      </c>
      <c r="CN202" s="17" t="s">
        <v>138</v>
      </c>
      <c r="CO202" s="23" t="s">
        <v>138</v>
      </c>
      <c r="CP202" s="24" t="s">
        <v>138</v>
      </c>
      <c r="CQ202" s="23" t="s">
        <v>138</v>
      </c>
      <c r="CR202" s="23" t="s">
        <v>138</v>
      </c>
      <c r="CS202" s="23" t="s">
        <v>138</v>
      </c>
      <c r="CT202" s="24" t="s">
        <v>138</v>
      </c>
      <c r="CU202" s="23" t="s">
        <v>138</v>
      </c>
      <c r="CV202" s="24" t="s">
        <v>138</v>
      </c>
      <c r="CW202" s="23" t="s">
        <v>138</v>
      </c>
      <c r="CX202" s="24" t="s">
        <v>138</v>
      </c>
      <c r="CY202" s="23" t="s">
        <v>138</v>
      </c>
      <c r="CZ202" s="24" t="s">
        <v>138</v>
      </c>
      <c r="DA202" s="23" t="s">
        <v>138</v>
      </c>
      <c r="DB202" s="24" t="s">
        <v>138</v>
      </c>
      <c r="DC202" s="25" t="s">
        <v>138</v>
      </c>
      <c r="DD202" s="24" t="s">
        <v>138</v>
      </c>
      <c r="DE202" s="25" t="s">
        <v>138</v>
      </c>
      <c r="DF202" s="23" t="s">
        <v>138</v>
      </c>
      <c r="DG202" s="25" t="s">
        <v>138</v>
      </c>
      <c r="DH202" s="24" t="s">
        <v>138</v>
      </c>
      <c r="DI202" s="25" t="s">
        <v>138</v>
      </c>
      <c r="DJ202" s="24" t="s">
        <v>138</v>
      </c>
      <c r="DK202" s="25" t="s">
        <v>138</v>
      </c>
      <c r="DL202" s="24" t="s">
        <v>138</v>
      </c>
      <c r="DM202" s="25" t="s">
        <v>138</v>
      </c>
      <c r="DN202" s="24" t="s">
        <v>138</v>
      </c>
      <c r="DO202" s="25" t="s">
        <v>138</v>
      </c>
      <c r="DP202" s="24" t="s">
        <v>138</v>
      </c>
      <c r="DQ202" s="24" t="s">
        <v>138</v>
      </c>
      <c r="DR202" s="26" t="s">
        <v>138</v>
      </c>
      <c r="DS202" s="23" t="s">
        <v>138</v>
      </c>
      <c r="DT202" s="24" t="s">
        <v>138</v>
      </c>
      <c r="DU202" s="26" t="s">
        <v>138</v>
      </c>
      <c r="DV202" s="23" t="s">
        <v>138</v>
      </c>
      <c r="DW202" s="24" t="s">
        <v>138</v>
      </c>
      <c r="DX202" s="27" t="s">
        <v>138</v>
      </c>
      <c r="DY202" s="23" t="s">
        <v>138</v>
      </c>
      <c r="DZ202" s="15" t="s">
        <v>178</v>
      </c>
      <c r="EA202" s="22">
        <v>43351</v>
      </c>
      <c r="EB202" s="17" t="s">
        <v>138</v>
      </c>
      <c r="EC202" s="22" t="s">
        <v>138</v>
      </c>
      <c r="ED202" s="15" t="s">
        <v>138</v>
      </c>
      <c r="EE202" s="14" t="str">
        <f>HYPERLINK("https://my.pitchbook.com?c=156571-21", "View company online")</f>
        <v>View company online</v>
      </c>
    </row>
    <row r="203" spans="1:135">
      <c r="A203" s="28" t="s">
        <v>4534</v>
      </c>
      <c r="B203" s="28" t="s">
        <v>4535</v>
      </c>
      <c r="C203" s="28" t="s">
        <v>138</v>
      </c>
      <c r="D203" s="28" t="s">
        <v>4536</v>
      </c>
      <c r="E203" s="28" t="s">
        <v>138</v>
      </c>
      <c r="F203" s="28" t="s">
        <v>4534</v>
      </c>
      <c r="G203" s="28" t="s">
        <v>4537</v>
      </c>
      <c r="H203" s="28" t="s">
        <v>322</v>
      </c>
      <c r="I203" s="28" t="s">
        <v>323</v>
      </c>
      <c r="J203" s="28" t="s">
        <v>324</v>
      </c>
      <c r="K203" s="28" t="s">
        <v>325</v>
      </c>
      <c r="L203" s="28" t="s">
        <v>415</v>
      </c>
      <c r="M203" s="28" t="s">
        <v>4538</v>
      </c>
      <c r="N203" s="28" t="s">
        <v>147</v>
      </c>
      <c r="O203" s="29">
        <v>16.5</v>
      </c>
      <c r="P203" s="28" t="s">
        <v>148</v>
      </c>
      <c r="Q203" s="28" t="s">
        <v>149</v>
      </c>
      <c r="R203" s="28" t="s">
        <v>244</v>
      </c>
      <c r="S203" s="28" t="s">
        <v>4539</v>
      </c>
      <c r="T203" s="30">
        <v>50</v>
      </c>
      <c r="U203" s="28" t="s">
        <v>4540</v>
      </c>
      <c r="V203" s="28" t="s">
        <v>138</v>
      </c>
      <c r="W203" s="28" t="s">
        <v>138</v>
      </c>
      <c r="X203" s="31">
        <v>2010</v>
      </c>
      <c r="Y203" s="28" t="s">
        <v>138</v>
      </c>
      <c r="Z203" s="28" t="s">
        <v>138</v>
      </c>
      <c r="AA203" s="28" t="s">
        <v>138</v>
      </c>
      <c r="AB203" s="32" t="s">
        <v>138</v>
      </c>
      <c r="AC203" s="32" t="s">
        <v>138</v>
      </c>
      <c r="AD203" s="32" t="s">
        <v>138</v>
      </c>
      <c r="AE203" s="32" t="s">
        <v>138</v>
      </c>
      <c r="AF203" s="32" t="s">
        <v>138</v>
      </c>
      <c r="AG203" s="28" t="s">
        <v>138</v>
      </c>
      <c r="AH203" s="32" t="s">
        <v>138</v>
      </c>
      <c r="AI203" s="32" t="s">
        <v>138</v>
      </c>
      <c r="AJ203" s="32" t="s">
        <v>138</v>
      </c>
      <c r="AK203" s="28" t="s">
        <v>4541</v>
      </c>
      <c r="AL203" s="28" t="s">
        <v>4542</v>
      </c>
      <c r="AM203" s="28" t="s">
        <v>4543</v>
      </c>
      <c r="AN203" s="28" t="s">
        <v>4544</v>
      </c>
      <c r="AO203" s="28" t="s">
        <v>4545</v>
      </c>
      <c r="AP203" s="28" t="s">
        <v>4546</v>
      </c>
      <c r="AQ203" s="28" t="s">
        <v>4547</v>
      </c>
      <c r="AR203" s="28" t="s">
        <v>158</v>
      </c>
      <c r="AS203" s="28" t="s">
        <v>4548</v>
      </c>
      <c r="AT203" s="28" t="s">
        <v>1146</v>
      </c>
      <c r="AU203" s="28" t="s">
        <v>4549</v>
      </c>
      <c r="AV203" s="28" t="s">
        <v>162</v>
      </c>
      <c r="AW203" s="28" t="s">
        <v>4545</v>
      </c>
      <c r="AX203" s="28" t="s">
        <v>138</v>
      </c>
      <c r="AY203" s="28" t="s">
        <v>4550</v>
      </c>
      <c r="AZ203" s="28" t="s">
        <v>164</v>
      </c>
      <c r="BA203" s="28" t="s">
        <v>165</v>
      </c>
      <c r="BB203" s="28" t="s">
        <v>4551</v>
      </c>
      <c r="BC203" s="28" t="s">
        <v>4552</v>
      </c>
      <c r="BD203" s="33">
        <v>25</v>
      </c>
      <c r="BE203" s="28" t="s">
        <v>138</v>
      </c>
      <c r="BF203" s="28" t="s">
        <v>138</v>
      </c>
      <c r="BG203" s="28" t="s">
        <v>138</v>
      </c>
      <c r="BH203" s="28" t="s">
        <v>4553</v>
      </c>
      <c r="BI203" s="28" t="s">
        <v>138</v>
      </c>
      <c r="BJ203" s="28" t="s">
        <v>138</v>
      </c>
      <c r="BK203" s="28" t="s">
        <v>4554</v>
      </c>
      <c r="BL203" s="28" t="s">
        <v>4555</v>
      </c>
      <c r="BM203" s="34">
        <v>40275</v>
      </c>
      <c r="BN203" s="29" t="s">
        <v>138</v>
      </c>
      <c r="BO203" s="28" t="s">
        <v>138</v>
      </c>
      <c r="BP203" s="29" t="s">
        <v>138</v>
      </c>
      <c r="BQ203" s="28" t="s">
        <v>138</v>
      </c>
      <c r="BR203" s="28" t="s">
        <v>316</v>
      </c>
      <c r="BS203" s="28" t="s">
        <v>138</v>
      </c>
      <c r="BT203" s="28" t="s">
        <v>138</v>
      </c>
      <c r="BU203" s="28" t="s">
        <v>177</v>
      </c>
      <c r="BV203" s="28" t="s">
        <v>138</v>
      </c>
      <c r="BW203" s="28" t="s">
        <v>138</v>
      </c>
      <c r="BX203" s="28" t="s">
        <v>138</v>
      </c>
      <c r="BY203" s="28" t="s">
        <v>175</v>
      </c>
      <c r="BZ203" s="34">
        <v>42978</v>
      </c>
      <c r="CA203" s="29" t="s">
        <v>138</v>
      </c>
      <c r="CB203" s="28" t="s">
        <v>138</v>
      </c>
      <c r="CC203" s="29" t="s">
        <v>138</v>
      </c>
      <c r="CD203" s="28" t="s">
        <v>138</v>
      </c>
      <c r="CE203" s="28" t="s">
        <v>1326</v>
      </c>
      <c r="CF203" s="28" t="s">
        <v>138</v>
      </c>
      <c r="CG203" s="28" t="s">
        <v>138</v>
      </c>
      <c r="CH203" s="28" t="s">
        <v>1327</v>
      </c>
      <c r="CI203" s="28" t="s">
        <v>2528</v>
      </c>
      <c r="CJ203" s="28" t="s">
        <v>138</v>
      </c>
      <c r="CK203" s="28" t="s">
        <v>138</v>
      </c>
      <c r="CL203" s="28" t="s">
        <v>175</v>
      </c>
      <c r="CM203" s="34">
        <v>42978</v>
      </c>
      <c r="CN203" s="29" t="s">
        <v>138</v>
      </c>
      <c r="CO203" s="35">
        <v>-0.39</v>
      </c>
      <c r="CP203" s="36">
        <v>17</v>
      </c>
      <c r="CQ203" s="35">
        <v>0.01</v>
      </c>
      <c r="CR203" s="35">
        <v>2</v>
      </c>
      <c r="CS203" s="35">
        <v>-0.72</v>
      </c>
      <c r="CT203" s="36">
        <v>17</v>
      </c>
      <c r="CU203" s="35">
        <v>-0.06</v>
      </c>
      <c r="CV203" s="36">
        <v>8</v>
      </c>
      <c r="CW203" s="35">
        <v>-0.06</v>
      </c>
      <c r="CX203" s="36">
        <v>13</v>
      </c>
      <c r="CY203" s="35">
        <v>-1.39</v>
      </c>
      <c r="CZ203" s="36">
        <v>16</v>
      </c>
      <c r="DA203" s="35">
        <v>-0.06</v>
      </c>
      <c r="DB203" s="36">
        <v>11</v>
      </c>
      <c r="DC203" s="37">
        <v>9.93</v>
      </c>
      <c r="DD203" s="36">
        <v>90</v>
      </c>
      <c r="DE203" s="37">
        <v>-0.18</v>
      </c>
      <c r="DF203" s="35">
        <v>-1.74</v>
      </c>
      <c r="DG203" s="37">
        <v>10.91</v>
      </c>
      <c r="DH203" s="36">
        <v>90</v>
      </c>
      <c r="DI203" s="37">
        <v>8.9499999999999993</v>
      </c>
      <c r="DJ203" s="36">
        <v>84</v>
      </c>
      <c r="DK203" s="37">
        <v>5.69</v>
      </c>
      <c r="DL203" s="36">
        <v>81</v>
      </c>
      <c r="DM203" s="37">
        <v>16.14</v>
      </c>
      <c r="DN203" s="36">
        <v>93</v>
      </c>
      <c r="DO203" s="37">
        <v>8.9499999999999993</v>
      </c>
      <c r="DP203" s="36">
        <v>86</v>
      </c>
      <c r="DQ203" s="36">
        <v>1910</v>
      </c>
      <c r="DR203" s="38">
        <v>118</v>
      </c>
      <c r="DS203" s="35">
        <v>6.58</v>
      </c>
      <c r="DT203" s="36">
        <v>468</v>
      </c>
      <c r="DU203" s="38">
        <v>0</v>
      </c>
      <c r="DV203" s="35">
        <v>0</v>
      </c>
      <c r="DW203" s="36">
        <v>3204</v>
      </c>
      <c r="DX203" s="39">
        <v>1</v>
      </c>
      <c r="DY203" s="35">
        <v>0.03</v>
      </c>
      <c r="DZ203" s="28" t="s">
        <v>178</v>
      </c>
      <c r="EA203" s="34">
        <v>43395</v>
      </c>
      <c r="EB203" s="29" t="s">
        <v>138</v>
      </c>
      <c r="EC203" s="34" t="s">
        <v>138</v>
      </c>
      <c r="ED203" s="28" t="s">
        <v>138</v>
      </c>
      <c r="EE203" s="40" t="str">
        <f>HYPERLINK("https://my.pitchbook.com?c=56865-34", "View company online")</f>
        <v>View company online</v>
      </c>
    </row>
    <row r="204" spans="1:135">
      <c r="A204" s="15" t="s">
        <v>4556</v>
      </c>
      <c r="B204" s="15" t="s">
        <v>4557</v>
      </c>
      <c r="C204" s="15" t="s">
        <v>138</v>
      </c>
      <c r="D204" s="15" t="s">
        <v>4558</v>
      </c>
      <c r="E204" s="15" t="s">
        <v>4559</v>
      </c>
      <c r="F204" s="15" t="s">
        <v>4556</v>
      </c>
      <c r="G204" s="15" t="s">
        <v>4560</v>
      </c>
      <c r="H204" s="15" t="s">
        <v>141</v>
      </c>
      <c r="I204" s="15" t="s">
        <v>212</v>
      </c>
      <c r="J204" s="15" t="s">
        <v>213</v>
      </c>
      <c r="K204" s="15" t="s">
        <v>4561</v>
      </c>
      <c r="L204" s="15" t="s">
        <v>415</v>
      </c>
      <c r="M204" s="15" t="s">
        <v>4562</v>
      </c>
      <c r="N204" s="15" t="s">
        <v>1452</v>
      </c>
      <c r="O204" s="17">
        <v>47.89</v>
      </c>
      <c r="P204" s="15" t="s">
        <v>148</v>
      </c>
      <c r="Q204" s="15" t="s">
        <v>149</v>
      </c>
      <c r="R204" s="15" t="s">
        <v>328</v>
      </c>
      <c r="S204" s="15" t="s">
        <v>4563</v>
      </c>
      <c r="T204" s="18">
        <v>208</v>
      </c>
      <c r="U204" s="15" t="s">
        <v>4564</v>
      </c>
      <c r="V204" s="15" t="s">
        <v>138</v>
      </c>
      <c r="W204" s="15" t="s">
        <v>138</v>
      </c>
      <c r="X204" s="19">
        <v>2011</v>
      </c>
      <c r="Y204" s="15" t="s">
        <v>138</v>
      </c>
      <c r="Z204" s="15" t="s">
        <v>138</v>
      </c>
      <c r="AA204" s="15" t="s">
        <v>138</v>
      </c>
      <c r="AB204" s="20" t="s">
        <v>138</v>
      </c>
      <c r="AC204" s="20" t="s">
        <v>138</v>
      </c>
      <c r="AD204" s="20" t="s">
        <v>138</v>
      </c>
      <c r="AE204" s="20" t="s">
        <v>138</v>
      </c>
      <c r="AF204" s="20" t="s">
        <v>138</v>
      </c>
      <c r="AG204" s="15" t="s">
        <v>138</v>
      </c>
      <c r="AH204" s="20" t="s">
        <v>138</v>
      </c>
      <c r="AI204" s="20" t="s">
        <v>138</v>
      </c>
      <c r="AJ204" s="20" t="s">
        <v>138</v>
      </c>
      <c r="AK204" s="15" t="s">
        <v>4565</v>
      </c>
      <c r="AL204" s="15" t="s">
        <v>4566</v>
      </c>
      <c r="AM204" s="15" t="s">
        <v>4567</v>
      </c>
      <c r="AN204" s="15" t="s">
        <v>4568</v>
      </c>
      <c r="AO204" s="15" t="s">
        <v>4569</v>
      </c>
      <c r="AP204" s="15" t="s">
        <v>423</v>
      </c>
      <c r="AQ204" s="15" t="s">
        <v>4570</v>
      </c>
      <c r="AR204" s="15" t="s">
        <v>4571</v>
      </c>
      <c r="AS204" s="15" t="s">
        <v>426</v>
      </c>
      <c r="AT204" s="15" t="s">
        <v>426</v>
      </c>
      <c r="AU204" s="15" t="s">
        <v>619</v>
      </c>
      <c r="AV204" s="15" t="s">
        <v>162</v>
      </c>
      <c r="AW204" s="15" t="s">
        <v>4569</v>
      </c>
      <c r="AX204" s="15" t="s">
        <v>138</v>
      </c>
      <c r="AY204" s="15" t="s">
        <v>4572</v>
      </c>
      <c r="AZ204" s="15" t="s">
        <v>164</v>
      </c>
      <c r="BA204" s="15" t="s">
        <v>165</v>
      </c>
      <c r="BB204" s="15" t="s">
        <v>4573</v>
      </c>
      <c r="BC204" s="15" t="s">
        <v>4574</v>
      </c>
      <c r="BD204" s="21">
        <v>11</v>
      </c>
      <c r="BE204" s="15" t="s">
        <v>138</v>
      </c>
      <c r="BF204" s="15" t="s">
        <v>138</v>
      </c>
      <c r="BG204" s="15" t="s">
        <v>138</v>
      </c>
      <c r="BH204" s="15" t="s">
        <v>4575</v>
      </c>
      <c r="BI204" s="15" t="s">
        <v>138</v>
      </c>
      <c r="BJ204" s="15" t="s">
        <v>138</v>
      </c>
      <c r="BK204" s="15" t="s">
        <v>4576</v>
      </c>
      <c r="BL204" s="15" t="s">
        <v>4577</v>
      </c>
      <c r="BM204" s="22">
        <v>40743</v>
      </c>
      <c r="BN204" s="17">
        <v>1.58</v>
      </c>
      <c r="BO204" s="15" t="s">
        <v>172</v>
      </c>
      <c r="BP204" s="17">
        <v>15.75</v>
      </c>
      <c r="BQ204" s="15" t="s">
        <v>172</v>
      </c>
      <c r="BR204" s="15" t="s">
        <v>205</v>
      </c>
      <c r="BS204" s="15" t="s">
        <v>623</v>
      </c>
      <c r="BT204" s="15" t="s">
        <v>138</v>
      </c>
      <c r="BU204" s="15" t="s">
        <v>174</v>
      </c>
      <c r="BV204" s="15" t="s">
        <v>138</v>
      </c>
      <c r="BW204" s="15" t="s">
        <v>138</v>
      </c>
      <c r="BX204" s="15" t="s">
        <v>138</v>
      </c>
      <c r="BY204" s="15" t="s">
        <v>175</v>
      </c>
      <c r="BZ204" s="22">
        <v>43069</v>
      </c>
      <c r="CA204" s="17" t="s">
        <v>138</v>
      </c>
      <c r="CB204" s="15" t="s">
        <v>138</v>
      </c>
      <c r="CC204" s="17" t="s">
        <v>138</v>
      </c>
      <c r="CD204" s="15" t="s">
        <v>138</v>
      </c>
      <c r="CE204" s="15" t="s">
        <v>1673</v>
      </c>
      <c r="CF204" s="15" t="s">
        <v>138</v>
      </c>
      <c r="CG204" s="15" t="s">
        <v>138</v>
      </c>
      <c r="CH204" s="15" t="s">
        <v>351</v>
      </c>
      <c r="CI204" s="15" t="s">
        <v>138</v>
      </c>
      <c r="CJ204" s="15" t="s">
        <v>138</v>
      </c>
      <c r="CK204" s="15" t="s">
        <v>138</v>
      </c>
      <c r="CL204" s="15" t="s">
        <v>175</v>
      </c>
      <c r="CM204" s="22">
        <v>42628</v>
      </c>
      <c r="CN204" s="17" t="s">
        <v>138</v>
      </c>
      <c r="CO204" s="23">
        <v>-3.25</v>
      </c>
      <c r="CP204" s="24">
        <v>3</v>
      </c>
      <c r="CQ204" s="23">
        <v>0</v>
      </c>
      <c r="CR204" s="23">
        <v>-0.05</v>
      </c>
      <c r="CS204" s="23">
        <v>-6.49</v>
      </c>
      <c r="CT204" s="24">
        <v>1</v>
      </c>
      <c r="CU204" s="23">
        <v>-0.01</v>
      </c>
      <c r="CV204" s="24">
        <v>20</v>
      </c>
      <c r="CW204" s="23">
        <v>-6.49</v>
      </c>
      <c r="CX204" s="24">
        <v>2</v>
      </c>
      <c r="CY204" s="23" t="s">
        <v>138</v>
      </c>
      <c r="CZ204" s="24" t="s">
        <v>138</v>
      </c>
      <c r="DA204" s="23">
        <v>0.01</v>
      </c>
      <c r="DB204" s="24">
        <v>57</v>
      </c>
      <c r="DC204" s="25">
        <v>6.57</v>
      </c>
      <c r="DD204" s="24">
        <v>86</v>
      </c>
      <c r="DE204" s="25">
        <v>-0.19</v>
      </c>
      <c r="DF204" s="23">
        <v>-2.78</v>
      </c>
      <c r="DG204" s="25">
        <v>3.05</v>
      </c>
      <c r="DH204" s="24">
        <v>75</v>
      </c>
      <c r="DI204" s="25">
        <v>10.09</v>
      </c>
      <c r="DJ204" s="24">
        <v>85</v>
      </c>
      <c r="DK204" s="25">
        <v>3.05</v>
      </c>
      <c r="DL204" s="24">
        <v>72</v>
      </c>
      <c r="DM204" s="25" t="s">
        <v>138</v>
      </c>
      <c r="DN204" s="24" t="s">
        <v>138</v>
      </c>
      <c r="DO204" s="25">
        <v>9.83</v>
      </c>
      <c r="DP204" s="24">
        <v>87</v>
      </c>
      <c r="DQ204" s="24">
        <v>1102</v>
      </c>
      <c r="DR204" s="26">
        <v>-170</v>
      </c>
      <c r="DS204" s="23">
        <v>-13.36</v>
      </c>
      <c r="DT204" s="24" t="s">
        <v>138</v>
      </c>
      <c r="DU204" s="26" t="s">
        <v>138</v>
      </c>
      <c r="DV204" s="23" t="s">
        <v>138</v>
      </c>
      <c r="DW204" s="24">
        <v>3522</v>
      </c>
      <c r="DX204" s="27">
        <v>-1</v>
      </c>
      <c r="DY204" s="23">
        <v>-0.03</v>
      </c>
      <c r="DZ204" s="15" t="s">
        <v>178</v>
      </c>
      <c r="EA204" s="22">
        <v>43416</v>
      </c>
      <c r="EB204" s="17">
        <v>144</v>
      </c>
      <c r="EC204" s="22">
        <v>42257</v>
      </c>
      <c r="ED204" s="15" t="s">
        <v>205</v>
      </c>
      <c r="EE204" s="14" t="str">
        <f>HYPERLINK("https://my.pitchbook.com?c=55671-76", "View company online")</f>
        <v>View company online</v>
      </c>
    </row>
    <row r="205" spans="1:135">
      <c r="A205" s="28" t="s">
        <v>4578</v>
      </c>
      <c r="B205" s="28" t="s">
        <v>4579</v>
      </c>
      <c r="C205" s="28" t="s">
        <v>138</v>
      </c>
      <c r="D205" s="28" t="s">
        <v>138</v>
      </c>
      <c r="E205" s="28" t="s">
        <v>138</v>
      </c>
      <c r="F205" s="28" t="s">
        <v>4578</v>
      </c>
      <c r="G205" s="28" t="s">
        <v>4580</v>
      </c>
      <c r="H205" s="28" t="s">
        <v>141</v>
      </c>
      <c r="I205" s="28" t="s">
        <v>212</v>
      </c>
      <c r="J205" s="28" t="s">
        <v>486</v>
      </c>
      <c r="K205" s="28" t="s">
        <v>4581</v>
      </c>
      <c r="L205" s="28" t="s">
        <v>3589</v>
      </c>
      <c r="M205" s="28" t="s">
        <v>4582</v>
      </c>
      <c r="N205" s="28" t="s">
        <v>147</v>
      </c>
      <c r="O205" s="29" t="s">
        <v>138</v>
      </c>
      <c r="P205" s="28" t="s">
        <v>148</v>
      </c>
      <c r="Q205" s="28" t="s">
        <v>149</v>
      </c>
      <c r="R205" s="28" t="s">
        <v>174</v>
      </c>
      <c r="S205" s="28" t="s">
        <v>4583</v>
      </c>
      <c r="T205" s="30" t="s">
        <v>138</v>
      </c>
      <c r="U205" s="28" t="s">
        <v>138</v>
      </c>
      <c r="V205" s="28" t="s">
        <v>138</v>
      </c>
      <c r="W205" s="28" t="s">
        <v>138</v>
      </c>
      <c r="X205" s="31">
        <v>2015</v>
      </c>
      <c r="Y205" s="28" t="s">
        <v>138</v>
      </c>
      <c r="Z205" s="28" t="s">
        <v>138</v>
      </c>
      <c r="AA205" s="28" t="s">
        <v>138</v>
      </c>
      <c r="AB205" s="32" t="s">
        <v>138</v>
      </c>
      <c r="AC205" s="32" t="s">
        <v>138</v>
      </c>
      <c r="AD205" s="32" t="s">
        <v>138</v>
      </c>
      <c r="AE205" s="32" t="s">
        <v>138</v>
      </c>
      <c r="AF205" s="32" t="s">
        <v>138</v>
      </c>
      <c r="AG205" s="28" t="s">
        <v>138</v>
      </c>
      <c r="AH205" s="32" t="s">
        <v>138</v>
      </c>
      <c r="AI205" s="32" t="s">
        <v>138</v>
      </c>
      <c r="AJ205" s="32" t="s">
        <v>138</v>
      </c>
      <c r="AK205" s="28" t="s">
        <v>4584</v>
      </c>
      <c r="AL205" s="28" t="s">
        <v>4585</v>
      </c>
      <c r="AM205" s="28" t="s">
        <v>444</v>
      </c>
      <c r="AN205" s="28" t="s">
        <v>4586</v>
      </c>
      <c r="AO205" s="28" t="s">
        <v>4587</v>
      </c>
      <c r="AP205" s="28" t="s">
        <v>1244</v>
      </c>
      <c r="AQ205" s="28" t="s">
        <v>4588</v>
      </c>
      <c r="AR205" s="28" t="s">
        <v>138</v>
      </c>
      <c r="AS205" s="28" t="s">
        <v>1246</v>
      </c>
      <c r="AT205" s="28" t="s">
        <v>200</v>
      </c>
      <c r="AU205" s="28" t="s">
        <v>4589</v>
      </c>
      <c r="AV205" s="28" t="s">
        <v>162</v>
      </c>
      <c r="AW205" s="28" t="s">
        <v>4587</v>
      </c>
      <c r="AX205" s="28" t="s">
        <v>138</v>
      </c>
      <c r="AY205" s="28" t="s">
        <v>4590</v>
      </c>
      <c r="AZ205" s="28" t="s">
        <v>164</v>
      </c>
      <c r="BA205" s="28" t="s">
        <v>165</v>
      </c>
      <c r="BB205" s="28" t="s">
        <v>4591</v>
      </c>
      <c r="BC205" s="28" t="s">
        <v>4592</v>
      </c>
      <c r="BD205" s="33">
        <v>6</v>
      </c>
      <c r="BE205" s="28" t="s">
        <v>138</v>
      </c>
      <c r="BF205" s="28" t="s">
        <v>138</v>
      </c>
      <c r="BG205" s="28" t="s">
        <v>138</v>
      </c>
      <c r="BH205" s="28" t="s">
        <v>4593</v>
      </c>
      <c r="BI205" s="28" t="s">
        <v>138</v>
      </c>
      <c r="BJ205" s="28" t="s">
        <v>138</v>
      </c>
      <c r="BK205" s="28" t="s">
        <v>138</v>
      </c>
      <c r="BL205" s="28" t="s">
        <v>138</v>
      </c>
      <c r="BM205" s="34">
        <v>42736</v>
      </c>
      <c r="BN205" s="29" t="s">
        <v>138</v>
      </c>
      <c r="BO205" s="28" t="s">
        <v>138</v>
      </c>
      <c r="BP205" s="29" t="s">
        <v>138</v>
      </c>
      <c r="BQ205" s="28" t="s">
        <v>138</v>
      </c>
      <c r="BR205" s="28" t="s">
        <v>205</v>
      </c>
      <c r="BS205" s="28" t="s">
        <v>138</v>
      </c>
      <c r="BT205" s="28" t="s">
        <v>138</v>
      </c>
      <c r="BU205" s="28" t="s">
        <v>174</v>
      </c>
      <c r="BV205" s="28" t="s">
        <v>138</v>
      </c>
      <c r="BW205" s="28" t="s">
        <v>138</v>
      </c>
      <c r="BX205" s="28" t="s">
        <v>138</v>
      </c>
      <c r="BY205" s="28" t="s">
        <v>175</v>
      </c>
      <c r="BZ205" s="34">
        <v>43350</v>
      </c>
      <c r="CA205" s="29" t="s">
        <v>138</v>
      </c>
      <c r="CB205" s="28" t="s">
        <v>138</v>
      </c>
      <c r="CC205" s="29" t="s">
        <v>138</v>
      </c>
      <c r="CD205" s="28" t="s">
        <v>138</v>
      </c>
      <c r="CE205" s="28" t="s">
        <v>205</v>
      </c>
      <c r="CF205" s="28" t="s">
        <v>138</v>
      </c>
      <c r="CG205" s="28" t="s">
        <v>138</v>
      </c>
      <c r="CH205" s="28" t="s">
        <v>174</v>
      </c>
      <c r="CI205" s="28" t="s">
        <v>138</v>
      </c>
      <c r="CJ205" s="28" t="s">
        <v>138</v>
      </c>
      <c r="CK205" s="28" t="s">
        <v>138</v>
      </c>
      <c r="CL205" s="28" t="s">
        <v>175</v>
      </c>
      <c r="CM205" s="34" t="s">
        <v>138</v>
      </c>
      <c r="CN205" s="29" t="s">
        <v>138</v>
      </c>
      <c r="CO205" s="35">
        <v>0.94</v>
      </c>
      <c r="CP205" s="36">
        <v>97</v>
      </c>
      <c r="CQ205" s="35">
        <v>-7.0000000000000007E-2</v>
      </c>
      <c r="CR205" s="35">
        <v>-6.85</v>
      </c>
      <c r="CS205" s="35">
        <v>0</v>
      </c>
      <c r="CT205" s="36">
        <v>23</v>
      </c>
      <c r="CU205" s="35">
        <v>1.88</v>
      </c>
      <c r="CV205" s="36">
        <v>100</v>
      </c>
      <c r="CW205" s="35" t="s">
        <v>138</v>
      </c>
      <c r="CX205" s="36" t="s">
        <v>138</v>
      </c>
      <c r="CY205" s="35">
        <v>0</v>
      </c>
      <c r="CZ205" s="36">
        <v>25</v>
      </c>
      <c r="DA205" s="35">
        <v>1.88</v>
      </c>
      <c r="DB205" s="36">
        <v>100</v>
      </c>
      <c r="DC205" s="37">
        <v>2.4900000000000002</v>
      </c>
      <c r="DD205" s="36">
        <v>72</v>
      </c>
      <c r="DE205" s="37">
        <v>-0.01</v>
      </c>
      <c r="DF205" s="35">
        <v>-0.38</v>
      </c>
      <c r="DG205" s="37">
        <v>0.72</v>
      </c>
      <c r="DH205" s="36">
        <v>43</v>
      </c>
      <c r="DI205" s="37">
        <v>4.26</v>
      </c>
      <c r="DJ205" s="36">
        <v>75</v>
      </c>
      <c r="DK205" s="37" t="s">
        <v>138</v>
      </c>
      <c r="DL205" s="36" t="s">
        <v>138</v>
      </c>
      <c r="DM205" s="37">
        <v>0.72</v>
      </c>
      <c r="DN205" s="36">
        <v>42</v>
      </c>
      <c r="DO205" s="37">
        <v>4.26</v>
      </c>
      <c r="DP205" s="36">
        <v>77</v>
      </c>
      <c r="DQ205" s="36" t="s">
        <v>138</v>
      </c>
      <c r="DR205" s="38" t="s">
        <v>138</v>
      </c>
      <c r="DS205" s="35" t="s">
        <v>138</v>
      </c>
      <c r="DT205" s="36">
        <v>21</v>
      </c>
      <c r="DU205" s="38">
        <v>0</v>
      </c>
      <c r="DV205" s="35">
        <v>0</v>
      </c>
      <c r="DW205" s="36">
        <v>1528</v>
      </c>
      <c r="DX205" s="39">
        <v>3</v>
      </c>
      <c r="DY205" s="35">
        <v>0.2</v>
      </c>
      <c r="DZ205" s="28" t="s">
        <v>178</v>
      </c>
      <c r="EA205" s="34">
        <v>43483</v>
      </c>
      <c r="EB205" s="29" t="s">
        <v>138</v>
      </c>
      <c r="EC205" s="34" t="s">
        <v>138</v>
      </c>
      <c r="ED205" s="28" t="s">
        <v>138</v>
      </c>
      <c r="EE205" s="40" t="str">
        <f>HYPERLINK("https://my.pitchbook.com?c=180185-41", "View company online")</f>
        <v>View company online</v>
      </c>
    </row>
    <row r="206" spans="1:135">
      <c r="A206" s="15" t="s">
        <v>4594</v>
      </c>
      <c r="B206" s="15" t="s">
        <v>4595</v>
      </c>
      <c r="C206" s="15" t="s">
        <v>138</v>
      </c>
      <c r="D206" s="15" t="s">
        <v>4596</v>
      </c>
      <c r="E206" s="15" t="s">
        <v>138</v>
      </c>
      <c r="F206" s="15" t="s">
        <v>4594</v>
      </c>
      <c r="G206" s="15" t="s">
        <v>4597</v>
      </c>
      <c r="H206" s="15" t="s">
        <v>322</v>
      </c>
      <c r="I206" s="15" t="s">
        <v>807</v>
      </c>
      <c r="J206" s="15" t="s">
        <v>808</v>
      </c>
      <c r="K206" s="15" t="s">
        <v>4598</v>
      </c>
      <c r="L206" s="15" t="s">
        <v>463</v>
      </c>
      <c r="M206" s="15" t="s">
        <v>4599</v>
      </c>
      <c r="N206" s="15" t="s">
        <v>147</v>
      </c>
      <c r="O206" s="17" t="s">
        <v>138</v>
      </c>
      <c r="P206" s="15" t="s">
        <v>610</v>
      </c>
      <c r="Q206" s="15" t="s">
        <v>149</v>
      </c>
      <c r="R206" s="15" t="s">
        <v>174</v>
      </c>
      <c r="S206" s="15" t="s">
        <v>4600</v>
      </c>
      <c r="T206" s="18" t="s">
        <v>138</v>
      </c>
      <c r="U206" s="15" t="s">
        <v>138</v>
      </c>
      <c r="V206" s="15" t="s">
        <v>138</v>
      </c>
      <c r="W206" s="15" t="s">
        <v>138</v>
      </c>
      <c r="X206" s="19">
        <v>2003</v>
      </c>
      <c r="Y206" s="15" t="s">
        <v>138</v>
      </c>
      <c r="Z206" s="15" t="s">
        <v>138</v>
      </c>
      <c r="AA206" s="15" t="s">
        <v>138</v>
      </c>
      <c r="AB206" s="20" t="s">
        <v>138</v>
      </c>
      <c r="AC206" s="20" t="s">
        <v>138</v>
      </c>
      <c r="AD206" s="20" t="s">
        <v>138</v>
      </c>
      <c r="AE206" s="20" t="s">
        <v>138</v>
      </c>
      <c r="AF206" s="20" t="s">
        <v>138</v>
      </c>
      <c r="AG206" s="15" t="s">
        <v>138</v>
      </c>
      <c r="AH206" s="20" t="s">
        <v>138</v>
      </c>
      <c r="AI206" s="20" t="s">
        <v>138</v>
      </c>
      <c r="AJ206" s="20" t="s">
        <v>138</v>
      </c>
      <c r="AK206" s="15" t="s">
        <v>138</v>
      </c>
      <c r="AL206" s="15" t="s">
        <v>138</v>
      </c>
      <c r="AM206" s="15" t="s">
        <v>138</v>
      </c>
      <c r="AN206" s="15" t="s">
        <v>138</v>
      </c>
      <c r="AO206" s="15" t="s">
        <v>138</v>
      </c>
      <c r="AP206" s="15" t="s">
        <v>4601</v>
      </c>
      <c r="AQ206" s="15" t="s">
        <v>4602</v>
      </c>
      <c r="AR206" s="15" t="s">
        <v>4603</v>
      </c>
      <c r="AS206" s="15" t="s">
        <v>4604</v>
      </c>
      <c r="AT206" s="15" t="s">
        <v>138</v>
      </c>
      <c r="AU206" s="15" t="s">
        <v>4605</v>
      </c>
      <c r="AV206" s="15" t="s">
        <v>2071</v>
      </c>
      <c r="AW206" s="15" t="s">
        <v>4606</v>
      </c>
      <c r="AX206" s="15" t="s">
        <v>4607</v>
      </c>
      <c r="AY206" s="15" t="s">
        <v>4608</v>
      </c>
      <c r="AZ206" s="15" t="s">
        <v>452</v>
      </c>
      <c r="BA206" s="15" t="s">
        <v>453</v>
      </c>
      <c r="BB206" s="15" t="s">
        <v>4609</v>
      </c>
      <c r="BC206" s="15" t="s">
        <v>2075</v>
      </c>
      <c r="BD206" s="21">
        <v>1</v>
      </c>
      <c r="BE206" s="15" t="s">
        <v>138</v>
      </c>
      <c r="BF206" s="15" t="s">
        <v>138</v>
      </c>
      <c r="BG206" s="15" t="s">
        <v>138</v>
      </c>
      <c r="BH206" s="15" t="s">
        <v>2077</v>
      </c>
      <c r="BI206" s="15" t="s">
        <v>138</v>
      </c>
      <c r="BJ206" s="15" t="s">
        <v>138</v>
      </c>
      <c r="BK206" s="15" t="s">
        <v>138</v>
      </c>
      <c r="BL206" s="15" t="s">
        <v>138</v>
      </c>
      <c r="BM206" s="22" t="s">
        <v>138</v>
      </c>
      <c r="BN206" s="17" t="s">
        <v>138</v>
      </c>
      <c r="BO206" s="15" t="s">
        <v>138</v>
      </c>
      <c r="BP206" s="17" t="s">
        <v>138</v>
      </c>
      <c r="BQ206" s="15" t="s">
        <v>138</v>
      </c>
      <c r="BR206" s="15" t="s">
        <v>205</v>
      </c>
      <c r="BS206" s="15" t="s">
        <v>138</v>
      </c>
      <c r="BT206" s="15" t="s">
        <v>138</v>
      </c>
      <c r="BU206" s="15" t="s">
        <v>174</v>
      </c>
      <c r="BV206" s="15" t="s">
        <v>138</v>
      </c>
      <c r="BW206" s="15" t="s">
        <v>138</v>
      </c>
      <c r="BX206" s="15" t="s">
        <v>138</v>
      </c>
      <c r="BY206" s="15" t="s">
        <v>175</v>
      </c>
      <c r="BZ206" s="22" t="s">
        <v>138</v>
      </c>
      <c r="CA206" s="17" t="s">
        <v>138</v>
      </c>
      <c r="CB206" s="15" t="s">
        <v>138</v>
      </c>
      <c r="CC206" s="17" t="s">
        <v>138</v>
      </c>
      <c r="CD206" s="15" t="s">
        <v>138</v>
      </c>
      <c r="CE206" s="15" t="s">
        <v>205</v>
      </c>
      <c r="CF206" s="15" t="s">
        <v>138</v>
      </c>
      <c r="CG206" s="15" t="s">
        <v>138</v>
      </c>
      <c r="CH206" s="15" t="s">
        <v>174</v>
      </c>
      <c r="CI206" s="15" t="s">
        <v>138</v>
      </c>
      <c r="CJ206" s="15" t="s">
        <v>138</v>
      </c>
      <c r="CK206" s="15" t="s">
        <v>138</v>
      </c>
      <c r="CL206" s="15" t="s">
        <v>175</v>
      </c>
      <c r="CM206" s="22" t="s">
        <v>138</v>
      </c>
      <c r="CN206" s="17" t="s">
        <v>138</v>
      </c>
      <c r="CO206" s="23" t="s">
        <v>138</v>
      </c>
      <c r="CP206" s="24" t="s">
        <v>138</v>
      </c>
      <c r="CQ206" s="23" t="s">
        <v>138</v>
      </c>
      <c r="CR206" s="23" t="s">
        <v>138</v>
      </c>
      <c r="CS206" s="23" t="s">
        <v>138</v>
      </c>
      <c r="CT206" s="24" t="s">
        <v>138</v>
      </c>
      <c r="CU206" s="23" t="s">
        <v>138</v>
      </c>
      <c r="CV206" s="24" t="s">
        <v>138</v>
      </c>
      <c r="CW206" s="23" t="s">
        <v>138</v>
      </c>
      <c r="CX206" s="24" t="s">
        <v>138</v>
      </c>
      <c r="CY206" s="23" t="s">
        <v>138</v>
      </c>
      <c r="CZ206" s="24" t="s">
        <v>138</v>
      </c>
      <c r="DA206" s="23" t="s">
        <v>138</v>
      </c>
      <c r="DB206" s="24" t="s">
        <v>138</v>
      </c>
      <c r="DC206" s="25" t="s">
        <v>138</v>
      </c>
      <c r="DD206" s="24" t="s">
        <v>138</v>
      </c>
      <c r="DE206" s="25" t="s">
        <v>138</v>
      </c>
      <c r="DF206" s="23" t="s">
        <v>138</v>
      </c>
      <c r="DG206" s="25" t="s">
        <v>138</v>
      </c>
      <c r="DH206" s="24" t="s">
        <v>138</v>
      </c>
      <c r="DI206" s="25" t="s">
        <v>138</v>
      </c>
      <c r="DJ206" s="24" t="s">
        <v>138</v>
      </c>
      <c r="DK206" s="25" t="s">
        <v>138</v>
      </c>
      <c r="DL206" s="24" t="s">
        <v>138</v>
      </c>
      <c r="DM206" s="25" t="s">
        <v>138</v>
      </c>
      <c r="DN206" s="24" t="s">
        <v>138</v>
      </c>
      <c r="DO206" s="25" t="s">
        <v>138</v>
      </c>
      <c r="DP206" s="24" t="s">
        <v>138</v>
      </c>
      <c r="DQ206" s="24" t="s">
        <v>138</v>
      </c>
      <c r="DR206" s="26" t="s">
        <v>138</v>
      </c>
      <c r="DS206" s="23" t="s">
        <v>138</v>
      </c>
      <c r="DT206" s="24" t="s">
        <v>138</v>
      </c>
      <c r="DU206" s="26" t="s">
        <v>138</v>
      </c>
      <c r="DV206" s="23" t="s">
        <v>138</v>
      </c>
      <c r="DW206" s="24" t="s">
        <v>138</v>
      </c>
      <c r="DX206" s="27" t="s">
        <v>138</v>
      </c>
      <c r="DY206" s="23" t="s">
        <v>138</v>
      </c>
      <c r="DZ206" s="15" t="s">
        <v>178</v>
      </c>
      <c r="EA206" s="22">
        <v>43351</v>
      </c>
      <c r="EB206" s="17" t="s">
        <v>138</v>
      </c>
      <c r="EC206" s="22" t="s">
        <v>138</v>
      </c>
      <c r="ED206" s="15" t="s">
        <v>138</v>
      </c>
      <c r="EE206" s="14" t="str">
        <f>HYPERLINK("https://my.pitchbook.com?c=54827-11", "View company online")</f>
        <v>View company online</v>
      </c>
    </row>
    <row r="207" spans="1:135">
      <c r="A207" s="28" t="s">
        <v>4610</v>
      </c>
      <c r="B207" s="28" t="s">
        <v>4611</v>
      </c>
      <c r="C207" s="28" t="s">
        <v>4612</v>
      </c>
      <c r="D207" s="28" t="s">
        <v>138</v>
      </c>
      <c r="E207" s="28" t="s">
        <v>4613</v>
      </c>
      <c r="F207" s="28" t="s">
        <v>4610</v>
      </c>
      <c r="G207" s="28" t="s">
        <v>4614</v>
      </c>
      <c r="H207" s="28" t="s">
        <v>141</v>
      </c>
      <c r="I207" s="28" t="s">
        <v>212</v>
      </c>
      <c r="J207" s="28" t="s">
        <v>2483</v>
      </c>
      <c r="K207" s="28" t="s">
        <v>4615</v>
      </c>
      <c r="L207" s="28" t="s">
        <v>4616</v>
      </c>
      <c r="M207" s="28" t="s">
        <v>4617</v>
      </c>
      <c r="N207" s="28" t="s">
        <v>147</v>
      </c>
      <c r="O207" s="29">
        <v>22.15</v>
      </c>
      <c r="P207" s="28" t="s">
        <v>148</v>
      </c>
      <c r="Q207" s="28" t="s">
        <v>149</v>
      </c>
      <c r="R207" s="28" t="s">
        <v>174</v>
      </c>
      <c r="S207" s="28" t="s">
        <v>4618</v>
      </c>
      <c r="T207" s="30">
        <v>15</v>
      </c>
      <c r="U207" s="28" t="s">
        <v>4619</v>
      </c>
      <c r="V207" s="28" t="s">
        <v>138</v>
      </c>
      <c r="W207" s="28" t="s">
        <v>138</v>
      </c>
      <c r="X207" s="31">
        <v>2012</v>
      </c>
      <c r="Y207" s="28" t="s">
        <v>138</v>
      </c>
      <c r="Z207" s="28" t="s">
        <v>138</v>
      </c>
      <c r="AA207" s="28" t="s">
        <v>138</v>
      </c>
      <c r="AB207" s="32" t="s">
        <v>138</v>
      </c>
      <c r="AC207" s="32" t="s">
        <v>138</v>
      </c>
      <c r="AD207" s="32" t="s">
        <v>138</v>
      </c>
      <c r="AE207" s="32" t="s">
        <v>138</v>
      </c>
      <c r="AF207" s="32" t="s">
        <v>138</v>
      </c>
      <c r="AG207" s="28" t="s">
        <v>138</v>
      </c>
      <c r="AH207" s="32" t="s">
        <v>138</v>
      </c>
      <c r="AI207" s="32" t="s">
        <v>138</v>
      </c>
      <c r="AJ207" s="32" t="s">
        <v>138</v>
      </c>
      <c r="AK207" s="28" t="s">
        <v>4620</v>
      </c>
      <c r="AL207" s="28" t="s">
        <v>4621</v>
      </c>
      <c r="AM207" s="28" t="s">
        <v>4622</v>
      </c>
      <c r="AN207" s="28" t="s">
        <v>4623</v>
      </c>
      <c r="AO207" s="28" t="s">
        <v>4624</v>
      </c>
      <c r="AP207" s="28" t="s">
        <v>4625</v>
      </c>
      <c r="AQ207" s="28" t="s">
        <v>4626</v>
      </c>
      <c r="AR207" s="28" t="s">
        <v>138</v>
      </c>
      <c r="AS207" s="28" t="s">
        <v>4627</v>
      </c>
      <c r="AT207" s="28" t="s">
        <v>4628</v>
      </c>
      <c r="AU207" s="28" t="s">
        <v>4629</v>
      </c>
      <c r="AV207" s="28" t="s">
        <v>162</v>
      </c>
      <c r="AW207" s="28" t="s">
        <v>4624</v>
      </c>
      <c r="AX207" s="28" t="s">
        <v>138</v>
      </c>
      <c r="AY207" s="28" t="s">
        <v>4630</v>
      </c>
      <c r="AZ207" s="28" t="s">
        <v>164</v>
      </c>
      <c r="BA207" s="28" t="s">
        <v>165</v>
      </c>
      <c r="BB207" s="28" t="s">
        <v>4631</v>
      </c>
      <c r="BC207" s="28" t="s">
        <v>4632</v>
      </c>
      <c r="BD207" s="33">
        <v>14</v>
      </c>
      <c r="BE207" s="28" t="s">
        <v>138</v>
      </c>
      <c r="BF207" s="28" t="s">
        <v>138</v>
      </c>
      <c r="BG207" s="28" t="s">
        <v>138</v>
      </c>
      <c r="BH207" s="28" t="s">
        <v>4633</v>
      </c>
      <c r="BI207" s="28" t="s">
        <v>138</v>
      </c>
      <c r="BJ207" s="28" t="s">
        <v>138</v>
      </c>
      <c r="BK207" s="28" t="s">
        <v>4634</v>
      </c>
      <c r="BL207" s="28" t="s">
        <v>138</v>
      </c>
      <c r="BM207" s="34" t="s">
        <v>138</v>
      </c>
      <c r="BN207" s="29" t="s">
        <v>138</v>
      </c>
      <c r="BO207" s="28" t="s">
        <v>138</v>
      </c>
      <c r="BP207" s="29" t="s">
        <v>138</v>
      </c>
      <c r="BQ207" s="28" t="s">
        <v>138</v>
      </c>
      <c r="BR207" s="28" t="s">
        <v>316</v>
      </c>
      <c r="BS207" s="28" t="s">
        <v>138</v>
      </c>
      <c r="BT207" s="28" t="s">
        <v>138</v>
      </c>
      <c r="BU207" s="28" t="s">
        <v>177</v>
      </c>
      <c r="BV207" s="28" t="s">
        <v>138</v>
      </c>
      <c r="BW207" s="28" t="s">
        <v>138</v>
      </c>
      <c r="BX207" s="28" t="s">
        <v>138</v>
      </c>
      <c r="BY207" s="28" t="s">
        <v>175</v>
      </c>
      <c r="BZ207" s="34">
        <v>43594</v>
      </c>
      <c r="CA207" s="29">
        <v>5.25</v>
      </c>
      <c r="CB207" s="28" t="s">
        <v>172</v>
      </c>
      <c r="CC207" s="29" t="s">
        <v>138</v>
      </c>
      <c r="CD207" s="28" t="s">
        <v>138</v>
      </c>
      <c r="CE207" s="28" t="s">
        <v>173</v>
      </c>
      <c r="CF207" s="28" t="s">
        <v>720</v>
      </c>
      <c r="CG207" s="28" t="s">
        <v>138</v>
      </c>
      <c r="CH207" s="28" t="s">
        <v>174</v>
      </c>
      <c r="CI207" s="28" t="s">
        <v>138</v>
      </c>
      <c r="CJ207" s="28" t="s">
        <v>138</v>
      </c>
      <c r="CK207" s="28" t="s">
        <v>138</v>
      </c>
      <c r="CL207" s="28" t="s">
        <v>175</v>
      </c>
      <c r="CM207" s="34" t="s">
        <v>138</v>
      </c>
      <c r="CN207" s="29" t="s">
        <v>138</v>
      </c>
      <c r="CO207" s="35">
        <v>0.03</v>
      </c>
      <c r="CP207" s="36">
        <v>86</v>
      </c>
      <c r="CQ207" s="35">
        <v>0.04</v>
      </c>
      <c r="CR207" s="35">
        <v>403.07</v>
      </c>
      <c r="CS207" s="35">
        <v>0</v>
      </c>
      <c r="CT207" s="36">
        <v>23</v>
      </c>
      <c r="CU207" s="35">
        <v>0.06</v>
      </c>
      <c r="CV207" s="36">
        <v>60</v>
      </c>
      <c r="CW207" s="35">
        <v>0</v>
      </c>
      <c r="CX207" s="36">
        <v>13</v>
      </c>
      <c r="CY207" s="35">
        <v>0</v>
      </c>
      <c r="CZ207" s="36">
        <v>25</v>
      </c>
      <c r="DA207" s="35">
        <v>0.06</v>
      </c>
      <c r="DB207" s="36">
        <v>65</v>
      </c>
      <c r="DC207" s="37">
        <v>1.51</v>
      </c>
      <c r="DD207" s="36">
        <v>61</v>
      </c>
      <c r="DE207" s="37">
        <v>-0.01</v>
      </c>
      <c r="DF207" s="35">
        <v>-0.89</v>
      </c>
      <c r="DG207" s="37">
        <v>1.27</v>
      </c>
      <c r="DH207" s="36">
        <v>57</v>
      </c>
      <c r="DI207" s="37">
        <v>1.75</v>
      </c>
      <c r="DJ207" s="36">
        <v>60</v>
      </c>
      <c r="DK207" s="37">
        <v>1.47</v>
      </c>
      <c r="DL207" s="36">
        <v>58</v>
      </c>
      <c r="DM207" s="37">
        <v>1.07</v>
      </c>
      <c r="DN207" s="36">
        <v>52</v>
      </c>
      <c r="DO207" s="37">
        <v>1.75</v>
      </c>
      <c r="DP207" s="36">
        <v>61</v>
      </c>
      <c r="DQ207" s="36">
        <v>519</v>
      </c>
      <c r="DR207" s="38">
        <v>-46</v>
      </c>
      <c r="DS207" s="35">
        <v>-8.14</v>
      </c>
      <c r="DT207" s="36">
        <v>30</v>
      </c>
      <c r="DU207" s="38">
        <v>2</v>
      </c>
      <c r="DV207" s="35">
        <v>7.14</v>
      </c>
      <c r="DW207" s="36">
        <v>627</v>
      </c>
      <c r="DX207" s="39">
        <v>3</v>
      </c>
      <c r="DY207" s="35">
        <v>0.48</v>
      </c>
      <c r="DZ207" s="28" t="s">
        <v>178</v>
      </c>
      <c r="EA207" s="34">
        <v>43595</v>
      </c>
      <c r="EB207" s="29" t="s">
        <v>138</v>
      </c>
      <c r="EC207" s="34" t="s">
        <v>138</v>
      </c>
      <c r="ED207" s="28" t="s">
        <v>138</v>
      </c>
      <c r="EE207" s="40" t="str">
        <f>HYPERLINK("https://my.pitchbook.com?c=62741-89", "View company online")</f>
        <v>View company online</v>
      </c>
    </row>
    <row r="208" spans="1:135">
      <c r="A208" s="15" t="s">
        <v>4635</v>
      </c>
      <c r="B208" s="15" t="s">
        <v>4636</v>
      </c>
      <c r="C208" s="15" t="s">
        <v>138</v>
      </c>
      <c r="D208" s="15" t="s">
        <v>138</v>
      </c>
      <c r="E208" s="15" t="s">
        <v>4637</v>
      </c>
      <c r="F208" s="15" t="s">
        <v>4635</v>
      </c>
      <c r="G208" s="15" t="s">
        <v>4638</v>
      </c>
      <c r="H208" s="15" t="s">
        <v>322</v>
      </c>
      <c r="I208" s="15" t="s">
        <v>323</v>
      </c>
      <c r="J208" s="15" t="s">
        <v>2084</v>
      </c>
      <c r="K208" s="15" t="s">
        <v>4639</v>
      </c>
      <c r="L208" s="15" t="s">
        <v>4640</v>
      </c>
      <c r="M208" s="15" t="s">
        <v>4641</v>
      </c>
      <c r="N208" s="15" t="s">
        <v>147</v>
      </c>
      <c r="O208" s="17">
        <v>29.52</v>
      </c>
      <c r="P208" s="15" t="s">
        <v>148</v>
      </c>
      <c r="Q208" s="15" t="s">
        <v>149</v>
      </c>
      <c r="R208" s="15" t="s">
        <v>174</v>
      </c>
      <c r="S208" s="15" t="s">
        <v>4642</v>
      </c>
      <c r="T208" s="18">
        <v>127</v>
      </c>
      <c r="U208" s="15" t="s">
        <v>4643</v>
      </c>
      <c r="V208" s="15" t="s">
        <v>138</v>
      </c>
      <c r="W208" s="15" t="s">
        <v>138</v>
      </c>
      <c r="X208" s="19">
        <v>2013</v>
      </c>
      <c r="Y208" s="15" t="s">
        <v>138</v>
      </c>
      <c r="Z208" s="15" t="s">
        <v>138</v>
      </c>
      <c r="AA208" s="15" t="s">
        <v>138</v>
      </c>
      <c r="AB208" s="20" t="s">
        <v>138</v>
      </c>
      <c r="AC208" s="20" t="s">
        <v>138</v>
      </c>
      <c r="AD208" s="20" t="s">
        <v>138</v>
      </c>
      <c r="AE208" s="20" t="s">
        <v>138</v>
      </c>
      <c r="AF208" s="20" t="s">
        <v>138</v>
      </c>
      <c r="AG208" s="15" t="s">
        <v>138</v>
      </c>
      <c r="AH208" s="20" t="s">
        <v>138</v>
      </c>
      <c r="AI208" s="20" t="s">
        <v>138</v>
      </c>
      <c r="AJ208" s="20" t="s">
        <v>138</v>
      </c>
      <c r="AK208" s="15" t="s">
        <v>4644</v>
      </c>
      <c r="AL208" s="15" t="s">
        <v>4645</v>
      </c>
      <c r="AM208" s="15" t="s">
        <v>1632</v>
      </c>
      <c r="AN208" s="15" t="s">
        <v>4646</v>
      </c>
      <c r="AO208" s="15" t="s">
        <v>138</v>
      </c>
      <c r="AP208" s="15" t="s">
        <v>4647</v>
      </c>
      <c r="AQ208" s="15" t="s">
        <v>4648</v>
      </c>
      <c r="AR208" s="15" t="s">
        <v>138</v>
      </c>
      <c r="AS208" s="15" t="s">
        <v>4649</v>
      </c>
      <c r="AT208" s="15" t="s">
        <v>138</v>
      </c>
      <c r="AU208" s="15" t="s">
        <v>4650</v>
      </c>
      <c r="AV208" s="15" t="s">
        <v>4651</v>
      </c>
      <c r="AW208" s="15" t="s">
        <v>138</v>
      </c>
      <c r="AX208" s="15" t="s">
        <v>138</v>
      </c>
      <c r="AY208" s="15" t="s">
        <v>4652</v>
      </c>
      <c r="AZ208" s="15" t="s">
        <v>530</v>
      </c>
      <c r="BA208" s="15" t="s">
        <v>1616</v>
      </c>
      <c r="BB208" s="15" t="s">
        <v>4653</v>
      </c>
      <c r="BC208" s="15" t="s">
        <v>4654</v>
      </c>
      <c r="BD208" s="21">
        <v>35</v>
      </c>
      <c r="BE208" s="15" t="s">
        <v>138</v>
      </c>
      <c r="BF208" s="15" t="s">
        <v>138</v>
      </c>
      <c r="BG208" s="15" t="s">
        <v>138</v>
      </c>
      <c r="BH208" s="15" t="s">
        <v>4655</v>
      </c>
      <c r="BI208" s="15" t="s">
        <v>138</v>
      </c>
      <c r="BJ208" s="15" t="s">
        <v>138</v>
      </c>
      <c r="BK208" s="15" t="s">
        <v>3482</v>
      </c>
      <c r="BL208" s="15" t="s">
        <v>4656</v>
      </c>
      <c r="BM208" s="22">
        <v>41723</v>
      </c>
      <c r="BN208" s="17">
        <v>0.1</v>
      </c>
      <c r="BO208" s="15" t="s">
        <v>172</v>
      </c>
      <c r="BP208" s="17">
        <v>1.39</v>
      </c>
      <c r="BQ208" s="15" t="s">
        <v>172</v>
      </c>
      <c r="BR208" s="15" t="s">
        <v>316</v>
      </c>
      <c r="BS208" s="15" t="s">
        <v>138</v>
      </c>
      <c r="BT208" s="15" t="s">
        <v>138</v>
      </c>
      <c r="BU208" s="15" t="s">
        <v>177</v>
      </c>
      <c r="BV208" s="15" t="s">
        <v>264</v>
      </c>
      <c r="BW208" s="15" t="s">
        <v>138</v>
      </c>
      <c r="BX208" s="15" t="s">
        <v>138</v>
      </c>
      <c r="BY208" s="15" t="s">
        <v>175</v>
      </c>
      <c r="BZ208" s="22">
        <v>43111</v>
      </c>
      <c r="CA208" s="17">
        <v>23</v>
      </c>
      <c r="CB208" s="15" t="s">
        <v>172</v>
      </c>
      <c r="CC208" s="17">
        <v>63</v>
      </c>
      <c r="CD208" s="15" t="s">
        <v>172</v>
      </c>
      <c r="CE208" s="15" t="s">
        <v>205</v>
      </c>
      <c r="CF208" s="15" t="s">
        <v>720</v>
      </c>
      <c r="CG208" s="15" t="s">
        <v>138</v>
      </c>
      <c r="CH208" s="15" t="s">
        <v>174</v>
      </c>
      <c r="CI208" s="15" t="s">
        <v>138</v>
      </c>
      <c r="CJ208" s="15" t="s">
        <v>138</v>
      </c>
      <c r="CK208" s="15" t="s">
        <v>138</v>
      </c>
      <c r="CL208" s="15" t="s">
        <v>175</v>
      </c>
      <c r="CM208" s="22" t="s">
        <v>138</v>
      </c>
      <c r="CN208" s="17" t="s">
        <v>138</v>
      </c>
      <c r="CO208" s="23">
        <v>0.66</v>
      </c>
      <c r="CP208" s="24">
        <v>96</v>
      </c>
      <c r="CQ208" s="23">
        <v>-0.01</v>
      </c>
      <c r="CR208" s="23">
        <v>-2.09</v>
      </c>
      <c r="CS208" s="23">
        <v>0.94</v>
      </c>
      <c r="CT208" s="24">
        <v>97</v>
      </c>
      <c r="CU208" s="23">
        <v>0.21</v>
      </c>
      <c r="CV208" s="24">
        <v>81</v>
      </c>
      <c r="CW208" s="23">
        <v>2.63</v>
      </c>
      <c r="CX208" s="24">
        <v>90</v>
      </c>
      <c r="CY208" s="23">
        <v>-0.75</v>
      </c>
      <c r="CZ208" s="24">
        <v>21</v>
      </c>
      <c r="DA208" s="23">
        <v>0.31</v>
      </c>
      <c r="DB208" s="24">
        <v>89</v>
      </c>
      <c r="DC208" s="25">
        <v>18.36</v>
      </c>
      <c r="DD208" s="24">
        <v>94</v>
      </c>
      <c r="DE208" s="25">
        <v>-1.44</v>
      </c>
      <c r="DF208" s="23">
        <v>-7.26</v>
      </c>
      <c r="DG208" s="25">
        <v>37.43</v>
      </c>
      <c r="DH208" s="24">
        <v>97</v>
      </c>
      <c r="DI208" s="25">
        <v>14.63</v>
      </c>
      <c r="DJ208" s="24">
        <v>88</v>
      </c>
      <c r="DK208" s="25">
        <v>69.3</v>
      </c>
      <c r="DL208" s="24">
        <v>97</v>
      </c>
      <c r="DM208" s="25">
        <v>5.55</v>
      </c>
      <c r="DN208" s="24">
        <v>83</v>
      </c>
      <c r="DO208" s="25">
        <v>7.69</v>
      </c>
      <c r="DP208" s="24">
        <v>85</v>
      </c>
      <c r="DQ208" s="24">
        <v>23363</v>
      </c>
      <c r="DR208" s="26">
        <v>1223</v>
      </c>
      <c r="DS208" s="23">
        <v>5.52</v>
      </c>
      <c r="DT208" s="24">
        <v>161</v>
      </c>
      <c r="DU208" s="26">
        <v>0</v>
      </c>
      <c r="DV208" s="23">
        <v>0</v>
      </c>
      <c r="DW208" s="24">
        <v>2750</v>
      </c>
      <c r="DX208" s="27">
        <v>9</v>
      </c>
      <c r="DY208" s="23">
        <v>0.33</v>
      </c>
      <c r="DZ208" s="15" t="s">
        <v>178</v>
      </c>
      <c r="EA208" s="22">
        <v>43600</v>
      </c>
      <c r="EB208" s="17">
        <v>63</v>
      </c>
      <c r="EC208" s="22">
        <v>43111</v>
      </c>
      <c r="ED208" s="15" t="s">
        <v>205</v>
      </c>
      <c r="EE208" s="14" t="str">
        <f>HYPERLINK("https://my.pitchbook.com?c=62118-46", "View company online")</f>
        <v>View company online</v>
      </c>
    </row>
    <row r="209" spans="1:135">
      <c r="A209" s="28" t="s">
        <v>4657</v>
      </c>
      <c r="B209" s="28" t="s">
        <v>4658</v>
      </c>
      <c r="C209" s="28" t="s">
        <v>4659</v>
      </c>
      <c r="D209" s="28" t="s">
        <v>138</v>
      </c>
      <c r="E209" s="28" t="s">
        <v>138</v>
      </c>
      <c r="F209" s="28" t="s">
        <v>4657</v>
      </c>
      <c r="G209" s="28" t="s">
        <v>4660</v>
      </c>
      <c r="H209" s="28" t="s">
        <v>238</v>
      </c>
      <c r="I209" s="28" t="s">
        <v>1351</v>
      </c>
      <c r="J209" s="28" t="s">
        <v>1352</v>
      </c>
      <c r="K209" s="28" t="s">
        <v>4661</v>
      </c>
      <c r="L209" s="28" t="s">
        <v>4662</v>
      </c>
      <c r="M209" s="28" t="s">
        <v>4663</v>
      </c>
      <c r="N209" s="28" t="s">
        <v>147</v>
      </c>
      <c r="O209" s="29">
        <v>13.25</v>
      </c>
      <c r="P209" s="28" t="s">
        <v>148</v>
      </c>
      <c r="Q209" s="28" t="s">
        <v>149</v>
      </c>
      <c r="R209" s="28" t="s">
        <v>174</v>
      </c>
      <c r="S209" s="28" t="s">
        <v>4664</v>
      </c>
      <c r="T209" s="30">
        <v>9</v>
      </c>
      <c r="U209" s="28" t="s">
        <v>4665</v>
      </c>
      <c r="V209" s="28" t="s">
        <v>138</v>
      </c>
      <c r="W209" s="28" t="s">
        <v>138</v>
      </c>
      <c r="X209" s="31">
        <v>2013</v>
      </c>
      <c r="Y209" s="28" t="s">
        <v>138</v>
      </c>
      <c r="Z209" s="28" t="s">
        <v>138</v>
      </c>
      <c r="AA209" s="28" t="s">
        <v>138</v>
      </c>
      <c r="AB209" s="32" t="s">
        <v>138</v>
      </c>
      <c r="AC209" s="32" t="s">
        <v>138</v>
      </c>
      <c r="AD209" s="32" t="s">
        <v>138</v>
      </c>
      <c r="AE209" s="32" t="s">
        <v>138</v>
      </c>
      <c r="AF209" s="32" t="s">
        <v>138</v>
      </c>
      <c r="AG209" s="28" t="s">
        <v>138</v>
      </c>
      <c r="AH209" s="32" t="s">
        <v>138</v>
      </c>
      <c r="AI209" s="32" t="s">
        <v>138</v>
      </c>
      <c r="AJ209" s="32" t="s">
        <v>138</v>
      </c>
      <c r="AK209" s="28" t="s">
        <v>4666</v>
      </c>
      <c r="AL209" s="28" t="s">
        <v>4667</v>
      </c>
      <c r="AM209" s="28" t="s">
        <v>221</v>
      </c>
      <c r="AN209" s="28" t="s">
        <v>4668</v>
      </c>
      <c r="AO209" s="28" t="s">
        <v>4669</v>
      </c>
      <c r="AP209" s="28" t="s">
        <v>639</v>
      </c>
      <c r="AQ209" s="28" t="s">
        <v>4670</v>
      </c>
      <c r="AR209" s="28" t="s">
        <v>138</v>
      </c>
      <c r="AS209" s="28" t="s">
        <v>642</v>
      </c>
      <c r="AT209" s="28" t="s">
        <v>474</v>
      </c>
      <c r="AU209" s="28" t="s">
        <v>4671</v>
      </c>
      <c r="AV209" s="28" t="s">
        <v>162</v>
      </c>
      <c r="AW209" s="28" t="s">
        <v>4669</v>
      </c>
      <c r="AX209" s="28" t="s">
        <v>138</v>
      </c>
      <c r="AY209" s="28" t="s">
        <v>4672</v>
      </c>
      <c r="AZ209" s="28" t="s">
        <v>164</v>
      </c>
      <c r="BA209" s="28" t="s">
        <v>165</v>
      </c>
      <c r="BB209" s="28" t="s">
        <v>4673</v>
      </c>
      <c r="BC209" s="28" t="s">
        <v>4674</v>
      </c>
      <c r="BD209" s="33">
        <v>14</v>
      </c>
      <c r="BE209" s="28" t="s">
        <v>138</v>
      </c>
      <c r="BF209" s="28" t="s">
        <v>138</v>
      </c>
      <c r="BG209" s="28" t="s">
        <v>138</v>
      </c>
      <c r="BH209" s="28" t="s">
        <v>4675</v>
      </c>
      <c r="BI209" s="28" t="s">
        <v>138</v>
      </c>
      <c r="BJ209" s="28" t="s">
        <v>138</v>
      </c>
      <c r="BK209" s="28" t="s">
        <v>4676</v>
      </c>
      <c r="BL209" s="28" t="s">
        <v>4677</v>
      </c>
      <c r="BM209" s="34">
        <v>41788</v>
      </c>
      <c r="BN209" s="29" t="s">
        <v>138</v>
      </c>
      <c r="BO209" s="28" t="s">
        <v>138</v>
      </c>
      <c r="BP209" s="29" t="s">
        <v>138</v>
      </c>
      <c r="BQ209" s="28" t="s">
        <v>138</v>
      </c>
      <c r="BR209" s="28" t="s">
        <v>316</v>
      </c>
      <c r="BS209" s="28" t="s">
        <v>138</v>
      </c>
      <c r="BT209" s="28" t="s">
        <v>138</v>
      </c>
      <c r="BU209" s="28" t="s">
        <v>177</v>
      </c>
      <c r="BV209" s="28" t="s">
        <v>138</v>
      </c>
      <c r="BW209" s="28" t="s">
        <v>138</v>
      </c>
      <c r="BX209" s="28" t="s">
        <v>138</v>
      </c>
      <c r="BY209" s="28" t="s">
        <v>175</v>
      </c>
      <c r="BZ209" s="34">
        <v>43435</v>
      </c>
      <c r="CA209" s="29">
        <v>0.05</v>
      </c>
      <c r="CB209" s="28" t="s">
        <v>172</v>
      </c>
      <c r="CC209" s="29" t="s">
        <v>138</v>
      </c>
      <c r="CD209" s="28" t="s">
        <v>138</v>
      </c>
      <c r="CE209" s="28" t="s">
        <v>205</v>
      </c>
      <c r="CF209" s="28" t="s">
        <v>206</v>
      </c>
      <c r="CG209" s="28" t="s">
        <v>138</v>
      </c>
      <c r="CH209" s="28" t="s">
        <v>174</v>
      </c>
      <c r="CI209" s="28" t="s">
        <v>138</v>
      </c>
      <c r="CJ209" s="28" t="s">
        <v>138</v>
      </c>
      <c r="CK209" s="28" t="s">
        <v>138</v>
      </c>
      <c r="CL209" s="28" t="s">
        <v>175</v>
      </c>
      <c r="CM209" s="34" t="s">
        <v>138</v>
      </c>
      <c r="CN209" s="29" t="s">
        <v>138</v>
      </c>
      <c r="CO209" s="35">
        <v>-0.12</v>
      </c>
      <c r="CP209" s="36">
        <v>21</v>
      </c>
      <c r="CQ209" s="35">
        <v>-0.01</v>
      </c>
      <c r="CR209" s="35">
        <v>-10.5</v>
      </c>
      <c r="CS209" s="35">
        <v>-0.56999999999999995</v>
      </c>
      <c r="CT209" s="36">
        <v>19</v>
      </c>
      <c r="CU209" s="35">
        <v>0.22</v>
      </c>
      <c r="CV209" s="36">
        <v>82</v>
      </c>
      <c r="CW209" s="35">
        <v>0</v>
      </c>
      <c r="CX209" s="36">
        <v>13</v>
      </c>
      <c r="CY209" s="35">
        <v>-1.1499999999999999</v>
      </c>
      <c r="CZ209" s="36">
        <v>18</v>
      </c>
      <c r="DA209" s="35">
        <v>0.22</v>
      </c>
      <c r="DB209" s="36">
        <v>84</v>
      </c>
      <c r="DC209" s="37">
        <v>2.16</v>
      </c>
      <c r="DD209" s="36">
        <v>69</v>
      </c>
      <c r="DE209" s="37">
        <v>-0.02</v>
      </c>
      <c r="DF209" s="35">
        <v>-0.99</v>
      </c>
      <c r="DG209" s="37">
        <v>3.96</v>
      </c>
      <c r="DH209" s="36">
        <v>79</v>
      </c>
      <c r="DI209" s="37">
        <v>2.52</v>
      </c>
      <c r="DJ209" s="36">
        <v>67</v>
      </c>
      <c r="DK209" s="37">
        <v>0.82</v>
      </c>
      <c r="DL209" s="36">
        <v>46</v>
      </c>
      <c r="DM209" s="37">
        <v>7.1</v>
      </c>
      <c r="DN209" s="36">
        <v>86</v>
      </c>
      <c r="DO209" s="37">
        <v>2.52</v>
      </c>
      <c r="DP209" s="36">
        <v>68</v>
      </c>
      <c r="DQ209" s="36">
        <v>267</v>
      </c>
      <c r="DR209" s="38">
        <v>42</v>
      </c>
      <c r="DS209" s="35">
        <v>18.670000000000002</v>
      </c>
      <c r="DT209" s="36">
        <v>206</v>
      </c>
      <c r="DU209" s="38">
        <v>-2</v>
      </c>
      <c r="DV209" s="35">
        <v>-0.96</v>
      </c>
      <c r="DW209" s="36">
        <v>900</v>
      </c>
      <c r="DX209" s="39">
        <v>2</v>
      </c>
      <c r="DY209" s="35">
        <v>0.22</v>
      </c>
      <c r="DZ209" s="28" t="s">
        <v>178</v>
      </c>
      <c r="EA209" s="34">
        <v>43600</v>
      </c>
      <c r="EB209" s="29">
        <v>20</v>
      </c>
      <c r="EC209" s="34">
        <v>43191</v>
      </c>
      <c r="ED209" s="28" t="s">
        <v>205</v>
      </c>
      <c r="EE209" s="40" t="str">
        <f>HYPERLINK("https://my.pitchbook.com?c=109707-22", "View company online")</f>
        <v>View company online</v>
      </c>
    </row>
    <row r="210" spans="1:135">
      <c r="A210" s="15" t="s">
        <v>4678</v>
      </c>
      <c r="B210" s="15" t="s">
        <v>4679</v>
      </c>
      <c r="C210" s="15" t="s">
        <v>138</v>
      </c>
      <c r="D210" s="15" t="s">
        <v>138</v>
      </c>
      <c r="E210" s="15" t="s">
        <v>138</v>
      </c>
      <c r="F210" s="15" t="s">
        <v>4678</v>
      </c>
      <c r="G210" s="15" t="s">
        <v>4680</v>
      </c>
      <c r="H210" s="15" t="s">
        <v>183</v>
      </c>
      <c r="I210" s="15" t="s">
        <v>4681</v>
      </c>
      <c r="J210" s="15" t="s">
        <v>4682</v>
      </c>
      <c r="K210" s="15" t="s">
        <v>4683</v>
      </c>
      <c r="L210" s="15" t="s">
        <v>4684</v>
      </c>
      <c r="M210" s="15" t="s">
        <v>4685</v>
      </c>
      <c r="N210" s="15" t="s">
        <v>147</v>
      </c>
      <c r="O210" s="17">
        <v>25.4</v>
      </c>
      <c r="P210" s="15" t="s">
        <v>148</v>
      </c>
      <c r="Q210" s="15" t="s">
        <v>149</v>
      </c>
      <c r="R210" s="15" t="s">
        <v>174</v>
      </c>
      <c r="S210" s="15" t="s">
        <v>4686</v>
      </c>
      <c r="T210" s="18" t="s">
        <v>138</v>
      </c>
      <c r="U210" s="15" t="s">
        <v>138</v>
      </c>
      <c r="V210" s="15" t="s">
        <v>138</v>
      </c>
      <c r="W210" s="15" t="s">
        <v>138</v>
      </c>
      <c r="X210" s="19">
        <v>2015</v>
      </c>
      <c r="Y210" s="15" t="s">
        <v>138</v>
      </c>
      <c r="Z210" s="15" t="s">
        <v>138</v>
      </c>
      <c r="AA210" s="15" t="s">
        <v>138</v>
      </c>
      <c r="AB210" s="20" t="s">
        <v>138</v>
      </c>
      <c r="AC210" s="20" t="s">
        <v>138</v>
      </c>
      <c r="AD210" s="20" t="s">
        <v>138</v>
      </c>
      <c r="AE210" s="20" t="s">
        <v>138</v>
      </c>
      <c r="AF210" s="20" t="s">
        <v>138</v>
      </c>
      <c r="AG210" s="15" t="s">
        <v>138</v>
      </c>
      <c r="AH210" s="20" t="s">
        <v>138</v>
      </c>
      <c r="AI210" s="20" t="s">
        <v>138</v>
      </c>
      <c r="AJ210" s="20" t="s">
        <v>138</v>
      </c>
      <c r="AK210" s="15" t="s">
        <v>4687</v>
      </c>
      <c r="AL210" s="15" t="s">
        <v>4688</v>
      </c>
      <c r="AM210" s="15" t="s">
        <v>4689</v>
      </c>
      <c r="AN210" s="15" t="s">
        <v>4690</v>
      </c>
      <c r="AO210" s="15" t="s">
        <v>4691</v>
      </c>
      <c r="AP210" s="15" t="s">
        <v>861</v>
      </c>
      <c r="AQ210" s="15" t="s">
        <v>4692</v>
      </c>
      <c r="AR210" s="15" t="s">
        <v>138</v>
      </c>
      <c r="AS210" s="15" t="s">
        <v>863</v>
      </c>
      <c r="AT210" s="15" t="s">
        <v>864</v>
      </c>
      <c r="AU210" s="15" t="s">
        <v>4693</v>
      </c>
      <c r="AV210" s="15" t="s">
        <v>162</v>
      </c>
      <c r="AW210" s="15" t="s">
        <v>4691</v>
      </c>
      <c r="AX210" s="15" t="s">
        <v>138</v>
      </c>
      <c r="AY210" s="15" t="s">
        <v>4694</v>
      </c>
      <c r="AZ210" s="15" t="s">
        <v>164</v>
      </c>
      <c r="BA210" s="15" t="s">
        <v>165</v>
      </c>
      <c r="BB210" s="15" t="s">
        <v>4695</v>
      </c>
      <c r="BC210" s="15" t="s">
        <v>4696</v>
      </c>
      <c r="BD210" s="21">
        <v>6</v>
      </c>
      <c r="BE210" s="15" t="s">
        <v>138</v>
      </c>
      <c r="BF210" s="15" t="s">
        <v>138</v>
      </c>
      <c r="BG210" s="15" t="s">
        <v>138</v>
      </c>
      <c r="BH210" s="15" t="s">
        <v>4697</v>
      </c>
      <c r="BI210" s="15" t="s">
        <v>138</v>
      </c>
      <c r="BJ210" s="15" t="s">
        <v>138</v>
      </c>
      <c r="BK210" s="15" t="s">
        <v>1691</v>
      </c>
      <c r="BL210" s="15" t="s">
        <v>1691</v>
      </c>
      <c r="BM210" s="22">
        <v>42237</v>
      </c>
      <c r="BN210" s="17">
        <v>5.15</v>
      </c>
      <c r="BO210" s="15" t="s">
        <v>172</v>
      </c>
      <c r="BP210" s="17">
        <v>14.5</v>
      </c>
      <c r="BQ210" s="15" t="s">
        <v>172</v>
      </c>
      <c r="BR210" s="15" t="s">
        <v>205</v>
      </c>
      <c r="BS210" s="15" t="s">
        <v>206</v>
      </c>
      <c r="BT210" s="15" t="s">
        <v>138</v>
      </c>
      <c r="BU210" s="15" t="s">
        <v>174</v>
      </c>
      <c r="BV210" s="15" t="s">
        <v>138</v>
      </c>
      <c r="BW210" s="15" t="s">
        <v>138</v>
      </c>
      <c r="BX210" s="15" t="s">
        <v>138</v>
      </c>
      <c r="BY210" s="15" t="s">
        <v>175</v>
      </c>
      <c r="BZ210" s="22">
        <v>43131</v>
      </c>
      <c r="CA210" s="17">
        <v>20.25</v>
      </c>
      <c r="CB210" s="15" t="s">
        <v>172</v>
      </c>
      <c r="CC210" s="17">
        <v>39.01</v>
      </c>
      <c r="CD210" s="15" t="s">
        <v>172</v>
      </c>
      <c r="CE210" s="15" t="s">
        <v>205</v>
      </c>
      <c r="CF210" s="15" t="s">
        <v>720</v>
      </c>
      <c r="CG210" s="15" t="s">
        <v>138</v>
      </c>
      <c r="CH210" s="15" t="s">
        <v>174</v>
      </c>
      <c r="CI210" s="15" t="s">
        <v>138</v>
      </c>
      <c r="CJ210" s="15" t="s">
        <v>138</v>
      </c>
      <c r="CK210" s="15" t="s">
        <v>138</v>
      </c>
      <c r="CL210" s="15" t="s">
        <v>175</v>
      </c>
      <c r="CM210" s="22" t="s">
        <v>138</v>
      </c>
      <c r="CN210" s="17" t="s">
        <v>138</v>
      </c>
      <c r="CO210" s="23">
        <v>0.7</v>
      </c>
      <c r="CP210" s="24">
        <v>96</v>
      </c>
      <c r="CQ210" s="23">
        <v>0.04</v>
      </c>
      <c r="CR210" s="23">
        <v>6.05</v>
      </c>
      <c r="CS210" s="23">
        <v>0.31</v>
      </c>
      <c r="CT210" s="24">
        <v>95</v>
      </c>
      <c r="CU210" s="23">
        <v>1.08</v>
      </c>
      <c r="CV210" s="24">
        <v>98</v>
      </c>
      <c r="CW210" s="23">
        <v>0.15</v>
      </c>
      <c r="CX210" s="24">
        <v>81</v>
      </c>
      <c r="CY210" s="23">
        <v>0.48</v>
      </c>
      <c r="CZ210" s="24">
        <v>98</v>
      </c>
      <c r="DA210" s="23">
        <v>1.08</v>
      </c>
      <c r="DB210" s="24">
        <v>98</v>
      </c>
      <c r="DC210" s="25">
        <v>1.92</v>
      </c>
      <c r="DD210" s="24">
        <v>66</v>
      </c>
      <c r="DE210" s="25">
        <v>-0.08</v>
      </c>
      <c r="DF210" s="23">
        <v>-3.8</v>
      </c>
      <c r="DG210" s="25">
        <v>3.37</v>
      </c>
      <c r="DH210" s="24">
        <v>76</v>
      </c>
      <c r="DI210" s="25">
        <v>0.47</v>
      </c>
      <c r="DJ210" s="24">
        <v>35</v>
      </c>
      <c r="DK210" s="25">
        <v>2.99</v>
      </c>
      <c r="DL210" s="24">
        <v>71</v>
      </c>
      <c r="DM210" s="25">
        <v>3.76</v>
      </c>
      <c r="DN210" s="24">
        <v>77</v>
      </c>
      <c r="DO210" s="25">
        <v>0.47</v>
      </c>
      <c r="DP210" s="24">
        <v>37</v>
      </c>
      <c r="DQ210" s="24">
        <v>1010</v>
      </c>
      <c r="DR210" s="26">
        <v>46</v>
      </c>
      <c r="DS210" s="23">
        <v>4.7699999999999996</v>
      </c>
      <c r="DT210" s="24">
        <v>108</v>
      </c>
      <c r="DU210" s="26">
        <v>1</v>
      </c>
      <c r="DV210" s="23">
        <v>0.93</v>
      </c>
      <c r="DW210" s="24">
        <v>170</v>
      </c>
      <c r="DX210" s="27">
        <v>3</v>
      </c>
      <c r="DY210" s="23">
        <v>1.8</v>
      </c>
      <c r="DZ210" s="15" t="s">
        <v>178</v>
      </c>
      <c r="EA210" s="22">
        <v>43509</v>
      </c>
      <c r="EB210" s="17">
        <v>39.01</v>
      </c>
      <c r="EC210" s="22">
        <v>43131</v>
      </c>
      <c r="ED210" s="15" t="s">
        <v>205</v>
      </c>
      <c r="EE210" s="14" t="str">
        <f>HYPERLINK("https://my.pitchbook.com?c=125776-36", "View company online")</f>
        <v>View company online</v>
      </c>
    </row>
    <row r="211" spans="1:135">
      <c r="A211" s="28" t="s">
        <v>4698</v>
      </c>
      <c r="B211" s="28" t="s">
        <v>4699</v>
      </c>
      <c r="C211" s="28" t="s">
        <v>138</v>
      </c>
      <c r="D211" s="28" t="s">
        <v>4700</v>
      </c>
      <c r="E211" s="28" t="s">
        <v>138</v>
      </c>
      <c r="F211" s="28" t="s">
        <v>4698</v>
      </c>
      <c r="G211" s="28" t="s">
        <v>4701</v>
      </c>
      <c r="H211" s="28" t="s">
        <v>238</v>
      </c>
      <c r="I211" s="28" t="s">
        <v>785</v>
      </c>
      <c r="J211" s="28" t="s">
        <v>786</v>
      </c>
      <c r="K211" s="28" t="s">
        <v>4702</v>
      </c>
      <c r="L211" s="28" t="s">
        <v>4703</v>
      </c>
      <c r="M211" s="28" t="s">
        <v>4704</v>
      </c>
      <c r="N211" s="28" t="s">
        <v>2109</v>
      </c>
      <c r="O211" s="29">
        <v>110.88</v>
      </c>
      <c r="P211" s="28" t="s">
        <v>148</v>
      </c>
      <c r="Q211" s="28" t="s">
        <v>149</v>
      </c>
      <c r="R211" s="28" t="s">
        <v>150</v>
      </c>
      <c r="S211" s="28" t="s">
        <v>4705</v>
      </c>
      <c r="T211" s="30" t="s">
        <v>138</v>
      </c>
      <c r="U211" s="28" t="s">
        <v>138</v>
      </c>
      <c r="V211" s="28" t="s">
        <v>138</v>
      </c>
      <c r="W211" s="28" t="s">
        <v>138</v>
      </c>
      <c r="X211" s="31">
        <v>2009</v>
      </c>
      <c r="Y211" s="28" t="s">
        <v>138</v>
      </c>
      <c r="Z211" s="28" t="s">
        <v>138</v>
      </c>
      <c r="AA211" s="28" t="s">
        <v>138</v>
      </c>
      <c r="AB211" s="32" t="s">
        <v>138</v>
      </c>
      <c r="AC211" s="32" t="s">
        <v>138</v>
      </c>
      <c r="AD211" s="32" t="s">
        <v>138</v>
      </c>
      <c r="AE211" s="32" t="s">
        <v>138</v>
      </c>
      <c r="AF211" s="32" t="s">
        <v>138</v>
      </c>
      <c r="AG211" s="28" t="s">
        <v>138</v>
      </c>
      <c r="AH211" s="32" t="s">
        <v>138</v>
      </c>
      <c r="AI211" s="32" t="s">
        <v>138</v>
      </c>
      <c r="AJ211" s="32" t="s">
        <v>138</v>
      </c>
      <c r="AK211" s="28" t="s">
        <v>138</v>
      </c>
      <c r="AL211" s="28" t="s">
        <v>138</v>
      </c>
      <c r="AM211" s="28" t="s">
        <v>138</v>
      </c>
      <c r="AN211" s="28" t="s">
        <v>138</v>
      </c>
      <c r="AO211" s="28" t="s">
        <v>138</v>
      </c>
      <c r="AP211" s="28" t="s">
        <v>496</v>
      </c>
      <c r="AQ211" s="28" t="s">
        <v>138</v>
      </c>
      <c r="AR211" s="28" t="s">
        <v>138</v>
      </c>
      <c r="AS211" s="28" t="s">
        <v>499</v>
      </c>
      <c r="AT211" s="28" t="s">
        <v>138</v>
      </c>
      <c r="AU211" s="28" t="s">
        <v>138</v>
      </c>
      <c r="AV211" s="28" t="s">
        <v>450</v>
      </c>
      <c r="AW211" s="28" t="s">
        <v>138</v>
      </c>
      <c r="AX211" s="28" t="s">
        <v>138</v>
      </c>
      <c r="AY211" s="28" t="s">
        <v>138</v>
      </c>
      <c r="AZ211" s="28" t="s">
        <v>452</v>
      </c>
      <c r="BA211" s="28" t="s">
        <v>453</v>
      </c>
      <c r="BB211" s="28" t="s">
        <v>4706</v>
      </c>
      <c r="BC211" s="28" t="s">
        <v>4707</v>
      </c>
      <c r="BD211" s="33">
        <v>5</v>
      </c>
      <c r="BE211" s="28" t="s">
        <v>138</v>
      </c>
      <c r="BF211" s="28" t="s">
        <v>138</v>
      </c>
      <c r="BG211" s="28" t="s">
        <v>138</v>
      </c>
      <c r="BH211" s="28" t="s">
        <v>4708</v>
      </c>
      <c r="BI211" s="28" t="s">
        <v>138</v>
      </c>
      <c r="BJ211" s="28" t="s">
        <v>138</v>
      </c>
      <c r="BK211" s="28" t="s">
        <v>138</v>
      </c>
      <c r="BL211" s="28" t="s">
        <v>138</v>
      </c>
      <c r="BM211" s="34">
        <v>40393</v>
      </c>
      <c r="BN211" s="29">
        <v>0.88</v>
      </c>
      <c r="BO211" s="28" t="s">
        <v>172</v>
      </c>
      <c r="BP211" s="29" t="s">
        <v>138</v>
      </c>
      <c r="BQ211" s="28" t="s">
        <v>138</v>
      </c>
      <c r="BR211" s="28" t="s">
        <v>1465</v>
      </c>
      <c r="BS211" s="28" t="s">
        <v>138</v>
      </c>
      <c r="BT211" s="28" t="s">
        <v>138</v>
      </c>
      <c r="BU211" s="28" t="s">
        <v>177</v>
      </c>
      <c r="BV211" s="28" t="s">
        <v>138</v>
      </c>
      <c r="BW211" s="28" t="s">
        <v>138</v>
      </c>
      <c r="BX211" s="28" t="s">
        <v>138</v>
      </c>
      <c r="BY211" s="28" t="s">
        <v>175</v>
      </c>
      <c r="BZ211" s="34">
        <v>41698</v>
      </c>
      <c r="CA211" s="29">
        <v>110</v>
      </c>
      <c r="CB211" s="28" t="s">
        <v>172</v>
      </c>
      <c r="CC211" s="29">
        <v>940</v>
      </c>
      <c r="CD211" s="28" t="s">
        <v>172</v>
      </c>
      <c r="CE211" s="28" t="s">
        <v>780</v>
      </c>
      <c r="CF211" s="28" t="s">
        <v>206</v>
      </c>
      <c r="CG211" s="28" t="s">
        <v>138</v>
      </c>
      <c r="CH211" s="28" t="s">
        <v>780</v>
      </c>
      <c r="CI211" s="28" t="s">
        <v>138</v>
      </c>
      <c r="CJ211" s="28" t="s">
        <v>138</v>
      </c>
      <c r="CK211" s="28" t="s">
        <v>138</v>
      </c>
      <c r="CL211" s="28" t="s">
        <v>175</v>
      </c>
      <c r="CM211" s="34" t="s">
        <v>138</v>
      </c>
      <c r="CN211" s="29" t="s">
        <v>138</v>
      </c>
      <c r="CO211" s="35">
        <v>-2.52</v>
      </c>
      <c r="CP211" s="36">
        <v>4</v>
      </c>
      <c r="CQ211" s="35">
        <v>-0.02</v>
      </c>
      <c r="CR211" s="35">
        <v>-0.63</v>
      </c>
      <c r="CS211" s="35">
        <v>-2.52</v>
      </c>
      <c r="CT211" s="36">
        <v>7</v>
      </c>
      <c r="CU211" s="35" t="s">
        <v>138</v>
      </c>
      <c r="CV211" s="36" t="s">
        <v>138</v>
      </c>
      <c r="CW211" s="35" t="s">
        <v>138</v>
      </c>
      <c r="CX211" s="36" t="s">
        <v>138</v>
      </c>
      <c r="CY211" s="35">
        <v>-2.52</v>
      </c>
      <c r="CZ211" s="36">
        <v>9</v>
      </c>
      <c r="DA211" s="35" t="s">
        <v>138</v>
      </c>
      <c r="DB211" s="36" t="s">
        <v>138</v>
      </c>
      <c r="DC211" s="37">
        <v>75.930000000000007</v>
      </c>
      <c r="DD211" s="36">
        <v>99</v>
      </c>
      <c r="DE211" s="37">
        <v>-0.03</v>
      </c>
      <c r="DF211" s="35">
        <v>-0.05</v>
      </c>
      <c r="DG211" s="37">
        <v>75.930000000000007</v>
      </c>
      <c r="DH211" s="36">
        <v>99</v>
      </c>
      <c r="DI211" s="37" t="s">
        <v>138</v>
      </c>
      <c r="DJ211" s="36" t="s">
        <v>138</v>
      </c>
      <c r="DK211" s="37" t="s">
        <v>138</v>
      </c>
      <c r="DL211" s="36" t="s">
        <v>138</v>
      </c>
      <c r="DM211" s="37">
        <v>75.930000000000007</v>
      </c>
      <c r="DN211" s="36">
        <v>99</v>
      </c>
      <c r="DO211" s="37" t="s">
        <v>138</v>
      </c>
      <c r="DP211" s="36" t="s">
        <v>138</v>
      </c>
      <c r="DQ211" s="36" t="s">
        <v>138</v>
      </c>
      <c r="DR211" s="38" t="s">
        <v>138</v>
      </c>
      <c r="DS211" s="35" t="s">
        <v>138</v>
      </c>
      <c r="DT211" s="36">
        <v>2202</v>
      </c>
      <c r="DU211" s="38">
        <v>7</v>
      </c>
      <c r="DV211" s="35">
        <v>0.32</v>
      </c>
      <c r="DW211" s="36" t="s">
        <v>138</v>
      </c>
      <c r="DX211" s="39" t="s">
        <v>138</v>
      </c>
      <c r="DY211" s="35" t="s">
        <v>138</v>
      </c>
      <c r="DZ211" s="28" t="s">
        <v>178</v>
      </c>
      <c r="EA211" s="34">
        <v>43351</v>
      </c>
      <c r="EB211" s="29">
        <v>940</v>
      </c>
      <c r="EC211" s="34">
        <v>41698</v>
      </c>
      <c r="ED211" s="28" t="s">
        <v>780</v>
      </c>
      <c r="EE211" s="40" t="str">
        <f>HYPERLINK("https://my.pitchbook.com?c=93237-76", "View company online")</f>
        <v>View company online</v>
      </c>
    </row>
    <row r="212" spans="1:135">
      <c r="A212" s="15" t="s">
        <v>4709</v>
      </c>
      <c r="B212" s="15" t="s">
        <v>4710</v>
      </c>
      <c r="C212" s="15" t="s">
        <v>138</v>
      </c>
      <c r="D212" s="15" t="s">
        <v>138</v>
      </c>
      <c r="E212" s="15" t="s">
        <v>138</v>
      </c>
      <c r="F212" s="15" t="s">
        <v>4709</v>
      </c>
      <c r="G212" s="15" t="s">
        <v>4711</v>
      </c>
      <c r="H212" s="15" t="s">
        <v>238</v>
      </c>
      <c r="I212" s="15" t="s">
        <v>239</v>
      </c>
      <c r="J212" s="15" t="s">
        <v>240</v>
      </c>
      <c r="K212" s="15" t="s">
        <v>4712</v>
      </c>
      <c r="L212" s="15" t="s">
        <v>1307</v>
      </c>
      <c r="M212" s="15" t="s">
        <v>4713</v>
      </c>
      <c r="N212" s="15" t="s">
        <v>147</v>
      </c>
      <c r="O212" s="17">
        <v>1.98</v>
      </c>
      <c r="P212" s="15" t="s">
        <v>148</v>
      </c>
      <c r="Q212" s="15" t="s">
        <v>149</v>
      </c>
      <c r="R212" s="15" t="s">
        <v>174</v>
      </c>
      <c r="S212" s="15" t="s">
        <v>4714</v>
      </c>
      <c r="T212" s="18">
        <v>26</v>
      </c>
      <c r="U212" s="15" t="s">
        <v>4715</v>
      </c>
      <c r="V212" s="15" t="s">
        <v>138</v>
      </c>
      <c r="W212" s="15" t="s">
        <v>138</v>
      </c>
      <c r="X212" s="19">
        <v>2009</v>
      </c>
      <c r="Y212" s="15" t="s">
        <v>138</v>
      </c>
      <c r="Z212" s="15" t="s">
        <v>138</v>
      </c>
      <c r="AA212" s="15" t="s">
        <v>138</v>
      </c>
      <c r="AB212" s="20" t="s">
        <v>138</v>
      </c>
      <c r="AC212" s="20" t="s">
        <v>138</v>
      </c>
      <c r="AD212" s="20" t="s">
        <v>138</v>
      </c>
      <c r="AE212" s="20" t="s">
        <v>138</v>
      </c>
      <c r="AF212" s="20" t="s">
        <v>138</v>
      </c>
      <c r="AG212" s="15" t="s">
        <v>138</v>
      </c>
      <c r="AH212" s="20" t="s">
        <v>138</v>
      </c>
      <c r="AI212" s="20" t="s">
        <v>138</v>
      </c>
      <c r="AJ212" s="20" t="s">
        <v>138</v>
      </c>
      <c r="AK212" s="15" t="s">
        <v>4716</v>
      </c>
      <c r="AL212" s="15" t="s">
        <v>4717</v>
      </c>
      <c r="AM212" s="15" t="s">
        <v>249</v>
      </c>
      <c r="AN212" s="15" t="s">
        <v>4718</v>
      </c>
      <c r="AO212" s="15" t="s">
        <v>138</v>
      </c>
      <c r="AP212" s="15" t="s">
        <v>665</v>
      </c>
      <c r="AQ212" s="15" t="s">
        <v>4719</v>
      </c>
      <c r="AR212" s="15" t="s">
        <v>4720</v>
      </c>
      <c r="AS212" s="15" t="s">
        <v>668</v>
      </c>
      <c r="AT212" s="15" t="s">
        <v>200</v>
      </c>
      <c r="AU212" s="15" t="s">
        <v>2052</v>
      </c>
      <c r="AV212" s="15" t="s">
        <v>162</v>
      </c>
      <c r="AW212" s="15" t="s">
        <v>138</v>
      </c>
      <c r="AX212" s="15" t="s">
        <v>138</v>
      </c>
      <c r="AY212" s="15" t="s">
        <v>4721</v>
      </c>
      <c r="AZ212" s="15" t="s">
        <v>164</v>
      </c>
      <c r="BA212" s="15" t="s">
        <v>165</v>
      </c>
      <c r="BB212" s="15" t="s">
        <v>4722</v>
      </c>
      <c r="BC212" s="15" t="s">
        <v>4723</v>
      </c>
      <c r="BD212" s="21">
        <v>1</v>
      </c>
      <c r="BE212" s="15" t="s">
        <v>138</v>
      </c>
      <c r="BF212" s="15" t="s">
        <v>2912</v>
      </c>
      <c r="BG212" s="15" t="s">
        <v>138</v>
      </c>
      <c r="BH212" s="15" t="s">
        <v>138</v>
      </c>
      <c r="BI212" s="15" t="s">
        <v>2914</v>
      </c>
      <c r="BJ212" s="15" t="s">
        <v>138</v>
      </c>
      <c r="BK212" s="15" t="s">
        <v>138</v>
      </c>
      <c r="BL212" s="15" t="s">
        <v>138</v>
      </c>
      <c r="BM212" s="22">
        <v>40742</v>
      </c>
      <c r="BN212" s="17">
        <v>1.98</v>
      </c>
      <c r="BO212" s="15" t="s">
        <v>172</v>
      </c>
      <c r="BP212" s="17">
        <v>4.21</v>
      </c>
      <c r="BQ212" s="15" t="s">
        <v>172</v>
      </c>
      <c r="BR212" s="15" t="s">
        <v>205</v>
      </c>
      <c r="BS212" s="15" t="s">
        <v>206</v>
      </c>
      <c r="BT212" s="15" t="s">
        <v>138</v>
      </c>
      <c r="BU212" s="15" t="s">
        <v>174</v>
      </c>
      <c r="BV212" s="15" t="s">
        <v>138</v>
      </c>
      <c r="BW212" s="15" t="s">
        <v>138</v>
      </c>
      <c r="BX212" s="15" t="s">
        <v>138</v>
      </c>
      <c r="BY212" s="15" t="s">
        <v>175</v>
      </c>
      <c r="BZ212" s="22" t="s">
        <v>138</v>
      </c>
      <c r="CA212" s="17" t="s">
        <v>138</v>
      </c>
      <c r="CB212" s="15" t="s">
        <v>138</v>
      </c>
      <c r="CC212" s="17" t="s">
        <v>138</v>
      </c>
      <c r="CD212" s="15" t="s">
        <v>138</v>
      </c>
      <c r="CE212" s="15" t="s">
        <v>379</v>
      </c>
      <c r="CF212" s="15" t="s">
        <v>138</v>
      </c>
      <c r="CG212" s="15" t="s">
        <v>138</v>
      </c>
      <c r="CH212" s="15" t="s">
        <v>177</v>
      </c>
      <c r="CI212" s="15" t="s">
        <v>138</v>
      </c>
      <c r="CJ212" s="15" t="s">
        <v>138</v>
      </c>
      <c r="CK212" s="15" t="s">
        <v>138</v>
      </c>
      <c r="CL212" s="15" t="s">
        <v>175</v>
      </c>
      <c r="CM212" s="22" t="s">
        <v>138</v>
      </c>
      <c r="CN212" s="17" t="s">
        <v>138</v>
      </c>
      <c r="CO212" s="23">
        <v>-1.34</v>
      </c>
      <c r="CP212" s="24">
        <v>8</v>
      </c>
      <c r="CQ212" s="23">
        <v>0.01</v>
      </c>
      <c r="CR212" s="23">
        <v>0.46</v>
      </c>
      <c r="CS212" s="23">
        <v>-3.96</v>
      </c>
      <c r="CT212" s="24">
        <v>3</v>
      </c>
      <c r="CU212" s="23">
        <v>-7.0000000000000007E-2</v>
      </c>
      <c r="CV212" s="24">
        <v>7</v>
      </c>
      <c r="CW212" s="23">
        <v>-4.5</v>
      </c>
      <c r="CX212" s="24">
        <v>3</v>
      </c>
      <c r="CY212" s="23">
        <v>-3.41</v>
      </c>
      <c r="CZ212" s="24">
        <v>6</v>
      </c>
      <c r="DA212" s="23">
        <v>-7.0000000000000007E-2</v>
      </c>
      <c r="DB212" s="24">
        <v>9</v>
      </c>
      <c r="DC212" s="25">
        <v>14.39</v>
      </c>
      <c r="DD212" s="24">
        <v>93</v>
      </c>
      <c r="DE212" s="25">
        <v>-0.42</v>
      </c>
      <c r="DF212" s="23">
        <v>-2.82</v>
      </c>
      <c r="DG212" s="25">
        <v>35.130000000000003</v>
      </c>
      <c r="DH212" s="24">
        <v>97</v>
      </c>
      <c r="DI212" s="25">
        <v>5.59</v>
      </c>
      <c r="DJ212" s="24">
        <v>79</v>
      </c>
      <c r="DK212" s="25">
        <v>22.51</v>
      </c>
      <c r="DL212" s="24">
        <v>92</v>
      </c>
      <c r="DM212" s="25">
        <v>47.76</v>
      </c>
      <c r="DN212" s="24">
        <v>98</v>
      </c>
      <c r="DO212" s="25">
        <v>5.59</v>
      </c>
      <c r="DP212" s="24">
        <v>81</v>
      </c>
      <c r="DQ212" s="24">
        <v>8015</v>
      </c>
      <c r="DR212" s="26">
        <v>-884</v>
      </c>
      <c r="DS212" s="23">
        <v>-9.93</v>
      </c>
      <c r="DT212" s="24">
        <v>1383</v>
      </c>
      <c r="DU212" s="26">
        <v>2</v>
      </c>
      <c r="DV212" s="23">
        <v>0.14000000000000001</v>
      </c>
      <c r="DW212" s="24">
        <v>2002</v>
      </c>
      <c r="DX212" s="27">
        <v>-1</v>
      </c>
      <c r="DY212" s="23">
        <v>-0.05</v>
      </c>
      <c r="DZ212" s="15" t="s">
        <v>178</v>
      </c>
      <c r="EA212" s="22">
        <v>43351</v>
      </c>
      <c r="EB212" s="17">
        <v>4.21</v>
      </c>
      <c r="EC212" s="22">
        <v>40742</v>
      </c>
      <c r="ED212" s="15" t="s">
        <v>205</v>
      </c>
      <c r="EE212" s="14" t="str">
        <f>HYPERLINK("https://my.pitchbook.com?c=64306-81", "View company online")</f>
        <v>View company online</v>
      </c>
    </row>
    <row r="213" spans="1:135">
      <c r="A213" s="28" t="s">
        <v>4724</v>
      </c>
      <c r="B213" s="28" t="s">
        <v>4725</v>
      </c>
      <c r="C213" s="28" t="s">
        <v>138</v>
      </c>
      <c r="D213" s="28" t="s">
        <v>138</v>
      </c>
      <c r="E213" s="28" t="s">
        <v>138</v>
      </c>
      <c r="F213" s="28" t="s">
        <v>4724</v>
      </c>
      <c r="G213" s="28" t="s">
        <v>4726</v>
      </c>
      <c r="H213" s="28" t="s">
        <v>322</v>
      </c>
      <c r="I213" s="28" t="s">
        <v>323</v>
      </c>
      <c r="J213" s="28" t="s">
        <v>413</v>
      </c>
      <c r="K213" s="28" t="s">
        <v>874</v>
      </c>
      <c r="L213" s="28" t="s">
        <v>4503</v>
      </c>
      <c r="M213" s="28" t="s">
        <v>4727</v>
      </c>
      <c r="N213" s="28" t="s">
        <v>147</v>
      </c>
      <c r="O213" s="29">
        <v>4.33</v>
      </c>
      <c r="P213" s="28" t="s">
        <v>148</v>
      </c>
      <c r="Q213" s="28" t="s">
        <v>149</v>
      </c>
      <c r="R213" s="28" t="s">
        <v>174</v>
      </c>
      <c r="S213" s="28" t="s">
        <v>4728</v>
      </c>
      <c r="T213" s="30">
        <v>270</v>
      </c>
      <c r="U213" s="28" t="s">
        <v>4729</v>
      </c>
      <c r="V213" s="28" t="s">
        <v>138</v>
      </c>
      <c r="W213" s="28" t="s">
        <v>138</v>
      </c>
      <c r="X213" s="31">
        <v>2005</v>
      </c>
      <c r="Y213" s="28" t="s">
        <v>138</v>
      </c>
      <c r="Z213" s="28" t="s">
        <v>138</v>
      </c>
      <c r="AA213" s="28" t="s">
        <v>1163</v>
      </c>
      <c r="AB213" s="32" t="s">
        <v>138</v>
      </c>
      <c r="AC213" s="32" t="s">
        <v>138</v>
      </c>
      <c r="AD213" s="32" t="s">
        <v>138</v>
      </c>
      <c r="AE213" s="32" t="s">
        <v>138</v>
      </c>
      <c r="AF213" s="32" t="s">
        <v>138</v>
      </c>
      <c r="AG213" s="28" t="s">
        <v>138</v>
      </c>
      <c r="AH213" s="32" t="s">
        <v>138</v>
      </c>
      <c r="AI213" s="32" t="s">
        <v>138</v>
      </c>
      <c r="AJ213" s="32" t="s">
        <v>138</v>
      </c>
      <c r="AK213" s="28" t="s">
        <v>4730</v>
      </c>
      <c r="AL213" s="28" t="s">
        <v>4731</v>
      </c>
      <c r="AM213" s="28" t="s">
        <v>304</v>
      </c>
      <c r="AN213" s="28" t="s">
        <v>4732</v>
      </c>
      <c r="AO213" s="28" t="s">
        <v>4733</v>
      </c>
      <c r="AP213" s="28" t="s">
        <v>1195</v>
      </c>
      <c r="AQ213" s="28" t="s">
        <v>4734</v>
      </c>
      <c r="AR213" s="28" t="s">
        <v>4735</v>
      </c>
      <c r="AS213" s="28" t="s">
        <v>1198</v>
      </c>
      <c r="AT213" s="28" t="s">
        <v>138</v>
      </c>
      <c r="AU213" s="28" t="s">
        <v>4736</v>
      </c>
      <c r="AV213" s="28" t="s">
        <v>1200</v>
      </c>
      <c r="AW213" s="28" t="s">
        <v>4733</v>
      </c>
      <c r="AX213" s="28" t="s">
        <v>4737</v>
      </c>
      <c r="AY213" s="28" t="s">
        <v>138</v>
      </c>
      <c r="AZ213" s="28" t="s">
        <v>452</v>
      </c>
      <c r="BA213" s="28" t="s">
        <v>453</v>
      </c>
      <c r="BB213" s="28" t="s">
        <v>4738</v>
      </c>
      <c r="BC213" s="28" t="s">
        <v>4739</v>
      </c>
      <c r="BD213" s="33">
        <v>5</v>
      </c>
      <c r="BE213" s="28" t="s">
        <v>138</v>
      </c>
      <c r="BF213" s="28" t="s">
        <v>138</v>
      </c>
      <c r="BG213" s="28" t="s">
        <v>138</v>
      </c>
      <c r="BH213" s="28" t="s">
        <v>4740</v>
      </c>
      <c r="BI213" s="28" t="s">
        <v>138</v>
      </c>
      <c r="BJ213" s="28" t="s">
        <v>138</v>
      </c>
      <c r="BK213" s="28" t="s">
        <v>138</v>
      </c>
      <c r="BL213" s="28" t="s">
        <v>138</v>
      </c>
      <c r="BM213" s="34">
        <v>40603</v>
      </c>
      <c r="BN213" s="29" t="s">
        <v>138</v>
      </c>
      <c r="BO213" s="28" t="s">
        <v>138</v>
      </c>
      <c r="BP213" s="29" t="s">
        <v>138</v>
      </c>
      <c r="BQ213" s="28" t="s">
        <v>138</v>
      </c>
      <c r="BR213" s="28" t="s">
        <v>205</v>
      </c>
      <c r="BS213" s="28" t="s">
        <v>720</v>
      </c>
      <c r="BT213" s="28" t="s">
        <v>138</v>
      </c>
      <c r="BU213" s="28" t="s">
        <v>174</v>
      </c>
      <c r="BV213" s="28" t="s">
        <v>138</v>
      </c>
      <c r="BW213" s="28" t="s">
        <v>138</v>
      </c>
      <c r="BX213" s="28" t="s">
        <v>138</v>
      </c>
      <c r="BY213" s="28" t="s">
        <v>175</v>
      </c>
      <c r="BZ213" s="34">
        <v>43328</v>
      </c>
      <c r="CA213" s="29" t="s">
        <v>138</v>
      </c>
      <c r="CB213" s="28" t="s">
        <v>138</v>
      </c>
      <c r="CC213" s="29" t="s">
        <v>138</v>
      </c>
      <c r="CD213" s="28" t="s">
        <v>138</v>
      </c>
      <c r="CE213" s="28" t="s">
        <v>205</v>
      </c>
      <c r="CF213" s="28" t="s">
        <v>138</v>
      </c>
      <c r="CG213" s="28" t="s">
        <v>138</v>
      </c>
      <c r="CH213" s="28" t="s">
        <v>174</v>
      </c>
      <c r="CI213" s="28" t="s">
        <v>138</v>
      </c>
      <c r="CJ213" s="28" t="s">
        <v>138</v>
      </c>
      <c r="CK213" s="28" t="s">
        <v>138</v>
      </c>
      <c r="CL213" s="28" t="s">
        <v>175</v>
      </c>
      <c r="CM213" s="34" t="s">
        <v>138</v>
      </c>
      <c r="CN213" s="29" t="s">
        <v>138</v>
      </c>
      <c r="CO213" s="35">
        <v>-2.42</v>
      </c>
      <c r="CP213" s="36">
        <v>4</v>
      </c>
      <c r="CQ213" s="35">
        <v>-0.01</v>
      </c>
      <c r="CR213" s="35">
        <v>-0.28000000000000003</v>
      </c>
      <c r="CS213" s="35">
        <v>-7.82</v>
      </c>
      <c r="CT213" s="36">
        <v>1</v>
      </c>
      <c r="CU213" s="35">
        <v>-0.02</v>
      </c>
      <c r="CV213" s="36">
        <v>17</v>
      </c>
      <c r="CW213" s="35" t="s">
        <v>138</v>
      </c>
      <c r="CX213" s="36" t="s">
        <v>138</v>
      </c>
      <c r="CY213" s="35">
        <v>-7.82</v>
      </c>
      <c r="CZ213" s="36">
        <v>1</v>
      </c>
      <c r="DA213" s="35">
        <v>-0.02</v>
      </c>
      <c r="DB213" s="36">
        <v>19</v>
      </c>
      <c r="DC213" s="37">
        <v>5.57</v>
      </c>
      <c r="DD213" s="36">
        <v>84</v>
      </c>
      <c r="DE213" s="37">
        <v>0.01</v>
      </c>
      <c r="DF213" s="35">
        <v>0.23</v>
      </c>
      <c r="DG213" s="37">
        <v>10.83</v>
      </c>
      <c r="DH213" s="36">
        <v>90</v>
      </c>
      <c r="DI213" s="37">
        <v>5.39</v>
      </c>
      <c r="DJ213" s="36">
        <v>78</v>
      </c>
      <c r="DK213" s="37" t="s">
        <v>138</v>
      </c>
      <c r="DL213" s="36" t="s">
        <v>138</v>
      </c>
      <c r="DM213" s="37">
        <v>10.83</v>
      </c>
      <c r="DN213" s="36">
        <v>89</v>
      </c>
      <c r="DO213" s="37">
        <v>5.39</v>
      </c>
      <c r="DP213" s="36">
        <v>80</v>
      </c>
      <c r="DQ213" s="36" t="s">
        <v>138</v>
      </c>
      <c r="DR213" s="38" t="s">
        <v>138</v>
      </c>
      <c r="DS213" s="35" t="s">
        <v>138</v>
      </c>
      <c r="DT213" s="36">
        <v>314</v>
      </c>
      <c r="DU213" s="38">
        <v>0</v>
      </c>
      <c r="DV213" s="35">
        <v>0</v>
      </c>
      <c r="DW213" s="36">
        <v>1929</v>
      </c>
      <c r="DX213" s="39">
        <v>2</v>
      </c>
      <c r="DY213" s="35">
        <v>0.1</v>
      </c>
      <c r="DZ213" s="28" t="s">
        <v>178</v>
      </c>
      <c r="EA213" s="34">
        <v>43542</v>
      </c>
      <c r="EB213" s="29" t="s">
        <v>138</v>
      </c>
      <c r="EC213" s="34" t="s">
        <v>138</v>
      </c>
      <c r="ED213" s="28" t="s">
        <v>138</v>
      </c>
      <c r="EE213" s="40" t="str">
        <f>HYPERLINK("https://my.pitchbook.com?c=108421-93", "View company online")</f>
        <v>View company online</v>
      </c>
    </row>
    <row r="214" spans="1:135">
      <c r="A214" s="15" t="s">
        <v>4741</v>
      </c>
      <c r="B214" s="15" t="s">
        <v>4742</v>
      </c>
      <c r="C214" s="15" t="s">
        <v>138</v>
      </c>
      <c r="D214" s="15" t="s">
        <v>138</v>
      </c>
      <c r="E214" s="15" t="s">
        <v>138</v>
      </c>
      <c r="F214" s="15" t="s">
        <v>4741</v>
      </c>
      <c r="G214" s="15" t="s">
        <v>4743</v>
      </c>
      <c r="H214" s="15" t="s">
        <v>141</v>
      </c>
      <c r="I214" s="15" t="s">
        <v>142</v>
      </c>
      <c r="J214" s="15" t="s">
        <v>1924</v>
      </c>
      <c r="K214" s="15" t="s">
        <v>4744</v>
      </c>
      <c r="L214" s="15" t="s">
        <v>4745</v>
      </c>
      <c r="M214" s="15" t="s">
        <v>4746</v>
      </c>
      <c r="N214" s="15" t="s">
        <v>147</v>
      </c>
      <c r="O214" s="17" t="s">
        <v>138</v>
      </c>
      <c r="P214" s="15" t="s">
        <v>148</v>
      </c>
      <c r="Q214" s="15" t="s">
        <v>149</v>
      </c>
      <c r="R214" s="15" t="s">
        <v>174</v>
      </c>
      <c r="S214" s="15" t="s">
        <v>4747</v>
      </c>
      <c r="T214" s="18">
        <v>9</v>
      </c>
      <c r="U214" s="15" t="s">
        <v>4748</v>
      </c>
      <c r="V214" s="15" t="s">
        <v>138</v>
      </c>
      <c r="W214" s="15" t="s">
        <v>138</v>
      </c>
      <c r="X214" s="19">
        <v>2015</v>
      </c>
      <c r="Y214" s="15" t="s">
        <v>138</v>
      </c>
      <c r="Z214" s="15" t="s">
        <v>138</v>
      </c>
      <c r="AA214" s="15" t="s">
        <v>138</v>
      </c>
      <c r="AB214" s="20" t="s">
        <v>138</v>
      </c>
      <c r="AC214" s="20" t="s">
        <v>138</v>
      </c>
      <c r="AD214" s="20" t="s">
        <v>138</v>
      </c>
      <c r="AE214" s="20" t="s">
        <v>138</v>
      </c>
      <c r="AF214" s="20" t="s">
        <v>138</v>
      </c>
      <c r="AG214" s="15" t="s">
        <v>138</v>
      </c>
      <c r="AH214" s="20" t="s">
        <v>138</v>
      </c>
      <c r="AI214" s="20" t="s">
        <v>138</v>
      </c>
      <c r="AJ214" s="20" t="s">
        <v>138</v>
      </c>
      <c r="AK214" s="15" t="s">
        <v>4749</v>
      </c>
      <c r="AL214" s="15" t="s">
        <v>4750</v>
      </c>
      <c r="AM214" s="15" t="s">
        <v>304</v>
      </c>
      <c r="AN214" s="15" t="s">
        <v>4751</v>
      </c>
      <c r="AO214" s="15" t="s">
        <v>4752</v>
      </c>
      <c r="AP214" s="15" t="s">
        <v>639</v>
      </c>
      <c r="AQ214" s="15" t="s">
        <v>4753</v>
      </c>
      <c r="AR214" s="15" t="s">
        <v>2930</v>
      </c>
      <c r="AS214" s="15" t="s">
        <v>642</v>
      </c>
      <c r="AT214" s="15" t="s">
        <v>474</v>
      </c>
      <c r="AU214" s="15" t="s">
        <v>3649</v>
      </c>
      <c r="AV214" s="15" t="s">
        <v>162</v>
      </c>
      <c r="AW214" s="15" t="s">
        <v>4752</v>
      </c>
      <c r="AX214" s="15" t="s">
        <v>138</v>
      </c>
      <c r="AY214" s="15" t="s">
        <v>4754</v>
      </c>
      <c r="AZ214" s="15" t="s">
        <v>164</v>
      </c>
      <c r="BA214" s="15" t="s">
        <v>165</v>
      </c>
      <c r="BB214" s="15" t="s">
        <v>4755</v>
      </c>
      <c r="BC214" s="15" t="s">
        <v>4756</v>
      </c>
      <c r="BD214" s="21">
        <v>3</v>
      </c>
      <c r="BE214" s="15" t="s">
        <v>138</v>
      </c>
      <c r="BF214" s="15" t="s">
        <v>138</v>
      </c>
      <c r="BG214" s="15" t="s">
        <v>138</v>
      </c>
      <c r="BH214" s="15" t="s">
        <v>4757</v>
      </c>
      <c r="BI214" s="15" t="s">
        <v>138</v>
      </c>
      <c r="BJ214" s="15" t="s">
        <v>138</v>
      </c>
      <c r="BK214" s="15" t="s">
        <v>138</v>
      </c>
      <c r="BL214" s="15" t="s">
        <v>138</v>
      </c>
      <c r="BM214" s="22" t="s">
        <v>138</v>
      </c>
      <c r="BN214" s="17" t="s">
        <v>138</v>
      </c>
      <c r="BO214" s="15" t="s">
        <v>138</v>
      </c>
      <c r="BP214" s="17" t="s">
        <v>138</v>
      </c>
      <c r="BQ214" s="15" t="s">
        <v>138</v>
      </c>
      <c r="BR214" s="15" t="s">
        <v>205</v>
      </c>
      <c r="BS214" s="15" t="s">
        <v>138</v>
      </c>
      <c r="BT214" s="15" t="s">
        <v>138</v>
      </c>
      <c r="BU214" s="15" t="s">
        <v>174</v>
      </c>
      <c r="BV214" s="15" t="s">
        <v>138</v>
      </c>
      <c r="BW214" s="15" t="s">
        <v>138</v>
      </c>
      <c r="BX214" s="15" t="s">
        <v>138</v>
      </c>
      <c r="BY214" s="15" t="s">
        <v>175</v>
      </c>
      <c r="BZ214" s="22" t="s">
        <v>138</v>
      </c>
      <c r="CA214" s="17" t="s">
        <v>138</v>
      </c>
      <c r="CB214" s="15" t="s">
        <v>138</v>
      </c>
      <c r="CC214" s="17" t="s">
        <v>138</v>
      </c>
      <c r="CD214" s="15" t="s">
        <v>138</v>
      </c>
      <c r="CE214" s="15" t="s">
        <v>205</v>
      </c>
      <c r="CF214" s="15" t="s">
        <v>138</v>
      </c>
      <c r="CG214" s="15" t="s">
        <v>138</v>
      </c>
      <c r="CH214" s="15" t="s">
        <v>174</v>
      </c>
      <c r="CI214" s="15" t="s">
        <v>138</v>
      </c>
      <c r="CJ214" s="15" t="s">
        <v>138</v>
      </c>
      <c r="CK214" s="15" t="s">
        <v>138</v>
      </c>
      <c r="CL214" s="15" t="s">
        <v>175</v>
      </c>
      <c r="CM214" s="22" t="s">
        <v>138</v>
      </c>
      <c r="CN214" s="17" t="s">
        <v>138</v>
      </c>
      <c r="CO214" s="23">
        <v>0</v>
      </c>
      <c r="CP214" s="24">
        <v>26</v>
      </c>
      <c r="CQ214" s="23">
        <v>0</v>
      </c>
      <c r="CR214" s="23">
        <v>0</v>
      </c>
      <c r="CS214" s="23">
        <v>0</v>
      </c>
      <c r="CT214" s="24">
        <v>23</v>
      </c>
      <c r="CU214" s="23" t="s">
        <v>138</v>
      </c>
      <c r="CV214" s="24" t="s">
        <v>138</v>
      </c>
      <c r="CW214" s="23">
        <v>0</v>
      </c>
      <c r="CX214" s="24">
        <v>13</v>
      </c>
      <c r="CY214" s="23">
        <v>0</v>
      </c>
      <c r="CZ214" s="24">
        <v>25</v>
      </c>
      <c r="DA214" s="23" t="s">
        <v>138</v>
      </c>
      <c r="DB214" s="24" t="s">
        <v>138</v>
      </c>
      <c r="DC214" s="25">
        <v>0.88</v>
      </c>
      <c r="DD214" s="24">
        <v>48</v>
      </c>
      <c r="DE214" s="25">
        <v>-0.13</v>
      </c>
      <c r="DF214" s="23">
        <v>-12.51</v>
      </c>
      <c r="DG214" s="25">
        <v>0.88</v>
      </c>
      <c r="DH214" s="24">
        <v>48</v>
      </c>
      <c r="DI214" s="25" t="s">
        <v>138</v>
      </c>
      <c r="DJ214" s="24" t="s">
        <v>138</v>
      </c>
      <c r="DK214" s="25">
        <v>1.68</v>
      </c>
      <c r="DL214" s="24">
        <v>61</v>
      </c>
      <c r="DM214" s="25">
        <v>7.0000000000000007E-2</v>
      </c>
      <c r="DN214" s="24">
        <v>5</v>
      </c>
      <c r="DO214" s="25" t="s">
        <v>138</v>
      </c>
      <c r="DP214" s="24" t="s">
        <v>138</v>
      </c>
      <c r="DQ214" s="24">
        <v>544</v>
      </c>
      <c r="DR214" s="26">
        <v>97</v>
      </c>
      <c r="DS214" s="23">
        <v>21.7</v>
      </c>
      <c r="DT214" s="24">
        <v>2</v>
      </c>
      <c r="DU214" s="26">
        <v>0</v>
      </c>
      <c r="DV214" s="23">
        <v>0</v>
      </c>
      <c r="DW214" s="24" t="s">
        <v>138</v>
      </c>
      <c r="DX214" s="27" t="s">
        <v>138</v>
      </c>
      <c r="DY214" s="23" t="s">
        <v>138</v>
      </c>
      <c r="DZ214" s="15" t="s">
        <v>178</v>
      </c>
      <c r="EA214" s="22">
        <v>43516</v>
      </c>
      <c r="EB214" s="17" t="s">
        <v>138</v>
      </c>
      <c r="EC214" s="22" t="s">
        <v>138</v>
      </c>
      <c r="ED214" s="15" t="s">
        <v>138</v>
      </c>
      <c r="EE214" s="14" t="str">
        <f>HYPERLINK("https://my.pitchbook.com?c=168720-04", "View company online")</f>
        <v>View company online</v>
      </c>
    </row>
    <row r="215" spans="1:135">
      <c r="A215" s="28" t="s">
        <v>4758</v>
      </c>
      <c r="B215" s="28" t="s">
        <v>4759</v>
      </c>
      <c r="C215" s="28" t="s">
        <v>138</v>
      </c>
      <c r="D215" s="28" t="s">
        <v>138</v>
      </c>
      <c r="E215" s="28" t="s">
        <v>138</v>
      </c>
      <c r="F215" s="28" t="s">
        <v>4758</v>
      </c>
      <c r="G215" s="28" t="s">
        <v>4760</v>
      </c>
      <c r="H215" s="28" t="s">
        <v>322</v>
      </c>
      <c r="I215" s="28" t="s">
        <v>356</v>
      </c>
      <c r="J215" s="28" t="s">
        <v>1901</v>
      </c>
      <c r="K215" s="28" t="s">
        <v>4761</v>
      </c>
      <c r="L215" s="28" t="s">
        <v>4762</v>
      </c>
      <c r="M215" s="28" t="s">
        <v>4763</v>
      </c>
      <c r="N215" s="28" t="s">
        <v>147</v>
      </c>
      <c r="O215" s="29">
        <v>12.61</v>
      </c>
      <c r="P215" s="28" t="s">
        <v>610</v>
      </c>
      <c r="Q215" s="28" t="s">
        <v>149</v>
      </c>
      <c r="R215" s="28" t="s">
        <v>174</v>
      </c>
      <c r="S215" s="28" t="s">
        <v>4764</v>
      </c>
      <c r="T215" s="30" t="s">
        <v>138</v>
      </c>
      <c r="U215" s="28" t="s">
        <v>138</v>
      </c>
      <c r="V215" s="28" t="s">
        <v>138</v>
      </c>
      <c r="W215" s="28" t="s">
        <v>138</v>
      </c>
      <c r="X215" s="31">
        <v>2015</v>
      </c>
      <c r="Y215" s="28" t="s">
        <v>138</v>
      </c>
      <c r="Z215" s="28" t="s">
        <v>138</v>
      </c>
      <c r="AA215" s="28" t="s">
        <v>138</v>
      </c>
      <c r="AB215" s="32" t="s">
        <v>138</v>
      </c>
      <c r="AC215" s="32" t="s">
        <v>138</v>
      </c>
      <c r="AD215" s="32" t="s">
        <v>138</v>
      </c>
      <c r="AE215" s="32" t="s">
        <v>138</v>
      </c>
      <c r="AF215" s="32" t="s">
        <v>138</v>
      </c>
      <c r="AG215" s="28" t="s">
        <v>138</v>
      </c>
      <c r="AH215" s="32" t="s">
        <v>138</v>
      </c>
      <c r="AI215" s="32" t="s">
        <v>138</v>
      </c>
      <c r="AJ215" s="32" t="s">
        <v>138</v>
      </c>
      <c r="AK215" s="28" t="s">
        <v>4765</v>
      </c>
      <c r="AL215" s="28" t="s">
        <v>4766</v>
      </c>
      <c r="AM215" s="28" t="s">
        <v>4767</v>
      </c>
      <c r="AN215" s="28" t="s">
        <v>4768</v>
      </c>
      <c r="AO215" s="28" t="s">
        <v>4769</v>
      </c>
      <c r="AP215" s="28" t="s">
        <v>1168</v>
      </c>
      <c r="AQ215" s="28" t="s">
        <v>4770</v>
      </c>
      <c r="AR215" s="28" t="s">
        <v>138</v>
      </c>
      <c r="AS215" s="28" t="s">
        <v>1171</v>
      </c>
      <c r="AT215" s="28" t="s">
        <v>200</v>
      </c>
      <c r="AU215" s="28" t="s">
        <v>1172</v>
      </c>
      <c r="AV215" s="28" t="s">
        <v>162</v>
      </c>
      <c r="AW215" s="28" t="s">
        <v>4771</v>
      </c>
      <c r="AX215" s="28" t="s">
        <v>138</v>
      </c>
      <c r="AY215" s="28" t="s">
        <v>4772</v>
      </c>
      <c r="AZ215" s="28" t="s">
        <v>164</v>
      </c>
      <c r="BA215" s="28" t="s">
        <v>165</v>
      </c>
      <c r="BB215" s="28" t="s">
        <v>4773</v>
      </c>
      <c r="BC215" s="28" t="s">
        <v>4774</v>
      </c>
      <c r="BD215" s="33">
        <v>4</v>
      </c>
      <c r="BE215" s="28" t="s">
        <v>138</v>
      </c>
      <c r="BF215" s="28" t="s">
        <v>138</v>
      </c>
      <c r="BG215" s="28" t="s">
        <v>138</v>
      </c>
      <c r="BH215" s="28" t="s">
        <v>4775</v>
      </c>
      <c r="BI215" s="28" t="s">
        <v>138</v>
      </c>
      <c r="BJ215" s="28" t="s">
        <v>138</v>
      </c>
      <c r="BK215" s="28" t="s">
        <v>2936</v>
      </c>
      <c r="BL215" s="28" t="s">
        <v>2936</v>
      </c>
      <c r="BM215" s="34">
        <v>42551</v>
      </c>
      <c r="BN215" s="29">
        <v>12.61</v>
      </c>
      <c r="BO215" s="28" t="s">
        <v>172</v>
      </c>
      <c r="BP215" s="29">
        <v>39.61</v>
      </c>
      <c r="BQ215" s="28" t="s">
        <v>172</v>
      </c>
      <c r="BR215" s="28" t="s">
        <v>205</v>
      </c>
      <c r="BS215" s="28" t="s">
        <v>138</v>
      </c>
      <c r="BT215" s="28" t="s">
        <v>138</v>
      </c>
      <c r="BU215" s="28" t="s">
        <v>174</v>
      </c>
      <c r="BV215" s="28" t="s">
        <v>138</v>
      </c>
      <c r="BW215" s="28" t="s">
        <v>138</v>
      </c>
      <c r="BX215" s="28" t="s">
        <v>138</v>
      </c>
      <c r="BY215" s="28" t="s">
        <v>175</v>
      </c>
      <c r="BZ215" s="34" t="s">
        <v>138</v>
      </c>
      <c r="CA215" s="29" t="s">
        <v>138</v>
      </c>
      <c r="CB215" s="28" t="s">
        <v>138</v>
      </c>
      <c r="CC215" s="29" t="s">
        <v>138</v>
      </c>
      <c r="CD215" s="28" t="s">
        <v>138</v>
      </c>
      <c r="CE215" s="28" t="s">
        <v>205</v>
      </c>
      <c r="CF215" s="28" t="s">
        <v>138</v>
      </c>
      <c r="CG215" s="28" t="s">
        <v>138</v>
      </c>
      <c r="CH215" s="28" t="s">
        <v>174</v>
      </c>
      <c r="CI215" s="28" t="s">
        <v>138</v>
      </c>
      <c r="CJ215" s="28" t="s">
        <v>138</v>
      </c>
      <c r="CK215" s="28" t="s">
        <v>138</v>
      </c>
      <c r="CL215" s="28" t="s">
        <v>175</v>
      </c>
      <c r="CM215" s="34" t="s">
        <v>138</v>
      </c>
      <c r="CN215" s="29" t="s">
        <v>138</v>
      </c>
      <c r="CO215" s="35">
        <v>0</v>
      </c>
      <c r="CP215" s="36">
        <v>26</v>
      </c>
      <c r="CQ215" s="35">
        <v>0</v>
      </c>
      <c r="CR215" s="35">
        <v>0</v>
      </c>
      <c r="CS215" s="35">
        <v>0</v>
      </c>
      <c r="CT215" s="36">
        <v>23</v>
      </c>
      <c r="CU215" s="35" t="s">
        <v>138</v>
      </c>
      <c r="CV215" s="36" t="s">
        <v>138</v>
      </c>
      <c r="CW215" s="35">
        <v>0</v>
      </c>
      <c r="CX215" s="36">
        <v>13</v>
      </c>
      <c r="CY215" s="35">
        <v>0</v>
      </c>
      <c r="CZ215" s="36">
        <v>25</v>
      </c>
      <c r="DA215" s="35" t="s">
        <v>138</v>
      </c>
      <c r="DB215" s="36" t="s">
        <v>138</v>
      </c>
      <c r="DC215" s="37">
        <v>0.84</v>
      </c>
      <c r="DD215" s="36">
        <v>47</v>
      </c>
      <c r="DE215" s="37">
        <v>-0.09</v>
      </c>
      <c r="DF215" s="35">
        <v>-9.89</v>
      </c>
      <c r="DG215" s="37">
        <v>0.84</v>
      </c>
      <c r="DH215" s="36">
        <v>47</v>
      </c>
      <c r="DI215" s="37" t="s">
        <v>138</v>
      </c>
      <c r="DJ215" s="36" t="s">
        <v>138</v>
      </c>
      <c r="DK215" s="37">
        <v>1.43</v>
      </c>
      <c r="DL215" s="36">
        <v>58</v>
      </c>
      <c r="DM215" s="37">
        <v>0.24</v>
      </c>
      <c r="DN215" s="36">
        <v>19</v>
      </c>
      <c r="DO215" s="37" t="s">
        <v>138</v>
      </c>
      <c r="DP215" s="36" t="s">
        <v>138</v>
      </c>
      <c r="DQ215" s="36">
        <v>473</v>
      </c>
      <c r="DR215" s="38">
        <v>54</v>
      </c>
      <c r="DS215" s="35">
        <v>12.89</v>
      </c>
      <c r="DT215" s="36">
        <v>7</v>
      </c>
      <c r="DU215" s="38">
        <v>1</v>
      </c>
      <c r="DV215" s="35">
        <v>16.670000000000002</v>
      </c>
      <c r="DW215" s="36" t="s">
        <v>138</v>
      </c>
      <c r="DX215" s="39" t="s">
        <v>138</v>
      </c>
      <c r="DY215" s="35" t="s">
        <v>138</v>
      </c>
      <c r="DZ215" s="28" t="s">
        <v>178</v>
      </c>
      <c r="EA215" s="34">
        <v>43445</v>
      </c>
      <c r="EB215" s="29">
        <v>39.61</v>
      </c>
      <c r="EC215" s="34">
        <v>42551</v>
      </c>
      <c r="ED215" s="28" t="s">
        <v>205</v>
      </c>
      <c r="EE215" s="40" t="str">
        <f>HYPERLINK("https://my.pitchbook.com?c=163659-07", "View company online")</f>
        <v>View company online</v>
      </c>
    </row>
    <row r="216" spans="1:135">
      <c r="A216" s="15" t="s">
        <v>4776</v>
      </c>
      <c r="B216" s="15" t="s">
        <v>4777</v>
      </c>
      <c r="C216" s="15" t="s">
        <v>138</v>
      </c>
      <c r="D216" s="15" t="s">
        <v>138</v>
      </c>
      <c r="E216" s="15" t="s">
        <v>4778</v>
      </c>
      <c r="F216" s="15" t="s">
        <v>4776</v>
      </c>
      <c r="G216" s="15" t="s">
        <v>4779</v>
      </c>
      <c r="H216" s="15" t="s">
        <v>238</v>
      </c>
      <c r="I216" s="15" t="s">
        <v>1018</v>
      </c>
      <c r="J216" s="15" t="s">
        <v>4780</v>
      </c>
      <c r="K216" s="15" t="s">
        <v>4781</v>
      </c>
      <c r="L216" s="15" t="s">
        <v>4782</v>
      </c>
      <c r="M216" s="15" t="s">
        <v>4783</v>
      </c>
      <c r="N216" s="15" t="s">
        <v>147</v>
      </c>
      <c r="O216" s="17">
        <v>163.1</v>
      </c>
      <c r="P216" s="15" t="s">
        <v>148</v>
      </c>
      <c r="Q216" s="15" t="s">
        <v>149</v>
      </c>
      <c r="R216" s="15" t="s">
        <v>174</v>
      </c>
      <c r="S216" s="15" t="s">
        <v>4784</v>
      </c>
      <c r="T216" s="18">
        <v>300</v>
      </c>
      <c r="U216" s="15" t="s">
        <v>4785</v>
      </c>
      <c r="V216" s="15" t="s">
        <v>138</v>
      </c>
      <c r="W216" s="15" t="s">
        <v>138</v>
      </c>
      <c r="X216" s="19">
        <v>2011</v>
      </c>
      <c r="Y216" s="15" t="s">
        <v>138</v>
      </c>
      <c r="Z216" s="15" t="s">
        <v>138</v>
      </c>
      <c r="AA216" s="15" t="s">
        <v>138</v>
      </c>
      <c r="AB216" s="20">
        <v>90</v>
      </c>
      <c r="AC216" s="20" t="s">
        <v>138</v>
      </c>
      <c r="AD216" s="20">
        <v>-40</v>
      </c>
      <c r="AE216" s="20" t="s">
        <v>138</v>
      </c>
      <c r="AF216" s="20" t="s">
        <v>138</v>
      </c>
      <c r="AG216" s="15" t="s">
        <v>815</v>
      </c>
      <c r="AH216" s="20" t="s">
        <v>138</v>
      </c>
      <c r="AI216" s="20" t="s">
        <v>138</v>
      </c>
      <c r="AJ216" s="20" t="s">
        <v>138</v>
      </c>
      <c r="AK216" s="15" t="s">
        <v>4786</v>
      </c>
      <c r="AL216" s="15" t="s">
        <v>4787</v>
      </c>
      <c r="AM216" s="15" t="s">
        <v>4788</v>
      </c>
      <c r="AN216" s="15" t="s">
        <v>4789</v>
      </c>
      <c r="AO216" s="15" t="s">
        <v>4790</v>
      </c>
      <c r="AP216" s="15" t="s">
        <v>964</v>
      </c>
      <c r="AQ216" s="15" t="s">
        <v>4791</v>
      </c>
      <c r="AR216" s="15" t="s">
        <v>3084</v>
      </c>
      <c r="AS216" s="15" t="s">
        <v>966</v>
      </c>
      <c r="AT216" s="15" t="s">
        <v>200</v>
      </c>
      <c r="AU216" s="15" t="s">
        <v>4792</v>
      </c>
      <c r="AV216" s="15" t="s">
        <v>162</v>
      </c>
      <c r="AW216" s="15" t="s">
        <v>4790</v>
      </c>
      <c r="AX216" s="15" t="s">
        <v>138</v>
      </c>
      <c r="AY216" s="15" t="s">
        <v>4793</v>
      </c>
      <c r="AZ216" s="15" t="s">
        <v>164</v>
      </c>
      <c r="BA216" s="15" t="s">
        <v>165</v>
      </c>
      <c r="BB216" s="15" t="s">
        <v>4794</v>
      </c>
      <c r="BC216" s="15" t="s">
        <v>4795</v>
      </c>
      <c r="BD216" s="21">
        <v>12</v>
      </c>
      <c r="BE216" s="15" t="s">
        <v>138</v>
      </c>
      <c r="BF216" s="15" t="s">
        <v>138</v>
      </c>
      <c r="BG216" s="15" t="s">
        <v>138</v>
      </c>
      <c r="BH216" s="15" t="s">
        <v>4796</v>
      </c>
      <c r="BI216" s="15" t="s">
        <v>138</v>
      </c>
      <c r="BJ216" s="15" t="s">
        <v>138</v>
      </c>
      <c r="BK216" s="15" t="s">
        <v>4797</v>
      </c>
      <c r="BL216" s="15" t="s">
        <v>4798</v>
      </c>
      <c r="BM216" s="22">
        <v>40933</v>
      </c>
      <c r="BN216" s="17">
        <v>6.1</v>
      </c>
      <c r="BO216" s="15" t="s">
        <v>172</v>
      </c>
      <c r="BP216" s="17">
        <v>32</v>
      </c>
      <c r="BQ216" s="15" t="s">
        <v>172</v>
      </c>
      <c r="BR216" s="15" t="s">
        <v>205</v>
      </c>
      <c r="BS216" s="15" t="s">
        <v>206</v>
      </c>
      <c r="BT216" s="15" t="s">
        <v>138</v>
      </c>
      <c r="BU216" s="15" t="s">
        <v>174</v>
      </c>
      <c r="BV216" s="15" t="s">
        <v>138</v>
      </c>
      <c r="BW216" s="15" t="s">
        <v>138</v>
      </c>
      <c r="BX216" s="15" t="s">
        <v>138</v>
      </c>
      <c r="BY216" s="15" t="s">
        <v>175</v>
      </c>
      <c r="BZ216" s="22">
        <v>42319</v>
      </c>
      <c r="CA216" s="17">
        <v>105</v>
      </c>
      <c r="CB216" s="15" t="s">
        <v>172</v>
      </c>
      <c r="CC216" s="17">
        <v>1000</v>
      </c>
      <c r="CD216" s="15" t="s">
        <v>172</v>
      </c>
      <c r="CE216" s="15" t="s">
        <v>173</v>
      </c>
      <c r="CF216" s="15" t="s">
        <v>433</v>
      </c>
      <c r="CG216" s="15" t="s">
        <v>138</v>
      </c>
      <c r="CH216" s="15" t="s">
        <v>174</v>
      </c>
      <c r="CI216" s="15" t="s">
        <v>138</v>
      </c>
      <c r="CJ216" s="15" t="s">
        <v>138</v>
      </c>
      <c r="CK216" s="15" t="s">
        <v>138</v>
      </c>
      <c r="CL216" s="15" t="s">
        <v>175</v>
      </c>
      <c r="CM216" s="22" t="s">
        <v>138</v>
      </c>
      <c r="CN216" s="17" t="s">
        <v>138</v>
      </c>
      <c r="CO216" s="23">
        <v>-0.02</v>
      </c>
      <c r="CP216" s="24">
        <v>24</v>
      </c>
      <c r="CQ216" s="23">
        <v>0</v>
      </c>
      <c r="CR216" s="23">
        <v>17.510000000000002</v>
      </c>
      <c r="CS216" s="23">
        <v>-0.67</v>
      </c>
      <c r="CT216" s="24">
        <v>18</v>
      </c>
      <c r="CU216" s="23">
        <v>0.09</v>
      </c>
      <c r="CV216" s="24">
        <v>66</v>
      </c>
      <c r="CW216" s="23">
        <v>-0.2</v>
      </c>
      <c r="CX216" s="24">
        <v>12</v>
      </c>
      <c r="CY216" s="23">
        <v>-1.1499999999999999</v>
      </c>
      <c r="CZ216" s="24">
        <v>18</v>
      </c>
      <c r="DA216" s="23">
        <v>0.14000000000000001</v>
      </c>
      <c r="DB216" s="24">
        <v>77</v>
      </c>
      <c r="DC216" s="25">
        <v>564.42999999999995</v>
      </c>
      <c r="DD216" s="24">
        <v>100</v>
      </c>
      <c r="DE216" s="25">
        <v>-22.05</v>
      </c>
      <c r="DF216" s="23">
        <v>-3.76</v>
      </c>
      <c r="DG216" s="25">
        <v>1021.91</v>
      </c>
      <c r="DH216" s="24">
        <v>100</v>
      </c>
      <c r="DI216" s="25">
        <v>670.72</v>
      </c>
      <c r="DJ216" s="24">
        <v>100</v>
      </c>
      <c r="DK216" s="25">
        <v>1161.31</v>
      </c>
      <c r="DL216" s="24">
        <v>100</v>
      </c>
      <c r="DM216" s="25">
        <v>882.52</v>
      </c>
      <c r="DN216" s="24">
        <v>100</v>
      </c>
      <c r="DO216" s="25">
        <v>589.46</v>
      </c>
      <c r="DP216" s="24">
        <v>100</v>
      </c>
      <c r="DQ216" s="24">
        <v>394715</v>
      </c>
      <c r="DR216" s="26">
        <v>10838</v>
      </c>
      <c r="DS216" s="23">
        <v>2.82</v>
      </c>
      <c r="DT216" s="24">
        <v>25428</v>
      </c>
      <c r="DU216" s="26">
        <v>166</v>
      </c>
      <c r="DV216" s="23">
        <v>0.66</v>
      </c>
      <c r="DW216" s="24">
        <v>210934</v>
      </c>
      <c r="DX216" s="27">
        <v>217</v>
      </c>
      <c r="DY216" s="23">
        <v>0.1</v>
      </c>
      <c r="DZ216" s="15" t="s">
        <v>178</v>
      </c>
      <c r="EA216" s="22">
        <v>43607</v>
      </c>
      <c r="EB216" s="17">
        <v>1000</v>
      </c>
      <c r="EC216" s="22">
        <v>42319</v>
      </c>
      <c r="ED216" s="15" t="s">
        <v>173</v>
      </c>
      <c r="EE216" s="14" t="str">
        <f>HYPERLINK("https://my.pitchbook.com?c=54606-61", "View company online")</f>
        <v>View company online</v>
      </c>
    </row>
    <row r="217" spans="1:135">
      <c r="A217" s="28" t="s">
        <v>4799</v>
      </c>
      <c r="B217" s="28" t="s">
        <v>4800</v>
      </c>
      <c r="C217" s="28" t="s">
        <v>138</v>
      </c>
      <c r="D217" s="28" t="s">
        <v>138</v>
      </c>
      <c r="E217" s="28" t="s">
        <v>4801</v>
      </c>
      <c r="F217" s="28" t="s">
        <v>4799</v>
      </c>
      <c r="G217" s="28" t="s">
        <v>4802</v>
      </c>
      <c r="H217" s="28" t="s">
        <v>322</v>
      </c>
      <c r="I217" s="28" t="s">
        <v>323</v>
      </c>
      <c r="J217" s="28" t="s">
        <v>437</v>
      </c>
      <c r="K217" s="28" t="s">
        <v>4803</v>
      </c>
      <c r="L217" s="28" t="s">
        <v>4804</v>
      </c>
      <c r="M217" s="28" t="s">
        <v>4805</v>
      </c>
      <c r="N217" s="28" t="s">
        <v>147</v>
      </c>
      <c r="O217" s="29">
        <v>17</v>
      </c>
      <c r="P217" s="28" t="s">
        <v>148</v>
      </c>
      <c r="Q217" s="28" t="s">
        <v>149</v>
      </c>
      <c r="R217" s="28" t="s">
        <v>174</v>
      </c>
      <c r="S217" s="28" t="s">
        <v>4806</v>
      </c>
      <c r="T217" s="30">
        <v>201</v>
      </c>
      <c r="U217" s="28" t="s">
        <v>4807</v>
      </c>
      <c r="V217" s="28" t="s">
        <v>138</v>
      </c>
      <c r="W217" s="28" t="s">
        <v>138</v>
      </c>
      <c r="X217" s="31">
        <v>2007</v>
      </c>
      <c r="Y217" s="28" t="s">
        <v>138</v>
      </c>
      <c r="Z217" s="28" t="s">
        <v>138</v>
      </c>
      <c r="AA217" s="28" t="s">
        <v>138</v>
      </c>
      <c r="AB217" s="32" t="s">
        <v>138</v>
      </c>
      <c r="AC217" s="32" t="s">
        <v>138</v>
      </c>
      <c r="AD217" s="32" t="s">
        <v>138</v>
      </c>
      <c r="AE217" s="32" t="s">
        <v>138</v>
      </c>
      <c r="AF217" s="32" t="s">
        <v>138</v>
      </c>
      <c r="AG217" s="28" t="s">
        <v>138</v>
      </c>
      <c r="AH217" s="32" t="s">
        <v>138</v>
      </c>
      <c r="AI217" s="32" t="s">
        <v>138</v>
      </c>
      <c r="AJ217" s="32" t="s">
        <v>138</v>
      </c>
      <c r="AK217" s="28" t="s">
        <v>4808</v>
      </c>
      <c r="AL217" s="28" t="s">
        <v>4809</v>
      </c>
      <c r="AM217" s="28" t="s">
        <v>4810</v>
      </c>
      <c r="AN217" s="28" t="s">
        <v>4811</v>
      </c>
      <c r="AO217" s="28" t="s">
        <v>4812</v>
      </c>
      <c r="AP217" s="28" t="s">
        <v>4813</v>
      </c>
      <c r="AQ217" s="28" t="s">
        <v>4814</v>
      </c>
      <c r="AR217" s="28" t="s">
        <v>138</v>
      </c>
      <c r="AS217" s="28" t="s">
        <v>4815</v>
      </c>
      <c r="AT217" s="28" t="s">
        <v>4816</v>
      </c>
      <c r="AU217" s="28" t="s">
        <v>4817</v>
      </c>
      <c r="AV217" s="28" t="s">
        <v>4818</v>
      </c>
      <c r="AW217" s="28" t="s">
        <v>4812</v>
      </c>
      <c r="AX217" s="28" t="s">
        <v>4819</v>
      </c>
      <c r="AY217" s="28" t="s">
        <v>4820</v>
      </c>
      <c r="AZ217" s="28" t="s">
        <v>452</v>
      </c>
      <c r="BA217" s="28" t="s">
        <v>453</v>
      </c>
      <c r="BB217" s="28" t="s">
        <v>4821</v>
      </c>
      <c r="BC217" s="28" t="s">
        <v>4822</v>
      </c>
      <c r="BD217" s="33">
        <v>5</v>
      </c>
      <c r="BE217" s="28" t="s">
        <v>138</v>
      </c>
      <c r="BF217" s="28" t="s">
        <v>138</v>
      </c>
      <c r="BG217" s="28" t="s">
        <v>138</v>
      </c>
      <c r="BH217" s="28" t="s">
        <v>4823</v>
      </c>
      <c r="BI217" s="28" t="s">
        <v>138</v>
      </c>
      <c r="BJ217" s="28" t="s">
        <v>138</v>
      </c>
      <c r="BK217" s="28" t="s">
        <v>138</v>
      </c>
      <c r="BL217" s="28" t="s">
        <v>138</v>
      </c>
      <c r="BM217" s="34">
        <v>40287</v>
      </c>
      <c r="BN217" s="29">
        <v>2</v>
      </c>
      <c r="BO217" s="28" t="s">
        <v>172</v>
      </c>
      <c r="BP217" s="29" t="s">
        <v>138</v>
      </c>
      <c r="BQ217" s="28" t="s">
        <v>138</v>
      </c>
      <c r="BR217" s="28" t="s">
        <v>205</v>
      </c>
      <c r="BS217" s="28" t="s">
        <v>138</v>
      </c>
      <c r="BT217" s="28" t="s">
        <v>138</v>
      </c>
      <c r="BU217" s="28" t="s">
        <v>174</v>
      </c>
      <c r="BV217" s="28" t="s">
        <v>138</v>
      </c>
      <c r="BW217" s="28" t="s">
        <v>138</v>
      </c>
      <c r="BX217" s="28" t="s">
        <v>138</v>
      </c>
      <c r="BY217" s="28" t="s">
        <v>175</v>
      </c>
      <c r="BZ217" s="34">
        <v>41407</v>
      </c>
      <c r="CA217" s="29">
        <v>15</v>
      </c>
      <c r="CB217" s="28" t="s">
        <v>172</v>
      </c>
      <c r="CC217" s="29" t="s">
        <v>138</v>
      </c>
      <c r="CD217" s="28" t="s">
        <v>138</v>
      </c>
      <c r="CE217" s="28" t="s">
        <v>173</v>
      </c>
      <c r="CF217" s="28" t="s">
        <v>138</v>
      </c>
      <c r="CG217" s="28" t="s">
        <v>138</v>
      </c>
      <c r="CH217" s="28" t="s">
        <v>174</v>
      </c>
      <c r="CI217" s="28" t="s">
        <v>138</v>
      </c>
      <c r="CJ217" s="28" t="s">
        <v>138</v>
      </c>
      <c r="CK217" s="28" t="s">
        <v>138</v>
      </c>
      <c r="CL217" s="28" t="s">
        <v>175</v>
      </c>
      <c r="CM217" s="34" t="s">
        <v>138</v>
      </c>
      <c r="CN217" s="29" t="s">
        <v>138</v>
      </c>
      <c r="CO217" s="35">
        <v>-0.41</v>
      </c>
      <c r="CP217" s="36">
        <v>17</v>
      </c>
      <c r="CQ217" s="35">
        <v>-0.03</v>
      </c>
      <c r="CR217" s="35">
        <v>-8.5500000000000007</v>
      </c>
      <c r="CS217" s="35">
        <v>-0.82</v>
      </c>
      <c r="CT217" s="36">
        <v>17</v>
      </c>
      <c r="CU217" s="35">
        <v>0</v>
      </c>
      <c r="CV217" s="36">
        <v>22</v>
      </c>
      <c r="CW217" s="35">
        <v>0</v>
      </c>
      <c r="CX217" s="36">
        <v>13</v>
      </c>
      <c r="CY217" s="35">
        <v>-1.65</v>
      </c>
      <c r="CZ217" s="36">
        <v>14</v>
      </c>
      <c r="DA217" s="35">
        <v>0</v>
      </c>
      <c r="DB217" s="36">
        <v>22</v>
      </c>
      <c r="DC217" s="37">
        <v>2.74</v>
      </c>
      <c r="DD217" s="36">
        <v>73</v>
      </c>
      <c r="DE217" s="37">
        <v>-0.01</v>
      </c>
      <c r="DF217" s="35">
        <v>-0.22</v>
      </c>
      <c r="DG217" s="37">
        <v>5.22</v>
      </c>
      <c r="DH217" s="36">
        <v>83</v>
      </c>
      <c r="DI217" s="37">
        <v>0.27</v>
      </c>
      <c r="DJ217" s="36">
        <v>26</v>
      </c>
      <c r="DK217" s="37">
        <v>0.62</v>
      </c>
      <c r="DL217" s="36">
        <v>39</v>
      </c>
      <c r="DM217" s="37">
        <v>9.83</v>
      </c>
      <c r="DN217" s="36">
        <v>88</v>
      </c>
      <c r="DO217" s="37">
        <v>0.27</v>
      </c>
      <c r="DP217" s="36">
        <v>28</v>
      </c>
      <c r="DQ217" s="36">
        <v>212</v>
      </c>
      <c r="DR217" s="38">
        <v>8</v>
      </c>
      <c r="DS217" s="35">
        <v>3.92</v>
      </c>
      <c r="DT217" s="36">
        <v>286</v>
      </c>
      <c r="DU217" s="38">
        <v>-3</v>
      </c>
      <c r="DV217" s="35">
        <v>-1.04</v>
      </c>
      <c r="DW217" s="36">
        <v>95</v>
      </c>
      <c r="DX217" s="39">
        <v>0</v>
      </c>
      <c r="DY217" s="35">
        <v>0</v>
      </c>
      <c r="DZ217" s="28" t="s">
        <v>178</v>
      </c>
      <c r="EA217" s="34">
        <v>43351</v>
      </c>
      <c r="EB217" s="29" t="s">
        <v>138</v>
      </c>
      <c r="EC217" s="34" t="s">
        <v>138</v>
      </c>
      <c r="ED217" s="28" t="s">
        <v>138</v>
      </c>
      <c r="EE217" s="40" t="str">
        <f>HYPERLINK("https://my.pitchbook.com?c=56918-08", "View company online")</f>
        <v>View company online</v>
      </c>
    </row>
    <row r="218" spans="1:135">
      <c r="A218" s="15" t="s">
        <v>4824</v>
      </c>
      <c r="B218" s="15" t="s">
        <v>4825</v>
      </c>
      <c r="C218" s="15" t="s">
        <v>138</v>
      </c>
      <c r="D218" s="15" t="s">
        <v>138</v>
      </c>
      <c r="E218" s="15" t="s">
        <v>138</v>
      </c>
      <c r="F218" s="15" t="s">
        <v>4824</v>
      </c>
      <c r="G218" s="15" t="s">
        <v>4826</v>
      </c>
      <c r="H218" s="15" t="s">
        <v>385</v>
      </c>
      <c r="I218" s="15" t="s">
        <v>386</v>
      </c>
      <c r="J218" s="15" t="s">
        <v>387</v>
      </c>
      <c r="K218" s="15" t="s">
        <v>4827</v>
      </c>
      <c r="L218" s="15" t="s">
        <v>4828</v>
      </c>
      <c r="M218" s="15" t="s">
        <v>4829</v>
      </c>
      <c r="N218" s="15" t="s">
        <v>147</v>
      </c>
      <c r="O218" s="17">
        <v>30.17</v>
      </c>
      <c r="P218" s="15" t="s">
        <v>148</v>
      </c>
      <c r="Q218" s="15" t="s">
        <v>149</v>
      </c>
      <c r="R218" s="15" t="s">
        <v>174</v>
      </c>
      <c r="S218" s="15" t="s">
        <v>4830</v>
      </c>
      <c r="T218" s="18">
        <v>20</v>
      </c>
      <c r="U218" s="15" t="s">
        <v>4831</v>
      </c>
      <c r="V218" s="15" t="s">
        <v>138</v>
      </c>
      <c r="W218" s="15" t="s">
        <v>138</v>
      </c>
      <c r="X218" s="19">
        <v>2008</v>
      </c>
      <c r="Y218" s="15" t="s">
        <v>138</v>
      </c>
      <c r="Z218" s="15" t="s">
        <v>138</v>
      </c>
      <c r="AA218" s="15" t="s">
        <v>138</v>
      </c>
      <c r="AB218" s="20">
        <v>66.319999999999993</v>
      </c>
      <c r="AC218" s="20" t="s">
        <v>138</v>
      </c>
      <c r="AD218" s="20" t="s">
        <v>138</v>
      </c>
      <c r="AE218" s="20" t="s">
        <v>138</v>
      </c>
      <c r="AF218" s="20" t="s">
        <v>138</v>
      </c>
      <c r="AG218" s="15" t="s">
        <v>563</v>
      </c>
      <c r="AH218" s="20" t="s">
        <v>138</v>
      </c>
      <c r="AI218" s="20" t="s">
        <v>138</v>
      </c>
      <c r="AJ218" s="20" t="s">
        <v>138</v>
      </c>
      <c r="AK218" s="15" t="s">
        <v>4832</v>
      </c>
      <c r="AL218" s="15" t="s">
        <v>4833</v>
      </c>
      <c r="AM218" s="15" t="s">
        <v>4834</v>
      </c>
      <c r="AN218" s="15" t="s">
        <v>4835</v>
      </c>
      <c r="AO218" s="15" t="s">
        <v>4836</v>
      </c>
      <c r="AP218" s="15" t="s">
        <v>941</v>
      </c>
      <c r="AQ218" s="15" t="s">
        <v>4837</v>
      </c>
      <c r="AR218" s="15" t="s">
        <v>138</v>
      </c>
      <c r="AS218" s="15" t="s">
        <v>944</v>
      </c>
      <c r="AT218" s="15" t="s">
        <v>138</v>
      </c>
      <c r="AU218" s="15" t="s">
        <v>4838</v>
      </c>
      <c r="AV218" s="15" t="s">
        <v>946</v>
      </c>
      <c r="AW218" s="15" t="s">
        <v>4836</v>
      </c>
      <c r="AX218" s="15" t="s">
        <v>4839</v>
      </c>
      <c r="AY218" s="15" t="s">
        <v>4840</v>
      </c>
      <c r="AZ218" s="15" t="s">
        <v>530</v>
      </c>
      <c r="BA218" s="15" t="s">
        <v>531</v>
      </c>
      <c r="BB218" s="15" t="s">
        <v>4841</v>
      </c>
      <c r="BC218" s="15" t="s">
        <v>4842</v>
      </c>
      <c r="BD218" s="21">
        <v>7</v>
      </c>
      <c r="BE218" s="15" t="s">
        <v>138</v>
      </c>
      <c r="BF218" s="15" t="s">
        <v>138</v>
      </c>
      <c r="BG218" s="15" t="s">
        <v>138</v>
      </c>
      <c r="BH218" s="15" t="s">
        <v>4843</v>
      </c>
      <c r="BI218" s="15" t="s">
        <v>138</v>
      </c>
      <c r="BJ218" s="15" t="s">
        <v>138</v>
      </c>
      <c r="BK218" s="15" t="s">
        <v>138</v>
      </c>
      <c r="BL218" s="15" t="s">
        <v>4844</v>
      </c>
      <c r="BM218" s="22">
        <v>40353</v>
      </c>
      <c r="BN218" s="17">
        <v>2.2000000000000002</v>
      </c>
      <c r="BO218" s="15" t="s">
        <v>172</v>
      </c>
      <c r="BP218" s="17" t="s">
        <v>138</v>
      </c>
      <c r="BQ218" s="15" t="s">
        <v>138</v>
      </c>
      <c r="BR218" s="15" t="s">
        <v>205</v>
      </c>
      <c r="BS218" s="15" t="s">
        <v>206</v>
      </c>
      <c r="BT218" s="15" t="s">
        <v>138</v>
      </c>
      <c r="BU218" s="15" t="s">
        <v>174</v>
      </c>
      <c r="BV218" s="15" t="s">
        <v>138</v>
      </c>
      <c r="BW218" s="15" t="s">
        <v>138</v>
      </c>
      <c r="BX218" s="15" t="s">
        <v>138</v>
      </c>
      <c r="BY218" s="15" t="s">
        <v>175</v>
      </c>
      <c r="BZ218" s="22">
        <v>43529</v>
      </c>
      <c r="CA218" s="17">
        <v>23.3</v>
      </c>
      <c r="CB218" s="15" t="s">
        <v>172</v>
      </c>
      <c r="CC218" s="17" t="s">
        <v>138</v>
      </c>
      <c r="CD218" s="15" t="s">
        <v>138</v>
      </c>
      <c r="CE218" s="15" t="s">
        <v>173</v>
      </c>
      <c r="CF218" s="15" t="s">
        <v>317</v>
      </c>
      <c r="CG218" s="15" t="s">
        <v>138</v>
      </c>
      <c r="CH218" s="15" t="s">
        <v>174</v>
      </c>
      <c r="CI218" s="15" t="s">
        <v>138</v>
      </c>
      <c r="CJ218" s="15" t="s">
        <v>138</v>
      </c>
      <c r="CK218" s="15" t="s">
        <v>138</v>
      </c>
      <c r="CL218" s="15" t="s">
        <v>175</v>
      </c>
      <c r="CM218" s="22" t="s">
        <v>138</v>
      </c>
      <c r="CN218" s="17" t="s">
        <v>138</v>
      </c>
      <c r="CO218" s="23">
        <v>0.21</v>
      </c>
      <c r="CP218" s="24">
        <v>92</v>
      </c>
      <c r="CQ218" s="23">
        <v>-0.09</v>
      </c>
      <c r="CR218" s="23">
        <v>-30.5</v>
      </c>
      <c r="CS218" s="23">
        <v>0.03</v>
      </c>
      <c r="CT218" s="24">
        <v>94</v>
      </c>
      <c r="CU218" s="23">
        <v>0.4</v>
      </c>
      <c r="CV218" s="24">
        <v>91</v>
      </c>
      <c r="CW218" s="23" t="s">
        <v>138</v>
      </c>
      <c r="CX218" s="24" t="s">
        <v>138</v>
      </c>
      <c r="CY218" s="23">
        <v>0.03</v>
      </c>
      <c r="CZ218" s="24">
        <v>97</v>
      </c>
      <c r="DA218" s="23">
        <v>0.7</v>
      </c>
      <c r="DB218" s="24">
        <v>96</v>
      </c>
      <c r="DC218" s="25">
        <v>12.24</v>
      </c>
      <c r="DD218" s="24">
        <v>92</v>
      </c>
      <c r="DE218" s="25">
        <v>0.09</v>
      </c>
      <c r="DF218" s="23">
        <v>0.75</v>
      </c>
      <c r="DG218" s="25">
        <v>20</v>
      </c>
      <c r="DH218" s="24">
        <v>95</v>
      </c>
      <c r="DI218" s="25">
        <v>4.47</v>
      </c>
      <c r="DJ218" s="24">
        <v>76</v>
      </c>
      <c r="DK218" s="25" t="s">
        <v>138</v>
      </c>
      <c r="DL218" s="24" t="s">
        <v>138</v>
      </c>
      <c r="DM218" s="25">
        <v>20</v>
      </c>
      <c r="DN218" s="24">
        <v>94</v>
      </c>
      <c r="DO218" s="25">
        <v>4.97</v>
      </c>
      <c r="DP218" s="24">
        <v>79</v>
      </c>
      <c r="DQ218" s="24" t="s">
        <v>138</v>
      </c>
      <c r="DR218" s="26" t="s">
        <v>138</v>
      </c>
      <c r="DS218" s="23" t="s">
        <v>138</v>
      </c>
      <c r="DT218" s="24">
        <v>578</v>
      </c>
      <c r="DU218" s="26">
        <v>2</v>
      </c>
      <c r="DV218" s="23">
        <v>0.35</v>
      </c>
      <c r="DW218" s="24">
        <v>1768</v>
      </c>
      <c r="DX218" s="27">
        <v>24</v>
      </c>
      <c r="DY218" s="23">
        <v>1.38</v>
      </c>
      <c r="DZ218" s="15" t="s">
        <v>178</v>
      </c>
      <c r="EA218" s="22">
        <v>43570</v>
      </c>
      <c r="EB218" s="17" t="s">
        <v>138</v>
      </c>
      <c r="EC218" s="22" t="s">
        <v>138</v>
      </c>
      <c r="ED218" s="15" t="s">
        <v>138</v>
      </c>
      <c r="EE218" s="14" t="str">
        <f>HYPERLINK("https://my.pitchbook.com?c=59983-75", "View company online")</f>
        <v>View company online</v>
      </c>
    </row>
    <row r="219" spans="1:135">
      <c r="A219" s="28" t="s">
        <v>4845</v>
      </c>
      <c r="B219" s="28" t="s">
        <v>4846</v>
      </c>
      <c r="C219" s="28" t="s">
        <v>138</v>
      </c>
      <c r="D219" s="28" t="s">
        <v>138</v>
      </c>
      <c r="E219" s="28" t="s">
        <v>138</v>
      </c>
      <c r="F219" s="28" t="s">
        <v>4845</v>
      </c>
      <c r="G219" s="28" t="s">
        <v>4847</v>
      </c>
      <c r="H219" s="28" t="s">
        <v>322</v>
      </c>
      <c r="I219" s="28" t="s">
        <v>323</v>
      </c>
      <c r="J219" s="28" t="s">
        <v>1132</v>
      </c>
      <c r="K219" s="28" t="s">
        <v>4848</v>
      </c>
      <c r="L219" s="28" t="s">
        <v>215</v>
      </c>
      <c r="M219" s="28" t="s">
        <v>4849</v>
      </c>
      <c r="N219" s="28" t="s">
        <v>147</v>
      </c>
      <c r="O219" s="29">
        <v>0.25</v>
      </c>
      <c r="P219" s="28" t="s">
        <v>610</v>
      </c>
      <c r="Q219" s="28" t="s">
        <v>149</v>
      </c>
      <c r="R219" s="28" t="s">
        <v>174</v>
      </c>
      <c r="S219" s="28" t="s">
        <v>4850</v>
      </c>
      <c r="T219" s="30">
        <v>4</v>
      </c>
      <c r="U219" s="28" t="s">
        <v>4851</v>
      </c>
      <c r="V219" s="28" t="s">
        <v>138</v>
      </c>
      <c r="W219" s="28" t="s">
        <v>138</v>
      </c>
      <c r="X219" s="31">
        <v>2010</v>
      </c>
      <c r="Y219" s="28" t="s">
        <v>138</v>
      </c>
      <c r="Z219" s="28" t="s">
        <v>138</v>
      </c>
      <c r="AA219" s="28" t="s">
        <v>138</v>
      </c>
      <c r="AB219" s="32" t="s">
        <v>138</v>
      </c>
      <c r="AC219" s="32" t="s">
        <v>138</v>
      </c>
      <c r="AD219" s="32" t="s">
        <v>138</v>
      </c>
      <c r="AE219" s="32" t="s">
        <v>138</v>
      </c>
      <c r="AF219" s="32" t="s">
        <v>138</v>
      </c>
      <c r="AG219" s="28" t="s">
        <v>138</v>
      </c>
      <c r="AH219" s="32" t="s">
        <v>138</v>
      </c>
      <c r="AI219" s="32" t="s">
        <v>138</v>
      </c>
      <c r="AJ219" s="32" t="s">
        <v>138</v>
      </c>
      <c r="AK219" s="28" t="s">
        <v>4852</v>
      </c>
      <c r="AL219" s="28" t="s">
        <v>4853</v>
      </c>
      <c r="AM219" s="28" t="s">
        <v>304</v>
      </c>
      <c r="AN219" s="28" t="s">
        <v>4854</v>
      </c>
      <c r="AO219" s="28" t="s">
        <v>4855</v>
      </c>
      <c r="AP219" s="28" t="s">
        <v>1195</v>
      </c>
      <c r="AQ219" s="28" t="s">
        <v>4856</v>
      </c>
      <c r="AR219" s="28" t="s">
        <v>4857</v>
      </c>
      <c r="AS219" s="28" t="s">
        <v>1198</v>
      </c>
      <c r="AT219" s="28" t="s">
        <v>4858</v>
      </c>
      <c r="AU219" s="28" t="s">
        <v>4859</v>
      </c>
      <c r="AV219" s="28" t="s">
        <v>1200</v>
      </c>
      <c r="AW219" s="28" t="s">
        <v>4855</v>
      </c>
      <c r="AX219" s="28" t="s">
        <v>4860</v>
      </c>
      <c r="AY219" s="28" t="s">
        <v>4861</v>
      </c>
      <c r="AZ219" s="28" t="s">
        <v>452</v>
      </c>
      <c r="BA219" s="28" t="s">
        <v>453</v>
      </c>
      <c r="BB219" s="28" t="s">
        <v>4862</v>
      </c>
      <c r="BC219" s="28" t="s">
        <v>4863</v>
      </c>
      <c r="BD219" s="33">
        <v>4</v>
      </c>
      <c r="BE219" s="28" t="s">
        <v>138</v>
      </c>
      <c r="BF219" s="28" t="s">
        <v>138</v>
      </c>
      <c r="BG219" s="28" t="s">
        <v>138</v>
      </c>
      <c r="BH219" s="28" t="s">
        <v>4864</v>
      </c>
      <c r="BI219" s="28" t="s">
        <v>138</v>
      </c>
      <c r="BJ219" s="28" t="s">
        <v>138</v>
      </c>
      <c r="BK219" s="28" t="s">
        <v>138</v>
      </c>
      <c r="BL219" s="28" t="s">
        <v>138</v>
      </c>
      <c r="BM219" s="34">
        <v>40664</v>
      </c>
      <c r="BN219" s="29">
        <v>0.25</v>
      </c>
      <c r="BO219" s="28" t="s">
        <v>172</v>
      </c>
      <c r="BP219" s="29" t="s">
        <v>138</v>
      </c>
      <c r="BQ219" s="28" t="s">
        <v>138</v>
      </c>
      <c r="BR219" s="28" t="s">
        <v>234</v>
      </c>
      <c r="BS219" s="28" t="s">
        <v>234</v>
      </c>
      <c r="BT219" s="28" t="s">
        <v>138</v>
      </c>
      <c r="BU219" s="28" t="s">
        <v>174</v>
      </c>
      <c r="BV219" s="28" t="s">
        <v>138</v>
      </c>
      <c r="BW219" s="28" t="s">
        <v>138</v>
      </c>
      <c r="BX219" s="28" t="s">
        <v>138</v>
      </c>
      <c r="BY219" s="28" t="s">
        <v>175</v>
      </c>
      <c r="BZ219" s="34">
        <v>41092</v>
      </c>
      <c r="CA219" s="29" t="s">
        <v>138</v>
      </c>
      <c r="CB219" s="28" t="s">
        <v>138</v>
      </c>
      <c r="CC219" s="29" t="s">
        <v>138</v>
      </c>
      <c r="CD219" s="28" t="s">
        <v>138</v>
      </c>
      <c r="CE219" s="28" t="s">
        <v>205</v>
      </c>
      <c r="CF219" s="28" t="s">
        <v>138</v>
      </c>
      <c r="CG219" s="28" t="s">
        <v>138</v>
      </c>
      <c r="CH219" s="28" t="s">
        <v>174</v>
      </c>
      <c r="CI219" s="28" t="s">
        <v>138</v>
      </c>
      <c r="CJ219" s="28" t="s">
        <v>138</v>
      </c>
      <c r="CK219" s="28" t="s">
        <v>138</v>
      </c>
      <c r="CL219" s="28" t="s">
        <v>175</v>
      </c>
      <c r="CM219" s="34" t="s">
        <v>138</v>
      </c>
      <c r="CN219" s="29" t="s">
        <v>138</v>
      </c>
      <c r="CO219" s="35">
        <v>-4.03</v>
      </c>
      <c r="CP219" s="36">
        <v>2</v>
      </c>
      <c r="CQ219" s="35">
        <v>0</v>
      </c>
      <c r="CR219" s="35">
        <v>0</v>
      </c>
      <c r="CS219" s="35">
        <v>-8.0500000000000007</v>
      </c>
      <c r="CT219" s="36">
        <v>1</v>
      </c>
      <c r="CU219" s="35">
        <v>0</v>
      </c>
      <c r="CV219" s="36">
        <v>22</v>
      </c>
      <c r="CW219" s="35" t="s">
        <v>138</v>
      </c>
      <c r="CX219" s="36" t="s">
        <v>138</v>
      </c>
      <c r="CY219" s="35">
        <v>-8.0500000000000007</v>
      </c>
      <c r="CZ219" s="36">
        <v>1</v>
      </c>
      <c r="DA219" s="35">
        <v>0</v>
      </c>
      <c r="DB219" s="36">
        <v>22</v>
      </c>
      <c r="DC219" s="37">
        <v>9.49</v>
      </c>
      <c r="DD219" s="36">
        <v>89</v>
      </c>
      <c r="DE219" s="37">
        <v>0</v>
      </c>
      <c r="DF219" s="35">
        <v>-0.05</v>
      </c>
      <c r="DG219" s="37">
        <v>10</v>
      </c>
      <c r="DH219" s="36">
        <v>89</v>
      </c>
      <c r="DI219" s="37">
        <v>8.98</v>
      </c>
      <c r="DJ219" s="36">
        <v>84</v>
      </c>
      <c r="DK219" s="37" t="s">
        <v>138</v>
      </c>
      <c r="DL219" s="36" t="s">
        <v>138</v>
      </c>
      <c r="DM219" s="37">
        <v>10</v>
      </c>
      <c r="DN219" s="36">
        <v>89</v>
      </c>
      <c r="DO219" s="37">
        <v>0.04</v>
      </c>
      <c r="DP219" s="36">
        <v>8</v>
      </c>
      <c r="DQ219" s="36" t="s">
        <v>138</v>
      </c>
      <c r="DR219" s="38" t="s">
        <v>138</v>
      </c>
      <c r="DS219" s="35" t="s">
        <v>138</v>
      </c>
      <c r="DT219" s="36">
        <v>290</v>
      </c>
      <c r="DU219" s="38">
        <v>0</v>
      </c>
      <c r="DV219" s="35">
        <v>0</v>
      </c>
      <c r="DW219" s="36">
        <v>16</v>
      </c>
      <c r="DX219" s="39">
        <v>0</v>
      </c>
      <c r="DY219" s="35">
        <v>0</v>
      </c>
      <c r="DZ219" s="28" t="s">
        <v>178</v>
      </c>
      <c r="EA219" s="34">
        <v>43351</v>
      </c>
      <c r="EB219" s="29" t="s">
        <v>138</v>
      </c>
      <c r="EC219" s="34" t="s">
        <v>138</v>
      </c>
      <c r="ED219" s="28" t="s">
        <v>138</v>
      </c>
      <c r="EE219" s="40" t="str">
        <f>HYPERLINK("https://my.pitchbook.com?c=96885-82", "View company online")</f>
        <v>View company online</v>
      </c>
    </row>
    <row r="220" spans="1:135">
      <c r="A220" s="15" t="s">
        <v>4865</v>
      </c>
      <c r="B220" s="15" t="s">
        <v>4866</v>
      </c>
      <c r="C220" s="15" t="s">
        <v>4867</v>
      </c>
      <c r="D220" s="15" t="s">
        <v>138</v>
      </c>
      <c r="E220" s="15" t="s">
        <v>4868</v>
      </c>
      <c r="F220" s="15" t="s">
        <v>4865</v>
      </c>
      <c r="G220" s="15" t="s">
        <v>4869</v>
      </c>
      <c r="H220" s="15" t="s">
        <v>322</v>
      </c>
      <c r="I220" s="15" t="s">
        <v>323</v>
      </c>
      <c r="J220" s="15" t="s">
        <v>324</v>
      </c>
      <c r="K220" s="15" t="s">
        <v>1543</v>
      </c>
      <c r="L220" s="15" t="s">
        <v>4870</v>
      </c>
      <c r="M220" s="15" t="s">
        <v>4871</v>
      </c>
      <c r="N220" s="15" t="s">
        <v>147</v>
      </c>
      <c r="O220" s="17">
        <v>39.6</v>
      </c>
      <c r="P220" s="15" t="s">
        <v>148</v>
      </c>
      <c r="Q220" s="15" t="s">
        <v>149</v>
      </c>
      <c r="R220" s="15" t="s">
        <v>174</v>
      </c>
      <c r="S220" s="15" t="s">
        <v>4872</v>
      </c>
      <c r="T220" s="18">
        <v>30</v>
      </c>
      <c r="U220" s="15" t="s">
        <v>1431</v>
      </c>
      <c r="V220" s="15" t="s">
        <v>138</v>
      </c>
      <c r="W220" s="15" t="s">
        <v>138</v>
      </c>
      <c r="X220" s="19">
        <v>2010</v>
      </c>
      <c r="Y220" s="15" t="s">
        <v>138</v>
      </c>
      <c r="Z220" s="15" t="s">
        <v>138</v>
      </c>
      <c r="AA220" s="15" t="s">
        <v>138</v>
      </c>
      <c r="AB220" s="20" t="s">
        <v>138</v>
      </c>
      <c r="AC220" s="20" t="s">
        <v>138</v>
      </c>
      <c r="AD220" s="20" t="s">
        <v>138</v>
      </c>
      <c r="AE220" s="20" t="s">
        <v>138</v>
      </c>
      <c r="AF220" s="20" t="s">
        <v>138</v>
      </c>
      <c r="AG220" s="15" t="s">
        <v>138</v>
      </c>
      <c r="AH220" s="20" t="s">
        <v>138</v>
      </c>
      <c r="AI220" s="20" t="s">
        <v>138</v>
      </c>
      <c r="AJ220" s="20" t="s">
        <v>138</v>
      </c>
      <c r="AK220" s="15" t="s">
        <v>4873</v>
      </c>
      <c r="AL220" s="15" t="s">
        <v>4874</v>
      </c>
      <c r="AM220" s="15" t="s">
        <v>249</v>
      </c>
      <c r="AN220" s="15" t="s">
        <v>4875</v>
      </c>
      <c r="AO220" s="15" t="s">
        <v>138</v>
      </c>
      <c r="AP220" s="15" t="s">
        <v>4876</v>
      </c>
      <c r="AQ220" s="15" t="s">
        <v>4877</v>
      </c>
      <c r="AR220" s="15" t="s">
        <v>138</v>
      </c>
      <c r="AS220" s="15" t="s">
        <v>4878</v>
      </c>
      <c r="AT220" s="15" t="s">
        <v>200</v>
      </c>
      <c r="AU220" s="15" t="s">
        <v>4879</v>
      </c>
      <c r="AV220" s="15" t="s">
        <v>162</v>
      </c>
      <c r="AW220" s="15" t="s">
        <v>138</v>
      </c>
      <c r="AX220" s="15" t="s">
        <v>138</v>
      </c>
      <c r="AY220" s="15" t="s">
        <v>4880</v>
      </c>
      <c r="AZ220" s="15" t="s">
        <v>164</v>
      </c>
      <c r="BA220" s="15" t="s">
        <v>165</v>
      </c>
      <c r="BB220" s="15" t="s">
        <v>4881</v>
      </c>
      <c r="BC220" s="15" t="s">
        <v>4882</v>
      </c>
      <c r="BD220" s="21">
        <v>17</v>
      </c>
      <c r="BE220" s="15" t="s">
        <v>138</v>
      </c>
      <c r="BF220" s="15" t="s">
        <v>138</v>
      </c>
      <c r="BG220" s="15" t="s">
        <v>138</v>
      </c>
      <c r="BH220" s="15" t="s">
        <v>4883</v>
      </c>
      <c r="BI220" s="15" t="s">
        <v>138</v>
      </c>
      <c r="BJ220" s="15" t="s">
        <v>138</v>
      </c>
      <c r="BK220" s="15" t="s">
        <v>4884</v>
      </c>
      <c r="BL220" s="15" t="s">
        <v>138</v>
      </c>
      <c r="BM220" s="22" t="s">
        <v>138</v>
      </c>
      <c r="BN220" s="17" t="s">
        <v>138</v>
      </c>
      <c r="BO220" s="15" t="s">
        <v>138</v>
      </c>
      <c r="BP220" s="17" t="s">
        <v>138</v>
      </c>
      <c r="BQ220" s="15" t="s">
        <v>138</v>
      </c>
      <c r="BR220" s="15" t="s">
        <v>316</v>
      </c>
      <c r="BS220" s="15" t="s">
        <v>138</v>
      </c>
      <c r="BT220" s="15" t="s">
        <v>138</v>
      </c>
      <c r="BU220" s="15" t="s">
        <v>177</v>
      </c>
      <c r="BV220" s="15" t="s">
        <v>138</v>
      </c>
      <c r="BW220" s="15" t="s">
        <v>138</v>
      </c>
      <c r="BX220" s="15" t="s">
        <v>138</v>
      </c>
      <c r="BY220" s="15" t="s">
        <v>175</v>
      </c>
      <c r="BZ220" s="22">
        <v>41764</v>
      </c>
      <c r="CA220" s="17">
        <v>8</v>
      </c>
      <c r="CB220" s="15" t="s">
        <v>172</v>
      </c>
      <c r="CC220" s="17">
        <v>95.77</v>
      </c>
      <c r="CD220" s="15" t="s">
        <v>172</v>
      </c>
      <c r="CE220" s="15" t="s">
        <v>173</v>
      </c>
      <c r="CF220" s="15" t="s">
        <v>408</v>
      </c>
      <c r="CG220" s="15" t="s">
        <v>138</v>
      </c>
      <c r="CH220" s="15" t="s">
        <v>174</v>
      </c>
      <c r="CI220" s="15" t="s">
        <v>138</v>
      </c>
      <c r="CJ220" s="15" t="s">
        <v>138</v>
      </c>
      <c r="CK220" s="15" t="s">
        <v>138</v>
      </c>
      <c r="CL220" s="15" t="s">
        <v>175</v>
      </c>
      <c r="CM220" s="22" t="s">
        <v>138</v>
      </c>
      <c r="CN220" s="17" t="s">
        <v>138</v>
      </c>
      <c r="CO220" s="23">
        <v>-0.26</v>
      </c>
      <c r="CP220" s="24">
        <v>19</v>
      </c>
      <c r="CQ220" s="23">
        <v>0</v>
      </c>
      <c r="CR220" s="23">
        <v>1.5</v>
      </c>
      <c r="CS220" s="23">
        <v>-0.75</v>
      </c>
      <c r="CT220" s="24">
        <v>17</v>
      </c>
      <c r="CU220" s="23">
        <v>-0.02</v>
      </c>
      <c r="CV220" s="24">
        <v>17</v>
      </c>
      <c r="CW220" s="23">
        <v>4.05</v>
      </c>
      <c r="CX220" s="24">
        <v>94</v>
      </c>
      <c r="CY220" s="23">
        <v>-5.56</v>
      </c>
      <c r="CZ220" s="24">
        <v>3</v>
      </c>
      <c r="DA220" s="23">
        <v>-0.01</v>
      </c>
      <c r="DB220" s="24">
        <v>21</v>
      </c>
      <c r="DC220" s="25">
        <v>8.0500000000000007</v>
      </c>
      <c r="DD220" s="24">
        <v>88</v>
      </c>
      <c r="DE220" s="25">
        <v>-0.06</v>
      </c>
      <c r="DF220" s="23">
        <v>-0.68</v>
      </c>
      <c r="DG220" s="25">
        <v>11.97</v>
      </c>
      <c r="DH220" s="24">
        <v>91</v>
      </c>
      <c r="DI220" s="25">
        <v>12.03</v>
      </c>
      <c r="DJ220" s="24">
        <v>87</v>
      </c>
      <c r="DK220" s="25">
        <v>4.07</v>
      </c>
      <c r="DL220" s="24">
        <v>76</v>
      </c>
      <c r="DM220" s="25">
        <v>19.86</v>
      </c>
      <c r="DN220" s="24">
        <v>94</v>
      </c>
      <c r="DO220" s="25">
        <v>20.350000000000001</v>
      </c>
      <c r="DP220" s="24">
        <v>93</v>
      </c>
      <c r="DQ220" s="24">
        <v>1365</v>
      </c>
      <c r="DR220" s="26">
        <v>92</v>
      </c>
      <c r="DS220" s="23">
        <v>7.23</v>
      </c>
      <c r="DT220" s="24">
        <v>575</v>
      </c>
      <c r="DU220" s="26">
        <v>1</v>
      </c>
      <c r="DV220" s="23">
        <v>0.17</v>
      </c>
      <c r="DW220" s="24">
        <v>7285</v>
      </c>
      <c r="DX220" s="27">
        <v>-1</v>
      </c>
      <c r="DY220" s="23">
        <v>-0.01</v>
      </c>
      <c r="DZ220" s="15" t="s">
        <v>178</v>
      </c>
      <c r="EA220" s="22">
        <v>43622</v>
      </c>
      <c r="EB220" s="17">
        <v>95.77</v>
      </c>
      <c r="EC220" s="22">
        <v>41764</v>
      </c>
      <c r="ED220" s="15" t="s">
        <v>173</v>
      </c>
      <c r="EE220" s="14" t="str">
        <f>HYPERLINK("https://my.pitchbook.com?c=51546-88", "View company online")</f>
        <v>View company online</v>
      </c>
    </row>
    <row r="221" spans="1:135">
      <c r="A221" s="28" t="s">
        <v>4885</v>
      </c>
      <c r="B221" s="28" t="s">
        <v>4886</v>
      </c>
      <c r="C221" s="28" t="s">
        <v>138</v>
      </c>
      <c r="D221" s="28" t="s">
        <v>138</v>
      </c>
      <c r="E221" s="28" t="s">
        <v>4887</v>
      </c>
      <c r="F221" s="28" t="s">
        <v>4885</v>
      </c>
      <c r="G221" s="28" t="s">
        <v>4888</v>
      </c>
      <c r="H221" s="28" t="s">
        <v>322</v>
      </c>
      <c r="I221" s="28" t="s">
        <v>1503</v>
      </c>
      <c r="J221" s="28" t="s">
        <v>1504</v>
      </c>
      <c r="K221" s="28" t="s">
        <v>4889</v>
      </c>
      <c r="L221" s="28" t="s">
        <v>1972</v>
      </c>
      <c r="M221" s="28" t="s">
        <v>4890</v>
      </c>
      <c r="N221" s="28" t="s">
        <v>147</v>
      </c>
      <c r="O221" s="29">
        <v>54.99</v>
      </c>
      <c r="P221" s="28" t="s">
        <v>148</v>
      </c>
      <c r="Q221" s="28" t="s">
        <v>149</v>
      </c>
      <c r="R221" s="28" t="s">
        <v>244</v>
      </c>
      <c r="S221" s="28" t="s">
        <v>4891</v>
      </c>
      <c r="T221" s="30">
        <v>22</v>
      </c>
      <c r="U221" s="28" t="s">
        <v>4892</v>
      </c>
      <c r="V221" s="28" t="s">
        <v>138</v>
      </c>
      <c r="W221" s="28" t="s">
        <v>138</v>
      </c>
      <c r="X221" s="31">
        <v>2011</v>
      </c>
      <c r="Y221" s="28" t="s">
        <v>138</v>
      </c>
      <c r="Z221" s="28" t="s">
        <v>138</v>
      </c>
      <c r="AA221" s="28" t="s">
        <v>138</v>
      </c>
      <c r="AB221" s="32" t="s">
        <v>138</v>
      </c>
      <c r="AC221" s="32" t="s">
        <v>138</v>
      </c>
      <c r="AD221" s="32" t="s">
        <v>138</v>
      </c>
      <c r="AE221" s="32" t="s">
        <v>138</v>
      </c>
      <c r="AF221" s="32" t="s">
        <v>138</v>
      </c>
      <c r="AG221" s="28" t="s">
        <v>138</v>
      </c>
      <c r="AH221" s="32" t="s">
        <v>138</v>
      </c>
      <c r="AI221" s="32" t="s">
        <v>138</v>
      </c>
      <c r="AJ221" s="32" t="s">
        <v>138</v>
      </c>
      <c r="AK221" s="28" t="s">
        <v>4893</v>
      </c>
      <c r="AL221" s="28" t="s">
        <v>4894</v>
      </c>
      <c r="AM221" s="28" t="s">
        <v>4895</v>
      </c>
      <c r="AN221" s="28" t="s">
        <v>4896</v>
      </c>
      <c r="AO221" s="28" t="s">
        <v>4897</v>
      </c>
      <c r="AP221" s="28" t="s">
        <v>4898</v>
      </c>
      <c r="AQ221" s="28" t="s">
        <v>4899</v>
      </c>
      <c r="AR221" s="28" t="s">
        <v>1459</v>
      </c>
      <c r="AS221" s="28" t="s">
        <v>4900</v>
      </c>
      <c r="AT221" s="28" t="s">
        <v>200</v>
      </c>
      <c r="AU221" s="28" t="s">
        <v>4901</v>
      </c>
      <c r="AV221" s="28" t="s">
        <v>162</v>
      </c>
      <c r="AW221" s="28" t="s">
        <v>4897</v>
      </c>
      <c r="AX221" s="28" t="s">
        <v>138</v>
      </c>
      <c r="AY221" s="28" t="s">
        <v>138</v>
      </c>
      <c r="AZ221" s="28" t="s">
        <v>164</v>
      </c>
      <c r="BA221" s="28" t="s">
        <v>165</v>
      </c>
      <c r="BB221" s="28" t="s">
        <v>4902</v>
      </c>
      <c r="BC221" s="28" t="s">
        <v>4903</v>
      </c>
      <c r="BD221" s="33">
        <v>26</v>
      </c>
      <c r="BE221" s="28" t="s">
        <v>138</v>
      </c>
      <c r="BF221" s="28" t="s">
        <v>138</v>
      </c>
      <c r="BG221" s="28" t="s">
        <v>138</v>
      </c>
      <c r="BH221" s="28" t="s">
        <v>4904</v>
      </c>
      <c r="BI221" s="28" t="s">
        <v>138</v>
      </c>
      <c r="BJ221" s="28" t="s">
        <v>138</v>
      </c>
      <c r="BK221" s="28" t="s">
        <v>3482</v>
      </c>
      <c r="BL221" s="28" t="s">
        <v>4905</v>
      </c>
      <c r="BM221" s="34">
        <v>41100</v>
      </c>
      <c r="BN221" s="29">
        <v>3.2</v>
      </c>
      <c r="BO221" s="28" t="s">
        <v>172</v>
      </c>
      <c r="BP221" s="29" t="s">
        <v>138</v>
      </c>
      <c r="BQ221" s="28" t="s">
        <v>138</v>
      </c>
      <c r="BR221" s="28" t="s">
        <v>234</v>
      </c>
      <c r="BS221" s="28" t="s">
        <v>234</v>
      </c>
      <c r="BT221" s="28" t="s">
        <v>138</v>
      </c>
      <c r="BU221" s="28" t="s">
        <v>174</v>
      </c>
      <c r="BV221" s="28" t="s">
        <v>138</v>
      </c>
      <c r="BW221" s="28" t="s">
        <v>138</v>
      </c>
      <c r="BX221" s="28" t="s">
        <v>138</v>
      </c>
      <c r="BY221" s="28" t="s">
        <v>175</v>
      </c>
      <c r="BZ221" s="34">
        <v>43126</v>
      </c>
      <c r="CA221" s="29">
        <v>34.39</v>
      </c>
      <c r="CB221" s="28" t="s">
        <v>172</v>
      </c>
      <c r="CC221" s="29">
        <v>144.38999999999999</v>
      </c>
      <c r="CD221" s="28" t="s">
        <v>172</v>
      </c>
      <c r="CE221" s="28" t="s">
        <v>173</v>
      </c>
      <c r="CF221" s="28" t="s">
        <v>720</v>
      </c>
      <c r="CG221" s="28" t="s">
        <v>138</v>
      </c>
      <c r="CH221" s="28" t="s">
        <v>174</v>
      </c>
      <c r="CI221" s="28" t="s">
        <v>138</v>
      </c>
      <c r="CJ221" s="28" t="s">
        <v>138</v>
      </c>
      <c r="CK221" s="28" t="s">
        <v>138</v>
      </c>
      <c r="CL221" s="28" t="s">
        <v>175</v>
      </c>
      <c r="CM221" s="34" t="s">
        <v>138</v>
      </c>
      <c r="CN221" s="29" t="s">
        <v>138</v>
      </c>
      <c r="CO221" s="35">
        <v>-0.98</v>
      </c>
      <c r="CP221" s="36">
        <v>11</v>
      </c>
      <c r="CQ221" s="35">
        <v>0</v>
      </c>
      <c r="CR221" s="35">
        <v>-0.34</v>
      </c>
      <c r="CS221" s="35">
        <v>-1.92</v>
      </c>
      <c r="CT221" s="36">
        <v>9</v>
      </c>
      <c r="CU221" s="35">
        <v>-0.04</v>
      </c>
      <c r="CV221" s="36">
        <v>12</v>
      </c>
      <c r="CW221" s="35">
        <v>2.91</v>
      </c>
      <c r="CX221" s="36">
        <v>91</v>
      </c>
      <c r="CY221" s="35">
        <v>-6.74</v>
      </c>
      <c r="CZ221" s="36">
        <v>2</v>
      </c>
      <c r="DA221" s="35">
        <v>-0.04</v>
      </c>
      <c r="DB221" s="36">
        <v>15</v>
      </c>
      <c r="DC221" s="37">
        <v>11.22</v>
      </c>
      <c r="DD221" s="36">
        <v>91</v>
      </c>
      <c r="DE221" s="37">
        <v>-0.08</v>
      </c>
      <c r="DF221" s="35">
        <v>-0.73</v>
      </c>
      <c r="DG221" s="37">
        <v>8.35</v>
      </c>
      <c r="DH221" s="36">
        <v>88</v>
      </c>
      <c r="DI221" s="37">
        <v>14.1</v>
      </c>
      <c r="DJ221" s="36">
        <v>88</v>
      </c>
      <c r="DK221" s="37">
        <v>3.55</v>
      </c>
      <c r="DL221" s="36">
        <v>74</v>
      </c>
      <c r="DM221" s="37">
        <v>13.14</v>
      </c>
      <c r="DN221" s="36">
        <v>91</v>
      </c>
      <c r="DO221" s="37">
        <v>14.1</v>
      </c>
      <c r="DP221" s="36">
        <v>90</v>
      </c>
      <c r="DQ221" s="36">
        <v>1232</v>
      </c>
      <c r="DR221" s="38">
        <v>-42</v>
      </c>
      <c r="DS221" s="35">
        <v>-3.3</v>
      </c>
      <c r="DT221" s="36">
        <v>381</v>
      </c>
      <c r="DU221" s="38">
        <v>0</v>
      </c>
      <c r="DV221" s="35">
        <v>0</v>
      </c>
      <c r="DW221" s="36">
        <v>5048</v>
      </c>
      <c r="DX221" s="39">
        <v>1</v>
      </c>
      <c r="DY221" s="35">
        <v>0.02</v>
      </c>
      <c r="DZ221" s="28" t="s">
        <v>178</v>
      </c>
      <c r="EA221" s="34">
        <v>43530</v>
      </c>
      <c r="EB221" s="29">
        <v>144.38999999999999</v>
      </c>
      <c r="EC221" s="34">
        <v>43126</v>
      </c>
      <c r="ED221" s="28" t="s">
        <v>173</v>
      </c>
      <c r="EE221" s="40" t="str">
        <f>HYPERLINK("https://my.pitchbook.com?c=54800-92", "View company online")</f>
        <v>View company online</v>
      </c>
    </row>
    <row r="222" spans="1:135">
      <c r="A222" s="15" t="s">
        <v>4906</v>
      </c>
      <c r="B222" s="15" t="s">
        <v>4907</v>
      </c>
      <c r="C222" s="15" t="s">
        <v>138</v>
      </c>
      <c r="D222" s="15" t="s">
        <v>138</v>
      </c>
      <c r="E222" s="15" t="s">
        <v>4908</v>
      </c>
      <c r="F222" s="15" t="s">
        <v>4906</v>
      </c>
      <c r="G222" s="15" t="s">
        <v>4909</v>
      </c>
      <c r="H222" s="15" t="s">
        <v>141</v>
      </c>
      <c r="I222" s="15" t="s">
        <v>142</v>
      </c>
      <c r="J222" s="15" t="s">
        <v>4910</v>
      </c>
      <c r="K222" s="15" t="s">
        <v>4911</v>
      </c>
      <c r="L222" s="15" t="s">
        <v>4912</v>
      </c>
      <c r="M222" s="15" t="s">
        <v>4913</v>
      </c>
      <c r="N222" s="15" t="s">
        <v>147</v>
      </c>
      <c r="O222" s="17">
        <v>12</v>
      </c>
      <c r="P222" s="15" t="s">
        <v>148</v>
      </c>
      <c r="Q222" s="15" t="s">
        <v>149</v>
      </c>
      <c r="R222" s="15" t="s">
        <v>174</v>
      </c>
      <c r="S222" s="15" t="s">
        <v>4914</v>
      </c>
      <c r="T222" s="18">
        <v>2</v>
      </c>
      <c r="U222" s="15" t="s">
        <v>4417</v>
      </c>
      <c r="V222" s="15" t="s">
        <v>138</v>
      </c>
      <c r="W222" s="15" t="s">
        <v>138</v>
      </c>
      <c r="X222" s="19">
        <v>2014</v>
      </c>
      <c r="Y222" s="15" t="s">
        <v>138</v>
      </c>
      <c r="Z222" s="15" t="s">
        <v>138</v>
      </c>
      <c r="AA222" s="15" t="s">
        <v>138</v>
      </c>
      <c r="AB222" s="20" t="s">
        <v>138</v>
      </c>
      <c r="AC222" s="20" t="s">
        <v>138</v>
      </c>
      <c r="AD222" s="20" t="s">
        <v>138</v>
      </c>
      <c r="AE222" s="20" t="s">
        <v>138</v>
      </c>
      <c r="AF222" s="20" t="s">
        <v>138</v>
      </c>
      <c r="AG222" s="15" t="s">
        <v>138</v>
      </c>
      <c r="AH222" s="20" t="s">
        <v>138</v>
      </c>
      <c r="AI222" s="20" t="s">
        <v>138</v>
      </c>
      <c r="AJ222" s="20" t="s">
        <v>138</v>
      </c>
      <c r="AK222" s="15" t="s">
        <v>4915</v>
      </c>
      <c r="AL222" s="15" t="s">
        <v>4916</v>
      </c>
      <c r="AM222" s="15" t="s">
        <v>986</v>
      </c>
      <c r="AN222" s="15" t="s">
        <v>4917</v>
      </c>
      <c r="AO222" s="15" t="s">
        <v>4918</v>
      </c>
      <c r="AP222" s="15" t="s">
        <v>1168</v>
      </c>
      <c r="AQ222" s="15" t="s">
        <v>4919</v>
      </c>
      <c r="AR222" s="15" t="s">
        <v>138</v>
      </c>
      <c r="AS222" s="15" t="s">
        <v>1171</v>
      </c>
      <c r="AT222" s="15" t="s">
        <v>200</v>
      </c>
      <c r="AU222" s="15" t="s">
        <v>1172</v>
      </c>
      <c r="AV222" s="15" t="s">
        <v>162</v>
      </c>
      <c r="AW222" s="15" t="s">
        <v>4918</v>
      </c>
      <c r="AX222" s="15" t="s">
        <v>138</v>
      </c>
      <c r="AY222" s="15" t="s">
        <v>4920</v>
      </c>
      <c r="AZ222" s="15" t="s">
        <v>164</v>
      </c>
      <c r="BA222" s="15" t="s">
        <v>165</v>
      </c>
      <c r="BB222" s="15" t="s">
        <v>4921</v>
      </c>
      <c r="BC222" s="15" t="s">
        <v>4922</v>
      </c>
      <c r="BD222" s="21">
        <v>3</v>
      </c>
      <c r="BE222" s="15" t="s">
        <v>138</v>
      </c>
      <c r="BF222" s="15" t="s">
        <v>138</v>
      </c>
      <c r="BG222" s="15" t="s">
        <v>138</v>
      </c>
      <c r="BH222" s="15" t="s">
        <v>4923</v>
      </c>
      <c r="BI222" s="15" t="s">
        <v>138</v>
      </c>
      <c r="BJ222" s="15" t="s">
        <v>138</v>
      </c>
      <c r="BK222" s="15" t="s">
        <v>138</v>
      </c>
      <c r="BL222" s="15" t="s">
        <v>1251</v>
      </c>
      <c r="BM222" s="22">
        <v>42320</v>
      </c>
      <c r="BN222" s="17">
        <v>5</v>
      </c>
      <c r="BO222" s="15" t="s">
        <v>172</v>
      </c>
      <c r="BP222" s="17">
        <v>17</v>
      </c>
      <c r="BQ222" s="15" t="s">
        <v>1178</v>
      </c>
      <c r="BR222" s="15" t="s">
        <v>205</v>
      </c>
      <c r="BS222" s="15" t="s">
        <v>206</v>
      </c>
      <c r="BT222" s="15" t="s">
        <v>138</v>
      </c>
      <c r="BU222" s="15" t="s">
        <v>174</v>
      </c>
      <c r="BV222" s="15" t="s">
        <v>138</v>
      </c>
      <c r="BW222" s="15" t="s">
        <v>138</v>
      </c>
      <c r="BX222" s="15" t="s">
        <v>138</v>
      </c>
      <c r="BY222" s="15" t="s">
        <v>175</v>
      </c>
      <c r="BZ222" s="22">
        <v>43066</v>
      </c>
      <c r="CA222" s="17">
        <v>7</v>
      </c>
      <c r="CB222" s="15" t="s">
        <v>172</v>
      </c>
      <c r="CC222" s="17">
        <v>42</v>
      </c>
      <c r="CD222" s="15" t="s">
        <v>1178</v>
      </c>
      <c r="CE222" s="15" t="s">
        <v>205</v>
      </c>
      <c r="CF222" s="15" t="s">
        <v>720</v>
      </c>
      <c r="CG222" s="15" t="s">
        <v>138</v>
      </c>
      <c r="CH222" s="15" t="s">
        <v>174</v>
      </c>
      <c r="CI222" s="15" t="s">
        <v>138</v>
      </c>
      <c r="CJ222" s="15" t="s">
        <v>138</v>
      </c>
      <c r="CK222" s="15" t="s">
        <v>138</v>
      </c>
      <c r="CL222" s="15" t="s">
        <v>175</v>
      </c>
      <c r="CM222" s="22" t="s">
        <v>138</v>
      </c>
      <c r="CN222" s="17" t="s">
        <v>138</v>
      </c>
      <c r="CO222" s="23">
        <v>-0.96</v>
      </c>
      <c r="CP222" s="24">
        <v>11</v>
      </c>
      <c r="CQ222" s="23">
        <v>-0.21</v>
      </c>
      <c r="CR222" s="23">
        <v>-27.77</v>
      </c>
      <c r="CS222" s="23">
        <v>-2.56</v>
      </c>
      <c r="CT222" s="24">
        <v>7</v>
      </c>
      <c r="CU222" s="23">
        <v>0.63</v>
      </c>
      <c r="CV222" s="24">
        <v>95</v>
      </c>
      <c r="CW222" s="23">
        <v>-4.1399999999999997</v>
      </c>
      <c r="CX222" s="24">
        <v>4</v>
      </c>
      <c r="CY222" s="23">
        <v>-0.97</v>
      </c>
      <c r="CZ222" s="24">
        <v>19</v>
      </c>
      <c r="DA222" s="23">
        <v>0.63</v>
      </c>
      <c r="DB222" s="24">
        <v>96</v>
      </c>
      <c r="DC222" s="25">
        <v>6.32</v>
      </c>
      <c r="DD222" s="24">
        <v>85</v>
      </c>
      <c r="DE222" s="25">
        <v>-0.32</v>
      </c>
      <c r="DF222" s="23">
        <v>-4.84</v>
      </c>
      <c r="DG222" s="25">
        <v>10.82</v>
      </c>
      <c r="DH222" s="24">
        <v>90</v>
      </c>
      <c r="DI222" s="25">
        <v>1.83</v>
      </c>
      <c r="DJ222" s="24">
        <v>61</v>
      </c>
      <c r="DK222" s="25">
        <v>10.82</v>
      </c>
      <c r="DL222" s="24">
        <v>87</v>
      </c>
      <c r="DM222" s="25">
        <v>10.83</v>
      </c>
      <c r="DN222" s="24">
        <v>89</v>
      </c>
      <c r="DO222" s="25">
        <v>1.83</v>
      </c>
      <c r="DP222" s="24">
        <v>62</v>
      </c>
      <c r="DQ222" s="24">
        <v>3837</v>
      </c>
      <c r="DR222" s="26">
        <v>-384</v>
      </c>
      <c r="DS222" s="23">
        <v>-9.1</v>
      </c>
      <c r="DT222" s="24">
        <v>313</v>
      </c>
      <c r="DU222" s="26">
        <v>-18</v>
      </c>
      <c r="DV222" s="23">
        <v>-5.44</v>
      </c>
      <c r="DW222" s="24">
        <v>653</v>
      </c>
      <c r="DX222" s="27">
        <v>0</v>
      </c>
      <c r="DY222" s="23">
        <v>0</v>
      </c>
      <c r="DZ222" s="15" t="s">
        <v>178</v>
      </c>
      <c r="EA222" s="22">
        <v>43351</v>
      </c>
      <c r="EB222" s="17">
        <v>42</v>
      </c>
      <c r="EC222" s="22">
        <v>43066</v>
      </c>
      <c r="ED222" s="15" t="s">
        <v>205</v>
      </c>
      <c r="EE222" s="14" t="str">
        <f>HYPERLINK("https://my.pitchbook.com?c=157321-54", "View company online")</f>
        <v>View company online</v>
      </c>
    </row>
    <row r="223" spans="1:135">
      <c r="A223" s="28" t="s">
        <v>4924</v>
      </c>
      <c r="B223" s="28" t="s">
        <v>4925</v>
      </c>
      <c r="C223" s="28" t="s">
        <v>138</v>
      </c>
      <c r="D223" s="28" t="s">
        <v>138</v>
      </c>
      <c r="E223" s="28" t="s">
        <v>4926</v>
      </c>
      <c r="F223" s="28" t="s">
        <v>4924</v>
      </c>
      <c r="G223" s="28" t="s">
        <v>4927</v>
      </c>
      <c r="H223" s="28" t="s">
        <v>141</v>
      </c>
      <c r="I223" s="28" t="s">
        <v>142</v>
      </c>
      <c r="J223" s="28" t="s">
        <v>1924</v>
      </c>
      <c r="K223" s="28" t="s">
        <v>4928</v>
      </c>
      <c r="L223" s="28" t="s">
        <v>4929</v>
      </c>
      <c r="M223" s="28" t="s">
        <v>4930</v>
      </c>
      <c r="N223" s="28" t="s">
        <v>147</v>
      </c>
      <c r="O223" s="29">
        <v>2.5</v>
      </c>
      <c r="P223" s="28" t="s">
        <v>610</v>
      </c>
      <c r="Q223" s="28" t="s">
        <v>149</v>
      </c>
      <c r="R223" s="28" t="s">
        <v>174</v>
      </c>
      <c r="S223" s="28" t="s">
        <v>4931</v>
      </c>
      <c r="T223" s="30">
        <v>20</v>
      </c>
      <c r="U223" s="28" t="s">
        <v>4932</v>
      </c>
      <c r="V223" s="28" t="s">
        <v>138</v>
      </c>
      <c r="W223" s="28" t="s">
        <v>138</v>
      </c>
      <c r="X223" s="31" t="s">
        <v>138</v>
      </c>
      <c r="Y223" s="28" t="s">
        <v>138</v>
      </c>
      <c r="Z223" s="28" t="s">
        <v>138</v>
      </c>
      <c r="AA223" s="28" t="s">
        <v>138</v>
      </c>
      <c r="AB223" s="32" t="s">
        <v>138</v>
      </c>
      <c r="AC223" s="32" t="s">
        <v>138</v>
      </c>
      <c r="AD223" s="32" t="s">
        <v>138</v>
      </c>
      <c r="AE223" s="32" t="s">
        <v>138</v>
      </c>
      <c r="AF223" s="32" t="s">
        <v>138</v>
      </c>
      <c r="AG223" s="28" t="s">
        <v>138</v>
      </c>
      <c r="AH223" s="32" t="s">
        <v>138</v>
      </c>
      <c r="AI223" s="32" t="s">
        <v>138</v>
      </c>
      <c r="AJ223" s="32" t="s">
        <v>138</v>
      </c>
      <c r="AK223" s="28" t="s">
        <v>4933</v>
      </c>
      <c r="AL223" s="28" t="s">
        <v>4934</v>
      </c>
      <c r="AM223" s="28" t="s">
        <v>304</v>
      </c>
      <c r="AN223" s="28" t="s">
        <v>4935</v>
      </c>
      <c r="AO223" s="28" t="s">
        <v>4936</v>
      </c>
      <c r="AP223" s="28" t="s">
        <v>4937</v>
      </c>
      <c r="AQ223" s="28" t="s">
        <v>4938</v>
      </c>
      <c r="AR223" s="28" t="s">
        <v>138</v>
      </c>
      <c r="AS223" s="28" t="s">
        <v>4939</v>
      </c>
      <c r="AT223" s="28" t="s">
        <v>138</v>
      </c>
      <c r="AU223" s="28" t="s">
        <v>4940</v>
      </c>
      <c r="AV223" s="28" t="s">
        <v>1054</v>
      </c>
      <c r="AW223" s="28" t="s">
        <v>138</v>
      </c>
      <c r="AX223" s="28" t="s">
        <v>138</v>
      </c>
      <c r="AY223" s="28" t="s">
        <v>4941</v>
      </c>
      <c r="AZ223" s="28" t="s">
        <v>530</v>
      </c>
      <c r="BA223" s="28" t="s">
        <v>531</v>
      </c>
      <c r="BB223" s="28" t="s">
        <v>4942</v>
      </c>
      <c r="BC223" s="28" t="s">
        <v>4943</v>
      </c>
      <c r="BD223" s="33">
        <v>5</v>
      </c>
      <c r="BE223" s="28" t="s">
        <v>138</v>
      </c>
      <c r="BF223" s="28" t="s">
        <v>138</v>
      </c>
      <c r="BG223" s="28" t="s">
        <v>138</v>
      </c>
      <c r="BH223" s="28" t="s">
        <v>4944</v>
      </c>
      <c r="BI223" s="28" t="s">
        <v>138</v>
      </c>
      <c r="BJ223" s="28" t="s">
        <v>138</v>
      </c>
      <c r="BK223" s="28" t="s">
        <v>138</v>
      </c>
      <c r="BL223" s="28" t="s">
        <v>138</v>
      </c>
      <c r="BM223" s="34">
        <v>41911</v>
      </c>
      <c r="BN223" s="29" t="s">
        <v>138</v>
      </c>
      <c r="BO223" s="28" t="s">
        <v>138</v>
      </c>
      <c r="BP223" s="29" t="s">
        <v>138</v>
      </c>
      <c r="BQ223" s="28" t="s">
        <v>138</v>
      </c>
      <c r="BR223" s="28" t="s">
        <v>316</v>
      </c>
      <c r="BS223" s="28" t="s">
        <v>138</v>
      </c>
      <c r="BT223" s="28" t="s">
        <v>138</v>
      </c>
      <c r="BU223" s="28" t="s">
        <v>177</v>
      </c>
      <c r="BV223" s="28" t="s">
        <v>138</v>
      </c>
      <c r="BW223" s="28" t="s">
        <v>138</v>
      </c>
      <c r="BX223" s="28" t="s">
        <v>138</v>
      </c>
      <c r="BY223" s="28" t="s">
        <v>175</v>
      </c>
      <c r="BZ223" s="34">
        <v>43208</v>
      </c>
      <c r="CA223" s="29">
        <v>2.5</v>
      </c>
      <c r="CB223" s="28" t="s">
        <v>172</v>
      </c>
      <c r="CC223" s="29" t="s">
        <v>138</v>
      </c>
      <c r="CD223" s="28" t="s">
        <v>138</v>
      </c>
      <c r="CE223" s="28" t="s">
        <v>234</v>
      </c>
      <c r="CF223" s="28" t="s">
        <v>234</v>
      </c>
      <c r="CG223" s="28" t="s">
        <v>138</v>
      </c>
      <c r="CH223" s="28" t="s">
        <v>174</v>
      </c>
      <c r="CI223" s="28" t="s">
        <v>138</v>
      </c>
      <c r="CJ223" s="28" t="s">
        <v>138</v>
      </c>
      <c r="CK223" s="28" t="s">
        <v>138</v>
      </c>
      <c r="CL223" s="28" t="s">
        <v>175</v>
      </c>
      <c r="CM223" s="34" t="s">
        <v>138</v>
      </c>
      <c r="CN223" s="29" t="s">
        <v>138</v>
      </c>
      <c r="CO223" s="35">
        <v>-0.01</v>
      </c>
      <c r="CP223" s="36">
        <v>25</v>
      </c>
      <c r="CQ223" s="35">
        <v>-0.03</v>
      </c>
      <c r="CR223" s="35">
        <v>-149.22</v>
      </c>
      <c r="CS223" s="35">
        <v>0</v>
      </c>
      <c r="CT223" s="36">
        <v>23</v>
      </c>
      <c r="CU223" s="35">
        <v>-0.02</v>
      </c>
      <c r="CV223" s="36">
        <v>17</v>
      </c>
      <c r="CW223" s="35" t="s">
        <v>138</v>
      </c>
      <c r="CX223" s="36" t="s">
        <v>138</v>
      </c>
      <c r="CY223" s="35">
        <v>0</v>
      </c>
      <c r="CZ223" s="36">
        <v>25</v>
      </c>
      <c r="DA223" s="35">
        <v>-0.02</v>
      </c>
      <c r="DB223" s="36">
        <v>19</v>
      </c>
      <c r="DC223" s="37">
        <v>1.63</v>
      </c>
      <c r="DD223" s="36">
        <v>63</v>
      </c>
      <c r="DE223" s="37">
        <v>0.01</v>
      </c>
      <c r="DF223" s="35">
        <v>0.45</v>
      </c>
      <c r="DG223" s="37">
        <v>1.66</v>
      </c>
      <c r="DH223" s="36">
        <v>63</v>
      </c>
      <c r="DI223" s="37">
        <v>1.6</v>
      </c>
      <c r="DJ223" s="36">
        <v>58</v>
      </c>
      <c r="DK223" s="37" t="s">
        <v>138</v>
      </c>
      <c r="DL223" s="36" t="s">
        <v>138</v>
      </c>
      <c r="DM223" s="37">
        <v>1.66</v>
      </c>
      <c r="DN223" s="36">
        <v>62</v>
      </c>
      <c r="DO223" s="37">
        <v>1.6</v>
      </c>
      <c r="DP223" s="36">
        <v>59</v>
      </c>
      <c r="DQ223" s="36" t="s">
        <v>138</v>
      </c>
      <c r="DR223" s="38" t="s">
        <v>138</v>
      </c>
      <c r="DS223" s="35" t="s">
        <v>138</v>
      </c>
      <c r="DT223" s="36">
        <v>48</v>
      </c>
      <c r="DU223" s="38">
        <v>0</v>
      </c>
      <c r="DV223" s="35">
        <v>0</v>
      </c>
      <c r="DW223" s="36">
        <v>571</v>
      </c>
      <c r="DX223" s="39">
        <v>0</v>
      </c>
      <c r="DY223" s="35">
        <v>0</v>
      </c>
      <c r="DZ223" s="28" t="s">
        <v>178</v>
      </c>
      <c r="EA223" s="34">
        <v>43607</v>
      </c>
      <c r="EB223" s="29" t="s">
        <v>138</v>
      </c>
      <c r="EC223" s="34" t="s">
        <v>138</v>
      </c>
      <c r="ED223" s="28" t="s">
        <v>138</v>
      </c>
      <c r="EE223" s="40" t="str">
        <f>HYPERLINK("https://my.pitchbook.com?c=160687-00", "View company online")</f>
        <v>View company online</v>
      </c>
    </row>
    <row r="224" spans="1:135">
      <c r="A224" s="15" t="s">
        <v>4945</v>
      </c>
      <c r="B224" s="15" t="s">
        <v>4946</v>
      </c>
      <c r="C224" s="15" t="s">
        <v>138</v>
      </c>
      <c r="D224" s="15" t="s">
        <v>4947</v>
      </c>
      <c r="E224" s="15" t="s">
        <v>138</v>
      </c>
      <c r="F224" s="15" t="s">
        <v>4945</v>
      </c>
      <c r="G224" s="15" t="s">
        <v>4948</v>
      </c>
      <c r="H224" s="15" t="s">
        <v>141</v>
      </c>
      <c r="I224" s="15" t="s">
        <v>212</v>
      </c>
      <c r="J224" s="15" t="s">
        <v>1257</v>
      </c>
      <c r="K224" s="15" t="s">
        <v>4949</v>
      </c>
      <c r="L224" s="15" t="s">
        <v>138</v>
      </c>
      <c r="M224" s="15" t="s">
        <v>4950</v>
      </c>
      <c r="N224" s="15" t="s">
        <v>147</v>
      </c>
      <c r="O224" s="17" t="s">
        <v>138</v>
      </c>
      <c r="P224" s="15" t="s">
        <v>148</v>
      </c>
      <c r="Q224" s="15" t="s">
        <v>149</v>
      </c>
      <c r="R224" s="15" t="s">
        <v>150</v>
      </c>
      <c r="S224" s="15" t="s">
        <v>4951</v>
      </c>
      <c r="T224" s="18" t="s">
        <v>138</v>
      </c>
      <c r="U224" s="15" t="s">
        <v>138</v>
      </c>
      <c r="V224" s="15" t="s">
        <v>138</v>
      </c>
      <c r="W224" s="15" t="s">
        <v>138</v>
      </c>
      <c r="X224" s="19">
        <v>2006</v>
      </c>
      <c r="Y224" s="15" t="s">
        <v>138</v>
      </c>
      <c r="Z224" s="15" t="s">
        <v>138</v>
      </c>
      <c r="AA224" s="15" t="s">
        <v>138</v>
      </c>
      <c r="AB224" s="20" t="s">
        <v>138</v>
      </c>
      <c r="AC224" s="20" t="s">
        <v>138</v>
      </c>
      <c r="AD224" s="20" t="s">
        <v>138</v>
      </c>
      <c r="AE224" s="20" t="s">
        <v>138</v>
      </c>
      <c r="AF224" s="20" t="s">
        <v>138</v>
      </c>
      <c r="AG224" s="15" t="s">
        <v>138</v>
      </c>
      <c r="AH224" s="20" t="s">
        <v>138</v>
      </c>
      <c r="AI224" s="20" t="s">
        <v>138</v>
      </c>
      <c r="AJ224" s="20" t="s">
        <v>138</v>
      </c>
      <c r="AK224" s="15" t="s">
        <v>138</v>
      </c>
      <c r="AL224" s="15" t="s">
        <v>138</v>
      </c>
      <c r="AM224" s="15" t="s">
        <v>138</v>
      </c>
      <c r="AN224" s="15" t="s">
        <v>138</v>
      </c>
      <c r="AO224" s="15" t="s">
        <v>138</v>
      </c>
      <c r="AP224" s="15" t="s">
        <v>4952</v>
      </c>
      <c r="AQ224" s="15" t="s">
        <v>4953</v>
      </c>
      <c r="AR224" s="15" t="s">
        <v>138</v>
      </c>
      <c r="AS224" s="15" t="s">
        <v>4954</v>
      </c>
      <c r="AT224" s="15" t="s">
        <v>4955</v>
      </c>
      <c r="AU224" s="15" t="s">
        <v>4956</v>
      </c>
      <c r="AV224" s="15" t="s">
        <v>2071</v>
      </c>
      <c r="AW224" s="15" t="s">
        <v>138</v>
      </c>
      <c r="AX224" s="15" t="s">
        <v>138</v>
      </c>
      <c r="AY224" s="15" t="s">
        <v>138</v>
      </c>
      <c r="AZ224" s="15" t="s">
        <v>452</v>
      </c>
      <c r="BA224" s="15" t="s">
        <v>453</v>
      </c>
      <c r="BB224" s="15" t="s">
        <v>4957</v>
      </c>
      <c r="BC224" s="15" t="s">
        <v>4958</v>
      </c>
      <c r="BD224" s="21">
        <v>4</v>
      </c>
      <c r="BE224" s="15" t="s">
        <v>138</v>
      </c>
      <c r="BF224" s="15" t="s">
        <v>138</v>
      </c>
      <c r="BG224" s="15" t="s">
        <v>138</v>
      </c>
      <c r="BH224" s="15" t="s">
        <v>4959</v>
      </c>
      <c r="BI224" s="15" t="s">
        <v>138</v>
      </c>
      <c r="BJ224" s="15" t="s">
        <v>138</v>
      </c>
      <c r="BK224" s="15" t="s">
        <v>138</v>
      </c>
      <c r="BL224" s="15" t="s">
        <v>138</v>
      </c>
      <c r="BM224" s="22">
        <v>38869</v>
      </c>
      <c r="BN224" s="17" t="s">
        <v>138</v>
      </c>
      <c r="BO224" s="15" t="s">
        <v>138</v>
      </c>
      <c r="BP224" s="17" t="s">
        <v>138</v>
      </c>
      <c r="BQ224" s="15" t="s">
        <v>138</v>
      </c>
      <c r="BR224" s="15" t="s">
        <v>1465</v>
      </c>
      <c r="BS224" s="15" t="s">
        <v>138</v>
      </c>
      <c r="BT224" s="15" t="s">
        <v>138</v>
      </c>
      <c r="BU224" s="15" t="s">
        <v>177</v>
      </c>
      <c r="BV224" s="15" t="s">
        <v>138</v>
      </c>
      <c r="BW224" s="15" t="s">
        <v>138</v>
      </c>
      <c r="BX224" s="15" t="s">
        <v>138</v>
      </c>
      <c r="BY224" s="15" t="s">
        <v>175</v>
      </c>
      <c r="BZ224" s="22">
        <v>40728</v>
      </c>
      <c r="CA224" s="17" t="s">
        <v>138</v>
      </c>
      <c r="CB224" s="15" t="s">
        <v>138</v>
      </c>
      <c r="CC224" s="17" t="s">
        <v>138</v>
      </c>
      <c r="CD224" s="15" t="s">
        <v>138</v>
      </c>
      <c r="CE224" s="15" t="s">
        <v>173</v>
      </c>
      <c r="CF224" s="15" t="s">
        <v>138</v>
      </c>
      <c r="CG224" s="15" t="s">
        <v>138</v>
      </c>
      <c r="CH224" s="15" t="s">
        <v>174</v>
      </c>
      <c r="CI224" s="15" t="s">
        <v>138</v>
      </c>
      <c r="CJ224" s="15" t="s">
        <v>138</v>
      </c>
      <c r="CK224" s="15" t="s">
        <v>138</v>
      </c>
      <c r="CL224" s="15" t="s">
        <v>175</v>
      </c>
      <c r="CM224" s="22" t="s">
        <v>138</v>
      </c>
      <c r="CN224" s="17" t="s">
        <v>138</v>
      </c>
      <c r="CO224" s="23">
        <v>0</v>
      </c>
      <c r="CP224" s="24">
        <v>26</v>
      </c>
      <c r="CQ224" s="23">
        <v>0</v>
      </c>
      <c r="CR224" s="23">
        <v>0</v>
      </c>
      <c r="CS224" s="23">
        <v>0</v>
      </c>
      <c r="CT224" s="24">
        <v>23</v>
      </c>
      <c r="CU224" s="23" t="s">
        <v>138</v>
      </c>
      <c r="CV224" s="24" t="s">
        <v>138</v>
      </c>
      <c r="CW224" s="23" t="s">
        <v>138</v>
      </c>
      <c r="CX224" s="24" t="s">
        <v>138</v>
      </c>
      <c r="CY224" s="23">
        <v>0</v>
      </c>
      <c r="CZ224" s="24">
        <v>25</v>
      </c>
      <c r="DA224" s="23" t="s">
        <v>138</v>
      </c>
      <c r="DB224" s="24" t="s">
        <v>138</v>
      </c>
      <c r="DC224" s="25">
        <v>0.34</v>
      </c>
      <c r="DD224" s="24">
        <v>25</v>
      </c>
      <c r="DE224" s="25">
        <v>-0.03</v>
      </c>
      <c r="DF224" s="23">
        <v>-9.09</v>
      </c>
      <c r="DG224" s="25">
        <v>0.34</v>
      </c>
      <c r="DH224" s="24">
        <v>25</v>
      </c>
      <c r="DI224" s="25" t="s">
        <v>138</v>
      </c>
      <c r="DJ224" s="24" t="s">
        <v>138</v>
      </c>
      <c r="DK224" s="25" t="s">
        <v>138</v>
      </c>
      <c r="DL224" s="24" t="s">
        <v>138</v>
      </c>
      <c r="DM224" s="25">
        <v>0.34</v>
      </c>
      <c r="DN224" s="24">
        <v>26</v>
      </c>
      <c r="DO224" s="25" t="s">
        <v>138</v>
      </c>
      <c r="DP224" s="24" t="s">
        <v>138</v>
      </c>
      <c r="DQ224" s="24" t="s">
        <v>138</v>
      </c>
      <c r="DR224" s="26" t="s">
        <v>138</v>
      </c>
      <c r="DS224" s="23" t="s">
        <v>138</v>
      </c>
      <c r="DT224" s="24">
        <v>10</v>
      </c>
      <c r="DU224" s="26">
        <v>-1</v>
      </c>
      <c r="DV224" s="23">
        <v>-9.09</v>
      </c>
      <c r="DW224" s="24" t="s">
        <v>138</v>
      </c>
      <c r="DX224" s="27" t="s">
        <v>138</v>
      </c>
      <c r="DY224" s="23" t="s">
        <v>138</v>
      </c>
      <c r="DZ224" s="15" t="s">
        <v>178</v>
      </c>
      <c r="EA224" s="22">
        <v>43378</v>
      </c>
      <c r="EB224" s="17" t="s">
        <v>138</v>
      </c>
      <c r="EC224" s="22" t="s">
        <v>138</v>
      </c>
      <c r="ED224" s="15" t="s">
        <v>138</v>
      </c>
      <c r="EE224" s="14" t="str">
        <f>HYPERLINK("https://my.pitchbook.com?c=97411-96", "View company online")</f>
        <v>View company online</v>
      </c>
    </row>
    <row r="225" spans="1:135">
      <c r="A225" s="28" t="s">
        <v>4960</v>
      </c>
      <c r="B225" s="28" t="s">
        <v>4961</v>
      </c>
      <c r="C225" s="28" t="s">
        <v>138</v>
      </c>
      <c r="D225" s="28" t="s">
        <v>138</v>
      </c>
      <c r="E225" s="28" t="s">
        <v>4962</v>
      </c>
      <c r="F225" s="28" t="s">
        <v>4960</v>
      </c>
      <c r="G225" s="28" t="s">
        <v>4963</v>
      </c>
      <c r="H225" s="28" t="s">
        <v>322</v>
      </c>
      <c r="I225" s="28" t="s">
        <v>323</v>
      </c>
      <c r="J225" s="28" t="s">
        <v>413</v>
      </c>
      <c r="K225" s="28" t="s">
        <v>4964</v>
      </c>
      <c r="L225" s="28" t="s">
        <v>2427</v>
      </c>
      <c r="M225" s="28" t="s">
        <v>4965</v>
      </c>
      <c r="N225" s="28" t="s">
        <v>147</v>
      </c>
      <c r="O225" s="29">
        <v>177.85</v>
      </c>
      <c r="P225" s="28" t="s">
        <v>148</v>
      </c>
      <c r="Q225" s="28" t="s">
        <v>149</v>
      </c>
      <c r="R225" s="28" t="s">
        <v>174</v>
      </c>
      <c r="S225" s="28" t="s">
        <v>4966</v>
      </c>
      <c r="T225" s="30">
        <v>500</v>
      </c>
      <c r="U225" s="28" t="s">
        <v>4967</v>
      </c>
      <c r="V225" s="28" t="s">
        <v>138</v>
      </c>
      <c r="W225" s="28" t="s">
        <v>138</v>
      </c>
      <c r="X225" s="31">
        <v>2015</v>
      </c>
      <c r="Y225" s="28" t="s">
        <v>138</v>
      </c>
      <c r="Z225" s="28" t="s">
        <v>138</v>
      </c>
      <c r="AA225" s="28" t="s">
        <v>1163</v>
      </c>
      <c r="AB225" s="32" t="s">
        <v>138</v>
      </c>
      <c r="AC225" s="32" t="s">
        <v>138</v>
      </c>
      <c r="AD225" s="32" t="s">
        <v>138</v>
      </c>
      <c r="AE225" s="32" t="s">
        <v>138</v>
      </c>
      <c r="AF225" s="32" t="s">
        <v>138</v>
      </c>
      <c r="AG225" s="28" t="s">
        <v>138</v>
      </c>
      <c r="AH225" s="32" t="s">
        <v>138</v>
      </c>
      <c r="AI225" s="32" t="s">
        <v>138</v>
      </c>
      <c r="AJ225" s="32" t="s">
        <v>138</v>
      </c>
      <c r="AK225" s="28" t="s">
        <v>4968</v>
      </c>
      <c r="AL225" s="28" t="s">
        <v>4969</v>
      </c>
      <c r="AM225" s="28" t="s">
        <v>4970</v>
      </c>
      <c r="AN225" s="28" t="s">
        <v>4971</v>
      </c>
      <c r="AO225" s="28" t="s">
        <v>4972</v>
      </c>
      <c r="AP225" s="28" t="s">
        <v>2002</v>
      </c>
      <c r="AQ225" s="28" t="s">
        <v>4973</v>
      </c>
      <c r="AR225" s="28" t="s">
        <v>226</v>
      </c>
      <c r="AS225" s="28" t="s">
        <v>2005</v>
      </c>
      <c r="AT225" s="28" t="s">
        <v>200</v>
      </c>
      <c r="AU225" s="28" t="s">
        <v>4974</v>
      </c>
      <c r="AV225" s="28" t="s">
        <v>162</v>
      </c>
      <c r="AW225" s="28" t="s">
        <v>4975</v>
      </c>
      <c r="AX225" s="28" t="s">
        <v>138</v>
      </c>
      <c r="AY225" s="28" t="s">
        <v>4976</v>
      </c>
      <c r="AZ225" s="28" t="s">
        <v>164</v>
      </c>
      <c r="BA225" s="28" t="s">
        <v>165</v>
      </c>
      <c r="BB225" s="28" t="s">
        <v>4977</v>
      </c>
      <c r="BC225" s="28" t="s">
        <v>4978</v>
      </c>
      <c r="BD225" s="33">
        <v>5</v>
      </c>
      <c r="BE225" s="28" t="s">
        <v>138</v>
      </c>
      <c r="BF225" s="28" t="s">
        <v>138</v>
      </c>
      <c r="BG225" s="28" t="s">
        <v>138</v>
      </c>
      <c r="BH225" s="28" t="s">
        <v>4979</v>
      </c>
      <c r="BI225" s="28" t="s">
        <v>138</v>
      </c>
      <c r="BJ225" s="28" t="s">
        <v>138</v>
      </c>
      <c r="BK225" s="28" t="s">
        <v>138</v>
      </c>
      <c r="BL225" s="28" t="s">
        <v>1251</v>
      </c>
      <c r="BM225" s="34">
        <v>42248</v>
      </c>
      <c r="BN225" s="29">
        <v>7.85</v>
      </c>
      <c r="BO225" s="28" t="s">
        <v>172</v>
      </c>
      <c r="BP225" s="29" t="s">
        <v>138</v>
      </c>
      <c r="BQ225" s="28" t="s">
        <v>138</v>
      </c>
      <c r="BR225" s="28" t="s">
        <v>205</v>
      </c>
      <c r="BS225" s="28" t="s">
        <v>206</v>
      </c>
      <c r="BT225" s="28" t="s">
        <v>138</v>
      </c>
      <c r="BU225" s="28" t="s">
        <v>174</v>
      </c>
      <c r="BV225" s="28" t="s">
        <v>138</v>
      </c>
      <c r="BW225" s="28" t="s">
        <v>138</v>
      </c>
      <c r="BX225" s="28" t="s">
        <v>138</v>
      </c>
      <c r="BY225" s="28" t="s">
        <v>175</v>
      </c>
      <c r="BZ225" s="34">
        <v>43435</v>
      </c>
      <c r="CA225" s="29">
        <v>95</v>
      </c>
      <c r="CB225" s="28" t="s">
        <v>172</v>
      </c>
      <c r="CC225" s="29">
        <v>1095</v>
      </c>
      <c r="CD225" s="28" t="s">
        <v>172</v>
      </c>
      <c r="CE225" s="28" t="s">
        <v>173</v>
      </c>
      <c r="CF225" s="28" t="s">
        <v>433</v>
      </c>
      <c r="CG225" s="28" t="s">
        <v>138</v>
      </c>
      <c r="CH225" s="28" t="s">
        <v>174</v>
      </c>
      <c r="CI225" s="28" t="s">
        <v>138</v>
      </c>
      <c r="CJ225" s="28" t="s">
        <v>138</v>
      </c>
      <c r="CK225" s="28" t="s">
        <v>138</v>
      </c>
      <c r="CL225" s="28" t="s">
        <v>175</v>
      </c>
      <c r="CM225" s="34" t="s">
        <v>138</v>
      </c>
      <c r="CN225" s="29" t="s">
        <v>138</v>
      </c>
      <c r="CO225" s="35">
        <v>5.15</v>
      </c>
      <c r="CP225" s="36">
        <v>100</v>
      </c>
      <c r="CQ225" s="35">
        <v>-0.4</v>
      </c>
      <c r="CR225" s="35">
        <v>-7.26</v>
      </c>
      <c r="CS225" s="35">
        <v>7.68</v>
      </c>
      <c r="CT225" s="36">
        <v>100</v>
      </c>
      <c r="CU225" s="35">
        <v>6.37</v>
      </c>
      <c r="CV225" s="36">
        <v>100</v>
      </c>
      <c r="CW225" s="35">
        <v>7.68</v>
      </c>
      <c r="CX225" s="36">
        <v>98</v>
      </c>
      <c r="CY225" s="35" t="s">
        <v>138</v>
      </c>
      <c r="CZ225" s="36" t="s">
        <v>138</v>
      </c>
      <c r="DA225" s="35">
        <v>6.37</v>
      </c>
      <c r="DB225" s="36">
        <v>100</v>
      </c>
      <c r="DC225" s="37">
        <v>8.34</v>
      </c>
      <c r="DD225" s="36">
        <v>88</v>
      </c>
      <c r="DE225" s="37">
        <v>-0.89</v>
      </c>
      <c r="DF225" s="35">
        <v>-9.66</v>
      </c>
      <c r="DG225" s="37">
        <v>20.98</v>
      </c>
      <c r="DH225" s="36">
        <v>95</v>
      </c>
      <c r="DI225" s="37">
        <v>3.11</v>
      </c>
      <c r="DJ225" s="36">
        <v>70</v>
      </c>
      <c r="DK225" s="37">
        <v>20.98</v>
      </c>
      <c r="DL225" s="36">
        <v>92</v>
      </c>
      <c r="DM225" s="37" t="s">
        <v>138</v>
      </c>
      <c r="DN225" s="36" t="s">
        <v>138</v>
      </c>
      <c r="DO225" s="37">
        <v>3.11</v>
      </c>
      <c r="DP225" s="36">
        <v>72</v>
      </c>
      <c r="DQ225" s="36">
        <v>7010</v>
      </c>
      <c r="DR225" s="38">
        <v>561</v>
      </c>
      <c r="DS225" s="35">
        <v>8.6999999999999993</v>
      </c>
      <c r="DT225" s="36" t="s">
        <v>138</v>
      </c>
      <c r="DU225" s="38" t="s">
        <v>138</v>
      </c>
      <c r="DV225" s="35" t="s">
        <v>138</v>
      </c>
      <c r="DW225" s="36">
        <v>1114</v>
      </c>
      <c r="DX225" s="39">
        <v>4</v>
      </c>
      <c r="DY225" s="35">
        <v>0.36</v>
      </c>
      <c r="DZ225" s="28" t="s">
        <v>178</v>
      </c>
      <c r="EA225" s="34">
        <v>43622</v>
      </c>
      <c r="EB225" s="29">
        <v>1095</v>
      </c>
      <c r="EC225" s="34">
        <v>43435</v>
      </c>
      <c r="ED225" s="28" t="s">
        <v>173</v>
      </c>
      <c r="EE225" s="40" t="str">
        <f>HYPERLINK("https://my.pitchbook.com?c=119355-22", "View company online")</f>
        <v>View company online</v>
      </c>
    </row>
    <row r="226" spans="1:135">
      <c r="A226" s="15" t="s">
        <v>4980</v>
      </c>
      <c r="B226" s="15" t="s">
        <v>4981</v>
      </c>
      <c r="C226" s="15" t="s">
        <v>138</v>
      </c>
      <c r="D226" s="15" t="s">
        <v>138</v>
      </c>
      <c r="E226" s="15" t="s">
        <v>4982</v>
      </c>
      <c r="F226" s="15" t="s">
        <v>4980</v>
      </c>
      <c r="G226" s="15" t="s">
        <v>4983</v>
      </c>
      <c r="H226" s="15" t="s">
        <v>322</v>
      </c>
      <c r="I226" s="15" t="s">
        <v>323</v>
      </c>
      <c r="J226" s="15" t="s">
        <v>2084</v>
      </c>
      <c r="K226" s="15" t="s">
        <v>4984</v>
      </c>
      <c r="L226" s="15" t="s">
        <v>2986</v>
      </c>
      <c r="M226" s="15" t="s">
        <v>4985</v>
      </c>
      <c r="N226" s="15" t="s">
        <v>147</v>
      </c>
      <c r="O226" s="17">
        <v>88.6</v>
      </c>
      <c r="P226" s="15" t="s">
        <v>148</v>
      </c>
      <c r="Q226" s="15" t="s">
        <v>149</v>
      </c>
      <c r="R226" s="15" t="s">
        <v>174</v>
      </c>
      <c r="S226" s="15" t="s">
        <v>4986</v>
      </c>
      <c r="T226" s="18">
        <v>50</v>
      </c>
      <c r="U226" s="15" t="s">
        <v>4987</v>
      </c>
      <c r="V226" s="15" t="s">
        <v>138</v>
      </c>
      <c r="W226" s="15" t="s">
        <v>138</v>
      </c>
      <c r="X226" s="19">
        <v>2014</v>
      </c>
      <c r="Y226" s="15" t="s">
        <v>138</v>
      </c>
      <c r="Z226" s="15" t="s">
        <v>138</v>
      </c>
      <c r="AA226" s="15" t="s">
        <v>138</v>
      </c>
      <c r="AB226" s="20" t="s">
        <v>138</v>
      </c>
      <c r="AC226" s="20" t="s">
        <v>138</v>
      </c>
      <c r="AD226" s="20" t="s">
        <v>138</v>
      </c>
      <c r="AE226" s="20" t="s">
        <v>138</v>
      </c>
      <c r="AF226" s="20" t="s">
        <v>138</v>
      </c>
      <c r="AG226" s="15" t="s">
        <v>138</v>
      </c>
      <c r="AH226" s="20" t="s">
        <v>138</v>
      </c>
      <c r="AI226" s="20" t="s">
        <v>138</v>
      </c>
      <c r="AJ226" s="20" t="s">
        <v>138</v>
      </c>
      <c r="AK226" s="15" t="s">
        <v>4988</v>
      </c>
      <c r="AL226" s="15" t="s">
        <v>4989</v>
      </c>
      <c r="AM226" s="15" t="s">
        <v>938</v>
      </c>
      <c r="AN226" s="15" t="s">
        <v>4990</v>
      </c>
      <c r="AO226" s="15" t="s">
        <v>4991</v>
      </c>
      <c r="AP226" s="15" t="s">
        <v>1244</v>
      </c>
      <c r="AQ226" s="15" t="s">
        <v>4992</v>
      </c>
      <c r="AR226" s="15" t="s">
        <v>138</v>
      </c>
      <c r="AS226" s="15" t="s">
        <v>1246</v>
      </c>
      <c r="AT226" s="15" t="s">
        <v>200</v>
      </c>
      <c r="AU226" s="15" t="s">
        <v>844</v>
      </c>
      <c r="AV226" s="15" t="s">
        <v>162</v>
      </c>
      <c r="AW226" s="15" t="s">
        <v>4991</v>
      </c>
      <c r="AX226" s="15" t="s">
        <v>138</v>
      </c>
      <c r="AY226" s="15" t="s">
        <v>4993</v>
      </c>
      <c r="AZ226" s="15" t="s">
        <v>164</v>
      </c>
      <c r="BA226" s="15" t="s">
        <v>165</v>
      </c>
      <c r="BB226" s="15" t="s">
        <v>4994</v>
      </c>
      <c r="BC226" s="15" t="s">
        <v>4995</v>
      </c>
      <c r="BD226" s="21">
        <v>12</v>
      </c>
      <c r="BE226" s="15" t="s">
        <v>138</v>
      </c>
      <c r="BF226" s="15" t="s">
        <v>138</v>
      </c>
      <c r="BG226" s="15" t="s">
        <v>138</v>
      </c>
      <c r="BH226" s="15" t="s">
        <v>4996</v>
      </c>
      <c r="BI226" s="15" t="s">
        <v>138</v>
      </c>
      <c r="BJ226" s="15" t="s">
        <v>138</v>
      </c>
      <c r="BK226" s="15" t="s">
        <v>1251</v>
      </c>
      <c r="BL226" s="15" t="s">
        <v>1251</v>
      </c>
      <c r="BM226" s="22">
        <v>42082</v>
      </c>
      <c r="BN226" s="17">
        <v>3.6</v>
      </c>
      <c r="BO226" s="15" t="s">
        <v>172</v>
      </c>
      <c r="BP226" s="17">
        <v>24</v>
      </c>
      <c r="BQ226" s="15" t="s">
        <v>172</v>
      </c>
      <c r="BR226" s="15" t="s">
        <v>234</v>
      </c>
      <c r="BS226" s="15" t="s">
        <v>234</v>
      </c>
      <c r="BT226" s="15" t="s">
        <v>138</v>
      </c>
      <c r="BU226" s="15" t="s">
        <v>174</v>
      </c>
      <c r="BV226" s="15" t="s">
        <v>138</v>
      </c>
      <c r="BW226" s="15" t="s">
        <v>138</v>
      </c>
      <c r="BX226" s="15" t="s">
        <v>138</v>
      </c>
      <c r="BY226" s="15" t="s">
        <v>175</v>
      </c>
      <c r="BZ226" s="22">
        <v>43412</v>
      </c>
      <c r="CA226" s="17">
        <v>60</v>
      </c>
      <c r="CB226" s="15" t="s">
        <v>172</v>
      </c>
      <c r="CC226" s="17">
        <v>435</v>
      </c>
      <c r="CD226" s="15" t="s">
        <v>172</v>
      </c>
      <c r="CE226" s="15" t="s">
        <v>205</v>
      </c>
      <c r="CF226" s="15" t="s">
        <v>720</v>
      </c>
      <c r="CG226" s="15" t="s">
        <v>138</v>
      </c>
      <c r="CH226" s="15" t="s">
        <v>174</v>
      </c>
      <c r="CI226" s="15" t="s">
        <v>138</v>
      </c>
      <c r="CJ226" s="15" t="s">
        <v>138</v>
      </c>
      <c r="CK226" s="15" t="s">
        <v>138</v>
      </c>
      <c r="CL226" s="15" t="s">
        <v>175</v>
      </c>
      <c r="CM226" s="22" t="s">
        <v>138</v>
      </c>
      <c r="CN226" s="17" t="s">
        <v>138</v>
      </c>
      <c r="CO226" s="23">
        <v>-0.43</v>
      </c>
      <c r="CP226" s="24">
        <v>17</v>
      </c>
      <c r="CQ226" s="23">
        <v>-0.35</v>
      </c>
      <c r="CR226" s="23">
        <v>-433.79</v>
      </c>
      <c r="CS226" s="23">
        <v>-1.5</v>
      </c>
      <c r="CT226" s="24">
        <v>11</v>
      </c>
      <c r="CU226" s="23">
        <v>0.64</v>
      </c>
      <c r="CV226" s="24">
        <v>95</v>
      </c>
      <c r="CW226" s="23">
        <v>-3</v>
      </c>
      <c r="CX226" s="24">
        <v>5</v>
      </c>
      <c r="CY226" s="23">
        <v>0</v>
      </c>
      <c r="CZ226" s="24">
        <v>25</v>
      </c>
      <c r="DA226" s="23">
        <v>0.64</v>
      </c>
      <c r="DB226" s="24">
        <v>96</v>
      </c>
      <c r="DC226" s="25">
        <v>2.25</v>
      </c>
      <c r="DD226" s="24">
        <v>70</v>
      </c>
      <c r="DE226" s="25">
        <v>-0.14000000000000001</v>
      </c>
      <c r="DF226" s="23">
        <v>-5.88</v>
      </c>
      <c r="DG226" s="25">
        <v>3.71</v>
      </c>
      <c r="DH226" s="24">
        <v>78</v>
      </c>
      <c r="DI226" s="25">
        <v>0.79</v>
      </c>
      <c r="DJ226" s="24">
        <v>45</v>
      </c>
      <c r="DK226" s="25">
        <v>4.45</v>
      </c>
      <c r="DL226" s="24">
        <v>78</v>
      </c>
      <c r="DM226" s="25">
        <v>2.97</v>
      </c>
      <c r="DN226" s="24">
        <v>73</v>
      </c>
      <c r="DO226" s="25">
        <v>0.79</v>
      </c>
      <c r="DP226" s="24">
        <v>46</v>
      </c>
      <c r="DQ226" s="24">
        <v>1484</v>
      </c>
      <c r="DR226" s="26">
        <v>124</v>
      </c>
      <c r="DS226" s="23">
        <v>9.1199999999999992</v>
      </c>
      <c r="DT226" s="24">
        <v>86</v>
      </c>
      <c r="DU226" s="26">
        <v>-2</v>
      </c>
      <c r="DV226" s="23">
        <v>-2.27</v>
      </c>
      <c r="DW226" s="24">
        <v>282</v>
      </c>
      <c r="DX226" s="27">
        <v>1</v>
      </c>
      <c r="DY226" s="23">
        <v>0.36</v>
      </c>
      <c r="DZ226" s="15" t="s">
        <v>178</v>
      </c>
      <c r="EA226" s="22">
        <v>43572</v>
      </c>
      <c r="EB226" s="17">
        <v>435</v>
      </c>
      <c r="EC226" s="22">
        <v>43412</v>
      </c>
      <c r="ED226" s="15" t="s">
        <v>205</v>
      </c>
      <c r="EE226" s="14" t="str">
        <f>HYPERLINK("https://my.pitchbook.com?c=111254-32", "View company online")</f>
        <v>View company online</v>
      </c>
    </row>
    <row r="227" spans="1:135">
      <c r="A227" s="28" t="s">
        <v>4997</v>
      </c>
      <c r="B227" s="28" t="s">
        <v>4998</v>
      </c>
      <c r="C227" s="28" t="s">
        <v>4999</v>
      </c>
      <c r="D227" s="28" t="s">
        <v>138</v>
      </c>
      <c r="E227" s="28" t="s">
        <v>5000</v>
      </c>
      <c r="F227" s="28" t="s">
        <v>4997</v>
      </c>
      <c r="G227" s="28" t="s">
        <v>5001</v>
      </c>
      <c r="H227" s="28" t="s">
        <v>238</v>
      </c>
      <c r="I227" s="28" t="s">
        <v>269</v>
      </c>
      <c r="J227" s="28" t="s">
        <v>296</v>
      </c>
      <c r="K227" s="28" t="s">
        <v>5002</v>
      </c>
      <c r="L227" s="28" t="s">
        <v>5003</v>
      </c>
      <c r="M227" s="28" t="s">
        <v>5004</v>
      </c>
      <c r="N227" s="28" t="s">
        <v>147</v>
      </c>
      <c r="O227" s="29">
        <v>216.05</v>
      </c>
      <c r="P227" s="28" t="s">
        <v>148</v>
      </c>
      <c r="Q227" s="28" t="s">
        <v>149</v>
      </c>
      <c r="R227" s="28" t="s">
        <v>174</v>
      </c>
      <c r="S227" s="28" t="s">
        <v>5005</v>
      </c>
      <c r="T227" s="30">
        <v>200</v>
      </c>
      <c r="U227" s="28" t="s">
        <v>5006</v>
      </c>
      <c r="V227" s="28" t="s">
        <v>138</v>
      </c>
      <c r="W227" s="28" t="s">
        <v>138</v>
      </c>
      <c r="X227" s="31">
        <v>2009</v>
      </c>
      <c r="Y227" s="28" t="s">
        <v>138</v>
      </c>
      <c r="Z227" s="28" t="s">
        <v>138</v>
      </c>
      <c r="AA227" s="28" t="s">
        <v>138</v>
      </c>
      <c r="AB227" s="32" t="s">
        <v>138</v>
      </c>
      <c r="AC227" s="32" t="s">
        <v>138</v>
      </c>
      <c r="AD227" s="32" t="s">
        <v>138</v>
      </c>
      <c r="AE227" s="32" t="s">
        <v>138</v>
      </c>
      <c r="AF227" s="32" t="s">
        <v>138</v>
      </c>
      <c r="AG227" s="28" t="s">
        <v>138</v>
      </c>
      <c r="AH227" s="32" t="s">
        <v>138</v>
      </c>
      <c r="AI227" s="32" t="s">
        <v>138</v>
      </c>
      <c r="AJ227" s="32" t="s">
        <v>138</v>
      </c>
      <c r="AK227" s="28" t="s">
        <v>5007</v>
      </c>
      <c r="AL227" s="28" t="s">
        <v>5008</v>
      </c>
      <c r="AM227" s="28" t="s">
        <v>2949</v>
      </c>
      <c r="AN227" s="28" t="s">
        <v>5009</v>
      </c>
      <c r="AO227" s="28" t="s">
        <v>5010</v>
      </c>
      <c r="AP227" s="28" t="s">
        <v>665</v>
      </c>
      <c r="AQ227" s="28" t="s">
        <v>5011</v>
      </c>
      <c r="AR227" s="28" t="s">
        <v>5012</v>
      </c>
      <c r="AS227" s="28" t="s">
        <v>668</v>
      </c>
      <c r="AT227" s="28" t="s">
        <v>200</v>
      </c>
      <c r="AU227" s="28" t="s">
        <v>669</v>
      </c>
      <c r="AV227" s="28" t="s">
        <v>162</v>
      </c>
      <c r="AW227" s="28" t="s">
        <v>5010</v>
      </c>
      <c r="AX227" s="28" t="s">
        <v>138</v>
      </c>
      <c r="AY227" s="28" t="s">
        <v>138</v>
      </c>
      <c r="AZ227" s="28" t="s">
        <v>164</v>
      </c>
      <c r="BA227" s="28" t="s">
        <v>165</v>
      </c>
      <c r="BB227" s="28" t="s">
        <v>5013</v>
      </c>
      <c r="BC227" s="28" t="s">
        <v>5014</v>
      </c>
      <c r="BD227" s="33">
        <v>29</v>
      </c>
      <c r="BE227" s="28" t="s">
        <v>138</v>
      </c>
      <c r="BF227" s="28" t="s">
        <v>5015</v>
      </c>
      <c r="BG227" s="28" t="s">
        <v>138</v>
      </c>
      <c r="BH227" s="28" t="s">
        <v>5016</v>
      </c>
      <c r="BI227" s="28" t="s">
        <v>5017</v>
      </c>
      <c r="BJ227" s="28" t="s">
        <v>138</v>
      </c>
      <c r="BK227" s="28" t="s">
        <v>2936</v>
      </c>
      <c r="BL227" s="28" t="s">
        <v>2936</v>
      </c>
      <c r="BM227" s="34">
        <v>40118</v>
      </c>
      <c r="BN227" s="29">
        <v>8.1199999999999992</v>
      </c>
      <c r="BO227" s="28" t="s">
        <v>1178</v>
      </c>
      <c r="BP227" s="29" t="s">
        <v>138</v>
      </c>
      <c r="BQ227" s="28" t="s">
        <v>138</v>
      </c>
      <c r="BR227" s="28" t="s">
        <v>234</v>
      </c>
      <c r="BS227" s="28" t="s">
        <v>234</v>
      </c>
      <c r="BT227" s="28" t="s">
        <v>138</v>
      </c>
      <c r="BU227" s="28" t="s">
        <v>263</v>
      </c>
      <c r="BV227" s="28" t="s">
        <v>138</v>
      </c>
      <c r="BW227" s="28" t="s">
        <v>138</v>
      </c>
      <c r="BX227" s="28" t="s">
        <v>138</v>
      </c>
      <c r="BY227" s="28" t="s">
        <v>175</v>
      </c>
      <c r="BZ227" s="34">
        <v>43465</v>
      </c>
      <c r="CA227" s="29" t="s">
        <v>138</v>
      </c>
      <c r="CB227" s="28" t="s">
        <v>138</v>
      </c>
      <c r="CC227" s="29" t="s">
        <v>138</v>
      </c>
      <c r="CD227" s="28" t="s">
        <v>138</v>
      </c>
      <c r="CE227" s="28" t="s">
        <v>173</v>
      </c>
      <c r="CF227" s="28" t="s">
        <v>138</v>
      </c>
      <c r="CG227" s="28" t="s">
        <v>138</v>
      </c>
      <c r="CH227" s="28" t="s">
        <v>174</v>
      </c>
      <c r="CI227" s="28" t="s">
        <v>138</v>
      </c>
      <c r="CJ227" s="28" t="s">
        <v>138</v>
      </c>
      <c r="CK227" s="28" t="s">
        <v>138</v>
      </c>
      <c r="CL227" s="28" t="s">
        <v>175</v>
      </c>
      <c r="CM227" s="34" t="s">
        <v>138</v>
      </c>
      <c r="CN227" s="29" t="s">
        <v>138</v>
      </c>
      <c r="CO227" s="35">
        <v>0.69</v>
      </c>
      <c r="CP227" s="36">
        <v>96</v>
      </c>
      <c r="CQ227" s="35">
        <v>-0.01</v>
      </c>
      <c r="CR227" s="35">
        <v>-1.82</v>
      </c>
      <c r="CS227" s="35">
        <v>-0.14000000000000001</v>
      </c>
      <c r="CT227" s="36">
        <v>22</v>
      </c>
      <c r="CU227" s="35">
        <v>0.27</v>
      </c>
      <c r="CV227" s="36">
        <v>86</v>
      </c>
      <c r="CW227" s="35">
        <v>-0.14000000000000001</v>
      </c>
      <c r="CX227" s="36">
        <v>12</v>
      </c>
      <c r="CY227" s="35" t="s">
        <v>138</v>
      </c>
      <c r="CZ227" s="36" t="s">
        <v>138</v>
      </c>
      <c r="DA227" s="35">
        <v>0.23</v>
      </c>
      <c r="DB227" s="36">
        <v>85</v>
      </c>
      <c r="DC227" s="37">
        <v>910.44</v>
      </c>
      <c r="DD227" s="36">
        <v>100</v>
      </c>
      <c r="DE227" s="37">
        <v>-20.350000000000001</v>
      </c>
      <c r="DF227" s="35">
        <v>-2.19</v>
      </c>
      <c r="DG227" s="37">
        <v>1131.3</v>
      </c>
      <c r="DH227" s="36">
        <v>100</v>
      </c>
      <c r="DI227" s="37">
        <v>120.13</v>
      </c>
      <c r="DJ227" s="36">
        <v>98</v>
      </c>
      <c r="DK227" s="37">
        <v>1131.3</v>
      </c>
      <c r="DL227" s="36">
        <v>100</v>
      </c>
      <c r="DM227" s="37" t="s">
        <v>138</v>
      </c>
      <c r="DN227" s="36" t="s">
        <v>138</v>
      </c>
      <c r="DO227" s="37">
        <v>80.95</v>
      </c>
      <c r="DP227" s="36">
        <v>98</v>
      </c>
      <c r="DQ227" s="36">
        <v>388211</v>
      </c>
      <c r="DR227" s="38">
        <v>-526</v>
      </c>
      <c r="DS227" s="35">
        <v>-0.14000000000000001</v>
      </c>
      <c r="DT227" s="36" t="s">
        <v>138</v>
      </c>
      <c r="DU227" s="38" t="s">
        <v>138</v>
      </c>
      <c r="DV227" s="35" t="s">
        <v>138</v>
      </c>
      <c r="DW227" s="36">
        <v>28929</v>
      </c>
      <c r="DX227" s="39">
        <v>70</v>
      </c>
      <c r="DY227" s="35">
        <v>0.24</v>
      </c>
      <c r="DZ227" s="28" t="s">
        <v>178</v>
      </c>
      <c r="EA227" s="34">
        <v>43503</v>
      </c>
      <c r="EB227" s="29">
        <v>734</v>
      </c>
      <c r="EC227" s="34">
        <v>43276</v>
      </c>
      <c r="ED227" s="28" t="s">
        <v>173</v>
      </c>
      <c r="EE227" s="40" t="str">
        <f>HYPERLINK("https://my.pitchbook.com?c=51391-00", "View company online")</f>
        <v>View company online</v>
      </c>
    </row>
    <row r="228" spans="1:135">
      <c r="A228" s="15" t="s">
        <v>5018</v>
      </c>
      <c r="B228" s="15" t="s">
        <v>5019</v>
      </c>
      <c r="C228" s="15" t="s">
        <v>5020</v>
      </c>
      <c r="D228" s="15" t="s">
        <v>138</v>
      </c>
      <c r="E228" s="15" t="s">
        <v>5021</v>
      </c>
      <c r="F228" s="15" t="s">
        <v>5018</v>
      </c>
      <c r="G228" s="15" t="s">
        <v>5022</v>
      </c>
      <c r="H228" s="15" t="s">
        <v>322</v>
      </c>
      <c r="I228" s="15" t="s">
        <v>323</v>
      </c>
      <c r="J228" s="15" t="s">
        <v>1184</v>
      </c>
      <c r="K228" s="15" t="s">
        <v>5023</v>
      </c>
      <c r="L228" s="15" t="s">
        <v>215</v>
      </c>
      <c r="M228" s="15" t="s">
        <v>5024</v>
      </c>
      <c r="N228" s="15" t="s">
        <v>147</v>
      </c>
      <c r="O228" s="17">
        <v>124.89</v>
      </c>
      <c r="P228" s="15" t="s">
        <v>148</v>
      </c>
      <c r="Q228" s="15" t="s">
        <v>149</v>
      </c>
      <c r="R228" s="15" t="s">
        <v>174</v>
      </c>
      <c r="S228" s="15" t="s">
        <v>5025</v>
      </c>
      <c r="T228" s="18">
        <v>500</v>
      </c>
      <c r="U228" s="15" t="s">
        <v>5026</v>
      </c>
      <c r="V228" s="15" t="s">
        <v>138</v>
      </c>
      <c r="W228" s="15" t="s">
        <v>138</v>
      </c>
      <c r="X228" s="19">
        <v>2009</v>
      </c>
      <c r="Y228" s="15" t="s">
        <v>138</v>
      </c>
      <c r="Z228" s="15" t="s">
        <v>138</v>
      </c>
      <c r="AA228" s="15" t="s">
        <v>138</v>
      </c>
      <c r="AB228" s="20">
        <v>71.900000000000006</v>
      </c>
      <c r="AC228" s="20" t="s">
        <v>138</v>
      </c>
      <c r="AD228" s="20" t="s">
        <v>138</v>
      </c>
      <c r="AE228" s="20" t="s">
        <v>138</v>
      </c>
      <c r="AF228" s="20" t="s">
        <v>138</v>
      </c>
      <c r="AG228" s="15" t="s">
        <v>419</v>
      </c>
      <c r="AH228" s="20" t="s">
        <v>138</v>
      </c>
      <c r="AI228" s="20" t="s">
        <v>138</v>
      </c>
      <c r="AJ228" s="20" t="s">
        <v>138</v>
      </c>
      <c r="AK228" s="15" t="s">
        <v>5027</v>
      </c>
      <c r="AL228" s="15" t="s">
        <v>5028</v>
      </c>
      <c r="AM228" s="15" t="s">
        <v>249</v>
      </c>
      <c r="AN228" s="15" t="s">
        <v>5029</v>
      </c>
      <c r="AO228" s="15" t="s">
        <v>5030</v>
      </c>
      <c r="AP228" s="15" t="s">
        <v>1292</v>
      </c>
      <c r="AQ228" s="15" t="s">
        <v>5031</v>
      </c>
      <c r="AR228" s="15" t="s">
        <v>5012</v>
      </c>
      <c r="AS228" s="15" t="s">
        <v>1294</v>
      </c>
      <c r="AT228" s="15" t="s">
        <v>864</v>
      </c>
      <c r="AU228" s="15" t="s">
        <v>4404</v>
      </c>
      <c r="AV228" s="15" t="s">
        <v>162</v>
      </c>
      <c r="AW228" s="15" t="s">
        <v>5030</v>
      </c>
      <c r="AX228" s="15" t="s">
        <v>5032</v>
      </c>
      <c r="AY228" s="15" t="s">
        <v>138</v>
      </c>
      <c r="AZ228" s="15" t="s">
        <v>164</v>
      </c>
      <c r="BA228" s="15" t="s">
        <v>165</v>
      </c>
      <c r="BB228" s="15" t="s">
        <v>5033</v>
      </c>
      <c r="BC228" s="15" t="s">
        <v>5034</v>
      </c>
      <c r="BD228" s="21">
        <v>9</v>
      </c>
      <c r="BE228" s="15" t="s">
        <v>138</v>
      </c>
      <c r="BF228" s="15" t="s">
        <v>138</v>
      </c>
      <c r="BG228" s="15" t="s">
        <v>138</v>
      </c>
      <c r="BH228" s="15" t="s">
        <v>5035</v>
      </c>
      <c r="BI228" s="15" t="s">
        <v>138</v>
      </c>
      <c r="BJ228" s="15" t="s">
        <v>138</v>
      </c>
      <c r="BK228" s="15" t="s">
        <v>5036</v>
      </c>
      <c r="BL228" s="15" t="s">
        <v>1691</v>
      </c>
      <c r="BM228" s="22">
        <v>39867</v>
      </c>
      <c r="BN228" s="17">
        <v>7.38</v>
      </c>
      <c r="BO228" s="15" t="s">
        <v>172</v>
      </c>
      <c r="BP228" s="17">
        <v>22</v>
      </c>
      <c r="BQ228" s="15" t="s">
        <v>172</v>
      </c>
      <c r="BR228" s="15" t="s">
        <v>205</v>
      </c>
      <c r="BS228" s="15" t="s">
        <v>206</v>
      </c>
      <c r="BT228" s="15" t="s">
        <v>138</v>
      </c>
      <c r="BU228" s="15" t="s">
        <v>174</v>
      </c>
      <c r="BV228" s="15" t="s">
        <v>138</v>
      </c>
      <c r="BW228" s="15" t="s">
        <v>138</v>
      </c>
      <c r="BX228" s="15" t="s">
        <v>138</v>
      </c>
      <c r="BY228" s="15" t="s">
        <v>175</v>
      </c>
      <c r="BZ228" s="22">
        <v>42758</v>
      </c>
      <c r="CA228" s="17">
        <v>50</v>
      </c>
      <c r="CB228" s="15" t="s">
        <v>172</v>
      </c>
      <c r="CC228" s="17">
        <v>850</v>
      </c>
      <c r="CD228" s="15" t="s">
        <v>172</v>
      </c>
      <c r="CE228" s="15" t="s">
        <v>173</v>
      </c>
      <c r="CF228" s="15" t="s">
        <v>5037</v>
      </c>
      <c r="CG228" s="15" t="s">
        <v>138</v>
      </c>
      <c r="CH228" s="15" t="s">
        <v>174</v>
      </c>
      <c r="CI228" s="15" t="s">
        <v>138</v>
      </c>
      <c r="CJ228" s="15" t="s">
        <v>138</v>
      </c>
      <c r="CK228" s="15" t="s">
        <v>138</v>
      </c>
      <c r="CL228" s="15" t="s">
        <v>175</v>
      </c>
      <c r="CM228" s="22" t="s">
        <v>138</v>
      </c>
      <c r="CN228" s="17" t="s">
        <v>138</v>
      </c>
      <c r="CO228" s="23">
        <v>0.91</v>
      </c>
      <c r="CP228" s="24">
        <v>97</v>
      </c>
      <c r="CQ228" s="23">
        <v>0</v>
      </c>
      <c r="CR228" s="23">
        <v>0.15</v>
      </c>
      <c r="CS228" s="23">
        <v>1.69</v>
      </c>
      <c r="CT228" s="24">
        <v>98</v>
      </c>
      <c r="CU228" s="23">
        <v>0.12</v>
      </c>
      <c r="CV228" s="24">
        <v>71</v>
      </c>
      <c r="CW228" s="23">
        <v>1.69</v>
      </c>
      <c r="CX228" s="24">
        <v>87</v>
      </c>
      <c r="CY228" s="23" t="s">
        <v>138</v>
      </c>
      <c r="CZ228" s="24" t="s">
        <v>138</v>
      </c>
      <c r="DA228" s="23">
        <v>0.28000000000000003</v>
      </c>
      <c r="DB228" s="24">
        <v>88</v>
      </c>
      <c r="DC228" s="25">
        <v>28.35</v>
      </c>
      <c r="DD228" s="24">
        <v>96</v>
      </c>
      <c r="DE228" s="25">
        <v>-2.4500000000000002</v>
      </c>
      <c r="DF228" s="23">
        <v>-7.95</v>
      </c>
      <c r="DG228" s="25">
        <v>38.659999999999997</v>
      </c>
      <c r="DH228" s="24">
        <v>98</v>
      </c>
      <c r="DI228" s="25">
        <v>18.03</v>
      </c>
      <c r="DJ228" s="24">
        <v>90</v>
      </c>
      <c r="DK228" s="25">
        <v>38.659999999999997</v>
      </c>
      <c r="DL228" s="24">
        <v>95</v>
      </c>
      <c r="DM228" s="25" t="s">
        <v>138</v>
      </c>
      <c r="DN228" s="24" t="s">
        <v>138</v>
      </c>
      <c r="DO228" s="25">
        <v>25.51</v>
      </c>
      <c r="DP228" s="24">
        <v>94</v>
      </c>
      <c r="DQ228" s="24">
        <v>13098</v>
      </c>
      <c r="DR228" s="26">
        <v>487</v>
      </c>
      <c r="DS228" s="23">
        <v>3.86</v>
      </c>
      <c r="DT228" s="24" t="s">
        <v>138</v>
      </c>
      <c r="DU228" s="26" t="s">
        <v>138</v>
      </c>
      <c r="DV228" s="23" t="s">
        <v>138</v>
      </c>
      <c r="DW228" s="24">
        <v>9134</v>
      </c>
      <c r="DX228" s="27">
        <v>4</v>
      </c>
      <c r="DY228" s="23">
        <v>0.04</v>
      </c>
      <c r="DZ228" s="15" t="s">
        <v>178</v>
      </c>
      <c r="EA228" s="22">
        <v>43622</v>
      </c>
      <c r="EB228" s="17">
        <v>850</v>
      </c>
      <c r="EC228" s="22">
        <v>42758</v>
      </c>
      <c r="ED228" s="15" t="s">
        <v>173</v>
      </c>
      <c r="EE228" s="14" t="str">
        <f>HYPERLINK("https://my.pitchbook.com?c=53000-02", "View company online")</f>
        <v>View company online</v>
      </c>
    </row>
    <row r="229" spans="1:135">
      <c r="A229" s="28" t="s">
        <v>5038</v>
      </c>
      <c r="B229" s="28" t="s">
        <v>5039</v>
      </c>
      <c r="C229" s="28" t="s">
        <v>5040</v>
      </c>
      <c r="D229" s="28" t="s">
        <v>138</v>
      </c>
      <c r="E229" s="28" t="s">
        <v>5041</v>
      </c>
      <c r="F229" s="28" t="s">
        <v>5038</v>
      </c>
      <c r="G229" s="28" t="s">
        <v>5042</v>
      </c>
      <c r="H229" s="28" t="s">
        <v>238</v>
      </c>
      <c r="I229" s="28" t="s">
        <v>239</v>
      </c>
      <c r="J229" s="28" t="s">
        <v>2234</v>
      </c>
      <c r="K229" s="28" t="s">
        <v>5043</v>
      </c>
      <c r="L229" s="28" t="s">
        <v>1307</v>
      </c>
      <c r="M229" s="28" t="s">
        <v>5044</v>
      </c>
      <c r="N229" s="28" t="s">
        <v>147</v>
      </c>
      <c r="O229" s="29">
        <v>165.71</v>
      </c>
      <c r="P229" s="28" t="s">
        <v>148</v>
      </c>
      <c r="Q229" s="28" t="s">
        <v>149</v>
      </c>
      <c r="R229" s="28" t="s">
        <v>174</v>
      </c>
      <c r="S229" s="28" t="s">
        <v>5045</v>
      </c>
      <c r="T229" s="30">
        <v>192</v>
      </c>
      <c r="U229" s="28" t="s">
        <v>5046</v>
      </c>
      <c r="V229" s="28" t="s">
        <v>138</v>
      </c>
      <c r="W229" s="28" t="s">
        <v>138</v>
      </c>
      <c r="X229" s="31">
        <v>2002</v>
      </c>
      <c r="Y229" s="28" t="s">
        <v>138</v>
      </c>
      <c r="Z229" s="28" t="s">
        <v>138</v>
      </c>
      <c r="AA229" s="28" t="s">
        <v>138</v>
      </c>
      <c r="AB229" s="32" t="s">
        <v>138</v>
      </c>
      <c r="AC229" s="32" t="s">
        <v>138</v>
      </c>
      <c r="AD229" s="32" t="s">
        <v>138</v>
      </c>
      <c r="AE229" s="32" t="s">
        <v>138</v>
      </c>
      <c r="AF229" s="32" t="s">
        <v>138</v>
      </c>
      <c r="AG229" s="28" t="s">
        <v>138</v>
      </c>
      <c r="AH229" s="32" t="s">
        <v>138</v>
      </c>
      <c r="AI229" s="32" t="s">
        <v>138</v>
      </c>
      <c r="AJ229" s="32" t="s">
        <v>138</v>
      </c>
      <c r="AK229" s="28" t="s">
        <v>5047</v>
      </c>
      <c r="AL229" s="28" t="s">
        <v>5048</v>
      </c>
      <c r="AM229" s="28" t="s">
        <v>566</v>
      </c>
      <c r="AN229" s="28" t="s">
        <v>5049</v>
      </c>
      <c r="AO229" s="28" t="s">
        <v>5050</v>
      </c>
      <c r="AP229" s="28" t="s">
        <v>665</v>
      </c>
      <c r="AQ229" s="28" t="s">
        <v>5051</v>
      </c>
      <c r="AR229" s="28" t="s">
        <v>3084</v>
      </c>
      <c r="AS229" s="28" t="s">
        <v>668</v>
      </c>
      <c r="AT229" s="28" t="s">
        <v>200</v>
      </c>
      <c r="AU229" s="28" t="s">
        <v>3557</v>
      </c>
      <c r="AV229" s="28" t="s">
        <v>162</v>
      </c>
      <c r="AW229" s="28" t="s">
        <v>5050</v>
      </c>
      <c r="AX229" s="28" t="s">
        <v>138</v>
      </c>
      <c r="AY229" s="28" t="s">
        <v>138</v>
      </c>
      <c r="AZ229" s="28" t="s">
        <v>164</v>
      </c>
      <c r="BA229" s="28" t="s">
        <v>165</v>
      </c>
      <c r="BB229" s="28" t="s">
        <v>5052</v>
      </c>
      <c r="BC229" s="28" t="s">
        <v>5053</v>
      </c>
      <c r="BD229" s="33">
        <v>16</v>
      </c>
      <c r="BE229" s="28" t="s">
        <v>138</v>
      </c>
      <c r="BF229" s="28" t="s">
        <v>138</v>
      </c>
      <c r="BG229" s="28" t="s">
        <v>138</v>
      </c>
      <c r="BH229" s="28" t="s">
        <v>5054</v>
      </c>
      <c r="BI229" s="28" t="s">
        <v>138</v>
      </c>
      <c r="BJ229" s="28" t="s">
        <v>138</v>
      </c>
      <c r="BK229" s="28" t="s">
        <v>5055</v>
      </c>
      <c r="BL229" s="28" t="s">
        <v>5056</v>
      </c>
      <c r="BM229" s="34">
        <v>38777</v>
      </c>
      <c r="BN229" s="29">
        <v>1.39</v>
      </c>
      <c r="BO229" s="28" t="s">
        <v>172</v>
      </c>
      <c r="BP229" s="29">
        <v>3.53</v>
      </c>
      <c r="BQ229" s="28" t="s">
        <v>172</v>
      </c>
      <c r="BR229" s="28" t="s">
        <v>205</v>
      </c>
      <c r="BS229" s="28" t="s">
        <v>206</v>
      </c>
      <c r="BT229" s="28" t="s">
        <v>138</v>
      </c>
      <c r="BU229" s="28" t="s">
        <v>174</v>
      </c>
      <c r="BV229" s="28" t="s">
        <v>264</v>
      </c>
      <c r="BW229" s="28" t="s">
        <v>138</v>
      </c>
      <c r="BX229" s="28" t="s">
        <v>138</v>
      </c>
      <c r="BY229" s="28" t="s">
        <v>175</v>
      </c>
      <c r="BZ229" s="34" t="s">
        <v>138</v>
      </c>
      <c r="CA229" s="29">
        <v>500</v>
      </c>
      <c r="CB229" s="28" t="s">
        <v>172</v>
      </c>
      <c r="CC229" s="29">
        <v>500</v>
      </c>
      <c r="CD229" s="28" t="s">
        <v>172</v>
      </c>
      <c r="CE229" s="28" t="s">
        <v>2228</v>
      </c>
      <c r="CF229" s="28" t="s">
        <v>138</v>
      </c>
      <c r="CG229" s="28" t="s">
        <v>138</v>
      </c>
      <c r="CH229" s="28" t="s">
        <v>780</v>
      </c>
      <c r="CI229" s="28" t="s">
        <v>138</v>
      </c>
      <c r="CJ229" s="28" t="s">
        <v>138</v>
      </c>
      <c r="CK229" s="28" t="s">
        <v>138</v>
      </c>
      <c r="CL229" s="28" t="s">
        <v>3093</v>
      </c>
      <c r="CM229" s="34" t="s">
        <v>138</v>
      </c>
      <c r="CN229" s="29" t="s">
        <v>138</v>
      </c>
      <c r="CO229" s="35">
        <v>-0.31</v>
      </c>
      <c r="CP229" s="36">
        <v>18</v>
      </c>
      <c r="CQ229" s="35">
        <v>-0.01</v>
      </c>
      <c r="CR229" s="35">
        <v>-3.82</v>
      </c>
      <c r="CS229" s="35">
        <v>-1.77</v>
      </c>
      <c r="CT229" s="36">
        <v>10</v>
      </c>
      <c r="CU229" s="35">
        <v>0.03</v>
      </c>
      <c r="CV229" s="36">
        <v>54</v>
      </c>
      <c r="CW229" s="35">
        <v>-0.64</v>
      </c>
      <c r="CX229" s="36">
        <v>11</v>
      </c>
      <c r="CY229" s="35">
        <v>-2.9</v>
      </c>
      <c r="CZ229" s="36">
        <v>7</v>
      </c>
      <c r="DA229" s="35">
        <v>0.03</v>
      </c>
      <c r="DB229" s="36">
        <v>60</v>
      </c>
      <c r="DC229" s="37">
        <v>3035.82</v>
      </c>
      <c r="DD229" s="36">
        <v>100</v>
      </c>
      <c r="DE229" s="37">
        <v>50.46</v>
      </c>
      <c r="DF229" s="35">
        <v>1.69</v>
      </c>
      <c r="DG229" s="37">
        <v>1636.69</v>
      </c>
      <c r="DH229" s="36">
        <v>100</v>
      </c>
      <c r="DI229" s="37">
        <v>307.37</v>
      </c>
      <c r="DJ229" s="36">
        <v>99</v>
      </c>
      <c r="DK229" s="37">
        <v>3201.56</v>
      </c>
      <c r="DL229" s="36">
        <v>100</v>
      </c>
      <c r="DM229" s="37">
        <v>71.83</v>
      </c>
      <c r="DN229" s="36">
        <v>99</v>
      </c>
      <c r="DO229" s="37">
        <v>307.37</v>
      </c>
      <c r="DP229" s="36">
        <v>99</v>
      </c>
      <c r="DQ229" s="36">
        <v>1099962</v>
      </c>
      <c r="DR229" s="38">
        <v>-5485</v>
      </c>
      <c r="DS229" s="35">
        <v>-0.5</v>
      </c>
      <c r="DT229" s="36">
        <v>2080</v>
      </c>
      <c r="DU229" s="38">
        <v>6</v>
      </c>
      <c r="DV229" s="35">
        <v>0.28999999999999998</v>
      </c>
      <c r="DW229" s="36">
        <v>110006</v>
      </c>
      <c r="DX229" s="39">
        <v>41</v>
      </c>
      <c r="DY229" s="35">
        <v>0.04</v>
      </c>
      <c r="DZ229" s="28" t="s">
        <v>178</v>
      </c>
      <c r="EA229" s="34">
        <v>43622</v>
      </c>
      <c r="EB229" s="29">
        <v>500</v>
      </c>
      <c r="EC229" s="34">
        <v>42958</v>
      </c>
      <c r="ED229" s="28" t="s">
        <v>173</v>
      </c>
      <c r="EE229" s="40" t="str">
        <f>HYPERLINK("https://my.pitchbook.com?c=54678-07", "View company online")</f>
        <v>View company online</v>
      </c>
    </row>
    <row r="230" spans="1:135">
      <c r="A230" s="15" t="s">
        <v>5057</v>
      </c>
      <c r="B230" s="15" t="s">
        <v>5058</v>
      </c>
      <c r="C230" s="15" t="s">
        <v>138</v>
      </c>
      <c r="D230" s="15" t="s">
        <v>138</v>
      </c>
      <c r="E230" s="15" t="s">
        <v>5059</v>
      </c>
      <c r="F230" s="15" t="s">
        <v>5057</v>
      </c>
      <c r="G230" s="15" t="s">
        <v>5060</v>
      </c>
      <c r="H230" s="15" t="s">
        <v>322</v>
      </c>
      <c r="I230" s="15" t="s">
        <v>323</v>
      </c>
      <c r="J230" s="15" t="s">
        <v>324</v>
      </c>
      <c r="K230" s="15" t="s">
        <v>2464</v>
      </c>
      <c r="L230" s="15" t="s">
        <v>5061</v>
      </c>
      <c r="M230" s="15" t="s">
        <v>5062</v>
      </c>
      <c r="N230" s="15" t="s">
        <v>147</v>
      </c>
      <c r="O230" s="17">
        <v>51.2</v>
      </c>
      <c r="P230" s="15" t="s">
        <v>148</v>
      </c>
      <c r="Q230" s="15" t="s">
        <v>149</v>
      </c>
      <c r="R230" s="15" t="s">
        <v>174</v>
      </c>
      <c r="S230" s="15" t="s">
        <v>5063</v>
      </c>
      <c r="T230" s="18">
        <v>190</v>
      </c>
      <c r="U230" s="15" t="s">
        <v>5064</v>
      </c>
      <c r="V230" s="15" t="s">
        <v>138</v>
      </c>
      <c r="W230" s="15" t="s">
        <v>138</v>
      </c>
      <c r="X230" s="19" t="s">
        <v>138</v>
      </c>
      <c r="Y230" s="15" t="s">
        <v>138</v>
      </c>
      <c r="Z230" s="15" t="s">
        <v>138</v>
      </c>
      <c r="AA230" s="15" t="s">
        <v>138</v>
      </c>
      <c r="AB230" s="20">
        <v>15</v>
      </c>
      <c r="AC230" s="20" t="s">
        <v>138</v>
      </c>
      <c r="AD230" s="20" t="s">
        <v>138</v>
      </c>
      <c r="AE230" s="20" t="s">
        <v>138</v>
      </c>
      <c r="AF230" s="20" t="s">
        <v>138</v>
      </c>
      <c r="AG230" s="15" t="s">
        <v>419</v>
      </c>
      <c r="AH230" s="20" t="s">
        <v>138</v>
      </c>
      <c r="AI230" s="20" t="s">
        <v>138</v>
      </c>
      <c r="AJ230" s="20" t="s">
        <v>138</v>
      </c>
      <c r="AK230" s="15" t="s">
        <v>5065</v>
      </c>
      <c r="AL230" s="15" t="s">
        <v>5066</v>
      </c>
      <c r="AM230" s="15" t="s">
        <v>986</v>
      </c>
      <c r="AN230" s="15" t="s">
        <v>5067</v>
      </c>
      <c r="AO230" s="15" t="s">
        <v>5068</v>
      </c>
      <c r="AP230" s="15" t="s">
        <v>3905</v>
      </c>
      <c r="AQ230" s="15" t="s">
        <v>5069</v>
      </c>
      <c r="AR230" s="15" t="s">
        <v>5070</v>
      </c>
      <c r="AS230" s="15" t="s">
        <v>3907</v>
      </c>
      <c r="AT230" s="15" t="s">
        <v>2740</v>
      </c>
      <c r="AU230" s="15" t="s">
        <v>5071</v>
      </c>
      <c r="AV230" s="15" t="s">
        <v>2742</v>
      </c>
      <c r="AW230" s="15" t="s">
        <v>5068</v>
      </c>
      <c r="AX230" s="15" t="s">
        <v>138</v>
      </c>
      <c r="AY230" s="15" t="s">
        <v>138</v>
      </c>
      <c r="AZ230" s="15" t="s">
        <v>164</v>
      </c>
      <c r="BA230" s="15" t="s">
        <v>165</v>
      </c>
      <c r="BB230" s="15" t="s">
        <v>5072</v>
      </c>
      <c r="BC230" s="15" t="s">
        <v>5073</v>
      </c>
      <c r="BD230" s="21">
        <v>27</v>
      </c>
      <c r="BE230" s="15" t="s">
        <v>138</v>
      </c>
      <c r="BF230" s="15" t="s">
        <v>138</v>
      </c>
      <c r="BG230" s="15" t="s">
        <v>138</v>
      </c>
      <c r="BH230" s="15" t="s">
        <v>5074</v>
      </c>
      <c r="BI230" s="15" t="s">
        <v>138</v>
      </c>
      <c r="BJ230" s="15" t="s">
        <v>138</v>
      </c>
      <c r="BK230" s="15" t="s">
        <v>1251</v>
      </c>
      <c r="BL230" s="15" t="s">
        <v>1251</v>
      </c>
      <c r="BM230" s="22">
        <v>40179</v>
      </c>
      <c r="BN230" s="17" t="s">
        <v>138</v>
      </c>
      <c r="BO230" s="15" t="s">
        <v>138</v>
      </c>
      <c r="BP230" s="17" t="s">
        <v>138</v>
      </c>
      <c r="BQ230" s="15" t="s">
        <v>138</v>
      </c>
      <c r="BR230" s="15" t="s">
        <v>316</v>
      </c>
      <c r="BS230" s="15" t="s">
        <v>138</v>
      </c>
      <c r="BT230" s="15" t="s">
        <v>138</v>
      </c>
      <c r="BU230" s="15" t="s">
        <v>177</v>
      </c>
      <c r="BV230" s="15" t="s">
        <v>138</v>
      </c>
      <c r="BW230" s="15" t="s">
        <v>138</v>
      </c>
      <c r="BX230" s="15" t="s">
        <v>138</v>
      </c>
      <c r="BY230" s="15" t="s">
        <v>175</v>
      </c>
      <c r="BZ230" s="22">
        <v>43223</v>
      </c>
      <c r="CA230" s="17">
        <v>40</v>
      </c>
      <c r="CB230" s="15" t="s">
        <v>172</v>
      </c>
      <c r="CC230" s="17" t="s">
        <v>138</v>
      </c>
      <c r="CD230" s="15" t="s">
        <v>138</v>
      </c>
      <c r="CE230" s="15" t="s">
        <v>205</v>
      </c>
      <c r="CF230" s="15" t="s">
        <v>720</v>
      </c>
      <c r="CG230" s="15" t="s">
        <v>138</v>
      </c>
      <c r="CH230" s="15" t="s">
        <v>174</v>
      </c>
      <c r="CI230" s="15" t="s">
        <v>138</v>
      </c>
      <c r="CJ230" s="15" t="s">
        <v>138</v>
      </c>
      <c r="CK230" s="15" t="s">
        <v>138</v>
      </c>
      <c r="CL230" s="15" t="s">
        <v>175</v>
      </c>
      <c r="CM230" s="22" t="s">
        <v>138</v>
      </c>
      <c r="CN230" s="17" t="s">
        <v>138</v>
      </c>
      <c r="CO230" s="23">
        <v>1.38</v>
      </c>
      <c r="CP230" s="24">
        <v>98</v>
      </c>
      <c r="CQ230" s="23">
        <v>0.01</v>
      </c>
      <c r="CR230" s="23">
        <v>1.02</v>
      </c>
      <c r="CS230" s="23">
        <v>2.58</v>
      </c>
      <c r="CT230" s="24">
        <v>99</v>
      </c>
      <c r="CU230" s="23">
        <v>0.18</v>
      </c>
      <c r="CV230" s="24">
        <v>78</v>
      </c>
      <c r="CW230" s="23">
        <v>2.58</v>
      </c>
      <c r="CX230" s="24">
        <v>90</v>
      </c>
      <c r="CY230" s="23" t="s">
        <v>138</v>
      </c>
      <c r="CZ230" s="24" t="s">
        <v>138</v>
      </c>
      <c r="DA230" s="23">
        <v>0.18</v>
      </c>
      <c r="DB230" s="24">
        <v>81</v>
      </c>
      <c r="DC230" s="25">
        <v>5.34</v>
      </c>
      <c r="DD230" s="24">
        <v>83</v>
      </c>
      <c r="DE230" s="25">
        <v>-0.34</v>
      </c>
      <c r="DF230" s="23">
        <v>-6</v>
      </c>
      <c r="DG230" s="25">
        <v>5.69</v>
      </c>
      <c r="DH230" s="24">
        <v>84</v>
      </c>
      <c r="DI230" s="25">
        <v>5</v>
      </c>
      <c r="DJ230" s="24">
        <v>77</v>
      </c>
      <c r="DK230" s="25">
        <v>5.69</v>
      </c>
      <c r="DL230" s="24">
        <v>81</v>
      </c>
      <c r="DM230" s="25" t="s">
        <v>138</v>
      </c>
      <c r="DN230" s="24" t="s">
        <v>138</v>
      </c>
      <c r="DO230" s="25">
        <v>5</v>
      </c>
      <c r="DP230" s="24">
        <v>79</v>
      </c>
      <c r="DQ230" s="24">
        <v>1914</v>
      </c>
      <c r="DR230" s="26">
        <v>106</v>
      </c>
      <c r="DS230" s="23">
        <v>5.86</v>
      </c>
      <c r="DT230" s="24" t="s">
        <v>138</v>
      </c>
      <c r="DU230" s="26" t="s">
        <v>138</v>
      </c>
      <c r="DV230" s="23" t="s">
        <v>138</v>
      </c>
      <c r="DW230" s="24">
        <v>1786</v>
      </c>
      <c r="DX230" s="27">
        <v>7</v>
      </c>
      <c r="DY230" s="23">
        <v>0.39</v>
      </c>
      <c r="DZ230" s="15" t="s">
        <v>178</v>
      </c>
      <c r="EA230" s="22">
        <v>43622</v>
      </c>
      <c r="EB230" s="17" t="s">
        <v>138</v>
      </c>
      <c r="EC230" s="22" t="s">
        <v>138</v>
      </c>
      <c r="ED230" s="15" t="s">
        <v>138</v>
      </c>
      <c r="EE230" s="14" t="str">
        <f>HYPERLINK("https://my.pitchbook.com?c=59277-70", "View company online")</f>
        <v>View company online</v>
      </c>
    </row>
    <row r="231" spans="1:135">
      <c r="A231" s="28" t="s">
        <v>5075</v>
      </c>
      <c r="B231" s="28" t="s">
        <v>5076</v>
      </c>
      <c r="C231" s="28" t="s">
        <v>138</v>
      </c>
      <c r="D231" s="28" t="s">
        <v>138</v>
      </c>
      <c r="E231" s="28" t="s">
        <v>5077</v>
      </c>
      <c r="F231" s="28" t="s">
        <v>5075</v>
      </c>
      <c r="G231" s="28" t="s">
        <v>5078</v>
      </c>
      <c r="H231" s="28" t="s">
        <v>238</v>
      </c>
      <c r="I231" s="28" t="s">
        <v>269</v>
      </c>
      <c r="J231" s="28" t="s">
        <v>296</v>
      </c>
      <c r="K231" s="28" t="s">
        <v>2187</v>
      </c>
      <c r="L231" s="28" t="s">
        <v>5079</v>
      </c>
      <c r="M231" s="28" t="s">
        <v>5080</v>
      </c>
      <c r="N231" s="28" t="s">
        <v>147</v>
      </c>
      <c r="O231" s="29">
        <v>50.19</v>
      </c>
      <c r="P231" s="28" t="s">
        <v>148</v>
      </c>
      <c r="Q231" s="28" t="s">
        <v>149</v>
      </c>
      <c r="R231" s="28" t="s">
        <v>174</v>
      </c>
      <c r="S231" s="28" t="s">
        <v>5081</v>
      </c>
      <c r="T231" s="30" t="s">
        <v>138</v>
      </c>
      <c r="U231" s="28" t="s">
        <v>138</v>
      </c>
      <c r="V231" s="28" t="s">
        <v>138</v>
      </c>
      <c r="W231" s="28" t="s">
        <v>138</v>
      </c>
      <c r="X231" s="31">
        <v>2008</v>
      </c>
      <c r="Y231" s="28" t="s">
        <v>138</v>
      </c>
      <c r="Z231" s="28" t="s">
        <v>138</v>
      </c>
      <c r="AA231" s="28" t="s">
        <v>138</v>
      </c>
      <c r="AB231" s="32" t="s">
        <v>138</v>
      </c>
      <c r="AC231" s="32" t="s">
        <v>138</v>
      </c>
      <c r="AD231" s="32" t="s">
        <v>138</v>
      </c>
      <c r="AE231" s="32" t="s">
        <v>138</v>
      </c>
      <c r="AF231" s="32" t="s">
        <v>138</v>
      </c>
      <c r="AG231" s="28" t="s">
        <v>138</v>
      </c>
      <c r="AH231" s="32" t="s">
        <v>138</v>
      </c>
      <c r="AI231" s="32" t="s">
        <v>138</v>
      </c>
      <c r="AJ231" s="32" t="s">
        <v>138</v>
      </c>
      <c r="AK231" s="28" t="s">
        <v>5082</v>
      </c>
      <c r="AL231" s="28" t="s">
        <v>5083</v>
      </c>
      <c r="AM231" s="28" t="s">
        <v>4011</v>
      </c>
      <c r="AN231" s="28" t="s">
        <v>5084</v>
      </c>
      <c r="AO231" s="28" t="s">
        <v>5085</v>
      </c>
      <c r="AP231" s="28" t="s">
        <v>1220</v>
      </c>
      <c r="AQ231" s="28" t="s">
        <v>5086</v>
      </c>
      <c r="AR231" s="28" t="s">
        <v>138</v>
      </c>
      <c r="AS231" s="28" t="s">
        <v>1223</v>
      </c>
      <c r="AT231" s="28" t="s">
        <v>200</v>
      </c>
      <c r="AU231" s="28" t="s">
        <v>5087</v>
      </c>
      <c r="AV231" s="28" t="s">
        <v>162</v>
      </c>
      <c r="AW231" s="28" t="s">
        <v>5085</v>
      </c>
      <c r="AX231" s="28" t="s">
        <v>5088</v>
      </c>
      <c r="AY231" s="28" t="s">
        <v>5089</v>
      </c>
      <c r="AZ231" s="28" t="s">
        <v>164</v>
      </c>
      <c r="BA231" s="28" t="s">
        <v>165</v>
      </c>
      <c r="BB231" s="28" t="s">
        <v>5090</v>
      </c>
      <c r="BC231" s="28" t="s">
        <v>5091</v>
      </c>
      <c r="BD231" s="33">
        <v>8</v>
      </c>
      <c r="BE231" s="28" t="s">
        <v>138</v>
      </c>
      <c r="BF231" s="28" t="s">
        <v>138</v>
      </c>
      <c r="BG231" s="28" t="s">
        <v>138</v>
      </c>
      <c r="BH231" s="28" t="s">
        <v>5092</v>
      </c>
      <c r="BI231" s="28" t="s">
        <v>138</v>
      </c>
      <c r="BJ231" s="28" t="s">
        <v>138</v>
      </c>
      <c r="BK231" s="28" t="s">
        <v>290</v>
      </c>
      <c r="BL231" s="28" t="s">
        <v>5093</v>
      </c>
      <c r="BM231" s="34">
        <v>39508</v>
      </c>
      <c r="BN231" s="29">
        <v>10.1</v>
      </c>
      <c r="BO231" s="28" t="s">
        <v>172</v>
      </c>
      <c r="BP231" s="29">
        <v>22.2</v>
      </c>
      <c r="BQ231" s="28" t="s">
        <v>172</v>
      </c>
      <c r="BR231" s="28" t="s">
        <v>205</v>
      </c>
      <c r="BS231" s="28" t="s">
        <v>206</v>
      </c>
      <c r="BT231" s="28" t="s">
        <v>138</v>
      </c>
      <c r="BU231" s="28" t="s">
        <v>174</v>
      </c>
      <c r="BV231" s="28" t="s">
        <v>138</v>
      </c>
      <c r="BW231" s="28" t="s">
        <v>138</v>
      </c>
      <c r="BX231" s="28" t="s">
        <v>138</v>
      </c>
      <c r="BY231" s="28" t="s">
        <v>175</v>
      </c>
      <c r="BZ231" s="34">
        <v>42979</v>
      </c>
      <c r="CA231" s="29" t="s">
        <v>138</v>
      </c>
      <c r="CB231" s="28" t="s">
        <v>138</v>
      </c>
      <c r="CC231" s="29" t="s">
        <v>138</v>
      </c>
      <c r="CD231" s="28" t="s">
        <v>138</v>
      </c>
      <c r="CE231" s="28" t="s">
        <v>173</v>
      </c>
      <c r="CF231" s="28" t="s">
        <v>482</v>
      </c>
      <c r="CG231" s="28" t="s">
        <v>138</v>
      </c>
      <c r="CH231" s="28" t="s">
        <v>174</v>
      </c>
      <c r="CI231" s="28" t="s">
        <v>138</v>
      </c>
      <c r="CJ231" s="28" t="s">
        <v>138</v>
      </c>
      <c r="CK231" s="28" t="s">
        <v>138</v>
      </c>
      <c r="CL231" s="28" t="s">
        <v>175</v>
      </c>
      <c r="CM231" s="34" t="s">
        <v>138</v>
      </c>
      <c r="CN231" s="29" t="s">
        <v>138</v>
      </c>
      <c r="CO231" s="35">
        <v>0</v>
      </c>
      <c r="CP231" s="36">
        <v>26</v>
      </c>
      <c r="CQ231" s="35">
        <v>0</v>
      </c>
      <c r="CR231" s="35">
        <v>0</v>
      </c>
      <c r="CS231" s="35">
        <v>0</v>
      </c>
      <c r="CT231" s="36">
        <v>23</v>
      </c>
      <c r="CU231" s="35" t="s">
        <v>138</v>
      </c>
      <c r="CV231" s="36" t="s">
        <v>138</v>
      </c>
      <c r="CW231" s="35" t="s">
        <v>138</v>
      </c>
      <c r="CX231" s="36" t="s">
        <v>138</v>
      </c>
      <c r="CY231" s="35">
        <v>0</v>
      </c>
      <c r="CZ231" s="36">
        <v>25</v>
      </c>
      <c r="DA231" s="35" t="s">
        <v>138</v>
      </c>
      <c r="DB231" s="36" t="s">
        <v>138</v>
      </c>
      <c r="DC231" s="37">
        <v>0.1</v>
      </c>
      <c r="DD231" s="36">
        <v>7</v>
      </c>
      <c r="DE231" s="37">
        <v>0</v>
      </c>
      <c r="DF231" s="35">
        <v>0</v>
      </c>
      <c r="DG231" s="37">
        <v>0.1</v>
      </c>
      <c r="DH231" s="36">
        <v>7</v>
      </c>
      <c r="DI231" s="37" t="s">
        <v>138</v>
      </c>
      <c r="DJ231" s="36" t="s">
        <v>138</v>
      </c>
      <c r="DK231" s="37" t="s">
        <v>138</v>
      </c>
      <c r="DL231" s="36" t="s">
        <v>138</v>
      </c>
      <c r="DM231" s="37">
        <v>0.1</v>
      </c>
      <c r="DN231" s="36">
        <v>8</v>
      </c>
      <c r="DO231" s="37" t="s">
        <v>138</v>
      </c>
      <c r="DP231" s="36" t="s">
        <v>138</v>
      </c>
      <c r="DQ231" s="36" t="s">
        <v>138</v>
      </c>
      <c r="DR231" s="38" t="s">
        <v>138</v>
      </c>
      <c r="DS231" s="35" t="s">
        <v>138</v>
      </c>
      <c r="DT231" s="36">
        <v>3</v>
      </c>
      <c r="DU231" s="38">
        <v>0</v>
      </c>
      <c r="DV231" s="35">
        <v>0</v>
      </c>
      <c r="DW231" s="36" t="s">
        <v>138</v>
      </c>
      <c r="DX231" s="39" t="s">
        <v>138</v>
      </c>
      <c r="DY231" s="35" t="s">
        <v>138</v>
      </c>
      <c r="DZ231" s="28" t="s">
        <v>178</v>
      </c>
      <c r="EA231" s="34">
        <v>43588</v>
      </c>
      <c r="EB231" s="29">
        <v>95.51</v>
      </c>
      <c r="EC231" s="34">
        <v>41198</v>
      </c>
      <c r="ED231" s="28" t="s">
        <v>173</v>
      </c>
      <c r="EE231" s="40" t="str">
        <f>HYPERLINK("https://my.pitchbook.com?c=52785-01", "View company online")</f>
        <v>View company online</v>
      </c>
    </row>
    <row r="232" spans="1:135">
      <c r="A232" s="15" t="s">
        <v>5094</v>
      </c>
      <c r="B232" s="15" t="s">
        <v>5095</v>
      </c>
      <c r="C232" s="15" t="s">
        <v>5096</v>
      </c>
      <c r="D232" s="15" t="s">
        <v>5097</v>
      </c>
      <c r="E232" s="15" t="s">
        <v>138</v>
      </c>
      <c r="F232" s="15" t="s">
        <v>5094</v>
      </c>
      <c r="G232" s="15" t="s">
        <v>5098</v>
      </c>
      <c r="H232" s="15" t="s">
        <v>890</v>
      </c>
      <c r="I232" s="15" t="s">
        <v>5099</v>
      </c>
      <c r="J232" s="15" t="s">
        <v>351</v>
      </c>
      <c r="K232" s="15" t="s">
        <v>5100</v>
      </c>
      <c r="L232" s="15" t="s">
        <v>5101</v>
      </c>
      <c r="M232" s="15" t="s">
        <v>5102</v>
      </c>
      <c r="N232" s="15" t="s">
        <v>147</v>
      </c>
      <c r="O232" s="17">
        <v>3</v>
      </c>
      <c r="P232" s="15" t="s">
        <v>148</v>
      </c>
      <c r="Q232" s="15" t="s">
        <v>149</v>
      </c>
      <c r="R232" s="15" t="s">
        <v>174</v>
      </c>
      <c r="S232" s="15" t="s">
        <v>5103</v>
      </c>
      <c r="T232" s="18">
        <v>4</v>
      </c>
      <c r="U232" s="15" t="s">
        <v>4046</v>
      </c>
      <c r="V232" s="15" t="s">
        <v>138</v>
      </c>
      <c r="W232" s="15" t="s">
        <v>138</v>
      </c>
      <c r="X232" s="19">
        <v>2000</v>
      </c>
      <c r="Y232" s="15" t="s">
        <v>138</v>
      </c>
      <c r="Z232" s="15" t="s">
        <v>138</v>
      </c>
      <c r="AA232" s="15" t="s">
        <v>138</v>
      </c>
      <c r="AB232" s="20" t="s">
        <v>138</v>
      </c>
      <c r="AC232" s="20" t="s">
        <v>138</v>
      </c>
      <c r="AD232" s="20" t="s">
        <v>138</v>
      </c>
      <c r="AE232" s="20" t="s">
        <v>138</v>
      </c>
      <c r="AF232" s="20" t="s">
        <v>138</v>
      </c>
      <c r="AG232" s="15" t="s">
        <v>138</v>
      </c>
      <c r="AH232" s="20" t="s">
        <v>138</v>
      </c>
      <c r="AI232" s="20" t="s">
        <v>138</v>
      </c>
      <c r="AJ232" s="20" t="s">
        <v>138</v>
      </c>
      <c r="AK232" s="15" t="s">
        <v>5104</v>
      </c>
      <c r="AL232" s="15" t="s">
        <v>5105</v>
      </c>
      <c r="AM232" s="15" t="s">
        <v>5106</v>
      </c>
      <c r="AN232" s="15" t="s">
        <v>5107</v>
      </c>
      <c r="AO232" s="15" t="s">
        <v>5108</v>
      </c>
      <c r="AP232" s="15" t="s">
        <v>2880</v>
      </c>
      <c r="AQ232" s="15" t="s">
        <v>5109</v>
      </c>
      <c r="AR232" s="15" t="s">
        <v>5110</v>
      </c>
      <c r="AS232" s="15" t="s">
        <v>2882</v>
      </c>
      <c r="AT232" s="15" t="s">
        <v>2883</v>
      </c>
      <c r="AU232" s="15" t="s">
        <v>5111</v>
      </c>
      <c r="AV232" s="15" t="s">
        <v>162</v>
      </c>
      <c r="AW232" s="15" t="s">
        <v>5108</v>
      </c>
      <c r="AX232" s="15" t="s">
        <v>5112</v>
      </c>
      <c r="AY232" s="15" t="s">
        <v>5113</v>
      </c>
      <c r="AZ232" s="15" t="s">
        <v>164</v>
      </c>
      <c r="BA232" s="15" t="s">
        <v>165</v>
      </c>
      <c r="BB232" s="15" t="s">
        <v>5114</v>
      </c>
      <c r="BC232" s="15" t="s">
        <v>5115</v>
      </c>
      <c r="BD232" s="21">
        <v>2</v>
      </c>
      <c r="BE232" s="15" t="s">
        <v>138</v>
      </c>
      <c r="BF232" s="15" t="s">
        <v>138</v>
      </c>
      <c r="BG232" s="15" t="s">
        <v>138</v>
      </c>
      <c r="BH232" s="15" t="s">
        <v>5116</v>
      </c>
      <c r="BI232" s="15" t="s">
        <v>138</v>
      </c>
      <c r="BJ232" s="15" t="s">
        <v>138</v>
      </c>
      <c r="BK232" s="15" t="s">
        <v>5117</v>
      </c>
      <c r="BL232" s="15" t="s">
        <v>138</v>
      </c>
      <c r="BM232" s="22">
        <v>42373</v>
      </c>
      <c r="BN232" s="17">
        <v>3</v>
      </c>
      <c r="BO232" s="15" t="s">
        <v>172</v>
      </c>
      <c r="BP232" s="17" t="s">
        <v>138</v>
      </c>
      <c r="BQ232" s="15" t="s">
        <v>138</v>
      </c>
      <c r="BR232" s="15" t="s">
        <v>205</v>
      </c>
      <c r="BS232" s="15" t="s">
        <v>138</v>
      </c>
      <c r="BT232" s="15" t="s">
        <v>138</v>
      </c>
      <c r="BU232" s="15" t="s">
        <v>174</v>
      </c>
      <c r="BV232" s="15" t="s">
        <v>138</v>
      </c>
      <c r="BW232" s="15" t="s">
        <v>138</v>
      </c>
      <c r="BX232" s="15" t="s">
        <v>138</v>
      </c>
      <c r="BY232" s="15" t="s">
        <v>175</v>
      </c>
      <c r="BZ232" s="22">
        <v>42373</v>
      </c>
      <c r="CA232" s="17">
        <v>3</v>
      </c>
      <c r="CB232" s="15" t="s">
        <v>172</v>
      </c>
      <c r="CC232" s="17" t="s">
        <v>138</v>
      </c>
      <c r="CD232" s="15" t="s">
        <v>138</v>
      </c>
      <c r="CE232" s="15" t="s">
        <v>205</v>
      </c>
      <c r="CF232" s="15" t="s">
        <v>138</v>
      </c>
      <c r="CG232" s="15" t="s">
        <v>138</v>
      </c>
      <c r="CH232" s="15" t="s">
        <v>174</v>
      </c>
      <c r="CI232" s="15" t="s">
        <v>138</v>
      </c>
      <c r="CJ232" s="15" t="s">
        <v>138</v>
      </c>
      <c r="CK232" s="15" t="s">
        <v>138</v>
      </c>
      <c r="CL232" s="15" t="s">
        <v>175</v>
      </c>
      <c r="CM232" s="22" t="s">
        <v>138</v>
      </c>
      <c r="CN232" s="17" t="s">
        <v>138</v>
      </c>
      <c r="CO232" s="23">
        <v>0.3</v>
      </c>
      <c r="CP232" s="24">
        <v>94</v>
      </c>
      <c r="CQ232" s="23">
        <v>0</v>
      </c>
      <c r="CR232" s="23">
        <v>-0.4</v>
      </c>
      <c r="CS232" s="23">
        <v>0</v>
      </c>
      <c r="CT232" s="24">
        <v>23</v>
      </c>
      <c r="CU232" s="23">
        <v>0.6</v>
      </c>
      <c r="CV232" s="24">
        <v>95</v>
      </c>
      <c r="CW232" s="23" t="s">
        <v>138</v>
      </c>
      <c r="CX232" s="24" t="s">
        <v>138</v>
      </c>
      <c r="CY232" s="23">
        <v>0</v>
      </c>
      <c r="CZ232" s="24">
        <v>25</v>
      </c>
      <c r="DA232" s="23">
        <v>0.6</v>
      </c>
      <c r="DB232" s="24">
        <v>95</v>
      </c>
      <c r="DC232" s="25">
        <v>1.63</v>
      </c>
      <c r="DD232" s="24">
        <v>63</v>
      </c>
      <c r="DE232" s="25">
        <v>-0.01</v>
      </c>
      <c r="DF232" s="23">
        <v>-0.84</v>
      </c>
      <c r="DG232" s="25">
        <v>2.5499999999999998</v>
      </c>
      <c r="DH232" s="24">
        <v>71</v>
      </c>
      <c r="DI232" s="25">
        <v>0.72</v>
      </c>
      <c r="DJ232" s="24">
        <v>43</v>
      </c>
      <c r="DK232" s="25" t="s">
        <v>138</v>
      </c>
      <c r="DL232" s="24" t="s">
        <v>138</v>
      </c>
      <c r="DM232" s="25">
        <v>2.5499999999999998</v>
      </c>
      <c r="DN232" s="24">
        <v>70</v>
      </c>
      <c r="DO232" s="25">
        <v>0.72</v>
      </c>
      <c r="DP232" s="24">
        <v>44</v>
      </c>
      <c r="DQ232" s="24">
        <v>341</v>
      </c>
      <c r="DR232" s="26">
        <v>18</v>
      </c>
      <c r="DS232" s="23">
        <v>5.57</v>
      </c>
      <c r="DT232" s="24">
        <v>74</v>
      </c>
      <c r="DU232" s="26">
        <v>-1</v>
      </c>
      <c r="DV232" s="23">
        <v>-1.33</v>
      </c>
      <c r="DW232" s="24">
        <v>257</v>
      </c>
      <c r="DX232" s="27">
        <v>1</v>
      </c>
      <c r="DY232" s="23">
        <v>0.39</v>
      </c>
      <c r="DZ232" s="15" t="s">
        <v>178</v>
      </c>
      <c r="EA232" s="22">
        <v>43581</v>
      </c>
      <c r="EB232" s="17" t="s">
        <v>138</v>
      </c>
      <c r="EC232" s="22" t="s">
        <v>138</v>
      </c>
      <c r="ED232" s="15" t="s">
        <v>138</v>
      </c>
      <c r="EE232" s="14" t="str">
        <f>HYPERLINK("https://my.pitchbook.com?c=11319-04", "View company online")</f>
        <v>View company online</v>
      </c>
    </row>
    <row r="233" spans="1:135">
      <c r="A233" s="28" t="s">
        <v>5118</v>
      </c>
      <c r="B233" s="28" t="s">
        <v>5119</v>
      </c>
      <c r="C233" s="28" t="s">
        <v>138</v>
      </c>
      <c r="D233" s="28" t="s">
        <v>138</v>
      </c>
      <c r="E233" s="28" t="s">
        <v>138</v>
      </c>
      <c r="F233" s="28" t="s">
        <v>5118</v>
      </c>
      <c r="G233" s="28" t="s">
        <v>5120</v>
      </c>
      <c r="H233" s="28" t="s">
        <v>322</v>
      </c>
      <c r="I233" s="28" t="s">
        <v>356</v>
      </c>
      <c r="J233" s="28" t="s">
        <v>3030</v>
      </c>
      <c r="K233" s="28" t="s">
        <v>5121</v>
      </c>
      <c r="L233" s="28" t="s">
        <v>215</v>
      </c>
      <c r="M233" s="28" t="s">
        <v>5122</v>
      </c>
      <c r="N233" s="28" t="s">
        <v>147</v>
      </c>
      <c r="O233" s="29" t="s">
        <v>138</v>
      </c>
      <c r="P233" s="28" t="s">
        <v>610</v>
      </c>
      <c r="Q233" s="28" t="s">
        <v>149</v>
      </c>
      <c r="R233" s="28" t="s">
        <v>174</v>
      </c>
      <c r="S233" s="28" t="s">
        <v>5123</v>
      </c>
      <c r="T233" s="30">
        <v>8</v>
      </c>
      <c r="U233" s="28" t="s">
        <v>5124</v>
      </c>
      <c r="V233" s="28" t="s">
        <v>138</v>
      </c>
      <c r="W233" s="28" t="s">
        <v>138</v>
      </c>
      <c r="X233" s="31">
        <v>2015</v>
      </c>
      <c r="Y233" s="28" t="s">
        <v>138</v>
      </c>
      <c r="Z233" s="28" t="s">
        <v>138</v>
      </c>
      <c r="AA233" s="28" t="s">
        <v>138</v>
      </c>
      <c r="AB233" s="32" t="s">
        <v>138</v>
      </c>
      <c r="AC233" s="32" t="s">
        <v>138</v>
      </c>
      <c r="AD233" s="32" t="s">
        <v>138</v>
      </c>
      <c r="AE233" s="32" t="s">
        <v>138</v>
      </c>
      <c r="AF233" s="32" t="s">
        <v>138</v>
      </c>
      <c r="AG233" s="28" t="s">
        <v>138</v>
      </c>
      <c r="AH233" s="32" t="s">
        <v>138</v>
      </c>
      <c r="AI233" s="32" t="s">
        <v>138</v>
      </c>
      <c r="AJ233" s="32" t="s">
        <v>138</v>
      </c>
      <c r="AK233" s="28" t="s">
        <v>5125</v>
      </c>
      <c r="AL233" s="28" t="s">
        <v>5126</v>
      </c>
      <c r="AM233" s="28" t="s">
        <v>304</v>
      </c>
      <c r="AN233" s="28" t="s">
        <v>5127</v>
      </c>
      <c r="AO233" s="28" t="s">
        <v>5128</v>
      </c>
      <c r="AP233" s="28" t="s">
        <v>5129</v>
      </c>
      <c r="AQ233" s="28" t="s">
        <v>5130</v>
      </c>
      <c r="AR233" s="28" t="s">
        <v>138</v>
      </c>
      <c r="AS233" s="28" t="s">
        <v>5131</v>
      </c>
      <c r="AT233" s="28" t="s">
        <v>138</v>
      </c>
      <c r="AU233" s="28" t="s">
        <v>138</v>
      </c>
      <c r="AV233" s="28" t="s">
        <v>740</v>
      </c>
      <c r="AW233" s="28" t="s">
        <v>5128</v>
      </c>
      <c r="AX233" s="28" t="s">
        <v>138</v>
      </c>
      <c r="AY233" s="28" t="s">
        <v>5132</v>
      </c>
      <c r="AZ233" s="28" t="s">
        <v>742</v>
      </c>
      <c r="BA233" s="28" t="s">
        <v>742</v>
      </c>
      <c r="BB233" s="28" t="s">
        <v>5133</v>
      </c>
      <c r="BC233" s="28" t="s">
        <v>5134</v>
      </c>
      <c r="BD233" s="33">
        <v>2</v>
      </c>
      <c r="BE233" s="28" t="s">
        <v>138</v>
      </c>
      <c r="BF233" s="28" t="s">
        <v>138</v>
      </c>
      <c r="BG233" s="28" t="s">
        <v>138</v>
      </c>
      <c r="BH233" s="28" t="s">
        <v>5135</v>
      </c>
      <c r="BI233" s="28" t="s">
        <v>138</v>
      </c>
      <c r="BJ233" s="28" t="s">
        <v>138</v>
      </c>
      <c r="BK233" s="28" t="s">
        <v>138</v>
      </c>
      <c r="BL233" s="28" t="s">
        <v>138</v>
      </c>
      <c r="BM233" s="34" t="s">
        <v>138</v>
      </c>
      <c r="BN233" s="29" t="s">
        <v>138</v>
      </c>
      <c r="BO233" s="28" t="s">
        <v>138</v>
      </c>
      <c r="BP233" s="29" t="s">
        <v>138</v>
      </c>
      <c r="BQ233" s="28" t="s">
        <v>138</v>
      </c>
      <c r="BR233" s="28" t="s">
        <v>205</v>
      </c>
      <c r="BS233" s="28" t="s">
        <v>138</v>
      </c>
      <c r="BT233" s="28" t="s">
        <v>138</v>
      </c>
      <c r="BU233" s="28" t="s">
        <v>174</v>
      </c>
      <c r="BV233" s="28" t="s">
        <v>138</v>
      </c>
      <c r="BW233" s="28" t="s">
        <v>138</v>
      </c>
      <c r="BX233" s="28" t="s">
        <v>138</v>
      </c>
      <c r="BY233" s="28" t="s">
        <v>175</v>
      </c>
      <c r="BZ233" s="34" t="s">
        <v>138</v>
      </c>
      <c r="CA233" s="29" t="s">
        <v>138</v>
      </c>
      <c r="CB233" s="28" t="s">
        <v>138</v>
      </c>
      <c r="CC233" s="29" t="s">
        <v>138</v>
      </c>
      <c r="CD233" s="28" t="s">
        <v>138</v>
      </c>
      <c r="CE233" s="28" t="s">
        <v>205</v>
      </c>
      <c r="CF233" s="28" t="s">
        <v>138</v>
      </c>
      <c r="CG233" s="28" t="s">
        <v>138</v>
      </c>
      <c r="CH233" s="28" t="s">
        <v>174</v>
      </c>
      <c r="CI233" s="28" t="s">
        <v>138</v>
      </c>
      <c r="CJ233" s="28" t="s">
        <v>138</v>
      </c>
      <c r="CK233" s="28" t="s">
        <v>138</v>
      </c>
      <c r="CL233" s="28" t="s">
        <v>175</v>
      </c>
      <c r="CM233" s="34" t="s">
        <v>138</v>
      </c>
      <c r="CN233" s="29" t="s">
        <v>138</v>
      </c>
      <c r="CO233" s="35">
        <v>0</v>
      </c>
      <c r="CP233" s="36">
        <v>26</v>
      </c>
      <c r="CQ233" s="35">
        <v>0</v>
      </c>
      <c r="CR233" s="35">
        <v>0</v>
      </c>
      <c r="CS233" s="35">
        <v>0</v>
      </c>
      <c r="CT233" s="36">
        <v>23</v>
      </c>
      <c r="CU233" s="35" t="s">
        <v>138</v>
      </c>
      <c r="CV233" s="36" t="s">
        <v>138</v>
      </c>
      <c r="CW233" s="35" t="s">
        <v>138</v>
      </c>
      <c r="CX233" s="36" t="s">
        <v>138</v>
      </c>
      <c r="CY233" s="35">
        <v>0</v>
      </c>
      <c r="CZ233" s="36">
        <v>25</v>
      </c>
      <c r="DA233" s="35" t="s">
        <v>138</v>
      </c>
      <c r="DB233" s="36" t="s">
        <v>138</v>
      </c>
      <c r="DC233" s="37">
        <v>0.1</v>
      </c>
      <c r="DD233" s="36">
        <v>7</v>
      </c>
      <c r="DE233" s="37">
        <v>0</v>
      </c>
      <c r="DF233" s="35">
        <v>0</v>
      </c>
      <c r="DG233" s="37">
        <v>0.1</v>
      </c>
      <c r="DH233" s="36">
        <v>7</v>
      </c>
      <c r="DI233" s="37" t="s">
        <v>138</v>
      </c>
      <c r="DJ233" s="36" t="s">
        <v>138</v>
      </c>
      <c r="DK233" s="37" t="s">
        <v>138</v>
      </c>
      <c r="DL233" s="36" t="s">
        <v>138</v>
      </c>
      <c r="DM233" s="37">
        <v>0.1</v>
      </c>
      <c r="DN233" s="36">
        <v>8</v>
      </c>
      <c r="DO233" s="37" t="s">
        <v>138</v>
      </c>
      <c r="DP233" s="36" t="s">
        <v>138</v>
      </c>
      <c r="DQ233" s="36" t="s">
        <v>138</v>
      </c>
      <c r="DR233" s="38" t="s">
        <v>138</v>
      </c>
      <c r="DS233" s="35" t="s">
        <v>138</v>
      </c>
      <c r="DT233" s="36">
        <v>3</v>
      </c>
      <c r="DU233" s="38">
        <v>1</v>
      </c>
      <c r="DV233" s="35">
        <v>50</v>
      </c>
      <c r="DW233" s="36" t="s">
        <v>138</v>
      </c>
      <c r="DX233" s="39" t="s">
        <v>138</v>
      </c>
      <c r="DY233" s="35" t="s">
        <v>138</v>
      </c>
      <c r="DZ233" s="28" t="s">
        <v>178</v>
      </c>
      <c r="EA233" s="34">
        <v>43622</v>
      </c>
      <c r="EB233" s="29" t="s">
        <v>138</v>
      </c>
      <c r="EC233" s="34" t="s">
        <v>138</v>
      </c>
      <c r="ED233" s="28" t="s">
        <v>138</v>
      </c>
      <c r="EE233" s="40" t="str">
        <f>HYPERLINK("https://my.pitchbook.com?c=156118-06", "View company online")</f>
        <v>View company online</v>
      </c>
    </row>
    <row r="234" spans="1:135">
      <c r="A234" s="15" t="s">
        <v>5136</v>
      </c>
      <c r="B234" s="15" t="s">
        <v>5137</v>
      </c>
      <c r="C234" s="15" t="s">
        <v>138</v>
      </c>
      <c r="D234" s="15" t="s">
        <v>138</v>
      </c>
      <c r="E234" s="15" t="s">
        <v>138</v>
      </c>
      <c r="F234" s="15" t="s">
        <v>5136</v>
      </c>
      <c r="G234" s="15" t="s">
        <v>5138</v>
      </c>
      <c r="H234" s="15" t="s">
        <v>322</v>
      </c>
      <c r="I234" s="15" t="s">
        <v>323</v>
      </c>
      <c r="J234" s="15" t="s">
        <v>324</v>
      </c>
      <c r="K234" s="15" t="s">
        <v>3226</v>
      </c>
      <c r="L234" s="15" t="s">
        <v>5139</v>
      </c>
      <c r="M234" s="15" t="s">
        <v>5140</v>
      </c>
      <c r="N234" s="15" t="s">
        <v>147</v>
      </c>
      <c r="O234" s="17">
        <v>4.3</v>
      </c>
      <c r="P234" s="15" t="s">
        <v>148</v>
      </c>
      <c r="Q234" s="15" t="s">
        <v>149</v>
      </c>
      <c r="R234" s="15" t="s">
        <v>174</v>
      </c>
      <c r="S234" s="15" t="s">
        <v>5141</v>
      </c>
      <c r="T234" s="18" t="s">
        <v>138</v>
      </c>
      <c r="U234" s="15" t="s">
        <v>138</v>
      </c>
      <c r="V234" s="15" t="s">
        <v>138</v>
      </c>
      <c r="W234" s="15" t="s">
        <v>138</v>
      </c>
      <c r="X234" s="19">
        <v>2017</v>
      </c>
      <c r="Y234" s="15" t="s">
        <v>138</v>
      </c>
      <c r="Z234" s="15" t="s">
        <v>138</v>
      </c>
      <c r="AA234" s="15" t="s">
        <v>138</v>
      </c>
      <c r="AB234" s="20" t="s">
        <v>138</v>
      </c>
      <c r="AC234" s="20" t="s">
        <v>138</v>
      </c>
      <c r="AD234" s="20" t="s">
        <v>138</v>
      </c>
      <c r="AE234" s="20" t="s">
        <v>138</v>
      </c>
      <c r="AF234" s="20" t="s">
        <v>138</v>
      </c>
      <c r="AG234" s="15" t="s">
        <v>138</v>
      </c>
      <c r="AH234" s="20" t="s">
        <v>138</v>
      </c>
      <c r="AI234" s="20" t="s">
        <v>138</v>
      </c>
      <c r="AJ234" s="20" t="s">
        <v>138</v>
      </c>
      <c r="AK234" s="15" t="s">
        <v>5142</v>
      </c>
      <c r="AL234" s="15" t="s">
        <v>5143</v>
      </c>
      <c r="AM234" s="15" t="s">
        <v>5144</v>
      </c>
      <c r="AN234" s="15" t="s">
        <v>5145</v>
      </c>
      <c r="AO234" s="15" t="s">
        <v>138</v>
      </c>
      <c r="AP234" s="15" t="s">
        <v>1168</v>
      </c>
      <c r="AQ234" s="15" t="s">
        <v>5146</v>
      </c>
      <c r="AR234" s="15" t="s">
        <v>1459</v>
      </c>
      <c r="AS234" s="15" t="s">
        <v>1171</v>
      </c>
      <c r="AT234" s="15" t="s">
        <v>200</v>
      </c>
      <c r="AU234" s="15" t="s">
        <v>4152</v>
      </c>
      <c r="AV234" s="15" t="s">
        <v>162</v>
      </c>
      <c r="AW234" s="15" t="s">
        <v>138</v>
      </c>
      <c r="AX234" s="15" t="s">
        <v>138</v>
      </c>
      <c r="AY234" s="15" t="s">
        <v>5147</v>
      </c>
      <c r="AZ234" s="15" t="s">
        <v>164</v>
      </c>
      <c r="BA234" s="15" t="s">
        <v>165</v>
      </c>
      <c r="BB234" s="15" t="s">
        <v>5148</v>
      </c>
      <c r="BC234" s="15" t="s">
        <v>5149</v>
      </c>
      <c r="BD234" s="21">
        <v>4</v>
      </c>
      <c r="BE234" s="15" t="s">
        <v>138</v>
      </c>
      <c r="BF234" s="15" t="s">
        <v>138</v>
      </c>
      <c r="BG234" s="15" t="s">
        <v>138</v>
      </c>
      <c r="BH234" s="15" t="s">
        <v>5150</v>
      </c>
      <c r="BI234" s="15" t="s">
        <v>138</v>
      </c>
      <c r="BJ234" s="15" t="s">
        <v>138</v>
      </c>
      <c r="BK234" s="15" t="s">
        <v>138</v>
      </c>
      <c r="BL234" s="15" t="s">
        <v>138</v>
      </c>
      <c r="BM234" s="22">
        <v>43088</v>
      </c>
      <c r="BN234" s="17">
        <v>1</v>
      </c>
      <c r="BO234" s="15" t="s">
        <v>1178</v>
      </c>
      <c r="BP234" s="17">
        <v>3</v>
      </c>
      <c r="BQ234" s="15" t="s">
        <v>172</v>
      </c>
      <c r="BR234" s="15" t="s">
        <v>234</v>
      </c>
      <c r="BS234" s="15" t="s">
        <v>234</v>
      </c>
      <c r="BT234" s="15" t="s">
        <v>138</v>
      </c>
      <c r="BU234" s="15" t="s">
        <v>174</v>
      </c>
      <c r="BV234" s="15" t="s">
        <v>138</v>
      </c>
      <c r="BW234" s="15" t="s">
        <v>138</v>
      </c>
      <c r="BX234" s="15" t="s">
        <v>138</v>
      </c>
      <c r="BY234" s="15" t="s">
        <v>175</v>
      </c>
      <c r="BZ234" s="22">
        <v>43581</v>
      </c>
      <c r="CA234" s="17">
        <v>3.3</v>
      </c>
      <c r="CB234" s="15" t="s">
        <v>1178</v>
      </c>
      <c r="CC234" s="17">
        <v>19.3</v>
      </c>
      <c r="CD234" s="15" t="s">
        <v>172</v>
      </c>
      <c r="CE234" s="15" t="s">
        <v>234</v>
      </c>
      <c r="CF234" s="15" t="s">
        <v>234</v>
      </c>
      <c r="CG234" s="15" t="s">
        <v>138</v>
      </c>
      <c r="CH234" s="15" t="s">
        <v>174</v>
      </c>
      <c r="CI234" s="15" t="s">
        <v>138</v>
      </c>
      <c r="CJ234" s="15" t="s">
        <v>138</v>
      </c>
      <c r="CK234" s="15" t="s">
        <v>138</v>
      </c>
      <c r="CL234" s="15" t="s">
        <v>175</v>
      </c>
      <c r="CM234" s="22" t="s">
        <v>138</v>
      </c>
      <c r="CN234" s="17" t="s">
        <v>138</v>
      </c>
      <c r="CO234" s="23">
        <v>0</v>
      </c>
      <c r="CP234" s="24">
        <v>26</v>
      </c>
      <c r="CQ234" s="23">
        <v>0</v>
      </c>
      <c r="CR234" s="23">
        <v>0</v>
      </c>
      <c r="CS234" s="23">
        <v>0</v>
      </c>
      <c r="CT234" s="24">
        <v>23</v>
      </c>
      <c r="CU234" s="23">
        <v>0</v>
      </c>
      <c r="CV234" s="24">
        <v>22</v>
      </c>
      <c r="CW234" s="23">
        <v>0</v>
      </c>
      <c r="CX234" s="24">
        <v>13</v>
      </c>
      <c r="CY234" s="23" t="s">
        <v>138</v>
      </c>
      <c r="CZ234" s="24" t="s">
        <v>138</v>
      </c>
      <c r="DA234" s="23" t="s">
        <v>138</v>
      </c>
      <c r="DB234" s="24" t="s">
        <v>138</v>
      </c>
      <c r="DC234" s="25">
        <v>0.17</v>
      </c>
      <c r="DD234" s="24">
        <v>13</v>
      </c>
      <c r="DE234" s="25">
        <v>-0.02</v>
      </c>
      <c r="DF234" s="23">
        <v>-11.27</v>
      </c>
      <c r="DG234" s="25">
        <v>0.34</v>
      </c>
      <c r="DH234" s="24">
        <v>25</v>
      </c>
      <c r="DI234" s="25">
        <v>0</v>
      </c>
      <c r="DJ234" s="24">
        <v>1</v>
      </c>
      <c r="DK234" s="25">
        <v>0.34</v>
      </c>
      <c r="DL234" s="24">
        <v>24</v>
      </c>
      <c r="DM234" s="25" t="s">
        <v>138</v>
      </c>
      <c r="DN234" s="24" t="s">
        <v>138</v>
      </c>
      <c r="DO234" s="25" t="s">
        <v>138</v>
      </c>
      <c r="DP234" s="24" t="s">
        <v>138</v>
      </c>
      <c r="DQ234" s="24">
        <v>117</v>
      </c>
      <c r="DR234" s="26">
        <v>-9</v>
      </c>
      <c r="DS234" s="23">
        <v>-7.14</v>
      </c>
      <c r="DT234" s="24" t="s">
        <v>138</v>
      </c>
      <c r="DU234" s="26" t="s">
        <v>138</v>
      </c>
      <c r="DV234" s="23" t="s">
        <v>138</v>
      </c>
      <c r="DW234" s="24" t="s">
        <v>138</v>
      </c>
      <c r="DX234" s="27" t="s">
        <v>138</v>
      </c>
      <c r="DY234" s="23" t="s">
        <v>138</v>
      </c>
      <c r="DZ234" s="15" t="s">
        <v>178</v>
      </c>
      <c r="EA234" s="22">
        <v>43622</v>
      </c>
      <c r="EB234" s="17">
        <v>19.3</v>
      </c>
      <c r="EC234" s="22">
        <v>43581</v>
      </c>
      <c r="ED234" s="15" t="s">
        <v>234</v>
      </c>
      <c r="EE234" s="14" t="str">
        <f>HYPERLINK("https://my.pitchbook.com?c=227052-46", "View company online")</f>
        <v>View company online</v>
      </c>
    </row>
    <row r="235" spans="1:135">
      <c r="A235" s="28" t="s">
        <v>5151</v>
      </c>
      <c r="B235" s="28" t="s">
        <v>5152</v>
      </c>
      <c r="C235" s="28" t="s">
        <v>138</v>
      </c>
      <c r="D235" s="28" t="s">
        <v>138</v>
      </c>
      <c r="E235" s="28" t="s">
        <v>5153</v>
      </c>
      <c r="F235" s="28" t="s">
        <v>5151</v>
      </c>
      <c r="G235" s="28" t="s">
        <v>5154</v>
      </c>
      <c r="H235" s="28" t="s">
        <v>141</v>
      </c>
      <c r="I235" s="28" t="s">
        <v>212</v>
      </c>
      <c r="J235" s="28" t="s">
        <v>486</v>
      </c>
      <c r="K235" s="28" t="s">
        <v>5155</v>
      </c>
      <c r="L235" s="28" t="s">
        <v>1104</v>
      </c>
      <c r="M235" s="28" t="s">
        <v>5156</v>
      </c>
      <c r="N235" s="28" t="s">
        <v>147</v>
      </c>
      <c r="O235" s="29">
        <v>16.78</v>
      </c>
      <c r="P235" s="28" t="s">
        <v>610</v>
      </c>
      <c r="Q235" s="28" t="s">
        <v>149</v>
      </c>
      <c r="R235" s="28" t="s">
        <v>174</v>
      </c>
      <c r="S235" s="28" t="s">
        <v>5157</v>
      </c>
      <c r="T235" s="30">
        <v>31</v>
      </c>
      <c r="U235" s="28" t="s">
        <v>5158</v>
      </c>
      <c r="V235" s="28" t="s">
        <v>138</v>
      </c>
      <c r="W235" s="28" t="s">
        <v>138</v>
      </c>
      <c r="X235" s="31">
        <v>2011</v>
      </c>
      <c r="Y235" s="28" t="s">
        <v>138</v>
      </c>
      <c r="Z235" s="28" t="s">
        <v>138</v>
      </c>
      <c r="AA235" s="28" t="s">
        <v>138</v>
      </c>
      <c r="AB235" s="32" t="s">
        <v>138</v>
      </c>
      <c r="AC235" s="32" t="s">
        <v>138</v>
      </c>
      <c r="AD235" s="32" t="s">
        <v>138</v>
      </c>
      <c r="AE235" s="32" t="s">
        <v>138</v>
      </c>
      <c r="AF235" s="32" t="s">
        <v>138</v>
      </c>
      <c r="AG235" s="28" t="s">
        <v>138</v>
      </c>
      <c r="AH235" s="32" t="s">
        <v>138</v>
      </c>
      <c r="AI235" s="32" t="s">
        <v>138</v>
      </c>
      <c r="AJ235" s="32" t="s">
        <v>138</v>
      </c>
      <c r="AK235" s="28" t="s">
        <v>5159</v>
      </c>
      <c r="AL235" s="28" t="s">
        <v>5160</v>
      </c>
      <c r="AM235" s="28" t="s">
        <v>5161</v>
      </c>
      <c r="AN235" s="28" t="s">
        <v>138</v>
      </c>
      <c r="AO235" s="28" t="s">
        <v>5162</v>
      </c>
      <c r="AP235" s="28" t="s">
        <v>5163</v>
      </c>
      <c r="AQ235" s="28" t="s">
        <v>5164</v>
      </c>
      <c r="AR235" s="28" t="s">
        <v>5165</v>
      </c>
      <c r="AS235" s="28" t="s">
        <v>5166</v>
      </c>
      <c r="AT235" s="28" t="s">
        <v>5167</v>
      </c>
      <c r="AU235" s="28" t="s">
        <v>5168</v>
      </c>
      <c r="AV235" s="28" t="s">
        <v>162</v>
      </c>
      <c r="AW235" s="28" t="s">
        <v>5162</v>
      </c>
      <c r="AX235" s="28" t="s">
        <v>5169</v>
      </c>
      <c r="AY235" s="28" t="s">
        <v>5170</v>
      </c>
      <c r="AZ235" s="28" t="s">
        <v>164</v>
      </c>
      <c r="BA235" s="28" t="s">
        <v>165</v>
      </c>
      <c r="BB235" s="28" t="s">
        <v>5171</v>
      </c>
      <c r="BC235" s="28" t="s">
        <v>5172</v>
      </c>
      <c r="BD235" s="33">
        <v>5</v>
      </c>
      <c r="BE235" s="28" t="s">
        <v>138</v>
      </c>
      <c r="BF235" s="28" t="s">
        <v>138</v>
      </c>
      <c r="BG235" s="28" t="s">
        <v>138</v>
      </c>
      <c r="BH235" s="28" t="s">
        <v>5173</v>
      </c>
      <c r="BI235" s="28" t="s">
        <v>138</v>
      </c>
      <c r="BJ235" s="28" t="s">
        <v>138</v>
      </c>
      <c r="BK235" s="28" t="s">
        <v>138</v>
      </c>
      <c r="BL235" s="28" t="s">
        <v>138</v>
      </c>
      <c r="BM235" s="34">
        <v>41732</v>
      </c>
      <c r="BN235" s="29" t="s">
        <v>138</v>
      </c>
      <c r="BO235" s="28" t="s">
        <v>138</v>
      </c>
      <c r="BP235" s="29" t="s">
        <v>138</v>
      </c>
      <c r="BQ235" s="28" t="s">
        <v>138</v>
      </c>
      <c r="BR235" s="28" t="s">
        <v>205</v>
      </c>
      <c r="BS235" s="28" t="s">
        <v>138</v>
      </c>
      <c r="BT235" s="28" t="s">
        <v>138</v>
      </c>
      <c r="BU235" s="28" t="s">
        <v>174</v>
      </c>
      <c r="BV235" s="28" t="s">
        <v>138</v>
      </c>
      <c r="BW235" s="28" t="s">
        <v>138</v>
      </c>
      <c r="BX235" s="28" t="s">
        <v>138</v>
      </c>
      <c r="BY235" s="28" t="s">
        <v>175</v>
      </c>
      <c r="BZ235" s="34">
        <v>41801</v>
      </c>
      <c r="CA235" s="29">
        <v>16.78</v>
      </c>
      <c r="CB235" s="28" t="s">
        <v>172</v>
      </c>
      <c r="CC235" s="29">
        <v>32.54</v>
      </c>
      <c r="CD235" s="28" t="s">
        <v>172</v>
      </c>
      <c r="CE235" s="28" t="s">
        <v>205</v>
      </c>
      <c r="CF235" s="28" t="s">
        <v>206</v>
      </c>
      <c r="CG235" s="28" t="s">
        <v>138</v>
      </c>
      <c r="CH235" s="28" t="s">
        <v>174</v>
      </c>
      <c r="CI235" s="28" t="s">
        <v>138</v>
      </c>
      <c r="CJ235" s="28" t="s">
        <v>138</v>
      </c>
      <c r="CK235" s="28" t="s">
        <v>138</v>
      </c>
      <c r="CL235" s="28" t="s">
        <v>175</v>
      </c>
      <c r="CM235" s="34" t="s">
        <v>138</v>
      </c>
      <c r="CN235" s="29" t="s">
        <v>138</v>
      </c>
      <c r="CO235" s="35">
        <v>-0.49</v>
      </c>
      <c r="CP235" s="36">
        <v>16</v>
      </c>
      <c r="CQ235" s="35">
        <v>0</v>
      </c>
      <c r="CR235" s="35">
        <v>0</v>
      </c>
      <c r="CS235" s="35">
        <v>-0.94</v>
      </c>
      <c r="CT235" s="36">
        <v>16</v>
      </c>
      <c r="CU235" s="35">
        <v>-0.04</v>
      </c>
      <c r="CV235" s="36">
        <v>12</v>
      </c>
      <c r="CW235" s="35">
        <v>0</v>
      </c>
      <c r="CX235" s="36">
        <v>13</v>
      </c>
      <c r="CY235" s="35">
        <v>-1.87</v>
      </c>
      <c r="CZ235" s="36">
        <v>12</v>
      </c>
      <c r="DA235" s="35">
        <v>-0.04</v>
      </c>
      <c r="DB235" s="36">
        <v>15</v>
      </c>
      <c r="DC235" s="37">
        <v>2.35</v>
      </c>
      <c r="DD235" s="36">
        <v>70</v>
      </c>
      <c r="DE235" s="37">
        <v>0</v>
      </c>
      <c r="DF235" s="35">
        <v>-0.12</v>
      </c>
      <c r="DG235" s="37">
        <v>3.91</v>
      </c>
      <c r="DH235" s="36">
        <v>79</v>
      </c>
      <c r="DI235" s="37">
        <v>0.8</v>
      </c>
      <c r="DJ235" s="36">
        <v>45</v>
      </c>
      <c r="DK235" s="37">
        <v>0.47</v>
      </c>
      <c r="DL235" s="36">
        <v>34</v>
      </c>
      <c r="DM235" s="37">
        <v>7.34</v>
      </c>
      <c r="DN235" s="36">
        <v>86</v>
      </c>
      <c r="DO235" s="37">
        <v>0.8</v>
      </c>
      <c r="DP235" s="36">
        <v>46</v>
      </c>
      <c r="DQ235" s="36">
        <v>157</v>
      </c>
      <c r="DR235" s="38">
        <v>14</v>
      </c>
      <c r="DS235" s="35">
        <v>9.7899999999999991</v>
      </c>
      <c r="DT235" s="36">
        <v>212</v>
      </c>
      <c r="DU235" s="38">
        <v>0</v>
      </c>
      <c r="DV235" s="35">
        <v>0</v>
      </c>
      <c r="DW235" s="36">
        <v>284</v>
      </c>
      <c r="DX235" s="39">
        <v>0</v>
      </c>
      <c r="DY235" s="35">
        <v>0</v>
      </c>
      <c r="DZ235" s="28" t="s">
        <v>178</v>
      </c>
      <c r="EA235" s="34">
        <v>43622</v>
      </c>
      <c r="EB235" s="29">
        <v>32.54</v>
      </c>
      <c r="EC235" s="34">
        <v>41801</v>
      </c>
      <c r="ED235" s="28" t="s">
        <v>205</v>
      </c>
      <c r="EE235" s="40" t="str">
        <f>HYPERLINK("https://my.pitchbook.com?c=62193-70", "View company online")</f>
        <v>View company online</v>
      </c>
    </row>
    <row r="236" spans="1:135">
      <c r="A236" s="15" t="s">
        <v>5174</v>
      </c>
      <c r="B236" s="15" t="s">
        <v>5175</v>
      </c>
      <c r="C236" s="15" t="s">
        <v>138</v>
      </c>
      <c r="D236" s="15" t="s">
        <v>138</v>
      </c>
      <c r="E236" s="15" t="s">
        <v>5176</v>
      </c>
      <c r="F236" s="15" t="s">
        <v>5174</v>
      </c>
      <c r="G236" s="15" t="s">
        <v>5177</v>
      </c>
      <c r="H236" s="15" t="s">
        <v>322</v>
      </c>
      <c r="I236" s="15" t="s">
        <v>323</v>
      </c>
      <c r="J236" s="15" t="s">
        <v>1132</v>
      </c>
      <c r="K236" s="15" t="s">
        <v>3918</v>
      </c>
      <c r="L236" s="15" t="s">
        <v>5178</v>
      </c>
      <c r="M236" s="15" t="s">
        <v>5179</v>
      </c>
      <c r="N236" s="15" t="s">
        <v>147</v>
      </c>
      <c r="O236" s="17">
        <v>29.25</v>
      </c>
      <c r="P236" s="15" t="s">
        <v>148</v>
      </c>
      <c r="Q236" s="15" t="s">
        <v>149</v>
      </c>
      <c r="R236" s="15" t="s">
        <v>174</v>
      </c>
      <c r="S236" s="15" t="s">
        <v>5180</v>
      </c>
      <c r="T236" s="18">
        <v>80</v>
      </c>
      <c r="U236" s="15" t="s">
        <v>5181</v>
      </c>
      <c r="V236" s="15" t="s">
        <v>138</v>
      </c>
      <c r="W236" s="15" t="s">
        <v>138</v>
      </c>
      <c r="X236" s="19">
        <v>2013</v>
      </c>
      <c r="Y236" s="15" t="s">
        <v>138</v>
      </c>
      <c r="Z236" s="15" t="s">
        <v>138</v>
      </c>
      <c r="AA236" s="15" t="s">
        <v>138</v>
      </c>
      <c r="AB236" s="20" t="s">
        <v>138</v>
      </c>
      <c r="AC236" s="20" t="s">
        <v>138</v>
      </c>
      <c r="AD236" s="20" t="s">
        <v>138</v>
      </c>
      <c r="AE236" s="20" t="s">
        <v>138</v>
      </c>
      <c r="AF236" s="20" t="s">
        <v>138</v>
      </c>
      <c r="AG236" s="15" t="s">
        <v>138</v>
      </c>
      <c r="AH236" s="20" t="s">
        <v>138</v>
      </c>
      <c r="AI236" s="20" t="s">
        <v>138</v>
      </c>
      <c r="AJ236" s="20" t="s">
        <v>138</v>
      </c>
      <c r="AK236" s="15" t="s">
        <v>5182</v>
      </c>
      <c r="AL236" s="15" t="s">
        <v>5183</v>
      </c>
      <c r="AM236" s="15" t="s">
        <v>304</v>
      </c>
      <c r="AN236" s="15" t="s">
        <v>5184</v>
      </c>
      <c r="AO236" s="15" t="s">
        <v>5185</v>
      </c>
      <c r="AP236" s="15" t="s">
        <v>665</v>
      </c>
      <c r="AQ236" s="15" t="s">
        <v>5186</v>
      </c>
      <c r="AR236" s="15" t="s">
        <v>5187</v>
      </c>
      <c r="AS236" s="15" t="s">
        <v>668</v>
      </c>
      <c r="AT236" s="15" t="s">
        <v>200</v>
      </c>
      <c r="AU236" s="15" t="s">
        <v>3557</v>
      </c>
      <c r="AV236" s="15" t="s">
        <v>162</v>
      </c>
      <c r="AW236" s="15" t="s">
        <v>5185</v>
      </c>
      <c r="AX236" s="15" t="s">
        <v>138</v>
      </c>
      <c r="AY236" s="15" t="s">
        <v>5188</v>
      </c>
      <c r="AZ236" s="15" t="s">
        <v>164</v>
      </c>
      <c r="BA236" s="15" t="s">
        <v>165</v>
      </c>
      <c r="BB236" s="15" t="s">
        <v>5189</v>
      </c>
      <c r="BC236" s="15" t="s">
        <v>5190</v>
      </c>
      <c r="BD236" s="21">
        <v>24</v>
      </c>
      <c r="BE236" s="15" t="s">
        <v>138</v>
      </c>
      <c r="BF236" s="15" t="s">
        <v>138</v>
      </c>
      <c r="BG236" s="15" t="s">
        <v>138</v>
      </c>
      <c r="BH236" s="15" t="s">
        <v>5191</v>
      </c>
      <c r="BI236" s="15" t="s">
        <v>138</v>
      </c>
      <c r="BJ236" s="15" t="s">
        <v>138</v>
      </c>
      <c r="BK236" s="15" t="s">
        <v>138</v>
      </c>
      <c r="BL236" s="15" t="s">
        <v>138</v>
      </c>
      <c r="BM236" s="22">
        <v>41537</v>
      </c>
      <c r="BN236" s="17">
        <v>2</v>
      </c>
      <c r="BO236" s="15" t="s">
        <v>172</v>
      </c>
      <c r="BP236" s="17" t="s">
        <v>138</v>
      </c>
      <c r="BQ236" s="15" t="s">
        <v>138</v>
      </c>
      <c r="BR236" s="15" t="s">
        <v>234</v>
      </c>
      <c r="BS236" s="15" t="s">
        <v>234</v>
      </c>
      <c r="BT236" s="15" t="s">
        <v>138</v>
      </c>
      <c r="BU236" s="15" t="s">
        <v>174</v>
      </c>
      <c r="BV236" s="15" t="s">
        <v>138</v>
      </c>
      <c r="BW236" s="15" t="s">
        <v>138</v>
      </c>
      <c r="BX236" s="15" t="s">
        <v>138</v>
      </c>
      <c r="BY236" s="15" t="s">
        <v>175</v>
      </c>
      <c r="BZ236" s="22">
        <v>43052</v>
      </c>
      <c r="CA236" s="17">
        <v>22</v>
      </c>
      <c r="CB236" s="15" t="s">
        <v>172</v>
      </c>
      <c r="CC236" s="17" t="s">
        <v>138</v>
      </c>
      <c r="CD236" s="15" t="s">
        <v>138</v>
      </c>
      <c r="CE236" s="15" t="s">
        <v>205</v>
      </c>
      <c r="CF236" s="15" t="s">
        <v>720</v>
      </c>
      <c r="CG236" s="15" t="s">
        <v>138</v>
      </c>
      <c r="CH236" s="15" t="s">
        <v>174</v>
      </c>
      <c r="CI236" s="15" t="s">
        <v>138</v>
      </c>
      <c r="CJ236" s="15" t="s">
        <v>138</v>
      </c>
      <c r="CK236" s="15" t="s">
        <v>138</v>
      </c>
      <c r="CL236" s="15" t="s">
        <v>175</v>
      </c>
      <c r="CM236" s="22" t="s">
        <v>138</v>
      </c>
      <c r="CN236" s="17" t="s">
        <v>138</v>
      </c>
      <c r="CO236" s="23">
        <v>1.06</v>
      </c>
      <c r="CP236" s="24">
        <v>97</v>
      </c>
      <c r="CQ236" s="23">
        <v>-0.04</v>
      </c>
      <c r="CR236" s="23">
        <v>-3.54</v>
      </c>
      <c r="CS236" s="23">
        <v>2</v>
      </c>
      <c r="CT236" s="24">
        <v>98</v>
      </c>
      <c r="CU236" s="23">
        <v>0.11</v>
      </c>
      <c r="CV236" s="24">
        <v>70</v>
      </c>
      <c r="CW236" s="23">
        <v>4.45</v>
      </c>
      <c r="CX236" s="24">
        <v>94</v>
      </c>
      <c r="CY236" s="23">
        <v>-0.45</v>
      </c>
      <c r="CZ236" s="24">
        <v>22</v>
      </c>
      <c r="DA236" s="23">
        <v>0.14000000000000001</v>
      </c>
      <c r="DB236" s="24">
        <v>77</v>
      </c>
      <c r="DC236" s="25">
        <v>12.56</v>
      </c>
      <c r="DD236" s="24">
        <v>92</v>
      </c>
      <c r="DE236" s="25">
        <v>-1.22</v>
      </c>
      <c r="DF236" s="23">
        <v>-8.85</v>
      </c>
      <c r="DG236" s="25">
        <v>23.14</v>
      </c>
      <c r="DH236" s="24">
        <v>95</v>
      </c>
      <c r="DI236" s="25">
        <v>1.97</v>
      </c>
      <c r="DJ236" s="24">
        <v>62</v>
      </c>
      <c r="DK236" s="25">
        <v>38.1</v>
      </c>
      <c r="DL236" s="24">
        <v>95</v>
      </c>
      <c r="DM236" s="25">
        <v>8.17</v>
      </c>
      <c r="DN236" s="24">
        <v>87</v>
      </c>
      <c r="DO236" s="25">
        <v>2.95</v>
      </c>
      <c r="DP236" s="24">
        <v>71</v>
      </c>
      <c r="DQ236" s="24">
        <v>12867</v>
      </c>
      <c r="DR236" s="26">
        <v>608</v>
      </c>
      <c r="DS236" s="23">
        <v>4.96</v>
      </c>
      <c r="DT236" s="24">
        <v>237</v>
      </c>
      <c r="DU236" s="26">
        <v>-1</v>
      </c>
      <c r="DV236" s="23">
        <v>-0.42</v>
      </c>
      <c r="DW236" s="24">
        <v>1056</v>
      </c>
      <c r="DX236" s="27">
        <v>0</v>
      </c>
      <c r="DY236" s="23">
        <v>0</v>
      </c>
      <c r="DZ236" s="15" t="s">
        <v>178</v>
      </c>
      <c r="EA236" s="22">
        <v>43622</v>
      </c>
      <c r="EB236" s="17" t="s">
        <v>138</v>
      </c>
      <c r="EC236" s="22" t="s">
        <v>138</v>
      </c>
      <c r="ED236" s="15" t="s">
        <v>138</v>
      </c>
      <c r="EE236" s="14" t="str">
        <f>HYPERLINK("https://my.pitchbook.com?c=93116-62", "View company online")</f>
        <v>View company online</v>
      </c>
    </row>
    <row r="237" spans="1:135">
      <c r="A237" s="28" t="s">
        <v>5192</v>
      </c>
      <c r="B237" s="28" t="s">
        <v>5193</v>
      </c>
      <c r="C237" s="28" t="s">
        <v>138</v>
      </c>
      <c r="D237" s="28" t="s">
        <v>138</v>
      </c>
      <c r="E237" s="28" t="s">
        <v>5194</v>
      </c>
      <c r="F237" s="28" t="s">
        <v>5192</v>
      </c>
      <c r="G237" s="28" t="s">
        <v>5195</v>
      </c>
      <c r="H237" s="28" t="s">
        <v>238</v>
      </c>
      <c r="I237" s="28" t="s">
        <v>749</v>
      </c>
      <c r="J237" s="28" t="s">
        <v>750</v>
      </c>
      <c r="K237" s="28" t="s">
        <v>5196</v>
      </c>
      <c r="L237" s="28" t="s">
        <v>4703</v>
      </c>
      <c r="M237" s="28" t="s">
        <v>5197</v>
      </c>
      <c r="N237" s="28" t="s">
        <v>147</v>
      </c>
      <c r="O237" s="29">
        <v>3.12</v>
      </c>
      <c r="P237" s="28" t="s">
        <v>148</v>
      </c>
      <c r="Q237" s="28" t="s">
        <v>149</v>
      </c>
      <c r="R237" s="28" t="s">
        <v>174</v>
      </c>
      <c r="S237" s="28" t="s">
        <v>5198</v>
      </c>
      <c r="T237" s="30">
        <v>3</v>
      </c>
      <c r="U237" s="28" t="s">
        <v>5199</v>
      </c>
      <c r="V237" s="28" t="s">
        <v>138</v>
      </c>
      <c r="W237" s="28" t="s">
        <v>138</v>
      </c>
      <c r="X237" s="31">
        <v>2015</v>
      </c>
      <c r="Y237" s="28" t="s">
        <v>138</v>
      </c>
      <c r="Z237" s="28" t="s">
        <v>138</v>
      </c>
      <c r="AA237" s="28" t="s">
        <v>138</v>
      </c>
      <c r="AB237" s="32">
        <v>0.8</v>
      </c>
      <c r="AC237" s="32" t="s">
        <v>138</v>
      </c>
      <c r="AD237" s="32" t="s">
        <v>138</v>
      </c>
      <c r="AE237" s="32" t="s">
        <v>138</v>
      </c>
      <c r="AF237" s="32" t="s">
        <v>138</v>
      </c>
      <c r="AG237" s="28" t="s">
        <v>815</v>
      </c>
      <c r="AH237" s="32" t="s">
        <v>138</v>
      </c>
      <c r="AI237" s="32" t="s">
        <v>138</v>
      </c>
      <c r="AJ237" s="32" t="s">
        <v>138</v>
      </c>
      <c r="AK237" s="28" t="s">
        <v>5200</v>
      </c>
      <c r="AL237" s="28" t="s">
        <v>5201</v>
      </c>
      <c r="AM237" s="28" t="s">
        <v>304</v>
      </c>
      <c r="AN237" s="28" t="s">
        <v>5202</v>
      </c>
      <c r="AO237" s="28" t="s">
        <v>5203</v>
      </c>
      <c r="AP237" s="28" t="s">
        <v>5204</v>
      </c>
      <c r="AQ237" s="28" t="s">
        <v>5205</v>
      </c>
      <c r="AR237" s="28" t="s">
        <v>5206</v>
      </c>
      <c r="AS237" s="28" t="s">
        <v>5207</v>
      </c>
      <c r="AT237" s="28" t="s">
        <v>339</v>
      </c>
      <c r="AU237" s="28" t="s">
        <v>5208</v>
      </c>
      <c r="AV237" s="28" t="s">
        <v>162</v>
      </c>
      <c r="AW237" s="28" t="s">
        <v>5203</v>
      </c>
      <c r="AX237" s="28" t="s">
        <v>138</v>
      </c>
      <c r="AY237" s="28" t="s">
        <v>138</v>
      </c>
      <c r="AZ237" s="28" t="s">
        <v>164</v>
      </c>
      <c r="BA237" s="28" t="s">
        <v>165</v>
      </c>
      <c r="BB237" s="28" t="s">
        <v>5209</v>
      </c>
      <c r="BC237" s="28" t="s">
        <v>5210</v>
      </c>
      <c r="BD237" s="33">
        <v>9</v>
      </c>
      <c r="BE237" s="28" t="s">
        <v>138</v>
      </c>
      <c r="BF237" s="28" t="s">
        <v>138</v>
      </c>
      <c r="BG237" s="28" t="s">
        <v>138</v>
      </c>
      <c r="BH237" s="28" t="s">
        <v>5211</v>
      </c>
      <c r="BI237" s="28" t="s">
        <v>138</v>
      </c>
      <c r="BJ237" s="28" t="s">
        <v>138</v>
      </c>
      <c r="BK237" s="28" t="s">
        <v>5212</v>
      </c>
      <c r="BL237" s="28" t="s">
        <v>5213</v>
      </c>
      <c r="BM237" s="34">
        <v>42005</v>
      </c>
      <c r="BN237" s="29">
        <v>0.1</v>
      </c>
      <c r="BO237" s="28" t="s">
        <v>172</v>
      </c>
      <c r="BP237" s="29" t="s">
        <v>138</v>
      </c>
      <c r="BQ237" s="28" t="s">
        <v>138</v>
      </c>
      <c r="BR237" s="28" t="s">
        <v>5214</v>
      </c>
      <c r="BS237" s="28" t="s">
        <v>138</v>
      </c>
      <c r="BT237" s="28" t="s">
        <v>138</v>
      </c>
      <c r="BU237" s="28" t="s">
        <v>263</v>
      </c>
      <c r="BV237" s="28" t="s">
        <v>138</v>
      </c>
      <c r="BW237" s="28" t="s">
        <v>138</v>
      </c>
      <c r="BX237" s="28" t="s">
        <v>138</v>
      </c>
      <c r="BY237" s="28" t="s">
        <v>175</v>
      </c>
      <c r="BZ237" s="34">
        <v>43321</v>
      </c>
      <c r="CA237" s="29">
        <v>2</v>
      </c>
      <c r="CB237" s="28" t="s">
        <v>172</v>
      </c>
      <c r="CC237" s="29" t="s">
        <v>138</v>
      </c>
      <c r="CD237" s="28" t="s">
        <v>138</v>
      </c>
      <c r="CE237" s="28" t="s">
        <v>205</v>
      </c>
      <c r="CF237" s="28" t="s">
        <v>138</v>
      </c>
      <c r="CG237" s="28" t="s">
        <v>138</v>
      </c>
      <c r="CH237" s="28" t="s">
        <v>174</v>
      </c>
      <c r="CI237" s="28" t="s">
        <v>138</v>
      </c>
      <c r="CJ237" s="28" t="s">
        <v>138</v>
      </c>
      <c r="CK237" s="28" t="s">
        <v>138</v>
      </c>
      <c r="CL237" s="28" t="s">
        <v>352</v>
      </c>
      <c r="CM237" s="34" t="s">
        <v>138</v>
      </c>
      <c r="CN237" s="29" t="s">
        <v>138</v>
      </c>
      <c r="CO237" s="35">
        <v>-0.27</v>
      </c>
      <c r="CP237" s="36">
        <v>19</v>
      </c>
      <c r="CQ237" s="35">
        <v>-0.05</v>
      </c>
      <c r="CR237" s="35">
        <v>-22.41</v>
      </c>
      <c r="CS237" s="35">
        <v>-0.61</v>
      </c>
      <c r="CT237" s="36">
        <v>18</v>
      </c>
      <c r="CU237" s="35">
        <v>7.0000000000000007E-2</v>
      </c>
      <c r="CV237" s="36">
        <v>62</v>
      </c>
      <c r="CW237" s="35">
        <v>0</v>
      </c>
      <c r="CX237" s="36">
        <v>13</v>
      </c>
      <c r="CY237" s="35">
        <v>-1.23</v>
      </c>
      <c r="CZ237" s="36">
        <v>17</v>
      </c>
      <c r="DA237" s="35">
        <v>0.06</v>
      </c>
      <c r="DB237" s="36">
        <v>65</v>
      </c>
      <c r="DC237" s="37">
        <v>4.34</v>
      </c>
      <c r="DD237" s="36">
        <v>81</v>
      </c>
      <c r="DE237" s="37">
        <v>-0.04</v>
      </c>
      <c r="DF237" s="35">
        <v>-0.84</v>
      </c>
      <c r="DG237" s="37">
        <v>4.03</v>
      </c>
      <c r="DH237" s="36">
        <v>79</v>
      </c>
      <c r="DI237" s="37">
        <v>4.6500000000000004</v>
      </c>
      <c r="DJ237" s="36">
        <v>76</v>
      </c>
      <c r="DK237" s="37">
        <v>1.23</v>
      </c>
      <c r="DL237" s="36">
        <v>55</v>
      </c>
      <c r="DM237" s="37">
        <v>6.83</v>
      </c>
      <c r="DN237" s="36">
        <v>85</v>
      </c>
      <c r="DO237" s="37">
        <v>3.96</v>
      </c>
      <c r="DP237" s="36">
        <v>76</v>
      </c>
      <c r="DQ237" s="36">
        <v>458</v>
      </c>
      <c r="DR237" s="38">
        <v>-108</v>
      </c>
      <c r="DS237" s="35">
        <v>-19.079999999999998</v>
      </c>
      <c r="DT237" s="36">
        <v>198</v>
      </c>
      <c r="DU237" s="38">
        <v>0</v>
      </c>
      <c r="DV237" s="35">
        <v>0</v>
      </c>
      <c r="DW237" s="36">
        <v>1418</v>
      </c>
      <c r="DX237" s="39">
        <v>1</v>
      </c>
      <c r="DY237" s="35">
        <v>7.0000000000000007E-2</v>
      </c>
      <c r="DZ237" s="28" t="s">
        <v>178</v>
      </c>
      <c r="EA237" s="34">
        <v>43392</v>
      </c>
      <c r="EB237" s="29">
        <v>0.63</v>
      </c>
      <c r="EC237" s="34">
        <v>42150</v>
      </c>
      <c r="ED237" s="28" t="s">
        <v>316</v>
      </c>
      <c r="EE237" s="40" t="str">
        <f>HYPERLINK("https://my.pitchbook.com?c=115458-40", "View company online")</f>
        <v>View company online</v>
      </c>
    </row>
    <row r="238" spans="1:135">
      <c r="A238" s="15" t="s">
        <v>5215</v>
      </c>
      <c r="B238" s="15" t="s">
        <v>5216</v>
      </c>
      <c r="C238" s="15" t="s">
        <v>138</v>
      </c>
      <c r="D238" s="15" t="s">
        <v>138</v>
      </c>
      <c r="E238" s="15" t="s">
        <v>5217</v>
      </c>
      <c r="F238" s="15" t="s">
        <v>5215</v>
      </c>
      <c r="G238" s="15" t="s">
        <v>5218</v>
      </c>
      <c r="H238" s="15" t="s">
        <v>5219</v>
      </c>
      <c r="I238" s="15" t="s">
        <v>5220</v>
      </c>
      <c r="J238" s="15" t="s">
        <v>5221</v>
      </c>
      <c r="K238" s="15" t="s">
        <v>5222</v>
      </c>
      <c r="L238" s="15" t="s">
        <v>5223</v>
      </c>
      <c r="M238" s="15" t="s">
        <v>5224</v>
      </c>
      <c r="N238" s="15" t="s">
        <v>147</v>
      </c>
      <c r="O238" s="17">
        <v>11.4</v>
      </c>
      <c r="P238" s="15" t="s">
        <v>610</v>
      </c>
      <c r="Q238" s="15" t="s">
        <v>149</v>
      </c>
      <c r="R238" s="15" t="s">
        <v>174</v>
      </c>
      <c r="S238" s="15" t="s">
        <v>5225</v>
      </c>
      <c r="T238" s="18">
        <v>17</v>
      </c>
      <c r="U238" s="15" t="s">
        <v>5226</v>
      </c>
      <c r="V238" s="15" t="s">
        <v>138</v>
      </c>
      <c r="W238" s="15" t="s">
        <v>138</v>
      </c>
      <c r="X238" s="19">
        <v>2016</v>
      </c>
      <c r="Y238" s="15" t="s">
        <v>138</v>
      </c>
      <c r="Z238" s="15" t="s">
        <v>138</v>
      </c>
      <c r="AA238" s="15" t="s">
        <v>138</v>
      </c>
      <c r="AB238" s="20" t="s">
        <v>138</v>
      </c>
      <c r="AC238" s="20" t="s">
        <v>138</v>
      </c>
      <c r="AD238" s="20" t="s">
        <v>138</v>
      </c>
      <c r="AE238" s="20" t="s">
        <v>138</v>
      </c>
      <c r="AF238" s="20" t="s">
        <v>138</v>
      </c>
      <c r="AG238" s="15" t="s">
        <v>138</v>
      </c>
      <c r="AH238" s="20" t="s">
        <v>138</v>
      </c>
      <c r="AI238" s="20" t="s">
        <v>138</v>
      </c>
      <c r="AJ238" s="20" t="s">
        <v>138</v>
      </c>
      <c r="AK238" s="15" t="s">
        <v>5227</v>
      </c>
      <c r="AL238" s="15" t="s">
        <v>5228</v>
      </c>
      <c r="AM238" s="15" t="s">
        <v>566</v>
      </c>
      <c r="AN238" s="15" t="s">
        <v>5229</v>
      </c>
      <c r="AO238" s="15" t="s">
        <v>5230</v>
      </c>
      <c r="AP238" s="15" t="s">
        <v>5231</v>
      </c>
      <c r="AQ238" s="15" t="s">
        <v>5232</v>
      </c>
      <c r="AR238" s="15" t="s">
        <v>138</v>
      </c>
      <c r="AS238" s="15" t="s">
        <v>5233</v>
      </c>
      <c r="AT238" s="15" t="s">
        <v>824</v>
      </c>
      <c r="AU238" s="15" t="s">
        <v>5234</v>
      </c>
      <c r="AV238" s="15" t="s">
        <v>526</v>
      </c>
      <c r="AW238" s="15" t="s">
        <v>5230</v>
      </c>
      <c r="AX238" s="15" t="s">
        <v>138</v>
      </c>
      <c r="AY238" s="15" t="s">
        <v>5235</v>
      </c>
      <c r="AZ238" s="15" t="s">
        <v>530</v>
      </c>
      <c r="BA238" s="15" t="s">
        <v>531</v>
      </c>
      <c r="BB238" s="15" t="s">
        <v>5236</v>
      </c>
      <c r="BC238" s="15" t="s">
        <v>5237</v>
      </c>
      <c r="BD238" s="21">
        <v>9</v>
      </c>
      <c r="BE238" s="15" t="s">
        <v>138</v>
      </c>
      <c r="BF238" s="15" t="s">
        <v>138</v>
      </c>
      <c r="BG238" s="15" t="s">
        <v>138</v>
      </c>
      <c r="BH238" s="15" t="s">
        <v>5238</v>
      </c>
      <c r="BI238" s="15" t="s">
        <v>138</v>
      </c>
      <c r="BJ238" s="15" t="s">
        <v>138</v>
      </c>
      <c r="BK238" s="15" t="s">
        <v>138</v>
      </c>
      <c r="BL238" s="15" t="s">
        <v>138</v>
      </c>
      <c r="BM238" s="22">
        <v>42736</v>
      </c>
      <c r="BN238" s="17">
        <v>1.4</v>
      </c>
      <c r="BO238" s="15" t="s">
        <v>172</v>
      </c>
      <c r="BP238" s="17" t="s">
        <v>138</v>
      </c>
      <c r="BQ238" s="15" t="s">
        <v>138</v>
      </c>
      <c r="BR238" s="15" t="s">
        <v>234</v>
      </c>
      <c r="BS238" s="15" t="s">
        <v>234</v>
      </c>
      <c r="BT238" s="15" t="s">
        <v>138</v>
      </c>
      <c r="BU238" s="15" t="s">
        <v>174</v>
      </c>
      <c r="BV238" s="15" t="s">
        <v>138</v>
      </c>
      <c r="BW238" s="15" t="s">
        <v>138</v>
      </c>
      <c r="BX238" s="15" t="s">
        <v>138</v>
      </c>
      <c r="BY238" s="15" t="s">
        <v>175</v>
      </c>
      <c r="BZ238" s="22">
        <v>43264</v>
      </c>
      <c r="CA238" s="17">
        <v>10</v>
      </c>
      <c r="CB238" s="15" t="s">
        <v>172</v>
      </c>
      <c r="CC238" s="17" t="s">
        <v>138</v>
      </c>
      <c r="CD238" s="15" t="s">
        <v>138</v>
      </c>
      <c r="CE238" s="15" t="s">
        <v>205</v>
      </c>
      <c r="CF238" s="15" t="s">
        <v>206</v>
      </c>
      <c r="CG238" s="15" t="s">
        <v>138</v>
      </c>
      <c r="CH238" s="15" t="s">
        <v>174</v>
      </c>
      <c r="CI238" s="15" t="s">
        <v>138</v>
      </c>
      <c r="CJ238" s="15" t="s">
        <v>138</v>
      </c>
      <c r="CK238" s="15" t="s">
        <v>138</v>
      </c>
      <c r="CL238" s="15" t="s">
        <v>175</v>
      </c>
      <c r="CM238" s="22" t="s">
        <v>138</v>
      </c>
      <c r="CN238" s="17" t="s">
        <v>138</v>
      </c>
      <c r="CO238" s="23">
        <v>0</v>
      </c>
      <c r="CP238" s="24">
        <v>26</v>
      </c>
      <c r="CQ238" s="23">
        <v>0</v>
      </c>
      <c r="CR238" s="23">
        <v>0</v>
      </c>
      <c r="CS238" s="23">
        <v>0</v>
      </c>
      <c r="CT238" s="24">
        <v>23</v>
      </c>
      <c r="CU238" s="23" t="s">
        <v>138</v>
      </c>
      <c r="CV238" s="24" t="s">
        <v>138</v>
      </c>
      <c r="CW238" s="23" t="s">
        <v>138</v>
      </c>
      <c r="CX238" s="24" t="s">
        <v>138</v>
      </c>
      <c r="CY238" s="23">
        <v>0</v>
      </c>
      <c r="CZ238" s="24">
        <v>25</v>
      </c>
      <c r="DA238" s="23" t="s">
        <v>138</v>
      </c>
      <c r="DB238" s="24" t="s">
        <v>138</v>
      </c>
      <c r="DC238" s="25">
        <v>2.48</v>
      </c>
      <c r="DD238" s="24">
        <v>71</v>
      </c>
      <c r="DE238" s="25">
        <v>-7.0000000000000007E-2</v>
      </c>
      <c r="DF238" s="23">
        <v>-2.7</v>
      </c>
      <c r="DG238" s="25">
        <v>2.48</v>
      </c>
      <c r="DH238" s="24">
        <v>71</v>
      </c>
      <c r="DI238" s="25" t="s">
        <v>138</v>
      </c>
      <c r="DJ238" s="24" t="s">
        <v>138</v>
      </c>
      <c r="DK238" s="25" t="s">
        <v>138</v>
      </c>
      <c r="DL238" s="24" t="s">
        <v>138</v>
      </c>
      <c r="DM238" s="25">
        <v>2.48</v>
      </c>
      <c r="DN238" s="24">
        <v>70</v>
      </c>
      <c r="DO238" s="25" t="s">
        <v>138</v>
      </c>
      <c r="DP238" s="24" t="s">
        <v>138</v>
      </c>
      <c r="DQ238" s="24" t="s">
        <v>138</v>
      </c>
      <c r="DR238" s="26" t="s">
        <v>138</v>
      </c>
      <c r="DS238" s="23" t="s">
        <v>138</v>
      </c>
      <c r="DT238" s="24">
        <v>72</v>
      </c>
      <c r="DU238" s="26">
        <v>-2</v>
      </c>
      <c r="DV238" s="23">
        <v>-2.7</v>
      </c>
      <c r="DW238" s="24" t="s">
        <v>138</v>
      </c>
      <c r="DX238" s="27" t="s">
        <v>138</v>
      </c>
      <c r="DY238" s="23" t="s">
        <v>138</v>
      </c>
      <c r="DZ238" s="15" t="s">
        <v>178</v>
      </c>
      <c r="EA238" s="22">
        <v>43622</v>
      </c>
      <c r="EB238" s="17" t="s">
        <v>138</v>
      </c>
      <c r="EC238" s="22" t="s">
        <v>138</v>
      </c>
      <c r="ED238" s="15" t="s">
        <v>138</v>
      </c>
      <c r="EE238" s="14" t="str">
        <f>HYPERLINK("https://my.pitchbook.com?c=185554-54", "View company online")</f>
        <v>View company online</v>
      </c>
    </row>
    <row r="239" spans="1:135">
      <c r="A239" s="28" t="s">
        <v>5239</v>
      </c>
      <c r="B239" s="28" t="s">
        <v>5240</v>
      </c>
      <c r="C239" s="28" t="s">
        <v>138</v>
      </c>
      <c r="D239" s="28" t="s">
        <v>138</v>
      </c>
      <c r="E239" s="28" t="s">
        <v>5241</v>
      </c>
      <c r="F239" s="28" t="s">
        <v>5239</v>
      </c>
      <c r="G239" s="28" t="s">
        <v>5242</v>
      </c>
      <c r="H239" s="28" t="s">
        <v>322</v>
      </c>
      <c r="I239" s="28" t="s">
        <v>323</v>
      </c>
      <c r="J239" s="28" t="s">
        <v>461</v>
      </c>
      <c r="K239" s="28" t="s">
        <v>931</v>
      </c>
      <c r="L239" s="28" t="s">
        <v>5243</v>
      </c>
      <c r="M239" s="28" t="s">
        <v>5244</v>
      </c>
      <c r="N239" s="28" t="s">
        <v>147</v>
      </c>
      <c r="O239" s="29">
        <v>15.45</v>
      </c>
      <c r="P239" s="28" t="s">
        <v>610</v>
      </c>
      <c r="Q239" s="28" t="s">
        <v>149</v>
      </c>
      <c r="R239" s="28" t="s">
        <v>174</v>
      </c>
      <c r="S239" s="28" t="s">
        <v>5245</v>
      </c>
      <c r="T239" s="30">
        <v>31</v>
      </c>
      <c r="U239" s="28" t="s">
        <v>5246</v>
      </c>
      <c r="V239" s="28" t="s">
        <v>138</v>
      </c>
      <c r="W239" s="28" t="s">
        <v>138</v>
      </c>
      <c r="X239" s="31">
        <v>2014</v>
      </c>
      <c r="Y239" s="28" t="s">
        <v>138</v>
      </c>
      <c r="Z239" s="28" t="s">
        <v>138</v>
      </c>
      <c r="AA239" s="28" t="s">
        <v>138</v>
      </c>
      <c r="AB239" s="32" t="s">
        <v>138</v>
      </c>
      <c r="AC239" s="32" t="s">
        <v>138</v>
      </c>
      <c r="AD239" s="32" t="s">
        <v>138</v>
      </c>
      <c r="AE239" s="32" t="s">
        <v>138</v>
      </c>
      <c r="AF239" s="32" t="s">
        <v>138</v>
      </c>
      <c r="AG239" s="28" t="s">
        <v>138</v>
      </c>
      <c r="AH239" s="32" t="s">
        <v>138</v>
      </c>
      <c r="AI239" s="32" t="s">
        <v>138</v>
      </c>
      <c r="AJ239" s="32" t="s">
        <v>138</v>
      </c>
      <c r="AK239" s="28" t="s">
        <v>5247</v>
      </c>
      <c r="AL239" s="28" t="s">
        <v>5248</v>
      </c>
      <c r="AM239" s="28" t="s">
        <v>2794</v>
      </c>
      <c r="AN239" s="28" t="s">
        <v>5249</v>
      </c>
      <c r="AO239" s="28" t="s">
        <v>5250</v>
      </c>
      <c r="AP239" s="28" t="s">
        <v>1244</v>
      </c>
      <c r="AQ239" s="28" t="s">
        <v>4588</v>
      </c>
      <c r="AR239" s="28" t="s">
        <v>138</v>
      </c>
      <c r="AS239" s="28" t="s">
        <v>1246</v>
      </c>
      <c r="AT239" s="28" t="s">
        <v>200</v>
      </c>
      <c r="AU239" s="28" t="s">
        <v>4589</v>
      </c>
      <c r="AV239" s="28" t="s">
        <v>162</v>
      </c>
      <c r="AW239" s="28" t="s">
        <v>5250</v>
      </c>
      <c r="AX239" s="28" t="s">
        <v>138</v>
      </c>
      <c r="AY239" s="28" t="s">
        <v>5251</v>
      </c>
      <c r="AZ239" s="28" t="s">
        <v>164</v>
      </c>
      <c r="BA239" s="28" t="s">
        <v>165</v>
      </c>
      <c r="BB239" s="28" t="s">
        <v>5252</v>
      </c>
      <c r="BC239" s="28" t="s">
        <v>5253</v>
      </c>
      <c r="BD239" s="33">
        <v>9</v>
      </c>
      <c r="BE239" s="28" t="s">
        <v>138</v>
      </c>
      <c r="BF239" s="28" t="s">
        <v>138</v>
      </c>
      <c r="BG239" s="28" t="s">
        <v>138</v>
      </c>
      <c r="BH239" s="28" t="s">
        <v>5254</v>
      </c>
      <c r="BI239" s="28" t="s">
        <v>138</v>
      </c>
      <c r="BJ239" s="28" t="s">
        <v>138</v>
      </c>
      <c r="BK239" s="28" t="s">
        <v>3482</v>
      </c>
      <c r="BL239" s="28" t="s">
        <v>3482</v>
      </c>
      <c r="BM239" s="34">
        <v>42551</v>
      </c>
      <c r="BN239" s="29">
        <v>4.45</v>
      </c>
      <c r="BO239" s="28" t="s">
        <v>1178</v>
      </c>
      <c r="BP239" s="29">
        <v>19.45</v>
      </c>
      <c r="BQ239" s="28" t="s">
        <v>1178</v>
      </c>
      <c r="BR239" s="28" t="s">
        <v>205</v>
      </c>
      <c r="BS239" s="28" t="s">
        <v>206</v>
      </c>
      <c r="BT239" s="28" t="s">
        <v>138</v>
      </c>
      <c r="BU239" s="28" t="s">
        <v>174</v>
      </c>
      <c r="BV239" s="28" t="s">
        <v>138</v>
      </c>
      <c r="BW239" s="28" t="s">
        <v>138</v>
      </c>
      <c r="BX239" s="28" t="s">
        <v>138</v>
      </c>
      <c r="BY239" s="28" t="s">
        <v>175</v>
      </c>
      <c r="BZ239" s="34">
        <v>43231</v>
      </c>
      <c r="CA239" s="29">
        <v>11</v>
      </c>
      <c r="CB239" s="28" t="s">
        <v>172</v>
      </c>
      <c r="CC239" s="29">
        <v>71</v>
      </c>
      <c r="CD239" s="28" t="s">
        <v>1178</v>
      </c>
      <c r="CE239" s="28" t="s">
        <v>205</v>
      </c>
      <c r="CF239" s="28" t="s">
        <v>1727</v>
      </c>
      <c r="CG239" s="28" t="s">
        <v>138</v>
      </c>
      <c r="CH239" s="28" t="s">
        <v>174</v>
      </c>
      <c r="CI239" s="28" t="s">
        <v>138</v>
      </c>
      <c r="CJ239" s="28" t="s">
        <v>138</v>
      </c>
      <c r="CK239" s="28" t="s">
        <v>138</v>
      </c>
      <c r="CL239" s="28" t="s">
        <v>175</v>
      </c>
      <c r="CM239" s="34" t="s">
        <v>138</v>
      </c>
      <c r="CN239" s="29" t="s">
        <v>138</v>
      </c>
      <c r="CO239" s="35">
        <v>0.19</v>
      </c>
      <c r="CP239" s="36">
        <v>92</v>
      </c>
      <c r="CQ239" s="35">
        <v>0</v>
      </c>
      <c r="CR239" s="35">
        <v>-0.69</v>
      </c>
      <c r="CS239" s="35">
        <v>0</v>
      </c>
      <c r="CT239" s="36">
        <v>23</v>
      </c>
      <c r="CU239" s="35">
        <v>0.38</v>
      </c>
      <c r="CV239" s="36">
        <v>91</v>
      </c>
      <c r="CW239" s="35" t="s">
        <v>138</v>
      </c>
      <c r="CX239" s="36" t="s">
        <v>138</v>
      </c>
      <c r="CY239" s="35">
        <v>0</v>
      </c>
      <c r="CZ239" s="36">
        <v>25</v>
      </c>
      <c r="DA239" s="35">
        <v>0.68</v>
      </c>
      <c r="DB239" s="36">
        <v>96</v>
      </c>
      <c r="DC239" s="37">
        <v>0.81</v>
      </c>
      <c r="DD239" s="36">
        <v>46</v>
      </c>
      <c r="DE239" s="37">
        <v>0</v>
      </c>
      <c r="DF239" s="35">
        <v>0.15</v>
      </c>
      <c r="DG239" s="37">
        <v>1.34</v>
      </c>
      <c r="DH239" s="36">
        <v>58</v>
      </c>
      <c r="DI239" s="37">
        <v>0.27</v>
      </c>
      <c r="DJ239" s="36">
        <v>26</v>
      </c>
      <c r="DK239" s="37" t="s">
        <v>138</v>
      </c>
      <c r="DL239" s="36" t="s">
        <v>138</v>
      </c>
      <c r="DM239" s="37">
        <v>1.34</v>
      </c>
      <c r="DN239" s="36">
        <v>57</v>
      </c>
      <c r="DO239" s="37">
        <v>0.37</v>
      </c>
      <c r="DP239" s="36">
        <v>33</v>
      </c>
      <c r="DQ239" s="36" t="s">
        <v>138</v>
      </c>
      <c r="DR239" s="38" t="s">
        <v>138</v>
      </c>
      <c r="DS239" s="35" t="s">
        <v>138</v>
      </c>
      <c r="DT239" s="36">
        <v>39</v>
      </c>
      <c r="DU239" s="38">
        <v>0</v>
      </c>
      <c r="DV239" s="35">
        <v>0</v>
      </c>
      <c r="DW239" s="36">
        <v>133</v>
      </c>
      <c r="DX239" s="39">
        <v>1</v>
      </c>
      <c r="DY239" s="35">
        <v>0.76</v>
      </c>
      <c r="DZ239" s="28" t="s">
        <v>178</v>
      </c>
      <c r="EA239" s="34">
        <v>43402</v>
      </c>
      <c r="EB239" s="29">
        <v>71</v>
      </c>
      <c r="EC239" s="34">
        <v>43231</v>
      </c>
      <c r="ED239" s="28" t="s">
        <v>205</v>
      </c>
      <c r="EE239" s="40" t="str">
        <f>HYPERLINK("https://my.pitchbook.com?c=162130-06", "View company online")</f>
        <v>View company online</v>
      </c>
    </row>
    <row r="240" spans="1:135">
      <c r="A240" s="15" t="s">
        <v>5255</v>
      </c>
      <c r="B240" s="15" t="s">
        <v>5256</v>
      </c>
      <c r="C240" s="15" t="s">
        <v>138</v>
      </c>
      <c r="D240" s="15" t="s">
        <v>138</v>
      </c>
      <c r="E240" s="15" t="s">
        <v>138</v>
      </c>
      <c r="F240" s="15" t="s">
        <v>5255</v>
      </c>
      <c r="G240" s="15" t="s">
        <v>5257</v>
      </c>
      <c r="H240" s="15" t="s">
        <v>322</v>
      </c>
      <c r="I240" s="15" t="s">
        <v>356</v>
      </c>
      <c r="J240" s="15" t="s">
        <v>3852</v>
      </c>
      <c r="K240" s="15" t="s">
        <v>5258</v>
      </c>
      <c r="L240" s="15" t="s">
        <v>5259</v>
      </c>
      <c r="M240" s="15" t="s">
        <v>5260</v>
      </c>
      <c r="N240" s="15" t="s">
        <v>147</v>
      </c>
      <c r="O240" s="17">
        <v>181</v>
      </c>
      <c r="P240" s="15" t="s">
        <v>148</v>
      </c>
      <c r="Q240" s="15" t="s">
        <v>149</v>
      </c>
      <c r="R240" s="15" t="s">
        <v>1652</v>
      </c>
      <c r="S240" s="15" t="s">
        <v>5261</v>
      </c>
      <c r="T240" s="18">
        <v>230</v>
      </c>
      <c r="U240" s="15" t="s">
        <v>5262</v>
      </c>
      <c r="V240" s="15" t="s">
        <v>138</v>
      </c>
      <c r="W240" s="15" t="s">
        <v>138</v>
      </c>
      <c r="X240" s="19">
        <v>1985</v>
      </c>
      <c r="Y240" s="15" t="s">
        <v>138</v>
      </c>
      <c r="Z240" s="15" t="s">
        <v>138</v>
      </c>
      <c r="AA240" s="15" t="s">
        <v>138</v>
      </c>
      <c r="AB240" s="20">
        <v>50</v>
      </c>
      <c r="AC240" s="20" t="s">
        <v>138</v>
      </c>
      <c r="AD240" s="20" t="s">
        <v>138</v>
      </c>
      <c r="AE240" s="20" t="s">
        <v>138</v>
      </c>
      <c r="AF240" s="20" t="s">
        <v>138</v>
      </c>
      <c r="AG240" s="15" t="s">
        <v>5263</v>
      </c>
      <c r="AH240" s="20" t="s">
        <v>138</v>
      </c>
      <c r="AI240" s="20" t="s">
        <v>138</v>
      </c>
      <c r="AJ240" s="20" t="s">
        <v>138</v>
      </c>
      <c r="AK240" s="15" t="s">
        <v>5264</v>
      </c>
      <c r="AL240" s="15" t="s">
        <v>5265</v>
      </c>
      <c r="AM240" s="15" t="s">
        <v>636</v>
      </c>
      <c r="AN240" s="15" t="s">
        <v>5266</v>
      </c>
      <c r="AO240" s="15" t="s">
        <v>5267</v>
      </c>
      <c r="AP240" s="15" t="s">
        <v>5268</v>
      </c>
      <c r="AQ240" s="15" t="s">
        <v>5269</v>
      </c>
      <c r="AR240" s="15" t="s">
        <v>1170</v>
      </c>
      <c r="AS240" s="15" t="s">
        <v>5270</v>
      </c>
      <c r="AT240" s="15" t="s">
        <v>5271</v>
      </c>
      <c r="AU240" s="15" t="s">
        <v>5272</v>
      </c>
      <c r="AV240" s="15" t="s">
        <v>162</v>
      </c>
      <c r="AW240" s="15" t="s">
        <v>5273</v>
      </c>
      <c r="AX240" s="15" t="s">
        <v>138</v>
      </c>
      <c r="AY240" s="15" t="s">
        <v>5274</v>
      </c>
      <c r="AZ240" s="15" t="s">
        <v>164</v>
      </c>
      <c r="BA240" s="15" t="s">
        <v>165</v>
      </c>
      <c r="BB240" s="15" t="s">
        <v>5275</v>
      </c>
      <c r="BC240" s="15" t="s">
        <v>5276</v>
      </c>
      <c r="BD240" s="21">
        <v>9</v>
      </c>
      <c r="BE240" s="15" t="s">
        <v>138</v>
      </c>
      <c r="BF240" s="15" t="s">
        <v>138</v>
      </c>
      <c r="BG240" s="15" t="s">
        <v>138</v>
      </c>
      <c r="BH240" s="15" t="s">
        <v>5277</v>
      </c>
      <c r="BI240" s="15" t="s">
        <v>138</v>
      </c>
      <c r="BJ240" s="15" t="s">
        <v>138</v>
      </c>
      <c r="BK240" s="15" t="s">
        <v>5278</v>
      </c>
      <c r="BL240" s="15" t="s">
        <v>5279</v>
      </c>
      <c r="BM240" s="22">
        <v>39678</v>
      </c>
      <c r="BN240" s="17">
        <v>40</v>
      </c>
      <c r="BO240" s="15" t="s">
        <v>172</v>
      </c>
      <c r="BP240" s="17" t="s">
        <v>138</v>
      </c>
      <c r="BQ240" s="15" t="s">
        <v>138</v>
      </c>
      <c r="BR240" s="15" t="s">
        <v>173</v>
      </c>
      <c r="BS240" s="15" t="s">
        <v>206</v>
      </c>
      <c r="BT240" s="15" t="s">
        <v>138</v>
      </c>
      <c r="BU240" s="15" t="s">
        <v>174</v>
      </c>
      <c r="BV240" s="15" t="s">
        <v>138</v>
      </c>
      <c r="BW240" s="15" t="s">
        <v>138</v>
      </c>
      <c r="BX240" s="15" t="s">
        <v>138</v>
      </c>
      <c r="BY240" s="15" t="s">
        <v>175</v>
      </c>
      <c r="BZ240" s="22">
        <v>42005</v>
      </c>
      <c r="CA240" s="17" t="s">
        <v>138</v>
      </c>
      <c r="CB240" s="15" t="s">
        <v>138</v>
      </c>
      <c r="CC240" s="17" t="s">
        <v>138</v>
      </c>
      <c r="CD240" s="15" t="s">
        <v>138</v>
      </c>
      <c r="CE240" s="15" t="s">
        <v>5280</v>
      </c>
      <c r="CF240" s="15" t="s">
        <v>138</v>
      </c>
      <c r="CG240" s="15" t="s">
        <v>138</v>
      </c>
      <c r="CH240" s="15" t="s">
        <v>1327</v>
      </c>
      <c r="CI240" s="15" t="s">
        <v>138</v>
      </c>
      <c r="CJ240" s="15" t="s">
        <v>138</v>
      </c>
      <c r="CK240" s="15" t="s">
        <v>138</v>
      </c>
      <c r="CL240" s="15" t="s">
        <v>175</v>
      </c>
      <c r="CM240" s="22">
        <v>42005</v>
      </c>
      <c r="CN240" s="17" t="s">
        <v>138</v>
      </c>
      <c r="CO240" s="23">
        <v>2.65</v>
      </c>
      <c r="CP240" s="24">
        <v>99</v>
      </c>
      <c r="CQ240" s="23">
        <v>0</v>
      </c>
      <c r="CR240" s="23">
        <v>-0.13</v>
      </c>
      <c r="CS240" s="23">
        <v>5.29</v>
      </c>
      <c r="CT240" s="24">
        <v>100</v>
      </c>
      <c r="CU240" s="23">
        <v>0</v>
      </c>
      <c r="CV240" s="24">
        <v>22</v>
      </c>
      <c r="CW240" s="23">
        <v>5.29</v>
      </c>
      <c r="CX240" s="24">
        <v>96</v>
      </c>
      <c r="CY240" s="23" t="s">
        <v>138</v>
      </c>
      <c r="CZ240" s="24" t="s">
        <v>138</v>
      </c>
      <c r="DA240" s="23">
        <v>0</v>
      </c>
      <c r="DB240" s="24">
        <v>22</v>
      </c>
      <c r="DC240" s="25">
        <v>7.48</v>
      </c>
      <c r="DD240" s="24">
        <v>87</v>
      </c>
      <c r="DE240" s="25">
        <v>-0.26</v>
      </c>
      <c r="DF240" s="23">
        <v>-3.37</v>
      </c>
      <c r="DG240" s="25">
        <v>4.49</v>
      </c>
      <c r="DH240" s="24">
        <v>81</v>
      </c>
      <c r="DI240" s="25">
        <v>10.46</v>
      </c>
      <c r="DJ240" s="24">
        <v>86</v>
      </c>
      <c r="DK240" s="25">
        <v>4.49</v>
      </c>
      <c r="DL240" s="24">
        <v>78</v>
      </c>
      <c r="DM240" s="25" t="s">
        <v>138</v>
      </c>
      <c r="DN240" s="24" t="s">
        <v>138</v>
      </c>
      <c r="DO240" s="25">
        <v>10.46</v>
      </c>
      <c r="DP240" s="24">
        <v>88</v>
      </c>
      <c r="DQ240" s="24">
        <v>1485</v>
      </c>
      <c r="DR240" s="26">
        <v>166</v>
      </c>
      <c r="DS240" s="23">
        <v>12.59</v>
      </c>
      <c r="DT240" s="24" t="s">
        <v>138</v>
      </c>
      <c r="DU240" s="26" t="s">
        <v>138</v>
      </c>
      <c r="DV240" s="23" t="s">
        <v>138</v>
      </c>
      <c r="DW240" s="24">
        <v>3746</v>
      </c>
      <c r="DX240" s="27">
        <v>-2</v>
      </c>
      <c r="DY240" s="23">
        <v>-0.05</v>
      </c>
      <c r="DZ240" s="15" t="s">
        <v>178</v>
      </c>
      <c r="EA240" s="22">
        <v>43479</v>
      </c>
      <c r="EB240" s="17" t="s">
        <v>138</v>
      </c>
      <c r="EC240" s="22" t="s">
        <v>138</v>
      </c>
      <c r="ED240" s="15" t="s">
        <v>138</v>
      </c>
      <c r="EE240" s="14" t="str">
        <f>HYPERLINK("https://my.pitchbook.com?c=43024-15", "View company online")</f>
        <v>View company online</v>
      </c>
    </row>
    <row r="241" spans="1:135">
      <c r="A241" s="28" t="s">
        <v>5281</v>
      </c>
      <c r="B241" s="28" t="s">
        <v>5282</v>
      </c>
      <c r="C241" s="28" t="s">
        <v>138</v>
      </c>
      <c r="D241" s="28" t="s">
        <v>138</v>
      </c>
      <c r="E241" s="28" t="s">
        <v>5283</v>
      </c>
      <c r="F241" s="28" t="s">
        <v>5281</v>
      </c>
      <c r="G241" s="28" t="s">
        <v>5284</v>
      </c>
      <c r="H241" s="28" t="s">
        <v>322</v>
      </c>
      <c r="I241" s="28" t="s">
        <v>323</v>
      </c>
      <c r="J241" s="28" t="s">
        <v>2984</v>
      </c>
      <c r="K241" s="28" t="s">
        <v>5285</v>
      </c>
      <c r="L241" s="28" t="s">
        <v>326</v>
      </c>
      <c r="M241" s="28" t="s">
        <v>5286</v>
      </c>
      <c r="N241" s="28" t="s">
        <v>147</v>
      </c>
      <c r="O241" s="29">
        <v>124.3</v>
      </c>
      <c r="P241" s="28" t="s">
        <v>148</v>
      </c>
      <c r="Q241" s="28" t="s">
        <v>149</v>
      </c>
      <c r="R241" s="28" t="s">
        <v>174</v>
      </c>
      <c r="S241" s="28" t="s">
        <v>5287</v>
      </c>
      <c r="T241" s="30">
        <v>180</v>
      </c>
      <c r="U241" s="28" t="s">
        <v>5288</v>
      </c>
      <c r="V241" s="28" t="s">
        <v>138</v>
      </c>
      <c r="W241" s="28" t="s">
        <v>138</v>
      </c>
      <c r="X241" s="31">
        <v>2012</v>
      </c>
      <c r="Y241" s="28" t="s">
        <v>138</v>
      </c>
      <c r="Z241" s="28" t="s">
        <v>138</v>
      </c>
      <c r="AA241" s="28" t="s">
        <v>1163</v>
      </c>
      <c r="AB241" s="32">
        <v>3.1</v>
      </c>
      <c r="AC241" s="32" t="s">
        <v>138</v>
      </c>
      <c r="AD241" s="32" t="s">
        <v>138</v>
      </c>
      <c r="AE241" s="32" t="s">
        <v>138</v>
      </c>
      <c r="AF241" s="32" t="s">
        <v>138</v>
      </c>
      <c r="AG241" s="28" t="s">
        <v>514</v>
      </c>
      <c r="AH241" s="32" t="s">
        <v>138</v>
      </c>
      <c r="AI241" s="32" t="s">
        <v>138</v>
      </c>
      <c r="AJ241" s="32" t="s">
        <v>138</v>
      </c>
      <c r="AK241" s="28" t="s">
        <v>5289</v>
      </c>
      <c r="AL241" s="28" t="s">
        <v>5290</v>
      </c>
      <c r="AM241" s="28" t="s">
        <v>2949</v>
      </c>
      <c r="AN241" s="28" t="s">
        <v>5291</v>
      </c>
      <c r="AO241" s="28" t="s">
        <v>5292</v>
      </c>
      <c r="AP241" s="28" t="s">
        <v>665</v>
      </c>
      <c r="AQ241" s="28" t="s">
        <v>5293</v>
      </c>
      <c r="AR241" s="28" t="s">
        <v>5294</v>
      </c>
      <c r="AS241" s="28" t="s">
        <v>668</v>
      </c>
      <c r="AT241" s="28" t="s">
        <v>200</v>
      </c>
      <c r="AU241" s="28" t="s">
        <v>669</v>
      </c>
      <c r="AV241" s="28" t="s">
        <v>162</v>
      </c>
      <c r="AW241" s="28" t="s">
        <v>5292</v>
      </c>
      <c r="AX241" s="28" t="s">
        <v>138</v>
      </c>
      <c r="AY241" s="28" t="s">
        <v>5295</v>
      </c>
      <c r="AZ241" s="28" t="s">
        <v>164</v>
      </c>
      <c r="BA241" s="28" t="s">
        <v>165</v>
      </c>
      <c r="BB241" s="28" t="s">
        <v>5296</v>
      </c>
      <c r="BC241" s="28" t="s">
        <v>5297</v>
      </c>
      <c r="BD241" s="33">
        <v>19</v>
      </c>
      <c r="BE241" s="28" t="s">
        <v>138</v>
      </c>
      <c r="BF241" s="28" t="s">
        <v>138</v>
      </c>
      <c r="BG241" s="28" t="s">
        <v>138</v>
      </c>
      <c r="BH241" s="28" t="s">
        <v>5298</v>
      </c>
      <c r="BI241" s="28" t="s">
        <v>138</v>
      </c>
      <c r="BJ241" s="28" t="s">
        <v>138</v>
      </c>
      <c r="BK241" s="28" t="s">
        <v>1251</v>
      </c>
      <c r="BL241" s="28" t="s">
        <v>5299</v>
      </c>
      <c r="BM241" s="34">
        <v>41186</v>
      </c>
      <c r="BN241" s="29">
        <v>4.3</v>
      </c>
      <c r="BO241" s="28" t="s">
        <v>172</v>
      </c>
      <c r="BP241" s="29">
        <v>19.149999999999999</v>
      </c>
      <c r="BQ241" s="28" t="s">
        <v>172</v>
      </c>
      <c r="BR241" s="28" t="s">
        <v>205</v>
      </c>
      <c r="BS241" s="28" t="s">
        <v>206</v>
      </c>
      <c r="BT241" s="28" t="s">
        <v>138</v>
      </c>
      <c r="BU241" s="28" t="s">
        <v>174</v>
      </c>
      <c r="BV241" s="28" t="s">
        <v>138</v>
      </c>
      <c r="BW241" s="28" t="s">
        <v>138</v>
      </c>
      <c r="BX241" s="28" t="s">
        <v>138</v>
      </c>
      <c r="BY241" s="28" t="s">
        <v>175</v>
      </c>
      <c r="BZ241" s="34">
        <v>43131</v>
      </c>
      <c r="CA241" s="29">
        <v>48</v>
      </c>
      <c r="CB241" s="28" t="s">
        <v>172</v>
      </c>
      <c r="CC241" s="29">
        <v>248</v>
      </c>
      <c r="CD241" s="28" t="s">
        <v>172</v>
      </c>
      <c r="CE241" s="28" t="s">
        <v>173</v>
      </c>
      <c r="CF241" s="28" t="s">
        <v>433</v>
      </c>
      <c r="CG241" s="28" t="s">
        <v>138</v>
      </c>
      <c r="CH241" s="28" t="s">
        <v>174</v>
      </c>
      <c r="CI241" s="28" t="s">
        <v>177</v>
      </c>
      <c r="CJ241" s="28" t="s">
        <v>138</v>
      </c>
      <c r="CK241" s="28" t="s">
        <v>138</v>
      </c>
      <c r="CL241" s="28" t="s">
        <v>175</v>
      </c>
      <c r="CM241" s="34" t="s">
        <v>138</v>
      </c>
      <c r="CN241" s="29" t="s">
        <v>138</v>
      </c>
      <c r="CO241" s="35">
        <v>0.56000000000000005</v>
      </c>
      <c r="CP241" s="36">
        <v>95</v>
      </c>
      <c r="CQ241" s="35">
        <v>0.04</v>
      </c>
      <c r="CR241" s="35">
        <v>7.99</v>
      </c>
      <c r="CS241" s="35">
        <v>0.99</v>
      </c>
      <c r="CT241" s="36">
        <v>97</v>
      </c>
      <c r="CU241" s="35">
        <v>0.14000000000000001</v>
      </c>
      <c r="CV241" s="36">
        <v>74</v>
      </c>
      <c r="CW241" s="35">
        <v>2.57</v>
      </c>
      <c r="CX241" s="36">
        <v>90</v>
      </c>
      <c r="CY241" s="35">
        <v>-0.59</v>
      </c>
      <c r="CZ241" s="36">
        <v>22</v>
      </c>
      <c r="DA241" s="35">
        <v>0.09</v>
      </c>
      <c r="DB241" s="36">
        <v>70</v>
      </c>
      <c r="DC241" s="37">
        <v>26.41</v>
      </c>
      <c r="DD241" s="36">
        <v>96</v>
      </c>
      <c r="DE241" s="37">
        <v>-0.52</v>
      </c>
      <c r="DF241" s="35">
        <v>-1.94</v>
      </c>
      <c r="DG241" s="37">
        <v>36.75</v>
      </c>
      <c r="DH241" s="36">
        <v>97</v>
      </c>
      <c r="DI241" s="37">
        <v>16.079999999999998</v>
      </c>
      <c r="DJ241" s="36">
        <v>89</v>
      </c>
      <c r="DK241" s="37">
        <v>27.05</v>
      </c>
      <c r="DL241" s="36">
        <v>93</v>
      </c>
      <c r="DM241" s="37">
        <v>46.45</v>
      </c>
      <c r="DN241" s="36">
        <v>98</v>
      </c>
      <c r="DO241" s="37">
        <v>30.84</v>
      </c>
      <c r="DP241" s="36">
        <v>95</v>
      </c>
      <c r="DQ241" s="36">
        <v>9123</v>
      </c>
      <c r="DR241" s="38">
        <v>460</v>
      </c>
      <c r="DS241" s="35">
        <v>5.31</v>
      </c>
      <c r="DT241" s="36">
        <v>1332</v>
      </c>
      <c r="DU241" s="38">
        <v>21</v>
      </c>
      <c r="DV241" s="35">
        <v>1.6</v>
      </c>
      <c r="DW241" s="36">
        <v>11037</v>
      </c>
      <c r="DX241" s="39">
        <v>13</v>
      </c>
      <c r="DY241" s="35">
        <v>0.12</v>
      </c>
      <c r="DZ241" s="28" t="s">
        <v>178</v>
      </c>
      <c r="EA241" s="34">
        <v>43595</v>
      </c>
      <c r="EB241" s="29">
        <v>248</v>
      </c>
      <c r="EC241" s="34">
        <v>43131</v>
      </c>
      <c r="ED241" s="28" t="s">
        <v>173</v>
      </c>
      <c r="EE241" s="40" t="str">
        <f>HYPERLINK("https://my.pitchbook.com?c=55369-99", "View company online")</f>
        <v>View company online</v>
      </c>
    </row>
    <row r="242" spans="1:135">
      <c r="A242" s="15" t="s">
        <v>5300</v>
      </c>
      <c r="B242" s="15" t="s">
        <v>5301</v>
      </c>
      <c r="C242" s="15" t="s">
        <v>138</v>
      </c>
      <c r="D242" s="15" t="s">
        <v>138</v>
      </c>
      <c r="E242" s="15" t="s">
        <v>5302</v>
      </c>
      <c r="F242" s="15" t="s">
        <v>5300</v>
      </c>
      <c r="G242" s="15" t="s">
        <v>5303</v>
      </c>
      <c r="H242" s="15" t="s">
        <v>322</v>
      </c>
      <c r="I242" s="15" t="s">
        <v>323</v>
      </c>
      <c r="J242" s="15" t="s">
        <v>1235</v>
      </c>
      <c r="K242" s="15" t="s">
        <v>5304</v>
      </c>
      <c r="L242" s="15" t="s">
        <v>415</v>
      </c>
      <c r="M242" s="15" t="s">
        <v>5305</v>
      </c>
      <c r="N242" s="15" t="s">
        <v>147</v>
      </c>
      <c r="O242" s="17">
        <v>165</v>
      </c>
      <c r="P242" s="15" t="s">
        <v>148</v>
      </c>
      <c r="Q242" s="15" t="s">
        <v>149</v>
      </c>
      <c r="R242" s="15" t="s">
        <v>244</v>
      </c>
      <c r="S242" s="15" t="s">
        <v>5306</v>
      </c>
      <c r="T242" s="18">
        <v>260</v>
      </c>
      <c r="U242" s="15" t="s">
        <v>5307</v>
      </c>
      <c r="V242" s="15" t="s">
        <v>138</v>
      </c>
      <c r="W242" s="15" t="s">
        <v>138</v>
      </c>
      <c r="X242" s="19">
        <v>2007</v>
      </c>
      <c r="Y242" s="15" t="s">
        <v>138</v>
      </c>
      <c r="Z242" s="15" t="s">
        <v>138</v>
      </c>
      <c r="AA242" s="15" t="s">
        <v>138</v>
      </c>
      <c r="AB242" s="20" t="s">
        <v>138</v>
      </c>
      <c r="AC242" s="20" t="s">
        <v>138</v>
      </c>
      <c r="AD242" s="20" t="s">
        <v>138</v>
      </c>
      <c r="AE242" s="20" t="s">
        <v>138</v>
      </c>
      <c r="AF242" s="20" t="s">
        <v>138</v>
      </c>
      <c r="AG242" s="15" t="s">
        <v>138</v>
      </c>
      <c r="AH242" s="20" t="s">
        <v>138</v>
      </c>
      <c r="AI242" s="20" t="s">
        <v>138</v>
      </c>
      <c r="AJ242" s="20" t="s">
        <v>138</v>
      </c>
      <c r="AK242" s="15" t="s">
        <v>138</v>
      </c>
      <c r="AL242" s="15" t="s">
        <v>138</v>
      </c>
      <c r="AM242" s="15" t="s">
        <v>138</v>
      </c>
      <c r="AN242" s="15" t="s">
        <v>138</v>
      </c>
      <c r="AO242" s="15" t="s">
        <v>138</v>
      </c>
      <c r="AP242" s="15" t="s">
        <v>5308</v>
      </c>
      <c r="AQ242" s="15" t="s">
        <v>5309</v>
      </c>
      <c r="AR242" s="15" t="s">
        <v>138</v>
      </c>
      <c r="AS242" s="15" t="s">
        <v>3375</v>
      </c>
      <c r="AT242" s="15" t="s">
        <v>138</v>
      </c>
      <c r="AU242" s="15" t="s">
        <v>5310</v>
      </c>
      <c r="AV242" s="15" t="s">
        <v>5311</v>
      </c>
      <c r="AW242" s="15" t="s">
        <v>5312</v>
      </c>
      <c r="AX242" s="15" t="s">
        <v>5313</v>
      </c>
      <c r="AY242" s="15" t="s">
        <v>5314</v>
      </c>
      <c r="AZ242" s="15" t="s">
        <v>530</v>
      </c>
      <c r="BA242" s="15" t="s">
        <v>531</v>
      </c>
      <c r="BB242" s="15" t="s">
        <v>5315</v>
      </c>
      <c r="BC242" s="15" t="s">
        <v>5316</v>
      </c>
      <c r="BD242" s="21">
        <v>3</v>
      </c>
      <c r="BE242" s="15" t="s">
        <v>138</v>
      </c>
      <c r="BF242" s="15" t="s">
        <v>5317</v>
      </c>
      <c r="BG242" s="15" t="s">
        <v>138</v>
      </c>
      <c r="BH242" s="15" t="s">
        <v>5318</v>
      </c>
      <c r="BI242" s="15" t="s">
        <v>5319</v>
      </c>
      <c r="BJ242" s="15" t="s">
        <v>138</v>
      </c>
      <c r="BK242" s="15" t="s">
        <v>138</v>
      </c>
      <c r="BL242" s="15" t="s">
        <v>5320</v>
      </c>
      <c r="BM242" s="22">
        <v>41255</v>
      </c>
      <c r="BN242" s="17">
        <v>9</v>
      </c>
      <c r="BO242" s="15" t="s">
        <v>172</v>
      </c>
      <c r="BP242" s="17" t="s">
        <v>138</v>
      </c>
      <c r="BQ242" s="15" t="s">
        <v>138</v>
      </c>
      <c r="BR242" s="15" t="s">
        <v>173</v>
      </c>
      <c r="BS242" s="15" t="s">
        <v>206</v>
      </c>
      <c r="BT242" s="15" t="s">
        <v>138</v>
      </c>
      <c r="BU242" s="15" t="s">
        <v>174</v>
      </c>
      <c r="BV242" s="15" t="s">
        <v>138</v>
      </c>
      <c r="BW242" s="15" t="s">
        <v>138</v>
      </c>
      <c r="BX242" s="15" t="s">
        <v>138</v>
      </c>
      <c r="BY242" s="15" t="s">
        <v>175</v>
      </c>
      <c r="BZ242" s="22" t="s">
        <v>138</v>
      </c>
      <c r="CA242" s="17" t="s">
        <v>138</v>
      </c>
      <c r="CB242" s="15" t="s">
        <v>138</v>
      </c>
      <c r="CC242" s="17" t="s">
        <v>138</v>
      </c>
      <c r="CD242" s="15" t="s">
        <v>138</v>
      </c>
      <c r="CE242" s="15" t="s">
        <v>3026</v>
      </c>
      <c r="CF242" s="15" t="s">
        <v>138</v>
      </c>
      <c r="CG242" s="15" t="s">
        <v>138</v>
      </c>
      <c r="CH242" s="15" t="s">
        <v>1327</v>
      </c>
      <c r="CI242" s="15" t="s">
        <v>138</v>
      </c>
      <c r="CJ242" s="15" t="s">
        <v>138</v>
      </c>
      <c r="CK242" s="15" t="s">
        <v>138</v>
      </c>
      <c r="CL242" s="15" t="s">
        <v>175</v>
      </c>
      <c r="CM242" s="22" t="s">
        <v>138</v>
      </c>
      <c r="CN242" s="17" t="s">
        <v>138</v>
      </c>
      <c r="CO242" s="23">
        <v>-0.11</v>
      </c>
      <c r="CP242" s="24">
        <v>21</v>
      </c>
      <c r="CQ242" s="23">
        <v>-0.03</v>
      </c>
      <c r="CR242" s="23">
        <v>-44.81</v>
      </c>
      <c r="CS242" s="23">
        <v>-0.24</v>
      </c>
      <c r="CT242" s="24">
        <v>21</v>
      </c>
      <c r="CU242" s="23">
        <v>0.02</v>
      </c>
      <c r="CV242" s="24">
        <v>51</v>
      </c>
      <c r="CW242" s="23">
        <v>2.21</v>
      </c>
      <c r="CX242" s="24">
        <v>89</v>
      </c>
      <c r="CY242" s="23">
        <v>-2.69</v>
      </c>
      <c r="CZ242" s="24">
        <v>8</v>
      </c>
      <c r="DA242" s="23">
        <v>-0.02</v>
      </c>
      <c r="DB242" s="24">
        <v>19</v>
      </c>
      <c r="DC242" s="25">
        <v>37.6</v>
      </c>
      <c r="DD242" s="24">
        <v>97</v>
      </c>
      <c r="DE242" s="25">
        <v>-1.78</v>
      </c>
      <c r="DF242" s="23">
        <v>-4.5199999999999996</v>
      </c>
      <c r="DG242" s="25">
        <v>55</v>
      </c>
      <c r="DH242" s="24">
        <v>98</v>
      </c>
      <c r="DI242" s="25">
        <v>20.190000000000001</v>
      </c>
      <c r="DJ242" s="24">
        <v>91</v>
      </c>
      <c r="DK242" s="25">
        <v>57.96</v>
      </c>
      <c r="DL242" s="24">
        <v>96</v>
      </c>
      <c r="DM242" s="25">
        <v>52.03</v>
      </c>
      <c r="DN242" s="24">
        <v>98</v>
      </c>
      <c r="DO242" s="25">
        <v>36.46</v>
      </c>
      <c r="DP242" s="24">
        <v>95</v>
      </c>
      <c r="DQ242" s="24">
        <v>19652</v>
      </c>
      <c r="DR242" s="26">
        <v>686</v>
      </c>
      <c r="DS242" s="23">
        <v>3.62</v>
      </c>
      <c r="DT242" s="24">
        <v>1508</v>
      </c>
      <c r="DU242" s="26">
        <v>3</v>
      </c>
      <c r="DV242" s="23">
        <v>0.2</v>
      </c>
      <c r="DW242" s="24">
        <v>13052</v>
      </c>
      <c r="DX242" s="27">
        <v>12</v>
      </c>
      <c r="DY242" s="23">
        <v>0.09</v>
      </c>
      <c r="DZ242" s="15" t="s">
        <v>178</v>
      </c>
      <c r="EA242" s="22">
        <v>43622</v>
      </c>
      <c r="EB242" s="17" t="s">
        <v>138</v>
      </c>
      <c r="EC242" s="22" t="s">
        <v>138</v>
      </c>
      <c r="ED242" s="15" t="s">
        <v>138</v>
      </c>
      <c r="EE242" s="14" t="str">
        <f>HYPERLINK("https://my.pitchbook.com?c=58653-37", "View company online")</f>
        <v>View company online</v>
      </c>
    </row>
    <row r="243" spans="1:135">
      <c r="A243" s="28" t="s">
        <v>5321</v>
      </c>
      <c r="B243" s="28" t="s">
        <v>5322</v>
      </c>
      <c r="C243" s="28" t="s">
        <v>138</v>
      </c>
      <c r="D243" s="28" t="s">
        <v>138</v>
      </c>
      <c r="E243" s="28" t="s">
        <v>5323</v>
      </c>
      <c r="F243" s="28" t="s">
        <v>5321</v>
      </c>
      <c r="G243" s="28" t="s">
        <v>5324</v>
      </c>
      <c r="H243" s="28" t="s">
        <v>385</v>
      </c>
      <c r="I243" s="28" t="s">
        <v>5325</v>
      </c>
      <c r="J243" s="28" t="s">
        <v>5326</v>
      </c>
      <c r="K243" s="28" t="s">
        <v>5327</v>
      </c>
      <c r="L243" s="28" t="s">
        <v>5328</v>
      </c>
      <c r="M243" s="28" t="s">
        <v>5329</v>
      </c>
      <c r="N243" s="28" t="s">
        <v>147</v>
      </c>
      <c r="O243" s="29">
        <v>10.02</v>
      </c>
      <c r="P243" s="28" t="s">
        <v>148</v>
      </c>
      <c r="Q243" s="28" t="s">
        <v>149</v>
      </c>
      <c r="R243" s="28" t="s">
        <v>174</v>
      </c>
      <c r="S243" s="28" t="s">
        <v>5330</v>
      </c>
      <c r="T243" s="30">
        <v>25</v>
      </c>
      <c r="U243" s="28" t="s">
        <v>5331</v>
      </c>
      <c r="V243" s="28" t="s">
        <v>138</v>
      </c>
      <c r="W243" s="28" t="s">
        <v>138</v>
      </c>
      <c r="X243" s="31">
        <v>2010</v>
      </c>
      <c r="Y243" s="28" t="s">
        <v>138</v>
      </c>
      <c r="Z243" s="28" t="s">
        <v>138</v>
      </c>
      <c r="AA243" s="28" t="s">
        <v>138</v>
      </c>
      <c r="AB243" s="32" t="s">
        <v>138</v>
      </c>
      <c r="AC243" s="32" t="s">
        <v>138</v>
      </c>
      <c r="AD243" s="32" t="s">
        <v>138</v>
      </c>
      <c r="AE243" s="32" t="s">
        <v>138</v>
      </c>
      <c r="AF243" s="32" t="s">
        <v>138</v>
      </c>
      <c r="AG243" s="28" t="s">
        <v>138</v>
      </c>
      <c r="AH243" s="32" t="s">
        <v>138</v>
      </c>
      <c r="AI243" s="32" t="s">
        <v>138</v>
      </c>
      <c r="AJ243" s="32" t="s">
        <v>138</v>
      </c>
      <c r="AK243" s="28" t="s">
        <v>5332</v>
      </c>
      <c r="AL243" s="28" t="s">
        <v>5333</v>
      </c>
      <c r="AM243" s="28" t="s">
        <v>249</v>
      </c>
      <c r="AN243" s="28" t="s">
        <v>5334</v>
      </c>
      <c r="AO243" s="28" t="s">
        <v>5335</v>
      </c>
      <c r="AP243" s="28" t="s">
        <v>5336</v>
      </c>
      <c r="AQ243" s="28" t="s">
        <v>5337</v>
      </c>
      <c r="AR243" s="28" t="s">
        <v>138</v>
      </c>
      <c r="AS243" s="28" t="s">
        <v>5338</v>
      </c>
      <c r="AT243" s="28" t="s">
        <v>200</v>
      </c>
      <c r="AU243" s="28" t="s">
        <v>5339</v>
      </c>
      <c r="AV243" s="28" t="s">
        <v>162</v>
      </c>
      <c r="AW243" s="28" t="s">
        <v>5335</v>
      </c>
      <c r="AX243" s="28" t="s">
        <v>5340</v>
      </c>
      <c r="AY243" s="28" t="s">
        <v>5341</v>
      </c>
      <c r="AZ243" s="28" t="s">
        <v>164</v>
      </c>
      <c r="BA243" s="28" t="s">
        <v>165</v>
      </c>
      <c r="BB243" s="28" t="s">
        <v>5342</v>
      </c>
      <c r="BC243" s="28" t="s">
        <v>5343</v>
      </c>
      <c r="BD243" s="33">
        <v>2</v>
      </c>
      <c r="BE243" s="28" t="s">
        <v>138</v>
      </c>
      <c r="BF243" s="28" t="s">
        <v>138</v>
      </c>
      <c r="BG243" s="28" t="s">
        <v>138</v>
      </c>
      <c r="BH243" s="28" t="s">
        <v>5344</v>
      </c>
      <c r="BI243" s="28" t="s">
        <v>138</v>
      </c>
      <c r="BJ243" s="28" t="s">
        <v>138</v>
      </c>
      <c r="BK243" s="28" t="s">
        <v>138</v>
      </c>
      <c r="BL243" s="28" t="s">
        <v>5345</v>
      </c>
      <c r="BM243" s="34">
        <v>40603</v>
      </c>
      <c r="BN243" s="29">
        <v>0.01</v>
      </c>
      <c r="BO243" s="28" t="s">
        <v>172</v>
      </c>
      <c r="BP243" s="29" t="s">
        <v>138</v>
      </c>
      <c r="BQ243" s="28" t="s">
        <v>138</v>
      </c>
      <c r="BR243" s="28" t="s">
        <v>262</v>
      </c>
      <c r="BS243" s="28" t="s">
        <v>262</v>
      </c>
      <c r="BT243" s="28" t="s">
        <v>138</v>
      </c>
      <c r="BU243" s="28" t="s">
        <v>263</v>
      </c>
      <c r="BV243" s="28" t="s">
        <v>138</v>
      </c>
      <c r="BW243" s="28" t="s">
        <v>138</v>
      </c>
      <c r="BX243" s="28" t="s">
        <v>138</v>
      </c>
      <c r="BY243" s="28" t="s">
        <v>175</v>
      </c>
      <c r="BZ243" s="34">
        <v>43055</v>
      </c>
      <c r="CA243" s="29">
        <v>10.81</v>
      </c>
      <c r="CB243" s="28" t="s">
        <v>172</v>
      </c>
      <c r="CC243" s="29" t="s">
        <v>138</v>
      </c>
      <c r="CD243" s="28" t="s">
        <v>138</v>
      </c>
      <c r="CE243" s="28" t="s">
        <v>173</v>
      </c>
      <c r="CF243" s="28" t="s">
        <v>138</v>
      </c>
      <c r="CG243" s="28" t="s">
        <v>138</v>
      </c>
      <c r="CH243" s="28" t="s">
        <v>174</v>
      </c>
      <c r="CI243" s="28" t="s">
        <v>264</v>
      </c>
      <c r="CJ243" s="28" t="s">
        <v>138</v>
      </c>
      <c r="CK243" s="28" t="s">
        <v>138</v>
      </c>
      <c r="CL243" s="28" t="s">
        <v>175</v>
      </c>
      <c r="CM243" s="34" t="s">
        <v>138</v>
      </c>
      <c r="CN243" s="29" t="s">
        <v>138</v>
      </c>
      <c r="CO243" s="35">
        <v>-0.03</v>
      </c>
      <c r="CP243" s="36">
        <v>23</v>
      </c>
      <c r="CQ243" s="35">
        <v>0.02</v>
      </c>
      <c r="CR243" s="35">
        <v>42.13</v>
      </c>
      <c r="CS243" s="35">
        <v>0</v>
      </c>
      <c r="CT243" s="36">
        <v>23</v>
      </c>
      <c r="CU243" s="35">
        <v>-0.05</v>
      </c>
      <c r="CV243" s="36">
        <v>9</v>
      </c>
      <c r="CW243" s="35" t="s">
        <v>138</v>
      </c>
      <c r="CX243" s="36" t="s">
        <v>138</v>
      </c>
      <c r="CY243" s="35">
        <v>0</v>
      </c>
      <c r="CZ243" s="36">
        <v>25</v>
      </c>
      <c r="DA243" s="35">
        <v>-0.08</v>
      </c>
      <c r="DB243" s="36">
        <v>8</v>
      </c>
      <c r="DC243" s="37">
        <v>0.79</v>
      </c>
      <c r="DD243" s="36">
        <v>45</v>
      </c>
      <c r="DE243" s="37">
        <v>0</v>
      </c>
      <c r="DF243" s="35">
        <v>0.3</v>
      </c>
      <c r="DG243" s="37">
        <v>0.69</v>
      </c>
      <c r="DH243" s="36">
        <v>42</v>
      </c>
      <c r="DI243" s="37">
        <v>0.89</v>
      </c>
      <c r="DJ243" s="36">
        <v>47</v>
      </c>
      <c r="DK243" s="37" t="s">
        <v>138</v>
      </c>
      <c r="DL243" s="36" t="s">
        <v>138</v>
      </c>
      <c r="DM243" s="37">
        <v>0.69</v>
      </c>
      <c r="DN243" s="36">
        <v>41</v>
      </c>
      <c r="DO243" s="37">
        <v>1.32</v>
      </c>
      <c r="DP243" s="36">
        <v>56</v>
      </c>
      <c r="DQ243" s="36" t="s">
        <v>138</v>
      </c>
      <c r="DR243" s="38" t="s">
        <v>138</v>
      </c>
      <c r="DS243" s="35" t="s">
        <v>138</v>
      </c>
      <c r="DT243" s="36">
        <v>20</v>
      </c>
      <c r="DU243" s="38">
        <v>0</v>
      </c>
      <c r="DV243" s="35">
        <v>0</v>
      </c>
      <c r="DW243" s="36">
        <v>470</v>
      </c>
      <c r="DX243" s="39">
        <v>1</v>
      </c>
      <c r="DY243" s="35">
        <v>0.21</v>
      </c>
      <c r="DZ243" s="28" t="s">
        <v>178</v>
      </c>
      <c r="EA243" s="34">
        <v>43577</v>
      </c>
      <c r="EB243" s="29" t="s">
        <v>138</v>
      </c>
      <c r="EC243" s="34" t="s">
        <v>138</v>
      </c>
      <c r="ED243" s="28" t="s">
        <v>138</v>
      </c>
      <c r="EE243" s="40" t="str">
        <f>HYPERLINK("https://my.pitchbook.com?c=66175-03", "View company online")</f>
        <v>View company online</v>
      </c>
    </row>
    <row r="244" spans="1:135">
      <c r="A244" s="15" t="s">
        <v>5346</v>
      </c>
      <c r="B244" s="15" t="s">
        <v>5347</v>
      </c>
      <c r="C244" s="15" t="s">
        <v>5348</v>
      </c>
      <c r="D244" s="15" t="s">
        <v>138</v>
      </c>
      <c r="E244" s="15" t="s">
        <v>138</v>
      </c>
      <c r="F244" s="15" t="s">
        <v>5346</v>
      </c>
      <c r="G244" s="15" t="s">
        <v>5349</v>
      </c>
      <c r="H244" s="15" t="s">
        <v>385</v>
      </c>
      <c r="I244" s="15" t="s">
        <v>1991</v>
      </c>
      <c r="J244" s="15" t="s">
        <v>4454</v>
      </c>
      <c r="K244" s="15" t="s">
        <v>5350</v>
      </c>
      <c r="L244" s="15" t="s">
        <v>1994</v>
      </c>
      <c r="M244" s="15" t="s">
        <v>5351</v>
      </c>
      <c r="N244" s="15" t="s">
        <v>147</v>
      </c>
      <c r="O244" s="17" t="s">
        <v>138</v>
      </c>
      <c r="P244" s="15" t="s">
        <v>148</v>
      </c>
      <c r="Q244" s="15" t="s">
        <v>149</v>
      </c>
      <c r="R244" s="15" t="s">
        <v>174</v>
      </c>
      <c r="S244" s="15" t="s">
        <v>5352</v>
      </c>
      <c r="T244" s="18">
        <v>52</v>
      </c>
      <c r="U244" s="15" t="s">
        <v>5353</v>
      </c>
      <c r="V244" s="15" t="s">
        <v>138</v>
      </c>
      <c r="W244" s="15" t="s">
        <v>138</v>
      </c>
      <c r="X244" s="19">
        <v>1986</v>
      </c>
      <c r="Y244" s="15" t="s">
        <v>138</v>
      </c>
      <c r="Z244" s="15" t="s">
        <v>138</v>
      </c>
      <c r="AA244" s="15" t="s">
        <v>138</v>
      </c>
      <c r="AB244" s="20" t="s">
        <v>138</v>
      </c>
      <c r="AC244" s="20" t="s">
        <v>138</v>
      </c>
      <c r="AD244" s="20" t="s">
        <v>138</v>
      </c>
      <c r="AE244" s="20" t="s">
        <v>138</v>
      </c>
      <c r="AF244" s="20" t="s">
        <v>138</v>
      </c>
      <c r="AG244" s="15" t="s">
        <v>138</v>
      </c>
      <c r="AH244" s="20" t="s">
        <v>138</v>
      </c>
      <c r="AI244" s="20" t="s">
        <v>138</v>
      </c>
      <c r="AJ244" s="20" t="s">
        <v>138</v>
      </c>
      <c r="AK244" s="15" t="s">
        <v>5354</v>
      </c>
      <c r="AL244" s="15" t="s">
        <v>5355</v>
      </c>
      <c r="AM244" s="15" t="s">
        <v>5356</v>
      </c>
      <c r="AN244" s="15" t="s">
        <v>5357</v>
      </c>
      <c r="AO244" s="15" t="s">
        <v>5358</v>
      </c>
      <c r="AP244" s="15" t="s">
        <v>5359</v>
      </c>
      <c r="AQ244" s="15" t="s">
        <v>5360</v>
      </c>
      <c r="AR244" s="15" t="s">
        <v>5361</v>
      </c>
      <c r="AS244" s="15" t="s">
        <v>5362</v>
      </c>
      <c r="AT244" s="15" t="s">
        <v>3453</v>
      </c>
      <c r="AU244" s="15" t="s">
        <v>5363</v>
      </c>
      <c r="AV244" s="15" t="s">
        <v>2333</v>
      </c>
      <c r="AW244" s="15" t="s">
        <v>5358</v>
      </c>
      <c r="AX244" s="15" t="s">
        <v>5364</v>
      </c>
      <c r="AY244" s="15" t="s">
        <v>5365</v>
      </c>
      <c r="AZ244" s="15" t="s">
        <v>452</v>
      </c>
      <c r="BA244" s="15" t="s">
        <v>2335</v>
      </c>
      <c r="BB244" s="15" t="s">
        <v>5366</v>
      </c>
      <c r="BC244" s="15" t="s">
        <v>3047</v>
      </c>
      <c r="BD244" s="21">
        <v>1</v>
      </c>
      <c r="BE244" s="15" t="s">
        <v>138</v>
      </c>
      <c r="BF244" s="15" t="s">
        <v>138</v>
      </c>
      <c r="BG244" s="15" t="s">
        <v>138</v>
      </c>
      <c r="BH244" s="15" t="s">
        <v>3049</v>
      </c>
      <c r="BI244" s="15" t="s">
        <v>138</v>
      </c>
      <c r="BJ244" s="15" t="s">
        <v>138</v>
      </c>
      <c r="BK244" s="15" t="s">
        <v>138</v>
      </c>
      <c r="BL244" s="15" t="s">
        <v>138</v>
      </c>
      <c r="BM244" s="22">
        <v>39962</v>
      </c>
      <c r="BN244" s="17" t="s">
        <v>138</v>
      </c>
      <c r="BO244" s="15" t="s">
        <v>138</v>
      </c>
      <c r="BP244" s="17" t="s">
        <v>138</v>
      </c>
      <c r="BQ244" s="15" t="s">
        <v>138</v>
      </c>
      <c r="BR244" s="15" t="s">
        <v>173</v>
      </c>
      <c r="BS244" s="15" t="s">
        <v>206</v>
      </c>
      <c r="BT244" s="15" t="s">
        <v>138</v>
      </c>
      <c r="BU244" s="15" t="s">
        <v>174</v>
      </c>
      <c r="BV244" s="15" t="s">
        <v>138</v>
      </c>
      <c r="BW244" s="15" t="s">
        <v>138</v>
      </c>
      <c r="BX244" s="15" t="s">
        <v>138</v>
      </c>
      <c r="BY244" s="15" t="s">
        <v>175</v>
      </c>
      <c r="BZ244" s="22">
        <v>41451</v>
      </c>
      <c r="CA244" s="17" t="s">
        <v>138</v>
      </c>
      <c r="CB244" s="15" t="s">
        <v>138</v>
      </c>
      <c r="CC244" s="17" t="s">
        <v>138</v>
      </c>
      <c r="CD244" s="15" t="s">
        <v>138</v>
      </c>
      <c r="CE244" s="15" t="s">
        <v>173</v>
      </c>
      <c r="CF244" s="15" t="s">
        <v>720</v>
      </c>
      <c r="CG244" s="15" t="s">
        <v>138</v>
      </c>
      <c r="CH244" s="15" t="s">
        <v>174</v>
      </c>
      <c r="CI244" s="15" t="s">
        <v>138</v>
      </c>
      <c r="CJ244" s="15" t="s">
        <v>138</v>
      </c>
      <c r="CK244" s="15" t="s">
        <v>138</v>
      </c>
      <c r="CL244" s="15" t="s">
        <v>175</v>
      </c>
      <c r="CM244" s="22" t="s">
        <v>138</v>
      </c>
      <c r="CN244" s="17" t="s">
        <v>138</v>
      </c>
      <c r="CO244" s="23">
        <v>0</v>
      </c>
      <c r="CP244" s="24">
        <v>26</v>
      </c>
      <c r="CQ244" s="23">
        <v>-0.03</v>
      </c>
      <c r="CR244" s="23">
        <v>-100</v>
      </c>
      <c r="CS244" s="23">
        <v>0</v>
      </c>
      <c r="CT244" s="24">
        <v>23</v>
      </c>
      <c r="CU244" s="23">
        <v>0</v>
      </c>
      <c r="CV244" s="24">
        <v>22</v>
      </c>
      <c r="CW244" s="23" t="s">
        <v>138</v>
      </c>
      <c r="CX244" s="24" t="s">
        <v>138</v>
      </c>
      <c r="CY244" s="23">
        <v>0</v>
      </c>
      <c r="CZ244" s="24">
        <v>25</v>
      </c>
      <c r="DA244" s="23">
        <v>0</v>
      </c>
      <c r="DB244" s="24">
        <v>22</v>
      </c>
      <c r="DC244" s="25">
        <v>1.31</v>
      </c>
      <c r="DD244" s="24">
        <v>57</v>
      </c>
      <c r="DE244" s="25">
        <v>-0.1</v>
      </c>
      <c r="DF244" s="23">
        <v>-6.86</v>
      </c>
      <c r="DG244" s="25">
        <v>2.52</v>
      </c>
      <c r="DH244" s="24">
        <v>71</v>
      </c>
      <c r="DI244" s="25">
        <v>0.11</v>
      </c>
      <c r="DJ244" s="24">
        <v>15</v>
      </c>
      <c r="DK244" s="25" t="s">
        <v>138</v>
      </c>
      <c r="DL244" s="24" t="s">
        <v>138</v>
      </c>
      <c r="DM244" s="25">
        <v>2.52</v>
      </c>
      <c r="DN244" s="24">
        <v>70</v>
      </c>
      <c r="DO244" s="25">
        <v>0.11</v>
      </c>
      <c r="DP244" s="24">
        <v>17</v>
      </c>
      <c r="DQ244" s="24" t="s">
        <v>138</v>
      </c>
      <c r="DR244" s="26" t="s">
        <v>138</v>
      </c>
      <c r="DS244" s="23" t="s">
        <v>138</v>
      </c>
      <c r="DT244" s="24">
        <v>73</v>
      </c>
      <c r="DU244" s="26">
        <v>-1</v>
      </c>
      <c r="DV244" s="23">
        <v>-1.35</v>
      </c>
      <c r="DW244" s="24">
        <v>38</v>
      </c>
      <c r="DX244" s="27">
        <v>0</v>
      </c>
      <c r="DY244" s="23">
        <v>0</v>
      </c>
      <c r="DZ244" s="15" t="s">
        <v>178</v>
      </c>
      <c r="EA244" s="22">
        <v>43412</v>
      </c>
      <c r="EB244" s="17" t="s">
        <v>138</v>
      </c>
      <c r="EC244" s="22" t="s">
        <v>138</v>
      </c>
      <c r="ED244" s="15" t="s">
        <v>138</v>
      </c>
      <c r="EE244" s="14" t="str">
        <f>HYPERLINK("https://my.pitchbook.com?c=60454-18", "View company online")</f>
        <v>View company online</v>
      </c>
    </row>
    <row r="245" spans="1:135">
      <c r="A245" s="28" t="s">
        <v>5367</v>
      </c>
      <c r="B245" s="28" t="s">
        <v>5368</v>
      </c>
      <c r="C245" s="28" t="s">
        <v>5369</v>
      </c>
      <c r="D245" s="28" t="s">
        <v>138</v>
      </c>
      <c r="E245" s="28" t="s">
        <v>138</v>
      </c>
      <c r="F245" s="28" t="s">
        <v>5367</v>
      </c>
      <c r="G245" s="28" t="s">
        <v>5370</v>
      </c>
      <c r="H245" s="28" t="s">
        <v>322</v>
      </c>
      <c r="I245" s="28" t="s">
        <v>1208</v>
      </c>
      <c r="J245" s="28" t="s">
        <v>5371</v>
      </c>
      <c r="K245" s="28" t="s">
        <v>5372</v>
      </c>
      <c r="L245" s="28" t="s">
        <v>359</v>
      </c>
      <c r="M245" s="28" t="s">
        <v>5373</v>
      </c>
      <c r="N245" s="28" t="s">
        <v>147</v>
      </c>
      <c r="O245" s="29">
        <v>35.270000000000003</v>
      </c>
      <c r="P245" s="28" t="s">
        <v>148</v>
      </c>
      <c r="Q245" s="28" t="s">
        <v>149</v>
      </c>
      <c r="R245" s="28" t="s">
        <v>174</v>
      </c>
      <c r="S245" s="28" t="s">
        <v>5374</v>
      </c>
      <c r="T245" s="30">
        <v>11</v>
      </c>
      <c r="U245" s="28" t="s">
        <v>5375</v>
      </c>
      <c r="V245" s="28" t="s">
        <v>138</v>
      </c>
      <c r="W245" s="28" t="s">
        <v>138</v>
      </c>
      <c r="X245" s="31">
        <v>2005</v>
      </c>
      <c r="Y245" s="28" t="s">
        <v>138</v>
      </c>
      <c r="Z245" s="28" t="s">
        <v>138</v>
      </c>
      <c r="AA245" s="28" t="s">
        <v>138</v>
      </c>
      <c r="AB245" s="32" t="s">
        <v>138</v>
      </c>
      <c r="AC245" s="32" t="s">
        <v>138</v>
      </c>
      <c r="AD245" s="32" t="s">
        <v>138</v>
      </c>
      <c r="AE245" s="32" t="s">
        <v>138</v>
      </c>
      <c r="AF245" s="32" t="s">
        <v>138</v>
      </c>
      <c r="AG245" s="28" t="s">
        <v>138</v>
      </c>
      <c r="AH245" s="32" t="s">
        <v>138</v>
      </c>
      <c r="AI245" s="32" t="s">
        <v>138</v>
      </c>
      <c r="AJ245" s="32" t="s">
        <v>138</v>
      </c>
      <c r="AK245" s="28" t="s">
        <v>5376</v>
      </c>
      <c r="AL245" s="28" t="s">
        <v>5377</v>
      </c>
      <c r="AM245" s="28" t="s">
        <v>5378</v>
      </c>
      <c r="AN245" s="28" t="s">
        <v>5379</v>
      </c>
      <c r="AO245" s="28" t="s">
        <v>138</v>
      </c>
      <c r="AP245" s="28" t="s">
        <v>5380</v>
      </c>
      <c r="AQ245" s="28" t="s">
        <v>5381</v>
      </c>
      <c r="AR245" s="28" t="s">
        <v>138</v>
      </c>
      <c r="AS245" s="28" t="s">
        <v>5382</v>
      </c>
      <c r="AT245" s="28" t="s">
        <v>200</v>
      </c>
      <c r="AU245" s="28" t="s">
        <v>5383</v>
      </c>
      <c r="AV245" s="28" t="s">
        <v>162</v>
      </c>
      <c r="AW245" s="28" t="s">
        <v>5384</v>
      </c>
      <c r="AX245" s="28" t="s">
        <v>138</v>
      </c>
      <c r="AY245" s="28" t="s">
        <v>138</v>
      </c>
      <c r="AZ245" s="28" t="s">
        <v>164</v>
      </c>
      <c r="BA245" s="28" t="s">
        <v>165</v>
      </c>
      <c r="BB245" s="28" t="s">
        <v>5385</v>
      </c>
      <c r="BC245" s="28" t="s">
        <v>5386</v>
      </c>
      <c r="BD245" s="33">
        <v>6</v>
      </c>
      <c r="BE245" s="28" t="s">
        <v>138</v>
      </c>
      <c r="BF245" s="28" t="s">
        <v>138</v>
      </c>
      <c r="BG245" s="28" t="s">
        <v>138</v>
      </c>
      <c r="BH245" s="28" t="s">
        <v>5387</v>
      </c>
      <c r="BI245" s="28" t="s">
        <v>138</v>
      </c>
      <c r="BJ245" s="28" t="s">
        <v>138</v>
      </c>
      <c r="BK245" s="28" t="s">
        <v>5388</v>
      </c>
      <c r="BL245" s="28" t="s">
        <v>5389</v>
      </c>
      <c r="BM245" s="34">
        <v>38673</v>
      </c>
      <c r="BN245" s="29">
        <v>6.6</v>
      </c>
      <c r="BO245" s="28" t="s">
        <v>172</v>
      </c>
      <c r="BP245" s="29">
        <v>14.78</v>
      </c>
      <c r="BQ245" s="28" t="s">
        <v>172</v>
      </c>
      <c r="BR245" s="28" t="s">
        <v>205</v>
      </c>
      <c r="BS245" s="28" t="s">
        <v>623</v>
      </c>
      <c r="BT245" s="28" t="s">
        <v>138</v>
      </c>
      <c r="BU245" s="28" t="s">
        <v>174</v>
      </c>
      <c r="BV245" s="28" t="s">
        <v>138</v>
      </c>
      <c r="BW245" s="28" t="s">
        <v>138</v>
      </c>
      <c r="BX245" s="28" t="s">
        <v>138</v>
      </c>
      <c r="BY245" s="28" t="s">
        <v>175</v>
      </c>
      <c r="BZ245" s="34">
        <v>41850</v>
      </c>
      <c r="CA245" s="29">
        <v>5.29</v>
      </c>
      <c r="CB245" s="28" t="s">
        <v>172</v>
      </c>
      <c r="CC245" s="29" t="s">
        <v>138</v>
      </c>
      <c r="CD245" s="28" t="s">
        <v>138</v>
      </c>
      <c r="CE245" s="28" t="s">
        <v>173</v>
      </c>
      <c r="CF245" s="28" t="s">
        <v>138</v>
      </c>
      <c r="CG245" s="28" t="s">
        <v>138</v>
      </c>
      <c r="CH245" s="28" t="s">
        <v>174</v>
      </c>
      <c r="CI245" s="28" t="s">
        <v>138</v>
      </c>
      <c r="CJ245" s="28" t="s">
        <v>138</v>
      </c>
      <c r="CK245" s="28" t="s">
        <v>138</v>
      </c>
      <c r="CL245" s="28" t="s">
        <v>175</v>
      </c>
      <c r="CM245" s="34" t="s">
        <v>138</v>
      </c>
      <c r="CN245" s="29" t="s">
        <v>138</v>
      </c>
      <c r="CO245" s="35">
        <v>0</v>
      </c>
      <c r="CP245" s="36">
        <v>26</v>
      </c>
      <c r="CQ245" s="35">
        <v>0</v>
      </c>
      <c r="CR245" s="35">
        <v>0</v>
      </c>
      <c r="CS245" s="35">
        <v>0</v>
      </c>
      <c r="CT245" s="36">
        <v>23</v>
      </c>
      <c r="CU245" s="35" t="s">
        <v>138</v>
      </c>
      <c r="CV245" s="36" t="s">
        <v>138</v>
      </c>
      <c r="CW245" s="35" t="s">
        <v>138</v>
      </c>
      <c r="CX245" s="36" t="s">
        <v>138</v>
      </c>
      <c r="CY245" s="35">
        <v>0</v>
      </c>
      <c r="CZ245" s="36">
        <v>25</v>
      </c>
      <c r="DA245" s="35" t="s">
        <v>138</v>
      </c>
      <c r="DB245" s="36" t="s">
        <v>138</v>
      </c>
      <c r="DC245" s="37">
        <v>0.38</v>
      </c>
      <c r="DD245" s="36">
        <v>27</v>
      </c>
      <c r="DE245" s="37">
        <v>0</v>
      </c>
      <c r="DF245" s="35">
        <v>0</v>
      </c>
      <c r="DG245" s="37">
        <v>0.38</v>
      </c>
      <c r="DH245" s="36">
        <v>27</v>
      </c>
      <c r="DI245" s="37" t="s">
        <v>138</v>
      </c>
      <c r="DJ245" s="36" t="s">
        <v>138</v>
      </c>
      <c r="DK245" s="37" t="s">
        <v>138</v>
      </c>
      <c r="DL245" s="36" t="s">
        <v>138</v>
      </c>
      <c r="DM245" s="37">
        <v>0.38</v>
      </c>
      <c r="DN245" s="36">
        <v>28</v>
      </c>
      <c r="DO245" s="37" t="s">
        <v>138</v>
      </c>
      <c r="DP245" s="36" t="s">
        <v>138</v>
      </c>
      <c r="DQ245" s="36" t="s">
        <v>138</v>
      </c>
      <c r="DR245" s="38" t="s">
        <v>138</v>
      </c>
      <c r="DS245" s="35" t="s">
        <v>138</v>
      </c>
      <c r="DT245" s="36">
        <v>11</v>
      </c>
      <c r="DU245" s="38">
        <v>0</v>
      </c>
      <c r="DV245" s="35">
        <v>0</v>
      </c>
      <c r="DW245" s="36" t="s">
        <v>138</v>
      </c>
      <c r="DX245" s="39" t="s">
        <v>138</v>
      </c>
      <c r="DY245" s="35" t="s">
        <v>138</v>
      </c>
      <c r="DZ245" s="28" t="s">
        <v>178</v>
      </c>
      <c r="EA245" s="34">
        <v>43489</v>
      </c>
      <c r="EB245" s="29">
        <v>11.8</v>
      </c>
      <c r="EC245" s="34">
        <v>41550</v>
      </c>
      <c r="ED245" s="28" t="s">
        <v>173</v>
      </c>
      <c r="EE245" s="40" t="str">
        <f>HYPERLINK("https://my.pitchbook.com?c=44158-96", "View company online")</f>
        <v>View company online</v>
      </c>
    </row>
    <row r="246" spans="1:135">
      <c r="A246" s="15" t="s">
        <v>5390</v>
      </c>
      <c r="B246" s="15" t="s">
        <v>5391</v>
      </c>
      <c r="C246" s="15" t="s">
        <v>138</v>
      </c>
      <c r="D246" s="15" t="s">
        <v>138</v>
      </c>
      <c r="E246" s="15" t="s">
        <v>138</v>
      </c>
      <c r="F246" s="15" t="s">
        <v>5390</v>
      </c>
      <c r="G246" s="15" t="s">
        <v>5392</v>
      </c>
      <c r="H246" s="15" t="s">
        <v>322</v>
      </c>
      <c r="I246" s="15" t="s">
        <v>1208</v>
      </c>
      <c r="J246" s="15" t="s">
        <v>5393</v>
      </c>
      <c r="K246" s="15" t="s">
        <v>5394</v>
      </c>
      <c r="L246" s="15" t="s">
        <v>5395</v>
      </c>
      <c r="M246" s="15" t="s">
        <v>5396</v>
      </c>
      <c r="N246" s="15" t="s">
        <v>147</v>
      </c>
      <c r="O246" s="17">
        <v>1.84</v>
      </c>
      <c r="P246" s="15" t="s">
        <v>148</v>
      </c>
      <c r="Q246" s="15" t="s">
        <v>149</v>
      </c>
      <c r="R246" s="15" t="s">
        <v>174</v>
      </c>
      <c r="S246" s="15" t="s">
        <v>5397</v>
      </c>
      <c r="T246" s="18">
        <v>3</v>
      </c>
      <c r="U246" s="15" t="s">
        <v>5398</v>
      </c>
      <c r="V246" s="15" t="s">
        <v>138</v>
      </c>
      <c r="W246" s="15" t="s">
        <v>138</v>
      </c>
      <c r="X246" s="19">
        <v>2004</v>
      </c>
      <c r="Y246" s="15" t="s">
        <v>138</v>
      </c>
      <c r="Z246" s="15" t="s">
        <v>138</v>
      </c>
      <c r="AA246" s="15" t="s">
        <v>138</v>
      </c>
      <c r="AB246" s="20" t="s">
        <v>138</v>
      </c>
      <c r="AC246" s="20" t="s">
        <v>138</v>
      </c>
      <c r="AD246" s="20" t="s">
        <v>138</v>
      </c>
      <c r="AE246" s="20" t="s">
        <v>138</v>
      </c>
      <c r="AF246" s="20" t="s">
        <v>138</v>
      </c>
      <c r="AG246" s="15" t="s">
        <v>138</v>
      </c>
      <c r="AH246" s="20" t="s">
        <v>138</v>
      </c>
      <c r="AI246" s="20" t="s">
        <v>138</v>
      </c>
      <c r="AJ246" s="20" t="s">
        <v>138</v>
      </c>
      <c r="AK246" s="15" t="s">
        <v>5399</v>
      </c>
      <c r="AL246" s="15" t="s">
        <v>5400</v>
      </c>
      <c r="AM246" s="15" t="s">
        <v>5401</v>
      </c>
      <c r="AN246" s="15" t="s">
        <v>5402</v>
      </c>
      <c r="AO246" s="15" t="s">
        <v>5403</v>
      </c>
      <c r="AP246" s="15" t="s">
        <v>5380</v>
      </c>
      <c r="AQ246" s="15" t="s">
        <v>5404</v>
      </c>
      <c r="AR246" s="15" t="s">
        <v>138</v>
      </c>
      <c r="AS246" s="15" t="s">
        <v>5382</v>
      </c>
      <c r="AT246" s="15" t="s">
        <v>200</v>
      </c>
      <c r="AU246" s="15" t="s">
        <v>5383</v>
      </c>
      <c r="AV246" s="15" t="s">
        <v>162</v>
      </c>
      <c r="AW246" s="15" t="s">
        <v>5403</v>
      </c>
      <c r="AX246" s="15" t="s">
        <v>138</v>
      </c>
      <c r="AY246" s="15" t="s">
        <v>5405</v>
      </c>
      <c r="AZ246" s="15" t="s">
        <v>164</v>
      </c>
      <c r="BA246" s="15" t="s">
        <v>165</v>
      </c>
      <c r="BB246" s="15" t="s">
        <v>5406</v>
      </c>
      <c r="BC246" s="15" t="s">
        <v>2075</v>
      </c>
      <c r="BD246" s="21">
        <v>1</v>
      </c>
      <c r="BE246" s="15" t="s">
        <v>138</v>
      </c>
      <c r="BF246" s="15" t="s">
        <v>138</v>
      </c>
      <c r="BG246" s="15" t="s">
        <v>138</v>
      </c>
      <c r="BH246" s="15" t="s">
        <v>2077</v>
      </c>
      <c r="BI246" s="15" t="s">
        <v>138</v>
      </c>
      <c r="BJ246" s="15" t="s">
        <v>138</v>
      </c>
      <c r="BK246" s="15" t="s">
        <v>5407</v>
      </c>
      <c r="BL246" s="15" t="s">
        <v>432</v>
      </c>
      <c r="BM246" s="22">
        <v>42019</v>
      </c>
      <c r="BN246" s="17">
        <v>0.54</v>
      </c>
      <c r="BO246" s="15" t="s">
        <v>172</v>
      </c>
      <c r="BP246" s="17">
        <v>9.52</v>
      </c>
      <c r="BQ246" s="15" t="s">
        <v>172</v>
      </c>
      <c r="BR246" s="15" t="s">
        <v>262</v>
      </c>
      <c r="BS246" s="15" t="s">
        <v>206</v>
      </c>
      <c r="BT246" s="15" t="s">
        <v>138</v>
      </c>
      <c r="BU246" s="15" t="s">
        <v>263</v>
      </c>
      <c r="BV246" s="15" t="s">
        <v>177</v>
      </c>
      <c r="BW246" s="15" t="s">
        <v>138</v>
      </c>
      <c r="BX246" s="15" t="s">
        <v>138</v>
      </c>
      <c r="BY246" s="15" t="s">
        <v>175</v>
      </c>
      <c r="BZ246" s="22">
        <v>42410</v>
      </c>
      <c r="CA246" s="17">
        <v>1.3</v>
      </c>
      <c r="CB246" s="15" t="s">
        <v>172</v>
      </c>
      <c r="CC246" s="17">
        <v>18</v>
      </c>
      <c r="CD246" s="15" t="s">
        <v>172</v>
      </c>
      <c r="CE246" s="15" t="s">
        <v>173</v>
      </c>
      <c r="CF246" s="15" t="s">
        <v>720</v>
      </c>
      <c r="CG246" s="15" t="s">
        <v>138</v>
      </c>
      <c r="CH246" s="15" t="s">
        <v>174</v>
      </c>
      <c r="CI246" s="15" t="s">
        <v>138</v>
      </c>
      <c r="CJ246" s="15" t="s">
        <v>138</v>
      </c>
      <c r="CK246" s="15" t="s">
        <v>138</v>
      </c>
      <c r="CL246" s="15" t="s">
        <v>175</v>
      </c>
      <c r="CM246" s="22" t="s">
        <v>138</v>
      </c>
      <c r="CN246" s="17" t="s">
        <v>138</v>
      </c>
      <c r="CO246" s="23">
        <v>0</v>
      </c>
      <c r="CP246" s="24">
        <v>26</v>
      </c>
      <c r="CQ246" s="23">
        <v>0</v>
      </c>
      <c r="CR246" s="23">
        <v>0</v>
      </c>
      <c r="CS246" s="23">
        <v>0</v>
      </c>
      <c r="CT246" s="24">
        <v>23</v>
      </c>
      <c r="CU246" s="23" t="s">
        <v>138</v>
      </c>
      <c r="CV246" s="24" t="s">
        <v>138</v>
      </c>
      <c r="CW246" s="23" t="s">
        <v>138</v>
      </c>
      <c r="CX246" s="24" t="s">
        <v>138</v>
      </c>
      <c r="CY246" s="23">
        <v>0</v>
      </c>
      <c r="CZ246" s="24">
        <v>25</v>
      </c>
      <c r="DA246" s="23" t="s">
        <v>138</v>
      </c>
      <c r="DB246" s="24" t="s">
        <v>138</v>
      </c>
      <c r="DC246" s="25">
        <v>0.38</v>
      </c>
      <c r="DD246" s="24">
        <v>27</v>
      </c>
      <c r="DE246" s="25">
        <v>0</v>
      </c>
      <c r="DF246" s="23">
        <v>0</v>
      </c>
      <c r="DG246" s="25">
        <v>0.38</v>
      </c>
      <c r="DH246" s="24">
        <v>27</v>
      </c>
      <c r="DI246" s="25" t="s">
        <v>138</v>
      </c>
      <c r="DJ246" s="24" t="s">
        <v>138</v>
      </c>
      <c r="DK246" s="25" t="s">
        <v>138</v>
      </c>
      <c r="DL246" s="24" t="s">
        <v>138</v>
      </c>
      <c r="DM246" s="25">
        <v>0.38</v>
      </c>
      <c r="DN246" s="24">
        <v>28</v>
      </c>
      <c r="DO246" s="25" t="s">
        <v>138</v>
      </c>
      <c r="DP246" s="24" t="s">
        <v>138</v>
      </c>
      <c r="DQ246" s="24" t="s">
        <v>138</v>
      </c>
      <c r="DR246" s="26" t="s">
        <v>138</v>
      </c>
      <c r="DS246" s="23" t="s">
        <v>138</v>
      </c>
      <c r="DT246" s="24">
        <v>11</v>
      </c>
      <c r="DU246" s="26">
        <v>0</v>
      </c>
      <c r="DV246" s="23">
        <v>0</v>
      </c>
      <c r="DW246" s="24" t="s">
        <v>138</v>
      </c>
      <c r="DX246" s="27" t="s">
        <v>138</v>
      </c>
      <c r="DY246" s="23" t="s">
        <v>138</v>
      </c>
      <c r="DZ246" s="15" t="s">
        <v>178</v>
      </c>
      <c r="EA246" s="22">
        <v>43351</v>
      </c>
      <c r="EB246" s="17">
        <v>18</v>
      </c>
      <c r="EC246" s="22">
        <v>42410</v>
      </c>
      <c r="ED246" s="15" t="s">
        <v>173</v>
      </c>
      <c r="EE246" s="14" t="str">
        <f>HYPERLINK("https://my.pitchbook.com?c=107416-72", "View company online")</f>
        <v>View company online</v>
      </c>
    </row>
    <row r="247" spans="1:135">
      <c r="A247" s="28" t="s">
        <v>5408</v>
      </c>
      <c r="B247" s="28" t="s">
        <v>5409</v>
      </c>
      <c r="C247" s="28" t="s">
        <v>138</v>
      </c>
      <c r="D247" s="28" t="s">
        <v>138</v>
      </c>
      <c r="E247" s="28" t="s">
        <v>138</v>
      </c>
      <c r="F247" s="28" t="s">
        <v>5408</v>
      </c>
      <c r="G247" s="28" t="s">
        <v>5410</v>
      </c>
      <c r="H247" s="28" t="s">
        <v>322</v>
      </c>
      <c r="I247" s="28" t="s">
        <v>323</v>
      </c>
      <c r="J247" s="28" t="s">
        <v>413</v>
      </c>
      <c r="K247" s="28" t="s">
        <v>5411</v>
      </c>
      <c r="L247" s="28" t="s">
        <v>5412</v>
      </c>
      <c r="M247" s="28" t="s">
        <v>5413</v>
      </c>
      <c r="N247" s="28" t="s">
        <v>147</v>
      </c>
      <c r="O247" s="29">
        <v>4.7</v>
      </c>
      <c r="P247" s="28" t="s">
        <v>148</v>
      </c>
      <c r="Q247" s="28" t="s">
        <v>149</v>
      </c>
      <c r="R247" s="28" t="s">
        <v>174</v>
      </c>
      <c r="S247" s="28" t="s">
        <v>5414</v>
      </c>
      <c r="T247" s="30">
        <v>17</v>
      </c>
      <c r="U247" s="28" t="s">
        <v>5415</v>
      </c>
      <c r="V247" s="28" t="s">
        <v>138</v>
      </c>
      <c r="W247" s="28" t="s">
        <v>138</v>
      </c>
      <c r="X247" s="31">
        <v>2012</v>
      </c>
      <c r="Y247" s="28" t="s">
        <v>138</v>
      </c>
      <c r="Z247" s="28" t="s">
        <v>138</v>
      </c>
      <c r="AA247" s="28" t="s">
        <v>138</v>
      </c>
      <c r="AB247" s="32">
        <v>0.13</v>
      </c>
      <c r="AC247" s="32" t="s">
        <v>138</v>
      </c>
      <c r="AD247" s="32" t="s">
        <v>138</v>
      </c>
      <c r="AE247" s="32" t="s">
        <v>138</v>
      </c>
      <c r="AF247" s="32">
        <v>0.03</v>
      </c>
      <c r="AG247" s="28" t="s">
        <v>563</v>
      </c>
      <c r="AH247" s="32" t="s">
        <v>138</v>
      </c>
      <c r="AI247" s="32" t="s">
        <v>138</v>
      </c>
      <c r="AJ247" s="32" t="s">
        <v>138</v>
      </c>
      <c r="AK247" s="28" t="s">
        <v>5416</v>
      </c>
      <c r="AL247" s="28" t="s">
        <v>5417</v>
      </c>
      <c r="AM247" s="28" t="s">
        <v>938</v>
      </c>
      <c r="AN247" s="28" t="s">
        <v>5418</v>
      </c>
      <c r="AO247" s="28" t="s">
        <v>138</v>
      </c>
      <c r="AP247" s="28" t="s">
        <v>964</v>
      </c>
      <c r="AQ247" s="28" t="s">
        <v>138</v>
      </c>
      <c r="AR247" s="28" t="s">
        <v>138</v>
      </c>
      <c r="AS247" s="28" t="s">
        <v>966</v>
      </c>
      <c r="AT247" s="28" t="s">
        <v>200</v>
      </c>
      <c r="AU247" s="28" t="s">
        <v>138</v>
      </c>
      <c r="AV247" s="28" t="s">
        <v>162</v>
      </c>
      <c r="AW247" s="28" t="s">
        <v>138</v>
      </c>
      <c r="AX247" s="28" t="s">
        <v>138</v>
      </c>
      <c r="AY247" s="28" t="s">
        <v>5419</v>
      </c>
      <c r="AZ247" s="28" t="s">
        <v>164</v>
      </c>
      <c r="BA247" s="28" t="s">
        <v>165</v>
      </c>
      <c r="BB247" s="28" t="s">
        <v>5420</v>
      </c>
      <c r="BC247" s="28" t="s">
        <v>5421</v>
      </c>
      <c r="BD247" s="33">
        <v>18</v>
      </c>
      <c r="BE247" s="28" t="s">
        <v>138</v>
      </c>
      <c r="BF247" s="28" t="s">
        <v>138</v>
      </c>
      <c r="BG247" s="28" t="s">
        <v>138</v>
      </c>
      <c r="BH247" s="28" t="s">
        <v>5422</v>
      </c>
      <c r="BI247" s="28" t="s">
        <v>138</v>
      </c>
      <c r="BJ247" s="28" t="s">
        <v>138</v>
      </c>
      <c r="BK247" s="28" t="s">
        <v>3482</v>
      </c>
      <c r="BL247" s="28" t="s">
        <v>2314</v>
      </c>
      <c r="BM247" s="34">
        <v>41454</v>
      </c>
      <c r="BN247" s="29">
        <v>0.13</v>
      </c>
      <c r="BO247" s="28" t="s">
        <v>172</v>
      </c>
      <c r="BP247" s="29" t="s">
        <v>138</v>
      </c>
      <c r="BQ247" s="28" t="s">
        <v>138</v>
      </c>
      <c r="BR247" s="28" t="s">
        <v>316</v>
      </c>
      <c r="BS247" s="28" t="s">
        <v>138</v>
      </c>
      <c r="BT247" s="28" t="s">
        <v>138</v>
      </c>
      <c r="BU247" s="28" t="s">
        <v>177</v>
      </c>
      <c r="BV247" s="28" t="s">
        <v>138</v>
      </c>
      <c r="BW247" s="28" t="s">
        <v>138</v>
      </c>
      <c r="BX247" s="28" t="s">
        <v>138</v>
      </c>
      <c r="BY247" s="28" t="s">
        <v>175</v>
      </c>
      <c r="BZ247" s="34">
        <v>41823</v>
      </c>
      <c r="CA247" s="29">
        <v>4.7</v>
      </c>
      <c r="CB247" s="28" t="s">
        <v>172</v>
      </c>
      <c r="CC247" s="29">
        <v>17.260000000000002</v>
      </c>
      <c r="CD247" s="28" t="s">
        <v>172</v>
      </c>
      <c r="CE247" s="28" t="s">
        <v>205</v>
      </c>
      <c r="CF247" s="28" t="s">
        <v>206</v>
      </c>
      <c r="CG247" s="28" t="s">
        <v>138</v>
      </c>
      <c r="CH247" s="28" t="s">
        <v>174</v>
      </c>
      <c r="CI247" s="28" t="s">
        <v>138</v>
      </c>
      <c r="CJ247" s="28" t="s">
        <v>138</v>
      </c>
      <c r="CK247" s="28" t="s">
        <v>138</v>
      </c>
      <c r="CL247" s="28" t="s">
        <v>175</v>
      </c>
      <c r="CM247" s="34" t="s">
        <v>138</v>
      </c>
      <c r="CN247" s="29" t="s">
        <v>138</v>
      </c>
      <c r="CO247" s="35">
        <v>-0.03</v>
      </c>
      <c r="CP247" s="36">
        <v>23</v>
      </c>
      <c r="CQ247" s="35">
        <v>0.01</v>
      </c>
      <c r="CR247" s="35">
        <v>17.149999999999999</v>
      </c>
      <c r="CS247" s="35">
        <v>0</v>
      </c>
      <c r="CT247" s="36">
        <v>23</v>
      </c>
      <c r="CU247" s="35">
        <v>-0.05</v>
      </c>
      <c r="CV247" s="36">
        <v>9</v>
      </c>
      <c r="CW247" s="35" t="s">
        <v>138</v>
      </c>
      <c r="CX247" s="36" t="s">
        <v>138</v>
      </c>
      <c r="CY247" s="35">
        <v>0</v>
      </c>
      <c r="CZ247" s="36">
        <v>25</v>
      </c>
      <c r="DA247" s="35">
        <v>-0.01</v>
      </c>
      <c r="DB247" s="36">
        <v>21</v>
      </c>
      <c r="DC247" s="37">
        <v>2.25</v>
      </c>
      <c r="DD247" s="36">
        <v>70</v>
      </c>
      <c r="DE247" s="37">
        <v>-0.03</v>
      </c>
      <c r="DF247" s="35">
        <v>-1.23</v>
      </c>
      <c r="DG247" s="37">
        <v>1.62</v>
      </c>
      <c r="DH247" s="36">
        <v>62</v>
      </c>
      <c r="DI247" s="37">
        <v>2.87</v>
      </c>
      <c r="DJ247" s="36">
        <v>69</v>
      </c>
      <c r="DK247" s="37" t="s">
        <v>138</v>
      </c>
      <c r="DL247" s="36" t="s">
        <v>138</v>
      </c>
      <c r="DM247" s="37">
        <v>1.62</v>
      </c>
      <c r="DN247" s="36">
        <v>61</v>
      </c>
      <c r="DO247" s="37">
        <v>4.83</v>
      </c>
      <c r="DP247" s="36">
        <v>79</v>
      </c>
      <c r="DQ247" s="36">
        <v>357</v>
      </c>
      <c r="DR247" s="38">
        <v>14</v>
      </c>
      <c r="DS247" s="35">
        <v>4.08</v>
      </c>
      <c r="DT247" s="36">
        <v>47</v>
      </c>
      <c r="DU247" s="38">
        <v>-2</v>
      </c>
      <c r="DV247" s="35">
        <v>-4.08</v>
      </c>
      <c r="DW247" s="36">
        <v>1729</v>
      </c>
      <c r="DX247" s="39">
        <v>0</v>
      </c>
      <c r="DY247" s="35">
        <v>0</v>
      </c>
      <c r="DZ247" s="28" t="s">
        <v>178</v>
      </c>
      <c r="EA247" s="34">
        <v>43351</v>
      </c>
      <c r="EB247" s="29">
        <v>17.260000000000002</v>
      </c>
      <c r="EC247" s="34">
        <v>41823</v>
      </c>
      <c r="ED247" s="28" t="s">
        <v>205</v>
      </c>
      <c r="EE247" s="40" t="str">
        <f>HYPERLINK("https://my.pitchbook.com?c=60887-80", "View company online")</f>
        <v>View company online</v>
      </c>
    </row>
    <row r="248" spans="1:135">
      <c r="A248" s="15" t="s">
        <v>5423</v>
      </c>
      <c r="B248" s="15" t="s">
        <v>5424</v>
      </c>
      <c r="C248" s="15" t="s">
        <v>138</v>
      </c>
      <c r="D248" s="15" t="s">
        <v>138</v>
      </c>
      <c r="E248" s="15" t="s">
        <v>5425</v>
      </c>
      <c r="F248" s="15" t="s">
        <v>5423</v>
      </c>
      <c r="G248" s="15" t="s">
        <v>5426</v>
      </c>
      <c r="H248" s="15" t="s">
        <v>322</v>
      </c>
      <c r="I248" s="15" t="s">
        <v>323</v>
      </c>
      <c r="J248" s="15" t="s">
        <v>954</v>
      </c>
      <c r="K248" s="15" t="s">
        <v>5427</v>
      </c>
      <c r="L248" s="15" t="s">
        <v>1134</v>
      </c>
      <c r="M248" s="15" t="s">
        <v>5428</v>
      </c>
      <c r="N248" s="15" t="s">
        <v>147</v>
      </c>
      <c r="O248" s="17">
        <v>41.37</v>
      </c>
      <c r="P248" s="15" t="s">
        <v>148</v>
      </c>
      <c r="Q248" s="15" t="s">
        <v>149</v>
      </c>
      <c r="R248" s="15" t="s">
        <v>244</v>
      </c>
      <c r="S248" s="15" t="s">
        <v>5429</v>
      </c>
      <c r="T248" s="18">
        <v>100</v>
      </c>
      <c r="U248" s="15" t="s">
        <v>5430</v>
      </c>
      <c r="V248" s="15" t="s">
        <v>138</v>
      </c>
      <c r="W248" s="15" t="s">
        <v>138</v>
      </c>
      <c r="X248" s="19">
        <v>2011</v>
      </c>
      <c r="Y248" s="15" t="s">
        <v>138</v>
      </c>
      <c r="Z248" s="15" t="s">
        <v>138</v>
      </c>
      <c r="AA248" s="15" t="s">
        <v>138</v>
      </c>
      <c r="AB248" s="20">
        <v>3</v>
      </c>
      <c r="AC248" s="20" t="s">
        <v>138</v>
      </c>
      <c r="AD248" s="20" t="s">
        <v>138</v>
      </c>
      <c r="AE248" s="20" t="s">
        <v>138</v>
      </c>
      <c r="AF248" s="20" t="s">
        <v>138</v>
      </c>
      <c r="AG248" s="15" t="s">
        <v>707</v>
      </c>
      <c r="AH248" s="20" t="s">
        <v>138</v>
      </c>
      <c r="AI248" s="20" t="s">
        <v>138</v>
      </c>
      <c r="AJ248" s="20" t="s">
        <v>138</v>
      </c>
      <c r="AK248" s="15" t="s">
        <v>5431</v>
      </c>
      <c r="AL248" s="15" t="s">
        <v>5432</v>
      </c>
      <c r="AM248" s="15" t="s">
        <v>4214</v>
      </c>
      <c r="AN248" s="15" t="s">
        <v>5433</v>
      </c>
      <c r="AO248" s="15" t="s">
        <v>5434</v>
      </c>
      <c r="AP248" s="15" t="s">
        <v>423</v>
      </c>
      <c r="AQ248" s="15" t="s">
        <v>138</v>
      </c>
      <c r="AR248" s="15" t="s">
        <v>138</v>
      </c>
      <c r="AS248" s="15" t="s">
        <v>426</v>
      </c>
      <c r="AT248" s="15" t="s">
        <v>426</v>
      </c>
      <c r="AU248" s="15" t="s">
        <v>138</v>
      </c>
      <c r="AV248" s="15" t="s">
        <v>162</v>
      </c>
      <c r="AW248" s="15" t="s">
        <v>5434</v>
      </c>
      <c r="AX248" s="15" t="s">
        <v>5435</v>
      </c>
      <c r="AY248" s="15" t="s">
        <v>138</v>
      </c>
      <c r="AZ248" s="15" t="s">
        <v>164</v>
      </c>
      <c r="BA248" s="15" t="s">
        <v>165</v>
      </c>
      <c r="BB248" s="15" t="s">
        <v>5436</v>
      </c>
      <c r="BC248" s="15" t="s">
        <v>5437</v>
      </c>
      <c r="BD248" s="21">
        <v>17</v>
      </c>
      <c r="BE248" s="15" t="s">
        <v>138</v>
      </c>
      <c r="BF248" s="15" t="s">
        <v>138</v>
      </c>
      <c r="BG248" s="15" t="s">
        <v>138</v>
      </c>
      <c r="BH248" s="15" t="s">
        <v>5438</v>
      </c>
      <c r="BI248" s="15" t="s">
        <v>138</v>
      </c>
      <c r="BJ248" s="15" t="s">
        <v>138</v>
      </c>
      <c r="BK248" s="15" t="s">
        <v>5439</v>
      </c>
      <c r="BL248" s="15" t="s">
        <v>5439</v>
      </c>
      <c r="BM248" s="22">
        <v>41389</v>
      </c>
      <c r="BN248" s="17">
        <v>0.12</v>
      </c>
      <c r="BO248" s="15" t="s">
        <v>172</v>
      </c>
      <c r="BP248" s="17" t="s">
        <v>138</v>
      </c>
      <c r="BQ248" s="15" t="s">
        <v>138</v>
      </c>
      <c r="BR248" s="15" t="s">
        <v>316</v>
      </c>
      <c r="BS248" s="15" t="s">
        <v>138</v>
      </c>
      <c r="BT248" s="15" t="s">
        <v>138</v>
      </c>
      <c r="BU248" s="15" t="s">
        <v>177</v>
      </c>
      <c r="BV248" s="15" t="s">
        <v>264</v>
      </c>
      <c r="BW248" s="15" t="s">
        <v>138</v>
      </c>
      <c r="BX248" s="15" t="s">
        <v>138</v>
      </c>
      <c r="BY248" s="15" t="s">
        <v>175</v>
      </c>
      <c r="BZ248" s="22">
        <v>43241</v>
      </c>
      <c r="CA248" s="17">
        <v>37</v>
      </c>
      <c r="CB248" s="15" t="s">
        <v>172</v>
      </c>
      <c r="CC248" s="17">
        <v>170</v>
      </c>
      <c r="CD248" s="15" t="s">
        <v>172</v>
      </c>
      <c r="CE248" s="15" t="s">
        <v>173</v>
      </c>
      <c r="CF248" s="15" t="s">
        <v>720</v>
      </c>
      <c r="CG248" s="15" t="s">
        <v>138</v>
      </c>
      <c r="CH248" s="15" t="s">
        <v>174</v>
      </c>
      <c r="CI248" s="15" t="s">
        <v>177</v>
      </c>
      <c r="CJ248" s="15" t="s">
        <v>138</v>
      </c>
      <c r="CK248" s="15" t="s">
        <v>138</v>
      </c>
      <c r="CL248" s="15" t="s">
        <v>175</v>
      </c>
      <c r="CM248" s="22" t="s">
        <v>138</v>
      </c>
      <c r="CN248" s="17" t="s">
        <v>138</v>
      </c>
      <c r="CO248" s="23">
        <v>0.42</v>
      </c>
      <c r="CP248" s="24">
        <v>95</v>
      </c>
      <c r="CQ248" s="23">
        <v>-0.01</v>
      </c>
      <c r="CR248" s="23">
        <v>-3.41</v>
      </c>
      <c r="CS248" s="23">
        <v>-1.72</v>
      </c>
      <c r="CT248" s="24">
        <v>10</v>
      </c>
      <c r="CU248" s="23">
        <v>0.61</v>
      </c>
      <c r="CV248" s="24">
        <v>95</v>
      </c>
      <c r="CW248" s="23">
        <v>-1.72</v>
      </c>
      <c r="CX248" s="24">
        <v>8</v>
      </c>
      <c r="CY248" s="23" t="s">
        <v>138</v>
      </c>
      <c r="CZ248" s="24" t="s">
        <v>138</v>
      </c>
      <c r="DA248" s="23">
        <v>0.86</v>
      </c>
      <c r="DB248" s="24">
        <v>97</v>
      </c>
      <c r="DC248" s="25">
        <v>620.83000000000004</v>
      </c>
      <c r="DD248" s="24">
        <v>100</v>
      </c>
      <c r="DE248" s="25">
        <v>-70.98</v>
      </c>
      <c r="DF248" s="23">
        <v>-10.26</v>
      </c>
      <c r="DG248" s="25">
        <v>1698.76</v>
      </c>
      <c r="DH248" s="24">
        <v>100</v>
      </c>
      <c r="DI248" s="25">
        <v>93.01</v>
      </c>
      <c r="DJ248" s="24">
        <v>97</v>
      </c>
      <c r="DK248" s="25">
        <v>1698.76</v>
      </c>
      <c r="DL248" s="24">
        <v>100</v>
      </c>
      <c r="DM248" s="25" t="s">
        <v>138</v>
      </c>
      <c r="DN248" s="24" t="s">
        <v>138</v>
      </c>
      <c r="DO248" s="25">
        <v>163.41</v>
      </c>
      <c r="DP248" s="24">
        <v>99</v>
      </c>
      <c r="DQ248" s="24">
        <v>584753</v>
      </c>
      <c r="DR248" s="26">
        <v>-6237</v>
      </c>
      <c r="DS248" s="23">
        <v>-1.06</v>
      </c>
      <c r="DT248" s="24" t="s">
        <v>138</v>
      </c>
      <c r="DU248" s="26" t="s">
        <v>138</v>
      </c>
      <c r="DV248" s="23" t="s">
        <v>138</v>
      </c>
      <c r="DW248" s="24">
        <v>58358</v>
      </c>
      <c r="DX248" s="27">
        <v>391</v>
      </c>
      <c r="DY248" s="23">
        <v>0.67</v>
      </c>
      <c r="DZ248" s="15" t="s">
        <v>178</v>
      </c>
      <c r="EA248" s="22">
        <v>43563</v>
      </c>
      <c r="EB248" s="17">
        <v>170</v>
      </c>
      <c r="EC248" s="22">
        <v>43241</v>
      </c>
      <c r="ED248" s="15" t="s">
        <v>173</v>
      </c>
      <c r="EE248" s="14" t="str">
        <f>HYPERLINK("https://my.pitchbook.com?c=58597-66", "View company online")</f>
        <v>View company online</v>
      </c>
    </row>
    <row r="249" spans="1:135">
      <c r="A249" s="28" t="s">
        <v>5440</v>
      </c>
      <c r="B249" s="28" t="s">
        <v>5441</v>
      </c>
      <c r="C249" s="28" t="s">
        <v>138</v>
      </c>
      <c r="D249" s="28" t="s">
        <v>138</v>
      </c>
      <c r="E249" s="28" t="s">
        <v>5442</v>
      </c>
      <c r="F249" s="28" t="s">
        <v>5440</v>
      </c>
      <c r="G249" s="28" t="s">
        <v>5443</v>
      </c>
      <c r="H249" s="28" t="s">
        <v>322</v>
      </c>
      <c r="I249" s="28" t="s">
        <v>323</v>
      </c>
      <c r="J249" s="28" t="s">
        <v>1132</v>
      </c>
      <c r="K249" s="28" t="s">
        <v>5444</v>
      </c>
      <c r="L249" s="28" t="s">
        <v>5445</v>
      </c>
      <c r="M249" s="28" t="s">
        <v>5446</v>
      </c>
      <c r="N249" s="28" t="s">
        <v>147</v>
      </c>
      <c r="O249" s="29">
        <v>439.47</v>
      </c>
      <c r="P249" s="28" t="s">
        <v>148</v>
      </c>
      <c r="Q249" s="28" t="s">
        <v>149</v>
      </c>
      <c r="R249" s="28" t="s">
        <v>174</v>
      </c>
      <c r="S249" s="28" t="s">
        <v>5447</v>
      </c>
      <c r="T249" s="30">
        <v>650</v>
      </c>
      <c r="U249" s="28" t="s">
        <v>5448</v>
      </c>
      <c r="V249" s="28" t="s">
        <v>138</v>
      </c>
      <c r="W249" s="28" t="s">
        <v>138</v>
      </c>
      <c r="X249" s="31">
        <v>2005</v>
      </c>
      <c r="Y249" s="28" t="s">
        <v>138</v>
      </c>
      <c r="Z249" s="28" t="s">
        <v>138</v>
      </c>
      <c r="AA249" s="28" t="s">
        <v>138</v>
      </c>
      <c r="AB249" s="32">
        <v>50</v>
      </c>
      <c r="AC249" s="32" t="s">
        <v>138</v>
      </c>
      <c r="AD249" s="32" t="s">
        <v>138</v>
      </c>
      <c r="AE249" s="32" t="s">
        <v>138</v>
      </c>
      <c r="AF249" s="32" t="s">
        <v>138</v>
      </c>
      <c r="AG249" s="28" t="s">
        <v>707</v>
      </c>
      <c r="AH249" s="32" t="s">
        <v>138</v>
      </c>
      <c r="AI249" s="32" t="s">
        <v>138</v>
      </c>
      <c r="AJ249" s="32" t="s">
        <v>138</v>
      </c>
      <c r="AK249" s="28" t="s">
        <v>5449</v>
      </c>
      <c r="AL249" s="28" t="s">
        <v>5450</v>
      </c>
      <c r="AM249" s="28" t="s">
        <v>249</v>
      </c>
      <c r="AN249" s="28" t="s">
        <v>5451</v>
      </c>
      <c r="AO249" s="28" t="s">
        <v>5452</v>
      </c>
      <c r="AP249" s="28" t="s">
        <v>665</v>
      </c>
      <c r="AQ249" s="28" t="s">
        <v>5453</v>
      </c>
      <c r="AR249" s="28" t="s">
        <v>158</v>
      </c>
      <c r="AS249" s="28" t="s">
        <v>668</v>
      </c>
      <c r="AT249" s="28" t="s">
        <v>200</v>
      </c>
      <c r="AU249" s="28" t="s">
        <v>669</v>
      </c>
      <c r="AV249" s="28" t="s">
        <v>162</v>
      </c>
      <c r="AW249" s="28" t="s">
        <v>5452</v>
      </c>
      <c r="AX249" s="28" t="s">
        <v>138</v>
      </c>
      <c r="AY249" s="28" t="s">
        <v>5454</v>
      </c>
      <c r="AZ249" s="28" t="s">
        <v>164</v>
      </c>
      <c r="BA249" s="28" t="s">
        <v>165</v>
      </c>
      <c r="BB249" s="28" t="s">
        <v>5455</v>
      </c>
      <c r="BC249" s="28" t="s">
        <v>5456</v>
      </c>
      <c r="BD249" s="33">
        <v>31</v>
      </c>
      <c r="BE249" s="28" t="s">
        <v>138</v>
      </c>
      <c r="BF249" s="28" t="s">
        <v>138</v>
      </c>
      <c r="BG249" s="28" t="s">
        <v>138</v>
      </c>
      <c r="BH249" s="28" t="s">
        <v>5457</v>
      </c>
      <c r="BI249" s="28" t="s">
        <v>138</v>
      </c>
      <c r="BJ249" s="28" t="s">
        <v>138</v>
      </c>
      <c r="BK249" s="28" t="s">
        <v>5458</v>
      </c>
      <c r="BL249" s="28" t="s">
        <v>5459</v>
      </c>
      <c r="BM249" s="34">
        <v>40679</v>
      </c>
      <c r="BN249" s="29">
        <v>7</v>
      </c>
      <c r="BO249" s="28" t="s">
        <v>172</v>
      </c>
      <c r="BP249" s="29">
        <v>100</v>
      </c>
      <c r="BQ249" s="28" t="s">
        <v>172</v>
      </c>
      <c r="BR249" s="28" t="s">
        <v>173</v>
      </c>
      <c r="BS249" s="28" t="s">
        <v>206</v>
      </c>
      <c r="BT249" s="28" t="s">
        <v>138</v>
      </c>
      <c r="BU249" s="28" t="s">
        <v>174</v>
      </c>
      <c r="BV249" s="28" t="s">
        <v>138</v>
      </c>
      <c r="BW249" s="28" t="s">
        <v>138</v>
      </c>
      <c r="BX249" s="28" t="s">
        <v>138</v>
      </c>
      <c r="BY249" s="28" t="s">
        <v>175</v>
      </c>
      <c r="BZ249" s="34">
        <v>43313</v>
      </c>
      <c r="CA249" s="29">
        <v>250</v>
      </c>
      <c r="CB249" s="28" t="s">
        <v>172</v>
      </c>
      <c r="CC249" s="29">
        <v>1100</v>
      </c>
      <c r="CD249" s="28" t="s">
        <v>172</v>
      </c>
      <c r="CE249" s="28" t="s">
        <v>173</v>
      </c>
      <c r="CF249" s="28" t="s">
        <v>482</v>
      </c>
      <c r="CG249" s="28" t="s">
        <v>138</v>
      </c>
      <c r="CH249" s="28" t="s">
        <v>174</v>
      </c>
      <c r="CI249" s="28" t="s">
        <v>138</v>
      </c>
      <c r="CJ249" s="28" t="s">
        <v>138</v>
      </c>
      <c r="CK249" s="28" t="s">
        <v>138</v>
      </c>
      <c r="CL249" s="28" t="s">
        <v>175</v>
      </c>
      <c r="CM249" s="34">
        <v>42530</v>
      </c>
      <c r="CN249" s="29">
        <v>11.47</v>
      </c>
      <c r="CO249" s="35">
        <v>-0.14000000000000001</v>
      </c>
      <c r="CP249" s="36">
        <v>20</v>
      </c>
      <c r="CQ249" s="35">
        <v>-0.03</v>
      </c>
      <c r="CR249" s="35">
        <v>-22.05</v>
      </c>
      <c r="CS249" s="35">
        <v>-0.45</v>
      </c>
      <c r="CT249" s="36">
        <v>20</v>
      </c>
      <c r="CU249" s="35">
        <v>0.16</v>
      </c>
      <c r="CV249" s="36">
        <v>76</v>
      </c>
      <c r="CW249" s="35">
        <v>4.5999999999999996</v>
      </c>
      <c r="CX249" s="36">
        <v>95</v>
      </c>
      <c r="CY249" s="35">
        <v>-5.49</v>
      </c>
      <c r="CZ249" s="36">
        <v>3</v>
      </c>
      <c r="DA249" s="35">
        <v>0.16</v>
      </c>
      <c r="DB249" s="36">
        <v>79</v>
      </c>
      <c r="DC249" s="37">
        <v>16.510000000000002</v>
      </c>
      <c r="DD249" s="36">
        <v>94</v>
      </c>
      <c r="DE249" s="37">
        <v>-0.78</v>
      </c>
      <c r="DF249" s="35">
        <v>-4.54</v>
      </c>
      <c r="DG249" s="37">
        <v>22.2</v>
      </c>
      <c r="DH249" s="36">
        <v>95</v>
      </c>
      <c r="DI249" s="37">
        <v>10.83</v>
      </c>
      <c r="DJ249" s="36">
        <v>86</v>
      </c>
      <c r="DK249" s="37">
        <v>23.78</v>
      </c>
      <c r="DL249" s="36">
        <v>93</v>
      </c>
      <c r="DM249" s="37">
        <v>20.62</v>
      </c>
      <c r="DN249" s="36">
        <v>94</v>
      </c>
      <c r="DO249" s="37">
        <v>18.61</v>
      </c>
      <c r="DP249" s="36">
        <v>92</v>
      </c>
      <c r="DQ249" s="36">
        <v>7914</v>
      </c>
      <c r="DR249" s="38">
        <v>727</v>
      </c>
      <c r="DS249" s="35">
        <v>10.119999999999999</v>
      </c>
      <c r="DT249" s="36">
        <v>600</v>
      </c>
      <c r="DU249" s="38">
        <v>-5</v>
      </c>
      <c r="DV249" s="35">
        <v>-0.83</v>
      </c>
      <c r="DW249" s="36">
        <v>6658</v>
      </c>
      <c r="DX249" s="39">
        <v>10</v>
      </c>
      <c r="DY249" s="35">
        <v>0.15</v>
      </c>
      <c r="DZ249" s="28" t="s">
        <v>178</v>
      </c>
      <c r="EA249" s="34">
        <v>43572</v>
      </c>
      <c r="EB249" s="29">
        <v>1100</v>
      </c>
      <c r="EC249" s="34">
        <v>43313</v>
      </c>
      <c r="ED249" s="28" t="s">
        <v>173</v>
      </c>
      <c r="EE249" s="40" t="str">
        <f>HYPERLINK("https://my.pitchbook.com?c=55139-05", "View company online")</f>
        <v>View company online</v>
      </c>
    </row>
    <row r="250" spans="1:135">
      <c r="A250" s="15" t="s">
        <v>5460</v>
      </c>
      <c r="B250" s="15" t="s">
        <v>5461</v>
      </c>
      <c r="C250" s="15" t="s">
        <v>138</v>
      </c>
      <c r="D250" s="15" t="s">
        <v>138</v>
      </c>
      <c r="E250" s="15" t="s">
        <v>138</v>
      </c>
      <c r="F250" s="15" t="s">
        <v>5460</v>
      </c>
      <c r="G250" s="15" t="s">
        <v>5462</v>
      </c>
      <c r="H250" s="15" t="s">
        <v>322</v>
      </c>
      <c r="I250" s="15" t="s">
        <v>323</v>
      </c>
      <c r="J250" s="15" t="s">
        <v>1084</v>
      </c>
      <c r="K250" s="15" t="s">
        <v>5463</v>
      </c>
      <c r="L250" s="15" t="s">
        <v>215</v>
      </c>
      <c r="M250" s="15" t="s">
        <v>5464</v>
      </c>
      <c r="N250" s="15" t="s">
        <v>147</v>
      </c>
      <c r="O250" s="17" t="s">
        <v>138</v>
      </c>
      <c r="P250" s="15" t="s">
        <v>148</v>
      </c>
      <c r="Q250" s="15" t="s">
        <v>149</v>
      </c>
      <c r="R250" s="15" t="s">
        <v>174</v>
      </c>
      <c r="S250" s="15" t="s">
        <v>5465</v>
      </c>
      <c r="T250" s="18" t="s">
        <v>138</v>
      </c>
      <c r="U250" s="15" t="s">
        <v>138</v>
      </c>
      <c r="V250" s="15" t="s">
        <v>138</v>
      </c>
      <c r="W250" s="15" t="s">
        <v>138</v>
      </c>
      <c r="X250" s="19">
        <v>2015</v>
      </c>
      <c r="Y250" s="15" t="s">
        <v>138</v>
      </c>
      <c r="Z250" s="15" t="s">
        <v>138</v>
      </c>
      <c r="AA250" s="15" t="s">
        <v>138</v>
      </c>
      <c r="AB250" s="20" t="s">
        <v>138</v>
      </c>
      <c r="AC250" s="20" t="s">
        <v>138</v>
      </c>
      <c r="AD250" s="20" t="s">
        <v>138</v>
      </c>
      <c r="AE250" s="20" t="s">
        <v>138</v>
      </c>
      <c r="AF250" s="20" t="s">
        <v>138</v>
      </c>
      <c r="AG250" s="15" t="s">
        <v>138</v>
      </c>
      <c r="AH250" s="20" t="s">
        <v>138</v>
      </c>
      <c r="AI250" s="20" t="s">
        <v>138</v>
      </c>
      <c r="AJ250" s="20" t="s">
        <v>138</v>
      </c>
      <c r="AK250" s="15" t="s">
        <v>5466</v>
      </c>
      <c r="AL250" s="15" t="s">
        <v>5467</v>
      </c>
      <c r="AM250" s="15" t="s">
        <v>5468</v>
      </c>
      <c r="AN250" s="15" t="s">
        <v>5469</v>
      </c>
      <c r="AO250" s="15" t="s">
        <v>5470</v>
      </c>
      <c r="AP250" s="15" t="s">
        <v>5471</v>
      </c>
      <c r="AQ250" s="15" t="s">
        <v>5472</v>
      </c>
      <c r="AR250" s="15" t="s">
        <v>138</v>
      </c>
      <c r="AS250" s="15" t="s">
        <v>5473</v>
      </c>
      <c r="AT250" s="15" t="s">
        <v>3112</v>
      </c>
      <c r="AU250" s="15" t="s">
        <v>5474</v>
      </c>
      <c r="AV250" s="15" t="s">
        <v>2742</v>
      </c>
      <c r="AW250" s="15" t="s">
        <v>5470</v>
      </c>
      <c r="AX250" s="15" t="s">
        <v>138</v>
      </c>
      <c r="AY250" s="15" t="s">
        <v>5475</v>
      </c>
      <c r="AZ250" s="15" t="s">
        <v>164</v>
      </c>
      <c r="BA250" s="15" t="s">
        <v>165</v>
      </c>
      <c r="BB250" s="15" t="s">
        <v>5476</v>
      </c>
      <c r="BC250" s="15" t="s">
        <v>3186</v>
      </c>
      <c r="BD250" s="21">
        <v>1</v>
      </c>
      <c r="BE250" s="15" t="s">
        <v>138</v>
      </c>
      <c r="BF250" s="15" t="s">
        <v>138</v>
      </c>
      <c r="BG250" s="15" t="s">
        <v>138</v>
      </c>
      <c r="BH250" s="15" t="s">
        <v>138</v>
      </c>
      <c r="BI250" s="15" t="s">
        <v>138</v>
      </c>
      <c r="BJ250" s="15" t="s">
        <v>138</v>
      </c>
      <c r="BK250" s="15" t="s">
        <v>138</v>
      </c>
      <c r="BL250" s="15" t="s">
        <v>138</v>
      </c>
      <c r="BM250" s="22">
        <v>43223</v>
      </c>
      <c r="BN250" s="17" t="s">
        <v>138</v>
      </c>
      <c r="BO250" s="15" t="s">
        <v>138</v>
      </c>
      <c r="BP250" s="17" t="s">
        <v>138</v>
      </c>
      <c r="BQ250" s="15" t="s">
        <v>138</v>
      </c>
      <c r="BR250" s="15" t="s">
        <v>234</v>
      </c>
      <c r="BS250" s="15" t="s">
        <v>234</v>
      </c>
      <c r="BT250" s="15" t="s">
        <v>138</v>
      </c>
      <c r="BU250" s="15" t="s">
        <v>174</v>
      </c>
      <c r="BV250" s="15" t="s">
        <v>138</v>
      </c>
      <c r="BW250" s="15" t="s">
        <v>138</v>
      </c>
      <c r="BX250" s="15" t="s">
        <v>138</v>
      </c>
      <c r="BY250" s="15" t="s">
        <v>175</v>
      </c>
      <c r="BZ250" s="22">
        <v>43223</v>
      </c>
      <c r="CA250" s="17" t="s">
        <v>138</v>
      </c>
      <c r="CB250" s="15" t="s">
        <v>138</v>
      </c>
      <c r="CC250" s="17" t="s">
        <v>138</v>
      </c>
      <c r="CD250" s="15" t="s">
        <v>138</v>
      </c>
      <c r="CE250" s="15" t="s">
        <v>234</v>
      </c>
      <c r="CF250" s="15" t="s">
        <v>234</v>
      </c>
      <c r="CG250" s="15" t="s">
        <v>138</v>
      </c>
      <c r="CH250" s="15" t="s">
        <v>174</v>
      </c>
      <c r="CI250" s="15" t="s">
        <v>138</v>
      </c>
      <c r="CJ250" s="15" t="s">
        <v>138</v>
      </c>
      <c r="CK250" s="15" t="s">
        <v>138</v>
      </c>
      <c r="CL250" s="15" t="s">
        <v>175</v>
      </c>
      <c r="CM250" s="22" t="s">
        <v>138</v>
      </c>
      <c r="CN250" s="17" t="s">
        <v>138</v>
      </c>
      <c r="CO250" s="23">
        <v>0.4</v>
      </c>
      <c r="CP250" s="24">
        <v>94</v>
      </c>
      <c r="CQ250" s="23">
        <v>-0.01</v>
      </c>
      <c r="CR250" s="23">
        <v>-3.41</v>
      </c>
      <c r="CS250" s="23">
        <v>-0.21</v>
      </c>
      <c r="CT250" s="24">
        <v>22</v>
      </c>
      <c r="CU250" s="23">
        <v>1.01</v>
      </c>
      <c r="CV250" s="24">
        <v>98</v>
      </c>
      <c r="CW250" s="23">
        <v>-0.43</v>
      </c>
      <c r="CX250" s="24">
        <v>11</v>
      </c>
      <c r="CY250" s="23">
        <v>0</v>
      </c>
      <c r="CZ250" s="24">
        <v>25</v>
      </c>
      <c r="DA250" s="23">
        <v>0.51</v>
      </c>
      <c r="DB250" s="24">
        <v>94</v>
      </c>
      <c r="DC250" s="25">
        <v>1.1599999999999999</v>
      </c>
      <c r="DD250" s="24">
        <v>55</v>
      </c>
      <c r="DE250" s="25">
        <v>-0.08</v>
      </c>
      <c r="DF250" s="23">
        <v>-6.24</v>
      </c>
      <c r="DG250" s="25">
        <v>1.79</v>
      </c>
      <c r="DH250" s="24">
        <v>64</v>
      </c>
      <c r="DI250" s="25">
        <v>0.53</v>
      </c>
      <c r="DJ250" s="24">
        <v>37</v>
      </c>
      <c r="DK250" s="25">
        <v>2.48</v>
      </c>
      <c r="DL250" s="24">
        <v>68</v>
      </c>
      <c r="DM250" s="25">
        <v>1.1000000000000001</v>
      </c>
      <c r="DN250" s="24">
        <v>52</v>
      </c>
      <c r="DO250" s="25">
        <v>0.92</v>
      </c>
      <c r="DP250" s="24">
        <v>49</v>
      </c>
      <c r="DQ250" s="24">
        <v>811</v>
      </c>
      <c r="DR250" s="26">
        <v>118</v>
      </c>
      <c r="DS250" s="23">
        <v>17.03</v>
      </c>
      <c r="DT250" s="24">
        <v>32</v>
      </c>
      <c r="DU250" s="26">
        <v>0</v>
      </c>
      <c r="DV250" s="23">
        <v>0</v>
      </c>
      <c r="DW250" s="24">
        <v>330</v>
      </c>
      <c r="DX250" s="27">
        <v>2</v>
      </c>
      <c r="DY250" s="23">
        <v>0.61</v>
      </c>
      <c r="DZ250" s="15" t="s">
        <v>178</v>
      </c>
      <c r="EA250" s="22">
        <v>43622</v>
      </c>
      <c r="EB250" s="17" t="s">
        <v>138</v>
      </c>
      <c r="EC250" s="22" t="s">
        <v>138</v>
      </c>
      <c r="ED250" s="15" t="s">
        <v>138</v>
      </c>
      <c r="EE250" s="14" t="str">
        <f>HYPERLINK("https://my.pitchbook.com?c=228318-58", "View company online")</f>
        <v>View company online</v>
      </c>
    </row>
    <row r="251" spans="1:135">
      <c r="A251" s="28" t="s">
        <v>5477</v>
      </c>
      <c r="B251" s="28" t="s">
        <v>5478</v>
      </c>
      <c r="C251" s="28" t="s">
        <v>138</v>
      </c>
      <c r="D251" s="28" t="s">
        <v>138</v>
      </c>
      <c r="E251" s="28" t="s">
        <v>5479</v>
      </c>
      <c r="F251" s="28" t="s">
        <v>5477</v>
      </c>
      <c r="G251" s="28" t="s">
        <v>5480</v>
      </c>
      <c r="H251" s="28" t="s">
        <v>141</v>
      </c>
      <c r="I251" s="28" t="s">
        <v>212</v>
      </c>
      <c r="J251" s="28" t="s">
        <v>213</v>
      </c>
      <c r="K251" s="28" t="s">
        <v>3073</v>
      </c>
      <c r="L251" s="28" t="s">
        <v>3343</v>
      </c>
      <c r="M251" s="28" t="s">
        <v>5481</v>
      </c>
      <c r="N251" s="28" t="s">
        <v>147</v>
      </c>
      <c r="O251" s="29">
        <v>11.76</v>
      </c>
      <c r="P251" s="28" t="s">
        <v>148</v>
      </c>
      <c r="Q251" s="28" t="s">
        <v>149</v>
      </c>
      <c r="R251" s="28" t="s">
        <v>174</v>
      </c>
      <c r="S251" s="28" t="s">
        <v>5482</v>
      </c>
      <c r="T251" s="30">
        <v>55</v>
      </c>
      <c r="U251" s="28" t="s">
        <v>5483</v>
      </c>
      <c r="V251" s="28" t="s">
        <v>138</v>
      </c>
      <c r="W251" s="28" t="s">
        <v>138</v>
      </c>
      <c r="X251" s="31">
        <v>2008</v>
      </c>
      <c r="Y251" s="28" t="s">
        <v>138</v>
      </c>
      <c r="Z251" s="28" t="s">
        <v>138</v>
      </c>
      <c r="AA251" s="28" t="s">
        <v>138</v>
      </c>
      <c r="AB251" s="32" t="s">
        <v>138</v>
      </c>
      <c r="AC251" s="32" t="s">
        <v>138</v>
      </c>
      <c r="AD251" s="32" t="s">
        <v>138</v>
      </c>
      <c r="AE251" s="32" t="s">
        <v>138</v>
      </c>
      <c r="AF251" s="32" t="s">
        <v>138</v>
      </c>
      <c r="AG251" s="28" t="s">
        <v>138</v>
      </c>
      <c r="AH251" s="32" t="s">
        <v>138</v>
      </c>
      <c r="AI251" s="32" t="s">
        <v>138</v>
      </c>
      <c r="AJ251" s="32" t="s">
        <v>138</v>
      </c>
      <c r="AK251" s="28" t="s">
        <v>5484</v>
      </c>
      <c r="AL251" s="28" t="s">
        <v>5485</v>
      </c>
      <c r="AM251" s="28" t="s">
        <v>5486</v>
      </c>
      <c r="AN251" s="28" t="s">
        <v>5487</v>
      </c>
      <c r="AO251" s="28" t="s">
        <v>5488</v>
      </c>
      <c r="AP251" s="28" t="s">
        <v>665</v>
      </c>
      <c r="AQ251" s="28" t="s">
        <v>5489</v>
      </c>
      <c r="AR251" s="28" t="s">
        <v>5490</v>
      </c>
      <c r="AS251" s="28" t="s">
        <v>668</v>
      </c>
      <c r="AT251" s="28" t="s">
        <v>200</v>
      </c>
      <c r="AU251" s="28" t="s">
        <v>691</v>
      </c>
      <c r="AV251" s="28" t="s">
        <v>162</v>
      </c>
      <c r="AW251" s="28" t="s">
        <v>5491</v>
      </c>
      <c r="AX251" s="28" t="s">
        <v>138</v>
      </c>
      <c r="AY251" s="28" t="s">
        <v>5492</v>
      </c>
      <c r="AZ251" s="28" t="s">
        <v>164</v>
      </c>
      <c r="BA251" s="28" t="s">
        <v>165</v>
      </c>
      <c r="BB251" s="28" t="s">
        <v>5493</v>
      </c>
      <c r="BC251" s="28" t="s">
        <v>5494</v>
      </c>
      <c r="BD251" s="33">
        <v>8</v>
      </c>
      <c r="BE251" s="28" t="s">
        <v>138</v>
      </c>
      <c r="BF251" s="28" t="s">
        <v>138</v>
      </c>
      <c r="BG251" s="28" t="s">
        <v>138</v>
      </c>
      <c r="BH251" s="28" t="s">
        <v>5495</v>
      </c>
      <c r="BI251" s="28" t="s">
        <v>138</v>
      </c>
      <c r="BJ251" s="28" t="s">
        <v>138</v>
      </c>
      <c r="BK251" s="28" t="s">
        <v>5496</v>
      </c>
      <c r="BL251" s="28" t="s">
        <v>5497</v>
      </c>
      <c r="BM251" s="34">
        <v>40661</v>
      </c>
      <c r="BN251" s="29">
        <v>1</v>
      </c>
      <c r="BO251" s="28" t="s">
        <v>172</v>
      </c>
      <c r="BP251" s="29">
        <v>5.38</v>
      </c>
      <c r="BQ251" s="28" t="s">
        <v>172</v>
      </c>
      <c r="BR251" s="28" t="s">
        <v>205</v>
      </c>
      <c r="BS251" s="28" t="s">
        <v>206</v>
      </c>
      <c r="BT251" s="28" t="s">
        <v>138</v>
      </c>
      <c r="BU251" s="28" t="s">
        <v>174</v>
      </c>
      <c r="BV251" s="28" t="s">
        <v>138</v>
      </c>
      <c r="BW251" s="28" t="s">
        <v>138</v>
      </c>
      <c r="BX251" s="28" t="s">
        <v>138</v>
      </c>
      <c r="BY251" s="28" t="s">
        <v>175</v>
      </c>
      <c r="BZ251" s="34">
        <v>43216</v>
      </c>
      <c r="CA251" s="29">
        <v>9</v>
      </c>
      <c r="CB251" s="28" t="s">
        <v>172</v>
      </c>
      <c r="CC251" s="29">
        <v>30</v>
      </c>
      <c r="CD251" s="28" t="s">
        <v>172</v>
      </c>
      <c r="CE251" s="28" t="s">
        <v>173</v>
      </c>
      <c r="CF251" s="28" t="s">
        <v>720</v>
      </c>
      <c r="CG251" s="28" t="s">
        <v>138</v>
      </c>
      <c r="CH251" s="28" t="s">
        <v>174</v>
      </c>
      <c r="CI251" s="28" t="s">
        <v>1397</v>
      </c>
      <c r="CJ251" s="28" t="s">
        <v>138</v>
      </c>
      <c r="CK251" s="28" t="s">
        <v>138</v>
      </c>
      <c r="CL251" s="28" t="s">
        <v>175</v>
      </c>
      <c r="CM251" s="34">
        <v>43216</v>
      </c>
      <c r="CN251" s="29" t="s">
        <v>138</v>
      </c>
      <c r="CO251" s="35">
        <v>-0.7</v>
      </c>
      <c r="CP251" s="36">
        <v>14</v>
      </c>
      <c r="CQ251" s="35">
        <v>-0.01</v>
      </c>
      <c r="CR251" s="35">
        <v>-1.36</v>
      </c>
      <c r="CS251" s="35">
        <v>-1.46</v>
      </c>
      <c r="CT251" s="36">
        <v>12</v>
      </c>
      <c r="CU251" s="35">
        <v>7.0000000000000007E-2</v>
      </c>
      <c r="CV251" s="36">
        <v>62</v>
      </c>
      <c r="CW251" s="35">
        <v>-0.69</v>
      </c>
      <c r="CX251" s="36">
        <v>11</v>
      </c>
      <c r="CY251" s="35">
        <v>-2.23</v>
      </c>
      <c r="CZ251" s="36">
        <v>10</v>
      </c>
      <c r="DA251" s="35">
        <v>7.0000000000000007E-2</v>
      </c>
      <c r="DB251" s="36">
        <v>67</v>
      </c>
      <c r="DC251" s="37">
        <v>30.84</v>
      </c>
      <c r="DD251" s="36">
        <v>97</v>
      </c>
      <c r="DE251" s="37">
        <v>-0.39</v>
      </c>
      <c r="DF251" s="35">
        <v>-1.25</v>
      </c>
      <c r="DG251" s="37">
        <v>38.22</v>
      </c>
      <c r="DH251" s="36">
        <v>97</v>
      </c>
      <c r="DI251" s="37">
        <v>23.46</v>
      </c>
      <c r="DJ251" s="36">
        <v>92</v>
      </c>
      <c r="DK251" s="37">
        <v>14.82</v>
      </c>
      <c r="DL251" s="36">
        <v>90</v>
      </c>
      <c r="DM251" s="37">
        <v>61.62</v>
      </c>
      <c r="DN251" s="36">
        <v>98</v>
      </c>
      <c r="DO251" s="37">
        <v>23.46</v>
      </c>
      <c r="DP251" s="36">
        <v>93</v>
      </c>
      <c r="DQ251" s="36">
        <v>5048</v>
      </c>
      <c r="DR251" s="38">
        <v>105</v>
      </c>
      <c r="DS251" s="35">
        <v>2.12</v>
      </c>
      <c r="DT251" s="36">
        <v>1786</v>
      </c>
      <c r="DU251" s="38">
        <v>1</v>
      </c>
      <c r="DV251" s="35">
        <v>0.06</v>
      </c>
      <c r="DW251" s="36">
        <v>8396</v>
      </c>
      <c r="DX251" s="39">
        <v>6</v>
      </c>
      <c r="DY251" s="35">
        <v>7.0000000000000007E-2</v>
      </c>
      <c r="DZ251" s="28" t="s">
        <v>178</v>
      </c>
      <c r="EA251" s="34">
        <v>43622</v>
      </c>
      <c r="EB251" s="29">
        <v>30</v>
      </c>
      <c r="EC251" s="34">
        <v>43216</v>
      </c>
      <c r="ED251" s="28" t="s">
        <v>173</v>
      </c>
      <c r="EE251" s="40" t="str">
        <f>HYPERLINK("https://my.pitchbook.com?c=51619-15", "View company online")</f>
        <v>View company online</v>
      </c>
    </row>
    <row r="252" spans="1:135">
      <c r="A252" s="15" t="s">
        <v>5498</v>
      </c>
      <c r="B252" s="15" t="s">
        <v>5499</v>
      </c>
      <c r="C252" s="15" t="s">
        <v>5500</v>
      </c>
      <c r="D252" s="15" t="s">
        <v>138</v>
      </c>
      <c r="E252" s="15" t="s">
        <v>5501</v>
      </c>
      <c r="F252" s="15" t="s">
        <v>5498</v>
      </c>
      <c r="G252" s="15" t="s">
        <v>5502</v>
      </c>
      <c r="H252" s="15" t="s">
        <v>238</v>
      </c>
      <c r="I252" s="15" t="s">
        <v>1351</v>
      </c>
      <c r="J252" s="15" t="s">
        <v>5503</v>
      </c>
      <c r="K252" s="15" t="s">
        <v>5504</v>
      </c>
      <c r="L252" s="15" t="s">
        <v>5505</v>
      </c>
      <c r="M252" s="15" t="s">
        <v>5506</v>
      </c>
      <c r="N252" s="15" t="s">
        <v>147</v>
      </c>
      <c r="O252" s="17">
        <v>14.7</v>
      </c>
      <c r="P252" s="15" t="s">
        <v>148</v>
      </c>
      <c r="Q252" s="15" t="s">
        <v>149</v>
      </c>
      <c r="R252" s="15" t="s">
        <v>174</v>
      </c>
      <c r="S252" s="15" t="s">
        <v>5507</v>
      </c>
      <c r="T252" s="18">
        <v>43</v>
      </c>
      <c r="U252" s="15" t="s">
        <v>5508</v>
      </c>
      <c r="V252" s="15" t="s">
        <v>138</v>
      </c>
      <c r="W252" s="15" t="s">
        <v>138</v>
      </c>
      <c r="X252" s="19">
        <v>2015</v>
      </c>
      <c r="Y252" s="15" t="s">
        <v>138</v>
      </c>
      <c r="Z252" s="15" t="s">
        <v>138</v>
      </c>
      <c r="AA252" s="15" t="s">
        <v>138</v>
      </c>
      <c r="AB252" s="20" t="s">
        <v>138</v>
      </c>
      <c r="AC252" s="20" t="s">
        <v>138</v>
      </c>
      <c r="AD252" s="20" t="s">
        <v>138</v>
      </c>
      <c r="AE252" s="20" t="s">
        <v>138</v>
      </c>
      <c r="AF252" s="20" t="s">
        <v>138</v>
      </c>
      <c r="AG252" s="15" t="s">
        <v>138</v>
      </c>
      <c r="AH252" s="20" t="s">
        <v>138</v>
      </c>
      <c r="AI252" s="20" t="s">
        <v>138</v>
      </c>
      <c r="AJ252" s="20" t="s">
        <v>138</v>
      </c>
      <c r="AK252" s="15" t="s">
        <v>5509</v>
      </c>
      <c r="AL252" s="15" t="s">
        <v>5510</v>
      </c>
      <c r="AM252" s="15" t="s">
        <v>422</v>
      </c>
      <c r="AN252" s="15" t="s">
        <v>5511</v>
      </c>
      <c r="AO252" s="15" t="s">
        <v>5512</v>
      </c>
      <c r="AP252" s="15" t="s">
        <v>3136</v>
      </c>
      <c r="AQ252" s="15" t="s">
        <v>5513</v>
      </c>
      <c r="AR252" s="15" t="s">
        <v>5514</v>
      </c>
      <c r="AS252" s="15" t="s">
        <v>3139</v>
      </c>
      <c r="AT252" s="15" t="s">
        <v>3140</v>
      </c>
      <c r="AU252" s="15" t="s">
        <v>5515</v>
      </c>
      <c r="AV252" s="15" t="s">
        <v>162</v>
      </c>
      <c r="AW252" s="15" t="s">
        <v>5512</v>
      </c>
      <c r="AX252" s="15" t="s">
        <v>138</v>
      </c>
      <c r="AY252" s="15" t="s">
        <v>5516</v>
      </c>
      <c r="AZ252" s="15" t="s">
        <v>164</v>
      </c>
      <c r="BA252" s="15" t="s">
        <v>165</v>
      </c>
      <c r="BB252" s="15" t="s">
        <v>5517</v>
      </c>
      <c r="BC252" s="15" t="s">
        <v>5518</v>
      </c>
      <c r="BD252" s="21">
        <v>18</v>
      </c>
      <c r="BE252" s="15" t="s">
        <v>138</v>
      </c>
      <c r="BF252" s="15" t="s">
        <v>138</v>
      </c>
      <c r="BG252" s="15" t="s">
        <v>138</v>
      </c>
      <c r="BH252" s="15" t="s">
        <v>5519</v>
      </c>
      <c r="BI252" s="15" t="s">
        <v>138</v>
      </c>
      <c r="BJ252" s="15" t="s">
        <v>138</v>
      </c>
      <c r="BK252" s="15" t="s">
        <v>5520</v>
      </c>
      <c r="BL252" s="15" t="s">
        <v>5521</v>
      </c>
      <c r="BM252" s="22">
        <v>42347</v>
      </c>
      <c r="BN252" s="17">
        <v>7.0000000000000007E-2</v>
      </c>
      <c r="BO252" s="15" t="s">
        <v>172</v>
      </c>
      <c r="BP252" s="17" t="s">
        <v>138</v>
      </c>
      <c r="BQ252" s="15" t="s">
        <v>138</v>
      </c>
      <c r="BR252" s="15" t="s">
        <v>173</v>
      </c>
      <c r="BS252" s="15" t="s">
        <v>138</v>
      </c>
      <c r="BT252" s="15" t="s">
        <v>138</v>
      </c>
      <c r="BU252" s="15" t="s">
        <v>174</v>
      </c>
      <c r="BV252" s="15" t="s">
        <v>138</v>
      </c>
      <c r="BW252" s="15" t="s">
        <v>138</v>
      </c>
      <c r="BX252" s="15" t="s">
        <v>138</v>
      </c>
      <c r="BY252" s="15" t="s">
        <v>175</v>
      </c>
      <c r="BZ252" s="22">
        <v>43088</v>
      </c>
      <c r="CA252" s="17">
        <v>9.1999999999999993</v>
      </c>
      <c r="CB252" s="15" t="s">
        <v>172</v>
      </c>
      <c r="CC252" s="17">
        <v>34.200000000000003</v>
      </c>
      <c r="CD252" s="15" t="s">
        <v>172</v>
      </c>
      <c r="CE252" s="15" t="s">
        <v>205</v>
      </c>
      <c r="CF252" s="15" t="s">
        <v>623</v>
      </c>
      <c r="CG252" s="15" t="s">
        <v>138</v>
      </c>
      <c r="CH252" s="15" t="s">
        <v>174</v>
      </c>
      <c r="CI252" s="15" t="s">
        <v>138</v>
      </c>
      <c r="CJ252" s="15" t="s">
        <v>138</v>
      </c>
      <c r="CK252" s="15" t="s">
        <v>138</v>
      </c>
      <c r="CL252" s="15" t="s">
        <v>175</v>
      </c>
      <c r="CM252" s="22" t="s">
        <v>138</v>
      </c>
      <c r="CN252" s="17" t="s">
        <v>138</v>
      </c>
      <c r="CO252" s="23">
        <v>-0.41</v>
      </c>
      <c r="CP252" s="24">
        <v>17</v>
      </c>
      <c r="CQ252" s="23">
        <v>-0.12</v>
      </c>
      <c r="CR252" s="23">
        <v>-39.67</v>
      </c>
      <c r="CS252" s="23">
        <v>-1.33</v>
      </c>
      <c r="CT252" s="24">
        <v>13</v>
      </c>
      <c r="CU252" s="23">
        <v>0.09</v>
      </c>
      <c r="CV252" s="24">
        <v>66</v>
      </c>
      <c r="CW252" s="23">
        <v>-5.64</v>
      </c>
      <c r="CX252" s="24">
        <v>2</v>
      </c>
      <c r="CY252" s="23">
        <v>2.99</v>
      </c>
      <c r="CZ252" s="24">
        <v>100</v>
      </c>
      <c r="DA252" s="23">
        <v>0.09</v>
      </c>
      <c r="DB252" s="24">
        <v>70</v>
      </c>
      <c r="DC252" s="25">
        <v>6.57</v>
      </c>
      <c r="DD252" s="24">
        <v>86</v>
      </c>
      <c r="DE252" s="25">
        <v>-1.43</v>
      </c>
      <c r="DF252" s="23">
        <v>-17.84</v>
      </c>
      <c r="DG252" s="25">
        <v>13.96</v>
      </c>
      <c r="DH252" s="24">
        <v>92</v>
      </c>
      <c r="DI252" s="25">
        <v>3.93</v>
      </c>
      <c r="DJ252" s="24">
        <v>74</v>
      </c>
      <c r="DK252" s="25">
        <v>21.27</v>
      </c>
      <c r="DL252" s="24">
        <v>92</v>
      </c>
      <c r="DM252" s="25">
        <v>6.66</v>
      </c>
      <c r="DN252" s="24">
        <v>85</v>
      </c>
      <c r="DO252" s="25">
        <v>3.93</v>
      </c>
      <c r="DP252" s="24">
        <v>76</v>
      </c>
      <c r="DQ252" s="24">
        <v>7565</v>
      </c>
      <c r="DR252" s="26">
        <v>-804</v>
      </c>
      <c r="DS252" s="23">
        <v>-9.61</v>
      </c>
      <c r="DT252" s="24">
        <v>193</v>
      </c>
      <c r="DU252" s="26">
        <v>-1</v>
      </c>
      <c r="DV252" s="23">
        <v>-0.52</v>
      </c>
      <c r="DW252" s="24">
        <v>1408</v>
      </c>
      <c r="DX252" s="27">
        <v>0</v>
      </c>
      <c r="DY252" s="23">
        <v>0</v>
      </c>
      <c r="DZ252" s="15" t="s">
        <v>178</v>
      </c>
      <c r="EA252" s="22">
        <v>43351</v>
      </c>
      <c r="EB252" s="17">
        <v>34.200000000000003</v>
      </c>
      <c r="EC252" s="22">
        <v>43088</v>
      </c>
      <c r="ED252" s="15" t="s">
        <v>205</v>
      </c>
      <c r="EE252" s="14" t="str">
        <f>HYPERLINK("https://my.pitchbook.com?c=152287-21", "View company online")</f>
        <v>View company online</v>
      </c>
    </row>
    <row r="253" spans="1:135">
      <c r="A253" s="28" t="s">
        <v>5522</v>
      </c>
      <c r="B253" s="28" t="s">
        <v>5523</v>
      </c>
      <c r="C253" s="28" t="s">
        <v>5524</v>
      </c>
      <c r="D253" s="28" t="s">
        <v>138</v>
      </c>
      <c r="E253" s="28" t="s">
        <v>5525</v>
      </c>
      <c r="F253" s="28" t="s">
        <v>5522</v>
      </c>
      <c r="G253" s="28" t="s">
        <v>5526</v>
      </c>
      <c r="H253" s="28" t="s">
        <v>238</v>
      </c>
      <c r="I253" s="28" t="s">
        <v>2662</v>
      </c>
      <c r="J253" s="28" t="s">
        <v>4479</v>
      </c>
      <c r="K253" s="28" t="s">
        <v>5527</v>
      </c>
      <c r="L253" s="28" t="s">
        <v>5528</v>
      </c>
      <c r="M253" s="28" t="s">
        <v>5529</v>
      </c>
      <c r="N253" s="28" t="s">
        <v>1452</v>
      </c>
      <c r="O253" s="29">
        <v>1024</v>
      </c>
      <c r="P253" s="28" t="s">
        <v>812</v>
      </c>
      <c r="Q253" s="28" t="s">
        <v>149</v>
      </c>
      <c r="R253" s="28" t="s">
        <v>328</v>
      </c>
      <c r="S253" s="28" t="s">
        <v>5530</v>
      </c>
      <c r="T253" s="30">
        <v>1884</v>
      </c>
      <c r="U253" s="28" t="s">
        <v>5531</v>
      </c>
      <c r="V253" s="28" t="s">
        <v>138</v>
      </c>
      <c r="W253" s="28" t="s">
        <v>138</v>
      </c>
      <c r="X253" s="31">
        <v>2004</v>
      </c>
      <c r="Y253" s="28" t="s">
        <v>138</v>
      </c>
      <c r="Z253" s="28" t="s">
        <v>138</v>
      </c>
      <c r="AA253" s="28" t="s">
        <v>1163</v>
      </c>
      <c r="AB253" s="32">
        <v>1000</v>
      </c>
      <c r="AC253" s="32" t="s">
        <v>138</v>
      </c>
      <c r="AD253" s="32" t="s">
        <v>138</v>
      </c>
      <c r="AE253" s="32" t="s">
        <v>138</v>
      </c>
      <c r="AF253" s="32" t="s">
        <v>138</v>
      </c>
      <c r="AG253" s="28" t="s">
        <v>707</v>
      </c>
      <c r="AH253" s="32" t="s">
        <v>138</v>
      </c>
      <c r="AI253" s="32" t="s">
        <v>138</v>
      </c>
      <c r="AJ253" s="32" t="s">
        <v>138</v>
      </c>
      <c r="AK253" s="28" t="s">
        <v>5532</v>
      </c>
      <c r="AL253" s="28" t="s">
        <v>5533</v>
      </c>
      <c r="AM253" s="28" t="s">
        <v>5534</v>
      </c>
      <c r="AN253" s="28" t="s">
        <v>5535</v>
      </c>
      <c r="AO253" s="28" t="s">
        <v>5536</v>
      </c>
      <c r="AP253" s="28" t="s">
        <v>423</v>
      </c>
      <c r="AQ253" s="28" t="s">
        <v>5537</v>
      </c>
      <c r="AR253" s="28" t="s">
        <v>5012</v>
      </c>
      <c r="AS253" s="28" t="s">
        <v>426</v>
      </c>
      <c r="AT253" s="28" t="s">
        <v>426</v>
      </c>
      <c r="AU253" s="28" t="s">
        <v>549</v>
      </c>
      <c r="AV253" s="28" t="s">
        <v>162</v>
      </c>
      <c r="AW253" s="28" t="s">
        <v>5536</v>
      </c>
      <c r="AX253" s="28" t="s">
        <v>138</v>
      </c>
      <c r="AY253" s="28" t="s">
        <v>5538</v>
      </c>
      <c r="AZ253" s="28" t="s">
        <v>164</v>
      </c>
      <c r="BA253" s="28" t="s">
        <v>165</v>
      </c>
      <c r="BB253" s="28" t="s">
        <v>5539</v>
      </c>
      <c r="BC253" s="28" t="s">
        <v>5540</v>
      </c>
      <c r="BD253" s="33">
        <v>8</v>
      </c>
      <c r="BE253" s="28" t="s">
        <v>138</v>
      </c>
      <c r="BF253" s="28" t="s">
        <v>5541</v>
      </c>
      <c r="BG253" s="28" t="s">
        <v>5542</v>
      </c>
      <c r="BH253" s="28" t="s">
        <v>5543</v>
      </c>
      <c r="BI253" s="28" t="s">
        <v>138</v>
      </c>
      <c r="BJ253" s="28" t="s">
        <v>5544</v>
      </c>
      <c r="BK253" s="28" t="s">
        <v>5545</v>
      </c>
      <c r="BL253" s="28" t="s">
        <v>5546</v>
      </c>
      <c r="BM253" s="34">
        <v>39700</v>
      </c>
      <c r="BN253" s="29">
        <v>300</v>
      </c>
      <c r="BO253" s="28" t="s">
        <v>172</v>
      </c>
      <c r="BP253" s="29">
        <v>1000</v>
      </c>
      <c r="BQ253" s="28" t="s">
        <v>138</v>
      </c>
      <c r="BR253" s="28" t="s">
        <v>1673</v>
      </c>
      <c r="BS253" s="28" t="s">
        <v>138</v>
      </c>
      <c r="BT253" s="28" t="s">
        <v>138</v>
      </c>
      <c r="BU253" s="28" t="s">
        <v>351</v>
      </c>
      <c r="BV253" s="28" t="s">
        <v>138</v>
      </c>
      <c r="BW253" s="28" t="s">
        <v>138</v>
      </c>
      <c r="BX253" s="28" t="s">
        <v>138</v>
      </c>
      <c r="BY253" s="28" t="s">
        <v>1831</v>
      </c>
      <c r="BZ253" s="34">
        <v>43431</v>
      </c>
      <c r="CA253" s="29" t="s">
        <v>138</v>
      </c>
      <c r="CB253" s="28" t="s">
        <v>138</v>
      </c>
      <c r="CC253" s="29" t="s">
        <v>138</v>
      </c>
      <c r="CD253" s="28" t="s">
        <v>138</v>
      </c>
      <c r="CE253" s="28" t="s">
        <v>5547</v>
      </c>
      <c r="CF253" s="28" t="s">
        <v>138</v>
      </c>
      <c r="CG253" s="28" t="s">
        <v>138</v>
      </c>
      <c r="CH253" s="28" t="s">
        <v>177</v>
      </c>
      <c r="CI253" s="28" t="s">
        <v>138</v>
      </c>
      <c r="CJ253" s="28" t="s">
        <v>138</v>
      </c>
      <c r="CK253" s="28" t="s">
        <v>138</v>
      </c>
      <c r="CL253" s="28" t="s">
        <v>175</v>
      </c>
      <c r="CM253" s="34" t="s">
        <v>138</v>
      </c>
      <c r="CN253" s="29" t="s">
        <v>138</v>
      </c>
      <c r="CO253" s="35">
        <v>-0.87</v>
      </c>
      <c r="CP253" s="36">
        <v>12</v>
      </c>
      <c r="CQ253" s="35">
        <v>-0.04</v>
      </c>
      <c r="CR253" s="35">
        <v>-4.4000000000000004</v>
      </c>
      <c r="CS253" s="35">
        <v>-4.05</v>
      </c>
      <c r="CT253" s="36">
        <v>3</v>
      </c>
      <c r="CU253" s="35">
        <v>0.01</v>
      </c>
      <c r="CV253" s="36">
        <v>49</v>
      </c>
      <c r="CW253" s="35">
        <v>-7.02</v>
      </c>
      <c r="CX253" s="36">
        <v>2</v>
      </c>
      <c r="CY253" s="35">
        <v>-1.08</v>
      </c>
      <c r="CZ253" s="36">
        <v>18</v>
      </c>
      <c r="DA253" s="35">
        <v>0.01</v>
      </c>
      <c r="DB253" s="36">
        <v>57</v>
      </c>
      <c r="DC253" s="37">
        <v>536.04999999999995</v>
      </c>
      <c r="DD253" s="36">
        <v>100</v>
      </c>
      <c r="DE253" s="37">
        <v>-12.43</v>
      </c>
      <c r="DF253" s="35">
        <v>-2.27</v>
      </c>
      <c r="DG253" s="37">
        <v>529.20000000000005</v>
      </c>
      <c r="DH253" s="36">
        <v>100</v>
      </c>
      <c r="DI253" s="37">
        <v>1066.97</v>
      </c>
      <c r="DJ253" s="36">
        <v>100</v>
      </c>
      <c r="DK253" s="37">
        <v>685.82</v>
      </c>
      <c r="DL253" s="36">
        <v>100</v>
      </c>
      <c r="DM253" s="37">
        <v>372.59</v>
      </c>
      <c r="DN253" s="36">
        <v>100</v>
      </c>
      <c r="DO253" s="37">
        <v>1066.97</v>
      </c>
      <c r="DP253" s="36">
        <v>100</v>
      </c>
      <c r="DQ253" s="36">
        <v>242287</v>
      </c>
      <c r="DR253" s="38">
        <v>-21157</v>
      </c>
      <c r="DS253" s="35">
        <v>-8.0299999999999994</v>
      </c>
      <c r="DT253" s="36">
        <v>10800</v>
      </c>
      <c r="DU253" s="38">
        <v>16</v>
      </c>
      <c r="DV253" s="35">
        <v>0.15</v>
      </c>
      <c r="DW253" s="36">
        <v>382000</v>
      </c>
      <c r="DX253" s="39">
        <v>64</v>
      </c>
      <c r="DY253" s="35">
        <v>0.02</v>
      </c>
      <c r="DZ253" s="28" t="s">
        <v>178</v>
      </c>
      <c r="EA253" s="34">
        <v>43619</v>
      </c>
      <c r="EB253" s="29">
        <v>3300</v>
      </c>
      <c r="EC253" s="34">
        <v>41276</v>
      </c>
      <c r="ED253" s="28" t="s">
        <v>1673</v>
      </c>
      <c r="EE253" s="40" t="str">
        <f>HYPERLINK("https://my.pitchbook.com?c=14388-85", "View company online")</f>
        <v>View company online</v>
      </c>
    </row>
    <row r="254" spans="1:135">
      <c r="A254" s="15" t="s">
        <v>5548</v>
      </c>
      <c r="B254" s="15" t="s">
        <v>5549</v>
      </c>
      <c r="C254" s="15" t="s">
        <v>138</v>
      </c>
      <c r="D254" s="15" t="s">
        <v>138</v>
      </c>
      <c r="E254" s="15" t="s">
        <v>5550</v>
      </c>
      <c r="F254" s="15" t="s">
        <v>5548</v>
      </c>
      <c r="G254" s="15" t="s">
        <v>5551</v>
      </c>
      <c r="H254" s="15" t="s">
        <v>322</v>
      </c>
      <c r="I254" s="15" t="s">
        <v>323</v>
      </c>
      <c r="J254" s="15" t="s">
        <v>324</v>
      </c>
      <c r="K254" s="15" t="s">
        <v>2964</v>
      </c>
      <c r="L254" s="15" t="s">
        <v>5552</v>
      </c>
      <c r="M254" s="15" t="s">
        <v>5553</v>
      </c>
      <c r="N254" s="15" t="s">
        <v>147</v>
      </c>
      <c r="O254" s="17">
        <v>19.93</v>
      </c>
      <c r="P254" s="15" t="s">
        <v>148</v>
      </c>
      <c r="Q254" s="15" t="s">
        <v>149</v>
      </c>
      <c r="R254" s="15" t="s">
        <v>174</v>
      </c>
      <c r="S254" s="15" t="s">
        <v>5554</v>
      </c>
      <c r="T254" s="18">
        <v>110</v>
      </c>
      <c r="U254" s="15" t="s">
        <v>5555</v>
      </c>
      <c r="V254" s="15" t="s">
        <v>138</v>
      </c>
      <c r="W254" s="15" t="s">
        <v>138</v>
      </c>
      <c r="X254" s="19">
        <v>2013</v>
      </c>
      <c r="Y254" s="15" t="s">
        <v>138</v>
      </c>
      <c r="Z254" s="15" t="s">
        <v>138</v>
      </c>
      <c r="AA254" s="15" t="s">
        <v>138</v>
      </c>
      <c r="AB254" s="20">
        <v>98</v>
      </c>
      <c r="AC254" s="20" t="s">
        <v>138</v>
      </c>
      <c r="AD254" s="20" t="s">
        <v>138</v>
      </c>
      <c r="AE254" s="20" t="s">
        <v>138</v>
      </c>
      <c r="AF254" s="20" t="s">
        <v>138</v>
      </c>
      <c r="AG254" s="15" t="s">
        <v>563</v>
      </c>
      <c r="AH254" s="20" t="s">
        <v>138</v>
      </c>
      <c r="AI254" s="20" t="s">
        <v>138</v>
      </c>
      <c r="AJ254" s="20" t="s">
        <v>138</v>
      </c>
      <c r="AK254" s="15" t="s">
        <v>5556</v>
      </c>
      <c r="AL254" s="15" t="s">
        <v>5557</v>
      </c>
      <c r="AM254" s="15" t="s">
        <v>5558</v>
      </c>
      <c r="AN254" s="15" t="s">
        <v>5559</v>
      </c>
      <c r="AO254" s="15" t="s">
        <v>5560</v>
      </c>
      <c r="AP254" s="15" t="s">
        <v>1195</v>
      </c>
      <c r="AQ254" s="15" t="s">
        <v>5561</v>
      </c>
      <c r="AR254" s="15" t="s">
        <v>5562</v>
      </c>
      <c r="AS254" s="15" t="s">
        <v>1198</v>
      </c>
      <c r="AT254" s="15" t="s">
        <v>138</v>
      </c>
      <c r="AU254" s="15" t="s">
        <v>5563</v>
      </c>
      <c r="AV254" s="15" t="s">
        <v>1200</v>
      </c>
      <c r="AW254" s="15" t="s">
        <v>5560</v>
      </c>
      <c r="AX254" s="15" t="s">
        <v>5564</v>
      </c>
      <c r="AY254" s="15" t="s">
        <v>5565</v>
      </c>
      <c r="AZ254" s="15" t="s">
        <v>452</v>
      </c>
      <c r="BA254" s="15" t="s">
        <v>453</v>
      </c>
      <c r="BB254" s="15" t="s">
        <v>5566</v>
      </c>
      <c r="BC254" s="15" t="s">
        <v>5567</v>
      </c>
      <c r="BD254" s="21">
        <v>9</v>
      </c>
      <c r="BE254" s="15" t="s">
        <v>138</v>
      </c>
      <c r="BF254" s="15" t="s">
        <v>138</v>
      </c>
      <c r="BG254" s="15" t="s">
        <v>138</v>
      </c>
      <c r="BH254" s="15" t="s">
        <v>5568</v>
      </c>
      <c r="BI254" s="15" t="s">
        <v>138</v>
      </c>
      <c r="BJ254" s="15" t="s">
        <v>138</v>
      </c>
      <c r="BK254" s="15" t="s">
        <v>138</v>
      </c>
      <c r="BL254" s="15" t="s">
        <v>138</v>
      </c>
      <c r="BM254" s="22">
        <v>41480</v>
      </c>
      <c r="BN254" s="17">
        <v>1</v>
      </c>
      <c r="BO254" s="15" t="s">
        <v>172</v>
      </c>
      <c r="BP254" s="17" t="s">
        <v>138</v>
      </c>
      <c r="BQ254" s="15" t="s">
        <v>138</v>
      </c>
      <c r="BR254" s="15" t="s">
        <v>234</v>
      </c>
      <c r="BS254" s="15" t="s">
        <v>234</v>
      </c>
      <c r="BT254" s="15" t="s">
        <v>138</v>
      </c>
      <c r="BU254" s="15" t="s">
        <v>174</v>
      </c>
      <c r="BV254" s="15" t="s">
        <v>138</v>
      </c>
      <c r="BW254" s="15" t="s">
        <v>138</v>
      </c>
      <c r="BX254" s="15" t="s">
        <v>138</v>
      </c>
      <c r="BY254" s="15" t="s">
        <v>175</v>
      </c>
      <c r="BZ254" s="22">
        <v>42635</v>
      </c>
      <c r="CA254" s="17">
        <v>11.75</v>
      </c>
      <c r="CB254" s="15" t="s">
        <v>172</v>
      </c>
      <c r="CC254" s="17" t="s">
        <v>138</v>
      </c>
      <c r="CD254" s="15" t="s">
        <v>138</v>
      </c>
      <c r="CE254" s="15" t="s">
        <v>173</v>
      </c>
      <c r="CF254" s="15" t="s">
        <v>433</v>
      </c>
      <c r="CG254" s="15" t="s">
        <v>138</v>
      </c>
      <c r="CH254" s="15" t="s">
        <v>174</v>
      </c>
      <c r="CI254" s="15" t="s">
        <v>138</v>
      </c>
      <c r="CJ254" s="15" t="s">
        <v>138</v>
      </c>
      <c r="CK254" s="15" t="s">
        <v>138</v>
      </c>
      <c r="CL254" s="15" t="s">
        <v>175</v>
      </c>
      <c r="CM254" s="22" t="s">
        <v>138</v>
      </c>
      <c r="CN254" s="17" t="s">
        <v>138</v>
      </c>
      <c r="CO254" s="23">
        <v>0.49</v>
      </c>
      <c r="CP254" s="24">
        <v>95</v>
      </c>
      <c r="CQ254" s="23">
        <v>-0.02</v>
      </c>
      <c r="CR254" s="23">
        <v>-3.63</v>
      </c>
      <c r="CS254" s="23" t="s">
        <v>138</v>
      </c>
      <c r="CT254" s="24" t="s">
        <v>138</v>
      </c>
      <c r="CU254" s="23">
        <v>0.49</v>
      </c>
      <c r="CV254" s="24">
        <v>93</v>
      </c>
      <c r="CW254" s="23" t="s">
        <v>138</v>
      </c>
      <c r="CX254" s="24" t="s">
        <v>138</v>
      </c>
      <c r="CY254" s="23" t="s">
        <v>138</v>
      </c>
      <c r="CZ254" s="24" t="s">
        <v>138</v>
      </c>
      <c r="DA254" s="23">
        <v>-7.0000000000000007E-2</v>
      </c>
      <c r="DB254" s="24">
        <v>9</v>
      </c>
      <c r="DC254" s="25">
        <v>2.02</v>
      </c>
      <c r="DD254" s="24">
        <v>67</v>
      </c>
      <c r="DE254" s="25">
        <v>0</v>
      </c>
      <c r="DF254" s="23">
        <v>-0.02</v>
      </c>
      <c r="DG254" s="25" t="s">
        <v>138</v>
      </c>
      <c r="DH254" s="24" t="s">
        <v>138</v>
      </c>
      <c r="DI254" s="25">
        <v>2.02</v>
      </c>
      <c r="DJ254" s="24">
        <v>63</v>
      </c>
      <c r="DK254" s="25" t="s">
        <v>138</v>
      </c>
      <c r="DL254" s="24" t="s">
        <v>138</v>
      </c>
      <c r="DM254" s="25" t="s">
        <v>138</v>
      </c>
      <c r="DN254" s="24" t="s">
        <v>138</v>
      </c>
      <c r="DO254" s="25">
        <v>0.94</v>
      </c>
      <c r="DP254" s="24">
        <v>49</v>
      </c>
      <c r="DQ254" s="24" t="s">
        <v>138</v>
      </c>
      <c r="DR254" s="26" t="s">
        <v>138</v>
      </c>
      <c r="DS254" s="23" t="s">
        <v>138</v>
      </c>
      <c r="DT254" s="24" t="s">
        <v>138</v>
      </c>
      <c r="DU254" s="26" t="s">
        <v>138</v>
      </c>
      <c r="DV254" s="23" t="s">
        <v>138</v>
      </c>
      <c r="DW254" s="24">
        <v>336</v>
      </c>
      <c r="DX254" s="27">
        <v>-1</v>
      </c>
      <c r="DY254" s="23">
        <v>-0.3</v>
      </c>
      <c r="DZ254" s="15" t="s">
        <v>178</v>
      </c>
      <c r="EA254" s="22">
        <v>43351</v>
      </c>
      <c r="EB254" s="17" t="s">
        <v>138</v>
      </c>
      <c r="EC254" s="22" t="s">
        <v>138</v>
      </c>
      <c r="ED254" s="15" t="s">
        <v>138</v>
      </c>
      <c r="EE254" s="14" t="str">
        <f>HYPERLINK("https://my.pitchbook.com?c=58149-55", "View company online")</f>
        <v>View company online</v>
      </c>
    </row>
    <row r="255" spans="1:135">
      <c r="A255" s="28" t="s">
        <v>5569</v>
      </c>
      <c r="B255" s="28" t="s">
        <v>5570</v>
      </c>
      <c r="C255" s="28" t="s">
        <v>138</v>
      </c>
      <c r="D255" s="28" t="s">
        <v>5571</v>
      </c>
      <c r="E255" s="28" t="s">
        <v>5572</v>
      </c>
      <c r="F255" s="28" t="s">
        <v>5569</v>
      </c>
      <c r="G255" s="28" t="s">
        <v>5573</v>
      </c>
      <c r="H255" s="28" t="s">
        <v>322</v>
      </c>
      <c r="I255" s="28" t="s">
        <v>323</v>
      </c>
      <c r="J255" s="28" t="s">
        <v>324</v>
      </c>
      <c r="K255" s="28" t="s">
        <v>1543</v>
      </c>
      <c r="L255" s="28" t="s">
        <v>3343</v>
      </c>
      <c r="M255" s="28" t="s">
        <v>5574</v>
      </c>
      <c r="N255" s="28" t="s">
        <v>147</v>
      </c>
      <c r="O255" s="29">
        <v>7.8</v>
      </c>
      <c r="P255" s="28" t="s">
        <v>148</v>
      </c>
      <c r="Q255" s="28" t="s">
        <v>149</v>
      </c>
      <c r="R255" s="28" t="s">
        <v>174</v>
      </c>
      <c r="S255" s="28" t="s">
        <v>5575</v>
      </c>
      <c r="T255" s="30">
        <v>25</v>
      </c>
      <c r="U255" s="28" t="s">
        <v>5576</v>
      </c>
      <c r="V255" s="28" t="s">
        <v>138</v>
      </c>
      <c r="W255" s="28" t="s">
        <v>138</v>
      </c>
      <c r="X255" s="31">
        <v>2014</v>
      </c>
      <c r="Y255" s="28" t="s">
        <v>138</v>
      </c>
      <c r="Z255" s="28" t="s">
        <v>138</v>
      </c>
      <c r="AA255" s="28" t="s">
        <v>138</v>
      </c>
      <c r="AB255" s="32">
        <v>1</v>
      </c>
      <c r="AC255" s="32" t="s">
        <v>138</v>
      </c>
      <c r="AD255" s="32" t="s">
        <v>138</v>
      </c>
      <c r="AE255" s="32" t="s">
        <v>138</v>
      </c>
      <c r="AF255" s="32" t="s">
        <v>138</v>
      </c>
      <c r="AG255" s="28" t="s">
        <v>563</v>
      </c>
      <c r="AH255" s="32" t="s">
        <v>138</v>
      </c>
      <c r="AI255" s="32" t="s">
        <v>138</v>
      </c>
      <c r="AJ255" s="32" t="s">
        <v>138</v>
      </c>
      <c r="AK255" s="28" t="s">
        <v>5577</v>
      </c>
      <c r="AL255" s="28" t="s">
        <v>5578</v>
      </c>
      <c r="AM255" s="28" t="s">
        <v>221</v>
      </c>
      <c r="AN255" s="28" t="s">
        <v>5579</v>
      </c>
      <c r="AO255" s="28" t="s">
        <v>5580</v>
      </c>
      <c r="AP255" s="28" t="s">
        <v>224</v>
      </c>
      <c r="AQ255" s="28" t="s">
        <v>5581</v>
      </c>
      <c r="AR255" s="28" t="s">
        <v>5582</v>
      </c>
      <c r="AS255" s="28" t="s">
        <v>227</v>
      </c>
      <c r="AT255" s="28" t="s">
        <v>228</v>
      </c>
      <c r="AU255" s="28" t="s">
        <v>229</v>
      </c>
      <c r="AV255" s="28" t="s">
        <v>162</v>
      </c>
      <c r="AW255" s="28" t="s">
        <v>5580</v>
      </c>
      <c r="AX255" s="28" t="s">
        <v>138</v>
      </c>
      <c r="AY255" s="28" t="s">
        <v>5583</v>
      </c>
      <c r="AZ255" s="28" t="s">
        <v>164</v>
      </c>
      <c r="BA255" s="28" t="s">
        <v>165</v>
      </c>
      <c r="BB255" s="28" t="s">
        <v>5584</v>
      </c>
      <c r="BC255" s="28" t="s">
        <v>5585</v>
      </c>
      <c r="BD255" s="33">
        <v>6</v>
      </c>
      <c r="BE255" s="28" t="s">
        <v>138</v>
      </c>
      <c r="BF255" s="28" t="s">
        <v>138</v>
      </c>
      <c r="BG255" s="28" t="s">
        <v>138</v>
      </c>
      <c r="BH255" s="28" t="s">
        <v>5586</v>
      </c>
      <c r="BI255" s="28" t="s">
        <v>138</v>
      </c>
      <c r="BJ255" s="28" t="s">
        <v>138</v>
      </c>
      <c r="BK255" s="28" t="s">
        <v>138</v>
      </c>
      <c r="BL255" s="28" t="s">
        <v>138</v>
      </c>
      <c r="BM255" s="34">
        <v>42086</v>
      </c>
      <c r="BN255" s="29">
        <v>0.15</v>
      </c>
      <c r="BO255" s="28" t="s">
        <v>172</v>
      </c>
      <c r="BP255" s="29" t="s">
        <v>138</v>
      </c>
      <c r="BQ255" s="28" t="s">
        <v>138</v>
      </c>
      <c r="BR255" s="28" t="s">
        <v>262</v>
      </c>
      <c r="BS255" s="28" t="s">
        <v>262</v>
      </c>
      <c r="BT255" s="28" t="s">
        <v>138</v>
      </c>
      <c r="BU255" s="28" t="s">
        <v>263</v>
      </c>
      <c r="BV255" s="28" t="s">
        <v>138</v>
      </c>
      <c r="BW255" s="28" t="s">
        <v>138</v>
      </c>
      <c r="BX255" s="28" t="s">
        <v>138</v>
      </c>
      <c r="BY255" s="28" t="s">
        <v>175</v>
      </c>
      <c r="BZ255" s="34">
        <v>43531</v>
      </c>
      <c r="CA255" s="29">
        <v>0.15</v>
      </c>
      <c r="CB255" s="28" t="s">
        <v>172</v>
      </c>
      <c r="CC255" s="29" t="s">
        <v>138</v>
      </c>
      <c r="CD255" s="28" t="s">
        <v>138</v>
      </c>
      <c r="CE255" s="28" t="s">
        <v>173</v>
      </c>
      <c r="CF255" s="28" t="s">
        <v>138</v>
      </c>
      <c r="CG255" s="28" t="s">
        <v>138</v>
      </c>
      <c r="CH255" s="28" t="s">
        <v>174</v>
      </c>
      <c r="CI255" s="28" t="s">
        <v>264</v>
      </c>
      <c r="CJ255" s="28" t="s">
        <v>138</v>
      </c>
      <c r="CK255" s="28" t="s">
        <v>138</v>
      </c>
      <c r="CL255" s="28" t="s">
        <v>175</v>
      </c>
      <c r="CM255" s="34" t="s">
        <v>138</v>
      </c>
      <c r="CN255" s="29" t="s">
        <v>138</v>
      </c>
      <c r="CO255" s="35">
        <v>0</v>
      </c>
      <c r="CP255" s="36">
        <v>26</v>
      </c>
      <c r="CQ255" s="35">
        <v>0</v>
      </c>
      <c r="CR255" s="35">
        <v>-34.97</v>
      </c>
      <c r="CS255" s="35">
        <v>0</v>
      </c>
      <c r="CT255" s="36">
        <v>23</v>
      </c>
      <c r="CU255" s="35">
        <v>0.01</v>
      </c>
      <c r="CV255" s="36">
        <v>49</v>
      </c>
      <c r="CW255" s="35">
        <v>0</v>
      </c>
      <c r="CX255" s="36">
        <v>13</v>
      </c>
      <c r="CY255" s="35">
        <v>0</v>
      </c>
      <c r="CZ255" s="36">
        <v>25</v>
      </c>
      <c r="DA255" s="35">
        <v>-0.01</v>
      </c>
      <c r="DB255" s="36">
        <v>21</v>
      </c>
      <c r="DC255" s="37">
        <v>3.3</v>
      </c>
      <c r="DD255" s="36">
        <v>77</v>
      </c>
      <c r="DE255" s="37">
        <v>-0.02</v>
      </c>
      <c r="DF255" s="35">
        <v>-0.55000000000000004</v>
      </c>
      <c r="DG255" s="37">
        <v>0.8</v>
      </c>
      <c r="DH255" s="36">
        <v>46</v>
      </c>
      <c r="DI255" s="37">
        <v>5.8</v>
      </c>
      <c r="DJ255" s="36">
        <v>79</v>
      </c>
      <c r="DK255" s="37">
        <v>0.67</v>
      </c>
      <c r="DL255" s="36">
        <v>41</v>
      </c>
      <c r="DM255" s="37">
        <v>0.93</v>
      </c>
      <c r="DN255" s="36">
        <v>48</v>
      </c>
      <c r="DO255" s="37">
        <v>9.9600000000000009</v>
      </c>
      <c r="DP255" s="36">
        <v>87</v>
      </c>
      <c r="DQ255" s="36">
        <v>234</v>
      </c>
      <c r="DR255" s="38">
        <v>-11</v>
      </c>
      <c r="DS255" s="35">
        <v>-4.49</v>
      </c>
      <c r="DT255" s="36">
        <v>27</v>
      </c>
      <c r="DU255" s="38">
        <v>0</v>
      </c>
      <c r="DV255" s="35">
        <v>0</v>
      </c>
      <c r="DW255" s="36">
        <v>3565</v>
      </c>
      <c r="DX255" s="39">
        <v>-3</v>
      </c>
      <c r="DY255" s="35">
        <v>-0.08</v>
      </c>
      <c r="DZ255" s="28" t="s">
        <v>178</v>
      </c>
      <c r="EA255" s="34">
        <v>43537</v>
      </c>
      <c r="EB255" s="29" t="s">
        <v>138</v>
      </c>
      <c r="EC255" s="34" t="s">
        <v>138</v>
      </c>
      <c r="ED255" s="28" t="s">
        <v>138</v>
      </c>
      <c r="EE255" s="40" t="str">
        <f>HYPERLINK("https://my.pitchbook.com?c=126146-80", "View company online")</f>
        <v>View company online</v>
      </c>
    </row>
    <row r="256" spans="1:135">
      <c r="A256" s="15" t="s">
        <v>5587</v>
      </c>
      <c r="B256" s="15" t="s">
        <v>5588</v>
      </c>
      <c r="C256" s="15" t="s">
        <v>5589</v>
      </c>
      <c r="D256" s="15" t="s">
        <v>138</v>
      </c>
      <c r="E256" s="15" t="s">
        <v>138</v>
      </c>
      <c r="F256" s="15" t="s">
        <v>5587</v>
      </c>
      <c r="G256" s="15" t="s">
        <v>5590</v>
      </c>
      <c r="H256" s="15" t="s">
        <v>141</v>
      </c>
      <c r="I256" s="15" t="s">
        <v>212</v>
      </c>
      <c r="J256" s="15" t="s">
        <v>655</v>
      </c>
      <c r="K256" s="15" t="s">
        <v>656</v>
      </c>
      <c r="L256" s="15" t="s">
        <v>5412</v>
      </c>
      <c r="M256" s="15" t="s">
        <v>5591</v>
      </c>
      <c r="N256" s="15" t="s">
        <v>147</v>
      </c>
      <c r="O256" s="17">
        <v>74.930000000000007</v>
      </c>
      <c r="P256" s="15" t="s">
        <v>148</v>
      </c>
      <c r="Q256" s="15" t="s">
        <v>149</v>
      </c>
      <c r="R256" s="15" t="s">
        <v>174</v>
      </c>
      <c r="S256" s="15" t="s">
        <v>5592</v>
      </c>
      <c r="T256" s="18">
        <v>350</v>
      </c>
      <c r="U256" s="15" t="s">
        <v>5593</v>
      </c>
      <c r="V256" s="15" t="s">
        <v>138</v>
      </c>
      <c r="W256" s="15" t="s">
        <v>138</v>
      </c>
      <c r="X256" s="19">
        <v>2010</v>
      </c>
      <c r="Y256" s="15" t="s">
        <v>138</v>
      </c>
      <c r="Z256" s="15" t="s">
        <v>138</v>
      </c>
      <c r="AA256" s="15" t="s">
        <v>138</v>
      </c>
      <c r="AB256" s="20">
        <v>9.86</v>
      </c>
      <c r="AC256" s="20">
        <v>6.14</v>
      </c>
      <c r="AD256" s="20">
        <v>-30.33</v>
      </c>
      <c r="AE256" s="20" t="s">
        <v>138</v>
      </c>
      <c r="AF256" s="20" t="s">
        <v>138</v>
      </c>
      <c r="AG256" s="15" t="s">
        <v>815</v>
      </c>
      <c r="AH256" s="20" t="s">
        <v>138</v>
      </c>
      <c r="AI256" s="20" t="s">
        <v>138</v>
      </c>
      <c r="AJ256" s="20" t="s">
        <v>138</v>
      </c>
      <c r="AK256" s="15" t="s">
        <v>5594</v>
      </c>
      <c r="AL256" s="15" t="s">
        <v>5595</v>
      </c>
      <c r="AM256" s="15" t="s">
        <v>249</v>
      </c>
      <c r="AN256" s="15" t="s">
        <v>5596</v>
      </c>
      <c r="AO256" s="15" t="s">
        <v>5597</v>
      </c>
      <c r="AP256" s="15" t="s">
        <v>665</v>
      </c>
      <c r="AQ256" s="15" t="s">
        <v>5598</v>
      </c>
      <c r="AR256" s="15" t="s">
        <v>5599</v>
      </c>
      <c r="AS256" s="15" t="s">
        <v>668</v>
      </c>
      <c r="AT256" s="15" t="s">
        <v>200</v>
      </c>
      <c r="AU256" s="15" t="s">
        <v>3477</v>
      </c>
      <c r="AV256" s="15" t="s">
        <v>162</v>
      </c>
      <c r="AW256" s="15" t="s">
        <v>5600</v>
      </c>
      <c r="AX256" s="15" t="s">
        <v>138</v>
      </c>
      <c r="AY256" s="15" t="s">
        <v>5601</v>
      </c>
      <c r="AZ256" s="15" t="s">
        <v>164</v>
      </c>
      <c r="BA256" s="15" t="s">
        <v>165</v>
      </c>
      <c r="BB256" s="15" t="s">
        <v>5602</v>
      </c>
      <c r="BC256" s="15" t="s">
        <v>5603</v>
      </c>
      <c r="BD256" s="21">
        <v>14</v>
      </c>
      <c r="BE256" s="15" t="s">
        <v>138</v>
      </c>
      <c r="BF256" s="15" t="s">
        <v>5604</v>
      </c>
      <c r="BG256" s="15" t="s">
        <v>138</v>
      </c>
      <c r="BH256" s="15" t="s">
        <v>5605</v>
      </c>
      <c r="BI256" s="15" t="s">
        <v>5606</v>
      </c>
      <c r="BJ256" s="15" t="s">
        <v>138</v>
      </c>
      <c r="BK256" s="15" t="s">
        <v>5607</v>
      </c>
      <c r="BL256" s="15" t="s">
        <v>5608</v>
      </c>
      <c r="BM256" s="22">
        <v>41094</v>
      </c>
      <c r="BN256" s="17">
        <v>0.62</v>
      </c>
      <c r="BO256" s="15" t="s">
        <v>172</v>
      </c>
      <c r="BP256" s="17">
        <v>2.2999999999999998</v>
      </c>
      <c r="BQ256" s="15" t="s">
        <v>172</v>
      </c>
      <c r="BR256" s="15" t="s">
        <v>262</v>
      </c>
      <c r="BS256" s="15" t="s">
        <v>262</v>
      </c>
      <c r="BT256" s="15" t="s">
        <v>138</v>
      </c>
      <c r="BU256" s="15" t="s">
        <v>263</v>
      </c>
      <c r="BV256" s="15" t="s">
        <v>138</v>
      </c>
      <c r="BW256" s="15" t="s">
        <v>138</v>
      </c>
      <c r="BX256" s="15" t="s">
        <v>138</v>
      </c>
      <c r="BY256" s="15" t="s">
        <v>175</v>
      </c>
      <c r="BZ256" s="22" t="s">
        <v>138</v>
      </c>
      <c r="CA256" s="17" t="s">
        <v>138</v>
      </c>
      <c r="CB256" s="15" t="s">
        <v>138</v>
      </c>
      <c r="CC256" s="17" t="s">
        <v>138</v>
      </c>
      <c r="CD256" s="15" t="s">
        <v>138</v>
      </c>
      <c r="CE256" s="15" t="s">
        <v>379</v>
      </c>
      <c r="CF256" s="15" t="s">
        <v>138</v>
      </c>
      <c r="CG256" s="15" t="s">
        <v>138</v>
      </c>
      <c r="CH256" s="15" t="s">
        <v>138</v>
      </c>
      <c r="CI256" s="15" t="s">
        <v>138</v>
      </c>
      <c r="CJ256" s="15" t="s">
        <v>138</v>
      </c>
      <c r="CK256" s="15" t="s">
        <v>138</v>
      </c>
      <c r="CL256" s="15" t="s">
        <v>175</v>
      </c>
      <c r="CM256" s="22" t="s">
        <v>138</v>
      </c>
      <c r="CN256" s="17" t="s">
        <v>138</v>
      </c>
      <c r="CO256" s="23">
        <v>2.84</v>
      </c>
      <c r="CP256" s="24">
        <v>100</v>
      </c>
      <c r="CQ256" s="23">
        <v>0</v>
      </c>
      <c r="CR256" s="23">
        <v>0.06</v>
      </c>
      <c r="CS256" s="23">
        <v>5.63</v>
      </c>
      <c r="CT256" s="24">
        <v>100</v>
      </c>
      <c r="CU256" s="23">
        <v>0.05</v>
      </c>
      <c r="CV256" s="24">
        <v>58</v>
      </c>
      <c r="CW256" s="23">
        <v>5.63</v>
      </c>
      <c r="CX256" s="24">
        <v>96</v>
      </c>
      <c r="CY256" s="23" t="s">
        <v>138</v>
      </c>
      <c r="CZ256" s="24" t="s">
        <v>138</v>
      </c>
      <c r="DA256" s="23">
        <v>0.03</v>
      </c>
      <c r="DB256" s="24">
        <v>60</v>
      </c>
      <c r="DC256" s="25">
        <v>8.99</v>
      </c>
      <c r="DD256" s="24">
        <v>89</v>
      </c>
      <c r="DE256" s="25">
        <v>-0.74</v>
      </c>
      <c r="DF256" s="23">
        <v>-7.64</v>
      </c>
      <c r="DG256" s="25">
        <v>11.79</v>
      </c>
      <c r="DH256" s="24">
        <v>91</v>
      </c>
      <c r="DI256" s="25">
        <v>6.18</v>
      </c>
      <c r="DJ256" s="24">
        <v>80</v>
      </c>
      <c r="DK256" s="25">
        <v>11.79</v>
      </c>
      <c r="DL256" s="24">
        <v>88</v>
      </c>
      <c r="DM256" s="25" t="s">
        <v>138</v>
      </c>
      <c r="DN256" s="24" t="s">
        <v>138</v>
      </c>
      <c r="DO256" s="25">
        <v>10.85</v>
      </c>
      <c r="DP256" s="24">
        <v>88</v>
      </c>
      <c r="DQ256" s="24">
        <v>3939</v>
      </c>
      <c r="DR256" s="26">
        <v>317</v>
      </c>
      <c r="DS256" s="23">
        <v>8.75</v>
      </c>
      <c r="DT256" s="24" t="s">
        <v>138</v>
      </c>
      <c r="DU256" s="26" t="s">
        <v>138</v>
      </c>
      <c r="DV256" s="23" t="s">
        <v>138</v>
      </c>
      <c r="DW256" s="24">
        <v>3884</v>
      </c>
      <c r="DX256" s="27">
        <v>-3</v>
      </c>
      <c r="DY256" s="23">
        <v>-0.08</v>
      </c>
      <c r="DZ256" s="15" t="s">
        <v>178</v>
      </c>
      <c r="EA256" s="22">
        <v>43622</v>
      </c>
      <c r="EB256" s="17">
        <v>93.58</v>
      </c>
      <c r="EC256" s="22">
        <v>42927</v>
      </c>
      <c r="ED256" s="15" t="s">
        <v>173</v>
      </c>
      <c r="EE256" s="14" t="str">
        <f>HYPERLINK("https://my.pitchbook.com?c=54742-69", "View company online")</f>
        <v>View company online</v>
      </c>
    </row>
    <row r="257" spans="1:135">
      <c r="A257" s="28" t="s">
        <v>5609</v>
      </c>
      <c r="B257" s="28" t="s">
        <v>5610</v>
      </c>
      <c r="C257" s="28" t="s">
        <v>138</v>
      </c>
      <c r="D257" s="28" t="s">
        <v>138</v>
      </c>
      <c r="E257" s="28" t="s">
        <v>5611</v>
      </c>
      <c r="F257" s="28" t="s">
        <v>5609</v>
      </c>
      <c r="G257" s="28" t="s">
        <v>5612</v>
      </c>
      <c r="H257" s="28" t="s">
        <v>322</v>
      </c>
      <c r="I257" s="28" t="s">
        <v>323</v>
      </c>
      <c r="J257" s="28" t="s">
        <v>1132</v>
      </c>
      <c r="K257" s="28" t="s">
        <v>5613</v>
      </c>
      <c r="L257" s="28" t="s">
        <v>5614</v>
      </c>
      <c r="M257" s="28" t="s">
        <v>5615</v>
      </c>
      <c r="N257" s="28" t="s">
        <v>147</v>
      </c>
      <c r="O257" s="29">
        <v>11.37</v>
      </c>
      <c r="P257" s="28" t="s">
        <v>148</v>
      </c>
      <c r="Q257" s="28" t="s">
        <v>149</v>
      </c>
      <c r="R257" s="28" t="s">
        <v>174</v>
      </c>
      <c r="S257" s="28" t="s">
        <v>5616</v>
      </c>
      <c r="T257" s="30">
        <v>13</v>
      </c>
      <c r="U257" s="28" t="s">
        <v>5617</v>
      </c>
      <c r="V257" s="28" t="s">
        <v>138</v>
      </c>
      <c r="W257" s="28" t="s">
        <v>138</v>
      </c>
      <c r="X257" s="31">
        <v>2015</v>
      </c>
      <c r="Y257" s="28" t="s">
        <v>138</v>
      </c>
      <c r="Z257" s="28" t="s">
        <v>138</v>
      </c>
      <c r="AA257" s="28" t="s">
        <v>138</v>
      </c>
      <c r="AB257" s="32" t="s">
        <v>138</v>
      </c>
      <c r="AC257" s="32" t="s">
        <v>138</v>
      </c>
      <c r="AD257" s="32" t="s">
        <v>138</v>
      </c>
      <c r="AE257" s="32" t="s">
        <v>138</v>
      </c>
      <c r="AF257" s="32" t="s">
        <v>138</v>
      </c>
      <c r="AG257" s="28" t="s">
        <v>138</v>
      </c>
      <c r="AH257" s="32" t="s">
        <v>138</v>
      </c>
      <c r="AI257" s="32" t="s">
        <v>138</v>
      </c>
      <c r="AJ257" s="32" t="s">
        <v>138</v>
      </c>
      <c r="AK257" s="28" t="s">
        <v>5618</v>
      </c>
      <c r="AL257" s="28" t="s">
        <v>5619</v>
      </c>
      <c r="AM257" s="28" t="s">
        <v>5620</v>
      </c>
      <c r="AN257" s="28" t="s">
        <v>5621</v>
      </c>
      <c r="AO257" s="28" t="s">
        <v>5622</v>
      </c>
      <c r="AP257" s="28" t="s">
        <v>1514</v>
      </c>
      <c r="AQ257" s="28" t="s">
        <v>5623</v>
      </c>
      <c r="AR257" s="28" t="s">
        <v>5624</v>
      </c>
      <c r="AS257" s="28" t="s">
        <v>1516</v>
      </c>
      <c r="AT257" s="28" t="s">
        <v>284</v>
      </c>
      <c r="AU257" s="28" t="s">
        <v>1517</v>
      </c>
      <c r="AV257" s="28" t="s">
        <v>162</v>
      </c>
      <c r="AW257" s="28" t="s">
        <v>5622</v>
      </c>
      <c r="AX257" s="28" t="s">
        <v>138</v>
      </c>
      <c r="AY257" s="28" t="s">
        <v>138</v>
      </c>
      <c r="AZ257" s="28" t="s">
        <v>164</v>
      </c>
      <c r="BA257" s="28" t="s">
        <v>165</v>
      </c>
      <c r="BB257" s="28" t="s">
        <v>5625</v>
      </c>
      <c r="BC257" s="28" t="s">
        <v>5626</v>
      </c>
      <c r="BD257" s="33">
        <v>15</v>
      </c>
      <c r="BE257" s="28" t="s">
        <v>138</v>
      </c>
      <c r="BF257" s="28" t="s">
        <v>138</v>
      </c>
      <c r="BG257" s="28" t="s">
        <v>138</v>
      </c>
      <c r="BH257" s="28" t="s">
        <v>5627</v>
      </c>
      <c r="BI257" s="28" t="s">
        <v>138</v>
      </c>
      <c r="BJ257" s="28" t="s">
        <v>138</v>
      </c>
      <c r="BK257" s="28" t="s">
        <v>5213</v>
      </c>
      <c r="BL257" s="28" t="s">
        <v>5628</v>
      </c>
      <c r="BM257" s="34">
        <v>42736</v>
      </c>
      <c r="BN257" s="29" t="s">
        <v>138</v>
      </c>
      <c r="BO257" s="28" t="s">
        <v>138</v>
      </c>
      <c r="BP257" s="29" t="s">
        <v>138</v>
      </c>
      <c r="BQ257" s="28" t="s">
        <v>138</v>
      </c>
      <c r="BR257" s="28" t="s">
        <v>316</v>
      </c>
      <c r="BS257" s="28" t="s">
        <v>138</v>
      </c>
      <c r="BT257" s="28" t="s">
        <v>138</v>
      </c>
      <c r="BU257" s="28" t="s">
        <v>177</v>
      </c>
      <c r="BV257" s="28" t="s">
        <v>138</v>
      </c>
      <c r="BW257" s="28" t="s">
        <v>138</v>
      </c>
      <c r="BX257" s="28" t="s">
        <v>138</v>
      </c>
      <c r="BY257" s="28" t="s">
        <v>175</v>
      </c>
      <c r="BZ257" s="34">
        <v>43375</v>
      </c>
      <c r="CA257" s="29">
        <v>1</v>
      </c>
      <c r="CB257" s="28" t="s">
        <v>172</v>
      </c>
      <c r="CC257" s="29" t="s">
        <v>138</v>
      </c>
      <c r="CD257" s="28" t="s">
        <v>138</v>
      </c>
      <c r="CE257" s="28" t="s">
        <v>205</v>
      </c>
      <c r="CF257" s="28" t="s">
        <v>138</v>
      </c>
      <c r="CG257" s="28" t="s">
        <v>138</v>
      </c>
      <c r="CH257" s="28" t="s">
        <v>174</v>
      </c>
      <c r="CI257" s="28" t="s">
        <v>264</v>
      </c>
      <c r="CJ257" s="28" t="s">
        <v>138</v>
      </c>
      <c r="CK257" s="28" t="s">
        <v>138</v>
      </c>
      <c r="CL257" s="28" t="s">
        <v>175</v>
      </c>
      <c r="CM257" s="34" t="s">
        <v>138</v>
      </c>
      <c r="CN257" s="29" t="s">
        <v>138</v>
      </c>
      <c r="CO257" s="35">
        <v>0.67</v>
      </c>
      <c r="CP257" s="36">
        <v>96</v>
      </c>
      <c r="CQ257" s="35">
        <v>-0.19</v>
      </c>
      <c r="CR257" s="35">
        <v>-21.85</v>
      </c>
      <c r="CS257" s="35">
        <v>-0.53</v>
      </c>
      <c r="CT257" s="36">
        <v>19</v>
      </c>
      <c r="CU257" s="35">
        <v>0.32</v>
      </c>
      <c r="CV257" s="36">
        <v>88</v>
      </c>
      <c r="CW257" s="35">
        <v>-0.53</v>
      </c>
      <c r="CX257" s="36">
        <v>11</v>
      </c>
      <c r="CY257" s="35" t="s">
        <v>138</v>
      </c>
      <c r="CZ257" s="36" t="s">
        <v>138</v>
      </c>
      <c r="DA257" s="35">
        <v>0.1</v>
      </c>
      <c r="DB257" s="36">
        <v>72</v>
      </c>
      <c r="DC257" s="37">
        <v>19.97</v>
      </c>
      <c r="DD257" s="36">
        <v>95</v>
      </c>
      <c r="DE257" s="37">
        <v>0.26</v>
      </c>
      <c r="DF257" s="35">
        <v>1.3</v>
      </c>
      <c r="DG257" s="37">
        <v>12.02</v>
      </c>
      <c r="DH257" s="36">
        <v>91</v>
      </c>
      <c r="DI257" s="37">
        <v>3.49</v>
      </c>
      <c r="DJ257" s="36">
        <v>72</v>
      </c>
      <c r="DK257" s="37">
        <v>12.02</v>
      </c>
      <c r="DL257" s="36">
        <v>88</v>
      </c>
      <c r="DM257" s="37" t="s">
        <v>138</v>
      </c>
      <c r="DN257" s="36" t="s">
        <v>138</v>
      </c>
      <c r="DO257" s="37">
        <v>4.04</v>
      </c>
      <c r="DP257" s="36">
        <v>76</v>
      </c>
      <c r="DQ257" s="36">
        <v>4018</v>
      </c>
      <c r="DR257" s="38">
        <v>313</v>
      </c>
      <c r="DS257" s="35">
        <v>8.4499999999999993</v>
      </c>
      <c r="DT257" s="36" t="s">
        <v>138</v>
      </c>
      <c r="DU257" s="38" t="s">
        <v>138</v>
      </c>
      <c r="DV257" s="35" t="s">
        <v>138</v>
      </c>
      <c r="DW257" s="36">
        <v>1448</v>
      </c>
      <c r="DX257" s="39">
        <v>-2</v>
      </c>
      <c r="DY257" s="35">
        <v>-0.14000000000000001</v>
      </c>
      <c r="DZ257" s="28" t="s">
        <v>178</v>
      </c>
      <c r="EA257" s="34">
        <v>43571</v>
      </c>
      <c r="EB257" s="29">
        <v>17.920000000000002</v>
      </c>
      <c r="EC257" s="34">
        <v>43144</v>
      </c>
      <c r="ED257" s="28" t="s">
        <v>234</v>
      </c>
      <c r="EE257" s="40" t="str">
        <f>HYPERLINK("https://my.pitchbook.com?c=167498-29", "View company online")</f>
        <v>View company online</v>
      </c>
    </row>
    <row r="258" spans="1:135">
      <c r="A258" s="15" t="s">
        <v>5629</v>
      </c>
      <c r="B258" s="15" t="s">
        <v>5630</v>
      </c>
      <c r="C258" s="15" t="s">
        <v>138</v>
      </c>
      <c r="D258" s="15" t="s">
        <v>5631</v>
      </c>
      <c r="E258" s="15" t="s">
        <v>138</v>
      </c>
      <c r="F258" s="15" t="s">
        <v>5629</v>
      </c>
      <c r="G258" s="15" t="s">
        <v>5632</v>
      </c>
      <c r="H258" s="15" t="s">
        <v>238</v>
      </c>
      <c r="I258" s="15" t="s">
        <v>1351</v>
      </c>
      <c r="J258" s="15" t="s">
        <v>5633</v>
      </c>
      <c r="K258" s="15" t="s">
        <v>5634</v>
      </c>
      <c r="L258" s="15" t="s">
        <v>4703</v>
      </c>
      <c r="M258" s="15" t="s">
        <v>5635</v>
      </c>
      <c r="N258" s="15" t="s">
        <v>147</v>
      </c>
      <c r="O258" s="17">
        <v>18.190000000000001</v>
      </c>
      <c r="P258" s="15" t="s">
        <v>148</v>
      </c>
      <c r="Q258" s="15" t="s">
        <v>149</v>
      </c>
      <c r="R258" s="15" t="s">
        <v>174</v>
      </c>
      <c r="S258" s="15" t="s">
        <v>5636</v>
      </c>
      <c r="T258" s="18">
        <v>38</v>
      </c>
      <c r="U258" s="15" t="s">
        <v>5637</v>
      </c>
      <c r="V258" s="15" t="s">
        <v>138</v>
      </c>
      <c r="W258" s="15" t="s">
        <v>138</v>
      </c>
      <c r="X258" s="19">
        <v>2012</v>
      </c>
      <c r="Y258" s="15" t="s">
        <v>138</v>
      </c>
      <c r="Z258" s="15" t="s">
        <v>138</v>
      </c>
      <c r="AA258" s="15" t="s">
        <v>138</v>
      </c>
      <c r="AB258" s="20" t="s">
        <v>138</v>
      </c>
      <c r="AC258" s="20" t="s">
        <v>138</v>
      </c>
      <c r="AD258" s="20" t="s">
        <v>138</v>
      </c>
      <c r="AE258" s="20" t="s">
        <v>138</v>
      </c>
      <c r="AF258" s="20" t="s">
        <v>138</v>
      </c>
      <c r="AG258" s="15" t="s">
        <v>138</v>
      </c>
      <c r="AH258" s="20" t="s">
        <v>138</v>
      </c>
      <c r="AI258" s="20" t="s">
        <v>138</v>
      </c>
      <c r="AJ258" s="20" t="s">
        <v>138</v>
      </c>
      <c r="AK258" s="15" t="s">
        <v>5638</v>
      </c>
      <c r="AL258" s="15" t="s">
        <v>5639</v>
      </c>
      <c r="AM258" s="15" t="s">
        <v>5640</v>
      </c>
      <c r="AN258" s="15" t="s">
        <v>5641</v>
      </c>
      <c r="AO258" s="15" t="s">
        <v>138</v>
      </c>
      <c r="AP258" s="15" t="s">
        <v>2027</v>
      </c>
      <c r="AQ258" s="15" t="s">
        <v>5642</v>
      </c>
      <c r="AR258" s="15" t="s">
        <v>138</v>
      </c>
      <c r="AS258" s="15" t="s">
        <v>2030</v>
      </c>
      <c r="AT258" s="15" t="s">
        <v>2031</v>
      </c>
      <c r="AU258" s="15" t="s">
        <v>5643</v>
      </c>
      <c r="AV258" s="15" t="s">
        <v>162</v>
      </c>
      <c r="AW258" s="15" t="s">
        <v>138</v>
      </c>
      <c r="AX258" s="15" t="s">
        <v>138</v>
      </c>
      <c r="AY258" s="15" t="s">
        <v>138</v>
      </c>
      <c r="AZ258" s="15" t="s">
        <v>164</v>
      </c>
      <c r="BA258" s="15" t="s">
        <v>165</v>
      </c>
      <c r="BB258" s="15" t="s">
        <v>5644</v>
      </c>
      <c r="BC258" s="15" t="s">
        <v>5645</v>
      </c>
      <c r="BD258" s="21">
        <v>19</v>
      </c>
      <c r="BE258" s="15" t="s">
        <v>138</v>
      </c>
      <c r="BF258" s="15" t="s">
        <v>138</v>
      </c>
      <c r="BG258" s="15" t="s">
        <v>138</v>
      </c>
      <c r="BH258" s="15" t="s">
        <v>5646</v>
      </c>
      <c r="BI258" s="15" t="s">
        <v>138</v>
      </c>
      <c r="BJ258" s="15" t="s">
        <v>138</v>
      </c>
      <c r="BK258" s="15" t="s">
        <v>290</v>
      </c>
      <c r="BL258" s="15" t="s">
        <v>290</v>
      </c>
      <c r="BM258" s="22">
        <v>41122</v>
      </c>
      <c r="BN258" s="17" t="s">
        <v>138</v>
      </c>
      <c r="BO258" s="15" t="s">
        <v>138</v>
      </c>
      <c r="BP258" s="17" t="s">
        <v>138</v>
      </c>
      <c r="BQ258" s="15" t="s">
        <v>138</v>
      </c>
      <c r="BR258" s="15" t="s">
        <v>234</v>
      </c>
      <c r="BS258" s="15" t="s">
        <v>234</v>
      </c>
      <c r="BT258" s="15" t="s">
        <v>138</v>
      </c>
      <c r="BU258" s="15" t="s">
        <v>174</v>
      </c>
      <c r="BV258" s="15" t="s">
        <v>138</v>
      </c>
      <c r="BW258" s="15" t="s">
        <v>138</v>
      </c>
      <c r="BX258" s="15" t="s">
        <v>138</v>
      </c>
      <c r="BY258" s="15" t="s">
        <v>175</v>
      </c>
      <c r="BZ258" s="22" t="s">
        <v>138</v>
      </c>
      <c r="CA258" s="17" t="s">
        <v>138</v>
      </c>
      <c r="CB258" s="15" t="s">
        <v>138</v>
      </c>
      <c r="CC258" s="17" t="s">
        <v>138</v>
      </c>
      <c r="CD258" s="15" t="s">
        <v>138</v>
      </c>
      <c r="CE258" s="15" t="s">
        <v>205</v>
      </c>
      <c r="CF258" s="15" t="s">
        <v>138</v>
      </c>
      <c r="CG258" s="15" t="s">
        <v>138</v>
      </c>
      <c r="CH258" s="15" t="s">
        <v>174</v>
      </c>
      <c r="CI258" s="15" t="s">
        <v>138</v>
      </c>
      <c r="CJ258" s="15" t="s">
        <v>138</v>
      </c>
      <c r="CK258" s="15" t="s">
        <v>138</v>
      </c>
      <c r="CL258" s="15" t="s">
        <v>175</v>
      </c>
      <c r="CM258" s="22" t="s">
        <v>138</v>
      </c>
      <c r="CN258" s="17" t="s">
        <v>138</v>
      </c>
      <c r="CO258" s="23">
        <v>-1.24</v>
      </c>
      <c r="CP258" s="24">
        <v>9</v>
      </c>
      <c r="CQ258" s="23">
        <v>-0.04</v>
      </c>
      <c r="CR258" s="23">
        <v>-2.92</v>
      </c>
      <c r="CS258" s="23">
        <v>-4.13</v>
      </c>
      <c r="CT258" s="24">
        <v>3</v>
      </c>
      <c r="CU258" s="23">
        <v>0.1</v>
      </c>
      <c r="CV258" s="24">
        <v>68</v>
      </c>
      <c r="CW258" s="23">
        <v>-0.61</v>
      </c>
      <c r="CX258" s="24">
        <v>11</v>
      </c>
      <c r="CY258" s="23">
        <v>-7.64</v>
      </c>
      <c r="CZ258" s="24">
        <v>1</v>
      </c>
      <c r="DA258" s="23">
        <v>0.1</v>
      </c>
      <c r="DB258" s="24">
        <v>72</v>
      </c>
      <c r="DC258" s="25">
        <v>254.3</v>
      </c>
      <c r="DD258" s="24">
        <v>100</v>
      </c>
      <c r="DE258" s="25">
        <v>-20.53</v>
      </c>
      <c r="DF258" s="23">
        <v>-7.47</v>
      </c>
      <c r="DG258" s="25">
        <v>501.88</v>
      </c>
      <c r="DH258" s="24">
        <v>100</v>
      </c>
      <c r="DI258" s="25">
        <v>255.22</v>
      </c>
      <c r="DJ258" s="24">
        <v>99</v>
      </c>
      <c r="DK258" s="25">
        <v>992.34</v>
      </c>
      <c r="DL258" s="24">
        <v>100</v>
      </c>
      <c r="DM258" s="25">
        <v>11.41</v>
      </c>
      <c r="DN258" s="24">
        <v>90</v>
      </c>
      <c r="DO258" s="25">
        <v>255.22</v>
      </c>
      <c r="DP258" s="24">
        <v>99</v>
      </c>
      <c r="DQ258" s="24">
        <v>342245</v>
      </c>
      <c r="DR258" s="26">
        <v>-5613</v>
      </c>
      <c r="DS258" s="23">
        <v>-1.61</v>
      </c>
      <c r="DT258" s="24">
        <v>331</v>
      </c>
      <c r="DU258" s="26">
        <v>-1</v>
      </c>
      <c r="DV258" s="23">
        <v>-0.3</v>
      </c>
      <c r="DW258" s="24">
        <v>91310</v>
      </c>
      <c r="DX258" s="27">
        <v>151</v>
      </c>
      <c r="DY258" s="23">
        <v>0.17</v>
      </c>
      <c r="DZ258" s="15" t="s">
        <v>178</v>
      </c>
      <c r="EA258" s="22">
        <v>43622</v>
      </c>
      <c r="EB258" s="17">
        <v>47.97</v>
      </c>
      <c r="EC258" s="22">
        <v>41894</v>
      </c>
      <c r="ED258" s="15" t="s">
        <v>205</v>
      </c>
      <c r="EE258" s="14" t="str">
        <f>HYPERLINK("https://my.pitchbook.com?c=56126-89", "View company online")</f>
        <v>View company online</v>
      </c>
    </row>
    <row r="259" spans="1:135">
      <c r="A259" s="28" t="s">
        <v>5647</v>
      </c>
      <c r="B259" s="28" t="s">
        <v>5648</v>
      </c>
      <c r="C259" s="28" t="s">
        <v>138</v>
      </c>
      <c r="D259" s="28" t="s">
        <v>138</v>
      </c>
      <c r="E259" s="28" t="s">
        <v>5649</v>
      </c>
      <c r="F259" s="28" t="s">
        <v>5647</v>
      </c>
      <c r="G259" s="28" t="s">
        <v>5650</v>
      </c>
      <c r="H259" s="28" t="s">
        <v>322</v>
      </c>
      <c r="I259" s="28" t="s">
        <v>323</v>
      </c>
      <c r="J259" s="28" t="s">
        <v>954</v>
      </c>
      <c r="K259" s="28" t="s">
        <v>5651</v>
      </c>
      <c r="L259" s="28" t="s">
        <v>5652</v>
      </c>
      <c r="M259" s="28" t="s">
        <v>5653</v>
      </c>
      <c r="N259" s="28" t="s">
        <v>1452</v>
      </c>
      <c r="O259" s="29">
        <v>17</v>
      </c>
      <c r="P259" s="28" t="s">
        <v>148</v>
      </c>
      <c r="Q259" s="28" t="s">
        <v>149</v>
      </c>
      <c r="R259" s="28" t="s">
        <v>328</v>
      </c>
      <c r="S259" s="28" t="s">
        <v>5654</v>
      </c>
      <c r="T259" s="30">
        <v>7</v>
      </c>
      <c r="U259" s="28" t="s">
        <v>5655</v>
      </c>
      <c r="V259" s="28" t="s">
        <v>138</v>
      </c>
      <c r="W259" s="28" t="s">
        <v>138</v>
      </c>
      <c r="X259" s="31">
        <v>2014</v>
      </c>
      <c r="Y259" s="28" t="s">
        <v>138</v>
      </c>
      <c r="Z259" s="28" t="s">
        <v>138</v>
      </c>
      <c r="AA259" s="28" t="s">
        <v>138</v>
      </c>
      <c r="AB259" s="32" t="s">
        <v>138</v>
      </c>
      <c r="AC259" s="32" t="s">
        <v>138</v>
      </c>
      <c r="AD259" s="32" t="s">
        <v>138</v>
      </c>
      <c r="AE259" s="32" t="s">
        <v>138</v>
      </c>
      <c r="AF259" s="32" t="s">
        <v>138</v>
      </c>
      <c r="AG259" s="28" t="s">
        <v>138</v>
      </c>
      <c r="AH259" s="32" t="s">
        <v>138</v>
      </c>
      <c r="AI259" s="32" t="s">
        <v>138</v>
      </c>
      <c r="AJ259" s="32" t="s">
        <v>138</v>
      </c>
      <c r="AK259" s="28" t="s">
        <v>5656</v>
      </c>
      <c r="AL259" s="28" t="s">
        <v>5657</v>
      </c>
      <c r="AM259" s="28" t="s">
        <v>5658</v>
      </c>
      <c r="AN259" s="28" t="s">
        <v>5659</v>
      </c>
      <c r="AO259" s="28" t="s">
        <v>5660</v>
      </c>
      <c r="AP259" s="28" t="s">
        <v>3136</v>
      </c>
      <c r="AQ259" s="28" t="s">
        <v>5661</v>
      </c>
      <c r="AR259" s="28" t="s">
        <v>5662</v>
      </c>
      <c r="AS259" s="28" t="s">
        <v>3139</v>
      </c>
      <c r="AT259" s="28" t="s">
        <v>3140</v>
      </c>
      <c r="AU259" s="28" t="s">
        <v>3141</v>
      </c>
      <c r="AV259" s="28" t="s">
        <v>162</v>
      </c>
      <c r="AW259" s="28" t="s">
        <v>5660</v>
      </c>
      <c r="AX259" s="28" t="s">
        <v>138</v>
      </c>
      <c r="AY259" s="28" t="s">
        <v>5663</v>
      </c>
      <c r="AZ259" s="28" t="s">
        <v>164</v>
      </c>
      <c r="BA259" s="28" t="s">
        <v>165</v>
      </c>
      <c r="BB259" s="28" t="s">
        <v>5664</v>
      </c>
      <c r="BC259" s="28" t="s">
        <v>5665</v>
      </c>
      <c r="BD259" s="33">
        <v>18</v>
      </c>
      <c r="BE259" s="28" t="s">
        <v>138</v>
      </c>
      <c r="BF259" s="28" t="s">
        <v>138</v>
      </c>
      <c r="BG259" s="28" t="s">
        <v>138</v>
      </c>
      <c r="BH259" s="28" t="s">
        <v>5666</v>
      </c>
      <c r="BI259" s="28" t="s">
        <v>138</v>
      </c>
      <c r="BJ259" s="28" t="s">
        <v>138</v>
      </c>
      <c r="BK259" s="28" t="s">
        <v>138</v>
      </c>
      <c r="BL259" s="28" t="s">
        <v>138</v>
      </c>
      <c r="BM259" s="34">
        <v>42643</v>
      </c>
      <c r="BN259" s="29">
        <v>7.5</v>
      </c>
      <c r="BO259" s="28" t="s">
        <v>172</v>
      </c>
      <c r="BP259" s="29">
        <v>46</v>
      </c>
      <c r="BQ259" s="28" t="s">
        <v>172</v>
      </c>
      <c r="BR259" s="28" t="s">
        <v>205</v>
      </c>
      <c r="BS259" s="28" t="s">
        <v>206</v>
      </c>
      <c r="BT259" s="28" t="s">
        <v>138</v>
      </c>
      <c r="BU259" s="28" t="s">
        <v>174</v>
      </c>
      <c r="BV259" s="28" t="s">
        <v>138</v>
      </c>
      <c r="BW259" s="28" t="s">
        <v>138</v>
      </c>
      <c r="BX259" s="28" t="s">
        <v>138</v>
      </c>
      <c r="BY259" s="28" t="s">
        <v>175</v>
      </c>
      <c r="BZ259" s="34">
        <v>43432</v>
      </c>
      <c r="CA259" s="29">
        <v>9.5</v>
      </c>
      <c r="CB259" s="28" t="s">
        <v>172</v>
      </c>
      <c r="CC259" s="29" t="s">
        <v>138</v>
      </c>
      <c r="CD259" s="28" t="s">
        <v>138</v>
      </c>
      <c r="CE259" s="28" t="s">
        <v>1673</v>
      </c>
      <c r="CF259" s="28" t="s">
        <v>138</v>
      </c>
      <c r="CG259" s="28" t="s">
        <v>138</v>
      </c>
      <c r="CH259" s="28" t="s">
        <v>351</v>
      </c>
      <c r="CI259" s="28" t="s">
        <v>138</v>
      </c>
      <c r="CJ259" s="28" t="s">
        <v>138</v>
      </c>
      <c r="CK259" s="28" t="s">
        <v>138</v>
      </c>
      <c r="CL259" s="28" t="s">
        <v>175</v>
      </c>
      <c r="CM259" s="34" t="s">
        <v>138</v>
      </c>
      <c r="CN259" s="29" t="s">
        <v>138</v>
      </c>
      <c r="CO259" s="35">
        <v>1.85</v>
      </c>
      <c r="CP259" s="36">
        <v>99</v>
      </c>
      <c r="CQ259" s="35">
        <v>0.01</v>
      </c>
      <c r="CR259" s="35">
        <v>0.56999999999999995</v>
      </c>
      <c r="CS259" s="35">
        <v>2.38</v>
      </c>
      <c r="CT259" s="36">
        <v>99</v>
      </c>
      <c r="CU259" s="35">
        <v>1.31</v>
      </c>
      <c r="CV259" s="36">
        <v>99</v>
      </c>
      <c r="CW259" s="35">
        <v>2.38</v>
      </c>
      <c r="CX259" s="36">
        <v>89</v>
      </c>
      <c r="CY259" s="35" t="s">
        <v>138</v>
      </c>
      <c r="CZ259" s="36" t="s">
        <v>138</v>
      </c>
      <c r="DA259" s="35">
        <v>1.31</v>
      </c>
      <c r="DB259" s="36">
        <v>99</v>
      </c>
      <c r="DC259" s="37">
        <v>408.18</v>
      </c>
      <c r="DD259" s="36">
        <v>100</v>
      </c>
      <c r="DE259" s="37">
        <v>-51.71</v>
      </c>
      <c r="DF259" s="35">
        <v>-11.24</v>
      </c>
      <c r="DG259" s="37">
        <v>807</v>
      </c>
      <c r="DH259" s="36">
        <v>100</v>
      </c>
      <c r="DI259" s="37">
        <v>9.3699999999999992</v>
      </c>
      <c r="DJ259" s="36">
        <v>84</v>
      </c>
      <c r="DK259" s="37">
        <v>807</v>
      </c>
      <c r="DL259" s="36">
        <v>100</v>
      </c>
      <c r="DM259" s="37" t="s">
        <v>138</v>
      </c>
      <c r="DN259" s="36" t="s">
        <v>138</v>
      </c>
      <c r="DO259" s="37">
        <v>9.3699999999999992</v>
      </c>
      <c r="DP259" s="36">
        <v>87</v>
      </c>
      <c r="DQ259" s="36">
        <v>278372</v>
      </c>
      <c r="DR259" s="38">
        <v>-4713</v>
      </c>
      <c r="DS259" s="35">
        <v>-1.66</v>
      </c>
      <c r="DT259" s="36" t="s">
        <v>138</v>
      </c>
      <c r="DU259" s="38" t="s">
        <v>138</v>
      </c>
      <c r="DV259" s="35" t="s">
        <v>138</v>
      </c>
      <c r="DW259" s="36">
        <v>3341</v>
      </c>
      <c r="DX259" s="39">
        <v>31</v>
      </c>
      <c r="DY259" s="35">
        <v>0.94</v>
      </c>
      <c r="DZ259" s="28" t="s">
        <v>178</v>
      </c>
      <c r="EA259" s="34">
        <v>43551</v>
      </c>
      <c r="EB259" s="29">
        <v>46</v>
      </c>
      <c r="EC259" s="34">
        <v>42643</v>
      </c>
      <c r="ED259" s="28" t="s">
        <v>205</v>
      </c>
      <c r="EE259" s="40" t="str">
        <f>HYPERLINK("https://my.pitchbook.com?c=149724-46", "View company online")</f>
        <v>View company online</v>
      </c>
    </row>
    <row r="260" spans="1:135">
      <c r="A260" s="15" t="s">
        <v>5667</v>
      </c>
      <c r="B260" s="15" t="s">
        <v>5668</v>
      </c>
      <c r="C260" s="15" t="s">
        <v>138</v>
      </c>
      <c r="D260" s="15" t="s">
        <v>138</v>
      </c>
      <c r="E260" s="15" t="s">
        <v>138</v>
      </c>
      <c r="F260" s="15" t="s">
        <v>5667</v>
      </c>
      <c r="G260" s="15" t="s">
        <v>5669</v>
      </c>
      <c r="H260" s="15" t="s">
        <v>322</v>
      </c>
      <c r="I260" s="15" t="s">
        <v>323</v>
      </c>
      <c r="J260" s="15" t="s">
        <v>1184</v>
      </c>
      <c r="K260" s="15" t="s">
        <v>5670</v>
      </c>
      <c r="L260" s="15" t="s">
        <v>5671</v>
      </c>
      <c r="M260" s="15" t="s">
        <v>5672</v>
      </c>
      <c r="N260" s="15" t="s">
        <v>147</v>
      </c>
      <c r="O260" s="17">
        <v>5.9</v>
      </c>
      <c r="P260" s="15" t="s">
        <v>610</v>
      </c>
      <c r="Q260" s="15" t="s">
        <v>149</v>
      </c>
      <c r="R260" s="15" t="s">
        <v>174</v>
      </c>
      <c r="S260" s="15" t="s">
        <v>5673</v>
      </c>
      <c r="T260" s="18" t="s">
        <v>138</v>
      </c>
      <c r="U260" s="15" t="s">
        <v>138</v>
      </c>
      <c r="V260" s="15" t="s">
        <v>138</v>
      </c>
      <c r="W260" s="15" t="s">
        <v>138</v>
      </c>
      <c r="X260" s="19">
        <v>2015</v>
      </c>
      <c r="Y260" s="15" t="s">
        <v>138</v>
      </c>
      <c r="Z260" s="15" t="s">
        <v>138</v>
      </c>
      <c r="AA260" s="15" t="s">
        <v>138</v>
      </c>
      <c r="AB260" s="20" t="s">
        <v>138</v>
      </c>
      <c r="AC260" s="20" t="s">
        <v>138</v>
      </c>
      <c r="AD260" s="20" t="s">
        <v>138</v>
      </c>
      <c r="AE260" s="20" t="s">
        <v>138</v>
      </c>
      <c r="AF260" s="20" t="s">
        <v>138</v>
      </c>
      <c r="AG260" s="15" t="s">
        <v>138</v>
      </c>
      <c r="AH260" s="20" t="s">
        <v>138</v>
      </c>
      <c r="AI260" s="20" t="s">
        <v>138</v>
      </c>
      <c r="AJ260" s="20" t="s">
        <v>138</v>
      </c>
      <c r="AK260" s="15" t="s">
        <v>5674</v>
      </c>
      <c r="AL260" s="15" t="s">
        <v>5675</v>
      </c>
      <c r="AM260" s="15" t="s">
        <v>365</v>
      </c>
      <c r="AN260" s="15" t="s">
        <v>5676</v>
      </c>
      <c r="AO260" s="15" t="s">
        <v>5677</v>
      </c>
      <c r="AP260" s="15" t="s">
        <v>1195</v>
      </c>
      <c r="AQ260" s="15" t="s">
        <v>5678</v>
      </c>
      <c r="AR260" s="15" t="s">
        <v>5679</v>
      </c>
      <c r="AS260" s="15" t="s">
        <v>1198</v>
      </c>
      <c r="AT260" s="15" t="s">
        <v>138</v>
      </c>
      <c r="AU260" s="15" t="s">
        <v>5680</v>
      </c>
      <c r="AV260" s="15" t="s">
        <v>1200</v>
      </c>
      <c r="AW260" s="15" t="s">
        <v>5677</v>
      </c>
      <c r="AX260" s="15" t="s">
        <v>138</v>
      </c>
      <c r="AY260" s="15" t="s">
        <v>5681</v>
      </c>
      <c r="AZ260" s="15" t="s">
        <v>452</v>
      </c>
      <c r="BA260" s="15" t="s">
        <v>453</v>
      </c>
      <c r="BB260" s="15" t="s">
        <v>5682</v>
      </c>
      <c r="BC260" s="15" t="s">
        <v>5683</v>
      </c>
      <c r="BD260" s="21">
        <v>2</v>
      </c>
      <c r="BE260" s="15" t="s">
        <v>138</v>
      </c>
      <c r="BF260" s="15" t="s">
        <v>138</v>
      </c>
      <c r="BG260" s="15" t="s">
        <v>138</v>
      </c>
      <c r="BH260" s="15" t="s">
        <v>5684</v>
      </c>
      <c r="BI260" s="15" t="s">
        <v>138</v>
      </c>
      <c r="BJ260" s="15" t="s">
        <v>138</v>
      </c>
      <c r="BK260" s="15" t="s">
        <v>138</v>
      </c>
      <c r="BL260" s="15" t="s">
        <v>138</v>
      </c>
      <c r="BM260" s="22">
        <v>42186</v>
      </c>
      <c r="BN260" s="17">
        <v>1.9</v>
      </c>
      <c r="BO260" s="15" t="s">
        <v>172</v>
      </c>
      <c r="BP260" s="17" t="s">
        <v>138</v>
      </c>
      <c r="BQ260" s="15" t="s">
        <v>138</v>
      </c>
      <c r="BR260" s="15" t="s">
        <v>205</v>
      </c>
      <c r="BS260" s="15" t="s">
        <v>138</v>
      </c>
      <c r="BT260" s="15" t="s">
        <v>138</v>
      </c>
      <c r="BU260" s="15" t="s">
        <v>174</v>
      </c>
      <c r="BV260" s="15" t="s">
        <v>138</v>
      </c>
      <c r="BW260" s="15" t="s">
        <v>138</v>
      </c>
      <c r="BX260" s="15" t="s">
        <v>138</v>
      </c>
      <c r="BY260" s="15" t="s">
        <v>175</v>
      </c>
      <c r="BZ260" s="22">
        <v>42941</v>
      </c>
      <c r="CA260" s="17">
        <v>4</v>
      </c>
      <c r="CB260" s="15" t="s">
        <v>172</v>
      </c>
      <c r="CC260" s="17" t="s">
        <v>138</v>
      </c>
      <c r="CD260" s="15" t="s">
        <v>138</v>
      </c>
      <c r="CE260" s="15" t="s">
        <v>205</v>
      </c>
      <c r="CF260" s="15" t="s">
        <v>720</v>
      </c>
      <c r="CG260" s="15" t="s">
        <v>138</v>
      </c>
      <c r="CH260" s="15" t="s">
        <v>174</v>
      </c>
      <c r="CI260" s="15" t="s">
        <v>138</v>
      </c>
      <c r="CJ260" s="15" t="s">
        <v>138</v>
      </c>
      <c r="CK260" s="15" t="s">
        <v>138</v>
      </c>
      <c r="CL260" s="15" t="s">
        <v>175</v>
      </c>
      <c r="CM260" s="22" t="s">
        <v>138</v>
      </c>
      <c r="CN260" s="17" t="s">
        <v>138</v>
      </c>
      <c r="CO260" s="23">
        <v>0</v>
      </c>
      <c r="CP260" s="24">
        <v>26</v>
      </c>
      <c r="CQ260" s="23">
        <v>0</v>
      </c>
      <c r="CR260" s="23">
        <v>0</v>
      </c>
      <c r="CS260" s="23">
        <v>0</v>
      </c>
      <c r="CT260" s="24">
        <v>23</v>
      </c>
      <c r="CU260" s="23">
        <v>0</v>
      </c>
      <c r="CV260" s="24">
        <v>22</v>
      </c>
      <c r="CW260" s="23" t="s">
        <v>138</v>
      </c>
      <c r="CX260" s="24" t="s">
        <v>138</v>
      </c>
      <c r="CY260" s="23">
        <v>0</v>
      </c>
      <c r="CZ260" s="24">
        <v>25</v>
      </c>
      <c r="DA260" s="23">
        <v>0</v>
      </c>
      <c r="DB260" s="24">
        <v>22</v>
      </c>
      <c r="DC260" s="25">
        <v>7.0000000000000007E-2</v>
      </c>
      <c r="DD260" s="24">
        <v>4</v>
      </c>
      <c r="DE260" s="25">
        <v>0</v>
      </c>
      <c r="DF260" s="23">
        <v>2.4500000000000002</v>
      </c>
      <c r="DG260" s="25">
        <v>0.03</v>
      </c>
      <c r="DH260" s="24">
        <v>1</v>
      </c>
      <c r="DI260" s="25">
        <v>0.11</v>
      </c>
      <c r="DJ260" s="24">
        <v>15</v>
      </c>
      <c r="DK260" s="25" t="s">
        <v>138</v>
      </c>
      <c r="DL260" s="24" t="s">
        <v>138</v>
      </c>
      <c r="DM260" s="25">
        <v>0.03</v>
      </c>
      <c r="DN260" s="24">
        <v>1</v>
      </c>
      <c r="DO260" s="25">
        <v>0.11</v>
      </c>
      <c r="DP260" s="24">
        <v>17</v>
      </c>
      <c r="DQ260" s="24" t="s">
        <v>138</v>
      </c>
      <c r="DR260" s="26" t="s">
        <v>138</v>
      </c>
      <c r="DS260" s="23" t="s">
        <v>138</v>
      </c>
      <c r="DT260" s="24">
        <v>1</v>
      </c>
      <c r="DU260" s="26">
        <v>0</v>
      </c>
      <c r="DV260" s="23">
        <v>0</v>
      </c>
      <c r="DW260" s="24">
        <v>37</v>
      </c>
      <c r="DX260" s="27">
        <v>1</v>
      </c>
      <c r="DY260" s="23">
        <v>2.78</v>
      </c>
      <c r="DZ260" s="15" t="s">
        <v>178</v>
      </c>
      <c r="EA260" s="22">
        <v>43622</v>
      </c>
      <c r="EB260" s="17" t="s">
        <v>138</v>
      </c>
      <c r="EC260" s="22" t="s">
        <v>138</v>
      </c>
      <c r="ED260" s="15" t="s">
        <v>138</v>
      </c>
      <c r="EE260" s="14" t="str">
        <f>HYPERLINK("https://my.pitchbook.com?c=126496-36", "View company online")</f>
        <v>View company online</v>
      </c>
    </row>
    <row r="261" spans="1:135">
      <c r="A261" s="28" t="s">
        <v>5685</v>
      </c>
      <c r="B261" s="28" t="s">
        <v>5686</v>
      </c>
      <c r="C261" s="28" t="s">
        <v>138</v>
      </c>
      <c r="D261" s="28" t="s">
        <v>138</v>
      </c>
      <c r="E261" s="28" t="s">
        <v>138</v>
      </c>
      <c r="F261" s="28" t="s">
        <v>5685</v>
      </c>
      <c r="G261" s="28" t="s">
        <v>5687</v>
      </c>
      <c r="H261" s="28" t="s">
        <v>890</v>
      </c>
      <c r="I261" s="28" t="s">
        <v>5099</v>
      </c>
      <c r="J261" s="28" t="s">
        <v>5688</v>
      </c>
      <c r="K261" s="28" t="s">
        <v>5689</v>
      </c>
      <c r="L261" s="28" t="s">
        <v>138</v>
      </c>
      <c r="M261" s="28" t="s">
        <v>5690</v>
      </c>
      <c r="N261" s="28" t="s">
        <v>147</v>
      </c>
      <c r="O261" s="29">
        <v>110</v>
      </c>
      <c r="P261" s="28" t="s">
        <v>610</v>
      </c>
      <c r="Q261" s="28" t="s">
        <v>149</v>
      </c>
      <c r="R261" s="28" t="s">
        <v>174</v>
      </c>
      <c r="S261" s="28" t="s">
        <v>5691</v>
      </c>
      <c r="T261" s="30">
        <v>9</v>
      </c>
      <c r="U261" s="28" t="s">
        <v>4748</v>
      </c>
      <c r="V261" s="28" t="s">
        <v>138</v>
      </c>
      <c r="W261" s="28" t="s">
        <v>138</v>
      </c>
      <c r="X261" s="31">
        <v>2015</v>
      </c>
      <c r="Y261" s="28" t="s">
        <v>138</v>
      </c>
      <c r="Z261" s="28" t="s">
        <v>138</v>
      </c>
      <c r="AA261" s="28" t="s">
        <v>138</v>
      </c>
      <c r="AB261" s="32" t="s">
        <v>138</v>
      </c>
      <c r="AC261" s="32" t="s">
        <v>138</v>
      </c>
      <c r="AD261" s="32" t="s">
        <v>138</v>
      </c>
      <c r="AE261" s="32" t="s">
        <v>138</v>
      </c>
      <c r="AF261" s="32" t="s">
        <v>138</v>
      </c>
      <c r="AG261" s="28" t="s">
        <v>138</v>
      </c>
      <c r="AH261" s="32" t="s">
        <v>138</v>
      </c>
      <c r="AI261" s="32" t="s">
        <v>138</v>
      </c>
      <c r="AJ261" s="32" t="s">
        <v>138</v>
      </c>
      <c r="AK261" s="28" t="s">
        <v>5692</v>
      </c>
      <c r="AL261" s="28" t="s">
        <v>5693</v>
      </c>
      <c r="AM261" s="28" t="s">
        <v>5694</v>
      </c>
      <c r="AN261" s="28" t="s">
        <v>5695</v>
      </c>
      <c r="AO261" s="28" t="s">
        <v>5696</v>
      </c>
      <c r="AP261" s="28" t="s">
        <v>5697</v>
      </c>
      <c r="AQ261" s="28" t="s">
        <v>5698</v>
      </c>
      <c r="AR261" s="28" t="s">
        <v>5699</v>
      </c>
      <c r="AS261" s="28" t="s">
        <v>5700</v>
      </c>
      <c r="AT261" s="28" t="s">
        <v>138</v>
      </c>
      <c r="AU261" s="28" t="s">
        <v>138</v>
      </c>
      <c r="AV261" s="28" t="s">
        <v>740</v>
      </c>
      <c r="AW261" s="28" t="s">
        <v>5696</v>
      </c>
      <c r="AX261" s="28" t="s">
        <v>138</v>
      </c>
      <c r="AY261" s="28" t="s">
        <v>5701</v>
      </c>
      <c r="AZ261" s="28" t="s">
        <v>742</v>
      </c>
      <c r="BA261" s="28" t="s">
        <v>742</v>
      </c>
      <c r="BB261" s="28" t="s">
        <v>5702</v>
      </c>
      <c r="BC261" s="28" t="s">
        <v>5703</v>
      </c>
      <c r="BD261" s="33">
        <v>1</v>
      </c>
      <c r="BE261" s="28" t="s">
        <v>138</v>
      </c>
      <c r="BF261" s="28" t="s">
        <v>138</v>
      </c>
      <c r="BG261" s="28" t="s">
        <v>138</v>
      </c>
      <c r="BH261" s="28" t="s">
        <v>138</v>
      </c>
      <c r="BI261" s="28" t="s">
        <v>138</v>
      </c>
      <c r="BJ261" s="28" t="s">
        <v>138</v>
      </c>
      <c r="BK261" s="28" t="s">
        <v>138</v>
      </c>
      <c r="BL261" s="28" t="s">
        <v>138</v>
      </c>
      <c r="BM261" s="34">
        <v>42423</v>
      </c>
      <c r="BN261" s="29">
        <v>110</v>
      </c>
      <c r="BO261" s="28" t="s">
        <v>172</v>
      </c>
      <c r="BP261" s="29" t="s">
        <v>138</v>
      </c>
      <c r="BQ261" s="28" t="s">
        <v>138</v>
      </c>
      <c r="BR261" s="28" t="s">
        <v>205</v>
      </c>
      <c r="BS261" s="28" t="s">
        <v>138</v>
      </c>
      <c r="BT261" s="28" t="s">
        <v>138</v>
      </c>
      <c r="BU261" s="28" t="s">
        <v>174</v>
      </c>
      <c r="BV261" s="28" t="s">
        <v>138</v>
      </c>
      <c r="BW261" s="28" t="s">
        <v>138</v>
      </c>
      <c r="BX261" s="28" t="s">
        <v>138</v>
      </c>
      <c r="BY261" s="28" t="s">
        <v>175</v>
      </c>
      <c r="BZ261" s="34">
        <v>42546</v>
      </c>
      <c r="CA261" s="29" t="s">
        <v>138</v>
      </c>
      <c r="CB261" s="28" t="s">
        <v>138</v>
      </c>
      <c r="CC261" s="29" t="s">
        <v>138</v>
      </c>
      <c r="CD261" s="28" t="s">
        <v>138</v>
      </c>
      <c r="CE261" s="28" t="s">
        <v>205</v>
      </c>
      <c r="CF261" s="28" t="s">
        <v>138</v>
      </c>
      <c r="CG261" s="28" t="s">
        <v>138</v>
      </c>
      <c r="CH261" s="28" t="s">
        <v>174</v>
      </c>
      <c r="CI261" s="28" t="s">
        <v>138</v>
      </c>
      <c r="CJ261" s="28" t="s">
        <v>138</v>
      </c>
      <c r="CK261" s="28" t="s">
        <v>138</v>
      </c>
      <c r="CL261" s="28" t="s">
        <v>175</v>
      </c>
      <c r="CM261" s="34" t="s">
        <v>138</v>
      </c>
      <c r="CN261" s="29" t="s">
        <v>138</v>
      </c>
      <c r="CO261" s="35">
        <v>0.37</v>
      </c>
      <c r="CP261" s="36">
        <v>94</v>
      </c>
      <c r="CQ261" s="35">
        <v>0.11</v>
      </c>
      <c r="CR261" s="35">
        <v>42.17</v>
      </c>
      <c r="CS261" s="35">
        <v>0</v>
      </c>
      <c r="CT261" s="36">
        <v>23</v>
      </c>
      <c r="CU261" s="35">
        <v>0.73</v>
      </c>
      <c r="CV261" s="36">
        <v>96</v>
      </c>
      <c r="CW261" s="35" t="s">
        <v>138</v>
      </c>
      <c r="CX261" s="36" t="s">
        <v>138</v>
      </c>
      <c r="CY261" s="35">
        <v>0</v>
      </c>
      <c r="CZ261" s="36">
        <v>25</v>
      </c>
      <c r="DA261" s="35">
        <v>0.73</v>
      </c>
      <c r="DB261" s="36">
        <v>97</v>
      </c>
      <c r="DC261" s="37">
        <v>1.44</v>
      </c>
      <c r="DD261" s="36">
        <v>60</v>
      </c>
      <c r="DE261" s="37">
        <v>-0.01</v>
      </c>
      <c r="DF261" s="35">
        <v>-1</v>
      </c>
      <c r="DG261" s="37">
        <v>2.38</v>
      </c>
      <c r="DH261" s="36">
        <v>70</v>
      </c>
      <c r="DI261" s="37">
        <v>0.5</v>
      </c>
      <c r="DJ261" s="36">
        <v>36</v>
      </c>
      <c r="DK261" s="37" t="s">
        <v>138</v>
      </c>
      <c r="DL261" s="36" t="s">
        <v>138</v>
      </c>
      <c r="DM261" s="37">
        <v>2.38</v>
      </c>
      <c r="DN261" s="36">
        <v>69</v>
      </c>
      <c r="DO261" s="37">
        <v>0.5</v>
      </c>
      <c r="DP261" s="36">
        <v>38</v>
      </c>
      <c r="DQ261" s="36" t="s">
        <v>138</v>
      </c>
      <c r="DR261" s="38" t="s">
        <v>138</v>
      </c>
      <c r="DS261" s="35" t="s">
        <v>138</v>
      </c>
      <c r="DT261" s="36">
        <v>69</v>
      </c>
      <c r="DU261" s="38">
        <v>-1</v>
      </c>
      <c r="DV261" s="35">
        <v>-1.43</v>
      </c>
      <c r="DW261" s="36">
        <v>177</v>
      </c>
      <c r="DX261" s="39">
        <v>2</v>
      </c>
      <c r="DY261" s="35">
        <v>1.1399999999999999</v>
      </c>
      <c r="DZ261" s="28" t="s">
        <v>178</v>
      </c>
      <c r="EA261" s="34">
        <v>43622</v>
      </c>
      <c r="EB261" s="29" t="s">
        <v>138</v>
      </c>
      <c r="EC261" s="34" t="s">
        <v>138</v>
      </c>
      <c r="ED261" s="28" t="s">
        <v>138</v>
      </c>
      <c r="EE261" s="40" t="str">
        <f>HYPERLINK("https://my.pitchbook.com?c=120589-93", "View company online")</f>
        <v>View company online</v>
      </c>
    </row>
    <row r="262" spans="1:135">
      <c r="A262" s="15" t="s">
        <v>5704</v>
      </c>
      <c r="B262" s="15" t="s">
        <v>5705</v>
      </c>
      <c r="C262" s="15" t="s">
        <v>138</v>
      </c>
      <c r="D262" s="15" t="s">
        <v>5706</v>
      </c>
      <c r="E262" s="15" t="s">
        <v>5707</v>
      </c>
      <c r="F262" s="15" t="s">
        <v>5704</v>
      </c>
      <c r="G262" s="15" t="s">
        <v>5708</v>
      </c>
      <c r="H262" s="15" t="s">
        <v>322</v>
      </c>
      <c r="I262" s="15" t="s">
        <v>323</v>
      </c>
      <c r="J262" s="15" t="s">
        <v>413</v>
      </c>
      <c r="K262" s="15" t="s">
        <v>5709</v>
      </c>
      <c r="L262" s="15" t="s">
        <v>5412</v>
      </c>
      <c r="M262" s="15" t="s">
        <v>5710</v>
      </c>
      <c r="N262" s="15" t="s">
        <v>147</v>
      </c>
      <c r="O262" s="17" t="s">
        <v>138</v>
      </c>
      <c r="P262" s="15" t="s">
        <v>148</v>
      </c>
      <c r="Q262" s="15" t="s">
        <v>149</v>
      </c>
      <c r="R262" s="15" t="s">
        <v>174</v>
      </c>
      <c r="S262" s="15" t="s">
        <v>5711</v>
      </c>
      <c r="T262" s="18">
        <v>13</v>
      </c>
      <c r="U262" s="15" t="s">
        <v>5712</v>
      </c>
      <c r="V262" s="15" t="s">
        <v>138</v>
      </c>
      <c r="W262" s="15" t="s">
        <v>138</v>
      </c>
      <c r="X262" s="19">
        <v>2010</v>
      </c>
      <c r="Y262" s="15" t="s">
        <v>138</v>
      </c>
      <c r="Z262" s="15" t="s">
        <v>138</v>
      </c>
      <c r="AA262" s="15" t="s">
        <v>138</v>
      </c>
      <c r="AB262" s="20" t="s">
        <v>138</v>
      </c>
      <c r="AC262" s="20" t="s">
        <v>138</v>
      </c>
      <c r="AD262" s="20" t="s">
        <v>138</v>
      </c>
      <c r="AE262" s="20" t="s">
        <v>138</v>
      </c>
      <c r="AF262" s="20" t="s">
        <v>138</v>
      </c>
      <c r="AG262" s="15" t="s">
        <v>138</v>
      </c>
      <c r="AH262" s="20" t="s">
        <v>138</v>
      </c>
      <c r="AI262" s="20" t="s">
        <v>138</v>
      </c>
      <c r="AJ262" s="20" t="s">
        <v>138</v>
      </c>
      <c r="AK262" s="15" t="s">
        <v>5713</v>
      </c>
      <c r="AL262" s="15" t="s">
        <v>5714</v>
      </c>
      <c r="AM262" s="15" t="s">
        <v>5715</v>
      </c>
      <c r="AN262" s="15" t="s">
        <v>5716</v>
      </c>
      <c r="AO262" s="15" t="s">
        <v>5717</v>
      </c>
      <c r="AP262" s="15" t="s">
        <v>5718</v>
      </c>
      <c r="AQ262" s="15" t="s">
        <v>5719</v>
      </c>
      <c r="AR262" s="15" t="s">
        <v>138</v>
      </c>
      <c r="AS262" s="15" t="s">
        <v>5720</v>
      </c>
      <c r="AT262" s="15" t="s">
        <v>138</v>
      </c>
      <c r="AU262" s="15" t="s">
        <v>5721</v>
      </c>
      <c r="AV262" s="15" t="s">
        <v>946</v>
      </c>
      <c r="AW262" s="15" t="s">
        <v>5717</v>
      </c>
      <c r="AX262" s="15" t="s">
        <v>138</v>
      </c>
      <c r="AY262" s="15" t="s">
        <v>5722</v>
      </c>
      <c r="AZ262" s="15" t="s">
        <v>530</v>
      </c>
      <c r="BA262" s="15" t="s">
        <v>531</v>
      </c>
      <c r="BB262" s="15" t="s">
        <v>5723</v>
      </c>
      <c r="BC262" s="15" t="s">
        <v>5724</v>
      </c>
      <c r="BD262" s="21">
        <v>8</v>
      </c>
      <c r="BE262" s="15" t="s">
        <v>138</v>
      </c>
      <c r="BF262" s="15" t="s">
        <v>5725</v>
      </c>
      <c r="BG262" s="15" t="s">
        <v>138</v>
      </c>
      <c r="BH262" s="15" t="s">
        <v>5726</v>
      </c>
      <c r="BI262" s="15" t="s">
        <v>5727</v>
      </c>
      <c r="BJ262" s="15" t="s">
        <v>138</v>
      </c>
      <c r="BK262" s="15" t="s">
        <v>138</v>
      </c>
      <c r="BL262" s="15" t="s">
        <v>138</v>
      </c>
      <c r="BM262" s="22">
        <v>40766</v>
      </c>
      <c r="BN262" s="17" t="s">
        <v>138</v>
      </c>
      <c r="BO262" s="15" t="s">
        <v>138</v>
      </c>
      <c r="BP262" s="17" t="s">
        <v>138</v>
      </c>
      <c r="BQ262" s="15" t="s">
        <v>138</v>
      </c>
      <c r="BR262" s="15" t="s">
        <v>234</v>
      </c>
      <c r="BS262" s="15" t="s">
        <v>234</v>
      </c>
      <c r="BT262" s="15" t="s">
        <v>138</v>
      </c>
      <c r="BU262" s="15" t="s">
        <v>174</v>
      </c>
      <c r="BV262" s="15" t="s">
        <v>138</v>
      </c>
      <c r="BW262" s="15" t="s">
        <v>138</v>
      </c>
      <c r="BX262" s="15" t="s">
        <v>138</v>
      </c>
      <c r="BY262" s="15" t="s">
        <v>175</v>
      </c>
      <c r="BZ262" s="22">
        <v>42800</v>
      </c>
      <c r="CA262" s="17" t="s">
        <v>138</v>
      </c>
      <c r="CB262" s="15" t="s">
        <v>138</v>
      </c>
      <c r="CC262" s="17" t="s">
        <v>138</v>
      </c>
      <c r="CD262" s="15" t="s">
        <v>138</v>
      </c>
      <c r="CE262" s="15" t="s">
        <v>173</v>
      </c>
      <c r="CF262" s="15" t="s">
        <v>138</v>
      </c>
      <c r="CG262" s="15" t="s">
        <v>138</v>
      </c>
      <c r="CH262" s="15" t="s">
        <v>174</v>
      </c>
      <c r="CI262" s="15" t="s">
        <v>138</v>
      </c>
      <c r="CJ262" s="15" t="s">
        <v>138</v>
      </c>
      <c r="CK262" s="15" t="s">
        <v>138</v>
      </c>
      <c r="CL262" s="15" t="s">
        <v>175</v>
      </c>
      <c r="CM262" s="22" t="s">
        <v>138</v>
      </c>
      <c r="CN262" s="17" t="s">
        <v>138</v>
      </c>
      <c r="CO262" s="23">
        <v>-0.74</v>
      </c>
      <c r="CP262" s="24">
        <v>13</v>
      </c>
      <c r="CQ262" s="23">
        <v>-0.08</v>
      </c>
      <c r="CR262" s="23">
        <v>-11.58</v>
      </c>
      <c r="CS262" s="23">
        <v>-1.45</v>
      </c>
      <c r="CT262" s="24">
        <v>12</v>
      </c>
      <c r="CU262" s="23">
        <v>-0.03</v>
      </c>
      <c r="CV262" s="24">
        <v>14</v>
      </c>
      <c r="CW262" s="23" t="s">
        <v>138</v>
      </c>
      <c r="CX262" s="24" t="s">
        <v>138</v>
      </c>
      <c r="CY262" s="23">
        <v>-1.45</v>
      </c>
      <c r="CZ262" s="24">
        <v>15</v>
      </c>
      <c r="DA262" s="23">
        <v>-0.02</v>
      </c>
      <c r="DB262" s="24">
        <v>19</v>
      </c>
      <c r="DC262" s="25">
        <v>4.71</v>
      </c>
      <c r="DD262" s="24">
        <v>82</v>
      </c>
      <c r="DE262" s="25">
        <v>-0.05</v>
      </c>
      <c r="DF262" s="23">
        <v>-1.05</v>
      </c>
      <c r="DG262" s="25">
        <v>8.24</v>
      </c>
      <c r="DH262" s="24">
        <v>88</v>
      </c>
      <c r="DI262" s="25">
        <v>1.18</v>
      </c>
      <c r="DJ262" s="24">
        <v>52</v>
      </c>
      <c r="DK262" s="25" t="s">
        <v>138</v>
      </c>
      <c r="DL262" s="24" t="s">
        <v>138</v>
      </c>
      <c r="DM262" s="25">
        <v>8.24</v>
      </c>
      <c r="DN262" s="24">
        <v>87</v>
      </c>
      <c r="DO262" s="25">
        <v>1.42</v>
      </c>
      <c r="DP262" s="24">
        <v>57</v>
      </c>
      <c r="DQ262" s="24" t="s">
        <v>138</v>
      </c>
      <c r="DR262" s="26" t="s">
        <v>138</v>
      </c>
      <c r="DS262" s="23" t="s">
        <v>138</v>
      </c>
      <c r="DT262" s="24">
        <v>240</v>
      </c>
      <c r="DU262" s="26">
        <v>-3</v>
      </c>
      <c r="DV262" s="23">
        <v>-1.23</v>
      </c>
      <c r="DW262" s="24">
        <v>509</v>
      </c>
      <c r="DX262" s="27">
        <v>0</v>
      </c>
      <c r="DY262" s="23">
        <v>0</v>
      </c>
      <c r="DZ262" s="15" t="s">
        <v>178</v>
      </c>
      <c r="EA262" s="22">
        <v>43448</v>
      </c>
      <c r="EB262" s="17" t="s">
        <v>138</v>
      </c>
      <c r="EC262" s="22" t="s">
        <v>138</v>
      </c>
      <c r="ED262" s="15" t="s">
        <v>138</v>
      </c>
      <c r="EE262" s="14" t="str">
        <f>HYPERLINK("https://my.pitchbook.com?c=58239-37", "View company online")</f>
        <v>View company online</v>
      </c>
    </row>
    <row r="263" spans="1:135">
      <c r="A263" s="28" t="s">
        <v>5728</v>
      </c>
      <c r="B263" s="28" t="s">
        <v>5729</v>
      </c>
      <c r="C263" s="28" t="s">
        <v>138</v>
      </c>
      <c r="D263" s="28" t="s">
        <v>138</v>
      </c>
      <c r="E263" s="28" t="s">
        <v>5730</v>
      </c>
      <c r="F263" s="28" t="s">
        <v>5728</v>
      </c>
      <c r="G263" s="28" t="s">
        <v>5731</v>
      </c>
      <c r="H263" s="28" t="s">
        <v>238</v>
      </c>
      <c r="I263" s="28" t="s">
        <v>749</v>
      </c>
      <c r="J263" s="28" t="s">
        <v>4261</v>
      </c>
      <c r="K263" s="28" t="s">
        <v>5732</v>
      </c>
      <c r="L263" s="28" t="s">
        <v>752</v>
      </c>
      <c r="M263" s="28" t="s">
        <v>5733</v>
      </c>
      <c r="N263" s="28" t="s">
        <v>147</v>
      </c>
      <c r="O263" s="29">
        <v>3.45</v>
      </c>
      <c r="P263" s="28" t="s">
        <v>148</v>
      </c>
      <c r="Q263" s="28" t="s">
        <v>149</v>
      </c>
      <c r="R263" s="28" t="s">
        <v>174</v>
      </c>
      <c r="S263" s="28" t="s">
        <v>5734</v>
      </c>
      <c r="T263" s="30">
        <v>5</v>
      </c>
      <c r="U263" s="28" t="s">
        <v>3592</v>
      </c>
      <c r="V263" s="28" t="s">
        <v>138</v>
      </c>
      <c r="W263" s="28" t="s">
        <v>138</v>
      </c>
      <c r="X263" s="31">
        <v>2013</v>
      </c>
      <c r="Y263" s="28" t="s">
        <v>138</v>
      </c>
      <c r="Z263" s="28" t="s">
        <v>138</v>
      </c>
      <c r="AA263" s="28" t="s">
        <v>138</v>
      </c>
      <c r="AB263" s="32" t="s">
        <v>138</v>
      </c>
      <c r="AC263" s="32" t="s">
        <v>138</v>
      </c>
      <c r="AD263" s="32" t="s">
        <v>138</v>
      </c>
      <c r="AE263" s="32" t="s">
        <v>138</v>
      </c>
      <c r="AF263" s="32" t="s">
        <v>138</v>
      </c>
      <c r="AG263" s="28" t="s">
        <v>138</v>
      </c>
      <c r="AH263" s="32" t="s">
        <v>138</v>
      </c>
      <c r="AI263" s="32" t="s">
        <v>138</v>
      </c>
      <c r="AJ263" s="32" t="s">
        <v>138</v>
      </c>
      <c r="AK263" s="28" t="s">
        <v>5735</v>
      </c>
      <c r="AL263" s="28" t="s">
        <v>5736</v>
      </c>
      <c r="AM263" s="28" t="s">
        <v>5737</v>
      </c>
      <c r="AN263" s="28" t="s">
        <v>138</v>
      </c>
      <c r="AO263" s="28" t="s">
        <v>5738</v>
      </c>
      <c r="AP263" s="28" t="s">
        <v>423</v>
      </c>
      <c r="AQ263" s="28" t="s">
        <v>5739</v>
      </c>
      <c r="AR263" s="28" t="s">
        <v>618</v>
      </c>
      <c r="AS263" s="28" t="s">
        <v>426</v>
      </c>
      <c r="AT263" s="28" t="s">
        <v>426</v>
      </c>
      <c r="AU263" s="28" t="s">
        <v>1074</v>
      </c>
      <c r="AV263" s="28" t="s">
        <v>162</v>
      </c>
      <c r="AW263" s="28" t="s">
        <v>5738</v>
      </c>
      <c r="AX263" s="28" t="s">
        <v>138</v>
      </c>
      <c r="AY263" s="28" t="s">
        <v>5740</v>
      </c>
      <c r="AZ263" s="28" t="s">
        <v>164</v>
      </c>
      <c r="BA263" s="28" t="s">
        <v>165</v>
      </c>
      <c r="BB263" s="28" t="s">
        <v>5741</v>
      </c>
      <c r="BC263" s="28" t="s">
        <v>5742</v>
      </c>
      <c r="BD263" s="33">
        <v>2</v>
      </c>
      <c r="BE263" s="28" t="s">
        <v>138</v>
      </c>
      <c r="BF263" s="28" t="s">
        <v>138</v>
      </c>
      <c r="BG263" s="28" t="s">
        <v>138</v>
      </c>
      <c r="BH263" s="28" t="s">
        <v>5743</v>
      </c>
      <c r="BI263" s="28" t="s">
        <v>138</v>
      </c>
      <c r="BJ263" s="28" t="s">
        <v>138</v>
      </c>
      <c r="BK263" s="28" t="s">
        <v>5744</v>
      </c>
      <c r="BL263" s="28" t="s">
        <v>138</v>
      </c>
      <c r="BM263" s="34">
        <v>42458</v>
      </c>
      <c r="BN263" s="29">
        <v>1.25</v>
      </c>
      <c r="BO263" s="28" t="s">
        <v>172</v>
      </c>
      <c r="BP263" s="29" t="s">
        <v>138</v>
      </c>
      <c r="BQ263" s="28" t="s">
        <v>138</v>
      </c>
      <c r="BR263" s="28" t="s">
        <v>205</v>
      </c>
      <c r="BS263" s="28" t="s">
        <v>206</v>
      </c>
      <c r="BT263" s="28" t="s">
        <v>138</v>
      </c>
      <c r="BU263" s="28" t="s">
        <v>174</v>
      </c>
      <c r="BV263" s="28" t="s">
        <v>138</v>
      </c>
      <c r="BW263" s="28" t="s">
        <v>138</v>
      </c>
      <c r="BX263" s="28" t="s">
        <v>138</v>
      </c>
      <c r="BY263" s="28" t="s">
        <v>175</v>
      </c>
      <c r="BZ263" s="34">
        <v>43361</v>
      </c>
      <c r="CA263" s="29">
        <v>0.5</v>
      </c>
      <c r="CB263" s="28" t="s">
        <v>172</v>
      </c>
      <c r="CC263" s="29" t="s">
        <v>138</v>
      </c>
      <c r="CD263" s="28" t="s">
        <v>138</v>
      </c>
      <c r="CE263" s="28" t="s">
        <v>205</v>
      </c>
      <c r="CF263" s="28" t="s">
        <v>138</v>
      </c>
      <c r="CG263" s="28" t="s">
        <v>138</v>
      </c>
      <c r="CH263" s="28" t="s">
        <v>174</v>
      </c>
      <c r="CI263" s="28" t="s">
        <v>264</v>
      </c>
      <c r="CJ263" s="28" t="s">
        <v>138</v>
      </c>
      <c r="CK263" s="28" t="s">
        <v>138</v>
      </c>
      <c r="CL263" s="28" t="s">
        <v>175</v>
      </c>
      <c r="CM263" s="34" t="s">
        <v>138</v>
      </c>
      <c r="CN263" s="29" t="s">
        <v>138</v>
      </c>
      <c r="CO263" s="35">
        <v>-0.33</v>
      </c>
      <c r="CP263" s="36">
        <v>18</v>
      </c>
      <c r="CQ263" s="35">
        <v>0.04</v>
      </c>
      <c r="CR263" s="35">
        <v>11.46</v>
      </c>
      <c r="CS263" s="35">
        <v>-0.66</v>
      </c>
      <c r="CT263" s="36">
        <v>18</v>
      </c>
      <c r="CU263" s="35">
        <v>0.01</v>
      </c>
      <c r="CV263" s="36">
        <v>49</v>
      </c>
      <c r="CW263" s="35">
        <v>0</v>
      </c>
      <c r="CX263" s="36">
        <v>13</v>
      </c>
      <c r="CY263" s="35">
        <v>-1.33</v>
      </c>
      <c r="CZ263" s="36">
        <v>16</v>
      </c>
      <c r="DA263" s="35">
        <v>0.03</v>
      </c>
      <c r="DB263" s="36">
        <v>60</v>
      </c>
      <c r="DC263" s="37">
        <v>3.51</v>
      </c>
      <c r="DD263" s="36">
        <v>78</v>
      </c>
      <c r="DE263" s="37">
        <v>-0.04</v>
      </c>
      <c r="DF263" s="35">
        <v>-1.24</v>
      </c>
      <c r="DG263" s="37">
        <v>3.29</v>
      </c>
      <c r="DH263" s="36">
        <v>76</v>
      </c>
      <c r="DI263" s="37">
        <v>3.72</v>
      </c>
      <c r="DJ263" s="36">
        <v>73</v>
      </c>
      <c r="DK263" s="37">
        <v>1.73</v>
      </c>
      <c r="DL263" s="36">
        <v>61</v>
      </c>
      <c r="DM263" s="37">
        <v>4.8600000000000003</v>
      </c>
      <c r="DN263" s="36">
        <v>81</v>
      </c>
      <c r="DO263" s="37">
        <v>2.54</v>
      </c>
      <c r="DP263" s="36">
        <v>68</v>
      </c>
      <c r="DQ263" s="36">
        <v>572</v>
      </c>
      <c r="DR263" s="38">
        <v>59</v>
      </c>
      <c r="DS263" s="35">
        <v>11.5</v>
      </c>
      <c r="DT263" s="36">
        <v>140</v>
      </c>
      <c r="DU263" s="38">
        <v>1</v>
      </c>
      <c r="DV263" s="35">
        <v>0.72</v>
      </c>
      <c r="DW263" s="36">
        <v>907</v>
      </c>
      <c r="DX263" s="39">
        <v>2</v>
      </c>
      <c r="DY263" s="35">
        <v>0.22</v>
      </c>
      <c r="DZ263" s="28" t="s">
        <v>178</v>
      </c>
      <c r="EA263" s="34">
        <v>43510</v>
      </c>
      <c r="EB263" s="29" t="s">
        <v>138</v>
      </c>
      <c r="EC263" s="34" t="s">
        <v>138</v>
      </c>
      <c r="ED263" s="28" t="s">
        <v>138</v>
      </c>
      <c r="EE263" s="40" t="str">
        <f>HYPERLINK("https://my.pitchbook.com?c=156131-47", "View company online")</f>
        <v>View company online</v>
      </c>
    </row>
    <row r="264" spans="1:135">
      <c r="A264" s="15" t="s">
        <v>5745</v>
      </c>
      <c r="B264" s="15" t="s">
        <v>5746</v>
      </c>
      <c r="C264" s="15" t="s">
        <v>138</v>
      </c>
      <c r="D264" s="15" t="s">
        <v>138</v>
      </c>
      <c r="E264" s="15" t="s">
        <v>138</v>
      </c>
      <c r="F264" s="15" t="s">
        <v>5745</v>
      </c>
      <c r="G264" s="15" t="s">
        <v>5747</v>
      </c>
      <c r="H264" s="15" t="s">
        <v>141</v>
      </c>
      <c r="I264" s="15" t="s">
        <v>212</v>
      </c>
      <c r="J264" s="15" t="s">
        <v>213</v>
      </c>
      <c r="K264" s="15" t="s">
        <v>5748</v>
      </c>
      <c r="L264" s="15" t="s">
        <v>138</v>
      </c>
      <c r="M264" s="15" t="s">
        <v>5749</v>
      </c>
      <c r="N264" s="15" t="s">
        <v>147</v>
      </c>
      <c r="O264" s="17">
        <v>17.89</v>
      </c>
      <c r="P264" s="15" t="s">
        <v>148</v>
      </c>
      <c r="Q264" s="15" t="s">
        <v>149</v>
      </c>
      <c r="R264" s="15" t="s">
        <v>174</v>
      </c>
      <c r="S264" s="15" t="s">
        <v>5750</v>
      </c>
      <c r="T264" s="18" t="s">
        <v>138</v>
      </c>
      <c r="U264" s="15" t="s">
        <v>138</v>
      </c>
      <c r="V264" s="15" t="s">
        <v>138</v>
      </c>
      <c r="W264" s="15" t="s">
        <v>138</v>
      </c>
      <c r="X264" s="19">
        <v>2017</v>
      </c>
      <c r="Y264" s="15" t="s">
        <v>138</v>
      </c>
      <c r="Z264" s="15" t="s">
        <v>138</v>
      </c>
      <c r="AA264" s="15" t="s">
        <v>138</v>
      </c>
      <c r="AB264" s="20" t="s">
        <v>138</v>
      </c>
      <c r="AC264" s="20" t="s">
        <v>138</v>
      </c>
      <c r="AD264" s="20" t="s">
        <v>138</v>
      </c>
      <c r="AE264" s="20" t="s">
        <v>138</v>
      </c>
      <c r="AF264" s="20" t="s">
        <v>138</v>
      </c>
      <c r="AG264" s="15" t="s">
        <v>138</v>
      </c>
      <c r="AH264" s="20" t="s">
        <v>138</v>
      </c>
      <c r="AI264" s="20" t="s">
        <v>138</v>
      </c>
      <c r="AJ264" s="20" t="s">
        <v>138</v>
      </c>
      <c r="AK264" s="15" t="s">
        <v>5751</v>
      </c>
      <c r="AL264" s="15" t="s">
        <v>5752</v>
      </c>
      <c r="AM264" s="15" t="s">
        <v>986</v>
      </c>
      <c r="AN264" s="15" t="s">
        <v>5753</v>
      </c>
      <c r="AO264" s="15" t="s">
        <v>5754</v>
      </c>
      <c r="AP264" s="15" t="s">
        <v>446</v>
      </c>
      <c r="AQ264" s="15" t="s">
        <v>5755</v>
      </c>
      <c r="AR264" s="15" t="s">
        <v>5756</v>
      </c>
      <c r="AS264" s="15" t="s">
        <v>449</v>
      </c>
      <c r="AT264" s="15" t="s">
        <v>448</v>
      </c>
      <c r="AU264" s="15" t="s">
        <v>138</v>
      </c>
      <c r="AV264" s="15" t="s">
        <v>450</v>
      </c>
      <c r="AW264" s="15" t="s">
        <v>5754</v>
      </c>
      <c r="AX264" s="15" t="s">
        <v>138</v>
      </c>
      <c r="AY264" s="15" t="s">
        <v>138</v>
      </c>
      <c r="AZ264" s="15" t="s">
        <v>452</v>
      </c>
      <c r="BA264" s="15" t="s">
        <v>453</v>
      </c>
      <c r="BB264" s="15" t="s">
        <v>5757</v>
      </c>
      <c r="BC264" s="15" t="s">
        <v>5758</v>
      </c>
      <c r="BD264" s="21">
        <v>6</v>
      </c>
      <c r="BE264" s="15" t="s">
        <v>138</v>
      </c>
      <c r="BF264" s="15" t="s">
        <v>138</v>
      </c>
      <c r="BG264" s="15" t="s">
        <v>138</v>
      </c>
      <c r="BH264" s="15" t="s">
        <v>5759</v>
      </c>
      <c r="BI264" s="15" t="s">
        <v>138</v>
      </c>
      <c r="BJ264" s="15" t="s">
        <v>138</v>
      </c>
      <c r="BK264" s="15" t="s">
        <v>138</v>
      </c>
      <c r="BL264" s="15" t="s">
        <v>138</v>
      </c>
      <c r="BM264" s="22">
        <v>43040</v>
      </c>
      <c r="BN264" s="17" t="s">
        <v>138</v>
      </c>
      <c r="BO264" s="15" t="s">
        <v>138</v>
      </c>
      <c r="BP264" s="17" t="s">
        <v>138</v>
      </c>
      <c r="BQ264" s="15" t="s">
        <v>138</v>
      </c>
      <c r="BR264" s="15" t="s">
        <v>205</v>
      </c>
      <c r="BS264" s="15" t="s">
        <v>138</v>
      </c>
      <c r="BT264" s="15" t="s">
        <v>138</v>
      </c>
      <c r="BU264" s="15" t="s">
        <v>174</v>
      </c>
      <c r="BV264" s="15" t="s">
        <v>138</v>
      </c>
      <c r="BW264" s="15" t="s">
        <v>138</v>
      </c>
      <c r="BX264" s="15" t="s">
        <v>138</v>
      </c>
      <c r="BY264" s="15" t="s">
        <v>175</v>
      </c>
      <c r="BZ264" s="22">
        <v>43311</v>
      </c>
      <c r="CA264" s="17">
        <v>17.89</v>
      </c>
      <c r="CB264" s="15" t="s">
        <v>172</v>
      </c>
      <c r="CC264" s="17" t="s">
        <v>138</v>
      </c>
      <c r="CD264" s="15" t="s">
        <v>138</v>
      </c>
      <c r="CE264" s="15" t="s">
        <v>205</v>
      </c>
      <c r="CF264" s="15" t="s">
        <v>206</v>
      </c>
      <c r="CG264" s="15" t="s">
        <v>138</v>
      </c>
      <c r="CH264" s="15" t="s">
        <v>174</v>
      </c>
      <c r="CI264" s="15" t="s">
        <v>138</v>
      </c>
      <c r="CJ264" s="15" t="s">
        <v>138</v>
      </c>
      <c r="CK264" s="15" t="s">
        <v>138</v>
      </c>
      <c r="CL264" s="15" t="s">
        <v>175</v>
      </c>
      <c r="CM264" s="22" t="s">
        <v>138</v>
      </c>
      <c r="CN264" s="17" t="s">
        <v>138</v>
      </c>
      <c r="CO264" s="23">
        <v>0</v>
      </c>
      <c r="CP264" s="24">
        <v>26</v>
      </c>
      <c r="CQ264" s="23">
        <v>0</v>
      </c>
      <c r="CR264" s="23">
        <v>0</v>
      </c>
      <c r="CS264" s="23">
        <v>0</v>
      </c>
      <c r="CT264" s="24">
        <v>23</v>
      </c>
      <c r="CU264" s="23" t="s">
        <v>138</v>
      </c>
      <c r="CV264" s="24" t="s">
        <v>138</v>
      </c>
      <c r="CW264" s="23" t="s">
        <v>138</v>
      </c>
      <c r="CX264" s="24" t="s">
        <v>138</v>
      </c>
      <c r="CY264" s="23">
        <v>0</v>
      </c>
      <c r="CZ264" s="24">
        <v>25</v>
      </c>
      <c r="DA264" s="23" t="s">
        <v>138</v>
      </c>
      <c r="DB264" s="24" t="s">
        <v>138</v>
      </c>
      <c r="DC264" s="25">
        <v>0.76</v>
      </c>
      <c r="DD264" s="24">
        <v>44</v>
      </c>
      <c r="DE264" s="25">
        <v>0.1</v>
      </c>
      <c r="DF264" s="23">
        <v>15.79</v>
      </c>
      <c r="DG264" s="25">
        <v>0.76</v>
      </c>
      <c r="DH264" s="24">
        <v>44</v>
      </c>
      <c r="DI264" s="25" t="s">
        <v>138</v>
      </c>
      <c r="DJ264" s="24" t="s">
        <v>138</v>
      </c>
      <c r="DK264" s="25" t="s">
        <v>138</v>
      </c>
      <c r="DL264" s="24" t="s">
        <v>138</v>
      </c>
      <c r="DM264" s="25">
        <v>0.76</v>
      </c>
      <c r="DN264" s="24">
        <v>44</v>
      </c>
      <c r="DO264" s="25" t="s">
        <v>138</v>
      </c>
      <c r="DP264" s="24" t="s">
        <v>138</v>
      </c>
      <c r="DQ264" s="24" t="s">
        <v>138</v>
      </c>
      <c r="DR264" s="26" t="s">
        <v>138</v>
      </c>
      <c r="DS264" s="23" t="s">
        <v>138</v>
      </c>
      <c r="DT264" s="24">
        <v>21</v>
      </c>
      <c r="DU264" s="26">
        <v>2</v>
      </c>
      <c r="DV264" s="23">
        <v>10.53</v>
      </c>
      <c r="DW264" s="24" t="s">
        <v>138</v>
      </c>
      <c r="DX264" s="27" t="s">
        <v>138</v>
      </c>
      <c r="DY264" s="23" t="s">
        <v>138</v>
      </c>
      <c r="DZ264" s="15" t="s">
        <v>178</v>
      </c>
      <c r="EA264" s="22">
        <v>43377</v>
      </c>
      <c r="EB264" s="17" t="s">
        <v>138</v>
      </c>
      <c r="EC264" s="22" t="s">
        <v>138</v>
      </c>
      <c r="ED264" s="15" t="s">
        <v>138</v>
      </c>
      <c r="EE264" s="14" t="str">
        <f>HYPERLINK("https://my.pitchbook.com?c=222380-11", "View company online")</f>
        <v>View company online</v>
      </c>
    </row>
    <row r="265" spans="1:135">
      <c r="A265" s="28" t="s">
        <v>5760</v>
      </c>
      <c r="B265" s="28" t="s">
        <v>5761</v>
      </c>
      <c r="C265" s="28" t="s">
        <v>5762</v>
      </c>
      <c r="D265" s="28" t="s">
        <v>138</v>
      </c>
      <c r="E265" s="28" t="s">
        <v>5763</v>
      </c>
      <c r="F265" s="28" t="s">
        <v>5760</v>
      </c>
      <c r="G265" s="28" t="s">
        <v>5764</v>
      </c>
      <c r="H265" s="28" t="s">
        <v>385</v>
      </c>
      <c r="I265" s="28" t="s">
        <v>386</v>
      </c>
      <c r="J265" s="28" t="s">
        <v>387</v>
      </c>
      <c r="K265" s="28" t="s">
        <v>388</v>
      </c>
      <c r="L265" s="28" t="s">
        <v>389</v>
      </c>
      <c r="M265" s="28" t="s">
        <v>5765</v>
      </c>
      <c r="N265" s="28" t="s">
        <v>147</v>
      </c>
      <c r="O265" s="29">
        <v>125.77</v>
      </c>
      <c r="P265" s="28" t="s">
        <v>148</v>
      </c>
      <c r="Q265" s="28" t="s">
        <v>149</v>
      </c>
      <c r="R265" s="28" t="s">
        <v>244</v>
      </c>
      <c r="S265" s="28" t="s">
        <v>5766</v>
      </c>
      <c r="T265" s="30" t="s">
        <v>138</v>
      </c>
      <c r="U265" s="28" t="s">
        <v>138</v>
      </c>
      <c r="V265" s="28" t="s">
        <v>138</v>
      </c>
      <c r="W265" s="28" t="s">
        <v>138</v>
      </c>
      <c r="X265" s="31">
        <v>2007</v>
      </c>
      <c r="Y265" s="28" t="s">
        <v>138</v>
      </c>
      <c r="Z265" s="28" t="s">
        <v>138</v>
      </c>
      <c r="AA265" s="28" t="s">
        <v>138</v>
      </c>
      <c r="AB265" s="32" t="s">
        <v>138</v>
      </c>
      <c r="AC265" s="32" t="s">
        <v>138</v>
      </c>
      <c r="AD265" s="32" t="s">
        <v>138</v>
      </c>
      <c r="AE265" s="32" t="s">
        <v>138</v>
      </c>
      <c r="AF265" s="32" t="s">
        <v>138</v>
      </c>
      <c r="AG265" s="28" t="s">
        <v>138</v>
      </c>
      <c r="AH265" s="32" t="s">
        <v>138</v>
      </c>
      <c r="AI265" s="32" t="s">
        <v>138</v>
      </c>
      <c r="AJ265" s="32" t="s">
        <v>138</v>
      </c>
      <c r="AK265" s="28" t="s">
        <v>5767</v>
      </c>
      <c r="AL265" s="28" t="s">
        <v>5768</v>
      </c>
      <c r="AM265" s="28" t="s">
        <v>249</v>
      </c>
      <c r="AN265" s="28" t="s">
        <v>5769</v>
      </c>
      <c r="AO265" s="28" t="s">
        <v>5770</v>
      </c>
      <c r="AP265" s="28" t="s">
        <v>2388</v>
      </c>
      <c r="AQ265" s="28" t="s">
        <v>5771</v>
      </c>
      <c r="AR265" s="28" t="s">
        <v>138</v>
      </c>
      <c r="AS265" s="28" t="s">
        <v>2391</v>
      </c>
      <c r="AT265" s="28" t="s">
        <v>200</v>
      </c>
      <c r="AU265" s="28" t="s">
        <v>5772</v>
      </c>
      <c r="AV265" s="28" t="s">
        <v>162</v>
      </c>
      <c r="AW265" s="28" t="s">
        <v>5770</v>
      </c>
      <c r="AX265" s="28" t="s">
        <v>138</v>
      </c>
      <c r="AY265" s="28" t="s">
        <v>138</v>
      </c>
      <c r="AZ265" s="28" t="s">
        <v>164</v>
      </c>
      <c r="BA265" s="28" t="s">
        <v>165</v>
      </c>
      <c r="BB265" s="28" t="s">
        <v>5773</v>
      </c>
      <c r="BC265" s="28" t="s">
        <v>5774</v>
      </c>
      <c r="BD265" s="33">
        <v>11</v>
      </c>
      <c r="BE265" s="28" t="s">
        <v>138</v>
      </c>
      <c r="BF265" s="28" t="s">
        <v>138</v>
      </c>
      <c r="BG265" s="28" t="s">
        <v>138</v>
      </c>
      <c r="BH265" s="28" t="s">
        <v>5775</v>
      </c>
      <c r="BI265" s="28" t="s">
        <v>138</v>
      </c>
      <c r="BJ265" s="28" t="s">
        <v>138</v>
      </c>
      <c r="BK265" s="28" t="s">
        <v>138</v>
      </c>
      <c r="BL265" s="28" t="s">
        <v>5776</v>
      </c>
      <c r="BM265" s="34">
        <v>39600</v>
      </c>
      <c r="BN265" s="29">
        <v>7.66</v>
      </c>
      <c r="BO265" s="28" t="s">
        <v>172</v>
      </c>
      <c r="BP265" s="29">
        <v>14.75</v>
      </c>
      <c r="BQ265" s="28" t="s">
        <v>172</v>
      </c>
      <c r="BR265" s="28" t="s">
        <v>205</v>
      </c>
      <c r="BS265" s="28" t="s">
        <v>206</v>
      </c>
      <c r="BT265" s="28" t="s">
        <v>138</v>
      </c>
      <c r="BU265" s="28" t="s">
        <v>174</v>
      </c>
      <c r="BV265" s="28" t="s">
        <v>264</v>
      </c>
      <c r="BW265" s="28" t="s">
        <v>138</v>
      </c>
      <c r="BX265" s="28" t="s">
        <v>138</v>
      </c>
      <c r="BY265" s="28" t="s">
        <v>175</v>
      </c>
      <c r="BZ265" s="34">
        <v>43139</v>
      </c>
      <c r="CA265" s="29">
        <v>10</v>
      </c>
      <c r="CB265" s="28" t="s">
        <v>172</v>
      </c>
      <c r="CC265" s="29" t="s">
        <v>138</v>
      </c>
      <c r="CD265" s="28" t="s">
        <v>138</v>
      </c>
      <c r="CE265" s="28" t="s">
        <v>1326</v>
      </c>
      <c r="CF265" s="28" t="s">
        <v>138</v>
      </c>
      <c r="CG265" s="28" t="s">
        <v>138</v>
      </c>
      <c r="CH265" s="28" t="s">
        <v>1327</v>
      </c>
      <c r="CI265" s="28" t="s">
        <v>5777</v>
      </c>
      <c r="CJ265" s="28" t="s">
        <v>138</v>
      </c>
      <c r="CK265" s="28" t="s">
        <v>138</v>
      </c>
      <c r="CL265" s="28" t="s">
        <v>175</v>
      </c>
      <c r="CM265" s="34">
        <v>43139</v>
      </c>
      <c r="CN265" s="29">
        <v>10</v>
      </c>
      <c r="CO265" s="35">
        <v>0.78</v>
      </c>
      <c r="CP265" s="36">
        <v>96</v>
      </c>
      <c r="CQ265" s="35">
        <v>-0.01</v>
      </c>
      <c r="CR265" s="35">
        <v>-1.55</v>
      </c>
      <c r="CS265" s="35">
        <v>1.39</v>
      </c>
      <c r="CT265" s="36">
        <v>97</v>
      </c>
      <c r="CU265" s="35">
        <v>0.18</v>
      </c>
      <c r="CV265" s="36">
        <v>78</v>
      </c>
      <c r="CW265" s="35">
        <v>6.02</v>
      </c>
      <c r="CX265" s="36">
        <v>97</v>
      </c>
      <c r="CY265" s="35">
        <v>-3.24</v>
      </c>
      <c r="CZ265" s="36">
        <v>6</v>
      </c>
      <c r="DA265" s="35">
        <v>0.25</v>
      </c>
      <c r="DB265" s="36">
        <v>86</v>
      </c>
      <c r="DC265" s="37">
        <v>12.5</v>
      </c>
      <c r="DD265" s="36">
        <v>92</v>
      </c>
      <c r="DE265" s="37">
        <v>-0.17</v>
      </c>
      <c r="DF265" s="35">
        <v>-1.36</v>
      </c>
      <c r="DG265" s="37">
        <v>21.74</v>
      </c>
      <c r="DH265" s="36">
        <v>95</v>
      </c>
      <c r="DI265" s="37">
        <v>3.26</v>
      </c>
      <c r="DJ265" s="36">
        <v>71</v>
      </c>
      <c r="DK265" s="37">
        <v>4.75</v>
      </c>
      <c r="DL265" s="36">
        <v>78</v>
      </c>
      <c r="DM265" s="37">
        <v>38.72</v>
      </c>
      <c r="DN265" s="36">
        <v>97</v>
      </c>
      <c r="DO265" s="37">
        <v>3.88</v>
      </c>
      <c r="DP265" s="36">
        <v>75</v>
      </c>
      <c r="DQ265" s="36">
        <v>1559</v>
      </c>
      <c r="DR265" s="38">
        <v>211</v>
      </c>
      <c r="DS265" s="35">
        <v>15.65</v>
      </c>
      <c r="DT265" s="36">
        <v>1124</v>
      </c>
      <c r="DU265" s="38">
        <v>-3</v>
      </c>
      <c r="DV265" s="35">
        <v>-0.27</v>
      </c>
      <c r="DW265" s="36">
        <v>1389</v>
      </c>
      <c r="DX265" s="39">
        <v>2</v>
      </c>
      <c r="DY265" s="35">
        <v>0.14000000000000001</v>
      </c>
      <c r="DZ265" s="28" t="s">
        <v>178</v>
      </c>
      <c r="EA265" s="34">
        <v>43622</v>
      </c>
      <c r="EB265" s="29">
        <v>77.040000000000006</v>
      </c>
      <c r="EC265" s="34">
        <v>42474</v>
      </c>
      <c r="ED265" s="28" t="s">
        <v>173</v>
      </c>
      <c r="EE265" s="40" t="str">
        <f>HYPERLINK("https://my.pitchbook.com?c=43054-21", "View company online")</f>
        <v>View company online</v>
      </c>
    </row>
    <row r="266" spans="1:135">
      <c r="A266" s="15" t="s">
        <v>5778</v>
      </c>
      <c r="B266" s="15" t="s">
        <v>5779</v>
      </c>
      <c r="C266" s="15" t="s">
        <v>5780</v>
      </c>
      <c r="D266" s="15" t="s">
        <v>138</v>
      </c>
      <c r="E266" s="15" t="s">
        <v>5781</v>
      </c>
      <c r="F266" s="15" t="s">
        <v>5778</v>
      </c>
      <c r="G266" s="15" t="s">
        <v>5782</v>
      </c>
      <c r="H266" s="15" t="s">
        <v>322</v>
      </c>
      <c r="I266" s="15" t="s">
        <v>323</v>
      </c>
      <c r="J266" s="15" t="s">
        <v>2984</v>
      </c>
      <c r="K266" s="15" t="s">
        <v>5783</v>
      </c>
      <c r="L266" s="15" t="s">
        <v>326</v>
      </c>
      <c r="M266" s="15" t="s">
        <v>5784</v>
      </c>
      <c r="N266" s="15" t="s">
        <v>147</v>
      </c>
      <c r="O266" s="17">
        <v>53.55</v>
      </c>
      <c r="P266" s="15" t="s">
        <v>610</v>
      </c>
      <c r="Q266" s="15" t="s">
        <v>149</v>
      </c>
      <c r="R266" s="15" t="s">
        <v>174</v>
      </c>
      <c r="S266" s="15" t="s">
        <v>5785</v>
      </c>
      <c r="T266" s="18">
        <v>18</v>
      </c>
      <c r="U266" s="15" t="s">
        <v>5786</v>
      </c>
      <c r="V266" s="15" t="s">
        <v>138</v>
      </c>
      <c r="W266" s="15" t="s">
        <v>138</v>
      </c>
      <c r="X266" s="19">
        <v>2012</v>
      </c>
      <c r="Y266" s="15" t="s">
        <v>138</v>
      </c>
      <c r="Z266" s="15" t="s">
        <v>138</v>
      </c>
      <c r="AA266" s="15" t="s">
        <v>138</v>
      </c>
      <c r="AB266" s="20" t="s">
        <v>138</v>
      </c>
      <c r="AC266" s="20" t="s">
        <v>138</v>
      </c>
      <c r="AD266" s="20" t="s">
        <v>138</v>
      </c>
      <c r="AE266" s="20" t="s">
        <v>138</v>
      </c>
      <c r="AF266" s="20" t="s">
        <v>138</v>
      </c>
      <c r="AG266" s="15" t="s">
        <v>138</v>
      </c>
      <c r="AH266" s="20" t="s">
        <v>138</v>
      </c>
      <c r="AI266" s="20" t="s">
        <v>138</v>
      </c>
      <c r="AJ266" s="20" t="s">
        <v>138</v>
      </c>
      <c r="AK266" s="15" t="s">
        <v>5787</v>
      </c>
      <c r="AL266" s="15" t="s">
        <v>5788</v>
      </c>
      <c r="AM266" s="15" t="s">
        <v>986</v>
      </c>
      <c r="AN266" s="15" t="s">
        <v>5789</v>
      </c>
      <c r="AO266" s="15" t="s">
        <v>5790</v>
      </c>
      <c r="AP266" s="15" t="s">
        <v>307</v>
      </c>
      <c r="AQ266" s="15" t="s">
        <v>5791</v>
      </c>
      <c r="AR266" s="15" t="s">
        <v>5792</v>
      </c>
      <c r="AS266" s="15" t="s">
        <v>310</v>
      </c>
      <c r="AT266" s="15" t="s">
        <v>200</v>
      </c>
      <c r="AU266" s="15" t="s">
        <v>311</v>
      </c>
      <c r="AV266" s="15" t="s">
        <v>162</v>
      </c>
      <c r="AW266" s="15" t="s">
        <v>5790</v>
      </c>
      <c r="AX266" s="15" t="s">
        <v>138</v>
      </c>
      <c r="AY266" s="15" t="s">
        <v>5793</v>
      </c>
      <c r="AZ266" s="15" t="s">
        <v>164</v>
      </c>
      <c r="BA266" s="15" t="s">
        <v>165</v>
      </c>
      <c r="BB266" s="15" t="s">
        <v>5794</v>
      </c>
      <c r="BC266" s="15" t="s">
        <v>5795</v>
      </c>
      <c r="BD266" s="21">
        <v>21</v>
      </c>
      <c r="BE266" s="15" t="s">
        <v>138</v>
      </c>
      <c r="BF266" s="15" t="s">
        <v>5796</v>
      </c>
      <c r="BG266" s="15" t="s">
        <v>138</v>
      </c>
      <c r="BH266" s="15" t="s">
        <v>5797</v>
      </c>
      <c r="BI266" s="15" t="s">
        <v>5798</v>
      </c>
      <c r="BJ266" s="15" t="s">
        <v>138</v>
      </c>
      <c r="BK266" s="15" t="s">
        <v>1251</v>
      </c>
      <c r="BL266" s="15" t="s">
        <v>1251</v>
      </c>
      <c r="BM266" s="22">
        <v>41275</v>
      </c>
      <c r="BN266" s="17">
        <v>0.15</v>
      </c>
      <c r="BO266" s="15" t="s">
        <v>172</v>
      </c>
      <c r="BP266" s="17" t="s">
        <v>138</v>
      </c>
      <c r="BQ266" s="15" t="s">
        <v>138</v>
      </c>
      <c r="BR266" s="15" t="s">
        <v>176</v>
      </c>
      <c r="BS266" s="15" t="s">
        <v>138</v>
      </c>
      <c r="BT266" s="15" t="s">
        <v>138</v>
      </c>
      <c r="BU266" s="15" t="s">
        <v>177</v>
      </c>
      <c r="BV266" s="15" t="s">
        <v>138</v>
      </c>
      <c r="BW266" s="15" t="s">
        <v>138</v>
      </c>
      <c r="BX266" s="15" t="s">
        <v>138</v>
      </c>
      <c r="BY266" s="15" t="s">
        <v>175</v>
      </c>
      <c r="BZ266" s="22">
        <v>42996</v>
      </c>
      <c r="CA266" s="17">
        <v>31</v>
      </c>
      <c r="CB266" s="15" t="s">
        <v>172</v>
      </c>
      <c r="CC266" s="17" t="s">
        <v>138</v>
      </c>
      <c r="CD266" s="15" t="s">
        <v>138</v>
      </c>
      <c r="CE266" s="15" t="s">
        <v>205</v>
      </c>
      <c r="CF266" s="15" t="s">
        <v>206</v>
      </c>
      <c r="CG266" s="15" t="s">
        <v>138</v>
      </c>
      <c r="CH266" s="15" t="s">
        <v>174</v>
      </c>
      <c r="CI266" s="15" t="s">
        <v>138</v>
      </c>
      <c r="CJ266" s="15" t="s">
        <v>138</v>
      </c>
      <c r="CK266" s="15" t="s">
        <v>138</v>
      </c>
      <c r="CL266" s="15" t="s">
        <v>175</v>
      </c>
      <c r="CM266" s="22" t="s">
        <v>138</v>
      </c>
      <c r="CN266" s="17" t="s">
        <v>138</v>
      </c>
      <c r="CO266" s="23">
        <v>-0.7</v>
      </c>
      <c r="CP266" s="24">
        <v>14</v>
      </c>
      <c r="CQ266" s="23">
        <v>-0.06</v>
      </c>
      <c r="CR266" s="23">
        <v>-8.77</v>
      </c>
      <c r="CS266" s="23">
        <v>-2.1800000000000002</v>
      </c>
      <c r="CT266" s="24">
        <v>8</v>
      </c>
      <c r="CU266" s="23">
        <v>0.77</v>
      </c>
      <c r="CV266" s="24">
        <v>97</v>
      </c>
      <c r="CW266" s="23">
        <v>-2.1800000000000002</v>
      </c>
      <c r="CX266" s="24">
        <v>7</v>
      </c>
      <c r="CY266" s="23" t="s">
        <v>138</v>
      </c>
      <c r="CZ266" s="24" t="s">
        <v>138</v>
      </c>
      <c r="DA266" s="23">
        <v>0.77</v>
      </c>
      <c r="DB266" s="24">
        <v>97</v>
      </c>
      <c r="DC266" s="25">
        <v>3.69</v>
      </c>
      <c r="DD266" s="24">
        <v>78</v>
      </c>
      <c r="DE266" s="25">
        <v>-0.35</v>
      </c>
      <c r="DF266" s="23">
        <v>-8.59</v>
      </c>
      <c r="DG266" s="25">
        <v>5.55</v>
      </c>
      <c r="DH266" s="24">
        <v>84</v>
      </c>
      <c r="DI266" s="25">
        <v>1.83</v>
      </c>
      <c r="DJ266" s="24">
        <v>61</v>
      </c>
      <c r="DK266" s="25">
        <v>5.55</v>
      </c>
      <c r="DL266" s="24">
        <v>80</v>
      </c>
      <c r="DM266" s="25" t="s">
        <v>138</v>
      </c>
      <c r="DN266" s="24" t="s">
        <v>138</v>
      </c>
      <c r="DO266" s="25">
        <v>1.83</v>
      </c>
      <c r="DP266" s="24">
        <v>62</v>
      </c>
      <c r="DQ266" s="24">
        <v>1889</v>
      </c>
      <c r="DR266" s="26">
        <v>38</v>
      </c>
      <c r="DS266" s="23">
        <v>2.0499999999999998</v>
      </c>
      <c r="DT266" s="24" t="s">
        <v>138</v>
      </c>
      <c r="DU266" s="26" t="s">
        <v>138</v>
      </c>
      <c r="DV266" s="23" t="s">
        <v>138</v>
      </c>
      <c r="DW266" s="24">
        <v>654</v>
      </c>
      <c r="DX266" s="27">
        <v>7</v>
      </c>
      <c r="DY266" s="23">
        <v>1.08</v>
      </c>
      <c r="DZ266" s="15" t="s">
        <v>178</v>
      </c>
      <c r="EA266" s="22">
        <v>43621</v>
      </c>
      <c r="EB266" s="17">
        <v>90</v>
      </c>
      <c r="EC266" s="22">
        <v>42401</v>
      </c>
      <c r="ED266" s="15" t="s">
        <v>205</v>
      </c>
      <c r="EE266" s="14" t="str">
        <f>HYPERLINK("https://my.pitchbook.com?c=60290-02", "View company online")</f>
        <v>View company online</v>
      </c>
    </row>
    <row r="267" spans="1:135">
      <c r="A267" s="28" t="s">
        <v>5799</v>
      </c>
      <c r="B267" s="28" t="s">
        <v>5800</v>
      </c>
      <c r="C267" s="28" t="s">
        <v>5801</v>
      </c>
      <c r="D267" s="28" t="s">
        <v>138</v>
      </c>
      <c r="E267" s="28" t="s">
        <v>5802</v>
      </c>
      <c r="F267" s="28" t="s">
        <v>5799</v>
      </c>
      <c r="G267" s="28" t="s">
        <v>5803</v>
      </c>
      <c r="H267" s="28" t="s">
        <v>322</v>
      </c>
      <c r="I267" s="28" t="s">
        <v>323</v>
      </c>
      <c r="J267" s="28" t="s">
        <v>2084</v>
      </c>
      <c r="K267" s="28" t="s">
        <v>5804</v>
      </c>
      <c r="L267" s="28" t="s">
        <v>242</v>
      </c>
      <c r="M267" s="28" t="s">
        <v>5805</v>
      </c>
      <c r="N267" s="28" t="s">
        <v>147</v>
      </c>
      <c r="O267" s="29">
        <v>110.62</v>
      </c>
      <c r="P267" s="28" t="s">
        <v>148</v>
      </c>
      <c r="Q267" s="28" t="s">
        <v>149</v>
      </c>
      <c r="R267" s="28" t="s">
        <v>244</v>
      </c>
      <c r="S267" s="28" t="s">
        <v>5806</v>
      </c>
      <c r="T267" s="30">
        <v>150</v>
      </c>
      <c r="U267" s="28" t="s">
        <v>5807</v>
      </c>
      <c r="V267" s="28" t="s">
        <v>138</v>
      </c>
      <c r="W267" s="28" t="s">
        <v>138</v>
      </c>
      <c r="X267" s="31">
        <v>2010</v>
      </c>
      <c r="Y267" s="28" t="s">
        <v>138</v>
      </c>
      <c r="Z267" s="28" t="s">
        <v>138</v>
      </c>
      <c r="AA267" s="28" t="s">
        <v>138</v>
      </c>
      <c r="AB267" s="32" t="s">
        <v>138</v>
      </c>
      <c r="AC267" s="32" t="s">
        <v>138</v>
      </c>
      <c r="AD267" s="32" t="s">
        <v>138</v>
      </c>
      <c r="AE267" s="32" t="s">
        <v>138</v>
      </c>
      <c r="AF267" s="32" t="s">
        <v>138</v>
      </c>
      <c r="AG267" s="28" t="s">
        <v>138</v>
      </c>
      <c r="AH267" s="32" t="s">
        <v>138</v>
      </c>
      <c r="AI267" s="32" t="s">
        <v>138</v>
      </c>
      <c r="AJ267" s="32" t="s">
        <v>138</v>
      </c>
      <c r="AK267" s="28" t="s">
        <v>5808</v>
      </c>
      <c r="AL267" s="28" t="s">
        <v>5809</v>
      </c>
      <c r="AM267" s="28" t="s">
        <v>2413</v>
      </c>
      <c r="AN267" s="28" t="s">
        <v>5810</v>
      </c>
      <c r="AO267" s="28" t="s">
        <v>5811</v>
      </c>
      <c r="AP267" s="28" t="s">
        <v>4898</v>
      </c>
      <c r="AQ267" s="28" t="s">
        <v>5812</v>
      </c>
      <c r="AR267" s="28" t="s">
        <v>138</v>
      </c>
      <c r="AS267" s="28" t="s">
        <v>4900</v>
      </c>
      <c r="AT267" s="28" t="s">
        <v>200</v>
      </c>
      <c r="AU267" s="28" t="s">
        <v>5813</v>
      </c>
      <c r="AV267" s="28" t="s">
        <v>162</v>
      </c>
      <c r="AW267" s="28" t="s">
        <v>5811</v>
      </c>
      <c r="AX267" s="28" t="s">
        <v>138</v>
      </c>
      <c r="AY267" s="28" t="s">
        <v>5814</v>
      </c>
      <c r="AZ267" s="28" t="s">
        <v>164</v>
      </c>
      <c r="BA267" s="28" t="s">
        <v>165</v>
      </c>
      <c r="BB267" s="28" t="s">
        <v>5815</v>
      </c>
      <c r="BC267" s="28" t="s">
        <v>5816</v>
      </c>
      <c r="BD267" s="33">
        <v>14</v>
      </c>
      <c r="BE267" s="28" t="s">
        <v>138</v>
      </c>
      <c r="BF267" s="28" t="s">
        <v>5817</v>
      </c>
      <c r="BG267" s="28" t="s">
        <v>138</v>
      </c>
      <c r="BH267" s="28" t="s">
        <v>5818</v>
      </c>
      <c r="BI267" s="28" t="s">
        <v>5819</v>
      </c>
      <c r="BJ267" s="28" t="s">
        <v>138</v>
      </c>
      <c r="BK267" s="28" t="s">
        <v>5820</v>
      </c>
      <c r="BL267" s="28" t="s">
        <v>5821</v>
      </c>
      <c r="BM267" s="34">
        <v>40450</v>
      </c>
      <c r="BN267" s="29">
        <v>2.12</v>
      </c>
      <c r="BO267" s="28" t="s">
        <v>172</v>
      </c>
      <c r="BP267" s="29">
        <v>7.12</v>
      </c>
      <c r="BQ267" s="28" t="s">
        <v>172</v>
      </c>
      <c r="BR267" s="28" t="s">
        <v>234</v>
      </c>
      <c r="BS267" s="28" t="s">
        <v>234</v>
      </c>
      <c r="BT267" s="28" t="s">
        <v>138</v>
      </c>
      <c r="BU267" s="28" t="s">
        <v>263</v>
      </c>
      <c r="BV267" s="28" t="s">
        <v>138</v>
      </c>
      <c r="BW267" s="28" t="s">
        <v>138</v>
      </c>
      <c r="BX267" s="28" t="s">
        <v>138</v>
      </c>
      <c r="BY267" s="28" t="s">
        <v>175</v>
      </c>
      <c r="BZ267" s="34" t="s">
        <v>138</v>
      </c>
      <c r="CA267" s="29">
        <v>12.93</v>
      </c>
      <c r="CB267" s="28" t="s">
        <v>172</v>
      </c>
      <c r="CC267" s="29">
        <v>187.93</v>
      </c>
      <c r="CD267" s="28" t="s">
        <v>172</v>
      </c>
      <c r="CE267" s="28" t="s">
        <v>173</v>
      </c>
      <c r="CF267" s="28" t="s">
        <v>2359</v>
      </c>
      <c r="CG267" s="28" t="s">
        <v>138</v>
      </c>
      <c r="CH267" s="28" t="s">
        <v>174</v>
      </c>
      <c r="CI267" s="28" t="s">
        <v>138</v>
      </c>
      <c r="CJ267" s="28" t="s">
        <v>138</v>
      </c>
      <c r="CK267" s="28" t="s">
        <v>138</v>
      </c>
      <c r="CL267" s="28" t="s">
        <v>3093</v>
      </c>
      <c r="CM267" s="34">
        <v>43348</v>
      </c>
      <c r="CN267" s="29">
        <v>22.5</v>
      </c>
      <c r="CO267" s="35">
        <v>0.74</v>
      </c>
      <c r="CP267" s="36">
        <v>96</v>
      </c>
      <c r="CQ267" s="35">
        <v>0</v>
      </c>
      <c r="CR267" s="35">
        <v>0</v>
      </c>
      <c r="CS267" s="35">
        <v>2.2000000000000002</v>
      </c>
      <c r="CT267" s="36">
        <v>98</v>
      </c>
      <c r="CU267" s="35">
        <v>0</v>
      </c>
      <c r="CV267" s="36">
        <v>22</v>
      </c>
      <c r="CW267" s="35">
        <v>2.2000000000000002</v>
      </c>
      <c r="CX267" s="36">
        <v>89</v>
      </c>
      <c r="CY267" s="35" t="s">
        <v>138</v>
      </c>
      <c r="CZ267" s="36" t="s">
        <v>138</v>
      </c>
      <c r="DA267" s="35">
        <v>0</v>
      </c>
      <c r="DB267" s="36">
        <v>22</v>
      </c>
      <c r="DC267" s="37">
        <v>73.19</v>
      </c>
      <c r="DD267" s="36">
        <v>99</v>
      </c>
      <c r="DE267" s="37">
        <v>1.9</v>
      </c>
      <c r="DF267" s="35">
        <v>2.66</v>
      </c>
      <c r="DG267" s="37">
        <v>24.8</v>
      </c>
      <c r="DH267" s="36">
        <v>96</v>
      </c>
      <c r="DI267" s="37">
        <v>0.02</v>
      </c>
      <c r="DJ267" s="36">
        <v>4</v>
      </c>
      <c r="DK267" s="37">
        <v>24.8</v>
      </c>
      <c r="DL267" s="36">
        <v>93</v>
      </c>
      <c r="DM267" s="37" t="s">
        <v>138</v>
      </c>
      <c r="DN267" s="36" t="s">
        <v>138</v>
      </c>
      <c r="DO267" s="37">
        <v>0.02</v>
      </c>
      <c r="DP267" s="36">
        <v>4</v>
      </c>
      <c r="DQ267" s="36">
        <v>8404</v>
      </c>
      <c r="DR267" s="38">
        <v>312</v>
      </c>
      <c r="DS267" s="35">
        <v>3.86</v>
      </c>
      <c r="DT267" s="36" t="s">
        <v>138</v>
      </c>
      <c r="DU267" s="38" t="s">
        <v>138</v>
      </c>
      <c r="DV267" s="35" t="s">
        <v>138</v>
      </c>
      <c r="DW267" s="36">
        <v>8</v>
      </c>
      <c r="DX267" s="39">
        <v>1</v>
      </c>
      <c r="DY267" s="35">
        <v>14.29</v>
      </c>
      <c r="DZ267" s="28" t="s">
        <v>178</v>
      </c>
      <c r="EA267" s="34">
        <v>43622</v>
      </c>
      <c r="EB267" s="29">
        <v>144.47</v>
      </c>
      <c r="EC267" s="34">
        <v>42319</v>
      </c>
      <c r="ED267" s="28" t="s">
        <v>173</v>
      </c>
      <c r="EE267" s="40" t="str">
        <f>HYPERLINK("https://my.pitchbook.com?c=51044-14", "View company online")</f>
        <v>View company online</v>
      </c>
    </row>
    <row r="268" spans="1:135">
      <c r="A268" s="15" t="s">
        <v>5822</v>
      </c>
      <c r="B268" s="15" t="s">
        <v>5823</v>
      </c>
      <c r="C268" s="15" t="s">
        <v>138</v>
      </c>
      <c r="D268" s="15" t="s">
        <v>5824</v>
      </c>
      <c r="E268" s="15" t="s">
        <v>5825</v>
      </c>
      <c r="F268" s="15" t="s">
        <v>5822</v>
      </c>
      <c r="G268" s="15" t="s">
        <v>5826</v>
      </c>
      <c r="H268" s="15" t="s">
        <v>322</v>
      </c>
      <c r="I268" s="15" t="s">
        <v>323</v>
      </c>
      <c r="J268" s="15" t="s">
        <v>5827</v>
      </c>
      <c r="K268" s="15" t="s">
        <v>5828</v>
      </c>
      <c r="L268" s="15" t="s">
        <v>1544</v>
      </c>
      <c r="M268" s="15" t="s">
        <v>5829</v>
      </c>
      <c r="N268" s="15" t="s">
        <v>1452</v>
      </c>
      <c r="O268" s="17">
        <v>34</v>
      </c>
      <c r="P268" s="15" t="s">
        <v>148</v>
      </c>
      <c r="Q268" s="15" t="s">
        <v>149</v>
      </c>
      <c r="R268" s="15" t="s">
        <v>328</v>
      </c>
      <c r="S268" s="15" t="s">
        <v>5830</v>
      </c>
      <c r="T268" s="18" t="s">
        <v>138</v>
      </c>
      <c r="U268" s="15" t="s">
        <v>138</v>
      </c>
      <c r="V268" s="15" t="s">
        <v>138</v>
      </c>
      <c r="W268" s="15" t="s">
        <v>138</v>
      </c>
      <c r="X268" s="19">
        <v>2008</v>
      </c>
      <c r="Y268" s="15" t="s">
        <v>138</v>
      </c>
      <c r="Z268" s="15" t="s">
        <v>138</v>
      </c>
      <c r="AA268" s="15" t="s">
        <v>138</v>
      </c>
      <c r="AB268" s="20" t="s">
        <v>138</v>
      </c>
      <c r="AC268" s="20" t="s">
        <v>138</v>
      </c>
      <c r="AD268" s="20" t="s">
        <v>138</v>
      </c>
      <c r="AE268" s="20" t="s">
        <v>138</v>
      </c>
      <c r="AF268" s="20" t="s">
        <v>138</v>
      </c>
      <c r="AG268" s="15" t="s">
        <v>138</v>
      </c>
      <c r="AH268" s="20" t="s">
        <v>138</v>
      </c>
      <c r="AI268" s="20" t="s">
        <v>138</v>
      </c>
      <c r="AJ268" s="20" t="s">
        <v>138</v>
      </c>
      <c r="AK268" s="15" t="s">
        <v>5831</v>
      </c>
      <c r="AL268" s="15" t="s">
        <v>5832</v>
      </c>
      <c r="AM268" s="15" t="s">
        <v>304</v>
      </c>
      <c r="AN268" s="15" t="s">
        <v>5833</v>
      </c>
      <c r="AO268" s="15" t="s">
        <v>5834</v>
      </c>
      <c r="AP268" s="15" t="s">
        <v>3905</v>
      </c>
      <c r="AQ268" s="15" t="s">
        <v>5835</v>
      </c>
      <c r="AR268" s="15" t="s">
        <v>5836</v>
      </c>
      <c r="AS268" s="15" t="s">
        <v>3907</v>
      </c>
      <c r="AT268" s="15" t="s">
        <v>2740</v>
      </c>
      <c r="AU268" s="15" t="s">
        <v>5837</v>
      </c>
      <c r="AV268" s="15" t="s">
        <v>2742</v>
      </c>
      <c r="AW268" s="15" t="s">
        <v>5834</v>
      </c>
      <c r="AX268" s="15" t="s">
        <v>5838</v>
      </c>
      <c r="AY268" s="15" t="s">
        <v>5839</v>
      </c>
      <c r="AZ268" s="15" t="s">
        <v>164</v>
      </c>
      <c r="BA268" s="15" t="s">
        <v>165</v>
      </c>
      <c r="BB268" s="15" t="s">
        <v>5840</v>
      </c>
      <c r="BC268" s="15" t="s">
        <v>5841</v>
      </c>
      <c r="BD268" s="21">
        <v>3</v>
      </c>
      <c r="BE268" s="15" t="s">
        <v>138</v>
      </c>
      <c r="BF268" s="15" t="s">
        <v>138</v>
      </c>
      <c r="BG268" s="15" t="s">
        <v>138</v>
      </c>
      <c r="BH268" s="15" t="s">
        <v>5842</v>
      </c>
      <c r="BI268" s="15" t="s">
        <v>138</v>
      </c>
      <c r="BJ268" s="15" t="s">
        <v>138</v>
      </c>
      <c r="BK268" s="15" t="s">
        <v>138</v>
      </c>
      <c r="BL268" s="15" t="s">
        <v>5843</v>
      </c>
      <c r="BM268" s="22">
        <v>43080</v>
      </c>
      <c r="BN268" s="17">
        <v>34</v>
      </c>
      <c r="BO268" s="15" t="s">
        <v>172</v>
      </c>
      <c r="BP268" s="17" t="s">
        <v>138</v>
      </c>
      <c r="BQ268" s="15" t="s">
        <v>138</v>
      </c>
      <c r="BR268" s="15" t="s">
        <v>1673</v>
      </c>
      <c r="BS268" s="15" t="s">
        <v>138</v>
      </c>
      <c r="BT268" s="15" t="s">
        <v>138</v>
      </c>
      <c r="BU268" s="15" t="s">
        <v>351</v>
      </c>
      <c r="BV268" s="15" t="s">
        <v>138</v>
      </c>
      <c r="BW268" s="15" t="s">
        <v>138</v>
      </c>
      <c r="BX268" s="15" t="s">
        <v>138</v>
      </c>
      <c r="BY268" s="15" t="s">
        <v>175</v>
      </c>
      <c r="BZ268" s="22">
        <v>43080</v>
      </c>
      <c r="CA268" s="17">
        <v>34</v>
      </c>
      <c r="CB268" s="15" t="s">
        <v>172</v>
      </c>
      <c r="CC268" s="17" t="s">
        <v>138</v>
      </c>
      <c r="CD268" s="15" t="s">
        <v>138</v>
      </c>
      <c r="CE268" s="15" t="s">
        <v>1673</v>
      </c>
      <c r="CF268" s="15" t="s">
        <v>138</v>
      </c>
      <c r="CG268" s="15" t="s">
        <v>138</v>
      </c>
      <c r="CH268" s="15" t="s">
        <v>351</v>
      </c>
      <c r="CI268" s="15" t="s">
        <v>138</v>
      </c>
      <c r="CJ268" s="15" t="s">
        <v>138</v>
      </c>
      <c r="CK268" s="15" t="s">
        <v>138</v>
      </c>
      <c r="CL268" s="15" t="s">
        <v>175</v>
      </c>
      <c r="CM268" s="22" t="s">
        <v>138</v>
      </c>
      <c r="CN268" s="17" t="s">
        <v>138</v>
      </c>
      <c r="CO268" s="23">
        <v>-0.88</v>
      </c>
      <c r="CP268" s="24">
        <v>12</v>
      </c>
      <c r="CQ268" s="23">
        <v>0.19</v>
      </c>
      <c r="CR268" s="23">
        <v>17.420000000000002</v>
      </c>
      <c r="CS268" s="23">
        <v>-1.63</v>
      </c>
      <c r="CT268" s="24">
        <v>11</v>
      </c>
      <c r="CU268" s="23">
        <v>-0.14000000000000001</v>
      </c>
      <c r="CV268" s="24">
        <v>2</v>
      </c>
      <c r="CW268" s="23" t="s">
        <v>138</v>
      </c>
      <c r="CX268" s="24" t="s">
        <v>138</v>
      </c>
      <c r="CY268" s="23">
        <v>-1.63</v>
      </c>
      <c r="CZ268" s="24">
        <v>14</v>
      </c>
      <c r="DA268" s="23">
        <v>-0.14000000000000001</v>
      </c>
      <c r="DB268" s="24">
        <v>4</v>
      </c>
      <c r="DC268" s="25">
        <v>2.79</v>
      </c>
      <c r="DD268" s="24">
        <v>74</v>
      </c>
      <c r="DE268" s="25">
        <v>0</v>
      </c>
      <c r="DF268" s="23">
        <v>0.1</v>
      </c>
      <c r="DG268" s="25">
        <v>5.0999999999999996</v>
      </c>
      <c r="DH268" s="24">
        <v>83</v>
      </c>
      <c r="DI268" s="25">
        <v>0.49</v>
      </c>
      <c r="DJ268" s="24">
        <v>36</v>
      </c>
      <c r="DK268" s="25" t="s">
        <v>138</v>
      </c>
      <c r="DL268" s="24" t="s">
        <v>138</v>
      </c>
      <c r="DM268" s="25">
        <v>5.0999999999999996</v>
      </c>
      <c r="DN268" s="24">
        <v>82</v>
      </c>
      <c r="DO268" s="25">
        <v>0.49</v>
      </c>
      <c r="DP268" s="24">
        <v>38</v>
      </c>
      <c r="DQ268" s="24">
        <v>302</v>
      </c>
      <c r="DR268" s="26">
        <v>0</v>
      </c>
      <c r="DS268" s="23">
        <v>0</v>
      </c>
      <c r="DT268" s="24">
        <v>148</v>
      </c>
      <c r="DU268" s="26">
        <v>1</v>
      </c>
      <c r="DV268" s="23">
        <v>0.68</v>
      </c>
      <c r="DW268" s="24">
        <v>173</v>
      </c>
      <c r="DX268" s="27">
        <v>1</v>
      </c>
      <c r="DY268" s="23">
        <v>0.57999999999999996</v>
      </c>
      <c r="DZ268" s="15" t="s">
        <v>178</v>
      </c>
      <c r="EA268" s="22">
        <v>43622</v>
      </c>
      <c r="EB268" s="17" t="s">
        <v>138</v>
      </c>
      <c r="EC268" s="22" t="s">
        <v>138</v>
      </c>
      <c r="ED268" s="15" t="s">
        <v>138</v>
      </c>
      <c r="EE268" s="14" t="str">
        <f>HYPERLINK("https://my.pitchbook.com?c=131111-65", "View company online")</f>
        <v>View company online</v>
      </c>
    </row>
    <row r="269" spans="1:135">
      <c r="A269" s="28" t="s">
        <v>5844</v>
      </c>
      <c r="B269" s="28" t="s">
        <v>5845</v>
      </c>
      <c r="C269" s="28" t="s">
        <v>138</v>
      </c>
      <c r="D269" s="28" t="s">
        <v>138</v>
      </c>
      <c r="E269" s="28" t="s">
        <v>5846</v>
      </c>
      <c r="F269" s="28" t="s">
        <v>5844</v>
      </c>
      <c r="G269" s="28" t="s">
        <v>5847</v>
      </c>
      <c r="H269" s="28" t="s">
        <v>322</v>
      </c>
      <c r="I269" s="28" t="s">
        <v>323</v>
      </c>
      <c r="J269" s="28" t="s">
        <v>2984</v>
      </c>
      <c r="K269" s="28" t="s">
        <v>5848</v>
      </c>
      <c r="L269" s="28" t="s">
        <v>4341</v>
      </c>
      <c r="M269" s="28" t="s">
        <v>5849</v>
      </c>
      <c r="N269" s="28" t="s">
        <v>147</v>
      </c>
      <c r="O269" s="29">
        <v>41.2</v>
      </c>
      <c r="P269" s="28" t="s">
        <v>148</v>
      </c>
      <c r="Q269" s="28" t="s">
        <v>149</v>
      </c>
      <c r="R269" s="28" t="s">
        <v>174</v>
      </c>
      <c r="S269" s="28" t="s">
        <v>5850</v>
      </c>
      <c r="T269" s="30">
        <v>26</v>
      </c>
      <c r="U269" s="28" t="s">
        <v>5851</v>
      </c>
      <c r="V269" s="28" t="s">
        <v>138</v>
      </c>
      <c r="W269" s="28" t="s">
        <v>138</v>
      </c>
      <c r="X269" s="31">
        <v>2012</v>
      </c>
      <c r="Y269" s="28" t="s">
        <v>138</v>
      </c>
      <c r="Z269" s="28" t="s">
        <v>138</v>
      </c>
      <c r="AA269" s="28" t="s">
        <v>138</v>
      </c>
      <c r="AB269" s="32" t="s">
        <v>138</v>
      </c>
      <c r="AC269" s="32" t="s">
        <v>138</v>
      </c>
      <c r="AD269" s="32" t="s">
        <v>138</v>
      </c>
      <c r="AE269" s="32" t="s">
        <v>138</v>
      </c>
      <c r="AF269" s="32" t="s">
        <v>138</v>
      </c>
      <c r="AG269" s="28" t="s">
        <v>138</v>
      </c>
      <c r="AH269" s="32" t="s">
        <v>138</v>
      </c>
      <c r="AI269" s="32" t="s">
        <v>138</v>
      </c>
      <c r="AJ269" s="32" t="s">
        <v>138</v>
      </c>
      <c r="AK269" s="28" t="s">
        <v>5852</v>
      </c>
      <c r="AL269" s="28" t="s">
        <v>5853</v>
      </c>
      <c r="AM269" s="28" t="s">
        <v>5854</v>
      </c>
      <c r="AN269" s="28" t="s">
        <v>5855</v>
      </c>
      <c r="AO269" s="28" t="s">
        <v>5856</v>
      </c>
      <c r="AP269" s="28" t="s">
        <v>2649</v>
      </c>
      <c r="AQ269" s="28" t="s">
        <v>5857</v>
      </c>
      <c r="AR269" s="28" t="s">
        <v>138</v>
      </c>
      <c r="AS269" s="28" t="s">
        <v>2651</v>
      </c>
      <c r="AT269" s="28" t="s">
        <v>200</v>
      </c>
      <c r="AU269" s="28" t="s">
        <v>2652</v>
      </c>
      <c r="AV269" s="28" t="s">
        <v>162</v>
      </c>
      <c r="AW269" s="28" t="s">
        <v>5856</v>
      </c>
      <c r="AX269" s="28" t="s">
        <v>138</v>
      </c>
      <c r="AY269" s="28" t="s">
        <v>5858</v>
      </c>
      <c r="AZ269" s="28" t="s">
        <v>164</v>
      </c>
      <c r="BA269" s="28" t="s">
        <v>165</v>
      </c>
      <c r="BB269" s="28" t="s">
        <v>5859</v>
      </c>
      <c r="BC269" s="28" t="s">
        <v>5860</v>
      </c>
      <c r="BD269" s="33">
        <v>9</v>
      </c>
      <c r="BE269" s="28" t="s">
        <v>138</v>
      </c>
      <c r="BF269" s="28" t="s">
        <v>138</v>
      </c>
      <c r="BG269" s="28" t="s">
        <v>138</v>
      </c>
      <c r="BH269" s="28" t="s">
        <v>5861</v>
      </c>
      <c r="BI269" s="28" t="s">
        <v>138</v>
      </c>
      <c r="BJ269" s="28" t="s">
        <v>138</v>
      </c>
      <c r="BK269" s="28" t="s">
        <v>3482</v>
      </c>
      <c r="BL269" s="28" t="s">
        <v>3482</v>
      </c>
      <c r="BM269" s="34">
        <v>41312</v>
      </c>
      <c r="BN269" s="29" t="s">
        <v>138</v>
      </c>
      <c r="BO269" s="28" t="s">
        <v>138</v>
      </c>
      <c r="BP269" s="29" t="s">
        <v>138</v>
      </c>
      <c r="BQ269" s="28" t="s">
        <v>138</v>
      </c>
      <c r="BR269" s="28" t="s">
        <v>316</v>
      </c>
      <c r="BS269" s="28" t="s">
        <v>138</v>
      </c>
      <c r="BT269" s="28" t="s">
        <v>138</v>
      </c>
      <c r="BU269" s="28" t="s">
        <v>177</v>
      </c>
      <c r="BV269" s="28" t="s">
        <v>138</v>
      </c>
      <c r="BW269" s="28" t="s">
        <v>138</v>
      </c>
      <c r="BX269" s="28" t="s">
        <v>138</v>
      </c>
      <c r="BY269" s="28" t="s">
        <v>175</v>
      </c>
      <c r="BZ269" s="34">
        <v>43378</v>
      </c>
      <c r="CA269" s="29">
        <v>24</v>
      </c>
      <c r="CB269" s="28" t="s">
        <v>172</v>
      </c>
      <c r="CC269" s="29">
        <v>71</v>
      </c>
      <c r="CD269" s="28" t="s">
        <v>172</v>
      </c>
      <c r="CE269" s="28" t="s">
        <v>205</v>
      </c>
      <c r="CF269" s="28" t="s">
        <v>720</v>
      </c>
      <c r="CG269" s="28" t="s">
        <v>138</v>
      </c>
      <c r="CH269" s="28" t="s">
        <v>174</v>
      </c>
      <c r="CI269" s="28" t="s">
        <v>138</v>
      </c>
      <c r="CJ269" s="28" t="s">
        <v>138</v>
      </c>
      <c r="CK269" s="28" t="s">
        <v>138</v>
      </c>
      <c r="CL269" s="28" t="s">
        <v>175</v>
      </c>
      <c r="CM269" s="34" t="s">
        <v>138</v>
      </c>
      <c r="CN269" s="29" t="s">
        <v>138</v>
      </c>
      <c r="CO269" s="35">
        <v>0.03</v>
      </c>
      <c r="CP269" s="36">
        <v>86</v>
      </c>
      <c r="CQ269" s="35">
        <v>0</v>
      </c>
      <c r="CR269" s="35">
        <v>0</v>
      </c>
      <c r="CS269" s="35">
        <v>0</v>
      </c>
      <c r="CT269" s="36">
        <v>23</v>
      </c>
      <c r="CU269" s="35">
        <v>0.06</v>
      </c>
      <c r="CV269" s="36">
        <v>60</v>
      </c>
      <c r="CW269" s="35">
        <v>0</v>
      </c>
      <c r="CX269" s="36">
        <v>13</v>
      </c>
      <c r="CY269" s="35" t="s">
        <v>138</v>
      </c>
      <c r="CZ269" s="36" t="s">
        <v>138</v>
      </c>
      <c r="DA269" s="35" t="s">
        <v>138</v>
      </c>
      <c r="DB269" s="36" t="s">
        <v>138</v>
      </c>
      <c r="DC269" s="37">
        <v>0.4</v>
      </c>
      <c r="DD269" s="36">
        <v>29</v>
      </c>
      <c r="DE269" s="37">
        <v>-0.04</v>
      </c>
      <c r="DF269" s="35">
        <v>-8.42</v>
      </c>
      <c r="DG269" s="37">
        <v>0.56999999999999995</v>
      </c>
      <c r="DH269" s="36">
        <v>38</v>
      </c>
      <c r="DI269" s="37">
        <v>0.23</v>
      </c>
      <c r="DJ269" s="36">
        <v>24</v>
      </c>
      <c r="DK269" s="37">
        <v>0.56999999999999995</v>
      </c>
      <c r="DL269" s="36">
        <v>37</v>
      </c>
      <c r="DM269" s="37" t="s">
        <v>138</v>
      </c>
      <c r="DN269" s="36" t="s">
        <v>138</v>
      </c>
      <c r="DO269" s="37" t="s">
        <v>138</v>
      </c>
      <c r="DP269" s="36" t="s">
        <v>138</v>
      </c>
      <c r="DQ269" s="36">
        <v>213</v>
      </c>
      <c r="DR269" s="38">
        <v>-56</v>
      </c>
      <c r="DS269" s="35">
        <v>-20.82</v>
      </c>
      <c r="DT269" s="36" t="s">
        <v>138</v>
      </c>
      <c r="DU269" s="38" t="s">
        <v>138</v>
      </c>
      <c r="DV269" s="35" t="s">
        <v>138</v>
      </c>
      <c r="DW269" s="36" t="s">
        <v>138</v>
      </c>
      <c r="DX269" s="39" t="s">
        <v>138</v>
      </c>
      <c r="DY269" s="35" t="s">
        <v>138</v>
      </c>
      <c r="DZ269" s="28" t="s">
        <v>178</v>
      </c>
      <c r="EA269" s="34">
        <v>43573</v>
      </c>
      <c r="EB269" s="29">
        <v>71</v>
      </c>
      <c r="EC269" s="34">
        <v>43378</v>
      </c>
      <c r="ED269" s="28" t="s">
        <v>205</v>
      </c>
      <c r="EE269" s="40" t="str">
        <f>HYPERLINK("https://my.pitchbook.com?c=58507-48", "View company online")</f>
        <v>View company online</v>
      </c>
    </row>
    <row r="270" spans="1:135">
      <c r="A270" s="15" t="s">
        <v>5862</v>
      </c>
      <c r="B270" s="15" t="s">
        <v>5863</v>
      </c>
      <c r="C270" s="15" t="s">
        <v>138</v>
      </c>
      <c r="D270" s="15" t="s">
        <v>5864</v>
      </c>
      <c r="E270" s="15" t="s">
        <v>138</v>
      </c>
      <c r="F270" s="15" t="s">
        <v>5862</v>
      </c>
      <c r="G270" s="15" t="s">
        <v>5865</v>
      </c>
      <c r="H270" s="15" t="s">
        <v>238</v>
      </c>
      <c r="I270" s="15" t="s">
        <v>239</v>
      </c>
      <c r="J270" s="15" t="s">
        <v>2578</v>
      </c>
      <c r="K270" s="15" t="s">
        <v>5866</v>
      </c>
      <c r="L270" s="15" t="s">
        <v>415</v>
      </c>
      <c r="M270" s="15" t="s">
        <v>5867</v>
      </c>
      <c r="N270" s="15" t="s">
        <v>147</v>
      </c>
      <c r="O270" s="17">
        <v>0.68</v>
      </c>
      <c r="P270" s="15" t="s">
        <v>148</v>
      </c>
      <c r="Q270" s="15" t="s">
        <v>149</v>
      </c>
      <c r="R270" s="15" t="s">
        <v>244</v>
      </c>
      <c r="S270" s="15" t="s">
        <v>5868</v>
      </c>
      <c r="T270" s="18" t="s">
        <v>138</v>
      </c>
      <c r="U270" s="15" t="s">
        <v>138</v>
      </c>
      <c r="V270" s="15" t="s">
        <v>138</v>
      </c>
      <c r="W270" s="15" t="s">
        <v>138</v>
      </c>
      <c r="X270" s="19">
        <v>2009</v>
      </c>
      <c r="Y270" s="15" t="s">
        <v>138</v>
      </c>
      <c r="Z270" s="15" t="s">
        <v>138</v>
      </c>
      <c r="AA270" s="15" t="s">
        <v>138</v>
      </c>
      <c r="AB270" s="20" t="s">
        <v>138</v>
      </c>
      <c r="AC270" s="20" t="s">
        <v>138</v>
      </c>
      <c r="AD270" s="20" t="s">
        <v>138</v>
      </c>
      <c r="AE270" s="20" t="s">
        <v>138</v>
      </c>
      <c r="AF270" s="20" t="s">
        <v>138</v>
      </c>
      <c r="AG270" s="15" t="s">
        <v>138</v>
      </c>
      <c r="AH270" s="20" t="s">
        <v>138</v>
      </c>
      <c r="AI270" s="20" t="s">
        <v>138</v>
      </c>
      <c r="AJ270" s="20" t="s">
        <v>138</v>
      </c>
      <c r="AK270" s="15" t="s">
        <v>5869</v>
      </c>
      <c r="AL270" s="15" t="s">
        <v>5870</v>
      </c>
      <c r="AM270" s="15" t="s">
        <v>304</v>
      </c>
      <c r="AN270" s="15" t="s">
        <v>5871</v>
      </c>
      <c r="AO270" s="15" t="s">
        <v>5872</v>
      </c>
      <c r="AP270" s="15" t="s">
        <v>423</v>
      </c>
      <c r="AQ270" s="15" t="s">
        <v>5873</v>
      </c>
      <c r="AR270" s="15" t="s">
        <v>5874</v>
      </c>
      <c r="AS270" s="15" t="s">
        <v>426</v>
      </c>
      <c r="AT270" s="15" t="s">
        <v>426</v>
      </c>
      <c r="AU270" s="15" t="s">
        <v>1804</v>
      </c>
      <c r="AV270" s="15" t="s">
        <v>162</v>
      </c>
      <c r="AW270" s="15" t="s">
        <v>138</v>
      </c>
      <c r="AX270" s="15" t="s">
        <v>138</v>
      </c>
      <c r="AY270" s="15" t="s">
        <v>138</v>
      </c>
      <c r="AZ270" s="15" t="s">
        <v>164</v>
      </c>
      <c r="BA270" s="15" t="s">
        <v>165</v>
      </c>
      <c r="BB270" s="15" t="s">
        <v>5875</v>
      </c>
      <c r="BC270" s="15" t="s">
        <v>5876</v>
      </c>
      <c r="BD270" s="21">
        <v>6</v>
      </c>
      <c r="BE270" s="15" t="s">
        <v>138</v>
      </c>
      <c r="BF270" s="15" t="s">
        <v>138</v>
      </c>
      <c r="BG270" s="15" t="s">
        <v>138</v>
      </c>
      <c r="BH270" s="15" t="s">
        <v>5877</v>
      </c>
      <c r="BI270" s="15" t="s">
        <v>138</v>
      </c>
      <c r="BJ270" s="15" t="s">
        <v>138</v>
      </c>
      <c r="BK270" s="15" t="s">
        <v>138</v>
      </c>
      <c r="BL270" s="15" t="s">
        <v>5878</v>
      </c>
      <c r="BM270" s="22">
        <v>40026</v>
      </c>
      <c r="BN270" s="17" t="s">
        <v>138</v>
      </c>
      <c r="BO270" s="15" t="s">
        <v>138</v>
      </c>
      <c r="BP270" s="17" t="s">
        <v>138</v>
      </c>
      <c r="BQ270" s="15" t="s">
        <v>138</v>
      </c>
      <c r="BR270" s="15" t="s">
        <v>234</v>
      </c>
      <c r="BS270" s="15" t="s">
        <v>234</v>
      </c>
      <c r="BT270" s="15" t="s">
        <v>138</v>
      </c>
      <c r="BU270" s="15" t="s">
        <v>174</v>
      </c>
      <c r="BV270" s="15" t="s">
        <v>138</v>
      </c>
      <c r="BW270" s="15" t="s">
        <v>138</v>
      </c>
      <c r="BX270" s="15" t="s">
        <v>138</v>
      </c>
      <c r="BY270" s="15" t="s">
        <v>175</v>
      </c>
      <c r="BZ270" s="22">
        <v>42923</v>
      </c>
      <c r="CA270" s="17" t="s">
        <v>138</v>
      </c>
      <c r="CB270" s="15" t="s">
        <v>138</v>
      </c>
      <c r="CC270" s="17" t="s">
        <v>138</v>
      </c>
      <c r="CD270" s="15" t="s">
        <v>138</v>
      </c>
      <c r="CE270" s="15" t="s">
        <v>1326</v>
      </c>
      <c r="CF270" s="15" t="s">
        <v>138</v>
      </c>
      <c r="CG270" s="15" t="s">
        <v>138</v>
      </c>
      <c r="CH270" s="15" t="s">
        <v>1327</v>
      </c>
      <c r="CI270" s="15" t="s">
        <v>2528</v>
      </c>
      <c r="CJ270" s="15" t="s">
        <v>138</v>
      </c>
      <c r="CK270" s="15" t="s">
        <v>138</v>
      </c>
      <c r="CL270" s="15" t="s">
        <v>175</v>
      </c>
      <c r="CM270" s="22">
        <v>42923</v>
      </c>
      <c r="CN270" s="17" t="s">
        <v>138</v>
      </c>
      <c r="CO270" s="23">
        <v>-1.93</v>
      </c>
      <c r="CP270" s="24">
        <v>6</v>
      </c>
      <c r="CQ270" s="23">
        <v>-0.03</v>
      </c>
      <c r="CR270" s="23">
        <v>-1.5</v>
      </c>
      <c r="CS270" s="23">
        <v>-3.86</v>
      </c>
      <c r="CT270" s="24">
        <v>4</v>
      </c>
      <c r="CU270" s="23">
        <v>0.01</v>
      </c>
      <c r="CV270" s="24">
        <v>49</v>
      </c>
      <c r="CW270" s="23">
        <v>0</v>
      </c>
      <c r="CX270" s="24">
        <v>13</v>
      </c>
      <c r="CY270" s="23">
        <v>-7.71</v>
      </c>
      <c r="CZ270" s="24">
        <v>1</v>
      </c>
      <c r="DA270" s="23">
        <v>0.01</v>
      </c>
      <c r="DB270" s="24">
        <v>57</v>
      </c>
      <c r="DC270" s="25">
        <v>6.37</v>
      </c>
      <c r="DD270" s="24">
        <v>86</v>
      </c>
      <c r="DE270" s="25">
        <v>-7.0000000000000007E-2</v>
      </c>
      <c r="DF270" s="23">
        <v>-1.1100000000000001</v>
      </c>
      <c r="DG270" s="25">
        <v>6.21</v>
      </c>
      <c r="DH270" s="24">
        <v>85</v>
      </c>
      <c r="DI270" s="25">
        <v>6.52</v>
      </c>
      <c r="DJ270" s="24">
        <v>81</v>
      </c>
      <c r="DK270" s="25">
        <v>1.94</v>
      </c>
      <c r="DL270" s="24">
        <v>64</v>
      </c>
      <c r="DM270" s="25">
        <v>10.48</v>
      </c>
      <c r="DN270" s="24">
        <v>89</v>
      </c>
      <c r="DO270" s="25">
        <v>6.52</v>
      </c>
      <c r="DP270" s="24">
        <v>83</v>
      </c>
      <c r="DQ270" s="24">
        <v>633</v>
      </c>
      <c r="DR270" s="26">
        <v>94</v>
      </c>
      <c r="DS270" s="23">
        <v>17.440000000000001</v>
      </c>
      <c r="DT270" s="24">
        <v>305</v>
      </c>
      <c r="DU270" s="26">
        <v>-2</v>
      </c>
      <c r="DV270" s="23">
        <v>-0.65</v>
      </c>
      <c r="DW270" s="24">
        <v>2334</v>
      </c>
      <c r="DX270" s="27">
        <v>0</v>
      </c>
      <c r="DY270" s="23">
        <v>0</v>
      </c>
      <c r="DZ270" s="15" t="s">
        <v>178</v>
      </c>
      <c r="EA270" s="22">
        <v>43351</v>
      </c>
      <c r="EB270" s="17" t="s">
        <v>138</v>
      </c>
      <c r="EC270" s="22" t="s">
        <v>138</v>
      </c>
      <c r="ED270" s="15" t="s">
        <v>138</v>
      </c>
      <c r="EE270" s="14" t="str">
        <f>HYPERLINK("https://my.pitchbook.com?c=97089-58", "View company online")</f>
        <v>View company online</v>
      </c>
    </row>
    <row r="271" spans="1:135">
      <c r="A271" s="28" t="s">
        <v>5879</v>
      </c>
      <c r="B271" s="28" t="s">
        <v>5880</v>
      </c>
      <c r="C271" s="28" t="s">
        <v>138</v>
      </c>
      <c r="D271" s="28" t="s">
        <v>5881</v>
      </c>
      <c r="E271" s="28" t="s">
        <v>138</v>
      </c>
      <c r="F271" s="28" t="s">
        <v>5879</v>
      </c>
      <c r="G271" s="28" t="s">
        <v>5882</v>
      </c>
      <c r="H271" s="28" t="s">
        <v>322</v>
      </c>
      <c r="I271" s="28" t="s">
        <v>356</v>
      </c>
      <c r="J271" s="28" t="s">
        <v>3030</v>
      </c>
      <c r="K271" s="28" t="s">
        <v>5883</v>
      </c>
      <c r="L271" s="28" t="s">
        <v>415</v>
      </c>
      <c r="M271" s="28" t="s">
        <v>5884</v>
      </c>
      <c r="N271" s="28" t="s">
        <v>147</v>
      </c>
      <c r="O271" s="29">
        <v>39.049999999999997</v>
      </c>
      <c r="P271" s="28" t="s">
        <v>148</v>
      </c>
      <c r="Q271" s="28" t="s">
        <v>149</v>
      </c>
      <c r="R271" s="28" t="s">
        <v>174</v>
      </c>
      <c r="S271" s="28" t="s">
        <v>5885</v>
      </c>
      <c r="T271" s="30">
        <v>25</v>
      </c>
      <c r="U271" s="28" t="s">
        <v>5886</v>
      </c>
      <c r="V271" s="28" t="s">
        <v>138</v>
      </c>
      <c r="W271" s="28" t="s">
        <v>138</v>
      </c>
      <c r="X271" s="31">
        <v>2014</v>
      </c>
      <c r="Y271" s="28" t="s">
        <v>138</v>
      </c>
      <c r="Z271" s="28" t="s">
        <v>138</v>
      </c>
      <c r="AA271" s="28" t="s">
        <v>138</v>
      </c>
      <c r="AB271" s="32" t="s">
        <v>138</v>
      </c>
      <c r="AC271" s="32" t="s">
        <v>138</v>
      </c>
      <c r="AD271" s="32" t="s">
        <v>138</v>
      </c>
      <c r="AE271" s="32" t="s">
        <v>138</v>
      </c>
      <c r="AF271" s="32" t="s">
        <v>138</v>
      </c>
      <c r="AG271" s="28" t="s">
        <v>138</v>
      </c>
      <c r="AH271" s="32" t="s">
        <v>138</v>
      </c>
      <c r="AI271" s="32" t="s">
        <v>138</v>
      </c>
      <c r="AJ271" s="32" t="s">
        <v>138</v>
      </c>
      <c r="AK271" s="28" t="s">
        <v>5887</v>
      </c>
      <c r="AL271" s="28" t="s">
        <v>5888</v>
      </c>
      <c r="AM271" s="28" t="s">
        <v>5889</v>
      </c>
      <c r="AN271" s="28" t="s">
        <v>5890</v>
      </c>
      <c r="AO271" s="28" t="s">
        <v>5891</v>
      </c>
      <c r="AP271" s="28" t="s">
        <v>5336</v>
      </c>
      <c r="AQ271" s="28" t="s">
        <v>5892</v>
      </c>
      <c r="AR271" s="28" t="s">
        <v>1936</v>
      </c>
      <c r="AS271" s="28" t="s">
        <v>5338</v>
      </c>
      <c r="AT271" s="28" t="s">
        <v>200</v>
      </c>
      <c r="AU271" s="28" t="s">
        <v>5339</v>
      </c>
      <c r="AV271" s="28" t="s">
        <v>162</v>
      </c>
      <c r="AW271" s="28" t="s">
        <v>5891</v>
      </c>
      <c r="AX271" s="28" t="s">
        <v>138</v>
      </c>
      <c r="AY271" s="28" t="s">
        <v>5893</v>
      </c>
      <c r="AZ271" s="28" t="s">
        <v>164</v>
      </c>
      <c r="BA271" s="28" t="s">
        <v>165</v>
      </c>
      <c r="BB271" s="28" t="s">
        <v>5894</v>
      </c>
      <c r="BC271" s="28" t="s">
        <v>5895</v>
      </c>
      <c r="BD271" s="33">
        <v>5</v>
      </c>
      <c r="BE271" s="28" t="s">
        <v>138</v>
      </c>
      <c r="BF271" s="28" t="s">
        <v>138</v>
      </c>
      <c r="BG271" s="28" t="s">
        <v>138</v>
      </c>
      <c r="BH271" s="28" t="s">
        <v>5896</v>
      </c>
      <c r="BI271" s="28" t="s">
        <v>138</v>
      </c>
      <c r="BJ271" s="28" t="s">
        <v>138</v>
      </c>
      <c r="BK271" s="28" t="s">
        <v>138</v>
      </c>
      <c r="BL271" s="28" t="s">
        <v>138</v>
      </c>
      <c r="BM271" s="34">
        <v>42657</v>
      </c>
      <c r="BN271" s="29">
        <v>13.84</v>
      </c>
      <c r="BO271" s="28" t="s">
        <v>172</v>
      </c>
      <c r="BP271" s="29">
        <v>28.48</v>
      </c>
      <c r="BQ271" s="28" t="s">
        <v>172</v>
      </c>
      <c r="BR271" s="28" t="s">
        <v>205</v>
      </c>
      <c r="BS271" s="28" t="s">
        <v>206</v>
      </c>
      <c r="BT271" s="28" t="s">
        <v>138</v>
      </c>
      <c r="BU271" s="28" t="s">
        <v>174</v>
      </c>
      <c r="BV271" s="28" t="s">
        <v>138</v>
      </c>
      <c r="BW271" s="28" t="s">
        <v>138</v>
      </c>
      <c r="BX271" s="28" t="s">
        <v>138</v>
      </c>
      <c r="BY271" s="28" t="s">
        <v>175</v>
      </c>
      <c r="BZ271" s="34">
        <v>43531</v>
      </c>
      <c r="CA271" s="29">
        <v>21</v>
      </c>
      <c r="CB271" s="28" t="s">
        <v>172</v>
      </c>
      <c r="CC271" s="29">
        <v>71</v>
      </c>
      <c r="CD271" s="28" t="s">
        <v>172</v>
      </c>
      <c r="CE271" s="28" t="s">
        <v>205</v>
      </c>
      <c r="CF271" s="28" t="s">
        <v>720</v>
      </c>
      <c r="CG271" s="28" t="s">
        <v>138</v>
      </c>
      <c r="CH271" s="28" t="s">
        <v>174</v>
      </c>
      <c r="CI271" s="28" t="s">
        <v>138</v>
      </c>
      <c r="CJ271" s="28" t="s">
        <v>138</v>
      </c>
      <c r="CK271" s="28" t="s">
        <v>138</v>
      </c>
      <c r="CL271" s="28" t="s">
        <v>175</v>
      </c>
      <c r="CM271" s="34" t="s">
        <v>138</v>
      </c>
      <c r="CN271" s="29" t="s">
        <v>138</v>
      </c>
      <c r="CO271" s="35">
        <v>0</v>
      </c>
      <c r="CP271" s="36">
        <v>26</v>
      </c>
      <c r="CQ271" s="35">
        <v>0</v>
      </c>
      <c r="CR271" s="35">
        <v>0</v>
      </c>
      <c r="CS271" s="35" t="s">
        <v>138</v>
      </c>
      <c r="CT271" s="36" t="s">
        <v>138</v>
      </c>
      <c r="CU271" s="35">
        <v>0</v>
      </c>
      <c r="CV271" s="36">
        <v>22</v>
      </c>
      <c r="CW271" s="35" t="s">
        <v>138</v>
      </c>
      <c r="CX271" s="36" t="s">
        <v>138</v>
      </c>
      <c r="CY271" s="35" t="s">
        <v>138</v>
      </c>
      <c r="CZ271" s="36" t="s">
        <v>138</v>
      </c>
      <c r="DA271" s="35">
        <v>0</v>
      </c>
      <c r="DB271" s="36">
        <v>22</v>
      </c>
      <c r="DC271" s="37">
        <v>0.04</v>
      </c>
      <c r="DD271" s="36">
        <v>4</v>
      </c>
      <c r="DE271" s="37">
        <v>0</v>
      </c>
      <c r="DF271" s="35">
        <v>0.19</v>
      </c>
      <c r="DG271" s="37" t="s">
        <v>138</v>
      </c>
      <c r="DH271" s="36" t="s">
        <v>138</v>
      </c>
      <c r="DI271" s="37">
        <v>0.03</v>
      </c>
      <c r="DJ271" s="36">
        <v>5</v>
      </c>
      <c r="DK271" s="37" t="s">
        <v>138</v>
      </c>
      <c r="DL271" s="36" t="s">
        <v>138</v>
      </c>
      <c r="DM271" s="37" t="s">
        <v>138</v>
      </c>
      <c r="DN271" s="36" t="s">
        <v>138</v>
      </c>
      <c r="DO271" s="37">
        <v>0.03</v>
      </c>
      <c r="DP271" s="36">
        <v>6</v>
      </c>
      <c r="DQ271" s="36" t="s">
        <v>138</v>
      </c>
      <c r="DR271" s="38" t="s">
        <v>138</v>
      </c>
      <c r="DS271" s="35" t="s">
        <v>138</v>
      </c>
      <c r="DT271" s="36" t="s">
        <v>138</v>
      </c>
      <c r="DU271" s="38" t="s">
        <v>138</v>
      </c>
      <c r="DV271" s="35" t="s">
        <v>138</v>
      </c>
      <c r="DW271" s="36">
        <v>9</v>
      </c>
      <c r="DX271" s="39">
        <v>1</v>
      </c>
      <c r="DY271" s="35">
        <v>12.5</v>
      </c>
      <c r="DZ271" s="28" t="s">
        <v>178</v>
      </c>
      <c r="EA271" s="34">
        <v>43584</v>
      </c>
      <c r="EB271" s="29">
        <v>71</v>
      </c>
      <c r="EC271" s="34">
        <v>43531</v>
      </c>
      <c r="ED271" s="28" t="s">
        <v>205</v>
      </c>
      <c r="EE271" s="40" t="str">
        <f>HYPERLINK("https://my.pitchbook.com?c=167147-38", "View company online")</f>
        <v>View company online</v>
      </c>
    </row>
    <row r="272" spans="1:135">
      <c r="A272" s="15" t="s">
        <v>5897</v>
      </c>
      <c r="B272" s="15" t="s">
        <v>5898</v>
      </c>
      <c r="C272" s="15" t="s">
        <v>138</v>
      </c>
      <c r="D272" s="15" t="s">
        <v>5899</v>
      </c>
      <c r="E272" s="15" t="s">
        <v>5900</v>
      </c>
      <c r="F272" s="15" t="s">
        <v>5897</v>
      </c>
      <c r="G272" s="15" t="s">
        <v>5901</v>
      </c>
      <c r="H272" s="15" t="s">
        <v>322</v>
      </c>
      <c r="I272" s="15" t="s">
        <v>323</v>
      </c>
      <c r="J272" s="15" t="s">
        <v>324</v>
      </c>
      <c r="K272" s="15" t="s">
        <v>5902</v>
      </c>
      <c r="L272" s="15" t="s">
        <v>215</v>
      </c>
      <c r="M272" s="15" t="s">
        <v>5903</v>
      </c>
      <c r="N272" s="15" t="s">
        <v>1452</v>
      </c>
      <c r="O272" s="17">
        <v>239.83</v>
      </c>
      <c r="P272" s="15" t="s">
        <v>812</v>
      </c>
      <c r="Q272" s="15" t="s">
        <v>149</v>
      </c>
      <c r="R272" s="15" t="s">
        <v>5904</v>
      </c>
      <c r="S272" s="15" t="s">
        <v>5905</v>
      </c>
      <c r="T272" s="18">
        <v>4000</v>
      </c>
      <c r="U272" s="15" t="s">
        <v>5906</v>
      </c>
      <c r="V272" s="15" t="s">
        <v>138</v>
      </c>
      <c r="W272" s="15" t="s">
        <v>138</v>
      </c>
      <c r="X272" s="19">
        <v>1997</v>
      </c>
      <c r="Y272" s="15" t="s">
        <v>138</v>
      </c>
      <c r="Z272" s="15" t="s">
        <v>138</v>
      </c>
      <c r="AA272" s="15" t="s">
        <v>138</v>
      </c>
      <c r="AB272" s="20">
        <v>1076.23</v>
      </c>
      <c r="AC272" s="20">
        <v>756.45</v>
      </c>
      <c r="AD272" s="20">
        <v>60.88</v>
      </c>
      <c r="AE272" s="20">
        <v>3237.67</v>
      </c>
      <c r="AF272" s="20">
        <v>183.2</v>
      </c>
      <c r="AG272" s="15" t="s">
        <v>5907</v>
      </c>
      <c r="AH272" s="20" t="s">
        <v>138</v>
      </c>
      <c r="AI272" s="20" t="s">
        <v>138</v>
      </c>
      <c r="AJ272" s="20" t="s">
        <v>138</v>
      </c>
      <c r="AK272" s="15" t="s">
        <v>5908</v>
      </c>
      <c r="AL272" s="15" t="s">
        <v>5909</v>
      </c>
      <c r="AM272" s="15" t="s">
        <v>249</v>
      </c>
      <c r="AN272" s="15" t="s">
        <v>5910</v>
      </c>
      <c r="AO272" s="15" t="s">
        <v>5911</v>
      </c>
      <c r="AP272" s="15" t="s">
        <v>1168</v>
      </c>
      <c r="AQ272" s="15" t="s">
        <v>5912</v>
      </c>
      <c r="AR272" s="15" t="s">
        <v>138</v>
      </c>
      <c r="AS272" s="15" t="s">
        <v>1171</v>
      </c>
      <c r="AT272" s="15" t="s">
        <v>200</v>
      </c>
      <c r="AU272" s="15" t="s">
        <v>5913</v>
      </c>
      <c r="AV272" s="15" t="s">
        <v>162</v>
      </c>
      <c r="AW272" s="15" t="s">
        <v>5911</v>
      </c>
      <c r="AX272" s="15" t="s">
        <v>5914</v>
      </c>
      <c r="AY272" s="15" t="s">
        <v>5915</v>
      </c>
      <c r="AZ272" s="15" t="s">
        <v>164</v>
      </c>
      <c r="BA272" s="15" t="s">
        <v>165</v>
      </c>
      <c r="BB272" s="15" t="s">
        <v>5916</v>
      </c>
      <c r="BC272" s="15" t="s">
        <v>5917</v>
      </c>
      <c r="BD272" s="21">
        <v>2</v>
      </c>
      <c r="BE272" s="15" t="s">
        <v>138</v>
      </c>
      <c r="BF272" s="15" t="s">
        <v>5918</v>
      </c>
      <c r="BG272" s="15" t="s">
        <v>3779</v>
      </c>
      <c r="BH272" s="15" t="s">
        <v>5919</v>
      </c>
      <c r="BI272" s="15" t="s">
        <v>5920</v>
      </c>
      <c r="BJ272" s="15" t="s">
        <v>3781</v>
      </c>
      <c r="BK272" s="15" t="s">
        <v>5921</v>
      </c>
      <c r="BL272" s="15" t="s">
        <v>5922</v>
      </c>
      <c r="BM272" s="22">
        <v>35559</v>
      </c>
      <c r="BN272" s="17">
        <v>15.7</v>
      </c>
      <c r="BO272" s="15" t="s">
        <v>172</v>
      </c>
      <c r="BP272" s="17" t="s">
        <v>138</v>
      </c>
      <c r="BQ272" s="15" t="s">
        <v>138</v>
      </c>
      <c r="BR272" s="15" t="s">
        <v>173</v>
      </c>
      <c r="BS272" s="15" t="s">
        <v>720</v>
      </c>
      <c r="BT272" s="15" t="s">
        <v>138</v>
      </c>
      <c r="BU272" s="15" t="s">
        <v>174</v>
      </c>
      <c r="BV272" s="15" t="s">
        <v>138</v>
      </c>
      <c r="BW272" s="15" t="s">
        <v>138</v>
      </c>
      <c r="BX272" s="15" t="s">
        <v>138</v>
      </c>
      <c r="BY272" s="15" t="s">
        <v>175</v>
      </c>
      <c r="BZ272" s="22" t="s">
        <v>138</v>
      </c>
      <c r="CA272" s="17" t="s">
        <v>138</v>
      </c>
      <c r="CB272" s="15" t="s">
        <v>138</v>
      </c>
      <c r="CC272" s="17" t="s">
        <v>138</v>
      </c>
      <c r="CD272" s="15" t="s">
        <v>138</v>
      </c>
      <c r="CE272" s="15" t="s">
        <v>2228</v>
      </c>
      <c r="CF272" s="15" t="s">
        <v>138</v>
      </c>
      <c r="CG272" s="15" t="s">
        <v>138</v>
      </c>
      <c r="CH272" s="15" t="s">
        <v>780</v>
      </c>
      <c r="CI272" s="15" t="s">
        <v>138</v>
      </c>
      <c r="CJ272" s="15" t="s">
        <v>138</v>
      </c>
      <c r="CK272" s="15" t="s">
        <v>138</v>
      </c>
      <c r="CL272" s="15" t="s">
        <v>1831</v>
      </c>
      <c r="CM272" s="22">
        <v>42879</v>
      </c>
      <c r="CN272" s="17" t="s">
        <v>138</v>
      </c>
      <c r="CO272" s="23">
        <v>0.45</v>
      </c>
      <c r="CP272" s="24">
        <v>95</v>
      </c>
      <c r="CQ272" s="23">
        <v>-7.0000000000000007E-2</v>
      </c>
      <c r="CR272" s="23">
        <v>-13.49</v>
      </c>
      <c r="CS272" s="23">
        <v>0.75</v>
      </c>
      <c r="CT272" s="24">
        <v>96</v>
      </c>
      <c r="CU272" s="23">
        <v>0.12</v>
      </c>
      <c r="CV272" s="24">
        <v>71</v>
      </c>
      <c r="CW272" s="23">
        <v>2.56</v>
      </c>
      <c r="CX272" s="24">
        <v>90</v>
      </c>
      <c r="CY272" s="23">
        <v>-1.07</v>
      </c>
      <c r="CZ272" s="24">
        <v>18</v>
      </c>
      <c r="DA272" s="23">
        <v>0.12</v>
      </c>
      <c r="DB272" s="24">
        <v>75</v>
      </c>
      <c r="DC272" s="25">
        <v>85.31</v>
      </c>
      <c r="DD272" s="24">
        <v>99</v>
      </c>
      <c r="DE272" s="25">
        <v>-0.59</v>
      </c>
      <c r="DF272" s="23">
        <v>-0.69</v>
      </c>
      <c r="DG272" s="25">
        <v>196.91</v>
      </c>
      <c r="DH272" s="24">
        <v>100</v>
      </c>
      <c r="DI272" s="25">
        <v>58.6</v>
      </c>
      <c r="DJ272" s="24">
        <v>96</v>
      </c>
      <c r="DK272" s="25">
        <v>116.09</v>
      </c>
      <c r="DL272" s="24">
        <v>98</v>
      </c>
      <c r="DM272" s="25">
        <v>277.72000000000003</v>
      </c>
      <c r="DN272" s="24">
        <v>100</v>
      </c>
      <c r="DO272" s="25">
        <v>58.6</v>
      </c>
      <c r="DP272" s="24">
        <v>97</v>
      </c>
      <c r="DQ272" s="24">
        <v>39121</v>
      </c>
      <c r="DR272" s="26">
        <v>2088</v>
      </c>
      <c r="DS272" s="23">
        <v>5.64</v>
      </c>
      <c r="DT272" s="24">
        <v>7926</v>
      </c>
      <c r="DU272" s="26">
        <v>206</v>
      </c>
      <c r="DV272" s="23">
        <v>2.67</v>
      </c>
      <c r="DW272" s="24">
        <v>20965</v>
      </c>
      <c r="DX272" s="27">
        <v>19</v>
      </c>
      <c r="DY272" s="23">
        <v>0.09</v>
      </c>
      <c r="DZ272" s="15" t="s">
        <v>178</v>
      </c>
      <c r="EA272" s="22">
        <v>43622</v>
      </c>
      <c r="EB272" s="17">
        <v>4300</v>
      </c>
      <c r="EC272" s="22">
        <v>41978</v>
      </c>
      <c r="ED272" s="15" t="s">
        <v>349</v>
      </c>
      <c r="EE272" s="14" t="str">
        <f>HYPERLINK("https://my.pitchbook.com?c=41131-36", "View company online")</f>
        <v>View company online</v>
      </c>
    </row>
    <row r="273" spans="1:135">
      <c r="A273" s="28" t="s">
        <v>5923</v>
      </c>
      <c r="B273" s="28" t="s">
        <v>5924</v>
      </c>
      <c r="C273" s="28" t="s">
        <v>138</v>
      </c>
      <c r="D273" s="28" t="s">
        <v>138</v>
      </c>
      <c r="E273" s="28" t="s">
        <v>5925</v>
      </c>
      <c r="F273" s="28" t="s">
        <v>5923</v>
      </c>
      <c r="G273" s="28" t="s">
        <v>5926</v>
      </c>
      <c r="H273" s="28" t="s">
        <v>322</v>
      </c>
      <c r="I273" s="28" t="s">
        <v>323</v>
      </c>
      <c r="J273" s="28" t="s">
        <v>437</v>
      </c>
      <c r="K273" s="28" t="s">
        <v>5927</v>
      </c>
      <c r="L273" s="28" t="s">
        <v>242</v>
      </c>
      <c r="M273" s="28" t="s">
        <v>5928</v>
      </c>
      <c r="N273" s="28" t="s">
        <v>147</v>
      </c>
      <c r="O273" s="29">
        <v>12.73</v>
      </c>
      <c r="P273" s="28" t="s">
        <v>148</v>
      </c>
      <c r="Q273" s="28" t="s">
        <v>149</v>
      </c>
      <c r="R273" s="28" t="s">
        <v>174</v>
      </c>
      <c r="S273" s="28" t="s">
        <v>5929</v>
      </c>
      <c r="T273" s="30">
        <v>24</v>
      </c>
      <c r="U273" s="28" t="s">
        <v>5930</v>
      </c>
      <c r="V273" s="28" t="s">
        <v>138</v>
      </c>
      <c r="W273" s="28" t="s">
        <v>138</v>
      </c>
      <c r="X273" s="31">
        <v>2010</v>
      </c>
      <c r="Y273" s="28" t="s">
        <v>138</v>
      </c>
      <c r="Z273" s="28" t="s">
        <v>138</v>
      </c>
      <c r="AA273" s="28" t="s">
        <v>138</v>
      </c>
      <c r="AB273" s="32" t="s">
        <v>138</v>
      </c>
      <c r="AC273" s="32" t="s">
        <v>138</v>
      </c>
      <c r="AD273" s="32" t="s">
        <v>138</v>
      </c>
      <c r="AE273" s="32" t="s">
        <v>138</v>
      </c>
      <c r="AF273" s="32" t="s">
        <v>138</v>
      </c>
      <c r="AG273" s="28" t="s">
        <v>138</v>
      </c>
      <c r="AH273" s="32" t="s">
        <v>138</v>
      </c>
      <c r="AI273" s="32" t="s">
        <v>138</v>
      </c>
      <c r="AJ273" s="32" t="s">
        <v>138</v>
      </c>
      <c r="AK273" s="28" t="s">
        <v>5931</v>
      </c>
      <c r="AL273" s="28" t="s">
        <v>5932</v>
      </c>
      <c r="AM273" s="28" t="s">
        <v>221</v>
      </c>
      <c r="AN273" s="28" t="s">
        <v>5933</v>
      </c>
      <c r="AO273" s="28" t="s">
        <v>5934</v>
      </c>
      <c r="AP273" s="28" t="s">
        <v>1168</v>
      </c>
      <c r="AQ273" s="28" t="s">
        <v>5935</v>
      </c>
      <c r="AR273" s="28" t="s">
        <v>138</v>
      </c>
      <c r="AS273" s="28" t="s">
        <v>1171</v>
      </c>
      <c r="AT273" s="28" t="s">
        <v>200</v>
      </c>
      <c r="AU273" s="28" t="s">
        <v>4152</v>
      </c>
      <c r="AV273" s="28" t="s">
        <v>162</v>
      </c>
      <c r="AW273" s="28" t="s">
        <v>5934</v>
      </c>
      <c r="AX273" s="28" t="s">
        <v>138</v>
      </c>
      <c r="AY273" s="28" t="s">
        <v>5936</v>
      </c>
      <c r="AZ273" s="28" t="s">
        <v>164</v>
      </c>
      <c r="BA273" s="28" t="s">
        <v>165</v>
      </c>
      <c r="BB273" s="28" t="s">
        <v>5937</v>
      </c>
      <c r="BC273" s="28" t="s">
        <v>5938</v>
      </c>
      <c r="BD273" s="33">
        <v>7</v>
      </c>
      <c r="BE273" s="28" t="s">
        <v>138</v>
      </c>
      <c r="BF273" s="28" t="s">
        <v>138</v>
      </c>
      <c r="BG273" s="28" t="s">
        <v>138</v>
      </c>
      <c r="BH273" s="28" t="s">
        <v>5939</v>
      </c>
      <c r="BI273" s="28" t="s">
        <v>138</v>
      </c>
      <c r="BJ273" s="28" t="s">
        <v>138</v>
      </c>
      <c r="BK273" s="28" t="s">
        <v>5940</v>
      </c>
      <c r="BL273" s="28" t="s">
        <v>5213</v>
      </c>
      <c r="BM273" s="34">
        <v>40501</v>
      </c>
      <c r="BN273" s="29">
        <v>1.25</v>
      </c>
      <c r="BO273" s="28" t="s">
        <v>172</v>
      </c>
      <c r="BP273" s="29">
        <v>5</v>
      </c>
      <c r="BQ273" s="28" t="s">
        <v>172</v>
      </c>
      <c r="BR273" s="28" t="s">
        <v>234</v>
      </c>
      <c r="BS273" s="28" t="s">
        <v>234</v>
      </c>
      <c r="BT273" s="28" t="s">
        <v>138</v>
      </c>
      <c r="BU273" s="28" t="s">
        <v>174</v>
      </c>
      <c r="BV273" s="28" t="s">
        <v>138</v>
      </c>
      <c r="BW273" s="28" t="s">
        <v>138</v>
      </c>
      <c r="BX273" s="28" t="s">
        <v>138</v>
      </c>
      <c r="BY273" s="28" t="s">
        <v>175</v>
      </c>
      <c r="BZ273" s="34">
        <v>42908</v>
      </c>
      <c r="CA273" s="29">
        <v>7.3</v>
      </c>
      <c r="CB273" s="28" t="s">
        <v>172</v>
      </c>
      <c r="CC273" s="29">
        <v>32.94</v>
      </c>
      <c r="CD273" s="28" t="s">
        <v>172</v>
      </c>
      <c r="CE273" s="28" t="s">
        <v>205</v>
      </c>
      <c r="CF273" s="28" t="s">
        <v>720</v>
      </c>
      <c r="CG273" s="28" t="s">
        <v>138</v>
      </c>
      <c r="CH273" s="28" t="s">
        <v>174</v>
      </c>
      <c r="CI273" s="28" t="s">
        <v>138</v>
      </c>
      <c r="CJ273" s="28" t="s">
        <v>138</v>
      </c>
      <c r="CK273" s="28" t="s">
        <v>138</v>
      </c>
      <c r="CL273" s="28" t="s">
        <v>175</v>
      </c>
      <c r="CM273" s="34" t="s">
        <v>138</v>
      </c>
      <c r="CN273" s="29" t="s">
        <v>138</v>
      </c>
      <c r="CO273" s="35">
        <v>7.0000000000000007E-2</v>
      </c>
      <c r="CP273" s="36">
        <v>89</v>
      </c>
      <c r="CQ273" s="35">
        <v>-0.01</v>
      </c>
      <c r="CR273" s="35">
        <v>-13.41</v>
      </c>
      <c r="CS273" s="35">
        <v>-0.02</v>
      </c>
      <c r="CT273" s="36">
        <v>23</v>
      </c>
      <c r="CU273" s="35">
        <v>0.05</v>
      </c>
      <c r="CV273" s="36">
        <v>58</v>
      </c>
      <c r="CW273" s="35">
        <v>2.0299999999999998</v>
      </c>
      <c r="CX273" s="36">
        <v>88</v>
      </c>
      <c r="CY273" s="35">
        <v>-2.0699999999999998</v>
      </c>
      <c r="CZ273" s="36">
        <v>11</v>
      </c>
      <c r="DA273" s="35">
        <v>0.14000000000000001</v>
      </c>
      <c r="DB273" s="36">
        <v>77</v>
      </c>
      <c r="DC273" s="37">
        <v>6.57</v>
      </c>
      <c r="DD273" s="36">
        <v>86</v>
      </c>
      <c r="DE273" s="37">
        <v>0.06</v>
      </c>
      <c r="DF273" s="35">
        <v>0.86</v>
      </c>
      <c r="DG273" s="37">
        <v>5.85</v>
      </c>
      <c r="DH273" s="36">
        <v>84</v>
      </c>
      <c r="DI273" s="37">
        <v>6.19</v>
      </c>
      <c r="DJ273" s="36">
        <v>80</v>
      </c>
      <c r="DK273" s="37">
        <v>3.43</v>
      </c>
      <c r="DL273" s="36">
        <v>74</v>
      </c>
      <c r="DM273" s="37">
        <v>8.2799999999999994</v>
      </c>
      <c r="DN273" s="36">
        <v>87</v>
      </c>
      <c r="DO273" s="37">
        <v>4.29</v>
      </c>
      <c r="DP273" s="36">
        <v>77</v>
      </c>
      <c r="DQ273" s="36">
        <v>1171</v>
      </c>
      <c r="DR273" s="38">
        <v>9</v>
      </c>
      <c r="DS273" s="35">
        <v>0.77</v>
      </c>
      <c r="DT273" s="36">
        <v>239</v>
      </c>
      <c r="DU273" s="38">
        <v>0</v>
      </c>
      <c r="DV273" s="35">
        <v>0</v>
      </c>
      <c r="DW273" s="36">
        <v>1536</v>
      </c>
      <c r="DX273" s="39">
        <v>1</v>
      </c>
      <c r="DY273" s="35">
        <v>7.0000000000000007E-2</v>
      </c>
      <c r="DZ273" s="28" t="s">
        <v>178</v>
      </c>
      <c r="EA273" s="34">
        <v>43351</v>
      </c>
      <c r="EB273" s="29">
        <v>32.94</v>
      </c>
      <c r="EC273" s="34">
        <v>42908</v>
      </c>
      <c r="ED273" s="28" t="s">
        <v>205</v>
      </c>
      <c r="EE273" s="40" t="str">
        <f>HYPERLINK("https://my.pitchbook.com?c=53862-40", "View company online")</f>
        <v>View company online</v>
      </c>
    </row>
    <row r="274" spans="1:135">
      <c r="A274" s="15" t="s">
        <v>5941</v>
      </c>
      <c r="B274" s="15" t="s">
        <v>5942</v>
      </c>
      <c r="C274" s="15" t="s">
        <v>138</v>
      </c>
      <c r="D274" s="15" t="s">
        <v>138</v>
      </c>
      <c r="E274" s="15" t="s">
        <v>5943</v>
      </c>
      <c r="F274" s="15" t="s">
        <v>5941</v>
      </c>
      <c r="G274" s="15" t="s">
        <v>5944</v>
      </c>
      <c r="H274" s="15" t="s">
        <v>322</v>
      </c>
      <c r="I274" s="15" t="s">
        <v>323</v>
      </c>
      <c r="J274" s="15" t="s">
        <v>461</v>
      </c>
      <c r="K274" s="15" t="s">
        <v>5945</v>
      </c>
      <c r="L274" s="15" t="s">
        <v>586</v>
      </c>
      <c r="M274" s="15" t="s">
        <v>5946</v>
      </c>
      <c r="N274" s="15" t="s">
        <v>147</v>
      </c>
      <c r="O274" s="17">
        <v>56.7</v>
      </c>
      <c r="P274" s="15" t="s">
        <v>148</v>
      </c>
      <c r="Q274" s="15" t="s">
        <v>149</v>
      </c>
      <c r="R274" s="15" t="s">
        <v>174</v>
      </c>
      <c r="S274" s="15" t="s">
        <v>5947</v>
      </c>
      <c r="T274" s="18">
        <v>95</v>
      </c>
      <c r="U274" s="15" t="s">
        <v>5948</v>
      </c>
      <c r="V274" s="15" t="s">
        <v>138</v>
      </c>
      <c r="W274" s="15" t="s">
        <v>138</v>
      </c>
      <c r="X274" s="19">
        <v>2013</v>
      </c>
      <c r="Y274" s="15" t="s">
        <v>138</v>
      </c>
      <c r="Z274" s="15" t="s">
        <v>138</v>
      </c>
      <c r="AA274" s="15" t="s">
        <v>138</v>
      </c>
      <c r="AB274" s="20" t="s">
        <v>138</v>
      </c>
      <c r="AC274" s="20" t="s">
        <v>138</v>
      </c>
      <c r="AD274" s="20" t="s">
        <v>138</v>
      </c>
      <c r="AE274" s="20" t="s">
        <v>138</v>
      </c>
      <c r="AF274" s="20" t="s">
        <v>138</v>
      </c>
      <c r="AG274" s="15" t="s">
        <v>138</v>
      </c>
      <c r="AH274" s="20" t="s">
        <v>138</v>
      </c>
      <c r="AI274" s="20" t="s">
        <v>138</v>
      </c>
      <c r="AJ274" s="20" t="s">
        <v>138</v>
      </c>
      <c r="AK274" s="15" t="s">
        <v>5949</v>
      </c>
      <c r="AL274" s="15" t="s">
        <v>5950</v>
      </c>
      <c r="AM274" s="15" t="s">
        <v>249</v>
      </c>
      <c r="AN274" s="15" t="s">
        <v>5951</v>
      </c>
      <c r="AO274" s="15" t="s">
        <v>5952</v>
      </c>
      <c r="AP274" s="15" t="s">
        <v>335</v>
      </c>
      <c r="AQ274" s="15" t="s">
        <v>5953</v>
      </c>
      <c r="AR274" s="15" t="s">
        <v>1459</v>
      </c>
      <c r="AS274" s="15" t="s">
        <v>338</v>
      </c>
      <c r="AT274" s="15" t="s">
        <v>339</v>
      </c>
      <c r="AU274" s="15" t="s">
        <v>5954</v>
      </c>
      <c r="AV274" s="15" t="s">
        <v>162</v>
      </c>
      <c r="AW274" s="15" t="s">
        <v>5952</v>
      </c>
      <c r="AX274" s="15" t="s">
        <v>138</v>
      </c>
      <c r="AY274" s="15" t="s">
        <v>5955</v>
      </c>
      <c r="AZ274" s="15" t="s">
        <v>164</v>
      </c>
      <c r="BA274" s="15" t="s">
        <v>165</v>
      </c>
      <c r="BB274" s="15" t="s">
        <v>5956</v>
      </c>
      <c r="BC274" s="15" t="s">
        <v>5957</v>
      </c>
      <c r="BD274" s="21">
        <v>10</v>
      </c>
      <c r="BE274" s="15" t="s">
        <v>138</v>
      </c>
      <c r="BF274" s="15" t="s">
        <v>138</v>
      </c>
      <c r="BG274" s="15" t="s">
        <v>138</v>
      </c>
      <c r="BH274" s="15" t="s">
        <v>5958</v>
      </c>
      <c r="BI274" s="15" t="s">
        <v>138</v>
      </c>
      <c r="BJ274" s="15" t="s">
        <v>138</v>
      </c>
      <c r="BK274" s="15" t="s">
        <v>5959</v>
      </c>
      <c r="BL274" s="15" t="s">
        <v>5960</v>
      </c>
      <c r="BM274" s="22">
        <v>42122</v>
      </c>
      <c r="BN274" s="17">
        <v>1.5</v>
      </c>
      <c r="BO274" s="15" t="s">
        <v>172</v>
      </c>
      <c r="BP274" s="17">
        <v>6.5</v>
      </c>
      <c r="BQ274" s="15" t="s">
        <v>172</v>
      </c>
      <c r="BR274" s="15" t="s">
        <v>234</v>
      </c>
      <c r="BS274" s="15" t="s">
        <v>234</v>
      </c>
      <c r="BT274" s="15" t="s">
        <v>138</v>
      </c>
      <c r="BU274" s="15" t="s">
        <v>174</v>
      </c>
      <c r="BV274" s="15" t="s">
        <v>138</v>
      </c>
      <c r="BW274" s="15" t="s">
        <v>138</v>
      </c>
      <c r="BX274" s="15" t="s">
        <v>138</v>
      </c>
      <c r="BY274" s="15" t="s">
        <v>175</v>
      </c>
      <c r="BZ274" s="22">
        <v>43038</v>
      </c>
      <c r="CA274" s="17">
        <v>30</v>
      </c>
      <c r="CB274" s="15" t="s">
        <v>172</v>
      </c>
      <c r="CC274" s="17">
        <v>115</v>
      </c>
      <c r="CD274" s="15" t="s">
        <v>172</v>
      </c>
      <c r="CE274" s="15" t="s">
        <v>173</v>
      </c>
      <c r="CF274" s="15" t="s">
        <v>317</v>
      </c>
      <c r="CG274" s="15" t="s">
        <v>138</v>
      </c>
      <c r="CH274" s="15" t="s">
        <v>174</v>
      </c>
      <c r="CI274" s="15" t="s">
        <v>177</v>
      </c>
      <c r="CJ274" s="15" t="s">
        <v>138</v>
      </c>
      <c r="CK274" s="15" t="s">
        <v>138</v>
      </c>
      <c r="CL274" s="15" t="s">
        <v>175</v>
      </c>
      <c r="CM274" s="22">
        <v>42605</v>
      </c>
      <c r="CN274" s="17">
        <v>3</v>
      </c>
      <c r="CO274" s="23">
        <v>0.82</v>
      </c>
      <c r="CP274" s="24">
        <v>97</v>
      </c>
      <c r="CQ274" s="23">
        <v>0.02</v>
      </c>
      <c r="CR274" s="23">
        <v>2.17</v>
      </c>
      <c r="CS274" s="23">
        <v>1.62</v>
      </c>
      <c r="CT274" s="24">
        <v>98</v>
      </c>
      <c r="CU274" s="23">
        <v>0.42</v>
      </c>
      <c r="CV274" s="24">
        <v>92</v>
      </c>
      <c r="CW274" s="23">
        <v>3.98</v>
      </c>
      <c r="CX274" s="24">
        <v>94</v>
      </c>
      <c r="CY274" s="23">
        <v>-0.74</v>
      </c>
      <c r="CZ274" s="24">
        <v>21</v>
      </c>
      <c r="DA274" s="23">
        <v>0.54</v>
      </c>
      <c r="DB274" s="24">
        <v>95</v>
      </c>
      <c r="DC274" s="25">
        <v>3.63</v>
      </c>
      <c r="DD274" s="24">
        <v>78</v>
      </c>
      <c r="DE274" s="25">
        <v>-0.09</v>
      </c>
      <c r="DF274" s="23">
        <v>-2.41</v>
      </c>
      <c r="DG274" s="25">
        <v>8.2100000000000009</v>
      </c>
      <c r="DH274" s="24">
        <v>88</v>
      </c>
      <c r="DI274" s="25">
        <v>2.5099999999999998</v>
      </c>
      <c r="DJ274" s="24">
        <v>66</v>
      </c>
      <c r="DK274" s="25">
        <v>4.66</v>
      </c>
      <c r="DL274" s="24">
        <v>78</v>
      </c>
      <c r="DM274" s="25">
        <v>11.76</v>
      </c>
      <c r="DN274" s="24">
        <v>90</v>
      </c>
      <c r="DO274" s="25">
        <v>4.79</v>
      </c>
      <c r="DP274" s="24">
        <v>79</v>
      </c>
      <c r="DQ274" s="24">
        <v>1551</v>
      </c>
      <c r="DR274" s="26">
        <v>143</v>
      </c>
      <c r="DS274" s="23">
        <v>10.16</v>
      </c>
      <c r="DT274" s="24">
        <v>340</v>
      </c>
      <c r="DU274" s="26">
        <v>1</v>
      </c>
      <c r="DV274" s="23">
        <v>0.28999999999999998</v>
      </c>
      <c r="DW274" s="24">
        <v>1714</v>
      </c>
      <c r="DX274" s="27">
        <v>6</v>
      </c>
      <c r="DY274" s="23">
        <v>0.35</v>
      </c>
      <c r="DZ274" s="15" t="s">
        <v>178</v>
      </c>
      <c r="EA274" s="22">
        <v>43495</v>
      </c>
      <c r="EB274" s="17">
        <v>115</v>
      </c>
      <c r="EC274" s="22">
        <v>43038</v>
      </c>
      <c r="ED274" s="15" t="s">
        <v>173</v>
      </c>
      <c r="EE274" s="14" t="str">
        <f>HYPERLINK("https://my.pitchbook.com?c=107634-52", "View company online")</f>
        <v>View company online</v>
      </c>
    </row>
    <row r="275" spans="1:135">
      <c r="A275" s="28" t="s">
        <v>5961</v>
      </c>
      <c r="B275" s="28" t="s">
        <v>5962</v>
      </c>
      <c r="C275" s="28" t="s">
        <v>138</v>
      </c>
      <c r="D275" s="28" t="s">
        <v>138</v>
      </c>
      <c r="E275" s="28" t="s">
        <v>5963</v>
      </c>
      <c r="F275" s="28" t="s">
        <v>5961</v>
      </c>
      <c r="G275" s="28" t="s">
        <v>5964</v>
      </c>
      <c r="H275" s="28" t="s">
        <v>322</v>
      </c>
      <c r="I275" s="28" t="s">
        <v>323</v>
      </c>
      <c r="J275" s="28" t="s">
        <v>461</v>
      </c>
      <c r="K275" s="28" t="s">
        <v>5965</v>
      </c>
      <c r="L275" s="28" t="s">
        <v>215</v>
      </c>
      <c r="M275" s="28" t="s">
        <v>5966</v>
      </c>
      <c r="N275" s="28" t="s">
        <v>147</v>
      </c>
      <c r="O275" s="29">
        <v>110.95</v>
      </c>
      <c r="P275" s="28" t="s">
        <v>148</v>
      </c>
      <c r="Q275" s="28" t="s">
        <v>149</v>
      </c>
      <c r="R275" s="28" t="s">
        <v>174</v>
      </c>
      <c r="S275" s="28" t="s">
        <v>5967</v>
      </c>
      <c r="T275" s="30">
        <v>250</v>
      </c>
      <c r="U275" s="28" t="s">
        <v>5968</v>
      </c>
      <c r="V275" s="28" t="s">
        <v>138</v>
      </c>
      <c r="W275" s="28" t="s">
        <v>138</v>
      </c>
      <c r="X275" s="31">
        <v>2010</v>
      </c>
      <c r="Y275" s="28" t="s">
        <v>138</v>
      </c>
      <c r="Z275" s="28" t="s">
        <v>138</v>
      </c>
      <c r="AA275" s="28" t="s">
        <v>138</v>
      </c>
      <c r="AB275" s="32" t="s">
        <v>138</v>
      </c>
      <c r="AC275" s="32" t="s">
        <v>138</v>
      </c>
      <c r="AD275" s="32" t="s">
        <v>138</v>
      </c>
      <c r="AE275" s="32" t="s">
        <v>138</v>
      </c>
      <c r="AF275" s="32" t="s">
        <v>138</v>
      </c>
      <c r="AG275" s="28" t="s">
        <v>138</v>
      </c>
      <c r="AH275" s="32" t="s">
        <v>138</v>
      </c>
      <c r="AI275" s="32" t="s">
        <v>138</v>
      </c>
      <c r="AJ275" s="32" t="s">
        <v>138</v>
      </c>
      <c r="AK275" s="28" t="s">
        <v>5969</v>
      </c>
      <c r="AL275" s="28" t="s">
        <v>5970</v>
      </c>
      <c r="AM275" s="28" t="s">
        <v>221</v>
      </c>
      <c r="AN275" s="28" t="s">
        <v>5971</v>
      </c>
      <c r="AO275" s="28" t="s">
        <v>5972</v>
      </c>
      <c r="AP275" s="28" t="s">
        <v>665</v>
      </c>
      <c r="AQ275" s="28" t="s">
        <v>5973</v>
      </c>
      <c r="AR275" s="28" t="s">
        <v>1483</v>
      </c>
      <c r="AS275" s="28" t="s">
        <v>668</v>
      </c>
      <c r="AT275" s="28" t="s">
        <v>200</v>
      </c>
      <c r="AU275" s="28" t="s">
        <v>669</v>
      </c>
      <c r="AV275" s="28" t="s">
        <v>162</v>
      </c>
      <c r="AW275" s="28" t="s">
        <v>5972</v>
      </c>
      <c r="AX275" s="28" t="s">
        <v>5974</v>
      </c>
      <c r="AY275" s="28" t="s">
        <v>5975</v>
      </c>
      <c r="AZ275" s="28" t="s">
        <v>164</v>
      </c>
      <c r="BA275" s="28" t="s">
        <v>165</v>
      </c>
      <c r="BB275" s="28" t="s">
        <v>5976</v>
      </c>
      <c r="BC275" s="28" t="s">
        <v>5977</v>
      </c>
      <c r="BD275" s="33">
        <v>9</v>
      </c>
      <c r="BE275" s="28" t="s">
        <v>138</v>
      </c>
      <c r="BF275" s="28" t="s">
        <v>138</v>
      </c>
      <c r="BG275" s="28" t="s">
        <v>138</v>
      </c>
      <c r="BH275" s="28" t="s">
        <v>5978</v>
      </c>
      <c r="BI275" s="28" t="s">
        <v>138</v>
      </c>
      <c r="BJ275" s="28" t="s">
        <v>138</v>
      </c>
      <c r="BK275" s="28" t="s">
        <v>5979</v>
      </c>
      <c r="BL275" s="28" t="s">
        <v>5980</v>
      </c>
      <c r="BM275" s="34">
        <v>40829</v>
      </c>
      <c r="BN275" s="29">
        <v>1.33</v>
      </c>
      <c r="BO275" s="28" t="s">
        <v>172</v>
      </c>
      <c r="BP275" s="29">
        <v>13.14</v>
      </c>
      <c r="BQ275" s="28" t="s">
        <v>172</v>
      </c>
      <c r="BR275" s="28" t="s">
        <v>234</v>
      </c>
      <c r="BS275" s="28" t="s">
        <v>234</v>
      </c>
      <c r="BT275" s="28" t="s">
        <v>138</v>
      </c>
      <c r="BU275" s="28" t="s">
        <v>174</v>
      </c>
      <c r="BV275" s="28" t="s">
        <v>264</v>
      </c>
      <c r="BW275" s="28" t="s">
        <v>138</v>
      </c>
      <c r="BX275" s="28" t="s">
        <v>138</v>
      </c>
      <c r="BY275" s="28" t="s">
        <v>175</v>
      </c>
      <c r="BZ275" s="34">
        <v>43516</v>
      </c>
      <c r="CA275" s="29">
        <v>50</v>
      </c>
      <c r="CB275" s="28" t="s">
        <v>172</v>
      </c>
      <c r="CC275" s="29">
        <v>670</v>
      </c>
      <c r="CD275" s="28" t="s">
        <v>172</v>
      </c>
      <c r="CE275" s="28" t="s">
        <v>173</v>
      </c>
      <c r="CF275" s="28" t="s">
        <v>433</v>
      </c>
      <c r="CG275" s="28" t="s">
        <v>138</v>
      </c>
      <c r="CH275" s="28" t="s">
        <v>174</v>
      </c>
      <c r="CI275" s="28" t="s">
        <v>138</v>
      </c>
      <c r="CJ275" s="28" t="s">
        <v>138</v>
      </c>
      <c r="CK275" s="28" t="s">
        <v>138</v>
      </c>
      <c r="CL275" s="28" t="s">
        <v>175</v>
      </c>
      <c r="CM275" s="34" t="s">
        <v>138</v>
      </c>
      <c r="CN275" s="29" t="s">
        <v>138</v>
      </c>
      <c r="CO275" s="35">
        <v>-0.88</v>
      </c>
      <c r="CP275" s="36">
        <v>12</v>
      </c>
      <c r="CQ275" s="35">
        <v>0.03</v>
      </c>
      <c r="CR275" s="35">
        <v>3.02</v>
      </c>
      <c r="CS275" s="35">
        <v>-3.56</v>
      </c>
      <c r="CT275" s="36">
        <v>4</v>
      </c>
      <c r="CU275" s="35">
        <v>0.35</v>
      </c>
      <c r="CV275" s="36">
        <v>89</v>
      </c>
      <c r="CW275" s="35">
        <v>-7.14</v>
      </c>
      <c r="CX275" s="36">
        <v>1</v>
      </c>
      <c r="CY275" s="35">
        <v>0.01</v>
      </c>
      <c r="CZ275" s="36">
        <v>97</v>
      </c>
      <c r="DA275" s="35">
        <v>0.35</v>
      </c>
      <c r="DB275" s="36">
        <v>90</v>
      </c>
      <c r="DC275" s="37">
        <v>14.64</v>
      </c>
      <c r="DD275" s="36">
        <v>93</v>
      </c>
      <c r="DE275" s="37">
        <v>1.81</v>
      </c>
      <c r="DF275" s="35">
        <v>14.09</v>
      </c>
      <c r="DG275" s="37">
        <v>27.07</v>
      </c>
      <c r="DH275" s="36">
        <v>96</v>
      </c>
      <c r="DI275" s="37">
        <v>16.38</v>
      </c>
      <c r="DJ275" s="36">
        <v>89</v>
      </c>
      <c r="DK275" s="37">
        <v>22.55</v>
      </c>
      <c r="DL275" s="36">
        <v>92</v>
      </c>
      <c r="DM275" s="37">
        <v>31.59</v>
      </c>
      <c r="DN275" s="36">
        <v>96</v>
      </c>
      <c r="DO275" s="37">
        <v>16.38</v>
      </c>
      <c r="DP275" s="36">
        <v>91</v>
      </c>
      <c r="DQ275" s="36">
        <v>7662</v>
      </c>
      <c r="DR275" s="38">
        <v>213</v>
      </c>
      <c r="DS275" s="35">
        <v>2.86</v>
      </c>
      <c r="DT275" s="36">
        <v>918</v>
      </c>
      <c r="DU275" s="38">
        <v>-4</v>
      </c>
      <c r="DV275" s="35">
        <v>-0.43</v>
      </c>
      <c r="DW275" s="36">
        <v>5860</v>
      </c>
      <c r="DX275" s="39">
        <v>10</v>
      </c>
      <c r="DY275" s="35">
        <v>0.17</v>
      </c>
      <c r="DZ275" s="28" t="s">
        <v>178</v>
      </c>
      <c r="EA275" s="34">
        <v>43581</v>
      </c>
      <c r="EB275" s="29">
        <v>670</v>
      </c>
      <c r="EC275" s="34">
        <v>43516</v>
      </c>
      <c r="ED275" s="28" t="s">
        <v>173</v>
      </c>
      <c r="EE275" s="40" t="str">
        <f>HYPERLINK("https://my.pitchbook.com?c=57553-12", "View company online")</f>
        <v>View company online</v>
      </c>
    </row>
    <row r="276" spans="1:135">
      <c r="A276" s="15" t="s">
        <v>5981</v>
      </c>
      <c r="B276" s="15" t="s">
        <v>5982</v>
      </c>
      <c r="C276" s="15" t="s">
        <v>138</v>
      </c>
      <c r="D276" s="15" t="s">
        <v>5983</v>
      </c>
      <c r="E276" s="15" t="s">
        <v>138</v>
      </c>
      <c r="F276" s="15" t="s">
        <v>5981</v>
      </c>
      <c r="G276" s="15" t="s">
        <v>5984</v>
      </c>
      <c r="H276" s="15" t="s">
        <v>141</v>
      </c>
      <c r="I276" s="15" t="s">
        <v>212</v>
      </c>
      <c r="J276" s="15" t="s">
        <v>486</v>
      </c>
      <c r="K276" s="15" t="s">
        <v>5985</v>
      </c>
      <c r="L276" s="15" t="s">
        <v>5986</v>
      </c>
      <c r="M276" s="15" t="s">
        <v>5987</v>
      </c>
      <c r="N276" s="15" t="s">
        <v>147</v>
      </c>
      <c r="O276" s="17">
        <v>4</v>
      </c>
      <c r="P276" s="15" t="s">
        <v>610</v>
      </c>
      <c r="Q276" s="15" t="s">
        <v>149</v>
      </c>
      <c r="R276" s="15" t="s">
        <v>174</v>
      </c>
      <c r="S276" s="15" t="s">
        <v>5988</v>
      </c>
      <c r="T276" s="18" t="s">
        <v>138</v>
      </c>
      <c r="U276" s="15" t="s">
        <v>138</v>
      </c>
      <c r="V276" s="15" t="s">
        <v>138</v>
      </c>
      <c r="W276" s="15" t="s">
        <v>138</v>
      </c>
      <c r="X276" s="19">
        <v>2018</v>
      </c>
      <c r="Y276" s="15" t="s">
        <v>138</v>
      </c>
      <c r="Z276" s="15" t="s">
        <v>138</v>
      </c>
      <c r="AA276" s="15" t="s">
        <v>138</v>
      </c>
      <c r="AB276" s="20" t="s">
        <v>138</v>
      </c>
      <c r="AC276" s="20" t="s">
        <v>138</v>
      </c>
      <c r="AD276" s="20" t="s">
        <v>138</v>
      </c>
      <c r="AE276" s="20" t="s">
        <v>138</v>
      </c>
      <c r="AF276" s="20" t="s">
        <v>138</v>
      </c>
      <c r="AG276" s="15" t="s">
        <v>138</v>
      </c>
      <c r="AH276" s="20" t="s">
        <v>138</v>
      </c>
      <c r="AI276" s="20" t="s">
        <v>138</v>
      </c>
      <c r="AJ276" s="20" t="s">
        <v>138</v>
      </c>
      <c r="AK276" s="15" t="s">
        <v>5989</v>
      </c>
      <c r="AL276" s="15" t="s">
        <v>5990</v>
      </c>
      <c r="AM276" s="15" t="s">
        <v>304</v>
      </c>
      <c r="AN276" s="15" t="s">
        <v>5991</v>
      </c>
      <c r="AO276" s="15" t="s">
        <v>5992</v>
      </c>
      <c r="AP276" s="15" t="s">
        <v>5993</v>
      </c>
      <c r="AQ276" s="15" t="s">
        <v>5994</v>
      </c>
      <c r="AR276" s="15" t="s">
        <v>138</v>
      </c>
      <c r="AS276" s="15" t="s">
        <v>5995</v>
      </c>
      <c r="AT276" s="15" t="s">
        <v>200</v>
      </c>
      <c r="AU276" s="15" t="s">
        <v>5996</v>
      </c>
      <c r="AV276" s="15" t="s">
        <v>162</v>
      </c>
      <c r="AW276" s="15" t="s">
        <v>5992</v>
      </c>
      <c r="AX276" s="15" t="s">
        <v>138</v>
      </c>
      <c r="AY276" s="15" t="s">
        <v>5997</v>
      </c>
      <c r="AZ276" s="15" t="s">
        <v>164</v>
      </c>
      <c r="BA276" s="15" t="s">
        <v>165</v>
      </c>
      <c r="BB276" s="15" t="s">
        <v>5998</v>
      </c>
      <c r="BC276" s="15" t="s">
        <v>5999</v>
      </c>
      <c r="BD276" s="21">
        <v>3</v>
      </c>
      <c r="BE276" s="15" t="s">
        <v>138</v>
      </c>
      <c r="BF276" s="15" t="s">
        <v>138</v>
      </c>
      <c r="BG276" s="15" t="s">
        <v>138</v>
      </c>
      <c r="BH276" s="15" t="s">
        <v>6000</v>
      </c>
      <c r="BI276" s="15" t="s">
        <v>138</v>
      </c>
      <c r="BJ276" s="15" t="s">
        <v>138</v>
      </c>
      <c r="BK276" s="15" t="s">
        <v>204</v>
      </c>
      <c r="BL276" s="15" t="s">
        <v>204</v>
      </c>
      <c r="BM276" s="22">
        <v>43252</v>
      </c>
      <c r="BN276" s="17">
        <v>4</v>
      </c>
      <c r="BO276" s="15" t="s">
        <v>172</v>
      </c>
      <c r="BP276" s="17">
        <v>16</v>
      </c>
      <c r="BQ276" s="15" t="s">
        <v>172</v>
      </c>
      <c r="BR276" s="15" t="s">
        <v>234</v>
      </c>
      <c r="BS276" s="15" t="s">
        <v>234</v>
      </c>
      <c r="BT276" s="15" t="s">
        <v>138</v>
      </c>
      <c r="BU276" s="15" t="s">
        <v>174</v>
      </c>
      <c r="BV276" s="15" t="s">
        <v>138</v>
      </c>
      <c r="BW276" s="15" t="s">
        <v>138</v>
      </c>
      <c r="BX276" s="15" t="s">
        <v>138</v>
      </c>
      <c r="BY276" s="15" t="s">
        <v>175</v>
      </c>
      <c r="BZ276" s="22">
        <v>43252</v>
      </c>
      <c r="CA276" s="17">
        <v>4</v>
      </c>
      <c r="CB276" s="15" t="s">
        <v>172</v>
      </c>
      <c r="CC276" s="17">
        <v>16</v>
      </c>
      <c r="CD276" s="15" t="s">
        <v>172</v>
      </c>
      <c r="CE276" s="15" t="s">
        <v>234</v>
      </c>
      <c r="CF276" s="15" t="s">
        <v>234</v>
      </c>
      <c r="CG276" s="15" t="s">
        <v>138</v>
      </c>
      <c r="CH276" s="15" t="s">
        <v>174</v>
      </c>
      <c r="CI276" s="15" t="s">
        <v>138</v>
      </c>
      <c r="CJ276" s="15" t="s">
        <v>138</v>
      </c>
      <c r="CK276" s="15" t="s">
        <v>138</v>
      </c>
      <c r="CL276" s="15" t="s">
        <v>175</v>
      </c>
      <c r="CM276" s="22" t="s">
        <v>138</v>
      </c>
      <c r="CN276" s="17" t="s">
        <v>138</v>
      </c>
      <c r="CO276" s="23" t="s">
        <v>138</v>
      </c>
      <c r="CP276" s="24" t="s">
        <v>138</v>
      </c>
      <c r="CQ276" s="23" t="s">
        <v>138</v>
      </c>
      <c r="CR276" s="23" t="s">
        <v>138</v>
      </c>
      <c r="CS276" s="23" t="s">
        <v>138</v>
      </c>
      <c r="CT276" s="24" t="s">
        <v>138</v>
      </c>
      <c r="CU276" s="23" t="s">
        <v>138</v>
      </c>
      <c r="CV276" s="24" t="s">
        <v>138</v>
      </c>
      <c r="CW276" s="23" t="s">
        <v>138</v>
      </c>
      <c r="CX276" s="24" t="s">
        <v>138</v>
      </c>
      <c r="CY276" s="23" t="s">
        <v>138</v>
      </c>
      <c r="CZ276" s="24" t="s">
        <v>138</v>
      </c>
      <c r="DA276" s="23" t="s">
        <v>138</v>
      </c>
      <c r="DB276" s="24" t="s">
        <v>138</v>
      </c>
      <c r="DC276" s="25" t="s">
        <v>138</v>
      </c>
      <c r="DD276" s="24" t="s">
        <v>138</v>
      </c>
      <c r="DE276" s="25" t="s">
        <v>138</v>
      </c>
      <c r="DF276" s="23" t="s">
        <v>138</v>
      </c>
      <c r="DG276" s="25" t="s">
        <v>138</v>
      </c>
      <c r="DH276" s="24" t="s">
        <v>138</v>
      </c>
      <c r="DI276" s="25" t="s">
        <v>138</v>
      </c>
      <c r="DJ276" s="24" t="s">
        <v>138</v>
      </c>
      <c r="DK276" s="25" t="s">
        <v>138</v>
      </c>
      <c r="DL276" s="24" t="s">
        <v>138</v>
      </c>
      <c r="DM276" s="25" t="s">
        <v>138</v>
      </c>
      <c r="DN276" s="24" t="s">
        <v>138</v>
      </c>
      <c r="DO276" s="25" t="s">
        <v>138</v>
      </c>
      <c r="DP276" s="24" t="s">
        <v>138</v>
      </c>
      <c r="DQ276" s="24" t="s">
        <v>138</v>
      </c>
      <c r="DR276" s="26" t="s">
        <v>138</v>
      </c>
      <c r="DS276" s="23" t="s">
        <v>138</v>
      </c>
      <c r="DT276" s="24" t="s">
        <v>138</v>
      </c>
      <c r="DU276" s="26" t="s">
        <v>138</v>
      </c>
      <c r="DV276" s="23" t="s">
        <v>138</v>
      </c>
      <c r="DW276" s="24" t="s">
        <v>138</v>
      </c>
      <c r="DX276" s="27" t="s">
        <v>138</v>
      </c>
      <c r="DY276" s="23" t="s">
        <v>138</v>
      </c>
      <c r="DZ276" s="15" t="s">
        <v>178</v>
      </c>
      <c r="EA276" s="22">
        <v>43614</v>
      </c>
      <c r="EB276" s="17">
        <v>16</v>
      </c>
      <c r="EC276" s="22">
        <v>43252</v>
      </c>
      <c r="ED276" s="15" t="s">
        <v>234</v>
      </c>
      <c r="EE276" s="14" t="str">
        <f>HYPERLINK("https://my.pitchbook.com?c=230740-75", "View company online")</f>
        <v>View company online</v>
      </c>
    </row>
    <row r="277" spans="1:135">
      <c r="A277" s="28" t="s">
        <v>6001</v>
      </c>
      <c r="B277" s="28" t="s">
        <v>6002</v>
      </c>
      <c r="C277" s="28" t="s">
        <v>6003</v>
      </c>
      <c r="D277" s="28" t="s">
        <v>138</v>
      </c>
      <c r="E277" s="28" t="s">
        <v>6004</v>
      </c>
      <c r="F277" s="28" t="s">
        <v>6001</v>
      </c>
      <c r="G277" s="28" t="s">
        <v>6005</v>
      </c>
      <c r="H277" s="28" t="s">
        <v>141</v>
      </c>
      <c r="I277" s="28" t="s">
        <v>212</v>
      </c>
      <c r="J277" s="28" t="s">
        <v>3169</v>
      </c>
      <c r="K277" s="28" t="s">
        <v>6006</v>
      </c>
      <c r="L277" s="28" t="s">
        <v>5328</v>
      </c>
      <c r="M277" s="28" t="s">
        <v>6007</v>
      </c>
      <c r="N277" s="28" t="s">
        <v>147</v>
      </c>
      <c r="O277" s="29">
        <v>30.63</v>
      </c>
      <c r="P277" s="28" t="s">
        <v>148</v>
      </c>
      <c r="Q277" s="28" t="s">
        <v>149</v>
      </c>
      <c r="R277" s="28" t="s">
        <v>174</v>
      </c>
      <c r="S277" s="28" t="s">
        <v>6008</v>
      </c>
      <c r="T277" s="30">
        <v>245</v>
      </c>
      <c r="U277" s="28" t="s">
        <v>6009</v>
      </c>
      <c r="V277" s="28" t="s">
        <v>138</v>
      </c>
      <c r="W277" s="28" t="s">
        <v>138</v>
      </c>
      <c r="X277" s="31">
        <v>1991</v>
      </c>
      <c r="Y277" s="28" t="s">
        <v>138</v>
      </c>
      <c r="Z277" s="28" t="s">
        <v>138</v>
      </c>
      <c r="AA277" s="28" t="s">
        <v>138</v>
      </c>
      <c r="AB277" s="32">
        <v>20.45</v>
      </c>
      <c r="AC277" s="32">
        <v>19.05</v>
      </c>
      <c r="AD277" s="32">
        <v>-3.15</v>
      </c>
      <c r="AE277" s="32" t="s">
        <v>138</v>
      </c>
      <c r="AF277" s="32">
        <v>-0.12</v>
      </c>
      <c r="AG277" s="28" t="s">
        <v>419</v>
      </c>
      <c r="AH277" s="32" t="s">
        <v>138</v>
      </c>
      <c r="AI277" s="32" t="s">
        <v>138</v>
      </c>
      <c r="AJ277" s="32" t="s">
        <v>138</v>
      </c>
      <c r="AK277" s="28" t="s">
        <v>6010</v>
      </c>
      <c r="AL277" s="28" t="s">
        <v>6011</v>
      </c>
      <c r="AM277" s="28" t="s">
        <v>6012</v>
      </c>
      <c r="AN277" s="28" t="s">
        <v>6013</v>
      </c>
      <c r="AO277" s="28" t="s">
        <v>6014</v>
      </c>
      <c r="AP277" s="28" t="s">
        <v>6015</v>
      </c>
      <c r="AQ277" s="28" t="s">
        <v>6016</v>
      </c>
      <c r="AR277" s="28" t="s">
        <v>138</v>
      </c>
      <c r="AS277" s="28" t="s">
        <v>6017</v>
      </c>
      <c r="AT277" s="28" t="s">
        <v>6018</v>
      </c>
      <c r="AU277" s="28" t="s">
        <v>6019</v>
      </c>
      <c r="AV277" s="28" t="s">
        <v>946</v>
      </c>
      <c r="AW277" s="28" t="s">
        <v>6014</v>
      </c>
      <c r="AX277" s="28" t="s">
        <v>6020</v>
      </c>
      <c r="AY277" s="28" t="s">
        <v>6021</v>
      </c>
      <c r="AZ277" s="28" t="s">
        <v>530</v>
      </c>
      <c r="BA277" s="28" t="s">
        <v>531</v>
      </c>
      <c r="BB277" s="28" t="s">
        <v>6022</v>
      </c>
      <c r="BC277" s="28" t="s">
        <v>6023</v>
      </c>
      <c r="BD277" s="33">
        <v>2</v>
      </c>
      <c r="BE277" s="28" t="s">
        <v>138</v>
      </c>
      <c r="BF277" s="28" t="s">
        <v>138</v>
      </c>
      <c r="BG277" s="28" t="s">
        <v>138</v>
      </c>
      <c r="BH277" s="28" t="s">
        <v>6024</v>
      </c>
      <c r="BI277" s="28" t="s">
        <v>138</v>
      </c>
      <c r="BJ277" s="28" t="s">
        <v>138</v>
      </c>
      <c r="BK277" s="28" t="s">
        <v>138</v>
      </c>
      <c r="BL277" s="28" t="s">
        <v>6025</v>
      </c>
      <c r="BM277" s="34">
        <v>40527</v>
      </c>
      <c r="BN277" s="29">
        <v>13.97</v>
      </c>
      <c r="BO277" s="28" t="s">
        <v>172</v>
      </c>
      <c r="BP277" s="29">
        <v>56.57</v>
      </c>
      <c r="BQ277" s="28" t="s">
        <v>1178</v>
      </c>
      <c r="BR277" s="28" t="s">
        <v>173</v>
      </c>
      <c r="BS277" s="28" t="s">
        <v>206</v>
      </c>
      <c r="BT277" s="28" t="s">
        <v>138</v>
      </c>
      <c r="BU277" s="28" t="s">
        <v>174</v>
      </c>
      <c r="BV277" s="28" t="s">
        <v>138</v>
      </c>
      <c r="BW277" s="28" t="s">
        <v>138</v>
      </c>
      <c r="BX277" s="28" t="s">
        <v>138</v>
      </c>
      <c r="BY277" s="28" t="s">
        <v>175</v>
      </c>
      <c r="BZ277" s="34">
        <v>42487</v>
      </c>
      <c r="CA277" s="29" t="s">
        <v>138</v>
      </c>
      <c r="CB277" s="28" t="s">
        <v>138</v>
      </c>
      <c r="CC277" s="29" t="s">
        <v>138</v>
      </c>
      <c r="CD277" s="28" t="s">
        <v>138</v>
      </c>
      <c r="CE277" s="28" t="s">
        <v>173</v>
      </c>
      <c r="CF277" s="28" t="s">
        <v>138</v>
      </c>
      <c r="CG277" s="28" t="s">
        <v>138</v>
      </c>
      <c r="CH277" s="28" t="s">
        <v>174</v>
      </c>
      <c r="CI277" s="28" t="s">
        <v>264</v>
      </c>
      <c r="CJ277" s="28" t="s">
        <v>138</v>
      </c>
      <c r="CK277" s="28" t="s">
        <v>138</v>
      </c>
      <c r="CL277" s="28" t="s">
        <v>175</v>
      </c>
      <c r="CM277" s="34" t="s">
        <v>138</v>
      </c>
      <c r="CN277" s="29" t="s">
        <v>138</v>
      </c>
      <c r="CO277" s="35">
        <v>-0.03</v>
      </c>
      <c r="CP277" s="36">
        <v>23</v>
      </c>
      <c r="CQ277" s="35">
        <v>7.0000000000000007E-2</v>
      </c>
      <c r="CR277" s="35">
        <v>69.36</v>
      </c>
      <c r="CS277" s="35">
        <v>-0.06</v>
      </c>
      <c r="CT277" s="36">
        <v>22</v>
      </c>
      <c r="CU277" s="35">
        <v>0</v>
      </c>
      <c r="CV277" s="36">
        <v>22</v>
      </c>
      <c r="CW277" s="35">
        <v>0</v>
      </c>
      <c r="CX277" s="36">
        <v>13</v>
      </c>
      <c r="CY277" s="35">
        <v>-0.11</v>
      </c>
      <c r="CZ277" s="36">
        <v>24</v>
      </c>
      <c r="DA277" s="35">
        <v>0</v>
      </c>
      <c r="DB277" s="36">
        <v>22</v>
      </c>
      <c r="DC277" s="37">
        <v>19.04</v>
      </c>
      <c r="DD277" s="36">
        <v>94</v>
      </c>
      <c r="DE277" s="37">
        <v>0</v>
      </c>
      <c r="DF277" s="35">
        <v>0</v>
      </c>
      <c r="DG277" s="37">
        <v>16</v>
      </c>
      <c r="DH277" s="36">
        <v>93</v>
      </c>
      <c r="DI277" s="37">
        <v>22.08</v>
      </c>
      <c r="DJ277" s="36">
        <v>91</v>
      </c>
      <c r="DK277" s="37">
        <v>1.75</v>
      </c>
      <c r="DL277" s="36">
        <v>62</v>
      </c>
      <c r="DM277" s="37">
        <v>30.24</v>
      </c>
      <c r="DN277" s="36">
        <v>96</v>
      </c>
      <c r="DO277" s="37">
        <v>22.08</v>
      </c>
      <c r="DP277" s="36">
        <v>93</v>
      </c>
      <c r="DQ277" s="36">
        <v>602</v>
      </c>
      <c r="DR277" s="38">
        <v>-8</v>
      </c>
      <c r="DS277" s="35">
        <v>-1.31</v>
      </c>
      <c r="DT277" s="36">
        <v>877</v>
      </c>
      <c r="DU277" s="38">
        <v>13</v>
      </c>
      <c r="DV277" s="35">
        <v>1.5</v>
      </c>
      <c r="DW277" s="36">
        <v>7901</v>
      </c>
      <c r="DX277" s="39">
        <v>2</v>
      </c>
      <c r="DY277" s="35">
        <v>0.03</v>
      </c>
      <c r="DZ277" s="28" t="s">
        <v>178</v>
      </c>
      <c r="EA277" s="34">
        <v>43622</v>
      </c>
      <c r="EB277" s="29">
        <v>74.010000000000005</v>
      </c>
      <c r="EC277" s="34">
        <v>41893</v>
      </c>
      <c r="ED277" s="28" t="s">
        <v>173</v>
      </c>
      <c r="EE277" s="40" t="str">
        <f>HYPERLINK("https://my.pitchbook.com?c=51439-42", "View company online")</f>
        <v>View company online</v>
      </c>
    </row>
    <row r="278" spans="1:135">
      <c r="A278" s="15" t="s">
        <v>6026</v>
      </c>
      <c r="B278" s="15" t="s">
        <v>6027</v>
      </c>
      <c r="C278" s="15" t="s">
        <v>138</v>
      </c>
      <c r="D278" s="15" t="s">
        <v>138</v>
      </c>
      <c r="E278" s="15" t="s">
        <v>6028</v>
      </c>
      <c r="F278" s="15" t="s">
        <v>6026</v>
      </c>
      <c r="G278" s="15" t="s">
        <v>6029</v>
      </c>
      <c r="H278" s="15" t="s">
        <v>322</v>
      </c>
      <c r="I278" s="15" t="s">
        <v>1208</v>
      </c>
      <c r="J278" s="15" t="s">
        <v>6030</v>
      </c>
      <c r="K278" s="15" t="s">
        <v>6031</v>
      </c>
      <c r="L278" s="15" t="s">
        <v>855</v>
      </c>
      <c r="M278" s="15" t="s">
        <v>6032</v>
      </c>
      <c r="N278" s="15" t="s">
        <v>147</v>
      </c>
      <c r="O278" s="17">
        <v>89.54</v>
      </c>
      <c r="P278" s="15" t="s">
        <v>148</v>
      </c>
      <c r="Q278" s="15" t="s">
        <v>149</v>
      </c>
      <c r="R278" s="15" t="s">
        <v>174</v>
      </c>
      <c r="S278" s="15" t="s">
        <v>6033</v>
      </c>
      <c r="T278" s="18">
        <v>180</v>
      </c>
      <c r="U278" s="15" t="s">
        <v>6034</v>
      </c>
      <c r="V278" s="15" t="s">
        <v>138</v>
      </c>
      <c r="W278" s="15" t="s">
        <v>138</v>
      </c>
      <c r="X278" s="19">
        <v>2010</v>
      </c>
      <c r="Y278" s="15" t="s">
        <v>138</v>
      </c>
      <c r="Z278" s="15" t="s">
        <v>138</v>
      </c>
      <c r="AA278" s="15" t="s">
        <v>138</v>
      </c>
      <c r="AB278" s="20" t="s">
        <v>138</v>
      </c>
      <c r="AC278" s="20" t="s">
        <v>138</v>
      </c>
      <c r="AD278" s="20" t="s">
        <v>138</v>
      </c>
      <c r="AE278" s="20" t="s">
        <v>138</v>
      </c>
      <c r="AF278" s="20" t="s">
        <v>138</v>
      </c>
      <c r="AG278" s="15" t="s">
        <v>138</v>
      </c>
      <c r="AH278" s="20" t="s">
        <v>138</v>
      </c>
      <c r="AI278" s="20" t="s">
        <v>138</v>
      </c>
      <c r="AJ278" s="20" t="s">
        <v>138</v>
      </c>
      <c r="AK278" s="15" t="s">
        <v>6035</v>
      </c>
      <c r="AL278" s="15" t="s">
        <v>6036</v>
      </c>
      <c r="AM278" s="15" t="s">
        <v>221</v>
      </c>
      <c r="AN278" s="15" t="s">
        <v>6037</v>
      </c>
      <c r="AO278" s="15" t="s">
        <v>6038</v>
      </c>
      <c r="AP278" s="15" t="s">
        <v>6039</v>
      </c>
      <c r="AQ278" s="15" t="s">
        <v>6040</v>
      </c>
      <c r="AR278" s="15" t="s">
        <v>282</v>
      </c>
      <c r="AS278" s="15" t="s">
        <v>6041</v>
      </c>
      <c r="AT278" s="15" t="s">
        <v>200</v>
      </c>
      <c r="AU278" s="15" t="s">
        <v>6042</v>
      </c>
      <c r="AV278" s="15" t="s">
        <v>162</v>
      </c>
      <c r="AW278" s="15" t="s">
        <v>6038</v>
      </c>
      <c r="AX278" s="15" t="s">
        <v>138</v>
      </c>
      <c r="AY278" s="15" t="s">
        <v>6043</v>
      </c>
      <c r="AZ278" s="15" t="s">
        <v>164</v>
      </c>
      <c r="BA278" s="15" t="s">
        <v>165</v>
      </c>
      <c r="BB278" s="15" t="s">
        <v>6044</v>
      </c>
      <c r="BC278" s="15" t="s">
        <v>6045</v>
      </c>
      <c r="BD278" s="21">
        <v>24</v>
      </c>
      <c r="BE278" s="15" t="s">
        <v>138</v>
      </c>
      <c r="BF278" s="15" t="s">
        <v>138</v>
      </c>
      <c r="BG278" s="15" t="s">
        <v>138</v>
      </c>
      <c r="BH278" s="15" t="s">
        <v>6046</v>
      </c>
      <c r="BI278" s="15" t="s">
        <v>138</v>
      </c>
      <c r="BJ278" s="15" t="s">
        <v>138</v>
      </c>
      <c r="BK278" s="15" t="s">
        <v>1251</v>
      </c>
      <c r="BL278" s="15" t="s">
        <v>1251</v>
      </c>
      <c r="BM278" s="22">
        <v>41159</v>
      </c>
      <c r="BN278" s="17">
        <v>2.04</v>
      </c>
      <c r="BO278" s="15" t="s">
        <v>172</v>
      </c>
      <c r="BP278" s="17">
        <v>7.04</v>
      </c>
      <c r="BQ278" s="15" t="s">
        <v>172</v>
      </c>
      <c r="BR278" s="15" t="s">
        <v>234</v>
      </c>
      <c r="BS278" s="15" t="s">
        <v>234</v>
      </c>
      <c r="BT278" s="15" t="s">
        <v>138</v>
      </c>
      <c r="BU278" s="15" t="s">
        <v>174</v>
      </c>
      <c r="BV278" s="15" t="s">
        <v>138</v>
      </c>
      <c r="BW278" s="15" t="s">
        <v>138</v>
      </c>
      <c r="BX278" s="15" t="s">
        <v>138</v>
      </c>
      <c r="BY278" s="15" t="s">
        <v>175</v>
      </c>
      <c r="BZ278" s="22">
        <v>43348</v>
      </c>
      <c r="CA278" s="17">
        <v>65</v>
      </c>
      <c r="CB278" s="15" t="s">
        <v>172</v>
      </c>
      <c r="CC278" s="17">
        <v>390</v>
      </c>
      <c r="CD278" s="15" t="s">
        <v>172</v>
      </c>
      <c r="CE278" s="15" t="s">
        <v>173</v>
      </c>
      <c r="CF278" s="15" t="s">
        <v>317</v>
      </c>
      <c r="CG278" s="15" t="s">
        <v>138</v>
      </c>
      <c r="CH278" s="15" t="s">
        <v>174</v>
      </c>
      <c r="CI278" s="15" t="s">
        <v>138</v>
      </c>
      <c r="CJ278" s="15" t="s">
        <v>138</v>
      </c>
      <c r="CK278" s="15" t="s">
        <v>138</v>
      </c>
      <c r="CL278" s="15" t="s">
        <v>175</v>
      </c>
      <c r="CM278" s="22" t="s">
        <v>138</v>
      </c>
      <c r="CN278" s="17" t="s">
        <v>138</v>
      </c>
      <c r="CO278" s="23">
        <v>0</v>
      </c>
      <c r="CP278" s="24">
        <v>26</v>
      </c>
      <c r="CQ278" s="23">
        <v>0</v>
      </c>
      <c r="CR278" s="23">
        <v>0</v>
      </c>
      <c r="CS278" s="23">
        <v>0</v>
      </c>
      <c r="CT278" s="24">
        <v>23</v>
      </c>
      <c r="CU278" s="23">
        <v>0</v>
      </c>
      <c r="CV278" s="24">
        <v>22</v>
      </c>
      <c r="CW278" s="23" t="s">
        <v>138</v>
      </c>
      <c r="CX278" s="24" t="s">
        <v>138</v>
      </c>
      <c r="CY278" s="23">
        <v>0</v>
      </c>
      <c r="CZ278" s="24">
        <v>25</v>
      </c>
      <c r="DA278" s="23">
        <v>0</v>
      </c>
      <c r="DB278" s="24">
        <v>22</v>
      </c>
      <c r="DC278" s="25">
        <v>0.37</v>
      </c>
      <c r="DD278" s="24">
        <v>27</v>
      </c>
      <c r="DE278" s="25">
        <v>0</v>
      </c>
      <c r="DF278" s="23">
        <v>0.06</v>
      </c>
      <c r="DG278" s="25">
        <v>0.66</v>
      </c>
      <c r="DH278" s="24">
        <v>41</v>
      </c>
      <c r="DI278" s="25">
        <v>0.08</v>
      </c>
      <c r="DJ278" s="24">
        <v>12</v>
      </c>
      <c r="DK278" s="25" t="s">
        <v>138</v>
      </c>
      <c r="DL278" s="24" t="s">
        <v>138</v>
      </c>
      <c r="DM278" s="25">
        <v>0.66</v>
      </c>
      <c r="DN278" s="24">
        <v>40</v>
      </c>
      <c r="DO278" s="25">
        <v>0.08</v>
      </c>
      <c r="DP278" s="24">
        <v>14</v>
      </c>
      <c r="DQ278" s="24" t="s">
        <v>138</v>
      </c>
      <c r="DR278" s="26" t="s">
        <v>138</v>
      </c>
      <c r="DS278" s="23" t="s">
        <v>138</v>
      </c>
      <c r="DT278" s="24">
        <v>19</v>
      </c>
      <c r="DU278" s="26">
        <v>0</v>
      </c>
      <c r="DV278" s="23">
        <v>0</v>
      </c>
      <c r="DW278" s="24">
        <v>29</v>
      </c>
      <c r="DX278" s="27">
        <v>0</v>
      </c>
      <c r="DY278" s="23">
        <v>0</v>
      </c>
      <c r="DZ278" s="15" t="s">
        <v>178</v>
      </c>
      <c r="EA278" s="22">
        <v>43607</v>
      </c>
      <c r="EB278" s="17">
        <v>390</v>
      </c>
      <c r="EC278" s="22">
        <v>43348</v>
      </c>
      <c r="ED278" s="15" t="s">
        <v>173</v>
      </c>
      <c r="EE278" s="14" t="str">
        <f>HYPERLINK("https://my.pitchbook.com?c=97357-96", "View company online")</f>
        <v>View company online</v>
      </c>
    </row>
    <row r="279" spans="1:135">
      <c r="A279" s="28" t="s">
        <v>6047</v>
      </c>
      <c r="B279" s="28" t="s">
        <v>6048</v>
      </c>
      <c r="C279" s="28" t="s">
        <v>138</v>
      </c>
      <c r="D279" s="28" t="s">
        <v>138</v>
      </c>
      <c r="E279" s="28" t="s">
        <v>6049</v>
      </c>
      <c r="F279" s="28" t="s">
        <v>6047</v>
      </c>
      <c r="G279" s="28" t="s">
        <v>6050</v>
      </c>
      <c r="H279" s="28" t="s">
        <v>322</v>
      </c>
      <c r="I279" s="28" t="s">
        <v>323</v>
      </c>
      <c r="J279" s="28" t="s">
        <v>2984</v>
      </c>
      <c r="K279" s="28" t="s">
        <v>6051</v>
      </c>
      <c r="L279" s="28" t="s">
        <v>6052</v>
      </c>
      <c r="M279" s="28" t="s">
        <v>6053</v>
      </c>
      <c r="N279" s="28" t="s">
        <v>147</v>
      </c>
      <c r="O279" s="29">
        <v>17.690000000000001</v>
      </c>
      <c r="P279" s="28" t="s">
        <v>610</v>
      </c>
      <c r="Q279" s="28" t="s">
        <v>149</v>
      </c>
      <c r="R279" s="28" t="s">
        <v>244</v>
      </c>
      <c r="S279" s="28" t="s">
        <v>6054</v>
      </c>
      <c r="T279" s="30" t="s">
        <v>138</v>
      </c>
      <c r="U279" s="28" t="s">
        <v>138</v>
      </c>
      <c r="V279" s="28" t="s">
        <v>138</v>
      </c>
      <c r="W279" s="28" t="s">
        <v>138</v>
      </c>
      <c r="X279" s="31">
        <v>2013</v>
      </c>
      <c r="Y279" s="28" t="s">
        <v>138</v>
      </c>
      <c r="Z279" s="28" t="s">
        <v>138</v>
      </c>
      <c r="AA279" s="28" t="s">
        <v>138</v>
      </c>
      <c r="AB279" s="32" t="s">
        <v>138</v>
      </c>
      <c r="AC279" s="32" t="s">
        <v>138</v>
      </c>
      <c r="AD279" s="32" t="s">
        <v>138</v>
      </c>
      <c r="AE279" s="32" t="s">
        <v>138</v>
      </c>
      <c r="AF279" s="32" t="s">
        <v>138</v>
      </c>
      <c r="AG279" s="28" t="s">
        <v>138</v>
      </c>
      <c r="AH279" s="32" t="s">
        <v>138</v>
      </c>
      <c r="AI279" s="32" t="s">
        <v>138</v>
      </c>
      <c r="AJ279" s="32" t="s">
        <v>138</v>
      </c>
      <c r="AK279" s="28" t="s">
        <v>6055</v>
      </c>
      <c r="AL279" s="28" t="s">
        <v>6056</v>
      </c>
      <c r="AM279" s="28" t="s">
        <v>444</v>
      </c>
      <c r="AN279" s="28" t="s">
        <v>138</v>
      </c>
      <c r="AO279" s="28" t="s">
        <v>6057</v>
      </c>
      <c r="AP279" s="28" t="s">
        <v>964</v>
      </c>
      <c r="AQ279" s="28" t="s">
        <v>6058</v>
      </c>
      <c r="AR279" s="28" t="s">
        <v>138</v>
      </c>
      <c r="AS279" s="28" t="s">
        <v>966</v>
      </c>
      <c r="AT279" s="28" t="s">
        <v>200</v>
      </c>
      <c r="AU279" s="28" t="s">
        <v>967</v>
      </c>
      <c r="AV279" s="28" t="s">
        <v>162</v>
      </c>
      <c r="AW279" s="28" t="s">
        <v>6057</v>
      </c>
      <c r="AX279" s="28" t="s">
        <v>138</v>
      </c>
      <c r="AY279" s="28" t="s">
        <v>6059</v>
      </c>
      <c r="AZ279" s="28" t="s">
        <v>164</v>
      </c>
      <c r="BA279" s="28" t="s">
        <v>165</v>
      </c>
      <c r="BB279" s="28" t="s">
        <v>6060</v>
      </c>
      <c r="BC279" s="28" t="s">
        <v>6061</v>
      </c>
      <c r="BD279" s="33">
        <v>23</v>
      </c>
      <c r="BE279" s="28" t="s">
        <v>138</v>
      </c>
      <c r="BF279" s="28" t="s">
        <v>138</v>
      </c>
      <c r="BG279" s="28" t="s">
        <v>138</v>
      </c>
      <c r="BH279" s="28" t="s">
        <v>6062</v>
      </c>
      <c r="BI279" s="28" t="s">
        <v>138</v>
      </c>
      <c r="BJ279" s="28" t="s">
        <v>138</v>
      </c>
      <c r="BK279" s="28" t="s">
        <v>138</v>
      </c>
      <c r="BL279" s="28" t="s">
        <v>6063</v>
      </c>
      <c r="BM279" s="34">
        <v>41627</v>
      </c>
      <c r="BN279" s="29">
        <v>1.5</v>
      </c>
      <c r="BO279" s="28" t="s">
        <v>172</v>
      </c>
      <c r="BP279" s="29">
        <v>6.5</v>
      </c>
      <c r="BQ279" s="28" t="s">
        <v>172</v>
      </c>
      <c r="BR279" s="28" t="s">
        <v>234</v>
      </c>
      <c r="BS279" s="28" t="s">
        <v>234</v>
      </c>
      <c r="BT279" s="28" t="s">
        <v>138</v>
      </c>
      <c r="BU279" s="28" t="s">
        <v>174</v>
      </c>
      <c r="BV279" s="28" t="s">
        <v>138</v>
      </c>
      <c r="BW279" s="28" t="s">
        <v>138</v>
      </c>
      <c r="BX279" s="28" t="s">
        <v>138</v>
      </c>
      <c r="BY279" s="28" t="s">
        <v>175</v>
      </c>
      <c r="BZ279" s="34">
        <v>42735</v>
      </c>
      <c r="CA279" s="29">
        <v>1.19</v>
      </c>
      <c r="CB279" s="28" t="s">
        <v>172</v>
      </c>
      <c r="CC279" s="29" t="s">
        <v>138</v>
      </c>
      <c r="CD279" s="28" t="s">
        <v>138</v>
      </c>
      <c r="CE279" s="28" t="s">
        <v>1326</v>
      </c>
      <c r="CF279" s="28" t="s">
        <v>138</v>
      </c>
      <c r="CG279" s="28" t="s">
        <v>138</v>
      </c>
      <c r="CH279" s="28" t="s">
        <v>1327</v>
      </c>
      <c r="CI279" s="28" t="s">
        <v>1328</v>
      </c>
      <c r="CJ279" s="28" t="s">
        <v>138</v>
      </c>
      <c r="CK279" s="28" t="s">
        <v>138</v>
      </c>
      <c r="CL279" s="28" t="s">
        <v>175</v>
      </c>
      <c r="CM279" s="34">
        <v>42735</v>
      </c>
      <c r="CN279" s="29">
        <v>1.19</v>
      </c>
      <c r="CO279" s="35">
        <v>-0.18</v>
      </c>
      <c r="CP279" s="36">
        <v>20</v>
      </c>
      <c r="CQ279" s="35">
        <v>0.01</v>
      </c>
      <c r="CR279" s="35">
        <v>3.04</v>
      </c>
      <c r="CS279" s="35">
        <v>-0.18</v>
      </c>
      <c r="CT279" s="36">
        <v>22</v>
      </c>
      <c r="CU279" s="35">
        <v>-0.17</v>
      </c>
      <c r="CV279" s="36">
        <v>2</v>
      </c>
      <c r="CW279" s="35">
        <v>0</v>
      </c>
      <c r="CX279" s="36">
        <v>13</v>
      </c>
      <c r="CY279" s="35">
        <v>-0.36</v>
      </c>
      <c r="CZ279" s="36">
        <v>23</v>
      </c>
      <c r="DA279" s="35">
        <v>-0.17</v>
      </c>
      <c r="DB279" s="36">
        <v>3</v>
      </c>
      <c r="DC279" s="37">
        <v>1.6</v>
      </c>
      <c r="DD279" s="36">
        <v>62</v>
      </c>
      <c r="DE279" s="37">
        <v>0.02</v>
      </c>
      <c r="DF279" s="35">
        <v>1.56</v>
      </c>
      <c r="DG279" s="37">
        <v>1.8</v>
      </c>
      <c r="DH279" s="36">
        <v>65</v>
      </c>
      <c r="DI279" s="37">
        <v>1.41</v>
      </c>
      <c r="DJ279" s="36">
        <v>56</v>
      </c>
      <c r="DK279" s="37">
        <v>0.25</v>
      </c>
      <c r="DL279" s="36">
        <v>22</v>
      </c>
      <c r="DM279" s="37">
        <v>3.34</v>
      </c>
      <c r="DN279" s="36">
        <v>75</v>
      </c>
      <c r="DO279" s="37">
        <v>1.41</v>
      </c>
      <c r="DP279" s="36">
        <v>57</v>
      </c>
      <c r="DQ279" s="36">
        <v>86</v>
      </c>
      <c r="DR279" s="38">
        <v>-9</v>
      </c>
      <c r="DS279" s="35">
        <v>-9.4700000000000006</v>
      </c>
      <c r="DT279" s="36">
        <v>96</v>
      </c>
      <c r="DU279" s="38">
        <v>3</v>
      </c>
      <c r="DV279" s="35">
        <v>3.23</v>
      </c>
      <c r="DW279" s="36">
        <v>504</v>
      </c>
      <c r="DX279" s="39">
        <v>0</v>
      </c>
      <c r="DY279" s="35">
        <v>0</v>
      </c>
      <c r="DZ279" s="28" t="s">
        <v>178</v>
      </c>
      <c r="EA279" s="34">
        <v>43416</v>
      </c>
      <c r="EB279" s="29">
        <v>6.5</v>
      </c>
      <c r="EC279" s="34">
        <v>41627</v>
      </c>
      <c r="ED279" s="28" t="s">
        <v>234</v>
      </c>
      <c r="EE279" s="40" t="str">
        <f>HYPERLINK("https://my.pitchbook.com?c=107036-65", "View company online")</f>
        <v>View company online</v>
      </c>
    </row>
    <row r="280" spans="1:135">
      <c r="A280" s="15" t="s">
        <v>6064</v>
      </c>
      <c r="B280" s="15" t="s">
        <v>6065</v>
      </c>
      <c r="C280" s="15" t="s">
        <v>138</v>
      </c>
      <c r="D280" s="15" t="s">
        <v>138</v>
      </c>
      <c r="E280" s="15" t="s">
        <v>6066</v>
      </c>
      <c r="F280" s="15" t="s">
        <v>6064</v>
      </c>
      <c r="G280" s="15" t="s">
        <v>6067</v>
      </c>
      <c r="H280" s="15" t="s">
        <v>322</v>
      </c>
      <c r="I280" s="15" t="s">
        <v>323</v>
      </c>
      <c r="J280" s="15" t="s">
        <v>324</v>
      </c>
      <c r="K280" s="15" t="s">
        <v>1543</v>
      </c>
      <c r="L280" s="15" t="s">
        <v>6068</v>
      </c>
      <c r="M280" s="15" t="s">
        <v>6069</v>
      </c>
      <c r="N280" s="15" t="s">
        <v>147</v>
      </c>
      <c r="O280" s="17" t="s">
        <v>138</v>
      </c>
      <c r="P280" s="15" t="s">
        <v>812</v>
      </c>
      <c r="Q280" s="15" t="s">
        <v>149</v>
      </c>
      <c r="R280" s="15" t="s">
        <v>174</v>
      </c>
      <c r="S280" s="15" t="s">
        <v>6070</v>
      </c>
      <c r="T280" s="18">
        <v>11</v>
      </c>
      <c r="U280" s="15" t="s">
        <v>6071</v>
      </c>
      <c r="V280" s="15" t="s">
        <v>138</v>
      </c>
      <c r="W280" s="15" t="s">
        <v>138</v>
      </c>
      <c r="X280" s="19">
        <v>2013</v>
      </c>
      <c r="Y280" s="15" t="s">
        <v>138</v>
      </c>
      <c r="Z280" s="15" t="s">
        <v>138</v>
      </c>
      <c r="AA280" s="15" t="s">
        <v>138</v>
      </c>
      <c r="AB280" s="20" t="s">
        <v>138</v>
      </c>
      <c r="AC280" s="20" t="s">
        <v>138</v>
      </c>
      <c r="AD280" s="20" t="s">
        <v>138</v>
      </c>
      <c r="AE280" s="20" t="s">
        <v>138</v>
      </c>
      <c r="AF280" s="20" t="s">
        <v>138</v>
      </c>
      <c r="AG280" s="15" t="s">
        <v>138</v>
      </c>
      <c r="AH280" s="20" t="s">
        <v>138</v>
      </c>
      <c r="AI280" s="20" t="s">
        <v>138</v>
      </c>
      <c r="AJ280" s="20" t="s">
        <v>138</v>
      </c>
      <c r="AK280" s="15" t="s">
        <v>6072</v>
      </c>
      <c r="AL280" s="15" t="s">
        <v>6073</v>
      </c>
      <c r="AM280" s="15" t="s">
        <v>6074</v>
      </c>
      <c r="AN280" s="15" t="s">
        <v>6075</v>
      </c>
      <c r="AO280" s="15" t="s">
        <v>6076</v>
      </c>
      <c r="AP280" s="15" t="s">
        <v>6077</v>
      </c>
      <c r="AQ280" s="15" t="s">
        <v>6078</v>
      </c>
      <c r="AR280" s="15" t="s">
        <v>138</v>
      </c>
      <c r="AS280" s="15" t="s">
        <v>6079</v>
      </c>
      <c r="AT280" s="15" t="s">
        <v>200</v>
      </c>
      <c r="AU280" s="15" t="s">
        <v>6080</v>
      </c>
      <c r="AV280" s="15" t="s">
        <v>162</v>
      </c>
      <c r="AW280" s="15" t="s">
        <v>6076</v>
      </c>
      <c r="AX280" s="15" t="s">
        <v>138</v>
      </c>
      <c r="AY280" s="15" t="s">
        <v>6081</v>
      </c>
      <c r="AZ280" s="15" t="s">
        <v>164</v>
      </c>
      <c r="BA280" s="15" t="s">
        <v>165</v>
      </c>
      <c r="BB280" s="15" t="s">
        <v>6082</v>
      </c>
      <c r="BC280" s="15" t="s">
        <v>6083</v>
      </c>
      <c r="BD280" s="21">
        <v>1</v>
      </c>
      <c r="BE280" s="15" t="s">
        <v>138</v>
      </c>
      <c r="BF280" s="15" t="s">
        <v>138</v>
      </c>
      <c r="BG280" s="15" t="s">
        <v>138</v>
      </c>
      <c r="BH280" s="15" t="s">
        <v>138</v>
      </c>
      <c r="BI280" s="15" t="s">
        <v>138</v>
      </c>
      <c r="BJ280" s="15" t="s">
        <v>138</v>
      </c>
      <c r="BK280" s="15" t="s">
        <v>138</v>
      </c>
      <c r="BL280" s="15" t="s">
        <v>138</v>
      </c>
      <c r="BM280" s="22">
        <v>42489</v>
      </c>
      <c r="BN280" s="17" t="s">
        <v>138</v>
      </c>
      <c r="BO280" s="15" t="s">
        <v>138</v>
      </c>
      <c r="BP280" s="17" t="s">
        <v>138</v>
      </c>
      <c r="BQ280" s="15" t="s">
        <v>138</v>
      </c>
      <c r="BR280" s="15" t="s">
        <v>349</v>
      </c>
      <c r="BS280" s="15" t="s">
        <v>138</v>
      </c>
      <c r="BT280" s="15" t="s">
        <v>138</v>
      </c>
      <c r="BU280" s="15" t="s">
        <v>174</v>
      </c>
      <c r="BV280" s="15" t="s">
        <v>138</v>
      </c>
      <c r="BW280" s="15" t="s">
        <v>138</v>
      </c>
      <c r="BX280" s="15" t="s">
        <v>138</v>
      </c>
      <c r="BY280" s="15" t="s">
        <v>175</v>
      </c>
      <c r="BZ280" s="22">
        <v>42489</v>
      </c>
      <c r="CA280" s="17" t="s">
        <v>138</v>
      </c>
      <c r="CB280" s="15" t="s">
        <v>138</v>
      </c>
      <c r="CC280" s="17" t="s">
        <v>138</v>
      </c>
      <c r="CD280" s="15" t="s">
        <v>138</v>
      </c>
      <c r="CE280" s="15" t="s">
        <v>349</v>
      </c>
      <c r="CF280" s="15" t="s">
        <v>138</v>
      </c>
      <c r="CG280" s="15" t="s">
        <v>138</v>
      </c>
      <c r="CH280" s="15" t="s">
        <v>174</v>
      </c>
      <c r="CI280" s="15" t="s">
        <v>138</v>
      </c>
      <c r="CJ280" s="15" t="s">
        <v>138</v>
      </c>
      <c r="CK280" s="15" t="s">
        <v>138</v>
      </c>
      <c r="CL280" s="15" t="s">
        <v>175</v>
      </c>
      <c r="CM280" s="22" t="s">
        <v>138</v>
      </c>
      <c r="CN280" s="17" t="s">
        <v>138</v>
      </c>
      <c r="CO280" s="23">
        <v>-0.03</v>
      </c>
      <c r="CP280" s="24">
        <v>23</v>
      </c>
      <c r="CQ280" s="23">
        <v>-0.01</v>
      </c>
      <c r="CR280" s="23">
        <v>-56.59</v>
      </c>
      <c r="CS280" s="23">
        <v>0</v>
      </c>
      <c r="CT280" s="24">
        <v>23</v>
      </c>
      <c r="CU280" s="23">
        <v>-0.05</v>
      </c>
      <c r="CV280" s="24">
        <v>9</v>
      </c>
      <c r="CW280" s="23">
        <v>0</v>
      </c>
      <c r="CX280" s="24">
        <v>13</v>
      </c>
      <c r="CY280" s="23">
        <v>0</v>
      </c>
      <c r="CZ280" s="24">
        <v>25</v>
      </c>
      <c r="DA280" s="23">
        <v>-0.13</v>
      </c>
      <c r="DB280" s="24">
        <v>4</v>
      </c>
      <c r="DC280" s="25">
        <v>0.8</v>
      </c>
      <c r="DD280" s="24">
        <v>46</v>
      </c>
      <c r="DE280" s="25">
        <v>-0.02</v>
      </c>
      <c r="DF280" s="23">
        <v>-2.63</v>
      </c>
      <c r="DG280" s="25">
        <v>0.42</v>
      </c>
      <c r="DH280" s="24">
        <v>31</v>
      </c>
      <c r="DI280" s="25">
        <v>1.19</v>
      </c>
      <c r="DJ280" s="24">
        <v>52</v>
      </c>
      <c r="DK280" s="25">
        <v>0.73</v>
      </c>
      <c r="DL280" s="24">
        <v>44</v>
      </c>
      <c r="DM280" s="25">
        <v>0.1</v>
      </c>
      <c r="DN280" s="24">
        <v>8</v>
      </c>
      <c r="DO280" s="25">
        <v>1.87</v>
      </c>
      <c r="DP280" s="24">
        <v>62</v>
      </c>
      <c r="DQ280" s="24">
        <v>251</v>
      </c>
      <c r="DR280" s="26">
        <v>0</v>
      </c>
      <c r="DS280" s="23">
        <v>0</v>
      </c>
      <c r="DT280" s="24">
        <v>3</v>
      </c>
      <c r="DU280" s="26">
        <v>0</v>
      </c>
      <c r="DV280" s="23">
        <v>0</v>
      </c>
      <c r="DW280" s="24">
        <v>670</v>
      </c>
      <c r="DX280" s="27">
        <v>0</v>
      </c>
      <c r="DY280" s="23">
        <v>0</v>
      </c>
      <c r="DZ280" s="15" t="s">
        <v>178</v>
      </c>
      <c r="EA280" s="22">
        <v>43351</v>
      </c>
      <c r="EB280" s="17" t="s">
        <v>138</v>
      </c>
      <c r="EC280" s="22" t="s">
        <v>138</v>
      </c>
      <c r="ED280" s="15" t="s">
        <v>138</v>
      </c>
      <c r="EE280" s="14" t="str">
        <f>HYPERLINK("https://my.pitchbook.com?c=96835-60", "View company online")</f>
        <v>View company online</v>
      </c>
    </row>
    <row r="281" spans="1:135">
      <c r="A281" s="28" t="s">
        <v>6084</v>
      </c>
      <c r="B281" s="28" t="s">
        <v>6085</v>
      </c>
      <c r="C281" s="28" t="s">
        <v>138</v>
      </c>
      <c r="D281" s="28" t="s">
        <v>138</v>
      </c>
      <c r="E281" s="28" t="s">
        <v>138</v>
      </c>
      <c r="F281" s="28" t="s">
        <v>6084</v>
      </c>
      <c r="G281" s="28" t="s">
        <v>6086</v>
      </c>
      <c r="H281" s="28" t="s">
        <v>322</v>
      </c>
      <c r="I281" s="28" t="s">
        <v>807</v>
      </c>
      <c r="J281" s="28" t="s">
        <v>808</v>
      </c>
      <c r="K281" s="28" t="s">
        <v>6087</v>
      </c>
      <c r="L281" s="28" t="s">
        <v>2274</v>
      </c>
      <c r="M281" s="28" t="s">
        <v>6088</v>
      </c>
      <c r="N281" s="28" t="s">
        <v>147</v>
      </c>
      <c r="O281" s="29" t="s">
        <v>138</v>
      </c>
      <c r="P281" s="28" t="s">
        <v>610</v>
      </c>
      <c r="Q281" s="28" t="s">
        <v>149</v>
      </c>
      <c r="R281" s="28" t="s">
        <v>174</v>
      </c>
      <c r="S281" s="28" t="s">
        <v>6089</v>
      </c>
      <c r="T281" s="30" t="s">
        <v>138</v>
      </c>
      <c r="U281" s="28" t="s">
        <v>138</v>
      </c>
      <c r="V281" s="28" t="s">
        <v>138</v>
      </c>
      <c r="W281" s="28" t="s">
        <v>138</v>
      </c>
      <c r="X281" s="31">
        <v>2011</v>
      </c>
      <c r="Y281" s="28" t="s">
        <v>138</v>
      </c>
      <c r="Z281" s="28" t="s">
        <v>138</v>
      </c>
      <c r="AA281" s="28" t="s">
        <v>138</v>
      </c>
      <c r="AB281" s="32" t="s">
        <v>138</v>
      </c>
      <c r="AC281" s="32" t="s">
        <v>138</v>
      </c>
      <c r="AD281" s="32" t="s">
        <v>138</v>
      </c>
      <c r="AE281" s="32" t="s">
        <v>138</v>
      </c>
      <c r="AF281" s="32" t="s">
        <v>138</v>
      </c>
      <c r="AG281" s="28" t="s">
        <v>138</v>
      </c>
      <c r="AH281" s="32" t="s">
        <v>138</v>
      </c>
      <c r="AI281" s="32" t="s">
        <v>138</v>
      </c>
      <c r="AJ281" s="32" t="s">
        <v>138</v>
      </c>
      <c r="AK281" s="28" t="s">
        <v>6090</v>
      </c>
      <c r="AL281" s="28" t="s">
        <v>6091</v>
      </c>
      <c r="AM281" s="28" t="s">
        <v>6092</v>
      </c>
      <c r="AN281" s="28" t="s">
        <v>6093</v>
      </c>
      <c r="AO281" s="28" t="s">
        <v>6094</v>
      </c>
      <c r="AP281" s="28" t="s">
        <v>6095</v>
      </c>
      <c r="AQ281" s="28" t="s">
        <v>6096</v>
      </c>
      <c r="AR281" s="28" t="s">
        <v>6097</v>
      </c>
      <c r="AS281" s="28" t="s">
        <v>6098</v>
      </c>
      <c r="AT281" s="28" t="s">
        <v>6099</v>
      </c>
      <c r="AU281" s="28" t="s">
        <v>138</v>
      </c>
      <c r="AV281" s="28" t="s">
        <v>2071</v>
      </c>
      <c r="AW281" s="28" t="s">
        <v>6094</v>
      </c>
      <c r="AX281" s="28" t="s">
        <v>6100</v>
      </c>
      <c r="AY281" s="28" t="s">
        <v>6101</v>
      </c>
      <c r="AZ281" s="28" t="s">
        <v>452</v>
      </c>
      <c r="BA281" s="28" t="s">
        <v>453</v>
      </c>
      <c r="BB281" s="28" t="s">
        <v>6102</v>
      </c>
      <c r="BC281" s="28" t="s">
        <v>6103</v>
      </c>
      <c r="BD281" s="33">
        <v>3</v>
      </c>
      <c r="BE281" s="28" t="s">
        <v>138</v>
      </c>
      <c r="BF281" s="28" t="s">
        <v>138</v>
      </c>
      <c r="BG281" s="28" t="s">
        <v>138</v>
      </c>
      <c r="BH281" s="28" t="s">
        <v>6104</v>
      </c>
      <c r="BI281" s="28" t="s">
        <v>138</v>
      </c>
      <c r="BJ281" s="28" t="s">
        <v>138</v>
      </c>
      <c r="BK281" s="28" t="s">
        <v>138</v>
      </c>
      <c r="BL281" s="28" t="s">
        <v>138</v>
      </c>
      <c r="BM281" s="34">
        <v>40909</v>
      </c>
      <c r="BN281" s="29" t="s">
        <v>138</v>
      </c>
      <c r="BO281" s="28" t="s">
        <v>138</v>
      </c>
      <c r="BP281" s="29" t="s">
        <v>138</v>
      </c>
      <c r="BQ281" s="28" t="s">
        <v>138</v>
      </c>
      <c r="BR281" s="28" t="s">
        <v>205</v>
      </c>
      <c r="BS281" s="28" t="s">
        <v>138</v>
      </c>
      <c r="BT281" s="28" t="s">
        <v>138</v>
      </c>
      <c r="BU281" s="28" t="s">
        <v>174</v>
      </c>
      <c r="BV281" s="28" t="s">
        <v>138</v>
      </c>
      <c r="BW281" s="28" t="s">
        <v>138</v>
      </c>
      <c r="BX281" s="28" t="s">
        <v>138</v>
      </c>
      <c r="BY281" s="28" t="s">
        <v>175</v>
      </c>
      <c r="BZ281" s="34">
        <v>41640</v>
      </c>
      <c r="CA281" s="29" t="s">
        <v>138</v>
      </c>
      <c r="CB281" s="28" t="s">
        <v>138</v>
      </c>
      <c r="CC281" s="29" t="s">
        <v>138</v>
      </c>
      <c r="CD281" s="28" t="s">
        <v>138</v>
      </c>
      <c r="CE281" s="28" t="s">
        <v>205</v>
      </c>
      <c r="CF281" s="28" t="s">
        <v>138</v>
      </c>
      <c r="CG281" s="28" t="s">
        <v>138</v>
      </c>
      <c r="CH281" s="28" t="s">
        <v>174</v>
      </c>
      <c r="CI281" s="28" t="s">
        <v>138</v>
      </c>
      <c r="CJ281" s="28" t="s">
        <v>138</v>
      </c>
      <c r="CK281" s="28" t="s">
        <v>138</v>
      </c>
      <c r="CL281" s="28" t="s">
        <v>175</v>
      </c>
      <c r="CM281" s="34" t="s">
        <v>138</v>
      </c>
      <c r="CN281" s="29" t="s">
        <v>138</v>
      </c>
      <c r="CO281" s="35">
        <v>0</v>
      </c>
      <c r="CP281" s="36">
        <v>26</v>
      </c>
      <c r="CQ281" s="35">
        <v>0</v>
      </c>
      <c r="CR281" s="35">
        <v>0</v>
      </c>
      <c r="CS281" s="35">
        <v>0</v>
      </c>
      <c r="CT281" s="36">
        <v>23</v>
      </c>
      <c r="CU281" s="35">
        <v>0</v>
      </c>
      <c r="CV281" s="36">
        <v>22</v>
      </c>
      <c r="CW281" s="35" t="s">
        <v>138</v>
      </c>
      <c r="CX281" s="36" t="s">
        <v>138</v>
      </c>
      <c r="CY281" s="35">
        <v>0</v>
      </c>
      <c r="CZ281" s="36">
        <v>25</v>
      </c>
      <c r="DA281" s="35" t="s">
        <v>138</v>
      </c>
      <c r="DB281" s="36" t="s">
        <v>138</v>
      </c>
      <c r="DC281" s="37">
        <v>0.25</v>
      </c>
      <c r="DD281" s="36">
        <v>20</v>
      </c>
      <c r="DE281" s="37">
        <v>0</v>
      </c>
      <c r="DF281" s="35">
        <v>0</v>
      </c>
      <c r="DG281" s="37">
        <v>0.48</v>
      </c>
      <c r="DH281" s="36">
        <v>33</v>
      </c>
      <c r="DI281" s="37">
        <v>0.02</v>
      </c>
      <c r="DJ281" s="36">
        <v>4</v>
      </c>
      <c r="DK281" s="37" t="s">
        <v>138</v>
      </c>
      <c r="DL281" s="36" t="s">
        <v>138</v>
      </c>
      <c r="DM281" s="37">
        <v>0.48</v>
      </c>
      <c r="DN281" s="36">
        <v>33</v>
      </c>
      <c r="DO281" s="37" t="s">
        <v>138</v>
      </c>
      <c r="DP281" s="36" t="s">
        <v>138</v>
      </c>
      <c r="DQ281" s="36" t="s">
        <v>138</v>
      </c>
      <c r="DR281" s="38" t="s">
        <v>138</v>
      </c>
      <c r="DS281" s="35" t="s">
        <v>138</v>
      </c>
      <c r="DT281" s="36">
        <v>14</v>
      </c>
      <c r="DU281" s="38">
        <v>0</v>
      </c>
      <c r="DV281" s="35">
        <v>0</v>
      </c>
      <c r="DW281" s="36" t="s">
        <v>138</v>
      </c>
      <c r="DX281" s="39" t="s">
        <v>138</v>
      </c>
      <c r="DY281" s="35" t="s">
        <v>138</v>
      </c>
      <c r="DZ281" s="28" t="s">
        <v>178</v>
      </c>
      <c r="EA281" s="34">
        <v>43453</v>
      </c>
      <c r="EB281" s="29" t="s">
        <v>138</v>
      </c>
      <c r="EC281" s="34" t="s">
        <v>138</v>
      </c>
      <c r="ED281" s="28" t="s">
        <v>138</v>
      </c>
      <c r="EE281" s="40" t="str">
        <f>HYPERLINK("https://my.pitchbook.com?c=111491-83", "View company online")</f>
        <v>View company online</v>
      </c>
    </row>
    <row r="282" spans="1:135">
      <c r="A282" s="15" t="s">
        <v>6105</v>
      </c>
      <c r="B282" s="15" t="s">
        <v>6106</v>
      </c>
      <c r="C282" s="15" t="s">
        <v>138</v>
      </c>
      <c r="D282" s="15" t="s">
        <v>6107</v>
      </c>
      <c r="E282" s="15" t="s">
        <v>6108</v>
      </c>
      <c r="F282" s="15" t="s">
        <v>6105</v>
      </c>
      <c r="G282" s="15" t="s">
        <v>6109</v>
      </c>
      <c r="H282" s="15" t="s">
        <v>322</v>
      </c>
      <c r="I282" s="15" t="s">
        <v>323</v>
      </c>
      <c r="J282" s="15" t="s">
        <v>437</v>
      </c>
      <c r="K282" s="15" t="s">
        <v>6110</v>
      </c>
      <c r="L282" s="15" t="s">
        <v>6111</v>
      </c>
      <c r="M282" s="15" t="s">
        <v>6112</v>
      </c>
      <c r="N282" s="15" t="s">
        <v>147</v>
      </c>
      <c r="O282" s="17">
        <v>13</v>
      </c>
      <c r="P282" s="15" t="s">
        <v>148</v>
      </c>
      <c r="Q282" s="15" t="s">
        <v>149</v>
      </c>
      <c r="R282" s="15" t="s">
        <v>174</v>
      </c>
      <c r="S282" s="15" t="s">
        <v>6113</v>
      </c>
      <c r="T282" s="18">
        <v>6</v>
      </c>
      <c r="U282" s="15" t="s">
        <v>6114</v>
      </c>
      <c r="V282" s="15" t="s">
        <v>138</v>
      </c>
      <c r="W282" s="15" t="s">
        <v>138</v>
      </c>
      <c r="X282" s="19">
        <v>2014</v>
      </c>
      <c r="Y282" s="15" t="s">
        <v>138</v>
      </c>
      <c r="Z282" s="15" t="s">
        <v>138</v>
      </c>
      <c r="AA282" s="15" t="s">
        <v>138</v>
      </c>
      <c r="AB282" s="20" t="s">
        <v>138</v>
      </c>
      <c r="AC282" s="20" t="s">
        <v>138</v>
      </c>
      <c r="AD282" s="20" t="s">
        <v>138</v>
      </c>
      <c r="AE282" s="20" t="s">
        <v>138</v>
      </c>
      <c r="AF282" s="20" t="s">
        <v>138</v>
      </c>
      <c r="AG282" s="15" t="s">
        <v>138</v>
      </c>
      <c r="AH282" s="20" t="s">
        <v>138</v>
      </c>
      <c r="AI282" s="20" t="s">
        <v>138</v>
      </c>
      <c r="AJ282" s="20" t="s">
        <v>138</v>
      </c>
      <c r="AK282" s="15" t="s">
        <v>6115</v>
      </c>
      <c r="AL282" s="15" t="s">
        <v>6116</v>
      </c>
      <c r="AM282" s="15" t="s">
        <v>6117</v>
      </c>
      <c r="AN282" s="15" t="s">
        <v>6118</v>
      </c>
      <c r="AO282" s="15" t="s">
        <v>138</v>
      </c>
      <c r="AP282" s="15" t="s">
        <v>6119</v>
      </c>
      <c r="AQ282" s="15" t="s">
        <v>6120</v>
      </c>
      <c r="AR282" s="15" t="s">
        <v>138</v>
      </c>
      <c r="AS282" s="15" t="s">
        <v>6121</v>
      </c>
      <c r="AT282" s="15" t="s">
        <v>3883</v>
      </c>
      <c r="AU282" s="15" t="s">
        <v>6122</v>
      </c>
      <c r="AV282" s="15" t="s">
        <v>162</v>
      </c>
      <c r="AW282" s="15" t="s">
        <v>138</v>
      </c>
      <c r="AX282" s="15" t="s">
        <v>138</v>
      </c>
      <c r="AY282" s="15" t="s">
        <v>6123</v>
      </c>
      <c r="AZ282" s="15" t="s">
        <v>164</v>
      </c>
      <c r="BA282" s="15" t="s">
        <v>165</v>
      </c>
      <c r="BB282" s="15" t="s">
        <v>6124</v>
      </c>
      <c r="BC282" s="15" t="s">
        <v>6125</v>
      </c>
      <c r="BD282" s="21">
        <v>17</v>
      </c>
      <c r="BE282" s="15" t="s">
        <v>138</v>
      </c>
      <c r="BF282" s="15" t="s">
        <v>138</v>
      </c>
      <c r="BG282" s="15" t="s">
        <v>138</v>
      </c>
      <c r="BH282" s="15" t="s">
        <v>6126</v>
      </c>
      <c r="BI282" s="15" t="s">
        <v>138</v>
      </c>
      <c r="BJ282" s="15" t="s">
        <v>138</v>
      </c>
      <c r="BK282" s="15" t="s">
        <v>138</v>
      </c>
      <c r="BL282" s="15" t="s">
        <v>6127</v>
      </c>
      <c r="BM282" s="22" t="s">
        <v>138</v>
      </c>
      <c r="BN282" s="17">
        <v>13</v>
      </c>
      <c r="BO282" s="15" t="s">
        <v>172</v>
      </c>
      <c r="BP282" s="17" t="s">
        <v>138</v>
      </c>
      <c r="BQ282" s="15" t="s">
        <v>138</v>
      </c>
      <c r="BR282" s="15" t="s">
        <v>5214</v>
      </c>
      <c r="BS282" s="15" t="s">
        <v>138</v>
      </c>
      <c r="BT282" s="15" t="s">
        <v>138</v>
      </c>
      <c r="BU282" s="15" t="s">
        <v>263</v>
      </c>
      <c r="BV282" s="15" t="s">
        <v>138</v>
      </c>
      <c r="BW282" s="15" t="s">
        <v>138</v>
      </c>
      <c r="BX282" s="15" t="s">
        <v>138</v>
      </c>
      <c r="BY282" s="15" t="s">
        <v>175</v>
      </c>
      <c r="BZ282" s="22">
        <v>43070</v>
      </c>
      <c r="CA282" s="17" t="s">
        <v>138</v>
      </c>
      <c r="CB282" s="15" t="s">
        <v>138</v>
      </c>
      <c r="CC282" s="17" t="s">
        <v>138</v>
      </c>
      <c r="CD282" s="15" t="s">
        <v>138</v>
      </c>
      <c r="CE282" s="15" t="s">
        <v>205</v>
      </c>
      <c r="CF282" s="15" t="s">
        <v>206</v>
      </c>
      <c r="CG282" s="15" t="s">
        <v>138</v>
      </c>
      <c r="CH282" s="15" t="s">
        <v>174</v>
      </c>
      <c r="CI282" s="15" t="s">
        <v>138</v>
      </c>
      <c r="CJ282" s="15" t="s">
        <v>138</v>
      </c>
      <c r="CK282" s="15" t="s">
        <v>138</v>
      </c>
      <c r="CL282" s="15" t="s">
        <v>175</v>
      </c>
      <c r="CM282" s="22" t="s">
        <v>138</v>
      </c>
      <c r="CN282" s="17" t="s">
        <v>138</v>
      </c>
      <c r="CO282" s="23">
        <v>-0.64</v>
      </c>
      <c r="CP282" s="24">
        <v>14</v>
      </c>
      <c r="CQ282" s="23">
        <v>0</v>
      </c>
      <c r="CR282" s="23">
        <v>0.5</v>
      </c>
      <c r="CS282" s="23">
        <v>-1.51</v>
      </c>
      <c r="CT282" s="24">
        <v>11</v>
      </c>
      <c r="CU282" s="23">
        <v>0.23</v>
      </c>
      <c r="CV282" s="24">
        <v>83</v>
      </c>
      <c r="CW282" s="23">
        <v>-1.9</v>
      </c>
      <c r="CX282" s="24">
        <v>7</v>
      </c>
      <c r="CY282" s="23">
        <v>-1.1299999999999999</v>
      </c>
      <c r="CZ282" s="24">
        <v>18</v>
      </c>
      <c r="DA282" s="23">
        <v>0.23</v>
      </c>
      <c r="DB282" s="24">
        <v>85</v>
      </c>
      <c r="DC282" s="25">
        <v>55.02</v>
      </c>
      <c r="DD282" s="24">
        <v>98</v>
      </c>
      <c r="DE282" s="25">
        <v>-3.03</v>
      </c>
      <c r="DF282" s="23">
        <v>-5.22</v>
      </c>
      <c r="DG282" s="25">
        <v>82.15</v>
      </c>
      <c r="DH282" s="24">
        <v>99</v>
      </c>
      <c r="DI282" s="25">
        <v>27.89</v>
      </c>
      <c r="DJ282" s="24">
        <v>93</v>
      </c>
      <c r="DK282" s="25">
        <v>99.65</v>
      </c>
      <c r="DL282" s="24">
        <v>98</v>
      </c>
      <c r="DM282" s="25">
        <v>64.66</v>
      </c>
      <c r="DN282" s="24">
        <v>99</v>
      </c>
      <c r="DO282" s="25">
        <v>27.89</v>
      </c>
      <c r="DP282" s="24">
        <v>94</v>
      </c>
      <c r="DQ282" s="24">
        <v>34203</v>
      </c>
      <c r="DR282" s="26">
        <v>-73</v>
      </c>
      <c r="DS282" s="23">
        <v>-0.21</v>
      </c>
      <c r="DT282" s="24">
        <v>1874</v>
      </c>
      <c r="DU282" s="26">
        <v>1</v>
      </c>
      <c r="DV282" s="23">
        <v>0.05</v>
      </c>
      <c r="DW282" s="24">
        <v>9957</v>
      </c>
      <c r="DX282" s="27">
        <v>40</v>
      </c>
      <c r="DY282" s="23">
        <v>0.4</v>
      </c>
      <c r="DZ282" s="15" t="s">
        <v>178</v>
      </c>
      <c r="EA282" s="22">
        <v>43568</v>
      </c>
      <c r="EB282" s="17" t="s">
        <v>138</v>
      </c>
      <c r="EC282" s="22" t="s">
        <v>138</v>
      </c>
      <c r="ED282" s="15" t="s">
        <v>138</v>
      </c>
      <c r="EE282" s="14" t="str">
        <f>HYPERLINK("https://my.pitchbook.com?c=115262-47", "View company online")</f>
        <v>View company online</v>
      </c>
    </row>
    <row r="283" spans="1:135">
      <c r="A283" s="28" t="s">
        <v>6128</v>
      </c>
      <c r="B283" s="28" t="s">
        <v>6129</v>
      </c>
      <c r="C283" s="28" t="s">
        <v>138</v>
      </c>
      <c r="D283" s="28" t="s">
        <v>6130</v>
      </c>
      <c r="E283" s="28" t="s">
        <v>6131</v>
      </c>
      <c r="F283" s="28" t="s">
        <v>6128</v>
      </c>
      <c r="G283" s="28" t="s">
        <v>6132</v>
      </c>
      <c r="H283" s="28" t="s">
        <v>322</v>
      </c>
      <c r="I283" s="28" t="s">
        <v>323</v>
      </c>
      <c r="J283" s="28" t="s">
        <v>324</v>
      </c>
      <c r="K283" s="28" t="s">
        <v>325</v>
      </c>
      <c r="L283" s="28" t="s">
        <v>3343</v>
      </c>
      <c r="M283" s="28" t="s">
        <v>6133</v>
      </c>
      <c r="N283" s="28" t="s">
        <v>147</v>
      </c>
      <c r="O283" s="29">
        <v>1.39</v>
      </c>
      <c r="P283" s="28" t="s">
        <v>148</v>
      </c>
      <c r="Q283" s="28" t="s">
        <v>149</v>
      </c>
      <c r="R283" s="28" t="s">
        <v>174</v>
      </c>
      <c r="S283" s="28" t="s">
        <v>6134</v>
      </c>
      <c r="T283" s="30" t="s">
        <v>138</v>
      </c>
      <c r="U283" s="28" t="s">
        <v>138</v>
      </c>
      <c r="V283" s="28" t="s">
        <v>138</v>
      </c>
      <c r="W283" s="28" t="s">
        <v>138</v>
      </c>
      <c r="X283" s="31">
        <v>2012</v>
      </c>
      <c r="Y283" s="28" t="s">
        <v>138</v>
      </c>
      <c r="Z283" s="28" t="s">
        <v>138</v>
      </c>
      <c r="AA283" s="28" t="s">
        <v>138</v>
      </c>
      <c r="AB283" s="32" t="s">
        <v>138</v>
      </c>
      <c r="AC283" s="32" t="s">
        <v>138</v>
      </c>
      <c r="AD283" s="32" t="s">
        <v>138</v>
      </c>
      <c r="AE283" s="32" t="s">
        <v>138</v>
      </c>
      <c r="AF283" s="32" t="s">
        <v>138</v>
      </c>
      <c r="AG283" s="28" t="s">
        <v>138</v>
      </c>
      <c r="AH283" s="32" t="s">
        <v>138</v>
      </c>
      <c r="AI283" s="32" t="s">
        <v>138</v>
      </c>
      <c r="AJ283" s="32" t="s">
        <v>138</v>
      </c>
      <c r="AK283" s="28" t="s">
        <v>6135</v>
      </c>
      <c r="AL283" s="28" t="s">
        <v>6136</v>
      </c>
      <c r="AM283" s="28" t="s">
        <v>6137</v>
      </c>
      <c r="AN283" s="28" t="s">
        <v>6138</v>
      </c>
      <c r="AO283" s="28" t="s">
        <v>6139</v>
      </c>
      <c r="AP283" s="28" t="s">
        <v>423</v>
      </c>
      <c r="AQ283" s="28" t="s">
        <v>6140</v>
      </c>
      <c r="AR283" s="28" t="s">
        <v>6141</v>
      </c>
      <c r="AS283" s="28" t="s">
        <v>426</v>
      </c>
      <c r="AT283" s="28" t="s">
        <v>426</v>
      </c>
      <c r="AU283" s="28" t="s">
        <v>4467</v>
      </c>
      <c r="AV283" s="28" t="s">
        <v>162</v>
      </c>
      <c r="AW283" s="28" t="s">
        <v>6139</v>
      </c>
      <c r="AX283" s="28" t="s">
        <v>138</v>
      </c>
      <c r="AY283" s="28" t="s">
        <v>138</v>
      </c>
      <c r="AZ283" s="28" t="s">
        <v>164</v>
      </c>
      <c r="BA283" s="28" t="s">
        <v>165</v>
      </c>
      <c r="BB283" s="28" t="s">
        <v>6142</v>
      </c>
      <c r="BC283" s="28" t="s">
        <v>6143</v>
      </c>
      <c r="BD283" s="33">
        <v>11</v>
      </c>
      <c r="BE283" s="28" t="s">
        <v>138</v>
      </c>
      <c r="BF283" s="28" t="s">
        <v>138</v>
      </c>
      <c r="BG283" s="28" t="s">
        <v>138</v>
      </c>
      <c r="BH283" s="28" t="s">
        <v>6144</v>
      </c>
      <c r="BI283" s="28" t="s">
        <v>138</v>
      </c>
      <c r="BJ283" s="28" t="s">
        <v>138</v>
      </c>
      <c r="BK283" s="28" t="s">
        <v>1275</v>
      </c>
      <c r="BL283" s="28" t="s">
        <v>1275</v>
      </c>
      <c r="BM283" s="34">
        <v>41414</v>
      </c>
      <c r="BN283" s="29" t="s">
        <v>138</v>
      </c>
      <c r="BO283" s="28" t="s">
        <v>138</v>
      </c>
      <c r="BP283" s="29" t="s">
        <v>138</v>
      </c>
      <c r="BQ283" s="28" t="s">
        <v>138</v>
      </c>
      <c r="BR283" s="28" t="s">
        <v>316</v>
      </c>
      <c r="BS283" s="28" t="s">
        <v>138</v>
      </c>
      <c r="BT283" s="28" t="s">
        <v>138</v>
      </c>
      <c r="BU283" s="28" t="s">
        <v>174</v>
      </c>
      <c r="BV283" s="28" t="s">
        <v>138</v>
      </c>
      <c r="BW283" s="28" t="s">
        <v>138</v>
      </c>
      <c r="BX283" s="28" t="s">
        <v>138</v>
      </c>
      <c r="BY283" s="28" t="s">
        <v>175</v>
      </c>
      <c r="BZ283" s="34">
        <v>43447</v>
      </c>
      <c r="CA283" s="29">
        <v>1.39</v>
      </c>
      <c r="CB283" s="28" t="s">
        <v>172</v>
      </c>
      <c r="CC283" s="29">
        <v>6.39</v>
      </c>
      <c r="CD283" s="28" t="s">
        <v>172</v>
      </c>
      <c r="CE283" s="28" t="s">
        <v>173</v>
      </c>
      <c r="CF283" s="28" t="s">
        <v>138</v>
      </c>
      <c r="CG283" s="28" t="s">
        <v>138</v>
      </c>
      <c r="CH283" s="28" t="s">
        <v>174</v>
      </c>
      <c r="CI283" s="28" t="s">
        <v>138</v>
      </c>
      <c r="CJ283" s="28" t="s">
        <v>138</v>
      </c>
      <c r="CK283" s="28" t="s">
        <v>138</v>
      </c>
      <c r="CL283" s="28" t="s">
        <v>175</v>
      </c>
      <c r="CM283" s="34" t="s">
        <v>138</v>
      </c>
      <c r="CN283" s="29" t="s">
        <v>138</v>
      </c>
      <c r="CO283" s="35">
        <v>0.02</v>
      </c>
      <c r="CP283" s="36">
        <v>85</v>
      </c>
      <c r="CQ283" s="35">
        <v>-0.03</v>
      </c>
      <c r="CR283" s="35">
        <v>-53.71</v>
      </c>
      <c r="CS283" s="35">
        <v>0.09</v>
      </c>
      <c r="CT283" s="36">
        <v>94</v>
      </c>
      <c r="CU283" s="35">
        <v>-0.05</v>
      </c>
      <c r="CV283" s="36">
        <v>9</v>
      </c>
      <c r="CW283" s="35">
        <v>2.0099999999999998</v>
      </c>
      <c r="CX283" s="36">
        <v>88</v>
      </c>
      <c r="CY283" s="35">
        <v>-1.82</v>
      </c>
      <c r="CZ283" s="36">
        <v>12</v>
      </c>
      <c r="DA283" s="35">
        <v>-0.05</v>
      </c>
      <c r="DB283" s="36">
        <v>13</v>
      </c>
      <c r="DC283" s="37">
        <v>42.21</v>
      </c>
      <c r="DD283" s="36">
        <v>97</v>
      </c>
      <c r="DE283" s="37">
        <v>12.81</v>
      </c>
      <c r="DF283" s="35">
        <v>43.59</v>
      </c>
      <c r="DG283" s="37">
        <v>30.69</v>
      </c>
      <c r="DH283" s="36">
        <v>97</v>
      </c>
      <c r="DI283" s="37">
        <v>53.74</v>
      </c>
      <c r="DJ283" s="36">
        <v>95</v>
      </c>
      <c r="DK283" s="37">
        <v>11.76</v>
      </c>
      <c r="DL283" s="36">
        <v>88</v>
      </c>
      <c r="DM283" s="37">
        <v>49.62</v>
      </c>
      <c r="DN283" s="36">
        <v>98</v>
      </c>
      <c r="DO283" s="37">
        <v>53.74</v>
      </c>
      <c r="DP283" s="36">
        <v>97</v>
      </c>
      <c r="DQ283" s="36">
        <v>3939</v>
      </c>
      <c r="DR283" s="38">
        <v>285</v>
      </c>
      <c r="DS283" s="35">
        <v>7.8</v>
      </c>
      <c r="DT283" s="36">
        <v>1437</v>
      </c>
      <c r="DU283" s="38">
        <v>4</v>
      </c>
      <c r="DV283" s="35">
        <v>0.28000000000000003</v>
      </c>
      <c r="DW283" s="36">
        <v>19238</v>
      </c>
      <c r="DX283" s="39">
        <v>-4</v>
      </c>
      <c r="DY283" s="35">
        <v>-0.02</v>
      </c>
      <c r="DZ283" s="28" t="s">
        <v>178</v>
      </c>
      <c r="EA283" s="34">
        <v>43452</v>
      </c>
      <c r="EB283" s="29">
        <v>6.39</v>
      </c>
      <c r="EC283" s="34">
        <v>43447</v>
      </c>
      <c r="ED283" s="28" t="s">
        <v>173</v>
      </c>
      <c r="EE283" s="40" t="str">
        <f>HYPERLINK("https://my.pitchbook.com?c=94311-73", "View company online")</f>
        <v>View company online</v>
      </c>
    </row>
    <row r="284" spans="1:135">
      <c r="A284" s="15" t="s">
        <v>6145</v>
      </c>
      <c r="B284" s="15" t="s">
        <v>6146</v>
      </c>
      <c r="C284" s="15" t="s">
        <v>138</v>
      </c>
      <c r="D284" s="15" t="s">
        <v>138</v>
      </c>
      <c r="E284" s="15" t="s">
        <v>6147</v>
      </c>
      <c r="F284" s="15" t="s">
        <v>6145</v>
      </c>
      <c r="G284" s="15" t="s">
        <v>6148</v>
      </c>
      <c r="H284" s="15" t="s">
        <v>238</v>
      </c>
      <c r="I284" s="15" t="s">
        <v>997</v>
      </c>
      <c r="J284" s="15" t="s">
        <v>6149</v>
      </c>
      <c r="K284" s="15" t="s">
        <v>6150</v>
      </c>
      <c r="L284" s="15" t="s">
        <v>415</v>
      </c>
      <c r="M284" s="15" t="s">
        <v>6151</v>
      </c>
      <c r="N284" s="15" t="s">
        <v>147</v>
      </c>
      <c r="O284" s="17">
        <v>28.88</v>
      </c>
      <c r="P284" s="15" t="s">
        <v>148</v>
      </c>
      <c r="Q284" s="15" t="s">
        <v>149</v>
      </c>
      <c r="R284" s="15" t="s">
        <v>174</v>
      </c>
      <c r="S284" s="15" t="s">
        <v>6152</v>
      </c>
      <c r="T284" s="18" t="s">
        <v>138</v>
      </c>
      <c r="U284" s="15" t="s">
        <v>138</v>
      </c>
      <c r="V284" s="15" t="s">
        <v>138</v>
      </c>
      <c r="W284" s="15" t="s">
        <v>138</v>
      </c>
      <c r="X284" s="19">
        <v>2015</v>
      </c>
      <c r="Y284" s="15" t="s">
        <v>138</v>
      </c>
      <c r="Z284" s="15" t="s">
        <v>138</v>
      </c>
      <c r="AA284" s="15" t="s">
        <v>138</v>
      </c>
      <c r="AB284" s="20">
        <v>15.26</v>
      </c>
      <c r="AC284" s="20" t="s">
        <v>138</v>
      </c>
      <c r="AD284" s="20" t="s">
        <v>138</v>
      </c>
      <c r="AE284" s="20" t="s">
        <v>138</v>
      </c>
      <c r="AF284" s="20" t="s">
        <v>138</v>
      </c>
      <c r="AG284" s="15" t="s">
        <v>514</v>
      </c>
      <c r="AH284" s="20" t="s">
        <v>138</v>
      </c>
      <c r="AI284" s="20" t="s">
        <v>138</v>
      </c>
      <c r="AJ284" s="20" t="s">
        <v>138</v>
      </c>
      <c r="AK284" s="15" t="s">
        <v>6153</v>
      </c>
      <c r="AL284" s="15" t="s">
        <v>6154</v>
      </c>
      <c r="AM284" s="15" t="s">
        <v>818</v>
      </c>
      <c r="AN284" s="15" t="s">
        <v>6155</v>
      </c>
      <c r="AO284" s="15" t="s">
        <v>6156</v>
      </c>
      <c r="AP284" s="15" t="s">
        <v>820</v>
      </c>
      <c r="AQ284" s="15" t="s">
        <v>6157</v>
      </c>
      <c r="AR284" s="15" t="s">
        <v>6158</v>
      </c>
      <c r="AS284" s="15" t="s">
        <v>823</v>
      </c>
      <c r="AT284" s="15" t="s">
        <v>824</v>
      </c>
      <c r="AU284" s="15" t="s">
        <v>6159</v>
      </c>
      <c r="AV284" s="15" t="s">
        <v>526</v>
      </c>
      <c r="AW284" s="15" t="s">
        <v>6156</v>
      </c>
      <c r="AX284" s="15" t="s">
        <v>138</v>
      </c>
      <c r="AY284" s="15" t="s">
        <v>6160</v>
      </c>
      <c r="AZ284" s="15" t="s">
        <v>530</v>
      </c>
      <c r="BA284" s="15" t="s">
        <v>531</v>
      </c>
      <c r="BB284" s="15" t="s">
        <v>6161</v>
      </c>
      <c r="BC284" s="15" t="s">
        <v>6162</v>
      </c>
      <c r="BD284" s="21">
        <v>13</v>
      </c>
      <c r="BE284" s="15" t="s">
        <v>138</v>
      </c>
      <c r="BF284" s="15" t="s">
        <v>138</v>
      </c>
      <c r="BG284" s="15" t="s">
        <v>138</v>
      </c>
      <c r="BH284" s="15" t="s">
        <v>6163</v>
      </c>
      <c r="BI284" s="15" t="s">
        <v>138</v>
      </c>
      <c r="BJ284" s="15" t="s">
        <v>138</v>
      </c>
      <c r="BK284" s="15" t="s">
        <v>3482</v>
      </c>
      <c r="BL284" s="15" t="s">
        <v>3482</v>
      </c>
      <c r="BM284" s="22" t="s">
        <v>138</v>
      </c>
      <c r="BN284" s="17">
        <v>0.5</v>
      </c>
      <c r="BO284" s="15" t="s">
        <v>172</v>
      </c>
      <c r="BP284" s="17" t="s">
        <v>138</v>
      </c>
      <c r="BQ284" s="15" t="s">
        <v>138</v>
      </c>
      <c r="BR284" s="15" t="s">
        <v>262</v>
      </c>
      <c r="BS284" s="15" t="s">
        <v>262</v>
      </c>
      <c r="BT284" s="15" t="s">
        <v>138</v>
      </c>
      <c r="BU284" s="15" t="s">
        <v>263</v>
      </c>
      <c r="BV284" s="15" t="s">
        <v>138</v>
      </c>
      <c r="BW284" s="15" t="s">
        <v>138</v>
      </c>
      <c r="BX284" s="15" t="s">
        <v>138</v>
      </c>
      <c r="BY284" s="15" t="s">
        <v>175</v>
      </c>
      <c r="BZ284" s="22">
        <v>43524</v>
      </c>
      <c r="CA284" s="17">
        <v>18.25</v>
      </c>
      <c r="CB284" s="15" t="s">
        <v>172</v>
      </c>
      <c r="CC284" s="17" t="s">
        <v>138</v>
      </c>
      <c r="CD284" s="15" t="s">
        <v>138</v>
      </c>
      <c r="CE284" s="15" t="s">
        <v>205</v>
      </c>
      <c r="CF284" s="15" t="s">
        <v>720</v>
      </c>
      <c r="CG284" s="15" t="s">
        <v>138</v>
      </c>
      <c r="CH284" s="15" t="s">
        <v>174</v>
      </c>
      <c r="CI284" s="15" t="s">
        <v>138</v>
      </c>
      <c r="CJ284" s="15" t="s">
        <v>138</v>
      </c>
      <c r="CK284" s="15" t="s">
        <v>138</v>
      </c>
      <c r="CL284" s="15" t="s">
        <v>175</v>
      </c>
      <c r="CM284" s="22" t="s">
        <v>138</v>
      </c>
      <c r="CN284" s="17" t="s">
        <v>138</v>
      </c>
      <c r="CO284" s="23">
        <v>2.5299999999999998</v>
      </c>
      <c r="CP284" s="24">
        <v>99</v>
      </c>
      <c r="CQ284" s="23">
        <v>0.38</v>
      </c>
      <c r="CR284" s="23">
        <v>17.670000000000002</v>
      </c>
      <c r="CS284" s="23">
        <v>4.53</v>
      </c>
      <c r="CT284" s="24">
        <v>100</v>
      </c>
      <c r="CU284" s="23">
        <v>0.54</v>
      </c>
      <c r="CV284" s="24">
        <v>94</v>
      </c>
      <c r="CW284" s="23">
        <v>4.68</v>
      </c>
      <c r="CX284" s="24">
        <v>95</v>
      </c>
      <c r="CY284" s="23">
        <v>4.37</v>
      </c>
      <c r="CZ284" s="24">
        <v>100</v>
      </c>
      <c r="DA284" s="23">
        <v>0.96</v>
      </c>
      <c r="DB284" s="24">
        <v>98</v>
      </c>
      <c r="DC284" s="25">
        <v>27.91</v>
      </c>
      <c r="DD284" s="24">
        <v>96</v>
      </c>
      <c r="DE284" s="25">
        <v>-0.71</v>
      </c>
      <c r="DF284" s="23">
        <v>-2.4900000000000002</v>
      </c>
      <c r="DG284" s="25">
        <v>26.05</v>
      </c>
      <c r="DH284" s="24">
        <v>96</v>
      </c>
      <c r="DI284" s="25">
        <v>29.77</v>
      </c>
      <c r="DJ284" s="24">
        <v>93</v>
      </c>
      <c r="DK284" s="25">
        <v>37.44</v>
      </c>
      <c r="DL284" s="24">
        <v>95</v>
      </c>
      <c r="DM284" s="25">
        <v>14.66</v>
      </c>
      <c r="DN284" s="24">
        <v>92</v>
      </c>
      <c r="DO284" s="25">
        <v>3.56</v>
      </c>
      <c r="DP284" s="24">
        <v>74</v>
      </c>
      <c r="DQ284" s="24">
        <v>12580</v>
      </c>
      <c r="DR284" s="26">
        <v>783</v>
      </c>
      <c r="DS284" s="23">
        <v>6.64</v>
      </c>
      <c r="DT284" s="24">
        <v>401</v>
      </c>
      <c r="DU284" s="26">
        <v>46</v>
      </c>
      <c r="DV284" s="23">
        <v>12.96</v>
      </c>
      <c r="DW284" s="24">
        <v>1270</v>
      </c>
      <c r="DX284" s="27">
        <v>10</v>
      </c>
      <c r="DY284" s="23">
        <v>0.79</v>
      </c>
      <c r="DZ284" s="15" t="s">
        <v>178</v>
      </c>
      <c r="EA284" s="22">
        <v>43571</v>
      </c>
      <c r="EB284" s="17" t="s">
        <v>138</v>
      </c>
      <c r="EC284" s="22" t="s">
        <v>138</v>
      </c>
      <c r="ED284" s="15" t="s">
        <v>138</v>
      </c>
      <c r="EE284" s="14" t="str">
        <f>HYPERLINK("https://my.pitchbook.com?c=177132-70", "View company online")</f>
        <v>View company online</v>
      </c>
    </row>
    <row r="285" spans="1:135">
      <c r="A285" s="28" t="s">
        <v>6164</v>
      </c>
      <c r="B285" s="28" t="s">
        <v>6165</v>
      </c>
      <c r="C285" s="28" t="s">
        <v>138</v>
      </c>
      <c r="D285" s="28" t="s">
        <v>138</v>
      </c>
      <c r="E285" s="28" t="s">
        <v>138</v>
      </c>
      <c r="F285" s="28" t="s">
        <v>6164</v>
      </c>
      <c r="G285" s="28" t="s">
        <v>6166</v>
      </c>
      <c r="H285" s="28" t="s">
        <v>238</v>
      </c>
      <c r="I285" s="28" t="s">
        <v>749</v>
      </c>
      <c r="J285" s="28" t="s">
        <v>750</v>
      </c>
      <c r="K285" s="28" t="s">
        <v>751</v>
      </c>
      <c r="L285" s="28" t="s">
        <v>138</v>
      </c>
      <c r="M285" s="28" t="s">
        <v>6167</v>
      </c>
      <c r="N285" s="28" t="s">
        <v>147</v>
      </c>
      <c r="O285" s="29">
        <v>0.6</v>
      </c>
      <c r="P285" s="28" t="s">
        <v>148</v>
      </c>
      <c r="Q285" s="28" t="s">
        <v>149</v>
      </c>
      <c r="R285" s="28" t="s">
        <v>174</v>
      </c>
      <c r="S285" s="28" t="s">
        <v>6168</v>
      </c>
      <c r="T285" s="30" t="s">
        <v>138</v>
      </c>
      <c r="U285" s="28" t="s">
        <v>138</v>
      </c>
      <c r="V285" s="28" t="s">
        <v>138</v>
      </c>
      <c r="W285" s="28" t="s">
        <v>138</v>
      </c>
      <c r="X285" s="31">
        <v>2011</v>
      </c>
      <c r="Y285" s="28" t="s">
        <v>138</v>
      </c>
      <c r="Z285" s="28" t="s">
        <v>138</v>
      </c>
      <c r="AA285" s="28" t="s">
        <v>138</v>
      </c>
      <c r="AB285" s="32" t="s">
        <v>138</v>
      </c>
      <c r="AC285" s="32" t="s">
        <v>138</v>
      </c>
      <c r="AD285" s="32" t="s">
        <v>138</v>
      </c>
      <c r="AE285" s="32" t="s">
        <v>138</v>
      </c>
      <c r="AF285" s="32" t="s">
        <v>138</v>
      </c>
      <c r="AG285" s="28" t="s">
        <v>138</v>
      </c>
      <c r="AH285" s="32" t="s">
        <v>138</v>
      </c>
      <c r="AI285" s="32" t="s">
        <v>138</v>
      </c>
      <c r="AJ285" s="32" t="s">
        <v>138</v>
      </c>
      <c r="AK285" s="28" t="s">
        <v>6169</v>
      </c>
      <c r="AL285" s="28" t="s">
        <v>6170</v>
      </c>
      <c r="AM285" s="28" t="s">
        <v>916</v>
      </c>
      <c r="AN285" s="28" t="s">
        <v>6171</v>
      </c>
      <c r="AO285" s="28" t="s">
        <v>6172</v>
      </c>
      <c r="AP285" s="28" t="s">
        <v>6173</v>
      </c>
      <c r="AQ285" s="28" t="s">
        <v>138</v>
      </c>
      <c r="AR285" s="28" t="s">
        <v>138</v>
      </c>
      <c r="AS285" s="28" t="s">
        <v>6174</v>
      </c>
      <c r="AT285" s="28" t="s">
        <v>2031</v>
      </c>
      <c r="AU285" s="28" t="s">
        <v>138</v>
      </c>
      <c r="AV285" s="28" t="s">
        <v>162</v>
      </c>
      <c r="AW285" s="28" t="s">
        <v>6172</v>
      </c>
      <c r="AX285" s="28" t="s">
        <v>138</v>
      </c>
      <c r="AY285" s="28" t="s">
        <v>6175</v>
      </c>
      <c r="AZ285" s="28" t="s">
        <v>164</v>
      </c>
      <c r="BA285" s="28" t="s">
        <v>165</v>
      </c>
      <c r="BB285" s="28" t="s">
        <v>6176</v>
      </c>
      <c r="BC285" s="28" t="s">
        <v>6177</v>
      </c>
      <c r="BD285" s="33">
        <v>2</v>
      </c>
      <c r="BE285" s="28" t="s">
        <v>138</v>
      </c>
      <c r="BF285" s="28" t="s">
        <v>138</v>
      </c>
      <c r="BG285" s="28" t="s">
        <v>138</v>
      </c>
      <c r="BH285" s="28" t="s">
        <v>6178</v>
      </c>
      <c r="BI285" s="28" t="s">
        <v>138</v>
      </c>
      <c r="BJ285" s="28" t="s">
        <v>138</v>
      </c>
      <c r="BK285" s="28" t="s">
        <v>138</v>
      </c>
      <c r="BL285" s="28" t="s">
        <v>6179</v>
      </c>
      <c r="BM285" s="34" t="s">
        <v>138</v>
      </c>
      <c r="BN285" s="29" t="s">
        <v>138</v>
      </c>
      <c r="BO285" s="28" t="s">
        <v>138</v>
      </c>
      <c r="BP285" s="29" t="s">
        <v>138</v>
      </c>
      <c r="BQ285" s="28" t="s">
        <v>138</v>
      </c>
      <c r="BR285" s="28" t="s">
        <v>262</v>
      </c>
      <c r="BS285" s="28" t="s">
        <v>262</v>
      </c>
      <c r="BT285" s="28" t="s">
        <v>138</v>
      </c>
      <c r="BU285" s="28" t="s">
        <v>263</v>
      </c>
      <c r="BV285" s="28" t="s">
        <v>138</v>
      </c>
      <c r="BW285" s="28" t="s">
        <v>138</v>
      </c>
      <c r="BX285" s="28" t="s">
        <v>138</v>
      </c>
      <c r="BY285" s="28" t="s">
        <v>175</v>
      </c>
      <c r="BZ285" s="34">
        <v>42929</v>
      </c>
      <c r="CA285" s="29">
        <v>0.6</v>
      </c>
      <c r="CB285" s="28" t="s">
        <v>172</v>
      </c>
      <c r="CC285" s="29" t="s">
        <v>138</v>
      </c>
      <c r="CD285" s="28" t="s">
        <v>138</v>
      </c>
      <c r="CE285" s="28" t="s">
        <v>173</v>
      </c>
      <c r="CF285" s="28" t="s">
        <v>138</v>
      </c>
      <c r="CG285" s="28" t="s">
        <v>138</v>
      </c>
      <c r="CH285" s="28" t="s">
        <v>174</v>
      </c>
      <c r="CI285" s="28" t="s">
        <v>138</v>
      </c>
      <c r="CJ285" s="28" t="s">
        <v>138</v>
      </c>
      <c r="CK285" s="28" t="s">
        <v>138</v>
      </c>
      <c r="CL285" s="28" t="s">
        <v>175</v>
      </c>
      <c r="CM285" s="34" t="s">
        <v>138</v>
      </c>
      <c r="CN285" s="29" t="s">
        <v>138</v>
      </c>
      <c r="CO285" s="35">
        <v>0</v>
      </c>
      <c r="CP285" s="36">
        <v>26</v>
      </c>
      <c r="CQ285" s="35">
        <v>0</v>
      </c>
      <c r="CR285" s="35">
        <v>0</v>
      </c>
      <c r="CS285" s="35">
        <v>0</v>
      </c>
      <c r="CT285" s="36">
        <v>23</v>
      </c>
      <c r="CU285" s="35">
        <v>0.01</v>
      </c>
      <c r="CV285" s="36">
        <v>49</v>
      </c>
      <c r="CW285" s="35" t="s">
        <v>138</v>
      </c>
      <c r="CX285" s="36" t="s">
        <v>138</v>
      </c>
      <c r="CY285" s="35">
        <v>0</v>
      </c>
      <c r="CZ285" s="36">
        <v>25</v>
      </c>
      <c r="DA285" s="35">
        <v>0</v>
      </c>
      <c r="DB285" s="36">
        <v>22</v>
      </c>
      <c r="DC285" s="37">
        <v>0.59</v>
      </c>
      <c r="DD285" s="36">
        <v>38</v>
      </c>
      <c r="DE285" s="37">
        <v>0</v>
      </c>
      <c r="DF285" s="35">
        <v>-0.02</v>
      </c>
      <c r="DG285" s="37">
        <v>0.31</v>
      </c>
      <c r="DH285" s="36">
        <v>23</v>
      </c>
      <c r="DI285" s="37">
        <v>0.88</v>
      </c>
      <c r="DJ285" s="36">
        <v>47</v>
      </c>
      <c r="DK285" s="37" t="s">
        <v>138</v>
      </c>
      <c r="DL285" s="36" t="s">
        <v>138</v>
      </c>
      <c r="DM285" s="37">
        <v>0.31</v>
      </c>
      <c r="DN285" s="36">
        <v>24</v>
      </c>
      <c r="DO285" s="37">
        <v>0.22</v>
      </c>
      <c r="DP285" s="36">
        <v>26</v>
      </c>
      <c r="DQ285" s="36">
        <v>215</v>
      </c>
      <c r="DR285" s="38">
        <v>-39</v>
      </c>
      <c r="DS285" s="35">
        <v>-15.35</v>
      </c>
      <c r="DT285" s="36">
        <v>9</v>
      </c>
      <c r="DU285" s="38">
        <v>0</v>
      </c>
      <c r="DV285" s="35">
        <v>0</v>
      </c>
      <c r="DW285" s="36">
        <v>77</v>
      </c>
      <c r="DX285" s="39">
        <v>0</v>
      </c>
      <c r="DY285" s="35">
        <v>0</v>
      </c>
      <c r="DZ285" s="28" t="s">
        <v>178</v>
      </c>
      <c r="EA285" s="34">
        <v>43622</v>
      </c>
      <c r="EB285" s="29" t="s">
        <v>138</v>
      </c>
      <c r="EC285" s="34" t="s">
        <v>138</v>
      </c>
      <c r="ED285" s="28" t="s">
        <v>138</v>
      </c>
      <c r="EE285" s="40" t="str">
        <f>HYPERLINK("https://my.pitchbook.com?c=184824-82", "View company online")</f>
        <v>View company online</v>
      </c>
    </row>
    <row r="286" spans="1:135">
      <c r="A286" s="15" t="s">
        <v>6180</v>
      </c>
      <c r="B286" s="15" t="s">
        <v>6181</v>
      </c>
      <c r="C286" s="15" t="s">
        <v>138</v>
      </c>
      <c r="D286" s="15" t="s">
        <v>138</v>
      </c>
      <c r="E286" s="15" t="s">
        <v>6182</v>
      </c>
      <c r="F286" s="15" t="s">
        <v>6180</v>
      </c>
      <c r="G286" s="15" t="s">
        <v>6183</v>
      </c>
      <c r="H286" s="15" t="s">
        <v>322</v>
      </c>
      <c r="I286" s="15" t="s">
        <v>323</v>
      </c>
      <c r="J286" s="15" t="s">
        <v>413</v>
      </c>
      <c r="K286" s="15" t="s">
        <v>414</v>
      </c>
      <c r="L286" s="15" t="s">
        <v>415</v>
      </c>
      <c r="M286" s="15" t="s">
        <v>6184</v>
      </c>
      <c r="N286" s="15" t="s">
        <v>147</v>
      </c>
      <c r="O286" s="17">
        <v>10</v>
      </c>
      <c r="P286" s="15" t="s">
        <v>148</v>
      </c>
      <c r="Q286" s="15" t="s">
        <v>149</v>
      </c>
      <c r="R286" s="15" t="s">
        <v>174</v>
      </c>
      <c r="S286" s="15" t="s">
        <v>6185</v>
      </c>
      <c r="T286" s="18">
        <v>40</v>
      </c>
      <c r="U286" s="15" t="s">
        <v>6186</v>
      </c>
      <c r="V286" s="15" t="s">
        <v>138</v>
      </c>
      <c r="W286" s="15" t="s">
        <v>138</v>
      </c>
      <c r="X286" s="19">
        <v>2014</v>
      </c>
      <c r="Y286" s="15" t="s">
        <v>138</v>
      </c>
      <c r="Z286" s="15" t="s">
        <v>138</v>
      </c>
      <c r="AA286" s="15" t="s">
        <v>138</v>
      </c>
      <c r="AB286" s="20" t="s">
        <v>138</v>
      </c>
      <c r="AC286" s="20" t="s">
        <v>138</v>
      </c>
      <c r="AD286" s="20" t="s">
        <v>138</v>
      </c>
      <c r="AE286" s="20" t="s">
        <v>138</v>
      </c>
      <c r="AF286" s="20" t="s">
        <v>138</v>
      </c>
      <c r="AG286" s="15" t="s">
        <v>138</v>
      </c>
      <c r="AH286" s="20" t="s">
        <v>138</v>
      </c>
      <c r="AI286" s="20" t="s">
        <v>138</v>
      </c>
      <c r="AJ286" s="20" t="s">
        <v>138</v>
      </c>
      <c r="AK286" s="15" t="s">
        <v>6187</v>
      </c>
      <c r="AL286" s="15" t="s">
        <v>6188</v>
      </c>
      <c r="AM286" s="15" t="s">
        <v>986</v>
      </c>
      <c r="AN286" s="15" t="s">
        <v>6189</v>
      </c>
      <c r="AO286" s="15" t="s">
        <v>6190</v>
      </c>
      <c r="AP286" s="15" t="s">
        <v>6191</v>
      </c>
      <c r="AQ286" s="15" t="s">
        <v>6192</v>
      </c>
      <c r="AR286" s="15" t="s">
        <v>6193</v>
      </c>
      <c r="AS286" s="15" t="s">
        <v>6194</v>
      </c>
      <c r="AT286" s="15" t="s">
        <v>200</v>
      </c>
      <c r="AU286" s="15" t="s">
        <v>6195</v>
      </c>
      <c r="AV286" s="15" t="s">
        <v>162</v>
      </c>
      <c r="AW286" s="15" t="s">
        <v>6190</v>
      </c>
      <c r="AX286" s="15" t="s">
        <v>138</v>
      </c>
      <c r="AY286" s="15" t="s">
        <v>6196</v>
      </c>
      <c r="AZ286" s="15" t="s">
        <v>164</v>
      </c>
      <c r="BA286" s="15" t="s">
        <v>165</v>
      </c>
      <c r="BB286" s="15" t="s">
        <v>6197</v>
      </c>
      <c r="BC286" s="15" t="s">
        <v>6198</v>
      </c>
      <c r="BD286" s="21">
        <v>10</v>
      </c>
      <c r="BE286" s="15" t="s">
        <v>138</v>
      </c>
      <c r="BF286" s="15" t="s">
        <v>138</v>
      </c>
      <c r="BG286" s="15" t="s">
        <v>138</v>
      </c>
      <c r="BH286" s="15" t="s">
        <v>6199</v>
      </c>
      <c r="BI286" s="15" t="s">
        <v>138</v>
      </c>
      <c r="BJ286" s="15" t="s">
        <v>138</v>
      </c>
      <c r="BK286" s="15" t="s">
        <v>1275</v>
      </c>
      <c r="BL286" s="15" t="s">
        <v>1275</v>
      </c>
      <c r="BM286" s="22">
        <v>42145</v>
      </c>
      <c r="BN286" s="17">
        <v>2.5</v>
      </c>
      <c r="BO286" s="15" t="s">
        <v>172</v>
      </c>
      <c r="BP286" s="17">
        <v>8.8800000000000008</v>
      </c>
      <c r="BQ286" s="15" t="s">
        <v>172</v>
      </c>
      <c r="BR286" s="15" t="s">
        <v>234</v>
      </c>
      <c r="BS286" s="15" t="s">
        <v>234</v>
      </c>
      <c r="BT286" s="15" t="s">
        <v>138</v>
      </c>
      <c r="BU286" s="15" t="s">
        <v>174</v>
      </c>
      <c r="BV286" s="15" t="s">
        <v>138</v>
      </c>
      <c r="BW286" s="15" t="s">
        <v>138</v>
      </c>
      <c r="BX286" s="15" t="s">
        <v>138</v>
      </c>
      <c r="BY286" s="15" t="s">
        <v>175</v>
      </c>
      <c r="BZ286" s="22">
        <v>43038</v>
      </c>
      <c r="CA286" s="17">
        <v>7.5</v>
      </c>
      <c r="CB286" s="15" t="s">
        <v>1178</v>
      </c>
      <c r="CC286" s="17">
        <v>30</v>
      </c>
      <c r="CD286" s="15" t="s">
        <v>172</v>
      </c>
      <c r="CE286" s="15" t="s">
        <v>205</v>
      </c>
      <c r="CF286" s="15" t="s">
        <v>206</v>
      </c>
      <c r="CG286" s="15" t="s">
        <v>138</v>
      </c>
      <c r="CH286" s="15" t="s">
        <v>174</v>
      </c>
      <c r="CI286" s="15" t="s">
        <v>138</v>
      </c>
      <c r="CJ286" s="15" t="s">
        <v>138</v>
      </c>
      <c r="CK286" s="15" t="s">
        <v>138</v>
      </c>
      <c r="CL286" s="15" t="s">
        <v>175</v>
      </c>
      <c r="CM286" s="22" t="s">
        <v>138</v>
      </c>
      <c r="CN286" s="17" t="s">
        <v>138</v>
      </c>
      <c r="CO286" s="23">
        <v>-0.05</v>
      </c>
      <c r="CP286" s="24">
        <v>22</v>
      </c>
      <c r="CQ286" s="23">
        <v>-0.04</v>
      </c>
      <c r="CR286" s="23">
        <v>-472.19</v>
      </c>
      <c r="CS286" s="23">
        <v>-0.3</v>
      </c>
      <c r="CT286" s="24">
        <v>21</v>
      </c>
      <c r="CU286" s="23">
        <v>0.21</v>
      </c>
      <c r="CV286" s="24">
        <v>81</v>
      </c>
      <c r="CW286" s="23">
        <v>-0.37</v>
      </c>
      <c r="CX286" s="24">
        <v>12</v>
      </c>
      <c r="CY286" s="23">
        <v>-0.24</v>
      </c>
      <c r="CZ286" s="24">
        <v>23</v>
      </c>
      <c r="DA286" s="23">
        <v>0.21</v>
      </c>
      <c r="DB286" s="24">
        <v>83</v>
      </c>
      <c r="DC286" s="25">
        <v>500.45</v>
      </c>
      <c r="DD286" s="24">
        <v>100</v>
      </c>
      <c r="DE286" s="25">
        <v>-53.65</v>
      </c>
      <c r="DF286" s="23">
        <v>-9.68</v>
      </c>
      <c r="DG286" s="25">
        <v>848.52</v>
      </c>
      <c r="DH286" s="24">
        <v>100</v>
      </c>
      <c r="DI286" s="25">
        <v>152.38</v>
      </c>
      <c r="DJ286" s="24">
        <v>98</v>
      </c>
      <c r="DK286" s="25">
        <v>1688.52</v>
      </c>
      <c r="DL286" s="24">
        <v>100</v>
      </c>
      <c r="DM286" s="25">
        <v>8.52</v>
      </c>
      <c r="DN286" s="24">
        <v>87</v>
      </c>
      <c r="DO286" s="25">
        <v>152.38</v>
      </c>
      <c r="DP286" s="24">
        <v>99</v>
      </c>
      <c r="DQ286" s="24">
        <v>578512</v>
      </c>
      <c r="DR286" s="26">
        <v>1950</v>
      </c>
      <c r="DS286" s="23">
        <v>0.34</v>
      </c>
      <c r="DT286" s="24">
        <v>247</v>
      </c>
      <c r="DU286" s="26">
        <v>0</v>
      </c>
      <c r="DV286" s="23">
        <v>0</v>
      </c>
      <c r="DW286" s="24">
        <v>54529</v>
      </c>
      <c r="DX286" s="27">
        <v>78</v>
      </c>
      <c r="DY286" s="23">
        <v>0.14000000000000001</v>
      </c>
      <c r="DZ286" s="15" t="s">
        <v>178</v>
      </c>
      <c r="EA286" s="22">
        <v>43570</v>
      </c>
      <c r="EB286" s="17">
        <v>30</v>
      </c>
      <c r="EC286" s="22">
        <v>43038</v>
      </c>
      <c r="ED286" s="15" t="s">
        <v>205</v>
      </c>
      <c r="EE286" s="14" t="str">
        <f>HYPERLINK("https://my.pitchbook.com?c=114363-46", "View company online")</f>
        <v>View company online</v>
      </c>
    </row>
    <row r="287" spans="1:135">
      <c r="A287" s="28" t="s">
        <v>6200</v>
      </c>
      <c r="B287" s="28" t="s">
        <v>6201</v>
      </c>
      <c r="C287" s="28" t="s">
        <v>138</v>
      </c>
      <c r="D287" s="28" t="s">
        <v>138</v>
      </c>
      <c r="E287" s="28" t="s">
        <v>138</v>
      </c>
      <c r="F287" s="28" t="s">
        <v>6200</v>
      </c>
      <c r="G287" s="28" t="s">
        <v>6202</v>
      </c>
      <c r="H287" s="28" t="s">
        <v>141</v>
      </c>
      <c r="I287" s="28" t="s">
        <v>212</v>
      </c>
      <c r="J287" s="28" t="s">
        <v>3169</v>
      </c>
      <c r="K287" s="28" t="s">
        <v>6203</v>
      </c>
      <c r="L287" s="28" t="s">
        <v>4131</v>
      </c>
      <c r="M287" s="28" t="s">
        <v>6204</v>
      </c>
      <c r="N287" s="28" t="s">
        <v>147</v>
      </c>
      <c r="O287" s="29">
        <v>22</v>
      </c>
      <c r="P287" s="28" t="s">
        <v>610</v>
      </c>
      <c r="Q287" s="28" t="s">
        <v>149</v>
      </c>
      <c r="R287" s="28" t="s">
        <v>174</v>
      </c>
      <c r="S287" s="28" t="s">
        <v>6205</v>
      </c>
      <c r="T287" s="30">
        <v>18</v>
      </c>
      <c r="U287" s="28" t="s">
        <v>6206</v>
      </c>
      <c r="V287" s="28" t="s">
        <v>138</v>
      </c>
      <c r="W287" s="28" t="s">
        <v>138</v>
      </c>
      <c r="X287" s="31">
        <v>2012</v>
      </c>
      <c r="Y287" s="28" t="s">
        <v>138</v>
      </c>
      <c r="Z287" s="28" t="s">
        <v>138</v>
      </c>
      <c r="AA287" s="28" t="s">
        <v>1163</v>
      </c>
      <c r="AB287" s="32" t="s">
        <v>138</v>
      </c>
      <c r="AC287" s="32" t="s">
        <v>138</v>
      </c>
      <c r="AD287" s="32" t="s">
        <v>138</v>
      </c>
      <c r="AE287" s="32" t="s">
        <v>138</v>
      </c>
      <c r="AF287" s="32" t="s">
        <v>138</v>
      </c>
      <c r="AG287" s="28" t="s">
        <v>138</v>
      </c>
      <c r="AH287" s="32" t="s">
        <v>138</v>
      </c>
      <c r="AI287" s="32" t="s">
        <v>138</v>
      </c>
      <c r="AJ287" s="32" t="s">
        <v>138</v>
      </c>
      <c r="AK287" s="28" t="s">
        <v>6207</v>
      </c>
      <c r="AL287" s="28" t="s">
        <v>6208</v>
      </c>
      <c r="AM287" s="28" t="s">
        <v>6209</v>
      </c>
      <c r="AN287" s="28" t="s">
        <v>6210</v>
      </c>
      <c r="AO287" s="28" t="s">
        <v>6211</v>
      </c>
      <c r="AP287" s="28" t="s">
        <v>1168</v>
      </c>
      <c r="AQ287" s="28" t="s">
        <v>5146</v>
      </c>
      <c r="AR287" s="28" t="s">
        <v>1459</v>
      </c>
      <c r="AS287" s="28" t="s">
        <v>1171</v>
      </c>
      <c r="AT287" s="28" t="s">
        <v>200</v>
      </c>
      <c r="AU287" s="28" t="s">
        <v>4152</v>
      </c>
      <c r="AV287" s="28" t="s">
        <v>162</v>
      </c>
      <c r="AW287" s="28" t="s">
        <v>6212</v>
      </c>
      <c r="AX287" s="28" t="s">
        <v>6212</v>
      </c>
      <c r="AY287" s="28" t="s">
        <v>6213</v>
      </c>
      <c r="AZ287" s="28" t="s">
        <v>164</v>
      </c>
      <c r="BA287" s="28" t="s">
        <v>165</v>
      </c>
      <c r="BB287" s="28" t="s">
        <v>6214</v>
      </c>
      <c r="BC287" s="28" t="s">
        <v>6215</v>
      </c>
      <c r="BD287" s="33">
        <v>19</v>
      </c>
      <c r="BE287" s="28" t="s">
        <v>138</v>
      </c>
      <c r="BF287" s="28" t="s">
        <v>138</v>
      </c>
      <c r="BG287" s="28" t="s">
        <v>138</v>
      </c>
      <c r="BH287" s="28" t="s">
        <v>6216</v>
      </c>
      <c r="BI287" s="28" t="s">
        <v>138</v>
      </c>
      <c r="BJ287" s="28" t="s">
        <v>138</v>
      </c>
      <c r="BK287" s="28" t="s">
        <v>6217</v>
      </c>
      <c r="BL287" s="28" t="s">
        <v>138</v>
      </c>
      <c r="BM287" s="34" t="s">
        <v>138</v>
      </c>
      <c r="BN287" s="29" t="s">
        <v>138</v>
      </c>
      <c r="BO287" s="28" t="s">
        <v>138</v>
      </c>
      <c r="BP287" s="29" t="s">
        <v>138</v>
      </c>
      <c r="BQ287" s="28" t="s">
        <v>138</v>
      </c>
      <c r="BR287" s="28" t="s">
        <v>205</v>
      </c>
      <c r="BS287" s="28" t="s">
        <v>138</v>
      </c>
      <c r="BT287" s="28" t="s">
        <v>138</v>
      </c>
      <c r="BU287" s="28" t="s">
        <v>174</v>
      </c>
      <c r="BV287" s="28" t="s">
        <v>138</v>
      </c>
      <c r="BW287" s="28" t="s">
        <v>138</v>
      </c>
      <c r="BX287" s="28" t="s">
        <v>138</v>
      </c>
      <c r="BY287" s="28" t="s">
        <v>175</v>
      </c>
      <c r="BZ287" s="34">
        <v>42075</v>
      </c>
      <c r="CA287" s="29">
        <v>22</v>
      </c>
      <c r="CB287" s="28" t="s">
        <v>172</v>
      </c>
      <c r="CC287" s="29" t="s">
        <v>138</v>
      </c>
      <c r="CD287" s="28" t="s">
        <v>138</v>
      </c>
      <c r="CE287" s="28" t="s">
        <v>205</v>
      </c>
      <c r="CF287" s="28" t="s">
        <v>138</v>
      </c>
      <c r="CG287" s="28" t="s">
        <v>138</v>
      </c>
      <c r="CH287" s="28" t="s">
        <v>174</v>
      </c>
      <c r="CI287" s="28" t="s">
        <v>138</v>
      </c>
      <c r="CJ287" s="28" t="s">
        <v>138</v>
      </c>
      <c r="CK287" s="28" t="s">
        <v>138</v>
      </c>
      <c r="CL287" s="28" t="s">
        <v>175</v>
      </c>
      <c r="CM287" s="34" t="s">
        <v>138</v>
      </c>
      <c r="CN287" s="29" t="s">
        <v>138</v>
      </c>
      <c r="CO287" s="35">
        <v>-0.04</v>
      </c>
      <c r="CP287" s="36">
        <v>23</v>
      </c>
      <c r="CQ287" s="35">
        <v>0</v>
      </c>
      <c r="CR287" s="35">
        <v>-13.14</v>
      </c>
      <c r="CS287" s="35">
        <v>-0.11</v>
      </c>
      <c r="CT287" s="36">
        <v>22</v>
      </c>
      <c r="CU287" s="35">
        <v>0.03</v>
      </c>
      <c r="CV287" s="36">
        <v>54</v>
      </c>
      <c r="CW287" s="35">
        <v>-0.22</v>
      </c>
      <c r="CX287" s="36">
        <v>12</v>
      </c>
      <c r="CY287" s="35">
        <v>0</v>
      </c>
      <c r="CZ287" s="36">
        <v>25</v>
      </c>
      <c r="DA287" s="35">
        <v>-0.01</v>
      </c>
      <c r="DB287" s="36">
        <v>21</v>
      </c>
      <c r="DC287" s="37">
        <v>4.8499999999999996</v>
      </c>
      <c r="DD287" s="36">
        <v>82</v>
      </c>
      <c r="DE287" s="37">
        <v>-0.06</v>
      </c>
      <c r="DF287" s="35">
        <v>-1.2</v>
      </c>
      <c r="DG287" s="37">
        <v>2.66</v>
      </c>
      <c r="DH287" s="36">
        <v>72</v>
      </c>
      <c r="DI287" s="37">
        <v>7.04</v>
      </c>
      <c r="DJ287" s="36">
        <v>82</v>
      </c>
      <c r="DK287" s="37">
        <v>2.56</v>
      </c>
      <c r="DL287" s="36">
        <v>69</v>
      </c>
      <c r="DM287" s="37">
        <v>2.76</v>
      </c>
      <c r="DN287" s="36">
        <v>72</v>
      </c>
      <c r="DO287" s="37">
        <v>12.86</v>
      </c>
      <c r="DP287" s="36">
        <v>89</v>
      </c>
      <c r="DQ287" s="36">
        <v>910</v>
      </c>
      <c r="DR287" s="38">
        <v>-93</v>
      </c>
      <c r="DS287" s="35">
        <v>-9.27</v>
      </c>
      <c r="DT287" s="36">
        <v>79</v>
      </c>
      <c r="DU287" s="38">
        <v>0</v>
      </c>
      <c r="DV287" s="35">
        <v>0</v>
      </c>
      <c r="DW287" s="36">
        <v>4605</v>
      </c>
      <c r="DX287" s="39">
        <v>-2</v>
      </c>
      <c r="DY287" s="35">
        <v>-0.04</v>
      </c>
      <c r="DZ287" s="28" t="s">
        <v>178</v>
      </c>
      <c r="EA287" s="34">
        <v>43584</v>
      </c>
      <c r="EB287" s="29" t="s">
        <v>138</v>
      </c>
      <c r="EC287" s="34" t="s">
        <v>138</v>
      </c>
      <c r="ED287" s="28" t="s">
        <v>138</v>
      </c>
      <c r="EE287" s="40" t="str">
        <f>HYPERLINK("https://my.pitchbook.com?c=56395-81", "View company online")</f>
        <v>View company online</v>
      </c>
    </row>
    <row r="288" spans="1:135">
      <c r="A288" s="15" t="s">
        <v>6218</v>
      </c>
      <c r="B288" s="15" t="s">
        <v>6219</v>
      </c>
      <c r="C288" s="15" t="s">
        <v>6220</v>
      </c>
      <c r="D288" s="15" t="s">
        <v>138</v>
      </c>
      <c r="E288" s="15" t="s">
        <v>6221</v>
      </c>
      <c r="F288" s="15" t="s">
        <v>6218</v>
      </c>
      <c r="G288" s="15" t="s">
        <v>6222</v>
      </c>
      <c r="H288" s="15" t="s">
        <v>238</v>
      </c>
      <c r="I288" s="15" t="s">
        <v>785</v>
      </c>
      <c r="J288" s="15" t="s">
        <v>6223</v>
      </c>
      <c r="K288" s="15" t="s">
        <v>6224</v>
      </c>
      <c r="L288" s="15" t="s">
        <v>138</v>
      </c>
      <c r="M288" s="15" t="s">
        <v>6225</v>
      </c>
      <c r="N288" s="15" t="s">
        <v>147</v>
      </c>
      <c r="O288" s="17" t="s">
        <v>138</v>
      </c>
      <c r="P288" s="15" t="s">
        <v>610</v>
      </c>
      <c r="Q288" s="15" t="s">
        <v>149</v>
      </c>
      <c r="R288" s="15" t="s">
        <v>174</v>
      </c>
      <c r="S288" s="15" t="s">
        <v>6226</v>
      </c>
      <c r="T288" s="18" t="s">
        <v>138</v>
      </c>
      <c r="U288" s="15" t="s">
        <v>138</v>
      </c>
      <c r="V288" s="15" t="s">
        <v>138</v>
      </c>
      <c r="W288" s="15" t="s">
        <v>138</v>
      </c>
      <c r="X288" s="19">
        <v>2016</v>
      </c>
      <c r="Y288" s="15" t="s">
        <v>138</v>
      </c>
      <c r="Z288" s="15" t="s">
        <v>138</v>
      </c>
      <c r="AA288" s="15" t="s">
        <v>138</v>
      </c>
      <c r="AB288" s="20" t="s">
        <v>138</v>
      </c>
      <c r="AC288" s="20" t="s">
        <v>138</v>
      </c>
      <c r="AD288" s="20" t="s">
        <v>138</v>
      </c>
      <c r="AE288" s="20" t="s">
        <v>138</v>
      </c>
      <c r="AF288" s="20" t="s">
        <v>138</v>
      </c>
      <c r="AG288" s="15" t="s">
        <v>138</v>
      </c>
      <c r="AH288" s="20" t="s">
        <v>138</v>
      </c>
      <c r="AI288" s="20" t="s">
        <v>138</v>
      </c>
      <c r="AJ288" s="20" t="s">
        <v>138</v>
      </c>
      <c r="AK288" s="15" t="s">
        <v>6227</v>
      </c>
      <c r="AL288" s="15" t="s">
        <v>6228</v>
      </c>
      <c r="AM288" s="15" t="s">
        <v>5401</v>
      </c>
      <c r="AN288" s="15" t="s">
        <v>6229</v>
      </c>
      <c r="AO288" s="15" t="s">
        <v>138</v>
      </c>
      <c r="AP288" s="15" t="s">
        <v>6230</v>
      </c>
      <c r="AQ288" s="15" t="s">
        <v>6231</v>
      </c>
      <c r="AR288" s="15" t="s">
        <v>138</v>
      </c>
      <c r="AS288" s="15" t="s">
        <v>6232</v>
      </c>
      <c r="AT288" s="15" t="s">
        <v>371</v>
      </c>
      <c r="AU288" s="15" t="s">
        <v>6233</v>
      </c>
      <c r="AV288" s="15" t="s">
        <v>162</v>
      </c>
      <c r="AW288" s="15" t="s">
        <v>138</v>
      </c>
      <c r="AX288" s="15" t="s">
        <v>138</v>
      </c>
      <c r="AY288" s="15" t="s">
        <v>138</v>
      </c>
      <c r="AZ288" s="15" t="s">
        <v>164</v>
      </c>
      <c r="BA288" s="15" t="s">
        <v>165</v>
      </c>
      <c r="BB288" s="15" t="s">
        <v>6234</v>
      </c>
      <c r="BC288" s="15" t="s">
        <v>6235</v>
      </c>
      <c r="BD288" s="21">
        <v>1</v>
      </c>
      <c r="BE288" s="15" t="s">
        <v>138</v>
      </c>
      <c r="BF288" s="15" t="s">
        <v>138</v>
      </c>
      <c r="BG288" s="15" t="s">
        <v>138</v>
      </c>
      <c r="BH288" s="15" t="s">
        <v>6236</v>
      </c>
      <c r="BI288" s="15" t="s">
        <v>138</v>
      </c>
      <c r="BJ288" s="15" t="s">
        <v>138</v>
      </c>
      <c r="BK288" s="15" t="s">
        <v>6237</v>
      </c>
      <c r="BL288" s="15" t="s">
        <v>138</v>
      </c>
      <c r="BM288" s="22">
        <v>43487</v>
      </c>
      <c r="BN288" s="17" t="s">
        <v>138</v>
      </c>
      <c r="BO288" s="15" t="s">
        <v>138</v>
      </c>
      <c r="BP288" s="17" t="s">
        <v>138</v>
      </c>
      <c r="BQ288" s="15" t="s">
        <v>138</v>
      </c>
      <c r="BR288" s="15" t="s">
        <v>205</v>
      </c>
      <c r="BS288" s="15" t="s">
        <v>138</v>
      </c>
      <c r="BT288" s="15" t="s">
        <v>138</v>
      </c>
      <c r="BU288" s="15" t="s">
        <v>174</v>
      </c>
      <c r="BV288" s="15" t="s">
        <v>138</v>
      </c>
      <c r="BW288" s="15" t="s">
        <v>138</v>
      </c>
      <c r="BX288" s="15" t="s">
        <v>138</v>
      </c>
      <c r="BY288" s="15" t="s">
        <v>175</v>
      </c>
      <c r="BZ288" s="22">
        <v>43487</v>
      </c>
      <c r="CA288" s="17" t="s">
        <v>138</v>
      </c>
      <c r="CB288" s="15" t="s">
        <v>138</v>
      </c>
      <c r="CC288" s="17" t="s">
        <v>138</v>
      </c>
      <c r="CD288" s="15" t="s">
        <v>138</v>
      </c>
      <c r="CE288" s="15" t="s">
        <v>205</v>
      </c>
      <c r="CF288" s="15" t="s">
        <v>138</v>
      </c>
      <c r="CG288" s="15" t="s">
        <v>138</v>
      </c>
      <c r="CH288" s="15" t="s">
        <v>174</v>
      </c>
      <c r="CI288" s="15" t="s">
        <v>138</v>
      </c>
      <c r="CJ288" s="15" t="s">
        <v>138</v>
      </c>
      <c r="CK288" s="15" t="s">
        <v>138</v>
      </c>
      <c r="CL288" s="15" t="s">
        <v>175</v>
      </c>
      <c r="CM288" s="22" t="s">
        <v>138</v>
      </c>
      <c r="CN288" s="17" t="s">
        <v>138</v>
      </c>
      <c r="CO288" s="23">
        <v>0</v>
      </c>
      <c r="CP288" s="24">
        <v>26</v>
      </c>
      <c r="CQ288" s="23">
        <v>0</v>
      </c>
      <c r="CR288" s="23">
        <v>0</v>
      </c>
      <c r="CS288" s="23">
        <v>0</v>
      </c>
      <c r="CT288" s="24">
        <v>23</v>
      </c>
      <c r="CU288" s="23">
        <v>0</v>
      </c>
      <c r="CV288" s="24">
        <v>22</v>
      </c>
      <c r="CW288" s="23" t="s">
        <v>138</v>
      </c>
      <c r="CX288" s="24" t="s">
        <v>138</v>
      </c>
      <c r="CY288" s="23">
        <v>0</v>
      </c>
      <c r="CZ288" s="24">
        <v>25</v>
      </c>
      <c r="DA288" s="23">
        <v>0</v>
      </c>
      <c r="DB288" s="24">
        <v>22</v>
      </c>
      <c r="DC288" s="25">
        <v>0.73</v>
      </c>
      <c r="DD288" s="24">
        <v>43</v>
      </c>
      <c r="DE288" s="25">
        <v>0.02</v>
      </c>
      <c r="DF288" s="23">
        <v>2.46</v>
      </c>
      <c r="DG288" s="25">
        <v>1.38</v>
      </c>
      <c r="DH288" s="24">
        <v>58</v>
      </c>
      <c r="DI288" s="25">
        <v>7.0000000000000007E-2</v>
      </c>
      <c r="DJ288" s="24">
        <v>11</v>
      </c>
      <c r="DK288" s="25" t="s">
        <v>138</v>
      </c>
      <c r="DL288" s="24" t="s">
        <v>138</v>
      </c>
      <c r="DM288" s="25">
        <v>1.38</v>
      </c>
      <c r="DN288" s="24">
        <v>58</v>
      </c>
      <c r="DO288" s="25">
        <v>7.0000000000000007E-2</v>
      </c>
      <c r="DP288" s="24">
        <v>13</v>
      </c>
      <c r="DQ288" s="24" t="s">
        <v>138</v>
      </c>
      <c r="DR288" s="26" t="s">
        <v>138</v>
      </c>
      <c r="DS288" s="23" t="s">
        <v>138</v>
      </c>
      <c r="DT288" s="24">
        <v>39</v>
      </c>
      <c r="DU288" s="26">
        <v>1</v>
      </c>
      <c r="DV288" s="23">
        <v>2.63</v>
      </c>
      <c r="DW288" s="24">
        <v>26</v>
      </c>
      <c r="DX288" s="27">
        <v>0</v>
      </c>
      <c r="DY288" s="23">
        <v>0</v>
      </c>
      <c r="DZ288" s="15" t="s">
        <v>178</v>
      </c>
      <c r="EA288" s="22">
        <v>43600</v>
      </c>
      <c r="EB288" s="17" t="s">
        <v>138</v>
      </c>
      <c r="EC288" s="22" t="s">
        <v>138</v>
      </c>
      <c r="ED288" s="15" t="s">
        <v>138</v>
      </c>
      <c r="EE288" s="14" t="str">
        <f>HYPERLINK("https://my.pitchbook.com?c=264911-50", "View company online")</f>
        <v>View company online</v>
      </c>
    </row>
    <row r="289" spans="1:135">
      <c r="A289" s="28" t="s">
        <v>6238</v>
      </c>
      <c r="B289" s="28" t="s">
        <v>6239</v>
      </c>
      <c r="C289" s="28" t="s">
        <v>138</v>
      </c>
      <c r="D289" s="28" t="s">
        <v>138</v>
      </c>
      <c r="E289" s="28" t="s">
        <v>6240</v>
      </c>
      <c r="F289" s="28" t="s">
        <v>6238</v>
      </c>
      <c r="G289" s="28" t="s">
        <v>6241</v>
      </c>
      <c r="H289" s="28" t="s">
        <v>890</v>
      </c>
      <c r="I289" s="28" t="s">
        <v>891</v>
      </c>
      <c r="J289" s="28" t="s">
        <v>891</v>
      </c>
      <c r="K289" s="28" t="s">
        <v>6242</v>
      </c>
      <c r="L289" s="28" t="s">
        <v>138</v>
      </c>
      <c r="M289" s="28" t="s">
        <v>6243</v>
      </c>
      <c r="N289" s="28" t="s">
        <v>147</v>
      </c>
      <c r="O289" s="29">
        <v>41</v>
      </c>
      <c r="P289" s="28" t="s">
        <v>148</v>
      </c>
      <c r="Q289" s="28" t="s">
        <v>149</v>
      </c>
      <c r="R289" s="28" t="s">
        <v>174</v>
      </c>
      <c r="S289" s="28" t="s">
        <v>6244</v>
      </c>
      <c r="T289" s="30">
        <v>25</v>
      </c>
      <c r="U289" s="28" t="s">
        <v>6245</v>
      </c>
      <c r="V289" s="28" t="s">
        <v>138</v>
      </c>
      <c r="W289" s="28" t="s">
        <v>138</v>
      </c>
      <c r="X289" s="31">
        <v>2012</v>
      </c>
      <c r="Y289" s="28" t="s">
        <v>138</v>
      </c>
      <c r="Z289" s="28" t="s">
        <v>138</v>
      </c>
      <c r="AA289" s="28" t="s">
        <v>1163</v>
      </c>
      <c r="AB289" s="32" t="s">
        <v>138</v>
      </c>
      <c r="AC289" s="32" t="s">
        <v>138</v>
      </c>
      <c r="AD289" s="32" t="s">
        <v>138</v>
      </c>
      <c r="AE289" s="32" t="s">
        <v>138</v>
      </c>
      <c r="AF289" s="32" t="s">
        <v>138</v>
      </c>
      <c r="AG289" s="28" t="s">
        <v>138</v>
      </c>
      <c r="AH289" s="32" t="s">
        <v>138</v>
      </c>
      <c r="AI289" s="32" t="s">
        <v>138</v>
      </c>
      <c r="AJ289" s="32" t="s">
        <v>138</v>
      </c>
      <c r="AK289" s="28" t="s">
        <v>6246</v>
      </c>
      <c r="AL289" s="28" t="s">
        <v>6247</v>
      </c>
      <c r="AM289" s="28" t="s">
        <v>304</v>
      </c>
      <c r="AN289" s="28" t="s">
        <v>6248</v>
      </c>
      <c r="AO289" s="28" t="s">
        <v>138</v>
      </c>
      <c r="AP289" s="28" t="s">
        <v>964</v>
      </c>
      <c r="AQ289" s="28" t="s">
        <v>6249</v>
      </c>
      <c r="AR289" s="28" t="s">
        <v>282</v>
      </c>
      <c r="AS289" s="28" t="s">
        <v>966</v>
      </c>
      <c r="AT289" s="28" t="s">
        <v>200</v>
      </c>
      <c r="AU289" s="28" t="s">
        <v>967</v>
      </c>
      <c r="AV289" s="28" t="s">
        <v>162</v>
      </c>
      <c r="AW289" s="28" t="s">
        <v>138</v>
      </c>
      <c r="AX289" s="28" t="s">
        <v>138</v>
      </c>
      <c r="AY289" s="28" t="s">
        <v>138</v>
      </c>
      <c r="AZ289" s="28" t="s">
        <v>164</v>
      </c>
      <c r="BA289" s="28" t="s">
        <v>165</v>
      </c>
      <c r="BB289" s="28" t="s">
        <v>6250</v>
      </c>
      <c r="BC289" s="28" t="s">
        <v>6251</v>
      </c>
      <c r="BD289" s="33">
        <v>11</v>
      </c>
      <c r="BE289" s="28" t="s">
        <v>138</v>
      </c>
      <c r="BF289" s="28" t="s">
        <v>138</v>
      </c>
      <c r="BG289" s="28" t="s">
        <v>138</v>
      </c>
      <c r="BH289" s="28" t="s">
        <v>6252</v>
      </c>
      <c r="BI289" s="28" t="s">
        <v>138</v>
      </c>
      <c r="BJ289" s="28" t="s">
        <v>138</v>
      </c>
      <c r="BK289" s="28" t="s">
        <v>138</v>
      </c>
      <c r="BL289" s="28" t="s">
        <v>138</v>
      </c>
      <c r="BM289" s="34">
        <v>41557</v>
      </c>
      <c r="BN289" s="29">
        <v>10.5</v>
      </c>
      <c r="BO289" s="28" t="s">
        <v>172</v>
      </c>
      <c r="BP289" s="29" t="s">
        <v>138</v>
      </c>
      <c r="BQ289" s="28" t="s">
        <v>138</v>
      </c>
      <c r="BR289" s="28" t="s">
        <v>205</v>
      </c>
      <c r="BS289" s="28" t="s">
        <v>138</v>
      </c>
      <c r="BT289" s="28" t="s">
        <v>138</v>
      </c>
      <c r="BU289" s="28" t="s">
        <v>174</v>
      </c>
      <c r="BV289" s="28" t="s">
        <v>138</v>
      </c>
      <c r="BW289" s="28" t="s">
        <v>138</v>
      </c>
      <c r="BX289" s="28" t="s">
        <v>138</v>
      </c>
      <c r="BY289" s="28" t="s">
        <v>175</v>
      </c>
      <c r="BZ289" s="34">
        <v>43229</v>
      </c>
      <c r="CA289" s="29">
        <v>20</v>
      </c>
      <c r="CB289" s="28" t="s">
        <v>172</v>
      </c>
      <c r="CC289" s="29" t="s">
        <v>138</v>
      </c>
      <c r="CD289" s="28" t="s">
        <v>138</v>
      </c>
      <c r="CE289" s="28" t="s">
        <v>173</v>
      </c>
      <c r="CF289" s="28" t="s">
        <v>138</v>
      </c>
      <c r="CG289" s="28" t="s">
        <v>138</v>
      </c>
      <c r="CH289" s="28" t="s">
        <v>174</v>
      </c>
      <c r="CI289" s="28" t="s">
        <v>138</v>
      </c>
      <c r="CJ289" s="28" t="s">
        <v>138</v>
      </c>
      <c r="CK289" s="28" t="s">
        <v>138</v>
      </c>
      <c r="CL289" s="28" t="s">
        <v>175</v>
      </c>
      <c r="CM289" s="34" t="s">
        <v>138</v>
      </c>
      <c r="CN289" s="29" t="s">
        <v>138</v>
      </c>
      <c r="CO289" s="35">
        <v>-0.94</v>
      </c>
      <c r="CP289" s="36">
        <v>11</v>
      </c>
      <c r="CQ289" s="35">
        <v>0.05</v>
      </c>
      <c r="CR289" s="35">
        <v>4.99</v>
      </c>
      <c r="CS289" s="35">
        <v>-1.88</v>
      </c>
      <c r="CT289" s="36">
        <v>9</v>
      </c>
      <c r="CU289" s="35">
        <v>0</v>
      </c>
      <c r="CV289" s="36">
        <v>22</v>
      </c>
      <c r="CW289" s="35" t="s">
        <v>138</v>
      </c>
      <c r="CX289" s="36" t="s">
        <v>138</v>
      </c>
      <c r="CY289" s="35">
        <v>-1.88</v>
      </c>
      <c r="CZ289" s="36">
        <v>12</v>
      </c>
      <c r="DA289" s="35">
        <v>0</v>
      </c>
      <c r="DB289" s="36">
        <v>22</v>
      </c>
      <c r="DC289" s="37">
        <v>4.29</v>
      </c>
      <c r="DD289" s="36">
        <v>81</v>
      </c>
      <c r="DE289" s="37">
        <v>-0.01</v>
      </c>
      <c r="DF289" s="35">
        <v>-0.26</v>
      </c>
      <c r="DG289" s="37">
        <v>5.86</v>
      </c>
      <c r="DH289" s="36">
        <v>84</v>
      </c>
      <c r="DI289" s="37">
        <v>2.72</v>
      </c>
      <c r="DJ289" s="36">
        <v>68</v>
      </c>
      <c r="DK289" s="37" t="s">
        <v>138</v>
      </c>
      <c r="DL289" s="36" t="s">
        <v>138</v>
      </c>
      <c r="DM289" s="37">
        <v>5.86</v>
      </c>
      <c r="DN289" s="36">
        <v>83</v>
      </c>
      <c r="DO289" s="37">
        <v>2.72</v>
      </c>
      <c r="DP289" s="36">
        <v>69</v>
      </c>
      <c r="DQ289" s="36">
        <v>124</v>
      </c>
      <c r="DR289" s="38">
        <v>-12</v>
      </c>
      <c r="DS289" s="35">
        <v>-8.82</v>
      </c>
      <c r="DT289" s="36">
        <v>170</v>
      </c>
      <c r="DU289" s="38">
        <v>0</v>
      </c>
      <c r="DV289" s="35">
        <v>0</v>
      </c>
      <c r="DW289" s="36">
        <v>972</v>
      </c>
      <c r="DX289" s="39">
        <v>-1</v>
      </c>
      <c r="DY289" s="35">
        <v>-0.1</v>
      </c>
      <c r="DZ289" s="28" t="s">
        <v>178</v>
      </c>
      <c r="EA289" s="34">
        <v>43440</v>
      </c>
      <c r="EB289" s="29" t="s">
        <v>138</v>
      </c>
      <c r="EC289" s="34" t="s">
        <v>138</v>
      </c>
      <c r="ED289" s="28" t="s">
        <v>138</v>
      </c>
      <c r="EE289" s="40" t="str">
        <f>HYPERLINK("https://my.pitchbook.com?c=58245-49", "View company online")</f>
        <v>View company online</v>
      </c>
    </row>
    <row r="290" spans="1:135">
      <c r="A290" s="15" t="s">
        <v>6253</v>
      </c>
      <c r="B290" s="15" t="s">
        <v>6254</v>
      </c>
      <c r="C290" s="15" t="s">
        <v>138</v>
      </c>
      <c r="D290" s="15" t="s">
        <v>138</v>
      </c>
      <c r="E290" s="15" t="s">
        <v>138</v>
      </c>
      <c r="F290" s="15" t="s">
        <v>6253</v>
      </c>
      <c r="G290" s="15" t="s">
        <v>6255</v>
      </c>
      <c r="H290" s="15" t="s">
        <v>238</v>
      </c>
      <c r="I290" s="15" t="s">
        <v>749</v>
      </c>
      <c r="J290" s="15" t="s">
        <v>750</v>
      </c>
      <c r="K290" s="15" t="s">
        <v>751</v>
      </c>
      <c r="L290" s="15" t="s">
        <v>752</v>
      </c>
      <c r="M290" s="15" t="s">
        <v>6256</v>
      </c>
      <c r="N290" s="15" t="s">
        <v>147</v>
      </c>
      <c r="O290" s="17" t="s">
        <v>138</v>
      </c>
      <c r="P290" s="15" t="s">
        <v>148</v>
      </c>
      <c r="Q290" s="15" t="s">
        <v>149</v>
      </c>
      <c r="R290" s="15" t="s">
        <v>174</v>
      </c>
      <c r="S290" s="15" t="s">
        <v>6257</v>
      </c>
      <c r="T290" s="18" t="s">
        <v>138</v>
      </c>
      <c r="U290" s="15" t="s">
        <v>138</v>
      </c>
      <c r="V290" s="15" t="s">
        <v>138</v>
      </c>
      <c r="W290" s="15" t="s">
        <v>138</v>
      </c>
      <c r="X290" s="19">
        <v>2016</v>
      </c>
      <c r="Y290" s="15" t="s">
        <v>138</v>
      </c>
      <c r="Z290" s="15" t="s">
        <v>138</v>
      </c>
      <c r="AA290" s="15" t="s">
        <v>138</v>
      </c>
      <c r="AB290" s="20" t="s">
        <v>138</v>
      </c>
      <c r="AC290" s="20" t="s">
        <v>138</v>
      </c>
      <c r="AD290" s="20" t="s">
        <v>138</v>
      </c>
      <c r="AE290" s="20" t="s">
        <v>138</v>
      </c>
      <c r="AF290" s="20" t="s">
        <v>138</v>
      </c>
      <c r="AG290" s="15" t="s">
        <v>138</v>
      </c>
      <c r="AH290" s="20" t="s">
        <v>138</v>
      </c>
      <c r="AI290" s="20" t="s">
        <v>138</v>
      </c>
      <c r="AJ290" s="20" t="s">
        <v>138</v>
      </c>
      <c r="AK290" s="15" t="s">
        <v>6258</v>
      </c>
      <c r="AL290" s="15" t="s">
        <v>6259</v>
      </c>
      <c r="AM290" s="15" t="s">
        <v>938</v>
      </c>
      <c r="AN290" s="15" t="s">
        <v>138</v>
      </c>
      <c r="AO290" s="15" t="s">
        <v>138</v>
      </c>
      <c r="AP290" s="15" t="s">
        <v>6260</v>
      </c>
      <c r="AQ290" s="15" t="s">
        <v>6261</v>
      </c>
      <c r="AR290" s="15" t="s">
        <v>138</v>
      </c>
      <c r="AS290" s="15" t="s">
        <v>6262</v>
      </c>
      <c r="AT290" s="15" t="s">
        <v>200</v>
      </c>
      <c r="AU290" s="15" t="s">
        <v>6263</v>
      </c>
      <c r="AV290" s="15" t="s">
        <v>162</v>
      </c>
      <c r="AW290" s="15" t="s">
        <v>138</v>
      </c>
      <c r="AX290" s="15" t="s">
        <v>138</v>
      </c>
      <c r="AY290" s="15" t="s">
        <v>138</v>
      </c>
      <c r="AZ290" s="15" t="s">
        <v>164</v>
      </c>
      <c r="BA290" s="15" t="s">
        <v>165</v>
      </c>
      <c r="BB290" s="15" t="s">
        <v>6264</v>
      </c>
      <c r="BC290" s="15" t="s">
        <v>6235</v>
      </c>
      <c r="BD290" s="21">
        <v>1</v>
      </c>
      <c r="BE290" s="15" t="s">
        <v>138</v>
      </c>
      <c r="BF290" s="15" t="s">
        <v>138</v>
      </c>
      <c r="BG290" s="15" t="s">
        <v>138</v>
      </c>
      <c r="BH290" s="15" t="s">
        <v>6236</v>
      </c>
      <c r="BI290" s="15" t="s">
        <v>138</v>
      </c>
      <c r="BJ290" s="15" t="s">
        <v>138</v>
      </c>
      <c r="BK290" s="15" t="s">
        <v>315</v>
      </c>
      <c r="BL290" s="15" t="s">
        <v>315</v>
      </c>
      <c r="BM290" s="22">
        <v>43101</v>
      </c>
      <c r="BN290" s="17" t="s">
        <v>138</v>
      </c>
      <c r="BO290" s="15" t="s">
        <v>138</v>
      </c>
      <c r="BP290" s="17" t="s">
        <v>138</v>
      </c>
      <c r="BQ290" s="15" t="s">
        <v>138</v>
      </c>
      <c r="BR290" s="15" t="s">
        <v>205</v>
      </c>
      <c r="BS290" s="15" t="s">
        <v>138</v>
      </c>
      <c r="BT290" s="15" t="s">
        <v>138</v>
      </c>
      <c r="BU290" s="15" t="s">
        <v>174</v>
      </c>
      <c r="BV290" s="15" t="s">
        <v>138</v>
      </c>
      <c r="BW290" s="15" t="s">
        <v>138</v>
      </c>
      <c r="BX290" s="15" t="s">
        <v>138</v>
      </c>
      <c r="BY290" s="15" t="s">
        <v>175</v>
      </c>
      <c r="BZ290" s="22">
        <v>43101</v>
      </c>
      <c r="CA290" s="17" t="s">
        <v>138</v>
      </c>
      <c r="CB290" s="15" t="s">
        <v>138</v>
      </c>
      <c r="CC290" s="17" t="s">
        <v>138</v>
      </c>
      <c r="CD290" s="15" t="s">
        <v>138</v>
      </c>
      <c r="CE290" s="15" t="s">
        <v>205</v>
      </c>
      <c r="CF290" s="15" t="s">
        <v>138</v>
      </c>
      <c r="CG290" s="15" t="s">
        <v>138</v>
      </c>
      <c r="CH290" s="15" t="s">
        <v>174</v>
      </c>
      <c r="CI290" s="15" t="s">
        <v>138</v>
      </c>
      <c r="CJ290" s="15" t="s">
        <v>138</v>
      </c>
      <c r="CK290" s="15" t="s">
        <v>138</v>
      </c>
      <c r="CL290" s="15" t="s">
        <v>175</v>
      </c>
      <c r="CM290" s="22" t="s">
        <v>138</v>
      </c>
      <c r="CN290" s="17" t="s">
        <v>138</v>
      </c>
      <c r="CO290" s="23">
        <v>0.09</v>
      </c>
      <c r="CP290" s="24">
        <v>90</v>
      </c>
      <c r="CQ290" s="23">
        <v>0</v>
      </c>
      <c r="CR290" s="23">
        <v>0</v>
      </c>
      <c r="CS290" s="23">
        <v>0.13</v>
      </c>
      <c r="CT290" s="24">
        <v>94</v>
      </c>
      <c r="CU290" s="23">
        <v>0.05</v>
      </c>
      <c r="CV290" s="24">
        <v>58</v>
      </c>
      <c r="CW290" s="23">
        <v>0.27</v>
      </c>
      <c r="CX290" s="24">
        <v>81</v>
      </c>
      <c r="CY290" s="23">
        <v>0</v>
      </c>
      <c r="CZ290" s="24">
        <v>25</v>
      </c>
      <c r="DA290" s="23">
        <v>0</v>
      </c>
      <c r="DB290" s="24">
        <v>22</v>
      </c>
      <c r="DC290" s="25">
        <v>1.89</v>
      </c>
      <c r="DD290" s="24">
        <v>66</v>
      </c>
      <c r="DE290" s="25">
        <v>-0.15</v>
      </c>
      <c r="DF290" s="23">
        <v>-7.34</v>
      </c>
      <c r="DG290" s="25">
        <v>2.42</v>
      </c>
      <c r="DH290" s="24">
        <v>71</v>
      </c>
      <c r="DI290" s="25">
        <v>1.36</v>
      </c>
      <c r="DJ290" s="24">
        <v>55</v>
      </c>
      <c r="DK290" s="25">
        <v>4.63</v>
      </c>
      <c r="DL290" s="24">
        <v>78</v>
      </c>
      <c r="DM290" s="25">
        <v>0.21</v>
      </c>
      <c r="DN290" s="24">
        <v>16</v>
      </c>
      <c r="DO290" s="25">
        <v>0.19</v>
      </c>
      <c r="DP290" s="24">
        <v>24</v>
      </c>
      <c r="DQ290" s="24">
        <v>1620</v>
      </c>
      <c r="DR290" s="26">
        <v>-99</v>
      </c>
      <c r="DS290" s="23">
        <v>-5.76</v>
      </c>
      <c r="DT290" s="24">
        <v>6</v>
      </c>
      <c r="DU290" s="26">
        <v>0</v>
      </c>
      <c r="DV290" s="23">
        <v>0</v>
      </c>
      <c r="DW290" s="24">
        <v>67</v>
      </c>
      <c r="DX290" s="27">
        <v>-1</v>
      </c>
      <c r="DY290" s="23">
        <v>-1.47</v>
      </c>
      <c r="DZ290" s="15" t="s">
        <v>178</v>
      </c>
      <c r="EA290" s="22">
        <v>43557</v>
      </c>
      <c r="EB290" s="17" t="s">
        <v>138</v>
      </c>
      <c r="EC290" s="22" t="s">
        <v>138</v>
      </c>
      <c r="ED290" s="15" t="s">
        <v>138</v>
      </c>
      <c r="EE290" s="14" t="str">
        <f>HYPERLINK("https://my.pitchbook.com?c=226332-73", "View company online")</f>
        <v>View company online</v>
      </c>
    </row>
    <row r="291" spans="1:135">
      <c r="A291" s="28" t="s">
        <v>6265</v>
      </c>
      <c r="B291" s="28" t="s">
        <v>6266</v>
      </c>
      <c r="C291" s="28" t="s">
        <v>138</v>
      </c>
      <c r="D291" s="28" t="s">
        <v>138</v>
      </c>
      <c r="E291" s="28" t="s">
        <v>6267</v>
      </c>
      <c r="F291" s="28" t="s">
        <v>6265</v>
      </c>
      <c r="G291" s="28" t="s">
        <v>6268</v>
      </c>
      <c r="H291" s="28" t="s">
        <v>238</v>
      </c>
      <c r="I291" s="28" t="s">
        <v>239</v>
      </c>
      <c r="J291" s="28" t="s">
        <v>1756</v>
      </c>
      <c r="K291" s="28" t="s">
        <v>6269</v>
      </c>
      <c r="L291" s="28" t="s">
        <v>415</v>
      </c>
      <c r="M291" s="28" t="s">
        <v>6270</v>
      </c>
      <c r="N291" s="28" t="s">
        <v>147</v>
      </c>
      <c r="O291" s="29">
        <v>91.76</v>
      </c>
      <c r="P291" s="28" t="s">
        <v>148</v>
      </c>
      <c r="Q291" s="28" t="s">
        <v>149</v>
      </c>
      <c r="R291" s="28" t="s">
        <v>174</v>
      </c>
      <c r="S291" s="28" t="s">
        <v>6271</v>
      </c>
      <c r="T291" s="30">
        <v>300</v>
      </c>
      <c r="U291" s="28" t="s">
        <v>6272</v>
      </c>
      <c r="V291" s="28" t="s">
        <v>138</v>
      </c>
      <c r="W291" s="28" t="s">
        <v>138</v>
      </c>
      <c r="X291" s="31">
        <v>2016</v>
      </c>
      <c r="Y291" s="28" t="s">
        <v>138</v>
      </c>
      <c r="Z291" s="28" t="s">
        <v>138</v>
      </c>
      <c r="AA291" s="28" t="s">
        <v>6273</v>
      </c>
      <c r="AB291" s="32" t="s">
        <v>138</v>
      </c>
      <c r="AC291" s="32" t="s">
        <v>138</v>
      </c>
      <c r="AD291" s="32" t="s">
        <v>138</v>
      </c>
      <c r="AE291" s="32" t="s">
        <v>138</v>
      </c>
      <c r="AF291" s="32" t="s">
        <v>138</v>
      </c>
      <c r="AG291" s="28" t="s">
        <v>138</v>
      </c>
      <c r="AH291" s="32" t="s">
        <v>138</v>
      </c>
      <c r="AI291" s="32" t="s">
        <v>138</v>
      </c>
      <c r="AJ291" s="32" t="s">
        <v>138</v>
      </c>
      <c r="AK291" s="28" t="s">
        <v>6274</v>
      </c>
      <c r="AL291" s="28" t="s">
        <v>6275</v>
      </c>
      <c r="AM291" s="28" t="s">
        <v>6137</v>
      </c>
      <c r="AN291" s="28" t="s">
        <v>6276</v>
      </c>
      <c r="AO291" s="28" t="s">
        <v>6277</v>
      </c>
      <c r="AP291" s="28" t="s">
        <v>665</v>
      </c>
      <c r="AQ291" s="28" t="s">
        <v>6278</v>
      </c>
      <c r="AR291" s="28" t="s">
        <v>6279</v>
      </c>
      <c r="AS291" s="28" t="s">
        <v>668</v>
      </c>
      <c r="AT291" s="28" t="s">
        <v>200</v>
      </c>
      <c r="AU291" s="28" t="s">
        <v>1893</v>
      </c>
      <c r="AV291" s="28" t="s">
        <v>162</v>
      </c>
      <c r="AW291" s="28" t="s">
        <v>6277</v>
      </c>
      <c r="AX291" s="28" t="s">
        <v>138</v>
      </c>
      <c r="AY291" s="28" t="s">
        <v>138</v>
      </c>
      <c r="AZ291" s="28" t="s">
        <v>164</v>
      </c>
      <c r="BA291" s="28" t="s">
        <v>165</v>
      </c>
      <c r="BB291" s="28" t="s">
        <v>6280</v>
      </c>
      <c r="BC291" s="28" t="s">
        <v>6281</v>
      </c>
      <c r="BD291" s="33">
        <v>19</v>
      </c>
      <c r="BE291" s="28" t="s">
        <v>138</v>
      </c>
      <c r="BF291" s="28" t="s">
        <v>138</v>
      </c>
      <c r="BG291" s="28" t="s">
        <v>138</v>
      </c>
      <c r="BH291" s="28" t="s">
        <v>6282</v>
      </c>
      <c r="BI291" s="28" t="s">
        <v>138</v>
      </c>
      <c r="BJ291" s="28" t="s">
        <v>138</v>
      </c>
      <c r="BK291" s="28" t="s">
        <v>6283</v>
      </c>
      <c r="BL291" s="28" t="s">
        <v>1251</v>
      </c>
      <c r="BM291" s="34" t="s">
        <v>138</v>
      </c>
      <c r="BN291" s="29">
        <v>2.1</v>
      </c>
      <c r="BO291" s="28" t="s">
        <v>172</v>
      </c>
      <c r="BP291" s="29" t="s">
        <v>138</v>
      </c>
      <c r="BQ291" s="28" t="s">
        <v>138</v>
      </c>
      <c r="BR291" s="28" t="s">
        <v>262</v>
      </c>
      <c r="BS291" s="28" t="s">
        <v>262</v>
      </c>
      <c r="BT291" s="28" t="s">
        <v>138</v>
      </c>
      <c r="BU291" s="28" t="s">
        <v>263</v>
      </c>
      <c r="BV291" s="28" t="s">
        <v>138</v>
      </c>
      <c r="BW291" s="28" t="s">
        <v>138</v>
      </c>
      <c r="BX291" s="28" t="s">
        <v>138</v>
      </c>
      <c r="BY291" s="28" t="s">
        <v>175</v>
      </c>
      <c r="BZ291" s="34">
        <v>43614</v>
      </c>
      <c r="CA291" s="29">
        <v>21.76</v>
      </c>
      <c r="CB291" s="28" t="s">
        <v>172</v>
      </c>
      <c r="CC291" s="29">
        <v>328.76</v>
      </c>
      <c r="CD291" s="28" t="s">
        <v>172</v>
      </c>
      <c r="CE291" s="28" t="s">
        <v>173</v>
      </c>
      <c r="CF291" s="28" t="s">
        <v>2359</v>
      </c>
      <c r="CG291" s="28" t="s">
        <v>138</v>
      </c>
      <c r="CH291" s="28" t="s">
        <v>174</v>
      </c>
      <c r="CI291" s="28" t="s">
        <v>138</v>
      </c>
      <c r="CJ291" s="28" t="s">
        <v>138</v>
      </c>
      <c r="CK291" s="28" t="s">
        <v>138</v>
      </c>
      <c r="CL291" s="28" t="s">
        <v>175</v>
      </c>
      <c r="CM291" s="34" t="s">
        <v>138</v>
      </c>
      <c r="CN291" s="29" t="s">
        <v>138</v>
      </c>
      <c r="CO291" s="35">
        <v>1.08</v>
      </c>
      <c r="CP291" s="36">
        <v>97</v>
      </c>
      <c r="CQ291" s="35">
        <v>-0.02</v>
      </c>
      <c r="CR291" s="35">
        <v>-1.95</v>
      </c>
      <c r="CS291" s="35">
        <v>-0.77</v>
      </c>
      <c r="CT291" s="36">
        <v>17</v>
      </c>
      <c r="CU291" s="35">
        <v>0.92</v>
      </c>
      <c r="CV291" s="36">
        <v>98</v>
      </c>
      <c r="CW291" s="35">
        <v>0.01</v>
      </c>
      <c r="CX291" s="36">
        <v>80</v>
      </c>
      <c r="CY291" s="35">
        <v>-1.54</v>
      </c>
      <c r="CZ291" s="36">
        <v>14</v>
      </c>
      <c r="DA291" s="35">
        <v>0.92</v>
      </c>
      <c r="DB291" s="36">
        <v>98</v>
      </c>
      <c r="DC291" s="37">
        <v>646.88</v>
      </c>
      <c r="DD291" s="36">
        <v>100</v>
      </c>
      <c r="DE291" s="37">
        <v>-28.99</v>
      </c>
      <c r="DF291" s="35">
        <v>-4.29</v>
      </c>
      <c r="DG291" s="37">
        <v>1379.27</v>
      </c>
      <c r="DH291" s="36">
        <v>100</v>
      </c>
      <c r="DI291" s="37">
        <v>127.61</v>
      </c>
      <c r="DJ291" s="36">
        <v>98</v>
      </c>
      <c r="DK291" s="37">
        <v>2745.17</v>
      </c>
      <c r="DL291" s="36">
        <v>100</v>
      </c>
      <c r="DM291" s="37">
        <v>13.38</v>
      </c>
      <c r="DN291" s="36">
        <v>91</v>
      </c>
      <c r="DO291" s="37">
        <v>127.61</v>
      </c>
      <c r="DP291" s="36">
        <v>99</v>
      </c>
      <c r="DQ291" s="36">
        <v>938310</v>
      </c>
      <c r="DR291" s="38">
        <v>9844</v>
      </c>
      <c r="DS291" s="35">
        <v>1.06</v>
      </c>
      <c r="DT291" s="36">
        <v>387</v>
      </c>
      <c r="DU291" s="38">
        <v>3</v>
      </c>
      <c r="DV291" s="35">
        <v>0.78</v>
      </c>
      <c r="DW291" s="36">
        <v>45467</v>
      </c>
      <c r="DX291" s="39">
        <v>342</v>
      </c>
      <c r="DY291" s="35">
        <v>0.76</v>
      </c>
      <c r="DZ291" s="28" t="s">
        <v>178</v>
      </c>
      <c r="EA291" s="34">
        <v>43615</v>
      </c>
      <c r="EB291" s="29">
        <v>328.76</v>
      </c>
      <c r="EC291" s="34">
        <v>43614</v>
      </c>
      <c r="ED291" s="28" t="s">
        <v>173</v>
      </c>
      <c r="EE291" s="40" t="str">
        <f>HYPERLINK("https://my.pitchbook.com?c=162423-37", "View company online")</f>
        <v>View company online</v>
      </c>
    </row>
    <row r="292" spans="1:135">
      <c r="A292" s="15" t="s">
        <v>6284</v>
      </c>
      <c r="B292" s="15" t="s">
        <v>6285</v>
      </c>
      <c r="C292" s="15" t="s">
        <v>138</v>
      </c>
      <c r="D292" s="15" t="s">
        <v>6286</v>
      </c>
      <c r="E292" s="15" t="s">
        <v>6287</v>
      </c>
      <c r="F292" s="15" t="s">
        <v>6284</v>
      </c>
      <c r="G292" s="15" t="s">
        <v>6288</v>
      </c>
      <c r="H292" s="15" t="s">
        <v>322</v>
      </c>
      <c r="I292" s="15" t="s">
        <v>323</v>
      </c>
      <c r="J292" s="15" t="s">
        <v>324</v>
      </c>
      <c r="K292" s="15" t="s">
        <v>629</v>
      </c>
      <c r="L292" s="15" t="s">
        <v>4503</v>
      </c>
      <c r="M292" s="15" t="s">
        <v>6289</v>
      </c>
      <c r="N292" s="15" t="s">
        <v>1452</v>
      </c>
      <c r="O292" s="17" t="s">
        <v>138</v>
      </c>
      <c r="P292" s="15" t="s">
        <v>148</v>
      </c>
      <c r="Q292" s="15" t="s">
        <v>149</v>
      </c>
      <c r="R292" s="15" t="s">
        <v>328</v>
      </c>
      <c r="S292" s="15" t="s">
        <v>6290</v>
      </c>
      <c r="T292" s="18">
        <v>200</v>
      </c>
      <c r="U292" s="15" t="s">
        <v>6291</v>
      </c>
      <c r="V292" s="15" t="s">
        <v>138</v>
      </c>
      <c r="W292" s="15" t="s">
        <v>138</v>
      </c>
      <c r="X292" s="19">
        <v>2001</v>
      </c>
      <c r="Y292" s="15" t="s">
        <v>138</v>
      </c>
      <c r="Z292" s="15" t="s">
        <v>138</v>
      </c>
      <c r="AA292" s="15" t="s">
        <v>138</v>
      </c>
      <c r="AB292" s="20" t="s">
        <v>138</v>
      </c>
      <c r="AC292" s="20" t="s">
        <v>138</v>
      </c>
      <c r="AD292" s="20" t="s">
        <v>138</v>
      </c>
      <c r="AE292" s="20" t="s">
        <v>138</v>
      </c>
      <c r="AF292" s="20" t="s">
        <v>138</v>
      </c>
      <c r="AG292" s="15" t="s">
        <v>138</v>
      </c>
      <c r="AH292" s="20" t="s">
        <v>138</v>
      </c>
      <c r="AI292" s="20" t="s">
        <v>138</v>
      </c>
      <c r="AJ292" s="20" t="s">
        <v>138</v>
      </c>
      <c r="AK292" s="15" t="s">
        <v>6292</v>
      </c>
      <c r="AL292" s="15" t="s">
        <v>6293</v>
      </c>
      <c r="AM292" s="15" t="s">
        <v>1632</v>
      </c>
      <c r="AN292" s="15" t="s">
        <v>6294</v>
      </c>
      <c r="AO292" s="15" t="s">
        <v>6295</v>
      </c>
      <c r="AP292" s="15" t="s">
        <v>6296</v>
      </c>
      <c r="AQ292" s="15" t="s">
        <v>6297</v>
      </c>
      <c r="AR292" s="15" t="s">
        <v>6298</v>
      </c>
      <c r="AS292" s="15" t="s">
        <v>6299</v>
      </c>
      <c r="AT292" s="15" t="s">
        <v>339</v>
      </c>
      <c r="AU292" s="15" t="s">
        <v>6300</v>
      </c>
      <c r="AV292" s="15" t="s">
        <v>162</v>
      </c>
      <c r="AW292" s="15" t="s">
        <v>6295</v>
      </c>
      <c r="AX292" s="15" t="s">
        <v>6301</v>
      </c>
      <c r="AY292" s="15" t="s">
        <v>138</v>
      </c>
      <c r="AZ292" s="15" t="s">
        <v>164</v>
      </c>
      <c r="BA292" s="15" t="s">
        <v>165</v>
      </c>
      <c r="BB292" s="15" t="s">
        <v>6302</v>
      </c>
      <c r="BC292" s="15" t="s">
        <v>6303</v>
      </c>
      <c r="BD292" s="21">
        <v>4</v>
      </c>
      <c r="BE292" s="15" t="s">
        <v>138</v>
      </c>
      <c r="BF292" s="15" t="s">
        <v>138</v>
      </c>
      <c r="BG292" s="15" t="s">
        <v>138</v>
      </c>
      <c r="BH292" s="15" t="s">
        <v>6304</v>
      </c>
      <c r="BI292" s="15" t="s">
        <v>138</v>
      </c>
      <c r="BJ292" s="15" t="s">
        <v>138</v>
      </c>
      <c r="BK292" s="15" t="s">
        <v>138</v>
      </c>
      <c r="BL292" s="15" t="s">
        <v>1275</v>
      </c>
      <c r="BM292" s="22">
        <v>43440</v>
      </c>
      <c r="BN292" s="17" t="s">
        <v>138</v>
      </c>
      <c r="BO292" s="15" t="s">
        <v>138</v>
      </c>
      <c r="BP292" s="17" t="s">
        <v>138</v>
      </c>
      <c r="BQ292" s="15" t="s">
        <v>138</v>
      </c>
      <c r="BR292" s="15" t="s">
        <v>349</v>
      </c>
      <c r="BS292" s="15" t="s">
        <v>138</v>
      </c>
      <c r="BT292" s="15" t="s">
        <v>138</v>
      </c>
      <c r="BU292" s="15" t="s">
        <v>351</v>
      </c>
      <c r="BV292" s="15" t="s">
        <v>138</v>
      </c>
      <c r="BW292" s="15" t="s">
        <v>138</v>
      </c>
      <c r="BX292" s="15" t="s">
        <v>138</v>
      </c>
      <c r="BY292" s="15" t="s">
        <v>175</v>
      </c>
      <c r="BZ292" s="22">
        <v>43440</v>
      </c>
      <c r="CA292" s="17" t="s">
        <v>138</v>
      </c>
      <c r="CB292" s="15" t="s">
        <v>138</v>
      </c>
      <c r="CC292" s="17" t="s">
        <v>138</v>
      </c>
      <c r="CD292" s="15" t="s">
        <v>138</v>
      </c>
      <c r="CE292" s="15" t="s">
        <v>349</v>
      </c>
      <c r="CF292" s="15" t="s">
        <v>138</v>
      </c>
      <c r="CG292" s="15" t="s">
        <v>138</v>
      </c>
      <c r="CH292" s="15" t="s">
        <v>351</v>
      </c>
      <c r="CI292" s="15" t="s">
        <v>138</v>
      </c>
      <c r="CJ292" s="15" t="s">
        <v>138</v>
      </c>
      <c r="CK292" s="15" t="s">
        <v>138</v>
      </c>
      <c r="CL292" s="15" t="s">
        <v>175</v>
      </c>
      <c r="CM292" s="22" t="s">
        <v>138</v>
      </c>
      <c r="CN292" s="17" t="s">
        <v>138</v>
      </c>
      <c r="CO292" s="23">
        <v>0</v>
      </c>
      <c r="CP292" s="24">
        <v>26</v>
      </c>
      <c r="CQ292" s="23">
        <v>0</v>
      </c>
      <c r="CR292" s="23">
        <v>0</v>
      </c>
      <c r="CS292" s="23">
        <v>0</v>
      </c>
      <c r="CT292" s="24">
        <v>23</v>
      </c>
      <c r="CU292" s="23">
        <v>0</v>
      </c>
      <c r="CV292" s="24">
        <v>22</v>
      </c>
      <c r="CW292" s="23">
        <v>0</v>
      </c>
      <c r="CX292" s="24">
        <v>13</v>
      </c>
      <c r="CY292" s="23">
        <v>0</v>
      </c>
      <c r="CZ292" s="24">
        <v>25</v>
      </c>
      <c r="DA292" s="23">
        <v>0</v>
      </c>
      <c r="DB292" s="24">
        <v>22</v>
      </c>
      <c r="DC292" s="25">
        <v>0.76</v>
      </c>
      <c r="DD292" s="24">
        <v>44</v>
      </c>
      <c r="DE292" s="25">
        <v>-0.05</v>
      </c>
      <c r="DF292" s="23">
        <v>-6.02</v>
      </c>
      <c r="DG292" s="25">
        <v>1.29</v>
      </c>
      <c r="DH292" s="24">
        <v>57</v>
      </c>
      <c r="DI292" s="25">
        <v>0.23</v>
      </c>
      <c r="DJ292" s="24">
        <v>24</v>
      </c>
      <c r="DK292" s="25">
        <v>1.27</v>
      </c>
      <c r="DL292" s="24">
        <v>55</v>
      </c>
      <c r="DM292" s="25">
        <v>1.31</v>
      </c>
      <c r="DN292" s="24">
        <v>56</v>
      </c>
      <c r="DO292" s="25">
        <v>0.23</v>
      </c>
      <c r="DP292" s="24">
        <v>26</v>
      </c>
      <c r="DQ292" s="24">
        <v>429</v>
      </c>
      <c r="DR292" s="26">
        <v>16</v>
      </c>
      <c r="DS292" s="23">
        <v>3.87</v>
      </c>
      <c r="DT292" s="24">
        <v>38</v>
      </c>
      <c r="DU292" s="26">
        <v>-1</v>
      </c>
      <c r="DV292" s="23">
        <v>-2.56</v>
      </c>
      <c r="DW292" s="24">
        <v>82</v>
      </c>
      <c r="DX292" s="27">
        <v>0</v>
      </c>
      <c r="DY292" s="23">
        <v>0</v>
      </c>
      <c r="DZ292" s="15" t="s">
        <v>178</v>
      </c>
      <c r="EA292" s="22">
        <v>43600</v>
      </c>
      <c r="EB292" s="17" t="s">
        <v>138</v>
      </c>
      <c r="EC292" s="22" t="s">
        <v>138</v>
      </c>
      <c r="ED292" s="15" t="s">
        <v>138</v>
      </c>
      <c r="EE292" s="14" t="str">
        <f>HYPERLINK("https://my.pitchbook.com?c=235060-93", "View company online")</f>
        <v>View company online</v>
      </c>
    </row>
    <row r="293" spans="1:135">
      <c r="A293" s="28" t="s">
        <v>6305</v>
      </c>
      <c r="B293" s="28" t="s">
        <v>6306</v>
      </c>
      <c r="C293" s="28" t="s">
        <v>138</v>
      </c>
      <c r="D293" s="28" t="s">
        <v>6307</v>
      </c>
      <c r="E293" s="28" t="s">
        <v>138</v>
      </c>
      <c r="F293" s="28" t="s">
        <v>6305</v>
      </c>
      <c r="G293" s="28" t="s">
        <v>6308</v>
      </c>
      <c r="H293" s="28" t="s">
        <v>322</v>
      </c>
      <c r="I293" s="28" t="s">
        <v>323</v>
      </c>
      <c r="J293" s="28" t="s">
        <v>437</v>
      </c>
      <c r="K293" s="28" t="s">
        <v>2406</v>
      </c>
      <c r="L293" s="28" t="s">
        <v>4804</v>
      </c>
      <c r="M293" s="28" t="s">
        <v>6309</v>
      </c>
      <c r="N293" s="28" t="s">
        <v>147</v>
      </c>
      <c r="O293" s="29">
        <v>12.56</v>
      </c>
      <c r="P293" s="28" t="s">
        <v>148</v>
      </c>
      <c r="Q293" s="28" t="s">
        <v>149</v>
      </c>
      <c r="R293" s="28" t="s">
        <v>174</v>
      </c>
      <c r="S293" s="28" t="s">
        <v>6310</v>
      </c>
      <c r="T293" s="30">
        <v>23</v>
      </c>
      <c r="U293" s="28" t="s">
        <v>6311</v>
      </c>
      <c r="V293" s="28" t="s">
        <v>138</v>
      </c>
      <c r="W293" s="28" t="s">
        <v>138</v>
      </c>
      <c r="X293" s="31">
        <v>2006</v>
      </c>
      <c r="Y293" s="28" t="s">
        <v>138</v>
      </c>
      <c r="Z293" s="28" t="s">
        <v>138</v>
      </c>
      <c r="AA293" s="28" t="s">
        <v>138</v>
      </c>
      <c r="AB293" s="32" t="s">
        <v>138</v>
      </c>
      <c r="AC293" s="32" t="s">
        <v>138</v>
      </c>
      <c r="AD293" s="32" t="s">
        <v>138</v>
      </c>
      <c r="AE293" s="32" t="s">
        <v>138</v>
      </c>
      <c r="AF293" s="32" t="s">
        <v>138</v>
      </c>
      <c r="AG293" s="28" t="s">
        <v>138</v>
      </c>
      <c r="AH293" s="32" t="s">
        <v>138</v>
      </c>
      <c r="AI293" s="32" t="s">
        <v>138</v>
      </c>
      <c r="AJ293" s="32" t="s">
        <v>138</v>
      </c>
      <c r="AK293" s="28" t="s">
        <v>6312</v>
      </c>
      <c r="AL293" s="28" t="s">
        <v>6313</v>
      </c>
      <c r="AM293" s="28" t="s">
        <v>6314</v>
      </c>
      <c r="AN293" s="28" t="s">
        <v>6315</v>
      </c>
      <c r="AO293" s="28" t="s">
        <v>138</v>
      </c>
      <c r="AP293" s="28" t="s">
        <v>1870</v>
      </c>
      <c r="AQ293" s="28" t="s">
        <v>6316</v>
      </c>
      <c r="AR293" s="28" t="s">
        <v>6317</v>
      </c>
      <c r="AS293" s="28" t="s">
        <v>1872</v>
      </c>
      <c r="AT293" s="28" t="s">
        <v>200</v>
      </c>
      <c r="AU293" s="28" t="s">
        <v>6318</v>
      </c>
      <c r="AV293" s="28" t="s">
        <v>162</v>
      </c>
      <c r="AW293" s="28" t="s">
        <v>138</v>
      </c>
      <c r="AX293" s="28" t="s">
        <v>138</v>
      </c>
      <c r="AY293" s="28" t="s">
        <v>6319</v>
      </c>
      <c r="AZ293" s="28" t="s">
        <v>164</v>
      </c>
      <c r="BA293" s="28" t="s">
        <v>165</v>
      </c>
      <c r="BB293" s="28" t="s">
        <v>6320</v>
      </c>
      <c r="BC293" s="28" t="s">
        <v>6321</v>
      </c>
      <c r="BD293" s="33">
        <v>7</v>
      </c>
      <c r="BE293" s="28" t="s">
        <v>138</v>
      </c>
      <c r="BF293" s="28" t="s">
        <v>138</v>
      </c>
      <c r="BG293" s="28" t="s">
        <v>138</v>
      </c>
      <c r="BH293" s="28" t="s">
        <v>6322</v>
      </c>
      <c r="BI293" s="28" t="s">
        <v>138</v>
      </c>
      <c r="BJ293" s="28" t="s">
        <v>138</v>
      </c>
      <c r="BK293" s="28" t="s">
        <v>1691</v>
      </c>
      <c r="BL293" s="28" t="s">
        <v>1691</v>
      </c>
      <c r="BM293" s="34">
        <v>41074</v>
      </c>
      <c r="BN293" s="29">
        <v>5.56</v>
      </c>
      <c r="BO293" s="28" t="s">
        <v>172</v>
      </c>
      <c r="BP293" s="29">
        <v>24.2</v>
      </c>
      <c r="BQ293" s="28" t="s">
        <v>172</v>
      </c>
      <c r="BR293" s="28" t="s">
        <v>173</v>
      </c>
      <c r="BS293" s="28" t="s">
        <v>206</v>
      </c>
      <c r="BT293" s="28" t="s">
        <v>138</v>
      </c>
      <c r="BU293" s="28" t="s">
        <v>174</v>
      </c>
      <c r="BV293" s="28" t="s">
        <v>138</v>
      </c>
      <c r="BW293" s="28" t="s">
        <v>138</v>
      </c>
      <c r="BX293" s="28" t="s">
        <v>138</v>
      </c>
      <c r="BY293" s="28" t="s">
        <v>175</v>
      </c>
      <c r="BZ293" s="34">
        <v>41786</v>
      </c>
      <c r="CA293" s="29">
        <v>7</v>
      </c>
      <c r="CB293" s="28" t="s">
        <v>172</v>
      </c>
      <c r="CC293" s="29">
        <v>55.5</v>
      </c>
      <c r="CD293" s="28" t="s">
        <v>172</v>
      </c>
      <c r="CE293" s="28" t="s">
        <v>173</v>
      </c>
      <c r="CF293" s="28" t="s">
        <v>720</v>
      </c>
      <c r="CG293" s="28" t="s">
        <v>138</v>
      </c>
      <c r="CH293" s="28" t="s">
        <v>174</v>
      </c>
      <c r="CI293" s="28" t="s">
        <v>138</v>
      </c>
      <c r="CJ293" s="28" t="s">
        <v>138</v>
      </c>
      <c r="CK293" s="28" t="s">
        <v>138</v>
      </c>
      <c r="CL293" s="28" t="s">
        <v>175</v>
      </c>
      <c r="CM293" s="34" t="s">
        <v>138</v>
      </c>
      <c r="CN293" s="29" t="s">
        <v>138</v>
      </c>
      <c r="CO293" s="35">
        <v>-1.79</v>
      </c>
      <c r="CP293" s="36">
        <v>6</v>
      </c>
      <c r="CQ293" s="35">
        <v>-0.02</v>
      </c>
      <c r="CR293" s="35">
        <v>-1.02</v>
      </c>
      <c r="CS293" s="35">
        <v>-3.64</v>
      </c>
      <c r="CT293" s="36">
        <v>4</v>
      </c>
      <c r="CU293" s="35">
        <v>0.05</v>
      </c>
      <c r="CV293" s="36">
        <v>58</v>
      </c>
      <c r="CW293" s="35">
        <v>-1.58</v>
      </c>
      <c r="CX293" s="36">
        <v>8</v>
      </c>
      <c r="CY293" s="35">
        <v>-5.7</v>
      </c>
      <c r="CZ293" s="36">
        <v>2</v>
      </c>
      <c r="DA293" s="35">
        <v>0.1</v>
      </c>
      <c r="DB293" s="36">
        <v>72</v>
      </c>
      <c r="DC293" s="37">
        <v>90.18</v>
      </c>
      <c r="DD293" s="36">
        <v>99</v>
      </c>
      <c r="DE293" s="37">
        <v>-0.63</v>
      </c>
      <c r="DF293" s="35">
        <v>-0.69</v>
      </c>
      <c r="DG293" s="37">
        <v>25.94</v>
      </c>
      <c r="DH293" s="36">
        <v>96</v>
      </c>
      <c r="DI293" s="37">
        <v>154.43</v>
      </c>
      <c r="DJ293" s="36">
        <v>98</v>
      </c>
      <c r="DK293" s="37">
        <v>31.29</v>
      </c>
      <c r="DL293" s="36">
        <v>94</v>
      </c>
      <c r="DM293" s="37">
        <v>20.59</v>
      </c>
      <c r="DN293" s="36">
        <v>94</v>
      </c>
      <c r="DO293" s="37">
        <v>268.3</v>
      </c>
      <c r="DP293" s="36">
        <v>99</v>
      </c>
      <c r="DQ293" s="36">
        <v>10994</v>
      </c>
      <c r="DR293" s="38">
        <v>-791</v>
      </c>
      <c r="DS293" s="35">
        <v>-6.71</v>
      </c>
      <c r="DT293" s="36">
        <v>597</v>
      </c>
      <c r="DU293" s="38">
        <v>-3</v>
      </c>
      <c r="DV293" s="35">
        <v>-0.5</v>
      </c>
      <c r="DW293" s="36">
        <v>96033</v>
      </c>
      <c r="DX293" s="39">
        <v>68</v>
      </c>
      <c r="DY293" s="35">
        <v>7.0000000000000007E-2</v>
      </c>
      <c r="DZ293" s="28" t="s">
        <v>178</v>
      </c>
      <c r="EA293" s="34">
        <v>43351</v>
      </c>
      <c r="EB293" s="29">
        <v>55.5</v>
      </c>
      <c r="EC293" s="34">
        <v>41786</v>
      </c>
      <c r="ED293" s="28" t="s">
        <v>173</v>
      </c>
      <c r="EE293" s="40" t="str">
        <f>HYPERLINK("https://my.pitchbook.com?c=54642-97", "View company online")</f>
        <v>View company online</v>
      </c>
    </row>
    <row r="294" spans="1:135">
      <c r="A294" s="15" t="s">
        <v>6323</v>
      </c>
      <c r="B294" s="15" t="s">
        <v>6324</v>
      </c>
      <c r="C294" s="15" t="s">
        <v>138</v>
      </c>
      <c r="D294" s="15" t="s">
        <v>138</v>
      </c>
      <c r="E294" s="15" t="s">
        <v>138</v>
      </c>
      <c r="F294" s="15" t="s">
        <v>6323</v>
      </c>
      <c r="G294" s="15" t="s">
        <v>6325</v>
      </c>
      <c r="H294" s="15" t="s">
        <v>322</v>
      </c>
      <c r="I294" s="15" t="s">
        <v>323</v>
      </c>
      <c r="J294" s="15" t="s">
        <v>324</v>
      </c>
      <c r="K294" s="15" t="s">
        <v>5902</v>
      </c>
      <c r="L294" s="15" t="s">
        <v>2872</v>
      </c>
      <c r="M294" s="15" t="s">
        <v>6326</v>
      </c>
      <c r="N294" s="15" t="s">
        <v>147</v>
      </c>
      <c r="O294" s="17">
        <v>11.1</v>
      </c>
      <c r="P294" s="15" t="s">
        <v>148</v>
      </c>
      <c r="Q294" s="15" t="s">
        <v>149</v>
      </c>
      <c r="R294" s="15" t="s">
        <v>174</v>
      </c>
      <c r="S294" s="15" t="s">
        <v>6327</v>
      </c>
      <c r="T294" s="18" t="s">
        <v>138</v>
      </c>
      <c r="U294" s="15" t="s">
        <v>138</v>
      </c>
      <c r="V294" s="15" t="s">
        <v>138</v>
      </c>
      <c r="W294" s="15" t="s">
        <v>138</v>
      </c>
      <c r="X294" s="19">
        <v>2014</v>
      </c>
      <c r="Y294" s="15" t="s">
        <v>138</v>
      </c>
      <c r="Z294" s="15" t="s">
        <v>138</v>
      </c>
      <c r="AA294" s="15" t="s">
        <v>138</v>
      </c>
      <c r="AB294" s="20">
        <v>15.12</v>
      </c>
      <c r="AC294" s="20" t="s">
        <v>138</v>
      </c>
      <c r="AD294" s="20" t="s">
        <v>138</v>
      </c>
      <c r="AE294" s="20" t="s">
        <v>138</v>
      </c>
      <c r="AF294" s="20" t="s">
        <v>138</v>
      </c>
      <c r="AG294" s="15" t="s">
        <v>815</v>
      </c>
      <c r="AH294" s="20" t="s">
        <v>138</v>
      </c>
      <c r="AI294" s="20" t="s">
        <v>138</v>
      </c>
      <c r="AJ294" s="20" t="s">
        <v>138</v>
      </c>
      <c r="AK294" s="15" t="s">
        <v>6328</v>
      </c>
      <c r="AL294" s="15" t="s">
        <v>6329</v>
      </c>
      <c r="AM294" s="15" t="s">
        <v>422</v>
      </c>
      <c r="AN294" s="15" t="s">
        <v>138</v>
      </c>
      <c r="AO294" s="15" t="s">
        <v>138</v>
      </c>
      <c r="AP294" s="15" t="s">
        <v>496</v>
      </c>
      <c r="AQ294" s="15" t="s">
        <v>6330</v>
      </c>
      <c r="AR294" s="15" t="s">
        <v>6331</v>
      </c>
      <c r="AS294" s="15" t="s">
        <v>499</v>
      </c>
      <c r="AT294" s="15" t="s">
        <v>138</v>
      </c>
      <c r="AU294" s="15" t="s">
        <v>138</v>
      </c>
      <c r="AV294" s="15" t="s">
        <v>450</v>
      </c>
      <c r="AW294" s="15" t="s">
        <v>138</v>
      </c>
      <c r="AX294" s="15" t="s">
        <v>138</v>
      </c>
      <c r="AY294" s="15" t="s">
        <v>6332</v>
      </c>
      <c r="AZ294" s="15" t="s">
        <v>452</v>
      </c>
      <c r="BA294" s="15" t="s">
        <v>453</v>
      </c>
      <c r="BB294" s="15" t="s">
        <v>6333</v>
      </c>
      <c r="BC294" s="15" t="s">
        <v>6334</v>
      </c>
      <c r="BD294" s="21">
        <v>10</v>
      </c>
      <c r="BE294" s="15" t="s">
        <v>138</v>
      </c>
      <c r="BF294" s="15" t="s">
        <v>138</v>
      </c>
      <c r="BG294" s="15" t="s">
        <v>138</v>
      </c>
      <c r="BH294" s="15" t="s">
        <v>6335</v>
      </c>
      <c r="BI294" s="15" t="s">
        <v>138</v>
      </c>
      <c r="BJ294" s="15" t="s">
        <v>138</v>
      </c>
      <c r="BK294" s="15" t="s">
        <v>138</v>
      </c>
      <c r="BL294" s="15" t="s">
        <v>138</v>
      </c>
      <c r="BM294" s="22">
        <v>41640</v>
      </c>
      <c r="BN294" s="17">
        <v>1.1000000000000001</v>
      </c>
      <c r="BO294" s="15" t="s">
        <v>172</v>
      </c>
      <c r="BP294" s="17" t="s">
        <v>138</v>
      </c>
      <c r="BQ294" s="15" t="s">
        <v>138</v>
      </c>
      <c r="BR294" s="15" t="s">
        <v>262</v>
      </c>
      <c r="BS294" s="15" t="s">
        <v>262</v>
      </c>
      <c r="BT294" s="15" t="s">
        <v>138</v>
      </c>
      <c r="BU294" s="15" t="s">
        <v>263</v>
      </c>
      <c r="BV294" s="15" t="s">
        <v>138</v>
      </c>
      <c r="BW294" s="15" t="s">
        <v>138</v>
      </c>
      <c r="BX294" s="15" t="s">
        <v>138</v>
      </c>
      <c r="BY294" s="15" t="s">
        <v>175</v>
      </c>
      <c r="BZ294" s="22">
        <v>43160</v>
      </c>
      <c r="CA294" s="17">
        <v>10</v>
      </c>
      <c r="CB294" s="15" t="s">
        <v>172</v>
      </c>
      <c r="CC294" s="17" t="s">
        <v>138</v>
      </c>
      <c r="CD294" s="15" t="s">
        <v>138</v>
      </c>
      <c r="CE294" s="15" t="s">
        <v>205</v>
      </c>
      <c r="CF294" s="15" t="s">
        <v>720</v>
      </c>
      <c r="CG294" s="15" t="s">
        <v>138</v>
      </c>
      <c r="CH294" s="15" t="s">
        <v>174</v>
      </c>
      <c r="CI294" s="15" t="s">
        <v>138</v>
      </c>
      <c r="CJ294" s="15" t="s">
        <v>138</v>
      </c>
      <c r="CK294" s="15" t="s">
        <v>138</v>
      </c>
      <c r="CL294" s="15" t="s">
        <v>175</v>
      </c>
      <c r="CM294" s="22" t="s">
        <v>138</v>
      </c>
      <c r="CN294" s="17" t="s">
        <v>138</v>
      </c>
      <c r="CO294" s="23">
        <v>-0.32</v>
      </c>
      <c r="CP294" s="24">
        <v>18</v>
      </c>
      <c r="CQ294" s="23">
        <v>-0.02</v>
      </c>
      <c r="CR294" s="23">
        <v>-4.9400000000000004</v>
      </c>
      <c r="CS294" s="23">
        <v>-0.64</v>
      </c>
      <c r="CT294" s="24">
        <v>18</v>
      </c>
      <c r="CU294" s="23">
        <v>0</v>
      </c>
      <c r="CV294" s="24">
        <v>22</v>
      </c>
      <c r="CW294" s="23">
        <v>0.28000000000000003</v>
      </c>
      <c r="CX294" s="24">
        <v>82</v>
      </c>
      <c r="CY294" s="23">
        <v>-1.57</v>
      </c>
      <c r="CZ294" s="24">
        <v>14</v>
      </c>
      <c r="DA294" s="23">
        <v>0</v>
      </c>
      <c r="DB294" s="24">
        <v>22</v>
      </c>
      <c r="DC294" s="25">
        <v>2.39</v>
      </c>
      <c r="DD294" s="24">
        <v>71</v>
      </c>
      <c r="DE294" s="25">
        <v>-0.12</v>
      </c>
      <c r="DF294" s="23">
        <v>-4.76</v>
      </c>
      <c r="DG294" s="25">
        <v>4.59</v>
      </c>
      <c r="DH294" s="24">
        <v>81</v>
      </c>
      <c r="DI294" s="25">
        <v>0.19</v>
      </c>
      <c r="DJ294" s="24">
        <v>22</v>
      </c>
      <c r="DK294" s="25">
        <v>2.94</v>
      </c>
      <c r="DL294" s="24">
        <v>71</v>
      </c>
      <c r="DM294" s="25">
        <v>6.24</v>
      </c>
      <c r="DN294" s="24">
        <v>84</v>
      </c>
      <c r="DO294" s="25">
        <v>0.19</v>
      </c>
      <c r="DP294" s="24">
        <v>24</v>
      </c>
      <c r="DQ294" s="24">
        <v>1017</v>
      </c>
      <c r="DR294" s="26">
        <v>-29</v>
      </c>
      <c r="DS294" s="23">
        <v>-2.77</v>
      </c>
      <c r="DT294" s="24">
        <v>182</v>
      </c>
      <c r="DU294" s="26">
        <v>0</v>
      </c>
      <c r="DV294" s="23">
        <v>0</v>
      </c>
      <c r="DW294" s="24">
        <v>69</v>
      </c>
      <c r="DX294" s="27">
        <v>0</v>
      </c>
      <c r="DY294" s="23">
        <v>0</v>
      </c>
      <c r="DZ294" s="15" t="s">
        <v>178</v>
      </c>
      <c r="EA294" s="22">
        <v>43351</v>
      </c>
      <c r="EB294" s="17" t="s">
        <v>138</v>
      </c>
      <c r="EC294" s="22" t="s">
        <v>138</v>
      </c>
      <c r="ED294" s="15" t="s">
        <v>138</v>
      </c>
      <c r="EE294" s="14" t="str">
        <f>HYPERLINK("https://my.pitchbook.com?c=107120-89", "View company online")</f>
        <v>View company online</v>
      </c>
    </row>
    <row r="295" spans="1:135">
      <c r="A295" s="28" t="s">
        <v>6336</v>
      </c>
      <c r="B295" s="28" t="s">
        <v>6337</v>
      </c>
      <c r="C295" s="28" t="s">
        <v>138</v>
      </c>
      <c r="D295" s="28" t="s">
        <v>138</v>
      </c>
      <c r="E295" s="28" t="s">
        <v>6338</v>
      </c>
      <c r="F295" s="28" t="s">
        <v>6336</v>
      </c>
      <c r="G295" s="28" t="s">
        <v>6339</v>
      </c>
      <c r="H295" s="28" t="s">
        <v>238</v>
      </c>
      <c r="I295" s="28" t="s">
        <v>1351</v>
      </c>
      <c r="J295" s="28" t="s">
        <v>1352</v>
      </c>
      <c r="K295" s="28" t="s">
        <v>6340</v>
      </c>
      <c r="L295" s="28" t="s">
        <v>1104</v>
      </c>
      <c r="M295" s="28" t="s">
        <v>6341</v>
      </c>
      <c r="N295" s="28" t="s">
        <v>147</v>
      </c>
      <c r="O295" s="29">
        <v>20</v>
      </c>
      <c r="P295" s="28" t="s">
        <v>148</v>
      </c>
      <c r="Q295" s="28" t="s">
        <v>149</v>
      </c>
      <c r="R295" s="28" t="s">
        <v>174</v>
      </c>
      <c r="S295" s="28" t="s">
        <v>6342</v>
      </c>
      <c r="T295" s="30">
        <v>10</v>
      </c>
      <c r="U295" s="28" t="s">
        <v>6343</v>
      </c>
      <c r="V295" s="28" t="s">
        <v>138</v>
      </c>
      <c r="W295" s="28" t="s">
        <v>138</v>
      </c>
      <c r="X295" s="31">
        <v>2008</v>
      </c>
      <c r="Y295" s="28" t="s">
        <v>138</v>
      </c>
      <c r="Z295" s="28" t="s">
        <v>138</v>
      </c>
      <c r="AA295" s="28" t="s">
        <v>138</v>
      </c>
      <c r="AB295" s="32" t="s">
        <v>138</v>
      </c>
      <c r="AC295" s="32" t="s">
        <v>138</v>
      </c>
      <c r="AD295" s="32" t="s">
        <v>138</v>
      </c>
      <c r="AE295" s="32" t="s">
        <v>138</v>
      </c>
      <c r="AF295" s="32" t="s">
        <v>138</v>
      </c>
      <c r="AG295" s="28" t="s">
        <v>138</v>
      </c>
      <c r="AH295" s="32" t="s">
        <v>138</v>
      </c>
      <c r="AI295" s="32" t="s">
        <v>138</v>
      </c>
      <c r="AJ295" s="32" t="s">
        <v>138</v>
      </c>
      <c r="AK295" s="28" t="s">
        <v>6344</v>
      </c>
      <c r="AL295" s="28" t="s">
        <v>6345</v>
      </c>
      <c r="AM295" s="28" t="s">
        <v>6346</v>
      </c>
      <c r="AN295" s="28" t="s">
        <v>6347</v>
      </c>
      <c r="AO295" s="28" t="s">
        <v>6348</v>
      </c>
      <c r="AP295" s="28" t="s">
        <v>6349</v>
      </c>
      <c r="AQ295" s="28" t="s">
        <v>6350</v>
      </c>
      <c r="AR295" s="28" t="s">
        <v>138</v>
      </c>
      <c r="AS295" s="28" t="s">
        <v>6351</v>
      </c>
      <c r="AT295" s="28" t="s">
        <v>200</v>
      </c>
      <c r="AU295" s="28" t="s">
        <v>6352</v>
      </c>
      <c r="AV295" s="28" t="s">
        <v>162</v>
      </c>
      <c r="AW295" s="28" t="s">
        <v>6348</v>
      </c>
      <c r="AX295" s="28" t="s">
        <v>138</v>
      </c>
      <c r="AY295" s="28" t="s">
        <v>138</v>
      </c>
      <c r="AZ295" s="28" t="s">
        <v>164</v>
      </c>
      <c r="BA295" s="28" t="s">
        <v>165</v>
      </c>
      <c r="BB295" s="28" t="s">
        <v>6353</v>
      </c>
      <c r="BC295" s="28" t="s">
        <v>6354</v>
      </c>
      <c r="BD295" s="33">
        <v>14</v>
      </c>
      <c r="BE295" s="28" t="s">
        <v>138</v>
      </c>
      <c r="BF295" s="28" t="s">
        <v>138</v>
      </c>
      <c r="BG295" s="28" t="s">
        <v>138</v>
      </c>
      <c r="BH295" s="28" t="s">
        <v>6355</v>
      </c>
      <c r="BI295" s="28" t="s">
        <v>138</v>
      </c>
      <c r="BJ295" s="28" t="s">
        <v>138</v>
      </c>
      <c r="BK295" s="28" t="s">
        <v>6356</v>
      </c>
      <c r="BL295" s="28" t="s">
        <v>138</v>
      </c>
      <c r="BM295" s="34">
        <v>40120</v>
      </c>
      <c r="BN295" s="29" t="s">
        <v>138</v>
      </c>
      <c r="BO295" s="28" t="s">
        <v>138</v>
      </c>
      <c r="BP295" s="29" t="s">
        <v>138</v>
      </c>
      <c r="BQ295" s="28" t="s">
        <v>138</v>
      </c>
      <c r="BR295" s="28" t="s">
        <v>316</v>
      </c>
      <c r="BS295" s="28" t="s">
        <v>138</v>
      </c>
      <c r="BT295" s="28" t="s">
        <v>138</v>
      </c>
      <c r="BU295" s="28" t="s">
        <v>177</v>
      </c>
      <c r="BV295" s="28" t="s">
        <v>138</v>
      </c>
      <c r="BW295" s="28" t="s">
        <v>138</v>
      </c>
      <c r="BX295" s="28" t="s">
        <v>138</v>
      </c>
      <c r="BY295" s="28" t="s">
        <v>175</v>
      </c>
      <c r="BZ295" s="34">
        <v>43069</v>
      </c>
      <c r="CA295" s="29">
        <v>10</v>
      </c>
      <c r="CB295" s="28" t="s">
        <v>1178</v>
      </c>
      <c r="CC295" s="29">
        <v>47</v>
      </c>
      <c r="CD295" s="28" t="s">
        <v>172</v>
      </c>
      <c r="CE295" s="28" t="s">
        <v>173</v>
      </c>
      <c r="CF295" s="28" t="s">
        <v>623</v>
      </c>
      <c r="CG295" s="28" t="s">
        <v>138</v>
      </c>
      <c r="CH295" s="28" t="s">
        <v>174</v>
      </c>
      <c r="CI295" s="28" t="s">
        <v>138</v>
      </c>
      <c r="CJ295" s="28" t="s">
        <v>138</v>
      </c>
      <c r="CK295" s="28" t="s">
        <v>138</v>
      </c>
      <c r="CL295" s="28" t="s">
        <v>175</v>
      </c>
      <c r="CM295" s="34" t="s">
        <v>138</v>
      </c>
      <c r="CN295" s="29" t="s">
        <v>138</v>
      </c>
      <c r="CO295" s="35">
        <v>-0.84</v>
      </c>
      <c r="CP295" s="36">
        <v>12</v>
      </c>
      <c r="CQ295" s="35">
        <v>-0.02</v>
      </c>
      <c r="CR295" s="35">
        <v>-1.84</v>
      </c>
      <c r="CS295" s="35">
        <v>-1.68</v>
      </c>
      <c r="CT295" s="36">
        <v>10</v>
      </c>
      <c r="CU295" s="35">
        <v>0</v>
      </c>
      <c r="CV295" s="36">
        <v>22</v>
      </c>
      <c r="CW295" s="35">
        <v>0</v>
      </c>
      <c r="CX295" s="36">
        <v>13</v>
      </c>
      <c r="CY295" s="35">
        <v>-3.37</v>
      </c>
      <c r="CZ295" s="36">
        <v>6</v>
      </c>
      <c r="DA295" s="35">
        <v>0</v>
      </c>
      <c r="DB295" s="36">
        <v>22</v>
      </c>
      <c r="DC295" s="37">
        <v>1.56</v>
      </c>
      <c r="DD295" s="36">
        <v>62</v>
      </c>
      <c r="DE295" s="37">
        <v>-0.03</v>
      </c>
      <c r="DF295" s="35">
        <v>-1.71</v>
      </c>
      <c r="DG295" s="37">
        <v>2.98</v>
      </c>
      <c r="DH295" s="36">
        <v>74</v>
      </c>
      <c r="DI295" s="37">
        <v>0.13</v>
      </c>
      <c r="DJ295" s="36">
        <v>17</v>
      </c>
      <c r="DK295" s="37">
        <v>0.59</v>
      </c>
      <c r="DL295" s="36">
        <v>38</v>
      </c>
      <c r="DM295" s="37">
        <v>5.38</v>
      </c>
      <c r="DN295" s="36">
        <v>82</v>
      </c>
      <c r="DO295" s="37">
        <v>0.13</v>
      </c>
      <c r="DP295" s="36">
        <v>19</v>
      </c>
      <c r="DQ295" s="36">
        <v>198</v>
      </c>
      <c r="DR295" s="38">
        <v>11</v>
      </c>
      <c r="DS295" s="35">
        <v>5.88</v>
      </c>
      <c r="DT295" s="36">
        <v>156</v>
      </c>
      <c r="DU295" s="38">
        <v>0</v>
      </c>
      <c r="DV295" s="35">
        <v>0</v>
      </c>
      <c r="DW295" s="36">
        <v>47</v>
      </c>
      <c r="DX295" s="39">
        <v>0</v>
      </c>
      <c r="DY295" s="35">
        <v>0</v>
      </c>
      <c r="DZ295" s="28" t="s">
        <v>178</v>
      </c>
      <c r="EA295" s="34">
        <v>43454</v>
      </c>
      <c r="EB295" s="29">
        <v>47</v>
      </c>
      <c r="EC295" s="34">
        <v>43069</v>
      </c>
      <c r="ED295" s="28" t="s">
        <v>173</v>
      </c>
      <c r="EE295" s="40" t="str">
        <f>HYPERLINK("https://my.pitchbook.com?c=99048-70", "View company online")</f>
        <v>View company online</v>
      </c>
    </row>
    <row r="296" spans="1:135">
      <c r="A296" s="15" t="s">
        <v>6357</v>
      </c>
      <c r="B296" s="15" t="s">
        <v>6358</v>
      </c>
      <c r="C296" s="15" t="s">
        <v>138</v>
      </c>
      <c r="D296" s="15" t="s">
        <v>138</v>
      </c>
      <c r="E296" s="15" t="s">
        <v>138</v>
      </c>
      <c r="F296" s="15" t="s">
        <v>6357</v>
      </c>
      <c r="G296" s="15" t="s">
        <v>6359</v>
      </c>
      <c r="H296" s="15" t="s">
        <v>322</v>
      </c>
      <c r="I296" s="15" t="s">
        <v>807</v>
      </c>
      <c r="J296" s="15" t="s">
        <v>2534</v>
      </c>
      <c r="K296" s="15" t="s">
        <v>6360</v>
      </c>
      <c r="L296" s="15" t="s">
        <v>138</v>
      </c>
      <c r="M296" s="15" t="s">
        <v>6361</v>
      </c>
      <c r="N296" s="15" t="s">
        <v>147</v>
      </c>
      <c r="O296" s="17">
        <v>12.5</v>
      </c>
      <c r="P296" s="15" t="s">
        <v>148</v>
      </c>
      <c r="Q296" s="15" t="s">
        <v>149</v>
      </c>
      <c r="R296" s="15" t="s">
        <v>174</v>
      </c>
      <c r="S296" s="15" t="s">
        <v>6362</v>
      </c>
      <c r="T296" s="18" t="s">
        <v>138</v>
      </c>
      <c r="U296" s="15" t="s">
        <v>138</v>
      </c>
      <c r="V296" s="15" t="s">
        <v>138</v>
      </c>
      <c r="W296" s="15" t="s">
        <v>138</v>
      </c>
      <c r="X296" s="19">
        <v>2018</v>
      </c>
      <c r="Y296" s="15" t="s">
        <v>138</v>
      </c>
      <c r="Z296" s="15" t="s">
        <v>138</v>
      </c>
      <c r="AA296" s="15" t="s">
        <v>138</v>
      </c>
      <c r="AB296" s="20" t="s">
        <v>138</v>
      </c>
      <c r="AC296" s="20" t="s">
        <v>138</v>
      </c>
      <c r="AD296" s="20" t="s">
        <v>138</v>
      </c>
      <c r="AE296" s="20" t="s">
        <v>138</v>
      </c>
      <c r="AF296" s="20" t="s">
        <v>138</v>
      </c>
      <c r="AG296" s="15" t="s">
        <v>138</v>
      </c>
      <c r="AH296" s="20" t="s">
        <v>138</v>
      </c>
      <c r="AI296" s="20" t="s">
        <v>138</v>
      </c>
      <c r="AJ296" s="20" t="s">
        <v>138</v>
      </c>
      <c r="AK296" s="15" t="s">
        <v>6363</v>
      </c>
      <c r="AL296" s="15" t="s">
        <v>6364</v>
      </c>
      <c r="AM296" s="15" t="s">
        <v>986</v>
      </c>
      <c r="AN296" s="15" t="s">
        <v>6365</v>
      </c>
      <c r="AO296" s="15" t="s">
        <v>6366</v>
      </c>
      <c r="AP296" s="15" t="s">
        <v>665</v>
      </c>
      <c r="AQ296" s="15" t="s">
        <v>6367</v>
      </c>
      <c r="AR296" s="15" t="s">
        <v>138</v>
      </c>
      <c r="AS296" s="15" t="s">
        <v>668</v>
      </c>
      <c r="AT296" s="15" t="s">
        <v>200</v>
      </c>
      <c r="AU296" s="15" t="s">
        <v>2052</v>
      </c>
      <c r="AV296" s="15" t="s">
        <v>162</v>
      </c>
      <c r="AW296" s="15" t="s">
        <v>6366</v>
      </c>
      <c r="AX296" s="15" t="s">
        <v>138</v>
      </c>
      <c r="AY296" s="15" t="s">
        <v>6368</v>
      </c>
      <c r="AZ296" s="15" t="s">
        <v>164</v>
      </c>
      <c r="BA296" s="15" t="s">
        <v>165</v>
      </c>
      <c r="BB296" s="15" t="s">
        <v>6369</v>
      </c>
      <c r="BC296" s="15" t="s">
        <v>6370</v>
      </c>
      <c r="BD296" s="21">
        <v>9</v>
      </c>
      <c r="BE296" s="15" t="s">
        <v>138</v>
      </c>
      <c r="BF296" s="15" t="s">
        <v>138</v>
      </c>
      <c r="BG296" s="15" t="s">
        <v>138</v>
      </c>
      <c r="BH296" s="15" t="s">
        <v>6371</v>
      </c>
      <c r="BI296" s="15" t="s">
        <v>138</v>
      </c>
      <c r="BJ296" s="15" t="s">
        <v>138</v>
      </c>
      <c r="BK296" s="15" t="s">
        <v>138</v>
      </c>
      <c r="BL296" s="15" t="s">
        <v>138</v>
      </c>
      <c r="BM296" s="22">
        <v>43537</v>
      </c>
      <c r="BN296" s="17">
        <v>12.5</v>
      </c>
      <c r="BO296" s="15" t="s">
        <v>172</v>
      </c>
      <c r="BP296" s="17">
        <v>44.4</v>
      </c>
      <c r="BQ296" s="15" t="s">
        <v>172</v>
      </c>
      <c r="BR296" s="15" t="s">
        <v>205</v>
      </c>
      <c r="BS296" s="15" t="s">
        <v>138</v>
      </c>
      <c r="BT296" s="15" t="s">
        <v>138</v>
      </c>
      <c r="BU296" s="15" t="s">
        <v>174</v>
      </c>
      <c r="BV296" s="15" t="s">
        <v>177</v>
      </c>
      <c r="BW296" s="15" t="s">
        <v>138</v>
      </c>
      <c r="BX296" s="15" t="s">
        <v>138</v>
      </c>
      <c r="BY296" s="15" t="s">
        <v>175</v>
      </c>
      <c r="BZ296" s="22">
        <v>43537</v>
      </c>
      <c r="CA296" s="17">
        <v>12.5</v>
      </c>
      <c r="CB296" s="15" t="s">
        <v>172</v>
      </c>
      <c r="CC296" s="17">
        <v>44.4</v>
      </c>
      <c r="CD296" s="15" t="s">
        <v>172</v>
      </c>
      <c r="CE296" s="15" t="s">
        <v>205</v>
      </c>
      <c r="CF296" s="15" t="s">
        <v>138</v>
      </c>
      <c r="CG296" s="15" t="s">
        <v>138</v>
      </c>
      <c r="CH296" s="15" t="s">
        <v>174</v>
      </c>
      <c r="CI296" s="15" t="s">
        <v>177</v>
      </c>
      <c r="CJ296" s="15" t="s">
        <v>138</v>
      </c>
      <c r="CK296" s="15" t="s">
        <v>138</v>
      </c>
      <c r="CL296" s="15" t="s">
        <v>175</v>
      </c>
      <c r="CM296" s="22" t="s">
        <v>138</v>
      </c>
      <c r="CN296" s="17" t="s">
        <v>138</v>
      </c>
      <c r="CO296" s="23">
        <v>3.26</v>
      </c>
      <c r="CP296" s="24">
        <v>100</v>
      </c>
      <c r="CQ296" s="23" t="s">
        <v>138</v>
      </c>
      <c r="CR296" s="23" t="s">
        <v>138</v>
      </c>
      <c r="CS296" s="23" t="s">
        <v>138</v>
      </c>
      <c r="CT296" s="24" t="s">
        <v>138</v>
      </c>
      <c r="CU296" s="23">
        <v>3.26</v>
      </c>
      <c r="CV296" s="24">
        <v>100</v>
      </c>
      <c r="CW296" s="23" t="s">
        <v>138</v>
      </c>
      <c r="CX296" s="24" t="s">
        <v>138</v>
      </c>
      <c r="CY296" s="23" t="s">
        <v>138</v>
      </c>
      <c r="CZ296" s="24" t="s">
        <v>138</v>
      </c>
      <c r="DA296" s="23">
        <v>3.26</v>
      </c>
      <c r="DB296" s="24">
        <v>100</v>
      </c>
      <c r="DC296" s="25">
        <v>1.6</v>
      </c>
      <c r="DD296" s="24">
        <v>62</v>
      </c>
      <c r="DE296" s="25" t="s">
        <v>138</v>
      </c>
      <c r="DF296" s="23" t="s">
        <v>138</v>
      </c>
      <c r="DG296" s="25" t="s">
        <v>138</v>
      </c>
      <c r="DH296" s="24" t="s">
        <v>138</v>
      </c>
      <c r="DI296" s="25">
        <v>1.6</v>
      </c>
      <c r="DJ296" s="24">
        <v>58</v>
      </c>
      <c r="DK296" s="25" t="s">
        <v>138</v>
      </c>
      <c r="DL296" s="24" t="s">
        <v>138</v>
      </c>
      <c r="DM296" s="25" t="s">
        <v>138</v>
      </c>
      <c r="DN296" s="24" t="s">
        <v>138</v>
      </c>
      <c r="DO296" s="25">
        <v>1.6</v>
      </c>
      <c r="DP296" s="24">
        <v>59</v>
      </c>
      <c r="DQ296" s="24" t="s">
        <v>138</v>
      </c>
      <c r="DR296" s="26" t="s">
        <v>138</v>
      </c>
      <c r="DS296" s="23" t="s">
        <v>138</v>
      </c>
      <c r="DT296" s="24">
        <v>110</v>
      </c>
      <c r="DU296" s="26">
        <v>0</v>
      </c>
      <c r="DV296" s="23">
        <v>0</v>
      </c>
      <c r="DW296" s="24">
        <v>566</v>
      </c>
      <c r="DX296" s="27">
        <v>9</v>
      </c>
      <c r="DY296" s="23">
        <v>1.62</v>
      </c>
      <c r="DZ296" s="15" t="s">
        <v>178</v>
      </c>
      <c r="EA296" s="22">
        <v>43573</v>
      </c>
      <c r="EB296" s="17">
        <v>44.4</v>
      </c>
      <c r="EC296" s="22">
        <v>43537</v>
      </c>
      <c r="ED296" s="15" t="s">
        <v>205</v>
      </c>
      <c r="EE296" s="14" t="str">
        <f>HYPERLINK("https://my.pitchbook.com?c=266079-52", "View company online")</f>
        <v>View company online</v>
      </c>
    </row>
    <row r="297" spans="1:135">
      <c r="A297" s="28" t="s">
        <v>6372</v>
      </c>
      <c r="B297" s="28" t="s">
        <v>6373</v>
      </c>
      <c r="C297" s="28" t="s">
        <v>138</v>
      </c>
      <c r="D297" s="28" t="s">
        <v>138</v>
      </c>
      <c r="E297" s="28" t="s">
        <v>6374</v>
      </c>
      <c r="F297" s="28" t="s">
        <v>6372</v>
      </c>
      <c r="G297" s="28" t="s">
        <v>6375</v>
      </c>
      <c r="H297" s="28" t="s">
        <v>238</v>
      </c>
      <c r="I297" s="28" t="s">
        <v>749</v>
      </c>
      <c r="J297" s="28" t="s">
        <v>750</v>
      </c>
      <c r="K297" s="28" t="s">
        <v>751</v>
      </c>
      <c r="L297" s="28" t="s">
        <v>6376</v>
      </c>
      <c r="M297" s="28" t="s">
        <v>6377</v>
      </c>
      <c r="N297" s="28" t="s">
        <v>147</v>
      </c>
      <c r="O297" s="29">
        <v>20.22</v>
      </c>
      <c r="P297" s="28" t="s">
        <v>148</v>
      </c>
      <c r="Q297" s="28" t="s">
        <v>149</v>
      </c>
      <c r="R297" s="28" t="s">
        <v>174</v>
      </c>
      <c r="S297" s="28" t="s">
        <v>6378</v>
      </c>
      <c r="T297" s="30">
        <v>19</v>
      </c>
      <c r="U297" s="28" t="s">
        <v>6379</v>
      </c>
      <c r="V297" s="28" t="s">
        <v>138</v>
      </c>
      <c r="W297" s="28" t="s">
        <v>138</v>
      </c>
      <c r="X297" s="31">
        <v>2011</v>
      </c>
      <c r="Y297" s="28" t="s">
        <v>138</v>
      </c>
      <c r="Z297" s="28" t="s">
        <v>138</v>
      </c>
      <c r="AA297" s="28" t="s">
        <v>138</v>
      </c>
      <c r="AB297" s="32">
        <v>3.3</v>
      </c>
      <c r="AC297" s="32" t="s">
        <v>138</v>
      </c>
      <c r="AD297" s="32" t="s">
        <v>138</v>
      </c>
      <c r="AE297" s="32" t="s">
        <v>138</v>
      </c>
      <c r="AF297" s="32" t="s">
        <v>138</v>
      </c>
      <c r="AG297" s="28" t="s">
        <v>563</v>
      </c>
      <c r="AH297" s="32" t="s">
        <v>138</v>
      </c>
      <c r="AI297" s="32" t="s">
        <v>138</v>
      </c>
      <c r="AJ297" s="32" t="s">
        <v>138</v>
      </c>
      <c r="AK297" s="28" t="s">
        <v>6380</v>
      </c>
      <c r="AL297" s="28" t="s">
        <v>6381</v>
      </c>
      <c r="AM297" s="28" t="s">
        <v>916</v>
      </c>
      <c r="AN297" s="28" t="s">
        <v>6382</v>
      </c>
      <c r="AO297" s="28" t="s">
        <v>6383</v>
      </c>
      <c r="AP297" s="28" t="s">
        <v>5204</v>
      </c>
      <c r="AQ297" s="28" t="s">
        <v>6384</v>
      </c>
      <c r="AR297" s="28" t="s">
        <v>138</v>
      </c>
      <c r="AS297" s="28" t="s">
        <v>5207</v>
      </c>
      <c r="AT297" s="28" t="s">
        <v>339</v>
      </c>
      <c r="AU297" s="28" t="s">
        <v>6385</v>
      </c>
      <c r="AV297" s="28" t="s">
        <v>162</v>
      </c>
      <c r="AW297" s="28" t="s">
        <v>6383</v>
      </c>
      <c r="AX297" s="28" t="s">
        <v>138</v>
      </c>
      <c r="AY297" s="28" t="s">
        <v>6386</v>
      </c>
      <c r="AZ297" s="28" t="s">
        <v>164</v>
      </c>
      <c r="BA297" s="28" t="s">
        <v>165</v>
      </c>
      <c r="BB297" s="28" t="s">
        <v>6387</v>
      </c>
      <c r="BC297" s="28" t="s">
        <v>6388</v>
      </c>
      <c r="BD297" s="33">
        <v>21</v>
      </c>
      <c r="BE297" s="28" t="s">
        <v>138</v>
      </c>
      <c r="BF297" s="28" t="s">
        <v>138</v>
      </c>
      <c r="BG297" s="28" t="s">
        <v>138</v>
      </c>
      <c r="BH297" s="28" t="s">
        <v>6389</v>
      </c>
      <c r="BI297" s="28" t="s">
        <v>138</v>
      </c>
      <c r="BJ297" s="28" t="s">
        <v>138</v>
      </c>
      <c r="BK297" s="28" t="s">
        <v>1275</v>
      </c>
      <c r="BL297" s="28" t="s">
        <v>6390</v>
      </c>
      <c r="BM297" s="34" t="s">
        <v>138</v>
      </c>
      <c r="BN297" s="29" t="s">
        <v>138</v>
      </c>
      <c r="BO297" s="28" t="s">
        <v>138</v>
      </c>
      <c r="BP297" s="29" t="s">
        <v>138</v>
      </c>
      <c r="BQ297" s="28" t="s">
        <v>138</v>
      </c>
      <c r="BR297" s="28" t="s">
        <v>234</v>
      </c>
      <c r="BS297" s="28" t="s">
        <v>234</v>
      </c>
      <c r="BT297" s="28" t="s">
        <v>138</v>
      </c>
      <c r="BU297" s="28" t="s">
        <v>174</v>
      </c>
      <c r="BV297" s="28" t="s">
        <v>138</v>
      </c>
      <c r="BW297" s="28" t="s">
        <v>138</v>
      </c>
      <c r="BX297" s="28" t="s">
        <v>138</v>
      </c>
      <c r="BY297" s="28" t="s">
        <v>175</v>
      </c>
      <c r="BZ297" s="34">
        <v>43507</v>
      </c>
      <c r="CA297" s="29">
        <v>3.94</v>
      </c>
      <c r="CB297" s="28" t="s">
        <v>172</v>
      </c>
      <c r="CC297" s="29">
        <v>18.5</v>
      </c>
      <c r="CD297" s="28" t="s">
        <v>172</v>
      </c>
      <c r="CE297" s="28" t="s">
        <v>173</v>
      </c>
      <c r="CF297" s="28" t="s">
        <v>206</v>
      </c>
      <c r="CG297" s="28" t="s">
        <v>138</v>
      </c>
      <c r="CH297" s="28" t="s">
        <v>174</v>
      </c>
      <c r="CI297" s="28" t="s">
        <v>138</v>
      </c>
      <c r="CJ297" s="28" t="s">
        <v>138</v>
      </c>
      <c r="CK297" s="28" t="s">
        <v>138</v>
      </c>
      <c r="CL297" s="28" t="s">
        <v>175</v>
      </c>
      <c r="CM297" s="34" t="s">
        <v>138</v>
      </c>
      <c r="CN297" s="29" t="s">
        <v>138</v>
      </c>
      <c r="CO297" s="35">
        <v>0.15</v>
      </c>
      <c r="CP297" s="36">
        <v>91</v>
      </c>
      <c r="CQ297" s="35">
        <v>0.06</v>
      </c>
      <c r="CR297" s="35">
        <v>70.55</v>
      </c>
      <c r="CS297" s="35">
        <v>-0.11</v>
      </c>
      <c r="CT297" s="36">
        <v>22</v>
      </c>
      <c r="CU297" s="35">
        <v>0.41</v>
      </c>
      <c r="CV297" s="36">
        <v>91</v>
      </c>
      <c r="CW297" s="35" t="s">
        <v>138</v>
      </c>
      <c r="CX297" s="36" t="s">
        <v>138</v>
      </c>
      <c r="CY297" s="35">
        <v>-0.11</v>
      </c>
      <c r="CZ297" s="36">
        <v>24</v>
      </c>
      <c r="DA297" s="35">
        <v>0.27</v>
      </c>
      <c r="DB297" s="36">
        <v>87</v>
      </c>
      <c r="DC297" s="37">
        <v>11.72</v>
      </c>
      <c r="DD297" s="36">
        <v>91</v>
      </c>
      <c r="DE297" s="37">
        <v>0</v>
      </c>
      <c r="DF297" s="35">
        <v>0.01</v>
      </c>
      <c r="DG297" s="37">
        <v>10.76</v>
      </c>
      <c r="DH297" s="36">
        <v>90</v>
      </c>
      <c r="DI297" s="37">
        <v>12.67</v>
      </c>
      <c r="DJ297" s="36">
        <v>87</v>
      </c>
      <c r="DK297" s="37" t="s">
        <v>138</v>
      </c>
      <c r="DL297" s="36" t="s">
        <v>138</v>
      </c>
      <c r="DM297" s="37">
        <v>10.76</v>
      </c>
      <c r="DN297" s="36">
        <v>89</v>
      </c>
      <c r="DO297" s="37">
        <v>4.68</v>
      </c>
      <c r="DP297" s="36">
        <v>78</v>
      </c>
      <c r="DQ297" s="36" t="s">
        <v>138</v>
      </c>
      <c r="DR297" s="38" t="s">
        <v>138</v>
      </c>
      <c r="DS297" s="35" t="s">
        <v>138</v>
      </c>
      <c r="DT297" s="36">
        <v>312</v>
      </c>
      <c r="DU297" s="38">
        <v>1</v>
      </c>
      <c r="DV297" s="35">
        <v>0.32</v>
      </c>
      <c r="DW297" s="36">
        <v>1674</v>
      </c>
      <c r="DX297" s="39">
        <v>0</v>
      </c>
      <c r="DY297" s="35">
        <v>0</v>
      </c>
      <c r="DZ297" s="28" t="s">
        <v>178</v>
      </c>
      <c r="EA297" s="34">
        <v>43622</v>
      </c>
      <c r="EB297" s="29">
        <v>18.5</v>
      </c>
      <c r="EC297" s="34">
        <v>43507</v>
      </c>
      <c r="ED297" s="28" t="s">
        <v>173</v>
      </c>
      <c r="EE297" s="40" t="str">
        <f>HYPERLINK("https://my.pitchbook.com?c=60599-35", "View company online")</f>
        <v>View company online</v>
      </c>
    </row>
    <row r="298" spans="1:135">
      <c r="A298" s="15" t="s">
        <v>6391</v>
      </c>
      <c r="B298" s="15" t="s">
        <v>6392</v>
      </c>
      <c r="C298" s="15" t="s">
        <v>138</v>
      </c>
      <c r="D298" s="15" t="s">
        <v>138</v>
      </c>
      <c r="E298" s="15" t="s">
        <v>138</v>
      </c>
      <c r="F298" s="15" t="s">
        <v>6391</v>
      </c>
      <c r="G298" s="15" t="s">
        <v>6393</v>
      </c>
      <c r="H298" s="15" t="s">
        <v>322</v>
      </c>
      <c r="I298" s="15" t="s">
        <v>356</v>
      </c>
      <c r="J298" s="15" t="s">
        <v>3852</v>
      </c>
      <c r="K298" s="15" t="s">
        <v>6394</v>
      </c>
      <c r="L298" s="15" t="s">
        <v>6395</v>
      </c>
      <c r="M298" s="15" t="s">
        <v>6396</v>
      </c>
      <c r="N298" s="15" t="s">
        <v>147</v>
      </c>
      <c r="O298" s="17">
        <v>44.5</v>
      </c>
      <c r="P298" s="15" t="s">
        <v>812</v>
      </c>
      <c r="Q298" s="15" t="s">
        <v>149</v>
      </c>
      <c r="R298" s="15" t="s">
        <v>174</v>
      </c>
      <c r="S298" s="15" t="s">
        <v>6397</v>
      </c>
      <c r="T298" s="18">
        <v>125</v>
      </c>
      <c r="U298" s="15" t="s">
        <v>6398</v>
      </c>
      <c r="V298" s="15" t="s">
        <v>138</v>
      </c>
      <c r="W298" s="15" t="s">
        <v>138</v>
      </c>
      <c r="X298" s="19">
        <v>2013</v>
      </c>
      <c r="Y298" s="15" t="s">
        <v>138</v>
      </c>
      <c r="Z298" s="15" t="s">
        <v>138</v>
      </c>
      <c r="AA298" s="15" t="s">
        <v>138</v>
      </c>
      <c r="AB298" s="20" t="s">
        <v>138</v>
      </c>
      <c r="AC298" s="20" t="s">
        <v>138</v>
      </c>
      <c r="AD298" s="20" t="s">
        <v>138</v>
      </c>
      <c r="AE298" s="20" t="s">
        <v>138</v>
      </c>
      <c r="AF298" s="20" t="s">
        <v>138</v>
      </c>
      <c r="AG298" s="15" t="s">
        <v>138</v>
      </c>
      <c r="AH298" s="20" t="s">
        <v>138</v>
      </c>
      <c r="AI298" s="20" t="s">
        <v>138</v>
      </c>
      <c r="AJ298" s="20" t="s">
        <v>138</v>
      </c>
      <c r="AK298" s="15" t="s">
        <v>6399</v>
      </c>
      <c r="AL298" s="15" t="s">
        <v>6400</v>
      </c>
      <c r="AM298" s="15" t="s">
        <v>2794</v>
      </c>
      <c r="AN298" s="15" t="s">
        <v>138</v>
      </c>
      <c r="AO298" s="15" t="s">
        <v>6401</v>
      </c>
      <c r="AP298" s="15" t="s">
        <v>6402</v>
      </c>
      <c r="AQ298" s="15" t="s">
        <v>6403</v>
      </c>
      <c r="AR298" s="15" t="s">
        <v>138</v>
      </c>
      <c r="AS298" s="15" t="s">
        <v>6404</v>
      </c>
      <c r="AT298" s="15" t="s">
        <v>200</v>
      </c>
      <c r="AU298" s="15" t="s">
        <v>6405</v>
      </c>
      <c r="AV298" s="15" t="s">
        <v>162</v>
      </c>
      <c r="AW298" s="15" t="s">
        <v>6401</v>
      </c>
      <c r="AX298" s="15" t="s">
        <v>138</v>
      </c>
      <c r="AY298" s="15" t="s">
        <v>6406</v>
      </c>
      <c r="AZ298" s="15" t="s">
        <v>164</v>
      </c>
      <c r="BA298" s="15" t="s">
        <v>165</v>
      </c>
      <c r="BB298" s="15" t="s">
        <v>6407</v>
      </c>
      <c r="BC298" s="15" t="s">
        <v>6408</v>
      </c>
      <c r="BD298" s="21">
        <v>6</v>
      </c>
      <c r="BE298" s="15" t="s">
        <v>138</v>
      </c>
      <c r="BF298" s="15" t="s">
        <v>138</v>
      </c>
      <c r="BG298" s="15" t="s">
        <v>138</v>
      </c>
      <c r="BH298" s="15" t="s">
        <v>6409</v>
      </c>
      <c r="BI298" s="15" t="s">
        <v>138</v>
      </c>
      <c r="BJ298" s="15" t="s">
        <v>138</v>
      </c>
      <c r="BK298" s="15" t="s">
        <v>290</v>
      </c>
      <c r="BL298" s="15" t="s">
        <v>6410</v>
      </c>
      <c r="BM298" s="22">
        <v>42215</v>
      </c>
      <c r="BN298" s="17">
        <v>1.5</v>
      </c>
      <c r="BO298" s="15" t="s">
        <v>172</v>
      </c>
      <c r="BP298" s="17" t="s">
        <v>138</v>
      </c>
      <c r="BQ298" s="15" t="s">
        <v>138</v>
      </c>
      <c r="BR298" s="15" t="s">
        <v>205</v>
      </c>
      <c r="BS298" s="15" t="s">
        <v>138</v>
      </c>
      <c r="BT298" s="15" t="s">
        <v>138</v>
      </c>
      <c r="BU298" s="15" t="s">
        <v>174</v>
      </c>
      <c r="BV298" s="15" t="s">
        <v>264</v>
      </c>
      <c r="BW298" s="15" t="s">
        <v>138</v>
      </c>
      <c r="BX298" s="15" t="s">
        <v>138</v>
      </c>
      <c r="BY298" s="15" t="s">
        <v>175</v>
      </c>
      <c r="BZ298" s="22">
        <v>43318</v>
      </c>
      <c r="CA298" s="17">
        <v>36</v>
      </c>
      <c r="CB298" s="15" t="s">
        <v>172</v>
      </c>
      <c r="CC298" s="17" t="s">
        <v>138</v>
      </c>
      <c r="CD298" s="15" t="s">
        <v>138</v>
      </c>
      <c r="CE298" s="15" t="s">
        <v>205</v>
      </c>
      <c r="CF298" s="15" t="s">
        <v>720</v>
      </c>
      <c r="CG298" s="15" t="s">
        <v>138</v>
      </c>
      <c r="CH298" s="15" t="s">
        <v>174</v>
      </c>
      <c r="CI298" s="15" t="s">
        <v>138</v>
      </c>
      <c r="CJ298" s="15" t="s">
        <v>138</v>
      </c>
      <c r="CK298" s="15" t="s">
        <v>138</v>
      </c>
      <c r="CL298" s="15" t="s">
        <v>175</v>
      </c>
      <c r="CM298" s="22" t="s">
        <v>138</v>
      </c>
      <c r="CN298" s="17" t="s">
        <v>138</v>
      </c>
      <c r="CO298" s="23">
        <v>0.28000000000000003</v>
      </c>
      <c r="CP298" s="24">
        <v>93</v>
      </c>
      <c r="CQ298" s="23">
        <v>0.01</v>
      </c>
      <c r="CR298" s="23">
        <v>4.51</v>
      </c>
      <c r="CS298" s="23">
        <v>0</v>
      </c>
      <c r="CT298" s="24">
        <v>23</v>
      </c>
      <c r="CU298" s="23">
        <v>0.32</v>
      </c>
      <c r="CV298" s="24">
        <v>88</v>
      </c>
      <c r="CW298" s="23" t="s">
        <v>138</v>
      </c>
      <c r="CX298" s="24" t="s">
        <v>138</v>
      </c>
      <c r="CY298" s="23">
        <v>0</v>
      </c>
      <c r="CZ298" s="24">
        <v>25</v>
      </c>
      <c r="DA298" s="23">
        <v>0.32</v>
      </c>
      <c r="DB298" s="24">
        <v>89</v>
      </c>
      <c r="DC298" s="25">
        <v>1.33</v>
      </c>
      <c r="DD298" s="24">
        <v>58</v>
      </c>
      <c r="DE298" s="25">
        <v>0.02</v>
      </c>
      <c r="DF298" s="23">
        <v>1.79</v>
      </c>
      <c r="DG298" s="25">
        <v>0.83</v>
      </c>
      <c r="DH298" s="24">
        <v>46</v>
      </c>
      <c r="DI298" s="25">
        <v>2.93</v>
      </c>
      <c r="DJ298" s="24">
        <v>69</v>
      </c>
      <c r="DK298" s="25" t="s">
        <v>138</v>
      </c>
      <c r="DL298" s="24" t="s">
        <v>138</v>
      </c>
      <c r="DM298" s="25">
        <v>0.83</v>
      </c>
      <c r="DN298" s="24">
        <v>46</v>
      </c>
      <c r="DO298" s="25">
        <v>2.93</v>
      </c>
      <c r="DP298" s="24">
        <v>70</v>
      </c>
      <c r="DQ298" s="24">
        <v>430</v>
      </c>
      <c r="DR298" s="26">
        <v>16</v>
      </c>
      <c r="DS298" s="23">
        <v>3.86</v>
      </c>
      <c r="DT298" s="24">
        <v>23</v>
      </c>
      <c r="DU298" s="26">
        <v>1</v>
      </c>
      <c r="DV298" s="23">
        <v>4.55</v>
      </c>
      <c r="DW298" s="24">
        <v>1046</v>
      </c>
      <c r="DX298" s="27">
        <v>4</v>
      </c>
      <c r="DY298" s="23">
        <v>0.38</v>
      </c>
      <c r="DZ298" s="15" t="s">
        <v>178</v>
      </c>
      <c r="EA298" s="22">
        <v>43622</v>
      </c>
      <c r="EB298" s="17">
        <v>67</v>
      </c>
      <c r="EC298" s="22">
        <v>43073</v>
      </c>
      <c r="ED298" s="15" t="s">
        <v>205</v>
      </c>
      <c r="EE298" s="14" t="str">
        <f>HYPERLINK("https://my.pitchbook.com?c=120979-45", "View company online")</f>
        <v>View company online</v>
      </c>
    </row>
    <row r="299" spans="1:135">
      <c r="A299" s="28" t="s">
        <v>6411</v>
      </c>
      <c r="B299" s="28" t="s">
        <v>6412</v>
      </c>
      <c r="C299" s="28" t="s">
        <v>138</v>
      </c>
      <c r="D299" s="28" t="s">
        <v>138</v>
      </c>
      <c r="E299" s="28" t="s">
        <v>6413</v>
      </c>
      <c r="F299" s="28" t="s">
        <v>6411</v>
      </c>
      <c r="G299" s="28" t="s">
        <v>6414</v>
      </c>
      <c r="H299" s="28" t="s">
        <v>5219</v>
      </c>
      <c r="I299" s="28" t="s">
        <v>6415</v>
      </c>
      <c r="J299" s="28" t="s">
        <v>6416</v>
      </c>
      <c r="K299" s="28" t="s">
        <v>6417</v>
      </c>
      <c r="L299" s="28" t="s">
        <v>6418</v>
      </c>
      <c r="M299" s="28" t="s">
        <v>6419</v>
      </c>
      <c r="N299" s="28" t="s">
        <v>1452</v>
      </c>
      <c r="O299" s="29">
        <v>42</v>
      </c>
      <c r="P299" s="28" t="s">
        <v>812</v>
      </c>
      <c r="Q299" s="28" t="s">
        <v>149</v>
      </c>
      <c r="R299" s="28" t="s">
        <v>1652</v>
      </c>
      <c r="S299" s="28" t="s">
        <v>6420</v>
      </c>
      <c r="T299" s="30">
        <v>17</v>
      </c>
      <c r="U299" s="28" t="s">
        <v>6421</v>
      </c>
      <c r="V299" s="28" t="s">
        <v>138</v>
      </c>
      <c r="W299" s="28" t="s">
        <v>138</v>
      </c>
      <c r="X299" s="31">
        <v>2009</v>
      </c>
      <c r="Y299" s="28" t="s">
        <v>138</v>
      </c>
      <c r="Z299" s="28" t="s">
        <v>138</v>
      </c>
      <c r="AA299" s="28" t="s">
        <v>138</v>
      </c>
      <c r="AB299" s="32">
        <v>10</v>
      </c>
      <c r="AC299" s="32" t="s">
        <v>138</v>
      </c>
      <c r="AD299" s="32" t="s">
        <v>138</v>
      </c>
      <c r="AE299" s="32" t="s">
        <v>138</v>
      </c>
      <c r="AF299" s="32" t="s">
        <v>138</v>
      </c>
      <c r="AG299" s="28" t="s">
        <v>2214</v>
      </c>
      <c r="AH299" s="32" t="s">
        <v>138</v>
      </c>
      <c r="AI299" s="32" t="s">
        <v>138</v>
      </c>
      <c r="AJ299" s="32" t="s">
        <v>138</v>
      </c>
      <c r="AK299" s="28" t="s">
        <v>6422</v>
      </c>
      <c r="AL299" s="28" t="s">
        <v>6423</v>
      </c>
      <c r="AM299" s="28" t="s">
        <v>986</v>
      </c>
      <c r="AN299" s="28" t="s">
        <v>6424</v>
      </c>
      <c r="AO299" s="28" t="s">
        <v>6425</v>
      </c>
      <c r="AP299" s="28" t="s">
        <v>3108</v>
      </c>
      <c r="AQ299" s="28" t="s">
        <v>6426</v>
      </c>
      <c r="AR299" s="28" t="s">
        <v>138</v>
      </c>
      <c r="AS299" s="28" t="s">
        <v>3111</v>
      </c>
      <c r="AT299" s="28" t="s">
        <v>3112</v>
      </c>
      <c r="AU299" s="28" t="s">
        <v>6427</v>
      </c>
      <c r="AV299" s="28" t="s">
        <v>2742</v>
      </c>
      <c r="AW299" s="28" t="s">
        <v>6428</v>
      </c>
      <c r="AX299" s="28" t="s">
        <v>6429</v>
      </c>
      <c r="AY299" s="28" t="s">
        <v>6430</v>
      </c>
      <c r="AZ299" s="28" t="s">
        <v>164</v>
      </c>
      <c r="BA299" s="28" t="s">
        <v>165</v>
      </c>
      <c r="BB299" s="28" t="s">
        <v>6431</v>
      </c>
      <c r="BC299" s="28" t="s">
        <v>6432</v>
      </c>
      <c r="BD299" s="33">
        <v>12</v>
      </c>
      <c r="BE299" s="28" t="s">
        <v>138</v>
      </c>
      <c r="BF299" s="28" t="s">
        <v>138</v>
      </c>
      <c r="BG299" s="28" t="s">
        <v>138</v>
      </c>
      <c r="BH299" s="28" t="s">
        <v>6433</v>
      </c>
      <c r="BI299" s="28" t="s">
        <v>138</v>
      </c>
      <c r="BJ299" s="28" t="s">
        <v>138</v>
      </c>
      <c r="BK299" s="28" t="s">
        <v>6434</v>
      </c>
      <c r="BL299" s="28" t="s">
        <v>6435</v>
      </c>
      <c r="BM299" s="34" t="s">
        <v>138</v>
      </c>
      <c r="BN299" s="29" t="s">
        <v>138</v>
      </c>
      <c r="BO299" s="28" t="s">
        <v>138</v>
      </c>
      <c r="BP299" s="29" t="s">
        <v>138</v>
      </c>
      <c r="BQ299" s="28" t="s">
        <v>138</v>
      </c>
      <c r="BR299" s="28" t="s">
        <v>316</v>
      </c>
      <c r="BS299" s="28" t="s">
        <v>138</v>
      </c>
      <c r="BT299" s="28" t="s">
        <v>138</v>
      </c>
      <c r="BU299" s="28" t="s">
        <v>177</v>
      </c>
      <c r="BV299" s="28" t="s">
        <v>138</v>
      </c>
      <c r="BW299" s="28" t="s">
        <v>138</v>
      </c>
      <c r="BX299" s="28" t="s">
        <v>138</v>
      </c>
      <c r="BY299" s="28" t="s">
        <v>175</v>
      </c>
      <c r="BZ299" s="34">
        <v>43517</v>
      </c>
      <c r="CA299" s="29">
        <v>10</v>
      </c>
      <c r="CB299" s="28" t="s">
        <v>172</v>
      </c>
      <c r="CC299" s="29" t="s">
        <v>138</v>
      </c>
      <c r="CD299" s="28" t="s">
        <v>138</v>
      </c>
      <c r="CE299" s="28" t="s">
        <v>1326</v>
      </c>
      <c r="CF299" s="28" t="s">
        <v>138</v>
      </c>
      <c r="CG299" s="28" t="s">
        <v>138</v>
      </c>
      <c r="CH299" s="28" t="s">
        <v>1327</v>
      </c>
      <c r="CI299" s="28" t="s">
        <v>6436</v>
      </c>
      <c r="CJ299" s="28" t="s">
        <v>138</v>
      </c>
      <c r="CK299" s="28" t="s">
        <v>138</v>
      </c>
      <c r="CL299" s="28" t="s">
        <v>175</v>
      </c>
      <c r="CM299" s="34">
        <v>43517</v>
      </c>
      <c r="CN299" s="29">
        <v>10</v>
      </c>
      <c r="CO299" s="35">
        <v>0.74</v>
      </c>
      <c r="CP299" s="36">
        <v>96</v>
      </c>
      <c r="CQ299" s="35">
        <v>-0.22</v>
      </c>
      <c r="CR299" s="35">
        <v>-22.61</v>
      </c>
      <c r="CS299" s="35">
        <v>1.83</v>
      </c>
      <c r="CT299" s="36">
        <v>98</v>
      </c>
      <c r="CU299" s="35">
        <v>0.38</v>
      </c>
      <c r="CV299" s="36">
        <v>91</v>
      </c>
      <c r="CW299" s="35" t="s">
        <v>138</v>
      </c>
      <c r="CX299" s="36" t="s">
        <v>138</v>
      </c>
      <c r="CY299" s="35">
        <v>1.83</v>
      </c>
      <c r="CZ299" s="36">
        <v>100</v>
      </c>
      <c r="DA299" s="35">
        <v>0.47</v>
      </c>
      <c r="DB299" s="36">
        <v>93</v>
      </c>
      <c r="DC299" s="37">
        <v>2.89</v>
      </c>
      <c r="DD299" s="36">
        <v>74</v>
      </c>
      <c r="DE299" s="37">
        <v>0.03</v>
      </c>
      <c r="DF299" s="35">
        <v>1.03</v>
      </c>
      <c r="DG299" s="37">
        <v>5</v>
      </c>
      <c r="DH299" s="36">
        <v>82</v>
      </c>
      <c r="DI299" s="37">
        <v>3.58</v>
      </c>
      <c r="DJ299" s="36">
        <v>72</v>
      </c>
      <c r="DK299" s="37" t="s">
        <v>138</v>
      </c>
      <c r="DL299" s="36" t="s">
        <v>138</v>
      </c>
      <c r="DM299" s="37">
        <v>5</v>
      </c>
      <c r="DN299" s="36">
        <v>81</v>
      </c>
      <c r="DO299" s="37">
        <v>3.6</v>
      </c>
      <c r="DP299" s="36">
        <v>74</v>
      </c>
      <c r="DQ299" s="36">
        <v>564</v>
      </c>
      <c r="DR299" s="38">
        <v>28</v>
      </c>
      <c r="DS299" s="35">
        <v>5.22</v>
      </c>
      <c r="DT299" s="36">
        <v>144</v>
      </c>
      <c r="DU299" s="38">
        <v>1</v>
      </c>
      <c r="DV299" s="35">
        <v>0.7</v>
      </c>
      <c r="DW299" s="36">
        <v>1286</v>
      </c>
      <c r="DX299" s="39">
        <v>7</v>
      </c>
      <c r="DY299" s="35">
        <v>0.55000000000000004</v>
      </c>
      <c r="DZ299" s="28" t="s">
        <v>178</v>
      </c>
      <c r="EA299" s="34">
        <v>43622</v>
      </c>
      <c r="EB299" s="29" t="s">
        <v>138</v>
      </c>
      <c r="EC299" s="34" t="s">
        <v>138</v>
      </c>
      <c r="ED299" s="28" t="s">
        <v>138</v>
      </c>
      <c r="EE299" s="40" t="str">
        <f>HYPERLINK("https://my.pitchbook.com?c=124664-23", "View company online")</f>
        <v>View company online</v>
      </c>
    </row>
    <row r="300" spans="1:135">
      <c r="A300" s="15" t="s">
        <v>6437</v>
      </c>
      <c r="B300" s="15" t="s">
        <v>6438</v>
      </c>
      <c r="C300" s="15" t="s">
        <v>138</v>
      </c>
      <c r="D300" s="15" t="s">
        <v>138</v>
      </c>
      <c r="E300" s="15" t="s">
        <v>6439</v>
      </c>
      <c r="F300" s="15" t="s">
        <v>6437</v>
      </c>
      <c r="G300" s="15" t="s">
        <v>6440</v>
      </c>
      <c r="H300" s="15" t="s">
        <v>183</v>
      </c>
      <c r="I300" s="15" t="s">
        <v>184</v>
      </c>
      <c r="J300" s="15" t="s">
        <v>185</v>
      </c>
      <c r="K300" s="15" t="s">
        <v>6441</v>
      </c>
      <c r="L300" s="15" t="s">
        <v>1104</v>
      </c>
      <c r="M300" s="15" t="s">
        <v>6442</v>
      </c>
      <c r="N300" s="15" t="s">
        <v>147</v>
      </c>
      <c r="O300" s="17">
        <v>39.36</v>
      </c>
      <c r="P300" s="15" t="s">
        <v>148</v>
      </c>
      <c r="Q300" s="15" t="s">
        <v>149</v>
      </c>
      <c r="R300" s="15" t="s">
        <v>244</v>
      </c>
      <c r="S300" s="15" t="s">
        <v>6443</v>
      </c>
      <c r="T300" s="18">
        <v>24</v>
      </c>
      <c r="U300" s="15" t="s">
        <v>6444</v>
      </c>
      <c r="V300" s="15" t="s">
        <v>138</v>
      </c>
      <c r="W300" s="15" t="s">
        <v>138</v>
      </c>
      <c r="X300" s="19">
        <v>2001</v>
      </c>
      <c r="Y300" s="15" t="s">
        <v>138</v>
      </c>
      <c r="Z300" s="15" t="s">
        <v>138</v>
      </c>
      <c r="AA300" s="15" t="s">
        <v>138</v>
      </c>
      <c r="AB300" s="20">
        <v>3.97</v>
      </c>
      <c r="AC300" s="20">
        <v>1.69</v>
      </c>
      <c r="AD300" s="20">
        <v>-3.7</v>
      </c>
      <c r="AE300" s="20" t="s">
        <v>138</v>
      </c>
      <c r="AF300" s="20">
        <v>-4.46</v>
      </c>
      <c r="AG300" s="15" t="s">
        <v>707</v>
      </c>
      <c r="AH300" s="20" t="s">
        <v>138</v>
      </c>
      <c r="AI300" s="20" t="s">
        <v>138</v>
      </c>
      <c r="AJ300" s="20" t="s">
        <v>138</v>
      </c>
      <c r="AK300" s="15" t="s">
        <v>6445</v>
      </c>
      <c r="AL300" s="15" t="s">
        <v>6446</v>
      </c>
      <c r="AM300" s="15" t="s">
        <v>818</v>
      </c>
      <c r="AN300" s="15" t="s">
        <v>6447</v>
      </c>
      <c r="AO300" s="15" t="s">
        <v>6448</v>
      </c>
      <c r="AP300" s="15" t="s">
        <v>6449</v>
      </c>
      <c r="AQ300" s="15" t="s">
        <v>6450</v>
      </c>
      <c r="AR300" s="15" t="s">
        <v>6451</v>
      </c>
      <c r="AS300" s="15" t="s">
        <v>863</v>
      </c>
      <c r="AT300" s="15" t="s">
        <v>824</v>
      </c>
      <c r="AU300" s="15" t="s">
        <v>6452</v>
      </c>
      <c r="AV300" s="15" t="s">
        <v>526</v>
      </c>
      <c r="AW300" s="15" t="s">
        <v>6448</v>
      </c>
      <c r="AX300" s="15" t="s">
        <v>6453</v>
      </c>
      <c r="AY300" s="15" t="s">
        <v>6454</v>
      </c>
      <c r="AZ300" s="15" t="s">
        <v>530</v>
      </c>
      <c r="BA300" s="15" t="s">
        <v>531</v>
      </c>
      <c r="BB300" s="15" t="s">
        <v>6455</v>
      </c>
      <c r="BC300" s="15" t="s">
        <v>6456</v>
      </c>
      <c r="BD300" s="21">
        <v>21</v>
      </c>
      <c r="BE300" s="15" t="s">
        <v>138</v>
      </c>
      <c r="BF300" s="15" t="s">
        <v>138</v>
      </c>
      <c r="BG300" s="15" t="s">
        <v>138</v>
      </c>
      <c r="BH300" s="15" t="s">
        <v>6457</v>
      </c>
      <c r="BI300" s="15" t="s">
        <v>138</v>
      </c>
      <c r="BJ300" s="15" t="s">
        <v>138</v>
      </c>
      <c r="BK300" s="15" t="s">
        <v>6458</v>
      </c>
      <c r="BL300" s="15" t="s">
        <v>6459</v>
      </c>
      <c r="BM300" s="22">
        <v>36982</v>
      </c>
      <c r="BN300" s="17">
        <v>5.38</v>
      </c>
      <c r="BO300" s="15" t="s">
        <v>172</v>
      </c>
      <c r="BP300" s="17" t="s">
        <v>138</v>
      </c>
      <c r="BQ300" s="15" t="s">
        <v>138</v>
      </c>
      <c r="BR300" s="15" t="s">
        <v>205</v>
      </c>
      <c r="BS300" s="15" t="s">
        <v>138</v>
      </c>
      <c r="BT300" s="15" t="s">
        <v>138</v>
      </c>
      <c r="BU300" s="15" t="s">
        <v>174</v>
      </c>
      <c r="BV300" s="15" t="s">
        <v>138</v>
      </c>
      <c r="BW300" s="15" t="s">
        <v>138</v>
      </c>
      <c r="BX300" s="15" t="s">
        <v>138</v>
      </c>
      <c r="BY300" s="15" t="s">
        <v>175</v>
      </c>
      <c r="BZ300" s="22">
        <v>42800</v>
      </c>
      <c r="CA300" s="17">
        <v>5.55</v>
      </c>
      <c r="CB300" s="15" t="s">
        <v>172</v>
      </c>
      <c r="CC300" s="17" t="s">
        <v>138</v>
      </c>
      <c r="CD300" s="15" t="s">
        <v>138</v>
      </c>
      <c r="CE300" s="15" t="s">
        <v>173</v>
      </c>
      <c r="CF300" s="15" t="s">
        <v>138</v>
      </c>
      <c r="CG300" s="15" t="s">
        <v>138</v>
      </c>
      <c r="CH300" s="15" t="s">
        <v>174</v>
      </c>
      <c r="CI300" s="15" t="s">
        <v>138</v>
      </c>
      <c r="CJ300" s="15" t="s">
        <v>138</v>
      </c>
      <c r="CK300" s="15" t="s">
        <v>138</v>
      </c>
      <c r="CL300" s="15" t="s">
        <v>175</v>
      </c>
      <c r="CM300" s="22">
        <v>40513</v>
      </c>
      <c r="CN300" s="17" t="s">
        <v>138</v>
      </c>
      <c r="CO300" s="23">
        <v>0.02</v>
      </c>
      <c r="CP300" s="24">
        <v>85</v>
      </c>
      <c r="CQ300" s="23">
        <v>0.01</v>
      </c>
      <c r="CR300" s="23">
        <v>60.76</v>
      </c>
      <c r="CS300" s="23">
        <v>-0.43</v>
      </c>
      <c r="CT300" s="24">
        <v>20</v>
      </c>
      <c r="CU300" s="23">
        <v>0.47</v>
      </c>
      <c r="CV300" s="24">
        <v>93</v>
      </c>
      <c r="CW300" s="23">
        <v>0</v>
      </c>
      <c r="CX300" s="24">
        <v>13</v>
      </c>
      <c r="CY300" s="23">
        <v>-0.87</v>
      </c>
      <c r="CZ300" s="24">
        <v>20</v>
      </c>
      <c r="DA300" s="23">
        <v>0.47</v>
      </c>
      <c r="DB300" s="24">
        <v>93</v>
      </c>
      <c r="DC300" s="25">
        <v>2.91</v>
      </c>
      <c r="DD300" s="24">
        <v>74</v>
      </c>
      <c r="DE300" s="25">
        <v>0.01</v>
      </c>
      <c r="DF300" s="23">
        <v>0.18</v>
      </c>
      <c r="DG300" s="25">
        <v>4.74</v>
      </c>
      <c r="DH300" s="24">
        <v>82</v>
      </c>
      <c r="DI300" s="25">
        <v>1.07</v>
      </c>
      <c r="DJ300" s="24">
        <v>50</v>
      </c>
      <c r="DK300" s="25">
        <v>0.2</v>
      </c>
      <c r="DL300" s="24">
        <v>9</v>
      </c>
      <c r="DM300" s="25">
        <v>9.2799999999999994</v>
      </c>
      <c r="DN300" s="24">
        <v>88</v>
      </c>
      <c r="DO300" s="25">
        <v>1.07</v>
      </c>
      <c r="DP300" s="24">
        <v>52</v>
      </c>
      <c r="DQ300" s="24">
        <v>69</v>
      </c>
      <c r="DR300" s="26">
        <v>0</v>
      </c>
      <c r="DS300" s="23">
        <v>0</v>
      </c>
      <c r="DT300" s="24">
        <v>268</v>
      </c>
      <c r="DU300" s="26">
        <v>1</v>
      </c>
      <c r="DV300" s="23">
        <v>0.37</v>
      </c>
      <c r="DW300" s="24">
        <v>384</v>
      </c>
      <c r="DX300" s="27">
        <v>1</v>
      </c>
      <c r="DY300" s="23">
        <v>0.26</v>
      </c>
      <c r="DZ300" s="15" t="s">
        <v>178</v>
      </c>
      <c r="EA300" s="22">
        <v>43351</v>
      </c>
      <c r="EB300" s="17">
        <v>24.3</v>
      </c>
      <c r="EC300" s="22">
        <v>42297</v>
      </c>
      <c r="ED300" s="15" t="s">
        <v>173</v>
      </c>
      <c r="EE300" s="14" t="str">
        <f>HYPERLINK("https://my.pitchbook.com?c=55252-00", "View company online")</f>
        <v>View company online</v>
      </c>
    </row>
    <row r="301" spans="1:135">
      <c r="A301" s="28" t="s">
        <v>6460</v>
      </c>
      <c r="B301" s="28" t="s">
        <v>6461</v>
      </c>
      <c r="C301" s="28" t="s">
        <v>138</v>
      </c>
      <c r="D301" s="28" t="s">
        <v>138</v>
      </c>
      <c r="E301" s="28" t="s">
        <v>6462</v>
      </c>
      <c r="F301" s="28" t="s">
        <v>6460</v>
      </c>
      <c r="G301" s="28" t="s">
        <v>6463</v>
      </c>
      <c r="H301" s="28" t="s">
        <v>322</v>
      </c>
      <c r="I301" s="28" t="s">
        <v>807</v>
      </c>
      <c r="J301" s="28" t="s">
        <v>2534</v>
      </c>
      <c r="K301" s="28" t="s">
        <v>6464</v>
      </c>
      <c r="L301" s="28" t="s">
        <v>415</v>
      </c>
      <c r="M301" s="28" t="s">
        <v>6465</v>
      </c>
      <c r="N301" s="28" t="s">
        <v>1452</v>
      </c>
      <c r="O301" s="29">
        <v>103.67</v>
      </c>
      <c r="P301" s="28" t="s">
        <v>148</v>
      </c>
      <c r="Q301" s="28" t="s">
        <v>149</v>
      </c>
      <c r="R301" s="28" t="s">
        <v>328</v>
      </c>
      <c r="S301" s="28" t="s">
        <v>6466</v>
      </c>
      <c r="T301" s="30">
        <v>201</v>
      </c>
      <c r="U301" s="28" t="s">
        <v>6467</v>
      </c>
      <c r="V301" s="28" t="s">
        <v>138</v>
      </c>
      <c r="W301" s="28" t="s">
        <v>138</v>
      </c>
      <c r="X301" s="31">
        <v>2004</v>
      </c>
      <c r="Y301" s="28" t="s">
        <v>138</v>
      </c>
      <c r="Z301" s="28" t="s">
        <v>138</v>
      </c>
      <c r="AA301" s="28" t="s">
        <v>138</v>
      </c>
      <c r="AB301" s="32" t="s">
        <v>138</v>
      </c>
      <c r="AC301" s="32" t="s">
        <v>138</v>
      </c>
      <c r="AD301" s="32" t="s">
        <v>138</v>
      </c>
      <c r="AE301" s="32" t="s">
        <v>138</v>
      </c>
      <c r="AF301" s="32" t="s">
        <v>138</v>
      </c>
      <c r="AG301" s="28" t="s">
        <v>138</v>
      </c>
      <c r="AH301" s="32" t="s">
        <v>138</v>
      </c>
      <c r="AI301" s="32" t="s">
        <v>138</v>
      </c>
      <c r="AJ301" s="32" t="s">
        <v>138</v>
      </c>
      <c r="AK301" s="28" t="s">
        <v>6468</v>
      </c>
      <c r="AL301" s="28" t="s">
        <v>6469</v>
      </c>
      <c r="AM301" s="28" t="s">
        <v>566</v>
      </c>
      <c r="AN301" s="28" t="s">
        <v>6470</v>
      </c>
      <c r="AO301" s="28" t="s">
        <v>6471</v>
      </c>
      <c r="AP301" s="28" t="s">
        <v>5471</v>
      </c>
      <c r="AQ301" s="28" t="s">
        <v>6472</v>
      </c>
      <c r="AR301" s="28" t="s">
        <v>1170</v>
      </c>
      <c r="AS301" s="28" t="s">
        <v>5473</v>
      </c>
      <c r="AT301" s="28" t="s">
        <v>3112</v>
      </c>
      <c r="AU301" s="28" t="s">
        <v>6473</v>
      </c>
      <c r="AV301" s="28" t="s">
        <v>2742</v>
      </c>
      <c r="AW301" s="28" t="s">
        <v>6471</v>
      </c>
      <c r="AX301" s="28" t="s">
        <v>138</v>
      </c>
      <c r="AY301" s="28" t="s">
        <v>6474</v>
      </c>
      <c r="AZ301" s="28" t="s">
        <v>164</v>
      </c>
      <c r="BA301" s="28" t="s">
        <v>165</v>
      </c>
      <c r="BB301" s="28" t="s">
        <v>6475</v>
      </c>
      <c r="BC301" s="28" t="s">
        <v>6476</v>
      </c>
      <c r="BD301" s="33">
        <v>15</v>
      </c>
      <c r="BE301" s="28" t="s">
        <v>138</v>
      </c>
      <c r="BF301" s="28" t="s">
        <v>6477</v>
      </c>
      <c r="BG301" s="28" t="s">
        <v>138</v>
      </c>
      <c r="BH301" s="28" t="s">
        <v>6478</v>
      </c>
      <c r="BI301" s="28" t="s">
        <v>6479</v>
      </c>
      <c r="BJ301" s="28" t="s">
        <v>138</v>
      </c>
      <c r="BK301" s="28" t="s">
        <v>6480</v>
      </c>
      <c r="BL301" s="28" t="s">
        <v>6481</v>
      </c>
      <c r="BM301" s="34">
        <v>38338</v>
      </c>
      <c r="BN301" s="29">
        <v>8.3000000000000007</v>
      </c>
      <c r="BO301" s="28" t="s">
        <v>172</v>
      </c>
      <c r="BP301" s="29" t="s">
        <v>138</v>
      </c>
      <c r="BQ301" s="28" t="s">
        <v>138</v>
      </c>
      <c r="BR301" s="28" t="s">
        <v>234</v>
      </c>
      <c r="BS301" s="28" t="s">
        <v>234</v>
      </c>
      <c r="BT301" s="28" t="s">
        <v>138</v>
      </c>
      <c r="BU301" s="28" t="s">
        <v>174</v>
      </c>
      <c r="BV301" s="28" t="s">
        <v>138</v>
      </c>
      <c r="BW301" s="28" t="s">
        <v>138</v>
      </c>
      <c r="BX301" s="28" t="s">
        <v>138</v>
      </c>
      <c r="BY301" s="28" t="s">
        <v>175</v>
      </c>
      <c r="BZ301" s="34">
        <v>43525</v>
      </c>
      <c r="CA301" s="29" t="s">
        <v>138</v>
      </c>
      <c r="CB301" s="28" t="s">
        <v>138</v>
      </c>
      <c r="CC301" s="29" t="s">
        <v>138</v>
      </c>
      <c r="CD301" s="28" t="s">
        <v>138</v>
      </c>
      <c r="CE301" s="28" t="s">
        <v>379</v>
      </c>
      <c r="CF301" s="28" t="s">
        <v>138</v>
      </c>
      <c r="CG301" s="28" t="s">
        <v>138</v>
      </c>
      <c r="CH301" s="28" t="s">
        <v>138</v>
      </c>
      <c r="CI301" s="28" t="s">
        <v>138</v>
      </c>
      <c r="CJ301" s="28" t="s">
        <v>138</v>
      </c>
      <c r="CK301" s="28" t="s">
        <v>138</v>
      </c>
      <c r="CL301" s="28" t="s">
        <v>175</v>
      </c>
      <c r="CM301" s="34">
        <v>42425</v>
      </c>
      <c r="CN301" s="29" t="s">
        <v>138</v>
      </c>
      <c r="CO301" s="35">
        <v>0.04</v>
      </c>
      <c r="CP301" s="36">
        <v>87</v>
      </c>
      <c r="CQ301" s="35">
        <v>0.02</v>
      </c>
      <c r="CR301" s="35">
        <v>75.849999999999994</v>
      </c>
      <c r="CS301" s="35">
        <v>-0.14000000000000001</v>
      </c>
      <c r="CT301" s="36">
        <v>22</v>
      </c>
      <c r="CU301" s="35">
        <v>0.21</v>
      </c>
      <c r="CV301" s="36">
        <v>81</v>
      </c>
      <c r="CW301" s="35">
        <v>1.53</v>
      </c>
      <c r="CX301" s="36">
        <v>87</v>
      </c>
      <c r="CY301" s="35">
        <v>-1.8</v>
      </c>
      <c r="CZ301" s="36">
        <v>13</v>
      </c>
      <c r="DA301" s="35">
        <v>0.32</v>
      </c>
      <c r="DB301" s="36">
        <v>89</v>
      </c>
      <c r="DC301" s="37">
        <v>13.37</v>
      </c>
      <c r="DD301" s="36">
        <v>92</v>
      </c>
      <c r="DE301" s="37">
        <v>-0.59</v>
      </c>
      <c r="DF301" s="35">
        <v>-4.26</v>
      </c>
      <c r="DG301" s="37">
        <v>24.35</v>
      </c>
      <c r="DH301" s="36">
        <v>96</v>
      </c>
      <c r="DI301" s="37">
        <v>2.38</v>
      </c>
      <c r="DJ301" s="36">
        <v>66</v>
      </c>
      <c r="DK301" s="37">
        <v>19.36</v>
      </c>
      <c r="DL301" s="36">
        <v>92</v>
      </c>
      <c r="DM301" s="37">
        <v>29.34</v>
      </c>
      <c r="DN301" s="36">
        <v>96</v>
      </c>
      <c r="DO301" s="37">
        <v>4.21</v>
      </c>
      <c r="DP301" s="36">
        <v>77</v>
      </c>
      <c r="DQ301" s="36">
        <v>6534</v>
      </c>
      <c r="DR301" s="38">
        <v>319</v>
      </c>
      <c r="DS301" s="35">
        <v>5.13</v>
      </c>
      <c r="DT301" s="36">
        <v>850</v>
      </c>
      <c r="DU301" s="38">
        <v>2</v>
      </c>
      <c r="DV301" s="35">
        <v>0.24</v>
      </c>
      <c r="DW301" s="36">
        <v>1504</v>
      </c>
      <c r="DX301" s="39">
        <v>5</v>
      </c>
      <c r="DY301" s="35">
        <v>0.33</v>
      </c>
      <c r="DZ301" s="28" t="s">
        <v>178</v>
      </c>
      <c r="EA301" s="34">
        <v>43621</v>
      </c>
      <c r="EB301" s="29" t="s">
        <v>138</v>
      </c>
      <c r="EC301" s="34" t="s">
        <v>138</v>
      </c>
      <c r="ED301" s="28" t="s">
        <v>138</v>
      </c>
      <c r="EE301" s="40" t="str">
        <f>HYPERLINK("https://my.pitchbook.com?c=52797-79", "View company online")</f>
        <v>View company online</v>
      </c>
    </row>
    <row r="302" spans="1:135">
      <c r="A302" s="15" t="s">
        <v>6482</v>
      </c>
      <c r="B302" s="15" t="s">
        <v>6483</v>
      </c>
      <c r="C302" s="15" t="s">
        <v>138</v>
      </c>
      <c r="D302" s="15" t="s">
        <v>138</v>
      </c>
      <c r="E302" s="15" t="s">
        <v>138</v>
      </c>
      <c r="F302" s="15" t="s">
        <v>6482</v>
      </c>
      <c r="G302" s="15" t="s">
        <v>6484</v>
      </c>
      <c r="H302" s="15" t="s">
        <v>322</v>
      </c>
      <c r="I302" s="15" t="s">
        <v>1503</v>
      </c>
      <c r="J302" s="15" t="s">
        <v>1836</v>
      </c>
      <c r="K302" s="15" t="s">
        <v>6485</v>
      </c>
      <c r="L302" s="15" t="s">
        <v>138</v>
      </c>
      <c r="M302" s="15" t="s">
        <v>6486</v>
      </c>
      <c r="N302" s="15" t="s">
        <v>147</v>
      </c>
      <c r="O302" s="17" t="s">
        <v>138</v>
      </c>
      <c r="P302" s="15" t="s">
        <v>148</v>
      </c>
      <c r="Q302" s="15" t="s">
        <v>149</v>
      </c>
      <c r="R302" s="15" t="s">
        <v>174</v>
      </c>
      <c r="S302" s="15" t="s">
        <v>6487</v>
      </c>
      <c r="T302" s="18">
        <v>2</v>
      </c>
      <c r="U302" s="15" t="s">
        <v>4417</v>
      </c>
      <c r="V302" s="15" t="s">
        <v>138</v>
      </c>
      <c r="W302" s="15" t="s">
        <v>138</v>
      </c>
      <c r="X302" s="19">
        <v>2009</v>
      </c>
      <c r="Y302" s="15" t="s">
        <v>138</v>
      </c>
      <c r="Z302" s="15" t="s">
        <v>138</v>
      </c>
      <c r="AA302" s="15" t="s">
        <v>138</v>
      </c>
      <c r="AB302" s="20" t="s">
        <v>138</v>
      </c>
      <c r="AC302" s="20" t="s">
        <v>138</v>
      </c>
      <c r="AD302" s="20" t="s">
        <v>138</v>
      </c>
      <c r="AE302" s="20" t="s">
        <v>138</v>
      </c>
      <c r="AF302" s="20" t="s">
        <v>138</v>
      </c>
      <c r="AG302" s="15" t="s">
        <v>138</v>
      </c>
      <c r="AH302" s="20" t="s">
        <v>138</v>
      </c>
      <c r="AI302" s="20" t="s">
        <v>138</v>
      </c>
      <c r="AJ302" s="20" t="s">
        <v>138</v>
      </c>
      <c r="AK302" s="15" t="s">
        <v>6488</v>
      </c>
      <c r="AL302" s="15" t="s">
        <v>6489</v>
      </c>
      <c r="AM302" s="15" t="s">
        <v>5486</v>
      </c>
      <c r="AN302" s="15" t="s">
        <v>6490</v>
      </c>
      <c r="AO302" s="15" t="s">
        <v>6491</v>
      </c>
      <c r="AP302" s="15" t="s">
        <v>6492</v>
      </c>
      <c r="AQ302" s="15" t="s">
        <v>6493</v>
      </c>
      <c r="AR302" s="15" t="s">
        <v>6494</v>
      </c>
      <c r="AS302" s="15" t="s">
        <v>6495</v>
      </c>
      <c r="AT302" s="15" t="s">
        <v>138</v>
      </c>
      <c r="AU302" s="15" t="s">
        <v>6496</v>
      </c>
      <c r="AV302" s="15" t="s">
        <v>6495</v>
      </c>
      <c r="AW302" s="15" t="s">
        <v>6491</v>
      </c>
      <c r="AX302" s="15" t="s">
        <v>138</v>
      </c>
      <c r="AY302" s="15" t="s">
        <v>138</v>
      </c>
      <c r="AZ302" s="15" t="s">
        <v>452</v>
      </c>
      <c r="BA302" s="15" t="s">
        <v>1748</v>
      </c>
      <c r="BB302" s="15" t="s">
        <v>6497</v>
      </c>
      <c r="BC302" s="15" t="s">
        <v>6498</v>
      </c>
      <c r="BD302" s="21">
        <v>4</v>
      </c>
      <c r="BE302" s="15" t="s">
        <v>138</v>
      </c>
      <c r="BF302" s="15" t="s">
        <v>138</v>
      </c>
      <c r="BG302" s="15" t="s">
        <v>138</v>
      </c>
      <c r="BH302" s="15" t="s">
        <v>6499</v>
      </c>
      <c r="BI302" s="15" t="s">
        <v>138</v>
      </c>
      <c r="BJ302" s="15" t="s">
        <v>138</v>
      </c>
      <c r="BK302" s="15" t="s">
        <v>138</v>
      </c>
      <c r="BL302" s="15" t="s">
        <v>138</v>
      </c>
      <c r="BM302" s="22">
        <v>40049</v>
      </c>
      <c r="BN302" s="17" t="s">
        <v>138</v>
      </c>
      <c r="BO302" s="15" t="s">
        <v>138</v>
      </c>
      <c r="BP302" s="17" t="s">
        <v>138</v>
      </c>
      <c r="BQ302" s="15" t="s">
        <v>138</v>
      </c>
      <c r="BR302" s="15" t="s">
        <v>205</v>
      </c>
      <c r="BS302" s="15" t="s">
        <v>138</v>
      </c>
      <c r="BT302" s="15" t="s">
        <v>138</v>
      </c>
      <c r="BU302" s="15" t="s">
        <v>174</v>
      </c>
      <c r="BV302" s="15" t="s">
        <v>138</v>
      </c>
      <c r="BW302" s="15" t="s">
        <v>138</v>
      </c>
      <c r="BX302" s="15" t="s">
        <v>138</v>
      </c>
      <c r="BY302" s="15" t="s">
        <v>175</v>
      </c>
      <c r="BZ302" s="22">
        <v>41334</v>
      </c>
      <c r="CA302" s="17" t="s">
        <v>138</v>
      </c>
      <c r="CB302" s="15" t="s">
        <v>138</v>
      </c>
      <c r="CC302" s="17" t="s">
        <v>138</v>
      </c>
      <c r="CD302" s="15" t="s">
        <v>138</v>
      </c>
      <c r="CE302" s="15" t="s">
        <v>205</v>
      </c>
      <c r="CF302" s="15" t="s">
        <v>720</v>
      </c>
      <c r="CG302" s="15" t="s">
        <v>138</v>
      </c>
      <c r="CH302" s="15" t="s">
        <v>174</v>
      </c>
      <c r="CI302" s="15" t="s">
        <v>138</v>
      </c>
      <c r="CJ302" s="15" t="s">
        <v>138</v>
      </c>
      <c r="CK302" s="15" t="s">
        <v>138</v>
      </c>
      <c r="CL302" s="15" t="s">
        <v>175</v>
      </c>
      <c r="CM302" s="22" t="s">
        <v>138</v>
      </c>
      <c r="CN302" s="17" t="s">
        <v>138</v>
      </c>
      <c r="CO302" s="23">
        <v>0</v>
      </c>
      <c r="CP302" s="24">
        <v>26</v>
      </c>
      <c r="CQ302" s="23">
        <v>0</v>
      </c>
      <c r="CR302" s="23">
        <v>0</v>
      </c>
      <c r="CS302" s="23">
        <v>0</v>
      </c>
      <c r="CT302" s="24">
        <v>23</v>
      </c>
      <c r="CU302" s="23" t="s">
        <v>138</v>
      </c>
      <c r="CV302" s="24" t="s">
        <v>138</v>
      </c>
      <c r="CW302" s="23" t="s">
        <v>138</v>
      </c>
      <c r="CX302" s="24" t="s">
        <v>138</v>
      </c>
      <c r="CY302" s="23">
        <v>0</v>
      </c>
      <c r="CZ302" s="24">
        <v>25</v>
      </c>
      <c r="DA302" s="23" t="s">
        <v>138</v>
      </c>
      <c r="DB302" s="24" t="s">
        <v>138</v>
      </c>
      <c r="DC302" s="25">
        <v>0.79</v>
      </c>
      <c r="DD302" s="24">
        <v>45</v>
      </c>
      <c r="DE302" s="25">
        <v>0.03</v>
      </c>
      <c r="DF302" s="23">
        <v>4.55</v>
      </c>
      <c r="DG302" s="25">
        <v>0.79</v>
      </c>
      <c r="DH302" s="24">
        <v>45</v>
      </c>
      <c r="DI302" s="25" t="s">
        <v>138</v>
      </c>
      <c r="DJ302" s="24" t="s">
        <v>138</v>
      </c>
      <c r="DK302" s="25" t="s">
        <v>138</v>
      </c>
      <c r="DL302" s="24" t="s">
        <v>138</v>
      </c>
      <c r="DM302" s="25">
        <v>0.79</v>
      </c>
      <c r="DN302" s="24">
        <v>45</v>
      </c>
      <c r="DO302" s="25" t="s">
        <v>138</v>
      </c>
      <c r="DP302" s="24" t="s">
        <v>138</v>
      </c>
      <c r="DQ302" s="24" t="s">
        <v>138</v>
      </c>
      <c r="DR302" s="26" t="s">
        <v>138</v>
      </c>
      <c r="DS302" s="23" t="s">
        <v>138</v>
      </c>
      <c r="DT302" s="24">
        <v>22</v>
      </c>
      <c r="DU302" s="26">
        <v>0</v>
      </c>
      <c r="DV302" s="23">
        <v>0</v>
      </c>
      <c r="DW302" s="24" t="s">
        <v>138</v>
      </c>
      <c r="DX302" s="27" t="s">
        <v>138</v>
      </c>
      <c r="DY302" s="23" t="s">
        <v>138</v>
      </c>
      <c r="DZ302" s="15" t="s">
        <v>178</v>
      </c>
      <c r="EA302" s="22">
        <v>43351</v>
      </c>
      <c r="EB302" s="17" t="s">
        <v>138</v>
      </c>
      <c r="EC302" s="22" t="s">
        <v>138</v>
      </c>
      <c r="ED302" s="15" t="s">
        <v>138</v>
      </c>
      <c r="EE302" s="14" t="str">
        <f>HYPERLINK("https://my.pitchbook.com?c=54699-67", "View company online")</f>
        <v>View company online</v>
      </c>
    </row>
    <row r="303" spans="1:135">
      <c r="A303" s="28" t="s">
        <v>6500</v>
      </c>
      <c r="B303" s="28" t="s">
        <v>6501</v>
      </c>
      <c r="C303" s="28" t="s">
        <v>138</v>
      </c>
      <c r="D303" s="28" t="s">
        <v>138</v>
      </c>
      <c r="E303" s="28" t="s">
        <v>6502</v>
      </c>
      <c r="F303" s="28" t="s">
        <v>6500</v>
      </c>
      <c r="G303" s="28" t="s">
        <v>6503</v>
      </c>
      <c r="H303" s="28" t="s">
        <v>322</v>
      </c>
      <c r="I303" s="28" t="s">
        <v>323</v>
      </c>
      <c r="J303" s="28" t="s">
        <v>1084</v>
      </c>
      <c r="K303" s="28" t="s">
        <v>6504</v>
      </c>
      <c r="L303" s="28" t="s">
        <v>6505</v>
      </c>
      <c r="M303" s="28" t="s">
        <v>6506</v>
      </c>
      <c r="N303" s="28" t="s">
        <v>147</v>
      </c>
      <c r="O303" s="29">
        <v>2.12</v>
      </c>
      <c r="P303" s="28" t="s">
        <v>610</v>
      </c>
      <c r="Q303" s="28" t="s">
        <v>149</v>
      </c>
      <c r="R303" s="28" t="s">
        <v>174</v>
      </c>
      <c r="S303" s="28" t="s">
        <v>6507</v>
      </c>
      <c r="T303" s="30" t="s">
        <v>138</v>
      </c>
      <c r="U303" s="28" t="s">
        <v>138</v>
      </c>
      <c r="V303" s="28" t="s">
        <v>138</v>
      </c>
      <c r="W303" s="28" t="s">
        <v>138</v>
      </c>
      <c r="X303" s="31">
        <v>2017</v>
      </c>
      <c r="Y303" s="28" t="s">
        <v>138</v>
      </c>
      <c r="Z303" s="28" t="s">
        <v>138</v>
      </c>
      <c r="AA303" s="28" t="s">
        <v>138</v>
      </c>
      <c r="AB303" s="32" t="s">
        <v>138</v>
      </c>
      <c r="AC303" s="32" t="s">
        <v>138</v>
      </c>
      <c r="AD303" s="32" t="s">
        <v>138</v>
      </c>
      <c r="AE303" s="32" t="s">
        <v>138</v>
      </c>
      <c r="AF303" s="32" t="s">
        <v>138</v>
      </c>
      <c r="AG303" s="28" t="s">
        <v>138</v>
      </c>
      <c r="AH303" s="32" t="s">
        <v>138</v>
      </c>
      <c r="AI303" s="32" t="s">
        <v>138</v>
      </c>
      <c r="AJ303" s="32" t="s">
        <v>138</v>
      </c>
      <c r="AK303" s="28" t="s">
        <v>6508</v>
      </c>
      <c r="AL303" s="28" t="s">
        <v>6509</v>
      </c>
      <c r="AM303" s="28" t="s">
        <v>304</v>
      </c>
      <c r="AN303" s="28" t="s">
        <v>6510</v>
      </c>
      <c r="AO303" s="28" t="s">
        <v>6511</v>
      </c>
      <c r="AP303" s="28" t="s">
        <v>3328</v>
      </c>
      <c r="AQ303" s="28" t="s">
        <v>6512</v>
      </c>
      <c r="AR303" s="28" t="s">
        <v>138</v>
      </c>
      <c r="AS303" s="28" t="s">
        <v>3330</v>
      </c>
      <c r="AT303" s="28" t="s">
        <v>200</v>
      </c>
      <c r="AU303" s="28" t="s">
        <v>3331</v>
      </c>
      <c r="AV303" s="28" t="s">
        <v>162</v>
      </c>
      <c r="AW303" s="28" t="s">
        <v>6511</v>
      </c>
      <c r="AX303" s="28" t="s">
        <v>138</v>
      </c>
      <c r="AY303" s="28" t="s">
        <v>138</v>
      </c>
      <c r="AZ303" s="28" t="s">
        <v>164</v>
      </c>
      <c r="BA303" s="28" t="s">
        <v>165</v>
      </c>
      <c r="BB303" s="28" t="s">
        <v>6513</v>
      </c>
      <c r="BC303" s="28" t="s">
        <v>6514</v>
      </c>
      <c r="BD303" s="33">
        <v>7</v>
      </c>
      <c r="BE303" s="28" t="s">
        <v>138</v>
      </c>
      <c r="BF303" s="28" t="s">
        <v>138</v>
      </c>
      <c r="BG303" s="28" t="s">
        <v>138</v>
      </c>
      <c r="BH303" s="28" t="s">
        <v>6515</v>
      </c>
      <c r="BI303" s="28" t="s">
        <v>138</v>
      </c>
      <c r="BJ303" s="28" t="s">
        <v>138</v>
      </c>
      <c r="BK303" s="28" t="s">
        <v>1251</v>
      </c>
      <c r="BL303" s="28" t="s">
        <v>1251</v>
      </c>
      <c r="BM303" s="34">
        <v>43178</v>
      </c>
      <c r="BN303" s="29">
        <v>0.12</v>
      </c>
      <c r="BO303" s="28" t="s">
        <v>172</v>
      </c>
      <c r="BP303" s="29">
        <v>1.71</v>
      </c>
      <c r="BQ303" s="28" t="s">
        <v>172</v>
      </c>
      <c r="BR303" s="28" t="s">
        <v>316</v>
      </c>
      <c r="BS303" s="28" t="s">
        <v>138</v>
      </c>
      <c r="BT303" s="28" t="s">
        <v>138</v>
      </c>
      <c r="BU303" s="28" t="s">
        <v>177</v>
      </c>
      <c r="BV303" s="28" t="s">
        <v>138</v>
      </c>
      <c r="BW303" s="28" t="s">
        <v>138</v>
      </c>
      <c r="BX303" s="28" t="s">
        <v>138</v>
      </c>
      <c r="BY303" s="28" t="s">
        <v>175</v>
      </c>
      <c r="BZ303" s="34">
        <v>43279</v>
      </c>
      <c r="CA303" s="29">
        <v>2</v>
      </c>
      <c r="CB303" s="28" t="s">
        <v>172</v>
      </c>
      <c r="CC303" s="29" t="s">
        <v>138</v>
      </c>
      <c r="CD303" s="28" t="s">
        <v>138</v>
      </c>
      <c r="CE303" s="28" t="s">
        <v>234</v>
      </c>
      <c r="CF303" s="28" t="s">
        <v>234</v>
      </c>
      <c r="CG303" s="28" t="s">
        <v>138</v>
      </c>
      <c r="CH303" s="28" t="s">
        <v>174</v>
      </c>
      <c r="CI303" s="28" t="s">
        <v>138</v>
      </c>
      <c r="CJ303" s="28" t="s">
        <v>138</v>
      </c>
      <c r="CK303" s="28" t="s">
        <v>138</v>
      </c>
      <c r="CL303" s="28" t="s">
        <v>175</v>
      </c>
      <c r="CM303" s="34" t="s">
        <v>138</v>
      </c>
      <c r="CN303" s="29" t="s">
        <v>138</v>
      </c>
      <c r="CO303" s="35">
        <v>-0.37</v>
      </c>
      <c r="CP303" s="36">
        <v>18</v>
      </c>
      <c r="CQ303" s="35">
        <v>-0.01</v>
      </c>
      <c r="CR303" s="35">
        <v>-4.17</v>
      </c>
      <c r="CS303" s="35">
        <v>-1.53</v>
      </c>
      <c r="CT303" s="36">
        <v>11</v>
      </c>
      <c r="CU303" s="35">
        <v>0.79</v>
      </c>
      <c r="CV303" s="36">
        <v>97</v>
      </c>
      <c r="CW303" s="35">
        <v>0</v>
      </c>
      <c r="CX303" s="36">
        <v>13</v>
      </c>
      <c r="CY303" s="35">
        <v>-3.06</v>
      </c>
      <c r="CZ303" s="36">
        <v>7</v>
      </c>
      <c r="DA303" s="35">
        <v>1.58</v>
      </c>
      <c r="DB303" s="36">
        <v>99</v>
      </c>
      <c r="DC303" s="37">
        <v>2</v>
      </c>
      <c r="DD303" s="36">
        <v>67</v>
      </c>
      <c r="DE303" s="37">
        <v>-0.09</v>
      </c>
      <c r="DF303" s="35">
        <v>-4.1399999999999997</v>
      </c>
      <c r="DG303" s="37">
        <v>3.73</v>
      </c>
      <c r="DH303" s="36">
        <v>78</v>
      </c>
      <c r="DI303" s="37">
        <v>0.27</v>
      </c>
      <c r="DJ303" s="36">
        <v>26</v>
      </c>
      <c r="DK303" s="37">
        <v>1.01</v>
      </c>
      <c r="DL303" s="36">
        <v>51</v>
      </c>
      <c r="DM303" s="37">
        <v>6.45</v>
      </c>
      <c r="DN303" s="36">
        <v>85</v>
      </c>
      <c r="DO303" s="37">
        <v>0.51</v>
      </c>
      <c r="DP303" s="36">
        <v>38</v>
      </c>
      <c r="DQ303" s="36">
        <v>341</v>
      </c>
      <c r="DR303" s="38">
        <v>42</v>
      </c>
      <c r="DS303" s="35">
        <v>14.05</v>
      </c>
      <c r="DT303" s="36">
        <v>189</v>
      </c>
      <c r="DU303" s="38">
        <v>-6</v>
      </c>
      <c r="DV303" s="35">
        <v>-3.08</v>
      </c>
      <c r="DW303" s="36">
        <v>179</v>
      </c>
      <c r="DX303" s="39">
        <v>7</v>
      </c>
      <c r="DY303" s="35">
        <v>4.07</v>
      </c>
      <c r="DZ303" s="28" t="s">
        <v>178</v>
      </c>
      <c r="EA303" s="34">
        <v>43560</v>
      </c>
      <c r="EB303" s="29">
        <v>1.71</v>
      </c>
      <c r="EC303" s="34">
        <v>43178</v>
      </c>
      <c r="ED303" s="28" t="s">
        <v>316</v>
      </c>
      <c r="EE303" s="40" t="str">
        <f>HYPERLINK("https://my.pitchbook.com?c=226886-32", "View company online")</f>
        <v>View company online</v>
      </c>
    </row>
    <row r="304" spans="1:135">
      <c r="A304" s="15" t="s">
        <v>6516</v>
      </c>
      <c r="B304" s="15" t="s">
        <v>6517</v>
      </c>
      <c r="C304" s="15" t="s">
        <v>6518</v>
      </c>
      <c r="D304" s="15" t="s">
        <v>138</v>
      </c>
      <c r="E304" s="15" t="s">
        <v>6519</v>
      </c>
      <c r="F304" s="15" t="s">
        <v>6516</v>
      </c>
      <c r="G304" s="15" t="s">
        <v>6520</v>
      </c>
      <c r="H304" s="15" t="s">
        <v>322</v>
      </c>
      <c r="I304" s="15" t="s">
        <v>323</v>
      </c>
      <c r="J304" s="15" t="s">
        <v>324</v>
      </c>
      <c r="K304" s="15" t="s">
        <v>6521</v>
      </c>
      <c r="L304" s="15" t="s">
        <v>2835</v>
      </c>
      <c r="M304" s="15" t="s">
        <v>6522</v>
      </c>
      <c r="N304" s="15" t="s">
        <v>147</v>
      </c>
      <c r="O304" s="17">
        <v>32.090000000000003</v>
      </c>
      <c r="P304" s="15" t="s">
        <v>148</v>
      </c>
      <c r="Q304" s="15" t="s">
        <v>149</v>
      </c>
      <c r="R304" s="15" t="s">
        <v>174</v>
      </c>
      <c r="S304" s="15" t="s">
        <v>6523</v>
      </c>
      <c r="T304" s="18" t="s">
        <v>138</v>
      </c>
      <c r="U304" s="15" t="s">
        <v>138</v>
      </c>
      <c r="V304" s="15" t="s">
        <v>138</v>
      </c>
      <c r="W304" s="15" t="s">
        <v>138</v>
      </c>
      <c r="X304" s="19">
        <v>2014</v>
      </c>
      <c r="Y304" s="15" t="s">
        <v>138</v>
      </c>
      <c r="Z304" s="15" t="s">
        <v>138</v>
      </c>
      <c r="AA304" s="15" t="s">
        <v>138</v>
      </c>
      <c r="AB304" s="20" t="s">
        <v>138</v>
      </c>
      <c r="AC304" s="20" t="s">
        <v>138</v>
      </c>
      <c r="AD304" s="20" t="s">
        <v>138</v>
      </c>
      <c r="AE304" s="20" t="s">
        <v>138</v>
      </c>
      <c r="AF304" s="20" t="s">
        <v>138</v>
      </c>
      <c r="AG304" s="15" t="s">
        <v>138</v>
      </c>
      <c r="AH304" s="20" t="s">
        <v>138</v>
      </c>
      <c r="AI304" s="20" t="s">
        <v>138</v>
      </c>
      <c r="AJ304" s="20" t="s">
        <v>138</v>
      </c>
      <c r="AK304" s="15" t="s">
        <v>6524</v>
      </c>
      <c r="AL304" s="15" t="s">
        <v>6525</v>
      </c>
      <c r="AM304" s="15" t="s">
        <v>6526</v>
      </c>
      <c r="AN304" s="15" t="s">
        <v>6527</v>
      </c>
      <c r="AO304" s="15" t="s">
        <v>6528</v>
      </c>
      <c r="AP304" s="15" t="s">
        <v>639</v>
      </c>
      <c r="AQ304" s="15" t="s">
        <v>6529</v>
      </c>
      <c r="AR304" s="15" t="s">
        <v>138</v>
      </c>
      <c r="AS304" s="15" t="s">
        <v>642</v>
      </c>
      <c r="AT304" s="15" t="s">
        <v>474</v>
      </c>
      <c r="AU304" s="15" t="s">
        <v>138</v>
      </c>
      <c r="AV304" s="15" t="s">
        <v>162</v>
      </c>
      <c r="AW304" s="15" t="s">
        <v>6528</v>
      </c>
      <c r="AX304" s="15" t="s">
        <v>138</v>
      </c>
      <c r="AY304" s="15" t="s">
        <v>6530</v>
      </c>
      <c r="AZ304" s="15" t="s">
        <v>164</v>
      </c>
      <c r="BA304" s="15" t="s">
        <v>165</v>
      </c>
      <c r="BB304" s="15" t="s">
        <v>6531</v>
      </c>
      <c r="BC304" s="15" t="s">
        <v>6532</v>
      </c>
      <c r="BD304" s="21">
        <v>12</v>
      </c>
      <c r="BE304" s="15" t="s">
        <v>138</v>
      </c>
      <c r="BF304" s="15" t="s">
        <v>138</v>
      </c>
      <c r="BG304" s="15" t="s">
        <v>138</v>
      </c>
      <c r="BH304" s="15" t="s">
        <v>6533</v>
      </c>
      <c r="BI304" s="15" t="s">
        <v>138</v>
      </c>
      <c r="BJ304" s="15" t="s">
        <v>138</v>
      </c>
      <c r="BK304" s="15" t="s">
        <v>6534</v>
      </c>
      <c r="BL304" s="15" t="s">
        <v>6535</v>
      </c>
      <c r="BM304" s="22">
        <v>42017</v>
      </c>
      <c r="BN304" s="17" t="s">
        <v>138</v>
      </c>
      <c r="BO304" s="15" t="s">
        <v>138</v>
      </c>
      <c r="BP304" s="17" t="s">
        <v>138</v>
      </c>
      <c r="BQ304" s="15" t="s">
        <v>138</v>
      </c>
      <c r="BR304" s="15" t="s">
        <v>316</v>
      </c>
      <c r="BS304" s="15" t="s">
        <v>138</v>
      </c>
      <c r="BT304" s="15" t="s">
        <v>138</v>
      </c>
      <c r="BU304" s="15" t="s">
        <v>174</v>
      </c>
      <c r="BV304" s="15" t="s">
        <v>138</v>
      </c>
      <c r="BW304" s="15" t="s">
        <v>138</v>
      </c>
      <c r="BX304" s="15" t="s">
        <v>138</v>
      </c>
      <c r="BY304" s="15" t="s">
        <v>175</v>
      </c>
      <c r="BZ304" s="22">
        <v>43439</v>
      </c>
      <c r="CA304" s="17">
        <v>15</v>
      </c>
      <c r="CB304" s="15" t="s">
        <v>1178</v>
      </c>
      <c r="CC304" s="17">
        <v>80</v>
      </c>
      <c r="CD304" s="15" t="s">
        <v>172</v>
      </c>
      <c r="CE304" s="15" t="s">
        <v>205</v>
      </c>
      <c r="CF304" s="15" t="s">
        <v>720</v>
      </c>
      <c r="CG304" s="15" t="s">
        <v>138</v>
      </c>
      <c r="CH304" s="15" t="s">
        <v>174</v>
      </c>
      <c r="CI304" s="15" t="s">
        <v>138</v>
      </c>
      <c r="CJ304" s="15" t="s">
        <v>138</v>
      </c>
      <c r="CK304" s="15" t="s">
        <v>138</v>
      </c>
      <c r="CL304" s="15" t="s">
        <v>175</v>
      </c>
      <c r="CM304" s="22" t="s">
        <v>138</v>
      </c>
      <c r="CN304" s="17" t="s">
        <v>138</v>
      </c>
      <c r="CO304" s="23">
        <v>0.17</v>
      </c>
      <c r="CP304" s="24">
        <v>92</v>
      </c>
      <c r="CQ304" s="23">
        <v>0</v>
      </c>
      <c r="CR304" s="23">
        <v>-1.31</v>
      </c>
      <c r="CS304" s="23">
        <v>0.32</v>
      </c>
      <c r="CT304" s="24">
        <v>95</v>
      </c>
      <c r="CU304" s="23">
        <v>0.01</v>
      </c>
      <c r="CV304" s="24">
        <v>49</v>
      </c>
      <c r="CW304" s="23">
        <v>0.32</v>
      </c>
      <c r="CX304" s="24">
        <v>82</v>
      </c>
      <c r="CY304" s="23" t="s">
        <v>138</v>
      </c>
      <c r="CZ304" s="24" t="s">
        <v>138</v>
      </c>
      <c r="DA304" s="23">
        <v>-0.1</v>
      </c>
      <c r="DB304" s="24">
        <v>6</v>
      </c>
      <c r="DC304" s="25">
        <v>22.55</v>
      </c>
      <c r="DD304" s="24">
        <v>95</v>
      </c>
      <c r="DE304" s="25">
        <v>-2.62</v>
      </c>
      <c r="DF304" s="23">
        <v>-10.4</v>
      </c>
      <c r="DG304" s="25">
        <v>40.96</v>
      </c>
      <c r="DH304" s="24">
        <v>98</v>
      </c>
      <c r="DI304" s="25">
        <v>4.1399999999999997</v>
      </c>
      <c r="DJ304" s="24">
        <v>75</v>
      </c>
      <c r="DK304" s="25">
        <v>40.96</v>
      </c>
      <c r="DL304" s="24">
        <v>95</v>
      </c>
      <c r="DM304" s="25" t="s">
        <v>138</v>
      </c>
      <c r="DN304" s="24" t="s">
        <v>138</v>
      </c>
      <c r="DO304" s="25">
        <v>7.85</v>
      </c>
      <c r="DP304" s="24">
        <v>85</v>
      </c>
      <c r="DQ304" s="24">
        <v>14117</v>
      </c>
      <c r="DR304" s="26">
        <v>-206</v>
      </c>
      <c r="DS304" s="23">
        <v>-1.44</v>
      </c>
      <c r="DT304" s="24" t="s">
        <v>138</v>
      </c>
      <c r="DU304" s="26" t="s">
        <v>138</v>
      </c>
      <c r="DV304" s="23" t="s">
        <v>138</v>
      </c>
      <c r="DW304" s="24">
        <v>2810</v>
      </c>
      <c r="DX304" s="27">
        <v>-2</v>
      </c>
      <c r="DY304" s="23">
        <v>-7.0000000000000007E-2</v>
      </c>
      <c r="DZ304" s="15" t="s">
        <v>178</v>
      </c>
      <c r="EA304" s="22">
        <v>43622</v>
      </c>
      <c r="EB304" s="17">
        <v>80</v>
      </c>
      <c r="EC304" s="22">
        <v>43439</v>
      </c>
      <c r="ED304" s="15" t="s">
        <v>205</v>
      </c>
      <c r="EE304" s="14" t="str">
        <f>HYPERLINK("https://my.pitchbook.com?c=82756-81", "View company online")</f>
        <v>View company online</v>
      </c>
    </row>
    <row r="305" spans="1:135">
      <c r="A305" s="28" t="s">
        <v>6536</v>
      </c>
      <c r="B305" s="28" t="s">
        <v>6537</v>
      </c>
      <c r="C305" s="28" t="s">
        <v>138</v>
      </c>
      <c r="D305" s="28" t="s">
        <v>6538</v>
      </c>
      <c r="E305" s="28" t="s">
        <v>6539</v>
      </c>
      <c r="F305" s="28" t="s">
        <v>6536</v>
      </c>
      <c r="G305" s="28" t="s">
        <v>6540</v>
      </c>
      <c r="H305" s="28" t="s">
        <v>141</v>
      </c>
      <c r="I305" s="28" t="s">
        <v>142</v>
      </c>
      <c r="J305" s="28" t="s">
        <v>4042</v>
      </c>
      <c r="K305" s="28" t="s">
        <v>6541</v>
      </c>
      <c r="L305" s="28" t="s">
        <v>6542</v>
      </c>
      <c r="M305" s="28" t="s">
        <v>6543</v>
      </c>
      <c r="N305" s="28" t="s">
        <v>1452</v>
      </c>
      <c r="O305" s="29">
        <v>219.06</v>
      </c>
      <c r="P305" s="28" t="s">
        <v>148</v>
      </c>
      <c r="Q305" s="28" t="s">
        <v>149</v>
      </c>
      <c r="R305" s="28" t="s">
        <v>1652</v>
      </c>
      <c r="S305" s="28" t="s">
        <v>6544</v>
      </c>
      <c r="T305" s="30">
        <v>114</v>
      </c>
      <c r="U305" s="28" t="s">
        <v>6545</v>
      </c>
      <c r="V305" s="28" t="s">
        <v>138</v>
      </c>
      <c r="W305" s="28" t="s">
        <v>138</v>
      </c>
      <c r="X305" s="31">
        <v>2004</v>
      </c>
      <c r="Y305" s="28" t="s">
        <v>138</v>
      </c>
      <c r="Z305" s="28" t="s">
        <v>138</v>
      </c>
      <c r="AA305" s="28" t="s">
        <v>138</v>
      </c>
      <c r="AB305" s="32" t="s">
        <v>138</v>
      </c>
      <c r="AC305" s="32" t="s">
        <v>138</v>
      </c>
      <c r="AD305" s="32" t="s">
        <v>138</v>
      </c>
      <c r="AE305" s="32" t="s">
        <v>138</v>
      </c>
      <c r="AF305" s="32" t="s">
        <v>138</v>
      </c>
      <c r="AG305" s="28" t="s">
        <v>138</v>
      </c>
      <c r="AH305" s="32" t="s">
        <v>138</v>
      </c>
      <c r="AI305" s="32" t="s">
        <v>138</v>
      </c>
      <c r="AJ305" s="32" t="s">
        <v>138</v>
      </c>
      <c r="AK305" s="28" t="s">
        <v>6546</v>
      </c>
      <c r="AL305" s="28" t="s">
        <v>6547</v>
      </c>
      <c r="AM305" s="28" t="s">
        <v>249</v>
      </c>
      <c r="AN305" s="28" t="s">
        <v>6548</v>
      </c>
      <c r="AO305" s="28" t="s">
        <v>6549</v>
      </c>
      <c r="AP305" s="28" t="s">
        <v>6230</v>
      </c>
      <c r="AQ305" s="28" t="s">
        <v>6550</v>
      </c>
      <c r="AR305" s="28" t="s">
        <v>158</v>
      </c>
      <c r="AS305" s="28" t="s">
        <v>6232</v>
      </c>
      <c r="AT305" s="28" t="s">
        <v>371</v>
      </c>
      <c r="AU305" s="28" t="s">
        <v>6551</v>
      </c>
      <c r="AV305" s="28" t="s">
        <v>162</v>
      </c>
      <c r="AW305" s="28" t="s">
        <v>6552</v>
      </c>
      <c r="AX305" s="28" t="s">
        <v>6553</v>
      </c>
      <c r="AY305" s="28" t="s">
        <v>6554</v>
      </c>
      <c r="AZ305" s="28" t="s">
        <v>164</v>
      </c>
      <c r="BA305" s="28" t="s">
        <v>165</v>
      </c>
      <c r="BB305" s="28" t="s">
        <v>6555</v>
      </c>
      <c r="BC305" s="28" t="s">
        <v>6556</v>
      </c>
      <c r="BD305" s="33">
        <v>3</v>
      </c>
      <c r="BE305" s="28" t="s">
        <v>138</v>
      </c>
      <c r="BF305" s="28" t="s">
        <v>6557</v>
      </c>
      <c r="BG305" s="28" t="s">
        <v>138</v>
      </c>
      <c r="BH305" s="28" t="s">
        <v>6558</v>
      </c>
      <c r="BI305" s="28" t="s">
        <v>6559</v>
      </c>
      <c r="BJ305" s="28" t="s">
        <v>138</v>
      </c>
      <c r="BK305" s="28" t="s">
        <v>138</v>
      </c>
      <c r="BL305" s="28" t="s">
        <v>6560</v>
      </c>
      <c r="BM305" s="34">
        <v>38259</v>
      </c>
      <c r="BN305" s="29">
        <v>0.01</v>
      </c>
      <c r="BO305" s="28" t="s">
        <v>172</v>
      </c>
      <c r="BP305" s="29" t="s">
        <v>138</v>
      </c>
      <c r="BQ305" s="28" t="s">
        <v>138</v>
      </c>
      <c r="BR305" s="28" t="s">
        <v>262</v>
      </c>
      <c r="BS305" s="28" t="s">
        <v>262</v>
      </c>
      <c r="BT305" s="28" t="s">
        <v>138</v>
      </c>
      <c r="BU305" s="28" t="s">
        <v>263</v>
      </c>
      <c r="BV305" s="28" t="s">
        <v>138</v>
      </c>
      <c r="BW305" s="28" t="s">
        <v>138</v>
      </c>
      <c r="BX305" s="28" t="s">
        <v>138</v>
      </c>
      <c r="BY305" s="28" t="s">
        <v>175</v>
      </c>
      <c r="BZ305" s="34">
        <v>43439</v>
      </c>
      <c r="CA305" s="29" t="s">
        <v>138</v>
      </c>
      <c r="CB305" s="28" t="s">
        <v>138</v>
      </c>
      <c r="CC305" s="29" t="s">
        <v>138</v>
      </c>
      <c r="CD305" s="28" t="s">
        <v>138</v>
      </c>
      <c r="CE305" s="28" t="s">
        <v>349</v>
      </c>
      <c r="CF305" s="28" t="s">
        <v>138</v>
      </c>
      <c r="CG305" s="28" t="s">
        <v>138</v>
      </c>
      <c r="CH305" s="28" t="s">
        <v>351</v>
      </c>
      <c r="CI305" s="28" t="s">
        <v>138</v>
      </c>
      <c r="CJ305" s="28" t="s">
        <v>138</v>
      </c>
      <c r="CK305" s="28" t="s">
        <v>138</v>
      </c>
      <c r="CL305" s="28" t="s">
        <v>175</v>
      </c>
      <c r="CM305" s="34">
        <v>43172</v>
      </c>
      <c r="CN305" s="29">
        <v>5</v>
      </c>
      <c r="CO305" s="35">
        <v>-0.27</v>
      </c>
      <c r="CP305" s="36">
        <v>19</v>
      </c>
      <c r="CQ305" s="35">
        <v>-0.02</v>
      </c>
      <c r="CR305" s="35">
        <v>-7.33</v>
      </c>
      <c r="CS305" s="35">
        <v>-0.72</v>
      </c>
      <c r="CT305" s="36">
        <v>17</v>
      </c>
      <c r="CU305" s="35">
        <v>0.18</v>
      </c>
      <c r="CV305" s="36">
        <v>78</v>
      </c>
      <c r="CW305" s="35">
        <v>0.31</v>
      </c>
      <c r="CX305" s="36">
        <v>82</v>
      </c>
      <c r="CY305" s="35">
        <v>-1.74</v>
      </c>
      <c r="CZ305" s="36">
        <v>13</v>
      </c>
      <c r="DA305" s="35">
        <v>7.0000000000000007E-2</v>
      </c>
      <c r="DB305" s="36">
        <v>67</v>
      </c>
      <c r="DC305" s="37">
        <v>10.32</v>
      </c>
      <c r="DD305" s="36">
        <v>90</v>
      </c>
      <c r="DE305" s="37">
        <v>-0.25</v>
      </c>
      <c r="DF305" s="35">
        <v>-2.3199999999999998</v>
      </c>
      <c r="DG305" s="37">
        <v>15.1</v>
      </c>
      <c r="DH305" s="36">
        <v>93</v>
      </c>
      <c r="DI305" s="37">
        <v>5.55</v>
      </c>
      <c r="DJ305" s="36">
        <v>79</v>
      </c>
      <c r="DK305" s="37">
        <v>7.27</v>
      </c>
      <c r="DL305" s="36">
        <v>84</v>
      </c>
      <c r="DM305" s="37">
        <v>22.93</v>
      </c>
      <c r="DN305" s="36">
        <v>95</v>
      </c>
      <c r="DO305" s="37">
        <v>10.8</v>
      </c>
      <c r="DP305" s="36">
        <v>88</v>
      </c>
      <c r="DQ305" s="36">
        <v>2513</v>
      </c>
      <c r="DR305" s="38">
        <v>-58</v>
      </c>
      <c r="DS305" s="35">
        <v>-2.2599999999999998</v>
      </c>
      <c r="DT305" s="36">
        <v>666</v>
      </c>
      <c r="DU305" s="38">
        <v>-2</v>
      </c>
      <c r="DV305" s="35">
        <v>-0.3</v>
      </c>
      <c r="DW305" s="36">
        <v>3865</v>
      </c>
      <c r="DX305" s="39">
        <v>-2</v>
      </c>
      <c r="DY305" s="35">
        <v>-0.05</v>
      </c>
      <c r="DZ305" s="28" t="s">
        <v>178</v>
      </c>
      <c r="EA305" s="34">
        <v>43622</v>
      </c>
      <c r="EB305" s="29">
        <v>98.72</v>
      </c>
      <c r="EC305" s="34">
        <v>42863</v>
      </c>
      <c r="ED305" s="28" t="s">
        <v>173</v>
      </c>
      <c r="EE305" s="40" t="str">
        <f>HYPERLINK("https://my.pitchbook.com?c=51129-19", "View company online")</f>
        <v>View company online</v>
      </c>
    </row>
    <row r="306" spans="1:135">
      <c r="A306" s="15" t="s">
        <v>6561</v>
      </c>
      <c r="B306" s="15" t="s">
        <v>6562</v>
      </c>
      <c r="C306" s="15" t="s">
        <v>138</v>
      </c>
      <c r="D306" s="15" t="s">
        <v>6563</v>
      </c>
      <c r="E306" s="15" t="s">
        <v>138</v>
      </c>
      <c r="F306" s="15" t="s">
        <v>6561</v>
      </c>
      <c r="G306" s="15" t="s">
        <v>6564</v>
      </c>
      <c r="H306" s="15" t="s">
        <v>238</v>
      </c>
      <c r="I306" s="15" t="s">
        <v>239</v>
      </c>
      <c r="J306" s="15" t="s">
        <v>2578</v>
      </c>
      <c r="K306" s="15" t="s">
        <v>6565</v>
      </c>
      <c r="L306" s="15" t="s">
        <v>3681</v>
      </c>
      <c r="M306" s="15" t="s">
        <v>6566</v>
      </c>
      <c r="N306" s="15" t="s">
        <v>147</v>
      </c>
      <c r="O306" s="17">
        <v>3.5</v>
      </c>
      <c r="P306" s="15" t="s">
        <v>148</v>
      </c>
      <c r="Q306" s="15" t="s">
        <v>149</v>
      </c>
      <c r="R306" s="15" t="s">
        <v>174</v>
      </c>
      <c r="S306" s="15" t="s">
        <v>6567</v>
      </c>
      <c r="T306" s="18">
        <v>9</v>
      </c>
      <c r="U306" s="15" t="s">
        <v>4748</v>
      </c>
      <c r="V306" s="15" t="s">
        <v>138</v>
      </c>
      <c r="W306" s="15" t="s">
        <v>138</v>
      </c>
      <c r="X306" s="19">
        <v>2014</v>
      </c>
      <c r="Y306" s="15" t="s">
        <v>138</v>
      </c>
      <c r="Z306" s="15" t="s">
        <v>138</v>
      </c>
      <c r="AA306" s="15" t="s">
        <v>138</v>
      </c>
      <c r="AB306" s="20" t="s">
        <v>138</v>
      </c>
      <c r="AC306" s="20" t="s">
        <v>138</v>
      </c>
      <c r="AD306" s="20" t="s">
        <v>138</v>
      </c>
      <c r="AE306" s="20" t="s">
        <v>138</v>
      </c>
      <c r="AF306" s="20" t="s">
        <v>138</v>
      </c>
      <c r="AG306" s="15" t="s">
        <v>138</v>
      </c>
      <c r="AH306" s="20" t="s">
        <v>138</v>
      </c>
      <c r="AI306" s="20" t="s">
        <v>138</v>
      </c>
      <c r="AJ306" s="20" t="s">
        <v>138</v>
      </c>
      <c r="AK306" s="15" t="s">
        <v>6568</v>
      </c>
      <c r="AL306" s="15" t="s">
        <v>6569</v>
      </c>
      <c r="AM306" s="15" t="s">
        <v>6570</v>
      </c>
      <c r="AN306" s="15" t="s">
        <v>6571</v>
      </c>
      <c r="AO306" s="15" t="s">
        <v>6572</v>
      </c>
      <c r="AP306" s="15" t="s">
        <v>6573</v>
      </c>
      <c r="AQ306" s="15" t="s">
        <v>6574</v>
      </c>
      <c r="AR306" s="15" t="s">
        <v>1115</v>
      </c>
      <c r="AS306" s="15" t="s">
        <v>6575</v>
      </c>
      <c r="AT306" s="15" t="s">
        <v>6576</v>
      </c>
      <c r="AU306" s="15" t="s">
        <v>6577</v>
      </c>
      <c r="AV306" s="15" t="s">
        <v>162</v>
      </c>
      <c r="AW306" s="15" t="s">
        <v>6572</v>
      </c>
      <c r="AX306" s="15" t="s">
        <v>6578</v>
      </c>
      <c r="AY306" s="15" t="s">
        <v>138</v>
      </c>
      <c r="AZ306" s="15" t="s">
        <v>164</v>
      </c>
      <c r="BA306" s="15" t="s">
        <v>165</v>
      </c>
      <c r="BB306" s="15" t="s">
        <v>6579</v>
      </c>
      <c r="BC306" s="15" t="s">
        <v>6580</v>
      </c>
      <c r="BD306" s="21">
        <v>5</v>
      </c>
      <c r="BE306" s="15" t="s">
        <v>138</v>
      </c>
      <c r="BF306" s="15" t="s">
        <v>138</v>
      </c>
      <c r="BG306" s="15" t="s">
        <v>138</v>
      </c>
      <c r="BH306" s="15" t="s">
        <v>6581</v>
      </c>
      <c r="BI306" s="15" t="s">
        <v>138</v>
      </c>
      <c r="BJ306" s="15" t="s">
        <v>138</v>
      </c>
      <c r="BK306" s="15" t="s">
        <v>1275</v>
      </c>
      <c r="BL306" s="15" t="s">
        <v>1275</v>
      </c>
      <c r="BM306" s="22">
        <v>41992</v>
      </c>
      <c r="BN306" s="17" t="s">
        <v>138</v>
      </c>
      <c r="BO306" s="15" t="s">
        <v>138</v>
      </c>
      <c r="BP306" s="17" t="s">
        <v>138</v>
      </c>
      <c r="BQ306" s="15" t="s">
        <v>138</v>
      </c>
      <c r="BR306" s="15" t="s">
        <v>234</v>
      </c>
      <c r="BS306" s="15" t="s">
        <v>234</v>
      </c>
      <c r="BT306" s="15" t="s">
        <v>138</v>
      </c>
      <c r="BU306" s="15" t="s">
        <v>174</v>
      </c>
      <c r="BV306" s="15" t="s">
        <v>138</v>
      </c>
      <c r="BW306" s="15" t="s">
        <v>138</v>
      </c>
      <c r="BX306" s="15" t="s">
        <v>138</v>
      </c>
      <c r="BY306" s="15" t="s">
        <v>175</v>
      </c>
      <c r="BZ306" s="22">
        <v>43082</v>
      </c>
      <c r="CA306" s="17">
        <v>2.5</v>
      </c>
      <c r="CB306" s="15" t="s">
        <v>172</v>
      </c>
      <c r="CC306" s="17" t="s">
        <v>138</v>
      </c>
      <c r="CD306" s="15" t="s">
        <v>138</v>
      </c>
      <c r="CE306" s="15" t="s">
        <v>234</v>
      </c>
      <c r="CF306" s="15" t="s">
        <v>234</v>
      </c>
      <c r="CG306" s="15" t="s">
        <v>138</v>
      </c>
      <c r="CH306" s="15" t="s">
        <v>174</v>
      </c>
      <c r="CI306" s="15" t="s">
        <v>138</v>
      </c>
      <c r="CJ306" s="15" t="s">
        <v>138</v>
      </c>
      <c r="CK306" s="15" t="s">
        <v>138</v>
      </c>
      <c r="CL306" s="15" t="s">
        <v>175</v>
      </c>
      <c r="CM306" s="22" t="s">
        <v>138</v>
      </c>
      <c r="CN306" s="17" t="s">
        <v>138</v>
      </c>
      <c r="CO306" s="23">
        <v>0</v>
      </c>
      <c r="CP306" s="24">
        <v>26</v>
      </c>
      <c r="CQ306" s="23">
        <v>0</v>
      </c>
      <c r="CR306" s="23">
        <v>0</v>
      </c>
      <c r="CS306" s="23">
        <v>0</v>
      </c>
      <c r="CT306" s="24">
        <v>23</v>
      </c>
      <c r="CU306" s="23">
        <v>0</v>
      </c>
      <c r="CV306" s="24">
        <v>22</v>
      </c>
      <c r="CW306" s="23" t="s">
        <v>138</v>
      </c>
      <c r="CX306" s="24" t="s">
        <v>138</v>
      </c>
      <c r="CY306" s="23">
        <v>0</v>
      </c>
      <c r="CZ306" s="24">
        <v>25</v>
      </c>
      <c r="DA306" s="23" t="s">
        <v>138</v>
      </c>
      <c r="DB306" s="24" t="s">
        <v>138</v>
      </c>
      <c r="DC306" s="25">
        <v>0.31</v>
      </c>
      <c r="DD306" s="24">
        <v>23</v>
      </c>
      <c r="DE306" s="25">
        <v>0</v>
      </c>
      <c r="DF306" s="23">
        <v>0</v>
      </c>
      <c r="DG306" s="25">
        <v>0.62</v>
      </c>
      <c r="DH306" s="24">
        <v>39</v>
      </c>
      <c r="DI306" s="25">
        <v>0.01</v>
      </c>
      <c r="DJ306" s="24">
        <v>1</v>
      </c>
      <c r="DK306" s="25" t="s">
        <v>138</v>
      </c>
      <c r="DL306" s="24" t="s">
        <v>138</v>
      </c>
      <c r="DM306" s="25">
        <v>0.62</v>
      </c>
      <c r="DN306" s="24">
        <v>39</v>
      </c>
      <c r="DO306" s="25" t="s">
        <v>138</v>
      </c>
      <c r="DP306" s="24" t="s">
        <v>138</v>
      </c>
      <c r="DQ306" s="24" t="s">
        <v>138</v>
      </c>
      <c r="DR306" s="26" t="s">
        <v>138</v>
      </c>
      <c r="DS306" s="23" t="s">
        <v>138</v>
      </c>
      <c r="DT306" s="24">
        <v>18</v>
      </c>
      <c r="DU306" s="26">
        <v>0</v>
      </c>
      <c r="DV306" s="23">
        <v>0</v>
      </c>
      <c r="DW306" s="24" t="s">
        <v>138</v>
      </c>
      <c r="DX306" s="27" t="s">
        <v>138</v>
      </c>
      <c r="DY306" s="23" t="s">
        <v>138</v>
      </c>
      <c r="DZ306" s="15" t="s">
        <v>178</v>
      </c>
      <c r="EA306" s="22">
        <v>43622</v>
      </c>
      <c r="EB306" s="17" t="s">
        <v>138</v>
      </c>
      <c r="EC306" s="22" t="s">
        <v>138</v>
      </c>
      <c r="ED306" s="15" t="s">
        <v>138</v>
      </c>
      <c r="EE306" s="14" t="str">
        <f>HYPERLINK("https://my.pitchbook.com?c=100640-53", "View company online")</f>
        <v>View company online</v>
      </c>
    </row>
    <row r="307" spans="1:135">
      <c r="A307" s="28" t="s">
        <v>6582</v>
      </c>
      <c r="B307" s="28" t="s">
        <v>6583</v>
      </c>
      <c r="C307" s="28" t="s">
        <v>6584</v>
      </c>
      <c r="D307" s="28" t="s">
        <v>138</v>
      </c>
      <c r="E307" s="28" t="s">
        <v>6585</v>
      </c>
      <c r="F307" s="28" t="s">
        <v>6582</v>
      </c>
      <c r="G307" s="28" t="s">
        <v>6586</v>
      </c>
      <c r="H307" s="28" t="s">
        <v>322</v>
      </c>
      <c r="I307" s="28" t="s">
        <v>323</v>
      </c>
      <c r="J307" s="28" t="s">
        <v>2084</v>
      </c>
      <c r="K307" s="28" t="s">
        <v>6587</v>
      </c>
      <c r="L307" s="28" t="s">
        <v>215</v>
      </c>
      <c r="M307" s="28" t="s">
        <v>6588</v>
      </c>
      <c r="N307" s="28" t="s">
        <v>147</v>
      </c>
      <c r="O307" s="29">
        <v>22.5</v>
      </c>
      <c r="P307" s="28" t="s">
        <v>148</v>
      </c>
      <c r="Q307" s="28" t="s">
        <v>149</v>
      </c>
      <c r="R307" s="28" t="s">
        <v>174</v>
      </c>
      <c r="S307" s="28" t="s">
        <v>6589</v>
      </c>
      <c r="T307" s="30">
        <v>52</v>
      </c>
      <c r="U307" s="28" t="s">
        <v>6590</v>
      </c>
      <c r="V307" s="28" t="s">
        <v>138</v>
      </c>
      <c r="W307" s="28" t="s">
        <v>138</v>
      </c>
      <c r="X307" s="31">
        <v>2010</v>
      </c>
      <c r="Y307" s="28" t="s">
        <v>138</v>
      </c>
      <c r="Z307" s="28" t="s">
        <v>138</v>
      </c>
      <c r="AA307" s="28" t="s">
        <v>138</v>
      </c>
      <c r="AB307" s="32" t="s">
        <v>138</v>
      </c>
      <c r="AC307" s="32" t="s">
        <v>138</v>
      </c>
      <c r="AD307" s="32" t="s">
        <v>138</v>
      </c>
      <c r="AE307" s="32" t="s">
        <v>138</v>
      </c>
      <c r="AF307" s="32" t="s">
        <v>138</v>
      </c>
      <c r="AG307" s="28" t="s">
        <v>138</v>
      </c>
      <c r="AH307" s="32" t="s">
        <v>138</v>
      </c>
      <c r="AI307" s="32" t="s">
        <v>138</v>
      </c>
      <c r="AJ307" s="32" t="s">
        <v>138</v>
      </c>
      <c r="AK307" s="28" t="s">
        <v>6591</v>
      </c>
      <c r="AL307" s="28" t="s">
        <v>6592</v>
      </c>
      <c r="AM307" s="28" t="s">
        <v>6593</v>
      </c>
      <c r="AN307" s="28" t="s">
        <v>138</v>
      </c>
      <c r="AO307" s="28" t="s">
        <v>6594</v>
      </c>
      <c r="AP307" s="28" t="s">
        <v>307</v>
      </c>
      <c r="AQ307" s="28" t="s">
        <v>6595</v>
      </c>
      <c r="AR307" s="28" t="s">
        <v>138</v>
      </c>
      <c r="AS307" s="28" t="s">
        <v>310</v>
      </c>
      <c r="AT307" s="28" t="s">
        <v>200</v>
      </c>
      <c r="AU307" s="28" t="s">
        <v>798</v>
      </c>
      <c r="AV307" s="28" t="s">
        <v>162</v>
      </c>
      <c r="AW307" s="28" t="s">
        <v>6594</v>
      </c>
      <c r="AX307" s="28" t="s">
        <v>138</v>
      </c>
      <c r="AY307" s="28" t="s">
        <v>138</v>
      </c>
      <c r="AZ307" s="28" t="s">
        <v>164</v>
      </c>
      <c r="BA307" s="28" t="s">
        <v>165</v>
      </c>
      <c r="BB307" s="28" t="s">
        <v>6596</v>
      </c>
      <c r="BC307" s="28" t="s">
        <v>6597</v>
      </c>
      <c r="BD307" s="33">
        <v>3</v>
      </c>
      <c r="BE307" s="28" t="s">
        <v>138</v>
      </c>
      <c r="BF307" s="28" t="s">
        <v>138</v>
      </c>
      <c r="BG307" s="28" t="s">
        <v>138</v>
      </c>
      <c r="BH307" s="28" t="s">
        <v>6598</v>
      </c>
      <c r="BI307" s="28" t="s">
        <v>138</v>
      </c>
      <c r="BJ307" s="28" t="s">
        <v>138</v>
      </c>
      <c r="BK307" s="28" t="s">
        <v>3826</v>
      </c>
      <c r="BL307" s="28" t="s">
        <v>138</v>
      </c>
      <c r="BM307" s="34">
        <v>40232</v>
      </c>
      <c r="BN307" s="29">
        <v>2</v>
      </c>
      <c r="BO307" s="28" t="s">
        <v>172</v>
      </c>
      <c r="BP307" s="29">
        <v>4.4000000000000004</v>
      </c>
      <c r="BQ307" s="28" t="s">
        <v>172</v>
      </c>
      <c r="BR307" s="28" t="s">
        <v>205</v>
      </c>
      <c r="BS307" s="28" t="s">
        <v>206</v>
      </c>
      <c r="BT307" s="28" t="s">
        <v>138</v>
      </c>
      <c r="BU307" s="28" t="s">
        <v>174</v>
      </c>
      <c r="BV307" s="28" t="s">
        <v>138</v>
      </c>
      <c r="BW307" s="28" t="s">
        <v>138</v>
      </c>
      <c r="BX307" s="28" t="s">
        <v>138</v>
      </c>
      <c r="BY307" s="28" t="s">
        <v>175</v>
      </c>
      <c r="BZ307" s="34">
        <v>42332</v>
      </c>
      <c r="CA307" s="29">
        <v>5.5</v>
      </c>
      <c r="CB307" s="28" t="s">
        <v>172</v>
      </c>
      <c r="CC307" s="29">
        <v>26.39</v>
      </c>
      <c r="CD307" s="28" t="s">
        <v>172</v>
      </c>
      <c r="CE307" s="28" t="s">
        <v>205</v>
      </c>
      <c r="CF307" s="28" t="s">
        <v>974</v>
      </c>
      <c r="CG307" s="28" t="s">
        <v>138</v>
      </c>
      <c r="CH307" s="28" t="s">
        <v>174</v>
      </c>
      <c r="CI307" s="28" t="s">
        <v>138</v>
      </c>
      <c r="CJ307" s="28" t="s">
        <v>138</v>
      </c>
      <c r="CK307" s="28" t="s">
        <v>138</v>
      </c>
      <c r="CL307" s="28" t="s">
        <v>175</v>
      </c>
      <c r="CM307" s="34" t="s">
        <v>138</v>
      </c>
      <c r="CN307" s="29" t="s">
        <v>138</v>
      </c>
      <c r="CO307" s="35">
        <v>-0.96</v>
      </c>
      <c r="CP307" s="36">
        <v>11</v>
      </c>
      <c r="CQ307" s="35">
        <v>-0.09</v>
      </c>
      <c r="CR307" s="35">
        <v>-9.89</v>
      </c>
      <c r="CS307" s="35">
        <v>-1.82</v>
      </c>
      <c r="CT307" s="36">
        <v>10</v>
      </c>
      <c r="CU307" s="35">
        <v>-0.09</v>
      </c>
      <c r="CV307" s="36">
        <v>5</v>
      </c>
      <c r="CW307" s="35" t="s">
        <v>138</v>
      </c>
      <c r="CX307" s="36" t="s">
        <v>138</v>
      </c>
      <c r="CY307" s="35">
        <v>-1.82</v>
      </c>
      <c r="CZ307" s="36">
        <v>12</v>
      </c>
      <c r="DA307" s="35">
        <v>-0.12</v>
      </c>
      <c r="DB307" s="36">
        <v>5</v>
      </c>
      <c r="DC307" s="37">
        <v>6.45</v>
      </c>
      <c r="DD307" s="36">
        <v>86</v>
      </c>
      <c r="DE307" s="37">
        <v>-0.09</v>
      </c>
      <c r="DF307" s="35">
        <v>-1.32</v>
      </c>
      <c r="DG307" s="37">
        <v>10.1</v>
      </c>
      <c r="DH307" s="36">
        <v>90</v>
      </c>
      <c r="DI307" s="37">
        <v>2.8</v>
      </c>
      <c r="DJ307" s="36">
        <v>68</v>
      </c>
      <c r="DK307" s="37" t="s">
        <v>138</v>
      </c>
      <c r="DL307" s="36" t="s">
        <v>138</v>
      </c>
      <c r="DM307" s="37">
        <v>10.1</v>
      </c>
      <c r="DN307" s="36">
        <v>89</v>
      </c>
      <c r="DO307" s="37">
        <v>1.39</v>
      </c>
      <c r="DP307" s="36">
        <v>57</v>
      </c>
      <c r="DQ307" s="36">
        <v>281</v>
      </c>
      <c r="DR307" s="38">
        <v>18</v>
      </c>
      <c r="DS307" s="35">
        <v>6.84</v>
      </c>
      <c r="DT307" s="36">
        <v>295</v>
      </c>
      <c r="DU307" s="38">
        <v>-5</v>
      </c>
      <c r="DV307" s="35">
        <v>-1.67</v>
      </c>
      <c r="DW307" s="36">
        <v>498</v>
      </c>
      <c r="DX307" s="39">
        <v>-1</v>
      </c>
      <c r="DY307" s="35">
        <v>-0.2</v>
      </c>
      <c r="DZ307" s="28" t="s">
        <v>178</v>
      </c>
      <c r="EA307" s="34">
        <v>43599</v>
      </c>
      <c r="EB307" s="29">
        <v>26.39</v>
      </c>
      <c r="EC307" s="34">
        <v>42332</v>
      </c>
      <c r="ED307" s="28" t="s">
        <v>205</v>
      </c>
      <c r="EE307" s="40" t="str">
        <f>HYPERLINK("https://my.pitchbook.com?c=55465-93", "View company online")</f>
        <v>View company online</v>
      </c>
    </row>
    <row r="308" spans="1:135">
      <c r="A308" s="15" t="s">
        <v>6599</v>
      </c>
      <c r="B308" s="15" t="s">
        <v>6600</v>
      </c>
      <c r="C308" s="15" t="s">
        <v>138</v>
      </c>
      <c r="D308" s="15" t="s">
        <v>138</v>
      </c>
      <c r="E308" s="15" t="s">
        <v>138</v>
      </c>
      <c r="F308" s="15" t="s">
        <v>6599</v>
      </c>
      <c r="G308" s="15" t="s">
        <v>6601</v>
      </c>
      <c r="H308" s="15" t="s">
        <v>322</v>
      </c>
      <c r="I308" s="15" t="s">
        <v>323</v>
      </c>
      <c r="J308" s="15" t="s">
        <v>539</v>
      </c>
      <c r="K308" s="15" t="s">
        <v>6602</v>
      </c>
      <c r="L308" s="15" t="s">
        <v>415</v>
      </c>
      <c r="M308" s="15" t="s">
        <v>6603</v>
      </c>
      <c r="N308" s="15" t="s">
        <v>147</v>
      </c>
      <c r="O308" s="17">
        <v>0.61</v>
      </c>
      <c r="P308" s="15" t="s">
        <v>148</v>
      </c>
      <c r="Q308" s="15" t="s">
        <v>149</v>
      </c>
      <c r="R308" s="15" t="s">
        <v>174</v>
      </c>
      <c r="S308" s="15" t="s">
        <v>6604</v>
      </c>
      <c r="T308" s="18" t="s">
        <v>138</v>
      </c>
      <c r="U308" s="15" t="s">
        <v>138</v>
      </c>
      <c r="V308" s="15" t="s">
        <v>138</v>
      </c>
      <c r="W308" s="15" t="s">
        <v>138</v>
      </c>
      <c r="X308" s="19" t="s">
        <v>138</v>
      </c>
      <c r="Y308" s="15" t="s">
        <v>138</v>
      </c>
      <c r="Z308" s="15" t="s">
        <v>138</v>
      </c>
      <c r="AA308" s="15" t="s">
        <v>138</v>
      </c>
      <c r="AB308" s="20" t="s">
        <v>138</v>
      </c>
      <c r="AC308" s="20" t="s">
        <v>138</v>
      </c>
      <c r="AD308" s="20" t="s">
        <v>138</v>
      </c>
      <c r="AE308" s="20" t="s">
        <v>138</v>
      </c>
      <c r="AF308" s="20" t="s">
        <v>138</v>
      </c>
      <c r="AG308" s="15" t="s">
        <v>138</v>
      </c>
      <c r="AH308" s="20" t="s">
        <v>138</v>
      </c>
      <c r="AI308" s="20" t="s">
        <v>138</v>
      </c>
      <c r="AJ308" s="20" t="s">
        <v>138</v>
      </c>
      <c r="AK308" s="15" t="s">
        <v>6605</v>
      </c>
      <c r="AL308" s="15" t="s">
        <v>6606</v>
      </c>
      <c r="AM308" s="15" t="s">
        <v>304</v>
      </c>
      <c r="AN308" s="15" t="s">
        <v>6607</v>
      </c>
      <c r="AO308" s="15" t="s">
        <v>138</v>
      </c>
      <c r="AP308" s="15" t="s">
        <v>6608</v>
      </c>
      <c r="AQ308" s="15" t="s">
        <v>6609</v>
      </c>
      <c r="AR308" s="15" t="s">
        <v>6610</v>
      </c>
      <c r="AS308" s="15" t="s">
        <v>6611</v>
      </c>
      <c r="AT308" s="15" t="s">
        <v>138</v>
      </c>
      <c r="AU308" s="15" t="s">
        <v>6612</v>
      </c>
      <c r="AV308" s="15" t="s">
        <v>1614</v>
      </c>
      <c r="AW308" s="15" t="s">
        <v>138</v>
      </c>
      <c r="AX308" s="15" t="s">
        <v>138</v>
      </c>
      <c r="AY308" s="15" t="s">
        <v>6613</v>
      </c>
      <c r="AZ308" s="15" t="s">
        <v>530</v>
      </c>
      <c r="BA308" s="15" t="s">
        <v>1616</v>
      </c>
      <c r="BB308" s="15" t="s">
        <v>6614</v>
      </c>
      <c r="BC308" s="15" t="s">
        <v>6615</v>
      </c>
      <c r="BD308" s="21">
        <v>11</v>
      </c>
      <c r="BE308" s="15" t="s">
        <v>138</v>
      </c>
      <c r="BF308" s="15" t="s">
        <v>138</v>
      </c>
      <c r="BG308" s="15" t="s">
        <v>138</v>
      </c>
      <c r="BH308" s="15" t="s">
        <v>6616</v>
      </c>
      <c r="BI308" s="15" t="s">
        <v>138</v>
      </c>
      <c r="BJ308" s="15" t="s">
        <v>138</v>
      </c>
      <c r="BK308" s="15" t="s">
        <v>6617</v>
      </c>
      <c r="BL308" s="15" t="s">
        <v>6617</v>
      </c>
      <c r="BM308" s="22">
        <v>42150</v>
      </c>
      <c r="BN308" s="17" t="s">
        <v>138</v>
      </c>
      <c r="BO308" s="15" t="s">
        <v>138</v>
      </c>
      <c r="BP308" s="17" t="s">
        <v>138</v>
      </c>
      <c r="BQ308" s="15" t="s">
        <v>138</v>
      </c>
      <c r="BR308" s="15" t="s">
        <v>316</v>
      </c>
      <c r="BS308" s="15" t="s">
        <v>138</v>
      </c>
      <c r="BT308" s="15" t="s">
        <v>138</v>
      </c>
      <c r="BU308" s="15" t="s">
        <v>177</v>
      </c>
      <c r="BV308" s="15" t="s">
        <v>138</v>
      </c>
      <c r="BW308" s="15" t="s">
        <v>138</v>
      </c>
      <c r="BX308" s="15" t="s">
        <v>138</v>
      </c>
      <c r="BY308" s="15" t="s">
        <v>175</v>
      </c>
      <c r="BZ308" s="22">
        <v>43101</v>
      </c>
      <c r="CA308" s="17" t="s">
        <v>138</v>
      </c>
      <c r="CB308" s="15" t="s">
        <v>138</v>
      </c>
      <c r="CC308" s="17" t="s">
        <v>138</v>
      </c>
      <c r="CD308" s="15" t="s">
        <v>138</v>
      </c>
      <c r="CE308" s="15" t="s">
        <v>205</v>
      </c>
      <c r="CF308" s="15" t="s">
        <v>138</v>
      </c>
      <c r="CG308" s="15" t="s">
        <v>138</v>
      </c>
      <c r="CH308" s="15" t="s">
        <v>174</v>
      </c>
      <c r="CI308" s="15" t="s">
        <v>138</v>
      </c>
      <c r="CJ308" s="15" t="s">
        <v>138</v>
      </c>
      <c r="CK308" s="15" t="s">
        <v>138</v>
      </c>
      <c r="CL308" s="15" t="s">
        <v>175</v>
      </c>
      <c r="CM308" s="22" t="s">
        <v>138</v>
      </c>
      <c r="CN308" s="17" t="s">
        <v>138</v>
      </c>
      <c r="CO308" s="23">
        <v>0.02</v>
      </c>
      <c r="CP308" s="24">
        <v>85</v>
      </c>
      <c r="CQ308" s="23">
        <v>0.05</v>
      </c>
      <c r="CR308" s="23">
        <v>203.4</v>
      </c>
      <c r="CS308" s="23">
        <v>0</v>
      </c>
      <c r="CT308" s="24">
        <v>23</v>
      </c>
      <c r="CU308" s="23">
        <v>0.05</v>
      </c>
      <c r="CV308" s="24">
        <v>58</v>
      </c>
      <c r="CW308" s="23" t="s">
        <v>138</v>
      </c>
      <c r="CX308" s="24" t="s">
        <v>138</v>
      </c>
      <c r="CY308" s="23">
        <v>0</v>
      </c>
      <c r="CZ308" s="24">
        <v>25</v>
      </c>
      <c r="DA308" s="23">
        <v>0.05</v>
      </c>
      <c r="DB308" s="24">
        <v>64</v>
      </c>
      <c r="DC308" s="25">
        <v>1.07</v>
      </c>
      <c r="DD308" s="24">
        <v>53</v>
      </c>
      <c r="DE308" s="25">
        <v>0</v>
      </c>
      <c r="DF308" s="23">
        <v>0.46</v>
      </c>
      <c r="DG308" s="25">
        <v>1.38</v>
      </c>
      <c r="DH308" s="24">
        <v>58</v>
      </c>
      <c r="DI308" s="25">
        <v>0.76</v>
      </c>
      <c r="DJ308" s="24">
        <v>44</v>
      </c>
      <c r="DK308" s="25" t="s">
        <v>138</v>
      </c>
      <c r="DL308" s="24" t="s">
        <v>138</v>
      </c>
      <c r="DM308" s="25">
        <v>1.38</v>
      </c>
      <c r="DN308" s="24">
        <v>58</v>
      </c>
      <c r="DO308" s="25">
        <v>0.76</v>
      </c>
      <c r="DP308" s="24">
        <v>45</v>
      </c>
      <c r="DQ308" s="24" t="s">
        <v>138</v>
      </c>
      <c r="DR308" s="26" t="s">
        <v>138</v>
      </c>
      <c r="DS308" s="23" t="s">
        <v>138</v>
      </c>
      <c r="DT308" s="24">
        <v>40</v>
      </c>
      <c r="DU308" s="26">
        <v>0</v>
      </c>
      <c r="DV308" s="23">
        <v>0</v>
      </c>
      <c r="DW308" s="24">
        <v>270</v>
      </c>
      <c r="DX308" s="27">
        <v>1</v>
      </c>
      <c r="DY308" s="23">
        <v>0.37</v>
      </c>
      <c r="DZ308" s="15" t="s">
        <v>178</v>
      </c>
      <c r="EA308" s="22">
        <v>43544</v>
      </c>
      <c r="EB308" s="17">
        <v>4.1399999999999997</v>
      </c>
      <c r="EC308" s="22">
        <v>43076</v>
      </c>
      <c r="ED308" s="15" t="s">
        <v>205</v>
      </c>
      <c r="EE308" s="14" t="str">
        <f>HYPERLINK("https://my.pitchbook.com?c=121519-54", "View company online")</f>
        <v>View company online</v>
      </c>
    </row>
    <row r="309" spans="1:135">
      <c r="A309" s="28" t="s">
        <v>6618</v>
      </c>
      <c r="B309" s="28" t="s">
        <v>6619</v>
      </c>
      <c r="C309" s="28" t="s">
        <v>138</v>
      </c>
      <c r="D309" s="28" t="s">
        <v>138</v>
      </c>
      <c r="E309" s="28" t="s">
        <v>138</v>
      </c>
      <c r="F309" s="28" t="s">
        <v>6618</v>
      </c>
      <c r="G309" s="28" t="s">
        <v>6620</v>
      </c>
      <c r="H309" s="28" t="s">
        <v>238</v>
      </c>
      <c r="I309" s="28" t="s">
        <v>1018</v>
      </c>
      <c r="J309" s="28" t="s">
        <v>1019</v>
      </c>
      <c r="K309" s="28" t="s">
        <v>6621</v>
      </c>
      <c r="L309" s="28" t="s">
        <v>6622</v>
      </c>
      <c r="M309" s="28" t="s">
        <v>6623</v>
      </c>
      <c r="N309" s="28" t="s">
        <v>147</v>
      </c>
      <c r="O309" s="29" t="s">
        <v>138</v>
      </c>
      <c r="P309" s="28" t="s">
        <v>610</v>
      </c>
      <c r="Q309" s="28" t="s">
        <v>149</v>
      </c>
      <c r="R309" s="28" t="s">
        <v>174</v>
      </c>
      <c r="S309" s="28" t="s">
        <v>6624</v>
      </c>
      <c r="T309" s="30" t="s">
        <v>138</v>
      </c>
      <c r="U309" s="28" t="s">
        <v>138</v>
      </c>
      <c r="V309" s="28" t="s">
        <v>138</v>
      </c>
      <c r="W309" s="28" t="s">
        <v>138</v>
      </c>
      <c r="X309" s="31">
        <v>2017</v>
      </c>
      <c r="Y309" s="28" t="s">
        <v>138</v>
      </c>
      <c r="Z309" s="28" t="s">
        <v>138</v>
      </c>
      <c r="AA309" s="28" t="s">
        <v>138</v>
      </c>
      <c r="AB309" s="32" t="s">
        <v>138</v>
      </c>
      <c r="AC309" s="32" t="s">
        <v>138</v>
      </c>
      <c r="AD309" s="32" t="s">
        <v>138</v>
      </c>
      <c r="AE309" s="32" t="s">
        <v>138</v>
      </c>
      <c r="AF309" s="32" t="s">
        <v>138</v>
      </c>
      <c r="AG309" s="28" t="s">
        <v>138</v>
      </c>
      <c r="AH309" s="32" t="s">
        <v>138</v>
      </c>
      <c r="AI309" s="32" t="s">
        <v>138</v>
      </c>
      <c r="AJ309" s="32" t="s">
        <v>138</v>
      </c>
      <c r="AK309" s="28" t="s">
        <v>6625</v>
      </c>
      <c r="AL309" s="28" t="s">
        <v>6626</v>
      </c>
      <c r="AM309" s="28" t="s">
        <v>6627</v>
      </c>
      <c r="AN309" s="28" t="s">
        <v>6628</v>
      </c>
      <c r="AO309" s="28" t="s">
        <v>138</v>
      </c>
      <c r="AP309" s="28" t="s">
        <v>1195</v>
      </c>
      <c r="AQ309" s="28" t="s">
        <v>6629</v>
      </c>
      <c r="AR309" s="28" t="s">
        <v>6630</v>
      </c>
      <c r="AS309" s="28" t="s">
        <v>1198</v>
      </c>
      <c r="AT309" s="28" t="s">
        <v>138</v>
      </c>
      <c r="AU309" s="28" t="s">
        <v>6631</v>
      </c>
      <c r="AV309" s="28" t="s">
        <v>1200</v>
      </c>
      <c r="AW309" s="28" t="s">
        <v>138</v>
      </c>
      <c r="AX309" s="28" t="s">
        <v>138</v>
      </c>
      <c r="AY309" s="28" t="s">
        <v>6632</v>
      </c>
      <c r="AZ309" s="28" t="s">
        <v>452</v>
      </c>
      <c r="BA309" s="28" t="s">
        <v>453</v>
      </c>
      <c r="BB309" s="28" t="s">
        <v>6633</v>
      </c>
      <c r="BC309" s="28" t="s">
        <v>6634</v>
      </c>
      <c r="BD309" s="33">
        <v>10</v>
      </c>
      <c r="BE309" s="28" t="s">
        <v>138</v>
      </c>
      <c r="BF309" s="28" t="s">
        <v>138</v>
      </c>
      <c r="BG309" s="28" t="s">
        <v>138</v>
      </c>
      <c r="BH309" s="28" t="s">
        <v>6635</v>
      </c>
      <c r="BI309" s="28" t="s">
        <v>138</v>
      </c>
      <c r="BJ309" s="28" t="s">
        <v>138</v>
      </c>
      <c r="BK309" s="28" t="s">
        <v>138</v>
      </c>
      <c r="BL309" s="28" t="s">
        <v>6636</v>
      </c>
      <c r="BM309" s="34">
        <v>42873</v>
      </c>
      <c r="BN309" s="29" t="s">
        <v>138</v>
      </c>
      <c r="BO309" s="28" t="s">
        <v>138</v>
      </c>
      <c r="BP309" s="29" t="s">
        <v>138</v>
      </c>
      <c r="BQ309" s="28" t="s">
        <v>138</v>
      </c>
      <c r="BR309" s="28" t="s">
        <v>234</v>
      </c>
      <c r="BS309" s="28" t="s">
        <v>234</v>
      </c>
      <c r="BT309" s="28" t="s">
        <v>138</v>
      </c>
      <c r="BU309" s="28" t="s">
        <v>174</v>
      </c>
      <c r="BV309" s="28" t="s">
        <v>138</v>
      </c>
      <c r="BW309" s="28" t="s">
        <v>138</v>
      </c>
      <c r="BX309" s="28" t="s">
        <v>138</v>
      </c>
      <c r="BY309" s="28" t="s">
        <v>175</v>
      </c>
      <c r="BZ309" s="34">
        <v>43432</v>
      </c>
      <c r="CA309" s="29" t="s">
        <v>138</v>
      </c>
      <c r="CB309" s="28" t="s">
        <v>138</v>
      </c>
      <c r="CC309" s="29" t="s">
        <v>138</v>
      </c>
      <c r="CD309" s="28" t="s">
        <v>138</v>
      </c>
      <c r="CE309" s="28" t="s">
        <v>205</v>
      </c>
      <c r="CF309" s="28" t="s">
        <v>206</v>
      </c>
      <c r="CG309" s="28" t="s">
        <v>138</v>
      </c>
      <c r="CH309" s="28" t="s">
        <v>174</v>
      </c>
      <c r="CI309" s="28" t="s">
        <v>1328</v>
      </c>
      <c r="CJ309" s="28" t="s">
        <v>138</v>
      </c>
      <c r="CK309" s="28" t="s">
        <v>138</v>
      </c>
      <c r="CL309" s="28" t="s">
        <v>175</v>
      </c>
      <c r="CM309" s="34">
        <v>43432</v>
      </c>
      <c r="CN309" s="29" t="s">
        <v>138</v>
      </c>
      <c r="CO309" s="35">
        <v>0</v>
      </c>
      <c r="CP309" s="36">
        <v>26</v>
      </c>
      <c r="CQ309" s="35">
        <v>0</v>
      </c>
      <c r="CR309" s="35">
        <v>0</v>
      </c>
      <c r="CS309" s="35">
        <v>0</v>
      </c>
      <c r="CT309" s="36">
        <v>23</v>
      </c>
      <c r="CU309" s="35" t="s">
        <v>138</v>
      </c>
      <c r="CV309" s="36" t="s">
        <v>138</v>
      </c>
      <c r="CW309" s="35" t="s">
        <v>138</v>
      </c>
      <c r="CX309" s="36" t="s">
        <v>138</v>
      </c>
      <c r="CY309" s="35">
        <v>0</v>
      </c>
      <c r="CZ309" s="36">
        <v>25</v>
      </c>
      <c r="DA309" s="35" t="s">
        <v>138</v>
      </c>
      <c r="DB309" s="36" t="s">
        <v>138</v>
      </c>
      <c r="DC309" s="37">
        <v>0.21</v>
      </c>
      <c r="DD309" s="36">
        <v>15</v>
      </c>
      <c r="DE309" s="37">
        <v>0</v>
      </c>
      <c r="DF309" s="35">
        <v>0</v>
      </c>
      <c r="DG309" s="37">
        <v>0.21</v>
      </c>
      <c r="DH309" s="36">
        <v>16</v>
      </c>
      <c r="DI309" s="37" t="s">
        <v>138</v>
      </c>
      <c r="DJ309" s="36" t="s">
        <v>138</v>
      </c>
      <c r="DK309" s="37" t="s">
        <v>138</v>
      </c>
      <c r="DL309" s="36" t="s">
        <v>138</v>
      </c>
      <c r="DM309" s="37">
        <v>0.21</v>
      </c>
      <c r="DN309" s="36">
        <v>16</v>
      </c>
      <c r="DO309" s="37" t="s">
        <v>138</v>
      </c>
      <c r="DP309" s="36" t="s">
        <v>138</v>
      </c>
      <c r="DQ309" s="36">
        <v>238</v>
      </c>
      <c r="DR309" s="38">
        <v>-27</v>
      </c>
      <c r="DS309" s="35">
        <v>-10.19</v>
      </c>
      <c r="DT309" s="36">
        <v>6</v>
      </c>
      <c r="DU309" s="38">
        <v>0</v>
      </c>
      <c r="DV309" s="35">
        <v>0</v>
      </c>
      <c r="DW309" s="36" t="s">
        <v>138</v>
      </c>
      <c r="DX309" s="39" t="s">
        <v>138</v>
      </c>
      <c r="DY309" s="35" t="s">
        <v>138</v>
      </c>
      <c r="DZ309" s="28" t="s">
        <v>178</v>
      </c>
      <c r="EA309" s="34">
        <v>43488</v>
      </c>
      <c r="EB309" s="29" t="s">
        <v>138</v>
      </c>
      <c r="EC309" s="34" t="s">
        <v>138</v>
      </c>
      <c r="ED309" s="28" t="s">
        <v>138</v>
      </c>
      <c r="EE309" s="40" t="str">
        <f>HYPERLINK("https://my.pitchbook.com?c=229820-23", "View company online")</f>
        <v>View company online</v>
      </c>
    </row>
    <row r="310" spans="1:135">
      <c r="A310" s="15" t="s">
        <v>6637</v>
      </c>
      <c r="B310" s="15" t="s">
        <v>6638</v>
      </c>
      <c r="C310" s="15" t="s">
        <v>138</v>
      </c>
      <c r="D310" s="15" t="s">
        <v>138</v>
      </c>
      <c r="E310" s="15" t="s">
        <v>138</v>
      </c>
      <c r="F310" s="15" t="s">
        <v>6637</v>
      </c>
      <c r="G310" s="15" t="s">
        <v>6639</v>
      </c>
      <c r="H310" s="15" t="s">
        <v>322</v>
      </c>
      <c r="I310" s="15" t="s">
        <v>323</v>
      </c>
      <c r="J310" s="15" t="s">
        <v>413</v>
      </c>
      <c r="K310" s="15" t="s">
        <v>6640</v>
      </c>
      <c r="L310" s="15" t="s">
        <v>3509</v>
      </c>
      <c r="M310" s="15" t="s">
        <v>6641</v>
      </c>
      <c r="N310" s="15" t="s">
        <v>147</v>
      </c>
      <c r="O310" s="17">
        <v>35.5</v>
      </c>
      <c r="P310" s="15" t="s">
        <v>610</v>
      </c>
      <c r="Q310" s="15" t="s">
        <v>149</v>
      </c>
      <c r="R310" s="15" t="s">
        <v>174</v>
      </c>
      <c r="S310" s="15" t="s">
        <v>6642</v>
      </c>
      <c r="T310" s="18">
        <v>150</v>
      </c>
      <c r="U310" s="15" t="s">
        <v>6643</v>
      </c>
      <c r="V310" s="15" t="s">
        <v>138</v>
      </c>
      <c r="W310" s="15" t="s">
        <v>138</v>
      </c>
      <c r="X310" s="19">
        <v>2016</v>
      </c>
      <c r="Y310" s="15" t="s">
        <v>138</v>
      </c>
      <c r="Z310" s="15" t="s">
        <v>138</v>
      </c>
      <c r="AA310" s="15" t="s">
        <v>138</v>
      </c>
      <c r="AB310" s="20" t="s">
        <v>138</v>
      </c>
      <c r="AC310" s="20" t="s">
        <v>138</v>
      </c>
      <c r="AD310" s="20" t="s">
        <v>138</v>
      </c>
      <c r="AE310" s="20" t="s">
        <v>138</v>
      </c>
      <c r="AF310" s="20" t="s">
        <v>138</v>
      </c>
      <c r="AG310" s="15" t="s">
        <v>138</v>
      </c>
      <c r="AH310" s="20" t="s">
        <v>138</v>
      </c>
      <c r="AI310" s="20" t="s">
        <v>138</v>
      </c>
      <c r="AJ310" s="20" t="s">
        <v>138</v>
      </c>
      <c r="AK310" s="15" t="s">
        <v>6644</v>
      </c>
      <c r="AL310" s="15" t="s">
        <v>6645</v>
      </c>
      <c r="AM310" s="15" t="s">
        <v>986</v>
      </c>
      <c r="AN310" s="15" t="s">
        <v>6646</v>
      </c>
      <c r="AO310" s="15" t="s">
        <v>6647</v>
      </c>
      <c r="AP310" s="15" t="s">
        <v>6648</v>
      </c>
      <c r="AQ310" s="15" t="s">
        <v>6649</v>
      </c>
      <c r="AR310" s="15" t="s">
        <v>1637</v>
      </c>
      <c r="AS310" s="15" t="s">
        <v>6650</v>
      </c>
      <c r="AT310" s="15" t="s">
        <v>200</v>
      </c>
      <c r="AU310" s="15" t="s">
        <v>6651</v>
      </c>
      <c r="AV310" s="15" t="s">
        <v>162</v>
      </c>
      <c r="AW310" s="15" t="s">
        <v>6652</v>
      </c>
      <c r="AX310" s="15" t="s">
        <v>138</v>
      </c>
      <c r="AY310" s="15" t="s">
        <v>6653</v>
      </c>
      <c r="AZ310" s="15" t="s">
        <v>164</v>
      </c>
      <c r="BA310" s="15" t="s">
        <v>165</v>
      </c>
      <c r="BB310" s="15" t="s">
        <v>6654</v>
      </c>
      <c r="BC310" s="15" t="s">
        <v>6655</v>
      </c>
      <c r="BD310" s="21">
        <v>8</v>
      </c>
      <c r="BE310" s="15" t="s">
        <v>138</v>
      </c>
      <c r="BF310" s="15" t="s">
        <v>138</v>
      </c>
      <c r="BG310" s="15" t="s">
        <v>138</v>
      </c>
      <c r="BH310" s="15" t="s">
        <v>6656</v>
      </c>
      <c r="BI310" s="15" t="s">
        <v>138</v>
      </c>
      <c r="BJ310" s="15" t="s">
        <v>138</v>
      </c>
      <c r="BK310" s="15" t="s">
        <v>138</v>
      </c>
      <c r="BL310" s="15" t="s">
        <v>138</v>
      </c>
      <c r="BM310" s="22">
        <v>42440</v>
      </c>
      <c r="BN310" s="17">
        <v>3</v>
      </c>
      <c r="BO310" s="15" t="s">
        <v>1178</v>
      </c>
      <c r="BP310" s="17">
        <v>18</v>
      </c>
      <c r="BQ310" s="15" t="s">
        <v>172</v>
      </c>
      <c r="BR310" s="15" t="s">
        <v>234</v>
      </c>
      <c r="BS310" s="15" t="s">
        <v>234</v>
      </c>
      <c r="BT310" s="15" t="s">
        <v>138</v>
      </c>
      <c r="BU310" s="15" t="s">
        <v>174</v>
      </c>
      <c r="BV310" s="15" t="s">
        <v>138</v>
      </c>
      <c r="BW310" s="15" t="s">
        <v>138</v>
      </c>
      <c r="BX310" s="15" t="s">
        <v>138</v>
      </c>
      <c r="BY310" s="15" t="s">
        <v>175</v>
      </c>
      <c r="BZ310" s="22">
        <v>43481</v>
      </c>
      <c r="CA310" s="17" t="s">
        <v>138</v>
      </c>
      <c r="CB310" s="15" t="s">
        <v>138</v>
      </c>
      <c r="CC310" s="17" t="s">
        <v>138</v>
      </c>
      <c r="CD310" s="15" t="s">
        <v>138</v>
      </c>
      <c r="CE310" s="15" t="s">
        <v>205</v>
      </c>
      <c r="CF310" s="15" t="s">
        <v>138</v>
      </c>
      <c r="CG310" s="15" t="s">
        <v>138</v>
      </c>
      <c r="CH310" s="15" t="s">
        <v>174</v>
      </c>
      <c r="CI310" s="15" t="s">
        <v>138</v>
      </c>
      <c r="CJ310" s="15" t="s">
        <v>138</v>
      </c>
      <c r="CK310" s="15" t="s">
        <v>138</v>
      </c>
      <c r="CL310" s="15" t="s">
        <v>175</v>
      </c>
      <c r="CM310" s="22" t="s">
        <v>138</v>
      </c>
      <c r="CN310" s="17" t="s">
        <v>138</v>
      </c>
      <c r="CO310" s="23">
        <v>0</v>
      </c>
      <c r="CP310" s="24">
        <v>26</v>
      </c>
      <c r="CQ310" s="23">
        <v>0</v>
      </c>
      <c r="CR310" s="23">
        <v>0</v>
      </c>
      <c r="CS310" s="23">
        <v>0</v>
      </c>
      <c r="CT310" s="24">
        <v>23</v>
      </c>
      <c r="CU310" s="23">
        <v>0</v>
      </c>
      <c r="CV310" s="24">
        <v>22</v>
      </c>
      <c r="CW310" s="23" t="s">
        <v>138</v>
      </c>
      <c r="CX310" s="24" t="s">
        <v>138</v>
      </c>
      <c r="CY310" s="23">
        <v>0</v>
      </c>
      <c r="CZ310" s="24">
        <v>25</v>
      </c>
      <c r="DA310" s="23">
        <v>0</v>
      </c>
      <c r="DB310" s="24">
        <v>22</v>
      </c>
      <c r="DC310" s="25">
        <v>1.41</v>
      </c>
      <c r="DD310" s="24">
        <v>59</v>
      </c>
      <c r="DE310" s="25">
        <v>0</v>
      </c>
      <c r="DF310" s="23">
        <v>0.15</v>
      </c>
      <c r="DG310" s="25">
        <v>2.59</v>
      </c>
      <c r="DH310" s="24">
        <v>72</v>
      </c>
      <c r="DI310" s="25">
        <v>0.24</v>
      </c>
      <c r="DJ310" s="24">
        <v>25</v>
      </c>
      <c r="DK310" s="25" t="s">
        <v>138</v>
      </c>
      <c r="DL310" s="24" t="s">
        <v>138</v>
      </c>
      <c r="DM310" s="25">
        <v>2.59</v>
      </c>
      <c r="DN310" s="24">
        <v>71</v>
      </c>
      <c r="DO310" s="25">
        <v>0.24</v>
      </c>
      <c r="DP310" s="24">
        <v>27</v>
      </c>
      <c r="DQ310" s="24">
        <v>153</v>
      </c>
      <c r="DR310" s="26">
        <v>-14</v>
      </c>
      <c r="DS310" s="23">
        <v>-8.3800000000000008</v>
      </c>
      <c r="DT310" s="24">
        <v>75</v>
      </c>
      <c r="DU310" s="26">
        <v>0</v>
      </c>
      <c r="DV310" s="23">
        <v>0</v>
      </c>
      <c r="DW310" s="24">
        <v>85</v>
      </c>
      <c r="DX310" s="27">
        <v>0</v>
      </c>
      <c r="DY310" s="23">
        <v>0</v>
      </c>
      <c r="DZ310" s="15" t="s">
        <v>178</v>
      </c>
      <c r="EA310" s="22">
        <v>43488</v>
      </c>
      <c r="EB310" s="17">
        <v>97</v>
      </c>
      <c r="EC310" s="22">
        <v>43294</v>
      </c>
      <c r="ED310" s="15" t="s">
        <v>205</v>
      </c>
      <c r="EE310" s="14" t="str">
        <f>HYPERLINK("https://my.pitchbook.com?c=171103-78", "View company online")</f>
        <v>View company online</v>
      </c>
    </row>
    <row r="311" spans="1:135">
      <c r="A311" s="28" t="s">
        <v>6657</v>
      </c>
      <c r="B311" s="28" t="s">
        <v>6658</v>
      </c>
      <c r="C311" s="28" t="s">
        <v>138</v>
      </c>
      <c r="D311" s="28" t="s">
        <v>138</v>
      </c>
      <c r="E311" s="28" t="s">
        <v>138</v>
      </c>
      <c r="F311" s="28" t="s">
        <v>6657</v>
      </c>
      <c r="G311" s="28" t="s">
        <v>6659</v>
      </c>
      <c r="H311" s="28" t="s">
        <v>141</v>
      </c>
      <c r="I311" s="28" t="s">
        <v>212</v>
      </c>
      <c r="J311" s="28" t="s">
        <v>3169</v>
      </c>
      <c r="K311" s="28" t="s">
        <v>6660</v>
      </c>
      <c r="L311" s="28" t="s">
        <v>3589</v>
      </c>
      <c r="M311" s="28" t="s">
        <v>6661</v>
      </c>
      <c r="N311" s="28" t="s">
        <v>147</v>
      </c>
      <c r="O311" s="29" t="s">
        <v>138</v>
      </c>
      <c r="P311" s="28" t="s">
        <v>148</v>
      </c>
      <c r="Q311" s="28" t="s">
        <v>149</v>
      </c>
      <c r="R311" s="28" t="s">
        <v>174</v>
      </c>
      <c r="S311" s="28" t="s">
        <v>6662</v>
      </c>
      <c r="T311" s="30">
        <v>21</v>
      </c>
      <c r="U311" s="28" t="s">
        <v>6663</v>
      </c>
      <c r="V311" s="28" t="s">
        <v>138</v>
      </c>
      <c r="W311" s="28" t="s">
        <v>138</v>
      </c>
      <c r="X311" s="31">
        <v>1970</v>
      </c>
      <c r="Y311" s="28" t="s">
        <v>138</v>
      </c>
      <c r="Z311" s="28" t="s">
        <v>138</v>
      </c>
      <c r="AA311" s="28" t="s">
        <v>138</v>
      </c>
      <c r="AB311" s="32" t="s">
        <v>138</v>
      </c>
      <c r="AC311" s="32" t="s">
        <v>138</v>
      </c>
      <c r="AD311" s="32" t="s">
        <v>138</v>
      </c>
      <c r="AE311" s="32" t="s">
        <v>138</v>
      </c>
      <c r="AF311" s="32" t="s">
        <v>138</v>
      </c>
      <c r="AG311" s="28" t="s">
        <v>138</v>
      </c>
      <c r="AH311" s="32" t="s">
        <v>138</v>
      </c>
      <c r="AI311" s="32" t="s">
        <v>138</v>
      </c>
      <c r="AJ311" s="32" t="s">
        <v>138</v>
      </c>
      <c r="AK311" s="28" t="s">
        <v>6664</v>
      </c>
      <c r="AL311" s="28" t="s">
        <v>6665</v>
      </c>
      <c r="AM311" s="28" t="s">
        <v>2949</v>
      </c>
      <c r="AN311" s="28" t="s">
        <v>6666</v>
      </c>
      <c r="AO311" s="28" t="s">
        <v>6667</v>
      </c>
      <c r="AP311" s="28" t="s">
        <v>3689</v>
      </c>
      <c r="AQ311" s="28" t="s">
        <v>6668</v>
      </c>
      <c r="AR311" s="28" t="s">
        <v>138</v>
      </c>
      <c r="AS311" s="28" t="s">
        <v>3691</v>
      </c>
      <c r="AT311" s="28" t="s">
        <v>138</v>
      </c>
      <c r="AU311" s="28" t="s">
        <v>6669</v>
      </c>
      <c r="AV311" s="28" t="s">
        <v>3693</v>
      </c>
      <c r="AW311" s="28" t="s">
        <v>6667</v>
      </c>
      <c r="AX311" s="28" t="s">
        <v>6670</v>
      </c>
      <c r="AY311" s="28" t="s">
        <v>6671</v>
      </c>
      <c r="AZ311" s="28" t="s">
        <v>530</v>
      </c>
      <c r="BA311" s="28" t="s">
        <v>531</v>
      </c>
      <c r="BB311" s="28" t="s">
        <v>6672</v>
      </c>
      <c r="BC311" s="28" t="s">
        <v>6673</v>
      </c>
      <c r="BD311" s="33">
        <v>1</v>
      </c>
      <c r="BE311" s="28" t="s">
        <v>138</v>
      </c>
      <c r="BF311" s="28" t="s">
        <v>138</v>
      </c>
      <c r="BG311" s="28" t="s">
        <v>138</v>
      </c>
      <c r="BH311" s="28" t="s">
        <v>138</v>
      </c>
      <c r="BI311" s="28" t="s">
        <v>138</v>
      </c>
      <c r="BJ311" s="28" t="s">
        <v>138</v>
      </c>
      <c r="BK311" s="28" t="s">
        <v>138</v>
      </c>
      <c r="BL311" s="28" t="s">
        <v>138</v>
      </c>
      <c r="BM311" s="34" t="s">
        <v>138</v>
      </c>
      <c r="BN311" s="29" t="s">
        <v>138</v>
      </c>
      <c r="BO311" s="28" t="s">
        <v>138</v>
      </c>
      <c r="BP311" s="29" t="s">
        <v>138</v>
      </c>
      <c r="BQ311" s="28" t="s">
        <v>138</v>
      </c>
      <c r="BR311" s="28" t="s">
        <v>173</v>
      </c>
      <c r="BS311" s="28" t="s">
        <v>138</v>
      </c>
      <c r="BT311" s="28" t="s">
        <v>138</v>
      </c>
      <c r="BU311" s="28" t="s">
        <v>174</v>
      </c>
      <c r="BV311" s="28" t="s">
        <v>138</v>
      </c>
      <c r="BW311" s="28" t="s">
        <v>138</v>
      </c>
      <c r="BX311" s="28" t="s">
        <v>138</v>
      </c>
      <c r="BY311" s="28" t="s">
        <v>175</v>
      </c>
      <c r="BZ311" s="34" t="s">
        <v>138</v>
      </c>
      <c r="CA311" s="29" t="s">
        <v>138</v>
      </c>
      <c r="CB311" s="28" t="s">
        <v>138</v>
      </c>
      <c r="CC311" s="29" t="s">
        <v>138</v>
      </c>
      <c r="CD311" s="28" t="s">
        <v>138</v>
      </c>
      <c r="CE311" s="28" t="s">
        <v>173</v>
      </c>
      <c r="CF311" s="28" t="s">
        <v>138</v>
      </c>
      <c r="CG311" s="28" t="s">
        <v>138</v>
      </c>
      <c r="CH311" s="28" t="s">
        <v>174</v>
      </c>
      <c r="CI311" s="28" t="s">
        <v>138</v>
      </c>
      <c r="CJ311" s="28" t="s">
        <v>138</v>
      </c>
      <c r="CK311" s="28" t="s">
        <v>138</v>
      </c>
      <c r="CL311" s="28" t="s">
        <v>175</v>
      </c>
      <c r="CM311" s="34" t="s">
        <v>138</v>
      </c>
      <c r="CN311" s="29" t="s">
        <v>138</v>
      </c>
      <c r="CO311" s="35">
        <v>0</v>
      </c>
      <c r="CP311" s="36">
        <v>26</v>
      </c>
      <c r="CQ311" s="35">
        <v>0</v>
      </c>
      <c r="CR311" s="35">
        <v>0</v>
      </c>
      <c r="CS311" s="35">
        <v>0</v>
      </c>
      <c r="CT311" s="36">
        <v>23</v>
      </c>
      <c r="CU311" s="35" t="s">
        <v>138</v>
      </c>
      <c r="CV311" s="36" t="s">
        <v>138</v>
      </c>
      <c r="CW311" s="35" t="s">
        <v>138</v>
      </c>
      <c r="CX311" s="36" t="s">
        <v>138</v>
      </c>
      <c r="CY311" s="35">
        <v>0</v>
      </c>
      <c r="CZ311" s="36">
        <v>25</v>
      </c>
      <c r="DA311" s="35" t="s">
        <v>138</v>
      </c>
      <c r="DB311" s="36" t="s">
        <v>138</v>
      </c>
      <c r="DC311" s="37">
        <v>1.31</v>
      </c>
      <c r="DD311" s="36">
        <v>57</v>
      </c>
      <c r="DE311" s="37">
        <v>0</v>
      </c>
      <c r="DF311" s="35">
        <v>0</v>
      </c>
      <c r="DG311" s="37">
        <v>1.31</v>
      </c>
      <c r="DH311" s="36">
        <v>57</v>
      </c>
      <c r="DI311" s="37" t="s">
        <v>138</v>
      </c>
      <c r="DJ311" s="36" t="s">
        <v>138</v>
      </c>
      <c r="DK311" s="37" t="s">
        <v>138</v>
      </c>
      <c r="DL311" s="36" t="s">
        <v>138</v>
      </c>
      <c r="DM311" s="37">
        <v>1.31</v>
      </c>
      <c r="DN311" s="36">
        <v>56</v>
      </c>
      <c r="DO311" s="37" t="s">
        <v>138</v>
      </c>
      <c r="DP311" s="36" t="s">
        <v>138</v>
      </c>
      <c r="DQ311" s="36" t="s">
        <v>138</v>
      </c>
      <c r="DR311" s="38" t="s">
        <v>138</v>
      </c>
      <c r="DS311" s="35" t="s">
        <v>138</v>
      </c>
      <c r="DT311" s="36">
        <v>38</v>
      </c>
      <c r="DU311" s="38">
        <v>0</v>
      </c>
      <c r="DV311" s="35">
        <v>0</v>
      </c>
      <c r="DW311" s="36" t="s">
        <v>138</v>
      </c>
      <c r="DX311" s="39" t="s">
        <v>138</v>
      </c>
      <c r="DY311" s="35" t="s">
        <v>138</v>
      </c>
      <c r="DZ311" s="28" t="s">
        <v>178</v>
      </c>
      <c r="EA311" s="34">
        <v>43351</v>
      </c>
      <c r="EB311" s="29" t="s">
        <v>138</v>
      </c>
      <c r="EC311" s="34" t="s">
        <v>138</v>
      </c>
      <c r="ED311" s="28" t="s">
        <v>138</v>
      </c>
      <c r="EE311" s="40" t="str">
        <f>HYPERLINK("https://my.pitchbook.com?c=174195-01", "View company online")</f>
        <v>View company online</v>
      </c>
    </row>
    <row r="312" spans="1:135">
      <c r="A312" s="15" t="s">
        <v>6674</v>
      </c>
      <c r="B312" s="15" t="s">
        <v>6675</v>
      </c>
      <c r="C312" s="15" t="s">
        <v>138</v>
      </c>
      <c r="D312" s="15" t="s">
        <v>138</v>
      </c>
      <c r="E312" s="15" t="s">
        <v>6676</v>
      </c>
      <c r="F312" s="15" t="s">
        <v>6674</v>
      </c>
      <c r="G312" s="15" t="s">
        <v>6677</v>
      </c>
      <c r="H312" s="15" t="s">
        <v>322</v>
      </c>
      <c r="I312" s="15" t="s">
        <v>323</v>
      </c>
      <c r="J312" s="15" t="s">
        <v>1184</v>
      </c>
      <c r="K312" s="15" t="s">
        <v>6678</v>
      </c>
      <c r="L312" s="15" t="s">
        <v>6679</v>
      </c>
      <c r="M312" s="15" t="s">
        <v>6680</v>
      </c>
      <c r="N312" s="15" t="s">
        <v>147</v>
      </c>
      <c r="O312" s="17">
        <v>3</v>
      </c>
      <c r="P312" s="15" t="s">
        <v>148</v>
      </c>
      <c r="Q312" s="15" t="s">
        <v>149</v>
      </c>
      <c r="R312" s="15" t="s">
        <v>244</v>
      </c>
      <c r="S312" s="15" t="s">
        <v>6681</v>
      </c>
      <c r="T312" s="18">
        <v>136</v>
      </c>
      <c r="U312" s="15" t="s">
        <v>6682</v>
      </c>
      <c r="V312" s="15" t="s">
        <v>138</v>
      </c>
      <c r="W312" s="15" t="s">
        <v>138</v>
      </c>
      <c r="X312" s="19">
        <v>2009</v>
      </c>
      <c r="Y312" s="15" t="s">
        <v>138</v>
      </c>
      <c r="Z312" s="15" t="s">
        <v>138</v>
      </c>
      <c r="AA312" s="15" t="s">
        <v>1163</v>
      </c>
      <c r="AB312" s="20">
        <v>36</v>
      </c>
      <c r="AC312" s="20" t="s">
        <v>138</v>
      </c>
      <c r="AD312" s="20" t="s">
        <v>138</v>
      </c>
      <c r="AE312" s="20" t="s">
        <v>138</v>
      </c>
      <c r="AF312" s="20" t="s">
        <v>138</v>
      </c>
      <c r="AG312" s="15" t="s">
        <v>563</v>
      </c>
      <c r="AH312" s="20" t="s">
        <v>138</v>
      </c>
      <c r="AI312" s="20" t="s">
        <v>138</v>
      </c>
      <c r="AJ312" s="20" t="s">
        <v>138</v>
      </c>
      <c r="AK312" s="15" t="s">
        <v>6683</v>
      </c>
      <c r="AL312" s="15" t="s">
        <v>6684</v>
      </c>
      <c r="AM312" s="15" t="s">
        <v>2451</v>
      </c>
      <c r="AN312" s="15" t="s">
        <v>6685</v>
      </c>
      <c r="AO312" s="15" t="s">
        <v>6686</v>
      </c>
      <c r="AP312" s="15" t="s">
        <v>2490</v>
      </c>
      <c r="AQ312" s="15" t="s">
        <v>6687</v>
      </c>
      <c r="AR312" s="15" t="s">
        <v>6688</v>
      </c>
      <c r="AS312" s="15" t="s">
        <v>2493</v>
      </c>
      <c r="AT312" s="15" t="s">
        <v>371</v>
      </c>
      <c r="AU312" s="15" t="s">
        <v>2494</v>
      </c>
      <c r="AV312" s="15" t="s">
        <v>162</v>
      </c>
      <c r="AW312" s="15" t="s">
        <v>6686</v>
      </c>
      <c r="AX312" s="15" t="s">
        <v>138</v>
      </c>
      <c r="AY312" s="15" t="s">
        <v>6689</v>
      </c>
      <c r="AZ312" s="15" t="s">
        <v>164</v>
      </c>
      <c r="BA312" s="15" t="s">
        <v>165</v>
      </c>
      <c r="BB312" s="15" t="s">
        <v>6690</v>
      </c>
      <c r="BC312" s="15" t="s">
        <v>6691</v>
      </c>
      <c r="BD312" s="21">
        <v>2</v>
      </c>
      <c r="BE312" s="15" t="s">
        <v>138</v>
      </c>
      <c r="BF312" s="15" t="s">
        <v>138</v>
      </c>
      <c r="BG312" s="15" t="s">
        <v>138</v>
      </c>
      <c r="BH312" s="15" t="s">
        <v>6692</v>
      </c>
      <c r="BI312" s="15" t="s">
        <v>138</v>
      </c>
      <c r="BJ312" s="15" t="s">
        <v>138</v>
      </c>
      <c r="BK312" s="15" t="s">
        <v>6693</v>
      </c>
      <c r="BL312" s="15" t="s">
        <v>6694</v>
      </c>
      <c r="BM312" s="22">
        <v>42150</v>
      </c>
      <c r="BN312" s="17">
        <v>1</v>
      </c>
      <c r="BO312" s="15" t="s">
        <v>172</v>
      </c>
      <c r="BP312" s="17" t="s">
        <v>138</v>
      </c>
      <c r="BQ312" s="15" t="s">
        <v>138</v>
      </c>
      <c r="BR312" s="15" t="s">
        <v>1326</v>
      </c>
      <c r="BS312" s="15" t="s">
        <v>138</v>
      </c>
      <c r="BT312" s="15" t="s">
        <v>138</v>
      </c>
      <c r="BU312" s="15" t="s">
        <v>1327</v>
      </c>
      <c r="BV312" s="15" t="s">
        <v>1328</v>
      </c>
      <c r="BW312" s="15" t="s">
        <v>1497</v>
      </c>
      <c r="BX312" s="15" t="s">
        <v>138</v>
      </c>
      <c r="BY312" s="15" t="s">
        <v>175</v>
      </c>
      <c r="BZ312" s="22">
        <v>42332</v>
      </c>
      <c r="CA312" s="17" t="s">
        <v>138</v>
      </c>
      <c r="CB312" s="15" t="s">
        <v>138</v>
      </c>
      <c r="CC312" s="17" t="s">
        <v>138</v>
      </c>
      <c r="CD312" s="15" t="s">
        <v>138</v>
      </c>
      <c r="CE312" s="15" t="s">
        <v>1326</v>
      </c>
      <c r="CF312" s="15" t="s">
        <v>138</v>
      </c>
      <c r="CG312" s="15" t="s">
        <v>138</v>
      </c>
      <c r="CH312" s="15" t="s">
        <v>1327</v>
      </c>
      <c r="CI312" s="15" t="s">
        <v>2528</v>
      </c>
      <c r="CJ312" s="15" t="s">
        <v>138</v>
      </c>
      <c r="CK312" s="15" t="s">
        <v>138</v>
      </c>
      <c r="CL312" s="15" t="s">
        <v>175</v>
      </c>
      <c r="CM312" s="22">
        <v>42332</v>
      </c>
      <c r="CN312" s="17" t="s">
        <v>138</v>
      </c>
      <c r="CO312" s="23">
        <v>-0.06</v>
      </c>
      <c r="CP312" s="24">
        <v>22</v>
      </c>
      <c r="CQ312" s="23">
        <v>0.02</v>
      </c>
      <c r="CR312" s="23">
        <v>28.73</v>
      </c>
      <c r="CS312" s="23">
        <v>0</v>
      </c>
      <c r="CT312" s="24">
        <v>23</v>
      </c>
      <c r="CU312" s="23">
        <v>-0.12</v>
      </c>
      <c r="CV312" s="24">
        <v>3</v>
      </c>
      <c r="CW312" s="23">
        <v>0</v>
      </c>
      <c r="CX312" s="24">
        <v>13</v>
      </c>
      <c r="CY312" s="23">
        <v>0</v>
      </c>
      <c r="CZ312" s="24">
        <v>25</v>
      </c>
      <c r="DA312" s="23">
        <v>-0.12</v>
      </c>
      <c r="DB312" s="24">
        <v>5</v>
      </c>
      <c r="DC312" s="25">
        <v>1.06</v>
      </c>
      <c r="DD312" s="24">
        <v>52</v>
      </c>
      <c r="DE312" s="25">
        <v>-0.01</v>
      </c>
      <c r="DF312" s="23">
        <v>-0.96</v>
      </c>
      <c r="DG312" s="25">
        <v>0.68</v>
      </c>
      <c r="DH312" s="24">
        <v>42</v>
      </c>
      <c r="DI312" s="25">
        <v>1.45</v>
      </c>
      <c r="DJ312" s="24">
        <v>56</v>
      </c>
      <c r="DK312" s="25">
        <v>0.18</v>
      </c>
      <c r="DL312" s="24">
        <v>3</v>
      </c>
      <c r="DM312" s="25">
        <v>1.17</v>
      </c>
      <c r="DN312" s="24">
        <v>54</v>
      </c>
      <c r="DO312" s="25">
        <v>1.45</v>
      </c>
      <c r="DP312" s="24">
        <v>58</v>
      </c>
      <c r="DQ312" s="24">
        <v>62</v>
      </c>
      <c r="DR312" s="26">
        <v>-11</v>
      </c>
      <c r="DS312" s="23">
        <v>-15.07</v>
      </c>
      <c r="DT312" s="24">
        <v>34</v>
      </c>
      <c r="DU312" s="26">
        <v>-3</v>
      </c>
      <c r="DV312" s="23">
        <v>-8.11</v>
      </c>
      <c r="DW312" s="24">
        <v>519</v>
      </c>
      <c r="DX312" s="27">
        <v>1</v>
      </c>
      <c r="DY312" s="23">
        <v>0.19</v>
      </c>
      <c r="DZ312" s="15" t="s">
        <v>178</v>
      </c>
      <c r="EA312" s="22">
        <v>43530</v>
      </c>
      <c r="EB312" s="17" t="s">
        <v>138</v>
      </c>
      <c r="EC312" s="22" t="s">
        <v>138</v>
      </c>
      <c r="ED312" s="15" t="s">
        <v>138</v>
      </c>
      <c r="EE312" s="14" t="str">
        <f>HYPERLINK("https://my.pitchbook.com?c=98756-11", "View company online")</f>
        <v>View company online</v>
      </c>
    </row>
    <row r="313" spans="1:135">
      <c r="A313" s="28" t="s">
        <v>6695</v>
      </c>
      <c r="B313" s="28" t="s">
        <v>6696</v>
      </c>
      <c r="C313" s="28" t="s">
        <v>138</v>
      </c>
      <c r="D313" s="28" t="s">
        <v>138</v>
      </c>
      <c r="E313" s="28" t="s">
        <v>6697</v>
      </c>
      <c r="F313" s="28" t="s">
        <v>6695</v>
      </c>
      <c r="G313" s="28" t="s">
        <v>6698</v>
      </c>
      <c r="H313" s="28" t="s">
        <v>322</v>
      </c>
      <c r="I313" s="28" t="s">
        <v>323</v>
      </c>
      <c r="J313" s="28" t="s">
        <v>324</v>
      </c>
      <c r="K313" s="28" t="s">
        <v>325</v>
      </c>
      <c r="L313" s="28" t="s">
        <v>6699</v>
      </c>
      <c r="M313" s="28" t="s">
        <v>6700</v>
      </c>
      <c r="N313" s="28" t="s">
        <v>147</v>
      </c>
      <c r="O313" s="29">
        <v>23.5</v>
      </c>
      <c r="P313" s="28" t="s">
        <v>148</v>
      </c>
      <c r="Q313" s="28" t="s">
        <v>149</v>
      </c>
      <c r="R313" s="28" t="s">
        <v>174</v>
      </c>
      <c r="S313" s="28" t="s">
        <v>6701</v>
      </c>
      <c r="T313" s="30" t="s">
        <v>138</v>
      </c>
      <c r="U313" s="28" t="s">
        <v>138</v>
      </c>
      <c r="V313" s="28" t="s">
        <v>138</v>
      </c>
      <c r="W313" s="28" t="s">
        <v>138</v>
      </c>
      <c r="X313" s="31">
        <v>2015</v>
      </c>
      <c r="Y313" s="28" t="s">
        <v>138</v>
      </c>
      <c r="Z313" s="28" t="s">
        <v>138</v>
      </c>
      <c r="AA313" s="28" t="s">
        <v>138</v>
      </c>
      <c r="AB313" s="32" t="s">
        <v>138</v>
      </c>
      <c r="AC313" s="32" t="s">
        <v>138</v>
      </c>
      <c r="AD313" s="32" t="s">
        <v>138</v>
      </c>
      <c r="AE313" s="32" t="s">
        <v>138</v>
      </c>
      <c r="AF313" s="32" t="s">
        <v>138</v>
      </c>
      <c r="AG313" s="28" t="s">
        <v>138</v>
      </c>
      <c r="AH313" s="32" t="s">
        <v>138</v>
      </c>
      <c r="AI313" s="32" t="s">
        <v>138</v>
      </c>
      <c r="AJ313" s="32" t="s">
        <v>138</v>
      </c>
      <c r="AK313" s="28" t="s">
        <v>6702</v>
      </c>
      <c r="AL313" s="28" t="s">
        <v>6703</v>
      </c>
      <c r="AM313" s="28" t="s">
        <v>938</v>
      </c>
      <c r="AN313" s="28" t="s">
        <v>6704</v>
      </c>
      <c r="AO313" s="28" t="s">
        <v>138</v>
      </c>
      <c r="AP313" s="28" t="s">
        <v>6705</v>
      </c>
      <c r="AQ313" s="28" t="s">
        <v>6706</v>
      </c>
      <c r="AR313" s="28" t="s">
        <v>138</v>
      </c>
      <c r="AS313" s="28" t="s">
        <v>6707</v>
      </c>
      <c r="AT313" s="28" t="s">
        <v>138</v>
      </c>
      <c r="AU313" s="28" t="s">
        <v>6708</v>
      </c>
      <c r="AV313" s="28" t="s">
        <v>740</v>
      </c>
      <c r="AW313" s="28" t="s">
        <v>138</v>
      </c>
      <c r="AX313" s="28" t="s">
        <v>138</v>
      </c>
      <c r="AY313" s="28" t="s">
        <v>138</v>
      </c>
      <c r="AZ313" s="28" t="s">
        <v>742</v>
      </c>
      <c r="BA313" s="28" t="s">
        <v>742</v>
      </c>
      <c r="BB313" s="28" t="s">
        <v>6709</v>
      </c>
      <c r="BC313" s="28" t="s">
        <v>6710</v>
      </c>
      <c r="BD313" s="33">
        <v>8</v>
      </c>
      <c r="BE313" s="28" t="s">
        <v>138</v>
      </c>
      <c r="BF313" s="28" t="s">
        <v>138</v>
      </c>
      <c r="BG313" s="28" t="s">
        <v>138</v>
      </c>
      <c r="BH313" s="28" t="s">
        <v>6711</v>
      </c>
      <c r="BI313" s="28" t="s">
        <v>138</v>
      </c>
      <c r="BJ313" s="28" t="s">
        <v>138</v>
      </c>
      <c r="BK313" s="28" t="s">
        <v>138</v>
      </c>
      <c r="BL313" s="28" t="s">
        <v>138</v>
      </c>
      <c r="BM313" s="34">
        <v>42164</v>
      </c>
      <c r="BN313" s="29" t="s">
        <v>138</v>
      </c>
      <c r="BO313" s="28" t="s">
        <v>138</v>
      </c>
      <c r="BP313" s="29" t="s">
        <v>138</v>
      </c>
      <c r="BQ313" s="28" t="s">
        <v>138</v>
      </c>
      <c r="BR313" s="28" t="s">
        <v>234</v>
      </c>
      <c r="BS313" s="28" t="s">
        <v>234</v>
      </c>
      <c r="BT313" s="28" t="s">
        <v>138</v>
      </c>
      <c r="BU313" s="28" t="s">
        <v>174</v>
      </c>
      <c r="BV313" s="28" t="s">
        <v>138</v>
      </c>
      <c r="BW313" s="28" t="s">
        <v>138</v>
      </c>
      <c r="BX313" s="28" t="s">
        <v>138</v>
      </c>
      <c r="BY313" s="28" t="s">
        <v>175</v>
      </c>
      <c r="BZ313" s="34">
        <v>43445</v>
      </c>
      <c r="CA313" s="29">
        <v>16</v>
      </c>
      <c r="CB313" s="28" t="s">
        <v>172</v>
      </c>
      <c r="CC313" s="29" t="s">
        <v>138</v>
      </c>
      <c r="CD313" s="28" t="s">
        <v>138</v>
      </c>
      <c r="CE313" s="28" t="s">
        <v>205</v>
      </c>
      <c r="CF313" s="28" t="s">
        <v>720</v>
      </c>
      <c r="CG313" s="28" t="s">
        <v>138</v>
      </c>
      <c r="CH313" s="28" t="s">
        <v>174</v>
      </c>
      <c r="CI313" s="28" t="s">
        <v>138</v>
      </c>
      <c r="CJ313" s="28" t="s">
        <v>138</v>
      </c>
      <c r="CK313" s="28" t="s">
        <v>138</v>
      </c>
      <c r="CL313" s="28" t="s">
        <v>175</v>
      </c>
      <c r="CM313" s="34" t="s">
        <v>138</v>
      </c>
      <c r="CN313" s="29" t="s">
        <v>138</v>
      </c>
      <c r="CO313" s="35">
        <v>0.54</v>
      </c>
      <c r="CP313" s="36">
        <v>95</v>
      </c>
      <c r="CQ313" s="35">
        <v>0.01</v>
      </c>
      <c r="CR313" s="35">
        <v>1.17</v>
      </c>
      <c r="CS313" s="35">
        <v>0</v>
      </c>
      <c r="CT313" s="36">
        <v>23</v>
      </c>
      <c r="CU313" s="35">
        <v>1.08</v>
      </c>
      <c r="CV313" s="36">
        <v>98</v>
      </c>
      <c r="CW313" s="35" t="s">
        <v>138</v>
      </c>
      <c r="CX313" s="36" t="s">
        <v>138</v>
      </c>
      <c r="CY313" s="35">
        <v>0</v>
      </c>
      <c r="CZ313" s="36">
        <v>25</v>
      </c>
      <c r="DA313" s="35">
        <v>0.01</v>
      </c>
      <c r="DB313" s="36">
        <v>57</v>
      </c>
      <c r="DC313" s="37">
        <v>1.7</v>
      </c>
      <c r="DD313" s="36">
        <v>64</v>
      </c>
      <c r="DE313" s="37">
        <v>-0.03</v>
      </c>
      <c r="DF313" s="35">
        <v>-1.86</v>
      </c>
      <c r="DG313" s="37">
        <v>1.62</v>
      </c>
      <c r="DH313" s="36">
        <v>62</v>
      </c>
      <c r="DI313" s="37">
        <v>1.78</v>
      </c>
      <c r="DJ313" s="36">
        <v>60</v>
      </c>
      <c r="DK313" s="37" t="s">
        <v>138</v>
      </c>
      <c r="DL313" s="36" t="s">
        <v>138</v>
      </c>
      <c r="DM313" s="37">
        <v>1.62</v>
      </c>
      <c r="DN313" s="36">
        <v>61</v>
      </c>
      <c r="DO313" s="37">
        <v>2.81</v>
      </c>
      <c r="DP313" s="36">
        <v>70</v>
      </c>
      <c r="DQ313" s="36" t="s">
        <v>138</v>
      </c>
      <c r="DR313" s="38" t="s">
        <v>138</v>
      </c>
      <c r="DS313" s="35" t="s">
        <v>138</v>
      </c>
      <c r="DT313" s="36">
        <v>47</v>
      </c>
      <c r="DU313" s="38">
        <v>-1</v>
      </c>
      <c r="DV313" s="35">
        <v>-2.08</v>
      </c>
      <c r="DW313" s="36">
        <v>1006</v>
      </c>
      <c r="DX313" s="39">
        <v>1</v>
      </c>
      <c r="DY313" s="35">
        <v>0.1</v>
      </c>
      <c r="DZ313" s="28" t="s">
        <v>178</v>
      </c>
      <c r="EA313" s="34">
        <v>43495</v>
      </c>
      <c r="EB313" s="29" t="s">
        <v>138</v>
      </c>
      <c r="EC313" s="34" t="s">
        <v>138</v>
      </c>
      <c r="ED313" s="28" t="s">
        <v>138</v>
      </c>
      <c r="EE313" s="40" t="str">
        <f>HYPERLINK("https://my.pitchbook.com?c=173295-55", "View company online")</f>
        <v>View company online</v>
      </c>
    </row>
    <row r="314" spans="1:135">
      <c r="A314" s="15" t="s">
        <v>6712</v>
      </c>
      <c r="B314" s="15" t="s">
        <v>6713</v>
      </c>
      <c r="C314" s="15" t="s">
        <v>138</v>
      </c>
      <c r="D314" s="15" t="s">
        <v>6714</v>
      </c>
      <c r="E314" s="15" t="s">
        <v>138</v>
      </c>
      <c r="F314" s="15" t="s">
        <v>6712</v>
      </c>
      <c r="G314" s="15" t="s">
        <v>6715</v>
      </c>
      <c r="H314" s="15" t="s">
        <v>141</v>
      </c>
      <c r="I314" s="15" t="s">
        <v>212</v>
      </c>
      <c r="J314" s="15" t="s">
        <v>1257</v>
      </c>
      <c r="K314" s="15" t="s">
        <v>6716</v>
      </c>
      <c r="L314" s="15" t="s">
        <v>415</v>
      </c>
      <c r="M314" s="15" t="s">
        <v>6717</v>
      </c>
      <c r="N314" s="15" t="s">
        <v>147</v>
      </c>
      <c r="O314" s="17">
        <v>9.8699999999999992</v>
      </c>
      <c r="P314" s="15" t="s">
        <v>148</v>
      </c>
      <c r="Q314" s="15" t="s">
        <v>149</v>
      </c>
      <c r="R314" s="15" t="s">
        <v>174</v>
      </c>
      <c r="S314" s="15" t="s">
        <v>6718</v>
      </c>
      <c r="T314" s="18" t="s">
        <v>138</v>
      </c>
      <c r="U314" s="15" t="s">
        <v>138</v>
      </c>
      <c r="V314" s="15" t="s">
        <v>138</v>
      </c>
      <c r="W314" s="15" t="s">
        <v>138</v>
      </c>
      <c r="X314" s="19">
        <v>1990</v>
      </c>
      <c r="Y314" s="15" t="s">
        <v>138</v>
      </c>
      <c r="Z314" s="15" t="s">
        <v>138</v>
      </c>
      <c r="AA314" s="15" t="s">
        <v>138</v>
      </c>
      <c r="AB314" s="20">
        <v>156.19</v>
      </c>
      <c r="AC314" s="20">
        <v>29.46</v>
      </c>
      <c r="AD314" s="20">
        <v>3.13</v>
      </c>
      <c r="AE314" s="20" t="s">
        <v>138</v>
      </c>
      <c r="AF314" s="20">
        <v>5.34</v>
      </c>
      <c r="AG314" s="15" t="s">
        <v>419</v>
      </c>
      <c r="AH314" s="20" t="s">
        <v>138</v>
      </c>
      <c r="AI314" s="20" t="s">
        <v>138</v>
      </c>
      <c r="AJ314" s="20" t="s">
        <v>138</v>
      </c>
      <c r="AK314" s="15" t="s">
        <v>6719</v>
      </c>
      <c r="AL314" s="15" t="s">
        <v>6720</v>
      </c>
      <c r="AM314" s="15" t="s">
        <v>5401</v>
      </c>
      <c r="AN314" s="15" t="s">
        <v>6721</v>
      </c>
      <c r="AO314" s="15" t="s">
        <v>6722</v>
      </c>
      <c r="AP314" s="15" t="s">
        <v>6723</v>
      </c>
      <c r="AQ314" s="15" t="s">
        <v>6724</v>
      </c>
      <c r="AR314" s="15" t="s">
        <v>6725</v>
      </c>
      <c r="AS314" s="15" t="s">
        <v>6726</v>
      </c>
      <c r="AT314" s="15" t="s">
        <v>824</v>
      </c>
      <c r="AU314" s="15" t="s">
        <v>6727</v>
      </c>
      <c r="AV314" s="15" t="s">
        <v>526</v>
      </c>
      <c r="AW314" s="15" t="s">
        <v>6722</v>
      </c>
      <c r="AX314" s="15" t="s">
        <v>138</v>
      </c>
      <c r="AY314" s="15" t="s">
        <v>6728</v>
      </c>
      <c r="AZ314" s="15" t="s">
        <v>530</v>
      </c>
      <c r="BA314" s="15" t="s">
        <v>531</v>
      </c>
      <c r="BB314" s="15" t="s">
        <v>6729</v>
      </c>
      <c r="BC314" s="15" t="s">
        <v>6673</v>
      </c>
      <c r="BD314" s="21">
        <v>1</v>
      </c>
      <c r="BE314" s="15" t="s">
        <v>138</v>
      </c>
      <c r="BF314" s="15" t="s">
        <v>138</v>
      </c>
      <c r="BG314" s="15" t="s">
        <v>138</v>
      </c>
      <c r="BH314" s="15" t="s">
        <v>138</v>
      </c>
      <c r="BI314" s="15" t="s">
        <v>138</v>
      </c>
      <c r="BJ314" s="15" t="s">
        <v>138</v>
      </c>
      <c r="BK314" s="15" t="s">
        <v>138</v>
      </c>
      <c r="BL314" s="15" t="s">
        <v>6730</v>
      </c>
      <c r="BM314" s="22">
        <v>42556</v>
      </c>
      <c r="BN314" s="17">
        <v>9.8699999999999992</v>
      </c>
      <c r="BO314" s="15" t="s">
        <v>172</v>
      </c>
      <c r="BP314" s="17" t="s">
        <v>138</v>
      </c>
      <c r="BQ314" s="15" t="s">
        <v>138</v>
      </c>
      <c r="BR314" s="15" t="s">
        <v>205</v>
      </c>
      <c r="BS314" s="15" t="s">
        <v>138</v>
      </c>
      <c r="BT314" s="15" t="s">
        <v>138</v>
      </c>
      <c r="BU314" s="15" t="s">
        <v>174</v>
      </c>
      <c r="BV314" s="15" t="s">
        <v>138</v>
      </c>
      <c r="BW314" s="15" t="s">
        <v>138</v>
      </c>
      <c r="BX314" s="15" t="s">
        <v>138</v>
      </c>
      <c r="BY314" s="15" t="s">
        <v>175</v>
      </c>
      <c r="BZ314" s="22">
        <v>42556</v>
      </c>
      <c r="CA314" s="17">
        <v>9.8699999999999992</v>
      </c>
      <c r="CB314" s="15" t="s">
        <v>172</v>
      </c>
      <c r="CC314" s="17" t="s">
        <v>138</v>
      </c>
      <c r="CD314" s="15" t="s">
        <v>138</v>
      </c>
      <c r="CE314" s="15" t="s">
        <v>205</v>
      </c>
      <c r="CF314" s="15" t="s">
        <v>138</v>
      </c>
      <c r="CG314" s="15" t="s">
        <v>138</v>
      </c>
      <c r="CH314" s="15" t="s">
        <v>174</v>
      </c>
      <c r="CI314" s="15" t="s">
        <v>138</v>
      </c>
      <c r="CJ314" s="15" t="s">
        <v>138</v>
      </c>
      <c r="CK314" s="15" t="s">
        <v>138</v>
      </c>
      <c r="CL314" s="15" t="s">
        <v>175</v>
      </c>
      <c r="CM314" s="22" t="s">
        <v>138</v>
      </c>
      <c r="CN314" s="17" t="s">
        <v>138</v>
      </c>
      <c r="CO314" s="23">
        <v>0.14000000000000001</v>
      </c>
      <c r="CP314" s="24">
        <v>91</v>
      </c>
      <c r="CQ314" s="23">
        <v>-0.04</v>
      </c>
      <c r="CR314" s="23">
        <v>-20.11</v>
      </c>
      <c r="CS314" s="23" t="s">
        <v>138</v>
      </c>
      <c r="CT314" s="24" t="s">
        <v>138</v>
      </c>
      <c r="CU314" s="23">
        <v>0.14000000000000001</v>
      </c>
      <c r="CV314" s="24">
        <v>74</v>
      </c>
      <c r="CW314" s="23" t="s">
        <v>138</v>
      </c>
      <c r="CX314" s="24" t="s">
        <v>138</v>
      </c>
      <c r="CY314" s="23" t="s">
        <v>138</v>
      </c>
      <c r="CZ314" s="24" t="s">
        <v>138</v>
      </c>
      <c r="DA314" s="23">
        <v>0.14000000000000001</v>
      </c>
      <c r="DB314" s="24">
        <v>77</v>
      </c>
      <c r="DC314" s="25">
        <v>0.99</v>
      </c>
      <c r="DD314" s="24">
        <v>51</v>
      </c>
      <c r="DE314" s="25">
        <v>0.01</v>
      </c>
      <c r="DF314" s="23">
        <v>0.84</v>
      </c>
      <c r="DG314" s="25" t="s">
        <v>138</v>
      </c>
      <c r="DH314" s="24" t="s">
        <v>138</v>
      </c>
      <c r="DI314" s="25">
        <v>0.99</v>
      </c>
      <c r="DJ314" s="24">
        <v>49</v>
      </c>
      <c r="DK314" s="25" t="s">
        <v>138</v>
      </c>
      <c r="DL314" s="24" t="s">
        <v>138</v>
      </c>
      <c r="DM314" s="25" t="s">
        <v>138</v>
      </c>
      <c r="DN314" s="24" t="s">
        <v>138</v>
      </c>
      <c r="DO314" s="25">
        <v>0.99</v>
      </c>
      <c r="DP314" s="24">
        <v>50</v>
      </c>
      <c r="DQ314" s="24" t="s">
        <v>138</v>
      </c>
      <c r="DR314" s="26" t="s">
        <v>138</v>
      </c>
      <c r="DS314" s="23" t="s">
        <v>138</v>
      </c>
      <c r="DT314" s="24" t="s">
        <v>138</v>
      </c>
      <c r="DU314" s="26" t="s">
        <v>138</v>
      </c>
      <c r="DV314" s="23" t="s">
        <v>138</v>
      </c>
      <c r="DW314" s="24">
        <v>354</v>
      </c>
      <c r="DX314" s="27">
        <v>0</v>
      </c>
      <c r="DY314" s="23">
        <v>0</v>
      </c>
      <c r="DZ314" s="15" t="s">
        <v>178</v>
      </c>
      <c r="EA314" s="22">
        <v>43473</v>
      </c>
      <c r="EB314" s="17" t="s">
        <v>138</v>
      </c>
      <c r="EC314" s="22" t="s">
        <v>138</v>
      </c>
      <c r="ED314" s="15" t="s">
        <v>138</v>
      </c>
      <c r="EE314" s="14" t="str">
        <f>HYPERLINK("https://my.pitchbook.com?c=120625-57", "View company online")</f>
        <v>View company online</v>
      </c>
    </row>
    <row r="315" spans="1:135">
      <c r="A315" s="28" t="s">
        <v>6731</v>
      </c>
      <c r="B315" s="28" t="s">
        <v>6732</v>
      </c>
      <c r="C315" s="28" t="s">
        <v>138</v>
      </c>
      <c r="D315" s="28" t="s">
        <v>138</v>
      </c>
      <c r="E315" s="28" t="s">
        <v>6733</v>
      </c>
      <c r="F315" s="28" t="s">
        <v>6731</v>
      </c>
      <c r="G315" s="28" t="s">
        <v>6734</v>
      </c>
      <c r="H315" s="28" t="s">
        <v>322</v>
      </c>
      <c r="I315" s="28" t="s">
        <v>323</v>
      </c>
      <c r="J315" s="28" t="s">
        <v>324</v>
      </c>
      <c r="K315" s="28" t="s">
        <v>3226</v>
      </c>
      <c r="L315" s="28" t="s">
        <v>6735</v>
      </c>
      <c r="M315" s="28" t="s">
        <v>6736</v>
      </c>
      <c r="N315" s="28" t="s">
        <v>147</v>
      </c>
      <c r="O315" s="29">
        <v>0.57999999999999996</v>
      </c>
      <c r="P315" s="28" t="s">
        <v>148</v>
      </c>
      <c r="Q315" s="28" t="s">
        <v>149</v>
      </c>
      <c r="R315" s="28" t="s">
        <v>174</v>
      </c>
      <c r="S315" s="28" t="s">
        <v>6737</v>
      </c>
      <c r="T315" s="30">
        <v>5</v>
      </c>
      <c r="U315" s="28" t="s">
        <v>3592</v>
      </c>
      <c r="V315" s="28" t="s">
        <v>138</v>
      </c>
      <c r="W315" s="28" t="s">
        <v>138</v>
      </c>
      <c r="X315" s="31">
        <v>2015</v>
      </c>
      <c r="Y315" s="28" t="s">
        <v>138</v>
      </c>
      <c r="Z315" s="28" t="s">
        <v>138</v>
      </c>
      <c r="AA315" s="28" t="s">
        <v>138</v>
      </c>
      <c r="AB315" s="32" t="s">
        <v>138</v>
      </c>
      <c r="AC315" s="32" t="s">
        <v>138</v>
      </c>
      <c r="AD315" s="32" t="s">
        <v>138</v>
      </c>
      <c r="AE315" s="32" t="s">
        <v>138</v>
      </c>
      <c r="AF315" s="32" t="s">
        <v>138</v>
      </c>
      <c r="AG315" s="28" t="s">
        <v>138</v>
      </c>
      <c r="AH315" s="32" t="s">
        <v>138</v>
      </c>
      <c r="AI315" s="32" t="s">
        <v>138</v>
      </c>
      <c r="AJ315" s="32" t="s">
        <v>138</v>
      </c>
      <c r="AK315" s="28" t="s">
        <v>6738</v>
      </c>
      <c r="AL315" s="28" t="s">
        <v>6739</v>
      </c>
      <c r="AM315" s="28" t="s">
        <v>304</v>
      </c>
      <c r="AN315" s="28" t="s">
        <v>6740</v>
      </c>
      <c r="AO315" s="28" t="s">
        <v>138</v>
      </c>
      <c r="AP315" s="28" t="s">
        <v>820</v>
      </c>
      <c r="AQ315" s="28" t="s">
        <v>6741</v>
      </c>
      <c r="AR315" s="28" t="s">
        <v>138</v>
      </c>
      <c r="AS315" s="28" t="s">
        <v>823</v>
      </c>
      <c r="AT315" s="28" t="s">
        <v>824</v>
      </c>
      <c r="AU315" s="28" t="s">
        <v>6742</v>
      </c>
      <c r="AV315" s="28" t="s">
        <v>526</v>
      </c>
      <c r="AW315" s="28" t="s">
        <v>138</v>
      </c>
      <c r="AX315" s="28" t="s">
        <v>138</v>
      </c>
      <c r="AY315" s="28" t="s">
        <v>6743</v>
      </c>
      <c r="AZ315" s="28" t="s">
        <v>530</v>
      </c>
      <c r="BA315" s="28" t="s">
        <v>531</v>
      </c>
      <c r="BB315" s="28" t="s">
        <v>6744</v>
      </c>
      <c r="BC315" s="28" t="s">
        <v>6745</v>
      </c>
      <c r="BD315" s="33">
        <v>7</v>
      </c>
      <c r="BE315" s="28" t="s">
        <v>138</v>
      </c>
      <c r="BF315" s="28" t="s">
        <v>138</v>
      </c>
      <c r="BG315" s="28" t="s">
        <v>138</v>
      </c>
      <c r="BH315" s="28" t="s">
        <v>6746</v>
      </c>
      <c r="BI315" s="28" t="s">
        <v>138</v>
      </c>
      <c r="BJ315" s="28" t="s">
        <v>138</v>
      </c>
      <c r="BK315" s="28" t="s">
        <v>138</v>
      </c>
      <c r="BL315" s="28" t="s">
        <v>138</v>
      </c>
      <c r="BM315" s="34">
        <v>42391</v>
      </c>
      <c r="BN315" s="29">
        <v>0.03</v>
      </c>
      <c r="BO315" s="28" t="s">
        <v>172</v>
      </c>
      <c r="BP315" s="29" t="s">
        <v>138</v>
      </c>
      <c r="BQ315" s="28" t="s">
        <v>138</v>
      </c>
      <c r="BR315" s="28" t="s">
        <v>316</v>
      </c>
      <c r="BS315" s="28" t="s">
        <v>138</v>
      </c>
      <c r="BT315" s="28" t="s">
        <v>138</v>
      </c>
      <c r="BU315" s="28" t="s">
        <v>177</v>
      </c>
      <c r="BV315" s="28" t="s">
        <v>138</v>
      </c>
      <c r="BW315" s="28" t="s">
        <v>138</v>
      </c>
      <c r="BX315" s="28" t="s">
        <v>138</v>
      </c>
      <c r="BY315" s="28" t="s">
        <v>175</v>
      </c>
      <c r="BZ315" s="34">
        <v>43384</v>
      </c>
      <c r="CA315" s="29">
        <v>0.57999999999999996</v>
      </c>
      <c r="CB315" s="28" t="s">
        <v>172</v>
      </c>
      <c r="CC315" s="29" t="s">
        <v>138</v>
      </c>
      <c r="CD315" s="28" t="s">
        <v>138</v>
      </c>
      <c r="CE315" s="28" t="s">
        <v>234</v>
      </c>
      <c r="CF315" s="28" t="s">
        <v>234</v>
      </c>
      <c r="CG315" s="28" t="s">
        <v>138</v>
      </c>
      <c r="CH315" s="28" t="s">
        <v>174</v>
      </c>
      <c r="CI315" s="28" t="s">
        <v>138</v>
      </c>
      <c r="CJ315" s="28" t="s">
        <v>138</v>
      </c>
      <c r="CK315" s="28" t="s">
        <v>138</v>
      </c>
      <c r="CL315" s="28" t="s">
        <v>175</v>
      </c>
      <c r="CM315" s="34" t="s">
        <v>138</v>
      </c>
      <c r="CN315" s="29" t="s">
        <v>138</v>
      </c>
      <c r="CO315" s="35">
        <v>0</v>
      </c>
      <c r="CP315" s="36">
        <v>26</v>
      </c>
      <c r="CQ315" s="35">
        <v>0</v>
      </c>
      <c r="CR315" s="35">
        <v>0</v>
      </c>
      <c r="CS315" s="35">
        <v>0</v>
      </c>
      <c r="CT315" s="36">
        <v>23</v>
      </c>
      <c r="CU315" s="35">
        <v>0</v>
      </c>
      <c r="CV315" s="36">
        <v>22</v>
      </c>
      <c r="CW315" s="35" t="s">
        <v>138</v>
      </c>
      <c r="CX315" s="36" t="s">
        <v>138</v>
      </c>
      <c r="CY315" s="35">
        <v>0</v>
      </c>
      <c r="CZ315" s="36">
        <v>25</v>
      </c>
      <c r="DA315" s="35">
        <v>0</v>
      </c>
      <c r="DB315" s="36">
        <v>22</v>
      </c>
      <c r="DC315" s="37">
        <v>0.54</v>
      </c>
      <c r="DD315" s="36">
        <v>36</v>
      </c>
      <c r="DE315" s="37">
        <v>-0.02</v>
      </c>
      <c r="DF315" s="35">
        <v>-2.93</v>
      </c>
      <c r="DG315" s="37">
        <v>0.31</v>
      </c>
      <c r="DH315" s="36">
        <v>23</v>
      </c>
      <c r="DI315" s="37">
        <v>0.78</v>
      </c>
      <c r="DJ315" s="36">
        <v>44</v>
      </c>
      <c r="DK315" s="37" t="s">
        <v>138</v>
      </c>
      <c r="DL315" s="36" t="s">
        <v>138</v>
      </c>
      <c r="DM315" s="37">
        <v>0.31</v>
      </c>
      <c r="DN315" s="36">
        <v>24</v>
      </c>
      <c r="DO315" s="37">
        <v>0.78</v>
      </c>
      <c r="DP315" s="36">
        <v>46</v>
      </c>
      <c r="DQ315" s="36" t="s">
        <v>138</v>
      </c>
      <c r="DR315" s="38" t="s">
        <v>138</v>
      </c>
      <c r="DS315" s="35" t="s">
        <v>138</v>
      </c>
      <c r="DT315" s="36">
        <v>9</v>
      </c>
      <c r="DU315" s="38">
        <v>-1</v>
      </c>
      <c r="DV315" s="35">
        <v>-10</v>
      </c>
      <c r="DW315" s="36">
        <v>279</v>
      </c>
      <c r="DX315" s="39">
        <v>-1</v>
      </c>
      <c r="DY315" s="35">
        <v>-0.36</v>
      </c>
      <c r="DZ315" s="28" t="s">
        <v>178</v>
      </c>
      <c r="EA315" s="34">
        <v>43606</v>
      </c>
      <c r="EB315" s="29" t="s">
        <v>138</v>
      </c>
      <c r="EC315" s="34" t="s">
        <v>138</v>
      </c>
      <c r="ED315" s="28" t="s">
        <v>138</v>
      </c>
      <c r="EE315" s="40" t="str">
        <f>HYPERLINK("https://my.pitchbook.com?c=169183-81", "View company online")</f>
        <v>View company online</v>
      </c>
    </row>
    <row r="316" spans="1:135">
      <c r="A316" s="15" t="s">
        <v>6747</v>
      </c>
      <c r="B316" s="15" t="s">
        <v>6748</v>
      </c>
      <c r="C316" s="15" t="s">
        <v>138</v>
      </c>
      <c r="D316" s="15" t="s">
        <v>138</v>
      </c>
      <c r="E316" s="15" t="s">
        <v>138</v>
      </c>
      <c r="F316" s="15" t="s">
        <v>6747</v>
      </c>
      <c r="G316" s="15" t="s">
        <v>6749</v>
      </c>
      <c r="H316" s="15" t="s">
        <v>890</v>
      </c>
      <c r="I316" s="15" t="s">
        <v>5099</v>
      </c>
      <c r="J316" s="15" t="s">
        <v>351</v>
      </c>
      <c r="K316" s="15" t="s">
        <v>6750</v>
      </c>
      <c r="L316" s="15" t="s">
        <v>2210</v>
      </c>
      <c r="M316" s="15" t="s">
        <v>6751</v>
      </c>
      <c r="N316" s="15" t="s">
        <v>147</v>
      </c>
      <c r="O316" s="17">
        <v>128</v>
      </c>
      <c r="P316" s="15" t="s">
        <v>148</v>
      </c>
      <c r="Q316" s="15" t="s">
        <v>149</v>
      </c>
      <c r="R316" s="15" t="s">
        <v>174</v>
      </c>
      <c r="S316" s="15" t="s">
        <v>6752</v>
      </c>
      <c r="T316" s="18">
        <v>370</v>
      </c>
      <c r="U316" s="15" t="s">
        <v>6753</v>
      </c>
      <c r="V316" s="15" t="s">
        <v>138</v>
      </c>
      <c r="W316" s="15" t="s">
        <v>138</v>
      </c>
      <c r="X316" s="19">
        <v>2014</v>
      </c>
      <c r="Y316" s="15" t="s">
        <v>138</v>
      </c>
      <c r="Z316" s="15" t="s">
        <v>138</v>
      </c>
      <c r="AA316" s="15" t="s">
        <v>138</v>
      </c>
      <c r="AB316" s="20">
        <v>22</v>
      </c>
      <c r="AC316" s="20" t="s">
        <v>138</v>
      </c>
      <c r="AD316" s="20" t="s">
        <v>138</v>
      </c>
      <c r="AE316" s="20" t="s">
        <v>138</v>
      </c>
      <c r="AF316" s="20" t="s">
        <v>138</v>
      </c>
      <c r="AG316" s="15" t="s">
        <v>707</v>
      </c>
      <c r="AH316" s="20" t="s">
        <v>138</v>
      </c>
      <c r="AI316" s="20" t="s">
        <v>138</v>
      </c>
      <c r="AJ316" s="20" t="s">
        <v>138</v>
      </c>
      <c r="AK316" s="15" t="s">
        <v>6754</v>
      </c>
      <c r="AL316" s="15" t="s">
        <v>6755</v>
      </c>
      <c r="AM316" s="15" t="s">
        <v>938</v>
      </c>
      <c r="AN316" s="15" t="s">
        <v>6756</v>
      </c>
      <c r="AO316" s="15" t="s">
        <v>138</v>
      </c>
      <c r="AP316" s="15" t="s">
        <v>5129</v>
      </c>
      <c r="AQ316" s="15" t="s">
        <v>6757</v>
      </c>
      <c r="AR316" s="15" t="s">
        <v>3084</v>
      </c>
      <c r="AS316" s="15" t="s">
        <v>5131</v>
      </c>
      <c r="AT316" s="15" t="s">
        <v>138</v>
      </c>
      <c r="AU316" s="15" t="s">
        <v>138</v>
      </c>
      <c r="AV316" s="15" t="s">
        <v>740</v>
      </c>
      <c r="AW316" s="15" t="s">
        <v>138</v>
      </c>
      <c r="AX316" s="15" t="s">
        <v>138</v>
      </c>
      <c r="AY316" s="15" t="s">
        <v>6758</v>
      </c>
      <c r="AZ316" s="15" t="s">
        <v>742</v>
      </c>
      <c r="BA316" s="15" t="s">
        <v>742</v>
      </c>
      <c r="BB316" s="15" t="s">
        <v>6759</v>
      </c>
      <c r="BC316" s="15" t="s">
        <v>6760</v>
      </c>
      <c r="BD316" s="21">
        <v>22</v>
      </c>
      <c r="BE316" s="15" t="s">
        <v>138</v>
      </c>
      <c r="BF316" s="15" t="s">
        <v>138</v>
      </c>
      <c r="BG316" s="15" t="s">
        <v>138</v>
      </c>
      <c r="BH316" s="15" t="s">
        <v>6761</v>
      </c>
      <c r="BI316" s="15" t="s">
        <v>138</v>
      </c>
      <c r="BJ316" s="15" t="s">
        <v>138</v>
      </c>
      <c r="BK316" s="15" t="s">
        <v>6762</v>
      </c>
      <c r="BL316" s="15" t="s">
        <v>6763</v>
      </c>
      <c r="BM316" s="22">
        <v>42045</v>
      </c>
      <c r="BN316" s="17">
        <v>18</v>
      </c>
      <c r="BO316" s="15" t="s">
        <v>172</v>
      </c>
      <c r="BP316" s="17" t="s">
        <v>138</v>
      </c>
      <c r="BQ316" s="15" t="s">
        <v>138</v>
      </c>
      <c r="BR316" s="15" t="s">
        <v>205</v>
      </c>
      <c r="BS316" s="15" t="s">
        <v>206</v>
      </c>
      <c r="BT316" s="15" t="s">
        <v>138</v>
      </c>
      <c r="BU316" s="15" t="s">
        <v>174</v>
      </c>
      <c r="BV316" s="15" t="s">
        <v>138</v>
      </c>
      <c r="BW316" s="15" t="s">
        <v>138</v>
      </c>
      <c r="BX316" s="15" t="s">
        <v>138</v>
      </c>
      <c r="BY316" s="15" t="s">
        <v>175</v>
      </c>
      <c r="BZ316" s="22">
        <v>43396</v>
      </c>
      <c r="CA316" s="17">
        <v>85</v>
      </c>
      <c r="CB316" s="15" t="s">
        <v>172</v>
      </c>
      <c r="CC316" s="17" t="s">
        <v>138</v>
      </c>
      <c r="CD316" s="15" t="s">
        <v>138</v>
      </c>
      <c r="CE316" s="15" t="s">
        <v>205</v>
      </c>
      <c r="CF316" s="15" t="s">
        <v>138</v>
      </c>
      <c r="CG316" s="15" t="s">
        <v>138</v>
      </c>
      <c r="CH316" s="15" t="s">
        <v>174</v>
      </c>
      <c r="CI316" s="15" t="s">
        <v>138</v>
      </c>
      <c r="CJ316" s="15" t="s">
        <v>138</v>
      </c>
      <c r="CK316" s="15" t="s">
        <v>138</v>
      </c>
      <c r="CL316" s="15" t="s">
        <v>175</v>
      </c>
      <c r="CM316" s="22" t="s">
        <v>138</v>
      </c>
      <c r="CN316" s="17" t="s">
        <v>138</v>
      </c>
      <c r="CO316" s="23">
        <v>-0.11</v>
      </c>
      <c r="CP316" s="24">
        <v>21</v>
      </c>
      <c r="CQ316" s="23">
        <v>-0.03</v>
      </c>
      <c r="CR316" s="23">
        <v>-40.31</v>
      </c>
      <c r="CS316" s="23">
        <v>-1.06</v>
      </c>
      <c r="CT316" s="24">
        <v>15</v>
      </c>
      <c r="CU316" s="23">
        <v>0.45</v>
      </c>
      <c r="CV316" s="24">
        <v>92</v>
      </c>
      <c r="CW316" s="23">
        <v>-0.57999999999999996</v>
      </c>
      <c r="CX316" s="24">
        <v>11</v>
      </c>
      <c r="CY316" s="23">
        <v>-1.54</v>
      </c>
      <c r="CZ316" s="24">
        <v>14</v>
      </c>
      <c r="DA316" s="23">
        <v>0.62</v>
      </c>
      <c r="DB316" s="24">
        <v>96</v>
      </c>
      <c r="DC316" s="25">
        <v>3.23</v>
      </c>
      <c r="DD316" s="24">
        <v>76</v>
      </c>
      <c r="DE316" s="25">
        <v>-0.04</v>
      </c>
      <c r="DF316" s="23">
        <v>-1.31</v>
      </c>
      <c r="DG316" s="25">
        <v>6.31</v>
      </c>
      <c r="DH316" s="24">
        <v>85</v>
      </c>
      <c r="DI316" s="25">
        <v>2.69</v>
      </c>
      <c r="DJ316" s="24">
        <v>68</v>
      </c>
      <c r="DK316" s="25">
        <v>1.45</v>
      </c>
      <c r="DL316" s="24">
        <v>58</v>
      </c>
      <c r="DM316" s="25">
        <v>11.17</v>
      </c>
      <c r="DN316" s="24">
        <v>90</v>
      </c>
      <c r="DO316" s="25">
        <v>3.66</v>
      </c>
      <c r="DP316" s="24">
        <v>74</v>
      </c>
      <c r="DQ316" s="24">
        <v>532</v>
      </c>
      <c r="DR316" s="26">
        <v>-108</v>
      </c>
      <c r="DS316" s="23">
        <v>-16.88</v>
      </c>
      <c r="DT316" s="24">
        <v>325</v>
      </c>
      <c r="DU316" s="26">
        <v>-4</v>
      </c>
      <c r="DV316" s="23">
        <v>-1.22</v>
      </c>
      <c r="DW316" s="24">
        <v>1307</v>
      </c>
      <c r="DX316" s="27">
        <v>5</v>
      </c>
      <c r="DY316" s="23">
        <v>0.38</v>
      </c>
      <c r="DZ316" s="15" t="s">
        <v>178</v>
      </c>
      <c r="EA316" s="22">
        <v>43525</v>
      </c>
      <c r="EB316" s="17" t="s">
        <v>138</v>
      </c>
      <c r="EC316" s="22" t="s">
        <v>138</v>
      </c>
      <c r="ED316" s="15" t="s">
        <v>138</v>
      </c>
      <c r="EE316" s="14" t="str">
        <f>HYPERLINK("https://my.pitchbook.com?c=108037-45", "View company online")</f>
        <v>View company online</v>
      </c>
    </row>
    <row r="317" spans="1:135">
      <c r="A317" s="28" t="s">
        <v>6764</v>
      </c>
      <c r="B317" s="28" t="s">
        <v>6765</v>
      </c>
      <c r="C317" s="28" t="s">
        <v>138</v>
      </c>
      <c r="D317" s="28" t="s">
        <v>138</v>
      </c>
      <c r="E317" s="28" t="s">
        <v>6766</v>
      </c>
      <c r="F317" s="28" t="s">
        <v>6764</v>
      </c>
      <c r="G317" s="28" t="s">
        <v>6767</v>
      </c>
      <c r="H317" s="28" t="s">
        <v>322</v>
      </c>
      <c r="I317" s="28" t="s">
        <v>323</v>
      </c>
      <c r="J317" s="28" t="s">
        <v>324</v>
      </c>
      <c r="K317" s="28" t="s">
        <v>325</v>
      </c>
      <c r="L317" s="28" t="s">
        <v>6679</v>
      </c>
      <c r="M317" s="28" t="s">
        <v>6768</v>
      </c>
      <c r="N317" s="28" t="s">
        <v>147</v>
      </c>
      <c r="O317" s="29">
        <v>167.89</v>
      </c>
      <c r="P317" s="28" t="s">
        <v>148</v>
      </c>
      <c r="Q317" s="28" t="s">
        <v>149</v>
      </c>
      <c r="R317" s="28" t="s">
        <v>328</v>
      </c>
      <c r="S317" s="28" t="s">
        <v>6769</v>
      </c>
      <c r="T317" s="30">
        <v>450</v>
      </c>
      <c r="U317" s="28" t="s">
        <v>6770</v>
      </c>
      <c r="V317" s="28" t="s">
        <v>138</v>
      </c>
      <c r="W317" s="28" t="s">
        <v>138</v>
      </c>
      <c r="X317" s="31">
        <v>2008</v>
      </c>
      <c r="Y317" s="28" t="s">
        <v>138</v>
      </c>
      <c r="Z317" s="28" t="s">
        <v>1163</v>
      </c>
      <c r="AA317" s="28" t="s">
        <v>6771</v>
      </c>
      <c r="AB317" s="32">
        <v>12.46</v>
      </c>
      <c r="AC317" s="32" t="s">
        <v>138</v>
      </c>
      <c r="AD317" s="32" t="s">
        <v>138</v>
      </c>
      <c r="AE317" s="32" t="s">
        <v>138</v>
      </c>
      <c r="AF317" s="32" t="s">
        <v>138</v>
      </c>
      <c r="AG317" s="28" t="s">
        <v>633</v>
      </c>
      <c r="AH317" s="32" t="s">
        <v>138</v>
      </c>
      <c r="AI317" s="32" t="s">
        <v>138</v>
      </c>
      <c r="AJ317" s="32" t="s">
        <v>138</v>
      </c>
      <c r="AK317" s="28" t="s">
        <v>6772</v>
      </c>
      <c r="AL317" s="28" t="s">
        <v>6773</v>
      </c>
      <c r="AM317" s="28" t="s">
        <v>249</v>
      </c>
      <c r="AN317" s="28" t="s">
        <v>6774</v>
      </c>
      <c r="AO317" s="28" t="s">
        <v>6775</v>
      </c>
      <c r="AP317" s="28" t="s">
        <v>2002</v>
      </c>
      <c r="AQ317" s="28" t="s">
        <v>6776</v>
      </c>
      <c r="AR317" s="28" t="s">
        <v>138</v>
      </c>
      <c r="AS317" s="28" t="s">
        <v>2005</v>
      </c>
      <c r="AT317" s="28" t="s">
        <v>200</v>
      </c>
      <c r="AU317" s="28" t="s">
        <v>2006</v>
      </c>
      <c r="AV317" s="28" t="s">
        <v>162</v>
      </c>
      <c r="AW317" s="28" t="s">
        <v>6775</v>
      </c>
      <c r="AX317" s="28" t="s">
        <v>6777</v>
      </c>
      <c r="AY317" s="28" t="s">
        <v>6778</v>
      </c>
      <c r="AZ317" s="28" t="s">
        <v>164</v>
      </c>
      <c r="BA317" s="28" t="s">
        <v>165</v>
      </c>
      <c r="BB317" s="28" t="s">
        <v>6779</v>
      </c>
      <c r="BC317" s="28" t="s">
        <v>6780</v>
      </c>
      <c r="BD317" s="33">
        <v>16</v>
      </c>
      <c r="BE317" s="28" t="s">
        <v>138</v>
      </c>
      <c r="BF317" s="28" t="s">
        <v>138</v>
      </c>
      <c r="BG317" s="28" t="s">
        <v>138</v>
      </c>
      <c r="BH317" s="28" t="s">
        <v>6781</v>
      </c>
      <c r="BI317" s="28" t="s">
        <v>138</v>
      </c>
      <c r="BJ317" s="28" t="s">
        <v>138</v>
      </c>
      <c r="BK317" s="28" t="s">
        <v>6782</v>
      </c>
      <c r="BL317" s="28" t="s">
        <v>6783</v>
      </c>
      <c r="BM317" s="34">
        <v>40893</v>
      </c>
      <c r="BN317" s="29">
        <v>1.1000000000000001</v>
      </c>
      <c r="BO317" s="28" t="s">
        <v>172</v>
      </c>
      <c r="BP317" s="29">
        <v>10.5</v>
      </c>
      <c r="BQ317" s="28" t="s">
        <v>172</v>
      </c>
      <c r="BR317" s="28" t="s">
        <v>262</v>
      </c>
      <c r="BS317" s="28" t="s">
        <v>206</v>
      </c>
      <c r="BT317" s="28" t="s">
        <v>138</v>
      </c>
      <c r="BU317" s="28" t="s">
        <v>263</v>
      </c>
      <c r="BV317" s="28" t="s">
        <v>138</v>
      </c>
      <c r="BW317" s="28" t="s">
        <v>138</v>
      </c>
      <c r="BX317" s="28" t="s">
        <v>138</v>
      </c>
      <c r="BY317" s="28" t="s">
        <v>175</v>
      </c>
      <c r="BZ317" s="34">
        <v>43600</v>
      </c>
      <c r="CA317" s="29">
        <v>55</v>
      </c>
      <c r="CB317" s="28" t="s">
        <v>172</v>
      </c>
      <c r="CC317" s="29">
        <v>850</v>
      </c>
      <c r="CD317" s="28" t="s">
        <v>172</v>
      </c>
      <c r="CE317" s="28" t="s">
        <v>173</v>
      </c>
      <c r="CF317" s="28" t="s">
        <v>408</v>
      </c>
      <c r="CG317" s="28" t="s">
        <v>138</v>
      </c>
      <c r="CH317" s="28" t="s">
        <v>174</v>
      </c>
      <c r="CI317" s="28" t="s">
        <v>138</v>
      </c>
      <c r="CJ317" s="28" t="s">
        <v>138</v>
      </c>
      <c r="CK317" s="28" t="s">
        <v>138</v>
      </c>
      <c r="CL317" s="28" t="s">
        <v>175</v>
      </c>
      <c r="CM317" s="34" t="s">
        <v>138</v>
      </c>
      <c r="CN317" s="29" t="s">
        <v>138</v>
      </c>
      <c r="CO317" s="35">
        <v>0.28000000000000003</v>
      </c>
      <c r="CP317" s="36">
        <v>93</v>
      </c>
      <c r="CQ317" s="35">
        <v>-0.03</v>
      </c>
      <c r="CR317" s="35">
        <v>-8.24</v>
      </c>
      <c r="CS317" s="35">
        <v>0.47</v>
      </c>
      <c r="CT317" s="36">
        <v>95</v>
      </c>
      <c r="CU317" s="35">
        <v>0.09</v>
      </c>
      <c r="CV317" s="36">
        <v>66</v>
      </c>
      <c r="CW317" s="35">
        <v>5.16</v>
      </c>
      <c r="CX317" s="36">
        <v>96</v>
      </c>
      <c r="CY317" s="35">
        <v>-4.2300000000000004</v>
      </c>
      <c r="CZ317" s="36">
        <v>4</v>
      </c>
      <c r="DA317" s="35">
        <v>0.09</v>
      </c>
      <c r="DB317" s="36">
        <v>70</v>
      </c>
      <c r="DC317" s="37">
        <v>20.89</v>
      </c>
      <c r="DD317" s="36">
        <v>95</v>
      </c>
      <c r="DE317" s="37">
        <v>-0.94</v>
      </c>
      <c r="DF317" s="35">
        <v>-4.29</v>
      </c>
      <c r="DG317" s="37">
        <v>29.17</v>
      </c>
      <c r="DH317" s="36">
        <v>97</v>
      </c>
      <c r="DI317" s="37">
        <v>12.61</v>
      </c>
      <c r="DJ317" s="36">
        <v>87</v>
      </c>
      <c r="DK317" s="37">
        <v>29.2</v>
      </c>
      <c r="DL317" s="36">
        <v>94</v>
      </c>
      <c r="DM317" s="37">
        <v>29.14</v>
      </c>
      <c r="DN317" s="36">
        <v>96</v>
      </c>
      <c r="DO317" s="37">
        <v>12.61</v>
      </c>
      <c r="DP317" s="36">
        <v>89</v>
      </c>
      <c r="DQ317" s="36">
        <v>9778</v>
      </c>
      <c r="DR317" s="38">
        <v>714</v>
      </c>
      <c r="DS317" s="35">
        <v>7.88</v>
      </c>
      <c r="DT317" s="36">
        <v>847</v>
      </c>
      <c r="DU317" s="38">
        <v>-5</v>
      </c>
      <c r="DV317" s="35">
        <v>-0.59</v>
      </c>
      <c r="DW317" s="36">
        <v>4512</v>
      </c>
      <c r="DX317" s="39">
        <v>2</v>
      </c>
      <c r="DY317" s="35">
        <v>0.04</v>
      </c>
      <c r="DZ317" s="28" t="s">
        <v>178</v>
      </c>
      <c r="EA317" s="34">
        <v>43622</v>
      </c>
      <c r="EB317" s="29">
        <v>850</v>
      </c>
      <c r="EC317" s="34">
        <v>43600</v>
      </c>
      <c r="ED317" s="28" t="s">
        <v>173</v>
      </c>
      <c r="EE317" s="40" t="str">
        <f>HYPERLINK("https://my.pitchbook.com?c=53609-14", "View company online")</f>
        <v>View company online</v>
      </c>
    </row>
    <row r="318" spans="1:135">
      <c r="A318" s="15" t="s">
        <v>6784</v>
      </c>
      <c r="B318" s="15" t="s">
        <v>6785</v>
      </c>
      <c r="C318" s="15" t="s">
        <v>138</v>
      </c>
      <c r="D318" s="15" t="s">
        <v>138</v>
      </c>
      <c r="E318" s="15" t="s">
        <v>6786</v>
      </c>
      <c r="F318" s="15" t="s">
        <v>6784</v>
      </c>
      <c r="G318" s="15" t="s">
        <v>6787</v>
      </c>
      <c r="H318" s="15" t="s">
        <v>322</v>
      </c>
      <c r="I318" s="15" t="s">
        <v>323</v>
      </c>
      <c r="J318" s="15" t="s">
        <v>324</v>
      </c>
      <c r="K318" s="15" t="s">
        <v>1649</v>
      </c>
      <c r="L318" s="15" t="s">
        <v>6788</v>
      </c>
      <c r="M318" s="15" t="s">
        <v>6789</v>
      </c>
      <c r="N318" s="15" t="s">
        <v>147</v>
      </c>
      <c r="O318" s="17">
        <v>161.74</v>
      </c>
      <c r="P318" s="15" t="s">
        <v>148</v>
      </c>
      <c r="Q318" s="15" t="s">
        <v>149</v>
      </c>
      <c r="R318" s="15" t="s">
        <v>174</v>
      </c>
      <c r="S318" s="15" t="s">
        <v>6790</v>
      </c>
      <c r="T318" s="18">
        <v>205</v>
      </c>
      <c r="U318" s="15" t="s">
        <v>6791</v>
      </c>
      <c r="V318" s="15" t="s">
        <v>138</v>
      </c>
      <c r="W318" s="15" t="s">
        <v>138</v>
      </c>
      <c r="X318" s="19">
        <v>2009</v>
      </c>
      <c r="Y318" s="15" t="s">
        <v>138</v>
      </c>
      <c r="Z318" s="15" t="s">
        <v>138</v>
      </c>
      <c r="AA318" s="15" t="s">
        <v>138</v>
      </c>
      <c r="AB318" s="20" t="s">
        <v>138</v>
      </c>
      <c r="AC318" s="20" t="s">
        <v>138</v>
      </c>
      <c r="AD318" s="20" t="s">
        <v>138</v>
      </c>
      <c r="AE318" s="20" t="s">
        <v>138</v>
      </c>
      <c r="AF318" s="20" t="s">
        <v>138</v>
      </c>
      <c r="AG318" s="15" t="s">
        <v>138</v>
      </c>
      <c r="AH318" s="20" t="s">
        <v>138</v>
      </c>
      <c r="AI318" s="20" t="s">
        <v>138</v>
      </c>
      <c r="AJ318" s="20" t="s">
        <v>138</v>
      </c>
      <c r="AK318" s="15" t="s">
        <v>6792</v>
      </c>
      <c r="AL318" s="15" t="s">
        <v>6793</v>
      </c>
      <c r="AM318" s="15" t="s">
        <v>2194</v>
      </c>
      <c r="AN318" s="15" t="s">
        <v>6794</v>
      </c>
      <c r="AO318" s="15" t="s">
        <v>6795</v>
      </c>
      <c r="AP318" s="15" t="s">
        <v>665</v>
      </c>
      <c r="AQ318" s="15" t="s">
        <v>6796</v>
      </c>
      <c r="AR318" s="15" t="s">
        <v>6688</v>
      </c>
      <c r="AS318" s="15" t="s">
        <v>668</v>
      </c>
      <c r="AT318" s="15" t="s">
        <v>200</v>
      </c>
      <c r="AU318" s="15" t="s">
        <v>1893</v>
      </c>
      <c r="AV318" s="15" t="s">
        <v>162</v>
      </c>
      <c r="AW318" s="15" t="s">
        <v>6797</v>
      </c>
      <c r="AX318" s="15" t="s">
        <v>138</v>
      </c>
      <c r="AY318" s="15" t="s">
        <v>6798</v>
      </c>
      <c r="AZ318" s="15" t="s">
        <v>164</v>
      </c>
      <c r="BA318" s="15" t="s">
        <v>165</v>
      </c>
      <c r="BB318" s="15" t="s">
        <v>6799</v>
      </c>
      <c r="BC318" s="15" t="s">
        <v>6800</v>
      </c>
      <c r="BD318" s="21">
        <v>18</v>
      </c>
      <c r="BE318" s="15" t="s">
        <v>138</v>
      </c>
      <c r="BF318" s="15" t="s">
        <v>6801</v>
      </c>
      <c r="BG318" s="15" t="s">
        <v>138</v>
      </c>
      <c r="BH318" s="15" t="s">
        <v>6802</v>
      </c>
      <c r="BI318" s="15" t="s">
        <v>6803</v>
      </c>
      <c r="BJ318" s="15" t="s">
        <v>138</v>
      </c>
      <c r="BK318" s="15" t="s">
        <v>6804</v>
      </c>
      <c r="BL318" s="15" t="s">
        <v>6805</v>
      </c>
      <c r="BM318" s="22">
        <v>39814</v>
      </c>
      <c r="BN318" s="17" t="s">
        <v>138</v>
      </c>
      <c r="BO318" s="15" t="s">
        <v>138</v>
      </c>
      <c r="BP318" s="17" t="s">
        <v>138</v>
      </c>
      <c r="BQ318" s="15" t="s">
        <v>138</v>
      </c>
      <c r="BR318" s="15" t="s">
        <v>262</v>
      </c>
      <c r="BS318" s="15" t="s">
        <v>262</v>
      </c>
      <c r="BT318" s="15" t="s">
        <v>138</v>
      </c>
      <c r="BU318" s="15" t="s">
        <v>263</v>
      </c>
      <c r="BV318" s="15" t="s">
        <v>138</v>
      </c>
      <c r="BW318" s="15" t="s">
        <v>138</v>
      </c>
      <c r="BX318" s="15" t="s">
        <v>138</v>
      </c>
      <c r="BY318" s="15" t="s">
        <v>175</v>
      </c>
      <c r="BZ318" s="22">
        <v>43280</v>
      </c>
      <c r="CA318" s="17">
        <v>5</v>
      </c>
      <c r="CB318" s="15" t="s">
        <v>172</v>
      </c>
      <c r="CC318" s="17">
        <v>355</v>
      </c>
      <c r="CD318" s="15" t="s">
        <v>172</v>
      </c>
      <c r="CE318" s="15" t="s">
        <v>173</v>
      </c>
      <c r="CF318" s="15" t="s">
        <v>138</v>
      </c>
      <c r="CG318" s="15" t="s">
        <v>138</v>
      </c>
      <c r="CH318" s="15" t="s">
        <v>174</v>
      </c>
      <c r="CI318" s="15" t="s">
        <v>138</v>
      </c>
      <c r="CJ318" s="15" t="s">
        <v>138</v>
      </c>
      <c r="CK318" s="15" t="s">
        <v>138</v>
      </c>
      <c r="CL318" s="15" t="s">
        <v>175</v>
      </c>
      <c r="CM318" s="22" t="s">
        <v>138</v>
      </c>
      <c r="CN318" s="17" t="s">
        <v>138</v>
      </c>
      <c r="CO318" s="23">
        <v>-0.67</v>
      </c>
      <c r="CP318" s="24">
        <v>14</v>
      </c>
      <c r="CQ318" s="23">
        <v>0.03</v>
      </c>
      <c r="CR318" s="23">
        <v>4.6100000000000003</v>
      </c>
      <c r="CS318" s="23">
        <v>-1.46</v>
      </c>
      <c r="CT318" s="24">
        <v>12</v>
      </c>
      <c r="CU318" s="23">
        <v>0.12</v>
      </c>
      <c r="CV318" s="24">
        <v>71</v>
      </c>
      <c r="CW318" s="23">
        <v>0.2</v>
      </c>
      <c r="CX318" s="24">
        <v>81</v>
      </c>
      <c r="CY318" s="23">
        <v>-3.13</v>
      </c>
      <c r="CZ318" s="24">
        <v>6</v>
      </c>
      <c r="DA318" s="23">
        <v>0.1</v>
      </c>
      <c r="DB318" s="24">
        <v>72</v>
      </c>
      <c r="DC318" s="25">
        <v>12.17</v>
      </c>
      <c r="DD318" s="24">
        <v>92</v>
      </c>
      <c r="DE318" s="25">
        <v>-0.35</v>
      </c>
      <c r="DF318" s="23">
        <v>-2.79</v>
      </c>
      <c r="DG318" s="25">
        <v>20.69</v>
      </c>
      <c r="DH318" s="24">
        <v>95</v>
      </c>
      <c r="DI318" s="25">
        <v>3.65</v>
      </c>
      <c r="DJ318" s="24">
        <v>73</v>
      </c>
      <c r="DK318" s="25">
        <v>12.83</v>
      </c>
      <c r="DL318" s="24">
        <v>89</v>
      </c>
      <c r="DM318" s="25">
        <v>28.55</v>
      </c>
      <c r="DN318" s="24">
        <v>96</v>
      </c>
      <c r="DO318" s="25">
        <v>6.46</v>
      </c>
      <c r="DP318" s="24">
        <v>83</v>
      </c>
      <c r="DQ318" s="24">
        <v>4385</v>
      </c>
      <c r="DR318" s="26">
        <v>43</v>
      </c>
      <c r="DS318" s="23">
        <v>0.99</v>
      </c>
      <c r="DT318" s="24">
        <v>825</v>
      </c>
      <c r="DU318" s="26">
        <v>6</v>
      </c>
      <c r="DV318" s="23">
        <v>0.73</v>
      </c>
      <c r="DW318" s="24">
        <v>2312</v>
      </c>
      <c r="DX318" s="27">
        <v>6</v>
      </c>
      <c r="DY318" s="23">
        <v>0.26</v>
      </c>
      <c r="DZ318" s="15" t="s">
        <v>178</v>
      </c>
      <c r="EA318" s="22">
        <v>43622</v>
      </c>
      <c r="EB318" s="17">
        <v>355</v>
      </c>
      <c r="EC318" s="22">
        <v>43280</v>
      </c>
      <c r="ED318" s="15" t="s">
        <v>173</v>
      </c>
      <c r="EE318" s="14" t="str">
        <f>HYPERLINK("https://my.pitchbook.com?c=51361-30", "View company online")</f>
        <v>View company online</v>
      </c>
    </row>
    <row r="319" spans="1:135">
      <c r="A319" s="28" t="s">
        <v>6806</v>
      </c>
      <c r="B319" s="28" t="s">
        <v>6807</v>
      </c>
      <c r="C319" s="28" t="s">
        <v>138</v>
      </c>
      <c r="D319" s="28" t="s">
        <v>138</v>
      </c>
      <c r="E319" s="28" t="s">
        <v>138</v>
      </c>
      <c r="F319" s="28" t="s">
        <v>6806</v>
      </c>
      <c r="G319" s="28" t="s">
        <v>6808</v>
      </c>
      <c r="H319" s="28" t="s">
        <v>238</v>
      </c>
      <c r="I319" s="28" t="s">
        <v>239</v>
      </c>
      <c r="J319" s="28" t="s">
        <v>240</v>
      </c>
      <c r="K319" s="28" t="s">
        <v>6809</v>
      </c>
      <c r="L319" s="28" t="s">
        <v>6810</v>
      </c>
      <c r="M319" s="28" t="s">
        <v>6811</v>
      </c>
      <c r="N319" s="28" t="s">
        <v>147</v>
      </c>
      <c r="O319" s="29">
        <v>115.35</v>
      </c>
      <c r="P319" s="28" t="s">
        <v>148</v>
      </c>
      <c r="Q319" s="28" t="s">
        <v>149</v>
      </c>
      <c r="R319" s="28" t="s">
        <v>174</v>
      </c>
      <c r="S319" s="28" t="s">
        <v>6812</v>
      </c>
      <c r="T319" s="30">
        <v>160</v>
      </c>
      <c r="U319" s="28" t="s">
        <v>6813</v>
      </c>
      <c r="V319" s="28" t="s">
        <v>138</v>
      </c>
      <c r="W319" s="28" t="s">
        <v>138</v>
      </c>
      <c r="X319" s="31">
        <v>2012</v>
      </c>
      <c r="Y319" s="28" t="s">
        <v>138</v>
      </c>
      <c r="Z319" s="28" t="s">
        <v>138</v>
      </c>
      <c r="AA319" s="28" t="s">
        <v>138</v>
      </c>
      <c r="AB319" s="32" t="s">
        <v>138</v>
      </c>
      <c r="AC319" s="32" t="s">
        <v>138</v>
      </c>
      <c r="AD319" s="32" t="s">
        <v>138</v>
      </c>
      <c r="AE319" s="32" t="s">
        <v>138</v>
      </c>
      <c r="AF319" s="32" t="s">
        <v>138</v>
      </c>
      <c r="AG319" s="28" t="s">
        <v>138</v>
      </c>
      <c r="AH319" s="32" t="s">
        <v>138</v>
      </c>
      <c r="AI319" s="32" t="s">
        <v>138</v>
      </c>
      <c r="AJ319" s="32" t="s">
        <v>138</v>
      </c>
      <c r="AK319" s="28" t="s">
        <v>6814</v>
      </c>
      <c r="AL319" s="28" t="s">
        <v>6815</v>
      </c>
      <c r="AM319" s="28" t="s">
        <v>818</v>
      </c>
      <c r="AN319" s="28" t="s">
        <v>6816</v>
      </c>
      <c r="AO319" s="28" t="s">
        <v>6817</v>
      </c>
      <c r="AP319" s="28" t="s">
        <v>4898</v>
      </c>
      <c r="AQ319" s="28" t="s">
        <v>6818</v>
      </c>
      <c r="AR319" s="28" t="s">
        <v>6819</v>
      </c>
      <c r="AS319" s="28" t="s">
        <v>4900</v>
      </c>
      <c r="AT319" s="28" t="s">
        <v>200</v>
      </c>
      <c r="AU319" s="28" t="s">
        <v>5813</v>
      </c>
      <c r="AV319" s="28" t="s">
        <v>162</v>
      </c>
      <c r="AW319" s="28" t="s">
        <v>6817</v>
      </c>
      <c r="AX319" s="28" t="s">
        <v>138</v>
      </c>
      <c r="AY319" s="28" t="s">
        <v>6820</v>
      </c>
      <c r="AZ319" s="28" t="s">
        <v>164</v>
      </c>
      <c r="BA319" s="28" t="s">
        <v>165</v>
      </c>
      <c r="BB319" s="28" t="s">
        <v>6821</v>
      </c>
      <c r="BC319" s="28" t="s">
        <v>6822</v>
      </c>
      <c r="BD319" s="33">
        <v>14</v>
      </c>
      <c r="BE319" s="28" t="s">
        <v>138</v>
      </c>
      <c r="BF319" s="28" t="s">
        <v>138</v>
      </c>
      <c r="BG319" s="28" t="s">
        <v>138</v>
      </c>
      <c r="BH319" s="28" t="s">
        <v>6823</v>
      </c>
      <c r="BI319" s="28" t="s">
        <v>138</v>
      </c>
      <c r="BJ319" s="28" t="s">
        <v>138</v>
      </c>
      <c r="BK319" s="28" t="s">
        <v>2936</v>
      </c>
      <c r="BL319" s="28" t="s">
        <v>2936</v>
      </c>
      <c r="BM319" s="34">
        <v>41337</v>
      </c>
      <c r="BN319" s="29">
        <v>5.35</v>
      </c>
      <c r="BO319" s="28" t="s">
        <v>172</v>
      </c>
      <c r="BP319" s="29">
        <v>15.71</v>
      </c>
      <c r="BQ319" s="28" t="s">
        <v>172</v>
      </c>
      <c r="BR319" s="28" t="s">
        <v>205</v>
      </c>
      <c r="BS319" s="28" t="s">
        <v>206</v>
      </c>
      <c r="BT319" s="28" t="s">
        <v>138</v>
      </c>
      <c r="BU319" s="28" t="s">
        <v>174</v>
      </c>
      <c r="BV319" s="28" t="s">
        <v>138</v>
      </c>
      <c r="BW319" s="28" t="s">
        <v>138</v>
      </c>
      <c r="BX319" s="28" t="s">
        <v>138</v>
      </c>
      <c r="BY319" s="28" t="s">
        <v>175</v>
      </c>
      <c r="BZ319" s="34">
        <v>43390</v>
      </c>
      <c r="CA319" s="29">
        <v>35</v>
      </c>
      <c r="CB319" s="28" t="s">
        <v>172</v>
      </c>
      <c r="CC319" s="29">
        <v>400</v>
      </c>
      <c r="CD319" s="28" t="s">
        <v>172</v>
      </c>
      <c r="CE319" s="28" t="s">
        <v>173</v>
      </c>
      <c r="CF319" s="28" t="s">
        <v>482</v>
      </c>
      <c r="CG319" s="28" t="s">
        <v>138</v>
      </c>
      <c r="CH319" s="28" t="s">
        <v>174</v>
      </c>
      <c r="CI319" s="28" t="s">
        <v>138</v>
      </c>
      <c r="CJ319" s="28" t="s">
        <v>138</v>
      </c>
      <c r="CK319" s="28" t="s">
        <v>138</v>
      </c>
      <c r="CL319" s="28" t="s">
        <v>175</v>
      </c>
      <c r="CM319" s="34" t="s">
        <v>138</v>
      </c>
      <c r="CN319" s="29" t="s">
        <v>138</v>
      </c>
      <c r="CO319" s="35">
        <v>-0.3</v>
      </c>
      <c r="CP319" s="36">
        <v>18</v>
      </c>
      <c r="CQ319" s="35">
        <v>0</v>
      </c>
      <c r="CR319" s="35">
        <v>0.55000000000000004</v>
      </c>
      <c r="CS319" s="35">
        <v>-1.1100000000000001</v>
      </c>
      <c r="CT319" s="36">
        <v>14</v>
      </c>
      <c r="CU319" s="35">
        <v>0.18</v>
      </c>
      <c r="CV319" s="36">
        <v>78</v>
      </c>
      <c r="CW319" s="35">
        <v>-1.32</v>
      </c>
      <c r="CX319" s="36">
        <v>9</v>
      </c>
      <c r="CY319" s="35">
        <v>-0.9</v>
      </c>
      <c r="CZ319" s="36">
        <v>20</v>
      </c>
      <c r="DA319" s="35">
        <v>0.36</v>
      </c>
      <c r="DB319" s="36">
        <v>91</v>
      </c>
      <c r="DC319" s="37">
        <v>5763.81</v>
      </c>
      <c r="DD319" s="36">
        <v>100</v>
      </c>
      <c r="DE319" s="37">
        <v>-10.67</v>
      </c>
      <c r="DF319" s="35">
        <v>-0.18</v>
      </c>
      <c r="DG319" s="37">
        <v>245.85</v>
      </c>
      <c r="DH319" s="36">
        <v>100</v>
      </c>
      <c r="DI319" s="37">
        <v>16897.39</v>
      </c>
      <c r="DJ319" s="36">
        <v>100</v>
      </c>
      <c r="DK319" s="37">
        <v>366.26</v>
      </c>
      <c r="DL319" s="36">
        <v>99</v>
      </c>
      <c r="DM319" s="37">
        <v>125.45</v>
      </c>
      <c r="DN319" s="36">
        <v>100</v>
      </c>
      <c r="DO319" s="37">
        <v>669.72</v>
      </c>
      <c r="DP319" s="36">
        <v>100</v>
      </c>
      <c r="DQ319" s="36">
        <v>127706</v>
      </c>
      <c r="DR319" s="38">
        <v>-6243</v>
      </c>
      <c r="DS319" s="35">
        <v>-4.66</v>
      </c>
      <c r="DT319" s="36">
        <v>3635</v>
      </c>
      <c r="DU319" s="38">
        <v>9</v>
      </c>
      <c r="DV319" s="35">
        <v>0.25</v>
      </c>
      <c r="DW319" s="36">
        <v>239474</v>
      </c>
      <c r="DX319" s="39">
        <v>709</v>
      </c>
      <c r="DY319" s="35">
        <v>0.3</v>
      </c>
      <c r="DZ319" s="28" t="s">
        <v>178</v>
      </c>
      <c r="EA319" s="34">
        <v>43578</v>
      </c>
      <c r="EB319" s="29">
        <v>400</v>
      </c>
      <c r="EC319" s="34">
        <v>43390</v>
      </c>
      <c r="ED319" s="28" t="s">
        <v>173</v>
      </c>
      <c r="EE319" s="40" t="str">
        <f>HYPERLINK("https://my.pitchbook.com?c=56244-25", "View company online")</f>
        <v>View company online</v>
      </c>
    </row>
    <row r="320" spans="1:135">
      <c r="A320" s="15" t="s">
        <v>6824</v>
      </c>
      <c r="B320" s="15" t="s">
        <v>6825</v>
      </c>
      <c r="C320" s="15" t="s">
        <v>138</v>
      </c>
      <c r="D320" s="15" t="s">
        <v>138</v>
      </c>
      <c r="E320" s="15" t="s">
        <v>138</v>
      </c>
      <c r="F320" s="15" t="s">
        <v>6824</v>
      </c>
      <c r="G320" s="15" t="s">
        <v>6826</v>
      </c>
      <c r="H320" s="15" t="s">
        <v>322</v>
      </c>
      <c r="I320" s="15" t="s">
        <v>323</v>
      </c>
      <c r="J320" s="15" t="s">
        <v>413</v>
      </c>
      <c r="K320" s="15" t="s">
        <v>6827</v>
      </c>
      <c r="L320" s="15" t="s">
        <v>415</v>
      </c>
      <c r="M320" s="15" t="s">
        <v>6828</v>
      </c>
      <c r="N320" s="15" t="s">
        <v>147</v>
      </c>
      <c r="O320" s="17" t="s">
        <v>138</v>
      </c>
      <c r="P320" s="15" t="s">
        <v>148</v>
      </c>
      <c r="Q320" s="15" t="s">
        <v>149</v>
      </c>
      <c r="R320" s="15" t="s">
        <v>174</v>
      </c>
      <c r="S320" s="15" t="s">
        <v>6829</v>
      </c>
      <c r="T320" s="18" t="s">
        <v>138</v>
      </c>
      <c r="U320" s="15" t="s">
        <v>138</v>
      </c>
      <c r="V320" s="15" t="s">
        <v>138</v>
      </c>
      <c r="W320" s="15" t="s">
        <v>138</v>
      </c>
      <c r="X320" s="19" t="s">
        <v>138</v>
      </c>
      <c r="Y320" s="15" t="s">
        <v>138</v>
      </c>
      <c r="Z320" s="15" t="s">
        <v>138</v>
      </c>
      <c r="AA320" s="15" t="s">
        <v>138</v>
      </c>
      <c r="AB320" s="20" t="s">
        <v>138</v>
      </c>
      <c r="AC320" s="20" t="s">
        <v>138</v>
      </c>
      <c r="AD320" s="20" t="s">
        <v>138</v>
      </c>
      <c r="AE320" s="20" t="s">
        <v>138</v>
      </c>
      <c r="AF320" s="20" t="s">
        <v>138</v>
      </c>
      <c r="AG320" s="15" t="s">
        <v>138</v>
      </c>
      <c r="AH320" s="20" t="s">
        <v>138</v>
      </c>
      <c r="AI320" s="20" t="s">
        <v>138</v>
      </c>
      <c r="AJ320" s="20" t="s">
        <v>138</v>
      </c>
      <c r="AK320" s="15" t="s">
        <v>6830</v>
      </c>
      <c r="AL320" s="15" t="s">
        <v>6831</v>
      </c>
      <c r="AM320" s="15" t="s">
        <v>916</v>
      </c>
      <c r="AN320" s="15" t="s">
        <v>138</v>
      </c>
      <c r="AO320" s="15" t="s">
        <v>138</v>
      </c>
      <c r="AP320" s="15" t="s">
        <v>3328</v>
      </c>
      <c r="AQ320" s="15" t="s">
        <v>6832</v>
      </c>
      <c r="AR320" s="15" t="s">
        <v>138</v>
      </c>
      <c r="AS320" s="15" t="s">
        <v>3330</v>
      </c>
      <c r="AT320" s="15" t="s">
        <v>200</v>
      </c>
      <c r="AU320" s="15" t="s">
        <v>3331</v>
      </c>
      <c r="AV320" s="15" t="s">
        <v>162</v>
      </c>
      <c r="AW320" s="15" t="s">
        <v>138</v>
      </c>
      <c r="AX320" s="15" t="s">
        <v>138</v>
      </c>
      <c r="AY320" s="15" t="s">
        <v>138</v>
      </c>
      <c r="AZ320" s="15" t="s">
        <v>164</v>
      </c>
      <c r="BA320" s="15" t="s">
        <v>165</v>
      </c>
      <c r="BB320" s="15" t="s">
        <v>6833</v>
      </c>
      <c r="BC320" s="15" t="s">
        <v>6834</v>
      </c>
      <c r="BD320" s="21">
        <v>25</v>
      </c>
      <c r="BE320" s="15" t="s">
        <v>138</v>
      </c>
      <c r="BF320" s="15" t="s">
        <v>138</v>
      </c>
      <c r="BG320" s="15" t="s">
        <v>138</v>
      </c>
      <c r="BH320" s="15" t="s">
        <v>6835</v>
      </c>
      <c r="BI320" s="15" t="s">
        <v>138</v>
      </c>
      <c r="BJ320" s="15" t="s">
        <v>138</v>
      </c>
      <c r="BK320" s="15" t="s">
        <v>6836</v>
      </c>
      <c r="BL320" s="15" t="s">
        <v>6836</v>
      </c>
      <c r="BM320" s="22">
        <v>43160</v>
      </c>
      <c r="BN320" s="17" t="s">
        <v>138</v>
      </c>
      <c r="BO320" s="15" t="s">
        <v>138</v>
      </c>
      <c r="BP320" s="17" t="s">
        <v>138</v>
      </c>
      <c r="BQ320" s="15" t="s">
        <v>138</v>
      </c>
      <c r="BR320" s="15" t="s">
        <v>205</v>
      </c>
      <c r="BS320" s="15" t="s">
        <v>138</v>
      </c>
      <c r="BT320" s="15" t="s">
        <v>138</v>
      </c>
      <c r="BU320" s="15" t="s">
        <v>174</v>
      </c>
      <c r="BV320" s="15" t="s">
        <v>138</v>
      </c>
      <c r="BW320" s="15" t="s">
        <v>138</v>
      </c>
      <c r="BX320" s="15" t="s">
        <v>138</v>
      </c>
      <c r="BY320" s="15" t="s">
        <v>175</v>
      </c>
      <c r="BZ320" s="22">
        <v>43160</v>
      </c>
      <c r="CA320" s="17" t="s">
        <v>138</v>
      </c>
      <c r="CB320" s="15" t="s">
        <v>138</v>
      </c>
      <c r="CC320" s="17" t="s">
        <v>138</v>
      </c>
      <c r="CD320" s="15" t="s">
        <v>138</v>
      </c>
      <c r="CE320" s="15" t="s">
        <v>205</v>
      </c>
      <c r="CF320" s="15" t="s">
        <v>138</v>
      </c>
      <c r="CG320" s="15" t="s">
        <v>138</v>
      </c>
      <c r="CH320" s="15" t="s">
        <v>174</v>
      </c>
      <c r="CI320" s="15" t="s">
        <v>138</v>
      </c>
      <c r="CJ320" s="15" t="s">
        <v>138</v>
      </c>
      <c r="CK320" s="15" t="s">
        <v>138</v>
      </c>
      <c r="CL320" s="15" t="s">
        <v>175</v>
      </c>
      <c r="CM320" s="22" t="s">
        <v>138</v>
      </c>
      <c r="CN320" s="17" t="s">
        <v>138</v>
      </c>
      <c r="CO320" s="23">
        <v>0.56000000000000005</v>
      </c>
      <c r="CP320" s="24">
        <v>95</v>
      </c>
      <c r="CQ320" s="23">
        <v>0.04</v>
      </c>
      <c r="CR320" s="23">
        <v>8.6199999999999992</v>
      </c>
      <c r="CS320" s="23">
        <v>0.56999999999999995</v>
      </c>
      <c r="CT320" s="24">
        <v>96</v>
      </c>
      <c r="CU320" s="23">
        <v>0.55000000000000004</v>
      </c>
      <c r="CV320" s="24">
        <v>94</v>
      </c>
      <c r="CW320" s="23">
        <v>0</v>
      </c>
      <c r="CX320" s="24">
        <v>13</v>
      </c>
      <c r="CY320" s="23">
        <v>1.1299999999999999</v>
      </c>
      <c r="CZ320" s="24">
        <v>99</v>
      </c>
      <c r="DA320" s="23">
        <v>0.21</v>
      </c>
      <c r="DB320" s="24">
        <v>83</v>
      </c>
      <c r="DC320" s="25">
        <v>5.83</v>
      </c>
      <c r="DD320" s="24">
        <v>85</v>
      </c>
      <c r="DE320" s="25">
        <v>-0.06</v>
      </c>
      <c r="DF320" s="23">
        <v>-0.98</v>
      </c>
      <c r="DG320" s="25">
        <v>6.57</v>
      </c>
      <c r="DH320" s="24">
        <v>86</v>
      </c>
      <c r="DI320" s="25">
        <v>5.0999999999999996</v>
      </c>
      <c r="DJ320" s="24">
        <v>78</v>
      </c>
      <c r="DK320" s="25">
        <v>2.62</v>
      </c>
      <c r="DL320" s="24">
        <v>69</v>
      </c>
      <c r="DM320" s="25">
        <v>10.52</v>
      </c>
      <c r="DN320" s="24">
        <v>89</v>
      </c>
      <c r="DO320" s="25">
        <v>9.99</v>
      </c>
      <c r="DP320" s="24">
        <v>87</v>
      </c>
      <c r="DQ320" s="24">
        <v>863</v>
      </c>
      <c r="DR320" s="26">
        <v>101</v>
      </c>
      <c r="DS320" s="23">
        <v>13.25</v>
      </c>
      <c r="DT320" s="24">
        <v>304</v>
      </c>
      <c r="DU320" s="26">
        <v>2</v>
      </c>
      <c r="DV320" s="23">
        <v>0.66</v>
      </c>
      <c r="DW320" s="24">
        <v>3574</v>
      </c>
      <c r="DX320" s="27">
        <v>12</v>
      </c>
      <c r="DY320" s="23">
        <v>0.34</v>
      </c>
      <c r="DZ320" s="15" t="s">
        <v>178</v>
      </c>
      <c r="EA320" s="22">
        <v>43599</v>
      </c>
      <c r="EB320" s="17" t="s">
        <v>138</v>
      </c>
      <c r="EC320" s="22" t="s">
        <v>138</v>
      </c>
      <c r="ED320" s="15" t="s">
        <v>138</v>
      </c>
      <c r="EE320" s="14" t="str">
        <f>HYPERLINK("https://my.pitchbook.com?c=231242-68", "View company online")</f>
        <v>View company online</v>
      </c>
    </row>
    <row r="321" spans="1:135">
      <c r="A321" s="28" t="s">
        <v>6837</v>
      </c>
      <c r="B321" s="28" t="s">
        <v>6838</v>
      </c>
      <c r="C321" s="28" t="s">
        <v>138</v>
      </c>
      <c r="D321" s="28" t="s">
        <v>6839</v>
      </c>
      <c r="E321" s="28" t="s">
        <v>138</v>
      </c>
      <c r="F321" s="28" t="s">
        <v>6837</v>
      </c>
      <c r="G321" s="28" t="s">
        <v>6840</v>
      </c>
      <c r="H321" s="28" t="s">
        <v>141</v>
      </c>
      <c r="I321" s="28" t="s">
        <v>142</v>
      </c>
      <c r="J321" s="28" t="s">
        <v>4042</v>
      </c>
      <c r="K321" s="28" t="s">
        <v>6841</v>
      </c>
      <c r="L321" s="28" t="s">
        <v>6842</v>
      </c>
      <c r="M321" s="28" t="s">
        <v>6843</v>
      </c>
      <c r="N321" s="28" t="s">
        <v>147</v>
      </c>
      <c r="O321" s="29" t="s">
        <v>138</v>
      </c>
      <c r="P321" s="28" t="s">
        <v>148</v>
      </c>
      <c r="Q321" s="28" t="s">
        <v>149</v>
      </c>
      <c r="R321" s="28" t="s">
        <v>174</v>
      </c>
      <c r="S321" s="28" t="s">
        <v>6844</v>
      </c>
      <c r="T321" s="30">
        <v>19</v>
      </c>
      <c r="U321" s="28" t="s">
        <v>6845</v>
      </c>
      <c r="V321" s="28" t="s">
        <v>138</v>
      </c>
      <c r="W321" s="28" t="s">
        <v>138</v>
      </c>
      <c r="X321" s="31">
        <v>2011</v>
      </c>
      <c r="Y321" s="28" t="s">
        <v>138</v>
      </c>
      <c r="Z321" s="28" t="s">
        <v>138</v>
      </c>
      <c r="AA321" s="28" t="s">
        <v>138</v>
      </c>
      <c r="AB321" s="32">
        <v>0.56000000000000005</v>
      </c>
      <c r="AC321" s="32">
        <v>0.55000000000000004</v>
      </c>
      <c r="AD321" s="32">
        <v>-1.95</v>
      </c>
      <c r="AE321" s="32" t="s">
        <v>138</v>
      </c>
      <c r="AF321" s="32">
        <v>-1.1100000000000001</v>
      </c>
      <c r="AG321" s="28" t="s">
        <v>419</v>
      </c>
      <c r="AH321" s="32" t="s">
        <v>138</v>
      </c>
      <c r="AI321" s="32" t="s">
        <v>138</v>
      </c>
      <c r="AJ321" s="32" t="s">
        <v>138</v>
      </c>
      <c r="AK321" s="28" t="s">
        <v>6846</v>
      </c>
      <c r="AL321" s="28" t="s">
        <v>6847</v>
      </c>
      <c r="AM321" s="28" t="s">
        <v>6209</v>
      </c>
      <c r="AN321" s="28" t="s">
        <v>6848</v>
      </c>
      <c r="AO321" s="28" t="s">
        <v>6849</v>
      </c>
      <c r="AP321" s="28" t="s">
        <v>6850</v>
      </c>
      <c r="AQ321" s="28" t="s">
        <v>6851</v>
      </c>
      <c r="AR321" s="28" t="s">
        <v>138</v>
      </c>
      <c r="AS321" s="28" t="s">
        <v>6852</v>
      </c>
      <c r="AT321" s="28" t="s">
        <v>138</v>
      </c>
      <c r="AU321" s="28" t="s">
        <v>6853</v>
      </c>
      <c r="AV321" s="28" t="s">
        <v>573</v>
      </c>
      <c r="AW321" s="28" t="s">
        <v>6849</v>
      </c>
      <c r="AX321" s="28" t="s">
        <v>138</v>
      </c>
      <c r="AY321" s="28" t="s">
        <v>6854</v>
      </c>
      <c r="AZ321" s="28" t="s">
        <v>530</v>
      </c>
      <c r="BA321" s="28" t="s">
        <v>577</v>
      </c>
      <c r="BB321" s="28" t="s">
        <v>6855</v>
      </c>
      <c r="BC321" s="28" t="s">
        <v>6856</v>
      </c>
      <c r="BD321" s="33">
        <v>2</v>
      </c>
      <c r="BE321" s="28" t="s">
        <v>138</v>
      </c>
      <c r="BF321" s="28" t="s">
        <v>138</v>
      </c>
      <c r="BG321" s="28" t="s">
        <v>138</v>
      </c>
      <c r="BH321" s="28" t="s">
        <v>6857</v>
      </c>
      <c r="BI321" s="28" t="s">
        <v>138</v>
      </c>
      <c r="BJ321" s="28" t="s">
        <v>138</v>
      </c>
      <c r="BK321" s="28" t="s">
        <v>138</v>
      </c>
      <c r="BL321" s="28" t="s">
        <v>138</v>
      </c>
      <c r="BM321" s="34">
        <v>42248</v>
      </c>
      <c r="BN321" s="29" t="s">
        <v>138</v>
      </c>
      <c r="BO321" s="28" t="s">
        <v>138</v>
      </c>
      <c r="BP321" s="29" t="s">
        <v>138</v>
      </c>
      <c r="BQ321" s="28" t="s">
        <v>138</v>
      </c>
      <c r="BR321" s="28" t="s">
        <v>205</v>
      </c>
      <c r="BS321" s="28" t="s">
        <v>138</v>
      </c>
      <c r="BT321" s="28" t="s">
        <v>138</v>
      </c>
      <c r="BU321" s="28" t="s">
        <v>174</v>
      </c>
      <c r="BV321" s="28" t="s">
        <v>138</v>
      </c>
      <c r="BW321" s="28" t="s">
        <v>138</v>
      </c>
      <c r="BX321" s="28" t="s">
        <v>138</v>
      </c>
      <c r="BY321" s="28" t="s">
        <v>175</v>
      </c>
      <c r="BZ321" s="34">
        <v>42248</v>
      </c>
      <c r="CA321" s="29" t="s">
        <v>138</v>
      </c>
      <c r="CB321" s="28" t="s">
        <v>138</v>
      </c>
      <c r="CC321" s="29" t="s">
        <v>138</v>
      </c>
      <c r="CD321" s="28" t="s">
        <v>138</v>
      </c>
      <c r="CE321" s="28" t="s">
        <v>205</v>
      </c>
      <c r="CF321" s="28" t="s">
        <v>138</v>
      </c>
      <c r="CG321" s="28" t="s">
        <v>138</v>
      </c>
      <c r="CH321" s="28" t="s">
        <v>174</v>
      </c>
      <c r="CI321" s="28" t="s">
        <v>138</v>
      </c>
      <c r="CJ321" s="28" t="s">
        <v>138</v>
      </c>
      <c r="CK321" s="28" t="s">
        <v>138</v>
      </c>
      <c r="CL321" s="28" t="s">
        <v>175</v>
      </c>
      <c r="CM321" s="34" t="s">
        <v>138</v>
      </c>
      <c r="CN321" s="29" t="s">
        <v>138</v>
      </c>
      <c r="CO321" s="35">
        <v>0</v>
      </c>
      <c r="CP321" s="36">
        <v>26</v>
      </c>
      <c r="CQ321" s="35">
        <v>0</v>
      </c>
      <c r="CR321" s="35">
        <v>0</v>
      </c>
      <c r="CS321" s="35">
        <v>0</v>
      </c>
      <c r="CT321" s="36">
        <v>23</v>
      </c>
      <c r="CU321" s="35" t="s">
        <v>138</v>
      </c>
      <c r="CV321" s="36" t="s">
        <v>138</v>
      </c>
      <c r="CW321" s="35" t="s">
        <v>138</v>
      </c>
      <c r="CX321" s="36" t="s">
        <v>138</v>
      </c>
      <c r="CY321" s="35">
        <v>0</v>
      </c>
      <c r="CZ321" s="36">
        <v>25</v>
      </c>
      <c r="DA321" s="35" t="s">
        <v>138</v>
      </c>
      <c r="DB321" s="36" t="s">
        <v>138</v>
      </c>
      <c r="DC321" s="37">
        <v>0.48</v>
      </c>
      <c r="DD321" s="36">
        <v>33</v>
      </c>
      <c r="DE321" s="37">
        <v>0</v>
      </c>
      <c r="DF321" s="35">
        <v>0</v>
      </c>
      <c r="DG321" s="37">
        <v>0.48</v>
      </c>
      <c r="DH321" s="36">
        <v>33</v>
      </c>
      <c r="DI321" s="37" t="s">
        <v>138</v>
      </c>
      <c r="DJ321" s="36" t="s">
        <v>138</v>
      </c>
      <c r="DK321" s="37" t="s">
        <v>138</v>
      </c>
      <c r="DL321" s="36" t="s">
        <v>138</v>
      </c>
      <c r="DM321" s="37">
        <v>0.48</v>
      </c>
      <c r="DN321" s="36">
        <v>33</v>
      </c>
      <c r="DO321" s="37" t="s">
        <v>138</v>
      </c>
      <c r="DP321" s="36" t="s">
        <v>138</v>
      </c>
      <c r="DQ321" s="36" t="s">
        <v>138</v>
      </c>
      <c r="DR321" s="38" t="s">
        <v>138</v>
      </c>
      <c r="DS321" s="35" t="s">
        <v>138</v>
      </c>
      <c r="DT321" s="36">
        <v>14</v>
      </c>
      <c r="DU321" s="38">
        <v>0</v>
      </c>
      <c r="DV321" s="35">
        <v>0</v>
      </c>
      <c r="DW321" s="36" t="s">
        <v>138</v>
      </c>
      <c r="DX321" s="39" t="s">
        <v>138</v>
      </c>
      <c r="DY321" s="35" t="s">
        <v>138</v>
      </c>
      <c r="DZ321" s="28" t="s">
        <v>178</v>
      </c>
      <c r="EA321" s="34">
        <v>43622</v>
      </c>
      <c r="EB321" s="29" t="s">
        <v>138</v>
      </c>
      <c r="EC321" s="34" t="s">
        <v>138</v>
      </c>
      <c r="ED321" s="28" t="s">
        <v>138</v>
      </c>
      <c r="EE321" s="40" t="str">
        <f>HYPERLINK("https://my.pitchbook.com?c=151081-21", "View company online")</f>
        <v>View company online</v>
      </c>
    </row>
    <row r="322" spans="1:135">
      <c r="A322" s="15" t="s">
        <v>6858</v>
      </c>
      <c r="B322" s="15" t="s">
        <v>6859</v>
      </c>
      <c r="C322" s="15" t="s">
        <v>6860</v>
      </c>
      <c r="D322" s="15" t="s">
        <v>138</v>
      </c>
      <c r="E322" s="15" t="s">
        <v>6861</v>
      </c>
      <c r="F322" s="15" t="s">
        <v>6858</v>
      </c>
      <c r="G322" s="15" t="s">
        <v>6862</v>
      </c>
      <c r="H322" s="15" t="s">
        <v>322</v>
      </c>
      <c r="I322" s="15" t="s">
        <v>323</v>
      </c>
      <c r="J322" s="15" t="s">
        <v>1184</v>
      </c>
      <c r="K322" s="15" t="s">
        <v>6863</v>
      </c>
      <c r="L322" s="15" t="s">
        <v>6864</v>
      </c>
      <c r="M322" s="15" t="s">
        <v>6865</v>
      </c>
      <c r="N322" s="15" t="s">
        <v>147</v>
      </c>
      <c r="O322" s="17">
        <v>97.84</v>
      </c>
      <c r="P322" s="15" t="s">
        <v>148</v>
      </c>
      <c r="Q322" s="15" t="s">
        <v>149</v>
      </c>
      <c r="R322" s="15" t="s">
        <v>244</v>
      </c>
      <c r="S322" s="15" t="s">
        <v>6866</v>
      </c>
      <c r="T322" s="18">
        <v>254</v>
      </c>
      <c r="U322" s="15" t="s">
        <v>6867</v>
      </c>
      <c r="V322" s="15" t="s">
        <v>138</v>
      </c>
      <c r="W322" s="15" t="s">
        <v>138</v>
      </c>
      <c r="X322" s="19">
        <v>2007</v>
      </c>
      <c r="Y322" s="15" t="s">
        <v>138</v>
      </c>
      <c r="Z322" s="15" t="s">
        <v>138</v>
      </c>
      <c r="AA322" s="15" t="s">
        <v>6868</v>
      </c>
      <c r="AB322" s="20">
        <v>100</v>
      </c>
      <c r="AC322" s="20" t="s">
        <v>138</v>
      </c>
      <c r="AD322" s="20" t="s">
        <v>138</v>
      </c>
      <c r="AE322" s="20" t="s">
        <v>138</v>
      </c>
      <c r="AF322" s="20" t="s">
        <v>138</v>
      </c>
      <c r="AG322" s="15" t="s">
        <v>2900</v>
      </c>
      <c r="AH322" s="20" t="s">
        <v>138</v>
      </c>
      <c r="AI322" s="20" t="s">
        <v>138</v>
      </c>
      <c r="AJ322" s="20" t="s">
        <v>138</v>
      </c>
      <c r="AK322" s="15" t="s">
        <v>6869</v>
      </c>
      <c r="AL322" s="15" t="s">
        <v>6870</v>
      </c>
      <c r="AM322" s="15" t="s">
        <v>154</v>
      </c>
      <c r="AN322" s="15" t="s">
        <v>6871</v>
      </c>
      <c r="AO322" s="15" t="s">
        <v>6872</v>
      </c>
      <c r="AP322" s="15" t="s">
        <v>665</v>
      </c>
      <c r="AQ322" s="15" t="s">
        <v>6873</v>
      </c>
      <c r="AR322" s="15" t="s">
        <v>6874</v>
      </c>
      <c r="AS322" s="15" t="s">
        <v>668</v>
      </c>
      <c r="AT322" s="15" t="s">
        <v>200</v>
      </c>
      <c r="AU322" s="15" t="s">
        <v>2052</v>
      </c>
      <c r="AV322" s="15" t="s">
        <v>162</v>
      </c>
      <c r="AW322" s="15" t="s">
        <v>6872</v>
      </c>
      <c r="AX322" s="15" t="s">
        <v>138</v>
      </c>
      <c r="AY322" s="15" t="s">
        <v>6875</v>
      </c>
      <c r="AZ322" s="15" t="s">
        <v>164</v>
      </c>
      <c r="BA322" s="15" t="s">
        <v>165</v>
      </c>
      <c r="BB322" s="15" t="s">
        <v>6876</v>
      </c>
      <c r="BC322" s="15" t="s">
        <v>6877</v>
      </c>
      <c r="BD322" s="21">
        <v>11</v>
      </c>
      <c r="BE322" s="15" t="s">
        <v>138</v>
      </c>
      <c r="BF322" s="15" t="s">
        <v>138</v>
      </c>
      <c r="BG322" s="15" t="s">
        <v>138</v>
      </c>
      <c r="BH322" s="15" t="s">
        <v>6878</v>
      </c>
      <c r="BI322" s="15" t="s">
        <v>138</v>
      </c>
      <c r="BJ322" s="15" t="s">
        <v>138</v>
      </c>
      <c r="BK322" s="15" t="s">
        <v>6879</v>
      </c>
      <c r="BL322" s="15" t="s">
        <v>6880</v>
      </c>
      <c r="BM322" s="22">
        <v>39234</v>
      </c>
      <c r="BN322" s="17">
        <v>4.6100000000000003</v>
      </c>
      <c r="BO322" s="15" t="s">
        <v>172</v>
      </c>
      <c r="BP322" s="17">
        <v>13.13</v>
      </c>
      <c r="BQ322" s="15" t="s">
        <v>172</v>
      </c>
      <c r="BR322" s="15" t="s">
        <v>205</v>
      </c>
      <c r="BS322" s="15" t="s">
        <v>206</v>
      </c>
      <c r="BT322" s="15" t="s">
        <v>138</v>
      </c>
      <c r="BU322" s="15" t="s">
        <v>174</v>
      </c>
      <c r="BV322" s="15" t="s">
        <v>138</v>
      </c>
      <c r="BW322" s="15" t="s">
        <v>138</v>
      </c>
      <c r="BX322" s="15" t="s">
        <v>138</v>
      </c>
      <c r="BY322" s="15" t="s">
        <v>175</v>
      </c>
      <c r="BZ322" s="22">
        <v>42401</v>
      </c>
      <c r="CA322" s="17">
        <v>30</v>
      </c>
      <c r="CB322" s="15" t="s">
        <v>172</v>
      </c>
      <c r="CC322" s="17">
        <v>277.54000000000002</v>
      </c>
      <c r="CD322" s="15" t="s">
        <v>1178</v>
      </c>
      <c r="CE322" s="15" t="s">
        <v>173</v>
      </c>
      <c r="CF322" s="15" t="s">
        <v>482</v>
      </c>
      <c r="CG322" s="15" t="s">
        <v>138</v>
      </c>
      <c r="CH322" s="15" t="s">
        <v>174</v>
      </c>
      <c r="CI322" s="15" t="s">
        <v>138</v>
      </c>
      <c r="CJ322" s="15" t="s">
        <v>138</v>
      </c>
      <c r="CK322" s="15" t="s">
        <v>138</v>
      </c>
      <c r="CL322" s="15" t="s">
        <v>175</v>
      </c>
      <c r="CM322" s="22">
        <v>42004</v>
      </c>
      <c r="CN322" s="17">
        <v>3</v>
      </c>
      <c r="CO322" s="23">
        <v>0.24</v>
      </c>
      <c r="CP322" s="24">
        <v>93</v>
      </c>
      <c r="CQ322" s="23">
        <v>0</v>
      </c>
      <c r="CR322" s="23">
        <v>0.85</v>
      </c>
      <c r="CS322" s="23">
        <v>0.66</v>
      </c>
      <c r="CT322" s="24">
        <v>96</v>
      </c>
      <c r="CU322" s="23">
        <v>7.0000000000000007E-2</v>
      </c>
      <c r="CV322" s="24">
        <v>62</v>
      </c>
      <c r="CW322" s="23">
        <v>0.66</v>
      </c>
      <c r="CX322" s="24">
        <v>83</v>
      </c>
      <c r="CY322" s="23" t="s">
        <v>138</v>
      </c>
      <c r="CZ322" s="24" t="s">
        <v>138</v>
      </c>
      <c r="DA322" s="23">
        <v>7.0000000000000007E-2</v>
      </c>
      <c r="DB322" s="24">
        <v>67</v>
      </c>
      <c r="DC322" s="25">
        <v>1469.37</v>
      </c>
      <c r="DD322" s="24">
        <v>100</v>
      </c>
      <c r="DE322" s="25">
        <v>65.290000000000006</v>
      </c>
      <c r="DF322" s="23">
        <v>4.6500000000000004</v>
      </c>
      <c r="DG322" s="25">
        <v>14.78</v>
      </c>
      <c r="DH322" s="24">
        <v>93</v>
      </c>
      <c r="DI322" s="25">
        <v>47.63</v>
      </c>
      <c r="DJ322" s="24">
        <v>95</v>
      </c>
      <c r="DK322" s="25">
        <v>14.78</v>
      </c>
      <c r="DL322" s="24">
        <v>90</v>
      </c>
      <c r="DM322" s="25" t="s">
        <v>138</v>
      </c>
      <c r="DN322" s="24" t="s">
        <v>138</v>
      </c>
      <c r="DO322" s="25">
        <v>47.63</v>
      </c>
      <c r="DP322" s="24">
        <v>96</v>
      </c>
      <c r="DQ322" s="24">
        <v>5013</v>
      </c>
      <c r="DR322" s="26">
        <v>172</v>
      </c>
      <c r="DS322" s="23">
        <v>3.55</v>
      </c>
      <c r="DT322" s="24" t="s">
        <v>138</v>
      </c>
      <c r="DU322" s="26" t="s">
        <v>138</v>
      </c>
      <c r="DV322" s="23" t="s">
        <v>138</v>
      </c>
      <c r="DW322" s="24">
        <v>17046</v>
      </c>
      <c r="DX322" s="27">
        <v>9</v>
      </c>
      <c r="DY322" s="23">
        <v>0.05</v>
      </c>
      <c r="DZ322" s="15" t="s">
        <v>178</v>
      </c>
      <c r="EA322" s="22">
        <v>43571</v>
      </c>
      <c r="EB322" s="17">
        <v>277.54000000000002</v>
      </c>
      <c r="EC322" s="22">
        <v>42401</v>
      </c>
      <c r="ED322" s="15" t="s">
        <v>173</v>
      </c>
      <c r="EE322" s="14" t="str">
        <f>HYPERLINK("https://my.pitchbook.com?c=50944-24", "View company online")</f>
        <v>View company online</v>
      </c>
    </row>
    <row r="323" spans="1:135">
      <c r="A323" s="28" t="s">
        <v>6881</v>
      </c>
      <c r="B323" s="28" t="s">
        <v>6882</v>
      </c>
      <c r="C323" s="28" t="s">
        <v>6883</v>
      </c>
      <c r="D323" s="28" t="s">
        <v>138</v>
      </c>
      <c r="E323" s="28" t="s">
        <v>6884</v>
      </c>
      <c r="F323" s="28" t="s">
        <v>6881</v>
      </c>
      <c r="G323" s="28" t="s">
        <v>6885</v>
      </c>
      <c r="H323" s="28" t="s">
        <v>322</v>
      </c>
      <c r="I323" s="28" t="s">
        <v>323</v>
      </c>
      <c r="J323" s="28" t="s">
        <v>324</v>
      </c>
      <c r="K323" s="28" t="s">
        <v>6886</v>
      </c>
      <c r="L323" s="28" t="s">
        <v>1134</v>
      </c>
      <c r="M323" s="28" t="s">
        <v>6887</v>
      </c>
      <c r="N323" s="28" t="s">
        <v>1452</v>
      </c>
      <c r="O323" s="29">
        <v>46.07</v>
      </c>
      <c r="P323" s="28" t="s">
        <v>812</v>
      </c>
      <c r="Q323" s="28" t="s">
        <v>149</v>
      </c>
      <c r="R323" s="28" t="s">
        <v>1474</v>
      </c>
      <c r="S323" s="28" t="s">
        <v>6888</v>
      </c>
      <c r="T323" s="30">
        <v>2200</v>
      </c>
      <c r="U323" s="28" t="s">
        <v>6889</v>
      </c>
      <c r="V323" s="28" t="s">
        <v>138</v>
      </c>
      <c r="W323" s="28" t="s">
        <v>138</v>
      </c>
      <c r="X323" s="31">
        <v>2000</v>
      </c>
      <c r="Y323" s="28" t="s">
        <v>138</v>
      </c>
      <c r="Z323" s="28" t="s">
        <v>138</v>
      </c>
      <c r="AA323" s="28" t="s">
        <v>138</v>
      </c>
      <c r="AB323" s="32">
        <v>219.45</v>
      </c>
      <c r="AC323" s="32">
        <v>117.65</v>
      </c>
      <c r="AD323" s="32">
        <v>-4.1100000000000003</v>
      </c>
      <c r="AE323" s="32">
        <v>234.95</v>
      </c>
      <c r="AF323" s="32">
        <v>8.6199999999999992</v>
      </c>
      <c r="AG323" s="28" t="s">
        <v>6890</v>
      </c>
      <c r="AH323" s="32" t="s">
        <v>138</v>
      </c>
      <c r="AI323" s="32" t="s">
        <v>138</v>
      </c>
      <c r="AJ323" s="32" t="s">
        <v>138</v>
      </c>
      <c r="AK323" s="28" t="s">
        <v>6891</v>
      </c>
      <c r="AL323" s="28" t="s">
        <v>6892</v>
      </c>
      <c r="AM323" s="28" t="s">
        <v>249</v>
      </c>
      <c r="AN323" s="28" t="s">
        <v>6893</v>
      </c>
      <c r="AO323" s="28" t="s">
        <v>6894</v>
      </c>
      <c r="AP323" s="28" t="s">
        <v>6895</v>
      </c>
      <c r="AQ323" s="28" t="s">
        <v>6896</v>
      </c>
      <c r="AR323" s="28" t="s">
        <v>138</v>
      </c>
      <c r="AS323" s="28" t="s">
        <v>6897</v>
      </c>
      <c r="AT323" s="28" t="s">
        <v>6898</v>
      </c>
      <c r="AU323" s="28" t="s">
        <v>6899</v>
      </c>
      <c r="AV323" s="28" t="s">
        <v>162</v>
      </c>
      <c r="AW323" s="28" t="s">
        <v>6900</v>
      </c>
      <c r="AX323" s="28" t="s">
        <v>6901</v>
      </c>
      <c r="AY323" s="28" t="s">
        <v>6902</v>
      </c>
      <c r="AZ323" s="28" t="s">
        <v>164</v>
      </c>
      <c r="BA323" s="28" t="s">
        <v>165</v>
      </c>
      <c r="BB323" s="28" t="s">
        <v>6903</v>
      </c>
      <c r="BC323" s="28" t="s">
        <v>6904</v>
      </c>
      <c r="BD323" s="33">
        <v>1</v>
      </c>
      <c r="BE323" s="28" t="s">
        <v>138</v>
      </c>
      <c r="BF323" s="28" t="s">
        <v>6905</v>
      </c>
      <c r="BG323" s="28" t="s">
        <v>6906</v>
      </c>
      <c r="BH323" s="28" t="s">
        <v>6907</v>
      </c>
      <c r="BI323" s="28" t="s">
        <v>6908</v>
      </c>
      <c r="BJ323" s="28" t="s">
        <v>6909</v>
      </c>
      <c r="BK323" s="28" t="s">
        <v>6910</v>
      </c>
      <c r="BL323" s="28" t="s">
        <v>6911</v>
      </c>
      <c r="BM323" s="34" t="s">
        <v>138</v>
      </c>
      <c r="BN323" s="29">
        <v>0.48</v>
      </c>
      <c r="BO323" s="28" t="s">
        <v>172</v>
      </c>
      <c r="BP323" s="29">
        <v>1.69</v>
      </c>
      <c r="BQ323" s="28" t="s">
        <v>172</v>
      </c>
      <c r="BR323" s="28" t="s">
        <v>205</v>
      </c>
      <c r="BS323" s="28" t="s">
        <v>206</v>
      </c>
      <c r="BT323" s="28" t="s">
        <v>138</v>
      </c>
      <c r="BU323" s="28" t="s">
        <v>174</v>
      </c>
      <c r="BV323" s="28" t="s">
        <v>138</v>
      </c>
      <c r="BW323" s="28" t="s">
        <v>138</v>
      </c>
      <c r="BX323" s="28" t="s">
        <v>138</v>
      </c>
      <c r="BY323" s="28" t="s">
        <v>175</v>
      </c>
      <c r="BZ323" s="34">
        <v>42902</v>
      </c>
      <c r="CA323" s="29">
        <v>256</v>
      </c>
      <c r="CB323" s="28" t="s">
        <v>172</v>
      </c>
      <c r="CC323" s="29">
        <v>256</v>
      </c>
      <c r="CD323" s="28" t="s">
        <v>1178</v>
      </c>
      <c r="CE323" s="28" t="s">
        <v>349</v>
      </c>
      <c r="CF323" s="28" t="s">
        <v>1496</v>
      </c>
      <c r="CG323" s="28" t="s">
        <v>138</v>
      </c>
      <c r="CH323" s="28" t="s">
        <v>351</v>
      </c>
      <c r="CI323" s="28" t="s">
        <v>1497</v>
      </c>
      <c r="CJ323" s="28" t="s">
        <v>138</v>
      </c>
      <c r="CK323" s="28" t="s">
        <v>138</v>
      </c>
      <c r="CL323" s="28" t="s">
        <v>175</v>
      </c>
      <c r="CM323" s="34">
        <v>42902</v>
      </c>
      <c r="CN323" s="29">
        <v>50</v>
      </c>
      <c r="CO323" s="35">
        <v>0.24</v>
      </c>
      <c r="CP323" s="36">
        <v>93</v>
      </c>
      <c r="CQ323" s="35">
        <v>-0.04</v>
      </c>
      <c r="CR323" s="35">
        <v>-13.44</v>
      </c>
      <c r="CS323" s="35">
        <v>0.7</v>
      </c>
      <c r="CT323" s="36">
        <v>96</v>
      </c>
      <c r="CU323" s="35">
        <v>7.0000000000000007E-2</v>
      </c>
      <c r="CV323" s="36">
        <v>62</v>
      </c>
      <c r="CW323" s="35">
        <v>4.49</v>
      </c>
      <c r="CX323" s="36">
        <v>95</v>
      </c>
      <c r="CY323" s="35">
        <v>-3.09</v>
      </c>
      <c r="CZ323" s="36">
        <v>7</v>
      </c>
      <c r="DA323" s="35">
        <v>0.09</v>
      </c>
      <c r="DB323" s="36">
        <v>70</v>
      </c>
      <c r="DC323" s="37">
        <v>11.75</v>
      </c>
      <c r="DD323" s="36">
        <v>91</v>
      </c>
      <c r="DE323" s="37">
        <v>-0.28000000000000003</v>
      </c>
      <c r="DF323" s="35">
        <v>-2.31</v>
      </c>
      <c r="DG323" s="37">
        <v>27.54</v>
      </c>
      <c r="DH323" s="36">
        <v>96</v>
      </c>
      <c r="DI323" s="37">
        <v>3.63</v>
      </c>
      <c r="DJ323" s="36">
        <v>73</v>
      </c>
      <c r="DK323" s="37">
        <v>11</v>
      </c>
      <c r="DL323" s="36">
        <v>88</v>
      </c>
      <c r="DM323" s="37">
        <v>44.07</v>
      </c>
      <c r="DN323" s="36">
        <v>98</v>
      </c>
      <c r="DO323" s="37">
        <v>4.75</v>
      </c>
      <c r="DP323" s="36">
        <v>78</v>
      </c>
      <c r="DQ323" s="36">
        <v>3806</v>
      </c>
      <c r="DR323" s="38">
        <v>-95</v>
      </c>
      <c r="DS323" s="35">
        <v>-2.44</v>
      </c>
      <c r="DT323" s="36">
        <v>1281</v>
      </c>
      <c r="DU323" s="38">
        <v>-5</v>
      </c>
      <c r="DV323" s="35">
        <v>-0.39</v>
      </c>
      <c r="DW323" s="36">
        <v>1703</v>
      </c>
      <c r="DX323" s="39">
        <v>4</v>
      </c>
      <c r="DY323" s="35">
        <v>0.24</v>
      </c>
      <c r="DZ323" s="28" t="s">
        <v>178</v>
      </c>
      <c r="EA323" s="34">
        <v>43622</v>
      </c>
      <c r="EB323" s="29">
        <v>256</v>
      </c>
      <c r="EC323" s="34">
        <v>42902</v>
      </c>
      <c r="ED323" s="28" t="s">
        <v>349</v>
      </c>
      <c r="EE323" s="40" t="str">
        <f>HYPERLINK("https://my.pitchbook.com?c=43017-22", "View company online")</f>
        <v>View company online</v>
      </c>
    </row>
    <row r="324" spans="1:135">
      <c r="A324" s="15" t="s">
        <v>6912</v>
      </c>
      <c r="B324" s="15" t="s">
        <v>6913</v>
      </c>
      <c r="C324" s="15" t="s">
        <v>6914</v>
      </c>
      <c r="D324" s="15" t="s">
        <v>138</v>
      </c>
      <c r="E324" s="15" t="s">
        <v>6915</v>
      </c>
      <c r="F324" s="15" t="s">
        <v>6912</v>
      </c>
      <c r="G324" s="15" t="s">
        <v>6916</v>
      </c>
      <c r="H324" s="15" t="s">
        <v>322</v>
      </c>
      <c r="I324" s="15" t="s">
        <v>323</v>
      </c>
      <c r="J324" s="15" t="s">
        <v>954</v>
      </c>
      <c r="K324" s="15" t="s">
        <v>980</v>
      </c>
      <c r="L324" s="15" t="s">
        <v>6917</v>
      </c>
      <c r="M324" s="15" t="s">
        <v>6918</v>
      </c>
      <c r="N324" s="15" t="s">
        <v>147</v>
      </c>
      <c r="O324" s="17">
        <v>371.18</v>
      </c>
      <c r="P324" s="15" t="s">
        <v>148</v>
      </c>
      <c r="Q324" s="15" t="s">
        <v>149</v>
      </c>
      <c r="R324" s="15" t="s">
        <v>174</v>
      </c>
      <c r="S324" s="15" t="s">
        <v>6919</v>
      </c>
      <c r="T324" s="18">
        <v>274</v>
      </c>
      <c r="U324" s="15" t="s">
        <v>6920</v>
      </c>
      <c r="V324" s="15" t="s">
        <v>138</v>
      </c>
      <c r="W324" s="15" t="s">
        <v>138</v>
      </c>
      <c r="X324" s="19">
        <v>2009</v>
      </c>
      <c r="Y324" s="15" t="s">
        <v>138</v>
      </c>
      <c r="Z324" s="15" t="s">
        <v>138</v>
      </c>
      <c r="AA324" s="15" t="s">
        <v>138</v>
      </c>
      <c r="AB324" s="20" t="s">
        <v>138</v>
      </c>
      <c r="AC324" s="20" t="s">
        <v>138</v>
      </c>
      <c r="AD324" s="20" t="s">
        <v>138</v>
      </c>
      <c r="AE324" s="20" t="s">
        <v>138</v>
      </c>
      <c r="AF324" s="20" t="s">
        <v>138</v>
      </c>
      <c r="AG324" s="15" t="s">
        <v>138</v>
      </c>
      <c r="AH324" s="20" t="s">
        <v>138</v>
      </c>
      <c r="AI324" s="20" t="s">
        <v>138</v>
      </c>
      <c r="AJ324" s="20" t="s">
        <v>138</v>
      </c>
      <c r="AK324" s="15" t="s">
        <v>6921</v>
      </c>
      <c r="AL324" s="15" t="s">
        <v>6922</v>
      </c>
      <c r="AM324" s="15" t="s">
        <v>4567</v>
      </c>
      <c r="AN324" s="15" t="s">
        <v>6923</v>
      </c>
      <c r="AO324" s="15" t="s">
        <v>6924</v>
      </c>
      <c r="AP324" s="15" t="s">
        <v>964</v>
      </c>
      <c r="AQ324" s="15" t="s">
        <v>6925</v>
      </c>
      <c r="AR324" s="15" t="s">
        <v>138</v>
      </c>
      <c r="AS324" s="15" t="s">
        <v>966</v>
      </c>
      <c r="AT324" s="15" t="s">
        <v>200</v>
      </c>
      <c r="AU324" s="15" t="s">
        <v>967</v>
      </c>
      <c r="AV324" s="15" t="s">
        <v>162</v>
      </c>
      <c r="AW324" s="15" t="s">
        <v>6924</v>
      </c>
      <c r="AX324" s="15" t="s">
        <v>138</v>
      </c>
      <c r="AY324" s="15" t="s">
        <v>138</v>
      </c>
      <c r="AZ324" s="15" t="s">
        <v>164</v>
      </c>
      <c r="BA324" s="15" t="s">
        <v>165</v>
      </c>
      <c r="BB324" s="15" t="s">
        <v>6926</v>
      </c>
      <c r="BC324" s="15" t="s">
        <v>6927</v>
      </c>
      <c r="BD324" s="21">
        <v>21</v>
      </c>
      <c r="BE324" s="15" t="s">
        <v>138</v>
      </c>
      <c r="BF324" s="15" t="s">
        <v>138</v>
      </c>
      <c r="BG324" s="15" t="s">
        <v>138</v>
      </c>
      <c r="BH324" s="15" t="s">
        <v>6928</v>
      </c>
      <c r="BI324" s="15" t="s">
        <v>138</v>
      </c>
      <c r="BJ324" s="15" t="s">
        <v>138</v>
      </c>
      <c r="BK324" s="15" t="s">
        <v>6929</v>
      </c>
      <c r="BL324" s="15" t="s">
        <v>138</v>
      </c>
      <c r="BM324" s="22">
        <v>40463</v>
      </c>
      <c r="BN324" s="17">
        <v>2.79</v>
      </c>
      <c r="BO324" s="15" t="s">
        <v>172</v>
      </c>
      <c r="BP324" s="17">
        <v>19.260000000000002</v>
      </c>
      <c r="BQ324" s="15" t="s">
        <v>172</v>
      </c>
      <c r="BR324" s="15" t="s">
        <v>205</v>
      </c>
      <c r="BS324" s="15" t="s">
        <v>206</v>
      </c>
      <c r="BT324" s="15" t="s">
        <v>138</v>
      </c>
      <c r="BU324" s="15" t="s">
        <v>174</v>
      </c>
      <c r="BV324" s="15" t="s">
        <v>138</v>
      </c>
      <c r="BW324" s="15" t="s">
        <v>138</v>
      </c>
      <c r="BX324" s="15" t="s">
        <v>138</v>
      </c>
      <c r="BY324" s="15" t="s">
        <v>175</v>
      </c>
      <c r="BZ324" s="22">
        <v>43101</v>
      </c>
      <c r="CA324" s="17" t="s">
        <v>138</v>
      </c>
      <c r="CB324" s="15" t="s">
        <v>138</v>
      </c>
      <c r="CC324" s="17" t="s">
        <v>138</v>
      </c>
      <c r="CD324" s="15" t="s">
        <v>138</v>
      </c>
      <c r="CE324" s="15" t="s">
        <v>173</v>
      </c>
      <c r="CF324" s="15" t="s">
        <v>138</v>
      </c>
      <c r="CG324" s="15" t="s">
        <v>138</v>
      </c>
      <c r="CH324" s="15" t="s">
        <v>174</v>
      </c>
      <c r="CI324" s="15" t="s">
        <v>138</v>
      </c>
      <c r="CJ324" s="15" t="s">
        <v>138</v>
      </c>
      <c r="CK324" s="15" t="s">
        <v>138</v>
      </c>
      <c r="CL324" s="15" t="s">
        <v>175</v>
      </c>
      <c r="CM324" s="22" t="s">
        <v>138</v>
      </c>
      <c r="CN324" s="17" t="s">
        <v>138</v>
      </c>
      <c r="CO324" s="23">
        <v>-0.87</v>
      </c>
      <c r="CP324" s="24">
        <v>12</v>
      </c>
      <c r="CQ324" s="23">
        <v>0.01</v>
      </c>
      <c r="CR324" s="23">
        <v>0.8</v>
      </c>
      <c r="CS324" s="23">
        <v>-2.66</v>
      </c>
      <c r="CT324" s="24">
        <v>6</v>
      </c>
      <c r="CU324" s="23">
        <v>-0.03</v>
      </c>
      <c r="CV324" s="24">
        <v>14</v>
      </c>
      <c r="CW324" s="23">
        <v>-2.64</v>
      </c>
      <c r="CX324" s="24">
        <v>6</v>
      </c>
      <c r="CY324" s="23">
        <v>-2.69</v>
      </c>
      <c r="CZ324" s="24">
        <v>8</v>
      </c>
      <c r="DA324" s="23">
        <v>-0.03</v>
      </c>
      <c r="DB324" s="24">
        <v>17</v>
      </c>
      <c r="DC324" s="25">
        <v>498.44</v>
      </c>
      <c r="DD324" s="24">
        <v>100</v>
      </c>
      <c r="DE324" s="25">
        <v>20.04</v>
      </c>
      <c r="DF324" s="23">
        <v>4.1900000000000004</v>
      </c>
      <c r="DG324" s="25">
        <v>55.91</v>
      </c>
      <c r="DH324" s="24">
        <v>98</v>
      </c>
      <c r="DI324" s="25">
        <v>122.8</v>
      </c>
      <c r="DJ324" s="24">
        <v>98</v>
      </c>
      <c r="DK324" s="25">
        <v>18.64</v>
      </c>
      <c r="DL324" s="24">
        <v>91</v>
      </c>
      <c r="DM324" s="25">
        <v>93.17</v>
      </c>
      <c r="DN324" s="24">
        <v>99</v>
      </c>
      <c r="DO324" s="25">
        <v>122.8</v>
      </c>
      <c r="DP324" s="24">
        <v>98</v>
      </c>
      <c r="DQ324" s="24">
        <v>6245</v>
      </c>
      <c r="DR324" s="26">
        <v>448</v>
      </c>
      <c r="DS324" s="23">
        <v>7.73</v>
      </c>
      <c r="DT324" s="24">
        <v>2696</v>
      </c>
      <c r="DU324" s="26">
        <v>8</v>
      </c>
      <c r="DV324" s="23">
        <v>0.3</v>
      </c>
      <c r="DW324" s="24">
        <v>43969</v>
      </c>
      <c r="DX324" s="27">
        <v>-6</v>
      </c>
      <c r="DY324" s="23">
        <v>-0.01</v>
      </c>
      <c r="DZ324" s="15" t="s">
        <v>178</v>
      </c>
      <c r="EA324" s="22">
        <v>43572</v>
      </c>
      <c r="EB324" s="17">
        <v>1033.33</v>
      </c>
      <c r="EC324" s="22">
        <v>41718</v>
      </c>
      <c r="ED324" s="15" t="s">
        <v>173</v>
      </c>
      <c r="EE324" s="14" t="str">
        <f>HYPERLINK("https://my.pitchbook.com?c=52514-65", "View company online")</f>
        <v>View company online</v>
      </c>
    </row>
    <row r="325" spans="1:135">
      <c r="A325" s="28" t="s">
        <v>6930</v>
      </c>
      <c r="B325" s="28" t="s">
        <v>6931</v>
      </c>
      <c r="C325" s="28" t="s">
        <v>6932</v>
      </c>
      <c r="D325" s="28" t="s">
        <v>138</v>
      </c>
      <c r="E325" s="28" t="s">
        <v>6933</v>
      </c>
      <c r="F325" s="28" t="s">
        <v>6930</v>
      </c>
      <c r="G325" s="28" t="s">
        <v>6934</v>
      </c>
      <c r="H325" s="28" t="s">
        <v>322</v>
      </c>
      <c r="I325" s="28" t="s">
        <v>323</v>
      </c>
      <c r="J325" s="28" t="s">
        <v>2984</v>
      </c>
      <c r="K325" s="28" t="s">
        <v>6935</v>
      </c>
      <c r="L325" s="28" t="s">
        <v>2641</v>
      </c>
      <c r="M325" s="28" t="s">
        <v>6936</v>
      </c>
      <c r="N325" s="28" t="s">
        <v>147</v>
      </c>
      <c r="O325" s="29">
        <v>72.95</v>
      </c>
      <c r="P325" s="28" t="s">
        <v>148</v>
      </c>
      <c r="Q325" s="28" t="s">
        <v>149</v>
      </c>
      <c r="R325" s="28" t="s">
        <v>174</v>
      </c>
      <c r="S325" s="28" t="s">
        <v>6937</v>
      </c>
      <c r="T325" s="30">
        <v>85</v>
      </c>
      <c r="U325" s="28" t="s">
        <v>6938</v>
      </c>
      <c r="V325" s="28" t="s">
        <v>138</v>
      </c>
      <c r="W325" s="28" t="s">
        <v>138</v>
      </c>
      <c r="X325" s="31">
        <v>2013</v>
      </c>
      <c r="Y325" s="28" t="s">
        <v>138</v>
      </c>
      <c r="Z325" s="28" t="s">
        <v>138</v>
      </c>
      <c r="AA325" s="28" t="s">
        <v>138</v>
      </c>
      <c r="AB325" s="32" t="s">
        <v>138</v>
      </c>
      <c r="AC325" s="32" t="s">
        <v>138</v>
      </c>
      <c r="AD325" s="32" t="s">
        <v>138</v>
      </c>
      <c r="AE325" s="32" t="s">
        <v>138</v>
      </c>
      <c r="AF325" s="32" t="s">
        <v>138</v>
      </c>
      <c r="AG325" s="28" t="s">
        <v>138</v>
      </c>
      <c r="AH325" s="32" t="s">
        <v>138</v>
      </c>
      <c r="AI325" s="32" t="s">
        <v>138</v>
      </c>
      <c r="AJ325" s="32" t="s">
        <v>138</v>
      </c>
      <c r="AK325" s="28" t="s">
        <v>6939</v>
      </c>
      <c r="AL325" s="28" t="s">
        <v>6940</v>
      </c>
      <c r="AM325" s="28" t="s">
        <v>6092</v>
      </c>
      <c r="AN325" s="28" t="s">
        <v>6941</v>
      </c>
      <c r="AO325" s="28" t="s">
        <v>6942</v>
      </c>
      <c r="AP325" s="28" t="s">
        <v>1292</v>
      </c>
      <c r="AQ325" s="28" t="s">
        <v>6943</v>
      </c>
      <c r="AR325" s="28" t="s">
        <v>863</v>
      </c>
      <c r="AS325" s="28" t="s">
        <v>1294</v>
      </c>
      <c r="AT325" s="28" t="s">
        <v>864</v>
      </c>
      <c r="AU325" s="28" t="s">
        <v>6944</v>
      </c>
      <c r="AV325" s="28" t="s">
        <v>162</v>
      </c>
      <c r="AW325" s="28" t="s">
        <v>138</v>
      </c>
      <c r="AX325" s="28" t="s">
        <v>138</v>
      </c>
      <c r="AY325" s="28" t="s">
        <v>6945</v>
      </c>
      <c r="AZ325" s="28" t="s">
        <v>164</v>
      </c>
      <c r="BA325" s="28" t="s">
        <v>165</v>
      </c>
      <c r="BB325" s="28" t="s">
        <v>6946</v>
      </c>
      <c r="BC325" s="28" t="s">
        <v>6947</v>
      </c>
      <c r="BD325" s="33">
        <v>22</v>
      </c>
      <c r="BE325" s="28" t="s">
        <v>138</v>
      </c>
      <c r="BF325" s="28" t="s">
        <v>138</v>
      </c>
      <c r="BG325" s="28" t="s">
        <v>138</v>
      </c>
      <c r="BH325" s="28" t="s">
        <v>6948</v>
      </c>
      <c r="BI325" s="28" t="s">
        <v>138</v>
      </c>
      <c r="BJ325" s="28" t="s">
        <v>138</v>
      </c>
      <c r="BK325" s="28" t="s">
        <v>1251</v>
      </c>
      <c r="BL325" s="28" t="s">
        <v>1251</v>
      </c>
      <c r="BM325" s="34">
        <v>41306</v>
      </c>
      <c r="BN325" s="29">
        <v>3.75</v>
      </c>
      <c r="BO325" s="28" t="s">
        <v>172</v>
      </c>
      <c r="BP325" s="29">
        <v>8.7200000000000006</v>
      </c>
      <c r="BQ325" s="28" t="s">
        <v>172</v>
      </c>
      <c r="BR325" s="28" t="s">
        <v>205</v>
      </c>
      <c r="BS325" s="28" t="s">
        <v>206</v>
      </c>
      <c r="BT325" s="28" t="s">
        <v>138</v>
      </c>
      <c r="BU325" s="28" t="s">
        <v>174</v>
      </c>
      <c r="BV325" s="28" t="s">
        <v>138</v>
      </c>
      <c r="BW325" s="28" t="s">
        <v>138</v>
      </c>
      <c r="BX325" s="28" t="s">
        <v>138</v>
      </c>
      <c r="BY325" s="28" t="s">
        <v>175</v>
      </c>
      <c r="BZ325" s="34">
        <v>43326</v>
      </c>
      <c r="CA325" s="29">
        <v>28</v>
      </c>
      <c r="CB325" s="28" t="s">
        <v>172</v>
      </c>
      <c r="CC325" s="29" t="s">
        <v>138</v>
      </c>
      <c r="CD325" s="28" t="s">
        <v>138</v>
      </c>
      <c r="CE325" s="28" t="s">
        <v>173</v>
      </c>
      <c r="CF325" s="28" t="s">
        <v>720</v>
      </c>
      <c r="CG325" s="28" t="s">
        <v>138</v>
      </c>
      <c r="CH325" s="28" t="s">
        <v>174</v>
      </c>
      <c r="CI325" s="28" t="s">
        <v>138</v>
      </c>
      <c r="CJ325" s="28" t="s">
        <v>138</v>
      </c>
      <c r="CK325" s="28" t="s">
        <v>138</v>
      </c>
      <c r="CL325" s="28" t="s">
        <v>175</v>
      </c>
      <c r="CM325" s="34" t="s">
        <v>138</v>
      </c>
      <c r="CN325" s="29" t="s">
        <v>138</v>
      </c>
      <c r="CO325" s="35">
        <v>-1.61</v>
      </c>
      <c r="CP325" s="36">
        <v>7</v>
      </c>
      <c r="CQ325" s="35">
        <v>0.01</v>
      </c>
      <c r="CR325" s="35">
        <v>0.35</v>
      </c>
      <c r="CS325" s="35">
        <v>-3.68</v>
      </c>
      <c r="CT325" s="36">
        <v>4</v>
      </c>
      <c r="CU325" s="35">
        <v>0.46</v>
      </c>
      <c r="CV325" s="36">
        <v>93</v>
      </c>
      <c r="CW325" s="35">
        <v>-5.69</v>
      </c>
      <c r="CX325" s="36">
        <v>2</v>
      </c>
      <c r="CY325" s="35">
        <v>-1.67</v>
      </c>
      <c r="CZ325" s="36">
        <v>13</v>
      </c>
      <c r="DA325" s="35">
        <v>0.46</v>
      </c>
      <c r="DB325" s="36">
        <v>93</v>
      </c>
      <c r="DC325" s="37">
        <v>12.34</v>
      </c>
      <c r="DD325" s="36">
        <v>92</v>
      </c>
      <c r="DE325" s="37">
        <v>-0.24</v>
      </c>
      <c r="DF325" s="35">
        <v>-1.91</v>
      </c>
      <c r="DG325" s="37">
        <v>14.83</v>
      </c>
      <c r="DH325" s="36">
        <v>93</v>
      </c>
      <c r="DI325" s="37">
        <v>9.85</v>
      </c>
      <c r="DJ325" s="36">
        <v>85</v>
      </c>
      <c r="DK325" s="37">
        <v>7.42</v>
      </c>
      <c r="DL325" s="36">
        <v>84</v>
      </c>
      <c r="DM325" s="37">
        <v>22.24</v>
      </c>
      <c r="DN325" s="36">
        <v>95</v>
      </c>
      <c r="DO325" s="37">
        <v>9.85</v>
      </c>
      <c r="DP325" s="36">
        <v>87</v>
      </c>
      <c r="DQ325" s="36">
        <v>2556</v>
      </c>
      <c r="DR325" s="38">
        <v>-32</v>
      </c>
      <c r="DS325" s="35">
        <v>-1.24</v>
      </c>
      <c r="DT325" s="36">
        <v>647</v>
      </c>
      <c r="DU325" s="38">
        <v>-5</v>
      </c>
      <c r="DV325" s="35">
        <v>-0.77</v>
      </c>
      <c r="DW325" s="36">
        <v>3521</v>
      </c>
      <c r="DX325" s="39">
        <v>8</v>
      </c>
      <c r="DY325" s="35">
        <v>0.23</v>
      </c>
      <c r="DZ325" s="28" t="s">
        <v>178</v>
      </c>
      <c r="EA325" s="34">
        <v>43579</v>
      </c>
      <c r="EB325" s="29">
        <v>154.91</v>
      </c>
      <c r="EC325" s="34">
        <v>42705</v>
      </c>
      <c r="ED325" s="28" t="s">
        <v>205</v>
      </c>
      <c r="EE325" s="40" t="str">
        <f>HYPERLINK("https://my.pitchbook.com?c=56966-77", "View company online")</f>
        <v>View company online</v>
      </c>
    </row>
    <row r="326" spans="1:135">
      <c r="A326" s="15" t="s">
        <v>6949</v>
      </c>
      <c r="B326" s="15" t="s">
        <v>6950</v>
      </c>
      <c r="C326" s="15" t="s">
        <v>138</v>
      </c>
      <c r="D326" s="15" t="s">
        <v>138</v>
      </c>
      <c r="E326" s="15" t="s">
        <v>138</v>
      </c>
      <c r="F326" s="15" t="s">
        <v>6949</v>
      </c>
      <c r="G326" s="15" t="s">
        <v>6951</v>
      </c>
      <c r="H326" s="15" t="s">
        <v>322</v>
      </c>
      <c r="I326" s="15" t="s">
        <v>807</v>
      </c>
      <c r="J326" s="15" t="s">
        <v>1102</v>
      </c>
      <c r="K326" s="15" t="s">
        <v>6952</v>
      </c>
      <c r="L326" s="15" t="s">
        <v>6953</v>
      </c>
      <c r="M326" s="15" t="s">
        <v>6954</v>
      </c>
      <c r="N326" s="15" t="s">
        <v>147</v>
      </c>
      <c r="O326" s="17" t="s">
        <v>138</v>
      </c>
      <c r="P326" s="15" t="s">
        <v>148</v>
      </c>
      <c r="Q326" s="15" t="s">
        <v>149</v>
      </c>
      <c r="R326" s="15" t="s">
        <v>174</v>
      </c>
      <c r="S326" s="15" t="s">
        <v>6955</v>
      </c>
      <c r="T326" s="18" t="s">
        <v>138</v>
      </c>
      <c r="U326" s="15" t="s">
        <v>138</v>
      </c>
      <c r="V326" s="15" t="s">
        <v>138</v>
      </c>
      <c r="W326" s="15" t="s">
        <v>138</v>
      </c>
      <c r="X326" s="19">
        <v>2015</v>
      </c>
      <c r="Y326" s="15" t="s">
        <v>138</v>
      </c>
      <c r="Z326" s="15" t="s">
        <v>138</v>
      </c>
      <c r="AA326" s="15" t="s">
        <v>138</v>
      </c>
      <c r="AB326" s="20" t="s">
        <v>138</v>
      </c>
      <c r="AC326" s="20" t="s">
        <v>138</v>
      </c>
      <c r="AD326" s="20" t="s">
        <v>138</v>
      </c>
      <c r="AE326" s="20" t="s">
        <v>138</v>
      </c>
      <c r="AF326" s="20" t="s">
        <v>138</v>
      </c>
      <c r="AG326" s="15" t="s">
        <v>138</v>
      </c>
      <c r="AH326" s="20" t="s">
        <v>138</v>
      </c>
      <c r="AI326" s="20" t="s">
        <v>138</v>
      </c>
      <c r="AJ326" s="20" t="s">
        <v>138</v>
      </c>
      <c r="AK326" s="15" t="s">
        <v>6956</v>
      </c>
      <c r="AL326" s="15" t="s">
        <v>6957</v>
      </c>
      <c r="AM326" s="15" t="s">
        <v>986</v>
      </c>
      <c r="AN326" s="15" t="s">
        <v>6958</v>
      </c>
      <c r="AO326" s="15" t="s">
        <v>6959</v>
      </c>
      <c r="AP326" s="15" t="s">
        <v>1195</v>
      </c>
      <c r="AQ326" s="15" t="s">
        <v>6960</v>
      </c>
      <c r="AR326" s="15" t="s">
        <v>6961</v>
      </c>
      <c r="AS326" s="15" t="s">
        <v>1198</v>
      </c>
      <c r="AT326" s="15" t="s">
        <v>138</v>
      </c>
      <c r="AU326" s="15" t="s">
        <v>6962</v>
      </c>
      <c r="AV326" s="15" t="s">
        <v>1200</v>
      </c>
      <c r="AW326" s="15" t="s">
        <v>6959</v>
      </c>
      <c r="AX326" s="15" t="s">
        <v>6963</v>
      </c>
      <c r="AY326" s="15" t="s">
        <v>138</v>
      </c>
      <c r="AZ326" s="15" t="s">
        <v>452</v>
      </c>
      <c r="BA326" s="15" t="s">
        <v>453</v>
      </c>
      <c r="BB326" s="15" t="s">
        <v>6964</v>
      </c>
      <c r="BC326" s="15" t="s">
        <v>3186</v>
      </c>
      <c r="BD326" s="21">
        <v>1</v>
      </c>
      <c r="BE326" s="15" t="s">
        <v>138</v>
      </c>
      <c r="BF326" s="15" t="s">
        <v>138</v>
      </c>
      <c r="BG326" s="15" t="s">
        <v>138</v>
      </c>
      <c r="BH326" s="15" t="s">
        <v>138</v>
      </c>
      <c r="BI326" s="15" t="s">
        <v>138</v>
      </c>
      <c r="BJ326" s="15" t="s">
        <v>138</v>
      </c>
      <c r="BK326" s="15" t="s">
        <v>138</v>
      </c>
      <c r="BL326" s="15" t="s">
        <v>138</v>
      </c>
      <c r="BM326" s="22">
        <v>43145</v>
      </c>
      <c r="BN326" s="17" t="s">
        <v>138</v>
      </c>
      <c r="BO326" s="15" t="s">
        <v>138</v>
      </c>
      <c r="BP326" s="17" t="s">
        <v>138</v>
      </c>
      <c r="BQ326" s="15" t="s">
        <v>138</v>
      </c>
      <c r="BR326" s="15" t="s">
        <v>205</v>
      </c>
      <c r="BS326" s="15" t="s">
        <v>138</v>
      </c>
      <c r="BT326" s="15" t="s">
        <v>138</v>
      </c>
      <c r="BU326" s="15" t="s">
        <v>174</v>
      </c>
      <c r="BV326" s="15" t="s">
        <v>138</v>
      </c>
      <c r="BW326" s="15" t="s">
        <v>138</v>
      </c>
      <c r="BX326" s="15" t="s">
        <v>138</v>
      </c>
      <c r="BY326" s="15" t="s">
        <v>175</v>
      </c>
      <c r="BZ326" s="22">
        <v>43145</v>
      </c>
      <c r="CA326" s="17" t="s">
        <v>138</v>
      </c>
      <c r="CB326" s="15" t="s">
        <v>138</v>
      </c>
      <c r="CC326" s="17" t="s">
        <v>138</v>
      </c>
      <c r="CD326" s="15" t="s">
        <v>138</v>
      </c>
      <c r="CE326" s="15" t="s">
        <v>205</v>
      </c>
      <c r="CF326" s="15" t="s">
        <v>138</v>
      </c>
      <c r="CG326" s="15" t="s">
        <v>138</v>
      </c>
      <c r="CH326" s="15" t="s">
        <v>174</v>
      </c>
      <c r="CI326" s="15" t="s">
        <v>138</v>
      </c>
      <c r="CJ326" s="15" t="s">
        <v>138</v>
      </c>
      <c r="CK326" s="15" t="s">
        <v>138</v>
      </c>
      <c r="CL326" s="15" t="s">
        <v>175</v>
      </c>
      <c r="CM326" s="22" t="s">
        <v>138</v>
      </c>
      <c r="CN326" s="17" t="s">
        <v>138</v>
      </c>
      <c r="CO326" s="23">
        <v>0.19</v>
      </c>
      <c r="CP326" s="24">
        <v>92</v>
      </c>
      <c r="CQ326" s="23">
        <v>0</v>
      </c>
      <c r="CR326" s="23">
        <v>0</v>
      </c>
      <c r="CS326" s="23">
        <v>0</v>
      </c>
      <c r="CT326" s="24">
        <v>23</v>
      </c>
      <c r="CU326" s="23">
        <v>0.38</v>
      </c>
      <c r="CV326" s="24">
        <v>91</v>
      </c>
      <c r="CW326" s="23" t="s">
        <v>138</v>
      </c>
      <c r="CX326" s="24" t="s">
        <v>138</v>
      </c>
      <c r="CY326" s="23">
        <v>0</v>
      </c>
      <c r="CZ326" s="24">
        <v>25</v>
      </c>
      <c r="DA326" s="23" t="s">
        <v>138</v>
      </c>
      <c r="DB326" s="24" t="s">
        <v>138</v>
      </c>
      <c r="DC326" s="25">
        <v>0.56999999999999995</v>
      </c>
      <c r="DD326" s="24">
        <v>37</v>
      </c>
      <c r="DE326" s="25">
        <v>0</v>
      </c>
      <c r="DF326" s="23">
        <v>-0.02</v>
      </c>
      <c r="DG326" s="25">
        <v>0.97</v>
      </c>
      <c r="DH326" s="24">
        <v>50</v>
      </c>
      <c r="DI326" s="25">
        <v>0.18</v>
      </c>
      <c r="DJ326" s="24">
        <v>21</v>
      </c>
      <c r="DK326" s="25" t="s">
        <v>138</v>
      </c>
      <c r="DL326" s="24" t="s">
        <v>138</v>
      </c>
      <c r="DM326" s="25">
        <v>0.97</v>
      </c>
      <c r="DN326" s="24">
        <v>49</v>
      </c>
      <c r="DO326" s="25" t="s">
        <v>138</v>
      </c>
      <c r="DP326" s="24" t="s">
        <v>138</v>
      </c>
      <c r="DQ326" s="24" t="s">
        <v>138</v>
      </c>
      <c r="DR326" s="26" t="s">
        <v>138</v>
      </c>
      <c r="DS326" s="23" t="s">
        <v>138</v>
      </c>
      <c r="DT326" s="24">
        <v>28</v>
      </c>
      <c r="DU326" s="26">
        <v>0</v>
      </c>
      <c r="DV326" s="23">
        <v>0</v>
      </c>
      <c r="DW326" s="24" t="s">
        <v>138</v>
      </c>
      <c r="DX326" s="27" t="s">
        <v>138</v>
      </c>
      <c r="DY326" s="23" t="s">
        <v>138</v>
      </c>
      <c r="DZ326" s="15" t="s">
        <v>178</v>
      </c>
      <c r="EA326" s="22">
        <v>43353</v>
      </c>
      <c r="EB326" s="17" t="s">
        <v>138</v>
      </c>
      <c r="EC326" s="22" t="s">
        <v>138</v>
      </c>
      <c r="ED326" s="15" t="s">
        <v>138</v>
      </c>
      <c r="EE326" s="14" t="str">
        <f>HYPERLINK("https://my.pitchbook.com?c=230459-32", "View company online")</f>
        <v>View company online</v>
      </c>
    </row>
    <row r="327" spans="1:135">
      <c r="A327" s="28" t="s">
        <v>6965</v>
      </c>
      <c r="B327" s="28" t="s">
        <v>6966</v>
      </c>
      <c r="C327" s="28" t="s">
        <v>138</v>
      </c>
      <c r="D327" s="28" t="s">
        <v>138</v>
      </c>
      <c r="E327" s="28" t="s">
        <v>6967</v>
      </c>
      <c r="F327" s="28" t="s">
        <v>6965</v>
      </c>
      <c r="G327" s="28" t="s">
        <v>6968</v>
      </c>
      <c r="H327" s="28" t="s">
        <v>322</v>
      </c>
      <c r="I327" s="28" t="s">
        <v>323</v>
      </c>
      <c r="J327" s="28" t="s">
        <v>324</v>
      </c>
      <c r="K327" s="28" t="s">
        <v>6969</v>
      </c>
      <c r="L327" s="28" t="s">
        <v>215</v>
      </c>
      <c r="M327" s="28" t="s">
        <v>6970</v>
      </c>
      <c r="N327" s="28" t="s">
        <v>147</v>
      </c>
      <c r="O327" s="29">
        <v>126.47</v>
      </c>
      <c r="P327" s="28" t="s">
        <v>148</v>
      </c>
      <c r="Q327" s="28" t="s">
        <v>149</v>
      </c>
      <c r="R327" s="28" t="s">
        <v>174</v>
      </c>
      <c r="S327" s="28" t="s">
        <v>6971</v>
      </c>
      <c r="T327" s="30">
        <v>550</v>
      </c>
      <c r="U327" s="28" t="s">
        <v>6972</v>
      </c>
      <c r="V327" s="28" t="s">
        <v>138</v>
      </c>
      <c r="W327" s="28" t="s">
        <v>138</v>
      </c>
      <c r="X327" s="31">
        <v>2011</v>
      </c>
      <c r="Y327" s="28" t="s">
        <v>138</v>
      </c>
      <c r="Z327" s="28" t="s">
        <v>1163</v>
      </c>
      <c r="AA327" s="28" t="s">
        <v>1163</v>
      </c>
      <c r="AB327" s="32">
        <v>4</v>
      </c>
      <c r="AC327" s="32" t="s">
        <v>138</v>
      </c>
      <c r="AD327" s="32" t="s">
        <v>138</v>
      </c>
      <c r="AE327" s="32" t="s">
        <v>138</v>
      </c>
      <c r="AF327" s="32" t="s">
        <v>138</v>
      </c>
      <c r="AG327" s="28" t="s">
        <v>563</v>
      </c>
      <c r="AH327" s="32" t="s">
        <v>138</v>
      </c>
      <c r="AI327" s="32" t="s">
        <v>138</v>
      </c>
      <c r="AJ327" s="32" t="s">
        <v>138</v>
      </c>
      <c r="AK327" s="28" t="s">
        <v>6973</v>
      </c>
      <c r="AL327" s="28" t="s">
        <v>6974</v>
      </c>
      <c r="AM327" s="28" t="s">
        <v>986</v>
      </c>
      <c r="AN327" s="28" t="s">
        <v>6975</v>
      </c>
      <c r="AO327" s="28" t="s">
        <v>6976</v>
      </c>
      <c r="AP327" s="28" t="s">
        <v>665</v>
      </c>
      <c r="AQ327" s="28" t="s">
        <v>6977</v>
      </c>
      <c r="AR327" s="28" t="s">
        <v>6978</v>
      </c>
      <c r="AS327" s="28" t="s">
        <v>668</v>
      </c>
      <c r="AT327" s="28" t="s">
        <v>200</v>
      </c>
      <c r="AU327" s="28" t="s">
        <v>669</v>
      </c>
      <c r="AV327" s="28" t="s">
        <v>162</v>
      </c>
      <c r="AW327" s="28" t="s">
        <v>6976</v>
      </c>
      <c r="AX327" s="28" t="s">
        <v>138</v>
      </c>
      <c r="AY327" s="28" t="s">
        <v>6979</v>
      </c>
      <c r="AZ327" s="28" t="s">
        <v>164</v>
      </c>
      <c r="BA327" s="28" t="s">
        <v>165</v>
      </c>
      <c r="BB327" s="28" t="s">
        <v>6980</v>
      </c>
      <c r="BC327" s="28" t="s">
        <v>6981</v>
      </c>
      <c r="BD327" s="33">
        <v>11</v>
      </c>
      <c r="BE327" s="28" t="s">
        <v>138</v>
      </c>
      <c r="BF327" s="28" t="s">
        <v>138</v>
      </c>
      <c r="BG327" s="28" t="s">
        <v>138</v>
      </c>
      <c r="BH327" s="28" t="s">
        <v>6982</v>
      </c>
      <c r="BI327" s="28" t="s">
        <v>138</v>
      </c>
      <c r="BJ327" s="28" t="s">
        <v>138</v>
      </c>
      <c r="BK327" s="28" t="s">
        <v>1251</v>
      </c>
      <c r="BL327" s="28" t="s">
        <v>1251</v>
      </c>
      <c r="BM327" s="34">
        <v>40544</v>
      </c>
      <c r="BN327" s="29">
        <v>0.45</v>
      </c>
      <c r="BO327" s="28" t="s">
        <v>172</v>
      </c>
      <c r="BP327" s="29" t="s">
        <v>138</v>
      </c>
      <c r="BQ327" s="28" t="s">
        <v>138</v>
      </c>
      <c r="BR327" s="28" t="s">
        <v>316</v>
      </c>
      <c r="BS327" s="28" t="s">
        <v>138</v>
      </c>
      <c r="BT327" s="28" t="s">
        <v>138</v>
      </c>
      <c r="BU327" s="28" t="s">
        <v>174</v>
      </c>
      <c r="BV327" s="28" t="s">
        <v>138</v>
      </c>
      <c r="BW327" s="28" t="s">
        <v>138</v>
      </c>
      <c r="BX327" s="28" t="s">
        <v>138</v>
      </c>
      <c r="BY327" s="28" t="s">
        <v>175</v>
      </c>
      <c r="BZ327" s="34">
        <v>43376</v>
      </c>
      <c r="CA327" s="29">
        <v>100</v>
      </c>
      <c r="CB327" s="28" t="s">
        <v>172</v>
      </c>
      <c r="CC327" s="29">
        <v>1000</v>
      </c>
      <c r="CD327" s="28" t="s">
        <v>1178</v>
      </c>
      <c r="CE327" s="28" t="s">
        <v>173</v>
      </c>
      <c r="CF327" s="28" t="s">
        <v>720</v>
      </c>
      <c r="CG327" s="28" t="s">
        <v>138</v>
      </c>
      <c r="CH327" s="28" t="s">
        <v>174</v>
      </c>
      <c r="CI327" s="28" t="s">
        <v>138</v>
      </c>
      <c r="CJ327" s="28" t="s">
        <v>138</v>
      </c>
      <c r="CK327" s="28" t="s">
        <v>138</v>
      </c>
      <c r="CL327" s="28" t="s">
        <v>175</v>
      </c>
      <c r="CM327" s="34" t="s">
        <v>138</v>
      </c>
      <c r="CN327" s="29" t="s">
        <v>138</v>
      </c>
      <c r="CO327" s="35">
        <v>0.77</v>
      </c>
      <c r="CP327" s="36">
        <v>96</v>
      </c>
      <c r="CQ327" s="35">
        <v>0.01</v>
      </c>
      <c r="CR327" s="35">
        <v>0.91</v>
      </c>
      <c r="CS327" s="35">
        <v>1.1200000000000001</v>
      </c>
      <c r="CT327" s="36">
        <v>97</v>
      </c>
      <c r="CU327" s="35">
        <v>0.41</v>
      </c>
      <c r="CV327" s="36">
        <v>91</v>
      </c>
      <c r="CW327" s="35">
        <v>3.21</v>
      </c>
      <c r="CX327" s="36">
        <v>92</v>
      </c>
      <c r="CY327" s="35">
        <v>-0.97</v>
      </c>
      <c r="CZ327" s="36">
        <v>19</v>
      </c>
      <c r="DA327" s="35">
        <v>0.41</v>
      </c>
      <c r="DB327" s="36">
        <v>92</v>
      </c>
      <c r="DC327" s="37">
        <v>36.299999999999997</v>
      </c>
      <c r="DD327" s="36">
        <v>97</v>
      </c>
      <c r="DE327" s="37">
        <v>-1.77</v>
      </c>
      <c r="DF327" s="35">
        <v>-4.6500000000000004</v>
      </c>
      <c r="DG327" s="37">
        <v>57.36</v>
      </c>
      <c r="DH327" s="36">
        <v>98</v>
      </c>
      <c r="DI327" s="37">
        <v>15.25</v>
      </c>
      <c r="DJ327" s="36">
        <v>89</v>
      </c>
      <c r="DK327" s="37">
        <v>58.17</v>
      </c>
      <c r="DL327" s="36">
        <v>96</v>
      </c>
      <c r="DM327" s="37">
        <v>56.55</v>
      </c>
      <c r="DN327" s="36">
        <v>98</v>
      </c>
      <c r="DO327" s="37">
        <v>15.25</v>
      </c>
      <c r="DP327" s="36">
        <v>91</v>
      </c>
      <c r="DQ327" s="36">
        <v>19395</v>
      </c>
      <c r="DR327" s="38">
        <v>1665</v>
      </c>
      <c r="DS327" s="35">
        <v>9.39</v>
      </c>
      <c r="DT327" s="36">
        <v>1639</v>
      </c>
      <c r="DU327" s="38">
        <v>1</v>
      </c>
      <c r="DV327" s="35">
        <v>0.06</v>
      </c>
      <c r="DW327" s="36">
        <v>5445</v>
      </c>
      <c r="DX327" s="39">
        <v>30</v>
      </c>
      <c r="DY327" s="35">
        <v>0.55000000000000004</v>
      </c>
      <c r="DZ327" s="28" t="s">
        <v>178</v>
      </c>
      <c r="EA327" s="34">
        <v>43565</v>
      </c>
      <c r="EB327" s="29">
        <v>1000</v>
      </c>
      <c r="EC327" s="34">
        <v>43376</v>
      </c>
      <c r="ED327" s="28" t="s">
        <v>173</v>
      </c>
      <c r="EE327" s="40" t="str">
        <f>HYPERLINK("https://my.pitchbook.com?c=54522-55", "View company online")</f>
        <v>View company online</v>
      </c>
    </row>
    <row r="328" spans="1:135">
      <c r="A328" s="15" t="s">
        <v>6983</v>
      </c>
      <c r="B328" s="15" t="s">
        <v>6984</v>
      </c>
      <c r="C328" s="15" t="s">
        <v>6985</v>
      </c>
      <c r="D328" s="15" t="s">
        <v>138</v>
      </c>
      <c r="E328" s="15" t="s">
        <v>6986</v>
      </c>
      <c r="F328" s="15" t="s">
        <v>6983</v>
      </c>
      <c r="G328" s="15" t="s">
        <v>6987</v>
      </c>
      <c r="H328" s="15" t="s">
        <v>183</v>
      </c>
      <c r="I328" s="15" t="s">
        <v>725</v>
      </c>
      <c r="J328" s="15" t="s">
        <v>2508</v>
      </c>
      <c r="K328" s="15" t="s">
        <v>6988</v>
      </c>
      <c r="L328" s="15" t="s">
        <v>6989</v>
      </c>
      <c r="M328" s="15" t="s">
        <v>6990</v>
      </c>
      <c r="N328" s="15" t="s">
        <v>1452</v>
      </c>
      <c r="O328" s="17">
        <v>18.5</v>
      </c>
      <c r="P328" s="15" t="s">
        <v>812</v>
      </c>
      <c r="Q328" s="15" t="s">
        <v>149</v>
      </c>
      <c r="R328" s="15" t="s">
        <v>328</v>
      </c>
      <c r="S328" s="15" t="s">
        <v>6991</v>
      </c>
      <c r="T328" s="18">
        <v>55</v>
      </c>
      <c r="U328" s="15" t="s">
        <v>6992</v>
      </c>
      <c r="V328" s="15" t="s">
        <v>138</v>
      </c>
      <c r="W328" s="15" t="s">
        <v>138</v>
      </c>
      <c r="X328" s="19">
        <v>2015</v>
      </c>
      <c r="Y328" s="15" t="s">
        <v>138</v>
      </c>
      <c r="Z328" s="15" t="s">
        <v>138</v>
      </c>
      <c r="AA328" s="15" t="s">
        <v>138</v>
      </c>
      <c r="AB328" s="20">
        <v>10</v>
      </c>
      <c r="AC328" s="20" t="s">
        <v>138</v>
      </c>
      <c r="AD328" s="20" t="s">
        <v>138</v>
      </c>
      <c r="AE328" s="20" t="s">
        <v>138</v>
      </c>
      <c r="AF328" s="20" t="s">
        <v>138</v>
      </c>
      <c r="AG328" s="15" t="s">
        <v>419</v>
      </c>
      <c r="AH328" s="20" t="s">
        <v>138</v>
      </c>
      <c r="AI328" s="20" t="s">
        <v>138</v>
      </c>
      <c r="AJ328" s="20" t="s">
        <v>138</v>
      </c>
      <c r="AK328" s="15" t="s">
        <v>6993</v>
      </c>
      <c r="AL328" s="15" t="s">
        <v>6994</v>
      </c>
      <c r="AM328" s="15" t="s">
        <v>221</v>
      </c>
      <c r="AN328" s="15" t="s">
        <v>6995</v>
      </c>
      <c r="AO328" s="15" t="s">
        <v>6996</v>
      </c>
      <c r="AP328" s="15" t="s">
        <v>665</v>
      </c>
      <c r="AQ328" s="15" t="s">
        <v>6997</v>
      </c>
      <c r="AR328" s="15" t="s">
        <v>3084</v>
      </c>
      <c r="AS328" s="15" t="s">
        <v>668</v>
      </c>
      <c r="AT328" s="15" t="s">
        <v>200</v>
      </c>
      <c r="AU328" s="15" t="s">
        <v>3557</v>
      </c>
      <c r="AV328" s="15" t="s">
        <v>162</v>
      </c>
      <c r="AW328" s="15" t="s">
        <v>6998</v>
      </c>
      <c r="AX328" s="15" t="s">
        <v>138</v>
      </c>
      <c r="AY328" s="15" t="s">
        <v>6999</v>
      </c>
      <c r="AZ328" s="15" t="s">
        <v>164</v>
      </c>
      <c r="BA328" s="15" t="s">
        <v>165</v>
      </c>
      <c r="BB328" s="15" t="s">
        <v>7000</v>
      </c>
      <c r="BC328" s="15" t="s">
        <v>7001</v>
      </c>
      <c r="BD328" s="21">
        <v>11</v>
      </c>
      <c r="BE328" s="15" t="s">
        <v>138</v>
      </c>
      <c r="BF328" s="15" t="s">
        <v>7002</v>
      </c>
      <c r="BG328" s="15" t="s">
        <v>138</v>
      </c>
      <c r="BH328" s="15" t="s">
        <v>7003</v>
      </c>
      <c r="BI328" s="15" t="s">
        <v>7004</v>
      </c>
      <c r="BJ328" s="15" t="s">
        <v>138</v>
      </c>
      <c r="BK328" s="15" t="s">
        <v>7005</v>
      </c>
      <c r="BL328" s="15" t="s">
        <v>138</v>
      </c>
      <c r="BM328" s="22">
        <v>42380</v>
      </c>
      <c r="BN328" s="17">
        <v>14</v>
      </c>
      <c r="BO328" s="15" t="s">
        <v>172</v>
      </c>
      <c r="BP328" s="17" t="s">
        <v>138</v>
      </c>
      <c r="BQ328" s="15" t="s">
        <v>138</v>
      </c>
      <c r="BR328" s="15" t="s">
        <v>205</v>
      </c>
      <c r="BS328" s="15" t="s">
        <v>138</v>
      </c>
      <c r="BT328" s="15" t="s">
        <v>138</v>
      </c>
      <c r="BU328" s="15" t="s">
        <v>174</v>
      </c>
      <c r="BV328" s="15" t="s">
        <v>138</v>
      </c>
      <c r="BW328" s="15" t="s">
        <v>138</v>
      </c>
      <c r="BX328" s="15" t="s">
        <v>138</v>
      </c>
      <c r="BY328" s="15" t="s">
        <v>175</v>
      </c>
      <c r="BZ328" s="22">
        <v>43210</v>
      </c>
      <c r="CA328" s="17">
        <v>4.5</v>
      </c>
      <c r="CB328" s="15" t="s">
        <v>172</v>
      </c>
      <c r="CC328" s="17" t="s">
        <v>138</v>
      </c>
      <c r="CD328" s="15" t="s">
        <v>138</v>
      </c>
      <c r="CE328" s="15" t="s">
        <v>205</v>
      </c>
      <c r="CF328" s="15" t="s">
        <v>720</v>
      </c>
      <c r="CG328" s="15" t="s">
        <v>138</v>
      </c>
      <c r="CH328" s="15" t="s">
        <v>174</v>
      </c>
      <c r="CI328" s="15" t="s">
        <v>138</v>
      </c>
      <c r="CJ328" s="15" t="s">
        <v>138</v>
      </c>
      <c r="CK328" s="15" t="s">
        <v>138</v>
      </c>
      <c r="CL328" s="15" t="s">
        <v>175</v>
      </c>
      <c r="CM328" s="22" t="s">
        <v>138</v>
      </c>
      <c r="CN328" s="17" t="s">
        <v>138</v>
      </c>
      <c r="CO328" s="23">
        <v>-0.34</v>
      </c>
      <c r="CP328" s="24">
        <v>18</v>
      </c>
      <c r="CQ328" s="23">
        <v>-0.06</v>
      </c>
      <c r="CR328" s="23">
        <v>-23.92</v>
      </c>
      <c r="CS328" s="23">
        <v>-0.75</v>
      </c>
      <c r="CT328" s="24">
        <v>17</v>
      </c>
      <c r="CU328" s="23">
        <v>7.0000000000000007E-2</v>
      </c>
      <c r="CV328" s="24">
        <v>62</v>
      </c>
      <c r="CW328" s="23">
        <v>0</v>
      </c>
      <c r="CX328" s="24">
        <v>13</v>
      </c>
      <c r="CY328" s="23">
        <v>-1.49</v>
      </c>
      <c r="CZ328" s="24">
        <v>15</v>
      </c>
      <c r="DA328" s="23">
        <v>7.0000000000000007E-2</v>
      </c>
      <c r="DB328" s="24">
        <v>67</v>
      </c>
      <c r="DC328" s="25">
        <v>1.27</v>
      </c>
      <c r="DD328" s="24">
        <v>57</v>
      </c>
      <c r="DE328" s="25">
        <v>-0.03</v>
      </c>
      <c r="DF328" s="23">
        <v>-1.97</v>
      </c>
      <c r="DG328" s="25">
        <v>2.0499999999999998</v>
      </c>
      <c r="DH328" s="24">
        <v>67</v>
      </c>
      <c r="DI328" s="25">
        <v>0.48</v>
      </c>
      <c r="DJ328" s="24">
        <v>36</v>
      </c>
      <c r="DK328" s="25">
        <v>0.83</v>
      </c>
      <c r="DL328" s="24">
        <v>46</v>
      </c>
      <c r="DM328" s="25">
        <v>3.28</v>
      </c>
      <c r="DN328" s="24">
        <v>75</v>
      </c>
      <c r="DO328" s="25">
        <v>0.48</v>
      </c>
      <c r="DP328" s="24">
        <v>37</v>
      </c>
      <c r="DQ328" s="24">
        <v>287</v>
      </c>
      <c r="DR328" s="26">
        <v>-4</v>
      </c>
      <c r="DS328" s="23">
        <v>-1.37</v>
      </c>
      <c r="DT328" s="24">
        <v>95</v>
      </c>
      <c r="DU328" s="26">
        <v>0</v>
      </c>
      <c r="DV328" s="23">
        <v>0</v>
      </c>
      <c r="DW328" s="24">
        <v>171</v>
      </c>
      <c r="DX328" s="27">
        <v>0</v>
      </c>
      <c r="DY328" s="23">
        <v>0</v>
      </c>
      <c r="DZ328" s="15" t="s">
        <v>178</v>
      </c>
      <c r="EA328" s="22">
        <v>43489</v>
      </c>
      <c r="EB328" s="17" t="s">
        <v>138</v>
      </c>
      <c r="EC328" s="22" t="s">
        <v>138</v>
      </c>
      <c r="ED328" s="15" t="s">
        <v>138</v>
      </c>
      <c r="EE328" s="14" t="str">
        <f>HYPERLINK("https://my.pitchbook.com?c=151254-73", "View company online")</f>
        <v>View company online</v>
      </c>
    </row>
    <row r="329" spans="1:135">
      <c r="A329" s="28" t="s">
        <v>7006</v>
      </c>
      <c r="B329" s="28" t="s">
        <v>7007</v>
      </c>
      <c r="C329" s="28" t="s">
        <v>7008</v>
      </c>
      <c r="D329" s="28" t="s">
        <v>138</v>
      </c>
      <c r="E329" s="28" t="s">
        <v>138</v>
      </c>
      <c r="F329" s="28" t="s">
        <v>7006</v>
      </c>
      <c r="G329" s="28" t="s">
        <v>7009</v>
      </c>
      <c r="H329" s="28" t="s">
        <v>322</v>
      </c>
      <c r="I329" s="28" t="s">
        <v>323</v>
      </c>
      <c r="J329" s="28" t="s">
        <v>954</v>
      </c>
      <c r="K329" s="28" t="s">
        <v>1562</v>
      </c>
      <c r="L329" s="28" t="s">
        <v>215</v>
      </c>
      <c r="M329" s="28" t="s">
        <v>7010</v>
      </c>
      <c r="N329" s="28" t="s">
        <v>542</v>
      </c>
      <c r="O329" s="29">
        <v>0.77</v>
      </c>
      <c r="P329" s="28" t="s">
        <v>610</v>
      </c>
      <c r="Q329" s="28" t="s">
        <v>149</v>
      </c>
      <c r="R329" s="28" t="s">
        <v>174</v>
      </c>
      <c r="S329" s="28" t="s">
        <v>7011</v>
      </c>
      <c r="T329" s="30">
        <v>10</v>
      </c>
      <c r="U329" s="28" t="s">
        <v>7012</v>
      </c>
      <c r="V329" s="28" t="s">
        <v>138</v>
      </c>
      <c r="W329" s="28" t="s">
        <v>138</v>
      </c>
      <c r="X329" s="31">
        <v>2013</v>
      </c>
      <c r="Y329" s="28" t="s">
        <v>138</v>
      </c>
      <c r="Z329" s="28" t="s">
        <v>138</v>
      </c>
      <c r="AA329" s="28" t="s">
        <v>138</v>
      </c>
      <c r="AB329" s="32" t="s">
        <v>138</v>
      </c>
      <c r="AC329" s="32" t="s">
        <v>138</v>
      </c>
      <c r="AD329" s="32" t="s">
        <v>138</v>
      </c>
      <c r="AE329" s="32" t="s">
        <v>138</v>
      </c>
      <c r="AF329" s="32" t="s">
        <v>138</v>
      </c>
      <c r="AG329" s="28" t="s">
        <v>138</v>
      </c>
      <c r="AH329" s="32" t="s">
        <v>138</v>
      </c>
      <c r="AI329" s="32" t="s">
        <v>138</v>
      </c>
      <c r="AJ329" s="32" t="s">
        <v>138</v>
      </c>
      <c r="AK329" s="28" t="s">
        <v>7013</v>
      </c>
      <c r="AL329" s="28" t="s">
        <v>7014</v>
      </c>
      <c r="AM329" s="28" t="s">
        <v>444</v>
      </c>
      <c r="AN329" s="28" t="s">
        <v>7015</v>
      </c>
      <c r="AO329" s="28" t="s">
        <v>138</v>
      </c>
      <c r="AP329" s="28" t="s">
        <v>7016</v>
      </c>
      <c r="AQ329" s="28" t="s">
        <v>7017</v>
      </c>
      <c r="AR329" s="28" t="s">
        <v>7018</v>
      </c>
      <c r="AS329" s="28" t="s">
        <v>7019</v>
      </c>
      <c r="AT329" s="28" t="s">
        <v>138</v>
      </c>
      <c r="AU329" s="28" t="s">
        <v>7020</v>
      </c>
      <c r="AV329" s="28" t="s">
        <v>7021</v>
      </c>
      <c r="AW329" s="28" t="s">
        <v>138</v>
      </c>
      <c r="AX329" s="28" t="s">
        <v>138</v>
      </c>
      <c r="AY329" s="28" t="s">
        <v>7022</v>
      </c>
      <c r="AZ329" s="28" t="s">
        <v>530</v>
      </c>
      <c r="BA329" s="28" t="s">
        <v>531</v>
      </c>
      <c r="BB329" s="28" t="s">
        <v>7023</v>
      </c>
      <c r="BC329" s="28" t="s">
        <v>7024</v>
      </c>
      <c r="BD329" s="33">
        <v>8</v>
      </c>
      <c r="BE329" s="28" t="s">
        <v>138</v>
      </c>
      <c r="BF329" s="28" t="s">
        <v>138</v>
      </c>
      <c r="BG329" s="28" t="s">
        <v>138</v>
      </c>
      <c r="BH329" s="28" t="s">
        <v>7025</v>
      </c>
      <c r="BI329" s="28" t="s">
        <v>138</v>
      </c>
      <c r="BJ329" s="28" t="s">
        <v>138</v>
      </c>
      <c r="BK329" s="28" t="s">
        <v>138</v>
      </c>
      <c r="BL329" s="28" t="s">
        <v>138</v>
      </c>
      <c r="BM329" s="34">
        <v>41605</v>
      </c>
      <c r="BN329" s="29">
        <v>0.04</v>
      </c>
      <c r="BO329" s="28" t="s">
        <v>172</v>
      </c>
      <c r="BP329" s="29" t="s">
        <v>138</v>
      </c>
      <c r="BQ329" s="28" t="s">
        <v>138</v>
      </c>
      <c r="BR329" s="28" t="s">
        <v>316</v>
      </c>
      <c r="BS329" s="28" t="s">
        <v>138</v>
      </c>
      <c r="BT329" s="28" t="s">
        <v>138</v>
      </c>
      <c r="BU329" s="28" t="s">
        <v>174</v>
      </c>
      <c r="BV329" s="28" t="s">
        <v>138</v>
      </c>
      <c r="BW329" s="28" t="s">
        <v>138</v>
      </c>
      <c r="BX329" s="28" t="s">
        <v>138</v>
      </c>
      <c r="BY329" s="28" t="s">
        <v>175</v>
      </c>
      <c r="BZ329" s="34">
        <v>42439</v>
      </c>
      <c r="CA329" s="29">
        <v>0.02</v>
      </c>
      <c r="CB329" s="28" t="s">
        <v>172</v>
      </c>
      <c r="CC329" s="29" t="s">
        <v>138</v>
      </c>
      <c r="CD329" s="28" t="s">
        <v>138</v>
      </c>
      <c r="CE329" s="28" t="s">
        <v>316</v>
      </c>
      <c r="CF329" s="28" t="s">
        <v>138</v>
      </c>
      <c r="CG329" s="28" t="s">
        <v>138</v>
      </c>
      <c r="CH329" s="28" t="s">
        <v>177</v>
      </c>
      <c r="CI329" s="28" t="s">
        <v>138</v>
      </c>
      <c r="CJ329" s="28" t="s">
        <v>138</v>
      </c>
      <c r="CK329" s="28" t="s">
        <v>138</v>
      </c>
      <c r="CL329" s="28" t="s">
        <v>175</v>
      </c>
      <c r="CM329" s="34" t="s">
        <v>138</v>
      </c>
      <c r="CN329" s="29" t="s">
        <v>138</v>
      </c>
      <c r="CO329" s="35" t="s">
        <v>138</v>
      </c>
      <c r="CP329" s="36" t="s">
        <v>138</v>
      </c>
      <c r="CQ329" s="35" t="s">
        <v>138</v>
      </c>
      <c r="CR329" s="35" t="s">
        <v>138</v>
      </c>
      <c r="CS329" s="35" t="s">
        <v>138</v>
      </c>
      <c r="CT329" s="36" t="s">
        <v>138</v>
      </c>
      <c r="CU329" s="35" t="s">
        <v>138</v>
      </c>
      <c r="CV329" s="36" t="s">
        <v>138</v>
      </c>
      <c r="CW329" s="35" t="s">
        <v>138</v>
      </c>
      <c r="CX329" s="36" t="s">
        <v>138</v>
      </c>
      <c r="CY329" s="35" t="s">
        <v>138</v>
      </c>
      <c r="CZ329" s="36" t="s">
        <v>138</v>
      </c>
      <c r="DA329" s="35" t="s">
        <v>138</v>
      </c>
      <c r="DB329" s="36" t="s">
        <v>138</v>
      </c>
      <c r="DC329" s="37" t="s">
        <v>138</v>
      </c>
      <c r="DD329" s="36" t="s">
        <v>138</v>
      </c>
      <c r="DE329" s="37" t="s">
        <v>138</v>
      </c>
      <c r="DF329" s="35" t="s">
        <v>138</v>
      </c>
      <c r="DG329" s="37" t="s">
        <v>138</v>
      </c>
      <c r="DH329" s="36" t="s">
        <v>138</v>
      </c>
      <c r="DI329" s="37" t="s">
        <v>138</v>
      </c>
      <c r="DJ329" s="36" t="s">
        <v>138</v>
      </c>
      <c r="DK329" s="37" t="s">
        <v>138</v>
      </c>
      <c r="DL329" s="36" t="s">
        <v>138</v>
      </c>
      <c r="DM329" s="37" t="s">
        <v>138</v>
      </c>
      <c r="DN329" s="36" t="s">
        <v>138</v>
      </c>
      <c r="DO329" s="37" t="s">
        <v>138</v>
      </c>
      <c r="DP329" s="36" t="s">
        <v>138</v>
      </c>
      <c r="DQ329" s="36" t="s">
        <v>138</v>
      </c>
      <c r="DR329" s="38" t="s">
        <v>138</v>
      </c>
      <c r="DS329" s="35" t="s">
        <v>138</v>
      </c>
      <c r="DT329" s="36" t="s">
        <v>138</v>
      </c>
      <c r="DU329" s="38" t="s">
        <v>138</v>
      </c>
      <c r="DV329" s="35" t="s">
        <v>138</v>
      </c>
      <c r="DW329" s="36" t="s">
        <v>138</v>
      </c>
      <c r="DX329" s="39" t="s">
        <v>138</v>
      </c>
      <c r="DY329" s="35" t="s">
        <v>138</v>
      </c>
      <c r="DZ329" s="28" t="s">
        <v>178</v>
      </c>
      <c r="EA329" s="34">
        <v>43351</v>
      </c>
      <c r="EB329" s="29" t="s">
        <v>138</v>
      </c>
      <c r="EC329" s="34" t="s">
        <v>138</v>
      </c>
      <c r="ED329" s="28" t="s">
        <v>138</v>
      </c>
      <c r="EE329" s="40" t="str">
        <f>HYPERLINK("https://my.pitchbook.com?c=60570-73", "View company online")</f>
        <v>View company online</v>
      </c>
    </row>
    <row r="330" spans="1:135">
      <c r="A330" s="15" t="s">
        <v>7026</v>
      </c>
      <c r="B330" s="15" t="s">
        <v>7027</v>
      </c>
      <c r="C330" s="15" t="s">
        <v>138</v>
      </c>
      <c r="D330" s="15" t="s">
        <v>138</v>
      </c>
      <c r="E330" s="15" t="s">
        <v>138</v>
      </c>
      <c r="F330" s="15" t="s">
        <v>7026</v>
      </c>
      <c r="G330" s="15" t="s">
        <v>7028</v>
      </c>
      <c r="H330" s="15" t="s">
        <v>141</v>
      </c>
      <c r="I330" s="15" t="s">
        <v>142</v>
      </c>
      <c r="J330" s="15" t="s">
        <v>1924</v>
      </c>
      <c r="K330" s="15" t="s">
        <v>7029</v>
      </c>
      <c r="L330" s="15" t="s">
        <v>359</v>
      </c>
      <c r="M330" s="15" t="s">
        <v>7030</v>
      </c>
      <c r="N330" s="15" t="s">
        <v>1212</v>
      </c>
      <c r="O330" s="17" t="s">
        <v>138</v>
      </c>
      <c r="P330" s="15" t="s">
        <v>148</v>
      </c>
      <c r="Q330" s="15" t="s">
        <v>149</v>
      </c>
      <c r="R330" s="15" t="s">
        <v>174</v>
      </c>
      <c r="S330" s="15" t="s">
        <v>7031</v>
      </c>
      <c r="T330" s="18">
        <v>5</v>
      </c>
      <c r="U330" s="15" t="s">
        <v>7032</v>
      </c>
      <c r="V330" s="15" t="s">
        <v>138</v>
      </c>
      <c r="W330" s="15" t="s">
        <v>138</v>
      </c>
      <c r="X330" s="19">
        <v>2003</v>
      </c>
      <c r="Y330" s="15" t="s">
        <v>138</v>
      </c>
      <c r="Z330" s="15" t="s">
        <v>138</v>
      </c>
      <c r="AA330" s="15" t="s">
        <v>138</v>
      </c>
      <c r="AB330" s="20" t="s">
        <v>138</v>
      </c>
      <c r="AC330" s="20" t="s">
        <v>138</v>
      </c>
      <c r="AD330" s="20" t="s">
        <v>138</v>
      </c>
      <c r="AE330" s="20" t="s">
        <v>138</v>
      </c>
      <c r="AF330" s="20" t="s">
        <v>138</v>
      </c>
      <c r="AG330" s="15" t="s">
        <v>138</v>
      </c>
      <c r="AH330" s="20" t="s">
        <v>138</v>
      </c>
      <c r="AI330" s="20" t="s">
        <v>138</v>
      </c>
      <c r="AJ330" s="20" t="s">
        <v>138</v>
      </c>
      <c r="AK330" s="15" t="s">
        <v>138</v>
      </c>
      <c r="AL330" s="15" t="s">
        <v>138</v>
      </c>
      <c r="AM330" s="15" t="s">
        <v>138</v>
      </c>
      <c r="AN330" s="15" t="s">
        <v>138</v>
      </c>
      <c r="AO330" s="15" t="s">
        <v>138</v>
      </c>
      <c r="AP330" s="15" t="s">
        <v>7033</v>
      </c>
      <c r="AQ330" s="15" t="s">
        <v>7034</v>
      </c>
      <c r="AR330" s="15" t="s">
        <v>7035</v>
      </c>
      <c r="AS330" s="15" t="s">
        <v>7036</v>
      </c>
      <c r="AT330" s="15" t="s">
        <v>138</v>
      </c>
      <c r="AU330" s="15" t="s">
        <v>7037</v>
      </c>
      <c r="AV330" s="15" t="s">
        <v>1200</v>
      </c>
      <c r="AW330" s="15" t="s">
        <v>7038</v>
      </c>
      <c r="AX330" s="15" t="s">
        <v>7039</v>
      </c>
      <c r="AY330" s="15" t="s">
        <v>7040</v>
      </c>
      <c r="AZ330" s="15" t="s">
        <v>452</v>
      </c>
      <c r="BA330" s="15" t="s">
        <v>453</v>
      </c>
      <c r="BB330" s="15" t="s">
        <v>7041</v>
      </c>
      <c r="BC330" s="15" t="s">
        <v>138</v>
      </c>
      <c r="BD330" s="21" t="s">
        <v>138</v>
      </c>
      <c r="BE330" s="15" t="s">
        <v>138</v>
      </c>
      <c r="BF330" s="15" t="s">
        <v>7042</v>
      </c>
      <c r="BG330" s="15" t="s">
        <v>138</v>
      </c>
      <c r="BH330" s="15" t="s">
        <v>138</v>
      </c>
      <c r="BI330" s="15" t="s">
        <v>7043</v>
      </c>
      <c r="BJ330" s="15" t="s">
        <v>138</v>
      </c>
      <c r="BK330" s="15" t="s">
        <v>7044</v>
      </c>
      <c r="BL330" s="15" t="s">
        <v>138</v>
      </c>
      <c r="BM330" s="22" t="s">
        <v>138</v>
      </c>
      <c r="BN330" s="17" t="s">
        <v>138</v>
      </c>
      <c r="BO330" s="15" t="s">
        <v>138</v>
      </c>
      <c r="BP330" s="17" t="s">
        <v>138</v>
      </c>
      <c r="BQ330" s="15" t="s">
        <v>138</v>
      </c>
      <c r="BR330" s="15" t="s">
        <v>205</v>
      </c>
      <c r="BS330" s="15" t="s">
        <v>138</v>
      </c>
      <c r="BT330" s="15" t="s">
        <v>138</v>
      </c>
      <c r="BU330" s="15" t="s">
        <v>174</v>
      </c>
      <c r="BV330" s="15" t="s">
        <v>138</v>
      </c>
      <c r="BW330" s="15" t="s">
        <v>138</v>
      </c>
      <c r="BX330" s="15" t="s">
        <v>138</v>
      </c>
      <c r="BY330" s="15" t="s">
        <v>175</v>
      </c>
      <c r="BZ330" s="22" t="s">
        <v>138</v>
      </c>
      <c r="CA330" s="17" t="s">
        <v>138</v>
      </c>
      <c r="CB330" s="15" t="s">
        <v>138</v>
      </c>
      <c r="CC330" s="17" t="s">
        <v>138</v>
      </c>
      <c r="CD330" s="15" t="s">
        <v>138</v>
      </c>
      <c r="CE330" s="15" t="s">
        <v>379</v>
      </c>
      <c r="CF330" s="15" t="s">
        <v>138</v>
      </c>
      <c r="CG330" s="15" t="s">
        <v>138</v>
      </c>
      <c r="CH330" s="15" t="s">
        <v>174</v>
      </c>
      <c r="CI330" s="15" t="s">
        <v>138</v>
      </c>
      <c r="CJ330" s="15" t="s">
        <v>138</v>
      </c>
      <c r="CK330" s="15" t="s">
        <v>138</v>
      </c>
      <c r="CL330" s="15" t="s">
        <v>175</v>
      </c>
      <c r="CM330" s="22" t="s">
        <v>138</v>
      </c>
      <c r="CN330" s="17" t="s">
        <v>138</v>
      </c>
      <c r="CO330" s="23" t="s">
        <v>138</v>
      </c>
      <c r="CP330" s="24" t="s">
        <v>138</v>
      </c>
      <c r="CQ330" s="23" t="s">
        <v>138</v>
      </c>
      <c r="CR330" s="23" t="s">
        <v>138</v>
      </c>
      <c r="CS330" s="23" t="s">
        <v>138</v>
      </c>
      <c r="CT330" s="24" t="s">
        <v>138</v>
      </c>
      <c r="CU330" s="23" t="s">
        <v>138</v>
      </c>
      <c r="CV330" s="24" t="s">
        <v>138</v>
      </c>
      <c r="CW330" s="23" t="s">
        <v>138</v>
      </c>
      <c r="CX330" s="24" t="s">
        <v>138</v>
      </c>
      <c r="CY330" s="23" t="s">
        <v>138</v>
      </c>
      <c r="CZ330" s="24" t="s">
        <v>138</v>
      </c>
      <c r="DA330" s="23" t="s">
        <v>138</v>
      </c>
      <c r="DB330" s="24" t="s">
        <v>138</v>
      </c>
      <c r="DC330" s="25" t="s">
        <v>138</v>
      </c>
      <c r="DD330" s="24" t="s">
        <v>138</v>
      </c>
      <c r="DE330" s="25" t="s">
        <v>138</v>
      </c>
      <c r="DF330" s="23" t="s">
        <v>138</v>
      </c>
      <c r="DG330" s="25" t="s">
        <v>138</v>
      </c>
      <c r="DH330" s="24" t="s">
        <v>138</v>
      </c>
      <c r="DI330" s="25" t="s">
        <v>138</v>
      </c>
      <c r="DJ330" s="24" t="s">
        <v>138</v>
      </c>
      <c r="DK330" s="25" t="s">
        <v>138</v>
      </c>
      <c r="DL330" s="24" t="s">
        <v>138</v>
      </c>
      <c r="DM330" s="25" t="s">
        <v>138</v>
      </c>
      <c r="DN330" s="24" t="s">
        <v>138</v>
      </c>
      <c r="DO330" s="25" t="s">
        <v>138</v>
      </c>
      <c r="DP330" s="24" t="s">
        <v>138</v>
      </c>
      <c r="DQ330" s="24" t="s">
        <v>138</v>
      </c>
      <c r="DR330" s="26" t="s">
        <v>138</v>
      </c>
      <c r="DS330" s="23" t="s">
        <v>138</v>
      </c>
      <c r="DT330" s="24" t="s">
        <v>138</v>
      </c>
      <c r="DU330" s="26" t="s">
        <v>138</v>
      </c>
      <c r="DV330" s="23" t="s">
        <v>138</v>
      </c>
      <c r="DW330" s="24" t="s">
        <v>138</v>
      </c>
      <c r="DX330" s="27" t="s">
        <v>138</v>
      </c>
      <c r="DY330" s="23" t="s">
        <v>138</v>
      </c>
      <c r="DZ330" s="15" t="s">
        <v>178</v>
      </c>
      <c r="EA330" s="22">
        <v>43351</v>
      </c>
      <c r="EB330" s="17" t="s">
        <v>138</v>
      </c>
      <c r="EC330" s="22" t="s">
        <v>138</v>
      </c>
      <c r="ED330" s="15" t="s">
        <v>138</v>
      </c>
      <c r="EE330" s="14" t="str">
        <f>HYPERLINK("https://my.pitchbook.com?c=59182-93", "View company online")</f>
        <v>View company online</v>
      </c>
    </row>
    <row r="331" spans="1:135">
      <c r="A331" s="28" t="s">
        <v>7045</v>
      </c>
      <c r="B331" s="28" t="s">
        <v>7046</v>
      </c>
      <c r="C331" s="28" t="s">
        <v>138</v>
      </c>
      <c r="D331" s="28" t="s">
        <v>138</v>
      </c>
      <c r="E331" s="28" t="s">
        <v>7047</v>
      </c>
      <c r="F331" s="28" t="s">
        <v>7045</v>
      </c>
      <c r="G331" s="28" t="s">
        <v>7048</v>
      </c>
      <c r="H331" s="28" t="s">
        <v>385</v>
      </c>
      <c r="I331" s="28" t="s">
        <v>5325</v>
      </c>
      <c r="J331" s="28" t="s">
        <v>5326</v>
      </c>
      <c r="K331" s="28" t="s">
        <v>7049</v>
      </c>
      <c r="L331" s="28" t="s">
        <v>326</v>
      </c>
      <c r="M331" s="28" t="s">
        <v>7050</v>
      </c>
      <c r="N331" s="28" t="s">
        <v>147</v>
      </c>
      <c r="O331" s="29">
        <v>13.86</v>
      </c>
      <c r="P331" s="28" t="s">
        <v>148</v>
      </c>
      <c r="Q331" s="28" t="s">
        <v>149</v>
      </c>
      <c r="R331" s="28" t="s">
        <v>174</v>
      </c>
      <c r="S331" s="28" t="s">
        <v>7051</v>
      </c>
      <c r="T331" s="30">
        <v>28</v>
      </c>
      <c r="U331" s="28" t="s">
        <v>7052</v>
      </c>
      <c r="V331" s="28" t="s">
        <v>138</v>
      </c>
      <c r="W331" s="28" t="s">
        <v>138</v>
      </c>
      <c r="X331" s="31">
        <v>2008</v>
      </c>
      <c r="Y331" s="28" t="s">
        <v>138</v>
      </c>
      <c r="Z331" s="28" t="s">
        <v>138</v>
      </c>
      <c r="AA331" s="28" t="s">
        <v>138</v>
      </c>
      <c r="AB331" s="32">
        <v>2</v>
      </c>
      <c r="AC331" s="32" t="s">
        <v>138</v>
      </c>
      <c r="AD331" s="32" t="s">
        <v>138</v>
      </c>
      <c r="AE331" s="32" t="s">
        <v>138</v>
      </c>
      <c r="AF331" s="32" t="s">
        <v>138</v>
      </c>
      <c r="AG331" s="28" t="s">
        <v>2900</v>
      </c>
      <c r="AH331" s="32" t="s">
        <v>138</v>
      </c>
      <c r="AI331" s="32" t="s">
        <v>138</v>
      </c>
      <c r="AJ331" s="32" t="s">
        <v>138</v>
      </c>
      <c r="AK331" s="28" t="s">
        <v>7053</v>
      </c>
      <c r="AL331" s="28" t="s">
        <v>7054</v>
      </c>
      <c r="AM331" s="28" t="s">
        <v>986</v>
      </c>
      <c r="AN331" s="28" t="s">
        <v>7055</v>
      </c>
      <c r="AO331" s="28" t="s">
        <v>7056</v>
      </c>
      <c r="AP331" s="28" t="s">
        <v>7057</v>
      </c>
      <c r="AQ331" s="28" t="s">
        <v>7058</v>
      </c>
      <c r="AR331" s="28" t="s">
        <v>138</v>
      </c>
      <c r="AS331" s="28" t="s">
        <v>7059</v>
      </c>
      <c r="AT331" s="28" t="s">
        <v>138</v>
      </c>
      <c r="AU331" s="28" t="s">
        <v>138</v>
      </c>
      <c r="AV331" s="28" t="s">
        <v>740</v>
      </c>
      <c r="AW331" s="28" t="s">
        <v>7056</v>
      </c>
      <c r="AX331" s="28" t="s">
        <v>7060</v>
      </c>
      <c r="AY331" s="28" t="s">
        <v>7061</v>
      </c>
      <c r="AZ331" s="28" t="s">
        <v>742</v>
      </c>
      <c r="BA331" s="28" t="s">
        <v>742</v>
      </c>
      <c r="BB331" s="28" t="s">
        <v>7062</v>
      </c>
      <c r="BC331" s="28" t="s">
        <v>7063</v>
      </c>
      <c r="BD331" s="33">
        <v>5</v>
      </c>
      <c r="BE331" s="28" t="s">
        <v>138</v>
      </c>
      <c r="BF331" s="28" t="s">
        <v>138</v>
      </c>
      <c r="BG331" s="28" t="s">
        <v>138</v>
      </c>
      <c r="BH331" s="28" t="s">
        <v>7064</v>
      </c>
      <c r="BI331" s="28" t="s">
        <v>138</v>
      </c>
      <c r="BJ331" s="28" t="s">
        <v>138</v>
      </c>
      <c r="BK331" s="28" t="s">
        <v>138</v>
      </c>
      <c r="BL331" s="28" t="s">
        <v>138</v>
      </c>
      <c r="BM331" s="34">
        <v>39814</v>
      </c>
      <c r="BN331" s="29">
        <v>0.9</v>
      </c>
      <c r="BO331" s="28" t="s">
        <v>172</v>
      </c>
      <c r="BP331" s="29" t="s">
        <v>138</v>
      </c>
      <c r="BQ331" s="28" t="s">
        <v>138</v>
      </c>
      <c r="BR331" s="28" t="s">
        <v>205</v>
      </c>
      <c r="BS331" s="28" t="s">
        <v>138</v>
      </c>
      <c r="BT331" s="28" t="s">
        <v>138</v>
      </c>
      <c r="BU331" s="28" t="s">
        <v>174</v>
      </c>
      <c r="BV331" s="28" t="s">
        <v>138</v>
      </c>
      <c r="BW331" s="28" t="s">
        <v>138</v>
      </c>
      <c r="BX331" s="28" t="s">
        <v>138</v>
      </c>
      <c r="BY331" s="28" t="s">
        <v>175</v>
      </c>
      <c r="BZ331" s="34">
        <v>41563</v>
      </c>
      <c r="CA331" s="29">
        <v>6</v>
      </c>
      <c r="CB331" s="28" t="s">
        <v>172</v>
      </c>
      <c r="CC331" s="29" t="s">
        <v>138</v>
      </c>
      <c r="CD331" s="28" t="s">
        <v>138</v>
      </c>
      <c r="CE331" s="28" t="s">
        <v>205</v>
      </c>
      <c r="CF331" s="28" t="s">
        <v>138</v>
      </c>
      <c r="CG331" s="28" t="s">
        <v>138</v>
      </c>
      <c r="CH331" s="28" t="s">
        <v>174</v>
      </c>
      <c r="CI331" s="28" t="s">
        <v>138</v>
      </c>
      <c r="CJ331" s="28" t="s">
        <v>138</v>
      </c>
      <c r="CK331" s="28" t="s">
        <v>138</v>
      </c>
      <c r="CL331" s="28" t="s">
        <v>175</v>
      </c>
      <c r="CM331" s="34" t="s">
        <v>138</v>
      </c>
      <c r="CN331" s="29" t="s">
        <v>138</v>
      </c>
      <c r="CO331" s="35">
        <v>-0.98</v>
      </c>
      <c r="CP331" s="36">
        <v>11</v>
      </c>
      <c r="CQ331" s="35">
        <v>-0.03</v>
      </c>
      <c r="CR331" s="35">
        <v>-3.02</v>
      </c>
      <c r="CS331" s="35">
        <v>-2.1</v>
      </c>
      <c r="CT331" s="36">
        <v>8</v>
      </c>
      <c r="CU331" s="35">
        <v>0.13</v>
      </c>
      <c r="CV331" s="36">
        <v>73</v>
      </c>
      <c r="CW331" s="35" t="s">
        <v>138</v>
      </c>
      <c r="CX331" s="36" t="s">
        <v>138</v>
      </c>
      <c r="CY331" s="35">
        <v>-2.1</v>
      </c>
      <c r="CZ331" s="36">
        <v>11</v>
      </c>
      <c r="DA331" s="35">
        <v>0.13</v>
      </c>
      <c r="DB331" s="36">
        <v>76</v>
      </c>
      <c r="DC331" s="37">
        <v>6.31</v>
      </c>
      <c r="DD331" s="36">
        <v>85</v>
      </c>
      <c r="DE331" s="37">
        <v>0</v>
      </c>
      <c r="DF331" s="35">
        <v>0.03</v>
      </c>
      <c r="DG331" s="37">
        <v>10.52</v>
      </c>
      <c r="DH331" s="36">
        <v>90</v>
      </c>
      <c r="DI331" s="37">
        <v>2.11</v>
      </c>
      <c r="DJ331" s="36">
        <v>63</v>
      </c>
      <c r="DK331" s="37" t="s">
        <v>138</v>
      </c>
      <c r="DL331" s="36" t="s">
        <v>138</v>
      </c>
      <c r="DM331" s="37">
        <v>10.52</v>
      </c>
      <c r="DN331" s="36">
        <v>89</v>
      </c>
      <c r="DO331" s="37">
        <v>2.11</v>
      </c>
      <c r="DP331" s="36">
        <v>65</v>
      </c>
      <c r="DQ331" s="36" t="s">
        <v>138</v>
      </c>
      <c r="DR331" s="38" t="s">
        <v>138</v>
      </c>
      <c r="DS331" s="35" t="s">
        <v>138</v>
      </c>
      <c r="DT331" s="36">
        <v>305</v>
      </c>
      <c r="DU331" s="38">
        <v>-1</v>
      </c>
      <c r="DV331" s="35">
        <v>-0.33</v>
      </c>
      <c r="DW331" s="36">
        <v>757</v>
      </c>
      <c r="DX331" s="39">
        <v>1</v>
      </c>
      <c r="DY331" s="35">
        <v>0.13</v>
      </c>
      <c r="DZ331" s="28" t="s">
        <v>178</v>
      </c>
      <c r="EA331" s="34">
        <v>43351</v>
      </c>
      <c r="EB331" s="29" t="s">
        <v>138</v>
      </c>
      <c r="EC331" s="34" t="s">
        <v>138</v>
      </c>
      <c r="ED331" s="28" t="s">
        <v>138</v>
      </c>
      <c r="EE331" s="40" t="str">
        <f>HYPERLINK("https://my.pitchbook.com?c=53686-72", "View company online")</f>
        <v>View company online</v>
      </c>
    </row>
    <row r="332" spans="1:135">
      <c r="A332" s="15" t="s">
        <v>7065</v>
      </c>
      <c r="B332" s="15" t="s">
        <v>7066</v>
      </c>
      <c r="C332" s="15" t="s">
        <v>138</v>
      </c>
      <c r="D332" s="15" t="s">
        <v>138</v>
      </c>
      <c r="E332" s="15" t="s">
        <v>7067</v>
      </c>
      <c r="F332" s="15" t="s">
        <v>7065</v>
      </c>
      <c r="G332" s="15" t="s">
        <v>7068</v>
      </c>
      <c r="H332" s="15" t="s">
        <v>322</v>
      </c>
      <c r="I332" s="15" t="s">
        <v>323</v>
      </c>
      <c r="J332" s="15" t="s">
        <v>324</v>
      </c>
      <c r="K332" s="15" t="s">
        <v>7069</v>
      </c>
      <c r="L332" s="15" t="s">
        <v>7070</v>
      </c>
      <c r="M332" s="15" t="s">
        <v>7071</v>
      </c>
      <c r="N332" s="15" t="s">
        <v>147</v>
      </c>
      <c r="O332" s="17">
        <v>6.82</v>
      </c>
      <c r="P332" s="15" t="s">
        <v>148</v>
      </c>
      <c r="Q332" s="15" t="s">
        <v>149</v>
      </c>
      <c r="R332" s="15" t="s">
        <v>174</v>
      </c>
      <c r="S332" s="15" t="s">
        <v>7072</v>
      </c>
      <c r="T332" s="18">
        <v>11</v>
      </c>
      <c r="U332" s="15" t="s">
        <v>3406</v>
      </c>
      <c r="V332" s="15" t="s">
        <v>138</v>
      </c>
      <c r="W332" s="15" t="s">
        <v>138</v>
      </c>
      <c r="X332" s="19">
        <v>2010</v>
      </c>
      <c r="Y332" s="15" t="s">
        <v>138</v>
      </c>
      <c r="Z332" s="15" t="s">
        <v>138</v>
      </c>
      <c r="AA332" s="15" t="s">
        <v>138</v>
      </c>
      <c r="AB332" s="20" t="s">
        <v>138</v>
      </c>
      <c r="AC332" s="20" t="s">
        <v>138</v>
      </c>
      <c r="AD332" s="20" t="s">
        <v>138</v>
      </c>
      <c r="AE332" s="20" t="s">
        <v>138</v>
      </c>
      <c r="AF332" s="20" t="s">
        <v>138</v>
      </c>
      <c r="AG332" s="15" t="s">
        <v>138</v>
      </c>
      <c r="AH332" s="20" t="s">
        <v>138</v>
      </c>
      <c r="AI332" s="20" t="s">
        <v>138</v>
      </c>
      <c r="AJ332" s="20" t="s">
        <v>138</v>
      </c>
      <c r="AK332" s="15" t="s">
        <v>7073</v>
      </c>
      <c r="AL332" s="15" t="s">
        <v>7074</v>
      </c>
      <c r="AM332" s="15" t="s">
        <v>221</v>
      </c>
      <c r="AN332" s="15" t="s">
        <v>7075</v>
      </c>
      <c r="AO332" s="15" t="s">
        <v>7076</v>
      </c>
      <c r="AP332" s="15" t="s">
        <v>7077</v>
      </c>
      <c r="AQ332" s="15" t="s">
        <v>7078</v>
      </c>
      <c r="AR332" s="15" t="s">
        <v>2029</v>
      </c>
      <c r="AS332" s="15" t="s">
        <v>7079</v>
      </c>
      <c r="AT332" s="15" t="s">
        <v>200</v>
      </c>
      <c r="AU332" s="15" t="s">
        <v>7080</v>
      </c>
      <c r="AV332" s="15" t="s">
        <v>162</v>
      </c>
      <c r="AW332" s="15" t="s">
        <v>7076</v>
      </c>
      <c r="AX332" s="15" t="s">
        <v>138</v>
      </c>
      <c r="AY332" s="15" t="s">
        <v>7081</v>
      </c>
      <c r="AZ332" s="15" t="s">
        <v>164</v>
      </c>
      <c r="BA332" s="15" t="s">
        <v>165</v>
      </c>
      <c r="BB332" s="15" t="s">
        <v>7082</v>
      </c>
      <c r="BC332" s="15" t="s">
        <v>7083</v>
      </c>
      <c r="BD332" s="21">
        <v>8</v>
      </c>
      <c r="BE332" s="15" t="s">
        <v>138</v>
      </c>
      <c r="BF332" s="15" t="s">
        <v>138</v>
      </c>
      <c r="BG332" s="15" t="s">
        <v>138</v>
      </c>
      <c r="BH332" s="15" t="s">
        <v>7084</v>
      </c>
      <c r="BI332" s="15" t="s">
        <v>138</v>
      </c>
      <c r="BJ332" s="15" t="s">
        <v>138</v>
      </c>
      <c r="BK332" s="15" t="s">
        <v>138</v>
      </c>
      <c r="BL332" s="15" t="s">
        <v>4125</v>
      </c>
      <c r="BM332" s="22" t="s">
        <v>138</v>
      </c>
      <c r="BN332" s="17">
        <v>1</v>
      </c>
      <c r="BO332" s="15" t="s">
        <v>172</v>
      </c>
      <c r="BP332" s="17" t="s">
        <v>138</v>
      </c>
      <c r="BQ332" s="15" t="s">
        <v>138</v>
      </c>
      <c r="BR332" s="15" t="s">
        <v>234</v>
      </c>
      <c r="BS332" s="15" t="s">
        <v>234</v>
      </c>
      <c r="BT332" s="15" t="s">
        <v>138</v>
      </c>
      <c r="BU332" s="15" t="s">
        <v>263</v>
      </c>
      <c r="BV332" s="15" t="s">
        <v>138</v>
      </c>
      <c r="BW332" s="15" t="s">
        <v>138</v>
      </c>
      <c r="BX332" s="15" t="s">
        <v>138</v>
      </c>
      <c r="BY332" s="15" t="s">
        <v>175</v>
      </c>
      <c r="BZ332" s="22">
        <v>43258</v>
      </c>
      <c r="CA332" s="17" t="s">
        <v>138</v>
      </c>
      <c r="CB332" s="15" t="s">
        <v>138</v>
      </c>
      <c r="CC332" s="17" t="s">
        <v>138</v>
      </c>
      <c r="CD332" s="15" t="s">
        <v>138</v>
      </c>
      <c r="CE332" s="15" t="s">
        <v>205</v>
      </c>
      <c r="CF332" s="15" t="s">
        <v>138</v>
      </c>
      <c r="CG332" s="15" t="s">
        <v>138</v>
      </c>
      <c r="CH332" s="15" t="s">
        <v>174</v>
      </c>
      <c r="CI332" s="15" t="s">
        <v>138</v>
      </c>
      <c r="CJ332" s="15" t="s">
        <v>138</v>
      </c>
      <c r="CK332" s="15" t="s">
        <v>138</v>
      </c>
      <c r="CL332" s="15" t="s">
        <v>175</v>
      </c>
      <c r="CM332" s="22" t="s">
        <v>138</v>
      </c>
      <c r="CN332" s="17" t="s">
        <v>138</v>
      </c>
      <c r="CO332" s="23">
        <v>0</v>
      </c>
      <c r="CP332" s="24">
        <v>26</v>
      </c>
      <c r="CQ332" s="23">
        <v>0</v>
      </c>
      <c r="CR332" s="23">
        <v>0</v>
      </c>
      <c r="CS332" s="23">
        <v>0</v>
      </c>
      <c r="CT332" s="24">
        <v>23</v>
      </c>
      <c r="CU332" s="23">
        <v>0</v>
      </c>
      <c r="CV332" s="24">
        <v>22</v>
      </c>
      <c r="CW332" s="23" t="s">
        <v>138</v>
      </c>
      <c r="CX332" s="24" t="s">
        <v>138</v>
      </c>
      <c r="CY332" s="23">
        <v>0</v>
      </c>
      <c r="CZ332" s="24">
        <v>25</v>
      </c>
      <c r="DA332" s="23">
        <v>0</v>
      </c>
      <c r="DB332" s="24">
        <v>22</v>
      </c>
      <c r="DC332" s="25">
        <v>1.07</v>
      </c>
      <c r="DD332" s="24">
        <v>53</v>
      </c>
      <c r="DE332" s="25">
        <v>0.02</v>
      </c>
      <c r="DF332" s="23">
        <v>1.81</v>
      </c>
      <c r="DG332" s="25">
        <v>2</v>
      </c>
      <c r="DH332" s="24">
        <v>67</v>
      </c>
      <c r="DI332" s="25">
        <v>0.14000000000000001</v>
      </c>
      <c r="DJ332" s="24">
        <v>18</v>
      </c>
      <c r="DK332" s="25" t="s">
        <v>138</v>
      </c>
      <c r="DL332" s="24" t="s">
        <v>138</v>
      </c>
      <c r="DM332" s="25">
        <v>2</v>
      </c>
      <c r="DN332" s="24">
        <v>66</v>
      </c>
      <c r="DO332" s="25">
        <v>0.14000000000000001</v>
      </c>
      <c r="DP332" s="24">
        <v>20</v>
      </c>
      <c r="DQ332" s="24" t="s">
        <v>138</v>
      </c>
      <c r="DR332" s="26" t="s">
        <v>138</v>
      </c>
      <c r="DS332" s="23" t="s">
        <v>138</v>
      </c>
      <c r="DT332" s="24">
        <v>57</v>
      </c>
      <c r="DU332" s="26">
        <v>0</v>
      </c>
      <c r="DV332" s="23">
        <v>0</v>
      </c>
      <c r="DW332" s="24">
        <v>50</v>
      </c>
      <c r="DX332" s="27">
        <v>0</v>
      </c>
      <c r="DY332" s="23">
        <v>0</v>
      </c>
      <c r="DZ332" s="15" t="s">
        <v>178</v>
      </c>
      <c r="EA332" s="22">
        <v>43351</v>
      </c>
      <c r="EB332" s="17">
        <v>14.82</v>
      </c>
      <c r="EC332" s="22">
        <v>43133</v>
      </c>
      <c r="ED332" s="15" t="s">
        <v>205</v>
      </c>
      <c r="EE332" s="14" t="str">
        <f>HYPERLINK("https://my.pitchbook.com?c=115405-66", "View company online")</f>
        <v>View company online</v>
      </c>
    </row>
    <row r="333" spans="1:135">
      <c r="A333" s="28" t="s">
        <v>7085</v>
      </c>
      <c r="B333" s="28" t="s">
        <v>7086</v>
      </c>
      <c r="C333" s="28" t="s">
        <v>138</v>
      </c>
      <c r="D333" s="28" t="s">
        <v>138</v>
      </c>
      <c r="E333" s="28" t="s">
        <v>7087</v>
      </c>
      <c r="F333" s="28" t="s">
        <v>7085</v>
      </c>
      <c r="G333" s="28" t="s">
        <v>7088</v>
      </c>
      <c r="H333" s="28" t="s">
        <v>322</v>
      </c>
      <c r="I333" s="28" t="s">
        <v>323</v>
      </c>
      <c r="J333" s="28" t="s">
        <v>413</v>
      </c>
      <c r="K333" s="28" t="s">
        <v>7089</v>
      </c>
      <c r="L333" s="28" t="s">
        <v>242</v>
      </c>
      <c r="M333" s="28" t="s">
        <v>7090</v>
      </c>
      <c r="N333" s="28" t="s">
        <v>147</v>
      </c>
      <c r="O333" s="29">
        <v>111.98</v>
      </c>
      <c r="P333" s="28" t="s">
        <v>148</v>
      </c>
      <c r="Q333" s="28" t="s">
        <v>149</v>
      </c>
      <c r="R333" s="28" t="s">
        <v>174</v>
      </c>
      <c r="S333" s="28" t="s">
        <v>7091</v>
      </c>
      <c r="T333" s="30">
        <v>180</v>
      </c>
      <c r="U333" s="28" t="s">
        <v>7092</v>
      </c>
      <c r="V333" s="28" t="s">
        <v>138</v>
      </c>
      <c r="W333" s="28" t="s">
        <v>138</v>
      </c>
      <c r="X333" s="31">
        <v>2011</v>
      </c>
      <c r="Y333" s="28" t="s">
        <v>138</v>
      </c>
      <c r="Z333" s="28" t="s">
        <v>138</v>
      </c>
      <c r="AA333" s="28" t="s">
        <v>138</v>
      </c>
      <c r="AB333" s="32" t="s">
        <v>138</v>
      </c>
      <c r="AC333" s="32" t="s">
        <v>138</v>
      </c>
      <c r="AD333" s="32">
        <v>-12.5</v>
      </c>
      <c r="AE333" s="32" t="s">
        <v>138</v>
      </c>
      <c r="AF333" s="32" t="s">
        <v>138</v>
      </c>
      <c r="AG333" s="28" t="s">
        <v>707</v>
      </c>
      <c r="AH333" s="32" t="s">
        <v>138</v>
      </c>
      <c r="AI333" s="32" t="s">
        <v>138</v>
      </c>
      <c r="AJ333" s="32" t="s">
        <v>138</v>
      </c>
      <c r="AK333" s="28" t="s">
        <v>7093</v>
      </c>
      <c r="AL333" s="28" t="s">
        <v>7094</v>
      </c>
      <c r="AM333" s="28" t="s">
        <v>7095</v>
      </c>
      <c r="AN333" s="28" t="s">
        <v>7096</v>
      </c>
      <c r="AO333" s="28" t="s">
        <v>7097</v>
      </c>
      <c r="AP333" s="28" t="s">
        <v>5718</v>
      </c>
      <c r="AQ333" s="28" t="s">
        <v>7098</v>
      </c>
      <c r="AR333" s="28" t="s">
        <v>138</v>
      </c>
      <c r="AS333" s="28" t="s">
        <v>5720</v>
      </c>
      <c r="AT333" s="28" t="s">
        <v>138</v>
      </c>
      <c r="AU333" s="28" t="s">
        <v>7099</v>
      </c>
      <c r="AV333" s="28" t="s">
        <v>946</v>
      </c>
      <c r="AW333" s="28" t="s">
        <v>7097</v>
      </c>
      <c r="AX333" s="28" t="s">
        <v>7100</v>
      </c>
      <c r="AY333" s="28" t="s">
        <v>7101</v>
      </c>
      <c r="AZ333" s="28" t="s">
        <v>530</v>
      </c>
      <c r="BA333" s="28" t="s">
        <v>531</v>
      </c>
      <c r="BB333" s="28" t="s">
        <v>7102</v>
      </c>
      <c r="BC333" s="28" t="s">
        <v>7103</v>
      </c>
      <c r="BD333" s="33">
        <v>15</v>
      </c>
      <c r="BE333" s="28" t="s">
        <v>138</v>
      </c>
      <c r="BF333" s="28" t="s">
        <v>138</v>
      </c>
      <c r="BG333" s="28" t="s">
        <v>138</v>
      </c>
      <c r="BH333" s="28" t="s">
        <v>7104</v>
      </c>
      <c r="BI333" s="28" t="s">
        <v>138</v>
      </c>
      <c r="BJ333" s="28" t="s">
        <v>138</v>
      </c>
      <c r="BK333" s="28" t="s">
        <v>7105</v>
      </c>
      <c r="BL333" s="28" t="s">
        <v>7106</v>
      </c>
      <c r="BM333" s="34">
        <v>40909</v>
      </c>
      <c r="BN333" s="29" t="s">
        <v>138</v>
      </c>
      <c r="BO333" s="28" t="s">
        <v>138</v>
      </c>
      <c r="BP333" s="29" t="s">
        <v>138</v>
      </c>
      <c r="BQ333" s="28" t="s">
        <v>138</v>
      </c>
      <c r="BR333" s="28" t="s">
        <v>316</v>
      </c>
      <c r="BS333" s="28" t="s">
        <v>138</v>
      </c>
      <c r="BT333" s="28" t="s">
        <v>138</v>
      </c>
      <c r="BU333" s="28" t="s">
        <v>177</v>
      </c>
      <c r="BV333" s="28" t="s">
        <v>138</v>
      </c>
      <c r="BW333" s="28" t="s">
        <v>138</v>
      </c>
      <c r="BX333" s="28" t="s">
        <v>138</v>
      </c>
      <c r="BY333" s="28" t="s">
        <v>175</v>
      </c>
      <c r="BZ333" s="34" t="s">
        <v>138</v>
      </c>
      <c r="CA333" s="29" t="s">
        <v>138</v>
      </c>
      <c r="CB333" s="28" t="s">
        <v>138</v>
      </c>
      <c r="CC333" s="29" t="s">
        <v>138</v>
      </c>
      <c r="CD333" s="28" t="s">
        <v>138</v>
      </c>
      <c r="CE333" s="28" t="s">
        <v>173</v>
      </c>
      <c r="CF333" s="28" t="s">
        <v>138</v>
      </c>
      <c r="CG333" s="28" t="s">
        <v>138</v>
      </c>
      <c r="CH333" s="28" t="s">
        <v>174</v>
      </c>
      <c r="CI333" s="28" t="s">
        <v>138</v>
      </c>
      <c r="CJ333" s="28" t="s">
        <v>138</v>
      </c>
      <c r="CK333" s="28" t="s">
        <v>138</v>
      </c>
      <c r="CL333" s="28" t="s">
        <v>175</v>
      </c>
      <c r="CM333" s="34" t="s">
        <v>138</v>
      </c>
      <c r="CN333" s="29" t="s">
        <v>138</v>
      </c>
      <c r="CO333" s="35">
        <v>0.39</v>
      </c>
      <c r="CP333" s="36">
        <v>94</v>
      </c>
      <c r="CQ333" s="35">
        <v>-0.02</v>
      </c>
      <c r="CR333" s="35">
        <v>-3.8</v>
      </c>
      <c r="CS333" s="35">
        <v>0.8</v>
      </c>
      <c r="CT333" s="36">
        <v>96</v>
      </c>
      <c r="CU333" s="35">
        <v>7.0000000000000007E-2</v>
      </c>
      <c r="CV333" s="36">
        <v>62</v>
      </c>
      <c r="CW333" s="35">
        <v>2.59</v>
      </c>
      <c r="CX333" s="36">
        <v>90</v>
      </c>
      <c r="CY333" s="35">
        <v>-0.98</v>
      </c>
      <c r="CZ333" s="36">
        <v>19</v>
      </c>
      <c r="DA333" s="35">
        <v>7.0000000000000007E-2</v>
      </c>
      <c r="DB333" s="36">
        <v>67</v>
      </c>
      <c r="DC333" s="37">
        <v>23.32</v>
      </c>
      <c r="DD333" s="36">
        <v>95</v>
      </c>
      <c r="DE333" s="37">
        <v>-0.03</v>
      </c>
      <c r="DF333" s="35">
        <v>-0.13</v>
      </c>
      <c r="DG333" s="37">
        <v>48.24</v>
      </c>
      <c r="DH333" s="36">
        <v>98</v>
      </c>
      <c r="DI333" s="37">
        <v>38.44</v>
      </c>
      <c r="DJ333" s="36">
        <v>94</v>
      </c>
      <c r="DK333" s="37">
        <v>9.4499999999999993</v>
      </c>
      <c r="DL333" s="36">
        <v>86</v>
      </c>
      <c r="DM333" s="37">
        <v>87.03</v>
      </c>
      <c r="DN333" s="36">
        <v>99</v>
      </c>
      <c r="DO333" s="37">
        <v>38.44</v>
      </c>
      <c r="DP333" s="36">
        <v>96</v>
      </c>
      <c r="DQ333" s="36">
        <v>3160</v>
      </c>
      <c r="DR333" s="38">
        <v>242</v>
      </c>
      <c r="DS333" s="35">
        <v>8.2899999999999991</v>
      </c>
      <c r="DT333" s="36">
        <v>2524</v>
      </c>
      <c r="DU333" s="38">
        <v>3</v>
      </c>
      <c r="DV333" s="35">
        <v>0.12</v>
      </c>
      <c r="DW333" s="36">
        <v>13759</v>
      </c>
      <c r="DX333" s="39">
        <v>10</v>
      </c>
      <c r="DY333" s="35">
        <v>7.0000000000000007E-2</v>
      </c>
      <c r="DZ333" s="28" t="s">
        <v>178</v>
      </c>
      <c r="EA333" s="34">
        <v>43622</v>
      </c>
      <c r="EB333" s="29" t="s">
        <v>138</v>
      </c>
      <c r="EC333" s="34" t="s">
        <v>138</v>
      </c>
      <c r="ED333" s="28" t="s">
        <v>138</v>
      </c>
      <c r="EE333" s="40" t="str">
        <f>HYPERLINK("https://my.pitchbook.com?c=53848-54", "View company online")</f>
        <v>View company online</v>
      </c>
    </row>
    <row r="334" spans="1:135">
      <c r="A334" s="15" t="s">
        <v>7107</v>
      </c>
      <c r="B334" s="15" t="s">
        <v>7108</v>
      </c>
      <c r="C334" s="15" t="s">
        <v>7109</v>
      </c>
      <c r="D334" s="15" t="s">
        <v>138</v>
      </c>
      <c r="E334" s="15" t="s">
        <v>7110</v>
      </c>
      <c r="F334" s="15" t="s">
        <v>7107</v>
      </c>
      <c r="G334" s="15" t="s">
        <v>7111</v>
      </c>
      <c r="H334" s="15" t="s">
        <v>322</v>
      </c>
      <c r="I334" s="15" t="s">
        <v>323</v>
      </c>
      <c r="J334" s="15" t="s">
        <v>324</v>
      </c>
      <c r="K334" s="15" t="s">
        <v>1543</v>
      </c>
      <c r="L334" s="15" t="s">
        <v>7112</v>
      </c>
      <c r="M334" s="15" t="s">
        <v>7113</v>
      </c>
      <c r="N334" s="15" t="s">
        <v>147</v>
      </c>
      <c r="O334" s="17">
        <v>57.01</v>
      </c>
      <c r="P334" s="15" t="s">
        <v>148</v>
      </c>
      <c r="Q334" s="15" t="s">
        <v>149</v>
      </c>
      <c r="R334" s="15" t="s">
        <v>174</v>
      </c>
      <c r="S334" s="15" t="s">
        <v>7114</v>
      </c>
      <c r="T334" s="18">
        <v>65</v>
      </c>
      <c r="U334" s="15" t="s">
        <v>7115</v>
      </c>
      <c r="V334" s="15" t="s">
        <v>138</v>
      </c>
      <c r="W334" s="15" t="s">
        <v>138</v>
      </c>
      <c r="X334" s="19">
        <v>2012</v>
      </c>
      <c r="Y334" s="15" t="s">
        <v>138</v>
      </c>
      <c r="Z334" s="15" t="s">
        <v>138</v>
      </c>
      <c r="AA334" s="15" t="s">
        <v>138</v>
      </c>
      <c r="AB334" s="20" t="s">
        <v>138</v>
      </c>
      <c r="AC334" s="20" t="s">
        <v>138</v>
      </c>
      <c r="AD334" s="20" t="s">
        <v>138</v>
      </c>
      <c r="AE334" s="20" t="s">
        <v>138</v>
      </c>
      <c r="AF334" s="20" t="s">
        <v>138</v>
      </c>
      <c r="AG334" s="15" t="s">
        <v>138</v>
      </c>
      <c r="AH334" s="20" t="s">
        <v>138</v>
      </c>
      <c r="AI334" s="20" t="s">
        <v>138</v>
      </c>
      <c r="AJ334" s="20" t="s">
        <v>138</v>
      </c>
      <c r="AK334" s="15" t="s">
        <v>7116</v>
      </c>
      <c r="AL334" s="15" t="s">
        <v>7117</v>
      </c>
      <c r="AM334" s="15" t="s">
        <v>304</v>
      </c>
      <c r="AN334" s="15" t="s">
        <v>7118</v>
      </c>
      <c r="AO334" s="15" t="s">
        <v>7119</v>
      </c>
      <c r="AP334" s="15" t="s">
        <v>307</v>
      </c>
      <c r="AQ334" s="15" t="s">
        <v>7120</v>
      </c>
      <c r="AR334" s="15" t="s">
        <v>7121</v>
      </c>
      <c r="AS334" s="15" t="s">
        <v>310</v>
      </c>
      <c r="AT334" s="15" t="s">
        <v>200</v>
      </c>
      <c r="AU334" s="15" t="s">
        <v>798</v>
      </c>
      <c r="AV334" s="15" t="s">
        <v>162</v>
      </c>
      <c r="AW334" s="15" t="s">
        <v>7119</v>
      </c>
      <c r="AX334" s="15" t="s">
        <v>138</v>
      </c>
      <c r="AY334" s="15" t="s">
        <v>7122</v>
      </c>
      <c r="AZ334" s="15" t="s">
        <v>164</v>
      </c>
      <c r="BA334" s="15" t="s">
        <v>165</v>
      </c>
      <c r="BB334" s="15" t="s">
        <v>7123</v>
      </c>
      <c r="BC334" s="15" t="s">
        <v>7124</v>
      </c>
      <c r="BD334" s="21">
        <v>12</v>
      </c>
      <c r="BE334" s="15" t="s">
        <v>138</v>
      </c>
      <c r="BF334" s="15" t="s">
        <v>138</v>
      </c>
      <c r="BG334" s="15" t="s">
        <v>138</v>
      </c>
      <c r="BH334" s="15" t="s">
        <v>7125</v>
      </c>
      <c r="BI334" s="15" t="s">
        <v>138</v>
      </c>
      <c r="BJ334" s="15" t="s">
        <v>138</v>
      </c>
      <c r="BK334" s="15" t="s">
        <v>2936</v>
      </c>
      <c r="BL334" s="15" t="s">
        <v>2936</v>
      </c>
      <c r="BM334" s="22">
        <v>41723</v>
      </c>
      <c r="BN334" s="17">
        <v>11.2</v>
      </c>
      <c r="BO334" s="15" t="s">
        <v>172</v>
      </c>
      <c r="BP334" s="17">
        <v>30.81</v>
      </c>
      <c r="BQ334" s="15" t="s">
        <v>172</v>
      </c>
      <c r="BR334" s="15" t="s">
        <v>205</v>
      </c>
      <c r="BS334" s="15" t="s">
        <v>206</v>
      </c>
      <c r="BT334" s="15" t="s">
        <v>138</v>
      </c>
      <c r="BU334" s="15" t="s">
        <v>174</v>
      </c>
      <c r="BV334" s="15" t="s">
        <v>138</v>
      </c>
      <c r="BW334" s="15" t="s">
        <v>138</v>
      </c>
      <c r="BX334" s="15" t="s">
        <v>138</v>
      </c>
      <c r="BY334" s="15" t="s">
        <v>175</v>
      </c>
      <c r="BZ334" s="22">
        <v>43276</v>
      </c>
      <c r="CA334" s="17">
        <v>27</v>
      </c>
      <c r="CB334" s="15" t="s">
        <v>172</v>
      </c>
      <c r="CC334" s="17">
        <v>112</v>
      </c>
      <c r="CD334" s="15" t="s">
        <v>172</v>
      </c>
      <c r="CE334" s="15" t="s">
        <v>173</v>
      </c>
      <c r="CF334" s="15" t="s">
        <v>317</v>
      </c>
      <c r="CG334" s="15" t="s">
        <v>138</v>
      </c>
      <c r="CH334" s="15" t="s">
        <v>174</v>
      </c>
      <c r="CI334" s="15" t="s">
        <v>138</v>
      </c>
      <c r="CJ334" s="15" t="s">
        <v>138</v>
      </c>
      <c r="CK334" s="15" t="s">
        <v>138</v>
      </c>
      <c r="CL334" s="15" t="s">
        <v>175</v>
      </c>
      <c r="CM334" s="22" t="s">
        <v>138</v>
      </c>
      <c r="CN334" s="17" t="s">
        <v>138</v>
      </c>
      <c r="CO334" s="23">
        <v>0.38</v>
      </c>
      <c r="CP334" s="24">
        <v>94</v>
      </c>
      <c r="CQ334" s="23">
        <v>0.02</v>
      </c>
      <c r="CR334" s="23">
        <v>4.9400000000000004</v>
      </c>
      <c r="CS334" s="23">
        <v>0.57999999999999996</v>
      </c>
      <c r="CT334" s="24">
        <v>96</v>
      </c>
      <c r="CU334" s="23">
        <v>0.55000000000000004</v>
      </c>
      <c r="CV334" s="24">
        <v>94</v>
      </c>
      <c r="CW334" s="23">
        <v>1.1599999999999999</v>
      </c>
      <c r="CX334" s="24">
        <v>85</v>
      </c>
      <c r="CY334" s="23">
        <v>0</v>
      </c>
      <c r="CZ334" s="24">
        <v>25</v>
      </c>
      <c r="DA334" s="23">
        <v>1.1399999999999999</v>
      </c>
      <c r="DB334" s="24">
        <v>98</v>
      </c>
      <c r="DC334" s="25">
        <v>2.35</v>
      </c>
      <c r="DD334" s="24">
        <v>70</v>
      </c>
      <c r="DE334" s="25">
        <v>-0.01</v>
      </c>
      <c r="DF334" s="23">
        <v>-0.55000000000000004</v>
      </c>
      <c r="DG334" s="25">
        <v>1.98</v>
      </c>
      <c r="DH334" s="24">
        <v>67</v>
      </c>
      <c r="DI334" s="25">
        <v>2.21</v>
      </c>
      <c r="DJ334" s="24">
        <v>64</v>
      </c>
      <c r="DK334" s="25">
        <v>3.37</v>
      </c>
      <c r="DL334" s="24">
        <v>73</v>
      </c>
      <c r="DM334" s="25">
        <v>0.59</v>
      </c>
      <c r="DN334" s="24">
        <v>37</v>
      </c>
      <c r="DO334" s="25">
        <v>3.68</v>
      </c>
      <c r="DP334" s="24">
        <v>74</v>
      </c>
      <c r="DQ334" s="24">
        <v>1102</v>
      </c>
      <c r="DR334" s="26">
        <v>159</v>
      </c>
      <c r="DS334" s="23">
        <v>16.86</v>
      </c>
      <c r="DT334" s="24">
        <v>17</v>
      </c>
      <c r="DU334" s="26">
        <v>0</v>
      </c>
      <c r="DV334" s="23">
        <v>0</v>
      </c>
      <c r="DW334" s="24">
        <v>1301</v>
      </c>
      <c r="DX334" s="27">
        <v>11</v>
      </c>
      <c r="DY334" s="23">
        <v>0.85</v>
      </c>
      <c r="DZ334" s="15" t="s">
        <v>178</v>
      </c>
      <c r="EA334" s="22">
        <v>43475</v>
      </c>
      <c r="EB334" s="17">
        <v>112</v>
      </c>
      <c r="EC334" s="22">
        <v>43276</v>
      </c>
      <c r="ED334" s="15" t="s">
        <v>173</v>
      </c>
      <c r="EE334" s="14" t="str">
        <f>HYPERLINK("https://my.pitchbook.com?c=62090-74", "View company online")</f>
        <v>View company online</v>
      </c>
    </row>
    <row r="335" spans="1:135">
      <c r="A335" s="28" t="s">
        <v>7126</v>
      </c>
      <c r="B335" s="28" t="s">
        <v>7127</v>
      </c>
      <c r="C335" s="28" t="s">
        <v>138</v>
      </c>
      <c r="D335" s="28" t="s">
        <v>138</v>
      </c>
      <c r="E335" s="28" t="s">
        <v>7128</v>
      </c>
      <c r="F335" s="28" t="s">
        <v>7126</v>
      </c>
      <c r="G335" s="28" t="s">
        <v>7129</v>
      </c>
      <c r="H335" s="28" t="s">
        <v>322</v>
      </c>
      <c r="I335" s="28" t="s">
        <v>323</v>
      </c>
      <c r="J335" s="28" t="s">
        <v>539</v>
      </c>
      <c r="K335" s="28" t="s">
        <v>7130</v>
      </c>
      <c r="L335" s="28" t="s">
        <v>3343</v>
      </c>
      <c r="M335" s="28" t="s">
        <v>7131</v>
      </c>
      <c r="N335" s="28" t="s">
        <v>147</v>
      </c>
      <c r="O335" s="29">
        <v>160</v>
      </c>
      <c r="P335" s="28" t="s">
        <v>812</v>
      </c>
      <c r="Q335" s="28" t="s">
        <v>149</v>
      </c>
      <c r="R335" s="28" t="s">
        <v>150</v>
      </c>
      <c r="S335" s="28" t="s">
        <v>7132</v>
      </c>
      <c r="T335" s="30">
        <v>1200</v>
      </c>
      <c r="U335" s="28" t="s">
        <v>7133</v>
      </c>
      <c r="V335" s="28" t="s">
        <v>138</v>
      </c>
      <c r="W335" s="28" t="s">
        <v>138</v>
      </c>
      <c r="X335" s="31">
        <v>2007</v>
      </c>
      <c r="Y335" s="28" t="s">
        <v>138</v>
      </c>
      <c r="Z335" s="28" t="s">
        <v>138</v>
      </c>
      <c r="AA335" s="28" t="s">
        <v>1163</v>
      </c>
      <c r="AB335" s="32">
        <v>900</v>
      </c>
      <c r="AC335" s="32" t="s">
        <v>138</v>
      </c>
      <c r="AD335" s="32" t="s">
        <v>138</v>
      </c>
      <c r="AE335" s="32" t="s">
        <v>138</v>
      </c>
      <c r="AF335" s="32" t="s">
        <v>138</v>
      </c>
      <c r="AG335" s="28" t="s">
        <v>815</v>
      </c>
      <c r="AH335" s="32" t="s">
        <v>138</v>
      </c>
      <c r="AI335" s="32" t="s">
        <v>138</v>
      </c>
      <c r="AJ335" s="32" t="s">
        <v>138</v>
      </c>
      <c r="AK335" s="28" t="s">
        <v>7134</v>
      </c>
      <c r="AL335" s="28" t="s">
        <v>7135</v>
      </c>
      <c r="AM335" s="28" t="s">
        <v>249</v>
      </c>
      <c r="AN335" s="28" t="s">
        <v>7136</v>
      </c>
      <c r="AO335" s="28" t="s">
        <v>7137</v>
      </c>
      <c r="AP335" s="28" t="s">
        <v>423</v>
      </c>
      <c r="AQ335" s="28" t="s">
        <v>7138</v>
      </c>
      <c r="AR335" s="28" t="s">
        <v>5012</v>
      </c>
      <c r="AS335" s="28" t="s">
        <v>426</v>
      </c>
      <c r="AT335" s="28" t="s">
        <v>426</v>
      </c>
      <c r="AU335" s="28" t="s">
        <v>1074</v>
      </c>
      <c r="AV335" s="28" t="s">
        <v>162</v>
      </c>
      <c r="AW335" s="28" t="s">
        <v>7137</v>
      </c>
      <c r="AX335" s="28" t="s">
        <v>138</v>
      </c>
      <c r="AY335" s="28" t="s">
        <v>7139</v>
      </c>
      <c r="AZ335" s="28" t="s">
        <v>164</v>
      </c>
      <c r="BA335" s="28" t="s">
        <v>165</v>
      </c>
      <c r="BB335" s="28" t="s">
        <v>7140</v>
      </c>
      <c r="BC335" s="28" t="s">
        <v>7141</v>
      </c>
      <c r="BD335" s="33">
        <v>23</v>
      </c>
      <c r="BE335" s="28" t="s">
        <v>138</v>
      </c>
      <c r="BF335" s="28" t="s">
        <v>7142</v>
      </c>
      <c r="BG335" s="28" t="s">
        <v>138</v>
      </c>
      <c r="BH335" s="28" t="s">
        <v>7143</v>
      </c>
      <c r="BI335" s="28" t="s">
        <v>7144</v>
      </c>
      <c r="BJ335" s="28" t="s">
        <v>138</v>
      </c>
      <c r="BK335" s="28" t="s">
        <v>7145</v>
      </c>
      <c r="BL335" s="28" t="s">
        <v>138</v>
      </c>
      <c r="BM335" s="34">
        <v>39400</v>
      </c>
      <c r="BN335" s="29">
        <v>1.5</v>
      </c>
      <c r="BO335" s="28" t="s">
        <v>172</v>
      </c>
      <c r="BP335" s="29" t="s">
        <v>138</v>
      </c>
      <c r="BQ335" s="28" t="s">
        <v>138</v>
      </c>
      <c r="BR335" s="28" t="s">
        <v>205</v>
      </c>
      <c r="BS335" s="28" t="s">
        <v>206</v>
      </c>
      <c r="BT335" s="28" t="s">
        <v>138</v>
      </c>
      <c r="BU335" s="28" t="s">
        <v>174</v>
      </c>
      <c r="BV335" s="28" t="s">
        <v>138</v>
      </c>
      <c r="BW335" s="28" t="s">
        <v>138</v>
      </c>
      <c r="BX335" s="28" t="s">
        <v>138</v>
      </c>
      <c r="BY335" s="28" t="s">
        <v>175</v>
      </c>
      <c r="BZ335" s="34" t="s">
        <v>138</v>
      </c>
      <c r="CA335" s="29" t="s">
        <v>138</v>
      </c>
      <c r="CB335" s="28" t="s">
        <v>138</v>
      </c>
      <c r="CC335" s="29" t="s">
        <v>138</v>
      </c>
      <c r="CD335" s="28" t="s">
        <v>138</v>
      </c>
      <c r="CE335" s="28" t="s">
        <v>379</v>
      </c>
      <c r="CF335" s="28" t="s">
        <v>138</v>
      </c>
      <c r="CG335" s="28" t="s">
        <v>138</v>
      </c>
      <c r="CH335" s="28" t="s">
        <v>174</v>
      </c>
      <c r="CI335" s="28" t="s">
        <v>138</v>
      </c>
      <c r="CJ335" s="28" t="s">
        <v>138</v>
      </c>
      <c r="CK335" s="28" t="s">
        <v>138</v>
      </c>
      <c r="CL335" s="28" t="s">
        <v>175</v>
      </c>
      <c r="CM335" s="34" t="s">
        <v>138</v>
      </c>
      <c r="CN335" s="29" t="s">
        <v>138</v>
      </c>
      <c r="CO335" s="35">
        <v>-0.22</v>
      </c>
      <c r="CP335" s="36">
        <v>19</v>
      </c>
      <c r="CQ335" s="35">
        <v>-0.01</v>
      </c>
      <c r="CR335" s="35">
        <v>-4.18</v>
      </c>
      <c r="CS335" s="35">
        <v>-1.38</v>
      </c>
      <c r="CT335" s="36">
        <v>12</v>
      </c>
      <c r="CU335" s="35">
        <v>0.34</v>
      </c>
      <c r="CV335" s="36">
        <v>89</v>
      </c>
      <c r="CW335" s="35">
        <v>-1.04</v>
      </c>
      <c r="CX335" s="36">
        <v>10</v>
      </c>
      <c r="CY335" s="35">
        <v>-1.73</v>
      </c>
      <c r="CZ335" s="36">
        <v>13</v>
      </c>
      <c r="DA335" s="35">
        <v>0.26</v>
      </c>
      <c r="DB335" s="36">
        <v>87</v>
      </c>
      <c r="DC335" s="37">
        <v>90.86</v>
      </c>
      <c r="DD335" s="36">
        <v>99</v>
      </c>
      <c r="DE335" s="37">
        <v>-1.06</v>
      </c>
      <c r="DF335" s="35">
        <v>-1.1599999999999999</v>
      </c>
      <c r="DG335" s="37">
        <v>236.17</v>
      </c>
      <c r="DH335" s="36">
        <v>100</v>
      </c>
      <c r="DI335" s="37">
        <v>34.369999999999997</v>
      </c>
      <c r="DJ335" s="36">
        <v>94</v>
      </c>
      <c r="DK335" s="37">
        <v>70.48</v>
      </c>
      <c r="DL335" s="36">
        <v>97</v>
      </c>
      <c r="DM335" s="37">
        <v>401.86</v>
      </c>
      <c r="DN335" s="36">
        <v>100</v>
      </c>
      <c r="DO335" s="37">
        <v>24.58</v>
      </c>
      <c r="DP335" s="36">
        <v>94</v>
      </c>
      <c r="DQ335" s="36">
        <v>24195</v>
      </c>
      <c r="DR335" s="38">
        <v>-60</v>
      </c>
      <c r="DS335" s="35">
        <v>-0.25</v>
      </c>
      <c r="DT335" s="36">
        <v>11624</v>
      </c>
      <c r="DU335" s="38">
        <v>68</v>
      </c>
      <c r="DV335" s="35">
        <v>0.59</v>
      </c>
      <c r="DW335" s="36">
        <v>8789</v>
      </c>
      <c r="DX335" s="39">
        <v>21</v>
      </c>
      <c r="DY335" s="35">
        <v>0.24</v>
      </c>
      <c r="DZ335" s="28" t="s">
        <v>178</v>
      </c>
      <c r="EA335" s="34">
        <v>43622</v>
      </c>
      <c r="EB335" s="29">
        <v>1004</v>
      </c>
      <c r="EC335" s="34">
        <v>42159</v>
      </c>
      <c r="ED335" s="28" t="s">
        <v>173</v>
      </c>
      <c r="EE335" s="40" t="str">
        <f>HYPERLINK("https://my.pitchbook.com?c=52702-39", "View company online")</f>
        <v>View company online</v>
      </c>
    </row>
    <row r="336" spans="1:135">
      <c r="A336" s="15" t="s">
        <v>7146</v>
      </c>
      <c r="B336" s="15" t="s">
        <v>7147</v>
      </c>
      <c r="C336" s="15" t="s">
        <v>138</v>
      </c>
      <c r="D336" s="15" t="s">
        <v>7148</v>
      </c>
      <c r="E336" s="15" t="s">
        <v>138</v>
      </c>
      <c r="F336" s="15" t="s">
        <v>7146</v>
      </c>
      <c r="G336" s="15" t="s">
        <v>7149</v>
      </c>
      <c r="H336" s="15" t="s">
        <v>322</v>
      </c>
      <c r="I336" s="15" t="s">
        <v>323</v>
      </c>
      <c r="J336" s="15" t="s">
        <v>954</v>
      </c>
      <c r="K336" s="15" t="s">
        <v>7150</v>
      </c>
      <c r="L336" s="15" t="s">
        <v>215</v>
      </c>
      <c r="M336" s="15" t="s">
        <v>7151</v>
      </c>
      <c r="N336" s="15" t="s">
        <v>1452</v>
      </c>
      <c r="O336" s="17">
        <v>6</v>
      </c>
      <c r="P336" s="15" t="s">
        <v>812</v>
      </c>
      <c r="Q336" s="15" t="s">
        <v>149</v>
      </c>
      <c r="R336" s="15" t="s">
        <v>1652</v>
      </c>
      <c r="S336" s="15" t="s">
        <v>7152</v>
      </c>
      <c r="T336" s="18">
        <v>300</v>
      </c>
      <c r="U336" s="15" t="s">
        <v>7153</v>
      </c>
      <c r="V336" s="15" t="s">
        <v>138</v>
      </c>
      <c r="W336" s="15" t="s">
        <v>138</v>
      </c>
      <c r="X336" s="19">
        <v>1994</v>
      </c>
      <c r="Y336" s="15" t="s">
        <v>138</v>
      </c>
      <c r="Z336" s="15" t="s">
        <v>138</v>
      </c>
      <c r="AA336" s="15" t="s">
        <v>138</v>
      </c>
      <c r="AB336" s="20">
        <v>67.12</v>
      </c>
      <c r="AC336" s="20" t="s">
        <v>138</v>
      </c>
      <c r="AD336" s="20" t="s">
        <v>138</v>
      </c>
      <c r="AE336" s="20" t="s">
        <v>138</v>
      </c>
      <c r="AF336" s="20" t="s">
        <v>138</v>
      </c>
      <c r="AG336" s="15" t="s">
        <v>514</v>
      </c>
      <c r="AH336" s="20" t="s">
        <v>138</v>
      </c>
      <c r="AI336" s="20" t="s">
        <v>138</v>
      </c>
      <c r="AJ336" s="20" t="s">
        <v>138</v>
      </c>
      <c r="AK336" s="15" t="s">
        <v>7154</v>
      </c>
      <c r="AL336" s="15" t="s">
        <v>7155</v>
      </c>
      <c r="AM336" s="15" t="s">
        <v>249</v>
      </c>
      <c r="AN336" s="15" t="s">
        <v>7156</v>
      </c>
      <c r="AO336" s="15" t="s">
        <v>7157</v>
      </c>
      <c r="AP336" s="15" t="s">
        <v>224</v>
      </c>
      <c r="AQ336" s="15" t="s">
        <v>7158</v>
      </c>
      <c r="AR336" s="15" t="s">
        <v>3138</v>
      </c>
      <c r="AS336" s="15" t="s">
        <v>227</v>
      </c>
      <c r="AT336" s="15" t="s">
        <v>228</v>
      </c>
      <c r="AU336" s="15" t="s">
        <v>7159</v>
      </c>
      <c r="AV336" s="15" t="s">
        <v>162</v>
      </c>
      <c r="AW336" s="15" t="s">
        <v>7157</v>
      </c>
      <c r="AX336" s="15" t="s">
        <v>7160</v>
      </c>
      <c r="AY336" s="15" t="s">
        <v>7161</v>
      </c>
      <c r="AZ336" s="15" t="s">
        <v>164</v>
      </c>
      <c r="BA336" s="15" t="s">
        <v>165</v>
      </c>
      <c r="BB336" s="15" t="s">
        <v>7162</v>
      </c>
      <c r="BC336" s="15" t="s">
        <v>3779</v>
      </c>
      <c r="BD336" s="21">
        <v>1</v>
      </c>
      <c r="BE336" s="15" t="s">
        <v>138</v>
      </c>
      <c r="BF336" s="15" t="s">
        <v>7163</v>
      </c>
      <c r="BG336" s="15" t="s">
        <v>138</v>
      </c>
      <c r="BH336" s="15" t="s">
        <v>3781</v>
      </c>
      <c r="BI336" s="15" t="s">
        <v>7164</v>
      </c>
      <c r="BJ336" s="15" t="s">
        <v>138</v>
      </c>
      <c r="BK336" s="15" t="s">
        <v>7165</v>
      </c>
      <c r="BL336" s="15" t="s">
        <v>7166</v>
      </c>
      <c r="BM336" s="22">
        <v>39258</v>
      </c>
      <c r="BN336" s="17">
        <v>3</v>
      </c>
      <c r="BO336" s="15" t="s">
        <v>172</v>
      </c>
      <c r="BP336" s="17" t="s">
        <v>138</v>
      </c>
      <c r="BQ336" s="15" t="s">
        <v>138</v>
      </c>
      <c r="BR336" s="15" t="s">
        <v>173</v>
      </c>
      <c r="BS336" s="15" t="s">
        <v>138</v>
      </c>
      <c r="BT336" s="15" t="s">
        <v>138</v>
      </c>
      <c r="BU336" s="15" t="s">
        <v>174</v>
      </c>
      <c r="BV336" s="15" t="s">
        <v>138</v>
      </c>
      <c r="BW336" s="15" t="s">
        <v>138</v>
      </c>
      <c r="BX336" s="15" t="s">
        <v>138</v>
      </c>
      <c r="BY336" s="15" t="s">
        <v>175</v>
      </c>
      <c r="BZ336" s="22">
        <v>42930</v>
      </c>
      <c r="CA336" s="17" t="s">
        <v>138</v>
      </c>
      <c r="CB336" s="15" t="s">
        <v>138</v>
      </c>
      <c r="CC336" s="17" t="s">
        <v>138</v>
      </c>
      <c r="CD336" s="15" t="s">
        <v>138</v>
      </c>
      <c r="CE336" s="15" t="s">
        <v>1397</v>
      </c>
      <c r="CF336" s="15" t="s">
        <v>7167</v>
      </c>
      <c r="CG336" s="15" t="s">
        <v>138</v>
      </c>
      <c r="CH336" s="15" t="s">
        <v>1327</v>
      </c>
      <c r="CI336" s="15" t="s">
        <v>1397</v>
      </c>
      <c r="CJ336" s="15" t="s">
        <v>138</v>
      </c>
      <c r="CK336" s="15" t="s">
        <v>138</v>
      </c>
      <c r="CL336" s="15" t="s">
        <v>175</v>
      </c>
      <c r="CM336" s="22">
        <v>42930</v>
      </c>
      <c r="CN336" s="17" t="s">
        <v>138</v>
      </c>
      <c r="CO336" s="23">
        <v>0.42</v>
      </c>
      <c r="CP336" s="24">
        <v>95</v>
      </c>
      <c r="CQ336" s="23">
        <v>-0.01</v>
      </c>
      <c r="CR336" s="23">
        <v>-1.34</v>
      </c>
      <c r="CS336" s="23">
        <v>1.1000000000000001</v>
      </c>
      <c r="CT336" s="24">
        <v>97</v>
      </c>
      <c r="CU336" s="23">
        <v>0.11</v>
      </c>
      <c r="CV336" s="24">
        <v>70</v>
      </c>
      <c r="CW336" s="23">
        <v>2.85</v>
      </c>
      <c r="CX336" s="24">
        <v>91</v>
      </c>
      <c r="CY336" s="23">
        <v>-0.64</v>
      </c>
      <c r="CZ336" s="24">
        <v>21</v>
      </c>
      <c r="DA336" s="23">
        <v>0.11</v>
      </c>
      <c r="DB336" s="24">
        <v>73</v>
      </c>
      <c r="DC336" s="25">
        <v>3.67</v>
      </c>
      <c r="DD336" s="24">
        <v>78</v>
      </c>
      <c r="DE336" s="25">
        <v>-7.0000000000000007E-2</v>
      </c>
      <c r="DF336" s="23">
        <v>-1.98</v>
      </c>
      <c r="DG336" s="25">
        <v>7.68</v>
      </c>
      <c r="DH336" s="24">
        <v>87</v>
      </c>
      <c r="DI336" s="25">
        <v>2.78</v>
      </c>
      <c r="DJ336" s="24">
        <v>68</v>
      </c>
      <c r="DK336" s="25">
        <v>3.98</v>
      </c>
      <c r="DL336" s="24">
        <v>76</v>
      </c>
      <c r="DM336" s="25">
        <v>11.38</v>
      </c>
      <c r="DN336" s="24">
        <v>90</v>
      </c>
      <c r="DO336" s="25">
        <v>2.78</v>
      </c>
      <c r="DP336" s="24">
        <v>70</v>
      </c>
      <c r="DQ336" s="24">
        <v>1330</v>
      </c>
      <c r="DR336" s="26">
        <v>99</v>
      </c>
      <c r="DS336" s="23">
        <v>8.0399999999999991</v>
      </c>
      <c r="DT336" s="24">
        <v>329</v>
      </c>
      <c r="DU336" s="26">
        <v>1</v>
      </c>
      <c r="DV336" s="23">
        <v>0.3</v>
      </c>
      <c r="DW336" s="24">
        <v>997</v>
      </c>
      <c r="DX336" s="27">
        <v>0</v>
      </c>
      <c r="DY336" s="23">
        <v>0</v>
      </c>
      <c r="DZ336" s="15" t="s">
        <v>178</v>
      </c>
      <c r="EA336" s="22">
        <v>43622</v>
      </c>
      <c r="EB336" s="17">
        <v>194.5</v>
      </c>
      <c r="EC336" s="22">
        <v>42641</v>
      </c>
      <c r="ED336" s="15" t="s">
        <v>349</v>
      </c>
      <c r="EE336" s="14" t="str">
        <f>HYPERLINK("https://my.pitchbook.com?c=12649-96", "View company online")</f>
        <v>View company online</v>
      </c>
    </row>
    <row r="337" spans="1:135">
      <c r="A337" s="28" t="s">
        <v>7168</v>
      </c>
      <c r="B337" s="28" t="s">
        <v>7169</v>
      </c>
      <c r="C337" s="28" t="s">
        <v>138</v>
      </c>
      <c r="D337" s="28" t="s">
        <v>138</v>
      </c>
      <c r="E337" s="28" t="s">
        <v>138</v>
      </c>
      <c r="F337" s="28" t="s">
        <v>7168</v>
      </c>
      <c r="G337" s="28" t="s">
        <v>7170</v>
      </c>
      <c r="H337" s="28" t="s">
        <v>322</v>
      </c>
      <c r="I337" s="28" t="s">
        <v>323</v>
      </c>
      <c r="J337" s="28" t="s">
        <v>324</v>
      </c>
      <c r="K337" s="28" t="s">
        <v>1649</v>
      </c>
      <c r="L337" s="28" t="s">
        <v>4503</v>
      </c>
      <c r="M337" s="28" t="s">
        <v>7171</v>
      </c>
      <c r="N337" s="28" t="s">
        <v>147</v>
      </c>
      <c r="O337" s="29">
        <v>14</v>
      </c>
      <c r="P337" s="28" t="s">
        <v>148</v>
      </c>
      <c r="Q337" s="28" t="s">
        <v>149</v>
      </c>
      <c r="R337" s="28" t="s">
        <v>174</v>
      </c>
      <c r="S337" s="28" t="s">
        <v>7172</v>
      </c>
      <c r="T337" s="30" t="s">
        <v>138</v>
      </c>
      <c r="U337" s="28" t="s">
        <v>138</v>
      </c>
      <c r="V337" s="28" t="s">
        <v>138</v>
      </c>
      <c r="W337" s="28" t="s">
        <v>138</v>
      </c>
      <c r="X337" s="31">
        <v>2016</v>
      </c>
      <c r="Y337" s="28" t="s">
        <v>138</v>
      </c>
      <c r="Z337" s="28" t="s">
        <v>138</v>
      </c>
      <c r="AA337" s="28" t="s">
        <v>138</v>
      </c>
      <c r="AB337" s="32" t="s">
        <v>138</v>
      </c>
      <c r="AC337" s="32" t="s">
        <v>138</v>
      </c>
      <c r="AD337" s="32" t="s">
        <v>138</v>
      </c>
      <c r="AE337" s="32" t="s">
        <v>138</v>
      </c>
      <c r="AF337" s="32" t="s">
        <v>138</v>
      </c>
      <c r="AG337" s="28" t="s">
        <v>138</v>
      </c>
      <c r="AH337" s="32" t="s">
        <v>138</v>
      </c>
      <c r="AI337" s="32" t="s">
        <v>138</v>
      </c>
      <c r="AJ337" s="32" t="s">
        <v>138</v>
      </c>
      <c r="AK337" s="28" t="s">
        <v>7173</v>
      </c>
      <c r="AL337" s="28" t="s">
        <v>7174</v>
      </c>
      <c r="AM337" s="28" t="s">
        <v>4011</v>
      </c>
      <c r="AN337" s="28" t="s">
        <v>7175</v>
      </c>
      <c r="AO337" s="28" t="s">
        <v>7176</v>
      </c>
      <c r="AP337" s="28" t="s">
        <v>7177</v>
      </c>
      <c r="AQ337" s="28" t="s">
        <v>7178</v>
      </c>
      <c r="AR337" s="28" t="s">
        <v>7179</v>
      </c>
      <c r="AS337" s="28" t="s">
        <v>7180</v>
      </c>
      <c r="AT337" s="28" t="s">
        <v>474</v>
      </c>
      <c r="AU337" s="28" t="s">
        <v>7181</v>
      </c>
      <c r="AV337" s="28" t="s">
        <v>162</v>
      </c>
      <c r="AW337" s="28" t="s">
        <v>7176</v>
      </c>
      <c r="AX337" s="28" t="s">
        <v>138</v>
      </c>
      <c r="AY337" s="28" t="s">
        <v>7182</v>
      </c>
      <c r="AZ337" s="28" t="s">
        <v>164</v>
      </c>
      <c r="BA337" s="28" t="s">
        <v>165</v>
      </c>
      <c r="BB337" s="28" t="s">
        <v>7183</v>
      </c>
      <c r="BC337" s="28" t="s">
        <v>7184</v>
      </c>
      <c r="BD337" s="33">
        <v>2</v>
      </c>
      <c r="BE337" s="28" t="s">
        <v>138</v>
      </c>
      <c r="BF337" s="28" t="s">
        <v>138</v>
      </c>
      <c r="BG337" s="28" t="s">
        <v>138</v>
      </c>
      <c r="BH337" s="28" t="s">
        <v>7185</v>
      </c>
      <c r="BI337" s="28" t="s">
        <v>138</v>
      </c>
      <c r="BJ337" s="28" t="s">
        <v>138</v>
      </c>
      <c r="BK337" s="28" t="s">
        <v>138</v>
      </c>
      <c r="BL337" s="28" t="s">
        <v>315</v>
      </c>
      <c r="BM337" s="34">
        <v>42736</v>
      </c>
      <c r="BN337" s="29">
        <v>6.5</v>
      </c>
      <c r="BO337" s="28" t="s">
        <v>172</v>
      </c>
      <c r="BP337" s="29" t="s">
        <v>138</v>
      </c>
      <c r="BQ337" s="28" t="s">
        <v>138</v>
      </c>
      <c r="BR337" s="28" t="s">
        <v>205</v>
      </c>
      <c r="BS337" s="28" t="s">
        <v>206</v>
      </c>
      <c r="BT337" s="28" t="s">
        <v>138</v>
      </c>
      <c r="BU337" s="28" t="s">
        <v>174</v>
      </c>
      <c r="BV337" s="28" t="s">
        <v>138</v>
      </c>
      <c r="BW337" s="28" t="s">
        <v>138</v>
      </c>
      <c r="BX337" s="28" t="s">
        <v>138</v>
      </c>
      <c r="BY337" s="28" t="s">
        <v>175</v>
      </c>
      <c r="BZ337" s="34">
        <v>43255</v>
      </c>
      <c r="CA337" s="29">
        <v>7.5</v>
      </c>
      <c r="CB337" s="28" t="s">
        <v>172</v>
      </c>
      <c r="CC337" s="29" t="s">
        <v>138</v>
      </c>
      <c r="CD337" s="28" t="s">
        <v>138</v>
      </c>
      <c r="CE337" s="28" t="s">
        <v>205</v>
      </c>
      <c r="CF337" s="28" t="s">
        <v>206</v>
      </c>
      <c r="CG337" s="28" t="s">
        <v>138</v>
      </c>
      <c r="CH337" s="28" t="s">
        <v>174</v>
      </c>
      <c r="CI337" s="28" t="s">
        <v>138</v>
      </c>
      <c r="CJ337" s="28" t="s">
        <v>138</v>
      </c>
      <c r="CK337" s="28" t="s">
        <v>138</v>
      </c>
      <c r="CL337" s="28" t="s">
        <v>175</v>
      </c>
      <c r="CM337" s="34" t="s">
        <v>138</v>
      </c>
      <c r="CN337" s="29" t="s">
        <v>138</v>
      </c>
      <c r="CO337" s="35">
        <v>0</v>
      </c>
      <c r="CP337" s="36">
        <v>26</v>
      </c>
      <c r="CQ337" s="35">
        <v>-0.06</v>
      </c>
      <c r="CR337" s="35">
        <v>-95.74</v>
      </c>
      <c r="CS337" s="35">
        <v>0</v>
      </c>
      <c r="CT337" s="36">
        <v>23</v>
      </c>
      <c r="CU337" s="35">
        <v>0.01</v>
      </c>
      <c r="CV337" s="36">
        <v>49</v>
      </c>
      <c r="CW337" s="35">
        <v>0</v>
      </c>
      <c r="CX337" s="36">
        <v>13</v>
      </c>
      <c r="CY337" s="35">
        <v>0</v>
      </c>
      <c r="CZ337" s="36">
        <v>25</v>
      </c>
      <c r="DA337" s="35">
        <v>0.01</v>
      </c>
      <c r="DB337" s="36">
        <v>57</v>
      </c>
      <c r="DC337" s="37">
        <v>1.25</v>
      </c>
      <c r="DD337" s="36">
        <v>57</v>
      </c>
      <c r="DE337" s="37">
        <v>0.03</v>
      </c>
      <c r="DF337" s="35">
        <v>2.6</v>
      </c>
      <c r="DG337" s="37">
        <v>2.14</v>
      </c>
      <c r="DH337" s="36">
        <v>68</v>
      </c>
      <c r="DI337" s="37">
        <v>0.36</v>
      </c>
      <c r="DJ337" s="36">
        <v>31</v>
      </c>
      <c r="DK337" s="37">
        <v>1.1499999999999999</v>
      </c>
      <c r="DL337" s="36">
        <v>53</v>
      </c>
      <c r="DM337" s="37">
        <v>3.14</v>
      </c>
      <c r="DN337" s="36">
        <v>74</v>
      </c>
      <c r="DO337" s="37">
        <v>0.36</v>
      </c>
      <c r="DP337" s="36">
        <v>33</v>
      </c>
      <c r="DQ337" s="36">
        <v>374</v>
      </c>
      <c r="DR337" s="38">
        <v>57</v>
      </c>
      <c r="DS337" s="35">
        <v>17.98</v>
      </c>
      <c r="DT337" s="36">
        <v>89</v>
      </c>
      <c r="DU337" s="38">
        <v>10</v>
      </c>
      <c r="DV337" s="35">
        <v>12.66</v>
      </c>
      <c r="DW337" s="36">
        <v>127</v>
      </c>
      <c r="DX337" s="39">
        <v>0</v>
      </c>
      <c r="DY337" s="35">
        <v>0</v>
      </c>
      <c r="DZ337" s="28" t="s">
        <v>178</v>
      </c>
      <c r="EA337" s="34">
        <v>43370</v>
      </c>
      <c r="EB337" s="29" t="s">
        <v>138</v>
      </c>
      <c r="EC337" s="34" t="s">
        <v>138</v>
      </c>
      <c r="ED337" s="28" t="s">
        <v>138</v>
      </c>
      <c r="EE337" s="40" t="str">
        <f>HYPERLINK("https://my.pitchbook.com?c=223410-25", "View company online")</f>
        <v>View company online</v>
      </c>
    </row>
    <row r="338" spans="1:135">
      <c r="A338" s="15" t="s">
        <v>7186</v>
      </c>
      <c r="B338" s="15" t="s">
        <v>7187</v>
      </c>
      <c r="C338" s="15" t="s">
        <v>138</v>
      </c>
      <c r="D338" s="15" t="s">
        <v>138</v>
      </c>
      <c r="E338" s="15" t="s">
        <v>7188</v>
      </c>
      <c r="F338" s="15" t="s">
        <v>7186</v>
      </c>
      <c r="G338" s="15" t="s">
        <v>7189</v>
      </c>
      <c r="H338" s="15" t="s">
        <v>322</v>
      </c>
      <c r="I338" s="15" t="s">
        <v>1208</v>
      </c>
      <c r="J338" s="15" t="s">
        <v>5371</v>
      </c>
      <c r="K338" s="15" t="s">
        <v>5372</v>
      </c>
      <c r="L338" s="15" t="s">
        <v>3509</v>
      </c>
      <c r="M338" s="15" t="s">
        <v>7190</v>
      </c>
      <c r="N338" s="15" t="s">
        <v>147</v>
      </c>
      <c r="O338" s="17">
        <v>30.06</v>
      </c>
      <c r="P338" s="15" t="s">
        <v>610</v>
      </c>
      <c r="Q338" s="15" t="s">
        <v>149</v>
      </c>
      <c r="R338" s="15" t="s">
        <v>174</v>
      </c>
      <c r="S338" s="15" t="s">
        <v>7191</v>
      </c>
      <c r="T338" s="18">
        <v>4</v>
      </c>
      <c r="U338" s="15" t="s">
        <v>7192</v>
      </c>
      <c r="V338" s="15" t="s">
        <v>138</v>
      </c>
      <c r="W338" s="15" t="s">
        <v>138</v>
      </c>
      <c r="X338" s="19">
        <v>2017</v>
      </c>
      <c r="Y338" s="15" t="s">
        <v>138</v>
      </c>
      <c r="Z338" s="15" t="s">
        <v>138</v>
      </c>
      <c r="AA338" s="15" t="s">
        <v>138</v>
      </c>
      <c r="AB338" s="20" t="s">
        <v>138</v>
      </c>
      <c r="AC338" s="20" t="s">
        <v>138</v>
      </c>
      <c r="AD338" s="20" t="s">
        <v>138</v>
      </c>
      <c r="AE338" s="20" t="s">
        <v>138</v>
      </c>
      <c r="AF338" s="20" t="s">
        <v>138</v>
      </c>
      <c r="AG338" s="15" t="s">
        <v>138</v>
      </c>
      <c r="AH338" s="20" t="s">
        <v>138</v>
      </c>
      <c r="AI338" s="20" t="s">
        <v>138</v>
      </c>
      <c r="AJ338" s="20" t="s">
        <v>138</v>
      </c>
      <c r="AK338" s="15" t="s">
        <v>7193</v>
      </c>
      <c r="AL338" s="15" t="s">
        <v>7194</v>
      </c>
      <c r="AM338" s="15" t="s">
        <v>304</v>
      </c>
      <c r="AN338" s="15" t="s">
        <v>7195</v>
      </c>
      <c r="AO338" s="15" t="s">
        <v>138</v>
      </c>
      <c r="AP338" s="15" t="s">
        <v>7077</v>
      </c>
      <c r="AQ338" s="15" t="s">
        <v>7196</v>
      </c>
      <c r="AR338" s="15" t="s">
        <v>7197</v>
      </c>
      <c r="AS338" s="15" t="s">
        <v>7079</v>
      </c>
      <c r="AT338" s="15" t="s">
        <v>200</v>
      </c>
      <c r="AU338" s="15" t="s">
        <v>7080</v>
      </c>
      <c r="AV338" s="15" t="s">
        <v>162</v>
      </c>
      <c r="AW338" s="15" t="s">
        <v>138</v>
      </c>
      <c r="AX338" s="15" t="s">
        <v>138</v>
      </c>
      <c r="AY338" s="15" t="s">
        <v>138</v>
      </c>
      <c r="AZ338" s="15" t="s">
        <v>164</v>
      </c>
      <c r="BA338" s="15" t="s">
        <v>165</v>
      </c>
      <c r="BB338" s="15" t="s">
        <v>7198</v>
      </c>
      <c r="BC338" s="15" t="s">
        <v>7199</v>
      </c>
      <c r="BD338" s="21">
        <v>15</v>
      </c>
      <c r="BE338" s="15" t="s">
        <v>138</v>
      </c>
      <c r="BF338" s="15" t="s">
        <v>138</v>
      </c>
      <c r="BG338" s="15" t="s">
        <v>138</v>
      </c>
      <c r="BH338" s="15" t="s">
        <v>7200</v>
      </c>
      <c r="BI338" s="15" t="s">
        <v>138</v>
      </c>
      <c r="BJ338" s="15" t="s">
        <v>138</v>
      </c>
      <c r="BK338" s="15" t="s">
        <v>3826</v>
      </c>
      <c r="BL338" s="15" t="s">
        <v>3826</v>
      </c>
      <c r="BM338" s="22">
        <v>42941</v>
      </c>
      <c r="BN338" s="17" t="s">
        <v>138</v>
      </c>
      <c r="BO338" s="15" t="s">
        <v>138</v>
      </c>
      <c r="BP338" s="17" t="s">
        <v>138</v>
      </c>
      <c r="BQ338" s="15" t="s">
        <v>138</v>
      </c>
      <c r="BR338" s="15" t="s">
        <v>316</v>
      </c>
      <c r="BS338" s="15" t="s">
        <v>138</v>
      </c>
      <c r="BT338" s="15" t="s">
        <v>138</v>
      </c>
      <c r="BU338" s="15" t="s">
        <v>177</v>
      </c>
      <c r="BV338" s="15" t="s">
        <v>138</v>
      </c>
      <c r="BW338" s="15" t="s">
        <v>138</v>
      </c>
      <c r="BX338" s="15" t="s">
        <v>138</v>
      </c>
      <c r="BY338" s="15" t="s">
        <v>175</v>
      </c>
      <c r="BZ338" s="22">
        <v>43397</v>
      </c>
      <c r="CA338" s="17">
        <v>25</v>
      </c>
      <c r="CB338" s="15" t="s">
        <v>1178</v>
      </c>
      <c r="CC338" s="17">
        <v>79</v>
      </c>
      <c r="CD338" s="15" t="s">
        <v>172</v>
      </c>
      <c r="CE338" s="15" t="s">
        <v>205</v>
      </c>
      <c r="CF338" s="15" t="s">
        <v>720</v>
      </c>
      <c r="CG338" s="15" t="s">
        <v>138</v>
      </c>
      <c r="CH338" s="15" t="s">
        <v>174</v>
      </c>
      <c r="CI338" s="15" t="s">
        <v>138</v>
      </c>
      <c r="CJ338" s="15" t="s">
        <v>138</v>
      </c>
      <c r="CK338" s="15" t="s">
        <v>138</v>
      </c>
      <c r="CL338" s="15" t="s">
        <v>175</v>
      </c>
      <c r="CM338" s="22" t="s">
        <v>138</v>
      </c>
      <c r="CN338" s="17" t="s">
        <v>138</v>
      </c>
      <c r="CO338" s="23">
        <v>-1.51</v>
      </c>
      <c r="CP338" s="24">
        <v>7</v>
      </c>
      <c r="CQ338" s="23">
        <v>-0.21</v>
      </c>
      <c r="CR338" s="23">
        <v>-16.21</v>
      </c>
      <c r="CS338" s="23">
        <v>-1.51</v>
      </c>
      <c r="CT338" s="24">
        <v>11</v>
      </c>
      <c r="CU338" s="23" t="s">
        <v>138</v>
      </c>
      <c r="CV338" s="24" t="s">
        <v>138</v>
      </c>
      <c r="CW338" s="23" t="s">
        <v>138</v>
      </c>
      <c r="CX338" s="24" t="s">
        <v>138</v>
      </c>
      <c r="CY338" s="23">
        <v>-1.51</v>
      </c>
      <c r="CZ338" s="24">
        <v>15</v>
      </c>
      <c r="DA338" s="23" t="s">
        <v>138</v>
      </c>
      <c r="DB338" s="24" t="s">
        <v>138</v>
      </c>
      <c r="DC338" s="25">
        <v>5.55</v>
      </c>
      <c r="DD338" s="24">
        <v>84</v>
      </c>
      <c r="DE338" s="25">
        <v>0.03</v>
      </c>
      <c r="DF338" s="23">
        <v>0.62</v>
      </c>
      <c r="DG338" s="25">
        <v>5.55</v>
      </c>
      <c r="DH338" s="24">
        <v>84</v>
      </c>
      <c r="DI338" s="25" t="s">
        <v>138</v>
      </c>
      <c r="DJ338" s="24" t="s">
        <v>138</v>
      </c>
      <c r="DK338" s="25" t="s">
        <v>138</v>
      </c>
      <c r="DL338" s="24" t="s">
        <v>138</v>
      </c>
      <c r="DM338" s="25">
        <v>5.55</v>
      </c>
      <c r="DN338" s="24">
        <v>83</v>
      </c>
      <c r="DO338" s="25" t="s">
        <v>138</v>
      </c>
      <c r="DP338" s="24" t="s">
        <v>138</v>
      </c>
      <c r="DQ338" s="24" t="s">
        <v>138</v>
      </c>
      <c r="DR338" s="26" t="s">
        <v>138</v>
      </c>
      <c r="DS338" s="23" t="s">
        <v>138</v>
      </c>
      <c r="DT338" s="24">
        <v>160</v>
      </c>
      <c r="DU338" s="26">
        <v>0</v>
      </c>
      <c r="DV338" s="23">
        <v>0</v>
      </c>
      <c r="DW338" s="24" t="s">
        <v>138</v>
      </c>
      <c r="DX338" s="27" t="s">
        <v>138</v>
      </c>
      <c r="DY338" s="23" t="s">
        <v>138</v>
      </c>
      <c r="DZ338" s="15" t="s">
        <v>178</v>
      </c>
      <c r="EA338" s="22">
        <v>43622</v>
      </c>
      <c r="EB338" s="17">
        <v>79</v>
      </c>
      <c r="EC338" s="22">
        <v>43397</v>
      </c>
      <c r="ED338" s="15" t="s">
        <v>205</v>
      </c>
      <c r="EE338" s="14" t="str">
        <f>HYPERLINK("https://my.pitchbook.com?c=184026-16", "View company online")</f>
        <v>View company online</v>
      </c>
    </row>
    <row r="339" spans="1:135">
      <c r="A339" s="28" t="s">
        <v>7201</v>
      </c>
      <c r="B339" s="28" t="s">
        <v>7202</v>
      </c>
      <c r="C339" s="28" t="s">
        <v>7203</v>
      </c>
      <c r="D339" s="28" t="s">
        <v>7204</v>
      </c>
      <c r="E339" s="28" t="s">
        <v>7205</v>
      </c>
      <c r="F339" s="28" t="s">
        <v>7201</v>
      </c>
      <c r="G339" s="28" t="s">
        <v>7206</v>
      </c>
      <c r="H339" s="28" t="s">
        <v>385</v>
      </c>
      <c r="I339" s="28" t="s">
        <v>386</v>
      </c>
      <c r="J339" s="28" t="s">
        <v>387</v>
      </c>
      <c r="K339" s="28" t="s">
        <v>7207</v>
      </c>
      <c r="L339" s="28" t="s">
        <v>4684</v>
      </c>
      <c r="M339" s="28" t="s">
        <v>7208</v>
      </c>
      <c r="N339" s="28" t="s">
        <v>147</v>
      </c>
      <c r="O339" s="29">
        <v>276.06</v>
      </c>
      <c r="P339" s="28" t="s">
        <v>148</v>
      </c>
      <c r="Q339" s="28" t="s">
        <v>149</v>
      </c>
      <c r="R339" s="28" t="s">
        <v>174</v>
      </c>
      <c r="S339" s="28" t="s">
        <v>7209</v>
      </c>
      <c r="T339" s="30">
        <v>178</v>
      </c>
      <c r="U339" s="28" t="s">
        <v>7210</v>
      </c>
      <c r="V339" s="28" t="s">
        <v>138</v>
      </c>
      <c r="W339" s="28" t="s">
        <v>138</v>
      </c>
      <c r="X339" s="31">
        <v>2005</v>
      </c>
      <c r="Y339" s="28" t="s">
        <v>138</v>
      </c>
      <c r="Z339" s="28" t="s">
        <v>138</v>
      </c>
      <c r="AA339" s="28" t="s">
        <v>138</v>
      </c>
      <c r="AB339" s="32" t="s">
        <v>138</v>
      </c>
      <c r="AC339" s="32" t="s">
        <v>138</v>
      </c>
      <c r="AD339" s="32" t="s">
        <v>138</v>
      </c>
      <c r="AE339" s="32" t="s">
        <v>138</v>
      </c>
      <c r="AF339" s="32" t="s">
        <v>138</v>
      </c>
      <c r="AG339" s="28" t="s">
        <v>138</v>
      </c>
      <c r="AH339" s="32" t="s">
        <v>138</v>
      </c>
      <c r="AI339" s="32" t="s">
        <v>138</v>
      </c>
      <c r="AJ339" s="32" t="s">
        <v>138</v>
      </c>
      <c r="AK339" s="28" t="s">
        <v>7211</v>
      </c>
      <c r="AL339" s="28" t="s">
        <v>7212</v>
      </c>
      <c r="AM339" s="28" t="s">
        <v>1783</v>
      </c>
      <c r="AN339" s="28" t="s">
        <v>7213</v>
      </c>
      <c r="AO339" s="28" t="s">
        <v>7214</v>
      </c>
      <c r="AP339" s="28" t="s">
        <v>7215</v>
      </c>
      <c r="AQ339" s="28" t="s">
        <v>7216</v>
      </c>
      <c r="AR339" s="28" t="s">
        <v>138</v>
      </c>
      <c r="AS339" s="28" t="s">
        <v>7217</v>
      </c>
      <c r="AT339" s="28" t="s">
        <v>200</v>
      </c>
      <c r="AU339" s="28" t="s">
        <v>7218</v>
      </c>
      <c r="AV339" s="28" t="s">
        <v>162</v>
      </c>
      <c r="AW339" s="28" t="s">
        <v>7214</v>
      </c>
      <c r="AX339" s="28" t="s">
        <v>7219</v>
      </c>
      <c r="AY339" s="28" t="s">
        <v>138</v>
      </c>
      <c r="AZ339" s="28" t="s">
        <v>164</v>
      </c>
      <c r="BA339" s="28" t="s">
        <v>165</v>
      </c>
      <c r="BB339" s="28" t="s">
        <v>7220</v>
      </c>
      <c r="BC339" s="28" t="s">
        <v>7221</v>
      </c>
      <c r="BD339" s="33">
        <v>18</v>
      </c>
      <c r="BE339" s="28" t="s">
        <v>138</v>
      </c>
      <c r="BF339" s="28" t="s">
        <v>138</v>
      </c>
      <c r="BG339" s="28" t="s">
        <v>138</v>
      </c>
      <c r="BH339" s="28" t="s">
        <v>7222</v>
      </c>
      <c r="BI339" s="28" t="s">
        <v>138</v>
      </c>
      <c r="BJ339" s="28" t="s">
        <v>138</v>
      </c>
      <c r="BK339" s="28" t="s">
        <v>7223</v>
      </c>
      <c r="BL339" s="28" t="s">
        <v>7224</v>
      </c>
      <c r="BM339" s="34">
        <v>38636</v>
      </c>
      <c r="BN339" s="29">
        <v>30.06</v>
      </c>
      <c r="BO339" s="28" t="s">
        <v>172</v>
      </c>
      <c r="BP339" s="29">
        <v>220</v>
      </c>
      <c r="BQ339" s="28" t="s">
        <v>1178</v>
      </c>
      <c r="BR339" s="28" t="s">
        <v>205</v>
      </c>
      <c r="BS339" s="28" t="s">
        <v>206</v>
      </c>
      <c r="BT339" s="28" t="s">
        <v>138</v>
      </c>
      <c r="BU339" s="28" t="s">
        <v>174</v>
      </c>
      <c r="BV339" s="28" t="s">
        <v>138</v>
      </c>
      <c r="BW339" s="28" t="s">
        <v>138</v>
      </c>
      <c r="BX339" s="28" t="s">
        <v>138</v>
      </c>
      <c r="BY339" s="28" t="s">
        <v>175</v>
      </c>
      <c r="BZ339" s="34">
        <v>42269</v>
      </c>
      <c r="CA339" s="29">
        <v>100</v>
      </c>
      <c r="CB339" s="28" t="s">
        <v>1178</v>
      </c>
      <c r="CC339" s="29">
        <v>1250</v>
      </c>
      <c r="CD339" s="28" t="s">
        <v>1178</v>
      </c>
      <c r="CE339" s="28" t="s">
        <v>173</v>
      </c>
      <c r="CF339" s="28" t="s">
        <v>5037</v>
      </c>
      <c r="CG339" s="28" t="s">
        <v>138</v>
      </c>
      <c r="CH339" s="28" t="s">
        <v>174</v>
      </c>
      <c r="CI339" s="28" t="s">
        <v>138</v>
      </c>
      <c r="CJ339" s="28" t="s">
        <v>138</v>
      </c>
      <c r="CK339" s="28" t="s">
        <v>138</v>
      </c>
      <c r="CL339" s="28" t="s">
        <v>175</v>
      </c>
      <c r="CM339" s="34" t="s">
        <v>138</v>
      </c>
      <c r="CN339" s="29" t="s">
        <v>138</v>
      </c>
      <c r="CO339" s="35">
        <v>-1.1499999999999999</v>
      </c>
      <c r="CP339" s="36">
        <v>10</v>
      </c>
      <c r="CQ339" s="35">
        <v>-0.02</v>
      </c>
      <c r="CR339" s="35">
        <v>-1.47</v>
      </c>
      <c r="CS339" s="35">
        <v>-2.3199999999999998</v>
      </c>
      <c r="CT339" s="36">
        <v>7</v>
      </c>
      <c r="CU339" s="35">
        <v>0.01</v>
      </c>
      <c r="CV339" s="36">
        <v>49</v>
      </c>
      <c r="CW339" s="35">
        <v>-2.4900000000000002</v>
      </c>
      <c r="CX339" s="36">
        <v>6</v>
      </c>
      <c r="CY339" s="35">
        <v>-2.15</v>
      </c>
      <c r="CZ339" s="36">
        <v>10</v>
      </c>
      <c r="DA339" s="35">
        <v>0.04</v>
      </c>
      <c r="DB339" s="36">
        <v>62</v>
      </c>
      <c r="DC339" s="37">
        <v>14.86</v>
      </c>
      <c r="DD339" s="36">
        <v>93</v>
      </c>
      <c r="DE339" s="37">
        <v>-0.17</v>
      </c>
      <c r="DF339" s="35">
        <v>-1.1000000000000001</v>
      </c>
      <c r="DG339" s="37">
        <v>22.7</v>
      </c>
      <c r="DH339" s="36">
        <v>95</v>
      </c>
      <c r="DI339" s="37">
        <v>7.02</v>
      </c>
      <c r="DJ339" s="36">
        <v>81</v>
      </c>
      <c r="DK339" s="37">
        <v>3.54</v>
      </c>
      <c r="DL339" s="36">
        <v>74</v>
      </c>
      <c r="DM339" s="37">
        <v>41.86</v>
      </c>
      <c r="DN339" s="36">
        <v>97</v>
      </c>
      <c r="DO339" s="37">
        <v>9.83</v>
      </c>
      <c r="DP339" s="36">
        <v>87</v>
      </c>
      <c r="DQ339" s="36">
        <v>1226</v>
      </c>
      <c r="DR339" s="38">
        <v>-35</v>
      </c>
      <c r="DS339" s="35">
        <v>-2.78</v>
      </c>
      <c r="DT339" s="36">
        <v>1216</v>
      </c>
      <c r="DU339" s="38">
        <v>-6</v>
      </c>
      <c r="DV339" s="35">
        <v>-0.49</v>
      </c>
      <c r="DW339" s="36">
        <v>3522</v>
      </c>
      <c r="DX339" s="39">
        <v>-2</v>
      </c>
      <c r="DY339" s="35">
        <v>-0.06</v>
      </c>
      <c r="DZ339" s="28" t="s">
        <v>178</v>
      </c>
      <c r="EA339" s="34">
        <v>43494</v>
      </c>
      <c r="EB339" s="29">
        <v>1250</v>
      </c>
      <c r="EC339" s="34">
        <v>42269</v>
      </c>
      <c r="ED339" s="28" t="s">
        <v>173</v>
      </c>
      <c r="EE339" s="40" t="str">
        <f>HYPERLINK("https://my.pitchbook.com?c=43028-47", "View company online")</f>
        <v>View company online</v>
      </c>
    </row>
    <row r="340" spans="1:135">
      <c r="A340" s="15" t="s">
        <v>7225</v>
      </c>
      <c r="B340" s="15" t="s">
        <v>7226</v>
      </c>
      <c r="C340" s="15" t="s">
        <v>138</v>
      </c>
      <c r="D340" s="15" t="s">
        <v>138</v>
      </c>
      <c r="E340" s="15" t="s">
        <v>138</v>
      </c>
      <c r="F340" s="15" t="s">
        <v>7225</v>
      </c>
      <c r="G340" s="15" t="s">
        <v>7227</v>
      </c>
      <c r="H340" s="15" t="s">
        <v>141</v>
      </c>
      <c r="I340" s="15" t="s">
        <v>212</v>
      </c>
      <c r="J340" s="15" t="s">
        <v>2483</v>
      </c>
      <c r="K340" s="15" t="s">
        <v>7228</v>
      </c>
      <c r="L340" s="15" t="s">
        <v>2485</v>
      </c>
      <c r="M340" s="15" t="s">
        <v>7229</v>
      </c>
      <c r="N340" s="15" t="s">
        <v>147</v>
      </c>
      <c r="O340" s="17" t="s">
        <v>138</v>
      </c>
      <c r="P340" s="15" t="s">
        <v>148</v>
      </c>
      <c r="Q340" s="15" t="s">
        <v>149</v>
      </c>
      <c r="R340" s="15" t="s">
        <v>174</v>
      </c>
      <c r="S340" s="15" t="s">
        <v>7230</v>
      </c>
      <c r="T340" s="18" t="s">
        <v>138</v>
      </c>
      <c r="U340" s="15" t="s">
        <v>138</v>
      </c>
      <c r="V340" s="15" t="s">
        <v>138</v>
      </c>
      <c r="W340" s="15" t="s">
        <v>138</v>
      </c>
      <c r="X340" s="19">
        <v>2006</v>
      </c>
      <c r="Y340" s="15" t="s">
        <v>138</v>
      </c>
      <c r="Z340" s="15" t="s">
        <v>138</v>
      </c>
      <c r="AA340" s="15" t="s">
        <v>138</v>
      </c>
      <c r="AB340" s="20" t="s">
        <v>138</v>
      </c>
      <c r="AC340" s="20" t="s">
        <v>138</v>
      </c>
      <c r="AD340" s="20" t="s">
        <v>138</v>
      </c>
      <c r="AE340" s="20" t="s">
        <v>138</v>
      </c>
      <c r="AF340" s="20" t="s">
        <v>138</v>
      </c>
      <c r="AG340" s="15" t="s">
        <v>138</v>
      </c>
      <c r="AH340" s="20" t="s">
        <v>138</v>
      </c>
      <c r="AI340" s="20" t="s">
        <v>138</v>
      </c>
      <c r="AJ340" s="20" t="s">
        <v>138</v>
      </c>
      <c r="AK340" s="15" t="s">
        <v>7231</v>
      </c>
      <c r="AL340" s="15" t="s">
        <v>7232</v>
      </c>
      <c r="AM340" s="15" t="s">
        <v>1955</v>
      </c>
      <c r="AN340" s="15" t="s">
        <v>7233</v>
      </c>
      <c r="AO340" s="15" t="s">
        <v>7234</v>
      </c>
      <c r="AP340" s="15" t="s">
        <v>7235</v>
      </c>
      <c r="AQ340" s="15" t="s">
        <v>7236</v>
      </c>
      <c r="AR340" s="15" t="s">
        <v>138</v>
      </c>
      <c r="AS340" s="15" t="s">
        <v>7237</v>
      </c>
      <c r="AT340" s="15" t="s">
        <v>138</v>
      </c>
      <c r="AU340" s="15" t="s">
        <v>7238</v>
      </c>
      <c r="AV340" s="15" t="s">
        <v>1319</v>
      </c>
      <c r="AW340" s="15" t="s">
        <v>138</v>
      </c>
      <c r="AX340" s="15" t="s">
        <v>138</v>
      </c>
      <c r="AY340" s="15" t="s">
        <v>7239</v>
      </c>
      <c r="AZ340" s="15" t="s">
        <v>530</v>
      </c>
      <c r="BA340" s="15" t="s">
        <v>531</v>
      </c>
      <c r="BB340" s="15" t="s">
        <v>7240</v>
      </c>
      <c r="BC340" s="15" t="s">
        <v>7241</v>
      </c>
      <c r="BD340" s="21">
        <v>4</v>
      </c>
      <c r="BE340" s="15" t="s">
        <v>138</v>
      </c>
      <c r="BF340" s="15" t="s">
        <v>138</v>
      </c>
      <c r="BG340" s="15" t="s">
        <v>138</v>
      </c>
      <c r="BH340" s="15" t="s">
        <v>7242</v>
      </c>
      <c r="BI340" s="15" t="s">
        <v>138</v>
      </c>
      <c r="BJ340" s="15" t="s">
        <v>138</v>
      </c>
      <c r="BK340" s="15" t="s">
        <v>138</v>
      </c>
      <c r="BL340" s="15" t="s">
        <v>138</v>
      </c>
      <c r="BM340" s="22">
        <v>40909</v>
      </c>
      <c r="BN340" s="17" t="s">
        <v>138</v>
      </c>
      <c r="BO340" s="15" t="s">
        <v>138</v>
      </c>
      <c r="BP340" s="17" t="s">
        <v>138</v>
      </c>
      <c r="BQ340" s="15" t="s">
        <v>138</v>
      </c>
      <c r="BR340" s="15" t="s">
        <v>173</v>
      </c>
      <c r="BS340" s="15" t="s">
        <v>138</v>
      </c>
      <c r="BT340" s="15" t="s">
        <v>138</v>
      </c>
      <c r="BU340" s="15" t="s">
        <v>174</v>
      </c>
      <c r="BV340" s="15" t="s">
        <v>138</v>
      </c>
      <c r="BW340" s="15" t="s">
        <v>138</v>
      </c>
      <c r="BX340" s="15" t="s">
        <v>138</v>
      </c>
      <c r="BY340" s="15" t="s">
        <v>175</v>
      </c>
      <c r="BZ340" s="22">
        <v>42935</v>
      </c>
      <c r="CA340" s="17" t="s">
        <v>138</v>
      </c>
      <c r="CB340" s="15" t="s">
        <v>138</v>
      </c>
      <c r="CC340" s="17" t="s">
        <v>138</v>
      </c>
      <c r="CD340" s="15" t="s">
        <v>138</v>
      </c>
      <c r="CE340" s="15" t="s">
        <v>173</v>
      </c>
      <c r="CF340" s="15" t="s">
        <v>138</v>
      </c>
      <c r="CG340" s="15" t="s">
        <v>138</v>
      </c>
      <c r="CH340" s="15" t="s">
        <v>174</v>
      </c>
      <c r="CI340" s="15" t="s">
        <v>264</v>
      </c>
      <c r="CJ340" s="15" t="s">
        <v>138</v>
      </c>
      <c r="CK340" s="15" t="s">
        <v>138</v>
      </c>
      <c r="CL340" s="15" t="s">
        <v>175</v>
      </c>
      <c r="CM340" s="22" t="s">
        <v>138</v>
      </c>
      <c r="CN340" s="17" t="s">
        <v>138</v>
      </c>
      <c r="CO340" s="23">
        <v>0</v>
      </c>
      <c r="CP340" s="24">
        <v>26</v>
      </c>
      <c r="CQ340" s="23">
        <v>0</v>
      </c>
      <c r="CR340" s="23">
        <v>0</v>
      </c>
      <c r="CS340" s="23">
        <v>0</v>
      </c>
      <c r="CT340" s="24">
        <v>23</v>
      </c>
      <c r="CU340" s="23" t="s">
        <v>138</v>
      </c>
      <c r="CV340" s="24" t="s">
        <v>138</v>
      </c>
      <c r="CW340" s="23" t="s">
        <v>138</v>
      </c>
      <c r="CX340" s="24" t="s">
        <v>138</v>
      </c>
      <c r="CY340" s="23">
        <v>0</v>
      </c>
      <c r="CZ340" s="24">
        <v>25</v>
      </c>
      <c r="DA340" s="23" t="s">
        <v>138</v>
      </c>
      <c r="DB340" s="24" t="s">
        <v>138</v>
      </c>
      <c r="DC340" s="25">
        <v>0.97</v>
      </c>
      <c r="DD340" s="24">
        <v>50</v>
      </c>
      <c r="DE340" s="25">
        <v>0</v>
      </c>
      <c r="DF340" s="23">
        <v>0</v>
      </c>
      <c r="DG340" s="25">
        <v>0.97</v>
      </c>
      <c r="DH340" s="24">
        <v>50</v>
      </c>
      <c r="DI340" s="25" t="s">
        <v>138</v>
      </c>
      <c r="DJ340" s="24" t="s">
        <v>138</v>
      </c>
      <c r="DK340" s="25" t="s">
        <v>138</v>
      </c>
      <c r="DL340" s="24" t="s">
        <v>138</v>
      </c>
      <c r="DM340" s="25">
        <v>0.97</v>
      </c>
      <c r="DN340" s="24">
        <v>49</v>
      </c>
      <c r="DO340" s="25" t="s">
        <v>138</v>
      </c>
      <c r="DP340" s="24" t="s">
        <v>138</v>
      </c>
      <c r="DQ340" s="24" t="s">
        <v>138</v>
      </c>
      <c r="DR340" s="26" t="s">
        <v>138</v>
      </c>
      <c r="DS340" s="23" t="s">
        <v>138</v>
      </c>
      <c r="DT340" s="24">
        <v>28</v>
      </c>
      <c r="DU340" s="26">
        <v>0</v>
      </c>
      <c r="DV340" s="23">
        <v>0</v>
      </c>
      <c r="DW340" s="24" t="s">
        <v>138</v>
      </c>
      <c r="DX340" s="27" t="s">
        <v>138</v>
      </c>
      <c r="DY340" s="23" t="s">
        <v>138</v>
      </c>
      <c r="DZ340" s="15" t="s">
        <v>178</v>
      </c>
      <c r="EA340" s="22">
        <v>43487</v>
      </c>
      <c r="EB340" s="17" t="s">
        <v>138</v>
      </c>
      <c r="EC340" s="22" t="s">
        <v>138</v>
      </c>
      <c r="ED340" s="15" t="s">
        <v>138</v>
      </c>
      <c r="EE340" s="14" t="str">
        <f>HYPERLINK("https://my.pitchbook.com?c=54969-67", "View company online")</f>
        <v>View company online</v>
      </c>
    </row>
    <row r="341" spans="1:135">
      <c r="A341" s="28" t="s">
        <v>7243</v>
      </c>
      <c r="B341" s="28" t="s">
        <v>7244</v>
      </c>
      <c r="C341" s="28" t="s">
        <v>7245</v>
      </c>
      <c r="D341" s="28" t="s">
        <v>138</v>
      </c>
      <c r="E341" s="28" t="s">
        <v>7246</v>
      </c>
      <c r="F341" s="28" t="s">
        <v>7243</v>
      </c>
      <c r="G341" s="28" t="s">
        <v>7247</v>
      </c>
      <c r="H341" s="28" t="s">
        <v>138</v>
      </c>
      <c r="I341" s="28" t="s">
        <v>138</v>
      </c>
      <c r="J341" s="28" t="s">
        <v>138</v>
      </c>
      <c r="K341" s="28" t="s">
        <v>7248</v>
      </c>
      <c r="L341" s="28" t="s">
        <v>215</v>
      </c>
      <c r="M341" s="28" t="s">
        <v>7249</v>
      </c>
      <c r="N341" s="28" t="s">
        <v>1452</v>
      </c>
      <c r="O341" s="29" t="s">
        <v>138</v>
      </c>
      <c r="P341" s="28" t="s">
        <v>812</v>
      </c>
      <c r="Q341" s="28" t="s">
        <v>149</v>
      </c>
      <c r="R341" s="28" t="s">
        <v>7250</v>
      </c>
      <c r="S341" s="28" t="s">
        <v>7251</v>
      </c>
      <c r="T341" s="30">
        <v>3500</v>
      </c>
      <c r="U341" s="28" t="s">
        <v>7252</v>
      </c>
      <c r="V341" s="28" t="s">
        <v>138</v>
      </c>
      <c r="W341" s="28" t="s">
        <v>138</v>
      </c>
      <c r="X341" s="31">
        <v>1988</v>
      </c>
      <c r="Y341" s="28" t="s">
        <v>138</v>
      </c>
      <c r="Z341" s="28" t="s">
        <v>138</v>
      </c>
      <c r="AA341" s="28" t="s">
        <v>138</v>
      </c>
      <c r="AB341" s="32">
        <v>827.44</v>
      </c>
      <c r="AC341" s="32">
        <v>501.89</v>
      </c>
      <c r="AD341" s="32">
        <v>127.19</v>
      </c>
      <c r="AE341" s="32" t="s">
        <v>138</v>
      </c>
      <c r="AF341" s="32">
        <v>206.84</v>
      </c>
      <c r="AG341" s="28" t="s">
        <v>7253</v>
      </c>
      <c r="AH341" s="32" t="s">
        <v>138</v>
      </c>
      <c r="AI341" s="32" t="s">
        <v>138</v>
      </c>
      <c r="AJ341" s="32" t="s">
        <v>138</v>
      </c>
      <c r="AK341" s="28" t="s">
        <v>7254</v>
      </c>
      <c r="AL341" s="28" t="s">
        <v>7255</v>
      </c>
      <c r="AM341" s="28" t="s">
        <v>2949</v>
      </c>
      <c r="AN341" s="28" t="s">
        <v>138</v>
      </c>
      <c r="AO341" s="28" t="s">
        <v>138</v>
      </c>
      <c r="AP341" s="28" t="s">
        <v>7256</v>
      </c>
      <c r="AQ341" s="28" t="s">
        <v>7257</v>
      </c>
      <c r="AR341" s="28" t="s">
        <v>7258</v>
      </c>
      <c r="AS341" s="28" t="s">
        <v>7259</v>
      </c>
      <c r="AT341" s="28" t="s">
        <v>824</v>
      </c>
      <c r="AU341" s="28" t="s">
        <v>7260</v>
      </c>
      <c r="AV341" s="28" t="s">
        <v>526</v>
      </c>
      <c r="AW341" s="28" t="s">
        <v>138</v>
      </c>
      <c r="AX341" s="28" t="s">
        <v>138</v>
      </c>
      <c r="AY341" s="28" t="s">
        <v>138</v>
      </c>
      <c r="AZ341" s="28" t="s">
        <v>530</v>
      </c>
      <c r="BA341" s="28" t="s">
        <v>531</v>
      </c>
      <c r="BB341" s="28" t="s">
        <v>7261</v>
      </c>
      <c r="BC341" s="28" t="s">
        <v>7262</v>
      </c>
      <c r="BD341" s="33">
        <v>1</v>
      </c>
      <c r="BE341" s="28" t="s">
        <v>138</v>
      </c>
      <c r="BF341" s="28" t="s">
        <v>7263</v>
      </c>
      <c r="BG341" s="28" t="s">
        <v>138</v>
      </c>
      <c r="BH341" s="28" t="s">
        <v>7264</v>
      </c>
      <c r="BI341" s="28" t="s">
        <v>7265</v>
      </c>
      <c r="BJ341" s="28" t="s">
        <v>138</v>
      </c>
      <c r="BK341" s="28" t="s">
        <v>7266</v>
      </c>
      <c r="BL341" s="28" t="s">
        <v>7267</v>
      </c>
      <c r="BM341" s="34">
        <v>39839</v>
      </c>
      <c r="BN341" s="29">
        <v>3471.8</v>
      </c>
      <c r="BO341" s="28" t="s">
        <v>172</v>
      </c>
      <c r="BP341" s="29">
        <v>3471.8</v>
      </c>
      <c r="BQ341" s="28" t="s">
        <v>172</v>
      </c>
      <c r="BR341" s="28" t="s">
        <v>349</v>
      </c>
      <c r="BS341" s="28" t="s">
        <v>1496</v>
      </c>
      <c r="BT341" s="28" t="s">
        <v>138</v>
      </c>
      <c r="BU341" s="28" t="s">
        <v>351</v>
      </c>
      <c r="BV341" s="28" t="s">
        <v>138</v>
      </c>
      <c r="BW341" s="28" t="s">
        <v>138</v>
      </c>
      <c r="BX341" s="28" t="s">
        <v>138</v>
      </c>
      <c r="BY341" s="28" t="s">
        <v>175</v>
      </c>
      <c r="BZ341" s="34">
        <v>43402</v>
      </c>
      <c r="CA341" s="29">
        <v>1000</v>
      </c>
      <c r="CB341" s="28" t="s">
        <v>172</v>
      </c>
      <c r="CC341" s="29">
        <v>1000</v>
      </c>
      <c r="CD341" s="28" t="s">
        <v>172</v>
      </c>
      <c r="CE341" s="28" t="s">
        <v>349</v>
      </c>
      <c r="CF341" s="28" t="s">
        <v>3785</v>
      </c>
      <c r="CG341" s="28" t="s">
        <v>138</v>
      </c>
      <c r="CH341" s="28" t="s">
        <v>351</v>
      </c>
      <c r="CI341" s="28" t="s">
        <v>7268</v>
      </c>
      <c r="CJ341" s="28" t="s">
        <v>138</v>
      </c>
      <c r="CK341" s="28" t="s">
        <v>138</v>
      </c>
      <c r="CL341" s="28" t="s">
        <v>175</v>
      </c>
      <c r="CM341" s="34">
        <v>43402</v>
      </c>
      <c r="CN341" s="29">
        <v>100</v>
      </c>
      <c r="CO341" s="35">
        <v>9.7799999999999994</v>
      </c>
      <c r="CP341" s="36">
        <v>100</v>
      </c>
      <c r="CQ341" s="35">
        <v>-0.02</v>
      </c>
      <c r="CR341" s="35">
        <v>-0.2</v>
      </c>
      <c r="CS341" s="35">
        <v>19.940000000000001</v>
      </c>
      <c r="CT341" s="36">
        <v>100</v>
      </c>
      <c r="CU341" s="35">
        <v>-0.39</v>
      </c>
      <c r="CV341" s="36">
        <v>1</v>
      </c>
      <c r="CW341" s="35">
        <v>11.2</v>
      </c>
      <c r="CX341" s="36">
        <v>100</v>
      </c>
      <c r="CY341" s="35">
        <v>28.69</v>
      </c>
      <c r="CZ341" s="36">
        <v>100</v>
      </c>
      <c r="DA341" s="35">
        <v>-0.39</v>
      </c>
      <c r="DB341" s="36">
        <v>1</v>
      </c>
      <c r="DC341" s="37">
        <v>19.41</v>
      </c>
      <c r="DD341" s="36">
        <v>95</v>
      </c>
      <c r="DE341" s="37">
        <v>-0.12</v>
      </c>
      <c r="DF341" s="35">
        <v>-0.6</v>
      </c>
      <c r="DG341" s="37">
        <v>38.200000000000003</v>
      </c>
      <c r="DH341" s="36">
        <v>97</v>
      </c>
      <c r="DI341" s="37">
        <v>0.62</v>
      </c>
      <c r="DJ341" s="36">
        <v>40</v>
      </c>
      <c r="DK341" s="37">
        <v>6.77</v>
      </c>
      <c r="DL341" s="36">
        <v>83</v>
      </c>
      <c r="DM341" s="37">
        <v>69.62</v>
      </c>
      <c r="DN341" s="36">
        <v>99</v>
      </c>
      <c r="DO341" s="37">
        <v>0.62</v>
      </c>
      <c r="DP341" s="36">
        <v>42</v>
      </c>
      <c r="DQ341" s="36">
        <v>2187</v>
      </c>
      <c r="DR341" s="38">
        <v>406</v>
      </c>
      <c r="DS341" s="35">
        <v>22.8</v>
      </c>
      <c r="DT341" s="36">
        <v>2014</v>
      </c>
      <c r="DU341" s="38">
        <v>9</v>
      </c>
      <c r="DV341" s="35">
        <v>0.45</v>
      </c>
      <c r="DW341" s="36">
        <v>220</v>
      </c>
      <c r="DX341" s="39">
        <v>0</v>
      </c>
      <c r="DY341" s="35">
        <v>0</v>
      </c>
      <c r="DZ341" s="28" t="s">
        <v>178</v>
      </c>
      <c r="EA341" s="34">
        <v>43622</v>
      </c>
      <c r="EB341" s="29">
        <v>1000</v>
      </c>
      <c r="EC341" s="34">
        <v>43402</v>
      </c>
      <c r="ED341" s="28" t="s">
        <v>349</v>
      </c>
      <c r="EE341" s="40" t="str">
        <f>HYPERLINK("https://my.pitchbook.com?c=12774-34", "View company online")</f>
        <v>View company online</v>
      </c>
    </row>
    <row r="342" spans="1:135">
      <c r="A342" s="15" t="s">
        <v>7269</v>
      </c>
      <c r="B342" s="15" t="s">
        <v>7270</v>
      </c>
      <c r="C342" s="15" t="s">
        <v>138</v>
      </c>
      <c r="D342" s="15" t="s">
        <v>138</v>
      </c>
      <c r="E342" s="15" t="s">
        <v>7271</v>
      </c>
      <c r="F342" s="15" t="s">
        <v>7269</v>
      </c>
      <c r="G342" s="15" t="s">
        <v>7272</v>
      </c>
      <c r="H342" s="15" t="s">
        <v>141</v>
      </c>
      <c r="I342" s="15" t="s">
        <v>212</v>
      </c>
      <c r="J342" s="15" t="s">
        <v>213</v>
      </c>
      <c r="K342" s="15" t="s">
        <v>1064</v>
      </c>
      <c r="L342" s="15" t="s">
        <v>3701</v>
      </c>
      <c r="M342" s="15" t="s">
        <v>7273</v>
      </c>
      <c r="N342" s="15" t="s">
        <v>147</v>
      </c>
      <c r="O342" s="17">
        <v>32.130000000000003</v>
      </c>
      <c r="P342" s="15" t="s">
        <v>148</v>
      </c>
      <c r="Q342" s="15" t="s">
        <v>149</v>
      </c>
      <c r="R342" s="15" t="s">
        <v>174</v>
      </c>
      <c r="S342" s="15" t="s">
        <v>7274</v>
      </c>
      <c r="T342" s="18">
        <v>44</v>
      </c>
      <c r="U342" s="15" t="s">
        <v>7275</v>
      </c>
      <c r="V342" s="15" t="s">
        <v>138</v>
      </c>
      <c r="W342" s="15" t="s">
        <v>138</v>
      </c>
      <c r="X342" s="19">
        <v>2012</v>
      </c>
      <c r="Y342" s="15" t="s">
        <v>138</v>
      </c>
      <c r="Z342" s="15" t="s">
        <v>138</v>
      </c>
      <c r="AA342" s="15" t="s">
        <v>7276</v>
      </c>
      <c r="AB342" s="20">
        <v>22.59</v>
      </c>
      <c r="AC342" s="20" t="s">
        <v>138</v>
      </c>
      <c r="AD342" s="20" t="s">
        <v>138</v>
      </c>
      <c r="AE342" s="20" t="s">
        <v>138</v>
      </c>
      <c r="AF342" s="20" t="s">
        <v>138</v>
      </c>
      <c r="AG342" s="15" t="s">
        <v>633</v>
      </c>
      <c r="AH342" s="20" t="s">
        <v>138</v>
      </c>
      <c r="AI342" s="20" t="s">
        <v>138</v>
      </c>
      <c r="AJ342" s="20" t="s">
        <v>138</v>
      </c>
      <c r="AK342" s="15" t="s">
        <v>7277</v>
      </c>
      <c r="AL342" s="15" t="s">
        <v>7278</v>
      </c>
      <c r="AM342" s="15" t="s">
        <v>7279</v>
      </c>
      <c r="AN342" s="15" t="s">
        <v>7280</v>
      </c>
      <c r="AO342" s="15" t="s">
        <v>7281</v>
      </c>
      <c r="AP342" s="15" t="s">
        <v>1292</v>
      </c>
      <c r="AQ342" s="15" t="s">
        <v>7282</v>
      </c>
      <c r="AR342" s="15" t="s">
        <v>138</v>
      </c>
      <c r="AS342" s="15" t="s">
        <v>1294</v>
      </c>
      <c r="AT342" s="15" t="s">
        <v>864</v>
      </c>
      <c r="AU342" s="15" t="s">
        <v>7283</v>
      </c>
      <c r="AV342" s="15" t="s">
        <v>162</v>
      </c>
      <c r="AW342" s="15" t="s">
        <v>7281</v>
      </c>
      <c r="AX342" s="15" t="s">
        <v>138</v>
      </c>
      <c r="AY342" s="15" t="s">
        <v>7284</v>
      </c>
      <c r="AZ342" s="15" t="s">
        <v>164</v>
      </c>
      <c r="BA342" s="15" t="s">
        <v>165</v>
      </c>
      <c r="BB342" s="15" t="s">
        <v>7285</v>
      </c>
      <c r="BC342" s="15" t="s">
        <v>7286</v>
      </c>
      <c r="BD342" s="21">
        <v>6</v>
      </c>
      <c r="BE342" s="15" t="s">
        <v>138</v>
      </c>
      <c r="BF342" s="15" t="s">
        <v>138</v>
      </c>
      <c r="BG342" s="15" t="s">
        <v>138</v>
      </c>
      <c r="BH342" s="15" t="s">
        <v>7287</v>
      </c>
      <c r="BI342" s="15" t="s">
        <v>138</v>
      </c>
      <c r="BJ342" s="15" t="s">
        <v>138</v>
      </c>
      <c r="BK342" s="15" t="s">
        <v>7288</v>
      </c>
      <c r="BL342" s="15" t="s">
        <v>138</v>
      </c>
      <c r="BM342" s="22">
        <v>41134</v>
      </c>
      <c r="BN342" s="17">
        <v>6.04</v>
      </c>
      <c r="BO342" s="15" t="s">
        <v>172</v>
      </c>
      <c r="BP342" s="17">
        <v>22.43</v>
      </c>
      <c r="BQ342" s="15" t="s">
        <v>172</v>
      </c>
      <c r="BR342" s="15" t="s">
        <v>205</v>
      </c>
      <c r="BS342" s="15" t="s">
        <v>206</v>
      </c>
      <c r="BT342" s="15" t="s">
        <v>138</v>
      </c>
      <c r="BU342" s="15" t="s">
        <v>174</v>
      </c>
      <c r="BV342" s="15" t="s">
        <v>138</v>
      </c>
      <c r="BW342" s="15" t="s">
        <v>138</v>
      </c>
      <c r="BX342" s="15" t="s">
        <v>138</v>
      </c>
      <c r="BY342" s="15" t="s">
        <v>175</v>
      </c>
      <c r="BZ342" s="22">
        <v>42116</v>
      </c>
      <c r="CA342" s="17">
        <v>18</v>
      </c>
      <c r="CB342" s="15" t="s">
        <v>172</v>
      </c>
      <c r="CC342" s="17">
        <v>117.77</v>
      </c>
      <c r="CD342" s="15" t="s">
        <v>172</v>
      </c>
      <c r="CE342" s="15" t="s">
        <v>173</v>
      </c>
      <c r="CF342" s="15" t="s">
        <v>317</v>
      </c>
      <c r="CG342" s="15" t="s">
        <v>138</v>
      </c>
      <c r="CH342" s="15" t="s">
        <v>174</v>
      </c>
      <c r="CI342" s="15" t="s">
        <v>138</v>
      </c>
      <c r="CJ342" s="15" t="s">
        <v>138</v>
      </c>
      <c r="CK342" s="15" t="s">
        <v>138</v>
      </c>
      <c r="CL342" s="15" t="s">
        <v>175</v>
      </c>
      <c r="CM342" s="22" t="s">
        <v>138</v>
      </c>
      <c r="CN342" s="17" t="s">
        <v>138</v>
      </c>
      <c r="CO342" s="23">
        <v>-0.34</v>
      </c>
      <c r="CP342" s="24">
        <v>18</v>
      </c>
      <c r="CQ342" s="23">
        <v>-0.01</v>
      </c>
      <c r="CR342" s="23">
        <v>-3.84</v>
      </c>
      <c r="CS342" s="23">
        <v>-0.63</v>
      </c>
      <c r="CT342" s="24">
        <v>18</v>
      </c>
      <c r="CU342" s="23">
        <v>-0.05</v>
      </c>
      <c r="CV342" s="24">
        <v>9</v>
      </c>
      <c r="CW342" s="23">
        <v>0</v>
      </c>
      <c r="CX342" s="24">
        <v>13</v>
      </c>
      <c r="CY342" s="23">
        <v>-1.25</v>
      </c>
      <c r="CZ342" s="24">
        <v>17</v>
      </c>
      <c r="DA342" s="23">
        <v>-0.05</v>
      </c>
      <c r="DB342" s="24">
        <v>13</v>
      </c>
      <c r="DC342" s="25">
        <v>15.03</v>
      </c>
      <c r="DD342" s="24">
        <v>93</v>
      </c>
      <c r="DE342" s="25">
        <v>-0.11</v>
      </c>
      <c r="DF342" s="23">
        <v>-0.72</v>
      </c>
      <c r="DG342" s="25">
        <v>16.46</v>
      </c>
      <c r="DH342" s="24">
        <v>94</v>
      </c>
      <c r="DI342" s="25">
        <v>13.6</v>
      </c>
      <c r="DJ342" s="24">
        <v>88</v>
      </c>
      <c r="DK342" s="25">
        <v>2.0499999999999998</v>
      </c>
      <c r="DL342" s="24">
        <v>65</v>
      </c>
      <c r="DM342" s="25">
        <v>30.86</v>
      </c>
      <c r="DN342" s="24">
        <v>96</v>
      </c>
      <c r="DO342" s="25">
        <v>13.6</v>
      </c>
      <c r="DP342" s="24">
        <v>90</v>
      </c>
      <c r="DQ342" s="24">
        <v>713</v>
      </c>
      <c r="DR342" s="26">
        <v>-31</v>
      </c>
      <c r="DS342" s="23">
        <v>-4.17</v>
      </c>
      <c r="DT342" s="24">
        <v>898</v>
      </c>
      <c r="DU342" s="26">
        <v>-6</v>
      </c>
      <c r="DV342" s="23">
        <v>-0.66</v>
      </c>
      <c r="DW342" s="24">
        <v>4869</v>
      </c>
      <c r="DX342" s="27">
        <v>-5</v>
      </c>
      <c r="DY342" s="23">
        <v>-0.1</v>
      </c>
      <c r="DZ342" s="15" t="s">
        <v>178</v>
      </c>
      <c r="EA342" s="22">
        <v>43440</v>
      </c>
      <c r="EB342" s="17">
        <v>117.77</v>
      </c>
      <c r="EC342" s="22">
        <v>42116</v>
      </c>
      <c r="ED342" s="15" t="s">
        <v>173</v>
      </c>
      <c r="EE342" s="14" t="str">
        <f>HYPERLINK("https://my.pitchbook.com?c=54978-58", "View company online")</f>
        <v>View company online</v>
      </c>
    </row>
    <row r="343" spans="1:135">
      <c r="A343" s="28" t="s">
        <v>7289</v>
      </c>
      <c r="B343" s="28" t="s">
        <v>7290</v>
      </c>
      <c r="C343" s="28" t="s">
        <v>138</v>
      </c>
      <c r="D343" s="28" t="s">
        <v>138</v>
      </c>
      <c r="E343" s="28" t="s">
        <v>7291</v>
      </c>
      <c r="F343" s="28" t="s">
        <v>7289</v>
      </c>
      <c r="G343" s="28" t="s">
        <v>7292</v>
      </c>
      <c r="H343" s="28" t="s">
        <v>141</v>
      </c>
      <c r="I343" s="28" t="s">
        <v>212</v>
      </c>
      <c r="J343" s="28" t="s">
        <v>655</v>
      </c>
      <c r="K343" s="28" t="s">
        <v>656</v>
      </c>
      <c r="L343" s="28" t="s">
        <v>7293</v>
      </c>
      <c r="M343" s="28" t="s">
        <v>7294</v>
      </c>
      <c r="N343" s="28" t="s">
        <v>147</v>
      </c>
      <c r="O343" s="29">
        <v>8.6300000000000008</v>
      </c>
      <c r="P343" s="28" t="s">
        <v>148</v>
      </c>
      <c r="Q343" s="28" t="s">
        <v>149</v>
      </c>
      <c r="R343" s="28" t="s">
        <v>174</v>
      </c>
      <c r="S343" s="28" t="s">
        <v>7295</v>
      </c>
      <c r="T343" s="30" t="s">
        <v>138</v>
      </c>
      <c r="U343" s="28" t="s">
        <v>138</v>
      </c>
      <c r="V343" s="28" t="s">
        <v>138</v>
      </c>
      <c r="W343" s="28" t="s">
        <v>138</v>
      </c>
      <c r="X343" s="31">
        <v>2016</v>
      </c>
      <c r="Y343" s="28" t="s">
        <v>138</v>
      </c>
      <c r="Z343" s="28" t="s">
        <v>138</v>
      </c>
      <c r="AA343" s="28" t="s">
        <v>138</v>
      </c>
      <c r="AB343" s="32" t="s">
        <v>138</v>
      </c>
      <c r="AC343" s="32" t="s">
        <v>138</v>
      </c>
      <c r="AD343" s="32" t="s">
        <v>138</v>
      </c>
      <c r="AE343" s="32" t="s">
        <v>138</v>
      </c>
      <c r="AF343" s="32" t="s">
        <v>138</v>
      </c>
      <c r="AG343" s="28" t="s">
        <v>138</v>
      </c>
      <c r="AH343" s="32" t="s">
        <v>138</v>
      </c>
      <c r="AI343" s="32" t="s">
        <v>138</v>
      </c>
      <c r="AJ343" s="32" t="s">
        <v>138</v>
      </c>
      <c r="AK343" s="28" t="s">
        <v>7296</v>
      </c>
      <c r="AL343" s="28" t="s">
        <v>7297</v>
      </c>
      <c r="AM343" s="28" t="s">
        <v>304</v>
      </c>
      <c r="AN343" s="28" t="s">
        <v>7298</v>
      </c>
      <c r="AO343" s="28" t="s">
        <v>138</v>
      </c>
      <c r="AP343" s="28" t="s">
        <v>7299</v>
      </c>
      <c r="AQ343" s="28" t="s">
        <v>7300</v>
      </c>
      <c r="AR343" s="28" t="s">
        <v>7301</v>
      </c>
      <c r="AS343" s="28" t="s">
        <v>7302</v>
      </c>
      <c r="AT343" s="28" t="s">
        <v>138</v>
      </c>
      <c r="AU343" s="28" t="s">
        <v>7303</v>
      </c>
      <c r="AV343" s="28" t="s">
        <v>7304</v>
      </c>
      <c r="AW343" s="28" t="s">
        <v>138</v>
      </c>
      <c r="AX343" s="28" t="s">
        <v>138</v>
      </c>
      <c r="AY343" s="28" t="s">
        <v>138</v>
      </c>
      <c r="AZ343" s="28" t="s">
        <v>452</v>
      </c>
      <c r="BA343" s="28" t="s">
        <v>1748</v>
      </c>
      <c r="BB343" s="28" t="s">
        <v>7305</v>
      </c>
      <c r="BC343" s="28" t="s">
        <v>7306</v>
      </c>
      <c r="BD343" s="33">
        <v>6</v>
      </c>
      <c r="BE343" s="28" t="s">
        <v>138</v>
      </c>
      <c r="BF343" s="28" t="s">
        <v>138</v>
      </c>
      <c r="BG343" s="28" t="s">
        <v>138</v>
      </c>
      <c r="BH343" s="28" t="s">
        <v>7307</v>
      </c>
      <c r="BI343" s="28" t="s">
        <v>138</v>
      </c>
      <c r="BJ343" s="28" t="s">
        <v>138</v>
      </c>
      <c r="BK343" s="28" t="s">
        <v>138</v>
      </c>
      <c r="BL343" s="28" t="s">
        <v>138</v>
      </c>
      <c r="BM343" s="34">
        <v>42705</v>
      </c>
      <c r="BN343" s="29">
        <v>0.03</v>
      </c>
      <c r="BO343" s="28" t="s">
        <v>172</v>
      </c>
      <c r="BP343" s="29">
        <v>0.42</v>
      </c>
      <c r="BQ343" s="28" t="s">
        <v>172</v>
      </c>
      <c r="BR343" s="28" t="s">
        <v>316</v>
      </c>
      <c r="BS343" s="28" t="s">
        <v>138</v>
      </c>
      <c r="BT343" s="28" t="s">
        <v>138</v>
      </c>
      <c r="BU343" s="28" t="s">
        <v>177</v>
      </c>
      <c r="BV343" s="28" t="s">
        <v>138</v>
      </c>
      <c r="BW343" s="28" t="s">
        <v>138</v>
      </c>
      <c r="BX343" s="28" t="s">
        <v>138</v>
      </c>
      <c r="BY343" s="28" t="s">
        <v>175</v>
      </c>
      <c r="BZ343" s="34">
        <v>43585</v>
      </c>
      <c r="CA343" s="29">
        <v>7</v>
      </c>
      <c r="CB343" s="28" t="s">
        <v>172</v>
      </c>
      <c r="CC343" s="29" t="s">
        <v>138</v>
      </c>
      <c r="CD343" s="28" t="s">
        <v>138</v>
      </c>
      <c r="CE343" s="28" t="s">
        <v>205</v>
      </c>
      <c r="CF343" s="28" t="s">
        <v>206</v>
      </c>
      <c r="CG343" s="28" t="s">
        <v>138</v>
      </c>
      <c r="CH343" s="28" t="s">
        <v>174</v>
      </c>
      <c r="CI343" s="28" t="s">
        <v>138</v>
      </c>
      <c r="CJ343" s="28" t="s">
        <v>138</v>
      </c>
      <c r="CK343" s="28" t="s">
        <v>138</v>
      </c>
      <c r="CL343" s="28" t="s">
        <v>175</v>
      </c>
      <c r="CM343" s="34" t="s">
        <v>138</v>
      </c>
      <c r="CN343" s="29" t="s">
        <v>138</v>
      </c>
      <c r="CO343" s="35">
        <v>-1.23</v>
      </c>
      <c r="CP343" s="36">
        <v>9</v>
      </c>
      <c r="CQ343" s="35">
        <v>0</v>
      </c>
      <c r="CR343" s="35">
        <v>0</v>
      </c>
      <c r="CS343" s="35">
        <v>-1.23</v>
      </c>
      <c r="CT343" s="36">
        <v>13</v>
      </c>
      <c r="CU343" s="35" t="s">
        <v>138</v>
      </c>
      <c r="CV343" s="36" t="s">
        <v>138</v>
      </c>
      <c r="CW343" s="35" t="s">
        <v>138</v>
      </c>
      <c r="CX343" s="36" t="s">
        <v>138</v>
      </c>
      <c r="CY343" s="35">
        <v>-1.23</v>
      </c>
      <c r="CZ343" s="36">
        <v>17</v>
      </c>
      <c r="DA343" s="35" t="s">
        <v>138</v>
      </c>
      <c r="DB343" s="36" t="s">
        <v>138</v>
      </c>
      <c r="DC343" s="37">
        <v>3.66</v>
      </c>
      <c r="DD343" s="36">
        <v>78</v>
      </c>
      <c r="DE343" s="37">
        <v>0.03</v>
      </c>
      <c r="DF343" s="35">
        <v>0.95</v>
      </c>
      <c r="DG343" s="37">
        <v>3.66</v>
      </c>
      <c r="DH343" s="36">
        <v>78</v>
      </c>
      <c r="DI343" s="37" t="s">
        <v>138</v>
      </c>
      <c r="DJ343" s="36" t="s">
        <v>138</v>
      </c>
      <c r="DK343" s="37" t="s">
        <v>138</v>
      </c>
      <c r="DL343" s="36" t="s">
        <v>138</v>
      </c>
      <c r="DM343" s="37">
        <v>3.66</v>
      </c>
      <c r="DN343" s="36">
        <v>77</v>
      </c>
      <c r="DO343" s="37" t="s">
        <v>138</v>
      </c>
      <c r="DP343" s="36" t="s">
        <v>138</v>
      </c>
      <c r="DQ343" s="36" t="s">
        <v>138</v>
      </c>
      <c r="DR343" s="38" t="s">
        <v>138</v>
      </c>
      <c r="DS343" s="35" t="s">
        <v>138</v>
      </c>
      <c r="DT343" s="36">
        <v>105</v>
      </c>
      <c r="DU343" s="38">
        <v>0</v>
      </c>
      <c r="DV343" s="35">
        <v>0</v>
      </c>
      <c r="DW343" s="36" t="s">
        <v>138</v>
      </c>
      <c r="DX343" s="39" t="s">
        <v>138</v>
      </c>
      <c r="DY343" s="35" t="s">
        <v>138</v>
      </c>
      <c r="DZ343" s="28" t="s">
        <v>178</v>
      </c>
      <c r="EA343" s="34">
        <v>43609</v>
      </c>
      <c r="EB343" s="29">
        <v>0.42</v>
      </c>
      <c r="EC343" s="34">
        <v>42705</v>
      </c>
      <c r="ED343" s="28" t="s">
        <v>316</v>
      </c>
      <c r="EE343" s="40" t="str">
        <f>HYPERLINK("https://my.pitchbook.com?c=178924-24", "View company online")</f>
        <v>View company online</v>
      </c>
    </row>
    <row r="344" spans="1:135">
      <c r="A344" s="15" t="s">
        <v>7308</v>
      </c>
      <c r="B344" s="15" t="s">
        <v>7309</v>
      </c>
      <c r="C344" s="15" t="s">
        <v>138</v>
      </c>
      <c r="D344" s="15" t="s">
        <v>138</v>
      </c>
      <c r="E344" s="15" t="s">
        <v>7310</v>
      </c>
      <c r="F344" s="15" t="s">
        <v>7308</v>
      </c>
      <c r="G344" s="15" t="s">
        <v>7311</v>
      </c>
      <c r="H344" s="15" t="s">
        <v>322</v>
      </c>
      <c r="I344" s="15" t="s">
        <v>323</v>
      </c>
      <c r="J344" s="15" t="s">
        <v>461</v>
      </c>
      <c r="K344" s="15" t="s">
        <v>5945</v>
      </c>
      <c r="L344" s="15" t="s">
        <v>2210</v>
      </c>
      <c r="M344" s="15" t="s">
        <v>7312</v>
      </c>
      <c r="N344" s="15" t="s">
        <v>147</v>
      </c>
      <c r="O344" s="17">
        <v>34.89</v>
      </c>
      <c r="P344" s="15" t="s">
        <v>148</v>
      </c>
      <c r="Q344" s="15" t="s">
        <v>149</v>
      </c>
      <c r="R344" s="15" t="s">
        <v>174</v>
      </c>
      <c r="S344" s="15" t="s">
        <v>7313</v>
      </c>
      <c r="T344" s="18">
        <v>80</v>
      </c>
      <c r="U344" s="15" t="s">
        <v>7314</v>
      </c>
      <c r="V344" s="15" t="s">
        <v>138</v>
      </c>
      <c r="W344" s="15" t="s">
        <v>138</v>
      </c>
      <c r="X344" s="19">
        <v>2014</v>
      </c>
      <c r="Y344" s="15" t="s">
        <v>138</v>
      </c>
      <c r="Z344" s="15" t="s">
        <v>138</v>
      </c>
      <c r="AA344" s="15" t="s">
        <v>7315</v>
      </c>
      <c r="AB344" s="20" t="s">
        <v>138</v>
      </c>
      <c r="AC344" s="20" t="s">
        <v>138</v>
      </c>
      <c r="AD344" s="20" t="s">
        <v>138</v>
      </c>
      <c r="AE344" s="20" t="s">
        <v>138</v>
      </c>
      <c r="AF344" s="20" t="s">
        <v>138</v>
      </c>
      <c r="AG344" s="15" t="s">
        <v>138</v>
      </c>
      <c r="AH344" s="20" t="s">
        <v>138</v>
      </c>
      <c r="AI344" s="20" t="s">
        <v>138</v>
      </c>
      <c r="AJ344" s="20" t="s">
        <v>138</v>
      </c>
      <c r="AK344" s="15" t="s">
        <v>7316</v>
      </c>
      <c r="AL344" s="15" t="s">
        <v>7317</v>
      </c>
      <c r="AM344" s="15" t="s">
        <v>7318</v>
      </c>
      <c r="AN344" s="15" t="s">
        <v>7319</v>
      </c>
      <c r="AO344" s="15" t="s">
        <v>7320</v>
      </c>
      <c r="AP344" s="15" t="s">
        <v>368</v>
      </c>
      <c r="AQ344" s="15" t="s">
        <v>7321</v>
      </c>
      <c r="AR344" s="15" t="s">
        <v>3159</v>
      </c>
      <c r="AS344" s="15" t="s">
        <v>370</v>
      </c>
      <c r="AT344" s="15" t="s">
        <v>371</v>
      </c>
      <c r="AU344" s="15" t="s">
        <v>372</v>
      </c>
      <c r="AV344" s="15" t="s">
        <v>162</v>
      </c>
      <c r="AW344" s="15" t="s">
        <v>7320</v>
      </c>
      <c r="AX344" s="15" t="s">
        <v>138</v>
      </c>
      <c r="AY344" s="15" t="s">
        <v>7322</v>
      </c>
      <c r="AZ344" s="15" t="s">
        <v>164</v>
      </c>
      <c r="BA344" s="15" t="s">
        <v>165</v>
      </c>
      <c r="BB344" s="15" t="s">
        <v>7323</v>
      </c>
      <c r="BC344" s="15" t="s">
        <v>7324</v>
      </c>
      <c r="BD344" s="21">
        <v>5</v>
      </c>
      <c r="BE344" s="15" t="s">
        <v>138</v>
      </c>
      <c r="BF344" s="15" t="s">
        <v>138</v>
      </c>
      <c r="BG344" s="15" t="s">
        <v>138</v>
      </c>
      <c r="BH344" s="15" t="s">
        <v>7325</v>
      </c>
      <c r="BI344" s="15" t="s">
        <v>138</v>
      </c>
      <c r="BJ344" s="15" t="s">
        <v>138</v>
      </c>
      <c r="BK344" s="15" t="s">
        <v>7326</v>
      </c>
      <c r="BL344" s="15" t="s">
        <v>138</v>
      </c>
      <c r="BM344" s="22">
        <v>42200</v>
      </c>
      <c r="BN344" s="17">
        <v>0.25</v>
      </c>
      <c r="BO344" s="15" t="s">
        <v>1178</v>
      </c>
      <c r="BP344" s="17" t="s">
        <v>138</v>
      </c>
      <c r="BQ344" s="15" t="s">
        <v>138</v>
      </c>
      <c r="BR344" s="15" t="s">
        <v>176</v>
      </c>
      <c r="BS344" s="15" t="s">
        <v>138</v>
      </c>
      <c r="BT344" s="15" t="s">
        <v>138</v>
      </c>
      <c r="BU344" s="15" t="s">
        <v>177</v>
      </c>
      <c r="BV344" s="15" t="s">
        <v>138</v>
      </c>
      <c r="BW344" s="15" t="s">
        <v>138</v>
      </c>
      <c r="BX344" s="15" t="s">
        <v>138</v>
      </c>
      <c r="BY344" s="15" t="s">
        <v>175</v>
      </c>
      <c r="BZ344" s="22">
        <v>43615</v>
      </c>
      <c r="CA344" s="17">
        <v>23</v>
      </c>
      <c r="CB344" s="15" t="s">
        <v>172</v>
      </c>
      <c r="CC344" s="17" t="s">
        <v>138</v>
      </c>
      <c r="CD344" s="15" t="s">
        <v>138</v>
      </c>
      <c r="CE344" s="15" t="s">
        <v>205</v>
      </c>
      <c r="CF344" s="15" t="s">
        <v>720</v>
      </c>
      <c r="CG344" s="15" t="s">
        <v>138</v>
      </c>
      <c r="CH344" s="15" t="s">
        <v>174</v>
      </c>
      <c r="CI344" s="15" t="s">
        <v>138</v>
      </c>
      <c r="CJ344" s="15" t="s">
        <v>138</v>
      </c>
      <c r="CK344" s="15" t="s">
        <v>138</v>
      </c>
      <c r="CL344" s="15" t="s">
        <v>175</v>
      </c>
      <c r="CM344" s="22" t="s">
        <v>138</v>
      </c>
      <c r="CN344" s="17" t="s">
        <v>138</v>
      </c>
      <c r="CO344" s="23">
        <v>0.61</v>
      </c>
      <c r="CP344" s="24">
        <v>96</v>
      </c>
      <c r="CQ344" s="23">
        <v>0</v>
      </c>
      <c r="CR344" s="23">
        <v>0.21</v>
      </c>
      <c r="CS344" s="23">
        <v>0.1</v>
      </c>
      <c r="CT344" s="24">
        <v>94</v>
      </c>
      <c r="CU344" s="23">
        <v>0.56999999999999995</v>
      </c>
      <c r="CV344" s="24">
        <v>95</v>
      </c>
      <c r="CW344" s="23">
        <v>0.2</v>
      </c>
      <c r="CX344" s="24">
        <v>81</v>
      </c>
      <c r="CY344" s="23">
        <v>0</v>
      </c>
      <c r="CZ344" s="24">
        <v>25</v>
      </c>
      <c r="DA344" s="23">
        <v>0.76</v>
      </c>
      <c r="DB344" s="24">
        <v>97</v>
      </c>
      <c r="DC344" s="25">
        <v>2.65</v>
      </c>
      <c r="DD344" s="24">
        <v>73</v>
      </c>
      <c r="DE344" s="25">
        <v>-0.21</v>
      </c>
      <c r="DF344" s="23">
        <v>-7.37</v>
      </c>
      <c r="DG344" s="25">
        <v>6.11</v>
      </c>
      <c r="DH344" s="24">
        <v>85</v>
      </c>
      <c r="DI344" s="25">
        <v>1.69</v>
      </c>
      <c r="DJ344" s="24">
        <v>59</v>
      </c>
      <c r="DK344" s="25">
        <v>9.8000000000000007</v>
      </c>
      <c r="DL344" s="24">
        <v>86</v>
      </c>
      <c r="DM344" s="25">
        <v>2.41</v>
      </c>
      <c r="DN344" s="24">
        <v>69</v>
      </c>
      <c r="DO344" s="25">
        <v>3.16</v>
      </c>
      <c r="DP344" s="24">
        <v>72</v>
      </c>
      <c r="DQ344" s="24">
        <v>3397</v>
      </c>
      <c r="DR344" s="26">
        <v>-105</v>
      </c>
      <c r="DS344" s="23">
        <v>-3</v>
      </c>
      <c r="DT344" s="24">
        <v>70</v>
      </c>
      <c r="DU344" s="26">
        <v>-1</v>
      </c>
      <c r="DV344" s="23">
        <v>-1.41</v>
      </c>
      <c r="DW344" s="24">
        <v>1129</v>
      </c>
      <c r="DX344" s="27">
        <v>6</v>
      </c>
      <c r="DY344" s="23">
        <v>0.53</v>
      </c>
      <c r="DZ344" s="15" t="s">
        <v>178</v>
      </c>
      <c r="EA344" s="22">
        <v>43622</v>
      </c>
      <c r="EB344" s="17" t="s">
        <v>138</v>
      </c>
      <c r="EC344" s="22" t="s">
        <v>138</v>
      </c>
      <c r="ED344" s="15" t="s">
        <v>138</v>
      </c>
      <c r="EE344" s="14" t="str">
        <f>HYPERLINK("https://my.pitchbook.com?c=143011-18", "View company online")</f>
        <v>View company online</v>
      </c>
    </row>
    <row r="345" spans="1:135">
      <c r="A345" s="28" t="s">
        <v>7327</v>
      </c>
      <c r="B345" s="28" t="s">
        <v>7328</v>
      </c>
      <c r="C345" s="28" t="s">
        <v>138</v>
      </c>
      <c r="D345" s="28" t="s">
        <v>138</v>
      </c>
      <c r="E345" s="28" t="s">
        <v>7329</v>
      </c>
      <c r="F345" s="28" t="s">
        <v>7327</v>
      </c>
      <c r="G345" s="28" t="s">
        <v>7330</v>
      </c>
      <c r="H345" s="28" t="s">
        <v>238</v>
      </c>
      <c r="I345" s="28" t="s">
        <v>269</v>
      </c>
      <c r="J345" s="28" t="s">
        <v>296</v>
      </c>
      <c r="K345" s="28" t="s">
        <v>7331</v>
      </c>
      <c r="L345" s="28" t="s">
        <v>7332</v>
      </c>
      <c r="M345" s="28" t="s">
        <v>7333</v>
      </c>
      <c r="N345" s="28" t="s">
        <v>147</v>
      </c>
      <c r="O345" s="29">
        <v>1.95</v>
      </c>
      <c r="P345" s="28" t="s">
        <v>148</v>
      </c>
      <c r="Q345" s="28" t="s">
        <v>149</v>
      </c>
      <c r="R345" s="28" t="s">
        <v>174</v>
      </c>
      <c r="S345" s="28" t="s">
        <v>7334</v>
      </c>
      <c r="T345" s="30">
        <v>20</v>
      </c>
      <c r="U345" s="28" t="s">
        <v>7335</v>
      </c>
      <c r="V345" s="28" t="s">
        <v>138</v>
      </c>
      <c r="W345" s="28" t="s">
        <v>138</v>
      </c>
      <c r="X345" s="31">
        <v>2015</v>
      </c>
      <c r="Y345" s="28" t="s">
        <v>138</v>
      </c>
      <c r="Z345" s="28" t="s">
        <v>138</v>
      </c>
      <c r="AA345" s="28" t="s">
        <v>138</v>
      </c>
      <c r="AB345" s="32">
        <v>0.03</v>
      </c>
      <c r="AC345" s="32" t="s">
        <v>138</v>
      </c>
      <c r="AD345" s="32" t="s">
        <v>138</v>
      </c>
      <c r="AE345" s="32" t="s">
        <v>138</v>
      </c>
      <c r="AF345" s="32" t="s">
        <v>138</v>
      </c>
      <c r="AG345" s="28" t="s">
        <v>707</v>
      </c>
      <c r="AH345" s="32" t="s">
        <v>138</v>
      </c>
      <c r="AI345" s="32" t="s">
        <v>138</v>
      </c>
      <c r="AJ345" s="32" t="s">
        <v>138</v>
      </c>
      <c r="AK345" s="28" t="s">
        <v>7336</v>
      </c>
      <c r="AL345" s="28" t="s">
        <v>7337</v>
      </c>
      <c r="AM345" s="28" t="s">
        <v>7338</v>
      </c>
      <c r="AN345" s="28" t="s">
        <v>7339</v>
      </c>
      <c r="AO345" s="28" t="s">
        <v>7340</v>
      </c>
      <c r="AP345" s="28" t="s">
        <v>964</v>
      </c>
      <c r="AQ345" s="28" t="s">
        <v>7341</v>
      </c>
      <c r="AR345" s="28" t="s">
        <v>7342</v>
      </c>
      <c r="AS345" s="28" t="s">
        <v>966</v>
      </c>
      <c r="AT345" s="28" t="s">
        <v>200</v>
      </c>
      <c r="AU345" s="28" t="s">
        <v>967</v>
      </c>
      <c r="AV345" s="28" t="s">
        <v>162</v>
      </c>
      <c r="AW345" s="28" t="s">
        <v>7340</v>
      </c>
      <c r="AX345" s="28" t="s">
        <v>138</v>
      </c>
      <c r="AY345" s="28" t="s">
        <v>7343</v>
      </c>
      <c r="AZ345" s="28" t="s">
        <v>164</v>
      </c>
      <c r="BA345" s="28" t="s">
        <v>165</v>
      </c>
      <c r="BB345" s="28" t="s">
        <v>7344</v>
      </c>
      <c r="BC345" s="28" t="s">
        <v>7345</v>
      </c>
      <c r="BD345" s="33">
        <v>6</v>
      </c>
      <c r="BE345" s="28" t="s">
        <v>138</v>
      </c>
      <c r="BF345" s="28" t="s">
        <v>138</v>
      </c>
      <c r="BG345" s="28" t="s">
        <v>138</v>
      </c>
      <c r="BH345" s="28" t="s">
        <v>7346</v>
      </c>
      <c r="BI345" s="28" t="s">
        <v>138</v>
      </c>
      <c r="BJ345" s="28" t="s">
        <v>138</v>
      </c>
      <c r="BK345" s="28" t="s">
        <v>7347</v>
      </c>
      <c r="BL345" s="28" t="s">
        <v>7348</v>
      </c>
      <c r="BM345" s="34" t="s">
        <v>138</v>
      </c>
      <c r="BN345" s="29" t="s">
        <v>138</v>
      </c>
      <c r="BO345" s="28" t="s">
        <v>138</v>
      </c>
      <c r="BP345" s="29" t="s">
        <v>138</v>
      </c>
      <c r="BQ345" s="28" t="s">
        <v>138</v>
      </c>
      <c r="BR345" s="28" t="s">
        <v>316</v>
      </c>
      <c r="BS345" s="28" t="s">
        <v>138</v>
      </c>
      <c r="BT345" s="28" t="s">
        <v>138</v>
      </c>
      <c r="BU345" s="28" t="s">
        <v>177</v>
      </c>
      <c r="BV345" s="28" t="s">
        <v>138</v>
      </c>
      <c r="BW345" s="28" t="s">
        <v>138</v>
      </c>
      <c r="BX345" s="28" t="s">
        <v>138</v>
      </c>
      <c r="BY345" s="28" t="s">
        <v>175</v>
      </c>
      <c r="BZ345" s="34">
        <v>43216</v>
      </c>
      <c r="CA345" s="29">
        <v>0.95</v>
      </c>
      <c r="CB345" s="28" t="s">
        <v>172</v>
      </c>
      <c r="CC345" s="29" t="s">
        <v>138</v>
      </c>
      <c r="CD345" s="28" t="s">
        <v>138</v>
      </c>
      <c r="CE345" s="28" t="s">
        <v>205</v>
      </c>
      <c r="CF345" s="28" t="s">
        <v>7349</v>
      </c>
      <c r="CG345" s="28" t="s">
        <v>138</v>
      </c>
      <c r="CH345" s="28" t="s">
        <v>174</v>
      </c>
      <c r="CI345" s="28" t="s">
        <v>264</v>
      </c>
      <c r="CJ345" s="28" t="s">
        <v>138</v>
      </c>
      <c r="CK345" s="28" t="s">
        <v>138</v>
      </c>
      <c r="CL345" s="28" t="s">
        <v>175</v>
      </c>
      <c r="CM345" s="34" t="s">
        <v>138</v>
      </c>
      <c r="CN345" s="29" t="s">
        <v>138</v>
      </c>
      <c r="CO345" s="35">
        <v>0.56999999999999995</v>
      </c>
      <c r="CP345" s="36">
        <v>95</v>
      </c>
      <c r="CQ345" s="35">
        <v>-0.04</v>
      </c>
      <c r="CR345" s="35">
        <v>-6.85</v>
      </c>
      <c r="CS345" s="35">
        <v>0</v>
      </c>
      <c r="CT345" s="36">
        <v>23</v>
      </c>
      <c r="CU345" s="35">
        <v>1.1299999999999999</v>
      </c>
      <c r="CV345" s="36">
        <v>98</v>
      </c>
      <c r="CW345" s="35" t="s">
        <v>138</v>
      </c>
      <c r="CX345" s="36" t="s">
        <v>138</v>
      </c>
      <c r="CY345" s="35">
        <v>0</v>
      </c>
      <c r="CZ345" s="36">
        <v>25</v>
      </c>
      <c r="DA345" s="35">
        <v>1.79</v>
      </c>
      <c r="DB345" s="36">
        <v>100</v>
      </c>
      <c r="DC345" s="37">
        <v>0.89</v>
      </c>
      <c r="DD345" s="36">
        <v>48</v>
      </c>
      <c r="DE345" s="37">
        <v>-0.02</v>
      </c>
      <c r="DF345" s="35">
        <v>-1.72</v>
      </c>
      <c r="DG345" s="37">
        <v>1.38</v>
      </c>
      <c r="DH345" s="36">
        <v>58</v>
      </c>
      <c r="DI345" s="37">
        <v>0.39</v>
      </c>
      <c r="DJ345" s="36">
        <v>32</v>
      </c>
      <c r="DK345" s="37" t="s">
        <v>138</v>
      </c>
      <c r="DL345" s="36" t="s">
        <v>138</v>
      </c>
      <c r="DM345" s="37">
        <v>1.38</v>
      </c>
      <c r="DN345" s="36">
        <v>58</v>
      </c>
      <c r="DO345" s="37">
        <v>0.57999999999999996</v>
      </c>
      <c r="DP345" s="36">
        <v>40</v>
      </c>
      <c r="DQ345" s="36">
        <v>146</v>
      </c>
      <c r="DR345" s="38">
        <v>-10</v>
      </c>
      <c r="DS345" s="35">
        <v>-6.41</v>
      </c>
      <c r="DT345" s="36">
        <v>40</v>
      </c>
      <c r="DU345" s="38">
        <v>-1</v>
      </c>
      <c r="DV345" s="35">
        <v>-2.44</v>
      </c>
      <c r="DW345" s="36">
        <v>205</v>
      </c>
      <c r="DX345" s="39">
        <v>2</v>
      </c>
      <c r="DY345" s="35">
        <v>0.99</v>
      </c>
      <c r="DZ345" s="28" t="s">
        <v>178</v>
      </c>
      <c r="EA345" s="34">
        <v>43529</v>
      </c>
      <c r="EB345" s="29" t="s">
        <v>138</v>
      </c>
      <c r="EC345" s="34" t="s">
        <v>138</v>
      </c>
      <c r="ED345" s="28" t="s">
        <v>138</v>
      </c>
      <c r="EE345" s="40" t="str">
        <f>HYPERLINK("https://my.pitchbook.com?c=115608-97", "View company online")</f>
        <v>View company online</v>
      </c>
    </row>
    <row r="346" spans="1:135">
      <c r="A346" s="15" t="s">
        <v>7350</v>
      </c>
      <c r="B346" s="15" t="s">
        <v>7351</v>
      </c>
      <c r="C346" s="15" t="s">
        <v>138</v>
      </c>
      <c r="D346" s="15" t="s">
        <v>138</v>
      </c>
      <c r="E346" s="15" t="s">
        <v>7352</v>
      </c>
      <c r="F346" s="15" t="s">
        <v>7350</v>
      </c>
      <c r="G346" s="15" t="s">
        <v>7353</v>
      </c>
      <c r="H346" s="15" t="s">
        <v>322</v>
      </c>
      <c r="I346" s="15" t="s">
        <v>323</v>
      </c>
      <c r="J346" s="15" t="s">
        <v>324</v>
      </c>
      <c r="K346" s="15" t="s">
        <v>7354</v>
      </c>
      <c r="L346" s="15" t="s">
        <v>1021</v>
      </c>
      <c r="M346" s="15" t="s">
        <v>7355</v>
      </c>
      <c r="N346" s="15" t="s">
        <v>147</v>
      </c>
      <c r="O346" s="17">
        <v>15.23</v>
      </c>
      <c r="P346" s="15" t="s">
        <v>148</v>
      </c>
      <c r="Q346" s="15" t="s">
        <v>149</v>
      </c>
      <c r="R346" s="15" t="s">
        <v>174</v>
      </c>
      <c r="S346" s="15" t="s">
        <v>7356</v>
      </c>
      <c r="T346" s="18">
        <v>9</v>
      </c>
      <c r="U346" s="15" t="s">
        <v>7357</v>
      </c>
      <c r="V346" s="15" t="s">
        <v>138</v>
      </c>
      <c r="W346" s="15" t="s">
        <v>138</v>
      </c>
      <c r="X346" s="19">
        <v>2014</v>
      </c>
      <c r="Y346" s="15" t="s">
        <v>138</v>
      </c>
      <c r="Z346" s="15" t="s">
        <v>138</v>
      </c>
      <c r="AA346" s="15" t="s">
        <v>138</v>
      </c>
      <c r="AB346" s="20" t="s">
        <v>138</v>
      </c>
      <c r="AC346" s="20" t="s">
        <v>138</v>
      </c>
      <c r="AD346" s="20" t="s">
        <v>138</v>
      </c>
      <c r="AE346" s="20" t="s">
        <v>138</v>
      </c>
      <c r="AF346" s="20" t="s">
        <v>138</v>
      </c>
      <c r="AG346" s="15" t="s">
        <v>138</v>
      </c>
      <c r="AH346" s="20" t="s">
        <v>138</v>
      </c>
      <c r="AI346" s="20" t="s">
        <v>138</v>
      </c>
      <c r="AJ346" s="20" t="s">
        <v>138</v>
      </c>
      <c r="AK346" s="15" t="s">
        <v>7358</v>
      </c>
      <c r="AL346" s="15" t="s">
        <v>7359</v>
      </c>
      <c r="AM346" s="15" t="s">
        <v>422</v>
      </c>
      <c r="AN346" s="15" t="s">
        <v>7360</v>
      </c>
      <c r="AO346" s="15" t="s">
        <v>138</v>
      </c>
      <c r="AP346" s="15" t="s">
        <v>665</v>
      </c>
      <c r="AQ346" s="15" t="s">
        <v>7361</v>
      </c>
      <c r="AR346" s="15" t="s">
        <v>6298</v>
      </c>
      <c r="AS346" s="15" t="s">
        <v>668</v>
      </c>
      <c r="AT346" s="15" t="s">
        <v>200</v>
      </c>
      <c r="AU346" s="15" t="s">
        <v>1893</v>
      </c>
      <c r="AV346" s="15" t="s">
        <v>162</v>
      </c>
      <c r="AW346" s="15" t="s">
        <v>138</v>
      </c>
      <c r="AX346" s="15" t="s">
        <v>138</v>
      </c>
      <c r="AY346" s="15" t="s">
        <v>7362</v>
      </c>
      <c r="AZ346" s="15" t="s">
        <v>164</v>
      </c>
      <c r="BA346" s="15" t="s">
        <v>165</v>
      </c>
      <c r="BB346" s="15" t="s">
        <v>7363</v>
      </c>
      <c r="BC346" s="15" t="s">
        <v>7364</v>
      </c>
      <c r="BD346" s="21">
        <v>23</v>
      </c>
      <c r="BE346" s="15" t="s">
        <v>138</v>
      </c>
      <c r="BF346" s="15" t="s">
        <v>138</v>
      </c>
      <c r="BG346" s="15" t="s">
        <v>138</v>
      </c>
      <c r="BH346" s="15" t="s">
        <v>7365</v>
      </c>
      <c r="BI346" s="15" t="s">
        <v>138</v>
      </c>
      <c r="BJ346" s="15" t="s">
        <v>138</v>
      </c>
      <c r="BK346" s="15" t="s">
        <v>7366</v>
      </c>
      <c r="BL346" s="15" t="s">
        <v>1251</v>
      </c>
      <c r="BM346" s="22">
        <v>41821</v>
      </c>
      <c r="BN346" s="17">
        <v>0.55000000000000004</v>
      </c>
      <c r="BO346" s="15" t="s">
        <v>172</v>
      </c>
      <c r="BP346" s="17" t="s">
        <v>138</v>
      </c>
      <c r="BQ346" s="15" t="s">
        <v>138</v>
      </c>
      <c r="BR346" s="15" t="s">
        <v>234</v>
      </c>
      <c r="BS346" s="15" t="s">
        <v>234</v>
      </c>
      <c r="BT346" s="15" t="s">
        <v>138</v>
      </c>
      <c r="BU346" s="15" t="s">
        <v>174</v>
      </c>
      <c r="BV346" s="15" t="s">
        <v>138</v>
      </c>
      <c r="BW346" s="15" t="s">
        <v>138</v>
      </c>
      <c r="BX346" s="15" t="s">
        <v>138</v>
      </c>
      <c r="BY346" s="15" t="s">
        <v>175</v>
      </c>
      <c r="BZ346" s="22">
        <v>43563</v>
      </c>
      <c r="CA346" s="17">
        <v>11.3</v>
      </c>
      <c r="CB346" s="15" t="s">
        <v>1178</v>
      </c>
      <c r="CC346" s="17">
        <v>37.299999999999997</v>
      </c>
      <c r="CD346" s="15" t="s">
        <v>172</v>
      </c>
      <c r="CE346" s="15" t="s">
        <v>205</v>
      </c>
      <c r="CF346" s="15" t="s">
        <v>138</v>
      </c>
      <c r="CG346" s="15" t="s">
        <v>138</v>
      </c>
      <c r="CH346" s="15" t="s">
        <v>174</v>
      </c>
      <c r="CI346" s="15" t="s">
        <v>138</v>
      </c>
      <c r="CJ346" s="15" t="s">
        <v>138</v>
      </c>
      <c r="CK346" s="15" t="s">
        <v>138</v>
      </c>
      <c r="CL346" s="15" t="s">
        <v>175</v>
      </c>
      <c r="CM346" s="22" t="s">
        <v>138</v>
      </c>
      <c r="CN346" s="17" t="s">
        <v>138</v>
      </c>
      <c r="CO346" s="23">
        <v>-0.17</v>
      </c>
      <c r="CP346" s="24">
        <v>20</v>
      </c>
      <c r="CQ346" s="23">
        <v>0</v>
      </c>
      <c r="CR346" s="23">
        <v>0.42</v>
      </c>
      <c r="CS346" s="23">
        <v>-0.28999999999999998</v>
      </c>
      <c r="CT346" s="24">
        <v>21</v>
      </c>
      <c r="CU346" s="23">
        <v>-0.05</v>
      </c>
      <c r="CV346" s="24">
        <v>9</v>
      </c>
      <c r="CW346" s="23">
        <v>0.01</v>
      </c>
      <c r="CX346" s="24">
        <v>80</v>
      </c>
      <c r="CY346" s="23">
        <v>-0.59</v>
      </c>
      <c r="CZ346" s="24">
        <v>22</v>
      </c>
      <c r="DA346" s="23">
        <v>-7.0000000000000007E-2</v>
      </c>
      <c r="DB346" s="24">
        <v>9</v>
      </c>
      <c r="DC346" s="25">
        <v>8.89</v>
      </c>
      <c r="DD346" s="24">
        <v>89</v>
      </c>
      <c r="DE346" s="25">
        <v>-0.04</v>
      </c>
      <c r="DF346" s="23">
        <v>-0.47</v>
      </c>
      <c r="DG346" s="25">
        <v>3.18</v>
      </c>
      <c r="DH346" s="24">
        <v>76</v>
      </c>
      <c r="DI346" s="25">
        <v>14.6</v>
      </c>
      <c r="DJ346" s="24">
        <v>88</v>
      </c>
      <c r="DK346" s="25">
        <v>2.15</v>
      </c>
      <c r="DL346" s="24">
        <v>66</v>
      </c>
      <c r="DM346" s="25">
        <v>4.21</v>
      </c>
      <c r="DN346" s="24">
        <v>79</v>
      </c>
      <c r="DO346" s="25">
        <v>23.78</v>
      </c>
      <c r="DP346" s="24">
        <v>93</v>
      </c>
      <c r="DQ346" s="24">
        <v>778</v>
      </c>
      <c r="DR346" s="26">
        <v>-123</v>
      </c>
      <c r="DS346" s="23">
        <v>-13.65</v>
      </c>
      <c r="DT346" s="24">
        <v>122</v>
      </c>
      <c r="DU346" s="26">
        <v>0</v>
      </c>
      <c r="DV346" s="23">
        <v>0</v>
      </c>
      <c r="DW346" s="24">
        <v>8518</v>
      </c>
      <c r="DX346" s="27">
        <v>-3</v>
      </c>
      <c r="DY346" s="23">
        <v>-0.04</v>
      </c>
      <c r="DZ346" s="15" t="s">
        <v>178</v>
      </c>
      <c r="EA346" s="22">
        <v>43622</v>
      </c>
      <c r="EB346" s="17">
        <v>37.299999999999997</v>
      </c>
      <c r="EC346" s="22">
        <v>43563</v>
      </c>
      <c r="ED346" s="15" t="s">
        <v>205</v>
      </c>
      <c r="EE346" s="14" t="str">
        <f>HYPERLINK("https://my.pitchbook.com?c=92599-21", "View company online")</f>
        <v>View company online</v>
      </c>
    </row>
    <row r="347" spans="1:135">
      <c r="A347" s="28" t="s">
        <v>7367</v>
      </c>
      <c r="B347" s="28" t="s">
        <v>7368</v>
      </c>
      <c r="C347" s="28" t="s">
        <v>7369</v>
      </c>
      <c r="D347" s="28" t="s">
        <v>7370</v>
      </c>
      <c r="E347" s="28" t="s">
        <v>138</v>
      </c>
      <c r="F347" s="28" t="s">
        <v>7367</v>
      </c>
      <c r="G347" s="28" t="s">
        <v>7371</v>
      </c>
      <c r="H347" s="28" t="s">
        <v>141</v>
      </c>
      <c r="I347" s="28" t="s">
        <v>212</v>
      </c>
      <c r="J347" s="28" t="s">
        <v>2483</v>
      </c>
      <c r="K347" s="28" t="s">
        <v>7372</v>
      </c>
      <c r="L347" s="28" t="s">
        <v>5328</v>
      </c>
      <c r="M347" s="28" t="s">
        <v>7373</v>
      </c>
      <c r="N347" s="28" t="s">
        <v>147</v>
      </c>
      <c r="O347" s="29">
        <v>33</v>
      </c>
      <c r="P347" s="28" t="s">
        <v>148</v>
      </c>
      <c r="Q347" s="28" t="s">
        <v>149</v>
      </c>
      <c r="R347" s="28" t="s">
        <v>174</v>
      </c>
      <c r="S347" s="28" t="s">
        <v>7374</v>
      </c>
      <c r="T347" s="30" t="s">
        <v>138</v>
      </c>
      <c r="U347" s="28" t="s">
        <v>138</v>
      </c>
      <c r="V347" s="28" t="s">
        <v>138</v>
      </c>
      <c r="W347" s="28" t="s">
        <v>138</v>
      </c>
      <c r="X347" s="31">
        <v>2012</v>
      </c>
      <c r="Y347" s="28" t="s">
        <v>138</v>
      </c>
      <c r="Z347" s="28" t="s">
        <v>138</v>
      </c>
      <c r="AA347" s="28" t="s">
        <v>138</v>
      </c>
      <c r="AB347" s="32" t="s">
        <v>138</v>
      </c>
      <c r="AC347" s="32" t="s">
        <v>138</v>
      </c>
      <c r="AD347" s="32" t="s">
        <v>138</v>
      </c>
      <c r="AE347" s="32" t="s">
        <v>138</v>
      </c>
      <c r="AF347" s="32" t="s">
        <v>138</v>
      </c>
      <c r="AG347" s="28" t="s">
        <v>138</v>
      </c>
      <c r="AH347" s="32" t="s">
        <v>138</v>
      </c>
      <c r="AI347" s="32" t="s">
        <v>138</v>
      </c>
      <c r="AJ347" s="32" t="s">
        <v>138</v>
      </c>
      <c r="AK347" s="28" t="s">
        <v>7375</v>
      </c>
      <c r="AL347" s="28" t="s">
        <v>7376</v>
      </c>
      <c r="AM347" s="28" t="s">
        <v>7377</v>
      </c>
      <c r="AN347" s="28" t="s">
        <v>7378</v>
      </c>
      <c r="AO347" s="28" t="s">
        <v>7379</v>
      </c>
      <c r="AP347" s="28" t="s">
        <v>3136</v>
      </c>
      <c r="AQ347" s="28" t="s">
        <v>7380</v>
      </c>
      <c r="AR347" s="28" t="s">
        <v>138</v>
      </c>
      <c r="AS347" s="28" t="s">
        <v>3139</v>
      </c>
      <c r="AT347" s="28" t="s">
        <v>3140</v>
      </c>
      <c r="AU347" s="28" t="s">
        <v>7381</v>
      </c>
      <c r="AV347" s="28" t="s">
        <v>162</v>
      </c>
      <c r="AW347" s="28" t="s">
        <v>7379</v>
      </c>
      <c r="AX347" s="28" t="s">
        <v>138</v>
      </c>
      <c r="AY347" s="28" t="s">
        <v>7382</v>
      </c>
      <c r="AZ347" s="28" t="s">
        <v>164</v>
      </c>
      <c r="BA347" s="28" t="s">
        <v>165</v>
      </c>
      <c r="BB347" s="28" t="s">
        <v>7383</v>
      </c>
      <c r="BC347" s="28" t="s">
        <v>7384</v>
      </c>
      <c r="BD347" s="33">
        <v>9</v>
      </c>
      <c r="BE347" s="28" t="s">
        <v>138</v>
      </c>
      <c r="BF347" s="28" t="s">
        <v>138</v>
      </c>
      <c r="BG347" s="28" t="s">
        <v>138</v>
      </c>
      <c r="BH347" s="28" t="s">
        <v>7385</v>
      </c>
      <c r="BI347" s="28" t="s">
        <v>138</v>
      </c>
      <c r="BJ347" s="28" t="s">
        <v>138</v>
      </c>
      <c r="BK347" s="28" t="s">
        <v>138</v>
      </c>
      <c r="BL347" s="28" t="s">
        <v>138</v>
      </c>
      <c r="BM347" s="34">
        <v>41640</v>
      </c>
      <c r="BN347" s="29">
        <v>0.77</v>
      </c>
      <c r="BO347" s="28" t="s">
        <v>172</v>
      </c>
      <c r="BP347" s="29" t="s">
        <v>138</v>
      </c>
      <c r="BQ347" s="28" t="s">
        <v>138</v>
      </c>
      <c r="BR347" s="28" t="s">
        <v>176</v>
      </c>
      <c r="BS347" s="28" t="s">
        <v>138</v>
      </c>
      <c r="BT347" s="28" t="s">
        <v>138</v>
      </c>
      <c r="BU347" s="28" t="s">
        <v>177</v>
      </c>
      <c r="BV347" s="28" t="s">
        <v>138</v>
      </c>
      <c r="BW347" s="28" t="s">
        <v>138</v>
      </c>
      <c r="BX347" s="28" t="s">
        <v>138</v>
      </c>
      <c r="BY347" s="28" t="s">
        <v>175</v>
      </c>
      <c r="BZ347" s="34">
        <v>43500</v>
      </c>
      <c r="CA347" s="29">
        <v>33</v>
      </c>
      <c r="CB347" s="28" t="s">
        <v>172</v>
      </c>
      <c r="CC347" s="29">
        <v>100</v>
      </c>
      <c r="CD347" s="28" t="s">
        <v>172</v>
      </c>
      <c r="CE347" s="28" t="s">
        <v>173</v>
      </c>
      <c r="CF347" s="28" t="s">
        <v>206</v>
      </c>
      <c r="CG347" s="28" t="s">
        <v>138</v>
      </c>
      <c r="CH347" s="28" t="s">
        <v>174</v>
      </c>
      <c r="CI347" s="28" t="s">
        <v>138</v>
      </c>
      <c r="CJ347" s="28" t="s">
        <v>138</v>
      </c>
      <c r="CK347" s="28" t="s">
        <v>138</v>
      </c>
      <c r="CL347" s="28" t="s">
        <v>175</v>
      </c>
      <c r="CM347" s="34" t="s">
        <v>138</v>
      </c>
      <c r="CN347" s="29" t="s">
        <v>138</v>
      </c>
      <c r="CO347" s="35">
        <v>3.14</v>
      </c>
      <c r="CP347" s="36">
        <v>100</v>
      </c>
      <c r="CQ347" s="35">
        <v>0</v>
      </c>
      <c r="CR347" s="35">
        <v>0</v>
      </c>
      <c r="CS347" s="35">
        <v>3.14</v>
      </c>
      <c r="CT347" s="36">
        <v>99</v>
      </c>
      <c r="CU347" s="35" t="s">
        <v>138</v>
      </c>
      <c r="CV347" s="36" t="s">
        <v>138</v>
      </c>
      <c r="CW347" s="35" t="s">
        <v>138</v>
      </c>
      <c r="CX347" s="36" t="s">
        <v>138</v>
      </c>
      <c r="CY347" s="35">
        <v>3.14</v>
      </c>
      <c r="CZ347" s="36">
        <v>100</v>
      </c>
      <c r="DA347" s="35" t="s">
        <v>138</v>
      </c>
      <c r="DB347" s="36" t="s">
        <v>138</v>
      </c>
      <c r="DC347" s="37">
        <v>4.41</v>
      </c>
      <c r="DD347" s="36">
        <v>81</v>
      </c>
      <c r="DE347" s="37">
        <v>0.1</v>
      </c>
      <c r="DF347" s="35">
        <v>2.4</v>
      </c>
      <c r="DG347" s="37">
        <v>4.41</v>
      </c>
      <c r="DH347" s="36">
        <v>81</v>
      </c>
      <c r="DI347" s="37" t="s">
        <v>138</v>
      </c>
      <c r="DJ347" s="36" t="s">
        <v>138</v>
      </c>
      <c r="DK347" s="37" t="s">
        <v>138</v>
      </c>
      <c r="DL347" s="36" t="s">
        <v>138</v>
      </c>
      <c r="DM347" s="37">
        <v>4.41</v>
      </c>
      <c r="DN347" s="36">
        <v>80</v>
      </c>
      <c r="DO347" s="37" t="s">
        <v>138</v>
      </c>
      <c r="DP347" s="36" t="s">
        <v>138</v>
      </c>
      <c r="DQ347" s="36" t="s">
        <v>138</v>
      </c>
      <c r="DR347" s="38" t="s">
        <v>138</v>
      </c>
      <c r="DS347" s="35" t="s">
        <v>138</v>
      </c>
      <c r="DT347" s="36">
        <v>127</v>
      </c>
      <c r="DU347" s="38">
        <v>0</v>
      </c>
      <c r="DV347" s="35">
        <v>0</v>
      </c>
      <c r="DW347" s="36" t="s">
        <v>138</v>
      </c>
      <c r="DX347" s="39" t="s">
        <v>138</v>
      </c>
      <c r="DY347" s="35" t="s">
        <v>138</v>
      </c>
      <c r="DZ347" s="28" t="s">
        <v>178</v>
      </c>
      <c r="EA347" s="34">
        <v>43622</v>
      </c>
      <c r="EB347" s="29">
        <v>100</v>
      </c>
      <c r="EC347" s="34">
        <v>43500</v>
      </c>
      <c r="ED347" s="28" t="s">
        <v>173</v>
      </c>
      <c r="EE347" s="40" t="str">
        <f>HYPERLINK("https://my.pitchbook.com?c=183747-88", "View company online")</f>
        <v>View company online</v>
      </c>
    </row>
    <row r="348" spans="1:135">
      <c r="A348" s="15" t="s">
        <v>7386</v>
      </c>
      <c r="B348" s="15" t="s">
        <v>7387</v>
      </c>
      <c r="C348" s="15" t="s">
        <v>138</v>
      </c>
      <c r="D348" s="15" t="s">
        <v>138</v>
      </c>
      <c r="E348" s="15" t="s">
        <v>7388</v>
      </c>
      <c r="F348" s="15" t="s">
        <v>7386</v>
      </c>
      <c r="G348" s="15" t="s">
        <v>7389</v>
      </c>
      <c r="H348" s="15" t="s">
        <v>322</v>
      </c>
      <c r="I348" s="15" t="s">
        <v>323</v>
      </c>
      <c r="J348" s="15" t="s">
        <v>437</v>
      </c>
      <c r="K348" s="15" t="s">
        <v>7390</v>
      </c>
      <c r="L348" s="15" t="s">
        <v>7391</v>
      </c>
      <c r="M348" s="15" t="s">
        <v>7392</v>
      </c>
      <c r="N348" s="15" t="s">
        <v>147</v>
      </c>
      <c r="O348" s="17">
        <v>89.2</v>
      </c>
      <c r="P348" s="15" t="s">
        <v>148</v>
      </c>
      <c r="Q348" s="15" t="s">
        <v>149</v>
      </c>
      <c r="R348" s="15" t="s">
        <v>174</v>
      </c>
      <c r="S348" s="15" t="s">
        <v>7393</v>
      </c>
      <c r="T348" s="18">
        <v>50</v>
      </c>
      <c r="U348" s="15" t="s">
        <v>7394</v>
      </c>
      <c r="V348" s="15" t="s">
        <v>138</v>
      </c>
      <c r="W348" s="15" t="s">
        <v>138</v>
      </c>
      <c r="X348" s="19">
        <v>2012</v>
      </c>
      <c r="Y348" s="15" t="s">
        <v>138</v>
      </c>
      <c r="Z348" s="15" t="s">
        <v>138</v>
      </c>
      <c r="AA348" s="15" t="s">
        <v>138</v>
      </c>
      <c r="AB348" s="20" t="s">
        <v>138</v>
      </c>
      <c r="AC348" s="20" t="s">
        <v>138</v>
      </c>
      <c r="AD348" s="20" t="s">
        <v>138</v>
      </c>
      <c r="AE348" s="20" t="s">
        <v>138</v>
      </c>
      <c r="AF348" s="20" t="s">
        <v>138</v>
      </c>
      <c r="AG348" s="15" t="s">
        <v>138</v>
      </c>
      <c r="AH348" s="20" t="s">
        <v>138</v>
      </c>
      <c r="AI348" s="20" t="s">
        <v>138</v>
      </c>
      <c r="AJ348" s="20" t="s">
        <v>138</v>
      </c>
      <c r="AK348" s="15" t="s">
        <v>7395</v>
      </c>
      <c r="AL348" s="15" t="s">
        <v>7396</v>
      </c>
      <c r="AM348" s="15" t="s">
        <v>304</v>
      </c>
      <c r="AN348" s="15" t="s">
        <v>7397</v>
      </c>
      <c r="AO348" s="15" t="s">
        <v>138</v>
      </c>
      <c r="AP348" s="15" t="s">
        <v>1870</v>
      </c>
      <c r="AQ348" s="15" t="s">
        <v>7398</v>
      </c>
      <c r="AR348" s="15" t="s">
        <v>138</v>
      </c>
      <c r="AS348" s="15" t="s">
        <v>1872</v>
      </c>
      <c r="AT348" s="15" t="s">
        <v>200</v>
      </c>
      <c r="AU348" s="15" t="s">
        <v>7399</v>
      </c>
      <c r="AV348" s="15" t="s">
        <v>162</v>
      </c>
      <c r="AW348" s="15" t="s">
        <v>138</v>
      </c>
      <c r="AX348" s="15" t="s">
        <v>138</v>
      </c>
      <c r="AY348" s="15" t="s">
        <v>7400</v>
      </c>
      <c r="AZ348" s="15" t="s">
        <v>164</v>
      </c>
      <c r="BA348" s="15" t="s">
        <v>165</v>
      </c>
      <c r="BB348" s="15" t="s">
        <v>7401</v>
      </c>
      <c r="BC348" s="15" t="s">
        <v>7402</v>
      </c>
      <c r="BD348" s="21">
        <v>12</v>
      </c>
      <c r="BE348" s="15" t="s">
        <v>138</v>
      </c>
      <c r="BF348" s="15" t="s">
        <v>138</v>
      </c>
      <c r="BG348" s="15" t="s">
        <v>138</v>
      </c>
      <c r="BH348" s="15" t="s">
        <v>7403</v>
      </c>
      <c r="BI348" s="15" t="s">
        <v>138</v>
      </c>
      <c r="BJ348" s="15" t="s">
        <v>138</v>
      </c>
      <c r="BK348" s="15" t="s">
        <v>7404</v>
      </c>
      <c r="BL348" s="15" t="s">
        <v>7405</v>
      </c>
      <c r="BM348" s="22">
        <v>41778</v>
      </c>
      <c r="BN348" s="17">
        <v>4.2</v>
      </c>
      <c r="BO348" s="15" t="s">
        <v>172</v>
      </c>
      <c r="BP348" s="17">
        <v>16.2</v>
      </c>
      <c r="BQ348" s="15" t="s">
        <v>172</v>
      </c>
      <c r="BR348" s="15" t="s">
        <v>205</v>
      </c>
      <c r="BS348" s="15" t="s">
        <v>206</v>
      </c>
      <c r="BT348" s="15" t="s">
        <v>138</v>
      </c>
      <c r="BU348" s="15" t="s">
        <v>174</v>
      </c>
      <c r="BV348" s="15" t="s">
        <v>138</v>
      </c>
      <c r="BW348" s="15" t="s">
        <v>138</v>
      </c>
      <c r="BX348" s="15" t="s">
        <v>138</v>
      </c>
      <c r="BY348" s="15" t="s">
        <v>175</v>
      </c>
      <c r="BZ348" s="22">
        <v>43586</v>
      </c>
      <c r="CA348" s="17">
        <v>35</v>
      </c>
      <c r="CB348" s="15" t="s">
        <v>1178</v>
      </c>
      <c r="CC348" s="17">
        <v>185</v>
      </c>
      <c r="CD348" s="15" t="s">
        <v>172</v>
      </c>
      <c r="CE348" s="15" t="s">
        <v>173</v>
      </c>
      <c r="CF348" s="15" t="s">
        <v>433</v>
      </c>
      <c r="CG348" s="15" t="s">
        <v>138</v>
      </c>
      <c r="CH348" s="15" t="s">
        <v>174</v>
      </c>
      <c r="CI348" s="15" t="s">
        <v>138</v>
      </c>
      <c r="CJ348" s="15" t="s">
        <v>138</v>
      </c>
      <c r="CK348" s="15" t="s">
        <v>138</v>
      </c>
      <c r="CL348" s="15" t="s">
        <v>175</v>
      </c>
      <c r="CM348" s="22" t="s">
        <v>138</v>
      </c>
      <c r="CN348" s="17" t="s">
        <v>138</v>
      </c>
      <c r="CO348" s="23">
        <v>0.37</v>
      </c>
      <c r="CP348" s="24">
        <v>94</v>
      </c>
      <c r="CQ348" s="23">
        <v>7.0000000000000007E-2</v>
      </c>
      <c r="CR348" s="23">
        <v>22.4</v>
      </c>
      <c r="CS348" s="23">
        <v>0.7</v>
      </c>
      <c r="CT348" s="24">
        <v>96</v>
      </c>
      <c r="CU348" s="23">
        <v>0.04</v>
      </c>
      <c r="CV348" s="24">
        <v>56</v>
      </c>
      <c r="CW348" s="23">
        <v>3.4</v>
      </c>
      <c r="CX348" s="24">
        <v>92</v>
      </c>
      <c r="CY348" s="23">
        <v>-2</v>
      </c>
      <c r="CZ348" s="24">
        <v>11</v>
      </c>
      <c r="DA348" s="23">
        <v>0.08</v>
      </c>
      <c r="DB348" s="24">
        <v>69</v>
      </c>
      <c r="DC348" s="25">
        <v>20.41</v>
      </c>
      <c r="DD348" s="24">
        <v>95</v>
      </c>
      <c r="DE348" s="25">
        <v>-0.73</v>
      </c>
      <c r="DF348" s="23">
        <v>-3.47</v>
      </c>
      <c r="DG348" s="25">
        <v>13.96</v>
      </c>
      <c r="DH348" s="24">
        <v>92</v>
      </c>
      <c r="DI348" s="25">
        <v>26.86</v>
      </c>
      <c r="DJ348" s="24">
        <v>92</v>
      </c>
      <c r="DK348" s="25">
        <v>23.85</v>
      </c>
      <c r="DL348" s="24">
        <v>93</v>
      </c>
      <c r="DM348" s="25">
        <v>4.07</v>
      </c>
      <c r="DN348" s="24">
        <v>78</v>
      </c>
      <c r="DO348" s="25">
        <v>24.09</v>
      </c>
      <c r="DP348" s="24">
        <v>93</v>
      </c>
      <c r="DQ348" s="24">
        <v>8144</v>
      </c>
      <c r="DR348" s="26">
        <v>111</v>
      </c>
      <c r="DS348" s="23">
        <v>1.38</v>
      </c>
      <c r="DT348" s="24">
        <v>118</v>
      </c>
      <c r="DU348" s="26">
        <v>0</v>
      </c>
      <c r="DV348" s="23">
        <v>0</v>
      </c>
      <c r="DW348" s="24">
        <v>8621</v>
      </c>
      <c r="DX348" s="27">
        <v>6</v>
      </c>
      <c r="DY348" s="23">
        <v>7.0000000000000007E-2</v>
      </c>
      <c r="DZ348" s="15" t="s">
        <v>178</v>
      </c>
      <c r="EA348" s="22">
        <v>43622</v>
      </c>
      <c r="EB348" s="17">
        <v>185</v>
      </c>
      <c r="EC348" s="22">
        <v>43586</v>
      </c>
      <c r="ED348" s="15" t="s">
        <v>173</v>
      </c>
      <c r="EE348" s="14" t="str">
        <f>HYPERLINK("https://my.pitchbook.com?c=63262-99", "View company online")</f>
        <v>View company online</v>
      </c>
    </row>
    <row r="349" spans="1:135">
      <c r="A349" s="28" t="s">
        <v>7406</v>
      </c>
      <c r="B349" s="28" t="s">
        <v>7407</v>
      </c>
      <c r="C349" s="28" t="s">
        <v>138</v>
      </c>
      <c r="D349" s="28" t="s">
        <v>138</v>
      </c>
      <c r="E349" s="28" t="s">
        <v>7408</v>
      </c>
      <c r="F349" s="28" t="s">
        <v>7406</v>
      </c>
      <c r="G349" s="28" t="s">
        <v>7409</v>
      </c>
      <c r="H349" s="28" t="s">
        <v>890</v>
      </c>
      <c r="I349" s="28" t="s">
        <v>7410</v>
      </c>
      <c r="J349" s="28" t="s">
        <v>7411</v>
      </c>
      <c r="K349" s="28" t="s">
        <v>7412</v>
      </c>
      <c r="L349" s="28" t="s">
        <v>5614</v>
      </c>
      <c r="M349" s="28" t="s">
        <v>7413</v>
      </c>
      <c r="N349" s="28" t="s">
        <v>147</v>
      </c>
      <c r="O349" s="29">
        <v>25.62</v>
      </c>
      <c r="P349" s="28" t="s">
        <v>610</v>
      </c>
      <c r="Q349" s="28" t="s">
        <v>149</v>
      </c>
      <c r="R349" s="28" t="s">
        <v>174</v>
      </c>
      <c r="S349" s="28" t="s">
        <v>7414</v>
      </c>
      <c r="T349" s="30">
        <v>11</v>
      </c>
      <c r="U349" s="28" t="s">
        <v>1356</v>
      </c>
      <c r="V349" s="28" t="s">
        <v>138</v>
      </c>
      <c r="W349" s="28" t="s">
        <v>138</v>
      </c>
      <c r="X349" s="31">
        <v>2013</v>
      </c>
      <c r="Y349" s="28" t="s">
        <v>138</v>
      </c>
      <c r="Z349" s="28" t="s">
        <v>138</v>
      </c>
      <c r="AA349" s="28" t="s">
        <v>138</v>
      </c>
      <c r="AB349" s="32" t="s">
        <v>138</v>
      </c>
      <c r="AC349" s="32" t="s">
        <v>138</v>
      </c>
      <c r="AD349" s="32" t="s">
        <v>138</v>
      </c>
      <c r="AE349" s="32" t="s">
        <v>138</v>
      </c>
      <c r="AF349" s="32" t="s">
        <v>138</v>
      </c>
      <c r="AG349" s="28" t="s">
        <v>138</v>
      </c>
      <c r="AH349" s="32" t="s">
        <v>138</v>
      </c>
      <c r="AI349" s="32" t="s">
        <v>138</v>
      </c>
      <c r="AJ349" s="32" t="s">
        <v>138</v>
      </c>
      <c r="AK349" s="28" t="s">
        <v>7415</v>
      </c>
      <c r="AL349" s="28" t="s">
        <v>7416</v>
      </c>
      <c r="AM349" s="28" t="s">
        <v>304</v>
      </c>
      <c r="AN349" s="28" t="s">
        <v>7417</v>
      </c>
      <c r="AO349" s="28" t="s">
        <v>138</v>
      </c>
      <c r="AP349" s="28" t="s">
        <v>423</v>
      </c>
      <c r="AQ349" s="28" t="s">
        <v>7418</v>
      </c>
      <c r="AR349" s="28" t="s">
        <v>138</v>
      </c>
      <c r="AS349" s="28" t="s">
        <v>426</v>
      </c>
      <c r="AT349" s="28" t="s">
        <v>426</v>
      </c>
      <c r="AU349" s="28" t="s">
        <v>714</v>
      </c>
      <c r="AV349" s="28" t="s">
        <v>162</v>
      </c>
      <c r="AW349" s="28" t="s">
        <v>138</v>
      </c>
      <c r="AX349" s="28" t="s">
        <v>138</v>
      </c>
      <c r="AY349" s="28" t="s">
        <v>7419</v>
      </c>
      <c r="AZ349" s="28" t="s">
        <v>164</v>
      </c>
      <c r="BA349" s="28" t="s">
        <v>165</v>
      </c>
      <c r="BB349" s="28" t="s">
        <v>7420</v>
      </c>
      <c r="BC349" s="28" t="s">
        <v>7421</v>
      </c>
      <c r="BD349" s="33">
        <v>14</v>
      </c>
      <c r="BE349" s="28" t="s">
        <v>138</v>
      </c>
      <c r="BF349" s="28" t="s">
        <v>138</v>
      </c>
      <c r="BG349" s="28" t="s">
        <v>138</v>
      </c>
      <c r="BH349" s="28" t="s">
        <v>7422</v>
      </c>
      <c r="BI349" s="28" t="s">
        <v>138</v>
      </c>
      <c r="BJ349" s="28" t="s">
        <v>138</v>
      </c>
      <c r="BK349" s="28" t="s">
        <v>138</v>
      </c>
      <c r="BL349" s="28" t="s">
        <v>138</v>
      </c>
      <c r="BM349" s="34">
        <v>42030</v>
      </c>
      <c r="BN349" s="29">
        <v>2.62</v>
      </c>
      <c r="BO349" s="28" t="s">
        <v>172</v>
      </c>
      <c r="BP349" s="29">
        <v>4.92</v>
      </c>
      <c r="BQ349" s="28" t="s">
        <v>172</v>
      </c>
      <c r="BR349" s="28" t="s">
        <v>234</v>
      </c>
      <c r="BS349" s="28" t="s">
        <v>234</v>
      </c>
      <c r="BT349" s="28" t="s">
        <v>138</v>
      </c>
      <c r="BU349" s="28" t="s">
        <v>174</v>
      </c>
      <c r="BV349" s="28" t="s">
        <v>138</v>
      </c>
      <c r="BW349" s="28" t="s">
        <v>138</v>
      </c>
      <c r="BX349" s="28" t="s">
        <v>138</v>
      </c>
      <c r="BY349" s="28" t="s">
        <v>175</v>
      </c>
      <c r="BZ349" s="34">
        <v>43374</v>
      </c>
      <c r="CA349" s="29">
        <v>15</v>
      </c>
      <c r="CB349" s="28" t="s">
        <v>1178</v>
      </c>
      <c r="CC349" s="29">
        <v>59</v>
      </c>
      <c r="CD349" s="28" t="s">
        <v>172</v>
      </c>
      <c r="CE349" s="28" t="s">
        <v>205</v>
      </c>
      <c r="CF349" s="28" t="s">
        <v>720</v>
      </c>
      <c r="CG349" s="28" t="s">
        <v>138</v>
      </c>
      <c r="CH349" s="28" t="s">
        <v>174</v>
      </c>
      <c r="CI349" s="28" t="s">
        <v>138</v>
      </c>
      <c r="CJ349" s="28" t="s">
        <v>138</v>
      </c>
      <c r="CK349" s="28" t="s">
        <v>138</v>
      </c>
      <c r="CL349" s="28" t="s">
        <v>175</v>
      </c>
      <c r="CM349" s="34" t="s">
        <v>138</v>
      </c>
      <c r="CN349" s="29" t="s">
        <v>138</v>
      </c>
      <c r="CO349" s="35">
        <v>0.68</v>
      </c>
      <c r="CP349" s="36">
        <v>96</v>
      </c>
      <c r="CQ349" s="35">
        <v>0.05</v>
      </c>
      <c r="CR349" s="35">
        <v>8.07</v>
      </c>
      <c r="CS349" s="35">
        <v>1.65</v>
      </c>
      <c r="CT349" s="36">
        <v>98</v>
      </c>
      <c r="CU349" s="35">
        <v>0.04</v>
      </c>
      <c r="CV349" s="36">
        <v>56</v>
      </c>
      <c r="CW349" s="35">
        <v>3.25</v>
      </c>
      <c r="CX349" s="36">
        <v>92</v>
      </c>
      <c r="CY349" s="35">
        <v>0.06</v>
      </c>
      <c r="CZ349" s="36">
        <v>97</v>
      </c>
      <c r="DA349" s="35">
        <v>0.08</v>
      </c>
      <c r="DB349" s="36">
        <v>69</v>
      </c>
      <c r="DC349" s="37">
        <v>5.15</v>
      </c>
      <c r="DD349" s="36">
        <v>83</v>
      </c>
      <c r="DE349" s="37">
        <v>-0.28999999999999998</v>
      </c>
      <c r="DF349" s="35">
        <v>-5.29</v>
      </c>
      <c r="DG349" s="37">
        <v>11.98</v>
      </c>
      <c r="DH349" s="36">
        <v>91</v>
      </c>
      <c r="DI349" s="37">
        <v>2.27</v>
      </c>
      <c r="DJ349" s="36">
        <v>65</v>
      </c>
      <c r="DK349" s="37">
        <v>14.64</v>
      </c>
      <c r="DL349" s="36">
        <v>90</v>
      </c>
      <c r="DM349" s="37">
        <v>9.31</v>
      </c>
      <c r="DN349" s="36">
        <v>88</v>
      </c>
      <c r="DO349" s="37">
        <v>1.35</v>
      </c>
      <c r="DP349" s="36">
        <v>56</v>
      </c>
      <c r="DQ349" s="36">
        <v>5022</v>
      </c>
      <c r="DR349" s="38">
        <v>-2</v>
      </c>
      <c r="DS349" s="35">
        <v>-0.04</v>
      </c>
      <c r="DT349" s="36">
        <v>269</v>
      </c>
      <c r="DU349" s="38">
        <v>1</v>
      </c>
      <c r="DV349" s="35">
        <v>0.37</v>
      </c>
      <c r="DW349" s="36">
        <v>482</v>
      </c>
      <c r="DX349" s="39">
        <v>0</v>
      </c>
      <c r="DY349" s="35">
        <v>0</v>
      </c>
      <c r="DZ349" s="28" t="s">
        <v>178</v>
      </c>
      <c r="EA349" s="34">
        <v>43504</v>
      </c>
      <c r="EB349" s="29">
        <v>59</v>
      </c>
      <c r="EC349" s="34">
        <v>43374</v>
      </c>
      <c r="ED349" s="28" t="s">
        <v>205</v>
      </c>
      <c r="EE349" s="40" t="str">
        <f>HYPERLINK("https://my.pitchbook.com?c=155048-68", "View company online")</f>
        <v>View company online</v>
      </c>
    </row>
    <row r="350" spans="1:135">
      <c r="A350" s="15" t="s">
        <v>7423</v>
      </c>
      <c r="B350" s="15" t="s">
        <v>7424</v>
      </c>
      <c r="C350" s="15" t="s">
        <v>138</v>
      </c>
      <c r="D350" s="15" t="s">
        <v>138</v>
      </c>
      <c r="E350" s="15" t="s">
        <v>7425</v>
      </c>
      <c r="F350" s="15" t="s">
        <v>7423</v>
      </c>
      <c r="G350" s="15" t="s">
        <v>7426</v>
      </c>
      <c r="H350" s="15" t="s">
        <v>322</v>
      </c>
      <c r="I350" s="15" t="s">
        <v>323</v>
      </c>
      <c r="J350" s="15" t="s">
        <v>1132</v>
      </c>
      <c r="K350" s="15" t="s">
        <v>1777</v>
      </c>
      <c r="L350" s="15" t="s">
        <v>1134</v>
      </c>
      <c r="M350" s="15" t="s">
        <v>7427</v>
      </c>
      <c r="N350" s="15" t="s">
        <v>147</v>
      </c>
      <c r="O350" s="17">
        <v>7.09</v>
      </c>
      <c r="P350" s="15" t="s">
        <v>148</v>
      </c>
      <c r="Q350" s="15" t="s">
        <v>149</v>
      </c>
      <c r="R350" s="15" t="s">
        <v>174</v>
      </c>
      <c r="S350" s="15" t="s">
        <v>7428</v>
      </c>
      <c r="T350" s="18">
        <v>26</v>
      </c>
      <c r="U350" s="15" t="s">
        <v>7429</v>
      </c>
      <c r="V350" s="15" t="s">
        <v>138</v>
      </c>
      <c r="W350" s="15" t="s">
        <v>138</v>
      </c>
      <c r="X350" s="19">
        <v>2011</v>
      </c>
      <c r="Y350" s="15" t="s">
        <v>138</v>
      </c>
      <c r="Z350" s="15" t="s">
        <v>138</v>
      </c>
      <c r="AA350" s="15" t="s">
        <v>138</v>
      </c>
      <c r="AB350" s="20">
        <v>2</v>
      </c>
      <c r="AC350" s="20" t="s">
        <v>138</v>
      </c>
      <c r="AD350" s="20" t="s">
        <v>138</v>
      </c>
      <c r="AE350" s="20" t="s">
        <v>138</v>
      </c>
      <c r="AF350" s="20" t="s">
        <v>138</v>
      </c>
      <c r="AG350" s="15" t="s">
        <v>514</v>
      </c>
      <c r="AH350" s="20" t="s">
        <v>138</v>
      </c>
      <c r="AI350" s="20" t="s">
        <v>138</v>
      </c>
      <c r="AJ350" s="20" t="s">
        <v>138</v>
      </c>
      <c r="AK350" s="15" t="s">
        <v>7430</v>
      </c>
      <c r="AL350" s="15" t="s">
        <v>7431</v>
      </c>
      <c r="AM350" s="15" t="s">
        <v>304</v>
      </c>
      <c r="AN350" s="15" t="s">
        <v>7432</v>
      </c>
      <c r="AO350" s="15" t="s">
        <v>7433</v>
      </c>
      <c r="AP350" s="15" t="s">
        <v>7434</v>
      </c>
      <c r="AQ350" s="15" t="s">
        <v>7435</v>
      </c>
      <c r="AR350" s="15" t="s">
        <v>4422</v>
      </c>
      <c r="AS350" s="15" t="s">
        <v>7436</v>
      </c>
      <c r="AT350" s="15" t="s">
        <v>200</v>
      </c>
      <c r="AU350" s="15" t="s">
        <v>7437</v>
      </c>
      <c r="AV350" s="15" t="s">
        <v>162</v>
      </c>
      <c r="AW350" s="15" t="s">
        <v>7433</v>
      </c>
      <c r="AX350" s="15" t="s">
        <v>138</v>
      </c>
      <c r="AY350" s="15" t="s">
        <v>7438</v>
      </c>
      <c r="AZ350" s="15" t="s">
        <v>164</v>
      </c>
      <c r="BA350" s="15" t="s">
        <v>165</v>
      </c>
      <c r="BB350" s="15" t="s">
        <v>7439</v>
      </c>
      <c r="BC350" s="15" t="s">
        <v>7440</v>
      </c>
      <c r="BD350" s="21">
        <v>14</v>
      </c>
      <c r="BE350" s="15" t="s">
        <v>138</v>
      </c>
      <c r="BF350" s="15" t="s">
        <v>7441</v>
      </c>
      <c r="BG350" s="15" t="s">
        <v>138</v>
      </c>
      <c r="BH350" s="15" t="s">
        <v>7442</v>
      </c>
      <c r="BI350" s="15" t="s">
        <v>7443</v>
      </c>
      <c r="BJ350" s="15" t="s">
        <v>138</v>
      </c>
      <c r="BK350" s="15" t="s">
        <v>7444</v>
      </c>
      <c r="BL350" s="15" t="s">
        <v>7445</v>
      </c>
      <c r="BM350" s="22">
        <v>40707</v>
      </c>
      <c r="BN350" s="17">
        <v>0.03</v>
      </c>
      <c r="BO350" s="15" t="s">
        <v>172</v>
      </c>
      <c r="BP350" s="17" t="s">
        <v>138</v>
      </c>
      <c r="BQ350" s="15" t="s">
        <v>138</v>
      </c>
      <c r="BR350" s="15" t="s">
        <v>262</v>
      </c>
      <c r="BS350" s="15" t="s">
        <v>262</v>
      </c>
      <c r="BT350" s="15" t="s">
        <v>138</v>
      </c>
      <c r="BU350" s="15" t="s">
        <v>263</v>
      </c>
      <c r="BV350" s="15" t="s">
        <v>138</v>
      </c>
      <c r="BW350" s="15" t="s">
        <v>138</v>
      </c>
      <c r="BX350" s="15" t="s">
        <v>138</v>
      </c>
      <c r="BY350" s="15" t="s">
        <v>175</v>
      </c>
      <c r="BZ350" s="22">
        <v>42717</v>
      </c>
      <c r="CA350" s="17">
        <v>4.0999999999999996</v>
      </c>
      <c r="CB350" s="15" t="s">
        <v>172</v>
      </c>
      <c r="CC350" s="17">
        <v>14.1</v>
      </c>
      <c r="CD350" s="15" t="s">
        <v>172</v>
      </c>
      <c r="CE350" s="15" t="s">
        <v>205</v>
      </c>
      <c r="CF350" s="15" t="s">
        <v>7446</v>
      </c>
      <c r="CG350" s="15" t="s">
        <v>138</v>
      </c>
      <c r="CH350" s="15" t="s">
        <v>174</v>
      </c>
      <c r="CI350" s="15" t="s">
        <v>138</v>
      </c>
      <c r="CJ350" s="15" t="s">
        <v>138</v>
      </c>
      <c r="CK350" s="15" t="s">
        <v>138</v>
      </c>
      <c r="CL350" s="15" t="s">
        <v>175</v>
      </c>
      <c r="CM350" s="22" t="s">
        <v>138</v>
      </c>
      <c r="CN350" s="17" t="s">
        <v>138</v>
      </c>
      <c r="CO350" s="23">
        <v>1.37</v>
      </c>
      <c r="CP350" s="24">
        <v>98</v>
      </c>
      <c r="CQ350" s="23">
        <v>-0.53</v>
      </c>
      <c r="CR350" s="23">
        <v>-27.96</v>
      </c>
      <c r="CS350" s="23">
        <v>2.99</v>
      </c>
      <c r="CT350" s="24">
        <v>99</v>
      </c>
      <c r="CU350" s="23">
        <v>0.06</v>
      </c>
      <c r="CV350" s="24">
        <v>60</v>
      </c>
      <c r="CW350" s="23">
        <v>5.97</v>
      </c>
      <c r="CX350" s="24">
        <v>97</v>
      </c>
      <c r="CY350" s="23">
        <v>0</v>
      </c>
      <c r="CZ350" s="24">
        <v>25</v>
      </c>
      <c r="DA350" s="23">
        <v>0.06</v>
      </c>
      <c r="DB350" s="24">
        <v>65</v>
      </c>
      <c r="DC350" s="25">
        <v>5.13</v>
      </c>
      <c r="DD350" s="24">
        <v>83</v>
      </c>
      <c r="DE350" s="25">
        <v>-0.5</v>
      </c>
      <c r="DF350" s="23">
        <v>-8.9600000000000009</v>
      </c>
      <c r="DG350" s="25">
        <v>12.72</v>
      </c>
      <c r="DH350" s="24">
        <v>92</v>
      </c>
      <c r="DI350" s="25">
        <v>2.2599999999999998</v>
      </c>
      <c r="DJ350" s="24">
        <v>65</v>
      </c>
      <c r="DK350" s="25">
        <v>24.1</v>
      </c>
      <c r="DL350" s="24">
        <v>93</v>
      </c>
      <c r="DM350" s="25">
        <v>1.34</v>
      </c>
      <c r="DN350" s="24">
        <v>57</v>
      </c>
      <c r="DO350" s="25">
        <v>2.2599999999999998</v>
      </c>
      <c r="DP350" s="24">
        <v>66</v>
      </c>
      <c r="DQ350" s="24">
        <v>8029</v>
      </c>
      <c r="DR350" s="26">
        <v>710</v>
      </c>
      <c r="DS350" s="23">
        <v>9.6999999999999993</v>
      </c>
      <c r="DT350" s="24">
        <v>39</v>
      </c>
      <c r="DU350" s="26">
        <v>1</v>
      </c>
      <c r="DV350" s="23">
        <v>2.63</v>
      </c>
      <c r="DW350" s="24">
        <v>810</v>
      </c>
      <c r="DX350" s="27">
        <v>0</v>
      </c>
      <c r="DY350" s="23">
        <v>0</v>
      </c>
      <c r="DZ350" s="15" t="s">
        <v>178</v>
      </c>
      <c r="EA350" s="22">
        <v>43375</v>
      </c>
      <c r="EB350" s="17">
        <v>14.1</v>
      </c>
      <c r="EC350" s="22">
        <v>42717</v>
      </c>
      <c r="ED350" s="15" t="s">
        <v>205</v>
      </c>
      <c r="EE350" s="14" t="str">
        <f>HYPERLINK("https://my.pitchbook.com?c=60680-71", "View company online")</f>
        <v>View company online</v>
      </c>
    </row>
    <row r="351" spans="1:135">
      <c r="A351" s="28" t="s">
        <v>7447</v>
      </c>
      <c r="B351" s="28" t="s">
        <v>7448</v>
      </c>
      <c r="C351" s="28" t="s">
        <v>138</v>
      </c>
      <c r="D351" s="28" t="s">
        <v>138</v>
      </c>
      <c r="E351" s="28" t="s">
        <v>7449</v>
      </c>
      <c r="F351" s="28" t="s">
        <v>7447</v>
      </c>
      <c r="G351" s="28" t="s">
        <v>7450</v>
      </c>
      <c r="H351" s="28" t="s">
        <v>141</v>
      </c>
      <c r="I351" s="28" t="s">
        <v>212</v>
      </c>
      <c r="J351" s="28" t="s">
        <v>486</v>
      </c>
      <c r="K351" s="28" t="s">
        <v>7451</v>
      </c>
      <c r="L351" s="28" t="s">
        <v>7452</v>
      </c>
      <c r="M351" s="28" t="s">
        <v>7453</v>
      </c>
      <c r="N351" s="28" t="s">
        <v>147</v>
      </c>
      <c r="O351" s="29">
        <v>87</v>
      </c>
      <c r="P351" s="28" t="s">
        <v>610</v>
      </c>
      <c r="Q351" s="28" t="s">
        <v>149</v>
      </c>
      <c r="R351" s="28" t="s">
        <v>174</v>
      </c>
      <c r="S351" s="28" t="s">
        <v>7454</v>
      </c>
      <c r="T351" s="30">
        <v>83</v>
      </c>
      <c r="U351" s="28" t="s">
        <v>7455</v>
      </c>
      <c r="V351" s="28" t="s">
        <v>138</v>
      </c>
      <c r="W351" s="28" t="s">
        <v>138</v>
      </c>
      <c r="X351" s="31">
        <v>1999</v>
      </c>
      <c r="Y351" s="28" t="s">
        <v>138</v>
      </c>
      <c r="Z351" s="28" t="s">
        <v>138</v>
      </c>
      <c r="AA351" s="28" t="s">
        <v>138</v>
      </c>
      <c r="AB351" s="32" t="s">
        <v>138</v>
      </c>
      <c r="AC351" s="32" t="s">
        <v>138</v>
      </c>
      <c r="AD351" s="32" t="s">
        <v>138</v>
      </c>
      <c r="AE351" s="32" t="s">
        <v>138</v>
      </c>
      <c r="AF351" s="32" t="s">
        <v>138</v>
      </c>
      <c r="AG351" s="28" t="s">
        <v>138</v>
      </c>
      <c r="AH351" s="32" t="s">
        <v>138</v>
      </c>
      <c r="AI351" s="32" t="s">
        <v>138</v>
      </c>
      <c r="AJ351" s="32" t="s">
        <v>138</v>
      </c>
      <c r="AK351" s="28" t="s">
        <v>7456</v>
      </c>
      <c r="AL351" s="28" t="s">
        <v>7457</v>
      </c>
      <c r="AM351" s="28" t="s">
        <v>7458</v>
      </c>
      <c r="AN351" s="28" t="s">
        <v>7459</v>
      </c>
      <c r="AO351" s="28" t="s">
        <v>7460</v>
      </c>
      <c r="AP351" s="28" t="s">
        <v>7461</v>
      </c>
      <c r="AQ351" s="28" t="s">
        <v>7462</v>
      </c>
      <c r="AR351" s="28" t="s">
        <v>1170</v>
      </c>
      <c r="AS351" s="28" t="s">
        <v>7463</v>
      </c>
      <c r="AT351" s="28" t="s">
        <v>4493</v>
      </c>
      <c r="AU351" s="28" t="s">
        <v>7464</v>
      </c>
      <c r="AV351" s="28" t="s">
        <v>162</v>
      </c>
      <c r="AW351" s="28" t="s">
        <v>7460</v>
      </c>
      <c r="AX351" s="28" t="s">
        <v>138</v>
      </c>
      <c r="AY351" s="28" t="s">
        <v>7465</v>
      </c>
      <c r="AZ351" s="28" t="s">
        <v>164</v>
      </c>
      <c r="BA351" s="28" t="s">
        <v>165</v>
      </c>
      <c r="BB351" s="28" t="s">
        <v>7466</v>
      </c>
      <c r="BC351" s="28" t="s">
        <v>7467</v>
      </c>
      <c r="BD351" s="33">
        <v>4</v>
      </c>
      <c r="BE351" s="28" t="s">
        <v>138</v>
      </c>
      <c r="BF351" s="28" t="s">
        <v>3047</v>
      </c>
      <c r="BG351" s="28" t="s">
        <v>138</v>
      </c>
      <c r="BH351" s="28" t="s">
        <v>7468</v>
      </c>
      <c r="BI351" s="28" t="s">
        <v>3049</v>
      </c>
      <c r="BJ351" s="28" t="s">
        <v>138</v>
      </c>
      <c r="BK351" s="28" t="s">
        <v>138</v>
      </c>
      <c r="BL351" s="28" t="s">
        <v>138</v>
      </c>
      <c r="BM351" s="34">
        <v>36495</v>
      </c>
      <c r="BN351" s="29">
        <v>35</v>
      </c>
      <c r="BO351" s="28" t="s">
        <v>172</v>
      </c>
      <c r="BP351" s="29" t="s">
        <v>138</v>
      </c>
      <c r="BQ351" s="28" t="s">
        <v>138</v>
      </c>
      <c r="BR351" s="28" t="s">
        <v>205</v>
      </c>
      <c r="BS351" s="28" t="s">
        <v>138</v>
      </c>
      <c r="BT351" s="28" t="s">
        <v>138</v>
      </c>
      <c r="BU351" s="28" t="s">
        <v>174</v>
      </c>
      <c r="BV351" s="28" t="s">
        <v>138</v>
      </c>
      <c r="BW351" s="28" t="s">
        <v>138</v>
      </c>
      <c r="BX351" s="28" t="s">
        <v>138</v>
      </c>
      <c r="BY351" s="28" t="s">
        <v>175</v>
      </c>
      <c r="BZ351" s="34" t="s">
        <v>138</v>
      </c>
      <c r="CA351" s="29" t="s">
        <v>138</v>
      </c>
      <c r="CB351" s="28" t="s">
        <v>138</v>
      </c>
      <c r="CC351" s="29" t="s">
        <v>138</v>
      </c>
      <c r="CD351" s="28" t="s">
        <v>138</v>
      </c>
      <c r="CE351" s="28" t="s">
        <v>379</v>
      </c>
      <c r="CF351" s="28" t="s">
        <v>138</v>
      </c>
      <c r="CG351" s="28" t="s">
        <v>138</v>
      </c>
      <c r="CH351" s="28" t="s">
        <v>174</v>
      </c>
      <c r="CI351" s="28" t="s">
        <v>138</v>
      </c>
      <c r="CJ351" s="28" t="s">
        <v>138</v>
      </c>
      <c r="CK351" s="28" t="s">
        <v>138</v>
      </c>
      <c r="CL351" s="28" t="s">
        <v>175</v>
      </c>
      <c r="CM351" s="34" t="s">
        <v>138</v>
      </c>
      <c r="CN351" s="29" t="s">
        <v>138</v>
      </c>
      <c r="CO351" s="35">
        <v>0.25</v>
      </c>
      <c r="CP351" s="36">
        <v>93</v>
      </c>
      <c r="CQ351" s="35">
        <v>0.05</v>
      </c>
      <c r="CR351" s="35">
        <v>27.54</v>
      </c>
      <c r="CS351" s="35">
        <v>0.5</v>
      </c>
      <c r="CT351" s="36">
        <v>95</v>
      </c>
      <c r="CU351" s="35">
        <v>0</v>
      </c>
      <c r="CV351" s="36">
        <v>22</v>
      </c>
      <c r="CW351" s="35" t="s">
        <v>138</v>
      </c>
      <c r="CX351" s="36" t="s">
        <v>138</v>
      </c>
      <c r="CY351" s="35">
        <v>0.5</v>
      </c>
      <c r="CZ351" s="36">
        <v>98</v>
      </c>
      <c r="DA351" s="35" t="s">
        <v>138</v>
      </c>
      <c r="DB351" s="36" t="s">
        <v>138</v>
      </c>
      <c r="DC351" s="37">
        <v>4.13</v>
      </c>
      <c r="DD351" s="36">
        <v>80</v>
      </c>
      <c r="DE351" s="37">
        <v>0.02</v>
      </c>
      <c r="DF351" s="35">
        <v>0.42</v>
      </c>
      <c r="DG351" s="37">
        <v>8.17</v>
      </c>
      <c r="DH351" s="36">
        <v>88</v>
      </c>
      <c r="DI351" s="37">
        <v>0.09</v>
      </c>
      <c r="DJ351" s="36">
        <v>13</v>
      </c>
      <c r="DK351" s="37" t="s">
        <v>138</v>
      </c>
      <c r="DL351" s="36" t="s">
        <v>138</v>
      </c>
      <c r="DM351" s="37">
        <v>8.17</v>
      </c>
      <c r="DN351" s="36">
        <v>87</v>
      </c>
      <c r="DO351" s="37" t="s">
        <v>138</v>
      </c>
      <c r="DP351" s="36" t="s">
        <v>138</v>
      </c>
      <c r="DQ351" s="36">
        <v>433</v>
      </c>
      <c r="DR351" s="38">
        <v>34</v>
      </c>
      <c r="DS351" s="35">
        <v>8.52</v>
      </c>
      <c r="DT351" s="36">
        <v>236</v>
      </c>
      <c r="DU351" s="38">
        <v>1</v>
      </c>
      <c r="DV351" s="35">
        <v>0.43</v>
      </c>
      <c r="DW351" s="36" t="s">
        <v>138</v>
      </c>
      <c r="DX351" s="39" t="s">
        <v>138</v>
      </c>
      <c r="DY351" s="35" t="s">
        <v>138</v>
      </c>
      <c r="DZ351" s="28" t="s">
        <v>178</v>
      </c>
      <c r="EA351" s="34">
        <v>43622</v>
      </c>
      <c r="EB351" s="29" t="s">
        <v>138</v>
      </c>
      <c r="EC351" s="34" t="s">
        <v>138</v>
      </c>
      <c r="ED351" s="28" t="s">
        <v>138</v>
      </c>
      <c r="EE351" s="40" t="str">
        <f>HYPERLINK("https://my.pitchbook.com?c=60967-09", "View company online")</f>
        <v>View company online</v>
      </c>
    </row>
    <row r="352" spans="1:135">
      <c r="A352" s="15" t="s">
        <v>7469</v>
      </c>
      <c r="B352" s="15" t="s">
        <v>7470</v>
      </c>
      <c r="C352" s="15" t="s">
        <v>138</v>
      </c>
      <c r="D352" s="15" t="s">
        <v>138</v>
      </c>
      <c r="E352" s="15" t="s">
        <v>7471</v>
      </c>
      <c r="F352" s="15" t="s">
        <v>7469</v>
      </c>
      <c r="G352" s="15" t="s">
        <v>7472</v>
      </c>
      <c r="H352" s="15" t="s">
        <v>322</v>
      </c>
      <c r="I352" s="15" t="s">
        <v>323</v>
      </c>
      <c r="J352" s="15" t="s">
        <v>324</v>
      </c>
      <c r="K352" s="15" t="s">
        <v>325</v>
      </c>
      <c r="L352" s="15" t="s">
        <v>2835</v>
      </c>
      <c r="M352" s="15" t="s">
        <v>7473</v>
      </c>
      <c r="N352" s="15" t="s">
        <v>147</v>
      </c>
      <c r="O352" s="17">
        <v>13.4</v>
      </c>
      <c r="P352" s="15" t="s">
        <v>148</v>
      </c>
      <c r="Q352" s="15" t="s">
        <v>149</v>
      </c>
      <c r="R352" s="15" t="s">
        <v>174</v>
      </c>
      <c r="S352" s="15" t="s">
        <v>7474</v>
      </c>
      <c r="T352" s="18">
        <v>18</v>
      </c>
      <c r="U352" s="15" t="s">
        <v>7475</v>
      </c>
      <c r="V352" s="15" t="s">
        <v>138</v>
      </c>
      <c r="W352" s="15" t="s">
        <v>138</v>
      </c>
      <c r="X352" s="19">
        <v>2016</v>
      </c>
      <c r="Y352" s="15" t="s">
        <v>138</v>
      </c>
      <c r="Z352" s="15" t="s">
        <v>138</v>
      </c>
      <c r="AA352" s="15" t="s">
        <v>138</v>
      </c>
      <c r="AB352" s="20" t="s">
        <v>138</v>
      </c>
      <c r="AC352" s="20" t="s">
        <v>138</v>
      </c>
      <c r="AD352" s="20" t="s">
        <v>138</v>
      </c>
      <c r="AE352" s="20" t="s">
        <v>138</v>
      </c>
      <c r="AF352" s="20" t="s">
        <v>138</v>
      </c>
      <c r="AG352" s="15" t="s">
        <v>138</v>
      </c>
      <c r="AH352" s="20" t="s">
        <v>138</v>
      </c>
      <c r="AI352" s="20" t="s">
        <v>138</v>
      </c>
      <c r="AJ352" s="20" t="s">
        <v>138</v>
      </c>
      <c r="AK352" s="15" t="s">
        <v>7476</v>
      </c>
      <c r="AL352" s="15" t="s">
        <v>7477</v>
      </c>
      <c r="AM352" s="15" t="s">
        <v>304</v>
      </c>
      <c r="AN352" s="15" t="s">
        <v>7478</v>
      </c>
      <c r="AO352" s="15" t="s">
        <v>7479</v>
      </c>
      <c r="AP352" s="15" t="s">
        <v>1514</v>
      </c>
      <c r="AQ352" s="15" t="s">
        <v>7480</v>
      </c>
      <c r="AR352" s="15" t="s">
        <v>7481</v>
      </c>
      <c r="AS352" s="15" t="s">
        <v>1516</v>
      </c>
      <c r="AT352" s="15" t="s">
        <v>284</v>
      </c>
      <c r="AU352" s="15" t="s">
        <v>1517</v>
      </c>
      <c r="AV352" s="15" t="s">
        <v>162</v>
      </c>
      <c r="AW352" s="15" t="s">
        <v>7479</v>
      </c>
      <c r="AX352" s="15" t="s">
        <v>138</v>
      </c>
      <c r="AY352" s="15" t="s">
        <v>7482</v>
      </c>
      <c r="AZ352" s="15" t="s">
        <v>164</v>
      </c>
      <c r="BA352" s="15" t="s">
        <v>165</v>
      </c>
      <c r="BB352" s="15" t="s">
        <v>7483</v>
      </c>
      <c r="BC352" s="15" t="s">
        <v>7484</v>
      </c>
      <c r="BD352" s="21">
        <v>5</v>
      </c>
      <c r="BE352" s="15" t="s">
        <v>138</v>
      </c>
      <c r="BF352" s="15" t="s">
        <v>138</v>
      </c>
      <c r="BG352" s="15" t="s">
        <v>138</v>
      </c>
      <c r="BH352" s="15" t="s">
        <v>7485</v>
      </c>
      <c r="BI352" s="15" t="s">
        <v>138</v>
      </c>
      <c r="BJ352" s="15" t="s">
        <v>138</v>
      </c>
      <c r="BK352" s="15" t="s">
        <v>2936</v>
      </c>
      <c r="BL352" s="15" t="s">
        <v>2936</v>
      </c>
      <c r="BM352" s="22">
        <v>42768</v>
      </c>
      <c r="BN352" s="17">
        <v>3.1</v>
      </c>
      <c r="BO352" s="15" t="s">
        <v>172</v>
      </c>
      <c r="BP352" s="17">
        <v>10.6</v>
      </c>
      <c r="BQ352" s="15" t="s">
        <v>172</v>
      </c>
      <c r="BR352" s="15" t="s">
        <v>234</v>
      </c>
      <c r="BS352" s="15" t="s">
        <v>234</v>
      </c>
      <c r="BT352" s="15" t="s">
        <v>138</v>
      </c>
      <c r="BU352" s="15" t="s">
        <v>174</v>
      </c>
      <c r="BV352" s="15" t="s">
        <v>138</v>
      </c>
      <c r="BW352" s="15" t="s">
        <v>138</v>
      </c>
      <c r="BX352" s="15" t="s">
        <v>138</v>
      </c>
      <c r="BY352" s="15" t="s">
        <v>175</v>
      </c>
      <c r="BZ352" s="22">
        <v>43195</v>
      </c>
      <c r="CA352" s="17">
        <v>10.3</v>
      </c>
      <c r="CB352" s="15" t="s">
        <v>172</v>
      </c>
      <c r="CC352" s="17">
        <v>30.3</v>
      </c>
      <c r="CD352" s="15" t="s">
        <v>172</v>
      </c>
      <c r="CE352" s="15" t="s">
        <v>205</v>
      </c>
      <c r="CF352" s="15" t="s">
        <v>206</v>
      </c>
      <c r="CG352" s="15" t="s">
        <v>138</v>
      </c>
      <c r="CH352" s="15" t="s">
        <v>174</v>
      </c>
      <c r="CI352" s="15" t="s">
        <v>138</v>
      </c>
      <c r="CJ352" s="15" t="s">
        <v>138</v>
      </c>
      <c r="CK352" s="15" t="s">
        <v>138</v>
      </c>
      <c r="CL352" s="15" t="s">
        <v>175</v>
      </c>
      <c r="CM352" s="22" t="s">
        <v>138</v>
      </c>
      <c r="CN352" s="17" t="s">
        <v>138</v>
      </c>
      <c r="CO352" s="23">
        <v>0</v>
      </c>
      <c r="CP352" s="24">
        <v>26</v>
      </c>
      <c r="CQ352" s="23">
        <v>0</v>
      </c>
      <c r="CR352" s="23">
        <v>0</v>
      </c>
      <c r="CS352" s="23" t="s">
        <v>138</v>
      </c>
      <c r="CT352" s="24" t="s">
        <v>138</v>
      </c>
      <c r="CU352" s="23">
        <v>0</v>
      </c>
      <c r="CV352" s="24">
        <v>22</v>
      </c>
      <c r="CW352" s="23" t="s">
        <v>138</v>
      </c>
      <c r="CX352" s="24" t="s">
        <v>138</v>
      </c>
      <c r="CY352" s="23" t="s">
        <v>138</v>
      </c>
      <c r="CZ352" s="24" t="s">
        <v>138</v>
      </c>
      <c r="DA352" s="23">
        <v>0</v>
      </c>
      <c r="DB352" s="24">
        <v>22</v>
      </c>
      <c r="DC352" s="25">
        <v>0.14000000000000001</v>
      </c>
      <c r="DD352" s="24">
        <v>10</v>
      </c>
      <c r="DE352" s="25">
        <v>0</v>
      </c>
      <c r="DF352" s="23">
        <v>0.53</v>
      </c>
      <c r="DG352" s="25" t="s">
        <v>138</v>
      </c>
      <c r="DH352" s="24" t="s">
        <v>138</v>
      </c>
      <c r="DI352" s="25">
        <v>0.14000000000000001</v>
      </c>
      <c r="DJ352" s="24">
        <v>18</v>
      </c>
      <c r="DK352" s="25" t="s">
        <v>138</v>
      </c>
      <c r="DL352" s="24" t="s">
        <v>138</v>
      </c>
      <c r="DM352" s="25" t="s">
        <v>138</v>
      </c>
      <c r="DN352" s="24" t="s">
        <v>138</v>
      </c>
      <c r="DO352" s="25">
        <v>0.27</v>
      </c>
      <c r="DP352" s="24">
        <v>28</v>
      </c>
      <c r="DQ352" s="24" t="s">
        <v>138</v>
      </c>
      <c r="DR352" s="26" t="s">
        <v>138</v>
      </c>
      <c r="DS352" s="23" t="s">
        <v>138</v>
      </c>
      <c r="DT352" s="24" t="s">
        <v>138</v>
      </c>
      <c r="DU352" s="26" t="s">
        <v>138</v>
      </c>
      <c r="DV352" s="23" t="s">
        <v>138</v>
      </c>
      <c r="DW352" s="24">
        <v>95</v>
      </c>
      <c r="DX352" s="27">
        <v>1</v>
      </c>
      <c r="DY352" s="23">
        <v>1.06</v>
      </c>
      <c r="DZ352" s="15" t="s">
        <v>178</v>
      </c>
      <c r="EA352" s="22">
        <v>43622</v>
      </c>
      <c r="EB352" s="17">
        <v>30.3</v>
      </c>
      <c r="EC352" s="22">
        <v>43195</v>
      </c>
      <c r="ED352" s="15" t="s">
        <v>205</v>
      </c>
      <c r="EE352" s="14" t="str">
        <f>HYPERLINK("https://my.pitchbook.com?c=170195-50", "View company online")</f>
        <v>View company online</v>
      </c>
    </row>
    <row r="353" spans="1:135">
      <c r="A353" s="28" t="s">
        <v>7486</v>
      </c>
      <c r="B353" s="28" t="s">
        <v>7487</v>
      </c>
      <c r="C353" s="28" t="s">
        <v>138</v>
      </c>
      <c r="D353" s="28" t="s">
        <v>138</v>
      </c>
      <c r="E353" s="28" t="s">
        <v>7488</v>
      </c>
      <c r="F353" s="28" t="s">
        <v>7486</v>
      </c>
      <c r="G353" s="28" t="s">
        <v>7489</v>
      </c>
      <c r="H353" s="28" t="s">
        <v>141</v>
      </c>
      <c r="I353" s="28" t="s">
        <v>142</v>
      </c>
      <c r="J353" s="28" t="s">
        <v>4042</v>
      </c>
      <c r="K353" s="28" t="s">
        <v>7490</v>
      </c>
      <c r="L353" s="28" t="s">
        <v>7491</v>
      </c>
      <c r="M353" s="28" t="s">
        <v>7492</v>
      </c>
      <c r="N353" s="28" t="s">
        <v>147</v>
      </c>
      <c r="O353" s="29">
        <v>53.5</v>
      </c>
      <c r="P353" s="28" t="s">
        <v>148</v>
      </c>
      <c r="Q353" s="28" t="s">
        <v>149</v>
      </c>
      <c r="R353" s="28" t="s">
        <v>244</v>
      </c>
      <c r="S353" s="28" t="s">
        <v>7493</v>
      </c>
      <c r="T353" s="30">
        <v>70</v>
      </c>
      <c r="U353" s="28" t="s">
        <v>7494</v>
      </c>
      <c r="V353" s="28" t="s">
        <v>138</v>
      </c>
      <c r="W353" s="28" t="s">
        <v>138</v>
      </c>
      <c r="X353" s="31">
        <v>2009</v>
      </c>
      <c r="Y353" s="28" t="s">
        <v>138</v>
      </c>
      <c r="Z353" s="28" t="s">
        <v>138</v>
      </c>
      <c r="AA353" s="28" t="s">
        <v>138</v>
      </c>
      <c r="AB353" s="32" t="s">
        <v>138</v>
      </c>
      <c r="AC353" s="32" t="s">
        <v>138</v>
      </c>
      <c r="AD353" s="32" t="s">
        <v>138</v>
      </c>
      <c r="AE353" s="32" t="s">
        <v>138</v>
      </c>
      <c r="AF353" s="32" t="s">
        <v>138</v>
      </c>
      <c r="AG353" s="28" t="s">
        <v>138</v>
      </c>
      <c r="AH353" s="32" t="s">
        <v>138</v>
      </c>
      <c r="AI353" s="32" t="s">
        <v>138</v>
      </c>
      <c r="AJ353" s="32" t="s">
        <v>138</v>
      </c>
      <c r="AK353" s="28" t="s">
        <v>7495</v>
      </c>
      <c r="AL353" s="28" t="s">
        <v>7496</v>
      </c>
      <c r="AM353" s="28" t="s">
        <v>2949</v>
      </c>
      <c r="AN353" s="28" t="s">
        <v>7497</v>
      </c>
      <c r="AO353" s="28" t="s">
        <v>7498</v>
      </c>
      <c r="AP353" s="28" t="s">
        <v>665</v>
      </c>
      <c r="AQ353" s="28" t="s">
        <v>7499</v>
      </c>
      <c r="AR353" s="28" t="s">
        <v>138</v>
      </c>
      <c r="AS353" s="28" t="s">
        <v>668</v>
      </c>
      <c r="AT353" s="28" t="s">
        <v>200</v>
      </c>
      <c r="AU353" s="28" t="s">
        <v>691</v>
      </c>
      <c r="AV353" s="28" t="s">
        <v>162</v>
      </c>
      <c r="AW353" s="28" t="s">
        <v>7498</v>
      </c>
      <c r="AX353" s="28" t="s">
        <v>138</v>
      </c>
      <c r="AY353" s="28" t="s">
        <v>138</v>
      </c>
      <c r="AZ353" s="28" t="s">
        <v>164</v>
      </c>
      <c r="BA353" s="28" t="s">
        <v>165</v>
      </c>
      <c r="BB353" s="28" t="s">
        <v>7500</v>
      </c>
      <c r="BC353" s="28" t="s">
        <v>7501</v>
      </c>
      <c r="BD353" s="33">
        <v>9</v>
      </c>
      <c r="BE353" s="28" t="s">
        <v>138</v>
      </c>
      <c r="BF353" s="28" t="s">
        <v>138</v>
      </c>
      <c r="BG353" s="28" t="s">
        <v>138</v>
      </c>
      <c r="BH353" s="28" t="s">
        <v>7502</v>
      </c>
      <c r="BI353" s="28" t="s">
        <v>138</v>
      </c>
      <c r="BJ353" s="28" t="s">
        <v>138</v>
      </c>
      <c r="BK353" s="28" t="s">
        <v>7503</v>
      </c>
      <c r="BL353" s="28" t="s">
        <v>7504</v>
      </c>
      <c r="BM353" s="34">
        <v>40898</v>
      </c>
      <c r="BN353" s="29">
        <v>2.0499999999999998</v>
      </c>
      <c r="BO353" s="28" t="s">
        <v>172</v>
      </c>
      <c r="BP353" s="29">
        <v>14.05</v>
      </c>
      <c r="BQ353" s="28" t="s">
        <v>172</v>
      </c>
      <c r="BR353" s="28" t="s">
        <v>205</v>
      </c>
      <c r="BS353" s="28" t="s">
        <v>206</v>
      </c>
      <c r="BT353" s="28" t="s">
        <v>138</v>
      </c>
      <c r="BU353" s="28" t="s">
        <v>174</v>
      </c>
      <c r="BV353" s="28" t="s">
        <v>138</v>
      </c>
      <c r="BW353" s="28" t="s">
        <v>138</v>
      </c>
      <c r="BX353" s="28" t="s">
        <v>138</v>
      </c>
      <c r="BY353" s="28" t="s">
        <v>175</v>
      </c>
      <c r="BZ353" s="34" t="s">
        <v>138</v>
      </c>
      <c r="CA353" s="29">
        <v>24</v>
      </c>
      <c r="CB353" s="28" t="s">
        <v>1178</v>
      </c>
      <c r="CC353" s="29">
        <v>115.25</v>
      </c>
      <c r="CD353" s="28" t="s">
        <v>172</v>
      </c>
      <c r="CE353" s="28" t="s">
        <v>173</v>
      </c>
      <c r="CF353" s="28" t="s">
        <v>317</v>
      </c>
      <c r="CG353" s="28" t="s">
        <v>138</v>
      </c>
      <c r="CH353" s="28" t="s">
        <v>174</v>
      </c>
      <c r="CI353" s="28" t="s">
        <v>138</v>
      </c>
      <c r="CJ353" s="28" t="s">
        <v>138</v>
      </c>
      <c r="CK353" s="28" t="s">
        <v>138</v>
      </c>
      <c r="CL353" s="28" t="s">
        <v>3093</v>
      </c>
      <c r="CM353" s="34" t="s">
        <v>138</v>
      </c>
      <c r="CN353" s="29" t="s">
        <v>138</v>
      </c>
      <c r="CO353" s="35">
        <v>-0.41</v>
      </c>
      <c r="CP353" s="36">
        <v>17</v>
      </c>
      <c r="CQ353" s="35">
        <v>-0.02</v>
      </c>
      <c r="CR353" s="35">
        <v>-4.6500000000000004</v>
      </c>
      <c r="CS353" s="35">
        <v>-0.76</v>
      </c>
      <c r="CT353" s="36">
        <v>17</v>
      </c>
      <c r="CU353" s="35">
        <v>-0.06</v>
      </c>
      <c r="CV353" s="36">
        <v>8</v>
      </c>
      <c r="CW353" s="35">
        <v>0</v>
      </c>
      <c r="CX353" s="36">
        <v>13</v>
      </c>
      <c r="CY353" s="35">
        <v>-1.53</v>
      </c>
      <c r="CZ353" s="36">
        <v>15</v>
      </c>
      <c r="DA353" s="35">
        <v>-0.06</v>
      </c>
      <c r="DB353" s="36">
        <v>11</v>
      </c>
      <c r="DC353" s="37">
        <v>9.31</v>
      </c>
      <c r="DD353" s="36">
        <v>89</v>
      </c>
      <c r="DE353" s="37">
        <v>-0.05</v>
      </c>
      <c r="DF353" s="35">
        <v>-0.56999999999999995</v>
      </c>
      <c r="DG353" s="37">
        <v>7.08</v>
      </c>
      <c r="DH353" s="36">
        <v>86</v>
      </c>
      <c r="DI353" s="37">
        <v>11.54</v>
      </c>
      <c r="DJ353" s="36">
        <v>86</v>
      </c>
      <c r="DK353" s="37">
        <v>2.58</v>
      </c>
      <c r="DL353" s="36">
        <v>69</v>
      </c>
      <c r="DM353" s="37">
        <v>11.59</v>
      </c>
      <c r="DN353" s="36">
        <v>90</v>
      </c>
      <c r="DO353" s="37">
        <v>11.54</v>
      </c>
      <c r="DP353" s="36">
        <v>88</v>
      </c>
      <c r="DQ353" s="36">
        <v>854</v>
      </c>
      <c r="DR353" s="38">
        <v>95</v>
      </c>
      <c r="DS353" s="35">
        <v>12.52</v>
      </c>
      <c r="DT353" s="36">
        <v>336</v>
      </c>
      <c r="DU353" s="38">
        <v>-1</v>
      </c>
      <c r="DV353" s="35">
        <v>-0.3</v>
      </c>
      <c r="DW353" s="36">
        <v>4134</v>
      </c>
      <c r="DX353" s="39">
        <v>1</v>
      </c>
      <c r="DY353" s="35">
        <v>0.02</v>
      </c>
      <c r="DZ353" s="28" t="s">
        <v>178</v>
      </c>
      <c r="EA353" s="34">
        <v>43622</v>
      </c>
      <c r="EB353" s="29">
        <v>91.25</v>
      </c>
      <c r="EC353" s="34">
        <v>42403</v>
      </c>
      <c r="ED353" s="28" t="s">
        <v>173</v>
      </c>
      <c r="EE353" s="40" t="str">
        <f>HYPERLINK("https://my.pitchbook.com?c=64021-96", "View company online")</f>
        <v>View company online</v>
      </c>
    </row>
    <row r="354" spans="1:135">
      <c r="A354" s="15" t="s">
        <v>7505</v>
      </c>
      <c r="B354" s="15" t="s">
        <v>7506</v>
      </c>
      <c r="C354" s="15" t="s">
        <v>138</v>
      </c>
      <c r="D354" s="15" t="s">
        <v>138</v>
      </c>
      <c r="E354" s="15" t="s">
        <v>138</v>
      </c>
      <c r="F354" s="15" t="s">
        <v>7505</v>
      </c>
      <c r="G354" s="15" t="s">
        <v>7507</v>
      </c>
      <c r="H354" s="15" t="s">
        <v>385</v>
      </c>
      <c r="I354" s="15" t="s">
        <v>1448</v>
      </c>
      <c r="J354" s="15" t="s">
        <v>4108</v>
      </c>
      <c r="K354" s="15" t="s">
        <v>7508</v>
      </c>
      <c r="L354" s="15" t="s">
        <v>4828</v>
      </c>
      <c r="M354" s="15" t="s">
        <v>7509</v>
      </c>
      <c r="N354" s="15" t="s">
        <v>147</v>
      </c>
      <c r="O354" s="17">
        <v>175.04</v>
      </c>
      <c r="P354" s="15" t="s">
        <v>148</v>
      </c>
      <c r="Q354" s="15" t="s">
        <v>149</v>
      </c>
      <c r="R354" s="15" t="s">
        <v>244</v>
      </c>
      <c r="S354" s="15" t="s">
        <v>7510</v>
      </c>
      <c r="T354" s="18" t="s">
        <v>138</v>
      </c>
      <c r="U354" s="15" t="s">
        <v>138</v>
      </c>
      <c r="V354" s="15" t="s">
        <v>138</v>
      </c>
      <c r="W354" s="15" t="s">
        <v>138</v>
      </c>
      <c r="X354" s="19">
        <v>2011</v>
      </c>
      <c r="Y354" s="15" t="s">
        <v>138</v>
      </c>
      <c r="Z354" s="15" t="s">
        <v>138</v>
      </c>
      <c r="AA354" s="15" t="s">
        <v>138</v>
      </c>
      <c r="AB354" s="20" t="s">
        <v>138</v>
      </c>
      <c r="AC354" s="20" t="s">
        <v>138</v>
      </c>
      <c r="AD354" s="20" t="s">
        <v>138</v>
      </c>
      <c r="AE354" s="20" t="s">
        <v>138</v>
      </c>
      <c r="AF354" s="20" t="s">
        <v>138</v>
      </c>
      <c r="AG354" s="15" t="s">
        <v>138</v>
      </c>
      <c r="AH354" s="20" t="s">
        <v>138</v>
      </c>
      <c r="AI354" s="20" t="s">
        <v>138</v>
      </c>
      <c r="AJ354" s="20" t="s">
        <v>138</v>
      </c>
      <c r="AK354" s="15" t="s">
        <v>7511</v>
      </c>
      <c r="AL354" s="15" t="s">
        <v>7512</v>
      </c>
      <c r="AM354" s="15" t="s">
        <v>7513</v>
      </c>
      <c r="AN354" s="15" t="s">
        <v>7514</v>
      </c>
      <c r="AO354" s="15" t="s">
        <v>7515</v>
      </c>
      <c r="AP354" s="15" t="s">
        <v>6492</v>
      </c>
      <c r="AQ354" s="15" t="s">
        <v>7516</v>
      </c>
      <c r="AR354" s="15" t="s">
        <v>7517</v>
      </c>
      <c r="AS354" s="15" t="s">
        <v>6495</v>
      </c>
      <c r="AT354" s="15" t="s">
        <v>138</v>
      </c>
      <c r="AU354" s="15" t="s">
        <v>7518</v>
      </c>
      <c r="AV354" s="15" t="s">
        <v>6495</v>
      </c>
      <c r="AW354" s="15" t="s">
        <v>7515</v>
      </c>
      <c r="AX354" s="15" t="s">
        <v>7519</v>
      </c>
      <c r="AY354" s="15" t="s">
        <v>138</v>
      </c>
      <c r="AZ354" s="15" t="s">
        <v>452</v>
      </c>
      <c r="BA354" s="15" t="s">
        <v>1748</v>
      </c>
      <c r="BB354" s="15" t="s">
        <v>7520</v>
      </c>
      <c r="BC354" s="15" t="s">
        <v>7521</v>
      </c>
      <c r="BD354" s="21">
        <v>6</v>
      </c>
      <c r="BE354" s="15" t="s">
        <v>138</v>
      </c>
      <c r="BF354" s="15" t="s">
        <v>138</v>
      </c>
      <c r="BG354" s="15" t="s">
        <v>138</v>
      </c>
      <c r="BH354" s="15" t="s">
        <v>7522</v>
      </c>
      <c r="BI354" s="15" t="s">
        <v>138</v>
      </c>
      <c r="BJ354" s="15" t="s">
        <v>138</v>
      </c>
      <c r="BK354" s="15" t="s">
        <v>138</v>
      </c>
      <c r="BL354" s="15" t="s">
        <v>7523</v>
      </c>
      <c r="BM354" s="22">
        <v>41682</v>
      </c>
      <c r="BN354" s="17">
        <v>39.46</v>
      </c>
      <c r="BO354" s="15" t="s">
        <v>172</v>
      </c>
      <c r="BP354" s="17" t="s">
        <v>138</v>
      </c>
      <c r="BQ354" s="15" t="s">
        <v>138</v>
      </c>
      <c r="BR354" s="15" t="s">
        <v>1326</v>
      </c>
      <c r="BS354" s="15" t="s">
        <v>138</v>
      </c>
      <c r="BT354" s="15" t="s">
        <v>138</v>
      </c>
      <c r="BU354" s="15" t="s">
        <v>1327</v>
      </c>
      <c r="BV354" s="15" t="s">
        <v>1328</v>
      </c>
      <c r="BW354" s="15" t="s">
        <v>138</v>
      </c>
      <c r="BX354" s="15" t="s">
        <v>138</v>
      </c>
      <c r="BY354" s="15" t="s">
        <v>175</v>
      </c>
      <c r="BZ354" s="22">
        <v>42997</v>
      </c>
      <c r="CA354" s="17">
        <v>55.57</v>
      </c>
      <c r="CB354" s="15" t="s">
        <v>172</v>
      </c>
      <c r="CC354" s="17" t="s">
        <v>138</v>
      </c>
      <c r="CD354" s="15" t="s">
        <v>138</v>
      </c>
      <c r="CE354" s="15" t="s">
        <v>780</v>
      </c>
      <c r="CF354" s="15" t="s">
        <v>780</v>
      </c>
      <c r="CG354" s="15" t="s">
        <v>138</v>
      </c>
      <c r="CH354" s="15" t="s">
        <v>780</v>
      </c>
      <c r="CI354" s="15" t="s">
        <v>138</v>
      </c>
      <c r="CJ354" s="15" t="s">
        <v>138</v>
      </c>
      <c r="CK354" s="15" t="s">
        <v>138</v>
      </c>
      <c r="CL354" s="15" t="s">
        <v>175</v>
      </c>
      <c r="CM354" s="22">
        <v>42857</v>
      </c>
      <c r="CN354" s="17">
        <v>20.059999999999999</v>
      </c>
      <c r="CO354" s="23">
        <v>0.03</v>
      </c>
      <c r="CP354" s="24">
        <v>86</v>
      </c>
      <c r="CQ354" s="23">
        <v>0</v>
      </c>
      <c r="CR354" s="23">
        <v>9.1199999999999992</v>
      </c>
      <c r="CS354" s="23">
        <v>-0.55000000000000004</v>
      </c>
      <c r="CT354" s="24">
        <v>19</v>
      </c>
      <c r="CU354" s="23">
        <v>0.61</v>
      </c>
      <c r="CV354" s="24">
        <v>95</v>
      </c>
      <c r="CW354" s="23" t="s">
        <v>138</v>
      </c>
      <c r="CX354" s="24" t="s">
        <v>138</v>
      </c>
      <c r="CY354" s="23">
        <v>-0.55000000000000004</v>
      </c>
      <c r="CZ354" s="24">
        <v>22</v>
      </c>
      <c r="DA354" s="23">
        <v>0</v>
      </c>
      <c r="DB354" s="24">
        <v>22</v>
      </c>
      <c r="DC354" s="25">
        <v>4.91</v>
      </c>
      <c r="DD354" s="24">
        <v>82</v>
      </c>
      <c r="DE354" s="25">
        <v>0.05</v>
      </c>
      <c r="DF354" s="23">
        <v>1.0900000000000001</v>
      </c>
      <c r="DG354" s="25">
        <v>8.9700000000000006</v>
      </c>
      <c r="DH354" s="24">
        <v>89</v>
      </c>
      <c r="DI354" s="25">
        <v>0.86</v>
      </c>
      <c r="DJ354" s="24">
        <v>46</v>
      </c>
      <c r="DK354" s="25" t="s">
        <v>138</v>
      </c>
      <c r="DL354" s="24" t="s">
        <v>138</v>
      </c>
      <c r="DM354" s="25">
        <v>8.9700000000000006</v>
      </c>
      <c r="DN354" s="24">
        <v>88</v>
      </c>
      <c r="DO354" s="25">
        <v>0.15</v>
      </c>
      <c r="DP354" s="24">
        <v>21</v>
      </c>
      <c r="DQ354" s="24" t="s">
        <v>138</v>
      </c>
      <c r="DR354" s="26" t="s">
        <v>138</v>
      </c>
      <c r="DS354" s="23" t="s">
        <v>138</v>
      </c>
      <c r="DT354" s="24">
        <v>258</v>
      </c>
      <c r="DU354" s="26">
        <v>2</v>
      </c>
      <c r="DV354" s="23">
        <v>0.78</v>
      </c>
      <c r="DW354" s="24">
        <v>53</v>
      </c>
      <c r="DX354" s="27">
        <v>1</v>
      </c>
      <c r="DY354" s="23">
        <v>1.92</v>
      </c>
      <c r="DZ354" s="15" t="s">
        <v>178</v>
      </c>
      <c r="EA354" s="22">
        <v>43622</v>
      </c>
      <c r="EB354" s="17">
        <v>143.34</v>
      </c>
      <c r="EC354" s="22">
        <v>42857</v>
      </c>
      <c r="ED354" s="15" t="s">
        <v>173</v>
      </c>
      <c r="EE354" s="14" t="str">
        <f>HYPERLINK("https://my.pitchbook.com?c=121221-01", "View company online")</f>
        <v>View company online</v>
      </c>
    </row>
    <row r="355" spans="1:135">
      <c r="A355" s="28" t="s">
        <v>7524</v>
      </c>
      <c r="B355" s="28" t="s">
        <v>7525</v>
      </c>
      <c r="C355" s="28" t="s">
        <v>138</v>
      </c>
      <c r="D355" s="28" t="s">
        <v>138</v>
      </c>
      <c r="E355" s="28" t="s">
        <v>7526</v>
      </c>
      <c r="F355" s="28" t="s">
        <v>7524</v>
      </c>
      <c r="G355" s="28" t="s">
        <v>7527</v>
      </c>
      <c r="H355" s="28" t="s">
        <v>890</v>
      </c>
      <c r="I355" s="28" t="s">
        <v>891</v>
      </c>
      <c r="J355" s="28" t="s">
        <v>7528</v>
      </c>
      <c r="K355" s="28" t="s">
        <v>7529</v>
      </c>
      <c r="L355" s="28" t="s">
        <v>7530</v>
      </c>
      <c r="M355" s="28" t="s">
        <v>7531</v>
      </c>
      <c r="N355" s="28" t="s">
        <v>7532</v>
      </c>
      <c r="O355" s="29">
        <v>36.35</v>
      </c>
      <c r="P355" s="28" t="s">
        <v>148</v>
      </c>
      <c r="Q355" s="28" t="s">
        <v>149</v>
      </c>
      <c r="R355" s="28" t="s">
        <v>244</v>
      </c>
      <c r="S355" s="28" t="s">
        <v>7533</v>
      </c>
      <c r="T355" s="30">
        <v>20</v>
      </c>
      <c r="U355" s="28" t="s">
        <v>7534</v>
      </c>
      <c r="V355" s="28" t="s">
        <v>138</v>
      </c>
      <c r="W355" s="28" t="s">
        <v>138</v>
      </c>
      <c r="X355" s="31">
        <v>2012</v>
      </c>
      <c r="Y355" s="28" t="s">
        <v>138</v>
      </c>
      <c r="Z355" s="28" t="s">
        <v>138</v>
      </c>
      <c r="AA355" s="28" t="s">
        <v>138</v>
      </c>
      <c r="AB355" s="32" t="s">
        <v>138</v>
      </c>
      <c r="AC355" s="32" t="s">
        <v>138</v>
      </c>
      <c r="AD355" s="32" t="s">
        <v>138</v>
      </c>
      <c r="AE355" s="32" t="s">
        <v>138</v>
      </c>
      <c r="AF355" s="32" t="s">
        <v>138</v>
      </c>
      <c r="AG355" s="28" t="s">
        <v>138</v>
      </c>
      <c r="AH355" s="32" t="s">
        <v>138</v>
      </c>
      <c r="AI355" s="32" t="s">
        <v>138</v>
      </c>
      <c r="AJ355" s="32" t="s">
        <v>138</v>
      </c>
      <c r="AK355" s="28" t="s">
        <v>7535</v>
      </c>
      <c r="AL355" s="28" t="s">
        <v>7536</v>
      </c>
      <c r="AM355" s="28" t="s">
        <v>278</v>
      </c>
      <c r="AN355" s="28" t="s">
        <v>7537</v>
      </c>
      <c r="AO355" s="28" t="s">
        <v>138</v>
      </c>
      <c r="AP355" s="28" t="s">
        <v>2715</v>
      </c>
      <c r="AQ355" s="28" t="s">
        <v>7538</v>
      </c>
      <c r="AR355" s="28" t="s">
        <v>138</v>
      </c>
      <c r="AS355" s="28" t="s">
        <v>2718</v>
      </c>
      <c r="AT355" s="28" t="s">
        <v>138</v>
      </c>
      <c r="AU355" s="28" t="s">
        <v>138</v>
      </c>
      <c r="AV355" s="28" t="s">
        <v>2719</v>
      </c>
      <c r="AW355" s="28" t="s">
        <v>138</v>
      </c>
      <c r="AX355" s="28" t="s">
        <v>138</v>
      </c>
      <c r="AY355" s="28" t="s">
        <v>7539</v>
      </c>
      <c r="AZ355" s="28" t="s">
        <v>401</v>
      </c>
      <c r="BA355" s="28" t="s">
        <v>402</v>
      </c>
      <c r="BB355" s="28" t="s">
        <v>7540</v>
      </c>
      <c r="BC355" s="28" t="s">
        <v>7541</v>
      </c>
      <c r="BD355" s="33">
        <v>25</v>
      </c>
      <c r="BE355" s="28" t="s">
        <v>138</v>
      </c>
      <c r="BF355" s="28" t="s">
        <v>138</v>
      </c>
      <c r="BG355" s="28" t="s">
        <v>138</v>
      </c>
      <c r="BH355" s="28" t="s">
        <v>7542</v>
      </c>
      <c r="BI355" s="28" t="s">
        <v>138</v>
      </c>
      <c r="BJ355" s="28" t="s">
        <v>138</v>
      </c>
      <c r="BK355" s="28" t="s">
        <v>3482</v>
      </c>
      <c r="BL355" s="28" t="s">
        <v>7543</v>
      </c>
      <c r="BM355" s="34" t="s">
        <v>138</v>
      </c>
      <c r="BN355" s="29" t="s">
        <v>138</v>
      </c>
      <c r="BO355" s="28" t="s">
        <v>138</v>
      </c>
      <c r="BP355" s="29" t="s">
        <v>138</v>
      </c>
      <c r="BQ355" s="28" t="s">
        <v>138</v>
      </c>
      <c r="BR355" s="28" t="s">
        <v>262</v>
      </c>
      <c r="BS355" s="28" t="s">
        <v>262</v>
      </c>
      <c r="BT355" s="28" t="s">
        <v>138</v>
      </c>
      <c r="BU355" s="28" t="s">
        <v>263</v>
      </c>
      <c r="BV355" s="28" t="s">
        <v>138</v>
      </c>
      <c r="BW355" s="28" t="s">
        <v>138</v>
      </c>
      <c r="BX355" s="28" t="s">
        <v>138</v>
      </c>
      <c r="BY355" s="28" t="s">
        <v>175</v>
      </c>
      <c r="BZ355" s="34">
        <v>42963</v>
      </c>
      <c r="CA355" s="29">
        <v>1.85</v>
      </c>
      <c r="CB355" s="28" t="s">
        <v>172</v>
      </c>
      <c r="CC355" s="29" t="s">
        <v>138</v>
      </c>
      <c r="CD355" s="28" t="s">
        <v>138</v>
      </c>
      <c r="CE355" s="28" t="s">
        <v>173</v>
      </c>
      <c r="CF355" s="28" t="s">
        <v>138</v>
      </c>
      <c r="CG355" s="28" t="s">
        <v>138</v>
      </c>
      <c r="CH355" s="28" t="s">
        <v>174</v>
      </c>
      <c r="CI355" s="28" t="s">
        <v>264</v>
      </c>
      <c r="CJ355" s="28" t="s">
        <v>138</v>
      </c>
      <c r="CK355" s="28" t="s">
        <v>138</v>
      </c>
      <c r="CL355" s="28" t="s">
        <v>352</v>
      </c>
      <c r="CM355" s="34">
        <v>42486</v>
      </c>
      <c r="CN355" s="29">
        <v>15</v>
      </c>
      <c r="CO355" s="35">
        <v>-0.3</v>
      </c>
      <c r="CP355" s="36">
        <v>18</v>
      </c>
      <c r="CQ355" s="35">
        <v>0.08</v>
      </c>
      <c r="CR355" s="35">
        <v>21.86</v>
      </c>
      <c r="CS355" s="35">
        <v>-0.89</v>
      </c>
      <c r="CT355" s="36">
        <v>16</v>
      </c>
      <c r="CU355" s="35">
        <v>0.3</v>
      </c>
      <c r="CV355" s="36">
        <v>87</v>
      </c>
      <c r="CW355" s="35" t="s">
        <v>138</v>
      </c>
      <c r="CX355" s="36" t="s">
        <v>138</v>
      </c>
      <c r="CY355" s="35">
        <v>-0.89</v>
      </c>
      <c r="CZ355" s="36">
        <v>20</v>
      </c>
      <c r="DA355" s="35">
        <v>0.3</v>
      </c>
      <c r="DB355" s="36">
        <v>88</v>
      </c>
      <c r="DC355" s="37">
        <v>7.95</v>
      </c>
      <c r="DD355" s="36">
        <v>88</v>
      </c>
      <c r="DE355" s="37">
        <v>0.05</v>
      </c>
      <c r="DF355" s="35">
        <v>0.67</v>
      </c>
      <c r="DG355" s="37">
        <v>4.62</v>
      </c>
      <c r="DH355" s="36">
        <v>81</v>
      </c>
      <c r="DI355" s="37">
        <v>11.28</v>
      </c>
      <c r="DJ355" s="36">
        <v>86</v>
      </c>
      <c r="DK355" s="37" t="s">
        <v>138</v>
      </c>
      <c r="DL355" s="36" t="s">
        <v>138</v>
      </c>
      <c r="DM355" s="37">
        <v>4.62</v>
      </c>
      <c r="DN355" s="36">
        <v>80</v>
      </c>
      <c r="DO355" s="37">
        <v>11.28</v>
      </c>
      <c r="DP355" s="36">
        <v>88</v>
      </c>
      <c r="DQ355" s="36">
        <v>633</v>
      </c>
      <c r="DR355" s="38">
        <v>77</v>
      </c>
      <c r="DS355" s="35">
        <v>13.85</v>
      </c>
      <c r="DT355" s="36">
        <v>133</v>
      </c>
      <c r="DU355" s="38">
        <v>1</v>
      </c>
      <c r="DV355" s="35">
        <v>0.76</v>
      </c>
      <c r="DW355" s="36">
        <v>4038</v>
      </c>
      <c r="DX355" s="39">
        <v>0</v>
      </c>
      <c r="DY355" s="35">
        <v>0</v>
      </c>
      <c r="DZ355" s="28" t="s">
        <v>178</v>
      </c>
      <c r="EA355" s="34">
        <v>43622</v>
      </c>
      <c r="EB355" s="29">
        <v>18.84</v>
      </c>
      <c r="EC355" s="34">
        <v>42360</v>
      </c>
      <c r="ED355" s="28" t="s">
        <v>205</v>
      </c>
      <c r="EE355" s="40" t="str">
        <f>HYPERLINK("https://my.pitchbook.com?c=62690-14", "View company online")</f>
        <v>View company online</v>
      </c>
    </row>
    <row r="356" spans="1:135">
      <c r="A356" s="15" t="s">
        <v>7544</v>
      </c>
      <c r="B356" s="15" t="s">
        <v>7545</v>
      </c>
      <c r="C356" s="15" t="s">
        <v>138</v>
      </c>
      <c r="D356" s="15" t="s">
        <v>138</v>
      </c>
      <c r="E356" s="15" t="s">
        <v>7546</v>
      </c>
      <c r="F356" s="15" t="s">
        <v>7544</v>
      </c>
      <c r="G356" s="15" t="s">
        <v>7547</v>
      </c>
      <c r="H356" s="15" t="s">
        <v>238</v>
      </c>
      <c r="I356" s="15" t="s">
        <v>1351</v>
      </c>
      <c r="J356" s="15" t="s">
        <v>1352</v>
      </c>
      <c r="K356" s="15" t="s">
        <v>7548</v>
      </c>
      <c r="L356" s="15" t="s">
        <v>7549</v>
      </c>
      <c r="M356" s="15" t="s">
        <v>7550</v>
      </c>
      <c r="N356" s="15" t="s">
        <v>147</v>
      </c>
      <c r="O356" s="17">
        <v>6.22</v>
      </c>
      <c r="P356" s="15" t="s">
        <v>148</v>
      </c>
      <c r="Q356" s="15" t="s">
        <v>149</v>
      </c>
      <c r="R356" s="15" t="s">
        <v>174</v>
      </c>
      <c r="S356" s="15" t="s">
        <v>7551</v>
      </c>
      <c r="T356" s="18">
        <v>18</v>
      </c>
      <c r="U356" s="15" t="s">
        <v>7552</v>
      </c>
      <c r="V356" s="15" t="s">
        <v>138</v>
      </c>
      <c r="W356" s="15" t="s">
        <v>138</v>
      </c>
      <c r="X356" s="19">
        <v>2016</v>
      </c>
      <c r="Y356" s="15" t="s">
        <v>138</v>
      </c>
      <c r="Z356" s="15" t="s">
        <v>138</v>
      </c>
      <c r="AA356" s="15" t="s">
        <v>138</v>
      </c>
      <c r="AB356" s="20" t="s">
        <v>138</v>
      </c>
      <c r="AC356" s="20" t="s">
        <v>138</v>
      </c>
      <c r="AD356" s="20" t="s">
        <v>138</v>
      </c>
      <c r="AE356" s="20" t="s">
        <v>138</v>
      </c>
      <c r="AF356" s="20" t="s">
        <v>138</v>
      </c>
      <c r="AG356" s="15" t="s">
        <v>138</v>
      </c>
      <c r="AH356" s="20" t="s">
        <v>138</v>
      </c>
      <c r="AI356" s="20" t="s">
        <v>138</v>
      </c>
      <c r="AJ356" s="20" t="s">
        <v>138</v>
      </c>
      <c r="AK356" s="15" t="s">
        <v>7553</v>
      </c>
      <c r="AL356" s="15" t="s">
        <v>7554</v>
      </c>
      <c r="AM356" s="15" t="s">
        <v>304</v>
      </c>
      <c r="AN356" s="15" t="s">
        <v>7555</v>
      </c>
      <c r="AO356" s="15" t="s">
        <v>138</v>
      </c>
      <c r="AP356" s="15" t="s">
        <v>665</v>
      </c>
      <c r="AQ356" s="15" t="s">
        <v>7556</v>
      </c>
      <c r="AR356" s="15" t="s">
        <v>138</v>
      </c>
      <c r="AS356" s="15" t="s">
        <v>668</v>
      </c>
      <c r="AT356" s="15" t="s">
        <v>200</v>
      </c>
      <c r="AU356" s="15" t="s">
        <v>691</v>
      </c>
      <c r="AV356" s="15" t="s">
        <v>162</v>
      </c>
      <c r="AW356" s="15" t="s">
        <v>138</v>
      </c>
      <c r="AX356" s="15" t="s">
        <v>138</v>
      </c>
      <c r="AY356" s="15" t="s">
        <v>7557</v>
      </c>
      <c r="AZ356" s="15" t="s">
        <v>164</v>
      </c>
      <c r="BA356" s="15" t="s">
        <v>165</v>
      </c>
      <c r="BB356" s="15" t="s">
        <v>7558</v>
      </c>
      <c r="BC356" s="15" t="s">
        <v>7559</v>
      </c>
      <c r="BD356" s="21">
        <v>8</v>
      </c>
      <c r="BE356" s="15" t="s">
        <v>138</v>
      </c>
      <c r="BF356" s="15" t="s">
        <v>138</v>
      </c>
      <c r="BG356" s="15" t="s">
        <v>138</v>
      </c>
      <c r="BH356" s="15" t="s">
        <v>7560</v>
      </c>
      <c r="BI356" s="15" t="s">
        <v>138</v>
      </c>
      <c r="BJ356" s="15" t="s">
        <v>138</v>
      </c>
      <c r="BK356" s="15" t="s">
        <v>7561</v>
      </c>
      <c r="BL356" s="15" t="s">
        <v>138</v>
      </c>
      <c r="BM356" s="22" t="s">
        <v>138</v>
      </c>
      <c r="BN356" s="17">
        <v>0.12</v>
      </c>
      <c r="BO356" s="15" t="s">
        <v>138</v>
      </c>
      <c r="BP356" s="17" t="s">
        <v>138</v>
      </c>
      <c r="BQ356" s="15" t="s">
        <v>138</v>
      </c>
      <c r="BR356" s="15" t="s">
        <v>316</v>
      </c>
      <c r="BS356" s="15" t="s">
        <v>138</v>
      </c>
      <c r="BT356" s="15" t="s">
        <v>138</v>
      </c>
      <c r="BU356" s="15" t="s">
        <v>177</v>
      </c>
      <c r="BV356" s="15" t="s">
        <v>138</v>
      </c>
      <c r="BW356" s="15" t="s">
        <v>138</v>
      </c>
      <c r="BX356" s="15" t="s">
        <v>138</v>
      </c>
      <c r="BY356" s="15" t="s">
        <v>175</v>
      </c>
      <c r="BZ356" s="22">
        <v>42956</v>
      </c>
      <c r="CA356" s="17">
        <v>4</v>
      </c>
      <c r="CB356" s="15" t="s">
        <v>1178</v>
      </c>
      <c r="CC356" s="17">
        <v>12.4</v>
      </c>
      <c r="CD356" s="15" t="s">
        <v>172</v>
      </c>
      <c r="CE356" s="15" t="s">
        <v>234</v>
      </c>
      <c r="CF356" s="15" t="s">
        <v>234</v>
      </c>
      <c r="CG356" s="15" t="s">
        <v>138</v>
      </c>
      <c r="CH356" s="15" t="s">
        <v>174</v>
      </c>
      <c r="CI356" s="15" t="s">
        <v>138</v>
      </c>
      <c r="CJ356" s="15" t="s">
        <v>138</v>
      </c>
      <c r="CK356" s="15" t="s">
        <v>138</v>
      </c>
      <c r="CL356" s="15" t="s">
        <v>175</v>
      </c>
      <c r="CM356" s="22" t="s">
        <v>138</v>
      </c>
      <c r="CN356" s="17" t="s">
        <v>138</v>
      </c>
      <c r="CO356" s="23">
        <v>3.07</v>
      </c>
      <c r="CP356" s="24">
        <v>100</v>
      </c>
      <c r="CQ356" s="23">
        <v>-7.0000000000000007E-2</v>
      </c>
      <c r="CR356" s="23">
        <v>-2.2400000000000002</v>
      </c>
      <c r="CS356" s="23">
        <v>7.96</v>
      </c>
      <c r="CT356" s="24">
        <v>100</v>
      </c>
      <c r="CU356" s="23">
        <v>0.52</v>
      </c>
      <c r="CV356" s="24">
        <v>94</v>
      </c>
      <c r="CW356" s="23">
        <v>15.92</v>
      </c>
      <c r="CX356" s="24">
        <v>100</v>
      </c>
      <c r="CY356" s="23">
        <v>0</v>
      </c>
      <c r="CZ356" s="24">
        <v>25</v>
      </c>
      <c r="DA356" s="23">
        <v>0.4</v>
      </c>
      <c r="DB356" s="24">
        <v>92</v>
      </c>
      <c r="DC356" s="25">
        <v>2.11</v>
      </c>
      <c r="DD356" s="24">
        <v>68</v>
      </c>
      <c r="DE356" s="25">
        <v>-0.21</v>
      </c>
      <c r="DF356" s="23">
        <v>-9.1999999999999993</v>
      </c>
      <c r="DG356" s="25">
        <v>5.27</v>
      </c>
      <c r="DH356" s="24">
        <v>83</v>
      </c>
      <c r="DI356" s="25">
        <v>1.03</v>
      </c>
      <c r="DJ356" s="24">
        <v>50</v>
      </c>
      <c r="DK356" s="25">
        <v>9.98</v>
      </c>
      <c r="DL356" s="24">
        <v>87</v>
      </c>
      <c r="DM356" s="25">
        <v>0.55000000000000004</v>
      </c>
      <c r="DN356" s="24">
        <v>36</v>
      </c>
      <c r="DO356" s="25">
        <v>1.06</v>
      </c>
      <c r="DP356" s="24">
        <v>52</v>
      </c>
      <c r="DQ356" s="24">
        <v>3407</v>
      </c>
      <c r="DR356" s="26">
        <v>51</v>
      </c>
      <c r="DS356" s="23">
        <v>1.52</v>
      </c>
      <c r="DT356" s="24">
        <v>16</v>
      </c>
      <c r="DU356" s="26">
        <v>0</v>
      </c>
      <c r="DV356" s="23">
        <v>0</v>
      </c>
      <c r="DW356" s="24">
        <v>379</v>
      </c>
      <c r="DX356" s="27">
        <v>0</v>
      </c>
      <c r="DY356" s="23">
        <v>0</v>
      </c>
      <c r="DZ356" s="15" t="s">
        <v>178</v>
      </c>
      <c r="EA356" s="22">
        <v>43467</v>
      </c>
      <c r="EB356" s="17">
        <v>12.4</v>
      </c>
      <c r="EC356" s="22">
        <v>42956</v>
      </c>
      <c r="ED356" s="15" t="s">
        <v>234</v>
      </c>
      <c r="EE356" s="14" t="str">
        <f>HYPERLINK("https://my.pitchbook.com?c=167959-27", "View company online")</f>
        <v>View company online</v>
      </c>
    </row>
    <row r="357" spans="1:135">
      <c r="A357" s="28" t="s">
        <v>7562</v>
      </c>
      <c r="B357" s="28" t="s">
        <v>7563</v>
      </c>
      <c r="C357" s="28" t="s">
        <v>138</v>
      </c>
      <c r="D357" s="28" t="s">
        <v>138</v>
      </c>
      <c r="E357" s="28" t="s">
        <v>7564</v>
      </c>
      <c r="F357" s="28" t="s">
        <v>7562</v>
      </c>
      <c r="G357" s="28" t="s">
        <v>7565</v>
      </c>
      <c r="H357" s="28" t="s">
        <v>385</v>
      </c>
      <c r="I357" s="28" t="s">
        <v>386</v>
      </c>
      <c r="J357" s="28" t="s">
        <v>387</v>
      </c>
      <c r="K357" s="28" t="s">
        <v>7566</v>
      </c>
      <c r="L357" s="28" t="s">
        <v>7567</v>
      </c>
      <c r="M357" s="28" t="s">
        <v>7568</v>
      </c>
      <c r="N357" s="28" t="s">
        <v>147</v>
      </c>
      <c r="O357" s="29">
        <v>41.47</v>
      </c>
      <c r="P357" s="28" t="s">
        <v>148</v>
      </c>
      <c r="Q357" s="28" t="s">
        <v>149</v>
      </c>
      <c r="R357" s="28" t="s">
        <v>174</v>
      </c>
      <c r="S357" s="28" t="s">
        <v>7569</v>
      </c>
      <c r="T357" s="30">
        <v>130</v>
      </c>
      <c r="U357" s="28" t="s">
        <v>7570</v>
      </c>
      <c r="V357" s="28" t="s">
        <v>138</v>
      </c>
      <c r="W357" s="28" t="s">
        <v>138</v>
      </c>
      <c r="X357" s="31">
        <v>2010</v>
      </c>
      <c r="Y357" s="28" t="s">
        <v>138</v>
      </c>
      <c r="Z357" s="28" t="s">
        <v>138</v>
      </c>
      <c r="AA357" s="28" t="s">
        <v>138</v>
      </c>
      <c r="AB357" s="32">
        <v>6.64</v>
      </c>
      <c r="AC357" s="32" t="s">
        <v>138</v>
      </c>
      <c r="AD357" s="32" t="s">
        <v>138</v>
      </c>
      <c r="AE357" s="32" t="s">
        <v>138</v>
      </c>
      <c r="AF357" s="32" t="s">
        <v>138</v>
      </c>
      <c r="AG357" s="28" t="s">
        <v>633</v>
      </c>
      <c r="AH357" s="32" t="s">
        <v>138</v>
      </c>
      <c r="AI357" s="32" t="s">
        <v>138</v>
      </c>
      <c r="AJ357" s="32" t="s">
        <v>138</v>
      </c>
      <c r="AK357" s="28" t="s">
        <v>7571</v>
      </c>
      <c r="AL357" s="28" t="s">
        <v>7572</v>
      </c>
      <c r="AM357" s="28" t="s">
        <v>7573</v>
      </c>
      <c r="AN357" s="28" t="s">
        <v>7574</v>
      </c>
      <c r="AO357" s="28" t="s">
        <v>7575</v>
      </c>
      <c r="AP357" s="28" t="s">
        <v>7576</v>
      </c>
      <c r="AQ357" s="28" t="s">
        <v>7577</v>
      </c>
      <c r="AR357" s="28" t="s">
        <v>138</v>
      </c>
      <c r="AS357" s="28" t="s">
        <v>7578</v>
      </c>
      <c r="AT357" s="28" t="s">
        <v>138</v>
      </c>
      <c r="AU357" s="28" t="s">
        <v>7579</v>
      </c>
      <c r="AV357" s="28" t="s">
        <v>946</v>
      </c>
      <c r="AW357" s="28" t="s">
        <v>7575</v>
      </c>
      <c r="AX357" s="28" t="s">
        <v>7580</v>
      </c>
      <c r="AY357" s="28" t="s">
        <v>7581</v>
      </c>
      <c r="AZ357" s="28" t="s">
        <v>530</v>
      </c>
      <c r="BA357" s="28" t="s">
        <v>531</v>
      </c>
      <c r="BB357" s="28" t="s">
        <v>7582</v>
      </c>
      <c r="BC357" s="28" t="s">
        <v>7583</v>
      </c>
      <c r="BD357" s="33">
        <v>7</v>
      </c>
      <c r="BE357" s="28" t="s">
        <v>138</v>
      </c>
      <c r="BF357" s="28" t="s">
        <v>138</v>
      </c>
      <c r="BG357" s="28" t="s">
        <v>138</v>
      </c>
      <c r="BH357" s="28" t="s">
        <v>7584</v>
      </c>
      <c r="BI357" s="28" t="s">
        <v>138</v>
      </c>
      <c r="BJ357" s="28" t="s">
        <v>138</v>
      </c>
      <c r="BK357" s="28" t="s">
        <v>7585</v>
      </c>
      <c r="BL357" s="28" t="s">
        <v>7586</v>
      </c>
      <c r="BM357" s="34">
        <v>41275</v>
      </c>
      <c r="BN357" s="29">
        <v>1.59</v>
      </c>
      <c r="BO357" s="28" t="s">
        <v>172</v>
      </c>
      <c r="BP357" s="29" t="s">
        <v>138</v>
      </c>
      <c r="BQ357" s="28" t="s">
        <v>138</v>
      </c>
      <c r="BR357" s="28" t="s">
        <v>205</v>
      </c>
      <c r="BS357" s="28" t="s">
        <v>623</v>
      </c>
      <c r="BT357" s="28" t="s">
        <v>138</v>
      </c>
      <c r="BU357" s="28" t="s">
        <v>174</v>
      </c>
      <c r="BV357" s="28" t="s">
        <v>138</v>
      </c>
      <c r="BW357" s="28" t="s">
        <v>138</v>
      </c>
      <c r="BX357" s="28" t="s">
        <v>138</v>
      </c>
      <c r="BY357" s="28" t="s">
        <v>175</v>
      </c>
      <c r="BZ357" s="34">
        <v>43472</v>
      </c>
      <c r="CA357" s="29">
        <v>29.13</v>
      </c>
      <c r="CB357" s="28" t="s">
        <v>172</v>
      </c>
      <c r="CC357" s="29">
        <v>114.49</v>
      </c>
      <c r="CD357" s="28" t="s">
        <v>1178</v>
      </c>
      <c r="CE357" s="28" t="s">
        <v>173</v>
      </c>
      <c r="CF357" s="28" t="s">
        <v>317</v>
      </c>
      <c r="CG357" s="28" t="s">
        <v>138</v>
      </c>
      <c r="CH357" s="28" t="s">
        <v>174</v>
      </c>
      <c r="CI357" s="28" t="s">
        <v>138</v>
      </c>
      <c r="CJ357" s="28" t="s">
        <v>138</v>
      </c>
      <c r="CK357" s="28" t="s">
        <v>138</v>
      </c>
      <c r="CL357" s="28" t="s">
        <v>175</v>
      </c>
      <c r="CM357" s="34" t="s">
        <v>138</v>
      </c>
      <c r="CN357" s="29" t="s">
        <v>138</v>
      </c>
      <c r="CO357" s="35">
        <v>0.53</v>
      </c>
      <c r="CP357" s="36">
        <v>95</v>
      </c>
      <c r="CQ357" s="35">
        <v>-0.05</v>
      </c>
      <c r="CR357" s="35">
        <v>-8.48</v>
      </c>
      <c r="CS357" s="35">
        <v>0.16</v>
      </c>
      <c r="CT357" s="36">
        <v>94</v>
      </c>
      <c r="CU357" s="35">
        <v>1.25</v>
      </c>
      <c r="CV357" s="36">
        <v>99</v>
      </c>
      <c r="CW357" s="35" t="s">
        <v>138</v>
      </c>
      <c r="CX357" s="36" t="s">
        <v>138</v>
      </c>
      <c r="CY357" s="35">
        <v>0.16</v>
      </c>
      <c r="CZ357" s="36">
        <v>98</v>
      </c>
      <c r="DA357" s="35">
        <v>1.25</v>
      </c>
      <c r="DB357" s="36">
        <v>99</v>
      </c>
      <c r="DC357" s="37">
        <v>9.57</v>
      </c>
      <c r="DD357" s="36">
        <v>90</v>
      </c>
      <c r="DE357" s="37">
        <v>0.13</v>
      </c>
      <c r="DF357" s="35">
        <v>1.36</v>
      </c>
      <c r="DG357" s="37">
        <v>25.76</v>
      </c>
      <c r="DH357" s="36">
        <v>96</v>
      </c>
      <c r="DI357" s="37">
        <v>2.71</v>
      </c>
      <c r="DJ357" s="36">
        <v>68</v>
      </c>
      <c r="DK357" s="37" t="s">
        <v>138</v>
      </c>
      <c r="DL357" s="36" t="s">
        <v>138</v>
      </c>
      <c r="DM357" s="37">
        <v>25.76</v>
      </c>
      <c r="DN357" s="36">
        <v>96</v>
      </c>
      <c r="DO357" s="37">
        <v>2.71</v>
      </c>
      <c r="DP357" s="36">
        <v>69</v>
      </c>
      <c r="DQ357" s="36" t="s">
        <v>138</v>
      </c>
      <c r="DR357" s="38" t="s">
        <v>138</v>
      </c>
      <c r="DS357" s="35" t="s">
        <v>138</v>
      </c>
      <c r="DT357" s="36">
        <v>742</v>
      </c>
      <c r="DU357" s="38">
        <v>9</v>
      </c>
      <c r="DV357" s="35">
        <v>1.23</v>
      </c>
      <c r="DW357" s="36">
        <v>970</v>
      </c>
      <c r="DX357" s="39">
        <v>22</v>
      </c>
      <c r="DY357" s="35">
        <v>2.3199999999999998</v>
      </c>
      <c r="DZ357" s="28" t="s">
        <v>178</v>
      </c>
      <c r="EA357" s="34">
        <v>43609</v>
      </c>
      <c r="EB357" s="29">
        <v>114.49</v>
      </c>
      <c r="EC357" s="34">
        <v>43472</v>
      </c>
      <c r="ED357" s="28" t="s">
        <v>173</v>
      </c>
      <c r="EE357" s="40" t="str">
        <f>HYPERLINK("https://my.pitchbook.com?c=60513-49", "View company online")</f>
        <v>View company online</v>
      </c>
    </row>
    <row r="358" spans="1:135">
      <c r="A358" s="15" t="s">
        <v>7587</v>
      </c>
      <c r="B358" s="15" t="s">
        <v>7588</v>
      </c>
      <c r="C358" s="15" t="s">
        <v>7589</v>
      </c>
      <c r="D358" s="15" t="s">
        <v>138</v>
      </c>
      <c r="E358" s="15" t="s">
        <v>7590</v>
      </c>
      <c r="F358" s="15" t="s">
        <v>7587</v>
      </c>
      <c r="G358" s="15" t="s">
        <v>7591</v>
      </c>
      <c r="H358" s="15" t="s">
        <v>385</v>
      </c>
      <c r="I358" s="15" t="s">
        <v>386</v>
      </c>
      <c r="J358" s="15" t="s">
        <v>387</v>
      </c>
      <c r="K358" s="15" t="s">
        <v>7592</v>
      </c>
      <c r="L358" s="15" t="s">
        <v>7593</v>
      </c>
      <c r="M358" s="15" t="s">
        <v>7594</v>
      </c>
      <c r="N358" s="15" t="s">
        <v>2063</v>
      </c>
      <c r="O358" s="17">
        <v>300</v>
      </c>
      <c r="P358" s="15" t="s">
        <v>1473</v>
      </c>
      <c r="Q358" s="15" t="s">
        <v>149</v>
      </c>
      <c r="R358" s="15" t="s">
        <v>1474</v>
      </c>
      <c r="S358" s="15" t="s">
        <v>7595</v>
      </c>
      <c r="T358" s="18">
        <v>2000</v>
      </c>
      <c r="U358" s="15" t="s">
        <v>7596</v>
      </c>
      <c r="V358" s="15" t="s">
        <v>138</v>
      </c>
      <c r="W358" s="15" t="s">
        <v>138</v>
      </c>
      <c r="X358" s="19">
        <v>1959</v>
      </c>
      <c r="Y358" s="15" t="s">
        <v>138</v>
      </c>
      <c r="Z358" s="15" t="s">
        <v>138</v>
      </c>
      <c r="AA358" s="15" t="s">
        <v>138</v>
      </c>
      <c r="AB358" s="20">
        <v>1864.5</v>
      </c>
      <c r="AC358" s="20">
        <v>329</v>
      </c>
      <c r="AD358" s="20">
        <v>-1166.2</v>
      </c>
      <c r="AE358" s="20">
        <v>14296.22</v>
      </c>
      <c r="AF358" s="20">
        <v>-371.8</v>
      </c>
      <c r="AG358" s="15" t="s">
        <v>6890</v>
      </c>
      <c r="AH358" s="20" t="s">
        <v>138</v>
      </c>
      <c r="AI358" s="20" t="s">
        <v>138</v>
      </c>
      <c r="AJ358" s="20" t="s">
        <v>138</v>
      </c>
      <c r="AK358" s="15" t="s">
        <v>7597</v>
      </c>
      <c r="AL358" s="15" t="s">
        <v>7598</v>
      </c>
      <c r="AM358" s="15" t="s">
        <v>7599</v>
      </c>
      <c r="AN358" s="15" t="s">
        <v>7600</v>
      </c>
      <c r="AO358" s="15" t="s">
        <v>138</v>
      </c>
      <c r="AP358" s="15" t="s">
        <v>7601</v>
      </c>
      <c r="AQ358" s="15" t="s">
        <v>7602</v>
      </c>
      <c r="AR358" s="15" t="s">
        <v>7603</v>
      </c>
      <c r="AS358" s="15" t="s">
        <v>7604</v>
      </c>
      <c r="AT358" s="15" t="s">
        <v>7605</v>
      </c>
      <c r="AU358" s="15" t="s">
        <v>7606</v>
      </c>
      <c r="AV358" s="15" t="s">
        <v>162</v>
      </c>
      <c r="AW358" s="15" t="s">
        <v>138</v>
      </c>
      <c r="AX358" s="15" t="s">
        <v>138</v>
      </c>
      <c r="AY358" s="15" t="s">
        <v>7607</v>
      </c>
      <c r="AZ358" s="15" t="s">
        <v>164</v>
      </c>
      <c r="BA358" s="15" t="s">
        <v>165</v>
      </c>
      <c r="BB358" s="15" t="s">
        <v>7608</v>
      </c>
      <c r="BC358" s="15" t="s">
        <v>138</v>
      </c>
      <c r="BD358" s="21" t="s">
        <v>138</v>
      </c>
      <c r="BE358" s="15" t="s">
        <v>138</v>
      </c>
      <c r="BF358" s="15" t="s">
        <v>7609</v>
      </c>
      <c r="BG358" s="15" t="s">
        <v>138</v>
      </c>
      <c r="BH358" s="15" t="s">
        <v>138</v>
      </c>
      <c r="BI358" s="15" t="s">
        <v>7610</v>
      </c>
      <c r="BJ358" s="15" t="s">
        <v>138</v>
      </c>
      <c r="BK358" s="15" t="s">
        <v>7611</v>
      </c>
      <c r="BL358" s="15" t="s">
        <v>7612</v>
      </c>
      <c r="BM358" s="22">
        <v>34893</v>
      </c>
      <c r="BN358" s="17" t="s">
        <v>138</v>
      </c>
      <c r="BO358" s="15" t="s">
        <v>138</v>
      </c>
      <c r="BP358" s="17" t="s">
        <v>138</v>
      </c>
      <c r="BQ358" s="15" t="s">
        <v>138</v>
      </c>
      <c r="BR358" s="15" t="s">
        <v>7613</v>
      </c>
      <c r="BS358" s="15" t="s">
        <v>138</v>
      </c>
      <c r="BT358" s="15" t="s">
        <v>138</v>
      </c>
      <c r="BU358" s="15" t="s">
        <v>7614</v>
      </c>
      <c r="BV358" s="15" t="s">
        <v>138</v>
      </c>
      <c r="BW358" s="15" t="s">
        <v>138</v>
      </c>
      <c r="BX358" s="15" t="s">
        <v>138</v>
      </c>
      <c r="BY358" s="15" t="s">
        <v>175</v>
      </c>
      <c r="BZ358" s="22">
        <v>42531</v>
      </c>
      <c r="CA358" s="17">
        <v>300</v>
      </c>
      <c r="CB358" s="15" t="s">
        <v>172</v>
      </c>
      <c r="CC358" s="17" t="s">
        <v>138</v>
      </c>
      <c r="CD358" s="15" t="s">
        <v>138</v>
      </c>
      <c r="CE358" s="15" t="s">
        <v>1326</v>
      </c>
      <c r="CF358" s="15" t="s">
        <v>138</v>
      </c>
      <c r="CG358" s="15" t="s">
        <v>138</v>
      </c>
      <c r="CH358" s="15" t="s">
        <v>1327</v>
      </c>
      <c r="CI358" s="15" t="s">
        <v>1497</v>
      </c>
      <c r="CJ358" s="15" t="s">
        <v>7268</v>
      </c>
      <c r="CK358" s="15" t="s">
        <v>138</v>
      </c>
      <c r="CL358" s="15" t="s">
        <v>175</v>
      </c>
      <c r="CM358" s="22">
        <v>42531</v>
      </c>
      <c r="CN358" s="17" t="s">
        <v>138</v>
      </c>
      <c r="CO358" s="23" t="s">
        <v>138</v>
      </c>
      <c r="CP358" s="24" t="s">
        <v>138</v>
      </c>
      <c r="CQ358" s="23" t="s">
        <v>138</v>
      </c>
      <c r="CR358" s="23" t="s">
        <v>138</v>
      </c>
      <c r="CS358" s="23" t="s">
        <v>138</v>
      </c>
      <c r="CT358" s="24" t="s">
        <v>138</v>
      </c>
      <c r="CU358" s="23" t="s">
        <v>138</v>
      </c>
      <c r="CV358" s="24" t="s">
        <v>138</v>
      </c>
      <c r="CW358" s="23" t="s">
        <v>138</v>
      </c>
      <c r="CX358" s="24" t="s">
        <v>138</v>
      </c>
      <c r="CY358" s="23" t="s">
        <v>138</v>
      </c>
      <c r="CZ358" s="24" t="s">
        <v>138</v>
      </c>
      <c r="DA358" s="23" t="s">
        <v>138</v>
      </c>
      <c r="DB358" s="24" t="s">
        <v>138</v>
      </c>
      <c r="DC358" s="25" t="s">
        <v>138</v>
      </c>
      <c r="DD358" s="24" t="s">
        <v>138</v>
      </c>
      <c r="DE358" s="25" t="s">
        <v>138</v>
      </c>
      <c r="DF358" s="23" t="s">
        <v>138</v>
      </c>
      <c r="DG358" s="25" t="s">
        <v>138</v>
      </c>
      <c r="DH358" s="24" t="s">
        <v>138</v>
      </c>
      <c r="DI358" s="25" t="s">
        <v>138</v>
      </c>
      <c r="DJ358" s="24" t="s">
        <v>138</v>
      </c>
      <c r="DK358" s="25" t="s">
        <v>138</v>
      </c>
      <c r="DL358" s="24" t="s">
        <v>138</v>
      </c>
      <c r="DM358" s="25" t="s">
        <v>138</v>
      </c>
      <c r="DN358" s="24" t="s">
        <v>138</v>
      </c>
      <c r="DO358" s="25" t="s">
        <v>138</v>
      </c>
      <c r="DP358" s="24" t="s">
        <v>138</v>
      </c>
      <c r="DQ358" s="24" t="s">
        <v>138</v>
      </c>
      <c r="DR358" s="26" t="s">
        <v>138</v>
      </c>
      <c r="DS358" s="23" t="s">
        <v>138</v>
      </c>
      <c r="DT358" s="24" t="s">
        <v>138</v>
      </c>
      <c r="DU358" s="26" t="s">
        <v>138</v>
      </c>
      <c r="DV358" s="23" t="s">
        <v>138</v>
      </c>
      <c r="DW358" s="24" t="s">
        <v>138</v>
      </c>
      <c r="DX358" s="27" t="s">
        <v>138</v>
      </c>
      <c r="DY358" s="23" t="s">
        <v>138</v>
      </c>
      <c r="DZ358" s="15" t="s">
        <v>178</v>
      </c>
      <c r="EA358" s="22">
        <v>43622</v>
      </c>
      <c r="EB358" s="17" t="s">
        <v>138</v>
      </c>
      <c r="EC358" s="22" t="s">
        <v>138</v>
      </c>
      <c r="ED358" s="15" t="s">
        <v>138</v>
      </c>
      <c r="EE358" s="14" t="str">
        <f>HYPERLINK("https://my.pitchbook.com?c=11991-52", "View company online")</f>
        <v>View company online</v>
      </c>
    </row>
    <row r="359" spans="1:135">
      <c r="A359" s="28" t="s">
        <v>7615</v>
      </c>
      <c r="B359" s="28" t="s">
        <v>7616</v>
      </c>
      <c r="C359" s="28" t="s">
        <v>7617</v>
      </c>
      <c r="D359" s="28" t="s">
        <v>7618</v>
      </c>
      <c r="E359" s="28" t="s">
        <v>7619</v>
      </c>
      <c r="F359" s="28" t="s">
        <v>7615</v>
      </c>
      <c r="G359" s="28" t="s">
        <v>7620</v>
      </c>
      <c r="H359" s="28" t="s">
        <v>385</v>
      </c>
      <c r="I359" s="28" t="s">
        <v>386</v>
      </c>
      <c r="J359" s="28" t="s">
        <v>387</v>
      </c>
      <c r="K359" s="28" t="s">
        <v>7621</v>
      </c>
      <c r="L359" s="28" t="s">
        <v>1994</v>
      </c>
      <c r="M359" s="28" t="s">
        <v>7622</v>
      </c>
      <c r="N359" s="28" t="s">
        <v>147</v>
      </c>
      <c r="O359" s="29">
        <v>33.75</v>
      </c>
      <c r="P359" s="28" t="s">
        <v>610</v>
      </c>
      <c r="Q359" s="28" t="s">
        <v>149</v>
      </c>
      <c r="R359" s="28" t="s">
        <v>174</v>
      </c>
      <c r="S359" s="28" t="s">
        <v>7623</v>
      </c>
      <c r="T359" s="30">
        <v>61</v>
      </c>
      <c r="U359" s="28" t="s">
        <v>7624</v>
      </c>
      <c r="V359" s="28" t="s">
        <v>138</v>
      </c>
      <c r="W359" s="28" t="s">
        <v>138</v>
      </c>
      <c r="X359" s="31" t="s">
        <v>138</v>
      </c>
      <c r="Y359" s="28" t="s">
        <v>138</v>
      </c>
      <c r="Z359" s="28" t="s">
        <v>138</v>
      </c>
      <c r="AA359" s="28" t="s">
        <v>138</v>
      </c>
      <c r="AB359" s="32" t="s">
        <v>138</v>
      </c>
      <c r="AC359" s="32" t="s">
        <v>138</v>
      </c>
      <c r="AD359" s="32" t="s">
        <v>138</v>
      </c>
      <c r="AE359" s="32" t="s">
        <v>138</v>
      </c>
      <c r="AF359" s="32" t="s">
        <v>138</v>
      </c>
      <c r="AG359" s="28" t="s">
        <v>138</v>
      </c>
      <c r="AH359" s="32" t="s">
        <v>138</v>
      </c>
      <c r="AI359" s="32" t="s">
        <v>138</v>
      </c>
      <c r="AJ359" s="32" t="s">
        <v>138</v>
      </c>
      <c r="AK359" s="28" t="s">
        <v>7625</v>
      </c>
      <c r="AL359" s="28" t="s">
        <v>7626</v>
      </c>
      <c r="AM359" s="28" t="s">
        <v>7627</v>
      </c>
      <c r="AN359" s="28" t="s">
        <v>7628</v>
      </c>
      <c r="AO359" s="28" t="s">
        <v>7629</v>
      </c>
      <c r="AP359" s="28" t="s">
        <v>7630</v>
      </c>
      <c r="AQ359" s="28" t="s">
        <v>7631</v>
      </c>
      <c r="AR359" s="28" t="s">
        <v>2004</v>
      </c>
      <c r="AS359" s="28" t="s">
        <v>7632</v>
      </c>
      <c r="AT359" s="28" t="s">
        <v>371</v>
      </c>
      <c r="AU359" s="28" t="s">
        <v>7633</v>
      </c>
      <c r="AV359" s="28" t="s">
        <v>162</v>
      </c>
      <c r="AW359" s="28" t="s">
        <v>7629</v>
      </c>
      <c r="AX359" s="28" t="s">
        <v>7634</v>
      </c>
      <c r="AY359" s="28" t="s">
        <v>7635</v>
      </c>
      <c r="AZ359" s="28" t="s">
        <v>164</v>
      </c>
      <c r="BA359" s="28" t="s">
        <v>165</v>
      </c>
      <c r="BB359" s="28" t="s">
        <v>7636</v>
      </c>
      <c r="BC359" s="28" t="s">
        <v>7637</v>
      </c>
      <c r="BD359" s="33">
        <v>1</v>
      </c>
      <c r="BE359" s="28" t="s">
        <v>138</v>
      </c>
      <c r="BF359" s="28" t="s">
        <v>7638</v>
      </c>
      <c r="BG359" s="28" t="s">
        <v>138</v>
      </c>
      <c r="BH359" s="28" t="s">
        <v>138</v>
      </c>
      <c r="BI359" s="28" t="s">
        <v>7639</v>
      </c>
      <c r="BJ359" s="28" t="s">
        <v>138</v>
      </c>
      <c r="BK359" s="28" t="s">
        <v>138</v>
      </c>
      <c r="BL359" s="28" t="s">
        <v>138</v>
      </c>
      <c r="BM359" s="34">
        <v>39351</v>
      </c>
      <c r="BN359" s="29">
        <v>1</v>
      </c>
      <c r="BO359" s="28" t="s">
        <v>172</v>
      </c>
      <c r="BP359" s="29">
        <v>2.15</v>
      </c>
      <c r="BQ359" s="28" t="s">
        <v>172</v>
      </c>
      <c r="BR359" s="28" t="s">
        <v>205</v>
      </c>
      <c r="BS359" s="28" t="s">
        <v>623</v>
      </c>
      <c r="BT359" s="28" t="s">
        <v>138</v>
      </c>
      <c r="BU359" s="28" t="s">
        <v>174</v>
      </c>
      <c r="BV359" s="28" t="s">
        <v>138</v>
      </c>
      <c r="BW359" s="28" t="s">
        <v>138</v>
      </c>
      <c r="BX359" s="28" t="s">
        <v>138</v>
      </c>
      <c r="BY359" s="28" t="s">
        <v>175</v>
      </c>
      <c r="BZ359" s="34">
        <v>41090</v>
      </c>
      <c r="CA359" s="29">
        <v>33.75</v>
      </c>
      <c r="CB359" s="28" t="s">
        <v>172</v>
      </c>
      <c r="CC359" s="29" t="s">
        <v>138</v>
      </c>
      <c r="CD359" s="28" t="s">
        <v>138</v>
      </c>
      <c r="CE359" s="28" t="s">
        <v>173</v>
      </c>
      <c r="CF359" s="28" t="s">
        <v>138</v>
      </c>
      <c r="CG359" s="28" t="s">
        <v>138</v>
      </c>
      <c r="CH359" s="28" t="s">
        <v>174</v>
      </c>
      <c r="CI359" s="28" t="s">
        <v>138</v>
      </c>
      <c r="CJ359" s="28" t="s">
        <v>138</v>
      </c>
      <c r="CK359" s="28" t="s">
        <v>138</v>
      </c>
      <c r="CL359" s="28" t="s">
        <v>175</v>
      </c>
      <c r="CM359" s="34" t="s">
        <v>138</v>
      </c>
      <c r="CN359" s="29" t="s">
        <v>138</v>
      </c>
      <c r="CO359" s="35">
        <v>-1.29</v>
      </c>
      <c r="CP359" s="36">
        <v>9</v>
      </c>
      <c r="CQ359" s="35">
        <v>0.02</v>
      </c>
      <c r="CR359" s="35">
        <v>1.6</v>
      </c>
      <c r="CS359" s="35">
        <v>-2.58</v>
      </c>
      <c r="CT359" s="36">
        <v>6</v>
      </c>
      <c r="CU359" s="35">
        <v>0</v>
      </c>
      <c r="CV359" s="36">
        <v>22</v>
      </c>
      <c r="CW359" s="35" t="s">
        <v>138</v>
      </c>
      <c r="CX359" s="36" t="s">
        <v>138</v>
      </c>
      <c r="CY359" s="35">
        <v>-2.58</v>
      </c>
      <c r="CZ359" s="36">
        <v>8</v>
      </c>
      <c r="DA359" s="35">
        <v>0</v>
      </c>
      <c r="DB359" s="36">
        <v>22</v>
      </c>
      <c r="DC359" s="37">
        <v>2.17</v>
      </c>
      <c r="DD359" s="36">
        <v>69</v>
      </c>
      <c r="DE359" s="37">
        <v>-0.02</v>
      </c>
      <c r="DF359" s="35">
        <v>-0.78</v>
      </c>
      <c r="DG359" s="37">
        <v>4.28</v>
      </c>
      <c r="DH359" s="36">
        <v>80</v>
      </c>
      <c r="DI359" s="37">
        <v>7.0000000000000007E-2</v>
      </c>
      <c r="DJ359" s="36">
        <v>11</v>
      </c>
      <c r="DK359" s="37" t="s">
        <v>138</v>
      </c>
      <c r="DL359" s="36" t="s">
        <v>138</v>
      </c>
      <c r="DM359" s="37">
        <v>4.28</v>
      </c>
      <c r="DN359" s="36">
        <v>79</v>
      </c>
      <c r="DO359" s="37">
        <v>7.0000000000000007E-2</v>
      </c>
      <c r="DP359" s="36">
        <v>13</v>
      </c>
      <c r="DQ359" s="36" t="s">
        <v>138</v>
      </c>
      <c r="DR359" s="38" t="s">
        <v>138</v>
      </c>
      <c r="DS359" s="35" t="s">
        <v>138</v>
      </c>
      <c r="DT359" s="36">
        <v>124</v>
      </c>
      <c r="DU359" s="38">
        <v>-2</v>
      </c>
      <c r="DV359" s="35">
        <v>-1.59</v>
      </c>
      <c r="DW359" s="36">
        <v>25</v>
      </c>
      <c r="DX359" s="39">
        <v>0</v>
      </c>
      <c r="DY359" s="35">
        <v>0</v>
      </c>
      <c r="DZ359" s="28" t="s">
        <v>178</v>
      </c>
      <c r="EA359" s="34">
        <v>43622</v>
      </c>
      <c r="EB359" s="29">
        <v>155</v>
      </c>
      <c r="EC359" s="34">
        <v>40735</v>
      </c>
      <c r="ED359" s="28" t="s">
        <v>349</v>
      </c>
      <c r="EE359" s="40" t="str">
        <f>HYPERLINK("https://my.pitchbook.com?c=42778-54", "View company online")</f>
        <v>View company online</v>
      </c>
    </row>
    <row r="360" spans="1:135">
      <c r="A360" s="15" t="s">
        <v>7640</v>
      </c>
      <c r="B360" s="15" t="s">
        <v>7641</v>
      </c>
      <c r="C360" s="15" t="s">
        <v>138</v>
      </c>
      <c r="D360" s="15" t="s">
        <v>138</v>
      </c>
      <c r="E360" s="15" t="s">
        <v>7642</v>
      </c>
      <c r="F360" s="15" t="s">
        <v>7640</v>
      </c>
      <c r="G360" s="15" t="s">
        <v>7643</v>
      </c>
      <c r="H360" s="15" t="s">
        <v>141</v>
      </c>
      <c r="I360" s="15" t="s">
        <v>212</v>
      </c>
      <c r="J360" s="15" t="s">
        <v>213</v>
      </c>
      <c r="K360" s="15" t="s">
        <v>7644</v>
      </c>
      <c r="L360" s="15" t="s">
        <v>215</v>
      </c>
      <c r="M360" s="15" t="s">
        <v>7645</v>
      </c>
      <c r="N360" s="15" t="s">
        <v>147</v>
      </c>
      <c r="O360" s="17">
        <v>70.099999999999994</v>
      </c>
      <c r="P360" s="15" t="s">
        <v>148</v>
      </c>
      <c r="Q360" s="15" t="s">
        <v>149</v>
      </c>
      <c r="R360" s="15" t="s">
        <v>174</v>
      </c>
      <c r="S360" s="15" t="s">
        <v>7646</v>
      </c>
      <c r="T360" s="18">
        <v>150</v>
      </c>
      <c r="U360" s="15" t="s">
        <v>7647</v>
      </c>
      <c r="V360" s="15" t="s">
        <v>138</v>
      </c>
      <c r="W360" s="15" t="s">
        <v>138</v>
      </c>
      <c r="X360" s="19">
        <v>2006</v>
      </c>
      <c r="Y360" s="15" t="s">
        <v>138</v>
      </c>
      <c r="Z360" s="15" t="s">
        <v>138</v>
      </c>
      <c r="AA360" s="15" t="s">
        <v>138</v>
      </c>
      <c r="AB360" s="20" t="s">
        <v>138</v>
      </c>
      <c r="AC360" s="20" t="s">
        <v>138</v>
      </c>
      <c r="AD360" s="20" t="s">
        <v>138</v>
      </c>
      <c r="AE360" s="20" t="s">
        <v>138</v>
      </c>
      <c r="AF360" s="20" t="s">
        <v>138</v>
      </c>
      <c r="AG360" s="15" t="s">
        <v>138</v>
      </c>
      <c r="AH360" s="20" t="s">
        <v>138</v>
      </c>
      <c r="AI360" s="20" t="s">
        <v>138</v>
      </c>
      <c r="AJ360" s="20" t="s">
        <v>138</v>
      </c>
      <c r="AK360" s="15" t="s">
        <v>7648</v>
      </c>
      <c r="AL360" s="15" t="s">
        <v>7649</v>
      </c>
      <c r="AM360" s="15" t="s">
        <v>4399</v>
      </c>
      <c r="AN360" s="15" t="s">
        <v>7650</v>
      </c>
      <c r="AO360" s="15" t="s">
        <v>7651</v>
      </c>
      <c r="AP360" s="15" t="s">
        <v>423</v>
      </c>
      <c r="AQ360" s="15" t="s">
        <v>7652</v>
      </c>
      <c r="AR360" s="15" t="s">
        <v>713</v>
      </c>
      <c r="AS360" s="15" t="s">
        <v>426</v>
      </c>
      <c r="AT360" s="15" t="s">
        <v>426</v>
      </c>
      <c r="AU360" s="15" t="s">
        <v>2610</v>
      </c>
      <c r="AV360" s="15" t="s">
        <v>162</v>
      </c>
      <c r="AW360" s="15" t="s">
        <v>7651</v>
      </c>
      <c r="AX360" s="15" t="s">
        <v>7653</v>
      </c>
      <c r="AY360" s="15" t="s">
        <v>7654</v>
      </c>
      <c r="AZ360" s="15" t="s">
        <v>164</v>
      </c>
      <c r="BA360" s="15" t="s">
        <v>165</v>
      </c>
      <c r="BB360" s="15" t="s">
        <v>7655</v>
      </c>
      <c r="BC360" s="15" t="s">
        <v>7656</v>
      </c>
      <c r="BD360" s="21">
        <v>8</v>
      </c>
      <c r="BE360" s="15" t="s">
        <v>138</v>
      </c>
      <c r="BF360" s="15" t="s">
        <v>138</v>
      </c>
      <c r="BG360" s="15" t="s">
        <v>138</v>
      </c>
      <c r="BH360" s="15" t="s">
        <v>7657</v>
      </c>
      <c r="BI360" s="15" t="s">
        <v>138</v>
      </c>
      <c r="BJ360" s="15" t="s">
        <v>138</v>
      </c>
      <c r="BK360" s="15" t="s">
        <v>4576</v>
      </c>
      <c r="BL360" s="15" t="s">
        <v>7658</v>
      </c>
      <c r="BM360" s="22">
        <v>39819</v>
      </c>
      <c r="BN360" s="17">
        <v>8</v>
      </c>
      <c r="BO360" s="15" t="s">
        <v>172</v>
      </c>
      <c r="BP360" s="17" t="s">
        <v>138</v>
      </c>
      <c r="BQ360" s="15" t="s">
        <v>138</v>
      </c>
      <c r="BR360" s="15" t="s">
        <v>205</v>
      </c>
      <c r="BS360" s="15" t="s">
        <v>206</v>
      </c>
      <c r="BT360" s="15" t="s">
        <v>138</v>
      </c>
      <c r="BU360" s="15" t="s">
        <v>174</v>
      </c>
      <c r="BV360" s="15" t="s">
        <v>138</v>
      </c>
      <c r="BW360" s="15" t="s">
        <v>138</v>
      </c>
      <c r="BX360" s="15" t="s">
        <v>138</v>
      </c>
      <c r="BY360" s="15" t="s">
        <v>175</v>
      </c>
      <c r="BZ360" s="22">
        <v>42529</v>
      </c>
      <c r="CA360" s="17">
        <v>30</v>
      </c>
      <c r="CB360" s="15" t="s">
        <v>172</v>
      </c>
      <c r="CC360" s="17" t="s">
        <v>138</v>
      </c>
      <c r="CD360" s="15" t="s">
        <v>138</v>
      </c>
      <c r="CE360" s="15" t="s">
        <v>173</v>
      </c>
      <c r="CF360" s="15" t="s">
        <v>433</v>
      </c>
      <c r="CG360" s="15" t="s">
        <v>138</v>
      </c>
      <c r="CH360" s="15" t="s">
        <v>174</v>
      </c>
      <c r="CI360" s="15" t="s">
        <v>138</v>
      </c>
      <c r="CJ360" s="15" t="s">
        <v>138</v>
      </c>
      <c r="CK360" s="15" t="s">
        <v>138</v>
      </c>
      <c r="CL360" s="15" t="s">
        <v>175</v>
      </c>
      <c r="CM360" s="22" t="s">
        <v>138</v>
      </c>
      <c r="CN360" s="17" t="s">
        <v>138</v>
      </c>
      <c r="CO360" s="23">
        <v>-0.27</v>
      </c>
      <c r="CP360" s="24">
        <v>19</v>
      </c>
      <c r="CQ360" s="23">
        <v>0</v>
      </c>
      <c r="CR360" s="23">
        <v>0.7</v>
      </c>
      <c r="CS360" s="23">
        <v>-0.59</v>
      </c>
      <c r="CT360" s="24">
        <v>19</v>
      </c>
      <c r="CU360" s="23">
        <v>0.05</v>
      </c>
      <c r="CV360" s="24">
        <v>58</v>
      </c>
      <c r="CW360" s="23">
        <v>4.12</v>
      </c>
      <c r="CX360" s="24">
        <v>94</v>
      </c>
      <c r="CY360" s="23">
        <v>-5.3</v>
      </c>
      <c r="CZ360" s="24">
        <v>3</v>
      </c>
      <c r="DA360" s="23">
        <v>0.05</v>
      </c>
      <c r="DB360" s="24">
        <v>64</v>
      </c>
      <c r="DC360" s="25">
        <v>7.72</v>
      </c>
      <c r="DD360" s="24">
        <v>88</v>
      </c>
      <c r="DE360" s="25">
        <v>-0.11</v>
      </c>
      <c r="DF360" s="23">
        <v>-1.41</v>
      </c>
      <c r="DG360" s="25">
        <v>12.41</v>
      </c>
      <c r="DH360" s="24">
        <v>91</v>
      </c>
      <c r="DI360" s="25">
        <v>3.03</v>
      </c>
      <c r="DJ360" s="24">
        <v>70</v>
      </c>
      <c r="DK360" s="25">
        <v>4.2</v>
      </c>
      <c r="DL360" s="24">
        <v>77</v>
      </c>
      <c r="DM360" s="25">
        <v>20.62</v>
      </c>
      <c r="DN360" s="24">
        <v>94</v>
      </c>
      <c r="DO360" s="25">
        <v>4.54</v>
      </c>
      <c r="DP360" s="24">
        <v>78</v>
      </c>
      <c r="DQ360" s="24">
        <v>1427</v>
      </c>
      <c r="DR360" s="26">
        <v>43</v>
      </c>
      <c r="DS360" s="23">
        <v>3.11</v>
      </c>
      <c r="DT360" s="24">
        <v>597</v>
      </c>
      <c r="DU360" s="26">
        <v>1</v>
      </c>
      <c r="DV360" s="23">
        <v>0.17</v>
      </c>
      <c r="DW360" s="24">
        <v>1625</v>
      </c>
      <c r="DX360" s="27">
        <v>0</v>
      </c>
      <c r="DY360" s="23">
        <v>0</v>
      </c>
      <c r="DZ360" s="15" t="s">
        <v>178</v>
      </c>
      <c r="EA360" s="22">
        <v>43622</v>
      </c>
      <c r="EB360" s="17" t="s">
        <v>138</v>
      </c>
      <c r="EC360" s="22" t="s">
        <v>138</v>
      </c>
      <c r="ED360" s="15" t="s">
        <v>138</v>
      </c>
      <c r="EE360" s="14" t="str">
        <f>HYPERLINK("https://my.pitchbook.com?c=51099-04", "View company online")</f>
        <v>View company online</v>
      </c>
    </row>
    <row r="361" spans="1:135">
      <c r="A361" s="28" t="s">
        <v>7659</v>
      </c>
      <c r="B361" s="28" t="s">
        <v>7660</v>
      </c>
      <c r="C361" s="28" t="s">
        <v>138</v>
      </c>
      <c r="D361" s="28" t="s">
        <v>138</v>
      </c>
      <c r="E361" s="28" t="s">
        <v>138</v>
      </c>
      <c r="F361" s="28" t="s">
        <v>7659</v>
      </c>
      <c r="G361" s="28" t="s">
        <v>7661</v>
      </c>
      <c r="H361" s="28" t="s">
        <v>322</v>
      </c>
      <c r="I361" s="28" t="s">
        <v>323</v>
      </c>
      <c r="J361" s="28" t="s">
        <v>324</v>
      </c>
      <c r="K361" s="28" t="s">
        <v>7662</v>
      </c>
      <c r="L361" s="28" t="s">
        <v>415</v>
      </c>
      <c r="M361" s="28" t="s">
        <v>7663</v>
      </c>
      <c r="N361" s="28" t="s">
        <v>147</v>
      </c>
      <c r="O361" s="29">
        <v>1.6</v>
      </c>
      <c r="P361" s="28" t="s">
        <v>148</v>
      </c>
      <c r="Q361" s="28" t="s">
        <v>149</v>
      </c>
      <c r="R361" s="28" t="s">
        <v>174</v>
      </c>
      <c r="S361" s="28" t="s">
        <v>7664</v>
      </c>
      <c r="T361" s="30" t="s">
        <v>138</v>
      </c>
      <c r="U361" s="28" t="s">
        <v>138</v>
      </c>
      <c r="V361" s="28" t="s">
        <v>138</v>
      </c>
      <c r="W361" s="28" t="s">
        <v>138</v>
      </c>
      <c r="X361" s="31">
        <v>2014</v>
      </c>
      <c r="Y361" s="28" t="s">
        <v>138</v>
      </c>
      <c r="Z361" s="28" t="s">
        <v>138</v>
      </c>
      <c r="AA361" s="28" t="s">
        <v>138</v>
      </c>
      <c r="AB361" s="32" t="s">
        <v>138</v>
      </c>
      <c r="AC361" s="32" t="s">
        <v>138</v>
      </c>
      <c r="AD361" s="32" t="s">
        <v>138</v>
      </c>
      <c r="AE361" s="32" t="s">
        <v>138</v>
      </c>
      <c r="AF361" s="32" t="s">
        <v>138</v>
      </c>
      <c r="AG361" s="28" t="s">
        <v>138</v>
      </c>
      <c r="AH361" s="32" t="s">
        <v>138</v>
      </c>
      <c r="AI361" s="32" t="s">
        <v>138</v>
      </c>
      <c r="AJ361" s="32" t="s">
        <v>138</v>
      </c>
      <c r="AK361" s="28" t="s">
        <v>7665</v>
      </c>
      <c r="AL361" s="28" t="s">
        <v>7666</v>
      </c>
      <c r="AM361" s="28" t="s">
        <v>7667</v>
      </c>
      <c r="AN361" s="28" t="s">
        <v>7668</v>
      </c>
      <c r="AO361" s="28" t="s">
        <v>7669</v>
      </c>
      <c r="AP361" s="28" t="s">
        <v>423</v>
      </c>
      <c r="AQ361" s="28" t="s">
        <v>7670</v>
      </c>
      <c r="AR361" s="28" t="s">
        <v>7671</v>
      </c>
      <c r="AS361" s="28" t="s">
        <v>426</v>
      </c>
      <c r="AT361" s="28" t="s">
        <v>426</v>
      </c>
      <c r="AU361" s="28" t="s">
        <v>921</v>
      </c>
      <c r="AV361" s="28" t="s">
        <v>162</v>
      </c>
      <c r="AW361" s="28" t="s">
        <v>7669</v>
      </c>
      <c r="AX361" s="28" t="s">
        <v>138</v>
      </c>
      <c r="AY361" s="28" t="s">
        <v>7672</v>
      </c>
      <c r="AZ361" s="28" t="s">
        <v>164</v>
      </c>
      <c r="BA361" s="28" t="s">
        <v>165</v>
      </c>
      <c r="BB361" s="28" t="s">
        <v>7673</v>
      </c>
      <c r="BC361" s="28" t="s">
        <v>7674</v>
      </c>
      <c r="BD361" s="33">
        <v>14</v>
      </c>
      <c r="BE361" s="28" t="s">
        <v>138</v>
      </c>
      <c r="BF361" s="28" t="s">
        <v>138</v>
      </c>
      <c r="BG361" s="28" t="s">
        <v>138</v>
      </c>
      <c r="BH361" s="28" t="s">
        <v>7675</v>
      </c>
      <c r="BI361" s="28" t="s">
        <v>138</v>
      </c>
      <c r="BJ361" s="28" t="s">
        <v>138</v>
      </c>
      <c r="BK361" s="28" t="s">
        <v>138</v>
      </c>
      <c r="BL361" s="28" t="s">
        <v>138</v>
      </c>
      <c r="BM361" s="34">
        <v>41640</v>
      </c>
      <c r="BN361" s="29" t="s">
        <v>138</v>
      </c>
      <c r="BO361" s="28" t="s">
        <v>138</v>
      </c>
      <c r="BP361" s="29" t="s">
        <v>138</v>
      </c>
      <c r="BQ361" s="28" t="s">
        <v>138</v>
      </c>
      <c r="BR361" s="28" t="s">
        <v>234</v>
      </c>
      <c r="BS361" s="28" t="s">
        <v>234</v>
      </c>
      <c r="BT361" s="28" t="s">
        <v>138</v>
      </c>
      <c r="BU361" s="28" t="s">
        <v>174</v>
      </c>
      <c r="BV361" s="28" t="s">
        <v>138</v>
      </c>
      <c r="BW361" s="28" t="s">
        <v>138</v>
      </c>
      <c r="BX361" s="28" t="s">
        <v>138</v>
      </c>
      <c r="BY361" s="28" t="s">
        <v>175</v>
      </c>
      <c r="BZ361" s="34">
        <v>43326</v>
      </c>
      <c r="CA361" s="29" t="s">
        <v>138</v>
      </c>
      <c r="CB361" s="28" t="s">
        <v>138</v>
      </c>
      <c r="CC361" s="29" t="s">
        <v>138</v>
      </c>
      <c r="CD361" s="28" t="s">
        <v>138</v>
      </c>
      <c r="CE361" s="28" t="s">
        <v>316</v>
      </c>
      <c r="CF361" s="28" t="s">
        <v>138</v>
      </c>
      <c r="CG361" s="28" t="s">
        <v>138</v>
      </c>
      <c r="CH361" s="28" t="s">
        <v>177</v>
      </c>
      <c r="CI361" s="28" t="s">
        <v>138</v>
      </c>
      <c r="CJ361" s="28" t="s">
        <v>138</v>
      </c>
      <c r="CK361" s="28" t="s">
        <v>138</v>
      </c>
      <c r="CL361" s="28" t="s">
        <v>175</v>
      </c>
      <c r="CM361" s="34" t="s">
        <v>138</v>
      </c>
      <c r="CN361" s="29" t="s">
        <v>138</v>
      </c>
      <c r="CO361" s="35">
        <v>0</v>
      </c>
      <c r="CP361" s="36">
        <v>26</v>
      </c>
      <c r="CQ361" s="35">
        <v>0.02</v>
      </c>
      <c r="CR361" s="35">
        <v>100.89</v>
      </c>
      <c r="CS361" s="35">
        <v>0</v>
      </c>
      <c r="CT361" s="36">
        <v>23</v>
      </c>
      <c r="CU361" s="35">
        <v>0</v>
      </c>
      <c r="CV361" s="36">
        <v>22</v>
      </c>
      <c r="CW361" s="35">
        <v>0</v>
      </c>
      <c r="CX361" s="36">
        <v>13</v>
      </c>
      <c r="CY361" s="35" t="s">
        <v>138</v>
      </c>
      <c r="CZ361" s="36" t="s">
        <v>138</v>
      </c>
      <c r="DA361" s="35">
        <v>0</v>
      </c>
      <c r="DB361" s="36">
        <v>22</v>
      </c>
      <c r="DC361" s="37">
        <v>0.87</v>
      </c>
      <c r="DD361" s="36">
        <v>48</v>
      </c>
      <c r="DE361" s="37">
        <v>-0.04</v>
      </c>
      <c r="DF361" s="35">
        <v>-4.8899999999999997</v>
      </c>
      <c r="DG361" s="37">
        <v>0.78</v>
      </c>
      <c r="DH361" s="36">
        <v>45</v>
      </c>
      <c r="DI361" s="37">
        <v>0.96</v>
      </c>
      <c r="DJ361" s="36">
        <v>48</v>
      </c>
      <c r="DK361" s="37">
        <v>0.78</v>
      </c>
      <c r="DL361" s="36">
        <v>45</v>
      </c>
      <c r="DM361" s="37" t="s">
        <v>138</v>
      </c>
      <c r="DN361" s="36" t="s">
        <v>138</v>
      </c>
      <c r="DO361" s="37">
        <v>0.96</v>
      </c>
      <c r="DP361" s="36">
        <v>50</v>
      </c>
      <c r="DQ361" s="36">
        <v>268</v>
      </c>
      <c r="DR361" s="38">
        <v>2</v>
      </c>
      <c r="DS361" s="35">
        <v>0.75</v>
      </c>
      <c r="DT361" s="36" t="s">
        <v>138</v>
      </c>
      <c r="DU361" s="38" t="s">
        <v>138</v>
      </c>
      <c r="DV361" s="35" t="s">
        <v>138</v>
      </c>
      <c r="DW361" s="36">
        <v>341</v>
      </c>
      <c r="DX361" s="39">
        <v>1</v>
      </c>
      <c r="DY361" s="35">
        <v>0.28999999999999998</v>
      </c>
      <c r="DZ361" s="28" t="s">
        <v>178</v>
      </c>
      <c r="EA361" s="34">
        <v>43375</v>
      </c>
      <c r="EB361" s="29" t="s">
        <v>138</v>
      </c>
      <c r="EC361" s="34" t="s">
        <v>138</v>
      </c>
      <c r="ED361" s="28" t="s">
        <v>138</v>
      </c>
      <c r="EE361" s="40" t="str">
        <f>HYPERLINK("https://my.pitchbook.com?c=62659-72", "View company online")</f>
        <v>View company online</v>
      </c>
    </row>
    <row r="362" spans="1:135">
      <c r="A362" s="15" t="s">
        <v>7676</v>
      </c>
      <c r="B362" s="15" t="s">
        <v>7677</v>
      </c>
      <c r="C362" s="15" t="s">
        <v>138</v>
      </c>
      <c r="D362" s="15" t="s">
        <v>138</v>
      </c>
      <c r="E362" s="15" t="s">
        <v>6537</v>
      </c>
      <c r="F362" s="15" t="s">
        <v>7676</v>
      </c>
      <c r="G362" s="15" t="s">
        <v>7678</v>
      </c>
      <c r="H362" s="15" t="s">
        <v>141</v>
      </c>
      <c r="I362" s="15" t="s">
        <v>142</v>
      </c>
      <c r="J362" s="15" t="s">
        <v>4042</v>
      </c>
      <c r="K362" s="15" t="s">
        <v>6541</v>
      </c>
      <c r="L362" s="15" t="s">
        <v>7679</v>
      </c>
      <c r="M362" s="15" t="s">
        <v>7680</v>
      </c>
      <c r="N362" s="15" t="s">
        <v>147</v>
      </c>
      <c r="O362" s="17" t="s">
        <v>138</v>
      </c>
      <c r="P362" s="15" t="s">
        <v>148</v>
      </c>
      <c r="Q362" s="15" t="s">
        <v>149</v>
      </c>
      <c r="R362" s="15" t="s">
        <v>174</v>
      </c>
      <c r="S362" s="15" t="s">
        <v>7681</v>
      </c>
      <c r="T362" s="18">
        <v>16</v>
      </c>
      <c r="U362" s="15" t="s">
        <v>7682</v>
      </c>
      <c r="V362" s="15" t="s">
        <v>138</v>
      </c>
      <c r="W362" s="15" t="s">
        <v>138</v>
      </c>
      <c r="X362" s="19">
        <v>2004</v>
      </c>
      <c r="Y362" s="15" t="s">
        <v>138</v>
      </c>
      <c r="Z362" s="15" t="s">
        <v>138</v>
      </c>
      <c r="AA362" s="15" t="s">
        <v>138</v>
      </c>
      <c r="AB362" s="20" t="s">
        <v>138</v>
      </c>
      <c r="AC362" s="20" t="s">
        <v>138</v>
      </c>
      <c r="AD362" s="20" t="s">
        <v>138</v>
      </c>
      <c r="AE362" s="20" t="s">
        <v>138</v>
      </c>
      <c r="AF362" s="20" t="s">
        <v>138</v>
      </c>
      <c r="AG362" s="15" t="s">
        <v>138</v>
      </c>
      <c r="AH362" s="20" t="s">
        <v>138</v>
      </c>
      <c r="AI362" s="20" t="s">
        <v>138</v>
      </c>
      <c r="AJ362" s="20" t="s">
        <v>138</v>
      </c>
      <c r="AK362" s="15" t="s">
        <v>7683</v>
      </c>
      <c r="AL362" s="15" t="s">
        <v>7684</v>
      </c>
      <c r="AM362" s="15" t="s">
        <v>566</v>
      </c>
      <c r="AN362" s="15" t="s">
        <v>7685</v>
      </c>
      <c r="AO362" s="15" t="s">
        <v>7686</v>
      </c>
      <c r="AP362" s="15" t="s">
        <v>7687</v>
      </c>
      <c r="AQ362" s="15" t="s">
        <v>7688</v>
      </c>
      <c r="AR362" s="15" t="s">
        <v>138</v>
      </c>
      <c r="AS362" s="15" t="s">
        <v>7689</v>
      </c>
      <c r="AT362" s="15" t="s">
        <v>7690</v>
      </c>
      <c r="AU362" s="15" t="s">
        <v>7691</v>
      </c>
      <c r="AV362" s="15" t="s">
        <v>2071</v>
      </c>
      <c r="AW362" s="15" t="s">
        <v>7686</v>
      </c>
      <c r="AX362" s="15" t="s">
        <v>7692</v>
      </c>
      <c r="AY362" s="15" t="s">
        <v>138</v>
      </c>
      <c r="AZ362" s="15" t="s">
        <v>452</v>
      </c>
      <c r="BA362" s="15" t="s">
        <v>453</v>
      </c>
      <c r="BB362" s="15" t="s">
        <v>7693</v>
      </c>
      <c r="BC362" s="15" t="s">
        <v>7694</v>
      </c>
      <c r="BD362" s="21">
        <v>3</v>
      </c>
      <c r="BE362" s="15" t="s">
        <v>138</v>
      </c>
      <c r="BF362" s="15" t="s">
        <v>138</v>
      </c>
      <c r="BG362" s="15" t="s">
        <v>138</v>
      </c>
      <c r="BH362" s="15" t="s">
        <v>7695</v>
      </c>
      <c r="BI362" s="15" t="s">
        <v>138</v>
      </c>
      <c r="BJ362" s="15" t="s">
        <v>138</v>
      </c>
      <c r="BK362" s="15" t="s">
        <v>138</v>
      </c>
      <c r="BL362" s="15" t="s">
        <v>138</v>
      </c>
      <c r="BM362" s="22" t="s">
        <v>138</v>
      </c>
      <c r="BN362" s="17" t="s">
        <v>138</v>
      </c>
      <c r="BO362" s="15" t="s">
        <v>138</v>
      </c>
      <c r="BP362" s="17" t="s">
        <v>138</v>
      </c>
      <c r="BQ362" s="15" t="s">
        <v>138</v>
      </c>
      <c r="BR362" s="15" t="s">
        <v>205</v>
      </c>
      <c r="BS362" s="15" t="s">
        <v>138</v>
      </c>
      <c r="BT362" s="15" t="s">
        <v>138</v>
      </c>
      <c r="BU362" s="15" t="s">
        <v>174</v>
      </c>
      <c r="BV362" s="15" t="s">
        <v>138</v>
      </c>
      <c r="BW362" s="15" t="s">
        <v>138</v>
      </c>
      <c r="BX362" s="15" t="s">
        <v>138</v>
      </c>
      <c r="BY362" s="15" t="s">
        <v>175</v>
      </c>
      <c r="BZ362" s="22" t="s">
        <v>138</v>
      </c>
      <c r="CA362" s="17" t="s">
        <v>138</v>
      </c>
      <c r="CB362" s="15" t="s">
        <v>138</v>
      </c>
      <c r="CC362" s="17" t="s">
        <v>138</v>
      </c>
      <c r="CD362" s="15" t="s">
        <v>138</v>
      </c>
      <c r="CE362" s="15" t="s">
        <v>205</v>
      </c>
      <c r="CF362" s="15" t="s">
        <v>138</v>
      </c>
      <c r="CG362" s="15" t="s">
        <v>138</v>
      </c>
      <c r="CH362" s="15" t="s">
        <v>174</v>
      </c>
      <c r="CI362" s="15" t="s">
        <v>138</v>
      </c>
      <c r="CJ362" s="15" t="s">
        <v>138</v>
      </c>
      <c r="CK362" s="15" t="s">
        <v>138</v>
      </c>
      <c r="CL362" s="15" t="s">
        <v>175</v>
      </c>
      <c r="CM362" s="22" t="s">
        <v>138</v>
      </c>
      <c r="CN362" s="17" t="s">
        <v>138</v>
      </c>
      <c r="CO362" s="23">
        <v>0</v>
      </c>
      <c r="CP362" s="24">
        <v>26</v>
      </c>
      <c r="CQ362" s="23">
        <v>0</v>
      </c>
      <c r="CR362" s="23">
        <v>0</v>
      </c>
      <c r="CS362" s="23">
        <v>0</v>
      </c>
      <c r="CT362" s="24">
        <v>23</v>
      </c>
      <c r="CU362" s="23">
        <v>0</v>
      </c>
      <c r="CV362" s="24">
        <v>22</v>
      </c>
      <c r="CW362" s="23" t="s">
        <v>138</v>
      </c>
      <c r="CX362" s="24" t="s">
        <v>138</v>
      </c>
      <c r="CY362" s="23">
        <v>0</v>
      </c>
      <c r="CZ362" s="24">
        <v>25</v>
      </c>
      <c r="DA362" s="23">
        <v>0</v>
      </c>
      <c r="DB362" s="24">
        <v>22</v>
      </c>
      <c r="DC362" s="25">
        <v>0.47</v>
      </c>
      <c r="DD362" s="24">
        <v>32</v>
      </c>
      <c r="DE362" s="25">
        <v>-0.03</v>
      </c>
      <c r="DF362" s="23">
        <v>-6.86</v>
      </c>
      <c r="DG362" s="25">
        <v>0.93</v>
      </c>
      <c r="DH362" s="24">
        <v>49</v>
      </c>
      <c r="DI362" s="25">
        <v>0.01</v>
      </c>
      <c r="DJ362" s="24">
        <v>1</v>
      </c>
      <c r="DK362" s="25" t="s">
        <v>138</v>
      </c>
      <c r="DL362" s="24" t="s">
        <v>138</v>
      </c>
      <c r="DM362" s="25">
        <v>0.93</v>
      </c>
      <c r="DN362" s="24">
        <v>48</v>
      </c>
      <c r="DO362" s="25">
        <v>0.01</v>
      </c>
      <c r="DP362" s="24">
        <v>1</v>
      </c>
      <c r="DQ362" s="24" t="s">
        <v>138</v>
      </c>
      <c r="DR362" s="26" t="s">
        <v>138</v>
      </c>
      <c r="DS362" s="23" t="s">
        <v>138</v>
      </c>
      <c r="DT362" s="24">
        <v>27</v>
      </c>
      <c r="DU362" s="26">
        <v>-2</v>
      </c>
      <c r="DV362" s="23">
        <v>-6.9</v>
      </c>
      <c r="DW362" s="24">
        <v>2</v>
      </c>
      <c r="DX362" s="27">
        <v>0</v>
      </c>
      <c r="DY362" s="23">
        <v>0</v>
      </c>
      <c r="DZ362" s="15" t="s">
        <v>178</v>
      </c>
      <c r="EA362" s="22">
        <v>43351</v>
      </c>
      <c r="EB362" s="17" t="s">
        <v>138</v>
      </c>
      <c r="EC362" s="22" t="s">
        <v>138</v>
      </c>
      <c r="ED362" s="15" t="s">
        <v>138</v>
      </c>
      <c r="EE362" s="14" t="str">
        <f>HYPERLINK("https://my.pitchbook.com?c=122670-91", "View company online")</f>
        <v>View company online</v>
      </c>
    </row>
    <row r="363" spans="1:135">
      <c r="A363" s="28" t="s">
        <v>7696</v>
      </c>
      <c r="B363" s="28" t="s">
        <v>7697</v>
      </c>
      <c r="C363" s="28" t="s">
        <v>138</v>
      </c>
      <c r="D363" s="28" t="s">
        <v>138</v>
      </c>
      <c r="E363" s="28" t="s">
        <v>7698</v>
      </c>
      <c r="F363" s="28" t="s">
        <v>7696</v>
      </c>
      <c r="G363" s="28" t="s">
        <v>7699</v>
      </c>
      <c r="H363" s="28" t="s">
        <v>322</v>
      </c>
      <c r="I363" s="28" t="s">
        <v>323</v>
      </c>
      <c r="J363" s="28" t="s">
        <v>2984</v>
      </c>
      <c r="K363" s="28" t="s">
        <v>4024</v>
      </c>
      <c r="L363" s="28" t="s">
        <v>7700</v>
      </c>
      <c r="M363" s="28" t="s">
        <v>7701</v>
      </c>
      <c r="N363" s="28" t="s">
        <v>147</v>
      </c>
      <c r="O363" s="29">
        <v>345.5</v>
      </c>
      <c r="P363" s="28" t="s">
        <v>148</v>
      </c>
      <c r="Q363" s="28" t="s">
        <v>149</v>
      </c>
      <c r="R363" s="28" t="s">
        <v>174</v>
      </c>
      <c r="S363" s="28" t="s">
        <v>7702</v>
      </c>
      <c r="T363" s="30">
        <v>500</v>
      </c>
      <c r="U363" s="28" t="s">
        <v>7703</v>
      </c>
      <c r="V363" s="28" t="s">
        <v>138</v>
      </c>
      <c r="W363" s="28" t="s">
        <v>138</v>
      </c>
      <c r="X363" s="31">
        <v>2010</v>
      </c>
      <c r="Y363" s="28" t="s">
        <v>138</v>
      </c>
      <c r="Z363" s="28" t="s">
        <v>138</v>
      </c>
      <c r="AA363" s="28" t="s">
        <v>138</v>
      </c>
      <c r="AB363" s="32">
        <v>100</v>
      </c>
      <c r="AC363" s="32" t="s">
        <v>138</v>
      </c>
      <c r="AD363" s="32" t="s">
        <v>138</v>
      </c>
      <c r="AE363" s="32" t="s">
        <v>138</v>
      </c>
      <c r="AF363" s="32" t="s">
        <v>138</v>
      </c>
      <c r="AG363" s="28" t="s">
        <v>815</v>
      </c>
      <c r="AH363" s="32" t="s">
        <v>138</v>
      </c>
      <c r="AI363" s="32" t="s">
        <v>138</v>
      </c>
      <c r="AJ363" s="32" t="s">
        <v>138</v>
      </c>
      <c r="AK363" s="28" t="s">
        <v>7704</v>
      </c>
      <c r="AL363" s="28" t="s">
        <v>7705</v>
      </c>
      <c r="AM363" s="28" t="s">
        <v>7706</v>
      </c>
      <c r="AN363" s="28" t="s">
        <v>7707</v>
      </c>
      <c r="AO363" s="28" t="s">
        <v>7708</v>
      </c>
      <c r="AP363" s="28" t="s">
        <v>307</v>
      </c>
      <c r="AQ363" s="28" t="s">
        <v>7709</v>
      </c>
      <c r="AR363" s="28" t="s">
        <v>138</v>
      </c>
      <c r="AS363" s="28" t="s">
        <v>310</v>
      </c>
      <c r="AT363" s="28" t="s">
        <v>200</v>
      </c>
      <c r="AU363" s="28" t="s">
        <v>798</v>
      </c>
      <c r="AV363" s="28" t="s">
        <v>162</v>
      </c>
      <c r="AW363" s="28" t="s">
        <v>7708</v>
      </c>
      <c r="AX363" s="28" t="s">
        <v>7710</v>
      </c>
      <c r="AY363" s="28" t="s">
        <v>7711</v>
      </c>
      <c r="AZ363" s="28" t="s">
        <v>164</v>
      </c>
      <c r="BA363" s="28" t="s">
        <v>165</v>
      </c>
      <c r="BB363" s="28" t="s">
        <v>7712</v>
      </c>
      <c r="BC363" s="28" t="s">
        <v>7713</v>
      </c>
      <c r="BD363" s="33">
        <v>17</v>
      </c>
      <c r="BE363" s="28" t="s">
        <v>138</v>
      </c>
      <c r="BF363" s="28" t="s">
        <v>138</v>
      </c>
      <c r="BG363" s="28" t="s">
        <v>138</v>
      </c>
      <c r="BH363" s="28" t="s">
        <v>7714</v>
      </c>
      <c r="BI363" s="28" t="s">
        <v>138</v>
      </c>
      <c r="BJ363" s="28" t="s">
        <v>138</v>
      </c>
      <c r="BK363" s="28" t="s">
        <v>7715</v>
      </c>
      <c r="BL363" s="28" t="s">
        <v>1251</v>
      </c>
      <c r="BM363" s="34">
        <v>40269</v>
      </c>
      <c r="BN363" s="29">
        <v>5.55</v>
      </c>
      <c r="BO363" s="28" t="s">
        <v>172</v>
      </c>
      <c r="BP363" s="29">
        <v>12.05</v>
      </c>
      <c r="BQ363" s="28" t="s">
        <v>172</v>
      </c>
      <c r="BR363" s="28" t="s">
        <v>205</v>
      </c>
      <c r="BS363" s="28" t="s">
        <v>206</v>
      </c>
      <c r="BT363" s="28" t="s">
        <v>138</v>
      </c>
      <c r="BU363" s="28" t="s">
        <v>174</v>
      </c>
      <c r="BV363" s="28" t="s">
        <v>138</v>
      </c>
      <c r="BW363" s="28" t="s">
        <v>138</v>
      </c>
      <c r="BX363" s="28" t="s">
        <v>138</v>
      </c>
      <c r="BY363" s="28" t="s">
        <v>175</v>
      </c>
      <c r="BZ363" s="34">
        <v>43593</v>
      </c>
      <c r="CA363" s="29">
        <v>110</v>
      </c>
      <c r="CB363" s="28" t="s">
        <v>172</v>
      </c>
      <c r="CC363" s="29">
        <v>1185</v>
      </c>
      <c r="CD363" s="28" t="s">
        <v>172</v>
      </c>
      <c r="CE363" s="28" t="s">
        <v>173</v>
      </c>
      <c r="CF363" s="28" t="s">
        <v>2830</v>
      </c>
      <c r="CG363" s="28" t="s">
        <v>138</v>
      </c>
      <c r="CH363" s="28" t="s">
        <v>174</v>
      </c>
      <c r="CI363" s="28" t="s">
        <v>138</v>
      </c>
      <c r="CJ363" s="28" t="s">
        <v>138</v>
      </c>
      <c r="CK363" s="28" t="s">
        <v>138</v>
      </c>
      <c r="CL363" s="28" t="s">
        <v>175</v>
      </c>
      <c r="CM363" s="34" t="s">
        <v>138</v>
      </c>
      <c r="CN363" s="29" t="s">
        <v>138</v>
      </c>
      <c r="CO363" s="35">
        <v>0.33</v>
      </c>
      <c r="CP363" s="36">
        <v>94</v>
      </c>
      <c r="CQ363" s="35">
        <v>-0.02</v>
      </c>
      <c r="CR363" s="35">
        <v>-4.96</v>
      </c>
      <c r="CS363" s="35">
        <v>0.56999999999999995</v>
      </c>
      <c r="CT363" s="36">
        <v>96</v>
      </c>
      <c r="CU363" s="35">
        <v>0.09</v>
      </c>
      <c r="CV363" s="36">
        <v>66</v>
      </c>
      <c r="CW363" s="35">
        <v>2.66</v>
      </c>
      <c r="CX363" s="36">
        <v>90</v>
      </c>
      <c r="CY363" s="35">
        <v>-1.51</v>
      </c>
      <c r="CZ363" s="36">
        <v>15</v>
      </c>
      <c r="DA363" s="35">
        <v>0.22</v>
      </c>
      <c r="DB363" s="36">
        <v>84</v>
      </c>
      <c r="DC363" s="37">
        <v>71.849999999999994</v>
      </c>
      <c r="DD363" s="36">
        <v>99</v>
      </c>
      <c r="DE363" s="37">
        <v>-5.49</v>
      </c>
      <c r="DF363" s="35">
        <v>-7.1</v>
      </c>
      <c r="DG363" s="37">
        <v>133.85</v>
      </c>
      <c r="DH363" s="36">
        <v>100</v>
      </c>
      <c r="DI363" s="37">
        <v>9.86</v>
      </c>
      <c r="DJ363" s="36">
        <v>85</v>
      </c>
      <c r="DK363" s="37">
        <v>171.11</v>
      </c>
      <c r="DL363" s="36">
        <v>99</v>
      </c>
      <c r="DM363" s="37">
        <v>96.59</v>
      </c>
      <c r="DN363" s="36">
        <v>99</v>
      </c>
      <c r="DO363" s="37">
        <v>13.93</v>
      </c>
      <c r="DP363" s="36">
        <v>90</v>
      </c>
      <c r="DQ363" s="36">
        <v>57877</v>
      </c>
      <c r="DR363" s="38">
        <v>2441</v>
      </c>
      <c r="DS363" s="35">
        <v>4.4000000000000004</v>
      </c>
      <c r="DT363" s="36">
        <v>2802</v>
      </c>
      <c r="DU363" s="38">
        <v>5</v>
      </c>
      <c r="DV363" s="35">
        <v>0.18</v>
      </c>
      <c r="DW363" s="36">
        <v>4982</v>
      </c>
      <c r="DX363" s="39">
        <v>11</v>
      </c>
      <c r="DY363" s="35">
        <v>0.22</v>
      </c>
      <c r="DZ363" s="28" t="s">
        <v>178</v>
      </c>
      <c r="EA363" s="34">
        <v>43616</v>
      </c>
      <c r="EB363" s="29">
        <v>1185</v>
      </c>
      <c r="EC363" s="34">
        <v>43593</v>
      </c>
      <c r="ED363" s="28" t="s">
        <v>173</v>
      </c>
      <c r="EE363" s="40" t="str">
        <f>HYPERLINK("https://my.pitchbook.com?c=53750-53", "View company online")</f>
        <v>View company online</v>
      </c>
    </row>
    <row r="364" spans="1:135">
      <c r="A364" s="15" t="s">
        <v>7716</v>
      </c>
      <c r="B364" s="15" t="s">
        <v>7717</v>
      </c>
      <c r="C364" s="15" t="s">
        <v>7718</v>
      </c>
      <c r="D364" s="15" t="s">
        <v>138</v>
      </c>
      <c r="E364" s="15" t="s">
        <v>7719</v>
      </c>
      <c r="F364" s="15" t="s">
        <v>7716</v>
      </c>
      <c r="G364" s="15" t="s">
        <v>7720</v>
      </c>
      <c r="H364" s="15" t="s">
        <v>322</v>
      </c>
      <c r="I364" s="15" t="s">
        <v>323</v>
      </c>
      <c r="J364" s="15" t="s">
        <v>413</v>
      </c>
      <c r="K364" s="15" t="s">
        <v>4164</v>
      </c>
      <c r="L364" s="15" t="s">
        <v>7721</v>
      </c>
      <c r="M364" s="15" t="s">
        <v>7722</v>
      </c>
      <c r="N364" s="15" t="s">
        <v>147</v>
      </c>
      <c r="O364" s="17">
        <v>0.12</v>
      </c>
      <c r="P364" s="15" t="s">
        <v>148</v>
      </c>
      <c r="Q364" s="15" t="s">
        <v>149</v>
      </c>
      <c r="R364" s="15" t="s">
        <v>174</v>
      </c>
      <c r="S364" s="15" t="s">
        <v>7723</v>
      </c>
      <c r="T364" s="18">
        <v>18</v>
      </c>
      <c r="U364" s="15" t="s">
        <v>7724</v>
      </c>
      <c r="V364" s="15" t="s">
        <v>138</v>
      </c>
      <c r="W364" s="15" t="s">
        <v>138</v>
      </c>
      <c r="X364" s="19">
        <v>2012</v>
      </c>
      <c r="Y364" s="15" t="s">
        <v>138</v>
      </c>
      <c r="Z364" s="15" t="s">
        <v>138</v>
      </c>
      <c r="AA364" s="15" t="s">
        <v>138</v>
      </c>
      <c r="AB364" s="20" t="s">
        <v>138</v>
      </c>
      <c r="AC364" s="20" t="s">
        <v>138</v>
      </c>
      <c r="AD364" s="20" t="s">
        <v>138</v>
      </c>
      <c r="AE364" s="20" t="s">
        <v>138</v>
      </c>
      <c r="AF364" s="20" t="s">
        <v>138</v>
      </c>
      <c r="AG364" s="15" t="s">
        <v>138</v>
      </c>
      <c r="AH364" s="20" t="s">
        <v>138</v>
      </c>
      <c r="AI364" s="20" t="s">
        <v>138</v>
      </c>
      <c r="AJ364" s="20" t="s">
        <v>138</v>
      </c>
      <c r="AK364" s="15" t="s">
        <v>7725</v>
      </c>
      <c r="AL364" s="15" t="s">
        <v>7726</v>
      </c>
      <c r="AM364" s="15" t="s">
        <v>986</v>
      </c>
      <c r="AN364" s="15" t="s">
        <v>7727</v>
      </c>
      <c r="AO364" s="15" t="s">
        <v>138</v>
      </c>
      <c r="AP364" s="15" t="s">
        <v>665</v>
      </c>
      <c r="AQ364" s="15" t="s">
        <v>7728</v>
      </c>
      <c r="AR364" s="15" t="s">
        <v>138</v>
      </c>
      <c r="AS364" s="15" t="s">
        <v>668</v>
      </c>
      <c r="AT364" s="15" t="s">
        <v>200</v>
      </c>
      <c r="AU364" s="15" t="s">
        <v>691</v>
      </c>
      <c r="AV364" s="15" t="s">
        <v>162</v>
      </c>
      <c r="AW364" s="15" t="s">
        <v>138</v>
      </c>
      <c r="AX364" s="15" t="s">
        <v>138</v>
      </c>
      <c r="AY364" s="15" t="s">
        <v>7729</v>
      </c>
      <c r="AZ364" s="15" t="s">
        <v>164</v>
      </c>
      <c r="BA364" s="15" t="s">
        <v>165</v>
      </c>
      <c r="BB364" s="15" t="s">
        <v>7730</v>
      </c>
      <c r="BC364" s="15" t="s">
        <v>7731</v>
      </c>
      <c r="BD364" s="21">
        <v>13</v>
      </c>
      <c r="BE364" s="15" t="s">
        <v>138</v>
      </c>
      <c r="BF364" s="15" t="s">
        <v>138</v>
      </c>
      <c r="BG364" s="15" t="s">
        <v>138</v>
      </c>
      <c r="BH364" s="15" t="s">
        <v>7732</v>
      </c>
      <c r="BI364" s="15" t="s">
        <v>138</v>
      </c>
      <c r="BJ364" s="15" t="s">
        <v>138</v>
      </c>
      <c r="BK364" s="15" t="s">
        <v>7733</v>
      </c>
      <c r="BL364" s="15" t="s">
        <v>138</v>
      </c>
      <c r="BM364" s="22" t="s">
        <v>138</v>
      </c>
      <c r="BN364" s="17" t="s">
        <v>138</v>
      </c>
      <c r="BO364" s="15" t="s">
        <v>138</v>
      </c>
      <c r="BP364" s="17" t="s">
        <v>138</v>
      </c>
      <c r="BQ364" s="15" t="s">
        <v>138</v>
      </c>
      <c r="BR364" s="15" t="s">
        <v>316</v>
      </c>
      <c r="BS364" s="15" t="s">
        <v>138</v>
      </c>
      <c r="BT364" s="15" t="s">
        <v>138</v>
      </c>
      <c r="BU364" s="15" t="s">
        <v>174</v>
      </c>
      <c r="BV364" s="15" t="s">
        <v>138</v>
      </c>
      <c r="BW364" s="15" t="s">
        <v>138</v>
      </c>
      <c r="BX364" s="15" t="s">
        <v>138</v>
      </c>
      <c r="BY364" s="15" t="s">
        <v>175</v>
      </c>
      <c r="BZ364" s="22">
        <v>41689</v>
      </c>
      <c r="CA364" s="17" t="s">
        <v>138</v>
      </c>
      <c r="CB364" s="15" t="s">
        <v>138</v>
      </c>
      <c r="CC364" s="17" t="s">
        <v>138</v>
      </c>
      <c r="CD364" s="15" t="s">
        <v>138</v>
      </c>
      <c r="CE364" s="15" t="s">
        <v>205</v>
      </c>
      <c r="CF364" s="15" t="s">
        <v>138</v>
      </c>
      <c r="CG364" s="15" t="s">
        <v>138</v>
      </c>
      <c r="CH364" s="15" t="s">
        <v>174</v>
      </c>
      <c r="CI364" s="15" t="s">
        <v>138</v>
      </c>
      <c r="CJ364" s="15" t="s">
        <v>138</v>
      </c>
      <c r="CK364" s="15" t="s">
        <v>138</v>
      </c>
      <c r="CL364" s="15" t="s">
        <v>175</v>
      </c>
      <c r="CM364" s="22" t="s">
        <v>138</v>
      </c>
      <c r="CN364" s="17" t="s">
        <v>138</v>
      </c>
      <c r="CO364" s="23">
        <v>-0.03</v>
      </c>
      <c r="CP364" s="24">
        <v>23</v>
      </c>
      <c r="CQ364" s="23">
        <v>0</v>
      </c>
      <c r="CR364" s="23">
        <v>-20.18</v>
      </c>
      <c r="CS364" s="23">
        <v>0</v>
      </c>
      <c r="CT364" s="24">
        <v>23</v>
      </c>
      <c r="CU364" s="23">
        <v>-0.05</v>
      </c>
      <c r="CV364" s="24">
        <v>9</v>
      </c>
      <c r="CW364" s="23" t="s">
        <v>138</v>
      </c>
      <c r="CX364" s="24" t="s">
        <v>138</v>
      </c>
      <c r="CY364" s="23">
        <v>0</v>
      </c>
      <c r="CZ364" s="24">
        <v>25</v>
      </c>
      <c r="DA364" s="23">
        <v>-7.0000000000000007E-2</v>
      </c>
      <c r="DB364" s="24">
        <v>9</v>
      </c>
      <c r="DC364" s="25">
        <v>1.3</v>
      </c>
      <c r="DD364" s="24">
        <v>57</v>
      </c>
      <c r="DE364" s="25">
        <v>0</v>
      </c>
      <c r="DF364" s="23">
        <v>0.22</v>
      </c>
      <c r="DG364" s="25">
        <v>0.69</v>
      </c>
      <c r="DH364" s="24">
        <v>42</v>
      </c>
      <c r="DI364" s="25">
        <v>1.91</v>
      </c>
      <c r="DJ364" s="24">
        <v>62</v>
      </c>
      <c r="DK364" s="25" t="s">
        <v>138</v>
      </c>
      <c r="DL364" s="24" t="s">
        <v>138</v>
      </c>
      <c r="DM364" s="25">
        <v>0.69</v>
      </c>
      <c r="DN364" s="24">
        <v>41</v>
      </c>
      <c r="DO364" s="25">
        <v>1.91</v>
      </c>
      <c r="DP364" s="24">
        <v>63</v>
      </c>
      <c r="DQ364" s="24" t="s">
        <v>138</v>
      </c>
      <c r="DR364" s="26" t="s">
        <v>138</v>
      </c>
      <c r="DS364" s="23" t="s">
        <v>138</v>
      </c>
      <c r="DT364" s="24">
        <v>20</v>
      </c>
      <c r="DU364" s="26">
        <v>0</v>
      </c>
      <c r="DV364" s="23">
        <v>0</v>
      </c>
      <c r="DW364" s="24">
        <v>681</v>
      </c>
      <c r="DX364" s="27">
        <v>0</v>
      </c>
      <c r="DY364" s="23">
        <v>0</v>
      </c>
      <c r="DZ364" s="15" t="s">
        <v>178</v>
      </c>
      <c r="EA364" s="22">
        <v>43351</v>
      </c>
      <c r="EB364" s="17">
        <v>1.71</v>
      </c>
      <c r="EC364" s="22">
        <v>40909</v>
      </c>
      <c r="ED364" s="15" t="s">
        <v>316</v>
      </c>
      <c r="EE364" s="14" t="str">
        <f>HYPERLINK("https://my.pitchbook.com?c=61568-38", "View company online")</f>
        <v>View company online</v>
      </c>
    </row>
    <row r="365" spans="1:135">
      <c r="A365" s="28" t="s">
        <v>7734</v>
      </c>
      <c r="B365" s="28" t="s">
        <v>7735</v>
      </c>
      <c r="C365" s="28" t="s">
        <v>138</v>
      </c>
      <c r="D365" s="28" t="s">
        <v>138</v>
      </c>
      <c r="E365" s="28" t="s">
        <v>7736</v>
      </c>
      <c r="F365" s="28" t="s">
        <v>7734</v>
      </c>
      <c r="G365" s="28" t="s">
        <v>7737</v>
      </c>
      <c r="H365" s="28" t="s">
        <v>238</v>
      </c>
      <c r="I365" s="28" t="s">
        <v>749</v>
      </c>
      <c r="J365" s="28" t="s">
        <v>4261</v>
      </c>
      <c r="K365" s="28" t="s">
        <v>7738</v>
      </c>
      <c r="L365" s="28" t="s">
        <v>4393</v>
      </c>
      <c r="M365" s="28" t="s">
        <v>7739</v>
      </c>
      <c r="N365" s="28" t="s">
        <v>1452</v>
      </c>
      <c r="O365" s="29">
        <v>211.5</v>
      </c>
      <c r="P365" s="28" t="s">
        <v>812</v>
      </c>
      <c r="Q365" s="28" t="s">
        <v>149</v>
      </c>
      <c r="R365" s="28" t="s">
        <v>328</v>
      </c>
      <c r="S365" s="28" t="s">
        <v>7740</v>
      </c>
      <c r="T365" s="30">
        <v>73</v>
      </c>
      <c r="U365" s="28" t="s">
        <v>7741</v>
      </c>
      <c r="V365" s="28" t="s">
        <v>138</v>
      </c>
      <c r="W365" s="28" t="s">
        <v>138</v>
      </c>
      <c r="X365" s="31" t="s">
        <v>138</v>
      </c>
      <c r="Y365" s="28" t="s">
        <v>138</v>
      </c>
      <c r="Z365" s="28" t="s">
        <v>138</v>
      </c>
      <c r="AA365" s="28" t="s">
        <v>138</v>
      </c>
      <c r="AB365" s="32">
        <v>110</v>
      </c>
      <c r="AC365" s="32" t="s">
        <v>138</v>
      </c>
      <c r="AD365" s="32" t="s">
        <v>138</v>
      </c>
      <c r="AE365" s="32" t="s">
        <v>138</v>
      </c>
      <c r="AF365" s="32" t="s">
        <v>138</v>
      </c>
      <c r="AG365" s="28" t="s">
        <v>419</v>
      </c>
      <c r="AH365" s="32" t="s">
        <v>138</v>
      </c>
      <c r="AI365" s="32" t="s">
        <v>138</v>
      </c>
      <c r="AJ365" s="32" t="s">
        <v>138</v>
      </c>
      <c r="AK365" s="28" t="s">
        <v>7742</v>
      </c>
      <c r="AL365" s="28" t="s">
        <v>7743</v>
      </c>
      <c r="AM365" s="28" t="s">
        <v>249</v>
      </c>
      <c r="AN365" s="28" t="s">
        <v>7744</v>
      </c>
      <c r="AO365" s="28" t="s">
        <v>7745</v>
      </c>
      <c r="AP365" s="28" t="s">
        <v>7746</v>
      </c>
      <c r="AQ365" s="28" t="s">
        <v>7747</v>
      </c>
      <c r="AR365" s="28" t="s">
        <v>138</v>
      </c>
      <c r="AS365" s="28" t="s">
        <v>7748</v>
      </c>
      <c r="AT365" s="28" t="s">
        <v>200</v>
      </c>
      <c r="AU365" s="28" t="s">
        <v>7749</v>
      </c>
      <c r="AV365" s="28" t="s">
        <v>162</v>
      </c>
      <c r="AW365" s="28" t="s">
        <v>7745</v>
      </c>
      <c r="AX365" s="28" t="s">
        <v>138</v>
      </c>
      <c r="AY365" s="28" t="s">
        <v>7750</v>
      </c>
      <c r="AZ365" s="28" t="s">
        <v>164</v>
      </c>
      <c r="BA365" s="28" t="s">
        <v>165</v>
      </c>
      <c r="BB365" s="28" t="s">
        <v>7751</v>
      </c>
      <c r="BC365" s="28" t="s">
        <v>7752</v>
      </c>
      <c r="BD365" s="33">
        <v>9</v>
      </c>
      <c r="BE365" s="28" t="s">
        <v>138</v>
      </c>
      <c r="BF365" s="28" t="s">
        <v>7753</v>
      </c>
      <c r="BG365" s="28" t="s">
        <v>138</v>
      </c>
      <c r="BH365" s="28" t="s">
        <v>7754</v>
      </c>
      <c r="BI365" s="28" t="s">
        <v>7755</v>
      </c>
      <c r="BJ365" s="28" t="s">
        <v>138</v>
      </c>
      <c r="BK365" s="28" t="s">
        <v>138</v>
      </c>
      <c r="BL365" s="28" t="s">
        <v>7756</v>
      </c>
      <c r="BM365" s="34">
        <v>40969</v>
      </c>
      <c r="BN365" s="29" t="s">
        <v>138</v>
      </c>
      <c r="BO365" s="28" t="s">
        <v>138</v>
      </c>
      <c r="BP365" s="29" t="s">
        <v>138</v>
      </c>
      <c r="BQ365" s="28" t="s">
        <v>138</v>
      </c>
      <c r="BR365" s="28" t="s">
        <v>234</v>
      </c>
      <c r="BS365" s="28" t="s">
        <v>234</v>
      </c>
      <c r="BT365" s="28" t="s">
        <v>138</v>
      </c>
      <c r="BU365" s="28" t="s">
        <v>174</v>
      </c>
      <c r="BV365" s="28" t="s">
        <v>138</v>
      </c>
      <c r="BW365" s="28" t="s">
        <v>138</v>
      </c>
      <c r="BX365" s="28" t="s">
        <v>138</v>
      </c>
      <c r="BY365" s="28" t="s">
        <v>175</v>
      </c>
      <c r="BZ365" s="34">
        <v>43047</v>
      </c>
      <c r="CA365" s="29">
        <v>11.5</v>
      </c>
      <c r="CB365" s="28" t="s">
        <v>172</v>
      </c>
      <c r="CC365" s="29" t="s">
        <v>138</v>
      </c>
      <c r="CD365" s="28" t="s">
        <v>138</v>
      </c>
      <c r="CE365" s="28" t="s">
        <v>1673</v>
      </c>
      <c r="CF365" s="28" t="s">
        <v>138</v>
      </c>
      <c r="CG365" s="28" t="s">
        <v>138</v>
      </c>
      <c r="CH365" s="28" t="s">
        <v>351</v>
      </c>
      <c r="CI365" s="28" t="s">
        <v>138</v>
      </c>
      <c r="CJ365" s="28" t="s">
        <v>138</v>
      </c>
      <c r="CK365" s="28" t="s">
        <v>138</v>
      </c>
      <c r="CL365" s="28" t="s">
        <v>175</v>
      </c>
      <c r="CM365" s="34" t="s">
        <v>138</v>
      </c>
      <c r="CN365" s="29" t="s">
        <v>138</v>
      </c>
      <c r="CO365" s="35">
        <v>0.46</v>
      </c>
      <c r="CP365" s="36">
        <v>95</v>
      </c>
      <c r="CQ365" s="35">
        <v>-0.02</v>
      </c>
      <c r="CR365" s="35">
        <v>-3.3</v>
      </c>
      <c r="CS365" s="35">
        <v>0.95</v>
      </c>
      <c r="CT365" s="36">
        <v>97</v>
      </c>
      <c r="CU365" s="35">
        <v>-0.04</v>
      </c>
      <c r="CV365" s="36">
        <v>12</v>
      </c>
      <c r="CW365" s="35">
        <v>3.19</v>
      </c>
      <c r="CX365" s="36">
        <v>92</v>
      </c>
      <c r="CY365" s="35">
        <v>-1.28</v>
      </c>
      <c r="CZ365" s="36">
        <v>17</v>
      </c>
      <c r="DA365" s="35">
        <v>-0.04</v>
      </c>
      <c r="DB365" s="36">
        <v>15</v>
      </c>
      <c r="DC365" s="37">
        <v>55.39</v>
      </c>
      <c r="DD365" s="36">
        <v>98</v>
      </c>
      <c r="DE365" s="37">
        <v>-103.76</v>
      </c>
      <c r="DF365" s="35">
        <v>-65.19</v>
      </c>
      <c r="DG365" s="37">
        <v>44.32</v>
      </c>
      <c r="DH365" s="36">
        <v>98</v>
      </c>
      <c r="DI365" s="37">
        <v>66.47</v>
      </c>
      <c r="DJ365" s="36">
        <v>96</v>
      </c>
      <c r="DK365" s="37">
        <v>34.94</v>
      </c>
      <c r="DL365" s="36">
        <v>94</v>
      </c>
      <c r="DM365" s="37">
        <v>53.69</v>
      </c>
      <c r="DN365" s="36">
        <v>98</v>
      </c>
      <c r="DO365" s="37">
        <v>66.47</v>
      </c>
      <c r="DP365" s="36">
        <v>97</v>
      </c>
      <c r="DQ365" s="36">
        <v>11722</v>
      </c>
      <c r="DR365" s="38">
        <v>788</v>
      </c>
      <c r="DS365" s="35">
        <v>7.21</v>
      </c>
      <c r="DT365" s="36">
        <v>1557</v>
      </c>
      <c r="DU365" s="38">
        <v>0</v>
      </c>
      <c r="DV365" s="35">
        <v>0</v>
      </c>
      <c r="DW365" s="36">
        <v>23805</v>
      </c>
      <c r="DX365" s="39">
        <v>-9</v>
      </c>
      <c r="DY365" s="35">
        <v>-0.04</v>
      </c>
      <c r="DZ365" s="28" t="s">
        <v>178</v>
      </c>
      <c r="EA365" s="34">
        <v>43606</v>
      </c>
      <c r="EB365" s="29">
        <v>300</v>
      </c>
      <c r="EC365" s="34">
        <v>42243</v>
      </c>
      <c r="ED365" s="28" t="s">
        <v>780</v>
      </c>
      <c r="EE365" s="40" t="str">
        <f>HYPERLINK("https://my.pitchbook.com?c=61111-63", "View company online")</f>
        <v>View company online</v>
      </c>
    </row>
    <row r="366" spans="1:135">
      <c r="A366" s="15" t="s">
        <v>7757</v>
      </c>
      <c r="B366" s="15" t="s">
        <v>7758</v>
      </c>
      <c r="C366" s="15" t="s">
        <v>138</v>
      </c>
      <c r="D366" s="15" t="s">
        <v>138</v>
      </c>
      <c r="E366" s="15" t="s">
        <v>138</v>
      </c>
      <c r="F366" s="15" t="s">
        <v>7757</v>
      </c>
      <c r="G366" s="15" t="s">
        <v>7759</v>
      </c>
      <c r="H366" s="15" t="s">
        <v>141</v>
      </c>
      <c r="I366" s="15" t="s">
        <v>212</v>
      </c>
      <c r="J366" s="15" t="s">
        <v>486</v>
      </c>
      <c r="K366" s="15" t="s">
        <v>5985</v>
      </c>
      <c r="L366" s="15" t="s">
        <v>7760</v>
      </c>
      <c r="M366" s="15" t="s">
        <v>7761</v>
      </c>
      <c r="N366" s="15" t="s">
        <v>147</v>
      </c>
      <c r="O366" s="17">
        <v>4.38</v>
      </c>
      <c r="P366" s="15" t="s">
        <v>148</v>
      </c>
      <c r="Q366" s="15" t="s">
        <v>149</v>
      </c>
      <c r="R366" s="15" t="s">
        <v>174</v>
      </c>
      <c r="S366" s="15" t="s">
        <v>7762</v>
      </c>
      <c r="T366" s="18">
        <v>12</v>
      </c>
      <c r="U366" s="15" t="s">
        <v>7763</v>
      </c>
      <c r="V366" s="15" t="s">
        <v>138</v>
      </c>
      <c r="W366" s="15" t="s">
        <v>138</v>
      </c>
      <c r="X366" s="19">
        <v>2014</v>
      </c>
      <c r="Y366" s="15" t="s">
        <v>138</v>
      </c>
      <c r="Z366" s="15" t="s">
        <v>138</v>
      </c>
      <c r="AA366" s="15" t="s">
        <v>138</v>
      </c>
      <c r="AB366" s="20" t="s">
        <v>138</v>
      </c>
      <c r="AC366" s="20" t="s">
        <v>138</v>
      </c>
      <c r="AD366" s="20" t="s">
        <v>138</v>
      </c>
      <c r="AE366" s="20" t="s">
        <v>138</v>
      </c>
      <c r="AF366" s="20" t="s">
        <v>138</v>
      </c>
      <c r="AG366" s="15" t="s">
        <v>138</v>
      </c>
      <c r="AH366" s="20" t="s">
        <v>138</v>
      </c>
      <c r="AI366" s="20" t="s">
        <v>138</v>
      </c>
      <c r="AJ366" s="20" t="s">
        <v>138</v>
      </c>
      <c r="AK366" s="15" t="s">
        <v>7764</v>
      </c>
      <c r="AL366" s="15" t="s">
        <v>7765</v>
      </c>
      <c r="AM366" s="15" t="s">
        <v>221</v>
      </c>
      <c r="AN366" s="15" t="s">
        <v>7766</v>
      </c>
      <c r="AO366" s="15" t="s">
        <v>7767</v>
      </c>
      <c r="AP366" s="15" t="s">
        <v>2880</v>
      </c>
      <c r="AQ366" s="15" t="s">
        <v>7768</v>
      </c>
      <c r="AR366" s="15" t="s">
        <v>138</v>
      </c>
      <c r="AS366" s="15" t="s">
        <v>2882</v>
      </c>
      <c r="AT366" s="15" t="s">
        <v>2883</v>
      </c>
      <c r="AU366" s="15" t="s">
        <v>7769</v>
      </c>
      <c r="AV366" s="15" t="s">
        <v>162</v>
      </c>
      <c r="AW366" s="15" t="s">
        <v>7767</v>
      </c>
      <c r="AX366" s="15" t="s">
        <v>138</v>
      </c>
      <c r="AY366" s="15" t="s">
        <v>7770</v>
      </c>
      <c r="AZ366" s="15" t="s">
        <v>164</v>
      </c>
      <c r="BA366" s="15" t="s">
        <v>165</v>
      </c>
      <c r="BB366" s="15" t="s">
        <v>7771</v>
      </c>
      <c r="BC366" s="15" t="s">
        <v>7772</v>
      </c>
      <c r="BD366" s="21">
        <v>13</v>
      </c>
      <c r="BE366" s="15" t="s">
        <v>138</v>
      </c>
      <c r="BF366" s="15" t="s">
        <v>138</v>
      </c>
      <c r="BG366" s="15" t="s">
        <v>138</v>
      </c>
      <c r="BH366" s="15" t="s">
        <v>7773</v>
      </c>
      <c r="BI366" s="15" t="s">
        <v>138</v>
      </c>
      <c r="BJ366" s="15" t="s">
        <v>138</v>
      </c>
      <c r="BK366" s="15" t="s">
        <v>138</v>
      </c>
      <c r="BL366" s="15" t="s">
        <v>138</v>
      </c>
      <c r="BM366" s="22">
        <v>42005</v>
      </c>
      <c r="BN366" s="17" t="s">
        <v>138</v>
      </c>
      <c r="BO366" s="15" t="s">
        <v>138</v>
      </c>
      <c r="BP366" s="17" t="s">
        <v>138</v>
      </c>
      <c r="BQ366" s="15" t="s">
        <v>138</v>
      </c>
      <c r="BR366" s="15" t="s">
        <v>316</v>
      </c>
      <c r="BS366" s="15" t="s">
        <v>138</v>
      </c>
      <c r="BT366" s="15" t="s">
        <v>138</v>
      </c>
      <c r="BU366" s="15" t="s">
        <v>177</v>
      </c>
      <c r="BV366" s="15" t="s">
        <v>138</v>
      </c>
      <c r="BW366" s="15" t="s">
        <v>138</v>
      </c>
      <c r="BX366" s="15" t="s">
        <v>138</v>
      </c>
      <c r="BY366" s="15" t="s">
        <v>175</v>
      </c>
      <c r="BZ366" s="22">
        <v>43577</v>
      </c>
      <c r="CA366" s="17">
        <v>3.3</v>
      </c>
      <c r="CB366" s="15" t="s">
        <v>1178</v>
      </c>
      <c r="CC366" s="17">
        <v>8</v>
      </c>
      <c r="CD366" s="15" t="s">
        <v>172</v>
      </c>
      <c r="CE366" s="15" t="s">
        <v>234</v>
      </c>
      <c r="CF366" s="15" t="s">
        <v>4410</v>
      </c>
      <c r="CG366" s="15" t="s">
        <v>138</v>
      </c>
      <c r="CH366" s="15" t="s">
        <v>174</v>
      </c>
      <c r="CI366" s="15" t="s">
        <v>138</v>
      </c>
      <c r="CJ366" s="15" t="s">
        <v>138</v>
      </c>
      <c r="CK366" s="15" t="s">
        <v>138</v>
      </c>
      <c r="CL366" s="15" t="s">
        <v>175</v>
      </c>
      <c r="CM366" s="22" t="s">
        <v>138</v>
      </c>
      <c r="CN366" s="17" t="s">
        <v>138</v>
      </c>
      <c r="CO366" s="23">
        <v>0.28999999999999998</v>
      </c>
      <c r="CP366" s="24">
        <v>93</v>
      </c>
      <c r="CQ366" s="23">
        <v>-0.06</v>
      </c>
      <c r="CR366" s="23">
        <v>-18.39</v>
      </c>
      <c r="CS366" s="23" t="s">
        <v>138</v>
      </c>
      <c r="CT366" s="24" t="s">
        <v>138</v>
      </c>
      <c r="CU366" s="23">
        <v>0.28999999999999998</v>
      </c>
      <c r="CV366" s="24">
        <v>87</v>
      </c>
      <c r="CW366" s="23" t="s">
        <v>138</v>
      </c>
      <c r="CX366" s="24" t="s">
        <v>138</v>
      </c>
      <c r="CY366" s="23" t="s">
        <v>138</v>
      </c>
      <c r="CZ366" s="24" t="s">
        <v>138</v>
      </c>
      <c r="DA366" s="23">
        <v>0.28999999999999998</v>
      </c>
      <c r="DB366" s="24">
        <v>88</v>
      </c>
      <c r="DC366" s="25">
        <v>1.1100000000000001</v>
      </c>
      <c r="DD366" s="24">
        <v>54</v>
      </c>
      <c r="DE366" s="25">
        <v>0.01</v>
      </c>
      <c r="DF366" s="23">
        <v>0.56000000000000005</v>
      </c>
      <c r="DG366" s="25" t="s">
        <v>138</v>
      </c>
      <c r="DH366" s="24" t="s">
        <v>138</v>
      </c>
      <c r="DI366" s="25">
        <v>1.1100000000000001</v>
      </c>
      <c r="DJ366" s="24">
        <v>51</v>
      </c>
      <c r="DK366" s="25" t="s">
        <v>138</v>
      </c>
      <c r="DL366" s="24" t="s">
        <v>138</v>
      </c>
      <c r="DM366" s="25" t="s">
        <v>138</v>
      </c>
      <c r="DN366" s="24" t="s">
        <v>138</v>
      </c>
      <c r="DO366" s="25">
        <v>1.1100000000000001</v>
      </c>
      <c r="DP366" s="24">
        <v>52</v>
      </c>
      <c r="DQ366" s="24" t="s">
        <v>138</v>
      </c>
      <c r="DR366" s="26" t="s">
        <v>138</v>
      </c>
      <c r="DS366" s="23" t="s">
        <v>138</v>
      </c>
      <c r="DT366" s="24" t="s">
        <v>138</v>
      </c>
      <c r="DU366" s="26" t="s">
        <v>138</v>
      </c>
      <c r="DV366" s="23" t="s">
        <v>138</v>
      </c>
      <c r="DW366" s="24">
        <v>396</v>
      </c>
      <c r="DX366" s="27">
        <v>0</v>
      </c>
      <c r="DY366" s="23">
        <v>0</v>
      </c>
      <c r="DZ366" s="15" t="s">
        <v>178</v>
      </c>
      <c r="EA366" s="22">
        <v>43622</v>
      </c>
      <c r="EB366" s="17">
        <v>8</v>
      </c>
      <c r="EC366" s="22">
        <v>43577</v>
      </c>
      <c r="ED366" s="15" t="s">
        <v>234</v>
      </c>
      <c r="EE366" s="14" t="str">
        <f>HYPERLINK("https://my.pitchbook.com?c=179705-35", "View company online")</f>
        <v>View company online</v>
      </c>
    </row>
    <row r="367" spans="1:135">
      <c r="A367" s="28" t="s">
        <v>7774</v>
      </c>
      <c r="B367" s="28" t="s">
        <v>7775</v>
      </c>
      <c r="C367" s="28" t="s">
        <v>138</v>
      </c>
      <c r="D367" s="28" t="s">
        <v>138</v>
      </c>
      <c r="E367" s="28" t="s">
        <v>138</v>
      </c>
      <c r="F367" s="28" t="s">
        <v>7774</v>
      </c>
      <c r="G367" s="28" t="s">
        <v>7776</v>
      </c>
      <c r="H367" s="28" t="s">
        <v>183</v>
      </c>
      <c r="I367" s="28" t="s">
        <v>725</v>
      </c>
      <c r="J367" s="28" t="s">
        <v>726</v>
      </c>
      <c r="K367" s="28" t="s">
        <v>727</v>
      </c>
      <c r="L367" s="28" t="s">
        <v>855</v>
      </c>
      <c r="M367" s="28" t="s">
        <v>7777</v>
      </c>
      <c r="N367" s="28" t="s">
        <v>147</v>
      </c>
      <c r="O367" s="29">
        <v>1.1000000000000001</v>
      </c>
      <c r="P367" s="28" t="s">
        <v>148</v>
      </c>
      <c r="Q367" s="28" t="s">
        <v>149</v>
      </c>
      <c r="R367" s="28" t="s">
        <v>174</v>
      </c>
      <c r="S367" s="28" t="s">
        <v>7778</v>
      </c>
      <c r="T367" s="30">
        <v>15</v>
      </c>
      <c r="U367" s="28" t="s">
        <v>913</v>
      </c>
      <c r="V367" s="28" t="s">
        <v>138</v>
      </c>
      <c r="W367" s="28" t="s">
        <v>138</v>
      </c>
      <c r="X367" s="31">
        <v>2017</v>
      </c>
      <c r="Y367" s="28" t="s">
        <v>138</v>
      </c>
      <c r="Z367" s="28" t="s">
        <v>138</v>
      </c>
      <c r="AA367" s="28" t="s">
        <v>138</v>
      </c>
      <c r="AB367" s="32" t="s">
        <v>138</v>
      </c>
      <c r="AC367" s="32" t="s">
        <v>138</v>
      </c>
      <c r="AD367" s="32" t="s">
        <v>138</v>
      </c>
      <c r="AE367" s="32" t="s">
        <v>138</v>
      </c>
      <c r="AF367" s="32" t="s">
        <v>138</v>
      </c>
      <c r="AG367" s="28" t="s">
        <v>138</v>
      </c>
      <c r="AH367" s="32" t="s">
        <v>138</v>
      </c>
      <c r="AI367" s="32" t="s">
        <v>138</v>
      </c>
      <c r="AJ367" s="32" t="s">
        <v>138</v>
      </c>
      <c r="AK367" s="28" t="s">
        <v>7779</v>
      </c>
      <c r="AL367" s="28" t="s">
        <v>7780</v>
      </c>
      <c r="AM367" s="28" t="s">
        <v>916</v>
      </c>
      <c r="AN367" s="28" t="s">
        <v>7781</v>
      </c>
      <c r="AO367" s="28" t="s">
        <v>138</v>
      </c>
      <c r="AP367" s="28" t="s">
        <v>2928</v>
      </c>
      <c r="AQ367" s="28" t="s">
        <v>7782</v>
      </c>
      <c r="AR367" s="28" t="s">
        <v>138</v>
      </c>
      <c r="AS367" s="28" t="s">
        <v>2931</v>
      </c>
      <c r="AT367" s="28" t="s">
        <v>200</v>
      </c>
      <c r="AU367" s="28" t="s">
        <v>7783</v>
      </c>
      <c r="AV367" s="28" t="s">
        <v>162</v>
      </c>
      <c r="AW367" s="28" t="s">
        <v>138</v>
      </c>
      <c r="AX367" s="28" t="s">
        <v>138</v>
      </c>
      <c r="AY367" s="28" t="s">
        <v>7784</v>
      </c>
      <c r="AZ367" s="28" t="s">
        <v>164</v>
      </c>
      <c r="BA367" s="28" t="s">
        <v>165</v>
      </c>
      <c r="BB367" s="28" t="s">
        <v>7785</v>
      </c>
      <c r="BC367" s="28" t="s">
        <v>7786</v>
      </c>
      <c r="BD367" s="33">
        <v>10</v>
      </c>
      <c r="BE367" s="28" t="s">
        <v>138</v>
      </c>
      <c r="BF367" s="28" t="s">
        <v>138</v>
      </c>
      <c r="BG367" s="28" t="s">
        <v>138</v>
      </c>
      <c r="BH367" s="28" t="s">
        <v>7787</v>
      </c>
      <c r="BI367" s="28" t="s">
        <v>138</v>
      </c>
      <c r="BJ367" s="28" t="s">
        <v>138</v>
      </c>
      <c r="BK367" s="28" t="s">
        <v>138</v>
      </c>
      <c r="BL367" s="28" t="s">
        <v>138</v>
      </c>
      <c r="BM367" s="34" t="s">
        <v>138</v>
      </c>
      <c r="BN367" s="29" t="s">
        <v>138</v>
      </c>
      <c r="BO367" s="28" t="s">
        <v>138</v>
      </c>
      <c r="BP367" s="29" t="s">
        <v>138</v>
      </c>
      <c r="BQ367" s="28" t="s">
        <v>138</v>
      </c>
      <c r="BR367" s="28" t="s">
        <v>316</v>
      </c>
      <c r="BS367" s="28" t="s">
        <v>138</v>
      </c>
      <c r="BT367" s="28" t="s">
        <v>138</v>
      </c>
      <c r="BU367" s="28" t="s">
        <v>177</v>
      </c>
      <c r="BV367" s="28" t="s">
        <v>138</v>
      </c>
      <c r="BW367" s="28" t="s">
        <v>138</v>
      </c>
      <c r="BX367" s="28" t="s">
        <v>138</v>
      </c>
      <c r="BY367" s="28" t="s">
        <v>175</v>
      </c>
      <c r="BZ367" s="34">
        <v>43237</v>
      </c>
      <c r="CA367" s="29">
        <v>1.1000000000000001</v>
      </c>
      <c r="CB367" s="28" t="s">
        <v>172</v>
      </c>
      <c r="CC367" s="29" t="s">
        <v>138</v>
      </c>
      <c r="CD367" s="28" t="s">
        <v>138</v>
      </c>
      <c r="CE367" s="28" t="s">
        <v>234</v>
      </c>
      <c r="CF367" s="28" t="s">
        <v>234</v>
      </c>
      <c r="CG367" s="28" t="s">
        <v>138</v>
      </c>
      <c r="CH367" s="28" t="s">
        <v>174</v>
      </c>
      <c r="CI367" s="28" t="s">
        <v>138</v>
      </c>
      <c r="CJ367" s="28" t="s">
        <v>138</v>
      </c>
      <c r="CK367" s="28" t="s">
        <v>138</v>
      </c>
      <c r="CL367" s="28" t="s">
        <v>175</v>
      </c>
      <c r="CM367" s="34" t="s">
        <v>138</v>
      </c>
      <c r="CN367" s="29" t="s">
        <v>138</v>
      </c>
      <c r="CO367" s="35">
        <v>3.1</v>
      </c>
      <c r="CP367" s="36">
        <v>100</v>
      </c>
      <c r="CQ367" s="35">
        <v>0</v>
      </c>
      <c r="CR367" s="35">
        <v>0</v>
      </c>
      <c r="CS367" s="35">
        <v>3.1</v>
      </c>
      <c r="CT367" s="36">
        <v>99</v>
      </c>
      <c r="CU367" s="35" t="s">
        <v>138</v>
      </c>
      <c r="CV367" s="36" t="s">
        <v>138</v>
      </c>
      <c r="CW367" s="35">
        <v>3.1</v>
      </c>
      <c r="CX367" s="36">
        <v>91</v>
      </c>
      <c r="CY367" s="35" t="s">
        <v>138</v>
      </c>
      <c r="CZ367" s="36" t="s">
        <v>138</v>
      </c>
      <c r="DA367" s="35" t="s">
        <v>138</v>
      </c>
      <c r="DB367" s="36" t="s">
        <v>138</v>
      </c>
      <c r="DC367" s="37">
        <v>3.78</v>
      </c>
      <c r="DD367" s="36">
        <v>79</v>
      </c>
      <c r="DE367" s="37">
        <v>-0.49</v>
      </c>
      <c r="DF367" s="35">
        <v>-11.37</v>
      </c>
      <c r="DG367" s="37">
        <v>3.78</v>
      </c>
      <c r="DH367" s="36">
        <v>78</v>
      </c>
      <c r="DI367" s="37" t="s">
        <v>138</v>
      </c>
      <c r="DJ367" s="36" t="s">
        <v>138</v>
      </c>
      <c r="DK367" s="37">
        <v>3.78</v>
      </c>
      <c r="DL367" s="36">
        <v>75</v>
      </c>
      <c r="DM367" s="37" t="s">
        <v>138</v>
      </c>
      <c r="DN367" s="36" t="s">
        <v>138</v>
      </c>
      <c r="DO367" s="37" t="s">
        <v>138</v>
      </c>
      <c r="DP367" s="36" t="s">
        <v>138</v>
      </c>
      <c r="DQ367" s="36">
        <v>1270</v>
      </c>
      <c r="DR367" s="38">
        <v>80</v>
      </c>
      <c r="DS367" s="35">
        <v>6.72</v>
      </c>
      <c r="DT367" s="36" t="s">
        <v>138</v>
      </c>
      <c r="DU367" s="38" t="s">
        <v>138</v>
      </c>
      <c r="DV367" s="35" t="s">
        <v>138</v>
      </c>
      <c r="DW367" s="36" t="s">
        <v>138</v>
      </c>
      <c r="DX367" s="39" t="s">
        <v>138</v>
      </c>
      <c r="DY367" s="35" t="s">
        <v>138</v>
      </c>
      <c r="DZ367" s="28" t="s">
        <v>178</v>
      </c>
      <c r="EA367" s="34">
        <v>43502</v>
      </c>
      <c r="EB367" s="29" t="s">
        <v>138</v>
      </c>
      <c r="EC367" s="34" t="s">
        <v>138</v>
      </c>
      <c r="ED367" s="28" t="s">
        <v>138</v>
      </c>
      <c r="EE367" s="40" t="str">
        <f>HYPERLINK("https://my.pitchbook.com?c=226264-33", "View company online")</f>
        <v>View company online</v>
      </c>
    </row>
    <row r="368" spans="1:135">
      <c r="A368" s="15" t="s">
        <v>7788</v>
      </c>
      <c r="B368" s="15" t="s">
        <v>7789</v>
      </c>
      <c r="C368" s="15" t="s">
        <v>138</v>
      </c>
      <c r="D368" s="15" t="s">
        <v>138</v>
      </c>
      <c r="E368" s="15" t="s">
        <v>7790</v>
      </c>
      <c r="F368" s="15" t="s">
        <v>7788</v>
      </c>
      <c r="G368" s="15" t="s">
        <v>7791</v>
      </c>
      <c r="H368" s="15" t="s">
        <v>141</v>
      </c>
      <c r="I368" s="15" t="s">
        <v>212</v>
      </c>
      <c r="J368" s="15" t="s">
        <v>213</v>
      </c>
      <c r="K368" s="15" t="s">
        <v>7792</v>
      </c>
      <c r="L368" s="15" t="s">
        <v>1104</v>
      </c>
      <c r="M368" s="15" t="s">
        <v>7793</v>
      </c>
      <c r="N368" s="15" t="s">
        <v>147</v>
      </c>
      <c r="O368" s="17">
        <v>9.49</v>
      </c>
      <c r="P368" s="15" t="s">
        <v>148</v>
      </c>
      <c r="Q368" s="15" t="s">
        <v>149</v>
      </c>
      <c r="R368" s="15" t="s">
        <v>174</v>
      </c>
      <c r="S368" s="15" t="s">
        <v>7794</v>
      </c>
      <c r="T368" s="18">
        <v>50</v>
      </c>
      <c r="U368" s="15" t="s">
        <v>7795</v>
      </c>
      <c r="V368" s="15" t="s">
        <v>138</v>
      </c>
      <c r="W368" s="15" t="s">
        <v>138</v>
      </c>
      <c r="X368" s="19">
        <v>2009</v>
      </c>
      <c r="Y368" s="15" t="s">
        <v>138</v>
      </c>
      <c r="Z368" s="15" t="s">
        <v>138</v>
      </c>
      <c r="AA368" s="15" t="s">
        <v>138</v>
      </c>
      <c r="AB368" s="20" t="s">
        <v>138</v>
      </c>
      <c r="AC368" s="20" t="s">
        <v>138</v>
      </c>
      <c r="AD368" s="20" t="s">
        <v>138</v>
      </c>
      <c r="AE368" s="20" t="s">
        <v>138</v>
      </c>
      <c r="AF368" s="20" t="s">
        <v>138</v>
      </c>
      <c r="AG368" s="15" t="s">
        <v>138</v>
      </c>
      <c r="AH368" s="20" t="s">
        <v>138</v>
      </c>
      <c r="AI368" s="20" t="s">
        <v>138</v>
      </c>
      <c r="AJ368" s="20" t="s">
        <v>138</v>
      </c>
      <c r="AK368" s="15" t="s">
        <v>7796</v>
      </c>
      <c r="AL368" s="15" t="s">
        <v>7797</v>
      </c>
      <c r="AM368" s="15" t="s">
        <v>986</v>
      </c>
      <c r="AN368" s="15" t="s">
        <v>138</v>
      </c>
      <c r="AO368" s="15" t="s">
        <v>7798</v>
      </c>
      <c r="AP368" s="15" t="s">
        <v>820</v>
      </c>
      <c r="AQ368" s="15" t="s">
        <v>667</v>
      </c>
      <c r="AR368" s="15" t="s">
        <v>7799</v>
      </c>
      <c r="AS368" s="15" t="s">
        <v>823</v>
      </c>
      <c r="AT368" s="15" t="s">
        <v>824</v>
      </c>
      <c r="AU368" s="15" t="s">
        <v>7800</v>
      </c>
      <c r="AV368" s="15" t="s">
        <v>526</v>
      </c>
      <c r="AW368" s="15" t="s">
        <v>7798</v>
      </c>
      <c r="AX368" s="15" t="s">
        <v>138</v>
      </c>
      <c r="AY368" s="15" t="s">
        <v>138</v>
      </c>
      <c r="AZ368" s="15" t="s">
        <v>530</v>
      </c>
      <c r="BA368" s="15" t="s">
        <v>531</v>
      </c>
      <c r="BB368" s="15" t="s">
        <v>7801</v>
      </c>
      <c r="BC368" s="15" t="s">
        <v>7802</v>
      </c>
      <c r="BD368" s="21">
        <v>1</v>
      </c>
      <c r="BE368" s="15" t="s">
        <v>138</v>
      </c>
      <c r="BF368" s="15" t="s">
        <v>138</v>
      </c>
      <c r="BG368" s="15" t="s">
        <v>138</v>
      </c>
      <c r="BH368" s="15" t="s">
        <v>138</v>
      </c>
      <c r="BI368" s="15" t="s">
        <v>138</v>
      </c>
      <c r="BJ368" s="15" t="s">
        <v>138</v>
      </c>
      <c r="BK368" s="15" t="s">
        <v>138</v>
      </c>
      <c r="BL368" s="15" t="s">
        <v>138</v>
      </c>
      <c r="BM368" s="22">
        <v>40996</v>
      </c>
      <c r="BN368" s="17">
        <v>9.49</v>
      </c>
      <c r="BO368" s="15" t="s">
        <v>172</v>
      </c>
      <c r="BP368" s="17">
        <v>22.36</v>
      </c>
      <c r="BQ368" s="15" t="s">
        <v>172</v>
      </c>
      <c r="BR368" s="15" t="s">
        <v>205</v>
      </c>
      <c r="BS368" s="15" t="s">
        <v>138</v>
      </c>
      <c r="BT368" s="15" t="s">
        <v>138</v>
      </c>
      <c r="BU368" s="15" t="s">
        <v>174</v>
      </c>
      <c r="BV368" s="15" t="s">
        <v>138</v>
      </c>
      <c r="BW368" s="15" t="s">
        <v>138</v>
      </c>
      <c r="BX368" s="15" t="s">
        <v>138</v>
      </c>
      <c r="BY368" s="15" t="s">
        <v>175</v>
      </c>
      <c r="BZ368" s="22">
        <v>40996</v>
      </c>
      <c r="CA368" s="17">
        <v>9.49</v>
      </c>
      <c r="CB368" s="15" t="s">
        <v>172</v>
      </c>
      <c r="CC368" s="17">
        <v>22.36</v>
      </c>
      <c r="CD368" s="15" t="s">
        <v>172</v>
      </c>
      <c r="CE368" s="15" t="s">
        <v>205</v>
      </c>
      <c r="CF368" s="15" t="s">
        <v>138</v>
      </c>
      <c r="CG368" s="15" t="s">
        <v>138</v>
      </c>
      <c r="CH368" s="15" t="s">
        <v>174</v>
      </c>
      <c r="CI368" s="15" t="s">
        <v>138</v>
      </c>
      <c r="CJ368" s="15" t="s">
        <v>138</v>
      </c>
      <c r="CK368" s="15" t="s">
        <v>138</v>
      </c>
      <c r="CL368" s="15" t="s">
        <v>175</v>
      </c>
      <c r="CM368" s="22" t="s">
        <v>138</v>
      </c>
      <c r="CN368" s="17" t="s">
        <v>138</v>
      </c>
      <c r="CO368" s="23">
        <v>-0.75</v>
      </c>
      <c r="CP368" s="24">
        <v>13</v>
      </c>
      <c r="CQ368" s="23">
        <v>-0.02</v>
      </c>
      <c r="CR368" s="23">
        <v>-2.2000000000000002</v>
      </c>
      <c r="CS368" s="23">
        <v>-1.85</v>
      </c>
      <c r="CT368" s="24">
        <v>10</v>
      </c>
      <c r="CU368" s="23">
        <v>0.36</v>
      </c>
      <c r="CV368" s="24">
        <v>90</v>
      </c>
      <c r="CW368" s="23">
        <v>-0.82</v>
      </c>
      <c r="CX368" s="24">
        <v>10</v>
      </c>
      <c r="CY368" s="23">
        <v>-2.88</v>
      </c>
      <c r="CZ368" s="24">
        <v>7</v>
      </c>
      <c r="DA368" s="23">
        <v>0.03</v>
      </c>
      <c r="DB368" s="24">
        <v>60</v>
      </c>
      <c r="DC368" s="25">
        <v>24.52</v>
      </c>
      <c r="DD368" s="24">
        <v>96</v>
      </c>
      <c r="DE368" s="25">
        <v>-0.18</v>
      </c>
      <c r="DF368" s="23">
        <v>-0.74</v>
      </c>
      <c r="DG368" s="25">
        <v>25.66</v>
      </c>
      <c r="DH368" s="24">
        <v>96</v>
      </c>
      <c r="DI368" s="25">
        <v>23.39</v>
      </c>
      <c r="DJ368" s="24">
        <v>92</v>
      </c>
      <c r="DK368" s="25">
        <v>8.66</v>
      </c>
      <c r="DL368" s="24">
        <v>85</v>
      </c>
      <c r="DM368" s="25">
        <v>42.66</v>
      </c>
      <c r="DN368" s="24">
        <v>98</v>
      </c>
      <c r="DO368" s="25">
        <v>46.59</v>
      </c>
      <c r="DP368" s="24">
        <v>96</v>
      </c>
      <c r="DQ368" s="24">
        <v>2925</v>
      </c>
      <c r="DR368" s="26">
        <v>134</v>
      </c>
      <c r="DS368" s="23">
        <v>4.8</v>
      </c>
      <c r="DT368" s="24">
        <v>1236</v>
      </c>
      <c r="DU368" s="26">
        <v>2</v>
      </c>
      <c r="DV368" s="23">
        <v>0.16</v>
      </c>
      <c r="DW368" s="24">
        <v>16676</v>
      </c>
      <c r="DX368" s="27">
        <v>6</v>
      </c>
      <c r="DY368" s="23">
        <v>0.04</v>
      </c>
      <c r="DZ368" s="15" t="s">
        <v>178</v>
      </c>
      <c r="EA368" s="22">
        <v>43448</v>
      </c>
      <c r="EB368" s="17">
        <v>22.36</v>
      </c>
      <c r="EC368" s="22">
        <v>40996</v>
      </c>
      <c r="ED368" s="15" t="s">
        <v>205</v>
      </c>
      <c r="EE368" s="14" t="str">
        <f>HYPERLINK("https://my.pitchbook.com?c=54139-69", "View company online")</f>
        <v>View company online</v>
      </c>
    </row>
    <row r="369" spans="1:135">
      <c r="A369" s="28" t="s">
        <v>7803</v>
      </c>
      <c r="B369" s="28" t="s">
        <v>7804</v>
      </c>
      <c r="C369" s="28" t="s">
        <v>138</v>
      </c>
      <c r="D369" s="28" t="s">
        <v>138</v>
      </c>
      <c r="E369" s="28" t="s">
        <v>7805</v>
      </c>
      <c r="F369" s="28" t="s">
        <v>7803</v>
      </c>
      <c r="G369" s="28" t="s">
        <v>7806</v>
      </c>
      <c r="H369" s="28" t="s">
        <v>322</v>
      </c>
      <c r="I369" s="28" t="s">
        <v>323</v>
      </c>
      <c r="J369" s="28" t="s">
        <v>324</v>
      </c>
      <c r="K369" s="28" t="s">
        <v>3192</v>
      </c>
      <c r="L369" s="28" t="s">
        <v>7807</v>
      </c>
      <c r="M369" s="28" t="s">
        <v>7808</v>
      </c>
      <c r="N369" s="28" t="s">
        <v>147</v>
      </c>
      <c r="O369" s="29">
        <v>4</v>
      </c>
      <c r="P369" s="28" t="s">
        <v>148</v>
      </c>
      <c r="Q369" s="28" t="s">
        <v>149</v>
      </c>
      <c r="R369" s="28" t="s">
        <v>174</v>
      </c>
      <c r="S369" s="28" t="s">
        <v>7809</v>
      </c>
      <c r="T369" s="30">
        <v>11</v>
      </c>
      <c r="U369" s="28" t="s">
        <v>7810</v>
      </c>
      <c r="V369" s="28" t="s">
        <v>138</v>
      </c>
      <c r="W369" s="28" t="s">
        <v>138</v>
      </c>
      <c r="X369" s="31">
        <v>2013</v>
      </c>
      <c r="Y369" s="28" t="s">
        <v>138</v>
      </c>
      <c r="Z369" s="28" t="s">
        <v>138</v>
      </c>
      <c r="AA369" s="28" t="s">
        <v>138</v>
      </c>
      <c r="AB369" s="32" t="s">
        <v>138</v>
      </c>
      <c r="AC369" s="32" t="s">
        <v>138</v>
      </c>
      <c r="AD369" s="32" t="s">
        <v>138</v>
      </c>
      <c r="AE369" s="32" t="s">
        <v>138</v>
      </c>
      <c r="AF369" s="32" t="s">
        <v>138</v>
      </c>
      <c r="AG369" s="28" t="s">
        <v>138</v>
      </c>
      <c r="AH369" s="32" t="s">
        <v>138</v>
      </c>
      <c r="AI369" s="32" t="s">
        <v>138</v>
      </c>
      <c r="AJ369" s="32" t="s">
        <v>138</v>
      </c>
      <c r="AK369" s="28" t="s">
        <v>7811</v>
      </c>
      <c r="AL369" s="28" t="s">
        <v>7812</v>
      </c>
      <c r="AM369" s="28" t="s">
        <v>221</v>
      </c>
      <c r="AN369" s="28" t="s">
        <v>7813</v>
      </c>
      <c r="AO369" s="28" t="s">
        <v>7814</v>
      </c>
      <c r="AP369" s="28" t="s">
        <v>423</v>
      </c>
      <c r="AQ369" s="28" t="s">
        <v>7815</v>
      </c>
      <c r="AR369" s="28" t="s">
        <v>2245</v>
      </c>
      <c r="AS369" s="28" t="s">
        <v>426</v>
      </c>
      <c r="AT369" s="28" t="s">
        <v>426</v>
      </c>
      <c r="AU369" s="28" t="s">
        <v>2130</v>
      </c>
      <c r="AV369" s="28" t="s">
        <v>162</v>
      </c>
      <c r="AW369" s="28" t="s">
        <v>7814</v>
      </c>
      <c r="AX369" s="28" t="s">
        <v>138</v>
      </c>
      <c r="AY369" s="28" t="s">
        <v>7816</v>
      </c>
      <c r="AZ369" s="28" t="s">
        <v>164</v>
      </c>
      <c r="BA369" s="28" t="s">
        <v>165</v>
      </c>
      <c r="BB369" s="28" t="s">
        <v>7817</v>
      </c>
      <c r="BC369" s="28" t="s">
        <v>7818</v>
      </c>
      <c r="BD369" s="33">
        <v>11</v>
      </c>
      <c r="BE369" s="28" t="s">
        <v>138</v>
      </c>
      <c r="BF369" s="28" t="s">
        <v>138</v>
      </c>
      <c r="BG369" s="28" t="s">
        <v>138</v>
      </c>
      <c r="BH369" s="28" t="s">
        <v>7819</v>
      </c>
      <c r="BI369" s="28" t="s">
        <v>138</v>
      </c>
      <c r="BJ369" s="28" t="s">
        <v>138</v>
      </c>
      <c r="BK369" s="28" t="s">
        <v>1251</v>
      </c>
      <c r="BL369" s="28" t="s">
        <v>1251</v>
      </c>
      <c r="BM369" s="34" t="s">
        <v>138</v>
      </c>
      <c r="BN369" s="29" t="s">
        <v>138</v>
      </c>
      <c r="BO369" s="28" t="s">
        <v>138</v>
      </c>
      <c r="BP369" s="29" t="s">
        <v>138</v>
      </c>
      <c r="BQ369" s="28" t="s">
        <v>138</v>
      </c>
      <c r="BR369" s="28" t="s">
        <v>316</v>
      </c>
      <c r="BS369" s="28" t="s">
        <v>138</v>
      </c>
      <c r="BT369" s="28" t="s">
        <v>138</v>
      </c>
      <c r="BU369" s="28" t="s">
        <v>174</v>
      </c>
      <c r="BV369" s="28" t="s">
        <v>138</v>
      </c>
      <c r="BW369" s="28" t="s">
        <v>138</v>
      </c>
      <c r="BX369" s="28" t="s">
        <v>138</v>
      </c>
      <c r="BY369" s="28" t="s">
        <v>175</v>
      </c>
      <c r="BZ369" s="34">
        <v>43327</v>
      </c>
      <c r="CA369" s="29" t="s">
        <v>138</v>
      </c>
      <c r="CB369" s="28" t="s">
        <v>138</v>
      </c>
      <c r="CC369" s="29" t="s">
        <v>138</v>
      </c>
      <c r="CD369" s="28" t="s">
        <v>138</v>
      </c>
      <c r="CE369" s="28" t="s">
        <v>316</v>
      </c>
      <c r="CF369" s="28" t="s">
        <v>138</v>
      </c>
      <c r="CG369" s="28" t="s">
        <v>138</v>
      </c>
      <c r="CH369" s="28" t="s">
        <v>177</v>
      </c>
      <c r="CI369" s="28" t="s">
        <v>138</v>
      </c>
      <c r="CJ369" s="28" t="s">
        <v>138</v>
      </c>
      <c r="CK369" s="28" t="s">
        <v>138</v>
      </c>
      <c r="CL369" s="28" t="s">
        <v>175</v>
      </c>
      <c r="CM369" s="34" t="s">
        <v>138</v>
      </c>
      <c r="CN369" s="29" t="s">
        <v>138</v>
      </c>
      <c r="CO369" s="35">
        <v>-0.33</v>
      </c>
      <c r="CP369" s="36">
        <v>18</v>
      </c>
      <c r="CQ369" s="35">
        <v>-0.13</v>
      </c>
      <c r="CR369" s="35">
        <v>-60.63</v>
      </c>
      <c r="CS369" s="35">
        <v>-0.92</v>
      </c>
      <c r="CT369" s="36">
        <v>16</v>
      </c>
      <c r="CU369" s="35">
        <v>0.25</v>
      </c>
      <c r="CV369" s="36">
        <v>84</v>
      </c>
      <c r="CW369" s="35">
        <v>-0.42</v>
      </c>
      <c r="CX369" s="36">
        <v>11</v>
      </c>
      <c r="CY369" s="35">
        <v>-1.41</v>
      </c>
      <c r="CZ369" s="36">
        <v>15</v>
      </c>
      <c r="DA369" s="35">
        <v>0.46</v>
      </c>
      <c r="DB369" s="36">
        <v>93</v>
      </c>
      <c r="DC369" s="37">
        <v>2.52</v>
      </c>
      <c r="DD369" s="36">
        <v>72</v>
      </c>
      <c r="DE369" s="37">
        <v>-0.09</v>
      </c>
      <c r="DF369" s="35">
        <v>-3.52</v>
      </c>
      <c r="DG369" s="37">
        <v>3.35</v>
      </c>
      <c r="DH369" s="36">
        <v>76</v>
      </c>
      <c r="DI369" s="37">
        <v>1.68</v>
      </c>
      <c r="DJ369" s="36">
        <v>59</v>
      </c>
      <c r="DK369" s="37">
        <v>2.7</v>
      </c>
      <c r="DL369" s="36">
        <v>70</v>
      </c>
      <c r="DM369" s="37">
        <v>4</v>
      </c>
      <c r="DN369" s="36">
        <v>78</v>
      </c>
      <c r="DO369" s="37">
        <v>2.56</v>
      </c>
      <c r="DP369" s="36">
        <v>68</v>
      </c>
      <c r="DQ369" s="36">
        <v>895</v>
      </c>
      <c r="DR369" s="38">
        <v>90</v>
      </c>
      <c r="DS369" s="35">
        <v>11.18</v>
      </c>
      <c r="DT369" s="36">
        <v>116</v>
      </c>
      <c r="DU369" s="38">
        <v>-1</v>
      </c>
      <c r="DV369" s="35">
        <v>-0.85</v>
      </c>
      <c r="DW369" s="36">
        <v>914</v>
      </c>
      <c r="DX369" s="39">
        <v>0</v>
      </c>
      <c r="DY369" s="35">
        <v>0</v>
      </c>
      <c r="DZ369" s="28" t="s">
        <v>178</v>
      </c>
      <c r="EA369" s="34">
        <v>43529</v>
      </c>
      <c r="EB369" s="29">
        <v>14.02</v>
      </c>
      <c r="EC369" s="34">
        <v>43223</v>
      </c>
      <c r="ED369" s="28" t="s">
        <v>234</v>
      </c>
      <c r="EE369" s="40" t="str">
        <f>HYPERLINK("https://my.pitchbook.com?c=90238-60", "View company online")</f>
        <v>View company online</v>
      </c>
    </row>
    <row r="370" spans="1:135">
      <c r="A370" s="15" t="s">
        <v>7820</v>
      </c>
      <c r="B370" s="15" t="s">
        <v>7821</v>
      </c>
      <c r="C370" s="15" t="s">
        <v>138</v>
      </c>
      <c r="D370" s="15" t="s">
        <v>138</v>
      </c>
      <c r="E370" s="15" t="s">
        <v>138</v>
      </c>
      <c r="F370" s="15" t="s">
        <v>7820</v>
      </c>
      <c r="G370" s="15" t="s">
        <v>7822</v>
      </c>
      <c r="H370" s="15" t="s">
        <v>238</v>
      </c>
      <c r="I370" s="15" t="s">
        <v>239</v>
      </c>
      <c r="J370" s="15" t="s">
        <v>2578</v>
      </c>
      <c r="K370" s="15" t="s">
        <v>7823</v>
      </c>
      <c r="L370" s="15" t="s">
        <v>242</v>
      </c>
      <c r="M370" s="15" t="s">
        <v>7824</v>
      </c>
      <c r="N370" s="15" t="s">
        <v>147</v>
      </c>
      <c r="O370" s="17">
        <v>1.32</v>
      </c>
      <c r="P370" s="15" t="s">
        <v>148</v>
      </c>
      <c r="Q370" s="15" t="s">
        <v>149</v>
      </c>
      <c r="R370" s="15" t="s">
        <v>174</v>
      </c>
      <c r="S370" s="15" t="s">
        <v>7825</v>
      </c>
      <c r="T370" s="18" t="s">
        <v>138</v>
      </c>
      <c r="U370" s="15" t="s">
        <v>138</v>
      </c>
      <c r="V370" s="15" t="s">
        <v>138</v>
      </c>
      <c r="W370" s="15" t="s">
        <v>138</v>
      </c>
      <c r="X370" s="19">
        <v>2010</v>
      </c>
      <c r="Y370" s="15" t="s">
        <v>138</v>
      </c>
      <c r="Z370" s="15" t="s">
        <v>138</v>
      </c>
      <c r="AA370" s="15" t="s">
        <v>138</v>
      </c>
      <c r="AB370" s="20" t="s">
        <v>138</v>
      </c>
      <c r="AC370" s="20" t="s">
        <v>138</v>
      </c>
      <c r="AD370" s="20" t="s">
        <v>138</v>
      </c>
      <c r="AE370" s="20" t="s">
        <v>138</v>
      </c>
      <c r="AF370" s="20" t="s">
        <v>138</v>
      </c>
      <c r="AG370" s="15" t="s">
        <v>138</v>
      </c>
      <c r="AH370" s="20" t="s">
        <v>138</v>
      </c>
      <c r="AI370" s="20" t="s">
        <v>138</v>
      </c>
      <c r="AJ370" s="20" t="s">
        <v>138</v>
      </c>
      <c r="AK370" s="15" t="s">
        <v>7826</v>
      </c>
      <c r="AL370" s="15" t="s">
        <v>7827</v>
      </c>
      <c r="AM370" s="15" t="s">
        <v>7828</v>
      </c>
      <c r="AN370" s="15" t="s">
        <v>138</v>
      </c>
      <c r="AO370" s="15" t="s">
        <v>7829</v>
      </c>
      <c r="AP370" s="15" t="s">
        <v>1195</v>
      </c>
      <c r="AQ370" s="15" t="s">
        <v>7830</v>
      </c>
      <c r="AR370" s="15" t="s">
        <v>7831</v>
      </c>
      <c r="AS370" s="15" t="s">
        <v>1198</v>
      </c>
      <c r="AT370" s="15" t="s">
        <v>138</v>
      </c>
      <c r="AU370" s="15" t="s">
        <v>7832</v>
      </c>
      <c r="AV370" s="15" t="s">
        <v>1200</v>
      </c>
      <c r="AW370" s="15" t="s">
        <v>7829</v>
      </c>
      <c r="AX370" s="15" t="s">
        <v>138</v>
      </c>
      <c r="AY370" s="15" t="s">
        <v>138</v>
      </c>
      <c r="AZ370" s="15" t="s">
        <v>452</v>
      </c>
      <c r="BA370" s="15" t="s">
        <v>453</v>
      </c>
      <c r="BB370" s="15" t="s">
        <v>7833</v>
      </c>
      <c r="BC370" s="15" t="s">
        <v>7834</v>
      </c>
      <c r="BD370" s="21">
        <v>4</v>
      </c>
      <c r="BE370" s="15" t="s">
        <v>138</v>
      </c>
      <c r="BF370" s="15" t="s">
        <v>138</v>
      </c>
      <c r="BG370" s="15" t="s">
        <v>138</v>
      </c>
      <c r="BH370" s="15" t="s">
        <v>7835</v>
      </c>
      <c r="BI370" s="15" t="s">
        <v>138</v>
      </c>
      <c r="BJ370" s="15" t="s">
        <v>138</v>
      </c>
      <c r="BK370" s="15" t="s">
        <v>138</v>
      </c>
      <c r="BL370" s="15" t="s">
        <v>138</v>
      </c>
      <c r="BM370" s="22">
        <v>42339</v>
      </c>
      <c r="BN370" s="17">
        <v>0.25</v>
      </c>
      <c r="BO370" s="15" t="s">
        <v>172</v>
      </c>
      <c r="BP370" s="17" t="s">
        <v>138</v>
      </c>
      <c r="BQ370" s="15" t="s">
        <v>138</v>
      </c>
      <c r="BR370" s="15" t="s">
        <v>205</v>
      </c>
      <c r="BS370" s="15" t="s">
        <v>138</v>
      </c>
      <c r="BT370" s="15" t="s">
        <v>138</v>
      </c>
      <c r="BU370" s="15" t="s">
        <v>174</v>
      </c>
      <c r="BV370" s="15" t="s">
        <v>138</v>
      </c>
      <c r="BW370" s="15" t="s">
        <v>138</v>
      </c>
      <c r="BX370" s="15" t="s">
        <v>138</v>
      </c>
      <c r="BY370" s="15" t="s">
        <v>175</v>
      </c>
      <c r="BZ370" s="22">
        <v>42865</v>
      </c>
      <c r="CA370" s="17">
        <v>1.07</v>
      </c>
      <c r="CB370" s="15" t="s">
        <v>172</v>
      </c>
      <c r="CC370" s="17" t="s">
        <v>138</v>
      </c>
      <c r="CD370" s="15" t="s">
        <v>138</v>
      </c>
      <c r="CE370" s="15" t="s">
        <v>205</v>
      </c>
      <c r="CF370" s="15" t="s">
        <v>720</v>
      </c>
      <c r="CG370" s="15" t="s">
        <v>138</v>
      </c>
      <c r="CH370" s="15" t="s">
        <v>174</v>
      </c>
      <c r="CI370" s="15" t="s">
        <v>138</v>
      </c>
      <c r="CJ370" s="15" t="s">
        <v>138</v>
      </c>
      <c r="CK370" s="15" t="s">
        <v>138</v>
      </c>
      <c r="CL370" s="15" t="s">
        <v>175</v>
      </c>
      <c r="CM370" s="22" t="s">
        <v>138</v>
      </c>
      <c r="CN370" s="17" t="s">
        <v>138</v>
      </c>
      <c r="CO370" s="23">
        <v>0.21</v>
      </c>
      <c r="CP370" s="24">
        <v>92</v>
      </c>
      <c r="CQ370" s="23">
        <v>0</v>
      </c>
      <c r="CR370" s="23">
        <v>-0.38</v>
      </c>
      <c r="CS370" s="23">
        <v>0</v>
      </c>
      <c r="CT370" s="24">
        <v>23</v>
      </c>
      <c r="CU370" s="23">
        <v>0.43</v>
      </c>
      <c r="CV370" s="24">
        <v>92</v>
      </c>
      <c r="CW370" s="23" t="s">
        <v>138</v>
      </c>
      <c r="CX370" s="24" t="s">
        <v>138</v>
      </c>
      <c r="CY370" s="23">
        <v>0</v>
      </c>
      <c r="CZ370" s="24">
        <v>25</v>
      </c>
      <c r="DA370" s="23" t="s">
        <v>138</v>
      </c>
      <c r="DB370" s="24" t="s">
        <v>138</v>
      </c>
      <c r="DC370" s="25">
        <v>0.98</v>
      </c>
      <c r="DD370" s="24">
        <v>51</v>
      </c>
      <c r="DE370" s="25">
        <v>0</v>
      </c>
      <c r="DF370" s="23">
        <v>-0.02</v>
      </c>
      <c r="DG370" s="25">
        <v>1.66</v>
      </c>
      <c r="DH370" s="24">
        <v>63</v>
      </c>
      <c r="DI370" s="25">
        <v>0.28999999999999998</v>
      </c>
      <c r="DJ370" s="24">
        <v>28</v>
      </c>
      <c r="DK370" s="25" t="s">
        <v>138</v>
      </c>
      <c r="DL370" s="24" t="s">
        <v>138</v>
      </c>
      <c r="DM370" s="25">
        <v>1.66</v>
      </c>
      <c r="DN370" s="24">
        <v>62</v>
      </c>
      <c r="DO370" s="25" t="s">
        <v>138</v>
      </c>
      <c r="DP370" s="24" t="s">
        <v>138</v>
      </c>
      <c r="DQ370" s="24" t="s">
        <v>138</v>
      </c>
      <c r="DR370" s="26" t="s">
        <v>138</v>
      </c>
      <c r="DS370" s="23" t="s">
        <v>138</v>
      </c>
      <c r="DT370" s="24">
        <v>48</v>
      </c>
      <c r="DU370" s="26">
        <v>0</v>
      </c>
      <c r="DV370" s="23">
        <v>0</v>
      </c>
      <c r="DW370" s="24">
        <v>25</v>
      </c>
      <c r="DX370" s="27">
        <v>0</v>
      </c>
      <c r="DY370" s="23">
        <v>0</v>
      </c>
      <c r="DZ370" s="15" t="s">
        <v>178</v>
      </c>
      <c r="EA370" s="22">
        <v>43622</v>
      </c>
      <c r="EB370" s="17" t="s">
        <v>138</v>
      </c>
      <c r="EC370" s="22" t="s">
        <v>138</v>
      </c>
      <c r="ED370" s="15" t="s">
        <v>138</v>
      </c>
      <c r="EE370" s="14" t="str">
        <f>HYPERLINK("https://my.pitchbook.com?c=185682-43", "View company online")</f>
        <v>View company online</v>
      </c>
    </row>
    <row r="371" spans="1:135">
      <c r="A371" s="28" t="s">
        <v>7836</v>
      </c>
      <c r="B371" s="28" t="s">
        <v>7837</v>
      </c>
      <c r="C371" s="28" t="s">
        <v>138</v>
      </c>
      <c r="D371" s="28" t="s">
        <v>138</v>
      </c>
      <c r="E371" s="28" t="s">
        <v>138</v>
      </c>
      <c r="F371" s="28" t="s">
        <v>7836</v>
      </c>
      <c r="G371" s="28" t="s">
        <v>7838</v>
      </c>
      <c r="H371" s="28" t="s">
        <v>322</v>
      </c>
      <c r="I371" s="28" t="s">
        <v>323</v>
      </c>
      <c r="J371" s="28" t="s">
        <v>1184</v>
      </c>
      <c r="K371" s="28" t="s">
        <v>1185</v>
      </c>
      <c r="L371" s="28" t="s">
        <v>2641</v>
      </c>
      <c r="M371" s="28" t="s">
        <v>7839</v>
      </c>
      <c r="N371" s="28" t="s">
        <v>147</v>
      </c>
      <c r="O371" s="29">
        <v>3.15</v>
      </c>
      <c r="P371" s="28" t="s">
        <v>148</v>
      </c>
      <c r="Q371" s="28" t="s">
        <v>149</v>
      </c>
      <c r="R371" s="28" t="s">
        <v>174</v>
      </c>
      <c r="S371" s="28" t="s">
        <v>7840</v>
      </c>
      <c r="T371" s="30" t="s">
        <v>138</v>
      </c>
      <c r="U371" s="28" t="s">
        <v>138</v>
      </c>
      <c r="V371" s="28" t="s">
        <v>138</v>
      </c>
      <c r="W371" s="28" t="s">
        <v>138</v>
      </c>
      <c r="X371" s="31">
        <v>2007</v>
      </c>
      <c r="Y371" s="28" t="s">
        <v>138</v>
      </c>
      <c r="Z371" s="28" t="s">
        <v>138</v>
      </c>
      <c r="AA371" s="28" t="s">
        <v>138</v>
      </c>
      <c r="AB371" s="32" t="s">
        <v>138</v>
      </c>
      <c r="AC371" s="32" t="s">
        <v>138</v>
      </c>
      <c r="AD371" s="32" t="s">
        <v>138</v>
      </c>
      <c r="AE371" s="32" t="s">
        <v>138</v>
      </c>
      <c r="AF371" s="32" t="s">
        <v>138</v>
      </c>
      <c r="AG371" s="28" t="s">
        <v>138</v>
      </c>
      <c r="AH371" s="32" t="s">
        <v>138</v>
      </c>
      <c r="AI371" s="32" t="s">
        <v>138</v>
      </c>
      <c r="AJ371" s="32" t="s">
        <v>138</v>
      </c>
      <c r="AK371" s="28" t="s">
        <v>7841</v>
      </c>
      <c r="AL371" s="28" t="s">
        <v>7842</v>
      </c>
      <c r="AM371" s="28" t="s">
        <v>938</v>
      </c>
      <c r="AN371" s="28" t="s">
        <v>7843</v>
      </c>
      <c r="AO371" s="28" t="s">
        <v>138</v>
      </c>
      <c r="AP371" s="28" t="s">
        <v>1195</v>
      </c>
      <c r="AQ371" s="28" t="s">
        <v>7844</v>
      </c>
      <c r="AR371" s="28" t="s">
        <v>7845</v>
      </c>
      <c r="AS371" s="28" t="s">
        <v>1198</v>
      </c>
      <c r="AT371" s="28" t="s">
        <v>138</v>
      </c>
      <c r="AU371" s="28" t="s">
        <v>7846</v>
      </c>
      <c r="AV371" s="28" t="s">
        <v>1200</v>
      </c>
      <c r="AW371" s="28" t="s">
        <v>138</v>
      </c>
      <c r="AX371" s="28" t="s">
        <v>138</v>
      </c>
      <c r="AY371" s="28" t="s">
        <v>7847</v>
      </c>
      <c r="AZ371" s="28" t="s">
        <v>452</v>
      </c>
      <c r="BA371" s="28" t="s">
        <v>453</v>
      </c>
      <c r="BB371" s="28" t="s">
        <v>7848</v>
      </c>
      <c r="BC371" s="28" t="s">
        <v>7849</v>
      </c>
      <c r="BD371" s="33">
        <v>4</v>
      </c>
      <c r="BE371" s="28" t="s">
        <v>138</v>
      </c>
      <c r="BF371" s="28" t="s">
        <v>138</v>
      </c>
      <c r="BG371" s="28" t="s">
        <v>138</v>
      </c>
      <c r="BH371" s="28" t="s">
        <v>7850</v>
      </c>
      <c r="BI371" s="28" t="s">
        <v>138</v>
      </c>
      <c r="BJ371" s="28" t="s">
        <v>138</v>
      </c>
      <c r="BK371" s="28" t="s">
        <v>138</v>
      </c>
      <c r="BL371" s="28" t="s">
        <v>138</v>
      </c>
      <c r="BM371" s="34" t="s">
        <v>138</v>
      </c>
      <c r="BN371" s="29" t="s">
        <v>138</v>
      </c>
      <c r="BO371" s="28" t="s">
        <v>138</v>
      </c>
      <c r="BP371" s="29" t="s">
        <v>138</v>
      </c>
      <c r="BQ371" s="28" t="s">
        <v>138</v>
      </c>
      <c r="BR371" s="28" t="s">
        <v>316</v>
      </c>
      <c r="BS371" s="28" t="s">
        <v>138</v>
      </c>
      <c r="BT371" s="28" t="s">
        <v>138</v>
      </c>
      <c r="BU371" s="28" t="s">
        <v>177</v>
      </c>
      <c r="BV371" s="28" t="s">
        <v>138</v>
      </c>
      <c r="BW371" s="28" t="s">
        <v>138</v>
      </c>
      <c r="BX371" s="28" t="s">
        <v>138</v>
      </c>
      <c r="BY371" s="28" t="s">
        <v>175</v>
      </c>
      <c r="BZ371" s="34">
        <v>42782</v>
      </c>
      <c r="CA371" s="29">
        <v>1.33</v>
      </c>
      <c r="CB371" s="28" t="s">
        <v>172</v>
      </c>
      <c r="CC371" s="29" t="s">
        <v>138</v>
      </c>
      <c r="CD371" s="28" t="s">
        <v>138</v>
      </c>
      <c r="CE371" s="28" t="s">
        <v>173</v>
      </c>
      <c r="CF371" s="28" t="s">
        <v>138</v>
      </c>
      <c r="CG371" s="28" t="s">
        <v>138</v>
      </c>
      <c r="CH371" s="28" t="s">
        <v>174</v>
      </c>
      <c r="CI371" s="28" t="s">
        <v>138</v>
      </c>
      <c r="CJ371" s="28" t="s">
        <v>138</v>
      </c>
      <c r="CK371" s="28" t="s">
        <v>138</v>
      </c>
      <c r="CL371" s="28" t="s">
        <v>175</v>
      </c>
      <c r="CM371" s="34" t="s">
        <v>138</v>
      </c>
      <c r="CN371" s="29" t="s">
        <v>138</v>
      </c>
      <c r="CO371" s="35">
        <v>-0.17</v>
      </c>
      <c r="CP371" s="36">
        <v>20</v>
      </c>
      <c r="CQ371" s="35">
        <v>-0.16</v>
      </c>
      <c r="CR371" s="35">
        <v>-2440.34</v>
      </c>
      <c r="CS371" s="35">
        <v>-0.43</v>
      </c>
      <c r="CT371" s="36">
        <v>20</v>
      </c>
      <c r="CU371" s="35">
        <v>0.09</v>
      </c>
      <c r="CV371" s="36">
        <v>66</v>
      </c>
      <c r="CW371" s="35" t="s">
        <v>138</v>
      </c>
      <c r="CX371" s="36" t="s">
        <v>138</v>
      </c>
      <c r="CY371" s="35">
        <v>-0.43</v>
      </c>
      <c r="CZ371" s="36">
        <v>23</v>
      </c>
      <c r="DA371" s="35" t="s">
        <v>138</v>
      </c>
      <c r="DB371" s="36" t="s">
        <v>138</v>
      </c>
      <c r="DC371" s="37">
        <v>2.0299999999999998</v>
      </c>
      <c r="DD371" s="36">
        <v>67</v>
      </c>
      <c r="DE371" s="37">
        <v>0</v>
      </c>
      <c r="DF371" s="35">
        <v>0</v>
      </c>
      <c r="DG371" s="37">
        <v>3.9</v>
      </c>
      <c r="DH371" s="36">
        <v>79</v>
      </c>
      <c r="DI371" s="37">
        <v>0.16</v>
      </c>
      <c r="DJ371" s="36">
        <v>19</v>
      </c>
      <c r="DK371" s="37" t="s">
        <v>138</v>
      </c>
      <c r="DL371" s="36" t="s">
        <v>138</v>
      </c>
      <c r="DM371" s="37">
        <v>3.9</v>
      </c>
      <c r="DN371" s="36">
        <v>78</v>
      </c>
      <c r="DO371" s="37" t="s">
        <v>138</v>
      </c>
      <c r="DP371" s="36" t="s">
        <v>138</v>
      </c>
      <c r="DQ371" s="36" t="s">
        <v>138</v>
      </c>
      <c r="DR371" s="38" t="s">
        <v>138</v>
      </c>
      <c r="DS371" s="35" t="s">
        <v>138</v>
      </c>
      <c r="DT371" s="36">
        <v>113</v>
      </c>
      <c r="DU371" s="38">
        <v>0</v>
      </c>
      <c r="DV371" s="35">
        <v>0</v>
      </c>
      <c r="DW371" s="36" t="s">
        <v>138</v>
      </c>
      <c r="DX371" s="39" t="s">
        <v>138</v>
      </c>
      <c r="DY371" s="35" t="s">
        <v>138</v>
      </c>
      <c r="DZ371" s="28" t="s">
        <v>178</v>
      </c>
      <c r="EA371" s="34">
        <v>43351</v>
      </c>
      <c r="EB371" s="29">
        <v>2.79</v>
      </c>
      <c r="EC371" s="34">
        <v>41884</v>
      </c>
      <c r="ED371" s="28" t="s">
        <v>780</v>
      </c>
      <c r="EE371" s="40" t="str">
        <f>HYPERLINK("https://my.pitchbook.com?c=96772-42", "View company online")</f>
        <v>View company online</v>
      </c>
    </row>
    <row r="372" spans="1:135">
      <c r="A372" s="15" t="s">
        <v>7851</v>
      </c>
      <c r="B372" s="15" t="s">
        <v>7852</v>
      </c>
      <c r="C372" s="15" t="s">
        <v>138</v>
      </c>
      <c r="D372" s="15" t="s">
        <v>7853</v>
      </c>
      <c r="E372" s="15" t="s">
        <v>7854</v>
      </c>
      <c r="F372" s="15" t="s">
        <v>7851</v>
      </c>
      <c r="G372" s="15" t="s">
        <v>7855</v>
      </c>
      <c r="H372" s="15" t="s">
        <v>141</v>
      </c>
      <c r="I372" s="15" t="s">
        <v>142</v>
      </c>
      <c r="J372" s="15" t="s">
        <v>1924</v>
      </c>
      <c r="K372" s="15" t="s">
        <v>7856</v>
      </c>
      <c r="L372" s="15" t="s">
        <v>326</v>
      </c>
      <c r="M372" s="15" t="s">
        <v>7857</v>
      </c>
      <c r="N372" s="15" t="s">
        <v>147</v>
      </c>
      <c r="O372" s="17">
        <v>8.1999999999999993</v>
      </c>
      <c r="P372" s="15" t="s">
        <v>148</v>
      </c>
      <c r="Q372" s="15" t="s">
        <v>149</v>
      </c>
      <c r="R372" s="15" t="s">
        <v>244</v>
      </c>
      <c r="S372" s="15" t="s">
        <v>7858</v>
      </c>
      <c r="T372" s="18">
        <v>15</v>
      </c>
      <c r="U372" s="15" t="s">
        <v>7859</v>
      </c>
      <c r="V372" s="15" t="s">
        <v>138</v>
      </c>
      <c r="W372" s="15" t="s">
        <v>138</v>
      </c>
      <c r="X372" s="19">
        <v>2012</v>
      </c>
      <c r="Y372" s="15" t="s">
        <v>138</v>
      </c>
      <c r="Z372" s="15" t="s">
        <v>138</v>
      </c>
      <c r="AA372" s="15" t="s">
        <v>138</v>
      </c>
      <c r="AB372" s="20">
        <v>1.5</v>
      </c>
      <c r="AC372" s="20" t="s">
        <v>138</v>
      </c>
      <c r="AD372" s="20" t="s">
        <v>138</v>
      </c>
      <c r="AE372" s="20" t="s">
        <v>138</v>
      </c>
      <c r="AF372" s="20" t="s">
        <v>138</v>
      </c>
      <c r="AG372" s="15" t="s">
        <v>815</v>
      </c>
      <c r="AH372" s="20" t="s">
        <v>138</v>
      </c>
      <c r="AI372" s="20" t="s">
        <v>138</v>
      </c>
      <c r="AJ372" s="20" t="s">
        <v>138</v>
      </c>
      <c r="AK372" s="15" t="s">
        <v>7860</v>
      </c>
      <c r="AL372" s="15" t="s">
        <v>7861</v>
      </c>
      <c r="AM372" s="15" t="s">
        <v>221</v>
      </c>
      <c r="AN372" s="15" t="s">
        <v>7862</v>
      </c>
      <c r="AO372" s="15" t="s">
        <v>7863</v>
      </c>
      <c r="AP372" s="15" t="s">
        <v>4463</v>
      </c>
      <c r="AQ372" s="15" t="s">
        <v>7864</v>
      </c>
      <c r="AR372" s="15" t="s">
        <v>138</v>
      </c>
      <c r="AS372" s="15" t="s">
        <v>4466</v>
      </c>
      <c r="AT372" s="15" t="s">
        <v>426</v>
      </c>
      <c r="AU372" s="15" t="s">
        <v>7865</v>
      </c>
      <c r="AV372" s="15" t="s">
        <v>162</v>
      </c>
      <c r="AW372" s="15" t="s">
        <v>7866</v>
      </c>
      <c r="AX372" s="15" t="s">
        <v>138</v>
      </c>
      <c r="AY372" s="15" t="s">
        <v>7867</v>
      </c>
      <c r="AZ372" s="15" t="s">
        <v>164</v>
      </c>
      <c r="BA372" s="15" t="s">
        <v>165</v>
      </c>
      <c r="BB372" s="15" t="s">
        <v>7868</v>
      </c>
      <c r="BC372" s="15" t="s">
        <v>7869</v>
      </c>
      <c r="BD372" s="21">
        <v>16</v>
      </c>
      <c r="BE372" s="15" t="s">
        <v>138</v>
      </c>
      <c r="BF372" s="15" t="s">
        <v>138</v>
      </c>
      <c r="BG372" s="15" t="s">
        <v>138</v>
      </c>
      <c r="BH372" s="15" t="s">
        <v>7870</v>
      </c>
      <c r="BI372" s="15" t="s">
        <v>138</v>
      </c>
      <c r="BJ372" s="15" t="s">
        <v>138</v>
      </c>
      <c r="BK372" s="15" t="s">
        <v>7871</v>
      </c>
      <c r="BL372" s="15" t="s">
        <v>7872</v>
      </c>
      <c r="BM372" s="22">
        <v>41183</v>
      </c>
      <c r="BN372" s="17">
        <v>0.2</v>
      </c>
      <c r="BO372" s="15" t="s">
        <v>172</v>
      </c>
      <c r="BP372" s="17">
        <v>3</v>
      </c>
      <c r="BQ372" s="15" t="s">
        <v>172</v>
      </c>
      <c r="BR372" s="15" t="s">
        <v>316</v>
      </c>
      <c r="BS372" s="15" t="s">
        <v>138</v>
      </c>
      <c r="BT372" s="15" t="s">
        <v>138</v>
      </c>
      <c r="BU372" s="15" t="s">
        <v>177</v>
      </c>
      <c r="BV372" s="15" t="s">
        <v>138</v>
      </c>
      <c r="BW372" s="15" t="s">
        <v>138</v>
      </c>
      <c r="BX372" s="15" t="s">
        <v>138</v>
      </c>
      <c r="BY372" s="15" t="s">
        <v>175</v>
      </c>
      <c r="BZ372" s="22">
        <v>43516</v>
      </c>
      <c r="CA372" s="17">
        <v>4</v>
      </c>
      <c r="CB372" s="15" t="s">
        <v>172</v>
      </c>
      <c r="CC372" s="17">
        <v>22</v>
      </c>
      <c r="CD372" s="15" t="s">
        <v>172</v>
      </c>
      <c r="CE372" s="15" t="s">
        <v>205</v>
      </c>
      <c r="CF372" s="15" t="s">
        <v>1727</v>
      </c>
      <c r="CG372" s="15" t="s">
        <v>138</v>
      </c>
      <c r="CH372" s="15" t="s">
        <v>174</v>
      </c>
      <c r="CI372" s="15" t="s">
        <v>138</v>
      </c>
      <c r="CJ372" s="15" t="s">
        <v>138</v>
      </c>
      <c r="CK372" s="15" t="s">
        <v>138</v>
      </c>
      <c r="CL372" s="15" t="s">
        <v>175</v>
      </c>
      <c r="CM372" s="22">
        <v>42880</v>
      </c>
      <c r="CN372" s="17" t="s">
        <v>138</v>
      </c>
      <c r="CO372" s="23">
        <v>7.0000000000000007E-2</v>
      </c>
      <c r="CP372" s="24">
        <v>89</v>
      </c>
      <c r="CQ372" s="23">
        <v>0.01</v>
      </c>
      <c r="CR372" s="23">
        <v>9.9499999999999993</v>
      </c>
      <c r="CS372" s="23">
        <v>0.03</v>
      </c>
      <c r="CT372" s="24">
        <v>94</v>
      </c>
      <c r="CU372" s="23">
        <v>0.18</v>
      </c>
      <c r="CV372" s="24">
        <v>78</v>
      </c>
      <c r="CW372" s="23">
        <v>-0.02</v>
      </c>
      <c r="CX372" s="24">
        <v>13</v>
      </c>
      <c r="CY372" s="23">
        <v>0.08</v>
      </c>
      <c r="CZ372" s="24">
        <v>98</v>
      </c>
      <c r="DA372" s="23">
        <v>0.28000000000000003</v>
      </c>
      <c r="DB372" s="24">
        <v>88</v>
      </c>
      <c r="DC372" s="25">
        <v>1.91</v>
      </c>
      <c r="DD372" s="24">
        <v>66</v>
      </c>
      <c r="DE372" s="25">
        <v>-0.01</v>
      </c>
      <c r="DF372" s="23">
        <v>-0.52</v>
      </c>
      <c r="DG372" s="25">
        <v>3.56</v>
      </c>
      <c r="DH372" s="24">
        <v>77</v>
      </c>
      <c r="DI372" s="25">
        <v>2.12</v>
      </c>
      <c r="DJ372" s="24">
        <v>63</v>
      </c>
      <c r="DK372" s="25">
        <v>1.1299999999999999</v>
      </c>
      <c r="DL372" s="24">
        <v>53</v>
      </c>
      <c r="DM372" s="25">
        <v>6</v>
      </c>
      <c r="DN372" s="24">
        <v>84</v>
      </c>
      <c r="DO372" s="25">
        <v>2.67</v>
      </c>
      <c r="DP372" s="24">
        <v>69</v>
      </c>
      <c r="DQ372" s="24">
        <v>375</v>
      </c>
      <c r="DR372" s="26">
        <v>33</v>
      </c>
      <c r="DS372" s="23">
        <v>9.65</v>
      </c>
      <c r="DT372" s="24">
        <v>173</v>
      </c>
      <c r="DU372" s="26">
        <v>2</v>
      </c>
      <c r="DV372" s="23">
        <v>1.17</v>
      </c>
      <c r="DW372" s="24">
        <v>954</v>
      </c>
      <c r="DX372" s="27">
        <v>3</v>
      </c>
      <c r="DY372" s="23">
        <v>0.32</v>
      </c>
      <c r="DZ372" s="15" t="s">
        <v>178</v>
      </c>
      <c r="EA372" s="22">
        <v>43622</v>
      </c>
      <c r="EB372" s="17">
        <v>22</v>
      </c>
      <c r="EC372" s="22">
        <v>43516</v>
      </c>
      <c r="ED372" s="15" t="s">
        <v>205</v>
      </c>
      <c r="EE372" s="14" t="str">
        <f>HYPERLINK("https://my.pitchbook.com?c=58817-89", "View company online")</f>
        <v>View company online</v>
      </c>
    </row>
    <row r="373" spans="1:135">
      <c r="A373" s="28" t="s">
        <v>7873</v>
      </c>
      <c r="B373" s="28" t="s">
        <v>7874</v>
      </c>
      <c r="C373" s="28" t="s">
        <v>7875</v>
      </c>
      <c r="D373" s="28" t="s">
        <v>138</v>
      </c>
      <c r="E373" s="28" t="s">
        <v>7876</v>
      </c>
      <c r="F373" s="28" t="s">
        <v>7873</v>
      </c>
      <c r="G373" s="28" t="s">
        <v>7877</v>
      </c>
      <c r="H373" s="28" t="s">
        <v>238</v>
      </c>
      <c r="I373" s="28" t="s">
        <v>1018</v>
      </c>
      <c r="J373" s="28" t="s">
        <v>4780</v>
      </c>
      <c r="K373" s="28" t="s">
        <v>4781</v>
      </c>
      <c r="L373" s="28" t="s">
        <v>7878</v>
      </c>
      <c r="M373" s="28" t="s">
        <v>7879</v>
      </c>
      <c r="N373" s="28" t="s">
        <v>147</v>
      </c>
      <c r="O373" s="29">
        <v>21</v>
      </c>
      <c r="P373" s="28" t="s">
        <v>148</v>
      </c>
      <c r="Q373" s="28" t="s">
        <v>149</v>
      </c>
      <c r="R373" s="28" t="s">
        <v>174</v>
      </c>
      <c r="S373" s="28" t="s">
        <v>7880</v>
      </c>
      <c r="T373" s="30">
        <v>130</v>
      </c>
      <c r="U373" s="28" t="s">
        <v>7881</v>
      </c>
      <c r="V373" s="28" t="s">
        <v>138</v>
      </c>
      <c r="W373" s="28" t="s">
        <v>138</v>
      </c>
      <c r="X373" s="31">
        <v>2015</v>
      </c>
      <c r="Y373" s="28" t="s">
        <v>138</v>
      </c>
      <c r="Z373" s="28" t="s">
        <v>138</v>
      </c>
      <c r="AA373" s="28" t="s">
        <v>138</v>
      </c>
      <c r="AB373" s="32" t="s">
        <v>138</v>
      </c>
      <c r="AC373" s="32" t="s">
        <v>138</v>
      </c>
      <c r="AD373" s="32" t="s">
        <v>138</v>
      </c>
      <c r="AE373" s="32" t="s">
        <v>138</v>
      </c>
      <c r="AF373" s="32" t="s">
        <v>138</v>
      </c>
      <c r="AG373" s="28" t="s">
        <v>138</v>
      </c>
      <c r="AH373" s="32" t="s">
        <v>138</v>
      </c>
      <c r="AI373" s="32" t="s">
        <v>138</v>
      </c>
      <c r="AJ373" s="32" t="s">
        <v>138</v>
      </c>
      <c r="AK373" s="28" t="s">
        <v>7882</v>
      </c>
      <c r="AL373" s="28" t="s">
        <v>7883</v>
      </c>
      <c r="AM373" s="28" t="s">
        <v>221</v>
      </c>
      <c r="AN373" s="28" t="s">
        <v>7884</v>
      </c>
      <c r="AO373" s="28" t="s">
        <v>138</v>
      </c>
      <c r="AP373" s="28" t="s">
        <v>2928</v>
      </c>
      <c r="AQ373" s="28" t="s">
        <v>7885</v>
      </c>
      <c r="AR373" s="28" t="s">
        <v>138</v>
      </c>
      <c r="AS373" s="28" t="s">
        <v>2931</v>
      </c>
      <c r="AT373" s="28" t="s">
        <v>200</v>
      </c>
      <c r="AU373" s="28" t="s">
        <v>7783</v>
      </c>
      <c r="AV373" s="28" t="s">
        <v>162</v>
      </c>
      <c r="AW373" s="28" t="s">
        <v>138</v>
      </c>
      <c r="AX373" s="28" t="s">
        <v>138</v>
      </c>
      <c r="AY373" s="28" t="s">
        <v>7886</v>
      </c>
      <c r="AZ373" s="28" t="s">
        <v>164</v>
      </c>
      <c r="BA373" s="28" t="s">
        <v>165</v>
      </c>
      <c r="BB373" s="28" t="s">
        <v>7887</v>
      </c>
      <c r="BC373" s="28" t="s">
        <v>7888</v>
      </c>
      <c r="BD373" s="33">
        <v>12</v>
      </c>
      <c r="BE373" s="28" t="s">
        <v>138</v>
      </c>
      <c r="BF373" s="28" t="s">
        <v>138</v>
      </c>
      <c r="BG373" s="28" t="s">
        <v>138</v>
      </c>
      <c r="BH373" s="28" t="s">
        <v>7889</v>
      </c>
      <c r="BI373" s="28" t="s">
        <v>138</v>
      </c>
      <c r="BJ373" s="28" t="s">
        <v>138</v>
      </c>
      <c r="BK373" s="28" t="s">
        <v>7890</v>
      </c>
      <c r="BL373" s="28" t="s">
        <v>7890</v>
      </c>
      <c r="BM373" s="34">
        <v>42718</v>
      </c>
      <c r="BN373" s="29">
        <v>5</v>
      </c>
      <c r="BO373" s="28" t="s">
        <v>172</v>
      </c>
      <c r="BP373" s="29">
        <v>25</v>
      </c>
      <c r="BQ373" s="28" t="s">
        <v>172</v>
      </c>
      <c r="BR373" s="28" t="s">
        <v>234</v>
      </c>
      <c r="BS373" s="28" t="s">
        <v>234</v>
      </c>
      <c r="BT373" s="28" t="s">
        <v>138</v>
      </c>
      <c r="BU373" s="28" t="s">
        <v>174</v>
      </c>
      <c r="BV373" s="28" t="s">
        <v>138</v>
      </c>
      <c r="BW373" s="28" t="s">
        <v>138</v>
      </c>
      <c r="BX373" s="28" t="s">
        <v>138</v>
      </c>
      <c r="BY373" s="28" t="s">
        <v>175</v>
      </c>
      <c r="BZ373" s="34">
        <v>43375</v>
      </c>
      <c r="CA373" s="29">
        <v>16</v>
      </c>
      <c r="CB373" s="28" t="s">
        <v>172</v>
      </c>
      <c r="CC373" s="29">
        <v>66</v>
      </c>
      <c r="CD373" s="28" t="s">
        <v>172</v>
      </c>
      <c r="CE373" s="28" t="s">
        <v>205</v>
      </c>
      <c r="CF373" s="28" t="s">
        <v>206</v>
      </c>
      <c r="CG373" s="28" t="s">
        <v>138</v>
      </c>
      <c r="CH373" s="28" t="s">
        <v>174</v>
      </c>
      <c r="CI373" s="28" t="s">
        <v>138</v>
      </c>
      <c r="CJ373" s="28" t="s">
        <v>138</v>
      </c>
      <c r="CK373" s="28" t="s">
        <v>138</v>
      </c>
      <c r="CL373" s="28" t="s">
        <v>175</v>
      </c>
      <c r="CM373" s="34" t="s">
        <v>138</v>
      </c>
      <c r="CN373" s="29" t="s">
        <v>138</v>
      </c>
      <c r="CO373" s="35">
        <v>3.83</v>
      </c>
      <c r="CP373" s="36">
        <v>100</v>
      </c>
      <c r="CQ373" s="35">
        <v>0</v>
      </c>
      <c r="CR373" s="35">
        <v>-0.12</v>
      </c>
      <c r="CS373" s="35">
        <v>7.29</v>
      </c>
      <c r="CT373" s="36">
        <v>100</v>
      </c>
      <c r="CU373" s="35">
        <v>0.38</v>
      </c>
      <c r="CV373" s="36">
        <v>91</v>
      </c>
      <c r="CW373" s="35">
        <v>7.29</v>
      </c>
      <c r="CX373" s="36">
        <v>98</v>
      </c>
      <c r="CY373" s="35" t="s">
        <v>138</v>
      </c>
      <c r="CZ373" s="36" t="s">
        <v>138</v>
      </c>
      <c r="DA373" s="35">
        <v>0.25</v>
      </c>
      <c r="DB373" s="36">
        <v>86</v>
      </c>
      <c r="DC373" s="37">
        <v>13.21</v>
      </c>
      <c r="DD373" s="36">
        <v>92</v>
      </c>
      <c r="DE373" s="37">
        <v>-1.34</v>
      </c>
      <c r="DF373" s="35">
        <v>-9.2200000000000006</v>
      </c>
      <c r="DG373" s="37">
        <v>21.13</v>
      </c>
      <c r="DH373" s="36">
        <v>95</v>
      </c>
      <c r="DI373" s="37">
        <v>5.28</v>
      </c>
      <c r="DJ373" s="36">
        <v>78</v>
      </c>
      <c r="DK373" s="37">
        <v>21.13</v>
      </c>
      <c r="DL373" s="36">
        <v>92</v>
      </c>
      <c r="DM373" s="37" t="s">
        <v>138</v>
      </c>
      <c r="DN373" s="36" t="s">
        <v>138</v>
      </c>
      <c r="DO373" s="37">
        <v>10.039999999999999</v>
      </c>
      <c r="DP373" s="36">
        <v>87</v>
      </c>
      <c r="DQ373" s="36">
        <v>7011</v>
      </c>
      <c r="DR373" s="38">
        <v>714</v>
      </c>
      <c r="DS373" s="35">
        <v>11.34</v>
      </c>
      <c r="DT373" s="36" t="s">
        <v>138</v>
      </c>
      <c r="DU373" s="38" t="s">
        <v>138</v>
      </c>
      <c r="DV373" s="35" t="s">
        <v>138</v>
      </c>
      <c r="DW373" s="36">
        <v>3592</v>
      </c>
      <c r="DX373" s="39">
        <v>2</v>
      </c>
      <c r="DY373" s="35">
        <v>0.06</v>
      </c>
      <c r="DZ373" s="28" t="s">
        <v>178</v>
      </c>
      <c r="EA373" s="34">
        <v>43579</v>
      </c>
      <c r="EB373" s="29">
        <v>66</v>
      </c>
      <c r="EC373" s="34">
        <v>43375</v>
      </c>
      <c r="ED373" s="28" t="s">
        <v>205</v>
      </c>
      <c r="EE373" s="40" t="str">
        <f>HYPERLINK("https://my.pitchbook.com?c=111652-03", "View company online")</f>
        <v>View company online</v>
      </c>
    </row>
    <row r="374" spans="1:135">
      <c r="A374" s="15" t="s">
        <v>7891</v>
      </c>
      <c r="B374" s="15" t="s">
        <v>7892</v>
      </c>
      <c r="C374" s="15" t="s">
        <v>7893</v>
      </c>
      <c r="D374" s="15" t="s">
        <v>138</v>
      </c>
      <c r="E374" s="15" t="s">
        <v>7894</v>
      </c>
      <c r="F374" s="15" t="s">
        <v>7891</v>
      </c>
      <c r="G374" s="15" t="s">
        <v>7895</v>
      </c>
      <c r="H374" s="15" t="s">
        <v>322</v>
      </c>
      <c r="I374" s="15" t="s">
        <v>323</v>
      </c>
      <c r="J374" s="15" t="s">
        <v>1132</v>
      </c>
      <c r="K374" s="15" t="s">
        <v>1133</v>
      </c>
      <c r="L374" s="15" t="s">
        <v>7896</v>
      </c>
      <c r="M374" s="15" t="s">
        <v>7897</v>
      </c>
      <c r="N374" s="15" t="s">
        <v>147</v>
      </c>
      <c r="O374" s="17">
        <v>1035</v>
      </c>
      <c r="P374" s="15" t="s">
        <v>148</v>
      </c>
      <c r="Q374" s="15" t="s">
        <v>149</v>
      </c>
      <c r="R374" s="15" t="s">
        <v>150</v>
      </c>
      <c r="S374" s="15" t="s">
        <v>7898</v>
      </c>
      <c r="T374" s="18">
        <v>1500</v>
      </c>
      <c r="U374" s="15" t="s">
        <v>7899</v>
      </c>
      <c r="V374" s="15" t="s">
        <v>138</v>
      </c>
      <c r="W374" s="15" t="s">
        <v>138</v>
      </c>
      <c r="X374" s="19">
        <v>2009</v>
      </c>
      <c r="Y374" s="15" t="s">
        <v>138</v>
      </c>
      <c r="Z374" s="15" t="s">
        <v>138</v>
      </c>
      <c r="AA374" s="15" t="s">
        <v>1163</v>
      </c>
      <c r="AB374" s="20">
        <v>1500</v>
      </c>
      <c r="AC374" s="20" t="s">
        <v>138</v>
      </c>
      <c r="AD374" s="20" t="s">
        <v>138</v>
      </c>
      <c r="AE374" s="20" t="s">
        <v>138</v>
      </c>
      <c r="AF374" s="20" t="s">
        <v>138</v>
      </c>
      <c r="AG374" s="15" t="s">
        <v>419</v>
      </c>
      <c r="AH374" s="20" t="s">
        <v>138</v>
      </c>
      <c r="AI374" s="20" t="s">
        <v>138</v>
      </c>
      <c r="AJ374" s="20" t="s">
        <v>138</v>
      </c>
      <c r="AK374" s="15" t="s">
        <v>7900</v>
      </c>
      <c r="AL374" s="15" t="s">
        <v>7901</v>
      </c>
      <c r="AM374" s="15" t="s">
        <v>7902</v>
      </c>
      <c r="AN374" s="15" t="s">
        <v>7903</v>
      </c>
      <c r="AO374" s="15" t="s">
        <v>138</v>
      </c>
      <c r="AP374" s="15" t="s">
        <v>665</v>
      </c>
      <c r="AQ374" s="15" t="s">
        <v>7904</v>
      </c>
      <c r="AR374" s="15" t="s">
        <v>138</v>
      </c>
      <c r="AS374" s="15" t="s">
        <v>668</v>
      </c>
      <c r="AT374" s="15" t="s">
        <v>200</v>
      </c>
      <c r="AU374" s="15" t="s">
        <v>691</v>
      </c>
      <c r="AV374" s="15" t="s">
        <v>162</v>
      </c>
      <c r="AW374" s="15" t="s">
        <v>138</v>
      </c>
      <c r="AX374" s="15" t="s">
        <v>138</v>
      </c>
      <c r="AY374" s="15" t="s">
        <v>7905</v>
      </c>
      <c r="AZ374" s="15" t="s">
        <v>164</v>
      </c>
      <c r="BA374" s="15" t="s">
        <v>165</v>
      </c>
      <c r="BB374" s="15" t="s">
        <v>7906</v>
      </c>
      <c r="BC374" s="15" t="s">
        <v>7907</v>
      </c>
      <c r="BD374" s="21">
        <v>50</v>
      </c>
      <c r="BE374" s="15" t="s">
        <v>138</v>
      </c>
      <c r="BF374" s="15" t="s">
        <v>138</v>
      </c>
      <c r="BG374" s="15" t="s">
        <v>138</v>
      </c>
      <c r="BH374" s="15" t="s">
        <v>7908</v>
      </c>
      <c r="BI374" s="15" t="s">
        <v>138</v>
      </c>
      <c r="BJ374" s="15" t="s">
        <v>138</v>
      </c>
      <c r="BK374" s="15" t="s">
        <v>7909</v>
      </c>
      <c r="BL374" s="15" t="s">
        <v>7910</v>
      </c>
      <c r="BM374" s="22">
        <v>40179</v>
      </c>
      <c r="BN374" s="17" t="s">
        <v>138</v>
      </c>
      <c r="BO374" s="15" t="s">
        <v>138</v>
      </c>
      <c r="BP374" s="17" t="s">
        <v>138</v>
      </c>
      <c r="BQ374" s="15" t="s">
        <v>138</v>
      </c>
      <c r="BR374" s="15" t="s">
        <v>316</v>
      </c>
      <c r="BS374" s="15" t="s">
        <v>138</v>
      </c>
      <c r="BT374" s="15" t="s">
        <v>138</v>
      </c>
      <c r="BU374" s="15" t="s">
        <v>177</v>
      </c>
      <c r="BV374" s="15" t="s">
        <v>138</v>
      </c>
      <c r="BW374" s="15" t="s">
        <v>138</v>
      </c>
      <c r="BX374" s="15" t="s">
        <v>138</v>
      </c>
      <c r="BY374" s="15" t="s">
        <v>175</v>
      </c>
      <c r="BZ374" s="22">
        <v>43494</v>
      </c>
      <c r="CA374" s="17">
        <v>100</v>
      </c>
      <c r="CB374" s="15" t="s">
        <v>172</v>
      </c>
      <c r="CC374" s="17">
        <v>22500</v>
      </c>
      <c r="CD374" s="15" t="s">
        <v>172</v>
      </c>
      <c r="CE374" s="15" t="s">
        <v>173</v>
      </c>
      <c r="CF374" s="15" t="s">
        <v>408</v>
      </c>
      <c r="CG374" s="15" t="s">
        <v>138</v>
      </c>
      <c r="CH374" s="15" t="s">
        <v>174</v>
      </c>
      <c r="CI374" s="15" t="s">
        <v>138</v>
      </c>
      <c r="CJ374" s="15" t="s">
        <v>138</v>
      </c>
      <c r="CK374" s="15" t="s">
        <v>138</v>
      </c>
      <c r="CL374" s="15" t="s">
        <v>175</v>
      </c>
      <c r="CM374" s="22">
        <v>42699</v>
      </c>
      <c r="CN374" s="17">
        <v>250</v>
      </c>
      <c r="CO374" s="23">
        <v>0.67</v>
      </c>
      <c r="CP374" s="24">
        <v>96</v>
      </c>
      <c r="CQ374" s="23">
        <v>-0.03</v>
      </c>
      <c r="CR374" s="23">
        <v>-3.7</v>
      </c>
      <c r="CS374" s="23">
        <v>-0.16</v>
      </c>
      <c r="CT374" s="24">
        <v>22</v>
      </c>
      <c r="CU374" s="23">
        <v>0.27</v>
      </c>
      <c r="CV374" s="24">
        <v>86</v>
      </c>
      <c r="CW374" s="23">
        <v>0.61</v>
      </c>
      <c r="CX374" s="24">
        <v>83</v>
      </c>
      <c r="CY374" s="23">
        <v>-0.93</v>
      </c>
      <c r="CZ374" s="24">
        <v>19</v>
      </c>
      <c r="DA374" s="23">
        <v>0.28999999999999998</v>
      </c>
      <c r="DB374" s="24">
        <v>88</v>
      </c>
      <c r="DC374" s="25">
        <v>289.35000000000002</v>
      </c>
      <c r="DD374" s="24">
        <v>100</v>
      </c>
      <c r="DE374" s="25">
        <v>-21.65</v>
      </c>
      <c r="DF374" s="23">
        <v>-6.96</v>
      </c>
      <c r="DG374" s="25">
        <v>850.65</v>
      </c>
      <c r="DH374" s="24">
        <v>100</v>
      </c>
      <c r="DI374" s="25">
        <v>165.57</v>
      </c>
      <c r="DJ374" s="24">
        <v>98</v>
      </c>
      <c r="DK374" s="25">
        <v>1490.62</v>
      </c>
      <c r="DL374" s="24">
        <v>100</v>
      </c>
      <c r="DM374" s="25">
        <v>210.69</v>
      </c>
      <c r="DN374" s="24">
        <v>100</v>
      </c>
      <c r="DO374" s="25">
        <v>309.29000000000002</v>
      </c>
      <c r="DP374" s="24">
        <v>99</v>
      </c>
      <c r="DQ374" s="24">
        <v>510068</v>
      </c>
      <c r="DR374" s="26">
        <v>3639</v>
      </c>
      <c r="DS374" s="23">
        <v>0.72</v>
      </c>
      <c r="DT374" s="24">
        <v>6102</v>
      </c>
      <c r="DU374" s="26">
        <v>21</v>
      </c>
      <c r="DV374" s="23">
        <v>0.35</v>
      </c>
      <c r="DW374" s="24">
        <v>110649</v>
      </c>
      <c r="DX374" s="27">
        <v>313</v>
      </c>
      <c r="DY374" s="23">
        <v>0.28000000000000003</v>
      </c>
      <c r="DZ374" s="15" t="s">
        <v>178</v>
      </c>
      <c r="EA374" s="22">
        <v>43607</v>
      </c>
      <c r="EB374" s="17">
        <v>22500</v>
      </c>
      <c r="EC374" s="22">
        <v>43494</v>
      </c>
      <c r="ED374" s="15" t="s">
        <v>173</v>
      </c>
      <c r="EE374" s="14" t="str">
        <f>HYPERLINK("https://my.pitchbook.com?c=54782-29", "View company online")</f>
        <v>View company online</v>
      </c>
    </row>
    <row r="375" spans="1:135">
      <c r="A375" s="28" t="s">
        <v>7911</v>
      </c>
      <c r="B375" s="28" t="s">
        <v>7912</v>
      </c>
      <c r="C375" s="28" t="s">
        <v>138</v>
      </c>
      <c r="D375" s="28" t="s">
        <v>138</v>
      </c>
      <c r="E375" s="28" t="s">
        <v>138</v>
      </c>
      <c r="F375" s="28" t="s">
        <v>7911</v>
      </c>
      <c r="G375" s="28" t="s">
        <v>7913</v>
      </c>
      <c r="H375" s="28" t="s">
        <v>322</v>
      </c>
      <c r="I375" s="28" t="s">
        <v>323</v>
      </c>
      <c r="J375" s="28" t="s">
        <v>954</v>
      </c>
      <c r="K375" s="28" t="s">
        <v>7914</v>
      </c>
      <c r="L375" s="28" t="s">
        <v>415</v>
      </c>
      <c r="M375" s="28" t="s">
        <v>7915</v>
      </c>
      <c r="N375" s="28" t="s">
        <v>147</v>
      </c>
      <c r="O375" s="29">
        <v>3.7</v>
      </c>
      <c r="P375" s="28" t="s">
        <v>610</v>
      </c>
      <c r="Q375" s="28" t="s">
        <v>149</v>
      </c>
      <c r="R375" s="28" t="s">
        <v>174</v>
      </c>
      <c r="S375" s="28" t="s">
        <v>7916</v>
      </c>
      <c r="T375" s="30">
        <v>9</v>
      </c>
      <c r="U375" s="28" t="s">
        <v>7917</v>
      </c>
      <c r="V375" s="28" t="s">
        <v>138</v>
      </c>
      <c r="W375" s="28" t="s">
        <v>138</v>
      </c>
      <c r="X375" s="31">
        <v>2014</v>
      </c>
      <c r="Y375" s="28" t="s">
        <v>138</v>
      </c>
      <c r="Z375" s="28" t="s">
        <v>138</v>
      </c>
      <c r="AA375" s="28" t="s">
        <v>138</v>
      </c>
      <c r="AB375" s="32" t="s">
        <v>138</v>
      </c>
      <c r="AC375" s="32" t="s">
        <v>138</v>
      </c>
      <c r="AD375" s="32" t="s">
        <v>138</v>
      </c>
      <c r="AE375" s="32" t="s">
        <v>138</v>
      </c>
      <c r="AF375" s="32" t="s">
        <v>138</v>
      </c>
      <c r="AG375" s="28" t="s">
        <v>138</v>
      </c>
      <c r="AH375" s="32" t="s">
        <v>138</v>
      </c>
      <c r="AI375" s="32" t="s">
        <v>138</v>
      </c>
      <c r="AJ375" s="32" t="s">
        <v>138</v>
      </c>
      <c r="AK375" s="28" t="s">
        <v>7918</v>
      </c>
      <c r="AL375" s="28" t="s">
        <v>7919</v>
      </c>
      <c r="AM375" s="28" t="s">
        <v>304</v>
      </c>
      <c r="AN375" s="28" t="s">
        <v>7920</v>
      </c>
      <c r="AO375" s="28" t="s">
        <v>138</v>
      </c>
      <c r="AP375" s="28" t="s">
        <v>665</v>
      </c>
      <c r="AQ375" s="28" t="s">
        <v>7921</v>
      </c>
      <c r="AR375" s="28" t="s">
        <v>138</v>
      </c>
      <c r="AS375" s="28" t="s">
        <v>668</v>
      </c>
      <c r="AT375" s="28" t="s">
        <v>200</v>
      </c>
      <c r="AU375" s="28" t="s">
        <v>138</v>
      </c>
      <c r="AV375" s="28" t="s">
        <v>162</v>
      </c>
      <c r="AW375" s="28" t="s">
        <v>138</v>
      </c>
      <c r="AX375" s="28" t="s">
        <v>138</v>
      </c>
      <c r="AY375" s="28" t="s">
        <v>7922</v>
      </c>
      <c r="AZ375" s="28" t="s">
        <v>164</v>
      </c>
      <c r="BA375" s="28" t="s">
        <v>165</v>
      </c>
      <c r="BB375" s="28" t="s">
        <v>7923</v>
      </c>
      <c r="BC375" s="28" t="s">
        <v>7924</v>
      </c>
      <c r="BD375" s="33">
        <v>10</v>
      </c>
      <c r="BE375" s="28" t="s">
        <v>138</v>
      </c>
      <c r="BF375" s="28" t="s">
        <v>138</v>
      </c>
      <c r="BG375" s="28" t="s">
        <v>138</v>
      </c>
      <c r="BH375" s="28" t="s">
        <v>7925</v>
      </c>
      <c r="BI375" s="28" t="s">
        <v>138</v>
      </c>
      <c r="BJ375" s="28" t="s">
        <v>138</v>
      </c>
      <c r="BK375" s="28" t="s">
        <v>138</v>
      </c>
      <c r="BL375" s="28" t="s">
        <v>138</v>
      </c>
      <c r="BM375" s="34">
        <v>42891</v>
      </c>
      <c r="BN375" s="29" t="s">
        <v>138</v>
      </c>
      <c r="BO375" s="28" t="s">
        <v>138</v>
      </c>
      <c r="BP375" s="29" t="s">
        <v>138</v>
      </c>
      <c r="BQ375" s="28" t="s">
        <v>138</v>
      </c>
      <c r="BR375" s="28" t="s">
        <v>316</v>
      </c>
      <c r="BS375" s="28" t="s">
        <v>138</v>
      </c>
      <c r="BT375" s="28" t="s">
        <v>138</v>
      </c>
      <c r="BU375" s="28" t="s">
        <v>177</v>
      </c>
      <c r="BV375" s="28" t="s">
        <v>138</v>
      </c>
      <c r="BW375" s="28" t="s">
        <v>138</v>
      </c>
      <c r="BX375" s="28" t="s">
        <v>138</v>
      </c>
      <c r="BY375" s="28" t="s">
        <v>175</v>
      </c>
      <c r="BZ375" s="34">
        <v>43129</v>
      </c>
      <c r="CA375" s="29">
        <v>3.7</v>
      </c>
      <c r="CB375" s="28" t="s">
        <v>1178</v>
      </c>
      <c r="CC375" s="29">
        <v>10</v>
      </c>
      <c r="CD375" s="28" t="s">
        <v>172</v>
      </c>
      <c r="CE375" s="28" t="s">
        <v>234</v>
      </c>
      <c r="CF375" s="28" t="s">
        <v>234</v>
      </c>
      <c r="CG375" s="28" t="s">
        <v>138</v>
      </c>
      <c r="CH375" s="28" t="s">
        <v>174</v>
      </c>
      <c r="CI375" s="28" t="s">
        <v>138</v>
      </c>
      <c r="CJ375" s="28" t="s">
        <v>138</v>
      </c>
      <c r="CK375" s="28" t="s">
        <v>138</v>
      </c>
      <c r="CL375" s="28" t="s">
        <v>175</v>
      </c>
      <c r="CM375" s="34" t="s">
        <v>138</v>
      </c>
      <c r="CN375" s="29" t="s">
        <v>138</v>
      </c>
      <c r="CO375" s="35">
        <v>0.77</v>
      </c>
      <c r="CP375" s="36">
        <v>96</v>
      </c>
      <c r="CQ375" s="35">
        <v>0</v>
      </c>
      <c r="CR375" s="35">
        <v>0.63</v>
      </c>
      <c r="CS375" s="35">
        <v>1.57</v>
      </c>
      <c r="CT375" s="36">
        <v>98</v>
      </c>
      <c r="CU375" s="35">
        <v>-0.03</v>
      </c>
      <c r="CV375" s="36">
        <v>14</v>
      </c>
      <c r="CW375" s="35">
        <v>4.0199999999999996</v>
      </c>
      <c r="CX375" s="36">
        <v>94</v>
      </c>
      <c r="CY375" s="35">
        <v>-0.87</v>
      </c>
      <c r="CZ375" s="36">
        <v>20</v>
      </c>
      <c r="DA375" s="35">
        <v>-0.03</v>
      </c>
      <c r="DB375" s="36">
        <v>17</v>
      </c>
      <c r="DC375" s="37">
        <v>26.44</v>
      </c>
      <c r="DD375" s="36">
        <v>96</v>
      </c>
      <c r="DE375" s="37">
        <v>-2.48</v>
      </c>
      <c r="DF375" s="35">
        <v>-8.56</v>
      </c>
      <c r="DG375" s="37">
        <v>46.9</v>
      </c>
      <c r="DH375" s="36">
        <v>98</v>
      </c>
      <c r="DI375" s="37">
        <v>5.97</v>
      </c>
      <c r="DJ375" s="36">
        <v>80</v>
      </c>
      <c r="DK375" s="37">
        <v>78.349999999999994</v>
      </c>
      <c r="DL375" s="36">
        <v>97</v>
      </c>
      <c r="DM375" s="37">
        <v>15.45</v>
      </c>
      <c r="DN375" s="36">
        <v>92</v>
      </c>
      <c r="DO375" s="37">
        <v>5.97</v>
      </c>
      <c r="DP375" s="36">
        <v>82</v>
      </c>
      <c r="DQ375" s="36">
        <v>26431</v>
      </c>
      <c r="DR375" s="38">
        <v>1331</v>
      </c>
      <c r="DS375" s="35">
        <v>5.3</v>
      </c>
      <c r="DT375" s="36">
        <v>447</v>
      </c>
      <c r="DU375" s="38">
        <v>1</v>
      </c>
      <c r="DV375" s="35">
        <v>0.22</v>
      </c>
      <c r="DW375" s="36">
        <v>2138</v>
      </c>
      <c r="DX375" s="39">
        <v>0</v>
      </c>
      <c r="DY375" s="35">
        <v>0</v>
      </c>
      <c r="DZ375" s="28" t="s">
        <v>178</v>
      </c>
      <c r="EA375" s="34">
        <v>43609</v>
      </c>
      <c r="EB375" s="29">
        <v>10</v>
      </c>
      <c r="EC375" s="34">
        <v>43129</v>
      </c>
      <c r="ED375" s="28" t="s">
        <v>234</v>
      </c>
      <c r="EE375" s="40" t="str">
        <f>HYPERLINK("https://my.pitchbook.com?c=119768-59", "View company online")</f>
        <v>View company online</v>
      </c>
    </row>
    <row r="376" spans="1:135">
      <c r="A376" s="15" t="s">
        <v>7926</v>
      </c>
      <c r="B376" s="15" t="s">
        <v>7927</v>
      </c>
      <c r="C376" s="15" t="s">
        <v>138</v>
      </c>
      <c r="D376" s="15" t="s">
        <v>138</v>
      </c>
      <c r="E376" s="15" t="s">
        <v>138</v>
      </c>
      <c r="F376" s="15" t="s">
        <v>7926</v>
      </c>
      <c r="G376" s="15" t="s">
        <v>7928</v>
      </c>
      <c r="H376" s="15" t="s">
        <v>322</v>
      </c>
      <c r="I376" s="15" t="s">
        <v>323</v>
      </c>
      <c r="J376" s="15" t="s">
        <v>324</v>
      </c>
      <c r="K376" s="15" t="s">
        <v>7929</v>
      </c>
      <c r="L376" s="15" t="s">
        <v>7930</v>
      </c>
      <c r="M376" s="15" t="s">
        <v>7931</v>
      </c>
      <c r="N376" s="15" t="s">
        <v>147</v>
      </c>
      <c r="O376" s="17" t="s">
        <v>138</v>
      </c>
      <c r="P376" s="15" t="s">
        <v>148</v>
      </c>
      <c r="Q376" s="15" t="s">
        <v>149</v>
      </c>
      <c r="R376" s="15" t="s">
        <v>174</v>
      </c>
      <c r="S376" s="15" t="s">
        <v>7932</v>
      </c>
      <c r="T376" s="18">
        <v>1</v>
      </c>
      <c r="U376" s="15" t="s">
        <v>7933</v>
      </c>
      <c r="V376" s="15" t="s">
        <v>138</v>
      </c>
      <c r="W376" s="15" t="s">
        <v>138</v>
      </c>
      <c r="X376" s="19">
        <v>2008</v>
      </c>
      <c r="Y376" s="15" t="s">
        <v>138</v>
      </c>
      <c r="Z376" s="15" t="s">
        <v>138</v>
      </c>
      <c r="AA376" s="15" t="s">
        <v>138</v>
      </c>
      <c r="AB376" s="20" t="s">
        <v>138</v>
      </c>
      <c r="AC376" s="20" t="s">
        <v>138</v>
      </c>
      <c r="AD376" s="20" t="s">
        <v>138</v>
      </c>
      <c r="AE376" s="20" t="s">
        <v>138</v>
      </c>
      <c r="AF376" s="20" t="s">
        <v>138</v>
      </c>
      <c r="AG376" s="15" t="s">
        <v>138</v>
      </c>
      <c r="AH376" s="20" t="s">
        <v>138</v>
      </c>
      <c r="AI376" s="20" t="s">
        <v>138</v>
      </c>
      <c r="AJ376" s="20" t="s">
        <v>138</v>
      </c>
      <c r="AK376" s="15" t="s">
        <v>7934</v>
      </c>
      <c r="AL376" s="15" t="s">
        <v>7935</v>
      </c>
      <c r="AM376" s="15" t="s">
        <v>7936</v>
      </c>
      <c r="AN376" s="15" t="s">
        <v>7937</v>
      </c>
      <c r="AO376" s="15" t="s">
        <v>7938</v>
      </c>
      <c r="AP376" s="15" t="s">
        <v>1195</v>
      </c>
      <c r="AQ376" s="15" t="s">
        <v>7939</v>
      </c>
      <c r="AR376" s="15" t="s">
        <v>7940</v>
      </c>
      <c r="AS376" s="15" t="s">
        <v>1198</v>
      </c>
      <c r="AT376" s="15" t="s">
        <v>138</v>
      </c>
      <c r="AU376" s="15" t="s">
        <v>7941</v>
      </c>
      <c r="AV376" s="15" t="s">
        <v>1200</v>
      </c>
      <c r="AW376" s="15" t="s">
        <v>7938</v>
      </c>
      <c r="AX376" s="15" t="s">
        <v>7942</v>
      </c>
      <c r="AY376" s="15" t="s">
        <v>7943</v>
      </c>
      <c r="AZ376" s="15" t="s">
        <v>452</v>
      </c>
      <c r="BA376" s="15" t="s">
        <v>453</v>
      </c>
      <c r="BB376" s="15" t="s">
        <v>7944</v>
      </c>
      <c r="BC376" s="15" t="s">
        <v>7945</v>
      </c>
      <c r="BD376" s="21">
        <v>2</v>
      </c>
      <c r="BE376" s="15" t="s">
        <v>138</v>
      </c>
      <c r="BF376" s="15" t="s">
        <v>138</v>
      </c>
      <c r="BG376" s="15" t="s">
        <v>138</v>
      </c>
      <c r="BH376" s="15" t="s">
        <v>7946</v>
      </c>
      <c r="BI376" s="15" t="s">
        <v>138</v>
      </c>
      <c r="BJ376" s="15" t="s">
        <v>138</v>
      </c>
      <c r="BK376" s="15" t="s">
        <v>138</v>
      </c>
      <c r="BL376" s="15" t="s">
        <v>138</v>
      </c>
      <c r="BM376" s="22" t="s">
        <v>138</v>
      </c>
      <c r="BN376" s="17" t="s">
        <v>138</v>
      </c>
      <c r="BO376" s="15" t="s">
        <v>138</v>
      </c>
      <c r="BP376" s="17" t="s">
        <v>138</v>
      </c>
      <c r="BQ376" s="15" t="s">
        <v>138</v>
      </c>
      <c r="BR376" s="15" t="s">
        <v>205</v>
      </c>
      <c r="BS376" s="15" t="s">
        <v>138</v>
      </c>
      <c r="BT376" s="15" t="s">
        <v>138</v>
      </c>
      <c r="BU376" s="15" t="s">
        <v>174</v>
      </c>
      <c r="BV376" s="15" t="s">
        <v>138</v>
      </c>
      <c r="BW376" s="15" t="s">
        <v>138</v>
      </c>
      <c r="BX376" s="15" t="s">
        <v>138</v>
      </c>
      <c r="BY376" s="15" t="s">
        <v>175</v>
      </c>
      <c r="BZ376" s="22" t="s">
        <v>138</v>
      </c>
      <c r="CA376" s="17" t="s">
        <v>138</v>
      </c>
      <c r="CB376" s="15" t="s">
        <v>138</v>
      </c>
      <c r="CC376" s="17" t="s">
        <v>138</v>
      </c>
      <c r="CD376" s="15" t="s">
        <v>138</v>
      </c>
      <c r="CE376" s="15" t="s">
        <v>205</v>
      </c>
      <c r="CF376" s="15" t="s">
        <v>138</v>
      </c>
      <c r="CG376" s="15" t="s">
        <v>138</v>
      </c>
      <c r="CH376" s="15" t="s">
        <v>174</v>
      </c>
      <c r="CI376" s="15" t="s">
        <v>138</v>
      </c>
      <c r="CJ376" s="15" t="s">
        <v>138</v>
      </c>
      <c r="CK376" s="15" t="s">
        <v>138</v>
      </c>
      <c r="CL376" s="15" t="s">
        <v>175</v>
      </c>
      <c r="CM376" s="22" t="s">
        <v>138</v>
      </c>
      <c r="CN376" s="17" t="s">
        <v>138</v>
      </c>
      <c r="CO376" s="23">
        <v>0</v>
      </c>
      <c r="CP376" s="24">
        <v>26</v>
      </c>
      <c r="CQ376" s="23">
        <v>0</v>
      </c>
      <c r="CR376" s="23">
        <v>0</v>
      </c>
      <c r="CS376" s="23">
        <v>0</v>
      </c>
      <c r="CT376" s="24">
        <v>23</v>
      </c>
      <c r="CU376" s="23">
        <v>0</v>
      </c>
      <c r="CV376" s="24">
        <v>22</v>
      </c>
      <c r="CW376" s="23" t="s">
        <v>138</v>
      </c>
      <c r="CX376" s="24" t="s">
        <v>138</v>
      </c>
      <c r="CY376" s="23">
        <v>0</v>
      </c>
      <c r="CZ376" s="24">
        <v>25</v>
      </c>
      <c r="DA376" s="23" t="s">
        <v>138</v>
      </c>
      <c r="DB376" s="24" t="s">
        <v>138</v>
      </c>
      <c r="DC376" s="25">
        <v>0.32</v>
      </c>
      <c r="DD376" s="24">
        <v>24</v>
      </c>
      <c r="DE376" s="25">
        <v>0</v>
      </c>
      <c r="DF376" s="23">
        <v>-0.02</v>
      </c>
      <c r="DG376" s="25">
        <v>0.55000000000000004</v>
      </c>
      <c r="DH376" s="24">
        <v>36</v>
      </c>
      <c r="DI376" s="25">
        <v>0.1</v>
      </c>
      <c r="DJ376" s="24">
        <v>14</v>
      </c>
      <c r="DK376" s="25" t="s">
        <v>138</v>
      </c>
      <c r="DL376" s="24" t="s">
        <v>138</v>
      </c>
      <c r="DM376" s="25">
        <v>0.55000000000000004</v>
      </c>
      <c r="DN376" s="24">
        <v>36</v>
      </c>
      <c r="DO376" s="25" t="s">
        <v>138</v>
      </c>
      <c r="DP376" s="24" t="s">
        <v>138</v>
      </c>
      <c r="DQ376" s="24" t="s">
        <v>138</v>
      </c>
      <c r="DR376" s="26" t="s">
        <v>138</v>
      </c>
      <c r="DS376" s="23" t="s">
        <v>138</v>
      </c>
      <c r="DT376" s="24">
        <v>16</v>
      </c>
      <c r="DU376" s="26">
        <v>0</v>
      </c>
      <c r="DV376" s="23">
        <v>0</v>
      </c>
      <c r="DW376" s="24" t="s">
        <v>138</v>
      </c>
      <c r="DX376" s="27" t="s">
        <v>138</v>
      </c>
      <c r="DY376" s="23" t="s">
        <v>138</v>
      </c>
      <c r="DZ376" s="15" t="s">
        <v>178</v>
      </c>
      <c r="EA376" s="22">
        <v>43385</v>
      </c>
      <c r="EB376" s="17" t="s">
        <v>138</v>
      </c>
      <c r="EC376" s="22" t="s">
        <v>138</v>
      </c>
      <c r="ED376" s="15" t="s">
        <v>138</v>
      </c>
      <c r="EE376" s="14" t="str">
        <f>HYPERLINK("https://my.pitchbook.com?c=107199-37", "View company online")</f>
        <v>View company online</v>
      </c>
    </row>
    <row r="377" spans="1:135">
      <c r="A377" s="28" t="s">
        <v>7947</v>
      </c>
      <c r="B377" s="28" t="s">
        <v>7948</v>
      </c>
      <c r="C377" s="28" t="s">
        <v>7949</v>
      </c>
      <c r="D377" s="28" t="s">
        <v>138</v>
      </c>
      <c r="E377" s="28" t="s">
        <v>7950</v>
      </c>
      <c r="F377" s="28" t="s">
        <v>7947</v>
      </c>
      <c r="G377" s="28" t="s">
        <v>7951</v>
      </c>
      <c r="H377" s="28" t="s">
        <v>322</v>
      </c>
      <c r="I377" s="28" t="s">
        <v>323</v>
      </c>
      <c r="J377" s="28" t="s">
        <v>437</v>
      </c>
      <c r="K377" s="28" t="s">
        <v>4803</v>
      </c>
      <c r="L377" s="28" t="s">
        <v>7952</v>
      </c>
      <c r="M377" s="28" t="s">
        <v>7953</v>
      </c>
      <c r="N377" s="28" t="s">
        <v>147</v>
      </c>
      <c r="O377" s="29">
        <v>17.64</v>
      </c>
      <c r="P377" s="28" t="s">
        <v>148</v>
      </c>
      <c r="Q377" s="28" t="s">
        <v>149</v>
      </c>
      <c r="R377" s="28" t="s">
        <v>174</v>
      </c>
      <c r="S377" s="28" t="s">
        <v>7954</v>
      </c>
      <c r="T377" s="30">
        <v>35</v>
      </c>
      <c r="U377" s="28" t="s">
        <v>7955</v>
      </c>
      <c r="V377" s="28" t="s">
        <v>138</v>
      </c>
      <c r="W377" s="28" t="s">
        <v>138</v>
      </c>
      <c r="X377" s="31">
        <v>2011</v>
      </c>
      <c r="Y377" s="28" t="s">
        <v>138</v>
      </c>
      <c r="Z377" s="28" t="s">
        <v>138</v>
      </c>
      <c r="AA377" s="28" t="s">
        <v>1163</v>
      </c>
      <c r="AB377" s="32" t="s">
        <v>138</v>
      </c>
      <c r="AC377" s="32" t="s">
        <v>138</v>
      </c>
      <c r="AD377" s="32" t="s">
        <v>138</v>
      </c>
      <c r="AE377" s="32" t="s">
        <v>138</v>
      </c>
      <c r="AF377" s="32" t="s">
        <v>138</v>
      </c>
      <c r="AG377" s="28" t="s">
        <v>138</v>
      </c>
      <c r="AH377" s="32" t="s">
        <v>138</v>
      </c>
      <c r="AI377" s="32" t="s">
        <v>138</v>
      </c>
      <c r="AJ377" s="32" t="s">
        <v>138</v>
      </c>
      <c r="AK377" s="28" t="s">
        <v>7956</v>
      </c>
      <c r="AL377" s="28" t="s">
        <v>7957</v>
      </c>
      <c r="AM377" s="28" t="s">
        <v>304</v>
      </c>
      <c r="AN377" s="28" t="s">
        <v>7958</v>
      </c>
      <c r="AO377" s="28" t="s">
        <v>138</v>
      </c>
      <c r="AP377" s="28" t="s">
        <v>665</v>
      </c>
      <c r="AQ377" s="28" t="s">
        <v>7959</v>
      </c>
      <c r="AR377" s="28" t="s">
        <v>2153</v>
      </c>
      <c r="AS377" s="28" t="s">
        <v>668</v>
      </c>
      <c r="AT377" s="28" t="s">
        <v>200</v>
      </c>
      <c r="AU377" s="28" t="s">
        <v>1893</v>
      </c>
      <c r="AV377" s="28" t="s">
        <v>162</v>
      </c>
      <c r="AW377" s="28" t="s">
        <v>138</v>
      </c>
      <c r="AX377" s="28" t="s">
        <v>138</v>
      </c>
      <c r="AY377" s="28" t="s">
        <v>7960</v>
      </c>
      <c r="AZ377" s="28" t="s">
        <v>164</v>
      </c>
      <c r="BA377" s="28" t="s">
        <v>165</v>
      </c>
      <c r="BB377" s="28" t="s">
        <v>7961</v>
      </c>
      <c r="BC377" s="28" t="s">
        <v>7962</v>
      </c>
      <c r="BD377" s="33">
        <v>28</v>
      </c>
      <c r="BE377" s="28" t="s">
        <v>138</v>
      </c>
      <c r="BF377" s="28" t="s">
        <v>138</v>
      </c>
      <c r="BG377" s="28" t="s">
        <v>138</v>
      </c>
      <c r="BH377" s="28" t="s">
        <v>7963</v>
      </c>
      <c r="BI377" s="28" t="s">
        <v>138</v>
      </c>
      <c r="BJ377" s="28" t="s">
        <v>138</v>
      </c>
      <c r="BK377" s="28" t="s">
        <v>1251</v>
      </c>
      <c r="BL377" s="28" t="s">
        <v>1251</v>
      </c>
      <c r="BM377" s="34">
        <v>40943</v>
      </c>
      <c r="BN377" s="29">
        <v>1.3</v>
      </c>
      <c r="BO377" s="28" t="s">
        <v>172</v>
      </c>
      <c r="BP377" s="29">
        <v>9.27</v>
      </c>
      <c r="BQ377" s="28" t="s">
        <v>172</v>
      </c>
      <c r="BR377" s="28" t="s">
        <v>234</v>
      </c>
      <c r="BS377" s="28" t="s">
        <v>234</v>
      </c>
      <c r="BT377" s="28" t="s">
        <v>138</v>
      </c>
      <c r="BU377" s="28" t="s">
        <v>174</v>
      </c>
      <c r="BV377" s="28" t="s">
        <v>138</v>
      </c>
      <c r="BW377" s="28" t="s">
        <v>138</v>
      </c>
      <c r="BX377" s="28" t="s">
        <v>138</v>
      </c>
      <c r="BY377" s="28" t="s">
        <v>175</v>
      </c>
      <c r="BZ377" s="34">
        <v>42221</v>
      </c>
      <c r="CA377" s="29">
        <v>4</v>
      </c>
      <c r="CB377" s="28" t="s">
        <v>172</v>
      </c>
      <c r="CC377" s="29">
        <v>81.77</v>
      </c>
      <c r="CD377" s="28" t="s">
        <v>172</v>
      </c>
      <c r="CE377" s="28" t="s">
        <v>205</v>
      </c>
      <c r="CF377" s="28" t="s">
        <v>623</v>
      </c>
      <c r="CG377" s="28" t="s">
        <v>138</v>
      </c>
      <c r="CH377" s="28" t="s">
        <v>174</v>
      </c>
      <c r="CI377" s="28" t="s">
        <v>138</v>
      </c>
      <c r="CJ377" s="28" t="s">
        <v>138</v>
      </c>
      <c r="CK377" s="28" t="s">
        <v>138</v>
      </c>
      <c r="CL377" s="28" t="s">
        <v>175</v>
      </c>
      <c r="CM377" s="34" t="s">
        <v>138</v>
      </c>
      <c r="CN377" s="29" t="s">
        <v>138</v>
      </c>
      <c r="CO377" s="35">
        <v>2.17</v>
      </c>
      <c r="CP377" s="36">
        <v>99</v>
      </c>
      <c r="CQ377" s="35">
        <v>-0.15</v>
      </c>
      <c r="CR377" s="35">
        <v>-6.36</v>
      </c>
      <c r="CS377" s="35">
        <v>0.89</v>
      </c>
      <c r="CT377" s="36">
        <v>96</v>
      </c>
      <c r="CU377" s="35">
        <v>0.56000000000000005</v>
      </c>
      <c r="CV377" s="36">
        <v>94</v>
      </c>
      <c r="CW377" s="35">
        <v>1.37</v>
      </c>
      <c r="CX377" s="36">
        <v>86</v>
      </c>
      <c r="CY377" s="35">
        <v>0.41</v>
      </c>
      <c r="CZ377" s="36">
        <v>98</v>
      </c>
      <c r="DA377" s="35">
        <v>0.68</v>
      </c>
      <c r="DB377" s="36">
        <v>96</v>
      </c>
      <c r="DC377" s="37">
        <v>507.04</v>
      </c>
      <c r="DD377" s="36">
        <v>100</v>
      </c>
      <c r="DE377" s="37">
        <v>-62.89</v>
      </c>
      <c r="DF377" s="35">
        <v>-11.04</v>
      </c>
      <c r="DG377" s="37">
        <v>1491.66</v>
      </c>
      <c r="DH377" s="36">
        <v>100</v>
      </c>
      <c r="DI377" s="37">
        <v>4.8499999999999996</v>
      </c>
      <c r="DJ377" s="36">
        <v>77</v>
      </c>
      <c r="DK377" s="37">
        <v>2973.32</v>
      </c>
      <c r="DL377" s="36">
        <v>100</v>
      </c>
      <c r="DM377" s="37">
        <v>10</v>
      </c>
      <c r="DN377" s="36">
        <v>89</v>
      </c>
      <c r="DO377" s="37">
        <v>0.64</v>
      </c>
      <c r="DP377" s="36">
        <v>42</v>
      </c>
      <c r="DQ377" s="36">
        <v>1016027</v>
      </c>
      <c r="DR377" s="38">
        <v>11463</v>
      </c>
      <c r="DS377" s="35">
        <v>1.1399999999999999</v>
      </c>
      <c r="DT377" s="36">
        <v>289</v>
      </c>
      <c r="DU377" s="38">
        <v>0</v>
      </c>
      <c r="DV377" s="35">
        <v>0</v>
      </c>
      <c r="DW377" s="36">
        <v>228</v>
      </c>
      <c r="DX377" s="39">
        <v>0</v>
      </c>
      <c r="DY377" s="35">
        <v>0</v>
      </c>
      <c r="DZ377" s="28" t="s">
        <v>178</v>
      </c>
      <c r="EA377" s="34">
        <v>43367</v>
      </c>
      <c r="EB377" s="29">
        <v>81.77</v>
      </c>
      <c r="EC377" s="34">
        <v>42221</v>
      </c>
      <c r="ED377" s="28" t="s">
        <v>205</v>
      </c>
      <c r="EE377" s="40" t="str">
        <f>HYPERLINK("https://my.pitchbook.com?c=103637-80", "View company online")</f>
        <v>View company online</v>
      </c>
    </row>
    <row r="378" spans="1:135">
      <c r="A378" s="15" t="s">
        <v>7964</v>
      </c>
      <c r="B378" s="15" t="s">
        <v>7965</v>
      </c>
      <c r="C378" s="15" t="s">
        <v>138</v>
      </c>
      <c r="D378" s="15" t="s">
        <v>138</v>
      </c>
      <c r="E378" s="15" t="s">
        <v>7966</v>
      </c>
      <c r="F378" s="15" t="s">
        <v>7964</v>
      </c>
      <c r="G378" s="15" t="s">
        <v>7967</v>
      </c>
      <c r="H378" s="15" t="s">
        <v>322</v>
      </c>
      <c r="I378" s="15" t="s">
        <v>323</v>
      </c>
      <c r="J378" s="15" t="s">
        <v>324</v>
      </c>
      <c r="K378" s="15" t="s">
        <v>1543</v>
      </c>
      <c r="L378" s="15" t="s">
        <v>7968</v>
      </c>
      <c r="M378" s="15" t="s">
        <v>7969</v>
      </c>
      <c r="N378" s="15" t="s">
        <v>147</v>
      </c>
      <c r="O378" s="17">
        <v>11.3</v>
      </c>
      <c r="P378" s="15" t="s">
        <v>148</v>
      </c>
      <c r="Q378" s="15" t="s">
        <v>149</v>
      </c>
      <c r="R378" s="15" t="s">
        <v>174</v>
      </c>
      <c r="S378" s="15" t="s">
        <v>7970</v>
      </c>
      <c r="T378" s="18" t="s">
        <v>138</v>
      </c>
      <c r="U378" s="15" t="s">
        <v>138</v>
      </c>
      <c r="V378" s="15" t="s">
        <v>138</v>
      </c>
      <c r="W378" s="15" t="s">
        <v>138</v>
      </c>
      <c r="X378" s="19">
        <v>2016</v>
      </c>
      <c r="Y378" s="15" t="s">
        <v>138</v>
      </c>
      <c r="Z378" s="15" t="s">
        <v>138</v>
      </c>
      <c r="AA378" s="15" t="s">
        <v>138</v>
      </c>
      <c r="AB378" s="20" t="s">
        <v>138</v>
      </c>
      <c r="AC378" s="20" t="s">
        <v>138</v>
      </c>
      <c r="AD378" s="20" t="s">
        <v>138</v>
      </c>
      <c r="AE378" s="20" t="s">
        <v>138</v>
      </c>
      <c r="AF378" s="20" t="s">
        <v>138</v>
      </c>
      <c r="AG378" s="15" t="s">
        <v>138</v>
      </c>
      <c r="AH378" s="20" t="s">
        <v>138</v>
      </c>
      <c r="AI378" s="20" t="s">
        <v>138</v>
      </c>
      <c r="AJ378" s="20" t="s">
        <v>138</v>
      </c>
      <c r="AK378" s="15" t="s">
        <v>7971</v>
      </c>
      <c r="AL378" s="15" t="s">
        <v>7972</v>
      </c>
      <c r="AM378" s="15" t="s">
        <v>304</v>
      </c>
      <c r="AN378" s="15" t="s">
        <v>7973</v>
      </c>
      <c r="AO378" s="15" t="s">
        <v>138</v>
      </c>
      <c r="AP378" s="15" t="s">
        <v>5697</v>
      </c>
      <c r="AQ378" s="15" t="s">
        <v>7974</v>
      </c>
      <c r="AR378" s="15" t="s">
        <v>138</v>
      </c>
      <c r="AS378" s="15" t="s">
        <v>5700</v>
      </c>
      <c r="AT378" s="15" t="s">
        <v>138</v>
      </c>
      <c r="AU378" s="15" t="s">
        <v>7975</v>
      </c>
      <c r="AV378" s="15" t="s">
        <v>740</v>
      </c>
      <c r="AW378" s="15" t="s">
        <v>138</v>
      </c>
      <c r="AX378" s="15" t="s">
        <v>138</v>
      </c>
      <c r="AY378" s="15" t="s">
        <v>7976</v>
      </c>
      <c r="AZ378" s="15" t="s">
        <v>742</v>
      </c>
      <c r="BA378" s="15" t="s">
        <v>742</v>
      </c>
      <c r="BB378" s="15" t="s">
        <v>7977</v>
      </c>
      <c r="BC378" s="15" t="s">
        <v>7978</v>
      </c>
      <c r="BD378" s="21">
        <v>5</v>
      </c>
      <c r="BE378" s="15" t="s">
        <v>138</v>
      </c>
      <c r="BF378" s="15" t="s">
        <v>138</v>
      </c>
      <c r="BG378" s="15" t="s">
        <v>138</v>
      </c>
      <c r="BH378" s="15" t="s">
        <v>7979</v>
      </c>
      <c r="BI378" s="15" t="s">
        <v>138</v>
      </c>
      <c r="BJ378" s="15" t="s">
        <v>138</v>
      </c>
      <c r="BK378" s="15" t="s">
        <v>138</v>
      </c>
      <c r="BL378" s="15" t="s">
        <v>138</v>
      </c>
      <c r="BM378" s="22" t="s">
        <v>138</v>
      </c>
      <c r="BN378" s="17" t="s">
        <v>138</v>
      </c>
      <c r="BO378" s="15" t="s">
        <v>138</v>
      </c>
      <c r="BP378" s="17" t="s">
        <v>138</v>
      </c>
      <c r="BQ378" s="15" t="s">
        <v>138</v>
      </c>
      <c r="BR378" s="15" t="s">
        <v>316</v>
      </c>
      <c r="BS378" s="15" t="s">
        <v>138</v>
      </c>
      <c r="BT378" s="15" t="s">
        <v>138</v>
      </c>
      <c r="BU378" s="15" t="s">
        <v>177</v>
      </c>
      <c r="BV378" s="15" t="s">
        <v>138</v>
      </c>
      <c r="BW378" s="15" t="s">
        <v>138</v>
      </c>
      <c r="BX378" s="15" t="s">
        <v>138</v>
      </c>
      <c r="BY378" s="15" t="s">
        <v>175</v>
      </c>
      <c r="BZ378" s="22">
        <v>43489</v>
      </c>
      <c r="CA378" s="17">
        <v>11.3</v>
      </c>
      <c r="CB378" s="15" t="s">
        <v>172</v>
      </c>
      <c r="CC378" s="17" t="s">
        <v>138</v>
      </c>
      <c r="CD378" s="15" t="s">
        <v>138</v>
      </c>
      <c r="CE378" s="15" t="s">
        <v>205</v>
      </c>
      <c r="CF378" s="15" t="s">
        <v>206</v>
      </c>
      <c r="CG378" s="15" t="s">
        <v>138</v>
      </c>
      <c r="CH378" s="15" t="s">
        <v>174</v>
      </c>
      <c r="CI378" s="15" t="s">
        <v>138</v>
      </c>
      <c r="CJ378" s="15" t="s">
        <v>138</v>
      </c>
      <c r="CK378" s="15" t="s">
        <v>138</v>
      </c>
      <c r="CL378" s="15" t="s">
        <v>175</v>
      </c>
      <c r="CM378" s="22" t="s">
        <v>138</v>
      </c>
      <c r="CN378" s="17" t="s">
        <v>138</v>
      </c>
      <c r="CO378" s="23">
        <v>0.21</v>
      </c>
      <c r="CP378" s="24">
        <v>92</v>
      </c>
      <c r="CQ378" s="23">
        <v>-0.03</v>
      </c>
      <c r="CR378" s="23">
        <v>-13.15</v>
      </c>
      <c r="CS378" s="23">
        <v>-0.83</v>
      </c>
      <c r="CT378" s="24">
        <v>16</v>
      </c>
      <c r="CU378" s="23">
        <v>1.26</v>
      </c>
      <c r="CV378" s="24">
        <v>99</v>
      </c>
      <c r="CW378" s="23">
        <v>1.34</v>
      </c>
      <c r="CX378" s="24">
        <v>86</v>
      </c>
      <c r="CY378" s="23">
        <v>-3.01</v>
      </c>
      <c r="CZ378" s="24">
        <v>7</v>
      </c>
      <c r="DA378" s="23">
        <v>1.49</v>
      </c>
      <c r="DB378" s="24">
        <v>99</v>
      </c>
      <c r="DC378" s="25">
        <v>231.09</v>
      </c>
      <c r="DD378" s="24">
        <v>100</v>
      </c>
      <c r="DE378" s="25">
        <v>-27.21</v>
      </c>
      <c r="DF378" s="23">
        <v>-10.53</v>
      </c>
      <c r="DG378" s="25">
        <v>440.55</v>
      </c>
      <c r="DH378" s="24">
        <v>100</v>
      </c>
      <c r="DI378" s="25">
        <v>21.62</v>
      </c>
      <c r="DJ378" s="24">
        <v>91</v>
      </c>
      <c r="DK378" s="25">
        <v>877.55</v>
      </c>
      <c r="DL378" s="24">
        <v>100</v>
      </c>
      <c r="DM378" s="25">
        <v>3.55</v>
      </c>
      <c r="DN378" s="24">
        <v>76</v>
      </c>
      <c r="DO378" s="25">
        <v>41.32</v>
      </c>
      <c r="DP378" s="24">
        <v>96</v>
      </c>
      <c r="DQ378" s="24">
        <v>300876</v>
      </c>
      <c r="DR378" s="26">
        <v>370</v>
      </c>
      <c r="DS378" s="23">
        <v>0.12</v>
      </c>
      <c r="DT378" s="24">
        <v>103</v>
      </c>
      <c r="DU378" s="26">
        <v>-2</v>
      </c>
      <c r="DV378" s="23">
        <v>-1.9</v>
      </c>
      <c r="DW378" s="24">
        <v>13831</v>
      </c>
      <c r="DX378" s="27">
        <v>423</v>
      </c>
      <c r="DY378" s="23">
        <v>3.15</v>
      </c>
      <c r="DZ378" s="15" t="s">
        <v>178</v>
      </c>
      <c r="EA378" s="22">
        <v>43490</v>
      </c>
      <c r="EB378" s="17" t="s">
        <v>138</v>
      </c>
      <c r="EC378" s="22" t="s">
        <v>138</v>
      </c>
      <c r="ED378" s="15" t="s">
        <v>138</v>
      </c>
      <c r="EE378" s="14" t="str">
        <f>HYPERLINK("https://my.pitchbook.com?c=179912-35", "View company online")</f>
        <v>View company online</v>
      </c>
    </row>
    <row r="379" spans="1:135">
      <c r="A379" s="28" t="s">
        <v>7980</v>
      </c>
      <c r="B379" s="28" t="s">
        <v>7981</v>
      </c>
      <c r="C379" s="28" t="s">
        <v>138</v>
      </c>
      <c r="D379" s="28" t="s">
        <v>138</v>
      </c>
      <c r="E379" s="28" t="s">
        <v>7982</v>
      </c>
      <c r="F379" s="28" t="s">
        <v>7980</v>
      </c>
      <c r="G379" s="28" t="s">
        <v>7983</v>
      </c>
      <c r="H379" s="28" t="s">
        <v>322</v>
      </c>
      <c r="I379" s="28" t="s">
        <v>323</v>
      </c>
      <c r="J379" s="28" t="s">
        <v>461</v>
      </c>
      <c r="K379" s="28" t="s">
        <v>7984</v>
      </c>
      <c r="L379" s="28" t="s">
        <v>215</v>
      </c>
      <c r="M379" s="28" t="s">
        <v>7985</v>
      </c>
      <c r="N379" s="28" t="s">
        <v>147</v>
      </c>
      <c r="O379" s="29">
        <v>112</v>
      </c>
      <c r="P379" s="28" t="s">
        <v>148</v>
      </c>
      <c r="Q379" s="28" t="s">
        <v>149</v>
      </c>
      <c r="R379" s="28" t="s">
        <v>174</v>
      </c>
      <c r="S379" s="28" t="s">
        <v>7986</v>
      </c>
      <c r="T379" s="30">
        <v>100</v>
      </c>
      <c r="U379" s="28" t="s">
        <v>7987</v>
      </c>
      <c r="V379" s="28" t="s">
        <v>138</v>
      </c>
      <c r="W379" s="28" t="s">
        <v>138</v>
      </c>
      <c r="X379" s="31">
        <v>2013</v>
      </c>
      <c r="Y379" s="28" t="s">
        <v>138</v>
      </c>
      <c r="Z379" s="28" t="s">
        <v>138</v>
      </c>
      <c r="AA379" s="28" t="s">
        <v>138</v>
      </c>
      <c r="AB379" s="32" t="s">
        <v>138</v>
      </c>
      <c r="AC379" s="32" t="s">
        <v>138</v>
      </c>
      <c r="AD379" s="32" t="s">
        <v>138</v>
      </c>
      <c r="AE379" s="32" t="s">
        <v>138</v>
      </c>
      <c r="AF379" s="32" t="s">
        <v>138</v>
      </c>
      <c r="AG379" s="28" t="s">
        <v>138</v>
      </c>
      <c r="AH379" s="32" t="s">
        <v>138</v>
      </c>
      <c r="AI379" s="32" t="s">
        <v>138</v>
      </c>
      <c r="AJ379" s="32" t="s">
        <v>138</v>
      </c>
      <c r="AK379" s="28" t="s">
        <v>7988</v>
      </c>
      <c r="AL379" s="28" t="s">
        <v>7989</v>
      </c>
      <c r="AM379" s="28" t="s">
        <v>304</v>
      </c>
      <c r="AN379" s="28" t="s">
        <v>7990</v>
      </c>
      <c r="AO379" s="28" t="s">
        <v>7991</v>
      </c>
      <c r="AP379" s="28" t="s">
        <v>7992</v>
      </c>
      <c r="AQ379" s="28" t="s">
        <v>7993</v>
      </c>
      <c r="AR379" s="28" t="s">
        <v>138</v>
      </c>
      <c r="AS379" s="28" t="s">
        <v>7994</v>
      </c>
      <c r="AT379" s="28" t="s">
        <v>138</v>
      </c>
      <c r="AU379" s="28" t="s">
        <v>7995</v>
      </c>
      <c r="AV379" s="28" t="s">
        <v>740</v>
      </c>
      <c r="AW379" s="28" t="s">
        <v>7991</v>
      </c>
      <c r="AX379" s="28" t="s">
        <v>138</v>
      </c>
      <c r="AY379" s="28" t="s">
        <v>7996</v>
      </c>
      <c r="AZ379" s="28" t="s">
        <v>742</v>
      </c>
      <c r="BA379" s="28" t="s">
        <v>742</v>
      </c>
      <c r="BB379" s="28" t="s">
        <v>7997</v>
      </c>
      <c r="BC379" s="28" t="s">
        <v>7998</v>
      </c>
      <c r="BD379" s="33">
        <v>8</v>
      </c>
      <c r="BE379" s="28" t="s">
        <v>138</v>
      </c>
      <c r="BF379" s="28" t="s">
        <v>138</v>
      </c>
      <c r="BG379" s="28" t="s">
        <v>138</v>
      </c>
      <c r="BH379" s="28" t="s">
        <v>7999</v>
      </c>
      <c r="BI379" s="28" t="s">
        <v>138</v>
      </c>
      <c r="BJ379" s="28" t="s">
        <v>138</v>
      </c>
      <c r="BK379" s="28" t="s">
        <v>138</v>
      </c>
      <c r="BL379" s="28" t="s">
        <v>138</v>
      </c>
      <c r="BM379" s="34">
        <v>41575</v>
      </c>
      <c r="BN379" s="29">
        <v>10</v>
      </c>
      <c r="BO379" s="28" t="s">
        <v>172</v>
      </c>
      <c r="BP379" s="29" t="s">
        <v>138</v>
      </c>
      <c r="BQ379" s="28" t="s">
        <v>138</v>
      </c>
      <c r="BR379" s="28" t="s">
        <v>205</v>
      </c>
      <c r="BS379" s="28" t="s">
        <v>206</v>
      </c>
      <c r="BT379" s="28" t="s">
        <v>138</v>
      </c>
      <c r="BU379" s="28" t="s">
        <v>174</v>
      </c>
      <c r="BV379" s="28" t="s">
        <v>138</v>
      </c>
      <c r="BW379" s="28" t="s">
        <v>138</v>
      </c>
      <c r="BX379" s="28" t="s">
        <v>138</v>
      </c>
      <c r="BY379" s="28" t="s">
        <v>175</v>
      </c>
      <c r="BZ379" s="34">
        <v>42370</v>
      </c>
      <c r="CA379" s="29">
        <v>70</v>
      </c>
      <c r="CB379" s="28" t="s">
        <v>172</v>
      </c>
      <c r="CC379" s="29" t="s">
        <v>138</v>
      </c>
      <c r="CD379" s="28" t="s">
        <v>138</v>
      </c>
      <c r="CE379" s="28" t="s">
        <v>173</v>
      </c>
      <c r="CF379" s="28" t="s">
        <v>317</v>
      </c>
      <c r="CG379" s="28" t="s">
        <v>138</v>
      </c>
      <c r="CH379" s="28" t="s">
        <v>174</v>
      </c>
      <c r="CI379" s="28" t="s">
        <v>138</v>
      </c>
      <c r="CJ379" s="28" t="s">
        <v>138</v>
      </c>
      <c r="CK379" s="28" t="s">
        <v>138</v>
      </c>
      <c r="CL379" s="28" t="s">
        <v>175</v>
      </c>
      <c r="CM379" s="34" t="s">
        <v>138</v>
      </c>
      <c r="CN379" s="29" t="s">
        <v>138</v>
      </c>
      <c r="CO379" s="35">
        <v>0.37</v>
      </c>
      <c r="CP379" s="36">
        <v>94</v>
      </c>
      <c r="CQ379" s="35">
        <v>-0.01</v>
      </c>
      <c r="CR379" s="35">
        <v>-1.93</v>
      </c>
      <c r="CS379" s="35">
        <v>0.73</v>
      </c>
      <c r="CT379" s="36">
        <v>96</v>
      </c>
      <c r="CU379" s="35">
        <v>0.01</v>
      </c>
      <c r="CV379" s="36">
        <v>49</v>
      </c>
      <c r="CW379" s="35">
        <v>2.8</v>
      </c>
      <c r="CX379" s="36">
        <v>91</v>
      </c>
      <c r="CY379" s="35">
        <v>-1.33</v>
      </c>
      <c r="CZ379" s="36">
        <v>16</v>
      </c>
      <c r="DA379" s="35">
        <v>0.01</v>
      </c>
      <c r="DB379" s="36">
        <v>57</v>
      </c>
      <c r="DC379" s="37">
        <v>27.23</v>
      </c>
      <c r="DD379" s="36">
        <v>96</v>
      </c>
      <c r="DE379" s="37">
        <v>-1.62</v>
      </c>
      <c r="DF379" s="35">
        <v>-5.62</v>
      </c>
      <c r="DG379" s="37">
        <v>41.91</v>
      </c>
      <c r="DH379" s="36">
        <v>98</v>
      </c>
      <c r="DI379" s="37">
        <v>12.54</v>
      </c>
      <c r="DJ379" s="36">
        <v>87</v>
      </c>
      <c r="DK379" s="37">
        <v>50.93</v>
      </c>
      <c r="DL379" s="36">
        <v>96</v>
      </c>
      <c r="DM379" s="37">
        <v>32.9</v>
      </c>
      <c r="DN379" s="36">
        <v>97</v>
      </c>
      <c r="DO379" s="37">
        <v>12.54</v>
      </c>
      <c r="DP379" s="36">
        <v>89</v>
      </c>
      <c r="DQ379" s="36">
        <v>17116</v>
      </c>
      <c r="DR379" s="38">
        <v>1058</v>
      </c>
      <c r="DS379" s="35">
        <v>6.59</v>
      </c>
      <c r="DT379" s="36">
        <v>955</v>
      </c>
      <c r="DU379" s="38">
        <v>1</v>
      </c>
      <c r="DV379" s="35">
        <v>0.1</v>
      </c>
      <c r="DW379" s="36">
        <v>4488</v>
      </c>
      <c r="DX379" s="39">
        <v>4</v>
      </c>
      <c r="DY379" s="35">
        <v>0.09</v>
      </c>
      <c r="DZ379" s="28" t="s">
        <v>178</v>
      </c>
      <c r="EA379" s="34">
        <v>43557</v>
      </c>
      <c r="EB379" s="29" t="s">
        <v>138</v>
      </c>
      <c r="EC379" s="34" t="s">
        <v>138</v>
      </c>
      <c r="ED379" s="28" t="s">
        <v>138</v>
      </c>
      <c r="EE379" s="40" t="str">
        <f>HYPERLINK("https://my.pitchbook.com?c=60085-54", "View company online")</f>
        <v>View company online</v>
      </c>
    </row>
    <row r="380" spans="1:135">
      <c r="A380" s="15" t="s">
        <v>8000</v>
      </c>
      <c r="B380" s="15" t="s">
        <v>8001</v>
      </c>
      <c r="C380" s="15" t="s">
        <v>8002</v>
      </c>
      <c r="D380" s="15" t="s">
        <v>138</v>
      </c>
      <c r="E380" s="15" t="s">
        <v>8003</v>
      </c>
      <c r="F380" s="15" t="s">
        <v>8000</v>
      </c>
      <c r="G380" s="15" t="s">
        <v>8004</v>
      </c>
      <c r="H380" s="15" t="s">
        <v>322</v>
      </c>
      <c r="I380" s="15" t="s">
        <v>323</v>
      </c>
      <c r="J380" s="15" t="s">
        <v>437</v>
      </c>
      <c r="K380" s="15" t="s">
        <v>2406</v>
      </c>
      <c r="L380" s="15" t="s">
        <v>4616</v>
      </c>
      <c r="M380" s="15" t="s">
        <v>8005</v>
      </c>
      <c r="N380" s="15" t="s">
        <v>147</v>
      </c>
      <c r="O380" s="17">
        <v>4.05</v>
      </c>
      <c r="P380" s="15" t="s">
        <v>148</v>
      </c>
      <c r="Q380" s="15" t="s">
        <v>149</v>
      </c>
      <c r="R380" s="15" t="s">
        <v>174</v>
      </c>
      <c r="S380" s="15" t="s">
        <v>8006</v>
      </c>
      <c r="T380" s="18">
        <v>10</v>
      </c>
      <c r="U380" s="15" t="s">
        <v>8007</v>
      </c>
      <c r="V380" s="15" t="s">
        <v>138</v>
      </c>
      <c r="W380" s="15" t="s">
        <v>138</v>
      </c>
      <c r="X380" s="19">
        <v>2015</v>
      </c>
      <c r="Y380" s="15" t="s">
        <v>138</v>
      </c>
      <c r="Z380" s="15" t="s">
        <v>138</v>
      </c>
      <c r="AA380" s="15" t="s">
        <v>138</v>
      </c>
      <c r="AB380" s="20" t="s">
        <v>138</v>
      </c>
      <c r="AC380" s="20" t="s">
        <v>138</v>
      </c>
      <c r="AD380" s="20" t="s">
        <v>138</v>
      </c>
      <c r="AE380" s="20" t="s">
        <v>138</v>
      </c>
      <c r="AF380" s="20" t="s">
        <v>138</v>
      </c>
      <c r="AG380" s="15" t="s">
        <v>138</v>
      </c>
      <c r="AH380" s="20" t="s">
        <v>138</v>
      </c>
      <c r="AI380" s="20" t="s">
        <v>138</v>
      </c>
      <c r="AJ380" s="20" t="s">
        <v>138</v>
      </c>
      <c r="AK380" s="15" t="s">
        <v>8008</v>
      </c>
      <c r="AL380" s="15" t="s">
        <v>8009</v>
      </c>
      <c r="AM380" s="15" t="s">
        <v>986</v>
      </c>
      <c r="AN380" s="15" t="s">
        <v>8010</v>
      </c>
      <c r="AO380" s="15" t="s">
        <v>8011</v>
      </c>
      <c r="AP380" s="15" t="s">
        <v>639</v>
      </c>
      <c r="AQ380" s="15" t="s">
        <v>8012</v>
      </c>
      <c r="AR380" s="15" t="s">
        <v>309</v>
      </c>
      <c r="AS380" s="15" t="s">
        <v>642</v>
      </c>
      <c r="AT380" s="15" t="s">
        <v>474</v>
      </c>
      <c r="AU380" s="15" t="s">
        <v>8013</v>
      </c>
      <c r="AV380" s="15" t="s">
        <v>162</v>
      </c>
      <c r="AW380" s="15" t="s">
        <v>8011</v>
      </c>
      <c r="AX380" s="15" t="s">
        <v>138</v>
      </c>
      <c r="AY380" s="15" t="s">
        <v>138</v>
      </c>
      <c r="AZ380" s="15" t="s">
        <v>164</v>
      </c>
      <c r="BA380" s="15" t="s">
        <v>165</v>
      </c>
      <c r="BB380" s="15" t="s">
        <v>8014</v>
      </c>
      <c r="BC380" s="15" t="s">
        <v>8015</v>
      </c>
      <c r="BD380" s="21">
        <v>6</v>
      </c>
      <c r="BE380" s="15" t="s">
        <v>138</v>
      </c>
      <c r="BF380" s="15" t="s">
        <v>138</v>
      </c>
      <c r="BG380" s="15" t="s">
        <v>138</v>
      </c>
      <c r="BH380" s="15" t="s">
        <v>8016</v>
      </c>
      <c r="BI380" s="15" t="s">
        <v>138</v>
      </c>
      <c r="BJ380" s="15" t="s">
        <v>138</v>
      </c>
      <c r="BK380" s="15" t="s">
        <v>138</v>
      </c>
      <c r="BL380" s="15" t="s">
        <v>138</v>
      </c>
      <c r="BM380" s="22">
        <v>42370</v>
      </c>
      <c r="BN380" s="17" t="s">
        <v>138</v>
      </c>
      <c r="BO380" s="15" t="s">
        <v>138</v>
      </c>
      <c r="BP380" s="17" t="s">
        <v>138</v>
      </c>
      <c r="BQ380" s="15" t="s">
        <v>138</v>
      </c>
      <c r="BR380" s="15" t="s">
        <v>316</v>
      </c>
      <c r="BS380" s="15" t="s">
        <v>138</v>
      </c>
      <c r="BT380" s="15" t="s">
        <v>138</v>
      </c>
      <c r="BU380" s="15" t="s">
        <v>177</v>
      </c>
      <c r="BV380" s="15" t="s">
        <v>138</v>
      </c>
      <c r="BW380" s="15" t="s">
        <v>138</v>
      </c>
      <c r="BX380" s="15" t="s">
        <v>138</v>
      </c>
      <c r="BY380" s="15" t="s">
        <v>175</v>
      </c>
      <c r="BZ380" s="22">
        <v>43537</v>
      </c>
      <c r="CA380" s="17">
        <v>1.75</v>
      </c>
      <c r="CB380" s="15" t="s">
        <v>172</v>
      </c>
      <c r="CC380" s="17">
        <v>8.75</v>
      </c>
      <c r="CD380" s="15" t="s">
        <v>172</v>
      </c>
      <c r="CE380" s="15" t="s">
        <v>205</v>
      </c>
      <c r="CF380" s="15" t="s">
        <v>138</v>
      </c>
      <c r="CG380" s="15" t="s">
        <v>138</v>
      </c>
      <c r="CH380" s="15" t="s">
        <v>174</v>
      </c>
      <c r="CI380" s="15" t="s">
        <v>138</v>
      </c>
      <c r="CJ380" s="15" t="s">
        <v>138</v>
      </c>
      <c r="CK380" s="15" t="s">
        <v>138</v>
      </c>
      <c r="CL380" s="15" t="s">
        <v>175</v>
      </c>
      <c r="CM380" s="22" t="s">
        <v>138</v>
      </c>
      <c r="CN380" s="17" t="s">
        <v>138</v>
      </c>
      <c r="CO380" s="23">
        <v>0.35</v>
      </c>
      <c r="CP380" s="24">
        <v>94</v>
      </c>
      <c r="CQ380" s="23">
        <v>0.03</v>
      </c>
      <c r="CR380" s="23">
        <v>8.93</v>
      </c>
      <c r="CS380" s="23">
        <v>0</v>
      </c>
      <c r="CT380" s="24">
        <v>23</v>
      </c>
      <c r="CU380" s="23">
        <v>0.7</v>
      </c>
      <c r="CV380" s="24">
        <v>96</v>
      </c>
      <c r="CW380" s="23">
        <v>0</v>
      </c>
      <c r="CX380" s="24">
        <v>13</v>
      </c>
      <c r="CY380" s="23">
        <v>0</v>
      </c>
      <c r="CZ380" s="24">
        <v>25</v>
      </c>
      <c r="DA380" s="23">
        <v>0.7</v>
      </c>
      <c r="DB380" s="24">
        <v>96</v>
      </c>
      <c r="DC380" s="25">
        <v>1.93</v>
      </c>
      <c r="DD380" s="24">
        <v>66</v>
      </c>
      <c r="DE380" s="25">
        <v>-0.02</v>
      </c>
      <c r="DF380" s="23">
        <v>-1.1100000000000001</v>
      </c>
      <c r="DG380" s="25">
        <v>0.87</v>
      </c>
      <c r="DH380" s="24">
        <v>48</v>
      </c>
      <c r="DI380" s="25">
        <v>2.99</v>
      </c>
      <c r="DJ380" s="24">
        <v>69</v>
      </c>
      <c r="DK380" s="25">
        <v>1.37</v>
      </c>
      <c r="DL380" s="24">
        <v>57</v>
      </c>
      <c r="DM380" s="25">
        <v>0.38</v>
      </c>
      <c r="DN380" s="24">
        <v>28</v>
      </c>
      <c r="DO380" s="25">
        <v>2.99</v>
      </c>
      <c r="DP380" s="24">
        <v>71</v>
      </c>
      <c r="DQ380" s="24">
        <v>468</v>
      </c>
      <c r="DR380" s="26">
        <v>12</v>
      </c>
      <c r="DS380" s="23">
        <v>2.63</v>
      </c>
      <c r="DT380" s="24">
        <v>11</v>
      </c>
      <c r="DU380" s="26">
        <v>0</v>
      </c>
      <c r="DV380" s="23">
        <v>0</v>
      </c>
      <c r="DW380" s="24">
        <v>1066</v>
      </c>
      <c r="DX380" s="27">
        <v>7</v>
      </c>
      <c r="DY380" s="23">
        <v>0.66</v>
      </c>
      <c r="DZ380" s="15" t="s">
        <v>178</v>
      </c>
      <c r="EA380" s="22">
        <v>43599</v>
      </c>
      <c r="EB380" s="17">
        <v>8.75</v>
      </c>
      <c r="EC380" s="22">
        <v>43537</v>
      </c>
      <c r="ED380" s="15" t="s">
        <v>205</v>
      </c>
      <c r="EE380" s="14" t="str">
        <f>HYPERLINK("https://my.pitchbook.com?c=265987-72", "View company online")</f>
        <v>View company online</v>
      </c>
    </row>
    <row r="381" spans="1:135">
      <c r="A381" s="28" t="s">
        <v>8017</v>
      </c>
      <c r="B381" s="28" t="s">
        <v>8018</v>
      </c>
      <c r="C381" s="28" t="s">
        <v>138</v>
      </c>
      <c r="D381" s="28" t="s">
        <v>138</v>
      </c>
      <c r="E381" s="28" t="s">
        <v>138</v>
      </c>
      <c r="F381" s="28" t="s">
        <v>8017</v>
      </c>
      <c r="G381" s="28" t="s">
        <v>8019</v>
      </c>
      <c r="H381" s="28" t="s">
        <v>322</v>
      </c>
      <c r="I381" s="28" t="s">
        <v>323</v>
      </c>
      <c r="J381" s="28" t="s">
        <v>954</v>
      </c>
      <c r="K381" s="28" t="s">
        <v>1562</v>
      </c>
      <c r="L381" s="28" t="s">
        <v>415</v>
      </c>
      <c r="M381" s="28" t="s">
        <v>8020</v>
      </c>
      <c r="N381" s="28" t="s">
        <v>147</v>
      </c>
      <c r="O381" s="29">
        <v>3.35</v>
      </c>
      <c r="P381" s="28" t="s">
        <v>148</v>
      </c>
      <c r="Q381" s="28" t="s">
        <v>149</v>
      </c>
      <c r="R381" s="28" t="s">
        <v>244</v>
      </c>
      <c r="S381" s="28" t="s">
        <v>8021</v>
      </c>
      <c r="T381" s="30">
        <v>18</v>
      </c>
      <c r="U381" s="28" t="s">
        <v>8022</v>
      </c>
      <c r="V381" s="28" t="s">
        <v>138</v>
      </c>
      <c r="W381" s="28" t="s">
        <v>138</v>
      </c>
      <c r="X381" s="31">
        <v>2009</v>
      </c>
      <c r="Y381" s="28" t="s">
        <v>138</v>
      </c>
      <c r="Z381" s="28" t="s">
        <v>138</v>
      </c>
      <c r="AA381" s="28" t="s">
        <v>138</v>
      </c>
      <c r="AB381" s="32" t="s">
        <v>138</v>
      </c>
      <c r="AC381" s="32" t="s">
        <v>138</v>
      </c>
      <c r="AD381" s="32" t="s">
        <v>138</v>
      </c>
      <c r="AE381" s="32" t="s">
        <v>138</v>
      </c>
      <c r="AF381" s="32" t="s">
        <v>138</v>
      </c>
      <c r="AG381" s="28" t="s">
        <v>138</v>
      </c>
      <c r="AH381" s="32" t="s">
        <v>138</v>
      </c>
      <c r="AI381" s="32" t="s">
        <v>138</v>
      </c>
      <c r="AJ381" s="32" t="s">
        <v>138</v>
      </c>
      <c r="AK381" s="28" t="s">
        <v>8023</v>
      </c>
      <c r="AL381" s="28" t="s">
        <v>8024</v>
      </c>
      <c r="AM381" s="28" t="s">
        <v>304</v>
      </c>
      <c r="AN381" s="28" t="s">
        <v>8025</v>
      </c>
      <c r="AO381" s="28" t="s">
        <v>138</v>
      </c>
      <c r="AP381" s="28" t="s">
        <v>3905</v>
      </c>
      <c r="AQ381" s="28" t="s">
        <v>8026</v>
      </c>
      <c r="AR381" s="28" t="s">
        <v>8027</v>
      </c>
      <c r="AS381" s="28" t="s">
        <v>3907</v>
      </c>
      <c r="AT381" s="28" t="s">
        <v>2740</v>
      </c>
      <c r="AU381" s="28" t="s">
        <v>8028</v>
      </c>
      <c r="AV381" s="28" t="s">
        <v>2742</v>
      </c>
      <c r="AW381" s="28" t="s">
        <v>138</v>
      </c>
      <c r="AX381" s="28" t="s">
        <v>138</v>
      </c>
      <c r="AY381" s="28" t="s">
        <v>8029</v>
      </c>
      <c r="AZ381" s="28" t="s">
        <v>164</v>
      </c>
      <c r="BA381" s="28" t="s">
        <v>165</v>
      </c>
      <c r="BB381" s="28" t="s">
        <v>8030</v>
      </c>
      <c r="BC381" s="28" t="s">
        <v>8031</v>
      </c>
      <c r="BD381" s="33">
        <v>11</v>
      </c>
      <c r="BE381" s="28" t="s">
        <v>138</v>
      </c>
      <c r="BF381" s="28" t="s">
        <v>138</v>
      </c>
      <c r="BG381" s="28" t="s">
        <v>138</v>
      </c>
      <c r="BH381" s="28" t="s">
        <v>8032</v>
      </c>
      <c r="BI381" s="28" t="s">
        <v>138</v>
      </c>
      <c r="BJ381" s="28" t="s">
        <v>138</v>
      </c>
      <c r="BK381" s="28" t="s">
        <v>138</v>
      </c>
      <c r="BL381" s="28" t="s">
        <v>8033</v>
      </c>
      <c r="BM381" s="34">
        <v>40969</v>
      </c>
      <c r="BN381" s="29">
        <v>0.85</v>
      </c>
      <c r="BO381" s="28" t="s">
        <v>172</v>
      </c>
      <c r="BP381" s="29" t="s">
        <v>138</v>
      </c>
      <c r="BQ381" s="28" t="s">
        <v>138</v>
      </c>
      <c r="BR381" s="28" t="s">
        <v>234</v>
      </c>
      <c r="BS381" s="28" t="s">
        <v>234</v>
      </c>
      <c r="BT381" s="28" t="s">
        <v>138</v>
      </c>
      <c r="BU381" s="28" t="s">
        <v>174</v>
      </c>
      <c r="BV381" s="28" t="s">
        <v>138</v>
      </c>
      <c r="BW381" s="28" t="s">
        <v>138</v>
      </c>
      <c r="BX381" s="28" t="s">
        <v>138</v>
      </c>
      <c r="BY381" s="28" t="s">
        <v>175</v>
      </c>
      <c r="BZ381" s="34">
        <v>42668</v>
      </c>
      <c r="CA381" s="29" t="s">
        <v>138</v>
      </c>
      <c r="CB381" s="28" t="s">
        <v>138</v>
      </c>
      <c r="CC381" s="29" t="s">
        <v>138</v>
      </c>
      <c r="CD381" s="28" t="s">
        <v>138</v>
      </c>
      <c r="CE381" s="28" t="s">
        <v>1326</v>
      </c>
      <c r="CF381" s="28" t="s">
        <v>138</v>
      </c>
      <c r="CG381" s="28" t="s">
        <v>138</v>
      </c>
      <c r="CH381" s="28" t="s">
        <v>1327</v>
      </c>
      <c r="CI381" s="28" t="s">
        <v>2528</v>
      </c>
      <c r="CJ381" s="28" t="s">
        <v>138</v>
      </c>
      <c r="CK381" s="28" t="s">
        <v>138</v>
      </c>
      <c r="CL381" s="28" t="s">
        <v>175</v>
      </c>
      <c r="CM381" s="34">
        <v>42668</v>
      </c>
      <c r="CN381" s="29" t="s">
        <v>138</v>
      </c>
      <c r="CO381" s="35">
        <v>-0.67</v>
      </c>
      <c r="CP381" s="36">
        <v>14</v>
      </c>
      <c r="CQ381" s="35">
        <v>0</v>
      </c>
      <c r="CR381" s="35">
        <v>-0.69</v>
      </c>
      <c r="CS381" s="35">
        <v>-1.5</v>
      </c>
      <c r="CT381" s="36">
        <v>11</v>
      </c>
      <c r="CU381" s="35">
        <v>0.16</v>
      </c>
      <c r="CV381" s="36">
        <v>76</v>
      </c>
      <c r="CW381" s="35">
        <v>0.85</v>
      </c>
      <c r="CX381" s="36">
        <v>84</v>
      </c>
      <c r="CY381" s="35">
        <v>-3.85</v>
      </c>
      <c r="CZ381" s="36">
        <v>5</v>
      </c>
      <c r="DA381" s="35">
        <v>0.17</v>
      </c>
      <c r="DB381" s="36">
        <v>80</v>
      </c>
      <c r="DC381" s="37">
        <v>62.45</v>
      </c>
      <c r="DD381" s="36">
        <v>98</v>
      </c>
      <c r="DE381" s="37">
        <v>-5.9</v>
      </c>
      <c r="DF381" s="35">
        <v>-8.6300000000000008</v>
      </c>
      <c r="DG381" s="37">
        <v>110.11</v>
      </c>
      <c r="DH381" s="36">
        <v>99</v>
      </c>
      <c r="DI381" s="37">
        <v>14.79</v>
      </c>
      <c r="DJ381" s="36">
        <v>88</v>
      </c>
      <c r="DK381" s="37">
        <v>184.8</v>
      </c>
      <c r="DL381" s="36">
        <v>99</v>
      </c>
      <c r="DM381" s="37">
        <v>35.409999999999997</v>
      </c>
      <c r="DN381" s="36">
        <v>97</v>
      </c>
      <c r="DO381" s="37">
        <v>26.97</v>
      </c>
      <c r="DP381" s="36">
        <v>94</v>
      </c>
      <c r="DQ381" s="36">
        <v>62256</v>
      </c>
      <c r="DR381" s="38">
        <v>3390</v>
      </c>
      <c r="DS381" s="35">
        <v>5.76</v>
      </c>
      <c r="DT381" s="36">
        <v>1027</v>
      </c>
      <c r="DU381" s="38">
        <v>-2</v>
      </c>
      <c r="DV381" s="35">
        <v>-0.19</v>
      </c>
      <c r="DW381" s="36">
        <v>9649</v>
      </c>
      <c r="DX381" s="39">
        <v>20</v>
      </c>
      <c r="DY381" s="35">
        <v>0.21</v>
      </c>
      <c r="DZ381" s="28" t="s">
        <v>178</v>
      </c>
      <c r="EA381" s="34">
        <v>43355</v>
      </c>
      <c r="EB381" s="29" t="s">
        <v>138</v>
      </c>
      <c r="EC381" s="34" t="s">
        <v>138</v>
      </c>
      <c r="ED381" s="28" t="s">
        <v>138</v>
      </c>
      <c r="EE381" s="40" t="str">
        <f>HYPERLINK("https://my.pitchbook.com?c=58873-78", "View company online")</f>
        <v>View company online</v>
      </c>
    </row>
    <row r="382" spans="1:135">
      <c r="A382" s="15" t="s">
        <v>8034</v>
      </c>
      <c r="B382" s="15" t="s">
        <v>8035</v>
      </c>
      <c r="C382" s="15" t="s">
        <v>138</v>
      </c>
      <c r="D382" s="15" t="s">
        <v>138</v>
      </c>
      <c r="E382" s="15" t="s">
        <v>138</v>
      </c>
      <c r="F382" s="15" t="s">
        <v>8034</v>
      </c>
      <c r="G382" s="15" t="s">
        <v>8036</v>
      </c>
      <c r="H382" s="15" t="s">
        <v>322</v>
      </c>
      <c r="I382" s="15" t="s">
        <v>1503</v>
      </c>
      <c r="J382" s="15" t="s">
        <v>1836</v>
      </c>
      <c r="K382" s="15" t="s">
        <v>8037</v>
      </c>
      <c r="L382" s="15" t="s">
        <v>8038</v>
      </c>
      <c r="M382" s="15" t="s">
        <v>8039</v>
      </c>
      <c r="N382" s="15" t="s">
        <v>147</v>
      </c>
      <c r="O382" s="17">
        <v>158</v>
      </c>
      <c r="P382" s="15" t="s">
        <v>148</v>
      </c>
      <c r="Q382" s="15" t="s">
        <v>149</v>
      </c>
      <c r="R382" s="15" t="s">
        <v>174</v>
      </c>
      <c r="S382" s="15" t="s">
        <v>8040</v>
      </c>
      <c r="T382" s="18">
        <v>47</v>
      </c>
      <c r="U382" s="15" t="s">
        <v>8041</v>
      </c>
      <c r="V382" s="15" t="s">
        <v>138</v>
      </c>
      <c r="W382" s="15" t="s">
        <v>138</v>
      </c>
      <c r="X382" s="19">
        <v>2012</v>
      </c>
      <c r="Y382" s="15" t="s">
        <v>138</v>
      </c>
      <c r="Z382" s="15" t="s">
        <v>138</v>
      </c>
      <c r="AA382" s="15" t="s">
        <v>138</v>
      </c>
      <c r="AB382" s="20" t="s">
        <v>138</v>
      </c>
      <c r="AC382" s="20" t="s">
        <v>138</v>
      </c>
      <c r="AD382" s="20" t="s">
        <v>138</v>
      </c>
      <c r="AE382" s="20" t="s">
        <v>138</v>
      </c>
      <c r="AF382" s="20" t="s">
        <v>138</v>
      </c>
      <c r="AG382" s="15" t="s">
        <v>138</v>
      </c>
      <c r="AH382" s="20" t="s">
        <v>138</v>
      </c>
      <c r="AI382" s="20" t="s">
        <v>138</v>
      </c>
      <c r="AJ382" s="20" t="s">
        <v>138</v>
      </c>
      <c r="AK382" s="15" t="s">
        <v>8042</v>
      </c>
      <c r="AL382" s="15" t="s">
        <v>8043</v>
      </c>
      <c r="AM382" s="15" t="s">
        <v>304</v>
      </c>
      <c r="AN382" s="15" t="s">
        <v>8044</v>
      </c>
      <c r="AO382" s="15" t="s">
        <v>8045</v>
      </c>
      <c r="AP382" s="15" t="s">
        <v>6705</v>
      </c>
      <c r="AQ382" s="15" t="s">
        <v>8046</v>
      </c>
      <c r="AR382" s="15" t="s">
        <v>138</v>
      </c>
      <c r="AS382" s="15" t="s">
        <v>6707</v>
      </c>
      <c r="AT382" s="15" t="s">
        <v>138</v>
      </c>
      <c r="AU382" s="15" t="s">
        <v>8047</v>
      </c>
      <c r="AV382" s="15" t="s">
        <v>740</v>
      </c>
      <c r="AW382" s="15" t="s">
        <v>8045</v>
      </c>
      <c r="AX382" s="15" t="s">
        <v>8048</v>
      </c>
      <c r="AY382" s="15" t="s">
        <v>8049</v>
      </c>
      <c r="AZ382" s="15" t="s">
        <v>742</v>
      </c>
      <c r="BA382" s="15" t="s">
        <v>742</v>
      </c>
      <c r="BB382" s="15" t="s">
        <v>8050</v>
      </c>
      <c r="BC382" s="15" t="s">
        <v>8051</v>
      </c>
      <c r="BD382" s="21">
        <v>14</v>
      </c>
      <c r="BE382" s="15" t="s">
        <v>138</v>
      </c>
      <c r="BF382" s="15" t="s">
        <v>138</v>
      </c>
      <c r="BG382" s="15" t="s">
        <v>138</v>
      </c>
      <c r="BH382" s="15" t="s">
        <v>8052</v>
      </c>
      <c r="BI382" s="15" t="s">
        <v>138</v>
      </c>
      <c r="BJ382" s="15" t="s">
        <v>138</v>
      </c>
      <c r="BK382" s="15" t="s">
        <v>8053</v>
      </c>
      <c r="BL382" s="15" t="s">
        <v>138</v>
      </c>
      <c r="BM382" s="22">
        <v>41450</v>
      </c>
      <c r="BN382" s="17">
        <v>6.2</v>
      </c>
      <c r="BO382" s="15" t="s">
        <v>172</v>
      </c>
      <c r="BP382" s="17" t="s">
        <v>138</v>
      </c>
      <c r="BQ382" s="15" t="s">
        <v>138</v>
      </c>
      <c r="BR382" s="15" t="s">
        <v>205</v>
      </c>
      <c r="BS382" s="15" t="s">
        <v>206</v>
      </c>
      <c r="BT382" s="15" t="s">
        <v>138</v>
      </c>
      <c r="BU382" s="15" t="s">
        <v>174</v>
      </c>
      <c r="BV382" s="15" t="s">
        <v>138</v>
      </c>
      <c r="BW382" s="15" t="s">
        <v>138</v>
      </c>
      <c r="BX382" s="15" t="s">
        <v>138</v>
      </c>
      <c r="BY382" s="15" t="s">
        <v>175</v>
      </c>
      <c r="BZ382" s="22">
        <v>43242</v>
      </c>
      <c r="CA382" s="17">
        <v>20</v>
      </c>
      <c r="CB382" s="15" t="s">
        <v>172</v>
      </c>
      <c r="CC382" s="17" t="s">
        <v>138</v>
      </c>
      <c r="CD382" s="15" t="s">
        <v>138</v>
      </c>
      <c r="CE382" s="15" t="s">
        <v>173</v>
      </c>
      <c r="CF382" s="15" t="s">
        <v>138</v>
      </c>
      <c r="CG382" s="15" t="s">
        <v>138</v>
      </c>
      <c r="CH382" s="15" t="s">
        <v>174</v>
      </c>
      <c r="CI382" s="15" t="s">
        <v>138</v>
      </c>
      <c r="CJ382" s="15" t="s">
        <v>138</v>
      </c>
      <c r="CK382" s="15" t="s">
        <v>138</v>
      </c>
      <c r="CL382" s="15" t="s">
        <v>175</v>
      </c>
      <c r="CM382" s="22" t="s">
        <v>138</v>
      </c>
      <c r="CN382" s="17" t="s">
        <v>138</v>
      </c>
      <c r="CO382" s="23">
        <v>-0.35</v>
      </c>
      <c r="CP382" s="24">
        <v>18</v>
      </c>
      <c r="CQ382" s="23">
        <v>0.01</v>
      </c>
      <c r="CR382" s="23">
        <v>2.69</v>
      </c>
      <c r="CS382" s="23">
        <v>-0.76</v>
      </c>
      <c r="CT382" s="24">
        <v>17</v>
      </c>
      <c r="CU382" s="23">
        <v>0.06</v>
      </c>
      <c r="CV382" s="24">
        <v>60</v>
      </c>
      <c r="CW382" s="23">
        <v>0</v>
      </c>
      <c r="CX382" s="24">
        <v>13</v>
      </c>
      <c r="CY382" s="23">
        <v>-1.52</v>
      </c>
      <c r="CZ382" s="24">
        <v>15</v>
      </c>
      <c r="DA382" s="23">
        <v>0.11</v>
      </c>
      <c r="DB382" s="24">
        <v>73</v>
      </c>
      <c r="DC382" s="25">
        <v>12.37</v>
      </c>
      <c r="DD382" s="24">
        <v>92</v>
      </c>
      <c r="DE382" s="25">
        <v>-0.06</v>
      </c>
      <c r="DF382" s="23">
        <v>-0.5</v>
      </c>
      <c r="DG382" s="25">
        <v>20.34</v>
      </c>
      <c r="DH382" s="24">
        <v>95</v>
      </c>
      <c r="DI382" s="25">
        <v>4.4000000000000004</v>
      </c>
      <c r="DJ382" s="24">
        <v>76</v>
      </c>
      <c r="DK382" s="25">
        <v>1.57</v>
      </c>
      <c r="DL382" s="24">
        <v>60</v>
      </c>
      <c r="DM382" s="25">
        <v>39.1</v>
      </c>
      <c r="DN382" s="24">
        <v>97</v>
      </c>
      <c r="DO382" s="25">
        <v>2.97</v>
      </c>
      <c r="DP382" s="24">
        <v>71</v>
      </c>
      <c r="DQ382" s="24">
        <v>518</v>
      </c>
      <c r="DR382" s="26">
        <v>62</v>
      </c>
      <c r="DS382" s="23">
        <v>13.6</v>
      </c>
      <c r="DT382" s="24">
        <v>1134</v>
      </c>
      <c r="DU382" s="26">
        <v>-1</v>
      </c>
      <c r="DV382" s="23">
        <v>-0.09</v>
      </c>
      <c r="DW382" s="24">
        <v>1060</v>
      </c>
      <c r="DX382" s="27">
        <v>5</v>
      </c>
      <c r="DY382" s="23">
        <v>0.47</v>
      </c>
      <c r="DZ382" s="15" t="s">
        <v>178</v>
      </c>
      <c r="EA382" s="22">
        <v>43587</v>
      </c>
      <c r="EB382" s="17">
        <v>502</v>
      </c>
      <c r="EC382" s="22">
        <v>42992</v>
      </c>
      <c r="ED382" s="15" t="s">
        <v>205</v>
      </c>
      <c r="EE382" s="14" t="str">
        <f>HYPERLINK("https://my.pitchbook.com?c=58184-92", "View company online")</f>
        <v>View company online</v>
      </c>
    </row>
    <row r="383" spans="1:135">
      <c r="A383" s="28" t="s">
        <v>8054</v>
      </c>
      <c r="B383" s="28" t="s">
        <v>8055</v>
      </c>
      <c r="C383" s="28" t="s">
        <v>138</v>
      </c>
      <c r="D383" s="28" t="s">
        <v>138</v>
      </c>
      <c r="E383" s="28" t="s">
        <v>138</v>
      </c>
      <c r="F383" s="28" t="s">
        <v>8054</v>
      </c>
      <c r="G383" s="28" t="s">
        <v>8056</v>
      </c>
      <c r="H383" s="28" t="s">
        <v>322</v>
      </c>
      <c r="I383" s="28" t="s">
        <v>323</v>
      </c>
      <c r="J383" s="28" t="s">
        <v>1184</v>
      </c>
      <c r="K383" s="28" t="s">
        <v>8057</v>
      </c>
      <c r="L383" s="28" t="s">
        <v>215</v>
      </c>
      <c r="M383" s="28" t="s">
        <v>8058</v>
      </c>
      <c r="N383" s="28" t="s">
        <v>147</v>
      </c>
      <c r="O383" s="29" t="s">
        <v>138</v>
      </c>
      <c r="P383" s="28" t="s">
        <v>148</v>
      </c>
      <c r="Q383" s="28" t="s">
        <v>149</v>
      </c>
      <c r="R383" s="28" t="s">
        <v>174</v>
      </c>
      <c r="S383" s="28" t="s">
        <v>8059</v>
      </c>
      <c r="T383" s="30">
        <v>11</v>
      </c>
      <c r="U383" s="28" t="s">
        <v>8060</v>
      </c>
      <c r="V383" s="28" t="s">
        <v>138</v>
      </c>
      <c r="W383" s="28" t="s">
        <v>138</v>
      </c>
      <c r="X383" s="31">
        <v>1999</v>
      </c>
      <c r="Y383" s="28" t="s">
        <v>138</v>
      </c>
      <c r="Z383" s="28" t="s">
        <v>138</v>
      </c>
      <c r="AA383" s="28" t="s">
        <v>138</v>
      </c>
      <c r="AB383" s="32">
        <v>0.93</v>
      </c>
      <c r="AC383" s="32" t="s">
        <v>138</v>
      </c>
      <c r="AD383" s="32" t="s">
        <v>138</v>
      </c>
      <c r="AE383" s="32" t="s">
        <v>138</v>
      </c>
      <c r="AF383" s="32" t="s">
        <v>138</v>
      </c>
      <c r="AG383" s="28" t="s">
        <v>3077</v>
      </c>
      <c r="AH383" s="32" t="s">
        <v>138</v>
      </c>
      <c r="AI383" s="32" t="s">
        <v>138</v>
      </c>
      <c r="AJ383" s="32" t="s">
        <v>138</v>
      </c>
      <c r="AK383" s="28" t="s">
        <v>8061</v>
      </c>
      <c r="AL383" s="28" t="s">
        <v>8062</v>
      </c>
      <c r="AM383" s="28" t="s">
        <v>8063</v>
      </c>
      <c r="AN383" s="28" t="s">
        <v>8064</v>
      </c>
      <c r="AO383" s="28" t="s">
        <v>8065</v>
      </c>
      <c r="AP383" s="28" t="s">
        <v>8066</v>
      </c>
      <c r="AQ383" s="28" t="s">
        <v>8067</v>
      </c>
      <c r="AR383" s="28" t="s">
        <v>138</v>
      </c>
      <c r="AS383" s="28" t="s">
        <v>8068</v>
      </c>
      <c r="AT383" s="28" t="s">
        <v>138</v>
      </c>
      <c r="AU383" s="28" t="s">
        <v>8069</v>
      </c>
      <c r="AV383" s="28" t="s">
        <v>946</v>
      </c>
      <c r="AW383" s="28" t="s">
        <v>8065</v>
      </c>
      <c r="AX383" s="28" t="s">
        <v>8070</v>
      </c>
      <c r="AY383" s="28" t="s">
        <v>8071</v>
      </c>
      <c r="AZ383" s="28" t="s">
        <v>530</v>
      </c>
      <c r="BA383" s="28" t="s">
        <v>531</v>
      </c>
      <c r="BB383" s="28" t="s">
        <v>8072</v>
      </c>
      <c r="BC383" s="28" t="s">
        <v>3047</v>
      </c>
      <c r="BD383" s="33">
        <v>1</v>
      </c>
      <c r="BE383" s="28" t="s">
        <v>138</v>
      </c>
      <c r="BF383" s="28" t="s">
        <v>138</v>
      </c>
      <c r="BG383" s="28" t="s">
        <v>138</v>
      </c>
      <c r="BH383" s="28" t="s">
        <v>3049</v>
      </c>
      <c r="BI383" s="28" t="s">
        <v>138</v>
      </c>
      <c r="BJ383" s="28" t="s">
        <v>138</v>
      </c>
      <c r="BK383" s="28" t="s">
        <v>138</v>
      </c>
      <c r="BL383" s="28" t="s">
        <v>138</v>
      </c>
      <c r="BM383" s="34">
        <v>41913</v>
      </c>
      <c r="BN383" s="29" t="s">
        <v>138</v>
      </c>
      <c r="BO383" s="28" t="s">
        <v>138</v>
      </c>
      <c r="BP383" s="29" t="s">
        <v>138</v>
      </c>
      <c r="BQ383" s="28" t="s">
        <v>138</v>
      </c>
      <c r="BR383" s="28" t="s">
        <v>173</v>
      </c>
      <c r="BS383" s="28" t="s">
        <v>206</v>
      </c>
      <c r="BT383" s="28" t="s">
        <v>138</v>
      </c>
      <c r="BU383" s="28" t="s">
        <v>174</v>
      </c>
      <c r="BV383" s="28" t="s">
        <v>138</v>
      </c>
      <c r="BW383" s="28" t="s">
        <v>138</v>
      </c>
      <c r="BX383" s="28" t="s">
        <v>138</v>
      </c>
      <c r="BY383" s="28" t="s">
        <v>175</v>
      </c>
      <c r="BZ383" s="34">
        <v>42587</v>
      </c>
      <c r="CA383" s="29" t="s">
        <v>138</v>
      </c>
      <c r="CB383" s="28" t="s">
        <v>138</v>
      </c>
      <c r="CC383" s="29" t="s">
        <v>138</v>
      </c>
      <c r="CD383" s="28" t="s">
        <v>138</v>
      </c>
      <c r="CE383" s="28" t="s">
        <v>173</v>
      </c>
      <c r="CF383" s="28" t="s">
        <v>206</v>
      </c>
      <c r="CG383" s="28" t="s">
        <v>138</v>
      </c>
      <c r="CH383" s="28" t="s">
        <v>174</v>
      </c>
      <c r="CI383" s="28" t="s">
        <v>138</v>
      </c>
      <c r="CJ383" s="28" t="s">
        <v>138</v>
      </c>
      <c r="CK383" s="28" t="s">
        <v>138</v>
      </c>
      <c r="CL383" s="28" t="s">
        <v>175</v>
      </c>
      <c r="CM383" s="34" t="s">
        <v>138</v>
      </c>
      <c r="CN383" s="29" t="s">
        <v>138</v>
      </c>
      <c r="CO383" s="35">
        <v>0</v>
      </c>
      <c r="CP383" s="36">
        <v>26</v>
      </c>
      <c r="CQ383" s="35">
        <v>0</v>
      </c>
      <c r="CR383" s="35">
        <v>0</v>
      </c>
      <c r="CS383" s="35">
        <v>0</v>
      </c>
      <c r="CT383" s="36">
        <v>23</v>
      </c>
      <c r="CU383" s="35" t="s">
        <v>138</v>
      </c>
      <c r="CV383" s="36" t="s">
        <v>138</v>
      </c>
      <c r="CW383" s="35" t="s">
        <v>138</v>
      </c>
      <c r="CX383" s="36" t="s">
        <v>138</v>
      </c>
      <c r="CY383" s="35">
        <v>0</v>
      </c>
      <c r="CZ383" s="36">
        <v>25</v>
      </c>
      <c r="DA383" s="35" t="s">
        <v>138</v>
      </c>
      <c r="DB383" s="36" t="s">
        <v>138</v>
      </c>
      <c r="DC383" s="37">
        <v>1.76</v>
      </c>
      <c r="DD383" s="36">
        <v>64</v>
      </c>
      <c r="DE383" s="37">
        <v>0</v>
      </c>
      <c r="DF383" s="35">
        <v>0</v>
      </c>
      <c r="DG383" s="37">
        <v>1.76</v>
      </c>
      <c r="DH383" s="36">
        <v>64</v>
      </c>
      <c r="DI383" s="37" t="s">
        <v>138</v>
      </c>
      <c r="DJ383" s="36" t="s">
        <v>138</v>
      </c>
      <c r="DK383" s="37" t="s">
        <v>138</v>
      </c>
      <c r="DL383" s="36" t="s">
        <v>138</v>
      </c>
      <c r="DM383" s="37">
        <v>1.76</v>
      </c>
      <c r="DN383" s="36">
        <v>63</v>
      </c>
      <c r="DO383" s="37" t="s">
        <v>138</v>
      </c>
      <c r="DP383" s="36" t="s">
        <v>138</v>
      </c>
      <c r="DQ383" s="36" t="s">
        <v>138</v>
      </c>
      <c r="DR383" s="38" t="s">
        <v>138</v>
      </c>
      <c r="DS383" s="35" t="s">
        <v>138</v>
      </c>
      <c r="DT383" s="36">
        <v>51</v>
      </c>
      <c r="DU383" s="38">
        <v>0</v>
      </c>
      <c r="DV383" s="35">
        <v>0</v>
      </c>
      <c r="DW383" s="36" t="s">
        <v>138</v>
      </c>
      <c r="DX383" s="39" t="s">
        <v>138</v>
      </c>
      <c r="DY383" s="35" t="s">
        <v>138</v>
      </c>
      <c r="DZ383" s="28" t="s">
        <v>178</v>
      </c>
      <c r="EA383" s="34">
        <v>43451</v>
      </c>
      <c r="EB383" s="29" t="s">
        <v>138</v>
      </c>
      <c r="EC383" s="34" t="s">
        <v>138</v>
      </c>
      <c r="ED383" s="28" t="s">
        <v>138</v>
      </c>
      <c r="EE383" s="40" t="str">
        <f>HYPERLINK("https://my.pitchbook.com?c=163951-39", "View company online")</f>
        <v>View company online</v>
      </c>
    </row>
    <row r="384" spans="1:135">
      <c r="A384" s="15" t="s">
        <v>8073</v>
      </c>
      <c r="B384" s="15" t="s">
        <v>8074</v>
      </c>
      <c r="C384" s="15" t="s">
        <v>138</v>
      </c>
      <c r="D384" s="15" t="s">
        <v>138</v>
      </c>
      <c r="E384" s="15" t="s">
        <v>138</v>
      </c>
      <c r="F384" s="15" t="s">
        <v>8073</v>
      </c>
      <c r="G384" s="15" t="s">
        <v>8075</v>
      </c>
      <c r="H384" s="15" t="s">
        <v>322</v>
      </c>
      <c r="I384" s="15" t="s">
        <v>323</v>
      </c>
      <c r="J384" s="15" t="s">
        <v>1235</v>
      </c>
      <c r="K384" s="15" t="s">
        <v>5304</v>
      </c>
      <c r="L384" s="15" t="s">
        <v>415</v>
      </c>
      <c r="M384" s="15" t="s">
        <v>8076</v>
      </c>
      <c r="N384" s="15" t="s">
        <v>147</v>
      </c>
      <c r="O384" s="17">
        <v>0.02</v>
      </c>
      <c r="P384" s="15" t="s">
        <v>610</v>
      </c>
      <c r="Q384" s="15" t="s">
        <v>149</v>
      </c>
      <c r="R384" s="15" t="s">
        <v>174</v>
      </c>
      <c r="S384" s="15" t="s">
        <v>8077</v>
      </c>
      <c r="T384" s="18">
        <v>4</v>
      </c>
      <c r="U384" s="15" t="s">
        <v>4046</v>
      </c>
      <c r="V384" s="15" t="s">
        <v>138</v>
      </c>
      <c r="W384" s="15" t="s">
        <v>138</v>
      </c>
      <c r="X384" s="19">
        <v>2015</v>
      </c>
      <c r="Y384" s="15" t="s">
        <v>138</v>
      </c>
      <c r="Z384" s="15" t="s">
        <v>138</v>
      </c>
      <c r="AA384" s="15" t="s">
        <v>138</v>
      </c>
      <c r="AB384" s="20" t="s">
        <v>138</v>
      </c>
      <c r="AC384" s="20" t="s">
        <v>138</v>
      </c>
      <c r="AD384" s="20" t="s">
        <v>138</v>
      </c>
      <c r="AE384" s="20" t="s">
        <v>138</v>
      </c>
      <c r="AF384" s="20" t="s">
        <v>138</v>
      </c>
      <c r="AG384" s="15" t="s">
        <v>138</v>
      </c>
      <c r="AH384" s="20" t="s">
        <v>138</v>
      </c>
      <c r="AI384" s="20" t="s">
        <v>138</v>
      </c>
      <c r="AJ384" s="20" t="s">
        <v>138</v>
      </c>
      <c r="AK384" s="15" t="s">
        <v>8078</v>
      </c>
      <c r="AL384" s="15" t="s">
        <v>8079</v>
      </c>
      <c r="AM384" s="15" t="s">
        <v>916</v>
      </c>
      <c r="AN384" s="15" t="s">
        <v>8080</v>
      </c>
      <c r="AO384" s="15" t="s">
        <v>138</v>
      </c>
      <c r="AP384" s="15" t="s">
        <v>820</v>
      </c>
      <c r="AQ384" s="15" t="s">
        <v>8081</v>
      </c>
      <c r="AR384" s="15" t="s">
        <v>8082</v>
      </c>
      <c r="AS384" s="15" t="s">
        <v>823</v>
      </c>
      <c r="AT384" s="15" t="s">
        <v>824</v>
      </c>
      <c r="AU384" s="15" t="s">
        <v>8083</v>
      </c>
      <c r="AV384" s="15" t="s">
        <v>526</v>
      </c>
      <c r="AW384" s="15" t="s">
        <v>138</v>
      </c>
      <c r="AX384" s="15" t="s">
        <v>138</v>
      </c>
      <c r="AY384" s="15" t="s">
        <v>8084</v>
      </c>
      <c r="AZ384" s="15" t="s">
        <v>530</v>
      </c>
      <c r="BA384" s="15" t="s">
        <v>531</v>
      </c>
      <c r="BB384" s="15" t="s">
        <v>8085</v>
      </c>
      <c r="BC384" s="15" t="s">
        <v>8086</v>
      </c>
      <c r="BD384" s="21">
        <v>4</v>
      </c>
      <c r="BE384" s="15" t="s">
        <v>138</v>
      </c>
      <c r="BF384" s="15" t="s">
        <v>138</v>
      </c>
      <c r="BG384" s="15" t="s">
        <v>138</v>
      </c>
      <c r="BH384" s="15" t="s">
        <v>8087</v>
      </c>
      <c r="BI384" s="15" t="s">
        <v>138</v>
      </c>
      <c r="BJ384" s="15" t="s">
        <v>138</v>
      </c>
      <c r="BK384" s="15" t="s">
        <v>138</v>
      </c>
      <c r="BL384" s="15" t="s">
        <v>8088</v>
      </c>
      <c r="BM384" s="22">
        <v>42439</v>
      </c>
      <c r="BN384" s="17">
        <v>0.02</v>
      </c>
      <c r="BO384" s="15" t="s">
        <v>172</v>
      </c>
      <c r="BP384" s="17" t="s">
        <v>138</v>
      </c>
      <c r="BQ384" s="15" t="s">
        <v>138</v>
      </c>
      <c r="BR384" s="15" t="s">
        <v>316</v>
      </c>
      <c r="BS384" s="15" t="s">
        <v>138</v>
      </c>
      <c r="BT384" s="15" t="s">
        <v>138</v>
      </c>
      <c r="BU384" s="15" t="s">
        <v>177</v>
      </c>
      <c r="BV384" s="15" t="s">
        <v>138</v>
      </c>
      <c r="BW384" s="15" t="s">
        <v>138</v>
      </c>
      <c r="BX384" s="15" t="s">
        <v>138</v>
      </c>
      <c r="BY384" s="15" t="s">
        <v>175</v>
      </c>
      <c r="BZ384" s="22" t="s">
        <v>138</v>
      </c>
      <c r="CA384" s="17" t="s">
        <v>138</v>
      </c>
      <c r="CB384" s="15" t="s">
        <v>138</v>
      </c>
      <c r="CC384" s="17" t="s">
        <v>138</v>
      </c>
      <c r="CD384" s="15" t="s">
        <v>138</v>
      </c>
      <c r="CE384" s="15" t="s">
        <v>205</v>
      </c>
      <c r="CF384" s="15" t="s">
        <v>138</v>
      </c>
      <c r="CG384" s="15" t="s">
        <v>138</v>
      </c>
      <c r="CH384" s="15" t="s">
        <v>174</v>
      </c>
      <c r="CI384" s="15" t="s">
        <v>138</v>
      </c>
      <c r="CJ384" s="15" t="s">
        <v>138</v>
      </c>
      <c r="CK384" s="15" t="s">
        <v>138</v>
      </c>
      <c r="CL384" s="15" t="s">
        <v>175</v>
      </c>
      <c r="CM384" s="22" t="s">
        <v>138</v>
      </c>
      <c r="CN384" s="17" t="s">
        <v>138</v>
      </c>
      <c r="CO384" s="23">
        <v>-0.02</v>
      </c>
      <c r="CP384" s="24">
        <v>24</v>
      </c>
      <c r="CQ384" s="23">
        <v>0.01</v>
      </c>
      <c r="CR384" s="23">
        <v>33.47</v>
      </c>
      <c r="CS384" s="23">
        <v>0</v>
      </c>
      <c r="CT384" s="24">
        <v>23</v>
      </c>
      <c r="CU384" s="23">
        <v>-0.04</v>
      </c>
      <c r="CV384" s="24">
        <v>12</v>
      </c>
      <c r="CW384" s="23" t="s">
        <v>138</v>
      </c>
      <c r="CX384" s="24" t="s">
        <v>138</v>
      </c>
      <c r="CY384" s="23">
        <v>0</v>
      </c>
      <c r="CZ384" s="24">
        <v>25</v>
      </c>
      <c r="DA384" s="23">
        <v>-0.04</v>
      </c>
      <c r="DB384" s="24">
        <v>15</v>
      </c>
      <c r="DC384" s="25">
        <v>0.98</v>
      </c>
      <c r="DD384" s="24">
        <v>51</v>
      </c>
      <c r="DE384" s="25">
        <v>0</v>
      </c>
      <c r="DF384" s="23">
        <v>0.17</v>
      </c>
      <c r="DG384" s="25">
        <v>0.34</v>
      </c>
      <c r="DH384" s="24">
        <v>25</v>
      </c>
      <c r="DI384" s="25">
        <v>1.61</v>
      </c>
      <c r="DJ384" s="24">
        <v>58</v>
      </c>
      <c r="DK384" s="25" t="s">
        <v>138</v>
      </c>
      <c r="DL384" s="24" t="s">
        <v>138</v>
      </c>
      <c r="DM384" s="25">
        <v>0.34</v>
      </c>
      <c r="DN384" s="24">
        <v>26</v>
      </c>
      <c r="DO384" s="25">
        <v>1.61</v>
      </c>
      <c r="DP384" s="24">
        <v>59</v>
      </c>
      <c r="DQ384" s="24" t="s">
        <v>138</v>
      </c>
      <c r="DR384" s="26" t="s">
        <v>138</v>
      </c>
      <c r="DS384" s="23" t="s">
        <v>138</v>
      </c>
      <c r="DT384" s="24">
        <v>10</v>
      </c>
      <c r="DU384" s="26">
        <v>1</v>
      </c>
      <c r="DV384" s="23">
        <v>11.11</v>
      </c>
      <c r="DW384" s="24">
        <v>579</v>
      </c>
      <c r="DX384" s="27">
        <v>1</v>
      </c>
      <c r="DY384" s="23">
        <v>0.17</v>
      </c>
      <c r="DZ384" s="15" t="s">
        <v>178</v>
      </c>
      <c r="EA384" s="22">
        <v>43616</v>
      </c>
      <c r="EB384" s="17" t="s">
        <v>138</v>
      </c>
      <c r="EC384" s="22" t="s">
        <v>138</v>
      </c>
      <c r="ED384" s="15" t="s">
        <v>138</v>
      </c>
      <c r="EE384" s="14" t="str">
        <f>HYPERLINK("https://my.pitchbook.com?c=155314-27", "View company online")</f>
        <v>View company online</v>
      </c>
    </row>
    <row r="385" spans="1:135">
      <c r="A385" s="28" t="s">
        <v>8089</v>
      </c>
      <c r="B385" s="28" t="s">
        <v>8090</v>
      </c>
      <c r="C385" s="28" t="s">
        <v>8091</v>
      </c>
      <c r="D385" s="28" t="s">
        <v>138</v>
      </c>
      <c r="E385" s="28" t="s">
        <v>8092</v>
      </c>
      <c r="F385" s="28" t="s">
        <v>8089</v>
      </c>
      <c r="G385" s="28" t="s">
        <v>8093</v>
      </c>
      <c r="H385" s="28" t="s">
        <v>385</v>
      </c>
      <c r="I385" s="28" t="s">
        <v>1991</v>
      </c>
      <c r="J385" s="28" t="s">
        <v>1992</v>
      </c>
      <c r="K385" s="28" t="s">
        <v>8094</v>
      </c>
      <c r="L385" s="28" t="s">
        <v>2255</v>
      </c>
      <c r="M385" s="28" t="s">
        <v>8095</v>
      </c>
      <c r="N385" s="28" t="s">
        <v>1452</v>
      </c>
      <c r="O385" s="29">
        <v>315.27999999999997</v>
      </c>
      <c r="P385" s="28" t="s">
        <v>148</v>
      </c>
      <c r="Q385" s="28" t="s">
        <v>149</v>
      </c>
      <c r="R385" s="28" t="s">
        <v>328</v>
      </c>
      <c r="S385" s="28" t="s">
        <v>8096</v>
      </c>
      <c r="T385" s="30">
        <v>160</v>
      </c>
      <c r="U385" s="28" t="s">
        <v>8097</v>
      </c>
      <c r="V385" s="28" t="s">
        <v>138</v>
      </c>
      <c r="W385" s="28" t="s">
        <v>138</v>
      </c>
      <c r="X385" s="31">
        <v>2009</v>
      </c>
      <c r="Y385" s="28" t="s">
        <v>138</v>
      </c>
      <c r="Z385" s="28" t="s">
        <v>138</v>
      </c>
      <c r="AA385" s="28" t="s">
        <v>138</v>
      </c>
      <c r="AB385" s="32" t="s">
        <v>138</v>
      </c>
      <c r="AC385" s="32" t="s">
        <v>138</v>
      </c>
      <c r="AD385" s="32" t="s">
        <v>138</v>
      </c>
      <c r="AE385" s="32" t="s">
        <v>138</v>
      </c>
      <c r="AF385" s="32" t="s">
        <v>138</v>
      </c>
      <c r="AG385" s="28" t="s">
        <v>138</v>
      </c>
      <c r="AH385" s="32" t="s">
        <v>138</v>
      </c>
      <c r="AI385" s="32" t="s">
        <v>138</v>
      </c>
      <c r="AJ385" s="32" t="s">
        <v>138</v>
      </c>
      <c r="AK385" s="28" t="s">
        <v>8098</v>
      </c>
      <c r="AL385" s="28" t="s">
        <v>8099</v>
      </c>
      <c r="AM385" s="28" t="s">
        <v>8100</v>
      </c>
      <c r="AN385" s="28" t="s">
        <v>8101</v>
      </c>
      <c r="AO385" s="28" t="s">
        <v>8102</v>
      </c>
      <c r="AP385" s="28" t="s">
        <v>8103</v>
      </c>
      <c r="AQ385" s="28" t="s">
        <v>8104</v>
      </c>
      <c r="AR385" s="28" t="s">
        <v>138</v>
      </c>
      <c r="AS385" s="28" t="s">
        <v>8105</v>
      </c>
      <c r="AT385" s="28" t="s">
        <v>200</v>
      </c>
      <c r="AU385" s="28" t="s">
        <v>8106</v>
      </c>
      <c r="AV385" s="28" t="s">
        <v>162</v>
      </c>
      <c r="AW385" s="28" t="s">
        <v>8102</v>
      </c>
      <c r="AX385" s="28" t="s">
        <v>138</v>
      </c>
      <c r="AY385" s="28" t="s">
        <v>8107</v>
      </c>
      <c r="AZ385" s="28" t="s">
        <v>164</v>
      </c>
      <c r="BA385" s="28" t="s">
        <v>165</v>
      </c>
      <c r="BB385" s="28" t="s">
        <v>8108</v>
      </c>
      <c r="BC385" s="28" t="s">
        <v>8109</v>
      </c>
      <c r="BD385" s="33">
        <v>21</v>
      </c>
      <c r="BE385" s="28" t="s">
        <v>138</v>
      </c>
      <c r="BF385" s="28" t="s">
        <v>138</v>
      </c>
      <c r="BG385" s="28" t="s">
        <v>138</v>
      </c>
      <c r="BH385" s="28" t="s">
        <v>8110</v>
      </c>
      <c r="BI385" s="28" t="s">
        <v>138</v>
      </c>
      <c r="BJ385" s="28" t="s">
        <v>138</v>
      </c>
      <c r="BK385" s="28" t="s">
        <v>7503</v>
      </c>
      <c r="BL385" s="28" t="s">
        <v>8111</v>
      </c>
      <c r="BM385" s="34">
        <v>40792</v>
      </c>
      <c r="BN385" s="29">
        <v>10.27</v>
      </c>
      <c r="BO385" s="28" t="s">
        <v>172</v>
      </c>
      <c r="BP385" s="29">
        <v>15.84</v>
      </c>
      <c r="BQ385" s="28" t="s">
        <v>172</v>
      </c>
      <c r="BR385" s="28" t="s">
        <v>205</v>
      </c>
      <c r="BS385" s="28" t="s">
        <v>206</v>
      </c>
      <c r="BT385" s="28" t="s">
        <v>138</v>
      </c>
      <c r="BU385" s="28" t="s">
        <v>174</v>
      </c>
      <c r="BV385" s="28" t="s">
        <v>138</v>
      </c>
      <c r="BW385" s="28" t="s">
        <v>138</v>
      </c>
      <c r="BX385" s="28" t="s">
        <v>138</v>
      </c>
      <c r="BY385" s="28" t="s">
        <v>175</v>
      </c>
      <c r="BZ385" s="34">
        <v>43305</v>
      </c>
      <c r="CA385" s="29">
        <v>110</v>
      </c>
      <c r="CB385" s="28" t="s">
        <v>172</v>
      </c>
      <c r="CC385" s="29" t="s">
        <v>138</v>
      </c>
      <c r="CD385" s="28" t="s">
        <v>138</v>
      </c>
      <c r="CE385" s="28" t="s">
        <v>1673</v>
      </c>
      <c r="CF385" s="28" t="s">
        <v>138</v>
      </c>
      <c r="CG385" s="28" t="s">
        <v>138</v>
      </c>
      <c r="CH385" s="28" t="s">
        <v>351</v>
      </c>
      <c r="CI385" s="28" t="s">
        <v>138</v>
      </c>
      <c r="CJ385" s="28" t="s">
        <v>138</v>
      </c>
      <c r="CK385" s="28" t="s">
        <v>138</v>
      </c>
      <c r="CL385" s="28" t="s">
        <v>175</v>
      </c>
      <c r="CM385" s="34" t="s">
        <v>138</v>
      </c>
      <c r="CN385" s="29" t="s">
        <v>138</v>
      </c>
      <c r="CO385" s="35">
        <v>0.56999999999999995</v>
      </c>
      <c r="CP385" s="36">
        <v>95</v>
      </c>
      <c r="CQ385" s="35">
        <v>-0.02</v>
      </c>
      <c r="CR385" s="35">
        <v>-3.19</v>
      </c>
      <c r="CS385" s="35">
        <v>1.02</v>
      </c>
      <c r="CT385" s="36">
        <v>97</v>
      </c>
      <c r="CU385" s="35">
        <v>0.11</v>
      </c>
      <c r="CV385" s="36">
        <v>70</v>
      </c>
      <c r="CW385" s="35">
        <v>3.84</v>
      </c>
      <c r="CX385" s="36">
        <v>93</v>
      </c>
      <c r="CY385" s="35">
        <v>-1.8</v>
      </c>
      <c r="CZ385" s="36">
        <v>13</v>
      </c>
      <c r="DA385" s="35">
        <v>0.08</v>
      </c>
      <c r="DB385" s="36">
        <v>69</v>
      </c>
      <c r="DC385" s="37">
        <v>11.03</v>
      </c>
      <c r="DD385" s="36">
        <v>91</v>
      </c>
      <c r="DE385" s="37">
        <v>-0.45</v>
      </c>
      <c r="DF385" s="35">
        <v>-3.93</v>
      </c>
      <c r="DG385" s="37">
        <v>18.21</v>
      </c>
      <c r="DH385" s="36">
        <v>94</v>
      </c>
      <c r="DI385" s="37">
        <v>3.86</v>
      </c>
      <c r="DJ385" s="36">
        <v>74</v>
      </c>
      <c r="DK385" s="37">
        <v>14.73</v>
      </c>
      <c r="DL385" s="36">
        <v>90</v>
      </c>
      <c r="DM385" s="37">
        <v>21.69</v>
      </c>
      <c r="DN385" s="36">
        <v>95</v>
      </c>
      <c r="DO385" s="37">
        <v>7.52</v>
      </c>
      <c r="DP385" s="36">
        <v>84</v>
      </c>
      <c r="DQ385" s="36">
        <v>4895</v>
      </c>
      <c r="DR385" s="38">
        <v>465</v>
      </c>
      <c r="DS385" s="35">
        <v>10.5</v>
      </c>
      <c r="DT385" s="36">
        <v>628</v>
      </c>
      <c r="DU385" s="38">
        <v>-1</v>
      </c>
      <c r="DV385" s="35">
        <v>-0.16</v>
      </c>
      <c r="DW385" s="36">
        <v>2691</v>
      </c>
      <c r="DX385" s="39">
        <v>1</v>
      </c>
      <c r="DY385" s="35">
        <v>0.04</v>
      </c>
      <c r="DZ385" s="28" t="s">
        <v>178</v>
      </c>
      <c r="EA385" s="34">
        <v>43622</v>
      </c>
      <c r="EB385" s="29">
        <v>233.68</v>
      </c>
      <c r="EC385" s="34">
        <v>42515</v>
      </c>
      <c r="ED385" s="28" t="s">
        <v>173</v>
      </c>
      <c r="EE385" s="40" t="str">
        <f>HYPERLINK("https://my.pitchbook.com?c=54221-05", "View company online")</f>
        <v>View company online</v>
      </c>
    </row>
    <row r="386" spans="1:135">
      <c r="A386" s="15" t="s">
        <v>8112</v>
      </c>
      <c r="B386" s="15" t="s">
        <v>8113</v>
      </c>
      <c r="C386" s="15" t="s">
        <v>8114</v>
      </c>
      <c r="D386" s="15" t="s">
        <v>138</v>
      </c>
      <c r="E386" s="15" t="s">
        <v>8115</v>
      </c>
      <c r="F386" s="15" t="s">
        <v>8112</v>
      </c>
      <c r="G386" s="15" t="s">
        <v>8116</v>
      </c>
      <c r="H386" s="15" t="s">
        <v>141</v>
      </c>
      <c r="I386" s="15" t="s">
        <v>212</v>
      </c>
      <c r="J386" s="15" t="s">
        <v>213</v>
      </c>
      <c r="K386" s="15" t="s">
        <v>8117</v>
      </c>
      <c r="L386" s="15" t="s">
        <v>4703</v>
      </c>
      <c r="M386" s="15" t="s">
        <v>8118</v>
      </c>
      <c r="N386" s="15" t="s">
        <v>147</v>
      </c>
      <c r="O386" s="17">
        <v>61.3</v>
      </c>
      <c r="P386" s="15" t="s">
        <v>148</v>
      </c>
      <c r="Q386" s="15" t="s">
        <v>149</v>
      </c>
      <c r="R386" s="15" t="s">
        <v>174</v>
      </c>
      <c r="S386" s="15" t="s">
        <v>8119</v>
      </c>
      <c r="T386" s="18" t="s">
        <v>138</v>
      </c>
      <c r="U386" s="15" t="s">
        <v>138</v>
      </c>
      <c r="V386" s="15" t="s">
        <v>138</v>
      </c>
      <c r="W386" s="15" t="s">
        <v>138</v>
      </c>
      <c r="X386" s="19">
        <v>2010</v>
      </c>
      <c r="Y386" s="15" t="s">
        <v>138</v>
      </c>
      <c r="Z386" s="15" t="s">
        <v>138</v>
      </c>
      <c r="AA386" s="15" t="s">
        <v>138</v>
      </c>
      <c r="AB386" s="20" t="s">
        <v>138</v>
      </c>
      <c r="AC386" s="20" t="s">
        <v>138</v>
      </c>
      <c r="AD386" s="20" t="s">
        <v>138</v>
      </c>
      <c r="AE386" s="20" t="s">
        <v>138</v>
      </c>
      <c r="AF386" s="20" t="s">
        <v>138</v>
      </c>
      <c r="AG386" s="15" t="s">
        <v>138</v>
      </c>
      <c r="AH386" s="20" t="s">
        <v>138</v>
      </c>
      <c r="AI386" s="20" t="s">
        <v>138</v>
      </c>
      <c r="AJ386" s="20" t="s">
        <v>138</v>
      </c>
      <c r="AK386" s="15" t="s">
        <v>8120</v>
      </c>
      <c r="AL386" s="15" t="s">
        <v>8121</v>
      </c>
      <c r="AM386" s="15" t="s">
        <v>1632</v>
      </c>
      <c r="AN386" s="15" t="s">
        <v>8122</v>
      </c>
      <c r="AO386" s="15" t="s">
        <v>8123</v>
      </c>
      <c r="AP386" s="15" t="s">
        <v>423</v>
      </c>
      <c r="AQ386" s="15" t="s">
        <v>8124</v>
      </c>
      <c r="AR386" s="15" t="s">
        <v>8125</v>
      </c>
      <c r="AS386" s="15" t="s">
        <v>426</v>
      </c>
      <c r="AT386" s="15" t="s">
        <v>426</v>
      </c>
      <c r="AU386" s="15" t="s">
        <v>2130</v>
      </c>
      <c r="AV386" s="15" t="s">
        <v>162</v>
      </c>
      <c r="AW386" s="15" t="s">
        <v>8123</v>
      </c>
      <c r="AX386" s="15" t="s">
        <v>138</v>
      </c>
      <c r="AY386" s="15" t="s">
        <v>8126</v>
      </c>
      <c r="AZ386" s="15" t="s">
        <v>164</v>
      </c>
      <c r="BA386" s="15" t="s">
        <v>165</v>
      </c>
      <c r="BB386" s="15" t="s">
        <v>8127</v>
      </c>
      <c r="BC386" s="15" t="s">
        <v>8128</v>
      </c>
      <c r="BD386" s="21">
        <v>20</v>
      </c>
      <c r="BE386" s="15" t="s">
        <v>138</v>
      </c>
      <c r="BF386" s="15" t="s">
        <v>138</v>
      </c>
      <c r="BG386" s="15" t="s">
        <v>138</v>
      </c>
      <c r="BH386" s="15" t="s">
        <v>8129</v>
      </c>
      <c r="BI386" s="15" t="s">
        <v>138</v>
      </c>
      <c r="BJ386" s="15" t="s">
        <v>138</v>
      </c>
      <c r="BK386" s="15" t="s">
        <v>8130</v>
      </c>
      <c r="BL386" s="15" t="s">
        <v>8130</v>
      </c>
      <c r="BM386" s="22">
        <v>40623</v>
      </c>
      <c r="BN386" s="17">
        <v>1.75</v>
      </c>
      <c r="BO386" s="15" t="s">
        <v>172</v>
      </c>
      <c r="BP386" s="17">
        <v>8.51</v>
      </c>
      <c r="BQ386" s="15" t="s">
        <v>172</v>
      </c>
      <c r="BR386" s="15" t="s">
        <v>234</v>
      </c>
      <c r="BS386" s="15" t="s">
        <v>234</v>
      </c>
      <c r="BT386" s="15" t="s">
        <v>138</v>
      </c>
      <c r="BU386" s="15" t="s">
        <v>174</v>
      </c>
      <c r="BV386" s="15" t="s">
        <v>138</v>
      </c>
      <c r="BW386" s="15" t="s">
        <v>138</v>
      </c>
      <c r="BX386" s="15" t="s">
        <v>138</v>
      </c>
      <c r="BY386" s="15" t="s">
        <v>175</v>
      </c>
      <c r="BZ386" s="22">
        <v>43531</v>
      </c>
      <c r="CA386" s="17">
        <v>11.2</v>
      </c>
      <c r="CB386" s="15" t="s">
        <v>172</v>
      </c>
      <c r="CC386" s="17">
        <v>31.2</v>
      </c>
      <c r="CD386" s="15" t="s">
        <v>172</v>
      </c>
      <c r="CE386" s="15" t="s">
        <v>173</v>
      </c>
      <c r="CF386" s="15" t="s">
        <v>720</v>
      </c>
      <c r="CG386" s="15" t="s">
        <v>138</v>
      </c>
      <c r="CH386" s="15" t="s">
        <v>174</v>
      </c>
      <c r="CI386" s="15" t="s">
        <v>138</v>
      </c>
      <c r="CJ386" s="15" t="s">
        <v>138</v>
      </c>
      <c r="CK386" s="15" t="s">
        <v>138</v>
      </c>
      <c r="CL386" s="15" t="s">
        <v>175</v>
      </c>
      <c r="CM386" s="22" t="s">
        <v>138</v>
      </c>
      <c r="CN386" s="17" t="s">
        <v>138</v>
      </c>
      <c r="CO386" s="23">
        <v>0.05</v>
      </c>
      <c r="CP386" s="24">
        <v>88</v>
      </c>
      <c r="CQ386" s="23" t="s">
        <v>138</v>
      </c>
      <c r="CR386" s="23" t="s">
        <v>138</v>
      </c>
      <c r="CS386" s="23" t="s">
        <v>138</v>
      </c>
      <c r="CT386" s="24" t="s">
        <v>138</v>
      </c>
      <c r="CU386" s="23">
        <v>0.05</v>
      </c>
      <c r="CV386" s="24">
        <v>58</v>
      </c>
      <c r="CW386" s="23" t="s">
        <v>138</v>
      </c>
      <c r="CX386" s="24" t="s">
        <v>138</v>
      </c>
      <c r="CY386" s="23" t="s">
        <v>138</v>
      </c>
      <c r="CZ386" s="24" t="s">
        <v>138</v>
      </c>
      <c r="DA386" s="23">
        <v>0.05</v>
      </c>
      <c r="DB386" s="24">
        <v>64</v>
      </c>
      <c r="DC386" s="25">
        <v>6.58</v>
      </c>
      <c r="DD386" s="24">
        <v>86</v>
      </c>
      <c r="DE386" s="25" t="s">
        <v>138</v>
      </c>
      <c r="DF386" s="23" t="s">
        <v>138</v>
      </c>
      <c r="DG386" s="25" t="s">
        <v>138</v>
      </c>
      <c r="DH386" s="24" t="s">
        <v>138</v>
      </c>
      <c r="DI386" s="25">
        <v>6.58</v>
      </c>
      <c r="DJ386" s="24">
        <v>81</v>
      </c>
      <c r="DK386" s="25" t="s">
        <v>138</v>
      </c>
      <c r="DL386" s="24" t="s">
        <v>138</v>
      </c>
      <c r="DM386" s="25" t="s">
        <v>138</v>
      </c>
      <c r="DN386" s="24" t="s">
        <v>138</v>
      </c>
      <c r="DO386" s="25">
        <v>6.58</v>
      </c>
      <c r="DP386" s="24">
        <v>83</v>
      </c>
      <c r="DQ386" s="24" t="s">
        <v>138</v>
      </c>
      <c r="DR386" s="26" t="s">
        <v>138</v>
      </c>
      <c r="DS386" s="23" t="s">
        <v>138</v>
      </c>
      <c r="DT386" s="24">
        <v>7</v>
      </c>
      <c r="DU386" s="26">
        <v>1</v>
      </c>
      <c r="DV386" s="23">
        <v>16.670000000000002</v>
      </c>
      <c r="DW386" s="24">
        <v>2357</v>
      </c>
      <c r="DX386" s="27">
        <v>0</v>
      </c>
      <c r="DY386" s="23">
        <v>0</v>
      </c>
      <c r="DZ386" s="15" t="s">
        <v>178</v>
      </c>
      <c r="EA386" s="22">
        <v>43580</v>
      </c>
      <c r="EB386" s="17">
        <v>31.2</v>
      </c>
      <c r="EC386" s="22">
        <v>43531</v>
      </c>
      <c r="ED386" s="15" t="s">
        <v>173</v>
      </c>
      <c r="EE386" s="14" t="str">
        <f>HYPERLINK("https://my.pitchbook.com?c=51701-23", "View company online")</f>
        <v>View company online</v>
      </c>
    </row>
    <row r="387" spans="1:135">
      <c r="A387" s="28" t="s">
        <v>8131</v>
      </c>
      <c r="B387" s="28" t="s">
        <v>8132</v>
      </c>
      <c r="C387" s="28" t="s">
        <v>138</v>
      </c>
      <c r="D387" s="28" t="s">
        <v>138</v>
      </c>
      <c r="E387" s="28" t="s">
        <v>8133</v>
      </c>
      <c r="F387" s="28" t="s">
        <v>8131</v>
      </c>
      <c r="G387" s="28" t="s">
        <v>8134</v>
      </c>
      <c r="H387" s="28" t="s">
        <v>322</v>
      </c>
      <c r="I387" s="28" t="s">
        <v>323</v>
      </c>
      <c r="J387" s="28" t="s">
        <v>1184</v>
      </c>
      <c r="K387" s="28" t="s">
        <v>6678</v>
      </c>
      <c r="L387" s="28" t="s">
        <v>8135</v>
      </c>
      <c r="M387" s="28" t="s">
        <v>8136</v>
      </c>
      <c r="N387" s="28" t="s">
        <v>147</v>
      </c>
      <c r="O387" s="29">
        <v>14.2</v>
      </c>
      <c r="P387" s="28" t="s">
        <v>148</v>
      </c>
      <c r="Q387" s="28" t="s">
        <v>149</v>
      </c>
      <c r="R387" s="28" t="s">
        <v>174</v>
      </c>
      <c r="S387" s="28" t="s">
        <v>8137</v>
      </c>
      <c r="T387" s="30" t="s">
        <v>138</v>
      </c>
      <c r="U387" s="28" t="s">
        <v>138</v>
      </c>
      <c r="V387" s="28" t="s">
        <v>138</v>
      </c>
      <c r="W387" s="28" t="s">
        <v>138</v>
      </c>
      <c r="X387" s="31">
        <v>2011</v>
      </c>
      <c r="Y387" s="28" t="s">
        <v>138</v>
      </c>
      <c r="Z387" s="28" t="s">
        <v>138</v>
      </c>
      <c r="AA387" s="28" t="s">
        <v>138</v>
      </c>
      <c r="AB387" s="32">
        <v>3.2</v>
      </c>
      <c r="AC387" s="32" t="s">
        <v>138</v>
      </c>
      <c r="AD387" s="32" t="s">
        <v>138</v>
      </c>
      <c r="AE387" s="32" t="s">
        <v>138</v>
      </c>
      <c r="AF387" s="32" t="s">
        <v>138</v>
      </c>
      <c r="AG387" s="28" t="s">
        <v>419</v>
      </c>
      <c r="AH387" s="32" t="s">
        <v>138</v>
      </c>
      <c r="AI387" s="32" t="s">
        <v>138</v>
      </c>
      <c r="AJ387" s="32" t="s">
        <v>138</v>
      </c>
      <c r="AK387" s="28" t="s">
        <v>8138</v>
      </c>
      <c r="AL387" s="28" t="s">
        <v>8139</v>
      </c>
      <c r="AM387" s="28" t="s">
        <v>304</v>
      </c>
      <c r="AN387" s="28" t="s">
        <v>8140</v>
      </c>
      <c r="AO387" s="28" t="s">
        <v>8141</v>
      </c>
      <c r="AP387" s="28" t="s">
        <v>8142</v>
      </c>
      <c r="AQ387" s="28" t="s">
        <v>8143</v>
      </c>
      <c r="AR387" s="28" t="s">
        <v>8144</v>
      </c>
      <c r="AS387" s="28" t="s">
        <v>8145</v>
      </c>
      <c r="AT387" s="28" t="s">
        <v>2331</v>
      </c>
      <c r="AU387" s="28" t="s">
        <v>8146</v>
      </c>
      <c r="AV387" s="28" t="s">
        <v>2333</v>
      </c>
      <c r="AW387" s="28" t="s">
        <v>8141</v>
      </c>
      <c r="AX387" s="28" t="s">
        <v>138</v>
      </c>
      <c r="AY387" s="28" t="s">
        <v>8147</v>
      </c>
      <c r="AZ387" s="28" t="s">
        <v>452</v>
      </c>
      <c r="BA387" s="28" t="s">
        <v>2335</v>
      </c>
      <c r="BB387" s="28" t="s">
        <v>8148</v>
      </c>
      <c r="BC387" s="28" t="s">
        <v>8149</v>
      </c>
      <c r="BD387" s="33">
        <v>14</v>
      </c>
      <c r="BE387" s="28" t="s">
        <v>138</v>
      </c>
      <c r="BF387" s="28" t="s">
        <v>138</v>
      </c>
      <c r="BG387" s="28" t="s">
        <v>138</v>
      </c>
      <c r="BH387" s="28" t="s">
        <v>8150</v>
      </c>
      <c r="BI387" s="28" t="s">
        <v>138</v>
      </c>
      <c r="BJ387" s="28" t="s">
        <v>138</v>
      </c>
      <c r="BK387" s="28" t="s">
        <v>138</v>
      </c>
      <c r="BL387" s="28" t="s">
        <v>138</v>
      </c>
      <c r="BM387" s="34" t="s">
        <v>138</v>
      </c>
      <c r="BN387" s="29">
        <v>0.2</v>
      </c>
      <c r="BO387" s="28" t="s">
        <v>172</v>
      </c>
      <c r="BP387" s="29" t="s">
        <v>138</v>
      </c>
      <c r="BQ387" s="28" t="s">
        <v>138</v>
      </c>
      <c r="BR387" s="28" t="s">
        <v>5214</v>
      </c>
      <c r="BS387" s="28" t="s">
        <v>138</v>
      </c>
      <c r="BT387" s="28" t="s">
        <v>138</v>
      </c>
      <c r="BU387" s="28" t="s">
        <v>263</v>
      </c>
      <c r="BV387" s="28" t="s">
        <v>138</v>
      </c>
      <c r="BW387" s="28" t="s">
        <v>138</v>
      </c>
      <c r="BX387" s="28" t="s">
        <v>138</v>
      </c>
      <c r="BY387" s="28" t="s">
        <v>175</v>
      </c>
      <c r="BZ387" s="34">
        <v>43251</v>
      </c>
      <c r="CA387" s="29">
        <v>14</v>
      </c>
      <c r="CB387" s="28" t="s">
        <v>172</v>
      </c>
      <c r="CC387" s="29" t="s">
        <v>138</v>
      </c>
      <c r="CD387" s="28" t="s">
        <v>138</v>
      </c>
      <c r="CE387" s="28" t="s">
        <v>173</v>
      </c>
      <c r="CF387" s="28" t="s">
        <v>720</v>
      </c>
      <c r="CG387" s="28" t="s">
        <v>138</v>
      </c>
      <c r="CH387" s="28" t="s">
        <v>174</v>
      </c>
      <c r="CI387" s="28" t="s">
        <v>138</v>
      </c>
      <c r="CJ387" s="28" t="s">
        <v>138</v>
      </c>
      <c r="CK387" s="28" t="s">
        <v>138</v>
      </c>
      <c r="CL387" s="28" t="s">
        <v>175</v>
      </c>
      <c r="CM387" s="34" t="s">
        <v>138</v>
      </c>
      <c r="CN387" s="29" t="s">
        <v>138</v>
      </c>
      <c r="CO387" s="35">
        <v>7.0000000000000007E-2</v>
      </c>
      <c r="CP387" s="36">
        <v>89</v>
      </c>
      <c r="CQ387" s="35">
        <v>0</v>
      </c>
      <c r="CR387" s="35">
        <v>-1.4</v>
      </c>
      <c r="CS387" s="35">
        <v>-0.28000000000000003</v>
      </c>
      <c r="CT387" s="36">
        <v>21</v>
      </c>
      <c r="CU387" s="35">
        <v>0.42</v>
      </c>
      <c r="CV387" s="36">
        <v>92</v>
      </c>
      <c r="CW387" s="35" t="s">
        <v>138</v>
      </c>
      <c r="CX387" s="36" t="s">
        <v>138</v>
      </c>
      <c r="CY387" s="35">
        <v>-0.28000000000000003</v>
      </c>
      <c r="CZ387" s="36">
        <v>23</v>
      </c>
      <c r="DA387" s="35">
        <v>0.56000000000000005</v>
      </c>
      <c r="DB387" s="36">
        <v>95</v>
      </c>
      <c r="DC387" s="37">
        <v>3.33</v>
      </c>
      <c r="DD387" s="36">
        <v>77</v>
      </c>
      <c r="DE387" s="37">
        <v>0</v>
      </c>
      <c r="DF387" s="35">
        <v>0.03</v>
      </c>
      <c r="DG387" s="37">
        <v>5.9</v>
      </c>
      <c r="DH387" s="36">
        <v>84</v>
      </c>
      <c r="DI387" s="37">
        <v>0.76</v>
      </c>
      <c r="DJ387" s="36">
        <v>44</v>
      </c>
      <c r="DK387" s="37" t="s">
        <v>138</v>
      </c>
      <c r="DL387" s="36" t="s">
        <v>138</v>
      </c>
      <c r="DM387" s="37">
        <v>5.9</v>
      </c>
      <c r="DN387" s="36">
        <v>83</v>
      </c>
      <c r="DO387" s="37">
        <v>0.51</v>
      </c>
      <c r="DP387" s="36">
        <v>38</v>
      </c>
      <c r="DQ387" s="36" t="s">
        <v>138</v>
      </c>
      <c r="DR387" s="38" t="s">
        <v>138</v>
      </c>
      <c r="DS387" s="35" t="s">
        <v>138</v>
      </c>
      <c r="DT387" s="36">
        <v>171</v>
      </c>
      <c r="DU387" s="38">
        <v>1</v>
      </c>
      <c r="DV387" s="35">
        <v>0.59</v>
      </c>
      <c r="DW387" s="36">
        <v>183</v>
      </c>
      <c r="DX387" s="39">
        <v>2</v>
      </c>
      <c r="DY387" s="35">
        <v>1.1000000000000001</v>
      </c>
      <c r="DZ387" s="28" t="s">
        <v>178</v>
      </c>
      <c r="EA387" s="34">
        <v>43622</v>
      </c>
      <c r="EB387" s="29" t="s">
        <v>138</v>
      </c>
      <c r="EC387" s="34" t="s">
        <v>138</v>
      </c>
      <c r="ED387" s="28" t="s">
        <v>138</v>
      </c>
      <c r="EE387" s="40" t="str">
        <f>HYPERLINK("https://my.pitchbook.com?c=110708-29", "View company online")</f>
        <v>View company online</v>
      </c>
    </row>
    <row r="388" spans="1:135">
      <c r="A388" s="15" t="s">
        <v>8151</v>
      </c>
      <c r="B388" s="15" t="s">
        <v>8152</v>
      </c>
      <c r="C388" s="15" t="s">
        <v>8153</v>
      </c>
      <c r="D388" s="15" t="s">
        <v>138</v>
      </c>
      <c r="E388" s="15" t="s">
        <v>138</v>
      </c>
      <c r="F388" s="15" t="s">
        <v>8151</v>
      </c>
      <c r="G388" s="15" t="s">
        <v>8154</v>
      </c>
      <c r="H388" s="15" t="s">
        <v>322</v>
      </c>
      <c r="I388" s="15" t="s">
        <v>323</v>
      </c>
      <c r="J388" s="15" t="s">
        <v>1184</v>
      </c>
      <c r="K388" s="15" t="s">
        <v>8155</v>
      </c>
      <c r="L388" s="15" t="s">
        <v>6542</v>
      </c>
      <c r="M388" s="15" t="s">
        <v>8156</v>
      </c>
      <c r="N388" s="15" t="s">
        <v>147</v>
      </c>
      <c r="O388" s="17">
        <v>4.5599999999999996</v>
      </c>
      <c r="P388" s="15" t="s">
        <v>148</v>
      </c>
      <c r="Q388" s="15" t="s">
        <v>149</v>
      </c>
      <c r="R388" s="15" t="s">
        <v>244</v>
      </c>
      <c r="S388" s="15" t="s">
        <v>8157</v>
      </c>
      <c r="T388" s="18">
        <v>16</v>
      </c>
      <c r="U388" s="15" t="s">
        <v>8158</v>
      </c>
      <c r="V388" s="15" t="s">
        <v>138</v>
      </c>
      <c r="W388" s="15" t="s">
        <v>138</v>
      </c>
      <c r="X388" s="19">
        <v>2012</v>
      </c>
      <c r="Y388" s="15" t="s">
        <v>138</v>
      </c>
      <c r="Z388" s="15" t="s">
        <v>138</v>
      </c>
      <c r="AA388" s="15" t="s">
        <v>138</v>
      </c>
      <c r="AB388" s="20" t="s">
        <v>138</v>
      </c>
      <c r="AC388" s="20" t="s">
        <v>138</v>
      </c>
      <c r="AD388" s="20">
        <v>0.28999999999999998</v>
      </c>
      <c r="AE388" s="20" t="s">
        <v>138</v>
      </c>
      <c r="AF388" s="20" t="s">
        <v>138</v>
      </c>
      <c r="AG388" s="15" t="s">
        <v>563</v>
      </c>
      <c r="AH388" s="20" t="s">
        <v>138</v>
      </c>
      <c r="AI388" s="20" t="s">
        <v>138</v>
      </c>
      <c r="AJ388" s="20" t="s">
        <v>138</v>
      </c>
      <c r="AK388" s="15" t="s">
        <v>8159</v>
      </c>
      <c r="AL388" s="15" t="s">
        <v>8160</v>
      </c>
      <c r="AM388" s="15" t="s">
        <v>249</v>
      </c>
      <c r="AN388" s="15" t="s">
        <v>8161</v>
      </c>
      <c r="AO388" s="15" t="s">
        <v>138</v>
      </c>
      <c r="AP388" s="15" t="s">
        <v>8162</v>
      </c>
      <c r="AQ388" s="15" t="s">
        <v>8163</v>
      </c>
      <c r="AR388" s="15" t="s">
        <v>8164</v>
      </c>
      <c r="AS388" s="15" t="s">
        <v>8165</v>
      </c>
      <c r="AT388" s="15" t="s">
        <v>824</v>
      </c>
      <c r="AU388" s="15" t="s">
        <v>8166</v>
      </c>
      <c r="AV388" s="15" t="s">
        <v>526</v>
      </c>
      <c r="AW388" s="15" t="s">
        <v>138</v>
      </c>
      <c r="AX388" s="15" t="s">
        <v>138</v>
      </c>
      <c r="AY388" s="15" t="s">
        <v>8167</v>
      </c>
      <c r="AZ388" s="15" t="s">
        <v>530</v>
      </c>
      <c r="BA388" s="15" t="s">
        <v>531</v>
      </c>
      <c r="BB388" s="15" t="s">
        <v>8168</v>
      </c>
      <c r="BC388" s="15" t="s">
        <v>8169</v>
      </c>
      <c r="BD388" s="21">
        <v>5</v>
      </c>
      <c r="BE388" s="15" t="s">
        <v>138</v>
      </c>
      <c r="BF388" s="15" t="s">
        <v>138</v>
      </c>
      <c r="BG388" s="15" t="s">
        <v>138</v>
      </c>
      <c r="BH388" s="15" t="s">
        <v>8170</v>
      </c>
      <c r="BI388" s="15" t="s">
        <v>138</v>
      </c>
      <c r="BJ388" s="15" t="s">
        <v>138</v>
      </c>
      <c r="BK388" s="15" t="s">
        <v>138</v>
      </c>
      <c r="BL388" s="15" t="s">
        <v>8171</v>
      </c>
      <c r="BM388" s="22">
        <v>41134</v>
      </c>
      <c r="BN388" s="17">
        <v>0.2</v>
      </c>
      <c r="BO388" s="15" t="s">
        <v>172</v>
      </c>
      <c r="BP388" s="17">
        <v>2.62</v>
      </c>
      <c r="BQ388" s="15" t="s">
        <v>172</v>
      </c>
      <c r="BR388" s="15" t="s">
        <v>262</v>
      </c>
      <c r="BS388" s="15" t="s">
        <v>262</v>
      </c>
      <c r="BT388" s="15" t="s">
        <v>138</v>
      </c>
      <c r="BU388" s="15" t="s">
        <v>263</v>
      </c>
      <c r="BV388" s="15" t="s">
        <v>138</v>
      </c>
      <c r="BW388" s="15" t="s">
        <v>138</v>
      </c>
      <c r="BX388" s="15" t="s">
        <v>138</v>
      </c>
      <c r="BY388" s="15" t="s">
        <v>175</v>
      </c>
      <c r="BZ388" s="22">
        <v>43090</v>
      </c>
      <c r="CA388" s="17">
        <v>3.05</v>
      </c>
      <c r="CB388" s="15" t="s">
        <v>172</v>
      </c>
      <c r="CC388" s="17">
        <v>9.85</v>
      </c>
      <c r="CD388" s="15" t="s">
        <v>172</v>
      </c>
      <c r="CE388" s="15" t="s">
        <v>205</v>
      </c>
      <c r="CF388" s="15" t="s">
        <v>138</v>
      </c>
      <c r="CG388" s="15" t="s">
        <v>138</v>
      </c>
      <c r="CH388" s="15" t="s">
        <v>174</v>
      </c>
      <c r="CI388" s="15" t="s">
        <v>138</v>
      </c>
      <c r="CJ388" s="15" t="s">
        <v>138</v>
      </c>
      <c r="CK388" s="15" t="s">
        <v>138</v>
      </c>
      <c r="CL388" s="15" t="s">
        <v>175</v>
      </c>
      <c r="CM388" s="22" t="s">
        <v>138</v>
      </c>
      <c r="CN388" s="17" t="s">
        <v>138</v>
      </c>
      <c r="CO388" s="23">
        <v>0.01</v>
      </c>
      <c r="CP388" s="24">
        <v>84</v>
      </c>
      <c r="CQ388" s="23">
        <v>-0.02</v>
      </c>
      <c r="CR388" s="23">
        <v>-66.72</v>
      </c>
      <c r="CS388" s="23">
        <v>0</v>
      </c>
      <c r="CT388" s="24">
        <v>23</v>
      </c>
      <c r="CU388" s="23">
        <v>0.02</v>
      </c>
      <c r="CV388" s="24">
        <v>51</v>
      </c>
      <c r="CW388" s="23" t="s">
        <v>138</v>
      </c>
      <c r="CX388" s="24" t="s">
        <v>138</v>
      </c>
      <c r="CY388" s="23">
        <v>0</v>
      </c>
      <c r="CZ388" s="24">
        <v>25</v>
      </c>
      <c r="DA388" s="23">
        <v>0.05</v>
      </c>
      <c r="DB388" s="24">
        <v>64</v>
      </c>
      <c r="DC388" s="25">
        <v>0.86</v>
      </c>
      <c r="DD388" s="24">
        <v>47</v>
      </c>
      <c r="DE388" s="25">
        <v>0</v>
      </c>
      <c r="DF388" s="23">
        <v>0.28999999999999998</v>
      </c>
      <c r="DG388" s="25">
        <v>0.52</v>
      </c>
      <c r="DH388" s="24">
        <v>35</v>
      </c>
      <c r="DI388" s="25">
        <v>1.21</v>
      </c>
      <c r="DJ388" s="24">
        <v>53</v>
      </c>
      <c r="DK388" s="25" t="s">
        <v>138</v>
      </c>
      <c r="DL388" s="24" t="s">
        <v>138</v>
      </c>
      <c r="DM388" s="25">
        <v>0.52</v>
      </c>
      <c r="DN388" s="24">
        <v>35</v>
      </c>
      <c r="DO388" s="25">
        <v>2.31</v>
      </c>
      <c r="DP388" s="24">
        <v>66</v>
      </c>
      <c r="DQ388" s="24" t="s">
        <v>138</v>
      </c>
      <c r="DR388" s="26" t="s">
        <v>138</v>
      </c>
      <c r="DS388" s="23" t="s">
        <v>138</v>
      </c>
      <c r="DT388" s="24">
        <v>15</v>
      </c>
      <c r="DU388" s="26">
        <v>0</v>
      </c>
      <c r="DV388" s="23">
        <v>0</v>
      </c>
      <c r="DW388" s="24">
        <v>828</v>
      </c>
      <c r="DX388" s="27">
        <v>-1</v>
      </c>
      <c r="DY388" s="23">
        <v>-0.12</v>
      </c>
      <c r="DZ388" s="15" t="s">
        <v>178</v>
      </c>
      <c r="EA388" s="22">
        <v>43607</v>
      </c>
      <c r="EB388" s="17">
        <v>9.85</v>
      </c>
      <c r="EC388" s="22">
        <v>43090</v>
      </c>
      <c r="ED388" s="15" t="s">
        <v>205</v>
      </c>
      <c r="EE388" s="14" t="str">
        <f>HYPERLINK("https://my.pitchbook.com?c=113302-36", "View company online")</f>
        <v>View company online</v>
      </c>
    </row>
    <row r="389" spans="1:135">
      <c r="A389" s="28" t="s">
        <v>8172</v>
      </c>
      <c r="B389" s="28" t="s">
        <v>8173</v>
      </c>
      <c r="C389" s="28" t="s">
        <v>8174</v>
      </c>
      <c r="D389" s="28" t="s">
        <v>138</v>
      </c>
      <c r="E389" s="28" t="s">
        <v>138</v>
      </c>
      <c r="F389" s="28" t="s">
        <v>8172</v>
      </c>
      <c r="G389" s="28" t="s">
        <v>8175</v>
      </c>
      <c r="H389" s="28" t="s">
        <v>322</v>
      </c>
      <c r="I389" s="28" t="s">
        <v>323</v>
      </c>
      <c r="J389" s="28" t="s">
        <v>324</v>
      </c>
      <c r="K389" s="28" t="s">
        <v>8176</v>
      </c>
      <c r="L389" s="28" t="s">
        <v>8177</v>
      </c>
      <c r="M389" s="28" t="s">
        <v>8178</v>
      </c>
      <c r="N389" s="28" t="s">
        <v>147</v>
      </c>
      <c r="O389" s="29">
        <v>250.22</v>
      </c>
      <c r="P389" s="28" t="s">
        <v>148</v>
      </c>
      <c r="Q389" s="28" t="s">
        <v>149</v>
      </c>
      <c r="R389" s="28" t="s">
        <v>174</v>
      </c>
      <c r="S389" s="28" t="s">
        <v>8179</v>
      </c>
      <c r="T389" s="30" t="s">
        <v>138</v>
      </c>
      <c r="U389" s="28" t="s">
        <v>138</v>
      </c>
      <c r="V389" s="28" t="s">
        <v>138</v>
      </c>
      <c r="W389" s="28" t="s">
        <v>138</v>
      </c>
      <c r="X389" s="31">
        <v>2016</v>
      </c>
      <c r="Y389" s="28" t="s">
        <v>138</v>
      </c>
      <c r="Z389" s="28" t="s">
        <v>138</v>
      </c>
      <c r="AA389" s="28" t="s">
        <v>138</v>
      </c>
      <c r="AB389" s="32" t="s">
        <v>138</v>
      </c>
      <c r="AC389" s="32" t="s">
        <v>138</v>
      </c>
      <c r="AD389" s="32" t="s">
        <v>138</v>
      </c>
      <c r="AE389" s="32" t="s">
        <v>138</v>
      </c>
      <c r="AF389" s="32" t="s">
        <v>138</v>
      </c>
      <c r="AG389" s="28" t="s">
        <v>138</v>
      </c>
      <c r="AH389" s="32" t="s">
        <v>138</v>
      </c>
      <c r="AI389" s="32" t="s">
        <v>138</v>
      </c>
      <c r="AJ389" s="32" t="s">
        <v>138</v>
      </c>
      <c r="AK389" s="28" t="s">
        <v>8180</v>
      </c>
      <c r="AL389" s="28" t="s">
        <v>8181</v>
      </c>
      <c r="AM389" s="28" t="s">
        <v>8182</v>
      </c>
      <c r="AN389" s="28" t="s">
        <v>8183</v>
      </c>
      <c r="AO389" s="28" t="s">
        <v>8184</v>
      </c>
      <c r="AP389" s="28" t="s">
        <v>665</v>
      </c>
      <c r="AQ389" s="28" t="s">
        <v>8185</v>
      </c>
      <c r="AR389" s="28" t="s">
        <v>138</v>
      </c>
      <c r="AS389" s="28" t="s">
        <v>668</v>
      </c>
      <c r="AT389" s="28" t="s">
        <v>200</v>
      </c>
      <c r="AU389" s="28" t="s">
        <v>691</v>
      </c>
      <c r="AV389" s="28" t="s">
        <v>162</v>
      </c>
      <c r="AW389" s="28" t="s">
        <v>8184</v>
      </c>
      <c r="AX389" s="28" t="s">
        <v>138</v>
      </c>
      <c r="AY389" s="28" t="s">
        <v>8186</v>
      </c>
      <c r="AZ389" s="28" t="s">
        <v>164</v>
      </c>
      <c r="BA389" s="28" t="s">
        <v>165</v>
      </c>
      <c r="BB389" s="28" t="s">
        <v>8187</v>
      </c>
      <c r="BC389" s="28" t="s">
        <v>8188</v>
      </c>
      <c r="BD389" s="33">
        <v>3</v>
      </c>
      <c r="BE389" s="28" t="s">
        <v>138</v>
      </c>
      <c r="BF389" s="28" t="s">
        <v>138</v>
      </c>
      <c r="BG389" s="28" t="s">
        <v>138</v>
      </c>
      <c r="BH389" s="28" t="s">
        <v>8189</v>
      </c>
      <c r="BI389" s="28" t="s">
        <v>138</v>
      </c>
      <c r="BJ389" s="28" t="s">
        <v>138</v>
      </c>
      <c r="BK389" s="28" t="s">
        <v>138</v>
      </c>
      <c r="BL389" s="28" t="s">
        <v>138</v>
      </c>
      <c r="BM389" s="34">
        <v>42699</v>
      </c>
      <c r="BN389" s="29">
        <v>10.220000000000001</v>
      </c>
      <c r="BO389" s="28" t="s">
        <v>172</v>
      </c>
      <c r="BP389" s="29">
        <v>25.22</v>
      </c>
      <c r="BQ389" s="28" t="s">
        <v>172</v>
      </c>
      <c r="BR389" s="28" t="s">
        <v>205</v>
      </c>
      <c r="BS389" s="28" t="s">
        <v>206</v>
      </c>
      <c r="BT389" s="28" t="s">
        <v>138</v>
      </c>
      <c r="BU389" s="28" t="s">
        <v>174</v>
      </c>
      <c r="BV389" s="28" t="s">
        <v>138</v>
      </c>
      <c r="BW389" s="28" t="s">
        <v>138</v>
      </c>
      <c r="BX389" s="28" t="s">
        <v>138</v>
      </c>
      <c r="BY389" s="28" t="s">
        <v>175</v>
      </c>
      <c r="BZ389" s="34">
        <v>43483</v>
      </c>
      <c r="CA389" s="29">
        <v>240</v>
      </c>
      <c r="CB389" s="28" t="s">
        <v>172</v>
      </c>
      <c r="CC389" s="29" t="s">
        <v>138</v>
      </c>
      <c r="CD389" s="28" t="s">
        <v>138</v>
      </c>
      <c r="CE389" s="28" t="s">
        <v>205</v>
      </c>
      <c r="CF389" s="28" t="s">
        <v>206</v>
      </c>
      <c r="CG389" s="28" t="s">
        <v>138</v>
      </c>
      <c r="CH389" s="28" t="s">
        <v>174</v>
      </c>
      <c r="CI389" s="28" t="s">
        <v>138</v>
      </c>
      <c r="CJ389" s="28" t="s">
        <v>138</v>
      </c>
      <c r="CK389" s="28" t="s">
        <v>138</v>
      </c>
      <c r="CL389" s="28" t="s">
        <v>175</v>
      </c>
      <c r="CM389" s="34" t="s">
        <v>138</v>
      </c>
      <c r="CN389" s="29" t="s">
        <v>138</v>
      </c>
      <c r="CO389" s="35">
        <v>0.97</v>
      </c>
      <c r="CP389" s="36">
        <v>97</v>
      </c>
      <c r="CQ389" s="35">
        <v>0</v>
      </c>
      <c r="CR389" s="35">
        <v>0</v>
      </c>
      <c r="CS389" s="35">
        <v>0.97</v>
      </c>
      <c r="CT389" s="36">
        <v>97</v>
      </c>
      <c r="CU389" s="35" t="s">
        <v>138</v>
      </c>
      <c r="CV389" s="36" t="s">
        <v>138</v>
      </c>
      <c r="CW389" s="35">
        <v>1.94</v>
      </c>
      <c r="CX389" s="36">
        <v>88</v>
      </c>
      <c r="CY389" s="35">
        <v>0</v>
      </c>
      <c r="CZ389" s="36">
        <v>25</v>
      </c>
      <c r="DA389" s="35" t="s">
        <v>138</v>
      </c>
      <c r="DB389" s="36" t="s">
        <v>138</v>
      </c>
      <c r="DC389" s="37">
        <v>2.21</v>
      </c>
      <c r="DD389" s="36">
        <v>69</v>
      </c>
      <c r="DE389" s="37">
        <v>-0.26</v>
      </c>
      <c r="DF389" s="35">
        <v>-10.46</v>
      </c>
      <c r="DG389" s="37">
        <v>2.21</v>
      </c>
      <c r="DH389" s="36">
        <v>69</v>
      </c>
      <c r="DI389" s="37" t="s">
        <v>138</v>
      </c>
      <c r="DJ389" s="36" t="s">
        <v>138</v>
      </c>
      <c r="DK389" s="37">
        <v>3.48</v>
      </c>
      <c r="DL389" s="36">
        <v>74</v>
      </c>
      <c r="DM389" s="37">
        <v>0.93</v>
      </c>
      <c r="DN389" s="36">
        <v>48</v>
      </c>
      <c r="DO389" s="37" t="s">
        <v>138</v>
      </c>
      <c r="DP389" s="36" t="s">
        <v>138</v>
      </c>
      <c r="DQ389" s="36">
        <v>1161</v>
      </c>
      <c r="DR389" s="38">
        <v>99</v>
      </c>
      <c r="DS389" s="35">
        <v>9.32</v>
      </c>
      <c r="DT389" s="36">
        <v>27</v>
      </c>
      <c r="DU389" s="38">
        <v>-2</v>
      </c>
      <c r="DV389" s="35">
        <v>-6.9</v>
      </c>
      <c r="DW389" s="36" t="s">
        <v>138</v>
      </c>
      <c r="DX389" s="39" t="s">
        <v>138</v>
      </c>
      <c r="DY389" s="35" t="s">
        <v>138</v>
      </c>
      <c r="DZ389" s="28" t="s">
        <v>178</v>
      </c>
      <c r="EA389" s="34">
        <v>43622</v>
      </c>
      <c r="EB389" s="29">
        <v>25.22</v>
      </c>
      <c r="EC389" s="34">
        <v>42699</v>
      </c>
      <c r="ED389" s="28" t="s">
        <v>205</v>
      </c>
      <c r="EE389" s="40" t="str">
        <f>HYPERLINK("https://my.pitchbook.com?c=168488-11", "View company online")</f>
        <v>View company online</v>
      </c>
    </row>
    <row r="390" spans="1:135">
      <c r="A390" s="15" t="s">
        <v>8190</v>
      </c>
      <c r="B390" s="15" t="s">
        <v>8191</v>
      </c>
      <c r="C390" s="15" t="s">
        <v>8192</v>
      </c>
      <c r="D390" s="15" t="s">
        <v>138</v>
      </c>
      <c r="E390" s="15" t="s">
        <v>138</v>
      </c>
      <c r="F390" s="15" t="s">
        <v>8190</v>
      </c>
      <c r="G390" s="15" t="s">
        <v>8193</v>
      </c>
      <c r="H390" s="15" t="s">
        <v>890</v>
      </c>
      <c r="I390" s="15" t="s">
        <v>5099</v>
      </c>
      <c r="J390" s="15" t="s">
        <v>5688</v>
      </c>
      <c r="K390" s="15" t="s">
        <v>8194</v>
      </c>
      <c r="L390" s="15" t="s">
        <v>5101</v>
      </c>
      <c r="M390" s="15" t="s">
        <v>8195</v>
      </c>
      <c r="N390" s="15" t="s">
        <v>147</v>
      </c>
      <c r="O390" s="17">
        <v>0.8</v>
      </c>
      <c r="P390" s="15" t="s">
        <v>610</v>
      </c>
      <c r="Q390" s="15" t="s">
        <v>149</v>
      </c>
      <c r="R390" s="15" t="s">
        <v>174</v>
      </c>
      <c r="S390" s="15" t="s">
        <v>8196</v>
      </c>
      <c r="T390" s="18">
        <v>74</v>
      </c>
      <c r="U390" s="15" t="s">
        <v>8197</v>
      </c>
      <c r="V390" s="15" t="s">
        <v>138</v>
      </c>
      <c r="W390" s="15" t="s">
        <v>138</v>
      </c>
      <c r="X390" s="19">
        <v>2009</v>
      </c>
      <c r="Y390" s="15" t="s">
        <v>138</v>
      </c>
      <c r="Z390" s="15" t="s">
        <v>138</v>
      </c>
      <c r="AA390" s="15" t="s">
        <v>1163</v>
      </c>
      <c r="AB390" s="20" t="s">
        <v>138</v>
      </c>
      <c r="AC390" s="20" t="s">
        <v>138</v>
      </c>
      <c r="AD390" s="20" t="s">
        <v>138</v>
      </c>
      <c r="AE390" s="20" t="s">
        <v>138</v>
      </c>
      <c r="AF390" s="20" t="s">
        <v>138</v>
      </c>
      <c r="AG390" s="15" t="s">
        <v>138</v>
      </c>
      <c r="AH390" s="20" t="s">
        <v>138</v>
      </c>
      <c r="AI390" s="20" t="s">
        <v>138</v>
      </c>
      <c r="AJ390" s="20" t="s">
        <v>138</v>
      </c>
      <c r="AK390" s="15" t="s">
        <v>8198</v>
      </c>
      <c r="AL390" s="15" t="s">
        <v>8199</v>
      </c>
      <c r="AM390" s="15" t="s">
        <v>2451</v>
      </c>
      <c r="AN390" s="15" t="s">
        <v>8200</v>
      </c>
      <c r="AO390" s="15" t="s">
        <v>138</v>
      </c>
      <c r="AP390" s="15" t="s">
        <v>1168</v>
      </c>
      <c r="AQ390" s="15" t="s">
        <v>8201</v>
      </c>
      <c r="AR390" s="15" t="s">
        <v>138</v>
      </c>
      <c r="AS390" s="15" t="s">
        <v>1171</v>
      </c>
      <c r="AT390" s="15" t="s">
        <v>200</v>
      </c>
      <c r="AU390" s="15" t="s">
        <v>5913</v>
      </c>
      <c r="AV390" s="15" t="s">
        <v>162</v>
      </c>
      <c r="AW390" s="15" t="s">
        <v>138</v>
      </c>
      <c r="AX390" s="15" t="s">
        <v>138</v>
      </c>
      <c r="AY390" s="15" t="s">
        <v>8202</v>
      </c>
      <c r="AZ390" s="15" t="s">
        <v>164</v>
      </c>
      <c r="BA390" s="15" t="s">
        <v>165</v>
      </c>
      <c r="BB390" s="15" t="s">
        <v>8203</v>
      </c>
      <c r="BC390" s="15" t="s">
        <v>8204</v>
      </c>
      <c r="BD390" s="21">
        <v>10</v>
      </c>
      <c r="BE390" s="15" t="s">
        <v>138</v>
      </c>
      <c r="BF390" s="15" t="s">
        <v>8205</v>
      </c>
      <c r="BG390" s="15" t="s">
        <v>138</v>
      </c>
      <c r="BH390" s="15" t="s">
        <v>8206</v>
      </c>
      <c r="BI390" s="15" t="s">
        <v>8207</v>
      </c>
      <c r="BJ390" s="15" t="s">
        <v>138</v>
      </c>
      <c r="BK390" s="15" t="s">
        <v>8208</v>
      </c>
      <c r="BL390" s="15" t="s">
        <v>138</v>
      </c>
      <c r="BM390" s="22" t="s">
        <v>138</v>
      </c>
      <c r="BN390" s="17">
        <v>0.4</v>
      </c>
      <c r="BO390" s="15" t="s">
        <v>172</v>
      </c>
      <c r="BP390" s="17" t="s">
        <v>138</v>
      </c>
      <c r="BQ390" s="15" t="s">
        <v>138</v>
      </c>
      <c r="BR390" s="15" t="s">
        <v>205</v>
      </c>
      <c r="BS390" s="15" t="s">
        <v>138</v>
      </c>
      <c r="BT390" s="15" t="s">
        <v>138</v>
      </c>
      <c r="BU390" s="15" t="s">
        <v>174</v>
      </c>
      <c r="BV390" s="15" t="s">
        <v>138</v>
      </c>
      <c r="BW390" s="15" t="s">
        <v>138</v>
      </c>
      <c r="BX390" s="15" t="s">
        <v>138</v>
      </c>
      <c r="BY390" s="15" t="s">
        <v>175</v>
      </c>
      <c r="BZ390" s="22" t="s">
        <v>138</v>
      </c>
      <c r="CA390" s="17" t="s">
        <v>138</v>
      </c>
      <c r="CB390" s="15" t="s">
        <v>138</v>
      </c>
      <c r="CC390" s="17" t="s">
        <v>138</v>
      </c>
      <c r="CD390" s="15" t="s">
        <v>138</v>
      </c>
      <c r="CE390" s="15" t="s">
        <v>205</v>
      </c>
      <c r="CF390" s="15" t="s">
        <v>138</v>
      </c>
      <c r="CG390" s="15" t="s">
        <v>138</v>
      </c>
      <c r="CH390" s="15" t="s">
        <v>174</v>
      </c>
      <c r="CI390" s="15" t="s">
        <v>138</v>
      </c>
      <c r="CJ390" s="15" t="s">
        <v>138</v>
      </c>
      <c r="CK390" s="15" t="s">
        <v>138</v>
      </c>
      <c r="CL390" s="15" t="s">
        <v>175</v>
      </c>
      <c r="CM390" s="22" t="s">
        <v>138</v>
      </c>
      <c r="CN390" s="17" t="s">
        <v>138</v>
      </c>
      <c r="CO390" s="23">
        <v>2.29</v>
      </c>
      <c r="CP390" s="24">
        <v>99</v>
      </c>
      <c r="CQ390" s="23">
        <v>-0.01</v>
      </c>
      <c r="CR390" s="23">
        <v>-0.27</v>
      </c>
      <c r="CS390" s="23">
        <v>4.51</v>
      </c>
      <c r="CT390" s="24">
        <v>100</v>
      </c>
      <c r="CU390" s="23">
        <v>0.06</v>
      </c>
      <c r="CV390" s="24">
        <v>60</v>
      </c>
      <c r="CW390" s="23">
        <v>4.51</v>
      </c>
      <c r="CX390" s="24">
        <v>95</v>
      </c>
      <c r="CY390" s="23" t="s">
        <v>138</v>
      </c>
      <c r="CZ390" s="24" t="s">
        <v>138</v>
      </c>
      <c r="DA390" s="23">
        <v>7.0000000000000007E-2</v>
      </c>
      <c r="DB390" s="24">
        <v>67</v>
      </c>
      <c r="DC390" s="25">
        <v>19.149999999999999</v>
      </c>
      <c r="DD390" s="24">
        <v>94</v>
      </c>
      <c r="DE390" s="25">
        <v>-1.25</v>
      </c>
      <c r="DF390" s="23">
        <v>-6.13</v>
      </c>
      <c r="DG390" s="25">
        <v>20.149999999999999</v>
      </c>
      <c r="DH390" s="24">
        <v>95</v>
      </c>
      <c r="DI390" s="25">
        <v>18.149999999999999</v>
      </c>
      <c r="DJ390" s="24">
        <v>90</v>
      </c>
      <c r="DK390" s="25">
        <v>20.149999999999999</v>
      </c>
      <c r="DL390" s="24">
        <v>92</v>
      </c>
      <c r="DM390" s="25" t="s">
        <v>138</v>
      </c>
      <c r="DN390" s="24" t="s">
        <v>138</v>
      </c>
      <c r="DO390" s="25">
        <v>29.4</v>
      </c>
      <c r="DP390" s="24">
        <v>94</v>
      </c>
      <c r="DQ390" s="24">
        <v>6772</v>
      </c>
      <c r="DR390" s="26">
        <v>416</v>
      </c>
      <c r="DS390" s="23">
        <v>6.54</v>
      </c>
      <c r="DT390" s="24" t="s">
        <v>138</v>
      </c>
      <c r="DU390" s="26" t="s">
        <v>138</v>
      </c>
      <c r="DV390" s="23" t="s">
        <v>138</v>
      </c>
      <c r="DW390" s="24">
        <v>10519</v>
      </c>
      <c r="DX390" s="27">
        <v>1</v>
      </c>
      <c r="DY390" s="23">
        <v>0.01</v>
      </c>
      <c r="DZ390" s="15" t="s">
        <v>178</v>
      </c>
      <c r="EA390" s="22">
        <v>43622</v>
      </c>
      <c r="EB390" s="17" t="s">
        <v>138</v>
      </c>
      <c r="EC390" s="22" t="s">
        <v>138</v>
      </c>
      <c r="ED390" s="15" t="s">
        <v>138</v>
      </c>
      <c r="EE390" s="14" t="str">
        <f>HYPERLINK("https://my.pitchbook.com?c=54252-01", "View company online")</f>
        <v>View company online</v>
      </c>
    </row>
    <row r="391" spans="1:135">
      <c r="A391" s="28" t="s">
        <v>8209</v>
      </c>
      <c r="B391" s="28" t="s">
        <v>8210</v>
      </c>
      <c r="C391" s="28" t="s">
        <v>138</v>
      </c>
      <c r="D391" s="28" t="s">
        <v>8211</v>
      </c>
      <c r="E391" s="28" t="s">
        <v>8212</v>
      </c>
      <c r="F391" s="28" t="s">
        <v>8209</v>
      </c>
      <c r="G391" s="28" t="s">
        <v>8213</v>
      </c>
      <c r="H391" s="28" t="s">
        <v>890</v>
      </c>
      <c r="I391" s="28" t="s">
        <v>5099</v>
      </c>
      <c r="J391" s="28" t="s">
        <v>351</v>
      </c>
      <c r="K391" s="28" t="s">
        <v>8214</v>
      </c>
      <c r="L391" s="28" t="s">
        <v>138</v>
      </c>
      <c r="M391" s="28" t="s">
        <v>8215</v>
      </c>
      <c r="N391" s="28" t="s">
        <v>147</v>
      </c>
      <c r="O391" s="29">
        <v>2.5</v>
      </c>
      <c r="P391" s="28" t="s">
        <v>148</v>
      </c>
      <c r="Q391" s="28" t="s">
        <v>149</v>
      </c>
      <c r="R391" s="28" t="s">
        <v>174</v>
      </c>
      <c r="S391" s="28" t="s">
        <v>8216</v>
      </c>
      <c r="T391" s="30">
        <v>448</v>
      </c>
      <c r="U391" s="28" t="s">
        <v>8217</v>
      </c>
      <c r="V391" s="28" t="s">
        <v>138</v>
      </c>
      <c r="W391" s="28" t="s">
        <v>138</v>
      </c>
      <c r="X391" s="31">
        <v>2010</v>
      </c>
      <c r="Y391" s="28" t="s">
        <v>8218</v>
      </c>
      <c r="Z391" s="28" t="s">
        <v>138</v>
      </c>
      <c r="AA391" s="28" t="s">
        <v>138</v>
      </c>
      <c r="AB391" s="32" t="s">
        <v>138</v>
      </c>
      <c r="AC391" s="32" t="s">
        <v>138</v>
      </c>
      <c r="AD391" s="32" t="s">
        <v>138</v>
      </c>
      <c r="AE391" s="32" t="s">
        <v>138</v>
      </c>
      <c r="AF391" s="32" t="s">
        <v>138</v>
      </c>
      <c r="AG391" s="28" t="s">
        <v>138</v>
      </c>
      <c r="AH391" s="32" t="s">
        <v>138</v>
      </c>
      <c r="AI391" s="32" t="s">
        <v>138</v>
      </c>
      <c r="AJ391" s="32" t="s">
        <v>138</v>
      </c>
      <c r="AK391" s="28" t="s">
        <v>8219</v>
      </c>
      <c r="AL391" s="28" t="s">
        <v>8220</v>
      </c>
      <c r="AM391" s="28" t="s">
        <v>8221</v>
      </c>
      <c r="AN391" s="28" t="s">
        <v>8222</v>
      </c>
      <c r="AO391" s="28" t="s">
        <v>138</v>
      </c>
      <c r="AP391" s="28" t="s">
        <v>820</v>
      </c>
      <c r="AQ391" s="28" t="s">
        <v>8223</v>
      </c>
      <c r="AR391" s="28" t="s">
        <v>138</v>
      </c>
      <c r="AS391" s="28" t="s">
        <v>823</v>
      </c>
      <c r="AT391" s="28" t="s">
        <v>824</v>
      </c>
      <c r="AU391" s="28" t="s">
        <v>8224</v>
      </c>
      <c r="AV391" s="28" t="s">
        <v>526</v>
      </c>
      <c r="AW391" s="28" t="s">
        <v>138</v>
      </c>
      <c r="AX391" s="28" t="s">
        <v>138</v>
      </c>
      <c r="AY391" s="28" t="s">
        <v>8225</v>
      </c>
      <c r="AZ391" s="28" t="s">
        <v>530</v>
      </c>
      <c r="BA391" s="28" t="s">
        <v>531</v>
      </c>
      <c r="BB391" s="28" t="s">
        <v>8226</v>
      </c>
      <c r="BC391" s="28" t="s">
        <v>8227</v>
      </c>
      <c r="BD391" s="33">
        <v>22</v>
      </c>
      <c r="BE391" s="28" t="s">
        <v>138</v>
      </c>
      <c r="BF391" s="28" t="s">
        <v>138</v>
      </c>
      <c r="BG391" s="28" t="s">
        <v>138</v>
      </c>
      <c r="BH391" s="28" t="s">
        <v>8228</v>
      </c>
      <c r="BI391" s="28" t="s">
        <v>138</v>
      </c>
      <c r="BJ391" s="28" t="s">
        <v>138</v>
      </c>
      <c r="BK391" s="28" t="s">
        <v>8229</v>
      </c>
      <c r="BL391" s="28" t="s">
        <v>8230</v>
      </c>
      <c r="BM391" s="34">
        <v>41543</v>
      </c>
      <c r="BN391" s="29" t="s">
        <v>138</v>
      </c>
      <c r="BO391" s="28" t="s">
        <v>138</v>
      </c>
      <c r="BP391" s="29" t="s">
        <v>138</v>
      </c>
      <c r="BQ391" s="28" t="s">
        <v>138</v>
      </c>
      <c r="BR391" s="28" t="s">
        <v>205</v>
      </c>
      <c r="BS391" s="28" t="s">
        <v>138</v>
      </c>
      <c r="BT391" s="28" t="s">
        <v>138</v>
      </c>
      <c r="BU391" s="28" t="s">
        <v>174</v>
      </c>
      <c r="BV391" s="28" t="s">
        <v>138</v>
      </c>
      <c r="BW391" s="28" t="s">
        <v>138</v>
      </c>
      <c r="BX391" s="28" t="s">
        <v>138</v>
      </c>
      <c r="BY391" s="28" t="s">
        <v>175</v>
      </c>
      <c r="BZ391" s="34">
        <v>42662</v>
      </c>
      <c r="CA391" s="29">
        <v>1.24</v>
      </c>
      <c r="CB391" s="28" t="s">
        <v>172</v>
      </c>
      <c r="CC391" s="29" t="s">
        <v>138</v>
      </c>
      <c r="CD391" s="28" t="s">
        <v>138</v>
      </c>
      <c r="CE391" s="28" t="s">
        <v>780</v>
      </c>
      <c r="CF391" s="28" t="s">
        <v>780</v>
      </c>
      <c r="CG391" s="28" t="s">
        <v>138</v>
      </c>
      <c r="CH391" s="28" t="s">
        <v>780</v>
      </c>
      <c r="CI391" s="28" t="s">
        <v>138</v>
      </c>
      <c r="CJ391" s="28" t="s">
        <v>138</v>
      </c>
      <c r="CK391" s="28" t="s">
        <v>138</v>
      </c>
      <c r="CL391" s="28" t="s">
        <v>175</v>
      </c>
      <c r="CM391" s="34" t="s">
        <v>138</v>
      </c>
      <c r="CN391" s="29" t="s">
        <v>138</v>
      </c>
      <c r="CO391" s="35">
        <v>-0.19</v>
      </c>
      <c r="CP391" s="36">
        <v>20</v>
      </c>
      <c r="CQ391" s="35">
        <v>0</v>
      </c>
      <c r="CR391" s="35">
        <v>-0.3</v>
      </c>
      <c r="CS391" s="35">
        <v>-0.44</v>
      </c>
      <c r="CT391" s="36">
        <v>20</v>
      </c>
      <c r="CU391" s="35">
        <v>0.06</v>
      </c>
      <c r="CV391" s="36">
        <v>60</v>
      </c>
      <c r="CW391" s="35">
        <v>0.77</v>
      </c>
      <c r="CX391" s="36">
        <v>84</v>
      </c>
      <c r="CY391" s="35">
        <v>-1.64</v>
      </c>
      <c r="CZ391" s="36">
        <v>14</v>
      </c>
      <c r="DA391" s="35">
        <v>7.0000000000000007E-2</v>
      </c>
      <c r="DB391" s="36">
        <v>67</v>
      </c>
      <c r="DC391" s="37">
        <v>71.680000000000007</v>
      </c>
      <c r="DD391" s="36">
        <v>99</v>
      </c>
      <c r="DE391" s="37">
        <v>-0.27</v>
      </c>
      <c r="DF391" s="35">
        <v>-0.37</v>
      </c>
      <c r="DG391" s="37">
        <v>79.8</v>
      </c>
      <c r="DH391" s="36">
        <v>99</v>
      </c>
      <c r="DI391" s="37">
        <v>63.55</v>
      </c>
      <c r="DJ391" s="36">
        <v>96</v>
      </c>
      <c r="DK391" s="37">
        <v>12.33</v>
      </c>
      <c r="DL391" s="36">
        <v>88</v>
      </c>
      <c r="DM391" s="37">
        <v>147.28</v>
      </c>
      <c r="DN391" s="36">
        <v>100</v>
      </c>
      <c r="DO391" s="37">
        <v>87.18</v>
      </c>
      <c r="DP391" s="36">
        <v>98</v>
      </c>
      <c r="DQ391" s="36">
        <v>4243</v>
      </c>
      <c r="DR391" s="38">
        <v>-45</v>
      </c>
      <c r="DS391" s="35">
        <v>-1.05</v>
      </c>
      <c r="DT391" s="36">
        <v>4271</v>
      </c>
      <c r="DU391" s="38">
        <v>1</v>
      </c>
      <c r="DV391" s="35">
        <v>0.02</v>
      </c>
      <c r="DW391" s="36">
        <v>31198</v>
      </c>
      <c r="DX391" s="39">
        <v>16</v>
      </c>
      <c r="DY391" s="35">
        <v>0.05</v>
      </c>
      <c r="DZ391" s="28" t="s">
        <v>178</v>
      </c>
      <c r="EA391" s="34">
        <v>43622</v>
      </c>
      <c r="EB391" s="29" t="s">
        <v>138</v>
      </c>
      <c r="EC391" s="34" t="s">
        <v>138</v>
      </c>
      <c r="ED391" s="28" t="s">
        <v>138</v>
      </c>
      <c r="EE391" s="40" t="str">
        <f>HYPERLINK("https://my.pitchbook.com?c=55017-46", "View company online")</f>
        <v>View company online</v>
      </c>
    </row>
    <row r="392" spans="1:135">
      <c r="A392" s="15" t="s">
        <v>8231</v>
      </c>
      <c r="B392" s="15" t="s">
        <v>8232</v>
      </c>
      <c r="C392" s="15" t="s">
        <v>138</v>
      </c>
      <c r="D392" s="15" t="s">
        <v>8233</v>
      </c>
      <c r="E392" s="15" t="s">
        <v>8234</v>
      </c>
      <c r="F392" s="15" t="s">
        <v>8231</v>
      </c>
      <c r="G392" s="15" t="s">
        <v>8235</v>
      </c>
      <c r="H392" s="15" t="s">
        <v>238</v>
      </c>
      <c r="I392" s="15" t="s">
        <v>1351</v>
      </c>
      <c r="J392" s="15" t="s">
        <v>1352</v>
      </c>
      <c r="K392" s="15" t="s">
        <v>8236</v>
      </c>
      <c r="L392" s="15" t="s">
        <v>8237</v>
      </c>
      <c r="M392" s="15" t="s">
        <v>8238</v>
      </c>
      <c r="N392" s="15" t="s">
        <v>147</v>
      </c>
      <c r="O392" s="17">
        <v>42.2</v>
      </c>
      <c r="P392" s="15" t="s">
        <v>148</v>
      </c>
      <c r="Q392" s="15" t="s">
        <v>149</v>
      </c>
      <c r="R392" s="15" t="s">
        <v>174</v>
      </c>
      <c r="S392" s="15" t="s">
        <v>8239</v>
      </c>
      <c r="T392" s="18">
        <v>200</v>
      </c>
      <c r="U392" s="15" t="s">
        <v>8240</v>
      </c>
      <c r="V392" s="15" t="s">
        <v>138</v>
      </c>
      <c r="W392" s="15" t="s">
        <v>138</v>
      </c>
      <c r="X392" s="19">
        <v>2014</v>
      </c>
      <c r="Y392" s="15" t="s">
        <v>138</v>
      </c>
      <c r="Z392" s="15" t="s">
        <v>138</v>
      </c>
      <c r="AA392" s="15" t="s">
        <v>138</v>
      </c>
      <c r="AB392" s="20" t="s">
        <v>138</v>
      </c>
      <c r="AC392" s="20" t="s">
        <v>138</v>
      </c>
      <c r="AD392" s="20" t="s">
        <v>138</v>
      </c>
      <c r="AE392" s="20" t="s">
        <v>138</v>
      </c>
      <c r="AF392" s="20" t="s">
        <v>138</v>
      </c>
      <c r="AG392" s="15" t="s">
        <v>138</v>
      </c>
      <c r="AH392" s="20" t="s">
        <v>138</v>
      </c>
      <c r="AI392" s="20" t="s">
        <v>138</v>
      </c>
      <c r="AJ392" s="20" t="s">
        <v>138</v>
      </c>
      <c r="AK392" s="15" t="s">
        <v>8241</v>
      </c>
      <c r="AL392" s="15" t="s">
        <v>8242</v>
      </c>
      <c r="AM392" s="15" t="s">
        <v>8243</v>
      </c>
      <c r="AN392" s="15" t="s">
        <v>8244</v>
      </c>
      <c r="AO392" s="15" t="s">
        <v>8245</v>
      </c>
      <c r="AP392" s="15" t="s">
        <v>665</v>
      </c>
      <c r="AQ392" s="15" t="s">
        <v>6977</v>
      </c>
      <c r="AR392" s="15" t="s">
        <v>138</v>
      </c>
      <c r="AS392" s="15" t="s">
        <v>668</v>
      </c>
      <c r="AT392" s="15" t="s">
        <v>200</v>
      </c>
      <c r="AU392" s="15" t="s">
        <v>669</v>
      </c>
      <c r="AV392" s="15" t="s">
        <v>162</v>
      </c>
      <c r="AW392" s="15" t="s">
        <v>138</v>
      </c>
      <c r="AX392" s="15" t="s">
        <v>138</v>
      </c>
      <c r="AY392" s="15" t="s">
        <v>8246</v>
      </c>
      <c r="AZ392" s="15" t="s">
        <v>164</v>
      </c>
      <c r="BA392" s="15" t="s">
        <v>165</v>
      </c>
      <c r="BB392" s="15" t="s">
        <v>8247</v>
      </c>
      <c r="BC392" s="15" t="s">
        <v>8248</v>
      </c>
      <c r="BD392" s="21">
        <v>11</v>
      </c>
      <c r="BE392" s="15" t="s">
        <v>138</v>
      </c>
      <c r="BF392" s="15" t="s">
        <v>138</v>
      </c>
      <c r="BG392" s="15" t="s">
        <v>138</v>
      </c>
      <c r="BH392" s="15" t="s">
        <v>8249</v>
      </c>
      <c r="BI392" s="15" t="s">
        <v>138</v>
      </c>
      <c r="BJ392" s="15" t="s">
        <v>138</v>
      </c>
      <c r="BK392" s="15" t="s">
        <v>138</v>
      </c>
      <c r="BL392" s="15" t="s">
        <v>8250</v>
      </c>
      <c r="BM392" s="22">
        <v>42747</v>
      </c>
      <c r="BN392" s="17">
        <v>17.2</v>
      </c>
      <c r="BO392" s="15" t="s">
        <v>172</v>
      </c>
      <c r="BP392" s="17" t="s">
        <v>138</v>
      </c>
      <c r="BQ392" s="15" t="s">
        <v>138</v>
      </c>
      <c r="BR392" s="15" t="s">
        <v>234</v>
      </c>
      <c r="BS392" s="15" t="s">
        <v>234</v>
      </c>
      <c r="BT392" s="15" t="s">
        <v>138</v>
      </c>
      <c r="BU392" s="15" t="s">
        <v>174</v>
      </c>
      <c r="BV392" s="15" t="s">
        <v>138</v>
      </c>
      <c r="BW392" s="15" t="s">
        <v>138</v>
      </c>
      <c r="BX392" s="15" t="s">
        <v>138</v>
      </c>
      <c r="BY392" s="15" t="s">
        <v>175</v>
      </c>
      <c r="BZ392" s="22">
        <v>43258</v>
      </c>
      <c r="CA392" s="17">
        <v>25</v>
      </c>
      <c r="CB392" s="15" t="s">
        <v>172</v>
      </c>
      <c r="CC392" s="17" t="s">
        <v>138</v>
      </c>
      <c r="CD392" s="15" t="s">
        <v>138</v>
      </c>
      <c r="CE392" s="15" t="s">
        <v>234</v>
      </c>
      <c r="CF392" s="15" t="s">
        <v>234</v>
      </c>
      <c r="CG392" s="15" t="s">
        <v>138</v>
      </c>
      <c r="CH392" s="15" t="s">
        <v>174</v>
      </c>
      <c r="CI392" s="15" t="s">
        <v>138</v>
      </c>
      <c r="CJ392" s="15" t="s">
        <v>138</v>
      </c>
      <c r="CK392" s="15" t="s">
        <v>138</v>
      </c>
      <c r="CL392" s="15" t="s">
        <v>175</v>
      </c>
      <c r="CM392" s="22" t="s">
        <v>138</v>
      </c>
      <c r="CN392" s="17" t="s">
        <v>138</v>
      </c>
      <c r="CO392" s="23">
        <v>3.36</v>
      </c>
      <c r="CP392" s="24">
        <v>100</v>
      </c>
      <c r="CQ392" s="23">
        <v>-0.03</v>
      </c>
      <c r="CR392" s="23">
        <v>-0.76</v>
      </c>
      <c r="CS392" s="23">
        <v>6.34</v>
      </c>
      <c r="CT392" s="24">
        <v>100</v>
      </c>
      <c r="CU392" s="23">
        <v>0.37</v>
      </c>
      <c r="CV392" s="24">
        <v>90</v>
      </c>
      <c r="CW392" s="23">
        <v>13.12</v>
      </c>
      <c r="CX392" s="24">
        <v>100</v>
      </c>
      <c r="CY392" s="23">
        <v>-0.44</v>
      </c>
      <c r="CZ392" s="24">
        <v>23</v>
      </c>
      <c r="DA392" s="23">
        <v>0.4</v>
      </c>
      <c r="DB392" s="24">
        <v>92</v>
      </c>
      <c r="DC392" s="25">
        <v>37.79</v>
      </c>
      <c r="DD392" s="24">
        <v>97</v>
      </c>
      <c r="DE392" s="25">
        <v>-0.51</v>
      </c>
      <c r="DF392" s="23">
        <v>-1.32</v>
      </c>
      <c r="DG392" s="25">
        <v>52.84</v>
      </c>
      <c r="DH392" s="24">
        <v>98</v>
      </c>
      <c r="DI392" s="25">
        <v>22.75</v>
      </c>
      <c r="DJ392" s="24">
        <v>91</v>
      </c>
      <c r="DK392" s="25">
        <v>17.57</v>
      </c>
      <c r="DL392" s="24">
        <v>91</v>
      </c>
      <c r="DM392" s="25">
        <v>88.1</v>
      </c>
      <c r="DN392" s="24">
        <v>99</v>
      </c>
      <c r="DO392" s="25">
        <v>18.98</v>
      </c>
      <c r="DP392" s="24">
        <v>92</v>
      </c>
      <c r="DQ392" s="24">
        <v>5726</v>
      </c>
      <c r="DR392" s="26">
        <v>898</v>
      </c>
      <c r="DS392" s="23">
        <v>18.600000000000001</v>
      </c>
      <c r="DT392" s="24">
        <v>2553</v>
      </c>
      <c r="DU392" s="26">
        <v>5</v>
      </c>
      <c r="DV392" s="23">
        <v>0.2</v>
      </c>
      <c r="DW392" s="24">
        <v>6788</v>
      </c>
      <c r="DX392" s="27">
        <v>21</v>
      </c>
      <c r="DY392" s="23">
        <v>0.31</v>
      </c>
      <c r="DZ392" s="15" t="s">
        <v>178</v>
      </c>
      <c r="EA392" s="22">
        <v>43452</v>
      </c>
      <c r="EB392" s="17" t="s">
        <v>138</v>
      </c>
      <c r="EC392" s="22" t="s">
        <v>138</v>
      </c>
      <c r="ED392" s="15" t="s">
        <v>138</v>
      </c>
      <c r="EE392" s="14" t="str">
        <f>HYPERLINK("https://my.pitchbook.com?c=167093-02", "View company online")</f>
        <v>View company online</v>
      </c>
    </row>
    <row r="393" spans="1:135">
      <c r="A393" s="28" t="s">
        <v>8251</v>
      </c>
      <c r="B393" s="28" t="s">
        <v>8252</v>
      </c>
      <c r="C393" s="28" t="s">
        <v>8253</v>
      </c>
      <c r="D393" s="28" t="s">
        <v>138</v>
      </c>
      <c r="E393" s="28" t="s">
        <v>8254</v>
      </c>
      <c r="F393" s="28" t="s">
        <v>8251</v>
      </c>
      <c r="G393" s="28" t="s">
        <v>8255</v>
      </c>
      <c r="H393" s="28" t="s">
        <v>322</v>
      </c>
      <c r="I393" s="28" t="s">
        <v>323</v>
      </c>
      <c r="J393" s="28" t="s">
        <v>1184</v>
      </c>
      <c r="K393" s="28" t="s">
        <v>6678</v>
      </c>
      <c r="L393" s="28" t="s">
        <v>215</v>
      </c>
      <c r="M393" s="28" t="s">
        <v>8256</v>
      </c>
      <c r="N393" s="28" t="s">
        <v>147</v>
      </c>
      <c r="O393" s="29">
        <v>10.64</v>
      </c>
      <c r="P393" s="28" t="s">
        <v>148</v>
      </c>
      <c r="Q393" s="28" t="s">
        <v>149</v>
      </c>
      <c r="R393" s="28" t="s">
        <v>174</v>
      </c>
      <c r="S393" s="28" t="s">
        <v>8257</v>
      </c>
      <c r="T393" s="30">
        <v>30</v>
      </c>
      <c r="U393" s="28" t="s">
        <v>8258</v>
      </c>
      <c r="V393" s="28" t="s">
        <v>138</v>
      </c>
      <c r="W393" s="28" t="s">
        <v>138</v>
      </c>
      <c r="X393" s="31">
        <v>2012</v>
      </c>
      <c r="Y393" s="28" t="s">
        <v>138</v>
      </c>
      <c r="Z393" s="28" t="s">
        <v>138</v>
      </c>
      <c r="AA393" s="28" t="s">
        <v>138</v>
      </c>
      <c r="AB393" s="32" t="s">
        <v>138</v>
      </c>
      <c r="AC393" s="32" t="s">
        <v>138</v>
      </c>
      <c r="AD393" s="32" t="s">
        <v>138</v>
      </c>
      <c r="AE393" s="32" t="s">
        <v>138</v>
      </c>
      <c r="AF393" s="32" t="s">
        <v>138</v>
      </c>
      <c r="AG393" s="28" t="s">
        <v>138</v>
      </c>
      <c r="AH393" s="32" t="s">
        <v>138</v>
      </c>
      <c r="AI393" s="32" t="s">
        <v>138</v>
      </c>
      <c r="AJ393" s="32" t="s">
        <v>138</v>
      </c>
      <c r="AK393" s="28" t="s">
        <v>8259</v>
      </c>
      <c r="AL393" s="28" t="s">
        <v>8260</v>
      </c>
      <c r="AM393" s="28" t="s">
        <v>8261</v>
      </c>
      <c r="AN393" s="28" t="s">
        <v>8262</v>
      </c>
      <c r="AO393" s="28" t="s">
        <v>8263</v>
      </c>
      <c r="AP393" s="28" t="s">
        <v>423</v>
      </c>
      <c r="AQ393" s="28" t="s">
        <v>8264</v>
      </c>
      <c r="AR393" s="28" t="s">
        <v>8265</v>
      </c>
      <c r="AS393" s="28" t="s">
        <v>426</v>
      </c>
      <c r="AT393" s="28" t="s">
        <v>426</v>
      </c>
      <c r="AU393" s="28" t="s">
        <v>2610</v>
      </c>
      <c r="AV393" s="28" t="s">
        <v>162</v>
      </c>
      <c r="AW393" s="28" t="s">
        <v>8263</v>
      </c>
      <c r="AX393" s="28" t="s">
        <v>138</v>
      </c>
      <c r="AY393" s="28" t="s">
        <v>8266</v>
      </c>
      <c r="AZ393" s="28" t="s">
        <v>164</v>
      </c>
      <c r="BA393" s="28" t="s">
        <v>165</v>
      </c>
      <c r="BB393" s="28" t="s">
        <v>8267</v>
      </c>
      <c r="BC393" s="28" t="s">
        <v>8268</v>
      </c>
      <c r="BD393" s="33">
        <v>9</v>
      </c>
      <c r="BE393" s="28" t="s">
        <v>138</v>
      </c>
      <c r="BF393" s="28" t="s">
        <v>138</v>
      </c>
      <c r="BG393" s="28" t="s">
        <v>138</v>
      </c>
      <c r="BH393" s="28" t="s">
        <v>8269</v>
      </c>
      <c r="BI393" s="28" t="s">
        <v>138</v>
      </c>
      <c r="BJ393" s="28" t="s">
        <v>138</v>
      </c>
      <c r="BK393" s="28" t="s">
        <v>204</v>
      </c>
      <c r="BL393" s="28" t="s">
        <v>204</v>
      </c>
      <c r="BM393" s="34" t="s">
        <v>138</v>
      </c>
      <c r="BN393" s="29" t="s">
        <v>138</v>
      </c>
      <c r="BO393" s="28" t="s">
        <v>138</v>
      </c>
      <c r="BP393" s="29" t="s">
        <v>138</v>
      </c>
      <c r="BQ393" s="28" t="s">
        <v>138</v>
      </c>
      <c r="BR393" s="28" t="s">
        <v>316</v>
      </c>
      <c r="BS393" s="28" t="s">
        <v>138</v>
      </c>
      <c r="BT393" s="28" t="s">
        <v>138</v>
      </c>
      <c r="BU393" s="28" t="s">
        <v>177</v>
      </c>
      <c r="BV393" s="28" t="s">
        <v>138</v>
      </c>
      <c r="BW393" s="28" t="s">
        <v>138</v>
      </c>
      <c r="BX393" s="28" t="s">
        <v>138</v>
      </c>
      <c r="BY393" s="28" t="s">
        <v>175</v>
      </c>
      <c r="BZ393" s="34">
        <v>43172</v>
      </c>
      <c r="CA393" s="29">
        <v>2</v>
      </c>
      <c r="CB393" s="28" t="s">
        <v>172</v>
      </c>
      <c r="CC393" s="29">
        <v>23</v>
      </c>
      <c r="CD393" s="28" t="s">
        <v>172</v>
      </c>
      <c r="CE393" s="28" t="s">
        <v>173</v>
      </c>
      <c r="CF393" s="28" t="s">
        <v>720</v>
      </c>
      <c r="CG393" s="28" t="s">
        <v>138</v>
      </c>
      <c r="CH393" s="28" t="s">
        <v>174</v>
      </c>
      <c r="CI393" s="28" t="s">
        <v>138</v>
      </c>
      <c r="CJ393" s="28" t="s">
        <v>138</v>
      </c>
      <c r="CK393" s="28" t="s">
        <v>138</v>
      </c>
      <c r="CL393" s="28" t="s">
        <v>175</v>
      </c>
      <c r="CM393" s="34" t="s">
        <v>138</v>
      </c>
      <c r="CN393" s="29" t="s">
        <v>138</v>
      </c>
      <c r="CO393" s="35">
        <v>0.04</v>
      </c>
      <c r="CP393" s="36">
        <v>87</v>
      </c>
      <c r="CQ393" s="35">
        <v>0.01</v>
      </c>
      <c r="CR393" s="35">
        <v>49.6</v>
      </c>
      <c r="CS393" s="35">
        <v>0</v>
      </c>
      <c r="CT393" s="36">
        <v>23</v>
      </c>
      <c r="CU393" s="35">
        <v>0.08</v>
      </c>
      <c r="CV393" s="36">
        <v>64</v>
      </c>
      <c r="CW393" s="35" t="s">
        <v>138</v>
      </c>
      <c r="CX393" s="36" t="s">
        <v>138</v>
      </c>
      <c r="CY393" s="35">
        <v>0</v>
      </c>
      <c r="CZ393" s="36">
        <v>25</v>
      </c>
      <c r="DA393" s="35">
        <v>0.08</v>
      </c>
      <c r="DB393" s="36">
        <v>69</v>
      </c>
      <c r="DC393" s="37">
        <v>2.12</v>
      </c>
      <c r="DD393" s="36">
        <v>68</v>
      </c>
      <c r="DE393" s="37">
        <v>-0.01</v>
      </c>
      <c r="DF393" s="35">
        <v>-0.56000000000000005</v>
      </c>
      <c r="DG393" s="37">
        <v>2.86</v>
      </c>
      <c r="DH393" s="36">
        <v>74</v>
      </c>
      <c r="DI393" s="37">
        <v>1.38</v>
      </c>
      <c r="DJ393" s="36">
        <v>55</v>
      </c>
      <c r="DK393" s="37" t="s">
        <v>138</v>
      </c>
      <c r="DL393" s="36" t="s">
        <v>138</v>
      </c>
      <c r="DM393" s="37">
        <v>2.86</v>
      </c>
      <c r="DN393" s="36">
        <v>73</v>
      </c>
      <c r="DO393" s="37">
        <v>1.38</v>
      </c>
      <c r="DP393" s="36">
        <v>57</v>
      </c>
      <c r="DQ393" s="36">
        <v>125</v>
      </c>
      <c r="DR393" s="38">
        <v>-125</v>
      </c>
      <c r="DS393" s="35">
        <v>-50</v>
      </c>
      <c r="DT393" s="36">
        <v>83</v>
      </c>
      <c r="DU393" s="38">
        <v>-1</v>
      </c>
      <c r="DV393" s="35">
        <v>-1.19</v>
      </c>
      <c r="DW393" s="36">
        <v>493</v>
      </c>
      <c r="DX393" s="39">
        <v>1</v>
      </c>
      <c r="DY393" s="35">
        <v>0.2</v>
      </c>
      <c r="DZ393" s="28" t="s">
        <v>178</v>
      </c>
      <c r="EA393" s="34">
        <v>43524</v>
      </c>
      <c r="EB393" s="29">
        <v>23</v>
      </c>
      <c r="EC393" s="34">
        <v>43172</v>
      </c>
      <c r="ED393" s="28" t="s">
        <v>173</v>
      </c>
      <c r="EE393" s="40" t="str">
        <f>HYPERLINK("https://my.pitchbook.com?c=58803-22", "View company online")</f>
        <v>View company online</v>
      </c>
    </row>
    <row r="394" spans="1:135">
      <c r="A394" s="15" t="s">
        <v>8270</v>
      </c>
      <c r="B394" s="15" t="s">
        <v>8271</v>
      </c>
      <c r="C394" s="15" t="s">
        <v>138</v>
      </c>
      <c r="D394" s="15" t="s">
        <v>138</v>
      </c>
      <c r="E394" s="15" t="s">
        <v>8272</v>
      </c>
      <c r="F394" s="15" t="s">
        <v>8270</v>
      </c>
      <c r="G394" s="15" t="s">
        <v>8273</v>
      </c>
      <c r="H394" s="15" t="s">
        <v>322</v>
      </c>
      <c r="I394" s="15" t="s">
        <v>323</v>
      </c>
      <c r="J394" s="15" t="s">
        <v>413</v>
      </c>
      <c r="K394" s="15" t="s">
        <v>2254</v>
      </c>
      <c r="L394" s="15" t="s">
        <v>4503</v>
      </c>
      <c r="M394" s="15" t="s">
        <v>8274</v>
      </c>
      <c r="N394" s="15" t="s">
        <v>147</v>
      </c>
      <c r="O394" s="17">
        <v>5.79</v>
      </c>
      <c r="P394" s="15" t="s">
        <v>148</v>
      </c>
      <c r="Q394" s="15" t="s">
        <v>149</v>
      </c>
      <c r="R394" s="15" t="s">
        <v>174</v>
      </c>
      <c r="S394" s="15" t="s">
        <v>8275</v>
      </c>
      <c r="T394" s="18" t="s">
        <v>138</v>
      </c>
      <c r="U394" s="15" t="s">
        <v>138</v>
      </c>
      <c r="V394" s="15" t="s">
        <v>138</v>
      </c>
      <c r="W394" s="15" t="s">
        <v>138</v>
      </c>
      <c r="X394" s="19">
        <v>2016</v>
      </c>
      <c r="Y394" s="15" t="s">
        <v>138</v>
      </c>
      <c r="Z394" s="15" t="s">
        <v>138</v>
      </c>
      <c r="AA394" s="15" t="s">
        <v>138</v>
      </c>
      <c r="AB394" s="20" t="s">
        <v>138</v>
      </c>
      <c r="AC394" s="20" t="s">
        <v>138</v>
      </c>
      <c r="AD394" s="20" t="s">
        <v>138</v>
      </c>
      <c r="AE394" s="20" t="s">
        <v>138</v>
      </c>
      <c r="AF394" s="20" t="s">
        <v>138</v>
      </c>
      <c r="AG394" s="15" t="s">
        <v>138</v>
      </c>
      <c r="AH394" s="20" t="s">
        <v>138</v>
      </c>
      <c r="AI394" s="20" t="s">
        <v>138</v>
      </c>
      <c r="AJ394" s="20" t="s">
        <v>138</v>
      </c>
      <c r="AK394" s="15" t="s">
        <v>8276</v>
      </c>
      <c r="AL394" s="15" t="s">
        <v>8277</v>
      </c>
      <c r="AM394" s="15" t="s">
        <v>1632</v>
      </c>
      <c r="AN394" s="15" t="s">
        <v>8278</v>
      </c>
      <c r="AO394" s="15" t="s">
        <v>8279</v>
      </c>
      <c r="AP394" s="15" t="s">
        <v>423</v>
      </c>
      <c r="AQ394" s="15" t="s">
        <v>8280</v>
      </c>
      <c r="AR394" s="15" t="s">
        <v>5012</v>
      </c>
      <c r="AS394" s="15" t="s">
        <v>426</v>
      </c>
      <c r="AT394" s="15" t="s">
        <v>426</v>
      </c>
      <c r="AU394" s="15" t="s">
        <v>1074</v>
      </c>
      <c r="AV394" s="15" t="s">
        <v>162</v>
      </c>
      <c r="AW394" s="15" t="s">
        <v>8279</v>
      </c>
      <c r="AX394" s="15" t="s">
        <v>138</v>
      </c>
      <c r="AY394" s="15" t="s">
        <v>8278</v>
      </c>
      <c r="AZ394" s="15" t="s">
        <v>164</v>
      </c>
      <c r="BA394" s="15" t="s">
        <v>165</v>
      </c>
      <c r="BB394" s="15" t="s">
        <v>8281</v>
      </c>
      <c r="BC394" s="15" t="s">
        <v>8282</v>
      </c>
      <c r="BD394" s="21">
        <v>8</v>
      </c>
      <c r="BE394" s="15" t="s">
        <v>138</v>
      </c>
      <c r="BF394" s="15" t="s">
        <v>138</v>
      </c>
      <c r="BG394" s="15" t="s">
        <v>138</v>
      </c>
      <c r="BH394" s="15" t="s">
        <v>8283</v>
      </c>
      <c r="BI394" s="15" t="s">
        <v>138</v>
      </c>
      <c r="BJ394" s="15" t="s">
        <v>138</v>
      </c>
      <c r="BK394" s="15" t="s">
        <v>138</v>
      </c>
      <c r="BL394" s="15" t="s">
        <v>138</v>
      </c>
      <c r="BM394" s="22">
        <v>42464</v>
      </c>
      <c r="BN394" s="17">
        <v>0.06</v>
      </c>
      <c r="BO394" s="15" t="s">
        <v>172</v>
      </c>
      <c r="BP394" s="17" t="s">
        <v>138</v>
      </c>
      <c r="BQ394" s="15" t="s">
        <v>138</v>
      </c>
      <c r="BR394" s="15" t="s">
        <v>316</v>
      </c>
      <c r="BS394" s="15" t="s">
        <v>138</v>
      </c>
      <c r="BT394" s="15" t="s">
        <v>138</v>
      </c>
      <c r="BU394" s="15" t="s">
        <v>177</v>
      </c>
      <c r="BV394" s="15" t="s">
        <v>138</v>
      </c>
      <c r="BW394" s="15" t="s">
        <v>138</v>
      </c>
      <c r="BX394" s="15" t="s">
        <v>138</v>
      </c>
      <c r="BY394" s="15" t="s">
        <v>175</v>
      </c>
      <c r="BZ394" s="22">
        <v>43509</v>
      </c>
      <c r="CA394" s="17">
        <v>4.2300000000000004</v>
      </c>
      <c r="CB394" s="15" t="s">
        <v>172</v>
      </c>
      <c r="CC394" s="17" t="s">
        <v>138</v>
      </c>
      <c r="CD394" s="15" t="s">
        <v>138</v>
      </c>
      <c r="CE394" s="15" t="s">
        <v>205</v>
      </c>
      <c r="CF394" s="15" t="s">
        <v>206</v>
      </c>
      <c r="CG394" s="15" t="s">
        <v>138</v>
      </c>
      <c r="CH394" s="15" t="s">
        <v>174</v>
      </c>
      <c r="CI394" s="15" t="s">
        <v>138</v>
      </c>
      <c r="CJ394" s="15" t="s">
        <v>138</v>
      </c>
      <c r="CK394" s="15" t="s">
        <v>138</v>
      </c>
      <c r="CL394" s="15" t="s">
        <v>175</v>
      </c>
      <c r="CM394" s="22" t="s">
        <v>138</v>
      </c>
      <c r="CN394" s="17" t="s">
        <v>138</v>
      </c>
      <c r="CO394" s="23">
        <v>0.28000000000000003</v>
      </c>
      <c r="CP394" s="24">
        <v>93</v>
      </c>
      <c r="CQ394" s="23">
        <v>0</v>
      </c>
      <c r="CR394" s="23">
        <v>-1.37</v>
      </c>
      <c r="CS394" s="23">
        <v>-0.43</v>
      </c>
      <c r="CT394" s="24">
        <v>20</v>
      </c>
      <c r="CU394" s="23">
        <v>0.99</v>
      </c>
      <c r="CV394" s="24">
        <v>98</v>
      </c>
      <c r="CW394" s="23">
        <v>-0.43</v>
      </c>
      <c r="CX394" s="24">
        <v>11</v>
      </c>
      <c r="CY394" s="23" t="s">
        <v>138</v>
      </c>
      <c r="CZ394" s="24" t="s">
        <v>138</v>
      </c>
      <c r="DA394" s="23">
        <v>0.99</v>
      </c>
      <c r="DB394" s="24">
        <v>98</v>
      </c>
      <c r="DC394" s="25">
        <v>2.74</v>
      </c>
      <c r="DD394" s="24">
        <v>73</v>
      </c>
      <c r="DE394" s="25">
        <v>-0.12</v>
      </c>
      <c r="DF394" s="23">
        <v>-4.28</v>
      </c>
      <c r="DG394" s="25">
        <v>2.14</v>
      </c>
      <c r="DH394" s="24">
        <v>68</v>
      </c>
      <c r="DI394" s="25">
        <v>3.34</v>
      </c>
      <c r="DJ394" s="24">
        <v>71</v>
      </c>
      <c r="DK394" s="25">
        <v>2.14</v>
      </c>
      <c r="DL394" s="24">
        <v>66</v>
      </c>
      <c r="DM394" s="25" t="s">
        <v>138</v>
      </c>
      <c r="DN394" s="24" t="s">
        <v>138</v>
      </c>
      <c r="DO394" s="25">
        <v>3.34</v>
      </c>
      <c r="DP394" s="24">
        <v>73</v>
      </c>
      <c r="DQ394" s="24">
        <v>701</v>
      </c>
      <c r="DR394" s="26">
        <v>98</v>
      </c>
      <c r="DS394" s="23">
        <v>16.25</v>
      </c>
      <c r="DT394" s="24" t="s">
        <v>138</v>
      </c>
      <c r="DU394" s="26" t="s">
        <v>138</v>
      </c>
      <c r="DV394" s="23" t="s">
        <v>138</v>
      </c>
      <c r="DW394" s="24">
        <v>1194</v>
      </c>
      <c r="DX394" s="27">
        <v>9</v>
      </c>
      <c r="DY394" s="23">
        <v>0.76</v>
      </c>
      <c r="DZ394" s="15" t="s">
        <v>178</v>
      </c>
      <c r="EA394" s="22">
        <v>43580</v>
      </c>
      <c r="EB394" s="17" t="s">
        <v>138</v>
      </c>
      <c r="EC394" s="22" t="s">
        <v>138</v>
      </c>
      <c r="ED394" s="15" t="s">
        <v>138</v>
      </c>
      <c r="EE394" s="14" t="str">
        <f>HYPERLINK("https://my.pitchbook.com?c=156501-82", "View company online")</f>
        <v>View company online</v>
      </c>
    </row>
    <row r="395" spans="1:135">
      <c r="A395" s="28" t="s">
        <v>8284</v>
      </c>
      <c r="B395" s="28" t="s">
        <v>8285</v>
      </c>
      <c r="C395" s="28" t="s">
        <v>138</v>
      </c>
      <c r="D395" s="28" t="s">
        <v>138</v>
      </c>
      <c r="E395" s="28" t="s">
        <v>8286</v>
      </c>
      <c r="F395" s="28" t="s">
        <v>8284</v>
      </c>
      <c r="G395" s="28" t="s">
        <v>8287</v>
      </c>
      <c r="H395" s="28" t="s">
        <v>322</v>
      </c>
      <c r="I395" s="28" t="s">
        <v>323</v>
      </c>
      <c r="J395" s="28" t="s">
        <v>324</v>
      </c>
      <c r="K395" s="28" t="s">
        <v>1543</v>
      </c>
      <c r="L395" s="28" t="s">
        <v>8288</v>
      </c>
      <c r="M395" s="28" t="s">
        <v>8289</v>
      </c>
      <c r="N395" s="28" t="s">
        <v>147</v>
      </c>
      <c r="O395" s="29">
        <v>11.53</v>
      </c>
      <c r="P395" s="28" t="s">
        <v>148</v>
      </c>
      <c r="Q395" s="28" t="s">
        <v>149</v>
      </c>
      <c r="R395" s="28" t="s">
        <v>174</v>
      </c>
      <c r="S395" s="28" t="s">
        <v>8290</v>
      </c>
      <c r="T395" s="30">
        <v>35</v>
      </c>
      <c r="U395" s="28" t="s">
        <v>8291</v>
      </c>
      <c r="V395" s="28" t="s">
        <v>138</v>
      </c>
      <c r="W395" s="28" t="s">
        <v>138</v>
      </c>
      <c r="X395" s="31">
        <v>2009</v>
      </c>
      <c r="Y395" s="28" t="s">
        <v>138</v>
      </c>
      <c r="Z395" s="28" t="s">
        <v>138</v>
      </c>
      <c r="AA395" s="28" t="s">
        <v>138</v>
      </c>
      <c r="AB395" s="32">
        <v>4</v>
      </c>
      <c r="AC395" s="32" t="s">
        <v>138</v>
      </c>
      <c r="AD395" s="32" t="s">
        <v>138</v>
      </c>
      <c r="AE395" s="32" t="s">
        <v>138</v>
      </c>
      <c r="AF395" s="32" t="s">
        <v>138</v>
      </c>
      <c r="AG395" s="28" t="s">
        <v>815</v>
      </c>
      <c r="AH395" s="32" t="s">
        <v>138</v>
      </c>
      <c r="AI395" s="32" t="s">
        <v>138</v>
      </c>
      <c r="AJ395" s="32" t="s">
        <v>138</v>
      </c>
      <c r="AK395" s="28" t="s">
        <v>8292</v>
      </c>
      <c r="AL395" s="28" t="s">
        <v>8293</v>
      </c>
      <c r="AM395" s="28" t="s">
        <v>221</v>
      </c>
      <c r="AN395" s="28" t="s">
        <v>8294</v>
      </c>
      <c r="AO395" s="28" t="s">
        <v>8295</v>
      </c>
      <c r="AP395" s="28" t="s">
        <v>3689</v>
      </c>
      <c r="AQ395" s="28" t="s">
        <v>8296</v>
      </c>
      <c r="AR395" s="28" t="s">
        <v>138</v>
      </c>
      <c r="AS395" s="28" t="s">
        <v>3691</v>
      </c>
      <c r="AT395" s="28" t="s">
        <v>138</v>
      </c>
      <c r="AU395" s="28" t="s">
        <v>8297</v>
      </c>
      <c r="AV395" s="28" t="s">
        <v>3693</v>
      </c>
      <c r="AW395" s="28" t="s">
        <v>8295</v>
      </c>
      <c r="AX395" s="28" t="s">
        <v>138</v>
      </c>
      <c r="AY395" s="28" t="s">
        <v>8298</v>
      </c>
      <c r="AZ395" s="28" t="s">
        <v>530</v>
      </c>
      <c r="BA395" s="28" t="s">
        <v>531</v>
      </c>
      <c r="BB395" s="28" t="s">
        <v>8299</v>
      </c>
      <c r="BC395" s="28" t="s">
        <v>8300</v>
      </c>
      <c r="BD395" s="33">
        <v>10</v>
      </c>
      <c r="BE395" s="28" t="s">
        <v>138</v>
      </c>
      <c r="BF395" s="28" t="s">
        <v>8301</v>
      </c>
      <c r="BG395" s="28" t="s">
        <v>138</v>
      </c>
      <c r="BH395" s="28" t="s">
        <v>8302</v>
      </c>
      <c r="BI395" s="28" t="s">
        <v>8303</v>
      </c>
      <c r="BJ395" s="28" t="s">
        <v>138</v>
      </c>
      <c r="BK395" s="28" t="s">
        <v>8304</v>
      </c>
      <c r="BL395" s="28" t="s">
        <v>138</v>
      </c>
      <c r="BM395" s="34">
        <v>40954</v>
      </c>
      <c r="BN395" s="29">
        <v>1.5</v>
      </c>
      <c r="BO395" s="28" t="s">
        <v>172</v>
      </c>
      <c r="BP395" s="29" t="s">
        <v>138</v>
      </c>
      <c r="BQ395" s="28" t="s">
        <v>138</v>
      </c>
      <c r="BR395" s="28" t="s">
        <v>234</v>
      </c>
      <c r="BS395" s="28" t="s">
        <v>234</v>
      </c>
      <c r="BT395" s="28" t="s">
        <v>138</v>
      </c>
      <c r="BU395" s="28" t="s">
        <v>174</v>
      </c>
      <c r="BV395" s="28" t="s">
        <v>138</v>
      </c>
      <c r="BW395" s="28" t="s">
        <v>138</v>
      </c>
      <c r="BX395" s="28" t="s">
        <v>138</v>
      </c>
      <c r="BY395" s="28" t="s">
        <v>175</v>
      </c>
      <c r="BZ395" s="34">
        <v>43240</v>
      </c>
      <c r="CA395" s="29">
        <v>10.029999999999999</v>
      </c>
      <c r="CB395" s="28" t="s">
        <v>172</v>
      </c>
      <c r="CC395" s="29" t="s">
        <v>138</v>
      </c>
      <c r="CD395" s="28" t="s">
        <v>138</v>
      </c>
      <c r="CE395" s="28" t="s">
        <v>205</v>
      </c>
      <c r="CF395" s="28" t="s">
        <v>720</v>
      </c>
      <c r="CG395" s="28" t="s">
        <v>138</v>
      </c>
      <c r="CH395" s="28" t="s">
        <v>174</v>
      </c>
      <c r="CI395" s="28" t="s">
        <v>138</v>
      </c>
      <c r="CJ395" s="28" t="s">
        <v>138</v>
      </c>
      <c r="CK395" s="28" t="s">
        <v>138</v>
      </c>
      <c r="CL395" s="28" t="s">
        <v>175</v>
      </c>
      <c r="CM395" s="34" t="s">
        <v>138</v>
      </c>
      <c r="CN395" s="29" t="s">
        <v>138</v>
      </c>
      <c r="CO395" s="35">
        <v>-1.86</v>
      </c>
      <c r="CP395" s="36">
        <v>6</v>
      </c>
      <c r="CQ395" s="35">
        <v>-0.01</v>
      </c>
      <c r="CR395" s="35">
        <v>-0.77</v>
      </c>
      <c r="CS395" s="35">
        <v>-3.32</v>
      </c>
      <c r="CT395" s="36">
        <v>4</v>
      </c>
      <c r="CU395" s="35">
        <v>0</v>
      </c>
      <c r="CV395" s="36">
        <v>22</v>
      </c>
      <c r="CW395" s="35">
        <v>0</v>
      </c>
      <c r="CX395" s="36">
        <v>13</v>
      </c>
      <c r="CY395" s="35">
        <v>-6.64</v>
      </c>
      <c r="CZ395" s="36">
        <v>2</v>
      </c>
      <c r="DA395" s="35">
        <v>0</v>
      </c>
      <c r="DB395" s="36">
        <v>22</v>
      </c>
      <c r="DC395" s="37">
        <v>4.82</v>
      </c>
      <c r="DD395" s="36">
        <v>82</v>
      </c>
      <c r="DE395" s="37">
        <v>-0.05</v>
      </c>
      <c r="DF395" s="35">
        <v>-0.95</v>
      </c>
      <c r="DG395" s="37">
        <v>7.77</v>
      </c>
      <c r="DH395" s="36">
        <v>87</v>
      </c>
      <c r="DI395" s="37">
        <v>6.64</v>
      </c>
      <c r="DJ395" s="36">
        <v>81</v>
      </c>
      <c r="DK395" s="37">
        <v>1.95</v>
      </c>
      <c r="DL395" s="36">
        <v>64</v>
      </c>
      <c r="DM395" s="37">
        <v>13.59</v>
      </c>
      <c r="DN395" s="36">
        <v>91</v>
      </c>
      <c r="DO395" s="37">
        <v>2.58</v>
      </c>
      <c r="DP395" s="36">
        <v>68</v>
      </c>
      <c r="DQ395" s="36">
        <v>636</v>
      </c>
      <c r="DR395" s="38">
        <v>96</v>
      </c>
      <c r="DS395" s="35">
        <v>17.78</v>
      </c>
      <c r="DT395" s="36">
        <v>394</v>
      </c>
      <c r="DU395" s="38">
        <v>-1</v>
      </c>
      <c r="DV395" s="35">
        <v>-0.25</v>
      </c>
      <c r="DW395" s="36">
        <v>921</v>
      </c>
      <c r="DX395" s="39">
        <v>0</v>
      </c>
      <c r="DY395" s="35">
        <v>0</v>
      </c>
      <c r="DZ395" s="28" t="s">
        <v>178</v>
      </c>
      <c r="EA395" s="34">
        <v>43507</v>
      </c>
      <c r="EB395" s="29" t="s">
        <v>138</v>
      </c>
      <c r="EC395" s="34" t="s">
        <v>138</v>
      </c>
      <c r="ED395" s="28" t="s">
        <v>138</v>
      </c>
      <c r="EE395" s="40" t="str">
        <f>HYPERLINK("https://my.pitchbook.com?c=53843-95", "View company online")</f>
        <v>View company online</v>
      </c>
    </row>
    <row r="396" spans="1:135">
      <c r="A396" s="15" t="s">
        <v>8305</v>
      </c>
      <c r="B396" s="15" t="s">
        <v>8306</v>
      </c>
      <c r="C396" s="15" t="s">
        <v>138</v>
      </c>
      <c r="D396" s="15" t="s">
        <v>8307</v>
      </c>
      <c r="E396" s="15" t="s">
        <v>8308</v>
      </c>
      <c r="F396" s="15" t="s">
        <v>8305</v>
      </c>
      <c r="G396" s="15" t="s">
        <v>8309</v>
      </c>
      <c r="H396" s="15" t="s">
        <v>322</v>
      </c>
      <c r="I396" s="15" t="s">
        <v>323</v>
      </c>
      <c r="J396" s="15" t="s">
        <v>324</v>
      </c>
      <c r="K396" s="15" t="s">
        <v>8310</v>
      </c>
      <c r="L396" s="15" t="s">
        <v>242</v>
      </c>
      <c r="M396" s="15" t="s">
        <v>8311</v>
      </c>
      <c r="N396" s="15" t="s">
        <v>147</v>
      </c>
      <c r="O396" s="17">
        <v>1.02</v>
      </c>
      <c r="P396" s="15" t="s">
        <v>148</v>
      </c>
      <c r="Q396" s="15" t="s">
        <v>149</v>
      </c>
      <c r="R396" s="15" t="s">
        <v>174</v>
      </c>
      <c r="S396" s="15" t="s">
        <v>8312</v>
      </c>
      <c r="T396" s="18" t="s">
        <v>138</v>
      </c>
      <c r="U396" s="15" t="s">
        <v>138</v>
      </c>
      <c r="V396" s="15" t="s">
        <v>138</v>
      </c>
      <c r="W396" s="15" t="s">
        <v>138</v>
      </c>
      <c r="X396" s="19">
        <v>2008</v>
      </c>
      <c r="Y396" s="15" t="s">
        <v>138</v>
      </c>
      <c r="Z396" s="15" t="s">
        <v>138</v>
      </c>
      <c r="AA396" s="15" t="s">
        <v>138</v>
      </c>
      <c r="AB396" s="20" t="s">
        <v>138</v>
      </c>
      <c r="AC396" s="20" t="s">
        <v>138</v>
      </c>
      <c r="AD396" s="20" t="s">
        <v>138</v>
      </c>
      <c r="AE396" s="20" t="s">
        <v>138</v>
      </c>
      <c r="AF396" s="20" t="s">
        <v>138</v>
      </c>
      <c r="AG396" s="15" t="s">
        <v>138</v>
      </c>
      <c r="AH396" s="20" t="s">
        <v>138</v>
      </c>
      <c r="AI396" s="20" t="s">
        <v>138</v>
      </c>
      <c r="AJ396" s="20" t="s">
        <v>138</v>
      </c>
      <c r="AK396" s="15" t="s">
        <v>8313</v>
      </c>
      <c r="AL396" s="15" t="s">
        <v>8314</v>
      </c>
      <c r="AM396" s="15" t="s">
        <v>8315</v>
      </c>
      <c r="AN396" s="15" t="s">
        <v>8316</v>
      </c>
      <c r="AO396" s="15" t="s">
        <v>8317</v>
      </c>
      <c r="AP396" s="15" t="s">
        <v>3905</v>
      </c>
      <c r="AQ396" s="15" t="s">
        <v>8318</v>
      </c>
      <c r="AR396" s="15" t="s">
        <v>1030</v>
      </c>
      <c r="AS396" s="15" t="s">
        <v>3907</v>
      </c>
      <c r="AT396" s="15" t="s">
        <v>2740</v>
      </c>
      <c r="AU396" s="15" t="s">
        <v>8319</v>
      </c>
      <c r="AV396" s="15" t="s">
        <v>2742</v>
      </c>
      <c r="AW396" s="15" t="s">
        <v>8317</v>
      </c>
      <c r="AX396" s="15" t="s">
        <v>138</v>
      </c>
      <c r="AY396" s="15" t="s">
        <v>8320</v>
      </c>
      <c r="AZ396" s="15" t="s">
        <v>164</v>
      </c>
      <c r="BA396" s="15" t="s">
        <v>165</v>
      </c>
      <c r="BB396" s="15" t="s">
        <v>8321</v>
      </c>
      <c r="BC396" s="15" t="s">
        <v>8322</v>
      </c>
      <c r="BD396" s="21">
        <v>8</v>
      </c>
      <c r="BE396" s="15" t="s">
        <v>138</v>
      </c>
      <c r="BF396" s="15" t="s">
        <v>138</v>
      </c>
      <c r="BG396" s="15" t="s">
        <v>138</v>
      </c>
      <c r="BH396" s="15" t="s">
        <v>8323</v>
      </c>
      <c r="BI396" s="15" t="s">
        <v>138</v>
      </c>
      <c r="BJ396" s="15" t="s">
        <v>138</v>
      </c>
      <c r="BK396" s="15" t="s">
        <v>138</v>
      </c>
      <c r="BL396" s="15" t="s">
        <v>8324</v>
      </c>
      <c r="BM396" s="22">
        <v>41351</v>
      </c>
      <c r="BN396" s="17">
        <v>0.02</v>
      </c>
      <c r="BO396" s="15" t="s">
        <v>172</v>
      </c>
      <c r="BP396" s="17" t="s">
        <v>138</v>
      </c>
      <c r="BQ396" s="15" t="s">
        <v>138</v>
      </c>
      <c r="BR396" s="15" t="s">
        <v>316</v>
      </c>
      <c r="BS396" s="15" t="s">
        <v>138</v>
      </c>
      <c r="BT396" s="15" t="s">
        <v>138</v>
      </c>
      <c r="BU396" s="15" t="s">
        <v>177</v>
      </c>
      <c r="BV396" s="15" t="s">
        <v>138</v>
      </c>
      <c r="BW396" s="15" t="s">
        <v>138</v>
      </c>
      <c r="BX396" s="15" t="s">
        <v>138</v>
      </c>
      <c r="BY396" s="15" t="s">
        <v>175</v>
      </c>
      <c r="BZ396" s="22">
        <v>42486</v>
      </c>
      <c r="CA396" s="17" t="s">
        <v>138</v>
      </c>
      <c r="CB396" s="15" t="s">
        <v>138</v>
      </c>
      <c r="CC396" s="17" t="s">
        <v>138</v>
      </c>
      <c r="CD396" s="15" t="s">
        <v>138</v>
      </c>
      <c r="CE396" s="15" t="s">
        <v>173</v>
      </c>
      <c r="CF396" s="15" t="s">
        <v>138</v>
      </c>
      <c r="CG396" s="15" t="s">
        <v>138</v>
      </c>
      <c r="CH396" s="15" t="s">
        <v>174</v>
      </c>
      <c r="CI396" s="15" t="s">
        <v>138</v>
      </c>
      <c r="CJ396" s="15" t="s">
        <v>138</v>
      </c>
      <c r="CK396" s="15" t="s">
        <v>138</v>
      </c>
      <c r="CL396" s="15" t="s">
        <v>175</v>
      </c>
      <c r="CM396" s="22" t="s">
        <v>138</v>
      </c>
      <c r="CN396" s="17" t="s">
        <v>138</v>
      </c>
      <c r="CO396" s="23">
        <v>0.37</v>
      </c>
      <c r="CP396" s="24">
        <v>94</v>
      </c>
      <c r="CQ396" s="23">
        <v>0.11</v>
      </c>
      <c r="CR396" s="23">
        <v>42.75</v>
      </c>
      <c r="CS396" s="23">
        <v>-0.59</v>
      </c>
      <c r="CT396" s="24">
        <v>19</v>
      </c>
      <c r="CU396" s="23">
        <v>-0.02</v>
      </c>
      <c r="CV396" s="24">
        <v>17</v>
      </c>
      <c r="CW396" s="23">
        <v>0</v>
      </c>
      <c r="CX396" s="24">
        <v>13</v>
      </c>
      <c r="CY396" s="23">
        <v>-1.17</v>
      </c>
      <c r="CZ396" s="24">
        <v>17</v>
      </c>
      <c r="DA396" s="23">
        <v>-0.06</v>
      </c>
      <c r="DB396" s="24">
        <v>11</v>
      </c>
      <c r="DC396" s="25">
        <v>1.54</v>
      </c>
      <c r="DD396" s="24">
        <v>61</v>
      </c>
      <c r="DE396" s="25">
        <v>0.01</v>
      </c>
      <c r="DF396" s="23">
        <v>0.55000000000000004</v>
      </c>
      <c r="DG396" s="25">
        <v>1.82</v>
      </c>
      <c r="DH396" s="24">
        <v>65</v>
      </c>
      <c r="DI396" s="25">
        <v>2.16</v>
      </c>
      <c r="DJ396" s="24">
        <v>64</v>
      </c>
      <c r="DK396" s="25">
        <v>0.2</v>
      </c>
      <c r="DL396" s="24">
        <v>9</v>
      </c>
      <c r="DM396" s="25">
        <v>3.45</v>
      </c>
      <c r="DN396" s="24">
        <v>76</v>
      </c>
      <c r="DO396" s="25">
        <v>3.88</v>
      </c>
      <c r="DP396" s="24">
        <v>75</v>
      </c>
      <c r="DQ396" s="24">
        <v>72</v>
      </c>
      <c r="DR396" s="26">
        <v>-15</v>
      </c>
      <c r="DS396" s="23">
        <v>-17.239999999999998</v>
      </c>
      <c r="DT396" s="24">
        <v>100</v>
      </c>
      <c r="DU396" s="26">
        <v>0</v>
      </c>
      <c r="DV396" s="23">
        <v>0</v>
      </c>
      <c r="DW396" s="24">
        <v>1390</v>
      </c>
      <c r="DX396" s="27">
        <v>0</v>
      </c>
      <c r="DY396" s="23">
        <v>0</v>
      </c>
      <c r="DZ396" s="15" t="s">
        <v>178</v>
      </c>
      <c r="EA396" s="22">
        <v>43600</v>
      </c>
      <c r="EB396" s="17" t="s">
        <v>138</v>
      </c>
      <c r="EC396" s="22" t="s">
        <v>138</v>
      </c>
      <c r="ED396" s="15" t="s">
        <v>138</v>
      </c>
      <c r="EE396" s="14" t="str">
        <f>HYPERLINK("https://my.pitchbook.com?c=56386-63", "View company online")</f>
        <v>View company online</v>
      </c>
    </row>
    <row r="397" spans="1:135">
      <c r="A397" s="28" t="s">
        <v>8325</v>
      </c>
      <c r="B397" s="28" t="s">
        <v>8326</v>
      </c>
      <c r="C397" s="28" t="s">
        <v>138</v>
      </c>
      <c r="D397" s="28" t="s">
        <v>138</v>
      </c>
      <c r="E397" s="28" t="s">
        <v>138</v>
      </c>
      <c r="F397" s="28" t="s">
        <v>8325</v>
      </c>
      <c r="G397" s="28" t="s">
        <v>8327</v>
      </c>
      <c r="H397" s="28" t="s">
        <v>238</v>
      </c>
      <c r="I397" s="28" t="s">
        <v>239</v>
      </c>
      <c r="J397" s="28" t="s">
        <v>8328</v>
      </c>
      <c r="K397" s="28" t="s">
        <v>8329</v>
      </c>
      <c r="L397" s="28" t="s">
        <v>415</v>
      </c>
      <c r="M397" s="28" t="s">
        <v>8330</v>
      </c>
      <c r="N397" s="28" t="s">
        <v>147</v>
      </c>
      <c r="O397" s="29">
        <v>8.3699999999999992</v>
      </c>
      <c r="P397" s="28" t="s">
        <v>148</v>
      </c>
      <c r="Q397" s="28" t="s">
        <v>149</v>
      </c>
      <c r="R397" s="28" t="s">
        <v>174</v>
      </c>
      <c r="S397" s="28" t="s">
        <v>8331</v>
      </c>
      <c r="T397" s="30">
        <v>3</v>
      </c>
      <c r="U397" s="28" t="s">
        <v>8332</v>
      </c>
      <c r="V397" s="28" t="s">
        <v>138</v>
      </c>
      <c r="W397" s="28" t="s">
        <v>138</v>
      </c>
      <c r="X397" s="31" t="s">
        <v>138</v>
      </c>
      <c r="Y397" s="28" t="s">
        <v>138</v>
      </c>
      <c r="Z397" s="28" t="s">
        <v>138</v>
      </c>
      <c r="AA397" s="28" t="s">
        <v>138</v>
      </c>
      <c r="AB397" s="32" t="s">
        <v>138</v>
      </c>
      <c r="AC397" s="32" t="s">
        <v>138</v>
      </c>
      <c r="AD397" s="32" t="s">
        <v>138</v>
      </c>
      <c r="AE397" s="32" t="s">
        <v>138</v>
      </c>
      <c r="AF397" s="32" t="s">
        <v>138</v>
      </c>
      <c r="AG397" s="28" t="s">
        <v>138</v>
      </c>
      <c r="AH397" s="32" t="s">
        <v>138</v>
      </c>
      <c r="AI397" s="32" t="s">
        <v>138</v>
      </c>
      <c r="AJ397" s="32" t="s">
        <v>138</v>
      </c>
      <c r="AK397" s="28" t="s">
        <v>8333</v>
      </c>
      <c r="AL397" s="28" t="s">
        <v>8334</v>
      </c>
      <c r="AM397" s="28" t="s">
        <v>566</v>
      </c>
      <c r="AN397" s="28" t="s">
        <v>8335</v>
      </c>
      <c r="AO397" s="28" t="s">
        <v>8336</v>
      </c>
      <c r="AP397" s="28" t="s">
        <v>1195</v>
      </c>
      <c r="AQ397" s="28" t="s">
        <v>8337</v>
      </c>
      <c r="AR397" s="28" t="s">
        <v>8338</v>
      </c>
      <c r="AS397" s="28" t="s">
        <v>1198</v>
      </c>
      <c r="AT397" s="28" t="s">
        <v>8339</v>
      </c>
      <c r="AU397" s="28" t="s">
        <v>4736</v>
      </c>
      <c r="AV397" s="28" t="s">
        <v>1200</v>
      </c>
      <c r="AW397" s="28" t="s">
        <v>8336</v>
      </c>
      <c r="AX397" s="28" t="s">
        <v>8340</v>
      </c>
      <c r="AY397" s="28" t="s">
        <v>8341</v>
      </c>
      <c r="AZ397" s="28" t="s">
        <v>452</v>
      </c>
      <c r="BA397" s="28" t="s">
        <v>453</v>
      </c>
      <c r="BB397" s="28" t="s">
        <v>8342</v>
      </c>
      <c r="BC397" s="28" t="s">
        <v>8343</v>
      </c>
      <c r="BD397" s="33">
        <v>4</v>
      </c>
      <c r="BE397" s="28" t="s">
        <v>138</v>
      </c>
      <c r="BF397" s="28" t="s">
        <v>138</v>
      </c>
      <c r="BG397" s="28" t="s">
        <v>138</v>
      </c>
      <c r="BH397" s="28" t="s">
        <v>8344</v>
      </c>
      <c r="BI397" s="28" t="s">
        <v>138</v>
      </c>
      <c r="BJ397" s="28" t="s">
        <v>138</v>
      </c>
      <c r="BK397" s="28" t="s">
        <v>138</v>
      </c>
      <c r="BL397" s="28" t="s">
        <v>138</v>
      </c>
      <c r="BM397" s="34">
        <v>42110</v>
      </c>
      <c r="BN397" s="29">
        <v>8.3699999999999992</v>
      </c>
      <c r="BO397" s="28" t="s">
        <v>172</v>
      </c>
      <c r="BP397" s="29" t="s">
        <v>138</v>
      </c>
      <c r="BQ397" s="28" t="s">
        <v>138</v>
      </c>
      <c r="BR397" s="28" t="s">
        <v>1465</v>
      </c>
      <c r="BS397" s="28" t="s">
        <v>138</v>
      </c>
      <c r="BT397" s="28" t="s">
        <v>138</v>
      </c>
      <c r="BU397" s="28" t="s">
        <v>177</v>
      </c>
      <c r="BV397" s="28" t="s">
        <v>138</v>
      </c>
      <c r="BW397" s="28" t="s">
        <v>138</v>
      </c>
      <c r="BX397" s="28" t="s">
        <v>138</v>
      </c>
      <c r="BY397" s="28" t="s">
        <v>175</v>
      </c>
      <c r="BZ397" s="34">
        <v>42110</v>
      </c>
      <c r="CA397" s="29">
        <v>8.3699999999999992</v>
      </c>
      <c r="CB397" s="28" t="s">
        <v>172</v>
      </c>
      <c r="CC397" s="29" t="s">
        <v>138</v>
      </c>
      <c r="CD397" s="28" t="s">
        <v>138</v>
      </c>
      <c r="CE397" s="28" t="s">
        <v>1465</v>
      </c>
      <c r="CF397" s="28" t="s">
        <v>138</v>
      </c>
      <c r="CG397" s="28" t="s">
        <v>138</v>
      </c>
      <c r="CH397" s="28" t="s">
        <v>177</v>
      </c>
      <c r="CI397" s="28" t="s">
        <v>138</v>
      </c>
      <c r="CJ397" s="28" t="s">
        <v>138</v>
      </c>
      <c r="CK397" s="28" t="s">
        <v>138</v>
      </c>
      <c r="CL397" s="28" t="s">
        <v>175</v>
      </c>
      <c r="CM397" s="34" t="s">
        <v>138</v>
      </c>
      <c r="CN397" s="29" t="s">
        <v>138</v>
      </c>
      <c r="CO397" s="35">
        <v>0.02</v>
      </c>
      <c r="CP397" s="36">
        <v>85</v>
      </c>
      <c r="CQ397" s="35">
        <v>-0.04</v>
      </c>
      <c r="CR397" s="35">
        <v>-66.959999999999994</v>
      </c>
      <c r="CS397" s="35">
        <v>0</v>
      </c>
      <c r="CT397" s="36">
        <v>23</v>
      </c>
      <c r="CU397" s="35">
        <v>0.04</v>
      </c>
      <c r="CV397" s="36">
        <v>56</v>
      </c>
      <c r="CW397" s="35" t="s">
        <v>138</v>
      </c>
      <c r="CX397" s="36" t="s">
        <v>138</v>
      </c>
      <c r="CY397" s="35">
        <v>0</v>
      </c>
      <c r="CZ397" s="36">
        <v>25</v>
      </c>
      <c r="DA397" s="35">
        <v>0.05</v>
      </c>
      <c r="DB397" s="36">
        <v>64</v>
      </c>
      <c r="DC397" s="37">
        <v>9.6999999999999993</v>
      </c>
      <c r="DD397" s="36">
        <v>90</v>
      </c>
      <c r="DE397" s="37">
        <v>-0.01</v>
      </c>
      <c r="DF397" s="35">
        <v>-0.09</v>
      </c>
      <c r="DG397" s="37">
        <v>0.79</v>
      </c>
      <c r="DH397" s="36">
        <v>45</v>
      </c>
      <c r="DI397" s="37">
        <v>18.61</v>
      </c>
      <c r="DJ397" s="36">
        <v>90</v>
      </c>
      <c r="DK397" s="37" t="s">
        <v>138</v>
      </c>
      <c r="DL397" s="36" t="s">
        <v>138</v>
      </c>
      <c r="DM397" s="37">
        <v>0.79</v>
      </c>
      <c r="DN397" s="36">
        <v>45</v>
      </c>
      <c r="DO397" s="37">
        <v>1.46</v>
      </c>
      <c r="DP397" s="36">
        <v>58</v>
      </c>
      <c r="DQ397" s="36" t="s">
        <v>138</v>
      </c>
      <c r="DR397" s="38" t="s">
        <v>138</v>
      </c>
      <c r="DS397" s="35" t="s">
        <v>138</v>
      </c>
      <c r="DT397" s="36">
        <v>23</v>
      </c>
      <c r="DU397" s="38">
        <v>0</v>
      </c>
      <c r="DV397" s="35">
        <v>0</v>
      </c>
      <c r="DW397" s="36">
        <v>521</v>
      </c>
      <c r="DX397" s="39">
        <v>-2</v>
      </c>
      <c r="DY397" s="35">
        <v>-0.38</v>
      </c>
      <c r="DZ397" s="28" t="s">
        <v>178</v>
      </c>
      <c r="EA397" s="34">
        <v>43622</v>
      </c>
      <c r="EB397" s="29" t="s">
        <v>138</v>
      </c>
      <c r="EC397" s="34" t="s">
        <v>138</v>
      </c>
      <c r="ED397" s="28" t="s">
        <v>138</v>
      </c>
      <c r="EE397" s="40" t="str">
        <f>HYPERLINK("https://my.pitchbook.com?c=111801-70", "View company online")</f>
        <v>View company online</v>
      </c>
    </row>
    <row r="398" spans="1:135">
      <c r="A398" s="15" t="s">
        <v>8345</v>
      </c>
      <c r="B398" s="15" t="s">
        <v>8346</v>
      </c>
      <c r="C398" s="15" t="s">
        <v>138</v>
      </c>
      <c r="D398" s="15" t="s">
        <v>138</v>
      </c>
      <c r="E398" s="15" t="s">
        <v>138</v>
      </c>
      <c r="F398" s="15" t="s">
        <v>8345</v>
      </c>
      <c r="G398" s="15" t="s">
        <v>8347</v>
      </c>
      <c r="H398" s="15" t="s">
        <v>322</v>
      </c>
      <c r="I398" s="15" t="s">
        <v>323</v>
      </c>
      <c r="J398" s="15" t="s">
        <v>954</v>
      </c>
      <c r="K398" s="15" t="s">
        <v>1562</v>
      </c>
      <c r="L398" s="15" t="s">
        <v>8348</v>
      </c>
      <c r="M398" s="15" t="s">
        <v>8349</v>
      </c>
      <c r="N398" s="15" t="s">
        <v>542</v>
      </c>
      <c r="O398" s="17">
        <v>0.02</v>
      </c>
      <c r="P398" s="15" t="s">
        <v>610</v>
      </c>
      <c r="Q398" s="15" t="s">
        <v>149</v>
      </c>
      <c r="R398" s="15" t="s">
        <v>174</v>
      </c>
      <c r="S398" s="15" t="s">
        <v>8350</v>
      </c>
      <c r="T398" s="18">
        <v>3</v>
      </c>
      <c r="U398" s="15" t="s">
        <v>5398</v>
      </c>
      <c r="V398" s="15" t="s">
        <v>138</v>
      </c>
      <c r="W398" s="15" t="s">
        <v>138</v>
      </c>
      <c r="X398" s="19">
        <v>2015</v>
      </c>
      <c r="Y398" s="15" t="s">
        <v>138</v>
      </c>
      <c r="Z398" s="15" t="s">
        <v>138</v>
      </c>
      <c r="AA398" s="15" t="s">
        <v>138</v>
      </c>
      <c r="AB398" s="20" t="s">
        <v>138</v>
      </c>
      <c r="AC398" s="20" t="s">
        <v>138</v>
      </c>
      <c r="AD398" s="20" t="s">
        <v>138</v>
      </c>
      <c r="AE398" s="20" t="s">
        <v>138</v>
      </c>
      <c r="AF398" s="20" t="s">
        <v>138</v>
      </c>
      <c r="AG398" s="15" t="s">
        <v>138</v>
      </c>
      <c r="AH398" s="20" t="s">
        <v>138</v>
      </c>
      <c r="AI398" s="20" t="s">
        <v>138</v>
      </c>
      <c r="AJ398" s="20" t="s">
        <v>138</v>
      </c>
      <c r="AK398" s="15" t="s">
        <v>8351</v>
      </c>
      <c r="AL398" s="15" t="s">
        <v>8352</v>
      </c>
      <c r="AM398" s="15" t="s">
        <v>4399</v>
      </c>
      <c r="AN398" s="15" t="s">
        <v>8353</v>
      </c>
      <c r="AO398" s="15" t="s">
        <v>138</v>
      </c>
      <c r="AP398" s="15" t="s">
        <v>941</v>
      </c>
      <c r="AQ398" s="15" t="s">
        <v>8354</v>
      </c>
      <c r="AR398" s="15" t="s">
        <v>138</v>
      </c>
      <c r="AS398" s="15" t="s">
        <v>944</v>
      </c>
      <c r="AT398" s="15" t="s">
        <v>138</v>
      </c>
      <c r="AU398" s="15" t="s">
        <v>8355</v>
      </c>
      <c r="AV398" s="15" t="s">
        <v>946</v>
      </c>
      <c r="AW398" s="15" t="s">
        <v>138</v>
      </c>
      <c r="AX398" s="15" t="s">
        <v>138</v>
      </c>
      <c r="AY398" s="15" t="s">
        <v>138</v>
      </c>
      <c r="AZ398" s="15" t="s">
        <v>530</v>
      </c>
      <c r="BA398" s="15" t="s">
        <v>531</v>
      </c>
      <c r="BB398" s="15" t="s">
        <v>8356</v>
      </c>
      <c r="BC398" s="15" t="s">
        <v>1827</v>
      </c>
      <c r="BD398" s="21">
        <v>3</v>
      </c>
      <c r="BE398" s="15" t="s">
        <v>138</v>
      </c>
      <c r="BF398" s="15" t="s">
        <v>138</v>
      </c>
      <c r="BG398" s="15" t="s">
        <v>138</v>
      </c>
      <c r="BH398" s="15" t="s">
        <v>1828</v>
      </c>
      <c r="BI398" s="15" t="s">
        <v>138</v>
      </c>
      <c r="BJ398" s="15" t="s">
        <v>138</v>
      </c>
      <c r="BK398" s="15" t="s">
        <v>138</v>
      </c>
      <c r="BL398" s="15" t="s">
        <v>138</v>
      </c>
      <c r="BM398" s="22">
        <v>42439</v>
      </c>
      <c r="BN398" s="17">
        <v>0.02</v>
      </c>
      <c r="BO398" s="15" t="s">
        <v>172</v>
      </c>
      <c r="BP398" s="17" t="s">
        <v>138</v>
      </c>
      <c r="BQ398" s="15" t="s">
        <v>138</v>
      </c>
      <c r="BR398" s="15" t="s">
        <v>316</v>
      </c>
      <c r="BS398" s="15" t="s">
        <v>138</v>
      </c>
      <c r="BT398" s="15" t="s">
        <v>138</v>
      </c>
      <c r="BU398" s="15" t="s">
        <v>177</v>
      </c>
      <c r="BV398" s="15" t="s">
        <v>138</v>
      </c>
      <c r="BW398" s="15" t="s">
        <v>138</v>
      </c>
      <c r="BX398" s="15" t="s">
        <v>138</v>
      </c>
      <c r="BY398" s="15" t="s">
        <v>175</v>
      </c>
      <c r="BZ398" s="22">
        <v>42439</v>
      </c>
      <c r="CA398" s="17">
        <v>0.02</v>
      </c>
      <c r="CB398" s="15" t="s">
        <v>172</v>
      </c>
      <c r="CC398" s="17" t="s">
        <v>138</v>
      </c>
      <c r="CD398" s="15" t="s">
        <v>138</v>
      </c>
      <c r="CE398" s="15" t="s">
        <v>316</v>
      </c>
      <c r="CF398" s="15" t="s">
        <v>138</v>
      </c>
      <c r="CG398" s="15" t="s">
        <v>138</v>
      </c>
      <c r="CH398" s="15" t="s">
        <v>177</v>
      </c>
      <c r="CI398" s="15" t="s">
        <v>138</v>
      </c>
      <c r="CJ398" s="15" t="s">
        <v>138</v>
      </c>
      <c r="CK398" s="15" t="s">
        <v>138</v>
      </c>
      <c r="CL398" s="15" t="s">
        <v>175</v>
      </c>
      <c r="CM398" s="22" t="s">
        <v>138</v>
      </c>
      <c r="CN398" s="17" t="s">
        <v>138</v>
      </c>
      <c r="CO398" s="23">
        <v>0</v>
      </c>
      <c r="CP398" s="24">
        <v>26</v>
      </c>
      <c r="CQ398" s="23">
        <v>0</v>
      </c>
      <c r="CR398" s="23">
        <v>0</v>
      </c>
      <c r="CS398" s="23">
        <v>0</v>
      </c>
      <c r="CT398" s="24">
        <v>23</v>
      </c>
      <c r="CU398" s="23">
        <v>0</v>
      </c>
      <c r="CV398" s="24">
        <v>22</v>
      </c>
      <c r="CW398" s="23" t="s">
        <v>138</v>
      </c>
      <c r="CX398" s="24" t="s">
        <v>138</v>
      </c>
      <c r="CY398" s="23">
        <v>0</v>
      </c>
      <c r="CZ398" s="24">
        <v>25</v>
      </c>
      <c r="DA398" s="23">
        <v>0</v>
      </c>
      <c r="DB398" s="24">
        <v>22</v>
      </c>
      <c r="DC398" s="25">
        <v>0.67</v>
      </c>
      <c r="DD398" s="24">
        <v>41</v>
      </c>
      <c r="DE398" s="25">
        <v>0</v>
      </c>
      <c r="DF398" s="23">
        <v>0.02</v>
      </c>
      <c r="DG398" s="25">
        <v>0.79</v>
      </c>
      <c r="DH398" s="24">
        <v>45</v>
      </c>
      <c r="DI398" s="25">
        <v>0.56000000000000005</v>
      </c>
      <c r="DJ398" s="24">
        <v>38</v>
      </c>
      <c r="DK398" s="25" t="s">
        <v>138</v>
      </c>
      <c r="DL398" s="24" t="s">
        <v>138</v>
      </c>
      <c r="DM398" s="25">
        <v>0.79</v>
      </c>
      <c r="DN398" s="24">
        <v>45</v>
      </c>
      <c r="DO398" s="25">
        <v>0.25</v>
      </c>
      <c r="DP398" s="24">
        <v>27</v>
      </c>
      <c r="DQ398" s="24" t="s">
        <v>138</v>
      </c>
      <c r="DR398" s="26" t="s">
        <v>138</v>
      </c>
      <c r="DS398" s="23" t="s">
        <v>138</v>
      </c>
      <c r="DT398" s="24">
        <v>23</v>
      </c>
      <c r="DU398" s="26">
        <v>1</v>
      </c>
      <c r="DV398" s="23">
        <v>4.55</v>
      </c>
      <c r="DW398" s="24">
        <v>89</v>
      </c>
      <c r="DX398" s="27">
        <v>0</v>
      </c>
      <c r="DY398" s="23">
        <v>0</v>
      </c>
      <c r="DZ398" s="15" t="s">
        <v>178</v>
      </c>
      <c r="EA398" s="22">
        <v>43448</v>
      </c>
      <c r="EB398" s="17" t="s">
        <v>138</v>
      </c>
      <c r="EC398" s="22" t="s">
        <v>138</v>
      </c>
      <c r="ED398" s="15" t="s">
        <v>138</v>
      </c>
      <c r="EE398" s="14" t="str">
        <f>HYPERLINK("https://my.pitchbook.com?c=155314-09", "View company online")</f>
        <v>View company online</v>
      </c>
    </row>
    <row r="399" spans="1:135">
      <c r="A399" s="28" t="s">
        <v>8357</v>
      </c>
      <c r="B399" s="28" t="s">
        <v>8358</v>
      </c>
      <c r="C399" s="28" t="s">
        <v>138</v>
      </c>
      <c r="D399" s="28" t="s">
        <v>8359</v>
      </c>
      <c r="E399" s="28" t="s">
        <v>138</v>
      </c>
      <c r="F399" s="28" t="s">
        <v>8357</v>
      </c>
      <c r="G399" s="28" t="s">
        <v>8360</v>
      </c>
      <c r="H399" s="28" t="s">
        <v>322</v>
      </c>
      <c r="I399" s="28" t="s">
        <v>3488</v>
      </c>
      <c r="J399" s="28" t="s">
        <v>3488</v>
      </c>
      <c r="K399" s="28" t="s">
        <v>8361</v>
      </c>
      <c r="L399" s="28" t="s">
        <v>415</v>
      </c>
      <c r="M399" s="28" t="s">
        <v>8362</v>
      </c>
      <c r="N399" s="28" t="s">
        <v>147</v>
      </c>
      <c r="O399" s="29" t="s">
        <v>138</v>
      </c>
      <c r="P399" s="28" t="s">
        <v>148</v>
      </c>
      <c r="Q399" s="28" t="s">
        <v>149</v>
      </c>
      <c r="R399" s="28" t="s">
        <v>174</v>
      </c>
      <c r="S399" s="28" t="s">
        <v>8363</v>
      </c>
      <c r="T399" s="30" t="s">
        <v>138</v>
      </c>
      <c r="U399" s="28" t="s">
        <v>138</v>
      </c>
      <c r="V399" s="28" t="s">
        <v>138</v>
      </c>
      <c r="W399" s="28" t="s">
        <v>138</v>
      </c>
      <c r="X399" s="31">
        <v>2005</v>
      </c>
      <c r="Y399" s="28" t="s">
        <v>138</v>
      </c>
      <c r="Z399" s="28" t="s">
        <v>138</v>
      </c>
      <c r="AA399" s="28" t="s">
        <v>138</v>
      </c>
      <c r="AB399" s="32" t="s">
        <v>138</v>
      </c>
      <c r="AC399" s="32" t="s">
        <v>138</v>
      </c>
      <c r="AD399" s="32" t="s">
        <v>138</v>
      </c>
      <c r="AE399" s="32" t="s">
        <v>138</v>
      </c>
      <c r="AF399" s="32" t="s">
        <v>138</v>
      </c>
      <c r="AG399" s="28" t="s">
        <v>138</v>
      </c>
      <c r="AH399" s="32" t="s">
        <v>138</v>
      </c>
      <c r="AI399" s="32" t="s">
        <v>138</v>
      </c>
      <c r="AJ399" s="32" t="s">
        <v>138</v>
      </c>
      <c r="AK399" s="28" t="s">
        <v>8364</v>
      </c>
      <c r="AL399" s="28" t="s">
        <v>8365</v>
      </c>
      <c r="AM399" s="28" t="s">
        <v>8366</v>
      </c>
      <c r="AN399" s="28" t="s">
        <v>8367</v>
      </c>
      <c r="AO399" s="28" t="s">
        <v>138</v>
      </c>
      <c r="AP399" s="28" t="s">
        <v>1195</v>
      </c>
      <c r="AQ399" s="28" t="s">
        <v>8368</v>
      </c>
      <c r="AR399" s="28" t="s">
        <v>8369</v>
      </c>
      <c r="AS399" s="28" t="s">
        <v>1198</v>
      </c>
      <c r="AT399" s="28" t="s">
        <v>138</v>
      </c>
      <c r="AU399" s="28" t="s">
        <v>8370</v>
      </c>
      <c r="AV399" s="28" t="s">
        <v>1200</v>
      </c>
      <c r="AW399" s="28" t="s">
        <v>138</v>
      </c>
      <c r="AX399" s="28" t="s">
        <v>138</v>
      </c>
      <c r="AY399" s="28" t="s">
        <v>8371</v>
      </c>
      <c r="AZ399" s="28" t="s">
        <v>452</v>
      </c>
      <c r="BA399" s="28" t="s">
        <v>453</v>
      </c>
      <c r="BB399" s="28" t="s">
        <v>8372</v>
      </c>
      <c r="BC399" s="28" t="s">
        <v>8373</v>
      </c>
      <c r="BD399" s="33">
        <v>1</v>
      </c>
      <c r="BE399" s="28" t="s">
        <v>138</v>
      </c>
      <c r="BF399" s="28" t="s">
        <v>138</v>
      </c>
      <c r="BG399" s="28" t="s">
        <v>138</v>
      </c>
      <c r="BH399" s="28" t="s">
        <v>8374</v>
      </c>
      <c r="BI399" s="28" t="s">
        <v>138</v>
      </c>
      <c r="BJ399" s="28" t="s">
        <v>138</v>
      </c>
      <c r="BK399" s="28" t="s">
        <v>138</v>
      </c>
      <c r="BL399" s="28" t="s">
        <v>138</v>
      </c>
      <c r="BM399" s="34" t="s">
        <v>138</v>
      </c>
      <c r="BN399" s="29" t="s">
        <v>138</v>
      </c>
      <c r="BO399" s="28" t="s">
        <v>138</v>
      </c>
      <c r="BP399" s="29" t="s">
        <v>138</v>
      </c>
      <c r="BQ399" s="28" t="s">
        <v>138</v>
      </c>
      <c r="BR399" s="28" t="s">
        <v>205</v>
      </c>
      <c r="BS399" s="28" t="s">
        <v>138</v>
      </c>
      <c r="BT399" s="28" t="s">
        <v>138</v>
      </c>
      <c r="BU399" s="28" t="s">
        <v>174</v>
      </c>
      <c r="BV399" s="28" t="s">
        <v>138</v>
      </c>
      <c r="BW399" s="28" t="s">
        <v>138</v>
      </c>
      <c r="BX399" s="28" t="s">
        <v>138</v>
      </c>
      <c r="BY399" s="28" t="s">
        <v>175</v>
      </c>
      <c r="BZ399" s="34" t="s">
        <v>138</v>
      </c>
      <c r="CA399" s="29" t="s">
        <v>138</v>
      </c>
      <c r="CB399" s="28" t="s">
        <v>138</v>
      </c>
      <c r="CC399" s="29" t="s">
        <v>138</v>
      </c>
      <c r="CD399" s="28" t="s">
        <v>138</v>
      </c>
      <c r="CE399" s="28" t="s">
        <v>205</v>
      </c>
      <c r="CF399" s="28" t="s">
        <v>138</v>
      </c>
      <c r="CG399" s="28" t="s">
        <v>138</v>
      </c>
      <c r="CH399" s="28" t="s">
        <v>174</v>
      </c>
      <c r="CI399" s="28" t="s">
        <v>138</v>
      </c>
      <c r="CJ399" s="28" t="s">
        <v>138</v>
      </c>
      <c r="CK399" s="28" t="s">
        <v>138</v>
      </c>
      <c r="CL399" s="28" t="s">
        <v>175</v>
      </c>
      <c r="CM399" s="34" t="s">
        <v>138</v>
      </c>
      <c r="CN399" s="29" t="s">
        <v>138</v>
      </c>
      <c r="CO399" s="35">
        <v>0</v>
      </c>
      <c r="CP399" s="36">
        <v>26</v>
      </c>
      <c r="CQ399" s="35">
        <v>0</v>
      </c>
      <c r="CR399" s="35">
        <v>0</v>
      </c>
      <c r="CS399" s="35">
        <v>0</v>
      </c>
      <c r="CT399" s="36">
        <v>23</v>
      </c>
      <c r="CU399" s="35">
        <v>0</v>
      </c>
      <c r="CV399" s="36">
        <v>22</v>
      </c>
      <c r="CW399" s="35" t="s">
        <v>138</v>
      </c>
      <c r="CX399" s="36" t="s">
        <v>138</v>
      </c>
      <c r="CY399" s="35">
        <v>0</v>
      </c>
      <c r="CZ399" s="36">
        <v>25</v>
      </c>
      <c r="DA399" s="35">
        <v>0</v>
      </c>
      <c r="DB399" s="36">
        <v>22</v>
      </c>
      <c r="DC399" s="37">
        <v>0.69</v>
      </c>
      <c r="DD399" s="36">
        <v>42</v>
      </c>
      <c r="DE399" s="37">
        <v>0</v>
      </c>
      <c r="DF399" s="35">
        <v>0.04</v>
      </c>
      <c r="DG399" s="37">
        <v>1.28</v>
      </c>
      <c r="DH399" s="36">
        <v>57</v>
      </c>
      <c r="DI399" s="37">
        <v>0.1</v>
      </c>
      <c r="DJ399" s="36">
        <v>14</v>
      </c>
      <c r="DK399" s="37" t="s">
        <v>138</v>
      </c>
      <c r="DL399" s="36" t="s">
        <v>138</v>
      </c>
      <c r="DM399" s="37">
        <v>1.28</v>
      </c>
      <c r="DN399" s="36">
        <v>56</v>
      </c>
      <c r="DO399" s="37">
        <v>0.1</v>
      </c>
      <c r="DP399" s="36">
        <v>16</v>
      </c>
      <c r="DQ399" s="36" t="s">
        <v>138</v>
      </c>
      <c r="DR399" s="38" t="s">
        <v>138</v>
      </c>
      <c r="DS399" s="35" t="s">
        <v>138</v>
      </c>
      <c r="DT399" s="36">
        <v>37</v>
      </c>
      <c r="DU399" s="38">
        <v>0</v>
      </c>
      <c r="DV399" s="35">
        <v>0</v>
      </c>
      <c r="DW399" s="36">
        <v>37</v>
      </c>
      <c r="DX399" s="39">
        <v>0</v>
      </c>
      <c r="DY399" s="35">
        <v>0</v>
      </c>
      <c r="DZ399" s="28" t="s">
        <v>178</v>
      </c>
      <c r="EA399" s="34">
        <v>43378</v>
      </c>
      <c r="EB399" s="29" t="s">
        <v>138</v>
      </c>
      <c r="EC399" s="34" t="s">
        <v>138</v>
      </c>
      <c r="ED399" s="28" t="s">
        <v>138</v>
      </c>
      <c r="EE399" s="40" t="str">
        <f>HYPERLINK("https://my.pitchbook.com?c=107199-01", "View company online")</f>
        <v>View company online</v>
      </c>
    </row>
    <row r="400" spans="1:135">
      <c r="A400" s="15" t="s">
        <v>8375</v>
      </c>
      <c r="B400" s="15" t="s">
        <v>8376</v>
      </c>
      <c r="C400" s="15" t="s">
        <v>138</v>
      </c>
      <c r="D400" s="15" t="s">
        <v>8377</v>
      </c>
      <c r="E400" s="15" t="s">
        <v>8378</v>
      </c>
      <c r="F400" s="15" t="s">
        <v>8375</v>
      </c>
      <c r="G400" s="15" t="s">
        <v>8379</v>
      </c>
      <c r="H400" s="15" t="s">
        <v>322</v>
      </c>
      <c r="I400" s="15" t="s">
        <v>323</v>
      </c>
      <c r="J400" s="15" t="s">
        <v>324</v>
      </c>
      <c r="K400" s="15" t="s">
        <v>8380</v>
      </c>
      <c r="L400" s="15" t="s">
        <v>2641</v>
      </c>
      <c r="M400" s="15" t="s">
        <v>8381</v>
      </c>
      <c r="N400" s="15" t="s">
        <v>147</v>
      </c>
      <c r="O400" s="17">
        <v>55.65</v>
      </c>
      <c r="P400" s="15" t="s">
        <v>148</v>
      </c>
      <c r="Q400" s="15" t="s">
        <v>149</v>
      </c>
      <c r="R400" s="15" t="s">
        <v>174</v>
      </c>
      <c r="S400" s="15" t="s">
        <v>8382</v>
      </c>
      <c r="T400" s="18">
        <v>40</v>
      </c>
      <c r="U400" s="15" t="s">
        <v>8383</v>
      </c>
      <c r="V400" s="15" t="s">
        <v>138</v>
      </c>
      <c r="W400" s="15" t="s">
        <v>138</v>
      </c>
      <c r="X400" s="19">
        <v>2012</v>
      </c>
      <c r="Y400" s="15" t="s">
        <v>138</v>
      </c>
      <c r="Z400" s="15" t="s">
        <v>138</v>
      </c>
      <c r="AA400" s="15" t="s">
        <v>138</v>
      </c>
      <c r="AB400" s="20" t="s">
        <v>138</v>
      </c>
      <c r="AC400" s="20" t="s">
        <v>138</v>
      </c>
      <c r="AD400" s="20" t="s">
        <v>138</v>
      </c>
      <c r="AE400" s="20" t="s">
        <v>138</v>
      </c>
      <c r="AF400" s="20" t="s">
        <v>138</v>
      </c>
      <c r="AG400" s="15" t="s">
        <v>138</v>
      </c>
      <c r="AH400" s="20" t="s">
        <v>138</v>
      </c>
      <c r="AI400" s="20" t="s">
        <v>138</v>
      </c>
      <c r="AJ400" s="20" t="s">
        <v>138</v>
      </c>
      <c r="AK400" s="15" t="s">
        <v>8384</v>
      </c>
      <c r="AL400" s="15" t="s">
        <v>8385</v>
      </c>
      <c r="AM400" s="15" t="s">
        <v>249</v>
      </c>
      <c r="AN400" s="15" t="s">
        <v>8386</v>
      </c>
      <c r="AO400" s="15" t="s">
        <v>8387</v>
      </c>
      <c r="AP400" s="15" t="s">
        <v>665</v>
      </c>
      <c r="AQ400" s="15" t="s">
        <v>8388</v>
      </c>
      <c r="AR400" s="15" t="s">
        <v>138</v>
      </c>
      <c r="AS400" s="15" t="s">
        <v>668</v>
      </c>
      <c r="AT400" s="15" t="s">
        <v>200</v>
      </c>
      <c r="AU400" s="15" t="s">
        <v>669</v>
      </c>
      <c r="AV400" s="15" t="s">
        <v>162</v>
      </c>
      <c r="AW400" s="15" t="s">
        <v>8387</v>
      </c>
      <c r="AX400" s="15" t="s">
        <v>138</v>
      </c>
      <c r="AY400" s="15" t="s">
        <v>8389</v>
      </c>
      <c r="AZ400" s="15" t="s">
        <v>164</v>
      </c>
      <c r="BA400" s="15" t="s">
        <v>165</v>
      </c>
      <c r="BB400" s="15" t="s">
        <v>8390</v>
      </c>
      <c r="BC400" s="15" t="s">
        <v>8391</v>
      </c>
      <c r="BD400" s="21">
        <v>14</v>
      </c>
      <c r="BE400" s="15" t="s">
        <v>138</v>
      </c>
      <c r="BF400" s="15" t="s">
        <v>138</v>
      </c>
      <c r="BG400" s="15" t="s">
        <v>138</v>
      </c>
      <c r="BH400" s="15" t="s">
        <v>8392</v>
      </c>
      <c r="BI400" s="15" t="s">
        <v>138</v>
      </c>
      <c r="BJ400" s="15" t="s">
        <v>138</v>
      </c>
      <c r="BK400" s="15" t="s">
        <v>138</v>
      </c>
      <c r="BL400" s="15" t="s">
        <v>1275</v>
      </c>
      <c r="BM400" s="22">
        <v>41159</v>
      </c>
      <c r="BN400" s="17">
        <v>4.3</v>
      </c>
      <c r="BO400" s="15" t="s">
        <v>172</v>
      </c>
      <c r="BP400" s="17">
        <v>15.78</v>
      </c>
      <c r="BQ400" s="15" t="s">
        <v>172</v>
      </c>
      <c r="BR400" s="15" t="s">
        <v>205</v>
      </c>
      <c r="BS400" s="15" t="s">
        <v>206</v>
      </c>
      <c r="BT400" s="15" t="s">
        <v>138</v>
      </c>
      <c r="BU400" s="15" t="s">
        <v>174</v>
      </c>
      <c r="BV400" s="15" t="s">
        <v>138</v>
      </c>
      <c r="BW400" s="15" t="s">
        <v>138</v>
      </c>
      <c r="BX400" s="15" t="s">
        <v>138</v>
      </c>
      <c r="BY400" s="15" t="s">
        <v>175</v>
      </c>
      <c r="BZ400" s="22">
        <v>43516</v>
      </c>
      <c r="CA400" s="17">
        <v>16</v>
      </c>
      <c r="CB400" s="15" t="s">
        <v>172</v>
      </c>
      <c r="CC400" s="17">
        <v>30.9</v>
      </c>
      <c r="CD400" s="15" t="s">
        <v>172</v>
      </c>
      <c r="CE400" s="15" t="s">
        <v>173</v>
      </c>
      <c r="CF400" s="15" t="s">
        <v>720</v>
      </c>
      <c r="CG400" s="15" t="s">
        <v>138</v>
      </c>
      <c r="CH400" s="15" t="s">
        <v>174</v>
      </c>
      <c r="CI400" s="15" t="s">
        <v>177</v>
      </c>
      <c r="CJ400" s="15" t="s">
        <v>138</v>
      </c>
      <c r="CK400" s="15" t="s">
        <v>138</v>
      </c>
      <c r="CL400" s="15" t="s">
        <v>175</v>
      </c>
      <c r="CM400" s="22" t="s">
        <v>138</v>
      </c>
      <c r="CN400" s="17" t="s">
        <v>138</v>
      </c>
      <c r="CO400" s="23">
        <v>0.44</v>
      </c>
      <c r="CP400" s="24">
        <v>95</v>
      </c>
      <c r="CQ400" s="23">
        <v>0.01</v>
      </c>
      <c r="CR400" s="23">
        <v>1.46</v>
      </c>
      <c r="CS400" s="23">
        <v>0.9</v>
      </c>
      <c r="CT400" s="24">
        <v>96</v>
      </c>
      <c r="CU400" s="23">
        <v>0.09</v>
      </c>
      <c r="CV400" s="24">
        <v>66</v>
      </c>
      <c r="CW400" s="23">
        <v>2.2999999999999998</v>
      </c>
      <c r="CX400" s="24">
        <v>89</v>
      </c>
      <c r="CY400" s="23">
        <v>-0.49</v>
      </c>
      <c r="CZ400" s="24">
        <v>22</v>
      </c>
      <c r="DA400" s="23">
        <v>0.09</v>
      </c>
      <c r="DB400" s="24">
        <v>70</v>
      </c>
      <c r="DC400" s="25">
        <v>6.12</v>
      </c>
      <c r="DD400" s="24">
        <v>85</v>
      </c>
      <c r="DE400" s="25">
        <v>-0.05</v>
      </c>
      <c r="DF400" s="23">
        <v>-0.8</v>
      </c>
      <c r="DG400" s="25">
        <v>10.79</v>
      </c>
      <c r="DH400" s="24">
        <v>90</v>
      </c>
      <c r="DI400" s="25">
        <v>7.49</v>
      </c>
      <c r="DJ400" s="24">
        <v>82</v>
      </c>
      <c r="DK400" s="25">
        <v>3.54</v>
      </c>
      <c r="DL400" s="24">
        <v>74</v>
      </c>
      <c r="DM400" s="25">
        <v>18.03</v>
      </c>
      <c r="DN400" s="24">
        <v>93</v>
      </c>
      <c r="DO400" s="25">
        <v>7.49</v>
      </c>
      <c r="DP400" s="24">
        <v>84</v>
      </c>
      <c r="DQ400" s="24">
        <v>1196</v>
      </c>
      <c r="DR400" s="26">
        <v>54</v>
      </c>
      <c r="DS400" s="23">
        <v>4.7300000000000004</v>
      </c>
      <c r="DT400" s="24">
        <v>522</v>
      </c>
      <c r="DU400" s="26">
        <v>2</v>
      </c>
      <c r="DV400" s="23">
        <v>0.38</v>
      </c>
      <c r="DW400" s="24">
        <v>2684</v>
      </c>
      <c r="DX400" s="27">
        <v>-2</v>
      </c>
      <c r="DY400" s="23">
        <v>-7.0000000000000007E-2</v>
      </c>
      <c r="DZ400" s="15" t="s">
        <v>178</v>
      </c>
      <c r="EA400" s="22">
        <v>43578</v>
      </c>
      <c r="EB400" s="17">
        <v>30.9</v>
      </c>
      <c r="EC400" s="22">
        <v>43516</v>
      </c>
      <c r="ED400" s="15" t="s">
        <v>173</v>
      </c>
      <c r="EE400" s="14" t="str">
        <f>HYPERLINK("https://my.pitchbook.com?c=55449-19", "View company online")</f>
        <v>View company online</v>
      </c>
    </row>
    <row r="401" spans="1:135">
      <c r="A401" s="28" t="s">
        <v>8393</v>
      </c>
      <c r="B401" s="28" t="s">
        <v>8394</v>
      </c>
      <c r="C401" s="28" t="s">
        <v>8395</v>
      </c>
      <c r="D401" s="28" t="s">
        <v>138</v>
      </c>
      <c r="E401" s="28" t="s">
        <v>8396</v>
      </c>
      <c r="F401" s="28" t="s">
        <v>8393</v>
      </c>
      <c r="G401" s="28" t="s">
        <v>8397</v>
      </c>
      <c r="H401" s="28" t="s">
        <v>322</v>
      </c>
      <c r="I401" s="28" t="s">
        <v>323</v>
      </c>
      <c r="J401" s="28" t="s">
        <v>324</v>
      </c>
      <c r="K401" s="28" t="s">
        <v>8398</v>
      </c>
      <c r="L401" s="28" t="s">
        <v>415</v>
      </c>
      <c r="M401" s="28" t="s">
        <v>8399</v>
      </c>
      <c r="N401" s="28" t="s">
        <v>147</v>
      </c>
      <c r="O401" s="29">
        <v>48.68</v>
      </c>
      <c r="P401" s="28" t="s">
        <v>148</v>
      </c>
      <c r="Q401" s="28" t="s">
        <v>149</v>
      </c>
      <c r="R401" s="28" t="s">
        <v>244</v>
      </c>
      <c r="S401" s="28" t="s">
        <v>8400</v>
      </c>
      <c r="T401" s="30">
        <v>51</v>
      </c>
      <c r="U401" s="28" t="s">
        <v>246</v>
      </c>
      <c r="V401" s="28" t="s">
        <v>138</v>
      </c>
      <c r="W401" s="28" t="s">
        <v>138</v>
      </c>
      <c r="X401" s="31">
        <v>2006</v>
      </c>
      <c r="Y401" s="28" t="s">
        <v>138</v>
      </c>
      <c r="Z401" s="28" t="s">
        <v>138</v>
      </c>
      <c r="AA401" s="28" t="s">
        <v>138</v>
      </c>
      <c r="AB401" s="32" t="s">
        <v>138</v>
      </c>
      <c r="AC401" s="32" t="s">
        <v>138</v>
      </c>
      <c r="AD401" s="32" t="s">
        <v>138</v>
      </c>
      <c r="AE401" s="32" t="s">
        <v>138</v>
      </c>
      <c r="AF401" s="32" t="s">
        <v>138</v>
      </c>
      <c r="AG401" s="28" t="s">
        <v>138</v>
      </c>
      <c r="AH401" s="32" t="s">
        <v>138</v>
      </c>
      <c r="AI401" s="32" t="s">
        <v>138</v>
      </c>
      <c r="AJ401" s="32" t="s">
        <v>138</v>
      </c>
      <c r="AK401" s="28" t="s">
        <v>8401</v>
      </c>
      <c r="AL401" s="28" t="s">
        <v>8402</v>
      </c>
      <c r="AM401" s="28" t="s">
        <v>221</v>
      </c>
      <c r="AN401" s="28" t="s">
        <v>138</v>
      </c>
      <c r="AO401" s="28" t="s">
        <v>8403</v>
      </c>
      <c r="AP401" s="28" t="s">
        <v>1220</v>
      </c>
      <c r="AQ401" s="28" t="s">
        <v>8404</v>
      </c>
      <c r="AR401" s="28" t="s">
        <v>1459</v>
      </c>
      <c r="AS401" s="28" t="s">
        <v>1223</v>
      </c>
      <c r="AT401" s="28" t="s">
        <v>200</v>
      </c>
      <c r="AU401" s="28" t="s">
        <v>8405</v>
      </c>
      <c r="AV401" s="28" t="s">
        <v>162</v>
      </c>
      <c r="AW401" s="28" t="s">
        <v>8403</v>
      </c>
      <c r="AX401" s="28" t="s">
        <v>8406</v>
      </c>
      <c r="AY401" s="28" t="s">
        <v>8407</v>
      </c>
      <c r="AZ401" s="28" t="s">
        <v>164</v>
      </c>
      <c r="BA401" s="28" t="s">
        <v>165</v>
      </c>
      <c r="BB401" s="28" t="s">
        <v>8408</v>
      </c>
      <c r="BC401" s="28" t="s">
        <v>8409</v>
      </c>
      <c r="BD401" s="33">
        <v>17</v>
      </c>
      <c r="BE401" s="28" t="s">
        <v>138</v>
      </c>
      <c r="BF401" s="28" t="s">
        <v>138</v>
      </c>
      <c r="BG401" s="28" t="s">
        <v>138</v>
      </c>
      <c r="BH401" s="28" t="s">
        <v>8410</v>
      </c>
      <c r="BI401" s="28" t="s">
        <v>138</v>
      </c>
      <c r="BJ401" s="28" t="s">
        <v>138</v>
      </c>
      <c r="BK401" s="28" t="s">
        <v>138</v>
      </c>
      <c r="BL401" s="28" t="s">
        <v>8411</v>
      </c>
      <c r="BM401" s="34">
        <v>38930</v>
      </c>
      <c r="BN401" s="29">
        <v>10.5</v>
      </c>
      <c r="BO401" s="28" t="s">
        <v>172</v>
      </c>
      <c r="BP401" s="29">
        <v>20.309999999999999</v>
      </c>
      <c r="BQ401" s="28" t="s">
        <v>172</v>
      </c>
      <c r="BR401" s="28" t="s">
        <v>205</v>
      </c>
      <c r="BS401" s="28" t="s">
        <v>206</v>
      </c>
      <c r="BT401" s="28" t="s">
        <v>138</v>
      </c>
      <c r="BU401" s="28" t="s">
        <v>174</v>
      </c>
      <c r="BV401" s="28" t="s">
        <v>138</v>
      </c>
      <c r="BW401" s="28" t="s">
        <v>138</v>
      </c>
      <c r="BX401" s="28" t="s">
        <v>138</v>
      </c>
      <c r="BY401" s="28" t="s">
        <v>175</v>
      </c>
      <c r="BZ401" s="34">
        <v>41639</v>
      </c>
      <c r="CA401" s="29">
        <v>1.66</v>
      </c>
      <c r="CB401" s="28" t="s">
        <v>172</v>
      </c>
      <c r="CC401" s="29" t="s">
        <v>138</v>
      </c>
      <c r="CD401" s="28" t="s">
        <v>138</v>
      </c>
      <c r="CE401" s="28" t="s">
        <v>1326</v>
      </c>
      <c r="CF401" s="28" t="s">
        <v>138</v>
      </c>
      <c r="CG401" s="28" t="s">
        <v>138</v>
      </c>
      <c r="CH401" s="28" t="s">
        <v>1327</v>
      </c>
      <c r="CI401" s="28" t="s">
        <v>1328</v>
      </c>
      <c r="CJ401" s="28" t="s">
        <v>138</v>
      </c>
      <c r="CK401" s="28" t="s">
        <v>138</v>
      </c>
      <c r="CL401" s="28" t="s">
        <v>175</v>
      </c>
      <c r="CM401" s="34">
        <v>41639</v>
      </c>
      <c r="CN401" s="29">
        <v>1.66</v>
      </c>
      <c r="CO401" s="35">
        <v>-0.04</v>
      </c>
      <c r="CP401" s="36">
        <v>23</v>
      </c>
      <c r="CQ401" s="35">
        <v>-0.01</v>
      </c>
      <c r="CR401" s="35">
        <v>-27.39</v>
      </c>
      <c r="CS401" s="35">
        <v>-0.17</v>
      </c>
      <c r="CT401" s="36">
        <v>22</v>
      </c>
      <c r="CU401" s="35">
        <v>0</v>
      </c>
      <c r="CV401" s="36">
        <v>22</v>
      </c>
      <c r="CW401" s="35">
        <v>1.62</v>
      </c>
      <c r="CX401" s="36">
        <v>87</v>
      </c>
      <c r="CY401" s="35">
        <v>-1.96</v>
      </c>
      <c r="CZ401" s="36">
        <v>11</v>
      </c>
      <c r="DA401" s="35">
        <v>0.01</v>
      </c>
      <c r="DB401" s="36">
        <v>57</v>
      </c>
      <c r="DC401" s="37">
        <v>252.49</v>
      </c>
      <c r="DD401" s="36">
        <v>100</v>
      </c>
      <c r="DE401" s="37">
        <v>0.66</v>
      </c>
      <c r="DF401" s="35">
        <v>0.26</v>
      </c>
      <c r="DG401" s="37">
        <v>248.62</v>
      </c>
      <c r="DH401" s="36">
        <v>100</v>
      </c>
      <c r="DI401" s="37">
        <v>16.39</v>
      </c>
      <c r="DJ401" s="36">
        <v>89</v>
      </c>
      <c r="DK401" s="37">
        <v>324.76</v>
      </c>
      <c r="DL401" s="36">
        <v>99</v>
      </c>
      <c r="DM401" s="37">
        <v>172.48</v>
      </c>
      <c r="DN401" s="36">
        <v>100</v>
      </c>
      <c r="DO401" s="37">
        <v>15.18</v>
      </c>
      <c r="DP401" s="36">
        <v>91</v>
      </c>
      <c r="DQ401" s="36">
        <v>110601</v>
      </c>
      <c r="DR401" s="38">
        <v>2373</v>
      </c>
      <c r="DS401" s="35">
        <v>2.19</v>
      </c>
      <c r="DT401" s="36">
        <v>4997</v>
      </c>
      <c r="DU401" s="38">
        <v>0</v>
      </c>
      <c r="DV401" s="35">
        <v>0</v>
      </c>
      <c r="DW401" s="36">
        <v>5434</v>
      </c>
      <c r="DX401" s="39">
        <v>1</v>
      </c>
      <c r="DY401" s="35">
        <v>0.02</v>
      </c>
      <c r="DZ401" s="28" t="s">
        <v>178</v>
      </c>
      <c r="EA401" s="34">
        <v>43351</v>
      </c>
      <c r="EB401" s="29">
        <v>127.12</v>
      </c>
      <c r="EC401" s="34">
        <v>40349</v>
      </c>
      <c r="ED401" s="28" t="s">
        <v>173</v>
      </c>
      <c r="EE401" s="40" t="str">
        <f>HYPERLINK("https://my.pitchbook.com?c=43024-06", "View company online")</f>
        <v>View company online</v>
      </c>
    </row>
    <row r="402" spans="1:135">
      <c r="A402" s="15" t="s">
        <v>8412</v>
      </c>
      <c r="B402" s="15" t="s">
        <v>8413</v>
      </c>
      <c r="C402" s="15" t="s">
        <v>138</v>
      </c>
      <c r="D402" s="15" t="s">
        <v>8414</v>
      </c>
      <c r="E402" s="15" t="s">
        <v>138</v>
      </c>
      <c r="F402" s="15" t="s">
        <v>8412</v>
      </c>
      <c r="G402" s="15" t="s">
        <v>8415</v>
      </c>
      <c r="H402" s="15" t="s">
        <v>322</v>
      </c>
      <c r="I402" s="15" t="s">
        <v>323</v>
      </c>
      <c r="J402" s="15" t="s">
        <v>8416</v>
      </c>
      <c r="K402" s="15" t="s">
        <v>8417</v>
      </c>
      <c r="L402" s="15" t="s">
        <v>4703</v>
      </c>
      <c r="M402" s="15" t="s">
        <v>138</v>
      </c>
      <c r="N402" s="15" t="s">
        <v>1212</v>
      </c>
      <c r="O402" s="17">
        <v>150</v>
      </c>
      <c r="P402" s="15" t="s">
        <v>148</v>
      </c>
      <c r="Q402" s="15" t="s">
        <v>149</v>
      </c>
      <c r="R402" s="15" t="s">
        <v>244</v>
      </c>
      <c r="S402" s="15" t="s">
        <v>138</v>
      </c>
      <c r="T402" s="18">
        <v>156</v>
      </c>
      <c r="U402" s="15" t="s">
        <v>8418</v>
      </c>
      <c r="V402" s="15" t="s">
        <v>138</v>
      </c>
      <c r="W402" s="15" t="s">
        <v>138</v>
      </c>
      <c r="X402" s="19" t="s">
        <v>138</v>
      </c>
      <c r="Y402" s="15" t="s">
        <v>138</v>
      </c>
      <c r="Z402" s="15" t="s">
        <v>138</v>
      </c>
      <c r="AA402" s="15" t="s">
        <v>138</v>
      </c>
      <c r="AB402" s="20" t="s">
        <v>138</v>
      </c>
      <c r="AC402" s="20" t="s">
        <v>138</v>
      </c>
      <c r="AD402" s="20" t="s">
        <v>138</v>
      </c>
      <c r="AE402" s="20" t="s">
        <v>138</v>
      </c>
      <c r="AF402" s="20" t="s">
        <v>138</v>
      </c>
      <c r="AG402" s="15" t="s">
        <v>138</v>
      </c>
      <c r="AH402" s="20" t="s">
        <v>138</v>
      </c>
      <c r="AI402" s="20" t="s">
        <v>138</v>
      </c>
      <c r="AJ402" s="20" t="s">
        <v>138</v>
      </c>
      <c r="AK402" s="15" t="s">
        <v>138</v>
      </c>
      <c r="AL402" s="15" t="s">
        <v>138</v>
      </c>
      <c r="AM402" s="15" t="s">
        <v>138</v>
      </c>
      <c r="AN402" s="15" t="s">
        <v>138</v>
      </c>
      <c r="AO402" s="15" t="s">
        <v>138</v>
      </c>
      <c r="AP402" s="15" t="s">
        <v>1292</v>
      </c>
      <c r="AQ402" s="15" t="s">
        <v>8419</v>
      </c>
      <c r="AR402" s="15" t="s">
        <v>138</v>
      </c>
      <c r="AS402" s="15" t="s">
        <v>1294</v>
      </c>
      <c r="AT402" s="15" t="s">
        <v>864</v>
      </c>
      <c r="AU402" s="15" t="s">
        <v>8420</v>
      </c>
      <c r="AV402" s="15" t="s">
        <v>162</v>
      </c>
      <c r="AW402" s="15" t="s">
        <v>8421</v>
      </c>
      <c r="AX402" s="15" t="s">
        <v>138</v>
      </c>
      <c r="AY402" s="15" t="s">
        <v>138</v>
      </c>
      <c r="AZ402" s="15" t="s">
        <v>164</v>
      </c>
      <c r="BA402" s="15" t="s">
        <v>165</v>
      </c>
      <c r="BB402" s="15" t="s">
        <v>8422</v>
      </c>
      <c r="BC402" s="15" t="s">
        <v>8423</v>
      </c>
      <c r="BD402" s="21">
        <v>4</v>
      </c>
      <c r="BE402" s="15" t="s">
        <v>8424</v>
      </c>
      <c r="BF402" s="15" t="s">
        <v>138</v>
      </c>
      <c r="BG402" s="15" t="s">
        <v>138</v>
      </c>
      <c r="BH402" s="15" t="s">
        <v>8425</v>
      </c>
      <c r="BI402" s="15" t="s">
        <v>138</v>
      </c>
      <c r="BJ402" s="15" t="s">
        <v>138</v>
      </c>
      <c r="BK402" s="15" t="s">
        <v>138</v>
      </c>
      <c r="BL402" s="15" t="s">
        <v>8426</v>
      </c>
      <c r="BM402" s="22">
        <v>39637</v>
      </c>
      <c r="BN402" s="17">
        <v>9</v>
      </c>
      <c r="BO402" s="15" t="s">
        <v>172</v>
      </c>
      <c r="BP402" s="17" t="s">
        <v>138</v>
      </c>
      <c r="BQ402" s="15" t="s">
        <v>138</v>
      </c>
      <c r="BR402" s="15" t="s">
        <v>205</v>
      </c>
      <c r="BS402" s="15" t="s">
        <v>206</v>
      </c>
      <c r="BT402" s="15" t="s">
        <v>138</v>
      </c>
      <c r="BU402" s="15" t="s">
        <v>174</v>
      </c>
      <c r="BV402" s="15" t="s">
        <v>138</v>
      </c>
      <c r="BW402" s="15" t="s">
        <v>138</v>
      </c>
      <c r="BX402" s="15" t="s">
        <v>138</v>
      </c>
      <c r="BY402" s="15" t="s">
        <v>175</v>
      </c>
      <c r="BZ402" s="22">
        <v>42793</v>
      </c>
      <c r="CA402" s="17" t="s">
        <v>138</v>
      </c>
      <c r="CB402" s="15" t="s">
        <v>138</v>
      </c>
      <c r="CC402" s="17" t="s">
        <v>138</v>
      </c>
      <c r="CD402" s="15" t="s">
        <v>138</v>
      </c>
      <c r="CE402" s="15" t="s">
        <v>1326</v>
      </c>
      <c r="CF402" s="15" t="s">
        <v>1397</v>
      </c>
      <c r="CG402" s="15" t="s">
        <v>138</v>
      </c>
      <c r="CH402" s="15" t="s">
        <v>1327</v>
      </c>
      <c r="CI402" s="15" t="s">
        <v>1397</v>
      </c>
      <c r="CJ402" s="15" t="s">
        <v>138</v>
      </c>
      <c r="CK402" s="15" t="s">
        <v>138</v>
      </c>
      <c r="CL402" s="15" t="s">
        <v>175</v>
      </c>
      <c r="CM402" s="22" t="s">
        <v>138</v>
      </c>
      <c r="CN402" s="17" t="s">
        <v>138</v>
      </c>
      <c r="CO402" s="23" t="s">
        <v>138</v>
      </c>
      <c r="CP402" s="24" t="s">
        <v>138</v>
      </c>
      <c r="CQ402" s="23" t="s">
        <v>138</v>
      </c>
      <c r="CR402" s="23" t="s">
        <v>138</v>
      </c>
      <c r="CS402" s="23" t="s">
        <v>138</v>
      </c>
      <c r="CT402" s="24" t="s">
        <v>138</v>
      </c>
      <c r="CU402" s="23" t="s">
        <v>138</v>
      </c>
      <c r="CV402" s="24" t="s">
        <v>138</v>
      </c>
      <c r="CW402" s="23" t="s">
        <v>138</v>
      </c>
      <c r="CX402" s="24" t="s">
        <v>138</v>
      </c>
      <c r="CY402" s="23" t="s">
        <v>138</v>
      </c>
      <c r="CZ402" s="24" t="s">
        <v>138</v>
      </c>
      <c r="DA402" s="23" t="s">
        <v>138</v>
      </c>
      <c r="DB402" s="24" t="s">
        <v>138</v>
      </c>
      <c r="DC402" s="25" t="s">
        <v>138</v>
      </c>
      <c r="DD402" s="24" t="s">
        <v>138</v>
      </c>
      <c r="DE402" s="25" t="s">
        <v>138</v>
      </c>
      <c r="DF402" s="23" t="s">
        <v>138</v>
      </c>
      <c r="DG402" s="25" t="s">
        <v>138</v>
      </c>
      <c r="DH402" s="24" t="s">
        <v>138</v>
      </c>
      <c r="DI402" s="25" t="s">
        <v>138</v>
      </c>
      <c r="DJ402" s="24" t="s">
        <v>138</v>
      </c>
      <c r="DK402" s="25" t="s">
        <v>138</v>
      </c>
      <c r="DL402" s="24" t="s">
        <v>138</v>
      </c>
      <c r="DM402" s="25" t="s">
        <v>138</v>
      </c>
      <c r="DN402" s="24" t="s">
        <v>138</v>
      </c>
      <c r="DO402" s="25" t="s">
        <v>138</v>
      </c>
      <c r="DP402" s="24" t="s">
        <v>138</v>
      </c>
      <c r="DQ402" s="24" t="s">
        <v>138</v>
      </c>
      <c r="DR402" s="26" t="s">
        <v>138</v>
      </c>
      <c r="DS402" s="23" t="s">
        <v>138</v>
      </c>
      <c r="DT402" s="24" t="s">
        <v>138</v>
      </c>
      <c r="DU402" s="26" t="s">
        <v>138</v>
      </c>
      <c r="DV402" s="23" t="s">
        <v>138</v>
      </c>
      <c r="DW402" s="24" t="s">
        <v>138</v>
      </c>
      <c r="DX402" s="27" t="s">
        <v>138</v>
      </c>
      <c r="DY402" s="23" t="s">
        <v>138</v>
      </c>
      <c r="DZ402" s="15" t="s">
        <v>178</v>
      </c>
      <c r="EA402" s="22">
        <v>43351</v>
      </c>
      <c r="EB402" s="17" t="s">
        <v>138</v>
      </c>
      <c r="EC402" s="22" t="s">
        <v>138</v>
      </c>
      <c r="ED402" s="15" t="s">
        <v>138</v>
      </c>
      <c r="EE402" s="14" t="str">
        <f>HYPERLINK("https://my.pitchbook.com?c=13287-43", "View company online")</f>
        <v>View company online</v>
      </c>
    </row>
    <row r="403" spans="1:135">
      <c r="A403" s="28" t="s">
        <v>8427</v>
      </c>
      <c r="B403" s="28" t="s">
        <v>8428</v>
      </c>
      <c r="C403" s="28" t="s">
        <v>138</v>
      </c>
      <c r="D403" s="28" t="s">
        <v>138</v>
      </c>
      <c r="E403" s="28" t="s">
        <v>138</v>
      </c>
      <c r="F403" s="28" t="s">
        <v>8427</v>
      </c>
      <c r="G403" s="28" t="s">
        <v>8429</v>
      </c>
      <c r="H403" s="28" t="s">
        <v>141</v>
      </c>
      <c r="I403" s="28" t="s">
        <v>212</v>
      </c>
      <c r="J403" s="28" t="s">
        <v>1257</v>
      </c>
      <c r="K403" s="28" t="s">
        <v>8430</v>
      </c>
      <c r="L403" s="28" t="s">
        <v>8431</v>
      </c>
      <c r="M403" s="28" t="s">
        <v>8432</v>
      </c>
      <c r="N403" s="28" t="s">
        <v>147</v>
      </c>
      <c r="O403" s="29">
        <v>42.94</v>
      </c>
      <c r="P403" s="28" t="s">
        <v>610</v>
      </c>
      <c r="Q403" s="28" t="s">
        <v>149</v>
      </c>
      <c r="R403" s="28" t="s">
        <v>174</v>
      </c>
      <c r="S403" s="28" t="s">
        <v>8433</v>
      </c>
      <c r="T403" s="30">
        <v>22</v>
      </c>
      <c r="U403" s="28" t="s">
        <v>8434</v>
      </c>
      <c r="V403" s="28" t="s">
        <v>138</v>
      </c>
      <c r="W403" s="28" t="s">
        <v>138</v>
      </c>
      <c r="X403" s="31">
        <v>2014</v>
      </c>
      <c r="Y403" s="28" t="s">
        <v>138</v>
      </c>
      <c r="Z403" s="28" t="s">
        <v>138</v>
      </c>
      <c r="AA403" s="28" t="s">
        <v>138</v>
      </c>
      <c r="AB403" s="32" t="s">
        <v>138</v>
      </c>
      <c r="AC403" s="32" t="s">
        <v>138</v>
      </c>
      <c r="AD403" s="32" t="s">
        <v>138</v>
      </c>
      <c r="AE403" s="32" t="s">
        <v>138</v>
      </c>
      <c r="AF403" s="32" t="s">
        <v>138</v>
      </c>
      <c r="AG403" s="28" t="s">
        <v>138</v>
      </c>
      <c r="AH403" s="32" t="s">
        <v>138</v>
      </c>
      <c r="AI403" s="32" t="s">
        <v>138</v>
      </c>
      <c r="AJ403" s="32" t="s">
        <v>138</v>
      </c>
      <c r="AK403" s="28" t="s">
        <v>8435</v>
      </c>
      <c r="AL403" s="28" t="s">
        <v>8436</v>
      </c>
      <c r="AM403" s="28" t="s">
        <v>5401</v>
      </c>
      <c r="AN403" s="28" t="s">
        <v>8437</v>
      </c>
      <c r="AO403" s="28" t="s">
        <v>8438</v>
      </c>
      <c r="AP403" s="28" t="s">
        <v>1244</v>
      </c>
      <c r="AQ403" s="28" t="s">
        <v>8439</v>
      </c>
      <c r="AR403" s="28" t="s">
        <v>138</v>
      </c>
      <c r="AS403" s="28" t="s">
        <v>1246</v>
      </c>
      <c r="AT403" s="28" t="s">
        <v>200</v>
      </c>
      <c r="AU403" s="28" t="s">
        <v>844</v>
      </c>
      <c r="AV403" s="28" t="s">
        <v>162</v>
      </c>
      <c r="AW403" s="28" t="s">
        <v>8438</v>
      </c>
      <c r="AX403" s="28" t="s">
        <v>138</v>
      </c>
      <c r="AY403" s="28" t="s">
        <v>8440</v>
      </c>
      <c r="AZ403" s="28" t="s">
        <v>164</v>
      </c>
      <c r="BA403" s="28" t="s">
        <v>165</v>
      </c>
      <c r="BB403" s="28" t="s">
        <v>8441</v>
      </c>
      <c r="BC403" s="28" t="s">
        <v>8442</v>
      </c>
      <c r="BD403" s="33">
        <v>11</v>
      </c>
      <c r="BE403" s="28" t="s">
        <v>138</v>
      </c>
      <c r="BF403" s="28" t="s">
        <v>138</v>
      </c>
      <c r="BG403" s="28" t="s">
        <v>138</v>
      </c>
      <c r="BH403" s="28" t="s">
        <v>8443</v>
      </c>
      <c r="BI403" s="28" t="s">
        <v>138</v>
      </c>
      <c r="BJ403" s="28" t="s">
        <v>138</v>
      </c>
      <c r="BK403" s="28" t="s">
        <v>5213</v>
      </c>
      <c r="BL403" s="28" t="s">
        <v>5213</v>
      </c>
      <c r="BM403" s="34">
        <v>42068</v>
      </c>
      <c r="BN403" s="29">
        <v>2.94</v>
      </c>
      <c r="BO403" s="28" t="s">
        <v>172</v>
      </c>
      <c r="BP403" s="29">
        <v>13.47</v>
      </c>
      <c r="BQ403" s="28" t="s">
        <v>172</v>
      </c>
      <c r="BR403" s="28" t="s">
        <v>234</v>
      </c>
      <c r="BS403" s="28" t="s">
        <v>8444</v>
      </c>
      <c r="BT403" s="28" t="s">
        <v>138</v>
      </c>
      <c r="BU403" s="28" t="s">
        <v>174</v>
      </c>
      <c r="BV403" s="28" t="s">
        <v>138</v>
      </c>
      <c r="BW403" s="28" t="s">
        <v>138</v>
      </c>
      <c r="BX403" s="28" t="s">
        <v>138</v>
      </c>
      <c r="BY403" s="28" t="s">
        <v>175</v>
      </c>
      <c r="BZ403" s="34">
        <v>43265</v>
      </c>
      <c r="CA403" s="29">
        <v>40</v>
      </c>
      <c r="CB403" s="28" t="s">
        <v>172</v>
      </c>
      <c r="CC403" s="29">
        <v>85</v>
      </c>
      <c r="CD403" s="28" t="s">
        <v>172</v>
      </c>
      <c r="CE403" s="28" t="s">
        <v>205</v>
      </c>
      <c r="CF403" s="28" t="s">
        <v>206</v>
      </c>
      <c r="CG403" s="28" t="s">
        <v>138</v>
      </c>
      <c r="CH403" s="28" t="s">
        <v>174</v>
      </c>
      <c r="CI403" s="28" t="s">
        <v>138</v>
      </c>
      <c r="CJ403" s="28" t="s">
        <v>138</v>
      </c>
      <c r="CK403" s="28" t="s">
        <v>138</v>
      </c>
      <c r="CL403" s="28" t="s">
        <v>175</v>
      </c>
      <c r="CM403" s="34" t="s">
        <v>138</v>
      </c>
      <c r="CN403" s="29" t="s">
        <v>138</v>
      </c>
      <c r="CO403" s="35">
        <v>4.82</v>
      </c>
      <c r="CP403" s="36">
        <v>100</v>
      </c>
      <c r="CQ403" s="35">
        <v>0</v>
      </c>
      <c r="CR403" s="35">
        <v>0</v>
      </c>
      <c r="CS403" s="35">
        <v>4.82</v>
      </c>
      <c r="CT403" s="36">
        <v>100</v>
      </c>
      <c r="CU403" s="35" t="s">
        <v>138</v>
      </c>
      <c r="CV403" s="36" t="s">
        <v>138</v>
      </c>
      <c r="CW403" s="35">
        <v>9.64</v>
      </c>
      <c r="CX403" s="36">
        <v>99</v>
      </c>
      <c r="CY403" s="35">
        <v>0</v>
      </c>
      <c r="CZ403" s="36">
        <v>25</v>
      </c>
      <c r="DA403" s="35" t="s">
        <v>138</v>
      </c>
      <c r="DB403" s="36" t="s">
        <v>138</v>
      </c>
      <c r="DC403" s="37">
        <v>3.64</v>
      </c>
      <c r="DD403" s="36">
        <v>78</v>
      </c>
      <c r="DE403" s="37">
        <v>-0.39</v>
      </c>
      <c r="DF403" s="35">
        <v>-9.7200000000000006</v>
      </c>
      <c r="DG403" s="37">
        <v>3.64</v>
      </c>
      <c r="DH403" s="36">
        <v>78</v>
      </c>
      <c r="DI403" s="37" t="s">
        <v>138</v>
      </c>
      <c r="DJ403" s="36" t="s">
        <v>138</v>
      </c>
      <c r="DK403" s="37">
        <v>6.11</v>
      </c>
      <c r="DL403" s="36">
        <v>82</v>
      </c>
      <c r="DM403" s="37">
        <v>1.17</v>
      </c>
      <c r="DN403" s="36">
        <v>54</v>
      </c>
      <c r="DO403" s="37" t="s">
        <v>138</v>
      </c>
      <c r="DP403" s="36" t="s">
        <v>138</v>
      </c>
      <c r="DQ403" s="36">
        <v>1970</v>
      </c>
      <c r="DR403" s="38">
        <v>380</v>
      </c>
      <c r="DS403" s="35">
        <v>23.9</v>
      </c>
      <c r="DT403" s="36">
        <v>34</v>
      </c>
      <c r="DU403" s="38">
        <v>0</v>
      </c>
      <c r="DV403" s="35">
        <v>0</v>
      </c>
      <c r="DW403" s="36" t="s">
        <v>138</v>
      </c>
      <c r="DX403" s="39" t="s">
        <v>138</v>
      </c>
      <c r="DY403" s="35" t="s">
        <v>138</v>
      </c>
      <c r="DZ403" s="28" t="s">
        <v>178</v>
      </c>
      <c r="EA403" s="34">
        <v>43615</v>
      </c>
      <c r="EB403" s="29">
        <v>85</v>
      </c>
      <c r="EC403" s="34">
        <v>43265</v>
      </c>
      <c r="ED403" s="28" t="s">
        <v>205</v>
      </c>
      <c r="EE403" s="40" t="str">
        <f>HYPERLINK("https://my.pitchbook.com?c=118580-32", "View company online")</f>
        <v>View company online</v>
      </c>
    </row>
    <row r="404" spans="1:135">
      <c r="A404" s="15" t="s">
        <v>8445</v>
      </c>
      <c r="B404" s="15" t="s">
        <v>8446</v>
      </c>
      <c r="C404" s="15" t="s">
        <v>8447</v>
      </c>
      <c r="D404" s="15" t="s">
        <v>138</v>
      </c>
      <c r="E404" s="15" t="s">
        <v>138</v>
      </c>
      <c r="F404" s="15" t="s">
        <v>8445</v>
      </c>
      <c r="G404" s="15" t="s">
        <v>8448</v>
      </c>
      <c r="H404" s="15" t="s">
        <v>322</v>
      </c>
      <c r="I404" s="15" t="s">
        <v>1503</v>
      </c>
      <c r="J404" s="15" t="s">
        <v>2377</v>
      </c>
      <c r="K404" s="15" t="s">
        <v>8449</v>
      </c>
      <c r="L404" s="15" t="s">
        <v>415</v>
      </c>
      <c r="M404" s="15" t="s">
        <v>8450</v>
      </c>
      <c r="N404" s="15" t="s">
        <v>147</v>
      </c>
      <c r="O404" s="17">
        <v>122</v>
      </c>
      <c r="P404" s="15" t="s">
        <v>148</v>
      </c>
      <c r="Q404" s="15" t="s">
        <v>149</v>
      </c>
      <c r="R404" s="15" t="s">
        <v>174</v>
      </c>
      <c r="S404" s="15" t="s">
        <v>8451</v>
      </c>
      <c r="T404" s="18">
        <v>31</v>
      </c>
      <c r="U404" s="15" t="s">
        <v>8452</v>
      </c>
      <c r="V404" s="15" t="s">
        <v>138</v>
      </c>
      <c r="W404" s="15" t="s">
        <v>138</v>
      </c>
      <c r="X404" s="19">
        <v>2007</v>
      </c>
      <c r="Y404" s="15" t="s">
        <v>8453</v>
      </c>
      <c r="Z404" s="15" t="s">
        <v>138</v>
      </c>
      <c r="AA404" s="15" t="s">
        <v>138</v>
      </c>
      <c r="AB404" s="20" t="s">
        <v>138</v>
      </c>
      <c r="AC404" s="20" t="s">
        <v>138</v>
      </c>
      <c r="AD404" s="20" t="s">
        <v>138</v>
      </c>
      <c r="AE404" s="20" t="s">
        <v>138</v>
      </c>
      <c r="AF404" s="20" t="s">
        <v>138</v>
      </c>
      <c r="AG404" s="15" t="s">
        <v>138</v>
      </c>
      <c r="AH404" s="20" t="s">
        <v>138</v>
      </c>
      <c r="AI404" s="20" t="s">
        <v>138</v>
      </c>
      <c r="AJ404" s="20" t="s">
        <v>138</v>
      </c>
      <c r="AK404" s="15" t="s">
        <v>8454</v>
      </c>
      <c r="AL404" s="15" t="s">
        <v>8455</v>
      </c>
      <c r="AM404" s="15" t="s">
        <v>4269</v>
      </c>
      <c r="AN404" s="15" t="s">
        <v>8456</v>
      </c>
      <c r="AO404" s="15" t="s">
        <v>8457</v>
      </c>
      <c r="AP404" s="15" t="s">
        <v>5380</v>
      </c>
      <c r="AQ404" s="15" t="s">
        <v>8458</v>
      </c>
      <c r="AR404" s="15" t="s">
        <v>138</v>
      </c>
      <c r="AS404" s="15" t="s">
        <v>5382</v>
      </c>
      <c r="AT404" s="15" t="s">
        <v>200</v>
      </c>
      <c r="AU404" s="15" t="s">
        <v>5383</v>
      </c>
      <c r="AV404" s="15" t="s">
        <v>162</v>
      </c>
      <c r="AW404" s="15" t="s">
        <v>8457</v>
      </c>
      <c r="AX404" s="15" t="s">
        <v>8459</v>
      </c>
      <c r="AY404" s="15" t="s">
        <v>8460</v>
      </c>
      <c r="AZ404" s="15" t="s">
        <v>164</v>
      </c>
      <c r="BA404" s="15" t="s">
        <v>165</v>
      </c>
      <c r="BB404" s="15" t="s">
        <v>8461</v>
      </c>
      <c r="BC404" s="15" t="s">
        <v>8462</v>
      </c>
      <c r="BD404" s="21">
        <v>7</v>
      </c>
      <c r="BE404" s="15" t="s">
        <v>138</v>
      </c>
      <c r="BF404" s="15" t="s">
        <v>138</v>
      </c>
      <c r="BG404" s="15" t="s">
        <v>138</v>
      </c>
      <c r="BH404" s="15" t="s">
        <v>8463</v>
      </c>
      <c r="BI404" s="15" t="s">
        <v>138</v>
      </c>
      <c r="BJ404" s="15" t="s">
        <v>138</v>
      </c>
      <c r="BK404" s="15" t="s">
        <v>138</v>
      </c>
      <c r="BL404" s="15" t="s">
        <v>138</v>
      </c>
      <c r="BM404" s="22">
        <v>41921</v>
      </c>
      <c r="BN404" s="17">
        <v>70</v>
      </c>
      <c r="BO404" s="15" t="s">
        <v>172</v>
      </c>
      <c r="BP404" s="17">
        <v>280</v>
      </c>
      <c r="BQ404" s="15" t="s">
        <v>172</v>
      </c>
      <c r="BR404" s="15" t="s">
        <v>173</v>
      </c>
      <c r="BS404" s="15" t="s">
        <v>206</v>
      </c>
      <c r="BT404" s="15" t="s">
        <v>138</v>
      </c>
      <c r="BU404" s="15" t="s">
        <v>174</v>
      </c>
      <c r="BV404" s="15" t="s">
        <v>138</v>
      </c>
      <c r="BW404" s="15" t="s">
        <v>138</v>
      </c>
      <c r="BX404" s="15" t="s">
        <v>138</v>
      </c>
      <c r="BY404" s="15" t="s">
        <v>175</v>
      </c>
      <c r="BZ404" s="22">
        <v>43416</v>
      </c>
      <c r="CA404" s="17">
        <v>52</v>
      </c>
      <c r="CB404" s="15" t="s">
        <v>172</v>
      </c>
      <c r="CC404" s="17">
        <v>175</v>
      </c>
      <c r="CD404" s="15" t="s">
        <v>172</v>
      </c>
      <c r="CE404" s="15" t="s">
        <v>173</v>
      </c>
      <c r="CF404" s="15" t="s">
        <v>974</v>
      </c>
      <c r="CG404" s="15" t="s">
        <v>138</v>
      </c>
      <c r="CH404" s="15" t="s">
        <v>174</v>
      </c>
      <c r="CI404" s="15" t="s">
        <v>138</v>
      </c>
      <c r="CJ404" s="15" t="s">
        <v>138</v>
      </c>
      <c r="CK404" s="15" t="s">
        <v>138</v>
      </c>
      <c r="CL404" s="15" t="s">
        <v>175</v>
      </c>
      <c r="CM404" s="22" t="s">
        <v>138</v>
      </c>
      <c r="CN404" s="17" t="s">
        <v>138</v>
      </c>
      <c r="CO404" s="23">
        <v>0</v>
      </c>
      <c r="CP404" s="24">
        <v>26</v>
      </c>
      <c r="CQ404" s="23">
        <v>0</v>
      </c>
      <c r="CR404" s="23">
        <v>0</v>
      </c>
      <c r="CS404" s="23">
        <v>0</v>
      </c>
      <c r="CT404" s="24">
        <v>23</v>
      </c>
      <c r="CU404" s="23" t="s">
        <v>138</v>
      </c>
      <c r="CV404" s="24" t="s">
        <v>138</v>
      </c>
      <c r="CW404" s="23">
        <v>0</v>
      </c>
      <c r="CX404" s="24">
        <v>13</v>
      </c>
      <c r="CY404" s="23" t="s">
        <v>138</v>
      </c>
      <c r="CZ404" s="24" t="s">
        <v>138</v>
      </c>
      <c r="DA404" s="23" t="s">
        <v>138</v>
      </c>
      <c r="DB404" s="24" t="s">
        <v>138</v>
      </c>
      <c r="DC404" s="25">
        <v>0.71</v>
      </c>
      <c r="DD404" s="24">
        <v>43</v>
      </c>
      <c r="DE404" s="25">
        <v>-0.09</v>
      </c>
      <c r="DF404" s="23">
        <v>-11.37</v>
      </c>
      <c r="DG404" s="25">
        <v>0.71</v>
      </c>
      <c r="DH404" s="24">
        <v>43</v>
      </c>
      <c r="DI404" s="25" t="s">
        <v>138</v>
      </c>
      <c r="DJ404" s="24" t="s">
        <v>138</v>
      </c>
      <c r="DK404" s="25">
        <v>0.71</v>
      </c>
      <c r="DL404" s="24">
        <v>43</v>
      </c>
      <c r="DM404" s="25" t="s">
        <v>138</v>
      </c>
      <c r="DN404" s="24" t="s">
        <v>138</v>
      </c>
      <c r="DO404" s="25" t="s">
        <v>138</v>
      </c>
      <c r="DP404" s="24" t="s">
        <v>138</v>
      </c>
      <c r="DQ404" s="24">
        <v>231</v>
      </c>
      <c r="DR404" s="26">
        <v>34</v>
      </c>
      <c r="DS404" s="23">
        <v>17.260000000000002</v>
      </c>
      <c r="DT404" s="24" t="s">
        <v>138</v>
      </c>
      <c r="DU404" s="26" t="s">
        <v>138</v>
      </c>
      <c r="DV404" s="23" t="s">
        <v>138</v>
      </c>
      <c r="DW404" s="24" t="s">
        <v>138</v>
      </c>
      <c r="DX404" s="27" t="s">
        <v>138</v>
      </c>
      <c r="DY404" s="23" t="s">
        <v>138</v>
      </c>
      <c r="DZ404" s="15" t="s">
        <v>178</v>
      </c>
      <c r="EA404" s="22">
        <v>43608</v>
      </c>
      <c r="EB404" s="17">
        <v>175</v>
      </c>
      <c r="EC404" s="22">
        <v>43416</v>
      </c>
      <c r="ED404" s="15" t="s">
        <v>173</v>
      </c>
      <c r="EE404" s="14" t="str">
        <f>HYPERLINK("https://my.pitchbook.com?c=53833-24", "View company online")</f>
        <v>View company online</v>
      </c>
    </row>
    <row r="405" spans="1:135">
      <c r="A405" s="28" t="s">
        <v>8464</v>
      </c>
      <c r="B405" s="28" t="s">
        <v>8465</v>
      </c>
      <c r="C405" s="28" t="s">
        <v>8466</v>
      </c>
      <c r="D405" s="28" t="s">
        <v>138</v>
      </c>
      <c r="E405" s="28" t="s">
        <v>8467</v>
      </c>
      <c r="F405" s="28" t="s">
        <v>8464</v>
      </c>
      <c r="G405" s="28" t="s">
        <v>8468</v>
      </c>
      <c r="H405" s="28" t="s">
        <v>322</v>
      </c>
      <c r="I405" s="28" t="s">
        <v>323</v>
      </c>
      <c r="J405" s="28" t="s">
        <v>461</v>
      </c>
      <c r="K405" s="28" t="s">
        <v>462</v>
      </c>
      <c r="L405" s="28" t="s">
        <v>463</v>
      </c>
      <c r="M405" s="28" t="s">
        <v>8469</v>
      </c>
      <c r="N405" s="28" t="s">
        <v>147</v>
      </c>
      <c r="O405" s="29">
        <v>7.81</v>
      </c>
      <c r="P405" s="28" t="s">
        <v>148</v>
      </c>
      <c r="Q405" s="28" t="s">
        <v>149</v>
      </c>
      <c r="R405" s="28" t="s">
        <v>174</v>
      </c>
      <c r="S405" s="28" t="s">
        <v>8470</v>
      </c>
      <c r="T405" s="30" t="s">
        <v>138</v>
      </c>
      <c r="U405" s="28" t="s">
        <v>138</v>
      </c>
      <c r="V405" s="28" t="s">
        <v>138</v>
      </c>
      <c r="W405" s="28" t="s">
        <v>138</v>
      </c>
      <c r="X405" s="31">
        <v>2007</v>
      </c>
      <c r="Y405" s="28" t="s">
        <v>138</v>
      </c>
      <c r="Z405" s="28" t="s">
        <v>138</v>
      </c>
      <c r="AA405" s="28" t="s">
        <v>138</v>
      </c>
      <c r="AB405" s="32" t="s">
        <v>138</v>
      </c>
      <c r="AC405" s="32" t="s">
        <v>138</v>
      </c>
      <c r="AD405" s="32" t="s">
        <v>138</v>
      </c>
      <c r="AE405" s="32" t="s">
        <v>138</v>
      </c>
      <c r="AF405" s="32" t="s">
        <v>138</v>
      </c>
      <c r="AG405" s="28" t="s">
        <v>138</v>
      </c>
      <c r="AH405" s="32" t="s">
        <v>138</v>
      </c>
      <c r="AI405" s="32" t="s">
        <v>138</v>
      </c>
      <c r="AJ405" s="32" t="s">
        <v>138</v>
      </c>
      <c r="AK405" s="28" t="s">
        <v>8471</v>
      </c>
      <c r="AL405" s="28" t="s">
        <v>8472</v>
      </c>
      <c r="AM405" s="28" t="s">
        <v>8473</v>
      </c>
      <c r="AN405" s="28" t="s">
        <v>8474</v>
      </c>
      <c r="AO405" s="28" t="s">
        <v>8475</v>
      </c>
      <c r="AP405" s="28" t="s">
        <v>8476</v>
      </c>
      <c r="AQ405" s="28" t="s">
        <v>8477</v>
      </c>
      <c r="AR405" s="28" t="s">
        <v>1459</v>
      </c>
      <c r="AS405" s="28" t="s">
        <v>8478</v>
      </c>
      <c r="AT405" s="28" t="s">
        <v>8479</v>
      </c>
      <c r="AU405" s="28" t="s">
        <v>8480</v>
      </c>
      <c r="AV405" s="28" t="s">
        <v>162</v>
      </c>
      <c r="AW405" s="28" t="s">
        <v>8481</v>
      </c>
      <c r="AX405" s="28" t="s">
        <v>138</v>
      </c>
      <c r="AY405" s="28" t="s">
        <v>8482</v>
      </c>
      <c r="AZ405" s="28" t="s">
        <v>164</v>
      </c>
      <c r="BA405" s="28" t="s">
        <v>165</v>
      </c>
      <c r="BB405" s="28" t="s">
        <v>8483</v>
      </c>
      <c r="BC405" s="28" t="s">
        <v>8484</v>
      </c>
      <c r="BD405" s="33">
        <v>4</v>
      </c>
      <c r="BE405" s="28" t="s">
        <v>138</v>
      </c>
      <c r="BF405" s="28" t="s">
        <v>138</v>
      </c>
      <c r="BG405" s="28" t="s">
        <v>138</v>
      </c>
      <c r="BH405" s="28" t="s">
        <v>8485</v>
      </c>
      <c r="BI405" s="28" t="s">
        <v>138</v>
      </c>
      <c r="BJ405" s="28" t="s">
        <v>138</v>
      </c>
      <c r="BK405" s="28" t="s">
        <v>138</v>
      </c>
      <c r="BL405" s="28" t="s">
        <v>138</v>
      </c>
      <c r="BM405" s="34">
        <v>41481</v>
      </c>
      <c r="BN405" s="29">
        <v>2</v>
      </c>
      <c r="BO405" s="28" t="s">
        <v>172</v>
      </c>
      <c r="BP405" s="29">
        <v>11.78</v>
      </c>
      <c r="BQ405" s="28" t="s">
        <v>172</v>
      </c>
      <c r="BR405" s="28" t="s">
        <v>205</v>
      </c>
      <c r="BS405" s="28" t="s">
        <v>206</v>
      </c>
      <c r="BT405" s="28" t="s">
        <v>138</v>
      </c>
      <c r="BU405" s="28" t="s">
        <v>174</v>
      </c>
      <c r="BV405" s="28" t="s">
        <v>138</v>
      </c>
      <c r="BW405" s="28" t="s">
        <v>138</v>
      </c>
      <c r="BX405" s="28" t="s">
        <v>138</v>
      </c>
      <c r="BY405" s="28" t="s">
        <v>175</v>
      </c>
      <c r="BZ405" s="34">
        <v>43038</v>
      </c>
      <c r="CA405" s="29">
        <v>1.51</v>
      </c>
      <c r="CB405" s="28" t="s">
        <v>172</v>
      </c>
      <c r="CC405" s="29" t="s">
        <v>138</v>
      </c>
      <c r="CD405" s="28" t="s">
        <v>138</v>
      </c>
      <c r="CE405" s="28" t="s">
        <v>173</v>
      </c>
      <c r="CF405" s="28" t="s">
        <v>138</v>
      </c>
      <c r="CG405" s="28" t="s">
        <v>138</v>
      </c>
      <c r="CH405" s="28" t="s">
        <v>174</v>
      </c>
      <c r="CI405" s="28" t="s">
        <v>264</v>
      </c>
      <c r="CJ405" s="28" t="s">
        <v>138</v>
      </c>
      <c r="CK405" s="28" t="s">
        <v>138</v>
      </c>
      <c r="CL405" s="28" t="s">
        <v>175</v>
      </c>
      <c r="CM405" s="34" t="s">
        <v>138</v>
      </c>
      <c r="CN405" s="29" t="s">
        <v>138</v>
      </c>
      <c r="CO405" s="35">
        <v>-0.46</v>
      </c>
      <c r="CP405" s="36">
        <v>16</v>
      </c>
      <c r="CQ405" s="35">
        <v>0</v>
      </c>
      <c r="CR405" s="35">
        <v>0.03</v>
      </c>
      <c r="CS405" s="35">
        <v>-1.31</v>
      </c>
      <c r="CT405" s="36">
        <v>13</v>
      </c>
      <c r="CU405" s="35">
        <v>-0.01</v>
      </c>
      <c r="CV405" s="36">
        <v>20</v>
      </c>
      <c r="CW405" s="35">
        <v>0.43</v>
      </c>
      <c r="CX405" s="36">
        <v>82</v>
      </c>
      <c r="CY405" s="35">
        <v>-3.04</v>
      </c>
      <c r="CZ405" s="36">
        <v>7</v>
      </c>
      <c r="DA405" s="35">
        <v>0</v>
      </c>
      <c r="DB405" s="36">
        <v>22</v>
      </c>
      <c r="DC405" s="37">
        <v>26.2</v>
      </c>
      <c r="DD405" s="36">
        <v>96</v>
      </c>
      <c r="DE405" s="37">
        <v>-1.28</v>
      </c>
      <c r="DF405" s="35">
        <v>-4.6500000000000004</v>
      </c>
      <c r="DG405" s="37">
        <v>50.32</v>
      </c>
      <c r="DH405" s="36">
        <v>98</v>
      </c>
      <c r="DI405" s="37">
        <v>24.03</v>
      </c>
      <c r="DJ405" s="36">
        <v>92</v>
      </c>
      <c r="DK405" s="37">
        <v>64.72</v>
      </c>
      <c r="DL405" s="36">
        <v>97</v>
      </c>
      <c r="DM405" s="37">
        <v>35.93</v>
      </c>
      <c r="DN405" s="36">
        <v>97</v>
      </c>
      <c r="DO405" s="37">
        <v>32.54</v>
      </c>
      <c r="DP405" s="36">
        <v>95</v>
      </c>
      <c r="DQ405" s="36">
        <v>22154</v>
      </c>
      <c r="DR405" s="38">
        <v>131</v>
      </c>
      <c r="DS405" s="35">
        <v>0.59</v>
      </c>
      <c r="DT405" s="36">
        <v>1040</v>
      </c>
      <c r="DU405" s="38">
        <v>4</v>
      </c>
      <c r="DV405" s="35">
        <v>0.39</v>
      </c>
      <c r="DW405" s="36">
        <v>11653</v>
      </c>
      <c r="DX405" s="39">
        <v>-6</v>
      </c>
      <c r="DY405" s="35">
        <v>-0.05</v>
      </c>
      <c r="DZ405" s="28" t="s">
        <v>178</v>
      </c>
      <c r="EA405" s="34">
        <v>43488</v>
      </c>
      <c r="EB405" s="29">
        <v>11.06</v>
      </c>
      <c r="EC405" s="34">
        <v>42655</v>
      </c>
      <c r="ED405" s="28" t="s">
        <v>173</v>
      </c>
      <c r="EE405" s="40" t="str">
        <f>HYPERLINK("https://my.pitchbook.com?c=58160-98", "View company online")</f>
        <v>View company online</v>
      </c>
    </row>
    <row r="406" spans="1:135">
      <c r="A406" s="15" t="s">
        <v>8486</v>
      </c>
      <c r="B406" s="15" t="s">
        <v>8487</v>
      </c>
      <c r="C406" s="15" t="s">
        <v>8488</v>
      </c>
      <c r="D406" s="15" t="s">
        <v>8489</v>
      </c>
      <c r="E406" s="15" t="s">
        <v>8490</v>
      </c>
      <c r="F406" s="15" t="s">
        <v>8486</v>
      </c>
      <c r="G406" s="15" t="s">
        <v>8491</v>
      </c>
      <c r="H406" s="15" t="s">
        <v>183</v>
      </c>
      <c r="I406" s="15" t="s">
        <v>725</v>
      </c>
      <c r="J406" s="15" t="s">
        <v>8492</v>
      </c>
      <c r="K406" s="15" t="s">
        <v>8493</v>
      </c>
      <c r="L406" s="15" t="s">
        <v>4186</v>
      </c>
      <c r="M406" s="15" t="s">
        <v>8494</v>
      </c>
      <c r="N406" s="15" t="s">
        <v>1452</v>
      </c>
      <c r="O406" s="17">
        <v>9.0399999999999991</v>
      </c>
      <c r="P406" s="15" t="s">
        <v>148</v>
      </c>
      <c r="Q406" s="15" t="s">
        <v>149</v>
      </c>
      <c r="R406" s="15" t="s">
        <v>1652</v>
      </c>
      <c r="S406" s="15" t="s">
        <v>8495</v>
      </c>
      <c r="T406" s="18" t="s">
        <v>138</v>
      </c>
      <c r="U406" s="15" t="s">
        <v>138</v>
      </c>
      <c r="V406" s="15" t="s">
        <v>138</v>
      </c>
      <c r="W406" s="15" t="s">
        <v>138</v>
      </c>
      <c r="X406" s="19">
        <v>2001</v>
      </c>
      <c r="Y406" s="15" t="s">
        <v>138</v>
      </c>
      <c r="Z406" s="15" t="s">
        <v>138</v>
      </c>
      <c r="AA406" s="15" t="s">
        <v>138</v>
      </c>
      <c r="AB406" s="20" t="s">
        <v>138</v>
      </c>
      <c r="AC406" s="20" t="s">
        <v>138</v>
      </c>
      <c r="AD406" s="20" t="s">
        <v>138</v>
      </c>
      <c r="AE406" s="20" t="s">
        <v>138</v>
      </c>
      <c r="AF406" s="20" t="s">
        <v>138</v>
      </c>
      <c r="AG406" s="15" t="s">
        <v>138</v>
      </c>
      <c r="AH406" s="20" t="s">
        <v>138</v>
      </c>
      <c r="AI406" s="20" t="s">
        <v>138</v>
      </c>
      <c r="AJ406" s="20" t="s">
        <v>138</v>
      </c>
      <c r="AK406" s="15" t="s">
        <v>8496</v>
      </c>
      <c r="AL406" s="15" t="s">
        <v>8497</v>
      </c>
      <c r="AM406" s="15" t="s">
        <v>249</v>
      </c>
      <c r="AN406" s="15" t="s">
        <v>8498</v>
      </c>
      <c r="AO406" s="15" t="s">
        <v>8499</v>
      </c>
      <c r="AP406" s="15" t="s">
        <v>8500</v>
      </c>
      <c r="AQ406" s="15" t="s">
        <v>8501</v>
      </c>
      <c r="AR406" s="15" t="s">
        <v>158</v>
      </c>
      <c r="AS406" s="15" t="s">
        <v>8502</v>
      </c>
      <c r="AT406" s="15" t="s">
        <v>2883</v>
      </c>
      <c r="AU406" s="15" t="s">
        <v>8503</v>
      </c>
      <c r="AV406" s="15" t="s">
        <v>162</v>
      </c>
      <c r="AW406" s="15" t="s">
        <v>8504</v>
      </c>
      <c r="AX406" s="15" t="s">
        <v>8505</v>
      </c>
      <c r="AY406" s="15" t="s">
        <v>8506</v>
      </c>
      <c r="AZ406" s="15" t="s">
        <v>164</v>
      </c>
      <c r="BA406" s="15" t="s">
        <v>165</v>
      </c>
      <c r="BB406" s="15" t="s">
        <v>8507</v>
      </c>
      <c r="BC406" s="15" t="s">
        <v>8508</v>
      </c>
      <c r="BD406" s="21">
        <v>2</v>
      </c>
      <c r="BE406" s="15" t="s">
        <v>138</v>
      </c>
      <c r="BF406" s="15" t="s">
        <v>8509</v>
      </c>
      <c r="BG406" s="15" t="s">
        <v>138</v>
      </c>
      <c r="BH406" s="15" t="s">
        <v>8510</v>
      </c>
      <c r="BI406" s="15" t="s">
        <v>8511</v>
      </c>
      <c r="BJ406" s="15" t="s">
        <v>138</v>
      </c>
      <c r="BK406" s="15" t="s">
        <v>138</v>
      </c>
      <c r="BL406" s="15" t="s">
        <v>8512</v>
      </c>
      <c r="BM406" s="22" t="s">
        <v>138</v>
      </c>
      <c r="BN406" s="17">
        <v>1.1000000000000001</v>
      </c>
      <c r="BO406" s="15" t="s">
        <v>172</v>
      </c>
      <c r="BP406" s="17" t="s">
        <v>138</v>
      </c>
      <c r="BQ406" s="15" t="s">
        <v>138</v>
      </c>
      <c r="BR406" s="15" t="s">
        <v>262</v>
      </c>
      <c r="BS406" s="15" t="s">
        <v>262</v>
      </c>
      <c r="BT406" s="15" t="s">
        <v>138</v>
      </c>
      <c r="BU406" s="15" t="s">
        <v>263</v>
      </c>
      <c r="BV406" s="15" t="s">
        <v>138</v>
      </c>
      <c r="BW406" s="15" t="s">
        <v>138</v>
      </c>
      <c r="BX406" s="15" t="s">
        <v>138</v>
      </c>
      <c r="BY406" s="15" t="s">
        <v>175</v>
      </c>
      <c r="BZ406" s="22">
        <v>41745</v>
      </c>
      <c r="CA406" s="17" t="s">
        <v>138</v>
      </c>
      <c r="CB406" s="15" t="s">
        <v>138</v>
      </c>
      <c r="CC406" s="17" t="s">
        <v>138</v>
      </c>
      <c r="CD406" s="15" t="s">
        <v>138</v>
      </c>
      <c r="CE406" s="15" t="s">
        <v>349</v>
      </c>
      <c r="CF406" s="15" t="s">
        <v>3785</v>
      </c>
      <c r="CG406" s="15" t="s">
        <v>138</v>
      </c>
      <c r="CH406" s="15" t="s">
        <v>351</v>
      </c>
      <c r="CI406" s="15" t="s">
        <v>138</v>
      </c>
      <c r="CJ406" s="15" t="s">
        <v>138</v>
      </c>
      <c r="CK406" s="15" t="s">
        <v>138</v>
      </c>
      <c r="CL406" s="15" t="s">
        <v>175</v>
      </c>
      <c r="CM406" s="22" t="s">
        <v>138</v>
      </c>
      <c r="CN406" s="17" t="s">
        <v>138</v>
      </c>
      <c r="CO406" s="23">
        <v>0.2</v>
      </c>
      <c r="CP406" s="24">
        <v>92</v>
      </c>
      <c r="CQ406" s="23">
        <v>-0.03</v>
      </c>
      <c r="CR406" s="23">
        <v>-12.42</v>
      </c>
      <c r="CS406" s="23">
        <v>0</v>
      </c>
      <c r="CT406" s="24">
        <v>23</v>
      </c>
      <c r="CU406" s="23">
        <v>0.39</v>
      </c>
      <c r="CV406" s="24">
        <v>91</v>
      </c>
      <c r="CW406" s="23" t="s">
        <v>138</v>
      </c>
      <c r="CX406" s="24" t="s">
        <v>138</v>
      </c>
      <c r="CY406" s="23">
        <v>0</v>
      </c>
      <c r="CZ406" s="24">
        <v>25</v>
      </c>
      <c r="DA406" s="23">
        <v>0.09</v>
      </c>
      <c r="DB406" s="24">
        <v>70</v>
      </c>
      <c r="DC406" s="25">
        <v>0.73</v>
      </c>
      <c r="DD406" s="24">
        <v>43</v>
      </c>
      <c r="DE406" s="25">
        <v>0.02</v>
      </c>
      <c r="DF406" s="23">
        <v>2.5099999999999998</v>
      </c>
      <c r="DG406" s="25">
        <v>0.62</v>
      </c>
      <c r="DH406" s="24">
        <v>39</v>
      </c>
      <c r="DI406" s="25">
        <v>0.85</v>
      </c>
      <c r="DJ406" s="24">
        <v>46</v>
      </c>
      <c r="DK406" s="25" t="s">
        <v>138</v>
      </c>
      <c r="DL406" s="24" t="s">
        <v>138</v>
      </c>
      <c r="DM406" s="25">
        <v>0.62</v>
      </c>
      <c r="DN406" s="24">
        <v>39</v>
      </c>
      <c r="DO406" s="25">
        <v>1.57</v>
      </c>
      <c r="DP406" s="24">
        <v>59</v>
      </c>
      <c r="DQ406" s="24" t="s">
        <v>138</v>
      </c>
      <c r="DR406" s="26" t="s">
        <v>138</v>
      </c>
      <c r="DS406" s="23" t="s">
        <v>138</v>
      </c>
      <c r="DT406" s="24">
        <v>17</v>
      </c>
      <c r="DU406" s="26">
        <v>0</v>
      </c>
      <c r="DV406" s="23">
        <v>0</v>
      </c>
      <c r="DW406" s="24">
        <v>563</v>
      </c>
      <c r="DX406" s="27">
        <v>-2</v>
      </c>
      <c r="DY406" s="23">
        <v>-0.35</v>
      </c>
      <c r="DZ406" s="15" t="s">
        <v>178</v>
      </c>
      <c r="EA406" s="22">
        <v>43384</v>
      </c>
      <c r="EB406" s="17" t="s">
        <v>138</v>
      </c>
      <c r="EC406" s="22" t="s">
        <v>138</v>
      </c>
      <c r="ED406" s="15" t="s">
        <v>138</v>
      </c>
      <c r="EE406" s="14" t="str">
        <f>HYPERLINK("https://my.pitchbook.com?c=53919-55", "View company online")</f>
        <v>View company online</v>
      </c>
    </row>
    <row r="407" spans="1:135">
      <c r="A407" s="28" t="s">
        <v>8513</v>
      </c>
      <c r="B407" s="28" t="s">
        <v>8514</v>
      </c>
      <c r="C407" s="28" t="s">
        <v>138</v>
      </c>
      <c r="D407" s="28" t="s">
        <v>138</v>
      </c>
      <c r="E407" s="28" t="s">
        <v>8515</v>
      </c>
      <c r="F407" s="28" t="s">
        <v>8513</v>
      </c>
      <c r="G407" s="28" t="s">
        <v>8516</v>
      </c>
      <c r="H407" s="28" t="s">
        <v>322</v>
      </c>
      <c r="I407" s="28" t="s">
        <v>323</v>
      </c>
      <c r="J407" s="28" t="s">
        <v>2084</v>
      </c>
      <c r="K407" s="28" t="s">
        <v>8517</v>
      </c>
      <c r="L407" s="28" t="s">
        <v>242</v>
      </c>
      <c r="M407" s="28" t="s">
        <v>8518</v>
      </c>
      <c r="N407" s="28" t="s">
        <v>147</v>
      </c>
      <c r="O407" s="29">
        <v>1.56</v>
      </c>
      <c r="P407" s="28" t="s">
        <v>148</v>
      </c>
      <c r="Q407" s="28" t="s">
        <v>149</v>
      </c>
      <c r="R407" s="28" t="s">
        <v>174</v>
      </c>
      <c r="S407" s="28" t="s">
        <v>8519</v>
      </c>
      <c r="T407" s="30">
        <v>11</v>
      </c>
      <c r="U407" s="28" t="s">
        <v>1356</v>
      </c>
      <c r="V407" s="28" t="s">
        <v>138</v>
      </c>
      <c r="W407" s="28" t="s">
        <v>138</v>
      </c>
      <c r="X407" s="31">
        <v>2015</v>
      </c>
      <c r="Y407" s="28" t="s">
        <v>138</v>
      </c>
      <c r="Z407" s="28" t="s">
        <v>138</v>
      </c>
      <c r="AA407" s="28" t="s">
        <v>138</v>
      </c>
      <c r="AB407" s="32" t="s">
        <v>138</v>
      </c>
      <c r="AC407" s="32" t="s">
        <v>138</v>
      </c>
      <c r="AD407" s="32" t="s">
        <v>138</v>
      </c>
      <c r="AE407" s="32" t="s">
        <v>138</v>
      </c>
      <c r="AF407" s="32" t="s">
        <v>138</v>
      </c>
      <c r="AG407" s="28" t="s">
        <v>138</v>
      </c>
      <c r="AH407" s="32" t="s">
        <v>138</v>
      </c>
      <c r="AI407" s="32" t="s">
        <v>138</v>
      </c>
      <c r="AJ407" s="32" t="s">
        <v>138</v>
      </c>
      <c r="AK407" s="28" t="s">
        <v>8520</v>
      </c>
      <c r="AL407" s="28" t="s">
        <v>8521</v>
      </c>
      <c r="AM407" s="28" t="s">
        <v>5715</v>
      </c>
      <c r="AN407" s="28" t="s">
        <v>8522</v>
      </c>
      <c r="AO407" s="28" t="s">
        <v>138</v>
      </c>
      <c r="AP407" s="28" t="s">
        <v>8523</v>
      </c>
      <c r="AQ407" s="28" t="s">
        <v>8524</v>
      </c>
      <c r="AR407" s="28" t="s">
        <v>138</v>
      </c>
      <c r="AS407" s="28" t="s">
        <v>8525</v>
      </c>
      <c r="AT407" s="28" t="s">
        <v>138</v>
      </c>
      <c r="AU407" s="28" t="s">
        <v>8526</v>
      </c>
      <c r="AV407" s="28" t="s">
        <v>946</v>
      </c>
      <c r="AW407" s="28" t="s">
        <v>138</v>
      </c>
      <c r="AX407" s="28" t="s">
        <v>138</v>
      </c>
      <c r="AY407" s="28" t="s">
        <v>8527</v>
      </c>
      <c r="AZ407" s="28" t="s">
        <v>530</v>
      </c>
      <c r="BA407" s="28" t="s">
        <v>531</v>
      </c>
      <c r="BB407" s="28" t="s">
        <v>8528</v>
      </c>
      <c r="BC407" s="28" t="s">
        <v>8529</v>
      </c>
      <c r="BD407" s="33">
        <v>8</v>
      </c>
      <c r="BE407" s="28" t="s">
        <v>138</v>
      </c>
      <c r="BF407" s="28" t="s">
        <v>138</v>
      </c>
      <c r="BG407" s="28" t="s">
        <v>138</v>
      </c>
      <c r="BH407" s="28" t="s">
        <v>8530</v>
      </c>
      <c r="BI407" s="28" t="s">
        <v>138</v>
      </c>
      <c r="BJ407" s="28" t="s">
        <v>138</v>
      </c>
      <c r="BK407" s="28" t="s">
        <v>138</v>
      </c>
      <c r="BL407" s="28" t="s">
        <v>138</v>
      </c>
      <c r="BM407" s="34">
        <v>42129</v>
      </c>
      <c r="BN407" s="29" t="s">
        <v>138</v>
      </c>
      <c r="BO407" s="28" t="s">
        <v>138</v>
      </c>
      <c r="BP407" s="29" t="s">
        <v>138</v>
      </c>
      <c r="BQ407" s="28" t="s">
        <v>138</v>
      </c>
      <c r="BR407" s="28" t="s">
        <v>316</v>
      </c>
      <c r="BS407" s="28" t="s">
        <v>138</v>
      </c>
      <c r="BT407" s="28" t="s">
        <v>138</v>
      </c>
      <c r="BU407" s="28" t="s">
        <v>177</v>
      </c>
      <c r="BV407" s="28" t="s">
        <v>138</v>
      </c>
      <c r="BW407" s="28" t="s">
        <v>138</v>
      </c>
      <c r="BX407" s="28" t="s">
        <v>138</v>
      </c>
      <c r="BY407" s="28" t="s">
        <v>175</v>
      </c>
      <c r="BZ407" s="34">
        <v>42370</v>
      </c>
      <c r="CA407" s="29">
        <v>1.5</v>
      </c>
      <c r="CB407" s="28" t="s">
        <v>172</v>
      </c>
      <c r="CC407" s="29" t="s">
        <v>138</v>
      </c>
      <c r="CD407" s="28" t="s">
        <v>138</v>
      </c>
      <c r="CE407" s="28" t="s">
        <v>205</v>
      </c>
      <c r="CF407" s="28" t="s">
        <v>138</v>
      </c>
      <c r="CG407" s="28" t="s">
        <v>138</v>
      </c>
      <c r="CH407" s="28" t="s">
        <v>174</v>
      </c>
      <c r="CI407" s="28" t="s">
        <v>138</v>
      </c>
      <c r="CJ407" s="28" t="s">
        <v>138</v>
      </c>
      <c r="CK407" s="28" t="s">
        <v>138</v>
      </c>
      <c r="CL407" s="28" t="s">
        <v>175</v>
      </c>
      <c r="CM407" s="34" t="s">
        <v>138</v>
      </c>
      <c r="CN407" s="29" t="s">
        <v>138</v>
      </c>
      <c r="CO407" s="35">
        <v>0.17</v>
      </c>
      <c r="CP407" s="36">
        <v>92</v>
      </c>
      <c r="CQ407" s="35">
        <v>0.05</v>
      </c>
      <c r="CR407" s="35">
        <v>40.6</v>
      </c>
      <c r="CS407" s="35" t="s">
        <v>138</v>
      </c>
      <c r="CT407" s="36" t="s">
        <v>138</v>
      </c>
      <c r="CU407" s="35">
        <v>0.17</v>
      </c>
      <c r="CV407" s="36">
        <v>77</v>
      </c>
      <c r="CW407" s="35" t="s">
        <v>138</v>
      </c>
      <c r="CX407" s="36" t="s">
        <v>138</v>
      </c>
      <c r="CY407" s="35" t="s">
        <v>138</v>
      </c>
      <c r="CZ407" s="36" t="s">
        <v>138</v>
      </c>
      <c r="DA407" s="35">
        <v>0.4</v>
      </c>
      <c r="DB407" s="36">
        <v>92</v>
      </c>
      <c r="DC407" s="37">
        <v>0.84</v>
      </c>
      <c r="DD407" s="36">
        <v>47</v>
      </c>
      <c r="DE407" s="37">
        <v>0</v>
      </c>
      <c r="DF407" s="35">
        <v>0.48</v>
      </c>
      <c r="DG407" s="37" t="s">
        <v>138</v>
      </c>
      <c r="DH407" s="36" t="s">
        <v>138</v>
      </c>
      <c r="DI407" s="37">
        <v>0.84</v>
      </c>
      <c r="DJ407" s="36">
        <v>46</v>
      </c>
      <c r="DK407" s="37" t="s">
        <v>138</v>
      </c>
      <c r="DL407" s="36" t="s">
        <v>138</v>
      </c>
      <c r="DM407" s="37" t="s">
        <v>138</v>
      </c>
      <c r="DN407" s="36" t="s">
        <v>138</v>
      </c>
      <c r="DO407" s="37">
        <v>1.06</v>
      </c>
      <c r="DP407" s="36">
        <v>52</v>
      </c>
      <c r="DQ407" s="36">
        <v>315</v>
      </c>
      <c r="DR407" s="38">
        <v>38</v>
      </c>
      <c r="DS407" s="35">
        <v>13.72</v>
      </c>
      <c r="DT407" s="36" t="s">
        <v>138</v>
      </c>
      <c r="DU407" s="38" t="s">
        <v>138</v>
      </c>
      <c r="DV407" s="35" t="s">
        <v>138</v>
      </c>
      <c r="DW407" s="36">
        <v>380</v>
      </c>
      <c r="DX407" s="39">
        <v>3</v>
      </c>
      <c r="DY407" s="35">
        <v>0.8</v>
      </c>
      <c r="DZ407" s="28" t="s">
        <v>178</v>
      </c>
      <c r="EA407" s="34">
        <v>43467</v>
      </c>
      <c r="EB407" s="29" t="s">
        <v>138</v>
      </c>
      <c r="EC407" s="34" t="s">
        <v>138</v>
      </c>
      <c r="ED407" s="28" t="s">
        <v>138</v>
      </c>
      <c r="EE407" s="40" t="str">
        <f>HYPERLINK("https://my.pitchbook.com?c=163638-37", "View company online")</f>
        <v>View company online</v>
      </c>
    </row>
    <row r="408" spans="1:135">
      <c r="A408" s="15" t="s">
        <v>8531</v>
      </c>
      <c r="B408" s="15" t="s">
        <v>8532</v>
      </c>
      <c r="C408" s="15" t="s">
        <v>138</v>
      </c>
      <c r="D408" s="15" t="s">
        <v>138</v>
      </c>
      <c r="E408" s="15" t="s">
        <v>8533</v>
      </c>
      <c r="F408" s="15" t="s">
        <v>8531</v>
      </c>
      <c r="G408" s="15" t="s">
        <v>8534</v>
      </c>
      <c r="H408" s="15" t="s">
        <v>322</v>
      </c>
      <c r="I408" s="15" t="s">
        <v>323</v>
      </c>
      <c r="J408" s="15" t="s">
        <v>1084</v>
      </c>
      <c r="K408" s="15" t="s">
        <v>1579</v>
      </c>
      <c r="L408" s="15" t="s">
        <v>2407</v>
      </c>
      <c r="M408" s="15" t="s">
        <v>8535</v>
      </c>
      <c r="N408" s="15" t="s">
        <v>147</v>
      </c>
      <c r="O408" s="17">
        <v>8</v>
      </c>
      <c r="P408" s="15" t="s">
        <v>148</v>
      </c>
      <c r="Q408" s="15" t="s">
        <v>149</v>
      </c>
      <c r="R408" s="15" t="s">
        <v>174</v>
      </c>
      <c r="S408" s="15" t="s">
        <v>8536</v>
      </c>
      <c r="T408" s="18" t="s">
        <v>138</v>
      </c>
      <c r="U408" s="15" t="s">
        <v>138</v>
      </c>
      <c r="V408" s="15" t="s">
        <v>138</v>
      </c>
      <c r="W408" s="15" t="s">
        <v>138</v>
      </c>
      <c r="X408" s="19">
        <v>2016</v>
      </c>
      <c r="Y408" s="15" t="s">
        <v>138</v>
      </c>
      <c r="Z408" s="15" t="s">
        <v>138</v>
      </c>
      <c r="AA408" s="15" t="s">
        <v>138</v>
      </c>
      <c r="AB408" s="20" t="s">
        <v>138</v>
      </c>
      <c r="AC408" s="20" t="s">
        <v>138</v>
      </c>
      <c r="AD408" s="20" t="s">
        <v>138</v>
      </c>
      <c r="AE408" s="20" t="s">
        <v>138</v>
      </c>
      <c r="AF408" s="20" t="s">
        <v>138</v>
      </c>
      <c r="AG408" s="15" t="s">
        <v>138</v>
      </c>
      <c r="AH408" s="20" t="s">
        <v>138</v>
      </c>
      <c r="AI408" s="20" t="s">
        <v>138</v>
      </c>
      <c r="AJ408" s="20" t="s">
        <v>138</v>
      </c>
      <c r="AK408" s="15" t="s">
        <v>8537</v>
      </c>
      <c r="AL408" s="15" t="s">
        <v>8538</v>
      </c>
      <c r="AM408" s="15" t="s">
        <v>304</v>
      </c>
      <c r="AN408" s="15" t="s">
        <v>8539</v>
      </c>
      <c r="AO408" s="15" t="s">
        <v>138</v>
      </c>
      <c r="AP408" s="15" t="s">
        <v>423</v>
      </c>
      <c r="AQ408" s="15" t="s">
        <v>8540</v>
      </c>
      <c r="AR408" s="15" t="s">
        <v>138</v>
      </c>
      <c r="AS408" s="15" t="s">
        <v>426</v>
      </c>
      <c r="AT408" s="15" t="s">
        <v>426</v>
      </c>
      <c r="AU408" s="15" t="s">
        <v>921</v>
      </c>
      <c r="AV408" s="15" t="s">
        <v>162</v>
      </c>
      <c r="AW408" s="15" t="s">
        <v>138</v>
      </c>
      <c r="AX408" s="15" t="s">
        <v>138</v>
      </c>
      <c r="AY408" s="15" t="s">
        <v>8541</v>
      </c>
      <c r="AZ408" s="15" t="s">
        <v>164</v>
      </c>
      <c r="BA408" s="15" t="s">
        <v>165</v>
      </c>
      <c r="BB408" s="15" t="s">
        <v>8542</v>
      </c>
      <c r="BC408" s="15" t="s">
        <v>8543</v>
      </c>
      <c r="BD408" s="21">
        <v>9</v>
      </c>
      <c r="BE408" s="15" t="s">
        <v>138</v>
      </c>
      <c r="BF408" s="15" t="s">
        <v>138</v>
      </c>
      <c r="BG408" s="15" t="s">
        <v>138</v>
      </c>
      <c r="BH408" s="15" t="s">
        <v>8544</v>
      </c>
      <c r="BI408" s="15" t="s">
        <v>138</v>
      </c>
      <c r="BJ408" s="15" t="s">
        <v>138</v>
      </c>
      <c r="BK408" s="15" t="s">
        <v>2936</v>
      </c>
      <c r="BL408" s="15" t="s">
        <v>2936</v>
      </c>
      <c r="BM408" s="22" t="s">
        <v>138</v>
      </c>
      <c r="BN408" s="17" t="s">
        <v>138</v>
      </c>
      <c r="BO408" s="15" t="s">
        <v>138</v>
      </c>
      <c r="BP408" s="17" t="s">
        <v>138</v>
      </c>
      <c r="BQ408" s="15" t="s">
        <v>138</v>
      </c>
      <c r="BR408" s="15" t="s">
        <v>316</v>
      </c>
      <c r="BS408" s="15" t="s">
        <v>138</v>
      </c>
      <c r="BT408" s="15" t="s">
        <v>138</v>
      </c>
      <c r="BU408" s="15" t="s">
        <v>177</v>
      </c>
      <c r="BV408" s="15" t="s">
        <v>138</v>
      </c>
      <c r="BW408" s="15" t="s">
        <v>138</v>
      </c>
      <c r="BX408" s="15" t="s">
        <v>138</v>
      </c>
      <c r="BY408" s="15" t="s">
        <v>175</v>
      </c>
      <c r="BZ408" s="22">
        <v>43397</v>
      </c>
      <c r="CA408" s="17">
        <v>8</v>
      </c>
      <c r="CB408" s="15" t="s">
        <v>172</v>
      </c>
      <c r="CC408" s="17" t="s">
        <v>138</v>
      </c>
      <c r="CD408" s="15" t="s">
        <v>138</v>
      </c>
      <c r="CE408" s="15" t="s">
        <v>234</v>
      </c>
      <c r="CF408" s="15" t="s">
        <v>234</v>
      </c>
      <c r="CG408" s="15" t="s">
        <v>138</v>
      </c>
      <c r="CH408" s="15" t="s">
        <v>174</v>
      </c>
      <c r="CI408" s="15" t="s">
        <v>138</v>
      </c>
      <c r="CJ408" s="15" t="s">
        <v>138</v>
      </c>
      <c r="CK408" s="15" t="s">
        <v>138</v>
      </c>
      <c r="CL408" s="15" t="s">
        <v>175</v>
      </c>
      <c r="CM408" s="22" t="s">
        <v>138</v>
      </c>
      <c r="CN408" s="17" t="s">
        <v>138</v>
      </c>
      <c r="CO408" s="23">
        <v>0.53</v>
      </c>
      <c r="CP408" s="24">
        <v>95</v>
      </c>
      <c r="CQ408" s="23">
        <v>0</v>
      </c>
      <c r="CR408" s="23">
        <v>-0.11</v>
      </c>
      <c r="CS408" s="23">
        <v>-1.27</v>
      </c>
      <c r="CT408" s="24">
        <v>13</v>
      </c>
      <c r="CU408" s="23">
        <v>2.3199999999999998</v>
      </c>
      <c r="CV408" s="24">
        <v>100</v>
      </c>
      <c r="CW408" s="23">
        <v>-1.27</v>
      </c>
      <c r="CX408" s="24">
        <v>9</v>
      </c>
      <c r="CY408" s="23" t="s">
        <v>138</v>
      </c>
      <c r="CZ408" s="24" t="s">
        <v>138</v>
      </c>
      <c r="DA408" s="23">
        <v>2.3199999999999998</v>
      </c>
      <c r="DB408" s="24">
        <v>100</v>
      </c>
      <c r="DC408" s="25">
        <v>7.41</v>
      </c>
      <c r="DD408" s="24">
        <v>87</v>
      </c>
      <c r="DE408" s="25">
        <v>-0.56999999999999995</v>
      </c>
      <c r="DF408" s="23">
        <v>-7.12</v>
      </c>
      <c r="DG408" s="25">
        <v>9.32</v>
      </c>
      <c r="DH408" s="24">
        <v>89</v>
      </c>
      <c r="DI408" s="25">
        <v>5.51</v>
      </c>
      <c r="DJ408" s="24">
        <v>79</v>
      </c>
      <c r="DK408" s="25">
        <v>9.32</v>
      </c>
      <c r="DL408" s="24">
        <v>86</v>
      </c>
      <c r="DM408" s="25" t="s">
        <v>138</v>
      </c>
      <c r="DN408" s="24" t="s">
        <v>138</v>
      </c>
      <c r="DO408" s="25">
        <v>5.51</v>
      </c>
      <c r="DP408" s="24">
        <v>80</v>
      </c>
      <c r="DQ408" s="24">
        <v>3093</v>
      </c>
      <c r="DR408" s="26">
        <v>307</v>
      </c>
      <c r="DS408" s="23">
        <v>11.02</v>
      </c>
      <c r="DT408" s="24" t="s">
        <v>138</v>
      </c>
      <c r="DU408" s="26" t="s">
        <v>138</v>
      </c>
      <c r="DV408" s="23" t="s">
        <v>138</v>
      </c>
      <c r="DW408" s="24">
        <v>1966</v>
      </c>
      <c r="DX408" s="27">
        <v>7</v>
      </c>
      <c r="DY408" s="23">
        <v>0.36</v>
      </c>
      <c r="DZ408" s="15" t="s">
        <v>178</v>
      </c>
      <c r="EA408" s="22">
        <v>43487</v>
      </c>
      <c r="EB408" s="17" t="s">
        <v>138</v>
      </c>
      <c r="EC408" s="22" t="s">
        <v>138</v>
      </c>
      <c r="ED408" s="15" t="s">
        <v>138</v>
      </c>
      <c r="EE408" s="14" t="str">
        <f>HYPERLINK("https://my.pitchbook.com?c=185083-30", "View company online")</f>
        <v>View company online</v>
      </c>
    </row>
    <row r="409" spans="1:135">
      <c r="A409" s="28" t="s">
        <v>8545</v>
      </c>
      <c r="B409" s="28" t="s">
        <v>8546</v>
      </c>
      <c r="C409" s="28" t="s">
        <v>138</v>
      </c>
      <c r="D409" s="28" t="s">
        <v>138</v>
      </c>
      <c r="E409" s="28" t="s">
        <v>138</v>
      </c>
      <c r="F409" s="28" t="s">
        <v>8545</v>
      </c>
      <c r="G409" s="28" t="s">
        <v>8547</v>
      </c>
      <c r="H409" s="28" t="s">
        <v>238</v>
      </c>
      <c r="I409" s="28" t="s">
        <v>1018</v>
      </c>
      <c r="J409" s="28" t="s">
        <v>1019</v>
      </c>
      <c r="K409" s="28" t="s">
        <v>8548</v>
      </c>
      <c r="L409" s="28" t="s">
        <v>415</v>
      </c>
      <c r="M409" s="28" t="s">
        <v>8549</v>
      </c>
      <c r="N409" s="28" t="s">
        <v>147</v>
      </c>
      <c r="O409" s="29">
        <v>15.15</v>
      </c>
      <c r="P409" s="28" t="s">
        <v>148</v>
      </c>
      <c r="Q409" s="28" t="s">
        <v>149</v>
      </c>
      <c r="R409" s="28" t="s">
        <v>174</v>
      </c>
      <c r="S409" s="28" t="s">
        <v>8550</v>
      </c>
      <c r="T409" s="30">
        <v>329</v>
      </c>
      <c r="U409" s="28" t="s">
        <v>8551</v>
      </c>
      <c r="V409" s="28" t="s">
        <v>138</v>
      </c>
      <c r="W409" s="28" t="s">
        <v>138</v>
      </c>
      <c r="X409" s="31">
        <v>2010</v>
      </c>
      <c r="Y409" s="28" t="s">
        <v>138</v>
      </c>
      <c r="Z409" s="28" t="s">
        <v>138</v>
      </c>
      <c r="AA409" s="28" t="s">
        <v>138</v>
      </c>
      <c r="AB409" s="32">
        <v>60</v>
      </c>
      <c r="AC409" s="32" t="s">
        <v>138</v>
      </c>
      <c r="AD409" s="32" t="s">
        <v>138</v>
      </c>
      <c r="AE409" s="32" t="s">
        <v>138</v>
      </c>
      <c r="AF409" s="32" t="s">
        <v>138</v>
      </c>
      <c r="AG409" s="28" t="s">
        <v>633</v>
      </c>
      <c r="AH409" s="32" t="s">
        <v>138</v>
      </c>
      <c r="AI409" s="32" t="s">
        <v>138</v>
      </c>
      <c r="AJ409" s="32" t="s">
        <v>138</v>
      </c>
      <c r="AK409" s="28" t="s">
        <v>8552</v>
      </c>
      <c r="AL409" s="28" t="s">
        <v>8553</v>
      </c>
      <c r="AM409" s="28" t="s">
        <v>2024</v>
      </c>
      <c r="AN409" s="28" t="s">
        <v>8554</v>
      </c>
      <c r="AO409" s="28" t="s">
        <v>138</v>
      </c>
      <c r="AP409" s="28" t="s">
        <v>1292</v>
      </c>
      <c r="AQ409" s="28" t="s">
        <v>8555</v>
      </c>
      <c r="AR409" s="28" t="s">
        <v>618</v>
      </c>
      <c r="AS409" s="28" t="s">
        <v>1294</v>
      </c>
      <c r="AT409" s="28" t="s">
        <v>864</v>
      </c>
      <c r="AU409" s="28" t="s">
        <v>3579</v>
      </c>
      <c r="AV409" s="28" t="s">
        <v>162</v>
      </c>
      <c r="AW409" s="28" t="s">
        <v>138</v>
      </c>
      <c r="AX409" s="28" t="s">
        <v>138</v>
      </c>
      <c r="AY409" s="28" t="s">
        <v>8556</v>
      </c>
      <c r="AZ409" s="28" t="s">
        <v>164</v>
      </c>
      <c r="BA409" s="28" t="s">
        <v>165</v>
      </c>
      <c r="BB409" s="28" t="s">
        <v>8557</v>
      </c>
      <c r="BC409" s="28" t="s">
        <v>8558</v>
      </c>
      <c r="BD409" s="33">
        <v>3</v>
      </c>
      <c r="BE409" s="28" t="s">
        <v>138</v>
      </c>
      <c r="BF409" s="28" t="s">
        <v>138</v>
      </c>
      <c r="BG409" s="28" t="s">
        <v>138</v>
      </c>
      <c r="BH409" s="28" t="s">
        <v>8559</v>
      </c>
      <c r="BI409" s="28" t="s">
        <v>138</v>
      </c>
      <c r="BJ409" s="28" t="s">
        <v>138</v>
      </c>
      <c r="BK409" s="28" t="s">
        <v>8560</v>
      </c>
      <c r="BL409" s="28" t="s">
        <v>8561</v>
      </c>
      <c r="BM409" s="34">
        <v>41141</v>
      </c>
      <c r="BN409" s="29">
        <v>5</v>
      </c>
      <c r="BO409" s="28" t="s">
        <v>172</v>
      </c>
      <c r="BP409" s="29">
        <v>20</v>
      </c>
      <c r="BQ409" s="28" t="s">
        <v>172</v>
      </c>
      <c r="BR409" s="28" t="s">
        <v>205</v>
      </c>
      <c r="BS409" s="28" t="s">
        <v>206</v>
      </c>
      <c r="BT409" s="28" t="s">
        <v>138</v>
      </c>
      <c r="BU409" s="28" t="s">
        <v>174</v>
      </c>
      <c r="BV409" s="28" t="s">
        <v>138</v>
      </c>
      <c r="BW409" s="28" t="s">
        <v>138</v>
      </c>
      <c r="BX409" s="28" t="s">
        <v>138</v>
      </c>
      <c r="BY409" s="28" t="s">
        <v>175</v>
      </c>
      <c r="BZ409" s="34">
        <v>42479</v>
      </c>
      <c r="CA409" s="29">
        <v>10</v>
      </c>
      <c r="CB409" s="28" t="s">
        <v>172</v>
      </c>
      <c r="CC409" s="29">
        <v>50.59</v>
      </c>
      <c r="CD409" s="28" t="s">
        <v>172</v>
      </c>
      <c r="CE409" s="28" t="s">
        <v>173</v>
      </c>
      <c r="CF409" s="28" t="s">
        <v>720</v>
      </c>
      <c r="CG409" s="28" t="s">
        <v>138</v>
      </c>
      <c r="CH409" s="28" t="s">
        <v>174</v>
      </c>
      <c r="CI409" s="28" t="s">
        <v>138</v>
      </c>
      <c r="CJ409" s="28" t="s">
        <v>138</v>
      </c>
      <c r="CK409" s="28" t="s">
        <v>138</v>
      </c>
      <c r="CL409" s="28" t="s">
        <v>175</v>
      </c>
      <c r="CM409" s="34" t="s">
        <v>138</v>
      </c>
      <c r="CN409" s="29" t="s">
        <v>138</v>
      </c>
      <c r="CO409" s="35">
        <v>0.4</v>
      </c>
      <c r="CP409" s="36">
        <v>94</v>
      </c>
      <c r="CQ409" s="35">
        <v>0.31</v>
      </c>
      <c r="CR409" s="35">
        <v>379.64</v>
      </c>
      <c r="CS409" s="35">
        <v>0.55000000000000004</v>
      </c>
      <c r="CT409" s="36">
        <v>96</v>
      </c>
      <c r="CU409" s="35">
        <v>0.01</v>
      </c>
      <c r="CV409" s="36">
        <v>49</v>
      </c>
      <c r="CW409" s="35">
        <v>0.01</v>
      </c>
      <c r="CX409" s="36">
        <v>80</v>
      </c>
      <c r="CY409" s="35">
        <v>1.1000000000000001</v>
      </c>
      <c r="CZ409" s="36">
        <v>99</v>
      </c>
      <c r="DA409" s="35">
        <v>0.01</v>
      </c>
      <c r="DB409" s="36">
        <v>57</v>
      </c>
      <c r="DC409" s="37">
        <v>243.8</v>
      </c>
      <c r="DD409" s="36">
        <v>100</v>
      </c>
      <c r="DE409" s="37">
        <v>-6.57</v>
      </c>
      <c r="DF409" s="35">
        <v>-2.62</v>
      </c>
      <c r="DG409" s="37">
        <v>272.86</v>
      </c>
      <c r="DH409" s="36">
        <v>100</v>
      </c>
      <c r="DI409" s="37">
        <v>456.9</v>
      </c>
      <c r="DJ409" s="36">
        <v>99</v>
      </c>
      <c r="DK409" s="37">
        <v>355.65</v>
      </c>
      <c r="DL409" s="36">
        <v>99</v>
      </c>
      <c r="DM409" s="37">
        <v>190.07</v>
      </c>
      <c r="DN409" s="36">
        <v>100</v>
      </c>
      <c r="DO409" s="37">
        <v>456.9</v>
      </c>
      <c r="DP409" s="36">
        <v>100</v>
      </c>
      <c r="DQ409" s="36">
        <v>120420</v>
      </c>
      <c r="DR409" s="38">
        <v>4705</v>
      </c>
      <c r="DS409" s="35">
        <v>4.07</v>
      </c>
      <c r="DT409" s="36">
        <v>5505</v>
      </c>
      <c r="DU409" s="38">
        <v>367</v>
      </c>
      <c r="DV409" s="35">
        <v>7.14</v>
      </c>
      <c r="DW409" s="36">
        <v>163549</v>
      </c>
      <c r="DX409" s="39">
        <v>69</v>
      </c>
      <c r="DY409" s="35">
        <v>0.04</v>
      </c>
      <c r="DZ409" s="28" t="s">
        <v>178</v>
      </c>
      <c r="EA409" s="34">
        <v>43507</v>
      </c>
      <c r="EB409" s="29">
        <v>50.59</v>
      </c>
      <c r="EC409" s="34">
        <v>42479</v>
      </c>
      <c r="ED409" s="28" t="s">
        <v>173</v>
      </c>
      <c r="EE409" s="40" t="str">
        <f>HYPERLINK("https://my.pitchbook.com?c=55043-38", "View company online")</f>
        <v>View company online</v>
      </c>
    </row>
    <row r="410" spans="1:135">
      <c r="A410" s="15" t="s">
        <v>8562</v>
      </c>
      <c r="B410" s="15" t="s">
        <v>8563</v>
      </c>
      <c r="C410" s="15" t="s">
        <v>138</v>
      </c>
      <c r="D410" s="15" t="s">
        <v>138</v>
      </c>
      <c r="E410" s="15" t="s">
        <v>8564</v>
      </c>
      <c r="F410" s="15" t="s">
        <v>8562</v>
      </c>
      <c r="G410" s="15" t="s">
        <v>8565</v>
      </c>
      <c r="H410" s="15" t="s">
        <v>385</v>
      </c>
      <c r="I410" s="15" t="s">
        <v>1991</v>
      </c>
      <c r="J410" s="15" t="s">
        <v>4454</v>
      </c>
      <c r="K410" s="15" t="s">
        <v>8566</v>
      </c>
      <c r="L410" s="15" t="s">
        <v>8567</v>
      </c>
      <c r="M410" s="15" t="s">
        <v>8568</v>
      </c>
      <c r="N410" s="15" t="s">
        <v>147</v>
      </c>
      <c r="O410" s="17">
        <v>47.33</v>
      </c>
      <c r="P410" s="15" t="s">
        <v>148</v>
      </c>
      <c r="Q410" s="15" t="s">
        <v>149</v>
      </c>
      <c r="R410" s="15" t="s">
        <v>174</v>
      </c>
      <c r="S410" s="15" t="s">
        <v>8569</v>
      </c>
      <c r="T410" s="18">
        <v>45</v>
      </c>
      <c r="U410" s="15" t="s">
        <v>8570</v>
      </c>
      <c r="V410" s="15" t="s">
        <v>138</v>
      </c>
      <c r="W410" s="15" t="s">
        <v>138</v>
      </c>
      <c r="X410" s="19">
        <v>2013</v>
      </c>
      <c r="Y410" s="15" t="s">
        <v>138</v>
      </c>
      <c r="Z410" s="15" t="s">
        <v>138</v>
      </c>
      <c r="AA410" s="15" t="s">
        <v>138</v>
      </c>
      <c r="AB410" s="20" t="s">
        <v>138</v>
      </c>
      <c r="AC410" s="20" t="s">
        <v>138</v>
      </c>
      <c r="AD410" s="20" t="s">
        <v>138</v>
      </c>
      <c r="AE410" s="20" t="s">
        <v>138</v>
      </c>
      <c r="AF410" s="20" t="s">
        <v>138</v>
      </c>
      <c r="AG410" s="15" t="s">
        <v>138</v>
      </c>
      <c r="AH410" s="20" t="s">
        <v>138</v>
      </c>
      <c r="AI410" s="20" t="s">
        <v>138</v>
      </c>
      <c r="AJ410" s="20" t="s">
        <v>138</v>
      </c>
      <c r="AK410" s="15" t="s">
        <v>8571</v>
      </c>
      <c r="AL410" s="15" t="s">
        <v>8572</v>
      </c>
      <c r="AM410" s="15" t="s">
        <v>249</v>
      </c>
      <c r="AN410" s="15" t="s">
        <v>8573</v>
      </c>
      <c r="AO410" s="15" t="s">
        <v>8574</v>
      </c>
      <c r="AP410" s="15" t="s">
        <v>2819</v>
      </c>
      <c r="AQ410" s="15" t="s">
        <v>8575</v>
      </c>
      <c r="AR410" s="15" t="s">
        <v>138</v>
      </c>
      <c r="AS410" s="15" t="s">
        <v>284</v>
      </c>
      <c r="AT410" s="15" t="s">
        <v>2822</v>
      </c>
      <c r="AU410" s="15" t="s">
        <v>8576</v>
      </c>
      <c r="AV410" s="15" t="s">
        <v>162</v>
      </c>
      <c r="AW410" s="15" t="s">
        <v>8574</v>
      </c>
      <c r="AX410" s="15" t="s">
        <v>138</v>
      </c>
      <c r="AY410" s="15" t="s">
        <v>8577</v>
      </c>
      <c r="AZ410" s="15" t="s">
        <v>164</v>
      </c>
      <c r="BA410" s="15" t="s">
        <v>165</v>
      </c>
      <c r="BB410" s="15" t="s">
        <v>8578</v>
      </c>
      <c r="BC410" s="15" t="s">
        <v>8579</v>
      </c>
      <c r="BD410" s="21">
        <v>8</v>
      </c>
      <c r="BE410" s="15" t="s">
        <v>138</v>
      </c>
      <c r="BF410" s="15" t="s">
        <v>138</v>
      </c>
      <c r="BG410" s="15" t="s">
        <v>138</v>
      </c>
      <c r="BH410" s="15" t="s">
        <v>8580</v>
      </c>
      <c r="BI410" s="15" t="s">
        <v>138</v>
      </c>
      <c r="BJ410" s="15" t="s">
        <v>138</v>
      </c>
      <c r="BK410" s="15" t="s">
        <v>290</v>
      </c>
      <c r="BL410" s="15" t="s">
        <v>406</v>
      </c>
      <c r="BM410" s="22">
        <v>41974</v>
      </c>
      <c r="BN410" s="17">
        <v>6.9</v>
      </c>
      <c r="BO410" s="15" t="s">
        <v>172</v>
      </c>
      <c r="BP410" s="17">
        <v>20.420000000000002</v>
      </c>
      <c r="BQ410" s="15" t="s">
        <v>172</v>
      </c>
      <c r="BR410" s="15" t="s">
        <v>205</v>
      </c>
      <c r="BS410" s="15" t="s">
        <v>206</v>
      </c>
      <c r="BT410" s="15" t="s">
        <v>138</v>
      </c>
      <c r="BU410" s="15" t="s">
        <v>174</v>
      </c>
      <c r="BV410" s="15" t="s">
        <v>138</v>
      </c>
      <c r="BW410" s="15" t="s">
        <v>138</v>
      </c>
      <c r="BX410" s="15" t="s">
        <v>138</v>
      </c>
      <c r="BY410" s="15" t="s">
        <v>175</v>
      </c>
      <c r="BZ410" s="22">
        <v>43553</v>
      </c>
      <c r="CA410" s="17">
        <v>16.53</v>
      </c>
      <c r="CB410" s="15" t="s">
        <v>172</v>
      </c>
      <c r="CC410" s="17">
        <v>81.53</v>
      </c>
      <c r="CD410" s="15" t="s">
        <v>172</v>
      </c>
      <c r="CE410" s="15" t="s">
        <v>173</v>
      </c>
      <c r="CF410" s="15" t="s">
        <v>3654</v>
      </c>
      <c r="CG410" s="15" t="s">
        <v>138</v>
      </c>
      <c r="CH410" s="15" t="s">
        <v>174</v>
      </c>
      <c r="CI410" s="15" t="s">
        <v>138</v>
      </c>
      <c r="CJ410" s="15" t="s">
        <v>138</v>
      </c>
      <c r="CK410" s="15" t="s">
        <v>138</v>
      </c>
      <c r="CL410" s="15" t="s">
        <v>175</v>
      </c>
      <c r="CM410" s="22" t="s">
        <v>138</v>
      </c>
      <c r="CN410" s="17" t="s">
        <v>138</v>
      </c>
      <c r="CO410" s="23">
        <v>-0.34</v>
      </c>
      <c r="CP410" s="24">
        <v>18</v>
      </c>
      <c r="CQ410" s="23">
        <v>-0.02</v>
      </c>
      <c r="CR410" s="23">
        <v>-5.69</v>
      </c>
      <c r="CS410" s="23">
        <v>0</v>
      </c>
      <c r="CT410" s="24">
        <v>23</v>
      </c>
      <c r="CU410" s="23">
        <v>0.03</v>
      </c>
      <c r="CV410" s="24">
        <v>54</v>
      </c>
      <c r="CW410" s="23">
        <v>0</v>
      </c>
      <c r="CX410" s="24">
        <v>13</v>
      </c>
      <c r="CY410" s="23" t="s">
        <v>138</v>
      </c>
      <c r="CZ410" s="24" t="s">
        <v>138</v>
      </c>
      <c r="DA410" s="23">
        <v>0.03</v>
      </c>
      <c r="DB410" s="24">
        <v>60</v>
      </c>
      <c r="DC410" s="25">
        <v>3.24</v>
      </c>
      <c r="DD410" s="24">
        <v>76</v>
      </c>
      <c r="DE410" s="25">
        <v>-7.0000000000000007E-2</v>
      </c>
      <c r="DF410" s="23">
        <v>-2.0299999999999998</v>
      </c>
      <c r="DG410" s="25">
        <v>1.94</v>
      </c>
      <c r="DH410" s="24">
        <v>66</v>
      </c>
      <c r="DI410" s="25">
        <v>7.69</v>
      </c>
      <c r="DJ410" s="24">
        <v>82</v>
      </c>
      <c r="DK410" s="25">
        <v>1.94</v>
      </c>
      <c r="DL410" s="24">
        <v>64</v>
      </c>
      <c r="DM410" s="25" t="s">
        <v>138</v>
      </c>
      <c r="DN410" s="24" t="s">
        <v>138</v>
      </c>
      <c r="DO410" s="25">
        <v>7.69</v>
      </c>
      <c r="DP410" s="24">
        <v>85</v>
      </c>
      <c r="DQ410" s="24">
        <v>658</v>
      </c>
      <c r="DR410" s="26">
        <v>24</v>
      </c>
      <c r="DS410" s="23">
        <v>3.79</v>
      </c>
      <c r="DT410" s="24" t="s">
        <v>138</v>
      </c>
      <c r="DU410" s="26" t="s">
        <v>138</v>
      </c>
      <c r="DV410" s="23" t="s">
        <v>138</v>
      </c>
      <c r="DW410" s="24">
        <v>2752</v>
      </c>
      <c r="DX410" s="27">
        <v>2</v>
      </c>
      <c r="DY410" s="23">
        <v>7.0000000000000007E-2</v>
      </c>
      <c r="DZ410" s="15" t="s">
        <v>178</v>
      </c>
      <c r="EA410" s="22">
        <v>43601</v>
      </c>
      <c r="EB410" s="17">
        <v>81.53</v>
      </c>
      <c r="EC410" s="22">
        <v>43553</v>
      </c>
      <c r="ED410" s="15" t="s">
        <v>173</v>
      </c>
      <c r="EE410" s="14" t="str">
        <f>HYPERLINK("https://my.pitchbook.com?c=104406-22", "View company online")</f>
        <v>View company online</v>
      </c>
    </row>
    <row r="411" spans="1:135">
      <c r="A411" s="28" t="s">
        <v>8581</v>
      </c>
      <c r="B411" s="28" t="s">
        <v>8582</v>
      </c>
      <c r="C411" s="28" t="s">
        <v>138</v>
      </c>
      <c r="D411" s="28" t="s">
        <v>138</v>
      </c>
      <c r="E411" s="28" t="s">
        <v>8583</v>
      </c>
      <c r="F411" s="28" t="s">
        <v>8581</v>
      </c>
      <c r="G411" s="28" t="s">
        <v>8584</v>
      </c>
      <c r="H411" s="28" t="s">
        <v>322</v>
      </c>
      <c r="I411" s="28" t="s">
        <v>323</v>
      </c>
      <c r="J411" s="28" t="s">
        <v>324</v>
      </c>
      <c r="K411" s="28" t="s">
        <v>8585</v>
      </c>
      <c r="L411" s="28" t="s">
        <v>8586</v>
      </c>
      <c r="M411" s="28" t="s">
        <v>8587</v>
      </c>
      <c r="N411" s="28" t="s">
        <v>147</v>
      </c>
      <c r="O411" s="29">
        <v>87.26</v>
      </c>
      <c r="P411" s="28" t="s">
        <v>148</v>
      </c>
      <c r="Q411" s="28" t="s">
        <v>149</v>
      </c>
      <c r="R411" s="28" t="s">
        <v>328</v>
      </c>
      <c r="S411" s="28" t="s">
        <v>8588</v>
      </c>
      <c r="T411" s="30">
        <v>250</v>
      </c>
      <c r="U411" s="28" t="s">
        <v>8589</v>
      </c>
      <c r="V411" s="28" t="s">
        <v>138</v>
      </c>
      <c r="W411" s="28" t="s">
        <v>138</v>
      </c>
      <c r="X411" s="31">
        <v>2013</v>
      </c>
      <c r="Y411" s="28" t="s">
        <v>138</v>
      </c>
      <c r="Z411" s="28" t="s">
        <v>138</v>
      </c>
      <c r="AA411" s="28" t="s">
        <v>138</v>
      </c>
      <c r="AB411" s="32">
        <v>6.2</v>
      </c>
      <c r="AC411" s="32" t="s">
        <v>138</v>
      </c>
      <c r="AD411" s="32" t="s">
        <v>138</v>
      </c>
      <c r="AE411" s="32" t="s">
        <v>138</v>
      </c>
      <c r="AF411" s="32" t="s">
        <v>138</v>
      </c>
      <c r="AG411" s="28" t="s">
        <v>707</v>
      </c>
      <c r="AH411" s="32" t="s">
        <v>138</v>
      </c>
      <c r="AI411" s="32" t="s">
        <v>138</v>
      </c>
      <c r="AJ411" s="32" t="s">
        <v>138</v>
      </c>
      <c r="AK411" s="28" t="s">
        <v>8590</v>
      </c>
      <c r="AL411" s="28" t="s">
        <v>8591</v>
      </c>
      <c r="AM411" s="28" t="s">
        <v>5401</v>
      </c>
      <c r="AN411" s="28" t="s">
        <v>8592</v>
      </c>
      <c r="AO411" s="28" t="s">
        <v>8593</v>
      </c>
      <c r="AP411" s="28" t="s">
        <v>639</v>
      </c>
      <c r="AQ411" s="28" t="s">
        <v>8594</v>
      </c>
      <c r="AR411" s="28" t="s">
        <v>8595</v>
      </c>
      <c r="AS411" s="28" t="s">
        <v>642</v>
      </c>
      <c r="AT411" s="28" t="s">
        <v>474</v>
      </c>
      <c r="AU411" s="28" t="s">
        <v>8596</v>
      </c>
      <c r="AV411" s="28" t="s">
        <v>162</v>
      </c>
      <c r="AW411" s="28" t="s">
        <v>8593</v>
      </c>
      <c r="AX411" s="28" t="s">
        <v>138</v>
      </c>
      <c r="AY411" s="28" t="s">
        <v>8597</v>
      </c>
      <c r="AZ411" s="28" t="s">
        <v>164</v>
      </c>
      <c r="BA411" s="28" t="s">
        <v>165</v>
      </c>
      <c r="BB411" s="28" t="s">
        <v>8598</v>
      </c>
      <c r="BC411" s="28" t="s">
        <v>8599</v>
      </c>
      <c r="BD411" s="33">
        <v>23</v>
      </c>
      <c r="BE411" s="28" t="s">
        <v>138</v>
      </c>
      <c r="BF411" s="28" t="s">
        <v>138</v>
      </c>
      <c r="BG411" s="28" t="s">
        <v>138</v>
      </c>
      <c r="BH411" s="28" t="s">
        <v>8600</v>
      </c>
      <c r="BI411" s="28" t="s">
        <v>138</v>
      </c>
      <c r="BJ411" s="28" t="s">
        <v>138</v>
      </c>
      <c r="BK411" s="28" t="s">
        <v>8601</v>
      </c>
      <c r="BL411" s="28" t="s">
        <v>138</v>
      </c>
      <c r="BM411" s="34">
        <v>41493</v>
      </c>
      <c r="BN411" s="29">
        <v>0.38</v>
      </c>
      <c r="BO411" s="28" t="s">
        <v>172</v>
      </c>
      <c r="BP411" s="29">
        <v>2.5299999999999998</v>
      </c>
      <c r="BQ411" s="28" t="s">
        <v>172</v>
      </c>
      <c r="BR411" s="28" t="s">
        <v>205</v>
      </c>
      <c r="BS411" s="28" t="s">
        <v>623</v>
      </c>
      <c r="BT411" s="28" t="s">
        <v>138</v>
      </c>
      <c r="BU411" s="28" t="s">
        <v>174</v>
      </c>
      <c r="BV411" s="28" t="s">
        <v>138</v>
      </c>
      <c r="BW411" s="28" t="s">
        <v>138</v>
      </c>
      <c r="BX411" s="28" t="s">
        <v>138</v>
      </c>
      <c r="BY411" s="28" t="s">
        <v>175</v>
      </c>
      <c r="BZ411" s="34" t="s">
        <v>138</v>
      </c>
      <c r="CA411" s="29">
        <v>120</v>
      </c>
      <c r="CB411" s="28" t="s">
        <v>1178</v>
      </c>
      <c r="CC411" s="29">
        <v>770</v>
      </c>
      <c r="CD411" s="28" t="s">
        <v>172</v>
      </c>
      <c r="CE411" s="28" t="s">
        <v>173</v>
      </c>
      <c r="CF411" s="28" t="s">
        <v>138</v>
      </c>
      <c r="CG411" s="28" t="s">
        <v>138</v>
      </c>
      <c r="CH411" s="28" t="s">
        <v>174</v>
      </c>
      <c r="CI411" s="28" t="s">
        <v>138</v>
      </c>
      <c r="CJ411" s="28" t="s">
        <v>138</v>
      </c>
      <c r="CK411" s="28" t="s">
        <v>138</v>
      </c>
      <c r="CL411" s="28" t="s">
        <v>3093</v>
      </c>
      <c r="CM411" s="34" t="s">
        <v>138</v>
      </c>
      <c r="CN411" s="29" t="s">
        <v>138</v>
      </c>
      <c r="CO411" s="35">
        <v>0.7</v>
      </c>
      <c r="CP411" s="36">
        <v>96</v>
      </c>
      <c r="CQ411" s="35">
        <v>0.02</v>
      </c>
      <c r="CR411" s="35">
        <v>3.54</v>
      </c>
      <c r="CS411" s="35">
        <v>1.1299999999999999</v>
      </c>
      <c r="CT411" s="36">
        <v>97</v>
      </c>
      <c r="CU411" s="35">
        <v>0.27</v>
      </c>
      <c r="CV411" s="36">
        <v>86</v>
      </c>
      <c r="CW411" s="35">
        <v>3.37</v>
      </c>
      <c r="CX411" s="36">
        <v>92</v>
      </c>
      <c r="CY411" s="35">
        <v>-1.1200000000000001</v>
      </c>
      <c r="CZ411" s="36">
        <v>18</v>
      </c>
      <c r="DA411" s="35">
        <v>0.45</v>
      </c>
      <c r="DB411" s="36">
        <v>93</v>
      </c>
      <c r="DC411" s="37">
        <v>11.55</v>
      </c>
      <c r="DD411" s="36">
        <v>91</v>
      </c>
      <c r="DE411" s="37">
        <v>-0.38</v>
      </c>
      <c r="DF411" s="35">
        <v>-3.16</v>
      </c>
      <c r="DG411" s="37">
        <v>16.420000000000002</v>
      </c>
      <c r="DH411" s="36">
        <v>94</v>
      </c>
      <c r="DI411" s="37">
        <v>6.68</v>
      </c>
      <c r="DJ411" s="36">
        <v>81</v>
      </c>
      <c r="DK411" s="37">
        <v>11.09</v>
      </c>
      <c r="DL411" s="36">
        <v>88</v>
      </c>
      <c r="DM411" s="37">
        <v>21.76</v>
      </c>
      <c r="DN411" s="36">
        <v>95</v>
      </c>
      <c r="DO411" s="37">
        <v>9.1300000000000008</v>
      </c>
      <c r="DP411" s="36">
        <v>86</v>
      </c>
      <c r="DQ411" s="36">
        <v>3670</v>
      </c>
      <c r="DR411" s="38">
        <v>397</v>
      </c>
      <c r="DS411" s="35">
        <v>12.13</v>
      </c>
      <c r="DT411" s="36">
        <v>632</v>
      </c>
      <c r="DU411" s="38">
        <v>-1</v>
      </c>
      <c r="DV411" s="35">
        <v>-0.16</v>
      </c>
      <c r="DW411" s="36">
        <v>3271</v>
      </c>
      <c r="DX411" s="39">
        <v>11</v>
      </c>
      <c r="DY411" s="35">
        <v>0.34</v>
      </c>
      <c r="DZ411" s="28" t="s">
        <v>178</v>
      </c>
      <c r="EA411" s="34">
        <v>43622</v>
      </c>
      <c r="EB411" s="29">
        <v>345</v>
      </c>
      <c r="EC411" s="34">
        <v>43411</v>
      </c>
      <c r="ED411" s="28" t="s">
        <v>173</v>
      </c>
      <c r="EE411" s="40" t="str">
        <f>HYPERLINK("https://my.pitchbook.com?c=98209-63", "View company online")</f>
        <v>View company online</v>
      </c>
    </row>
    <row r="412" spans="1:135">
      <c r="A412" s="15" t="s">
        <v>8602</v>
      </c>
      <c r="B412" s="15" t="s">
        <v>8603</v>
      </c>
      <c r="C412" s="15" t="s">
        <v>138</v>
      </c>
      <c r="D412" s="15" t="s">
        <v>138</v>
      </c>
      <c r="E412" s="15" t="s">
        <v>138</v>
      </c>
      <c r="F412" s="15" t="s">
        <v>8602</v>
      </c>
      <c r="G412" s="15" t="s">
        <v>8604</v>
      </c>
      <c r="H412" s="15" t="s">
        <v>238</v>
      </c>
      <c r="I412" s="15" t="s">
        <v>239</v>
      </c>
      <c r="J412" s="15" t="s">
        <v>240</v>
      </c>
      <c r="K412" s="15" t="s">
        <v>8605</v>
      </c>
      <c r="L412" s="15" t="s">
        <v>2407</v>
      </c>
      <c r="M412" s="15" t="s">
        <v>8606</v>
      </c>
      <c r="N412" s="15" t="s">
        <v>147</v>
      </c>
      <c r="O412" s="17">
        <v>9.5</v>
      </c>
      <c r="P412" s="15" t="s">
        <v>148</v>
      </c>
      <c r="Q412" s="15" t="s">
        <v>149</v>
      </c>
      <c r="R412" s="15" t="s">
        <v>174</v>
      </c>
      <c r="S412" s="15" t="s">
        <v>8607</v>
      </c>
      <c r="T412" s="18">
        <v>9</v>
      </c>
      <c r="U412" s="15" t="s">
        <v>4748</v>
      </c>
      <c r="V412" s="15" t="s">
        <v>138</v>
      </c>
      <c r="W412" s="15" t="s">
        <v>138</v>
      </c>
      <c r="X412" s="19">
        <v>2016</v>
      </c>
      <c r="Y412" s="15" t="s">
        <v>138</v>
      </c>
      <c r="Z412" s="15" t="s">
        <v>138</v>
      </c>
      <c r="AA412" s="15" t="s">
        <v>138</v>
      </c>
      <c r="AB412" s="20" t="s">
        <v>138</v>
      </c>
      <c r="AC412" s="20" t="s">
        <v>138</v>
      </c>
      <c r="AD412" s="20" t="s">
        <v>138</v>
      </c>
      <c r="AE412" s="20" t="s">
        <v>138</v>
      </c>
      <c r="AF412" s="20" t="s">
        <v>138</v>
      </c>
      <c r="AG412" s="15" t="s">
        <v>138</v>
      </c>
      <c r="AH412" s="20" t="s">
        <v>138</v>
      </c>
      <c r="AI412" s="20" t="s">
        <v>138</v>
      </c>
      <c r="AJ412" s="20" t="s">
        <v>138</v>
      </c>
      <c r="AK412" s="15" t="s">
        <v>8608</v>
      </c>
      <c r="AL412" s="15" t="s">
        <v>8609</v>
      </c>
      <c r="AM412" s="15" t="s">
        <v>304</v>
      </c>
      <c r="AN412" s="15" t="s">
        <v>8610</v>
      </c>
      <c r="AO412" s="15" t="s">
        <v>8611</v>
      </c>
      <c r="AP412" s="15" t="s">
        <v>6402</v>
      </c>
      <c r="AQ412" s="15" t="s">
        <v>8612</v>
      </c>
      <c r="AR412" s="15" t="s">
        <v>138</v>
      </c>
      <c r="AS412" s="15" t="s">
        <v>6404</v>
      </c>
      <c r="AT412" s="15" t="s">
        <v>200</v>
      </c>
      <c r="AU412" s="15" t="s">
        <v>6405</v>
      </c>
      <c r="AV412" s="15" t="s">
        <v>162</v>
      </c>
      <c r="AW412" s="15" t="s">
        <v>8611</v>
      </c>
      <c r="AX412" s="15" t="s">
        <v>138</v>
      </c>
      <c r="AY412" s="15" t="s">
        <v>138</v>
      </c>
      <c r="AZ412" s="15" t="s">
        <v>164</v>
      </c>
      <c r="BA412" s="15" t="s">
        <v>165</v>
      </c>
      <c r="BB412" s="15" t="s">
        <v>8613</v>
      </c>
      <c r="BC412" s="15" t="s">
        <v>8614</v>
      </c>
      <c r="BD412" s="21">
        <v>10</v>
      </c>
      <c r="BE412" s="15" t="s">
        <v>138</v>
      </c>
      <c r="BF412" s="15" t="s">
        <v>138</v>
      </c>
      <c r="BG412" s="15" t="s">
        <v>138</v>
      </c>
      <c r="BH412" s="15" t="s">
        <v>8615</v>
      </c>
      <c r="BI412" s="15" t="s">
        <v>138</v>
      </c>
      <c r="BJ412" s="15" t="s">
        <v>138</v>
      </c>
      <c r="BK412" s="15" t="s">
        <v>138</v>
      </c>
      <c r="BL412" s="15" t="s">
        <v>138</v>
      </c>
      <c r="BM412" s="22">
        <v>42459</v>
      </c>
      <c r="BN412" s="17">
        <v>3</v>
      </c>
      <c r="BO412" s="15" t="s">
        <v>172</v>
      </c>
      <c r="BP412" s="17" t="s">
        <v>138</v>
      </c>
      <c r="BQ412" s="15" t="s">
        <v>138</v>
      </c>
      <c r="BR412" s="15" t="s">
        <v>234</v>
      </c>
      <c r="BS412" s="15" t="s">
        <v>234</v>
      </c>
      <c r="BT412" s="15" t="s">
        <v>138</v>
      </c>
      <c r="BU412" s="15" t="s">
        <v>174</v>
      </c>
      <c r="BV412" s="15" t="s">
        <v>138</v>
      </c>
      <c r="BW412" s="15" t="s">
        <v>138</v>
      </c>
      <c r="BX412" s="15" t="s">
        <v>138</v>
      </c>
      <c r="BY412" s="15" t="s">
        <v>175</v>
      </c>
      <c r="BZ412" s="22">
        <v>42748</v>
      </c>
      <c r="CA412" s="17">
        <v>6.5</v>
      </c>
      <c r="CB412" s="15" t="s">
        <v>172</v>
      </c>
      <c r="CC412" s="17" t="s">
        <v>138</v>
      </c>
      <c r="CD412" s="15" t="s">
        <v>138</v>
      </c>
      <c r="CE412" s="15" t="s">
        <v>234</v>
      </c>
      <c r="CF412" s="15" t="s">
        <v>234</v>
      </c>
      <c r="CG412" s="15" t="s">
        <v>138</v>
      </c>
      <c r="CH412" s="15" t="s">
        <v>174</v>
      </c>
      <c r="CI412" s="15" t="s">
        <v>138</v>
      </c>
      <c r="CJ412" s="15" t="s">
        <v>138</v>
      </c>
      <c r="CK412" s="15" t="s">
        <v>138</v>
      </c>
      <c r="CL412" s="15" t="s">
        <v>175</v>
      </c>
      <c r="CM412" s="22" t="s">
        <v>138</v>
      </c>
      <c r="CN412" s="17" t="s">
        <v>138</v>
      </c>
      <c r="CO412" s="23">
        <v>-0.14000000000000001</v>
      </c>
      <c r="CP412" s="24">
        <v>20</v>
      </c>
      <c r="CQ412" s="23">
        <v>-0.44</v>
      </c>
      <c r="CR412" s="23">
        <v>-148.54</v>
      </c>
      <c r="CS412" s="23">
        <v>-1.1499999999999999</v>
      </c>
      <c r="CT412" s="24">
        <v>14</v>
      </c>
      <c r="CU412" s="23">
        <v>0.86</v>
      </c>
      <c r="CV412" s="24">
        <v>97</v>
      </c>
      <c r="CW412" s="23">
        <v>-4.04</v>
      </c>
      <c r="CX412" s="24">
        <v>4</v>
      </c>
      <c r="CY412" s="23">
        <v>1.74</v>
      </c>
      <c r="CZ412" s="24">
        <v>100</v>
      </c>
      <c r="DA412" s="23">
        <v>0.4</v>
      </c>
      <c r="DB412" s="24">
        <v>92</v>
      </c>
      <c r="DC412" s="25">
        <v>2.7</v>
      </c>
      <c r="DD412" s="24">
        <v>73</v>
      </c>
      <c r="DE412" s="25">
        <v>-0.09</v>
      </c>
      <c r="DF412" s="23">
        <v>-3.32</v>
      </c>
      <c r="DG412" s="25">
        <v>4.09</v>
      </c>
      <c r="DH412" s="24">
        <v>80</v>
      </c>
      <c r="DI412" s="25">
        <v>1.31</v>
      </c>
      <c r="DJ412" s="24">
        <v>54</v>
      </c>
      <c r="DK412" s="25">
        <v>3.29</v>
      </c>
      <c r="DL412" s="24">
        <v>73</v>
      </c>
      <c r="DM412" s="25">
        <v>4.9000000000000004</v>
      </c>
      <c r="DN412" s="24">
        <v>81</v>
      </c>
      <c r="DO412" s="25">
        <v>1.96</v>
      </c>
      <c r="DP412" s="24">
        <v>63</v>
      </c>
      <c r="DQ412" s="24">
        <v>1168</v>
      </c>
      <c r="DR412" s="26">
        <v>-120</v>
      </c>
      <c r="DS412" s="23">
        <v>-9.32</v>
      </c>
      <c r="DT412" s="24">
        <v>141</v>
      </c>
      <c r="DU412" s="26">
        <v>2</v>
      </c>
      <c r="DV412" s="23">
        <v>1.44</v>
      </c>
      <c r="DW412" s="24">
        <v>702</v>
      </c>
      <c r="DX412" s="27">
        <v>4</v>
      </c>
      <c r="DY412" s="23">
        <v>0.56999999999999995</v>
      </c>
      <c r="DZ412" s="15" t="s">
        <v>178</v>
      </c>
      <c r="EA412" s="22">
        <v>43490</v>
      </c>
      <c r="EB412" s="17" t="s">
        <v>138</v>
      </c>
      <c r="EC412" s="22" t="s">
        <v>138</v>
      </c>
      <c r="ED412" s="15" t="s">
        <v>138</v>
      </c>
      <c r="EE412" s="14" t="str">
        <f>HYPERLINK("https://my.pitchbook.com?c=159296-95", "View company online")</f>
        <v>View company online</v>
      </c>
    </row>
    <row r="413" spans="1:135">
      <c r="A413" s="28" t="s">
        <v>8616</v>
      </c>
      <c r="B413" s="28" t="s">
        <v>8617</v>
      </c>
      <c r="C413" s="28" t="s">
        <v>138</v>
      </c>
      <c r="D413" s="28" t="s">
        <v>138</v>
      </c>
      <c r="E413" s="28" t="s">
        <v>138</v>
      </c>
      <c r="F413" s="28" t="s">
        <v>8616</v>
      </c>
      <c r="G413" s="28" t="s">
        <v>8618</v>
      </c>
      <c r="H413" s="28" t="s">
        <v>141</v>
      </c>
      <c r="I413" s="28" t="s">
        <v>212</v>
      </c>
      <c r="J413" s="28" t="s">
        <v>213</v>
      </c>
      <c r="K413" s="28" t="s">
        <v>8619</v>
      </c>
      <c r="L413" s="28" t="s">
        <v>415</v>
      </c>
      <c r="M413" s="28" t="s">
        <v>8620</v>
      </c>
      <c r="N413" s="28" t="s">
        <v>147</v>
      </c>
      <c r="O413" s="29">
        <v>4.88</v>
      </c>
      <c r="P413" s="28" t="s">
        <v>148</v>
      </c>
      <c r="Q413" s="28" t="s">
        <v>149</v>
      </c>
      <c r="R413" s="28" t="s">
        <v>174</v>
      </c>
      <c r="S413" s="28" t="s">
        <v>8621</v>
      </c>
      <c r="T413" s="30" t="s">
        <v>138</v>
      </c>
      <c r="U413" s="28" t="s">
        <v>138</v>
      </c>
      <c r="V413" s="28" t="s">
        <v>138</v>
      </c>
      <c r="W413" s="28" t="s">
        <v>138</v>
      </c>
      <c r="X413" s="31">
        <v>2014</v>
      </c>
      <c r="Y413" s="28" t="s">
        <v>138</v>
      </c>
      <c r="Z413" s="28" t="s">
        <v>138</v>
      </c>
      <c r="AA413" s="28" t="s">
        <v>138</v>
      </c>
      <c r="AB413" s="32">
        <v>0.8</v>
      </c>
      <c r="AC413" s="32" t="s">
        <v>138</v>
      </c>
      <c r="AD413" s="32" t="s">
        <v>138</v>
      </c>
      <c r="AE413" s="32" t="s">
        <v>138</v>
      </c>
      <c r="AF413" s="32" t="s">
        <v>138</v>
      </c>
      <c r="AG413" s="28" t="s">
        <v>563</v>
      </c>
      <c r="AH413" s="32" t="s">
        <v>138</v>
      </c>
      <c r="AI413" s="32" t="s">
        <v>138</v>
      </c>
      <c r="AJ413" s="32" t="s">
        <v>138</v>
      </c>
      <c r="AK413" s="28" t="s">
        <v>8622</v>
      </c>
      <c r="AL413" s="28" t="s">
        <v>8623</v>
      </c>
      <c r="AM413" s="28" t="s">
        <v>566</v>
      </c>
      <c r="AN413" s="28" t="s">
        <v>8624</v>
      </c>
      <c r="AO413" s="28" t="s">
        <v>138</v>
      </c>
      <c r="AP413" s="28" t="s">
        <v>1195</v>
      </c>
      <c r="AQ413" s="28" t="s">
        <v>8625</v>
      </c>
      <c r="AR413" s="28" t="s">
        <v>8626</v>
      </c>
      <c r="AS413" s="28" t="s">
        <v>1198</v>
      </c>
      <c r="AT413" s="28" t="s">
        <v>138</v>
      </c>
      <c r="AU413" s="28" t="s">
        <v>8627</v>
      </c>
      <c r="AV413" s="28" t="s">
        <v>1200</v>
      </c>
      <c r="AW413" s="28" t="s">
        <v>138</v>
      </c>
      <c r="AX413" s="28" t="s">
        <v>138</v>
      </c>
      <c r="AY413" s="28" t="s">
        <v>8628</v>
      </c>
      <c r="AZ413" s="28" t="s">
        <v>452</v>
      </c>
      <c r="BA413" s="28" t="s">
        <v>453</v>
      </c>
      <c r="BB413" s="28" t="s">
        <v>8629</v>
      </c>
      <c r="BC413" s="28" t="s">
        <v>8630</v>
      </c>
      <c r="BD413" s="33">
        <v>6</v>
      </c>
      <c r="BE413" s="28" t="s">
        <v>138</v>
      </c>
      <c r="BF413" s="28" t="s">
        <v>138</v>
      </c>
      <c r="BG413" s="28" t="s">
        <v>138</v>
      </c>
      <c r="BH413" s="28" t="s">
        <v>8631</v>
      </c>
      <c r="BI413" s="28" t="s">
        <v>138</v>
      </c>
      <c r="BJ413" s="28" t="s">
        <v>138</v>
      </c>
      <c r="BK413" s="28" t="s">
        <v>138</v>
      </c>
      <c r="BL413" s="28" t="s">
        <v>138</v>
      </c>
      <c r="BM413" s="34">
        <v>41859</v>
      </c>
      <c r="BN413" s="29">
        <v>0.01</v>
      </c>
      <c r="BO413" s="28" t="s">
        <v>172</v>
      </c>
      <c r="BP413" s="29" t="s">
        <v>138</v>
      </c>
      <c r="BQ413" s="28" t="s">
        <v>138</v>
      </c>
      <c r="BR413" s="28" t="s">
        <v>176</v>
      </c>
      <c r="BS413" s="28" t="s">
        <v>138</v>
      </c>
      <c r="BT413" s="28" t="s">
        <v>138</v>
      </c>
      <c r="BU413" s="28" t="s">
        <v>177</v>
      </c>
      <c r="BV413" s="28" t="s">
        <v>138</v>
      </c>
      <c r="BW413" s="28" t="s">
        <v>138</v>
      </c>
      <c r="BX413" s="28" t="s">
        <v>138</v>
      </c>
      <c r="BY413" s="28" t="s">
        <v>175</v>
      </c>
      <c r="BZ413" s="34">
        <v>42611</v>
      </c>
      <c r="CA413" s="29">
        <v>3.95</v>
      </c>
      <c r="CB413" s="28" t="s">
        <v>172</v>
      </c>
      <c r="CC413" s="29" t="s">
        <v>138</v>
      </c>
      <c r="CD413" s="28" t="s">
        <v>138</v>
      </c>
      <c r="CE413" s="28" t="s">
        <v>205</v>
      </c>
      <c r="CF413" s="28" t="s">
        <v>206</v>
      </c>
      <c r="CG413" s="28" t="s">
        <v>138</v>
      </c>
      <c r="CH413" s="28" t="s">
        <v>174</v>
      </c>
      <c r="CI413" s="28" t="s">
        <v>138</v>
      </c>
      <c r="CJ413" s="28" t="s">
        <v>138</v>
      </c>
      <c r="CK413" s="28" t="s">
        <v>138</v>
      </c>
      <c r="CL413" s="28" t="s">
        <v>175</v>
      </c>
      <c r="CM413" s="34" t="s">
        <v>138</v>
      </c>
      <c r="CN413" s="29" t="s">
        <v>138</v>
      </c>
      <c r="CO413" s="35">
        <v>0.76</v>
      </c>
      <c r="CP413" s="36">
        <v>96</v>
      </c>
      <c r="CQ413" s="35">
        <v>-0.14000000000000001</v>
      </c>
      <c r="CR413" s="35">
        <v>-15.8</v>
      </c>
      <c r="CS413" s="35">
        <v>1.74</v>
      </c>
      <c r="CT413" s="36">
        <v>98</v>
      </c>
      <c r="CU413" s="35">
        <v>-0.22</v>
      </c>
      <c r="CV413" s="36">
        <v>1</v>
      </c>
      <c r="CW413" s="35">
        <v>0</v>
      </c>
      <c r="CX413" s="36">
        <v>13</v>
      </c>
      <c r="CY413" s="35">
        <v>3.48</v>
      </c>
      <c r="CZ413" s="36">
        <v>100</v>
      </c>
      <c r="DA413" s="35">
        <v>-0.52</v>
      </c>
      <c r="DB413" s="36">
        <v>1</v>
      </c>
      <c r="DC413" s="37">
        <v>23.05</v>
      </c>
      <c r="DD413" s="36">
        <v>95</v>
      </c>
      <c r="DE413" s="37">
        <v>0.04</v>
      </c>
      <c r="DF413" s="35">
        <v>0.17</v>
      </c>
      <c r="DG413" s="37">
        <v>11.5</v>
      </c>
      <c r="DH413" s="36">
        <v>91</v>
      </c>
      <c r="DI413" s="37">
        <v>34.61</v>
      </c>
      <c r="DJ413" s="36">
        <v>94</v>
      </c>
      <c r="DK413" s="37">
        <v>1.1000000000000001</v>
      </c>
      <c r="DL413" s="36">
        <v>52</v>
      </c>
      <c r="DM413" s="37">
        <v>21.9</v>
      </c>
      <c r="DN413" s="36">
        <v>95</v>
      </c>
      <c r="DO413" s="37">
        <v>42.08</v>
      </c>
      <c r="DP413" s="36">
        <v>96</v>
      </c>
      <c r="DQ413" s="36">
        <v>359</v>
      </c>
      <c r="DR413" s="38">
        <v>60</v>
      </c>
      <c r="DS413" s="35">
        <v>20.07</v>
      </c>
      <c r="DT413" s="36">
        <v>632</v>
      </c>
      <c r="DU413" s="38">
        <v>6</v>
      </c>
      <c r="DV413" s="35">
        <v>0.96</v>
      </c>
      <c r="DW413" s="36">
        <v>15075</v>
      </c>
      <c r="DX413" s="39">
        <v>-49</v>
      </c>
      <c r="DY413" s="35">
        <v>-0.32</v>
      </c>
      <c r="DZ413" s="28" t="s">
        <v>178</v>
      </c>
      <c r="EA413" s="34">
        <v>43503</v>
      </c>
      <c r="EB413" s="29" t="s">
        <v>138</v>
      </c>
      <c r="EC413" s="34" t="s">
        <v>138</v>
      </c>
      <c r="ED413" s="28" t="s">
        <v>138</v>
      </c>
      <c r="EE413" s="40" t="str">
        <f>HYPERLINK("https://my.pitchbook.com?c=98407-99", "View company online")</f>
        <v>View company online</v>
      </c>
    </row>
    <row r="414" spans="1:135">
      <c r="A414" s="15" t="s">
        <v>8632</v>
      </c>
      <c r="B414" s="15" t="s">
        <v>8633</v>
      </c>
      <c r="C414" s="15" t="s">
        <v>138</v>
      </c>
      <c r="D414" s="15" t="s">
        <v>8634</v>
      </c>
      <c r="E414" s="15" t="s">
        <v>8635</v>
      </c>
      <c r="F414" s="15" t="s">
        <v>8632</v>
      </c>
      <c r="G414" s="15" t="s">
        <v>8636</v>
      </c>
      <c r="H414" s="15" t="s">
        <v>322</v>
      </c>
      <c r="I414" s="15" t="s">
        <v>323</v>
      </c>
      <c r="J414" s="15" t="s">
        <v>1132</v>
      </c>
      <c r="K414" s="15" t="s">
        <v>8637</v>
      </c>
      <c r="L414" s="15" t="s">
        <v>8638</v>
      </c>
      <c r="M414" s="15" t="s">
        <v>8639</v>
      </c>
      <c r="N414" s="15" t="s">
        <v>147</v>
      </c>
      <c r="O414" s="17">
        <v>10.5</v>
      </c>
      <c r="P414" s="15" t="s">
        <v>148</v>
      </c>
      <c r="Q414" s="15" t="s">
        <v>149</v>
      </c>
      <c r="R414" s="15" t="s">
        <v>174</v>
      </c>
      <c r="S414" s="15" t="s">
        <v>8640</v>
      </c>
      <c r="T414" s="18">
        <v>17</v>
      </c>
      <c r="U414" s="15" t="s">
        <v>8641</v>
      </c>
      <c r="V414" s="15" t="s">
        <v>138</v>
      </c>
      <c r="W414" s="15" t="s">
        <v>138</v>
      </c>
      <c r="X414" s="19">
        <v>2012</v>
      </c>
      <c r="Y414" s="15" t="s">
        <v>138</v>
      </c>
      <c r="Z414" s="15" t="s">
        <v>138</v>
      </c>
      <c r="AA414" s="15" t="s">
        <v>138</v>
      </c>
      <c r="AB414" s="20" t="s">
        <v>138</v>
      </c>
      <c r="AC414" s="20" t="s">
        <v>138</v>
      </c>
      <c r="AD414" s="20" t="s">
        <v>138</v>
      </c>
      <c r="AE414" s="20" t="s">
        <v>138</v>
      </c>
      <c r="AF414" s="20" t="s">
        <v>138</v>
      </c>
      <c r="AG414" s="15" t="s">
        <v>138</v>
      </c>
      <c r="AH414" s="20" t="s">
        <v>138</v>
      </c>
      <c r="AI414" s="20" t="s">
        <v>138</v>
      </c>
      <c r="AJ414" s="20" t="s">
        <v>138</v>
      </c>
      <c r="AK414" s="15" t="s">
        <v>8642</v>
      </c>
      <c r="AL414" s="15" t="s">
        <v>8643</v>
      </c>
      <c r="AM414" s="15" t="s">
        <v>304</v>
      </c>
      <c r="AN414" s="15" t="s">
        <v>8644</v>
      </c>
      <c r="AO414" s="15" t="s">
        <v>8645</v>
      </c>
      <c r="AP414" s="15" t="s">
        <v>665</v>
      </c>
      <c r="AQ414" s="15" t="s">
        <v>8646</v>
      </c>
      <c r="AR414" s="15" t="s">
        <v>138</v>
      </c>
      <c r="AS414" s="15" t="s">
        <v>668</v>
      </c>
      <c r="AT414" s="15" t="s">
        <v>200</v>
      </c>
      <c r="AU414" s="15" t="s">
        <v>3557</v>
      </c>
      <c r="AV414" s="15" t="s">
        <v>162</v>
      </c>
      <c r="AW414" s="15" t="s">
        <v>8647</v>
      </c>
      <c r="AX414" s="15" t="s">
        <v>138</v>
      </c>
      <c r="AY414" s="15" t="s">
        <v>138</v>
      </c>
      <c r="AZ414" s="15" t="s">
        <v>164</v>
      </c>
      <c r="BA414" s="15" t="s">
        <v>165</v>
      </c>
      <c r="BB414" s="15" t="s">
        <v>8648</v>
      </c>
      <c r="BC414" s="15" t="s">
        <v>8649</v>
      </c>
      <c r="BD414" s="21">
        <v>24</v>
      </c>
      <c r="BE414" s="15" t="s">
        <v>138</v>
      </c>
      <c r="BF414" s="15" t="s">
        <v>138</v>
      </c>
      <c r="BG414" s="15" t="s">
        <v>138</v>
      </c>
      <c r="BH414" s="15" t="s">
        <v>8650</v>
      </c>
      <c r="BI414" s="15" t="s">
        <v>138</v>
      </c>
      <c r="BJ414" s="15" t="s">
        <v>138</v>
      </c>
      <c r="BK414" s="15" t="s">
        <v>1251</v>
      </c>
      <c r="BL414" s="15" t="s">
        <v>1251</v>
      </c>
      <c r="BM414" s="22">
        <v>41608</v>
      </c>
      <c r="BN414" s="17">
        <v>2.5</v>
      </c>
      <c r="BO414" s="15" t="s">
        <v>172</v>
      </c>
      <c r="BP414" s="17" t="s">
        <v>138</v>
      </c>
      <c r="BQ414" s="15" t="s">
        <v>138</v>
      </c>
      <c r="BR414" s="15" t="s">
        <v>234</v>
      </c>
      <c r="BS414" s="15" t="s">
        <v>234</v>
      </c>
      <c r="BT414" s="15" t="s">
        <v>138</v>
      </c>
      <c r="BU414" s="15" t="s">
        <v>174</v>
      </c>
      <c r="BV414" s="15" t="s">
        <v>138</v>
      </c>
      <c r="BW414" s="15" t="s">
        <v>138</v>
      </c>
      <c r="BX414" s="15" t="s">
        <v>138</v>
      </c>
      <c r="BY414" s="15" t="s">
        <v>175</v>
      </c>
      <c r="BZ414" s="22">
        <v>42626</v>
      </c>
      <c r="CA414" s="17">
        <v>5</v>
      </c>
      <c r="CB414" s="15" t="s">
        <v>172</v>
      </c>
      <c r="CC414" s="17">
        <v>27.53</v>
      </c>
      <c r="CD414" s="15" t="s">
        <v>172</v>
      </c>
      <c r="CE414" s="15" t="s">
        <v>234</v>
      </c>
      <c r="CF414" s="15" t="s">
        <v>234</v>
      </c>
      <c r="CG414" s="15" t="s">
        <v>138</v>
      </c>
      <c r="CH414" s="15" t="s">
        <v>174</v>
      </c>
      <c r="CI414" s="15" t="s">
        <v>138</v>
      </c>
      <c r="CJ414" s="15" t="s">
        <v>138</v>
      </c>
      <c r="CK414" s="15" t="s">
        <v>138</v>
      </c>
      <c r="CL414" s="15" t="s">
        <v>175</v>
      </c>
      <c r="CM414" s="22" t="s">
        <v>138</v>
      </c>
      <c r="CN414" s="17" t="s">
        <v>138</v>
      </c>
      <c r="CO414" s="23">
        <v>-0.01</v>
      </c>
      <c r="CP414" s="24">
        <v>25</v>
      </c>
      <c r="CQ414" s="23">
        <v>-0.02</v>
      </c>
      <c r="CR414" s="23">
        <v>-149.71</v>
      </c>
      <c r="CS414" s="23">
        <v>0</v>
      </c>
      <c r="CT414" s="24">
        <v>23</v>
      </c>
      <c r="CU414" s="23">
        <v>-0.01</v>
      </c>
      <c r="CV414" s="24">
        <v>20</v>
      </c>
      <c r="CW414" s="23">
        <v>0</v>
      </c>
      <c r="CX414" s="24">
        <v>13</v>
      </c>
      <c r="CY414" s="23" t="s">
        <v>138</v>
      </c>
      <c r="CZ414" s="24" t="s">
        <v>138</v>
      </c>
      <c r="DA414" s="23">
        <v>-0.01</v>
      </c>
      <c r="DB414" s="24">
        <v>21</v>
      </c>
      <c r="DC414" s="25">
        <v>1.32</v>
      </c>
      <c r="DD414" s="24">
        <v>58</v>
      </c>
      <c r="DE414" s="25">
        <v>-0.01</v>
      </c>
      <c r="DF414" s="23">
        <v>-0.67</v>
      </c>
      <c r="DG414" s="25">
        <v>0.2</v>
      </c>
      <c r="DH414" s="24">
        <v>15</v>
      </c>
      <c r="DI414" s="25">
        <v>2.4300000000000002</v>
      </c>
      <c r="DJ414" s="24">
        <v>66</v>
      </c>
      <c r="DK414" s="25">
        <v>0.2</v>
      </c>
      <c r="DL414" s="24">
        <v>9</v>
      </c>
      <c r="DM414" s="25" t="s">
        <v>138</v>
      </c>
      <c r="DN414" s="24" t="s">
        <v>138</v>
      </c>
      <c r="DO414" s="25">
        <v>2.4300000000000002</v>
      </c>
      <c r="DP414" s="24">
        <v>67</v>
      </c>
      <c r="DQ414" s="24">
        <v>70</v>
      </c>
      <c r="DR414" s="26">
        <v>-3</v>
      </c>
      <c r="DS414" s="23">
        <v>-4.1100000000000003</v>
      </c>
      <c r="DT414" s="24" t="s">
        <v>138</v>
      </c>
      <c r="DU414" s="26" t="s">
        <v>138</v>
      </c>
      <c r="DV414" s="23" t="s">
        <v>138</v>
      </c>
      <c r="DW414" s="24">
        <v>872</v>
      </c>
      <c r="DX414" s="27">
        <v>-1</v>
      </c>
      <c r="DY414" s="23">
        <v>-0.11</v>
      </c>
      <c r="DZ414" s="15" t="s">
        <v>178</v>
      </c>
      <c r="EA414" s="22">
        <v>43351</v>
      </c>
      <c r="EB414" s="17">
        <v>27.53</v>
      </c>
      <c r="EC414" s="22">
        <v>42626</v>
      </c>
      <c r="ED414" s="15" t="s">
        <v>234</v>
      </c>
      <c r="EE414" s="14" t="str">
        <f>HYPERLINK("https://my.pitchbook.com?c=63692-92", "View company online")</f>
        <v>View company online</v>
      </c>
    </row>
    <row r="415" spans="1:135">
      <c r="A415" s="28" t="s">
        <v>8651</v>
      </c>
      <c r="B415" s="28" t="s">
        <v>8652</v>
      </c>
      <c r="C415" s="28" t="s">
        <v>138</v>
      </c>
      <c r="D415" s="28" t="s">
        <v>138</v>
      </c>
      <c r="E415" s="28" t="s">
        <v>138</v>
      </c>
      <c r="F415" s="28" t="s">
        <v>8651</v>
      </c>
      <c r="G415" s="28" t="s">
        <v>8653</v>
      </c>
      <c r="H415" s="28" t="s">
        <v>238</v>
      </c>
      <c r="I415" s="28" t="s">
        <v>1018</v>
      </c>
      <c r="J415" s="28" t="s">
        <v>4780</v>
      </c>
      <c r="K415" s="28" t="s">
        <v>8654</v>
      </c>
      <c r="L415" s="28" t="s">
        <v>242</v>
      </c>
      <c r="M415" s="28" t="s">
        <v>8655</v>
      </c>
      <c r="N415" s="28" t="s">
        <v>147</v>
      </c>
      <c r="O415" s="29">
        <v>1.5</v>
      </c>
      <c r="P415" s="28" t="s">
        <v>148</v>
      </c>
      <c r="Q415" s="28" t="s">
        <v>149</v>
      </c>
      <c r="R415" s="28" t="s">
        <v>174</v>
      </c>
      <c r="S415" s="28" t="s">
        <v>8656</v>
      </c>
      <c r="T415" s="30">
        <v>300</v>
      </c>
      <c r="U415" s="28" t="s">
        <v>8657</v>
      </c>
      <c r="V415" s="28" t="s">
        <v>138</v>
      </c>
      <c r="W415" s="28" t="s">
        <v>138</v>
      </c>
      <c r="X415" s="31">
        <v>2016</v>
      </c>
      <c r="Y415" s="28" t="s">
        <v>138</v>
      </c>
      <c r="Z415" s="28" t="s">
        <v>138</v>
      </c>
      <c r="AA415" s="28" t="s">
        <v>138</v>
      </c>
      <c r="AB415" s="32" t="s">
        <v>138</v>
      </c>
      <c r="AC415" s="32" t="s">
        <v>138</v>
      </c>
      <c r="AD415" s="32" t="s">
        <v>138</v>
      </c>
      <c r="AE415" s="32" t="s">
        <v>138</v>
      </c>
      <c r="AF415" s="32" t="s">
        <v>138</v>
      </c>
      <c r="AG415" s="28" t="s">
        <v>138</v>
      </c>
      <c r="AH415" s="32" t="s">
        <v>138</v>
      </c>
      <c r="AI415" s="32" t="s">
        <v>138</v>
      </c>
      <c r="AJ415" s="32" t="s">
        <v>138</v>
      </c>
      <c r="AK415" s="28" t="s">
        <v>8658</v>
      </c>
      <c r="AL415" s="28" t="s">
        <v>8659</v>
      </c>
      <c r="AM415" s="28" t="s">
        <v>221</v>
      </c>
      <c r="AN415" s="28" t="s">
        <v>8660</v>
      </c>
      <c r="AO415" s="28" t="s">
        <v>8661</v>
      </c>
      <c r="AP415" s="28" t="s">
        <v>7077</v>
      </c>
      <c r="AQ415" s="28" t="s">
        <v>7196</v>
      </c>
      <c r="AR415" s="28" t="s">
        <v>8662</v>
      </c>
      <c r="AS415" s="28" t="s">
        <v>7079</v>
      </c>
      <c r="AT415" s="28" t="s">
        <v>200</v>
      </c>
      <c r="AU415" s="28" t="s">
        <v>7080</v>
      </c>
      <c r="AV415" s="28" t="s">
        <v>162</v>
      </c>
      <c r="AW415" s="28" t="s">
        <v>8661</v>
      </c>
      <c r="AX415" s="28" t="s">
        <v>138</v>
      </c>
      <c r="AY415" s="28" t="s">
        <v>8663</v>
      </c>
      <c r="AZ415" s="28" t="s">
        <v>164</v>
      </c>
      <c r="BA415" s="28" t="s">
        <v>165</v>
      </c>
      <c r="BB415" s="28" t="s">
        <v>8664</v>
      </c>
      <c r="BC415" s="28" t="s">
        <v>8665</v>
      </c>
      <c r="BD415" s="33">
        <v>3</v>
      </c>
      <c r="BE415" s="28" t="s">
        <v>138</v>
      </c>
      <c r="BF415" s="28" t="s">
        <v>138</v>
      </c>
      <c r="BG415" s="28" t="s">
        <v>138</v>
      </c>
      <c r="BH415" s="28" t="s">
        <v>8666</v>
      </c>
      <c r="BI415" s="28" t="s">
        <v>138</v>
      </c>
      <c r="BJ415" s="28" t="s">
        <v>138</v>
      </c>
      <c r="BK415" s="28" t="s">
        <v>138</v>
      </c>
      <c r="BL415" s="28" t="s">
        <v>138</v>
      </c>
      <c r="BM415" s="34">
        <v>42989</v>
      </c>
      <c r="BN415" s="29">
        <v>1</v>
      </c>
      <c r="BO415" s="28" t="s">
        <v>172</v>
      </c>
      <c r="BP415" s="29" t="s">
        <v>138</v>
      </c>
      <c r="BQ415" s="28" t="s">
        <v>138</v>
      </c>
      <c r="BR415" s="28" t="s">
        <v>234</v>
      </c>
      <c r="BS415" s="28" t="s">
        <v>234</v>
      </c>
      <c r="BT415" s="28" t="s">
        <v>138</v>
      </c>
      <c r="BU415" s="28" t="s">
        <v>174</v>
      </c>
      <c r="BV415" s="28" t="s">
        <v>138</v>
      </c>
      <c r="BW415" s="28" t="s">
        <v>138</v>
      </c>
      <c r="BX415" s="28" t="s">
        <v>138</v>
      </c>
      <c r="BY415" s="28" t="s">
        <v>175</v>
      </c>
      <c r="BZ415" s="34">
        <v>43495</v>
      </c>
      <c r="CA415" s="29" t="s">
        <v>138</v>
      </c>
      <c r="CB415" s="28" t="s">
        <v>138</v>
      </c>
      <c r="CC415" s="29" t="s">
        <v>138</v>
      </c>
      <c r="CD415" s="28" t="s">
        <v>138</v>
      </c>
      <c r="CE415" s="28" t="s">
        <v>316</v>
      </c>
      <c r="CF415" s="28" t="s">
        <v>138</v>
      </c>
      <c r="CG415" s="28" t="s">
        <v>138</v>
      </c>
      <c r="CH415" s="28" t="s">
        <v>177</v>
      </c>
      <c r="CI415" s="28" t="s">
        <v>138</v>
      </c>
      <c r="CJ415" s="28" t="s">
        <v>138</v>
      </c>
      <c r="CK415" s="28" t="s">
        <v>138</v>
      </c>
      <c r="CL415" s="28" t="s">
        <v>175</v>
      </c>
      <c r="CM415" s="34" t="s">
        <v>138</v>
      </c>
      <c r="CN415" s="29" t="s">
        <v>138</v>
      </c>
      <c r="CO415" s="35">
        <v>-0.39</v>
      </c>
      <c r="CP415" s="36">
        <v>17</v>
      </c>
      <c r="CQ415" s="35">
        <v>7.0000000000000007E-2</v>
      </c>
      <c r="CR415" s="35">
        <v>16</v>
      </c>
      <c r="CS415" s="35">
        <v>-0.9</v>
      </c>
      <c r="CT415" s="36">
        <v>16</v>
      </c>
      <c r="CU415" s="35">
        <v>0.13</v>
      </c>
      <c r="CV415" s="36">
        <v>73</v>
      </c>
      <c r="CW415" s="35">
        <v>0</v>
      </c>
      <c r="CX415" s="36">
        <v>13</v>
      </c>
      <c r="CY415" s="35">
        <v>-1.8</v>
      </c>
      <c r="CZ415" s="36">
        <v>13</v>
      </c>
      <c r="DA415" s="35">
        <v>0.26</v>
      </c>
      <c r="DB415" s="36">
        <v>87</v>
      </c>
      <c r="DC415" s="37">
        <v>1.5</v>
      </c>
      <c r="DD415" s="36">
        <v>61</v>
      </c>
      <c r="DE415" s="37">
        <v>-0.06</v>
      </c>
      <c r="DF415" s="35">
        <v>-3.9</v>
      </c>
      <c r="DG415" s="37">
        <v>2.13</v>
      </c>
      <c r="DH415" s="36">
        <v>68</v>
      </c>
      <c r="DI415" s="37">
        <v>0.87</v>
      </c>
      <c r="DJ415" s="36">
        <v>46</v>
      </c>
      <c r="DK415" s="37">
        <v>1.18</v>
      </c>
      <c r="DL415" s="36">
        <v>54</v>
      </c>
      <c r="DM415" s="37">
        <v>3.07</v>
      </c>
      <c r="DN415" s="36">
        <v>74</v>
      </c>
      <c r="DO415" s="37">
        <v>1.69</v>
      </c>
      <c r="DP415" s="36">
        <v>60</v>
      </c>
      <c r="DQ415" s="36">
        <v>388</v>
      </c>
      <c r="DR415" s="38">
        <v>52</v>
      </c>
      <c r="DS415" s="35">
        <v>15.48</v>
      </c>
      <c r="DT415" s="36">
        <v>90</v>
      </c>
      <c r="DU415" s="38">
        <v>-2</v>
      </c>
      <c r="DV415" s="35">
        <v>-2.17</v>
      </c>
      <c r="DW415" s="36">
        <v>606</v>
      </c>
      <c r="DX415" s="39">
        <v>3</v>
      </c>
      <c r="DY415" s="35">
        <v>0.5</v>
      </c>
      <c r="DZ415" s="28" t="s">
        <v>178</v>
      </c>
      <c r="EA415" s="34">
        <v>43509</v>
      </c>
      <c r="EB415" s="29" t="s">
        <v>138</v>
      </c>
      <c r="EC415" s="34" t="s">
        <v>138</v>
      </c>
      <c r="ED415" s="28" t="s">
        <v>138</v>
      </c>
      <c r="EE415" s="40" t="str">
        <f>HYPERLINK("https://my.pitchbook.com?c=186224-59", "View company online")</f>
        <v>View company online</v>
      </c>
    </row>
    <row r="416" spans="1:135">
      <c r="A416" s="15" t="s">
        <v>8667</v>
      </c>
      <c r="B416" s="15" t="s">
        <v>8668</v>
      </c>
      <c r="C416" s="15" t="s">
        <v>8669</v>
      </c>
      <c r="D416" s="15" t="s">
        <v>138</v>
      </c>
      <c r="E416" s="15" t="s">
        <v>138</v>
      </c>
      <c r="F416" s="15" t="s">
        <v>8667</v>
      </c>
      <c r="G416" s="15" t="s">
        <v>8670</v>
      </c>
      <c r="H416" s="15" t="s">
        <v>322</v>
      </c>
      <c r="I416" s="15" t="s">
        <v>323</v>
      </c>
      <c r="J416" s="15" t="s">
        <v>2084</v>
      </c>
      <c r="K416" s="15" t="s">
        <v>4639</v>
      </c>
      <c r="L416" s="15" t="s">
        <v>8671</v>
      </c>
      <c r="M416" s="15" t="s">
        <v>8672</v>
      </c>
      <c r="N416" s="15" t="s">
        <v>147</v>
      </c>
      <c r="O416" s="17">
        <v>214</v>
      </c>
      <c r="P416" s="15" t="s">
        <v>148</v>
      </c>
      <c r="Q416" s="15" t="s">
        <v>149</v>
      </c>
      <c r="R416" s="15" t="s">
        <v>174</v>
      </c>
      <c r="S416" s="15" t="s">
        <v>8673</v>
      </c>
      <c r="T416" s="18">
        <v>139</v>
      </c>
      <c r="U416" s="15" t="s">
        <v>8674</v>
      </c>
      <c r="V416" s="15" t="s">
        <v>138</v>
      </c>
      <c r="W416" s="15" t="s">
        <v>138</v>
      </c>
      <c r="X416" s="19">
        <v>2005</v>
      </c>
      <c r="Y416" s="15" t="s">
        <v>138</v>
      </c>
      <c r="Z416" s="15" t="s">
        <v>138</v>
      </c>
      <c r="AA416" s="15" t="s">
        <v>138</v>
      </c>
      <c r="AB416" s="20" t="s">
        <v>138</v>
      </c>
      <c r="AC416" s="20" t="s">
        <v>138</v>
      </c>
      <c r="AD416" s="20" t="s">
        <v>138</v>
      </c>
      <c r="AE416" s="20" t="s">
        <v>138</v>
      </c>
      <c r="AF416" s="20" t="s">
        <v>138</v>
      </c>
      <c r="AG416" s="15" t="s">
        <v>138</v>
      </c>
      <c r="AH416" s="20" t="s">
        <v>138</v>
      </c>
      <c r="AI416" s="20" t="s">
        <v>138</v>
      </c>
      <c r="AJ416" s="20" t="s">
        <v>138</v>
      </c>
      <c r="AK416" s="15" t="s">
        <v>8675</v>
      </c>
      <c r="AL416" s="15" t="s">
        <v>8676</v>
      </c>
      <c r="AM416" s="15" t="s">
        <v>221</v>
      </c>
      <c r="AN416" s="15" t="s">
        <v>8677</v>
      </c>
      <c r="AO416" s="15" t="s">
        <v>138</v>
      </c>
      <c r="AP416" s="15" t="s">
        <v>3839</v>
      </c>
      <c r="AQ416" s="15" t="s">
        <v>8678</v>
      </c>
      <c r="AR416" s="15" t="s">
        <v>138</v>
      </c>
      <c r="AS416" s="15" t="s">
        <v>3841</v>
      </c>
      <c r="AT416" s="15" t="s">
        <v>200</v>
      </c>
      <c r="AU416" s="15" t="s">
        <v>3842</v>
      </c>
      <c r="AV416" s="15" t="s">
        <v>162</v>
      </c>
      <c r="AW416" s="15" t="s">
        <v>138</v>
      </c>
      <c r="AX416" s="15" t="s">
        <v>8679</v>
      </c>
      <c r="AY416" s="15" t="s">
        <v>138</v>
      </c>
      <c r="AZ416" s="15" t="s">
        <v>164</v>
      </c>
      <c r="BA416" s="15" t="s">
        <v>165</v>
      </c>
      <c r="BB416" s="15" t="s">
        <v>8680</v>
      </c>
      <c r="BC416" s="15" t="s">
        <v>8681</v>
      </c>
      <c r="BD416" s="21">
        <v>32</v>
      </c>
      <c r="BE416" s="15" t="s">
        <v>138</v>
      </c>
      <c r="BF416" s="15" t="s">
        <v>8682</v>
      </c>
      <c r="BG416" s="15" t="s">
        <v>138</v>
      </c>
      <c r="BH416" s="15" t="s">
        <v>8683</v>
      </c>
      <c r="BI416" s="15" t="s">
        <v>5684</v>
      </c>
      <c r="BJ416" s="15" t="s">
        <v>138</v>
      </c>
      <c r="BK416" s="15" t="s">
        <v>8684</v>
      </c>
      <c r="BL416" s="15" t="s">
        <v>8685</v>
      </c>
      <c r="BM416" s="22">
        <v>38867</v>
      </c>
      <c r="BN416" s="17">
        <v>5</v>
      </c>
      <c r="BO416" s="15" t="s">
        <v>172</v>
      </c>
      <c r="BP416" s="17">
        <v>25</v>
      </c>
      <c r="BQ416" s="15" t="s">
        <v>172</v>
      </c>
      <c r="BR416" s="15" t="s">
        <v>205</v>
      </c>
      <c r="BS416" s="15" t="s">
        <v>206</v>
      </c>
      <c r="BT416" s="15" t="s">
        <v>138</v>
      </c>
      <c r="BU416" s="15" t="s">
        <v>174</v>
      </c>
      <c r="BV416" s="15" t="s">
        <v>1397</v>
      </c>
      <c r="BW416" s="15" t="s">
        <v>138</v>
      </c>
      <c r="BX416" s="15" t="s">
        <v>138</v>
      </c>
      <c r="BY416" s="15" t="s">
        <v>175</v>
      </c>
      <c r="BZ416" s="22">
        <v>43223</v>
      </c>
      <c r="CA416" s="17">
        <v>100</v>
      </c>
      <c r="CB416" s="15" t="s">
        <v>172</v>
      </c>
      <c r="CC416" s="17">
        <v>1050</v>
      </c>
      <c r="CD416" s="15" t="s">
        <v>172</v>
      </c>
      <c r="CE416" s="15" t="s">
        <v>780</v>
      </c>
      <c r="CF416" s="15" t="s">
        <v>433</v>
      </c>
      <c r="CG416" s="15" t="s">
        <v>138</v>
      </c>
      <c r="CH416" s="15" t="s">
        <v>780</v>
      </c>
      <c r="CI416" s="15" t="s">
        <v>138</v>
      </c>
      <c r="CJ416" s="15" t="s">
        <v>138</v>
      </c>
      <c r="CK416" s="15" t="s">
        <v>138</v>
      </c>
      <c r="CL416" s="15" t="s">
        <v>175</v>
      </c>
      <c r="CM416" s="22">
        <v>38867</v>
      </c>
      <c r="CN416" s="17" t="s">
        <v>138</v>
      </c>
      <c r="CO416" s="23">
        <v>-0.39</v>
      </c>
      <c r="CP416" s="24">
        <v>17</v>
      </c>
      <c r="CQ416" s="23">
        <v>-0.01</v>
      </c>
      <c r="CR416" s="23">
        <v>-3.55</v>
      </c>
      <c r="CS416" s="23">
        <v>-1.44</v>
      </c>
      <c r="CT416" s="24">
        <v>12</v>
      </c>
      <c r="CU416" s="23">
        <v>-0.03</v>
      </c>
      <c r="CV416" s="24">
        <v>14</v>
      </c>
      <c r="CW416" s="23">
        <v>0.01</v>
      </c>
      <c r="CX416" s="24">
        <v>80</v>
      </c>
      <c r="CY416" s="23">
        <v>-2.9</v>
      </c>
      <c r="CZ416" s="24">
        <v>7</v>
      </c>
      <c r="DA416" s="23">
        <v>-0.03</v>
      </c>
      <c r="DB416" s="24">
        <v>17</v>
      </c>
      <c r="DC416" s="25">
        <v>1319.41</v>
      </c>
      <c r="DD416" s="24">
        <v>100</v>
      </c>
      <c r="DE416" s="25">
        <v>52.21</v>
      </c>
      <c r="DF416" s="23">
        <v>4.12</v>
      </c>
      <c r="DG416" s="25">
        <v>133.35</v>
      </c>
      <c r="DH416" s="24">
        <v>100</v>
      </c>
      <c r="DI416" s="25">
        <v>304.37</v>
      </c>
      <c r="DJ416" s="24">
        <v>99</v>
      </c>
      <c r="DK416" s="25">
        <v>171.52</v>
      </c>
      <c r="DL416" s="24">
        <v>99</v>
      </c>
      <c r="DM416" s="25">
        <v>95.17</v>
      </c>
      <c r="DN416" s="24">
        <v>99</v>
      </c>
      <c r="DO416" s="25">
        <v>304.37</v>
      </c>
      <c r="DP416" s="24">
        <v>99</v>
      </c>
      <c r="DQ416" s="24">
        <v>58973</v>
      </c>
      <c r="DR416" s="26">
        <v>-420</v>
      </c>
      <c r="DS416" s="23">
        <v>-0.71</v>
      </c>
      <c r="DT416" s="24">
        <v>2764</v>
      </c>
      <c r="DU416" s="26">
        <v>-5</v>
      </c>
      <c r="DV416" s="23">
        <v>-0.18</v>
      </c>
      <c r="DW416" s="24">
        <v>108978</v>
      </c>
      <c r="DX416" s="27">
        <v>-12</v>
      </c>
      <c r="DY416" s="23">
        <v>-0.01</v>
      </c>
      <c r="DZ416" s="15" t="s">
        <v>178</v>
      </c>
      <c r="EA416" s="22">
        <v>43467</v>
      </c>
      <c r="EB416" s="17">
        <v>1050</v>
      </c>
      <c r="EC416" s="22">
        <v>43223</v>
      </c>
      <c r="ED416" s="15" t="s">
        <v>780</v>
      </c>
      <c r="EE416" s="14" t="str">
        <f>HYPERLINK("https://my.pitchbook.com?c=51233-32", "View company online")</f>
        <v>View company online</v>
      </c>
    </row>
    <row r="417" spans="1:135">
      <c r="A417" s="28" t="s">
        <v>8686</v>
      </c>
      <c r="B417" s="28" t="s">
        <v>8687</v>
      </c>
      <c r="C417" s="28" t="s">
        <v>138</v>
      </c>
      <c r="D417" s="28" t="s">
        <v>138</v>
      </c>
      <c r="E417" s="28" t="s">
        <v>8688</v>
      </c>
      <c r="F417" s="28" t="s">
        <v>8686</v>
      </c>
      <c r="G417" s="28" t="s">
        <v>8689</v>
      </c>
      <c r="H417" s="28" t="s">
        <v>322</v>
      </c>
      <c r="I417" s="28" t="s">
        <v>323</v>
      </c>
      <c r="J417" s="28" t="s">
        <v>437</v>
      </c>
      <c r="K417" s="28" t="s">
        <v>2406</v>
      </c>
      <c r="L417" s="28" t="s">
        <v>8690</v>
      </c>
      <c r="M417" s="28" t="s">
        <v>8691</v>
      </c>
      <c r="N417" s="28" t="s">
        <v>147</v>
      </c>
      <c r="O417" s="29">
        <v>403.65</v>
      </c>
      <c r="P417" s="28" t="s">
        <v>1473</v>
      </c>
      <c r="Q417" s="28" t="s">
        <v>149</v>
      </c>
      <c r="R417" s="28" t="s">
        <v>8692</v>
      </c>
      <c r="S417" s="28" t="s">
        <v>8693</v>
      </c>
      <c r="T417" s="30">
        <v>127</v>
      </c>
      <c r="U417" s="28" t="s">
        <v>8694</v>
      </c>
      <c r="V417" s="28" t="s">
        <v>138</v>
      </c>
      <c r="W417" s="28" t="s">
        <v>138</v>
      </c>
      <c r="X417" s="31">
        <v>2007</v>
      </c>
      <c r="Y417" s="28" t="s">
        <v>138</v>
      </c>
      <c r="Z417" s="28" t="s">
        <v>1163</v>
      </c>
      <c r="AA417" s="28" t="s">
        <v>1163</v>
      </c>
      <c r="AB417" s="32">
        <v>100</v>
      </c>
      <c r="AC417" s="32" t="s">
        <v>138</v>
      </c>
      <c r="AD417" s="32" t="s">
        <v>138</v>
      </c>
      <c r="AE417" s="32" t="s">
        <v>138</v>
      </c>
      <c r="AF417" s="32" t="s">
        <v>138</v>
      </c>
      <c r="AG417" s="28" t="s">
        <v>419</v>
      </c>
      <c r="AH417" s="32" t="s">
        <v>138</v>
      </c>
      <c r="AI417" s="32" t="s">
        <v>138</v>
      </c>
      <c r="AJ417" s="32" t="s">
        <v>138</v>
      </c>
      <c r="AK417" s="28" t="s">
        <v>8695</v>
      </c>
      <c r="AL417" s="28" t="s">
        <v>8696</v>
      </c>
      <c r="AM417" s="28" t="s">
        <v>8697</v>
      </c>
      <c r="AN417" s="28" t="s">
        <v>8698</v>
      </c>
      <c r="AO417" s="28" t="s">
        <v>8699</v>
      </c>
      <c r="AP417" s="28" t="s">
        <v>941</v>
      </c>
      <c r="AQ417" s="28" t="s">
        <v>8700</v>
      </c>
      <c r="AR417" s="28" t="s">
        <v>138</v>
      </c>
      <c r="AS417" s="28" t="s">
        <v>944</v>
      </c>
      <c r="AT417" s="28" t="s">
        <v>138</v>
      </c>
      <c r="AU417" s="28" t="s">
        <v>8355</v>
      </c>
      <c r="AV417" s="28" t="s">
        <v>946</v>
      </c>
      <c r="AW417" s="28" t="s">
        <v>8699</v>
      </c>
      <c r="AX417" s="28" t="s">
        <v>138</v>
      </c>
      <c r="AY417" s="28" t="s">
        <v>8701</v>
      </c>
      <c r="AZ417" s="28" t="s">
        <v>530</v>
      </c>
      <c r="BA417" s="28" t="s">
        <v>531</v>
      </c>
      <c r="BB417" s="28" t="s">
        <v>8702</v>
      </c>
      <c r="BC417" s="28" t="s">
        <v>8703</v>
      </c>
      <c r="BD417" s="33">
        <v>18</v>
      </c>
      <c r="BE417" s="28" t="s">
        <v>138</v>
      </c>
      <c r="BF417" s="28" t="s">
        <v>138</v>
      </c>
      <c r="BG417" s="28" t="s">
        <v>138</v>
      </c>
      <c r="BH417" s="28" t="s">
        <v>8704</v>
      </c>
      <c r="BI417" s="28" t="s">
        <v>138</v>
      </c>
      <c r="BJ417" s="28" t="s">
        <v>138</v>
      </c>
      <c r="BK417" s="28" t="s">
        <v>8705</v>
      </c>
      <c r="BL417" s="28" t="s">
        <v>8706</v>
      </c>
      <c r="BM417" s="34">
        <v>39918</v>
      </c>
      <c r="BN417" s="29">
        <v>3.3</v>
      </c>
      <c r="BO417" s="28" t="s">
        <v>172</v>
      </c>
      <c r="BP417" s="29">
        <v>10.14</v>
      </c>
      <c r="BQ417" s="28" t="s">
        <v>172</v>
      </c>
      <c r="BR417" s="28" t="s">
        <v>205</v>
      </c>
      <c r="BS417" s="28" t="s">
        <v>206</v>
      </c>
      <c r="BT417" s="28" t="s">
        <v>138</v>
      </c>
      <c r="BU417" s="28" t="s">
        <v>174</v>
      </c>
      <c r="BV417" s="28" t="s">
        <v>138</v>
      </c>
      <c r="BW417" s="28" t="s">
        <v>138</v>
      </c>
      <c r="BX417" s="28" t="s">
        <v>138</v>
      </c>
      <c r="BY417" s="28" t="s">
        <v>175</v>
      </c>
      <c r="BZ417" s="34" t="s">
        <v>138</v>
      </c>
      <c r="CA417" s="29">
        <v>500</v>
      </c>
      <c r="CB417" s="28" t="s">
        <v>172</v>
      </c>
      <c r="CC417" s="29">
        <v>500</v>
      </c>
      <c r="CD417" s="28" t="s">
        <v>138</v>
      </c>
      <c r="CE417" s="28" t="s">
        <v>2228</v>
      </c>
      <c r="CF417" s="28" t="s">
        <v>138</v>
      </c>
      <c r="CG417" s="28" t="s">
        <v>138</v>
      </c>
      <c r="CH417" s="28" t="s">
        <v>780</v>
      </c>
      <c r="CI417" s="28" t="s">
        <v>138</v>
      </c>
      <c r="CJ417" s="28" t="s">
        <v>138</v>
      </c>
      <c r="CK417" s="28" t="s">
        <v>138</v>
      </c>
      <c r="CL417" s="28" t="s">
        <v>1831</v>
      </c>
      <c r="CM417" s="34">
        <v>42804</v>
      </c>
      <c r="CN417" s="29">
        <v>70</v>
      </c>
      <c r="CO417" s="35">
        <v>-0.05</v>
      </c>
      <c r="CP417" s="36">
        <v>22</v>
      </c>
      <c r="CQ417" s="35">
        <v>-0.01</v>
      </c>
      <c r="CR417" s="35">
        <v>-16.91</v>
      </c>
      <c r="CS417" s="35">
        <v>-0.65</v>
      </c>
      <c r="CT417" s="36">
        <v>18</v>
      </c>
      <c r="CU417" s="35">
        <v>0.03</v>
      </c>
      <c r="CV417" s="36">
        <v>54</v>
      </c>
      <c r="CW417" s="35">
        <v>-0.12</v>
      </c>
      <c r="CX417" s="36">
        <v>12</v>
      </c>
      <c r="CY417" s="35">
        <v>-1.17</v>
      </c>
      <c r="CZ417" s="36">
        <v>17</v>
      </c>
      <c r="DA417" s="35">
        <v>0.06</v>
      </c>
      <c r="DB417" s="36">
        <v>65</v>
      </c>
      <c r="DC417" s="37">
        <v>7021.22</v>
      </c>
      <c r="DD417" s="36">
        <v>100</v>
      </c>
      <c r="DE417" s="37">
        <v>-357.32</v>
      </c>
      <c r="DF417" s="35">
        <v>-4.84</v>
      </c>
      <c r="DG417" s="37">
        <v>10944.41</v>
      </c>
      <c r="DH417" s="36">
        <v>100</v>
      </c>
      <c r="DI417" s="37">
        <v>6884.35</v>
      </c>
      <c r="DJ417" s="36">
        <v>100</v>
      </c>
      <c r="DK417" s="37">
        <v>19415.78</v>
      </c>
      <c r="DL417" s="36">
        <v>100</v>
      </c>
      <c r="DM417" s="37">
        <v>2473.0300000000002</v>
      </c>
      <c r="DN417" s="36">
        <v>100</v>
      </c>
      <c r="DO417" s="37">
        <v>6653.65</v>
      </c>
      <c r="DP417" s="36">
        <v>100</v>
      </c>
      <c r="DQ417" s="36">
        <v>6662605</v>
      </c>
      <c r="DR417" s="38">
        <v>-8979</v>
      </c>
      <c r="DS417" s="35">
        <v>-0.13</v>
      </c>
      <c r="DT417" s="36">
        <v>71703</v>
      </c>
      <c r="DU417" s="38">
        <v>70</v>
      </c>
      <c r="DV417" s="35">
        <v>0.1</v>
      </c>
      <c r="DW417" s="36">
        <v>2381206</v>
      </c>
      <c r="DX417" s="39">
        <v>1917</v>
      </c>
      <c r="DY417" s="35">
        <v>0.08</v>
      </c>
      <c r="DZ417" s="28" t="s">
        <v>178</v>
      </c>
      <c r="EA417" s="34">
        <v>43622</v>
      </c>
      <c r="EB417" s="29">
        <v>319.5</v>
      </c>
      <c r="EC417" s="34">
        <v>42958</v>
      </c>
      <c r="ED417" s="28" t="s">
        <v>173</v>
      </c>
      <c r="EE417" s="40" t="str">
        <f>HYPERLINK("https://my.pitchbook.com?c=52923-70", "View company online")</f>
        <v>View company online</v>
      </c>
    </row>
    <row r="418" spans="1:135">
      <c r="A418" s="15" t="s">
        <v>8707</v>
      </c>
      <c r="B418" s="15" t="s">
        <v>8708</v>
      </c>
      <c r="C418" s="15" t="s">
        <v>138</v>
      </c>
      <c r="D418" s="15" t="s">
        <v>138</v>
      </c>
      <c r="E418" s="15" t="s">
        <v>138</v>
      </c>
      <c r="F418" s="15" t="s">
        <v>8707</v>
      </c>
      <c r="G418" s="15" t="s">
        <v>8709</v>
      </c>
      <c r="H418" s="15" t="s">
        <v>322</v>
      </c>
      <c r="I418" s="15" t="s">
        <v>1503</v>
      </c>
      <c r="J418" s="15" t="s">
        <v>3679</v>
      </c>
      <c r="K418" s="15" t="s">
        <v>8710</v>
      </c>
      <c r="L418" s="15" t="s">
        <v>8711</v>
      </c>
      <c r="M418" s="15" t="s">
        <v>8712</v>
      </c>
      <c r="N418" s="15" t="s">
        <v>147</v>
      </c>
      <c r="O418" s="17">
        <v>42</v>
      </c>
      <c r="P418" s="15" t="s">
        <v>148</v>
      </c>
      <c r="Q418" s="15" t="s">
        <v>149</v>
      </c>
      <c r="R418" s="15" t="s">
        <v>174</v>
      </c>
      <c r="S418" s="15" t="s">
        <v>8713</v>
      </c>
      <c r="T418" s="18" t="s">
        <v>138</v>
      </c>
      <c r="U418" s="15" t="s">
        <v>138</v>
      </c>
      <c r="V418" s="15" t="s">
        <v>138</v>
      </c>
      <c r="W418" s="15" t="s">
        <v>138</v>
      </c>
      <c r="X418" s="19">
        <v>2016</v>
      </c>
      <c r="Y418" s="15" t="s">
        <v>138</v>
      </c>
      <c r="Z418" s="15" t="s">
        <v>138</v>
      </c>
      <c r="AA418" s="15" t="s">
        <v>138</v>
      </c>
      <c r="AB418" s="20" t="s">
        <v>138</v>
      </c>
      <c r="AC418" s="20" t="s">
        <v>138</v>
      </c>
      <c r="AD418" s="20" t="s">
        <v>138</v>
      </c>
      <c r="AE418" s="20" t="s">
        <v>138</v>
      </c>
      <c r="AF418" s="20" t="s">
        <v>138</v>
      </c>
      <c r="AG418" s="15" t="s">
        <v>138</v>
      </c>
      <c r="AH418" s="20" t="s">
        <v>138</v>
      </c>
      <c r="AI418" s="20" t="s">
        <v>138</v>
      </c>
      <c r="AJ418" s="20" t="s">
        <v>138</v>
      </c>
      <c r="AK418" s="15" t="s">
        <v>8714</v>
      </c>
      <c r="AL418" s="15" t="s">
        <v>8715</v>
      </c>
      <c r="AM418" s="15" t="s">
        <v>4269</v>
      </c>
      <c r="AN418" s="15" t="s">
        <v>8716</v>
      </c>
      <c r="AO418" s="15" t="s">
        <v>8717</v>
      </c>
      <c r="AP418" s="15" t="s">
        <v>446</v>
      </c>
      <c r="AQ418" s="15" t="s">
        <v>8718</v>
      </c>
      <c r="AR418" s="15" t="s">
        <v>8719</v>
      </c>
      <c r="AS418" s="15" t="s">
        <v>449</v>
      </c>
      <c r="AT418" s="15" t="s">
        <v>138</v>
      </c>
      <c r="AU418" s="15" t="s">
        <v>138</v>
      </c>
      <c r="AV418" s="15" t="s">
        <v>450</v>
      </c>
      <c r="AW418" s="15" t="s">
        <v>138</v>
      </c>
      <c r="AX418" s="15" t="s">
        <v>138</v>
      </c>
      <c r="AY418" s="15" t="s">
        <v>8720</v>
      </c>
      <c r="AZ418" s="15" t="s">
        <v>452</v>
      </c>
      <c r="BA418" s="15" t="s">
        <v>453</v>
      </c>
      <c r="BB418" s="15" t="s">
        <v>8721</v>
      </c>
      <c r="BC418" s="15" t="s">
        <v>8722</v>
      </c>
      <c r="BD418" s="21">
        <v>6</v>
      </c>
      <c r="BE418" s="15" t="s">
        <v>138</v>
      </c>
      <c r="BF418" s="15" t="s">
        <v>138</v>
      </c>
      <c r="BG418" s="15" t="s">
        <v>138</v>
      </c>
      <c r="BH418" s="15" t="s">
        <v>8723</v>
      </c>
      <c r="BI418" s="15" t="s">
        <v>138</v>
      </c>
      <c r="BJ418" s="15" t="s">
        <v>138</v>
      </c>
      <c r="BK418" s="15" t="s">
        <v>138</v>
      </c>
      <c r="BL418" s="15" t="s">
        <v>8724</v>
      </c>
      <c r="BM418" s="22">
        <v>42461</v>
      </c>
      <c r="BN418" s="17">
        <v>18</v>
      </c>
      <c r="BO418" s="15" t="s">
        <v>172</v>
      </c>
      <c r="BP418" s="17" t="s">
        <v>138</v>
      </c>
      <c r="BQ418" s="15" t="s">
        <v>138</v>
      </c>
      <c r="BR418" s="15" t="s">
        <v>262</v>
      </c>
      <c r="BS418" s="15" t="s">
        <v>262</v>
      </c>
      <c r="BT418" s="15" t="s">
        <v>138</v>
      </c>
      <c r="BU418" s="15" t="s">
        <v>174</v>
      </c>
      <c r="BV418" s="15" t="s">
        <v>138</v>
      </c>
      <c r="BW418" s="15" t="s">
        <v>138</v>
      </c>
      <c r="BX418" s="15" t="s">
        <v>138</v>
      </c>
      <c r="BY418" s="15" t="s">
        <v>175</v>
      </c>
      <c r="BZ418" s="22">
        <v>42979</v>
      </c>
      <c r="CA418" s="17">
        <v>15</v>
      </c>
      <c r="CB418" s="15" t="s">
        <v>172</v>
      </c>
      <c r="CC418" s="17" t="s">
        <v>138</v>
      </c>
      <c r="CD418" s="15" t="s">
        <v>138</v>
      </c>
      <c r="CE418" s="15" t="s">
        <v>205</v>
      </c>
      <c r="CF418" s="15" t="s">
        <v>206</v>
      </c>
      <c r="CG418" s="15" t="s">
        <v>138</v>
      </c>
      <c r="CH418" s="15" t="s">
        <v>174</v>
      </c>
      <c r="CI418" s="15" t="s">
        <v>1328</v>
      </c>
      <c r="CJ418" s="15" t="s">
        <v>138</v>
      </c>
      <c r="CK418" s="15" t="s">
        <v>138</v>
      </c>
      <c r="CL418" s="15" t="s">
        <v>175</v>
      </c>
      <c r="CM418" s="22">
        <v>42979</v>
      </c>
      <c r="CN418" s="17" t="s">
        <v>138</v>
      </c>
      <c r="CO418" s="23">
        <v>0.3</v>
      </c>
      <c r="CP418" s="24">
        <v>94</v>
      </c>
      <c r="CQ418" s="23">
        <v>0.37</v>
      </c>
      <c r="CR418" s="23">
        <v>514.99</v>
      </c>
      <c r="CS418" s="23">
        <v>0.3</v>
      </c>
      <c r="CT418" s="24">
        <v>95</v>
      </c>
      <c r="CU418" s="23" t="s">
        <v>138</v>
      </c>
      <c r="CV418" s="24" t="s">
        <v>138</v>
      </c>
      <c r="CW418" s="23" t="s">
        <v>138</v>
      </c>
      <c r="CX418" s="24" t="s">
        <v>138</v>
      </c>
      <c r="CY418" s="23">
        <v>0.3</v>
      </c>
      <c r="CZ418" s="24">
        <v>98</v>
      </c>
      <c r="DA418" s="23" t="s">
        <v>138</v>
      </c>
      <c r="DB418" s="24" t="s">
        <v>138</v>
      </c>
      <c r="DC418" s="25">
        <v>4.62</v>
      </c>
      <c r="DD418" s="24">
        <v>82</v>
      </c>
      <c r="DE418" s="25">
        <v>-0.03</v>
      </c>
      <c r="DF418" s="23">
        <v>-0.74</v>
      </c>
      <c r="DG418" s="25">
        <v>4.62</v>
      </c>
      <c r="DH418" s="24">
        <v>81</v>
      </c>
      <c r="DI418" s="25" t="s">
        <v>138</v>
      </c>
      <c r="DJ418" s="24" t="s">
        <v>138</v>
      </c>
      <c r="DK418" s="25" t="s">
        <v>138</v>
      </c>
      <c r="DL418" s="24" t="s">
        <v>138</v>
      </c>
      <c r="DM418" s="25">
        <v>4.62</v>
      </c>
      <c r="DN418" s="24">
        <v>80</v>
      </c>
      <c r="DO418" s="25" t="s">
        <v>138</v>
      </c>
      <c r="DP418" s="24" t="s">
        <v>138</v>
      </c>
      <c r="DQ418" s="24">
        <v>64</v>
      </c>
      <c r="DR418" s="26">
        <v>-11</v>
      </c>
      <c r="DS418" s="23">
        <v>-14.67</v>
      </c>
      <c r="DT418" s="24">
        <v>134</v>
      </c>
      <c r="DU418" s="26">
        <v>1</v>
      </c>
      <c r="DV418" s="23">
        <v>0.75</v>
      </c>
      <c r="DW418" s="24" t="s">
        <v>138</v>
      </c>
      <c r="DX418" s="27" t="s">
        <v>138</v>
      </c>
      <c r="DY418" s="23" t="s">
        <v>138</v>
      </c>
      <c r="DZ418" s="15" t="s">
        <v>178</v>
      </c>
      <c r="EA418" s="22">
        <v>43593</v>
      </c>
      <c r="EB418" s="17" t="s">
        <v>138</v>
      </c>
      <c r="EC418" s="22" t="s">
        <v>138</v>
      </c>
      <c r="ED418" s="15" t="s">
        <v>138</v>
      </c>
      <c r="EE418" s="14" t="str">
        <f>HYPERLINK("https://my.pitchbook.com?c=221798-44", "View company online")</f>
        <v>View company online</v>
      </c>
    </row>
    <row r="419" spans="1:135">
      <c r="A419" s="28" t="s">
        <v>8725</v>
      </c>
      <c r="B419" s="28" t="s">
        <v>8726</v>
      </c>
      <c r="C419" s="28" t="s">
        <v>8727</v>
      </c>
      <c r="D419" s="28" t="s">
        <v>8728</v>
      </c>
      <c r="E419" s="28" t="s">
        <v>8729</v>
      </c>
      <c r="F419" s="28" t="s">
        <v>8725</v>
      </c>
      <c r="G419" s="28" t="s">
        <v>8730</v>
      </c>
      <c r="H419" s="28" t="s">
        <v>183</v>
      </c>
      <c r="I419" s="28" t="s">
        <v>184</v>
      </c>
      <c r="J419" s="28" t="s">
        <v>2141</v>
      </c>
      <c r="K419" s="28" t="s">
        <v>8731</v>
      </c>
      <c r="L419" s="28" t="s">
        <v>4186</v>
      </c>
      <c r="M419" s="28" t="s">
        <v>8732</v>
      </c>
      <c r="N419" s="28" t="s">
        <v>147</v>
      </c>
      <c r="O419" s="29">
        <v>31.84</v>
      </c>
      <c r="P419" s="28" t="s">
        <v>1473</v>
      </c>
      <c r="Q419" s="28" t="s">
        <v>149</v>
      </c>
      <c r="R419" s="28" t="s">
        <v>244</v>
      </c>
      <c r="S419" s="28" t="s">
        <v>8733</v>
      </c>
      <c r="T419" s="30">
        <v>89</v>
      </c>
      <c r="U419" s="28" t="s">
        <v>8734</v>
      </c>
      <c r="V419" s="28" t="s">
        <v>138</v>
      </c>
      <c r="W419" s="28" t="s">
        <v>138</v>
      </c>
      <c r="X419" s="31">
        <v>2004</v>
      </c>
      <c r="Y419" s="28" t="s">
        <v>138</v>
      </c>
      <c r="Z419" s="28" t="s">
        <v>138</v>
      </c>
      <c r="AA419" s="28" t="s">
        <v>138</v>
      </c>
      <c r="AB419" s="32" t="s">
        <v>138</v>
      </c>
      <c r="AC419" s="32" t="s">
        <v>138</v>
      </c>
      <c r="AD419" s="32" t="s">
        <v>138</v>
      </c>
      <c r="AE419" s="32" t="s">
        <v>138</v>
      </c>
      <c r="AF419" s="32" t="s">
        <v>138</v>
      </c>
      <c r="AG419" s="28" t="s">
        <v>138</v>
      </c>
      <c r="AH419" s="32" t="s">
        <v>138</v>
      </c>
      <c r="AI419" s="32" t="s">
        <v>138</v>
      </c>
      <c r="AJ419" s="32" t="s">
        <v>138</v>
      </c>
      <c r="AK419" s="28" t="s">
        <v>8735</v>
      </c>
      <c r="AL419" s="28" t="s">
        <v>8736</v>
      </c>
      <c r="AM419" s="28" t="s">
        <v>249</v>
      </c>
      <c r="AN419" s="28" t="s">
        <v>8737</v>
      </c>
      <c r="AO419" s="28" t="s">
        <v>8738</v>
      </c>
      <c r="AP419" s="28" t="s">
        <v>2002</v>
      </c>
      <c r="AQ419" s="28" t="s">
        <v>8739</v>
      </c>
      <c r="AR419" s="28" t="s">
        <v>138</v>
      </c>
      <c r="AS419" s="28" t="s">
        <v>2005</v>
      </c>
      <c r="AT419" s="28" t="s">
        <v>200</v>
      </c>
      <c r="AU419" s="28" t="s">
        <v>2006</v>
      </c>
      <c r="AV419" s="28" t="s">
        <v>162</v>
      </c>
      <c r="AW419" s="28" t="s">
        <v>8740</v>
      </c>
      <c r="AX419" s="28" t="s">
        <v>8741</v>
      </c>
      <c r="AY419" s="28" t="s">
        <v>8742</v>
      </c>
      <c r="AZ419" s="28" t="s">
        <v>164</v>
      </c>
      <c r="BA419" s="28" t="s">
        <v>165</v>
      </c>
      <c r="BB419" s="28" t="s">
        <v>8743</v>
      </c>
      <c r="BC419" s="28" t="s">
        <v>138</v>
      </c>
      <c r="BD419" s="33" t="s">
        <v>138</v>
      </c>
      <c r="BE419" s="28" t="s">
        <v>138</v>
      </c>
      <c r="BF419" s="28" t="s">
        <v>8744</v>
      </c>
      <c r="BG419" s="28" t="s">
        <v>138</v>
      </c>
      <c r="BH419" s="28" t="s">
        <v>138</v>
      </c>
      <c r="BI419" s="28" t="s">
        <v>8745</v>
      </c>
      <c r="BJ419" s="28" t="s">
        <v>138</v>
      </c>
      <c r="BK419" s="28" t="s">
        <v>8746</v>
      </c>
      <c r="BL419" s="28" t="s">
        <v>1275</v>
      </c>
      <c r="BM419" s="34">
        <v>38344</v>
      </c>
      <c r="BN419" s="29">
        <v>0.3</v>
      </c>
      <c r="BO419" s="28" t="s">
        <v>172</v>
      </c>
      <c r="BP419" s="29" t="s">
        <v>138</v>
      </c>
      <c r="BQ419" s="28" t="s">
        <v>138</v>
      </c>
      <c r="BR419" s="28" t="s">
        <v>234</v>
      </c>
      <c r="BS419" s="28" t="s">
        <v>234</v>
      </c>
      <c r="BT419" s="28" t="s">
        <v>138</v>
      </c>
      <c r="BU419" s="28" t="s">
        <v>263</v>
      </c>
      <c r="BV419" s="28" t="s">
        <v>138</v>
      </c>
      <c r="BW419" s="28" t="s">
        <v>138</v>
      </c>
      <c r="BX419" s="28" t="s">
        <v>138</v>
      </c>
      <c r="BY419" s="28" t="s">
        <v>175</v>
      </c>
      <c r="BZ419" s="34">
        <v>42933</v>
      </c>
      <c r="CA419" s="29">
        <v>31.84</v>
      </c>
      <c r="CB419" s="28" t="s">
        <v>172</v>
      </c>
      <c r="CC419" s="29" t="s">
        <v>138</v>
      </c>
      <c r="CD419" s="28" t="s">
        <v>138</v>
      </c>
      <c r="CE419" s="28" t="s">
        <v>173</v>
      </c>
      <c r="CF419" s="28" t="s">
        <v>138</v>
      </c>
      <c r="CG419" s="28" t="s">
        <v>138</v>
      </c>
      <c r="CH419" s="28" t="s">
        <v>174</v>
      </c>
      <c r="CI419" s="28" t="s">
        <v>138</v>
      </c>
      <c r="CJ419" s="28" t="s">
        <v>138</v>
      </c>
      <c r="CK419" s="28" t="s">
        <v>138</v>
      </c>
      <c r="CL419" s="28" t="s">
        <v>175</v>
      </c>
      <c r="CM419" s="34" t="s">
        <v>138</v>
      </c>
      <c r="CN419" s="29" t="s">
        <v>138</v>
      </c>
      <c r="CO419" s="35">
        <v>-0.59</v>
      </c>
      <c r="CP419" s="36">
        <v>15</v>
      </c>
      <c r="CQ419" s="35">
        <v>-0.01</v>
      </c>
      <c r="CR419" s="35">
        <v>-2.5</v>
      </c>
      <c r="CS419" s="35">
        <v>-1.1000000000000001</v>
      </c>
      <c r="CT419" s="36">
        <v>14</v>
      </c>
      <c r="CU419" s="35">
        <v>-7.0000000000000007E-2</v>
      </c>
      <c r="CV419" s="36">
        <v>7</v>
      </c>
      <c r="CW419" s="35">
        <v>0</v>
      </c>
      <c r="CX419" s="36">
        <v>13</v>
      </c>
      <c r="CY419" s="35">
        <v>-2.2000000000000002</v>
      </c>
      <c r="CZ419" s="36">
        <v>10</v>
      </c>
      <c r="DA419" s="35">
        <v>-7.0000000000000007E-2</v>
      </c>
      <c r="DB419" s="36">
        <v>9</v>
      </c>
      <c r="DC419" s="37">
        <v>3.14</v>
      </c>
      <c r="DD419" s="36">
        <v>76</v>
      </c>
      <c r="DE419" s="37">
        <v>-0.04</v>
      </c>
      <c r="DF419" s="35">
        <v>-1.1599999999999999</v>
      </c>
      <c r="DG419" s="37">
        <v>5.3</v>
      </c>
      <c r="DH419" s="36">
        <v>83</v>
      </c>
      <c r="DI419" s="37">
        <v>0.98</v>
      </c>
      <c r="DJ419" s="36">
        <v>49</v>
      </c>
      <c r="DK419" s="37">
        <v>1.45</v>
      </c>
      <c r="DL419" s="36">
        <v>58</v>
      </c>
      <c r="DM419" s="37">
        <v>9.14</v>
      </c>
      <c r="DN419" s="36">
        <v>88</v>
      </c>
      <c r="DO419" s="37">
        <v>0.98</v>
      </c>
      <c r="DP419" s="36">
        <v>50</v>
      </c>
      <c r="DQ419" s="36">
        <v>489</v>
      </c>
      <c r="DR419" s="38">
        <v>30</v>
      </c>
      <c r="DS419" s="35">
        <v>6.54</v>
      </c>
      <c r="DT419" s="36">
        <v>264</v>
      </c>
      <c r="DU419" s="38">
        <v>0</v>
      </c>
      <c r="DV419" s="35">
        <v>0</v>
      </c>
      <c r="DW419" s="36">
        <v>351</v>
      </c>
      <c r="DX419" s="39">
        <v>-1</v>
      </c>
      <c r="DY419" s="35">
        <v>-0.28000000000000003</v>
      </c>
      <c r="DZ419" s="28" t="s">
        <v>178</v>
      </c>
      <c r="EA419" s="34">
        <v>43453</v>
      </c>
      <c r="EB419" s="29">
        <v>119.82</v>
      </c>
      <c r="EC419" s="34">
        <v>41750</v>
      </c>
      <c r="ED419" s="28" t="s">
        <v>173</v>
      </c>
      <c r="EE419" s="40" t="str">
        <f>HYPERLINK("https://my.pitchbook.com?c=53483-50", "View company online")</f>
        <v>View company online</v>
      </c>
    </row>
    <row r="420" spans="1:135">
      <c r="A420" s="15" t="s">
        <v>8747</v>
      </c>
      <c r="B420" s="15" t="s">
        <v>8748</v>
      </c>
      <c r="C420" s="15" t="s">
        <v>138</v>
      </c>
      <c r="D420" s="15" t="s">
        <v>138</v>
      </c>
      <c r="E420" s="15" t="s">
        <v>138</v>
      </c>
      <c r="F420" s="15" t="s">
        <v>8747</v>
      </c>
      <c r="G420" s="15" t="s">
        <v>8749</v>
      </c>
      <c r="H420" s="15" t="s">
        <v>238</v>
      </c>
      <c r="I420" s="15" t="s">
        <v>749</v>
      </c>
      <c r="J420" s="15" t="s">
        <v>750</v>
      </c>
      <c r="K420" s="15" t="s">
        <v>5196</v>
      </c>
      <c r="L420" s="15" t="s">
        <v>4703</v>
      </c>
      <c r="M420" s="15" t="s">
        <v>8750</v>
      </c>
      <c r="N420" s="15" t="s">
        <v>147</v>
      </c>
      <c r="O420" s="17">
        <v>2.5</v>
      </c>
      <c r="P420" s="15" t="s">
        <v>148</v>
      </c>
      <c r="Q420" s="15" t="s">
        <v>149</v>
      </c>
      <c r="R420" s="15" t="s">
        <v>174</v>
      </c>
      <c r="S420" s="15" t="s">
        <v>8751</v>
      </c>
      <c r="T420" s="18" t="s">
        <v>138</v>
      </c>
      <c r="U420" s="15" t="s">
        <v>138</v>
      </c>
      <c r="V420" s="15" t="s">
        <v>138</v>
      </c>
      <c r="W420" s="15" t="s">
        <v>138</v>
      </c>
      <c r="X420" s="19">
        <v>2016</v>
      </c>
      <c r="Y420" s="15" t="s">
        <v>138</v>
      </c>
      <c r="Z420" s="15" t="s">
        <v>138</v>
      </c>
      <c r="AA420" s="15" t="s">
        <v>138</v>
      </c>
      <c r="AB420" s="20" t="s">
        <v>138</v>
      </c>
      <c r="AC420" s="20" t="s">
        <v>138</v>
      </c>
      <c r="AD420" s="20" t="s">
        <v>138</v>
      </c>
      <c r="AE420" s="20" t="s">
        <v>138</v>
      </c>
      <c r="AF420" s="20" t="s">
        <v>138</v>
      </c>
      <c r="AG420" s="15" t="s">
        <v>138</v>
      </c>
      <c r="AH420" s="20" t="s">
        <v>138</v>
      </c>
      <c r="AI420" s="20" t="s">
        <v>138</v>
      </c>
      <c r="AJ420" s="20" t="s">
        <v>138</v>
      </c>
      <c r="AK420" s="15" t="s">
        <v>8752</v>
      </c>
      <c r="AL420" s="15" t="s">
        <v>8753</v>
      </c>
      <c r="AM420" s="15" t="s">
        <v>221</v>
      </c>
      <c r="AN420" s="15" t="s">
        <v>8754</v>
      </c>
      <c r="AO420" s="15" t="s">
        <v>8755</v>
      </c>
      <c r="AP420" s="15" t="s">
        <v>423</v>
      </c>
      <c r="AQ420" s="15" t="s">
        <v>8756</v>
      </c>
      <c r="AR420" s="15" t="s">
        <v>138</v>
      </c>
      <c r="AS420" s="15" t="s">
        <v>426</v>
      </c>
      <c r="AT420" s="15" t="s">
        <v>426</v>
      </c>
      <c r="AU420" s="15" t="s">
        <v>8757</v>
      </c>
      <c r="AV420" s="15" t="s">
        <v>162</v>
      </c>
      <c r="AW420" s="15" t="s">
        <v>8755</v>
      </c>
      <c r="AX420" s="15" t="s">
        <v>138</v>
      </c>
      <c r="AY420" s="15" t="s">
        <v>8758</v>
      </c>
      <c r="AZ420" s="15" t="s">
        <v>164</v>
      </c>
      <c r="BA420" s="15" t="s">
        <v>165</v>
      </c>
      <c r="BB420" s="15" t="s">
        <v>8759</v>
      </c>
      <c r="BC420" s="15" t="s">
        <v>8760</v>
      </c>
      <c r="BD420" s="21">
        <v>3</v>
      </c>
      <c r="BE420" s="15" t="s">
        <v>138</v>
      </c>
      <c r="BF420" s="15" t="s">
        <v>138</v>
      </c>
      <c r="BG420" s="15" t="s">
        <v>138</v>
      </c>
      <c r="BH420" s="15" t="s">
        <v>8761</v>
      </c>
      <c r="BI420" s="15" t="s">
        <v>138</v>
      </c>
      <c r="BJ420" s="15" t="s">
        <v>138</v>
      </c>
      <c r="BK420" s="15" t="s">
        <v>4278</v>
      </c>
      <c r="BL420" s="15" t="s">
        <v>8762</v>
      </c>
      <c r="BM420" s="22" t="s">
        <v>138</v>
      </c>
      <c r="BN420" s="17">
        <v>0.03</v>
      </c>
      <c r="BO420" s="15" t="s">
        <v>172</v>
      </c>
      <c r="BP420" s="17" t="s">
        <v>138</v>
      </c>
      <c r="BQ420" s="15" t="s">
        <v>138</v>
      </c>
      <c r="BR420" s="15" t="s">
        <v>176</v>
      </c>
      <c r="BS420" s="15" t="s">
        <v>138</v>
      </c>
      <c r="BT420" s="15" t="s">
        <v>138</v>
      </c>
      <c r="BU420" s="15" t="s">
        <v>177</v>
      </c>
      <c r="BV420" s="15" t="s">
        <v>138</v>
      </c>
      <c r="BW420" s="15" t="s">
        <v>138</v>
      </c>
      <c r="BX420" s="15" t="s">
        <v>138</v>
      </c>
      <c r="BY420" s="15" t="s">
        <v>175</v>
      </c>
      <c r="BZ420" s="22">
        <v>43241</v>
      </c>
      <c r="CA420" s="17">
        <v>2.5</v>
      </c>
      <c r="CB420" s="15" t="s">
        <v>172</v>
      </c>
      <c r="CC420" s="17">
        <v>5.0999999999999996</v>
      </c>
      <c r="CD420" s="15" t="s">
        <v>172</v>
      </c>
      <c r="CE420" s="15" t="s">
        <v>234</v>
      </c>
      <c r="CF420" s="15" t="s">
        <v>234</v>
      </c>
      <c r="CG420" s="15" t="s">
        <v>138</v>
      </c>
      <c r="CH420" s="15" t="s">
        <v>174</v>
      </c>
      <c r="CI420" s="15" t="s">
        <v>138</v>
      </c>
      <c r="CJ420" s="15" t="s">
        <v>138</v>
      </c>
      <c r="CK420" s="15" t="s">
        <v>138</v>
      </c>
      <c r="CL420" s="15" t="s">
        <v>175</v>
      </c>
      <c r="CM420" s="22" t="s">
        <v>138</v>
      </c>
      <c r="CN420" s="17" t="s">
        <v>138</v>
      </c>
      <c r="CO420" s="23">
        <v>0.35</v>
      </c>
      <c r="CP420" s="24">
        <v>94</v>
      </c>
      <c r="CQ420" s="23">
        <v>-0.26</v>
      </c>
      <c r="CR420" s="23">
        <v>-43.05</v>
      </c>
      <c r="CS420" s="23" t="s">
        <v>138</v>
      </c>
      <c r="CT420" s="24" t="s">
        <v>138</v>
      </c>
      <c r="CU420" s="23">
        <v>0.35</v>
      </c>
      <c r="CV420" s="24">
        <v>89</v>
      </c>
      <c r="CW420" s="23" t="s">
        <v>138</v>
      </c>
      <c r="CX420" s="24" t="s">
        <v>138</v>
      </c>
      <c r="CY420" s="23" t="s">
        <v>138</v>
      </c>
      <c r="CZ420" s="24" t="s">
        <v>138</v>
      </c>
      <c r="DA420" s="23">
        <v>0.35</v>
      </c>
      <c r="DB420" s="24">
        <v>90</v>
      </c>
      <c r="DC420" s="25">
        <v>0.51</v>
      </c>
      <c r="DD420" s="24">
        <v>34</v>
      </c>
      <c r="DE420" s="25">
        <v>-0.89</v>
      </c>
      <c r="DF420" s="23">
        <v>-63.63</v>
      </c>
      <c r="DG420" s="25" t="s">
        <v>138</v>
      </c>
      <c r="DH420" s="24" t="s">
        <v>138</v>
      </c>
      <c r="DI420" s="25">
        <v>0.51</v>
      </c>
      <c r="DJ420" s="24">
        <v>37</v>
      </c>
      <c r="DK420" s="25" t="s">
        <v>138</v>
      </c>
      <c r="DL420" s="24" t="s">
        <v>138</v>
      </c>
      <c r="DM420" s="25" t="s">
        <v>138</v>
      </c>
      <c r="DN420" s="24" t="s">
        <v>138</v>
      </c>
      <c r="DO420" s="25">
        <v>0.51</v>
      </c>
      <c r="DP420" s="24">
        <v>38</v>
      </c>
      <c r="DQ420" s="24" t="s">
        <v>138</v>
      </c>
      <c r="DR420" s="26" t="s">
        <v>138</v>
      </c>
      <c r="DS420" s="23" t="s">
        <v>138</v>
      </c>
      <c r="DT420" s="24" t="s">
        <v>138</v>
      </c>
      <c r="DU420" s="26" t="s">
        <v>138</v>
      </c>
      <c r="DV420" s="23" t="s">
        <v>138</v>
      </c>
      <c r="DW420" s="24">
        <v>183</v>
      </c>
      <c r="DX420" s="27">
        <v>0</v>
      </c>
      <c r="DY420" s="23">
        <v>0</v>
      </c>
      <c r="DZ420" s="15" t="s">
        <v>178</v>
      </c>
      <c r="EA420" s="22">
        <v>43524</v>
      </c>
      <c r="EB420" s="17">
        <v>5.0999999999999996</v>
      </c>
      <c r="EC420" s="22">
        <v>43241</v>
      </c>
      <c r="ED420" s="15" t="s">
        <v>234</v>
      </c>
      <c r="EE420" s="14" t="str">
        <f>HYPERLINK("https://my.pitchbook.com?c=228905-92", "View company online")</f>
        <v>View company online</v>
      </c>
    </row>
    <row r="421" spans="1:135">
      <c r="A421" s="28" t="s">
        <v>8763</v>
      </c>
      <c r="B421" s="28" t="s">
        <v>8764</v>
      </c>
      <c r="C421" s="28" t="s">
        <v>138</v>
      </c>
      <c r="D421" s="28" t="s">
        <v>138</v>
      </c>
      <c r="E421" s="28" t="s">
        <v>138</v>
      </c>
      <c r="F421" s="28" t="s">
        <v>8763</v>
      </c>
      <c r="G421" s="28" t="s">
        <v>8765</v>
      </c>
      <c r="H421" s="28" t="s">
        <v>322</v>
      </c>
      <c r="I421" s="28" t="s">
        <v>356</v>
      </c>
      <c r="J421" s="28" t="s">
        <v>3852</v>
      </c>
      <c r="K421" s="28" t="s">
        <v>8766</v>
      </c>
      <c r="L421" s="28" t="s">
        <v>415</v>
      </c>
      <c r="M421" s="28" t="s">
        <v>8767</v>
      </c>
      <c r="N421" s="28" t="s">
        <v>147</v>
      </c>
      <c r="O421" s="29">
        <v>16.71</v>
      </c>
      <c r="P421" s="28" t="s">
        <v>148</v>
      </c>
      <c r="Q421" s="28" t="s">
        <v>149</v>
      </c>
      <c r="R421" s="28" t="s">
        <v>174</v>
      </c>
      <c r="S421" s="28" t="s">
        <v>8768</v>
      </c>
      <c r="T421" s="30" t="s">
        <v>138</v>
      </c>
      <c r="U421" s="28" t="s">
        <v>138</v>
      </c>
      <c r="V421" s="28" t="s">
        <v>138</v>
      </c>
      <c r="W421" s="28" t="s">
        <v>138</v>
      </c>
      <c r="X421" s="31" t="s">
        <v>138</v>
      </c>
      <c r="Y421" s="28" t="s">
        <v>138</v>
      </c>
      <c r="Z421" s="28" t="s">
        <v>138</v>
      </c>
      <c r="AA421" s="28" t="s">
        <v>138</v>
      </c>
      <c r="AB421" s="32">
        <v>0.47</v>
      </c>
      <c r="AC421" s="32" t="s">
        <v>138</v>
      </c>
      <c r="AD421" s="32" t="s">
        <v>138</v>
      </c>
      <c r="AE421" s="32" t="s">
        <v>138</v>
      </c>
      <c r="AF421" s="32" t="s">
        <v>138</v>
      </c>
      <c r="AG421" s="28" t="s">
        <v>563</v>
      </c>
      <c r="AH421" s="32" t="s">
        <v>138</v>
      </c>
      <c r="AI421" s="32" t="s">
        <v>138</v>
      </c>
      <c r="AJ421" s="32" t="s">
        <v>138</v>
      </c>
      <c r="AK421" s="28" t="s">
        <v>8769</v>
      </c>
      <c r="AL421" s="28" t="s">
        <v>8770</v>
      </c>
      <c r="AM421" s="28" t="s">
        <v>2949</v>
      </c>
      <c r="AN421" s="28" t="s">
        <v>138</v>
      </c>
      <c r="AO421" s="28" t="s">
        <v>8771</v>
      </c>
      <c r="AP421" s="28" t="s">
        <v>3668</v>
      </c>
      <c r="AQ421" s="28" t="s">
        <v>8772</v>
      </c>
      <c r="AR421" s="28" t="s">
        <v>3159</v>
      </c>
      <c r="AS421" s="28" t="s">
        <v>3670</v>
      </c>
      <c r="AT421" s="28" t="s">
        <v>200</v>
      </c>
      <c r="AU421" s="28" t="s">
        <v>8773</v>
      </c>
      <c r="AV421" s="28" t="s">
        <v>162</v>
      </c>
      <c r="AW421" s="28" t="s">
        <v>8774</v>
      </c>
      <c r="AX421" s="28" t="s">
        <v>138</v>
      </c>
      <c r="AY421" s="28" t="s">
        <v>8775</v>
      </c>
      <c r="AZ421" s="28" t="s">
        <v>164</v>
      </c>
      <c r="BA421" s="28" t="s">
        <v>165</v>
      </c>
      <c r="BB421" s="28" t="s">
        <v>8776</v>
      </c>
      <c r="BC421" s="28" t="s">
        <v>8777</v>
      </c>
      <c r="BD421" s="33">
        <v>4</v>
      </c>
      <c r="BE421" s="28" t="s">
        <v>138</v>
      </c>
      <c r="BF421" s="28" t="s">
        <v>138</v>
      </c>
      <c r="BG421" s="28" t="s">
        <v>138</v>
      </c>
      <c r="BH421" s="28" t="s">
        <v>8778</v>
      </c>
      <c r="BI421" s="28" t="s">
        <v>138</v>
      </c>
      <c r="BJ421" s="28" t="s">
        <v>138</v>
      </c>
      <c r="BK421" s="28" t="s">
        <v>3482</v>
      </c>
      <c r="BL421" s="28" t="s">
        <v>8779</v>
      </c>
      <c r="BM421" s="34">
        <v>41675</v>
      </c>
      <c r="BN421" s="29">
        <v>1.39</v>
      </c>
      <c r="BO421" s="28" t="s">
        <v>172</v>
      </c>
      <c r="BP421" s="29">
        <v>2.11</v>
      </c>
      <c r="BQ421" s="28" t="s">
        <v>1178</v>
      </c>
      <c r="BR421" s="28" t="s">
        <v>205</v>
      </c>
      <c r="BS421" s="28" t="s">
        <v>206</v>
      </c>
      <c r="BT421" s="28" t="s">
        <v>138</v>
      </c>
      <c r="BU421" s="28" t="s">
        <v>174</v>
      </c>
      <c r="BV421" s="28" t="s">
        <v>138</v>
      </c>
      <c r="BW421" s="28" t="s">
        <v>138</v>
      </c>
      <c r="BX421" s="28" t="s">
        <v>138</v>
      </c>
      <c r="BY421" s="28" t="s">
        <v>175</v>
      </c>
      <c r="BZ421" s="34">
        <v>43160</v>
      </c>
      <c r="CA421" s="29">
        <v>0.42</v>
      </c>
      <c r="CB421" s="28" t="s">
        <v>172</v>
      </c>
      <c r="CC421" s="29" t="s">
        <v>138</v>
      </c>
      <c r="CD421" s="28" t="s">
        <v>138</v>
      </c>
      <c r="CE421" s="28" t="s">
        <v>173</v>
      </c>
      <c r="CF421" s="28" t="s">
        <v>138</v>
      </c>
      <c r="CG421" s="28" t="s">
        <v>138</v>
      </c>
      <c r="CH421" s="28" t="s">
        <v>174</v>
      </c>
      <c r="CI421" s="28" t="s">
        <v>264</v>
      </c>
      <c r="CJ421" s="28" t="s">
        <v>138</v>
      </c>
      <c r="CK421" s="28" t="s">
        <v>138</v>
      </c>
      <c r="CL421" s="28" t="s">
        <v>352</v>
      </c>
      <c r="CM421" s="34" t="s">
        <v>138</v>
      </c>
      <c r="CN421" s="29" t="s">
        <v>138</v>
      </c>
      <c r="CO421" s="35" t="s">
        <v>138</v>
      </c>
      <c r="CP421" s="36" t="s">
        <v>138</v>
      </c>
      <c r="CQ421" s="35" t="s">
        <v>138</v>
      </c>
      <c r="CR421" s="35" t="s">
        <v>138</v>
      </c>
      <c r="CS421" s="35" t="s">
        <v>138</v>
      </c>
      <c r="CT421" s="36" t="s">
        <v>138</v>
      </c>
      <c r="CU421" s="35" t="s">
        <v>138</v>
      </c>
      <c r="CV421" s="36" t="s">
        <v>138</v>
      </c>
      <c r="CW421" s="35" t="s">
        <v>138</v>
      </c>
      <c r="CX421" s="36" t="s">
        <v>138</v>
      </c>
      <c r="CY421" s="35" t="s">
        <v>138</v>
      </c>
      <c r="CZ421" s="36" t="s">
        <v>138</v>
      </c>
      <c r="DA421" s="35" t="s">
        <v>138</v>
      </c>
      <c r="DB421" s="36" t="s">
        <v>138</v>
      </c>
      <c r="DC421" s="37" t="s">
        <v>138</v>
      </c>
      <c r="DD421" s="36" t="s">
        <v>138</v>
      </c>
      <c r="DE421" s="37" t="s">
        <v>138</v>
      </c>
      <c r="DF421" s="35" t="s">
        <v>138</v>
      </c>
      <c r="DG421" s="37" t="s">
        <v>138</v>
      </c>
      <c r="DH421" s="36" t="s">
        <v>138</v>
      </c>
      <c r="DI421" s="37" t="s">
        <v>138</v>
      </c>
      <c r="DJ421" s="36" t="s">
        <v>138</v>
      </c>
      <c r="DK421" s="37" t="s">
        <v>138</v>
      </c>
      <c r="DL421" s="36" t="s">
        <v>138</v>
      </c>
      <c r="DM421" s="37" t="s">
        <v>138</v>
      </c>
      <c r="DN421" s="36" t="s">
        <v>138</v>
      </c>
      <c r="DO421" s="37" t="s">
        <v>138</v>
      </c>
      <c r="DP421" s="36" t="s">
        <v>138</v>
      </c>
      <c r="DQ421" s="36" t="s">
        <v>138</v>
      </c>
      <c r="DR421" s="38" t="s">
        <v>138</v>
      </c>
      <c r="DS421" s="35" t="s">
        <v>138</v>
      </c>
      <c r="DT421" s="36" t="s">
        <v>138</v>
      </c>
      <c r="DU421" s="38" t="s">
        <v>138</v>
      </c>
      <c r="DV421" s="35" t="s">
        <v>138</v>
      </c>
      <c r="DW421" s="36" t="s">
        <v>138</v>
      </c>
      <c r="DX421" s="39" t="s">
        <v>138</v>
      </c>
      <c r="DY421" s="35" t="s">
        <v>138</v>
      </c>
      <c r="DZ421" s="28" t="s">
        <v>178</v>
      </c>
      <c r="EA421" s="34">
        <v>43622</v>
      </c>
      <c r="EB421" s="29">
        <v>26.16</v>
      </c>
      <c r="EC421" s="34">
        <v>42755</v>
      </c>
      <c r="ED421" s="28" t="s">
        <v>173</v>
      </c>
      <c r="EE421" s="40" t="str">
        <f>HYPERLINK("https://my.pitchbook.com?c=89712-10", "View company online")</f>
        <v>View company online</v>
      </c>
    </row>
    <row r="422" spans="1:135">
      <c r="A422" s="15" t="s">
        <v>8780</v>
      </c>
      <c r="B422" s="15" t="s">
        <v>8781</v>
      </c>
      <c r="C422" s="15" t="s">
        <v>138</v>
      </c>
      <c r="D422" s="15" t="s">
        <v>138</v>
      </c>
      <c r="E422" s="15" t="s">
        <v>8782</v>
      </c>
      <c r="F422" s="15" t="s">
        <v>8780</v>
      </c>
      <c r="G422" s="15" t="s">
        <v>8783</v>
      </c>
      <c r="H422" s="15" t="s">
        <v>322</v>
      </c>
      <c r="I422" s="15" t="s">
        <v>1208</v>
      </c>
      <c r="J422" s="15" t="s">
        <v>5393</v>
      </c>
      <c r="K422" s="15" t="s">
        <v>8784</v>
      </c>
      <c r="L422" s="15" t="s">
        <v>415</v>
      </c>
      <c r="M422" s="15" t="s">
        <v>8785</v>
      </c>
      <c r="N422" s="15" t="s">
        <v>147</v>
      </c>
      <c r="O422" s="17">
        <v>79.290000000000006</v>
      </c>
      <c r="P422" s="15" t="s">
        <v>148</v>
      </c>
      <c r="Q422" s="15" t="s">
        <v>149</v>
      </c>
      <c r="R422" s="15" t="s">
        <v>174</v>
      </c>
      <c r="S422" s="15" t="s">
        <v>8786</v>
      </c>
      <c r="T422" s="18">
        <v>81</v>
      </c>
      <c r="U422" s="15" t="s">
        <v>8787</v>
      </c>
      <c r="V422" s="15" t="s">
        <v>138</v>
      </c>
      <c r="W422" s="15" t="s">
        <v>138</v>
      </c>
      <c r="X422" s="19">
        <v>1996</v>
      </c>
      <c r="Y422" s="15" t="s">
        <v>138</v>
      </c>
      <c r="Z422" s="15" t="s">
        <v>1163</v>
      </c>
      <c r="AA422" s="15" t="s">
        <v>1163</v>
      </c>
      <c r="AB422" s="20">
        <v>16.25</v>
      </c>
      <c r="AC422" s="20">
        <v>15.36</v>
      </c>
      <c r="AD422" s="20">
        <v>-2.41</v>
      </c>
      <c r="AE422" s="20" t="s">
        <v>138</v>
      </c>
      <c r="AF422" s="20" t="s">
        <v>138</v>
      </c>
      <c r="AG422" s="15" t="s">
        <v>5263</v>
      </c>
      <c r="AH422" s="20" t="s">
        <v>138</v>
      </c>
      <c r="AI422" s="20" t="s">
        <v>138</v>
      </c>
      <c r="AJ422" s="20" t="s">
        <v>138</v>
      </c>
      <c r="AK422" s="15" t="s">
        <v>8788</v>
      </c>
      <c r="AL422" s="15" t="s">
        <v>8789</v>
      </c>
      <c r="AM422" s="15" t="s">
        <v>249</v>
      </c>
      <c r="AN422" s="15" t="s">
        <v>8790</v>
      </c>
      <c r="AO422" s="15" t="s">
        <v>8791</v>
      </c>
      <c r="AP422" s="15" t="s">
        <v>1220</v>
      </c>
      <c r="AQ422" s="15" t="s">
        <v>8792</v>
      </c>
      <c r="AR422" s="15" t="s">
        <v>158</v>
      </c>
      <c r="AS422" s="15" t="s">
        <v>1223</v>
      </c>
      <c r="AT422" s="15" t="s">
        <v>200</v>
      </c>
      <c r="AU422" s="15" t="s">
        <v>5087</v>
      </c>
      <c r="AV422" s="15" t="s">
        <v>162</v>
      </c>
      <c r="AW422" s="15" t="s">
        <v>8791</v>
      </c>
      <c r="AX422" s="15" t="s">
        <v>138</v>
      </c>
      <c r="AY422" s="15" t="s">
        <v>8793</v>
      </c>
      <c r="AZ422" s="15" t="s">
        <v>164</v>
      </c>
      <c r="BA422" s="15" t="s">
        <v>165</v>
      </c>
      <c r="BB422" s="15" t="s">
        <v>8794</v>
      </c>
      <c r="BC422" s="15" t="s">
        <v>8795</v>
      </c>
      <c r="BD422" s="21">
        <v>13</v>
      </c>
      <c r="BE422" s="15" t="s">
        <v>138</v>
      </c>
      <c r="BF422" s="15" t="s">
        <v>8796</v>
      </c>
      <c r="BG422" s="15" t="s">
        <v>138</v>
      </c>
      <c r="BH422" s="15" t="s">
        <v>8797</v>
      </c>
      <c r="BI422" s="15" t="s">
        <v>8798</v>
      </c>
      <c r="BJ422" s="15" t="s">
        <v>138</v>
      </c>
      <c r="BK422" s="15" t="s">
        <v>138</v>
      </c>
      <c r="BL422" s="15" t="s">
        <v>8799</v>
      </c>
      <c r="BM422" s="22">
        <v>36256</v>
      </c>
      <c r="BN422" s="17">
        <v>5</v>
      </c>
      <c r="BO422" s="15" t="s">
        <v>172</v>
      </c>
      <c r="BP422" s="17">
        <v>42.25</v>
      </c>
      <c r="BQ422" s="15" t="s">
        <v>172</v>
      </c>
      <c r="BR422" s="15" t="s">
        <v>205</v>
      </c>
      <c r="BS422" s="15" t="s">
        <v>206</v>
      </c>
      <c r="BT422" s="15" t="s">
        <v>138</v>
      </c>
      <c r="BU422" s="15" t="s">
        <v>174</v>
      </c>
      <c r="BV422" s="15" t="s">
        <v>138</v>
      </c>
      <c r="BW422" s="15" t="s">
        <v>138</v>
      </c>
      <c r="BX422" s="15" t="s">
        <v>138</v>
      </c>
      <c r="BY422" s="15" t="s">
        <v>175</v>
      </c>
      <c r="BZ422" s="22">
        <v>39622</v>
      </c>
      <c r="CA422" s="17">
        <v>80</v>
      </c>
      <c r="CB422" s="15" t="s">
        <v>172</v>
      </c>
      <c r="CC422" s="17" t="s">
        <v>138</v>
      </c>
      <c r="CD422" s="15" t="s">
        <v>138</v>
      </c>
      <c r="CE422" s="15" t="s">
        <v>7613</v>
      </c>
      <c r="CF422" s="15" t="s">
        <v>138</v>
      </c>
      <c r="CG422" s="15" t="s">
        <v>138</v>
      </c>
      <c r="CH422" s="15" t="s">
        <v>7614</v>
      </c>
      <c r="CI422" s="15" t="s">
        <v>138</v>
      </c>
      <c r="CJ422" s="15" t="s">
        <v>138</v>
      </c>
      <c r="CK422" s="15" t="s">
        <v>138</v>
      </c>
      <c r="CL422" s="15" t="s">
        <v>1831</v>
      </c>
      <c r="CM422" s="22">
        <v>38718</v>
      </c>
      <c r="CN422" s="17" t="s">
        <v>138</v>
      </c>
      <c r="CO422" s="23">
        <v>-0.44</v>
      </c>
      <c r="CP422" s="24">
        <v>17</v>
      </c>
      <c r="CQ422" s="23">
        <v>0</v>
      </c>
      <c r="CR422" s="23">
        <v>-0.9</v>
      </c>
      <c r="CS422" s="23">
        <v>-1.01</v>
      </c>
      <c r="CT422" s="24">
        <v>15</v>
      </c>
      <c r="CU422" s="23">
        <v>0.14000000000000001</v>
      </c>
      <c r="CV422" s="24">
        <v>74</v>
      </c>
      <c r="CW422" s="23">
        <v>0</v>
      </c>
      <c r="CX422" s="24">
        <v>13</v>
      </c>
      <c r="CY422" s="23">
        <v>-2.02</v>
      </c>
      <c r="CZ422" s="24">
        <v>11</v>
      </c>
      <c r="DA422" s="23">
        <v>0.14000000000000001</v>
      </c>
      <c r="DB422" s="24">
        <v>77</v>
      </c>
      <c r="DC422" s="25">
        <v>3.7</v>
      </c>
      <c r="DD422" s="24">
        <v>78</v>
      </c>
      <c r="DE422" s="25">
        <v>-0.06</v>
      </c>
      <c r="DF422" s="23">
        <v>-1.55</v>
      </c>
      <c r="DG422" s="25">
        <v>4.82</v>
      </c>
      <c r="DH422" s="24">
        <v>82</v>
      </c>
      <c r="DI422" s="25">
        <v>2.58</v>
      </c>
      <c r="DJ422" s="24">
        <v>67</v>
      </c>
      <c r="DK422" s="25">
        <v>1.19</v>
      </c>
      <c r="DL422" s="24">
        <v>54</v>
      </c>
      <c r="DM422" s="25">
        <v>8.4499999999999993</v>
      </c>
      <c r="DN422" s="24">
        <v>87</v>
      </c>
      <c r="DO422" s="25">
        <v>2.58</v>
      </c>
      <c r="DP422" s="24">
        <v>68</v>
      </c>
      <c r="DQ422" s="24">
        <v>399</v>
      </c>
      <c r="DR422" s="26">
        <v>24</v>
      </c>
      <c r="DS422" s="23">
        <v>6.4</v>
      </c>
      <c r="DT422" s="24">
        <v>246</v>
      </c>
      <c r="DU422" s="26">
        <v>-2</v>
      </c>
      <c r="DV422" s="23">
        <v>-0.81</v>
      </c>
      <c r="DW422" s="24">
        <v>924</v>
      </c>
      <c r="DX422" s="27">
        <v>1</v>
      </c>
      <c r="DY422" s="23">
        <v>0.11</v>
      </c>
      <c r="DZ422" s="15" t="s">
        <v>178</v>
      </c>
      <c r="EA422" s="22">
        <v>43521</v>
      </c>
      <c r="EB422" s="17">
        <v>69.11</v>
      </c>
      <c r="EC422" s="22">
        <v>38718</v>
      </c>
      <c r="ED422" s="15" t="s">
        <v>173</v>
      </c>
      <c r="EE422" s="14" t="str">
        <f>HYPERLINK("https://my.pitchbook.com?c=50936-50", "View company online")</f>
        <v>View company online</v>
      </c>
    </row>
    <row r="423" spans="1:135">
      <c r="A423" s="28" t="s">
        <v>8800</v>
      </c>
      <c r="B423" s="28" t="s">
        <v>8801</v>
      </c>
      <c r="C423" s="28" t="s">
        <v>8802</v>
      </c>
      <c r="D423" s="28" t="s">
        <v>138</v>
      </c>
      <c r="E423" s="28" t="s">
        <v>8803</v>
      </c>
      <c r="F423" s="28" t="s">
        <v>8800</v>
      </c>
      <c r="G423" s="28" t="s">
        <v>8804</v>
      </c>
      <c r="H423" s="28" t="s">
        <v>141</v>
      </c>
      <c r="I423" s="28" t="s">
        <v>142</v>
      </c>
      <c r="J423" s="28" t="s">
        <v>8805</v>
      </c>
      <c r="K423" s="28" t="s">
        <v>8806</v>
      </c>
      <c r="L423" s="28" t="s">
        <v>5328</v>
      </c>
      <c r="M423" s="28" t="s">
        <v>8807</v>
      </c>
      <c r="N423" s="28" t="s">
        <v>147</v>
      </c>
      <c r="O423" s="29">
        <v>61.82</v>
      </c>
      <c r="P423" s="28" t="s">
        <v>148</v>
      </c>
      <c r="Q423" s="28" t="s">
        <v>149</v>
      </c>
      <c r="R423" s="28" t="s">
        <v>174</v>
      </c>
      <c r="S423" s="28" t="s">
        <v>8808</v>
      </c>
      <c r="T423" s="30">
        <v>51</v>
      </c>
      <c r="U423" s="28" t="s">
        <v>8809</v>
      </c>
      <c r="V423" s="28" t="s">
        <v>138</v>
      </c>
      <c r="W423" s="28" t="s">
        <v>138</v>
      </c>
      <c r="X423" s="31">
        <v>2008</v>
      </c>
      <c r="Y423" s="28" t="s">
        <v>138</v>
      </c>
      <c r="Z423" s="28" t="s">
        <v>138</v>
      </c>
      <c r="AA423" s="28" t="s">
        <v>138</v>
      </c>
      <c r="AB423" s="32" t="s">
        <v>138</v>
      </c>
      <c r="AC423" s="32" t="s">
        <v>138</v>
      </c>
      <c r="AD423" s="32" t="s">
        <v>138</v>
      </c>
      <c r="AE423" s="32" t="s">
        <v>138</v>
      </c>
      <c r="AF423" s="32" t="s">
        <v>138</v>
      </c>
      <c r="AG423" s="28" t="s">
        <v>138</v>
      </c>
      <c r="AH423" s="32" t="s">
        <v>138</v>
      </c>
      <c r="AI423" s="32" t="s">
        <v>138</v>
      </c>
      <c r="AJ423" s="32" t="s">
        <v>138</v>
      </c>
      <c r="AK423" s="28" t="s">
        <v>8810</v>
      </c>
      <c r="AL423" s="28" t="s">
        <v>8811</v>
      </c>
      <c r="AM423" s="28" t="s">
        <v>365</v>
      </c>
      <c r="AN423" s="28" t="s">
        <v>8812</v>
      </c>
      <c r="AO423" s="28" t="s">
        <v>8813</v>
      </c>
      <c r="AP423" s="28" t="s">
        <v>8814</v>
      </c>
      <c r="AQ423" s="28" t="s">
        <v>8815</v>
      </c>
      <c r="AR423" s="28" t="s">
        <v>138</v>
      </c>
      <c r="AS423" s="28" t="s">
        <v>8816</v>
      </c>
      <c r="AT423" s="28" t="s">
        <v>6898</v>
      </c>
      <c r="AU423" s="28" t="s">
        <v>8817</v>
      </c>
      <c r="AV423" s="28" t="s">
        <v>162</v>
      </c>
      <c r="AW423" s="28" t="s">
        <v>8813</v>
      </c>
      <c r="AX423" s="28" t="s">
        <v>8818</v>
      </c>
      <c r="AY423" s="28" t="s">
        <v>8819</v>
      </c>
      <c r="AZ423" s="28" t="s">
        <v>164</v>
      </c>
      <c r="BA423" s="28" t="s">
        <v>165</v>
      </c>
      <c r="BB423" s="28" t="s">
        <v>8820</v>
      </c>
      <c r="BC423" s="28" t="s">
        <v>8821</v>
      </c>
      <c r="BD423" s="33">
        <v>10</v>
      </c>
      <c r="BE423" s="28" t="s">
        <v>138</v>
      </c>
      <c r="BF423" s="28" t="s">
        <v>138</v>
      </c>
      <c r="BG423" s="28" t="s">
        <v>138</v>
      </c>
      <c r="BH423" s="28" t="s">
        <v>8822</v>
      </c>
      <c r="BI423" s="28" t="s">
        <v>138</v>
      </c>
      <c r="BJ423" s="28" t="s">
        <v>138</v>
      </c>
      <c r="BK423" s="28" t="s">
        <v>138</v>
      </c>
      <c r="BL423" s="28" t="s">
        <v>138</v>
      </c>
      <c r="BM423" s="34" t="s">
        <v>138</v>
      </c>
      <c r="BN423" s="29">
        <v>1</v>
      </c>
      <c r="BO423" s="28" t="s">
        <v>1178</v>
      </c>
      <c r="BP423" s="29">
        <v>4.76</v>
      </c>
      <c r="BQ423" s="28" t="s">
        <v>172</v>
      </c>
      <c r="BR423" s="28" t="s">
        <v>205</v>
      </c>
      <c r="BS423" s="28" t="s">
        <v>623</v>
      </c>
      <c r="BT423" s="28" t="s">
        <v>138</v>
      </c>
      <c r="BU423" s="28" t="s">
        <v>174</v>
      </c>
      <c r="BV423" s="28" t="s">
        <v>138</v>
      </c>
      <c r="BW423" s="28" t="s">
        <v>138</v>
      </c>
      <c r="BX423" s="28" t="s">
        <v>138</v>
      </c>
      <c r="BY423" s="28" t="s">
        <v>175</v>
      </c>
      <c r="BZ423" s="34">
        <v>43312</v>
      </c>
      <c r="CA423" s="29" t="s">
        <v>138</v>
      </c>
      <c r="CB423" s="28" t="s">
        <v>138</v>
      </c>
      <c r="CC423" s="29" t="s">
        <v>138</v>
      </c>
      <c r="CD423" s="28" t="s">
        <v>138</v>
      </c>
      <c r="CE423" s="28" t="s">
        <v>173</v>
      </c>
      <c r="CF423" s="28" t="s">
        <v>138</v>
      </c>
      <c r="CG423" s="28" t="s">
        <v>138</v>
      </c>
      <c r="CH423" s="28" t="s">
        <v>174</v>
      </c>
      <c r="CI423" s="28" t="s">
        <v>138</v>
      </c>
      <c r="CJ423" s="28" t="s">
        <v>138</v>
      </c>
      <c r="CK423" s="28" t="s">
        <v>138</v>
      </c>
      <c r="CL423" s="28" t="s">
        <v>175</v>
      </c>
      <c r="CM423" s="34" t="s">
        <v>138</v>
      </c>
      <c r="CN423" s="29" t="s">
        <v>138</v>
      </c>
      <c r="CO423" s="35">
        <v>0.13</v>
      </c>
      <c r="CP423" s="36">
        <v>91</v>
      </c>
      <c r="CQ423" s="35">
        <v>0</v>
      </c>
      <c r="CR423" s="35">
        <v>-7.0000000000000007E-2</v>
      </c>
      <c r="CS423" s="35">
        <v>0</v>
      </c>
      <c r="CT423" s="36">
        <v>23</v>
      </c>
      <c r="CU423" s="35">
        <v>0.26</v>
      </c>
      <c r="CV423" s="36">
        <v>85</v>
      </c>
      <c r="CW423" s="35">
        <v>0</v>
      </c>
      <c r="CX423" s="36">
        <v>13</v>
      </c>
      <c r="CY423" s="35">
        <v>0</v>
      </c>
      <c r="CZ423" s="36">
        <v>25</v>
      </c>
      <c r="DA423" s="35">
        <v>0.26</v>
      </c>
      <c r="DB423" s="36">
        <v>87</v>
      </c>
      <c r="DC423" s="37">
        <v>3.11</v>
      </c>
      <c r="DD423" s="36">
        <v>76</v>
      </c>
      <c r="DE423" s="37">
        <v>-0.05</v>
      </c>
      <c r="DF423" s="35">
        <v>-1.45</v>
      </c>
      <c r="DG423" s="37">
        <v>2.39</v>
      </c>
      <c r="DH423" s="36">
        <v>70</v>
      </c>
      <c r="DI423" s="37">
        <v>3.83</v>
      </c>
      <c r="DJ423" s="36">
        <v>73</v>
      </c>
      <c r="DK423" s="37">
        <v>2.2999999999999998</v>
      </c>
      <c r="DL423" s="36">
        <v>67</v>
      </c>
      <c r="DM423" s="37">
        <v>2.48</v>
      </c>
      <c r="DN423" s="36">
        <v>70</v>
      </c>
      <c r="DO423" s="37">
        <v>3.83</v>
      </c>
      <c r="DP423" s="36">
        <v>75</v>
      </c>
      <c r="DQ423" s="36">
        <v>743</v>
      </c>
      <c r="DR423" s="38">
        <v>138</v>
      </c>
      <c r="DS423" s="35">
        <v>22.81</v>
      </c>
      <c r="DT423" s="36">
        <v>71</v>
      </c>
      <c r="DU423" s="38">
        <v>2</v>
      </c>
      <c r="DV423" s="35">
        <v>2.9</v>
      </c>
      <c r="DW423" s="36">
        <v>1370</v>
      </c>
      <c r="DX423" s="39">
        <v>1</v>
      </c>
      <c r="DY423" s="35">
        <v>7.0000000000000007E-2</v>
      </c>
      <c r="DZ423" s="28" t="s">
        <v>178</v>
      </c>
      <c r="EA423" s="34">
        <v>43612</v>
      </c>
      <c r="EB423" s="29">
        <v>105.3</v>
      </c>
      <c r="EC423" s="34">
        <v>41982</v>
      </c>
      <c r="ED423" s="28" t="s">
        <v>173</v>
      </c>
      <c r="EE423" s="40" t="str">
        <f>HYPERLINK("https://my.pitchbook.com?c=53758-54", "View company online")</f>
        <v>View company online</v>
      </c>
    </row>
    <row r="424" spans="1:135">
      <c r="A424" s="15" t="s">
        <v>8823</v>
      </c>
      <c r="B424" s="15" t="s">
        <v>8824</v>
      </c>
      <c r="C424" s="15" t="s">
        <v>138</v>
      </c>
      <c r="D424" s="15" t="s">
        <v>138</v>
      </c>
      <c r="E424" s="15" t="s">
        <v>8825</v>
      </c>
      <c r="F424" s="15" t="s">
        <v>8823</v>
      </c>
      <c r="G424" s="15" t="s">
        <v>8826</v>
      </c>
      <c r="H424" s="15" t="s">
        <v>385</v>
      </c>
      <c r="I424" s="15" t="s">
        <v>1991</v>
      </c>
      <c r="J424" s="15" t="s">
        <v>1992</v>
      </c>
      <c r="K424" s="15" t="s">
        <v>8827</v>
      </c>
      <c r="L424" s="15" t="s">
        <v>272</v>
      </c>
      <c r="M424" s="15" t="s">
        <v>8828</v>
      </c>
      <c r="N424" s="15" t="s">
        <v>147</v>
      </c>
      <c r="O424" s="17">
        <v>80.38</v>
      </c>
      <c r="P424" s="15" t="s">
        <v>148</v>
      </c>
      <c r="Q424" s="15" t="s">
        <v>149</v>
      </c>
      <c r="R424" s="15" t="s">
        <v>174</v>
      </c>
      <c r="S424" s="15" t="s">
        <v>8829</v>
      </c>
      <c r="T424" s="18">
        <v>40</v>
      </c>
      <c r="U424" s="15" t="s">
        <v>8830</v>
      </c>
      <c r="V424" s="15" t="s">
        <v>138</v>
      </c>
      <c r="W424" s="15" t="s">
        <v>138</v>
      </c>
      <c r="X424" s="19">
        <v>2012</v>
      </c>
      <c r="Y424" s="15" t="s">
        <v>138</v>
      </c>
      <c r="Z424" s="15" t="s">
        <v>138</v>
      </c>
      <c r="AA424" s="15" t="s">
        <v>138</v>
      </c>
      <c r="AB424" s="20" t="s">
        <v>138</v>
      </c>
      <c r="AC424" s="20" t="s">
        <v>138</v>
      </c>
      <c r="AD424" s="20" t="s">
        <v>138</v>
      </c>
      <c r="AE424" s="20" t="s">
        <v>138</v>
      </c>
      <c r="AF424" s="20" t="s">
        <v>138</v>
      </c>
      <c r="AG424" s="15" t="s">
        <v>138</v>
      </c>
      <c r="AH424" s="20" t="s">
        <v>138</v>
      </c>
      <c r="AI424" s="20" t="s">
        <v>138</v>
      </c>
      <c r="AJ424" s="20" t="s">
        <v>138</v>
      </c>
      <c r="AK424" s="15" t="s">
        <v>8831</v>
      </c>
      <c r="AL424" s="15" t="s">
        <v>8832</v>
      </c>
      <c r="AM424" s="15" t="s">
        <v>2794</v>
      </c>
      <c r="AN424" s="15" t="s">
        <v>8833</v>
      </c>
      <c r="AO424" s="15" t="s">
        <v>8834</v>
      </c>
      <c r="AP424" s="15" t="s">
        <v>8835</v>
      </c>
      <c r="AQ424" s="15" t="s">
        <v>8836</v>
      </c>
      <c r="AR424" s="15" t="s">
        <v>138</v>
      </c>
      <c r="AS424" s="15" t="s">
        <v>8837</v>
      </c>
      <c r="AT424" s="15" t="s">
        <v>864</v>
      </c>
      <c r="AU424" s="15" t="s">
        <v>8838</v>
      </c>
      <c r="AV424" s="15" t="s">
        <v>162</v>
      </c>
      <c r="AW424" s="15" t="s">
        <v>8839</v>
      </c>
      <c r="AX424" s="15" t="s">
        <v>138</v>
      </c>
      <c r="AY424" s="15" t="s">
        <v>8840</v>
      </c>
      <c r="AZ424" s="15" t="s">
        <v>164</v>
      </c>
      <c r="BA424" s="15" t="s">
        <v>165</v>
      </c>
      <c r="BB424" s="15" t="s">
        <v>8841</v>
      </c>
      <c r="BC424" s="15" t="s">
        <v>8842</v>
      </c>
      <c r="BD424" s="21">
        <v>8</v>
      </c>
      <c r="BE424" s="15" t="s">
        <v>138</v>
      </c>
      <c r="BF424" s="15" t="s">
        <v>138</v>
      </c>
      <c r="BG424" s="15" t="s">
        <v>138</v>
      </c>
      <c r="BH424" s="15" t="s">
        <v>8843</v>
      </c>
      <c r="BI424" s="15" t="s">
        <v>138</v>
      </c>
      <c r="BJ424" s="15" t="s">
        <v>138</v>
      </c>
      <c r="BK424" s="15" t="s">
        <v>3825</v>
      </c>
      <c r="BL424" s="15" t="s">
        <v>8844</v>
      </c>
      <c r="BM424" s="22">
        <v>40909</v>
      </c>
      <c r="BN424" s="17">
        <v>0.04</v>
      </c>
      <c r="BO424" s="15" t="s">
        <v>172</v>
      </c>
      <c r="BP424" s="17" t="s">
        <v>138</v>
      </c>
      <c r="BQ424" s="15" t="s">
        <v>138</v>
      </c>
      <c r="BR424" s="15" t="s">
        <v>176</v>
      </c>
      <c r="BS424" s="15" t="s">
        <v>138</v>
      </c>
      <c r="BT424" s="15" t="s">
        <v>138</v>
      </c>
      <c r="BU424" s="15" t="s">
        <v>177</v>
      </c>
      <c r="BV424" s="15" t="s">
        <v>138</v>
      </c>
      <c r="BW424" s="15" t="s">
        <v>138</v>
      </c>
      <c r="BX424" s="15" t="s">
        <v>138</v>
      </c>
      <c r="BY424" s="15" t="s">
        <v>175</v>
      </c>
      <c r="BZ424" s="22">
        <v>43424</v>
      </c>
      <c r="CA424" s="17">
        <v>28.88</v>
      </c>
      <c r="CB424" s="15" t="s">
        <v>172</v>
      </c>
      <c r="CC424" s="17" t="s">
        <v>138</v>
      </c>
      <c r="CD424" s="15" t="s">
        <v>138</v>
      </c>
      <c r="CE424" s="15" t="s">
        <v>173</v>
      </c>
      <c r="CF424" s="15" t="s">
        <v>138</v>
      </c>
      <c r="CG424" s="15" t="s">
        <v>138</v>
      </c>
      <c r="CH424" s="15" t="s">
        <v>174</v>
      </c>
      <c r="CI424" s="15" t="s">
        <v>138</v>
      </c>
      <c r="CJ424" s="15" t="s">
        <v>138</v>
      </c>
      <c r="CK424" s="15" t="s">
        <v>138</v>
      </c>
      <c r="CL424" s="15" t="s">
        <v>175</v>
      </c>
      <c r="CM424" s="22" t="s">
        <v>138</v>
      </c>
      <c r="CN424" s="17" t="s">
        <v>138</v>
      </c>
      <c r="CO424" s="23">
        <v>-1.89</v>
      </c>
      <c r="CP424" s="24">
        <v>6</v>
      </c>
      <c r="CQ424" s="23">
        <v>0</v>
      </c>
      <c r="CR424" s="23">
        <v>-0.14000000000000001</v>
      </c>
      <c r="CS424" s="23">
        <v>-3.88</v>
      </c>
      <c r="CT424" s="24">
        <v>4</v>
      </c>
      <c r="CU424" s="23">
        <v>0.09</v>
      </c>
      <c r="CV424" s="24">
        <v>66</v>
      </c>
      <c r="CW424" s="23">
        <v>-6.16</v>
      </c>
      <c r="CX424" s="24">
        <v>2</v>
      </c>
      <c r="CY424" s="23">
        <v>-1.6</v>
      </c>
      <c r="CZ424" s="24">
        <v>14</v>
      </c>
      <c r="DA424" s="23">
        <v>0.16</v>
      </c>
      <c r="DB424" s="24">
        <v>79</v>
      </c>
      <c r="DC424" s="25">
        <v>4.5599999999999996</v>
      </c>
      <c r="DD424" s="24">
        <v>81</v>
      </c>
      <c r="DE424" s="25">
        <v>-0.12</v>
      </c>
      <c r="DF424" s="23">
        <v>-2.56</v>
      </c>
      <c r="DG424" s="25">
        <v>8.5299999999999994</v>
      </c>
      <c r="DH424" s="24">
        <v>88</v>
      </c>
      <c r="DI424" s="25">
        <v>0.59</v>
      </c>
      <c r="DJ424" s="24">
        <v>39</v>
      </c>
      <c r="DK424" s="25">
        <v>2.69</v>
      </c>
      <c r="DL424" s="24">
        <v>70</v>
      </c>
      <c r="DM424" s="25">
        <v>14.38</v>
      </c>
      <c r="DN424" s="24">
        <v>92</v>
      </c>
      <c r="DO424" s="25">
        <v>0.67</v>
      </c>
      <c r="DP424" s="24">
        <v>43</v>
      </c>
      <c r="DQ424" s="24">
        <v>935</v>
      </c>
      <c r="DR424" s="26">
        <v>-41</v>
      </c>
      <c r="DS424" s="23">
        <v>-4.2</v>
      </c>
      <c r="DT424" s="24">
        <v>418</v>
      </c>
      <c r="DU424" s="26">
        <v>-3</v>
      </c>
      <c r="DV424" s="23">
        <v>-0.71</v>
      </c>
      <c r="DW424" s="24">
        <v>241</v>
      </c>
      <c r="DX424" s="27">
        <v>0</v>
      </c>
      <c r="DY424" s="23">
        <v>0</v>
      </c>
      <c r="DZ424" s="15" t="s">
        <v>178</v>
      </c>
      <c r="EA424" s="22">
        <v>43593</v>
      </c>
      <c r="EB424" s="17">
        <v>110.5</v>
      </c>
      <c r="EC424" s="22">
        <v>43080</v>
      </c>
      <c r="ED424" s="15" t="s">
        <v>173</v>
      </c>
      <c r="EE424" s="14" t="str">
        <f>HYPERLINK("https://my.pitchbook.com?c=107282-89", "View company online")</f>
        <v>View company online</v>
      </c>
    </row>
    <row r="425" spans="1:135">
      <c r="A425" s="28" t="s">
        <v>8845</v>
      </c>
      <c r="B425" s="28" t="s">
        <v>8846</v>
      </c>
      <c r="C425" s="28" t="s">
        <v>138</v>
      </c>
      <c r="D425" s="28" t="s">
        <v>138</v>
      </c>
      <c r="E425" s="28" t="s">
        <v>8847</v>
      </c>
      <c r="F425" s="28" t="s">
        <v>8845</v>
      </c>
      <c r="G425" s="28" t="s">
        <v>8848</v>
      </c>
      <c r="H425" s="28" t="s">
        <v>385</v>
      </c>
      <c r="I425" s="28" t="s">
        <v>386</v>
      </c>
      <c r="J425" s="28" t="s">
        <v>8849</v>
      </c>
      <c r="K425" s="28" t="s">
        <v>8850</v>
      </c>
      <c r="L425" s="28" t="s">
        <v>1994</v>
      </c>
      <c r="M425" s="28" t="s">
        <v>8851</v>
      </c>
      <c r="N425" s="28" t="s">
        <v>147</v>
      </c>
      <c r="O425" s="29">
        <v>28</v>
      </c>
      <c r="P425" s="28" t="s">
        <v>148</v>
      </c>
      <c r="Q425" s="28" t="s">
        <v>149</v>
      </c>
      <c r="R425" s="28" t="s">
        <v>174</v>
      </c>
      <c r="S425" s="28" t="s">
        <v>8852</v>
      </c>
      <c r="T425" s="30" t="s">
        <v>138</v>
      </c>
      <c r="U425" s="28" t="s">
        <v>138</v>
      </c>
      <c r="V425" s="28" t="s">
        <v>138</v>
      </c>
      <c r="W425" s="28" t="s">
        <v>138</v>
      </c>
      <c r="X425" s="31">
        <v>2012</v>
      </c>
      <c r="Y425" s="28" t="s">
        <v>138</v>
      </c>
      <c r="Z425" s="28" t="s">
        <v>138</v>
      </c>
      <c r="AA425" s="28" t="s">
        <v>138</v>
      </c>
      <c r="AB425" s="32" t="s">
        <v>138</v>
      </c>
      <c r="AC425" s="32" t="s">
        <v>138</v>
      </c>
      <c r="AD425" s="32" t="s">
        <v>138</v>
      </c>
      <c r="AE425" s="32" t="s">
        <v>138</v>
      </c>
      <c r="AF425" s="32" t="s">
        <v>138</v>
      </c>
      <c r="AG425" s="28" t="s">
        <v>138</v>
      </c>
      <c r="AH425" s="32" t="s">
        <v>138</v>
      </c>
      <c r="AI425" s="32" t="s">
        <v>138</v>
      </c>
      <c r="AJ425" s="32" t="s">
        <v>138</v>
      </c>
      <c r="AK425" s="28" t="s">
        <v>8853</v>
      </c>
      <c r="AL425" s="28" t="s">
        <v>8854</v>
      </c>
      <c r="AM425" s="28" t="s">
        <v>221</v>
      </c>
      <c r="AN425" s="28" t="s">
        <v>8855</v>
      </c>
      <c r="AO425" s="28" t="s">
        <v>8856</v>
      </c>
      <c r="AP425" s="28" t="s">
        <v>368</v>
      </c>
      <c r="AQ425" s="28" t="s">
        <v>8857</v>
      </c>
      <c r="AR425" s="28" t="s">
        <v>8858</v>
      </c>
      <c r="AS425" s="28" t="s">
        <v>370</v>
      </c>
      <c r="AT425" s="28" t="s">
        <v>371</v>
      </c>
      <c r="AU425" s="28" t="s">
        <v>372</v>
      </c>
      <c r="AV425" s="28" t="s">
        <v>162</v>
      </c>
      <c r="AW425" s="28" t="s">
        <v>8856</v>
      </c>
      <c r="AX425" s="28" t="s">
        <v>138</v>
      </c>
      <c r="AY425" s="28" t="s">
        <v>8859</v>
      </c>
      <c r="AZ425" s="28" t="s">
        <v>164</v>
      </c>
      <c r="BA425" s="28" t="s">
        <v>165</v>
      </c>
      <c r="BB425" s="28" t="s">
        <v>8860</v>
      </c>
      <c r="BC425" s="28" t="s">
        <v>8861</v>
      </c>
      <c r="BD425" s="33">
        <v>14</v>
      </c>
      <c r="BE425" s="28" t="s">
        <v>138</v>
      </c>
      <c r="BF425" s="28" t="s">
        <v>138</v>
      </c>
      <c r="BG425" s="28" t="s">
        <v>138</v>
      </c>
      <c r="BH425" s="28" t="s">
        <v>8862</v>
      </c>
      <c r="BI425" s="28" t="s">
        <v>138</v>
      </c>
      <c r="BJ425" s="28" t="s">
        <v>138</v>
      </c>
      <c r="BK425" s="28" t="s">
        <v>8863</v>
      </c>
      <c r="BL425" s="28" t="s">
        <v>8863</v>
      </c>
      <c r="BM425" s="34" t="s">
        <v>138</v>
      </c>
      <c r="BN425" s="29" t="s">
        <v>138</v>
      </c>
      <c r="BO425" s="28" t="s">
        <v>138</v>
      </c>
      <c r="BP425" s="29" t="s">
        <v>138</v>
      </c>
      <c r="BQ425" s="28" t="s">
        <v>138</v>
      </c>
      <c r="BR425" s="28" t="s">
        <v>316</v>
      </c>
      <c r="BS425" s="28" t="s">
        <v>138</v>
      </c>
      <c r="BT425" s="28" t="s">
        <v>138</v>
      </c>
      <c r="BU425" s="28" t="s">
        <v>177</v>
      </c>
      <c r="BV425" s="28" t="s">
        <v>138</v>
      </c>
      <c r="BW425" s="28" t="s">
        <v>138</v>
      </c>
      <c r="BX425" s="28" t="s">
        <v>138</v>
      </c>
      <c r="BY425" s="28" t="s">
        <v>175</v>
      </c>
      <c r="BZ425" s="34">
        <v>43106</v>
      </c>
      <c r="CA425" s="29">
        <v>28</v>
      </c>
      <c r="CB425" s="28" t="s">
        <v>172</v>
      </c>
      <c r="CC425" s="29" t="s">
        <v>138</v>
      </c>
      <c r="CD425" s="28" t="s">
        <v>138</v>
      </c>
      <c r="CE425" s="28" t="s">
        <v>205</v>
      </c>
      <c r="CF425" s="28" t="s">
        <v>206</v>
      </c>
      <c r="CG425" s="28" t="s">
        <v>138</v>
      </c>
      <c r="CH425" s="28" t="s">
        <v>174</v>
      </c>
      <c r="CI425" s="28" t="s">
        <v>138</v>
      </c>
      <c r="CJ425" s="28" t="s">
        <v>138</v>
      </c>
      <c r="CK425" s="28" t="s">
        <v>138</v>
      </c>
      <c r="CL425" s="28" t="s">
        <v>175</v>
      </c>
      <c r="CM425" s="34" t="s">
        <v>138</v>
      </c>
      <c r="CN425" s="29" t="s">
        <v>138</v>
      </c>
      <c r="CO425" s="35">
        <v>0.87</v>
      </c>
      <c r="CP425" s="36">
        <v>97</v>
      </c>
      <c r="CQ425" s="35">
        <v>-0.01</v>
      </c>
      <c r="CR425" s="35">
        <v>-0.74</v>
      </c>
      <c r="CS425" s="35">
        <v>0.8</v>
      </c>
      <c r="CT425" s="36">
        <v>96</v>
      </c>
      <c r="CU425" s="35">
        <v>0.94</v>
      </c>
      <c r="CV425" s="36">
        <v>98</v>
      </c>
      <c r="CW425" s="35">
        <v>2.2200000000000002</v>
      </c>
      <c r="CX425" s="36">
        <v>89</v>
      </c>
      <c r="CY425" s="35">
        <v>-0.62</v>
      </c>
      <c r="CZ425" s="36">
        <v>21</v>
      </c>
      <c r="DA425" s="35">
        <v>0.94</v>
      </c>
      <c r="DB425" s="36">
        <v>98</v>
      </c>
      <c r="DC425" s="37">
        <v>2.36</v>
      </c>
      <c r="DD425" s="36">
        <v>70</v>
      </c>
      <c r="DE425" s="37">
        <v>-0.1</v>
      </c>
      <c r="DF425" s="35">
        <v>-3.91</v>
      </c>
      <c r="DG425" s="37">
        <v>3.85</v>
      </c>
      <c r="DH425" s="36">
        <v>79</v>
      </c>
      <c r="DI425" s="37">
        <v>0.87</v>
      </c>
      <c r="DJ425" s="36">
        <v>46</v>
      </c>
      <c r="DK425" s="37">
        <v>3.6</v>
      </c>
      <c r="DL425" s="36">
        <v>74</v>
      </c>
      <c r="DM425" s="37">
        <v>4.0999999999999996</v>
      </c>
      <c r="DN425" s="36">
        <v>79</v>
      </c>
      <c r="DO425" s="37">
        <v>0.87</v>
      </c>
      <c r="DP425" s="36">
        <v>48</v>
      </c>
      <c r="DQ425" s="36">
        <v>1183</v>
      </c>
      <c r="DR425" s="38">
        <v>152</v>
      </c>
      <c r="DS425" s="35">
        <v>14.74</v>
      </c>
      <c r="DT425" s="36">
        <v>118</v>
      </c>
      <c r="DU425" s="38">
        <v>0</v>
      </c>
      <c r="DV425" s="35">
        <v>0</v>
      </c>
      <c r="DW425" s="36">
        <v>307</v>
      </c>
      <c r="DX425" s="39">
        <v>4</v>
      </c>
      <c r="DY425" s="35">
        <v>1.32</v>
      </c>
      <c r="DZ425" s="28" t="s">
        <v>178</v>
      </c>
      <c r="EA425" s="34">
        <v>43580</v>
      </c>
      <c r="EB425" s="29" t="s">
        <v>138</v>
      </c>
      <c r="EC425" s="34" t="s">
        <v>138</v>
      </c>
      <c r="ED425" s="28" t="s">
        <v>138</v>
      </c>
      <c r="EE425" s="40" t="str">
        <f>HYPERLINK("https://my.pitchbook.com?c=108817-93", "View company online")</f>
        <v>View company online</v>
      </c>
    </row>
    <row r="426" spans="1:135">
      <c r="A426" s="15" t="s">
        <v>8864</v>
      </c>
      <c r="B426" s="15" t="s">
        <v>8865</v>
      </c>
      <c r="C426" s="15" t="s">
        <v>138</v>
      </c>
      <c r="D426" s="15" t="s">
        <v>138</v>
      </c>
      <c r="E426" s="15" t="s">
        <v>8866</v>
      </c>
      <c r="F426" s="15" t="s">
        <v>8864</v>
      </c>
      <c r="G426" s="15" t="s">
        <v>8867</v>
      </c>
      <c r="H426" s="15" t="s">
        <v>385</v>
      </c>
      <c r="I426" s="15" t="s">
        <v>386</v>
      </c>
      <c r="J426" s="15" t="s">
        <v>387</v>
      </c>
      <c r="K426" s="15" t="s">
        <v>8868</v>
      </c>
      <c r="L426" s="15" t="s">
        <v>8869</v>
      </c>
      <c r="M426" s="15" t="s">
        <v>8870</v>
      </c>
      <c r="N426" s="15" t="s">
        <v>147</v>
      </c>
      <c r="O426" s="17">
        <v>19.989999999999998</v>
      </c>
      <c r="P426" s="15" t="s">
        <v>148</v>
      </c>
      <c r="Q426" s="15" t="s">
        <v>149</v>
      </c>
      <c r="R426" s="15" t="s">
        <v>244</v>
      </c>
      <c r="S426" s="15" t="s">
        <v>8871</v>
      </c>
      <c r="T426" s="18">
        <v>470</v>
      </c>
      <c r="U426" s="15" t="s">
        <v>8872</v>
      </c>
      <c r="V426" s="15" t="s">
        <v>138</v>
      </c>
      <c r="W426" s="15" t="s">
        <v>138</v>
      </c>
      <c r="X426" s="19">
        <v>2011</v>
      </c>
      <c r="Y426" s="15" t="s">
        <v>138</v>
      </c>
      <c r="Z426" s="15" t="s">
        <v>138</v>
      </c>
      <c r="AA426" s="15" t="s">
        <v>138</v>
      </c>
      <c r="AB426" s="20" t="s">
        <v>138</v>
      </c>
      <c r="AC426" s="20" t="s">
        <v>138</v>
      </c>
      <c r="AD426" s="20" t="s">
        <v>138</v>
      </c>
      <c r="AE426" s="20" t="s">
        <v>138</v>
      </c>
      <c r="AF426" s="20" t="s">
        <v>138</v>
      </c>
      <c r="AG426" s="15" t="s">
        <v>138</v>
      </c>
      <c r="AH426" s="20" t="s">
        <v>138</v>
      </c>
      <c r="AI426" s="20" t="s">
        <v>138</v>
      </c>
      <c r="AJ426" s="20" t="s">
        <v>138</v>
      </c>
      <c r="AK426" s="15" t="s">
        <v>8873</v>
      </c>
      <c r="AL426" s="15" t="s">
        <v>8874</v>
      </c>
      <c r="AM426" s="15" t="s">
        <v>8875</v>
      </c>
      <c r="AN426" s="15" t="s">
        <v>8876</v>
      </c>
      <c r="AO426" s="15" t="s">
        <v>8877</v>
      </c>
      <c r="AP426" s="15" t="s">
        <v>8878</v>
      </c>
      <c r="AQ426" s="15" t="s">
        <v>8879</v>
      </c>
      <c r="AR426" s="15" t="s">
        <v>138</v>
      </c>
      <c r="AS426" s="15" t="s">
        <v>8880</v>
      </c>
      <c r="AT426" s="15" t="s">
        <v>138</v>
      </c>
      <c r="AU426" s="15" t="s">
        <v>138</v>
      </c>
      <c r="AV426" s="15" t="s">
        <v>8881</v>
      </c>
      <c r="AW426" s="15" t="s">
        <v>8877</v>
      </c>
      <c r="AX426" s="15" t="s">
        <v>138</v>
      </c>
      <c r="AY426" s="15" t="s">
        <v>8882</v>
      </c>
      <c r="AZ426" s="15" t="s">
        <v>401</v>
      </c>
      <c r="BA426" s="15" t="s">
        <v>402</v>
      </c>
      <c r="BB426" s="15" t="s">
        <v>8883</v>
      </c>
      <c r="BC426" s="15" t="s">
        <v>8884</v>
      </c>
      <c r="BD426" s="21">
        <v>7</v>
      </c>
      <c r="BE426" s="15" t="s">
        <v>138</v>
      </c>
      <c r="BF426" s="15" t="s">
        <v>138</v>
      </c>
      <c r="BG426" s="15" t="s">
        <v>138</v>
      </c>
      <c r="BH426" s="15" t="s">
        <v>8885</v>
      </c>
      <c r="BI426" s="15" t="s">
        <v>138</v>
      </c>
      <c r="BJ426" s="15" t="s">
        <v>138</v>
      </c>
      <c r="BK426" s="15" t="s">
        <v>138</v>
      </c>
      <c r="BL426" s="15" t="s">
        <v>8886</v>
      </c>
      <c r="BM426" s="22">
        <v>40909</v>
      </c>
      <c r="BN426" s="17">
        <v>0.92</v>
      </c>
      <c r="BO426" s="15" t="s">
        <v>172</v>
      </c>
      <c r="BP426" s="17" t="s">
        <v>138</v>
      </c>
      <c r="BQ426" s="15" t="s">
        <v>138</v>
      </c>
      <c r="BR426" s="15" t="s">
        <v>176</v>
      </c>
      <c r="BS426" s="15" t="s">
        <v>138</v>
      </c>
      <c r="BT426" s="15" t="s">
        <v>138</v>
      </c>
      <c r="BU426" s="15" t="s">
        <v>177</v>
      </c>
      <c r="BV426" s="15" t="s">
        <v>138</v>
      </c>
      <c r="BW426" s="15" t="s">
        <v>138</v>
      </c>
      <c r="BX426" s="15" t="s">
        <v>138</v>
      </c>
      <c r="BY426" s="15" t="s">
        <v>175</v>
      </c>
      <c r="BZ426" s="22">
        <v>43083</v>
      </c>
      <c r="CA426" s="17">
        <v>9</v>
      </c>
      <c r="CB426" s="15" t="s">
        <v>172</v>
      </c>
      <c r="CC426" s="17" t="s">
        <v>138</v>
      </c>
      <c r="CD426" s="15" t="s">
        <v>138</v>
      </c>
      <c r="CE426" s="15" t="s">
        <v>173</v>
      </c>
      <c r="CF426" s="15" t="s">
        <v>720</v>
      </c>
      <c r="CG426" s="15" t="s">
        <v>138</v>
      </c>
      <c r="CH426" s="15" t="s">
        <v>174</v>
      </c>
      <c r="CI426" s="15" t="s">
        <v>138</v>
      </c>
      <c r="CJ426" s="15" t="s">
        <v>138</v>
      </c>
      <c r="CK426" s="15" t="s">
        <v>138</v>
      </c>
      <c r="CL426" s="15" t="s">
        <v>175</v>
      </c>
      <c r="CM426" s="22">
        <v>43026</v>
      </c>
      <c r="CN426" s="17">
        <v>6</v>
      </c>
      <c r="CO426" s="23">
        <v>0.69</v>
      </c>
      <c r="CP426" s="24">
        <v>96</v>
      </c>
      <c r="CQ426" s="23">
        <v>0.06</v>
      </c>
      <c r="CR426" s="23">
        <v>9.3000000000000007</v>
      </c>
      <c r="CS426" s="23">
        <v>1.08</v>
      </c>
      <c r="CT426" s="24">
        <v>97</v>
      </c>
      <c r="CU426" s="23">
        <v>0.3</v>
      </c>
      <c r="CV426" s="24">
        <v>87</v>
      </c>
      <c r="CW426" s="23" t="s">
        <v>138</v>
      </c>
      <c r="CX426" s="24" t="s">
        <v>138</v>
      </c>
      <c r="CY426" s="23">
        <v>1.08</v>
      </c>
      <c r="CZ426" s="24">
        <v>99</v>
      </c>
      <c r="DA426" s="23">
        <v>0.3</v>
      </c>
      <c r="DB426" s="24">
        <v>88</v>
      </c>
      <c r="DC426" s="25">
        <v>3.48</v>
      </c>
      <c r="DD426" s="24">
        <v>77</v>
      </c>
      <c r="DE426" s="25">
        <v>0.02</v>
      </c>
      <c r="DF426" s="23">
        <v>0.54</v>
      </c>
      <c r="DG426" s="25">
        <v>6.38</v>
      </c>
      <c r="DH426" s="24">
        <v>85</v>
      </c>
      <c r="DI426" s="25">
        <v>0.57999999999999996</v>
      </c>
      <c r="DJ426" s="24">
        <v>39</v>
      </c>
      <c r="DK426" s="25" t="s">
        <v>138</v>
      </c>
      <c r="DL426" s="24" t="s">
        <v>138</v>
      </c>
      <c r="DM426" s="25">
        <v>6.38</v>
      </c>
      <c r="DN426" s="24">
        <v>84</v>
      </c>
      <c r="DO426" s="25">
        <v>0.57999999999999996</v>
      </c>
      <c r="DP426" s="24">
        <v>40</v>
      </c>
      <c r="DQ426" s="24">
        <v>39</v>
      </c>
      <c r="DR426" s="26">
        <v>2</v>
      </c>
      <c r="DS426" s="23">
        <v>5.41</v>
      </c>
      <c r="DT426" s="24">
        <v>184</v>
      </c>
      <c r="DU426" s="26">
        <v>3</v>
      </c>
      <c r="DV426" s="23">
        <v>1.66</v>
      </c>
      <c r="DW426" s="24">
        <v>209</v>
      </c>
      <c r="DX426" s="27">
        <v>1</v>
      </c>
      <c r="DY426" s="23">
        <v>0.48</v>
      </c>
      <c r="DZ426" s="15" t="s">
        <v>178</v>
      </c>
      <c r="EA426" s="22">
        <v>43622</v>
      </c>
      <c r="EB426" s="17" t="s">
        <v>138</v>
      </c>
      <c r="EC426" s="22" t="s">
        <v>138</v>
      </c>
      <c r="ED426" s="15" t="s">
        <v>138</v>
      </c>
      <c r="EE426" s="14" t="str">
        <f>HYPERLINK("https://my.pitchbook.com?c=57882-43", "View company online")</f>
        <v>View company online</v>
      </c>
    </row>
    <row r="427" spans="1:135">
      <c r="A427" s="28" t="s">
        <v>8887</v>
      </c>
      <c r="B427" s="28" t="s">
        <v>8888</v>
      </c>
      <c r="C427" s="28" t="s">
        <v>138</v>
      </c>
      <c r="D427" s="28" t="s">
        <v>8889</v>
      </c>
      <c r="E427" s="28" t="s">
        <v>8890</v>
      </c>
      <c r="F427" s="28" t="s">
        <v>8887</v>
      </c>
      <c r="G427" s="28" t="s">
        <v>8891</v>
      </c>
      <c r="H427" s="28" t="s">
        <v>890</v>
      </c>
      <c r="I427" s="28" t="s">
        <v>891</v>
      </c>
      <c r="J427" s="28" t="s">
        <v>891</v>
      </c>
      <c r="K427" s="28" t="s">
        <v>8892</v>
      </c>
      <c r="L427" s="28" t="s">
        <v>2298</v>
      </c>
      <c r="M427" s="28" t="s">
        <v>8893</v>
      </c>
      <c r="N427" s="28" t="s">
        <v>147</v>
      </c>
      <c r="O427" s="29">
        <v>111.33</v>
      </c>
      <c r="P427" s="28" t="s">
        <v>148</v>
      </c>
      <c r="Q427" s="28" t="s">
        <v>149</v>
      </c>
      <c r="R427" s="28" t="s">
        <v>174</v>
      </c>
      <c r="S427" s="28" t="s">
        <v>8894</v>
      </c>
      <c r="T427" s="30">
        <v>80</v>
      </c>
      <c r="U427" s="28" t="s">
        <v>8895</v>
      </c>
      <c r="V427" s="28" t="s">
        <v>138</v>
      </c>
      <c r="W427" s="28" t="s">
        <v>138</v>
      </c>
      <c r="X427" s="31">
        <v>2016</v>
      </c>
      <c r="Y427" s="28" t="s">
        <v>138</v>
      </c>
      <c r="Z427" s="28" t="s">
        <v>138</v>
      </c>
      <c r="AA427" s="28" t="s">
        <v>1163</v>
      </c>
      <c r="AB427" s="32">
        <v>2.2599999999999998</v>
      </c>
      <c r="AC427" s="32" t="s">
        <v>138</v>
      </c>
      <c r="AD427" s="32">
        <v>-27.64</v>
      </c>
      <c r="AE427" s="32" t="s">
        <v>138</v>
      </c>
      <c r="AF427" s="32" t="s">
        <v>138</v>
      </c>
      <c r="AG427" s="28" t="s">
        <v>419</v>
      </c>
      <c r="AH427" s="32" t="s">
        <v>138</v>
      </c>
      <c r="AI427" s="32" t="s">
        <v>138</v>
      </c>
      <c r="AJ427" s="32" t="s">
        <v>138</v>
      </c>
      <c r="AK427" s="28" t="s">
        <v>8896</v>
      </c>
      <c r="AL427" s="28" t="s">
        <v>8897</v>
      </c>
      <c r="AM427" s="28" t="s">
        <v>2776</v>
      </c>
      <c r="AN427" s="28" t="s">
        <v>8898</v>
      </c>
      <c r="AO427" s="28" t="s">
        <v>8899</v>
      </c>
      <c r="AP427" s="28" t="s">
        <v>941</v>
      </c>
      <c r="AQ427" s="28" t="s">
        <v>8900</v>
      </c>
      <c r="AR427" s="28" t="s">
        <v>138</v>
      </c>
      <c r="AS427" s="28" t="s">
        <v>944</v>
      </c>
      <c r="AT427" s="28" t="s">
        <v>138</v>
      </c>
      <c r="AU427" s="28" t="s">
        <v>1570</v>
      </c>
      <c r="AV427" s="28" t="s">
        <v>946</v>
      </c>
      <c r="AW427" s="28" t="s">
        <v>8899</v>
      </c>
      <c r="AX427" s="28" t="s">
        <v>8901</v>
      </c>
      <c r="AY427" s="28" t="s">
        <v>8902</v>
      </c>
      <c r="AZ427" s="28" t="s">
        <v>530</v>
      </c>
      <c r="BA427" s="28" t="s">
        <v>531</v>
      </c>
      <c r="BB427" s="28" t="s">
        <v>8903</v>
      </c>
      <c r="BC427" s="28" t="s">
        <v>8904</v>
      </c>
      <c r="BD427" s="33">
        <v>12</v>
      </c>
      <c r="BE427" s="28" t="s">
        <v>138</v>
      </c>
      <c r="BF427" s="28" t="s">
        <v>138</v>
      </c>
      <c r="BG427" s="28" t="s">
        <v>138</v>
      </c>
      <c r="BH427" s="28" t="s">
        <v>8905</v>
      </c>
      <c r="BI427" s="28" t="s">
        <v>138</v>
      </c>
      <c r="BJ427" s="28" t="s">
        <v>138</v>
      </c>
      <c r="BK427" s="28" t="s">
        <v>138</v>
      </c>
      <c r="BL427" s="28" t="s">
        <v>8906</v>
      </c>
      <c r="BM427" s="34">
        <v>42430</v>
      </c>
      <c r="BN427" s="29">
        <v>13.56</v>
      </c>
      <c r="BO427" s="28" t="s">
        <v>172</v>
      </c>
      <c r="BP427" s="29">
        <v>40.1</v>
      </c>
      <c r="BQ427" s="28" t="s">
        <v>172</v>
      </c>
      <c r="BR427" s="28" t="s">
        <v>234</v>
      </c>
      <c r="BS427" s="28" t="s">
        <v>234</v>
      </c>
      <c r="BT427" s="28" t="s">
        <v>138</v>
      </c>
      <c r="BU427" s="28" t="s">
        <v>174</v>
      </c>
      <c r="BV427" s="28" t="s">
        <v>138</v>
      </c>
      <c r="BW427" s="28" t="s">
        <v>138</v>
      </c>
      <c r="BX427" s="28" t="s">
        <v>138</v>
      </c>
      <c r="BY427" s="28" t="s">
        <v>175</v>
      </c>
      <c r="BZ427" s="34">
        <v>43167</v>
      </c>
      <c r="CA427" s="29">
        <v>69.77</v>
      </c>
      <c r="CB427" s="28" t="s">
        <v>172</v>
      </c>
      <c r="CC427" s="29">
        <v>403.47</v>
      </c>
      <c r="CD427" s="28" t="s">
        <v>1178</v>
      </c>
      <c r="CE427" s="28" t="s">
        <v>205</v>
      </c>
      <c r="CF427" s="28" t="s">
        <v>720</v>
      </c>
      <c r="CG427" s="28" t="s">
        <v>138</v>
      </c>
      <c r="CH427" s="28" t="s">
        <v>174</v>
      </c>
      <c r="CI427" s="28" t="s">
        <v>138</v>
      </c>
      <c r="CJ427" s="28" t="s">
        <v>138</v>
      </c>
      <c r="CK427" s="28" t="s">
        <v>138</v>
      </c>
      <c r="CL427" s="28" t="s">
        <v>175</v>
      </c>
      <c r="CM427" s="34" t="s">
        <v>138</v>
      </c>
      <c r="CN427" s="29" t="s">
        <v>138</v>
      </c>
      <c r="CO427" s="35">
        <v>0.24</v>
      </c>
      <c r="CP427" s="36">
        <v>93</v>
      </c>
      <c r="CQ427" s="35">
        <v>0</v>
      </c>
      <c r="CR427" s="35">
        <v>-1</v>
      </c>
      <c r="CS427" s="35">
        <v>0</v>
      </c>
      <c r="CT427" s="36">
        <v>23</v>
      </c>
      <c r="CU427" s="35">
        <v>0.49</v>
      </c>
      <c r="CV427" s="36">
        <v>93</v>
      </c>
      <c r="CW427" s="35">
        <v>0</v>
      </c>
      <c r="CX427" s="36">
        <v>13</v>
      </c>
      <c r="CY427" s="35" t="s">
        <v>138</v>
      </c>
      <c r="CZ427" s="36" t="s">
        <v>138</v>
      </c>
      <c r="DA427" s="35">
        <v>0.49</v>
      </c>
      <c r="DB427" s="36">
        <v>94</v>
      </c>
      <c r="DC427" s="37">
        <v>6.34</v>
      </c>
      <c r="DD427" s="36">
        <v>86</v>
      </c>
      <c r="DE427" s="37">
        <v>0.03</v>
      </c>
      <c r="DF427" s="35">
        <v>0.49</v>
      </c>
      <c r="DG427" s="37">
        <v>0.44</v>
      </c>
      <c r="DH427" s="36">
        <v>31</v>
      </c>
      <c r="DI427" s="37">
        <v>12.25</v>
      </c>
      <c r="DJ427" s="36">
        <v>87</v>
      </c>
      <c r="DK427" s="37">
        <v>0.44</v>
      </c>
      <c r="DL427" s="36">
        <v>32</v>
      </c>
      <c r="DM427" s="37" t="s">
        <v>138</v>
      </c>
      <c r="DN427" s="36" t="s">
        <v>138</v>
      </c>
      <c r="DO427" s="37">
        <v>12.25</v>
      </c>
      <c r="DP427" s="36">
        <v>89</v>
      </c>
      <c r="DQ427" s="36">
        <v>148</v>
      </c>
      <c r="DR427" s="38">
        <v>4</v>
      </c>
      <c r="DS427" s="35">
        <v>2.78</v>
      </c>
      <c r="DT427" s="36" t="s">
        <v>138</v>
      </c>
      <c r="DU427" s="38" t="s">
        <v>138</v>
      </c>
      <c r="DV427" s="35" t="s">
        <v>138</v>
      </c>
      <c r="DW427" s="36">
        <v>4376</v>
      </c>
      <c r="DX427" s="39">
        <v>17</v>
      </c>
      <c r="DY427" s="35">
        <v>0.39</v>
      </c>
      <c r="DZ427" s="28" t="s">
        <v>178</v>
      </c>
      <c r="EA427" s="34">
        <v>43622</v>
      </c>
      <c r="EB427" s="29">
        <v>403.47</v>
      </c>
      <c r="EC427" s="34">
        <v>43167</v>
      </c>
      <c r="ED427" s="28" t="s">
        <v>205</v>
      </c>
      <c r="EE427" s="40" t="str">
        <f>HYPERLINK("https://my.pitchbook.com?c=161554-69", "View company online")</f>
        <v>View company online</v>
      </c>
    </row>
    <row r="428" spans="1:135">
      <c r="A428" s="15" t="s">
        <v>8907</v>
      </c>
      <c r="B428" s="15" t="s">
        <v>8908</v>
      </c>
      <c r="C428" s="15" t="s">
        <v>138</v>
      </c>
      <c r="D428" s="15" t="s">
        <v>138</v>
      </c>
      <c r="E428" s="15" t="s">
        <v>8909</v>
      </c>
      <c r="F428" s="15" t="s">
        <v>8907</v>
      </c>
      <c r="G428" s="15" t="s">
        <v>8910</v>
      </c>
      <c r="H428" s="15" t="s">
        <v>322</v>
      </c>
      <c r="I428" s="15" t="s">
        <v>356</v>
      </c>
      <c r="J428" s="15" t="s">
        <v>3030</v>
      </c>
      <c r="K428" s="15" t="s">
        <v>8911</v>
      </c>
      <c r="L428" s="15" t="s">
        <v>415</v>
      </c>
      <c r="M428" s="15" t="s">
        <v>8912</v>
      </c>
      <c r="N428" s="15" t="s">
        <v>147</v>
      </c>
      <c r="O428" s="17">
        <v>327.07</v>
      </c>
      <c r="P428" s="15" t="s">
        <v>148</v>
      </c>
      <c r="Q428" s="15" t="s">
        <v>149</v>
      </c>
      <c r="R428" s="15" t="s">
        <v>8692</v>
      </c>
      <c r="S428" s="15" t="s">
        <v>8913</v>
      </c>
      <c r="T428" s="18">
        <v>125</v>
      </c>
      <c r="U428" s="15" t="s">
        <v>8914</v>
      </c>
      <c r="V428" s="15" t="s">
        <v>138</v>
      </c>
      <c r="W428" s="15" t="s">
        <v>138</v>
      </c>
      <c r="X428" s="19">
        <v>2001</v>
      </c>
      <c r="Y428" s="15" t="s">
        <v>138</v>
      </c>
      <c r="Z428" s="15" t="s">
        <v>138</v>
      </c>
      <c r="AA428" s="15" t="s">
        <v>138</v>
      </c>
      <c r="AB428" s="20">
        <v>11.06</v>
      </c>
      <c r="AC428" s="20" t="s">
        <v>138</v>
      </c>
      <c r="AD428" s="20" t="s">
        <v>138</v>
      </c>
      <c r="AE428" s="20" t="s">
        <v>138</v>
      </c>
      <c r="AF428" s="20" t="s">
        <v>138</v>
      </c>
      <c r="AG428" s="15" t="s">
        <v>563</v>
      </c>
      <c r="AH428" s="20" t="s">
        <v>138</v>
      </c>
      <c r="AI428" s="20" t="s">
        <v>138</v>
      </c>
      <c r="AJ428" s="20" t="s">
        <v>138</v>
      </c>
      <c r="AK428" s="15" t="s">
        <v>8915</v>
      </c>
      <c r="AL428" s="15" t="s">
        <v>8916</v>
      </c>
      <c r="AM428" s="15" t="s">
        <v>249</v>
      </c>
      <c r="AN428" s="15" t="s">
        <v>8917</v>
      </c>
      <c r="AO428" s="15" t="s">
        <v>8918</v>
      </c>
      <c r="AP428" s="15" t="s">
        <v>6402</v>
      </c>
      <c r="AQ428" s="15" t="s">
        <v>8919</v>
      </c>
      <c r="AR428" s="15" t="s">
        <v>158</v>
      </c>
      <c r="AS428" s="15" t="s">
        <v>6404</v>
      </c>
      <c r="AT428" s="15" t="s">
        <v>200</v>
      </c>
      <c r="AU428" s="15" t="s">
        <v>6405</v>
      </c>
      <c r="AV428" s="15" t="s">
        <v>162</v>
      </c>
      <c r="AW428" s="15" t="s">
        <v>8918</v>
      </c>
      <c r="AX428" s="15" t="s">
        <v>8920</v>
      </c>
      <c r="AY428" s="15" t="s">
        <v>138</v>
      </c>
      <c r="AZ428" s="15" t="s">
        <v>164</v>
      </c>
      <c r="BA428" s="15" t="s">
        <v>165</v>
      </c>
      <c r="BB428" s="15" t="s">
        <v>8921</v>
      </c>
      <c r="BC428" s="15" t="s">
        <v>8922</v>
      </c>
      <c r="BD428" s="21">
        <v>14</v>
      </c>
      <c r="BE428" s="15" t="s">
        <v>138</v>
      </c>
      <c r="BF428" s="15" t="s">
        <v>138</v>
      </c>
      <c r="BG428" s="15" t="s">
        <v>8923</v>
      </c>
      <c r="BH428" s="15" t="s">
        <v>8924</v>
      </c>
      <c r="BI428" s="15" t="s">
        <v>138</v>
      </c>
      <c r="BJ428" s="15" t="s">
        <v>8925</v>
      </c>
      <c r="BK428" s="15" t="s">
        <v>138</v>
      </c>
      <c r="BL428" s="15" t="s">
        <v>8926</v>
      </c>
      <c r="BM428" s="22">
        <v>37295</v>
      </c>
      <c r="BN428" s="17">
        <v>12.61</v>
      </c>
      <c r="BO428" s="15" t="s">
        <v>172</v>
      </c>
      <c r="BP428" s="17">
        <v>30.55</v>
      </c>
      <c r="BQ428" s="15" t="s">
        <v>172</v>
      </c>
      <c r="BR428" s="15" t="s">
        <v>205</v>
      </c>
      <c r="BS428" s="15" t="s">
        <v>206</v>
      </c>
      <c r="BT428" s="15" t="s">
        <v>138</v>
      </c>
      <c r="BU428" s="15" t="s">
        <v>174</v>
      </c>
      <c r="BV428" s="15" t="s">
        <v>138</v>
      </c>
      <c r="BW428" s="15" t="s">
        <v>138</v>
      </c>
      <c r="BX428" s="15" t="s">
        <v>138</v>
      </c>
      <c r="BY428" s="15" t="s">
        <v>175</v>
      </c>
      <c r="BZ428" s="22">
        <v>43579</v>
      </c>
      <c r="CA428" s="17" t="s">
        <v>138</v>
      </c>
      <c r="CB428" s="15" t="s">
        <v>138</v>
      </c>
      <c r="CC428" s="17" t="s">
        <v>138</v>
      </c>
      <c r="CD428" s="15" t="s">
        <v>138</v>
      </c>
      <c r="CE428" s="15" t="s">
        <v>2228</v>
      </c>
      <c r="CF428" s="15" t="s">
        <v>138</v>
      </c>
      <c r="CG428" s="15" t="s">
        <v>138</v>
      </c>
      <c r="CH428" s="15" t="s">
        <v>780</v>
      </c>
      <c r="CI428" s="15" t="s">
        <v>138</v>
      </c>
      <c r="CJ428" s="15" t="s">
        <v>138</v>
      </c>
      <c r="CK428" s="15" t="s">
        <v>138</v>
      </c>
      <c r="CL428" s="15" t="s">
        <v>352</v>
      </c>
      <c r="CM428" s="22">
        <v>39384</v>
      </c>
      <c r="CN428" s="17">
        <v>15</v>
      </c>
      <c r="CO428" s="23">
        <v>1.66</v>
      </c>
      <c r="CP428" s="24">
        <v>98</v>
      </c>
      <c r="CQ428" s="23">
        <v>0.02</v>
      </c>
      <c r="CR428" s="23">
        <v>1.5</v>
      </c>
      <c r="CS428" s="23">
        <v>1.66</v>
      </c>
      <c r="CT428" s="24">
        <v>98</v>
      </c>
      <c r="CU428" s="23" t="s">
        <v>138</v>
      </c>
      <c r="CV428" s="24" t="s">
        <v>138</v>
      </c>
      <c r="CW428" s="23">
        <v>5.68</v>
      </c>
      <c r="CX428" s="24">
        <v>96</v>
      </c>
      <c r="CY428" s="23">
        <v>-2.35</v>
      </c>
      <c r="CZ428" s="24">
        <v>9</v>
      </c>
      <c r="DA428" s="23" t="s">
        <v>138</v>
      </c>
      <c r="DB428" s="24" t="s">
        <v>138</v>
      </c>
      <c r="DC428" s="25">
        <v>14.53</v>
      </c>
      <c r="DD428" s="24">
        <v>93</v>
      </c>
      <c r="DE428" s="25">
        <v>-0.3</v>
      </c>
      <c r="DF428" s="23">
        <v>-2.02</v>
      </c>
      <c r="DG428" s="25">
        <v>14.53</v>
      </c>
      <c r="DH428" s="24">
        <v>93</v>
      </c>
      <c r="DI428" s="25" t="s">
        <v>138</v>
      </c>
      <c r="DJ428" s="24" t="s">
        <v>138</v>
      </c>
      <c r="DK428" s="25">
        <v>5.76</v>
      </c>
      <c r="DL428" s="24">
        <v>81</v>
      </c>
      <c r="DM428" s="25">
        <v>23.31</v>
      </c>
      <c r="DN428" s="24">
        <v>95</v>
      </c>
      <c r="DO428" s="25" t="s">
        <v>138</v>
      </c>
      <c r="DP428" s="24" t="s">
        <v>138</v>
      </c>
      <c r="DQ428" s="24">
        <v>1999</v>
      </c>
      <c r="DR428" s="26">
        <v>-72</v>
      </c>
      <c r="DS428" s="23">
        <v>-3.48</v>
      </c>
      <c r="DT428" s="24">
        <v>674</v>
      </c>
      <c r="DU428" s="26">
        <v>1</v>
      </c>
      <c r="DV428" s="23">
        <v>0.15</v>
      </c>
      <c r="DW428" s="24" t="s">
        <v>138</v>
      </c>
      <c r="DX428" s="27" t="s">
        <v>138</v>
      </c>
      <c r="DY428" s="23" t="s">
        <v>138</v>
      </c>
      <c r="DZ428" s="15" t="s">
        <v>178</v>
      </c>
      <c r="EA428" s="22">
        <v>43591</v>
      </c>
      <c r="EB428" s="17">
        <v>308.88</v>
      </c>
      <c r="EC428" s="22">
        <v>42703</v>
      </c>
      <c r="ED428" s="15" t="s">
        <v>173</v>
      </c>
      <c r="EE428" s="14" t="str">
        <f>HYPERLINK("https://my.pitchbook.com?c=42902-56", "View company online")</f>
        <v>View company online</v>
      </c>
    </row>
    <row r="429" spans="1:135">
      <c r="A429" s="28" t="s">
        <v>8927</v>
      </c>
      <c r="B429" s="28" t="s">
        <v>8928</v>
      </c>
      <c r="C429" s="28" t="s">
        <v>138</v>
      </c>
      <c r="D429" s="28" t="s">
        <v>8929</v>
      </c>
      <c r="E429" s="28" t="s">
        <v>8930</v>
      </c>
      <c r="F429" s="28" t="s">
        <v>8927</v>
      </c>
      <c r="G429" s="28" t="s">
        <v>8931</v>
      </c>
      <c r="H429" s="28" t="s">
        <v>890</v>
      </c>
      <c r="I429" s="28" t="s">
        <v>891</v>
      </c>
      <c r="J429" s="28" t="s">
        <v>8932</v>
      </c>
      <c r="K429" s="28" t="s">
        <v>8933</v>
      </c>
      <c r="L429" s="28" t="s">
        <v>8934</v>
      </c>
      <c r="M429" s="28" t="s">
        <v>8935</v>
      </c>
      <c r="N429" s="28" t="s">
        <v>147</v>
      </c>
      <c r="O429" s="29">
        <v>295.17</v>
      </c>
      <c r="P429" s="28" t="s">
        <v>148</v>
      </c>
      <c r="Q429" s="28" t="s">
        <v>149</v>
      </c>
      <c r="R429" s="28" t="s">
        <v>244</v>
      </c>
      <c r="S429" s="28" t="s">
        <v>8936</v>
      </c>
      <c r="T429" s="30">
        <v>150</v>
      </c>
      <c r="U429" s="28" t="s">
        <v>8937</v>
      </c>
      <c r="V429" s="28" t="s">
        <v>138</v>
      </c>
      <c r="W429" s="28" t="s">
        <v>138</v>
      </c>
      <c r="X429" s="31">
        <v>2010</v>
      </c>
      <c r="Y429" s="28" t="s">
        <v>138</v>
      </c>
      <c r="Z429" s="28" t="s">
        <v>138</v>
      </c>
      <c r="AA429" s="28" t="s">
        <v>138</v>
      </c>
      <c r="AB429" s="32" t="s">
        <v>138</v>
      </c>
      <c r="AC429" s="32" t="s">
        <v>138</v>
      </c>
      <c r="AD429" s="32" t="s">
        <v>138</v>
      </c>
      <c r="AE429" s="32" t="s">
        <v>138</v>
      </c>
      <c r="AF429" s="32" t="s">
        <v>138</v>
      </c>
      <c r="AG429" s="28" t="s">
        <v>138</v>
      </c>
      <c r="AH429" s="32" t="s">
        <v>138</v>
      </c>
      <c r="AI429" s="32" t="s">
        <v>138</v>
      </c>
      <c r="AJ429" s="32" t="s">
        <v>138</v>
      </c>
      <c r="AK429" s="28" t="s">
        <v>8938</v>
      </c>
      <c r="AL429" s="28" t="s">
        <v>8939</v>
      </c>
      <c r="AM429" s="28" t="s">
        <v>249</v>
      </c>
      <c r="AN429" s="28" t="s">
        <v>8940</v>
      </c>
      <c r="AO429" s="28" t="s">
        <v>8941</v>
      </c>
      <c r="AP429" s="28" t="s">
        <v>3328</v>
      </c>
      <c r="AQ429" s="28" t="s">
        <v>8942</v>
      </c>
      <c r="AR429" s="28" t="s">
        <v>8943</v>
      </c>
      <c r="AS429" s="28" t="s">
        <v>3330</v>
      </c>
      <c r="AT429" s="28" t="s">
        <v>200</v>
      </c>
      <c r="AU429" s="28" t="s">
        <v>3331</v>
      </c>
      <c r="AV429" s="28" t="s">
        <v>162</v>
      </c>
      <c r="AW429" s="28" t="s">
        <v>8941</v>
      </c>
      <c r="AX429" s="28" t="s">
        <v>138</v>
      </c>
      <c r="AY429" s="28" t="s">
        <v>138</v>
      </c>
      <c r="AZ429" s="28" t="s">
        <v>164</v>
      </c>
      <c r="BA429" s="28" t="s">
        <v>165</v>
      </c>
      <c r="BB429" s="28" t="s">
        <v>8944</v>
      </c>
      <c r="BC429" s="28" t="s">
        <v>8945</v>
      </c>
      <c r="BD429" s="33">
        <v>20</v>
      </c>
      <c r="BE429" s="28" t="s">
        <v>138</v>
      </c>
      <c r="BF429" s="28" t="s">
        <v>138</v>
      </c>
      <c r="BG429" s="28" t="s">
        <v>138</v>
      </c>
      <c r="BH429" s="28" t="s">
        <v>8946</v>
      </c>
      <c r="BI429" s="28" t="s">
        <v>138</v>
      </c>
      <c r="BJ429" s="28" t="s">
        <v>138</v>
      </c>
      <c r="BK429" s="28" t="s">
        <v>8947</v>
      </c>
      <c r="BL429" s="28" t="s">
        <v>8948</v>
      </c>
      <c r="BM429" s="34">
        <v>40179</v>
      </c>
      <c r="BN429" s="29" t="s">
        <v>138</v>
      </c>
      <c r="BO429" s="28" t="s">
        <v>138</v>
      </c>
      <c r="BP429" s="29" t="s">
        <v>138</v>
      </c>
      <c r="BQ429" s="28" t="s">
        <v>138</v>
      </c>
      <c r="BR429" s="28" t="s">
        <v>316</v>
      </c>
      <c r="BS429" s="28" t="s">
        <v>138</v>
      </c>
      <c r="BT429" s="28" t="s">
        <v>138</v>
      </c>
      <c r="BU429" s="28" t="s">
        <v>177</v>
      </c>
      <c r="BV429" s="28" t="s">
        <v>138</v>
      </c>
      <c r="BW429" s="28" t="s">
        <v>138</v>
      </c>
      <c r="BX429" s="28" t="s">
        <v>138</v>
      </c>
      <c r="BY429" s="28" t="s">
        <v>175</v>
      </c>
      <c r="BZ429" s="34">
        <v>42979</v>
      </c>
      <c r="CA429" s="29">
        <v>65</v>
      </c>
      <c r="CB429" s="28" t="s">
        <v>172</v>
      </c>
      <c r="CC429" s="29">
        <v>390</v>
      </c>
      <c r="CD429" s="28" t="s">
        <v>172</v>
      </c>
      <c r="CE429" s="28" t="s">
        <v>173</v>
      </c>
      <c r="CF429" s="28" t="s">
        <v>2359</v>
      </c>
      <c r="CG429" s="28" t="s">
        <v>138</v>
      </c>
      <c r="CH429" s="28" t="s">
        <v>174</v>
      </c>
      <c r="CI429" s="28" t="s">
        <v>138</v>
      </c>
      <c r="CJ429" s="28" t="s">
        <v>138</v>
      </c>
      <c r="CK429" s="28" t="s">
        <v>138</v>
      </c>
      <c r="CL429" s="28" t="s">
        <v>175</v>
      </c>
      <c r="CM429" s="34">
        <v>42487</v>
      </c>
      <c r="CN429" s="29">
        <v>200</v>
      </c>
      <c r="CO429" s="35">
        <v>1.72</v>
      </c>
      <c r="CP429" s="36">
        <v>99</v>
      </c>
      <c r="CQ429" s="35">
        <v>0.04</v>
      </c>
      <c r="CR429" s="35">
        <v>2.1800000000000002</v>
      </c>
      <c r="CS429" s="35">
        <v>3.48</v>
      </c>
      <c r="CT429" s="36">
        <v>99</v>
      </c>
      <c r="CU429" s="35">
        <v>-0.03</v>
      </c>
      <c r="CV429" s="36">
        <v>14</v>
      </c>
      <c r="CW429" s="35">
        <v>7.22</v>
      </c>
      <c r="CX429" s="36">
        <v>98</v>
      </c>
      <c r="CY429" s="35">
        <v>-0.27</v>
      </c>
      <c r="CZ429" s="36">
        <v>23</v>
      </c>
      <c r="DA429" s="35" t="s">
        <v>138</v>
      </c>
      <c r="DB429" s="36" t="s">
        <v>138</v>
      </c>
      <c r="DC429" s="37">
        <v>13.63</v>
      </c>
      <c r="DD429" s="36">
        <v>92</v>
      </c>
      <c r="DE429" s="37">
        <v>-0.77</v>
      </c>
      <c r="DF429" s="35">
        <v>-5.37</v>
      </c>
      <c r="DG429" s="37">
        <v>15.07</v>
      </c>
      <c r="DH429" s="36">
        <v>93</v>
      </c>
      <c r="DI429" s="37">
        <v>12.19</v>
      </c>
      <c r="DJ429" s="36">
        <v>87</v>
      </c>
      <c r="DK429" s="37">
        <v>24.18</v>
      </c>
      <c r="DL429" s="36">
        <v>93</v>
      </c>
      <c r="DM429" s="37">
        <v>5.97</v>
      </c>
      <c r="DN429" s="36">
        <v>84</v>
      </c>
      <c r="DO429" s="37" t="s">
        <v>138</v>
      </c>
      <c r="DP429" s="36" t="s">
        <v>138</v>
      </c>
      <c r="DQ429" s="36">
        <v>8148</v>
      </c>
      <c r="DR429" s="38">
        <v>438</v>
      </c>
      <c r="DS429" s="35">
        <v>5.68</v>
      </c>
      <c r="DT429" s="36">
        <v>172</v>
      </c>
      <c r="DU429" s="38">
        <v>2</v>
      </c>
      <c r="DV429" s="35">
        <v>1.18</v>
      </c>
      <c r="DW429" s="36" t="s">
        <v>138</v>
      </c>
      <c r="DX429" s="39" t="s">
        <v>138</v>
      </c>
      <c r="DY429" s="35" t="s">
        <v>138</v>
      </c>
      <c r="DZ429" s="28" t="s">
        <v>178</v>
      </c>
      <c r="EA429" s="34">
        <v>43602</v>
      </c>
      <c r="EB429" s="29">
        <v>390</v>
      </c>
      <c r="EC429" s="34">
        <v>42979</v>
      </c>
      <c r="ED429" s="28" t="s">
        <v>173</v>
      </c>
      <c r="EE429" s="40" t="str">
        <f>HYPERLINK("https://my.pitchbook.com?c=54574-30", "View company online")</f>
        <v>View company online</v>
      </c>
    </row>
    <row r="430" spans="1:135">
      <c r="A430" s="15" t="s">
        <v>8949</v>
      </c>
      <c r="B430" s="15" t="s">
        <v>8950</v>
      </c>
      <c r="C430" s="15" t="s">
        <v>138</v>
      </c>
      <c r="D430" s="15" t="s">
        <v>138</v>
      </c>
      <c r="E430" s="15" t="s">
        <v>138</v>
      </c>
      <c r="F430" s="15" t="s">
        <v>8949</v>
      </c>
      <c r="G430" s="15" t="s">
        <v>8951</v>
      </c>
      <c r="H430" s="15" t="s">
        <v>322</v>
      </c>
      <c r="I430" s="15" t="s">
        <v>323</v>
      </c>
      <c r="J430" s="15" t="s">
        <v>1235</v>
      </c>
      <c r="K430" s="15" t="s">
        <v>8952</v>
      </c>
      <c r="L430" s="15" t="s">
        <v>415</v>
      </c>
      <c r="M430" s="15" t="s">
        <v>8953</v>
      </c>
      <c r="N430" s="15" t="s">
        <v>147</v>
      </c>
      <c r="O430" s="17">
        <v>10.5</v>
      </c>
      <c r="P430" s="15" t="s">
        <v>148</v>
      </c>
      <c r="Q430" s="15" t="s">
        <v>149</v>
      </c>
      <c r="R430" s="15" t="s">
        <v>174</v>
      </c>
      <c r="S430" s="15" t="s">
        <v>8954</v>
      </c>
      <c r="T430" s="18" t="s">
        <v>138</v>
      </c>
      <c r="U430" s="15" t="s">
        <v>138</v>
      </c>
      <c r="V430" s="15" t="s">
        <v>138</v>
      </c>
      <c r="W430" s="15" t="s">
        <v>138</v>
      </c>
      <c r="X430" s="19" t="s">
        <v>138</v>
      </c>
      <c r="Y430" s="15" t="s">
        <v>138</v>
      </c>
      <c r="Z430" s="15" t="s">
        <v>138</v>
      </c>
      <c r="AA430" s="15" t="s">
        <v>138</v>
      </c>
      <c r="AB430" s="20" t="s">
        <v>138</v>
      </c>
      <c r="AC430" s="20" t="s">
        <v>138</v>
      </c>
      <c r="AD430" s="20" t="s">
        <v>138</v>
      </c>
      <c r="AE430" s="20" t="s">
        <v>138</v>
      </c>
      <c r="AF430" s="20" t="s">
        <v>138</v>
      </c>
      <c r="AG430" s="15" t="s">
        <v>138</v>
      </c>
      <c r="AH430" s="20" t="s">
        <v>138</v>
      </c>
      <c r="AI430" s="20" t="s">
        <v>138</v>
      </c>
      <c r="AJ430" s="20" t="s">
        <v>138</v>
      </c>
      <c r="AK430" s="15" t="s">
        <v>138</v>
      </c>
      <c r="AL430" s="15" t="s">
        <v>138</v>
      </c>
      <c r="AM430" s="15" t="s">
        <v>138</v>
      </c>
      <c r="AN430" s="15" t="s">
        <v>138</v>
      </c>
      <c r="AO430" s="15" t="s">
        <v>138</v>
      </c>
      <c r="AP430" s="15" t="s">
        <v>665</v>
      </c>
      <c r="AQ430" s="15" t="s">
        <v>138</v>
      </c>
      <c r="AR430" s="15" t="s">
        <v>138</v>
      </c>
      <c r="AS430" s="15" t="s">
        <v>668</v>
      </c>
      <c r="AT430" s="15" t="s">
        <v>200</v>
      </c>
      <c r="AU430" s="15" t="s">
        <v>138</v>
      </c>
      <c r="AV430" s="15" t="s">
        <v>162</v>
      </c>
      <c r="AW430" s="15" t="s">
        <v>138</v>
      </c>
      <c r="AX430" s="15" t="s">
        <v>138</v>
      </c>
      <c r="AY430" s="15" t="s">
        <v>8955</v>
      </c>
      <c r="AZ430" s="15" t="s">
        <v>164</v>
      </c>
      <c r="BA430" s="15" t="s">
        <v>165</v>
      </c>
      <c r="BB430" s="15" t="s">
        <v>8956</v>
      </c>
      <c r="BC430" s="15" t="s">
        <v>8957</v>
      </c>
      <c r="BD430" s="21">
        <v>5</v>
      </c>
      <c r="BE430" s="15" t="s">
        <v>138</v>
      </c>
      <c r="BF430" s="15" t="s">
        <v>8958</v>
      </c>
      <c r="BG430" s="15" t="s">
        <v>138</v>
      </c>
      <c r="BH430" s="15" t="s">
        <v>8959</v>
      </c>
      <c r="BI430" s="15" t="s">
        <v>8960</v>
      </c>
      <c r="BJ430" s="15" t="s">
        <v>138</v>
      </c>
      <c r="BK430" s="15" t="s">
        <v>138</v>
      </c>
      <c r="BL430" s="15" t="s">
        <v>138</v>
      </c>
      <c r="BM430" s="22">
        <v>38353</v>
      </c>
      <c r="BN430" s="17" t="s">
        <v>138</v>
      </c>
      <c r="BO430" s="15" t="s">
        <v>138</v>
      </c>
      <c r="BP430" s="17" t="s">
        <v>138</v>
      </c>
      <c r="BQ430" s="15" t="s">
        <v>138</v>
      </c>
      <c r="BR430" s="15" t="s">
        <v>205</v>
      </c>
      <c r="BS430" s="15" t="s">
        <v>138</v>
      </c>
      <c r="BT430" s="15" t="s">
        <v>138</v>
      </c>
      <c r="BU430" s="15" t="s">
        <v>174</v>
      </c>
      <c r="BV430" s="15" t="s">
        <v>138</v>
      </c>
      <c r="BW430" s="15" t="s">
        <v>138</v>
      </c>
      <c r="BX430" s="15" t="s">
        <v>138</v>
      </c>
      <c r="BY430" s="15" t="s">
        <v>175</v>
      </c>
      <c r="BZ430" s="22">
        <v>43572</v>
      </c>
      <c r="CA430" s="17">
        <v>7</v>
      </c>
      <c r="CB430" s="15" t="s">
        <v>172</v>
      </c>
      <c r="CC430" s="17" t="s">
        <v>138</v>
      </c>
      <c r="CD430" s="15" t="s">
        <v>138</v>
      </c>
      <c r="CE430" s="15" t="s">
        <v>173</v>
      </c>
      <c r="CF430" s="15" t="s">
        <v>138</v>
      </c>
      <c r="CG430" s="15" t="s">
        <v>138</v>
      </c>
      <c r="CH430" s="15" t="s">
        <v>174</v>
      </c>
      <c r="CI430" s="15" t="s">
        <v>138</v>
      </c>
      <c r="CJ430" s="15" t="s">
        <v>138</v>
      </c>
      <c r="CK430" s="15" t="s">
        <v>138</v>
      </c>
      <c r="CL430" s="15" t="s">
        <v>175</v>
      </c>
      <c r="CM430" s="22" t="s">
        <v>138</v>
      </c>
      <c r="CN430" s="17" t="s">
        <v>138</v>
      </c>
      <c r="CO430" s="23">
        <v>1.53</v>
      </c>
      <c r="CP430" s="24">
        <v>98</v>
      </c>
      <c r="CQ430" s="23">
        <v>-0.01</v>
      </c>
      <c r="CR430" s="23">
        <v>-0.56000000000000005</v>
      </c>
      <c r="CS430" s="23">
        <v>-0.48</v>
      </c>
      <c r="CT430" s="24">
        <v>19</v>
      </c>
      <c r="CU430" s="23">
        <v>3.54</v>
      </c>
      <c r="CV430" s="24">
        <v>100</v>
      </c>
      <c r="CW430" s="23">
        <v>2.06</v>
      </c>
      <c r="CX430" s="24">
        <v>88</v>
      </c>
      <c r="CY430" s="23">
        <v>-3.02</v>
      </c>
      <c r="CZ430" s="24">
        <v>7</v>
      </c>
      <c r="DA430" s="23" t="s">
        <v>138</v>
      </c>
      <c r="DB430" s="24" t="s">
        <v>138</v>
      </c>
      <c r="DC430" s="25">
        <v>16.52</v>
      </c>
      <c r="DD430" s="24">
        <v>94</v>
      </c>
      <c r="DE430" s="25">
        <v>-0.19</v>
      </c>
      <c r="DF430" s="23">
        <v>-1.1399999999999999</v>
      </c>
      <c r="DG430" s="25">
        <v>32.89</v>
      </c>
      <c r="DH430" s="24">
        <v>97</v>
      </c>
      <c r="DI430" s="25">
        <v>0.16</v>
      </c>
      <c r="DJ430" s="24">
        <v>19</v>
      </c>
      <c r="DK430" s="25">
        <v>3.77</v>
      </c>
      <c r="DL430" s="24">
        <v>75</v>
      </c>
      <c r="DM430" s="25">
        <v>62</v>
      </c>
      <c r="DN430" s="24">
        <v>99</v>
      </c>
      <c r="DO430" s="25" t="s">
        <v>138</v>
      </c>
      <c r="DP430" s="24" t="s">
        <v>138</v>
      </c>
      <c r="DQ430" s="24">
        <v>1277</v>
      </c>
      <c r="DR430" s="26">
        <v>48</v>
      </c>
      <c r="DS430" s="23">
        <v>3.91</v>
      </c>
      <c r="DT430" s="24">
        <v>1801</v>
      </c>
      <c r="DU430" s="26">
        <v>-5</v>
      </c>
      <c r="DV430" s="23">
        <v>-0.28000000000000003</v>
      </c>
      <c r="DW430" s="24" t="s">
        <v>138</v>
      </c>
      <c r="DX430" s="27" t="s">
        <v>138</v>
      </c>
      <c r="DY430" s="23" t="s">
        <v>138</v>
      </c>
      <c r="DZ430" s="15" t="s">
        <v>178</v>
      </c>
      <c r="EA430" s="22">
        <v>43580</v>
      </c>
      <c r="EB430" s="17">
        <v>17.5</v>
      </c>
      <c r="EC430" s="22">
        <v>42552</v>
      </c>
      <c r="ED430" s="15" t="s">
        <v>173</v>
      </c>
      <c r="EE430" s="14" t="str">
        <f>HYPERLINK("https://my.pitchbook.com?c=52897-69", "View company online")</f>
        <v>View company online</v>
      </c>
    </row>
    <row r="431" spans="1:135">
      <c r="A431" s="28" t="s">
        <v>8961</v>
      </c>
      <c r="B431" s="28" t="s">
        <v>8962</v>
      </c>
      <c r="C431" s="28" t="s">
        <v>138</v>
      </c>
      <c r="D431" s="28" t="s">
        <v>138</v>
      </c>
      <c r="E431" s="28" t="s">
        <v>8963</v>
      </c>
      <c r="F431" s="28" t="s">
        <v>8961</v>
      </c>
      <c r="G431" s="28" t="s">
        <v>8964</v>
      </c>
      <c r="H431" s="28" t="s">
        <v>141</v>
      </c>
      <c r="I431" s="28" t="s">
        <v>142</v>
      </c>
      <c r="J431" s="28" t="s">
        <v>4042</v>
      </c>
      <c r="K431" s="28" t="s">
        <v>8965</v>
      </c>
      <c r="L431" s="28" t="s">
        <v>8966</v>
      </c>
      <c r="M431" s="28" t="s">
        <v>8967</v>
      </c>
      <c r="N431" s="28" t="s">
        <v>147</v>
      </c>
      <c r="O431" s="29">
        <v>29.32</v>
      </c>
      <c r="P431" s="28" t="s">
        <v>148</v>
      </c>
      <c r="Q431" s="28" t="s">
        <v>149</v>
      </c>
      <c r="R431" s="28" t="s">
        <v>174</v>
      </c>
      <c r="S431" s="28" t="s">
        <v>8968</v>
      </c>
      <c r="T431" s="30">
        <v>45</v>
      </c>
      <c r="U431" s="28" t="s">
        <v>8969</v>
      </c>
      <c r="V431" s="28" t="s">
        <v>138</v>
      </c>
      <c r="W431" s="28" t="s">
        <v>138</v>
      </c>
      <c r="X431" s="31">
        <v>2013</v>
      </c>
      <c r="Y431" s="28" t="s">
        <v>138</v>
      </c>
      <c r="Z431" s="28" t="s">
        <v>138</v>
      </c>
      <c r="AA431" s="28" t="s">
        <v>138</v>
      </c>
      <c r="AB431" s="32">
        <v>10</v>
      </c>
      <c r="AC431" s="32" t="s">
        <v>138</v>
      </c>
      <c r="AD431" s="32" t="s">
        <v>138</v>
      </c>
      <c r="AE431" s="32" t="s">
        <v>138</v>
      </c>
      <c r="AF431" s="32" t="s">
        <v>138</v>
      </c>
      <c r="AG431" s="28" t="s">
        <v>419</v>
      </c>
      <c r="AH431" s="32" t="s">
        <v>138</v>
      </c>
      <c r="AI431" s="32" t="s">
        <v>138</v>
      </c>
      <c r="AJ431" s="32" t="s">
        <v>138</v>
      </c>
      <c r="AK431" s="28" t="s">
        <v>8970</v>
      </c>
      <c r="AL431" s="28" t="s">
        <v>8971</v>
      </c>
      <c r="AM431" s="28" t="s">
        <v>2878</v>
      </c>
      <c r="AN431" s="28" t="s">
        <v>8972</v>
      </c>
      <c r="AO431" s="28" t="s">
        <v>8973</v>
      </c>
      <c r="AP431" s="28" t="s">
        <v>8974</v>
      </c>
      <c r="AQ431" s="28" t="s">
        <v>8975</v>
      </c>
      <c r="AR431" s="28" t="s">
        <v>8976</v>
      </c>
      <c r="AS431" s="28" t="s">
        <v>8977</v>
      </c>
      <c r="AT431" s="28" t="s">
        <v>864</v>
      </c>
      <c r="AU431" s="28" t="s">
        <v>8978</v>
      </c>
      <c r="AV431" s="28" t="s">
        <v>162</v>
      </c>
      <c r="AW431" s="28" t="s">
        <v>8973</v>
      </c>
      <c r="AX431" s="28" t="s">
        <v>138</v>
      </c>
      <c r="AY431" s="28" t="s">
        <v>8979</v>
      </c>
      <c r="AZ431" s="28" t="s">
        <v>164</v>
      </c>
      <c r="BA431" s="28" t="s">
        <v>165</v>
      </c>
      <c r="BB431" s="28" t="s">
        <v>8980</v>
      </c>
      <c r="BC431" s="28" t="s">
        <v>8981</v>
      </c>
      <c r="BD431" s="33">
        <v>14</v>
      </c>
      <c r="BE431" s="28" t="s">
        <v>138</v>
      </c>
      <c r="BF431" s="28" t="s">
        <v>138</v>
      </c>
      <c r="BG431" s="28" t="s">
        <v>138</v>
      </c>
      <c r="BH431" s="28" t="s">
        <v>8982</v>
      </c>
      <c r="BI431" s="28" t="s">
        <v>138</v>
      </c>
      <c r="BJ431" s="28" t="s">
        <v>138</v>
      </c>
      <c r="BK431" s="28" t="s">
        <v>8983</v>
      </c>
      <c r="BL431" s="28" t="s">
        <v>1038</v>
      </c>
      <c r="BM431" s="34">
        <v>42261</v>
      </c>
      <c r="BN431" s="29">
        <v>1.57</v>
      </c>
      <c r="BO431" s="28" t="s">
        <v>172</v>
      </c>
      <c r="BP431" s="29" t="s">
        <v>138</v>
      </c>
      <c r="BQ431" s="28" t="s">
        <v>138</v>
      </c>
      <c r="BR431" s="28" t="s">
        <v>176</v>
      </c>
      <c r="BS431" s="28" t="s">
        <v>138</v>
      </c>
      <c r="BT431" s="28" t="s">
        <v>138</v>
      </c>
      <c r="BU431" s="28" t="s">
        <v>177</v>
      </c>
      <c r="BV431" s="28" t="s">
        <v>138</v>
      </c>
      <c r="BW431" s="28" t="s">
        <v>138</v>
      </c>
      <c r="BX431" s="28" t="s">
        <v>138</v>
      </c>
      <c r="BY431" s="28" t="s">
        <v>175</v>
      </c>
      <c r="BZ431" s="34">
        <v>43556</v>
      </c>
      <c r="CA431" s="29" t="s">
        <v>138</v>
      </c>
      <c r="CB431" s="28" t="s">
        <v>138</v>
      </c>
      <c r="CC431" s="29" t="s">
        <v>138</v>
      </c>
      <c r="CD431" s="28" t="s">
        <v>138</v>
      </c>
      <c r="CE431" s="28" t="s">
        <v>173</v>
      </c>
      <c r="CF431" s="28" t="s">
        <v>138</v>
      </c>
      <c r="CG431" s="28" t="s">
        <v>138</v>
      </c>
      <c r="CH431" s="28" t="s">
        <v>174</v>
      </c>
      <c r="CI431" s="28" t="s">
        <v>138</v>
      </c>
      <c r="CJ431" s="28" t="s">
        <v>138</v>
      </c>
      <c r="CK431" s="28" t="s">
        <v>138</v>
      </c>
      <c r="CL431" s="28" t="s">
        <v>175</v>
      </c>
      <c r="CM431" s="34" t="s">
        <v>138</v>
      </c>
      <c r="CN431" s="29" t="s">
        <v>138</v>
      </c>
      <c r="CO431" s="35">
        <v>1.89</v>
      </c>
      <c r="CP431" s="36">
        <v>99</v>
      </c>
      <c r="CQ431" s="35">
        <v>-0.01</v>
      </c>
      <c r="CR431" s="35">
        <v>-0.53</v>
      </c>
      <c r="CS431" s="35">
        <v>4.0999999999999996</v>
      </c>
      <c r="CT431" s="36">
        <v>100</v>
      </c>
      <c r="CU431" s="35">
        <v>0.7</v>
      </c>
      <c r="CV431" s="36">
        <v>96</v>
      </c>
      <c r="CW431" s="35">
        <v>8.67</v>
      </c>
      <c r="CX431" s="36">
        <v>99</v>
      </c>
      <c r="CY431" s="35">
        <v>-0.47</v>
      </c>
      <c r="CZ431" s="36">
        <v>22</v>
      </c>
      <c r="DA431" s="35">
        <v>0.44</v>
      </c>
      <c r="DB431" s="36">
        <v>93</v>
      </c>
      <c r="DC431" s="37">
        <v>6.23</v>
      </c>
      <c r="DD431" s="36">
        <v>85</v>
      </c>
      <c r="DE431" s="37">
        <v>-0.23</v>
      </c>
      <c r="DF431" s="35">
        <v>-3.55</v>
      </c>
      <c r="DG431" s="37">
        <v>14.9</v>
      </c>
      <c r="DH431" s="36">
        <v>93</v>
      </c>
      <c r="DI431" s="37">
        <v>3.72</v>
      </c>
      <c r="DJ431" s="36">
        <v>73</v>
      </c>
      <c r="DK431" s="37">
        <v>11.87</v>
      </c>
      <c r="DL431" s="36">
        <v>88</v>
      </c>
      <c r="DM431" s="37">
        <v>17.93</v>
      </c>
      <c r="DN431" s="36">
        <v>93</v>
      </c>
      <c r="DO431" s="37">
        <v>6.85</v>
      </c>
      <c r="DP431" s="36">
        <v>83</v>
      </c>
      <c r="DQ431" s="36">
        <v>3930</v>
      </c>
      <c r="DR431" s="38">
        <v>421</v>
      </c>
      <c r="DS431" s="35">
        <v>12</v>
      </c>
      <c r="DT431" s="36">
        <v>519</v>
      </c>
      <c r="DU431" s="38">
        <v>1</v>
      </c>
      <c r="DV431" s="35">
        <v>0.19</v>
      </c>
      <c r="DW431" s="36">
        <v>2446</v>
      </c>
      <c r="DX431" s="39">
        <v>10</v>
      </c>
      <c r="DY431" s="35">
        <v>0.41</v>
      </c>
      <c r="DZ431" s="28" t="s">
        <v>178</v>
      </c>
      <c r="EA431" s="34">
        <v>43607</v>
      </c>
      <c r="EB431" s="29">
        <v>50.25</v>
      </c>
      <c r="EC431" s="34">
        <v>43238</v>
      </c>
      <c r="ED431" s="28" t="s">
        <v>173</v>
      </c>
      <c r="EE431" s="40" t="str">
        <f>HYPERLINK("https://my.pitchbook.com?c=103146-94", "View company online")</f>
        <v>View company online</v>
      </c>
    </row>
    <row r="432" spans="1:135">
      <c r="A432" s="15" t="s">
        <v>8984</v>
      </c>
      <c r="B432" s="15" t="s">
        <v>8985</v>
      </c>
      <c r="C432" s="15" t="s">
        <v>138</v>
      </c>
      <c r="D432" s="15" t="s">
        <v>138</v>
      </c>
      <c r="E432" s="15" t="s">
        <v>138</v>
      </c>
      <c r="F432" s="15" t="s">
        <v>8984</v>
      </c>
      <c r="G432" s="15" t="s">
        <v>8986</v>
      </c>
      <c r="H432" s="15" t="s">
        <v>322</v>
      </c>
      <c r="I432" s="15" t="s">
        <v>323</v>
      </c>
      <c r="J432" s="15" t="s">
        <v>324</v>
      </c>
      <c r="K432" s="15" t="s">
        <v>325</v>
      </c>
      <c r="L432" s="15" t="s">
        <v>215</v>
      </c>
      <c r="M432" s="15" t="s">
        <v>8987</v>
      </c>
      <c r="N432" s="15" t="s">
        <v>147</v>
      </c>
      <c r="O432" s="17">
        <v>1.92</v>
      </c>
      <c r="P432" s="15" t="s">
        <v>148</v>
      </c>
      <c r="Q432" s="15" t="s">
        <v>149</v>
      </c>
      <c r="R432" s="15" t="s">
        <v>174</v>
      </c>
      <c r="S432" s="15" t="s">
        <v>8988</v>
      </c>
      <c r="T432" s="18" t="s">
        <v>138</v>
      </c>
      <c r="U432" s="15" t="s">
        <v>138</v>
      </c>
      <c r="V432" s="15" t="s">
        <v>138</v>
      </c>
      <c r="W432" s="15" t="s">
        <v>138</v>
      </c>
      <c r="X432" s="19">
        <v>2014</v>
      </c>
      <c r="Y432" s="15" t="s">
        <v>138</v>
      </c>
      <c r="Z432" s="15" t="s">
        <v>138</v>
      </c>
      <c r="AA432" s="15" t="s">
        <v>138</v>
      </c>
      <c r="AB432" s="20">
        <v>0.52</v>
      </c>
      <c r="AC432" s="20" t="s">
        <v>138</v>
      </c>
      <c r="AD432" s="20" t="s">
        <v>138</v>
      </c>
      <c r="AE432" s="20" t="s">
        <v>138</v>
      </c>
      <c r="AF432" s="20" t="s">
        <v>138</v>
      </c>
      <c r="AG432" s="15" t="s">
        <v>815</v>
      </c>
      <c r="AH432" s="20" t="s">
        <v>138</v>
      </c>
      <c r="AI432" s="20" t="s">
        <v>138</v>
      </c>
      <c r="AJ432" s="20" t="s">
        <v>138</v>
      </c>
      <c r="AK432" s="15" t="s">
        <v>8989</v>
      </c>
      <c r="AL432" s="15" t="s">
        <v>8990</v>
      </c>
      <c r="AM432" s="15" t="s">
        <v>566</v>
      </c>
      <c r="AN432" s="15" t="s">
        <v>8991</v>
      </c>
      <c r="AO432" s="15" t="s">
        <v>8992</v>
      </c>
      <c r="AP432" s="15" t="s">
        <v>8993</v>
      </c>
      <c r="AQ432" s="15" t="s">
        <v>8994</v>
      </c>
      <c r="AR432" s="15" t="s">
        <v>8995</v>
      </c>
      <c r="AS432" s="15" t="s">
        <v>8996</v>
      </c>
      <c r="AT432" s="15" t="s">
        <v>8997</v>
      </c>
      <c r="AU432" s="15" t="s">
        <v>8998</v>
      </c>
      <c r="AV432" s="15" t="s">
        <v>8999</v>
      </c>
      <c r="AW432" s="15" t="s">
        <v>8992</v>
      </c>
      <c r="AX432" s="15" t="s">
        <v>138</v>
      </c>
      <c r="AY432" s="15" t="s">
        <v>9000</v>
      </c>
      <c r="AZ432" s="15" t="s">
        <v>9001</v>
      </c>
      <c r="BA432" s="15" t="s">
        <v>9001</v>
      </c>
      <c r="BB432" s="15" t="s">
        <v>9002</v>
      </c>
      <c r="BC432" s="15" t="s">
        <v>3186</v>
      </c>
      <c r="BD432" s="21">
        <v>1</v>
      </c>
      <c r="BE432" s="15" t="s">
        <v>138</v>
      </c>
      <c r="BF432" s="15" t="s">
        <v>138</v>
      </c>
      <c r="BG432" s="15" t="s">
        <v>138</v>
      </c>
      <c r="BH432" s="15" t="s">
        <v>138</v>
      </c>
      <c r="BI432" s="15" t="s">
        <v>138</v>
      </c>
      <c r="BJ432" s="15" t="s">
        <v>138</v>
      </c>
      <c r="BK432" s="15" t="s">
        <v>138</v>
      </c>
      <c r="BL432" s="15" t="s">
        <v>138</v>
      </c>
      <c r="BM432" s="22" t="s">
        <v>138</v>
      </c>
      <c r="BN432" s="17">
        <v>0.36</v>
      </c>
      <c r="BO432" s="15" t="s">
        <v>172</v>
      </c>
      <c r="BP432" s="17" t="s">
        <v>138</v>
      </c>
      <c r="BQ432" s="15" t="s">
        <v>138</v>
      </c>
      <c r="BR432" s="15" t="s">
        <v>262</v>
      </c>
      <c r="BS432" s="15" t="s">
        <v>262</v>
      </c>
      <c r="BT432" s="15" t="s">
        <v>138</v>
      </c>
      <c r="BU432" s="15" t="s">
        <v>263</v>
      </c>
      <c r="BV432" s="15" t="s">
        <v>138</v>
      </c>
      <c r="BW432" s="15" t="s">
        <v>138</v>
      </c>
      <c r="BX432" s="15" t="s">
        <v>138</v>
      </c>
      <c r="BY432" s="15" t="s">
        <v>175</v>
      </c>
      <c r="BZ432" s="22">
        <v>43166</v>
      </c>
      <c r="CA432" s="17">
        <v>1.1599999999999999</v>
      </c>
      <c r="CB432" s="15" t="s">
        <v>172</v>
      </c>
      <c r="CC432" s="17" t="s">
        <v>138</v>
      </c>
      <c r="CD432" s="15" t="s">
        <v>138</v>
      </c>
      <c r="CE432" s="15" t="s">
        <v>205</v>
      </c>
      <c r="CF432" s="15" t="s">
        <v>138</v>
      </c>
      <c r="CG432" s="15" t="s">
        <v>138</v>
      </c>
      <c r="CH432" s="15" t="s">
        <v>174</v>
      </c>
      <c r="CI432" s="15" t="s">
        <v>138</v>
      </c>
      <c r="CJ432" s="15" t="s">
        <v>138</v>
      </c>
      <c r="CK432" s="15" t="s">
        <v>138</v>
      </c>
      <c r="CL432" s="15" t="s">
        <v>352</v>
      </c>
      <c r="CM432" s="22" t="s">
        <v>138</v>
      </c>
      <c r="CN432" s="17" t="s">
        <v>138</v>
      </c>
      <c r="CO432" s="23">
        <v>0.13</v>
      </c>
      <c r="CP432" s="24">
        <v>91</v>
      </c>
      <c r="CQ432" s="23">
        <v>-0.03</v>
      </c>
      <c r="CR432" s="23">
        <v>-20.16</v>
      </c>
      <c r="CS432" s="23">
        <v>0</v>
      </c>
      <c r="CT432" s="24">
        <v>23</v>
      </c>
      <c r="CU432" s="23">
        <v>0.26</v>
      </c>
      <c r="CV432" s="24">
        <v>85</v>
      </c>
      <c r="CW432" s="23" t="s">
        <v>138</v>
      </c>
      <c r="CX432" s="24" t="s">
        <v>138</v>
      </c>
      <c r="CY432" s="23">
        <v>0</v>
      </c>
      <c r="CZ432" s="24">
        <v>25</v>
      </c>
      <c r="DA432" s="23">
        <v>0.26</v>
      </c>
      <c r="DB432" s="24">
        <v>87</v>
      </c>
      <c r="DC432" s="25">
        <v>0.31</v>
      </c>
      <c r="DD432" s="24">
        <v>23</v>
      </c>
      <c r="DE432" s="25">
        <v>0</v>
      </c>
      <c r="DF432" s="23">
        <v>0.95</v>
      </c>
      <c r="DG432" s="25">
        <v>7.0000000000000007E-2</v>
      </c>
      <c r="DH432" s="24">
        <v>4</v>
      </c>
      <c r="DI432" s="25">
        <v>0.56000000000000005</v>
      </c>
      <c r="DJ432" s="24">
        <v>38</v>
      </c>
      <c r="DK432" s="25" t="s">
        <v>138</v>
      </c>
      <c r="DL432" s="24" t="s">
        <v>138</v>
      </c>
      <c r="DM432" s="25">
        <v>7.0000000000000007E-2</v>
      </c>
      <c r="DN432" s="24">
        <v>5</v>
      </c>
      <c r="DO432" s="25">
        <v>0.56000000000000005</v>
      </c>
      <c r="DP432" s="24">
        <v>40</v>
      </c>
      <c r="DQ432" s="24">
        <v>235</v>
      </c>
      <c r="DR432" s="26">
        <v>14</v>
      </c>
      <c r="DS432" s="23">
        <v>6.33</v>
      </c>
      <c r="DT432" s="24">
        <v>2</v>
      </c>
      <c r="DU432" s="26">
        <v>0</v>
      </c>
      <c r="DV432" s="23">
        <v>0</v>
      </c>
      <c r="DW432" s="24">
        <v>199</v>
      </c>
      <c r="DX432" s="27">
        <v>0</v>
      </c>
      <c r="DY432" s="23">
        <v>0</v>
      </c>
      <c r="DZ432" s="15" t="s">
        <v>178</v>
      </c>
      <c r="EA432" s="22">
        <v>43351</v>
      </c>
      <c r="EB432" s="17" t="s">
        <v>138</v>
      </c>
      <c r="EC432" s="22" t="s">
        <v>138</v>
      </c>
      <c r="ED432" s="15" t="s">
        <v>138</v>
      </c>
      <c r="EE432" s="14" t="str">
        <f>HYPERLINK("https://my.pitchbook.com?c=230679-55", "View company online")</f>
        <v>View company online</v>
      </c>
    </row>
    <row r="433" spans="1:135">
      <c r="A433" s="28" t="s">
        <v>9003</v>
      </c>
      <c r="B433" s="28" t="s">
        <v>9004</v>
      </c>
      <c r="C433" s="28" t="s">
        <v>138</v>
      </c>
      <c r="D433" s="28" t="s">
        <v>138</v>
      </c>
      <c r="E433" s="28" t="s">
        <v>9005</v>
      </c>
      <c r="F433" s="28" t="s">
        <v>9003</v>
      </c>
      <c r="G433" s="28" t="s">
        <v>9006</v>
      </c>
      <c r="H433" s="28" t="s">
        <v>322</v>
      </c>
      <c r="I433" s="28" t="s">
        <v>323</v>
      </c>
      <c r="J433" s="28" t="s">
        <v>1184</v>
      </c>
      <c r="K433" s="28" t="s">
        <v>9007</v>
      </c>
      <c r="L433" s="28" t="s">
        <v>2043</v>
      </c>
      <c r="M433" s="28" t="s">
        <v>9008</v>
      </c>
      <c r="N433" s="28" t="s">
        <v>147</v>
      </c>
      <c r="O433" s="29">
        <v>32.28</v>
      </c>
      <c r="P433" s="28" t="s">
        <v>148</v>
      </c>
      <c r="Q433" s="28" t="s">
        <v>149</v>
      </c>
      <c r="R433" s="28" t="s">
        <v>174</v>
      </c>
      <c r="S433" s="28" t="s">
        <v>9009</v>
      </c>
      <c r="T433" s="30">
        <v>46</v>
      </c>
      <c r="U433" s="28" t="s">
        <v>9010</v>
      </c>
      <c r="V433" s="28" t="s">
        <v>138</v>
      </c>
      <c r="W433" s="28" t="s">
        <v>138</v>
      </c>
      <c r="X433" s="31">
        <v>2009</v>
      </c>
      <c r="Y433" s="28" t="s">
        <v>138</v>
      </c>
      <c r="Z433" s="28" t="s">
        <v>138</v>
      </c>
      <c r="AA433" s="28" t="s">
        <v>138</v>
      </c>
      <c r="AB433" s="32" t="s">
        <v>138</v>
      </c>
      <c r="AC433" s="32" t="s">
        <v>138</v>
      </c>
      <c r="AD433" s="32" t="s">
        <v>138</v>
      </c>
      <c r="AE433" s="32" t="s">
        <v>138</v>
      </c>
      <c r="AF433" s="32" t="s">
        <v>138</v>
      </c>
      <c r="AG433" s="28" t="s">
        <v>138</v>
      </c>
      <c r="AH433" s="32" t="s">
        <v>138</v>
      </c>
      <c r="AI433" s="32" t="s">
        <v>138</v>
      </c>
      <c r="AJ433" s="32" t="s">
        <v>138</v>
      </c>
      <c r="AK433" s="28" t="s">
        <v>9011</v>
      </c>
      <c r="AL433" s="28" t="s">
        <v>9012</v>
      </c>
      <c r="AM433" s="28" t="s">
        <v>566</v>
      </c>
      <c r="AN433" s="28" t="s">
        <v>9013</v>
      </c>
      <c r="AO433" s="28" t="s">
        <v>9014</v>
      </c>
      <c r="AP433" s="28" t="s">
        <v>423</v>
      </c>
      <c r="AQ433" s="28" t="s">
        <v>9015</v>
      </c>
      <c r="AR433" s="28" t="s">
        <v>6978</v>
      </c>
      <c r="AS433" s="28" t="s">
        <v>426</v>
      </c>
      <c r="AT433" s="28" t="s">
        <v>426</v>
      </c>
      <c r="AU433" s="28" t="s">
        <v>9016</v>
      </c>
      <c r="AV433" s="28" t="s">
        <v>162</v>
      </c>
      <c r="AW433" s="28" t="s">
        <v>9014</v>
      </c>
      <c r="AX433" s="28" t="s">
        <v>138</v>
      </c>
      <c r="AY433" s="28" t="s">
        <v>9017</v>
      </c>
      <c r="AZ433" s="28" t="s">
        <v>164</v>
      </c>
      <c r="BA433" s="28" t="s">
        <v>165</v>
      </c>
      <c r="BB433" s="28" t="s">
        <v>9018</v>
      </c>
      <c r="BC433" s="28" t="s">
        <v>9019</v>
      </c>
      <c r="BD433" s="33">
        <v>18</v>
      </c>
      <c r="BE433" s="28" t="s">
        <v>138</v>
      </c>
      <c r="BF433" s="28" t="s">
        <v>9020</v>
      </c>
      <c r="BG433" s="28" t="s">
        <v>138</v>
      </c>
      <c r="BH433" s="28" t="s">
        <v>9021</v>
      </c>
      <c r="BI433" s="28" t="s">
        <v>9022</v>
      </c>
      <c r="BJ433" s="28" t="s">
        <v>138</v>
      </c>
      <c r="BK433" s="28" t="s">
        <v>9023</v>
      </c>
      <c r="BL433" s="28" t="s">
        <v>9024</v>
      </c>
      <c r="BM433" s="34">
        <v>40238</v>
      </c>
      <c r="BN433" s="29" t="s">
        <v>138</v>
      </c>
      <c r="BO433" s="28" t="s">
        <v>138</v>
      </c>
      <c r="BP433" s="29" t="s">
        <v>138</v>
      </c>
      <c r="BQ433" s="28" t="s">
        <v>138</v>
      </c>
      <c r="BR433" s="28" t="s">
        <v>234</v>
      </c>
      <c r="BS433" s="28" t="s">
        <v>234</v>
      </c>
      <c r="BT433" s="28" t="s">
        <v>138</v>
      </c>
      <c r="BU433" s="28" t="s">
        <v>174</v>
      </c>
      <c r="BV433" s="28" t="s">
        <v>138</v>
      </c>
      <c r="BW433" s="28" t="s">
        <v>138</v>
      </c>
      <c r="BX433" s="28" t="s">
        <v>138</v>
      </c>
      <c r="BY433" s="28" t="s">
        <v>175</v>
      </c>
      <c r="BZ433" s="34">
        <v>43382</v>
      </c>
      <c r="CA433" s="29">
        <v>0.57999999999999996</v>
      </c>
      <c r="CB433" s="28" t="s">
        <v>172</v>
      </c>
      <c r="CC433" s="29" t="s">
        <v>138</v>
      </c>
      <c r="CD433" s="28" t="s">
        <v>138</v>
      </c>
      <c r="CE433" s="28" t="s">
        <v>173</v>
      </c>
      <c r="CF433" s="28" t="s">
        <v>138</v>
      </c>
      <c r="CG433" s="28" t="s">
        <v>138</v>
      </c>
      <c r="CH433" s="28" t="s">
        <v>174</v>
      </c>
      <c r="CI433" s="28" t="s">
        <v>264</v>
      </c>
      <c r="CJ433" s="28" t="s">
        <v>138</v>
      </c>
      <c r="CK433" s="28" t="s">
        <v>138</v>
      </c>
      <c r="CL433" s="28" t="s">
        <v>175</v>
      </c>
      <c r="CM433" s="34">
        <v>41754</v>
      </c>
      <c r="CN433" s="29" t="s">
        <v>138</v>
      </c>
      <c r="CO433" s="35">
        <v>-0.45</v>
      </c>
      <c r="CP433" s="36">
        <v>17</v>
      </c>
      <c r="CQ433" s="35">
        <v>0</v>
      </c>
      <c r="CR433" s="35">
        <v>-0.06</v>
      </c>
      <c r="CS433" s="35">
        <v>-0.93</v>
      </c>
      <c r="CT433" s="36">
        <v>16</v>
      </c>
      <c r="CU433" s="35">
        <v>0.03</v>
      </c>
      <c r="CV433" s="36">
        <v>54</v>
      </c>
      <c r="CW433" s="35">
        <v>0.14000000000000001</v>
      </c>
      <c r="CX433" s="36">
        <v>81</v>
      </c>
      <c r="CY433" s="35">
        <v>-2</v>
      </c>
      <c r="CZ433" s="36">
        <v>11</v>
      </c>
      <c r="DA433" s="35">
        <v>0.03</v>
      </c>
      <c r="DB433" s="36">
        <v>60</v>
      </c>
      <c r="DC433" s="37">
        <v>42.71</v>
      </c>
      <c r="DD433" s="36">
        <v>98</v>
      </c>
      <c r="DE433" s="37">
        <v>2.9</v>
      </c>
      <c r="DF433" s="35">
        <v>7.29</v>
      </c>
      <c r="DG433" s="37">
        <v>54.9</v>
      </c>
      <c r="DH433" s="36">
        <v>98</v>
      </c>
      <c r="DI433" s="37">
        <v>30.53</v>
      </c>
      <c r="DJ433" s="36">
        <v>93</v>
      </c>
      <c r="DK433" s="37">
        <v>34.76</v>
      </c>
      <c r="DL433" s="36">
        <v>94</v>
      </c>
      <c r="DM433" s="37">
        <v>75.03</v>
      </c>
      <c r="DN433" s="36">
        <v>99</v>
      </c>
      <c r="DO433" s="37">
        <v>30.53</v>
      </c>
      <c r="DP433" s="36">
        <v>95</v>
      </c>
      <c r="DQ433" s="36">
        <v>12094</v>
      </c>
      <c r="DR433" s="38">
        <v>-512</v>
      </c>
      <c r="DS433" s="35">
        <v>-4.0599999999999996</v>
      </c>
      <c r="DT433" s="36">
        <v>2177</v>
      </c>
      <c r="DU433" s="38">
        <v>-5</v>
      </c>
      <c r="DV433" s="35">
        <v>-0.23</v>
      </c>
      <c r="DW433" s="36">
        <v>10941</v>
      </c>
      <c r="DX433" s="39">
        <v>2</v>
      </c>
      <c r="DY433" s="35">
        <v>0.02</v>
      </c>
      <c r="DZ433" s="28" t="s">
        <v>178</v>
      </c>
      <c r="EA433" s="34">
        <v>43600</v>
      </c>
      <c r="EB433" s="29">
        <v>53.59</v>
      </c>
      <c r="EC433" s="34">
        <v>42829</v>
      </c>
      <c r="ED433" s="28" t="s">
        <v>173</v>
      </c>
      <c r="EE433" s="40" t="str">
        <f>HYPERLINK("https://my.pitchbook.com?c=51758-20", "View company online")</f>
        <v>View company online</v>
      </c>
    </row>
    <row r="434" spans="1:135">
      <c r="A434" s="15" t="s">
        <v>9025</v>
      </c>
      <c r="B434" s="15" t="s">
        <v>9026</v>
      </c>
      <c r="C434" s="15" t="s">
        <v>138</v>
      </c>
      <c r="D434" s="15" t="s">
        <v>138</v>
      </c>
      <c r="E434" s="15" t="s">
        <v>138</v>
      </c>
      <c r="F434" s="15" t="s">
        <v>9025</v>
      </c>
      <c r="G434" s="15" t="s">
        <v>9027</v>
      </c>
      <c r="H434" s="15" t="s">
        <v>5219</v>
      </c>
      <c r="I434" s="15" t="s">
        <v>6415</v>
      </c>
      <c r="J434" s="15" t="s">
        <v>9028</v>
      </c>
      <c r="K434" s="15" t="s">
        <v>9029</v>
      </c>
      <c r="L434" s="15" t="s">
        <v>9030</v>
      </c>
      <c r="M434" s="15" t="s">
        <v>9031</v>
      </c>
      <c r="N434" s="15" t="s">
        <v>147</v>
      </c>
      <c r="O434" s="17">
        <v>10</v>
      </c>
      <c r="P434" s="15" t="s">
        <v>148</v>
      </c>
      <c r="Q434" s="15" t="s">
        <v>149</v>
      </c>
      <c r="R434" s="15" t="s">
        <v>174</v>
      </c>
      <c r="S434" s="15" t="s">
        <v>9032</v>
      </c>
      <c r="T434" s="18">
        <v>11</v>
      </c>
      <c r="U434" s="15" t="s">
        <v>9033</v>
      </c>
      <c r="V434" s="15" t="s">
        <v>138</v>
      </c>
      <c r="W434" s="15" t="s">
        <v>138</v>
      </c>
      <c r="X434" s="19">
        <v>2006</v>
      </c>
      <c r="Y434" s="15" t="s">
        <v>138</v>
      </c>
      <c r="Z434" s="15" t="s">
        <v>138</v>
      </c>
      <c r="AA434" s="15" t="s">
        <v>138</v>
      </c>
      <c r="AB434" s="20" t="s">
        <v>138</v>
      </c>
      <c r="AC434" s="20" t="s">
        <v>138</v>
      </c>
      <c r="AD434" s="20" t="s">
        <v>138</v>
      </c>
      <c r="AE434" s="20" t="s">
        <v>138</v>
      </c>
      <c r="AF434" s="20" t="s">
        <v>138</v>
      </c>
      <c r="AG434" s="15" t="s">
        <v>138</v>
      </c>
      <c r="AH434" s="20" t="s">
        <v>138</v>
      </c>
      <c r="AI434" s="20" t="s">
        <v>138</v>
      </c>
      <c r="AJ434" s="20" t="s">
        <v>138</v>
      </c>
      <c r="AK434" s="15" t="s">
        <v>9034</v>
      </c>
      <c r="AL434" s="15" t="s">
        <v>9035</v>
      </c>
      <c r="AM434" s="15" t="s">
        <v>249</v>
      </c>
      <c r="AN434" s="15" t="s">
        <v>9036</v>
      </c>
      <c r="AO434" s="15" t="s">
        <v>9037</v>
      </c>
      <c r="AP434" s="15" t="s">
        <v>861</v>
      </c>
      <c r="AQ434" s="15" t="s">
        <v>9038</v>
      </c>
      <c r="AR434" s="15" t="s">
        <v>138</v>
      </c>
      <c r="AS434" s="15" t="s">
        <v>863</v>
      </c>
      <c r="AT434" s="15" t="s">
        <v>864</v>
      </c>
      <c r="AU434" s="15" t="s">
        <v>6944</v>
      </c>
      <c r="AV434" s="15" t="s">
        <v>162</v>
      </c>
      <c r="AW434" s="15" t="s">
        <v>9037</v>
      </c>
      <c r="AX434" s="15" t="s">
        <v>9039</v>
      </c>
      <c r="AY434" s="15" t="s">
        <v>9040</v>
      </c>
      <c r="AZ434" s="15" t="s">
        <v>164</v>
      </c>
      <c r="BA434" s="15" t="s">
        <v>165</v>
      </c>
      <c r="BB434" s="15" t="s">
        <v>9041</v>
      </c>
      <c r="BC434" s="15" t="s">
        <v>9042</v>
      </c>
      <c r="BD434" s="21">
        <v>5</v>
      </c>
      <c r="BE434" s="15" t="s">
        <v>138</v>
      </c>
      <c r="BF434" s="15" t="s">
        <v>138</v>
      </c>
      <c r="BG434" s="15" t="s">
        <v>138</v>
      </c>
      <c r="BH434" s="15" t="s">
        <v>9043</v>
      </c>
      <c r="BI434" s="15" t="s">
        <v>138</v>
      </c>
      <c r="BJ434" s="15" t="s">
        <v>138</v>
      </c>
      <c r="BK434" s="15" t="s">
        <v>138</v>
      </c>
      <c r="BL434" s="15" t="s">
        <v>1691</v>
      </c>
      <c r="BM434" s="22">
        <v>40070</v>
      </c>
      <c r="BN434" s="17">
        <v>10</v>
      </c>
      <c r="BO434" s="15" t="s">
        <v>172</v>
      </c>
      <c r="BP434" s="17" t="s">
        <v>138</v>
      </c>
      <c r="BQ434" s="15" t="s">
        <v>138</v>
      </c>
      <c r="BR434" s="15" t="s">
        <v>205</v>
      </c>
      <c r="BS434" s="15" t="s">
        <v>138</v>
      </c>
      <c r="BT434" s="15" t="s">
        <v>138</v>
      </c>
      <c r="BU434" s="15" t="s">
        <v>174</v>
      </c>
      <c r="BV434" s="15" t="s">
        <v>138</v>
      </c>
      <c r="BW434" s="15" t="s">
        <v>138</v>
      </c>
      <c r="BX434" s="15" t="s">
        <v>138</v>
      </c>
      <c r="BY434" s="15" t="s">
        <v>175</v>
      </c>
      <c r="BZ434" s="22">
        <v>40791</v>
      </c>
      <c r="CA434" s="17" t="s">
        <v>138</v>
      </c>
      <c r="CB434" s="15" t="s">
        <v>138</v>
      </c>
      <c r="CC434" s="17" t="s">
        <v>138</v>
      </c>
      <c r="CD434" s="15" t="s">
        <v>138</v>
      </c>
      <c r="CE434" s="15" t="s">
        <v>205</v>
      </c>
      <c r="CF434" s="15" t="s">
        <v>138</v>
      </c>
      <c r="CG434" s="15" t="s">
        <v>138</v>
      </c>
      <c r="CH434" s="15" t="s">
        <v>174</v>
      </c>
      <c r="CI434" s="15" t="s">
        <v>138</v>
      </c>
      <c r="CJ434" s="15" t="s">
        <v>138</v>
      </c>
      <c r="CK434" s="15" t="s">
        <v>138</v>
      </c>
      <c r="CL434" s="15" t="s">
        <v>175</v>
      </c>
      <c r="CM434" s="22" t="s">
        <v>138</v>
      </c>
      <c r="CN434" s="17" t="s">
        <v>138</v>
      </c>
      <c r="CO434" s="23">
        <v>0</v>
      </c>
      <c r="CP434" s="24">
        <v>26</v>
      </c>
      <c r="CQ434" s="23">
        <v>0</v>
      </c>
      <c r="CR434" s="23">
        <v>0</v>
      </c>
      <c r="CS434" s="23">
        <v>0</v>
      </c>
      <c r="CT434" s="24">
        <v>23</v>
      </c>
      <c r="CU434" s="23" t="s">
        <v>138</v>
      </c>
      <c r="CV434" s="24" t="s">
        <v>138</v>
      </c>
      <c r="CW434" s="23" t="s">
        <v>138</v>
      </c>
      <c r="CX434" s="24" t="s">
        <v>138</v>
      </c>
      <c r="CY434" s="23">
        <v>0</v>
      </c>
      <c r="CZ434" s="24">
        <v>25</v>
      </c>
      <c r="DA434" s="23" t="s">
        <v>138</v>
      </c>
      <c r="DB434" s="24" t="s">
        <v>138</v>
      </c>
      <c r="DC434" s="25">
        <v>0.62</v>
      </c>
      <c r="DD434" s="24">
        <v>39</v>
      </c>
      <c r="DE434" s="25">
        <v>0</v>
      </c>
      <c r="DF434" s="23">
        <v>0</v>
      </c>
      <c r="DG434" s="25">
        <v>0.62</v>
      </c>
      <c r="DH434" s="24">
        <v>39</v>
      </c>
      <c r="DI434" s="25" t="s">
        <v>138</v>
      </c>
      <c r="DJ434" s="24" t="s">
        <v>138</v>
      </c>
      <c r="DK434" s="25" t="s">
        <v>138</v>
      </c>
      <c r="DL434" s="24" t="s">
        <v>138</v>
      </c>
      <c r="DM434" s="25">
        <v>0.62</v>
      </c>
      <c r="DN434" s="24">
        <v>39</v>
      </c>
      <c r="DO434" s="25" t="s">
        <v>138</v>
      </c>
      <c r="DP434" s="24" t="s">
        <v>138</v>
      </c>
      <c r="DQ434" s="24" t="s">
        <v>138</v>
      </c>
      <c r="DR434" s="26" t="s">
        <v>138</v>
      </c>
      <c r="DS434" s="23" t="s">
        <v>138</v>
      </c>
      <c r="DT434" s="24">
        <v>18</v>
      </c>
      <c r="DU434" s="26">
        <v>0</v>
      </c>
      <c r="DV434" s="23">
        <v>0</v>
      </c>
      <c r="DW434" s="24" t="s">
        <v>138</v>
      </c>
      <c r="DX434" s="27" t="s">
        <v>138</v>
      </c>
      <c r="DY434" s="23" t="s">
        <v>138</v>
      </c>
      <c r="DZ434" s="15" t="s">
        <v>178</v>
      </c>
      <c r="EA434" s="22">
        <v>43351</v>
      </c>
      <c r="EB434" s="17" t="s">
        <v>138</v>
      </c>
      <c r="EC434" s="22" t="s">
        <v>138</v>
      </c>
      <c r="ED434" s="15" t="s">
        <v>138</v>
      </c>
      <c r="EE434" s="14" t="str">
        <f>HYPERLINK("https://my.pitchbook.com?c=42753-79", "View company online")</f>
        <v>View company online</v>
      </c>
    </row>
    <row r="435" spans="1:135">
      <c r="A435" s="28" t="s">
        <v>9044</v>
      </c>
      <c r="B435" s="28" t="s">
        <v>9045</v>
      </c>
      <c r="C435" s="28" t="s">
        <v>138</v>
      </c>
      <c r="D435" s="28" t="s">
        <v>138</v>
      </c>
      <c r="E435" s="28" t="s">
        <v>138</v>
      </c>
      <c r="F435" s="28" t="s">
        <v>9044</v>
      </c>
      <c r="G435" s="28" t="s">
        <v>9046</v>
      </c>
      <c r="H435" s="28" t="s">
        <v>322</v>
      </c>
      <c r="I435" s="28" t="s">
        <v>323</v>
      </c>
      <c r="J435" s="28" t="s">
        <v>413</v>
      </c>
      <c r="K435" s="28" t="s">
        <v>414</v>
      </c>
      <c r="L435" s="28" t="s">
        <v>1884</v>
      </c>
      <c r="M435" s="28" t="s">
        <v>9047</v>
      </c>
      <c r="N435" s="28" t="s">
        <v>147</v>
      </c>
      <c r="O435" s="29">
        <v>9.81</v>
      </c>
      <c r="P435" s="28" t="s">
        <v>148</v>
      </c>
      <c r="Q435" s="28" t="s">
        <v>149</v>
      </c>
      <c r="R435" s="28" t="s">
        <v>174</v>
      </c>
      <c r="S435" s="28" t="s">
        <v>9048</v>
      </c>
      <c r="T435" s="30" t="s">
        <v>138</v>
      </c>
      <c r="U435" s="28" t="s">
        <v>138</v>
      </c>
      <c r="V435" s="28" t="s">
        <v>138</v>
      </c>
      <c r="W435" s="28" t="s">
        <v>138</v>
      </c>
      <c r="X435" s="31">
        <v>2015</v>
      </c>
      <c r="Y435" s="28" t="s">
        <v>138</v>
      </c>
      <c r="Z435" s="28" t="s">
        <v>138</v>
      </c>
      <c r="AA435" s="28" t="s">
        <v>138</v>
      </c>
      <c r="AB435" s="32" t="s">
        <v>138</v>
      </c>
      <c r="AC435" s="32" t="s">
        <v>138</v>
      </c>
      <c r="AD435" s="32" t="s">
        <v>138</v>
      </c>
      <c r="AE435" s="32" t="s">
        <v>138</v>
      </c>
      <c r="AF435" s="32" t="s">
        <v>138</v>
      </c>
      <c r="AG435" s="28" t="s">
        <v>138</v>
      </c>
      <c r="AH435" s="32" t="s">
        <v>138</v>
      </c>
      <c r="AI435" s="32" t="s">
        <v>138</v>
      </c>
      <c r="AJ435" s="32" t="s">
        <v>138</v>
      </c>
      <c r="AK435" s="28" t="s">
        <v>9049</v>
      </c>
      <c r="AL435" s="28" t="s">
        <v>9050</v>
      </c>
      <c r="AM435" s="28" t="s">
        <v>221</v>
      </c>
      <c r="AN435" s="28" t="s">
        <v>9051</v>
      </c>
      <c r="AO435" s="28" t="s">
        <v>9052</v>
      </c>
      <c r="AP435" s="28" t="s">
        <v>423</v>
      </c>
      <c r="AQ435" s="28" t="s">
        <v>9053</v>
      </c>
      <c r="AR435" s="28" t="s">
        <v>4403</v>
      </c>
      <c r="AS435" s="28" t="s">
        <v>426</v>
      </c>
      <c r="AT435" s="28" t="s">
        <v>426</v>
      </c>
      <c r="AU435" s="28" t="s">
        <v>549</v>
      </c>
      <c r="AV435" s="28" t="s">
        <v>162</v>
      </c>
      <c r="AW435" s="28" t="s">
        <v>9052</v>
      </c>
      <c r="AX435" s="28" t="s">
        <v>138</v>
      </c>
      <c r="AY435" s="28" t="s">
        <v>9054</v>
      </c>
      <c r="AZ435" s="28" t="s">
        <v>164</v>
      </c>
      <c r="BA435" s="28" t="s">
        <v>165</v>
      </c>
      <c r="BB435" s="28" t="s">
        <v>9055</v>
      </c>
      <c r="BC435" s="28" t="s">
        <v>9056</v>
      </c>
      <c r="BD435" s="33">
        <v>6</v>
      </c>
      <c r="BE435" s="28" t="s">
        <v>138</v>
      </c>
      <c r="BF435" s="28" t="s">
        <v>138</v>
      </c>
      <c r="BG435" s="28" t="s">
        <v>138</v>
      </c>
      <c r="BH435" s="28" t="s">
        <v>9057</v>
      </c>
      <c r="BI435" s="28" t="s">
        <v>138</v>
      </c>
      <c r="BJ435" s="28" t="s">
        <v>138</v>
      </c>
      <c r="BK435" s="28" t="s">
        <v>138</v>
      </c>
      <c r="BL435" s="28" t="s">
        <v>138</v>
      </c>
      <c r="BM435" s="34" t="s">
        <v>138</v>
      </c>
      <c r="BN435" s="29">
        <v>0.01</v>
      </c>
      <c r="BO435" s="28" t="s">
        <v>172</v>
      </c>
      <c r="BP435" s="29" t="s">
        <v>138</v>
      </c>
      <c r="BQ435" s="28" t="s">
        <v>138</v>
      </c>
      <c r="BR435" s="28" t="s">
        <v>316</v>
      </c>
      <c r="BS435" s="28" t="s">
        <v>138</v>
      </c>
      <c r="BT435" s="28" t="s">
        <v>138</v>
      </c>
      <c r="BU435" s="28" t="s">
        <v>177</v>
      </c>
      <c r="BV435" s="28" t="s">
        <v>138</v>
      </c>
      <c r="BW435" s="28" t="s">
        <v>138</v>
      </c>
      <c r="BX435" s="28" t="s">
        <v>138</v>
      </c>
      <c r="BY435" s="28" t="s">
        <v>175</v>
      </c>
      <c r="BZ435" s="34">
        <v>43396</v>
      </c>
      <c r="CA435" s="29">
        <v>9.81</v>
      </c>
      <c r="CB435" s="28" t="s">
        <v>172</v>
      </c>
      <c r="CC435" s="29">
        <v>17.95</v>
      </c>
      <c r="CD435" s="28" t="s">
        <v>172</v>
      </c>
      <c r="CE435" s="28" t="s">
        <v>205</v>
      </c>
      <c r="CF435" s="28" t="s">
        <v>206</v>
      </c>
      <c r="CG435" s="28" t="s">
        <v>138</v>
      </c>
      <c r="CH435" s="28" t="s">
        <v>174</v>
      </c>
      <c r="CI435" s="28" t="s">
        <v>138</v>
      </c>
      <c r="CJ435" s="28" t="s">
        <v>138</v>
      </c>
      <c r="CK435" s="28" t="s">
        <v>138</v>
      </c>
      <c r="CL435" s="28" t="s">
        <v>175</v>
      </c>
      <c r="CM435" s="34" t="s">
        <v>138</v>
      </c>
      <c r="CN435" s="29" t="s">
        <v>138</v>
      </c>
      <c r="CO435" s="35">
        <v>-3.74</v>
      </c>
      <c r="CP435" s="36">
        <v>2</v>
      </c>
      <c r="CQ435" s="35">
        <v>0.11</v>
      </c>
      <c r="CR435" s="35">
        <v>2.91</v>
      </c>
      <c r="CS435" s="35">
        <v>-7.6</v>
      </c>
      <c r="CT435" s="36">
        <v>1</v>
      </c>
      <c r="CU435" s="35">
        <v>0.11</v>
      </c>
      <c r="CV435" s="36">
        <v>70</v>
      </c>
      <c r="CW435" s="35">
        <v>-7.6</v>
      </c>
      <c r="CX435" s="36">
        <v>1</v>
      </c>
      <c r="CY435" s="35" t="s">
        <v>138</v>
      </c>
      <c r="CZ435" s="36" t="s">
        <v>138</v>
      </c>
      <c r="DA435" s="35">
        <v>0.11</v>
      </c>
      <c r="DB435" s="36">
        <v>73</v>
      </c>
      <c r="DC435" s="37">
        <v>1.37</v>
      </c>
      <c r="DD435" s="36">
        <v>59</v>
      </c>
      <c r="DE435" s="37">
        <v>-0.15</v>
      </c>
      <c r="DF435" s="35">
        <v>-10.06</v>
      </c>
      <c r="DG435" s="37">
        <v>2.42</v>
      </c>
      <c r="DH435" s="36">
        <v>71</v>
      </c>
      <c r="DI435" s="37">
        <v>0.32</v>
      </c>
      <c r="DJ435" s="36">
        <v>29</v>
      </c>
      <c r="DK435" s="37">
        <v>2.42</v>
      </c>
      <c r="DL435" s="36">
        <v>68</v>
      </c>
      <c r="DM435" s="37" t="s">
        <v>138</v>
      </c>
      <c r="DN435" s="36" t="s">
        <v>138</v>
      </c>
      <c r="DO435" s="37">
        <v>0.32</v>
      </c>
      <c r="DP435" s="36">
        <v>31</v>
      </c>
      <c r="DQ435" s="36">
        <v>902</v>
      </c>
      <c r="DR435" s="38">
        <v>-219</v>
      </c>
      <c r="DS435" s="35">
        <v>-19.54</v>
      </c>
      <c r="DT435" s="36" t="s">
        <v>138</v>
      </c>
      <c r="DU435" s="38" t="s">
        <v>138</v>
      </c>
      <c r="DV435" s="35" t="s">
        <v>138</v>
      </c>
      <c r="DW435" s="36">
        <v>112</v>
      </c>
      <c r="DX435" s="39">
        <v>1</v>
      </c>
      <c r="DY435" s="35">
        <v>0.9</v>
      </c>
      <c r="DZ435" s="28" t="s">
        <v>178</v>
      </c>
      <c r="EA435" s="34">
        <v>43563</v>
      </c>
      <c r="EB435" s="29">
        <v>17.95</v>
      </c>
      <c r="EC435" s="34">
        <v>43396</v>
      </c>
      <c r="ED435" s="28" t="s">
        <v>205</v>
      </c>
      <c r="EE435" s="40" t="str">
        <f>HYPERLINK("https://my.pitchbook.com?c=152918-02", "View company online")</f>
        <v>View company online</v>
      </c>
    </row>
    <row r="436" spans="1:135">
      <c r="A436" s="15" t="s">
        <v>9058</v>
      </c>
      <c r="B436" s="15" t="s">
        <v>9059</v>
      </c>
      <c r="C436" s="15" t="s">
        <v>138</v>
      </c>
      <c r="D436" s="15" t="s">
        <v>138</v>
      </c>
      <c r="E436" s="15" t="s">
        <v>9060</v>
      </c>
      <c r="F436" s="15" t="s">
        <v>9058</v>
      </c>
      <c r="G436" s="15" t="s">
        <v>9061</v>
      </c>
      <c r="H436" s="15" t="s">
        <v>322</v>
      </c>
      <c r="I436" s="15" t="s">
        <v>323</v>
      </c>
      <c r="J436" s="15" t="s">
        <v>954</v>
      </c>
      <c r="K436" s="15" t="s">
        <v>9062</v>
      </c>
      <c r="L436" s="15" t="s">
        <v>7930</v>
      </c>
      <c r="M436" s="15" t="s">
        <v>9063</v>
      </c>
      <c r="N436" s="15" t="s">
        <v>147</v>
      </c>
      <c r="O436" s="17">
        <v>1536.39</v>
      </c>
      <c r="P436" s="15" t="s">
        <v>1473</v>
      </c>
      <c r="Q436" s="15" t="s">
        <v>149</v>
      </c>
      <c r="R436" s="15" t="s">
        <v>150</v>
      </c>
      <c r="S436" s="15" t="s">
        <v>9064</v>
      </c>
      <c r="T436" s="18">
        <v>4152</v>
      </c>
      <c r="U436" s="15" t="s">
        <v>9065</v>
      </c>
      <c r="V436" s="15" t="s">
        <v>138</v>
      </c>
      <c r="W436" s="15" t="s">
        <v>138</v>
      </c>
      <c r="X436" s="19">
        <v>2010</v>
      </c>
      <c r="Y436" s="15" t="s">
        <v>138</v>
      </c>
      <c r="Z436" s="15" t="s">
        <v>138</v>
      </c>
      <c r="AA436" s="15" t="s">
        <v>138</v>
      </c>
      <c r="AB436" s="20">
        <v>126.9</v>
      </c>
      <c r="AC436" s="20" t="s">
        <v>138</v>
      </c>
      <c r="AD436" s="20" t="s">
        <v>138</v>
      </c>
      <c r="AE436" s="20" t="s">
        <v>138</v>
      </c>
      <c r="AF436" s="20" t="s">
        <v>138</v>
      </c>
      <c r="AG436" s="15" t="s">
        <v>9066</v>
      </c>
      <c r="AH436" s="20" t="s">
        <v>138</v>
      </c>
      <c r="AI436" s="20" t="s">
        <v>138</v>
      </c>
      <c r="AJ436" s="20" t="s">
        <v>138</v>
      </c>
      <c r="AK436" s="15" t="s">
        <v>9067</v>
      </c>
      <c r="AL436" s="15" t="s">
        <v>9068</v>
      </c>
      <c r="AM436" s="15" t="s">
        <v>278</v>
      </c>
      <c r="AN436" s="15" t="s">
        <v>9069</v>
      </c>
      <c r="AO436" s="15" t="s">
        <v>138</v>
      </c>
      <c r="AP436" s="15" t="s">
        <v>9070</v>
      </c>
      <c r="AQ436" s="15" t="s">
        <v>9071</v>
      </c>
      <c r="AR436" s="15" t="s">
        <v>9072</v>
      </c>
      <c r="AS436" s="15" t="s">
        <v>9073</v>
      </c>
      <c r="AT436" s="15" t="s">
        <v>9074</v>
      </c>
      <c r="AU436" s="15" t="s">
        <v>9075</v>
      </c>
      <c r="AV436" s="15" t="s">
        <v>2333</v>
      </c>
      <c r="AW436" s="15" t="s">
        <v>138</v>
      </c>
      <c r="AX436" s="15" t="s">
        <v>138</v>
      </c>
      <c r="AY436" s="15" t="s">
        <v>9076</v>
      </c>
      <c r="AZ436" s="15" t="s">
        <v>452</v>
      </c>
      <c r="BA436" s="15" t="s">
        <v>2335</v>
      </c>
      <c r="BB436" s="15" t="s">
        <v>9077</v>
      </c>
      <c r="BC436" s="15" t="s">
        <v>9078</v>
      </c>
      <c r="BD436" s="21">
        <v>26</v>
      </c>
      <c r="BE436" s="15" t="s">
        <v>138</v>
      </c>
      <c r="BF436" s="15" t="s">
        <v>9079</v>
      </c>
      <c r="BG436" s="15" t="s">
        <v>9080</v>
      </c>
      <c r="BH436" s="15" t="s">
        <v>9081</v>
      </c>
      <c r="BI436" s="15" t="s">
        <v>9082</v>
      </c>
      <c r="BJ436" s="15" t="s">
        <v>9083</v>
      </c>
      <c r="BK436" s="15" t="s">
        <v>9084</v>
      </c>
      <c r="BL436" s="15" t="s">
        <v>9085</v>
      </c>
      <c r="BM436" s="22">
        <v>40568</v>
      </c>
      <c r="BN436" s="17">
        <v>12</v>
      </c>
      <c r="BO436" s="15" t="s">
        <v>172</v>
      </c>
      <c r="BP436" s="17" t="s">
        <v>138</v>
      </c>
      <c r="BQ436" s="15" t="s">
        <v>138</v>
      </c>
      <c r="BR436" s="15" t="s">
        <v>205</v>
      </c>
      <c r="BS436" s="15" t="s">
        <v>206</v>
      </c>
      <c r="BT436" s="15" t="s">
        <v>138</v>
      </c>
      <c r="BU436" s="15" t="s">
        <v>174</v>
      </c>
      <c r="BV436" s="15" t="s">
        <v>138</v>
      </c>
      <c r="BW436" s="15" t="s">
        <v>138</v>
      </c>
      <c r="BX436" s="15" t="s">
        <v>138</v>
      </c>
      <c r="BY436" s="15" t="s">
        <v>175</v>
      </c>
      <c r="BZ436" s="22" t="s">
        <v>138</v>
      </c>
      <c r="CA436" s="17">
        <v>6.25</v>
      </c>
      <c r="CB436" s="15" t="s">
        <v>172</v>
      </c>
      <c r="CC436" s="17" t="s">
        <v>138</v>
      </c>
      <c r="CD436" s="15" t="s">
        <v>138</v>
      </c>
      <c r="CE436" s="15" t="s">
        <v>379</v>
      </c>
      <c r="CF436" s="15" t="s">
        <v>138</v>
      </c>
      <c r="CG436" s="15" t="s">
        <v>138</v>
      </c>
      <c r="CH436" s="15" t="s">
        <v>174</v>
      </c>
      <c r="CI436" s="15" t="s">
        <v>138</v>
      </c>
      <c r="CJ436" s="15" t="s">
        <v>138</v>
      </c>
      <c r="CK436" s="15" t="s">
        <v>138</v>
      </c>
      <c r="CL436" s="15" t="s">
        <v>3093</v>
      </c>
      <c r="CM436" s="22">
        <v>40753</v>
      </c>
      <c r="CN436" s="17" t="s">
        <v>138</v>
      </c>
      <c r="CO436" s="23">
        <v>-0.06</v>
      </c>
      <c r="CP436" s="24">
        <v>22</v>
      </c>
      <c r="CQ436" s="23">
        <v>0.08</v>
      </c>
      <c r="CR436" s="23">
        <v>55.58</v>
      </c>
      <c r="CS436" s="23">
        <v>-0.66</v>
      </c>
      <c r="CT436" s="24">
        <v>18</v>
      </c>
      <c r="CU436" s="23">
        <v>0.13</v>
      </c>
      <c r="CV436" s="24">
        <v>73</v>
      </c>
      <c r="CW436" s="23">
        <v>-0.36</v>
      </c>
      <c r="CX436" s="24">
        <v>12</v>
      </c>
      <c r="CY436" s="23">
        <v>-0.95</v>
      </c>
      <c r="CZ436" s="24">
        <v>19</v>
      </c>
      <c r="DA436" s="23">
        <v>0.04</v>
      </c>
      <c r="DB436" s="24">
        <v>62</v>
      </c>
      <c r="DC436" s="25">
        <v>1858.8</v>
      </c>
      <c r="DD436" s="24">
        <v>100</v>
      </c>
      <c r="DE436" s="25">
        <v>-1.46</v>
      </c>
      <c r="DF436" s="23">
        <v>-0.08</v>
      </c>
      <c r="DG436" s="25">
        <v>302.20999999999998</v>
      </c>
      <c r="DH436" s="24">
        <v>100</v>
      </c>
      <c r="DI436" s="25">
        <v>5263.2</v>
      </c>
      <c r="DJ436" s="24">
        <v>100</v>
      </c>
      <c r="DK436" s="25">
        <v>230.7</v>
      </c>
      <c r="DL436" s="24">
        <v>99</v>
      </c>
      <c r="DM436" s="25">
        <v>373.72</v>
      </c>
      <c r="DN436" s="24">
        <v>100</v>
      </c>
      <c r="DO436" s="25">
        <v>2447.77</v>
      </c>
      <c r="DP436" s="24">
        <v>100</v>
      </c>
      <c r="DQ436" s="24">
        <v>78926</v>
      </c>
      <c r="DR436" s="26">
        <v>615</v>
      </c>
      <c r="DS436" s="23">
        <v>0.79</v>
      </c>
      <c r="DT436" s="24">
        <v>10665</v>
      </c>
      <c r="DU436" s="26">
        <v>382</v>
      </c>
      <c r="DV436" s="23">
        <v>3.71</v>
      </c>
      <c r="DW436" s="24">
        <v>876206</v>
      </c>
      <c r="DX436" s="27">
        <v>257</v>
      </c>
      <c r="DY436" s="23">
        <v>0.03</v>
      </c>
      <c r="DZ436" s="15" t="s">
        <v>178</v>
      </c>
      <c r="EA436" s="22">
        <v>43622</v>
      </c>
      <c r="EB436" s="17">
        <v>950</v>
      </c>
      <c r="EC436" s="22">
        <v>42947</v>
      </c>
      <c r="ED436" s="15" t="s">
        <v>2228</v>
      </c>
      <c r="EE436" s="14" t="str">
        <f>HYPERLINK("https://my.pitchbook.com?c=51527-08", "View company online")</f>
        <v>View company online</v>
      </c>
    </row>
    <row r="437" spans="1:135">
      <c r="A437" s="28" t="s">
        <v>9086</v>
      </c>
      <c r="B437" s="28" t="s">
        <v>9087</v>
      </c>
      <c r="C437" s="28" t="s">
        <v>138</v>
      </c>
      <c r="D437" s="28" t="s">
        <v>9088</v>
      </c>
      <c r="E437" s="28" t="s">
        <v>9089</v>
      </c>
      <c r="F437" s="28" t="s">
        <v>9086</v>
      </c>
      <c r="G437" s="28" t="s">
        <v>9090</v>
      </c>
      <c r="H437" s="28" t="s">
        <v>238</v>
      </c>
      <c r="I437" s="28" t="s">
        <v>239</v>
      </c>
      <c r="J437" s="28" t="s">
        <v>240</v>
      </c>
      <c r="K437" s="28" t="s">
        <v>9091</v>
      </c>
      <c r="L437" s="28" t="s">
        <v>415</v>
      </c>
      <c r="M437" s="28" t="s">
        <v>9092</v>
      </c>
      <c r="N437" s="28" t="s">
        <v>147</v>
      </c>
      <c r="O437" s="29">
        <v>46.58</v>
      </c>
      <c r="P437" s="28" t="s">
        <v>812</v>
      </c>
      <c r="Q437" s="28" t="s">
        <v>149</v>
      </c>
      <c r="R437" s="28" t="s">
        <v>174</v>
      </c>
      <c r="S437" s="28" t="s">
        <v>9093</v>
      </c>
      <c r="T437" s="30">
        <v>51</v>
      </c>
      <c r="U437" s="28" t="s">
        <v>9094</v>
      </c>
      <c r="V437" s="28" t="s">
        <v>138</v>
      </c>
      <c r="W437" s="28" t="s">
        <v>138</v>
      </c>
      <c r="X437" s="31">
        <v>2007</v>
      </c>
      <c r="Y437" s="28" t="s">
        <v>138</v>
      </c>
      <c r="Z437" s="28" t="s">
        <v>138</v>
      </c>
      <c r="AA437" s="28" t="s">
        <v>138</v>
      </c>
      <c r="AB437" s="32" t="s">
        <v>138</v>
      </c>
      <c r="AC437" s="32" t="s">
        <v>138</v>
      </c>
      <c r="AD437" s="32" t="s">
        <v>138</v>
      </c>
      <c r="AE437" s="32" t="s">
        <v>138</v>
      </c>
      <c r="AF437" s="32" t="s">
        <v>138</v>
      </c>
      <c r="AG437" s="28" t="s">
        <v>138</v>
      </c>
      <c r="AH437" s="32" t="s">
        <v>138</v>
      </c>
      <c r="AI437" s="32" t="s">
        <v>138</v>
      </c>
      <c r="AJ437" s="32" t="s">
        <v>138</v>
      </c>
      <c r="AK437" s="28" t="s">
        <v>9095</v>
      </c>
      <c r="AL437" s="28" t="s">
        <v>9096</v>
      </c>
      <c r="AM437" s="28" t="s">
        <v>221</v>
      </c>
      <c r="AN437" s="28" t="s">
        <v>9097</v>
      </c>
      <c r="AO437" s="28" t="s">
        <v>9098</v>
      </c>
      <c r="AP437" s="28" t="s">
        <v>2819</v>
      </c>
      <c r="AQ437" s="28" t="s">
        <v>9099</v>
      </c>
      <c r="AR437" s="28" t="s">
        <v>667</v>
      </c>
      <c r="AS437" s="28" t="s">
        <v>284</v>
      </c>
      <c r="AT437" s="28" t="s">
        <v>2822</v>
      </c>
      <c r="AU437" s="28" t="s">
        <v>8576</v>
      </c>
      <c r="AV437" s="28" t="s">
        <v>162</v>
      </c>
      <c r="AW437" s="28" t="s">
        <v>138</v>
      </c>
      <c r="AX437" s="28" t="s">
        <v>138</v>
      </c>
      <c r="AY437" s="28" t="s">
        <v>9100</v>
      </c>
      <c r="AZ437" s="28" t="s">
        <v>164</v>
      </c>
      <c r="BA437" s="28" t="s">
        <v>165</v>
      </c>
      <c r="BB437" s="28" t="s">
        <v>9101</v>
      </c>
      <c r="BC437" s="28" t="s">
        <v>9102</v>
      </c>
      <c r="BD437" s="33">
        <v>15</v>
      </c>
      <c r="BE437" s="28" t="s">
        <v>138</v>
      </c>
      <c r="BF437" s="28" t="s">
        <v>5604</v>
      </c>
      <c r="BG437" s="28" t="s">
        <v>138</v>
      </c>
      <c r="BH437" s="28" t="s">
        <v>9103</v>
      </c>
      <c r="BI437" s="28" t="s">
        <v>5606</v>
      </c>
      <c r="BJ437" s="28" t="s">
        <v>138</v>
      </c>
      <c r="BK437" s="28" t="s">
        <v>1275</v>
      </c>
      <c r="BL437" s="28" t="s">
        <v>650</v>
      </c>
      <c r="BM437" s="34">
        <v>39630</v>
      </c>
      <c r="BN437" s="29">
        <v>5.4</v>
      </c>
      <c r="BO437" s="28" t="s">
        <v>1178</v>
      </c>
      <c r="BP437" s="29" t="s">
        <v>138</v>
      </c>
      <c r="BQ437" s="28" t="s">
        <v>138</v>
      </c>
      <c r="BR437" s="28" t="s">
        <v>205</v>
      </c>
      <c r="BS437" s="28" t="s">
        <v>206</v>
      </c>
      <c r="BT437" s="28" t="s">
        <v>138</v>
      </c>
      <c r="BU437" s="28" t="s">
        <v>174</v>
      </c>
      <c r="BV437" s="28" t="s">
        <v>138</v>
      </c>
      <c r="BW437" s="28" t="s">
        <v>138</v>
      </c>
      <c r="BX437" s="28" t="s">
        <v>138</v>
      </c>
      <c r="BY437" s="28" t="s">
        <v>175</v>
      </c>
      <c r="BZ437" s="34">
        <v>43437</v>
      </c>
      <c r="CA437" s="29" t="s">
        <v>138</v>
      </c>
      <c r="CB437" s="28" t="s">
        <v>138</v>
      </c>
      <c r="CC437" s="29" t="s">
        <v>138</v>
      </c>
      <c r="CD437" s="28" t="s">
        <v>138</v>
      </c>
      <c r="CE437" s="28" t="s">
        <v>379</v>
      </c>
      <c r="CF437" s="28" t="s">
        <v>138</v>
      </c>
      <c r="CG437" s="28" t="s">
        <v>138</v>
      </c>
      <c r="CH437" s="28" t="s">
        <v>174</v>
      </c>
      <c r="CI437" s="28" t="s">
        <v>138</v>
      </c>
      <c r="CJ437" s="28" t="s">
        <v>138</v>
      </c>
      <c r="CK437" s="28" t="s">
        <v>138</v>
      </c>
      <c r="CL437" s="28" t="s">
        <v>175</v>
      </c>
      <c r="CM437" s="34">
        <v>40938</v>
      </c>
      <c r="CN437" s="29">
        <v>2.5</v>
      </c>
      <c r="CO437" s="35">
        <v>-0.5</v>
      </c>
      <c r="CP437" s="36">
        <v>16</v>
      </c>
      <c r="CQ437" s="35">
        <v>-0.02</v>
      </c>
      <c r="CR437" s="35">
        <v>-3.4</v>
      </c>
      <c r="CS437" s="35">
        <v>-1.89</v>
      </c>
      <c r="CT437" s="36">
        <v>9</v>
      </c>
      <c r="CU437" s="35">
        <v>-0.05</v>
      </c>
      <c r="CV437" s="36">
        <v>9</v>
      </c>
      <c r="CW437" s="35">
        <v>-1.85</v>
      </c>
      <c r="CX437" s="36">
        <v>7</v>
      </c>
      <c r="CY437" s="35">
        <v>-1.93</v>
      </c>
      <c r="CZ437" s="36">
        <v>12</v>
      </c>
      <c r="DA437" s="35">
        <v>-0.05</v>
      </c>
      <c r="DB437" s="36">
        <v>13</v>
      </c>
      <c r="DC437" s="37">
        <v>136.74</v>
      </c>
      <c r="DD437" s="36">
        <v>99</v>
      </c>
      <c r="DE437" s="37">
        <v>-7.42</v>
      </c>
      <c r="DF437" s="35">
        <v>-5.15</v>
      </c>
      <c r="DG437" s="37">
        <v>294.16000000000003</v>
      </c>
      <c r="DH437" s="36">
        <v>100</v>
      </c>
      <c r="DI437" s="37">
        <v>73.760000000000005</v>
      </c>
      <c r="DJ437" s="36">
        <v>96</v>
      </c>
      <c r="DK437" s="37">
        <v>378.97</v>
      </c>
      <c r="DL437" s="36">
        <v>99</v>
      </c>
      <c r="DM437" s="37">
        <v>209.34</v>
      </c>
      <c r="DN437" s="36">
        <v>100</v>
      </c>
      <c r="DO437" s="37">
        <v>57.85</v>
      </c>
      <c r="DP437" s="36">
        <v>97</v>
      </c>
      <c r="DQ437" s="36">
        <v>130495</v>
      </c>
      <c r="DR437" s="38">
        <v>-1526</v>
      </c>
      <c r="DS437" s="35">
        <v>-1.1599999999999999</v>
      </c>
      <c r="DT437" s="36">
        <v>6072</v>
      </c>
      <c r="DU437" s="38">
        <v>3</v>
      </c>
      <c r="DV437" s="35">
        <v>0.05</v>
      </c>
      <c r="DW437" s="36">
        <v>20716</v>
      </c>
      <c r="DX437" s="39">
        <v>-6</v>
      </c>
      <c r="DY437" s="35">
        <v>-0.03</v>
      </c>
      <c r="DZ437" s="28" t="s">
        <v>178</v>
      </c>
      <c r="EA437" s="34">
        <v>43622</v>
      </c>
      <c r="EB437" s="29">
        <v>95.27</v>
      </c>
      <c r="EC437" s="34">
        <v>41632</v>
      </c>
      <c r="ED437" s="28" t="s">
        <v>173</v>
      </c>
      <c r="EE437" s="40" t="str">
        <f>HYPERLINK("https://my.pitchbook.com?c=51490-00", "View company online")</f>
        <v>View company online</v>
      </c>
    </row>
    <row r="438" spans="1:135">
      <c r="A438" s="15" t="s">
        <v>9104</v>
      </c>
      <c r="B438" s="15" t="s">
        <v>9105</v>
      </c>
      <c r="C438" s="15" t="s">
        <v>138</v>
      </c>
      <c r="D438" s="15" t="s">
        <v>138</v>
      </c>
      <c r="E438" s="15" t="s">
        <v>9106</v>
      </c>
      <c r="F438" s="15" t="s">
        <v>9104</v>
      </c>
      <c r="G438" s="15" t="s">
        <v>9107</v>
      </c>
      <c r="H438" s="15" t="s">
        <v>322</v>
      </c>
      <c r="I438" s="15" t="s">
        <v>323</v>
      </c>
      <c r="J438" s="15" t="s">
        <v>954</v>
      </c>
      <c r="K438" s="15" t="s">
        <v>1562</v>
      </c>
      <c r="L438" s="15" t="s">
        <v>215</v>
      </c>
      <c r="M438" s="15" t="s">
        <v>9108</v>
      </c>
      <c r="N438" s="15" t="s">
        <v>147</v>
      </c>
      <c r="O438" s="17">
        <v>11.6</v>
      </c>
      <c r="P438" s="15" t="s">
        <v>148</v>
      </c>
      <c r="Q438" s="15" t="s">
        <v>149</v>
      </c>
      <c r="R438" s="15" t="s">
        <v>174</v>
      </c>
      <c r="S438" s="15" t="s">
        <v>9109</v>
      </c>
      <c r="T438" s="18">
        <v>28</v>
      </c>
      <c r="U438" s="15" t="s">
        <v>9110</v>
      </c>
      <c r="V438" s="15" t="s">
        <v>138</v>
      </c>
      <c r="W438" s="15" t="s">
        <v>138</v>
      </c>
      <c r="X438" s="19">
        <v>2006</v>
      </c>
      <c r="Y438" s="15" t="s">
        <v>138</v>
      </c>
      <c r="Z438" s="15" t="s">
        <v>138</v>
      </c>
      <c r="AA438" s="15" t="s">
        <v>138</v>
      </c>
      <c r="AB438" s="20" t="s">
        <v>138</v>
      </c>
      <c r="AC438" s="20" t="s">
        <v>138</v>
      </c>
      <c r="AD438" s="20" t="s">
        <v>138</v>
      </c>
      <c r="AE438" s="20" t="s">
        <v>138</v>
      </c>
      <c r="AF438" s="20" t="s">
        <v>138</v>
      </c>
      <c r="AG438" s="15" t="s">
        <v>138</v>
      </c>
      <c r="AH438" s="20" t="s">
        <v>138</v>
      </c>
      <c r="AI438" s="20" t="s">
        <v>138</v>
      </c>
      <c r="AJ438" s="20" t="s">
        <v>138</v>
      </c>
      <c r="AK438" s="15" t="s">
        <v>9111</v>
      </c>
      <c r="AL438" s="15" t="s">
        <v>9112</v>
      </c>
      <c r="AM438" s="15" t="s">
        <v>938</v>
      </c>
      <c r="AN438" s="15" t="s">
        <v>9113</v>
      </c>
      <c r="AO438" s="15" t="s">
        <v>9114</v>
      </c>
      <c r="AP438" s="15" t="s">
        <v>941</v>
      </c>
      <c r="AQ438" s="15" t="s">
        <v>9115</v>
      </c>
      <c r="AR438" s="15" t="s">
        <v>138</v>
      </c>
      <c r="AS438" s="15" t="s">
        <v>944</v>
      </c>
      <c r="AT438" s="15" t="s">
        <v>138</v>
      </c>
      <c r="AU438" s="15" t="s">
        <v>9116</v>
      </c>
      <c r="AV438" s="15" t="s">
        <v>946</v>
      </c>
      <c r="AW438" s="15" t="s">
        <v>9114</v>
      </c>
      <c r="AX438" s="15" t="s">
        <v>138</v>
      </c>
      <c r="AY438" s="15" t="s">
        <v>9117</v>
      </c>
      <c r="AZ438" s="15" t="s">
        <v>530</v>
      </c>
      <c r="BA438" s="15" t="s">
        <v>531</v>
      </c>
      <c r="BB438" s="15" t="s">
        <v>9118</v>
      </c>
      <c r="BC438" s="15" t="s">
        <v>9119</v>
      </c>
      <c r="BD438" s="21">
        <v>1</v>
      </c>
      <c r="BE438" s="15" t="s">
        <v>138</v>
      </c>
      <c r="BF438" s="15" t="s">
        <v>2912</v>
      </c>
      <c r="BG438" s="15" t="s">
        <v>138</v>
      </c>
      <c r="BH438" s="15" t="s">
        <v>9120</v>
      </c>
      <c r="BI438" s="15" t="s">
        <v>2914</v>
      </c>
      <c r="BJ438" s="15" t="s">
        <v>138</v>
      </c>
      <c r="BK438" s="15" t="s">
        <v>138</v>
      </c>
      <c r="BL438" s="15" t="s">
        <v>138</v>
      </c>
      <c r="BM438" s="22">
        <v>38991</v>
      </c>
      <c r="BN438" s="17">
        <v>2.7</v>
      </c>
      <c r="BO438" s="15" t="s">
        <v>172</v>
      </c>
      <c r="BP438" s="17" t="s">
        <v>138</v>
      </c>
      <c r="BQ438" s="15" t="s">
        <v>138</v>
      </c>
      <c r="BR438" s="15" t="s">
        <v>234</v>
      </c>
      <c r="BS438" s="15" t="s">
        <v>234</v>
      </c>
      <c r="BT438" s="15" t="s">
        <v>138</v>
      </c>
      <c r="BU438" s="15" t="s">
        <v>174</v>
      </c>
      <c r="BV438" s="15" t="s">
        <v>138</v>
      </c>
      <c r="BW438" s="15" t="s">
        <v>138</v>
      </c>
      <c r="BX438" s="15" t="s">
        <v>138</v>
      </c>
      <c r="BY438" s="15" t="s">
        <v>175</v>
      </c>
      <c r="BZ438" s="22" t="s">
        <v>138</v>
      </c>
      <c r="CA438" s="17" t="s">
        <v>138</v>
      </c>
      <c r="CB438" s="15" t="s">
        <v>138</v>
      </c>
      <c r="CC438" s="17" t="s">
        <v>138</v>
      </c>
      <c r="CD438" s="15" t="s">
        <v>138</v>
      </c>
      <c r="CE438" s="15" t="s">
        <v>379</v>
      </c>
      <c r="CF438" s="15" t="s">
        <v>138</v>
      </c>
      <c r="CG438" s="15" t="s">
        <v>138</v>
      </c>
      <c r="CH438" s="15" t="s">
        <v>174</v>
      </c>
      <c r="CI438" s="15" t="s">
        <v>138</v>
      </c>
      <c r="CJ438" s="15" t="s">
        <v>138</v>
      </c>
      <c r="CK438" s="15" t="s">
        <v>138</v>
      </c>
      <c r="CL438" s="15" t="s">
        <v>175</v>
      </c>
      <c r="CM438" s="22" t="s">
        <v>138</v>
      </c>
      <c r="CN438" s="17" t="s">
        <v>138</v>
      </c>
      <c r="CO438" s="23">
        <v>-0.57999999999999996</v>
      </c>
      <c r="CP438" s="24">
        <v>15</v>
      </c>
      <c r="CQ438" s="23">
        <v>0</v>
      </c>
      <c r="CR438" s="23">
        <v>0.66</v>
      </c>
      <c r="CS438" s="23">
        <v>-1.1399999999999999</v>
      </c>
      <c r="CT438" s="24">
        <v>14</v>
      </c>
      <c r="CU438" s="23">
        <v>-0.02</v>
      </c>
      <c r="CV438" s="24">
        <v>17</v>
      </c>
      <c r="CW438" s="23">
        <v>-1.1399999999999999</v>
      </c>
      <c r="CX438" s="24">
        <v>9</v>
      </c>
      <c r="CY438" s="23" t="s">
        <v>138</v>
      </c>
      <c r="CZ438" s="24" t="s">
        <v>138</v>
      </c>
      <c r="DA438" s="23">
        <v>0</v>
      </c>
      <c r="DB438" s="24">
        <v>22</v>
      </c>
      <c r="DC438" s="25">
        <v>194.25</v>
      </c>
      <c r="DD438" s="24">
        <v>100</v>
      </c>
      <c r="DE438" s="25">
        <v>-0.73</v>
      </c>
      <c r="DF438" s="23">
        <v>-0.37</v>
      </c>
      <c r="DG438" s="25">
        <v>8.1199999999999992</v>
      </c>
      <c r="DH438" s="24">
        <v>88</v>
      </c>
      <c r="DI438" s="25">
        <v>380.38</v>
      </c>
      <c r="DJ438" s="24">
        <v>99</v>
      </c>
      <c r="DK438" s="25">
        <v>8.1199999999999992</v>
      </c>
      <c r="DL438" s="24">
        <v>85</v>
      </c>
      <c r="DM438" s="25" t="s">
        <v>138</v>
      </c>
      <c r="DN438" s="24" t="s">
        <v>138</v>
      </c>
      <c r="DO438" s="25">
        <v>2.2599999999999998</v>
      </c>
      <c r="DP438" s="24">
        <v>66</v>
      </c>
      <c r="DQ438" s="24">
        <v>2760</v>
      </c>
      <c r="DR438" s="26">
        <v>78</v>
      </c>
      <c r="DS438" s="23">
        <v>2.91</v>
      </c>
      <c r="DT438" s="24" t="s">
        <v>138</v>
      </c>
      <c r="DU438" s="26" t="s">
        <v>138</v>
      </c>
      <c r="DV438" s="23" t="s">
        <v>138</v>
      </c>
      <c r="DW438" s="24">
        <v>808</v>
      </c>
      <c r="DX438" s="27">
        <v>0</v>
      </c>
      <c r="DY438" s="23">
        <v>0</v>
      </c>
      <c r="DZ438" s="15" t="s">
        <v>178</v>
      </c>
      <c r="EA438" s="22">
        <v>43448</v>
      </c>
      <c r="EB438" s="17" t="s">
        <v>138</v>
      </c>
      <c r="EC438" s="22" t="s">
        <v>138</v>
      </c>
      <c r="ED438" s="15" t="s">
        <v>138</v>
      </c>
      <c r="EE438" s="14" t="str">
        <f>HYPERLINK("https://my.pitchbook.com?c=54353-71", "View company online")</f>
        <v>View company online</v>
      </c>
    </row>
    <row r="439" spans="1:135">
      <c r="A439" s="28" t="s">
        <v>9121</v>
      </c>
      <c r="B439" s="28" t="s">
        <v>9122</v>
      </c>
      <c r="C439" s="28" t="s">
        <v>138</v>
      </c>
      <c r="D439" s="28" t="s">
        <v>138</v>
      </c>
      <c r="E439" s="28" t="s">
        <v>9123</v>
      </c>
      <c r="F439" s="28" t="s">
        <v>9121</v>
      </c>
      <c r="G439" s="28" t="s">
        <v>9124</v>
      </c>
      <c r="H439" s="28" t="s">
        <v>322</v>
      </c>
      <c r="I439" s="28" t="s">
        <v>323</v>
      </c>
      <c r="J439" s="28" t="s">
        <v>324</v>
      </c>
      <c r="K439" s="28" t="s">
        <v>9125</v>
      </c>
      <c r="L439" s="28" t="s">
        <v>9126</v>
      </c>
      <c r="M439" s="28" t="s">
        <v>9127</v>
      </c>
      <c r="N439" s="28" t="s">
        <v>147</v>
      </c>
      <c r="O439" s="29">
        <v>49.05</v>
      </c>
      <c r="P439" s="28" t="s">
        <v>812</v>
      </c>
      <c r="Q439" s="28" t="s">
        <v>149</v>
      </c>
      <c r="R439" s="28" t="s">
        <v>244</v>
      </c>
      <c r="S439" s="28" t="s">
        <v>9128</v>
      </c>
      <c r="T439" s="30">
        <v>150</v>
      </c>
      <c r="U439" s="28" t="s">
        <v>9129</v>
      </c>
      <c r="V439" s="28" t="s">
        <v>138</v>
      </c>
      <c r="W439" s="28" t="s">
        <v>138</v>
      </c>
      <c r="X439" s="31">
        <v>2008</v>
      </c>
      <c r="Y439" s="28" t="s">
        <v>138</v>
      </c>
      <c r="Z439" s="28" t="s">
        <v>138</v>
      </c>
      <c r="AA439" s="28" t="s">
        <v>138</v>
      </c>
      <c r="AB439" s="32">
        <v>22.12</v>
      </c>
      <c r="AC439" s="32" t="s">
        <v>138</v>
      </c>
      <c r="AD439" s="32" t="s">
        <v>138</v>
      </c>
      <c r="AE439" s="32" t="s">
        <v>138</v>
      </c>
      <c r="AF439" s="32" t="s">
        <v>138</v>
      </c>
      <c r="AG439" s="28" t="s">
        <v>514</v>
      </c>
      <c r="AH439" s="32" t="s">
        <v>138</v>
      </c>
      <c r="AI439" s="32" t="s">
        <v>138</v>
      </c>
      <c r="AJ439" s="32" t="s">
        <v>138</v>
      </c>
      <c r="AK439" s="28" t="s">
        <v>9130</v>
      </c>
      <c r="AL439" s="28" t="s">
        <v>9131</v>
      </c>
      <c r="AM439" s="28" t="s">
        <v>444</v>
      </c>
      <c r="AN439" s="28" t="s">
        <v>9132</v>
      </c>
      <c r="AO439" s="28" t="s">
        <v>9133</v>
      </c>
      <c r="AP439" s="28" t="s">
        <v>9134</v>
      </c>
      <c r="AQ439" s="28" t="s">
        <v>9135</v>
      </c>
      <c r="AR439" s="28" t="s">
        <v>1170</v>
      </c>
      <c r="AS439" s="28" t="s">
        <v>9136</v>
      </c>
      <c r="AT439" s="28" t="s">
        <v>200</v>
      </c>
      <c r="AU439" s="28" t="s">
        <v>9137</v>
      </c>
      <c r="AV439" s="28" t="s">
        <v>162</v>
      </c>
      <c r="AW439" s="28" t="s">
        <v>9133</v>
      </c>
      <c r="AX439" s="28" t="s">
        <v>138</v>
      </c>
      <c r="AY439" s="28" t="s">
        <v>9138</v>
      </c>
      <c r="AZ439" s="28" t="s">
        <v>164</v>
      </c>
      <c r="BA439" s="28" t="s">
        <v>165</v>
      </c>
      <c r="BB439" s="28" t="s">
        <v>9139</v>
      </c>
      <c r="BC439" s="28" t="s">
        <v>9140</v>
      </c>
      <c r="BD439" s="33">
        <v>10</v>
      </c>
      <c r="BE439" s="28" t="s">
        <v>138</v>
      </c>
      <c r="BF439" s="28" t="s">
        <v>9141</v>
      </c>
      <c r="BG439" s="28" t="s">
        <v>138</v>
      </c>
      <c r="BH439" s="28" t="s">
        <v>9142</v>
      </c>
      <c r="BI439" s="28" t="s">
        <v>9143</v>
      </c>
      <c r="BJ439" s="28" t="s">
        <v>138</v>
      </c>
      <c r="BK439" s="28" t="s">
        <v>1275</v>
      </c>
      <c r="BL439" s="28" t="s">
        <v>9144</v>
      </c>
      <c r="BM439" s="34">
        <v>39843</v>
      </c>
      <c r="BN439" s="29">
        <v>3.05</v>
      </c>
      <c r="BO439" s="28" t="s">
        <v>172</v>
      </c>
      <c r="BP439" s="29">
        <v>4.7699999999999996</v>
      </c>
      <c r="BQ439" s="28" t="s">
        <v>172</v>
      </c>
      <c r="BR439" s="28" t="s">
        <v>205</v>
      </c>
      <c r="BS439" s="28" t="s">
        <v>206</v>
      </c>
      <c r="BT439" s="28" t="s">
        <v>138</v>
      </c>
      <c r="BU439" s="28" t="s">
        <v>174</v>
      </c>
      <c r="BV439" s="28" t="s">
        <v>138</v>
      </c>
      <c r="BW439" s="28" t="s">
        <v>138</v>
      </c>
      <c r="BX439" s="28" t="s">
        <v>138</v>
      </c>
      <c r="BY439" s="28" t="s">
        <v>175</v>
      </c>
      <c r="BZ439" s="34">
        <v>42801</v>
      </c>
      <c r="CA439" s="29">
        <v>12</v>
      </c>
      <c r="CB439" s="28" t="s">
        <v>1178</v>
      </c>
      <c r="CC439" s="29">
        <v>88.89</v>
      </c>
      <c r="CD439" s="28" t="s">
        <v>172</v>
      </c>
      <c r="CE439" s="28" t="s">
        <v>173</v>
      </c>
      <c r="CF439" s="28" t="s">
        <v>317</v>
      </c>
      <c r="CG439" s="28" t="s">
        <v>138</v>
      </c>
      <c r="CH439" s="28" t="s">
        <v>174</v>
      </c>
      <c r="CI439" s="28" t="s">
        <v>138</v>
      </c>
      <c r="CJ439" s="28" t="s">
        <v>138</v>
      </c>
      <c r="CK439" s="28" t="s">
        <v>138</v>
      </c>
      <c r="CL439" s="28" t="s">
        <v>175</v>
      </c>
      <c r="CM439" s="34">
        <v>42613</v>
      </c>
      <c r="CN439" s="29">
        <v>12</v>
      </c>
      <c r="CO439" s="35">
        <v>-0.26</v>
      </c>
      <c r="CP439" s="36">
        <v>19</v>
      </c>
      <c r="CQ439" s="35">
        <v>0</v>
      </c>
      <c r="CR439" s="35">
        <v>0.41</v>
      </c>
      <c r="CS439" s="35">
        <v>-0.49</v>
      </c>
      <c r="CT439" s="36">
        <v>19</v>
      </c>
      <c r="CU439" s="35">
        <v>-0.04</v>
      </c>
      <c r="CV439" s="36">
        <v>12</v>
      </c>
      <c r="CW439" s="35">
        <v>1.88</v>
      </c>
      <c r="CX439" s="36">
        <v>88</v>
      </c>
      <c r="CY439" s="35">
        <v>-2.86</v>
      </c>
      <c r="CZ439" s="36">
        <v>7</v>
      </c>
      <c r="DA439" s="35">
        <v>-0.04</v>
      </c>
      <c r="DB439" s="36">
        <v>15</v>
      </c>
      <c r="DC439" s="37">
        <v>19.04</v>
      </c>
      <c r="DD439" s="36">
        <v>94</v>
      </c>
      <c r="DE439" s="37">
        <v>-0.37</v>
      </c>
      <c r="DF439" s="35">
        <v>-1.89</v>
      </c>
      <c r="DG439" s="37">
        <v>30.53</v>
      </c>
      <c r="DH439" s="36">
        <v>97</v>
      </c>
      <c r="DI439" s="37">
        <v>7.55</v>
      </c>
      <c r="DJ439" s="36">
        <v>82</v>
      </c>
      <c r="DK439" s="37">
        <v>11.31</v>
      </c>
      <c r="DL439" s="36">
        <v>88</v>
      </c>
      <c r="DM439" s="37">
        <v>49.76</v>
      </c>
      <c r="DN439" s="36">
        <v>98</v>
      </c>
      <c r="DO439" s="37">
        <v>7.55</v>
      </c>
      <c r="DP439" s="36">
        <v>84</v>
      </c>
      <c r="DQ439" s="36">
        <v>3813</v>
      </c>
      <c r="DR439" s="38">
        <v>199</v>
      </c>
      <c r="DS439" s="35">
        <v>5.51</v>
      </c>
      <c r="DT439" s="36">
        <v>1443</v>
      </c>
      <c r="DU439" s="38">
        <v>-4</v>
      </c>
      <c r="DV439" s="35">
        <v>-0.28000000000000003</v>
      </c>
      <c r="DW439" s="36">
        <v>2706</v>
      </c>
      <c r="DX439" s="39">
        <v>-2</v>
      </c>
      <c r="DY439" s="35">
        <v>-7.0000000000000007E-2</v>
      </c>
      <c r="DZ439" s="28" t="s">
        <v>178</v>
      </c>
      <c r="EA439" s="34">
        <v>43570</v>
      </c>
      <c r="EB439" s="29">
        <v>88.89</v>
      </c>
      <c r="EC439" s="34">
        <v>42801</v>
      </c>
      <c r="ED439" s="28" t="s">
        <v>173</v>
      </c>
      <c r="EE439" s="40" t="str">
        <f>HYPERLINK("https://my.pitchbook.com?c=53570-62", "View company online")</f>
        <v>View company online</v>
      </c>
    </row>
    <row r="440" spans="1:135">
      <c r="A440" s="15" t="s">
        <v>9145</v>
      </c>
      <c r="B440" s="15" t="s">
        <v>9146</v>
      </c>
      <c r="C440" s="15" t="s">
        <v>138</v>
      </c>
      <c r="D440" s="15" t="s">
        <v>138</v>
      </c>
      <c r="E440" s="15" t="s">
        <v>138</v>
      </c>
      <c r="F440" s="15" t="s">
        <v>9145</v>
      </c>
      <c r="G440" s="15" t="s">
        <v>9147</v>
      </c>
      <c r="H440" s="15" t="s">
        <v>238</v>
      </c>
      <c r="I440" s="15" t="s">
        <v>749</v>
      </c>
      <c r="J440" s="15" t="s">
        <v>750</v>
      </c>
      <c r="K440" s="15" t="s">
        <v>751</v>
      </c>
      <c r="L440" s="15" t="s">
        <v>752</v>
      </c>
      <c r="M440" s="15" t="s">
        <v>9148</v>
      </c>
      <c r="N440" s="15" t="s">
        <v>1452</v>
      </c>
      <c r="O440" s="17">
        <v>26.93</v>
      </c>
      <c r="P440" s="15" t="s">
        <v>148</v>
      </c>
      <c r="Q440" s="15" t="s">
        <v>149</v>
      </c>
      <c r="R440" s="15" t="s">
        <v>328</v>
      </c>
      <c r="S440" s="15" t="s">
        <v>9149</v>
      </c>
      <c r="T440" s="18">
        <v>32</v>
      </c>
      <c r="U440" s="15" t="s">
        <v>9150</v>
      </c>
      <c r="V440" s="15" t="s">
        <v>138</v>
      </c>
      <c r="W440" s="15" t="s">
        <v>138</v>
      </c>
      <c r="X440" s="19">
        <v>2010</v>
      </c>
      <c r="Y440" s="15" t="s">
        <v>138</v>
      </c>
      <c r="Z440" s="15" t="s">
        <v>138</v>
      </c>
      <c r="AA440" s="15" t="s">
        <v>138</v>
      </c>
      <c r="AB440" s="20">
        <v>52.4</v>
      </c>
      <c r="AC440" s="20" t="s">
        <v>138</v>
      </c>
      <c r="AD440" s="20" t="s">
        <v>138</v>
      </c>
      <c r="AE440" s="20" t="s">
        <v>138</v>
      </c>
      <c r="AF440" s="20" t="s">
        <v>138</v>
      </c>
      <c r="AG440" s="15" t="s">
        <v>419</v>
      </c>
      <c r="AH440" s="20" t="s">
        <v>138</v>
      </c>
      <c r="AI440" s="20" t="s">
        <v>138</v>
      </c>
      <c r="AJ440" s="20" t="s">
        <v>138</v>
      </c>
      <c r="AK440" s="15" t="s">
        <v>9151</v>
      </c>
      <c r="AL440" s="15" t="s">
        <v>9152</v>
      </c>
      <c r="AM440" s="15" t="s">
        <v>9153</v>
      </c>
      <c r="AN440" s="15" t="s">
        <v>9154</v>
      </c>
      <c r="AO440" s="15" t="s">
        <v>9155</v>
      </c>
      <c r="AP440" s="15" t="s">
        <v>9156</v>
      </c>
      <c r="AQ440" s="15" t="s">
        <v>9157</v>
      </c>
      <c r="AR440" s="15" t="s">
        <v>2004</v>
      </c>
      <c r="AS440" s="15" t="s">
        <v>9158</v>
      </c>
      <c r="AT440" s="15" t="s">
        <v>200</v>
      </c>
      <c r="AU440" s="15" t="s">
        <v>9159</v>
      </c>
      <c r="AV440" s="15" t="s">
        <v>162</v>
      </c>
      <c r="AW440" s="15" t="s">
        <v>9155</v>
      </c>
      <c r="AX440" s="15" t="s">
        <v>138</v>
      </c>
      <c r="AY440" s="15" t="s">
        <v>138</v>
      </c>
      <c r="AZ440" s="15" t="s">
        <v>164</v>
      </c>
      <c r="BA440" s="15" t="s">
        <v>165</v>
      </c>
      <c r="BB440" s="15" t="s">
        <v>9160</v>
      </c>
      <c r="BC440" s="15" t="s">
        <v>9161</v>
      </c>
      <c r="BD440" s="21">
        <v>11</v>
      </c>
      <c r="BE440" s="15" t="s">
        <v>138</v>
      </c>
      <c r="BF440" s="15" t="s">
        <v>138</v>
      </c>
      <c r="BG440" s="15" t="s">
        <v>138</v>
      </c>
      <c r="BH440" s="15" t="s">
        <v>9162</v>
      </c>
      <c r="BI440" s="15" t="s">
        <v>138</v>
      </c>
      <c r="BJ440" s="15" t="s">
        <v>138</v>
      </c>
      <c r="BK440" s="15" t="s">
        <v>138</v>
      </c>
      <c r="BL440" s="15" t="s">
        <v>6179</v>
      </c>
      <c r="BM440" s="22">
        <v>40360</v>
      </c>
      <c r="BN440" s="17">
        <v>0.71</v>
      </c>
      <c r="BO440" s="15" t="s">
        <v>172</v>
      </c>
      <c r="BP440" s="17">
        <v>4.0999999999999996</v>
      </c>
      <c r="BQ440" s="15" t="s">
        <v>172</v>
      </c>
      <c r="BR440" s="15" t="s">
        <v>262</v>
      </c>
      <c r="BS440" s="15" t="s">
        <v>206</v>
      </c>
      <c r="BT440" s="15" t="s">
        <v>138</v>
      </c>
      <c r="BU440" s="15" t="s">
        <v>263</v>
      </c>
      <c r="BV440" s="15" t="s">
        <v>138</v>
      </c>
      <c r="BW440" s="15" t="s">
        <v>138</v>
      </c>
      <c r="BX440" s="15" t="s">
        <v>138</v>
      </c>
      <c r="BY440" s="15" t="s">
        <v>175</v>
      </c>
      <c r="BZ440" s="22">
        <v>43101</v>
      </c>
      <c r="CA440" s="17" t="s">
        <v>138</v>
      </c>
      <c r="CB440" s="15" t="s">
        <v>138</v>
      </c>
      <c r="CC440" s="17" t="s">
        <v>138</v>
      </c>
      <c r="CD440" s="15" t="s">
        <v>138</v>
      </c>
      <c r="CE440" s="15" t="s">
        <v>1673</v>
      </c>
      <c r="CF440" s="15" t="s">
        <v>138</v>
      </c>
      <c r="CG440" s="15" t="s">
        <v>138</v>
      </c>
      <c r="CH440" s="15" t="s">
        <v>351</v>
      </c>
      <c r="CI440" s="15" t="s">
        <v>138</v>
      </c>
      <c r="CJ440" s="15" t="s">
        <v>138</v>
      </c>
      <c r="CK440" s="15" t="s">
        <v>138</v>
      </c>
      <c r="CL440" s="15" t="s">
        <v>175</v>
      </c>
      <c r="CM440" s="22" t="s">
        <v>138</v>
      </c>
      <c r="CN440" s="17" t="s">
        <v>138</v>
      </c>
      <c r="CO440" s="23">
        <v>0.02</v>
      </c>
      <c r="CP440" s="24">
        <v>85</v>
      </c>
      <c r="CQ440" s="23">
        <v>0</v>
      </c>
      <c r="CR440" s="23">
        <v>1.04</v>
      </c>
      <c r="CS440" s="23">
        <v>0.08</v>
      </c>
      <c r="CT440" s="24">
        <v>94</v>
      </c>
      <c r="CU440" s="23">
        <v>-0.04</v>
      </c>
      <c r="CV440" s="24">
        <v>12</v>
      </c>
      <c r="CW440" s="23">
        <v>-1.01</v>
      </c>
      <c r="CX440" s="24">
        <v>10</v>
      </c>
      <c r="CY440" s="23">
        <v>1.17</v>
      </c>
      <c r="CZ440" s="24">
        <v>99</v>
      </c>
      <c r="DA440" s="23">
        <v>-0.04</v>
      </c>
      <c r="DB440" s="24">
        <v>15</v>
      </c>
      <c r="DC440" s="25">
        <v>44.48</v>
      </c>
      <c r="DD440" s="24">
        <v>98</v>
      </c>
      <c r="DE440" s="25">
        <v>-0.86</v>
      </c>
      <c r="DF440" s="23">
        <v>-1.9</v>
      </c>
      <c r="DG440" s="25">
        <v>18.75</v>
      </c>
      <c r="DH440" s="24">
        <v>94</v>
      </c>
      <c r="DI440" s="25">
        <v>70.209999999999994</v>
      </c>
      <c r="DJ440" s="24">
        <v>96</v>
      </c>
      <c r="DK440" s="25">
        <v>32.32</v>
      </c>
      <c r="DL440" s="24">
        <v>94</v>
      </c>
      <c r="DM440" s="25">
        <v>5.17</v>
      </c>
      <c r="DN440" s="24">
        <v>82</v>
      </c>
      <c r="DO440" s="25">
        <v>70.209999999999994</v>
      </c>
      <c r="DP440" s="24">
        <v>97</v>
      </c>
      <c r="DQ440" s="24">
        <v>11301</v>
      </c>
      <c r="DR440" s="26">
        <v>-645</v>
      </c>
      <c r="DS440" s="23">
        <v>-5.4</v>
      </c>
      <c r="DT440" s="24">
        <v>149</v>
      </c>
      <c r="DU440" s="26">
        <v>1</v>
      </c>
      <c r="DV440" s="23">
        <v>0.68</v>
      </c>
      <c r="DW440" s="24">
        <v>25149</v>
      </c>
      <c r="DX440" s="27">
        <v>-15</v>
      </c>
      <c r="DY440" s="23">
        <v>-0.06</v>
      </c>
      <c r="DZ440" s="15" t="s">
        <v>178</v>
      </c>
      <c r="EA440" s="22">
        <v>43569</v>
      </c>
      <c r="EB440" s="17">
        <v>50</v>
      </c>
      <c r="EC440" s="22">
        <v>42793</v>
      </c>
      <c r="ED440" s="15" t="s">
        <v>173</v>
      </c>
      <c r="EE440" s="14" t="str">
        <f>HYPERLINK("https://my.pitchbook.com?c=58480-03", "View company online")</f>
        <v>View company online</v>
      </c>
    </row>
    <row r="441" spans="1:135">
      <c r="A441" s="28" t="s">
        <v>9163</v>
      </c>
      <c r="B441" s="28" t="s">
        <v>9164</v>
      </c>
      <c r="C441" s="28" t="s">
        <v>9165</v>
      </c>
      <c r="D441" s="28" t="s">
        <v>138</v>
      </c>
      <c r="E441" s="28" t="s">
        <v>9166</v>
      </c>
      <c r="F441" s="28" t="s">
        <v>9163</v>
      </c>
      <c r="G441" s="28" t="s">
        <v>9167</v>
      </c>
      <c r="H441" s="28" t="s">
        <v>322</v>
      </c>
      <c r="I441" s="28" t="s">
        <v>323</v>
      </c>
      <c r="J441" s="28" t="s">
        <v>539</v>
      </c>
      <c r="K441" s="28" t="s">
        <v>9168</v>
      </c>
      <c r="L441" s="28" t="s">
        <v>415</v>
      </c>
      <c r="M441" s="28" t="s">
        <v>9169</v>
      </c>
      <c r="N441" s="28" t="s">
        <v>147</v>
      </c>
      <c r="O441" s="29">
        <v>13.6</v>
      </c>
      <c r="P441" s="28" t="s">
        <v>812</v>
      </c>
      <c r="Q441" s="28" t="s">
        <v>149</v>
      </c>
      <c r="R441" s="28" t="s">
        <v>174</v>
      </c>
      <c r="S441" s="28" t="s">
        <v>9170</v>
      </c>
      <c r="T441" s="30">
        <v>72</v>
      </c>
      <c r="U441" s="28" t="s">
        <v>9171</v>
      </c>
      <c r="V441" s="28" t="s">
        <v>138</v>
      </c>
      <c r="W441" s="28" t="s">
        <v>138</v>
      </c>
      <c r="X441" s="31">
        <v>2005</v>
      </c>
      <c r="Y441" s="28" t="s">
        <v>138</v>
      </c>
      <c r="Z441" s="28" t="s">
        <v>138</v>
      </c>
      <c r="AA441" s="28" t="s">
        <v>138</v>
      </c>
      <c r="AB441" s="32" t="s">
        <v>138</v>
      </c>
      <c r="AC441" s="32" t="s">
        <v>138</v>
      </c>
      <c r="AD441" s="32" t="s">
        <v>138</v>
      </c>
      <c r="AE441" s="32" t="s">
        <v>138</v>
      </c>
      <c r="AF441" s="32" t="s">
        <v>138</v>
      </c>
      <c r="AG441" s="28" t="s">
        <v>138</v>
      </c>
      <c r="AH441" s="32" t="s">
        <v>138</v>
      </c>
      <c r="AI441" s="32" t="s">
        <v>138</v>
      </c>
      <c r="AJ441" s="32" t="s">
        <v>138</v>
      </c>
      <c r="AK441" s="28" t="s">
        <v>9172</v>
      </c>
      <c r="AL441" s="28" t="s">
        <v>9173</v>
      </c>
      <c r="AM441" s="28" t="s">
        <v>278</v>
      </c>
      <c r="AN441" s="28" t="s">
        <v>9174</v>
      </c>
      <c r="AO441" s="28" t="s">
        <v>9175</v>
      </c>
      <c r="AP441" s="28" t="s">
        <v>665</v>
      </c>
      <c r="AQ441" s="28" t="s">
        <v>5293</v>
      </c>
      <c r="AR441" s="28" t="s">
        <v>9176</v>
      </c>
      <c r="AS441" s="28" t="s">
        <v>668</v>
      </c>
      <c r="AT441" s="28" t="s">
        <v>200</v>
      </c>
      <c r="AU441" s="28" t="s">
        <v>669</v>
      </c>
      <c r="AV441" s="28" t="s">
        <v>162</v>
      </c>
      <c r="AW441" s="28" t="s">
        <v>9175</v>
      </c>
      <c r="AX441" s="28" t="s">
        <v>138</v>
      </c>
      <c r="AY441" s="28" t="s">
        <v>9177</v>
      </c>
      <c r="AZ441" s="28" t="s">
        <v>164</v>
      </c>
      <c r="BA441" s="28" t="s">
        <v>165</v>
      </c>
      <c r="BB441" s="28" t="s">
        <v>9178</v>
      </c>
      <c r="BC441" s="28" t="s">
        <v>9179</v>
      </c>
      <c r="BD441" s="33">
        <v>7</v>
      </c>
      <c r="BE441" s="28" t="s">
        <v>138</v>
      </c>
      <c r="BF441" s="28" t="s">
        <v>138</v>
      </c>
      <c r="BG441" s="28" t="s">
        <v>138</v>
      </c>
      <c r="BH441" s="28" t="s">
        <v>9180</v>
      </c>
      <c r="BI441" s="28" t="s">
        <v>138</v>
      </c>
      <c r="BJ441" s="28" t="s">
        <v>138</v>
      </c>
      <c r="BK441" s="28" t="s">
        <v>2936</v>
      </c>
      <c r="BL441" s="28" t="s">
        <v>9181</v>
      </c>
      <c r="BM441" s="34">
        <v>39022</v>
      </c>
      <c r="BN441" s="29">
        <v>2.68</v>
      </c>
      <c r="BO441" s="28" t="s">
        <v>172</v>
      </c>
      <c r="BP441" s="29">
        <v>9.3800000000000008</v>
      </c>
      <c r="BQ441" s="28" t="s">
        <v>172</v>
      </c>
      <c r="BR441" s="28" t="s">
        <v>262</v>
      </c>
      <c r="BS441" s="28" t="s">
        <v>206</v>
      </c>
      <c r="BT441" s="28" t="s">
        <v>138</v>
      </c>
      <c r="BU441" s="28" t="s">
        <v>263</v>
      </c>
      <c r="BV441" s="28" t="s">
        <v>138</v>
      </c>
      <c r="BW441" s="28" t="s">
        <v>138</v>
      </c>
      <c r="BX441" s="28" t="s">
        <v>138</v>
      </c>
      <c r="BY441" s="28" t="s">
        <v>175</v>
      </c>
      <c r="BZ441" s="34">
        <v>41334</v>
      </c>
      <c r="CA441" s="29">
        <v>0.15</v>
      </c>
      <c r="CB441" s="28" t="s">
        <v>172</v>
      </c>
      <c r="CC441" s="29" t="s">
        <v>138</v>
      </c>
      <c r="CD441" s="28" t="s">
        <v>138</v>
      </c>
      <c r="CE441" s="28" t="s">
        <v>234</v>
      </c>
      <c r="CF441" s="28" t="s">
        <v>234</v>
      </c>
      <c r="CG441" s="28" t="s">
        <v>138</v>
      </c>
      <c r="CH441" s="28" t="s">
        <v>174</v>
      </c>
      <c r="CI441" s="28" t="s">
        <v>138</v>
      </c>
      <c r="CJ441" s="28" t="s">
        <v>138</v>
      </c>
      <c r="CK441" s="28" t="s">
        <v>138</v>
      </c>
      <c r="CL441" s="28" t="s">
        <v>175</v>
      </c>
      <c r="CM441" s="34" t="s">
        <v>138</v>
      </c>
      <c r="CN441" s="29" t="s">
        <v>138</v>
      </c>
      <c r="CO441" s="35">
        <v>0.02</v>
      </c>
      <c r="CP441" s="36">
        <v>85</v>
      </c>
      <c r="CQ441" s="35">
        <v>0.01</v>
      </c>
      <c r="CR441" s="35">
        <v>66.400000000000006</v>
      </c>
      <c r="CS441" s="35">
        <v>0.05</v>
      </c>
      <c r="CT441" s="36">
        <v>94</v>
      </c>
      <c r="CU441" s="35">
        <v>-0.01</v>
      </c>
      <c r="CV441" s="36">
        <v>20</v>
      </c>
      <c r="CW441" s="35">
        <v>1.88</v>
      </c>
      <c r="CX441" s="36">
        <v>88</v>
      </c>
      <c r="CY441" s="35">
        <v>-1.77</v>
      </c>
      <c r="CZ441" s="36">
        <v>13</v>
      </c>
      <c r="DA441" s="35">
        <v>-0.02</v>
      </c>
      <c r="DB441" s="36">
        <v>19</v>
      </c>
      <c r="DC441" s="37">
        <v>14.36</v>
      </c>
      <c r="DD441" s="36">
        <v>93</v>
      </c>
      <c r="DE441" s="37">
        <v>-0.7</v>
      </c>
      <c r="DF441" s="35">
        <v>-4.63</v>
      </c>
      <c r="DG441" s="37">
        <v>20.54</v>
      </c>
      <c r="DH441" s="36">
        <v>95</v>
      </c>
      <c r="DI441" s="37">
        <v>8.19</v>
      </c>
      <c r="DJ441" s="36">
        <v>83</v>
      </c>
      <c r="DK441" s="37">
        <v>22.43</v>
      </c>
      <c r="DL441" s="36">
        <v>92</v>
      </c>
      <c r="DM441" s="37">
        <v>18.66</v>
      </c>
      <c r="DN441" s="36">
        <v>94</v>
      </c>
      <c r="DO441" s="37">
        <v>10.79</v>
      </c>
      <c r="DP441" s="36">
        <v>88</v>
      </c>
      <c r="DQ441" s="36">
        <v>7582</v>
      </c>
      <c r="DR441" s="38">
        <v>331</v>
      </c>
      <c r="DS441" s="35">
        <v>4.5599999999999996</v>
      </c>
      <c r="DT441" s="36">
        <v>540</v>
      </c>
      <c r="DU441" s="38">
        <v>0</v>
      </c>
      <c r="DV441" s="35">
        <v>0</v>
      </c>
      <c r="DW441" s="36">
        <v>3863</v>
      </c>
      <c r="DX441" s="39">
        <v>2</v>
      </c>
      <c r="DY441" s="35">
        <v>0.05</v>
      </c>
      <c r="DZ441" s="28" t="s">
        <v>178</v>
      </c>
      <c r="EA441" s="34">
        <v>43351</v>
      </c>
      <c r="EB441" s="29">
        <v>17.59</v>
      </c>
      <c r="EC441" s="34">
        <v>40381</v>
      </c>
      <c r="ED441" s="28" t="s">
        <v>173</v>
      </c>
      <c r="EE441" s="40" t="str">
        <f>HYPERLINK("https://my.pitchbook.com?c=13104-55", "View company online")</f>
        <v>View company online</v>
      </c>
    </row>
    <row r="442" spans="1:135">
      <c r="A442" s="15" t="s">
        <v>9182</v>
      </c>
      <c r="B442" s="15" t="s">
        <v>9183</v>
      </c>
      <c r="C442" s="15" t="s">
        <v>138</v>
      </c>
      <c r="D442" s="15" t="s">
        <v>138</v>
      </c>
      <c r="E442" s="15" t="s">
        <v>9184</v>
      </c>
      <c r="F442" s="15" t="s">
        <v>9182</v>
      </c>
      <c r="G442" s="15" t="s">
        <v>9185</v>
      </c>
      <c r="H442" s="15" t="s">
        <v>141</v>
      </c>
      <c r="I442" s="15" t="s">
        <v>212</v>
      </c>
      <c r="J442" s="15" t="s">
        <v>655</v>
      </c>
      <c r="K442" s="15" t="s">
        <v>656</v>
      </c>
      <c r="L442" s="15" t="s">
        <v>657</v>
      </c>
      <c r="M442" s="15" t="s">
        <v>9186</v>
      </c>
      <c r="N442" s="15" t="s">
        <v>147</v>
      </c>
      <c r="O442" s="17">
        <v>105.02</v>
      </c>
      <c r="P442" s="15" t="s">
        <v>148</v>
      </c>
      <c r="Q442" s="15" t="s">
        <v>149</v>
      </c>
      <c r="R442" s="15" t="s">
        <v>174</v>
      </c>
      <c r="S442" s="15" t="s">
        <v>9187</v>
      </c>
      <c r="T442" s="18" t="s">
        <v>138</v>
      </c>
      <c r="U442" s="15" t="s">
        <v>138</v>
      </c>
      <c r="V442" s="15" t="s">
        <v>138</v>
      </c>
      <c r="W442" s="15" t="s">
        <v>138</v>
      </c>
      <c r="X442" s="19">
        <v>2010</v>
      </c>
      <c r="Y442" s="15" t="s">
        <v>138</v>
      </c>
      <c r="Z442" s="15" t="s">
        <v>138</v>
      </c>
      <c r="AA442" s="15" t="s">
        <v>9188</v>
      </c>
      <c r="AB442" s="20" t="s">
        <v>138</v>
      </c>
      <c r="AC442" s="20" t="s">
        <v>138</v>
      </c>
      <c r="AD442" s="20" t="s">
        <v>138</v>
      </c>
      <c r="AE442" s="20" t="s">
        <v>138</v>
      </c>
      <c r="AF442" s="20" t="s">
        <v>138</v>
      </c>
      <c r="AG442" s="15" t="s">
        <v>138</v>
      </c>
      <c r="AH442" s="20" t="s">
        <v>138</v>
      </c>
      <c r="AI442" s="20" t="s">
        <v>138</v>
      </c>
      <c r="AJ442" s="20" t="s">
        <v>138</v>
      </c>
      <c r="AK442" s="15" t="s">
        <v>9189</v>
      </c>
      <c r="AL442" s="15" t="s">
        <v>9190</v>
      </c>
      <c r="AM442" s="15" t="s">
        <v>5401</v>
      </c>
      <c r="AN442" s="15" t="s">
        <v>9191</v>
      </c>
      <c r="AO442" s="15" t="s">
        <v>138</v>
      </c>
      <c r="AP442" s="15" t="s">
        <v>665</v>
      </c>
      <c r="AQ442" s="15" t="s">
        <v>9192</v>
      </c>
      <c r="AR442" s="15" t="s">
        <v>1170</v>
      </c>
      <c r="AS442" s="15" t="s">
        <v>668</v>
      </c>
      <c r="AT442" s="15" t="s">
        <v>200</v>
      </c>
      <c r="AU442" s="15" t="s">
        <v>1893</v>
      </c>
      <c r="AV442" s="15" t="s">
        <v>162</v>
      </c>
      <c r="AW442" s="15" t="s">
        <v>138</v>
      </c>
      <c r="AX442" s="15" t="s">
        <v>138</v>
      </c>
      <c r="AY442" s="15" t="s">
        <v>9193</v>
      </c>
      <c r="AZ442" s="15" t="s">
        <v>164</v>
      </c>
      <c r="BA442" s="15" t="s">
        <v>165</v>
      </c>
      <c r="BB442" s="15" t="s">
        <v>9194</v>
      </c>
      <c r="BC442" s="15" t="s">
        <v>9195</v>
      </c>
      <c r="BD442" s="21">
        <v>8</v>
      </c>
      <c r="BE442" s="15" t="s">
        <v>138</v>
      </c>
      <c r="BF442" s="15" t="s">
        <v>138</v>
      </c>
      <c r="BG442" s="15" t="s">
        <v>138</v>
      </c>
      <c r="BH442" s="15" t="s">
        <v>9196</v>
      </c>
      <c r="BI442" s="15" t="s">
        <v>138</v>
      </c>
      <c r="BJ442" s="15" t="s">
        <v>138</v>
      </c>
      <c r="BK442" s="15" t="s">
        <v>1275</v>
      </c>
      <c r="BL442" s="15" t="s">
        <v>1275</v>
      </c>
      <c r="BM442" s="22">
        <v>40926</v>
      </c>
      <c r="BN442" s="17">
        <v>5.46</v>
      </c>
      <c r="BO442" s="15" t="s">
        <v>172</v>
      </c>
      <c r="BP442" s="17">
        <v>16.28</v>
      </c>
      <c r="BQ442" s="15" t="s">
        <v>172</v>
      </c>
      <c r="BR442" s="15" t="s">
        <v>205</v>
      </c>
      <c r="BS442" s="15" t="s">
        <v>206</v>
      </c>
      <c r="BT442" s="15" t="s">
        <v>138</v>
      </c>
      <c r="BU442" s="15" t="s">
        <v>174</v>
      </c>
      <c r="BV442" s="15" t="s">
        <v>138</v>
      </c>
      <c r="BW442" s="15" t="s">
        <v>138</v>
      </c>
      <c r="BX442" s="15" t="s">
        <v>138</v>
      </c>
      <c r="BY442" s="15" t="s">
        <v>175</v>
      </c>
      <c r="BZ442" s="22">
        <v>43614</v>
      </c>
      <c r="CA442" s="17">
        <v>50</v>
      </c>
      <c r="CB442" s="15" t="s">
        <v>172</v>
      </c>
      <c r="CC442" s="17">
        <v>335</v>
      </c>
      <c r="CD442" s="15" t="s">
        <v>172</v>
      </c>
      <c r="CE442" s="15" t="s">
        <v>173</v>
      </c>
      <c r="CF442" s="15" t="s">
        <v>433</v>
      </c>
      <c r="CG442" s="15" t="s">
        <v>138</v>
      </c>
      <c r="CH442" s="15" t="s">
        <v>174</v>
      </c>
      <c r="CI442" s="15" t="s">
        <v>177</v>
      </c>
      <c r="CJ442" s="15" t="s">
        <v>138</v>
      </c>
      <c r="CK442" s="15" t="s">
        <v>138</v>
      </c>
      <c r="CL442" s="15" t="s">
        <v>175</v>
      </c>
      <c r="CM442" s="22" t="s">
        <v>138</v>
      </c>
      <c r="CN442" s="17" t="s">
        <v>138</v>
      </c>
      <c r="CO442" s="23">
        <v>0.55000000000000004</v>
      </c>
      <c r="CP442" s="24">
        <v>95</v>
      </c>
      <c r="CQ442" s="23">
        <v>-0.11</v>
      </c>
      <c r="CR442" s="23">
        <v>-16.61</v>
      </c>
      <c r="CS442" s="23">
        <v>1.04</v>
      </c>
      <c r="CT442" s="24">
        <v>97</v>
      </c>
      <c r="CU442" s="23">
        <v>-0.06</v>
      </c>
      <c r="CV442" s="24">
        <v>8</v>
      </c>
      <c r="CW442" s="23">
        <v>3.59</v>
      </c>
      <c r="CX442" s="24">
        <v>93</v>
      </c>
      <c r="CY442" s="23">
        <v>-1.51</v>
      </c>
      <c r="CZ442" s="24">
        <v>15</v>
      </c>
      <c r="DA442" s="23">
        <v>-0.1</v>
      </c>
      <c r="DB442" s="24">
        <v>6</v>
      </c>
      <c r="DC442" s="25">
        <v>174.5</v>
      </c>
      <c r="DD442" s="24">
        <v>100</v>
      </c>
      <c r="DE442" s="25">
        <v>-12.37</v>
      </c>
      <c r="DF442" s="23">
        <v>-6.62</v>
      </c>
      <c r="DG442" s="25">
        <v>382.1</v>
      </c>
      <c r="DH442" s="24">
        <v>100</v>
      </c>
      <c r="DI442" s="25">
        <v>140.5</v>
      </c>
      <c r="DJ442" s="24">
        <v>98</v>
      </c>
      <c r="DK442" s="25">
        <v>587.29</v>
      </c>
      <c r="DL442" s="24">
        <v>100</v>
      </c>
      <c r="DM442" s="25">
        <v>176.9</v>
      </c>
      <c r="DN442" s="24">
        <v>100</v>
      </c>
      <c r="DO442" s="25">
        <v>162.63</v>
      </c>
      <c r="DP442" s="24">
        <v>99</v>
      </c>
      <c r="DQ442" s="24">
        <v>197180</v>
      </c>
      <c r="DR442" s="26">
        <v>12783</v>
      </c>
      <c r="DS442" s="23">
        <v>6.93</v>
      </c>
      <c r="DT442" s="24">
        <v>5127</v>
      </c>
      <c r="DU442" s="26">
        <v>8</v>
      </c>
      <c r="DV442" s="23">
        <v>0.16</v>
      </c>
      <c r="DW442" s="24">
        <v>58216</v>
      </c>
      <c r="DX442" s="27">
        <v>28</v>
      </c>
      <c r="DY442" s="23">
        <v>0.05</v>
      </c>
      <c r="DZ442" s="15" t="s">
        <v>178</v>
      </c>
      <c r="EA442" s="22">
        <v>43614</v>
      </c>
      <c r="EB442" s="17">
        <v>335</v>
      </c>
      <c r="EC442" s="22">
        <v>43614</v>
      </c>
      <c r="ED442" s="15" t="s">
        <v>173</v>
      </c>
      <c r="EE442" s="14" t="str">
        <f>HYPERLINK("https://my.pitchbook.com?c=53652-43", "View company online")</f>
        <v>View company online</v>
      </c>
    </row>
    <row r="443" spans="1:135">
      <c r="A443" s="28" t="s">
        <v>9197</v>
      </c>
      <c r="B443" s="28" t="s">
        <v>9198</v>
      </c>
      <c r="C443" s="28" t="s">
        <v>138</v>
      </c>
      <c r="D443" s="28" t="s">
        <v>138</v>
      </c>
      <c r="E443" s="28" t="s">
        <v>138</v>
      </c>
      <c r="F443" s="28" t="s">
        <v>9197</v>
      </c>
      <c r="G443" s="28" t="s">
        <v>9199</v>
      </c>
      <c r="H443" s="28" t="s">
        <v>238</v>
      </c>
      <c r="I443" s="28" t="s">
        <v>1351</v>
      </c>
      <c r="J443" s="28" t="s">
        <v>1352</v>
      </c>
      <c r="K443" s="28" t="s">
        <v>9200</v>
      </c>
      <c r="L443" s="28" t="s">
        <v>2641</v>
      </c>
      <c r="M443" s="28" t="s">
        <v>9201</v>
      </c>
      <c r="N443" s="28" t="s">
        <v>147</v>
      </c>
      <c r="O443" s="29">
        <v>16.5</v>
      </c>
      <c r="P443" s="28" t="s">
        <v>148</v>
      </c>
      <c r="Q443" s="28" t="s">
        <v>149</v>
      </c>
      <c r="R443" s="28" t="s">
        <v>174</v>
      </c>
      <c r="S443" s="28" t="s">
        <v>9202</v>
      </c>
      <c r="T443" s="30" t="s">
        <v>138</v>
      </c>
      <c r="U443" s="28" t="s">
        <v>138</v>
      </c>
      <c r="V443" s="28" t="s">
        <v>138</v>
      </c>
      <c r="W443" s="28" t="s">
        <v>138</v>
      </c>
      <c r="X443" s="31">
        <v>2014</v>
      </c>
      <c r="Y443" s="28" t="s">
        <v>138</v>
      </c>
      <c r="Z443" s="28" t="s">
        <v>138</v>
      </c>
      <c r="AA443" s="28" t="s">
        <v>138</v>
      </c>
      <c r="AB443" s="32" t="s">
        <v>138</v>
      </c>
      <c r="AC443" s="32" t="s">
        <v>138</v>
      </c>
      <c r="AD443" s="32" t="s">
        <v>138</v>
      </c>
      <c r="AE443" s="32" t="s">
        <v>138</v>
      </c>
      <c r="AF443" s="32" t="s">
        <v>138</v>
      </c>
      <c r="AG443" s="28" t="s">
        <v>138</v>
      </c>
      <c r="AH443" s="32" t="s">
        <v>138</v>
      </c>
      <c r="AI443" s="32" t="s">
        <v>138</v>
      </c>
      <c r="AJ443" s="32" t="s">
        <v>138</v>
      </c>
      <c r="AK443" s="28" t="s">
        <v>9203</v>
      </c>
      <c r="AL443" s="28" t="s">
        <v>9204</v>
      </c>
      <c r="AM443" s="28" t="s">
        <v>249</v>
      </c>
      <c r="AN443" s="28" t="s">
        <v>9205</v>
      </c>
      <c r="AO443" s="28" t="s">
        <v>9206</v>
      </c>
      <c r="AP443" s="28" t="s">
        <v>446</v>
      </c>
      <c r="AQ443" s="28" t="s">
        <v>9207</v>
      </c>
      <c r="AR443" s="28" t="s">
        <v>9208</v>
      </c>
      <c r="AS443" s="28" t="s">
        <v>449</v>
      </c>
      <c r="AT443" s="28" t="s">
        <v>448</v>
      </c>
      <c r="AU443" s="28" t="s">
        <v>138</v>
      </c>
      <c r="AV443" s="28" t="s">
        <v>450</v>
      </c>
      <c r="AW443" s="28" t="s">
        <v>9206</v>
      </c>
      <c r="AX443" s="28" t="s">
        <v>138</v>
      </c>
      <c r="AY443" s="28" t="s">
        <v>9209</v>
      </c>
      <c r="AZ443" s="28" t="s">
        <v>452</v>
      </c>
      <c r="BA443" s="28" t="s">
        <v>453</v>
      </c>
      <c r="BB443" s="28" t="s">
        <v>9210</v>
      </c>
      <c r="BC443" s="28" t="s">
        <v>9211</v>
      </c>
      <c r="BD443" s="33">
        <v>4</v>
      </c>
      <c r="BE443" s="28" t="s">
        <v>138</v>
      </c>
      <c r="BF443" s="28" t="s">
        <v>138</v>
      </c>
      <c r="BG443" s="28" t="s">
        <v>138</v>
      </c>
      <c r="BH443" s="28" t="s">
        <v>9212</v>
      </c>
      <c r="BI443" s="28" t="s">
        <v>138</v>
      </c>
      <c r="BJ443" s="28" t="s">
        <v>138</v>
      </c>
      <c r="BK443" s="28" t="s">
        <v>138</v>
      </c>
      <c r="BL443" s="28" t="s">
        <v>138</v>
      </c>
      <c r="BM443" s="34">
        <v>42621</v>
      </c>
      <c r="BN443" s="29">
        <v>1.5</v>
      </c>
      <c r="BO443" s="28" t="s">
        <v>172</v>
      </c>
      <c r="BP443" s="29" t="s">
        <v>138</v>
      </c>
      <c r="BQ443" s="28" t="s">
        <v>138</v>
      </c>
      <c r="BR443" s="28" t="s">
        <v>205</v>
      </c>
      <c r="BS443" s="28" t="s">
        <v>206</v>
      </c>
      <c r="BT443" s="28" t="s">
        <v>138</v>
      </c>
      <c r="BU443" s="28" t="s">
        <v>174</v>
      </c>
      <c r="BV443" s="28" t="s">
        <v>138</v>
      </c>
      <c r="BW443" s="28" t="s">
        <v>138</v>
      </c>
      <c r="BX443" s="28" t="s">
        <v>138</v>
      </c>
      <c r="BY443" s="28" t="s">
        <v>175</v>
      </c>
      <c r="BZ443" s="34">
        <v>43067</v>
      </c>
      <c r="CA443" s="29">
        <v>15</v>
      </c>
      <c r="CB443" s="28" t="s">
        <v>172</v>
      </c>
      <c r="CC443" s="29" t="s">
        <v>138</v>
      </c>
      <c r="CD443" s="28" t="s">
        <v>138</v>
      </c>
      <c r="CE443" s="28" t="s">
        <v>205</v>
      </c>
      <c r="CF443" s="28" t="s">
        <v>138</v>
      </c>
      <c r="CG443" s="28" t="s">
        <v>138</v>
      </c>
      <c r="CH443" s="28" t="s">
        <v>174</v>
      </c>
      <c r="CI443" s="28" t="s">
        <v>138</v>
      </c>
      <c r="CJ443" s="28" t="s">
        <v>138</v>
      </c>
      <c r="CK443" s="28" t="s">
        <v>138</v>
      </c>
      <c r="CL443" s="28" t="s">
        <v>175</v>
      </c>
      <c r="CM443" s="34" t="s">
        <v>138</v>
      </c>
      <c r="CN443" s="29" t="s">
        <v>138</v>
      </c>
      <c r="CO443" s="35">
        <v>0</v>
      </c>
      <c r="CP443" s="36">
        <v>26</v>
      </c>
      <c r="CQ443" s="35">
        <v>0</v>
      </c>
      <c r="CR443" s="35">
        <v>0</v>
      </c>
      <c r="CS443" s="35">
        <v>0</v>
      </c>
      <c r="CT443" s="36">
        <v>23</v>
      </c>
      <c r="CU443" s="35" t="s">
        <v>138</v>
      </c>
      <c r="CV443" s="36" t="s">
        <v>138</v>
      </c>
      <c r="CW443" s="35" t="s">
        <v>138</v>
      </c>
      <c r="CX443" s="36" t="s">
        <v>138</v>
      </c>
      <c r="CY443" s="35">
        <v>0</v>
      </c>
      <c r="CZ443" s="36">
        <v>25</v>
      </c>
      <c r="DA443" s="35" t="s">
        <v>138</v>
      </c>
      <c r="DB443" s="36" t="s">
        <v>138</v>
      </c>
      <c r="DC443" s="37">
        <v>2.0699999999999998</v>
      </c>
      <c r="DD443" s="36">
        <v>68</v>
      </c>
      <c r="DE443" s="37">
        <v>-0.03</v>
      </c>
      <c r="DF443" s="35">
        <v>-1.64</v>
      </c>
      <c r="DG443" s="37">
        <v>2.0699999999999998</v>
      </c>
      <c r="DH443" s="36">
        <v>67</v>
      </c>
      <c r="DI443" s="37" t="s">
        <v>138</v>
      </c>
      <c r="DJ443" s="36" t="s">
        <v>138</v>
      </c>
      <c r="DK443" s="37" t="s">
        <v>138</v>
      </c>
      <c r="DL443" s="36" t="s">
        <v>138</v>
      </c>
      <c r="DM443" s="37">
        <v>2.0699999999999998</v>
      </c>
      <c r="DN443" s="36">
        <v>66</v>
      </c>
      <c r="DO443" s="37" t="s">
        <v>138</v>
      </c>
      <c r="DP443" s="36" t="s">
        <v>138</v>
      </c>
      <c r="DQ443" s="36">
        <v>68</v>
      </c>
      <c r="DR443" s="38">
        <v>3</v>
      </c>
      <c r="DS443" s="35">
        <v>4.62</v>
      </c>
      <c r="DT443" s="36">
        <v>60</v>
      </c>
      <c r="DU443" s="38">
        <v>-1</v>
      </c>
      <c r="DV443" s="35">
        <v>-1.64</v>
      </c>
      <c r="DW443" s="36" t="s">
        <v>138</v>
      </c>
      <c r="DX443" s="39" t="s">
        <v>138</v>
      </c>
      <c r="DY443" s="35" t="s">
        <v>138</v>
      </c>
      <c r="DZ443" s="28" t="s">
        <v>178</v>
      </c>
      <c r="EA443" s="34">
        <v>43622</v>
      </c>
      <c r="EB443" s="29" t="s">
        <v>138</v>
      </c>
      <c r="EC443" s="34" t="s">
        <v>138</v>
      </c>
      <c r="ED443" s="28" t="s">
        <v>138</v>
      </c>
      <c r="EE443" s="40" t="str">
        <f>HYPERLINK("https://my.pitchbook.com?c=222452-29", "View company online")</f>
        <v>View company online</v>
      </c>
    </row>
    <row r="444" spans="1:135">
      <c r="A444" s="15" t="s">
        <v>9213</v>
      </c>
      <c r="B444" s="15" t="s">
        <v>9214</v>
      </c>
      <c r="C444" s="15" t="s">
        <v>138</v>
      </c>
      <c r="D444" s="15" t="s">
        <v>138</v>
      </c>
      <c r="E444" s="15" t="s">
        <v>138</v>
      </c>
      <c r="F444" s="15" t="s">
        <v>9213</v>
      </c>
      <c r="G444" s="15" t="s">
        <v>9215</v>
      </c>
      <c r="H444" s="15" t="s">
        <v>322</v>
      </c>
      <c r="I444" s="15" t="s">
        <v>323</v>
      </c>
      <c r="J444" s="15" t="s">
        <v>324</v>
      </c>
      <c r="K444" s="15" t="s">
        <v>1159</v>
      </c>
      <c r="L444" s="15" t="s">
        <v>9216</v>
      </c>
      <c r="M444" s="15" t="s">
        <v>9217</v>
      </c>
      <c r="N444" s="15" t="s">
        <v>147</v>
      </c>
      <c r="O444" s="17" t="s">
        <v>138</v>
      </c>
      <c r="P444" s="15" t="s">
        <v>610</v>
      </c>
      <c r="Q444" s="15" t="s">
        <v>149</v>
      </c>
      <c r="R444" s="15" t="s">
        <v>174</v>
      </c>
      <c r="S444" s="15" t="s">
        <v>9218</v>
      </c>
      <c r="T444" s="18" t="s">
        <v>138</v>
      </c>
      <c r="U444" s="15" t="s">
        <v>138</v>
      </c>
      <c r="V444" s="15" t="s">
        <v>138</v>
      </c>
      <c r="W444" s="15" t="s">
        <v>138</v>
      </c>
      <c r="X444" s="19">
        <v>2011</v>
      </c>
      <c r="Y444" s="15" t="s">
        <v>138</v>
      </c>
      <c r="Z444" s="15" t="s">
        <v>138</v>
      </c>
      <c r="AA444" s="15" t="s">
        <v>138</v>
      </c>
      <c r="AB444" s="20" t="s">
        <v>138</v>
      </c>
      <c r="AC444" s="20" t="s">
        <v>138</v>
      </c>
      <c r="AD444" s="20" t="s">
        <v>138</v>
      </c>
      <c r="AE444" s="20" t="s">
        <v>138</v>
      </c>
      <c r="AF444" s="20" t="s">
        <v>138</v>
      </c>
      <c r="AG444" s="15" t="s">
        <v>138</v>
      </c>
      <c r="AH444" s="20" t="s">
        <v>138</v>
      </c>
      <c r="AI444" s="20" t="s">
        <v>138</v>
      </c>
      <c r="AJ444" s="20" t="s">
        <v>138</v>
      </c>
      <c r="AK444" s="15" t="s">
        <v>9219</v>
      </c>
      <c r="AL444" s="15" t="s">
        <v>9220</v>
      </c>
      <c r="AM444" s="15" t="s">
        <v>9221</v>
      </c>
      <c r="AN444" s="15" t="s">
        <v>9222</v>
      </c>
      <c r="AO444" s="15" t="s">
        <v>138</v>
      </c>
      <c r="AP444" s="15" t="s">
        <v>1195</v>
      </c>
      <c r="AQ444" s="15" t="s">
        <v>9223</v>
      </c>
      <c r="AR444" s="15" t="s">
        <v>9224</v>
      </c>
      <c r="AS444" s="15" t="s">
        <v>1198</v>
      </c>
      <c r="AT444" s="15" t="s">
        <v>138</v>
      </c>
      <c r="AU444" s="15" t="s">
        <v>138</v>
      </c>
      <c r="AV444" s="15" t="s">
        <v>1200</v>
      </c>
      <c r="AW444" s="15" t="s">
        <v>138</v>
      </c>
      <c r="AX444" s="15" t="s">
        <v>138</v>
      </c>
      <c r="AY444" s="15" t="s">
        <v>9225</v>
      </c>
      <c r="AZ444" s="15" t="s">
        <v>452</v>
      </c>
      <c r="BA444" s="15" t="s">
        <v>453</v>
      </c>
      <c r="BB444" s="15" t="s">
        <v>9226</v>
      </c>
      <c r="BC444" s="15" t="s">
        <v>9227</v>
      </c>
      <c r="BD444" s="21">
        <v>2</v>
      </c>
      <c r="BE444" s="15" t="s">
        <v>138</v>
      </c>
      <c r="BF444" s="15" t="s">
        <v>138</v>
      </c>
      <c r="BG444" s="15" t="s">
        <v>138</v>
      </c>
      <c r="BH444" s="15" t="s">
        <v>9228</v>
      </c>
      <c r="BI444" s="15" t="s">
        <v>138</v>
      </c>
      <c r="BJ444" s="15" t="s">
        <v>138</v>
      </c>
      <c r="BK444" s="15" t="s">
        <v>138</v>
      </c>
      <c r="BL444" s="15" t="s">
        <v>138</v>
      </c>
      <c r="BM444" s="22">
        <v>41926</v>
      </c>
      <c r="BN444" s="17" t="s">
        <v>138</v>
      </c>
      <c r="BO444" s="15" t="s">
        <v>138</v>
      </c>
      <c r="BP444" s="17" t="s">
        <v>138</v>
      </c>
      <c r="BQ444" s="15" t="s">
        <v>138</v>
      </c>
      <c r="BR444" s="15" t="s">
        <v>205</v>
      </c>
      <c r="BS444" s="15" t="s">
        <v>138</v>
      </c>
      <c r="BT444" s="15" t="s">
        <v>138</v>
      </c>
      <c r="BU444" s="15" t="s">
        <v>174</v>
      </c>
      <c r="BV444" s="15" t="s">
        <v>138</v>
      </c>
      <c r="BW444" s="15" t="s">
        <v>138</v>
      </c>
      <c r="BX444" s="15" t="s">
        <v>138</v>
      </c>
      <c r="BY444" s="15" t="s">
        <v>175</v>
      </c>
      <c r="BZ444" s="22">
        <v>41926</v>
      </c>
      <c r="CA444" s="17" t="s">
        <v>138</v>
      </c>
      <c r="CB444" s="15" t="s">
        <v>138</v>
      </c>
      <c r="CC444" s="17" t="s">
        <v>138</v>
      </c>
      <c r="CD444" s="15" t="s">
        <v>138</v>
      </c>
      <c r="CE444" s="15" t="s">
        <v>205</v>
      </c>
      <c r="CF444" s="15" t="s">
        <v>138</v>
      </c>
      <c r="CG444" s="15" t="s">
        <v>138</v>
      </c>
      <c r="CH444" s="15" t="s">
        <v>174</v>
      </c>
      <c r="CI444" s="15" t="s">
        <v>138</v>
      </c>
      <c r="CJ444" s="15" t="s">
        <v>138</v>
      </c>
      <c r="CK444" s="15" t="s">
        <v>138</v>
      </c>
      <c r="CL444" s="15" t="s">
        <v>175</v>
      </c>
      <c r="CM444" s="22" t="s">
        <v>138</v>
      </c>
      <c r="CN444" s="17" t="s">
        <v>138</v>
      </c>
      <c r="CO444" s="23">
        <v>0</v>
      </c>
      <c r="CP444" s="24">
        <v>26</v>
      </c>
      <c r="CQ444" s="23">
        <v>0</v>
      </c>
      <c r="CR444" s="23">
        <v>0</v>
      </c>
      <c r="CS444" s="23">
        <v>0</v>
      </c>
      <c r="CT444" s="24">
        <v>23</v>
      </c>
      <c r="CU444" s="23">
        <v>0</v>
      </c>
      <c r="CV444" s="24">
        <v>22</v>
      </c>
      <c r="CW444" s="23" t="s">
        <v>138</v>
      </c>
      <c r="CX444" s="24" t="s">
        <v>138</v>
      </c>
      <c r="CY444" s="23">
        <v>0</v>
      </c>
      <c r="CZ444" s="24">
        <v>25</v>
      </c>
      <c r="DA444" s="23" t="s">
        <v>138</v>
      </c>
      <c r="DB444" s="24" t="s">
        <v>138</v>
      </c>
      <c r="DC444" s="25">
        <v>0.41</v>
      </c>
      <c r="DD444" s="24">
        <v>29</v>
      </c>
      <c r="DE444" s="25">
        <v>0</v>
      </c>
      <c r="DF444" s="23">
        <v>0</v>
      </c>
      <c r="DG444" s="25">
        <v>0.79</v>
      </c>
      <c r="DH444" s="24">
        <v>45</v>
      </c>
      <c r="DI444" s="25">
        <v>0.02</v>
      </c>
      <c r="DJ444" s="24">
        <v>4</v>
      </c>
      <c r="DK444" s="25" t="s">
        <v>138</v>
      </c>
      <c r="DL444" s="24" t="s">
        <v>138</v>
      </c>
      <c r="DM444" s="25">
        <v>0.79</v>
      </c>
      <c r="DN444" s="24">
        <v>45</v>
      </c>
      <c r="DO444" s="25" t="s">
        <v>138</v>
      </c>
      <c r="DP444" s="24" t="s">
        <v>138</v>
      </c>
      <c r="DQ444" s="24" t="s">
        <v>138</v>
      </c>
      <c r="DR444" s="26" t="s">
        <v>138</v>
      </c>
      <c r="DS444" s="23" t="s">
        <v>138</v>
      </c>
      <c r="DT444" s="24">
        <v>23</v>
      </c>
      <c r="DU444" s="26">
        <v>0</v>
      </c>
      <c r="DV444" s="23">
        <v>0</v>
      </c>
      <c r="DW444" s="24" t="s">
        <v>138</v>
      </c>
      <c r="DX444" s="27" t="s">
        <v>138</v>
      </c>
      <c r="DY444" s="23" t="s">
        <v>138</v>
      </c>
      <c r="DZ444" s="15" t="s">
        <v>178</v>
      </c>
      <c r="EA444" s="22">
        <v>43374</v>
      </c>
      <c r="EB444" s="17" t="s">
        <v>138</v>
      </c>
      <c r="EC444" s="22" t="s">
        <v>138</v>
      </c>
      <c r="ED444" s="15" t="s">
        <v>138</v>
      </c>
      <c r="EE444" s="14" t="str">
        <f>HYPERLINK("https://my.pitchbook.com?c=107698-33", "View company online")</f>
        <v>View company online</v>
      </c>
    </row>
    <row r="445" spans="1:135">
      <c r="A445" s="28" t="s">
        <v>9229</v>
      </c>
      <c r="B445" s="28" t="s">
        <v>9230</v>
      </c>
      <c r="C445" s="28" t="s">
        <v>138</v>
      </c>
      <c r="D445" s="28" t="s">
        <v>138</v>
      </c>
      <c r="E445" s="28" t="s">
        <v>9231</v>
      </c>
      <c r="F445" s="28" t="s">
        <v>9229</v>
      </c>
      <c r="G445" s="28" t="s">
        <v>9232</v>
      </c>
      <c r="H445" s="28" t="s">
        <v>322</v>
      </c>
      <c r="I445" s="28" t="s">
        <v>323</v>
      </c>
      <c r="J445" s="28" t="s">
        <v>437</v>
      </c>
      <c r="K445" s="28" t="s">
        <v>6110</v>
      </c>
      <c r="L445" s="28" t="s">
        <v>9233</v>
      </c>
      <c r="M445" s="28" t="s">
        <v>9234</v>
      </c>
      <c r="N445" s="28" t="s">
        <v>147</v>
      </c>
      <c r="O445" s="29">
        <v>23.2</v>
      </c>
      <c r="P445" s="28" t="s">
        <v>148</v>
      </c>
      <c r="Q445" s="28" t="s">
        <v>149</v>
      </c>
      <c r="R445" s="28" t="s">
        <v>174</v>
      </c>
      <c r="S445" s="28" t="s">
        <v>9235</v>
      </c>
      <c r="T445" s="30">
        <v>24</v>
      </c>
      <c r="U445" s="28" t="s">
        <v>9236</v>
      </c>
      <c r="V445" s="28" t="s">
        <v>138</v>
      </c>
      <c r="W445" s="28" t="s">
        <v>138</v>
      </c>
      <c r="X445" s="31">
        <v>2015</v>
      </c>
      <c r="Y445" s="28" t="s">
        <v>138</v>
      </c>
      <c r="Z445" s="28" t="s">
        <v>138</v>
      </c>
      <c r="AA445" s="28" t="s">
        <v>138</v>
      </c>
      <c r="AB445" s="32" t="s">
        <v>138</v>
      </c>
      <c r="AC445" s="32" t="s">
        <v>138</v>
      </c>
      <c r="AD445" s="32" t="s">
        <v>138</v>
      </c>
      <c r="AE445" s="32" t="s">
        <v>138</v>
      </c>
      <c r="AF445" s="32" t="s">
        <v>138</v>
      </c>
      <c r="AG445" s="28" t="s">
        <v>138</v>
      </c>
      <c r="AH445" s="32" t="s">
        <v>138</v>
      </c>
      <c r="AI445" s="32" t="s">
        <v>138</v>
      </c>
      <c r="AJ445" s="32" t="s">
        <v>138</v>
      </c>
      <c r="AK445" s="28" t="s">
        <v>9237</v>
      </c>
      <c r="AL445" s="28" t="s">
        <v>9238</v>
      </c>
      <c r="AM445" s="28" t="s">
        <v>2794</v>
      </c>
      <c r="AN445" s="28" t="s">
        <v>9239</v>
      </c>
      <c r="AO445" s="28" t="s">
        <v>9240</v>
      </c>
      <c r="AP445" s="28" t="s">
        <v>1635</v>
      </c>
      <c r="AQ445" s="28" t="s">
        <v>9241</v>
      </c>
      <c r="AR445" s="28" t="s">
        <v>9242</v>
      </c>
      <c r="AS445" s="28" t="s">
        <v>1638</v>
      </c>
      <c r="AT445" s="28" t="s">
        <v>200</v>
      </c>
      <c r="AU445" s="28" t="s">
        <v>1639</v>
      </c>
      <c r="AV445" s="28" t="s">
        <v>162</v>
      </c>
      <c r="AW445" s="28" t="s">
        <v>9240</v>
      </c>
      <c r="AX445" s="28" t="s">
        <v>138</v>
      </c>
      <c r="AY445" s="28" t="s">
        <v>138</v>
      </c>
      <c r="AZ445" s="28" t="s">
        <v>164</v>
      </c>
      <c r="BA445" s="28" t="s">
        <v>165</v>
      </c>
      <c r="BB445" s="28" t="s">
        <v>9243</v>
      </c>
      <c r="BC445" s="28" t="s">
        <v>9244</v>
      </c>
      <c r="BD445" s="33">
        <v>20</v>
      </c>
      <c r="BE445" s="28" t="s">
        <v>138</v>
      </c>
      <c r="BF445" s="28" t="s">
        <v>138</v>
      </c>
      <c r="BG445" s="28" t="s">
        <v>138</v>
      </c>
      <c r="BH445" s="28" t="s">
        <v>9245</v>
      </c>
      <c r="BI445" s="28" t="s">
        <v>138</v>
      </c>
      <c r="BJ445" s="28" t="s">
        <v>138</v>
      </c>
      <c r="BK445" s="28" t="s">
        <v>9246</v>
      </c>
      <c r="BL445" s="28" t="s">
        <v>138</v>
      </c>
      <c r="BM445" s="34">
        <v>42005</v>
      </c>
      <c r="BN445" s="29" t="s">
        <v>138</v>
      </c>
      <c r="BO445" s="28" t="s">
        <v>138</v>
      </c>
      <c r="BP445" s="29" t="s">
        <v>138</v>
      </c>
      <c r="BQ445" s="28" t="s">
        <v>138</v>
      </c>
      <c r="BR445" s="28" t="s">
        <v>205</v>
      </c>
      <c r="BS445" s="28" t="s">
        <v>138</v>
      </c>
      <c r="BT445" s="28" t="s">
        <v>138</v>
      </c>
      <c r="BU445" s="28" t="s">
        <v>174</v>
      </c>
      <c r="BV445" s="28" t="s">
        <v>138</v>
      </c>
      <c r="BW445" s="28" t="s">
        <v>138</v>
      </c>
      <c r="BX445" s="28" t="s">
        <v>138</v>
      </c>
      <c r="BY445" s="28" t="s">
        <v>175</v>
      </c>
      <c r="BZ445" s="34">
        <v>42970</v>
      </c>
      <c r="CA445" s="29">
        <v>17</v>
      </c>
      <c r="CB445" s="28" t="s">
        <v>172</v>
      </c>
      <c r="CC445" s="29" t="s">
        <v>138</v>
      </c>
      <c r="CD445" s="28" t="s">
        <v>138</v>
      </c>
      <c r="CE445" s="28" t="s">
        <v>205</v>
      </c>
      <c r="CF445" s="28" t="s">
        <v>206</v>
      </c>
      <c r="CG445" s="28" t="s">
        <v>138</v>
      </c>
      <c r="CH445" s="28" t="s">
        <v>174</v>
      </c>
      <c r="CI445" s="28" t="s">
        <v>138</v>
      </c>
      <c r="CJ445" s="28" t="s">
        <v>138</v>
      </c>
      <c r="CK445" s="28" t="s">
        <v>138</v>
      </c>
      <c r="CL445" s="28" t="s">
        <v>175</v>
      </c>
      <c r="CM445" s="34" t="s">
        <v>138</v>
      </c>
      <c r="CN445" s="29" t="s">
        <v>138</v>
      </c>
      <c r="CO445" s="35">
        <v>1.05</v>
      </c>
      <c r="CP445" s="36">
        <v>97</v>
      </c>
      <c r="CQ445" s="35">
        <v>-0.17</v>
      </c>
      <c r="CR445" s="35">
        <v>-14.02</v>
      </c>
      <c r="CS445" s="35">
        <v>2.59</v>
      </c>
      <c r="CT445" s="36">
        <v>99</v>
      </c>
      <c r="CU445" s="35">
        <v>0.1</v>
      </c>
      <c r="CV445" s="36">
        <v>68</v>
      </c>
      <c r="CW445" s="35">
        <v>5.71</v>
      </c>
      <c r="CX445" s="36">
        <v>97</v>
      </c>
      <c r="CY445" s="35">
        <v>-0.53</v>
      </c>
      <c r="CZ445" s="36">
        <v>22</v>
      </c>
      <c r="DA445" s="35">
        <v>0.1</v>
      </c>
      <c r="DB445" s="36">
        <v>72</v>
      </c>
      <c r="DC445" s="37">
        <v>455.79</v>
      </c>
      <c r="DD445" s="36">
        <v>100</v>
      </c>
      <c r="DE445" s="37">
        <v>-40.450000000000003</v>
      </c>
      <c r="DF445" s="35">
        <v>-8.15</v>
      </c>
      <c r="DG445" s="37">
        <v>971.63</v>
      </c>
      <c r="DH445" s="36">
        <v>100</v>
      </c>
      <c r="DI445" s="37">
        <v>394.84</v>
      </c>
      <c r="DJ445" s="36">
        <v>99</v>
      </c>
      <c r="DK445" s="37">
        <v>1924.5</v>
      </c>
      <c r="DL445" s="36">
        <v>100</v>
      </c>
      <c r="DM445" s="37">
        <v>18.760000000000002</v>
      </c>
      <c r="DN445" s="36">
        <v>94</v>
      </c>
      <c r="DO445" s="37">
        <v>394.84</v>
      </c>
      <c r="DP445" s="36">
        <v>100</v>
      </c>
      <c r="DQ445" s="36">
        <v>650144</v>
      </c>
      <c r="DR445" s="38">
        <v>29875</v>
      </c>
      <c r="DS445" s="35">
        <v>4.82</v>
      </c>
      <c r="DT445" s="36">
        <v>543</v>
      </c>
      <c r="DU445" s="38">
        <v>3</v>
      </c>
      <c r="DV445" s="35">
        <v>0.56000000000000005</v>
      </c>
      <c r="DW445" s="36">
        <v>141380</v>
      </c>
      <c r="DX445" s="39">
        <v>-91</v>
      </c>
      <c r="DY445" s="35">
        <v>-0.06</v>
      </c>
      <c r="DZ445" s="28" t="s">
        <v>178</v>
      </c>
      <c r="EA445" s="34">
        <v>43516</v>
      </c>
      <c r="EB445" s="29" t="s">
        <v>138</v>
      </c>
      <c r="EC445" s="34" t="s">
        <v>138</v>
      </c>
      <c r="ED445" s="28" t="s">
        <v>138</v>
      </c>
      <c r="EE445" s="40" t="str">
        <f>HYPERLINK("https://my.pitchbook.com?c=162147-25", "View company online")</f>
        <v>View company online</v>
      </c>
    </row>
    <row r="446" spans="1:135">
      <c r="A446" s="15" t="s">
        <v>9247</v>
      </c>
      <c r="B446" s="15" t="s">
        <v>9248</v>
      </c>
      <c r="C446" s="15" t="s">
        <v>138</v>
      </c>
      <c r="D446" s="15" t="s">
        <v>9249</v>
      </c>
      <c r="E446" s="15" t="s">
        <v>9250</v>
      </c>
      <c r="F446" s="15" t="s">
        <v>9247</v>
      </c>
      <c r="G446" s="15" t="s">
        <v>9251</v>
      </c>
      <c r="H446" s="15" t="s">
        <v>890</v>
      </c>
      <c r="I446" s="15" t="s">
        <v>7410</v>
      </c>
      <c r="J446" s="15" t="s">
        <v>9252</v>
      </c>
      <c r="K446" s="15" t="s">
        <v>9253</v>
      </c>
      <c r="L446" s="15" t="s">
        <v>9254</v>
      </c>
      <c r="M446" s="15" t="s">
        <v>9255</v>
      </c>
      <c r="N446" s="15" t="s">
        <v>147</v>
      </c>
      <c r="O446" s="17">
        <v>35.5</v>
      </c>
      <c r="P446" s="15" t="s">
        <v>148</v>
      </c>
      <c r="Q446" s="15" t="s">
        <v>149</v>
      </c>
      <c r="R446" s="15" t="s">
        <v>174</v>
      </c>
      <c r="S446" s="15" t="s">
        <v>9256</v>
      </c>
      <c r="T446" s="18">
        <v>60</v>
      </c>
      <c r="U446" s="15" t="s">
        <v>9257</v>
      </c>
      <c r="V446" s="15" t="s">
        <v>138</v>
      </c>
      <c r="W446" s="15" t="s">
        <v>138</v>
      </c>
      <c r="X446" s="19">
        <v>2015</v>
      </c>
      <c r="Y446" s="15" t="s">
        <v>138</v>
      </c>
      <c r="Z446" s="15" t="s">
        <v>138</v>
      </c>
      <c r="AA446" s="15" t="s">
        <v>138</v>
      </c>
      <c r="AB446" s="20" t="s">
        <v>138</v>
      </c>
      <c r="AC446" s="20" t="s">
        <v>138</v>
      </c>
      <c r="AD446" s="20" t="s">
        <v>138</v>
      </c>
      <c r="AE446" s="20" t="s">
        <v>138</v>
      </c>
      <c r="AF446" s="20" t="s">
        <v>138</v>
      </c>
      <c r="AG446" s="15" t="s">
        <v>138</v>
      </c>
      <c r="AH446" s="20" t="s">
        <v>138</v>
      </c>
      <c r="AI446" s="20" t="s">
        <v>138</v>
      </c>
      <c r="AJ446" s="20" t="s">
        <v>138</v>
      </c>
      <c r="AK446" s="15" t="s">
        <v>9258</v>
      </c>
      <c r="AL446" s="15" t="s">
        <v>9259</v>
      </c>
      <c r="AM446" s="15" t="s">
        <v>304</v>
      </c>
      <c r="AN446" s="15" t="s">
        <v>9260</v>
      </c>
      <c r="AO446" s="15" t="s">
        <v>9261</v>
      </c>
      <c r="AP446" s="15" t="s">
        <v>423</v>
      </c>
      <c r="AQ446" s="15" t="s">
        <v>9262</v>
      </c>
      <c r="AR446" s="15" t="s">
        <v>9263</v>
      </c>
      <c r="AS446" s="15" t="s">
        <v>426</v>
      </c>
      <c r="AT446" s="15" t="s">
        <v>426</v>
      </c>
      <c r="AU446" s="15" t="s">
        <v>9264</v>
      </c>
      <c r="AV446" s="15" t="s">
        <v>162</v>
      </c>
      <c r="AW446" s="15" t="s">
        <v>9261</v>
      </c>
      <c r="AX446" s="15" t="s">
        <v>138</v>
      </c>
      <c r="AY446" s="15" t="s">
        <v>9265</v>
      </c>
      <c r="AZ446" s="15" t="s">
        <v>164</v>
      </c>
      <c r="BA446" s="15" t="s">
        <v>165</v>
      </c>
      <c r="BB446" s="15" t="s">
        <v>9266</v>
      </c>
      <c r="BC446" s="15" t="s">
        <v>9267</v>
      </c>
      <c r="BD446" s="21">
        <v>8</v>
      </c>
      <c r="BE446" s="15" t="s">
        <v>138</v>
      </c>
      <c r="BF446" s="15" t="s">
        <v>138</v>
      </c>
      <c r="BG446" s="15" t="s">
        <v>138</v>
      </c>
      <c r="BH446" s="15" t="s">
        <v>9268</v>
      </c>
      <c r="BI446" s="15" t="s">
        <v>138</v>
      </c>
      <c r="BJ446" s="15" t="s">
        <v>138</v>
      </c>
      <c r="BK446" s="15" t="s">
        <v>9269</v>
      </c>
      <c r="BL446" s="15" t="s">
        <v>9270</v>
      </c>
      <c r="BM446" s="22">
        <v>42458</v>
      </c>
      <c r="BN446" s="17">
        <v>3.9</v>
      </c>
      <c r="BO446" s="15" t="s">
        <v>172</v>
      </c>
      <c r="BP446" s="17" t="s">
        <v>138</v>
      </c>
      <c r="BQ446" s="15" t="s">
        <v>138</v>
      </c>
      <c r="BR446" s="15" t="s">
        <v>234</v>
      </c>
      <c r="BS446" s="15" t="s">
        <v>234</v>
      </c>
      <c r="BT446" s="15" t="s">
        <v>138</v>
      </c>
      <c r="BU446" s="15" t="s">
        <v>174</v>
      </c>
      <c r="BV446" s="15" t="s">
        <v>138</v>
      </c>
      <c r="BW446" s="15" t="s">
        <v>138</v>
      </c>
      <c r="BX446" s="15" t="s">
        <v>138</v>
      </c>
      <c r="BY446" s="15" t="s">
        <v>175</v>
      </c>
      <c r="BZ446" s="22">
        <v>43369</v>
      </c>
      <c r="CA446" s="17">
        <v>31.6</v>
      </c>
      <c r="CB446" s="15" t="s">
        <v>172</v>
      </c>
      <c r="CC446" s="17" t="s">
        <v>138</v>
      </c>
      <c r="CD446" s="15" t="s">
        <v>138</v>
      </c>
      <c r="CE446" s="15" t="s">
        <v>205</v>
      </c>
      <c r="CF446" s="15" t="s">
        <v>206</v>
      </c>
      <c r="CG446" s="15" t="s">
        <v>138</v>
      </c>
      <c r="CH446" s="15" t="s">
        <v>174</v>
      </c>
      <c r="CI446" s="15" t="s">
        <v>138</v>
      </c>
      <c r="CJ446" s="15" t="s">
        <v>138</v>
      </c>
      <c r="CK446" s="15" t="s">
        <v>138</v>
      </c>
      <c r="CL446" s="15" t="s">
        <v>175</v>
      </c>
      <c r="CM446" s="22" t="s">
        <v>138</v>
      </c>
      <c r="CN446" s="17" t="s">
        <v>138</v>
      </c>
      <c r="CO446" s="23">
        <v>0.16</v>
      </c>
      <c r="CP446" s="24">
        <v>92</v>
      </c>
      <c r="CQ446" s="23">
        <v>0.02</v>
      </c>
      <c r="CR446" s="23">
        <v>15.41</v>
      </c>
      <c r="CS446" s="23">
        <v>-0.92</v>
      </c>
      <c r="CT446" s="24">
        <v>16</v>
      </c>
      <c r="CU446" s="23">
        <v>0.99</v>
      </c>
      <c r="CV446" s="24">
        <v>98</v>
      </c>
      <c r="CW446" s="23">
        <v>-1.27</v>
      </c>
      <c r="CX446" s="24">
        <v>9</v>
      </c>
      <c r="CY446" s="23">
        <v>-0.57999999999999996</v>
      </c>
      <c r="CZ446" s="24">
        <v>22</v>
      </c>
      <c r="DA446" s="23">
        <v>0.97</v>
      </c>
      <c r="DB446" s="24">
        <v>98</v>
      </c>
      <c r="DC446" s="25">
        <v>5.59</v>
      </c>
      <c r="DD446" s="24">
        <v>84</v>
      </c>
      <c r="DE446" s="25">
        <v>-0.09</v>
      </c>
      <c r="DF446" s="23">
        <v>-1.61</v>
      </c>
      <c r="DG446" s="25">
        <v>10.98</v>
      </c>
      <c r="DH446" s="24">
        <v>90</v>
      </c>
      <c r="DI446" s="25">
        <v>5.69</v>
      </c>
      <c r="DJ446" s="24">
        <v>79</v>
      </c>
      <c r="DK446" s="25">
        <v>4.8099999999999996</v>
      </c>
      <c r="DL446" s="24">
        <v>79</v>
      </c>
      <c r="DM446" s="25">
        <v>17.14</v>
      </c>
      <c r="DN446" s="24">
        <v>93</v>
      </c>
      <c r="DO446" s="25">
        <v>8.1</v>
      </c>
      <c r="DP446" s="24">
        <v>85</v>
      </c>
      <c r="DQ446" s="24">
        <v>1619</v>
      </c>
      <c r="DR446" s="26">
        <v>96</v>
      </c>
      <c r="DS446" s="23">
        <v>6.3</v>
      </c>
      <c r="DT446" s="24">
        <v>498</v>
      </c>
      <c r="DU446" s="26">
        <v>0</v>
      </c>
      <c r="DV446" s="23">
        <v>0</v>
      </c>
      <c r="DW446" s="24">
        <v>2876</v>
      </c>
      <c r="DX446" s="27">
        <v>36</v>
      </c>
      <c r="DY446" s="23">
        <v>1.27</v>
      </c>
      <c r="DZ446" s="15" t="s">
        <v>178</v>
      </c>
      <c r="EA446" s="22">
        <v>43495</v>
      </c>
      <c r="EB446" s="17" t="s">
        <v>138</v>
      </c>
      <c r="EC446" s="22" t="s">
        <v>138</v>
      </c>
      <c r="ED446" s="15" t="s">
        <v>138</v>
      </c>
      <c r="EE446" s="14" t="str">
        <f>HYPERLINK("https://my.pitchbook.com?c=156127-87", "View company online")</f>
        <v>View company online</v>
      </c>
    </row>
    <row r="447" spans="1:135">
      <c r="A447" s="28" t="s">
        <v>9271</v>
      </c>
      <c r="B447" s="28" t="s">
        <v>9272</v>
      </c>
      <c r="C447" s="28" t="s">
        <v>138</v>
      </c>
      <c r="D447" s="28" t="s">
        <v>138</v>
      </c>
      <c r="E447" s="28" t="s">
        <v>9273</v>
      </c>
      <c r="F447" s="28" t="s">
        <v>9271</v>
      </c>
      <c r="G447" s="28" t="s">
        <v>9274</v>
      </c>
      <c r="H447" s="28" t="s">
        <v>322</v>
      </c>
      <c r="I447" s="28" t="s">
        <v>1503</v>
      </c>
      <c r="J447" s="28" t="s">
        <v>1836</v>
      </c>
      <c r="K447" s="28" t="s">
        <v>9275</v>
      </c>
      <c r="L447" s="28" t="s">
        <v>9276</v>
      </c>
      <c r="M447" s="28" t="s">
        <v>9277</v>
      </c>
      <c r="N447" s="28" t="s">
        <v>147</v>
      </c>
      <c r="O447" s="29">
        <v>5.93</v>
      </c>
      <c r="P447" s="28" t="s">
        <v>148</v>
      </c>
      <c r="Q447" s="28" t="s">
        <v>149</v>
      </c>
      <c r="R447" s="28" t="s">
        <v>174</v>
      </c>
      <c r="S447" s="28" t="s">
        <v>9278</v>
      </c>
      <c r="T447" s="30">
        <v>10</v>
      </c>
      <c r="U447" s="28" t="s">
        <v>9279</v>
      </c>
      <c r="V447" s="28" t="s">
        <v>138</v>
      </c>
      <c r="W447" s="28" t="s">
        <v>138</v>
      </c>
      <c r="X447" s="31">
        <v>2016</v>
      </c>
      <c r="Y447" s="28" t="s">
        <v>138</v>
      </c>
      <c r="Z447" s="28" t="s">
        <v>138</v>
      </c>
      <c r="AA447" s="28" t="s">
        <v>138</v>
      </c>
      <c r="AB447" s="32">
        <v>0</v>
      </c>
      <c r="AC447" s="32" t="s">
        <v>138</v>
      </c>
      <c r="AD447" s="32" t="s">
        <v>138</v>
      </c>
      <c r="AE447" s="32" t="s">
        <v>138</v>
      </c>
      <c r="AF447" s="32" t="s">
        <v>138</v>
      </c>
      <c r="AG447" s="28" t="s">
        <v>419</v>
      </c>
      <c r="AH447" s="32" t="s">
        <v>138</v>
      </c>
      <c r="AI447" s="32" t="s">
        <v>138</v>
      </c>
      <c r="AJ447" s="32" t="s">
        <v>138</v>
      </c>
      <c r="AK447" s="28" t="s">
        <v>9280</v>
      </c>
      <c r="AL447" s="28" t="s">
        <v>9281</v>
      </c>
      <c r="AM447" s="28" t="s">
        <v>9282</v>
      </c>
      <c r="AN447" s="28" t="s">
        <v>9283</v>
      </c>
      <c r="AO447" s="28" t="s">
        <v>138</v>
      </c>
      <c r="AP447" s="28" t="s">
        <v>820</v>
      </c>
      <c r="AQ447" s="28" t="s">
        <v>9284</v>
      </c>
      <c r="AR447" s="28" t="s">
        <v>9285</v>
      </c>
      <c r="AS447" s="28" t="s">
        <v>823</v>
      </c>
      <c r="AT447" s="28" t="s">
        <v>824</v>
      </c>
      <c r="AU447" s="28" t="s">
        <v>9286</v>
      </c>
      <c r="AV447" s="28" t="s">
        <v>526</v>
      </c>
      <c r="AW447" s="28" t="s">
        <v>138</v>
      </c>
      <c r="AX447" s="28" t="s">
        <v>138</v>
      </c>
      <c r="AY447" s="28" t="s">
        <v>9287</v>
      </c>
      <c r="AZ447" s="28" t="s">
        <v>530</v>
      </c>
      <c r="BA447" s="28" t="s">
        <v>531</v>
      </c>
      <c r="BB447" s="28" t="s">
        <v>9288</v>
      </c>
      <c r="BC447" s="28" t="s">
        <v>9289</v>
      </c>
      <c r="BD447" s="33">
        <v>6</v>
      </c>
      <c r="BE447" s="28" t="s">
        <v>138</v>
      </c>
      <c r="BF447" s="28" t="s">
        <v>138</v>
      </c>
      <c r="BG447" s="28" t="s">
        <v>138</v>
      </c>
      <c r="BH447" s="28" t="s">
        <v>9290</v>
      </c>
      <c r="BI447" s="28" t="s">
        <v>138</v>
      </c>
      <c r="BJ447" s="28" t="s">
        <v>138</v>
      </c>
      <c r="BK447" s="28" t="s">
        <v>9291</v>
      </c>
      <c r="BL447" s="28" t="s">
        <v>9291</v>
      </c>
      <c r="BM447" s="34">
        <v>42795</v>
      </c>
      <c r="BN447" s="29">
        <v>1.23</v>
      </c>
      <c r="BO447" s="28" t="s">
        <v>172</v>
      </c>
      <c r="BP447" s="29">
        <v>7.26</v>
      </c>
      <c r="BQ447" s="28" t="s">
        <v>172</v>
      </c>
      <c r="BR447" s="28" t="s">
        <v>234</v>
      </c>
      <c r="BS447" s="28" t="s">
        <v>234</v>
      </c>
      <c r="BT447" s="28" t="s">
        <v>138</v>
      </c>
      <c r="BU447" s="28" t="s">
        <v>174</v>
      </c>
      <c r="BV447" s="28" t="s">
        <v>138</v>
      </c>
      <c r="BW447" s="28" t="s">
        <v>138</v>
      </c>
      <c r="BX447" s="28" t="s">
        <v>138</v>
      </c>
      <c r="BY447" s="28" t="s">
        <v>175</v>
      </c>
      <c r="BZ447" s="34">
        <v>43371</v>
      </c>
      <c r="CA447" s="29">
        <v>4.6900000000000004</v>
      </c>
      <c r="CB447" s="28" t="s">
        <v>172</v>
      </c>
      <c r="CC447" s="29" t="s">
        <v>138</v>
      </c>
      <c r="CD447" s="28" t="s">
        <v>138</v>
      </c>
      <c r="CE447" s="28" t="s">
        <v>234</v>
      </c>
      <c r="CF447" s="28" t="s">
        <v>234</v>
      </c>
      <c r="CG447" s="28" t="s">
        <v>138</v>
      </c>
      <c r="CH447" s="28" t="s">
        <v>174</v>
      </c>
      <c r="CI447" s="28" t="s">
        <v>138</v>
      </c>
      <c r="CJ447" s="28" t="s">
        <v>138</v>
      </c>
      <c r="CK447" s="28" t="s">
        <v>138</v>
      </c>
      <c r="CL447" s="28" t="s">
        <v>175</v>
      </c>
      <c r="CM447" s="34" t="s">
        <v>138</v>
      </c>
      <c r="CN447" s="29" t="s">
        <v>138</v>
      </c>
      <c r="CO447" s="35">
        <v>0.32</v>
      </c>
      <c r="CP447" s="36">
        <v>94</v>
      </c>
      <c r="CQ447" s="35">
        <v>-0.18</v>
      </c>
      <c r="CR447" s="35">
        <v>-36.25</v>
      </c>
      <c r="CS447" s="35">
        <v>-1.62</v>
      </c>
      <c r="CT447" s="36">
        <v>11</v>
      </c>
      <c r="CU447" s="35">
        <v>2.2599999999999998</v>
      </c>
      <c r="CV447" s="36">
        <v>100</v>
      </c>
      <c r="CW447" s="35" t="s">
        <v>138</v>
      </c>
      <c r="CX447" s="36" t="s">
        <v>138</v>
      </c>
      <c r="CY447" s="35">
        <v>-1.62</v>
      </c>
      <c r="CZ447" s="36">
        <v>14</v>
      </c>
      <c r="DA447" s="35">
        <v>4.5199999999999996</v>
      </c>
      <c r="DB447" s="36">
        <v>100</v>
      </c>
      <c r="DC447" s="37">
        <v>2.02</v>
      </c>
      <c r="DD447" s="36">
        <v>67</v>
      </c>
      <c r="DE447" s="37">
        <v>0</v>
      </c>
      <c r="DF447" s="35">
        <v>-0.16</v>
      </c>
      <c r="DG447" s="37">
        <v>3.45</v>
      </c>
      <c r="DH447" s="36">
        <v>77</v>
      </c>
      <c r="DI447" s="37">
        <v>0.6</v>
      </c>
      <c r="DJ447" s="36">
        <v>40</v>
      </c>
      <c r="DK447" s="37" t="s">
        <v>138</v>
      </c>
      <c r="DL447" s="36" t="s">
        <v>138</v>
      </c>
      <c r="DM447" s="37">
        <v>3.45</v>
      </c>
      <c r="DN447" s="36">
        <v>76</v>
      </c>
      <c r="DO447" s="37">
        <v>1.1100000000000001</v>
      </c>
      <c r="DP447" s="36">
        <v>52</v>
      </c>
      <c r="DQ447" s="36" t="s">
        <v>138</v>
      </c>
      <c r="DR447" s="38" t="s">
        <v>138</v>
      </c>
      <c r="DS447" s="35" t="s">
        <v>138</v>
      </c>
      <c r="DT447" s="36">
        <v>100</v>
      </c>
      <c r="DU447" s="38">
        <v>-1</v>
      </c>
      <c r="DV447" s="35">
        <v>-0.99</v>
      </c>
      <c r="DW447" s="36">
        <v>390</v>
      </c>
      <c r="DX447" s="39">
        <v>15</v>
      </c>
      <c r="DY447" s="35">
        <v>4</v>
      </c>
      <c r="DZ447" s="28" t="s">
        <v>178</v>
      </c>
      <c r="EA447" s="34">
        <v>43622</v>
      </c>
      <c r="EB447" s="29">
        <v>7.26</v>
      </c>
      <c r="EC447" s="34">
        <v>42795</v>
      </c>
      <c r="ED447" s="28" t="s">
        <v>234</v>
      </c>
      <c r="EE447" s="40" t="str">
        <f>HYPERLINK("https://my.pitchbook.com?c=178938-37", "View company online")</f>
        <v>View company online</v>
      </c>
    </row>
    <row r="448" spans="1:135">
      <c r="A448" s="15" t="s">
        <v>9292</v>
      </c>
      <c r="B448" s="15" t="s">
        <v>9293</v>
      </c>
      <c r="C448" s="15" t="s">
        <v>138</v>
      </c>
      <c r="D448" s="15" t="s">
        <v>138</v>
      </c>
      <c r="E448" s="15" t="s">
        <v>9294</v>
      </c>
      <c r="F448" s="15" t="s">
        <v>9292</v>
      </c>
      <c r="G448" s="15" t="s">
        <v>9295</v>
      </c>
      <c r="H448" s="15" t="s">
        <v>141</v>
      </c>
      <c r="I448" s="15" t="s">
        <v>212</v>
      </c>
      <c r="J448" s="15" t="s">
        <v>213</v>
      </c>
      <c r="K448" s="15" t="s">
        <v>1064</v>
      </c>
      <c r="L448" s="15" t="s">
        <v>2771</v>
      </c>
      <c r="M448" s="15" t="s">
        <v>9296</v>
      </c>
      <c r="N448" s="15" t="s">
        <v>1452</v>
      </c>
      <c r="O448" s="17">
        <v>108.09</v>
      </c>
      <c r="P448" s="15" t="s">
        <v>148</v>
      </c>
      <c r="Q448" s="15" t="s">
        <v>149</v>
      </c>
      <c r="R448" s="15" t="s">
        <v>1652</v>
      </c>
      <c r="S448" s="15" t="s">
        <v>9297</v>
      </c>
      <c r="T448" s="18">
        <v>160</v>
      </c>
      <c r="U448" s="15" t="s">
        <v>9298</v>
      </c>
      <c r="V448" s="15" t="s">
        <v>138</v>
      </c>
      <c r="W448" s="15" t="s">
        <v>138</v>
      </c>
      <c r="X448" s="19">
        <v>2004</v>
      </c>
      <c r="Y448" s="15" t="s">
        <v>138</v>
      </c>
      <c r="Z448" s="15" t="s">
        <v>138</v>
      </c>
      <c r="AA448" s="15" t="s">
        <v>138</v>
      </c>
      <c r="AB448" s="20" t="s">
        <v>138</v>
      </c>
      <c r="AC448" s="20" t="s">
        <v>138</v>
      </c>
      <c r="AD448" s="20" t="s">
        <v>138</v>
      </c>
      <c r="AE448" s="20" t="s">
        <v>138</v>
      </c>
      <c r="AF448" s="20" t="s">
        <v>138</v>
      </c>
      <c r="AG448" s="15" t="s">
        <v>138</v>
      </c>
      <c r="AH448" s="20" t="s">
        <v>138</v>
      </c>
      <c r="AI448" s="20" t="s">
        <v>138</v>
      </c>
      <c r="AJ448" s="20" t="s">
        <v>138</v>
      </c>
      <c r="AK448" s="15" t="s">
        <v>9299</v>
      </c>
      <c r="AL448" s="15" t="s">
        <v>9300</v>
      </c>
      <c r="AM448" s="15" t="s">
        <v>249</v>
      </c>
      <c r="AN448" s="15" t="s">
        <v>9301</v>
      </c>
      <c r="AO448" s="15" t="s">
        <v>9302</v>
      </c>
      <c r="AP448" s="15" t="s">
        <v>1292</v>
      </c>
      <c r="AQ448" s="15" t="s">
        <v>9303</v>
      </c>
      <c r="AR448" s="15" t="s">
        <v>138</v>
      </c>
      <c r="AS448" s="15" t="s">
        <v>1294</v>
      </c>
      <c r="AT448" s="15" t="s">
        <v>864</v>
      </c>
      <c r="AU448" s="15" t="s">
        <v>9304</v>
      </c>
      <c r="AV448" s="15" t="s">
        <v>162</v>
      </c>
      <c r="AW448" s="15" t="s">
        <v>9302</v>
      </c>
      <c r="AX448" s="15" t="s">
        <v>138</v>
      </c>
      <c r="AY448" s="15" t="s">
        <v>138</v>
      </c>
      <c r="AZ448" s="15" t="s">
        <v>164</v>
      </c>
      <c r="BA448" s="15" t="s">
        <v>165</v>
      </c>
      <c r="BB448" s="15" t="s">
        <v>9305</v>
      </c>
      <c r="BC448" s="15" t="s">
        <v>9306</v>
      </c>
      <c r="BD448" s="21">
        <v>13</v>
      </c>
      <c r="BE448" s="15" t="s">
        <v>138</v>
      </c>
      <c r="BF448" s="15" t="s">
        <v>138</v>
      </c>
      <c r="BG448" s="15" t="s">
        <v>138</v>
      </c>
      <c r="BH448" s="15" t="s">
        <v>9307</v>
      </c>
      <c r="BI448" s="15" t="s">
        <v>138</v>
      </c>
      <c r="BJ448" s="15" t="s">
        <v>138</v>
      </c>
      <c r="BK448" s="15" t="s">
        <v>9308</v>
      </c>
      <c r="BL448" s="15" t="s">
        <v>9309</v>
      </c>
      <c r="BM448" s="22">
        <v>37987</v>
      </c>
      <c r="BN448" s="17">
        <v>0.03</v>
      </c>
      <c r="BO448" s="15" t="s">
        <v>172</v>
      </c>
      <c r="BP448" s="17" t="s">
        <v>138</v>
      </c>
      <c r="BQ448" s="15" t="s">
        <v>138</v>
      </c>
      <c r="BR448" s="15" t="s">
        <v>205</v>
      </c>
      <c r="BS448" s="15" t="s">
        <v>206</v>
      </c>
      <c r="BT448" s="15" t="s">
        <v>138</v>
      </c>
      <c r="BU448" s="15" t="s">
        <v>174</v>
      </c>
      <c r="BV448" s="15" t="s">
        <v>138</v>
      </c>
      <c r="BW448" s="15" t="s">
        <v>138</v>
      </c>
      <c r="BX448" s="15" t="s">
        <v>138</v>
      </c>
      <c r="BY448" s="15" t="s">
        <v>175</v>
      </c>
      <c r="BZ448" s="22">
        <v>43399</v>
      </c>
      <c r="CA448" s="17">
        <v>8.07</v>
      </c>
      <c r="CB448" s="15" t="s">
        <v>172</v>
      </c>
      <c r="CC448" s="17" t="s">
        <v>138</v>
      </c>
      <c r="CD448" s="15" t="s">
        <v>138</v>
      </c>
      <c r="CE448" s="15" t="s">
        <v>1673</v>
      </c>
      <c r="CF448" s="15" t="s">
        <v>138</v>
      </c>
      <c r="CG448" s="15" t="s">
        <v>138</v>
      </c>
      <c r="CH448" s="15" t="s">
        <v>351</v>
      </c>
      <c r="CI448" s="15" t="s">
        <v>138</v>
      </c>
      <c r="CJ448" s="15" t="s">
        <v>138</v>
      </c>
      <c r="CK448" s="15" t="s">
        <v>138</v>
      </c>
      <c r="CL448" s="15" t="s">
        <v>352</v>
      </c>
      <c r="CM448" s="22">
        <v>43105</v>
      </c>
      <c r="CN448" s="17">
        <v>5</v>
      </c>
      <c r="CO448" s="23">
        <v>-0.77</v>
      </c>
      <c r="CP448" s="24">
        <v>13</v>
      </c>
      <c r="CQ448" s="23">
        <v>-0.02</v>
      </c>
      <c r="CR448" s="23">
        <v>-3.14</v>
      </c>
      <c r="CS448" s="23">
        <v>-1.61</v>
      </c>
      <c r="CT448" s="24">
        <v>11</v>
      </c>
      <c r="CU448" s="23">
        <v>7.0000000000000007E-2</v>
      </c>
      <c r="CV448" s="24">
        <v>62</v>
      </c>
      <c r="CW448" s="23">
        <v>-2.0299999999999998</v>
      </c>
      <c r="CX448" s="24">
        <v>7</v>
      </c>
      <c r="CY448" s="23">
        <v>-1.18</v>
      </c>
      <c r="CZ448" s="24">
        <v>17</v>
      </c>
      <c r="DA448" s="23">
        <v>0.18</v>
      </c>
      <c r="DB448" s="24">
        <v>81</v>
      </c>
      <c r="DC448" s="25">
        <v>67.209999999999994</v>
      </c>
      <c r="DD448" s="24">
        <v>98</v>
      </c>
      <c r="DE448" s="25">
        <v>-1.93</v>
      </c>
      <c r="DF448" s="23">
        <v>-2.8</v>
      </c>
      <c r="DG448" s="25">
        <v>116.09</v>
      </c>
      <c r="DH448" s="24">
        <v>99</v>
      </c>
      <c r="DI448" s="25">
        <v>18.329999999999998</v>
      </c>
      <c r="DJ448" s="24">
        <v>90</v>
      </c>
      <c r="DK448" s="25">
        <v>65.569999999999993</v>
      </c>
      <c r="DL448" s="24">
        <v>97</v>
      </c>
      <c r="DM448" s="25">
        <v>166.62</v>
      </c>
      <c r="DN448" s="24">
        <v>100</v>
      </c>
      <c r="DO448" s="25">
        <v>24.42</v>
      </c>
      <c r="DP448" s="24">
        <v>94</v>
      </c>
      <c r="DQ448" s="24">
        <v>22422</v>
      </c>
      <c r="DR448" s="26">
        <v>204</v>
      </c>
      <c r="DS448" s="23">
        <v>0.92</v>
      </c>
      <c r="DT448" s="24">
        <v>4826</v>
      </c>
      <c r="DU448" s="26">
        <v>15</v>
      </c>
      <c r="DV448" s="23">
        <v>0.31</v>
      </c>
      <c r="DW448" s="24">
        <v>8734</v>
      </c>
      <c r="DX448" s="27">
        <v>8</v>
      </c>
      <c r="DY448" s="23">
        <v>0.09</v>
      </c>
      <c r="DZ448" s="15" t="s">
        <v>178</v>
      </c>
      <c r="EA448" s="22">
        <v>43622</v>
      </c>
      <c r="EB448" s="17">
        <v>56.5</v>
      </c>
      <c r="EC448" s="22">
        <v>41890</v>
      </c>
      <c r="ED448" s="15" t="s">
        <v>173</v>
      </c>
      <c r="EE448" s="14" t="str">
        <f>HYPERLINK("https://my.pitchbook.com?c=53510-23", "View company online")</f>
        <v>View company online</v>
      </c>
    </row>
    <row r="449" spans="1:135">
      <c r="A449" s="28" t="s">
        <v>9310</v>
      </c>
      <c r="B449" s="28" t="s">
        <v>9311</v>
      </c>
      <c r="C449" s="28" t="s">
        <v>138</v>
      </c>
      <c r="D449" s="28" t="s">
        <v>138</v>
      </c>
      <c r="E449" s="28" t="s">
        <v>138</v>
      </c>
      <c r="F449" s="28" t="s">
        <v>9310</v>
      </c>
      <c r="G449" s="28" t="s">
        <v>9312</v>
      </c>
      <c r="H449" s="28" t="s">
        <v>322</v>
      </c>
      <c r="I449" s="28" t="s">
        <v>323</v>
      </c>
      <c r="J449" s="28" t="s">
        <v>413</v>
      </c>
      <c r="K449" s="28" t="s">
        <v>9313</v>
      </c>
      <c r="L449" s="28" t="s">
        <v>9314</v>
      </c>
      <c r="M449" s="28" t="s">
        <v>9315</v>
      </c>
      <c r="N449" s="28" t="s">
        <v>147</v>
      </c>
      <c r="O449" s="29">
        <v>7</v>
      </c>
      <c r="P449" s="28" t="s">
        <v>610</v>
      </c>
      <c r="Q449" s="28" t="s">
        <v>149</v>
      </c>
      <c r="R449" s="28" t="s">
        <v>174</v>
      </c>
      <c r="S449" s="28" t="s">
        <v>9316</v>
      </c>
      <c r="T449" s="30" t="s">
        <v>138</v>
      </c>
      <c r="U449" s="28" t="s">
        <v>138</v>
      </c>
      <c r="V449" s="28" t="s">
        <v>138</v>
      </c>
      <c r="W449" s="28" t="s">
        <v>138</v>
      </c>
      <c r="X449" s="31">
        <v>2016</v>
      </c>
      <c r="Y449" s="28" t="s">
        <v>138</v>
      </c>
      <c r="Z449" s="28" t="s">
        <v>138</v>
      </c>
      <c r="AA449" s="28" t="s">
        <v>138</v>
      </c>
      <c r="AB449" s="32" t="s">
        <v>138</v>
      </c>
      <c r="AC449" s="32" t="s">
        <v>138</v>
      </c>
      <c r="AD449" s="32" t="s">
        <v>138</v>
      </c>
      <c r="AE449" s="32" t="s">
        <v>138</v>
      </c>
      <c r="AF449" s="32" t="s">
        <v>138</v>
      </c>
      <c r="AG449" s="28" t="s">
        <v>138</v>
      </c>
      <c r="AH449" s="32" t="s">
        <v>138</v>
      </c>
      <c r="AI449" s="32" t="s">
        <v>138</v>
      </c>
      <c r="AJ449" s="32" t="s">
        <v>138</v>
      </c>
      <c r="AK449" s="28" t="s">
        <v>9317</v>
      </c>
      <c r="AL449" s="28" t="s">
        <v>9318</v>
      </c>
      <c r="AM449" s="28" t="s">
        <v>304</v>
      </c>
      <c r="AN449" s="28" t="s">
        <v>9319</v>
      </c>
      <c r="AO449" s="28" t="s">
        <v>138</v>
      </c>
      <c r="AP449" s="28" t="s">
        <v>5697</v>
      </c>
      <c r="AQ449" s="28" t="s">
        <v>9320</v>
      </c>
      <c r="AR449" s="28" t="s">
        <v>138</v>
      </c>
      <c r="AS449" s="28" t="s">
        <v>5700</v>
      </c>
      <c r="AT449" s="28" t="s">
        <v>138</v>
      </c>
      <c r="AU449" s="28" t="s">
        <v>138</v>
      </c>
      <c r="AV449" s="28" t="s">
        <v>740</v>
      </c>
      <c r="AW449" s="28" t="s">
        <v>138</v>
      </c>
      <c r="AX449" s="28" t="s">
        <v>138</v>
      </c>
      <c r="AY449" s="28" t="s">
        <v>138</v>
      </c>
      <c r="AZ449" s="28" t="s">
        <v>742</v>
      </c>
      <c r="BA449" s="28" t="s">
        <v>742</v>
      </c>
      <c r="BB449" s="28" t="s">
        <v>9321</v>
      </c>
      <c r="BC449" s="28" t="s">
        <v>9322</v>
      </c>
      <c r="BD449" s="33">
        <v>6</v>
      </c>
      <c r="BE449" s="28" t="s">
        <v>138</v>
      </c>
      <c r="BF449" s="28" t="s">
        <v>138</v>
      </c>
      <c r="BG449" s="28" t="s">
        <v>138</v>
      </c>
      <c r="BH449" s="28" t="s">
        <v>9323</v>
      </c>
      <c r="BI449" s="28" t="s">
        <v>138</v>
      </c>
      <c r="BJ449" s="28" t="s">
        <v>138</v>
      </c>
      <c r="BK449" s="28" t="s">
        <v>138</v>
      </c>
      <c r="BL449" s="28" t="s">
        <v>138</v>
      </c>
      <c r="BM449" s="34">
        <v>43131</v>
      </c>
      <c r="BN449" s="29">
        <v>2</v>
      </c>
      <c r="BO449" s="28" t="s">
        <v>172</v>
      </c>
      <c r="BP449" s="29" t="s">
        <v>138</v>
      </c>
      <c r="BQ449" s="28" t="s">
        <v>138</v>
      </c>
      <c r="BR449" s="28" t="s">
        <v>234</v>
      </c>
      <c r="BS449" s="28" t="s">
        <v>234</v>
      </c>
      <c r="BT449" s="28" t="s">
        <v>138</v>
      </c>
      <c r="BU449" s="28" t="s">
        <v>174</v>
      </c>
      <c r="BV449" s="28" t="s">
        <v>138</v>
      </c>
      <c r="BW449" s="28" t="s">
        <v>138</v>
      </c>
      <c r="BX449" s="28" t="s">
        <v>138</v>
      </c>
      <c r="BY449" s="28" t="s">
        <v>175</v>
      </c>
      <c r="BZ449" s="34">
        <v>43607</v>
      </c>
      <c r="CA449" s="29">
        <v>5</v>
      </c>
      <c r="CB449" s="28" t="s">
        <v>172</v>
      </c>
      <c r="CC449" s="29" t="s">
        <v>138</v>
      </c>
      <c r="CD449" s="28" t="s">
        <v>138</v>
      </c>
      <c r="CE449" s="28" t="s">
        <v>205</v>
      </c>
      <c r="CF449" s="28" t="s">
        <v>138</v>
      </c>
      <c r="CG449" s="28" t="s">
        <v>138</v>
      </c>
      <c r="CH449" s="28" t="s">
        <v>174</v>
      </c>
      <c r="CI449" s="28" t="s">
        <v>138</v>
      </c>
      <c r="CJ449" s="28" t="s">
        <v>138</v>
      </c>
      <c r="CK449" s="28" t="s">
        <v>138</v>
      </c>
      <c r="CL449" s="28" t="s">
        <v>175</v>
      </c>
      <c r="CM449" s="34" t="s">
        <v>138</v>
      </c>
      <c r="CN449" s="29" t="s">
        <v>138</v>
      </c>
      <c r="CO449" s="35">
        <v>1.93</v>
      </c>
      <c r="CP449" s="36">
        <v>99</v>
      </c>
      <c r="CQ449" s="35">
        <v>-0.25</v>
      </c>
      <c r="CR449" s="35">
        <v>-11.46</v>
      </c>
      <c r="CS449" s="35">
        <v>1.94</v>
      </c>
      <c r="CT449" s="36">
        <v>98</v>
      </c>
      <c r="CU449" s="35">
        <v>1.91</v>
      </c>
      <c r="CV449" s="36">
        <v>100</v>
      </c>
      <c r="CW449" s="35" t="s">
        <v>138</v>
      </c>
      <c r="CX449" s="36" t="s">
        <v>138</v>
      </c>
      <c r="CY449" s="35">
        <v>1.94</v>
      </c>
      <c r="CZ449" s="36">
        <v>100</v>
      </c>
      <c r="DA449" s="35">
        <v>1.91</v>
      </c>
      <c r="DB449" s="36">
        <v>100</v>
      </c>
      <c r="DC449" s="37">
        <v>2.4700000000000002</v>
      </c>
      <c r="DD449" s="36">
        <v>71</v>
      </c>
      <c r="DE449" s="37">
        <v>-1.91</v>
      </c>
      <c r="DF449" s="35">
        <v>-43.61</v>
      </c>
      <c r="DG449" s="37">
        <v>4.41</v>
      </c>
      <c r="DH449" s="36">
        <v>81</v>
      </c>
      <c r="DI449" s="37">
        <v>0.53</v>
      </c>
      <c r="DJ449" s="36">
        <v>37</v>
      </c>
      <c r="DK449" s="37" t="s">
        <v>138</v>
      </c>
      <c r="DL449" s="36" t="s">
        <v>138</v>
      </c>
      <c r="DM449" s="37">
        <v>4.41</v>
      </c>
      <c r="DN449" s="36">
        <v>80</v>
      </c>
      <c r="DO449" s="37">
        <v>0.53</v>
      </c>
      <c r="DP449" s="36">
        <v>39</v>
      </c>
      <c r="DQ449" s="36" t="s">
        <v>138</v>
      </c>
      <c r="DR449" s="38" t="s">
        <v>138</v>
      </c>
      <c r="DS449" s="35" t="s">
        <v>138</v>
      </c>
      <c r="DT449" s="36">
        <v>127</v>
      </c>
      <c r="DU449" s="38">
        <v>0</v>
      </c>
      <c r="DV449" s="35">
        <v>0</v>
      </c>
      <c r="DW449" s="36">
        <v>186</v>
      </c>
      <c r="DX449" s="39">
        <v>4</v>
      </c>
      <c r="DY449" s="35">
        <v>2.2000000000000002</v>
      </c>
      <c r="DZ449" s="28" t="s">
        <v>178</v>
      </c>
      <c r="EA449" s="34">
        <v>43615</v>
      </c>
      <c r="EB449" s="29" t="s">
        <v>138</v>
      </c>
      <c r="EC449" s="34" t="s">
        <v>138</v>
      </c>
      <c r="ED449" s="28" t="s">
        <v>138</v>
      </c>
      <c r="EE449" s="40" t="str">
        <f>HYPERLINK("https://my.pitchbook.com?c=224548-30", "View company online")</f>
        <v>View company online</v>
      </c>
    </row>
    <row r="450" spans="1:135">
      <c r="A450" s="15" t="s">
        <v>9324</v>
      </c>
      <c r="B450" s="15" t="s">
        <v>9325</v>
      </c>
      <c r="C450" s="15" t="s">
        <v>138</v>
      </c>
      <c r="D450" s="15" t="s">
        <v>138</v>
      </c>
      <c r="E450" s="15" t="s">
        <v>9326</v>
      </c>
      <c r="F450" s="15" t="s">
        <v>9324</v>
      </c>
      <c r="G450" s="15" t="s">
        <v>9327</v>
      </c>
      <c r="H450" s="15" t="s">
        <v>141</v>
      </c>
      <c r="I450" s="15" t="s">
        <v>142</v>
      </c>
      <c r="J450" s="15" t="s">
        <v>4042</v>
      </c>
      <c r="K450" s="15" t="s">
        <v>9328</v>
      </c>
      <c r="L450" s="15" t="s">
        <v>4912</v>
      </c>
      <c r="M450" s="15" t="s">
        <v>9329</v>
      </c>
      <c r="N450" s="15" t="s">
        <v>147</v>
      </c>
      <c r="O450" s="17">
        <v>13.68</v>
      </c>
      <c r="P450" s="15" t="s">
        <v>148</v>
      </c>
      <c r="Q450" s="15" t="s">
        <v>149</v>
      </c>
      <c r="R450" s="15" t="s">
        <v>174</v>
      </c>
      <c r="S450" s="15" t="s">
        <v>9330</v>
      </c>
      <c r="T450" s="18">
        <v>23</v>
      </c>
      <c r="U450" s="15" t="s">
        <v>9331</v>
      </c>
      <c r="V450" s="15" t="s">
        <v>138</v>
      </c>
      <c r="W450" s="15" t="s">
        <v>138</v>
      </c>
      <c r="X450" s="19">
        <v>2012</v>
      </c>
      <c r="Y450" s="15" t="s">
        <v>138</v>
      </c>
      <c r="Z450" s="15" t="s">
        <v>138</v>
      </c>
      <c r="AA450" s="15" t="s">
        <v>138</v>
      </c>
      <c r="AB450" s="20">
        <v>1</v>
      </c>
      <c r="AC450" s="20" t="s">
        <v>138</v>
      </c>
      <c r="AD450" s="20" t="s">
        <v>138</v>
      </c>
      <c r="AE450" s="20" t="s">
        <v>138</v>
      </c>
      <c r="AF450" s="20" t="s">
        <v>138</v>
      </c>
      <c r="AG450" s="15" t="s">
        <v>707</v>
      </c>
      <c r="AH450" s="20" t="s">
        <v>138</v>
      </c>
      <c r="AI450" s="20" t="s">
        <v>138</v>
      </c>
      <c r="AJ450" s="20" t="s">
        <v>138</v>
      </c>
      <c r="AK450" s="15" t="s">
        <v>9332</v>
      </c>
      <c r="AL450" s="15" t="s">
        <v>9333</v>
      </c>
      <c r="AM450" s="15" t="s">
        <v>1264</v>
      </c>
      <c r="AN450" s="15" t="s">
        <v>9334</v>
      </c>
      <c r="AO450" s="15" t="s">
        <v>9335</v>
      </c>
      <c r="AP450" s="15" t="s">
        <v>9336</v>
      </c>
      <c r="AQ450" s="15" t="s">
        <v>9337</v>
      </c>
      <c r="AR450" s="15" t="s">
        <v>158</v>
      </c>
      <c r="AS450" s="15" t="s">
        <v>9338</v>
      </c>
      <c r="AT450" s="15" t="s">
        <v>1389</v>
      </c>
      <c r="AU450" s="15" t="s">
        <v>9339</v>
      </c>
      <c r="AV450" s="15" t="s">
        <v>162</v>
      </c>
      <c r="AW450" s="15" t="s">
        <v>9335</v>
      </c>
      <c r="AX450" s="15" t="s">
        <v>138</v>
      </c>
      <c r="AY450" s="15" t="s">
        <v>9340</v>
      </c>
      <c r="AZ450" s="15" t="s">
        <v>164</v>
      </c>
      <c r="BA450" s="15" t="s">
        <v>165</v>
      </c>
      <c r="BB450" s="15" t="s">
        <v>9341</v>
      </c>
      <c r="BC450" s="15" t="s">
        <v>9342</v>
      </c>
      <c r="BD450" s="21">
        <v>16</v>
      </c>
      <c r="BE450" s="15" t="s">
        <v>138</v>
      </c>
      <c r="BF450" s="15" t="s">
        <v>138</v>
      </c>
      <c r="BG450" s="15" t="s">
        <v>138</v>
      </c>
      <c r="BH450" s="15" t="s">
        <v>9343</v>
      </c>
      <c r="BI450" s="15" t="s">
        <v>138</v>
      </c>
      <c r="BJ450" s="15" t="s">
        <v>138</v>
      </c>
      <c r="BK450" s="15" t="s">
        <v>138</v>
      </c>
      <c r="BL450" s="15" t="s">
        <v>138</v>
      </c>
      <c r="BM450" s="22">
        <v>40909</v>
      </c>
      <c r="BN450" s="17">
        <v>0.01</v>
      </c>
      <c r="BO450" s="15" t="s">
        <v>172</v>
      </c>
      <c r="BP450" s="17" t="s">
        <v>138</v>
      </c>
      <c r="BQ450" s="15" t="s">
        <v>138</v>
      </c>
      <c r="BR450" s="15" t="s">
        <v>176</v>
      </c>
      <c r="BS450" s="15" t="s">
        <v>138</v>
      </c>
      <c r="BT450" s="15" t="s">
        <v>138</v>
      </c>
      <c r="BU450" s="15" t="s">
        <v>177</v>
      </c>
      <c r="BV450" s="15" t="s">
        <v>138</v>
      </c>
      <c r="BW450" s="15" t="s">
        <v>138</v>
      </c>
      <c r="BX450" s="15" t="s">
        <v>138</v>
      </c>
      <c r="BY450" s="15" t="s">
        <v>175</v>
      </c>
      <c r="BZ450" s="22">
        <v>43105</v>
      </c>
      <c r="CA450" s="17">
        <v>8.8000000000000007</v>
      </c>
      <c r="CB450" s="15" t="s">
        <v>172</v>
      </c>
      <c r="CC450" s="17">
        <v>19.8</v>
      </c>
      <c r="CD450" s="15" t="s">
        <v>172</v>
      </c>
      <c r="CE450" s="15" t="s">
        <v>173</v>
      </c>
      <c r="CF450" s="15" t="s">
        <v>720</v>
      </c>
      <c r="CG450" s="15" t="s">
        <v>138</v>
      </c>
      <c r="CH450" s="15" t="s">
        <v>174</v>
      </c>
      <c r="CI450" s="15" t="s">
        <v>138</v>
      </c>
      <c r="CJ450" s="15" t="s">
        <v>138</v>
      </c>
      <c r="CK450" s="15" t="s">
        <v>138</v>
      </c>
      <c r="CL450" s="15" t="s">
        <v>175</v>
      </c>
      <c r="CM450" s="22" t="s">
        <v>138</v>
      </c>
      <c r="CN450" s="17" t="s">
        <v>138</v>
      </c>
      <c r="CO450" s="23">
        <v>-0.39</v>
      </c>
      <c r="CP450" s="24">
        <v>17</v>
      </c>
      <c r="CQ450" s="23">
        <v>0.05</v>
      </c>
      <c r="CR450" s="23">
        <v>10.7</v>
      </c>
      <c r="CS450" s="23">
        <v>-0.91</v>
      </c>
      <c r="CT450" s="24">
        <v>16</v>
      </c>
      <c r="CU450" s="23">
        <v>0.12</v>
      </c>
      <c r="CV450" s="24">
        <v>71</v>
      </c>
      <c r="CW450" s="23">
        <v>0</v>
      </c>
      <c r="CX450" s="24">
        <v>13</v>
      </c>
      <c r="CY450" s="23">
        <v>-1.83</v>
      </c>
      <c r="CZ450" s="24">
        <v>12</v>
      </c>
      <c r="DA450" s="23">
        <v>0.12</v>
      </c>
      <c r="DB450" s="24">
        <v>75</v>
      </c>
      <c r="DC450" s="25">
        <v>4.16</v>
      </c>
      <c r="DD450" s="24">
        <v>80</v>
      </c>
      <c r="DE450" s="25">
        <v>-0.02</v>
      </c>
      <c r="DF450" s="23">
        <v>-0.57999999999999996</v>
      </c>
      <c r="DG450" s="25">
        <v>5.21</v>
      </c>
      <c r="DH450" s="24">
        <v>83</v>
      </c>
      <c r="DI450" s="25">
        <v>3.12</v>
      </c>
      <c r="DJ450" s="24">
        <v>70</v>
      </c>
      <c r="DK450" s="25">
        <v>1.34</v>
      </c>
      <c r="DL450" s="24">
        <v>56</v>
      </c>
      <c r="DM450" s="25">
        <v>9.07</v>
      </c>
      <c r="DN450" s="24">
        <v>88</v>
      </c>
      <c r="DO450" s="25">
        <v>3.12</v>
      </c>
      <c r="DP450" s="24">
        <v>72</v>
      </c>
      <c r="DQ450" s="24">
        <v>446</v>
      </c>
      <c r="DR450" s="26">
        <v>39</v>
      </c>
      <c r="DS450" s="23">
        <v>9.58</v>
      </c>
      <c r="DT450" s="24">
        <v>262</v>
      </c>
      <c r="DU450" s="26">
        <v>0</v>
      </c>
      <c r="DV450" s="23">
        <v>0</v>
      </c>
      <c r="DW450" s="24">
        <v>1117</v>
      </c>
      <c r="DX450" s="27">
        <v>5</v>
      </c>
      <c r="DY450" s="23">
        <v>0.45</v>
      </c>
      <c r="DZ450" s="15" t="s">
        <v>178</v>
      </c>
      <c r="EA450" s="22">
        <v>43563</v>
      </c>
      <c r="EB450" s="17">
        <v>19.8</v>
      </c>
      <c r="EC450" s="22">
        <v>43105</v>
      </c>
      <c r="ED450" s="15" t="s">
        <v>173</v>
      </c>
      <c r="EE450" s="14" t="str">
        <f>HYPERLINK("https://my.pitchbook.com?c=94852-99", "View company online")</f>
        <v>View company online</v>
      </c>
    </row>
    <row r="451" spans="1:135">
      <c r="A451" s="28" t="s">
        <v>9344</v>
      </c>
      <c r="B451" s="28" t="s">
        <v>9345</v>
      </c>
      <c r="C451" s="28" t="s">
        <v>138</v>
      </c>
      <c r="D451" s="28" t="s">
        <v>138</v>
      </c>
      <c r="E451" s="28" t="s">
        <v>138</v>
      </c>
      <c r="F451" s="28" t="s">
        <v>9344</v>
      </c>
      <c r="G451" s="28" t="s">
        <v>9346</v>
      </c>
      <c r="H451" s="28" t="s">
        <v>322</v>
      </c>
      <c r="I451" s="28" t="s">
        <v>1503</v>
      </c>
      <c r="J451" s="28" t="s">
        <v>1504</v>
      </c>
      <c r="K451" s="28" t="s">
        <v>9347</v>
      </c>
      <c r="L451" s="28" t="s">
        <v>3681</v>
      </c>
      <c r="M451" s="28" t="s">
        <v>9348</v>
      </c>
      <c r="N451" s="28" t="s">
        <v>147</v>
      </c>
      <c r="O451" s="29" t="s">
        <v>138</v>
      </c>
      <c r="P451" s="28" t="s">
        <v>148</v>
      </c>
      <c r="Q451" s="28" t="s">
        <v>149</v>
      </c>
      <c r="R451" s="28" t="s">
        <v>150</v>
      </c>
      <c r="S451" s="28" t="s">
        <v>9349</v>
      </c>
      <c r="T451" s="30" t="s">
        <v>138</v>
      </c>
      <c r="U451" s="28" t="s">
        <v>138</v>
      </c>
      <c r="V451" s="28" t="s">
        <v>138</v>
      </c>
      <c r="W451" s="28" t="s">
        <v>138</v>
      </c>
      <c r="X451" s="31">
        <v>2015</v>
      </c>
      <c r="Y451" s="28" t="s">
        <v>138</v>
      </c>
      <c r="Z451" s="28" t="s">
        <v>138</v>
      </c>
      <c r="AA451" s="28" t="s">
        <v>138</v>
      </c>
      <c r="AB451" s="32" t="s">
        <v>138</v>
      </c>
      <c r="AC451" s="32" t="s">
        <v>138</v>
      </c>
      <c r="AD451" s="32" t="s">
        <v>138</v>
      </c>
      <c r="AE451" s="32" t="s">
        <v>138</v>
      </c>
      <c r="AF451" s="32" t="s">
        <v>138</v>
      </c>
      <c r="AG451" s="28" t="s">
        <v>138</v>
      </c>
      <c r="AH451" s="32" t="s">
        <v>138</v>
      </c>
      <c r="AI451" s="32" t="s">
        <v>138</v>
      </c>
      <c r="AJ451" s="32" t="s">
        <v>138</v>
      </c>
      <c r="AK451" s="28" t="s">
        <v>9350</v>
      </c>
      <c r="AL451" s="28" t="s">
        <v>9351</v>
      </c>
      <c r="AM451" s="28" t="s">
        <v>2024</v>
      </c>
      <c r="AN451" s="28" t="s">
        <v>9352</v>
      </c>
      <c r="AO451" s="28" t="s">
        <v>138</v>
      </c>
      <c r="AP451" s="28" t="s">
        <v>9353</v>
      </c>
      <c r="AQ451" s="28" t="s">
        <v>9354</v>
      </c>
      <c r="AR451" s="28" t="s">
        <v>138</v>
      </c>
      <c r="AS451" s="28" t="s">
        <v>9355</v>
      </c>
      <c r="AT451" s="28" t="s">
        <v>138</v>
      </c>
      <c r="AU451" s="28" t="s">
        <v>9356</v>
      </c>
      <c r="AV451" s="28" t="s">
        <v>4444</v>
      </c>
      <c r="AW451" s="28" t="s">
        <v>138</v>
      </c>
      <c r="AX451" s="28" t="s">
        <v>138</v>
      </c>
      <c r="AY451" s="28" t="s">
        <v>9357</v>
      </c>
      <c r="AZ451" s="28" t="s">
        <v>530</v>
      </c>
      <c r="BA451" s="28" t="s">
        <v>577</v>
      </c>
      <c r="BB451" s="28" t="s">
        <v>9358</v>
      </c>
      <c r="BC451" s="28" t="s">
        <v>9359</v>
      </c>
      <c r="BD451" s="33">
        <v>2</v>
      </c>
      <c r="BE451" s="28" t="s">
        <v>138</v>
      </c>
      <c r="BF451" s="28" t="s">
        <v>138</v>
      </c>
      <c r="BG451" s="28" t="s">
        <v>138</v>
      </c>
      <c r="BH451" s="28" t="s">
        <v>9360</v>
      </c>
      <c r="BI451" s="28" t="s">
        <v>138</v>
      </c>
      <c r="BJ451" s="28" t="s">
        <v>138</v>
      </c>
      <c r="BK451" s="28" t="s">
        <v>138</v>
      </c>
      <c r="BL451" s="28" t="s">
        <v>138</v>
      </c>
      <c r="BM451" s="34">
        <v>42551</v>
      </c>
      <c r="BN451" s="29" t="s">
        <v>138</v>
      </c>
      <c r="BO451" s="28" t="s">
        <v>138</v>
      </c>
      <c r="BP451" s="29" t="s">
        <v>138</v>
      </c>
      <c r="BQ451" s="28" t="s">
        <v>138</v>
      </c>
      <c r="BR451" s="28" t="s">
        <v>780</v>
      </c>
      <c r="BS451" s="28" t="s">
        <v>780</v>
      </c>
      <c r="BT451" s="28" t="s">
        <v>138</v>
      </c>
      <c r="BU451" s="28" t="s">
        <v>780</v>
      </c>
      <c r="BV451" s="28" t="s">
        <v>138</v>
      </c>
      <c r="BW451" s="28" t="s">
        <v>138</v>
      </c>
      <c r="BX451" s="28" t="s">
        <v>138</v>
      </c>
      <c r="BY451" s="28" t="s">
        <v>175</v>
      </c>
      <c r="BZ451" s="34">
        <v>43585</v>
      </c>
      <c r="CA451" s="29" t="s">
        <v>138</v>
      </c>
      <c r="CB451" s="28" t="s">
        <v>138</v>
      </c>
      <c r="CC451" s="29" t="s">
        <v>138</v>
      </c>
      <c r="CD451" s="28" t="s">
        <v>138</v>
      </c>
      <c r="CE451" s="28" t="s">
        <v>205</v>
      </c>
      <c r="CF451" s="28" t="s">
        <v>138</v>
      </c>
      <c r="CG451" s="28" t="s">
        <v>138</v>
      </c>
      <c r="CH451" s="28" t="s">
        <v>174</v>
      </c>
      <c r="CI451" s="28" t="s">
        <v>138</v>
      </c>
      <c r="CJ451" s="28" t="s">
        <v>138</v>
      </c>
      <c r="CK451" s="28" t="s">
        <v>138</v>
      </c>
      <c r="CL451" s="28" t="s">
        <v>175</v>
      </c>
      <c r="CM451" s="34" t="s">
        <v>138</v>
      </c>
      <c r="CN451" s="29" t="s">
        <v>138</v>
      </c>
      <c r="CO451" s="35">
        <v>0</v>
      </c>
      <c r="CP451" s="36">
        <v>26</v>
      </c>
      <c r="CQ451" s="35">
        <v>0</v>
      </c>
      <c r="CR451" s="35">
        <v>0</v>
      </c>
      <c r="CS451" s="35">
        <v>0</v>
      </c>
      <c r="CT451" s="36">
        <v>23</v>
      </c>
      <c r="CU451" s="35" t="s">
        <v>138</v>
      </c>
      <c r="CV451" s="36" t="s">
        <v>138</v>
      </c>
      <c r="CW451" s="35" t="s">
        <v>138</v>
      </c>
      <c r="CX451" s="36" t="s">
        <v>138</v>
      </c>
      <c r="CY451" s="35">
        <v>0</v>
      </c>
      <c r="CZ451" s="36">
        <v>25</v>
      </c>
      <c r="DA451" s="35" t="s">
        <v>138</v>
      </c>
      <c r="DB451" s="36" t="s">
        <v>138</v>
      </c>
      <c r="DC451" s="37">
        <v>0.1</v>
      </c>
      <c r="DD451" s="36">
        <v>7</v>
      </c>
      <c r="DE451" s="37">
        <v>0</v>
      </c>
      <c r="DF451" s="35">
        <v>0</v>
      </c>
      <c r="DG451" s="37">
        <v>0.1</v>
      </c>
      <c r="DH451" s="36">
        <v>7</v>
      </c>
      <c r="DI451" s="37" t="s">
        <v>138</v>
      </c>
      <c r="DJ451" s="36" t="s">
        <v>138</v>
      </c>
      <c r="DK451" s="37" t="s">
        <v>138</v>
      </c>
      <c r="DL451" s="36" t="s">
        <v>138</v>
      </c>
      <c r="DM451" s="37">
        <v>0.1</v>
      </c>
      <c r="DN451" s="36">
        <v>8</v>
      </c>
      <c r="DO451" s="37" t="s">
        <v>138</v>
      </c>
      <c r="DP451" s="36" t="s">
        <v>138</v>
      </c>
      <c r="DQ451" s="36" t="s">
        <v>138</v>
      </c>
      <c r="DR451" s="38" t="s">
        <v>138</v>
      </c>
      <c r="DS451" s="35" t="s">
        <v>138</v>
      </c>
      <c r="DT451" s="36">
        <v>3</v>
      </c>
      <c r="DU451" s="38">
        <v>0</v>
      </c>
      <c r="DV451" s="35">
        <v>0</v>
      </c>
      <c r="DW451" s="36" t="s">
        <v>138</v>
      </c>
      <c r="DX451" s="39" t="s">
        <v>138</v>
      </c>
      <c r="DY451" s="35" t="s">
        <v>138</v>
      </c>
      <c r="DZ451" s="28" t="s">
        <v>178</v>
      </c>
      <c r="EA451" s="34">
        <v>43619</v>
      </c>
      <c r="EB451" s="29" t="s">
        <v>138</v>
      </c>
      <c r="EC451" s="34" t="s">
        <v>138</v>
      </c>
      <c r="ED451" s="28" t="s">
        <v>138</v>
      </c>
      <c r="EE451" s="40" t="str">
        <f>HYPERLINK("https://my.pitchbook.com?c=167232-52", "View company online")</f>
        <v>View company online</v>
      </c>
    </row>
    <row r="452" spans="1:135">
      <c r="A452" s="15" t="s">
        <v>9361</v>
      </c>
      <c r="B452" s="15" t="s">
        <v>9362</v>
      </c>
      <c r="C452" s="15" t="s">
        <v>138</v>
      </c>
      <c r="D452" s="15" t="s">
        <v>138</v>
      </c>
      <c r="E452" s="15" t="s">
        <v>9363</v>
      </c>
      <c r="F452" s="15" t="s">
        <v>9361</v>
      </c>
      <c r="G452" s="15" t="s">
        <v>9364</v>
      </c>
      <c r="H452" s="15" t="s">
        <v>322</v>
      </c>
      <c r="I452" s="15" t="s">
        <v>323</v>
      </c>
      <c r="J452" s="15" t="s">
        <v>1184</v>
      </c>
      <c r="K452" s="15" t="s">
        <v>9365</v>
      </c>
      <c r="L452" s="15" t="s">
        <v>2641</v>
      </c>
      <c r="M452" s="15" t="s">
        <v>9366</v>
      </c>
      <c r="N452" s="15" t="s">
        <v>147</v>
      </c>
      <c r="O452" s="17">
        <v>17.920000000000002</v>
      </c>
      <c r="P452" s="15" t="s">
        <v>148</v>
      </c>
      <c r="Q452" s="15" t="s">
        <v>149</v>
      </c>
      <c r="R452" s="15" t="s">
        <v>174</v>
      </c>
      <c r="S452" s="15" t="s">
        <v>9367</v>
      </c>
      <c r="T452" s="18">
        <v>40</v>
      </c>
      <c r="U452" s="15" t="s">
        <v>9368</v>
      </c>
      <c r="V452" s="15" t="s">
        <v>138</v>
      </c>
      <c r="W452" s="15" t="s">
        <v>138</v>
      </c>
      <c r="X452" s="19">
        <v>2014</v>
      </c>
      <c r="Y452" s="15" t="s">
        <v>138</v>
      </c>
      <c r="Z452" s="15" t="s">
        <v>138</v>
      </c>
      <c r="AA452" s="15" t="s">
        <v>138</v>
      </c>
      <c r="AB452" s="20" t="s">
        <v>138</v>
      </c>
      <c r="AC452" s="20" t="s">
        <v>138</v>
      </c>
      <c r="AD452" s="20" t="s">
        <v>138</v>
      </c>
      <c r="AE452" s="20" t="s">
        <v>138</v>
      </c>
      <c r="AF452" s="20" t="s">
        <v>138</v>
      </c>
      <c r="AG452" s="15" t="s">
        <v>138</v>
      </c>
      <c r="AH452" s="20" t="s">
        <v>138</v>
      </c>
      <c r="AI452" s="20" t="s">
        <v>138</v>
      </c>
      <c r="AJ452" s="20" t="s">
        <v>138</v>
      </c>
      <c r="AK452" s="15" t="s">
        <v>9369</v>
      </c>
      <c r="AL452" s="15" t="s">
        <v>9370</v>
      </c>
      <c r="AM452" s="15" t="s">
        <v>221</v>
      </c>
      <c r="AN452" s="15" t="s">
        <v>9371</v>
      </c>
      <c r="AO452" s="15" t="s">
        <v>9372</v>
      </c>
      <c r="AP452" s="15" t="s">
        <v>665</v>
      </c>
      <c r="AQ452" s="15" t="s">
        <v>9373</v>
      </c>
      <c r="AR452" s="15" t="s">
        <v>9374</v>
      </c>
      <c r="AS452" s="15" t="s">
        <v>668</v>
      </c>
      <c r="AT452" s="15" t="s">
        <v>200</v>
      </c>
      <c r="AU452" s="15" t="s">
        <v>691</v>
      </c>
      <c r="AV452" s="15" t="s">
        <v>162</v>
      </c>
      <c r="AW452" s="15" t="s">
        <v>9372</v>
      </c>
      <c r="AX452" s="15" t="s">
        <v>138</v>
      </c>
      <c r="AY452" s="15" t="s">
        <v>9375</v>
      </c>
      <c r="AZ452" s="15" t="s">
        <v>164</v>
      </c>
      <c r="BA452" s="15" t="s">
        <v>165</v>
      </c>
      <c r="BB452" s="15" t="s">
        <v>9376</v>
      </c>
      <c r="BC452" s="15" t="s">
        <v>9377</v>
      </c>
      <c r="BD452" s="21">
        <v>27</v>
      </c>
      <c r="BE452" s="15" t="s">
        <v>138</v>
      </c>
      <c r="BF452" s="15" t="s">
        <v>138</v>
      </c>
      <c r="BG452" s="15" t="s">
        <v>138</v>
      </c>
      <c r="BH452" s="15" t="s">
        <v>9378</v>
      </c>
      <c r="BI452" s="15" t="s">
        <v>138</v>
      </c>
      <c r="BJ452" s="15" t="s">
        <v>138</v>
      </c>
      <c r="BK452" s="15" t="s">
        <v>9379</v>
      </c>
      <c r="BL452" s="15" t="s">
        <v>138</v>
      </c>
      <c r="BM452" s="22">
        <v>42430</v>
      </c>
      <c r="BN452" s="17" t="s">
        <v>138</v>
      </c>
      <c r="BO452" s="15" t="s">
        <v>138</v>
      </c>
      <c r="BP452" s="17" t="s">
        <v>138</v>
      </c>
      <c r="BQ452" s="15" t="s">
        <v>138</v>
      </c>
      <c r="BR452" s="15" t="s">
        <v>316</v>
      </c>
      <c r="BS452" s="15" t="s">
        <v>138</v>
      </c>
      <c r="BT452" s="15" t="s">
        <v>138</v>
      </c>
      <c r="BU452" s="15" t="s">
        <v>177</v>
      </c>
      <c r="BV452" s="15" t="s">
        <v>138</v>
      </c>
      <c r="BW452" s="15" t="s">
        <v>138</v>
      </c>
      <c r="BX452" s="15" t="s">
        <v>138</v>
      </c>
      <c r="BY452" s="15" t="s">
        <v>175</v>
      </c>
      <c r="BZ452" s="22">
        <v>43425</v>
      </c>
      <c r="CA452" s="17">
        <v>11.5</v>
      </c>
      <c r="CB452" s="15" t="s">
        <v>172</v>
      </c>
      <c r="CC452" s="17">
        <v>30</v>
      </c>
      <c r="CD452" s="15" t="s">
        <v>172</v>
      </c>
      <c r="CE452" s="15" t="s">
        <v>205</v>
      </c>
      <c r="CF452" s="15" t="s">
        <v>206</v>
      </c>
      <c r="CG452" s="15" t="s">
        <v>138</v>
      </c>
      <c r="CH452" s="15" t="s">
        <v>174</v>
      </c>
      <c r="CI452" s="15" t="s">
        <v>138</v>
      </c>
      <c r="CJ452" s="15" t="s">
        <v>138</v>
      </c>
      <c r="CK452" s="15" t="s">
        <v>138</v>
      </c>
      <c r="CL452" s="15" t="s">
        <v>175</v>
      </c>
      <c r="CM452" s="22" t="s">
        <v>138</v>
      </c>
      <c r="CN452" s="17" t="s">
        <v>138</v>
      </c>
      <c r="CO452" s="23">
        <v>1.32</v>
      </c>
      <c r="CP452" s="24">
        <v>98</v>
      </c>
      <c r="CQ452" s="23">
        <v>0</v>
      </c>
      <c r="CR452" s="23">
        <v>0.15</v>
      </c>
      <c r="CS452" s="23">
        <v>2.93</v>
      </c>
      <c r="CT452" s="24">
        <v>99</v>
      </c>
      <c r="CU452" s="23">
        <v>0.09</v>
      </c>
      <c r="CV452" s="24">
        <v>66</v>
      </c>
      <c r="CW452" s="23">
        <v>2.93</v>
      </c>
      <c r="CX452" s="24">
        <v>91</v>
      </c>
      <c r="CY452" s="23" t="s">
        <v>138</v>
      </c>
      <c r="CZ452" s="24" t="s">
        <v>138</v>
      </c>
      <c r="DA452" s="23">
        <v>-0.06</v>
      </c>
      <c r="DB452" s="24">
        <v>11</v>
      </c>
      <c r="DC452" s="25">
        <v>80.010000000000005</v>
      </c>
      <c r="DD452" s="24">
        <v>99</v>
      </c>
      <c r="DE452" s="25">
        <v>-9.8699999999999992</v>
      </c>
      <c r="DF452" s="23">
        <v>-10.98</v>
      </c>
      <c r="DG452" s="25">
        <v>231.07</v>
      </c>
      <c r="DH452" s="24">
        <v>100</v>
      </c>
      <c r="DI452" s="25">
        <v>8.84</v>
      </c>
      <c r="DJ452" s="24">
        <v>84</v>
      </c>
      <c r="DK452" s="25">
        <v>231.07</v>
      </c>
      <c r="DL452" s="24">
        <v>99</v>
      </c>
      <c r="DM452" s="25" t="s">
        <v>138</v>
      </c>
      <c r="DN452" s="24" t="s">
        <v>138</v>
      </c>
      <c r="DO452" s="25">
        <v>16.940000000000001</v>
      </c>
      <c r="DP452" s="24">
        <v>91</v>
      </c>
      <c r="DQ452" s="24">
        <v>78144</v>
      </c>
      <c r="DR452" s="26">
        <v>3343</v>
      </c>
      <c r="DS452" s="23">
        <v>4.47</v>
      </c>
      <c r="DT452" s="24" t="s">
        <v>138</v>
      </c>
      <c r="DU452" s="26" t="s">
        <v>138</v>
      </c>
      <c r="DV452" s="23" t="s">
        <v>138</v>
      </c>
      <c r="DW452" s="24">
        <v>6067</v>
      </c>
      <c r="DX452" s="27">
        <v>-4</v>
      </c>
      <c r="DY452" s="23">
        <v>-7.0000000000000007E-2</v>
      </c>
      <c r="DZ452" s="15" t="s">
        <v>178</v>
      </c>
      <c r="EA452" s="22">
        <v>43602</v>
      </c>
      <c r="EB452" s="17">
        <v>30</v>
      </c>
      <c r="EC452" s="22">
        <v>43425</v>
      </c>
      <c r="ED452" s="15" t="s">
        <v>205</v>
      </c>
      <c r="EE452" s="14" t="str">
        <f>HYPERLINK("https://my.pitchbook.com?c=93655-18", "View company online")</f>
        <v>View company online</v>
      </c>
    </row>
    <row r="453" spans="1:135">
      <c r="A453" s="28" t="s">
        <v>9380</v>
      </c>
      <c r="B453" s="28" t="s">
        <v>9381</v>
      </c>
      <c r="C453" s="28" t="s">
        <v>138</v>
      </c>
      <c r="D453" s="28" t="s">
        <v>138</v>
      </c>
      <c r="E453" s="28" t="s">
        <v>138</v>
      </c>
      <c r="F453" s="28" t="s">
        <v>9380</v>
      </c>
      <c r="G453" s="28" t="s">
        <v>9382</v>
      </c>
      <c r="H453" s="28" t="s">
        <v>238</v>
      </c>
      <c r="I453" s="28" t="s">
        <v>1351</v>
      </c>
      <c r="J453" s="28" t="s">
        <v>1352</v>
      </c>
      <c r="K453" s="28" t="s">
        <v>9383</v>
      </c>
      <c r="L453" s="28" t="s">
        <v>6111</v>
      </c>
      <c r="M453" s="28" t="s">
        <v>9384</v>
      </c>
      <c r="N453" s="28" t="s">
        <v>147</v>
      </c>
      <c r="O453" s="29">
        <v>3.64</v>
      </c>
      <c r="P453" s="28" t="s">
        <v>148</v>
      </c>
      <c r="Q453" s="28" t="s">
        <v>149</v>
      </c>
      <c r="R453" s="28" t="s">
        <v>150</v>
      </c>
      <c r="S453" s="28" t="s">
        <v>9385</v>
      </c>
      <c r="T453" s="30">
        <v>20</v>
      </c>
      <c r="U453" s="28" t="s">
        <v>9386</v>
      </c>
      <c r="V453" s="28" t="s">
        <v>138</v>
      </c>
      <c r="W453" s="28" t="s">
        <v>138</v>
      </c>
      <c r="X453" s="31">
        <v>2015</v>
      </c>
      <c r="Y453" s="28" t="s">
        <v>138</v>
      </c>
      <c r="Z453" s="28" t="s">
        <v>138</v>
      </c>
      <c r="AA453" s="28" t="s">
        <v>138</v>
      </c>
      <c r="AB453" s="32" t="s">
        <v>138</v>
      </c>
      <c r="AC453" s="32" t="s">
        <v>138</v>
      </c>
      <c r="AD453" s="32" t="s">
        <v>138</v>
      </c>
      <c r="AE453" s="32" t="s">
        <v>138</v>
      </c>
      <c r="AF453" s="32" t="s">
        <v>138</v>
      </c>
      <c r="AG453" s="28" t="s">
        <v>138</v>
      </c>
      <c r="AH453" s="32" t="s">
        <v>138</v>
      </c>
      <c r="AI453" s="32" t="s">
        <v>138</v>
      </c>
      <c r="AJ453" s="32" t="s">
        <v>138</v>
      </c>
      <c r="AK453" s="28" t="s">
        <v>9387</v>
      </c>
      <c r="AL453" s="28" t="s">
        <v>9388</v>
      </c>
      <c r="AM453" s="28" t="s">
        <v>304</v>
      </c>
      <c r="AN453" s="28" t="s">
        <v>9389</v>
      </c>
      <c r="AO453" s="28" t="s">
        <v>138</v>
      </c>
      <c r="AP453" s="28" t="s">
        <v>665</v>
      </c>
      <c r="AQ453" s="28" t="s">
        <v>9390</v>
      </c>
      <c r="AR453" s="28" t="s">
        <v>138</v>
      </c>
      <c r="AS453" s="28" t="s">
        <v>668</v>
      </c>
      <c r="AT453" s="28" t="s">
        <v>200</v>
      </c>
      <c r="AU453" s="28" t="s">
        <v>3557</v>
      </c>
      <c r="AV453" s="28" t="s">
        <v>162</v>
      </c>
      <c r="AW453" s="28" t="s">
        <v>138</v>
      </c>
      <c r="AX453" s="28" t="s">
        <v>138</v>
      </c>
      <c r="AY453" s="28" t="s">
        <v>138</v>
      </c>
      <c r="AZ453" s="28" t="s">
        <v>164</v>
      </c>
      <c r="BA453" s="28" t="s">
        <v>165</v>
      </c>
      <c r="BB453" s="28" t="s">
        <v>9391</v>
      </c>
      <c r="BC453" s="28" t="s">
        <v>9392</v>
      </c>
      <c r="BD453" s="33">
        <v>11</v>
      </c>
      <c r="BE453" s="28" t="s">
        <v>138</v>
      </c>
      <c r="BF453" s="28" t="s">
        <v>138</v>
      </c>
      <c r="BG453" s="28" t="s">
        <v>138</v>
      </c>
      <c r="BH453" s="28" t="s">
        <v>9393</v>
      </c>
      <c r="BI453" s="28" t="s">
        <v>138</v>
      </c>
      <c r="BJ453" s="28" t="s">
        <v>138</v>
      </c>
      <c r="BK453" s="28" t="s">
        <v>9394</v>
      </c>
      <c r="BL453" s="28" t="s">
        <v>9395</v>
      </c>
      <c r="BM453" s="34" t="s">
        <v>138</v>
      </c>
      <c r="BN453" s="29" t="s">
        <v>138</v>
      </c>
      <c r="BO453" s="28" t="s">
        <v>138</v>
      </c>
      <c r="BP453" s="29" t="s">
        <v>138</v>
      </c>
      <c r="BQ453" s="28" t="s">
        <v>138</v>
      </c>
      <c r="BR453" s="28" t="s">
        <v>780</v>
      </c>
      <c r="BS453" s="28" t="s">
        <v>780</v>
      </c>
      <c r="BT453" s="28" t="s">
        <v>138</v>
      </c>
      <c r="BU453" s="28" t="s">
        <v>780</v>
      </c>
      <c r="BV453" s="28" t="s">
        <v>138</v>
      </c>
      <c r="BW453" s="28" t="s">
        <v>138</v>
      </c>
      <c r="BX453" s="28" t="s">
        <v>138</v>
      </c>
      <c r="BY453" s="28" t="s">
        <v>175</v>
      </c>
      <c r="BZ453" s="34">
        <v>43132</v>
      </c>
      <c r="CA453" s="29">
        <v>2.2200000000000002</v>
      </c>
      <c r="CB453" s="28" t="s">
        <v>172</v>
      </c>
      <c r="CC453" s="29" t="s">
        <v>138</v>
      </c>
      <c r="CD453" s="28" t="s">
        <v>138</v>
      </c>
      <c r="CE453" s="28" t="s">
        <v>262</v>
      </c>
      <c r="CF453" s="28" t="s">
        <v>206</v>
      </c>
      <c r="CG453" s="28" t="s">
        <v>138</v>
      </c>
      <c r="CH453" s="28" t="s">
        <v>263</v>
      </c>
      <c r="CI453" s="28" t="s">
        <v>138</v>
      </c>
      <c r="CJ453" s="28" t="s">
        <v>138</v>
      </c>
      <c r="CK453" s="28" t="s">
        <v>138</v>
      </c>
      <c r="CL453" s="28" t="s">
        <v>175</v>
      </c>
      <c r="CM453" s="34" t="s">
        <v>138</v>
      </c>
      <c r="CN453" s="29" t="s">
        <v>138</v>
      </c>
      <c r="CO453" s="35">
        <v>-0.21</v>
      </c>
      <c r="CP453" s="36">
        <v>19</v>
      </c>
      <c r="CQ453" s="35">
        <v>-0.05</v>
      </c>
      <c r="CR453" s="35">
        <v>-32.61</v>
      </c>
      <c r="CS453" s="35">
        <v>-0.57999999999999996</v>
      </c>
      <c r="CT453" s="36">
        <v>19</v>
      </c>
      <c r="CU453" s="35">
        <v>0.16</v>
      </c>
      <c r="CV453" s="36">
        <v>76</v>
      </c>
      <c r="CW453" s="35">
        <v>0</v>
      </c>
      <c r="CX453" s="36">
        <v>13</v>
      </c>
      <c r="CY453" s="35">
        <v>-1.1599999999999999</v>
      </c>
      <c r="CZ453" s="36">
        <v>18</v>
      </c>
      <c r="DA453" s="35">
        <v>0.14000000000000001</v>
      </c>
      <c r="DB453" s="36">
        <v>77</v>
      </c>
      <c r="DC453" s="37">
        <v>3.51</v>
      </c>
      <c r="DD453" s="36">
        <v>78</v>
      </c>
      <c r="DE453" s="37">
        <v>-0.09</v>
      </c>
      <c r="DF453" s="35">
        <v>-2.4700000000000002</v>
      </c>
      <c r="DG453" s="37">
        <v>5.72</v>
      </c>
      <c r="DH453" s="36">
        <v>84</v>
      </c>
      <c r="DI453" s="37">
        <v>1.3</v>
      </c>
      <c r="DJ453" s="36">
        <v>54</v>
      </c>
      <c r="DK453" s="37">
        <v>1.03</v>
      </c>
      <c r="DL453" s="36">
        <v>51</v>
      </c>
      <c r="DM453" s="37">
        <v>10.41</v>
      </c>
      <c r="DN453" s="36">
        <v>89</v>
      </c>
      <c r="DO453" s="37">
        <v>1.73</v>
      </c>
      <c r="DP453" s="36">
        <v>61</v>
      </c>
      <c r="DQ453" s="36">
        <v>338</v>
      </c>
      <c r="DR453" s="38">
        <v>39</v>
      </c>
      <c r="DS453" s="35">
        <v>13.04</v>
      </c>
      <c r="DT453" s="36">
        <v>304</v>
      </c>
      <c r="DU453" s="38">
        <v>-7</v>
      </c>
      <c r="DV453" s="35">
        <v>-2.25</v>
      </c>
      <c r="DW453" s="36">
        <v>618</v>
      </c>
      <c r="DX453" s="39">
        <v>2</v>
      </c>
      <c r="DY453" s="35">
        <v>0.32</v>
      </c>
      <c r="DZ453" s="28" t="s">
        <v>178</v>
      </c>
      <c r="EA453" s="34">
        <v>43351</v>
      </c>
      <c r="EB453" s="29">
        <v>1.71</v>
      </c>
      <c r="EC453" s="34">
        <v>42604</v>
      </c>
      <c r="ED453" s="28" t="s">
        <v>316</v>
      </c>
      <c r="EE453" s="40" t="str">
        <f>HYPERLINK("https://my.pitchbook.com?c=126673-84", "View company online")</f>
        <v>View company online</v>
      </c>
    </row>
    <row r="454" spans="1:135">
      <c r="A454" s="15" t="s">
        <v>9396</v>
      </c>
      <c r="B454" s="15" t="s">
        <v>9397</v>
      </c>
      <c r="C454" s="15" t="s">
        <v>138</v>
      </c>
      <c r="D454" s="15" t="s">
        <v>138</v>
      </c>
      <c r="E454" s="15" t="s">
        <v>138</v>
      </c>
      <c r="F454" s="15" t="s">
        <v>9396</v>
      </c>
      <c r="G454" s="15" t="s">
        <v>9398</v>
      </c>
      <c r="H454" s="15" t="s">
        <v>322</v>
      </c>
      <c r="I454" s="15" t="s">
        <v>323</v>
      </c>
      <c r="J454" s="15" t="s">
        <v>413</v>
      </c>
      <c r="K454" s="15" t="s">
        <v>3831</v>
      </c>
      <c r="L454" s="15" t="s">
        <v>242</v>
      </c>
      <c r="M454" s="15" t="s">
        <v>9399</v>
      </c>
      <c r="N454" s="15" t="s">
        <v>147</v>
      </c>
      <c r="O454" s="17">
        <v>2.5</v>
      </c>
      <c r="P454" s="15" t="s">
        <v>148</v>
      </c>
      <c r="Q454" s="15" t="s">
        <v>149</v>
      </c>
      <c r="R454" s="15" t="s">
        <v>174</v>
      </c>
      <c r="S454" s="15" t="s">
        <v>9400</v>
      </c>
      <c r="T454" s="18" t="s">
        <v>138</v>
      </c>
      <c r="U454" s="15" t="s">
        <v>138</v>
      </c>
      <c r="V454" s="15" t="s">
        <v>138</v>
      </c>
      <c r="W454" s="15" t="s">
        <v>138</v>
      </c>
      <c r="X454" s="19">
        <v>2016</v>
      </c>
      <c r="Y454" s="15" t="s">
        <v>138</v>
      </c>
      <c r="Z454" s="15" t="s">
        <v>138</v>
      </c>
      <c r="AA454" s="15" t="s">
        <v>138</v>
      </c>
      <c r="AB454" s="20" t="s">
        <v>138</v>
      </c>
      <c r="AC454" s="20" t="s">
        <v>138</v>
      </c>
      <c r="AD454" s="20" t="s">
        <v>138</v>
      </c>
      <c r="AE454" s="20" t="s">
        <v>138</v>
      </c>
      <c r="AF454" s="20" t="s">
        <v>138</v>
      </c>
      <c r="AG454" s="15" t="s">
        <v>138</v>
      </c>
      <c r="AH454" s="20" t="s">
        <v>138</v>
      </c>
      <c r="AI454" s="20" t="s">
        <v>138</v>
      </c>
      <c r="AJ454" s="20" t="s">
        <v>138</v>
      </c>
      <c r="AK454" s="15" t="s">
        <v>9401</v>
      </c>
      <c r="AL454" s="15" t="s">
        <v>9402</v>
      </c>
      <c r="AM454" s="15" t="s">
        <v>1632</v>
      </c>
      <c r="AN454" s="15" t="s">
        <v>9403</v>
      </c>
      <c r="AO454" s="15" t="s">
        <v>138</v>
      </c>
      <c r="AP454" s="15" t="s">
        <v>1292</v>
      </c>
      <c r="AQ454" s="15" t="s">
        <v>9404</v>
      </c>
      <c r="AR454" s="15" t="s">
        <v>667</v>
      </c>
      <c r="AS454" s="15" t="s">
        <v>1294</v>
      </c>
      <c r="AT454" s="15" t="s">
        <v>864</v>
      </c>
      <c r="AU454" s="15" t="s">
        <v>8420</v>
      </c>
      <c r="AV454" s="15" t="s">
        <v>162</v>
      </c>
      <c r="AW454" s="15" t="s">
        <v>138</v>
      </c>
      <c r="AX454" s="15" t="s">
        <v>138</v>
      </c>
      <c r="AY454" s="15" t="s">
        <v>9405</v>
      </c>
      <c r="AZ454" s="15" t="s">
        <v>164</v>
      </c>
      <c r="BA454" s="15" t="s">
        <v>165</v>
      </c>
      <c r="BB454" s="15" t="s">
        <v>9406</v>
      </c>
      <c r="BC454" s="15" t="s">
        <v>9407</v>
      </c>
      <c r="BD454" s="21">
        <v>1</v>
      </c>
      <c r="BE454" s="15" t="s">
        <v>138</v>
      </c>
      <c r="BF454" s="15" t="s">
        <v>138</v>
      </c>
      <c r="BG454" s="15" t="s">
        <v>138</v>
      </c>
      <c r="BH454" s="15" t="s">
        <v>9408</v>
      </c>
      <c r="BI454" s="15" t="s">
        <v>138</v>
      </c>
      <c r="BJ454" s="15" t="s">
        <v>138</v>
      </c>
      <c r="BK454" s="15" t="s">
        <v>138</v>
      </c>
      <c r="BL454" s="15" t="s">
        <v>138</v>
      </c>
      <c r="BM454" s="22">
        <v>42962</v>
      </c>
      <c r="BN454" s="17">
        <v>2.5</v>
      </c>
      <c r="BO454" s="15" t="s">
        <v>172</v>
      </c>
      <c r="BP454" s="17" t="s">
        <v>138</v>
      </c>
      <c r="BQ454" s="15" t="s">
        <v>138</v>
      </c>
      <c r="BR454" s="15" t="s">
        <v>205</v>
      </c>
      <c r="BS454" s="15" t="s">
        <v>138</v>
      </c>
      <c r="BT454" s="15" t="s">
        <v>138</v>
      </c>
      <c r="BU454" s="15" t="s">
        <v>174</v>
      </c>
      <c r="BV454" s="15" t="s">
        <v>138</v>
      </c>
      <c r="BW454" s="15" t="s">
        <v>138</v>
      </c>
      <c r="BX454" s="15" t="s">
        <v>138</v>
      </c>
      <c r="BY454" s="15" t="s">
        <v>175</v>
      </c>
      <c r="BZ454" s="22">
        <v>42962</v>
      </c>
      <c r="CA454" s="17">
        <v>2.5</v>
      </c>
      <c r="CB454" s="15" t="s">
        <v>172</v>
      </c>
      <c r="CC454" s="17" t="s">
        <v>138</v>
      </c>
      <c r="CD454" s="15" t="s">
        <v>138</v>
      </c>
      <c r="CE454" s="15" t="s">
        <v>205</v>
      </c>
      <c r="CF454" s="15" t="s">
        <v>138</v>
      </c>
      <c r="CG454" s="15" t="s">
        <v>138</v>
      </c>
      <c r="CH454" s="15" t="s">
        <v>174</v>
      </c>
      <c r="CI454" s="15" t="s">
        <v>138</v>
      </c>
      <c r="CJ454" s="15" t="s">
        <v>138</v>
      </c>
      <c r="CK454" s="15" t="s">
        <v>138</v>
      </c>
      <c r="CL454" s="15" t="s">
        <v>175</v>
      </c>
      <c r="CM454" s="22" t="s">
        <v>138</v>
      </c>
      <c r="CN454" s="17" t="s">
        <v>138</v>
      </c>
      <c r="CO454" s="23">
        <v>-1.33</v>
      </c>
      <c r="CP454" s="24">
        <v>9</v>
      </c>
      <c r="CQ454" s="23">
        <v>0.24</v>
      </c>
      <c r="CR454" s="23">
        <v>15.08</v>
      </c>
      <c r="CS454" s="23">
        <v>-4.0999999999999996</v>
      </c>
      <c r="CT454" s="24">
        <v>3</v>
      </c>
      <c r="CU454" s="23">
        <v>0.1</v>
      </c>
      <c r="CV454" s="24">
        <v>68</v>
      </c>
      <c r="CW454" s="23">
        <v>-8.1999999999999993</v>
      </c>
      <c r="CX454" s="24">
        <v>1</v>
      </c>
      <c r="CY454" s="23">
        <v>0</v>
      </c>
      <c r="CZ454" s="24">
        <v>25</v>
      </c>
      <c r="DA454" s="23" t="s">
        <v>138</v>
      </c>
      <c r="DB454" s="24" t="s">
        <v>138</v>
      </c>
      <c r="DC454" s="25">
        <v>1.91</v>
      </c>
      <c r="DD454" s="24">
        <v>66</v>
      </c>
      <c r="DE454" s="25">
        <v>-0.11</v>
      </c>
      <c r="DF454" s="23">
        <v>-5.26</v>
      </c>
      <c r="DG454" s="25">
        <v>3.16</v>
      </c>
      <c r="DH454" s="24">
        <v>75</v>
      </c>
      <c r="DI454" s="25">
        <v>2.2999999999999998</v>
      </c>
      <c r="DJ454" s="24">
        <v>65</v>
      </c>
      <c r="DK454" s="25">
        <v>5.09</v>
      </c>
      <c r="DL454" s="24">
        <v>79</v>
      </c>
      <c r="DM454" s="25">
        <v>1.24</v>
      </c>
      <c r="DN454" s="24">
        <v>55</v>
      </c>
      <c r="DO454" s="25" t="s">
        <v>138</v>
      </c>
      <c r="DP454" s="24" t="s">
        <v>138</v>
      </c>
      <c r="DQ454" s="24">
        <v>1941</v>
      </c>
      <c r="DR454" s="26">
        <v>-590</v>
      </c>
      <c r="DS454" s="23">
        <v>-23.31</v>
      </c>
      <c r="DT454" s="24">
        <v>36</v>
      </c>
      <c r="DU454" s="26">
        <v>0</v>
      </c>
      <c r="DV454" s="23">
        <v>0</v>
      </c>
      <c r="DW454" s="24" t="s">
        <v>138</v>
      </c>
      <c r="DX454" s="27" t="s">
        <v>138</v>
      </c>
      <c r="DY454" s="23" t="s">
        <v>138</v>
      </c>
      <c r="DZ454" s="15" t="s">
        <v>178</v>
      </c>
      <c r="EA454" s="22">
        <v>43622</v>
      </c>
      <c r="EB454" s="17" t="s">
        <v>138</v>
      </c>
      <c r="EC454" s="22" t="s">
        <v>138</v>
      </c>
      <c r="ED454" s="15" t="s">
        <v>138</v>
      </c>
      <c r="EE454" s="14" t="str">
        <f>HYPERLINK("https://my.pitchbook.com?c=180803-35", "View company online")</f>
        <v>View company online</v>
      </c>
    </row>
    <row r="455" spans="1:135">
      <c r="A455" s="28" t="s">
        <v>9409</v>
      </c>
      <c r="B455" s="28" t="s">
        <v>9410</v>
      </c>
      <c r="C455" s="28" t="s">
        <v>138</v>
      </c>
      <c r="D455" s="28" t="s">
        <v>138</v>
      </c>
      <c r="E455" s="28" t="s">
        <v>9411</v>
      </c>
      <c r="F455" s="28" t="s">
        <v>9409</v>
      </c>
      <c r="G455" s="28" t="s">
        <v>9412</v>
      </c>
      <c r="H455" s="28" t="s">
        <v>238</v>
      </c>
      <c r="I455" s="28" t="s">
        <v>1351</v>
      </c>
      <c r="J455" s="28" t="s">
        <v>1352</v>
      </c>
      <c r="K455" s="28" t="s">
        <v>9413</v>
      </c>
      <c r="L455" s="28" t="s">
        <v>9414</v>
      </c>
      <c r="M455" s="28" t="s">
        <v>9415</v>
      </c>
      <c r="N455" s="28" t="s">
        <v>147</v>
      </c>
      <c r="O455" s="29">
        <v>70.2</v>
      </c>
      <c r="P455" s="28" t="s">
        <v>148</v>
      </c>
      <c r="Q455" s="28" t="s">
        <v>149</v>
      </c>
      <c r="R455" s="28" t="s">
        <v>174</v>
      </c>
      <c r="S455" s="28" t="s">
        <v>9416</v>
      </c>
      <c r="T455" s="30">
        <v>50</v>
      </c>
      <c r="U455" s="28" t="s">
        <v>9417</v>
      </c>
      <c r="V455" s="28" t="s">
        <v>138</v>
      </c>
      <c r="W455" s="28" t="s">
        <v>138</v>
      </c>
      <c r="X455" s="31">
        <v>2014</v>
      </c>
      <c r="Y455" s="28" t="s">
        <v>138</v>
      </c>
      <c r="Z455" s="28" t="s">
        <v>138</v>
      </c>
      <c r="AA455" s="28" t="s">
        <v>138</v>
      </c>
      <c r="AB455" s="32" t="s">
        <v>138</v>
      </c>
      <c r="AC455" s="32" t="s">
        <v>138</v>
      </c>
      <c r="AD455" s="32" t="s">
        <v>138</v>
      </c>
      <c r="AE455" s="32" t="s">
        <v>138</v>
      </c>
      <c r="AF455" s="32" t="s">
        <v>138</v>
      </c>
      <c r="AG455" s="28" t="s">
        <v>138</v>
      </c>
      <c r="AH455" s="32" t="s">
        <v>138</v>
      </c>
      <c r="AI455" s="32" t="s">
        <v>138</v>
      </c>
      <c r="AJ455" s="32" t="s">
        <v>138</v>
      </c>
      <c r="AK455" s="28" t="s">
        <v>9418</v>
      </c>
      <c r="AL455" s="28" t="s">
        <v>9419</v>
      </c>
      <c r="AM455" s="28" t="s">
        <v>304</v>
      </c>
      <c r="AN455" s="28" t="s">
        <v>9420</v>
      </c>
      <c r="AO455" s="28" t="s">
        <v>138</v>
      </c>
      <c r="AP455" s="28" t="s">
        <v>307</v>
      </c>
      <c r="AQ455" s="28" t="s">
        <v>9421</v>
      </c>
      <c r="AR455" s="28" t="s">
        <v>138</v>
      </c>
      <c r="AS455" s="28" t="s">
        <v>310</v>
      </c>
      <c r="AT455" s="28" t="s">
        <v>200</v>
      </c>
      <c r="AU455" s="28" t="s">
        <v>138</v>
      </c>
      <c r="AV455" s="28" t="s">
        <v>162</v>
      </c>
      <c r="AW455" s="28" t="s">
        <v>138</v>
      </c>
      <c r="AX455" s="28" t="s">
        <v>138</v>
      </c>
      <c r="AY455" s="28" t="s">
        <v>9422</v>
      </c>
      <c r="AZ455" s="28" t="s">
        <v>164</v>
      </c>
      <c r="BA455" s="28" t="s">
        <v>165</v>
      </c>
      <c r="BB455" s="28" t="s">
        <v>9423</v>
      </c>
      <c r="BC455" s="28" t="s">
        <v>9424</v>
      </c>
      <c r="BD455" s="33">
        <v>7</v>
      </c>
      <c r="BE455" s="28" t="s">
        <v>138</v>
      </c>
      <c r="BF455" s="28" t="s">
        <v>138</v>
      </c>
      <c r="BG455" s="28" t="s">
        <v>138</v>
      </c>
      <c r="BH455" s="28" t="s">
        <v>9425</v>
      </c>
      <c r="BI455" s="28" t="s">
        <v>138</v>
      </c>
      <c r="BJ455" s="28" t="s">
        <v>138</v>
      </c>
      <c r="BK455" s="28" t="s">
        <v>9426</v>
      </c>
      <c r="BL455" s="28" t="s">
        <v>5213</v>
      </c>
      <c r="BM455" s="34">
        <v>42019</v>
      </c>
      <c r="BN455" s="29">
        <v>3.2</v>
      </c>
      <c r="BO455" s="28" t="s">
        <v>172</v>
      </c>
      <c r="BP455" s="29">
        <v>13.22</v>
      </c>
      <c r="BQ455" s="28" t="s">
        <v>172</v>
      </c>
      <c r="BR455" s="28" t="s">
        <v>234</v>
      </c>
      <c r="BS455" s="28" t="s">
        <v>234</v>
      </c>
      <c r="BT455" s="28" t="s">
        <v>138</v>
      </c>
      <c r="BU455" s="28" t="s">
        <v>174</v>
      </c>
      <c r="BV455" s="28" t="s">
        <v>138</v>
      </c>
      <c r="BW455" s="28" t="s">
        <v>138</v>
      </c>
      <c r="BX455" s="28" t="s">
        <v>138</v>
      </c>
      <c r="BY455" s="28" t="s">
        <v>175</v>
      </c>
      <c r="BZ455" s="34">
        <v>43144</v>
      </c>
      <c r="CA455" s="29">
        <v>42</v>
      </c>
      <c r="CB455" s="28" t="s">
        <v>172</v>
      </c>
      <c r="CC455" s="29">
        <v>222</v>
      </c>
      <c r="CD455" s="28" t="s">
        <v>172</v>
      </c>
      <c r="CE455" s="28" t="s">
        <v>205</v>
      </c>
      <c r="CF455" s="28" t="s">
        <v>720</v>
      </c>
      <c r="CG455" s="28" t="s">
        <v>138</v>
      </c>
      <c r="CH455" s="28" t="s">
        <v>174</v>
      </c>
      <c r="CI455" s="28" t="s">
        <v>138</v>
      </c>
      <c r="CJ455" s="28" t="s">
        <v>138</v>
      </c>
      <c r="CK455" s="28" t="s">
        <v>138</v>
      </c>
      <c r="CL455" s="28" t="s">
        <v>175</v>
      </c>
      <c r="CM455" s="34" t="s">
        <v>138</v>
      </c>
      <c r="CN455" s="29" t="s">
        <v>138</v>
      </c>
      <c r="CO455" s="35">
        <v>-0.73</v>
      </c>
      <c r="CP455" s="36">
        <v>13</v>
      </c>
      <c r="CQ455" s="35">
        <v>-0.01</v>
      </c>
      <c r="CR455" s="35">
        <v>-1.51</v>
      </c>
      <c r="CS455" s="35">
        <v>-2.0299999999999998</v>
      </c>
      <c r="CT455" s="36">
        <v>9</v>
      </c>
      <c r="CU455" s="35">
        <v>0.53</v>
      </c>
      <c r="CV455" s="36">
        <v>94</v>
      </c>
      <c r="CW455" s="35">
        <v>-2.0299999999999998</v>
      </c>
      <c r="CX455" s="36">
        <v>7</v>
      </c>
      <c r="CY455" s="35" t="s">
        <v>138</v>
      </c>
      <c r="CZ455" s="36" t="s">
        <v>138</v>
      </c>
      <c r="DA455" s="35">
        <v>0.17</v>
      </c>
      <c r="DB455" s="36">
        <v>80</v>
      </c>
      <c r="DC455" s="37">
        <v>10.24</v>
      </c>
      <c r="DD455" s="36">
        <v>90</v>
      </c>
      <c r="DE455" s="37">
        <v>-0.91</v>
      </c>
      <c r="DF455" s="35">
        <v>-8.1999999999999993</v>
      </c>
      <c r="DG455" s="37">
        <v>21.8</v>
      </c>
      <c r="DH455" s="36">
        <v>95</v>
      </c>
      <c r="DI455" s="37">
        <v>8.64</v>
      </c>
      <c r="DJ455" s="36">
        <v>84</v>
      </c>
      <c r="DK455" s="37">
        <v>21.8</v>
      </c>
      <c r="DL455" s="36">
        <v>92</v>
      </c>
      <c r="DM455" s="37" t="s">
        <v>138</v>
      </c>
      <c r="DN455" s="36" t="s">
        <v>138</v>
      </c>
      <c r="DO455" s="37">
        <v>14.16</v>
      </c>
      <c r="DP455" s="36">
        <v>90</v>
      </c>
      <c r="DQ455" s="36">
        <v>7408</v>
      </c>
      <c r="DR455" s="38">
        <v>208</v>
      </c>
      <c r="DS455" s="35">
        <v>2.89</v>
      </c>
      <c r="DT455" s="36" t="s">
        <v>138</v>
      </c>
      <c r="DU455" s="38" t="s">
        <v>138</v>
      </c>
      <c r="DV455" s="35" t="s">
        <v>138</v>
      </c>
      <c r="DW455" s="36">
        <v>5070</v>
      </c>
      <c r="DX455" s="39">
        <v>6</v>
      </c>
      <c r="DY455" s="35">
        <v>0.12</v>
      </c>
      <c r="DZ455" s="28" t="s">
        <v>178</v>
      </c>
      <c r="EA455" s="34">
        <v>43351</v>
      </c>
      <c r="EB455" s="29">
        <v>222</v>
      </c>
      <c r="EC455" s="34">
        <v>43144</v>
      </c>
      <c r="ED455" s="28" t="s">
        <v>205</v>
      </c>
      <c r="EE455" s="40" t="str">
        <f>HYPERLINK("https://my.pitchbook.com?c=107147-08", "View company online")</f>
        <v>View company online</v>
      </c>
    </row>
    <row r="456" spans="1:135">
      <c r="A456" s="15" t="s">
        <v>9427</v>
      </c>
      <c r="B456" s="15" t="s">
        <v>9428</v>
      </c>
      <c r="C456" s="15" t="s">
        <v>138</v>
      </c>
      <c r="D456" s="15" t="s">
        <v>138</v>
      </c>
      <c r="E456" s="15" t="s">
        <v>9429</v>
      </c>
      <c r="F456" s="15" t="s">
        <v>9427</v>
      </c>
      <c r="G456" s="15" t="s">
        <v>9430</v>
      </c>
      <c r="H456" s="15" t="s">
        <v>322</v>
      </c>
      <c r="I456" s="15" t="s">
        <v>323</v>
      </c>
      <c r="J456" s="15" t="s">
        <v>1235</v>
      </c>
      <c r="K456" s="15" t="s">
        <v>5304</v>
      </c>
      <c r="L456" s="15" t="s">
        <v>415</v>
      </c>
      <c r="M456" s="15" t="s">
        <v>9431</v>
      </c>
      <c r="N456" s="15" t="s">
        <v>1452</v>
      </c>
      <c r="O456" s="17">
        <v>31</v>
      </c>
      <c r="P456" s="15" t="s">
        <v>148</v>
      </c>
      <c r="Q456" s="15" t="s">
        <v>149</v>
      </c>
      <c r="R456" s="15" t="s">
        <v>328</v>
      </c>
      <c r="S456" s="15" t="s">
        <v>9432</v>
      </c>
      <c r="T456" s="18">
        <v>138</v>
      </c>
      <c r="U456" s="15" t="s">
        <v>9433</v>
      </c>
      <c r="V456" s="15" t="s">
        <v>138</v>
      </c>
      <c r="W456" s="15" t="s">
        <v>138</v>
      </c>
      <c r="X456" s="19">
        <v>2013</v>
      </c>
      <c r="Y456" s="15" t="s">
        <v>138</v>
      </c>
      <c r="Z456" s="15" t="s">
        <v>138</v>
      </c>
      <c r="AA456" s="15" t="s">
        <v>138</v>
      </c>
      <c r="AB456" s="20">
        <v>14.1</v>
      </c>
      <c r="AC456" s="20" t="s">
        <v>138</v>
      </c>
      <c r="AD456" s="20" t="s">
        <v>138</v>
      </c>
      <c r="AE456" s="20" t="s">
        <v>138</v>
      </c>
      <c r="AF456" s="20" t="s">
        <v>138</v>
      </c>
      <c r="AG456" s="15" t="s">
        <v>419</v>
      </c>
      <c r="AH456" s="20" t="s">
        <v>138</v>
      </c>
      <c r="AI456" s="20" t="s">
        <v>138</v>
      </c>
      <c r="AJ456" s="20" t="s">
        <v>138</v>
      </c>
      <c r="AK456" s="15" t="s">
        <v>9434</v>
      </c>
      <c r="AL456" s="15" t="s">
        <v>9435</v>
      </c>
      <c r="AM456" s="15" t="s">
        <v>444</v>
      </c>
      <c r="AN456" s="15" t="s">
        <v>9436</v>
      </c>
      <c r="AO456" s="15" t="s">
        <v>9437</v>
      </c>
      <c r="AP456" s="15" t="s">
        <v>9438</v>
      </c>
      <c r="AQ456" s="15" t="s">
        <v>9439</v>
      </c>
      <c r="AR456" s="15" t="s">
        <v>3138</v>
      </c>
      <c r="AS456" s="15" t="s">
        <v>9440</v>
      </c>
      <c r="AT456" s="15" t="s">
        <v>3182</v>
      </c>
      <c r="AU456" s="15" t="s">
        <v>9441</v>
      </c>
      <c r="AV456" s="15" t="s">
        <v>162</v>
      </c>
      <c r="AW456" s="15" t="s">
        <v>9437</v>
      </c>
      <c r="AX456" s="15" t="s">
        <v>138</v>
      </c>
      <c r="AY456" s="15" t="s">
        <v>9442</v>
      </c>
      <c r="AZ456" s="15" t="s">
        <v>164</v>
      </c>
      <c r="BA456" s="15" t="s">
        <v>165</v>
      </c>
      <c r="BB456" s="15" t="s">
        <v>9443</v>
      </c>
      <c r="BC456" s="15" t="s">
        <v>9444</v>
      </c>
      <c r="BD456" s="21">
        <v>5</v>
      </c>
      <c r="BE456" s="15" t="s">
        <v>138</v>
      </c>
      <c r="BF456" s="15" t="s">
        <v>138</v>
      </c>
      <c r="BG456" s="15" t="s">
        <v>138</v>
      </c>
      <c r="BH456" s="15" t="s">
        <v>9445</v>
      </c>
      <c r="BI456" s="15" t="s">
        <v>138</v>
      </c>
      <c r="BJ456" s="15" t="s">
        <v>138</v>
      </c>
      <c r="BK456" s="15" t="s">
        <v>9446</v>
      </c>
      <c r="BL456" s="15" t="s">
        <v>204</v>
      </c>
      <c r="BM456" s="22" t="s">
        <v>138</v>
      </c>
      <c r="BN456" s="17">
        <v>1</v>
      </c>
      <c r="BO456" s="15" t="s">
        <v>172</v>
      </c>
      <c r="BP456" s="17" t="s">
        <v>138</v>
      </c>
      <c r="BQ456" s="15" t="s">
        <v>138</v>
      </c>
      <c r="BR456" s="15" t="s">
        <v>262</v>
      </c>
      <c r="BS456" s="15" t="s">
        <v>262</v>
      </c>
      <c r="BT456" s="15" t="s">
        <v>138</v>
      </c>
      <c r="BU456" s="15" t="s">
        <v>263</v>
      </c>
      <c r="BV456" s="15" t="s">
        <v>138</v>
      </c>
      <c r="BW456" s="15" t="s">
        <v>138</v>
      </c>
      <c r="BX456" s="15" t="s">
        <v>138</v>
      </c>
      <c r="BY456" s="15" t="s">
        <v>175</v>
      </c>
      <c r="BZ456" s="22">
        <v>43571</v>
      </c>
      <c r="CA456" s="17" t="s">
        <v>138</v>
      </c>
      <c r="CB456" s="15" t="s">
        <v>138</v>
      </c>
      <c r="CC456" s="17" t="s">
        <v>138</v>
      </c>
      <c r="CD456" s="15" t="s">
        <v>138</v>
      </c>
      <c r="CE456" s="15" t="s">
        <v>349</v>
      </c>
      <c r="CF456" s="15" t="s">
        <v>9447</v>
      </c>
      <c r="CG456" s="15" t="s">
        <v>138</v>
      </c>
      <c r="CH456" s="15" t="s">
        <v>351</v>
      </c>
      <c r="CI456" s="15" t="s">
        <v>138</v>
      </c>
      <c r="CJ456" s="15" t="s">
        <v>138</v>
      </c>
      <c r="CK456" s="15" t="s">
        <v>138</v>
      </c>
      <c r="CL456" s="15" t="s">
        <v>175</v>
      </c>
      <c r="CM456" s="22" t="s">
        <v>138</v>
      </c>
      <c r="CN456" s="17" t="s">
        <v>138</v>
      </c>
      <c r="CO456" s="23">
        <v>-1.79</v>
      </c>
      <c r="CP456" s="24">
        <v>6</v>
      </c>
      <c r="CQ456" s="23">
        <v>0</v>
      </c>
      <c r="CR456" s="23">
        <v>0.2</v>
      </c>
      <c r="CS456" s="23">
        <v>-3.56</v>
      </c>
      <c r="CT456" s="24">
        <v>4</v>
      </c>
      <c r="CU456" s="23">
        <v>-0.03</v>
      </c>
      <c r="CV456" s="24">
        <v>14</v>
      </c>
      <c r="CW456" s="23">
        <v>-3.56</v>
      </c>
      <c r="CX456" s="24">
        <v>4</v>
      </c>
      <c r="CY456" s="23" t="s">
        <v>138</v>
      </c>
      <c r="CZ456" s="24" t="s">
        <v>138</v>
      </c>
      <c r="DA456" s="23">
        <v>-0.03</v>
      </c>
      <c r="DB456" s="24">
        <v>17</v>
      </c>
      <c r="DC456" s="25">
        <v>7.15</v>
      </c>
      <c r="DD456" s="24">
        <v>87</v>
      </c>
      <c r="DE456" s="25">
        <v>-0.27</v>
      </c>
      <c r="DF456" s="23">
        <v>-3.7</v>
      </c>
      <c r="DG456" s="25">
        <v>4.6500000000000004</v>
      </c>
      <c r="DH456" s="24">
        <v>81</v>
      </c>
      <c r="DI456" s="25">
        <v>9.65</v>
      </c>
      <c r="DJ456" s="24">
        <v>85</v>
      </c>
      <c r="DK456" s="25">
        <v>4.6500000000000004</v>
      </c>
      <c r="DL456" s="24">
        <v>78</v>
      </c>
      <c r="DM456" s="25" t="s">
        <v>138</v>
      </c>
      <c r="DN456" s="24" t="s">
        <v>138</v>
      </c>
      <c r="DO456" s="25">
        <v>9.65</v>
      </c>
      <c r="DP456" s="24">
        <v>87</v>
      </c>
      <c r="DQ456" s="24">
        <v>1638</v>
      </c>
      <c r="DR456" s="26">
        <v>-128</v>
      </c>
      <c r="DS456" s="23">
        <v>-7.25</v>
      </c>
      <c r="DT456" s="24" t="s">
        <v>138</v>
      </c>
      <c r="DU456" s="26" t="s">
        <v>138</v>
      </c>
      <c r="DV456" s="23" t="s">
        <v>138</v>
      </c>
      <c r="DW456" s="24">
        <v>3454</v>
      </c>
      <c r="DX456" s="27">
        <v>0</v>
      </c>
      <c r="DY456" s="23">
        <v>0</v>
      </c>
      <c r="DZ456" s="15" t="s">
        <v>178</v>
      </c>
      <c r="EA456" s="22">
        <v>43622</v>
      </c>
      <c r="EB456" s="17">
        <v>150</v>
      </c>
      <c r="EC456" s="22">
        <v>42797</v>
      </c>
      <c r="ED456" s="15" t="s">
        <v>205</v>
      </c>
      <c r="EE456" s="14" t="str">
        <f>HYPERLINK("https://my.pitchbook.com?c=90135-91", "View company online")</f>
        <v>View company online</v>
      </c>
    </row>
    <row r="457" spans="1:135">
      <c r="A457" s="28" t="s">
        <v>9448</v>
      </c>
      <c r="B457" s="28" t="s">
        <v>9449</v>
      </c>
      <c r="C457" s="28" t="s">
        <v>138</v>
      </c>
      <c r="D457" s="28" t="s">
        <v>9450</v>
      </c>
      <c r="E457" s="28" t="s">
        <v>9451</v>
      </c>
      <c r="F457" s="28" t="s">
        <v>9448</v>
      </c>
      <c r="G457" s="28" t="s">
        <v>9452</v>
      </c>
      <c r="H457" s="28" t="s">
        <v>322</v>
      </c>
      <c r="I457" s="28" t="s">
        <v>1208</v>
      </c>
      <c r="J457" s="28" t="s">
        <v>1209</v>
      </c>
      <c r="K457" s="28" t="s">
        <v>9453</v>
      </c>
      <c r="L457" s="28" t="s">
        <v>359</v>
      </c>
      <c r="M457" s="28" t="s">
        <v>9454</v>
      </c>
      <c r="N457" s="28" t="s">
        <v>147</v>
      </c>
      <c r="O457" s="29">
        <v>176.13</v>
      </c>
      <c r="P457" s="28" t="s">
        <v>148</v>
      </c>
      <c r="Q457" s="28" t="s">
        <v>149</v>
      </c>
      <c r="R457" s="28" t="s">
        <v>244</v>
      </c>
      <c r="S457" s="28" t="s">
        <v>9455</v>
      </c>
      <c r="T457" s="30">
        <v>100</v>
      </c>
      <c r="U457" s="28" t="s">
        <v>9456</v>
      </c>
      <c r="V457" s="28" t="s">
        <v>138</v>
      </c>
      <c r="W457" s="28" t="s">
        <v>138</v>
      </c>
      <c r="X457" s="31">
        <v>2009</v>
      </c>
      <c r="Y457" s="28" t="s">
        <v>138</v>
      </c>
      <c r="Z457" s="28" t="s">
        <v>138</v>
      </c>
      <c r="AA457" s="28" t="s">
        <v>138</v>
      </c>
      <c r="AB457" s="32" t="s">
        <v>138</v>
      </c>
      <c r="AC457" s="32" t="s">
        <v>138</v>
      </c>
      <c r="AD457" s="32" t="s">
        <v>138</v>
      </c>
      <c r="AE457" s="32" t="s">
        <v>138</v>
      </c>
      <c r="AF457" s="32" t="s">
        <v>138</v>
      </c>
      <c r="AG457" s="28" t="s">
        <v>138</v>
      </c>
      <c r="AH457" s="32" t="s">
        <v>138</v>
      </c>
      <c r="AI457" s="32" t="s">
        <v>138</v>
      </c>
      <c r="AJ457" s="32" t="s">
        <v>138</v>
      </c>
      <c r="AK457" s="28" t="s">
        <v>9457</v>
      </c>
      <c r="AL457" s="28" t="s">
        <v>9458</v>
      </c>
      <c r="AM457" s="28" t="s">
        <v>7338</v>
      </c>
      <c r="AN457" s="28" t="s">
        <v>9459</v>
      </c>
      <c r="AO457" s="28" t="s">
        <v>9460</v>
      </c>
      <c r="AP457" s="28" t="s">
        <v>9461</v>
      </c>
      <c r="AQ457" s="28" t="s">
        <v>9462</v>
      </c>
      <c r="AR457" s="28" t="s">
        <v>1459</v>
      </c>
      <c r="AS457" s="28" t="s">
        <v>9463</v>
      </c>
      <c r="AT457" s="28" t="s">
        <v>9464</v>
      </c>
      <c r="AU457" s="28" t="s">
        <v>9465</v>
      </c>
      <c r="AV457" s="28" t="s">
        <v>162</v>
      </c>
      <c r="AW457" s="28" t="s">
        <v>9460</v>
      </c>
      <c r="AX457" s="28" t="s">
        <v>138</v>
      </c>
      <c r="AY457" s="28" t="s">
        <v>9466</v>
      </c>
      <c r="AZ457" s="28" t="s">
        <v>164</v>
      </c>
      <c r="BA457" s="28" t="s">
        <v>165</v>
      </c>
      <c r="BB457" s="28" t="s">
        <v>9467</v>
      </c>
      <c r="BC457" s="28" t="s">
        <v>9468</v>
      </c>
      <c r="BD457" s="33">
        <v>11</v>
      </c>
      <c r="BE457" s="28" t="s">
        <v>138</v>
      </c>
      <c r="BF457" s="28" t="s">
        <v>138</v>
      </c>
      <c r="BG457" s="28" t="s">
        <v>138</v>
      </c>
      <c r="BH457" s="28" t="s">
        <v>9469</v>
      </c>
      <c r="BI457" s="28" t="s">
        <v>138</v>
      </c>
      <c r="BJ457" s="28" t="s">
        <v>138</v>
      </c>
      <c r="BK457" s="28" t="s">
        <v>9470</v>
      </c>
      <c r="BL457" s="28" t="s">
        <v>9471</v>
      </c>
      <c r="BM457" s="34">
        <v>40644</v>
      </c>
      <c r="BN457" s="29">
        <v>2.1</v>
      </c>
      <c r="BO457" s="28" t="s">
        <v>172</v>
      </c>
      <c r="BP457" s="29">
        <v>4.0999999999999996</v>
      </c>
      <c r="BQ457" s="28" t="s">
        <v>172</v>
      </c>
      <c r="BR457" s="28" t="s">
        <v>234</v>
      </c>
      <c r="BS457" s="28" t="s">
        <v>206</v>
      </c>
      <c r="BT457" s="28" t="s">
        <v>138</v>
      </c>
      <c r="BU457" s="28" t="s">
        <v>174</v>
      </c>
      <c r="BV457" s="28" t="s">
        <v>138</v>
      </c>
      <c r="BW457" s="28" t="s">
        <v>138</v>
      </c>
      <c r="BX457" s="28" t="s">
        <v>138</v>
      </c>
      <c r="BY457" s="28" t="s">
        <v>175</v>
      </c>
      <c r="BZ457" s="34">
        <v>43187</v>
      </c>
      <c r="CA457" s="29">
        <v>38.33</v>
      </c>
      <c r="CB457" s="28" t="s">
        <v>172</v>
      </c>
      <c r="CC457" s="29">
        <v>730</v>
      </c>
      <c r="CD457" s="28" t="s">
        <v>1178</v>
      </c>
      <c r="CE457" s="28" t="s">
        <v>173</v>
      </c>
      <c r="CF457" s="28" t="s">
        <v>2830</v>
      </c>
      <c r="CG457" s="28" t="s">
        <v>138</v>
      </c>
      <c r="CH457" s="28" t="s">
        <v>174</v>
      </c>
      <c r="CI457" s="28" t="s">
        <v>138</v>
      </c>
      <c r="CJ457" s="28" t="s">
        <v>138</v>
      </c>
      <c r="CK457" s="28" t="s">
        <v>138</v>
      </c>
      <c r="CL457" s="28" t="s">
        <v>175</v>
      </c>
      <c r="CM457" s="34">
        <v>40909</v>
      </c>
      <c r="CN457" s="29" t="s">
        <v>138</v>
      </c>
      <c r="CO457" s="35">
        <v>-1.99</v>
      </c>
      <c r="CP457" s="36">
        <v>5</v>
      </c>
      <c r="CQ457" s="35">
        <v>-0.17</v>
      </c>
      <c r="CR457" s="35">
        <v>-9.52</v>
      </c>
      <c r="CS457" s="35">
        <v>-1.99</v>
      </c>
      <c r="CT457" s="36">
        <v>9</v>
      </c>
      <c r="CU457" s="35" t="s">
        <v>138</v>
      </c>
      <c r="CV457" s="36" t="s">
        <v>138</v>
      </c>
      <c r="CW457" s="35">
        <v>0</v>
      </c>
      <c r="CX457" s="36">
        <v>13</v>
      </c>
      <c r="CY457" s="35">
        <v>-3.97</v>
      </c>
      <c r="CZ457" s="36">
        <v>5</v>
      </c>
      <c r="DA457" s="35" t="s">
        <v>138</v>
      </c>
      <c r="DB457" s="36" t="s">
        <v>138</v>
      </c>
      <c r="DC457" s="37">
        <v>2.36</v>
      </c>
      <c r="DD457" s="36">
        <v>70</v>
      </c>
      <c r="DE457" s="37">
        <v>-0.05</v>
      </c>
      <c r="DF457" s="35">
        <v>-1.91</v>
      </c>
      <c r="DG457" s="37">
        <v>2.36</v>
      </c>
      <c r="DH457" s="36">
        <v>70</v>
      </c>
      <c r="DI457" s="37" t="s">
        <v>138</v>
      </c>
      <c r="DJ457" s="36" t="s">
        <v>138</v>
      </c>
      <c r="DK457" s="37">
        <v>0.45</v>
      </c>
      <c r="DL457" s="36">
        <v>32</v>
      </c>
      <c r="DM457" s="37">
        <v>4.28</v>
      </c>
      <c r="DN457" s="36">
        <v>79</v>
      </c>
      <c r="DO457" s="37" t="s">
        <v>138</v>
      </c>
      <c r="DP457" s="36" t="s">
        <v>138</v>
      </c>
      <c r="DQ457" s="36">
        <v>157</v>
      </c>
      <c r="DR457" s="38">
        <v>-13</v>
      </c>
      <c r="DS457" s="35">
        <v>-7.65</v>
      </c>
      <c r="DT457" s="36">
        <v>124</v>
      </c>
      <c r="DU457" s="38">
        <v>-2</v>
      </c>
      <c r="DV457" s="35">
        <v>-1.59</v>
      </c>
      <c r="DW457" s="36" t="s">
        <v>138</v>
      </c>
      <c r="DX457" s="39" t="s">
        <v>138</v>
      </c>
      <c r="DY457" s="35" t="s">
        <v>138</v>
      </c>
      <c r="DZ457" s="28" t="s">
        <v>178</v>
      </c>
      <c r="EA457" s="34">
        <v>43622</v>
      </c>
      <c r="EB457" s="29">
        <v>730</v>
      </c>
      <c r="EC457" s="34">
        <v>43187</v>
      </c>
      <c r="ED457" s="28" t="s">
        <v>173</v>
      </c>
      <c r="EE457" s="40" t="str">
        <f>HYPERLINK("https://my.pitchbook.com?c=51361-84", "View company online")</f>
        <v>View company online</v>
      </c>
    </row>
    <row r="458" spans="1:135">
      <c r="A458" s="15" t="s">
        <v>9472</v>
      </c>
      <c r="B458" s="15" t="s">
        <v>9473</v>
      </c>
      <c r="C458" s="15" t="s">
        <v>138</v>
      </c>
      <c r="D458" s="15" t="s">
        <v>138</v>
      </c>
      <c r="E458" s="15" t="s">
        <v>9474</v>
      </c>
      <c r="F458" s="15" t="s">
        <v>9472</v>
      </c>
      <c r="G458" s="15" t="s">
        <v>9475</v>
      </c>
      <c r="H458" s="15" t="s">
        <v>322</v>
      </c>
      <c r="I458" s="15" t="s">
        <v>807</v>
      </c>
      <c r="J458" s="15" t="s">
        <v>1102</v>
      </c>
      <c r="K458" s="15" t="s">
        <v>9476</v>
      </c>
      <c r="L458" s="15" t="s">
        <v>2043</v>
      </c>
      <c r="M458" s="15" t="s">
        <v>9477</v>
      </c>
      <c r="N458" s="15" t="s">
        <v>147</v>
      </c>
      <c r="O458" s="17">
        <v>30.26</v>
      </c>
      <c r="P458" s="15" t="s">
        <v>148</v>
      </c>
      <c r="Q458" s="15" t="s">
        <v>149</v>
      </c>
      <c r="R458" s="15" t="s">
        <v>244</v>
      </c>
      <c r="S458" s="15" t="s">
        <v>9478</v>
      </c>
      <c r="T458" s="18">
        <v>85</v>
      </c>
      <c r="U458" s="15" t="s">
        <v>9479</v>
      </c>
      <c r="V458" s="15" t="s">
        <v>138</v>
      </c>
      <c r="W458" s="15" t="s">
        <v>138</v>
      </c>
      <c r="X458" s="19">
        <v>2006</v>
      </c>
      <c r="Y458" s="15" t="s">
        <v>138</v>
      </c>
      <c r="Z458" s="15" t="s">
        <v>138</v>
      </c>
      <c r="AA458" s="15" t="s">
        <v>138</v>
      </c>
      <c r="AB458" s="20">
        <v>10.84</v>
      </c>
      <c r="AC458" s="20" t="s">
        <v>138</v>
      </c>
      <c r="AD458" s="20">
        <v>-1.22</v>
      </c>
      <c r="AE458" s="20" t="s">
        <v>138</v>
      </c>
      <c r="AF458" s="20">
        <v>-1.64</v>
      </c>
      <c r="AG458" s="15" t="s">
        <v>419</v>
      </c>
      <c r="AH458" s="20" t="s">
        <v>138</v>
      </c>
      <c r="AI458" s="20" t="s">
        <v>138</v>
      </c>
      <c r="AJ458" s="20" t="s">
        <v>138</v>
      </c>
      <c r="AK458" s="15" t="s">
        <v>9480</v>
      </c>
      <c r="AL458" s="15" t="s">
        <v>9481</v>
      </c>
      <c r="AM458" s="15" t="s">
        <v>9482</v>
      </c>
      <c r="AN458" s="15" t="s">
        <v>9483</v>
      </c>
      <c r="AO458" s="15" t="s">
        <v>9484</v>
      </c>
      <c r="AP458" s="15" t="s">
        <v>820</v>
      </c>
      <c r="AQ458" s="15" t="s">
        <v>9485</v>
      </c>
      <c r="AR458" s="15" t="s">
        <v>713</v>
      </c>
      <c r="AS458" s="15" t="s">
        <v>823</v>
      </c>
      <c r="AT458" s="15" t="s">
        <v>824</v>
      </c>
      <c r="AU458" s="15" t="s">
        <v>9486</v>
      </c>
      <c r="AV458" s="15" t="s">
        <v>526</v>
      </c>
      <c r="AW458" s="15" t="s">
        <v>9487</v>
      </c>
      <c r="AX458" s="15" t="s">
        <v>138</v>
      </c>
      <c r="AY458" s="15" t="s">
        <v>9488</v>
      </c>
      <c r="AZ458" s="15" t="s">
        <v>530</v>
      </c>
      <c r="BA458" s="15" t="s">
        <v>531</v>
      </c>
      <c r="BB458" s="15" t="s">
        <v>9489</v>
      </c>
      <c r="BC458" s="15" t="s">
        <v>9490</v>
      </c>
      <c r="BD458" s="21">
        <v>20</v>
      </c>
      <c r="BE458" s="15" t="s">
        <v>138</v>
      </c>
      <c r="BF458" s="15" t="s">
        <v>138</v>
      </c>
      <c r="BG458" s="15" t="s">
        <v>138</v>
      </c>
      <c r="BH458" s="15" t="s">
        <v>9491</v>
      </c>
      <c r="BI458" s="15" t="s">
        <v>138</v>
      </c>
      <c r="BJ458" s="15" t="s">
        <v>138</v>
      </c>
      <c r="BK458" s="15" t="s">
        <v>9492</v>
      </c>
      <c r="BL458" s="15" t="s">
        <v>9493</v>
      </c>
      <c r="BM458" s="22">
        <v>39448</v>
      </c>
      <c r="BN458" s="17" t="s">
        <v>138</v>
      </c>
      <c r="BO458" s="15" t="s">
        <v>138</v>
      </c>
      <c r="BP458" s="17" t="s">
        <v>138</v>
      </c>
      <c r="BQ458" s="15" t="s">
        <v>138</v>
      </c>
      <c r="BR458" s="15" t="s">
        <v>234</v>
      </c>
      <c r="BS458" s="15" t="s">
        <v>234</v>
      </c>
      <c r="BT458" s="15" t="s">
        <v>138</v>
      </c>
      <c r="BU458" s="15" t="s">
        <v>263</v>
      </c>
      <c r="BV458" s="15" t="s">
        <v>138</v>
      </c>
      <c r="BW458" s="15" t="s">
        <v>138</v>
      </c>
      <c r="BX458" s="15" t="s">
        <v>138</v>
      </c>
      <c r="BY458" s="15" t="s">
        <v>175</v>
      </c>
      <c r="BZ458" s="22" t="s">
        <v>138</v>
      </c>
      <c r="CA458" s="17" t="s">
        <v>138</v>
      </c>
      <c r="CB458" s="15" t="s">
        <v>138</v>
      </c>
      <c r="CC458" s="17" t="s">
        <v>138</v>
      </c>
      <c r="CD458" s="15" t="s">
        <v>138</v>
      </c>
      <c r="CE458" s="15" t="s">
        <v>316</v>
      </c>
      <c r="CF458" s="15" t="s">
        <v>138</v>
      </c>
      <c r="CG458" s="15" t="s">
        <v>138</v>
      </c>
      <c r="CH458" s="15" t="s">
        <v>177</v>
      </c>
      <c r="CI458" s="15" t="s">
        <v>138</v>
      </c>
      <c r="CJ458" s="15" t="s">
        <v>138</v>
      </c>
      <c r="CK458" s="15" t="s">
        <v>138</v>
      </c>
      <c r="CL458" s="15" t="s">
        <v>175</v>
      </c>
      <c r="CM458" s="22">
        <v>41709</v>
      </c>
      <c r="CN458" s="17">
        <v>2.4900000000000002</v>
      </c>
      <c r="CO458" s="23">
        <v>-1.22</v>
      </c>
      <c r="CP458" s="24">
        <v>9</v>
      </c>
      <c r="CQ458" s="23">
        <v>-0.02</v>
      </c>
      <c r="CR458" s="23">
        <v>-1.35</v>
      </c>
      <c r="CS458" s="23">
        <v>-2.4900000000000002</v>
      </c>
      <c r="CT458" s="24">
        <v>7</v>
      </c>
      <c r="CU458" s="23">
        <v>0.04</v>
      </c>
      <c r="CV458" s="24">
        <v>56</v>
      </c>
      <c r="CW458" s="23">
        <v>-0.24</v>
      </c>
      <c r="CX458" s="24">
        <v>12</v>
      </c>
      <c r="CY458" s="23">
        <v>-4.74</v>
      </c>
      <c r="CZ458" s="24">
        <v>3</v>
      </c>
      <c r="DA458" s="23">
        <v>0.04</v>
      </c>
      <c r="DB458" s="24">
        <v>62</v>
      </c>
      <c r="DC458" s="25">
        <v>26.53</v>
      </c>
      <c r="DD458" s="24">
        <v>96</v>
      </c>
      <c r="DE458" s="25">
        <v>-1.01</v>
      </c>
      <c r="DF458" s="23">
        <v>-3.68</v>
      </c>
      <c r="DG458" s="25">
        <v>27.98</v>
      </c>
      <c r="DH458" s="24">
        <v>96</v>
      </c>
      <c r="DI458" s="25">
        <v>25.08</v>
      </c>
      <c r="DJ458" s="24">
        <v>92</v>
      </c>
      <c r="DK458" s="25">
        <v>32.119999999999997</v>
      </c>
      <c r="DL458" s="24">
        <v>94</v>
      </c>
      <c r="DM458" s="25">
        <v>23.83</v>
      </c>
      <c r="DN458" s="24">
        <v>95</v>
      </c>
      <c r="DO458" s="25">
        <v>25.08</v>
      </c>
      <c r="DP458" s="24">
        <v>94</v>
      </c>
      <c r="DQ458" s="24">
        <v>11077</v>
      </c>
      <c r="DR458" s="26">
        <v>-178</v>
      </c>
      <c r="DS458" s="23">
        <v>-1.58</v>
      </c>
      <c r="DT458" s="24">
        <v>693</v>
      </c>
      <c r="DU458" s="26">
        <v>-4</v>
      </c>
      <c r="DV458" s="23">
        <v>-0.56999999999999995</v>
      </c>
      <c r="DW458" s="24">
        <v>8983</v>
      </c>
      <c r="DX458" s="27">
        <v>2</v>
      </c>
      <c r="DY458" s="23">
        <v>0.02</v>
      </c>
      <c r="DZ458" s="15" t="s">
        <v>178</v>
      </c>
      <c r="EA458" s="22">
        <v>43532</v>
      </c>
      <c r="EB458" s="17">
        <v>16.11</v>
      </c>
      <c r="EC458" s="22">
        <v>41939</v>
      </c>
      <c r="ED458" s="15" t="s">
        <v>173</v>
      </c>
      <c r="EE458" s="14" t="str">
        <f>HYPERLINK("https://my.pitchbook.com?c=53361-10", "View company online")</f>
        <v>View company online</v>
      </c>
    </row>
    <row r="459" spans="1:135">
      <c r="A459" s="28" t="s">
        <v>9494</v>
      </c>
      <c r="B459" s="28" t="s">
        <v>9495</v>
      </c>
      <c r="C459" s="28" t="s">
        <v>138</v>
      </c>
      <c r="D459" s="28" t="s">
        <v>138</v>
      </c>
      <c r="E459" s="28" t="s">
        <v>138</v>
      </c>
      <c r="F459" s="28" t="s">
        <v>9494</v>
      </c>
      <c r="G459" s="28" t="s">
        <v>9496</v>
      </c>
      <c r="H459" s="28" t="s">
        <v>322</v>
      </c>
      <c r="I459" s="28" t="s">
        <v>323</v>
      </c>
      <c r="J459" s="28" t="s">
        <v>9497</v>
      </c>
      <c r="K459" s="28" t="s">
        <v>9498</v>
      </c>
      <c r="L459" s="28" t="s">
        <v>1796</v>
      </c>
      <c r="M459" s="28" t="s">
        <v>9499</v>
      </c>
      <c r="N459" s="28" t="s">
        <v>147</v>
      </c>
      <c r="O459" s="29">
        <v>0.1</v>
      </c>
      <c r="P459" s="28" t="s">
        <v>148</v>
      </c>
      <c r="Q459" s="28" t="s">
        <v>149</v>
      </c>
      <c r="R459" s="28" t="s">
        <v>174</v>
      </c>
      <c r="S459" s="28" t="s">
        <v>9500</v>
      </c>
      <c r="T459" s="30">
        <v>34</v>
      </c>
      <c r="U459" s="28" t="s">
        <v>9501</v>
      </c>
      <c r="V459" s="28" t="s">
        <v>138</v>
      </c>
      <c r="W459" s="28" t="s">
        <v>138</v>
      </c>
      <c r="X459" s="31">
        <v>2012</v>
      </c>
      <c r="Y459" s="28" t="s">
        <v>138</v>
      </c>
      <c r="Z459" s="28" t="s">
        <v>138</v>
      </c>
      <c r="AA459" s="28" t="s">
        <v>138</v>
      </c>
      <c r="AB459" s="32" t="s">
        <v>138</v>
      </c>
      <c r="AC459" s="32" t="s">
        <v>138</v>
      </c>
      <c r="AD459" s="32" t="s">
        <v>138</v>
      </c>
      <c r="AE459" s="32" t="s">
        <v>138</v>
      </c>
      <c r="AF459" s="32" t="s">
        <v>138</v>
      </c>
      <c r="AG459" s="28" t="s">
        <v>138</v>
      </c>
      <c r="AH459" s="32" t="s">
        <v>138</v>
      </c>
      <c r="AI459" s="32" t="s">
        <v>138</v>
      </c>
      <c r="AJ459" s="32" t="s">
        <v>138</v>
      </c>
      <c r="AK459" s="28" t="s">
        <v>9502</v>
      </c>
      <c r="AL459" s="28" t="s">
        <v>9503</v>
      </c>
      <c r="AM459" s="28" t="s">
        <v>304</v>
      </c>
      <c r="AN459" s="28" t="s">
        <v>9504</v>
      </c>
      <c r="AO459" s="28" t="s">
        <v>138</v>
      </c>
      <c r="AP459" s="28" t="s">
        <v>665</v>
      </c>
      <c r="AQ459" s="28" t="s">
        <v>9505</v>
      </c>
      <c r="AR459" s="28" t="s">
        <v>282</v>
      </c>
      <c r="AS459" s="28" t="s">
        <v>668</v>
      </c>
      <c r="AT459" s="28" t="s">
        <v>200</v>
      </c>
      <c r="AU459" s="28" t="s">
        <v>1723</v>
      </c>
      <c r="AV459" s="28" t="s">
        <v>162</v>
      </c>
      <c r="AW459" s="28" t="s">
        <v>138</v>
      </c>
      <c r="AX459" s="28" t="s">
        <v>138</v>
      </c>
      <c r="AY459" s="28" t="s">
        <v>138</v>
      </c>
      <c r="AZ459" s="28" t="s">
        <v>164</v>
      </c>
      <c r="BA459" s="28" t="s">
        <v>165</v>
      </c>
      <c r="BB459" s="28" t="s">
        <v>9506</v>
      </c>
      <c r="BC459" s="28" t="s">
        <v>8373</v>
      </c>
      <c r="BD459" s="33">
        <v>1</v>
      </c>
      <c r="BE459" s="28" t="s">
        <v>138</v>
      </c>
      <c r="BF459" s="28" t="s">
        <v>138</v>
      </c>
      <c r="BG459" s="28" t="s">
        <v>138</v>
      </c>
      <c r="BH459" s="28" t="s">
        <v>8374</v>
      </c>
      <c r="BI459" s="28" t="s">
        <v>138</v>
      </c>
      <c r="BJ459" s="28" t="s">
        <v>138</v>
      </c>
      <c r="BK459" s="28" t="s">
        <v>138</v>
      </c>
      <c r="BL459" s="28" t="s">
        <v>138</v>
      </c>
      <c r="BM459" s="34">
        <v>41205</v>
      </c>
      <c r="BN459" s="29">
        <v>0.1</v>
      </c>
      <c r="BO459" s="28" t="s">
        <v>172</v>
      </c>
      <c r="BP459" s="29" t="s">
        <v>138</v>
      </c>
      <c r="BQ459" s="28" t="s">
        <v>138</v>
      </c>
      <c r="BR459" s="28" t="s">
        <v>234</v>
      </c>
      <c r="BS459" s="28" t="s">
        <v>234</v>
      </c>
      <c r="BT459" s="28" t="s">
        <v>138</v>
      </c>
      <c r="BU459" s="28" t="s">
        <v>174</v>
      </c>
      <c r="BV459" s="28" t="s">
        <v>138</v>
      </c>
      <c r="BW459" s="28" t="s">
        <v>138</v>
      </c>
      <c r="BX459" s="28" t="s">
        <v>138</v>
      </c>
      <c r="BY459" s="28" t="s">
        <v>175</v>
      </c>
      <c r="BZ459" s="34">
        <v>41205</v>
      </c>
      <c r="CA459" s="29">
        <v>0.1</v>
      </c>
      <c r="CB459" s="28" t="s">
        <v>172</v>
      </c>
      <c r="CC459" s="29" t="s">
        <v>138</v>
      </c>
      <c r="CD459" s="28" t="s">
        <v>138</v>
      </c>
      <c r="CE459" s="28" t="s">
        <v>234</v>
      </c>
      <c r="CF459" s="28" t="s">
        <v>234</v>
      </c>
      <c r="CG459" s="28" t="s">
        <v>138</v>
      </c>
      <c r="CH459" s="28" t="s">
        <v>174</v>
      </c>
      <c r="CI459" s="28" t="s">
        <v>138</v>
      </c>
      <c r="CJ459" s="28" t="s">
        <v>138</v>
      </c>
      <c r="CK459" s="28" t="s">
        <v>138</v>
      </c>
      <c r="CL459" s="28" t="s">
        <v>175</v>
      </c>
      <c r="CM459" s="34" t="s">
        <v>138</v>
      </c>
      <c r="CN459" s="29" t="s">
        <v>138</v>
      </c>
      <c r="CO459" s="35">
        <v>-0.53</v>
      </c>
      <c r="CP459" s="36">
        <v>16</v>
      </c>
      <c r="CQ459" s="35">
        <v>-0.08</v>
      </c>
      <c r="CR459" s="35">
        <v>-18.8</v>
      </c>
      <c r="CS459" s="35">
        <v>-0.94</v>
      </c>
      <c r="CT459" s="36">
        <v>16</v>
      </c>
      <c r="CU459" s="35">
        <v>-0.12</v>
      </c>
      <c r="CV459" s="36">
        <v>3</v>
      </c>
      <c r="CW459" s="35">
        <v>-1.62</v>
      </c>
      <c r="CX459" s="36">
        <v>8</v>
      </c>
      <c r="CY459" s="35">
        <v>-0.26</v>
      </c>
      <c r="CZ459" s="36">
        <v>23</v>
      </c>
      <c r="DA459" s="35">
        <v>-0.12</v>
      </c>
      <c r="DB459" s="36">
        <v>5</v>
      </c>
      <c r="DC459" s="37">
        <v>2.42</v>
      </c>
      <c r="DD459" s="36">
        <v>71</v>
      </c>
      <c r="DE459" s="37">
        <v>-0.12</v>
      </c>
      <c r="DF459" s="35">
        <v>-4.91</v>
      </c>
      <c r="DG459" s="37">
        <v>4.2699999999999996</v>
      </c>
      <c r="DH459" s="36">
        <v>80</v>
      </c>
      <c r="DI459" s="37">
        <v>0.56000000000000005</v>
      </c>
      <c r="DJ459" s="36">
        <v>38</v>
      </c>
      <c r="DK459" s="37">
        <v>3.72</v>
      </c>
      <c r="DL459" s="36">
        <v>75</v>
      </c>
      <c r="DM459" s="37">
        <v>4.83</v>
      </c>
      <c r="DN459" s="36">
        <v>81</v>
      </c>
      <c r="DO459" s="37">
        <v>0.56000000000000005</v>
      </c>
      <c r="DP459" s="36">
        <v>40</v>
      </c>
      <c r="DQ459" s="36">
        <v>1332</v>
      </c>
      <c r="DR459" s="38">
        <v>-172</v>
      </c>
      <c r="DS459" s="35">
        <v>-11.44</v>
      </c>
      <c r="DT459" s="36">
        <v>140</v>
      </c>
      <c r="DU459" s="38">
        <v>-1</v>
      </c>
      <c r="DV459" s="35">
        <v>-0.71</v>
      </c>
      <c r="DW459" s="36">
        <v>201</v>
      </c>
      <c r="DX459" s="39">
        <v>0</v>
      </c>
      <c r="DY459" s="35">
        <v>0</v>
      </c>
      <c r="DZ459" s="28" t="s">
        <v>178</v>
      </c>
      <c r="EA459" s="34">
        <v>43622</v>
      </c>
      <c r="EB459" s="29" t="s">
        <v>138</v>
      </c>
      <c r="EC459" s="34" t="s">
        <v>138</v>
      </c>
      <c r="ED459" s="28" t="s">
        <v>138</v>
      </c>
      <c r="EE459" s="40" t="str">
        <f>HYPERLINK("https://my.pitchbook.com?c=55471-06", "View company online")</f>
        <v>View company online</v>
      </c>
    </row>
    <row r="460" spans="1:135">
      <c r="A460" s="15" t="s">
        <v>9507</v>
      </c>
      <c r="B460" s="15" t="s">
        <v>9508</v>
      </c>
      <c r="C460" s="15" t="s">
        <v>9509</v>
      </c>
      <c r="D460" s="15" t="s">
        <v>138</v>
      </c>
      <c r="E460" s="15" t="s">
        <v>9510</v>
      </c>
      <c r="F460" s="15" t="s">
        <v>9507</v>
      </c>
      <c r="G460" s="15" t="s">
        <v>9511</v>
      </c>
      <c r="H460" s="15" t="s">
        <v>322</v>
      </c>
      <c r="I460" s="15" t="s">
        <v>323</v>
      </c>
      <c r="J460" s="15" t="s">
        <v>437</v>
      </c>
      <c r="K460" s="15" t="s">
        <v>2406</v>
      </c>
      <c r="L460" s="15" t="s">
        <v>4374</v>
      </c>
      <c r="M460" s="15" t="s">
        <v>9512</v>
      </c>
      <c r="N460" s="15" t="s">
        <v>147</v>
      </c>
      <c r="O460" s="17">
        <v>56</v>
      </c>
      <c r="P460" s="15" t="s">
        <v>148</v>
      </c>
      <c r="Q460" s="15" t="s">
        <v>149</v>
      </c>
      <c r="R460" s="15" t="s">
        <v>244</v>
      </c>
      <c r="S460" s="15" t="s">
        <v>9513</v>
      </c>
      <c r="T460" s="18">
        <v>100</v>
      </c>
      <c r="U460" s="15" t="s">
        <v>9514</v>
      </c>
      <c r="V460" s="15" t="s">
        <v>138</v>
      </c>
      <c r="W460" s="15" t="s">
        <v>138</v>
      </c>
      <c r="X460" s="19">
        <v>2012</v>
      </c>
      <c r="Y460" s="15" t="s">
        <v>138</v>
      </c>
      <c r="Z460" s="15" t="s">
        <v>138</v>
      </c>
      <c r="AA460" s="15" t="s">
        <v>138</v>
      </c>
      <c r="AB460" s="20">
        <v>40</v>
      </c>
      <c r="AC460" s="20" t="s">
        <v>138</v>
      </c>
      <c r="AD460" s="20" t="s">
        <v>138</v>
      </c>
      <c r="AE460" s="20" t="s">
        <v>138</v>
      </c>
      <c r="AF460" s="20" t="s">
        <v>138</v>
      </c>
      <c r="AG460" s="15" t="s">
        <v>815</v>
      </c>
      <c r="AH460" s="20" t="s">
        <v>138</v>
      </c>
      <c r="AI460" s="20" t="s">
        <v>138</v>
      </c>
      <c r="AJ460" s="20" t="s">
        <v>138</v>
      </c>
      <c r="AK460" s="15" t="s">
        <v>9515</v>
      </c>
      <c r="AL460" s="15" t="s">
        <v>9516</v>
      </c>
      <c r="AM460" s="15" t="s">
        <v>304</v>
      </c>
      <c r="AN460" s="15" t="s">
        <v>9517</v>
      </c>
      <c r="AO460" s="15" t="s">
        <v>138</v>
      </c>
      <c r="AP460" s="15" t="s">
        <v>665</v>
      </c>
      <c r="AQ460" s="15" t="s">
        <v>9518</v>
      </c>
      <c r="AR460" s="15" t="s">
        <v>138</v>
      </c>
      <c r="AS460" s="15" t="s">
        <v>668</v>
      </c>
      <c r="AT460" s="15" t="s">
        <v>200</v>
      </c>
      <c r="AU460" s="15" t="s">
        <v>2052</v>
      </c>
      <c r="AV460" s="15" t="s">
        <v>162</v>
      </c>
      <c r="AW460" s="15" t="s">
        <v>138</v>
      </c>
      <c r="AX460" s="15" t="s">
        <v>138</v>
      </c>
      <c r="AY460" s="15" t="s">
        <v>138</v>
      </c>
      <c r="AZ460" s="15" t="s">
        <v>164</v>
      </c>
      <c r="BA460" s="15" t="s">
        <v>165</v>
      </c>
      <c r="BB460" s="15" t="s">
        <v>9519</v>
      </c>
      <c r="BC460" s="15" t="s">
        <v>9520</v>
      </c>
      <c r="BD460" s="21">
        <v>16</v>
      </c>
      <c r="BE460" s="15" t="s">
        <v>138</v>
      </c>
      <c r="BF460" s="15" t="s">
        <v>138</v>
      </c>
      <c r="BG460" s="15" t="s">
        <v>138</v>
      </c>
      <c r="BH460" s="15" t="s">
        <v>9521</v>
      </c>
      <c r="BI460" s="15" t="s">
        <v>138</v>
      </c>
      <c r="BJ460" s="15" t="s">
        <v>138</v>
      </c>
      <c r="BK460" s="15" t="s">
        <v>9522</v>
      </c>
      <c r="BL460" s="15" t="s">
        <v>9523</v>
      </c>
      <c r="BM460" s="22">
        <v>41228</v>
      </c>
      <c r="BN460" s="17">
        <v>1.3</v>
      </c>
      <c r="BO460" s="15" t="s">
        <v>172</v>
      </c>
      <c r="BP460" s="17" t="s">
        <v>138</v>
      </c>
      <c r="BQ460" s="15" t="s">
        <v>138</v>
      </c>
      <c r="BR460" s="15" t="s">
        <v>234</v>
      </c>
      <c r="BS460" s="15" t="s">
        <v>234</v>
      </c>
      <c r="BT460" s="15" t="s">
        <v>138</v>
      </c>
      <c r="BU460" s="15" t="s">
        <v>174</v>
      </c>
      <c r="BV460" s="15" t="s">
        <v>138</v>
      </c>
      <c r="BW460" s="15" t="s">
        <v>138</v>
      </c>
      <c r="BX460" s="15" t="s">
        <v>138</v>
      </c>
      <c r="BY460" s="15" t="s">
        <v>175</v>
      </c>
      <c r="BZ460" s="22">
        <v>43082</v>
      </c>
      <c r="CA460" s="17">
        <v>25</v>
      </c>
      <c r="CB460" s="15" t="s">
        <v>172</v>
      </c>
      <c r="CC460" s="17" t="s">
        <v>138</v>
      </c>
      <c r="CD460" s="15" t="s">
        <v>138</v>
      </c>
      <c r="CE460" s="15" t="s">
        <v>173</v>
      </c>
      <c r="CF460" s="15" t="s">
        <v>317</v>
      </c>
      <c r="CG460" s="15" t="s">
        <v>138</v>
      </c>
      <c r="CH460" s="15" t="s">
        <v>174</v>
      </c>
      <c r="CI460" s="15" t="s">
        <v>138</v>
      </c>
      <c r="CJ460" s="15" t="s">
        <v>138</v>
      </c>
      <c r="CK460" s="15" t="s">
        <v>138</v>
      </c>
      <c r="CL460" s="15" t="s">
        <v>175</v>
      </c>
      <c r="CM460" s="22" t="s">
        <v>138</v>
      </c>
      <c r="CN460" s="17" t="s">
        <v>138</v>
      </c>
      <c r="CO460" s="23">
        <v>0.9</v>
      </c>
      <c r="CP460" s="24">
        <v>97</v>
      </c>
      <c r="CQ460" s="23">
        <v>-0.06</v>
      </c>
      <c r="CR460" s="23">
        <v>-6.52</v>
      </c>
      <c r="CS460" s="23" t="s">
        <v>138</v>
      </c>
      <c r="CT460" s="24" t="s">
        <v>138</v>
      </c>
      <c r="CU460" s="23">
        <v>0.74</v>
      </c>
      <c r="CV460" s="24">
        <v>96</v>
      </c>
      <c r="CW460" s="23" t="s">
        <v>138</v>
      </c>
      <c r="CX460" s="24" t="s">
        <v>138</v>
      </c>
      <c r="CY460" s="23" t="s">
        <v>138</v>
      </c>
      <c r="CZ460" s="24" t="s">
        <v>138</v>
      </c>
      <c r="DA460" s="23">
        <v>1.22</v>
      </c>
      <c r="DB460" s="24">
        <v>99</v>
      </c>
      <c r="DC460" s="25">
        <v>24.49</v>
      </c>
      <c r="DD460" s="24">
        <v>96</v>
      </c>
      <c r="DE460" s="25">
        <v>0.5</v>
      </c>
      <c r="DF460" s="23">
        <v>2.0699999999999998</v>
      </c>
      <c r="DG460" s="25" t="s">
        <v>138</v>
      </c>
      <c r="DH460" s="24" t="s">
        <v>138</v>
      </c>
      <c r="DI460" s="25">
        <v>30.15</v>
      </c>
      <c r="DJ460" s="24">
        <v>93</v>
      </c>
      <c r="DK460" s="25" t="s">
        <v>138</v>
      </c>
      <c r="DL460" s="24" t="s">
        <v>138</v>
      </c>
      <c r="DM460" s="25" t="s">
        <v>138</v>
      </c>
      <c r="DN460" s="24" t="s">
        <v>138</v>
      </c>
      <c r="DO460" s="25">
        <v>7.42</v>
      </c>
      <c r="DP460" s="24">
        <v>84</v>
      </c>
      <c r="DQ460" s="24" t="s">
        <v>138</v>
      </c>
      <c r="DR460" s="26" t="s">
        <v>138</v>
      </c>
      <c r="DS460" s="23" t="s">
        <v>138</v>
      </c>
      <c r="DT460" s="24" t="s">
        <v>138</v>
      </c>
      <c r="DU460" s="26" t="s">
        <v>138</v>
      </c>
      <c r="DV460" s="23" t="s">
        <v>138</v>
      </c>
      <c r="DW460" s="24">
        <v>2655</v>
      </c>
      <c r="DX460" s="27">
        <v>8</v>
      </c>
      <c r="DY460" s="23">
        <v>0.3</v>
      </c>
      <c r="DZ460" s="15" t="s">
        <v>178</v>
      </c>
      <c r="EA460" s="22">
        <v>43569</v>
      </c>
      <c r="EB460" s="17">
        <v>84.73</v>
      </c>
      <c r="EC460" s="22">
        <v>42271</v>
      </c>
      <c r="ED460" s="15" t="s">
        <v>205</v>
      </c>
      <c r="EE460" s="14" t="str">
        <f>HYPERLINK("https://my.pitchbook.com?c=55618-75", "View company online")</f>
        <v>View company online</v>
      </c>
    </row>
    <row r="461" spans="1:135">
      <c r="A461" s="28" t="s">
        <v>9524</v>
      </c>
      <c r="B461" s="28" t="s">
        <v>9525</v>
      </c>
      <c r="C461" s="28" t="s">
        <v>138</v>
      </c>
      <c r="D461" s="28" t="s">
        <v>9526</v>
      </c>
      <c r="E461" s="28" t="s">
        <v>9527</v>
      </c>
      <c r="F461" s="28" t="s">
        <v>9524</v>
      </c>
      <c r="G461" s="28" t="s">
        <v>9528</v>
      </c>
      <c r="H461" s="28" t="s">
        <v>322</v>
      </c>
      <c r="I461" s="28" t="s">
        <v>323</v>
      </c>
      <c r="J461" s="28" t="s">
        <v>539</v>
      </c>
      <c r="K461" s="28" t="s">
        <v>9529</v>
      </c>
      <c r="L461" s="28" t="s">
        <v>3982</v>
      </c>
      <c r="M461" s="28" t="s">
        <v>9530</v>
      </c>
      <c r="N461" s="28" t="s">
        <v>147</v>
      </c>
      <c r="O461" s="29" t="s">
        <v>138</v>
      </c>
      <c r="P461" s="28" t="s">
        <v>148</v>
      </c>
      <c r="Q461" s="28" t="s">
        <v>149</v>
      </c>
      <c r="R461" s="28" t="s">
        <v>174</v>
      </c>
      <c r="S461" s="28" t="s">
        <v>9531</v>
      </c>
      <c r="T461" s="30">
        <v>21</v>
      </c>
      <c r="U461" s="28" t="s">
        <v>9532</v>
      </c>
      <c r="V461" s="28" t="s">
        <v>138</v>
      </c>
      <c r="W461" s="28" t="s">
        <v>138</v>
      </c>
      <c r="X461" s="31">
        <v>2007</v>
      </c>
      <c r="Y461" s="28" t="s">
        <v>138</v>
      </c>
      <c r="Z461" s="28" t="s">
        <v>138</v>
      </c>
      <c r="AA461" s="28" t="s">
        <v>138</v>
      </c>
      <c r="AB461" s="32" t="s">
        <v>138</v>
      </c>
      <c r="AC461" s="32" t="s">
        <v>138</v>
      </c>
      <c r="AD461" s="32" t="s">
        <v>138</v>
      </c>
      <c r="AE461" s="32" t="s">
        <v>138</v>
      </c>
      <c r="AF461" s="32" t="s">
        <v>138</v>
      </c>
      <c r="AG461" s="28" t="s">
        <v>138</v>
      </c>
      <c r="AH461" s="32" t="s">
        <v>138</v>
      </c>
      <c r="AI461" s="32" t="s">
        <v>138</v>
      </c>
      <c r="AJ461" s="32" t="s">
        <v>138</v>
      </c>
      <c r="AK461" s="28" t="s">
        <v>9533</v>
      </c>
      <c r="AL461" s="28" t="s">
        <v>9534</v>
      </c>
      <c r="AM461" s="28" t="s">
        <v>1783</v>
      </c>
      <c r="AN461" s="28" t="s">
        <v>9535</v>
      </c>
      <c r="AO461" s="28" t="s">
        <v>9536</v>
      </c>
      <c r="AP461" s="28" t="s">
        <v>2388</v>
      </c>
      <c r="AQ461" s="28" t="s">
        <v>9537</v>
      </c>
      <c r="AR461" s="28" t="s">
        <v>9538</v>
      </c>
      <c r="AS461" s="28" t="s">
        <v>2391</v>
      </c>
      <c r="AT461" s="28" t="s">
        <v>200</v>
      </c>
      <c r="AU461" s="28" t="s">
        <v>5772</v>
      </c>
      <c r="AV461" s="28" t="s">
        <v>162</v>
      </c>
      <c r="AW461" s="28" t="s">
        <v>9536</v>
      </c>
      <c r="AX461" s="28" t="s">
        <v>9539</v>
      </c>
      <c r="AY461" s="28" t="s">
        <v>138</v>
      </c>
      <c r="AZ461" s="28" t="s">
        <v>164</v>
      </c>
      <c r="BA461" s="28" t="s">
        <v>165</v>
      </c>
      <c r="BB461" s="28" t="s">
        <v>9540</v>
      </c>
      <c r="BC461" s="28" t="s">
        <v>9541</v>
      </c>
      <c r="BD461" s="33">
        <v>2</v>
      </c>
      <c r="BE461" s="28" t="s">
        <v>138</v>
      </c>
      <c r="BF461" s="28" t="s">
        <v>138</v>
      </c>
      <c r="BG461" s="28" t="s">
        <v>138</v>
      </c>
      <c r="BH461" s="28" t="s">
        <v>9542</v>
      </c>
      <c r="BI461" s="28" t="s">
        <v>138</v>
      </c>
      <c r="BJ461" s="28" t="s">
        <v>138</v>
      </c>
      <c r="BK461" s="28" t="s">
        <v>9543</v>
      </c>
      <c r="BL461" s="28" t="s">
        <v>1829</v>
      </c>
      <c r="BM461" s="34">
        <v>41559</v>
      </c>
      <c r="BN461" s="29">
        <v>0.6</v>
      </c>
      <c r="BO461" s="28" t="s">
        <v>172</v>
      </c>
      <c r="BP461" s="29" t="s">
        <v>138</v>
      </c>
      <c r="BQ461" s="28" t="s">
        <v>138</v>
      </c>
      <c r="BR461" s="28" t="s">
        <v>1830</v>
      </c>
      <c r="BS461" s="28" t="s">
        <v>138</v>
      </c>
      <c r="BT461" s="28" t="s">
        <v>138</v>
      </c>
      <c r="BU461" s="28" t="s">
        <v>263</v>
      </c>
      <c r="BV461" s="28" t="s">
        <v>138</v>
      </c>
      <c r="BW461" s="28" t="s">
        <v>138</v>
      </c>
      <c r="BX461" s="28" t="s">
        <v>138</v>
      </c>
      <c r="BY461" s="28" t="s">
        <v>175</v>
      </c>
      <c r="BZ461" s="34" t="s">
        <v>138</v>
      </c>
      <c r="CA461" s="29" t="s">
        <v>138</v>
      </c>
      <c r="CB461" s="28" t="s">
        <v>138</v>
      </c>
      <c r="CC461" s="29" t="s">
        <v>138</v>
      </c>
      <c r="CD461" s="28" t="s">
        <v>138</v>
      </c>
      <c r="CE461" s="28" t="s">
        <v>205</v>
      </c>
      <c r="CF461" s="28" t="s">
        <v>138</v>
      </c>
      <c r="CG461" s="28" t="s">
        <v>138</v>
      </c>
      <c r="CH461" s="28" t="s">
        <v>174</v>
      </c>
      <c r="CI461" s="28" t="s">
        <v>138</v>
      </c>
      <c r="CJ461" s="28" t="s">
        <v>138</v>
      </c>
      <c r="CK461" s="28" t="s">
        <v>138</v>
      </c>
      <c r="CL461" s="28" t="s">
        <v>175</v>
      </c>
      <c r="CM461" s="34" t="s">
        <v>138</v>
      </c>
      <c r="CN461" s="29" t="s">
        <v>138</v>
      </c>
      <c r="CO461" s="35">
        <v>0.26</v>
      </c>
      <c r="CP461" s="36">
        <v>93</v>
      </c>
      <c r="CQ461" s="35">
        <v>-0.01</v>
      </c>
      <c r="CR461" s="35">
        <v>-4.41</v>
      </c>
      <c r="CS461" s="35">
        <v>0.59</v>
      </c>
      <c r="CT461" s="36">
        <v>96</v>
      </c>
      <c r="CU461" s="35">
        <v>-0.06</v>
      </c>
      <c r="CV461" s="36">
        <v>8</v>
      </c>
      <c r="CW461" s="35">
        <v>7.31</v>
      </c>
      <c r="CX461" s="36">
        <v>98</v>
      </c>
      <c r="CY461" s="35">
        <v>-6.13</v>
      </c>
      <c r="CZ461" s="36">
        <v>2</v>
      </c>
      <c r="DA461" s="35">
        <v>-0.09</v>
      </c>
      <c r="DB461" s="36">
        <v>7</v>
      </c>
      <c r="DC461" s="37">
        <v>12.04</v>
      </c>
      <c r="DD461" s="36">
        <v>91</v>
      </c>
      <c r="DE461" s="37">
        <v>-0.17</v>
      </c>
      <c r="DF461" s="35">
        <v>-1.41</v>
      </c>
      <c r="DG461" s="37">
        <v>11.06</v>
      </c>
      <c r="DH461" s="36">
        <v>90</v>
      </c>
      <c r="DI461" s="37">
        <v>13.01</v>
      </c>
      <c r="DJ461" s="36">
        <v>87</v>
      </c>
      <c r="DK461" s="37">
        <v>5.22</v>
      </c>
      <c r="DL461" s="36">
        <v>80</v>
      </c>
      <c r="DM461" s="37">
        <v>16.899999999999999</v>
      </c>
      <c r="DN461" s="36">
        <v>93</v>
      </c>
      <c r="DO461" s="37">
        <v>18.72</v>
      </c>
      <c r="DP461" s="36">
        <v>92</v>
      </c>
      <c r="DQ461" s="36">
        <v>1752</v>
      </c>
      <c r="DR461" s="38">
        <v>117</v>
      </c>
      <c r="DS461" s="35">
        <v>7.16</v>
      </c>
      <c r="DT461" s="36">
        <v>491</v>
      </c>
      <c r="DU461" s="38">
        <v>-4</v>
      </c>
      <c r="DV461" s="35">
        <v>-0.81</v>
      </c>
      <c r="DW461" s="36">
        <v>6704</v>
      </c>
      <c r="DX461" s="39">
        <v>-2</v>
      </c>
      <c r="DY461" s="35">
        <v>-0.03</v>
      </c>
      <c r="DZ461" s="28" t="s">
        <v>178</v>
      </c>
      <c r="EA461" s="34">
        <v>43458</v>
      </c>
      <c r="EB461" s="29" t="s">
        <v>138</v>
      </c>
      <c r="EC461" s="34" t="s">
        <v>138</v>
      </c>
      <c r="ED461" s="28" t="s">
        <v>138</v>
      </c>
      <c r="EE461" s="40" t="str">
        <f>HYPERLINK("https://my.pitchbook.com?c=65832-76", "View company online")</f>
        <v>View company online</v>
      </c>
    </row>
    <row r="462" spans="1:135">
      <c r="A462" s="15" t="s">
        <v>9544</v>
      </c>
      <c r="B462" s="15" t="s">
        <v>9545</v>
      </c>
      <c r="C462" s="15" t="s">
        <v>138</v>
      </c>
      <c r="D462" s="15" t="s">
        <v>138</v>
      </c>
      <c r="E462" s="15" t="s">
        <v>9546</v>
      </c>
      <c r="F462" s="15" t="s">
        <v>9544</v>
      </c>
      <c r="G462" s="15" t="s">
        <v>9547</v>
      </c>
      <c r="H462" s="15" t="s">
        <v>322</v>
      </c>
      <c r="I462" s="15" t="s">
        <v>323</v>
      </c>
      <c r="J462" s="15" t="s">
        <v>324</v>
      </c>
      <c r="K462" s="15" t="s">
        <v>1649</v>
      </c>
      <c r="L462" s="15" t="s">
        <v>215</v>
      </c>
      <c r="M462" s="15" t="s">
        <v>9548</v>
      </c>
      <c r="N462" s="15" t="s">
        <v>147</v>
      </c>
      <c r="O462" s="17">
        <v>49</v>
      </c>
      <c r="P462" s="15" t="s">
        <v>148</v>
      </c>
      <c r="Q462" s="15" t="s">
        <v>149</v>
      </c>
      <c r="R462" s="15" t="s">
        <v>174</v>
      </c>
      <c r="S462" s="15" t="s">
        <v>9549</v>
      </c>
      <c r="T462" s="18">
        <v>6</v>
      </c>
      <c r="U462" s="15" t="s">
        <v>9550</v>
      </c>
      <c r="V462" s="15" t="s">
        <v>138</v>
      </c>
      <c r="W462" s="15" t="s">
        <v>138</v>
      </c>
      <c r="X462" s="19">
        <v>2013</v>
      </c>
      <c r="Y462" s="15" t="s">
        <v>138</v>
      </c>
      <c r="Z462" s="15" t="s">
        <v>138</v>
      </c>
      <c r="AA462" s="15" t="s">
        <v>1163</v>
      </c>
      <c r="AB462" s="20" t="s">
        <v>138</v>
      </c>
      <c r="AC462" s="20" t="s">
        <v>138</v>
      </c>
      <c r="AD462" s="20" t="s">
        <v>138</v>
      </c>
      <c r="AE462" s="20" t="s">
        <v>138</v>
      </c>
      <c r="AF462" s="20" t="s">
        <v>138</v>
      </c>
      <c r="AG462" s="15" t="s">
        <v>138</v>
      </c>
      <c r="AH462" s="20" t="s">
        <v>138</v>
      </c>
      <c r="AI462" s="20" t="s">
        <v>138</v>
      </c>
      <c r="AJ462" s="20" t="s">
        <v>138</v>
      </c>
      <c r="AK462" s="15" t="s">
        <v>9551</v>
      </c>
      <c r="AL462" s="15" t="s">
        <v>9552</v>
      </c>
      <c r="AM462" s="15" t="s">
        <v>2949</v>
      </c>
      <c r="AN462" s="15" t="s">
        <v>9553</v>
      </c>
      <c r="AO462" s="15" t="s">
        <v>138</v>
      </c>
      <c r="AP462" s="15" t="s">
        <v>9554</v>
      </c>
      <c r="AQ462" s="15" t="s">
        <v>9555</v>
      </c>
      <c r="AR462" s="15" t="s">
        <v>1030</v>
      </c>
      <c r="AS462" s="15" t="s">
        <v>9556</v>
      </c>
      <c r="AT462" s="15" t="s">
        <v>6898</v>
      </c>
      <c r="AU462" s="15" t="s">
        <v>9557</v>
      </c>
      <c r="AV462" s="15" t="s">
        <v>162</v>
      </c>
      <c r="AW462" s="15" t="s">
        <v>138</v>
      </c>
      <c r="AX462" s="15" t="s">
        <v>138</v>
      </c>
      <c r="AY462" s="15" t="s">
        <v>9558</v>
      </c>
      <c r="AZ462" s="15" t="s">
        <v>164</v>
      </c>
      <c r="BA462" s="15" t="s">
        <v>165</v>
      </c>
      <c r="BB462" s="15" t="s">
        <v>9559</v>
      </c>
      <c r="BC462" s="15" t="s">
        <v>9560</v>
      </c>
      <c r="BD462" s="21">
        <v>7</v>
      </c>
      <c r="BE462" s="15" t="s">
        <v>138</v>
      </c>
      <c r="BF462" s="15" t="s">
        <v>138</v>
      </c>
      <c r="BG462" s="15" t="s">
        <v>138</v>
      </c>
      <c r="BH462" s="15" t="s">
        <v>9561</v>
      </c>
      <c r="BI462" s="15" t="s">
        <v>138</v>
      </c>
      <c r="BJ462" s="15" t="s">
        <v>138</v>
      </c>
      <c r="BK462" s="15" t="s">
        <v>1275</v>
      </c>
      <c r="BL462" s="15" t="s">
        <v>1275</v>
      </c>
      <c r="BM462" s="22">
        <v>42927</v>
      </c>
      <c r="BN462" s="17">
        <v>11</v>
      </c>
      <c r="BO462" s="15" t="s">
        <v>172</v>
      </c>
      <c r="BP462" s="17">
        <v>44</v>
      </c>
      <c r="BQ462" s="15" t="s">
        <v>172</v>
      </c>
      <c r="BR462" s="15" t="s">
        <v>205</v>
      </c>
      <c r="BS462" s="15" t="s">
        <v>206</v>
      </c>
      <c r="BT462" s="15" t="s">
        <v>138</v>
      </c>
      <c r="BU462" s="15" t="s">
        <v>174</v>
      </c>
      <c r="BV462" s="15" t="s">
        <v>138</v>
      </c>
      <c r="BW462" s="15" t="s">
        <v>138</v>
      </c>
      <c r="BX462" s="15" t="s">
        <v>138</v>
      </c>
      <c r="BY462" s="15" t="s">
        <v>175</v>
      </c>
      <c r="BZ462" s="22">
        <v>43614</v>
      </c>
      <c r="CA462" s="17">
        <v>38</v>
      </c>
      <c r="CB462" s="15" t="s">
        <v>172</v>
      </c>
      <c r="CC462" s="17">
        <v>122</v>
      </c>
      <c r="CD462" s="15" t="s">
        <v>1178</v>
      </c>
      <c r="CE462" s="15" t="s">
        <v>205</v>
      </c>
      <c r="CF462" s="15" t="s">
        <v>720</v>
      </c>
      <c r="CG462" s="15" t="s">
        <v>138</v>
      </c>
      <c r="CH462" s="15" t="s">
        <v>174</v>
      </c>
      <c r="CI462" s="15" t="s">
        <v>138</v>
      </c>
      <c r="CJ462" s="15" t="s">
        <v>138</v>
      </c>
      <c r="CK462" s="15" t="s">
        <v>138</v>
      </c>
      <c r="CL462" s="15" t="s">
        <v>175</v>
      </c>
      <c r="CM462" s="22" t="s">
        <v>138</v>
      </c>
      <c r="CN462" s="17" t="s">
        <v>138</v>
      </c>
      <c r="CO462" s="23">
        <v>1.56</v>
      </c>
      <c r="CP462" s="24">
        <v>98</v>
      </c>
      <c r="CQ462" s="23">
        <v>-7.0000000000000007E-2</v>
      </c>
      <c r="CR462" s="23">
        <v>-4.54</v>
      </c>
      <c r="CS462" s="23">
        <v>2.38</v>
      </c>
      <c r="CT462" s="24">
        <v>99</v>
      </c>
      <c r="CU462" s="23">
        <v>-0.09</v>
      </c>
      <c r="CV462" s="24">
        <v>5</v>
      </c>
      <c r="CW462" s="23">
        <v>2.38</v>
      </c>
      <c r="CX462" s="24">
        <v>89</v>
      </c>
      <c r="CY462" s="23" t="s">
        <v>138</v>
      </c>
      <c r="CZ462" s="24" t="s">
        <v>138</v>
      </c>
      <c r="DA462" s="23" t="s">
        <v>138</v>
      </c>
      <c r="DB462" s="24" t="s">
        <v>138</v>
      </c>
      <c r="DC462" s="25">
        <v>5.15</v>
      </c>
      <c r="DD462" s="24">
        <v>83</v>
      </c>
      <c r="DE462" s="25">
        <v>1.1299999999999999</v>
      </c>
      <c r="DF462" s="23">
        <v>28.01</v>
      </c>
      <c r="DG462" s="25">
        <v>4.7699999999999996</v>
      </c>
      <c r="DH462" s="24">
        <v>82</v>
      </c>
      <c r="DI462" s="25">
        <v>10.48</v>
      </c>
      <c r="DJ462" s="24">
        <v>86</v>
      </c>
      <c r="DK462" s="25">
        <v>4.7699999999999996</v>
      </c>
      <c r="DL462" s="24">
        <v>78</v>
      </c>
      <c r="DM462" s="25" t="s">
        <v>138</v>
      </c>
      <c r="DN462" s="24" t="s">
        <v>138</v>
      </c>
      <c r="DO462" s="25" t="s">
        <v>138</v>
      </c>
      <c r="DP462" s="24" t="s">
        <v>138</v>
      </c>
      <c r="DQ462" s="24">
        <v>1601</v>
      </c>
      <c r="DR462" s="26">
        <v>102</v>
      </c>
      <c r="DS462" s="23">
        <v>6.8</v>
      </c>
      <c r="DT462" s="24" t="s">
        <v>138</v>
      </c>
      <c r="DU462" s="26" t="s">
        <v>138</v>
      </c>
      <c r="DV462" s="23" t="s">
        <v>138</v>
      </c>
      <c r="DW462" s="24">
        <v>899</v>
      </c>
      <c r="DX462" s="27">
        <v>6</v>
      </c>
      <c r="DY462" s="23">
        <v>0.67</v>
      </c>
      <c r="DZ462" s="15" t="s">
        <v>178</v>
      </c>
      <c r="EA462" s="22">
        <v>43622</v>
      </c>
      <c r="EB462" s="17">
        <v>122</v>
      </c>
      <c r="EC462" s="22">
        <v>43614</v>
      </c>
      <c r="ED462" s="15" t="s">
        <v>205</v>
      </c>
      <c r="EE462" s="14" t="str">
        <f>HYPERLINK("https://my.pitchbook.com?c=171243-19", "View company online")</f>
        <v>View company online</v>
      </c>
    </row>
    <row r="463" spans="1:135">
      <c r="A463" s="28" t="s">
        <v>9562</v>
      </c>
      <c r="B463" s="28" t="s">
        <v>9563</v>
      </c>
      <c r="C463" s="28" t="s">
        <v>138</v>
      </c>
      <c r="D463" s="28" t="s">
        <v>9564</v>
      </c>
      <c r="E463" s="28" t="s">
        <v>9565</v>
      </c>
      <c r="F463" s="28" t="s">
        <v>9562</v>
      </c>
      <c r="G463" s="28" t="s">
        <v>9566</v>
      </c>
      <c r="H463" s="28" t="s">
        <v>238</v>
      </c>
      <c r="I463" s="28" t="s">
        <v>749</v>
      </c>
      <c r="J463" s="28" t="s">
        <v>4261</v>
      </c>
      <c r="K463" s="28" t="s">
        <v>7738</v>
      </c>
      <c r="L463" s="28" t="s">
        <v>752</v>
      </c>
      <c r="M463" s="28" t="s">
        <v>9567</v>
      </c>
      <c r="N463" s="28" t="s">
        <v>147</v>
      </c>
      <c r="O463" s="29">
        <v>2.65</v>
      </c>
      <c r="P463" s="28" t="s">
        <v>148</v>
      </c>
      <c r="Q463" s="28" t="s">
        <v>149</v>
      </c>
      <c r="R463" s="28" t="s">
        <v>174</v>
      </c>
      <c r="S463" s="28" t="s">
        <v>9568</v>
      </c>
      <c r="T463" s="30">
        <v>8</v>
      </c>
      <c r="U463" s="28" t="s">
        <v>5124</v>
      </c>
      <c r="V463" s="28" t="s">
        <v>138</v>
      </c>
      <c r="W463" s="28" t="s">
        <v>138</v>
      </c>
      <c r="X463" s="31">
        <v>2010</v>
      </c>
      <c r="Y463" s="28" t="s">
        <v>138</v>
      </c>
      <c r="Z463" s="28" t="s">
        <v>138</v>
      </c>
      <c r="AA463" s="28" t="s">
        <v>138</v>
      </c>
      <c r="AB463" s="32" t="s">
        <v>138</v>
      </c>
      <c r="AC463" s="32" t="s">
        <v>138</v>
      </c>
      <c r="AD463" s="32" t="s">
        <v>138</v>
      </c>
      <c r="AE463" s="32" t="s">
        <v>138</v>
      </c>
      <c r="AF463" s="32" t="s">
        <v>138</v>
      </c>
      <c r="AG463" s="28" t="s">
        <v>138</v>
      </c>
      <c r="AH463" s="32" t="s">
        <v>138</v>
      </c>
      <c r="AI463" s="32" t="s">
        <v>138</v>
      </c>
      <c r="AJ463" s="32" t="s">
        <v>138</v>
      </c>
      <c r="AK463" s="28" t="s">
        <v>9569</v>
      </c>
      <c r="AL463" s="28" t="s">
        <v>9570</v>
      </c>
      <c r="AM463" s="28" t="s">
        <v>9571</v>
      </c>
      <c r="AN463" s="28" t="s">
        <v>138</v>
      </c>
      <c r="AO463" s="28" t="s">
        <v>9572</v>
      </c>
      <c r="AP463" s="28" t="s">
        <v>9573</v>
      </c>
      <c r="AQ463" s="28" t="s">
        <v>9574</v>
      </c>
      <c r="AR463" s="28" t="s">
        <v>138</v>
      </c>
      <c r="AS463" s="28" t="s">
        <v>9575</v>
      </c>
      <c r="AT463" s="28" t="s">
        <v>4493</v>
      </c>
      <c r="AU463" s="28" t="s">
        <v>9576</v>
      </c>
      <c r="AV463" s="28" t="s">
        <v>162</v>
      </c>
      <c r="AW463" s="28" t="s">
        <v>9572</v>
      </c>
      <c r="AX463" s="28" t="s">
        <v>138</v>
      </c>
      <c r="AY463" s="28" t="s">
        <v>9577</v>
      </c>
      <c r="AZ463" s="28" t="s">
        <v>164</v>
      </c>
      <c r="BA463" s="28" t="s">
        <v>165</v>
      </c>
      <c r="BB463" s="28" t="s">
        <v>9578</v>
      </c>
      <c r="BC463" s="28" t="s">
        <v>1012</v>
      </c>
      <c r="BD463" s="33">
        <v>1</v>
      </c>
      <c r="BE463" s="28" t="s">
        <v>138</v>
      </c>
      <c r="BF463" s="28" t="s">
        <v>138</v>
      </c>
      <c r="BG463" s="28" t="s">
        <v>138</v>
      </c>
      <c r="BH463" s="28" t="s">
        <v>1013</v>
      </c>
      <c r="BI463" s="28" t="s">
        <v>138</v>
      </c>
      <c r="BJ463" s="28" t="s">
        <v>138</v>
      </c>
      <c r="BK463" s="28" t="s">
        <v>138</v>
      </c>
      <c r="BL463" s="28" t="s">
        <v>138</v>
      </c>
      <c r="BM463" s="34">
        <v>41163</v>
      </c>
      <c r="BN463" s="29">
        <v>0.1</v>
      </c>
      <c r="BO463" s="28" t="s">
        <v>172</v>
      </c>
      <c r="BP463" s="29">
        <v>0.5</v>
      </c>
      <c r="BQ463" s="28" t="s">
        <v>172</v>
      </c>
      <c r="BR463" s="28" t="s">
        <v>205</v>
      </c>
      <c r="BS463" s="28" t="s">
        <v>206</v>
      </c>
      <c r="BT463" s="28" t="s">
        <v>138</v>
      </c>
      <c r="BU463" s="28" t="s">
        <v>174</v>
      </c>
      <c r="BV463" s="28" t="s">
        <v>138</v>
      </c>
      <c r="BW463" s="28" t="s">
        <v>138</v>
      </c>
      <c r="BX463" s="28" t="s">
        <v>138</v>
      </c>
      <c r="BY463" s="28" t="s">
        <v>175</v>
      </c>
      <c r="BZ463" s="34">
        <v>42815</v>
      </c>
      <c r="CA463" s="29">
        <v>1.25</v>
      </c>
      <c r="CB463" s="28" t="s">
        <v>172</v>
      </c>
      <c r="CC463" s="29">
        <v>6.95</v>
      </c>
      <c r="CD463" s="28" t="s">
        <v>172</v>
      </c>
      <c r="CE463" s="28" t="s">
        <v>173</v>
      </c>
      <c r="CF463" s="28" t="s">
        <v>9579</v>
      </c>
      <c r="CG463" s="28" t="s">
        <v>138</v>
      </c>
      <c r="CH463" s="28" t="s">
        <v>174</v>
      </c>
      <c r="CI463" s="28" t="s">
        <v>138</v>
      </c>
      <c r="CJ463" s="28" t="s">
        <v>138</v>
      </c>
      <c r="CK463" s="28" t="s">
        <v>138</v>
      </c>
      <c r="CL463" s="28" t="s">
        <v>175</v>
      </c>
      <c r="CM463" s="34" t="s">
        <v>138</v>
      </c>
      <c r="CN463" s="29" t="s">
        <v>138</v>
      </c>
      <c r="CO463" s="35">
        <v>-0.44</v>
      </c>
      <c r="CP463" s="36">
        <v>17</v>
      </c>
      <c r="CQ463" s="35">
        <v>-7.0000000000000007E-2</v>
      </c>
      <c r="CR463" s="35">
        <v>-18.91</v>
      </c>
      <c r="CS463" s="35">
        <v>-0.44</v>
      </c>
      <c r="CT463" s="36">
        <v>20</v>
      </c>
      <c r="CU463" s="35" t="s">
        <v>138</v>
      </c>
      <c r="CV463" s="36" t="s">
        <v>138</v>
      </c>
      <c r="CW463" s="35">
        <v>0</v>
      </c>
      <c r="CX463" s="36">
        <v>13</v>
      </c>
      <c r="CY463" s="35">
        <v>-0.88</v>
      </c>
      <c r="CZ463" s="36">
        <v>20</v>
      </c>
      <c r="DA463" s="35" t="s">
        <v>138</v>
      </c>
      <c r="DB463" s="36" t="s">
        <v>138</v>
      </c>
      <c r="DC463" s="37">
        <v>3.17</v>
      </c>
      <c r="DD463" s="36">
        <v>76</v>
      </c>
      <c r="DE463" s="37">
        <v>-0.05</v>
      </c>
      <c r="DF463" s="35">
        <v>-1.55</v>
      </c>
      <c r="DG463" s="37">
        <v>3.17</v>
      </c>
      <c r="DH463" s="36">
        <v>75</v>
      </c>
      <c r="DI463" s="37" t="s">
        <v>138</v>
      </c>
      <c r="DJ463" s="36" t="s">
        <v>138</v>
      </c>
      <c r="DK463" s="37">
        <v>0.24</v>
      </c>
      <c r="DL463" s="36">
        <v>21</v>
      </c>
      <c r="DM463" s="37">
        <v>6.1</v>
      </c>
      <c r="DN463" s="36">
        <v>84</v>
      </c>
      <c r="DO463" s="37" t="s">
        <v>138</v>
      </c>
      <c r="DP463" s="36" t="s">
        <v>138</v>
      </c>
      <c r="DQ463" s="36">
        <v>81</v>
      </c>
      <c r="DR463" s="38">
        <v>2</v>
      </c>
      <c r="DS463" s="35">
        <v>2.5299999999999998</v>
      </c>
      <c r="DT463" s="36">
        <v>177</v>
      </c>
      <c r="DU463" s="38">
        <v>-2</v>
      </c>
      <c r="DV463" s="35">
        <v>-1.1200000000000001</v>
      </c>
      <c r="DW463" s="36" t="s">
        <v>138</v>
      </c>
      <c r="DX463" s="39" t="s">
        <v>138</v>
      </c>
      <c r="DY463" s="35" t="s">
        <v>138</v>
      </c>
      <c r="DZ463" s="28" t="s">
        <v>178</v>
      </c>
      <c r="EA463" s="34">
        <v>43351</v>
      </c>
      <c r="EB463" s="29">
        <v>6.95</v>
      </c>
      <c r="EC463" s="34">
        <v>42815</v>
      </c>
      <c r="ED463" s="28" t="s">
        <v>173</v>
      </c>
      <c r="EE463" s="40" t="str">
        <f>HYPERLINK("https://my.pitchbook.com?c=55224-19", "View company online")</f>
        <v>View company online</v>
      </c>
    </row>
    <row r="464" spans="1:135">
      <c r="A464" s="15" t="s">
        <v>9580</v>
      </c>
      <c r="B464" s="15" t="s">
        <v>9581</v>
      </c>
      <c r="C464" s="15" t="s">
        <v>138</v>
      </c>
      <c r="D464" s="15" t="s">
        <v>9582</v>
      </c>
      <c r="E464" s="15" t="s">
        <v>9583</v>
      </c>
      <c r="F464" s="15" t="s">
        <v>9580</v>
      </c>
      <c r="G464" s="15" t="s">
        <v>9584</v>
      </c>
      <c r="H464" s="15" t="s">
        <v>141</v>
      </c>
      <c r="I464" s="15" t="s">
        <v>212</v>
      </c>
      <c r="J464" s="15" t="s">
        <v>3547</v>
      </c>
      <c r="K464" s="15" t="s">
        <v>9585</v>
      </c>
      <c r="L464" s="15" t="s">
        <v>9586</v>
      </c>
      <c r="M464" s="15" t="s">
        <v>9587</v>
      </c>
      <c r="N464" s="15" t="s">
        <v>147</v>
      </c>
      <c r="O464" s="17">
        <v>54</v>
      </c>
      <c r="P464" s="15" t="s">
        <v>148</v>
      </c>
      <c r="Q464" s="15" t="s">
        <v>149</v>
      </c>
      <c r="R464" s="15" t="s">
        <v>174</v>
      </c>
      <c r="S464" s="15" t="s">
        <v>9588</v>
      </c>
      <c r="T464" s="18">
        <v>203</v>
      </c>
      <c r="U464" s="15" t="s">
        <v>9589</v>
      </c>
      <c r="V464" s="15" t="s">
        <v>138</v>
      </c>
      <c r="W464" s="15" t="s">
        <v>138</v>
      </c>
      <c r="X464" s="19">
        <v>2008</v>
      </c>
      <c r="Y464" s="15" t="s">
        <v>138</v>
      </c>
      <c r="Z464" s="15" t="s">
        <v>138</v>
      </c>
      <c r="AA464" s="15" t="s">
        <v>138</v>
      </c>
      <c r="AB464" s="20" t="s">
        <v>138</v>
      </c>
      <c r="AC464" s="20" t="s">
        <v>138</v>
      </c>
      <c r="AD464" s="20" t="s">
        <v>138</v>
      </c>
      <c r="AE464" s="20" t="s">
        <v>138</v>
      </c>
      <c r="AF464" s="20" t="s">
        <v>138</v>
      </c>
      <c r="AG464" s="15" t="s">
        <v>138</v>
      </c>
      <c r="AH464" s="20" t="s">
        <v>138</v>
      </c>
      <c r="AI464" s="20" t="s">
        <v>138</v>
      </c>
      <c r="AJ464" s="20" t="s">
        <v>138</v>
      </c>
      <c r="AK464" s="15" t="s">
        <v>9590</v>
      </c>
      <c r="AL464" s="15" t="s">
        <v>9591</v>
      </c>
      <c r="AM464" s="15" t="s">
        <v>9592</v>
      </c>
      <c r="AN464" s="15" t="s">
        <v>9593</v>
      </c>
      <c r="AO464" s="15" t="s">
        <v>9594</v>
      </c>
      <c r="AP464" s="15" t="s">
        <v>964</v>
      </c>
      <c r="AQ464" s="15" t="s">
        <v>9595</v>
      </c>
      <c r="AR464" s="15" t="s">
        <v>9596</v>
      </c>
      <c r="AS464" s="15" t="s">
        <v>966</v>
      </c>
      <c r="AT464" s="15" t="s">
        <v>200</v>
      </c>
      <c r="AU464" s="15" t="s">
        <v>3754</v>
      </c>
      <c r="AV464" s="15" t="s">
        <v>162</v>
      </c>
      <c r="AW464" s="15" t="s">
        <v>9594</v>
      </c>
      <c r="AX464" s="15" t="s">
        <v>9597</v>
      </c>
      <c r="AY464" s="15" t="s">
        <v>9598</v>
      </c>
      <c r="AZ464" s="15" t="s">
        <v>164</v>
      </c>
      <c r="BA464" s="15" t="s">
        <v>165</v>
      </c>
      <c r="BB464" s="15" t="s">
        <v>9599</v>
      </c>
      <c r="BC464" s="15" t="s">
        <v>9600</v>
      </c>
      <c r="BD464" s="21">
        <v>16</v>
      </c>
      <c r="BE464" s="15" t="s">
        <v>138</v>
      </c>
      <c r="BF464" s="15" t="s">
        <v>138</v>
      </c>
      <c r="BG464" s="15" t="s">
        <v>138</v>
      </c>
      <c r="BH464" s="15" t="s">
        <v>9601</v>
      </c>
      <c r="BI464" s="15" t="s">
        <v>138</v>
      </c>
      <c r="BJ464" s="15" t="s">
        <v>138</v>
      </c>
      <c r="BK464" s="15" t="s">
        <v>9602</v>
      </c>
      <c r="BL464" s="15" t="s">
        <v>9603</v>
      </c>
      <c r="BM464" s="22">
        <v>42359</v>
      </c>
      <c r="BN464" s="17">
        <v>22</v>
      </c>
      <c r="BO464" s="15" t="s">
        <v>1178</v>
      </c>
      <c r="BP464" s="17">
        <v>63</v>
      </c>
      <c r="BQ464" s="15" t="s">
        <v>172</v>
      </c>
      <c r="BR464" s="15" t="s">
        <v>173</v>
      </c>
      <c r="BS464" s="15" t="s">
        <v>206</v>
      </c>
      <c r="BT464" s="15" t="s">
        <v>138</v>
      </c>
      <c r="BU464" s="15" t="s">
        <v>174</v>
      </c>
      <c r="BV464" s="15" t="s">
        <v>138</v>
      </c>
      <c r="BW464" s="15" t="s">
        <v>138</v>
      </c>
      <c r="BX464" s="15" t="s">
        <v>138</v>
      </c>
      <c r="BY464" s="15" t="s">
        <v>175</v>
      </c>
      <c r="BZ464" s="22">
        <v>43146</v>
      </c>
      <c r="CA464" s="17">
        <v>32</v>
      </c>
      <c r="CB464" s="15" t="s">
        <v>172</v>
      </c>
      <c r="CC464" s="17">
        <v>130</v>
      </c>
      <c r="CD464" s="15" t="s">
        <v>172</v>
      </c>
      <c r="CE464" s="15" t="s">
        <v>173</v>
      </c>
      <c r="CF464" s="15" t="s">
        <v>720</v>
      </c>
      <c r="CG464" s="15" t="s">
        <v>138</v>
      </c>
      <c r="CH464" s="15" t="s">
        <v>174</v>
      </c>
      <c r="CI464" s="15" t="s">
        <v>138</v>
      </c>
      <c r="CJ464" s="15" t="s">
        <v>138</v>
      </c>
      <c r="CK464" s="15" t="s">
        <v>138</v>
      </c>
      <c r="CL464" s="15" t="s">
        <v>175</v>
      </c>
      <c r="CM464" s="22" t="s">
        <v>138</v>
      </c>
      <c r="CN464" s="17" t="s">
        <v>138</v>
      </c>
      <c r="CO464" s="23">
        <v>0.48</v>
      </c>
      <c r="CP464" s="24">
        <v>95</v>
      </c>
      <c r="CQ464" s="23">
        <v>0</v>
      </c>
      <c r="CR464" s="23">
        <v>-0.92</v>
      </c>
      <c r="CS464" s="23">
        <v>0.79</v>
      </c>
      <c r="CT464" s="24">
        <v>96</v>
      </c>
      <c r="CU464" s="23">
        <v>0.18</v>
      </c>
      <c r="CV464" s="24">
        <v>78</v>
      </c>
      <c r="CW464" s="23">
        <v>0.79</v>
      </c>
      <c r="CX464" s="24">
        <v>84</v>
      </c>
      <c r="CY464" s="23" t="s">
        <v>138</v>
      </c>
      <c r="CZ464" s="24" t="s">
        <v>138</v>
      </c>
      <c r="DA464" s="23">
        <v>0.2</v>
      </c>
      <c r="DB464" s="24">
        <v>82</v>
      </c>
      <c r="DC464" s="25">
        <v>146.41999999999999</v>
      </c>
      <c r="DD464" s="24">
        <v>99</v>
      </c>
      <c r="DE464" s="25">
        <v>-2.7</v>
      </c>
      <c r="DF464" s="23">
        <v>-1.81</v>
      </c>
      <c r="DG464" s="25">
        <v>52.45</v>
      </c>
      <c r="DH464" s="24">
        <v>98</v>
      </c>
      <c r="DI464" s="25">
        <v>240.38</v>
      </c>
      <c r="DJ464" s="24">
        <v>99</v>
      </c>
      <c r="DK464" s="25">
        <v>52.45</v>
      </c>
      <c r="DL464" s="24">
        <v>96</v>
      </c>
      <c r="DM464" s="25" t="s">
        <v>138</v>
      </c>
      <c r="DN464" s="24" t="s">
        <v>138</v>
      </c>
      <c r="DO464" s="25">
        <v>335.17</v>
      </c>
      <c r="DP464" s="24">
        <v>100</v>
      </c>
      <c r="DQ464" s="24">
        <v>17769</v>
      </c>
      <c r="DR464" s="26">
        <v>663</v>
      </c>
      <c r="DS464" s="23">
        <v>3.88</v>
      </c>
      <c r="DT464" s="24" t="s">
        <v>138</v>
      </c>
      <c r="DU464" s="26" t="s">
        <v>138</v>
      </c>
      <c r="DV464" s="23" t="s">
        <v>138</v>
      </c>
      <c r="DW464" s="24">
        <v>119858</v>
      </c>
      <c r="DX464" s="27">
        <v>264</v>
      </c>
      <c r="DY464" s="23">
        <v>0.22</v>
      </c>
      <c r="DZ464" s="15" t="s">
        <v>178</v>
      </c>
      <c r="EA464" s="22">
        <v>43619</v>
      </c>
      <c r="EB464" s="17">
        <v>130</v>
      </c>
      <c r="EC464" s="22">
        <v>43146</v>
      </c>
      <c r="ED464" s="15" t="s">
        <v>173</v>
      </c>
      <c r="EE464" s="14" t="str">
        <f>HYPERLINK("https://my.pitchbook.com?c=56319-13", "View company online")</f>
        <v>View company online</v>
      </c>
    </row>
    <row r="465" spans="1:135">
      <c r="A465" s="28" t="s">
        <v>9604</v>
      </c>
      <c r="B465" s="28" t="s">
        <v>9605</v>
      </c>
      <c r="C465" s="28" t="s">
        <v>138</v>
      </c>
      <c r="D465" s="28" t="s">
        <v>138</v>
      </c>
      <c r="E465" s="28" t="s">
        <v>9606</v>
      </c>
      <c r="F465" s="28" t="s">
        <v>9604</v>
      </c>
      <c r="G465" s="28" t="s">
        <v>9607</v>
      </c>
      <c r="H465" s="28" t="s">
        <v>322</v>
      </c>
      <c r="I465" s="28" t="s">
        <v>323</v>
      </c>
      <c r="J465" s="28" t="s">
        <v>2084</v>
      </c>
      <c r="K465" s="28" t="s">
        <v>5804</v>
      </c>
      <c r="L465" s="28" t="s">
        <v>9608</v>
      </c>
      <c r="M465" s="28" t="s">
        <v>9609</v>
      </c>
      <c r="N465" s="28" t="s">
        <v>147</v>
      </c>
      <c r="O465" s="29">
        <v>6</v>
      </c>
      <c r="P465" s="28" t="s">
        <v>148</v>
      </c>
      <c r="Q465" s="28" t="s">
        <v>149</v>
      </c>
      <c r="R465" s="28" t="s">
        <v>174</v>
      </c>
      <c r="S465" s="28" t="s">
        <v>9610</v>
      </c>
      <c r="T465" s="30" t="s">
        <v>138</v>
      </c>
      <c r="U465" s="28" t="s">
        <v>138</v>
      </c>
      <c r="V465" s="28" t="s">
        <v>138</v>
      </c>
      <c r="W465" s="28" t="s">
        <v>138</v>
      </c>
      <c r="X465" s="31">
        <v>2014</v>
      </c>
      <c r="Y465" s="28" t="s">
        <v>138</v>
      </c>
      <c r="Z465" s="28" t="s">
        <v>138</v>
      </c>
      <c r="AA465" s="28" t="s">
        <v>138</v>
      </c>
      <c r="AB465" s="32" t="s">
        <v>138</v>
      </c>
      <c r="AC465" s="32" t="s">
        <v>138</v>
      </c>
      <c r="AD465" s="32" t="s">
        <v>138</v>
      </c>
      <c r="AE465" s="32" t="s">
        <v>138</v>
      </c>
      <c r="AF465" s="32" t="s">
        <v>138</v>
      </c>
      <c r="AG465" s="28" t="s">
        <v>138</v>
      </c>
      <c r="AH465" s="32" t="s">
        <v>138</v>
      </c>
      <c r="AI465" s="32" t="s">
        <v>138</v>
      </c>
      <c r="AJ465" s="32" t="s">
        <v>138</v>
      </c>
      <c r="AK465" s="28" t="s">
        <v>9611</v>
      </c>
      <c r="AL465" s="28" t="s">
        <v>9612</v>
      </c>
      <c r="AM465" s="28" t="s">
        <v>986</v>
      </c>
      <c r="AN465" s="28" t="s">
        <v>9613</v>
      </c>
      <c r="AO465" s="28" t="s">
        <v>9614</v>
      </c>
      <c r="AP465" s="28" t="s">
        <v>307</v>
      </c>
      <c r="AQ465" s="28" t="s">
        <v>9615</v>
      </c>
      <c r="AR465" s="28" t="s">
        <v>2095</v>
      </c>
      <c r="AS465" s="28" t="s">
        <v>310</v>
      </c>
      <c r="AT465" s="28" t="s">
        <v>200</v>
      </c>
      <c r="AU465" s="28" t="s">
        <v>311</v>
      </c>
      <c r="AV465" s="28" t="s">
        <v>162</v>
      </c>
      <c r="AW465" s="28" t="s">
        <v>9616</v>
      </c>
      <c r="AX465" s="28" t="s">
        <v>138</v>
      </c>
      <c r="AY465" s="28" t="s">
        <v>138</v>
      </c>
      <c r="AZ465" s="28" t="s">
        <v>164</v>
      </c>
      <c r="BA465" s="28" t="s">
        <v>165</v>
      </c>
      <c r="BB465" s="28" t="s">
        <v>9617</v>
      </c>
      <c r="BC465" s="28" t="s">
        <v>9618</v>
      </c>
      <c r="BD465" s="33">
        <v>3</v>
      </c>
      <c r="BE465" s="28" t="s">
        <v>138</v>
      </c>
      <c r="BF465" s="28" t="s">
        <v>138</v>
      </c>
      <c r="BG465" s="28" t="s">
        <v>138</v>
      </c>
      <c r="BH465" s="28" t="s">
        <v>9619</v>
      </c>
      <c r="BI465" s="28" t="s">
        <v>138</v>
      </c>
      <c r="BJ465" s="28" t="s">
        <v>138</v>
      </c>
      <c r="BK465" s="28" t="s">
        <v>138</v>
      </c>
      <c r="BL465" s="28" t="s">
        <v>138</v>
      </c>
      <c r="BM465" s="34">
        <v>42606</v>
      </c>
      <c r="BN465" s="29">
        <v>6</v>
      </c>
      <c r="BO465" s="28" t="s">
        <v>172</v>
      </c>
      <c r="BP465" s="29">
        <v>20.34</v>
      </c>
      <c r="BQ465" s="28" t="s">
        <v>172</v>
      </c>
      <c r="BR465" s="28" t="s">
        <v>205</v>
      </c>
      <c r="BS465" s="28" t="s">
        <v>206</v>
      </c>
      <c r="BT465" s="28" t="s">
        <v>138</v>
      </c>
      <c r="BU465" s="28" t="s">
        <v>174</v>
      </c>
      <c r="BV465" s="28" t="s">
        <v>138</v>
      </c>
      <c r="BW465" s="28" t="s">
        <v>138</v>
      </c>
      <c r="BX465" s="28" t="s">
        <v>138</v>
      </c>
      <c r="BY465" s="28" t="s">
        <v>175</v>
      </c>
      <c r="BZ465" s="34">
        <v>42606</v>
      </c>
      <c r="CA465" s="29">
        <v>6</v>
      </c>
      <c r="CB465" s="28" t="s">
        <v>172</v>
      </c>
      <c r="CC465" s="29">
        <v>20.34</v>
      </c>
      <c r="CD465" s="28" t="s">
        <v>172</v>
      </c>
      <c r="CE465" s="28" t="s">
        <v>205</v>
      </c>
      <c r="CF465" s="28" t="s">
        <v>206</v>
      </c>
      <c r="CG465" s="28" t="s">
        <v>138</v>
      </c>
      <c r="CH465" s="28" t="s">
        <v>174</v>
      </c>
      <c r="CI465" s="28" t="s">
        <v>138</v>
      </c>
      <c r="CJ465" s="28" t="s">
        <v>138</v>
      </c>
      <c r="CK465" s="28" t="s">
        <v>138</v>
      </c>
      <c r="CL465" s="28" t="s">
        <v>175</v>
      </c>
      <c r="CM465" s="34" t="s">
        <v>138</v>
      </c>
      <c r="CN465" s="29" t="s">
        <v>138</v>
      </c>
      <c r="CO465" s="35">
        <v>-0.56999999999999995</v>
      </c>
      <c r="CP465" s="36">
        <v>15</v>
      </c>
      <c r="CQ465" s="35">
        <v>-0.04</v>
      </c>
      <c r="CR465" s="35">
        <v>-6.95</v>
      </c>
      <c r="CS465" s="35">
        <v>-1.25</v>
      </c>
      <c r="CT465" s="36">
        <v>13</v>
      </c>
      <c r="CU465" s="35">
        <v>0.12</v>
      </c>
      <c r="CV465" s="36">
        <v>71</v>
      </c>
      <c r="CW465" s="35">
        <v>-2.09</v>
      </c>
      <c r="CX465" s="36">
        <v>7</v>
      </c>
      <c r="CY465" s="35">
        <v>-0.41</v>
      </c>
      <c r="CZ465" s="36">
        <v>23</v>
      </c>
      <c r="DA465" s="35">
        <v>0.23</v>
      </c>
      <c r="DB465" s="36">
        <v>85</v>
      </c>
      <c r="DC465" s="37">
        <v>3.57</v>
      </c>
      <c r="DD465" s="36">
        <v>78</v>
      </c>
      <c r="DE465" s="37">
        <v>-0.14000000000000001</v>
      </c>
      <c r="DF465" s="35">
        <v>-3.83</v>
      </c>
      <c r="DG465" s="37">
        <v>5.69</v>
      </c>
      <c r="DH465" s="36">
        <v>84</v>
      </c>
      <c r="DI465" s="37">
        <v>1.45</v>
      </c>
      <c r="DJ465" s="36">
        <v>56</v>
      </c>
      <c r="DK465" s="37">
        <v>4.7</v>
      </c>
      <c r="DL465" s="36">
        <v>78</v>
      </c>
      <c r="DM465" s="37">
        <v>6.69</v>
      </c>
      <c r="DN465" s="36">
        <v>85</v>
      </c>
      <c r="DO465" s="37">
        <v>1.23</v>
      </c>
      <c r="DP465" s="36">
        <v>54</v>
      </c>
      <c r="DQ465" s="36">
        <v>1579</v>
      </c>
      <c r="DR465" s="38">
        <v>94</v>
      </c>
      <c r="DS465" s="35">
        <v>6.33</v>
      </c>
      <c r="DT465" s="36">
        <v>193</v>
      </c>
      <c r="DU465" s="38">
        <v>0</v>
      </c>
      <c r="DV465" s="35">
        <v>0</v>
      </c>
      <c r="DW465" s="36">
        <v>439</v>
      </c>
      <c r="DX465" s="39">
        <v>-3</v>
      </c>
      <c r="DY465" s="35">
        <v>-0.68</v>
      </c>
      <c r="DZ465" s="28" t="s">
        <v>178</v>
      </c>
      <c r="EA465" s="34">
        <v>43351</v>
      </c>
      <c r="EB465" s="29">
        <v>20.34</v>
      </c>
      <c r="EC465" s="34">
        <v>42606</v>
      </c>
      <c r="ED465" s="28" t="s">
        <v>205</v>
      </c>
      <c r="EE465" s="40" t="str">
        <f>HYPERLINK("https://my.pitchbook.com?c=117692-92", "View company online")</f>
        <v>View company online</v>
      </c>
    </row>
    <row r="466" spans="1:135">
      <c r="A466" s="15" t="s">
        <v>9620</v>
      </c>
      <c r="B466" s="15" t="s">
        <v>9621</v>
      </c>
      <c r="C466" s="15" t="s">
        <v>9622</v>
      </c>
      <c r="D466" s="15" t="s">
        <v>138</v>
      </c>
      <c r="E466" s="15" t="s">
        <v>9623</v>
      </c>
      <c r="F466" s="15" t="s">
        <v>9620</v>
      </c>
      <c r="G466" s="15" t="s">
        <v>9624</v>
      </c>
      <c r="H466" s="15" t="s">
        <v>322</v>
      </c>
      <c r="I466" s="15" t="s">
        <v>323</v>
      </c>
      <c r="J466" s="15" t="s">
        <v>324</v>
      </c>
      <c r="K466" s="15" t="s">
        <v>9625</v>
      </c>
      <c r="L466" s="15" t="s">
        <v>215</v>
      </c>
      <c r="M466" s="15" t="s">
        <v>9626</v>
      </c>
      <c r="N466" s="15" t="s">
        <v>147</v>
      </c>
      <c r="O466" s="17">
        <v>56.2</v>
      </c>
      <c r="P466" s="15" t="s">
        <v>148</v>
      </c>
      <c r="Q466" s="15" t="s">
        <v>149</v>
      </c>
      <c r="R466" s="15" t="s">
        <v>174</v>
      </c>
      <c r="S466" s="15" t="s">
        <v>9627</v>
      </c>
      <c r="T466" s="18">
        <v>300</v>
      </c>
      <c r="U466" s="15" t="s">
        <v>8657</v>
      </c>
      <c r="V466" s="15" t="s">
        <v>138</v>
      </c>
      <c r="W466" s="15" t="s">
        <v>138</v>
      </c>
      <c r="X466" s="19">
        <v>2014</v>
      </c>
      <c r="Y466" s="15" t="s">
        <v>138</v>
      </c>
      <c r="Z466" s="15" t="s">
        <v>138</v>
      </c>
      <c r="AA466" s="15" t="s">
        <v>138</v>
      </c>
      <c r="AB466" s="20" t="s">
        <v>138</v>
      </c>
      <c r="AC466" s="20" t="s">
        <v>138</v>
      </c>
      <c r="AD466" s="20" t="s">
        <v>138</v>
      </c>
      <c r="AE466" s="20" t="s">
        <v>138</v>
      </c>
      <c r="AF466" s="20" t="s">
        <v>138</v>
      </c>
      <c r="AG466" s="15" t="s">
        <v>138</v>
      </c>
      <c r="AH466" s="20" t="s">
        <v>138</v>
      </c>
      <c r="AI466" s="20" t="s">
        <v>138</v>
      </c>
      <c r="AJ466" s="20" t="s">
        <v>138</v>
      </c>
      <c r="AK466" s="15" t="s">
        <v>9628</v>
      </c>
      <c r="AL466" s="15" t="s">
        <v>9629</v>
      </c>
      <c r="AM466" s="15" t="s">
        <v>916</v>
      </c>
      <c r="AN466" s="15" t="s">
        <v>138</v>
      </c>
      <c r="AO466" s="15" t="s">
        <v>9630</v>
      </c>
      <c r="AP466" s="15" t="s">
        <v>3881</v>
      </c>
      <c r="AQ466" s="15" t="s">
        <v>9631</v>
      </c>
      <c r="AR466" s="15" t="s">
        <v>6298</v>
      </c>
      <c r="AS466" s="15" t="s">
        <v>3428</v>
      </c>
      <c r="AT466" s="15" t="s">
        <v>3883</v>
      </c>
      <c r="AU466" s="15" t="s">
        <v>9632</v>
      </c>
      <c r="AV466" s="15" t="s">
        <v>162</v>
      </c>
      <c r="AW466" s="15" t="s">
        <v>9630</v>
      </c>
      <c r="AX466" s="15" t="s">
        <v>138</v>
      </c>
      <c r="AY466" s="15" t="s">
        <v>138</v>
      </c>
      <c r="AZ466" s="15" t="s">
        <v>164</v>
      </c>
      <c r="BA466" s="15" t="s">
        <v>165</v>
      </c>
      <c r="BB466" s="15" t="s">
        <v>9633</v>
      </c>
      <c r="BC466" s="15" t="s">
        <v>9634</v>
      </c>
      <c r="BD466" s="21">
        <v>18</v>
      </c>
      <c r="BE466" s="15" t="s">
        <v>138</v>
      </c>
      <c r="BF466" s="15" t="s">
        <v>138</v>
      </c>
      <c r="BG466" s="15" t="s">
        <v>138</v>
      </c>
      <c r="BH466" s="15" t="s">
        <v>9635</v>
      </c>
      <c r="BI466" s="15" t="s">
        <v>138</v>
      </c>
      <c r="BJ466" s="15" t="s">
        <v>138</v>
      </c>
      <c r="BK466" s="15" t="s">
        <v>138</v>
      </c>
      <c r="BL466" s="15" t="s">
        <v>9493</v>
      </c>
      <c r="BM466" s="22">
        <v>41766</v>
      </c>
      <c r="BN466" s="17" t="s">
        <v>138</v>
      </c>
      <c r="BO466" s="15" t="s">
        <v>138</v>
      </c>
      <c r="BP466" s="17" t="s">
        <v>138</v>
      </c>
      <c r="BQ466" s="15" t="s">
        <v>138</v>
      </c>
      <c r="BR466" s="15" t="s">
        <v>234</v>
      </c>
      <c r="BS466" s="15" t="s">
        <v>234</v>
      </c>
      <c r="BT466" s="15" t="s">
        <v>138</v>
      </c>
      <c r="BU466" s="15" t="s">
        <v>174</v>
      </c>
      <c r="BV466" s="15" t="s">
        <v>138</v>
      </c>
      <c r="BW466" s="15" t="s">
        <v>138</v>
      </c>
      <c r="BX466" s="15" t="s">
        <v>138</v>
      </c>
      <c r="BY466" s="15" t="s">
        <v>175</v>
      </c>
      <c r="BZ466" s="22">
        <v>43495</v>
      </c>
      <c r="CA466" s="17">
        <v>26.5</v>
      </c>
      <c r="CB466" s="15" t="s">
        <v>172</v>
      </c>
      <c r="CC466" s="17">
        <v>130</v>
      </c>
      <c r="CD466" s="15" t="s">
        <v>172</v>
      </c>
      <c r="CE466" s="15" t="s">
        <v>173</v>
      </c>
      <c r="CF466" s="15" t="s">
        <v>317</v>
      </c>
      <c r="CG466" s="15" t="s">
        <v>138</v>
      </c>
      <c r="CH466" s="15" t="s">
        <v>174</v>
      </c>
      <c r="CI466" s="15" t="s">
        <v>1328</v>
      </c>
      <c r="CJ466" s="15" t="s">
        <v>138</v>
      </c>
      <c r="CK466" s="15" t="s">
        <v>138</v>
      </c>
      <c r="CL466" s="15" t="s">
        <v>175</v>
      </c>
      <c r="CM466" s="22">
        <v>43495</v>
      </c>
      <c r="CN466" s="17">
        <v>6.5</v>
      </c>
      <c r="CO466" s="23">
        <v>3.21</v>
      </c>
      <c r="CP466" s="24">
        <v>100</v>
      </c>
      <c r="CQ466" s="23">
        <v>0</v>
      </c>
      <c r="CR466" s="23">
        <v>0.01</v>
      </c>
      <c r="CS466" s="23">
        <v>9.64</v>
      </c>
      <c r="CT466" s="24">
        <v>100</v>
      </c>
      <c r="CU466" s="23">
        <v>-0.01</v>
      </c>
      <c r="CV466" s="24">
        <v>20</v>
      </c>
      <c r="CW466" s="23">
        <v>9.64</v>
      </c>
      <c r="CX466" s="24">
        <v>99</v>
      </c>
      <c r="CY466" s="23" t="s">
        <v>138</v>
      </c>
      <c r="CZ466" s="24" t="s">
        <v>138</v>
      </c>
      <c r="DA466" s="23">
        <v>-0.01</v>
      </c>
      <c r="DB466" s="24">
        <v>21</v>
      </c>
      <c r="DC466" s="25">
        <v>7.51</v>
      </c>
      <c r="DD466" s="24">
        <v>87</v>
      </c>
      <c r="DE466" s="25">
        <v>0.82</v>
      </c>
      <c r="DF466" s="23">
        <v>12.25</v>
      </c>
      <c r="DG466" s="25">
        <v>10.78</v>
      </c>
      <c r="DH466" s="24">
        <v>90</v>
      </c>
      <c r="DI466" s="25">
        <v>11.19</v>
      </c>
      <c r="DJ466" s="24">
        <v>86</v>
      </c>
      <c r="DK466" s="25">
        <v>10.78</v>
      </c>
      <c r="DL466" s="24">
        <v>87</v>
      </c>
      <c r="DM466" s="25" t="s">
        <v>138</v>
      </c>
      <c r="DN466" s="24" t="s">
        <v>138</v>
      </c>
      <c r="DO466" s="25">
        <v>11.19</v>
      </c>
      <c r="DP466" s="24">
        <v>88</v>
      </c>
      <c r="DQ466" s="24">
        <v>3617</v>
      </c>
      <c r="DR466" s="26">
        <v>237</v>
      </c>
      <c r="DS466" s="23">
        <v>7.01</v>
      </c>
      <c r="DT466" s="24" t="s">
        <v>138</v>
      </c>
      <c r="DU466" s="26" t="s">
        <v>138</v>
      </c>
      <c r="DV466" s="23" t="s">
        <v>138</v>
      </c>
      <c r="DW466" s="24">
        <v>4002</v>
      </c>
      <c r="DX466" s="27">
        <v>4</v>
      </c>
      <c r="DY466" s="23">
        <v>0.1</v>
      </c>
      <c r="DZ466" s="15" t="s">
        <v>178</v>
      </c>
      <c r="EA466" s="22">
        <v>43622</v>
      </c>
      <c r="EB466" s="17">
        <v>130</v>
      </c>
      <c r="EC466" s="22">
        <v>43495</v>
      </c>
      <c r="ED466" s="15" t="s">
        <v>173</v>
      </c>
      <c r="EE466" s="14" t="str">
        <f>HYPERLINK("https://my.pitchbook.com?c=62937-91", "View company online")</f>
        <v>View company online</v>
      </c>
    </row>
    <row r="467" spans="1:135">
      <c r="A467" s="28" t="s">
        <v>9636</v>
      </c>
      <c r="B467" s="28" t="s">
        <v>9637</v>
      </c>
      <c r="C467" s="28" t="s">
        <v>138</v>
      </c>
      <c r="D467" s="28" t="s">
        <v>138</v>
      </c>
      <c r="E467" s="28" t="s">
        <v>9638</v>
      </c>
      <c r="F467" s="28" t="s">
        <v>9636</v>
      </c>
      <c r="G467" s="28" t="s">
        <v>9639</v>
      </c>
      <c r="H467" s="28" t="s">
        <v>322</v>
      </c>
      <c r="I467" s="28" t="s">
        <v>323</v>
      </c>
      <c r="J467" s="28" t="s">
        <v>1132</v>
      </c>
      <c r="K467" s="28" t="s">
        <v>9640</v>
      </c>
      <c r="L467" s="28" t="s">
        <v>9641</v>
      </c>
      <c r="M467" s="28" t="s">
        <v>9642</v>
      </c>
      <c r="N467" s="28" t="s">
        <v>147</v>
      </c>
      <c r="O467" s="29">
        <v>8</v>
      </c>
      <c r="P467" s="28" t="s">
        <v>148</v>
      </c>
      <c r="Q467" s="28" t="s">
        <v>149</v>
      </c>
      <c r="R467" s="28" t="s">
        <v>174</v>
      </c>
      <c r="S467" s="28" t="s">
        <v>9643</v>
      </c>
      <c r="T467" s="30">
        <v>70</v>
      </c>
      <c r="U467" s="28" t="s">
        <v>9644</v>
      </c>
      <c r="V467" s="28" t="s">
        <v>138</v>
      </c>
      <c r="W467" s="28" t="s">
        <v>138</v>
      </c>
      <c r="X467" s="31">
        <v>2014</v>
      </c>
      <c r="Y467" s="28" t="s">
        <v>138</v>
      </c>
      <c r="Z467" s="28" t="s">
        <v>138</v>
      </c>
      <c r="AA467" s="28" t="s">
        <v>138</v>
      </c>
      <c r="AB467" s="32" t="s">
        <v>138</v>
      </c>
      <c r="AC467" s="32" t="s">
        <v>138</v>
      </c>
      <c r="AD467" s="32" t="s">
        <v>138</v>
      </c>
      <c r="AE467" s="32" t="s">
        <v>138</v>
      </c>
      <c r="AF467" s="32" t="s">
        <v>138</v>
      </c>
      <c r="AG467" s="28" t="s">
        <v>138</v>
      </c>
      <c r="AH467" s="32" t="s">
        <v>138</v>
      </c>
      <c r="AI467" s="32" t="s">
        <v>138</v>
      </c>
      <c r="AJ467" s="32" t="s">
        <v>138</v>
      </c>
      <c r="AK467" s="28" t="s">
        <v>9645</v>
      </c>
      <c r="AL467" s="28" t="s">
        <v>9646</v>
      </c>
      <c r="AM467" s="28" t="s">
        <v>304</v>
      </c>
      <c r="AN467" s="28" t="s">
        <v>9647</v>
      </c>
      <c r="AO467" s="28" t="s">
        <v>138</v>
      </c>
      <c r="AP467" s="28" t="s">
        <v>3970</v>
      </c>
      <c r="AQ467" s="28" t="s">
        <v>9648</v>
      </c>
      <c r="AR467" s="28" t="s">
        <v>138</v>
      </c>
      <c r="AS467" s="28" t="s">
        <v>3972</v>
      </c>
      <c r="AT467" s="28" t="s">
        <v>138</v>
      </c>
      <c r="AU467" s="28" t="s">
        <v>138</v>
      </c>
      <c r="AV467" s="28" t="s">
        <v>740</v>
      </c>
      <c r="AW467" s="28" t="s">
        <v>138</v>
      </c>
      <c r="AX467" s="28" t="s">
        <v>138</v>
      </c>
      <c r="AY467" s="28" t="s">
        <v>138</v>
      </c>
      <c r="AZ467" s="28" t="s">
        <v>742</v>
      </c>
      <c r="BA467" s="28" t="s">
        <v>742</v>
      </c>
      <c r="BB467" s="28" t="s">
        <v>9649</v>
      </c>
      <c r="BC467" s="28" t="s">
        <v>9650</v>
      </c>
      <c r="BD467" s="33">
        <v>9</v>
      </c>
      <c r="BE467" s="28" t="s">
        <v>138</v>
      </c>
      <c r="BF467" s="28" t="s">
        <v>138</v>
      </c>
      <c r="BG467" s="28" t="s">
        <v>138</v>
      </c>
      <c r="BH467" s="28" t="s">
        <v>9651</v>
      </c>
      <c r="BI467" s="28" t="s">
        <v>138</v>
      </c>
      <c r="BJ467" s="28" t="s">
        <v>138</v>
      </c>
      <c r="BK467" s="28" t="s">
        <v>138</v>
      </c>
      <c r="BL467" s="28" t="s">
        <v>138</v>
      </c>
      <c r="BM467" s="34">
        <v>41896</v>
      </c>
      <c r="BN467" s="29">
        <v>1</v>
      </c>
      <c r="BO467" s="28" t="s">
        <v>172</v>
      </c>
      <c r="BP467" s="29">
        <v>3.33</v>
      </c>
      <c r="BQ467" s="28" t="s">
        <v>138</v>
      </c>
      <c r="BR467" s="28" t="s">
        <v>234</v>
      </c>
      <c r="BS467" s="28" t="s">
        <v>234</v>
      </c>
      <c r="BT467" s="28" t="s">
        <v>138</v>
      </c>
      <c r="BU467" s="28" t="s">
        <v>263</v>
      </c>
      <c r="BV467" s="28" t="s">
        <v>138</v>
      </c>
      <c r="BW467" s="28" t="s">
        <v>138</v>
      </c>
      <c r="BX467" s="28" t="s">
        <v>138</v>
      </c>
      <c r="BY467" s="28" t="s">
        <v>175</v>
      </c>
      <c r="BZ467" s="34">
        <v>42380</v>
      </c>
      <c r="CA467" s="29">
        <v>7</v>
      </c>
      <c r="CB467" s="28" t="s">
        <v>172</v>
      </c>
      <c r="CC467" s="29" t="s">
        <v>138</v>
      </c>
      <c r="CD467" s="28" t="s">
        <v>138</v>
      </c>
      <c r="CE467" s="28" t="s">
        <v>205</v>
      </c>
      <c r="CF467" s="28" t="s">
        <v>206</v>
      </c>
      <c r="CG467" s="28" t="s">
        <v>138</v>
      </c>
      <c r="CH467" s="28" t="s">
        <v>174</v>
      </c>
      <c r="CI467" s="28" t="s">
        <v>138</v>
      </c>
      <c r="CJ467" s="28" t="s">
        <v>138</v>
      </c>
      <c r="CK467" s="28" t="s">
        <v>138</v>
      </c>
      <c r="CL467" s="28" t="s">
        <v>175</v>
      </c>
      <c r="CM467" s="34" t="s">
        <v>138</v>
      </c>
      <c r="CN467" s="29" t="s">
        <v>138</v>
      </c>
      <c r="CO467" s="35">
        <v>0.45</v>
      </c>
      <c r="CP467" s="36">
        <v>95</v>
      </c>
      <c r="CQ467" s="35">
        <v>-0.02</v>
      </c>
      <c r="CR467" s="35">
        <v>-3.99</v>
      </c>
      <c r="CS467" s="35">
        <v>-0.17</v>
      </c>
      <c r="CT467" s="36">
        <v>22</v>
      </c>
      <c r="CU467" s="35">
        <v>1.06</v>
      </c>
      <c r="CV467" s="36">
        <v>98</v>
      </c>
      <c r="CW467" s="35">
        <v>-0.17</v>
      </c>
      <c r="CX467" s="36">
        <v>12</v>
      </c>
      <c r="CY467" s="35" t="s">
        <v>138</v>
      </c>
      <c r="CZ467" s="36" t="s">
        <v>138</v>
      </c>
      <c r="DA467" s="35">
        <v>1.06</v>
      </c>
      <c r="DB467" s="36">
        <v>98</v>
      </c>
      <c r="DC467" s="37">
        <v>18.55</v>
      </c>
      <c r="DD467" s="36">
        <v>94</v>
      </c>
      <c r="DE467" s="37">
        <v>-1.04</v>
      </c>
      <c r="DF467" s="35">
        <v>-5.3</v>
      </c>
      <c r="DG467" s="37">
        <v>18.28</v>
      </c>
      <c r="DH467" s="36">
        <v>94</v>
      </c>
      <c r="DI467" s="37">
        <v>18.82</v>
      </c>
      <c r="DJ467" s="36">
        <v>90</v>
      </c>
      <c r="DK467" s="37">
        <v>18.28</v>
      </c>
      <c r="DL467" s="36">
        <v>91</v>
      </c>
      <c r="DM467" s="37" t="s">
        <v>138</v>
      </c>
      <c r="DN467" s="36" t="s">
        <v>138</v>
      </c>
      <c r="DO467" s="37">
        <v>18.82</v>
      </c>
      <c r="DP467" s="36">
        <v>92</v>
      </c>
      <c r="DQ467" s="36">
        <v>6242</v>
      </c>
      <c r="DR467" s="38">
        <v>85</v>
      </c>
      <c r="DS467" s="35">
        <v>1.38</v>
      </c>
      <c r="DT467" s="36" t="s">
        <v>138</v>
      </c>
      <c r="DU467" s="38" t="s">
        <v>138</v>
      </c>
      <c r="DV467" s="35" t="s">
        <v>138</v>
      </c>
      <c r="DW467" s="36">
        <v>6712</v>
      </c>
      <c r="DX467" s="39">
        <v>61</v>
      </c>
      <c r="DY467" s="35">
        <v>0.92</v>
      </c>
      <c r="DZ467" s="28" t="s">
        <v>178</v>
      </c>
      <c r="EA467" s="34">
        <v>43351</v>
      </c>
      <c r="EB467" s="29">
        <v>3.33</v>
      </c>
      <c r="EC467" s="34">
        <v>41896</v>
      </c>
      <c r="ED467" s="28" t="s">
        <v>234</v>
      </c>
      <c r="EE467" s="40" t="str">
        <f>HYPERLINK("https://my.pitchbook.com?c=138689-02", "View company online")</f>
        <v>View company online</v>
      </c>
    </row>
    <row r="468" spans="1:135">
      <c r="A468" s="15" t="s">
        <v>9652</v>
      </c>
      <c r="B468" s="15" t="s">
        <v>9653</v>
      </c>
      <c r="C468" s="15" t="s">
        <v>138</v>
      </c>
      <c r="D468" s="15" t="s">
        <v>138</v>
      </c>
      <c r="E468" s="15" t="s">
        <v>9654</v>
      </c>
      <c r="F468" s="15" t="s">
        <v>9652</v>
      </c>
      <c r="G468" s="15" t="s">
        <v>9655</v>
      </c>
      <c r="H468" s="15" t="s">
        <v>322</v>
      </c>
      <c r="I468" s="15" t="s">
        <v>323</v>
      </c>
      <c r="J468" s="15" t="s">
        <v>5827</v>
      </c>
      <c r="K468" s="15" t="s">
        <v>9656</v>
      </c>
      <c r="L468" s="15" t="s">
        <v>9657</v>
      </c>
      <c r="M468" s="15" t="s">
        <v>9658</v>
      </c>
      <c r="N468" s="15" t="s">
        <v>147</v>
      </c>
      <c r="O468" s="17">
        <v>75.569999999999993</v>
      </c>
      <c r="P468" s="15" t="s">
        <v>148</v>
      </c>
      <c r="Q468" s="15" t="s">
        <v>149</v>
      </c>
      <c r="R468" s="15" t="s">
        <v>174</v>
      </c>
      <c r="S468" s="15" t="s">
        <v>9659</v>
      </c>
      <c r="T468" s="18">
        <v>150</v>
      </c>
      <c r="U468" s="15" t="s">
        <v>9660</v>
      </c>
      <c r="V468" s="15" t="s">
        <v>138</v>
      </c>
      <c r="W468" s="15" t="s">
        <v>138</v>
      </c>
      <c r="X468" s="19">
        <v>2012</v>
      </c>
      <c r="Y468" s="15" t="s">
        <v>138</v>
      </c>
      <c r="Z468" s="15" t="s">
        <v>138</v>
      </c>
      <c r="AA468" s="15" t="s">
        <v>138</v>
      </c>
      <c r="AB468" s="20" t="s">
        <v>138</v>
      </c>
      <c r="AC468" s="20" t="s">
        <v>138</v>
      </c>
      <c r="AD468" s="20" t="s">
        <v>138</v>
      </c>
      <c r="AE468" s="20" t="s">
        <v>138</v>
      </c>
      <c r="AF468" s="20" t="s">
        <v>138</v>
      </c>
      <c r="AG468" s="15" t="s">
        <v>138</v>
      </c>
      <c r="AH468" s="20" t="s">
        <v>138</v>
      </c>
      <c r="AI468" s="20" t="s">
        <v>138</v>
      </c>
      <c r="AJ468" s="20" t="s">
        <v>138</v>
      </c>
      <c r="AK468" s="15" t="s">
        <v>9661</v>
      </c>
      <c r="AL468" s="15" t="s">
        <v>9662</v>
      </c>
      <c r="AM468" s="15" t="s">
        <v>9663</v>
      </c>
      <c r="AN468" s="15" t="s">
        <v>9664</v>
      </c>
      <c r="AO468" s="15" t="s">
        <v>9665</v>
      </c>
      <c r="AP468" s="15" t="s">
        <v>941</v>
      </c>
      <c r="AQ468" s="15" t="s">
        <v>9666</v>
      </c>
      <c r="AR468" s="15" t="s">
        <v>138</v>
      </c>
      <c r="AS468" s="15" t="s">
        <v>944</v>
      </c>
      <c r="AT468" s="15" t="s">
        <v>138</v>
      </c>
      <c r="AU468" s="15" t="s">
        <v>9667</v>
      </c>
      <c r="AV468" s="15" t="s">
        <v>946</v>
      </c>
      <c r="AW468" s="15" t="s">
        <v>9665</v>
      </c>
      <c r="AX468" s="15" t="s">
        <v>138</v>
      </c>
      <c r="AY468" s="15" t="s">
        <v>9668</v>
      </c>
      <c r="AZ468" s="15" t="s">
        <v>530</v>
      </c>
      <c r="BA468" s="15" t="s">
        <v>531</v>
      </c>
      <c r="BB468" s="15" t="s">
        <v>9669</v>
      </c>
      <c r="BC468" s="15" t="s">
        <v>9670</v>
      </c>
      <c r="BD468" s="21">
        <v>17</v>
      </c>
      <c r="BE468" s="15" t="s">
        <v>138</v>
      </c>
      <c r="BF468" s="15" t="s">
        <v>138</v>
      </c>
      <c r="BG468" s="15" t="s">
        <v>138</v>
      </c>
      <c r="BH468" s="15" t="s">
        <v>9671</v>
      </c>
      <c r="BI468" s="15" t="s">
        <v>138</v>
      </c>
      <c r="BJ468" s="15" t="s">
        <v>138</v>
      </c>
      <c r="BK468" s="15" t="s">
        <v>138</v>
      </c>
      <c r="BL468" s="15" t="s">
        <v>9672</v>
      </c>
      <c r="BM468" s="22">
        <v>41030</v>
      </c>
      <c r="BN468" s="17" t="s">
        <v>138</v>
      </c>
      <c r="BO468" s="15" t="s">
        <v>138</v>
      </c>
      <c r="BP468" s="17" t="s">
        <v>138</v>
      </c>
      <c r="BQ468" s="15" t="s">
        <v>138</v>
      </c>
      <c r="BR468" s="15" t="s">
        <v>205</v>
      </c>
      <c r="BS468" s="15" t="s">
        <v>138</v>
      </c>
      <c r="BT468" s="15" t="s">
        <v>138</v>
      </c>
      <c r="BU468" s="15" t="s">
        <v>174</v>
      </c>
      <c r="BV468" s="15" t="s">
        <v>138</v>
      </c>
      <c r="BW468" s="15" t="s">
        <v>138</v>
      </c>
      <c r="BX468" s="15" t="s">
        <v>138</v>
      </c>
      <c r="BY468" s="15" t="s">
        <v>175</v>
      </c>
      <c r="BZ468" s="22">
        <v>43375</v>
      </c>
      <c r="CA468" s="17">
        <v>11.5</v>
      </c>
      <c r="CB468" s="15" t="s">
        <v>172</v>
      </c>
      <c r="CC468" s="17" t="s">
        <v>138</v>
      </c>
      <c r="CD468" s="15" t="s">
        <v>138</v>
      </c>
      <c r="CE468" s="15" t="s">
        <v>780</v>
      </c>
      <c r="CF468" s="15" t="s">
        <v>780</v>
      </c>
      <c r="CG468" s="15" t="s">
        <v>138</v>
      </c>
      <c r="CH468" s="15" t="s">
        <v>780</v>
      </c>
      <c r="CI468" s="15" t="s">
        <v>138</v>
      </c>
      <c r="CJ468" s="15" t="s">
        <v>138</v>
      </c>
      <c r="CK468" s="15" t="s">
        <v>138</v>
      </c>
      <c r="CL468" s="15" t="s">
        <v>175</v>
      </c>
      <c r="CM468" s="22" t="s">
        <v>138</v>
      </c>
      <c r="CN468" s="17" t="s">
        <v>138</v>
      </c>
      <c r="CO468" s="23">
        <v>0.13</v>
      </c>
      <c r="CP468" s="24">
        <v>91</v>
      </c>
      <c r="CQ468" s="23">
        <v>-0.02</v>
      </c>
      <c r="CR468" s="23">
        <v>-14.05</v>
      </c>
      <c r="CS468" s="23" t="s">
        <v>138</v>
      </c>
      <c r="CT468" s="24" t="s">
        <v>138</v>
      </c>
      <c r="CU468" s="23">
        <v>0.13</v>
      </c>
      <c r="CV468" s="24">
        <v>73</v>
      </c>
      <c r="CW468" s="23" t="s">
        <v>138</v>
      </c>
      <c r="CX468" s="24" t="s">
        <v>138</v>
      </c>
      <c r="CY468" s="23" t="s">
        <v>138</v>
      </c>
      <c r="CZ468" s="24" t="s">
        <v>138</v>
      </c>
      <c r="DA468" s="23">
        <v>0.28000000000000003</v>
      </c>
      <c r="DB468" s="24">
        <v>88</v>
      </c>
      <c r="DC468" s="25">
        <v>4.32</v>
      </c>
      <c r="DD468" s="24">
        <v>81</v>
      </c>
      <c r="DE468" s="25">
        <v>0</v>
      </c>
      <c r="DF468" s="23">
        <v>-0.01</v>
      </c>
      <c r="DG468" s="25" t="s">
        <v>138</v>
      </c>
      <c r="DH468" s="24" t="s">
        <v>138</v>
      </c>
      <c r="DI468" s="25">
        <v>4.32</v>
      </c>
      <c r="DJ468" s="24">
        <v>75</v>
      </c>
      <c r="DK468" s="25" t="s">
        <v>138</v>
      </c>
      <c r="DL468" s="24" t="s">
        <v>138</v>
      </c>
      <c r="DM468" s="25" t="s">
        <v>138</v>
      </c>
      <c r="DN468" s="24" t="s">
        <v>138</v>
      </c>
      <c r="DO468" s="25">
        <v>2.5099999999999998</v>
      </c>
      <c r="DP468" s="24">
        <v>68</v>
      </c>
      <c r="DQ468" s="24">
        <v>231</v>
      </c>
      <c r="DR468" s="26">
        <v>28</v>
      </c>
      <c r="DS468" s="23">
        <v>13.79</v>
      </c>
      <c r="DT468" s="24" t="s">
        <v>138</v>
      </c>
      <c r="DU468" s="26" t="s">
        <v>138</v>
      </c>
      <c r="DV468" s="23" t="s">
        <v>138</v>
      </c>
      <c r="DW468" s="24">
        <v>898</v>
      </c>
      <c r="DX468" s="27">
        <v>0</v>
      </c>
      <c r="DY468" s="23">
        <v>0</v>
      </c>
      <c r="DZ468" s="15" t="s">
        <v>178</v>
      </c>
      <c r="EA468" s="22">
        <v>43622</v>
      </c>
      <c r="EB468" s="17" t="s">
        <v>138</v>
      </c>
      <c r="EC468" s="22" t="s">
        <v>138</v>
      </c>
      <c r="ED468" s="15" t="s">
        <v>138</v>
      </c>
      <c r="EE468" s="14" t="str">
        <f>HYPERLINK("https://my.pitchbook.com?c=59226-04", "View company online")</f>
        <v>View company online</v>
      </c>
    </row>
    <row r="469" spans="1:135">
      <c r="A469" s="28" t="s">
        <v>9673</v>
      </c>
      <c r="B469" s="28" t="s">
        <v>9674</v>
      </c>
      <c r="C469" s="28" t="s">
        <v>138</v>
      </c>
      <c r="D469" s="28" t="s">
        <v>138</v>
      </c>
      <c r="E469" s="28" t="s">
        <v>138</v>
      </c>
      <c r="F469" s="28" t="s">
        <v>9673</v>
      </c>
      <c r="G469" s="28" t="s">
        <v>9675</v>
      </c>
      <c r="H469" s="28" t="s">
        <v>183</v>
      </c>
      <c r="I469" s="28" t="s">
        <v>4681</v>
      </c>
      <c r="J469" s="28" t="s">
        <v>9676</v>
      </c>
      <c r="K469" s="28" t="s">
        <v>9677</v>
      </c>
      <c r="L469" s="28" t="s">
        <v>4684</v>
      </c>
      <c r="M469" s="28" t="s">
        <v>9678</v>
      </c>
      <c r="N469" s="28" t="s">
        <v>147</v>
      </c>
      <c r="O469" s="29">
        <v>2.25</v>
      </c>
      <c r="P469" s="28" t="s">
        <v>610</v>
      </c>
      <c r="Q469" s="28" t="s">
        <v>149</v>
      </c>
      <c r="R469" s="28" t="s">
        <v>174</v>
      </c>
      <c r="S469" s="28" t="s">
        <v>9679</v>
      </c>
      <c r="T469" s="30" t="s">
        <v>138</v>
      </c>
      <c r="U469" s="28" t="s">
        <v>138</v>
      </c>
      <c r="V469" s="28" t="s">
        <v>138</v>
      </c>
      <c r="W469" s="28" t="s">
        <v>138</v>
      </c>
      <c r="X469" s="31">
        <v>2011</v>
      </c>
      <c r="Y469" s="28" t="s">
        <v>138</v>
      </c>
      <c r="Z469" s="28" t="s">
        <v>138</v>
      </c>
      <c r="AA469" s="28" t="s">
        <v>138</v>
      </c>
      <c r="AB469" s="32" t="s">
        <v>138</v>
      </c>
      <c r="AC469" s="32" t="s">
        <v>138</v>
      </c>
      <c r="AD469" s="32" t="s">
        <v>138</v>
      </c>
      <c r="AE469" s="32" t="s">
        <v>138</v>
      </c>
      <c r="AF469" s="32" t="s">
        <v>138</v>
      </c>
      <c r="AG469" s="28" t="s">
        <v>138</v>
      </c>
      <c r="AH469" s="32" t="s">
        <v>138</v>
      </c>
      <c r="AI469" s="32" t="s">
        <v>138</v>
      </c>
      <c r="AJ469" s="32" t="s">
        <v>138</v>
      </c>
      <c r="AK469" s="28" t="s">
        <v>9680</v>
      </c>
      <c r="AL469" s="28" t="s">
        <v>9681</v>
      </c>
      <c r="AM469" s="28" t="s">
        <v>566</v>
      </c>
      <c r="AN469" s="28" t="s">
        <v>138</v>
      </c>
      <c r="AO469" s="28" t="s">
        <v>138</v>
      </c>
      <c r="AP469" s="28" t="s">
        <v>9682</v>
      </c>
      <c r="AQ469" s="28" t="s">
        <v>9683</v>
      </c>
      <c r="AR469" s="28" t="s">
        <v>138</v>
      </c>
      <c r="AS469" s="28" t="s">
        <v>9684</v>
      </c>
      <c r="AT469" s="28" t="s">
        <v>138</v>
      </c>
      <c r="AU469" s="28" t="s">
        <v>9685</v>
      </c>
      <c r="AV469" s="28" t="s">
        <v>9686</v>
      </c>
      <c r="AW469" s="28" t="s">
        <v>138</v>
      </c>
      <c r="AX469" s="28" t="s">
        <v>138</v>
      </c>
      <c r="AY469" s="28" t="s">
        <v>138</v>
      </c>
      <c r="AZ469" s="28" t="s">
        <v>530</v>
      </c>
      <c r="BA469" s="28" t="s">
        <v>9687</v>
      </c>
      <c r="BB469" s="28" t="s">
        <v>9688</v>
      </c>
      <c r="BC469" s="28" t="s">
        <v>9689</v>
      </c>
      <c r="BD469" s="33">
        <v>2</v>
      </c>
      <c r="BE469" s="28" t="s">
        <v>138</v>
      </c>
      <c r="BF469" s="28" t="s">
        <v>138</v>
      </c>
      <c r="BG469" s="28" t="s">
        <v>138</v>
      </c>
      <c r="BH469" s="28" t="s">
        <v>9690</v>
      </c>
      <c r="BI469" s="28" t="s">
        <v>138</v>
      </c>
      <c r="BJ469" s="28" t="s">
        <v>138</v>
      </c>
      <c r="BK469" s="28" t="s">
        <v>138</v>
      </c>
      <c r="BL469" s="28" t="s">
        <v>138</v>
      </c>
      <c r="BM469" s="34">
        <v>40966</v>
      </c>
      <c r="BN469" s="29">
        <v>2.25</v>
      </c>
      <c r="BO469" s="28" t="s">
        <v>172</v>
      </c>
      <c r="BP469" s="29" t="s">
        <v>138</v>
      </c>
      <c r="BQ469" s="28" t="s">
        <v>138</v>
      </c>
      <c r="BR469" s="28" t="s">
        <v>234</v>
      </c>
      <c r="BS469" s="28" t="s">
        <v>234</v>
      </c>
      <c r="BT469" s="28" t="s">
        <v>138</v>
      </c>
      <c r="BU469" s="28" t="s">
        <v>174</v>
      </c>
      <c r="BV469" s="28" t="s">
        <v>138</v>
      </c>
      <c r="BW469" s="28" t="s">
        <v>138</v>
      </c>
      <c r="BX469" s="28" t="s">
        <v>138</v>
      </c>
      <c r="BY469" s="28" t="s">
        <v>175</v>
      </c>
      <c r="BZ469" s="34">
        <v>40966</v>
      </c>
      <c r="CA469" s="29">
        <v>2.25</v>
      </c>
      <c r="CB469" s="28" t="s">
        <v>172</v>
      </c>
      <c r="CC469" s="29" t="s">
        <v>138</v>
      </c>
      <c r="CD469" s="28" t="s">
        <v>138</v>
      </c>
      <c r="CE469" s="28" t="s">
        <v>234</v>
      </c>
      <c r="CF469" s="28" t="s">
        <v>234</v>
      </c>
      <c r="CG469" s="28" t="s">
        <v>138</v>
      </c>
      <c r="CH469" s="28" t="s">
        <v>174</v>
      </c>
      <c r="CI469" s="28" t="s">
        <v>138</v>
      </c>
      <c r="CJ469" s="28" t="s">
        <v>138</v>
      </c>
      <c r="CK469" s="28" t="s">
        <v>138</v>
      </c>
      <c r="CL469" s="28" t="s">
        <v>175</v>
      </c>
      <c r="CM469" s="34" t="s">
        <v>138</v>
      </c>
      <c r="CN469" s="29" t="s">
        <v>138</v>
      </c>
      <c r="CO469" s="35" t="s">
        <v>138</v>
      </c>
      <c r="CP469" s="36" t="s">
        <v>138</v>
      </c>
      <c r="CQ469" s="35" t="s">
        <v>138</v>
      </c>
      <c r="CR469" s="35" t="s">
        <v>138</v>
      </c>
      <c r="CS469" s="35" t="s">
        <v>138</v>
      </c>
      <c r="CT469" s="36" t="s">
        <v>138</v>
      </c>
      <c r="CU469" s="35" t="s">
        <v>138</v>
      </c>
      <c r="CV469" s="36" t="s">
        <v>138</v>
      </c>
      <c r="CW469" s="35" t="s">
        <v>138</v>
      </c>
      <c r="CX469" s="36" t="s">
        <v>138</v>
      </c>
      <c r="CY469" s="35" t="s">
        <v>138</v>
      </c>
      <c r="CZ469" s="36" t="s">
        <v>138</v>
      </c>
      <c r="DA469" s="35" t="s">
        <v>138</v>
      </c>
      <c r="DB469" s="36" t="s">
        <v>138</v>
      </c>
      <c r="DC469" s="37" t="s">
        <v>138</v>
      </c>
      <c r="DD469" s="36" t="s">
        <v>138</v>
      </c>
      <c r="DE469" s="37" t="s">
        <v>138</v>
      </c>
      <c r="DF469" s="35" t="s">
        <v>138</v>
      </c>
      <c r="DG469" s="37" t="s">
        <v>138</v>
      </c>
      <c r="DH469" s="36" t="s">
        <v>138</v>
      </c>
      <c r="DI469" s="37" t="s">
        <v>138</v>
      </c>
      <c r="DJ469" s="36" t="s">
        <v>138</v>
      </c>
      <c r="DK469" s="37" t="s">
        <v>138</v>
      </c>
      <c r="DL469" s="36" t="s">
        <v>138</v>
      </c>
      <c r="DM469" s="37" t="s">
        <v>138</v>
      </c>
      <c r="DN469" s="36" t="s">
        <v>138</v>
      </c>
      <c r="DO469" s="37" t="s">
        <v>138</v>
      </c>
      <c r="DP469" s="36" t="s">
        <v>138</v>
      </c>
      <c r="DQ469" s="36" t="s">
        <v>138</v>
      </c>
      <c r="DR469" s="38" t="s">
        <v>138</v>
      </c>
      <c r="DS469" s="35" t="s">
        <v>138</v>
      </c>
      <c r="DT469" s="36" t="s">
        <v>138</v>
      </c>
      <c r="DU469" s="38" t="s">
        <v>138</v>
      </c>
      <c r="DV469" s="35" t="s">
        <v>138</v>
      </c>
      <c r="DW469" s="36" t="s">
        <v>138</v>
      </c>
      <c r="DX469" s="39" t="s">
        <v>138</v>
      </c>
      <c r="DY469" s="35" t="s">
        <v>138</v>
      </c>
      <c r="DZ469" s="28" t="s">
        <v>178</v>
      </c>
      <c r="EA469" s="34">
        <v>43447</v>
      </c>
      <c r="EB469" s="29" t="s">
        <v>138</v>
      </c>
      <c r="EC469" s="34" t="s">
        <v>138</v>
      </c>
      <c r="ED469" s="28" t="s">
        <v>138</v>
      </c>
      <c r="EE469" s="40" t="str">
        <f>HYPERLINK("https://my.pitchbook.com?c=56670-76", "View company online")</f>
        <v>View company online</v>
      </c>
    </row>
    <row r="470" spans="1:135">
      <c r="A470" s="15" t="s">
        <v>9691</v>
      </c>
      <c r="B470" s="15" t="s">
        <v>9692</v>
      </c>
      <c r="C470" s="15" t="s">
        <v>138</v>
      </c>
      <c r="D470" s="15" t="s">
        <v>138</v>
      </c>
      <c r="E470" s="15" t="s">
        <v>9693</v>
      </c>
      <c r="F470" s="15" t="s">
        <v>9691</v>
      </c>
      <c r="G470" s="15" t="s">
        <v>9694</v>
      </c>
      <c r="H470" s="15" t="s">
        <v>322</v>
      </c>
      <c r="I470" s="15" t="s">
        <v>323</v>
      </c>
      <c r="J470" s="15" t="s">
        <v>324</v>
      </c>
      <c r="K470" s="15" t="s">
        <v>9695</v>
      </c>
      <c r="L470" s="15" t="s">
        <v>5412</v>
      </c>
      <c r="M470" s="15" t="s">
        <v>9696</v>
      </c>
      <c r="N470" s="15" t="s">
        <v>1452</v>
      </c>
      <c r="O470" s="17">
        <v>95</v>
      </c>
      <c r="P470" s="15" t="s">
        <v>148</v>
      </c>
      <c r="Q470" s="15" t="s">
        <v>149</v>
      </c>
      <c r="R470" s="15" t="s">
        <v>1652</v>
      </c>
      <c r="S470" s="15" t="s">
        <v>9697</v>
      </c>
      <c r="T470" s="18" t="s">
        <v>138</v>
      </c>
      <c r="U470" s="15" t="s">
        <v>138</v>
      </c>
      <c r="V470" s="15" t="s">
        <v>138</v>
      </c>
      <c r="W470" s="15" t="s">
        <v>138</v>
      </c>
      <c r="X470" s="19">
        <v>2009</v>
      </c>
      <c r="Y470" s="15" t="s">
        <v>138</v>
      </c>
      <c r="Z470" s="15" t="s">
        <v>138</v>
      </c>
      <c r="AA470" s="15" t="s">
        <v>138</v>
      </c>
      <c r="AB470" s="20" t="s">
        <v>138</v>
      </c>
      <c r="AC470" s="20" t="s">
        <v>138</v>
      </c>
      <c r="AD470" s="20" t="s">
        <v>138</v>
      </c>
      <c r="AE470" s="20" t="s">
        <v>138</v>
      </c>
      <c r="AF470" s="20" t="s">
        <v>138</v>
      </c>
      <c r="AG470" s="15" t="s">
        <v>138</v>
      </c>
      <c r="AH470" s="20" t="s">
        <v>138</v>
      </c>
      <c r="AI470" s="20" t="s">
        <v>138</v>
      </c>
      <c r="AJ470" s="20" t="s">
        <v>138</v>
      </c>
      <c r="AK470" s="15" t="s">
        <v>9698</v>
      </c>
      <c r="AL470" s="15" t="s">
        <v>9699</v>
      </c>
      <c r="AM470" s="15" t="s">
        <v>9700</v>
      </c>
      <c r="AN470" s="15" t="s">
        <v>9701</v>
      </c>
      <c r="AO470" s="15" t="s">
        <v>9702</v>
      </c>
      <c r="AP470" s="15" t="s">
        <v>423</v>
      </c>
      <c r="AQ470" s="15" t="s">
        <v>9703</v>
      </c>
      <c r="AR470" s="15" t="s">
        <v>618</v>
      </c>
      <c r="AS470" s="15" t="s">
        <v>426</v>
      </c>
      <c r="AT470" s="15" t="s">
        <v>426</v>
      </c>
      <c r="AU470" s="15" t="s">
        <v>9264</v>
      </c>
      <c r="AV470" s="15" t="s">
        <v>162</v>
      </c>
      <c r="AW470" s="15" t="s">
        <v>9702</v>
      </c>
      <c r="AX470" s="15" t="s">
        <v>138</v>
      </c>
      <c r="AY470" s="15" t="s">
        <v>138</v>
      </c>
      <c r="AZ470" s="15" t="s">
        <v>164</v>
      </c>
      <c r="BA470" s="15" t="s">
        <v>165</v>
      </c>
      <c r="BB470" s="15" t="s">
        <v>9704</v>
      </c>
      <c r="BC470" s="15" t="s">
        <v>9705</v>
      </c>
      <c r="BD470" s="21">
        <v>2</v>
      </c>
      <c r="BE470" s="15" t="s">
        <v>138</v>
      </c>
      <c r="BF470" s="15" t="s">
        <v>138</v>
      </c>
      <c r="BG470" s="15" t="s">
        <v>138</v>
      </c>
      <c r="BH470" s="15" t="s">
        <v>9706</v>
      </c>
      <c r="BI470" s="15" t="s">
        <v>138</v>
      </c>
      <c r="BJ470" s="15" t="s">
        <v>138</v>
      </c>
      <c r="BK470" s="15" t="s">
        <v>138</v>
      </c>
      <c r="BL470" s="15" t="s">
        <v>9707</v>
      </c>
      <c r="BM470" s="22">
        <v>41214</v>
      </c>
      <c r="BN470" s="17" t="s">
        <v>138</v>
      </c>
      <c r="BO470" s="15" t="s">
        <v>138</v>
      </c>
      <c r="BP470" s="17" t="s">
        <v>138</v>
      </c>
      <c r="BQ470" s="15" t="s">
        <v>138</v>
      </c>
      <c r="BR470" s="15" t="s">
        <v>1326</v>
      </c>
      <c r="BS470" s="15" t="s">
        <v>138</v>
      </c>
      <c r="BT470" s="15" t="s">
        <v>138</v>
      </c>
      <c r="BU470" s="15" t="s">
        <v>1327</v>
      </c>
      <c r="BV470" s="15" t="s">
        <v>2528</v>
      </c>
      <c r="BW470" s="15" t="s">
        <v>138</v>
      </c>
      <c r="BX470" s="15" t="s">
        <v>138</v>
      </c>
      <c r="BY470" s="15" t="s">
        <v>175</v>
      </c>
      <c r="BZ470" s="22">
        <v>43134</v>
      </c>
      <c r="CA470" s="17">
        <v>95</v>
      </c>
      <c r="CB470" s="15" t="s">
        <v>172</v>
      </c>
      <c r="CC470" s="17" t="s">
        <v>138</v>
      </c>
      <c r="CD470" s="15" t="s">
        <v>138</v>
      </c>
      <c r="CE470" s="15" t="s">
        <v>1673</v>
      </c>
      <c r="CF470" s="15" t="s">
        <v>138</v>
      </c>
      <c r="CG470" s="15" t="s">
        <v>138</v>
      </c>
      <c r="CH470" s="15" t="s">
        <v>351</v>
      </c>
      <c r="CI470" s="15" t="s">
        <v>138</v>
      </c>
      <c r="CJ470" s="15" t="s">
        <v>138</v>
      </c>
      <c r="CK470" s="15" t="s">
        <v>138</v>
      </c>
      <c r="CL470" s="15" t="s">
        <v>175</v>
      </c>
      <c r="CM470" s="22">
        <v>41214</v>
      </c>
      <c r="CN470" s="17" t="s">
        <v>138</v>
      </c>
      <c r="CO470" s="23">
        <v>-0.94</v>
      </c>
      <c r="CP470" s="24">
        <v>11</v>
      </c>
      <c r="CQ470" s="23">
        <v>0</v>
      </c>
      <c r="CR470" s="23">
        <v>-0.01</v>
      </c>
      <c r="CS470" s="23">
        <v>-2.23</v>
      </c>
      <c r="CT470" s="24">
        <v>8</v>
      </c>
      <c r="CU470" s="23">
        <v>0.36</v>
      </c>
      <c r="CV470" s="24">
        <v>90</v>
      </c>
      <c r="CW470" s="23">
        <v>-4.46</v>
      </c>
      <c r="CX470" s="24">
        <v>3</v>
      </c>
      <c r="CY470" s="23">
        <v>0</v>
      </c>
      <c r="CZ470" s="24">
        <v>25</v>
      </c>
      <c r="DA470" s="23">
        <v>0.33</v>
      </c>
      <c r="DB470" s="24">
        <v>90</v>
      </c>
      <c r="DC470" s="25">
        <v>3.59</v>
      </c>
      <c r="DD470" s="24">
        <v>78</v>
      </c>
      <c r="DE470" s="25">
        <v>-0.27</v>
      </c>
      <c r="DF470" s="23">
        <v>-7.01</v>
      </c>
      <c r="DG470" s="25">
        <v>5.07</v>
      </c>
      <c r="DH470" s="24">
        <v>82</v>
      </c>
      <c r="DI470" s="25">
        <v>2.12</v>
      </c>
      <c r="DJ470" s="24">
        <v>63</v>
      </c>
      <c r="DK470" s="25">
        <v>8.07</v>
      </c>
      <c r="DL470" s="24">
        <v>85</v>
      </c>
      <c r="DM470" s="25">
        <v>2.0699999999999998</v>
      </c>
      <c r="DN470" s="24">
        <v>66</v>
      </c>
      <c r="DO470" s="25">
        <v>3.76</v>
      </c>
      <c r="DP470" s="24">
        <v>75</v>
      </c>
      <c r="DQ470" s="24">
        <v>2886</v>
      </c>
      <c r="DR470" s="26">
        <v>-357</v>
      </c>
      <c r="DS470" s="23">
        <v>-11.01</v>
      </c>
      <c r="DT470" s="24">
        <v>60</v>
      </c>
      <c r="DU470" s="26">
        <v>-1</v>
      </c>
      <c r="DV470" s="23">
        <v>-1.64</v>
      </c>
      <c r="DW470" s="24">
        <v>1346</v>
      </c>
      <c r="DX470" s="27">
        <v>2</v>
      </c>
      <c r="DY470" s="23">
        <v>0.15</v>
      </c>
      <c r="DZ470" s="15" t="s">
        <v>178</v>
      </c>
      <c r="EA470" s="22">
        <v>43622</v>
      </c>
      <c r="EB470" s="17" t="s">
        <v>138</v>
      </c>
      <c r="EC470" s="22" t="s">
        <v>138</v>
      </c>
      <c r="ED470" s="15" t="s">
        <v>138</v>
      </c>
      <c r="EE470" s="14" t="str">
        <f>HYPERLINK("https://my.pitchbook.com?c=173790-46", "View company online")</f>
        <v>View company online</v>
      </c>
    </row>
    <row r="471" spans="1:135">
      <c r="A471" s="28" t="s">
        <v>9708</v>
      </c>
      <c r="B471" s="28" t="s">
        <v>9709</v>
      </c>
      <c r="C471" s="28" t="s">
        <v>138</v>
      </c>
      <c r="D471" s="28" t="s">
        <v>9710</v>
      </c>
      <c r="E471" s="28" t="s">
        <v>138</v>
      </c>
      <c r="F471" s="28" t="s">
        <v>9708</v>
      </c>
      <c r="G471" s="28" t="s">
        <v>9711</v>
      </c>
      <c r="H471" s="28" t="s">
        <v>385</v>
      </c>
      <c r="I471" s="28" t="s">
        <v>1991</v>
      </c>
      <c r="J471" s="28" t="s">
        <v>4454</v>
      </c>
      <c r="K471" s="28" t="s">
        <v>8566</v>
      </c>
      <c r="L471" s="28" t="s">
        <v>9712</v>
      </c>
      <c r="M471" s="28" t="s">
        <v>9713</v>
      </c>
      <c r="N471" s="28" t="s">
        <v>147</v>
      </c>
      <c r="O471" s="29">
        <v>170.61</v>
      </c>
      <c r="P471" s="28" t="s">
        <v>148</v>
      </c>
      <c r="Q471" s="28" t="s">
        <v>149</v>
      </c>
      <c r="R471" s="28" t="s">
        <v>174</v>
      </c>
      <c r="S471" s="28" t="s">
        <v>9714</v>
      </c>
      <c r="T471" s="30" t="s">
        <v>138</v>
      </c>
      <c r="U471" s="28" t="s">
        <v>138</v>
      </c>
      <c r="V471" s="28" t="s">
        <v>138</v>
      </c>
      <c r="W471" s="28" t="s">
        <v>138</v>
      </c>
      <c r="X471" s="31">
        <v>2007</v>
      </c>
      <c r="Y471" s="28" t="s">
        <v>138</v>
      </c>
      <c r="Z471" s="28" t="s">
        <v>138</v>
      </c>
      <c r="AA471" s="28" t="s">
        <v>138</v>
      </c>
      <c r="AB471" s="32">
        <v>7.0000000000000007E-2</v>
      </c>
      <c r="AC471" s="32" t="s">
        <v>138</v>
      </c>
      <c r="AD471" s="32" t="s">
        <v>138</v>
      </c>
      <c r="AE471" s="32" t="s">
        <v>138</v>
      </c>
      <c r="AF471" s="32" t="s">
        <v>138</v>
      </c>
      <c r="AG471" s="28" t="s">
        <v>3077</v>
      </c>
      <c r="AH471" s="32" t="s">
        <v>138</v>
      </c>
      <c r="AI471" s="32" t="s">
        <v>138</v>
      </c>
      <c r="AJ471" s="32" t="s">
        <v>138</v>
      </c>
      <c r="AK471" s="28" t="s">
        <v>9715</v>
      </c>
      <c r="AL471" s="28" t="s">
        <v>9716</v>
      </c>
      <c r="AM471" s="28" t="s">
        <v>4689</v>
      </c>
      <c r="AN471" s="28" t="s">
        <v>9717</v>
      </c>
      <c r="AO471" s="28" t="s">
        <v>9718</v>
      </c>
      <c r="AP471" s="28" t="s">
        <v>665</v>
      </c>
      <c r="AQ471" s="28" t="s">
        <v>9719</v>
      </c>
      <c r="AR471" s="28" t="s">
        <v>138</v>
      </c>
      <c r="AS471" s="28" t="s">
        <v>668</v>
      </c>
      <c r="AT471" s="28" t="s">
        <v>200</v>
      </c>
      <c r="AU471" s="28" t="s">
        <v>9720</v>
      </c>
      <c r="AV471" s="28" t="s">
        <v>162</v>
      </c>
      <c r="AW471" s="28" t="s">
        <v>9718</v>
      </c>
      <c r="AX471" s="28" t="s">
        <v>138</v>
      </c>
      <c r="AY471" s="28" t="s">
        <v>9721</v>
      </c>
      <c r="AZ471" s="28" t="s">
        <v>164</v>
      </c>
      <c r="BA471" s="28" t="s">
        <v>165</v>
      </c>
      <c r="BB471" s="28" t="s">
        <v>9722</v>
      </c>
      <c r="BC471" s="28" t="s">
        <v>9723</v>
      </c>
      <c r="BD471" s="33">
        <v>17</v>
      </c>
      <c r="BE471" s="28" t="s">
        <v>138</v>
      </c>
      <c r="BF471" s="28" t="s">
        <v>9724</v>
      </c>
      <c r="BG471" s="28" t="s">
        <v>138</v>
      </c>
      <c r="BH471" s="28" t="s">
        <v>9725</v>
      </c>
      <c r="BI471" s="28" t="s">
        <v>9726</v>
      </c>
      <c r="BJ471" s="28" t="s">
        <v>138</v>
      </c>
      <c r="BK471" s="28" t="s">
        <v>3826</v>
      </c>
      <c r="BL471" s="28" t="s">
        <v>3826</v>
      </c>
      <c r="BM471" s="34" t="s">
        <v>138</v>
      </c>
      <c r="BN471" s="29" t="s">
        <v>138</v>
      </c>
      <c r="BO471" s="28" t="s">
        <v>138</v>
      </c>
      <c r="BP471" s="29" t="s">
        <v>138</v>
      </c>
      <c r="BQ471" s="28" t="s">
        <v>138</v>
      </c>
      <c r="BR471" s="28" t="s">
        <v>316</v>
      </c>
      <c r="BS471" s="28" t="s">
        <v>138</v>
      </c>
      <c r="BT471" s="28" t="s">
        <v>138</v>
      </c>
      <c r="BU471" s="28" t="s">
        <v>177</v>
      </c>
      <c r="BV471" s="28" t="s">
        <v>138</v>
      </c>
      <c r="BW471" s="28" t="s">
        <v>138</v>
      </c>
      <c r="BX471" s="28" t="s">
        <v>138</v>
      </c>
      <c r="BY471" s="28" t="s">
        <v>175</v>
      </c>
      <c r="BZ471" s="34">
        <v>43466</v>
      </c>
      <c r="CA471" s="29" t="s">
        <v>138</v>
      </c>
      <c r="CB471" s="28" t="s">
        <v>138</v>
      </c>
      <c r="CC471" s="29" t="s">
        <v>138</v>
      </c>
      <c r="CD471" s="28" t="s">
        <v>138</v>
      </c>
      <c r="CE471" s="28" t="s">
        <v>173</v>
      </c>
      <c r="CF471" s="28" t="s">
        <v>138</v>
      </c>
      <c r="CG471" s="28" t="s">
        <v>138</v>
      </c>
      <c r="CH471" s="28" t="s">
        <v>174</v>
      </c>
      <c r="CI471" s="28" t="s">
        <v>138</v>
      </c>
      <c r="CJ471" s="28" t="s">
        <v>138</v>
      </c>
      <c r="CK471" s="28" t="s">
        <v>138</v>
      </c>
      <c r="CL471" s="28" t="s">
        <v>175</v>
      </c>
      <c r="CM471" s="34" t="s">
        <v>138</v>
      </c>
      <c r="CN471" s="29" t="s">
        <v>138</v>
      </c>
      <c r="CO471" s="35">
        <v>-0.32</v>
      </c>
      <c r="CP471" s="36">
        <v>18</v>
      </c>
      <c r="CQ471" s="35">
        <v>-0.01</v>
      </c>
      <c r="CR471" s="35">
        <v>-4.6500000000000004</v>
      </c>
      <c r="CS471" s="35">
        <v>-0.64</v>
      </c>
      <c r="CT471" s="36">
        <v>18</v>
      </c>
      <c r="CU471" s="35">
        <v>0</v>
      </c>
      <c r="CV471" s="36">
        <v>22</v>
      </c>
      <c r="CW471" s="35">
        <v>0</v>
      </c>
      <c r="CX471" s="36">
        <v>13</v>
      </c>
      <c r="CY471" s="35">
        <v>-1.28</v>
      </c>
      <c r="CZ471" s="36">
        <v>17</v>
      </c>
      <c r="DA471" s="35">
        <v>0</v>
      </c>
      <c r="DB471" s="36">
        <v>22</v>
      </c>
      <c r="DC471" s="37">
        <v>2.4300000000000002</v>
      </c>
      <c r="DD471" s="36">
        <v>71</v>
      </c>
      <c r="DE471" s="37">
        <v>-0.08</v>
      </c>
      <c r="DF471" s="35">
        <v>-3.29</v>
      </c>
      <c r="DG471" s="37">
        <v>4.6900000000000004</v>
      </c>
      <c r="DH471" s="36">
        <v>81</v>
      </c>
      <c r="DI471" s="37">
        <v>0.16</v>
      </c>
      <c r="DJ471" s="36">
        <v>19</v>
      </c>
      <c r="DK471" s="37">
        <v>1.87</v>
      </c>
      <c r="DL471" s="36">
        <v>63</v>
      </c>
      <c r="DM471" s="37">
        <v>7.52</v>
      </c>
      <c r="DN471" s="36">
        <v>86</v>
      </c>
      <c r="DO471" s="37">
        <v>0.16</v>
      </c>
      <c r="DP471" s="36">
        <v>22</v>
      </c>
      <c r="DQ471" s="36">
        <v>639</v>
      </c>
      <c r="DR471" s="38">
        <v>6</v>
      </c>
      <c r="DS471" s="35">
        <v>0.95</v>
      </c>
      <c r="DT471" s="36">
        <v>219</v>
      </c>
      <c r="DU471" s="38">
        <v>-1</v>
      </c>
      <c r="DV471" s="35">
        <v>-0.45</v>
      </c>
      <c r="DW471" s="36">
        <v>57</v>
      </c>
      <c r="DX471" s="39">
        <v>1</v>
      </c>
      <c r="DY471" s="35">
        <v>1.79</v>
      </c>
      <c r="DZ471" s="28" t="s">
        <v>178</v>
      </c>
      <c r="EA471" s="34">
        <v>43591</v>
      </c>
      <c r="EB471" s="29">
        <v>381.4</v>
      </c>
      <c r="EC471" s="34">
        <v>42564</v>
      </c>
      <c r="ED471" s="28" t="s">
        <v>173</v>
      </c>
      <c r="EE471" s="40" t="str">
        <f>HYPERLINK("https://my.pitchbook.com?c=51154-21", "View company online")</f>
        <v>View company online</v>
      </c>
    </row>
    <row r="472" spans="1:135">
      <c r="A472" s="15" t="s">
        <v>9727</v>
      </c>
      <c r="B472" s="15" t="s">
        <v>9728</v>
      </c>
      <c r="C472" s="15" t="s">
        <v>138</v>
      </c>
      <c r="D472" s="15" t="s">
        <v>138</v>
      </c>
      <c r="E472" s="15" t="s">
        <v>138</v>
      </c>
      <c r="F472" s="15" t="s">
        <v>9727</v>
      </c>
      <c r="G472" s="15" t="s">
        <v>9729</v>
      </c>
      <c r="H472" s="15" t="s">
        <v>141</v>
      </c>
      <c r="I472" s="15" t="s">
        <v>212</v>
      </c>
      <c r="J472" s="15" t="s">
        <v>1257</v>
      </c>
      <c r="K472" s="15" t="s">
        <v>9730</v>
      </c>
      <c r="L472" s="15" t="s">
        <v>415</v>
      </c>
      <c r="M472" s="15" t="s">
        <v>9731</v>
      </c>
      <c r="N472" s="15" t="s">
        <v>1452</v>
      </c>
      <c r="O472" s="17">
        <v>18</v>
      </c>
      <c r="P472" s="15" t="s">
        <v>812</v>
      </c>
      <c r="Q472" s="15" t="s">
        <v>149</v>
      </c>
      <c r="R472" s="15" t="s">
        <v>328</v>
      </c>
      <c r="S472" s="15" t="s">
        <v>9732</v>
      </c>
      <c r="T472" s="18" t="s">
        <v>138</v>
      </c>
      <c r="U472" s="15" t="s">
        <v>138</v>
      </c>
      <c r="V472" s="15" t="s">
        <v>138</v>
      </c>
      <c r="W472" s="15" t="s">
        <v>138</v>
      </c>
      <c r="X472" s="19">
        <v>2007</v>
      </c>
      <c r="Y472" s="15" t="s">
        <v>138</v>
      </c>
      <c r="Z472" s="15" t="s">
        <v>138</v>
      </c>
      <c r="AA472" s="15" t="s">
        <v>138</v>
      </c>
      <c r="AB472" s="20">
        <v>11.55</v>
      </c>
      <c r="AC472" s="20">
        <v>4.99</v>
      </c>
      <c r="AD472" s="20">
        <v>-1.1599999999999999</v>
      </c>
      <c r="AE472" s="20" t="s">
        <v>138</v>
      </c>
      <c r="AF472" s="20">
        <v>-1.1299999999999999</v>
      </c>
      <c r="AG472" s="15" t="s">
        <v>419</v>
      </c>
      <c r="AH472" s="20" t="s">
        <v>138</v>
      </c>
      <c r="AI472" s="20" t="s">
        <v>138</v>
      </c>
      <c r="AJ472" s="20" t="s">
        <v>138</v>
      </c>
      <c r="AK472" s="15" t="s">
        <v>9733</v>
      </c>
      <c r="AL472" s="15" t="s">
        <v>9734</v>
      </c>
      <c r="AM472" s="15" t="s">
        <v>2605</v>
      </c>
      <c r="AN472" s="15" t="s">
        <v>9735</v>
      </c>
      <c r="AO472" s="15" t="s">
        <v>9736</v>
      </c>
      <c r="AP472" s="15" t="s">
        <v>9737</v>
      </c>
      <c r="AQ472" s="15" t="s">
        <v>9738</v>
      </c>
      <c r="AR472" s="15" t="s">
        <v>9739</v>
      </c>
      <c r="AS472" s="15" t="s">
        <v>9740</v>
      </c>
      <c r="AT472" s="15" t="s">
        <v>824</v>
      </c>
      <c r="AU472" s="15" t="s">
        <v>9741</v>
      </c>
      <c r="AV472" s="15" t="s">
        <v>526</v>
      </c>
      <c r="AW472" s="15" t="s">
        <v>9736</v>
      </c>
      <c r="AX472" s="15" t="s">
        <v>9742</v>
      </c>
      <c r="AY472" s="15" t="s">
        <v>138</v>
      </c>
      <c r="AZ472" s="15" t="s">
        <v>530</v>
      </c>
      <c r="BA472" s="15" t="s">
        <v>531</v>
      </c>
      <c r="BB472" s="15" t="s">
        <v>9743</v>
      </c>
      <c r="BC472" s="15" t="s">
        <v>9744</v>
      </c>
      <c r="BD472" s="21">
        <v>3</v>
      </c>
      <c r="BE472" s="15" t="s">
        <v>138</v>
      </c>
      <c r="BF472" s="15" t="s">
        <v>138</v>
      </c>
      <c r="BG472" s="15" t="s">
        <v>138</v>
      </c>
      <c r="BH472" s="15" t="s">
        <v>9745</v>
      </c>
      <c r="BI472" s="15" t="s">
        <v>138</v>
      </c>
      <c r="BJ472" s="15" t="s">
        <v>138</v>
      </c>
      <c r="BK472" s="15" t="s">
        <v>9746</v>
      </c>
      <c r="BL472" s="15" t="s">
        <v>138</v>
      </c>
      <c r="BM472" s="22" t="s">
        <v>138</v>
      </c>
      <c r="BN472" s="17" t="s">
        <v>138</v>
      </c>
      <c r="BO472" s="15" t="s">
        <v>138</v>
      </c>
      <c r="BP472" s="17" t="s">
        <v>138</v>
      </c>
      <c r="BQ472" s="15" t="s">
        <v>138</v>
      </c>
      <c r="BR472" s="15" t="s">
        <v>205</v>
      </c>
      <c r="BS472" s="15" t="s">
        <v>206</v>
      </c>
      <c r="BT472" s="15" t="s">
        <v>138</v>
      </c>
      <c r="BU472" s="15" t="s">
        <v>174</v>
      </c>
      <c r="BV472" s="15" t="s">
        <v>138</v>
      </c>
      <c r="BW472" s="15" t="s">
        <v>138</v>
      </c>
      <c r="BX472" s="15" t="s">
        <v>138</v>
      </c>
      <c r="BY472" s="15" t="s">
        <v>175</v>
      </c>
      <c r="BZ472" s="22">
        <v>41144</v>
      </c>
      <c r="CA472" s="17">
        <v>8</v>
      </c>
      <c r="CB472" s="15" t="s">
        <v>172</v>
      </c>
      <c r="CC472" s="17" t="s">
        <v>138</v>
      </c>
      <c r="CD472" s="15" t="s">
        <v>138</v>
      </c>
      <c r="CE472" s="15" t="s">
        <v>1673</v>
      </c>
      <c r="CF472" s="15" t="s">
        <v>138</v>
      </c>
      <c r="CG472" s="15" t="s">
        <v>138</v>
      </c>
      <c r="CH472" s="15" t="s">
        <v>351</v>
      </c>
      <c r="CI472" s="15" t="s">
        <v>138</v>
      </c>
      <c r="CJ472" s="15" t="s">
        <v>138</v>
      </c>
      <c r="CK472" s="15" t="s">
        <v>138</v>
      </c>
      <c r="CL472" s="15" t="s">
        <v>175</v>
      </c>
      <c r="CM472" s="22" t="s">
        <v>138</v>
      </c>
      <c r="CN472" s="17" t="s">
        <v>138</v>
      </c>
      <c r="CO472" s="23">
        <v>0.18</v>
      </c>
      <c r="CP472" s="24">
        <v>92</v>
      </c>
      <c r="CQ472" s="23">
        <v>-0.02</v>
      </c>
      <c r="CR472" s="23">
        <v>-9.49</v>
      </c>
      <c r="CS472" s="23">
        <v>0</v>
      </c>
      <c r="CT472" s="24">
        <v>23</v>
      </c>
      <c r="CU472" s="23">
        <v>0.36</v>
      </c>
      <c r="CV472" s="24">
        <v>90</v>
      </c>
      <c r="CW472" s="23">
        <v>0</v>
      </c>
      <c r="CX472" s="24">
        <v>13</v>
      </c>
      <c r="CY472" s="23">
        <v>0</v>
      </c>
      <c r="CZ472" s="24">
        <v>25</v>
      </c>
      <c r="DA472" s="23">
        <v>0.36</v>
      </c>
      <c r="DB472" s="24">
        <v>91</v>
      </c>
      <c r="DC472" s="25">
        <v>1.49</v>
      </c>
      <c r="DD472" s="24">
        <v>61</v>
      </c>
      <c r="DE472" s="25">
        <v>-0.01</v>
      </c>
      <c r="DF472" s="23">
        <v>-0.88</v>
      </c>
      <c r="DG472" s="25">
        <v>1.03</v>
      </c>
      <c r="DH472" s="24">
        <v>52</v>
      </c>
      <c r="DI472" s="25">
        <v>1.96</v>
      </c>
      <c r="DJ472" s="24">
        <v>62</v>
      </c>
      <c r="DK472" s="25">
        <v>0.53</v>
      </c>
      <c r="DL472" s="24">
        <v>36</v>
      </c>
      <c r="DM472" s="25">
        <v>1.52</v>
      </c>
      <c r="DN472" s="24">
        <v>60</v>
      </c>
      <c r="DO472" s="25">
        <v>1.96</v>
      </c>
      <c r="DP472" s="24">
        <v>63</v>
      </c>
      <c r="DQ472" s="24">
        <v>182</v>
      </c>
      <c r="DR472" s="26">
        <v>7</v>
      </c>
      <c r="DS472" s="23">
        <v>4</v>
      </c>
      <c r="DT472" s="24">
        <v>44</v>
      </c>
      <c r="DU472" s="26">
        <v>-1</v>
      </c>
      <c r="DV472" s="23">
        <v>-2.2200000000000002</v>
      </c>
      <c r="DW472" s="24">
        <v>700</v>
      </c>
      <c r="DX472" s="27">
        <v>2</v>
      </c>
      <c r="DY472" s="23">
        <v>0.28999999999999998</v>
      </c>
      <c r="DZ472" s="15" t="s">
        <v>178</v>
      </c>
      <c r="EA472" s="22">
        <v>43543</v>
      </c>
      <c r="EB472" s="17" t="s">
        <v>138</v>
      </c>
      <c r="EC472" s="22" t="s">
        <v>138</v>
      </c>
      <c r="ED472" s="15" t="s">
        <v>138</v>
      </c>
      <c r="EE472" s="14" t="str">
        <f>HYPERLINK("https://my.pitchbook.com?c=51651-01", "View company online")</f>
        <v>View company online</v>
      </c>
    </row>
    <row r="473" spans="1:135">
      <c r="A473" s="28" t="s">
        <v>9747</v>
      </c>
      <c r="B473" s="28" t="s">
        <v>9748</v>
      </c>
      <c r="C473" s="28" t="s">
        <v>138</v>
      </c>
      <c r="D473" s="28" t="s">
        <v>9749</v>
      </c>
      <c r="E473" s="28" t="s">
        <v>9750</v>
      </c>
      <c r="F473" s="28" t="s">
        <v>9747</v>
      </c>
      <c r="G473" s="28" t="s">
        <v>9751</v>
      </c>
      <c r="H473" s="28" t="s">
        <v>385</v>
      </c>
      <c r="I473" s="28" t="s">
        <v>1991</v>
      </c>
      <c r="J473" s="28" t="s">
        <v>1992</v>
      </c>
      <c r="K473" s="28" t="s">
        <v>9752</v>
      </c>
      <c r="L473" s="28" t="s">
        <v>9753</v>
      </c>
      <c r="M473" s="28" t="s">
        <v>9754</v>
      </c>
      <c r="N473" s="28" t="s">
        <v>147</v>
      </c>
      <c r="O473" s="29">
        <v>294.74</v>
      </c>
      <c r="P473" s="28" t="s">
        <v>148</v>
      </c>
      <c r="Q473" s="28" t="s">
        <v>149</v>
      </c>
      <c r="R473" s="28" t="s">
        <v>174</v>
      </c>
      <c r="S473" s="28" t="s">
        <v>9755</v>
      </c>
      <c r="T473" s="30">
        <v>100</v>
      </c>
      <c r="U473" s="28" t="s">
        <v>9756</v>
      </c>
      <c r="V473" s="28" t="s">
        <v>138</v>
      </c>
      <c r="W473" s="28" t="s">
        <v>138</v>
      </c>
      <c r="X473" s="31">
        <v>2011</v>
      </c>
      <c r="Y473" s="28" t="s">
        <v>138</v>
      </c>
      <c r="Z473" s="28" t="s">
        <v>138</v>
      </c>
      <c r="AA473" s="28" t="s">
        <v>138</v>
      </c>
      <c r="AB473" s="32" t="s">
        <v>138</v>
      </c>
      <c r="AC473" s="32" t="s">
        <v>138</v>
      </c>
      <c r="AD473" s="32" t="s">
        <v>138</v>
      </c>
      <c r="AE473" s="32" t="s">
        <v>138</v>
      </c>
      <c r="AF473" s="32" t="s">
        <v>138</v>
      </c>
      <c r="AG473" s="28" t="s">
        <v>138</v>
      </c>
      <c r="AH473" s="32" t="s">
        <v>138</v>
      </c>
      <c r="AI473" s="32" t="s">
        <v>138</v>
      </c>
      <c r="AJ473" s="32" t="s">
        <v>138</v>
      </c>
      <c r="AK473" s="28" t="s">
        <v>9757</v>
      </c>
      <c r="AL473" s="28" t="s">
        <v>9758</v>
      </c>
      <c r="AM473" s="28" t="s">
        <v>221</v>
      </c>
      <c r="AN473" s="28" t="s">
        <v>9759</v>
      </c>
      <c r="AO473" s="28" t="s">
        <v>9760</v>
      </c>
      <c r="AP473" s="28" t="s">
        <v>9761</v>
      </c>
      <c r="AQ473" s="28" t="s">
        <v>9762</v>
      </c>
      <c r="AR473" s="28" t="s">
        <v>138</v>
      </c>
      <c r="AS473" s="28" t="s">
        <v>9763</v>
      </c>
      <c r="AT473" s="28" t="s">
        <v>200</v>
      </c>
      <c r="AU473" s="28" t="s">
        <v>9764</v>
      </c>
      <c r="AV473" s="28" t="s">
        <v>162</v>
      </c>
      <c r="AW473" s="28" t="s">
        <v>9760</v>
      </c>
      <c r="AX473" s="28" t="s">
        <v>9765</v>
      </c>
      <c r="AY473" s="28" t="s">
        <v>9766</v>
      </c>
      <c r="AZ473" s="28" t="s">
        <v>164</v>
      </c>
      <c r="BA473" s="28" t="s">
        <v>165</v>
      </c>
      <c r="BB473" s="28" t="s">
        <v>9767</v>
      </c>
      <c r="BC473" s="28" t="s">
        <v>9768</v>
      </c>
      <c r="BD473" s="33">
        <v>13</v>
      </c>
      <c r="BE473" s="28" t="s">
        <v>138</v>
      </c>
      <c r="BF473" s="28" t="s">
        <v>138</v>
      </c>
      <c r="BG473" s="28" t="s">
        <v>138</v>
      </c>
      <c r="BH473" s="28" t="s">
        <v>9769</v>
      </c>
      <c r="BI473" s="28" t="s">
        <v>138</v>
      </c>
      <c r="BJ473" s="28" t="s">
        <v>138</v>
      </c>
      <c r="BK473" s="28" t="s">
        <v>1275</v>
      </c>
      <c r="BL473" s="28" t="s">
        <v>1275</v>
      </c>
      <c r="BM473" s="34" t="s">
        <v>138</v>
      </c>
      <c r="BN473" s="29" t="s">
        <v>138</v>
      </c>
      <c r="BO473" s="28" t="s">
        <v>138</v>
      </c>
      <c r="BP473" s="29" t="s">
        <v>138</v>
      </c>
      <c r="BQ473" s="28" t="s">
        <v>138</v>
      </c>
      <c r="BR473" s="28" t="s">
        <v>316</v>
      </c>
      <c r="BS473" s="28" t="s">
        <v>138</v>
      </c>
      <c r="BT473" s="28" t="s">
        <v>138</v>
      </c>
      <c r="BU473" s="28" t="s">
        <v>177</v>
      </c>
      <c r="BV473" s="28" t="s">
        <v>138</v>
      </c>
      <c r="BW473" s="28" t="s">
        <v>138</v>
      </c>
      <c r="BX473" s="28" t="s">
        <v>138</v>
      </c>
      <c r="BY473" s="28" t="s">
        <v>175</v>
      </c>
      <c r="BZ473" s="34">
        <v>43571</v>
      </c>
      <c r="CA473" s="29">
        <v>170</v>
      </c>
      <c r="CB473" s="28" t="s">
        <v>172</v>
      </c>
      <c r="CC473" s="29">
        <v>990</v>
      </c>
      <c r="CD473" s="28" t="s">
        <v>172</v>
      </c>
      <c r="CE473" s="28" t="s">
        <v>173</v>
      </c>
      <c r="CF473" s="28" t="s">
        <v>482</v>
      </c>
      <c r="CG473" s="28" t="s">
        <v>138</v>
      </c>
      <c r="CH473" s="28" t="s">
        <v>174</v>
      </c>
      <c r="CI473" s="28" t="s">
        <v>138</v>
      </c>
      <c r="CJ473" s="28" t="s">
        <v>138</v>
      </c>
      <c r="CK473" s="28" t="s">
        <v>138</v>
      </c>
      <c r="CL473" s="28" t="s">
        <v>175</v>
      </c>
      <c r="CM473" s="34" t="s">
        <v>138</v>
      </c>
      <c r="CN473" s="29" t="s">
        <v>138</v>
      </c>
      <c r="CO473" s="35">
        <v>1.42</v>
      </c>
      <c r="CP473" s="36">
        <v>98</v>
      </c>
      <c r="CQ473" s="35">
        <v>0.04</v>
      </c>
      <c r="CR473" s="35">
        <v>2.86</v>
      </c>
      <c r="CS473" s="35">
        <v>1.84</v>
      </c>
      <c r="CT473" s="36">
        <v>98</v>
      </c>
      <c r="CU473" s="35">
        <v>1</v>
      </c>
      <c r="CV473" s="36">
        <v>98</v>
      </c>
      <c r="CW473" s="35">
        <v>5.33</v>
      </c>
      <c r="CX473" s="36">
        <v>96</v>
      </c>
      <c r="CY473" s="35">
        <v>-1.66</v>
      </c>
      <c r="CZ473" s="36">
        <v>14</v>
      </c>
      <c r="DA473" s="35">
        <v>1</v>
      </c>
      <c r="DB473" s="36">
        <v>98</v>
      </c>
      <c r="DC473" s="37">
        <v>5.24</v>
      </c>
      <c r="DD473" s="36">
        <v>83</v>
      </c>
      <c r="DE473" s="37">
        <v>-0.4</v>
      </c>
      <c r="DF473" s="35">
        <v>-7.14</v>
      </c>
      <c r="DG473" s="37">
        <v>8.35</v>
      </c>
      <c r="DH473" s="36">
        <v>88</v>
      </c>
      <c r="DI473" s="37">
        <v>2.13</v>
      </c>
      <c r="DJ473" s="36">
        <v>64</v>
      </c>
      <c r="DK473" s="37">
        <v>12.69</v>
      </c>
      <c r="DL473" s="36">
        <v>89</v>
      </c>
      <c r="DM473" s="37">
        <v>4</v>
      </c>
      <c r="DN473" s="36">
        <v>78</v>
      </c>
      <c r="DO473" s="37">
        <v>2.13</v>
      </c>
      <c r="DP473" s="36">
        <v>65</v>
      </c>
      <c r="DQ473" s="36">
        <v>4167</v>
      </c>
      <c r="DR473" s="38">
        <v>559</v>
      </c>
      <c r="DS473" s="35">
        <v>15.49</v>
      </c>
      <c r="DT473" s="36">
        <v>116</v>
      </c>
      <c r="DU473" s="38">
        <v>1</v>
      </c>
      <c r="DV473" s="35">
        <v>0.87</v>
      </c>
      <c r="DW473" s="36">
        <v>760</v>
      </c>
      <c r="DX473" s="39">
        <v>3</v>
      </c>
      <c r="DY473" s="35">
        <v>0.4</v>
      </c>
      <c r="DZ473" s="28" t="s">
        <v>178</v>
      </c>
      <c r="EA473" s="34">
        <v>43573</v>
      </c>
      <c r="EB473" s="29">
        <v>990</v>
      </c>
      <c r="EC473" s="34">
        <v>43571</v>
      </c>
      <c r="ED473" s="28" t="s">
        <v>173</v>
      </c>
      <c r="EE473" s="40" t="str">
        <f>HYPERLINK("https://my.pitchbook.com?c=55234-36", "View company online")</f>
        <v>View company online</v>
      </c>
    </row>
    <row r="474" spans="1:135">
      <c r="A474" s="15" t="s">
        <v>9770</v>
      </c>
      <c r="B474" s="15" t="s">
        <v>9771</v>
      </c>
      <c r="C474" s="15" t="s">
        <v>138</v>
      </c>
      <c r="D474" s="15" t="s">
        <v>138</v>
      </c>
      <c r="E474" s="15" t="s">
        <v>138</v>
      </c>
      <c r="F474" s="15" t="s">
        <v>9770</v>
      </c>
      <c r="G474" s="15" t="s">
        <v>9772</v>
      </c>
      <c r="H474" s="15" t="s">
        <v>183</v>
      </c>
      <c r="I474" s="15" t="s">
        <v>184</v>
      </c>
      <c r="J474" s="15" t="s">
        <v>2141</v>
      </c>
      <c r="K474" s="15" t="s">
        <v>3009</v>
      </c>
      <c r="L474" s="15" t="s">
        <v>9773</v>
      </c>
      <c r="M474" s="15" t="s">
        <v>9774</v>
      </c>
      <c r="N474" s="15" t="s">
        <v>147</v>
      </c>
      <c r="O474" s="17">
        <v>2.5</v>
      </c>
      <c r="P474" s="15" t="s">
        <v>610</v>
      </c>
      <c r="Q474" s="15" t="s">
        <v>149</v>
      </c>
      <c r="R474" s="15" t="s">
        <v>174</v>
      </c>
      <c r="S474" s="15" t="s">
        <v>138</v>
      </c>
      <c r="T474" s="18" t="s">
        <v>138</v>
      </c>
      <c r="U474" s="15" t="s">
        <v>138</v>
      </c>
      <c r="V474" s="15" t="s">
        <v>138</v>
      </c>
      <c r="W474" s="15" t="s">
        <v>138</v>
      </c>
      <c r="X474" s="19">
        <v>2016</v>
      </c>
      <c r="Y474" s="15" t="s">
        <v>138</v>
      </c>
      <c r="Z474" s="15" t="s">
        <v>138</v>
      </c>
      <c r="AA474" s="15" t="s">
        <v>138</v>
      </c>
      <c r="AB474" s="20" t="s">
        <v>138</v>
      </c>
      <c r="AC474" s="20" t="s">
        <v>138</v>
      </c>
      <c r="AD474" s="20" t="s">
        <v>138</v>
      </c>
      <c r="AE474" s="20" t="s">
        <v>138</v>
      </c>
      <c r="AF474" s="20" t="s">
        <v>138</v>
      </c>
      <c r="AG474" s="15" t="s">
        <v>138</v>
      </c>
      <c r="AH474" s="20" t="s">
        <v>138</v>
      </c>
      <c r="AI474" s="20" t="s">
        <v>138</v>
      </c>
      <c r="AJ474" s="20" t="s">
        <v>138</v>
      </c>
      <c r="AK474" s="15" t="s">
        <v>9775</v>
      </c>
      <c r="AL474" s="15" t="s">
        <v>9776</v>
      </c>
      <c r="AM474" s="15" t="s">
        <v>444</v>
      </c>
      <c r="AN474" s="15" t="s">
        <v>138</v>
      </c>
      <c r="AO474" s="15" t="s">
        <v>9777</v>
      </c>
      <c r="AP474" s="15" t="s">
        <v>1292</v>
      </c>
      <c r="AQ474" s="15" t="s">
        <v>138</v>
      </c>
      <c r="AR474" s="15" t="s">
        <v>138</v>
      </c>
      <c r="AS474" s="15" t="s">
        <v>1294</v>
      </c>
      <c r="AT474" s="15" t="s">
        <v>864</v>
      </c>
      <c r="AU474" s="15" t="s">
        <v>138</v>
      </c>
      <c r="AV474" s="15" t="s">
        <v>162</v>
      </c>
      <c r="AW474" s="15" t="s">
        <v>138</v>
      </c>
      <c r="AX474" s="15" t="s">
        <v>138</v>
      </c>
      <c r="AY474" s="15" t="s">
        <v>138</v>
      </c>
      <c r="AZ474" s="15" t="s">
        <v>164</v>
      </c>
      <c r="BA474" s="15" t="s">
        <v>165</v>
      </c>
      <c r="BB474" s="15" t="s">
        <v>9778</v>
      </c>
      <c r="BC474" s="15" t="s">
        <v>9779</v>
      </c>
      <c r="BD474" s="21">
        <v>3</v>
      </c>
      <c r="BE474" s="15" t="s">
        <v>138</v>
      </c>
      <c r="BF474" s="15" t="s">
        <v>138</v>
      </c>
      <c r="BG474" s="15" t="s">
        <v>138</v>
      </c>
      <c r="BH474" s="15" t="s">
        <v>9780</v>
      </c>
      <c r="BI474" s="15" t="s">
        <v>138</v>
      </c>
      <c r="BJ474" s="15" t="s">
        <v>138</v>
      </c>
      <c r="BK474" s="15" t="s">
        <v>138</v>
      </c>
      <c r="BL474" s="15" t="s">
        <v>138</v>
      </c>
      <c r="BM474" s="22">
        <v>42941</v>
      </c>
      <c r="BN474" s="17">
        <v>2.5</v>
      </c>
      <c r="BO474" s="15" t="s">
        <v>172</v>
      </c>
      <c r="BP474" s="17">
        <v>4.5</v>
      </c>
      <c r="BQ474" s="15" t="s">
        <v>172</v>
      </c>
      <c r="BR474" s="15" t="s">
        <v>205</v>
      </c>
      <c r="BS474" s="15" t="s">
        <v>206</v>
      </c>
      <c r="BT474" s="15" t="s">
        <v>138</v>
      </c>
      <c r="BU474" s="15" t="s">
        <v>174</v>
      </c>
      <c r="BV474" s="15" t="s">
        <v>138</v>
      </c>
      <c r="BW474" s="15" t="s">
        <v>138</v>
      </c>
      <c r="BX474" s="15" t="s">
        <v>138</v>
      </c>
      <c r="BY474" s="15" t="s">
        <v>175</v>
      </c>
      <c r="BZ474" s="22">
        <v>42941</v>
      </c>
      <c r="CA474" s="17">
        <v>2.5</v>
      </c>
      <c r="CB474" s="15" t="s">
        <v>172</v>
      </c>
      <c r="CC474" s="17">
        <v>4.5</v>
      </c>
      <c r="CD474" s="15" t="s">
        <v>172</v>
      </c>
      <c r="CE474" s="15" t="s">
        <v>205</v>
      </c>
      <c r="CF474" s="15" t="s">
        <v>206</v>
      </c>
      <c r="CG474" s="15" t="s">
        <v>138</v>
      </c>
      <c r="CH474" s="15" t="s">
        <v>174</v>
      </c>
      <c r="CI474" s="15" t="s">
        <v>138</v>
      </c>
      <c r="CJ474" s="15" t="s">
        <v>138</v>
      </c>
      <c r="CK474" s="15" t="s">
        <v>138</v>
      </c>
      <c r="CL474" s="15" t="s">
        <v>175</v>
      </c>
      <c r="CM474" s="22" t="s">
        <v>138</v>
      </c>
      <c r="CN474" s="17" t="s">
        <v>138</v>
      </c>
      <c r="CO474" s="23" t="s">
        <v>138</v>
      </c>
      <c r="CP474" s="24" t="s">
        <v>138</v>
      </c>
      <c r="CQ474" s="23" t="s">
        <v>138</v>
      </c>
      <c r="CR474" s="23" t="s">
        <v>138</v>
      </c>
      <c r="CS474" s="23" t="s">
        <v>138</v>
      </c>
      <c r="CT474" s="24" t="s">
        <v>138</v>
      </c>
      <c r="CU474" s="23" t="s">
        <v>138</v>
      </c>
      <c r="CV474" s="24" t="s">
        <v>138</v>
      </c>
      <c r="CW474" s="23" t="s">
        <v>138</v>
      </c>
      <c r="CX474" s="24" t="s">
        <v>138</v>
      </c>
      <c r="CY474" s="23" t="s">
        <v>138</v>
      </c>
      <c r="CZ474" s="24" t="s">
        <v>138</v>
      </c>
      <c r="DA474" s="23" t="s">
        <v>138</v>
      </c>
      <c r="DB474" s="24" t="s">
        <v>138</v>
      </c>
      <c r="DC474" s="25" t="s">
        <v>138</v>
      </c>
      <c r="DD474" s="24" t="s">
        <v>138</v>
      </c>
      <c r="DE474" s="25" t="s">
        <v>138</v>
      </c>
      <c r="DF474" s="23" t="s">
        <v>138</v>
      </c>
      <c r="DG474" s="25" t="s">
        <v>138</v>
      </c>
      <c r="DH474" s="24" t="s">
        <v>138</v>
      </c>
      <c r="DI474" s="25" t="s">
        <v>138</v>
      </c>
      <c r="DJ474" s="24" t="s">
        <v>138</v>
      </c>
      <c r="DK474" s="25" t="s">
        <v>138</v>
      </c>
      <c r="DL474" s="24" t="s">
        <v>138</v>
      </c>
      <c r="DM474" s="25" t="s">
        <v>138</v>
      </c>
      <c r="DN474" s="24" t="s">
        <v>138</v>
      </c>
      <c r="DO474" s="25" t="s">
        <v>138</v>
      </c>
      <c r="DP474" s="24" t="s">
        <v>138</v>
      </c>
      <c r="DQ474" s="24" t="s">
        <v>138</v>
      </c>
      <c r="DR474" s="26" t="s">
        <v>138</v>
      </c>
      <c r="DS474" s="23" t="s">
        <v>138</v>
      </c>
      <c r="DT474" s="24" t="s">
        <v>138</v>
      </c>
      <c r="DU474" s="26" t="s">
        <v>138</v>
      </c>
      <c r="DV474" s="23" t="s">
        <v>138</v>
      </c>
      <c r="DW474" s="24" t="s">
        <v>138</v>
      </c>
      <c r="DX474" s="27" t="s">
        <v>138</v>
      </c>
      <c r="DY474" s="23" t="s">
        <v>138</v>
      </c>
      <c r="DZ474" s="15" t="s">
        <v>178</v>
      </c>
      <c r="EA474" s="22">
        <v>43351</v>
      </c>
      <c r="EB474" s="17">
        <v>4.5</v>
      </c>
      <c r="EC474" s="22">
        <v>42941</v>
      </c>
      <c r="ED474" s="15" t="s">
        <v>205</v>
      </c>
      <c r="EE474" s="14" t="str">
        <f>HYPERLINK("https://my.pitchbook.com?c=183923-74", "View company online")</f>
        <v>View company online</v>
      </c>
    </row>
    <row r="475" spans="1:135">
      <c r="A475" s="28" t="s">
        <v>9781</v>
      </c>
      <c r="B475" s="28" t="s">
        <v>9782</v>
      </c>
      <c r="C475" s="28" t="s">
        <v>138</v>
      </c>
      <c r="D475" s="28" t="s">
        <v>9783</v>
      </c>
      <c r="E475" s="28" t="s">
        <v>9784</v>
      </c>
      <c r="F475" s="28" t="s">
        <v>9781</v>
      </c>
      <c r="G475" s="28" t="s">
        <v>9785</v>
      </c>
      <c r="H475" s="28" t="s">
        <v>322</v>
      </c>
      <c r="I475" s="28" t="s">
        <v>323</v>
      </c>
      <c r="J475" s="28" t="s">
        <v>324</v>
      </c>
      <c r="K475" s="28" t="s">
        <v>1543</v>
      </c>
      <c r="L475" s="28" t="s">
        <v>2835</v>
      </c>
      <c r="M475" s="28" t="s">
        <v>9786</v>
      </c>
      <c r="N475" s="28" t="s">
        <v>147</v>
      </c>
      <c r="O475" s="29">
        <v>8.5299999999999994</v>
      </c>
      <c r="P475" s="28" t="s">
        <v>148</v>
      </c>
      <c r="Q475" s="28" t="s">
        <v>149</v>
      </c>
      <c r="R475" s="28" t="s">
        <v>174</v>
      </c>
      <c r="S475" s="28" t="s">
        <v>9787</v>
      </c>
      <c r="T475" s="30">
        <v>100</v>
      </c>
      <c r="U475" s="28" t="s">
        <v>9788</v>
      </c>
      <c r="V475" s="28" t="s">
        <v>138</v>
      </c>
      <c r="W475" s="28" t="s">
        <v>138</v>
      </c>
      <c r="X475" s="31">
        <v>2013</v>
      </c>
      <c r="Y475" s="28" t="s">
        <v>138</v>
      </c>
      <c r="Z475" s="28" t="s">
        <v>138</v>
      </c>
      <c r="AA475" s="28" t="s">
        <v>138</v>
      </c>
      <c r="AB475" s="32" t="s">
        <v>138</v>
      </c>
      <c r="AC475" s="32" t="s">
        <v>138</v>
      </c>
      <c r="AD475" s="32" t="s">
        <v>138</v>
      </c>
      <c r="AE475" s="32" t="s">
        <v>138</v>
      </c>
      <c r="AF475" s="32" t="s">
        <v>138</v>
      </c>
      <c r="AG475" s="28" t="s">
        <v>138</v>
      </c>
      <c r="AH475" s="32" t="s">
        <v>138</v>
      </c>
      <c r="AI475" s="32" t="s">
        <v>138</v>
      </c>
      <c r="AJ475" s="32" t="s">
        <v>138</v>
      </c>
      <c r="AK475" s="28" t="s">
        <v>9789</v>
      </c>
      <c r="AL475" s="28" t="s">
        <v>9790</v>
      </c>
      <c r="AM475" s="28" t="s">
        <v>221</v>
      </c>
      <c r="AN475" s="28" t="s">
        <v>9791</v>
      </c>
      <c r="AO475" s="28" t="s">
        <v>9792</v>
      </c>
      <c r="AP475" s="28" t="s">
        <v>820</v>
      </c>
      <c r="AQ475" s="28" t="s">
        <v>9793</v>
      </c>
      <c r="AR475" s="28" t="s">
        <v>618</v>
      </c>
      <c r="AS475" s="28" t="s">
        <v>823</v>
      </c>
      <c r="AT475" s="28" t="s">
        <v>824</v>
      </c>
      <c r="AU475" s="28" t="s">
        <v>9794</v>
      </c>
      <c r="AV475" s="28" t="s">
        <v>526</v>
      </c>
      <c r="AW475" s="28" t="s">
        <v>9792</v>
      </c>
      <c r="AX475" s="28" t="s">
        <v>138</v>
      </c>
      <c r="AY475" s="28" t="s">
        <v>9795</v>
      </c>
      <c r="AZ475" s="28" t="s">
        <v>530</v>
      </c>
      <c r="BA475" s="28" t="s">
        <v>531</v>
      </c>
      <c r="BB475" s="28" t="s">
        <v>9796</v>
      </c>
      <c r="BC475" s="28" t="s">
        <v>9797</v>
      </c>
      <c r="BD475" s="33">
        <v>15</v>
      </c>
      <c r="BE475" s="28" t="s">
        <v>138</v>
      </c>
      <c r="BF475" s="28" t="s">
        <v>138</v>
      </c>
      <c r="BG475" s="28" t="s">
        <v>138</v>
      </c>
      <c r="BH475" s="28" t="s">
        <v>9798</v>
      </c>
      <c r="BI475" s="28" t="s">
        <v>138</v>
      </c>
      <c r="BJ475" s="28" t="s">
        <v>138</v>
      </c>
      <c r="BK475" s="28" t="s">
        <v>9799</v>
      </c>
      <c r="BL475" s="28" t="s">
        <v>9800</v>
      </c>
      <c r="BM475" s="34" t="s">
        <v>138</v>
      </c>
      <c r="BN475" s="29">
        <v>0.15</v>
      </c>
      <c r="BO475" s="28" t="s">
        <v>1178</v>
      </c>
      <c r="BP475" s="29" t="s">
        <v>138</v>
      </c>
      <c r="BQ475" s="28" t="s">
        <v>138</v>
      </c>
      <c r="BR475" s="28" t="s">
        <v>234</v>
      </c>
      <c r="BS475" s="28" t="s">
        <v>234</v>
      </c>
      <c r="BT475" s="28" t="s">
        <v>138</v>
      </c>
      <c r="BU475" s="28" t="s">
        <v>174</v>
      </c>
      <c r="BV475" s="28" t="s">
        <v>138</v>
      </c>
      <c r="BW475" s="28" t="s">
        <v>138</v>
      </c>
      <c r="BX475" s="28" t="s">
        <v>138</v>
      </c>
      <c r="BY475" s="28" t="s">
        <v>175</v>
      </c>
      <c r="BZ475" s="34">
        <v>43278</v>
      </c>
      <c r="CA475" s="29">
        <v>16</v>
      </c>
      <c r="CB475" s="28" t="s">
        <v>172</v>
      </c>
      <c r="CC475" s="29" t="s">
        <v>138</v>
      </c>
      <c r="CD475" s="28" t="s">
        <v>138</v>
      </c>
      <c r="CE475" s="28" t="s">
        <v>205</v>
      </c>
      <c r="CF475" s="28" t="s">
        <v>720</v>
      </c>
      <c r="CG475" s="28" t="s">
        <v>138</v>
      </c>
      <c r="CH475" s="28" t="s">
        <v>174</v>
      </c>
      <c r="CI475" s="28" t="s">
        <v>1080</v>
      </c>
      <c r="CJ475" s="28" t="s">
        <v>138</v>
      </c>
      <c r="CK475" s="28" t="s">
        <v>138</v>
      </c>
      <c r="CL475" s="28" t="s">
        <v>175</v>
      </c>
      <c r="CM475" s="34">
        <v>43278</v>
      </c>
      <c r="CN475" s="29" t="s">
        <v>138</v>
      </c>
      <c r="CO475" s="35">
        <v>0.14000000000000001</v>
      </c>
      <c r="CP475" s="36">
        <v>91</v>
      </c>
      <c r="CQ475" s="35">
        <v>0.01</v>
      </c>
      <c r="CR475" s="35">
        <v>11.59</v>
      </c>
      <c r="CS475" s="35">
        <v>0</v>
      </c>
      <c r="CT475" s="36">
        <v>23</v>
      </c>
      <c r="CU475" s="35">
        <v>0.28999999999999998</v>
      </c>
      <c r="CV475" s="36">
        <v>87</v>
      </c>
      <c r="CW475" s="35">
        <v>0</v>
      </c>
      <c r="CX475" s="36">
        <v>13</v>
      </c>
      <c r="CY475" s="35" t="s">
        <v>138</v>
      </c>
      <c r="CZ475" s="36" t="s">
        <v>138</v>
      </c>
      <c r="DA475" s="35">
        <v>0.28999999999999998</v>
      </c>
      <c r="DB475" s="36">
        <v>88</v>
      </c>
      <c r="DC475" s="37">
        <v>3.37</v>
      </c>
      <c r="DD475" s="36">
        <v>77</v>
      </c>
      <c r="DE475" s="37">
        <v>-0.03</v>
      </c>
      <c r="DF475" s="35">
        <v>-0.95</v>
      </c>
      <c r="DG475" s="37">
        <v>1.07</v>
      </c>
      <c r="DH475" s="36">
        <v>52</v>
      </c>
      <c r="DI475" s="37">
        <v>5.67</v>
      </c>
      <c r="DJ475" s="36">
        <v>79</v>
      </c>
      <c r="DK475" s="37">
        <v>1.07</v>
      </c>
      <c r="DL475" s="36">
        <v>52</v>
      </c>
      <c r="DM475" s="37" t="s">
        <v>138</v>
      </c>
      <c r="DN475" s="36" t="s">
        <v>138</v>
      </c>
      <c r="DO475" s="37">
        <v>5.67</v>
      </c>
      <c r="DP475" s="36">
        <v>81</v>
      </c>
      <c r="DQ475" s="36">
        <v>355</v>
      </c>
      <c r="DR475" s="38">
        <v>38</v>
      </c>
      <c r="DS475" s="35">
        <v>11.99</v>
      </c>
      <c r="DT475" s="36" t="s">
        <v>138</v>
      </c>
      <c r="DU475" s="38" t="s">
        <v>138</v>
      </c>
      <c r="DV475" s="35" t="s">
        <v>138</v>
      </c>
      <c r="DW475" s="36">
        <v>2021</v>
      </c>
      <c r="DX475" s="39">
        <v>14</v>
      </c>
      <c r="DY475" s="35">
        <v>0.7</v>
      </c>
      <c r="DZ475" s="28" t="s">
        <v>178</v>
      </c>
      <c r="EA475" s="34">
        <v>43616</v>
      </c>
      <c r="EB475" s="29">
        <v>4.8899999999999997</v>
      </c>
      <c r="EC475" s="34">
        <v>42066</v>
      </c>
      <c r="ED475" s="28" t="s">
        <v>234</v>
      </c>
      <c r="EE475" s="40" t="str">
        <f>HYPERLINK("https://my.pitchbook.com?c=103080-70", "View company online")</f>
        <v>View company online</v>
      </c>
    </row>
    <row r="476" spans="1:135">
      <c r="A476" s="15" t="s">
        <v>9801</v>
      </c>
      <c r="B476" s="15" t="s">
        <v>9802</v>
      </c>
      <c r="C476" s="15" t="s">
        <v>9803</v>
      </c>
      <c r="D476" s="15" t="s">
        <v>138</v>
      </c>
      <c r="E476" s="15" t="s">
        <v>9804</v>
      </c>
      <c r="F476" s="15" t="s">
        <v>9801</v>
      </c>
      <c r="G476" s="15" t="s">
        <v>9805</v>
      </c>
      <c r="H476" s="15" t="s">
        <v>322</v>
      </c>
      <c r="I476" s="15" t="s">
        <v>323</v>
      </c>
      <c r="J476" s="15" t="s">
        <v>324</v>
      </c>
      <c r="K476" s="15" t="s">
        <v>1649</v>
      </c>
      <c r="L476" s="15" t="s">
        <v>8586</v>
      </c>
      <c r="M476" s="15" t="s">
        <v>9806</v>
      </c>
      <c r="N476" s="15" t="s">
        <v>147</v>
      </c>
      <c r="O476" s="17">
        <v>85.47</v>
      </c>
      <c r="P476" s="15" t="s">
        <v>148</v>
      </c>
      <c r="Q476" s="15" t="s">
        <v>149</v>
      </c>
      <c r="R476" s="15" t="s">
        <v>174</v>
      </c>
      <c r="S476" s="15" t="s">
        <v>9807</v>
      </c>
      <c r="T476" s="18">
        <v>73</v>
      </c>
      <c r="U476" s="15" t="s">
        <v>9808</v>
      </c>
      <c r="V476" s="15" t="s">
        <v>138</v>
      </c>
      <c r="W476" s="15" t="s">
        <v>138</v>
      </c>
      <c r="X476" s="19">
        <v>2011</v>
      </c>
      <c r="Y476" s="15" t="s">
        <v>138</v>
      </c>
      <c r="Z476" s="15" t="s">
        <v>138</v>
      </c>
      <c r="AA476" s="15" t="s">
        <v>138</v>
      </c>
      <c r="AB476" s="20" t="s">
        <v>138</v>
      </c>
      <c r="AC476" s="20" t="s">
        <v>138</v>
      </c>
      <c r="AD476" s="20" t="s">
        <v>138</v>
      </c>
      <c r="AE476" s="20" t="s">
        <v>138</v>
      </c>
      <c r="AF476" s="20" t="s">
        <v>138</v>
      </c>
      <c r="AG476" s="15" t="s">
        <v>138</v>
      </c>
      <c r="AH476" s="20" t="s">
        <v>138</v>
      </c>
      <c r="AI476" s="20" t="s">
        <v>138</v>
      </c>
      <c r="AJ476" s="20" t="s">
        <v>138</v>
      </c>
      <c r="AK476" s="15" t="s">
        <v>9809</v>
      </c>
      <c r="AL476" s="15" t="s">
        <v>9810</v>
      </c>
      <c r="AM476" s="15" t="s">
        <v>2794</v>
      </c>
      <c r="AN476" s="15" t="s">
        <v>9811</v>
      </c>
      <c r="AO476" s="15" t="s">
        <v>9812</v>
      </c>
      <c r="AP476" s="15" t="s">
        <v>665</v>
      </c>
      <c r="AQ476" s="15" t="s">
        <v>9813</v>
      </c>
      <c r="AR476" s="15" t="s">
        <v>138</v>
      </c>
      <c r="AS476" s="15" t="s">
        <v>668</v>
      </c>
      <c r="AT476" s="15" t="s">
        <v>200</v>
      </c>
      <c r="AU476" s="15" t="s">
        <v>2052</v>
      </c>
      <c r="AV476" s="15" t="s">
        <v>162</v>
      </c>
      <c r="AW476" s="15" t="s">
        <v>9812</v>
      </c>
      <c r="AX476" s="15" t="s">
        <v>138</v>
      </c>
      <c r="AY476" s="15" t="s">
        <v>9814</v>
      </c>
      <c r="AZ476" s="15" t="s">
        <v>164</v>
      </c>
      <c r="BA476" s="15" t="s">
        <v>165</v>
      </c>
      <c r="BB476" s="15" t="s">
        <v>9815</v>
      </c>
      <c r="BC476" s="15" t="s">
        <v>9816</v>
      </c>
      <c r="BD476" s="21">
        <v>21</v>
      </c>
      <c r="BE476" s="15" t="s">
        <v>138</v>
      </c>
      <c r="BF476" s="15" t="s">
        <v>138</v>
      </c>
      <c r="BG476" s="15" t="s">
        <v>138</v>
      </c>
      <c r="BH476" s="15" t="s">
        <v>9817</v>
      </c>
      <c r="BI476" s="15" t="s">
        <v>138</v>
      </c>
      <c r="BJ476" s="15" t="s">
        <v>138</v>
      </c>
      <c r="BK476" s="15" t="s">
        <v>9818</v>
      </c>
      <c r="BL476" s="15" t="s">
        <v>2936</v>
      </c>
      <c r="BM476" s="22">
        <v>41411</v>
      </c>
      <c r="BN476" s="17">
        <v>6</v>
      </c>
      <c r="BO476" s="15" t="s">
        <v>172</v>
      </c>
      <c r="BP476" s="17">
        <v>11.57</v>
      </c>
      <c r="BQ476" s="15" t="s">
        <v>172</v>
      </c>
      <c r="BR476" s="15" t="s">
        <v>205</v>
      </c>
      <c r="BS476" s="15" t="s">
        <v>206</v>
      </c>
      <c r="BT476" s="15" t="s">
        <v>138</v>
      </c>
      <c r="BU476" s="15" t="s">
        <v>174</v>
      </c>
      <c r="BV476" s="15" t="s">
        <v>138</v>
      </c>
      <c r="BW476" s="15" t="s">
        <v>138</v>
      </c>
      <c r="BX476" s="15" t="s">
        <v>138</v>
      </c>
      <c r="BY476" s="15" t="s">
        <v>175</v>
      </c>
      <c r="BZ476" s="22">
        <v>43578</v>
      </c>
      <c r="CA476" s="17">
        <v>29.4</v>
      </c>
      <c r="CB476" s="15" t="s">
        <v>172</v>
      </c>
      <c r="CC476" s="17">
        <v>131.80000000000001</v>
      </c>
      <c r="CD476" s="15" t="s">
        <v>172</v>
      </c>
      <c r="CE476" s="15" t="s">
        <v>173</v>
      </c>
      <c r="CF476" s="15" t="s">
        <v>317</v>
      </c>
      <c r="CG476" s="15" t="s">
        <v>138</v>
      </c>
      <c r="CH476" s="15" t="s">
        <v>174</v>
      </c>
      <c r="CI476" s="15" t="s">
        <v>138</v>
      </c>
      <c r="CJ476" s="15" t="s">
        <v>138</v>
      </c>
      <c r="CK476" s="15" t="s">
        <v>138</v>
      </c>
      <c r="CL476" s="15" t="s">
        <v>175</v>
      </c>
      <c r="CM476" s="22" t="s">
        <v>138</v>
      </c>
      <c r="CN476" s="17" t="s">
        <v>138</v>
      </c>
      <c r="CO476" s="23">
        <v>-0.79</v>
      </c>
      <c r="CP476" s="24">
        <v>13</v>
      </c>
      <c r="CQ476" s="23">
        <v>0.06</v>
      </c>
      <c r="CR476" s="23">
        <v>6.72</v>
      </c>
      <c r="CS476" s="23">
        <v>-1.71</v>
      </c>
      <c r="CT476" s="24">
        <v>10</v>
      </c>
      <c r="CU476" s="23">
        <v>0.13</v>
      </c>
      <c r="CV476" s="24">
        <v>73</v>
      </c>
      <c r="CW476" s="23">
        <v>-1.51</v>
      </c>
      <c r="CX476" s="24">
        <v>8</v>
      </c>
      <c r="CY476" s="23">
        <v>-1.9</v>
      </c>
      <c r="CZ476" s="24">
        <v>12</v>
      </c>
      <c r="DA476" s="23">
        <v>0.13</v>
      </c>
      <c r="DB476" s="24">
        <v>76</v>
      </c>
      <c r="DC476" s="25">
        <v>3.17</v>
      </c>
      <c r="DD476" s="24">
        <v>76</v>
      </c>
      <c r="DE476" s="25">
        <v>-0.05</v>
      </c>
      <c r="DF476" s="23">
        <v>-1.47</v>
      </c>
      <c r="DG476" s="25">
        <v>3.13</v>
      </c>
      <c r="DH476" s="24">
        <v>75</v>
      </c>
      <c r="DI476" s="25">
        <v>3.2</v>
      </c>
      <c r="DJ476" s="24">
        <v>71</v>
      </c>
      <c r="DK476" s="25">
        <v>2.37</v>
      </c>
      <c r="DL476" s="24">
        <v>67</v>
      </c>
      <c r="DM476" s="25">
        <v>3.9</v>
      </c>
      <c r="DN476" s="24">
        <v>78</v>
      </c>
      <c r="DO476" s="25">
        <v>3.2</v>
      </c>
      <c r="DP476" s="24">
        <v>72</v>
      </c>
      <c r="DQ476" s="24">
        <v>846</v>
      </c>
      <c r="DR476" s="26">
        <v>-100</v>
      </c>
      <c r="DS476" s="23">
        <v>-10.57</v>
      </c>
      <c r="DT476" s="24">
        <v>112</v>
      </c>
      <c r="DU476" s="26">
        <v>2</v>
      </c>
      <c r="DV476" s="23">
        <v>1.82</v>
      </c>
      <c r="DW476" s="24">
        <v>1144</v>
      </c>
      <c r="DX476" s="27">
        <v>2</v>
      </c>
      <c r="DY476" s="23">
        <v>0.18</v>
      </c>
      <c r="DZ476" s="15" t="s">
        <v>178</v>
      </c>
      <c r="EA476" s="22">
        <v>43622</v>
      </c>
      <c r="EB476" s="17">
        <v>131.80000000000001</v>
      </c>
      <c r="EC476" s="22">
        <v>43578</v>
      </c>
      <c r="ED476" s="15" t="s">
        <v>173</v>
      </c>
      <c r="EE476" s="14" t="str">
        <f>HYPERLINK("https://my.pitchbook.com?c=58419-55", "View company online")</f>
        <v>View company online</v>
      </c>
    </row>
    <row r="477" spans="1:135">
      <c r="A477" s="28" t="s">
        <v>9819</v>
      </c>
      <c r="B477" s="28" t="s">
        <v>9820</v>
      </c>
      <c r="C477" s="28" t="s">
        <v>138</v>
      </c>
      <c r="D477" s="28" t="s">
        <v>138</v>
      </c>
      <c r="E477" s="28" t="s">
        <v>9821</v>
      </c>
      <c r="F477" s="28" t="s">
        <v>9819</v>
      </c>
      <c r="G477" s="28" t="s">
        <v>9822</v>
      </c>
      <c r="H477" s="28" t="s">
        <v>322</v>
      </c>
      <c r="I477" s="28" t="s">
        <v>356</v>
      </c>
      <c r="J477" s="28" t="s">
        <v>2895</v>
      </c>
      <c r="K477" s="28" t="s">
        <v>9823</v>
      </c>
      <c r="L477" s="28" t="s">
        <v>1972</v>
      </c>
      <c r="M477" s="28" t="s">
        <v>9824</v>
      </c>
      <c r="N477" s="28" t="s">
        <v>147</v>
      </c>
      <c r="O477" s="29">
        <v>322.73</v>
      </c>
      <c r="P477" s="28" t="s">
        <v>148</v>
      </c>
      <c r="Q477" s="28" t="s">
        <v>149</v>
      </c>
      <c r="R477" s="28" t="s">
        <v>174</v>
      </c>
      <c r="S477" s="28" t="s">
        <v>9825</v>
      </c>
      <c r="T477" s="30">
        <v>450</v>
      </c>
      <c r="U477" s="28" t="s">
        <v>9826</v>
      </c>
      <c r="V477" s="28" t="s">
        <v>138</v>
      </c>
      <c r="W477" s="28" t="s">
        <v>138</v>
      </c>
      <c r="X477" s="31">
        <v>2009</v>
      </c>
      <c r="Y477" s="28" t="s">
        <v>138</v>
      </c>
      <c r="Z477" s="28" t="s">
        <v>138</v>
      </c>
      <c r="AA477" s="28" t="s">
        <v>138</v>
      </c>
      <c r="AB477" s="32">
        <v>70.8</v>
      </c>
      <c r="AC477" s="32" t="s">
        <v>138</v>
      </c>
      <c r="AD477" s="32" t="s">
        <v>138</v>
      </c>
      <c r="AE477" s="32" t="s">
        <v>138</v>
      </c>
      <c r="AF477" s="32" t="s">
        <v>138</v>
      </c>
      <c r="AG477" s="28" t="s">
        <v>815</v>
      </c>
      <c r="AH477" s="32" t="s">
        <v>138</v>
      </c>
      <c r="AI477" s="32" t="s">
        <v>138</v>
      </c>
      <c r="AJ477" s="32" t="s">
        <v>138</v>
      </c>
      <c r="AK477" s="28" t="s">
        <v>9827</v>
      </c>
      <c r="AL477" s="28" t="s">
        <v>9828</v>
      </c>
      <c r="AM477" s="28" t="s">
        <v>304</v>
      </c>
      <c r="AN477" s="28" t="s">
        <v>9829</v>
      </c>
      <c r="AO477" s="28" t="s">
        <v>9830</v>
      </c>
      <c r="AP477" s="28" t="s">
        <v>9831</v>
      </c>
      <c r="AQ477" s="28" t="s">
        <v>9832</v>
      </c>
      <c r="AR477" s="28" t="s">
        <v>9833</v>
      </c>
      <c r="AS477" s="28" t="s">
        <v>9834</v>
      </c>
      <c r="AT477" s="28" t="s">
        <v>138</v>
      </c>
      <c r="AU477" s="28" t="s">
        <v>9835</v>
      </c>
      <c r="AV477" s="28" t="s">
        <v>1054</v>
      </c>
      <c r="AW477" s="28" t="s">
        <v>9830</v>
      </c>
      <c r="AX477" s="28" t="s">
        <v>138</v>
      </c>
      <c r="AY477" s="28" t="s">
        <v>9836</v>
      </c>
      <c r="AZ477" s="28" t="s">
        <v>530</v>
      </c>
      <c r="BA477" s="28" t="s">
        <v>531</v>
      </c>
      <c r="BB477" s="28" t="s">
        <v>9837</v>
      </c>
      <c r="BC477" s="28" t="s">
        <v>9838</v>
      </c>
      <c r="BD477" s="33">
        <v>27</v>
      </c>
      <c r="BE477" s="28" t="s">
        <v>138</v>
      </c>
      <c r="BF477" s="28" t="s">
        <v>138</v>
      </c>
      <c r="BG477" s="28" t="s">
        <v>138</v>
      </c>
      <c r="BH477" s="28" t="s">
        <v>9839</v>
      </c>
      <c r="BI477" s="28" t="s">
        <v>138</v>
      </c>
      <c r="BJ477" s="28" t="s">
        <v>138</v>
      </c>
      <c r="BK477" s="28" t="s">
        <v>9840</v>
      </c>
      <c r="BL477" s="28" t="s">
        <v>9841</v>
      </c>
      <c r="BM477" s="34">
        <v>40072</v>
      </c>
      <c r="BN477" s="29" t="s">
        <v>138</v>
      </c>
      <c r="BO477" s="28" t="s">
        <v>138</v>
      </c>
      <c r="BP477" s="29" t="s">
        <v>138</v>
      </c>
      <c r="BQ477" s="28" t="s">
        <v>138</v>
      </c>
      <c r="BR477" s="28" t="s">
        <v>316</v>
      </c>
      <c r="BS477" s="28" t="s">
        <v>138</v>
      </c>
      <c r="BT477" s="28" t="s">
        <v>138</v>
      </c>
      <c r="BU477" s="28" t="s">
        <v>177</v>
      </c>
      <c r="BV477" s="28" t="s">
        <v>138</v>
      </c>
      <c r="BW477" s="28" t="s">
        <v>138</v>
      </c>
      <c r="BX477" s="28" t="s">
        <v>138</v>
      </c>
      <c r="BY477" s="28" t="s">
        <v>175</v>
      </c>
      <c r="BZ477" s="34">
        <v>42879</v>
      </c>
      <c r="CA477" s="29" t="s">
        <v>138</v>
      </c>
      <c r="CB477" s="28" t="s">
        <v>138</v>
      </c>
      <c r="CC477" s="29" t="s">
        <v>138</v>
      </c>
      <c r="CD477" s="28" t="s">
        <v>138</v>
      </c>
      <c r="CE477" s="28" t="s">
        <v>173</v>
      </c>
      <c r="CF477" s="28" t="s">
        <v>138</v>
      </c>
      <c r="CG477" s="28" t="s">
        <v>138</v>
      </c>
      <c r="CH477" s="28" t="s">
        <v>174</v>
      </c>
      <c r="CI477" s="28" t="s">
        <v>138</v>
      </c>
      <c r="CJ477" s="28" t="s">
        <v>138</v>
      </c>
      <c r="CK477" s="28" t="s">
        <v>138</v>
      </c>
      <c r="CL477" s="28" t="s">
        <v>175</v>
      </c>
      <c r="CM477" s="34" t="s">
        <v>138</v>
      </c>
      <c r="CN477" s="29" t="s">
        <v>138</v>
      </c>
      <c r="CO477" s="35">
        <v>0.46</v>
      </c>
      <c r="CP477" s="36">
        <v>95</v>
      </c>
      <c r="CQ477" s="35">
        <v>-0.04</v>
      </c>
      <c r="CR477" s="35">
        <v>-7.3</v>
      </c>
      <c r="CS477" s="35">
        <v>0.71</v>
      </c>
      <c r="CT477" s="36">
        <v>96</v>
      </c>
      <c r="CU477" s="35">
        <v>0.22</v>
      </c>
      <c r="CV477" s="36">
        <v>82</v>
      </c>
      <c r="CW477" s="35">
        <v>1.88</v>
      </c>
      <c r="CX477" s="36">
        <v>88</v>
      </c>
      <c r="CY477" s="35">
        <v>-0.47</v>
      </c>
      <c r="CZ477" s="36">
        <v>22</v>
      </c>
      <c r="DA477" s="35">
        <v>0.15</v>
      </c>
      <c r="DB477" s="36">
        <v>78</v>
      </c>
      <c r="DC477" s="37">
        <v>43.47</v>
      </c>
      <c r="DD477" s="36">
        <v>98</v>
      </c>
      <c r="DE477" s="37">
        <v>0.01</v>
      </c>
      <c r="DF477" s="35">
        <v>0.01</v>
      </c>
      <c r="DG477" s="37">
        <v>56.68</v>
      </c>
      <c r="DH477" s="36">
        <v>98</v>
      </c>
      <c r="DI477" s="37">
        <v>30.26</v>
      </c>
      <c r="DJ477" s="36">
        <v>93</v>
      </c>
      <c r="DK477" s="37">
        <v>5.01</v>
      </c>
      <c r="DL477" s="36">
        <v>79</v>
      </c>
      <c r="DM477" s="37">
        <v>108.34</v>
      </c>
      <c r="DN477" s="36">
        <v>99</v>
      </c>
      <c r="DO477" s="37">
        <v>53.75</v>
      </c>
      <c r="DP477" s="36">
        <v>97</v>
      </c>
      <c r="DQ477" s="36">
        <v>1690</v>
      </c>
      <c r="DR477" s="38">
        <v>91</v>
      </c>
      <c r="DS477" s="35">
        <v>5.69</v>
      </c>
      <c r="DT477" s="36">
        <v>3138</v>
      </c>
      <c r="DU477" s="38">
        <v>6</v>
      </c>
      <c r="DV477" s="35">
        <v>0.19</v>
      </c>
      <c r="DW477" s="36">
        <v>19222</v>
      </c>
      <c r="DX477" s="39">
        <v>23</v>
      </c>
      <c r="DY477" s="35">
        <v>0.12</v>
      </c>
      <c r="DZ477" s="28" t="s">
        <v>178</v>
      </c>
      <c r="EA477" s="34">
        <v>43611</v>
      </c>
      <c r="EB477" s="29">
        <v>648.39</v>
      </c>
      <c r="EC477" s="34">
        <v>42692</v>
      </c>
      <c r="ED477" s="28" t="s">
        <v>173</v>
      </c>
      <c r="EE477" s="40" t="str">
        <f>HYPERLINK("https://my.pitchbook.com?c=54705-79", "View company online")</f>
        <v>View company online</v>
      </c>
    </row>
    <row r="478" spans="1:135">
      <c r="A478" s="15" t="s">
        <v>9842</v>
      </c>
      <c r="B478" s="15" t="s">
        <v>9843</v>
      </c>
      <c r="C478" s="15" t="s">
        <v>138</v>
      </c>
      <c r="D478" s="15" t="s">
        <v>138</v>
      </c>
      <c r="E478" s="15" t="s">
        <v>9844</v>
      </c>
      <c r="F478" s="15" t="s">
        <v>9842</v>
      </c>
      <c r="G478" s="15" t="s">
        <v>9845</v>
      </c>
      <c r="H478" s="15" t="s">
        <v>322</v>
      </c>
      <c r="I478" s="15" t="s">
        <v>1208</v>
      </c>
      <c r="J478" s="15" t="s">
        <v>1209</v>
      </c>
      <c r="K478" s="15" t="s">
        <v>1971</v>
      </c>
      <c r="L478" s="15" t="s">
        <v>138</v>
      </c>
      <c r="M478" s="15" t="s">
        <v>9846</v>
      </c>
      <c r="N478" s="15" t="s">
        <v>147</v>
      </c>
      <c r="O478" s="17">
        <v>89.59</v>
      </c>
      <c r="P478" s="15" t="s">
        <v>148</v>
      </c>
      <c r="Q478" s="15" t="s">
        <v>149</v>
      </c>
      <c r="R478" s="15" t="s">
        <v>174</v>
      </c>
      <c r="S478" s="15" t="s">
        <v>9847</v>
      </c>
      <c r="T478" s="18">
        <v>335</v>
      </c>
      <c r="U478" s="15" t="s">
        <v>9848</v>
      </c>
      <c r="V478" s="15" t="s">
        <v>138</v>
      </c>
      <c r="W478" s="15" t="s">
        <v>138</v>
      </c>
      <c r="X478" s="19">
        <v>2015</v>
      </c>
      <c r="Y478" s="15" t="s">
        <v>138</v>
      </c>
      <c r="Z478" s="15" t="s">
        <v>138</v>
      </c>
      <c r="AA478" s="15" t="s">
        <v>138</v>
      </c>
      <c r="AB478" s="20" t="s">
        <v>138</v>
      </c>
      <c r="AC478" s="20" t="s">
        <v>138</v>
      </c>
      <c r="AD478" s="20" t="s">
        <v>138</v>
      </c>
      <c r="AE478" s="20" t="s">
        <v>138</v>
      </c>
      <c r="AF478" s="20" t="s">
        <v>138</v>
      </c>
      <c r="AG478" s="15" t="s">
        <v>138</v>
      </c>
      <c r="AH478" s="20" t="s">
        <v>138</v>
      </c>
      <c r="AI478" s="20" t="s">
        <v>138</v>
      </c>
      <c r="AJ478" s="20" t="s">
        <v>138</v>
      </c>
      <c r="AK478" s="15" t="s">
        <v>9849</v>
      </c>
      <c r="AL478" s="15" t="s">
        <v>9850</v>
      </c>
      <c r="AM478" s="15" t="s">
        <v>4810</v>
      </c>
      <c r="AN478" s="15" t="s">
        <v>9851</v>
      </c>
      <c r="AO478" s="15" t="s">
        <v>138</v>
      </c>
      <c r="AP478" s="15" t="s">
        <v>3668</v>
      </c>
      <c r="AQ478" s="15" t="s">
        <v>9852</v>
      </c>
      <c r="AR478" s="15" t="s">
        <v>226</v>
      </c>
      <c r="AS478" s="15" t="s">
        <v>3670</v>
      </c>
      <c r="AT478" s="15" t="s">
        <v>200</v>
      </c>
      <c r="AU478" s="15" t="s">
        <v>8773</v>
      </c>
      <c r="AV478" s="15" t="s">
        <v>162</v>
      </c>
      <c r="AW478" s="15" t="s">
        <v>138</v>
      </c>
      <c r="AX478" s="15" t="s">
        <v>138</v>
      </c>
      <c r="AY478" s="15" t="s">
        <v>9853</v>
      </c>
      <c r="AZ478" s="15" t="s">
        <v>164</v>
      </c>
      <c r="BA478" s="15" t="s">
        <v>165</v>
      </c>
      <c r="BB478" s="15" t="s">
        <v>9854</v>
      </c>
      <c r="BC478" s="15" t="s">
        <v>9855</v>
      </c>
      <c r="BD478" s="21">
        <v>9</v>
      </c>
      <c r="BE478" s="15" t="s">
        <v>138</v>
      </c>
      <c r="BF478" s="15" t="s">
        <v>138</v>
      </c>
      <c r="BG478" s="15" t="s">
        <v>138</v>
      </c>
      <c r="BH478" s="15" t="s">
        <v>9856</v>
      </c>
      <c r="BI478" s="15" t="s">
        <v>138</v>
      </c>
      <c r="BJ478" s="15" t="s">
        <v>138</v>
      </c>
      <c r="BK478" s="15" t="s">
        <v>9857</v>
      </c>
      <c r="BL478" s="15" t="s">
        <v>9858</v>
      </c>
      <c r="BM478" s="22">
        <v>42250</v>
      </c>
      <c r="BN478" s="17">
        <v>5.0599999999999996</v>
      </c>
      <c r="BO478" s="15" t="s">
        <v>172</v>
      </c>
      <c r="BP478" s="17">
        <v>13.5</v>
      </c>
      <c r="BQ478" s="15" t="s">
        <v>172</v>
      </c>
      <c r="BR478" s="15" t="s">
        <v>205</v>
      </c>
      <c r="BS478" s="15" t="s">
        <v>206</v>
      </c>
      <c r="BT478" s="15" t="s">
        <v>138</v>
      </c>
      <c r="BU478" s="15" t="s">
        <v>174</v>
      </c>
      <c r="BV478" s="15" t="s">
        <v>138</v>
      </c>
      <c r="BW478" s="15" t="s">
        <v>138</v>
      </c>
      <c r="BX478" s="15" t="s">
        <v>138</v>
      </c>
      <c r="BY478" s="15" t="s">
        <v>175</v>
      </c>
      <c r="BZ478" s="22">
        <v>43423</v>
      </c>
      <c r="CA478" s="17">
        <v>25.43</v>
      </c>
      <c r="CB478" s="15" t="s">
        <v>172</v>
      </c>
      <c r="CC478" s="17">
        <v>285.43</v>
      </c>
      <c r="CD478" s="15" t="s">
        <v>172</v>
      </c>
      <c r="CE478" s="15" t="s">
        <v>173</v>
      </c>
      <c r="CF478" s="15" t="s">
        <v>433</v>
      </c>
      <c r="CG478" s="15" t="s">
        <v>138</v>
      </c>
      <c r="CH478" s="15" t="s">
        <v>174</v>
      </c>
      <c r="CI478" s="15" t="s">
        <v>138</v>
      </c>
      <c r="CJ478" s="15" t="s">
        <v>138</v>
      </c>
      <c r="CK478" s="15" t="s">
        <v>138</v>
      </c>
      <c r="CL478" s="15" t="s">
        <v>175</v>
      </c>
      <c r="CM478" s="22" t="s">
        <v>138</v>
      </c>
      <c r="CN478" s="17" t="s">
        <v>138</v>
      </c>
      <c r="CO478" s="23">
        <v>0.95</v>
      </c>
      <c r="CP478" s="24">
        <v>97</v>
      </c>
      <c r="CQ478" s="23">
        <v>-0.02</v>
      </c>
      <c r="CR478" s="23">
        <v>-2.2599999999999998</v>
      </c>
      <c r="CS478" s="23">
        <v>1.23</v>
      </c>
      <c r="CT478" s="24">
        <v>97</v>
      </c>
      <c r="CU478" s="23">
        <v>1.01</v>
      </c>
      <c r="CV478" s="24">
        <v>98</v>
      </c>
      <c r="CW478" s="23">
        <v>4.32</v>
      </c>
      <c r="CX478" s="24">
        <v>94</v>
      </c>
      <c r="CY478" s="23">
        <v>-1.85</v>
      </c>
      <c r="CZ478" s="24">
        <v>12</v>
      </c>
      <c r="DA478" s="23">
        <v>1.01</v>
      </c>
      <c r="DB478" s="24">
        <v>98</v>
      </c>
      <c r="DC478" s="25">
        <v>15.5</v>
      </c>
      <c r="DD478" s="24">
        <v>93</v>
      </c>
      <c r="DE478" s="25">
        <v>-0.51</v>
      </c>
      <c r="DF478" s="23">
        <v>-3.2</v>
      </c>
      <c r="DG478" s="25">
        <v>35.020000000000003</v>
      </c>
      <c r="DH478" s="24">
        <v>97</v>
      </c>
      <c r="DI478" s="25">
        <v>10.85</v>
      </c>
      <c r="DJ478" s="24">
        <v>86</v>
      </c>
      <c r="DK478" s="25">
        <v>26.63</v>
      </c>
      <c r="DL478" s="24">
        <v>93</v>
      </c>
      <c r="DM478" s="25">
        <v>43.41</v>
      </c>
      <c r="DN478" s="24">
        <v>98</v>
      </c>
      <c r="DO478" s="25">
        <v>10.85</v>
      </c>
      <c r="DP478" s="24">
        <v>88</v>
      </c>
      <c r="DQ478" s="24">
        <v>11549</v>
      </c>
      <c r="DR478" s="26">
        <v>-7248</v>
      </c>
      <c r="DS478" s="23">
        <v>-38.56</v>
      </c>
      <c r="DT478" s="24">
        <v>1258</v>
      </c>
      <c r="DU478" s="26">
        <v>5</v>
      </c>
      <c r="DV478" s="23">
        <v>0.4</v>
      </c>
      <c r="DW478" s="24">
        <v>3866</v>
      </c>
      <c r="DX478" s="27">
        <v>20</v>
      </c>
      <c r="DY478" s="23">
        <v>0.52</v>
      </c>
      <c r="DZ478" s="15" t="s">
        <v>178</v>
      </c>
      <c r="EA478" s="22">
        <v>43622</v>
      </c>
      <c r="EB478" s="17">
        <v>285.43</v>
      </c>
      <c r="EC478" s="22">
        <v>43423</v>
      </c>
      <c r="ED478" s="15" t="s">
        <v>173</v>
      </c>
      <c r="EE478" s="14" t="str">
        <f>HYPERLINK("https://my.pitchbook.com?c=151331-77", "View company online")</f>
        <v>View company online</v>
      </c>
    </row>
    <row r="479" spans="1:135">
      <c r="A479" s="28" t="s">
        <v>9859</v>
      </c>
      <c r="B479" s="28" t="s">
        <v>9860</v>
      </c>
      <c r="C479" s="28" t="s">
        <v>138</v>
      </c>
      <c r="D479" s="28" t="s">
        <v>138</v>
      </c>
      <c r="E479" s="28" t="s">
        <v>9861</v>
      </c>
      <c r="F479" s="28" t="s">
        <v>9859</v>
      </c>
      <c r="G479" s="28" t="s">
        <v>9862</v>
      </c>
      <c r="H479" s="28" t="s">
        <v>238</v>
      </c>
      <c r="I479" s="28" t="s">
        <v>239</v>
      </c>
      <c r="J479" s="28" t="s">
        <v>2578</v>
      </c>
      <c r="K479" s="28" t="s">
        <v>9863</v>
      </c>
      <c r="L479" s="28" t="s">
        <v>5505</v>
      </c>
      <c r="M479" s="28" t="s">
        <v>9864</v>
      </c>
      <c r="N479" s="28" t="s">
        <v>147</v>
      </c>
      <c r="O479" s="29">
        <v>1</v>
      </c>
      <c r="P479" s="28" t="s">
        <v>148</v>
      </c>
      <c r="Q479" s="28" t="s">
        <v>149</v>
      </c>
      <c r="R479" s="28" t="s">
        <v>174</v>
      </c>
      <c r="S479" s="28" t="s">
        <v>9865</v>
      </c>
      <c r="T479" s="30" t="s">
        <v>138</v>
      </c>
      <c r="U479" s="28" t="s">
        <v>138</v>
      </c>
      <c r="V479" s="28" t="s">
        <v>138</v>
      </c>
      <c r="W479" s="28" t="s">
        <v>138</v>
      </c>
      <c r="X479" s="31">
        <v>2013</v>
      </c>
      <c r="Y479" s="28" t="s">
        <v>138</v>
      </c>
      <c r="Z479" s="28" t="s">
        <v>138</v>
      </c>
      <c r="AA479" s="28" t="s">
        <v>138</v>
      </c>
      <c r="AB479" s="32" t="s">
        <v>138</v>
      </c>
      <c r="AC479" s="32" t="s">
        <v>138</v>
      </c>
      <c r="AD479" s="32" t="s">
        <v>138</v>
      </c>
      <c r="AE479" s="32" t="s">
        <v>138</v>
      </c>
      <c r="AF479" s="32" t="s">
        <v>138</v>
      </c>
      <c r="AG479" s="28" t="s">
        <v>138</v>
      </c>
      <c r="AH479" s="32" t="s">
        <v>138</v>
      </c>
      <c r="AI479" s="32" t="s">
        <v>138</v>
      </c>
      <c r="AJ479" s="32" t="s">
        <v>138</v>
      </c>
      <c r="AK479" s="28" t="s">
        <v>9866</v>
      </c>
      <c r="AL479" s="28" t="s">
        <v>9867</v>
      </c>
      <c r="AM479" s="28" t="s">
        <v>986</v>
      </c>
      <c r="AN479" s="28" t="s">
        <v>9868</v>
      </c>
      <c r="AO479" s="28" t="s">
        <v>138</v>
      </c>
      <c r="AP479" s="28" t="s">
        <v>665</v>
      </c>
      <c r="AQ479" s="28" t="s">
        <v>9869</v>
      </c>
      <c r="AR479" s="28" t="s">
        <v>9870</v>
      </c>
      <c r="AS479" s="28" t="s">
        <v>668</v>
      </c>
      <c r="AT479" s="28" t="s">
        <v>200</v>
      </c>
      <c r="AU479" s="28" t="s">
        <v>3928</v>
      </c>
      <c r="AV479" s="28" t="s">
        <v>162</v>
      </c>
      <c r="AW479" s="28" t="s">
        <v>138</v>
      </c>
      <c r="AX479" s="28" t="s">
        <v>138</v>
      </c>
      <c r="AY479" s="28" t="s">
        <v>138</v>
      </c>
      <c r="AZ479" s="28" t="s">
        <v>164</v>
      </c>
      <c r="BA479" s="28" t="s">
        <v>165</v>
      </c>
      <c r="BB479" s="28" t="s">
        <v>9871</v>
      </c>
      <c r="BC479" s="28" t="s">
        <v>9872</v>
      </c>
      <c r="BD479" s="33">
        <v>3</v>
      </c>
      <c r="BE479" s="28" t="s">
        <v>138</v>
      </c>
      <c r="BF479" s="28" t="s">
        <v>138</v>
      </c>
      <c r="BG479" s="28" t="s">
        <v>138</v>
      </c>
      <c r="BH479" s="28" t="s">
        <v>9873</v>
      </c>
      <c r="BI479" s="28" t="s">
        <v>138</v>
      </c>
      <c r="BJ479" s="28" t="s">
        <v>138</v>
      </c>
      <c r="BK479" s="28" t="s">
        <v>9874</v>
      </c>
      <c r="BL479" s="28" t="s">
        <v>138</v>
      </c>
      <c r="BM479" s="34">
        <v>41995</v>
      </c>
      <c r="BN479" s="29">
        <v>1</v>
      </c>
      <c r="BO479" s="28" t="s">
        <v>172</v>
      </c>
      <c r="BP479" s="29" t="s">
        <v>138</v>
      </c>
      <c r="BQ479" s="28" t="s">
        <v>138</v>
      </c>
      <c r="BR479" s="28" t="s">
        <v>234</v>
      </c>
      <c r="BS479" s="28" t="s">
        <v>234</v>
      </c>
      <c r="BT479" s="28" t="s">
        <v>138</v>
      </c>
      <c r="BU479" s="28" t="s">
        <v>174</v>
      </c>
      <c r="BV479" s="28" t="s">
        <v>138</v>
      </c>
      <c r="BW479" s="28" t="s">
        <v>138</v>
      </c>
      <c r="BX479" s="28" t="s">
        <v>138</v>
      </c>
      <c r="BY479" s="28" t="s">
        <v>175</v>
      </c>
      <c r="BZ479" s="34">
        <v>43465</v>
      </c>
      <c r="CA479" s="29" t="s">
        <v>138</v>
      </c>
      <c r="CB479" s="28" t="s">
        <v>138</v>
      </c>
      <c r="CC479" s="29" t="s">
        <v>138</v>
      </c>
      <c r="CD479" s="28" t="s">
        <v>138</v>
      </c>
      <c r="CE479" s="28" t="s">
        <v>173</v>
      </c>
      <c r="CF479" s="28" t="s">
        <v>138</v>
      </c>
      <c r="CG479" s="28" t="s">
        <v>138</v>
      </c>
      <c r="CH479" s="28" t="s">
        <v>174</v>
      </c>
      <c r="CI479" s="28" t="s">
        <v>138</v>
      </c>
      <c r="CJ479" s="28" t="s">
        <v>138</v>
      </c>
      <c r="CK479" s="28" t="s">
        <v>138</v>
      </c>
      <c r="CL479" s="28" t="s">
        <v>175</v>
      </c>
      <c r="CM479" s="34" t="s">
        <v>138</v>
      </c>
      <c r="CN479" s="29" t="s">
        <v>138</v>
      </c>
      <c r="CO479" s="35">
        <v>1.1599999999999999</v>
      </c>
      <c r="CP479" s="36">
        <v>98</v>
      </c>
      <c r="CQ479" s="35">
        <v>0.01</v>
      </c>
      <c r="CR479" s="35">
        <v>0.93</v>
      </c>
      <c r="CS479" s="35">
        <v>1.85</v>
      </c>
      <c r="CT479" s="36">
        <v>98</v>
      </c>
      <c r="CU479" s="35">
        <v>0.08</v>
      </c>
      <c r="CV479" s="36">
        <v>64</v>
      </c>
      <c r="CW479" s="35">
        <v>5.46</v>
      </c>
      <c r="CX479" s="36">
        <v>96</v>
      </c>
      <c r="CY479" s="35">
        <v>-1.75</v>
      </c>
      <c r="CZ479" s="36">
        <v>13</v>
      </c>
      <c r="DA479" s="35">
        <v>0.08</v>
      </c>
      <c r="DB479" s="36">
        <v>69</v>
      </c>
      <c r="DC479" s="37">
        <v>13.55</v>
      </c>
      <c r="DD479" s="36">
        <v>92</v>
      </c>
      <c r="DE479" s="37">
        <v>-0.79</v>
      </c>
      <c r="DF479" s="35">
        <v>-5.51</v>
      </c>
      <c r="DG479" s="37">
        <v>30.56</v>
      </c>
      <c r="DH479" s="36">
        <v>97</v>
      </c>
      <c r="DI479" s="37">
        <v>2.82</v>
      </c>
      <c r="DJ479" s="36">
        <v>68</v>
      </c>
      <c r="DK479" s="37">
        <v>44.57</v>
      </c>
      <c r="DL479" s="36">
        <v>95</v>
      </c>
      <c r="DM479" s="37">
        <v>16.55</v>
      </c>
      <c r="DN479" s="36">
        <v>93</v>
      </c>
      <c r="DO479" s="37">
        <v>2.82</v>
      </c>
      <c r="DP479" s="36">
        <v>70</v>
      </c>
      <c r="DQ479" s="36">
        <v>15282</v>
      </c>
      <c r="DR479" s="38">
        <v>16</v>
      </c>
      <c r="DS479" s="35">
        <v>0.1</v>
      </c>
      <c r="DT479" s="36">
        <v>480</v>
      </c>
      <c r="DU479" s="38">
        <v>-1</v>
      </c>
      <c r="DV479" s="35">
        <v>-0.21</v>
      </c>
      <c r="DW479" s="36">
        <v>1006</v>
      </c>
      <c r="DX479" s="39">
        <v>2</v>
      </c>
      <c r="DY479" s="35">
        <v>0.2</v>
      </c>
      <c r="DZ479" s="28" t="s">
        <v>178</v>
      </c>
      <c r="EA479" s="34">
        <v>43565</v>
      </c>
      <c r="EB479" s="29" t="s">
        <v>138</v>
      </c>
      <c r="EC479" s="34" t="s">
        <v>138</v>
      </c>
      <c r="ED479" s="28" t="s">
        <v>138</v>
      </c>
      <c r="EE479" s="40" t="str">
        <f>HYPERLINK("https://my.pitchbook.com?c=102399-13", "View company online")</f>
        <v>View company online</v>
      </c>
    </row>
    <row r="480" spans="1:135">
      <c r="A480" s="15" t="s">
        <v>9875</v>
      </c>
      <c r="B480" s="15" t="s">
        <v>9876</v>
      </c>
      <c r="C480" s="15" t="s">
        <v>138</v>
      </c>
      <c r="D480" s="15" t="s">
        <v>138</v>
      </c>
      <c r="E480" s="15" t="s">
        <v>9877</v>
      </c>
      <c r="F480" s="15" t="s">
        <v>9875</v>
      </c>
      <c r="G480" s="15" t="s">
        <v>9878</v>
      </c>
      <c r="H480" s="15" t="s">
        <v>322</v>
      </c>
      <c r="I480" s="15" t="s">
        <v>323</v>
      </c>
      <c r="J480" s="15" t="s">
        <v>413</v>
      </c>
      <c r="K480" s="15" t="s">
        <v>9879</v>
      </c>
      <c r="L480" s="15" t="s">
        <v>9880</v>
      </c>
      <c r="M480" s="15" t="s">
        <v>9881</v>
      </c>
      <c r="N480" s="15" t="s">
        <v>147</v>
      </c>
      <c r="O480" s="17">
        <v>103.57</v>
      </c>
      <c r="P480" s="15" t="s">
        <v>148</v>
      </c>
      <c r="Q480" s="15" t="s">
        <v>149</v>
      </c>
      <c r="R480" s="15" t="s">
        <v>244</v>
      </c>
      <c r="S480" s="15" t="s">
        <v>9882</v>
      </c>
      <c r="T480" s="18">
        <v>133</v>
      </c>
      <c r="U480" s="15" t="s">
        <v>9883</v>
      </c>
      <c r="V480" s="15" t="s">
        <v>138</v>
      </c>
      <c r="W480" s="15" t="s">
        <v>138</v>
      </c>
      <c r="X480" s="19">
        <v>2008</v>
      </c>
      <c r="Y480" s="15" t="s">
        <v>138</v>
      </c>
      <c r="Z480" s="15" t="s">
        <v>138</v>
      </c>
      <c r="AA480" s="15" t="s">
        <v>138</v>
      </c>
      <c r="AB480" s="20" t="s">
        <v>138</v>
      </c>
      <c r="AC480" s="20" t="s">
        <v>138</v>
      </c>
      <c r="AD480" s="20" t="s">
        <v>138</v>
      </c>
      <c r="AE480" s="20" t="s">
        <v>138</v>
      </c>
      <c r="AF480" s="20" t="s">
        <v>138</v>
      </c>
      <c r="AG480" s="15" t="s">
        <v>138</v>
      </c>
      <c r="AH480" s="20" t="s">
        <v>138</v>
      </c>
      <c r="AI480" s="20" t="s">
        <v>138</v>
      </c>
      <c r="AJ480" s="20" t="s">
        <v>138</v>
      </c>
      <c r="AK480" s="15" t="s">
        <v>9884</v>
      </c>
      <c r="AL480" s="15" t="s">
        <v>9885</v>
      </c>
      <c r="AM480" s="15" t="s">
        <v>9886</v>
      </c>
      <c r="AN480" s="15" t="s">
        <v>9887</v>
      </c>
      <c r="AO480" s="15" t="s">
        <v>138</v>
      </c>
      <c r="AP480" s="15" t="s">
        <v>423</v>
      </c>
      <c r="AQ480" s="15" t="s">
        <v>9888</v>
      </c>
      <c r="AR480" s="15" t="s">
        <v>5012</v>
      </c>
      <c r="AS480" s="15" t="s">
        <v>426</v>
      </c>
      <c r="AT480" s="15" t="s">
        <v>426</v>
      </c>
      <c r="AU480" s="15" t="s">
        <v>619</v>
      </c>
      <c r="AV480" s="15" t="s">
        <v>162</v>
      </c>
      <c r="AW480" s="15" t="s">
        <v>9889</v>
      </c>
      <c r="AX480" s="15" t="s">
        <v>138</v>
      </c>
      <c r="AY480" s="15" t="s">
        <v>138</v>
      </c>
      <c r="AZ480" s="15" t="s">
        <v>164</v>
      </c>
      <c r="BA480" s="15" t="s">
        <v>165</v>
      </c>
      <c r="BB480" s="15" t="s">
        <v>9890</v>
      </c>
      <c r="BC480" s="15" t="s">
        <v>9891</v>
      </c>
      <c r="BD480" s="21">
        <v>16</v>
      </c>
      <c r="BE480" s="15" t="s">
        <v>138</v>
      </c>
      <c r="BF480" s="15" t="s">
        <v>138</v>
      </c>
      <c r="BG480" s="15" t="s">
        <v>138</v>
      </c>
      <c r="BH480" s="15" t="s">
        <v>9892</v>
      </c>
      <c r="BI480" s="15" t="s">
        <v>138</v>
      </c>
      <c r="BJ480" s="15" t="s">
        <v>138</v>
      </c>
      <c r="BK480" s="15" t="s">
        <v>9893</v>
      </c>
      <c r="BL480" s="15" t="s">
        <v>9894</v>
      </c>
      <c r="BM480" s="22" t="s">
        <v>138</v>
      </c>
      <c r="BN480" s="17" t="s">
        <v>138</v>
      </c>
      <c r="BO480" s="15" t="s">
        <v>138</v>
      </c>
      <c r="BP480" s="17" t="s">
        <v>138</v>
      </c>
      <c r="BQ480" s="15" t="s">
        <v>138</v>
      </c>
      <c r="BR480" s="15" t="s">
        <v>262</v>
      </c>
      <c r="BS480" s="15" t="s">
        <v>262</v>
      </c>
      <c r="BT480" s="15" t="s">
        <v>138</v>
      </c>
      <c r="BU480" s="15" t="s">
        <v>263</v>
      </c>
      <c r="BV480" s="15" t="s">
        <v>138</v>
      </c>
      <c r="BW480" s="15" t="s">
        <v>138</v>
      </c>
      <c r="BX480" s="15" t="s">
        <v>138</v>
      </c>
      <c r="BY480" s="15" t="s">
        <v>175</v>
      </c>
      <c r="BZ480" s="22">
        <v>43447</v>
      </c>
      <c r="CA480" s="17">
        <v>65</v>
      </c>
      <c r="CB480" s="15" t="s">
        <v>172</v>
      </c>
      <c r="CC480" s="17" t="s">
        <v>138</v>
      </c>
      <c r="CD480" s="15" t="s">
        <v>138</v>
      </c>
      <c r="CE480" s="15" t="s">
        <v>173</v>
      </c>
      <c r="CF480" s="15" t="s">
        <v>138</v>
      </c>
      <c r="CG480" s="15" t="s">
        <v>138</v>
      </c>
      <c r="CH480" s="15" t="s">
        <v>174</v>
      </c>
      <c r="CI480" s="15" t="s">
        <v>264</v>
      </c>
      <c r="CJ480" s="15" t="s">
        <v>1328</v>
      </c>
      <c r="CK480" s="15" t="s">
        <v>138</v>
      </c>
      <c r="CL480" s="15" t="s">
        <v>175</v>
      </c>
      <c r="CM480" s="22">
        <v>43447</v>
      </c>
      <c r="CN480" s="17" t="s">
        <v>138</v>
      </c>
      <c r="CO480" s="23">
        <v>1.03</v>
      </c>
      <c r="CP480" s="24">
        <v>97</v>
      </c>
      <c r="CQ480" s="23">
        <v>-0.46</v>
      </c>
      <c r="CR480" s="23">
        <v>-31.1</v>
      </c>
      <c r="CS480" s="23">
        <v>-0.45</v>
      </c>
      <c r="CT480" s="24">
        <v>20</v>
      </c>
      <c r="CU480" s="23">
        <v>0.01</v>
      </c>
      <c r="CV480" s="24">
        <v>49</v>
      </c>
      <c r="CW480" s="23">
        <v>1.53</v>
      </c>
      <c r="CX480" s="24">
        <v>87</v>
      </c>
      <c r="CY480" s="23">
        <v>-2.4300000000000002</v>
      </c>
      <c r="CZ480" s="24">
        <v>9</v>
      </c>
      <c r="DA480" s="23">
        <v>0.01</v>
      </c>
      <c r="DB480" s="24">
        <v>57</v>
      </c>
      <c r="DC480" s="25">
        <v>55.44</v>
      </c>
      <c r="DD480" s="24">
        <v>98</v>
      </c>
      <c r="DE480" s="25">
        <v>-2.58</v>
      </c>
      <c r="DF480" s="23">
        <v>-4.45</v>
      </c>
      <c r="DG480" s="25">
        <v>109.39</v>
      </c>
      <c r="DH480" s="24">
        <v>99</v>
      </c>
      <c r="DI480" s="25">
        <v>26.13</v>
      </c>
      <c r="DJ480" s="24">
        <v>92</v>
      </c>
      <c r="DK480" s="25">
        <v>150.74</v>
      </c>
      <c r="DL480" s="24">
        <v>98</v>
      </c>
      <c r="DM480" s="25">
        <v>68.03</v>
      </c>
      <c r="DN480" s="24">
        <v>99</v>
      </c>
      <c r="DO480" s="25">
        <v>20.84</v>
      </c>
      <c r="DP480" s="24">
        <v>93</v>
      </c>
      <c r="DQ480" s="24">
        <v>52387</v>
      </c>
      <c r="DR480" s="26">
        <v>-2052</v>
      </c>
      <c r="DS480" s="23">
        <v>-3.77</v>
      </c>
      <c r="DT480" s="24">
        <v>1969</v>
      </c>
      <c r="DU480" s="26">
        <v>5</v>
      </c>
      <c r="DV480" s="23">
        <v>0.25</v>
      </c>
      <c r="DW480" s="24">
        <v>7458</v>
      </c>
      <c r="DX480" s="27">
        <v>2</v>
      </c>
      <c r="DY480" s="23">
        <v>0.03</v>
      </c>
      <c r="DZ480" s="15" t="s">
        <v>178</v>
      </c>
      <c r="EA480" s="22">
        <v>43622</v>
      </c>
      <c r="EB480" s="17">
        <v>260</v>
      </c>
      <c r="EC480" s="22">
        <v>42213</v>
      </c>
      <c r="ED480" s="15" t="s">
        <v>173</v>
      </c>
      <c r="EE480" s="14" t="str">
        <f>HYPERLINK("https://my.pitchbook.com?c=53654-23", "View company online")</f>
        <v>View company online</v>
      </c>
    </row>
    <row r="481" spans="1:135">
      <c r="A481" s="28" t="s">
        <v>9895</v>
      </c>
      <c r="B481" s="28" t="s">
        <v>9896</v>
      </c>
      <c r="C481" s="28" t="s">
        <v>138</v>
      </c>
      <c r="D481" s="28" t="s">
        <v>138</v>
      </c>
      <c r="E481" s="28" t="s">
        <v>9897</v>
      </c>
      <c r="F481" s="28" t="s">
        <v>9895</v>
      </c>
      <c r="G481" s="28" t="s">
        <v>9898</v>
      </c>
      <c r="H481" s="28" t="s">
        <v>322</v>
      </c>
      <c r="I481" s="28" t="s">
        <v>323</v>
      </c>
      <c r="J481" s="28" t="s">
        <v>413</v>
      </c>
      <c r="K481" s="28" t="s">
        <v>2254</v>
      </c>
      <c r="L481" s="28" t="s">
        <v>9899</v>
      </c>
      <c r="M481" s="28" t="s">
        <v>9900</v>
      </c>
      <c r="N481" s="28" t="s">
        <v>147</v>
      </c>
      <c r="O481" s="29">
        <v>5.5</v>
      </c>
      <c r="P481" s="28" t="s">
        <v>148</v>
      </c>
      <c r="Q481" s="28" t="s">
        <v>149</v>
      </c>
      <c r="R481" s="28" t="s">
        <v>174</v>
      </c>
      <c r="S481" s="28" t="s">
        <v>9901</v>
      </c>
      <c r="T481" s="30">
        <v>9</v>
      </c>
      <c r="U481" s="28" t="s">
        <v>7357</v>
      </c>
      <c r="V481" s="28" t="s">
        <v>138</v>
      </c>
      <c r="W481" s="28" t="s">
        <v>138</v>
      </c>
      <c r="X481" s="31">
        <v>2015</v>
      </c>
      <c r="Y481" s="28" t="s">
        <v>138</v>
      </c>
      <c r="Z481" s="28" t="s">
        <v>138</v>
      </c>
      <c r="AA481" s="28" t="s">
        <v>138</v>
      </c>
      <c r="AB481" s="32" t="s">
        <v>138</v>
      </c>
      <c r="AC481" s="32" t="s">
        <v>138</v>
      </c>
      <c r="AD481" s="32" t="s">
        <v>138</v>
      </c>
      <c r="AE481" s="32" t="s">
        <v>138</v>
      </c>
      <c r="AF481" s="32" t="s">
        <v>138</v>
      </c>
      <c r="AG481" s="28" t="s">
        <v>138</v>
      </c>
      <c r="AH481" s="32" t="s">
        <v>138</v>
      </c>
      <c r="AI481" s="32" t="s">
        <v>138</v>
      </c>
      <c r="AJ481" s="32" t="s">
        <v>138</v>
      </c>
      <c r="AK481" s="28" t="s">
        <v>9902</v>
      </c>
      <c r="AL481" s="28" t="s">
        <v>9903</v>
      </c>
      <c r="AM481" s="28" t="s">
        <v>9904</v>
      </c>
      <c r="AN481" s="28" t="s">
        <v>9905</v>
      </c>
      <c r="AO481" s="28" t="s">
        <v>138</v>
      </c>
      <c r="AP481" s="28" t="s">
        <v>1635</v>
      </c>
      <c r="AQ481" s="28" t="s">
        <v>9906</v>
      </c>
      <c r="AR481" s="28" t="s">
        <v>9907</v>
      </c>
      <c r="AS481" s="28" t="s">
        <v>1638</v>
      </c>
      <c r="AT481" s="28" t="s">
        <v>200</v>
      </c>
      <c r="AU481" s="28" t="s">
        <v>1639</v>
      </c>
      <c r="AV481" s="28" t="s">
        <v>162</v>
      </c>
      <c r="AW481" s="28" t="s">
        <v>138</v>
      </c>
      <c r="AX481" s="28" t="s">
        <v>138</v>
      </c>
      <c r="AY481" s="28" t="s">
        <v>9908</v>
      </c>
      <c r="AZ481" s="28" t="s">
        <v>164</v>
      </c>
      <c r="BA481" s="28" t="s">
        <v>165</v>
      </c>
      <c r="BB481" s="28" t="s">
        <v>9909</v>
      </c>
      <c r="BC481" s="28" t="s">
        <v>9910</v>
      </c>
      <c r="BD481" s="33">
        <v>13</v>
      </c>
      <c r="BE481" s="28" t="s">
        <v>138</v>
      </c>
      <c r="BF481" s="28" t="s">
        <v>138</v>
      </c>
      <c r="BG481" s="28" t="s">
        <v>138</v>
      </c>
      <c r="BH481" s="28" t="s">
        <v>9911</v>
      </c>
      <c r="BI481" s="28" t="s">
        <v>138</v>
      </c>
      <c r="BJ481" s="28" t="s">
        <v>138</v>
      </c>
      <c r="BK481" s="28" t="s">
        <v>9912</v>
      </c>
      <c r="BL481" s="28" t="s">
        <v>9913</v>
      </c>
      <c r="BM481" s="34">
        <v>42202</v>
      </c>
      <c r="BN481" s="29">
        <v>1.5</v>
      </c>
      <c r="BO481" s="28" t="s">
        <v>172</v>
      </c>
      <c r="BP481" s="29">
        <v>8.75</v>
      </c>
      <c r="BQ481" s="28" t="s">
        <v>172</v>
      </c>
      <c r="BR481" s="28" t="s">
        <v>234</v>
      </c>
      <c r="BS481" s="28" t="s">
        <v>234</v>
      </c>
      <c r="BT481" s="28" t="s">
        <v>138</v>
      </c>
      <c r="BU481" s="28" t="s">
        <v>174</v>
      </c>
      <c r="BV481" s="28" t="s">
        <v>138</v>
      </c>
      <c r="BW481" s="28" t="s">
        <v>138</v>
      </c>
      <c r="BX481" s="28" t="s">
        <v>138</v>
      </c>
      <c r="BY481" s="28" t="s">
        <v>175</v>
      </c>
      <c r="BZ481" s="34">
        <v>42901</v>
      </c>
      <c r="CA481" s="29">
        <v>4</v>
      </c>
      <c r="CB481" s="28" t="s">
        <v>172</v>
      </c>
      <c r="CC481" s="29">
        <v>16.5</v>
      </c>
      <c r="CD481" s="28" t="s">
        <v>1178</v>
      </c>
      <c r="CE481" s="28" t="s">
        <v>234</v>
      </c>
      <c r="CF481" s="28" t="s">
        <v>234</v>
      </c>
      <c r="CG481" s="28" t="s">
        <v>138</v>
      </c>
      <c r="CH481" s="28" t="s">
        <v>174</v>
      </c>
      <c r="CI481" s="28" t="s">
        <v>177</v>
      </c>
      <c r="CJ481" s="28" t="s">
        <v>138</v>
      </c>
      <c r="CK481" s="28" t="s">
        <v>138</v>
      </c>
      <c r="CL481" s="28" t="s">
        <v>175</v>
      </c>
      <c r="CM481" s="34" t="s">
        <v>138</v>
      </c>
      <c r="CN481" s="29" t="s">
        <v>138</v>
      </c>
      <c r="CO481" s="35">
        <v>-0.34</v>
      </c>
      <c r="CP481" s="36">
        <v>18</v>
      </c>
      <c r="CQ481" s="35">
        <v>-0.05</v>
      </c>
      <c r="CR481" s="35">
        <v>-19.04</v>
      </c>
      <c r="CS481" s="35">
        <v>-0.83</v>
      </c>
      <c r="CT481" s="36">
        <v>16</v>
      </c>
      <c r="CU481" s="35">
        <v>0.15</v>
      </c>
      <c r="CV481" s="36">
        <v>75</v>
      </c>
      <c r="CW481" s="35">
        <v>0</v>
      </c>
      <c r="CX481" s="36">
        <v>13</v>
      </c>
      <c r="CY481" s="35">
        <v>-1.65</v>
      </c>
      <c r="CZ481" s="36">
        <v>14</v>
      </c>
      <c r="DA481" s="35">
        <v>0.33</v>
      </c>
      <c r="DB481" s="36">
        <v>90</v>
      </c>
      <c r="DC481" s="37">
        <v>2.79</v>
      </c>
      <c r="DD481" s="36">
        <v>74</v>
      </c>
      <c r="DE481" s="37">
        <v>-0.09</v>
      </c>
      <c r="DF481" s="35">
        <v>-3.06</v>
      </c>
      <c r="DG481" s="37">
        <v>3.27</v>
      </c>
      <c r="DH481" s="36">
        <v>76</v>
      </c>
      <c r="DI481" s="37">
        <v>2.31</v>
      </c>
      <c r="DJ481" s="36">
        <v>65</v>
      </c>
      <c r="DK481" s="37">
        <v>1.33</v>
      </c>
      <c r="DL481" s="36">
        <v>56</v>
      </c>
      <c r="DM481" s="37">
        <v>5.21</v>
      </c>
      <c r="DN481" s="36">
        <v>82</v>
      </c>
      <c r="DO481" s="37">
        <v>2.83</v>
      </c>
      <c r="DP481" s="36">
        <v>70</v>
      </c>
      <c r="DQ481" s="36">
        <v>430</v>
      </c>
      <c r="DR481" s="38">
        <v>75</v>
      </c>
      <c r="DS481" s="35">
        <v>21.13</v>
      </c>
      <c r="DT481" s="36">
        <v>153</v>
      </c>
      <c r="DU481" s="38">
        <v>-5</v>
      </c>
      <c r="DV481" s="35">
        <v>-3.16</v>
      </c>
      <c r="DW481" s="36">
        <v>1009</v>
      </c>
      <c r="DX481" s="39">
        <v>3</v>
      </c>
      <c r="DY481" s="35">
        <v>0.3</v>
      </c>
      <c r="DZ481" s="28" t="s">
        <v>178</v>
      </c>
      <c r="EA481" s="34">
        <v>43351</v>
      </c>
      <c r="EB481" s="29">
        <v>16.5</v>
      </c>
      <c r="EC481" s="34">
        <v>42901</v>
      </c>
      <c r="ED481" s="28" t="s">
        <v>234</v>
      </c>
      <c r="EE481" s="40" t="str">
        <f>HYPERLINK("https://my.pitchbook.com?c=113767-21", "View company online")</f>
        <v>View company online</v>
      </c>
    </row>
    <row r="482" spans="1:135">
      <c r="A482" s="15" t="s">
        <v>9914</v>
      </c>
      <c r="B482" s="15" t="s">
        <v>9915</v>
      </c>
      <c r="C482" s="15" t="s">
        <v>138</v>
      </c>
      <c r="D482" s="15" t="s">
        <v>138</v>
      </c>
      <c r="E482" s="15" t="s">
        <v>9916</v>
      </c>
      <c r="F482" s="15" t="s">
        <v>9914</v>
      </c>
      <c r="G482" s="15" t="s">
        <v>9917</v>
      </c>
      <c r="H482" s="15" t="s">
        <v>141</v>
      </c>
      <c r="I482" s="15" t="s">
        <v>212</v>
      </c>
      <c r="J482" s="15" t="s">
        <v>486</v>
      </c>
      <c r="K482" s="15" t="s">
        <v>5985</v>
      </c>
      <c r="L482" s="15" t="s">
        <v>5412</v>
      </c>
      <c r="M482" s="15" t="s">
        <v>9918</v>
      </c>
      <c r="N482" s="15" t="s">
        <v>147</v>
      </c>
      <c r="O482" s="17">
        <v>63.67</v>
      </c>
      <c r="P482" s="15" t="s">
        <v>148</v>
      </c>
      <c r="Q482" s="15" t="s">
        <v>149</v>
      </c>
      <c r="R482" s="15" t="s">
        <v>244</v>
      </c>
      <c r="S482" s="15" t="s">
        <v>9919</v>
      </c>
      <c r="T482" s="18">
        <v>400</v>
      </c>
      <c r="U482" s="15" t="s">
        <v>9920</v>
      </c>
      <c r="V482" s="15" t="s">
        <v>138</v>
      </c>
      <c r="W482" s="15" t="s">
        <v>138</v>
      </c>
      <c r="X482" s="19">
        <v>2014</v>
      </c>
      <c r="Y482" s="15" t="s">
        <v>138</v>
      </c>
      <c r="Z482" s="15" t="s">
        <v>138</v>
      </c>
      <c r="AA482" s="15" t="s">
        <v>138</v>
      </c>
      <c r="AB482" s="20" t="s">
        <v>138</v>
      </c>
      <c r="AC482" s="20" t="s">
        <v>138</v>
      </c>
      <c r="AD482" s="20" t="s">
        <v>138</v>
      </c>
      <c r="AE482" s="20" t="s">
        <v>138</v>
      </c>
      <c r="AF482" s="20" t="s">
        <v>138</v>
      </c>
      <c r="AG482" s="15" t="s">
        <v>138</v>
      </c>
      <c r="AH482" s="20" t="s">
        <v>138</v>
      </c>
      <c r="AI482" s="20" t="s">
        <v>138</v>
      </c>
      <c r="AJ482" s="20" t="s">
        <v>138</v>
      </c>
      <c r="AK482" s="15" t="s">
        <v>9921</v>
      </c>
      <c r="AL482" s="15" t="s">
        <v>9922</v>
      </c>
      <c r="AM482" s="15" t="s">
        <v>4214</v>
      </c>
      <c r="AN482" s="15" t="s">
        <v>9923</v>
      </c>
      <c r="AO482" s="15" t="s">
        <v>9924</v>
      </c>
      <c r="AP482" s="15" t="s">
        <v>3136</v>
      </c>
      <c r="AQ482" s="15" t="s">
        <v>9925</v>
      </c>
      <c r="AR482" s="15" t="s">
        <v>158</v>
      </c>
      <c r="AS482" s="15" t="s">
        <v>3139</v>
      </c>
      <c r="AT482" s="15" t="s">
        <v>3140</v>
      </c>
      <c r="AU482" s="15" t="s">
        <v>9926</v>
      </c>
      <c r="AV482" s="15" t="s">
        <v>162</v>
      </c>
      <c r="AW482" s="15" t="s">
        <v>9924</v>
      </c>
      <c r="AX482" s="15" t="s">
        <v>138</v>
      </c>
      <c r="AY482" s="15" t="s">
        <v>9927</v>
      </c>
      <c r="AZ482" s="15" t="s">
        <v>164</v>
      </c>
      <c r="BA482" s="15" t="s">
        <v>165</v>
      </c>
      <c r="BB482" s="15" t="s">
        <v>9928</v>
      </c>
      <c r="BC482" s="15" t="s">
        <v>9929</v>
      </c>
      <c r="BD482" s="21">
        <v>26</v>
      </c>
      <c r="BE482" s="15" t="s">
        <v>138</v>
      </c>
      <c r="BF482" s="15" t="s">
        <v>138</v>
      </c>
      <c r="BG482" s="15" t="s">
        <v>138</v>
      </c>
      <c r="BH482" s="15" t="s">
        <v>9930</v>
      </c>
      <c r="BI482" s="15" t="s">
        <v>138</v>
      </c>
      <c r="BJ482" s="15" t="s">
        <v>138</v>
      </c>
      <c r="BK482" s="15" t="s">
        <v>9931</v>
      </c>
      <c r="BL482" s="15" t="s">
        <v>9932</v>
      </c>
      <c r="BM482" s="22">
        <v>41870</v>
      </c>
      <c r="BN482" s="17">
        <v>0.12</v>
      </c>
      <c r="BO482" s="15" t="s">
        <v>172</v>
      </c>
      <c r="BP482" s="17">
        <v>1.71</v>
      </c>
      <c r="BQ482" s="15" t="s">
        <v>172</v>
      </c>
      <c r="BR482" s="15" t="s">
        <v>316</v>
      </c>
      <c r="BS482" s="15" t="s">
        <v>138</v>
      </c>
      <c r="BT482" s="15" t="s">
        <v>138</v>
      </c>
      <c r="BU482" s="15" t="s">
        <v>177</v>
      </c>
      <c r="BV482" s="15" t="s">
        <v>138</v>
      </c>
      <c r="BW482" s="15" t="s">
        <v>138</v>
      </c>
      <c r="BX482" s="15" t="s">
        <v>138</v>
      </c>
      <c r="BY482" s="15" t="s">
        <v>175</v>
      </c>
      <c r="BZ482" s="22">
        <v>43349</v>
      </c>
      <c r="CA482" s="17">
        <v>40</v>
      </c>
      <c r="CB482" s="15" t="s">
        <v>172</v>
      </c>
      <c r="CC482" s="17">
        <v>195</v>
      </c>
      <c r="CD482" s="15" t="s">
        <v>172</v>
      </c>
      <c r="CE482" s="15" t="s">
        <v>173</v>
      </c>
      <c r="CF482" s="15" t="s">
        <v>317</v>
      </c>
      <c r="CG482" s="15" t="s">
        <v>138</v>
      </c>
      <c r="CH482" s="15" t="s">
        <v>174</v>
      </c>
      <c r="CI482" s="15" t="s">
        <v>138</v>
      </c>
      <c r="CJ482" s="15" t="s">
        <v>138</v>
      </c>
      <c r="CK482" s="15" t="s">
        <v>138</v>
      </c>
      <c r="CL482" s="15" t="s">
        <v>175</v>
      </c>
      <c r="CM482" s="22">
        <v>42735</v>
      </c>
      <c r="CN482" s="17">
        <v>0.47</v>
      </c>
      <c r="CO482" s="23">
        <v>0.63</v>
      </c>
      <c r="CP482" s="24">
        <v>96</v>
      </c>
      <c r="CQ482" s="23">
        <v>0.03</v>
      </c>
      <c r="CR482" s="23">
        <v>4.18</v>
      </c>
      <c r="CS482" s="23">
        <v>1.21</v>
      </c>
      <c r="CT482" s="24">
        <v>97</v>
      </c>
      <c r="CU482" s="23">
        <v>0.06</v>
      </c>
      <c r="CV482" s="24">
        <v>60</v>
      </c>
      <c r="CW482" s="23">
        <v>0.08</v>
      </c>
      <c r="CX482" s="24">
        <v>80</v>
      </c>
      <c r="CY482" s="23">
        <v>2.33</v>
      </c>
      <c r="CZ482" s="24">
        <v>100</v>
      </c>
      <c r="DA482" s="23">
        <v>0</v>
      </c>
      <c r="DB482" s="24">
        <v>22</v>
      </c>
      <c r="DC482" s="25">
        <v>18.670000000000002</v>
      </c>
      <c r="DD482" s="24">
        <v>94</v>
      </c>
      <c r="DE482" s="25">
        <v>-1.53</v>
      </c>
      <c r="DF482" s="23">
        <v>-7.58</v>
      </c>
      <c r="DG482" s="25">
        <v>36.049999999999997</v>
      </c>
      <c r="DH482" s="24">
        <v>97</v>
      </c>
      <c r="DI482" s="25">
        <v>1.29</v>
      </c>
      <c r="DJ482" s="24">
        <v>54</v>
      </c>
      <c r="DK482" s="25">
        <v>51.76</v>
      </c>
      <c r="DL482" s="24">
        <v>96</v>
      </c>
      <c r="DM482" s="25">
        <v>20.34</v>
      </c>
      <c r="DN482" s="24">
        <v>94</v>
      </c>
      <c r="DO482" s="25">
        <v>0.02</v>
      </c>
      <c r="DP482" s="24">
        <v>4</v>
      </c>
      <c r="DQ482" s="24">
        <v>17741</v>
      </c>
      <c r="DR482" s="26">
        <v>40</v>
      </c>
      <c r="DS482" s="23">
        <v>0.23</v>
      </c>
      <c r="DT482" s="24">
        <v>584</v>
      </c>
      <c r="DU482" s="26">
        <v>13</v>
      </c>
      <c r="DV482" s="23">
        <v>2.2799999999999998</v>
      </c>
      <c r="DW482" s="24">
        <v>8</v>
      </c>
      <c r="DX482" s="27">
        <v>0</v>
      </c>
      <c r="DY482" s="23">
        <v>0</v>
      </c>
      <c r="DZ482" s="15" t="s">
        <v>178</v>
      </c>
      <c r="EA482" s="22">
        <v>43622</v>
      </c>
      <c r="EB482" s="17">
        <v>195</v>
      </c>
      <c r="EC482" s="22">
        <v>43349</v>
      </c>
      <c r="ED482" s="15" t="s">
        <v>173</v>
      </c>
      <c r="EE482" s="14" t="str">
        <f>HYPERLINK("https://my.pitchbook.com?c=66032-74", "View company online")</f>
        <v>View company online</v>
      </c>
    </row>
    <row r="483" spans="1:135">
      <c r="A483" s="28" t="s">
        <v>9933</v>
      </c>
      <c r="B483" s="28" t="s">
        <v>9934</v>
      </c>
      <c r="C483" s="28" t="s">
        <v>138</v>
      </c>
      <c r="D483" s="28" t="s">
        <v>138</v>
      </c>
      <c r="E483" s="28" t="s">
        <v>9935</v>
      </c>
      <c r="F483" s="28" t="s">
        <v>9933</v>
      </c>
      <c r="G483" s="28" t="s">
        <v>9936</v>
      </c>
      <c r="H483" s="28" t="s">
        <v>322</v>
      </c>
      <c r="I483" s="28" t="s">
        <v>323</v>
      </c>
      <c r="J483" s="28" t="s">
        <v>2084</v>
      </c>
      <c r="K483" s="28" t="s">
        <v>6587</v>
      </c>
      <c r="L483" s="28" t="s">
        <v>242</v>
      </c>
      <c r="M483" s="28" t="s">
        <v>9937</v>
      </c>
      <c r="N483" s="28" t="s">
        <v>147</v>
      </c>
      <c r="O483" s="29">
        <v>8.75</v>
      </c>
      <c r="P483" s="28" t="s">
        <v>148</v>
      </c>
      <c r="Q483" s="28" t="s">
        <v>149</v>
      </c>
      <c r="R483" s="28" t="s">
        <v>174</v>
      </c>
      <c r="S483" s="28" t="s">
        <v>9938</v>
      </c>
      <c r="T483" s="30">
        <v>8</v>
      </c>
      <c r="U483" s="28" t="s">
        <v>9939</v>
      </c>
      <c r="V483" s="28" t="s">
        <v>138</v>
      </c>
      <c r="W483" s="28" t="s">
        <v>138</v>
      </c>
      <c r="X483" s="31">
        <v>2015</v>
      </c>
      <c r="Y483" s="28" t="s">
        <v>138</v>
      </c>
      <c r="Z483" s="28" t="s">
        <v>138</v>
      </c>
      <c r="AA483" s="28" t="s">
        <v>138</v>
      </c>
      <c r="AB483" s="32" t="s">
        <v>138</v>
      </c>
      <c r="AC483" s="32" t="s">
        <v>138</v>
      </c>
      <c r="AD483" s="32" t="s">
        <v>138</v>
      </c>
      <c r="AE483" s="32" t="s">
        <v>138</v>
      </c>
      <c r="AF483" s="32" t="s">
        <v>138</v>
      </c>
      <c r="AG483" s="28" t="s">
        <v>138</v>
      </c>
      <c r="AH483" s="32" t="s">
        <v>138</v>
      </c>
      <c r="AI483" s="32" t="s">
        <v>138</v>
      </c>
      <c r="AJ483" s="32" t="s">
        <v>138</v>
      </c>
      <c r="AK483" s="28" t="s">
        <v>9940</v>
      </c>
      <c r="AL483" s="28" t="s">
        <v>9941</v>
      </c>
      <c r="AM483" s="28" t="s">
        <v>8473</v>
      </c>
      <c r="AN483" s="28" t="s">
        <v>9942</v>
      </c>
      <c r="AO483" s="28" t="s">
        <v>138</v>
      </c>
      <c r="AP483" s="28" t="s">
        <v>4463</v>
      </c>
      <c r="AQ483" s="28" t="s">
        <v>9943</v>
      </c>
      <c r="AR483" s="28" t="s">
        <v>713</v>
      </c>
      <c r="AS483" s="28" t="s">
        <v>4466</v>
      </c>
      <c r="AT483" s="28" t="s">
        <v>426</v>
      </c>
      <c r="AU483" s="28" t="s">
        <v>8757</v>
      </c>
      <c r="AV483" s="28" t="s">
        <v>162</v>
      </c>
      <c r="AW483" s="28" t="s">
        <v>138</v>
      </c>
      <c r="AX483" s="28" t="s">
        <v>138</v>
      </c>
      <c r="AY483" s="28" t="s">
        <v>9944</v>
      </c>
      <c r="AZ483" s="28" t="s">
        <v>164</v>
      </c>
      <c r="BA483" s="28" t="s">
        <v>165</v>
      </c>
      <c r="BB483" s="28" t="s">
        <v>9945</v>
      </c>
      <c r="BC483" s="28" t="s">
        <v>9946</v>
      </c>
      <c r="BD483" s="33">
        <v>11</v>
      </c>
      <c r="BE483" s="28" t="s">
        <v>138</v>
      </c>
      <c r="BF483" s="28" t="s">
        <v>138</v>
      </c>
      <c r="BG483" s="28" t="s">
        <v>138</v>
      </c>
      <c r="BH483" s="28" t="s">
        <v>9947</v>
      </c>
      <c r="BI483" s="28" t="s">
        <v>138</v>
      </c>
      <c r="BJ483" s="28" t="s">
        <v>138</v>
      </c>
      <c r="BK483" s="28" t="s">
        <v>4278</v>
      </c>
      <c r="BL483" s="28" t="s">
        <v>138</v>
      </c>
      <c r="BM483" s="34">
        <v>42475</v>
      </c>
      <c r="BN483" s="29">
        <v>1.25</v>
      </c>
      <c r="BO483" s="28" t="s">
        <v>172</v>
      </c>
      <c r="BP483" s="29">
        <v>4.4000000000000004</v>
      </c>
      <c r="BQ483" s="28" t="s">
        <v>172</v>
      </c>
      <c r="BR483" s="28" t="s">
        <v>234</v>
      </c>
      <c r="BS483" s="28" t="s">
        <v>234</v>
      </c>
      <c r="BT483" s="28" t="s">
        <v>138</v>
      </c>
      <c r="BU483" s="28" t="s">
        <v>174</v>
      </c>
      <c r="BV483" s="28" t="s">
        <v>138</v>
      </c>
      <c r="BW483" s="28" t="s">
        <v>138</v>
      </c>
      <c r="BX483" s="28" t="s">
        <v>138</v>
      </c>
      <c r="BY483" s="28" t="s">
        <v>175</v>
      </c>
      <c r="BZ483" s="34">
        <v>43193</v>
      </c>
      <c r="CA483" s="29">
        <v>5</v>
      </c>
      <c r="CB483" s="28" t="s">
        <v>172</v>
      </c>
      <c r="CC483" s="29">
        <v>22.5</v>
      </c>
      <c r="CD483" s="28" t="s">
        <v>172</v>
      </c>
      <c r="CE483" s="28" t="s">
        <v>205</v>
      </c>
      <c r="CF483" s="28" t="s">
        <v>206</v>
      </c>
      <c r="CG483" s="28" t="s">
        <v>138</v>
      </c>
      <c r="CH483" s="28" t="s">
        <v>174</v>
      </c>
      <c r="CI483" s="28" t="s">
        <v>138</v>
      </c>
      <c r="CJ483" s="28" t="s">
        <v>138</v>
      </c>
      <c r="CK483" s="28" t="s">
        <v>138</v>
      </c>
      <c r="CL483" s="28" t="s">
        <v>175</v>
      </c>
      <c r="CM483" s="34" t="s">
        <v>138</v>
      </c>
      <c r="CN483" s="29" t="s">
        <v>138</v>
      </c>
      <c r="CO483" s="35">
        <v>1.93</v>
      </c>
      <c r="CP483" s="36">
        <v>99</v>
      </c>
      <c r="CQ483" s="35">
        <v>-0.16</v>
      </c>
      <c r="CR483" s="35">
        <v>-7.73</v>
      </c>
      <c r="CS483" s="35" t="s">
        <v>138</v>
      </c>
      <c r="CT483" s="36" t="s">
        <v>138</v>
      </c>
      <c r="CU483" s="35">
        <v>0.13</v>
      </c>
      <c r="CV483" s="36">
        <v>73</v>
      </c>
      <c r="CW483" s="35" t="s">
        <v>138</v>
      </c>
      <c r="CX483" s="36" t="s">
        <v>138</v>
      </c>
      <c r="CY483" s="35" t="s">
        <v>138</v>
      </c>
      <c r="CZ483" s="36" t="s">
        <v>138</v>
      </c>
      <c r="DA483" s="35">
        <v>0.13</v>
      </c>
      <c r="DB483" s="36">
        <v>76</v>
      </c>
      <c r="DC483" s="37">
        <v>77.14</v>
      </c>
      <c r="DD483" s="36">
        <v>99</v>
      </c>
      <c r="DE483" s="37">
        <v>3.82</v>
      </c>
      <c r="DF483" s="35">
        <v>5.21</v>
      </c>
      <c r="DG483" s="37" t="s">
        <v>138</v>
      </c>
      <c r="DH483" s="36" t="s">
        <v>138</v>
      </c>
      <c r="DI483" s="37">
        <v>43.68</v>
      </c>
      <c r="DJ483" s="36">
        <v>95</v>
      </c>
      <c r="DK483" s="37" t="s">
        <v>138</v>
      </c>
      <c r="DL483" s="36" t="s">
        <v>138</v>
      </c>
      <c r="DM483" s="37" t="s">
        <v>138</v>
      </c>
      <c r="DN483" s="36" t="s">
        <v>138</v>
      </c>
      <c r="DO483" s="37">
        <v>43.68</v>
      </c>
      <c r="DP483" s="36">
        <v>96</v>
      </c>
      <c r="DQ483" s="36" t="s">
        <v>138</v>
      </c>
      <c r="DR483" s="38" t="s">
        <v>138</v>
      </c>
      <c r="DS483" s="35" t="s">
        <v>138</v>
      </c>
      <c r="DT483" s="36" t="s">
        <v>138</v>
      </c>
      <c r="DU483" s="38" t="s">
        <v>138</v>
      </c>
      <c r="DV483" s="35" t="s">
        <v>138</v>
      </c>
      <c r="DW483" s="36">
        <v>15634</v>
      </c>
      <c r="DX483" s="39">
        <v>19</v>
      </c>
      <c r="DY483" s="35">
        <v>0.12</v>
      </c>
      <c r="DZ483" s="28" t="s">
        <v>178</v>
      </c>
      <c r="EA483" s="34">
        <v>43537</v>
      </c>
      <c r="EB483" s="29">
        <v>22.5</v>
      </c>
      <c r="EC483" s="34">
        <v>43193</v>
      </c>
      <c r="ED483" s="28" t="s">
        <v>205</v>
      </c>
      <c r="EE483" s="40" t="str">
        <f>HYPERLINK("https://my.pitchbook.com?c=158369-14", "View company online")</f>
        <v>View company online</v>
      </c>
    </row>
    <row r="484" spans="1:135">
      <c r="A484" s="15" t="s">
        <v>9948</v>
      </c>
      <c r="B484" s="15" t="s">
        <v>9949</v>
      </c>
      <c r="C484" s="15" t="s">
        <v>138</v>
      </c>
      <c r="D484" s="15" t="s">
        <v>138</v>
      </c>
      <c r="E484" s="15" t="s">
        <v>9950</v>
      </c>
      <c r="F484" s="15" t="s">
        <v>9948</v>
      </c>
      <c r="G484" s="15" t="s">
        <v>9951</v>
      </c>
      <c r="H484" s="15" t="s">
        <v>141</v>
      </c>
      <c r="I484" s="15" t="s">
        <v>212</v>
      </c>
      <c r="J484" s="15" t="s">
        <v>213</v>
      </c>
      <c r="K484" s="15" t="s">
        <v>9952</v>
      </c>
      <c r="L484" s="15" t="s">
        <v>9953</v>
      </c>
      <c r="M484" s="15" t="s">
        <v>9954</v>
      </c>
      <c r="N484" s="15" t="s">
        <v>147</v>
      </c>
      <c r="O484" s="17">
        <v>58.97</v>
      </c>
      <c r="P484" s="15" t="s">
        <v>148</v>
      </c>
      <c r="Q484" s="15" t="s">
        <v>149</v>
      </c>
      <c r="R484" s="15" t="s">
        <v>174</v>
      </c>
      <c r="S484" s="15" t="s">
        <v>9955</v>
      </c>
      <c r="T484" s="18">
        <v>200</v>
      </c>
      <c r="U484" s="15" t="s">
        <v>9956</v>
      </c>
      <c r="V484" s="15" t="s">
        <v>138</v>
      </c>
      <c r="W484" s="15" t="s">
        <v>138</v>
      </c>
      <c r="X484" s="19">
        <v>2011</v>
      </c>
      <c r="Y484" s="15" t="s">
        <v>138</v>
      </c>
      <c r="Z484" s="15" t="s">
        <v>138</v>
      </c>
      <c r="AA484" s="15" t="s">
        <v>138</v>
      </c>
      <c r="AB484" s="20">
        <v>42.2</v>
      </c>
      <c r="AC484" s="20" t="s">
        <v>138</v>
      </c>
      <c r="AD484" s="20" t="s">
        <v>138</v>
      </c>
      <c r="AE484" s="20" t="s">
        <v>138</v>
      </c>
      <c r="AF484" s="20" t="s">
        <v>138</v>
      </c>
      <c r="AG484" s="15" t="s">
        <v>419</v>
      </c>
      <c r="AH484" s="20" t="s">
        <v>138</v>
      </c>
      <c r="AI484" s="20" t="s">
        <v>138</v>
      </c>
      <c r="AJ484" s="20" t="s">
        <v>138</v>
      </c>
      <c r="AK484" s="15" t="s">
        <v>9957</v>
      </c>
      <c r="AL484" s="15" t="s">
        <v>9958</v>
      </c>
      <c r="AM484" s="15" t="s">
        <v>566</v>
      </c>
      <c r="AN484" s="15" t="s">
        <v>9959</v>
      </c>
      <c r="AO484" s="15" t="s">
        <v>138</v>
      </c>
      <c r="AP484" s="15" t="s">
        <v>3136</v>
      </c>
      <c r="AQ484" s="15" t="s">
        <v>9960</v>
      </c>
      <c r="AR484" s="15" t="s">
        <v>9961</v>
      </c>
      <c r="AS484" s="15" t="s">
        <v>3139</v>
      </c>
      <c r="AT484" s="15" t="s">
        <v>3140</v>
      </c>
      <c r="AU484" s="15" t="s">
        <v>9962</v>
      </c>
      <c r="AV484" s="15" t="s">
        <v>162</v>
      </c>
      <c r="AW484" s="15" t="s">
        <v>138</v>
      </c>
      <c r="AX484" s="15" t="s">
        <v>138</v>
      </c>
      <c r="AY484" s="15" t="s">
        <v>138</v>
      </c>
      <c r="AZ484" s="15" t="s">
        <v>164</v>
      </c>
      <c r="BA484" s="15" t="s">
        <v>165</v>
      </c>
      <c r="BB484" s="15" t="s">
        <v>9963</v>
      </c>
      <c r="BC484" s="15" t="s">
        <v>9964</v>
      </c>
      <c r="BD484" s="21">
        <v>23</v>
      </c>
      <c r="BE484" s="15" t="s">
        <v>138</v>
      </c>
      <c r="BF484" s="15" t="s">
        <v>138</v>
      </c>
      <c r="BG484" s="15" t="s">
        <v>138</v>
      </c>
      <c r="BH484" s="15" t="s">
        <v>9965</v>
      </c>
      <c r="BI484" s="15" t="s">
        <v>138</v>
      </c>
      <c r="BJ484" s="15" t="s">
        <v>138</v>
      </c>
      <c r="BK484" s="15" t="s">
        <v>9966</v>
      </c>
      <c r="BL484" s="15" t="s">
        <v>138</v>
      </c>
      <c r="BM484" s="22">
        <v>41213</v>
      </c>
      <c r="BN484" s="17">
        <v>3</v>
      </c>
      <c r="BO484" s="15" t="s">
        <v>172</v>
      </c>
      <c r="BP484" s="17">
        <v>7.5</v>
      </c>
      <c r="BQ484" s="15" t="s">
        <v>172</v>
      </c>
      <c r="BR484" s="15" t="s">
        <v>205</v>
      </c>
      <c r="BS484" s="15" t="s">
        <v>206</v>
      </c>
      <c r="BT484" s="15" t="s">
        <v>138</v>
      </c>
      <c r="BU484" s="15" t="s">
        <v>174</v>
      </c>
      <c r="BV484" s="15" t="s">
        <v>138</v>
      </c>
      <c r="BW484" s="15" t="s">
        <v>138</v>
      </c>
      <c r="BX484" s="15" t="s">
        <v>138</v>
      </c>
      <c r="BY484" s="15" t="s">
        <v>175</v>
      </c>
      <c r="BZ484" s="22">
        <v>42752</v>
      </c>
      <c r="CA484" s="17">
        <v>20.100000000000001</v>
      </c>
      <c r="CB484" s="15" t="s">
        <v>172</v>
      </c>
      <c r="CC484" s="17">
        <v>150.1</v>
      </c>
      <c r="CD484" s="15" t="s">
        <v>172</v>
      </c>
      <c r="CE484" s="15" t="s">
        <v>173</v>
      </c>
      <c r="CF484" s="15" t="s">
        <v>317</v>
      </c>
      <c r="CG484" s="15" t="s">
        <v>138</v>
      </c>
      <c r="CH484" s="15" t="s">
        <v>174</v>
      </c>
      <c r="CI484" s="15" t="s">
        <v>138</v>
      </c>
      <c r="CJ484" s="15" t="s">
        <v>138</v>
      </c>
      <c r="CK484" s="15" t="s">
        <v>138</v>
      </c>
      <c r="CL484" s="15" t="s">
        <v>175</v>
      </c>
      <c r="CM484" s="22" t="s">
        <v>138</v>
      </c>
      <c r="CN484" s="17" t="s">
        <v>138</v>
      </c>
      <c r="CO484" s="23">
        <v>-1.26</v>
      </c>
      <c r="CP484" s="24">
        <v>9</v>
      </c>
      <c r="CQ484" s="23">
        <v>-0.06</v>
      </c>
      <c r="CR484" s="23">
        <v>-4.8600000000000003</v>
      </c>
      <c r="CS484" s="23">
        <v>-4.3099999999999996</v>
      </c>
      <c r="CT484" s="24">
        <v>3</v>
      </c>
      <c r="CU484" s="23">
        <v>0.03</v>
      </c>
      <c r="CV484" s="24">
        <v>54</v>
      </c>
      <c r="CW484" s="23">
        <v>-5.2</v>
      </c>
      <c r="CX484" s="24">
        <v>3</v>
      </c>
      <c r="CY484" s="23">
        <v>-3.41</v>
      </c>
      <c r="CZ484" s="24">
        <v>6</v>
      </c>
      <c r="DA484" s="23">
        <v>-0.03</v>
      </c>
      <c r="DB484" s="24">
        <v>17</v>
      </c>
      <c r="DC484" s="25">
        <v>13.43</v>
      </c>
      <c r="DD484" s="24">
        <v>92</v>
      </c>
      <c r="DE484" s="25">
        <v>-0.34</v>
      </c>
      <c r="DF484" s="23">
        <v>-2.4500000000000002</v>
      </c>
      <c r="DG484" s="25">
        <v>26.17</v>
      </c>
      <c r="DH484" s="24">
        <v>96</v>
      </c>
      <c r="DI484" s="25">
        <v>11.32</v>
      </c>
      <c r="DJ484" s="24">
        <v>86</v>
      </c>
      <c r="DK484" s="25">
        <v>17.14</v>
      </c>
      <c r="DL484" s="24">
        <v>91</v>
      </c>
      <c r="DM484" s="25">
        <v>35.21</v>
      </c>
      <c r="DN484" s="24">
        <v>97</v>
      </c>
      <c r="DO484" s="25">
        <v>13.05</v>
      </c>
      <c r="DP484" s="24">
        <v>90</v>
      </c>
      <c r="DQ484" s="24">
        <v>5837</v>
      </c>
      <c r="DR484" s="26">
        <v>122</v>
      </c>
      <c r="DS484" s="23">
        <v>2.13</v>
      </c>
      <c r="DT484" s="24">
        <v>1022</v>
      </c>
      <c r="DU484" s="26">
        <v>-2</v>
      </c>
      <c r="DV484" s="23">
        <v>-0.2</v>
      </c>
      <c r="DW484" s="24">
        <v>4671</v>
      </c>
      <c r="DX484" s="27">
        <v>-4</v>
      </c>
      <c r="DY484" s="23">
        <v>-0.09</v>
      </c>
      <c r="DZ484" s="15" t="s">
        <v>178</v>
      </c>
      <c r="EA484" s="22">
        <v>43573</v>
      </c>
      <c r="EB484" s="17">
        <v>150.1</v>
      </c>
      <c r="EC484" s="22">
        <v>42752</v>
      </c>
      <c r="ED484" s="15" t="s">
        <v>173</v>
      </c>
      <c r="EE484" s="14" t="str">
        <f>HYPERLINK("https://my.pitchbook.com?c=54898-39", "View company online")</f>
        <v>View company online</v>
      </c>
    </row>
    <row r="485" spans="1:135">
      <c r="A485" s="28" t="s">
        <v>9967</v>
      </c>
      <c r="B485" s="28" t="s">
        <v>9968</v>
      </c>
      <c r="C485" s="28" t="s">
        <v>138</v>
      </c>
      <c r="D485" s="28" t="s">
        <v>138</v>
      </c>
      <c r="E485" s="28" t="s">
        <v>138</v>
      </c>
      <c r="F485" s="28" t="s">
        <v>9967</v>
      </c>
      <c r="G485" s="28" t="s">
        <v>9969</v>
      </c>
      <c r="H485" s="28" t="s">
        <v>322</v>
      </c>
      <c r="I485" s="28" t="s">
        <v>323</v>
      </c>
      <c r="J485" s="28" t="s">
        <v>1132</v>
      </c>
      <c r="K485" s="28" t="s">
        <v>9970</v>
      </c>
      <c r="L485" s="28" t="s">
        <v>9971</v>
      </c>
      <c r="M485" s="28" t="s">
        <v>9972</v>
      </c>
      <c r="N485" s="28" t="s">
        <v>147</v>
      </c>
      <c r="O485" s="29">
        <v>0.12</v>
      </c>
      <c r="P485" s="28" t="s">
        <v>148</v>
      </c>
      <c r="Q485" s="28" t="s">
        <v>149</v>
      </c>
      <c r="R485" s="28" t="s">
        <v>174</v>
      </c>
      <c r="S485" s="28" t="s">
        <v>9973</v>
      </c>
      <c r="T485" s="30" t="s">
        <v>138</v>
      </c>
      <c r="U485" s="28" t="s">
        <v>138</v>
      </c>
      <c r="V485" s="28" t="s">
        <v>138</v>
      </c>
      <c r="W485" s="28" t="s">
        <v>138</v>
      </c>
      <c r="X485" s="31">
        <v>2014</v>
      </c>
      <c r="Y485" s="28" t="s">
        <v>138</v>
      </c>
      <c r="Z485" s="28" t="s">
        <v>138</v>
      </c>
      <c r="AA485" s="28" t="s">
        <v>138</v>
      </c>
      <c r="AB485" s="32" t="s">
        <v>138</v>
      </c>
      <c r="AC485" s="32" t="s">
        <v>138</v>
      </c>
      <c r="AD485" s="32" t="s">
        <v>138</v>
      </c>
      <c r="AE485" s="32" t="s">
        <v>138</v>
      </c>
      <c r="AF485" s="32" t="s">
        <v>138</v>
      </c>
      <c r="AG485" s="28" t="s">
        <v>138</v>
      </c>
      <c r="AH485" s="32" t="s">
        <v>138</v>
      </c>
      <c r="AI485" s="32" t="s">
        <v>138</v>
      </c>
      <c r="AJ485" s="32" t="s">
        <v>138</v>
      </c>
      <c r="AK485" s="28" t="s">
        <v>9974</v>
      </c>
      <c r="AL485" s="28" t="s">
        <v>9975</v>
      </c>
      <c r="AM485" s="28" t="s">
        <v>304</v>
      </c>
      <c r="AN485" s="28" t="s">
        <v>9976</v>
      </c>
      <c r="AO485" s="28" t="s">
        <v>138</v>
      </c>
      <c r="AP485" s="28" t="s">
        <v>665</v>
      </c>
      <c r="AQ485" s="28" t="s">
        <v>9977</v>
      </c>
      <c r="AR485" s="28" t="s">
        <v>158</v>
      </c>
      <c r="AS485" s="28" t="s">
        <v>668</v>
      </c>
      <c r="AT485" s="28" t="s">
        <v>200</v>
      </c>
      <c r="AU485" s="28" t="s">
        <v>691</v>
      </c>
      <c r="AV485" s="28" t="s">
        <v>162</v>
      </c>
      <c r="AW485" s="28" t="s">
        <v>9978</v>
      </c>
      <c r="AX485" s="28" t="s">
        <v>138</v>
      </c>
      <c r="AY485" s="28" t="s">
        <v>138</v>
      </c>
      <c r="AZ485" s="28" t="s">
        <v>164</v>
      </c>
      <c r="BA485" s="28" t="s">
        <v>165</v>
      </c>
      <c r="BB485" s="28" t="s">
        <v>9979</v>
      </c>
      <c r="BC485" s="28" t="s">
        <v>9980</v>
      </c>
      <c r="BD485" s="33">
        <v>6</v>
      </c>
      <c r="BE485" s="28" t="s">
        <v>138</v>
      </c>
      <c r="BF485" s="28" t="s">
        <v>138</v>
      </c>
      <c r="BG485" s="28" t="s">
        <v>138</v>
      </c>
      <c r="BH485" s="28" t="s">
        <v>9981</v>
      </c>
      <c r="BI485" s="28" t="s">
        <v>138</v>
      </c>
      <c r="BJ485" s="28" t="s">
        <v>138</v>
      </c>
      <c r="BK485" s="28" t="s">
        <v>138</v>
      </c>
      <c r="BL485" s="28" t="s">
        <v>138</v>
      </c>
      <c r="BM485" s="34">
        <v>41870</v>
      </c>
      <c r="BN485" s="29">
        <v>0.12</v>
      </c>
      <c r="BO485" s="28" t="s">
        <v>172</v>
      </c>
      <c r="BP485" s="29">
        <v>1.71</v>
      </c>
      <c r="BQ485" s="28" t="s">
        <v>172</v>
      </c>
      <c r="BR485" s="28" t="s">
        <v>316</v>
      </c>
      <c r="BS485" s="28" t="s">
        <v>138</v>
      </c>
      <c r="BT485" s="28" t="s">
        <v>138</v>
      </c>
      <c r="BU485" s="28" t="s">
        <v>177</v>
      </c>
      <c r="BV485" s="28" t="s">
        <v>138</v>
      </c>
      <c r="BW485" s="28" t="s">
        <v>138</v>
      </c>
      <c r="BX485" s="28" t="s">
        <v>138</v>
      </c>
      <c r="BY485" s="28" t="s">
        <v>175</v>
      </c>
      <c r="BZ485" s="34" t="s">
        <v>138</v>
      </c>
      <c r="CA485" s="29" t="s">
        <v>138</v>
      </c>
      <c r="CB485" s="28" t="s">
        <v>138</v>
      </c>
      <c r="CC485" s="29" t="s">
        <v>138</v>
      </c>
      <c r="CD485" s="28" t="s">
        <v>138</v>
      </c>
      <c r="CE485" s="28" t="s">
        <v>234</v>
      </c>
      <c r="CF485" s="28" t="s">
        <v>234</v>
      </c>
      <c r="CG485" s="28" t="s">
        <v>138</v>
      </c>
      <c r="CH485" s="28" t="s">
        <v>174</v>
      </c>
      <c r="CI485" s="28" t="s">
        <v>138</v>
      </c>
      <c r="CJ485" s="28" t="s">
        <v>138</v>
      </c>
      <c r="CK485" s="28" t="s">
        <v>138</v>
      </c>
      <c r="CL485" s="28" t="s">
        <v>175</v>
      </c>
      <c r="CM485" s="34" t="s">
        <v>138</v>
      </c>
      <c r="CN485" s="29" t="s">
        <v>138</v>
      </c>
      <c r="CO485" s="35">
        <v>0.89</v>
      </c>
      <c r="CP485" s="36">
        <v>97</v>
      </c>
      <c r="CQ485" s="35">
        <v>-0.06</v>
      </c>
      <c r="CR485" s="35">
        <v>-6.49</v>
      </c>
      <c r="CS485" s="35">
        <v>1.84</v>
      </c>
      <c r="CT485" s="36">
        <v>98</v>
      </c>
      <c r="CU485" s="35">
        <v>-0.05</v>
      </c>
      <c r="CV485" s="36">
        <v>9</v>
      </c>
      <c r="CW485" s="35">
        <v>4.13</v>
      </c>
      <c r="CX485" s="36">
        <v>94</v>
      </c>
      <c r="CY485" s="35">
        <v>-0.45</v>
      </c>
      <c r="CZ485" s="36">
        <v>22</v>
      </c>
      <c r="DA485" s="35">
        <v>-0.11</v>
      </c>
      <c r="DB485" s="36">
        <v>5</v>
      </c>
      <c r="DC485" s="37">
        <v>14.51</v>
      </c>
      <c r="DD485" s="36">
        <v>93</v>
      </c>
      <c r="DE485" s="37">
        <v>-0.56999999999999995</v>
      </c>
      <c r="DF485" s="35">
        <v>-3.8</v>
      </c>
      <c r="DG485" s="37">
        <v>25.75</v>
      </c>
      <c r="DH485" s="36">
        <v>96</v>
      </c>
      <c r="DI485" s="37">
        <v>3.26</v>
      </c>
      <c r="DJ485" s="36">
        <v>71</v>
      </c>
      <c r="DK485" s="37">
        <v>17.39</v>
      </c>
      <c r="DL485" s="36">
        <v>91</v>
      </c>
      <c r="DM485" s="37">
        <v>34.1</v>
      </c>
      <c r="DN485" s="36">
        <v>97</v>
      </c>
      <c r="DO485" s="37">
        <v>6.48</v>
      </c>
      <c r="DP485" s="36">
        <v>83</v>
      </c>
      <c r="DQ485" s="36">
        <v>5835</v>
      </c>
      <c r="DR485" s="38">
        <v>390</v>
      </c>
      <c r="DS485" s="35">
        <v>7.16</v>
      </c>
      <c r="DT485" s="36">
        <v>990</v>
      </c>
      <c r="DU485" s="38">
        <v>-2</v>
      </c>
      <c r="DV485" s="35">
        <v>-0.2</v>
      </c>
      <c r="DW485" s="36">
        <v>2316</v>
      </c>
      <c r="DX485" s="39">
        <v>-2</v>
      </c>
      <c r="DY485" s="35">
        <v>-0.09</v>
      </c>
      <c r="DZ485" s="28" t="s">
        <v>178</v>
      </c>
      <c r="EA485" s="34">
        <v>43442</v>
      </c>
      <c r="EB485" s="29">
        <v>1.71</v>
      </c>
      <c r="EC485" s="34">
        <v>41870</v>
      </c>
      <c r="ED485" s="28" t="s">
        <v>316</v>
      </c>
      <c r="EE485" s="40" t="str">
        <f>HYPERLINK("https://my.pitchbook.com?c=65941-93", "View company online")</f>
        <v>View company online</v>
      </c>
    </row>
    <row r="486" spans="1:135">
      <c r="A486" s="15" t="s">
        <v>9982</v>
      </c>
      <c r="B486" s="15" t="s">
        <v>9983</v>
      </c>
      <c r="C486" s="15" t="s">
        <v>138</v>
      </c>
      <c r="D486" s="15" t="s">
        <v>138</v>
      </c>
      <c r="E486" s="15" t="s">
        <v>9984</v>
      </c>
      <c r="F486" s="15" t="s">
        <v>9982</v>
      </c>
      <c r="G486" s="15" t="s">
        <v>9985</v>
      </c>
      <c r="H486" s="15" t="s">
        <v>238</v>
      </c>
      <c r="I486" s="15" t="s">
        <v>269</v>
      </c>
      <c r="J486" s="15" t="s">
        <v>296</v>
      </c>
      <c r="K486" s="15" t="s">
        <v>9986</v>
      </c>
      <c r="L486" s="15" t="s">
        <v>1884</v>
      </c>
      <c r="M486" s="15" t="s">
        <v>9987</v>
      </c>
      <c r="N486" s="15" t="s">
        <v>147</v>
      </c>
      <c r="O486" s="17">
        <v>302.75</v>
      </c>
      <c r="P486" s="15" t="s">
        <v>148</v>
      </c>
      <c r="Q486" s="15" t="s">
        <v>149</v>
      </c>
      <c r="R486" s="15" t="s">
        <v>174</v>
      </c>
      <c r="S486" s="15" t="s">
        <v>9988</v>
      </c>
      <c r="T486" s="18">
        <v>450</v>
      </c>
      <c r="U486" s="15" t="s">
        <v>9989</v>
      </c>
      <c r="V486" s="15" t="s">
        <v>138</v>
      </c>
      <c r="W486" s="15" t="s">
        <v>138</v>
      </c>
      <c r="X486" s="19">
        <v>2013</v>
      </c>
      <c r="Y486" s="15" t="s">
        <v>138</v>
      </c>
      <c r="Z486" s="15" t="s">
        <v>138</v>
      </c>
      <c r="AA486" s="15" t="s">
        <v>138</v>
      </c>
      <c r="AB486" s="20">
        <v>140</v>
      </c>
      <c r="AC486" s="20" t="s">
        <v>138</v>
      </c>
      <c r="AD486" s="20" t="s">
        <v>138</v>
      </c>
      <c r="AE486" s="20" t="s">
        <v>138</v>
      </c>
      <c r="AF486" s="20" t="s">
        <v>138</v>
      </c>
      <c r="AG486" s="15" t="s">
        <v>815</v>
      </c>
      <c r="AH486" s="20" t="s">
        <v>138</v>
      </c>
      <c r="AI486" s="20" t="s">
        <v>138</v>
      </c>
      <c r="AJ486" s="20" t="s">
        <v>138</v>
      </c>
      <c r="AK486" s="15" t="s">
        <v>9990</v>
      </c>
      <c r="AL486" s="15" t="s">
        <v>9991</v>
      </c>
      <c r="AM486" s="15" t="s">
        <v>8473</v>
      </c>
      <c r="AN486" s="15" t="s">
        <v>9992</v>
      </c>
      <c r="AO486" s="15" t="s">
        <v>9993</v>
      </c>
      <c r="AP486" s="15" t="s">
        <v>665</v>
      </c>
      <c r="AQ486" s="15" t="s">
        <v>9994</v>
      </c>
      <c r="AR486" s="15" t="s">
        <v>138</v>
      </c>
      <c r="AS486" s="15" t="s">
        <v>668</v>
      </c>
      <c r="AT486" s="15" t="s">
        <v>200</v>
      </c>
      <c r="AU486" s="15" t="s">
        <v>9995</v>
      </c>
      <c r="AV486" s="15" t="s">
        <v>162</v>
      </c>
      <c r="AW486" s="15" t="s">
        <v>9993</v>
      </c>
      <c r="AX486" s="15" t="s">
        <v>138</v>
      </c>
      <c r="AY486" s="15" t="s">
        <v>9996</v>
      </c>
      <c r="AZ486" s="15" t="s">
        <v>164</v>
      </c>
      <c r="BA486" s="15" t="s">
        <v>165</v>
      </c>
      <c r="BB486" s="15" t="s">
        <v>9997</v>
      </c>
      <c r="BC486" s="15" t="s">
        <v>9998</v>
      </c>
      <c r="BD486" s="21">
        <v>50</v>
      </c>
      <c r="BE486" s="15" t="s">
        <v>138</v>
      </c>
      <c r="BF486" s="15" t="s">
        <v>9999</v>
      </c>
      <c r="BG486" s="15" t="s">
        <v>138</v>
      </c>
      <c r="BH486" s="15" t="s">
        <v>10000</v>
      </c>
      <c r="BI486" s="15" t="s">
        <v>10001</v>
      </c>
      <c r="BJ486" s="15" t="s">
        <v>138</v>
      </c>
      <c r="BK486" s="15" t="s">
        <v>10002</v>
      </c>
      <c r="BL486" s="15" t="s">
        <v>10003</v>
      </c>
      <c r="BM486" s="22">
        <v>41960</v>
      </c>
      <c r="BN486" s="17">
        <v>23.75</v>
      </c>
      <c r="BO486" s="15" t="s">
        <v>172</v>
      </c>
      <c r="BP486" s="17">
        <v>58.75</v>
      </c>
      <c r="BQ486" s="15" t="s">
        <v>1178</v>
      </c>
      <c r="BR486" s="15" t="s">
        <v>205</v>
      </c>
      <c r="BS486" s="15" t="s">
        <v>206</v>
      </c>
      <c r="BT486" s="15" t="s">
        <v>138</v>
      </c>
      <c r="BU486" s="15" t="s">
        <v>174</v>
      </c>
      <c r="BV486" s="15" t="s">
        <v>138</v>
      </c>
      <c r="BW486" s="15" t="s">
        <v>138</v>
      </c>
      <c r="BX486" s="15" t="s">
        <v>138</v>
      </c>
      <c r="BY486" s="15" t="s">
        <v>175</v>
      </c>
      <c r="BZ486" s="22">
        <v>43565</v>
      </c>
      <c r="CA486" s="17">
        <v>181</v>
      </c>
      <c r="CB486" s="15" t="s">
        <v>172</v>
      </c>
      <c r="CC486" s="17">
        <v>511</v>
      </c>
      <c r="CD486" s="15" t="s">
        <v>1178</v>
      </c>
      <c r="CE486" s="15" t="s">
        <v>173</v>
      </c>
      <c r="CF486" s="15" t="s">
        <v>433</v>
      </c>
      <c r="CG486" s="15" t="s">
        <v>138</v>
      </c>
      <c r="CH486" s="15" t="s">
        <v>174</v>
      </c>
      <c r="CI486" s="15" t="s">
        <v>1080</v>
      </c>
      <c r="CJ486" s="15" t="s">
        <v>138</v>
      </c>
      <c r="CK486" s="15" t="s">
        <v>138</v>
      </c>
      <c r="CL486" s="15" t="s">
        <v>175</v>
      </c>
      <c r="CM486" s="22" t="s">
        <v>138</v>
      </c>
      <c r="CN486" s="17" t="s">
        <v>138</v>
      </c>
      <c r="CO486" s="23">
        <v>2.5099999999999998</v>
      </c>
      <c r="CP486" s="24">
        <v>99</v>
      </c>
      <c r="CQ486" s="23">
        <v>-0.2</v>
      </c>
      <c r="CR486" s="23">
        <v>-7.53</v>
      </c>
      <c r="CS486" s="23">
        <v>2.19</v>
      </c>
      <c r="CT486" s="24">
        <v>98</v>
      </c>
      <c r="CU486" s="23">
        <v>0.06</v>
      </c>
      <c r="CV486" s="24">
        <v>60</v>
      </c>
      <c r="CW486" s="23">
        <v>2.19</v>
      </c>
      <c r="CX486" s="24">
        <v>89</v>
      </c>
      <c r="CY486" s="23" t="s">
        <v>138</v>
      </c>
      <c r="CZ486" s="24" t="s">
        <v>138</v>
      </c>
      <c r="DA486" s="23">
        <v>0.12</v>
      </c>
      <c r="DB486" s="24">
        <v>75</v>
      </c>
      <c r="DC486" s="25">
        <v>88.72</v>
      </c>
      <c r="DD486" s="24">
        <v>99</v>
      </c>
      <c r="DE486" s="25">
        <v>-9.4700000000000006</v>
      </c>
      <c r="DF486" s="23">
        <v>-9.64</v>
      </c>
      <c r="DG486" s="25">
        <v>231.55</v>
      </c>
      <c r="DH486" s="24">
        <v>100</v>
      </c>
      <c r="DI486" s="25">
        <v>14.79</v>
      </c>
      <c r="DJ486" s="24">
        <v>88</v>
      </c>
      <c r="DK486" s="25">
        <v>231.55</v>
      </c>
      <c r="DL486" s="24">
        <v>99</v>
      </c>
      <c r="DM486" s="25" t="s">
        <v>138</v>
      </c>
      <c r="DN486" s="24" t="s">
        <v>138</v>
      </c>
      <c r="DO486" s="25">
        <v>5.86</v>
      </c>
      <c r="DP486" s="24">
        <v>81</v>
      </c>
      <c r="DQ486" s="24">
        <v>78698</v>
      </c>
      <c r="DR486" s="26">
        <v>2166</v>
      </c>
      <c r="DS486" s="23">
        <v>2.83</v>
      </c>
      <c r="DT486" s="24" t="s">
        <v>138</v>
      </c>
      <c r="DU486" s="26" t="s">
        <v>138</v>
      </c>
      <c r="DV486" s="23" t="s">
        <v>138</v>
      </c>
      <c r="DW486" s="24">
        <v>2097</v>
      </c>
      <c r="DX486" s="27">
        <v>4</v>
      </c>
      <c r="DY486" s="23">
        <v>0.19</v>
      </c>
      <c r="DZ486" s="15" t="s">
        <v>178</v>
      </c>
      <c r="EA486" s="22">
        <v>43567</v>
      </c>
      <c r="EB486" s="17">
        <v>511</v>
      </c>
      <c r="EC486" s="22">
        <v>43565</v>
      </c>
      <c r="ED486" s="15" t="s">
        <v>173</v>
      </c>
      <c r="EE486" s="14" t="str">
        <f>HYPERLINK("https://my.pitchbook.com?c=99305-83", "View company online")</f>
        <v>View company online</v>
      </c>
    </row>
    <row r="487" spans="1:135">
      <c r="A487" s="28" t="s">
        <v>10004</v>
      </c>
      <c r="B487" s="28" t="s">
        <v>10005</v>
      </c>
      <c r="C487" s="28" t="s">
        <v>138</v>
      </c>
      <c r="D487" s="28" t="s">
        <v>10006</v>
      </c>
      <c r="E487" s="28" t="s">
        <v>138</v>
      </c>
      <c r="F487" s="28" t="s">
        <v>10004</v>
      </c>
      <c r="G487" s="28" t="s">
        <v>10007</v>
      </c>
      <c r="H487" s="28" t="s">
        <v>183</v>
      </c>
      <c r="I487" s="28" t="s">
        <v>184</v>
      </c>
      <c r="J487" s="28" t="s">
        <v>185</v>
      </c>
      <c r="K487" s="28" t="s">
        <v>10008</v>
      </c>
      <c r="L487" s="28" t="s">
        <v>10009</v>
      </c>
      <c r="M487" s="28" t="s">
        <v>10010</v>
      </c>
      <c r="N487" s="28" t="s">
        <v>147</v>
      </c>
      <c r="O487" s="29">
        <v>31</v>
      </c>
      <c r="P487" s="28" t="s">
        <v>610</v>
      </c>
      <c r="Q487" s="28" t="s">
        <v>149</v>
      </c>
      <c r="R487" s="28" t="s">
        <v>174</v>
      </c>
      <c r="S487" s="28" t="s">
        <v>10011</v>
      </c>
      <c r="T487" s="30" t="s">
        <v>138</v>
      </c>
      <c r="U487" s="28" t="s">
        <v>138</v>
      </c>
      <c r="V487" s="28" t="s">
        <v>138</v>
      </c>
      <c r="W487" s="28" t="s">
        <v>138</v>
      </c>
      <c r="X487" s="31">
        <v>2019</v>
      </c>
      <c r="Y487" s="28" t="s">
        <v>138</v>
      </c>
      <c r="Z487" s="28" t="s">
        <v>138</v>
      </c>
      <c r="AA487" s="28" t="s">
        <v>138</v>
      </c>
      <c r="AB487" s="32" t="s">
        <v>138</v>
      </c>
      <c r="AC487" s="32" t="s">
        <v>138</v>
      </c>
      <c r="AD487" s="32" t="s">
        <v>138</v>
      </c>
      <c r="AE487" s="32" t="s">
        <v>138</v>
      </c>
      <c r="AF487" s="32" t="s">
        <v>138</v>
      </c>
      <c r="AG487" s="28" t="s">
        <v>138</v>
      </c>
      <c r="AH487" s="32" t="s">
        <v>138</v>
      </c>
      <c r="AI487" s="32" t="s">
        <v>138</v>
      </c>
      <c r="AJ487" s="32" t="s">
        <v>138</v>
      </c>
      <c r="AK487" s="28" t="s">
        <v>10012</v>
      </c>
      <c r="AL487" s="28" t="s">
        <v>10013</v>
      </c>
      <c r="AM487" s="28" t="s">
        <v>10014</v>
      </c>
      <c r="AN487" s="28" t="s">
        <v>10015</v>
      </c>
      <c r="AO487" s="28" t="s">
        <v>10016</v>
      </c>
      <c r="AP487" s="28" t="s">
        <v>861</v>
      </c>
      <c r="AQ487" s="28" t="s">
        <v>10017</v>
      </c>
      <c r="AR487" s="28" t="s">
        <v>138</v>
      </c>
      <c r="AS487" s="28" t="s">
        <v>863</v>
      </c>
      <c r="AT487" s="28" t="s">
        <v>864</v>
      </c>
      <c r="AU487" s="28" t="s">
        <v>10018</v>
      </c>
      <c r="AV487" s="28" t="s">
        <v>162</v>
      </c>
      <c r="AW487" s="28" t="s">
        <v>138</v>
      </c>
      <c r="AX487" s="28" t="s">
        <v>138</v>
      </c>
      <c r="AY487" s="28" t="s">
        <v>138</v>
      </c>
      <c r="AZ487" s="28" t="s">
        <v>164</v>
      </c>
      <c r="BA487" s="28" t="s">
        <v>165</v>
      </c>
      <c r="BB487" s="28" t="s">
        <v>10019</v>
      </c>
      <c r="BC487" s="28" t="s">
        <v>10020</v>
      </c>
      <c r="BD487" s="33">
        <v>3</v>
      </c>
      <c r="BE487" s="28" t="s">
        <v>138</v>
      </c>
      <c r="BF487" s="28" t="s">
        <v>138</v>
      </c>
      <c r="BG487" s="28" t="s">
        <v>138</v>
      </c>
      <c r="BH487" s="28" t="s">
        <v>10021</v>
      </c>
      <c r="BI487" s="28" t="s">
        <v>138</v>
      </c>
      <c r="BJ487" s="28" t="s">
        <v>138</v>
      </c>
      <c r="BK487" s="28" t="s">
        <v>138</v>
      </c>
      <c r="BL487" s="28" t="s">
        <v>1251</v>
      </c>
      <c r="BM487" s="34">
        <v>43545</v>
      </c>
      <c r="BN487" s="29">
        <v>17.5</v>
      </c>
      <c r="BO487" s="28" t="s">
        <v>172</v>
      </c>
      <c r="BP487" s="29" t="s">
        <v>138</v>
      </c>
      <c r="BQ487" s="28" t="s">
        <v>138</v>
      </c>
      <c r="BR487" s="28" t="s">
        <v>176</v>
      </c>
      <c r="BS487" s="28" t="s">
        <v>138</v>
      </c>
      <c r="BT487" s="28" t="s">
        <v>138</v>
      </c>
      <c r="BU487" s="28" t="s">
        <v>177</v>
      </c>
      <c r="BV487" s="28" t="s">
        <v>138</v>
      </c>
      <c r="BW487" s="28" t="s">
        <v>138</v>
      </c>
      <c r="BX487" s="28" t="s">
        <v>138</v>
      </c>
      <c r="BY487" s="28" t="s">
        <v>175</v>
      </c>
      <c r="BZ487" s="34">
        <v>43578</v>
      </c>
      <c r="CA487" s="29">
        <v>31</v>
      </c>
      <c r="CB487" s="28" t="s">
        <v>1178</v>
      </c>
      <c r="CC487" s="29" t="s">
        <v>138</v>
      </c>
      <c r="CD487" s="28" t="s">
        <v>138</v>
      </c>
      <c r="CE487" s="28" t="s">
        <v>205</v>
      </c>
      <c r="CF487" s="28" t="s">
        <v>206</v>
      </c>
      <c r="CG487" s="28" t="s">
        <v>138</v>
      </c>
      <c r="CH487" s="28" t="s">
        <v>174</v>
      </c>
      <c r="CI487" s="28" t="s">
        <v>138</v>
      </c>
      <c r="CJ487" s="28" t="s">
        <v>138</v>
      </c>
      <c r="CK487" s="28" t="s">
        <v>138</v>
      </c>
      <c r="CL487" s="28" t="s">
        <v>175</v>
      </c>
      <c r="CM487" s="34" t="s">
        <v>138</v>
      </c>
      <c r="CN487" s="29" t="s">
        <v>138</v>
      </c>
      <c r="CO487" s="35" t="s">
        <v>138</v>
      </c>
      <c r="CP487" s="36" t="s">
        <v>138</v>
      </c>
      <c r="CQ487" s="35" t="s">
        <v>138</v>
      </c>
      <c r="CR487" s="35" t="s">
        <v>138</v>
      </c>
      <c r="CS487" s="35" t="s">
        <v>138</v>
      </c>
      <c r="CT487" s="36" t="s">
        <v>138</v>
      </c>
      <c r="CU487" s="35" t="s">
        <v>138</v>
      </c>
      <c r="CV487" s="36" t="s">
        <v>138</v>
      </c>
      <c r="CW487" s="35" t="s">
        <v>138</v>
      </c>
      <c r="CX487" s="36" t="s">
        <v>138</v>
      </c>
      <c r="CY487" s="35" t="s">
        <v>138</v>
      </c>
      <c r="CZ487" s="36" t="s">
        <v>138</v>
      </c>
      <c r="DA487" s="35" t="s">
        <v>138</v>
      </c>
      <c r="DB487" s="36" t="s">
        <v>138</v>
      </c>
      <c r="DC487" s="37" t="s">
        <v>138</v>
      </c>
      <c r="DD487" s="36" t="s">
        <v>138</v>
      </c>
      <c r="DE487" s="37" t="s">
        <v>138</v>
      </c>
      <c r="DF487" s="35" t="s">
        <v>138</v>
      </c>
      <c r="DG487" s="37" t="s">
        <v>138</v>
      </c>
      <c r="DH487" s="36" t="s">
        <v>138</v>
      </c>
      <c r="DI487" s="37" t="s">
        <v>138</v>
      </c>
      <c r="DJ487" s="36" t="s">
        <v>138</v>
      </c>
      <c r="DK487" s="37" t="s">
        <v>138</v>
      </c>
      <c r="DL487" s="36" t="s">
        <v>138</v>
      </c>
      <c r="DM487" s="37" t="s">
        <v>138</v>
      </c>
      <c r="DN487" s="36" t="s">
        <v>138</v>
      </c>
      <c r="DO487" s="37" t="s">
        <v>138</v>
      </c>
      <c r="DP487" s="36" t="s">
        <v>138</v>
      </c>
      <c r="DQ487" s="36" t="s">
        <v>138</v>
      </c>
      <c r="DR487" s="38" t="s">
        <v>138</v>
      </c>
      <c r="DS487" s="35" t="s">
        <v>138</v>
      </c>
      <c r="DT487" s="36" t="s">
        <v>138</v>
      </c>
      <c r="DU487" s="38" t="s">
        <v>138</v>
      </c>
      <c r="DV487" s="35" t="s">
        <v>138</v>
      </c>
      <c r="DW487" s="36" t="s">
        <v>138</v>
      </c>
      <c r="DX487" s="39" t="s">
        <v>138</v>
      </c>
      <c r="DY487" s="35" t="s">
        <v>138</v>
      </c>
      <c r="DZ487" s="28" t="s">
        <v>178</v>
      </c>
      <c r="EA487" s="34">
        <v>43581</v>
      </c>
      <c r="EB487" s="29" t="s">
        <v>138</v>
      </c>
      <c r="EC487" s="34" t="s">
        <v>138</v>
      </c>
      <c r="ED487" s="28" t="s">
        <v>138</v>
      </c>
      <c r="EE487" s="40" t="str">
        <f>HYPERLINK("https://my.pitchbook.com?c=266289-04", "View company online")</f>
        <v>View company online</v>
      </c>
    </row>
    <row r="488" spans="1:135">
      <c r="A488" s="15" t="s">
        <v>10022</v>
      </c>
      <c r="B488" s="15" t="s">
        <v>10023</v>
      </c>
      <c r="C488" s="15" t="s">
        <v>138</v>
      </c>
      <c r="D488" s="15" t="s">
        <v>138</v>
      </c>
      <c r="E488" s="15" t="s">
        <v>10024</v>
      </c>
      <c r="F488" s="15" t="s">
        <v>10022</v>
      </c>
      <c r="G488" s="15" t="s">
        <v>10025</v>
      </c>
      <c r="H488" s="15" t="s">
        <v>183</v>
      </c>
      <c r="I488" s="15" t="s">
        <v>725</v>
      </c>
      <c r="J488" s="15" t="s">
        <v>726</v>
      </c>
      <c r="K488" s="15" t="s">
        <v>727</v>
      </c>
      <c r="L488" s="15" t="s">
        <v>10026</v>
      </c>
      <c r="M488" s="15" t="s">
        <v>10027</v>
      </c>
      <c r="N488" s="15" t="s">
        <v>1452</v>
      </c>
      <c r="O488" s="17">
        <v>390</v>
      </c>
      <c r="P488" s="15" t="s">
        <v>148</v>
      </c>
      <c r="Q488" s="15" t="s">
        <v>149</v>
      </c>
      <c r="R488" s="15" t="s">
        <v>1652</v>
      </c>
      <c r="S488" s="15" t="s">
        <v>10028</v>
      </c>
      <c r="T488" s="18">
        <v>2400</v>
      </c>
      <c r="U488" s="15" t="s">
        <v>10029</v>
      </c>
      <c r="V488" s="15" t="s">
        <v>138</v>
      </c>
      <c r="W488" s="15" t="s">
        <v>138</v>
      </c>
      <c r="X488" s="19">
        <v>2010</v>
      </c>
      <c r="Y488" s="15" t="s">
        <v>138</v>
      </c>
      <c r="Z488" s="15" t="s">
        <v>138</v>
      </c>
      <c r="AA488" s="15" t="s">
        <v>10030</v>
      </c>
      <c r="AB488" s="20">
        <v>250</v>
      </c>
      <c r="AC488" s="20" t="s">
        <v>138</v>
      </c>
      <c r="AD488" s="20" t="s">
        <v>138</v>
      </c>
      <c r="AE488" s="20" t="s">
        <v>138</v>
      </c>
      <c r="AF488" s="20" t="s">
        <v>138</v>
      </c>
      <c r="AG488" s="15" t="s">
        <v>707</v>
      </c>
      <c r="AH488" s="20" t="s">
        <v>138</v>
      </c>
      <c r="AI488" s="20" t="s">
        <v>138</v>
      </c>
      <c r="AJ488" s="20" t="s">
        <v>138</v>
      </c>
      <c r="AK488" s="15" t="s">
        <v>10031</v>
      </c>
      <c r="AL488" s="15" t="s">
        <v>10032</v>
      </c>
      <c r="AM488" s="15" t="s">
        <v>7338</v>
      </c>
      <c r="AN488" s="15" t="s">
        <v>10033</v>
      </c>
      <c r="AO488" s="15" t="s">
        <v>10034</v>
      </c>
      <c r="AP488" s="15" t="s">
        <v>2880</v>
      </c>
      <c r="AQ488" s="15" t="s">
        <v>10035</v>
      </c>
      <c r="AR488" s="15" t="s">
        <v>3138</v>
      </c>
      <c r="AS488" s="15" t="s">
        <v>2882</v>
      </c>
      <c r="AT488" s="15" t="s">
        <v>2883</v>
      </c>
      <c r="AU488" s="15" t="s">
        <v>10036</v>
      </c>
      <c r="AV488" s="15" t="s">
        <v>162</v>
      </c>
      <c r="AW488" s="15" t="s">
        <v>10034</v>
      </c>
      <c r="AX488" s="15" t="s">
        <v>138</v>
      </c>
      <c r="AY488" s="15" t="s">
        <v>138</v>
      </c>
      <c r="AZ488" s="15" t="s">
        <v>164</v>
      </c>
      <c r="BA488" s="15" t="s">
        <v>165</v>
      </c>
      <c r="BB488" s="15" t="s">
        <v>10037</v>
      </c>
      <c r="BC488" s="15" t="s">
        <v>10038</v>
      </c>
      <c r="BD488" s="21">
        <v>18</v>
      </c>
      <c r="BE488" s="15" t="s">
        <v>138</v>
      </c>
      <c r="BF488" s="15" t="s">
        <v>138</v>
      </c>
      <c r="BG488" s="15" t="s">
        <v>138</v>
      </c>
      <c r="BH488" s="15" t="s">
        <v>10039</v>
      </c>
      <c r="BI488" s="15" t="s">
        <v>138</v>
      </c>
      <c r="BJ488" s="15" t="s">
        <v>138</v>
      </c>
      <c r="BK488" s="15" t="s">
        <v>10040</v>
      </c>
      <c r="BL488" s="15" t="s">
        <v>10041</v>
      </c>
      <c r="BM488" s="22">
        <v>40925</v>
      </c>
      <c r="BN488" s="17">
        <v>14</v>
      </c>
      <c r="BO488" s="15" t="s">
        <v>172</v>
      </c>
      <c r="BP488" s="17">
        <v>234</v>
      </c>
      <c r="BQ488" s="15" t="s">
        <v>172</v>
      </c>
      <c r="BR488" s="15" t="s">
        <v>205</v>
      </c>
      <c r="BS488" s="15" t="s">
        <v>206</v>
      </c>
      <c r="BT488" s="15" t="s">
        <v>138</v>
      </c>
      <c r="BU488" s="15" t="s">
        <v>174</v>
      </c>
      <c r="BV488" s="15" t="s">
        <v>138</v>
      </c>
      <c r="BW488" s="15" t="s">
        <v>138</v>
      </c>
      <c r="BX488" s="15" t="s">
        <v>138</v>
      </c>
      <c r="BY488" s="15" t="s">
        <v>175</v>
      </c>
      <c r="BZ488" s="22">
        <v>43308</v>
      </c>
      <c r="CA488" s="17">
        <v>20</v>
      </c>
      <c r="CB488" s="15" t="s">
        <v>172</v>
      </c>
      <c r="CC488" s="17" t="s">
        <v>138</v>
      </c>
      <c r="CD488" s="15" t="s">
        <v>138</v>
      </c>
      <c r="CE488" s="15" t="s">
        <v>1326</v>
      </c>
      <c r="CF488" s="15" t="s">
        <v>138</v>
      </c>
      <c r="CG488" s="15" t="s">
        <v>138</v>
      </c>
      <c r="CH488" s="15" t="s">
        <v>1327</v>
      </c>
      <c r="CI488" s="15" t="s">
        <v>1328</v>
      </c>
      <c r="CJ488" s="15" t="s">
        <v>138</v>
      </c>
      <c r="CK488" s="15" t="s">
        <v>138</v>
      </c>
      <c r="CL488" s="15" t="s">
        <v>175</v>
      </c>
      <c r="CM488" s="22">
        <v>43308</v>
      </c>
      <c r="CN488" s="17">
        <v>20</v>
      </c>
      <c r="CO488" s="23">
        <v>0.13</v>
      </c>
      <c r="CP488" s="24">
        <v>91</v>
      </c>
      <c r="CQ488" s="23">
        <v>0.01</v>
      </c>
      <c r="CR488" s="23">
        <v>6.17</v>
      </c>
      <c r="CS488" s="23">
        <v>0.18</v>
      </c>
      <c r="CT488" s="24">
        <v>94</v>
      </c>
      <c r="CU488" s="23">
        <v>0.08</v>
      </c>
      <c r="CV488" s="24">
        <v>64</v>
      </c>
      <c r="CW488" s="23">
        <v>1.18</v>
      </c>
      <c r="CX488" s="24">
        <v>85</v>
      </c>
      <c r="CY488" s="23">
        <v>-0.82</v>
      </c>
      <c r="CZ488" s="24">
        <v>20</v>
      </c>
      <c r="DA488" s="23">
        <v>0.02</v>
      </c>
      <c r="DB488" s="24">
        <v>58</v>
      </c>
      <c r="DC488" s="25">
        <v>1050.58</v>
      </c>
      <c r="DD488" s="24">
        <v>100</v>
      </c>
      <c r="DE488" s="25">
        <v>-108.01</v>
      </c>
      <c r="DF488" s="23">
        <v>-9.32</v>
      </c>
      <c r="DG488" s="25">
        <v>1868.83</v>
      </c>
      <c r="DH488" s="24">
        <v>100</v>
      </c>
      <c r="DI488" s="25">
        <v>232.34</v>
      </c>
      <c r="DJ488" s="24">
        <v>99</v>
      </c>
      <c r="DK488" s="25">
        <v>3381.31</v>
      </c>
      <c r="DL488" s="24">
        <v>100</v>
      </c>
      <c r="DM488" s="25">
        <v>356.34</v>
      </c>
      <c r="DN488" s="24">
        <v>100</v>
      </c>
      <c r="DO488" s="25">
        <v>129.16</v>
      </c>
      <c r="DP488" s="24">
        <v>99</v>
      </c>
      <c r="DQ488" s="24">
        <v>1151943</v>
      </c>
      <c r="DR488" s="26">
        <v>23544</v>
      </c>
      <c r="DS488" s="23">
        <v>2.09</v>
      </c>
      <c r="DT488" s="24">
        <v>10317</v>
      </c>
      <c r="DU488" s="26">
        <v>76</v>
      </c>
      <c r="DV488" s="23">
        <v>0.74</v>
      </c>
      <c r="DW488" s="24">
        <v>46239</v>
      </c>
      <c r="DX488" s="27">
        <v>2</v>
      </c>
      <c r="DY488" s="23">
        <v>0</v>
      </c>
      <c r="DZ488" s="15" t="s">
        <v>178</v>
      </c>
      <c r="EA488" s="22">
        <v>43622</v>
      </c>
      <c r="EB488" s="17">
        <v>513</v>
      </c>
      <c r="EC488" s="22">
        <v>42635</v>
      </c>
      <c r="ED488" s="15" t="s">
        <v>173</v>
      </c>
      <c r="EE488" s="14" t="str">
        <f>HYPERLINK("https://my.pitchbook.com?c=52285-33", "View company online")</f>
        <v>View company online</v>
      </c>
    </row>
    <row r="489" spans="1:135">
      <c r="A489" s="28" t="s">
        <v>10042</v>
      </c>
      <c r="B489" s="28" t="s">
        <v>10043</v>
      </c>
      <c r="C489" s="28" t="s">
        <v>138</v>
      </c>
      <c r="D489" s="28" t="s">
        <v>138</v>
      </c>
      <c r="E489" s="28" t="s">
        <v>10044</v>
      </c>
      <c r="F489" s="28" t="s">
        <v>10042</v>
      </c>
      <c r="G489" s="28" t="s">
        <v>10045</v>
      </c>
      <c r="H489" s="28" t="s">
        <v>141</v>
      </c>
      <c r="I489" s="28" t="s">
        <v>212</v>
      </c>
      <c r="J489" s="28" t="s">
        <v>10046</v>
      </c>
      <c r="K489" s="28" t="s">
        <v>10047</v>
      </c>
      <c r="L489" s="28" t="s">
        <v>10048</v>
      </c>
      <c r="M489" s="28" t="s">
        <v>10049</v>
      </c>
      <c r="N489" s="28" t="s">
        <v>147</v>
      </c>
      <c r="O489" s="29">
        <v>111.76</v>
      </c>
      <c r="P489" s="28" t="s">
        <v>148</v>
      </c>
      <c r="Q489" s="28" t="s">
        <v>149</v>
      </c>
      <c r="R489" s="28" t="s">
        <v>244</v>
      </c>
      <c r="S489" s="28" t="s">
        <v>10050</v>
      </c>
      <c r="T489" s="30">
        <v>227</v>
      </c>
      <c r="U489" s="28" t="s">
        <v>10051</v>
      </c>
      <c r="V489" s="28" t="s">
        <v>138</v>
      </c>
      <c r="W489" s="28" t="s">
        <v>138</v>
      </c>
      <c r="X489" s="31">
        <v>2007</v>
      </c>
      <c r="Y489" s="28" t="s">
        <v>138</v>
      </c>
      <c r="Z489" s="28" t="s">
        <v>138</v>
      </c>
      <c r="AA489" s="28" t="s">
        <v>138</v>
      </c>
      <c r="AB489" s="32">
        <v>25.7</v>
      </c>
      <c r="AC489" s="32" t="s">
        <v>138</v>
      </c>
      <c r="AD489" s="32" t="s">
        <v>138</v>
      </c>
      <c r="AE489" s="32" t="s">
        <v>138</v>
      </c>
      <c r="AF489" s="32" t="s">
        <v>138</v>
      </c>
      <c r="AG489" s="28" t="s">
        <v>2214</v>
      </c>
      <c r="AH489" s="32" t="s">
        <v>138</v>
      </c>
      <c r="AI489" s="32" t="s">
        <v>138</v>
      </c>
      <c r="AJ489" s="32" t="s">
        <v>138</v>
      </c>
      <c r="AK489" s="28" t="s">
        <v>10052</v>
      </c>
      <c r="AL489" s="28" t="s">
        <v>10053</v>
      </c>
      <c r="AM489" s="28" t="s">
        <v>566</v>
      </c>
      <c r="AN489" s="28" t="s">
        <v>10054</v>
      </c>
      <c r="AO489" s="28" t="s">
        <v>138</v>
      </c>
      <c r="AP489" s="28" t="s">
        <v>423</v>
      </c>
      <c r="AQ489" s="28" t="s">
        <v>10055</v>
      </c>
      <c r="AR489" s="28" t="s">
        <v>10056</v>
      </c>
      <c r="AS489" s="28" t="s">
        <v>426</v>
      </c>
      <c r="AT489" s="28" t="s">
        <v>426</v>
      </c>
      <c r="AU489" s="28" t="s">
        <v>619</v>
      </c>
      <c r="AV489" s="28" t="s">
        <v>162</v>
      </c>
      <c r="AW489" s="28" t="s">
        <v>138</v>
      </c>
      <c r="AX489" s="28" t="s">
        <v>138</v>
      </c>
      <c r="AY489" s="28" t="s">
        <v>138</v>
      </c>
      <c r="AZ489" s="28" t="s">
        <v>164</v>
      </c>
      <c r="BA489" s="28" t="s">
        <v>165</v>
      </c>
      <c r="BB489" s="28" t="s">
        <v>10057</v>
      </c>
      <c r="BC489" s="28" t="s">
        <v>10058</v>
      </c>
      <c r="BD489" s="33">
        <v>10</v>
      </c>
      <c r="BE489" s="28" t="s">
        <v>138</v>
      </c>
      <c r="BF489" s="28" t="s">
        <v>138</v>
      </c>
      <c r="BG489" s="28" t="s">
        <v>138</v>
      </c>
      <c r="BH489" s="28" t="s">
        <v>10059</v>
      </c>
      <c r="BI489" s="28" t="s">
        <v>138</v>
      </c>
      <c r="BJ489" s="28" t="s">
        <v>138</v>
      </c>
      <c r="BK489" s="28" t="s">
        <v>10060</v>
      </c>
      <c r="BL489" s="28" t="s">
        <v>10061</v>
      </c>
      <c r="BM489" s="34">
        <v>40421</v>
      </c>
      <c r="BN489" s="29">
        <v>5</v>
      </c>
      <c r="BO489" s="28" t="s">
        <v>172</v>
      </c>
      <c r="BP489" s="29">
        <v>15</v>
      </c>
      <c r="BQ489" s="28" t="s">
        <v>172</v>
      </c>
      <c r="BR489" s="28" t="s">
        <v>205</v>
      </c>
      <c r="BS489" s="28" t="s">
        <v>1727</v>
      </c>
      <c r="BT489" s="28" t="s">
        <v>138</v>
      </c>
      <c r="BU489" s="28" t="s">
        <v>174</v>
      </c>
      <c r="BV489" s="28" t="s">
        <v>138</v>
      </c>
      <c r="BW489" s="28" t="s">
        <v>138</v>
      </c>
      <c r="BX489" s="28" t="s">
        <v>138</v>
      </c>
      <c r="BY489" s="28" t="s">
        <v>175</v>
      </c>
      <c r="BZ489" s="34" t="s">
        <v>138</v>
      </c>
      <c r="CA489" s="29" t="s">
        <v>138</v>
      </c>
      <c r="CB489" s="28" t="s">
        <v>138</v>
      </c>
      <c r="CC489" s="29" t="s">
        <v>138</v>
      </c>
      <c r="CD489" s="28" t="s">
        <v>138</v>
      </c>
      <c r="CE489" s="28" t="s">
        <v>1326</v>
      </c>
      <c r="CF489" s="28" t="s">
        <v>138</v>
      </c>
      <c r="CG489" s="28" t="s">
        <v>138</v>
      </c>
      <c r="CH489" s="28" t="s">
        <v>1327</v>
      </c>
      <c r="CI489" s="28" t="s">
        <v>1328</v>
      </c>
      <c r="CJ489" s="28" t="s">
        <v>138</v>
      </c>
      <c r="CK489" s="28" t="s">
        <v>138</v>
      </c>
      <c r="CL489" s="28" t="s">
        <v>175</v>
      </c>
      <c r="CM489" s="34">
        <v>42467</v>
      </c>
      <c r="CN489" s="29" t="s">
        <v>138</v>
      </c>
      <c r="CO489" s="35">
        <v>-0.41</v>
      </c>
      <c r="CP489" s="36">
        <v>17</v>
      </c>
      <c r="CQ489" s="35">
        <v>-0.01</v>
      </c>
      <c r="CR489" s="35">
        <v>-1.3</v>
      </c>
      <c r="CS489" s="35">
        <v>-0.82</v>
      </c>
      <c r="CT489" s="36">
        <v>17</v>
      </c>
      <c r="CU489" s="35">
        <v>0</v>
      </c>
      <c r="CV489" s="36">
        <v>22</v>
      </c>
      <c r="CW489" s="35">
        <v>-0.56999999999999995</v>
      </c>
      <c r="CX489" s="36">
        <v>11</v>
      </c>
      <c r="CY489" s="35">
        <v>-1.08</v>
      </c>
      <c r="CZ489" s="36">
        <v>18</v>
      </c>
      <c r="DA489" s="35">
        <v>-0.05</v>
      </c>
      <c r="DB489" s="36">
        <v>13</v>
      </c>
      <c r="DC489" s="37">
        <v>720.85</v>
      </c>
      <c r="DD489" s="36">
        <v>100</v>
      </c>
      <c r="DE489" s="37">
        <v>-23.37</v>
      </c>
      <c r="DF489" s="35">
        <v>-3.14</v>
      </c>
      <c r="DG489" s="37">
        <v>852.92</v>
      </c>
      <c r="DH489" s="36">
        <v>100</v>
      </c>
      <c r="DI489" s="37">
        <v>588.77</v>
      </c>
      <c r="DJ489" s="36">
        <v>100</v>
      </c>
      <c r="DK489" s="37">
        <v>772.94</v>
      </c>
      <c r="DL489" s="36">
        <v>100</v>
      </c>
      <c r="DM489" s="37">
        <v>932.9</v>
      </c>
      <c r="DN489" s="36">
        <v>100</v>
      </c>
      <c r="DO489" s="37">
        <v>979.22</v>
      </c>
      <c r="DP489" s="36">
        <v>100</v>
      </c>
      <c r="DQ489" s="36">
        <v>265262</v>
      </c>
      <c r="DR489" s="38">
        <v>-432</v>
      </c>
      <c r="DS489" s="35">
        <v>-0.16</v>
      </c>
      <c r="DT489" s="36">
        <v>27043</v>
      </c>
      <c r="DU489" s="38">
        <v>37</v>
      </c>
      <c r="DV489" s="35">
        <v>0.14000000000000001</v>
      </c>
      <c r="DW489" s="36">
        <v>350633</v>
      </c>
      <c r="DX489" s="39">
        <v>-123</v>
      </c>
      <c r="DY489" s="35">
        <v>-0.04</v>
      </c>
      <c r="DZ489" s="28" t="s">
        <v>178</v>
      </c>
      <c r="EA489" s="34">
        <v>43439</v>
      </c>
      <c r="EB489" s="29">
        <v>200</v>
      </c>
      <c r="EC489" s="34">
        <v>43209</v>
      </c>
      <c r="ED489" s="28" t="s">
        <v>173</v>
      </c>
      <c r="EE489" s="40" t="str">
        <f>HYPERLINK("https://my.pitchbook.com?c=52923-52", "View company online")</f>
        <v>View company online</v>
      </c>
    </row>
    <row r="490" spans="1:135">
      <c r="A490" s="15" t="s">
        <v>10062</v>
      </c>
      <c r="B490" s="15" t="s">
        <v>10063</v>
      </c>
      <c r="C490" s="15" t="s">
        <v>138</v>
      </c>
      <c r="D490" s="15" t="s">
        <v>10064</v>
      </c>
      <c r="E490" s="15" t="s">
        <v>10065</v>
      </c>
      <c r="F490" s="15" t="s">
        <v>10062</v>
      </c>
      <c r="G490" s="15" t="s">
        <v>10066</v>
      </c>
      <c r="H490" s="15" t="s">
        <v>322</v>
      </c>
      <c r="I490" s="15" t="s">
        <v>323</v>
      </c>
      <c r="J490" s="15" t="s">
        <v>461</v>
      </c>
      <c r="K490" s="15" t="s">
        <v>2209</v>
      </c>
      <c r="L490" s="15" t="s">
        <v>2210</v>
      </c>
      <c r="M490" s="15" t="s">
        <v>10067</v>
      </c>
      <c r="N490" s="15" t="s">
        <v>147</v>
      </c>
      <c r="O490" s="17">
        <v>131.96</v>
      </c>
      <c r="P490" s="15" t="s">
        <v>148</v>
      </c>
      <c r="Q490" s="15" t="s">
        <v>149</v>
      </c>
      <c r="R490" s="15" t="s">
        <v>174</v>
      </c>
      <c r="S490" s="15" t="s">
        <v>10068</v>
      </c>
      <c r="T490" s="18">
        <v>300</v>
      </c>
      <c r="U490" s="15" t="s">
        <v>10069</v>
      </c>
      <c r="V490" s="15" t="s">
        <v>138</v>
      </c>
      <c r="W490" s="15" t="s">
        <v>138</v>
      </c>
      <c r="X490" s="19">
        <v>2011</v>
      </c>
      <c r="Y490" s="15" t="s">
        <v>138</v>
      </c>
      <c r="Z490" s="15" t="s">
        <v>138</v>
      </c>
      <c r="AA490" s="15" t="s">
        <v>138</v>
      </c>
      <c r="AB490" s="20">
        <v>100</v>
      </c>
      <c r="AC490" s="20" t="s">
        <v>138</v>
      </c>
      <c r="AD490" s="20" t="s">
        <v>138</v>
      </c>
      <c r="AE490" s="20" t="s">
        <v>138</v>
      </c>
      <c r="AF490" s="20" t="s">
        <v>138</v>
      </c>
      <c r="AG490" s="15" t="s">
        <v>514</v>
      </c>
      <c r="AH490" s="20" t="s">
        <v>138</v>
      </c>
      <c r="AI490" s="20" t="s">
        <v>138</v>
      </c>
      <c r="AJ490" s="20" t="s">
        <v>138</v>
      </c>
      <c r="AK490" s="15" t="s">
        <v>10070</v>
      </c>
      <c r="AL490" s="15" t="s">
        <v>10071</v>
      </c>
      <c r="AM490" s="15" t="s">
        <v>221</v>
      </c>
      <c r="AN490" s="15" t="s">
        <v>10072</v>
      </c>
      <c r="AO490" s="15" t="s">
        <v>10073</v>
      </c>
      <c r="AP490" s="15" t="s">
        <v>964</v>
      </c>
      <c r="AQ490" s="15" t="s">
        <v>10074</v>
      </c>
      <c r="AR490" s="15" t="s">
        <v>2095</v>
      </c>
      <c r="AS490" s="15" t="s">
        <v>966</v>
      </c>
      <c r="AT490" s="15" t="s">
        <v>200</v>
      </c>
      <c r="AU490" s="15" t="s">
        <v>4792</v>
      </c>
      <c r="AV490" s="15" t="s">
        <v>162</v>
      </c>
      <c r="AW490" s="15" t="s">
        <v>10075</v>
      </c>
      <c r="AX490" s="15" t="s">
        <v>138</v>
      </c>
      <c r="AY490" s="15" t="s">
        <v>10076</v>
      </c>
      <c r="AZ490" s="15" t="s">
        <v>164</v>
      </c>
      <c r="BA490" s="15" t="s">
        <v>165</v>
      </c>
      <c r="BB490" s="15" t="s">
        <v>10077</v>
      </c>
      <c r="BC490" s="15" t="s">
        <v>10078</v>
      </c>
      <c r="BD490" s="21">
        <v>26</v>
      </c>
      <c r="BE490" s="15" t="s">
        <v>138</v>
      </c>
      <c r="BF490" s="15" t="s">
        <v>138</v>
      </c>
      <c r="BG490" s="15" t="s">
        <v>138</v>
      </c>
      <c r="BH490" s="15" t="s">
        <v>10079</v>
      </c>
      <c r="BI490" s="15" t="s">
        <v>138</v>
      </c>
      <c r="BJ490" s="15" t="s">
        <v>138</v>
      </c>
      <c r="BK490" s="15" t="s">
        <v>1691</v>
      </c>
      <c r="BL490" s="15" t="s">
        <v>6434</v>
      </c>
      <c r="BM490" s="22">
        <v>41092</v>
      </c>
      <c r="BN490" s="17">
        <v>5.86</v>
      </c>
      <c r="BO490" s="15" t="s">
        <v>172</v>
      </c>
      <c r="BP490" s="17">
        <v>17.39</v>
      </c>
      <c r="BQ490" s="15" t="s">
        <v>172</v>
      </c>
      <c r="BR490" s="15" t="s">
        <v>205</v>
      </c>
      <c r="BS490" s="15" t="s">
        <v>206</v>
      </c>
      <c r="BT490" s="15" t="s">
        <v>138</v>
      </c>
      <c r="BU490" s="15" t="s">
        <v>174</v>
      </c>
      <c r="BV490" s="15" t="s">
        <v>138</v>
      </c>
      <c r="BW490" s="15" t="s">
        <v>138</v>
      </c>
      <c r="BX490" s="15" t="s">
        <v>138</v>
      </c>
      <c r="BY490" s="15" t="s">
        <v>175</v>
      </c>
      <c r="BZ490" s="22">
        <v>43405</v>
      </c>
      <c r="CA490" s="17">
        <v>26</v>
      </c>
      <c r="CB490" s="15" t="s">
        <v>172</v>
      </c>
      <c r="CC490" s="17">
        <v>499</v>
      </c>
      <c r="CD490" s="15" t="s">
        <v>172</v>
      </c>
      <c r="CE490" s="15" t="s">
        <v>173</v>
      </c>
      <c r="CF490" s="15" t="s">
        <v>482</v>
      </c>
      <c r="CG490" s="15" t="s">
        <v>138</v>
      </c>
      <c r="CH490" s="15" t="s">
        <v>174</v>
      </c>
      <c r="CI490" s="15" t="s">
        <v>138</v>
      </c>
      <c r="CJ490" s="15" t="s">
        <v>138</v>
      </c>
      <c r="CK490" s="15" t="s">
        <v>138</v>
      </c>
      <c r="CL490" s="15" t="s">
        <v>175</v>
      </c>
      <c r="CM490" s="22" t="s">
        <v>138</v>
      </c>
      <c r="CN490" s="17" t="s">
        <v>138</v>
      </c>
      <c r="CO490" s="23">
        <v>0.82</v>
      </c>
      <c r="CP490" s="24">
        <v>97</v>
      </c>
      <c r="CQ490" s="23">
        <v>0</v>
      </c>
      <c r="CR490" s="23">
        <v>0.48</v>
      </c>
      <c r="CS490" s="23">
        <v>1.69</v>
      </c>
      <c r="CT490" s="24">
        <v>98</v>
      </c>
      <c r="CU490" s="23">
        <v>-0.04</v>
      </c>
      <c r="CV490" s="24">
        <v>12</v>
      </c>
      <c r="CW490" s="23">
        <v>4.09</v>
      </c>
      <c r="CX490" s="24">
        <v>94</v>
      </c>
      <c r="CY490" s="23">
        <v>-0.71</v>
      </c>
      <c r="CZ490" s="24">
        <v>21</v>
      </c>
      <c r="DA490" s="23">
        <v>-0.04</v>
      </c>
      <c r="DB490" s="24">
        <v>15</v>
      </c>
      <c r="DC490" s="25">
        <v>262.68</v>
      </c>
      <c r="DD490" s="24">
        <v>100</v>
      </c>
      <c r="DE490" s="25">
        <v>0.69</v>
      </c>
      <c r="DF490" s="23">
        <v>0.26</v>
      </c>
      <c r="DG490" s="25">
        <v>18.3</v>
      </c>
      <c r="DH490" s="24">
        <v>94</v>
      </c>
      <c r="DI490" s="25">
        <v>507.06</v>
      </c>
      <c r="DJ490" s="24">
        <v>99</v>
      </c>
      <c r="DK490" s="25">
        <v>19.329999999999998</v>
      </c>
      <c r="DL490" s="24">
        <v>91</v>
      </c>
      <c r="DM490" s="25">
        <v>17.28</v>
      </c>
      <c r="DN490" s="24">
        <v>93</v>
      </c>
      <c r="DO490" s="25">
        <v>507.06</v>
      </c>
      <c r="DP490" s="24">
        <v>100</v>
      </c>
      <c r="DQ490" s="24">
        <v>6455</v>
      </c>
      <c r="DR490" s="26">
        <v>526</v>
      </c>
      <c r="DS490" s="23">
        <v>8.8699999999999992</v>
      </c>
      <c r="DT490" s="24">
        <v>500</v>
      </c>
      <c r="DU490" s="26">
        <v>3</v>
      </c>
      <c r="DV490" s="23">
        <v>0.6</v>
      </c>
      <c r="DW490" s="24">
        <v>181566</v>
      </c>
      <c r="DX490" s="27">
        <v>-61</v>
      </c>
      <c r="DY490" s="23">
        <v>-0.03</v>
      </c>
      <c r="DZ490" s="15" t="s">
        <v>178</v>
      </c>
      <c r="EA490" s="22">
        <v>43622</v>
      </c>
      <c r="EB490" s="17">
        <v>499</v>
      </c>
      <c r="EC490" s="22">
        <v>43405</v>
      </c>
      <c r="ED490" s="15" t="s">
        <v>173</v>
      </c>
      <c r="EE490" s="14" t="str">
        <f>HYPERLINK("https://my.pitchbook.com?c=54324-37", "View company online")</f>
        <v>View company online</v>
      </c>
    </row>
    <row r="491" spans="1:135">
      <c r="A491" s="28" t="s">
        <v>10080</v>
      </c>
      <c r="B491" s="28" t="s">
        <v>10081</v>
      </c>
      <c r="C491" s="28" t="s">
        <v>138</v>
      </c>
      <c r="D491" s="28" t="s">
        <v>10082</v>
      </c>
      <c r="E491" s="28" t="s">
        <v>10083</v>
      </c>
      <c r="F491" s="28" t="s">
        <v>10080</v>
      </c>
      <c r="G491" s="28" t="s">
        <v>10084</v>
      </c>
      <c r="H491" s="28" t="s">
        <v>141</v>
      </c>
      <c r="I491" s="28" t="s">
        <v>212</v>
      </c>
      <c r="J491" s="28" t="s">
        <v>486</v>
      </c>
      <c r="K491" s="28" t="s">
        <v>4581</v>
      </c>
      <c r="L491" s="28" t="s">
        <v>10085</v>
      </c>
      <c r="M491" s="28" t="s">
        <v>10086</v>
      </c>
      <c r="N491" s="28" t="s">
        <v>147</v>
      </c>
      <c r="O491" s="29">
        <v>110</v>
      </c>
      <c r="P491" s="28" t="s">
        <v>148</v>
      </c>
      <c r="Q491" s="28" t="s">
        <v>149</v>
      </c>
      <c r="R491" s="28" t="s">
        <v>174</v>
      </c>
      <c r="S491" s="28" t="s">
        <v>10087</v>
      </c>
      <c r="T491" s="30" t="s">
        <v>138</v>
      </c>
      <c r="U491" s="28" t="s">
        <v>138</v>
      </c>
      <c r="V491" s="28" t="s">
        <v>138</v>
      </c>
      <c r="W491" s="28" t="s">
        <v>138</v>
      </c>
      <c r="X491" s="31">
        <v>2014</v>
      </c>
      <c r="Y491" s="28" t="s">
        <v>138</v>
      </c>
      <c r="Z491" s="28" t="s">
        <v>138</v>
      </c>
      <c r="AA491" s="28" t="s">
        <v>138</v>
      </c>
      <c r="AB491" s="32" t="s">
        <v>138</v>
      </c>
      <c r="AC491" s="32" t="s">
        <v>138</v>
      </c>
      <c r="AD491" s="32" t="s">
        <v>138</v>
      </c>
      <c r="AE491" s="32" t="s">
        <v>138</v>
      </c>
      <c r="AF491" s="32" t="s">
        <v>138</v>
      </c>
      <c r="AG491" s="28" t="s">
        <v>138</v>
      </c>
      <c r="AH491" s="32" t="s">
        <v>138</v>
      </c>
      <c r="AI491" s="32" t="s">
        <v>138</v>
      </c>
      <c r="AJ491" s="32" t="s">
        <v>138</v>
      </c>
      <c r="AK491" s="28" t="s">
        <v>138</v>
      </c>
      <c r="AL491" s="28" t="s">
        <v>138</v>
      </c>
      <c r="AM491" s="28" t="s">
        <v>138</v>
      </c>
      <c r="AN491" s="28" t="s">
        <v>138</v>
      </c>
      <c r="AO491" s="28" t="s">
        <v>138</v>
      </c>
      <c r="AP491" s="28" t="s">
        <v>446</v>
      </c>
      <c r="AQ491" s="28" t="s">
        <v>10088</v>
      </c>
      <c r="AR491" s="28" t="s">
        <v>4136</v>
      </c>
      <c r="AS491" s="28" t="s">
        <v>449</v>
      </c>
      <c r="AT491" s="28" t="s">
        <v>138</v>
      </c>
      <c r="AU491" s="28" t="s">
        <v>138</v>
      </c>
      <c r="AV491" s="28" t="s">
        <v>450</v>
      </c>
      <c r="AW491" s="28" t="s">
        <v>10089</v>
      </c>
      <c r="AX491" s="28" t="s">
        <v>138</v>
      </c>
      <c r="AY491" s="28" t="s">
        <v>10090</v>
      </c>
      <c r="AZ491" s="28" t="s">
        <v>452</v>
      </c>
      <c r="BA491" s="28" t="s">
        <v>453</v>
      </c>
      <c r="BB491" s="28" t="s">
        <v>10091</v>
      </c>
      <c r="BC491" s="28" t="s">
        <v>10092</v>
      </c>
      <c r="BD491" s="33">
        <v>17</v>
      </c>
      <c r="BE491" s="28" t="s">
        <v>138</v>
      </c>
      <c r="BF491" s="28" t="s">
        <v>138</v>
      </c>
      <c r="BG491" s="28" t="s">
        <v>138</v>
      </c>
      <c r="BH491" s="28" t="s">
        <v>10093</v>
      </c>
      <c r="BI491" s="28" t="s">
        <v>138</v>
      </c>
      <c r="BJ491" s="28" t="s">
        <v>138</v>
      </c>
      <c r="BK491" s="28" t="s">
        <v>138</v>
      </c>
      <c r="BL491" s="28" t="s">
        <v>138</v>
      </c>
      <c r="BM491" s="34" t="s">
        <v>138</v>
      </c>
      <c r="BN491" s="29" t="s">
        <v>138</v>
      </c>
      <c r="BO491" s="28" t="s">
        <v>138</v>
      </c>
      <c r="BP491" s="29" t="s">
        <v>138</v>
      </c>
      <c r="BQ491" s="28" t="s">
        <v>138</v>
      </c>
      <c r="BR491" s="28" t="s">
        <v>205</v>
      </c>
      <c r="BS491" s="28" t="s">
        <v>206</v>
      </c>
      <c r="BT491" s="28" t="s">
        <v>138</v>
      </c>
      <c r="BU491" s="28" t="s">
        <v>174</v>
      </c>
      <c r="BV491" s="28" t="s">
        <v>138</v>
      </c>
      <c r="BW491" s="28" t="s">
        <v>138</v>
      </c>
      <c r="BX491" s="28" t="s">
        <v>138</v>
      </c>
      <c r="BY491" s="28" t="s">
        <v>175</v>
      </c>
      <c r="BZ491" s="34">
        <v>43340</v>
      </c>
      <c r="CA491" s="29">
        <v>60</v>
      </c>
      <c r="CB491" s="28" t="s">
        <v>172</v>
      </c>
      <c r="CC491" s="29" t="s">
        <v>138</v>
      </c>
      <c r="CD491" s="28" t="s">
        <v>138</v>
      </c>
      <c r="CE491" s="28" t="s">
        <v>173</v>
      </c>
      <c r="CF491" s="28" t="s">
        <v>9579</v>
      </c>
      <c r="CG491" s="28" t="s">
        <v>138</v>
      </c>
      <c r="CH491" s="28" t="s">
        <v>174</v>
      </c>
      <c r="CI491" s="28" t="s">
        <v>138</v>
      </c>
      <c r="CJ491" s="28" t="s">
        <v>138</v>
      </c>
      <c r="CK491" s="28" t="s">
        <v>138</v>
      </c>
      <c r="CL491" s="28" t="s">
        <v>175</v>
      </c>
      <c r="CM491" s="34" t="s">
        <v>138</v>
      </c>
      <c r="CN491" s="29" t="s">
        <v>138</v>
      </c>
      <c r="CO491" s="35">
        <v>-2.2799999999999998</v>
      </c>
      <c r="CP491" s="36">
        <v>5</v>
      </c>
      <c r="CQ491" s="35">
        <v>0.06</v>
      </c>
      <c r="CR491" s="35">
        <v>2.68</v>
      </c>
      <c r="CS491" s="35">
        <v>-2.2799999999999998</v>
      </c>
      <c r="CT491" s="36">
        <v>8</v>
      </c>
      <c r="CU491" s="35" t="s">
        <v>138</v>
      </c>
      <c r="CV491" s="36" t="s">
        <v>138</v>
      </c>
      <c r="CW491" s="35">
        <v>-4.6500000000000004</v>
      </c>
      <c r="CX491" s="36">
        <v>3</v>
      </c>
      <c r="CY491" s="35">
        <v>0.09</v>
      </c>
      <c r="CZ491" s="36">
        <v>98</v>
      </c>
      <c r="DA491" s="35" t="s">
        <v>138</v>
      </c>
      <c r="DB491" s="36" t="s">
        <v>138</v>
      </c>
      <c r="DC491" s="37">
        <v>12.08</v>
      </c>
      <c r="DD491" s="36">
        <v>91</v>
      </c>
      <c r="DE491" s="37">
        <v>-0.16</v>
      </c>
      <c r="DF491" s="35">
        <v>-1.33</v>
      </c>
      <c r="DG491" s="37">
        <v>12.08</v>
      </c>
      <c r="DH491" s="36">
        <v>91</v>
      </c>
      <c r="DI491" s="37" t="s">
        <v>138</v>
      </c>
      <c r="DJ491" s="36" t="s">
        <v>138</v>
      </c>
      <c r="DK491" s="37">
        <v>3.34</v>
      </c>
      <c r="DL491" s="36">
        <v>73</v>
      </c>
      <c r="DM491" s="37">
        <v>20.83</v>
      </c>
      <c r="DN491" s="36">
        <v>94</v>
      </c>
      <c r="DO491" s="37" t="s">
        <v>138</v>
      </c>
      <c r="DP491" s="36" t="s">
        <v>138</v>
      </c>
      <c r="DQ491" s="36">
        <v>1170</v>
      </c>
      <c r="DR491" s="38">
        <v>-77</v>
      </c>
      <c r="DS491" s="35">
        <v>-6.17</v>
      </c>
      <c r="DT491" s="36">
        <v>602</v>
      </c>
      <c r="DU491" s="38">
        <v>5</v>
      </c>
      <c r="DV491" s="35">
        <v>0.84</v>
      </c>
      <c r="DW491" s="36" t="s">
        <v>138</v>
      </c>
      <c r="DX491" s="39" t="s">
        <v>138</v>
      </c>
      <c r="DY491" s="35" t="s">
        <v>138</v>
      </c>
      <c r="DZ491" s="28" t="s">
        <v>178</v>
      </c>
      <c r="EA491" s="34">
        <v>43532</v>
      </c>
      <c r="EB491" s="29" t="s">
        <v>138</v>
      </c>
      <c r="EC491" s="34" t="s">
        <v>138</v>
      </c>
      <c r="ED491" s="28" t="s">
        <v>138</v>
      </c>
      <c r="EE491" s="40" t="str">
        <f>HYPERLINK("https://my.pitchbook.com?c=170277-04", "View company online")</f>
        <v>View company online</v>
      </c>
    </row>
    <row r="492" spans="1:135">
      <c r="A492" s="15" t="s">
        <v>10094</v>
      </c>
      <c r="B492" s="15" t="s">
        <v>10095</v>
      </c>
      <c r="C492" s="15" t="s">
        <v>10096</v>
      </c>
      <c r="D492" s="15" t="s">
        <v>138</v>
      </c>
      <c r="E492" s="15" t="s">
        <v>138</v>
      </c>
      <c r="F492" s="15" t="s">
        <v>10094</v>
      </c>
      <c r="G492" s="15" t="s">
        <v>10097</v>
      </c>
      <c r="H492" s="15" t="s">
        <v>322</v>
      </c>
      <c r="I492" s="15" t="s">
        <v>323</v>
      </c>
      <c r="J492" s="15" t="s">
        <v>413</v>
      </c>
      <c r="K492" s="15" t="s">
        <v>874</v>
      </c>
      <c r="L492" s="15" t="s">
        <v>242</v>
      </c>
      <c r="M492" s="15" t="s">
        <v>10098</v>
      </c>
      <c r="N492" s="15" t="s">
        <v>147</v>
      </c>
      <c r="O492" s="17">
        <v>7.26</v>
      </c>
      <c r="P492" s="15" t="s">
        <v>148</v>
      </c>
      <c r="Q492" s="15" t="s">
        <v>149</v>
      </c>
      <c r="R492" s="15" t="s">
        <v>174</v>
      </c>
      <c r="S492" s="15" t="s">
        <v>10099</v>
      </c>
      <c r="T492" s="18">
        <v>29</v>
      </c>
      <c r="U492" s="15" t="s">
        <v>10100</v>
      </c>
      <c r="V492" s="15" t="s">
        <v>138</v>
      </c>
      <c r="W492" s="15" t="s">
        <v>138</v>
      </c>
      <c r="X492" s="19">
        <v>2012</v>
      </c>
      <c r="Y492" s="15" t="s">
        <v>138</v>
      </c>
      <c r="Z492" s="15" t="s">
        <v>138</v>
      </c>
      <c r="AA492" s="15" t="s">
        <v>138</v>
      </c>
      <c r="AB492" s="20" t="s">
        <v>138</v>
      </c>
      <c r="AC492" s="20" t="s">
        <v>138</v>
      </c>
      <c r="AD492" s="20" t="s">
        <v>138</v>
      </c>
      <c r="AE492" s="20" t="s">
        <v>138</v>
      </c>
      <c r="AF492" s="20" t="s">
        <v>138</v>
      </c>
      <c r="AG492" s="15" t="s">
        <v>138</v>
      </c>
      <c r="AH492" s="20" t="s">
        <v>138</v>
      </c>
      <c r="AI492" s="20" t="s">
        <v>138</v>
      </c>
      <c r="AJ492" s="20" t="s">
        <v>138</v>
      </c>
      <c r="AK492" s="15" t="s">
        <v>10101</v>
      </c>
      <c r="AL492" s="15" t="s">
        <v>10102</v>
      </c>
      <c r="AM492" s="15" t="s">
        <v>5486</v>
      </c>
      <c r="AN492" s="15" t="s">
        <v>10103</v>
      </c>
      <c r="AO492" s="15" t="s">
        <v>10104</v>
      </c>
      <c r="AP492" s="15" t="s">
        <v>10105</v>
      </c>
      <c r="AQ492" s="15" t="s">
        <v>10106</v>
      </c>
      <c r="AR492" s="15" t="s">
        <v>10107</v>
      </c>
      <c r="AS492" s="15" t="s">
        <v>10108</v>
      </c>
      <c r="AT492" s="15" t="s">
        <v>6898</v>
      </c>
      <c r="AU492" s="15" t="s">
        <v>10109</v>
      </c>
      <c r="AV492" s="15" t="s">
        <v>162</v>
      </c>
      <c r="AW492" s="15" t="s">
        <v>10110</v>
      </c>
      <c r="AX492" s="15" t="s">
        <v>138</v>
      </c>
      <c r="AY492" s="15" t="s">
        <v>138</v>
      </c>
      <c r="AZ492" s="15" t="s">
        <v>164</v>
      </c>
      <c r="BA492" s="15" t="s">
        <v>165</v>
      </c>
      <c r="BB492" s="15" t="s">
        <v>10111</v>
      </c>
      <c r="BC492" s="15" t="s">
        <v>10112</v>
      </c>
      <c r="BD492" s="21">
        <v>7</v>
      </c>
      <c r="BE492" s="15" t="s">
        <v>138</v>
      </c>
      <c r="BF492" s="15" t="s">
        <v>138</v>
      </c>
      <c r="BG492" s="15" t="s">
        <v>138</v>
      </c>
      <c r="BH492" s="15" t="s">
        <v>10113</v>
      </c>
      <c r="BI492" s="15" t="s">
        <v>138</v>
      </c>
      <c r="BJ492" s="15" t="s">
        <v>138</v>
      </c>
      <c r="BK492" s="15" t="s">
        <v>10114</v>
      </c>
      <c r="BL492" s="15" t="s">
        <v>1275</v>
      </c>
      <c r="BM492" s="22">
        <v>41956</v>
      </c>
      <c r="BN492" s="17">
        <v>5</v>
      </c>
      <c r="BO492" s="15" t="s">
        <v>172</v>
      </c>
      <c r="BP492" s="17">
        <v>12.38</v>
      </c>
      <c r="BQ492" s="15" t="s">
        <v>172</v>
      </c>
      <c r="BR492" s="15" t="s">
        <v>205</v>
      </c>
      <c r="BS492" s="15" t="s">
        <v>206</v>
      </c>
      <c r="BT492" s="15" t="s">
        <v>138</v>
      </c>
      <c r="BU492" s="15" t="s">
        <v>174</v>
      </c>
      <c r="BV492" s="15" t="s">
        <v>138</v>
      </c>
      <c r="BW492" s="15" t="s">
        <v>138</v>
      </c>
      <c r="BX492" s="15" t="s">
        <v>138</v>
      </c>
      <c r="BY492" s="15" t="s">
        <v>175</v>
      </c>
      <c r="BZ492" s="22">
        <v>42898</v>
      </c>
      <c r="CA492" s="17">
        <v>0.79</v>
      </c>
      <c r="CB492" s="15" t="s">
        <v>172</v>
      </c>
      <c r="CC492" s="17" t="s">
        <v>138</v>
      </c>
      <c r="CD492" s="15" t="s">
        <v>138</v>
      </c>
      <c r="CE492" s="15" t="s">
        <v>205</v>
      </c>
      <c r="CF492" s="15" t="s">
        <v>138</v>
      </c>
      <c r="CG492" s="15" t="s">
        <v>138</v>
      </c>
      <c r="CH492" s="15" t="s">
        <v>174</v>
      </c>
      <c r="CI492" s="15" t="s">
        <v>138</v>
      </c>
      <c r="CJ492" s="15" t="s">
        <v>138</v>
      </c>
      <c r="CK492" s="15" t="s">
        <v>138</v>
      </c>
      <c r="CL492" s="15" t="s">
        <v>175</v>
      </c>
      <c r="CM492" s="22" t="s">
        <v>138</v>
      </c>
      <c r="CN492" s="17" t="s">
        <v>138</v>
      </c>
      <c r="CO492" s="23">
        <v>0.01</v>
      </c>
      <c r="CP492" s="24">
        <v>84</v>
      </c>
      <c r="CQ492" s="23">
        <v>0.01</v>
      </c>
      <c r="CR492" s="23">
        <v>72.37</v>
      </c>
      <c r="CS492" s="23">
        <v>0</v>
      </c>
      <c r="CT492" s="24">
        <v>23</v>
      </c>
      <c r="CU492" s="23">
        <v>0.04</v>
      </c>
      <c r="CV492" s="24">
        <v>56</v>
      </c>
      <c r="CW492" s="23">
        <v>0</v>
      </c>
      <c r="CX492" s="24">
        <v>13</v>
      </c>
      <c r="CY492" s="23">
        <v>0</v>
      </c>
      <c r="CZ492" s="24">
        <v>25</v>
      </c>
      <c r="DA492" s="23">
        <v>0.11</v>
      </c>
      <c r="DB492" s="24">
        <v>73</v>
      </c>
      <c r="DC492" s="25">
        <v>0.63</v>
      </c>
      <c r="DD492" s="24">
        <v>40</v>
      </c>
      <c r="DE492" s="25">
        <v>-0.01</v>
      </c>
      <c r="DF492" s="23">
        <v>-1.07</v>
      </c>
      <c r="DG492" s="25">
        <v>0.97</v>
      </c>
      <c r="DH492" s="24">
        <v>50</v>
      </c>
      <c r="DI492" s="25">
        <v>0.76</v>
      </c>
      <c r="DJ492" s="24">
        <v>44</v>
      </c>
      <c r="DK492" s="25">
        <v>0.18</v>
      </c>
      <c r="DL492" s="24">
        <v>3</v>
      </c>
      <c r="DM492" s="25">
        <v>1.76</v>
      </c>
      <c r="DN492" s="24">
        <v>63</v>
      </c>
      <c r="DO492" s="25">
        <v>0.93</v>
      </c>
      <c r="DP492" s="24">
        <v>49</v>
      </c>
      <c r="DQ492" s="24">
        <v>63</v>
      </c>
      <c r="DR492" s="26">
        <v>1</v>
      </c>
      <c r="DS492" s="23">
        <v>1.61</v>
      </c>
      <c r="DT492" s="24">
        <v>51</v>
      </c>
      <c r="DU492" s="26">
        <v>-1</v>
      </c>
      <c r="DV492" s="23">
        <v>-1.92</v>
      </c>
      <c r="DW492" s="24">
        <v>334</v>
      </c>
      <c r="DX492" s="27">
        <v>0</v>
      </c>
      <c r="DY492" s="23">
        <v>0</v>
      </c>
      <c r="DZ492" s="15" t="s">
        <v>178</v>
      </c>
      <c r="EA492" s="22">
        <v>43600</v>
      </c>
      <c r="EB492" s="17">
        <v>7.42</v>
      </c>
      <c r="EC492" s="22">
        <v>42541</v>
      </c>
      <c r="ED492" s="15" t="s">
        <v>205</v>
      </c>
      <c r="EE492" s="14" t="str">
        <f>HYPERLINK("https://my.pitchbook.com?c=91519-30", "View company online")</f>
        <v>View company online</v>
      </c>
    </row>
    <row r="493" spans="1:135">
      <c r="A493" s="28" t="s">
        <v>10115</v>
      </c>
      <c r="B493" s="28" t="s">
        <v>10116</v>
      </c>
      <c r="C493" s="28" t="s">
        <v>138</v>
      </c>
      <c r="D493" s="28" t="s">
        <v>138</v>
      </c>
      <c r="E493" s="28" t="s">
        <v>10117</v>
      </c>
      <c r="F493" s="28" t="s">
        <v>10115</v>
      </c>
      <c r="G493" s="28" t="s">
        <v>10118</v>
      </c>
      <c r="H493" s="28" t="s">
        <v>322</v>
      </c>
      <c r="I493" s="28" t="s">
        <v>323</v>
      </c>
      <c r="J493" s="28" t="s">
        <v>461</v>
      </c>
      <c r="K493" s="28" t="s">
        <v>10119</v>
      </c>
      <c r="L493" s="28" t="s">
        <v>3764</v>
      </c>
      <c r="M493" s="28" t="s">
        <v>10120</v>
      </c>
      <c r="N493" s="28" t="s">
        <v>147</v>
      </c>
      <c r="O493" s="29">
        <v>10.199999999999999</v>
      </c>
      <c r="P493" s="28" t="s">
        <v>148</v>
      </c>
      <c r="Q493" s="28" t="s">
        <v>149</v>
      </c>
      <c r="R493" s="28" t="s">
        <v>174</v>
      </c>
      <c r="S493" s="28" t="s">
        <v>10121</v>
      </c>
      <c r="T493" s="30">
        <v>25</v>
      </c>
      <c r="U493" s="28" t="s">
        <v>10122</v>
      </c>
      <c r="V493" s="28" t="s">
        <v>138</v>
      </c>
      <c r="W493" s="28" t="s">
        <v>138</v>
      </c>
      <c r="X493" s="31">
        <v>2013</v>
      </c>
      <c r="Y493" s="28" t="s">
        <v>138</v>
      </c>
      <c r="Z493" s="28" t="s">
        <v>138</v>
      </c>
      <c r="AA493" s="28" t="s">
        <v>138</v>
      </c>
      <c r="AB493" s="32" t="s">
        <v>138</v>
      </c>
      <c r="AC493" s="32" t="s">
        <v>138</v>
      </c>
      <c r="AD493" s="32" t="s">
        <v>138</v>
      </c>
      <c r="AE493" s="32" t="s">
        <v>138</v>
      </c>
      <c r="AF493" s="32" t="s">
        <v>138</v>
      </c>
      <c r="AG493" s="28" t="s">
        <v>138</v>
      </c>
      <c r="AH493" s="32" t="s">
        <v>138</v>
      </c>
      <c r="AI493" s="32" t="s">
        <v>138</v>
      </c>
      <c r="AJ493" s="32" t="s">
        <v>138</v>
      </c>
      <c r="AK493" s="28" t="s">
        <v>10123</v>
      </c>
      <c r="AL493" s="28" t="s">
        <v>10124</v>
      </c>
      <c r="AM493" s="28" t="s">
        <v>10125</v>
      </c>
      <c r="AN493" s="28" t="s">
        <v>10126</v>
      </c>
      <c r="AO493" s="28" t="s">
        <v>138</v>
      </c>
      <c r="AP493" s="28" t="s">
        <v>665</v>
      </c>
      <c r="AQ493" s="28" t="s">
        <v>138</v>
      </c>
      <c r="AR493" s="28" t="s">
        <v>138</v>
      </c>
      <c r="AS493" s="28" t="s">
        <v>668</v>
      </c>
      <c r="AT493" s="28" t="s">
        <v>200</v>
      </c>
      <c r="AU493" s="28" t="s">
        <v>138</v>
      </c>
      <c r="AV493" s="28" t="s">
        <v>162</v>
      </c>
      <c r="AW493" s="28" t="s">
        <v>138</v>
      </c>
      <c r="AX493" s="28" t="s">
        <v>138</v>
      </c>
      <c r="AY493" s="28" t="s">
        <v>10127</v>
      </c>
      <c r="AZ493" s="28" t="s">
        <v>164</v>
      </c>
      <c r="BA493" s="28" t="s">
        <v>165</v>
      </c>
      <c r="BB493" s="28" t="s">
        <v>10128</v>
      </c>
      <c r="BC493" s="28" t="s">
        <v>10129</v>
      </c>
      <c r="BD493" s="33">
        <v>6</v>
      </c>
      <c r="BE493" s="28" t="s">
        <v>138</v>
      </c>
      <c r="BF493" s="28" t="s">
        <v>138</v>
      </c>
      <c r="BG493" s="28" t="s">
        <v>138</v>
      </c>
      <c r="BH493" s="28" t="s">
        <v>10130</v>
      </c>
      <c r="BI493" s="28" t="s">
        <v>138</v>
      </c>
      <c r="BJ493" s="28" t="s">
        <v>138</v>
      </c>
      <c r="BK493" s="28" t="s">
        <v>10131</v>
      </c>
      <c r="BL493" s="28" t="s">
        <v>138</v>
      </c>
      <c r="BM493" s="34">
        <v>41394</v>
      </c>
      <c r="BN493" s="29" t="s">
        <v>138</v>
      </c>
      <c r="BO493" s="28" t="s">
        <v>138</v>
      </c>
      <c r="BP493" s="29" t="s">
        <v>138</v>
      </c>
      <c r="BQ493" s="28" t="s">
        <v>138</v>
      </c>
      <c r="BR493" s="28" t="s">
        <v>234</v>
      </c>
      <c r="BS493" s="28" t="s">
        <v>234</v>
      </c>
      <c r="BT493" s="28" t="s">
        <v>138</v>
      </c>
      <c r="BU493" s="28" t="s">
        <v>174</v>
      </c>
      <c r="BV493" s="28" t="s">
        <v>138</v>
      </c>
      <c r="BW493" s="28" t="s">
        <v>138</v>
      </c>
      <c r="BX493" s="28" t="s">
        <v>138</v>
      </c>
      <c r="BY493" s="28" t="s">
        <v>175</v>
      </c>
      <c r="BZ493" s="34">
        <v>42706</v>
      </c>
      <c r="CA493" s="29">
        <v>8.1999999999999993</v>
      </c>
      <c r="CB493" s="28" t="s">
        <v>172</v>
      </c>
      <c r="CC493" s="29" t="s">
        <v>138</v>
      </c>
      <c r="CD493" s="28" t="s">
        <v>138</v>
      </c>
      <c r="CE493" s="28" t="s">
        <v>205</v>
      </c>
      <c r="CF493" s="28" t="s">
        <v>206</v>
      </c>
      <c r="CG493" s="28" t="s">
        <v>138</v>
      </c>
      <c r="CH493" s="28" t="s">
        <v>174</v>
      </c>
      <c r="CI493" s="28" t="s">
        <v>138</v>
      </c>
      <c r="CJ493" s="28" t="s">
        <v>138</v>
      </c>
      <c r="CK493" s="28" t="s">
        <v>138</v>
      </c>
      <c r="CL493" s="28" t="s">
        <v>175</v>
      </c>
      <c r="CM493" s="34" t="s">
        <v>138</v>
      </c>
      <c r="CN493" s="29" t="s">
        <v>138</v>
      </c>
      <c r="CO493" s="35">
        <v>0</v>
      </c>
      <c r="CP493" s="36">
        <v>26</v>
      </c>
      <c r="CQ493" s="35">
        <v>-0.03</v>
      </c>
      <c r="CR493" s="35">
        <v>-101.33</v>
      </c>
      <c r="CS493" s="35" t="s">
        <v>138</v>
      </c>
      <c r="CT493" s="36" t="s">
        <v>138</v>
      </c>
      <c r="CU493" s="35">
        <v>0</v>
      </c>
      <c r="CV493" s="36">
        <v>22</v>
      </c>
      <c r="CW493" s="35" t="s">
        <v>138</v>
      </c>
      <c r="CX493" s="36" t="s">
        <v>138</v>
      </c>
      <c r="CY493" s="35" t="s">
        <v>138</v>
      </c>
      <c r="CZ493" s="36" t="s">
        <v>138</v>
      </c>
      <c r="DA493" s="35">
        <v>0.05</v>
      </c>
      <c r="DB493" s="36">
        <v>64</v>
      </c>
      <c r="DC493" s="37">
        <v>2.59</v>
      </c>
      <c r="DD493" s="36">
        <v>72</v>
      </c>
      <c r="DE493" s="37">
        <v>0</v>
      </c>
      <c r="DF493" s="35">
        <v>-0.08</v>
      </c>
      <c r="DG493" s="37" t="s">
        <v>138</v>
      </c>
      <c r="DH493" s="36" t="s">
        <v>138</v>
      </c>
      <c r="DI493" s="37">
        <v>2.59</v>
      </c>
      <c r="DJ493" s="36">
        <v>67</v>
      </c>
      <c r="DK493" s="37" t="s">
        <v>138</v>
      </c>
      <c r="DL493" s="36" t="s">
        <v>138</v>
      </c>
      <c r="DM493" s="37" t="s">
        <v>138</v>
      </c>
      <c r="DN493" s="36" t="s">
        <v>138</v>
      </c>
      <c r="DO493" s="37">
        <v>0.66</v>
      </c>
      <c r="DP493" s="36">
        <v>43</v>
      </c>
      <c r="DQ493" s="36">
        <v>72</v>
      </c>
      <c r="DR493" s="38">
        <v>-21</v>
      </c>
      <c r="DS493" s="35">
        <v>-22.58</v>
      </c>
      <c r="DT493" s="36" t="s">
        <v>138</v>
      </c>
      <c r="DU493" s="38" t="s">
        <v>138</v>
      </c>
      <c r="DV493" s="35" t="s">
        <v>138</v>
      </c>
      <c r="DW493" s="36">
        <v>236</v>
      </c>
      <c r="DX493" s="39">
        <v>-1</v>
      </c>
      <c r="DY493" s="35">
        <v>-0.42</v>
      </c>
      <c r="DZ493" s="28" t="s">
        <v>178</v>
      </c>
      <c r="EA493" s="34">
        <v>43447</v>
      </c>
      <c r="EB493" s="29" t="s">
        <v>138</v>
      </c>
      <c r="EC493" s="34" t="s">
        <v>138</v>
      </c>
      <c r="ED493" s="28" t="s">
        <v>138</v>
      </c>
      <c r="EE493" s="40" t="str">
        <f>HYPERLINK("https://my.pitchbook.com?c=58151-62", "View company online")</f>
        <v>View company online</v>
      </c>
    </row>
    <row r="494" spans="1:135">
      <c r="A494" s="15" t="s">
        <v>10132</v>
      </c>
      <c r="B494" s="15" t="s">
        <v>10133</v>
      </c>
      <c r="C494" s="15" t="s">
        <v>138</v>
      </c>
      <c r="D494" s="15" t="s">
        <v>138</v>
      </c>
      <c r="E494" s="15" t="s">
        <v>10134</v>
      </c>
      <c r="F494" s="15" t="s">
        <v>10132</v>
      </c>
      <c r="G494" s="15" t="s">
        <v>10135</v>
      </c>
      <c r="H494" s="15" t="s">
        <v>183</v>
      </c>
      <c r="I494" s="15" t="s">
        <v>184</v>
      </c>
      <c r="J494" s="15" t="s">
        <v>185</v>
      </c>
      <c r="K494" s="15" t="s">
        <v>10136</v>
      </c>
      <c r="L494" s="15" t="s">
        <v>138</v>
      </c>
      <c r="M494" s="15" t="s">
        <v>10137</v>
      </c>
      <c r="N494" s="15" t="s">
        <v>147</v>
      </c>
      <c r="O494" s="17">
        <v>75.760000000000005</v>
      </c>
      <c r="P494" s="15" t="s">
        <v>148</v>
      </c>
      <c r="Q494" s="15" t="s">
        <v>149</v>
      </c>
      <c r="R494" s="15" t="s">
        <v>174</v>
      </c>
      <c r="S494" s="15" t="s">
        <v>10138</v>
      </c>
      <c r="T494" s="18">
        <v>20</v>
      </c>
      <c r="U494" s="15" t="s">
        <v>10139</v>
      </c>
      <c r="V494" s="15" t="s">
        <v>138</v>
      </c>
      <c r="W494" s="15" t="s">
        <v>138</v>
      </c>
      <c r="X494" s="19">
        <v>2007</v>
      </c>
      <c r="Y494" s="15" t="s">
        <v>138</v>
      </c>
      <c r="Z494" s="15" t="s">
        <v>138</v>
      </c>
      <c r="AA494" s="15" t="s">
        <v>138</v>
      </c>
      <c r="AB494" s="20" t="s">
        <v>138</v>
      </c>
      <c r="AC494" s="20" t="s">
        <v>138</v>
      </c>
      <c r="AD494" s="20" t="s">
        <v>138</v>
      </c>
      <c r="AE494" s="20" t="s">
        <v>138</v>
      </c>
      <c r="AF494" s="20" t="s">
        <v>138</v>
      </c>
      <c r="AG494" s="15" t="s">
        <v>138</v>
      </c>
      <c r="AH494" s="20" t="s">
        <v>138</v>
      </c>
      <c r="AI494" s="20" t="s">
        <v>138</v>
      </c>
      <c r="AJ494" s="20" t="s">
        <v>138</v>
      </c>
      <c r="AK494" s="15" t="s">
        <v>10140</v>
      </c>
      <c r="AL494" s="15" t="s">
        <v>10141</v>
      </c>
      <c r="AM494" s="15" t="s">
        <v>249</v>
      </c>
      <c r="AN494" s="15" t="s">
        <v>10142</v>
      </c>
      <c r="AO494" s="15" t="s">
        <v>10143</v>
      </c>
      <c r="AP494" s="15" t="s">
        <v>10144</v>
      </c>
      <c r="AQ494" s="15" t="s">
        <v>10145</v>
      </c>
      <c r="AR494" s="15" t="s">
        <v>10146</v>
      </c>
      <c r="AS494" s="15" t="s">
        <v>10147</v>
      </c>
      <c r="AT494" s="15" t="s">
        <v>864</v>
      </c>
      <c r="AU494" s="15" t="s">
        <v>10148</v>
      </c>
      <c r="AV494" s="15" t="s">
        <v>162</v>
      </c>
      <c r="AW494" s="15" t="s">
        <v>10149</v>
      </c>
      <c r="AX494" s="15" t="s">
        <v>138</v>
      </c>
      <c r="AY494" s="15" t="s">
        <v>10150</v>
      </c>
      <c r="AZ494" s="15" t="s">
        <v>164</v>
      </c>
      <c r="BA494" s="15" t="s">
        <v>165</v>
      </c>
      <c r="BB494" s="15" t="s">
        <v>10151</v>
      </c>
      <c r="BC494" s="15" t="s">
        <v>10152</v>
      </c>
      <c r="BD494" s="21">
        <v>11</v>
      </c>
      <c r="BE494" s="15" t="s">
        <v>138</v>
      </c>
      <c r="BF494" s="15" t="s">
        <v>138</v>
      </c>
      <c r="BG494" s="15" t="s">
        <v>138</v>
      </c>
      <c r="BH494" s="15" t="s">
        <v>10153</v>
      </c>
      <c r="BI494" s="15" t="s">
        <v>138</v>
      </c>
      <c r="BJ494" s="15" t="s">
        <v>138</v>
      </c>
      <c r="BK494" s="15" t="s">
        <v>138</v>
      </c>
      <c r="BL494" s="15" t="s">
        <v>138</v>
      </c>
      <c r="BM494" s="22">
        <v>39083</v>
      </c>
      <c r="BN494" s="17" t="s">
        <v>138</v>
      </c>
      <c r="BO494" s="15" t="s">
        <v>138</v>
      </c>
      <c r="BP494" s="17" t="s">
        <v>138</v>
      </c>
      <c r="BQ494" s="15" t="s">
        <v>138</v>
      </c>
      <c r="BR494" s="15" t="s">
        <v>205</v>
      </c>
      <c r="BS494" s="15" t="s">
        <v>138</v>
      </c>
      <c r="BT494" s="15" t="s">
        <v>138</v>
      </c>
      <c r="BU494" s="15" t="s">
        <v>174</v>
      </c>
      <c r="BV494" s="15" t="s">
        <v>138</v>
      </c>
      <c r="BW494" s="15" t="s">
        <v>138</v>
      </c>
      <c r="BX494" s="15" t="s">
        <v>138</v>
      </c>
      <c r="BY494" s="15" t="s">
        <v>175</v>
      </c>
      <c r="BZ494" s="22">
        <v>43332</v>
      </c>
      <c r="CA494" s="17">
        <v>18.46</v>
      </c>
      <c r="CB494" s="15" t="s">
        <v>172</v>
      </c>
      <c r="CC494" s="17">
        <v>73.459999999999994</v>
      </c>
      <c r="CD494" s="15" t="s">
        <v>172</v>
      </c>
      <c r="CE494" s="15" t="s">
        <v>173</v>
      </c>
      <c r="CF494" s="15" t="s">
        <v>433</v>
      </c>
      <c r="CG494" s="15" t="s">
        <v>138</v>
      </c>
      <c r="CH494" s="15" t="s">
        <v>174</v>
      </c>
      <c r="CI494" s="15" t="s">
        <v>138</v>
      </c>
      <c r="CJ494" s="15" t="s">
        <v>138</v>
      </c>
      <c r="CK494" s="15" t="s">
        <v>138</v>
      </c>
      <c r="CL494" s="15" t="s">
        <v>175</v>
      </c>
      <c r="CM494" s="22" t="s">
        <v>138</v>
      </c>
      <c r="CN494" s="17" t="s">
        <v>138</v>
      </c>
      <c r="CO494" s="23">
        <v>-0.61</v>
      </c>
      <c r="CP494" s="24">
        <v>15</v>
      </c>
      <c r="CQ494" s="23">
        <v>0.02</v>
      </c>
      <c r="CR494" s="23">
        <v>3.22</v>
      </c>
      <c r="CS494" s="23">
        <v>-1.34</v>
      </c>
      <c r="CT494" s="24">
        <v>13</v>
      </c>
      <c r="CU494" s="23">
        <v>0.12</v>
      </c>
      <c r="CV494" s="24">
        <v>71</v>
      </c>
      <c r="CW494" s="23">
        <v>0</v>
      </c>
      <c r="CX494" s="24">
        <v>13</v>
      </c>
      <c r="CY494" s="23">
        <v>-2.68</v>
      </c>
      <c r="CZ494" s="24">
        <v>8</v>
      </c>
      <c r="DA494" s="23">
        <v>0.24</v>
      </c>
      <c r="DB494" s="24">
        <v>85</v>
      </c>
      <c r="DC494" s="25">
        <v>2.33</v>
      </c>
      <c r="DD494" s="24">
        <v>70</v>
      </c>
      <c r="DE494" s="25">
        <v>-0.03</v>
      </c>
      <c r="DF494" s="23">
        <v>-1.36</v>
      </c>
      <c r="DG494" s="25">
        <v>3.98</v>
      </c>
      <c r="DH494" s="24">
        <v>79</v>
      </c>
      <c r="DI494" s="25">
        <v>0.68</v>
      </c>
      <c r="DJ494" s="24">
        <v>42</v>
      </c>
      <c r="DK494" s="25">
        <v>1.03</v>
      </c>
      <c r="DL494" s="24">
        <v>51</v>
      </c>
      <c r="DM494" s="25">
        <v>6.93</v>
      </c>
      <c r="DN494" s="24">
        <v>85</v>
      </c>
      <c r="DO494" s="25">
        <v>1.33</v>
      </c>
      <c r="DP494" s="24">
        <v>56</v>
      </c>
      <c r="DQ494" s="24">
        <v>341</v>
      </c>
      <c r="DR494" s="26">
        <v>39</v>
      </c>
      <c r="DS494" s="23">
        <v>12.91</v>
      </c>
      <c r="DT494" s="24">
        <v>201</v>
      </c>
      <c r="DU494" s="26">
        <v>1</v>
      </c>
      <c r="DV494" s="23">
        <v>0.5</v>
      </c>
      <c r="DW494" s="24">
        <v>476</v>
      </c>
      <c r="DX494" s="27">
        <v>-1</v>
      </c>
      <c r="DY494" s="23">
        <v>-0.21</v>
      </c>
      <c r="DZ494" s="15" t="s">
        <v>178</v>
      </c>
      <c r="EA494" s="22">
        <v>43619</v>
      </c>
      <c r="EB494" s="17">
        <v>73.459999999999994</v>
      </c>
      <c r="EC494" s="22">
        <v>43332</v>
      </c>
      <c r="ED494" s="15" t="s">
        <v>173</v>
      </c>
      <c r="EE494" s="14" t="str">
        <f>HYPERLINK("https://my.pitchbook.com?c=51604-30", "View company online")</f>
        <v>View company online</v>
      </c>
    </row>
    <row r="495" spans="1:135">
      <c r="A495" s="28" t="s">
        <v>10154</v>
      </c>
      <c r="B495" s="28" t="s">
        <v>10155</v>
      </c>
      <c r="C495" s="28" t="s">
        <v>10156</v>
      </c>
      <c r="D495" s="28" t="s">
        <v>138</v>
      </c>
      <c r="E495" s="28" t="s">
        <v>10157</v>
      </c>
      <c r="F495" s="28" t="s">
        <v>10154</v>
      </c>
      <c r="G495" s="28" t="s">
        <v>10158</v>
      </c>
      <c r="H495" s="28" t="s">
        <v>322</v>
      </c>
      <c r="I495" s="28" t="s">
        <v>323</v>
      </c>
      <c r="J495" s="28" t="s">
        <v>324</v>
      </c>
      <c r="K495" s="28" t="s">
        <v>3192</v>
      </c>
      <c r="L495" s="28" t="s">
        <v>10159</v>
      </c>
      <c r="M495" s="28" t="s">
        <v>10160</v>
      </c>
      <c r="N495" s="28" t="s">
        <v>147</v>
      </c>
      <c r="O495" s="29">
        <v>24.4</v>
      </c>
      <c r="P495" s="28" t="s">
        <v>148</v>
      </c>
      <c r="Q495" s="28" t="s">
        <v>149</v>
      </c>
      <c r="R495" s="28" t="s">
        <v>174</v>
      </c>
      <c r="S495" s="28" t="s">
        <v>10161</v>
      </c>
      <c r="T495" s="30" t="s">
        <v>138</v>
      </c>
      <c r="U495" s="28" t="s">
        <v>138</v>
      </c>
      <c r="V495" s="28" t="s">
        <v>138</v>
      </c>
      <c r="W495" s="28" t="s">
        <v>138</v>
      </c>
      <c r="X495" s="31">
        <v>2011</v>
      </c>
      <c r="Y495" s="28" t="s">
        <v>138</v>
      </c>
      <c r="Z495" s="28" t="s">
        <v>138</v>
      </c>
      <c r="AA495" s="28" t="s">
        <v>7276</v>
      </c>
      <c r="AB495" s="32" t="s">
        <v>138</v>
      </c>
      <c r="AC495" s="32" t="s">
        <v>138</v>
      </c>
      <c r="AD495" s="32" t="s">
        <v>138</v>
      </c>
      <c r="AE495" s="32" t="s">
        <v>138</v>
      </c>
      <c r="AF495" s="32" t="s">
        <v>138</v>
      </c>
      <c r="AG495" s="28" t="s">
        <v>138</v>
      </c>
      <c r="AH495" s="32" t="s">
        <v>138</v>
      </c>
      <c r="AI495" s="32" t="s">
        <v>138</v>
      </c>
      <c r="AJ495" s="32" t="s">
        <v>138</v>
      </c>
      <c r="AK495" s="28" t="s">
        <v>10162</v>
      </c>
      <c r="AL495" s="28" t="s">
        <v>10163</v>
      </c>
      <c r="AM495" s="28" t="s">
        <v>8243</v>
      </c>
      <c r="AN495" s="28" t="s">
        <v>10164</v>
      </c>
      <c r="AO495" s="28" t="s">
        <v>10165</v>
      </c>
      <c r="AP495" s="28" t="s">
        <v>423</v>
      </c>
      <c r="AQ495" s="28" t="s">
        <v>10166</v>
      </c>
      <c r="AR495" s="28" t="s">
        <v>618</v>
      </c>
      <c r="AS495" s="28" t="s">
        <v>426</v>
      </c>
      <c r="AT495" s="28" t="s">
        <v>426</v>
      </c>
      <c r="AU495" s="28" t="s">
        <v>549</v>
      </c>
      <c r="AV495" s="28" t="s">
        <v>162</v>
      </c>
      <c r="AW495" s="28" t="s">
        <v>10165</v>
      </c>
      <c r="AX495" s="28" t="s">
        <v>138</v>
      </c>
      <c r="AY495" s="28" t="s">
        <v>10167</v>
      </c>
      <c r="AZ495" s="28" t="s">
        <v>164</v>
      </c>
      <c r="BA495" s="28" t="s">
        <v>165</v>
      </c>
      <c r="BB495" s="28" t="s">
        <v>10168</v>
      </c>
      <c r="BC495" s="28" t="s">
        <v>10169</v>
      </c>
      <c r="BD495" s="33">
        <v>9</v>
      </c>
      <c r="BE495" s="28" t="s">
        <v>138</v>
      </c>
      <c r="BF495" s="28" t="s">
        <v>138</v>
      </c>
      <c r="BG495" s="28" t="s">
        <v>138</v>
      </c>
      <c r="BH495" s="28" t="s">
        <v>10170</v>
      </c>
      <c r="BI495" s="28" t="s">
        <v>138</v>
      </c>
      <c r="BJ495" s="28" t="s">
        <v>138</v>
      </c>
      <c r="BK495" s="28" t="s">
        <v>1275</v>
      </c>
      <c r="BL495" s="28" t="s">
        <v>1275</v>
      </c>
      <c r="BM495" s="34">
        <v>41865</v>
      </c>
      <c r="BN495" s="29">
        <v>0.8</v>
      </c>
      <c r="BO495" s="28" t="s">
        <v>172</v>
      </c>
      <c r="BP495" s="29">
        <v>10.8</v>
      </c>
      <c r="BQ495" s="28" t="s">
        <v>172</v>
      </c>
      <c r="BR495" s="28" t="s">
        <v>262</v>
      </c>
      <c r="BS495" s="28" t="s">
        <v>623</v>
      </c>
      <c r="BT495" s="28" t="s">
        <v>138</v>
      </c>
      <c r="BU495" s="28" t="s">
        <v>263</v>
      </c>
      <c r="BV495" s="28" t="s">
        <v>138</v>
      </c>
      <c r="BW495" s="28" t="s">
        <v>138</v>
      </c>
      <c r="BX495" s="28" t="s">
        <v>138</v>
      </c>
      <c r="BY495" s="28" t="s">
        <v>175</v>
      </c>
      <c r="BZ495" s="34">
        <v>43467</v>
      </c>
      <c r="CA495" s="29">
        <v>9.69</v>
      </c>
      <c r="CB495" s="28" t="s">
        <v>172</v>
      </c>
      <c r="CC495" s="29" t="s">
        <v>138</v>
      </c>
      <c r="CD495" s="28" t="s">
        <v>138</v>
      </c>
      <c r="CE495" s="28" t="s">
        <v>173</v>
      </c>
      <c r="CF495" s="28" t="s">
        <v>138</v>
      </c>
      <c r="CG495" s="28" t="s">
        <v>138</v>
      </c>
      <c r="CH495" s="28" t="s">
        <v>174</v>
      </c>
      <c r="CI495" s="28" t="s">
        <v>138</v>
      </c>
      <c r="CJ495" s="28" t="s">
        <v>138</v>
      </c>
      <c r="CK495" s="28" t="s">
        <v>138</v>
      </c>
      <c r="CL495" s="28" t="s">
        <v>175</v>
      </c>
      <c r="CM495" s="34" t="s">
        <v>138</v>
      </c>
      <c r="CN495" s="29" t="s">
        <v>138</v>
      </c>
      <c r="CO495" s="35">
        <v>0.54</v>
      </c>
      <c r="CP495" s="36">
        <v>95</v>
      </c>
      <c r="CQ495" s="35">
        <v>-0.14000000000000001</v>
      </c>
      <c r="CR495" s="35">
        <v>-20.25</v>
      </c>
      <c r="CS495" s="35">
        <v>0.43</v>
      </c>
      <c r="CT495" s="36">
        <v>95</v>
      </c>
      <c r="CU495" s="35">
        <v>0.49</v>
      </c>
      <c r="CV495" s="36">
        <v>93</v>
      </c>
      <c r="CW495" s="35">
        <v>-7.0000000000000007E-2</v>
      </c>
      <c r="CX495" s="36">
        <v>13</v>
      </c>
      <c r="CY495" s="35">
        <v>0.94</v>
      </c>
      <c r="CZ495" s="36">
        <v>99</v>
      </c>
      <c r="DA495" s="35">
        <v>0</v>
      </c>
      <c r="DB495" s="36">
        <v>22</v>
      </c>
      <c r="DC495" s="37">
        <v>42.21</v>
      </c>
      <c r="DD495" s="36">
        <v>97</v>
      </c>
      <c r="DE495" s="37">
        <v>-4.53</v>
      </c>
      <c r="DF495" s="35">
        <v>-9.69</v>
      </c>
      <c r="DG495" s="37">
        <v>125.42</v>
      </c>
      <c r="DH495" s="36">
        <v>100</v>
      </c>
      <c r="DI495" s="37">
        <v>0.61</v>
      </c>
      <c r="DJ495" s="36">
        <v>40</v>
      </c>
      <c r="DK495" s="37">
        <v>216.8</v>
      </c>
      <c r="DL495" s="36">
        <v>99</v>
      </c>
      <c r="DM495" s="37">
        <v>34.03</v>
      </c>
      <c r="DN495" s="36">
        <v>97</v>
      </c>
      <c r="DO495" s="37">
        <v>0.21</v>
      </c>
      <c r="DP495" s="36">
        <v>25</v>
      </c>
      <c r="DQ495" s="36">
        <v>75814</v>
      </c>
      <c r="DR495" s="38">
        <v>-4349</v>
      </c>
      <c r="DS495" s="35">
        <v>-5.43</v>
      </c>
      <c r="DT495" s="36">
        <v>979</v>
      </c>
      <c r="DU495" s="38">
        <v>18</v>
      </c>
      <c r="DV495" s="35">
        <v>1.87</v>
      </c>
      <c r="DW495" s="36">
        <v>76</v>
      </c>
      <c r="DX495" s="39">
        <v>2</v>
      </c>
      <c r="DY495" s="35">
        <v>2.7</v>
      </c>
      <c r="DZ495" s="28" t="s">
        <v>178</v>
      </c>
      <c r="EA495" s="34">
        <v>43622</v>
      </c>
      <c r="EB495" s="29">
        <v>28.45</v>
      </c>
      <c r="EC495" s="34">
        <v>43081</v>
      </c>
      <c r="ED495" s="28" t="s">
        <v>205</v>
      </c>
      <c r="EE495" s="40" t="str">
        <f>HYPERLINK("https://my.pitchbook.com?c=66031-12", "View company online")</f>
        <v>View company online</v>
      </c>
    </row>
    <row r="496" spans="1:135">
      <c r="A496" s="15" t="s">
        <v>10171</v>
      </c>
      <c r="B496" s="15" t="s">
        <v>10172</v>
      </c>
      <c r="C496" s="15" t="s">
        <v>10173</v>
      </c>
      <c r="D496" s="15" t="s">
        <v>138</v>
      </c>
      <c r="E496" s="15" t="s">
        <v>10174</v>
      </c>
      <c r="F496" s="15" t="s">
        <v>10171</v>
      </c>
      <c r="G496" s="15" t="s">
        <v>10175</v>
      </c>
      <c r="H496" s="15" t="s">
        <v>322</v>
      </c>
      <c r="I496" s="15" t="s">
        <v>323</v>
      </c>
      <c r="J496" s="15" t="s">
        <v>2084</v>
      </c>
      <c r="K496" s="15" t="s">
        <v>10176</v>
      </c>
      <c r="L496" s="15" t="s">
        <v>242</v>
      </c>
      <c r="M496" s="15" t="s">
        <v>10177</v>
      </c>
      <c r="N496" s="15" t="s">
        <v>147</v>
      </c>
      <c r="O496" s="17">
        <v>185.03</v>
      </c>
      <c r="P496" s="15" t="s">
        <v>148</v>
      </c>
      <c r="Q496" s="15" t="s">
        <v>149</v>
      </c>
      <c r="R496" s="15" t="s">
        <v>1652</v>
      </c>
      <c r="S496" s="15" t="s">
        <v>10178</v>
      </c>
      <c r="T496" s="18">
        <v>203</v>
      </c>
      <c r="U496" s="15" t="s">
        <v>10179</v>
      </c>
      <c r="V496" s="15" t="s">
        <v>138</v>
      </c>
      <c r="W496" s="15" t="s">
        <v>138</v>
      </c>
      <c r="X496" s="19">
        <v>2000</v>
      </c>
      <c r="Y496" s="15" t="s">
        <v>138</v>
      </c>
      <c r="Z496" s="15" t="s">
        <v>138</v>
      </c>
      <c r="AA496" s="15" t="s">
        <v>138</v>
      </c>
      <c r="AB496" s="20" t="s">
        <v>138</v>
      </c>
      <c r="AC496" s="20" t="s">
        <v>138</v>
      </c>
      <c r="AD496" s="20" t="s">
        <v>138</v>
      </c>
      <c r="AE496" s="20" t="s">
        <v>138</v>
      </c>
      <c r="AF496" s="20" t="s">
        <v>138</v>
      </c>
      <c r="AG496" s="15" t="s">
        <v>138</v>
      </c>
      <c r="AH496" s="20" t="s">
        <v>138</v>
      </c>
      <c r="AI496" s="20" t="s">
        <v>138</v>
      </c>
      <c r="AJ496" s="20" t="s">
        <v>138</v>
      </c>
      <c r="AK496" s="15" t="s">
        <v>10180</v>
      </c>
      <c r="AL496" s="15" t="s">
        <v>10181</v>
      </c>
      <c r="AM496" s="15" t="s">
        <v>4689</v>
      </c>
      <c r="AN496" s="15" t="s">
        <v>10182</v>
      </c>
      <c r="AO496" s="15" t="s">
        <v>10183</v>
      </c>
      <c r="AP496" s="15" t="s">
        <v>10184</v>
      </c>
      <c r="AQ496" s="15" t="s">
        <v>10185</v>
      </c>
      <c r="AR496" s="15" t="s">
        <v>138</v>
      </c>
      <c r="AS496" s="15" t="s">
        <v>10186</v>
      </c>
      <c r="AT496" s="15" t="s">
        <v>474</v>
      </c>
      <c r="AU496" s="15" t="s">
        <v>10187</v>
      </c>
      <c r="AV496" s="15" t="s">
        <v>162</v>
      </c>
      <c r="AW496" s="15" t="s">
        <v>138</v>
      </c>
      <c r="AX496" s="15" t="s">
        <v>138</v>
      </c>
      <c r="AY496" s="15" t="s">
        <v>10188</v>
      </c>
      <c r="AZ496" s="15" t="s">
        <v>164</v>
      </c>
      <c r="BA496" s="15" t="s">
        <v>165</v>
      </c>
      <c r="BB496" s="15" t="s">
        <v>10189</v>
      </c>
      <c r="BC496" s="15" t="s">
        <v>10190</v>
      </c>
      <c r="BD496" s="21">
        <v>9</v>
      </c>
      <c r="BE496" s="15" t="s">
        <v>138</v>
      </c>
      <c r="BF496" s="15" t="s">
        <v>10191</v>
      </c>
      <c r="BG496" s="15" t="s">
        <v>138</v>
      </c>
      <c r="BH496" s="15" t="s">
        <v>10192</v>
      </c>
      <c r="BI496" s="15" t="s">
        <v>10193</v>
      </c>
      <c r="BJ496" s="15" t="s">
        <v>138</v>
      </c>
      <c r="BK496" s="15" t="s">
        <v>1251</v>
      </c>
      <c r="BL496" s="15" t="s">
        <v>10194</v>
      </c>
      <c r="BM496" s="22">
        <v>36739</v>
      </c>
      <c r="BN496" s="17">
        <v>2</v>
      </c>
      <c r="BO496" s="15" t="s">
        <v>172</v>
      </c>
      <c r="BP496" s="17">
        <v>4.2699999999999996</v>
      </c>
      <c r="BQ496" s="15" t="s">
        <v>172</v>
      </c>
      <c r="BR496" s="15" t="s">
        <v>205</v>
      </c>
      <c r="BS496" s="15" t="s">
        <v>4410</v>
      </c>
      <c r="BT496" s="15" t="s">
        <v>138</v>
      </c>
      <c r="BU496" s="15" t="s">
        <v>174</v>
      </c>
      <c r="BV496" s="15" t="s">
        <v>138</v>
      </c>
      <c r="BW496" s="15" t="s">
        <v>138</v>
      </c>
      <c r="BX496" s="15" t="s">
        <v>138</v>
      </c>
      <c r="BY496" s="15" t="s">
        <v>175</v>
      </c>
      <c r="BZ496" s="22">
        <v>42200</v>
      </c>
      <c r="CA496" s="17" t="s">
        <v>138</v>
      </c>
      <c r="CB496" s="15" t="s">
        <v>138</v>
      </c>
      <c r="CC496" s="17" t="s">
        <v>138</v>
      </c>
      <c r="CD496" s="15" t="s">
        <v>138</v>
      </c>
      <c r="CE496" s="15" t="s">
        <v>379</v>
      </c>
      <c r="CF496" s="15" t="s">
        <v>138</v>
      </c>
      <c r="CG496" s="15" t="s">
        <v>138</v>
      </c>
      <c r="CH496" s="15" t="s">
        <v>351</v>
      </c>
      <c r="CI496" s="15" t="s">
        <v>138</v>
      </c>
      <c r="CJ496" s="15" t="s">
        <v>138</v>
      </c>
      <c r="CK496" s="15" t="s">
        <v>138</v>
      </c>
      <c r="CL496" s="15" t="s">
        <v>175</v>
      </c>
      <c r="CM496" s="22">
        <v>39263</v>
      </c>
      <c r="CN496" s="17">
        <v>10</v>
      </c>
      <c r="CO496" s="23">
        <v>0.36</v>
      </c>
      <c r="CP496" s="24">
        <v>94</v>
      </c>
      <c r="CQ496" s="23">
        <v>0.01</v>
      </c>
      <c r="CR496" s="23">
        <v>2.5499999999999998</v>
      </c>
      <c r="CS496" s="23">
        <v>0.62</v>
      </c>
      <c r="CT496" s="24">
        <v>96</v>
      </c>
      <c r="CU496" s="23">
        <v>0.09</v>
      </c>
      <c r="CV496" s="24">
        <v>66</v>
      </c>
      <c r="CW496" s="23">
        <v>5.63</v>
      </c>
      <c r="CX496" s="24">
        <v>96</v>
      </c>
      <c r="CY496" s="23">
        <v>-4.3899999999999997</v>
      </c>
      <c r="CZ496" s="24">
        <v>4</v>
      </c>
      <c r="DA496" s="23">
        <v>0.15</v>
      </c>
      <c r="DB496" s="24">
        <v>78</v>
      </c>
      <c r="DC496" s="25">
        <v>10.17</v>
      </c>
      <c r="DD496" s="24">
        <v>90</v>
      </c>
      <c r="DE496" s="25">
        <v>-0.24</v>
      </c>
      <c r="DF496" s="23">
        <v>-2.2999999999999998</v>
      </c>
      <c r="DG496" s="25">
        <v>19.170000000000002</v>
      </c>
      <c r="DH496" s="24">
        <v>94</v>
      </c>
      <c r="DI496" s="25">
        <v>1.1599999999999999</v>
      </c>
      <c r="DJ496" s="24">
        <v>52</v>
      </c>
      <c r="DK496" s="25">
        <v>8.35</v>
      </c>
      <c r="DL496" s="24">
        <v>85</v>
      </c>
      <c r="DM496" s="25">
        <v>30</v>
      </c>
      <c r="DN496" s="24">
        <v>96</v>
      </c>
      <c r="DO496" s="25">
        <v>1.68</v>
      </c>
      <c r="DP496" s="24">
        <v>60</v>
      </c>
      <c r="DQ496" s="24">
        <v>2869</v>
      </c>
      <c r="DR496" s="26">
        <v>-16</v>
      </c>
      <c r="DS496" s="23">
        <v>-0.55000000000000004</v>
      </c>
      <c r="DT496" s="24">
        <v>869</v>
      </c>
      <c r="DU496" s="26">
        <v>6</v>
      </c>
      <c r="DV496" s="23">
        <v>0.7</v>
      </c>
      <c r="DW496" s="24">
        <v>603</v>
      </c>
      <c r="DX496" s="27">
        <v>1</v>
      </c>
      <c r="DY496" s="23">
        <v>0.17</v>
      </c>
      <c r="DZ496" s="15" t="s">
        <v>178</v>
      </c>
      <c r="EA496" s="22">
        <v>43425</v>
      </c>
      <c r="EB496" s="17">
        <v>71.180000000000007</v>
      </c>
      <c r="EC496" s="22">
        <v>40112</v>
      </c>
      <c r="ED496" s="15" t="s">
        <v>173</v>
      </c>
      <c r="EE496" s="14" t="str">
        <f>HYPERLINK("https://my.pitchbook.com?c=10514-44", "View company online")</f>
        <v>View company online</v>
      </c>
    </row>
    <row r="497" spans="1:135">
      <c r="A497" s="28" t="s">
        <v>10195</v>
      </c>
      <c r="B497" s="28" t="s">
        <v>10196</v>
      </c>
      <c r="C497" s="28" t="s">
        <v>138</v>
      </c>
      <c r="D497" s="28" t="s">
        <v>138</v>
      </c>
      <c r="E497" s="28" t="s">
        <v>10197</v>
      </c>
      <c r="F497" s="28" t="s">
        <v>10195</v>
      </c>
      <c r="G497" s="28" t="s">
        <v>10198</v>
      </c>
      <c r="H497" s="28" t="s">
        <v>141</v>
      </c>
      <c r="I497" s="28" t="s">
        <v>212</v>
      </c>
      <c r="J497" s="28" t="s">
        <v>10046</v>
      </c>
      <c r="K497" s="28" t="s">
        <v>10199</v>
      </c>
      <c r="L497" s="28" t="s">
        <v>10048</v>
      </c>
      <c r="M497" s="28" t="s">
        <v>10200</v>
      </c>
      <c r="N497" s="28" t="s">
        <v>147</v>
      </c>
      <c r="O497" s="29">
        <v>16.91</v>
      </c>
      <c r="P497" s="28" t="s">
        <v>148</v>
      </c>
      <c r="Q497" s="28" t="s">
        <v>149</v>
      </c>
      <c r="R497" s="28" t="s">
        <v>174</v>
      </c>
      <c r="S497" s="28" t="s">
        <v>10201</v>
      </c>
      <c r="T497" s="30" t="s">
        <v>138</v>
      </c>
      <c r="U497" s="28" t="s">
        <v>138</v>
      </c>
      <c r="V497" s="28" t="s">
        <v>138</v>
      </c>
      <c r="W497" s="28" t="s">
        <v>138</v>
      </c>
      <c r="X497" s="31">
        <v>2015</v>
      </c>
      <c r="Y497" s="28" t="s">
        <v>138</v>
      </c>
      <c r="Z497" s="28" t="s">
        <v>138</v>
      </c>
      <c r="AA497" s="28" t="s">
        <v>138</v>
      </c>
      <c r="AB497" s="32" t="s">
        <v>138</v>
      </c>
      <c r="AC497" s="32" t="s">
        <v>138</v>
      </c>
      <c r="AD497" s="32" t="s">
        <v>138</v>
      </c>
      <c r="AE497" s="32" t="s">
        <v>138</v>
      </c>
      <c r="AF497" s="32" t="s">
        <v>138</v>
      </c>
      <c r="AG497" s="28" t="s">
        <v>138</v>
      </c>
      <c r="AH497" s="32" t="s">
        <v>138</v>
      </c>
      <c r="AI497" s="32" t="s">
        <v>138</v>
      </c>
      <c r="AJ497" s="32" t="s">
        <v>138</v>
      </c>
      <c r="AK497" s="28" t="s">
        <v>10202</v>
      </c>
      <c r="AL497" s="28" t="s">
        <v>10203</v>
      </c>
      <c r="AM497" s="28" t="s">
        <v>839</v>
      </c>
      <c r="AN497" s="28" t="s">
        <v>10204</v>
      </c>
      <c r="AO497" s="28" t="s">
        <v>10205</v>
      </c>
      <c r="AP497" s="28" t="s">
        <v>964</v>
      </c>
      <c r="AQ497" s="28" t="s">
        <v>10206</v>
      </c>
      <c r="AR497" s="28" t="s">
        <v>138</v>
      </c>
      <c r="AS497" s="28" t="s">
        <v>966</v>
      </c>
      <c r="AT497" s="28" t="s">
        <v>200</v>
      </c>
      <c r="AU497" s="28" t="s">
        <v>967</v>
      </c>
      <c r="AV497" s="28" t="s">
        <v>162</v>
      </c>
      <c r="AW497" s="28" t="s">
        <v>10205</v>
      </c>
      <c r="AX497" s="28" t="s">
        <v>138</v>
      </c>
      <c r="AY497" s="28" t="s">
        <v>10207</v>
      </c>
      <c r="AZ497" s="28" t="s">
        <v>164</v>
      </c>
      <c r="BA497" s="28" t="s">
        <v>165</v>
      </c>
      <c r="BB497" s="28" t="s">
        <v>10208</v>
      </c>
      <c r="BC497" s="28" t="s">
        <v>10209</v>
      </c>
      <c r="BD497" s="33">
        <v>5</v>
      </c>
      <c r="BE497" s="28" t="s">
        <v>138</v>
      </c>
      <c r="BF497" s="28" t="s">
        <v>138</v>
      </c>
      <c r="BG497" s="28" t="s">
        <v>138</v>
      </c>
      <c r="BH497" s="28" t="s">
        <v>10210</v>
      </c>
      <c r="BI497" s="28" t="s">
        <v>138</v>
      </c>
      <c r="BJ497" s="28" t="s">
        <v>138</v>
      </c>
      <c r="BK497" s="28" t="s">
        <v>6434</v>
      </c>
      <c r="BL497" s="28" t="s">
        <v>6434</v>
      </c>
      <c r="BM497" s="34">
        <v>42696</v>
      </c>
      <c r="BN497" s="29">
        <v>3.41</v>
      </c>
      <c r="BO497" s="28" t="s">
        <v>172</v>
      </c>
      <c r="BP497" s="29">
        <v>12.61</v>
      </c>
      <c r="BQ497" s="28" t="s">
        <v>172</v>
      </c>
      <c r="BR497" s="28" t="s">
        <v>234</v>
      </c>
      <c r="BS497" s="28" t="s">
        <v>234</v>
      </c>
      <c r="BT497" s="28" t="s">
        <v>138</v>
      </c>
      <c r="BU497" s="28" t="s">
        <v>174</v>
      </c>
      <c r="BV497" s="28" t="s">
        <v>138</v>
      </c>
      <c r="BW497" s="28" t="s">
        <v>138</v>
      </c>
      <c r="BX497" s="28" t="s">
        <v>138</v>
      </c>
      <c r="BY497" s="28" t="s">
        <v>175</v>
      </c>
      <c r="BZ497" s="34">
        <v>43117</v>
      </c>
      <c r="CA497" s="29">
        <v>13.5</v>
      </c>
      <c r="CB497" s="28" t="s">
        <v>172</v>
      </c>
      <c r="CC497" s="29" t="s">
        <v>138</v>
      </c>
      <c r="CD497" s="28" t="s">
        <v>138</v>
      </c>
      <c r="CE497" s="28" t="s">
        <v>205</v>
      </c>
      <c r="CF497" s="28" t="s">
        <v>206</v>
      </c>
      <c r="CG497" s="28" t="s">
        <v>138</v>
      </c>
      <c r="CH497" s="28" t="s">
        <v>174</v>
      </c>
      <c r="CI497" s="28" t="s">
        <v>138</v>
      </c>
      <c r="CJ497" s="28" t="s">
        <v>138</v>
      </c>
      <c r="CK497" s="28" t="s">
        <v>138</v>
      </c>
      <c r="CL497" s="28" t="s">
        <v>175</v>
      </c>
      <c r="CM497" s="34" t="s">
        <v>138</v>
      </c>
      <c r="CN497" s="29" t="s">
        <v>138</v>
      </c>
      <c r="CO497" s="35">
        <v>0</v>
      </c>
      <c r="CP497" s="36">
        <v>26</v>
      </c>
      <c r="CQ497" s="35">
        <v>0</v>
      </c>
      <c r="CR497" s="35">
        <v>0</v>
      </c>
      <c r="CS497" s="35">
        <v>0</v>
      </c>
      <c r="CT497" s="36">
        <v>23</v>
      </c>
      <c r="CU497" s="35" t="s">
        <v>138</v>
      </c>
      <c r="CV497" s="36" t="s">
        <v>138</v>
      </c>
      <c r="CW497" s="35" t="s">
        <v>138</v>
      </c>
      <c r="CX497" s="36" t="s">
        <v>138</v>
      </c>
      <c r="CY497" s="35">
        <v>0</v>
      </c>
      <c r="CZ497" s="36">
        <v>25</v>
      </c>
      <c r="DA497" s="35" t="s">
        <v>138</v>
      </c>
      <c r="DB497" s="36" t="s">
        <v>138</v>
      </c>
      <c r="DC497" s="37">
        <v>0.69</v>
      </c>
      <c r="DD497" s="36">
        <v>42</v>
      </c>
      <c r="DE497" s="37">
        <v>-0.03</v>
      </c>
      <c r="DF497" s="35">
        <v>-4.76</v>
      </c>
      <c r="DG497" s="37">
        <v>0.69</v>
      </c>
      <c r="DH497" s="36">
        <v>42</v>
      </c>
      <c r="DI497" s="37" t="s">
        <v>138</v>
      </c>
      <c r="DJ497" s="36" t="s">
        <v>138</v>
      </c>
      <c r="DK497" s="37" t="s">
        <v>138</v>
      </c>
      <c r="DL497" s="36" t="s">
        <v>138</v>
      </c>
      <c r="DM497" s="37">
        <v>0.69</v>
      </c>
      <c r="DN497" s="36">
        <v>41</v>
      </c>
      <c r="DO497" s="37" t="s">
        <v>138</v>
      </c>
      <c r="DP497" s="36" t="s">
        <v>138</v>
      </c>
      <c r="DQ497" s="36" t="s">
        <v>138</v>
      </c>
      <c r="DR497" s="38" t="s">
        <v>138</v>
      </c>
      <c r="DS497" s="35" t="s">
        <v>138</v>
      </c>
      <c r="DT497" s="36">
        <v>20</v>
      </c>
      <c r="DU497" s="38">
        <v>-1</v>
      </c>
      <c r="DV497" s="35">
        <v>-4.76</v>
      </c>
      <c r="DW497" s="36" t="s">
        <v>138</v>
      </c>
      <c r="DX497" s="39" t="s">
        <v>138</v>
      </c>
      <c r="DY497" s="35" t="s">
        <v>138</v>
      </c>
      <c r="DZ497" s="28" t="s">
        <v>178</v>
      </c>
      <c r="EA497" s="34">
        <v>43574</v>
      </c>
      <c r="EB497" s="29">
        <v>12.61</v>
      </c>
      <c r="EC497" s="34">
        <v>42696</v>
      </c>
      <c r="ED497" s="28" t="s">
        <v>234</v>
      </c>
      <c r="EE497" s="40" t="str">
        <f>HYPERLINK("https://my.pitchbook.com?c=154284-94", "View company online")</f>
        <v>View company online</v>
      </c>
    </row>
    <row r="498" spans="1:135">
      <c r="A498" s="15" t="s">
        <v>10211</v>
      </c>
      <c r="B498" s="15" t="s">
        <v>10212</v>
      </c>
      <c r="C498" s="15" t="s">
        <v>138</v>
      </c>
      <c r="D498" s="15" t="s">
        <v>138</v>
      </c>
      <c r="E498" s="15" t="s">
        <v>138</v>
      </c>
      <c r="F498" s="15" t="s">
        <v>10211</v>
      </c>
      <c r="G498" s="15" t="s">
        <v>10213</v>
      </c>
      <c r="H498" s="15" t="s">
        <v>322</v>
      </c>
      <c r="I498" s="15" t="s">
        <v>356</v>
      </c>
      <c r="J498" s="15" t="s">
        <v>3852</v>
      </c>
      <c r="K498" s="15" t="s">
        <v>5258</v>
      </c>
      <c r="L498" s="15" t="s">
        <v>415</v>
      </c>
      <c r="M498" s="15" t="s">
        <v>10214</v>
      </c>
      <c r="N498" s="15" t="s">
        <v>1212</v>
      </c>
      <c r="O498" s="17" t="s">
        <v>138</v>
      </c>
      <c r="P498" s="15" t="s">
        <v>610</v>
      </c>
      <c r="Q498" s="15" t="s">
        <v>149</v>
      </c>
      <c r="R498" s="15" t="s">
        <v>328</v>
      </c>
      <c r="S498" s="15" t="s">
        <v>10215</v>
      </c>
      <c r="T498" s="18" t="s">
        <v>138</v>
      </c>
      <c r="U498" s="15" t="s">
        <v>138</v>
      </c>
      <c r="V498" s="15" t="s">
        <v>138</v>
      </c>
      <c r="W498" s="15" t="s">
        <v>138</v>
      </c>
      <c r="X498" s="19">
        <v>1999</v>
      </c>
      <c r="Y498" s="15" t="s">
        <v>138</v>
      </c>
      <c r="Z498" s="15" t="s">
        <v>138</v>
      </c>
      <c r="AA498" s="15" t="s">
        <v>138</v>
      </c>
      <c r="AB498" s="20" t="s">
        <v>138</v>
      </c>
      <c r="AC498" s="20" t="s">
        <v>138</v>
      </c>
      <c r="AD498" s="20" t="s">
        <v>138</v>
      </c>
      <c r="AE498" s="20" t="s">
        <v>138</v>
      </c>
      <c r="AF498" s="20" t="s">
        <v>138</v>
      </c>
      <c r="AG498" s="15" t="s">
        <v>138</v>
      </c>
      <c r="AH498" s="20" t="s">
        <v>138</v>
      </c>
      <c r="AI498" s="20" t="s">
        <v>138</v>
      </c>
      <c r="AJ498" s="20" t="s">
        <v>138</v>
      </c>
      <c r="AK498" s="15" t="s">
        <v>10216</v>
      </c>
      <c r="AL498" s="15" t="s">
        <v>10217</v>
      </c>
      <c r="AM498" s="15" t="s">
        <v>10218</v>
      </c>
      <c r="AN498" s="15" t="s">
        <v>10219</v>
      </c>
      <c r="AO498" s="15" t="s">
        <v>10220</v>
      </c>
      <c r="AP498" s="15" t="s">
        <v>5718</v>
      </c>
      <c r="AQ498" s="15" t="s">
        <v>10221</v>
      </c>
      <c r="AR498" s="15" t="s">
        <v>138</v>
      </c>
      <c r="AS498" s="15" t="s">
        <v>5720</v>
      </c>
      <c r="AT498" s="15" t="s">
        <v>138</v>
      </c>
      <c r="AU498" s="15" t="s">
        <v>10222</v>
      </c>
      <c r="AV498" s="15" t="s">
        <v>946</v>
      </c>
      <c r="AW498" s="15" t="s">
        <v>10220</v>
      </c>
      <c r="AX498" s="15" t="s">
        <v>10223</v>
      </c>
      <c r="AY498" s="15" t="s">
        <v>10224</v>
      </c>
      <c r="AZ498" s="15" t="s">
        <v>530</v>
      </c>
      <c r="BA498" s="15" t="s">
        <v>531</v>
      </c>
      <c r="BB498" s="15" t="s">
        <v>10225</v>
      </c>
      <c r="BC498" s="15" t="s">
        <v>138</v>
      </c>
      <c r="BD498" s="21" t="s">
        <v>138</v>
      </c>
      <c r="BE498" s="15" t="s">
        <v>138</v>
      </c>
      <c r="BF498" s="15" t="s">
        <v>3047</v>
      </c>
      <c r="BG498" s="15" t="s">
        <v>138</v>
      </c>
      <c r="BH498" s="15" t="s">
        <v>138</v>
      </c>
      <c r="BI498" s="15" t="s">
        <v>3049</v>
      </c>
      <c r="BJ498" s="15" t="s">
        <v>138</v>
      </c>
      <c r="BK498" s="15" t="s">
        <v>138</v>
      </c>
      <c r="BL498" s="15" t="s">
        <v>138</v>
      </c>
      <c r="BM498" s="22">
        <v>36161</v>
      </c>
      <c r="BN498" s="17" t="s">
        <v>138</v>
      </c>
      <c r="BO498" s="15" t="s">
        <v>138</v>
      </c>
      <c r="BP498" s="17" t="s">
        <v>138</v>
      </c>
      <c r="BQ498" s="15" t="s">
        <v>138</v>
      </c>
      <c r="BR498" s="15" t="s">
        <v>205</v>
      </c>
      <c r="BS498" s="15" t="s">
        <v>138</v>
      </c>
      <c r="BT498" s="15" t="s">
        <v>138</v>
      </c>
      <c r="BU498" s="15" t="s">
        <v>174</v>
      </c>
      <c r="BV498" s="15" t="s">
        <v>138</v>
      </c>
      <c r="BW498" s="15" t="s">
        <v>138</v>
      </c>
      <c r="BX498" s="15" t="s">
        <v>138</v>
      </c>
      <c r="BY498" s="15" t="s">
        <v>175</v>
      </c>
      <c r="BZ498" s="22" t="s">
        <v>138</v>
      </c>
      <c r="CA498" s="17" t="s">
        <v>138</v>
      </c>
      <c r="CB498" s="15" t="s">
        <v>138</v>
      </c>
      <c r="CC498" s="17" t="s">
        <v>138</v>
      </c>
      <c r="CD498" s="15" t="s">
        <v>138</v>
      </c>
      <c r="CE498" s="15" t="s">
        <v>379</v>
      </c>
      <c r="CF498" s="15" t="s">
        <v>138</v>
      </c>
      <c r="CG498" s="15" t="s">
        <v>138</v>
      </c>
      <c r="CH498" s="15" t="s">
        <v>351</v>
      </c>
      <c r="CI498" s="15" t="s">
        <v>138</v>
      </c>
      <c r="CJ498" s="15" t="s">
        <v>138</v>
      </c>
      <c r="CK498" s="15" t="s">
        <v>138</v>
      </c>
      <c r="CL498" s="15" t="s">
        <v>175</v>
      </c>
      <c r="CM498" s="22" t="s">
        <v>138</v>
      </c>
      <c r="CN498" s="17" t="s">
        <v>138</v>
      </c>
      <c r="CO498" s="23" t="s">
        <v>138</v>
      </c>
      <c r="CP498" s="24" t="s">
        <v>138</v>
      </c>
      <c r="CQ498" s="23" t="s">
        <v>138</v>
      </c>
      <c r="CR498" s="23" t="s">
        <v>138</v>
      </c>
      <c r="CS498" s="23" t="s">
        <v>138</v>
      </c>
      <c r="CT498" s="24" t="s">
        <v>138</v>
      </c>
      <c r="CU498" s="23" t="s">
        <v>138</v>
      </c>
      <c r="CV498" s="24" t="s">
        <v>138</v>
      </c>
      <c r="CW498" s="23" t="s">
        <v>138</v>
      </c>
      <c r="CX498" s="24" t="s">
        <v>138</v>
      </c>
      <c r="CY498" s="23" t="s">
        <v>138</v>
      </c>
      <c r="CZ498" s="24" t="s">
        <v>138</v>
      </c>
      <c r="DA498" s="23" t="s">
        <v>138</v>
      </c>
      <c r="DB498" s="24" t="s">
        <v>138</v>
      </c>
      <c r="DC498" s="25" t="s">
        <v>138</v>
      </c>
      <c r="DD498" s="24" t="s">
        <v>138</v>
      </c>
      <c r="DE498" s="25" t="s">
        <v>138</v>
      </c>
      <c r="DF498" s="23" t="s">
        <v>138</v>
      </c>
      <c r="DG498" s="25" t="s">
        <v>138</v>
      </c>
      <c r="DH498" s="24" t="s">
        <v>138</v>
      </c>
      <c r="DI498" s="25" t="s">
        <v>138</v>
      </c>
      <c r="DJ498" s="24" t="s">
        <v>138</v>
      </c>
      <c r="DK498" s="25" t="s">
        <v>138</v>
      </c>
      <c r="DL498" s="24" t="s">
        <v>138</v>
      </c>
      <c r="DM498" s="25" t="s">
        <v>138</v>
      </c>
      <c r="DN498" s="24" t="s">
        <v>138</v>
      </c>
      <c r="DO498" s="25" t="s">
        <v>138</v>
      </c>
      <c r="DP498" s="24" t="s">
        <v>138</v>
      </c>
      <c r="DQ498" s="24" t="s">
        <v>138</v>
      </c>
      <c r="DR498" s="26" t="s">
        <v>138</v>
      </c>
      <c r="DS498" s="23" t="s">
        <v>138</v>
      </c>
      <c r="DT498" s="24" t="s">
        <v>138</v>
      </c>
      <c r="DU498" s="26" t="s">
        <v>138</v>
      </c>
      <c r="DV498" s="23" t="s">
        <v>138</v>
      </c>
      <c r="DW498" s="24" t="s">
        <v>138</v>
      </c>
      <c r="DX498" s="27" t="s">
        <v>138</v>
      </c>
      <c r="DY498" s="23" t="s">
        <v>138</v>
      </c>
      <c r="DZ498" s="15" t="s">
        <v>178</v>
      </c>
      <c r="EA498" s="22">
        <v>43546</v>
      </c>
      <c r="EB498" s="17" t="s">
        <v>138</v>
      </c>
      <c r="EC498" s="22" t="s">
        <v>138</v>
      </c>
      <c r="ED498" s="15" t="s">
        <v>138</v>
      </c>
      <c r="EE498" s="14" t="str">
        <f>HYPERLINK("https://my.pitchbook.com?c=60966-64", "View company online")</f>
        <v>View company online</v>
      </c>
    </row>
    <row r="499" spans="1:135">
      <c r="A499" s="28" t="s">
        <v>10226</v>
      </c>
      <c r="B499" s="28" t="s">
        <v>10227</v>
      </c>
      <c r="C499" s="28" t="s">
        <v>138</v>
      </c>
      <c r="D499" s="28" t="s">
        <v>138</v>
      </c>
      <c r="E499" s="28" t="s">
        <v>10228</v>
      </c>
      <c r="F499" s="28" t="s">
        <v>10226</v>
      </c>
      <c r="G499" s="28" t="s">
        <v>10229</v>
      </c>
      <c r="H499" s="28" t="s">
        <v>322</v>
      </c>
      <c r="I499" s="28" t="s">
        <v>323</v>
      </c>
      <c r="J499" s="28" t="s">
        <v>1184</v>
      </c>
      <c r="K499" s="28" t="s">
        <v>6678</v>
      </c>
      <c r="L499" s="28" t="s">
        <v>2835</v>
      </c>
      <c r="M499" s="28" t="s">
        <v>10230</v>
      </c>
      <c r="N499" s="28" t="s">
        <v>147</v>
      </c>
      <c r="O499" s="29">
        <v>97.5</v>
      </c>
      <c r="P499" s="28" t="s">
        <v>148</v>
      </c>
      <c r="Q499" s="28" t="s">
        <v>149</v>
      </c>
      <c r="R499" s="28" t="s">
        <v>244</v>
      </c>
      <c r="S499" s="28" t="s">
        <v>10231</v>
      </c>
      <c r="T499" s="30">
        <v>200</v>
      </c>
      <c r="U499" s="28" t="s">
        <v>10232</v>
      </c>
      <c r="V499" s="28" t="s">
        <v>138</v>
      </c>
      <c r="W499" s="28" t="s">
        <v>138</v>
      </c>
      <c r="X499" s="31">
        <v>2010</v>
      </c>
      <c r="Y499" s="28" t="s">
        <v>138</v>
      </c>
      <c r="Z499" s="28" t="s">
        <v>138</v>
      </c>
      <c r="AA499" s="28" t="s">
        <v>138</v>
      </c>
      <c r="AB499" s="32">
        <v>27.5</v>
      </c>
      <c r="AC499" s="32" t="s">
        <v>138</v>
      </c>
      <c r="AD499" s="32" t="s">
        <v>138</v>
      </c>
      <c r="AE499" s="32" t="s">
        <v>138</v>
      </c>
      <c r="AF499" s="32" t="s">
        <v>138</v>
      </c>
      <c r="AG499" s="28" t="s">
        <v>563</v>
      </c>
      <c r="AH499" s="32" t="s">
        <v>138</v>
      </c>
      <c r="AI499" s="32" t="s">
        <v>138</v>
      </c>
      <c r="AJ499" s="32" t="s">
        <v>138</v>
      </c>
      <c r="AK499" s="28" t="s">
        <v>10233</v>
      </c>
      <c r="AL499" s="28" t="s">
        <v>10234</v>
      </c>
      <c r="AM499" s="28" t="s">
        <v>221</v>
      </c>
      <c r="AN499" s="28" t="s">
        <v>10235</v>
      </c>
      <c r="AO499" s="28" t="s">
        <v>10236</v>
      </c>
      <c r="AP499" s="28" t="s">
        <v>1292</v>
      </c>
      <c r="AQ499" s="28" t="s">
        <v>10237</v>
      </c>
      <c r="AR499" s="28" t="s">
        <v>5294</v>
      </c>
      <c r="AS499" s="28" t="s">
        <v>1294</v>
      </c>
      <c r="AT499" s="28" t="s">
        <v>864</v>
      </c>
      <c r="AU499" s="28" t="s">
        <v>8420</v>
      </c>
      <c r="AV499" s="28" t="s">
        <v>162</v>
      </c>
      <c r="AW499" s="28" t="s">
        <v>10236</v>
      </c>
      <c r="AX499" s="28" t="s">
        <v>138</v>
      </c>
      <c r="AY499" s="28" t="s">
        <v>10238</v>
      </c>
      <c r="AZ499" s="28" t="s">
        <v>164</v>
      </c>
      <c r="BA499" s="28" t="s">
        <v>165</v>
      </c>
      <c r="BB499" s="28" t="s">
        <v>10239</v>
      </c>
      <c r="BC499" s="28" t="s">
        <v>10240</v>
      </c>
      <c r="BD499" s="33">
        <v>11</v>
      </c>
      <c r="BE499" s="28" t="s">
        <v>138</v>
      </c>
      <c r="BF499" s="28" t="s">
        <v>138</v>
      </c>
      <c r="BG499" s="28" t="s">
        <v>138</v>
      </c>
      <c r="BH499" s="28" t="s">
        <v>10241</v>
      </c>
      <c r="BI499" s="28" t="s">
        <v>138</v>
      </c>
      <c r="BJ499" s="28" t="s">
        <v>138</v>
      </c>
      <c r="BK499" s="28" t="s">
        <v>10242</v>
      </c>
      <c r="BL499" s="28" t="s">
        <v>10243</v>
      </c>
      <c r="BM499" s="34">
        <v>40682</v>
      </c>
      <c r="BN499" s="29">
        <v>6.61</v>
      </c>
      <c r="BO499" s="28" t="s">
        <v>172</v>
      </c>
      <c r="BP499" s="29">
        <v>15.08</v>
      </c>
      <c r="BQ499" s="28" t="s">
        <v>172</v>
      </c>
      <c r="BR499" s="28" t="s">
        <v>205</v>
      </c>
      <c r="BS499" s="28" t="s">
        <v>206</v>
      </c>
      <c r="BT499" s="28" t="s">
        <v>138</v>
      </c>
      <c r="BU499" s="28" t="s">
        <v>174</v>
      </c>
      <c r="BV499" s="28" t="s">
        <v>138</v>
      </c>
      <c r="BW499" s="28" t="s">
        <v>138</v>
      </c>
      <c r="BX499" s="28" t="s">
        <v>138</v>
      </c>
      <c r="BY499" s="28" t="s">
        <v>175</v>
      </c>
      <c r="BZ499" s="34">
        <v>43304</v>
      </c>
      <c r="CA499" s="29">
        <v>23.8</v>
      </c>
      <c r="CB499" s="28" t="s">
        <v>172</v>
      </c>
      <c r="CC499" s="29">
        <v>243.8</v>
      </c>
      <c r="CD499" s="28" t="s">
        <v>172</v>
      </c>
      <c r="CE499" s="28" t="s">
        <v>173</v>
      </c>
      <c r="CF499" s="28" t="s">
        <v>482</v>
      </c>
      <c r="CG499" s="28" t="s">
        <v>138</v>
      </c>
      <c r="CH499" s="28" t="s">
        <v>174</v>
      </c>
      <c r="CI499" s="28" t="s">
        <v>138</v>
      </c>
      <c r="CJ499" s="28" t="s">
        <v>138</v>
      </c>
      <c r="CK499" s="28" t="s">
        <v>138</v>
      </c>
      <c r="CL499" s="28" t="s">
        <v>175</v>
      </c>
      <c r="CM499" s="34" t="s">
        <v>138</v>
      </c>
      <c r="CN499" s="29" t="s">
        <v>138</v>
      </c>
      <c r="CO499" s="35">
        <v>0.88</v>
      </c>
      <c r="CP499" s="36">
        <v>97</v>
      </c>
      <c r="CQ499" s="35">
        <v>0.01</v>
      </c>
      <c r="CR499" s="35">
        <v>1.45</v>
      </c>
      <c r="CS499" s="35">
        <v>1.72</v>
      </c>
      <c r="CT499" s="36">
        <v>98</v>
      </c>
      <c r="CU499" s="35">
        <v>0.03</v>
      </c>
      <c r="CV499" s="36">
        <v>54</v>
      </c>
      <c r="CW499" s="35">
        <v>7.56</v>
      </c>
      <c r="CX499" s="36">
        <v>98</v>
      </c>
      <c r="CY499" s="35">
        <v>-4.12</v>
      </c>
      <c r="CZ499" s="36">
        <v>4</v>
      </c>
      <c r="DA499" s="35">
        <v>0.03</v>
      </c>
      <c r="DB499" s="36">
        <v>60</v>
      </c>
      <c r="DC499" s="37">
        <v>13.85</v>
      </c>
      <c r="DD499" s="36">
        <v>92</v>
      </c>
      <c r="DE499" s="37">
        <v>-0.41</v>
      </c>
      <c r="DF499" s="35">
        <v>-2.86</v>
      </c>
      <c r="DG499" s="37">
        <v>21.5</v>
      </c>
      <c r="DH499" s="36">
        <v>95</v>
      </c>
      <c r="DI499" s="37">
        <v>6.19</v>
      </c>
      <c r="DJ499" s="36">
        <v>80</v>
      </c>
      <c r="DK499" s="37">
        <v>12.04</v>
      </c>
      <c r="DL499" s="36">
        <v>88</v>
      </c>
      <c r="DM499" s="37">
        <v>30.97</v>
      </c>
      <c r="DN499" s="36">
        <v>96</v>
      </c>
      <c r="DO499" s="37">
        <v>11.32</v>
      </c>
      <c r="DP499" s="36">
        <v>88</v>
      </c>
      <c r="DQ499" s="36">
        <v>4033</v>
      </c>
      <c r="DR499" s="38">
        <v>290</v>
      </c>
      <c r="DS499" s="35">
        <v>7.75</v>
      </c>
      <c r="DT499" s="36">
        <v>899</v>
      </c>
      <c r="DU499" s="38">
        <v>-2</v>
      </c>
      <c r="DV499" s="35">
        <v>-0.22</v>
      </c>
      <c r="DW499" s="36">
        <v>4054</v>
      </c>
      <c r="DX499" s="39">
        <v>-2</v>
      </c>
      <c r="DY499" s="35">
        <v>-0.05</v>
      </c>
      <c r="DZ499" s="28" t="s">
        <v>178</v>
      </c>
      <c r="EA499" s="34">
        <v>43622</v>
      </c>
      <c r="EB499" s="29">
        <v>243.8</v>
      </c>
      <c r="EC499" s="34">
        <v>43304</v>
      </c>
      <c r="ED499" s="28" t="s">
        <v>173</v>
      </c>
      <c r="EE499" s="40" t="str">
        <f>HYPERLINK("https://my.pitchbook.com?c=52202-89", "View company online")</f>
        <v>View company online</v>
      </c>
    </row>
    <row r="500" spans="1:135">
      <c r="A500" s="15" t="s">
        <v>10244</v>
      </c>
      <c r="B500" s="15" t="s">
        <v>10245</v>
      </c>
      <c r="C500" s="15" t="s">
        <v>138</v>
      </c>
      <c r="D500" s="15" t="s">
        <v>10246</v>
      </c>
      <c r="E500" s="15" t="s">
        <v>10247</v>
      </c>
      <c r="F500" s="15" t="s">
        <v>10244</v>
      </c>
      <c r="G500" s="15" t="s">
        <v>10248</v>
      </c>
      <c r="H500" s="15" t="s">
        <v>322</v>
      </c>
      <c r="I500" s="15" t="s">
        <v>323</v>
      </c>
      <c r="J500" s="15" t="s">
        <v>324</v>
      </c>
      <c r="K500" s="15" t="s">
        <v>1543</v>
      </c>
      <c r="L500" s="15" t="s">
        <v>215</v>
      </c>
      <c r="M500" s="15" t="s">
        <v>10249</v>
      </c>
      <c r="N500" s="15" t="s">
        <v>1452</v>
      </c>
      <c r="O500" s="17">
        <v>13.39</v>
      </c>
      <c r="P500" s="15" t="s">
        <v>812</v>
      </c>
      <c r="Q500" s="15" t="s">
        <v>149</v>
      </c>
      <c r="R500" s="15" t="s">
        <v>328</v>
      </c>
      <c r="S500" s="15" t="s">
        <v>10250</v>
      </c>
      <c r="T500" s="18">
        <v>800</v>
      </c>
      <c r="U500" s="15" t="s">
        <v>10251</v>
      </c>
      <c r="V500" s="15" t="s">
        <v>138</v>
      </c>
      <c r="W500" s="15" t="s">
        <v>138</v>
      </c>
      <c r="X500" s="19">
        <v>1991</v>
      </c>
      <c r="Y500" s="15" t="s">
        <v>138</v>
      </c>
      <c r="Z500" s="15" t="s">
        <v>138</v>
      </c>
      <c r="AA500" s="15" t="s">
        <v>138</v>
      </c>
      <c r="AB500" s="20">
        <v>75</v>
      </c>
      <c r="AC500" s="20" t="s">
        <v>138</v>
      </c>
      <c r="AD500" s="20" t="s">
        <v>138</v>
      </c>
      <c r="AE500" s="20" t="s">
        <v>138</v>
      </c>
      <c r="AF500" s="20" t="s">
        <v>138</v>
      </c>
      <c r="AG500" s="15" t="s">
        <v>419</v>
      </c>
      <c r="AH500" s="20" t="s">
        <v>138</v>
      </c>
      <c r="AI500" s="20" t="s">
        <v>138</v>
      </c>
      <c r="AJ500" s="20" t="s">
        <v>138</v>
      </c>
      <c r="AK500" s="15" t="s">
        <v>10252</v>
      </c>
      <c r="AL500" s="15" t="s">
        <v>10253</v>
      </c>
      <c r="AM500" s="15" t="s">
        <v>2949</v>
      </c>
      <c r="AN500" s="15" t="s">
        <v>10254</v>
      </c>
      <c r="AO500" s="15" t="s">
        <v>10255</v>
      </c>
      <c r="AP500" s="15" t="s">
        <v>10256</v>
      </c>
      <c r="AQ500" s="15" t="s">
        <v>10257</v>
      </c>
      <c r="AR500" s="15" t="s">
        <v>10258</v>
      </c>
      <c r="AS500" s="15" t="s">
        <v>10259</v>
      </c>
      <c r="AT500" s="15" t="s">
        <v>10260</v>
      </c>
      <c r="AU500" s="15" t="s">
        <v>10261</v>
      </c>
      <c r="AV500" s="15" t="s">
        <v>2333</v>
      </c>
      <c r="AW500" s="15" t="s">
        <v>10255</v>
      </c>
      <c r="AX500" s="15" t="s">
        <v>10262</v>
      </c>
      <c r="AY500" s="15" t="s">
        <v>138</v>
      </c>
      <c r="AZ500" s="15" t="s">
        <v>452</v>
      </c>
      <c r="BA500" s="15" t="s">
        <v>2335</v>
      </c>
      <c r="BB500" s="15" t="s">
        <v>10263</v>
      </c>
      <c r="BC500" s="15" t="s">
        <v>10264</v>
      </c>
      <c r="BD500" s="21">
        <v>3</v>
      </c>
      <c r="BE500" s="15" t="s">
        <v>138</v>
      </c>
      <c r="BF500" s="15" t="s">
        <v>10265</v>
      </c>
      <c r="BG500" s="15" t="s">
        <v>10266</v>
      </c>
      <c r="BH500" s="15" t="s">
        <v>10267</v>
      </c>
      <c r="BI500" s="15" t="s">
        <v>10268</v>
      </c>
      <c r="BJ500" s="15" t="s">
        <v>10269</v>
      </c>
      <c r="BK500" s="15" t="s">
        <v>138</v>
      </c>
      <c r="BL500" s="15" t="s">
        <v>10270</v>
      </c>
      <c r="BM500" s="22" t="s">
        <v>138</v>
      </c>
      <c r="BN500" s="17">
        <v>6.7</v>
      </c>
      <c r="BO500" s="15" t="s">
        <v>1178</v>
      </c>
      <c r="BP500" s="17" t="s">
        <v>138</v>
      </c>
      <c r="BQ500" s="15" t="s">
        <v>138</v>
      </c>
      <c r="BR500" s="15" t="s">
        <v>205</v>
      </c>
      <c r="BS500" s="15" t="s">
        <v>138</v>
      </c>
      <c r="BT500" s="15" t="s">
        <v>138</v>
      </c>
      <c r="BU500" s="15" t="s">
        <v>174</v>
      </c>
      <c r="BV500" s="15" t="s">
        <v>138</v>
      </c>
      <c r="BW500" s="15" t="s">
        <v>138</v>
      </c>
      <c r="BX500" s="15" t="s">
        <v>138</v>
      </c>
      <c r="BY500" s="15" t="s">
        <v>175</v>
      </c>
      <c r="BZ500" s="22">
        <v>42880</v>
      </c>
      <c r="CA500" s="17" t="s">
        <v>138</v>
      </c>
      <c r="CB500" s="15" t="s">
        <v>138</v>
      </c>
      <c r="CC500" s="17" t="s">
        <v>138</v>
      </c>
      <c r="CD500" s="15" t="s">
        <v>138</v>
      </c>
      <c r="CE500" s="15" t="s">
        <v>1673</v>
      </c>
      <c r="CF500" s="15" t="s">
        <v>138</v>
      </c>
      <c r="CG500" s="15" t="s">
        <v>138</v>
      </c>
      <c r="CH500" s="15" t="s">
        <v>351</v>
      </c>
      <c r="CI500" s="15" t="s">
        <v>138</v>
      </c>
      <c r="CJ500" s="15" t="s">
        <v>138</v>
      </c>
      <c r="CK500" s="15" t="s">
        <v>138</v>
      </c>
      <c r="CL500" s="15" t="s">
        <v>175</v>
      </c>
      <c r="CM500" s="22" t="s">
        <v>138</v>
      </c>
      <c r="CN500" s="17" t="s">
        <v>138</v>
      </c>
      <c r="CO500" s="23">
        <v>-0.59</v>
      </c>
      <c r="CP500" s="24">
        <v>15</v>
      </c>
      <c r="CQ500" s="23">
        <v>0</v>
      </c>
      <c r="CR500" s="23">
        <v>-0.02</v>
      </c>
      <c r="CS500" s="23">
        <v>-1.1200000000000001</v>
      </c>
      <c r="CT500" s="24">
        <v>14</v>
      </c>
      <c r="CU500" s="23">
        <v>-7.0000000000000007E-2</v>
      </c>
      <c r="CV500" s="24">
        <v>7</v>
      </c>
      <c r="CW500" s="23">
        <v>0</v>
      </c>
      <c r="CX500" s="24">
        <v>13</v>
      </c>
      <c r="CY500" s="23">
        <v>-2.2400000000000002</v>
      </c>
      <c r="CZ500" s="24">
        <v>10</v>
      </c>
      <c r="DA500" s="23">
        <v>-7.0000000000000007E-2</v>
      </c>
      <c r="DB500" s="24">
        <v>9</v>
      </c>
      <c r="DC500" s="25">
        <v>5.44</v>
      </c>
      <c r="DD500" s="24">
        <v>84</v>
      </c>
      <c r="DE500" s="25">
        <v>-0.02</v>
      </c>
      <c r="DF500" s="23">
        <v>-0.39</v>
      </c>
      <c r="DG500" s="25">
        <v>3.87</v>
      </c>
      <c r="DH500" s="24">
        <v>79</v>
      </c>
      <c r="DI500" s="25">
        <v>7.01</v>
      </c>
      <c r="DJ500" s="24">
        <v>81</v>
      </c>
      <c r="DK500" s="25">
        <v>0.87</v>
      </c>
      <c r="DL500" s="24">
        <v>47</v>
      </c>
      <c r="DM500" s="25">
        <v>6.86</v>
      </c>
      <c r="DN500" s="24">
        <v>85</v>
      </c>
      <c r="DO500" s="25">
        <v>7.01</v>
      </c>
      <c r="DP500" s="24">
        <v>83</v>
      </c>
      <c r="DQ500" s="24">
        <v>284</v>
      </c>
      <c r="DR500" s="26">
        <v>43</v>
      </c>
      <c r="DS500" s="23">
        <v>17.84</v>
      </c>
      <c r="DT500" s="24">
        <v>199</v>
      </c>
      <c r="DU500" s="26">
        <v>-1</v>
      </c>
      <c r="DV500" s="23">
        <v>-0.5</v>
      </c>
      <c r="DW500" s="24">
        <v>2507</v>
      </c>
      <c r="DX500" s="27">
        <v>1</v>
      </c>
      <c r="DY500" s="23">
        <v>0.04</v>
      </c>
      <c r="DZ500" s="15" t="s">
        <v>178</v>
      </c>
      <c r="EA500" s="22">
        <v>43558</v>
      </c>
      <c r="EB500" s="17">
        <v>66</v>
      </c>
      <c r="EC500" s="22">
        <v>41964</v>
      </c>
      <c r="ED500" s="15" t="s">
        <v>349</v>
      </c>
      <c r="EE500" s="14" t="str">
        <f>HYPERLINK("https://my.pitchbook.com?c=55198-63", "View company online")</f>
        <v>View company online</v>
      </c>
    </row>
    <row r="501" spans="1:135">
      <c r="A501" s="28" t="s">
        <v>10271</v>
      </c>
      <c r="B501" s="28" t="s">
        <v>10272</v>
      </c>
      <c r="C501" s="28" t="s">
        <v>10273</v>
      </c>
      <c r="D501" s="28" t="s">
        <v>138</v>
      </c>
      <c r="E501" s="28" t="s">
        <v>10274</v>
      </c>
      <c r="F501" s="28" t="s">
        <v>10271</v>
      </c>
      <c r="G501" s="28" t="s">
        <v>10275</v>
      </c>
      <c r="H501" s="28" t="s">
        <v>322</v>
      </c>
      <c r="I501" s="28" t="s">
        <v>323</v>
      </c>
      <c r="J501" s="28" t="s">
        <v>5827</v>
      </c>
      <c r="K501" s="28" t="s">
        <v>10276</v>
      </c>
      <c r="L501" s="28" t="s">
        <v>2274</v>
      </c>
      <c r="M501" s="28" t="s">
        <v>10277</v>
      </c>
      <c r="N501" s="28" t="s">
        <v>1452</v>
      </c>
      <c r="O501" s="29">
        <v>204.55</v>
      </c>
      <c r="P501" s="28" t="s">
        <v>148</v>
      </c>
      <c r="Q501" s="28" t="s">
        <v>149</v>
      </c>
      <c r="R501" s="28" t="s">
        <v>328</v>
      </c>
      <c r="S501" s="28" t="s">
        <v>10278</v>
      </c>
      <c r="T501" s="30">
        <v>425</v>
      </c>
      <c r="U501" s="28" t="s">
        <v>10279</v>
      </c>
      <c r="V501" s="28" t="s">
        <v>138</v>
      </c>
      <c r="W501" s="28" t="s">
        <v>138</v>
      </c>
      <c r="X501" s="31">
        <v>2007</v>
      </c>
      <c r="Y501" s="28" t="s">
        <v>10280</v>
      </c>
      <c r="Z501" s="28" t="s">
        <v>138</v>
      </c>
      <c r="AA501" s="28" t="s">
        <v>138</v>
      </c>
      <c r="AB501" s="32">
        <v>94</v>
      </c>
      <c r="AC501" s="32" t="s">
        <v>138</v>
      </c>
      <c r="AD501" s="32" t="s">
        <v>138</v>
      </c>
      <c r="AE501" s="32" t="s">
        <v>138</v>
      </c>
      <c r="AF501" s="32" t="s">
        <v>138</v>
      </c>
      <c r="AG501" s="28" t="s">
        <v>707</v>
      </c>
      <c r="AH501" s="32" t="s">
        <v>138</v>
      </c>
      <c r="AI501" s="32" t="s">
        <v>138</v>
      </c>
      <c r="AJ501" s="32" t="s">
        <v>138</v>
      </c>
      <c r="AK501" s="28" t="s">
        <v>10281</v>
      </c>
      <c r="AL501" s="28" t="s">
        <v>10282</v>
      </c>
      <c r="AM501" s="28" t="s">
        <v>249</v>
      </c>
      <c r="AN501" s="28" t="s">
        <v>10283</v>
      </c>
      <c r="AO501" s="28" t="s">
        <v>10284</v>
      </c>
      <c r="AP501" s="28" t="s">
        <v>6648</v>
      </c>
      <c r="AQ501" s="28" t="s">
        <v>10285</v>
      </c>
      <c r="AR501" s="28" t="s">
        <v>10286</v>
      </c>
      <c r="AS501" s="28" t="s">
        <v>6650</v>
      </c>
      <c r="AT501" s="28" t="s">
        <v>200</v>
      </c>
      <c r="AU501" s="28" t="s">
        <v>6651</v>
      </c>
      <c r="AV501" s="28" t="s">
        <v>162</v>
      </c>
      <c r="AW501" s="28" t="s">
        <v>10284</v>
      </c>
      <c r="AX501" s="28" t="s">
        <v>138</v>
      </c>
      <c r="AY501" s="28" t="s">
        <v>10287</v>
      </c>
      <c r="AZ501" s="28" t="s">
        <v>164</v>
      </c>
      <c r="BA501" s="28" t="s">
        <v>165</v>
      </c>
      <c r="BB501" s="28" t="s">
        <v>10288</v>
      </c>
      <c r="BC501" s="28" t="s">
        <v>10289</v>
      </c>
      <c r="BD501" s="33">
        <v>1</v>
      </c>
      <c r="BE501" s="28" t="s">
        <v>138</v>
      </c>
      <c r="BF501" s="28" t="s">
        <v>10290</v>
      </c>
      <c r="BG501" s="28" t="s">
        <v>10291</v>
      </c>
      <c r="BH501" s="28" t="s">
        <v>10292</v>
      </c>
      <c r="BI501" s="28" t="s">
        <v>10293</v>
      </c>
      <c r="BJ501" s="28" t="s">
        <v>10294</v>
      </c>
      <c r="BK501" s="28" t="s">
        <v>10295</v>
      </c>
      <c r="BL501" s="28" t="s">
        <v>10296</v>
      </c>
      <c r="BM501" s="34">
        <v>39903</v>
      </c>
      <c r="BN501" s="29">
        <v>2.5</v>
      </c>
      <c r="BO501" s="28" t="s">
        <v>172</v>
      </c>
      <c r="BP501" s="29" t="s">
        <v>138</v>
      </c>
      <c r="BQ501" s="28" t="s">
        <v>138</v>
      </c>
      <c r="BR501" s="28" t="s">
        <v>205</v>
      </c>
      <c r="BS501" s="28" t="s">
        <v>138</v>
      </c>
      <c r="BT501" s="28" t="s">
        <v>138</v>
      </c>
      <c r="BU501" s="28" t="s">
        <v>174</v>
      </c>
      <c r="BV501" s="28" t="s">
        <v>138</v>
      </c>
      <c r="BW501" s="28" t="s">
        <v>138</v>
      </c>
      <c r="BX501" s="28" t="s">
        <v>138</v>
      </c>
      <c r="BY501" s="28" t="s">
        <v>175</v>
      </c>
      <c r="BZ501" s="34">
        <v>43500</v>
      </c>
      <c r="CA501" s="29" t="s">
        <v>138</v>
      </c>
      <c r="CB501" s="28" t="s">
        <v>138</v>
      </c>
      <c r="CC501" s="29" t="s">
        <v>138</v>
      </c>
      <c r="CD501" s="28" t="s">
        <v>138</v>
      </c>
      <c r="CE501" s="28" t="s">
        <v>349</v>
      </c>
      <c r="CF501" s="28" t="s">
        <v>138</v>
      </c>
      <c r="CG501" s="28" t="s">
        <v>138</v>
      </c>
      <c r="CH501" s="28" t="s">
        <v>351</v>
      </c>
      <c r="CI501" s="28" t="s">
        <v>138</v>
      </c>
      <c r="CJ501" s="28" t="s">
        <v>138</v>
      </c>
      <c r="CK501" s="28" t="s">
        <v>138</v>
      </c>
      <c r="CL501" s="28" t="s">
        <v>175</v>
      </c>
      <c r="CM501" s="34">
        <v>42379</v>
      </c>
      <c r="CN501" s="29" t="s">
        <v>138</v>
      </c>
      <c r="CO501" s="35">
        <v>-1.36</v>
      </c>
      <c r="CP501" s="36">
        <v>8</v>
      </c>
      <c r="CQ501" s="35">
        <v>-1.37</v>
      </c>
      <c r="CR501" s="35">
        <v>-10613.58</v>
      </c>
      <c r="CS501" s="35">
        <v>-2.74</v>
      </c>
      <c r="CT501" s="36">
        <v>6</v>
      </c>
      <c r="CU501" s="35">
        <v>0.02</v>
      </c>
      <c r="CV501" s="36">
        <v>51</v>
      </c>
      <c r="CW501" s="35" t="s">
        <v>138</v>
      </c>
      <c r="CX501" s="36" t="s">
        <v>138</v>
      </c>
      <c r="CY501" s="35">
        <v>-2.74</v>
      </c>
      <c r="CZ501" s="36">
        <v>8</v>
      </c>
      <c r="DA501" s="35">
        <v>0.02</v>
      </c>
      <c r="DB501" s="36">
        <v>58</v>
      </c>
      <c r="DC501" s="37">
        <v>30.22</v>
      </c>
      <c r="DD501" s="36">
        <v>96</v>
      </c>
      <c r="DE501" s="37">
        <v>14.05</v>
      </c>
      <c r="DF501" s="35">
        <v>86.83</v>
      </c>
      <c r="DG501" s="37">
        <v>44.17</v>
      </c>
      <c r="DH501" s="36">
        <v>98</v>
      </c>
      <c r="DI501" s="37">
        <v>16.27</v>
      </c>
      <c r="DJ501" s="36">
        <v>89</v>
      </c>
      <c r="DK501" s="37" t="s">
        <v>138</v>
      </c>
      <c r="DL501" s="36" t="s">
        <v>138</v>
      </c>
      <c r="DM501" s="37">
        <v>44.17</v>
      </c>
      <c r="DN501" s="36">
        <v>98</v>
      </c>
      <c r="DO501" s="37">
        <v>16.27</v>
      </c>
      <c r="DP501" s="36">
        <v>91</v>
      </c>
      <c r="DQ501" s="36" t="s">
        <v>138</v>
      </c>
      <c r="DR501" s="38" t="s">
        <v>138</v>
      </c>
      <c r="DS501" s="35" t="s">
        <v>138</v>
      </c>
      <c r="DT501" s="36">
        <v>1282</v>
      </c>
      <c r="DU501" s="38">
        <v>0</v>
      </c>
      <c r="DV501" s="35">
        <v>0</v>
      </c>
      <c r="DW501" s="36">
        <v>5822</v>
      </c>
      <c r="DX501" s="39">
        <v>2</v>
      </c>
      <c r="DY501" s="35">
        <v>0.03</v>
      </c>
      <c r="DZ501" s="28" t="s">
        <v>178</v>
      </c>
      <c r="EA501" s="34">
        <v>43603</v>
      </c>
      <c r="EB501" s="29">
        <v>915</v>
      </c>
      <c r="EC501" s="34">
        <v>42379</v>
      </c>
      <c r="ED501" s="28" t="s">
        <v>2228</v>
      </c>
      <c r="EE501" s="40" t="str">
        <f>HYPERLINK("https://my.pitchbook.com?c=52264-72", "View company online")</f>
        <v>View company online</v>
      </c>
    </row>
    <row r="502" spans="1:135">
      <c r="A502" s="15" t="s">
        <v>10297</v>
      </c>
      <c r="B502" s="15" t="s">
        <v>10298</v>
      </c>
      <c r="C502" s="15" t="s">
        <v>138</v>
      </c>
      <c r="D502" s="15" t="s">
        <v>138</v>
      </c>
      <c r="E502" s="15" t="s">
        <v>10299</v>
      </c>
      <c r="F502" s="15" t="s">
        <v>10297</v>
      </c>
      <c r="G502" s="15" t="s">
        <v>10300</v>
      </c>
      <c r="H502" s="15" t="s">
        <v>238</v>
      </c>
      <c r="I502" s="15" t="s">
        <v>1351</v>
      </c>
      <c r="J502" s="15" t="s">
        <v>10301</v>
      </c>
      <c r="K502" s="15" t="s">
        <v>10302</v>
      </c>
      <c r="L502" s="15" t="s">
        <v>4703</v>
      </c>
      <c r="M502" s="15" t="s">
        <v>10303</v>
      </c>
      <c r="N502" s="15" t="s">
        <v>147</v>
      </c>
      <c r="O502" s="17">
        <v>67.14</v>
      </c>
      <c r="P502" s="15" t="s">
        <v>148</v>
      </c>
      <c r="Q502" s="15" t="s">
        <v>149</v>
      </c>
      <c r="R502" s="15" t="s">
        <v>244</v>
      </c>
      <c r="S502" s="15" t="s">
        <v>10304</v>
      </c>
      <c r="T502" s="18">
        <v>104</v>
      </c>
      <c r="U502" s="15" t="s">
        <v>10305</v>
      </c>
      <c r="V502" s="15" t="s">
        <v>138</v>
      </c>
      <c r="W502" s="15" t="s">
        <v>138</v>
      </c>
      <c r="X502" s="19">
        <v>2003</v>
      </c>
      <c r="Y502" s="15" t="s">
        <v>138</v>
      </c>
      <c r="Z502" s="15" t="s">
        <v>138</v>
      </c>
      <c r="AA502" s="15" t="s">
        <v>138</v>
      </c>
      <c r="AB502" s="20" t="s">
        <v>138</v>
      </c>
      <c r="AC502" s="20" t="s">
        <v>138</v>
      </c>
      <c r="AD502" s="20" t="s">
        <v>138</v>
      </c>
      <c r="AE502" s="20" t="s">
        <v>138</v>
      </c>
      <c r="AF502" s="20" t="s">
        <v>138</v>
      </c>
      <c r="AG502" s="15" t="s">
        <v>138</v>
      </c>
      <c r="AH502" s="20" t="s">
        <v>138</v>
      </c>
      <c r="AI502" s="20" t="s">
        <v>138</v>
      </c>
      <c r="AJ502" s="20" t="s">
        <v>138</v>
      </c>
      <c r="AK502" s="15" t="s">
        <v>10306</v>
      </c>
      <c r="AL502" s="15" t="s">
        <v>10307</v>
      </c>
      <c r="AM502" s="15" t="s">
        <v>249</v>
      </c>
      <c r="AN502" s="15" t="s">
        <v>10308</v>
      </c>
      <c r="AO502" s="15" t="s">
        <v>10309</v>
      </c>
      <c r="AP502" s="15" t="s">
        <v>10310</v>
      </c>
      <c r="AQ502" s="15" t="s">
        <v>10311</v>
      </c>
      <c r="AR502" s="15" t="s">
        <v>3180</v>
      </c>
      <c r="AS502" s="15" t="s">
        <v>10312</v>
      </c>
      <c r="AT502" s="15" t="s">
        <v>200</v>
      </c>
      <c r="AU502" s="15" t="s">
        <v>10313</v>
      </c>
      <c r="AV502" s="15" t="s">
        <v>162</v>
      </c>
      <c r="AW502" s="15" t="s">
        <v>10309</v>
      </c>
      <c r="AX502" s="15" t="s">
        <v>10314</v>
      </c>
      <c r="AY502" s="15" t="s">
        <v>10315</v>
      </c>
      <c r="AZ502" s="15" t="s">
        <v>164</v>
      </c>
      <c r="BA502" s="15" t="s">
        <v>165</v>
      </c>
      <c r="BB502" s="15" t="s">
        <v>10316</v>
      </c>
      <c r="BC502" s="15" t="s">
        <v>10317</v>
      </c>
      <c r="BD502" s="21">
        <v>5</v>
      </c>
      <c r="BE502" s="15" t="s">
        <v>138</v>
      </c>
      <c r="BF502" s="15" t="s">
        <v>10318</v>
      </c>
      <c r="BG502" s="15" t="s">
        <v>138</v>
      </c>
      <c r="BH502" s="15" t="s">
        <v>10319</v>
      </c>
      <c r="BI502" s="15" t="s">
        <v>10320</v>
      </c>
      <c r="BJ502" s="15" t="s">
        <v>138</v>
      </c>
      <c r="BK502" s="15" t="s">
        <v>3164</v>
      </c>
      <c r="BL502" s="15" t="s">
        <v>10321</v>
      </c>
      <c r="BM502" s="22">
        <v>39477</v>
      </c>
      <c r="BN502" s="17">
        <v>1.48</v>
      </c>
      <c r="BO502" s="15" t="s">
        <v>172</v>
      </c>
      <c r="BP502" s="17">
        <v>6.51</v>
      </c>
      <c r="BQ502" s="15" t="s">
        <v>172</v>
      </c>
      <c r="BR502" s="15" t="s">
        <v>173</v>
      </c>
      <c r="BS502" s="15" t="s">
        <v>206</v>
      </c>
      <c r="BT502" s="15" t="s">
        <v>138</v>
      </c>
      <c r="BU502" s="15" t="s">
        <v>174</v>
      </c>
      <c r="BV502" s="15" t="s">
        <v>138</v>
      </c>
      <c r="BW502" s="15" t="s">
        <v>138</v>
      </c>
      <c r="BX502" s="15" t="s">
        <v>138</v>
      </c>
      <c r="BY502" s="15" t="s">
        <v>175</v>
      </c>
      <c r="BZ502" s="22">
        <v>41732</v>
      </c>
      <c r="CA502" s="17">
        <v>42.94</v>
      </c>
      <c r="CB502" s="15" t="s">
        <v>172</v>
      </c>
      <c r="CC502" s="17">
        <v>102.37</v>
      </c>
      <c r="CD502" s="15" t="s">
        <v>172</v>
      </c>
      <c r="CE502" s="15" t="s">
        <v>173</v>
      </c>
      <c r="CF502" s="15" t="s">
        <v>482</v>
      </c>
      <c r="CG502" s="15" t="s">
        <v>138</v>
      </c>
      <c r="CH502" s="15" t="s">
        <v>174</v>
      </c>
      <c r="CI502" s="15" t="s">
        <v>138</v>
      </c>
      <c r="CJ502" s="15" t="s">
        <v>138</v>
      </c>
      <c r="CK502" s="15" t="s">
        <v>138</v>
      </c>
      <c r="CL502" s="15" t="s">
        <v>175</v>
      </c>
      <c r="CM502" s="22">
        <v>41359</v>
      </c>
      <c r="CN502" s="17">
        <v>10</v>
      </c>
      <c r="CO502" s="23">
        <v>0.45</v>
      </c>
      <c r="CP502" s="24">
        <v>95</v>
      </c>
      <c r="CQ502" s="23">
        <v>-0.01</v>
      </c>
      <c r="CR502" s="23">
        <v>-2.31</v>
      </c>
      <c r="CS502" s="23">
        <v>0.69</v>
      </c>
      <c r="CT502" s="24">
        <v>96</v>
      </c>
      <c r="CU502" s="23">
        <v>0.21</v>
      </c>
      <c r="CV502" s="24">
        <v>81</v>
      </c>
      <c r="CW502" s="23">
        <v>2.62</v>
      </c>
      <c r="CX502" s="24">
        <v>90</v>
      </c>
      <c r="CY502" s="23">
        <v>-1.25</v>
      </c>
      <c r="CZ502" s="24">
        <v>17</v>
      </c>
      <c r="DA502" s="23">
        <v>0.04</v>
      </c>
      <c r="DB502" s="24">
        <v>62</v>
      </c>
      <c r="DC502" s="25">
        <v>214.45</v>
      </c>
      <c r="DD502" s="24">
        <v>100</v>
      </c>
      <c r="DE502" s="25">
        <v>-10.33</v>
      </c>
      <c r="DF502" s="23">
        <v>-4.5999999999999996</v>
      </c>
      <c r="DG502" s="25">
        <v>247.32</v>
      </c>
      <c r="DH502" s="24">
        <v>100</v>
      </c>
      <c r="DI502" s="25">
        <v>181.59</v>
      </c>
      <c r="DJ502" s="24">
        <v>98</v>
      </c>
      <c r="DK502" s="25">
        <v>326.08999999999997</v>
      </c>
      <c r="DL502" s="24">
        <v>99</v>
      </c>
      <c r="DM502" s="25">
        <v>168.55</v>
      </c>
      <c r="DN502" s="24">
        <v>100</v>
      </c>
      <c r="DO502" s="25">
        <v>43.89</v>
      </c>
      <c r="DP502" s="24">
        <v>96</v>
      </c>
      <c r="DQ502" s="24">
        <v>108453</v>
      </c>
      <c r="DR502" s="26">
        <v>10185</v>
      </c>
      <c r="DS502" s="23">
        <v>10.36</v>
      </c>
      <c r="DT502" s="24">
        <v>4880</v>
      </c>
      <c r="DU502" s="26">
        <v>12</v>
      </c>
      <c r="DV502" s="23">
        <v>0.25</v>
      </c>
      <c r="DW502" s="24">
        <v>15708</v>
      </c>
      <c r="DX502" s="27">
        <v>8</v>
      </c>
      <c r="DY502" s="23">
        <v>0.05</v>
      </c>
      <c r="DZ502" s="15" t="s">
        <v>178</v>
      </c>
      <c r="EA502" s="22">
        <v>43445</v>
      </c>
      <c r="EB502" s="17">
        <v>102.37</v>
      </c>
      <c r="EC502" s="22">
        <v>41732</v>
      </c>
      <c r="ED502" s="15" t="s">
        <v>173</v>
      </c>
      <c r="EE502" s="14" t="str">
        <f>HYPERLINK("https://my.pitchbook.com?c=52950-52", "View company online")</f>
        <v>View company online</v>
      </c>
    </row>
    <row r="503" spans="1:135">
      <c r="A503" s="28" t="s">
        <v>10322</v>
      </c>
      <c r="B503" s="28" t="s">
        <v>10323</v>
      </c>
      <c r="C503" s="28" t="s">
        <v>10324</v>
      </c>
      <c r="D503" s="28" t="s">
        <v>138</v>
      </c>
      <c r="E503" s="28" t="s">
        <v>10325</v>
      </c>
      <c r="F503" s="28" t="s">
        <v>10322</v>
      </c>
      <c r="G503" s="28" t="s">
        <v>10326</v>
      </c>
      <c r="H503" s="28" t="s">
        <v>183</v>
      </c>
      <c r="I503" s="28" t="s">
        <v>725</v>
      </c>
      <c r="J503" s="28" t="s">
        <v>2508</v>
      </c>
      <c r="K503" s="28" t="s">
        <v>10327</v>
      </c>
      <c r="L503" s="28" t="s">
        <v>10328</v>
      </c>
      <c r="M503" s="28" t="s">
        <v>10329</v>
      </c>
      <c r="N503" s="28" t="s">
        <v>147</v>
      </c>
      <c r="O503" s="29">
        <v>13.25</v>
      </c>
      <c r="P503" s="28" t="s">
        <v>148</v>
      </c>
      <c r="Q503" s="28" t="s">
        <v>149</v>
      </c>
      <c r="R503" s="28" t="s">
        <v>174</v>
      </c>
      <c r="S503" s="28" t="s">
        <v>10330</v>
      </c>
      <c r="T503" s="30" t="s">
        <v>138</v>
      </c>
      <c r="U503" s="28" t="s">
        <v>138</v>
      </c>
      <c r="V503" s="28" t="s">
        <v>138</v>
      </c>
      <c r="W503" s="28" t="s">
        <v>138</v>
      </c>
      <c r="X503" s="31">
        <v>2012</v>
      </c>
      <c r="Y503" s="28" t="s">
        <v>138</v>
      </c>
      <c r="Z503" s="28" t="s">
        <v>138</v>
      </c>
      <c r="AA503" s="28" t="s">
        <v>138</v>
      </c>
      <c r="AB503" s="32" t="s">
        <v>138</v>
      </c>
      <c r="AC503" s="32" t="s">
        <v>138</v>
      </c>
      <c r="AD503" s="32" t="s">
        <v>138</v>
      </c>
      <c r="AE503" s="32" t="s">
        <v>138</v>
      </c>
      <c r="AF503" s="32" t="s">
        <v>138</v>
      </c>
      <c r="AG503" s="28" t="s">
        <v>138</v>
      </c>
      <c r="AH503" s="32" t="s">
        <v>138</v>
      </c>
      <c r="AI503" s="32" t="s">
        <v>138</v>
      </c>
      <c r="AJ503" s="32" t="s">
        <v>138</v>
      </c>
      <c r="AK503" s="28" t="s">
        <v>10331</v>
      </c>
      <c r="AL503" s="28" t="s">
        <v>10332</v>
      </c>
      <c r="AM503" s="28" t="s">
        <v>221</v>
      </c>
      <c r="AN503" s="28" t="s">
        <v>10333</v>
      </c>
      <c r="AO503" s="28" t="s">
        <v>10334</v>
      </c>
      <c r="AP503" s="28" t="s">
        <v>7077</v>
      </c>
      <c r="AQ503" s="28" t="s">
        <v>10335</v>
      </c>
      <c r="AR503" s="28" t="s">
        <v>6298</v>
      </c>
      <c r="AS503" s="28" t="s">
        <v>7079</v>
      </c>
      <c r="AT503" s="28" t="s">
        <v>200</v>
      </c>
      <c r="AU503" s="28" t="s">
        <v>7080</v>
      </c>
      <c r="AV503" s="28" t="s">
        <v>162</v>
      </c>
      <c r="AW503" s="28" t="s">
        <v>10334</v>
      </c>
      <c r="AX503" s="28" t="s">
        <v>138</v>
      </c>
      <c r="AY503" s="28" t="s">
        <v>10336</v>
      </c>
      <c r="AZ503" s="28" t="s">
        <v>164</v>
      </c>
      <c r="BA503" s="28" t="s">
        <v>165</v>
      </c>
      <c r="BB503" s="28" t="s">
        <v>10337</v>
      </c>
      <c r="BC503" s="28" t="s">
        <v>10338</v>
      </c>
      <c r="BD503" s="33">
        <v>15</v>
      </c>
      <c r="BE503" s="28" t="s">
        <v>138</v>
      </c>
      <c r="BF503" s="28" t="s">
        <v>10339</v>
      </c>
      <c r="BG503" s="28" t="s">
        <v>138</v>
      </c>
      <c r="BH503" s="28" t="s">
        <v>10340</v>
      </c>
      <c r="BI503" s="28" t="s">
        <v>10341</v>
      </c>
      <c r="BJ503" s="28" t="s">
        <v>138</v>
      </c>
      <c r="BK503" s="28" t="s">
        <v>10342</v>
      </c>
      <c r="BL503" s="28" t="s">
        <v>204</v>
      </c>
      <c r="BM503" s="34">
        <v>41729</v>
      </c>
      <c r="BN503" s="29">
        <v>4</v>
      </c>
      <c r="BO503" s="28" t="s">
        <v>172</v>
      </c>
      <c r="BP503" s="29" t="s">
        <v>138</v>
      </c>
      <c r="BQ503" s="28" t="s">
        <v>138</v>
      </c>
      <c r="BR503" s="28" t="s">
        <v>234</v>
      </c>
      <c r="BS503" s="28" t="s">
        <v>234</v>
      </c>
      <c r="BT503" s="28" t="s">
        <v>138</v>
      </c>
      <c r="BU503" s="28" t="s">
        <v>174</v>
      </c>
      <c r="BV503" s="28" t="s">
        <v>138</v>
      </c>
      <c r="BW503" s="28" t="s">
        <v>138</v>
      </c>
      <c r="BX503" s="28" t="s">
        <v>138</v>
      </c>
      <c r="BY503" s="28" t="s">
        <v>175</v>
      </c>
      <c r="BZ503" s="34" t="s">
        <v>138</v>
      </c>
      <c r="CA503" s="29" t="s">
        <v>138</v>
      </c>
      <c r="CB503" s="28" t="s">
        <v>138</v>
      </c>
      <c r="CC503" s="29" t="s">
        <v>138</v>
      </c>
      <c r="CD503" s="28" t="s">
        <v>138</v>
      </c>
      <c r="CE503" s="28" t="s">
        <v>379</v>
      </c>
      <c r="CF503" s="28" t="s">
        <v>138</v>
      </c>
      <c r="CG503" s="28" t="s">
        <v>138</v>
      </c>
      <c r="CH503" s="28" t="s">
        <v>174</v>
      </c>
      <c r="CI503" s="28" t="s">
        <v>138</v>
      </c>
      <c r="CJ503" s="28" t="s">
        <v>138</v>
      </c>
      <c r="CK503" s="28" t="s">
        <v>138</v>
      </c>
      <c r="CL503" s="28" t="s">
        <v>175</v>
      </c>
      <c r="CM503" s="34" t="s">
        <v>138</v>
      </c>
      <c r="CN503" s="29" t="s">
        <v>138</v>
      </c>
      <c r="CO503" s="35">
        <v>-0.02</v>
      </c>
      <c r="CP503" s="36">
        <v>24</v>
      </c>
      <c r="CQ503" s="35">
        <v>0.01</v>
      </c>
      <c r="CR503" s="35">
        <v>28.36</v>
      </c>
      <c r="CS503" s="35">
        <v>0</v>
      </c>
      <c r="CT503" s="36">
        <v>23</v>
      </c>
      <c r="CU503" s="35">
        <v>-0.04</v>
      </c>
      <c r="CV503" s="36">
        <v>12</v>
      </c>
      <c r="CW503" s="35" t="s">
        <v>138</v>
      </c>
      <c r="CX503" s="36" t="s">
        <v>138</v>
      </c>
      <c r="CY503" s="35">
        <v>0</v>
      </c>
      <c r="CZ503" s="36">
        <v>25</v>
      </c>
      <c r="DA503" s="35">
        <v>-0.08</v>
      </c>
      <c r="DB503" s="36">
        <v>8</v>
      </c>
      <c r="DC503" s="37">
        <v>1.1499999999999999</v>
      </c>
      <c r="DD503" s="36">
        <v>54</v>
      </c>
      <c r="DE503" s="37">
        <v>0.2</v>
      </c>
      <c r="DF503" s="35">
        <v>20.77</v>
      </c>
      <c r="DG503" s="37">
        <v>1.28</v>
      </c>
      <c r="DH503" s="36">
        <v>57</v>
      </c>
      <c r="DI503" s="37">
        <v>1.03</v>
      </c>
      <c r="DJ503" s="36">
        <v>50</v>
      </c>
      <c r="DK503" s="37" t="s">
        <v>138</v>
      </c>
      <c r="DL503" s="36" t="s">
        <v>138</v>
      </c>
      <c r="DM503" s="37">
        <v>1.28</v>
      </c>
      <c r="DN503" s="36">
        <v>56</v>
      </c>
      <c r="DO503" s="37">
        <v>2.0499999999999998</v>
      </c>
      <c r="DP503" s="36">
        <v>64</v>
      </c>
      <c r="DQ503" s="36">
        <v>143</v>
      </c>
      <c r="DR503" s="38">
        <v>17</v>
      </c>
      <c r="DS503" s="35">
        <v>13.49</v>
      </c>
      <c r="DT503" s="36">
        <v>37</v>
      </c>
      <c r="DU503" s="38">
        <v>0</v>
      </c>
      <c r="DV503" s="35">
        <v>0</v>
      </c>
      <c r="DW503" s="36">
        <v>735</v>
      </c>
      <c r="DX503" s="39">
        <v>-1</v>
      </c>
      <c r="DY503" s="35">
        <v>-0.14000000000000001</v>
      </c>
      <c r="DZ503" s="28" t="s">
        <v>178</v>
      </c>
      <c r="EA503" s="34">
        <v>43571</v>
      </c>
      <c r="EB503" s="29">
        <v>24</v>
      </c>
      <c r="EC503" s="34">
        <v>42109</v>
      </c>
      <c r="ED503" s="28" t="s">
        <v>205</v>
      </c>
      <c r="EE503" s="40" t="str">
        <f>HYPERLINK("https://my.pitchbook.com?c=63421-21", "View company online")</f>
        <v>View company online</v>
      </c>
    </row>
    <row r="504" spans="1:135">
      <c r="A504" s="15" t="s">
        <v>10343</v>
      </c>
      <c r="B504" s="15" t="s">
        <v>10344</v>
      </c>
      <c r="C504" s="15" t="s">
        <v>138</v>
      </c>
      <c r="D504" s="15" t="s">
        <v>138</v>
      </c>
      <c r="E504" s="15" t="s">
        <v>10345</v>
      </c>
      <c r="F504" s="15" t="s">
        <v>10343</v>
      </c>
      <c r="G504" s="15" t="s">
        <v>10346</v>
      </c>
      <c r="H504" s="15" t="s">
        <v>322</v>
      </c>
      <c r="I504" s="15" t="s">
        <v>323</v>
      </c>
      <c r="J504" s="15" t="s">
        <v>461</v>
      </c>
      <c r="K504" s="15" t="s">
        <v>462</v>
      </c>
      <c r="L504" s="15" t="s">
        <v>10347</v>
      </c>
      <c r="M504" s="15" t="s">
        <v>10348</v>
      </c>
      <c r="N504" s="15" t="s">
        <v>147</v>
      </c>
      <c r="O504" s="17">
        <v>229.52</v>
      </c>
      <c r="P504" s="15" t="s">
        <v>148</v>
      </c>
      <c r="Q504" s="15" t="s">
        <v>149</v>
      </c>
      <c r="R504" s="15" t="s">
        <v>174</v>
      </c>
      <c r="S504" s="15" t="s">
        <v>10349</v>
      </c>
      <c r="T504" s="18">
        <v>400</v>
      </c>
      <c r="U504" s="15" t="s">
        <v>10350</v>
      </c>
      <c r="V504" s="15" t="s">
        <v>138</v>
      </c>
      <c r="W504" s="15" t="s">
        <v>138</v>
      </c>
      <c r="X504" s="19">
        <v>2013</v>
      </c>
      <c r="Y504" s="15" t="s">
        <v>138</v>
      </c>
      <c r="Z504" s="15" t="s">
        <v>10351</v>
      </c>
      <c r="AA504" s="15" t="s">
        <v>10352</v>
      </c>
      <c r="AB504" s="20" t="s">
        <v>138</v>
      </c>
      <c r="AC504" s="20" t="s">
        <v>138</v>
      </c>
      <c r="AD504" s="20" t="s">
        <v>138</v>
      </c>
      <c r="AE504" s="20" t="s">
        <v>138</v>
      </c>
      <c r="AF504" s="20" t="s">
        <v>138</v>
      </c>
      <c r="AG504" s="15" t="s">
        <v>138</v>
      </c>
      <c r="AH504" s="20" t="s">
        <v>138</v>
      </c>
      <c r="AI504" s="20" t="s">
        <v>138</v>
      </c>
      <c r="AJ504" s="20" t="s">
        <v>138</v>
      </c>
      <c r="AK504" s="15" t="s">
        <v>10353</v>
      </c>
      <c r="AL504" s="15" t="s">
        <v>10354</v>
      </c>
      <c r="AM504" s="15" t="s">
        <v>422</v>
      </c>
      <c r="AN504" s="15" t="s">
        <v>10355</v>
      </c>
      <c r="AO504" s="15" t="s">
        <v>10356</v>
      </c>
      <c r="AP504" s="15" t="s">
        <v>964</v>
      </c>
      <c r="AQ504" s="15" t="s">
        <v>10357</v>
      </c>
      <c r="AR504" s="15" t="s">
        <v>138</v>
      </c>
      <c r="AS504" s="15" t="s">
        <v>966</v>
      </c>
      <c r="AT504" s="15" t="s">
        <v>200</v>
      </c>
      <c r="AU504" s="15" t="s">
        <v>967</v>
      </c>
      <c r="AV504" s="15" t="s">
        <v>162</v>
      </c>
      <c r="AW504" s="15" t="s">
        <v>10358</v>
      </c>
      <c r="AX504" s="15" t="s">
        <v>138</v>
      </c>
      <c r="AY504" s="15" t="s">
        <v>10359</v>
      </c>
      <c r="AZ504" s="15" t="s">
        <v>164</v>
      </c>
      <c r="BA504" s="15" t="s">
        <v>165</v>
      </c>
      <c r="BB504" s="15" t="s">
        <v>10360</v>
      </c>
      <c r="BC504" s="15" t="s">
        <v>10361</v>
      </c>
      <c r="BD504" s="21">
        <v>17</v>
      </c>
      <c r="BE504" s="15" t="s">
        <v>138</v>
      </c>
      <c r="BF504" s="15" t="s">
        <v>138</v>
      </c>
      <c r="BG504" s="15" t="s">
        <v>138</v>
      </c>
      <c r="BH504" s="15" t="s">
        <v>10362</v>
      </c>
      <c r="BI504" s="15" t="s">
        <v>138</v>
      </c>
      <c r="BJ504" s="15" t="s">
        <v>138</v>
      </c>
      <c r="BK504" s="15" t="s">
        <v>10363</v>
      </c>
      <c r="BL504" s="15" t="s">
        <v>5213</v>
      </c>
      <c r="BM504" s="22">
        <v>41348</v>
      </c>
      <c r="BN504" s="17">
        <v>0.5</v>
      </c>
      <c r="BO504" s="15" t="s">
        <v>172</v>
      </c>
      <c r="BP504" s="17" t="s">
        <v>138</v>
      </c>
      <c r="BQ504" s="15" t="s">
        <v>138</v>
      </c>
      <c r="BR504" s="15" t="s">
        <v>234</v>
      </c>
      <c r="BS504" s="15" t="s">
        <v>234</v>
      </c>
      <c r="BT504" s="15" t="s">
        <v>138</v>
      </c>
      <c r="BU504" s="15" t="s">
        <v>174</v>
      </c>
      <c r="BV504" s="15" t="s">
        <v>138</v>
      </c>
      <c r="BW504" s="15" t="s">
        <v>138</v>
      </c>
      <c r="BX504" s="15" t="s">
        <v>138</v>
      </c>
      <c r="BY504" s="15" t="s">
        <v>175</v>
      </c>
      <c r="BZ504" s="22">
        <v>43620</v>
      </c>
      <c r="CA504" s="17">
        <v>120</v>
      </c>
      <c r="CB504" s="15" t="s">
        <v>172</v>
      </c>
      <c r="CC504" s="17">
        <v>600</v>
      </c>
      <c r="CD504" s="15" t="s">
        <v>172</v>
      </c>
      <c r="CE504" s="15" t="s">
        <v>173</v>
      </c>
      <c r="CF504" s="15" t="s">
        <v>433</v>
      </c>
      <c r="CG504" s="15" t="s">
        <v>138</v>
      </c>
      <c r="CH504" s="15" t="s">
        <v>174</v>
      </c>
      <c r="CI504" s="15" t="s">
        <v>177</v>
      </c>
      <c r="CJ504" s="15" t="s">
        <v>138</v>
      </c>
      <c r="CK504" s="15" t="s">
        <v>138</v>
      </c>
      <c r="CL504" s="15" t="s">
        <v>175</v>
      </c>
      <c r="CM504" s="22" t="s">
        <v>138</v>
      </c>
      <c r="CN504" s="17" t="s">
        <v>138</v>
      </c>
      <c r="CO504" s="23">
        <v>1.04</v>
      </c>
      <c r="CP504" s="24">
        <v>97</v>
      </c>
      <c r="CQ504" s="23">
        <v>-0.02</v>
      </c>
      <c r="CR504" s="23">
        <v>-1.64</v>
      </c>
      <c r="CS504" s="23">
        <v>1.92</v>
      </c>
      <c r="CT504" s="24">
        <v>98</v>
      </c>
      <c r="CU504" s="23">
        <v>0.52</v>
      </c>
      <c r="CV504" s="24">
        <v>94</v>
      </c>
      <c r="CW504" s="23">
        <v>3.6</v>
      </c>
      <c r="CX504" s="24">
        <v>93</v>
      </c>
      <c r="CY504" s="23">
        <v>0.25</v>
      </c>
      <c r="CZ504" s="24">
        <v>98</v>
      </c>
      <c r="DA504" s="23">
        <v>0.52</v>
      </c>
      <c r="DB504" s="24">
        <v>94</v>
      </c>
      <c r="DC504" s="25">
        <v>19.059999999999999</v>
      </c>
      <c r="DD504" s="24">
        <v>94</v>
      </c>
      <c r="DE504" s="25">
        <v>-0.78</v>
      </c>
      <c r="DF504" s="23">
        <v>-3.93</v>
      </c>
      <c r="DG504" s="25">
        <v>42.49</v>
      </c>
      <c r="DH504" s="24">
        <v>98</v>
      </c>
      <c r="DI504" s="25">
        <v>13.95</v>
      </c>
      <c r="DJ504" s="24">
        <v>88</v>
      </c>
      <c r="DK504" s="25">
        <v>37.74</v>
      </c>
      <c r="DL504" s="24">
        <v>95</v>
      </c>
      <c r="DM504" s="25">
        <v>47.24</v>
      </c>
      <c r="DN504" s="24">
        <v>98</v>
      </c>
      <c r="DO504" s="25">
        <v>13.95</v>
      </c>
      <c r="DP504" s="24">
        <v>90</v>
      </c>
      <c r="DQ504" s="24">
        <v>12771</v>
      </c>
      <c r="DR504" s="26">
        <v>521</v>
      </c>
      <c r="DS504" s="23">
        <v>4.25</v>
      </c>
      <c r="DT504" s="24">
        <v>1371</v>
      </c>
      <c r="DU504" s="26">
        <v>11</v>
      </c>
      <c r="DV504" s="23">
        <v>0.81</v>
      </c>
      <c r="DW504" s="24">
        <v>4988</v>
      </c>
      <c r="DX504" s="27">
        <v>29</v>
      </c>
      <c r="DY504" s="23">
        <v>0.57999999999999996</v>
      </c>
      <c r="DZ504" s="15" t="s">
        <v>178</v>
      </c>
      <c r="EA504" s="22">
        <v>43622</v>
      </c>
      <c r="EB504" s="17">
        <v>600</v>
      </c>
      <c r="EC504" s="22">
        <v>43620</v>
      </c>
      <c r="ED504" s="15" t="s">
        <v>173</v>
      </c>
      <c r="EE504" s="14" t="str">
        <f>HYPERLINK("https://my.pitchbook.com?c=58281-31", "View company online")</f>
        <v>View company online</v>
      </c>
    </row>
    <row r="505" spans="1:135">
      <c r="A505" s="28" t="s">
        <v>10364</v>
      </c>
      <c r="B505" s="28" t="s">
        <v>10365</v>
      </c>
      <c r="C505" s="28" t="s">
        <v>138</v>
      </c>
      <c r="D505" s="28" t="s">
        <v>138</v>
      </c>
      <c r="E505" s="28" t="s">
        <v>138</v>
      </c>
      <c r="F505" s="28" t="s">
        <v>10364</v>
      </c>
      <c r="G505" s="28" t="s">
        <v>10366</v>
      </c>
      <c r="H505" s="28" t="s">
        <v>322</v>
      </c>
      <c r="I505" s="28" t="s">
        <v>323</v>
      </c>
      <c r="J505" s="28" t="s">
        <v>437</v>
      </c>
      <c r="K505" s="28" t="s">
        <v>2406</v>
      </c>
      <c r="L505" s="28" t="s">
        <v>10367</v>
      </c>
      <c r="M505" s="28" t="s">
        <v>10368</v>
      </c>
      <c r="N505" s="28" t="s">
        <v>147</v>
      </c>
      <c r="O505" s="29">
        <v>0.2</v>
      </c>
      <c r="P505" s="28" t="s">
        <v>610</v>
      </c>
      <c r="Q505" s="28" t="s">
        <v>149</v>
      </c>
      <c r="R505" s="28" t="s">
        <v>174</v>
      </c>
      <c r="S505" s="28" t="s">
        <v>10369</v>
      </c>
      <c r="T505" s="30">
        <v>2</v>
      </c>
      <c r="U505" s="28" t="s">
        <v>10370</v>
      </c>
      <c r="V505" s="28" t="s">
        <v>138</v>
      </c>
      <c r="W505" s="28" t="s">
        <v>138</v>
      </c>
      <c r="X505" s="31">
        <v>2015</v>
      </c>
      <c r="Y505" s="28" t="s">
        <v>138</v>
      </c>
      <c r="Z505" s="28" t="s">
        <v>138</v>
      </c>
      <c r="AA505" s="28" t="s">
        <v>138</v>
      </c>
      <c r="AB505" s="32" t="s">
        <v>138</v>
      </c>
      <c r="AC505" s="32" t="s">
        <v>138</v>
      </c>
      <c r="AD505" s="32" t="s">
        <v>138</v>
      </c>
      <c r="AE505" s="32" t="s">
        <v>138</v>
      </c>
      <c r="AF505" s="32" t="s">
        <v>138</v>
      </c>
      <c r="AG505" s="28" t="s">
        <v>138</v>
      </c>
      <c r="AH505" s="32" t="s">
        <v>138</v>
      </c>
      <c r="AI505" s="32" t="s">
        <v>138</v>
      </c>
      <c r="AJ505" s="32" t="s">
        <v>138</v>
      </c>
      <c r="AK505" s="28" t="s">
        <v>10371</v>
      </c>
      <c r="AL505" s="28" t="s">
        <v>10372</v>
      </c>
      <c r="AM505" s="28" t="s">
        <v>986</v>
      </c>
      <c r="AN505" s="28" t="s">
        <v>10373</v>
      </c>
      <c r="AO505" s="28" t="s">
        <v>10374</v>
      </c>
      <c r="AP505" s="28" t="s">
        <v>639</v>
      </c>
      <c r="AQ505" s="28" t="s">
        <v>10375</v>
      </c>
      <c r="AR505" s="28" t="s">
        <v>138</v>
      </c>
      <c r="AS505" s="28" t="s">
        <v>642</v>
      </c>
      <c r="AT505" s="28" t="s">
        <v>474</v>
      </c>
      <c r="AU505" s="28" t="s">
        <v>10376</v>
      </c>
      <c r="AV505" s="28" t="s">
        <v>162</v>
      </c>
      <c r="AW505" s="28" t="s">
        <v>10374</v>
      </c>
      <c r="AX505" s="28" t="s">
        <v>138</v>
      </c>
      <c r="AY505" s="28" t="s">
        <v>138</v>
      </c>
      <c r="AZ505" s="28" t="s">
        <v>164</v>
      </c>
      <c r="BA505" s="28" t="s">
        <v>165</v>
      </c>
      <c r="BB505" s="28" t="s">
        <v>10377</v>
      </c>
      <c r="BC505" s="28" t="s">
        <v>10378</v>
      </c>
      <c r="BD505" s="33">
        <v>1</v>
      </c>
      <c r="BE505" s="28" t="s">
        <v>138</v>
      </c>
      <c r="BF505" s="28" t="s">
        <v>138</v>
      </c>
      <c r="BG505" s="28" t="s">
        <v>138</v>
      </c>
      <c r="BH505" s="28" t="s">
        <v>10379</v>
      </c>
      <c r="BI505" s="28" t="s">
        <v>138</v>
      </c>
      <c r="BJ505" s="28" t="s">
        <v>138</v>
      </c>
      <c r="BK505" s="28" t="s">
        <v>138</v>
      </c>
      <c r="BL505" s="28" t="s">
        <v>138</v>
      </c>
      <c r="BM505" s="34">
        <v>42567</v>
      </c>
      <c r="BN505" s="29">
        <v>0.05</v>
      </c>
      <c r="BO505" s="28" t="s">
        <v>172</v>
      </c>
      <c r="BP505" s="29" t="s">
        <v>138</v>
      </c>
      <c r="BQ505" s="28" t="s">
        <v>138</v>
      </c>
      <c r="BR505" s="28" t="s">
        <v>262</v>
      </c>
      <c r="BS505" s="28" t="s">
        <v>262</v>
      </c>
      <c r="BT505" s="28" t="s">
        <v>138</v>
      </c>
      <c r="BU505" s="28" t="s">
        <v>263</v>
      </c>
      <c r="BV505" s="28" t="s">
        <v>264</v>
      </c>
      <c r="BW505" s="28" t="s">
        <v>138</v>
      </c>
      <c r="BX505" s="28" t="s">
        <v>138</v>
      </c>
      <c r="BY505" s="28" t="s">
        <v>175</v>
      </c>
      <c r="BZ505" s="34">
        <v>43542</v>
      </c>
      <c r="CA505" s="29">
        <v>0.1</v>
      </c>
      <c r="CB505" s="28" t="s">
        <v>172</v>
      </c>
      <c r="CC505" s="29" t="s">
        <v>138</v>
      </c>
      <c r="CD505" s="28" t="s">
        <v>138</v>
      </c>
      <c r="CE505" s="28" t="s">
        <v>205</v>
      </c>
      <c r="CF505" s="28" t="s">
        <v>138</v>
      </c>
      <c r="CG505" s="28" t="s">
        <v>138</v>
      </c>
      <c r="CH505" s="28" t="s">
        <v>174</v>
      </c>
      <c r="CI505" s="28" t="s">
        <v>264</v>
      </c>
      <c r="CJ505" s="28" t="s">
        <v>138</v>
      </c>
      <c r="CK505" s="28" t="s">
        <v>138</v>
      </c>
      <c r="CL505" s="28" t="s">
        <v>175</v>
      </c>
      <c r="CM505" s="34" t="s">
        <v>138</v>
      </c>
      <c r="CN505" s="29" t="s">
        <v>138</v>
      </c>
      <c r="CO505" s="35">
        <v>-7.0000000000000007E-2</v>
      </c>
      <c r="CP505" s="36">
        <v>21</v>
      </c>
      <c r="CQ505" s="35">
        <v>-7.0000000000000007E-2</v>
      </c>
      <c r="CR505" s="35">
        <v>0</v>
      </c>
      <c r="CS505" s="35" t="s">
        <v>138</v>
      </c>
      <c r="CT505" s="36" t="s">
        <v>138</v>
      </c>
      <c r="CU505" s="35">
        <v>-0.14000000000000001</v>
      </c>
      <c r="CV505" s="36">
        <v>2</v>
      </c>
      <c r="CW505" s="35" t="s">
        <v>138</v>
      </c>
      <c r="CX505" s="36" t="s">
        <v>138</v>
      </c>
      <c r="CY505" s="35" t="s">
        <v>138</v>
      </c>
      <c r="CZ505" s="36" t="s">
        <v>138</v>
      </c>
      <c r="DA505" s="35">
        <v>-0.14000000000000001</v>
      </c>
      <c r="DB505" s="36">
        <v>4</v>
      </c>
      <c r="DC505" s="37">
        <v>0.24</v>
      </c>
      <c r="DD505" s="36">
        <v>18</v>
      </c>
      <c r="DE505" s="37">
        <v>0.24</v>
      </c>
      <c r="DF505" s="35">
        <v>6505.38</v>
      </c>
      <c r="DG505" s="37" t="s">
        <v>138</v>
      </c>
      <c r="DH505" s="36" t="s">
        <v>138</v>
      </c>
      <c r="DI505" s="37">
        <v>0.49</v>
      </c>
      <c r="DJ505" s="36">
        <v>36</v>
      </c>
      <c r="DK505" s="37" t="s">
        <v>138</v>
      </c>
      <c r="DL505" s="36" t="s">
        <v>138</v>
      </c>
      <c r="DM505" s="37" t="s">
        <v>138</v>
      </c>
      <c r="DN505" s="36" t="s">
        <v>138</v>
      </c>
      <c r="DO505" s="37">
        <v>0.49</v>
      </c>
      <c r="DP505" s="36">
        <v>38</v>
      </c>
      <c r="DQ505" s="36" t="s">
        <v>138</v>
      </c>
      <c r="DR505" s="38" t="s">
        <v>138</v>
      </c>
      <c r="DS505" s="35" t="s">
        <v>138</v>
      </c>
      <c r="DT505" s="36">
        <v>34</v>
      </c>
      <c r="DU505" s="38">
        <v>0</v>
      </c>
      <c r="DV505" s="35">
        <v>0</v>
      </c>
      <c r="DW505" s="36">
        <v>173</v>
      </c>
      <c r="DX505" s="39">
        <v>-1</v>
      </c>
      <c r="DY505" s="35">
        <v>-0.56999999999999995</v>
      </c>
      <c r="DZ505" s="28" t="s">
        <v>178</v>
      </c>
      <c r="EA505" s="34">
        <v>43587</v>
      </c>
      <c r="EB505" s="29" t="s">
        <v>138</v>
      </c>
      <c r="EC505" s="34" t="s">
        <v>138</v>
      </c>
      <c r="ED505" s="28" t="s">
        <v>138</v>
      </c>
      <c r="EE505" s="40" t="str">
        <f>HYPERLINK("https://my.pitchbook.com?c=266001-04", "View company online")</f>
        <v>View company online</v>
      </c>
    </row>
    <row r="506" spans="1:135">
      <c r="A506" s="15" t="s">
        <v>10380</v>
      </c>
      <c r="B506" s="15" t="s">
        <v>10381</v>
      </c>
      <c r="C506" s="15" t="s">
        <v>10382</v>
      </c>
      <c r="D506" s="15" t="s">
        <v>138</v>
      </c>
      <c r="E506" s="15" t="s">
        <v>10383</v>
      </c>
      <c r="F506" s="15" t="s">
        <v>10380</v>
      </c>
      <c r="G506" s="15" t="s">
        <v>10384</v>
      </c>
      <c r="H506" s="15" t="s">
        <v>322</v>
      </c>
      <c r="I506" s="15" t="s">
        <v>323</v>
      </c>
      <c r="J506" s="15" t="s">
        <v>324</v>
      </c>
      <c r="K506" s="15" t="s">
        <v>1678</v>
      </c>
      <c r="L506" s="15" t="s">
        <v>4640</v>
      </c>
      <c r="M506" s="15" t="s">
        <v>10385</v>
      </c>
      <c r="N506" s="15" t="s">
        <v>147</v>
      </c>
      <c r="O506" s="17">
        <v>143.78</v>
      </c>
      <c r="P506" s="15" t="s">
        <v>148</v>
      </c>
      <c r="Q506" s="15" t="s">
        <v>149</v>
      </c>
      <c r="R506" s="15" t="s">
        <v>174</v>
      </c>
      <c r="S506" s="15" t="s">
        <v>10386</v>
      </c>
      <c r="T506" s="18">
        <v>80</v>
      </c>
      <c r="U506" s="15" t="s">
        <v>10387</v>
      </c>
      <c r="V506" s="15" t="s">
        <v>138</v>
      </c>
      <c r="W506" s="15" t="s">
        <v>138</v>
      </c>
      <c r="X506" s="19">
        <v>2007</v>
      </c>
      <c r="Y506" s="15" t="s">
        <v>138</v>
      </c>
      <c r="Z506" s="15" t="s">
        <v>138</v>
      </c>
      <c r="AA506" s="15" t="s">
        <v>138</v>
      </c>
      <c r="AB506" s="20" t="s">
        <v>138</v>
      </c>
      <c r="AC506" s="20" t="s">
        <v>138</v>
      </c>
      <c r="AD506" s="20" t="s">
        <v>138</v>
      </c>
      <c r="AE506" s="20" t="s">
        <v>138</v>
      </c>
      <c r="AF506" s="20" t="s">
        <v>138</v>
      </c>
      <c r="AG506" s="15" t="s">
        <v>138</v>
      </c>
      <c r="AH506" s="20" t="s">
        <v>138</v>
      </c>
      <c r="AI506" s="20" t="s">
        <v>138</v>
      </c>
      <c r="AJ506" s="20" t="s">
        <v>138</v>
      </c>
      <c r="AK506" s="15" t="s">
        <v>10388</v>
      </c>
      <c r="AL506" s="15" t="s">
        <v>10389</v>
      </c>
      <c r="AM506" s="15" t="s">
        <v>10390</v>
      </c>
      <c r="AN506" s="15" t="s">
        <v>10391</v>
      </c>
      <c r="AO506" s="15" t="s">
        <v>10392</v>
      </c>
      <c r="AP506" s="15" t="s">
        <v>665</v>
      </c>
      <c r="AQ506" s="15" t="s">
        <v>10393</v>
      </c>
      <c r="AR506" s="15" t="s">
        <v>10394</v>
      </c>
      <c r="AS506" s="15" t="s">
        <v>668</v>
      </c>
      <c r="AT506" s="15" t="s">
        <v>200</v>
      </c>
      <c r="AU506" s="15" t="s">
        <v>2052</v>
      </c>
      <c r="AV506" s="15" t="s">
        <v>162</v>
      </c>
      <c r="AW506" s="15" t="s">
        <v>10392</v>
      </c>
      <c r="AX506" s="15" t="s">
        <v>10395</v>
      </c>
      <c r="AY506" s="15" t="s">
        <v>10396</v>
      </c>
      <c r="AZ506" s="15" t="s">
        <v>164</v>
      </c>
      <c r="BA506" s="15" t="s">
        <v>165</v>
      </c>
      <c r="BB506" s="15" t="s">
        <v>10397</v>
      </c>
      <c r="BC506" s="15" t="s">
        <v>10398</v>
      </c>
      <c r="BD506" s="21">
        <v>5</v>
      </c>
      <c r="BE506" s="15" t="s">
        <v>138</v>
      </c>
      <c r="BF506" s="15" t="s">
        <v>138</v>
      </c>
      <c r="BG506" s="15" t="s">
        <v>138</v>
      </c>
      <c r="BH506" s="15" t="s">
        <v>10399</v>
      </c>
      <c r="BI506" s="15" t="s">
        <v>138</v>
      </c>
      <c r="BJ506" s="15" t="s">
        <v>138</v>
      </c>
      <c r="BK506" s="15" t="s">
        <v>10400</v>
      </c>
      <c r="BL506" s="15" t="s">
        <v>10401</v>
      </c>
      <c r="BM506" s="22">
        <v>40287</v>
      </c>
      <c r="BN506" s="17">
        <v>2.2799999999999998</v>
      </c>
      <c r="BO506" s="15" t="s">
        <v>172</v>
      </c>
      <c r="BP506" s="17" t="s">
        <v>138</v>
      </c>
      <c r="BQ506" s="15" t="s">
        <v>138</v>
      </c>
      <c r="BR506" s="15" t="s">
        <v>205</v>
      </c>
      <c r="BS506" s="15" t="s">
        <v>206</v>
      </c>
      <c r="BT506" s="15" t="s">
        <v>138</v>
      </c>
      <c r="BU506" s="15" t="s">
        <v>174</v>
      </c>
      <c r="BV506" s="15" t="s">
        <v>138</v>
      </c>
      <c r="BW506" s="15" t="s">
        <v>138</v>
      </c>
      <c r="BX506" s="15" t="s">
        <v>138</v>
      </c>
      <c r="BY506" s="15" t="s">
        <v>175</v>
      </c>
      <c r="BZ506" s="22">
        <v>41967</v>
      </c>
      <c r="CA506" s="17">
        <v>103.5</v>
      </c>
      <c r="CB506" s="15" t="s">
        <v>172</v>
      </c>
      <c r="CC506" s="17" t="s">
        <v>138</v>
      </c>
      <c r="CD506" s="15" t="s">
        <v>138</v>
      </c>
      <c r="CE506" s="15" t="s">
        <v>173</v>
      </c>
      <c r="CF506" s="15" t="s">
        <v>317</v>
      </c>
      <c r="CG506" s="15" t="s">
        <v>138</v>
      </c>
      <c r="CH506" s="15" t="s">
        <v>174</v>
      </c>
      <c r="CI506" s="15" t="s">
        <v>138</v>
      </c>
      <c r="CJ506" s="15" t="s">
        <v>138</v>
      </c>
      <c r="CK506" s="15" t="s">
        <v>138</v>
      </c>
      <c r="CL506" s="15" t="s">
        <v>175</v>
      </c>
      <c r="CM506" s="22" t="s">
        <v>138</v>
      </c>
      <c r="CN506" s="17" t="s">
        <v>138</v>
      </c>
      <c r="CO506" s="23">
        <v>-1.5</v>
      </c>
      <c r="CP506" s="24">
        <v>8</v>
      </c>
      <c r="CQ506" s="23">
        <v>-0.01</v>
      </c>
      <c r="CR506" s="23">
        <v>-0.69</v>
      </c>
      <c r="CS506" s="23">
        <v>-3.02</v>
      </c>
      <c r="CT506" s="24">
        <v>5</v>
      </c>
      <c r="CU506" s="23">
        <v>0.02</v>
      </c>
      <c r="CV506" s="24">
        <v>51</v>
      </c>
      <c r="CW506" s="23">
        <v>-4.41</v>
      </c>
      <c r="CX506" s="24">
        <v>3</v>
      </c>
      <c r="CY506" s="23">
        <v>-1.62</v>
      </c>
      <c r="CZ506" s="24">
        <v>14</v>
      </c>
      <c r="DA506" s="23">
        <v>0.02</v>
      </c>
      <c r="DB506" s="24">
        <v>58</v>
      </c>
      <c r="DC506" s="25">
        <v>16.96</v>
      </c>
      <c r="DD506" s="24">
        <v>94</v>
      </c>
      <c r="DE506" s="25">
        <v>-0.27</v>
      </c>
      <c r="DF506" s="23">
        <v>-1.56</v>
      </c>
      <c r="DG506" s="25">
        <v>27.79</v>
      </c>
      <c r="DH506" s="24">
        <v>96</v>
      </c>
      <c r="DI506" s="25">
        <v>6.12</v>
      </c>
      <c r="DJ506" s="24">
        <v>80</v>
      </c>
      <c r="DK506" s="25">
        <v>8.5399999999999991</v>
      </c>
      <c r="DL506" s="24">
        <v>85</v>
      </c>
      <c r="DM506" s="25">
        <v>47.03</v>
      </c>
      <c r="DN506" s="24">
        <v>98</v>
      </c>
      <c r="DO506" s="25">
        <v>5.09</v>
      </c>
      <c r="DP506" s="24">
        <v>79</v>
      </c>
      <c r="DQ506" s="24">
        <v>2980</v>
      </c>
      <c r="DR506" s="26">
        <v>-153</v>
      </c>
      <c r="DS506" s="23">
        <v>-4.88</v>
      </c>
      <c r="DT506" s="24">
        <v>1364</v>
      </c>
      <c r="DU506" s="26">
        <v>2</v>
      </c>
      <c r="DV506" s="23">
        <v>0.15</v>
      </c>
      <c r="DW506" s="24">
        <v>1821</v>
      </c>
      <c r="DX506" s="27">
        <v>-2</v>
      </c>
      <c r="DY506" s="23">
        <v>-0.11</v>
      </c>
      <c r="DZ506" s="15" t="s">
        <v>178</v>
      </c>
      <c r="EA506" s="22">
        <v>43622</v>
      </c>
      <c r="EB506" s="17" t="s">
        <v>138</v>
      </c>
      <c r="EC506" s="22" t="s">
        <v>138</v>
      </c>
      <c r="ED506" s="15" t="s">
        <v>138</v>
      </c>
      <c r="EE506" s="14" t="str">
        <f>HYPERLINK("https://my.pitchbook.com?c=60887-26", "View company online")</f>
        <v>View company online</v>
      </c>
    </row>
    <row r="507" spans="1:135">
      <c r="A507" s="28" t="s">
        <v>10402</v>
      </c>
      <c r="B507" s="28" t="s">
        <v>10403</v>
      </c>
      <c r="C507" s="28" t="s">
        <v>10404</v>
      </c>
      <c r="D507" s="28" t="s">
        <v>138</v>
      </c>
      <c r="E507" s="28" t="s">
        <v>10405</v>
      </c>
      <c r="F507" s="28" t="s">
        <v>10402</v>
      </c>
      <c r="G507" s="28" t="s">
        <v>10406</v>
      </c>
      <c r="H507" s="28" t="s">
        <v>322</v>
      </c>
      <c r="I507" s="28" t="s">
        <v>323</v>
      </c>
      <c r="J507" s="28" t="s">
        <v>2984</v>
      </c>
      <c r="K507" s="28" t="s">
        <v>5783</v>
      </c>
      <c r="L507" s="28" t="s">
        <v>3509</v>
      </c>
      <c r="M507" s="28" t="s">
        <v>10407</v>
      </c>
      <c r="N507" s="28" t="s">
        <v>147</v>
      </c>
      <c r="O507" s="29">
        <v>26.89</v>
      </c>
      <c r="P507" s="28" t="s">
        <v>148</v>
      </c>
      <c r="Q507" s="28" t="s">
        <v>149</v>
      </c>
      <c r="R507" s="28" t="s">
        <v>174</v>
      </c>
      <c r="S507" s="28" t="s">
        <v>10408</v>
      </c>
      <c r="T507" s="30">
        <v>19</v>
      </c>
      <c r="U507" s="28" t="s">
        <v>10409</v>
      </c>
      <c r="V507" s="28" t="s">
        <v>138</v>
      </c>
      <c r="W507" s="28" t="s">
        <v>138</v>
      </c>
      <c r="X507" s="31">
        <v>2011</v>
      </c>
      <c r="Y507" s="28" t="s">
        <v>138</v>
      </c>
      <c r="Z507" s="28" t="s">
        <v>138</v>
      </c>
      <c r="AA507" s="28" t="s">
        <v>138</v>
      </c>
      <c r="AB507" s="32" t="s">
        <v>138</v>
      </c>
      <c r="AC507" s="32" t="s">
        <v>138</v>
      </c>
      <c r="AD507" s="32">
        <v>-2.0299999999999998</v>
      </c>
      <c r="AE507" s="32" t="s">
        <v>138</v>
      </c>
      <c r="AF507" s="32">
        <v>-1.9</v>
      </c>
      <c r="AG507" s="28" t="s">
        <v>707</v>
      </c>
      <c r="AH507" s="32" t="s">
        <v>138</v>
      </c>
      <c r="AI507" s="32" t="s">
        <v>138</v>
      </c>
      <c r="AJ507" s="32" t="s">
        <v>138</v>
      </c>
      <c r="AK507" s="28" t="s">
        <v>10410</v>
      </c>
      <c r="AL507" s="28" t="s">
        <v>10411</v>
      </c>
      <c r="AM507" s="28" t="s">
        <v>2949</v>
      </c>
      <c r="AN507" s="28" t="s">
        <v>10412</v>
      </c>
      <c r="AO507" s="28" t="s">
        <v>10413</v>
      </c>
      <c r="AP507" s="28" t="s">
        <v>10414</v>
      </c>
      <c r="AQ507" s="28" t="s">
        <v>10415</v>
      </c>
      <c r="AR507" s="28" t="s">
        <v>138</v>
      </c>
      <c r="AS507" s="28" t="s">
        <v>10416</v>
      </c>
      <c r="AT507" s="28" t="s">
        <v>138</v>
      </c>
      <c r="AU507" s="28" t="s">
        <v>10417</v>
      </c>
      <c r="AV507" s="28" t="s">
        <v>10418</v>
      </c>
      <c r="AW507" s="28" t="s">
        <v>10413</v>
      </c>
      <c r="AX507" s="28" t="s">
        <v>138</v>
      </c>
      <c r="AY507" s="28" t="s">
        <v>10419</v>
      </c>
      <c r="AZ507" s="28" t="s">
        <v>530</v>
      </c>
      <c r="BA507" s="28" t="s">
        <v>531</v>
      </c>
      <c r="BB507" s="28" t="s">
        <v>10420</v>
      </c>
      <c r="BC507" s="28" t="s">
        <v>10421</v>
      </c>
      <c r="BD507" s="33">
        <v>12</v>
      </c>
      <c r="BE507" s="28" t="s">
        <v>138</v>
      </c>
      <c r="BF507" s="28" t="s">
        <v>138</v>
      </c>
      <c r="BG507" s="28" t="s">
        <v>138</v>
      </c>
      <c r="BH507" s="28" t="s">
        <v>10422</v>
      </c>
      <c r="BI507" s="28" t="s">
        <v>138</v>
      </c>
      <c r="BJ507" s="28" t="s">
        <v>138</v>
      </c>
      <c r="BK507" s="28" t="s">
        <v>10423</v>
      </c>
      <c r="BL507" s="28" t="s">
        <v>10423</v>
      </c>
      <c r="BM507" s="34">
        <v>41062</v>
      </c>
      <c r="BN507" s="29">
        <v>0.48</v>
      </c>
      <c r="BO507" s="28" t="s">
        <v>172</v>
      </c>
      <c r="BP507" s="29">
        <v>1.63</v>
      </c>
      <c r="BQ507" s="28" t="s">
        <v>172</v>
      </c>
      <c r="BR507" s="28" t="s">
        <v>234</v>
      </c>
      <c r="BS507" s="28" t="s">
        <v>234</v>
      </c>
      <c r="BT507" s="28" t="s">
        <v>138</v>
      </c>
      <c r="BU507" s="28" t="s">
        <v>177</v>
      </c>
      <c r="BV507" s="28" t="s">
        <v>138</v>
      </c>
      <c r="BW507" s="28" t="s">
        <v>138</v>
      </c>
      <c r="BX507" s="28" t="s">
        <v>138</v>
      </c>
      <c r="BY507" s="28" t="s">
        <v>175</v>
      </c>
      <c r="BZ507" s="34">
        <v>43097</v>
      </c>
      <c r="CA507" s="29">
        <v>8.43</v>
      </c>
      <c r="CB507" s="28" t="s">
        <v>172</v>
      </c>
      <c r="CC507" s="29">
        <v>80.209999999999994</v>
      </c>
      <c r="CD507" s="28" t="s">
        <v>172</v>
      </c>
      <c r="CE507" s="28" t="s">
        <v>173</v>
      </c>
      <c r="CF507" s="28" t="s">
        <v>138</v>
      </c>
      <c r="CG507" s="28" t="s">
        <v>138</v>
      </c>
      <c r="CH507" s="28" t="s">
        <v>174</v>
      </c>
      <c r="CI507" s="28" t="s">
        <v>138</v>
      </c>
      <c r="CJ507" s="28" t="s">
        <v>138</v>
      </c>
      <c r="CK507" s="28" t="s">
        <v>138</v>
      </c>
      <c r="CL507" s="28" t="s">
        <v>175</v>
      </c>
      <c r="CM507" s="34" t="s">
        <v>138</v>
      </c>
      <c r="CN507" s="29" t="s">
        <v>138</v>
      </c>
      <c r="CO507" s="35">
        <v>-0.28999999999999998</v>
      </c>
      <c r="CP507" s="36">
        <v>18</v>
      </c>
      <c r="CQ507" s="35">
        <v>0.03</v>
      </c>
      <c r="CR507" s="35">
        <v>9.18</v>
      </c>
      <c r="CS507" s="35">
        <v>-0.78</v>
      </c>
      <c r="CT507" s="36">
        <v>17</v>
      </c>
      <c r="CU507" s="35">
        <v>0.2</v>
      </c>
      <c r="CV507" s="36">
        <v>80</v>
      </c>
      <c r="CW507" s="35" t="s">
        <v>138</v>
      </c>
      <c r="CX507" s="36" t="s">
        <v>138</v>
      </c>
      <c r="CY507" s="35">
        <v>-0.78</v>
      </c>
      <c r="CZ507" s="36">
        <v>20</v>
      </c>
      <c r="DA507" s="35">
        <v>0.2</v>
      </c>
      <c r="DB507" s="36">
        <v>82</v>
      </c>
      <c r="DC507" s="37">
        <v>8.51</v>
      </c>
      <c r="DD507" s="36">
        <v>89</v>
      </c>
      <c r="DE507" s="37">
        <v>0.06</v>
      </c>
      <c r="DF507" s="35">
        <v>0.66</v>
      </c>
      <c r="DG507" s="37">
        <v>9.83</v>
      </c>
      <c r="DH507" s="36">
        <v>89</v>
      </c>
      <c r="DI507" s="37">
        <v>7.19</v>
      </c>
      <c r="DJ507" s="36">
        <v>82</v>
      </c>
      <c r="DK507" s="37" t="s">
        <v>138</v>
      </c>
      <c r="DL507" s="36" t="s">
        <v>138</v>
      </c>
      <c r="DM507" s="37">
        <v>9.83</v>
      </c>
      <c r="DN507" s="36">
        <v>88</v>
      </c>
      <c r="DO507" s="37">
        <v>7.19</v>
      </c>
      <c r="DP507" s="36">
        <v>84</v>
      </c>
      <c r="DQ507" s="36">
        <v>1325</v>
      </c>
      <c r="DR507" s="38">
        <v>-28</v>
      </c>
      <c r="DS507" s="35">
        <v>-2.0699999999999998</v>
      </c>
      <c r="DT507" s="36">
        <v>284</v>
      </c>
      <c r="DU507" s="38">
        <v>1</v>
      </c>
      <c r="DV507" s="35">
        <v>0.35</v>
      </c>
      <c r="DW507" s="36">
        <v>2574</v>
      </c>
      <c r="DX507" s="39">
        <v>1</v>
      </c>
      <c r="DY507" s="35">
        <v>0.04</v>
      </c>
      <c r="DZ507" s="28" t="s">
        <v>178</v>
      </c>
      <c r="EA507" s="34">
        <v>43622</v>
      </c>
      <c r="EB507" s="29">
        <v>80.209999999999994</v>
      </c>
      <c r="EC507" s="34">
        <v>43097</v>
      </c>
      <c r="ED507" s="28" t="s">
        <v>173</v>
      </c>
      <c r="EE507" s="40" t="str">
        <f>HYPERLINK("https://my.pitchbook.com?c=56636-29", "View company online")</f>
        <v>View company online</v>
      </c>
    </row>
    <row r="508" spans="1:135">
      <c r="A508" s="15" t="s">
        <v>10424</v>
      </c>
      <c r="B508" s="15" t="s">
        <v>10425</v>
      </c>
      <c r="C508" s="15" t="s">
        <v>138</v>
      </c>
      <c r="D508" s="15" t="s">
        <v>138</v>
      </c>
      <c r="E508" s="15" t="s">
        <v>10426</v>
      </c>
      <c r="F508" s="15" t="s">
        <v>10424</v>
      </c>
      <c r="G508" s="15" t="s">
        <v>10427</v>
      </c>
      <c r="H508" s="15" t="s">
        <v>322</v>
      </c>
      <c r="I508" s="15" t="s">
        <v>1503</v>
      </c>
      <c r="J508" s="15" t="s">
        <v>1504</v>
      </c>
      <c r="K508" s="15" t="s">
        <v>10428</v>
      </c>
      <c r="L508" s="15" t="s">
        <v>415</v>
      </c>
      <c r="M508" s="15" t="s">
        <v>10429</v>
      </c>
      <c r="N508" s="15" t="s">
        <v>147</v>
      </c>
      <c r="O508" s="17">
        <v>19.84</v>
      </c>
      <c r="P508" s="15" t="s">
        <v>148</v>
      </c>
      <c r="Q508" s="15" t="s">
        <v>149</v>
      </c>
      <c r="R508" s="15" t="s">
        <v>150</v>
      </c>
      <c r="S508" s="15" t="s">
        <v>10430</v>
      </c>
      <c r="T508" s="18">
        <v>80</v>
      </c>
      <c r="U508" s="15" t="s">
        <v>10431</v>
      </c>
      <c r="V508" s="15" t="s">
        <v>138</v>
      </c>
      <c r="W508" s="15" t="s">
        <v>138</v>
      </c>
      <c r="X508" s="19">
        <v>2003</v>
      </c>
      <c r="Y508" s="15" t="s">
        <v>138</v>
      </c>
      <c r="Z508" s="15" t="s">
        <v>138</v>
      </c>
      <c r="AA508" s="15" t="s">
        <v>1163</v>
      </c>
      <c r="AB508" s="20">
        <v>15</v>
      </c>
      <c r="AC508" s="20" t="s">
        <v>138</v>
      </c>
      <c r="AD508" s="20" t="s">
        <v>138</v>
      </c>
      <c r="AE508" s="20" t="s">
        <v>138</v>
      </c>
      <c r="AF508" s="20">
        <v>1.7</v>
      </c>
      <c r="AG508" s="15" t="s">
        <v>815</v>
      </c>
      <c r="AH508" s="20" t="s">
        <v>138</v>
      </c>
      <c r="AI508" s="20" t="s">
        <v>138</v>
      </c>
      <c r="AJ508" s="20" t="s">
        <v>138</v>
      </c>
      <c r="AK508" s="15" t="s">
        <v>10432</v>
      </c>
      <c r="AL508" s="15" t="s">
        <v>10433</v>
      </c>
      <c r="AM508" s="15" t="s">
        <v>249</v>
      </c>
      <c r="AN508" s="15" t="s">
        <v>10434</v>
      </c>
      <c r="AO508" s="15" t="s">
        <v>10435</v>
      </c>
      <c r="AP508" s="15" t="s">
        <v>2842</v>
      </c>
      <c r="AQ508" s="15" t="s">
        <v>10436</v>
      </c>
      <c r="AR508" s="15" t="s">
        <v>1459</v>
      </c>
      <c r="AS508" s="15" t="s">
        <v>2845</v>
      </c>
      <c r="AT508" s="15" t="s">
        <v>200</v>
      </c>
      <c r="AU508" s="15" t="s">
        <v>10437</v>
      </c>
      <c r="AV508" s="15" t="s">
        <v>162</v>
      </c>
      <c r="AW508" s="15" t="s">
        <v>10435</v>
      </c>
      <c r="AX508" s="15" t="s">
        <v>10438</v>
      </c>
      <c r="AY508" s="15" t="s">
        <v>10439</v>
      </c>
      <c r="AZ508" s="15" t="s">
        <v>164</v>
      </c>
      <c r="BA508" s="15" t="s">
        <v>165</v>
      </c>
      <c r="BB508" s="15" t="s">
        <v>10440</v>
      </c>
      <c r="BC508" s="15" t="s">
        <v>10441</v>
      </c>
      <c r="BD508" s="21">
        <v>7</v>
      </c>
      <c r="BE508" s="15" t="s">
        <v>138</v>
      </c>
      <c r="BF508" s="15" t="s">
        <v>138</v>
      </c>
      <c r="BG508" s="15" t="s">
        <v>10442</v>
      </c>
      <c r="BH508" s="15" t="s">
        <v>10443</v>
      </c>
      <c r="BI508" s="15" t="s">
        <v>138</v>
      </c>
      <c r="BJ508" s="15" t="s">
        <v>10444</v>
      </c>
      <c r="BK508" s="15" t="s">
        <v>10445</v>
      </c>
      <c r="BL508" s="15" t="s">
        <v>10446</v>
      </c>
      <c r="BM508" s="22">
        <v>38148</v>
      </c>
      <c r="BN508" s="17">
        <v>0.45</v>
      </c>
      <c r="BO508" s="15" t="s">
        <v>172</v>
      </c>
      <c r="BP508" s="17">
        <v>4.4800000000000004</v>
      </c>
      <c r="BQ508" s="15" t="s">
        <v>172</v>
      </c>
      <c r="BR508" s="15" t="s">
        <v>205</v>
      </c>
      <c r="BS508" s="15" t="s">
        <v>206</v>
      </c>
      <c r="BT508" s="15" t="s">
        <v>138</v>
      </c>
      <c r="BU508" s="15" t="s">
        <v>174</v>
      </c>
      <c r="BV508" s="15" t="s">
        <v>138</v>
      </c>
      <c r="BW508" s="15" t="s">
        <v>138</v>
      </c>
      <c r="BX508" s="15" t="s">
        <v>138</v>
      </c>
      <c r="BY508" s="15" t="s">
        <v>175</v>
      </c>
      <c r="BZ508" s="22">
        <v>43588</v>
      </c>
      <c r="CA508" s="17">
        <v>16</v>
      </c>
      <c r="CB508" s="15" t="s">
        <v>172</v>
      </c>
      <c r="CC508" s="17">
        <v>16</v>
      </c>
      <c r="CD508" s="15" t="s">
        <v>172</v>
      </c>
      <c r="CE508" s="15" t="s">
        <v>2228</v>
      </c>
      <c r="CF508" s="15" t="s">
        <v>138</v>
      </c>
      <c r="CG508" s="15" t="s">
        <v>138</v>
      </c>
      <c r="CH508" s="15" t="s">
        <v>780</v>
      </c>
      <c r="CI508" s="15" t="s">
        <v>138</v>
      </c>
      <c r="CJ508" s="15" t="s">
        <v>138</v>
      </c>
      <c r="CK508" s="15" t="s">
        <v>138</v>
      </c>
      <c r="CL508" s="15" t="s">
        <v>352</v>
      </c>
      <c r="CM508" s="22" t="s">
        <v>138</v>
      </c>
      <c r="CN508" s="17" t="s">
        <v>138</v>
      </c>
      <c r="CO508" s="23">
        <v>-0.2</v>
      </c>
      <c r="CP508" s="24">
        <v>20</v>
      </c>
      <c r="CQ508" s="23">
        <v>0.01</v>
      </c>
      <c r="CR508" s="23">
        <v>6.83</v>
      </c>
      <c r="CS508" s="23">
        <v>-0.42</v>
      </c>
      <c r="CT508" s="24">
        <v>20</v>
      </c>
      <c r="CU508" s="23">
        <v>0.01</v>
      </c>
      <c r="CV508" s="24">
        <v>49</v>
      </c>
      <c r="CW508" s="23">
        <v>0</v>
      </c>
      <c r="CX508" s="24">
        <v>13</v>
      </c>
      <c r="CY508" s="23">
        <v>-0.84</v>
      </c>
      <c r="CZ508" s="24">
        <v>20</v>
      </c>
      <c r="DA508" s="23">
        <v>0.03</v>
      </c>
      <c r="DB508" s="24">
        <v>60</v>
      </c>
      <c r="DC508" s="25">
        <v>2.19</v>
      </c>
      <c r="DD508" s="24">
        <v>69</v>
      </c>
      <c r="DE508" s="25">
        <v>-0.03</v>
      </c>
      <c r="DF508" s="23">
        <v>-1.54</v>
      </c>
      <c r="DG508" s="25">
        <v>3.73</v>
      </c>
      <c r="DH508" s="24">
        <v>78</v>
      </c>
      <c r="DI508" s="25">
        <v>0.65</v>
      </c>
      <c r="DJ508" s="24">
        <v>41</v>
      </c>
      <c r="DK508" s="25">
        <v>1.19</v>
      </c>
      <c r="DL508" s="24">
        <v>54</v>
      </c>
      <c r="DM508" s="25">
        <v>6.28</v>
      </c>
      <c r="DN508" s="24">
        <v>84</v>
      </c>
      <c r="DO508" s="25">
        <v>1.28</v>
      </c>
      <c r="DP508" s="24">
        <v>55</v>
      </c>
      <c r="DQ508" s="24">
        <v>391</v>
      </c>
      <c r="DR508" s="26">
        <v>48</v>
      </c>
      <c r="DS508" s="23">
        <v>13.99</v>
      </c>
      <c r="DT508" s="24">
        <v>182</v>
      </c>
      <c r="DU508" s="26">
        <v>1</v>
      </c>
      <c r="DV508" s="23">
        <v>0.55000000000000004</v>
      </c>
      <c r="DW508" s="24">
        <v>455</v>
      </c>
      <c r="DX508" s="27">
        <v>2</v>
      </c>
      <c r="DY508" s="23">
        <v>0.44</v>
      </c>
      <c r="DZ508" s="15" t="s">
        <v>178</v>
      </c>
      <c r="EA508" s="22">
        <v>43622</v>
      </c>
      <c r="EB508" s="17">
        <v>16</v>
      </c>
      <c r="EC508" s="22">
        <v>43588</v>
      </c>
      <c r="ED508" s="15" t="s">
        <v>2228</v>
      </c>
      <c r="EE508" s="14" t="str">
        <f>HYPERLINK("https://my.pitchbook.com?c=52845-58", "View company online")</f>
        <v>View company online</v>
      </c>
    </row>
    <row r="509" spans="1:135">
      <c r="A509" s="28" t="s">
        <v>10447</v>
      </c>
      <c r="B509" s="28" t="s">
        <v>10448</v>
      </c>
      <c r="C509" s="28" t="s">
        <v>138</v>
      </c>
      <c r="D509" s="28" t="s">
        <v>138</v>
      </c>
      <c r="E509" s="28" t="s">
        <v>10449</v>
      </c>
      <c r="F509" s="28" t="s">
        <v>10447</v>
      </c>
      <c r="G509" s="28" t="s">
        <v>10450</v>
      </c>
      <c r="H509" s="28" t="s">
        <v>322</v>
      </c>
      <c r="I509" s="28" t="s">
        <v>1503</v>
      </c>
      <c r="J509" s="28" t="s">
        <v>1504</v>
      </c>
      <c r="K509" s="28" t="s">
        <v>9347</v>
      </c>
      <c r="L509" s="28" t="s">
        <v>1428</v>
      </c>
      <c r="M509" s="28" t="s">
        <v>10451</v>
      </c>
      <c r="N509" s="28" t="s">
        <v>147</v>
      </c>
      <c r="O509" s="29">
        <v>55.9</v>
      </c>
      <c r="P509" s="28" t="s">
        <v>148</v>
      </c>
      <c r="Q509" s="28" t="s">
        <v>149</v>
      </c>
      <c r="R509" s="28" t="s">
        <v>174</v>
      </c>
      <c r="S509" s="28" t="s">
        <v>10452</v>
      </c>
      <c r="T509" s="30" t="s">
        <v>138</v>
      </c>
      <c r="U509" s="28" t="s">
        <v>138</v>
      </c>
      <c r="V509" s="28" t="s">
        <v>138</v>
      </c>
      <c r="W509" s="28" t="s">
        <v>138</v>
      </c>
      <c r="X509" s="31">
        <v>2013</v>
      </c>
      <c r="Y509" s="28" t="s">
        <v>138</v>
      </c>
      <c r="Z509" s="28" t="s">
        <v>138</v>
      </c>
      <c r="AA509" s="28" t="s">
        <v>138</v>
      </c>
      <c r="AB509" s="32" t="s">
        <v>138</v>
      </c>
      <c r="AC509" s="32" t="s">
        <v>138</v>
      </c>
      <c r="AD509" s="32" t="s">
        <v>138</v>
      </c>
      <c r="AE509" s="32" t="s">
        <v>138</v>
      </c>
      <c r="AF509" s="32" t="s">
        <v>138</v>
      </c>
      <c r="AG509" s="28" t="s">
        <v>138</v>
      </c>
      <c r="AH509" s="32" t="s">
        <v>138</v>
      </c>
      <c r="AI509" s="32" t="s">
        <v>138</v>
      </c>
      <c r="AJ509" s="32" t="s">
        <v>138</v>
      </c>
      <c r="AK509" s="28" t="s">
        <v>10453</v>
      </c>
      <c r="AL509" s="28" t="s">
        <v>10454</v>
      </c>
      <c r="AM509" s="28" t="s">
        <v>566</v>
      </c>
      <c r="AN509" s="28" t="s">
        <v>10455</v>
      </c>
      <c r="AO509" s="28" t="s">
        <v>10456</v>
      </c>
      <c r="AP509" s="28" t="s">
        <v>1514</v>
      </c>
      <c r="AQ509" s="28" t="s">
        <v>10457</v>
      </c>
      <c r="AR509" s="28" t="s">
        <v>138</v>
      </c>
      <c r="AS509" s="28" t="s">
        <v>1516</v>
      </c>
      <c r="AT509" s="28" t="s">
        <v>284</v>
      </c>
      <c r="AU509" s="28" t="s">
        <v>10458</v>
      </c>
      <c r="AV509" s="28" t="s">
        <v>162</v>
      </c>
      <c r="AW509" s="28" t="s">
        <v>10459</v>
      </c>
      <c r="AX509" s="28" t="s">
        <v>138</v>
      </c>
      <c r="AY509" s="28" t="s">
        <v>10460</v>
      </c>
      <c r="AZ509" s="28" t="s">
        <v>164</v>
      </c>
      <c r="BA509" s="28" t="s">
        <v>165</v>
      </c>
      <c r="BB509" s="28" t="s">
        <v>10461</v>
      </c>
      <c r="BC509" s="28" t="s">
        <v>10462</v>
      </c>
      <c r="BD509" s="33">
        <v>11</v>
      </c>
      <c r="BE509" s="28" t="s">
        <v>138</v>
      </c>
      <c r="BF509" s="28" t="s">
        <v>138</v>
      </c>
      <c r="BG509" s="28" t="s">
        <v>138</v>
      </c>
      <c r="BH509" s="28" t="s">
        <v>10463</v>
      </c>
      <c r="BI509" s="28" t="s">
        <v>138</v>
      </c>
      <c r="BJ509" s="28" t="s">
        <v>138</v>
      </c>
      <c r="BK509" s="28" t="s">
        <v>138</v>
      </c>
      <c r="BL509" s="28" t="s">
        <v>138</v>
      </c>
      <c r="BM509" s="34">
        <v>41275</v>
      </c>
      <c r="BN509" s="29" t="s">
        <v>138</v>
      </c>
      <c r="BO509" s="28" t="s">
        <v>138</v>
      </c>
      <c r="BP509" s="29" t="s">
        <v>138</v>
      </c>
      <c r="BQ509" s="28" t="s">
        <v>138</v>
      </c>
      <c r="BR509" s="28" t="s">
        <v>316</v>
      </c>
      <c r="BS509" s="28" t="s">
        <v>138</v>
      </c>
      <c r="BT509" s="28" t="s">
        <v>138</v>
      </c>
      <c r="BU509" s="28" t="s">
        <v>177</v>
      </c>
      <c r="BV509" s="28" t="s">
        <v>138</v>
      </c>
      <c r="BW509" s="28" t="s">
        <v>138</v>
      </c>
      <c r="BX509" s="28" t="s">
        <v>138</v>
      </c>
      <c r="BY509" s="28" t="s">
        <v>175</v>
      </c>
      <c r="BZ509" s="34">
        <v>43497</v>
      </c>
      <c r="CA509" s="29">
        <v>27.9</v>
      </c>
      <c r="CB509" s="28" t="s">
        <v>172</v>
      </c>
      <c r="CC509" s="29" t="s">
        <v>138</v>
      </c>
      <c r="CD509" s="28" t="s">
        <v>138</v>
      </c>
      <c r="CE509" s="28" t="s">
        <v>173</v>
      </c>
      <c r="CF509" s="28" t="s">
        <v>433</v>
      </c>
      <c r="CG509" s="28" t="s">
        <v>138</v>
      </c>
      <c r="CH509" s="28" t="s">
        <v>174</v>
      </c>
      <c r="CI509" s="28" t="s">
        <v>138</v>
      </c>
      <c r="CJ509" s="28" t="s">
        <v>138</v>
      </c>
      <c r="CK509" s="28" t="s">
        <v>138</v>
      </c>
      <c r="CL509" s="28" t="s">
        <v>175</v>
      </c>
      <c r="CM509" s="34" t="s">
        <v>138</v>
      </c>
      <c r="CN509" s="29" t="s">
        <v>138</v>
      </c>
      <c r="CO509" s="35">
        <v>-0.11</v>
      </c>
      <c r="CP509" s="36">
        <v>21</v>
      </c>
      <c r="CQ509" s="35">
        <v>-0.03</v>
      </c>
      <c r="CR509" s="35">
        <v>-42.82</v>
      </c>
      <c r="CS509" s="35">
        <v>-0.22</v>
      </c>
      <c r="CT509" s="36">
        <v>21</v>
      </c>
      <c r="CU509" s="35">
        <v>0</v>
      </c>
      <c r="CV509" s="36">
        <v>22</v>
      </c>
      <c r="CW509" s="35">
        <v>0</v>
      </c>
      <c r="CX509" s="36">
        <v>13</v>
      </c>
      <c r="CY509" s="35">
        <v>-0.45</v>
      </c>
      <c r="CZ509" s="36">
        <v>22</v>
      </c>
      <c r="DA509" s="35">
        <v>0</v>
      </c>
      <c r="DB509" s="36">
        <v>22</v>
      </c>
      <c r="DC509" s="37">
        <v>2.5499999999999998</v>
      </c>
      <c r="DD509" s="36">
        <v>72</v>
      </c>
      <c r="DE509" s="37">
        <v>0.03</v>
      </c>
      <c r="DF509" s="35">
        <v>1.03</v>
      </c>
      <c r="DG509" s="37">
        <v>4.8499999999999996</v>
      </c>
      <c r="DH509" s="36">
        <v>82</v>
      </c>
      <c r="DI509" s="37">
        <v>0.25</v>
      </c>
      <c r="DJ509" s="36">
        <v>25</v>
      </c>
      <c r="DK509" s="37">
        <v>0.47</v>
      </c>
      <c r="DL509" s="36">
        <v>34</v>
      </c>
      <c r="DM509" s="37">
        <v>9.24</v>
      </c>
      <c r="DN509" s="36">
        <v>88</v>
      </c>
      <c r="DO509" s="37">
        <v>0.25</v>
      </c>
      <c r="DP509" s="36">
        <v>27</v>
      </c>
      <c r="DQ509" s="36">
        <v>153</v>
      </c>
      <c r="DR509" s="38">
        <v>19</v>
      </c>
      <c r="DS509" s="35">
        <v>14.18</v>
      </c>
      <c r="DT509" s="36">
        <v>265</v>
      </c>
      <c r="DU509" s="38">
        <v>5</v>
      </c>
      <c r="DV509" s="35">
        <v>1.92</v>
      </c>
      <c r="DW509" s="36">
        <v>90</v>
      </c>
      <c r="DX509" s="39">
        <v>-1</v>
      </c>
      <c r="DY509" s="35">
        <v>-1.1000000000000001</v>
      </c>
      <c r="DZ509" s="28" t="s">
        <v>178</v>
      </c>
      <c r="EA509" s="34">
        <v>43592</v>
      </c>
      <c r="EB509" s="29" t="s">
        <v>138</v>
      </c>
      <c r="EC509" s="34" t="s">
        <v>138</v>
      </c>
      <c r="ED509" s="28" t="s">
        <v>138</v>
      </c>
      <c r="EE509" s="40" t="str">
        <f>HYPERLINK("https://my.pitchbook.com?c=98429-68", "View company online")</f>
        <v>View company online</v>
      </c>
    </row>
    <row r="510" spans="1:135">
      <c r="A510" s="15" t="s">
        <v>10464</v>
      </c>
      <c r="B510" s="15" t="s">
        <v>10465</v>
      </c>
      <c r="C510" s="15" t="s">
        <v>10466</v>
      </c>
      <c r="D510" s="15" t="s">
        <v>138</v>
      </c>
      <c r="E510" s="15" t="s">
        <v>10467</v>
      </c>
      <c r="F510" s="15" t="s">
        <v>10464</v>
      </c>
      <c r="G510" s="15" t="s">
        <v>10468</v>
      </c>
      <c r="H510" s="15" t="s">
        <v>322</v>
      </c>
      <c r="I510" s="15" t="s">
        <v>323</v>
      </c>
      <c r="J510" s="15" t="s">
        <v>324</v>
      </c>
      <c r="K510" s="15" t="s">
        <v>325</v>
      </c>
      <c r="L510" s="15" t="s">
        <v>2620</v>
      </c>
      <c r="M510" s="15" t="s">
        <v>10469</v>
      </c>
      <c r="N510" s="15" t="s">
        <v>147</v>
      </c>
      <c r="O510" s="17">
        <v>1</v>
      </c>
      <c r="P510" s="15" t="s">
        <v>148</v>
      </c>
      <c r="Q510" s="15" t="s">
        <v>149</v>
      </c>
      <c r="R510" s="15" t="s">
        <v>174</v>
      </c>
      <c r="S510" s="15" t="s">
        <v>10470</v>
      </c>
      <c r="T510" s="18">
        <v>31</v>
      </c>
      <c r="U510" s="15" t="s">
        <v>10471</v>
      </c>
      <c r="V510" s="15" t="s">
        <v>138</v>
      </c>
      <c r="W510" s="15" t="s">
        <v>138</v>
      </c>
      <c r="X510" s="19">
        <v>2013</v>
      </c>
      <c r="Y510" s="15" t="s">
        <v>138</v>
      </c>
      <c r="Z510" s="15" t="s">
        <v>138</v>
      </c>
      <c r="AA510" s="15" t="s">
        <v>138</v>
      </c>
      <c r="AB510" s="20" t="s">
        <v>138</v>
      </c>
      <c r="AC510" s="20" t="s">
        <v>138</v>
      </c>
      <c r="AD510" s="20" t="s">
        <v>138</v>
      </c>
      <c r="AE510" s="20" t="s">
        <v>138</v>
      </c>
      <c r="AF510" s="20" t="s">
        <v>138</v>
      </c>
      <c r="AG510" s="15" t="s">
        <v>419</v>
      </c>
      <c r="AH510" s="20" t="s">
        <v>138</v>
      </c>
      <c r="AI510" s="20" t="s">
        <v>138</v>
      </c>
      <c r="AJ510" s="20" t="s">
        <v>138</v>
      </c>
      <c r="AK510" s="15" t="s">
        <v>10472</v>
      </c>
      <c r="AL510" s="15" t="s">
        <v>10473</v>
      </c>
      <c r="AM510" s="15" t="s">
        <v>916</v>
      </c>
      <c r="AN510" s="15" t="s">
        <v>10474</v>
      </c>
      <c r="AO510" s="15" t="s">
        <v>138</v>
      </c>
      <c r="AP510" s="15" t="s">
        <v>665</v>
      </c>
      <c r="AQ510" s="15" t="s">
        <v>10475</v>
      </c>
      <c r="AR510" s="15" t="s">
        <v>10476</v>
      </c>
      <c r="AS510" s="15" t="s">
        <v>668</v>
      </c>
      <c r="AT510" s="15" t="s">
        <v>200</v>
      </c>
      <c r="AU510" s="15" t="s">
        <v>2052</v>
      </c>
      <c r="AV510" s="15" t="s">
        <v>162</v>
      </c>
      <c r="AW510" s="15" t="s">
        <v>138</v>
      </c>
      <c r="AX510" s="15" t="s">
        <v>138</v>
      </c>
      <c r="AY510" s="15" t="s">
        <v>10477</v>
      </c>
      <c r="AZ510" s="15" t="s">
        <v>164</v>
      </c>
      <c r="BA510" s="15" t="s">
        <v>165</v>
      </c>
      <c r="BB510" s="15" t="s">
        <v>10478</v>
      </c>
      <c r="BC510" s="15" t="s">
        <v>10479</v>
      </c>
      <c r="BD510" s="21">
        <v>9</v>
      </c>
      <c r="BE510" s="15" t="s">
        <v>138</v>
      </c>
      <c r="BF510" s="15" t="s">
        <v>138</v>
      </c>
      <c r="BG510" s="15" t="s">
        <v>138</v>
      </c>
      <c r="BH510" s="15" t="s">
        <v>10480</v>
      </c>
      <c r="BI510" s="15" t="s">
        <v>138</v>
      </c>
      <c r="BJ510" s="15" t="s">
        <v>138</v>
      </c>
      <c r="BK510" s="15" t="s">
        <v>138</v>
      </c>
      <c r="BL510" s="15" t="s">
        <v>138</v>
      </c>
      <c r="BM510" s="22">
        <v>41417</v>
      </c>
      <c r="BN510" s="17" t="s">
        <v>138</v>
      </c>
      <c r="BO510" s="15" t="s">
        <v>138</v>
      </c>
      <c r="BP510" s="17" t="s">
        <v>138</v>
      </c>
      <c r="BQ510" s="15" t="s">
        <v>138</v>
      </c>
      <c r="BR510" s="15" t="s">
        <v>316</v>
      </c>
      <c r="BS510" s="15" t="s">
        <v>138</v>
      </c>
      <c r="BT510" s="15" t="s">
        <v>138</v>
      </c>
      <c r="BU510" s="15" t="s">
        <v>177</v>
      </c>
      <c r="BV510" s="15" t="s">
        <v>138</v>
      </c>
      <c r="BW510" s="15" t="s">
        <v>138</v>
      </c>
      <c r="BX510" s="15" t="s">
        <v>138</v>
      </c>
      <c r="BY510" s="15" t="s">
        <v>175</v>
      </c>
      <c r="BZ510" s="22">
        <v>41492</v>
      </c>
      <c r="CA510" s="17">
        <v>1</v>
      </c>
      <c r="CB510" s="15" t="s">
        <v>172</v>
      </c>
      <c r="CC510" s="17" t="s">
        <v>138</v>
      </c>
      <c r="CD510" s="15" t="s">
        <v>138</v>
      </c>
      <c r="CE510" s="15" t="s">
        <v>205</v>
      </c>
      <c r="CF510" s="15" t="s">
        <v>138</v>
      </c>
      <c r="CG510" s="15" t="s">
        <v>138</v>
      </c>
      <c r="CH510" s="15" t="s">
        <v>174</v>
      </c>
      <c r="CI510" s="15" t="s">
        <v>138</v>
      </c>
      <c r="CJ510" s="15" t="s">
        <v>138</v>
      </c>
      <c r="CK510" s="15" t="s">
        <v>138</v>
      </c>
      <c r="CL510" s="15" t="s">
        <v>175</v>
      </c>
      <c r="CM510" s="22" t="s">
        <v>138</v>
      </c>
      <c r="CN510" s="17" t="s">
        <v>138</v>
      </c>
      <c r="CO510" s="23">
        <v>0.24</v>
      </c>
      <c r="CP510" s="24">
        <v>93</v>
      </c>
      <c r="CQ510" s="23">
        <v>0.04</v>
      </c>
      <c r="CR510" s="23">
        <v>18.29</v>
      </c>
      <c r="CS510" s="23">
        <v>0.28999999999999998</v>
      </c>
      <c r="CT510" s="24">
        <v>95</v>
      </c>
      <c r="CU510" s="23">
        <v>0.2</v>
      </c>
      <c r="CV510" s="24">
        <v>80</v>
      </c>
      <c r="CW510" s="23">
        <v>1.88</v>
      </c>
      <c r="CX510" s="24">
        <v>88</v>
      </c>
      <c r="CY510" s="23">
        <v>-1.3</v>
      </c>
      <c r="CZ510" s="24">
        <v>16</v>
      </c>
      <c r="DA510" s="23">
        <v>0.24</v>
      </c>
      <c r="DB510" s="24">
        <v>85</v>
      </c>
      <c r="DC510" s="25">
        <v>45.33</v>
      </c>
      <c r="DD510" s="24">
        <v>98</v>
      </c>
      <c r="DE510" s="25">
        <v>-4.6399999999999997</v>
      </c>
      <c r="DF510" s="23">
        <v>-9.2899999999999991</v>
      </c>
      <c r="DG510" s="25">
        <v>75.430000000000007</v>
      </c>
      <c r="DH510" s="24">
        <v>99</v>
      </c>
      <c r="DI510" s="25">
        <v>15.23</v>
      </c>
      <c r="DJ510" s="24">
        <v>89</v>
      </c>
      <c r="DK510" s="25">
        <v>146.24</v>
      </c>
      <c r="DL510" s="24">
        <v>98</v>
      </c>
      <c r="DM510" s="25">
        <v>4.62</v>
      </c>
      <c r="DN510" s="24">
        <v>80</v>
      </c>
      <c r="DO510" s="25">
        <v>27.73</v>
      </c>
      <c r="DP510" s="24">
        <v>94</v>
      </c>
      <c r="DQ510" s="24">
        <v>49497</v>
      </c>
      <c r="DR510" s="26">
        <v>1995</v>
      </c>
      <c r="DS510" s="23">
        <v>4.2</v>
      </c>
      <c r="DT510" s="24">
        <v>134</v>
      </c>
      <c r="DU510" s="26">
        <v>-1</v>
      </c>
      <c r="DV510" s="23">
        <v>-0.74</v>
      </c>
      <c r="DW510" s="24">
        <v>9907</v>
      </c>
      <c r="DX510" s="27">
        <v>29</v>
      </c>
      <c r="DY510" s="23">
        <v>0.28999999999999998</v>
      </c>
      <c r="DZ510" s="15" t="s">
        <v>178</v>
      </c>
      <c r="EA510" s="22">
        <v>43514</v>
      </c>
      <c r="EB510" s="17" t="s">
        <v>138</v>
      </c>
      <c r="EC510" s="22" t="s">
        <v>138</v>
      </c>
      <c r="ED510" s="15" t="s">
        <v>138</v>
      </c>
      <c r="EE510" s="14" t="str">
        <f>HYPERLINK("https://my.pitchbook.com?c=58449-16", "View company online")</f>
        <v>View company online</v>
      </c>
    </row>
    <row r="511" spans="1:135">
      <c r="A511" s="28" t="s">
        <v>10481</v>
      </c>
      <c r="B511" s="28" t="s">
        <v>10482</v>
      </c>
      <c r="C511" s="28" t="s">
        <v>138</v>
      </c>
      <c r="D511" s="28" t="s">
        <v>138</v>
      </c>
      <c r="E511" s="28" t="s">
        <v>10483</v>
      </c>
      <c r="F511" s="28" t="s">
        <v>10481</v>
      </c>
      <c r="G511" s="28" t="s">
        <v>10484</v>
      </c>
      <c r="H511" s="28" t="s">
        <v>183</v>
      </c>
      <c r="I511" s="28" t="s">
        <v>184</v>
      </c>
      <c r="J511" s="28" t="s">
        <v>2141</v>
      </c>
      <c r="K511" s="28" t="s">
        <v>10485</v>
      </c>
      <c r="L511" s="28" t="s">
        <v>4186</v>
      </c>
      <c r="M511" s="28" t="s">
        <v>10486</v>
      </c>
      <c r="N511" s="28" t="s">
        <v>147</v>
      </c>
      <c r="O511" s="29">
        <v>7</v>
      </c>
      <c r="P511" s="28" t="s">
        <v>10487</v>
      </c>
      <c r="Q511" s="28" t="s">
        <v>149</v>
      </c>
      <c r="R511" s="28" t="s">
        <v>174</v>
      </c>
      <c r="S511" s="28" t="s">
        <v>10488</v>
      </c>
      <c r="T511" s="30">
        <v>12</v>
      </c>
      <c r="U511" s="28" t="s">
        <v>10489</v>
      </c>
      <c r="V511" s="28" t="s">
        <v>138</v>
      </c>
      <c r="W511" s="28" t="s">
        <v>138</v>
      </c>
      <c r="X511" s="31">
        <v>2012</v>
      </c>
      <c r="Y511" s="28" t="s">
        <v>138</v>
      </c>
      <c r="Z511" s="28" t="s">
        <v>138</v>
      </c>
      <c r="AA511" s="28" t="s">
        <v>138</v>
      </c>
      <c r="AB511" s="32" t="s">
        <v>138</v>
      </c>
      <c r="AC511" s="32" t="s">
        <v>138</v>
      </c>
      <c r="AD511" s="32" t="s">
        <v>138</v>
      </c>
      <c r="AE511" s="32" t="s">
        <v>138</v>
      </c>
      <c r="AF511" s="32" t="s">
        <v>138</v>
      </c>
      <c r="AG511" s="28" t="s">
        <v>138</v>
      </c>
      <c r="AH511" s="32" t="s">
        <v>138</v>
      </c>
      <c r="AI511" s="32" t="s">
        <v>138</v>
      </c>
      <c r="AJ511" s="32" t="s">
        <v>138</v>
      </c>
      <c r="AK511" s="28" t="s">
        <v>10490</v>
      </c>
      <c r="AL511" s="28" t="s">
        <v>10491</v>
      </c>
      <c r="AM511" s="28" t="s">
        <v>221</v>
      </c>
      <c r="AN511" s="28" t="s">
        <v>10492</v>
      </c>
      <c r="AO511" s="28" t="s">
        <v>10493</v>
      </c>
      <c r="AP511" s="28" t="s">
        <v>1635</v>
      </c>
      <c r="AQ511" s="28" t="s">
        <v>10494</v>
      </c>
      <c r="AR511" s="28" t="s">
        <v>2390</v>
      </c>
      <c r="AS511" s="28" t="s">
        <v>1638</v>
      </c>
      <c r="AT511" s="28" t="s">
        <v>200</v>
      </c>
      <c r="AU511" s="28" t="s">
        <v>1639</v>
      </c>
      <c r="AV511" s="28" t="s">
        <v>162</v>
      </c>
      <c r="AW511" s="28" t="s">
        <v>10493</v>
      </c>
      <c r="AX511" s="28" t="s">
        <v>138</v>
      </c>
      <c r="AY511" s="28" t="s">
        <v>10495</v>
      </c>
      <c r="AZ511" s="28" t="s">
        <v>164</v>
      </c>
      <c r="BA511" s="28" t="s">
        <v>165</v>
      </c>
      <c r="BB511" s="28" t="s">
        <v>10496</v>
      </c>
      <c r="BC511" s="28" t="s">
        <v>10497</v>
      </c>
      <c r="BD511" s="33">
        <v>3</v>
      </c>
      <c r="BE511" s="28" t="s">
        <v>138</v>
      </c>
      <c r="BF511" s="28" t="s">
        <v>138</v>
      </c>
      <c r="BG511" s="28" t="s">
        <v>138</v>
      </c>
      <c r="BH511" s="28" t="s">
        <v>10498</v>
      </c>
      <c r="BI511" s="28" t="s">
        <v>138</v>
      </c>
      <c r="BJ511" s="28" t="s">
        <v>138</v>
      </c>
      <c r="BK511" s="28" t="s">
        <v>10499</v>
      </c>
      <c r="BL511" s="28" t="s">
        <v>138</v>
      </c>
      <c r="BM511" s="34">
        <v>41684</v>
      </c>
      <c r="BN511" s="29">
        <v>2</v>
      </c>
      <c r="BO511" s="28" t="s">
        <v>172</v>
      </c>
      <c r="BP511" s="29" t="s">
        <v>138</v>
      </c>
      <c r="BQ511" s="28" t="s">
        <v>138</v>
      </c>
      <c r="BR511" s="28" t="s">
        <v>234</v>
      </c>
      <c r="BS511" s="28" t="s">
        <v>234</v>
      </c>
      <c r="BT511" s="28" t="s">
        <v>138</v>
      </c>
      <c r="BU511" s="28" t="s">
        <v>174</v>
      </c>
      <c r="BV511" s="28" t="s">
        <v>138</v>
      </c>
      <c r="BW511" s="28" t="s">
        <v>138</v>
      </c>
      <c r="BX511" s="28" t="s">
        <v>138</v>
      </c>
      <c r="BY511" s="28" t="s">
        <v>175</v>
      </c>
      <c r="BZ511" s="34">
        <v>42199</v>
      </c>
      <c r="CA511" s="29">
        <v>5</v>
      </c>
      <c r="CB511" s="28" t="s">
        <v>172</v>
      </c>
      <c r="CC511" s="29" t="s">
        <v>138</v>
      </c>
      <c r="CD511" s="28" t="s">
        <v>138</v>
      </c>
      <c r="CE511" s="28" t="s">
        <v>205</v>
      </c>
      <c r="CF511" s="28" t="s">
        <v>206</v>
      </c>
      <c r="CG511" s="28" t="s">
        <v>138</v>
      </c>
      <c r="CH511" s="28" t="s">
        <v>174</v>
      </c>
      <c r="CI511" s="28" t="s">
        <v>138</v>
      </c>
      <c r="CJ511" s="28" t="s">
        <v>138</v>
      </c>
      <c r="CK511" s="28" t="s">
        <v>138</v>
      </c>
      <c r="CL511" s="28" t="s">
        <v>175</v>
      </c>
      <c r="CM511" s="34" t="s">
        <v>138</v>
      </c>
      <c r="CN511" s="29" t="s">
        <v>138</v>
      </c>
      <c r="CO511" s="35">
        <v>0</v>
      </c>
      <c r="CP511" s="36">
        <v>26</v>
      </c>
      <c r="CQ511" s="35">
        <v>0</v>
      </c>
      <c r="CR511" s="35">
        <v>0</v>
      </c>
      <c r="CS511" s="35">
        <v>0</v>
      </c>
      <c r="CT511" s="36">
        <v>23</v>
      </c>
      <c r="CU511" s="35">
        <v>0</v>
      </c>
      <c r="CV511" s="36">
        <v>22</v>
      </c>
      <c r="CW511" s="35" t="s">
        <v>138</v>
      </c>
      <c r="CX511" s="36" t="s">
        <v>138</v>
      </c>
      <c r="CY511" s="35">
        <v>0</v>
      </c>
      <c r="CZ511" s="36">
        <v>25</v>
      </c>
      <c r="DA511" s="35">
        <v>0</v>
      </c>
      <c r="DB511" s="36">
        <v>22</v>
      </c>
      <c r="DC511" s="37">
        <v>0.96</v>
      </c>
      <c r="DD511" s="36">
        <v>50</v>
      </c>
      <c r="DE511" s="37">
        <v>0</v>
      </c>
      <c r="DF511" s="35">
        <v>0.01</v>
      </c>
      <c r="DG511" s="37">
        <v>1.86</v>
      </c>
      <c r="DH511" s="36">
        <v>65</v>
      </c>
      <c r="DI511" s="37">
        <v>0.05</v>
      </c>
      <c r="DJ511" s="36">
        <v>9</v>
      </c>
      <c r="DK511" s="37" t="s">
        <v>138</v>
      </c>
      <c r="DL511" s="36" t="s">
        <v>138</v>
      </c>
      <c r="DM511" s="37">
        <v>1.86</v>
      </c>
      <c r="DN511" s="36">
        <v>64</v>
      </c>
      <c r="DO511" s="37">
        <v>0.05</v>
      </c>
      <c r="DP511" s="36">
        <v>10</v>
      </c>
      <c r="DQ511" s="36" t="s">
        <v>138</v>
      </c>
      <c r="DR511" s="38" t="s">
        <v>138</v>
      </c>
      <c r="DS511" s="35" t="s">
        <v>138</v>
      </c>
      <c r="DT511" s="36">
        <v>54</v>
      </c>
      <c r="DU511" s="38">
        <v>1</v>
      </c>
      <c r="DV511" s="35">
        <v>1.89</v>
      </c>
      <c r="DW511" s="36">
        <v>18</v>
      </c>
      <c r="DX511" s="39">
        <v>0</v>
      </c>
      <c r="DY511" s="35">
        <v>0</v>
      </c>
      <c r="DZ511" s="28" t="s">
        <v>178</v>
      </c>
      <c r="EA511" s="34">
        <v>43607</v>
      </c>
      <c r="EB511" s="29" t="s">
        <v>138</v>
      </c>
      <c r="EC511" s="34" t="s">
        <v>138</v>
      </c>
      <c r="ED511" s="28" t="s">
        <v>138</v>
      </c>
      <c r="EE511" s="40" t="str">
        <f>HYPERLINK("https://my.pitchbook.com?c=142261-57", "View company online")</f>
        <v>View company online</v>
      </c>
    </row>
    <row r="512" spans="1:135">
      <c r="A512" s="15" t="s">
        <v>10500</v>
      </c>
      <c r="B512" s="15" t="s">
        <v>10501</v>
      </c>
      <c r="C512" s="15" t="s">
        <v>138</v>
      </c>
      <c r="D512" s="15" t="s">
        <v>138</v>
      </c>
      <c r="E512" s="15" t="s">
        <v>138</v>
      </c>
      <c r="F512" s="15" t="s">
        <v>10500</v>
      </c>
      <c r="G512" s="15" t="s">
        <v>10502</v>
      </c>
      <c r="H512" s="15" t="s">
        <v>141</v>
      </c>
      <c r="I512" s="15" t="s">
        <v>142</v>
      </c>
      <c r="J512" s="15" t="s">
        <v>4042</v>
      </c>
      <c r="K512" s="15" t="s">
        <v>6541</v>
      </c>
      <c r="L512" s="15" t="s">
        <v>7679</v>
      </c>
      <c r="M512" s="15" t="s">
        <v>10503</v>
      </c>
      <c r="N512" s="15" t="s">
        <v>147</v>
      </c>
      <c r="O512" s="17" t="s">
        <v>138</v>
      </c>
      <c r="P512" s="15" t="s">
        <v>148</v>
      </c>
      <c r="Q512" s="15" t="s">
        <v>149</v>
      </c>
      <c r="R512" s="15" t="s">
        <v>150</v>
      </c>
      <c r="S512" s="15" t="s">
        <v>10504</v>
      </c>
      <c r="T512" s="18">
        <v>106</v>
      </c>
      <c r="U512" s="15" t="s">
        <v>10505</v>
      </c>
      <c r="V512" s="15" t="s">
        <v>138</v>
      </c>
      <c r="W512" s="15" t="s">
        <v>138</v>
      </c>
      <c r="X512" s="19">
        <v>1993</v>
      </c>
      <c r="Y512" s="15" t="s">
        <v>138</v>
      </c>
      <c r="Z512" s="15" t="s">
        <v>138</v>
      </c>
      <c r="AA512" s="15" t="s">
        <v>138</v>
      </c>
      <c r="AB512" s="20">
        <v>22.53</v>
      </c>
      <c r="AC512" s="20" t="s">
        <v>138</v>
      </c>
      <c r="AD512" s="20">
        <v>2.46</v>
      </c>
      <c r="AE512" s="20" t="s">
        <v>138</v>
      </c>
      <c r="AF512" s="20">
        <v>3.47</v>
      </c>
      <c r="AG512" s="15" t="s">
        <v>707</v>
      </c>
      <c r="AH512" s="20" t="s">
        <v>138</v>
      </c>
      <c r="AI512" s="20" t="s">
        <v>138</v>
      </c>
      <c r="AJ512" s="20" t="s">
        <v>138</v>
      </c>
      <c r="AK512" s="15" t="s">
        <v>10506</v>
      </c>
      <c r="AL512" s="15" t="s">
        <v>10507</v>
      </c>
      <c r="AM512" s="15" t="s">
        <v>10508</v>
      </c>
      <c r="AN512" s="15" t="s">
        <v>10509</v>
      </c>
      <c r="AO512" s="15" t="s">
        <v>10510</v>
      </c>
      <c r="AP512" s="15" t="s">
        <v>10511</v>
      </c>
      <c r="AQ512" s="15" t="s">
        <v>10512</v>
      </c>
      <c r="AR512" s="15" t="s">
        <v>10513</v>
      </c>
      <c r="AS512" s="15" t="s">
        <v>10514</v>
      </c>
      <c r="AT512" s="15" t="s">
        <v>138</v>
      </c>
      <c r="AU512" s="15" t="s">
        <v>10515</v>
      </c>
      <c r="AV512" s="15" t="s">
        <v>4444</v>
      </c>
      <c r="AW512" s="15" t="s">
        <v>10510</v>
      </c>
      <c r="AX512" s="15" t="s">
        <v>10516</v>
      </c>
      <c r="AY512" s="15" t="s">
        <v>10517</v>
      </c>
      <c r="AZ512" s="15" t="s">
        <v>530</v>
      </c>
      <c r="BA512" s="15" t="s">
        <v>577</v>
      </c>
      <c r="BB512" s="15" t="s">
        <v>10518</v>
      </c>
      <c r="BC512" s="15" t="s">
        <v>10519</v>
      </c>
      <c r="BD512" s="21">
        <v>6</v>
      </c>
      <c r="BE512" s="15" t="s">
        <v>138</v>
      </c>
      <c r="BF512" s="15" t="s">
        <v>138</v>
      </c>
      <c r="BG512" s="15" t="s">
        <v>10520</v>
      </c>
      <c r="BH512" s="15" t="s">
        <v>10521</v>
      </c>
      <c r="BI512" s="15" t="s">
        <v>138</v>
      </c>
      <c r="BJ512" s="15" t="s">
        <v>138</v>
      </c>
      <c r="BK512" s="15" t="s">
        <v>138</v>
      </c>
      <c r="BL512" s="15" t="s">
        <v>10522</v>
      </c>
      <c r="BM512" s="22">
        <v>40317</v>
      </c>
      <c r="BN512" s="17" t="s">
        <v>138</v>
      </c>
      <c r="BO512" s="15" t="s">
        <v>138</v>
      </c>
      <c r="BP512" s="17" t="s">
        <v>138</v>
      </c>
      <c r="BQ512" s="15" t="s">
        <v>138</v>
      </c>
      <c r="BR512" s="15" t="s">
        <v>173</v>
      </c>
      <c r="BS512" s="15" t="s">
        <v>138</v>
      </c>
      <c r="BT512" s="15" t="s">
        <v>138</v>
      </c>
      <c r="BU512" s="15" t="s">
        <v>174</v>
      </c>
      <c r="BV512" s="15" t="s">
        <v>138</v>
      </c>
      <c r="BW512" s="15" t="s">
        <v>138</v>
      </c>
      <c r="BX512" s="15" t="s">
        <v>138</v>
      </c>
      <c r="BY512" s="15" t="s">
        <v>175</v>
      </c>
      <c r="BZ512" s="22">
        <v>43132</v>
      </c>
      <c r="CA512" s="17" t="s">
        <v>138</v>
      </c>
      <c r="CB512" s="15" t="s">
        <v>138</v>
      </c>
      <c r="CC512" s="17" t="s">
        <v>138</v>
      </c>
      <c r="CD512" s="15" t="s">
        <v>138</v>
      </c>
      <c r="CE512" s="15" t="s">
        <v>2228</v>
      </c>
      <c r="CF512" s="15" t="s">
        <v>138</v>
      </c>
      <c r="CG512" s="15" t="s">
        <v>138</v>
      </c>
      <c r="CH512" s="15" t="s">
        <v>780</v>
      </c>
      <c r="CI512" s="15" t="s">
        <v>138</v>
      </c>
      <c r="CJ512" s="15" t="s">
        <v>138</v>
      </c>
      <c r="CK512" s="15" t="s">
        <v>138</v>
      </c>
      <c r="CL512" s="15" t="s">
        <v>352</v>
      </c>
      <c r="CM512" s="22" t="s">
        <v>138</v>
      </c>
      <c r="CN512" s="17" t="s">
        <v>138</v>
      </c>
      <c r="CO512" s="23">
        <v>0</v>
      </c>
      <c r="CP512" s="24">
        <v>26</v>
      </c>
      <c r="CQ512" s="23">
        <v>0</v>
      </c>
      <c r="CR512" s="23">
        <v>0</v>
      </c>
      <c r="CS512" s="23">
        <v>0</v>
      </c>
      <c r="CT512" s="24">
        <v>23</v>
      </c>
      <c r="CU512" s="23" t="s">
        <v>138</v>
      </c>
      <c r="CV512" s="24" t="s">
        <v>138</v>
      </c>
      <c r="CW512" s="23">
        <v>0</v>
      </c>
      <c r="CX512" s="24">
        <v>13</v>
      </c>
      <c r="CY512" s="23" t="s">
        <v>138</v>
      </c>
      <c r="CZ512" s="24" t="s">
        <v>138</v>
      </c>
      <c r="DA512" s="23" t="s">
        <v>138</v>
      </c>
      <c r="DB512" s="24" t="s">
        <v>138</v>
      </c>
      <c r="DC512" s="25">
        <v>0.65</v>
      </c>
      <c r="DD512" s="24">
        <v>40</v>
      </c>
      <c r="DE512" s="25">
        <v>-0.08</v>
      </c>
      <c r="DF512" s="23">
        <v>-11.37</v>
      </c>
      <c r="DG512" s="25">
        <v>0.65</v>
      </c>
      <c r="DH512" s="24">
        <v>40</v>
      </c>
      <c r="DI512" s="25" t="s">
        <v>138</v>
      </c>
      <c r="DJ512" s="24" t="s">
        <v>138</v>
      </c>
      <c r="DK512" s="25">
        <v>0.65</v>
      </c>
      <c r="DL512" s="24">
        <v>40</v>
      </c>
      <c r="DM512" s="25" t="s">
        <v>138</v>
      </c>
      <c r="DN512" s="24" t="s">
        <v>138</v>
      </c>
      <c r="DO512" s="25" t="s">
        <v>138</v>
      </c>
      <c r="DP512" s="24" t="s">
        <v>138</v>
      </c>
      <c r="DQ512" s="24">
        <v>227</v>
      </c>
      <c r="DR512" s="26">
        <v>-11</v>
      </c>
      <c r="DS512" s="23">
        <v>-4.62</v>
      </c>
      <c r="DT512" s="24" t="s">
        <v>138</v>
      </c>
      <c r="DU512" s="26" t="s">
        <v>138</v>
      </c>
      <c r="DV512" s="23" t="s">
        <v>138</v>
      </c>
      <c r="DW512" s="24" t="s">
        <v>138</v>
      </c>
      <c r="DX512" s="27" t="s">
        <v>138</v>
      </c>
      <c r="DY512" s="23" t="s">
        <v>138</v>
      </c>
      <c r="DZ512" s="15" t="s">
        <v>178</v>
      </c>
      <c r="EA512" s="22">
        <v>43612</v>
      </c>
      <c r="EB512" s="17" t="s">
        <v>138</v>
      </c>
      <c r="EC512" s="22" t="s">
        <v>138</v>
      </c>
      <c r="ED512" s="15" t="s">
        <v>138</v>
      </c>
      <c r="EE512" s="14" t="str">
        <f>HYPERLINK("https://my.pitchbook.com?c=62537-68", "View company online")</f>
        <v>View company online</v>
      </c>
    </row>
    <row r="513" spans="1:135">
      <c r="A513" s="28" t="s">
        <v>10523</v>
      </c>
      <c r="B513" s="28" t="s">
        <v>10524</v>
      </c>
      <c r="C513" s="28" t="s">
        <v>138</v>
      </c>
      <c r="D513" s="28" t="s">
        <v>138</v>
      </c>
      <c r="E513" s="28" t="s">
        <v>10525</v>
      </c>
      <c r="F513" s="28" t="s">
        <v>10523</v>
      </c>
      <c r="G513" s="28" t="s">
        <v>10526</v>
      </c>
      <c r="H513" s="28" t="s">
        <v>322</v>
      </c>
      <c r="I513" s="28" t="s">
        <v>1503</v>
      </c>
      <c r="J513" s="28" t="s">
        <v>3679</v>
      </c>
      <c r="K513" s="28" t="s">
        <v>10527</v>
      </c>
      <c r="L513" s="28" t="s">
        <v>10528</v>
      </c>
      <c r="M513" s="28" t="s">
        <v>10529</v>
      </c>
      <c r="N513" s="28" t="s">
        <v>147</v>
      </c>
      <c r="O513" s="29">
        <v>17.7</v>
      </c>
      <c r="P513" s="28" t="s">
        <v>148</v>
      </c>
      <c r="Q513" s="28" t="s">
        <v>149</v>
      </c>
      <c r="R513" s="28" t="s">
        <v>174</v>
      </c>
      <c r="S513" s="28" t="s">
        <v>10530</v>
      </c>
      <c r="T513" s="30" t="s">
        <v>138</v>
      </c>
      <c r="U513" s="28" t="s">
        <v>138</v>
      </c>
      <c r="V513" s="28" t="s">
        <v>138</v>
      </c>
      <c r="W513" s="28" t="s">
        <v>138</v>
      </c>
      <c r="X513" s="31">
        <v>2016</v>
      </c>
      <c r="Y513" s="28" t="s">
        <v>138</v>
      </c>
      <c r="Z513" s="28" t="s">
        <v>138</v>
      </c>
      <c r="AA513" s="28" t="s">
        <v>138</v>
      </c>
      <c r="AB513" s="32" t="s">
        <v>138</v>
      </c>
      <c r="AC513" s="32" t="s">
        <v>138</v>
      </c>
      <c r="AD513" s="32" t="s">
        <v>138</v>
      </c>
      <c r="AE513" s="32" t="s">
        <v>138</v>
      </c>
      <c r="AF513" s="32" t="s">
        <v>138</v>
      </c>
      <c r="AG513" s="28" t="s">
        <v>138</v>
      </c>
      <c r="AH513" s="32" t="s">
        <v>138</v>
      </c>
      <c r="AI513" s="32" t="s">
        <v>138</v>
      </c>
      <c r="AJ513" s="32" t="s">
        <v>138</v>
      </c>
      <c r="AK513" s="28" t="s">
        <v>10531</v>
      </c>
      <c r="AL513" s="28" t="s">
        <v>10532</v>
      </c>
      <c r="AM513" s="28" t="s">
        <v>4689</v>
      </c>
      <c r="AN513" s="28" t="s">
        <v>10533</v>
      </c>
      <c r="AO513" s="28" t="s">
        <v>10534</v>
      </c>
      <c r="AP513" s="28" t="s">
        <v>10535</v>
      </c>
      <c r="AQ513" s="28" t="s">
        <v>10536</v>
      </c>
      <c r="AR513" s="28" t="s">
        <v>138</v>
      </c>
      <c r="AS513" s="28" t="s">
        <v>10537</v>
      </c>
      <c r="AT513" s="28" t="s">
        <v>5271</v>
      </c>
      <c r="AU513" s="28" t="s">
        <v>10538</v>
      </c>
      <c r="AV513" s="28" t="s">
        <v>162</v>
      </c>
      <c r="AW513" s="28" t="s">
        <v>10534</v>
      </c>
      <c r="AX513" s="28" t="s">
        <v>138</v>
      </c>
      <c r="AY513" s="28" t="s">
        <v>10539</v>
      </c>
      <c r="AZ513" s="28" t="s">
        <v>164</v>
      </c>
      <c r="BA513" s="28" t="s">
        <v>165</v>
      </c>
      <c r="BB513" s="28" t="s">
        <v>10540</v>
      </c>
      <c r="BC513" s="28" t="s">
        <v>10541</v>
      </c>
      <c r="BD513" s="33">
        <v>9</v>
      </c>
      <c r="BE513" s="28" t="s">
        <v>138</v>
      </c>
      <c r="BF513" s="28" t="s">
        <v>138</v>
      </c>
      <c r="BG513" s="28" t="s">
        <v>138</v>
      </c>
      <c r="BH513" s="28" t="s">
        <v>10542</v>
      </c>
      <c r="BI513" s="28" t="s">
        <v>138</v>
      </c>
      <c r="BJ513" s="28" t="s">
        <v>138</v>
      </c>
      <c r="BK513" s="28" t="s">
        <v>138</v>
      </c>
      <c r="BL513" s="28" t="s">
        <v>138</v>
      </c>
      <c r="BM513" s="34">
        <v>42969</v>
      </c>
      <c r="BN513" s="29">
        <v>3.28</v>
      </c>
      <c r="BO513" s="28" t="s">
        <v>172</v>
      </c>
      <c r="BP513" s="29">
        <v>15.5</v>
      </c>
      <c r="BQ513" s="28" t="s">
        <v>1178</v>
      </c>
      <c r="BR513" s="28" t="s">
        <v>234</v>
      </c>
      <c r="BS513" s="28" t="s">
        <v>234</v>
      </c>
      <c r="BT513" s="28" t="s">
        <v>138</v>
      </c>
      <c r="BU513" s="28" t="s">
        <v>174</v>
      </c>
      <c r="BV513" s="28" t="s">
        <v>138</v>
      </c>
      <c r="BW513" s="28" t="s">
        <v>138</v>
      </c>
      <c r="BX513" s="28" t="s">
        <v>138</v>
      </c>
      <c r="BY513" s="28" t="s">
        <v>175</v>
      </c>
      <c r="BZ513" s="34">
        <v>43382</v>
      </c>
      <c r="CA513" s="29">
        <v>14.42</v>
      </c>
      <c r="CB513" s="28" t="s">
        <v>172</v>
      </c>
      <c r="CC513" s="29">
        <v>64.42</v>
      </c>
      <c r="CD513" s="28" t="s">
        <v>172</v>
      </c>
      <c r="CE513" s="28" t="s">
        <v>205</v>
      </c>
      <c r="CF513" s="28" t="s">
        <v>206</v>
      </c>
      <c r="CG513" s="28" t="s">
        <v>138</v>
      </c>
      <c r="CH513" s="28" t="s">
        <v>174</v>
      </c>
      <c r="CI513" s="28" t="s">
        <v>138</v>
      </c>
      <c r="CJ513" s="28" t="s">
        <v>138</v>
      </c>
      <c r="CK513" s="28" t="s">
        <v>138</v>
      </c>
      <c r="CL513" s="28" t="s">
        <v>175</v>
      </c>
      <c r="CM513" s="34" t="s">
        <v>138</v>
      </c>
      <c r="CN513" s="29" t="s">
        <v>138</v>
      </c>
      <c r="CO513" s="35">
        <v>0</v>
      </c>
      <c r="CP513" s="36">
        <v>26</v>
      </c>
      <c r="CQ513" s="35">
        <v>0</v>
      </c>
      <c r="CR513" s="35">
        <v>0</v>
      </c>
      <c r="CS513" s="35">
        <v>0</v>
      </c>
      <c r="CT513" s="36">
        <v>23</v>
      </c>
      <c r="CU513" s="35" t="s">
        <v>138</v>
      </c>
      <c r="CV513" s="36" t="s">
        <v>138</v>
      </c>
      <c r="CW513" s="35" t="s">
        <v>138</v>
      </c>
      <c r="CX513" s="36" t="s">
        <v>138</v>
      </c>
      <c r="CY513" s="35">
        <v>0</v>
      </c>
      <c r="CZ513" s="36">
        <v>25</v>
      </c>
      <c r="DA513" s="35" t="s">
        <v>138</v>
      </c>
      <c r="DB513" s="36" t="s">
        <v>138</v>
      </c>
      <c r="DC513" s="37">
        <v>0.31</v>
      </c>
      <c r="DD513" s="36">
        <v>23</v>
      </c>
      <c r="DE513" s="37">
        <v>0</v>
      </c>
      <c r="DF513" s="35">
        <v>0</v>
      </c>
      <c r="DG513" s="37">
        <v>0.31</v>
      </c>
      <c r="DH513" s="36">
        <v>23</v>
      </c>
      <c r="DI513" s="37" t="s">
        <v>138</v>
      </c>
      <c r="DJ513" s="36" t="s">
        <v>138</v>
      </c>
      <c r="DK513" s="37" t="s">
        <v>138</v>
      </c>
      <c r="DL513" s="36" t="s">
        <v>138</v>
      </c>
      <c r="DM513" s="37">
        <v>0.31</v>
      </c>
      <c r="DN513" s="36">
        <v>24</v>
      </c>
      <c r="DO513" s="37" t="s">
        <v>138</v>
      </c>
      <c r="DP513" s="36" t="s">
        <v>138</v>
      </c>
      <c r="DQ513" s="36" t="s">
        <v>138</v>
      </c>
      <c r="DR513" s="38" t="s">
        <v>138</v>
      </c>
      <c r="DS513" s="35" t="s">
        <v>138</v>
      </c>
      <c r="DT513" s="36">
        <v>9</v>
      </c>
      <c r="DU513" s="38">
        <v>0</v>
      </c>
      <c r="DV513" s="35">
        <v>0</v>
      </c>
      <c r="DW513" s="36" t="s">
        <v>138</v>
      </c>
      <c r="DX513" s="39" t="s">
        <v>138</v>
      </c>
      <c r="DY513" s="35" t="s">
        <v>138</v>
      </c>
      <c r="DZ513" s="28" t="s">
        <v>178</v>
      </c>
      <c r="EA513" s="34">
        <v>43580</v>
      </c>
      <c r="EB513" s="29">
        <v>64.42</v>
      </c>
      <c r="EC513" s="34">
        <v>43382</v>
      </c>
      <c r="ED513" s="28" t="s">
        <v>205</v>
      </c>
      <c r="EE513" s="40" t="str">
        <f>HYPERLINK("https://my.pitchbook.com?c=185232-70", "View company online")</f>
        <v>View company online</v>
      </c>
    </row>
    <row r="514" spans="1:135">
      <c r="A514" s="15" t="s">
        <v>10543</v>
      </c>
      <c r="B514" s="15" t="s">
        <v>10544</v>
      </c>
      <c r="C514" s="15" t="s">
        <v>10545</v>
      </c>
      <c r="D514" s="15" t="s">
        <v>138</v>
      </c>
      <c r="E514" s="15" t="s">
        <v>10546</v>
      </c>
      <c r="F514" s="15" t="s">
        <v>10543</v>
      </c>
      <c r="G514" s="15" t="s">
        <v>10547</v>
      </c>
      <c r="H514" s="15" t="s">
        <v>238</v>
      </c>
      <c r="I514" s="15" t="s">
        <v>1351</v>
      </c>
      <c r="J514" s="15" t="s">
        <v>1352</v>
      </c>
      <c r="K514" s="15" t="s">
        <v>10548</v>
      </c>
      <c r="L514" s="15" t="s">
        <v>10549</v>
      </c>
      <c r="M514" s="15" t="s">
        <v>10550</v>
      </c>
      <c r="N514" s="15" t="s">
        <v>147</v>
      </c>
      <c r="O514" s="17">
        <v>40.5</v>
      </c>
      <c r="P514" s="15" t="s">
        <v>148</v>
      </c>
      <c r="Q514" s="15" t="s">
        <v>149</v>
      </c>
      <c r="R514" s="15" t="s">
        <v>174</v>
      </c>
      <c r="S514" s="15" t="s">
        <v>10551</v>
      </c>
      <c r="T514" s="18">
        <v>45</v>
      </c>
      <c r="U514" s="15" t="s">
        <v>10552</v>
      </c>
      <c r="V514" s="15" t="s">
        <v>138</v>
      </c>
      <c r="W514" s="15" t="s">
        <v>138</v>
      </c>
      <c r="X514" s="19">
        <v>2013</v>
      </c>
      <c r="Y514" s="15" t="s">
        <v>138</v>
      </c>
      <c r="Z514" s="15" t="s">
        <v>138</v>
      </c>
      <c r="AA514" s="15" t="s">
        <v>138</v>
      </c>
      <c r="AB514" s="20" t="s">
        <v>138</v>
      </c>
      <c r="AC514" s="20" t="s">
        <v>138</v>
      </c>
      <c r="AD514" s="20" t="s">
        <v>138</v>
      </c>
      <c r="AE514" s="20" t="s">
        <v>138</v>
      </c>
      <c r="AF514" s="20" t="s">
        <v>138</v>
      </c>
      <c r="AG514" s="15" t="s">
        <v>138</v>
      </c>
      <c r="AH514" s="20" t="s">
        <v>138</v>
      </c>
      <c r="AI514" s="20" t="s">
        <v>138</v>
      </c>
      <c r="AJ514" s="20" t="s">
        <v>138</v>
      </c>
      <c r="AK514" s="15" t="s">
        <v>10553</v>
      </c>
      <c r="AL514" s="15" t="s">
        <v>10554</v>
      </c>
      <c r="AM514" s="15" t="s">
        <v>10555</v>
      </c>
      <c r="AN514" s="15" t="s">
        <v>10556</v>
      </c>
      <c r="AO514" s="15" t="s">
        <v>10557</v>
      </c>
      <c r="AP514" s="15" t="s">
        <v>861</v>
      </c>
      <c r="AQ514" s="15" t="s">
        <v>10558</v>
      </c>
      <c r="AR514" s="15" t="s">
        <v>138</v>
      </c>
      <c r="AS514" s="15" t="s">
        <v>863</v>
      </c>
      <c r="AT514" s="15" t="s">
        <v>864</v>
      </c>
      <c r="AU514" s="15" t="s">
        <v>865</v>
      </c>
      <c r="AV514" s="15" t="s">
        <v>162</v>
      </c>
      <c r="AW514" s="15" t="s">
        <v>10557</v>
      </c>
      <c r="AX514" s="15" t="s">
        <v>138</v>
      </c>
      <c r="AY514" s="15" t="s">
        <v>138</v>
      </c>
      <c r="AZ514" s="15" t="s">
        <v>164</v>
      </c>
      <c r="BA514" s="15" t="s">
        <v>165</v>
      </c>
      <c r="BB514" s="15" t="s">
        <v>10559</v>
      </c>
      <c r="BC514" s="15" t="s">
        <v>10560</v>
      </c>
      <c r="BD514" s="21">
        <v>11</v>
      </c>
      <c r="BE514" s="15" t="s">
        <v>138</v>
      </c>
      <c r="BF514" s="15" t="s">
        <v>138</v>
      </c>
      <c r="BG514" s="15" t="s">
        <v>138</v>
      </c>
      <c r="BH514" s="15" t="s">
        <v>10561</v>
      </c>
      <c r="BI514" s="15" t="s">
        <v>138</v>
      </c>
      <c r="BJ514" s="15" t="s">
        <v>138</v>
      </c>
      <c r="BK514" s="15" t="s">
        <v>10562</v>
      </c>
      <c r="BL514" s="15" t="s">
        <v>3826</v>
      </c>
      <c r="BM514" s="22">
        <v>41428</v>
      </c>
      <c r="BN514" s="17">
        <v>1.5</v>
      </c>
      <c r="BO514" s="15" t="s">
        <v>172</v>
      </c>
      <c r="BP514" s="17">
        <v>8</v>
      </c>
      <c r="BQ514" s="15" t="s">
        <v>172</v>
      </c>
      <c r="BR514" s="15" t="s">
        <v>234</v>
      </c>
      <c r="BS514" s="15" t="s">
        <v>234</v>
      </c>
      <c r="BT514" s="15" t="s">
        <v>138</v>
      </c>
      <c r="BU514" s="15" t="s">
        <v>174</v>
      </c>
      <c r="BV514" s="15" t="s">
        <v>138</v>
      </c>
      <c r="BW514" s="15" t="s">
        <v>138</v>
      </c>
      <c r="BX514" s="15" t="s">
        <v>138</v>
      </c>
      <c r="BY514" s="15" t="s">
        <v>175</v>
      </c>
      <c r="BZ514" s="22">
        <v>43481</v>
      </c>
      <c r="CA514" s="17">
        <v>20</v>
      </c>
      <c r="CB514" s="15" t="s">
        <v>172</v>
      </c>
      <c r="CC514" s="17" t="s">
        <v>138</v>
      </c>
      <c r="CD514" s="15" t="s">
        <v>138</v>
      </c>
      <c r="CE514" s="15" t="s">
        <v>205</v>
      </c>
      <c r="CF514" s="15" t="s">
        <v>720</v>
      </c>
      <c r="CG514" s="15" t="s">
        <v>138</v>
      </c>
      <c r="CH514" s="15" t="s">
        <v>174</v>
      </c>
      <c r="CI514" s="15" t="s">
        <v>138</v>
      </c>
      <c r="CJ514" s="15" t="s">
        <v>138</v>
      </c>
      <c r="CK514" s="15" t="s">
        <v>138</v>
      </c>
      <c r="CL514" s="15" t="s">
        <v>175</v>
      </c>
      <c r="CM514" s="22" t="s">
        <v>138</v>
      </c>
      <c r="CN514" s="17" t="s">
        <v>138</v>
      </c>
      <c r="CO514" s="23">
        <v>-0.34</v>
      </c>
      <c r="CP514" s="24">
        <v>18</v>
      </c>
      <c r="CQ514" s="23">
        <v>-0.02</v>
      </c>
      <c r="CR514" s="23">
        <v>-7.6</v>
      </c>
      <c r="CS514" s="23">
        <v>-1.52</v>
      </c>
      <c r="CT514" s="24">
        <v>11</v>
      </c>
      <c r="CU514" s="23">
        <v>0.22</v>
      </c>
      <c r="CV514" s="24">
        <v>82</v>
      </c>
      <c r="CW514" s="23">
        <v>-3.05</v>
      </c>
      <c r="CX514" s="24">
        <v>5</v>
      </c>
      <c r="CY514" s="23">
        <v>0</v>
      </c>
      <c r="CZ514" s="24">
        <v>25</v>
      </c>
      <c r="DA514" s="23">
        <v>0.22</v>
      </c>
      <c r="DB514" s="24">
        <v>84</v>
      </c>
      <c r="DC514" s="25">
        <v>12.33</v>
      </c>
      <c r="DD514" s="24">
        <v>92</v>
      </c>
      <c r="DE514" s="25">
        <v>-5.98</v>
      </c>
      <c r="DF514" s="23">
        <v>-32.659999999999997</v>
      </c>
      <c r="DG514" s="25">
        <v>33.78</v>
      </c>
      <c r="DH514" s="24">
        <v>97</v>
      </c>
      <c r="DI514" s="25">
        <v>0.32</v>
      </c>
      <c r="DJ514" s="24">
        <v>29</v>
      </c>
      <c r="DK514" s="25">
        <v>64.91</v>
      </c>
      <c r="DL514" s="24">
        <v>97</v>
      </c>
      <c r="DM514" s="25">
        <v>2.66</v>
      </c>
      <c r="DN514" s="24">
        <v>71</v>
      </c>
      <c r="DO514" s="25">
        <v>0.32</v>
      </c>
      <c r="DP514" s="24">
        <v>31</v>
      </c>
      <c r="DQ514" s="24">
        <v>22825</v>
      </c>
      <c r="DR514" s="26">
        <v>-1680</v>
      </c>
      <c r="DS514" s="23">
        <v>-6.86</v>
      </c>
      <c r="DT514" s="24">
        <v>76</v>
      </c>
      <c r="DU514" s="26">
        <v>0</v>
      </c>
      <c r="DV514" s="23">
        <v>0</v>
      </c>
      <c r="DW514" s="24">
        <v>115</v>
      </c>
      <c r="DX514" s="27">
        <v>0</v>
      </c>
      <c r="DY514" s="23">
        <v>0</v>
      </c>
      <c r="DZ514" s="15" t="s">
        <v>178</v>
      </c>
      <c r="EA514" s="22">
        <v>43598</v>
      </c>
      <c r="EB514" s="17">
        <v>37.86</v>
      </c>
      <c r="EC514" s="22">
        <v>42741</v>
      </c>
      <c r="ED514" s="15" t="s">
        <v>205</v>
      </c>
      <c r="EE514" s="14" t="str">
        <f>HYPERLINK("https://my.pitchbook.com?c=57285-73", "View company online")</f>
        <v>View company online</v>
      </c>
    </row>
    <row r="515" spans="1:135">
      <c r="A515" s="28" t="s">
        <v>10563</v>
      </c>
      <c r="B515" s="28" t="s">
        <v>10564</v>
      </c>
      <c r="C515" s="28" t="s">
        <v>10565</v>
      </c>
      <c r="D515" s="28" t="s">
        <v>138</v>
      </c>
      <c r="E515" s="28" t="s">
        <v>10566</v>
      </c>
      <c r="F515" s="28" t="s">
        <v>10563</v>
      </c>
      <c r="G515" s="28" t="s">
        <v>10567</v>
      </c>
      <c r="H515" s="28" t="s">
        <v>385</v>
      </c>
      <c r="I515" s="28" t="s">
        <v>386</v>
      </c>
      <c r="J515" s="28" t="s">
        <v>387</v>
      </c>
      <c r="K515" s="28" t="s">
        <v>10568</v>
      </c>
      <c r="L515" s="28" t="s">
        <v>10569</v>
      </c>
      <c r="M515" s="28" t="s">
        <v>10570</v>
      </c>
      <c r="N515" s="28" t="s">
        <v>7532</v>
      </c>
      <c r="O515" s="29">
        <v>69.5</v>
      </c>
      <c r="P515" s="28" t="s">
        <v>148</v>
      </c>
      <c r="Q515" s="28" t="s">
        <v>149</v>
      </c>
      <c r="R515" s="28" t="s">
        <v>244</v>
      </c>
      <c r="S515" s="28" t="s">
        <v>10571</v>
      </c>
      <c r="T515" s="30" t="s">
        <v>138</v>
      </c>
      <c r="U515" s="28" t="s">
        <v>138</v>
      </c>
      <c r="V515" s="28" t="s">
        <v>138</v>
      </c>
      <c r="W515" s="28" t="s">
        <v>138</v>
      </c>
      <c r="X515" s="31">
        <v>2005</v>
      </c>
      <c r="Y515" s="28" t="s">
        <v>138</v>
      </c>
      <c r="Z515" s="28" t="s">
        <v>138</v>
      </c>
      <c r="AA515" s="28" t="s">
        <v>138</v>
      </c>
      <c r="AB515" s="32" t="s">
        <v>138</v>
      </c>
      <c r="AC515" s="32" t="s">
        <v>138</v>
      </c>
      <c r="AD515" s="32" t="s">
        <v>138</v>
      </c>
      <c r="AE515" s="32" t="s">
        <v>138</v>
      </c>
      <c r="AF515" s="32" t="s">
        <v>138</v>
      </c>
      <c r="AG515" s="28" t="s">
        <v>138</v>
      </c>
      <c r="AH515" s="32" t="s">
        <v>138</v>
      </c>
      <c r="AI515" s="32" t="s">
        <v>138</v>
      </c>
      <c r="AJ515" s="32" t="s">
        <v>138</v>
      </c>
      <c r="AK515" s="28" t="s">
        <v>10572</v>
      </c>
      <c r="AL515" s="28" t="s">
        <v>10573</v>
      </c>
      <c r="AM515" s="28" t="s">
        <v>249</v>
      </c>
      <c r="AN515" s="28" t="s">
        <v>138</v>
      </c>
      <c r="AO515" s="28" t="s">
        <v>138</v>
      </c>
      <c r="AP515" s="28" t="s">
        <v>10535</v>
      </c>
      <c r="AQ515" s="28" t="s">
        <v>10574</v>
      </c>
      <c r="AR515" s="28" t="s">
        <v>6193</v>
      </c>
      <c r="AS515" s="28" t="s">
        <v>10537</v>
      </c>
      <c r="AT515" s="28" t="s">
        <v>5271</v>
      </c>
      <c r="AU515" s="28" t="s">
        <v>10575</v>
      </c>
      <c r="AV515" s="28" t="s">
        <v>162</v>
      </c>
      <c r="AW515" s="28" t="s">
        <v>138</v>
      </c>
      <c r="AX515" s="28" t="s">
        <v>138</v>
      </c>
      <c r="AY515" s="28" t="s">
        <v>138</v>
      </c>
      <c r="AZ515" s="28" t="s">
        <v>164</v>
      </c>
      <c r="BA515" s="28" t="s">
        <v>165</v>
      </c>
      <c r="BB515" s="28" t="s">
        <v>10576</v>
      </c>
      <c r="BC515" s="28" t="s">
        <v>10577</v>
      </c>
      <c r="BD515" s="33">
        <v>14</v>
      </c>
      <c r="BE515" s="28" t="s">
        <v>138</v>
      </c>
      <c r="BF515" s="28" t="s">
        <v>138</v>
      </c>
      <c r="BG515" s="28" t="s">
        <v>138</v>
      </c>
      <c r="BH515" s="28" t="s">
        <v>10578</v>
      </c>
      <c r="BI515" s="28" t="s">
        <v>138</v>
      </c>
      <c r="BJ515" s="28" t="s">
        <v>138</v>
      </c>
      <c r="BK515" s="28" t="s">
        <v>10579</v>
      </c>
      <c r="BL515" s="28" t="s">
        <v>10580</v>
      </c>
      <c r="BM515" s="34">
        <v>39276</v>
      </c>
      <c r="BN515" s="29">
        <v>5.62</v>
      </c>
      <c r="BO515" s="28" t="s">
        <v>172</v>
      </c>
      <c r="BP515" s="29">
        <v>10.220000000000001</v>
      </c>
      <c r="BQ515" s="28" t="s">
        <v>172</v>
      </c>
      <c r="BR515" s="28" t="s">
        <v>205</v>
      </c>
      <c r="BS515" s="28" t="s">
        <v>206</v>
      </c>
      <c r="BT515" s="28" t="s">
        <v>138</v>
      </c>
      <c r="BU515" s="28" t="s">
        <v>174</v>
      </c>
      <c r="BV515" s="28" t="s">
        <v>138</v>
      </c>
      <c r="BW515" s="28" t="s">
        <v>138</v>
      </c>
      <c r="BX515" s="28" t="s">
        <v>138</v>
      </c>
      <c r="BY515" s="28" t="s">
        <v>175</v>
      </c>
      <c r="BZ515" s="34">
        <v>42690</v>
      </c>
      <c r="CA515" s="29">
        <v>0.12</v>
      </c>
      <c r="CB515" s="28" t="s">
        <v>172</v>
      </c>
      <c r="CC515" s="29" t="s">
        <v>138</v>
      </c>
      <c r="CD515" s="28" t="s">
        <v>138</v>
      </c>
      <c r="CE515" s="28" t="s">
        <v>173</v>
      </c>
      <c r="CF515" s="28" t="s">
        <v>138</v>
      </c>
      <c r="CG515" s="28" t="s">
        <v>138</v>
      </c>
      <c r="CH515" s="28" t="s">
        <v>174</v>
      </c>
      <c r="CI515" s="28" t="s">
        <v>264</v>
      </c>
      <c r="CJ515" s="28" t="s">
        <v>138</v>
      </c>
      <c r="CK515" s="28" t="s">
        <v>138</v>
      </c>
      <c r="CL515" s="28" t="s">
        <v>352</v>
      </c>
      <c r="CM515" s="34">
        <v>42741</v>
      </c>
      <c r="CN515" s="29" t="s">
        <v>138</v>
      </c>
      <c r="CO515" s="35">
        <v>2.81</v>
      </c>
      <c r="CP515" s="36">
        <v>100</v>
      </c>
      <c r="CQ515" s="35">
        <v>0.96</v>
      </c>
      <c r="CR515" s="35">
        <v>51.99</v>
      </c>
      <c r="CS515" s="35">
        <v>5.7</v>
      </c>
      <c r="CT515" s="36">
        <v>100</v>
      </c>
      <c r="CU515" s="35">
        <v>-0.08</v>
      </c>
      <c r="CV515" s="36">
        <v>5</v>
      </c>
      <c r="CW515" s="35" t="s">
        <v>138</v>
      </c>
      <c r="CX515" s="36" t="s">
        <v>138</v>
      </c>
      <c r="CY515" s="35">
        <v>5.7</v>
      </c>
      <c r="CZ515" s="36">
        <v>100</v>
      </c>
      <c r="DA515" s="35">
        <v>-0.08</v>
      </c>
      <c r="DB515" s="36">
        <v>8</v>
      </c>
      <c r="DC515" s="37">
        <v>10.35</v>
      </c>
      <c r="DD515" s="36">
        <v>90</v>
      </c>
      <c r="DE515" s="37">
        <v>0.88</v>
      </c>
      <c r="DF515" s="35">
        <v>9.3000000000000007</v>
      </c>
      <c r="DG515" s="37">
        <v>20.28</v>
      </c>
      <c r="DH515" s="36">
        <v>95</v>
      </c>
      <c r="DI515" s="37">
        <v>0.43</v>
      </c>
      <c r="DJ515" s="36">
        <v>34</v>
      </c>
      <c r="DK515" s="37" t="s">
        <v>138</v>
      </c>
      <c r="DL515" s="36" t="s">
        <v>138</v>
      </c>
      <c r="DM515" s="37">
        <v>20.28</v>
      </c>
      <c r="DN515" s="36">
        <v>94</v>
      </c>
      <c r="DO515" s="37">
        <v>0.43</v>
      </c>
      <c r="DP515" s="36">
        <v>36</v>
      </c>
      <c r="DQ515" s="36" t="s">
        <v>138</v>
      </c>
      <c r="DR515" s="38" t="s">
        <v>138</v>
      </c>
      <c r="DS515" s="35" t="s">
        <v>138</v>
      </c>
      <c r="DT515" s="36">
        <v>567</v>
      </c>
      <c r="DU515" s="38">
        <v>79</v>
      </c>
      <c r="DV515" s="35">
        <v>16.190000000000001</v>
      </c>
      <c r="DW515" s="36">
        <v>153</v>
      </c>
      <c r="DX515" s="39">
        <v>0</v>
      </c>
      <c r="DY515" s="35">
        <v>0</v>
      </c>
      <c r="DZ515" s="28" t="s">
        <v>178</v>
      </c>
      <c r="EA515" s="34">
        <v>43458</v>
      </c>
      <c r="EB515" s="29">
        <v>70.650000000000006</v>
      </c>
      <c r="EC515" s="34">
        <v>41368</v>
      </c>
      <c r="ED515" s="28" t="s">
        <v>173</v>
      </c>
      <c r="EE515" s="40" t="str">
        <f>HYPERLINK("https://my.pitchbook.com?c=52333-57", "View company online")</f>
        <v>View company online</v>
      </c>
    </row>
    <row r="516" spans="1:135">
      <c r="A516" s="15" t="s">
        <v>10581</v>
      </c>
      <c r="B516" s="15" t="s">
        <v>10582</v>
      </c>
      <c r="C516" s="15" t="s">
        <v>138</v>
      </c>
      <c r="D516" s="15" t="s">
        <v>138</v>
      </c>
      <c r="E516" s="15" t="s">
        <v>138</v>
      </c>
      <c r="F516" s="15" t="s">
        <v>10581</v>
      </c>
      <c r="G516" s="15" t="s">
        <v>10583</v>
      </c>
      <c r="H516" s="15" t="s">
        <v>322</v>
      </c>
      <c r="I516" s="15" t="s">
        <v>323</v>
      </c>
      <c r="J516" s="15" t="s">
        <v>2984</v>
      </c>
      <c r="K516" s="15" t="s">
        <v>6935</v>
      </c>
      <c r="L516" s="15" t="s">
        <v>10584</v>
      </c>
      <c r="M516" s="15" t="s">
        <v>10585</v>
      </c>
      <c r="N516" s="15" t="s">
        <v>147</v>
      </c>
      <c r="O516" s="17">
        <v>13.11</v>
      </c>
      <c r="P516" s="15" t="s">
        <v>610</v>
      </c>
      <c r="Q516" s="15" t="s">
        <v>149</v>
      </c>
      <c r="R516" s="15" t="s">
        <v>174</v>
      </c>
      <c r="S516" s="15" t="s">
        <v>10586</v>
      </c>
      <c r="T516" s="18">
        <v>27</v>
      </c>
      <c r="U516" s="15" t="s">
        <v>10587</v>
      </c>
      <c r="V516" s="15" t="s">
        <v>138</v>
      </c>
      <c r="W516" s="15" t="s">
        <v>138</v>
      </c>
      <c r="X516" s="19">
        <v>2010</v>
      </c>
      <c r="Y516" s="15" t="s">
        <v>138</v>
      </c>
      <c r="Z516" s="15" t="s">
        <v>138</v>
      </c>
      <c r="AA516" s="15" t="s">
        <v>138</v>
      </c>
      <c r="AB516" s="20" t="s">
        <v>138</v>
      </c>
      <c r="AC516" s="20" t="s">
        <v>138</v>
      </c>
      <c r="AD516" s="20" t="s">
        <v>138</v>
      </c>
      <c r="AE516" s="20" t="s">
        <v>138</v>
      </c>
      <c r="AF516" s="20" t="s">
        <v>138</v>
      </c>
      <c r="AG516" s="15" t="s">
        <v>138</v>
      </c>
      <c r="AH516" s="20" t="s">
        <v>138</v>
      </c>
      <c r="AI516" s="20" t="s">
        <v>138</v>
      </c>
      <c r="AJ516" s="20" t="s">
        <v>138</v>
      </c>
      <c r="AK516" s="15" t="s">
        <v>10588</v>
      </c>
      <c r="AL516" s="15" t="s">
        <v>10589</v>
      </c>
      <c r="AM516" s="15" t="s">
        <v>304</v>
      </c>
      <c r="AN516" s="15" t="s">
        <v>10590</v>
      </c>
      <c r="AO516" s="15" t="s">
        <v>10591</v>
      </c>
      <c r="AP516" s="15" t="s">
        <v>2905</v>
      </c>
      <c r="AQ516" s="15" t="s">
        <v>10592</v>
      </c>
      <c r="AR516" s="15" t="s">
        <v>138</v>
      </c>
      <c r="AS516" s="15" t="s">
        <v>2907</v>
      </c>
      <c r="AT516" s="15" t="s">
        <v>138</v>
      </c>
      <c r="AU516" s="15" t="s">
        <v>10593</v>
      </c>
      <c r="AV516" s="15" t="s">
        <v>946</v>
      </c>
      <c r="AW516" s="15" t="s">
        <v>10594</v>
      </c>
      <c r="AX516" s="15" t="s">
        <v>138</v>
      </c>
      <c r="AY516" s="15" t="s">
        <v>10595</v>
      </c>
      <c r="AZ516" s="15" t="s">
        <v>530</v>
      </c>
      <c r="BA516" s="15" t="s">
        <v>531</v>
      </c>
      <c r="BB516" s="15" t="s">
        <v>10596</v>
      </c>
      <c r="BC516" s="15" t="s">
        <v>10597</v>
      </c>
      <c r="BD516" s="21">
        <v>4</v>
      </c>
      <c r="BE516" s="15" t="s">
        <v>138</v>
      </c>
      <c r="BF516" s="15" t="s">
        <v>138</v>
      </c>
      <c r="BG516" s="15" t="s">
        <v>138</v>
      </c>
      <c r="BH516" s="15" t="s">
        <v>10598</v>
      </c>
      <c r="BI516" s="15" t="s">
        <v>138</v>
      </c>
      <c r="BJ516" s="15" t="s">
        <v>138</v>
      </c>
      <c r="BK516" s="15" t="s">
        <v>10599</v>
      </c>
      <c r="BL516" s="15" t="s">
        <v>138</v>
      </c>
      <c r="BM516" s="22">
        <v>40641</v>
      </c>
      <c r="BN516" s="17">
        <v>0.72</v>
      </c>
      <c r="BO516" s="15" t="s">
        <v>172</v>
      </c>
      <c r="BP516" s="17" t="s">
        <v>138</v>
      </c>
      <c r="BQ516" s="15" t="s">
        <v>138</v>
      </c>
      <c r="BR516" s="15" t="s">
        <v>234</v>
      </c>
      <c r="BS516" s="15" t="s">
        <v>234</v>
      </c>
      <c r="BT516" s="15" t="s">
        <v>138</v>
      </c>
      <c r="BU516" s="15" t="s">
        <v>174</v>
      </c>
      <c r="BV516" s="15" t="s">
        <v>138</v>
      </c>
      <c r="BW516" s="15" t="s">
        <v>138</v>
      </c>
      <c r="BX516" s="15" t="s">
        <v>138</v>
      </c>
      <c r="BY516" s="15" t="s">
        <v>175</v>
      </c>
      <c r="BZ516" s="22">
        <v>41145</v>
      </c>
      <c r="CA516" s="17">
        <v>12.38</v>
      </c>
      <c r="CB516" s="15" t="s">
        <v>172</v>
      </c>
      <c r="CC516" s="17" t="s">
        <v>138</v>
      </c>
      <c r="CD516" s="15" t="s">
        <v>138</v>
      </c>
      <c r="CE516" s="15" t="s">
        <v>205</v>
      </c>
      <c r="CF516" s="15" t="s">
        <v>138</v>
      </c>
      <c r="CG516" s="15" t="s">
        <v>138</v>
      </c>
      <c r="CH516" s="15" t="s">
        <v>174</v>
      </c>
      <c r="CI516" s="15" t="s">
        <v>138</v>
      </c>
      <c r="CJ516" s="15" t="s">
        <v>138</v>
      </c>
      <c r="CK516" s="15" t="s">
        <v>138</v>
      </c>
      <c r="CL516" s="15" t="s">
        <v>175</v>
      </c>
      <c r="CM516" s="22" t="s">
        <v>138</v>
      </c>
      <c r="CN516" s="17" t="s">
        <v>138</v>
      </c>
      <c r="CO516" s="23">
        <v>0.14000000000000001</v>
      </c>
      <c r="CP516" s="24">
        <v>91</v>
      </c>
      <c r="CQ516" s="23">
        <v>-0.03</v>
      </c>
      <c r="CR516" s="23">
        <v>-16.600000000000001</v>
      </c>
      <c r="CS516" s="23">
        <v>0.27</v>
      </c>
      <c r="CT516" s="24">
        <v>95</v>
      </c>
      <c r="CU516" s="23">
        <v>0</v>
      </c>
      <c r="CV516" s="24">
        <v>22</v>
      </c>
      <c r="CW516" s="23">
        <v>0</v>
      </c>
      <c r="CX516" s="24">
        <v>13</v>
      </c>
      <c r="CY516" s="23">
        <v>0.54</v>
      </c>
      <c r="CZ516" s="24">
        <v>98</v>
      </c>
      <c r="DA516" s="23">
        <v>0</v>
      </c>
      <c r="DB516" s="24">
        <v>22</v>
      </c>
      <c r="DC516" s="25">
        <v>20.94</v>
      </c>
      <c r="DD516" s="24">
        <v>95</v>
      </c>
      <c r="DE516" s="25">
        <v>7.0000000000000007E-2</v>
      </c>
      <c r="DF516" s="23">
        <v>0.36</v>
      </c>
      <c r="DG516" s="25">
        <v>41.66</v>
      </c>
      <c r="DH516" s="24">
        <v>98</v>
      </c>
      <c r="DI516" s="25">
        <v>0.22</v>
      </c>
      <c r="DJ516" s="24">
        <v>23</v>
      </c>
      <c r="DK516" s="25">
        <v>0.91</v>
      </c>
      <c r="DL516" s="24">
        <v>48</v>
      </c>
      <c r="DM516" s="25">
        <v>82.41</v>
      </c>
      <c r="DN516" s="24">
        <v>99</v>
      </c>
      <c r="DO516" s="25">
        <v>0.22</v>
      </c>
      <c r="DP516" s="24">
        <v>26</v>
      </c>
      <c r="DQ516" s="24">
        <v>301</v>
      </c>
      <c r="DR516" s="26">
        <v>31</v>
      </c>
      <c r="DS516" s="23">
        <v>11.48</v>
      </c>
      <c r="DT516" s="24">
        <v>2385</v>
      </c>
      <c r="DU516" s="26">
        <v>11</v>
      </c>
      <c r="DV516" s="23">
        <v>0.46</v>
      </c>
      <c r="DW516" s="24">
        <v>80</v>
      </c>
      <c r="DX516" s="27">
        <v>0</v>
      </c>
      <c r="DY516" s="23">
        <v>0</v>
      </c>
      <c r="DZ516" s="15" t="s">
        <v>178</v>
      </c>
      <c r="EA516" s="22">
        <v>43448</v>
      </c>
      <c r="EB516" s="17" t="s">
        <v>138</v>
      </c>
      <c r="EC516" s="22" t="s">
        <v>138</v>
      </c>
      <c r="ED516" s="15" t="s">
        <v>138</v>
      </c>
      <c r="EE516" s="14" t="str">
        <f>HYPERLINK("https://my.pitchbook.com?c=55089-19", "View company online")</f>
        <v>View company online</v>
      </c>
    </row>
    <row r="517" spans="1:135">
      <c r="A517" s="28" t="s">
        <v>10600</v>
      </c>
      <c r="B517" s="28" t="s">
        <v>10601</v>
      </c>
      <c r="C517" s="28" t="s">
        <v>138</v>
      </c>
      <c r="D517" s="28" t="s">
        <v>138</v>
      </c>
      <c r="E517" s="28" t="s">
        <v>10602</v>
      </c>
      <c r="F517" s="28" t="s">
        <v>10600</v>
      </c>
      <c r="G517" s="28" t="s">
        <v>10603</v>
      </c>
      <c r="H517" s="28" t="s">
        <v>238</v>
      </c>
      <c r="I517" s="28" t="s">
        <v>239</v>
      </c>
      <c r="J517" s="28" t="s">
        <v>2578</v>
      </c>
      <c r="K517" s="28" t="s">
        <v>10604</v>
      </c>
      <c r="L517" s="28" t="s">
        <v>215</v>
      </c>
      <c r="M517" s="28" t="s">
        <v>10605</v>
      </c>
      <c r="N517" s="28" t="s">
        <v>147</v>
      </c>
      <c r="O517" s="29">
        <v>0.5</v>
      </c>
      <c r="P517" s="28" t="s">
        <v>148</v>
      </c>
      <c r="Q517" s="28" t="s">
        <v>149</v>
      </c>
      <c r="R517" s="28" t="s">
        <v>174</v>
      </c>
      <c r="S517" s="28" t="s">
        <v>10606</v>
      </c>
      <c r="T517" s="30">
        <v>7</v>
      </c>
      <c r="U517" s="28" t="s">
        <v>10607</v>
      </c>
      <c r="V517" s="28" t="s">
        <v>138</v>
      </c>
      <c r="W517" s="28" t="s">
        <v>138</v>
      </c>
      <c r="X517" s="31">
        <v>2011</v>
      </c>
      <c r="Y517" s="28" t="s">
        <v>138</v>
      </c>
      <c r="Z517" s="28" t="s">
        <v>138</v>
      </c>
      <c r="AA517" s="28" t="s">
        <v>138</v>
      </c>
      <c r="AB517" s="32" t="s">
        <v>138</v>
      </c>
      <c r="AC517" s="32" t="s">
        <v>138</v>
      </c>
      <c r="AD517" s="32" t="s">
        <v>138</v>
      </c>
      <c r="AE517" s="32" t="s">
        <v>138</v>
      </c>
      <c r="AF517" s="32" t="s">
        <v>138</v>
      </c>
      <c r="AG517" s="28" t="s">
        <v>138</v>
      </c>
      <c r="AH517" s="32" t="s">
        <v>138</v>
      </c>
      <c r="AI517" s="32" t="s">
        <v>138</v>
      </c>
      <c r="AJ517" s="32" t="s">
        <v>138</v>
      </c>
      <c r="AK517" s="28" t="s">
        <v>10608</v>
      </c>
      <c r="AL517" s="28" t="s">
        <v>10609</v>
      </c>
      <c r="AM517" s="28" t="s">
        <v>4269</v>
      </c>
      <c r="AN517" s="28" t="s">
        <v>10610</v>
      </c>
      <c r="AO517" s="28" t="s">
        <v>10611</v>
      </c>
      <c r="AP517" s="28" t="s">
        <v>10612</v>
      </c>
      <c r="AQ517" s="28" t="s">
        <v>10613</v>
      </c>
      <c r="AR517" s="28" t="s">
        <v>138</v>
      </c>
      <c r="AS517" s="28" t="s">
        <v>10614</v>
      </c>
      <c r="AT517" s="28" t="s">
        <v>10615</v>
      </c>
      <c r="AU517" s="28" t="s">
        <v>10616</v>
      </c>
      <c r="AV517" s="28" t="s">
        <v>162</v>
      </c>
      <c r="AW517" s="28" t="s">
        <v>138</v>
      </c>
      <c r="AX517" s="28" t="s">
        <v>138</v>
      </c>
      <c r="AY517" s="28" t="s">
        <v>138</v>
      </c>
      <c r="AZ517" s="28" t="s">
        <v>164</v>
      </c>
      <c r="BA517" s="28" t="s">
        <v>165</v>
      </c>
      <c r="BB517" s="28" t="s">
        <v>10617</v>
      </c>
      <c r="BC517" s="28" t="s">
        <v>10618</v>
      </c>
      <c r="BD517" s="33">
        <v>6</v>
      </c>
      <c r="BE517" s="28" t="s">
        <v>138</v>
      </c>
      <c r="BF517" s="28" t="s">
        <v>138</v>
      </c>
      <c r="BG517" s="28" t="s">
        <v>138</v>
      </c>
      <c r="BH517" s="28" t="s">
        <v>10619</v>
      </c>
      <c r="BI517" s="28" t="s">
        <v>138</v>
      </c>
      <c r="BJ517" s="28" t="s">
        <v>138</v>
      </c>
      <c r="BK517" s="28" t="s">
        <v>138</v>
      </c>
      <c r="BL517" s="28" t="s">
        <v>138</v>
      </c>
      <c r="BM517" s="34">
        <v>41162</v>
      </c>
      <c r="BN517" s="29">
        <v>0.5</v>
      </c>
      <c r="BO517" s="28" t="s">
        <v>172</v>
      </c>
      <c r="BP517" s="29" t="s">
        <v>138</v>
      </c>
      <c r="BQ517" s="28" t="s">
        <v>138</v>
      </c>
      <c r="BR517" s="28" t="s">
        <v>205</v>
      </c>
      <c r="BS517" s="28" t="s">
        <v>206</v>
      </c>
      <c r="BT517" s="28" t="s">
        <v>138</v>
      </c>
      <c r="BU517" s="28" t="s">
        <v>174</v>
      </c>
      <c r="BV517" s="28" t="s">
        <v>138</v>
      </c>
      <c r="BW517" s="28" t="s">
        <v>138</v>
      </c>
      <c r="BX517" s="28" t="s">
        <v>138</v>
      </c>
      <c r="BY517" s="28" t="s">
        <v>175</v>
      </c>
      <c r="BZ517" s="34">
        <v>41162</v>
      </c>
      <c r="CA517" s="29">
        <v>0.5</v>
      </c>
      <c r="CB517" s="28" t="s">
        <v>172</v>
      </c>
      <c r="CC517" s="29" t="s">
        <v>138</v>
      </c>
      <c r="CD517" s="28" t="s">
        <v>138</v>
      </c>
      <c r="CE517" s="28" t="s">
        <v>205</v>
      </c>
      <c r="CF517" s="28" t="s">
        <v>206</v>
      </c>
      <c r="CG517" s="28" t="s">
        <v>138</v>
      </c>
      <c r="CH517" s="28" t="s">
        <v>174</v>
      </c>
      <c r="CI517" s="28" t="s">
        <v>138</v>
      </c>
      <c r="CJ517" s="28" t="s">
        <v>138</v>
      </c>
      <c r="CK517" s="28" t="s">
        <v>138</v>
      </c>
      <c r="CL517" s="28" t="s">
        <v>175</v>
      </c>
      <c r="CM517" s="34" t="s">
        <v>138</v>
      </c>
      <c r="CN517" s="29" t="s">
        <v>138</v>
      </c>
      <c r="CO517" s="35">
        <v>-1.35</v>
      </c>
      <c r="CP517" s="36">
        <v>8</v>
      </c>
      <c r="CQ517" s="35">
        <v>-0.02</v>
      </c>
      <c r="CR517" s="35">
        <v>-1.17</v>
      </c>
      <c r="CS517" s="35">
        <v>-2.63</v>
      </c>
      <c r="CT517" s="36">
        <v>6</v>
      </c>
      <c r="CU517" s="35">
        <v>-7.0000000000000007E-2</v>
      </c>
      <c r="CV517" s="36">
        <v>7</v>
      </c>
      <c r="CW517" s="35">
        <v>2.67</v>
      </c>
      <c r="CX517" s="36">
        <v>90</v>
      </c>
      <c r="CY517" s="35">
        <v>-7.92</v>
      </c>
      <c r="CZ517" s="36">
        <v>1</v>
      </c>
      <c r="DA517" s="35">
        <v>-7.0000000000000007E-2</v>
      </c>
      <c r="DB517" s="36">
        <v>9</v>
      </c>
      <c r="DC517" s="37">
        <v>6.46</v>
      </c>
      <c r="DD517" s="36">
        <v>86</v>
      </c>
      <c r="DE517" s="37">
        <v>-0.47</v>
      </c>
      <c r="DF517" s="35">
        <v>-6.79</v>
      </c>
      <c r="DG517" s="37">
        <v>12.4</v>
      </c>
      <c r="DH517" s="36">
        <v>91</v>
      </c>
      <c r="DI517" s="37">
        <v>0.52</v>
      </c>
      <c r="DJ517" s="36">
        <v>37</v>
      </c>
      <c r="DK517" s="37">
        <v>14.36</v>
      </c>
      <c r="DL517" s="36">
        <v>90</v>
      </c>
      <c r="DM517" s="37">
        <v>10.45</v>
      </c>
      <c r="DN517" s="36">
        <v>89</v>
      </c>
      <c r="DO517" s="37">
        <v>0.52</v>
      </c>
      <c r="DP517" s="36">
        <v>39</v>
      </c>
      <c r="DQ517" s="36">
        <v>4886</v>
      </c>
      <c r="DR517" s="38">
        <v>117</v>
      </c>
      <c r="DS517" s="35">
        <v>2.4500000000000002</v>
      </c>
      <c r="DT517" s="36">
        <v>303</v>
      </c>
      <c r="DU517" s="38">
        <v>-1</v>
      </c>
      <c r="DV517" s="35">
        <v>-0.33</v>
      </c>
      <c r="DW517" s="36">
        <v>187</v>
      </c>
      <c r="DX517" s="39">
        <v>-1</v>
      </c>
      <c r="DY517" s="35">
        <v>-0.53</v>
      </c>
      <c r="DZ517" s="28" t="s">
        <v>178</v>
      </c>
      <c r="EA517" s="34">
        <v>43351</v>
      </c>
      <c r="EB517" s="29" t="s">
        <v>138</v>
      </c>
      <c r="EC517" s="34" t="s">
        <v>138</v>
      </c>
      <c r="ED517" s="28" t="s">
        <v>138</v>
      </c>
      <c r="EE517" s="40" t="str">
        <f>HYPERLINK("https://my.pitchbook.com?c=55901-53", "View company online")</f>
        <v>View company online</v>
      </c>
    </row>
    <row r="518" spans="1:135">
      <c r="A518" s="15" t="s">
        <v>10620</v>
      </c>
      <c r="B518" s="15" t="s">
        <v>10621</v>
      </c>
      <c r="C518" s="15" t="s">
        <v>10622</v>
      </c>
      <c r="D518" s="15" t="s">
        <v>138</v>
      </c>
      <c r="E518" s="15" t="s">
        <v>138</v>
      </c>
      <c r="F518" s="15" t="s">
        <v>10620</v>
      </c>
      <c r="G518" s="15" t="s">
        <v>10623</v>
      </c>
      <c r="H518" s="15" t="s">
        <v>322</v>
      </c>
      <c r="I518" s="15" t="s">
        <v>323</v>
      </c>
      <c r="J518" s="15" t="s">
        <v>1132</v>
      </c>
      <c r="K518" s="15" t="s">
        <v>10624</v>
      </c>
      <c r="L518" s="15" t="s">
        <v>10625</v>
      </c>
      <c r="M518" s="15" t="s">
        <v>10626</v>
      </c>
      <c r="N518" s="15" t="s">
        <v>147</v>
      </c>
      <c r="O518" s="17">
        <v>12.29</v>
      </c>
      <c r="P518" s="15" t="s">
        <v>148</v>
      </c>
      <c r="Q518" s="15" t="s">
        <v>149</v>
      </c>
      <c r="R518" s="15" t="s">
        <v>174</v>
      </c>
      <c r="S518" s="15" t="s">
        <v>10627</v>
      </c>
      <c r="T518" s="18">
        <v>40</v>
      </c>
      <c r="U518" s="15" t="s">
        <v>10628</v>
      </c>
      <c r="V518" s="15" t="s">
        <v>138</v>
      </c>
      <c r="W518" s="15" t="s">
        <v>138</v>
      </c>
      <c r="X518" s="19">
        <v>2009</v>
      </c>
      <c r="Y518" s="15" t="s">
        <v>138</v>
      </c>
      <c r="Z518" s="15" t="s">
        <v>138</v>
      </c>
      <c r="AA518" s="15" t="s">
        <v>138</v>
      </c>
      <c r="AB518" s="20" t="s">
        <v>138</v>
      </c>
      <c r="AC518" s="20" t="s">
        <v>138</v>
      </c>
      <c r="AD518" s="20" t="s">
        <v>138</v>
      </c>
      <c r="AE518" s="20" t="s">
        <v>138</v>
      </c>
      <c r="AF518" s="20" t="s">
        <v>138</v>
      </c>
      <c r="AG518" s="15" t="s">
        <v>138</v>
      </c>
      <c r="AH518" s="20" t="s">
        <v>138</v>
      </c>
      <c r="AI518" s="20" t="s">
        <v>138</v>
      </c>
      <c r="AJ518" s="20" t="s">
        <v>138</v>
      </c>
      <c r="AK518" s="15" t="s">
        <v>10629</v>
      </c>
      <c r="AL518" s="15" t="s">
        <v>10630</v>
      </c>
      <c r="AM518" s="15" t="s">
        <v>5401</v>
      </c>
      <c r="AN518" s="15" t="s">
        <v>10631</v>
      </c>
      <c r="AO518" s="15" t="s">
        <v>10632</v>
      </c>
      <c r="AP518" s="15" t="s">
        <v>423</v>
      </c>
      <c r="AQ518" s="15" t="s">
        <v>10633</v>
      </c>
      <c r="AR518" s="15" t="s">
        <v>3062</v>
      </c>
      <c r="AS518" s="15" t="s">
        <v>426</v>
      </c>
      <c r="AT518" s="15" t="s">
        <v>426</v>
      </c>
      <c r="AU518" s="15" t="s">
        <v>2610</v>
      </c>
      <c r="AV518" s="15" t="s">
        <v>162</v>
      </c>
      <c r="AW518" s="15" t="s">
        <v>10632</v>
      </c>
      <c r="AX518" s="15" t="s">
        <v>138</v>
      </c>
      <c r="AY518" s="15" t="s">
        <v>10634</v>
      </c>
      <c r="AZ518" s="15" t="s">
        <v>164</v>
      </c>
      <c r="BA518" s="15" t="s">
        <v>165</v>
      </c>
      <c r="BB518" s="15" t="s">
        <v>10635</v>
      </c>
      <c r="BC518" s="15" t="s">
        <v>10636</v>
      </c>
      <c r="BD518" s="21">
        <v>9</v>
      </c>
      <c r="BE518" s="15" t="s">
        <v>138</v>
      </c>
      <c r="BF518" s="15" t="s">
        <v>138</v>
      </c>
      <c r="BG518" s="15" t="s">
        <v>138</v>
      </c>
      <c r="BH518" s="15" t="s">
        <v>10637</v>
      </c>
      <c r="BI518" s="15" t="s">
        <v>138</v>
      </c>
      <c r="BJ518" s="15" t="s">
        <v>138</v>
      </c>
      <c r="BK518" s="15" t="s">
        <v>138</v>
      </c>
      <c r="BL518" s="15" t="s">
        <v>3482</v>
      </c>
      <c r="BM518" s="22">
        <v>39864</v>
      </c>
      <c r="BN518" s="17">
        <v>5.07</v>
      </c>
      <c r="BO518" s="15" t="s">
        <v>172</v>
      </c>
      <c r="BP518" s="17">
        <v>12.86</v>
      </c>
      <c r="BQ518" s="15" t="s">
        <v>172</v>
      </c>
      <c r="BR518" s="15" t="s">
        <v>262</v>
      </c>
      <c r="BS518" s="15" t="s">
        <v>206</v>
      </c>
      <c r="BT518" s="15" t="s">
        <v>138</v>
      </c>
      <c r="BU518" s="15" t="s">
        <v>263</v>
      </c>
      <c r="BV518" s="15" t="s">
        <v>138</v>
      </c>
      <c r="BW518" s="15" t="s">
        <v>138</v>
      </c>
      <c r="BX518" s="15" t="s">
        <v>138</v>
      </c>
      <c r="BY518" s="15" t="s">
        <v>175</v>
      </c>
      <c r="BZ518" s="22">
        <v>42437</v>
      </c>
      <c r="CA518" s="17">
        <v>4.2</v>
      </c>
      <c r="CB518" s="15" t="s">
        <v>172</v>
      </c>
      <c r="CC518" s="17" t="s">
        <v>138</v>
      </c>
      <c r="CD518" s="15" t="s">
        <v>138</v>
      </c>
      <c r="CE518" s="15" t="s">
        <v>173</v>
      </c>
      <c r="CF518" s="15" t="s">
        <v>138</v>
      </c>
      <c r="CG518" s="15" t="s">
        <v>138</v>
      </c>
      <c r="CH518" s="15" t="s">
        <v>263</v>
      </c>
      <c r="CI518" s="15" t="s">
        <v>138</v>
      </c>
      <c r="CJ518" s="15" t="s">
        <v>138</v>
      </c>
      <c r="CK518" s="15" t="s">
        <v>138</v>
      </c>
      <c r="CL518" s="15" t="s">
        <v>175</v>
      </c>
      <c r="CM518" s="22" t="s">
        <v>138</v>
      </c>
      <c r="CN518" s="17" t="s">
        <v>138</v>
      </c>
      <c r="CO518" s="23">
        <v>-0.81</v>
      </c>
      <c r="CP518" s="24">
        <v>13</v>
      </c>
      <c r="CQ518" s="23">
        <v>0</v>
      </c>
      <c r="CR518" s="23">
        <v>-0.41</v>
      </c>
      <c r="CS518" s="23">
        <v>-1.67</v>
      </c>
      <c r="CT518" s="24">
        <v>10</v>
      </c>
      <c r="CU518" s="23">
        <v>0.06</v>
      </c>
      <c r="CV518" s="24">
        <v>60</v>
      </c>
      <c r="CW518" s="23" t="s">
        <v>138</v>
      </c>
      <c r="CX518" s="24" t="s">
        <v>138</v>
      </c>
      <c r="CY518" s="23">
        <v>-1.67</v>
      </c>
      <c r="CZ518" s="24">
        <v>13</v>
      </c>
      <c r="DA518" s="23">
        <v>0.06</v>
      </c>
      <c r="DB518" s="24">
        <v>65</v>
      </c>
      <c r="DC518" s="25">
        <v>24.6</v>
      </c>
      <c r="DD518" s="24">
        <v>96</v>
      </c>
      <c r="DE518" s="25">
        <v>0.13</v>
      </c>
      <c r="DF518" s="23">
        <v>0.51</v>
      </c>
      <c r="DG518" s="25">
        <v>4.76</v>
      </c>
      <c r="DH518" s="24">
        <v>82</v>
      </c>
      <c r="DI518" s="25">
        <v>44.44</v>
      </c>
      <c r="DJ518" s="24">
        <v>95</v>
      </c>
      <c r="DK518" s="25" t="s">
        <v>138</v>
      </c>
      <c r="DL518" s="24" t="s">
        <v>138</v>
      </c>
      <c r="DM518" s="25">
        <v>4.76</v>
      </c>
      <c r="DN518" s="24">
        <v>81</v>
      </c>
      <c r="DO518" s="25">
        <v>44.44</v>
      </c>
      <c r="DP518" s="24">
        <v>96</v>
      </c>
      <c r="DQ518" s="24">
        <v>61</v>
      </c>
      <c r="DR518" s="26">
        <v>-29</v>
      </c>
      <c r="DS518" s="23">
        <v>-32.22</v>
      </c>
      <c r="DT518" s="24">
        <v>138</v>
      </c>
      <c r="DU518" s="26">
        <v>-1</v>
      </c>
      <c r="DV518" s="23">
        <v>-0.72</v>
      </c>
      <c r="DW518" s="24">
        <v>15900</v>
      </c>
      <c r="DX518" s="27">
        <v>6</v>
      </c>
      <c r="DY518" s="23">
        <v>0.04</v>
      </c>
      <c r="DZ518" s="15" t="s">
        <v>178</v>
      </c>
      <c r="EA518" s="22">
        <v>43482</v>
      </c>
      <c r="EB518" s="17">
        <v>18.18</v>
      </c>
      <c r="EC518" s="22">
        <v>41318</v>
      </c>
      <c r="ED518" s="15" t="s">
        <v>262</v>
      </c>
      <c r="EE518" s="14" t="str">
        <f>HYPERLINK("https://my.pitchbook.com?c=56122-57", "View company online")</f>
        <v>View company online</v>
      </c>
    </row>
    <row r="519" spans="1:135">
      <c r="A519" s="28" t="s">
        <v>10638</v>
      </c>
      <c r="B519" s="28" t="s">
        <v>10639</v>
      </c>
      <c r="C519" s="28" t="s">
        <v>138</v>
      </c>
      <c r="D519" s="28" t="s">
        <v>138</v>
      </c>
      <c r="E519" s="28" t="s">
        <v>138</v>
      </c>
      <c r="F519" s="28" t="s">
        <v>10638</v>
      </c>
      <c r="G519" s="28" t="s">
        <v>10640</v>
      </c>
      <c r="H519" s="28" t="s">
        <v>322</v>
      </c>
      <c r="I519" s="28" t="s">
        <v>323</v>
      </c>
      <c r="J519" s="28" t="s">
        <v>954</v>
      </c>
      <c r="K519" s="28" t="s">
        <v>10641</v>
      </c>
      <c r="L519" s="28" t="s">
        <v>10642</v>
      </c>
      <c r="M519" s="28" t="s">
        <v>10643</v>
      </c>
      <c r="N519" s="28" t="s">
        <v>147</v>
      </c>
      <c r="O519" s="29">
        <v>8.65</v>
      </c>
      <c r="P519" s="28" t="s">
        <v>148</v>
      </c>
      <c r="Q519" s="28" t="s">
        <v>149</v>
      </c>
      <c r="R519" s="28" t="s">
        <v>174</v>
      </c>
      <c r="S519" s="28" t="s">
        <v>10644</v>
      </c>
      <c r="T519" s="30">
        <v>18</v>
      </c>
      <c r="U519" s="28" t="s">
        <v>10645</v>
      </c>
      <c r="V519" s="28" t="s">
        <v>138</v>
      </c>
      <c r="W519" s="28" t="s">
        <v>138</v>
      </c>
      <c r="X519" s="31">
        <v>2010</v>
      </c>
      <c r="Y519" s="28" t="s">
        <v>138</v>
      </c>
      <c r="Z519" s="28" t="s">
        <v>138</v>
      </c>
      <c r="AA519" s="28" t="s">
        <v>138</v>
      </c>
      <c r="AB519" s="32">
        <v>1.2</v>
      </c>
      <c r="AC519" s="32" t="s">
        <v>138</v>
      </c>
      <c r="AD519" s="32" t="s">
        <v>138</v>
      </c>
      <c r="AE519" s="32" t="s">
        <v>138</v>
      </c>
      <c r="AF519" s="32" t="s">
        <v>138</v>
      </c>
      <c r="AG519" s="28" t="s">
        <v>815</v>
      </c>
      <c r="AH519" s="32" t="s">
        <v>138</v>
      </c>
      <c r="AI519" s="32" t="s">
        <v>138</v>
      </c>
      <c r="AJ519" s="32" t="s">
        <v>138</v>
      </c>
      <c r="AK519" s="28" t="s">
        <v>10646</v>
      </c>
      <c r="AL519" s="28" t="s">
        <v>10647</v>
      </c>
      <c r="AM519" s="28" t="s">
        <v>10648</v>
      </c>
      <c r="AN519" s="28" t="s">
        <v>10649</v>
      </c>
      <c r="AO519" s="28" t="s">
        <v>10650</v>
      </c>
      <c r="AP519" s="28" t="s">
        <v>10651</v>
      </c>
      <c r="AQ519" s="28" t="s">
        <v>10652</v>
      </c>
      <c r="AR519" s="28" t="s">
        <v>1222</v>
      </c>
      <c r="AS519" s="28" t="s">
        <v>10653</v>
      </c>
      <c r="AT519" s="28" t="s">
        <v>10654</v>
      </c>
      <c r="AU519" s="28" t="s">
        <v>10655</v>
      </c>
      <c r="AV519" s="28" t="s">
        <v>162</v>
      </c>
      <c r="AW519" s="28" t="s">
        <v>10650</v>
      </c>
      <c r="AX519" s="28" t="s">
        <v>138</v>
      </c>
      <c r="AY519" s="28" t="s">
        <v>10656</v>
      </c>
      <c r="AZ519" s="28" t="s">
        <v>164</v>
      </c>
      <c r="BA519" s="28" t="s">
        <v>165</v>
      </c>
      <c r="BB519" s="28" t="s">
        <v>10657</v>
      </c>
      <c r="BC519" s="28" t="s">
        <v>10658</v>
      </c>
      <c r="BD519" s="33">
        <v>4</v>
      </c>
      <c r="BE519" s="28" t="s">
        <v>138</v>
      </c>
      <c r="BF519" s="28" t="s">
        <v>138</v>
      </c>
      <c r="BG519" s="28" t="s">
        <v>138</v>
      </c>
      <c r="BH519" s="28" t="s">
        <v>10659</v>
      </c>
      <c r="BI519" s="28" t="s">
        <v>138</v>
      </c>
      <c r="BJ519" s="28" t="s">
        <v>138</v>
      </c>
      <c r="BK519" s="28" t="s">
        <v>10660</v>
      </c>
      <c r="BL519" s="28" t="s">
        <v>10661</v>
      </c>
      <c r="BM519" s="34" t="s">
        <v>138</v>
      </c>
      <c r="BN519" s="29" t="s">
        <v>138</v>
      </c>
      <c r="BO519" s="28" t="s">
        <v>138</v>
      </c>
      <c r="BP519" s="29" t="s">
        <v>138</v>
      </c>
      <c r="BQ519" s="28" t="s">
        <v>138</v>
      </c>
      <c r="BR519" s="28" t="s">
        <v>316</v>
      </c>
      <c r="BS519" s="28" t="s">
        <v>138</v>
      </c>
      <c r="BT519" s="28" t="s">
        <v>138</v>
      </c>
      <c r="BU519" s="28" t="s">
        <v>174</v>
      </c>
      <c r="BV519" s="28" t="s">
        <v>138</v>
      </c>
      <c r="BW519" s="28" t="s">
        <v>138</v>
      </c>
      <c r="BX519" s="28" t="s">
        <v>138</v>
      </c>
      <c r="BY519" s="28" t="s">
        <v>175</v>
      </c>
      <c r="BZ519" s="34">
        <v>42853</v>
      </c>
      <c r="CA519" s="29">
        <v>4</v>
      </c>
      <c r="CB519" s="28" t="s">
        <v>1178</v>
      </c>
      <c r="CC519" s="29">
        <v>25</v>
      </c>
      <c r="CD519" s="28" t="s">
        <v>172</v>
      </c>
      <c r="CE519" s="28" t="s">
        <v>173</v>
      </c>
      <c r="CF519" s="28" t="s">
        <v>7446</v>
      </c>
      <c r="CG519" s="28" t="s">
        <v>138</v>
      </c>
      <c r="CH519" s="28" t="s">
        <v>174</v>
      </c>
      <c r="CI519" s="28" t="s">
        <v>138</v>
      </c>
      <c r="CJ519" s="28" t="s">
        <v>138</v>
      </c>
      <c r="CK519" s="28" t="s">
        <v>138</v>
      </c>
      <c r="CL519" s="28" t="s">
        <v>175</v>
      </c>
      <c r="CM519" s="34" t="s">
        <v>138</v>
      </c>
      <c r="CN519" s="29" t="s">
        <v>138</v>
      </c>
      <c r="CO519" s="35">
        <v>0</v>
      </c>
      <c r="CP519" s="36">
        <v>26</v>
      </c>
      <c r="CQ519" s="35">
        <v>0</v>
      </c>
      <c r="CR519" s="35">
        <v>0</v>
      </c>
      <c r="CS519" s="35">
        <v>0</v>
      </c>
      <c r="CT519" s="36">
        <v>23</v>
      </c>
      <c r="CU519" s="35">
        <v>0</v>
      </c>
      <c r="CV519" s="36">
        <v>22</v>
      </c>
      <c r="CW519" s="35" t="s">
        <v>138</v>
      </c>
      <c r="CX519" s="36" t="s">
        <v>138</v>
      </c>
      <c r="CY519" s="35">
        <v>0</v>
      </c>
      <c r="CZ519" s="36">
        <v>25</v>
      </c>
      <c r="DA519" s="35">
        <v>0</v>
      </c>
      <c r="DB519" s="36">
        <v>22</v>
      </c>
      <c r="DC519" s="37">
        <v>7.0000000000000007E-2</v>
      </c>
      <c r="DD519" s="36">
        <v>4</v>
      </c>
      <c r="DE519" s="37">
        <v>0</v>
      </c>
      <c r="DF519" s="35">
        <v>0.17</v>
      </c>
      <c r="DG519" s="37">
        <v>0.1</v>
      </c>
      <c r="DH519" s="36">
        <v>7</v>
      </c>
      <c r="DI519" s="37">
        <v>0.04</v>
      </c>
      <c r="DJ519" s="36">
        <v>7</v>
      </c>
      <c r="DK519" s="37" t="s">
        <v>138</v>
      </c>
      <c r="DL519" s="36" t="s">
        <v>138</v>
      </c>
      <c r="DM519" s="37">
        <v>0.1</v>
      </c>
      <c r="DN519" s="36">
        <v>8</v>
      </c>
      <c r="DO519" s="37">
        <v>0.04</v>
      </c>
      <c r="DP519" s="36">
        <v>8</v>
      </c>
      <c r="DQ519" s="36">
        <v>61</v>
      </c>
      <c r="DR519" s="38">
        <v>-14</v>
      </c>
      <c r="DS519" s="35">
        <v>-18.670000000000002</v>
      </c>
      <c r="DT519" s="36">
        <v>3</v>
      </c>
      <c r="DU519" s="38">
        <v>0</v>
      </c>
      <c r="DV519" s="35">
        <v>0</v>
      </c>
      <c r="DW519" s="36">
        <v>16</v>
      </c>
      <c r="DX519" s="39">
        <v>0</v>
      </c>
      <c r="DY519" s="35">
        <v>0</v>
      </c>
      <c r="DZ519" s="28" t="s">
        <v>178</v>
      </c>
      <c r="EA519" s="34">
        <v>43607</v>
      </c>
      <c r="EB519" s="29">
        <v>25</v>
      </c>
      <c r="EC519" s="34">
        <v>42853</v>
      </c>
      <c r="ED519" s="28" t="s">
        <v>173</v>
      </c>
      <c r="EE519" s="40" t="str">
        <f>HYPERLINK("https://my.pitchbook.com?c=99145-54", "View company online")</f>
        <v>View company online</v>
      </c>
    </row>
    <row r="520" spans="1:135">
      <c r="A520" s="15" t="s">
        <v>10662</v>
      </c>
      <c r="B520" s="15" t="s">
        <v>10663</v>
      </c>
      <c r="C520" s="15" t="s">
        <v>10664</v>
      </c>
      <c r="D520" s="15" t="s">
        <v>138</v>
      </c>
      <c r="E520" s="15" t="s">
        <v>10665</v>
      </c>
      <c r="F520" s="15" t="s">
        <v>10662</v>
      </c>
      <c r="G520" s="15" t="s">
        <v>10666</v>
      </c>
      <c r="H520" s="15" t="s">
        <v>141</v>
      </c>
      <c r="I520" s="15" t="s">
        <v>212</v>
      </c>
      <c r="J520" s="15" t="s">
        <v>213</v>
      </c>
      <c r="K520" s="15" t="s">
        <v>10667</v>
      </c>
      <c r="L520" s="15" t="s">
        <v>10668</v>
      </c>
      <c r="M520" s="15" t="s">
        <v>10669</v>
      </c>
      <c r="N520" s="15" t="s">
        <v>147</v>
      </c>
      <c r="O520" s="17">
        <v>34.92</v>
      </c>
      <c r="P520" s="15" t="s">
        <v>148</v>
      </c>
      <c r="Q520" s="15" t="s">
        <v>149</v>
      </c>
      <c r="R520" s="15" t="s">
        <v>174</v>
      </c>
      <c r="S520" s="15" t="s">
        <v>10670</v>
      </c>
      <c r="T520" s="18">
        <v>43</v>
      </c>
      <c r="U520" s="15" t="s">
        <v>10671</v>
      </c>
      <c r="V520" s="15" t="s">
        <v>138</v>
      </c>
      <c r="W520" s="15" t="s">
        <v>138</v>
      </c>
      <c r="X520" s="19">
        <v>2012</v>
      </c>
      <c r="Y520" s="15" t="s">
        <v>138</v>
      </c>
      <c r="Z520" s="15" t="s">
        <v>138</v>
      </c>
      <c r="AA520" s="15" t="s">
        <v>1163</v>
      </c>
      <c r="AB520" s="20" t="s">
        <v>138</v>
      </c>
      <c r="AC520" s="20" t="s">
        <v>138</v>
      </c>
      <c r="AD520" s="20" t="s">
        <v>138</v>
      </c>
      <c r="AE520" s="20" t="s">
        <v>138</v>
      </c>
      <c r="AF520" s="20" t="s">
        <v>138</v>
      </c>
      <c r="AG520" s="15" t="s">
        <v>138</v>
      </c>
      <c r="AH520" s="20" t="s">
        <v>138</v>
      </c>
      <c r="AI520" s="20" t="s">
        <v>138</v>
      </c>
      <c r="AJ520" s="20" t="s">
        <v>138</v>
      </c>
      <c r="AK520" s="15" t="s">
        <v>10672</v>
      </c>
      <c r="AL520" s="15" t="s">
        <v>10673</v>
      </c>
      <c r="AM520" s="15" t="s">
        <v>10674</v>
      </c>
      <c r="AN520" s="15" t="s">
        <v>10675</v>
      </c>
      <c r="AO520" s="15" t="s">
        <v>10676</v>
      </c>
      <c r="AP520" s="15" t="s">
        <v>1514</v>
      </c>
      <c r="AQ520" s="15" t="s">
        <v>10677</v>
      </c>
      <c r="AR520" s="15" t="s">
        <v>10678</v>
      </c>
      <c r="AS520" s="15" t="s">
        <v>1516</v>
      </c>
      <c r="AT520" s="15" t="s">
        <v>284</v>
      </c>
      <c r="AU520" s="15" t="s">
        <v>1517</v>
      </c>
      <c r="AV520" s="15" t="s">
        <v>162</v>
      </c>
      <c r="AW520" s="15" t="s">
        <v>10676</v>
      </c>
      <c r="AX520" s="15" t="s">
        <v>138</v>
      </c>
      <c r="AY520" s="15" t="s">
        <v>10679</v>
      </c>
      <c r="AZ520" s="15" t="s">
        <v>164</v>
      </c>
      <c r="BA520" s="15" t="s">
        <v>165</v>
      </c>
      <c r="BB520" s="15" t="s">
        <v>10680</v>
      </c>
      <c r="BC520" s="15" t="s">
        <v>10681</v>
      </c>
      <c r="BD520" s="21">
        <v>6</v>
      </c>
      <c r="BE520" s="15" t="s">
        <v>138</v>
      </c>
      <c r="BF520" s="15" t="s">
        <v>138</v>
      </c>
      <c r="BG520" s="15" t="s">
        <v>138</v>
      </c>
      <c r="BH520" s="15" t="s">
        <v>10682</v>
      </c>
      <c r="BI520" s="15" t="s">
        <v>138</v>
      </c>
      <c r="BJ520" s="15" t="s">
        <v>138</v>
      </c>
      <c r="BK520" s="15" t="s">
        <v>5213</v>
      </c>
      <c r="BL520" s="15" t="s">
        <v>5213</v>
      </c>
      <c r="BM520" s="22">
        <v>41583</v>
      </c>
      <c r="BN520" s="17">
        <v>7.74</v>
      </c>
      <c r="BO520" s="15" t="s">
        <v>172</v>
      </c>
      <c r="BP520" s="17">
        <v>25.74</v>
      </c>
      <c r="BQ520" s="15" t="s">
        <v>172</v>
      </c>
      <c r="BR520" s="15" t="s">
        <v>205</v>
      </c>
      <c r="BS520" s="15" t="s">
        <v>206</v>
      </c>
      <c r="BT520" s="15" t="s">
        <v>138</v>
      </c>
      <c r="BU520" s="15" t="s">
        <v>174</v>
      </c>
      <c r="BV520" s="15" t="s">
        <v>138</v>
      </c>
      <c r="BW520" s="15" t="s">
        <v>138</v>
      </c>
      <c r="BX520" s="15" t="s">
        <v>138</v>
      </c>
      <c r="BY520" s="15" t="s">
        <v>175</v>
      </c>
      <c r="BZ520" s="22">
        <v>43299</v>
      </c>
      <c r="CA520" s="17">
        <v>23</v>
      </c>
      <c r="CB520" s="15" t="s">
        <v>172</v>
      </c>
      <c r="CC520" s="17">
        <v>58</v>
      </c>
      <c r="CD520" s="15" t="s">
        <v>172</v>
      </c>
      <c r="CE520" s="15" t="s">
        <v>205</v>
      </c>
      <c r="CF520" s="15" t="s">
        <v>720</v>
      </c>
      <c r="CG520" s="15" t="s">
        <v>138</v>
      </c>
      <c r="CH520" s="15" t="s">
        <v>174</v>
      </c>
      <c r="CI520" s="15" t="s">
        <v>138</v>
      </c>
      <c r="CJ520" s="15" t="s">
        <v>138</v>
      </c>
      <c r="CK520" s="15" t="s">
        <v>138</v>
      </c>
      <c r="CL520" s="15" t="s">
        <v>175</v>
      </c>
      <c r="CM520" s="22" t="s">
        <v>138</v>
      </c>
      <c r="CN520" s="17" t="s">
        <v>138</v>
      </c>
      <c r="CO520" s="23">
        <v>1.87</v>
      </c>
      <c r="CP520" s="24">
        <v>99</v>
      </c>
      <c r="CQ520" s="23">
        <v>0.01</v>
      </c>
      <c r="CR520" s="23">
        <v>0.41</v>
      </c>
      <c r="CS520" s="23">
        <v>3.18</v>
      </c>
      <c r="CT520" s="24">
        <v>99</v>
      </c>
      <c r="CU520" s="23">
        <v>0.56000000000000005</v>
      </c>
      <c r="CV520" s="24">
        <v>94</v>
      </c>
      <c r="CW520" s="23">
        <v>7.69</v>
      </c>
      <c r="CX520" s="24">
        <v>98</v>
      </c>
      <c r="CY520" s="23">
        <v>-1.32</v>
      </c>
      <c r="CZ520" s="24">
        <v>16</v>
      </c>
      <c r="DA520" s="23">
        <v>0.69</v>
      </c>
      <c r="DB520" s="24">
        <v>96</v>
      </c>
      <c r="DC520" s="25">
        <v>9.64</v>
      </c>
      <c r="DD520" s="24">
        <v>90</v>
      </c>
      <c r="DE520" s="25">
        <v>-0.27</v>
      </c>
      <c r="DF520" s="23">
        <v>-2.73</v>
      </c>
      <c r="DG520" s="25">
        <v>18.64</v>
      </c>
      <c r="DH520" s="24">
        <v>94</v>
      </c>
      <c r="DI520" s="25">
        <v>0.64</v>
      </c>
      <c r="DJ520" s="24">
        <v>41</v>
      </c>
      <c r="DK520" s="25">
        <v>8.57</v>
      </c>
      <c r="DL520" s="24">
        <v>85</v>
      </c>
      <c r="DM520" s="25">
        <v>28.72</v>
      </c>
      <c r="DN520" s="24">
        <v>96</v>
      </c>
      <c r="DO520" s="25">
        <v>1.1599999999999999</v>
      </c>
      <c r="DP520" s="24">
        <v>53</v>
      </c>
      <c r="DQ520" s="24">
        <v>2792</v>
      </c>
      <c r="DR520" s="26">
        <v>437</v>
      </c>
      <c r="DS520" s="23">
        <v>18.559999999999999</v>
      </c>
      <c r="DT520" s="24">
        <v>833</v>
      </c>
      <c r="DU520" s="26">
        <v>-2</v>
      </c>
      <c r="DV520" s="23">
        <v>-0.24</v>
      </c>
      <c r="DW520" s="24">
        <v>412</v>
      </c>
      <c r="DX520" s="27">
        <v>6</v>
      </c>
      <c r="DY520" s="23">
        <v>1.48</v>
      </c>
      <c r="DZ520" s="15" t="s">
        <v>178</v>
      </c>
      <c r="EA520" s="22">
        <v>43622</v>
      </c>
      <c r="EB520" s="17">
        <v>58</v>
      </c>
      <c r="EC520" s="22">
        <v>43299</v>
      </c>
      <c r="ED520" s="15" t="s">
        <v>205</v>
      </c>
      <c r="EE520" s="14" t="str">
        <f>HYPERLINK("https://my.pitchbook.com?c=57270-16", "View company online")</f>
        <v>View company online</v>
      </c>
    </row>
    <row r="521" spans="1:135">
      <c r="A521" s="28" t="s">
        <v>10683</v>
      </c>
      <c r="B521" s="28" t="s">
        <v>10684</v>
      </c>
      <c r="C521" s="28" t="s">
        <v>138</v>
      </c>
      <c r="D521" s="28" t="s">
        <v>10685</v>
      </c>
      <c r="E521" s="28" t="s">
        <v>138</v>
      </c>
      <c r="F521" s="28" t="s">
        <v>10683</v>
      </c>
      <c r="G521" s="28" t="s">
        <v>10686</v>
      </c>
      <c r="H521" s="28" t="s">
        <v>183</v>
      </c>
      <c r="I521" s="28" t="s">
        <v>184</v>
      </c>
      <c r="J521" s="28" t="s">
        <v>10687</v>
      </c>
      <c r="K521" s="28" t="s">
        <v>10688</v>
      </c>
      <c r="L521" s="28" t="s">
        <v>138</v>
      </c>
      <c r="M521" s="28" t="s">
        <v>10689</v>
      </c>
      <c r="N521" s="28" t="s">
        <v>147</v>
      </c>
      <c r="O521" s="29" t="s">
        <v>138</v>
      </c>
      <c r="P521" s="28" t="s">
        <v>148</v>
      </c>
      <c r="Q521" s="28" t="s">
        <v>149</v>
      </c>
      <c r="R521" s="28" t="s">
        <v>174</v>
      </c>
      <c r="S521" s="28" t="s">
        <v>10690</v>
      </c>
      <c r="T521" s="30">
        <v>5</v>
      </c>
      <c r="U521" s="28" t="s">
        <v>2021</v>
      </c>
      <c r="V521" s="28" t="s">
        <v>138</v>
      </c>
      <c r="W521" s="28" t="s">
        <v>138</v>
      </c>
      <c r="X521" s="31">
        <v>2013</v>
      </c>
      <c r="Y521" s="28" t="s">
        <v>138</v>
      </c>
      <c r="Z521" s="28" t="s">
        <v>138</v>
      </c>
      <c r="AA521" s="28" t="s">
        <v>138</v>
      </c>
      <c r="AB521" s="32" t="s">
        <v>138</v>
      </c>
      <c r="AC521" s="32" t="s">
        <v>138</v>
      </c>
      <c r="AD521" s="32" t="s">
        <v>138</v>
      </c>
      <c r="AE521" s="32" t="s">
        <v>138</v>
      </c>
      <c r="AF521" s="32" t="s">
        <v>138</v>
      </c>
      <c r="AG521" s="28" t="s">
        <v>138</v>
      </c>
      <c r="AH521" s="32" t="s">
        <v>138</v>
      </c>
      <c r="AI521" s="32" t="s">
        <v>138</v>
      </c>
      <c r="AJ521" s="32" t="s">
        <v>138</v>
      </c>
      <c r="AK521" s="28" t="s">
        <v>10691</v>
      </c>
      <c r="AL521" s="28" t="s">
        <v>10692</v>
      </c>
      <c r="AM521" s="28" t="s">
        <v>10693</v>
      </c>
      <c r="AN521" s="28" t="s">
        <v>10694</v>
      </c>
      <c r="AO521" s="28" t="s">
        <v>10695</v>
      </c>
      <c r="AP521" s="28" t="s">
        <v>10696</v>
      </c>
      <c r="AQ521" s="28" t="s">
        <v>10697</v>
      </c>
      <c r="AR521" s="28" t="s">
        <v>138</v>
      </c>
      <c r="AS521" s="28" t="s">
        <v>10698</v>
      </c>
      <c r="AT521" s="28" t="s">
        <v>474</v>
      </c>
      <c r="AU521" s="28" t="s">
        <v>10699</v>
      </c>
      <c r="AV521" s="28" t="s">
        <v>162</v>
      </c>
      <c r="AW521" s="28" t="s">
        <v>10700</v>
      </c>
      <c r="AX521" s="28" t="s">
        <v>138</v>
      </c>
      <c r="AY521" s="28" t="s">
        <v>138</v>
      </c>
      <c r="AZ521" s="28" t="s">
        <v>164</v>
      </c>
      <c r="BA521" s="28" t="s">
        <v>165</v>
      </c>
      <c r="BB521" s="28" t="s">
        <v>10701</v>
      </c>
      <c r="BC521" s="28" t="s">
        <v>4056</v>
      </c>
      <c r="BD521" s="33">
        <v>1</v>
      </c>
      <c r="BE521" s="28" t="s">
        <v>138</v>
      </c>
      <c r="BF521" s="28" t="s">
        <v>138</v>
      </c>
      <c r="BG521" s="28" t="s">
        <v>138</v>
      </c>
      <c r="BH521" s="28" t="s">
        <v>4057</v>
      </c>
      <c r="BI521" s="28" t="s">
        <v>138</v>
      </c>
      <c r="BJ521" s="28" t="s">
        <v>138</v>
      </c>
      <c r="BK521" s="28" t="s">
        <v>10702</v>
      </c>
      <c r="BL521" s="28" t="s">
        <v>138</v>
      </c>
      <c r="BM521" s="34">
        <v>42405</v>
      </c>
      <c r="BN521" s="29">
        <v>1.3</v>
      </c>
      <c r="BO521" s="28" t="s">
        <v>172</v>
      </c>
      <c r="BP521" s="29" t="s">
        <v>138</v>
      </c>
      <c r="BQ521" s="28" t="s">
        <v>138</v>
      </c>
      <c r="BR521" s="28" t="s">
        <v>205</v>
      </c>
      <c r="BS521" s="28" t="s">
        <v>206</v>
      </c>
      <c r="BT521" s="28" t="s">
        <v>138</v>
      </c>
      <c r="BU521" s="28" t="s">
        <v>174</v>
      </c>
      <c r="BV521" s="28" t="s">
        <v>264</v>
      </c>
      <c r="BW521" s="28" t="s">
        <v>138</v>
      </c>
      <c r="BX521" s="28" t="s">
        <v>138</v>
      </c>
      <c r="BY521" s="28" t="s">
        <v>175</v>
      </c>
      <c r="BZ521" s="34">
        <v>42877</v>
      </c>
      <c r="CA521" s="29" t="s">
        <v>138</v>
      </c>
      <c r="CB521" s="28" t="s">
        <v>138</v>
      </c>
      <c r="CC521" s="29" t="s">
        <v>138</v>
      </c>
      <c r="CD521" s="28" t="s">
        <v>138</v>
      </c>
      <c r="CE521" s="28" t="s">
        <v>205</v>
      </c>
      <c r="CF521" s="28" t="s">
        <v>138</v>
      </c>
      <c r="CG521" s="28" t="s">
        <v>138</v>
      </c>
      <c r="CH521" s="28" t="s">
        <v>174</v>
      </c>
      <c r="CI521" s="28" t="s">
        <v>264</v>
      </c>
      <c r="CJ521" s="28" t="s">
        <v>138</v>
      </c>
      <c r="CK521" s="28" t="s">
        <v>138</v>
      </c>
      <c r="CL521" s="28" t="s">
        <v>1831</v>
      </c>
      <c r="CM521" s="34" t="s">
        <v>138</v>
      </c>
      <c r="CN521" s="29" t="s">
        <v>138</v>
      </c>
      <c r="CO521" s="35">
        <v>7.45</v>
      </c>
      <c r="CP521" s="36">
        <v>100</v>
      </c>
      <c r="CQ521" s="35">
        <v>0</v>
      </c>
      <c r="CR521" s="35">
        <v>0</v>
      </c>
      <c r="CS521" s="35" t="s">
        <v>138</v>
      </c>
      <c r="CT521" s="36" t="s">
        <v>138</v>
      </c>
      <c r="CU521" s="35">
        <v>7.45</v>
      </c>
      <c r="CV521" s="36">
        <v>100</v>
      </c>
      <c r="CW521" s="35" t="s">
        <v>138</v>
      </c>
      <c r="CX521" s="36" t="s">
        <v>138</v>
      </c>
      <c r="CY521" s="35" t="s">
        <v>138</v>
      </c>
      <c r="CZ521" s="36" t="s">
        <v>138</v>
      </c>
      <c r="DA521" s="35">
        <v>0</v>
      </c>
      <c r="DB521" s="36">
        <v>22</v>
      </c>
      <c r="DC521" s="37">
        <v>0.67</v>
      </c>
      <c r="DD521" s="36">
        <v>41</v>
      </c>
      <c r="DE521" s="37">
        <v>0</v>
      </c>
      <c r="DF521" s="35">
        <v>0.01</v>
      </c>
      <c r="DG521" s="37" t="s">
        <v>138</v>
      </c>
      <c r="DH521" s="36" t="s">
        <v>138</v>
      </c>
      <c r="DI521" s="37">
        <v>0.67</v>
      </c>
      <c r="DJ521" s="36">
        <v>42</v>
      </c>
      <c r="DK521" s="37" t="s">
        <v>138</v>
      </c>
      <c r="DL521" s="36" t="s">
        <v>138</v>
      </c>
      <c r="DM521" s="37" t="s">
        <v>138</v>
      </c>
      <c r="DN521" s="36" t="s">
        <v>138</v>
      </c>
      <c r="DO521" s="37">
        <v>0.25</v>
      </c>
      <c r="DP521" s="36">
        <v>27</v>
      </c>
      <c r="DQ521" s="36">
        <v>84</v>
      </c>
      <c r="DR521" s="38">
        <v>-39</v>
      </c>
      <c r="DS521" s="35">
        <v>-31.71</v>
      </c>
      <c r="DT521" s="36" t="s">
        <v>138</v>
      </c>
      <c r="DU521" s="38" t="s">
        <v>138</v>
      </c>
      <c r="DV521" s="35" t="s">
        <v>138</v>
      </c>
      <c r="DW521" s="36">
        <v>88</v>
      </c>
      <c r="DX521" s="39">
        <v>0</v>
      </c>
      <c r="DY521" s="35">
        <v>0</v>
      </c>
      <c r="DZ521" s="28" t="s">
        <v>178</v>
      </c>
      <c r="EA521" s="34">
        <v>43622</v>
      </c>
      <c r="EB521" s="29" t="s">
        <v>138</v>
      </c>
      <c r="EC521" s="34" t="s">
        <v>138</v>
      </c>
      <c r="ED521" s="28" t="s">
        <v>138</v>
      </c>
      <c r="EE521" s="40" t="str">
        <f>HYPERLINK("https://my.pitchbook.com?c=105769-81", "View company online")</f>
        <v>View company online</v>
      </c>
    </row>
    <row r="522" spans="1:135">
      <c r="A522" s="15" t="s">
        <v>10703</v>
      </c>
      <c r="B522" s="15" t="s">
        <v>10704</v>
      </c>
      <c r="C522" s="15" t="s">
        <v>138</v>
      </c>
      <c r="D522" s="15" t="s">
        <v>138</v>
      </c>
      <c r="E522" s="15" t="s">
        <v>10705</v>
      </c>
      <c r="F522" s="15" t="s">
        <v>10703</v>
      </c>
      <c r="G522" s="15" t="s">
        <v>10706</v>
      </c>
      <c r="H522" s="15" t="s">
        <v>141</v>
      </c>
      <c r="I522" s="15" t="s">
        <v>212</v>
      </c>
      <c r="J522" s="15" t="s">
        <v>1257</v>
      </c>
      <c r="K522" s="15" t="s">
        <v>10707</v>
      </c>
      <c r="L522" s="15" t="s">
        <v>3872</v>
      </c>
      <c r="M522" s="15" t="s">
        <v>10708</v>
      </c>
      <c r="N522" s="15" t="s">
        <v>1452</v>
      </c>
      <c r="O522" s="17">
        <v>70.680000000000007</v>
      </c>
      <c r="P522" s="15" t="s">
        <v>148</v>
      </c>
      <c r="Q522" s="15" t="s">
        <v>149</v>
      </c>
      <c r="R522" s="15" t="s">
        <v>1652</v>
      </c>
      <c r="S522" s="15" t="s">
        <v>10709</v>
      </c>
      <c r="T522" s="18">
        <v>97</v>
      </c>
      <c r="U522" s="15" t="s">
        <v>10710</v>
      </c>
      <c r="V522" s="15" t="s">
        <v>138</v>
      </c>
      <c r="W522" s="15" t="s">
        <v>138</v>
      </c>
      <c r="X522" s="19">
        <v>2008</v>
      </c>
      <c r="Y522" s="15" t="s">
        <v>138</v>
      </c>
      <c r="Z522" s="15" t="s">
        <v>138</v>
      </c>
      <c r="AA522" s="15" t="s">
        <v>138</v>
      </c>
      <c r="AB522" s="20" t="s">
        <v>138</v>
      </c>
      <c r="AC522" s="20" t="s">
        <v>138</v>
      </c>
      <c r="AD522" s="20" t="s">
        <v>138</v>
      </c>
      <c r="AE522" s="20" t="s">
        <v>138</v>
      </c>
      <c r="AF522" s="20" t="s">
        <v>138</v>
      </c>
      <c r="AG522" s="15" t="s">
        <v>138</v>
      </c>
      <c r="AH522" s="20" t="s">
        <v>138</v>
      </c>
      <c r="AI522" s="20" t="s">
        <v>138</v>
      </c>
      <c r="AJ522" s="20" t="s">
        <v>138</v>
      </c>
      <c r="AK522" s="15" t="s">
        <v>10711</v>
      </c>
      <c r="AL522" s="15" t="s">
        <v>10712</v>
      </c>
      <c r="AM522" s="15" t="s">
        <v>9904</v>
      </c>
      <c r="AN522" s="15" t="s">
        <v>138</v>
      </c>
      <c r="AO522" s="15" t="s">
        <v>10713</v>
      </c>
      <c r="AP522" s="15" t="s">
        <v>3905</v>
      </c>
      <c r="AQ522" s="15" t="s">
        <v>10714</v>
      </c>
      <c r="AR522" s="15" t="s">
        <v>10715</v>
      </c>
      <c r="AS522" s="15" t="s">
        <v>3907</v>
      </c>
      <c r="AT522" s="15" t="s">
        <v>2740</v>
      </c>
      <c r="AU522" s="15" t="s">
        <v>10716</v>
      </c>
      <c r="AV522" s="15" t="s">
        <v>2742</v>
      </c>
      <c r="AW522" s="15" t="s">
        <v>10717</v>
      </c>
      <c r="AX522" s="15" t="s">
        <v>138</v>
      </c>
      <c r="AY522" s="15" t="s">
        <v>10718</v>
      </c>
      <c r="AZ522" s="15" t="s">
        <v>164</v>
      </c>
      <c r="BA522" s="15" t="s">
        <v>165</v>
      </c>
      <c r="BB522" s="15" t="s">
        <v>10719</v>
      </c>
      <c r="BC522" s="15" t="s">
        <v>10720</v>
      </c>
      <c r="BD522" s="21">
        <v>15</v>
      </c>
      <c r="BE522" s="15" t="s">
        <v>138</v>
      </c>
      <c r="BF522" s="15" t="s">
        <v>138</v>
      </c>
      <c r="BG522" s="15" t="s">
        <v>138</v>
      </c>
      <c r="BH522" s="15" t="s">
        <v>10721</v>
      </c>
      <c r="BI522" s="15" t="s">
        <v>138</v>
      </c>
      <c r="BJ522" s="15" t="s">
        <v>138</v>
      </c>
      <c r="BK522" s="15" t="s">
        <v>10722</v>
      </c>
      <c r="BL522" s="15" t="s">
        <v>10722</v>
      </c>
      <c r="BM522" s="22">
        <v>40290</v>
      </c>
      <c r="BN522" s="17">
        <v>0.85</v>
      </c>
      <c r="BO522" s="15" t="s">
        <v>172</v>
      </c>
      <c r="BP522" s="17" t="s">
        <v>138</v>
      </c>
      <c r="BQ522" s="15" t="s">
        <v>138</v>
      </c>
      <c r="BR522" s="15" t="s">
        <v>1326</v>
      </c>
      <c r="BS522" s="15" t="s">
        <v>138</v>
      </c>
      <c r="BT522" s="15" t="s">
        <v>138</v>
      </c>
      <c r="BU522" s="15" t="s">
        <v>1327</v>
      </c>
      <c r="BV522" s="15" t="s">
        <v>1080</v>
      </c>
      <c r="BW522" s="15" t="s">
        <v>138</v>
      </c>
      <c r="BX522" s="15" t="s">
        <v>138</v>
      </c>
      <c r="BY522" s="15" t="s">
        <v>175</v>
      </c>
      <c r="BZ522" s="22">
        <v>42780</v>
      </c>
      <c r="CA522" s="17">
        <v>0.8</v>
      </c>
      <c r="CB522" s="15" t="s">
        <v>172</v>
      </c>
      <c r="CC522" s="17" t="s">
        <v>138</v>
      </c>
      <c r="CD522" s="15" t="s">
        <v>138</v>
      </c>
      <c r="CE522" s="15" t="s">
        <v>176</v>
      </c>
      <c r="CF522" s="15" t="s">
        <v>138</v>
      </c>
      <c r="CG522" s="15" t="s">
        <v>138</v>
      </c>
      <c r="CH522" s="15" t="s">
        <v>177</v>
      </c>
      <c r="CI522" s="15" t="s">
        <v>138</v>
      </c>
      <c r="CJ522" s="15" t="s">
        <v>138</v>
      </c>
      <c r="CK522" s="15" t="s">
        <v>138</v>
      </c>
      <c r="CL522" s="15" t="s">
        <v>175</v>
      </c>
      <c r="CM522" s="22" t="s">
        <v>138</v>
      </c>
      <c r="CN522" s="17" t="s">
        <v>138</v>
      </c>
      <c r="CO522" s="23">
        <v>-0.1</v>
      </c>
      <c r="CP522" s="24">
        <v>21</v>
      </c>
      <c r="CQ522" s="23">
        <v>0.03</v>
      </c>
      <c r="CR522" s="23">
        <v>24.86</v>
      </c>
      <c r="CS522" s="23">
        <v>-0.77</v>
      </c>
      <c r="CT522" s="24">
        <v>17</v>
      </c>
      <c r="CU522" s="23">
        <v>7.0000000000000007E-2</v>
      </c>
      <c r="CV522" s="24">
        <v>62</v>
      </c>
      <c r="CW522" s="23">
        <v>0</v>
      </c>
      <c r="CX522" s="24">
        <v>13</v>
      </c>
      <c r="CY522" s="23">
        <v>-1.53</v>
      </c>
      <c r="CZ522" s="24">
        <v>15</v>
      </c>
      <c r="DA522" s="23">
        <v>0.19</v>
      </c>
      <c r="DB522" s="24">
        <v>82</v>
      </c>
      <c r="DC522" s="25">
        <v>2.99</v>
      </c>
      <c r="DD522" s="24">
        <v>75</v>
      </c>
      <c r="DE522" s="25">
        <v>-0.02</v>
      </c>
      <c r="DF522" s="23">
        <v>-0.67</v>
      </c>
      <c r="DG522" s="25">
        <v>4.03</v>
      </c>
      <c r="DH522" s="24">
        <v>79</v>
      </c>
      <c r="DI522" s="25">
        <v>4.7699999999999996</v>
      </c>
      <c r="DJ522" s="24">
        <v>77</v>
      </c>
      <c r="DK522" s="25">
        <v>1.54</v>
      </c>
      <c r="DL522" s="24">
        <v>59</v>
      </c>
      <c r="DM522" s="25">
        <v>6.52</v>
      </c>
      <c r="DN522" s="24">
        <v>85</v>
      </c>
      <c r="DO522" s="25">
        <v>6.97</v>
      </c>
      <c r="DP522" s="24">
        <v>83</v>
      </c>
      <c r="DQ522" s="24">
        <v>542</v>
      </c>
      <c r="DR522" s="26">
        <v>-42</v>
      </c>
      <c r="DS522" s="23">
        <v>-7.19</v>
      </c>
      <c r="DT522" s="24">
        <v>188</v>
      </c>
      <c r="DU522" s="26">
        <v>1</v>
      </c>
      <c r="DV522" s="23">
        <v>0.53</v>
      </c>
      <c r="DW522" s="24">
        <v>2493</v>
      </c>
      <c r="DX522" s="27">
        <v>4</v>
      </c>
      <c r="DY522" s="23">
        <v>0.16</v>
      </c>
      <c r="DZ522" s="15" t="s">
        <v>178</v>
      </c>
      <c r="EA522" s="22">
        <v>43549</v>
      </c>
      <c r="EB522" s="17" t="s">
        <v>138</v>
      </c>
      <c r="EC522" s="22" t="s">
        <v>138</v>
      </c>
      <c r="ED522" s="15" t="s">
        <v>138</v>
      </c>
      <c r="EE522" s="14" t="str">
        <f>HYPERLINK("https://my.pitchbook.com?c=54542-98", "View company online")</f>
        <v>View company online</v>
      </c>
    </row>
    <row r="523" spans="1:135">
      <c r="A523" s="28" t="s">
        <v>10723</v>
      </c>
      <c r="B523" s="28" t="s">
        <v>10724</v>
      </c>
      <c r="C523" s="28" t="s">
        <v>138</v>
      </c>
      <c r="D523" s="28" t="s">
        <v>138</v>
      </c>
      <c r="E523" s="28" t="s">
        <v>10725</v>
      </c>
      <c r="F523" s="28" t="s">
        <v>10723</v>
      </c>
      <c r="G523" s="28" t="s">
        <v>10726</v>
      </c>
      <c r="H523" s="28" t="s">
        <v>322</v>
      </c>
      <c r="I523" s="28" t="s">
        <v>323</v>
      </c>
      <c r="J523" s="28" t="s">
        <v>954</v>
      </c>
      <c r="K523" s="28" t="s">
        <v>10641</v>
      </c>
      <c r="L523" s="28" t="s">
        <v>10727</v>
      </c>
      <c r="M523" s="28" t="s">
        <v>10728</v>
      </c>
      <c r="N523" s="28" t="s">
        <v>147</v>
      </c>
      <c r="O523" s="29">
        <v>20.100000000000001</v>
      </c>
      <c r="P523" s="28" t="s">
        <v>148</v>
      </c>
      <c r="Q523" s="28" t="s">
        <v>149</v>
      </c>
      <c r="R523" s="28" t="s">
        <v>174</v>
      </c>
      <c r="S523" s="28" t="s">
        <v>10729</v>
      </c>
      <c r="T523" s="30">
        <v>75</v>
      </c>
      <c r="U523" s="28" t="s">
        <v>10730</v>
      </c>
      <c r="V523" s="28" t="s">
        <v>138</v>
      </c>
      <c r="W523" s="28" t="s">
        <v>138</v>
      </c>
      <c r="X523" s="31">
        <v>2013</v>
      </c>
      <c r="Y523" s="28" t="s">
        <v>138</v>
      </c>
      <c r="Z523" s="28" t="s">
        <v>138</v>
      </c>
      <c r="AA523" s="28" t="s">
        <v>138</v>
      </c>
      <c r="AB523" s="32" t="s">
        <v>138</v>
      </c>
      <c r="AC523" s="32" t="s">
        <v>138</v>
      </c>
      <c r="AD523" s="32" t="s">
        <v>138</v>
      </c>
      <c r="AE523" s="32" t="s">
        <v>138</v>
      </c>
      <c r="AF523" s="32" t="s">
        <v>138</v>
      </c>
      <c r="AG523" s="28" t="s">
        <v>138</v>
      </c>
      <c r="AH523" s="32" t="s">
        <v>138</v>
      </c>
      <c r="AI523" s="32" t="s">
        <v>138</v>
      </c>
      <c r="AJ523" s="32" t="s">
        <v>138</v>
      </c>
      <c r="AK523" s="28" t="s">
        <v>10731</v>
      </c>
      <c r="AL523" s="28" t="s">
        <v>10732</v>
      </c>
      <c r="AM523" s="28" t="s">
        <v>938</v>
      </c>
      <c r="AN523" s="28" t="s">
        <v>10733</v>
      </c>
      <c r="AO523" s="28" t="s">
        <v>10734</v>
      </c>
      <c r="AP523" s="28" t="s">
        <v>1870</v>
      </c>
      <c r="AQ523" s="28" t="s">
        <v>10735</v>
      </c>
      <c r="AR523" s="28" t="s">
        <v>3062</v>
      </c>
      <c r="AS523" s="28" t="s">
        <v>1872</v>
      </c>
      <c r="AT523" s="28" t="s">
        <v>200</v>
      </c>
      <c r="AU523" s="28" t="s">
        <v>10736</v>
      </c>
      <c r="AV523" s="28" t="s">
        <v>162</v>
      </c>
      <c r="AW523" s="28" t="s">
        <v>10734</v>
      </c>
      <c r="AX523" s="28" t="s">
        <v>138</v>
      </c>
      <c r="AY523" s="28" t="s">
        <v>10737</v>
      </c>
      <c r="AZ523" s="28" t="s">
        <v>164</v>
      </c>
      <c r="BA523" s="28" t="s">
        <v>165</v>
      </c>
      <c r="BB523" s="28" t="s">
        <v>10738</v>
      </c>
      <c r="BC523" s="28" t="s">
        <v>10739</v>
      </c>
      <c r="BD523" s="33">
        <v>18</v>
      </c>
      <c r="BE523" s="28" t="s">
        <v>138</v>
      </c>
      <c r="BF523" s="28" t="s">
        <v>138</v>
      </c>
      <c r="BG523" s="28" t="s">
        <v>138</v>
      </c>
      <c r="BH523" s="28" t="s">
        <v>10740</v>
      </c>
      <c r="BI523" s="28" t="s">
        <v>138</v>
      </c>
      <c r="BJ523" s="28" t="s">
        <v>138</v>
      </c>
      <c r="BK523" s="28" t="s">
        <v>10741</v>
      </c>
      <c r="BL523" s="28" t="s">
        <v>3482</v>
      </c>
      <c r="BM523" s="34">
        <v>41361</v>
      </c>
      <c r="BN523" s="29">
        <v>0.05</v>
      </c>
      <c r="BO523" s="28" t="s">
        <v>172</v>
      </c>
      <c r="BP523" s="29" t="s">
        <v>138</v>
      </c>
      <c r="BQ523" s="28" t="s">
        <v>138</v>
      </c>
      <c r="BR523" s="28" t="s">
        <v>176</v>
      </c>
      <c r="BS523" s="28" t="s">
        <v>138</v>
      </c>
      <c r="BT523" s="28" t="s">
        <v>138</v>
      </c>
      <c r="BU523" s="28" t="s">
        <v>177</v>
      </c>
      <c r="BV523" s="28" t="s">
        <v>138</v>
      </c>
      <c r="BW523" s="28" t="s">
        <v>138</v>
      </c>
      <c r="BX523" s="28" t="s">
        <v>138</v>
      </c>
      <c r="BY523" s="28" t="s">
        <v>175</v>
      </c>
      <c r="BZ523" s="34">
        <v>43171</v>
      </c>
      <c r="CA523" s="29">
        <v>20.100000000000001</v>
      </c>
      <c r="CB523" s="28" t="s">
        <v>172</v>
      </c>
      <c r="CC523" s="29" t="s">
        <v>138</v>
      </c>
      <c r="CD523" s="28" t="s">
        <v>138</v>
      </c>
      <c r="CE523" s="28" t="s">
        <v>205</v>
      </c>
      <c r="CF523" s="28" t="s">
        <v>138</v>
      </c>
      <c r="CG523" s="28" t="s">
        <v>138</v>
      </c>
      <c r="CH523" s="28" t="s">
        <v>174</v>
      </c>
      <c r="CI523" s="28" t="s">
        <v>138</v>
      </c>
      <c r="CJ523" s="28" t="s">
        <v>138</v>
      </c>
      <c r="CK523" s="28" t="s">
        <v>138</v>
      </c>
      <c r="CL523" s="28" t="s">
        <v>175</v>
      </c>
      <c r="CM523" s="34" t="s">
        <v>138</v>
      </c>
      <c r="CN523" s="29" t="s">
        <v>138</v>
      </c>
      <c r="CO523" s="35">
        <v>0.75</v>
      </c>
      <c r="CP523" s="36">
        <v>96</v>
      </c>
      <c r="CQ523" s="35">
        <v>0.03</v>
      </c>
      <c r="CR523" s="35">
        <v>3.43</v>
      </c>
      <c r="CS523" s="35">
        <v>0.87</v>
      </c>
      <c r="CT523" s="36">
        <v>96</v>
      </c>
      <c r="CU523" s="35">
        <v>0.64</v>
      </c>
      <c r="CV523" s="36">
        <v>95</v>
      </c>
      <c r="CW523" s="35">
        <v>2.46</v>
      </c>
      <c r="CX523" s="36">
        <v>90</v>
      </c>
      <c r="CY523" s="35">
        <v>-0.72</v>
      </c>
      <c r="CZ523" s="36">
        <v>21</v>
      </c>
      <c r="DA523" s="35">
        <v>1.07</v>
      </c>
      <c r="DB523" s="36">
        <v>98</v>
      </c>
      <c r="DC523" s="37">
        <v>10.66</v>
      </c>
      <c r="DD523" s="36">
        <v>90</v>
      </c>
      <c r="DE523" s="37">
        <v>-0.42</v>
      </c>
      <c r="DF523" s="35">
        <v>-3.82</v>
      </c>
      <c r="DG523" s="37">
        <v>11.4</v>
      </c>
      <c r="DH523" s="36">
        <v>91</v>
      </c>
      <c r="DI523" s="37">
        <v>9.93</v>
      </c>
      <c r="DJ523" s="36">
        <v>85</v>
      </c>
      <c r="DK523" s="37">
        <v>14.76</v>
      </c>
      <c r="DL523" s="36">
        <v>90</v>
      </c>
      <c r="DM523" s="37">
        <v>8.0299999999999994</v>
      </c>
      <c r="DN523" s="36">
        <v>87</v>
      </c>
      <c r="DO523" s="37">
        <v>18.93</v>
      </c>
      <c r="DP523" s="36">
        <v>92</v>
      </c>
      <c r="DQ523" s="36">
        <v>5054</v>
      </c>
      <c r="DR523" s="38">
        <v>26</v>
      </c>
      <c r="DS523" s="35">
        <v>0.52</v>
      </c>
      <c r="DT523" s="36">
        <v>232</v>
      </c>
      <c r="DU523" s="38">
        <v>2</v>
      </c>
      <c r="DV523" s="35">
        <v>0.87</v>
      </c>
      <c r="DW523" s="36">
        <v>6774</v>
      </c>
      <c r="DX523" s="39">
        <v>16</v>
      </c>
      <c r="DY523" s="35">
        <v>0.24</v>
      </c>
      <c r="DZ523" s="28" t="s">
        <v>178</v>
      </c>
      <c r="EA523" s="34">
        <v>43622</v>
      </c>
      <c r="EB523" s="29" t="s">
        <v>138</v>
      </c>
      <c r="EC523" s="34" t="s">
        <v>138</v>
      </c>
      <c r="ED523" s="28" t="s">
        <v>138</v>
      </c>
      <c r="EE523" s="40" t="str">
        <f>HYPERLINK("https://my.pitchbook.com?c=61948-63", "View company online")</f>
        <v>View company online</v>
      </c>
    </row>
    <row r="524" spans="1:135">
      <c r="A524" s="15" t="s">
        <v>10742</v>
      </c>
      <c r="B524" s="15" t="s">
        <v>10743</v>
      </c>
      <c r="C524" s="15" t="s">
        <v>138</v>
      </c>
      <c r="D524" s="15" t="s">
        <v>138</v>
      </c>
      <c r="E524" s="15" t="s">
        <v>138</v>
      </c>
      <c r="F524" s="15" t="s">
        <v>10742</v>
      </c>
      <c r="G524" s="15" t="s">
        <v>10744</v>
      </c>
      <c r="H524" s="15" t="s">
        <v>322</v>
      </c>
      <c r="I524" s="15" t="s">
        <v>323</v>
      </c>
      <c r="J524" s="15" t="s">
        <v>413</v>
      </c>
      <c r="K524" s="15" t="s">
        <v>414</v>
      </c>
      <c r="L524" s="15" t="s">
        <v>242</v>
      </c>
      <c r="M524" s="15" t="s">
        <v>10745</v>
      </c>
      <c r="N524" s="15" t="s">
        <v>147</v>
      </c>
      <c r="O524" s="17">
        <v>0.65</v>
      </c>
      <c r="P524" s="15" t="s">
        <v>148</v>
      </c>
      <c r="Q524" s="15" t="s">
        <v>149</v>
      </c>
      <c r="R524" s="15" t="s">
        <v>174</v>
      </c>
      <c r="S524" s="15" t="s">
        <v>10746</v>
      </c>
      <c r="T524" s="18" t="s">
        <v>138</v>
      </c>
      <c r="U524" s="15" t="s">
        <v>138</v>
      </c>
      <c r="V524" s="15" t="s">
        <v>138</v>
      </c>
      <c r="W524" s="15" t="s">
        <v>138</v>
      </c>
      <c r="X524" s="19">
        <v>2012</v>
      </c>
      <c r="Y524" s="15" t="s">
        <v>138</v>
      </c>
      <c r="Z524" s="15" t="s">
        <v>138</v>
      </c>
      <c r="AA524" s="15" t="s">
        <v>138</v>
      </c>
      <c r="AB524" s="20" t="s">
        <v>138</v>
      </c>
      <c r="AC524" s="20" t="s">
        <v>138</v>
      </c>
      <c r="AD524" s="20" t="s">
        <v>138</v>
      </c>
      <c r="AE524" s="20" t="s">
        <v>138</v>
      </c>
      <c r="AF524" s="20" t="s">
        <v>138</v>
      </c>
      <c r="AG524" s="15" t="s">
        <v>138</v>
      </c>
      <c r="AH524" s="20" t="s">
        <v>138</v>
      </c>
      <c r="AI524" s="20" t="s">
        <v>138</v>
      </c>
      <c r="AJ524" s="20" t="s">
        <v>138</v>
      </c>
      <c r="AK524" s="15" t="s">
        <v>10747</v>
      </c>
      <c r="AL524" s="15" t="s">
        <v>10748</v>
      </c>
      <c r="AM524" s="15" t="s">
        <v>304</v>
      </c>
      <c r="AN524" s="15" t="s">
        <v>10749</v>
      </c>
      <c r="AO524" s="15" t="s">
        <v>10750</v>
      </c>
      <c r="AP524" s="15" t="s">
        <v>423</v>
      </c>
      <c r="AQ524" s="15" t="s">
        <v>10751</v>
      </c>
      <c r="AR524" s="15" t="s">
        <v>10752</v>
      </c>
      <c r="AS524" s="15" t="s">
        <v>426</v>
      </c>
      <c r="AT524" s="15" t="s">
        <v>426</v>
      </c>
      <c r="AU524" s="15" t="s">
        <v>10753</v>
      </c>
      <c r="AV524" s="15" t="s">
        <v>162</v>
      </c>
      <c r="AW524" s="15" t="s">
        <v>10750</v>
      </c>
      <c r="AX524" s="15" t="s">
        <v>138</v>
      </c>
      <c r="AY524" s="15" t="s">
        <v>138</v>
      </c>
      <c r="AZ524" s="15" t="s">
        <v>164</v>
      </c>
      <c r="BA524" s="15" t="s">
        <v>165</v>
      </c>
      <c r="BB524" s="15" t="s">
        <v>10754</v>
      </c>
      <c r="BC524" s="15" t="s">
        <v>10755</v>
      </c>
      <c r="BD524" s="21">
        <v>4</v>
      </c>
      <c r="BE524" s="15" t="s">
        <v>138</v>
      </c>
      <c r="BF524" s="15" t="s">
        <v>138</v>
      </c>
      <c r="BG524" s="15" t="s">
        <v>138</v>
      </c>
      <c r="BH524" s="15" t="s">
        <v>10756</v>
      </c>
      <c r="BI524" s="15" t="s">
        <v>138</v>
      </c>
      <c r="BJ524" s="15" t="s">
        <v>138</v>
      </c>
      <c r="BK524" s="15" t="s">
        <v>927</v>
      </c>
      <c r="BL524" s="15" t="s">
        <v>927</v>
      </c>
      <c r="BM524" s="22">
        <v>41603</v>
      </c>
      <c r="BN524" s="17" t="s">
        <v>138</v>
      </c>
      <c r="BO524" s="15" t="s">
        <v>138</v>
      </c>
      <c r="BP524" s="17" t="s">
        <v>138</v>
      </c>
      <c r="BQ524" s="15" t="s">
        <v>138</v>
      </c>
      <c r="BR524" s="15" t="s">
        <v>316</v>
      </c>
      <c r="BS524" s="15" t="s">
        <v>138</v>
      </c>
      <c r="BT524" s="15" t="s">
        <v>138</v>
      </c>
      <c r="BU524" s="15" t="s">
        <v>177</v>
      </c>
      <c r="BV524" s="15" t="s">
        <v>138</v>
      </c>
      <c r="BW524" s="15" t="s">
        <v>138</v>
      </c>
      <c r="BX524" s="15" t="s">
        <v>138</v>
      </c>
      <c r="BY524" s="15" t="s">
        <v>175</v>
      </c>
      <c r="BZ524" s="22">
        <v>43471</v>
      </c>
      <c r="CA524" s="17">
        <v>0.6</v>
      </c>
      <c r="CB524" s="15" t="s">
        <v>172</v>
      </c>
      <c r="CC524" s="17" t="s">
        <v>138</v>
      </c>
      <c r="CD524" s="15" t="s">
        <v>138</v>
      </c>
      <c r="CE524" s="15" t="s">
        <v>234</v>
      </c>
      <c r="CF524" s="15" t="s">
        <v>234</v>
      </c>
      <c r="CG524" s="15" t="s">
        <v>138</v>
      </c>
      <c r="CH524" s="15" t="s">
        <v>174</v>
      </c>
      <c r="CI524" s="15" t="s">
        <v>264</v>
      </c>
      <c r="CJ524" s="15" t="s">
        <v>138</v>
      </c>
      <c r="CK524" s="15" t="s">
        <v>138</v>
      </c>
      <c r="CL524" s="15" t="s">
        <v>175</v>
      </c>
      <c r="CM524" s="22" t="s">
        <v>138</v>
      </c>
      <c r="CN524" s="17" t="s">
        <v>138</v>
      </c>
      <c r="CO524" s="23">
        <v>0</v>
      </c>
      <c r="CP524" s="24">
        <v>26</v>
      </c>
      <c r="CQ524" s="23">
        <v>0</v>
      </c>
      <c r="CR524" s="23">
        <v>0</v>
      </c>
      <c r="CS524" s="23">
        <v>0</v>
      </c>
      <c r="CT524" s="24">
        <v>23</v>
      </c>
      <c r="CU524" s="23" t="s">
        <v>138</v>
      </c>
      <c r="CV524" s="24" t="s">
        <v>138</v>
      </c>
      <c r="CW524" s="23" t="s">
        <v>138</v>
      </c>
      <c r="CX524" s="24" t="s">
        <v>138</v>
      </c>
      <c r="CY524" s="23">
        <v>0</v>
      </c>
      <c r="CZ524" s="24">
        <v>25</v>
      </c>
      <c r="DA524" s="23" t="s">
        <v>138</v>
      </c>
      <c r="DB524" s="24" t="s">
        <v>138</v>
      </c>
      <c r="DC524" s="25">
        <v>0.55000000000000004</v>
      </c>
      <c r="DD524" s="24">
        <v>36</v>
      </c>
      <c r="DE524" s="25">
        <v>0</v>
      </c>
      <c r="DF524" s="23">
        <v>0</v>
      </c>
      <c r="DG524" s="25">
        <v>0.55000000000000004</v>
      </c>
      <c r="DH524" s="24">
        <v>36</v>
      </c>
      <c r="DI524" s="25" t="s">
        <v>138</v>
      </c>
      <c r="DJ524" s="24" t="s">
        <v>138</v>
      </c>
      <c r="DK524" s="25" t="s">
        <v>138</v>
      </c>
      <c r="DL524" s="24" t="s">
        <v>138</v>
      </c>
      <c r="DM524" s="25">
        <v>0.55000000000000004</v>
      </c>
      <c r="DN524" s="24">
        <v>36</v>
      </c>
      <c r="DO524" s="25" t="s">
        <v>138</v>
      </c>
      <c r="DP524" s="24" t="s">
        <v>138</v>
      </c>
      <c r="DQ524" s="24" t="s">
        <v>138</v>
      </c>
      <c r="DR524" s="26" t="s">
        <v>138</v>
      </c>
      <c r="DS524" s="23" t="s">
        <v>138</v>
      </c>
      <c r="DT524" s="24">
        <v>16</v>
      </c>
      <c r="DU524" s="26">
        <v>0</v>
      </c>
      <c r="DV524" s="23">
        <v>0</v>
      </c>
      <c r="DW524" s="24" t="s">
        <v>138</v>
      </c>
      <c r="DX524" s="27" t="s">
        <v>138</v>
      </c>
      <c r="DY524" s="23" t="s">
        <v>138</v>
      </c>
      <c r="DZ524" s="15" t="s">
        <v>178</v>
      </c>
      <c r="EA524" s="22">
        <v>43563</v>
      </c>
      <c r="EB524" s="17" t="s">
        <v>138</v>
      </c>
      <c r="EC524" s="22" t="s">
        <v>138</v>
      </c>
      <c r="ED524" s="15" t="s">
        <v>138</v>
      </c>
      <c r="EE524" s="14" t="str">
        <f>HYPERLINK("https://my.pitchbook.com?c=122493-16", "View company online")</f>
        <v>View company online</v>
      </c>
    </row>
    <row r="525" spans="1:135">
      <c r="A525" s="28" t="s">
        <v>10757</v>
      </c>
      <c r="B525" s="28" t="s">
        <v>10758</v>
      </c>
      <c r="C525" s="28" t="s">
        <v>10759</v>
      </c>
      <c r="D525" s="28" t="s">
        <v>138</v>
      </c>
      <c r="E525" s="28" t="s">
        <v>10760</v>
      </c>
      <c r="F525" s="28" t="s">
        <v>10757</v>
      </c>
      <c r="G525" s="28" t="s">
        <v>10761</v>
      </c>
      <c r="H525" s="28" t="s">
        <v>141</v>
      </c>
      <c r="I525" s="28" t="s">
        <v>142</v>
      </c>
      <c r="J525" s="28" t="s">
        <v>1924</v>
      </c>
      <c r="K525" s="28" t="s">
        <v>10762</v>
      </c>
      <c r="L525" s="28" t="s">
        <v>4912</v>
      </c>
      <c r="M525" s="28" t="s">
        <v>10763</v>
      </c>
      <c r="N525" s="28" t="s">
        <v>147</v>
      </c>
      <c r="O525" s="29">
        <v>11.67</v>
      </c>
      <c r="P525" s="28" t="s">
        <v>148</v>
      </c>
      <c r="Q525" s="28" t="s">
        <v>149</v>
      </c>
      <c r="R525" s="28" t="s">
        <v>174</v>
      </c>
      <c r="S525" s="28" t="s">
        <v>10764</v>
      </c>
      <c r="T525" s="30">
        <v>9</v>
      </c>
      <c r="U525" s="28" t="s">
        <v>7357</v>
      </c>
      <c r="V525" s="28" t="s">
        <v>138</v>
      </c>
      <c r="W525" s="28" t="s">
        <v>138</v>
      </c>
      <c r="X525" s="31">
        <v>2014</v>
      </c>
      <c r="Y525" s="28" t="s">
        <v>138</v>
      </c>
      <c r="Z525" s="28" t="s">
        <v>138</v>
      </c>
      <c r="AA525" s="28" t="s">
        <v>138</v>
      </c>
      <c r="AB525" s="32" t="s">
        <v>138</v>
      </c>
      <c r="AC525" s="32" t="s">
        <v>138</v>
      </c>
      <c r="AD525" s="32" t="s">
        <v>138</v>
      </c>
      <c r="AE525" s="32" t="s">
        <v>138</v>
      </c>
      <c r="AF525" s="32" t="s">
        <v>138</v>
      </c>
      <c r="AG525" s="28" t="s">
        <v>138</v>
      </c>
      <c r="AH525" s="32" t="s">
        <v>138</v>
      </c>
      <c r="AI525" s="32" t="s">
        <v>138</v>
      </c>
      <c r="AJ525" s="32" t="s">
        <v>138</v>
      </c>
      <c r="AK525" s="28" t="s">
        <v>10765</v>
      </c>
      <c r="AL525" s="28" t="s">
        <v>10766</v>
      </c>
      <c r="AM525" s="28" t="s">
        <v>10767</v>
      </c>
      <c r="AN525" s="28" t="s">
        <v>10768</v>
      </c>
      <c r="AO525" s="28" t="s">
        <v>10769</v>
      </c>
      <c r="AP525" s="28" t="s">
        <v>1292</v>
      </c>
      <c r="AQ525" s="28" t="s">
        <v>10770</v>
      </c>
      <c r="AR525" s="28" t="s">
        <v>10771</v>
      </c>
      <c r="AS525" s="28" t="s">
        <v>1294</v>
      </c>
      <c r="AT525" s="28" t="s">
        <v>864</v>
      </c>
      <c r="AU525" s="28" t="s">
        <v>10772</v>
      </c>
      <c r="AV525" s="28" t="s">
        <v>162</v>
      </c>
      <c r="AW525" s="28" t="s">
        <v>10769</v>
      </c>
      <c r="AX525" s="28" t="s">
        <v>138</v>
      </c>
      <c r="AY525" s="28" t="s">
        <v>10773</v>
      </c>
      <c r="AZ525" s="28" t="s">
        <v>164</v>
      </c>
      <c r="BA525" s="28" t="s">
        <v>165</v>
      </c>
      <c r="BB525" s="28" t="s">
        <v>10774</v>
      </c>
      <c r="BC525" s="28" t="s">
        <v>10775</v>
      </c>
      <c r="BD525" s="33">
        <v>12</v>
      </c>
      <c r="BE525" s="28" t="s">
        <v>138</v>
      </c>
      <c r="BF525" s="28" t="s">
        <v>138</v>
      </c>
      <c r="BG525" s="28" t="s">
        <v>138</v>
      </c>
      <c r="BH525" s="28" t="s">
        <v>10776</v>
      </c>
      <c r="BI525" s="28" t="s">
        <v>138</v>
      </c>
      <c r="BJ525" s="28" t="s">
        <v>138</v>
      </c>
      <c r="BK525" s="28" t="s">
        <v>10777</v>
      </c>
      <c r="BL525" s="28" t="s">
        <v>10778</v>
      </c>
      <c r="BM525" s="34" t="s">
        <v>138</v>
      </c>
      <c r="BN525" s="29">
        <v>0.08</v>
      </c>
      <c r="BO525" s="28" t="s">
        <v>172</v>
      </c>
      <c r="BP525" s="29" t="s">
        <v>138</v>
      </c>
      <c r="BQ525" s="28" t="s">
        <v>138</v>
      </c>
      <c r="BR525" s="28" t="s">
        <v>262</v>
      </c>
      <c r="BS525" s="28" t="s">
        <v>262</v>
      </c>
      <c r="BT525" s="28" t="s">
        <v>138</v>
      </c>
      <c r="BU525" s="28" t="s">
        <v>263</v>
      </c>
      <c r="BV525" s="28" t="s">
        <v>138</v>
      </c>
      <c r="BW525" s="28" t="s">
        <v>138</v>
      </c>
      <c r="BX525" s="28" t="s">
        <v>138</v>
      </c>
      <c r="BY525" s="28" t="s">
        <v>175</v>
      </c>
      <c r="BZ525" s="34">
        <v>43451</v>
      </c>
      <c r="CA525" s="29">
        <v>10</v>
      </c>
      <c r="CB525" s="28" t="s">
        <v>172</v>
      </c>
      <c r="CC525" s="29">
        <v>27</v>
      </c>
      <c r="CD525" s="28" t="s">
        <v>172</v>
      </c>
      <c r="CE525" s="28" t="s">
        <v>205</v>
      </c>
      <c r="CF525" s="28" t="s">
        <v>206</v>
      </c>
      <c r="CG525" s="28" t="s">
        <v>138</v>
      </c>
      <c r="CH525" s="28" t="s">
        <v>174</v>
      </c>
      <c r="CI525" s="28" t="s">
        <v>138</v>
      </c>
      <c r="CJ525" s="28" t="s">
        <v>138</v>
      </c>
      <c r="CK525" s="28" t="s">
        <v>138</v>
      </c>
      <c r="CL525" s="28" t="s">
        <v>175</v>
      </c>
      <c r="CM525" s="34" t="s">
        <v>138</v>
      </c>
      <c r="CN525" s="29" t="s">
        <v>138</v>
      </c>
      <c r="CO525" s="35">
        <v>0.31</v>
      </c>
      <c r="CP525" s="36">
        <v>94</v>
      </c>
      <c r="CQ525" s="35">
        <v>-0.06</v>
      </c>
      <c r="CR525" s="35">
        <v>-17.05</v>
      </c>
      <c r="CS525" s="35">
        <v>0.28999999999999998</v>
      </c>
      <c r="CT525" s="36">
        <v>95</v>
      </c>
      <c r="CU525" s="35">
        <v>0.34</v>
      </c>
      <c r="CV525" s="36">
        <v>89</v>
      </c>
      <c r="CW525" s="35">
        <v>2.13</v>
      </c>
      <c r="CX525" s="36">
        <v>89</v>
      </c>
      <c r="CY525" s="35">
        <v>-1.55</v>
      </c>
      <c r="CZ525" s="36">
        <v>14</v>
      </c>
      <c r="DA525" s="35">
        <v>0.21</v>
      </c>
      <c r="DB525" s="36">
        <v>83</v>
      </c>
      <c r="DC525" s="37">
        <v>3.14</v>
      </c>
      <c r="DD525" s="36">
        <v>76</v>
      </c>
      <c r="DE525" s="37">
        <v>-0.1</v>
      </c>
      <c r="DF525" s="35">
        <v>-3.05</v>
      </c>
      <c r="DG525" s="37">
        <v>4.3</v>
      </c>
      <c r="DH525" s="36">
        <v>80</v>
      </c>
      <c r="DI525" s="37">
        <v>1.97</v>
      </c>
      <c r="DJ525" s="36">
        <v>62</v>
      </c>
      <c r="DK525" s="37">
        <v>2.92</v>
      </c>
      <c r="DL525" s="36">
        <v>71</v>
      </c>
      <c r="DM525" s="37">
        <v>5.69</v>
      </c>
      <c r="DN525" s="36">
        <v>83</v>
      </c>
      <c r="DO525" s="37">
        <v>3.61</v>
      </c>
      <c r="DP525" s="36">
        <v>74</v>
      </c>
      <c r="DQ525" s="36">
        <v>1061</v>
      </c>
      <c r="DR525" s="38">
        <v>-183</v>
      </c>
      <c r="DS525" s="35">
        <v>-14.71</v>
      </c>
      <c r="DT525" s="36">
        <v>165</v>
      </c>
      <c r="DU525" s="38">
        <v>-2</v>
      </c>
      <c r="DV525" s="35">
        <v>-1.2</v>
      </c>
      <c r="DW525" s="36">
        <v>1294</v>
      </c>
      <c r="DX525" s="39">
        <v>3</v>
      </c>
      <c r="DY525" s="35">
        <v>0.23</v>
      </c>
      <c r="DZ525" s="28" t="s">
        <v>178</v>
      </c>
      <c r="EA525" s="34">
        <v>43622</v>
      </c>
      <c r="EB525" s="29">
        <v>27</v>
      </c>
      <c r="EC525" s="34">
        <v>43451</v>
      </c>
      <c r="ED525" s="28" t="s">
        <v>205</v>
      </c>
      <c r="EE525" s="40" t="str">
        <f>HYPERLINK("https://my.pitchbook.com?c=166379-95", "View company online")</f>
        <v>View company online</v>
      </c>
    </row>
    <row r="526" spans="1:135">
      <c r="A526" s="15" t="s">
        <v>10779</v>
      </c>
      <c r="B526" s="15" t="s">
        <v>10780</v>
      </c>
      <c r="C526" s="15" t="s">
        <v>10781</v>
      </c>
      <c r="D526" s="15" t="s">
        <v>138</v>
      </c>
      <c r="E526" s="15" t="s">
        <v>10782</v>
      </c>
      <c r="F526" s="15" t="s">
        <v>10779</v>
      </c>
      <c r="G526" s="15" t="s">
        <v>10783</v>
      </c>
      <c r="H526" s="15" t="s">
        <v>322</v>
      </c>
      <c r="I526" s="15" t="s">
        <v>323</v>
      </c>
      <c r="J526" s="15" t="s">
        <v>2984</v>
      </c>
      <c r="K526" s="15" t="s">
        <v>10784</v>
      </c>
      <c r="L526" s="15" t="s">
        <v>326</v>
      </c>
      <c r="M526" s="15" t="s">
        <v>10785</v>
      </c>
      <c r="N526" s="15" t="s">
        <v>147</v>
      </c>
      <c r="O526" s="17">
        <v>35</v>
      </c>
      <c r="P526" s="15" t="s">
        <v>148</v>
      </c>
      <c r="Q526" s="15" t="s">
        <v>149</v>
      </c>
      <c r="R526" s="15" t="s">
        <v>174</v>
      </c>
      <c r="S526" s="15" t="s">
        <v>10786</v>
      </c>
      <c r="T526" s="18">
        <v>35</v>
      </c>
      <c r="U526" s="15" t="s">
        <v>10787</v>
      </c>
      <c r="V526" s="15" t="s">
        <v>138</v>
      </c>
      <c r="W526" s="15" t="s">
        <v>138</v>
      </c>
      <c r="X526" s="19">
        <v>2012</v>
      </c>
      <c r="Y526" s="15" t="s">
        <v>138</v>
      </c>
      <c r="Z526" s="15" t="s">
        <v>138</v>
      </c>
      <c r="AA526" s="15" t="s">
        <v>138</v>
      </c>
      <c r="AB526" s="20" t="s">
        <v>138</v>
      </c>
      <c r="AC526" s="20" t="s">
        <v>138</v>
      </c>
      <c r="AD526" s="20" t="s">
        <v>138</v>
      </c>
      <c r="AE526" s="20" t="s">
        <v>138</v>
      </c>
      <c r="AF526" s="20" t="s">
        <v>138</v>
      </c>
      <c r="AG526" s="15" t="s">
        <v>138</v>
      </c>
      <c r="AH526" s="20" t="s">
        <v>138</v>
      </c>
      <c r="AI526" s="20" t="s">
        <v>138</v>
      </c>
      <c r="AJ526" s="20" t="s">
        <v>138</v>
      </c>
      <c r="AK526" s="15" t="s">
        <v>10788</v>
      </c>
      <c r="AL526" s="15" t="s">
        <v>10789</v>
      </c>
      <c r="AM526" s="15" t="s">
        <v>221</v>
      </c>
      <c r="AN526" s="15" t="s">
        <v>10790</v>
      </c>
      <c r="AO526" s="15" t="s">
        <v>10791</v>
      </c>
      <c r="AP526" s="15" t="s">
        <v>1168</v>
      </c>
      <c r="AQ526" s="15" t="s">
        <v>10792</v>
      </c>
      <c r="AR526" s="15" t="s">
        <v>138</v>
      </c>
      <c r="AS526" s="15" t="s">
        <v>1171</v>
      </c>
      <c r="AT526" s="15" t="s">
        <v>200</v>
      </c>
      <c r="AU526" s="15" t="s">
        <v>10793</v>
      </c>
      <c r="AV526" s="15" t="s">
        <v>162</v>
      </c>
      <c r="AW526" s="15" t="s">
        <v>10794</v>
      </c>
      <c r="AX526" s="15" t="s">
        <v>138</v>
      </c>
      <c r="AY526" s="15" t="s">
        <v>10795</v>
      </c>
      <c r="AZ526" s="15" t="s">
        <v>164</v>
      </c>
      <c r="BA526" s="15" t="s">
        <v>165</v>
      </c>
      <c r="BB526" s="15" t="s">
        <v>10796</v>
      </c>
      <c r="BC526" s="15" t="s">
        <v>10797</v>
      </c>
      <c r="BD526" s="21">
        <v>9</v>
      </c>
      <c r="BE526" s="15" t="s">
        <v>138</v>
      </c>
      <c r="BF526" s="15" t="s">
        <v>138</v>
      </c>
      <c r="BG526" s="15" t="s">
        <v>138</v>
      </c>
      <c r="BH526" s="15" t="s">
        <v>10798</v>
      </c>
      <c r="BI526" s="15" t="s">
        <v>138</v>
      </c>
      <c r="BJ526" s="15" t="s">
        <v>138</v>
      </c>
      <c r="BK526" s="15" t="s">
        <v>138</v>
      </c>
      <c r="BL526" s="15" t="s">
        <v>138</v>
      </c>
      <c r="BM526" s="22">
        <v>41533</v>
      </c>
      <c r="BN526" s="17">
        <v>7</v>
      </c>
      <c r="BO526" s="15" t="s">
        <v>172</v>
      </c>
      <c r="BP526" s="17" t="s">
        <v>138</v>
      </c>
      <c r="BQ526" s="15" t="s">
        <v>138</v>
      </c>
      <c r="BR526" s="15" t="s">
        <v>205</v>
      </c>
      <c r="BS526" s="15" t="s">
        <v>138</v>
      </c>
      <c r="BT526" s="15" t="s">
        <v>138</v>
      </c>
      <c r="BU526" s="15" t="s">
        <v>174</v>
      </c>
      <c r="BV526" s="15" t="s">
        <v>138</v>
      </c>
      <c r="BW526" s="15" t="s">
        <v>138</v>
      </c>
      <c r="BX526" s="15" t="s">
        <v>138</v>
      </c>
      <c r="BY526" s="15" t="s">
        <v>175</v>
      </c>
      <c r="BZ526" s="22">
        <v>43215</v>
      </c>
      <c r="CA526" s="17">
        <v>10</v>
      </c>
      <c r="CB526" s="15" t="s">
        <v>172</v>
      </c>
      <c r="CC526" s="17" t="s">
        <v>138</v>
      </c>
      <c r="CD526" s="15" t="s">
        <v>138</v>
      </c>
      <c r="CE526" s="15" t="s">
        <v>173</v>
      </c>
      <c r="CF526" s="15" t="s">
        <v>317</v>
      </c>
      <c r="CG526" s="15" t="s">
        <v>138</v>
      </c>
      <c r="CH526" s="15" t="s">
        <v>174</v>
      </c>
      <c r="CI526" s="15" t="s">
        <v>138</v>
      </c>
      <c r="CJ526" s="15" t="s">
        <v>138</v>
      </c>
      <c r="CK526" s="15" t="s">
        <v>138</v>
      </c>
      <c r="CL526" s="15" t="s">
        <v>175</v>
      </c>
      <c r="CM526" s="22" t="s">
        <v>138</v>
      </c>
      <c r="CN526" s="17" t="s">
        <v>138</v>
      </c>
      <c r="CO526" s="23">
        <v>-0.64</v>
      </c>
      <c r="CP526" s="24">
        <v>14</v>
      </c>
      <c r="CQ526" s="23">
        <v>-0.06</v>
      </c>
      <c r="CR526" s="23">
        <v>-10.15</v>
      </c>
      <c r="CS526" s="23">
        <v>-1.58</v>
      </c>
      <c r="CT526" s="24">
        <v>11</v>
      </c>
      <c r="CU526" s="23">
        <v>0.28999999999999998</v>
      </c>
      <c r="CV526" s="24">
        <v>87</v>
      </c>
      <c r="CW526" s="23">
        <v>-2.78</v>
      </c>
      <c r="CX526" s="24">
        <v>6</v>
      </c>
      <c r="CY526" s="23">
        <v>-0.38</v>
      </c>
      <c r="CZ526" s="24">
        <v>23</v>
      </c>
      <c r="DA526" s="23">
        <v>0.26</v>
      </c>
      <c r="DB526" s="24">
        <v>87</v>
      </c>
      <c r="DC526" s="25">
        <v>18.12</v>
      </c>
      <c r="DD526" s="24">
        <v>94</v>
      </c>
      <c r="DE526" s="25">
        <v>-0.55000000000000004</v>
      </c>
      <c r="DF526" s="23">
        <v>-2.92</v>
      </c>
      <c r="DG526" s="25">
        <v>24.71</v>
      </c>
      <c r="DH526" s="24">
        <v>96</v>
      </c>
      <c r="DI526" s="25">
        <v>11.53</v>
      </c>
      <c r="DJ526" s="24">
        <v>86</v>
      </c>
      <c r="DK526" s="25">
        <v>17.29</v>
      </c>
      <c r="DL526" s="24">
        <v>91</v>
      </c>
      <c r="DM526" s="25">
        <v>32.14</v>
      </c>
      <c r="DN526" s="24">
        <v>97</v>
      </c>
      <c r="DO526" s="25">
        <v>22.19</v>
      </c>
      <c r="DP526" s="24">
        <v>93</v>
      </c>
      <c r="DQ526" s="24">
        <v>5966</v>
      </c>
      <c r="DR526" s="26">
        <v>-105</v>
      </c>
      <c r="DS526" s="23">
        <v>-1.73</v>
      </c>
      <c r="DT526" s="24">
        <v>933</v>
      </c>
      <c r="DU526" s="26">
        <v>-5</v>
      </c>
      <c r="DV526" s="23">
        <v>-0.53</v>
      </c>
      <c r="DW526" s="24">
        <v>7941</v>
      </c>
      <c r="DX526" s="27">
        <v>12</v>
      </c>
      <c r="DY526" s="23">
        <v>0.15</v>
      </c>
      <c r="DZ526" s="15" t="s">
        <v>178</v>
      </c>
      <c r="EA526" s="22">
        <v>43351</v>
      </c>
      <c r="EB526" s="17" t="s">
        <v>138</v>
      </c>
      <c r="EC526" s="22" t="s">
        <v>138</v>
      </c>
      <c r="ED526" s="15" t="s">
        <v>138</v>
      </c>
      <c r="EE526" s="14" t="str">
        <f>HYPERLINK("https://my.pitchbook.com?c=59090-50", "View company online")</f>
        <v>View company online</v>
      </c>
    </row>
    <row r="527" spans="1:135">
      <c r="A527" s="28" t="s">
        <v>10799</v>
      </c>
      <c r="B527" s="28" t="s">
        <v>10800</v>
      </c>
      <c r="C527" s="28" t="s">
        <v>138</v>
      </c>
      <c r="D527" s="28" t="s">
        <v>138</v>
      </c>
      <c r="E527" s="28" t="s">
        <v>138</v>
      </c>
      <c r="F527" s="28" t="s">
        <v>10799</v>
      </c>
      <c r="G527" s="28" t="s">
        <v>10801</v>
      </c>
      <c r="H527" s="28" t="s">
        <v>322</v>
      </c>
      <c r="I527" s="28" t="s">
        <v>323</v>
      </c>
      <c r="J527" s="28" t="s">
        <v>413</v>
      </c>
      <c r="K527" s="28" t="s">
        <v>10802</v>
      </c>
      <c r="L527" s="28" t="s">
        <v>215</v>
      </c>
      <c r="M527" s="28" t="s">
        <v>10803</v>
      </c>
      <c r="N527" s="28" t="s">
        <v>147</v>
      </c>
      <c r="O527" s="29">
        <v>10</v>
      </c>
      <c r="P527" s="28" t="s">
        <v>148</v>
      </c>
      <c r="Q527" s="28" t="s">
        <v>149</v>
      </c>
      <c r="R527" s="28" t="s">
        <v>174</v>
      </c>
      <c r="S527" s="28" t="s">
        <v>10804</v>
      </c>
      <c r="T527" s="30" t="s">
        <v>138</v>
      </c>
      <c r="U527" s="28" t="s">
        <v>138</v>
      </c>
      <c r="V527" s="28" t="s">
        <v>138</v>
      </c>
      <c r="W527" s="28" t="s">
        <v>138</v>
      </c>
      <c r="X527" s="31">
        <v>2016</v>
      </c>
      <c r="Y527" s="28" t="s">
        <v>138</v>
      </c>
      <c r="Z527" s="28" t="s">
        <v>138</v>
      </c>
      <c r="AA527" s="28" t="s">
        <v>138</v>
      </c>
      <c r="AB527" s="32" t="s">
        <v>138</v>
      </c>
      <c r="AC527" s="32" t="s">
        <v>138</v>
      </c>
      <c r="AD527" s="32" t="s">
        <v>138</v>
      </c>
      <c r="AE527" s="32" t="s">
        <v>138</v>
      </c>
      <c r="AF527" s="32" t="s">
        <v>138</v>
      </c>
      <c r="AG527" s="28" t="s">
        <v>138</v>
      </c>
      <c r="AH527" s="32" t="s">
        <v>138</v>
      </c>
      <c r="AI527" s="32" t="s">
        <v>138</v>
      </c>
      <c r="AJ527" s="32" t="s">
        <v>138</v>
      </c>
      <c r="AK527" s="28" t="s">
        <v>10805</v>
      </c>
      <c r="AL527" s="28" t="s">
        <v>10806</v>
      </c>
      <c r="AM527" s="28" t="s">
        <v>986</v>
      </c>
      <c r="AN527" s="28" t="s">
        <v>10807</v>
      </c>
      <c r="AO527" s="28" t="s">
        <v>138</v>
      </c>
      <c r="AP527" s="28" t="s">
        <v>423</v>
      </c>
      <c r="AQ527" s="28" t="s">
        <v>138</v>
      </c>
      <c r="AR527" s="28" t="s">
        <v>138</v>
      </c>
      <c r="AS527" s="28" t="s">
        <v>426</v>
      </c>
      <c r="AT527" s="28" t="s">
        <v>426</v>
      </c>
      <c r="AU527" s="28" t="s">
        <v>138</v>
      </c>
      <c r="AV527" s="28" t="s">
        <v>162</v>
      </c>
      <c r="AW527" s="28" t="s">
        <v>138</v>
      </c>
      <c r="AX527" s="28" t="s">
        <v>138</v>
      </c>
      <c r="AY527" s="28" t="s">
        <v>10808</v>
      </c>
      <c r="AZ527" s="28" t="s">
        <v>164</v>
      </c>
      <c r="BA527" s="28" t="s">
        <v>165</v>
      </c>
      <c r="BB527" s="28" t="s">
        <v>10809</v>
      </c>
      <c r="BC527" s="28" t="s">
        <v>10810</v>
      </c>
      <c r="BD527" s="33">
        <v>12</v>
      </c>
      <c r="BE527" s="28" t="s">
        <v>138</v>
      </c>
      <c r="BF527" s="28" t="s">
        <v>138</v>
      </c>
      <c r="BG527" s="28" t="s">
        <v>138</v>
      </c>
      <c r="BH527" s="28" t="s">
        <v>10811</v>
      </c>
      <c r="BI527" s="28" t="s">
        <v>138</v>
      </c>
      <c r="BJ527" s="28" t="s">
        <v>138</v>
      </c>
      <c r="BK527" s="28" t="s">
        <v>138</v>
      </c>
      <c r="BL527" s="28" t="s">
        <v>138</v>
      </c>
      <c r="BM527" s="34">
        <v>42689</v>
      </c>
      <c r="BN527" s="29">
        <v>3</v>
      </c>
      <c r="BO527" s="28" t="s">
        <v>172</v>
      </c>
      <c r="BP527" s="29" t="s">
        <v>138</v>
      </c>
      <c r="BQ527" s="28" t="s">
        <v>138</v>
      </c>
      <c r="BR527" s="28" t="s">
        <v>205</v>
      </c>
      <c r="BS527" s="28" t="s">
        <v>138</v>
      </c>
      <c r="BT527" s="28" t="s">
        <v>138</v>
      </c>
      <c r="BU527" s="28" t="s">
        <v>174</v>
      </c>
      <c r="BV527" s="28" t="s">
        <v>138</v>
      </c>
      <c r="BW527" s="28" t="s">
        <v>138</v>
      </c>
      <c r="BX527" s="28" t="s">
        <v>138</v>
      </c>
      <c r="BY527" s="28" t="s">
        <v>175</v>
      </c>
      <c r="BZ527" s="34">
        <v>43398</v>
      </c>
      <c r="CA527" s="29">
        <v>7</v>
      </c>
      <c r="CB527" s="28" t="s">
        <v>172</v>
      </c>
      <c r="CC527" s="29" t="s">
        <v>138</v>
      </c>
      <c r="CD527" s="28" t="s">
        <v>138</v>
      </c>
      <c r="CE527" s="28" t="s">
        <v>205</v>
      </c>
      <c r="CF527" s="28" t="s">
        <v>206</v>
      </c>
      <c r="CG527" s="28" t="s">
        <v>138</v>
      </c>
      <c r="CH527" s="28" t="s">
        <v>174</v>
      </c>
      <c r="CI527" s="28" t="s">
        <v>138</v>
      </c>
      <c r="CJ527" s="28" t="s">
        <v>138</v>
      </c>
      <c r="CK527" s="28" t="s">
        <v>138</v>
      </c>
      <c r="CL527" s="28" t="s">
        <v>175</v>
      </c>
      <c r="CM527" s="34" t="s">
        <v>138</v>
      </c>
      <c r="CN527" s="29" t="s">
        <v>138</v>
      </c>
      <c r="CO527" s="35">
        <v>0.71</v>
      </c>
      <c r="CP527" s="36">
        <v>96</v>
      </c>
      <c r="CQ527" s="35">
        <v>-0.27</v>
      </c>
      <c r="CR527" s="35">
        <v>-27.86</v>
      </c>
      <c r="CS527" s="35">
        <v>0.75</v>
      </c>
      <c r="CT527" s="36">
        <v>96</v>
      </c>
      <c r="CU527" s="35">
        <v>0.67</v>
      </c>
      <c r="CV527" s="36">
        <v>96</v>
      </c>
      <c r="CW527" s="35">
        <v>1.51</v>
      </c>
      <c r="CX527" s="36">
        <v>86</v>
      </c>
      <c r="CY527" s="35">
        <v>0</v>
      </c>
      <c r="CZ527" s="36">
        <v>25</v>
      </c>
      <c r="DA527" s="35">
        <v>1.33</v>
      </c>
      <c r="DB527" s="36">
        <v>99</v>
      </c>
      <c r="DC527" s="37">
        <v>2.25</v>
      </c>
      <c r="DD527" s="36">
        <v>70</v>
      </c>
      <c r="DE527" s="37">
        <v>-0.19</v>
      </c>
      <c r="DF527" s="35">
        <v>-7.86</v>
      </c>
      <c r="DG527" s="37">
        <v>3.36</v>
      </c>
      <c r="DH527" s="36">
        <v>76</v>
      </c>
      <c r="DI527" s="37">
        <v>1.1399999999999999</v>
      </c>
      <c r="DJ527" s="36">
        <v>52</v>
      </c>
      <c r="DK527" s="37">
        <v>6.33</v>
      </c>
      <c r="DL527" s="36">
        <v>82</v>
      </c>
      <c r="DM527" s="37">
        <v>0.38</v>
      </c>
      <c r="DN527" s="36">
        <v>28</v>
      </c>
      <c r="DO527" s="37">
        <v>2.25</v>
      </c>
      <c r="DP527" s="36">
        <v>66</v>
      </c>
      <c r="DQ527" s="36">
        <v>2084</v>
      </c>
      <c r="DR527" s="38">
        <v>262</v>
      </c>
      <c r="DS527" s="35">
        <v>14.38</v>
      </c>
      <c r="DT527" s="36">
        <v>11</v>
      </c>
      <c r="DU527" s="38">
        <v>1</v>
      </c>
      <c r="DV527" s="35">
        <v>10</v>
      </c>
      <c r="DW527" s="36">
        <v>798</v>
      </c>
      <c r="DX527" s="39">
        <v>8</v>
      </c>
      <c r="DY527" s="35">
        <v>1.01</v>
      </c>
      <c r="DZ527" s="28" t="s">
        <v>178</v>
      </c>
      <c r="EA527" s="34">
        <v>43573</v>
      </c>
      <c r="EB527" s="29" t="s">
        <v>138</v>
      </c>
      <c r="EC527" s="34" t="s">
        <v>138</v>
      </c>
      <c r="ED527" s="28" t="s">
        <v>138</v>
      </c>
      <c r="EE527" s="40" t="str">
        <f>HYPERLINK("https://my.pitchbook.com?c=168258-34", "View company online")</f>
        <v>View company online</v>
      </c>
    </row>
    <row r="528" spans="1:135">
      <c r="A528" s="15" t="s">
        <v>10812</v>
      </c>
      <c r="B528" s="15" t="s">
        <v>10813</v>
      </c>
      <c r="C528" s="15" t="s">
        <v>138</v>
      </c>
      <c r="D528" s="15" t="s">
        <v>138</v>
      </c>
      <c r="E528" s="15" t="s">
        <v>10814</v>
      </c>
      <c r="F528" s="15" t="s">
        <v>10812</v>
      </c>
      <c r="G528" s="15" t="s">
        <v>10815</v>
      </c>
      <c r="H528" s="15" t="s">
        <v>322</v>
      </c>
      <c r="I528" s="15" t="s">
        <v>323</v>
      </c>
      <c r="J528" s="15" t="s">
        <v>324</v>
      </c>
      <c r="K528" s="15" t="s">
        <v>10816</v>
      </c>
      <c r="L528" s="15" t="s">
        <v>215</v>
      </c>
      <c r="M528" s="15" t="s">
        <v>10817</v>
      </c>
      <c r="N528" s="15" t="s">
        <v>147</v>
      </c>
      <c r="O528" s="17">
        <v>61.75</v>
      </c>
      <c r="P528" s="15" t="s">
        <v>148</v>
      </c>
      <c r="Q528" s="15" t="s">
        <v>149</v>
      </c>
      <c r="R528" s="15" t="s">
        <v>174</v>
      </c>
      <c r="S528" s="15" t="s">
        <v>10818</v>
      </c>
      <c r="T528" s="18">
        <v>45</v>
      </c>
      <c r="U528" s="15" t="s">
        <v>10819</v>
      </c>
      <c r="V528" s="15" t="s">
        <v>138</v>
      </c>
      <c r="W528" s="15" t="s">
        <v>138</v>
      </c>
      <c r="X528" s="19">
        <v>2013</v>
      </c>
      <c r="Y528" s="15" t="s">
        <v>138</v>
      </c>
      <c r="Z528" s="15" t="s">
        <v>138</v>
      </c>
      <c r="AA528" s="15" t="s">
        <v>138</v>
      </c>
      <c r="AB528" s="20" t="s">
        <v>138</v>
      </c>
      <c r="AC528" s="20" t="s">
        <v>138</v>
      </c>
      <c r="AD528" s="20" t="s">
        <v>138</v>
      </c>
      <c r="AE528" s="20" t="s">
        <v>138</v>
      </c>
      <c r="AF528" s="20" t="s">
        <v>138</v>
      </c>
      <c r="AG528" s="15" t="s">
        <v>138</v>
      </c>
      <c r="AH528" s="20" t="s">
        <v>138</v>
      </c>
      <c r="AI528" s="20" t="s">
        <v>138</v>
      </c>
      <c r="AJ528" s="20" t="s">
        <v>138</v>
      </c>
      <c r="AK528" s="15" t="s">
        <v>10820</v>
      </c>
      <c r="AL528" s="15" t="s">
        <v>10821</v>
      </c>
      <c r="AM528" s="15" t="s">
        <v>304</v>
      </c>
      <c r="AN528" s="15" t="s">
        <v>10822</v>
      </c>
      <c r="AO528" s="15" t="s">
        <v>10823</v>
      </c>
      <c r="AP528" s="15" t="s">
        <v>665</v>
      </c>
      <c r="AQ528" s="15" t="s">
        <v>10824</v>
      </c>
      <c r="AR528" s="15" t="s">
        <v>10825</v>
      </c>
      <c r="AS528" s="15" t="s">
        <v>668</v>
      </c>
      <c r="AT528" s="15" t="s">
        <v>200</v>
      </c>
      <c r="AU528" s="15" t="s">
        <v>3557</v>
      </c>
      <c r="AV528" s="15" t="s">
        <v>162</v>
      </c>
      <c r="AW528" s="15" t="s">
        <v>10823</v>
      </c>
      <c r="AX528" s="15" t="s">
        <v>138</v>
      </c>
      <c r="AY528" s="15" t="s">
        <v>10826</v>
      </c>
      <c r="AZ528" s="15" t="s">
        <v>164</v>
      </c>
      <c r="BA528" s="15" t="s">
        <v>165</v>
      </c>
      <c r="BB528" s="15" t="s">
        <v>10827</v>
      </c>
      <c r="BC528" s="15" t="s">
        <v>10828</v>
      </c>
      <c r="BD528" s="21">
        <v>13</v>
      </c>
      <c r="BE528" s="15" t="s">
        <v>138</v>
      </c>
      <c r="BF528" s="15" t="s">
        <v>5604</v>
      </c>
      <c r="BG528" s="15" t="s">
        <v>138</v>
      </c>
      <c r="BH528" s="15" t="s">
        <v>10829</v>
      </c>
      <c r="BI528" s="15" t="s">
        <v>5606</v>
      </c>
      <c r="BJ528" s="15" t="s">
        <v>138</v>
      </c>
      <c r="BK528" s="15" t="s">
        <v>138</v>
      </c>
      <c r="BL528" s="15" t="s">
        <v>2936</v>
      </c>
      <c r="BM528" s="22">
        <v>41456</v>
      </c>
      <c r="BN528" s="17" t="s">
        <v>138</v>
      </c>
      <c r="BO528" s="15" t="s">
        <v>138</v>
      </c>
      <c r="BP528" s="17" t="s">
        <v>138</v>
      </c>
      <c r="BQ528" s="15" t="s">
        <v>138</v>
      </c>
      <c r="BR528" s="15" t="s">
        <v>5214</v>
      </c>
      <c r="BS528" s="15" t="s">
        <v>138</v>
      </c>
      <c r="BT528" s="15" t="s">
        <v>138</v>
      </c>
      <c r="BU528" s="15" t="s">
        <v>263</v>
      </c>
      <c r="BV528" s="15" t="s">
        <v>138</v>
      </c>
      <c r="BW528" s="15" t="s">
        <v>138</v>
      </c>
      <c r="BX528" s="15" t="s">
        <v>138</v>
      </c>
      <c r="BY528" s="15" t="s">
        <v>175</v>
      </c>
      <c r="BZ528" s="22">
        <v>43488</v>
      </c>
      <c r="CA528" s="17">
        <v>34.5</v>
      </c>
      <c r="CB528" s="15" t="s">
        <v>1178</v>
      </c>
      <c r="CC528" s="17">
        <v>184.5</v>
      </c>
      <c r="CD528" s="15" t="s">
        <v>172</v>
      </c>
      <c r="CE528" s="15" t="s">
        <v>173</v>
      </c>
      <c r="CF528" s="15" t="s">
        <v>317</v>
      </c>
      <c r="CG528" s="15" t="s">
        <v>138</v>
      </c>
      <c r="CH528" s="15" t="s">
        <v>174</v>
      </c>
      <c r="CI528" s="15" t="s">
        <v>138</v>
      </c>
      <c r="CJ528" s="15" t="s">
        <v>138</v>
      </c>
      <c r="CK528" s="15" t="s">
        <v>138</v>
      </c>
      <c r="CL528" s="15" t="s">
        <v>175</v>
      </c>
      <c r="CM528" s="22" t="s">
        <v>138</v>
      </c>
      <c r="CN528" s="17" t="s">
        <v>138</v>
      </c>
      <c r="CO528" s="23">
        <v>1.38</v>
      </c>
      <c r="CP528" s="24">
        <v>98</v>
      </c>
      <c r="CQ528" s="23">
        <v>-0.15</v>
      </c>
      <c r="CR528" s="23">
        <v>-10.06</v>
      </c>
      <c r="CS528" s="23">
        <v>2.74</v>
      </c>
      <c r="CT528" s="24">
        <v>99</v>
      </c>
      <c r="CU528" s="23">
        <v>0.03</v>
      </c>
      <c r="CV528" s="24">
        <v>54</v>
      </c>
      <c r="CW528" s="23">
        <v>5.99</v>
      </c>
      <c r="CX528" s="24">
        <v>97</v>
      </c>
      <c r="CY528" s="23">
        <v>-0.52</v>
      </c>
      <c r="CZ528" s="24">
        <v>22</v>
      </c>
      <c r="DA528" s="23">
        <v>-0.02</v>
      </c>
      <c r="DB528" s="24">
        <v>19</v>
      </c>
      <c r="DC528" s="25">
        <v>9.39</v>
      </c>
      <c r="DD528" s="24">
        <v>89</v>
      </c>
      <c r="DE528" s="25">
        <v>-0.44</v>
      </c>
      <c r="DF528" s="23">
        <v>-4.47</v>
      </c>
      <c r="DG528" s="25">
        <v>11.6</v>
      </c>
      <c r="DH528" s="24">
        <v>91</v>
      </c>
      <c r="DI528" s="25">
        <v>7.17</v>
      </c>
      <c r="DJ528" s="24">
        <v>82</v>
      </c>
      <c r="DK528" s="25">
        <v>13.38</v>
      </c>
      <c r="DL528" s="24">
        <v>89</v>
      </c>
      <c r="DM528" s="25">
        <v>9.83</v>
      </c>
      <c r="DN528" s="24">
        <v>88</v>
      </c>
      <c r="DO528" s="25">
        <v>13.55</v>
      </c>
      <c r="DP528" s="24">
        <v>90</v>
      </c>
      <c r="DQ528" s="24">
        <v>4440</v>
      </c>
      <c r="DR528" s="26">
        <v>448</v>
      </c>
      <c r="DS528" s="23">
        <v>11.22</v>
      </c>
      <c r="DT528" s="24">
        <v>286</v>
      </c>
      <c r="DU528" s="26">
        <v>-2</v>
      </c>
      <c r="DV528" s="23">
        <v>-0.69</v>
      </c>
      <c r="DW528" s="24">
        <v>4855</v>
      </c>
      <c r="DX528" s="27">
        <v>0</v>
      </c>
      <c r="DY528" s="23">
        <v>0</v>
      </c>
      <c r="DZ528" s="15" t="s">
        <v>178</v>
      </c>
      <c r="EA528" s="22">
        <v>43602</v>
      </c>
      <c r="EB528" s="17">
        <v>184.5</v>
      </c>
      <c r="EC528" s="22">
        <v>43488</v>
      </c>
      <c r="ED528" s="15" t="s">
        <v>173</v>
      </c>
      <c r="EE528" s="14" t="str">
        <f>HYPERLINK("https://my.pitchbook.com?c=104701-51", "View company online")</f>
        <v>View company online</v>
      </c>
    </row>
    <row r="529" spans="1:135">
      <c r="A529" s="28" t="s">
        <v>10830</v>
      </c>
      <c r="B529" s="28" t="s">
        <v>10831</v>
      </c>
      <c r="C529" s="28" t="s">
        <v>10832</v>
      </c>
      <c r="D529" s="28" t="s">
        <v>138</v>
      </c>
      <c r="E529" s="28" t="s">
        <v>10833</v>
      </c>
      <c r="F529" s="28" t="s">
        <v>10830</v>
      </c>
      <c r="G529" s="28" t="s">
        <v>10834</v>
      </c>
      <c r="H529" s="28" t="s">
        <v>322</v>
      </c>
      <c r="I529" s="28" t="s">
        <v>323</v>
      </c>
      <c r="J529" s="28" t="s">
        <v>324</v>
      </c>
      <c r="K529" s="28" t="s">
        <v>325</v>
      </c>
      <c r="L529" s="28" t="s">
        <v>2641</v>
      </c>
      <c r="M529" s="28" t="s">
        <v>10835</v>
      </c>
      <c r="N529" s="28" t="s">
        <v>147</v>
      </c>
      <c r="O529" s="29">
        <v>2.8</v>
      </c>
      <c r="P529" s="28" t="s">
        <v>148</v>
      </c>
      <c r="Q529" s="28" t="s">
        <v>149</v>
      </c>
      <c r="R529" s="28" t="s">
        <v>174</v>
      </c>
      <c r="S529" s="28" t="s">
        <v>10836</v>
      </c>
      <c r="T529" s="30">
        <v>11</v>
      </c>
      <c r="U529" s="28" t="s">
        <v>1356</v>
      </c>
      <c r="V529" s="28" t="s">
        <v>138</v>
      </c>
      <c r="W529" s="28" t="s">
        <v>138</v>
      </c>
      <c r="X529" s="31">
        <v>2012</v>
      </c>
      <c r="Y529" s="28" t="s">
        <v>138</v>
      </c>
      <c r="Z529" s="28" t="s">
        <v>138</v>
      </c>
      <c r="AA529" s="28" t="s">
        <v>138</v>
      </c>
      <c r="AB529" s="32" t="s">
        <v>138</v>
      </c>
      <c r="AC529" s="32" t="s">
        <v>138</v>
      </c>
      <c r="AD529" s="32" t="s">
        <v>138</v>
      </c>
      <c r="AE529" s="32" t="s">
        <v>138</v>
      </c>
      <c r="AF529" s="32" t="s">
        <v>138</v>
      </c>
      <c r="AG529" s="28" t="s">
        <v>138</v>
      </c>
      <c r="AH529" s="32" t="s">
        <v>138</v>
      </c>
      <c r="AI529" s="32" t="s">
        <v>138</v>
      </c>
      <c r="AJ529" s="32" t="s">
        <v>138</v>
      </c>
      <c r="AK529" s="28" t="s">
        <v>10837</v>
      </c>
      <c r="AL529" s="28" t="s">
        <v>10838</v>
      </c>
      <c r="AM529" s="28" t="s">
        <v>304</v>
      </c>
      <c r="AN529" s="28" t="s">
        <v>10839</v>
      </c>
      <c r="AO529" s="28" t="s">
        <v>10840</v>
      </c>
      <c r="AP529" s="28" t="s">
        <v>1168</v>
      </c>
      <c r="AQ529" s="28" t="s">
        <v>10841</v>
      </c>
      <c r="AR529" s="28" t="s">
        <v>138</v>
      </c>
      <c r="AS529" s="28" t="s">
        <v>1171</v>
      </c>
      <c r="AT529" s="28" t="s">
        <v>200</v>
      </c>
      <c r="AU529" s="28" t="s">
        <v>5913</v>
      </c>
      <c r="AV529" s="28" t="s">
        <v>162</v>
      </c>
      <c r="AW529" s="28" t="s">
        <v>10840</v>
      </c>
      <c r="AX529" s="28" t="s">
        <v>138</v>
      </c>
      <c r="AY529" s="28" t="s">
        <v>10842</v>
      </c>
      <c r="AZ529" s="28" t="s">
        <v>164</v>
      </c>
      <c r="BA529" s="28" t="s">
        <v>165</v>
      </c>
      <c r="BB529" s="28" t="s">
        <v>10843</v>
      </c>
      <c r="BC529" s="28" t="s">
        <v>10844</v>
      </c>
      <c r="BD529" s="33">
        <v>9</v>
      </c>
      <c r="BE529" s="28" t="s">
        <v>138</v>
      </c>
      <c r="BF529" s="28" t="s">
        <v>138</v>
      </c>
      <c r="BG529" s="28" t="s">
        <v>138</v>
      </c>
      <c r="BH529" s="28" t="s">
        <v>10845</v>
      </c>
      <c r="BI529" s="28" t="s">
        <v>138</v>
      </c>
      <c r="BJ529" s="28" t="s">
        <v>138</v>
      </c>
      <c r="BK529" s="28" t="s">
        <v>138</v>
      </c>
      <c r="BL529" s="28" t="s">
        <v>138</v>
      </c>
      <c r="BM529" s="34">
        <v>43012</v>
      </c>
      <c r="BN529" s="29">
        <v>2.8</v>
      </c>
      <c r="BO529" s="28" t="s">
        <v>1178</v>
      </c>
      <c r="BP529" s="29">
        <v>21</v>
      </c>
      <c r="BQ529" s="28" t="s">
        <v>172</v>
      </c>
      <c r="BR529" s="28" t="s">
        <v>234</v>
      </c>
      <c r="BS529" s="28" t="s">
        <v>234</v>
      </c>
      <c r="BT529" s="28" t="s">
        <v>138</v>
      </c>
      <c r="BU529" s="28" t="s">
        <v>174</v>
      </c>
      <c r="BV529" s="28" t="s">
        <v>138</v>
      </c>
      <c r="BW529" s="28" t="s">
        <v>138</v>
      </c>
      <c r="BX529" s="28" t="s">
        <v>138</v>
      </c>
      <c r="BY529" s="28" t="s">
        <v>175</v>
      </c>
      <c r="BZ529" s="34">
        <v>43186</v>
      </c>
      <c r="CA529" s="29" t="s">
        <v>138</v>
      </c>
      <c r="CB529" s="28" t="s">
        <v>138</v>
      </c>
      <c r="CC529" s="29" t="s">
        <v>138</v>
      </c>
      <c r="CD529" s="28" t="s">
        <v>138</v>
      </c>
      <c r="CE529" s="28" t="s">
        <v>234</v>
      </c>
      <c r="CF529" s="28" t="s">
        <v>234</v>
      </c>
      <c r="CG529" s="28" t="s">
        <v>138</v>
      </c>
      <c r="CH529" s="28" t="s">
        <v>174</v>
      </c>
      <c r="CI529" s="28" t="s">
        <v>265</v>
      </c>
      <c r="CJ529" s="28" t="s">
        <v>138</v>
      </c>
      <c r="CK529" s="28" t="s">
        <v>138</v>
      </c>
      <c r="CL529" s="28" t="s">
        <v>175</v>
      </c>
      <c r="CM529" s="34" t="s">
        <v>138</v>
      </c>
      <c r="CN529" s="29" t="s">
        <v>138</v>
      </c>
      <c r="CO529" s="35">
        <v>0</v>
      </c>
      <c r="CP529" s="36">
        <v>26</v>
      </c>
      <c r="CQ529" s="35">
        <v>0</v>
      </c>
      <c r="CR529" s="35">
        <v>0</v>
      </c>
      <c r="CS529" s="35">
        <v>0</v>
      </c>
      <c r="CT529" s="36">
        <v>23</v>
      </c>
      <c r="CU529" s="35">
        <v>0</v>
      </c>
      <c r="CV529" s="36">
        <v>22</v>
      </c>
      <c r="CW529" s="35" t="s">
        <v>138</v>
      </c>
      <c r="CX529" s="36" t="s">
        <v>138</v>
      </c>
      <c r="CY529" s="35">
        <v>0</v>
      </c>
      <c r="CZ529" s="36">
        <v>25</v>
      </c>
      <c r="DA529" s="35">
        <v>0</v>
      </c>
      <c r="DB529" s="36">
        <v>22</v>
      </c>
      <c r="DC529" s="37">
        <v>0.77</v>
      </c>
      <c r="DD529" s="36">
        <v>45</v>
      </c>
      <c r="DE529" s="37">
        <v>0</v>
      </c>
      <c r="DF529" s="35">
        <v>0.04</v>
      </c>
      <c r="DG529" s="37">
        <v>1.34</v>
      </c>
      <c r="DH529" s="36">
        <v>58</v>
      </c>
      <c r="DI529" s="37">
        <v>0.19</v>
      </c>
      <c r="DJ529" s="36">
        <v>22</v>
      </c>
      <c r="DK529" s="37" t="s">
        <v>138</v>
      </c>
      <c r="DL529" s="36" t="s">
        <v>138</v>
      </c>
      <c r="DM529" s="37">
        <v>1.34</v>
      </c>
      <c r="DN529" s="36">
        <v>57</v>
      </c>
      <c r="DO529" s="37">
        <v>0.23</v>
      </c>
      <c r="DP529" s="36">
        <v>26</v>
      </c>
      <c r="DQ529" s="36" t="s">
        <v>138</v>
      </c>
      <c r="DR529" s="38" t="s">
        <v>138</v>
      </c>
      <c r="DS529" s="35" t="s">
        <v>138</v>
      </c>
      <c r="DT529" s="36">
        <v>39</v>
      </c>
      <c r="DU529" s="38">
        <v>1</v>
      </c>
      <c r="DV529" s="35">
        <v>2.63</v>
      </c>
      <c r="DW529" s="36">
        <v>84</v>
      </c>
      <c r="DX529" s="39">
        <v>0</v>
      </c>
      <c r="DY529" s="35">
        <v>0</v>
      </c>
      <c r="DZ529" s="28" t="s">
        <v>178</v>
      </c>
      <c r="EA529" s="34">
        <v>43622</v>
      </c>
      <c r="EB529" s="29">
        <v>21</v>
      </c>
      <c r="EC529" s="34">
        <v>43012</v>
      </c>
      <c r="ED529" s="28" t="s">
        <v>234</v>
      </c>
      <c r="EE529" s="40" t="str">
        <f>HYPERLINK("https://my.pitchbook.com?c=102359-98", "View company online")</f>
        <v>View company online</v>
      </c>
    </row>
    <row r="530" spans="1:135">
      <c r="A530" s="15" t="s">
        <v>10846</v>
      </c>
      <c r="B530" s="15" t="s">
        <v>10847</v>
      </c>
      <c r="C530" s="15" t="s">
        <v>138</v>
      </c>
      <c r="D530" s="15" t="s">
        <v>138</v>
      </c>
      <c r="E530" s="15" t="s">
        <v>10848</v>
      </c>
      <c r="F530" s="15" t="s">
        <v>10846</v>
      </c>
      <c r="G530" s="15" t="s">
        <v>10849</v>
      </c>
      <c r="H530" s="15" t="s">
        <v>141</v>
      </c>
      <c r="I530" s="15" t="s">
        <v>212</v>
      </c>
      <c r="J530" s="15" t="s">
        <v>213</v>
      </c>
      <c r="K530" s="15" t="s">
        <v>1064</v>
      </c>
      <c r="L530" s="15" t="s">
        <v>855</v>
      </c>
      <c r="M530" s="15" t="s">
        <v>10850</v>
      </c>
      <c r="N530" s="15" t="s">
        <v>147</v>
      </c>
      <c r="O530" s="17">
        <v>0.12</v>
      </c>
      <c r="P530" s="15" t="s">
        <v>148</v>
      </c>
      <c r="Q530" s="15" t="s">
        <v>149</v>
      </c>
      <c r="R530" s="15" t="s">
        <v>174</v>
      </c>
      <c r="S530" s="15" t="s">
        <v>10851</v>
      </c>
      <c r="T530" s="18" t="s">
        <v>138</v>
      </c>
      <c r="U530" s="15" t="s">
        <v>138</v>
      </c>
      <c r="V530" s="15" t="s">
        <v>138</v>
      </c>
      <c r="W530" s="15" t="s">
        <v>138</v>
      </c>
      <c r="X530" s="19">
        <v>2016</v>
      </c>
      <c r="Y530" s="15" t="s">
        <v>138</v>
      </c>
      <c r="Z530" s="15" t="s">
        <v>138</v>
      </c>
      <c r="AA530" s="15" t="s">
        <v>138</v>
      </c>
      <c r="AB530" s="20" t="s">
        <v>138</v>
      </c>
      <c r="AC530" s="20" t="s">
        <v>138</v>
      </c>
      <c r="AD530" s="20" t="s">
        <v>138</v>
      </c>
      <c r="AE530" s="20" t="s">
        <v>138</v>
      </c>
      <c r="AF530" s="20" t="s">
        <v>138</v>
      </c>
      <c r="AG530" s="15" t="s">
        <v>138</v>
      </c>
      <c r="AH530" s="20" t="s">
        <v>138</v>
      </c>
      <c r="AI530" s="20" t="s">
        <v>138</v>
      </c>
      <c r="AJ530" s="20" t="s">
        <v>138</v>
      </c>
      <c r="AK530" s="15" t="s">
        <v>10852</v>
      </c>
      <c r="AL530" s="15" t="s">
        <v>10853</v>
      </c>
      <c r="AM530" s="15" t="s">
        <v>2605</v>
      </c>
      <c r="AN530" s="15" t="s">
        <v>10854</v>
      </c>
      <c r="AO530" s="15" t="s">
        <v>10855</v>
      </c>
      <c r="AP530" s="15" t="s">
        <v>665</v>
      </c>
      <c r="AQ530" s="15" t="s">
        <v>10856</v>
      </c>
      <c r="AR530" s="15" t="s">
        <v>158</v>
      </c>
      <c r="AS530" s="15" t="s">
        <v>668</v>
      </c>
      <c r="AT530" s="15" t="s">
        <v>200</v>
      </c>
      <c r="AU530" s="15" t="s">
        <v>1723</v>
      </c>
      <c r="AV530" s="15" t="s">
        <v>162</v>
      </c>
      <c r="AW530" s="15" t="s">
        <v>10855</v>
      </c>
      <c r="AX530" s="15" t="s">
        <v>138</v>
      </c>
      <c r="AY530" s="15" t="s">
        <v>138</v>
      </c>
      <c r="AZ530" s="15" t="s">
        <v>164</v>
      </c>
      <c r="BA530" s="15" t="s">
        <v>165</v>
      </c>
      <c r="BB530" s="15" t="s">
        <v>10857</v>
      </c>
      <c r="BC530" s="15" t="s">
        <v>10858</v>
      </c>
      <c r="BD530" s="21">
        <v>9</v>
      </c>
      <c r="BE530" s="15" t="s">
        <v>138</v>
      </c>
      <c r="BF530" s="15" t="s">
        <v>138</v>
      </c>
      <c r="BG530" s="15" t="s">
        <v>138</v>
      </c>
      <c r="BH530" s="15" t="s">
        <v>10859</v>
      </c>
      <c r="BI530" s="15" t="s">
        <v>138</v>
      </c>
      <c r="BJ530" s="15" t="s">
        <v>138</v>
      </c>
      <c r="BK530" s="15" t="s">
        <v>138</v>
      </c>
      <c r="BL530" s="15" t="s">
        <v>138</v>
      </c>
      <c r="BM530" s="22">
        <v>42736</v>
      </c>
      <c r="BN530" s="17">
        <v>0.12</v>
      </c>
      <c r="BO530" s="15" t="s">
        <v>172</v>
      </c>
      <c r="BP530" s="17">
        <v>1.71</v>
      </c>
      <c r="BQ530" s="15" t="s">
        <v>172</v>
      </c>
      <c r="BR530" s="15" t="s">
        <v>316</v>
      </c>
      <c r="BS530" s="15" t="s">
        <v>138</v>
      </c>
      <c r="BT530" s="15" t="s">
        <v>138</v>
      </c>
      <c r="BU530" s="15" t="s">
        <v>177</v>
      </c>
      <c r="BV530" s="15" t="s">
        <v>138</v>
      </c>
      <c r="BW530" s="15" t="s">
        <v>138</v>
      </c>
      <c r="BX530" s="15" t="s">
        <v>138</v>
      </c>
      <c r="BY530" s="15" t="s">
        <v>175</v>
      </c>
      <c r="BZ530" s="22">
        <v>43159</v>
      </c>
      <c r="CA530" s="17" t="s">
        <v>138</v>
      </c>
      <c r="CB530" s="15" t="s">
        <v>138</v>
      </c>
      <c r="CC530" s="17" t="s">
        <v>138</v>
      </c>
      <c r="CD530" s="15" t="s">
        <v>138</v>
      </c>
      <c r="CE530" s="15" t="s">
        <v>234</v>
      </c>
      <c r="CF530" s="15" t="s">
        <v>234</v>
      </c>
      <c r="CG530" s="15" t="s">
        <v>138</v>
      </c>
      <c r="CH530" s="15" t="s">
        <v>174</v>
      </c>
      <c r="CI530" s="15" t="s">
        <v>138</v>
      </c>
      <c r="CJ530" s="15" t="s">
        <v>138</v>
      </c>
      <c r="CK530" s="15" t="s">
        <v>138</v>
      </c>
      <c r="CL530" s="15" t="s">
        <v>175</v>
      </c>
      <c r="CM530" s="22" t="s">
        <v>138</v>
      </c>
      <c r="CN530" s="17" t="s">
        <v>138</v>
      </c>
      <c r="CO530" s="23">
        <v>0.03</v>
      </c>
      <c r="CP530" s="24">
        <v>86</v>
      </c>
      <c r="CQ530" s="23">
        <v>0</v>
      </c>
      <c r="CR530" s="23">
        <v>0</v>
      </c>
      <c r="CS530" s="23">
        <v>0</v>
      </c>
      <c r="CT530" s="24">
        <v>23</v>
      </c>
      <c r="CU530" s="23">
        <v>0.05</v>
      </c>
      <c r="CV530" s="24">
        <v>58</v>
      </c>
      <c r="CW530" s="23" t="s">
        <v>138</v>
      </c>
      <c r="CX530" s="24" t="s">
        <v>138</v>
      </c>
      <c r="CY530" s="23">
        <v>0</v>
      </c>
      <c r="CZ530" s="24">
        <v>25</v>
      </c>
      <c r="DA530" s="23">
        <v>0</v>
      </c>
      <c r="DB530" s="24">
        <v>22</v>
      </c>
      <c r="DC530" s="25">
        <v>1.33</v>
      </c>
      <c r="DD530" s="24">
        <v>58</v>
      </c>
      <c r="DE530" s="25">
        <v>0.57999999999999996</v>
      </c>
      <c r="DF530" s="23">
        <v>76.819999999999993</v>
      </c>
      <c r="DG530" s="25">
        <v>2.59</v>
      </c>
      <c r="DH530" s="24">
        <v>72</v>
      </c>
      <c r="DI530" s="25">
        <v>7.0000000000000007E-2</v>
      </c>
      <c r="DJ530" s="24">
        <v>11</v>
      </c>
      <c r="DK530" s="25" t="s">
        <v>138</v>
      </c>
      <c r="DL530" s="24" t="s">
        <v>138</v>
      </c>
      <c r="DM530" s="25">
        <v>2.59</v>
      </c>
      <c r="DN530" s="24">
        <v>71</v>
      </c>
      <c r="DO530" s="25">
        <v>0.01</v>
      </c>
      <c r="DP530" s="24">
        <v>1</v>
      </c>
      <c r="DQ530" s="24">
        <v>94</v>
      </c>
      <c r="DR530" s="26">
        <v>-53</v>
      </c>
      <c r="DS530" s="23">
        <v>-36.049999999999997</v>
      </c>
      <c r="DT530" s="24">
        <v>75</v>
      </c>
      <c r="DU530" s="26">
        <v>-1</v>
      </c>
      <c r="DV530" s="23">
        <v>-1.32</v>
      </c>
      <c r="DW530" s="24">
        <v>3</v>
      </c>
      <c r="DX530" s="27">
        <v>0</v>
      </c>
      <c r="DY530" s="23">
        <v>0</v>
      </c>
      <c r="DZ530" s="15" t="s">
        <v>178</v>
      </c>
      <c r="EA530" s="22">
        <v>43351</v>
      </c>
      <c r="EB530" s="17">
        <v>1.71</v>
      </c>
      <c r="EC530" s="22">
        <v>42736</v>
      </c>
      <c r="ED530" s="15" t="s">
        <v>316</v>
      </c>
      <c r="EE530" s="14" t="str">
        <f>HYPERLINK("https://my.pitchbook.com?c=226103-32", "View company online")</f>
        <v>View company online</v>
      </c>
    </row>
    <row r="531" spans="1:135">
      <c r="A531" s="28" t="s">
        <v>10860</v>
      </c>
      <c r="B531" s="28" t="s">
        <v>10861</v>
      </c>
      <c r="C531" s="28" t="s">
        <v>138</v>
      </c>
      <c r="D531" s="28" t="s">
        <v>10862</v>
      </c>
      <c r="E531" s="28" t="s">
        <v>10863</v>
      </c>
      <c r="F531" s="28" t="s">
        <v>10860</v>
      </c>
      <c r="G531" s="28" t="s">
        <v>10864</v>
      </c>
      <c r="H531" s="28" t="s">
        <v>238</v>
      </c>
      <c r="I531" s="28" t="s">
        <v>269</v>
      </c>
      <c r="J531" s="28" t="s">
        <v>296</v>
      </c>
      <c r="K531" s="28" t="s">
        <v>10865</v>
      </c>
      <c r="L531" s="28" t="s">
        <v>7721</v>
      </c>
      <c r="M531" s="28" t="s">
        <v>10866</v>
      </c>
      <c r="N531" s="28" t="s">
        <v>147</v>
      </c>
      <c r="O531" s="29">
        <v>37.6</v>
      </c>
      <c r="P531" s="28" t="s">
        <v>148</v>
      </c>
      <c r="Q531" s="28" t="s">
        <v>149</v>
      </c>
      <c r="R531" s="28" t="s">
        <v>174</v>
      </c>
      <c r="S531" s="28" t="s">
        <v>10867</v>
      </c>
      <c r="T531" s="30">
        <v>40</v>
      </c>
      <c r="U531" s="28" t="s">
        <v>10868</v>
      </c>
      <c r="V531" s="28" t="s">
        <v>138</v>
      </c>
      <c r="W531" s="28" t="s">
        <v>138</v>
      </c>
      <c r="X531" s="31">
        <v>2015</v>
      </c>
      <c r="Y531" s="28" t="s">
        <v>138</v>
      </c>
      <c r="Z531" s="28" t="s">
        <v>138</v>
      </c>
      <c r="AA531" s="28" t="s">
        <v>138</v>
      </c>
      <c r="AB531" s="32" t="s">
        <v>138</v>
      </c>
      <c r="AC531" s="32" t="s">
        <v>138</v>
      </c>
      <c r="AD531" s="32" t="s">
        <v>138</v>
      </c>
      <c r="AE531" s="32" t="s">
        <v>138</v>
      </c>
      <c r="AF531" s="32" t="s">
        <v>138</v>
      </c>
      <c r="AG531" s="28" t="s">
        <v>138</v>
      </c>
      <c r="AH531" s="32" t="s">
        <v>138</v>
      </c>
      <c r="AI531" s="32" t="s">
        <v>138</v>
      </c>
      <c r="AJ531" s="32" t="s">
        <v>138</v>
      </c>
      <c r="AK531" s="28" t="s">
        <v>10869</v>
      </c>
      <c r="AL531" s="28" t="s">
        <v>10870</v>
      </c>
      <c r="AM531" s="28" t="s">
        <v>304</v>
      </c>
      <c r="AN531" s="28" t="s">
        <v>10871</v>
      </c>
      <c r="AO531" s="28" t="s">
        <v>138</v>
      </c>
      <c r="AP531" s="28" t="s">
        <v>665</v>
      </c>
      <c r="AQ531" s="28" t="s">
        <v>10872</v>
      </c>
      <c r="AR531" s="28" t="s">
        <v>10873</v>
      </c>
      <c r="AS531" s="28" t="s">
        <v>668</v>
      </c>
      <c r="AT531" s="28" t="s">
        <v>200</v>
      </c>
      <c r="AU531" s="28" t="s">
        <v>1893</v>
      </c>
      <c r="AV531" s="28" t="s">
        <v>162</v>
      </c>
      <c r="AW531" s="28" t="s">
        <v>138</v>
      </c>
      <c r="AX531" s="28" t="s">
        <v>138</v>
      </c>
      <c r="AY531" s="28" t="s">
        <v>10874</v>
      </c>
      <c r="AZ531" s="28" t="s">
        <v>164</v>
      </c>
      <c r="BA531" s="28" t="s">
        <v>165</v>
      </c>
      <c r="BB531" s="28" t="s">
        <v>10875</v>
      </c>
      <c r="BC531" s="28" t="s">
        <v>10876</v>
      </c>
      <c r="BD531" s="33">
        <v>10</v>
      </c>
      <c r="BE531" s="28" t="s">
        <v>138</v>
      </c>
      <c r="BF531" s="28" t="s">
        <v>138</v>
      </c>
      <c r="BG531" s="28" t="s">
        <v>138</v>
      </c>
      <c r="BH531" s="28" t="s">
        <v>10877</v>
      </c>
      <c r="BI531" s="28" t="s">
        <v>138</v>
      </c>
      <c r="BJ531" s="28" t="s">
        <v>138</v>
      </c>
      <c r="BK531" s="28" t="s">
        <v>10878</v>
      </c>
      <c r="BL531" s="28" t="s">
        <v>1251</v>
      </c>
      <c r="BM531" s="34">
        <v>42065</v>
      </c>
      <c r="BN531" s="29">
        <v>2.1</v>
      </c>
      <c r="BO531" s="28" t="s">
        <v>172</v>
      </c>
      <c r="BP531" s="29">
        <v>8</v>
      </c>
      <c r="BQ531" s="28" t="s">
        <v>172</v>
      </c>
      <c r="BR531" s="28" t="s">
        <v>234</v>
      </c>
      <c r="BS531" s="28" t="s">
        <v>234</v>
      </c>
      <c r="BT531" s="28" t="s">
        <v>138</v>
      </c>
      <c r="BU531" s="28" t="s">
        <v>174</v>
      </c>
      <c r="BV531" s="28" t="s">
        <v>138</v>
      </c>
      <c r="BW531" s="28" t="s">
        <v>138</v>
      </c>
      <c r="BX531" s="28" t="s">
        <v>138</v>
      </c>
      <c r="BY531" s="28" t="s">
        <v>175</v>
      </c>
      <c r="BZ531" s="34" t="s">
        <v>138</v>
      </c>
      <c r="CA531" s="29" t="s">
        <v>138</v>
      </c>
      <c r="CB531" s="28" t="s">
        <v>138</v>
      </c>
      <c r="CC531" s="29" t="s">
        <v>138</v>
      </c>
      <c r="CD531" s="28" t="s">
        <v>138</v>
      </c>
      <c r="CE531" s="28" t="s">
        <v>205</v>
      </c>
      <c r="CF531" s="28" t="s">
        <v>138</v>
      </c>
      <c r="CG531" s="28" t="s">
        <v>138</v>
      </c>
      <c r="CH531" s="28" t="s">
        <v>174</v>
      </c>
      <c r="CI531" s="28" t="s">
        <v>138</v>
      </c>
      <c r="CJ531" s="28" t="s">
        <v>138</v>
      </c>
      <c r="CK531" s="28" t="s">
        <v>138</v>
      </c>
      <c r="CL531" s="28" t="s">
        <v>352</v>
      </c>
      <c r="CM531" s="34" t="s">
        <v>138</v>
      </c>
      <c r="CN531" s="29" t="s">
        <v>138</v>
      </c>
      <c r="CO531" s="35">
        <v>1.1499999999999999</v>
      </c>
      <c r="CP531" s="36">
        <v>98</v>
      </c>
      <c r="CQ531" s="35">
        <v>-0.38</v>
      </c>
      <c r="CR531" s="35">
        <v>-24.69</v>
      </c>
      <c r="CS531" s="35">
        <v>2.13</v>
      </c>
      <c r="CT531" s="36">
        <v>98</v>
      </c>
      <c r="CU531" s="35">
        <v>0.19</v>
      </c>
      <c r="CV531" s="36">
        <v>79</v>
      </c>
      <c r="CW531" s="35">
        <v>3.63</v>
      </c>
      <c r="CX531" s="36">
        <v>93</v>
      </c>
      <c r="CY531" s="35">
        <v>0.62</v>
      </c>
      <c r="CZ531" s="36">
        <v>99</v>
      </c>
      <c r="DA531" s="35">
        <v>0.19</v>
      </c>
      <c r="DB531" s="36">
        <v>82</v>
      </c>
      <c r="DC531" s="37">
        <v>85.23</v>
      </c>
      <c r="DD531" s="36">
        <v>99</v>
      </c>
      <c r="DE531" s="37">
        <v>2.71</v>
      </c>
      <c r="DF531" s="35">
        <v>3.28</v>
      </c>
      <c r="DG531" s="37">
        <v>37.36</v>
      </c>
      <c r="DH531" s="36">
        <v>97</v>
      </c>
      <c r="DI531" s="37">
        <v>5.12</v>
      </c>
      <c r="DJ531" s="36">
        <v>78</v>
      </c>
      <c r="DK531" s="37">
        <v>43</v>
      </c>
      <c r="DL531" s="36">
        <v>95</v>
      </c>
      <c r="DM531" s="37">
        <v>31.72</v>
      </c>
      <c r="DN531" s="36">
        <v>96</v>
      </c>
      <c r="DO531" s="37">
        <v>5.12</v>
      </c>
      <c r="DP531" s="36">
        <v>79</v>
      </c>
      <c r="DQ531" s="36">
        <v>14300</v>
      </c>
      <c r="DR531" s="38">
        <v>1350</v>
      </c>
      <c r="DS531" s="35">
        <v>10.42</v>
      </c>
      <c r="DT531" s="36">
        <v>920</v>
      </c>
      <c r="DU531" s="38">
        <v>1</v>
      </c>
      <c r="DV531" s="35">
        <v>0.11</v>
      </c>
      <c r="DW531" s="36">
        <v>1831</v>
      </c>
      <c r="DX531" s="39">
        <v>-1</v>
      </c>
      <c r="DY531" s="35">
        <v>-0.05</v>
      </c>
      <c r="DZ531" s="28" t="s">
        <v>178</v>
      </c>
      <c r="EA531" s="34">
        <v>43581</v>
      </c>
      <c r="EB531" s="29">
        <v>87.01</v>
      </c>
      <c r="EC531" s="34">
        <v>43048</v>
      </c>
      <c r="ED531" s="28" t="s">
        <v>205</v>
      </c>
      <c r="EE531" s="40" t="str">
        <f>HYPERLINK("https://my.pitchbook.com?c=119685-70", "View company online")</f>
        <v>View company online</v>
      </c>
    </row>
    <row r="532" spans="1:135">
      <c r="A532" s="15" t="s">
        <v>10879</v>
      </c>
      <c r="B532" s="15" t="s">
        <v>10880</v>
      </c>
      <c r="C532" s="15" t="s">
        <v>138</v>
      </c>
      <c r="D532" s="15" t="s">
        <v>138</v>
      </c>
      <c r="E532" s="15" t="s">
        <v>10881</v>
      </c>
      <c r="F532" s="15" t="s">
        <v>10879</v>
      </c>
      <c r="G532" s="15" t="s">
        <v>10882</v>
      </c>
      <c r="H532" s="15" t="s">
        <v>322</v>
      </c>
      <c r="I532" s="15" t="s">
        <v>323</v>
      </c>
      <c r="J532" s="15" t="s">
        <v>413</v>
      </c>
      <c r="K532" s="15" t="s">
        <v>10883</v>
      </c>
      <c r="L532" s="15" t="s">
        <v>4025</v>
      </c>
      <c r="M532" s="15" t="s">
        <v>10884</v>
      </c>
      <c r="N532" s="15" t="s">
        <v>147</v>
      </c>
      <c r="O532" s="17">
        <v>49.5</v>
      </c>
      <c r="P532" s="15" t="s">
        <v>812</v>
      </c>
      <c r="Q532" s="15" t="s">
        <v>149</v>
      </c>
      <c r="R532" s="15" t="s">
        <v>174</v>
      </c>
      <c r="S532" s="15" t="s">
        <v>10885</v>
      </c>
      <c r="T532" s="18">
        <v>201</v>
      </c>
      <c r="U532" s="15" t="s">
        <v>10886</v>
      </c>
      <c r="V532" s="15" t="s">
        <v>138</v>
      </c>
      <c r="W532" s="15" t="s">
        <v>138</v>
      </c>
      <c r="X532" s="19">
        <v>2000</v>
      </c>
      <c r="Y532" s="15" t="s">
        <v>138</v>
      </c>
      <c r="Z532" s="15" t="s">
        <v>138</v>
      </c>
      <c r="AA532" s="15" t="s">
        <v>138</v>
      </c>
      <c r="AB532" s="20">
        <v>35.01</v>
      </c>
      <c r="AC532" s="20" t="s">
        <v>138</v>
      </c>
      <c r="AD532" s="20" t="s">
        <v>138</v>
      </c>
      <c r="AE532" s="20" t="s">
        <v>138</v>
      </c>
      <c r="AF532" s="20" t="s">
        <v>138</v>
      </c>
      <c r="AG532" s="15" t="s">
        <v>2214</v>
      </c>
      <c r="AH532" s="20" t="s">
        <v>138</v>
      </c>
      <c r="AI532" s="20" t="s">
        <v>138</v>
      </c>
      <c r="AJ532" s="20" t="s">
        <v>138</v>
      </c>
      <c r="AK532" s="15" t="s">
        <v>10887</v>
      </c>
      <c r="AL532" s="15" t="s">
        <v>10888</v>
      </c>
      <c r="AM532" s="15" t="s">
        <v>2194</v>
      </c>
      <c r="AN532" s="15" t="s">
        <v>10889</v>
      </c>
      <c r="AO532" s="15" t="s">
        <v>10890</v>
      </c>
      <c r="AP532" s="15" t="s">
        <v>10891</v>
      </c>
      <c r="AQ532" s="15" t="s">
        <v>10892</v>
      </c>
      <c r="AR532" s="15" t="s">
        <v>5294</v>
      </c>
      <c r="AS532" s="15" t="s">
        <v>10893</v>
      </c>
      <c r="AT532" s="15" t="s">
        <v>6898</v>
      </c>
      <c r="AU532" s="15" t="s">
        <v>10894</v>
      </c>
      <c r="AV532" s="15" t="s">
        <v>162</v>
      </c>
      <c r="AW532" s="15" t="s">
        <v>10890</v>
      </c>
      <c r="AX532" s="15" t="s">
        <v>10895</v>
      </c>
      <c r="AY532" s="15" t="s">
        <v>138</v>
      </c>
      <c r="AZ532" s="15" t="s">
        <v>164</v>
      </c>
      <c r="BA532" s="15" t="s">
        <v>165</v>
      </c>
      <c r="BB532" s="15" t="s">
        <v>10896</v>
      </c>
      <c r="BC532" s="15" t="s">
        <v>10897</v>
      </c>
      <c r="BD532" s="21">
        <v>4</v>
      </c>
      <c r="BE532" s="15" t="s">
        <v>138</v>
      </c>
      <c r="BF532" s="15" t="s">
        <v>138</v>
      </c>
      <c r="BG532" s="15" t="s">
        <v>138</v>
      </c>
      <c r="BH532" s="15" t="s">
        <v>10898</v>
      </c>
      <c r="BI532" s="15" t="s">
        <v>138</v>
      </c>
      <c r="BJ532" s="15" t="s">
        <v>138</v>
      </c>
      <c r="BK532" s="15" t="s">
        <v>138</v>
      </c>
      <c r="BL532" s="15" t="s">
        <v>10899</v>
      </c>
      <c r="BM532" s="22">
        <v>37496</v>
      </c>
      <c r="BN532" s="17">
        <v>1.5</v>
      </c>
      <c r="BO532" s="15" t="s">
        <v>172</v>
      </c>
      <c r="BP532" s="17" t="s">
        <v>138</v>
      </c>
      <c r="BQ532" s="15" t="s">
        <v>138</v>
      </c>
      <c r="BR532" s="15" t="s">
        <v>265</v>
      </c>
      <c r="BS532" s="15" t="s">
        <v>138</v>
      </c>
      <c r="BT532" s="15" t="s">
        <v>138</v>
      </c>
      <c r="BU532" s="15" t="s">
        <v>174</v>
      </c>
      <c r="BV532" s="15" t="s">
        <v>264</v>
      </c>
      <c r="BW532" s="15" t="s">
        <v>138</v>
      </c>
      <c r="BX532" s="15" t="s">
        <v>138</v>
      </c>
      <c r="BY532" s="15" t="s">
        <v>175</v>
      </c>
      <c r="BZ532" s="22">
        <v>41813</v>
      </c>
      <c r="CA532" s="17">
        <v>20</v>
      </c>
      <c r="CB532" s="15" t="s">
        <v>172</v>
      </c>
      <c r="CC532" s="17" t="s">
        <v>138</v>
      </c>
      <c r="CD532" s="15" t="s">
        <v>138</v>
      </c>
      <c r="CE532" s="15" t="s">
        <v>173</v>
      </c>
      <c r="CF532" s="15" t="s">
        <v>138</v>
      </c>
      <c r="CG532" s="15" t="s">
        <v>138</v>
      </c>
      <c r="CH532" s="15" t="s">
        <v>174</v>
      </c>
      <c r="CI532" s="15" t="s">
        <v>1328</v>
      </c>
      <c r="CJ532" s="15" t="s">
        <v>138</v>
      </c>
      <c r="CK532" s="15" t="s">
        <v>138</v>
      </c>
      <c r="CL532" s="15" t="s">
        <v>175</v>
      </c>
      <c r="CM532" s="22">
        <v>41813</v>
      </c>
      <c r="CN532" s="17" t="s">
        <v>138</v>
      </c>
      <c r="CO532" s="23">
        <v>-0.9</v>
      </c>
      <c r="CP532" s="24">
        <v>12</v>
      </c>
      <c r="CQ532" s="23">
        <v>0.02</v>
      </c>
      <c r="CR532" s="23">
        <v>1.74</v>
      </c>
      <c r="CS532" s="23">
        <v>-1.71</v>
      </c>
      <c r="CT532" s="24">
        <v>10</v>
      </c>
      <c r="CU532" s="23">
        <v>-0.08</v>
      </c>
      <c r="CV532" s="24">
        <v>5</v>
      </c>
      <c r="CW532" s="23">
        <v>0</v>
      </c>
      <c r="CX532" s="24">
        <v>13</v>
      </c>
      <c r="CY532" s="23">
        <v>-3.43</v>
      </c>
      <c r="CZ532" s="24">
        <v>6</v>
      </c>
      <c r="DA532" s="23">
        <v>-0.08</v>
      </c>
      <c r="DB532" s="24">
        <v>8</v>
      </c>
      <c r="DC532" s="25">
        <v>3.42</v>
      </c>
      <c r="DD532" s="24">
        <v>77</v>
      </c>
      <c r="DE532" s="25">
        <v>-0.06</v>
      </c>
      <c r="DF532" s="23">
        <v>-1.8</v>
      </c>
      <c r="DG532" s="25">
        <v>3.11</v>
      </c>
      <c r="DH532" s="24">
        <v>75</v>
      </c>
      <c r="DI532" s="25">
        <v>3.73</v>
      </c>
      <c r="DJ532" s="24">
        <v>73</v>
      </c>
      <c r="DK532" s="25">
        <v>1.25</v>
      </c>
      <c r="DL532" s="24">
        <v>55</v>
      </c>
      <c r="DM532" s="25">
        <v>4.97</v>
      </c>
      <c r="DN532" s="24">
        <v>81</v>
      </c>
      <c r="DO532" s="25">
        <v>3.73</v>
      </c>
      <c r="DP532" s="24">
        <v>75</v>
      </c>
      <c r="DQ532" s="24">
        <v>447</v>
      </c>
      <c r="DR532" s="26">
        <v>-56</v>
      </c>
      <c r="DS532" s="23">
        <v>-11.13</v>
      </c>
      <c r="DT532" s="24">
        <v>145</v>
      </c>
      <c r="DU532" s="26">
        <v>-3</v>
      </c>
      <c r="DV532" s="23">
        <v>-2.0299999999999998</v>
      </c>
      <c r="DW532" s="24">
        <v>1335</v>
      </c>
      <c r="DX532" s="27">
        <v>-1</v>
      </c>
      <c r="DY532" s="23">
        <v>-7.0000000000000007E-2</v>
      </c>
      <c r="DZ532" s="15" t="s">
        <v>178</v>
      </c>
      <c r="EA532" s="22">
        <v>43566</v>
      </c>
      <c r="EB532" s="17" t="s">
        <v>138</v>
      </c>
      <c r="EC532" s="22" t="s">
        <v>138</v>
      </c>
      <c r="ED532" s="15" t="s">
        <v>138</v>
      </c>
      <c r="EE532" s="14" t="str">
        <f>HYPERLINK("https://my.pitchbook.com?c=44069-86", "View company online")</f>
        <v>View company online</v>
      </c>
    </row>
    <row r="533" spans="1:135">
      <c r="A533" s="28" t="s">
        <v>10900</v>
      </c>
      <c r="B533" s="28" t="s">
        <v>10901</v>
      </c>
      <c r="C533" s="28" t="s">
        <v>138</v>
      </c>
      <c r="D533" s="28" t="s">
        <v>10902</v>
      </c>
      <c r="E533" s="28" t="s">
        <v>138</v>
      </c>
      <c r="F533" s="28" t="s">
        <v>10900</v>
      </c>
      <c r="G533" s="28" t="s">
        <v>10903</v>
      </c>
      <c r="H533" s="28" t="s">
        <v>238</v>
      </c>
      <c r="I533" s="28" t="s">
        <v>1351</v>
      </c>
      <c r="J533" s="28" t="s">
        <v>1352</v>
      </c>
      <c r="K533" s="28" t="s">
        <v>10904</v>
      </c>
      <c r="L533" s="28" t="s">
        <v>10905</v>
      </c>
      <c r="M533" s="28" t="s">
        <v>10906</v>
      </c>
      <c r="N533" s="28" t="s">
        <v>147</v>
      </c>
      <c r="O533" s="29">
        <v>45.17</v>
      </c>
      <c r="P533" s="28" t="s">
        <v>610</v>
      </c>
      <c r="Q533" s="28" t="s">
        <v>149</v>
      </c>
      <c r="R533" s="28" t="s">
        <v>244</v>
      </c>
      <c r="S533" s="28" t="s">
        <v>10907</v>
      </c>
      <c r="T533" s="30">
        <v>40</v>
      </c>
      <c r="U533" s="28" t="s">
        <v>10908</v>
      </c>
      <c r="V533" s="28" t="s">
        <v>138</v>
      </c>
      <c r="W533" s="28" t="s">
        <v>138</v>
      </c>
      <c r="X533" s="31">
        <v>2011</v>
      </c>
      <c r="Y533" s="28" t="s">
        <v>138</v>
      </c>
      <c r="Z533" s="28" t="s">
        <v>138</v>
      </c>
      <c r="AA533" s="28" t="s">
        <v>138</v>
      </c>
      <c r="AB533" s="32" t="s">
        <v>138</v>
      </c>
      <c r="AC533" s="32" t="s">
        <v>138</v>
      </c>
      <c r="AD533" s="32" t="s">
        <v>138</v>
      </c>
      <c r="AE533" s="32" t="s">
        <v>138</v>
      </c>
      <c r="AF533" s="32" t="s">
        <v>138</v>
      </c>
      <c r="AG533" s="28" t="s">
        <v>138</v>
      </c>
      <c r="AH533" s="32" t="s">
        <v>138</v>
      </c>
      <c r="AI533" s="32" t="s">
        <v>138</v>
      </c>
      <c r="AJ533" s="32" t="s">
        <v>138</v>
      </c>
      <c r="AK533" s="28" t="s">
        <v>10909</v>
      </c>
      <c r="AL533" s="28" t="s">
        <v>10910</v>
      </c>
      <c r="AM533" s="28" t="s">
        <v>10911</v>
      </c>
      <c r="AN533" s="28" t="s">
        <v>10912</v>
      </c>
      <c r="AO533" s="28" t="s">
        <v>138</v>
      </c>
      <c r="AP533" s="28" t="s">
        <v>10913</v>
      </c>
      <c r="AQ533" s="28" t="s">
        <v>10914</v>
      </c>
      <c r="AR533" s="28" t="s">
        <v>10915</v>
      </c>
      <c r="AS533" s="28" t="s">
        <v>10916</v>
      </c>
      <c r="AT533" s="28" t="s">
        <v>138</v>
      </c>
      <c r="AU533" s="28" t="s">
        <v>7995</v>
      </c>
      <c r="AV533" s="28" t="s">
        <v>740</v>
      </c>
      <c r="AW533" s="28" t="s">
        <v>138</v>
      </c>
      <c r="AX533" s="28" t="s">
        <v>138</v>
      </c>
      <c r="AY533" s="28" t="s">
        <v>10917</v>
      </c>
      <c r="AZ533" s="28" t="s">
        <v>742</v>
      </c>
      <c r="BA533" s="28" t="s">
        <v>742</v>
      </c>
      <c r="BB533" s="28" t="s">
        <v>10918</v>
      </c>
      <c r="BC533" s="28" t="s">
        <v>10919</v>
      </c>
      <c r="BD533" s="33">
        <v>16</v>
      </c>
      <c r="BE533" s="28" t="s">
        <v>138</v>
      </c>
      <c r="BF533" s="28" t="s">
        <v>138</v>
      </c>
      <c r="BG533" s="28" t="s">
        <v>138</v>
      </c>
      <c r="BH533" s="28" t="s">
        <v>10920</v>
      </c>
      <c r="BI533" s="28" t="s">
        <v>138</v>
      </c>
      <c r="BJ533" s="28" t="s">
        <v>138</v>
      </c>
      <c r="BK533" s="28" t="s">
        <v>1038</v>
      </c>
      <c r="BL533" s="28" t="s">
        <v>10921</v>
      </c>
      <c r="BM533" s="34">
        <v>41193</v>
      </c>
      <c r="BN533" s="29">
        <v>2.15</v>
      </c>
      <c r="BO533" s="28" t="s">
        <v>172</v>
      </c>
      <c r="BP533" s="29" t="s">
        <v>138</v>
      </c>
      <c r="BQ533" s="28" t="s">
        <v>138</v>
      </c>
      <c r="BR533" s="28" t="s">
        <v>205</v>
      </c>
      <c r="BS533" s="28" t="s">
        <v>206</v>
      </c>
      <c r="BT533" s="28" t="s">
        <v>138</v>
      </c>
      <c r="BU533" s="28" t="s">
        <v>174</v>
      </c>
      <c r="BV533" s="28" t="s">
        <v>138</v>
      </c>
      <c r="BW533" s="28" t="s">
        <v>138</v>
      </c>
      <c r="BX533" s="28" t="s">
        <v>138</v>
      </c>
      <c r="BY533" s="28" t="s">
        <v>175</v>
      </c>
      <c r="BZ533" s="34">
        <v>43284</v>
      </c>
      <c r="CA533" s="29">
        <v>23.03</v>
      </c>
      <c r="CB533" s="28" t="s">
        <v>172</v>
      </c>
      <c r="CC533" s="29" t="s">
        <v>138</v>
      </c>
      <c r="CD533" s="28" t="s">
        <v>138</v>
      </c>
      <c r="CE533" s="28" t="s">
        <v>173</v>
      </c>
      <c r="CF533" s="28" t="s">
        <v>138</v>
      </c>
      <c r="CG533" s="28" t="s">
        <v>138</v>
      </c>
      <c r="CH533" s="28" t="s">
        <v>174</v>
      </c>
      <c r="CI533" s="28" t="s">
        <v>138</v>
      </c>
      <c r="CJ533" s="28" t="s">
        <v>138</v>
      </c>
      <c r="CK533" s="28" t="s">
        <v>138</v>
      </c>
      <c r="CL533" s="28" t="s">
        <v>175</v>
      </c>
      <c r="CM533" s="34" t="s">
        <v>138</v>
      </c>
      <c r="CN533" s="29" t="s">
        <v>138</v>
      </c>
      <c r="CO533" s="35">
        <v>-0.37</v>
      </c>
      <c r="CP533" s="36">
        <v>18</v>
      </c>
      <c r="CQ533" s="35">
        <v>0.01</v>
      </c>
      <c r="CR533" s="35">
        <v>1.4</v>
      </c>
      <c r="CS533" s="35">
        <v>-2.36</v>
      </c>
      <c r="CT533" s="36">
        <v>7</v>
      </c>
      <c r="CU533" s="35">
        <v>0.3</v>
      </c>
      <c r="CV533" s="36">
        <v>87</v>
      </c>
      <c r="CW533" s="35">
        <v>-3.63</v>
      </c>
      <c r="CX533" s="36">
        <v>4</v>
      </c>
      <c r="CY533" s="35">
        <v>-1.0900000000000001</v>
      </c>
      <c r="CZ533" s="36">
        <v>18</v>
      </c>
      <c r="DA533" s="35">
        <v>0.3</v>
      </c>
      <c r="DB533" s="36">
        <v>88</v>
      </c>
      <c r="DC533" s="37">
        <v>9.82</v>
      </c>
      <c r="DD533" s="36">
        <v>90</v>
      </c>
      <c r="DE533" s="37">
        <v>-0.02</v>
      </c>
      <c r="DF533" s="35">
        <v>-0.19</v>
      </c>
      <c r="DG533" s="37">
        <v>26.87</v>
      </c>
      <c r="DH533" s="36">
        <v>96</v>
      </c>
      <c r="DI533" s="37">
        <v>11.99</v>
      </c>
      <c r="DJ533" s="36">
        <v>87</v>
      </c>
      <c r="DK533" s="37">
        <v>5.3</v>
      </c>
      <c r="DL533" s="36">
        <v>80</v>
      </c>
      <c r="DM533" s="37">
        <v>48.45</v>
      </c>
      <c r="DN533" s="36">
        <v>98</v>
      </c>
      <c r="DO533" s="37">
        <v>11.99</v>
      </c>
      <c r="DP533" s="36">
        <v>89</v>
      </c>
      <c r="DQ533" s="36">
        <v>1799</v>
      </c>
      <c r="DR533" s="38">
        <v>52</v>
      </c>
      <c r="DS533" s="35">
        <v>2.98</v>
      </c>
      <c r="DT533" s="36">
        <v>1402</v>
      </c>
      <c r="DU533" s="38">
        <v>6</v>
      </c>
      <c r="DV533" s="35">
        <v>0.43</v>
      </c>
      <c r="DW533" s="36">
        <v>4280</v>
      </c>
      <c r="DX533" s="39">
        <v>31</v>
      </c>
      <c r="DY533" s="35">
        <v>0.73</v>
      </c>
      <c r="DZ533" s="28" t="s">
        <v>178</v>
      </c>
      <c r="EA533" s="34">
        <v>43598</v>
      </c>
      <c r="EB533" s="29">
        <v>37.78</v>
      </c>
      <c r="EC533" s="34">
        <v>41773</v>
      </c>
      <c r="ED533" s="28" t="s">
        <v>205</v>
      </c>
      <c r="EE533" s="40" t="str">
        <f>HYPERLINK("https://my.pitchbook.com?c=56108-35", "View company online")</f>
        <v>View company online</v>
      </c>
    </row>
    <row r="534" spans="1:135">
      <c r="A534" s="15" t="s">
        <v>10922</v>
      </c>
      <c r="B534" s="15" t="s">
        <v>10923</v>
      </c>
      <c r="C534" s="15" t="s">
        <v>138</v>
      </c>
      <c r="D534" s="15" t="s">
        <v>138</v>
      </c>
      <c r="E534" s="15" t="s">
        <v>10924</v>
      </c>
      <c r="F534" s="15" t="s">
        <v>10922</v>
      </c>
      <c r="G534" s="15" t="s">
        <v>10925</v>
      </c>
      <c r="H534" s="15" t="s">
        <v>890</v>
      </c>
      <c r="I534" s="15" t="s">
        <v>5099</v>
      </c>
      <c r="J534" s="15" t="s">
        <v>351</v>
      </c>
      <c r="K534" s="15" t="s">
        <v>10926</v>
      </c>
      <c r="L534" s="15" t="s">
        <v>138</v>
      </c>
      <c r="M534" s="15" t="s">
        <v>10927</v>
      </c>
      <c r="N534" s="15" t="s">
        <v>1452</v>
      </c>
      <c r="O534" s="17">
        <v>80</v>
      </c>
      <c r="P534" s="15" t="s">
        <v>812</v>
      </c>
      <c r="Q534" s="15" t="s">
        <v>149</v>
      </c>
      <c r="R534" s="15" t="s">
        <v>1652</v>
      </c>
      <c r="S534" s="15" t="s">
        <v>10928</v>
      </c>
      <c r="T534" s="18">
        <v>15</v>
      </c>
      <c r="U534" s="15" t="s">
        <v>10929</v>
      </c>
      <c r="V534" s="15" t="s">
        <v>138</v>
      </c>
      <c r="W534" s="15" t="s">
        <v>138</v>
      </c>
      <c r="X534" s="19">
        <v>2011</v>
      </c>
      <c r="Y534" s="15" t="s">
        <v>138</v>
      </c>
      <c r="Z534" s="15" t="s">
        <v>138</v>
      </c>
      <c r="AA534" s="15" t="s">
        <v>138</v>
      </c>
      <c r="AB534" s="20" t="s">
        <v>138</v>
      </c>
      <c r="AC534" s="20" t="s">
        <v>138</v>
      </c>
      <c r="AD534" s="20" t="s">
        <v>138</v>
      </c>
      <c r="AE534" s="20" t="s">
        <v>138</v>
      </c>
      <c r="AF534" s="20" t="s">
        <v>138</v>
      </c>
      <c r="AG534" s="15" t="s">
        <v>138</v>
      </c>
      <c r="AH534" s="20" t="s">
        <v>138</v>
      </c>
      <c r="AI534" s="20" t="s">
        <v>138</v>
      </c>
      <c r="AJ534" s="20" t="s">
        <v>138</v>
      </c>
      <c r="AK534" s="15" t="s">
        <v>10930</v>
      </c>
      <c r="AL534" s="15" t="s">
        <v>10931</v>
      </c>
      <c r="AM534" s="15" t="s">
        <v>4326</v>
      </c>
      <c r="AN534" s="15" t="s">
        <v>10932</v>
      </c>
      <c r="AO534" s="15" t="s">
        <v>138</v>
      </c>
      <c r="AP534" s="15" t="s">
        <v>4898</v>
      </c>
      <c r="AQ534" s="15" t="s">
        <v>10933</v>
      </c>
      <c r="AR534" s="15" t="s">
        <v>1459</v>
      </c>
      <c r="AS534" s="15" t="s">
        <v>4900</v>
      </c>
      <c r="AT534" s="15" t="s">
        <v>200</v>
      </c>
      <c r="AU534" s="15" t="s">
        <v>10934</v>
      </c>
      <c r="AV534" s="15" t="s">
        <v>162</v>
      </c>
      <c r="AW534" s="15" t="s">
        <v>138</v>
      </c>
      <c r="AX534" s="15" t="s">
        <v>138</v>
      </c>
      <c r="AY534" s="15" t="s">
        <v>10935</v>
      </c>
      <c r="AZ534" s="15" t="s">
        <v>164</v>
      </c>
      <c r="BA534" s="15" t="s">
        <v>165</v>
      </c>
      <c r="BB534" s="15" t="s">
        <v>10936</v>
      </c>
      <c r="BC534" s="15" t="s">
        <v>10937</v>
      </c>
      <c r="BD534" s="21">
        <v>15</v>
      </c>
      <c r="BE534" s="15" t="s">
        <v>138</v>
      </c>
      <c r="BF534" s="15" t="s">
        <v>10938</v>
      </c>
      <c r="BG534" s="15" t="s">
        <v>138</v>
      </c>
      <c r="BH534" s="15" t="s">
        <v>10939</v>
      </c>
      <c r="BI534" s="15" t="s">
        <v>10940</v>
      </c>
      <c r="BJ534" s="15" t="s">
        <v>138</v>
      </c>
      <c r="BK534" s="15" t="s">
        <v>7890</v>
      </c>
      <c r="BL534" s="15" t="s">
        <v>10941</v>
      </c>
      <c r="BM534" s="22">
        <v>40863</v>
      </c>
      <c r="BN534" s="17">
        <v>10</v>
      </c>
      <c r="BO534" s="15" t="s">
        <v>172</v>
      </c>
      <c r="BP534" s="17" t="s">
        <v>138</v>
      </c>
      <c r="BQ534" s="15" t="s">
        <v>138</v>
      </c>
      <c r="BR534" s="15" t="s">
        <v>234</v>
      </c>
      <c r="BS534" s="15" t="s">
        <v>234</v>
      </c>
      <c r="BT534" s="15" t="s">
        <v>138</v>
      </c>
      <c r="BU534" s="15" t="s">
        <v>174</v>
      </c>
      <c r="BV534" s="15" t="s">
        <v>138</v>
      </c>
      <c r="BW534" s="15" t="s">
        <v>138</v>
      </c>
      <c r="BX534" s="15" t="s">
        <v>138</v>
      </c>
      <c r="BY534" s="15" t="s">
        <v>175</v>
      </c>
      <c r="BZ534" s="22">
        <v>42053</v>
      </c>
      <c r="CA534" s="17">
        <v>20</v>
      </c>
      <c r="CB534" s="15" t="s">
        <v>172</v>
      </c>
      <c r="CC534" s="17" t="s">
        <v>138</v>
      </c>
      <c r="CD534" s="15" t="s">
        <v>138</v>
      </c>
      <c r="CE534" s="15" t="s">
        <v>1673</v>
      </c>
      <c r="CF534" s="15" t="s">
        <v>138</v>
      </c>
      <c r="CG534" s="15" t="s">
        <v>138</v>
      </c>
      <c r="CH534" s="15" t="s">
        <v>351</v>
      </c>
      <c r="CI534" s="15" t="s">
        <v>138</v>
      </c>
      <c r="CJ534" s="15" t="s">
        <v>138</v>
      </c>
      <c r="CK534" s="15" t="s">
        <v>138</v>
      </c>
      <c r="CL534" s="15" t="s">
        <v>175</v>
      </c>
      <c r="CM534" s="22">
        <v>41640</v>
      </c>
      <c r="CN534" s="17">
        <v>20</v>
      </c>
      <c r="CO534" s="23">
        <v>-1.0900000000000001</v>
      </c>
      <c r="CP534" s="24">
        <v>10</v>
      </c>
      <c r="CQ534" s="23">
        <v>0.01</v>
      </c>
      <c r="CR534" s="23">
        <v>0.71</v>
      </c>
      <c r="CS534" s="23">
        <v>-2.27</v>
      </c>
      <c r="CT534" s="24">
        <v>8</v>
      </c>
      <c r="CU534" s="23">
        <v>0.08</v>
      </c>
      <c r="CV534" s="24">
        <v>64</v>
      </c>
      <c r="CW534" s="23">
        <v>-2.27</v>
      </c>
      <c r="CX534" s="24">
        <v>7</v>
      </c>
      <c r="CY534" s="23" t="s">
        <v>138</v>
      </c>
      <c r="CZ534" s="24" t="s">
        <v>138</v>
      </c>
      <c r="DA534" s="23">
        <v>0.18</v>
      </c>
      <c r="DB534" s="24">
        <v>81</v>
      </c>
      <c r="DC534" s="25">
        <v>9.35</v>
      </c>
      <c r="DD534" s="24">
        <v>89</v>
      </c>
      <c r="DE534" s="25">
        <v>-0.3</v>
      </c>
      <c r="DF534" s="23">
        <v>-3.09</v>
      </c>
      <c r="DG534" s="25">
        <v>5.14</v>
      </c>
      <c r="DH534" s="24">
        <v>83</v>
      </c>
      <c r="DI534" s="25">
        <v>13.55</v>
      </c>
      <c r="DJ534" s="24">
        <v>88</v>
      </c>
      <c r="DK534" s="25">
        <v>5.14</v>
      </c>
      <c r="DL534" s="24">
        <v>79</v>
      </c>
      <c r="DM534" s="25" t="s">
        <v>138</v>
      </c>
      <c r="DN534" s="24" t="s">
        <v>138</v>
      </c>
      <c r="DO534" s="25">
        <v>21.41</v>
      </c>
      <c r="DP534" s="24">
        <v>93</v>
      </c>
      <c r="DQ534" s="24">
        <v>1750</v>
      </c>
      <c r="DR534" s="26">
        <v>39</v>
      </c>
      <c r="DS534" s="23">
        <v>2.2799999999999998</v>
      </c>
      <c r="DT534" s="24" t="s">
        <v>138</v>
      </c>
      <c r="DU534" s="26" t="s">
        <v>138</v>
      </c>
      <c r="DV534" s="23" t="s">
        <v>138</v>
      </c>
      <c r="DW534" s="24">
        <v>7664</v>
      </c>
      <c r="DX534" s="27">
        <v>14</v>
      </c>
      <c r="DY534" s="23">
        <v>0.18</v>
      </c>
      <c r="DZ534" s="15" t="s">
        <v>178</v>
      </c>
      <c r="EA534" s="22">
        <v>43622</v>
      </c>
      <c r="EB534" s="17" t="s">
        <v>138</v>
      </c>
      <c r="EC534" s="22" t="s">
        <v>138</v>
      </c>
      <c r="ED534" s="15" t="s">
        <v>138</v>
      </c>
      <c r="EE534" s="14" t="str">
        <f>HYPERLINK("https://my.pitchbook.com?c=53920-36", "View company online")</f>
        <v>View company online</v>
      </c>
    </row>
    <row r="535" spans="1:135">
      <c r="A535" s="28" t="s">
        <v>10942</v>
      </c>
      <c r="B535" s="28" t="s">
        <v>10943</v>
      </c>
      <c r="C535" s="28" t="s">
        <v>138</v>
      </c>
      <c r="D535" s="28" t="s">
        <v>138</v>
      </c>
      <c r="E535" s="28" t="s">
        <v>10944</v>
      </c>
      <c r="F535" s="28" t="s">
        <v>10942</v>
      </c>
      <c r="G535" s="28" t="s">
        <v>10945</v>
      </c>
      <c r="H535" s="28" t="s">
        <v>322</v>
      </c>
      <c r="I535" s="28" t="s">
        <v>1503</v>
      </c>
      <c r="J535" s="28" t="s">
        <v>1504</v>
      </c>
      <c r="K535" s="28" t="s">
        <v>10946</v>
      </c>
      <c r="L535" s="28" t="s">
        <v>10947</v>
      </c>
      <c r="M535" s="28" t="s">
        <v>10948</v>
      </c>
      <c r="N535" s="28" t="s">
        <v>147</v>
      </c>
      <c r="O535" s="29">
        <v>43</v>
      </c>
      <c r="P535" s="28" t="s">
        <v>148</v>
      </c>
      <c r="Q535" s="28" t="s">
        <v>149</v>
      </c>
      <c r="R535" s="28" t="s">
        <v>174</v>
      </c>
      <c r="S535" s="28" t="s">
        <v>10949</v>
      </c>
      <c r="T535" s="30">
        <v>19</v>
      </c>
      <c r="U535" s="28" t="s">
        <v>10950</v>
      </c>
      <c r="V535" s="28" t="s">
        <v>138</v>
      </c>
      <c r="W535" s="28" t="s">
        <v>138</v>
      </c>
      <c r="X535" s="31">
        <v>2009</v>
      </c>
      <c r="Y535" s="28" t="s">
        <v>138</v>
      </c>
      <c r="Z535" s="28" t="s">
        <v>138</v>
      </c>
      <c r="AA535" s="28" t="s">
        <v>138</v>
      </c>
      <c r="AB535" s="32" t="s">
        <v>138</v>
      </c>
      <c r="AC535" s="32" t="s">
        <v>138</v>
      </c>
      <c r="AD535" s="32" t="s">
        <v>138</v>
      </c>
      <c r="AE535" s="32" t="s">
        <v>138</v>
      </c>
      <c r="AF535" s="32" t="s">
        <v>138</v>
      </c>
      <c r="AG535" s="28" t="s">
        <v>138</v>
      </c>
      <c r="AH535" s="32" t="s">
        <v>138</v>
      </c>
      <c r="AI535" s="32" t="s">
        <v>138</v>
      </c>
      <c r="AJ535" s="32" t="s">
        <v>138</v>
      </c>
      <c r="AK535" s="28" t="s">
        <v>10951</v>
      </c>
      <c r="AL535" s="28" t="s">
        <v>10952</v>
      </c>
      <c r="AM535" s="28" t="s">
        <v>304</v>
      </c>
      <c r="AN535" s="28" t="s">
        <v>10953</v>
      </c>
      <c r="AO535" s="28" t="s">
        <v>10954</v>
      </c>
      <c r="AP535" s="28" t="s">
        <v>3689</v>
      </c>
      <c r="AQ535" s="28" t="s">
        <v>10955</v>
      </c>
      <c r="AR535" s="28" t="s">
        <v>138</v>
      </c>
      <c r="AS535" s="28" t="s">
        <v>3691</v>
      </c>
      <c r="AT535" s="28" t="s">
        <v>138</v>
      </c>
      <c r="AU535" s="28" t="s">
        <v>10956</v>
      </c>
      <c r="AV535" s="28" t="s">
        <v>3693</v>
      </c>
      <c r="AW535" s="28" t="s">
        <v>10954</v>
      </c>
      <c r="AX535" s="28" t="s">
        <v>138</v>
      </c>
      <c r="AY535" s="28" t="s">
        <v>10957</v>
      </c>
      <c r="AZ535" s="28" t="s">
        <v>530</v>
      </c>
      <c r="BA535" s="28" t="s">
        <v>531</v>
      </c>
      <c r="BB535" s="28" t="s">
        <v>10958</v>
      </c>
      <c r="BC535" s="28" t="s">
        <v>10959</v>
      </c>
      <c r="BD535" s="33">
        <v>6</v>
      </c>
      <c r="BE535" s="28" t="s">
        <v>138</v>
      </c>
      <c r="BF535" s="28" t="s">
        <v>138</v>
      </c>
      <c r="BG535" s="28" t="s">
        <v>138</v>
      </c>
      <c r="BH535" s="28" t="s">
        <v>10960</v>
      </c>
      <c r="BI535" s="28" t="s">
        <v>138</v>
      </c>
      <c r="BJ535" s="28" t="s">
        <v>138</v>
      </c>
      <c r="BK535" s="28" t="s">
        <v>138</v>
      </c>
      <c r="BL535" s="28" t="s">
        <v>138</v>
      </c>
      <c r="BM535" s="34">
        <v>41723</v>
      </c>
      <c r="BN535" s="29">
        <v>5.5</v>
      </c>
      <c r="BO535" s="28" t="s">
        <v>172</v>
      </c>
      <c r="BP535" s="29" t="s">
        <v>138</v>
      </c>
      <c r="BQ535" s="28" t="s">
        <v>138</v>
      </c>
      <c r="BR535" s="28" t="s">
        <v>262</v>
      </c>
      <c r="BS535" s="28" t="s">
        <v>262</v>
      </c>
      <c r="BT535" s="28" t="s">
        <v>138</v>
      </c>
      <c r="BU535" s="28" t="s">
        <v>263</v>
      </c>
      <c r="BV535" s="28" t="s">
        <v>138</v>
      </c>
      <c r="BW535" s="28" t="s">
        <v>138</v>
      </c>
      <c r="BX535" s="28" t="s">
        <v>138</v>
      </c>
      <c r="BY535" s="28" t="s">
        <v>175</v>
      </c>
      <c r="BZ535" s="34">
        <v>43307</v>
      </c>
      <c r="CA535" s="29">
        <v>30</v>
      </c>
      <c r="CB535" s="28" t="s">
        <v>172</v>
      </c>
      <c r="CC535" s="29" t="s">
        <v>138</v>
      </c>
      <c r="CD535" s="28" t="s">
        <v>138</v>
      </c>
      <c r="CE535" s="28" t="s">
        <v>173</v>
      </c>
      <c r="CF535" s="28" t="s">
        <v>720</v>
      </c>
      <c r="CG535" s="28" t="s">
        <v>138</v>
      </c>
      <c r="CH535" s="28" t="s">
        <v>174</v>
      </c>
      <c r="CI535" s="28" t="s">
        <v>138</v>
      </c>
      <c r="CJ535" s="28" t="s">
        <v>138</v>
      </c>
      <c r="CK535" s="28" t="s">
        <v>138</v>
      </c>
      <c r="CL535" s="28" t="s">
        <v>175</v>
      </c>
      <c r="CM535" s="34" t="s">
        <v>138</v>
      </c>
      <c r="CN535" s="29" t="s">
        <v>138</v>
      </c>
      <c r="CO535" s="35">
        <v>0.41</v>
      </c>
      <c r="CP535" s="36">
        <v>95</v>
      </c>
      <c r="CQ535" s="35">
        <v>0.13</v>
      </c>
      <c r="CR535" s="35">
        <v>47.61</v>
      </c>
      <c r="CS535" s="35">
        <v>-0.28999999999999998</v>
      </c>
      <c r="CT535" s="36">
        <v>21</v>
      </c>
      <c r="CU535" s="35">
        <v>0.18</v>
      </c>
      <c r="CV535" s="36">
        <v>78</v>
      </c>
      <c r="CW535" s="35">
        <v>1.81</v>
      </c>
      <c r="CX535" s="36">
        <v>87</v>
      </c>
      <c r="CY535" s="35">
        <v>-2.4</v>
      </c>
      <c r="CZ535" s="36">
        <v>9</v>
      </c>
      <c r="DA535" s="35">
        <v>0.25</v>
      </c>
      <c r="DB535" s="36">
        <v>86</v>
      </c>
      <c r="DC535" s="37">
        <v>25.22</v>
      </c>
      <c r="DD535" s="36">
        <v>96</v>
      </c>
      <c r="DE535" s="37">
        <v>-1.86</v>
      </c>
      <c r="DF535" s="35">
        <v>-6.88</v>
      </c>
      <c r="DG535" s="37">
        <v>70.92</v>
      </c>
      <c r="DH535" s="36">
        <v>99</v>
      </c>
      <c r="DI535" s="37">
        <v>3.64</v>
      </c>
      <c r="DJ535" s="36">
        <v>73</v>
      </c>
      <c r="DK535" s="37">
        <v>90.8</v>
      </c>
      <c r="DL535" s="36">
        <v>97</v>
      </c>
      <c r="DM535" s="37">
        <v>51.03</v>
      </c>
      <c r="DN535" s="36">
        <v>98</v>
      </c>
      <c r="DO535" s="37">
        <v>5.76</v>
      </c>
      <c r="DP535" s="36">
        <v>81</v>
      </c>
      <c r="DQ535" s="36">
        <v>30760</v>
      </c>
      <c r="DR535" s="38">
        <v>1156</v>
      </c>
      <c r="DS535" s="35">
        <v>3.9</v>
      </c>
      <c r="DT535" s="36">
        <v>1476</v>
      </c>
      <c r="DU535" s="38">
        <v>4</v>
      </c>
      <c r="DV535" s="35">
        <v>0.27</v>
      </c>
      <c r="DW535" s="36">
        <v>2064</v>
      </c>
      <c r="DX535" s="39">
        <v>5</v>
      </c>
      <c r="DY535" s="35">
        <v>0.24</v>
      </c>
      <c r="DZ535" s="28" t="s">
        <v>178</v>
      </c>
      <c r="EA535" s="34">
        <v>43376</v>
      </c>
      <c r="EB535" s="29" t="s">
        <v>138</v>
      </c>
      <c r="EC535" s="34" t="s">
        <v>138</v>
      </c>
      <c r="ED535" s="28" t="s">
        <v>138</v>
      </c>
      <c r="EE535" s="40" t="str">
        <f>HYPERLINK("https://my.pitchbook.com?c=62118-10", "View company online")</f>
        <v>View company online</v>
      </c>
    </row>
    <row r="536" spans="1:135">
      <c r="A536" s="15" t="s">
        <v>10961</v>
      </c>
      <c r="B536" s="15" t="s">
        <v>10962</v>
      </c>
      <c r="C536" s="15" t="s">
        <v>10963</v>
      </c>
      <c r="D536" s="15" t="s">
        <v>138</v>
      </c>
      <c r="E536" s="15" t="s">
        <v>138</v>
      </c>
      <c r="F536" s="15" t="s">
        <v>10961</v>
      </c>
      <c r="G536" s="15" t="s">
        <v>10964</v>
      </c>
      <c r="H536" s="15" t="s">
        <v>890</v>
      </c>
      <c r="I536" s="15" t="s">
        <v>7410</v>
      </c>
      <c r="J536" s="15" t="s">
        <v>10965</v>
      </c>
      <c r="K536" s="15" t="s">
        <v>10966</v>
      </c>
      <c r="L536" s="15" t="s">
        <v>138</v>
      </c>
      <c r="M536" s="15" t="s">
        <v>10967</v>
      </c>
      <c r="N536" s="15" t="s">
        <v>1452</v>
      </c>
      <c r="O536" s="17">
        <v>12.33</v>
      </c>
      <c r="P536" s="15" t="s">
        <v>148</v>
      </c>
      <c r="Q536" s="15" t="s">
        <v>149</v>
      </c>
      <c r="R536" s="15" t="s">
        <v>328</v>
      </c>
      <c r="S536" s="15" t="s">
        <v>10968</v>
      </c>
      <c r="T536" s="18" t="s">
        <v>138</v>
      </c>
      <c r="U536" s="15" t="s">
        <v>138</v>
      </c>
      <c r="V536" s="15" t="s">
        <v>138</v>
      </c>
      <c r="W536" s="15" t="s">
        <v>138</v>
      </c>
      <c r="X536" s="19">
        <v>2006</v>
      </c>
      <c r="Y536" s="15" t="s">
        <v>138</v>
      </c>
      <c r="Z536" s="15" t="s">
        <v>138</v>
      </c>
      <c r="AA536" s="15" t="s">
        <v>138</v>
      </c>
      <c r="AB536" s="20" t="s">
        <v>138</v>
      </c>
      <c r="AC536" s="20" t="s">
        <v>138</v>
      </c>
      <c r="AD536" s="20" t="s">
        <v>138</v>
      </c>
      <c r="AE536" s="20" t="s">
        <v>138</v>
      </c>
      <c r="AF536" s="20" t="s">
        <v>138</v>
      </c>
      <c r="AG536" s="15" t="s">
        <v>138</v>
      </c>
      <c r="AH536" s="20" t="s">
        <v>138</v>
      </c>
      <c r="AI536" s="20" t="s">
        <v>138</v>
      </c>
      <c r="AJ536" s="20" t="s">
        <v>138</v>
      </c>
      <c r="AK536" s="15" t="s">
        <v>138</v>
      </c>
      <c r="AL536" s="15" t="s">
        <v>138</v>
      </c>
      <c r="AM536" s="15" t="s">
        <v>138</v>
      </c>
      <c r="AN536" s="15" t="s">
        <v>138</v>
      </c>
      <c r="AO536" s="15" t="s">
        <v>138</v>
      </c>
      <c r="AP536" s="15" t="s">
        <v>1195</v>
      </c>
      <c r="AQ536" s="15" t="s">
        <v>10969</v>
      </c>
      <c r="AR536" s="15" t="s">
        <v>10970</v>
      </c>
      <c r="AS536" s="15" t="s">
        <v>1198</v>
      </c>
      <c r="AT536" s="15" t="s">
        <v>138</v>
      </c>
      <c r="AU536" s="15" t="s">
        <v>10971</v>
      </c>
      <c r="AV536" s="15" t="s">
        <v>1200</v>
      </c>
      <c r="AW536" s="15" t="s">
        <v>138</v>
      </c>
      <c r="AX536" s="15" t="s">
        <v>138</v>
      </c>
      <c r="AY536" s="15" t="s">
        <v>138</v>
      </c>
      <c r="AZ536" s="15" t="s">
        <v>452</v>
      </c>
      <c r="BA536" s="15" t="s">
        <v>453</v>
      </c>
      <c r="BB536" s="15" t="s">
        <v>10972</v>
      </c>
      <c r="BC536" s="15" t="s">
        <v>10973</v>
      </c>
      <c r="BD536" s="21">
        <v>12</v>
      </c>
      <c r="BE536" s="15" t="s">
        <v>138</v>
      </c>
      <c r="BF536" s="15" t="s">
        <v>10974</v>
      </c>
      <c r="BG536" s="15" t="s">
        <v>138</v>
      </c>
      <c r="BH536" s="15" t="s">
        <v>10975</v>
      </c>
      <c r="BI536" s="15" t="s">
        <v>10976</v>
      </c>
      <c r="BJ536" s="15" t="s">
        <v>138</v>
      </c>
      <c r="BK536" s="15" t="s">
        <v>138</v>
      </c>
      <c r="BL536" s="15" t="s">
        <v>138</v>
      </c>
      <c r="BM536" s="22">
        <v>39051</v>
      </c>
      <c r="BN536" s="17">
        <v>7.74</v>
      </c>
      <c r="BO536" s="15" t="s">
        <v>172</v>
      </c>
      <c r="BP536" s="17" t="s">
        <v>138</v>
      </c>
      <c r="BQ536" s="15" t="s">
        <v>138</v>
      </c>
      <c r="BR536" s="15" t="s">
        <v>1673</v>
      </c>
      <c r="BS536" s="15" t="s">
        <v>138</v>
      </c>
      <c r="BT536" s="15" t="s">
        <v>138</v>
      </c>
      <c r="BU536" s="15" t="s">
        <v>351</v>
      </c>
      <c r="BV536" s="15" t="s">
        <v>138</v>
      </c>
      <c r="BW536" s="15" t="s">
        <v>138</v>
      </c>
      <c r="BX536" s="15" t="s">
        <v>138</v>
      </c>
      <c r="BY536" s="15" t="s">
        <v>175</v>
      </c>
      <c r="BZ536" s="22" t="s">
        <v>138</v>
      </c>
      <c r="CA536" s="17" t="s">
        <v>138</v>
      </c>
      <c r="CB536" s="15" t="s">
        <v>138</v>
      </c>
      <c r="CC536" s="17" t="s">
        <v>138</v>
      </c>
      <c r="CD536" s="15" t="s">
        <v>138</v>
      </c>
      <c r="CE536" s="15" t="s">
        <v>2079</v>
      </c>
      <c r="CF536" s="15" t="s">
        <v>138</v>
      </c>
      <c r="CG536" s="15" t="s">
        <v>138</v>
      </c>
      <c r="CH536" s="15" t="s">
        <v>177</v>
      </c>
      <c r="CI536" s="15" t="s">
        <v>138</v>
      </c>
      <c r="CJ536" s="15" t="s">
        <v>138</v>
      </c>
      <c r="CK536" s="15" t="s">
        <v>138</v>
      </c>
      <c r="CL536" s="15" t="s">
        <v>175</v>
      </c>
      <c r="CM536" s="22" t="s">
        <v>138</v>
      </c>
      <c r="CN536" s="17" t="s">
        <v>138</v>
      </c>
      <c r="CO536" s="23">
        <v>-1.03</v>
      </c>
      <c r="CP536" s="24">
        <v>11</v>
      </c>
      <c r="CQ536" s="23">
        <v>-0.14000000000000001</v>
      </c>
      <c r="CR536" s="23">
        <v>-16.239999999999998</v>
      </c>
      <c r="CS536" s="23">
        <v>-1.03</v>
      </c>
      <c r="CT536" s="24">
        <v>15</v>
      </c>
      <c r="CU536" s="23" t="s">
        <v>138</v>
      </c>
      <c r="CV536" s="24" t="s">
        <v>138</v>
      </c>
      <c r="CW536" s="23" t="s">
        <v>138</v>
      </c>
      <c r="CX536" s="24" t="s">
        <v>138</v>
      </c>
      <c r="CY536" s="23">
        <v>-1.03</v>
      </c>
      <c r="CZ536" s="24">
        <v>19</v>
      </c>
      <c r="DA536" s="23" t="s">
        <v>138</v>
      </c>
      <c r="DB536" s="24" t="s">
        <v>138</v>
      </c>
      <c r="DC536" s="25">
        <v>11.48</v>
      </c>
      <c r="DD536" s="24">
        <v>91</v>
      </c>
      <c r="DE536" s="25">
        <v>-0.1</v>
      </c>
      <c r="DF536" s="23">
        <v>-0.89</v>
      </c>
      <c r="DG536" s="25">
        <v>11.48</v>
      </c>
      <c r="DH536" s="24">
        <v>91</v>
      </c>
      <c r="DI536" s="25" t="s">
        <v>138</v>
      </c>
      <c r="DJ536" s="24" t="s">
        <v>138</v>
      </c>
      <c r="DK536" s="25" t="s">
        <v>138</v>
      </c>
      <c r="DL536" s="24" t="s">
        <v>138</v>
      </c>
      <c r="DM536" s="25">
        <v>11.48</v>
      </c>
      <c r="DN536" s="24">
        <v>90</v>
      </c>
      <c r="DO536" s="25" t="s">
        <v>138</v>
      </c>
      <c r="DP536" s="24" t="s">
        <v>138</v>
      </c>
      <c r="DQ536" s="24" t="s">
        <v>138</v>
      </c>
      <c r="DR536" s="26" t="s">
        <v>138</v>
      </c>
      <c r="DS536" s="23" t="s">
        <v>138</v>
      </c>
      <c r="DT536" s="24">
        <v>334</v>
      </c>
      <c r="DU536" s="26">
        <v>-2</v>
      </c>
      <c r="DV536" s="23">
        <v>-0.6</v>
      </c>
      <c r="DW536" s="24" t="s">
        <v>138</v>
      </c>
      <c r="DX536" s="27" t="s">
        <v>138</v>
      </c>
      <c r="DY536" s="23" t="s">
        <v>138</v>
      </c>
      <c r="DZ536" s="15" t="s">
        <v>178</v>
      </c>
      <c r="EA536" s="22">
        <v>43409</v>
      </c>
      <c r="EB536" s="17">
        <v>16.28</v>
      </c>
      <c r="EC536" s="22">
        <v>39538</v>
      </c>
      <c r="ED536" s="15" t="s">
        <v>1673</v>
      </c>
      <c r="EE536" s="14" t="str">
        <f>HYPERLINK("https://my.pitchbook.com?c=159039-37", "View company online")</f>
        <v>View company online</v>
      </c>
    </row>
    <row r="537" spans="1:135">
      <c r="A537" s="28" t="s">
        <v>10977</v>
      </c>
      <c r="B537" s="28" t="s">
        <v>10978</v>
      </c>
      <c r="C537" s="28" t="s">
        <v>138</v>
      </c>
      <c r="D537" s="28" t="s">
        <v>138</v>
      </c>
      <c r="E537" s="28" t="s">
        <v>138</v>
      </c>
      <c r="F537" s="28" t="s">
        <v>10977</v>
      </c>
      <c r="G537" s="28" t="s">
        <v>10979</v>
      </c>
      <c r="H537" s="28" t="s">
        <v>141</v>
      </c>
      <c r="I537" s="28" t="s">
        <v>142</v>
      </c>
      <c r="J537" s="28" t="s">
        <v>4042</v>
      </c>
      <c r="K537" s="28" t="s">
        <v>10980</v>
      </c>
      <c r="L537" s="28" t="s">
        <v>1377</v>
      </c>
      <c r="M537" s="28" t="s">
        <v>10981</v>
      </c>
      <c r="N537" s="28" t="s">
        <v>147</v>
      </c>
      <c r="O537" s="29">
        <v>19.809999999999999</v>
      </c>
      <c r="P537" s="28" t="s">
        <v>148</v>
      </c>
      <c r="Q537" s="28" t="s">
        <v>149</v>
      </c>
      <c r="R537" s="28" t="s">
        <v>244</v>
      </c>
      <c r="S537" s="28" t="s">
        <v>10982</v>
      </c>
      <c r="T537" s="30">
        <v>14</v>
      </c>
      <c r="U537" s="28" t="s">
        <v>10983</v>
      </c>
      <c r="V537" s="28" t="s">
        <v>138</v>
      </c>
      <c r="W537" s="28" t="s">
        <v>138</v>
      </c>
      <c r="X537" s="31">
        <v>2001</v>
      </c>
      <c r="Y537" s="28" t="s">
        <v>138</v>
      </c>
      <c r="Z537" s="28" t="s">
        <v>138</v>
      </c>
      <c r="AA537" s="28" t="s">
        <v>138</v>
      </c>
      <c r="AB537" s="32" t="s">
        <v>138</v>
      </c>
      <c r="AC537" s="32" t="s">
        <v>138</v>
      </c>
      <c r="AD537" s="32" t="s">
        <v>138</v>
      </c>
      <c r="AE537" s="32" t="s">
        <v>138</v>
      </c>
      <c r="AF537" s="32" t="s">
        <v>138</v>
      </c>
      <c r="AG537" s="28" t="s">
        <v>138</v>
      </c>
      <c r="AH537" s="32" t="s">
        <v>138</v>
      </c>
      <c r="AI537" s="32" t="s">
        <v>138</v>
      </c>
      <c r="AJ537" s="32" t="s">
        <v>138</v>
      </c>
      <c r="AK537" s="28" t="s">
        <v>10984</v>
      </c>
      <c r="AL537" s="28" t="s">
        <v>10985</v>
      </c>
      <c r="AM537" s="28" t="s">
        <v>4810</v>
      </c>
      <c r="AN537" s="28" t="s">
        <v>138</v>
      </c>
      <c r="AO537" s="28" t="s">
        <v>138</v>
      </c>
      <c r="AP537" s="28" t="s">
        <v>1220</v>
      </c>
      <c r="AQ537" s="28" t="s">
        <v>10986</v>
      </c>
      <c r="AR537" s="28" t="s">
        <v>138</v>
      </c>
      <c r="AS537" s="28" t="s">
        <v>1223</v>
      </c>
      <c r="AT537" s="28" t="s">
        <v>200</v>
      </c>
      <c r="AU537" s="28" t="s">
        <v>5087</v>
      </c>
      <c r="AV537" s="28" t="s">
        <v>162</v>
      </c>
      <c r="AW537" s="28" t="s">
        <v>138</v>
      </c>
      <c r="AX537" s="28" t="s">
        <v>138</v>
      </c>
      <c r="AY537" s="28" t="s">
        <v>138</v>
      </c>
      <c r="AZ537" s="28" t="s">
        <v>164</v>
      </c>
      <c r="BA537" s="28" t="s">
        <v>165</v>
      </c>
      <c r="BB537" s="28" t="s">
        <v>10987</v>
      </c>
      <c r="BC537" s="28" t="s">
        <v>10988</v>
      </c>
      <c r="BD537" s="33">
        <v>8</v>
      </c>
      <c r="BE537" s="28" t="s">
        <v>138</v>
      </c>
      <c r="BF537" s="28" t="s">
        <v>10989</v>
      </c>
      <c r="BG537" s="28" t="s">
        <v>138</v>
      </c>
      <c r="BH537" s="28" t="s">
        <v>10990</v>
      </c>
      <c r="BI537" s="28" t="s">
        <v>10991</v>
      </c>
      <c r="BJ537" s="28" t="s">
        <v>138</v>
      </c>
      <c r="BK537" s="28" t="s">
        <v>10992</v>
      </c>
      <c r="BL537" s="28" t="s">
        <v>10992</v>
      </c>
      <c r="BM537" s="34">
        <v>38150</v>
      </c>
      <c r="BN537" s="29">
        <v>0.65</v>
      </c>
      <c r="BO537" s="28" t="s">
        <v>172</v>
      </c>
      <c r="BP537" s="29" t="s">
        <v>138</v>
      </c>
      <c r="BQ537" s="28" t="s">
        <v>138</v>
      </c>
      <c r="BR537" s="28" t="s">
        <v>205</v>
      </c>
      <c r="BS537" s="28" t="s">
        <v>206</v>
      </c>
      <c r="BT537" s="28" t="s">
        <v>138</v>
      </c>
      <c r="BU537" s="28" t="s">
        <v>174</v>
      </c>
      <c r="BV537" s="28" t="s">
        <v>138</v>
      </c>
      <c r="BW537" s="28" t="s">
        <v>138</v>
      </c>
      <c r="BX537" s="28" t="s">
        <v>138</v>
      </c>
      <c r="BY537" s="28" t="s">
        <v>175</v>
      </c>
      <c r="BZ537" s="34">
        <v>42736</v>
      </c>
      <c r="CA537" s="29" t="s">
        <v>138</v>
      </c>
      <c r="CB537" s="28" t="s">
        <v>138</v>
      </c>
      <c r="CC537" s="29" t="s">
        <v>138</v>
      </c>
      <c r="CD537" s="28" t="s">
        <v>138</v>
      </c>
      <c r="CE537" s="28" t="s">
        <v>2079</v>
      </c>
      <c r="CF537" s="28" t="s">
        <v>138</v>
      </c>
      <c r="CG537" s="28" t="s">
        <v>138</v>
      </c>
      <c r="CH537" s="28" t="s">
        <v>177</v>
      </c>
      <c r="CI537" s="28" t="s">
        <v>138</v>
      </c>
      <c r="CJ537" s="28" t="s">
        <v>138</v>
      </c>
      <c r="CK537" s="28" t="s">
        <v>138</v>
      </c>
      <c r="CL537" s="28" t="s">
        <v>175</v>
      </c>
      <c r="CM537" s="34" t="s">
        <v>138</v>
      </c>
      <c r="CN537" s="29" t="s">
        <v>138</v>
      </c>
      <c r="CO537" s="35" t="s">
        <v>138</v>
      </c>
      <c r="CP537" s="36" t="s">
        <v>138</v>
      </c>
      <c r="CQ537" s="35" t="s">
        <v>138</v>
      </c>
      <c r="CR537" s="35" t="s">
        <v>138</v>
      </c>
      <c r="CS537" s="35" t="s">
        <v>138</v>
      </c>
      <c r="CT537" s="36" t="s">
        <v>138</v>
      </c>
      <c r="CU537" s="35" t="s">
        <v>138</v>
      </c>
      <c r="CV537" s="36" t="s">
        <v>138</v>
      </c>
      <c r="CW537" s="35" t="s">
        <v>138</v>
      </c>
      <c r="CX537" s="36" t="s">
        <v>138</v>
      </c>
      <c r="CY537" s="35" t="s">
        <v>138</v>
      </c>
      <c r="CZ537" s="36" t="s">
        <v>138</v>
      </c>
      <c r="DA537" s="35" t="s">
        <v>138</v>
      </c>
      <c r="DB537" s="36" t="s">
        <v>138</v>
      </c>
      <c r="DC537" s="37" t="s">
        <v>138</v>
      </c>
      <c r="DD537" s="36" t="s">
        <v>138</v>
      </c>
      <c r="DE537" s="37" t="s">
        <v>138</v>
      </c>
      <c r="DF537" s="35" t="s">
        <v>138</v>
      </c>
      <c r="DG537" s="37" t="s">
        <v>138</v>
      </c>
      <c r="DH537" s="36" t="s">
        <v>138</v>
      </c>
      <c r="DI537" s="37" t="s">
        <v>138</v>
      </c>
      <c r="DJ537" s="36" t="s">
        <v>138</v>
      </c>
      <c r="DK537" s="37" t="s">
        <v>138</v>
      </c>
      <c r="DL537" s="36" t="s">
        <v>138</v>
      </c>
      <c r="DM537" s="37" t="s">
        <v>138</v>
      </c>
      <c r="DN537" s="36" t="s">
        <v>138</v>
      </c>
      <c r="DO537" s="37" t="s">
        <v>138</v>
      </c>
      <c r="DP537" s="36" t="s">
        <v>138</v>
      </c>
      <c r="DQ537" s="36" t="s">
        <v>138</v>
      </c>
      <c r="DR537" s="38" t="s">
        <v>138</v>
      </c>
      <c r="DS537" s="35" t="s">
        <v>138</v>
      </c>
      <c r="DT537" s="36" t="s">
        <v>138</v>
      </c>
      <c r="DU537" s="38" t="s">
        <v>138</v>
      </c>
      <c r="DV537" s="35" t="s">
        <v>138</v>
      </c>
      <c r="DW537" s="36" t="s">
        <v>138</v>
      </c>
      <c r="DX537" s="39" t="s">
        <v>138</v>
      </c>
      <c r="DY537" s="35" t="s">
        <v>138</v>
      </c>
      <c r="DZ537" s="28" t="s">
        <v>178</v>
      </c>
      <c r="EA537" s="34">
        <v>43521</v>
      </c>
      <c r="EB537" s="29">
        <v>25.5</v>
      </c>
      <c r="EC537" s="34">
        <v>42353</v>
      </c>
      <c r="ED537" s="28" t="s">
        <v>173</v>
      </c>
      <c r="EE537" s="40" t="str">
        <f>HYPERLINK("https://my.pitchbook.com?c=55354-42", "View company online")</f>
        <v>View company online</v>
      </c>
    </row>
    <row r="538" spans="1:135">
      <c r="A538" s="15" t="s">
        <v>10993</v>
      </c>
      <c r="B538" s="15" t="s">
        <v>10994</v>
      </c>
      <c r="C538" s="15" t="s">
        <v>138</v>
      </c>
      <c r="D538" s="15" t="s">
        <v>10995</v>
      </c>
      <c r="E538" s="15" t="s">
        <v>10996</v>
      </c>
      <c r="F538" s="15" t="s">
        <v>10993</v>
      </c>
      <c r="G538" s="15" t="s">
        <v>10997</v>
      </c>
      <c r="H538" s="15" t="s">
        <v>322</v>
      </c>
      <c r="I538" s="15" t="s">
        <v>323</v>
      </c>
      <c r="J538" s="15" t="s">
        <v>413</v>
      </c>
      <c r="K538" s="15" t="s">
        <v>10998</v>
      </c>
      <c r="L538" s="15" t="s">
        <v>415</v>
      </c>
      <c r="M538" s="15" t="s">
        <v>10999</v>
      </c>
      <c r="N538" s="15" t="s">
        <v>1452</v>
      </c>
      <c r="O538" s="17">
        <v>22.51</v>
      </c>
      <c r="P538" s="15" t="s">
        <v>148</v>
      </c>
      <c r="Q538" s="15" t="s">
        <v>149</v>
      </c>
      <c r="R538" s="15" t="s">
        <v>328</v>
      </c>
      <c r="S538" s="15" t="s">
        <v>11000</v>
      </c>
      <c r="T538" s="18">
        <v>70</v>
      </c>
      <c r="U538" s="15" t="s">
        <v>11001</v>
      </c>
      <c r="V538" s="15" t="s">
        <v>138</v>
      </c>
      <c r="W538" s="15" t="s">
        <v>138</v>
      </c>
      <c r="X538" s="19">
        <v>1989</v>
      </c>
      <c r="Y538" s="15" t="s">
        <v>138</v>
      </c>
      <c r="Z538" s="15" t="s">
        <v>138</v>
      </c>
      <c r="AA538" s="15" t="s">
        <v>138</v>
      </c>
      <c r="AB538" s="20">
        <v>80</v>
      </c>
      <c r="AC538" s="20" t="s">
        <v>138</v>
      </c>
      <c r="AD538" s="20" t="s">
        <v>138</v>
      </c>
      <c r="AE538" s="20" t="s">
        <v>138</v>
      </c>
      <c r="AF538" s="20" t="s">
        <v>138</v>
      </c>
      <c r="AG538" s="15" t="s">
        <v>11002</v>
      </c>
      <c r="AH538" s="20" t="s">
        <v>138</v>
      </c>
      <c r="AI538" s="20" t="s">
        <v>138</v>
      </c>
      <c r="AJ538" s="20" t="s">
        <v>138</v>
      </c>
      <c r="AK538" s="15" t="s">
        <v>11003</v>
      </c>
      <c r="AL538" s="15" t="s">
        <v>11004</v>
      </c>
      <c r="AM538" s="15" t="s">
        <v>249</v>
      </c>
      <c r="AN538" s="15" t="s">
        <v>11005</v>
      </c>
      <c r="AO538" s="15" t="s">
        <v>11006</v>
      </c>
      <c r="AP538" s="15" t="s">
        <v>5204</v>
      </c>
      <c r="AQ538" s="15" t="s">
        <v>11007</v>
      </c>
      <c r="AR538" s="15" t="s">
        <v>11008</v>
      </c>
      <c r="AS538" s="15" t="s">
        <v>5207</v>
      </c>
      <c r="AT538" s="15" t="s">
        <v>339</v>
      </c>
      <c r="AU538" s="15" t="s">
        <v>11009</v>
      </c>
      <c r="AV538" s="15" t="s">
        <v>162</v>
      </c>
      <c r="AW538" s="15" t="s">
        <v>11006</v>
      </c>
      <c r="AX538" s="15" t="s">
        <v>11010</v>
      </c>
      <c r="AY538" s="15" t="s">
        <v>11011</v>
      </c>
      <c r="AZ538" s="15" t="s">
        <v>164</v>
      </c>
      <c r="BA538" s="15" t="s">
        <v>165</v>
      </c>
      <c r="BB538" s="15" t="s">
        <v>11012</v>
      </c>
      <c r="BC538" s="15" t="s">
        <v>11013</v>
      </c>
      <c r="BD538" s="21">
        <v>2</v>
      </c>
      <c r="BE538" s="15" t="s">
        <v>138</v>
      </c>
      <c r="BF538" s="15" t="s">
        <v>11014</v>
      </c>
      <c r="BG538" s="15" t="s">
        <v>138</v>
      </c>
      <c r="BH538" s="15" t="s">
        <v>11015</v>
      </c>
      <c r="BI538" s="15" t="s">
        <v>11016</v>
      </c>
      <c r="BJ538" s="15" t="s">
        <v>138</v>
      </c>
      <c r="BK538" s="15" t="s">
        <v>11017</v>
      </c>
      <c r="BL538" s="15" t="s">
        <v>11018</v>
      </c>
      <c r="BM538" s="22">
        <v>36335</v>
      </c>
      <c r="BN538" s="17">
        <v>10.6</v>
      </c>
      <c r="BO538" s="15" t="s">
        <v>172</v>
      </c>
      <c r="BP538" s="17">
        <v>10.6</v>
      </c>
      <c r="BQ538" s="15" t="s">
        <v>172</v>
      </c>
      <c r="BR538" s="15" t="s">
        <v>349</v>
      </c>
      <c r="BS538" s="15" t="s">
        <v>11019</v>
      </c>
      <c r="BT538" s="15" t="s">
        <v>3785</v>
      </c>
      <c r="BU538" s="15" t="s">
        <v>351</v>
      </c>
      <c r="BV538" s="15" t="s">
        <v>138</v>
      </c>
      <c r="BW538" s="15" t="s">
        <v>138</v>
      </c>
      <c r="BX538" s="15" t="s">
        <v>138</v>
      </c>
      <c r="BY538" s="15" t="s">
        <v>175</v>
      </c>
      <c r="BZ538" s="22">
        <v>43417</v>
      </c>
      <c r="CA538" s="17">
        <v>7.5</v>
      </c>
      <c r="CB538" s="15" t="s">
        <v>172</v>
      </c>
      <c r="CC538" s="17" t="s">
        <v>138</v>
      </c>
      <c r="CD538" s="15" t="s">
        <v>138</v>
      </c>
      <c r="CE538" s="15" t="s">
        <v>1673</v>
      </c>
      <c r="CF538" s="15" t="s">
        <v>138</v>
      </c>
      <c r="CG538" s="15" t="s">
        <v>138</v>
      </c>
      <c r="CH538" s="15" t="s">
        <v>351</v>
      </c>
      <c r="CI538" s="15" t="s">
        <v>138</v>
      </c>
      <c r="CJ538" s="15" t="s">
        <v>138</v>
      </c>
      <c r="CK538" s="15" t="s">
        <v>138</v>
      </c>
      <c r="CL538" s="15" t="s">
        <v>175</v>
      </c>
      <c r="CM538" s="22" t="s">
        <v>138</v>
      </c>
      <c r="CN538" s="17" t="s">
        <v>138</v>
      </c>
      <c r="CO538" s="23">
        <v>-0.9</v>
      </c>
      <c r="CP538" s="24">
        <v>12</v>
      </c>
      <c r="CQ538" s="23">
        <v>0</v>
      </c>
      <c r="CR538" s="23">
        <v>-0.16</v>
      </c>
      <c r="CS538" s="23">
        <v>-1.85</v>
      </c>
      <c r="CT538" s="24">
        <v>10</v>
      </c>
      <c r="CU538" s="23">
        <v>0.05</v>
      </c>
      <c r="CV538" s="24">
        <v>58</v>
      </c>
      <c r="CW538" s="23">
        <v>-1.96</v>
      </c>
      <c r="CX538" s="24">
        <v>7</v>
      </c>
      <c r="CY538" s="23">
        <v>-1.74</v>
      </c>
      <c r="CZ538" s="24">
        <v>13</v>
      </c>
      <c r="DA538" s="23">
        <v>0.05</v>
      </c>
      <c r="DB538" s="24">
        <v>64</v>
      </c>
      <c r="DC538" s="25">
        <v>7.76</v>
      </c>
      <c r="DD538" s="24">
        <v>88</v>
      </c>
      <c r="DE538" s="25">
        <v>-0.05</v>
      </c>
      <c r="DF538" s="23">
        <v>-0.68</v>
      </c>
      <c r="DG538" s="25">
        <v>10.87</v>
      </c>
      <c r="DH538" s="24">
        <v>90</v>
      </c>
      <c r="DI538" s="25">
        <v>4.6500000000000004</v>
      </c>
      <c r="DJ538" s="24">
        <v>76</v>
      </c>
      <c r="DK538" s="25">
        <v>1.89</v>
      </c>
      <c r="DL538" s="24">
        <v>63</v>
      </c>
      <c r="DM538" s="25">
        <v>19.86</v>
      </c>
      <c r="DN538" s="24">
        <v>94</v>
      </c>
      <c r="DO538" s="25">
        <v>4.6500000000000004</v>
      </c>
      <c r="DP538" s="24">
        <v>78</v>
      </c>
      <c r="DQ538" s="24">
        <v>655</v>
      </c>
      <c r="DR538" s="26">
        <v>-24</v>
      </c>
      <c r="DS538" s="23">
        <v>-3.53</v>
      </c>
      <c r="DT538" s="24">
        <v>576</v>
      </c>
      <c r="DU538" s="26">
        <v>-2</v>
      </c>
      <c r="DV538" s="23">
        <v>-0.35</v>
      </c>
      <c r="DW538" s="24">
        <v>1667</v>
      </c>
      <c r="DX538" s="27">
        <v>-2</v>
      </c>
      <c r="DY538" s="23">
        <v>-0.12</v>
      </c>
      <c r="DZ538" s="15" t="s">
        <v>178</v>
      </c>
      <c r="EA538" s="22">
        <v>43622</v>
      </c>
      <c r="EB538" s="17">
        <v>400</v>
      </c>
      <c r="EC538" s="22">
        <v>38876</v>
      </c>
      <c r="ED538" s="15" t="s">
        <v>2228</v>
      </c>
      <c r="EE538" s="14" t="str">
        <f>HYPERLINK("https://my.pitchbook.com?c=10586-44", "View company online")</f>
        <v>View company online</v>
      </c>
    </row>
    <row r="539" spans="1:135">
      <c r="A539" s="28" t="s">
        <v>11020</v>
      </c>
      <c r="B539" s="28" t="s">
        <v>11021</v>
      </c>
      <c r="C539" s="28" t="s">
        <v>138</v>
      </c>
      <c r="D539" s="28" t="s">
        <v>138</v>
      </c>
      <c r="E539" s="28" t="s">
        <v>11022</v>
      </c>
      <c r="F539" s="28" t="s">
        <v>11020</v>
      </c>
      <c r="G539" s="28" t="s">
        <v>11023</v>
      </c>
      <c r="H539" s="28" t="s">
        <v>238</v>
      </c>
      <c r="I539" s="28" t="s">
        <v>269</v>
      </c>
      <c r="J539" s="28" t="s">
        <v>296</v>
      </c>
      <c r="K539" s="28" t="s">
        <v>11024</v>
      </c>
      <c r="L539" s="28" t="s">
        <v>11025</v>
      </c>
      <c r="M539" s="28" t="s">
        <v>11026</v>
      </c>
      <c r="N539" s="28" t="s">
        <v>147</v>
      </c>
      <c r="O539" s="29">
        <v>20</v>
      </c>
      <c r="P539" s="28" t="s">
        <v>148</v>
      </c>
      <c r="Q539" s="28" t="s">
        <v>149</v>
      </c>
      <c r="R539" s="28" t="s">
        <v>174</v>
      </c>
      <c r="S539" s="28" t="s">
        <v>11027</v>
      </c>
      <c r="T539" s="30">
        <v>80</v>
      </c>
      <c r="U539" s="28" t="s">
        <v>11028</v>
      </c>
      <c r="V539" s="28" t="s">
        <v>138</v>
      </c>
      <c r="W539" s="28" t="s">
        <v>138</v>
      </c>
      <c r="X539" s="31">
        <v>2011</v>
      </c>
      <c r="Y539" s="28" t="s">
        <v>138</v>
      </c>
      <c r="Z539" s="28" t="s">
        <v>138</v>
      </c>
      <c r="AA539" s="28" t="s">
        <v>138</v>
      </c>
      <c r="AB539" s="32" t="s">
        <v>138</v>
      </c>
      <c r="AC539" s="32" t="s">
        <v>138</v>
      </c>
      <c r="AD539" s="32" t="s">
        <v>138</v>
      </c>
      <c r="AE539" s="32" t="s">
        <v>138</v>
      </c>
      <c r="AF539" s="32" t="s">
        <v>138</v>
      </c>
      <c r="AG539" s="28" t="s">
        <v>138</v>
      </c>
      <c r="AH539" s="32" t="s">
        <v>138</v>
      </c>
      <c r="AI539" s="32" t="s">
        <v>138</v>
      </c>
      <c r="AJ539" s="32" t="s">
        <v>138</v>
      </c>
      <c r="AK539" s="28" t="s">
        <v>11029</v>
      </c>
      <c r="AL539" s="28" t="s">
        <v>11030</v>
      </c>
      <c r="AM539" s="28" t="s">
        <v>5401</v>
      </c>
      <c r="AN539" s="28" t="s">
        <v>11031</v>
      </c>
      <c r="AO539" s="28" t="s">
        <v>11032</v>
      </c>
      <c r="AP539" s="28" t="s">
        <v>3839</v>
      </c>
      <c r="AQ539" s="28" t="s">
        <v>11033</v>
      </c>
      <c r="AR539" s="28" t="s">
        <v>11034</v>
      </c>
      <c r="AS539" s="28" t="s">
        <v>3841</v>
      </c>
      <c r="AT539" s="28" t="s">
        <v>200</v>
      </c>
      <c r="AU539" s="28" t="s">
        <v>11035</v>
      </c>
      <c r="AV539" s="28" t="s">
        <v>162</v>
      </c>
      <c r="AW539" s="28" t="s">
        <v>11036</v>
      </c>
      <c r="AX539" s="28" t="s">
        <v>138</v>
      </c>
      <c r="AY539" s="28" t="s">
        <v>138</v>
      </c>
      <c r="AZ539" s="28" t="s">
        <v>164</v>
      </c>
      <c r="BA539" s="28" t="s">
        <v>165</v>
      </c>
      <c r="BB539" s="28" t="s">
        <v>11037</v>
      </c>
      <c r="BC539" s="28" t="s">
        <v>11038</v>
      </c>
      <c r="BD539" s="33">
        <v>6</v>
      </c>
      <c r="BE539" s="28" t="s">
        <v>138</v>
      </c>
      <c r="BF539" s="28" t="s">
        <v>138</v>
      </c>
      <c r="BG539" s="28" t="s">
        <v>138</v>
      </c>
      <c r="BH539" s="28" t="s">
        <v>11039</v>
      </c>
      <c r="BI539" s="28" t="s">
        <v>138</v>
      </c>
      <c r="BJ539" s="28" t="s">
        <v>138</v>
      </c>
      <c r="BK539" s="28" t="s">
        <v>315</v>
      </c>
      <c r="BL539" s="28" t="s">
        <v>315</v>
      </c>
      <c r="BM539" s="34">
        <v>42278</v>
      </c>
      <c r="BN539" s="29">
        <v>8</v>
      </c>
      <c r="BO539" s="28" t="s">
        <v>172</v>
      </c>
      <c r="BP539" s="29">
        <v>15.5</v>
      </c>
      <c r="BQ539" s="28" t="s">
        <v>172</v>
      </c>
      <c r="BR539" s="28" t="s">
        <v>205</v>
      </c>
      <c r="BS539" s="28" t="s">
        <v>206</v>
      </c>
      <c r="BT539" s="28" t="s">
        <v>138</v>
      </c>
      <c r="BU539" s="28" t="s">
        <v>174</v>
      </c>
      <c r="BV539" s="28" t="s">
        <v>138</v>
      </c>
      <c r="BW539" s="28" t="s">
        <v>138</v>
      </c>
      <c r="BX539" s="28" t="s">
        <v>138</v>
      </c>
      <c r="BY539" s="28" t="s">
        <v>175</v>
      </c>
      <c r="BZ539" s="34">
        <v>43214</v>
      </c>
      <c r="CA539" s="29">
        <v>12</v>
      </c>
      <c r="CB539" s="28" t="s">
        <v>172</v>
      </c>
      <c r="CC539" s="29">
        <v>52</v>
      </c>
      <c r="CD539" s="28" t="s">
        <v>172</v>
      </c>
      <c r="CE539" s="28" t="s">
        <v>173</v>
      </c>
      <c r="CF539" s="28" t="s">
        <v>720</v>
      </c>
      <c r="CG539" s="28" t="s">
        <v>138</v>
      </c>
      <c r="CH539" s="28" t="s">
        <v>174</v>
      </c>
      <c r="CI539" s="28" t="s">
        <v>138</v>
      </c>
      <c r="CJ539" s="28" t="s">
        <v>138</v>
      </c>
      <c r="CK539" s="28" t="s">
        <v>138</v>
      </c>
      <c r="CL539" s="28" t="s">
        <v>175</v>
      </c>
      <c r="CM539" s="34" t="s">
        <v>138</v>
      </c>
      <c r="CN539" s="29" t="s">
        <v>138</v>
      </c>
      <c r="CO539" s="35">
        <v>0.1</v>
      </c>
      <c r="CP539" s="36">
        <v>90</v>
      </c>
      <c r="CQ539" s="35">
        <v>-0.06</v>
      </c>
      <c r="CR539" s="35">
        <v>-37.729999999999997</v>
      </c>
      <c r="CS539" s="35" t="s">
        <v>138</v>
      </c>
      <c r="CT539" s="36" t="s">
        <v>138</v>
      </c>
      <c r="CU539" s="35">
        <v>0.1</v>
      </c>
      <c r="CV539" s="36">
        <v>68</v>
      </c>
      <c r="CW539" s="35" t="s">
        <v>138</v>
      </c>
      <c r="CX539" s="36" t="s">
        <v>138</v>
      </c>
      <c r="CY539" s="35" t="s">
        <v>138</v>
      </c>
      <c r="CZ539" s="36" t="s">
        <v>138</v>
      </c>
      <c r="DA539" s="35">
        <v>0.1</v>
      </c>
      <c r="DB539" s="36">
        <v>72</v>
      </c>
      <c r="DC539" s="37">
        <v>1.75</v>
      </c>
      <c r="DD539" s="36">
        <v>64</v>
      </c>
      <c r="DE539" s="37">
        <v>0.02</v>
      </c>
      <c r="DF539" s="35">
        <v>1.04</v>
      </c>
      <c r="DG539" s="37" t="s">
        <v>138</v>
      </c>
      <c r="DH539" s="36" t="s">
        <v>138</v>
      </c>
      <c r="DI539" s="37">
        <v>1.75</v>
      </c>
      <c r="DJ539" s="36">
        <v>60</v>
      </c>
      <c r="DK539" s="37" t="s">
        <v>138</v>
      </c>
      <c r="DL539" s="36" t="s">
        <v>138</v>
      </c>
      <c r="DM539" s="37" t="s">
        <v>138</v>
      </c>
      <c r="DN539" s="36" t="s">
        <v>138</v>
      </c>
      <c r="DO539" s="37">
        <v>1.75</v>
      </c>
      <c r="DP539" s="36">
        <v>61</v>
      </c>
      <c r="DQ539" s="36">
        <v>552</v>
      </c>
      <c r="DR539" s="38">
        <v>-51</v>
      </c>
      <c r="DS539" s="35">
        <v>-8.4600000000000009</v>
      </c>
      <c r="DT539" s="36" t="s">
        <v>138</v>
      </c>
      <c r="DU539" s="38" t="s">
        <v>138</v>
      </c>
      <c r="DV539" s="35" t="s">
        <v>138</v>
      </c>
      <c r="DW539" s="36">
        <v>623</v>
      </c>
      <c r="DX539" s="39">
        <v>1</v>
      </c>
      <c r="DY539" s="35">
        <v>0.16</v>
      </c>
      <c r="DZ539" s="28" t="s">
        <v>178</v>
      </c>
      <c r="EA539" s="34">
        <v>43592</v>
      </c>
      <c r="EB539" s="29">
        <v>52</v>
      </c>
      <c r="EC539" s="34">
        <v>43214</v>
      </c>
      <c r="ED539" s="28" t="s">
        <v>173</v>
      </c>
      <c r="EE539" s="40" t="str">
        <f>HYPERLINK("https://my.pitchbook.com?c=96669-46", "View company online")</f>
        <v>View company online</v>
      </c>
    </row>
    <row r="540" spans="1:135">
      <c r="A540" s="15" t="s">
        <v>11040</v>
      </c>
      <c r="B540" s="15" t="s">
        <v>11041</v>
      </c>
      <c r="C540" s="15" t="s">
        <v>138</v>
      </c>
      <c r="D540" s="15" t="s">
        <v>11042</v>
      </c>
      <c r="E540" s="15" t="s">
        <v>11043</v>
      </c>
      <c r="F540" s="15" t="s">
        <v>11040</v>
      </c>
      <c r="G540" s="15" t="s">
        <v>11044</v>
      </c>
      <c r="H540" s="15" t="s">
        <v>322</v>
      </c>
      <c r="I540" s="15" t="s">
        <v>323</v>
      </c>
      <c r="J540" s="15" t="s">
        <v>1235</v>
      </c>
      <c r="K540" s="15" t="s">
        <v>5304</v>
      </c>
      <c r="L540" s="15" t="s">
        <v>2274</v>
      </c>
      <c r="M540" s="15" t="s">
        <v>11045</v>
      </c>
      <c r="N540" s="15" t="s">
        <v>147</v>
      </c>
      <c r="O540" s="17">
        <v>155.47</v>
      </c>
      <c r="P540" s="15" t="s">
        <v>148</v>
      </c>
      <c r="Q540" s="15" t="s">
        <v>149</v>
      </c>
      <c r="R540" s="15" t="s">
        <v>174</v>
      </c>
      <c r="S540" s="15" t="s">
        <v>11046</v>
      </c>
      <c r="T540" s="18">
        <v>260</v>
      </c>
      <c r="U540" s="15" t="s">
        <v>11047</v>
      </c>
      <c r="V540" s="15" t="s">
        <v>138</v>
      </c>
      <c r="W540" s="15" t="s">
        <v>138</v>
      </c>
      <c r="X540" s="19">
        <v>2008</v>
      </c>
      <c r="Y540" s="15" t="s">
        <v>138</v>
      </c>
      <c r="Z540" s="15" t="s">
        <v>138</v>
      </c>
      <c r="AA540" s="15" t="s">
        <v>138</v>
      </c>
      <c r="AB540" s="20">
        <v>24.74</v>
      </c>
      <c r="AC540" s="20" t="s">
        <v>138</v>
      </c>
      <c r="AD540" s="20" t="s">
        <v>138</v>
      </c>
      <c r="AE540" s="20" t="s">
        <v>138</v>
      </c>
      <c r="AF540" s="20" t="s">
        <v>138</v>
      </c>
      <c r="AG540" s="15" t="s">
        <v>707</v>
      </c>
      <c r="AH540" s="20" t="s">
        <v>138</v>
      </c>
      <c r="AI540" s="20" t="s">
        <v>138</v>
      </c>
      <c r="AJ540" s="20" t="s">
        <v>138</v>
      </c>
      <c r="AK540" s="15" t="s">
        <v>11048</v>
      </c>
      <c r="AL540" s="15" t="s">
        <v>11049</v>
      </c>
      <c r="AM540" s="15" t="s">
        <v>566</v>
      </c>
      <c r="AN540" s="15" t="s">
        <v>11050</v>
      </c>
      <c r="AO540" s="15" t="s">
        <v>11051</v>
      </c>
      <c r="AP540" s="15" t="s">
        <v>665</v>
      </c>
      <c r="AQ540" s="15" t="s">
        <v>5011</v>
      </c>
      <c r="AR540" s="15" t="s">
        <v>3084</v>
      </c>
      <c r="AS540" s="15" t="s">
        <v>668</v>
      </c>
      <c r="AT540" s="15" t="s">
        <v>200</v>
      </c>
      <c r="AU540" s="15" t="s">
        <v>669</v>
      </c>
      <c r="AV540" s="15" t="s">
        <v>162</v>
      </c>
      <c r="AW540" s="15" t="s">
        <v>11051</v>
      </c>
      <c r="AX540" s="15" t="s">
        <v>138</v>
      </c>
      <c r="AY540" s="15" t="s">
        <v>11052</v>
      </c>
      <c r="AZ540" s="15" t="s">
        <v>164</v>
      </c>
      <c r="BA540" s="15" t="s">
        <v>165</v>
      </c>
      <c r="BB540" s="15" t="s">
        <v>11053</v>
      </c>
      <c r="BC540" s="15" t="s">
        <v>11054</v>
      </c>
      <c r="BD540" s="21">
        <v>14</v>
      </c>
      <c r="BE540" s="15" t="s">
        <v>138</v>
      </c>
      <c r="BF540" s="15" t="s">
        <v>138</v>
      </c>
      <c r="BG540" s="15" t="s">
        <v>138</v>
      </c>
      <c r="BH540" s="15" t="s">
        <v>11055</v>
      </c>
      <c r="BI540" s="15" t="s">
        <v>138</v>
      </c>
      <c r="BJ540" s="15" t="s">
        <v>138</v>
      </c>
      <c r="BK540" s="15" t="s">
        <v>11056</v>
      </c>
      <c r="BL540" s="15" t="s">
        <v>2828</v>
      </c>
      <c r="BM540" s="22">
        <v>40198</v>
      </c>
      <c r="BN540" s="17">
        <v>3.16</v>
      </c>
      <c r="BO540" s="15" t="s">
        <v>172</v>
      </c>
      <c r="BP540" s="17">
        <v>7.26</v>
      </c>
      <c r="BQ540" s="15" t="s">
        <v>172</v>
      </c>
      <c r="BR540" s="15" t="s">
        <v>205</v>
      </c>
      <c r="BS540" s="15" t="s">
        <v>206</v>
      </c>
      <c r="BT540" s="15" t="s">
        <v>138</v>
      </c>
      <c r="BU540" s="15" t="s">
        <v>174</v>
      </c>
      <c r="BV540" s="15" t="s">
        <v>138</v>
      </c>
      <c r="BW540" s="15" t="s">
        <v>138</v>
      </c>
      <c r="BX540" s="15" t="s">
        <v>138</v>
      </c>
      <c r="BY540" s="15" t="s">
        <v>175</v>
      </c>
      <c r="BZ540" s="22">
        <v>43550</v>
      </c>
      <c r="CA540" s="17">
        <v>50</v>
      </c>
      <c r="CB540" s="15" t="s">
        <v>172</v>
      </c>
      <c r="CC540" s="17">
        <v>550</v>
      </c>
      <c r="CD540" s="15" t="s">
        <v>172</v>
      </c>
      <c r="CE540" s="15" t="s">
        <v>173</v>
      </c>
      <c r="CF540" s="15" t="s">
        <v>408</v>
      </c>
      <c r="CG540" s="15" t="s">
        <v>138</v>
      </c>
      <c r="CH540" s="15" t="s">
        <v>174</v>
      </c>
      <c r="CI540" s="15" t="s">
        <v>138</v>
      </c>
      <c r="CJ540" s="15" t="s">
        <v>138</v>
      </c>
      <c r="CK540" s="15" t="s">
        <v>138</v>
      </c>
      <c r="CL540" s="15" t="s">
        <v>175</v>
      </c>
      <c r="CM540" s="22" t="s">
        <v>138</v>
      </c>
      <c r="CN540" s="17" t="s">
        <v>138</v>
      </c>
      <c r="CO540" s="23">
        <v>-0.64</v>
      </c>
      <c r="CP540" s="24">
        <v>14</v>
      </c>
      <c r="CQ540" s="23">
        <v>0.01</v>
      </c>
      <c r="CR540" s="23">
        <v>1.05</v>
      </c>
      <c r="CS540" s="23">
        <v>-2.6</v>
      </c>
      <c r="CT540" s="24">
        <v>6</v>
      </c>
      <c r="CU540" s="23">
        <v>0.08</v>
      </c>
      <c r="CV540" s="24">
        <v>64</v>
      </c>
      <c r="CW540" s="23">
        <v>0.24</v>
      </c>
      <c r="CX540" s="24">
        <v>81</v>
      </c>
      <c r="CY540" s="23">
        <v>-5.45</v>
      </c>
      <c r="CZ540" s="24">
        <v>3</v>
      </c>
      <c r="DA540" s="23">
        <v>0.12</v>
      </c>
      <c r="DB540" s="24">
        <v>75</v>
      </c>
      <c r="DC540" s="25">
        <v>25.54</v>
      </c>
      <c r="DD540" s="24">
        <v>96</v>
      </c>
      <c r="DE540" s="25">
        <v>-2.0699999999999998</v>
      </c>
      <c r="DF540" s="23">
        <v>-7.51</v>
      </c>
      <c r="DG540" s="25">
        <v>59.07</v>
      </c>
      <c r="DH540" s="24">
        <v>99</v>
      </c>
      <c r="DI540" s="25">
        <v>17.059999999999999</v>
      </c>
      <c r="DJ540" s="24">
        <v>90</v>
      </c>
      <c r="DK540" s="25">
        <v>98.86</v>
      </c>
      <c r="DL540" s="24">
        <v>98</v>
      </c>
      <c r="DM540" s="25">
        <v>19.28</v>
      </c>
      <c r="DN540" s="24">
        <v>94</v>
      </c>
      <c r="DO540" s="25">
        <v>30.96</v>
      </c>
      <c r="DP540" s="24">
        <v>95</v>
      </c>
      <c r="DQ540" s="24">
        <v>33869</v>
      </c>
      <c r="DR540" s="26">
        <v>117</v>
      </c>
      <c r="DS540" s="23">
        <v>0.35</v>
      </c>
      <c r="DT540" s="24">
        <v>558</v>
      </c>
      <c r="DU540" s="26">
        <v>1</v>
      </c>
      <c r="DV540" s="23">
        <v>0.18</v>
      </c>
      <c r="DW540" s="24">
        <v>11082</v>
      </c>
      <c r="DX540" s="27">
        <v>18</v>
      </c>
      <c r="DY540" s="23">
        <v>0.16</v>
      </c>
      <c r="DZ540" s="15" t="s">
        <v>178</v>
      </c>
      <c r="EA540" s="22">
        <v>43622</v>
      </c>
      <c r="EB540" s="17">
        <v>550</v>
      </c>
      <c r="EC540" s="22">
        <v>43550</v>
      </c>
      <c r="ED540" s="15" t="s">
        <v>173</v>
      </c>
      <c r="EE540" s="14" t="str">
        <f>HYPERLINK("https://my.pitchbook.com?c=55089-10", "View company online")</f>
        <v>View company online</v>
      </c>
    </row>
    <row r="541" spans="1:135">
      <c r="A541" s="28" t="s">
        <v>11057</v>
      </c>
      <c r="B541" s="28" t="s">
        <v>11058</v>
      </c>
      <c r="C541" s="28" t="s">
        <v>138</v>
      </c>
      <c r="D541" s="28" t="s">
        <v>138</v>
      </c>
      <c r="E541" s="28" t="s">
        <v>11059</v>
      </c>
      <c r="F541" s="28" t="s">
        <v>11057</v>
      </c>
      <c r="G541" s="28" t="s">
        <v>11060</v>
      </c>
      <c r="H541" s="28" t="s">
        <v>238</v>
      </c>
      <c r="I541" s="28" t="s">
        <v>2662</v>
      </c>
      <c r="J541" s="28" t="s">
        <v>11061</v>
      </c>
      <c r="K541" s="28" t="s">
        <v>11062</v>
      </c>
      <c r="L541" s="28" t="s">
        <v>11063</v>
      </c>
      <c r="M541" s="28" t="s">
        <v>11064</v>
      </c>
      <c r="N541" s="28" t="s">
        <v>147</v>
      </c>
      <c r="O541" s="29">
        <v>6</v>
      </c>
      <c r="P541" s="28" t="s">
        <v>934</v>
      </c>
      <c r="Q541" s="28" t="s">
        <v>149</v>
      </c>
      <c r="R541" s="28" t="s">
        <v>174</v>
      </c>
      <c r="S541" s="28" t="s">
        <v>11065</v>
      </c>
      <c r="T541" s="30" t="s">
        <v>138</v>
      </c>
      <c r="U541" s="28" t="s">
        <v>138</v>
      </c>
      <c r="V541" s="28" t="s">
        <v>138</v>
      </c>
      <c r="W541" s="28" t="s">
        <v>138</v>
      </c>
      <c r="X541" s="31">
        <v>2014</v>
      </c>
      <c r="Y541" s="28" t="s">
        <v>138</v>
      </c>
      <c r="Z541" s="28" t="s">
        <v>138</v>
      </c>
      <c r="AA541" s="28" t="s">
        <v>138</v>
      </c>
      <c r="AB541" s="32" t="s">
        <v>138</v>
      </c>
      <c r="AC541" s="32" t="s">
        <v>138</v>
      </c>
      <c r="AD541" s="32" t="s">
        <v>138</v>
      </c>
      <c r="AE541" s="32" t="s">
        <v>138</v>
      </c>
      <c r="AF541" s="32" t="s">
        <v>138</v>
      </c>
      <c r="AG541" s="28" t="s">
        <v>138</v>
      </c>
      <c r="AH541" s="32" t="s">
        <v>138</v>
      </c>
      <c r="AI541" s="32" t="s">
        <v>138</v>
      </c>
      <c r="AJ541" s="32" t="s">
        <v>138</v>
      </c>
      <c r="AK541" s="28" t="s">
        <v>11066</v>
      </c>
      <c r="AL541" s="28" t="s">
        <v>11067</v>
      </c>
      <c r="AM541" s="28" t="s">
        <v>7338</v>
      </c>
      <c r="AN541" s="28" t="s">
        <v>11068</v>
      </c>
      <c r="AO541" s="28" t="s">
        <v>11069</v>
      </c>
      <c r="AP541" s="28" t="s">
        <v>2880</v>
      </c>
      <c r="AQ541" s="28" t="s">
        <v>11070</v>
      </c>
      <c r="AR541" s="28" t="s">
        <v>11071</v>
      </c>
      <c r="AS541" s="28" t="s">
        <v>2882</v>
      </c>
      <c r="AT541" s="28" t="s">
        <v>2883</v>
      </c>
      <c r="AU541" s="28" t="s">
        <v>11072</v>
      </c>
      <c r="AV541" s="28" t="s">
        <v>162</v>
      </c>
      <c r="AW541" s="28" t="s">
        <v>138</v>
      </c>
      <c r="AX541" s="28" t="s">
        <v>138</v>
      </c>
      <c r="AY541" s="28" t="s">
        <v>138</v>
      </c>
      <c r="AZ541" s="28" t="s">
        <v>164</v>
      </c>
      <c r="BA541" s="28" t="s">
        <v>165</v>
      </c>
      <c r="BB541" s="28" t="s">
        <v>11073</v>
      </c>
      <c r="BC541" s="28" t="s">
        <v>11074</v>
      </c>
      <c r="BD541" s="33">
        <v>4</v>
      </c>
      <c r="BE541" s="28" t="s">
        <v>138</v>
      </c>
      <c r="BF541" s="28" t="s">
        <v>138</v>
      </c>
      <c r="BG541" s="28" t="s">
        <v>138</v>
      </c>
      <c r="BH541" s="28" t="s">
        <v>11075</v>
      </c>
      <c r="BI541" s="28" t="s">
        <v>138</v>
      </c>
      <c r="BJ541" s="28" t="s">
        <v>138</v>
      </c>
      <c r="BK541" s="28" t="s">
        <v>138</v>
      </c>
      <c r="BL541" s="28" t="s">
        <v>138</v>
      </c>
      <c r="BM541" s="34">
        <v>42228</v>
      </c>
      <c r="BN541" s="29">
        <v>6</v>
      </c>
      <c r="BO541" s="28" t="s">
        <v>172</v>
      </c>
      <c r="BP541" s="29" t="s">
        <v>138</v>
      </c>
      <c r="BQ541" s="28" t="s">
        <v>138</v>
      </c>
      <c r="BR541" s="28" t="s">
        <v>205</v>
      </c>
      <c r="BS541" s="28" t="s">
        <v>206</v>
      </c>
      <c r="BT541" s="28" t="s">
        <v>138</v>
      </c>
      <c r="BU541" s="28" t="s">
        <v>174</v>
      </c>
      <c r="BV541" s="28" t="s">
        <v>138</v>
      </c>
      <c r="BW541" s="28" t="s">
        <v>138</v>
      </c>
      <c r="BX541" s="28" t="s">
        <v>138</v>
      </c>
      <c r="BY541" s="28" t="s">
        <v>175</v>
      </c>
      <c r="BZ541" s="34">
        <v>42228</v>
      </c>
      <c r="CA541" s="29">
        <v>6</v>
      </c>
      <c r="CB541" s="28" t="s">
        <v>172</v>
      </c>
      <c r="CC541" s="29" t="s">
        <v>138</v>
      </c>
      <c r="CD541" s="28" t="s">
        <v>138</v>
      </c>
      <c r="CE541" s="28" t="s">
        <v>205</v>
      </c>
      <c r="CF541" s="28" t="s">
        <v>206</v>
      </c>
      <c r="CG541" s="28" t="s">
        <v>138</v>
      </c>
      <c r="CH541" s="28" t="s">
        <v>174</v>
      </c>
      <c r="CI541" s="28" t="s">
        <v>138</v>
      </c>
      <c r="CJ541" s="28" t="s">
        <v>138</v>
      </c>
      <c r="CK541" s="28" t="s">
        <v>138</v>
      </c>
      <c r="CL541" s="28" t="s">
        <v>175</v>
      </c>
      <c r="CM541" s="34" t="s">
        <v>138</v>
      </c>
      <c r="CN541" s="29" t="s">
        <v>138</v>
      </c>
      <c r="CO541" s="35">
        <v>0</v>
      </c>
      <c r="CP541" s="36">
        <v>26</v>
      </c>
      <c r="CQ541" s="35">
        <v>0</v>
      </c>
      <c r="CR541" s="35">
        <v>0</v>
      </c>
      <c r="CS541" s="35">
        <v>0</v>
      </c>
      <c r="CT541" s="36">
        <v>23</v>
      </c>
      <c r="CU541" s="35" t="s">
        <v>138</v>
      </c>
      <c r="CV541" s="36" t="s">
        <v>138</v>
      </c>
      <c r="CW541" s="35" t="s">
        <v>138</v>
      </c>
      <c r="CX541" s="36" t="s">
        <v>138</v>
      </c>
      <c r="CY541" s="35">
        <v>0</v>
      </c>
      <c r="CZ541" s="36">
        <v>25</v>
      </c>
      <c r="DA541" s="35" t="s">
        <v>138</v>
      </c>
      <c r="DB541" s="36" t="s">
        <v>138</v>
      </c>
      <c r="DC541" s="37">
        <v>0.86</v>
      </c>
      <c r="DD541" s="36">
        <v>47</v>
      </c>
      <c r="DE541" s="37">
        <v>0</v>
      </c>
      <c r="DF541" s="35">
        <v>0</v>
      </c>
      <c r="DG541" s="37">
        <v>0.86</v>
      </c>
      <c r="DH541" s="36">
        <v>47</v>
      </c>
      <c r="DI541" s="37" t="s">
        <v>138</v>
      </c>
      <c r="DJ541" s="36" t="s">
        <v>138</v>
      </c>
      <c r="DK541" s="37" t="s">
        <v>138</v>
      </c>
      <c r="DL541" s="36" t="s">
        <v>138</v>
      </c>
      <c r="DM541" s="37">
        <v>0.86</v>
      </c>
      <c r="DN541" s="36">
        <v>47</v>
      </c>
      <c r="DO541" s="37" t="s">
        <v>138</v>
      </c>
      <c r="DP541" s="36" t="s">
        <v>138</v>
      </c>
      <c r="DQ541" s="36" t="s">
        <v>138</v>
      </c>
      <c r="DR541" s="38" t="s">
        <v>138</v>
      </c>
      <c r="DS541" s="35" t="s">
        <v>138</v>
      </c>
      <c r="DT541" s="36">
        <v>25</v>
      </c>
      <c r="DU541" s="38">
        <v>0</v>
      </c>
      <c r="DV541" s="35">
        <v>0</v>
      </c>
      <c r="DW541" s="36">
        <v>49</v>
      </c>
      <c r="DX541" s="39">
        <v>0</v>
      </c>
      <c r="DY541" s="35">
        <v>0</v>
      </c>
      <c r="DZ541" s="28" t="s">
        <v>178</v>
      </c>
      <c r="EA541" s="34">
        <v>43416</v>
      </c>
      <c r="EB541" s="29" t="s">
        <v>138</v>
      </c>
      <c r="EC541" s="34" t="s">
        <v>138</v>
      </c>
      <c r="ED541" s="28" t="s">
        <v>138</v>
      </c>
      <c r="EE541" s="40" t="str">
        <f>HYPERLINK("https://my.pitchbook.com?c=121968-55", "View company online")</f>
        <v>View company online</v>
      </c>
    </row>
    <row r="542" spans="1:135">
      <c r="A542" s="15" t="s">
        <v>11076</v>
      </c>
      <c r="B542" s="15" t="s">
        <v>11077</v>
      </c>
      <c r="C542" s="15" t="s">
        <v>138</v>
      </c>
      <c r="D542" s="15" t="s">
        <v>11078</v>
      </c>
      <c r="E542" s="15" t="s">
        <v>11079</v>
      </c>
      <c r="F542" s="15" t="s">
        <v>11076</v>
      </c>
      <c r="G542" s="15" t="s">
        <v>11080</v>
      </c>
      <c r="H542" s="15" t="s">
        <v>385</v>
      </c>
      <c r="I542" s="15" t="s">
        <v>1448</v>
      </c>
      <c r="J542" s="15" t="s">
        <v>4108</v>
      </c>
      <c r="K542" s="15" t="s">
        <v>11081</v>
      </c>
      <c r="L542" s="15" t="s">
        <v>10569</v>
      </c>
      <c r="M542" s="15" t="s">
        <v>11082</v>
      </c>
      <c r="N542" s="15" t="s">
        <v>147</v>
      </c>
      <c r="O542" s="17">
        <v>392.39</v>
      </c>
      <c r="P542" s="15" t="s">
        <v>148</v>
      </c>
      <c r="Q542" s="15" t="s">
        <v>149</v>
      </c>
      <c r="R542" s="15" t="s">
        <v>244</v>
      </c>
      <c r="S542" s="15" t="s">
        <v>11083</v>
      </c>
      <c r="T542" s="18">
        <v>105</v>
      </c>
      <c r="U542" s="15" t="s">
        <v>11084</v>
      </c>
      <c r="V542" s="15" t="s">
        <v>138</v>
      </c>
      <c r="W542" s="15" t="s">
        <v>138</v>
      </c>
      <c r="X542" s="19">
        <v>2007</v>
      </c>
      <c r="Y542" s="15" t="s">
        <v>138</v>
      </c>
      <c r="Z542" s="15" t="s">
        <v>138</v>
      </c>
      <c r="AA542" s="15" t="s">
        <v>138</v>
      </c>
      <c r="AB542" s="20" t="s">
        <v>138</v>
      </c>
      <c r="AC542" s="20" t="s">
        <v>138</v>
      </c>
      <c r="AD542" s="20" t="s">
        <v>138</v>
      </c>
      <c r="AE542" s="20" t="s">
        <v>138</v>
      </c>
      <c r="AF542" s="20" t="s">
        <v>138</v>
      </c>
      <c r="AG542" s="15" t="s">
        <v>138</v>
      </c>
      <c r="AH542" s="20" t="s">
        <v>138</v>
      </c>
      <c r="AI542" s="20" t="s">
        <v>138</v>
      </c>
      <c r="AJ542" s="20" t="s">
        <v>138</v>
      </c>
      <c r="AK542" s="15" t="s">
        <v>11085</v>
      </c>
      <c r="AL542" s="15" t="s">
        <v>11086</v>
      </c>
      <c r="AM542" s="15" t="s">
        <v>916</v>
      </c>
      <c r="AN542" s="15" t="s">
        <v>138</v>
      </c>
      <c r="AO542" s="15" t="s">
        <v>11087</v>
      </c>
      <c r="AP542" s="15" t="s">
        <v>2002</v>
      </c>
      <c r="AQ542" s="15" t="s">
        <v>11088</v>
      </c>
      <c r="AR542" s="15" t="s">
        <v>138</v>
      </c>
      <c r="AS542" s="15" t="s">
        <v>2005</v>
      </c>
      <c r="AT542" s="15" t="s">
        <v>200</v>
      </c>
      <c r="AU542" s="15" t="s">
        <v>2006</v>
      </c>
      <c r="AV542" s="15" t="s">
        <v>162</v>
      </c>
      <c r="AW542" s="15" t="s">
        <v>11087</v>
      </c>
      <c r="AX542" s="15" t="s">
        <v>138</v>
      </c>
      <c r="AY542" s="15" t="s">
        <v>11089</v>
      </c>
      <c r="AZ542" s="15" t="s">
        <v>164</v>
      </c>
      <c r="BA542" s="15" t="s">
        <v>165</v>
      </c>
      <c r="BB542" s="15" t="s">
        <v>11090</v>
      </c>
      <c r="BC542" s="15" t="s">
        <v>11091</v>
      </c>
      <c r="BD542" s="21">
        <v>11</v>
      </c>
      <c r="BE542" s="15" t="s">
        <v>138</v>
      </c>
      <c r="BF542" s="15" t="s">
        <v>138</v>
      </c>
      <c r="BG542" s="15" t="s">
        <v>138</v>
      </c>
      <c r="BH542" s="15" t="s">
        <v>11092</v>
      </c>
      <c r="BI542" s="15" t="s">
        <v>138</v>
      </c>
      <c r="BJ542" s="15" t="s">
        <v>138</v>
      </c>
      <c r="BK542" s="15" t="s">
        <v>11093</v>
      </c>
      <c r="BL542" s="15" t="s">
        <v>11094</v>
      </c>
      <c r="BM542" s="22">
        <v>39261</v>
      </c>
      <c r="BN542" s="17">
        <v>2.02</v>
      </c>
      <c r="BO542" s="15" t="s">
        <v>172</v>
      </c>
      <c r="BP542" s="17">
        <v>4.4000000000000004</v>
      </c>
      <c r="BQ542" s="15" t="s">
        <v>172</v>
      </c>
      <c r="BR542" s="15" t="s">
        <v>205</v>
      </c>
      <c r="BS542" s="15" t="s">
        <v>206</v>
      </c>
      <c r="BT542" s="15" t="s">
        <v>138</v>
      </c>
      <c r="BU542" s="15" t="s">
        <v>174</v>
      </c>
      <c r="BV542" s="15" t="s">
        <v>138</v>
      </c>
      <c r="BW542" s="15" t="s">
        <v>138</v>
      </c>
      <c r="BX542" s="15" t="s">
        <v>138</v>
      </c>
      <c r="BY542" s="15" t="s">
        <v>175</v>
      </c>
      <c r="BZ542" s="22">
        <v>42353</v>
      </c>
      <c r="CA542" s="17">
        <v>91.96</v>
      </c>
      <c r="CB542" s="15" t="s">
        <v>172</v>
      </c>
      <c r="CC542" s="17" t="s">
        <v>138</v>
      </c>
      <c r="CD542" s="15" t="s">
        <v>138</v>
      </c>
      <c r="CE542" s="15" t="s">
        <v>173</v>
      </c>
      <c r="CF542" s="15" t="s">
        <v>138</v>
      </c>
      <c r="CG542" s="15" t="s">
        <v>138</v>
      </c>
      <c r="CH542" s="15" t="s">
        <v>174</v>
      </c>
      <c r="CI542" s="15" t="s">
        <v>138</v>
      </c>
      <c r="CJ542" s="15" t="s">
        <v>138</v>
      </c>
      <c r="CK542" s="15" t="s">
        <v>138</v>
      </c>
      <c r="CL542" s="15" t="s">
        <v>175</v>
      </c>
      <c r="CM542" s="22">
        <v>39814</v>
      </c>
      <c r="CN542" s="17">
        <v>54.4</v>
      </c>
      <c r="CO542" s="23">
        <v>-0.91</v>
      </c>
      <c r="CP542" s="24">
        <v>12</v>
      </c>
      <c r="CQ542" s="23">
        <v>-0.02</v>
      </c>
      <c r="CR542" s="23">
        <v>-1.88</v>
      </c>
      <c r="CS542" s="23">
        <v>-1.79</v>
      </c>
      <c r="CT542" s="24">
        <v>10</v>
      </c>
      <c r="CU542" s="23">
        <v>-0.02</v>
      </c>
      <c r="CV542" s="24">
        <v>17</v>
      </c>
      <c r="CW542" s="23" t="s">
        <v>138</v>
      </c>
      <c r="CX542" s="24" t="s">
        <v>138</v>
      </c>
      <c r="CY542" s="23">
        <v>-1.79</v>
      </c>
      <c r="CZ542" s="24">
        <v>13</v>
      </c>
      <c r="DA542" s="23">
        <v>-0.02</v>
      </c>
      <c r="DB542" s="24">
        <v>19</v>
      </c>
      <c r="DC542" s="25">
        <v>16.079999999999998</v>
      </c>
      <c r="DD542" s="24">
        <v>93</v>
      </c>
      <c r="DE542" s="25">
        <v>-0.04</v>
      </c>
      <c r="DF542" s="23">
        <v>-0.25</v>
      </c>
      <c r="DG542" s="25">
        <v>28.55</v>
      </c>
      <c r="DH542" s="24">
        <v>96</v>
      </c>
      <c r="DI542" s="25">
        <v>3.61</v>
      </c>
      <c r="DJ542" s="24">
        <v>73</v>
      </c>
      <c r="DK542" s="25" t="s">
        <v>138</v>
      </c>
      <c r="DL542" s="24" t="s">
        <v>138</v>
      </c>
      <c r="DM542" s="25">
        <v>28.55</v>
      </c>
      <c r="DN542" s="24">
        <v>96</v>
      </c>
      <c r="DO542" s="25">
        <v>3.61</v>
      </c>
      <c r="DP542" s="24">
        <v>74</v>
      </c>
      <c r="DQ542" s="24">
        <v>126</v>
      </c>
      <c r="DR542" s="26">
        <v>13</v>
      </c>
      <c r="DS542" s="23">
        <v>11.5</v>
      </c>
      <c r="DT542" s="24">
        <v>829</v>
      </c>
      <c r="DU542" s="26">
        <v>-2</v>
      </c>
      <c r="DV542" s="23">
        <v>-0.24</v>
      </c>
      <c r="DW542" s="24">
        <v>1290</v>
      </c>
      <c r="DX542" s="27">
        <v>0</v>
      </c>
      <c r="DY542" s="23">
        <v>0</v>
      </c>
      <c r="DZ542" s="15" t="s">
        <v>178</v>
      </c>
      <c r="EA542" s="22">
        <v>43351</v>
      </c>
      <c r="EB542" s="17">
        <v>1000</v>
      </c>
      <c r="EC542" s="22">
        <v>41001</v>
      </c>
      <c r="ED542" s="15" t="s">
        <v>173</v>
      </c>
      <c r="EE542" s="14" t="str">
        <f>HYPERLINK("https://my.pitchbook.com?c=43076-44", "View company online")</f>
        <v>View company online</v>
      </c>
    </row>
    <row r="543" spans="1:135">
      <c r="A543" s="28" t="s">
        <v>11095</v>
      </c>
      <c r="B543" s="28" t="s">
        <v>11096</v>
      </c>
      <c r="C543" s="28" t="s">
        <v>138</v>
      </c>
      <c r="D543" s="28" t="s">
        <v>138</v>
      </c>
      <c r="E543" s="28" t="s">
        <v>138</v>
      </c>
      <c r="F543" s="28" t="s">
        <v>11095</v>
      </c>
      <c r="G543" s="28" t="s">
        <v>11097</v>
      </c>
      <c r="H543" s="28" t="s">
        <v>322</v>
      </c>
      <c r="I543" s="28" t="s">
        <v>323</v>
      </c>
      <c r="J543" s="28" t="s">
        <v>324</v>
      </c>
      <c r="K543" s="28" t="s">
        <v>11098</v>
      </c>
      <c r="L543" s="28" t="s">
        <v>215</v>
      </c>
      <c r="M543" s="28" t="s">
        <v>11099</v>
      </c>
      <c r="N543" s="28" t="s">
        <v>147</v>
      </c>
      <c r="O543" s="29">
        <v>118.96</v>
      </c>
      <c r="P543" s="28" t="s">
        <v>148</v>
      </c>
      <c r="Q543" s="28" t="s">
        <v>149</v>
      </c>
      <c r="R543" s="28" t="s">
        <v>174</v>
      </c>
      <c r="S543" s="28" t="s">
        <v>11100</v>
      </c>
      <c r="T543" s="30">
        <v>74</v>
      </c>
      <c r="U543" s="28" t="s">
        <v>11101</v>
      </c>
      <c r="V543" s="28" t="s">
        <v>138</v>
      </c>
      <c r="W543" s="28" t="s">
        <v>138</v>
      </c>
      <c r="X543" s="31">
        <v>2007</v>
      </c>
      <c r="Y543" s="28" t="s">
        <v>138</v>
      </c>
      <c r="Z543" s="28" t="s">
        <v>138</v>
      </c>
      <c r="AA543" s="28" t="s">
        <v>138</v>
      </c>
      <c r="AB543" s="32" t="s">
        <v>138</v>
      </c>
      <c r="AC543" s="32" t="s">
        <v>138</v>
      </c>
      <c r="AD543" s="32" t="s">
        <v>138</v>
      </c>
      <c r="AE543" s="32" t="s">
        <v>138</v>
      </c>
      <c r="AF543" s="32" t="s">
        <v>138</v>
      </c>
      <c r="AG543" s="28" t="s">
        <v>138</v>
      </c>
      <c r="AH543" s="32" t="s">
        <v>138</v>
      </c>
      <c r="AI543" s="32" t="s">
        <v>138</v>
      </c>
      <c r="AJ543" s="32" t="s">
        <v>138</v>
      </c>
      <c r="AK543" s="28" t="s">
        <v>11102</v>
      </c>
      <c r="AL543" s="28" t="s">
        <v>11103</v>
      </c>
      <c r="AM543" s="28" t="s">
        <v>11104</v>
      </c>
      <c r="AN543" s="28" t="s">
        <v>11105</v>
      </c>
      <c r="AO543" s="28" t="s">
        <v>138</v>
      </c>
      <c r="AP543" s="28" t="s">
        <v>1195</v>
      </c>
      <c r="AQ543" s="28" t="s">
        <v>11106</v>
      </c>
      <c r="AR543" s="28" t="s">
        <v>11107</v>
      </c>
      <c r="AS543" s="28" t="s">
        <v>1198</v>
      </c>
      <c r="AT543" s="28" t="s">
        <v>138</v>
      </c>
      <c r="AU543" s="28" t="s">
        <v>7846</v>
      </c>
      <c r="AV543" s="28" t="s">
        <v>1200</v>
      </c>
      <c r="AW543" s="28" t="s">
        <v>138</v>
      </c>
      <c r="AX543" s="28" t="s">
        <v>138</v>
      </c>
      <c r="AY543" s="28" t="s">
        <v>11108</v>
      </c>
      <c r="AZ543" s="28" t="s">
        <v>452</v>
      </c>
      <c r="BA543" s="28" t="s">
        <v>453</v>
      </c>
      <c r="BB543" s="28" t="s">
        <v>11109</v>
      </c>
      <c r="BC543" s="28" t="s">
        <v>11110</v>
      </c>
      <c r="BD543" s="33">
        <v>16</v>
      </c>
      <c r="BE543" s="28" t="s">
        <v>138</v>
      </c>
      <c r="BF543" s="28" t="s">
        <v>138</v>
      </c>
      <c r="BG543" s="28" t="s">
        <v>138</v>
      </c>
      <c r="BH543" s="28" t="s">
        <v>11111</v>
      </c>
      <c r="BI543" s="28" t="s">
        <v>138</v>
      </c>
      <c r="BJ543" s="28" t="s">
        <v>138</v>
      </c>
      <c r="BK543" s="28" t="s">
        <v>11112</v>
      </c>
      <c r="BL543" s="28" t="s">
        <v>138</v>
      </c>
      <c r="BM543" s="34" t="s">
        <v>138</v>
      </c>
      <c r="BN543" s="29" t="s">
        <v>138</v>
      </c>
      <c r="BO543" s="28" t="s">
        <v>138</v>
      </c>
      <c r="BP543" s="29" t="s">
        <v>138</v>
      </c>
      <c r="BQ543" s="28" t="s">
        <v>138</v>
      </c>
      <c r="BR543" s="28" t="s">
        <v>234</v>
      </c>
      <c r="BS543" s="28" t="s">
        <v>234</v>
      </c>
      <c r="BT543" s="28" t="s">
        <v>138</v>
      </c>
      <c r="BU543" s="28" t="s">
        <v>174</v>
      </c>
      <c r="BV543" s="28" t="s">
        <v>138</v>
      </c>
      <c r="BW543" s="28" t="s">
        <v>138</v>
      </c>
      <c r="BX543" s="28" t="s">
        <v>138</v>
      </c>
      <c r="BY543" s="28" t="s">
        <v>175</v>
      </c>
      <c r="BZ543" s="34">
        <v>43440</v>
      </c>
      <c r="CA543" s="29">
        <v>26.43</v>
      </c>
      <c r="CB543" s="28" t="s">
        <v>172</v>
      </c>
      <c r="CC543" s="29" t="s">
        <v>138</v>
      </c>
      <c r="CD543" s="28" t="s">
        <v>138</v>
      </c>
      <c r="CE543" s="28" t="s">
        <v>173</v>
      </c>
      <c r="CF543" s="28" t="s">
        <v>482</v>
      </c>
      <c r="CG543" s="28" t="s">
        <v>138</v>
      </c>
      <c r="CH543" s="28" t="s">
        <v>174</v>
      </c>
      <c r="CI543" s="28" t="s">
        <v>138</v>
      </c>
      <c r="CJ543" s="28" t="s">
        <v>138</v>
      </c>
      <c r="CK543" s="28" t="s">
        <v>138</v>
      </c>
      <c r="CL543" s="28" t="s">
        <v>175</v>
      </c>
      <c r="CM543" s="34" t="s">
        <v>138</v>
      </c>
      <c r="CN543" s="29" t="s">
        <v>138</v>
      </c>
      <c r="CO543" s="35">
        <v>-0.35</v>
      </c>
      <c r="CP543" s="36">
        <v>18</v>
      </c>
      <c r="CQ543" s="35">
        <v>-0.08</v>
      </c>
      <c r="CR543" s="35">
        <v>-28.01</v>
      </c>
      <c r="CS543" s="35">
        <v>-1.45</v>
      </c>
      <c r="CT543" s="36">
        <v>12</v>
      </c>
      <c r="CU543" s="35">
        <v>0.38</v>
      </c>
      <c r="CV543" s="36">
        <v>91</v>
      </c>
      <c r="CW543" s="35" t="s">
        <v>138</v>
      </c>
      <c r="CX543" s="36" t="s">
        <v>138</v>
      </c>
      <c r="CY543" s="35">
        <v>-1.45</v>
      </c>
      <c r="CZ543" s="36">
        <v>15</v>
      </c>
      <c r="DA543" s="35">
        <v>0.14000000000000001</v>
      </c>
      <c r="DB543" s="36">
        <v>77</v>
      </c>
      <c r="DC543" s="37">
        <v>4.05</v>
      </c>
      <c r="DD543" s="36">
        <v>80</v>
      </c>
      <c r="DE543" s="37">
        <v>-7.0000000000000007E-2</v>
      </c>
      <c r="DF543" s="35">
        <v>-1.8</v>
      </c>
      <c r="DG543" s="37">
        <v>10.41</v>
      </c>
      <c r="DH543" s="36">
        <v>90</v>
      </c>
      <c r="DI543" s="37">
        <v>1.28</v>
      </c>
      <c r="DJ543" s="36">
        <v>54</v>
      </c>
      <c r="DK543" s="37" t="s">
        <v>138</v>
      </c>
      <c r="DL543" s="36" t="s">
        <v>138</v>
      </c>
      <c r="DM543" s="37">
        <v>10.41</v>
      </c>
      <c r="DN543" s="36">
        <v>89</v>
      </c>
      <c r="DO543" s="37">
        <v>0.51</v>
      </c>
      <c r="DP543" s="36">
        <v>38</v>
      </c>
      <c r="DQ543" s="36">
        <v>237</v>
      </c>
      <c r="DR543" s="38">
        <v>3</v>
      </c>
      <c r="DS543" s="35">
        <v>1.28</v>
      </c>
      <c r="DT543" s="36">
        <v>304</v>
      </c>
      <c r="DU543" s="38">
        <v>-5</v>
      </c>
      <c r="DV543" s="35">
        <v>-1.62</v>
      </c>
      <c r="DW543" s="36">
        <v>181</v>
      </c>
      <c r="DX543" s="39">
        <v>-2</v>
      </c>
      <c r="DY543" s="35">
        <v>-1.0900000000000001</v>
      </c>
      <c r="DZ543" s="28" t="s">
        <v>178</v>
      </c>
      <c r="EA543" s="34">
        <v>43622</v>
      </c>
      <c r="EB543" s="29" t="s">
        <v>138</v>
      </c>
      <c r="EC543" s="34" t="s">
        <v>138</v>
      </c>
      <c r="ED543" s="28" t="s">
        <v>138</v>
      </c>
      <c r="EE543" s="40" t="str">
        <f>HYPERLINK("https://my.pitchbook.com?c=63251-47", "View company online")</f>
        <v>View company online</v>
      </c>
    </row>
    <row r="544" spans="1:135">
      <c r="A544" s="15" t="s">
        <v>11113</v>
      </c>
      <c r="B544" s="15" t="s">
        <v>11114</v>
      </c>
      <c r="C544" s="15" t="s">
        <v>11115</v>
      </c>
      <c r="D544" s="15" t="s">
        <v>138</v>
      </c>
      <c r="E544" s="15" t="s">
        <v>11116</v>
      </c>
      <c r="F544" s="15" t="s">
        <v>11113</v>
      </c>
      <c r="G544" s="15" t="s">
        <v>11117</v>
      </c>
      <c r="H544" s="15" t="s">
        <v>141</v>
      </c>
      <c r="I544" s="15" t="s">
        <v>212</v>
      </c>
      <c r="J544" s="15" t="s">
        <v>213</v>
      </c>
      <c r="K544" s="15" t="s">
        <v>11118</v>
      </c>
      <c r="L544" s="15" t="s">
        <v>215</v>
      </c>
      <c r="M544" s="15" t="s">
        <v>11119</v>
      </c>
      <c r="N544" s="15" t="s">
        <v>147</v>
      </c>
      <c r="O544" s="17">
        <v>47.5</v>
      </c>
      <c r="P544" s="15" t="s">
        <v>148</v>
      </c>
      <c r="Q544" s="15" t="s">
        <v>149</v>
      </c>
      <c r="R544" s="15" t="s">
        <v>174</v>
      </c>
      <c r="S544" s="15" t="s">
        <v>11120</v>
      </c>
      <c r="T544" s="18">
        <v>250</v>
      </c>
      <c r="U544" s="15" t="s">
        <v>11121</v>
      </c>
      <c r="V544" s="15" t="s">
        <v>138</v>
      </c>
      <c r="W544" s="15" t="s">
        <v>138</v>
      </c>
      <c r="X544" s="19">
        <v>2008</v>
      </c>
      <c r="Y544" s="15" t="s">
        <v>138</v>
      </c>
      <c r="Z544" s="15" t="s">
        <v>138</v>
      </c>
      <c r="AA544" s="15" t="s">
        <v>138</v>
      </c>
      <c r="AB544" s="20">
        <v>51.26</v>
      </c>
      <c r="AC544" s="20" t="s">
        <v>138</v>
      </c>
      <c r="AD544" s="20" t="s">
        <v>138</v>
      </c>
      <c r="AE544" s="20" t="s">
        <v>138</v>
      </c>
      <c r="AF544" s="20" t="s">
        <v>138</v>
      </c>
      <c r="AG544" s="15" t="s">
        <v>707</v>
      </c>
      <c r="AH544" s="20" t="s">
        <v>138</v>
      </c>
      <c r="AI544" s="20" t="s">
        <v>138</v>
      </c>
      <c r="AJ544" s="20" t="s">
        <v>138</v>
      </c>
      <c r="AK544" s="15" t="s">
        <v>11122</v>
      </c>
      <c r="AL544" s="15" t="s">
        <v>11123</v>
      </c>
      <c r="AM544" s="15" t="s">
        <v>7338</v>
      </c>
      <c r="AN544" s="15" t="s">
        <v>11124</v>
      </c>
      <c r="AO544" s="15" t="s">
        <v>11125</v>
      </c>
      <c r="AP544" s="15" t="s">
        <v>665</v>
      </c>
      <c r="AQ544" s="15" t="s">
        <v>11126</v>
      </c>
      <c r="AR544" s="15" t="s">
        <v>618</v>
      </c>
      <c r="AS544" s="15" t="s">
        <v>668</v>
      </c>
      <c r="AT544" s="15" t="s">
        <v>200</v>
      </c>
      <c r="AU544" s="15" t="s">
        <v>3557</v>
      </c>
      <c r="AV544" s="15" t="s">
        <v>162</v>
      </c>
      <c r="AW544" s="15" t="s">
        <v>11125</v>
      </c>
      <c r="AX544" s="15" t="s">
        <v>138</v>
      </c>
      <c r="AY544" s="15" t="s">
        <v>11127</v>
      </c>
      <c r="AZ544" s="15" t="s">
        <v>164</v>
      </c>
      <c r="BA544" s="15" t="s">
        <v>165</v>
      </c>
      <c r="BB544" s="15" t="s">
        <v>11128</v>
      </c>
      <c r="BC544" s="15" t="s">
        <v>11129</v>
      </c>
      <c r="BD544" s="21">
        <v>17</v>
      </c>
      <c r="BE544" s="15" t="s">
        <v>138</v>
      </c>
      <c r="BF544" s="15" t="s">
        <v>138</v>
      </c>
      <c r="BG544" s="15" t="s">
        <v>138</v>
      </c>
      <c r="BH544" s="15" t="s">
        <v>11130</v>
      </c>
      <c r="BI544" s="15" t="s">
        <v>138</v>
      </c>
      <c r="BJ544" s="15" t="s">
        <v>138</v>
      </c>
      <c r="BK544" s="15" t="s">
        <v>11131</v>
      </c>
      <c r="BL544" s="15" t="s">
        <v>11132</v>
      </c>
      <c r="BM544" s="22">
        <v>40946</v>
      </c>
      <c r="BN544" s="17">
        <v>8</v>
      </c>
      <c r="BO544" s="15" t="s">
        <v>172</v>
      </c>
      <c r="BP544" s="17">
        <v>28</v>
      </c>
      <c r="BQ544" s="15" t="s">
        <v>172</v>
      </c>
      <c r="BR544" s="15" t="s">
        <v>205</v>
      </c>
      <c r="BS544" s="15" t="s">
        <v>206</v>
      </c>
      <c r="BT544" s="15" t="s">
        <v>138</v>
      </c>
      <c r="BU544" s="15" t="s">
        <v>174</v>
      </c>
      <c r="BV544" s="15" t="s">
        <v>138</v>
      </c>
      <c r="BW544" s="15" t="s">
        <v>138</v>
      </c>
      <c r="BX544" s="15" t="s">
        <v>138</v>
      </c>
      <c r="BY544" s="15" t="s">
        <v>175</v>
      </c>
      <c r="BZ544" s="22">
        <v>43200</v>
      </c>
      <c r="CA544" s="17">
        <v>7.5</v>
      </c>
      <c r="CB544" s="15" t="s">
        <v>172</v>
      </c>
      <c r="CC544" s="17" t="s">
        <v>138</v>
      </c>
      <c r="CD544" s="15" t="s">
        <v>138</v>
      </c>
      <c r="CE544" s="15" t="s">
        <v>780</v>
      </c>
      <c r="CF544" s="15" t="s">
        <v>780</v>
      </c>
      <c r="CG544" s="15" t="s">
        <v>138</v>
      </c>
      <c r="CH544" s="15" t="s">
        <v>780</v>
      </c>
      <c r="CI544" s="15" t="s">
        <v>138</v>
      </c>
      <c r="CJ544" s="15" t="s">
        <v>138</v>
      </c>
      <c r="CK544" s="15" t="s">
        <v>138</v>
      </c>
      <c r="CL544" s="15" t="s">
        <v>175</v>
      </c>
      <c r="CM544" s="22" t="s">
        <v>138</v>
      </c>
      <c r="CN544" s="17" t="s">
        <v>138</v>
      </c>
      <c r="CO544" s="23">
        <v>0.75</v>
      </c>
      <c r="CP544" s="24">
        <v>96</v>
      </c>
      <c r="CQ544" s="23">
        <v>0.03</v>
      </c>
      <c r="CR544" s="23">
        <v>4.59</v>
      </c>
      <c r="CS544" s="23">
        <v>1.31</v>
      </c>
      <c r="CT544" s="24">
        <v>97</v>
      </c>
      <c r="CU544" s="23">
        <v>0.19</v>
      </c>
      <c r="CV544" s="24">
        <v>79</v>
      </c>
      <c r="CW544" s="23">
        <v>3.66</v>
      </c>
      <c r="CX544" s="24">
        <v>93</v>
      </c>
      <c r="CY544" s="23">
        <v>-1.03</v>
      </c>
      <c r="CZ544" s="24">
        <v>19</v>
      </c>
      <c r="DA544" s="23">
        <v>0.19</v>
      </c>
      <c r="DB544" s="24">
        <v>82</v>
      </c>
      <c r="DC544" s="25">
        <v>8.3000000000000007</v>
      </c>
      <c r="DD544" s="24">
        <v>88</v>
      </c>
      <c r="DE544" s="25">
        <v>-0.41</v>
      </c>
      <c r="DF544" s="23">
        <v>-4.74</v>
      </c>
      <c r="DG544" s="25">
        <v>9.75</v>
      </c>
      <c r="DH544" s="24">
        <v>89</v>
      </c>
      <c r="DI544" s="25">
        <v>6.85</v>
      </c>
      <c r="DJ544" s="24">
        <v>81</v>
      </c>
      <c r="DK544" s="25">
        <v>13.59</v>
      </c>
      <c r="DL544" s="24">
        <v>89</v>
      </c>
      <c r="DM544" s="25">
        <v>5.9</v>
      </c>
      <c r="DN544" s="24">
        <v>83</v>
      </c>
      <c r="DO544" s="25">
        <v>6.85</v>
      </c>
      <c r="DP544" s="24">
        <v>83</v>
      </c>
      <c r="DQ544" s="24">
        <v>4477</v>
      </c>
      <c r="DR544" s="26">
        <v>556</v>
      </c>
      <c r="DS544" s="23">
        <v>14.18</v>
      </c>
      <c r="DT544" s="24">
        <v>171</v>
      </c>
      <c r="DU544" s="26">
        <v>0</v>
      </c>
      <c r="DV544" s="23">
        <v>0</v>
      </c>
      <c r="DW544" s="24">
        <v>2452</v>
      </c>
      <c r="DX544" s="27">
        <v>6</v>
      </c>
      <c r="DY544" s="23">
        <v>0.25</v>
      </c>
      <c r="DZ544" s="15" t="s">
        <v>178</v>
      </c>
      <c r="EA544" s="22">
        <v>43570</v>
      </c>
      <c r="EB544" s="17">
        <v>230</v>
      </c>
      <c r="EC544" s="22">
        <v>42837</v>
      </c>
      <c r="ED544" s="15" t="s">
        <v>173</v>
      </c>
      <c r="EE544" s="14" t="str">
        <f>HYPERLINK("https://my.pitchbook.com?c=53803-27", "View company online")</f>
        <v>View company online</v>
      </c>
    </row>
    <row r="545" spans="1:135">
      <c r="A545" s="28" t="s">
        <v>11133</v>
      </c>
      <c r="B545" s="28" t="s">
        <v>11134</v>
      </c>
      <c r="C545" s="28" t="s">
        <v>138</v>
      </c>
      <c r="D545" s="28" t="s">
        <v>138</v>
      </c>
      <c r="E545" s="28" t="s">
        <v>11135</v>
      </c>
      <c r="F545" s="28" t="s">
        <v>11133</v>
      </c>
      <c r="G545" s="28" t="s">
        <v>11136</v>
      </c>
      <c r="H545" s="28" t="s">
        <v>322</v>
      </c>
      <c r="I545" s="28" t="s">
        <v>323</v>
      </c>
      <c r="J545" s="28" t="s">
        <v>324</v>
      </c>
      <c r="K545" s="28" t="s">
        <v>1649</v>
      </c>
      <c r="L545" s="28" t="s">
        <v>215</v>
      </c>
      <c r="M545" s="28" t="s">
        <v>11137</v>
      </c>
      <c r="N545" s="28" t="s">
        <v>147</v>
      </c>
      <c r="O545" s="29">
        <v>74</v>
      </c>
      <c r="P545" s="28" t="s">
        <v>148</v>
      </c>
      <c r="Q545" s="28" t="s">
        <v>149</v>
      </c>
      <c r="R545" s="28" t="s">
        <v>8692</v>
      </c>
      <c r="S545" s="28" t="s">
        <v>11138</v>
      </c>
      <c r="T545" s="30">
        <v>200</v>
      </c>
      <c r="U545" s="28" t="s">
        <v>11139</v>
      </c>
      <c r="V545" s="28" t="s">
        <v>138</v>
      </c>
      <c r="W545" s="28" t="s">
        <v>138</v>
      </c>
      <c r="X545" s="31">
        <v>2007</v>
      </c>
      <c r="Y545" s="28" t="s">
        <v>138</v>
      </c>
      <c r="Z545" s="28" t="s">
        <v>138</v>
      </c>
      <c r="AA545" s="28" t="s">
        <v>138</v>
      </c>
      <c r="AB545" s="32" t="s">
        <v>138</v>
      </c>
      <c r="AC545" s="32" t="s">
        <v>138</v>
      </c>
      <c r="AD545" s="32" t="s">
        <v>138</v>
      </c>
      <c r="AE545" s="32" t="s">
        <v>138</v>
      </c>
      <c r="AF545" s="32" t="s">
        <v>138</v>
      </c>
      <c r="AG545" s="28" t="s">
        <v>138</v>
      </c>
      <c r="AH545" s="32" t="s">
        <v>138</v>
      </c>
      <c r="AI545" s="32" t="s">
        <v>138</v>
      </c>
      <c r="AJ545" s="32" t="s">
        <v>138</v>
      </c>
      <c r="AK545" s="28" t="s">
        <v>11140</v>
      </c>
      <c r="AL545" s="28" t="s">
        <v>11141</v>
      </c>
      <c r="AM545" s="28" t="s">
        <v>986</v>
      </c>
      <c r="AN545" s="28" t="s">
        <v>11142</v>
      </c>
      <c r="AO545" s="28" t="s">
        <v>11143</v>
      </c>
      <c r="AP545" s="28" t="s">
        <v>5268</v>
      </c>
      <c r="AQ545" s="28" t="s">
        <v>11144</v>
      </c>
      <c r="AR545" s="28" t="s">
        <v>158</v>
      </c>
      <c r="AS545" s="28" t="s">
        <v>5270</v>
      </c>
      <c r="AT545" s="28" t="s">
        <v>5271</v>
      </c>
      <c r="AU545" s="28" t="s">
        <v>11145</v>
      </c>
      <c r="AV545" s="28" t="s">
        <v>162</v>
      </c>
      <c r="AW545" s="28" t="s">
        <v>11143</v>
      </c>
      <c r="AX545" s="28" t="s">
        <v>138</v>
      </c>
      <c r="AY545" s="28" t="s">
        <v>11146</v>
      </c>
      <c r="AZ545" s="28" t="s">
        <v>164</v>
      </c>
      <c r="BA545" s="28" t="s">
        <v>165</v>
      </c>
      <c r="BB545" s="28" t="s">
        <v>11147</v>
      </c>
      <c r="BC545" s="28" t="s">
        <v>11148</v>
      </c>
      <c r="BD545" s="33">
        <v>8</v>
      </c>
      <c r="BE545" s="28" t="s">
        <v>138</v>
      </c>
      <c r="BF545" s="28" t="s">
        <v>138</v>
      </c>
      <c r="BG545" s="28" t="s">
        <v>11149</v>
      </c>
      <c r="BH545" s="28" t="s">
        <v>11150</v>
      </c>
      <c r="BI545" s="28" t="s">
        <v>138</v>
      </c>
      <c r="BJ545" s="28" t="s">
        <v>11151</v>
      </c>
      <c r="BK545" s="28" t="s">
        <v>11152</v>
      </c>
      <c r="BL545" s="28" t="s">
        <v>11153</v>
      </c>
      <c r="BM545" s="34" t="s">
        <v>138</v>
      </c>
      <c r="BN545" s="29" t="s">
        <v>138</v>
      </c>
      <c r="BO545" s="28" t="s">
        <v>138</v>
      </c>
      <c r="BP545" s="29" t="s">
        <v>138</v>
      </c>
      <c r="BQ545" s="28" t="s">
        <v>138</v>
      </c>
      <c r="BR545" s="28" t="s">
        <v>234</v>
      </c>
      <c r="BS545" s="28" t="s">
        <v>234</v>
      </c>
      <c r="BT545" s="28" t="s">
        <v>138</v>
      </c>
      <c r="BU545" s="28" t="s">
        <v>174</v>
      </c>
      <c r="BV545" s="28" t="s">
        <v>138</v>
      </c>
      <c r="BW545" s="28" t="s">
        <v>138</v>
      </c>
      <c r="BX545" s="28" t="s">
        <v>138</v>
      </c>
      <c r="BY545" s="28" t="s">
        <v>175</v>
      </c>
      <c r="BZ545" s="34">
        <v>43567</v>
      </c>
      <c r="CA545" s="29">
        <v>350</v>
      </c>
      <c r="CB545" s="28" t="s">
        <v>172</v>
      </c>
      <c r="CC545" s="29">
        <v>350</v>
      </c>
      <c r="CD545" s="28" t="s">
        <v>1178</v>
      </c>
      <c r="CE545" s="28" t="s">
        <v>2228</v>
      </c>
      <c r="CF545" s="28" t="s">
        <v>138</v>
      </c>
      <c r="CG545" s="28" t="s">
        <v>138</v>
      </c>
      <c r="CH545" s="28" t="s">
        <v>780</v>
      </c>
      <c r="CI545" s="28" t="s">
        <v>138</v>
      </c>
      <c r="CJ545" s="28" t="s">
        <v>138</v>
      </c>
      <c r="CK545" s="28" t="s">
        <v>138</v>
      </c>
      <c r="CL545" s="28" t="s">
        <v>352</v>
      </c>
      <c r="CM545" s="34">
        <v>43070</v>
      </c>
      <c r="CN545" s="29" t="s">
        <v>138</v>
      </c>
      <c r="CO545" s="35">
        <v>0.55000000000000004</v>
      </c>
      <c r="CP545" s="36">
        <v>95</v>
      </c>
      <c r="CQ545" s="35">
        <v>-0.08</v>
      </c>
      <c r="CR545" s="35">
        <v>-13.16</v>
      </c>
      <c r="CS545" s="35">
        <v>-0.1</v>
      </c>
      <c r="CT545" s="36">
        <v>22</v>
      </c>
      <c r="CU545" s="35">
        <v>1.37</v>
      </c>
      <c r="CV545" s="36">
        <v>99</v>
      </c>
      <c r="CW545" s="35">
        <v>2.67</v>
      </c>
      <c r="CX545" s="36">
        <v>90</v>
      </c>
      <c r="CY545" s="35">
        <v>-2.86</v>
      </c>
      <c r="CZ545" s="36">
        <v>7</v>
      </c>
      <c r="DA545" s="35">
        <v>0.52</v>
      </c>
      <c r="DB545" s="36">
        <v>94</v>
      </c>
      <c r="DC545" s="37">
        <v>14.61</v>
      </c>
      <c r="DD545" s="36">
        <v>93</v>
      </c>
      <c r="DE545" s="37">
        <v>-0.4</v>
      </c>
      <c r="DF545" s="35">
        <v>-2.69</v>
      </c>
      <c r="DG545" s="37">
        <v>36.44</v>
      </c>
      <c r="DH545" s="36">
        <v>97</v>
      </c>
      <c r="DI545" s="37">
        <v>21.09</v>
      </c>
      <c r="DJ545" s="36">
        <v>91</v>
      </c>
      <c r="DK545" s="37">
        <v>32.15</v>
      </c>
      <c r="DL545" s="36">
        <v>94</v>
      </c>
      <c r="DM545" s="37">
        <v>40.72</v>
      </c>
      <c r="DN545" s="36">
        <v>97</v>
      </c>
      <c r="DO545" s="37">
        <v>38.56</v>
      </c>
      <c r="DP545" s="36">
        <v>96</v>
      </c>
      <c r="DQ545" s="36">
        <v>10761</v>
      </c>
      <c r="DR545" s="38">
        <v>803</v>
      </c>
      <c r="DS545" s="35">
        <v>8.06</v>
      </c>
      <c r="DT545" s="36">
        <v>1178</v>
      </c>
      <c r="DU545" s="38">
        <v>4</v>
      </c>
      <c r="DV545" s="35">
        <v>0.34</v>
      </c>
      <c r="DW545" s="36">
        <v>13732</v>
      </c>
      <c r="DX545" s="39">
        <v>140</v>
      </c>
      <c r="DY545" s="35">
        <v>1.03</v>
      </c>
      <c r="DZ545" s="28" t="s">
        <v>178</v>
      </c>
      <c r="EA545" s="34">
        <v>43622</v>
      </c>
      <c r="EB545" s="29">
        <v>350</v>
      </c>
      <c r="EC545" s="34">
        <v>43567</v>
      </c>
      <c r="ED545" s="28" t="s">
        <v>2228</v>
      </c>
      <c r="EE545" s="40" t="str">
        <f>HYPERLINK("https://my.pitchbook.com?c=53570-08", "View company online")</f>
        <v>View company online</v>
      </c>
    </row>
    <row r="546" spans="1:135">
      <c r="A546" s="15" t="s">
        <v>11154</v>
      </c>
      <c r="B546" s="15" t="s">
        <v>11155</v>
      </c>
      <c r="C546" s="15" t="s">
        <v>138</v>
      </c>
      <c r="D546" s="15" t="s">
        <v>11156</v>
      </c>
      <c r="E546" s="15" t="s">
        <v>11157</v>
      </c>
      <c r="F546" s="15" t="s">
        <v>11154</v>
      </c>
      <c r="G546" s="15" t="s">
        <v>11158</v>
      </c>
      <c r="H546" s="15" t="s">
        <v>385</v>
      </c>
      <c r="I546" s="15" t="s">
        <v>5325</v>
      </c>
      <c r="J546" s="15" t="s">
        <v>5326</v>
      </c>
      <c r="K546" s="15" t="s">
        <v>11159</v>
      </c>
      <c r="L546" s="15" t="s">
        <v>5328</v>
      </c>
      <c r="M546" s="15" t="s">
        <v>11160</v>
      </c>
      <c r="N546" s="15" t="s">
        <v>147</v>
      </c>
      <c r="O546" s="17">
        <v>7.16</v>
      </c>
      <c r="P546" s="15" t="s">
        <v>148</v>
      </c>
      <c r="Q546" s="15" t="s">
        <v>149</v>
      </c>
      <c r="R546" s="15" t="s">
        <v>174</v>
      </c>
      <c r="S546" s="15" t="s">
        <v>11161</v>
      </c>
      <c r="T546" s="18">
        <v>3</v>
      </c>
      <c r="U546" s="15" t="s">
        <v>11162</v>
      </c>
      <c r="V546" s="15" t="s">
        <v>138</v>
      </c>
      <c r="W546" s="15" t="s">
        <v>138</v>
      </c>
      <c r="X546" s="19">
        <v>2008</v>
      </c>
      <c r="Y546" s="15" t="s">
        <v>138</v>
      </c>
      <c r="Z546" s="15" t="s">
        <v>138</v>
      </c>
      <c r="AA546" s="15" t="s">
        <v>138</v>
      </c>
      <c r="AB546" s="20" t="s">
        <v>138</v>
      </c>
      <c r="AC546" s="20" t="s">
        <v>138</v>
      </c>
      <c r="AD546" s="20" t="s">
        <v>138</v>
      </c>
      <c r="AE546" s="20" t="s">
        <v>138</v>
      </c>
      <c r="AF546" s="20" t="s">
        <v>138</v>
      </c>
      <c r="AG546" s="15" t="s">
        <v>138</v>
      </c>
      <c r="AH546" s="20" t="s">
        <v>138</v>
      </c>
      <c r="AI546" s="20" t="s">
        <v>138</v>
      </c>
      <c r="AJ546" s="20" t="s">
        <v>138</v>
      </c>
      <c r="AK546" s="15" t="s">
        <v>11163</v>
      </c>
      <c r="AL546" s="15" t="s">
        <v>11164</v>
      </c>
      <c r="AM546" s="15" t="s">
        <v>4214</v>
      </c>
      <c r="AN546" s="15" t="s">
        <v>11165</v>
      </c>
      <c r="AO546" s="15" t="s">
        <v>11166</v>
      </c>
      <c r="AP546" s="15" t="s">
        <v>11167</v>
      </c>
      <c r="AQ546" s="15" t="s">
        <v>11168</v>
      </c>
      <c r="AR546" s="15" t="s">
        <v>138</v>
      </c>
      <c r="AS546" s="15" t="s">
        <v>4273</v>
      </c>
      <c r="AT546" s="15" t="s">
        <v>3112</v>
      </c>
      <c r="AU546" s="15" t="s">
        <v>11169</v>
      </c>
      <c r="AV546" s="15" t="s">
        <v>2742</v>
      </c>
      <c r="AW546" s="15" t="s">
        <v>11166</v>
      </c>
      <c r="AX546" s="15" t="s">
        <v>11170</v>
      </c>
      <c r="AY546" s="15" t="s">
        <v>11171</v>
      </c>
      <c r="AZ546" s="15" t="s">
        <v>164</v>
      </c>
      <c r="BA546" s="15" t="s">
        <v>165</v>
      </c>
      <c r="BB546" s="15" t="s">
        <v>11172</v>
      </c>
      <c r="BC546" s="15" t="s">
        <v>11173</v>
      </c>
      <c r="BD546" s="21">
        <v>12</v>
      </c>
      <c r="BE546" s="15" t="s">
        <v>138</v>
      </c>
      <c r="BF546" s="15" t="s">
        <v>138</v>
      </c>
      <c r="BG546" s="15" t="s">
        <v>138</v>
      </c>
      <c r="BH546" s="15" t="s">
        <v>11174</v>
      </c>
      <c r="BI546" s="15" t="s">
        <v>138</v>
      </c>
      <c r="BJ546" s="15" t="s">
        <v>138</v>
      </c>
      <c r="BK546" s="15" t="s">
        <v>138</v>
      </c>
      <c r="BL546" s="15" t="s">
        <v>138</v>
      </c>
      <c r="BM546" s="22" t="s">
        <v>138</v>
      </c>
      <c r="BN546" s="17" t="s">
        <v>138</v>
      </c>
      <c r="BO546" s="15" t="s">
        <v>138</v>
      </c>
      <c r="BP546" s="17" t="s">
        <v>138</v>
      </c>
      <c r="BQ546" s="15" t="s">
        <v>138</v>
      </c>
      <c r="BR546" s="15" t="s">
        <v>262</v>
      </c>
      <c r="BS546" s="15" t="s">
        <v>262</v>
      </c>
      <c r="BT546" s="15" t="s">
        <v>138</v>
      </c>
      <c r="BU546" s="15" t="s">
        <v>263</v>
      </c>
      <c r="BV546" s="15" t="s">
        <v>138</v>
      </c>
      <c r="BW546" s="15" t="s">
        <v>138</v>
      </c>
      <c r="BX546" s="15" t="s">
        <v>138</v>
      </c>
      <c r="BY546" s="15" t="s">
        <v>175</v>
      </c>
      <c r="BZ546" s="22">
        <v>43045</v>
      </c>
      <c r="CA546" s="17">
        <v>1</v>
      </c>
      <c r="CB546" s="15" t="s">
        <v>172</v>
      </c>
      <c r="CC546" s="17" t="s">
        <v>138</v>
      </c>
      <c r="CD546" s="15" t="s">
        <v>138</v>
      </c>
      <c r="CE546" s="15" t="s">
        <v>176</v>
      </c>
      <c r="CF546" s="15" t="s">
        <v>138</v>
      </c>
      <c r="CG546" s="15" t="s">
        <v>138</v>
      </c>
      <c r="CH546" s="15" t="s">
        <v>177</v>
      </c>
      <c r="CI546" s="15" t="s">
        <v>138</v>
      </c>
      <c r="CJ546" s="15" t="s">
        <v>138</v>
      </c>
      <c r="CK546" s="15" t="s">
        <v>138</v>
      </c>
      <c r="CL546" s="15" t="s">
        <v>175</v>
      </c>
      <c r="CM546" s="22" t="s">
        <v>138</v>
      </c>
      <c r="CN546" s="17" t="s">
        <v>138</v>
      </c>
      <c r="CO546" s="23">
        <v>0.35</v>
      </c>
      <c r="CP546" s="24">
        <v>94</v>
      </c>
      <c r="CQ546" s="23">
        <v>-0.05</v>
      </c>
      <c r="CR546" s="23">
        <v>-13.04</v>
      </c>
      <c r="CS546" s="23" t="s">
        <v>138</v>
      </c>
      <c r="CT546" s="24" t="s">
        <v>138</v>
      </c>
      <c r="CU546" s="23">
        <v>0.35</v>
      </c>
      <c r="CV546" s="24">
        <v>89</v>
      </c>
      <c r="CW546" s="23" t="s">
        <v>138</v>
      </c>
      <c r="CX546" s="24" t="s">
        <v>138</v>
      </c>
      <c r="CY546" s="23" t="s">
        <v>138</v>
      </c>
      <c r="CZ546" s="24" t="s">
        <v>138</v>
      </c>
      <c r="DA546" s="23">
        <v>0.66</v>
      </c>
      <c r="DB546" s="24">
        <v>96</v>
      </c>
      <c r="DC546" s="25">
        <v>1.08</v>
      </c>
      <c r="DD546" s="24">
        <v>53</v>
      </c>
      <c r="DE546" s="25">
        <v>0.01</v>
      </c>
      <c r="DF546" s="23">
        <v>0.59</v>
      </c>
      <c r="DG546" s="25" t="s">
        <v>138</v>
      </c>
      <c r="DH546" s="24" t="s">
        <v>138</v>
      </c>
      <c r="DI546" s="25">
        <v>1.08</v>
      </c>
      <c r="DJ546" s="24">
        <v>51</v>
      </c>
      <c r="DK546" s="25" t="s">
        <v>138</v>
      </c>
      <c r="DL546" s="24" t="s">
        <v>138</v>
      </c>
      <c r="DM546" s="25" t="s">
        <v>138</v>
      </c>
      <c r="DN546" s="24" t="s">
        <v>138</v>
      </c>
      <c r="DO546" s="25">
        <v>1.43</v>
      </c>
      <c r="DP546" s="24">
        <v>57</v>
      </c>
      <c r="DQ546" s="24" t="s">
        <v>138</v>
      </c>
      <c r="DR546" s="26" t="s">
        <v>138</v>
      </c>
      <c r="DS546" s="23" t="s">
        <v>138</v>
      </c>
      <c r="DT546" s="24" t="s">
        <v>138</v>
      </c>
      <c r="DU546" s="26" t="s">
        <v>138</v>
      </c>
      <c r="DV546" s="23" t="s">
        <v>138</v>
      </c>
      <c r="DW546" s="24">
        <v>510</v>
      </c>
      <c r="DX546" s="27">
        <v>0</v>
      </c>
      <c r="DY546" s="23">
        <v>0</v>
      </c>
      <c r="DZ546" s="15" t="s">
        <v>178</v>
      </c>
      <c r="EA546" s="22">
        <v>43351</v>
      </c>
      <c r="EB546" s="17" t="s">
        <v>138</v>
      </c>
      <c r="EC546" s="22" t="s">
        <v>138</v>
      </c>
      <c r="ED546" s="15" t="s">
        <v>138</v>
      </c>
      <c r="EE546" s="14" t="str">
        <f>HYPERLINK("https://my.pitchbook.com?c=100532-26", "View company online")</f>
        <v>View company online</v>
      </c>
    </row>
    <row r="547" spans="1:135">
      <c r="A547" s="28" t="s">
        <v>11175</v>
      </c>
      <c r="B547" s="28" t="s">
        <v>11176</v>
      </c>
      <c r="C547" s="28" t="s">
        <v>138</v>
      </c>
      <c r="D547" s="28" t="s">
        <v>138</v>
      </c>
      <c r="E547" s="28" t="s">
        <v>138</v>
      </c>
      <c r="F547" s="28" t="s">
        <v>11175</v>
      </c>
      <c r="G547" s="28" t="s">
        <v>11177</v>
      </c>
      <c r="H547" s="28" t="s">
        <v>322</v>
      </c>
      <c r="I547" s="28" t="s">
        <v>807</v>
      </c>
      <c r="J547" s="28" t="s">
        <v>2534</v>
      </c>
      <c r="K547" s="28" t="s">
        <v>11178</v>
      </c>
      <c r="L547" s="28" t="s">
        <v>11179</v>
      </c>
      <c r="M547" s="28" t="s">
        <v>11180</v>
      </c>
      <c r="N547" s="28" t="s">
        <v>147</v>
      </c>
      <c r="O547" s="29">
        <v>2.5099999999999998</v>
      </c>
      <c r="P547" s="28" t="s">
        <v>148</v>
      </c>
      <c r="Q547" s="28" t="s">
        <v>149</v>
      </c>
      <c r="R547" s="28" t="s">
        <v>174</v>
      </c>
      <c r="S547" s="28" t="s">
        <v>11181</v>
      </c>
      <c r="T547" s="30" t="s">
        <v>138</v>
      </c>
      <c r="U547" s="28" t="s">
        <v>138</v>
      </c>
      <c r="V547" s="28" t="s">
        <v>138</v>
      </c>
      <c r="W547" s="28" t="s">
        <v>138</v>
      </c>
      <c r="X547" s="31">
        <v>2004</v>
      </c>
      <c r="Y547" s="28" t="s">
        <v>138</v>
      </c>
      <c r="Z547" s="28" t="s">
        <v>138</v>
      </c>
      <c r="AA547" s="28" t="s">
        <v>138</v>
      </c>
      <c r="AB547" s="32" t="s">
        <v>138</v>
      </c>
      <c r="AC547" s="32" t="s">
        <v>138</v>
      </c>
      <c r="AD547" s="32" t="s">
        <v>138</v>
      </c>
      <c r="AE547" s="32" t="s">
        <v>138</v>
      </c>
      <c r="AF547" s="32" t="s">
        <v>138</v>
      </c>
      <c r="AG547" s="28" t="s">
        <v>138</v>
      </c>
      <c r="AH547" s="32" t="s">
        <v>138</v>
      </c>
      <c r="AI547" s="32" t="s">
        <v>138</v>
      </c>
      <c r="AJ547" s="32" t="s">
        <v>138</v>
      </c>
      <c r="AK547" s="28" t="s">
        <v>11182</v>
      </c>
      <c r="AL547" s="28" t="s">
        <v>11183</v>
      </c>
      <c r="AM547" s="28" t="s">
        <v>1192</v>
      </c>
      <c r="AN547" s="28" t="s">
        <v>11184</v>
      </c>
      <c r="AO547" s="28" t="s">
        <v>11185</v>
      </c>
      <c r="AP547" s="28" t="s">
        <v>1195</v>
      </c>
      <c r="AQ547" s="28" t="s">
        <v>11186</v>
      </c>
      <c r="AR547" s="28" t="s">
        <v>11187</v>
      </c>
      <c r="AS547" s="28" t="s">
        <v>1198</v>
      </c>
      <c r="AT547" s="28" t="s">
        <v>138</v>
      </c>
      <c r="AU547" s="28" t="s">
        <v>11188</v>
      </c>
      <c r="AV547" s="28" t="s">
        <v>1200</v>
      </c>
      <c r="AW547" s="28" t="s">
        <v>11185</v>
      </c>
      <c r="AX547" s="28" t="s">
        <v>11189</v>
      </c>
      <c r="AY547" s="28" t="s">
        <v>11190</v>
      </c>
      <c r="AZ547" s="28" t="s">
        <v>452</v>
      </c>
      <c r="BA547" s="28" t="s">
        <v>453</v>
      </c>
      <c r="BB547" s="28" t="s">
        <v>11191</v>
      </c>
      <c r="BC547" s="28" t="s">
        <v>11192</v>
      </c>
      <c r="BD547" s="33">
        <v>4</v>
      </c>
      <c r="BE547" s="28" t="s">
        <v>138</v>
      </c>
      <c r="BF547" s="28" t="s">
        <v>138</v>
      </c>
      <c r="BG547" s="28" t="s">
        <v>138</v>
      </c>
      <c r="BH547" s="28" t="s">
        <v>11193</v>
      </c>
      <c r="BI547" s="28" t="s">
        <v>138</v>
      </c>
      <c r="BJ547" s="28" t="s">
        <v>138</v>
      </c>
      <c r="BK547" s="28" t="s">
        <v>138</v>
      </c>
      <c r="BL547" s="28" t="s">
        <v>138</v>
      </c>
      <c r="BM547" s="34">
        <v>42107</v>
      </c>
      <c r="BN547" s="29">
        <v>2.5099999999999998</v>
      </c>
      <c r="BO547" s="28" t="s">
        <v>172</v>
      </c>
      <c r="BP547" s="29" t="s">
        <v>138</v>
      </c>
      <c r="BQ547" s="28" t="s">
        <v>138</v>
      </c>
      <c r="BR547" s="28" t="s">
        <v>173</v>
      </c>
      <c r="BS547" s="28" t="s">
        <v>138</v>
      </c>
      <c r="BT547" s="28" t="s">
        <v>138</v>
      </c>
      <c r="BU547" s="28" t="s">
        <v>174</v>
      </c>
      <c r="BV547" s="28" t="s">
        <v>138</v>
      </c>
      <c r="BW547" s="28" t="s">
        <v>138</v>
      </c>
      <c r="BX547" s="28" t="s">
        <v>138</v>
      </c>
      <c r="BY547" s="28" t="s">
        <v>175</v>
      </c>
      <c r="BZ547" s="34">
        <v>42107</v>
      </c>
      <c r="CA547" s="29">
        <v>2.5099999999999998</v>
      </c>
      <c r="CB547" s="28" t="s">
        <v>172</v>
      </c>
      <c r="CC547" s="29" t="s">
        <v>138</v>
      </c>
      <c r="CD547" s="28" t="s">
        <v>138</v>
      </c>
      <c r="CE547" s="28" t="s">
        <v>173</v>
      </c>
      <c r="CF547" s="28" t="s">
        <v>138</v>
      </c>
      <c r="CG547" s="28" t="s">
        <v>138</v>
      </c>
      <c r="CH547" s="28" t="s">
        <v>174</v>
      </c>
      <c r="CI547" s="28" t="s">
        <v>138</v>
      </c>
      <c r="CJ547" s="28" t="s">
        <v>138</v>
      </c>
      <c r="CK547" s="28" t="s">
        <v>138</v>
      </c>
      <c r="CL547" s="28" t="s">
        <v>175</v>
      </c>
      <c r="CM547" s="34" t="s">
        <v>138</v>
      </c>
      <c r="CN547" s="29" t="s">
        <v>138</v>
      </c>
      <c r="CO547" s="35">
        <v>0</v>
      </c>
      <c r="CP547" s="36">
        <v>26</v>
      </c>
      <c r="CQ547" s="35">
        <v>0</v>
      </c>
      <c r="CR547" s="35">
        <v>0</v>
      </c>
      <c r="CS547" s="35" t="s">
        <v>138</v>
      </c>
      <c r="CT547" s="36" t="s">
        <v>138</v>
      </c>
      <c r="CU547" s="35">
        <v>0</v>
      </c>
      <c r="CV547" s="36">
        <v>22</v>
      </c>
      <c r="CW547" s="35" t="s">
        <v>138</v>
      </c>
      <c r="CX547" s="36" t="s">
        <v>138</v>
      </c>
      <c r="CY547" s="35" t="s">
        <v>138</v>
      </c>
      <c r="CZ547" s="36" t="s">
        <v>138</v>
      </c>
      <c r="DA547" s="35">
        <v>0</v>
      </c>
      <c r="DB547" s="36">
        <v>22</v>
      </c>
      <c r="DC547" s="37">
        <v>0.1</v>
      </c>
      <c r="DD547" s="36">
        <v>7</v>
      </c>
      <c r="DE547" s="37">
        <v>0</v>
      </c>
      <c r="DF547" s="35">
        <v>0.56000000000000005</v>
      </c>
      <c r="DG547" s="37" t="s">
        <v>138</v>
      </c>
      <c r="DH547" s="36" t="s">
        <v>138</v>
      </c>
      <c r="DI547" s="37">
        <v>0.1</v>
      </c>
      <c r="DJ547" s="36">
        <v>14</v>
      </c>
      <c r="DK547" s="37" t="s">
        <v>138</v>
      </c>
      <c r="DL547" s="36" t="s">
        <v>138</v>
      </c>
      <c r="DM547" s="37" t="s">
        <v>138</v>
      </c>
      <c r="DN547" s="36" t="s">
        <v>138</v>
      </c>
      <c r="DO547" s="37">
        <v>0.1</v>
      </c>
      <c r="DP547" s="36">
        <v>16</v>
      </c>
      <c r="DQ547" s="36" t="s">
        <v>138</v>
      </c>
      <c r="DR547" s="38" t="s">
        <v>138</v>
      </c>
      <c r="DS547" s="35" t="s">
        <v>138</v>
      </c>
      <c r="DT547" s="36" t="s">
        <v>138</v>
      </c>
      <c r="DU547" s="38" t="s">
        <v>138</v>
      </c>
      <c r="DV547" s="35" t="s">
        <v>138</v>
      </c>
      <c r="DW547" s="36">
        <v>36</v>
      </c>
      <c r="DX547" s="39">
        <v>0</v>
      </c>
      <c r="DY547" s="35">
        <v>0</v>
      </c>
      <c r="DZ547" s="28" t="s">
        <v>178</v>
      </c>
      <c r="EA547" s="34">
        <v>43467</v>
      </c>
      <c r="EB547" s="29" t="s">
        <v>138</v>
      </c>
      <c r="EC547" s="34" t="s">
        <v>138</v>
      </c>
      <c r="ED547" s="28" t="s">
        <v>138</v>
      </c>
      <c r="EE547" s="40" t="str">
        <f>HYPERLINK("https://my.pitchbook.com?c=104270-14", "View company online")</f>
        <v>View company online</v>
      </c>
    </row>
    <row r="548" spans="1:135">
      <c r="A548" s="15" t="s">
        <v>11194</v>
      </c>
      <c r="B548" s="15" t="s">
        <v>11195</v>
      </c>
      <c r="C548" s="15" t="s">
        <v>138</v>
      </c>
      <c r="D548" s="15" t="s">
        <v>138</v>
      </c>
      <c r="E548" s="15" t="s">
        <v>138</v>
      </c>
      <c r="F548" s="15" t="s">
        <v>11194</v>
      </c>
      <c r="G548" s="15" t="s">
        <v>11196</v>
      </c>
      <c r="H548" s="15" t="s">
        <v>385</v>
      </c>
      <c r="I548" s="15" t="s">
        <v>386</v>
      </c>
      <c r="J548" s="15" t="s">
        <v>558</v>
      </c>
      <c r="K548" s="15" t="s">
        <v>11197</v>
      </c>
      <c r="L548" s="15" t="s">
        <v>10642</v>
      </c>
      <c r="M548" s="15" t="s">
        <v>11198</v>
      </c>
      <c r="N548" s="15" t="s">
        <v>147</v>
      </c>
      <c r="O548" s="17">
        <v>7</v>
      </c>
      <c r="P548" s="15" t="s">
        <v>610</v>
      </c>
      <c r="Q548" s="15" t="s">
        <v>149</v>
      </c>
      <c r="R548" s="15" t="s">
        <v>174</v>
      </c>
      <c r="S548" s="15" t="s">
        <v>11199</v>
      </c>
      <c r="T548" s="18" t="s">
        <v>138</v>
      </c>
      <c r="U548" s="15" t="s">
        <v>138</v>
      </c>
      <c r="V548" s="15" t="s">
        <v>138</v>
      </c>
      <c r="W548" s="15" t="s">
        <v>138</v>
      </c>
      <c r="X548" s="19">
        <v>2017</v>
      </c>
      <c r="Y548" s="15" t="s">
        <v>138</v>
      </c>
      <c r="Z548" s="15" t="s">
        <v>138</v>
      </c>
      <c r="AA548" s="15" t="s">
        <v>138</v>
      </c>
      <c r="AB548" s="20" t="s">
        <v>138</v>
      </c>
      <c r="AC548" s="20" t="s">
        <v>138</v>
      </c>
      <c r="AD548" s="20" t="s">
        <v>138</v>
      </c>
      <c r="AE548" s="20" t="s">
        <v>138</v>
      </c>
      <c r="AF548" s="20" t="s">
        <v>138</v>
      </c>
      <c r="AG548" s="15" t="s">
        <v>138</v>
      </c>
      <c r="AH548" s="20" t="s">
        <v>138</v>
      </c>
      <c r="AI548" s="20" t="s">
        <v>138</v>
      </c>
      <c r="AJ548" s="20" t="s">
        <v>138</v>
      </c>
      <c r="AK548" s="15" t="s">
        <v>11200</v>
      </c>
      <c r="AL548" s="15" t="s">
        <v>11201</v>
      </c>
      <c r="AM548" s="15" t="s">
        <v>249</v>
      </c>
      <c r="AN548" s="15" t="s">
        <v>11202</v>
      </c>
      <c r="AO548" s="15" t="s">
        <v>138</v>
      </c>
      <c r="AP548" s="15" t="s">
        <v>1457</v>
      </c>
      <c r="AQ548" s="15" t="s">
        <v>11203</v>
      </c>
      <c r="AR548" s="15" t="s">
        <v>138</v>
      </c>
      <c r="AS548" s="15" t="s">
        <v>1460</v>
      </c>
      <c r="AT548" s="15" t="s">
        <v>474</v>
      </c>
      <c r="AU548" s="15" t="s">
        <v>11204</v>
      </c>
      <c r="AV548" s="15" t="s">
        <v>162</v>
      </c>
      <c r="AW548" s="15" t="s">
        <v>138</v>
      </c>
      <c r="AX548" s="15" t="s">
        <v>138</v>
      </c>
      <c r="AY548" s="15" t="s">
        <v>11205</v>
      </c>
      <c r="AZ548" s="15" t="s">
        <v>164</v>
      </c>
      <c r="BA548" s="15" t="s">
        <v>165</v>
      </c>
      <c r="BB548" s="15" t="s">
        <v>11206</v>
      </c>
      <c r="BC548" s="15" t="s">
        <v>11207</v>
      </c>
      <c r="BD548" s="21">
        <v>4</v>
      </c>
      <c r="BE548" s="15" t="s">
        <v>138</v>
      </c>
      <c r="BF548" s="15" t="s">
        <v>138</v>
      </c>
      <c r="BG548" s="15" t="s">
        <v>138</v>
      </c>
      <c r="BH548" s="15" t="s">
        <v>11208</v>
      </c>
      <c r="BI548" s="15" t="s">
        <v>138</v>
      </c>
      <c r="BJ548" s="15" t="s">
        <v>138</v>
      </c>
      <c r="BK548" s="15" t="s">
        <v>138</v>
      </c>
      <c r="BL548" s="15" t="s">
        <v>138</v>
      </c>
      <c r="BM548" s="22">
        <v>43283</v>
      </c>
      <c r="BN548" s="17">
        <v>7</v>
      </c>
      <c r="BO548" s="15" t="s">
        <v>172</v>
      </c>
      <c r="BP548" s="17">
        <v>17</v>
      </c>
      <c r="BQ548" s="15" t="s">
        <v>172</v>
      </c>
      <c r="BR548" s="15" t="s">
        <v>205</v>
      </c>
      <c r="BS548" s="15" t="s">
        <v>206</v>
      </c>
      <c r="BT548" s="15" t="s">
        <v>138</v>
      </c>
      <c r="BU548" s="15" t="s">
        <v>174</v>
      </c>
      <c r="BV548" s="15" t="s">
        <v>138</v>
      </c>
      <c r="BW548" s="15" t="s">
        <v>138</v>
      </c>
      <c r="BX548" s="15" t="s">
        <v>138</v>
      </c>
      <c r="BY548" s="15" t="s">
        <v>175</v>
      </c>
      <c r="BZ548" s="22">
        <v>43283</v>
      </c>
      <c r="CA548" s="17">
        <v>7</v>
      </c>
      <c r="CB548" s="15" t="s">
        <v>172</v>
      </c>
      <c r="CC548" s="17">
        <v>17</v>
      </c>
      <c r="CD548" s="15" t="s">
        <v>172</v>
      </c>
      <c r="CE548" s="15" t="s">
        <v>205</v>
      </c>
      <c r="CF548" s="15" t="s">
        <v>206</v>
      </c>
      <c r="CG548" s="15" t="s">
        <v>138</v>
      </c>
      <c r="CH548" s="15" t="s">
        <v>174</v>
      </c>
      <c r="CI548" s="15" t="s">
        <v>138</v>
      </c>
      <c r="CJ548" s="15" t="s">
        <v>138</v>
      </c>
      <c r="CK548" s="15" t="s">
        <v>138</v>
      </c>
      <c r="CL548" s="15" t="s">
        <v>175</v>
      </c>
      <c r="CM548" s="22" t="s">
        <v>138</v>
      </c>
      <c r="CN548" s="17" t="s">
        <v>138</v>
      </c>
      <c r="CO548" s="23">
        <v>0</v>
      </c>
      <c r="CP548" s="24">
        <v>26</v>
      </c>
      <c r="CQ548" s="23">
        <v>0</v>
      </c>
      <c r="CR548" s="23">
        <v>0</v>
      </c>
      <c r="CS548" s="23">
        <v>0</v>
      </c>
      <c r="CT548" s="24">
        <v>23</v>
      </c>
      <c r="CU548" s="23" t="s">
        <v>138</v>
      </c>
      <c r="CV548" s="24" t="s">
        <v>138</v>
      </c>
      <c r="CW548" s="23" t="s">
        <v>138</v>
      </c>
      <c r="CX548" s="24" t="s">
        <v>138</v>
      </c>
      <c r="CY548" s="23">
        <v>0</v>
      </c>
      <c r="CZ548" s="24">
        <v>25</v>
      </c>
      <c r="DA548" s="23" t="s">
        <v>138</v>
      </c>
      <c r="DB548" s="24" t="s">
        <v>138</v>
      </c>
      <c r="DC548" s="25">
        <v>0.45</v>
      </c>
      <c r="DD548" s="24">
        <v>31</v>
      </c>
      <c r="DE548" s="25">
        <v>0</v>
      </c>
      <c r="DF548" s="23">
        <v>0</v>
      </c>
      <c r="DG548" s="25">
        <v>0.45</v>
      </c>
      <c r="DH548" s="24">
        <v>31</v>
      </c>
      <c r="DI548" s="25" t="s">
        <v>138</v>
      </c>
      <c r="DJ548" s="24" t="s">
        <v>138</v>
      </c>
      <c r="DK548" s="25" t="s">
        <v>138</v>
      </c>
      <c r="DL548" s="24" t="s">
        <v>138</v>
      </c>
      <c r="DM548" s="25">
        <v>0.45</v>
      </c>
      <c r="DN548" s="24">
        <v>31</v>
      </c>
      <c r="DO548" s="25" t="s">
        <v>138</v>
      </c>
      <c r="DP548" s="24" t="s">
        <v>138</v>
      </c>
      <c r="DQ548" s="24" t="s">
        <v>138</v>
      </c>
      <c r="DR548" s="26" t="s">
        <v>138</v>
      </c>
      <c r="DS548" s="23" t="s">
        <v>138</v>
      </c>
      <c r="DT548" s="24">
        <v>13</v>
      </c>
      <c r="DU548" s="26">
        <v>0</v>
      </c>
      <c r="DV548" s="23">
        <v>0</v>
      </c>
      <c r="DW548" s="24" t="s">
        <v>138</v>
      </c>
      <c r="DX548" s="27" t="s">
        <v>138</v>
      </c>
      <c r="DY548" s="23" t="s">
        <v>138</v>
      </c>
      <c r="DZ548" s="15" t="s">
        <v>178</v>
      </c>
      <c r="EA548" s="22">
        <v>43622</v>
      </c>
      <c r="EB548" s="17">
        <v>17</v>
      </c>
      <c r="EC548" s="22">
        <v>43283</v>
      </c>
      <c r="ED548" s="15" t="s">
        <v>205</v>
      </c>
      <c r="EE548" s="14" t="str">
        <f>HYPERLINK("https://my.pitchbook.com?c=230462-20", "View company online")</f>
        <v>View company online</v>
      </c>
    </row>
    <row r="549" spans="1:135">
      <c r="A549" s="28" t="s">
        <v>11209</v>
      </c>
      <c r="B549" s="28" t="s">
        <v>11210</v>
      </c>
      <c r="C549" s="28" t="s">
        <v>138</v>
      </c>
      <c r="D549" s="28" t="s">
        <v>11211</v>
      </c>
      <c r="E549" s="28" t="s">
        <v>11212</v>
      </c>
      <c r="F549" s="28" t="s">
        <v>11209</v>
      </c>
      <c r="G549" s="28" t="s">
        <v>11213</v>
      </c>
      <c r="H549" s="28" t="s">
        <v>238</v>
      </c>
      <c r="I549" s="28" t="s">
        <v>269</v>
      </c>
      <c r="J549" s="28" t="s">
        <v>296</v>
      </c>
      <c r="K549" s="28" t="s">
        <v>2187</v>
      </c>
      <c r="L549" s="28" t="s">
        <v>7679</v>
      </c>
      <c r="M549" s="28" t="s">
        <v>11214</v>
      </c>
      <c r="N549" s="28" t="s">
        <v>2109</v>
      </c>
      <c r="O549" s="29" t="s">
        <v>138</v>
      </c>
      <c r="P549" s="28" t="s">
        <v>148</v>
      </c>
      <c r="Q549" s="28" t="s">
        <v>149</v>
      </c>
      <c r="R549" s="28" t="s">
        <v>150</v>
      </c>
      <c r="S549" s="28" t="s">
        <v>11215</v>
      </c>
      <c r="T549" s="30">
        <v>10000</v>
      </c>
      <c r="U549" s="28" t="s">
        <v>11216</v>
      </c>
      <c r="V549" s="28" t="s">
        <v>138</v>
      </c>
      <c r="W549" s="28" t="s">
        <v>138</v>
      </c>
      <c r="X549" s="31">
        <v>2002</v>
      </c>
      <c r="Y549" s="28" t="s">
        <v>138</v>
      </c>
      <c r="Z549" s="28" t="s">
        <v>138</v>
      </c>
      <c r="AA549" s="28" t="s">
        <v>138</v>
      </c>
      <c r="AB549" s="32" t="s">
        <v>138</v>
      </c>
      <c r="AC549" s="32" t="s">
        <v>138</v>
      </c>
      <c r="AD549" s="32" t="s">
        <v>138</v>
      </c>
      <c r="AE549" s="32" t="s">
        <v>138</v>
      </c>
      <c r="AF549" s="32" t="s">
        <v>138</v>
      </c>
      <c r="AG549" s="28" t="s">
        <v>138</v>
      </c>
      <c r="AH549" s="32" t="s">
        <v>138</v>
      </c>
      <c r="AI549" s="32" t="s">
        <v>138</v>
      </c>
      <c r="AJ549" s="32" t="s">
        <v>138</v>
      </c>
      <c r="AK549" s="28" t="s">
        <v>11217</v>
      </c>
      <c r="AL549" s="28" t="s">
        <v>11218</v>
      </c>
      <c r="AM549" s="28" t="s">
        <v>249</v>
      </c>
      <c r="AN549" s="28" t="s">
        <v>11219</v>
      </c>
      <c r="AO549" s="28" t="s">
        <v>11220</v>
      </c>
      <c r="AP549" s="28" t="s">
        <v>11221</v>
      </c>
      <c r="AQ549" s="28" t="s">
        <v>11222</v>
      </c>
      <c r="AR549" s="28" t="s">
        <v>11223</v>
      </c>
      <c r="AS549" s="28" t="s">
        <v>11224</v>
      </c>
      <c r="AT549" s="28" t="s">
        <v>138</v>
      </c>
      <c r="AU549" s="28" t="s">
        <v>11225</v>
      </c>
      <c r="AV549" s="28" t="s">
        <v>450</v>
      </c>
      <c r="AW549" s="28" t="s">
        <v>11220</v>
      </c>
      <c r="AX549" s="28" t="s">
        <v>11226</v>
      </c>
      <c r="AY549" s="28" t="s">
        <v>138</v>
      </c>
      <c r="AZ549" s="28" t="s">
        <v>452</v>
      </c>
      <c r="BA549" s="28" t="s">
        <v>453</v>
      </c>
      <c r="BB549" s="28" t="s">
        <v>11227</v>
      </c>
      <c r="BC549" s="28" t="s">
        <v>11228</v>
      </c>
      <c r="BD549" s="33">
        <v>3</v>
      </c>
      <c r="BE549" s="28" t="s">
        <v>138</v>
      </c>
      <c r="BF549" s="28" t="s">
        <v>138</v>
      </c>
      <c r="BG549" s="28" t="s">
        <v>138</v>
      </c>
      <c r="BH549" s="28" t="s">
        <v>11229</v>
      </c>
      <c r="BI549" s="28" t="s">
        <v>138</v>
      </c>
      <c r="BJ549" s="28" t="s">
        <v>138</v>
      </c>
      <c r="BK549" s="28" t="s">
        <v>138</v>
      </c>
      <c r="BL549" s="28" t="s">
        <v>138</v>
      </c>
      <c r="BM549" s="34">
        <v>37578</v>
      </c>
      <c r="BN549" s="29" t="s">
        <v>138</v>
      </c>
      <c r="BO549" s="28" t="s">
        <v>138</v>
      </c>
      <c r="BP549" s="29" t="s">
        <v>138</v>
      </c>
      <c r="BQ549" s="28" t="s">
        <v>138</v>
      </c>
      <c r="BR549" s="28" t="s">
        <v>1465</v>
      </c>
      <c r="BS549" s="28" t="s">
        <v>138</v>
      </c>
      <c r="BT549" s="28" t="s">
        <v>138</v>
      </c>
      <c r="BU549" s="28" t="s">
        <v>177</v>
      </c>
      <c r="BV549" s="28" t="s">
        <v>138</v>
      </c>
      <c r="BW549" s="28" t="s">
        <v>138</v>
      </c>
      <c r="BX549" s="28" t="s">
        <v>138</v>
      </c>
      <c r="BY549" s="28" t="s">
        <v>175</v>
      </c>
      <c r="BZ549" s="34">
        <v>37578</v>
      </c>
      <c r="CA549" s="29" t="s">
        <v>138</v>
      </c>
      <c r="CB549" s="28" t="s">
        <v>138</v>
      </c>
      <c r="CC549" s="29" t="s">
        <v>138</v>
      </c>
      <c r="CD549" s="28" t="s">
        <v>138</v>
      </c>
      <c r="CE549" s="28" t="s">
        <v>1465</v>
      </c>
      <c r="CF549" s="28" t="s">
        <v>138</v>
      </c>
      <c r="CG549" s="28" t="s">
        <v>138</v>
      </c>
      <c r="CH549" s="28" t="s">
        <v>177</v>
      </c>
      <c r="CI549" s="28" t="s">
        <v>138</v>
      </c>
      <c r="CJ549" s="28" t="s">
        <v>138</v>
      </c>
      <c r="CK549" s="28" t="s">
        <v>138</v>
      </c>
      <c r="CL549" s="28" t="s">
        <v>175</v>
      </c>
      <c r="CM549" s="34" t="s">
        <v>138</v>
      </c>
      <c r="CN549" s="29" t="s">
        <v>138</v>
      </c>
      <c r="CO549" s="35">
        <v>-4.6500000000000004</v>
      </c>
      <c r="CP549" s="36">
        <v>1</v>
      </c>
      <c r="CQ549" s="35">
        <v>0.06</v>
      </c>
      <c r="CR549" s="35">
        <v>1.21</v>
      </c>
      <c r="CS549" s="35">
        <v>-4.6500000000000004</v>
      </c>
      <c r="CT549" s="36">
        <v>3</v>
      </c>
      <c r="CU549" s="35" t="s">
        <v>138</v>
      </c>
      <c r="CV549" s="36" t="s">
        <v>138</v>
      </c>
      <c r="CW549" s="35">
        <v>-5.9</v>
      </c>
      <c r="CX549" s="36">
        <v>2</v>
      </c>
      <c r="CY549" s="35">
        <v>-3.4</v>
      </c>
      <c r="CZ549" s="36">
        <v>6</v>
      </c>
      <c r="DA549" s="35" t="s">
        <v>138</v>
      </c>
      <c r="DB549" s="36" t="s">
        <v>138</v>
      </c>
      <c r="DC549" s="37">
        <v>48.9</v>
      </c>
      <c r="DD549" s="36">
        <v>98</v>
      </c>
      <c r="DE549" s="37">
        <v>-0.22</v>
      </c>
      <c r="DF549" s="35">
        <v>-0.45</v>
      </c>
      <c r="DG549" s="37">
        <v>48.9</v>
      </c>
      <c r="DH549" s="36">
        <v>98</v>
      </c>
      <c r="DI549" s="37" t="s">
        <v>138</v>
      </c>
      <c r="DJ549" s="36" t="s">
        <v>138</v>
      </c>
      <c r="DK549" s="37">
        <v>7.24</v>
      </c>
      <c r="DL549" s="36">
        <v>84</v>
      </c>
      <c r="DM549" s="37">
        <v>90.55</v>
      </c>
      <c r="DN549" s="36">
        <v>99</v>
      </c>
      <c r="DO549" s="37" t="s">
        <v>138</v>
      </c>
      <c r="DP549" s="36" t="s">
        <v>138</v>
      </c>
      <c r="DQ549" s="36">
        <v>2460</v>
      </c>
      <c r="DR549" s="38">
        <v>73</v>
      </c>
      <c r="DS549" s="35">
        <v>3.06</v>
      </c>
      <c r="DT549" s="36">
        <v>2620</v>
      </c>
      <c r="DU549" s="38">
        <v>11</v>
      </c>
      <c r="DV549" s="35">
        <v>0.42</v>
      </c>
      <c r="DW549" s="36" t="s">
        <v>138</v>
      </c>
      <c r="DX549" s="39" t="s">
        <v>138</v>
      </c>
      <c r="DY549" s="35" t="s">
        <v>138</v>
      </c>
      <c r="DZ549" s="28" t="s">
        <v>178</v>
      </c>
      <c r="EA549" s="34">
        <v>43351</v>
      </c>
      <c r="EB549" s="29" t="s">
        <v>138</v>
      </c>
      <c r="EC549" s="34" t="s">
        <v>138</v>
      </c>
      <c r="ED549" s="28" t="s">
        <v>138</v>
      </c>
      <c r="EE549" s="40" t="str">
        <f>HYPERLINK("https://my.pitchbook.com?c=107871-22", "View company online")</f>
        <v>View company online</v>
      </c>
    </row>
    <row r="550" spans="1:135">
      <c r="A550" s="15" t="s">
        <v>11230</v>
      </c>
      <c r="B550" s="15" t="s">
        <v>11231</v>
      </c>
      <c r="C550" s="15" t="s">
        <v>11232</v>
      </c>
      <c r="D550" s="15" t="s">
        <v>138</v>
      </c>
      <c r="E550" s="15" t="s">
        <v>11233</v>
      </c>
      <c r="F550" s="15" t="s">
        <v>11230</v>
      </c>
      <c r="G550" s="15" t="s">
        <v>11234</v>
      </c>
      <c r="H550" s="15" t="s">
        <v>141</v>
      </c>
      <c r="I550" s="15" t="s">
        <v>212</v>
      </c>
      <c r="J550" s="15" t="s">
        <v>3169</v>
      </c>
      <c r="K550" s="15" t="s">
        <v>11235</v>
      </c>
      <c r="L550" s="15" t="s">
        <v>3589</v>
      </c>
      <c r="M550" s="15" t="s">
        <v>11236</v>
      </c>
      <c r="N550" s="15" t="s">
        <v>147</v>
      </c>
      <c r="O550" s="17">
        <v>6.55</v>
      </c>
      <c r="P550" s="15" t="s">
        <v>148</v>
      </c>
      <c r="Q550" s="15" t="s">
        <v>149</v>
      </c>
      <c r="R550" s="15" t="s">
        <v>328</v>
      </c>
      <c r="S550" s="15" t="s">
        <v>11237</v>
      </c>
      <c r="T550" s="18">
        <v>125</v>
      </c>
      <c r="U550" s="15" t="s">
        <v>11238</v>
      </c>
      <c r="V550" s="15" t="s">
        <v>138</v>
      </c>
      <c r="W550" s="15" t="s">
        <v>138</v>
      </c>
      <c r="X550" s="19">
        <v>2001</v>
      </c>
      <c r="Y550" s="15" t="s">
        <v>138</v>
      </c>
      <c r="Z550" s="15" t="s">
        <v>138</v>
      </c>
      <c r="AA550" s="15" t="s">
        <v>138</v>
      </c>
      <c r="AB550" s="20" t="s">
        <v>138</v>
      </c>
      <c r="AC550" s="20" t="s">
        <v>138</v>
      </c>
      <c r="AD550" s="20" t="s">
        <v>138</v>
      </c>
      <c r="AE550" s="20" t="s">
        <v>138</v>
      </c>
      <c r="AF550" s="20" t="s">
        <v>138</v>
      </c>
      <c r="AG550" s="15" t="s">
        <v>138</v>
      </c>
      <c r="AH550" s="20" t="s">
        <v>138</v>
      </c>
      <c r="AI550" s="20" t="s">
        <v>138</v>
      </c>
      <c r="AJ550" s="20" t="s">
        <v>138</v>
      </c>
      <c r="AK550" s="15" t="s">
        <v>11239</v>
      </c>
      <c r="AL550" s="15" t="s">
        <v>11240</v>
      </c>
      <c r="AM550" s="15" t="s">
        <v>304</v>
      </c>
      <c r="AN550" s="15" t="s">
        <v>11241</v>
      </c>
      <c r="AO550" s="15" t="s">
        <v>11242</v>
      </c>
      <c r="AP550" s="15" t="s">
        <v>3136</v>
      </c>
      <c r="AQ550" s="15" t="s">
        <v>11243</v>
      </c>
      <c r="AR550" s="15" t="s">
        <v>11244</v>
      </c>
      <c r="AS550" s="15" t="s">
        <v>3139</v>
      </c>
      <c r="AT550" s="15" t="s">
        <v>3140</v>
      </c>
      <c r="AU550" s="15" t="s">
        <v>11245</v>
      </c>
      <c r="AV550" s="15" t="s">
        <v>162</v>
      </c>
      <c r="AW550" s="15" t="s">
        <v>11242</v>
      </c>
      <c r="AX550" s="15" t="s">
        <v>138</v>
      </c>
      <c r="AY550" s="15" t="s">
        <v>11246</v>
      </c>
      <c r="AZ550" s="15" t="s">
        <v>164</v>
      </c>
      <c r="BA550" s="15" t="s">
        <v>165</v>
      </c>
      <c r="BB550" s="15" t="s">
        <v>11247</v>
      </c>
      <c r="BC550" s="15" t="s">
        <v>11248</v>
      </c>
      <c r="BD550" s="21">
        <v>2</v>
      </c>
      <c r="BE550" s="15" t="s">
        <v>138</v>
      </c>
      <c r="BF550" s="15" t="s">
        <v>11249</v>
      </c>
      <c r="BG550" s="15" t="s">
        <v>138</v>
      </c>
      <c r="BH550" s="15" t="s">
        <v>11250</v>
      </c>
      <c r="BI550" s="15" t="s">
        <v>11251</v>
      </c>
      <c r="BJ550" s="15" t="s">
        <v>138</v>
      </c>
      <c r="BK550" s="15" t="s">
        <v>138</v>
      </c>
      <c r="BL550" s="15" t="s">
        <v>138</v>
      </c>
      <c r="BM550" s="22">
        <v>39216</v>
      </c>
      <c r="BN550" s="17">
        <v>1</v>
      </c>
      <c r="BO550" s="15" t="s">
        <v>172</v>
      </c>
      <c r="BP550" s="17" t="s">
        <v>138</v>
      </c>
      <c r="BQ550" s="15" t="s">
        <v>138</v>
      </c>
      <c r="BR550" s="15" t="s">
        <v>173</v>
      </c>
      <c r="BS550" s="15" t="s">
        <v>623</v>
      </c>
      <c r="BT550" s="15" t="s">
        <v>138</v>
      </c>
      <c r="BU550" s="15" t="s">
        <v>174</v>
      </c>
      <c r="BV550" s="15" t="s">
        <v>138</v>
      </c>
      <c r="BW550" s="15" t="s">
        <v>138</v>
      </c>
      <c r="BX550" s="15" t="s">
        <v>138</v>
      </c>
      <c r="BY550" s="15" t="s">
        <v>175</v>
      </c>
      <c r="BZ550" s="22" t="s">
        <v>138</v>
      </c>
      <c r="CA550" s="17" t="s">
        <v>138</v>
      </c>
      <c r="CB550" s="15" t="s">
        <v>138</v>
      </c>
      <c r="CC550" s="17" t="s">
        <v>138</v>
      </c>
      <c r="CD550" s="15" t="s">
        <v>138</v>
      </c>
      <c r="CE550" s="15" t="s">
        <v>379</v>
      </c>
      <c r="CF550" s="15" t="s">
        <v>138</v>
      </c>
      <c r="CG550" s="15" t="s">
        <v>138</v>
      </c>
      <c r="CH550" s="15" t="s">
        <v>351</v>
      </c>
      <c r="CI550" s="15" t="s">
        <v>138</v>
      </c>
      <c r="CJ550" s="15" t="s">
        <v>138</v>
      </c>
      <c r="CK550" s="15" t="s">
        <v>138</v>
      </c>
      <c r="CL550" s="15" t="s">
        <v>175</v>
      </c>
      <c r="CM550" s="22" t="s">
        <v>138</v>
      </c>
      <c r="CN550" s="17" t="s">
        <v>138</v>
      </c>
      <c r="CO550" s="23">
        <v>0.04</v>
      </c>
      <c r="CP550" s="24">
        <v>87</v>
      </c>
      <c r="CQ550" s="23">
        <v>-0.04</v>
      </c>
      <c r="CR550" s="23">
        <v>-49.58</v>
      </c>
      <c r="CS550" s="23">
        <v>0</v>
      </c>
      <c r="CT550" s="24">
        <v>23</v>
      </c>
      <c r="CU550" s="23">
        <v>7.0000000000000007E-2</v>
      </c>
      <c r="CV550" s="24">
        <v>62</v>
      </c>
      <c r="CW550" s="23" t="s">
        <v>138</v>
      </c>
      <c r="CX550" s="24" t="s">
        <v>138</v>
      </c>
      <c r="CY550" s="23">
        <v>0</v>
      </c>
      <c r="CZ550" s="24">
        <v>25</v>
      </c>
      <c r="DA550" s="23">
        <v>7.0000000000000007E-2</v>
      </c>
      <c r="DB550" s="24">
        <v>67</v>
      </c>
      <c r="DC550" s="25">
        <v>0.71</v>
      </c>
      <c r="DD550" s="24">
        <v>43</v>
      </c>
      <c r="DE550" s="25">
        <v>0</v>
      </c>
      <c r="DF550" s="23">
        <v>0.39</v>
      </c>
      <c r="DG550" s="25">
        <v>0.93</v>
      </c>
      <c r="DH550" s="24">
        <v>49</v>
      </c>
      <c r="DI550" s="25">
        <v>0.5</v>
      </c>
      <c r="DJ550" s="24">
        <v>36</v>
      </c>
      <c r="DK550" s="25" t="s">
        <v>138</v>
      </c>
      <c r="DL550" s="24" t="s">
        <v>138</v>
      </c>
      <c r="DM550" s="25">
        <v>0.93</v>
      </c>
      <c r="DN550" s="24">
        <v>48</v>
      </c>
      <c r="DO550" s="25">
        <v>0.5</v>
      </c>
      <c r="DP550" s="24">
        <v>38</v>
      </c>
      <c r="DQ550" s="24">
        <v>163</v>
      </c>
      <c r="DR550" s="26">
        <v>-4</v>
      </c>
      <c r="DS550" s="23">
        <v>-2.4</v>
      </c>
      <c r="DT550" s="24">
        <v>27</v>
      </c>
      <c r="DU550" s="26">
        <v>0</v>
      </c>
      <c r="DV550" s="23">
        <v>0</v>
      </c>
      <c r="DW550" s="24">
        <v>177</v>
      </c>
      <c r="DX550" s="27">
        <v>0</v>
      </c>
      <c r="DY550" s="23">
        <v>0</v>
      </c>
      <c r="DZ550" s="15" t="s">
        <v>178</v>
      </c>
      <c r="EA550" s="22">
        <v>43351</v>
      </c>
      <c r="EB550" s="17" t="s">
        <v>138</v>
      </c>
      <c r="EC550" s="22" t="s">
        <v>138</v>
      </c>
      <c r="ED550" s="15" t="s">
        <v>138</v>
      </c>
      <c r="EE550" s="14" t="str">
        <f>HYPERLINK("https://my.pitchbook.com?c=13165-30", "View company online")</f>
        <v>View company online</v>
      </c>
    </row>
    <row r="551" spans="1:135">
      <c r="A551" s="28" t="s">
        <v>11252</v>
      </c>
      <c r="B551" s="28" t="s">
        <v>11253</v>
      </c>
      <c r="C551" s="28" t="s">
        <v>11254</v>
      </c>
      <c r="D551" s="28" t="s">
        <v>138</v>
      </c>
      <c r="E551" s="28" t="s">
        <v>138</v>
      </c>
      <c r="F551" s="28" t="s">
        <v>11252</v>
      </c>
      <c r="G551" s="28" t="s">
        <v>11255</v>
      </c>
      <c r="H551" s="28" t="s">
        <v>238</v>
      </c>
      <c r="I551" s="28" t="s">
        <v>1018</v>
      </c>
      <c r="J551" s="28" t="s">
        <v>1019</v>
      </c>
      <c r="K551" s="28" t="s">
        <v>11256</v>
      </c>
      <c r="L551" s="28" t="s">
        <v>5223</v>
      </c>
      <c r="M551" s="28" t="s">
        <v>11257</v>
      </c>
      <c r="N551" s="28" t="s">
        <v>147</v>
      </c>
      <c r="O551" s="29">
        <v>20.5</v>
      </c>
      <c r="P551" s="28" t="s">
        <v>148</v>
      </c>
      <c r="Q551" s="28" t="s">
        <v>149</v>
      </c>
      <c r="R551" s="28" t="s">
        <v>174</v>
      </c>
      <c r="S551" s="28" t="s">
        <v>11258</v>
      </c>
      <c r="T551" s="30">
        <v>15</v>
      </c>
      <c r="U551" s="28" t="s">
        <v>7917</v>
      </c>
      <c r="V551" s="28" t="s">
        <v>138</v>
      </c>
      <c r="W551" s="28" t="s">
        <v>138</v>
      </c>
      <c r="X551" s="31">
        <v>2013</v>
      </c>
      <c r="Y551" s="28" t="s">
        <v>138</v>
      </c>
      <c r="Z551" s="28" t="s">
        <v>138</v>
      </c>
      <c r="AA551" s="28" t="s">
        <v>138</v>
      </c>
      <c r="AB551" s="32" t="s">
        <v>138</v>
      </c>
      <c r="AC551" s="32" t="s">
        <v>138</v>
      </c>
      <c r="AD551" s="32" t="s">
        <v>138</v>
      </c>
      <c r="AE551" s="32" t="s">
        <v>138</v>
      </c>
      <c r="AF551" s="32" t="s">
        <v>138</v>
      </c>
      <c r="AG551" s="28" t="s">
        <v>138</v>
      </c>
      <c r="AH551" s="32" t="s">
        <v>138</v>
      </c>
      <c r="AI551" s="32" t="s">
        <v>138</v>
      </c>
      <c r="AJ551" s="32" t="s">
        <v>138</v>
      </c>
      <c r="AK551" s="28" t="s">
        <v>11259</v>
      </c>
      <c r="AL551" s="28" t="s">
        <v>11260</v>
      </c>
      <c r="AM551" s="28" t="s">
        <v>221</v>
      </c>
      <c r="AN551" s="28" t="s">
        <v>11261</v>
      </c>
      <c r="AO551" s="28" t="s">
        <v>138</v>
      </c>
      <c r="AP551" s="28" t="s">
        <v>9134</v>
      </c>
      <c r="AQ551" s="28" t="s">
        <v>11262</v>
      </c>
      <c r="AR551" s="28" t="s">
        <v>1459</v>
      </c>
      <c r="AS551" s="28" t="s">
        <v>9136</v>
      </c>
      <c r="AT551" s="28" t="s">
        <v>200</v>
      </c>
      <c r="AU551" s="28" t="s">
        <v>9137</v>
      </c>
      <c r="AV551" s="28" t="s">
        <v>162</v>
      </c>
      <c r="AW551" s="28" t="s">
        <v>138</v>
      </c>
      <c r="AX551" s="28" t="s">
        <v>138</v>
      </c>
      <c r="AY551" s="28" t="s">
        <v>11263</v>
      </c>
      <c r="AZ551" s="28" t="s">
        <v>164</v>
      </c>
      <c r="BA551" s="28" t="s">
        <v>165</v>
      </c>
      <c r="BB551" s="28" t="s">
        <v>11264</v>
      </c>
      <c r="BC551" s="28" t="s">
        <v>11265</v>
      </c>
      <c r="BD551" s="33">
        <v>13</v>
      </c>
      <c r="BE551" s="28" t="s">
        <v>138</v>
      </c>
      <c r="BF551" s="28" t="s">
        <v>138</v>
      </c>
      <c r="BG551" s="28" t="s">
        <v>138</v>
      </c>
      <c r="BH551" s="28" t="s">
        <v>11266</v>
      </c>
      <c r="BI551" s="28" t="s">
        <v>138</v>
      </c>
      <c r="BJ551" s="28" t="s">
        <v>138</v>
      </c>
      <c r="BK551" s="28" t="s">
        <v>290</v>
      </c>
      <c r="BL551" s="28" t="s">
        <v>290</v>
      </c>
      <c r="BM551" s="34" t="s">
        <v>138</v>
      </c>
      <c r="BN551" s="29" t="s">
        <v>138</v>
      </c>
      <c r="BO551" s="28" t="s">
        <v>138</v>
      </c>
      <c r="BP551" s="29" t="s">
        <v>138</v>
      </c>
      <c r="BQ551" s="28" t="s">
        <v>138</v>
      </c>
      <c r="BR551" s="28" t="s">
        <v>316</v>
      </c>
      <c r="BS551" s="28" t="s">
        <v>138</v>
      </c>
      <c r="BT551" s="28" t="s">
        <v>138</v>
      </c>
      <c r="BU551" s="28" t="s">
        <v>177</v>
      </c>
      <c r="BV551" s="28" t="s">
        <v>138</v>
      </c>
      <c r="BW551" s="28" t="s">
        <v>138</v>
      </c>
      <c r="BX551" s="28" t="s">
        <v>138</v>
      </c>
      <c r="BY551" s="28" t="s">
        <v>175</v>
      </c>
      <c r="BZ551" s="34">
        <v>43390</v>
      </c>
      <c r="CA551" s="29">
        <v>10</v>
      </c>
      <c r="CB551" s="28" t="s">
        <v>172</v>
      </c>
      <c r="CC551" s="29">
        <v>44</v>
      </c>
      <c r="CD551" s="28" t="s">
        <v>172</v>
      </c>
      <c r="CE551" s="28" t="s">
        <v>205</v>
      </c>
      <c r="CF551" s="28" t="s">
        <v>1727</v>
      </c>
      <c r="CG551" s="28" t="s">
        <v>138</v>
      </c>
      <c r="CH551" s="28" t="s">
        <v>174</v>
      </c>
      <c r="CI551" s="28" t="s">
        <v>138</v>
      </c>
      <c r="CJ551" s="28" t="s">
        <v>138</v>
      </c>
      <c r="CK551" s="28" t="s">
        <v>138</v>
      </c>
      <c r="CL551" s="28" t="s">
        <v>175</v>
      </c>
      <c r="CM551" s="34" t="s">
        <v>138</v>
      </c>
      <c r="CN551" s="29" t="s">
        <v>138</v>
      </c>
      <c r="CO551" s="35">
        <v>-0.92</v>
      </c>
      <c r="CP551" s="36">
        <v>12</v>
      </c>
      <c r="CQ551" s="35">
        <v>-0.27</v>
      </c>
      <c r="CR551" s="35">
        <v>-42</v>
      </c>
      <c r="CS551" s="35">
        <v>-1.84</v>
      </c>
      <c r="CT551" s="36">
        <v>10</v>
      </c>
      <c r="CU551" s="35">
        <v>0</v>
      </c>
      <c r="CV551" s="36">
        <v>22</v>
      </c>
      <c r="CW551" s="35" t="s">
        <v>138</v>
      </c>
      <c r="CX551" s="36" t="s">
        <v>138</v>
      </c>
      <c r="CY551" s="35">
        <v>-1.84</v>
      </c>
      <c r="CZ551" s="36">
        <v>12</v>
      </c>
      <c r="DA551" s="35">
        <v>0</v>
      </c>
      <c r="DB551" s="36">
        <v>22</v>
      </c>
      <c r="DC551" s="37">
        <v>1.73</v>
      </c>
      <c r="DD551" s="36">
        <v>64</v>
      </c>
      <c r="DE551" s="37">
        <v>-0.27</v>
      </c>
      <c r="DF551" s="35">
        <v>-13.66</v>
      </c>
      <c r="DG551" s="37">
        <v>3.34</v>
      </c>
      <c r="DH551" s="36">
        <v>76</v>
      </c>
      <c r="DI551" s="37">
        <v>0.12</v>
      </c>
      <c r="DJ551" s="36">
        <v>16</v>
      </c>
      <c r="DK551" s="37" t="s">
        <v>138</v>
      </c>
      <c r="DL551" s="36" t="s">
        <v>138</v>
      </c>
      <c r="DM551" s="37">
        <v>3.34</v>
      </c>
      <c r="DN551" s="36">
        <v>75</v>
      </c>
      <c r="DO551" s="37">
        <v>0.2</v>
      </c>
      <c r="DP551" s="36">
        <v>24</v>
      </c>
      <c r="DQ551" s="36" t="s">
        <v>138</v>
      </c>
      <c r="DR551" s="38" t="s">
        <v>138</v>
      </c>
      <c r="DS551" s="35" t="s">
        <v>138</v>
      </c>
      <c r="DT551" s="36">
        <v>103</v>
      </c>
      <c r="DU551" s="38">
        <v>-7</v>
      </c>
      <c r="DV551" s="35">
        <v>-6.36</v>
      </c>
      <c r="DW551" s="36">
        <v>68</v>
      </c>
      <c r="DX551" s="39">
        <v>1</v>
      </c>
      <c r="DY551" s="35">
        <v>1.49</v>
      </c>
      <c r="DZ551" s="28" t="s">
        <v>178</v>
      </c>
      <c r="EA551" s="34">
        <v>43571</v>
      </c>
      <c r="EB551" s="29">
        <v>44</v>
      </c>
      <c r="EC551" s="34">
        <v>43390</v>
      </c>
      <c r="ED551" s="28" t="s">
        <v>205</v>
      </c>
      <c r="EE551" s="40" t="str">
        <f>HYPERLINK("https://my.pitchbook.com?c=132341-95", "View company online")</f>
        <v>View company online</v>
      </c>
    </row>
    <row r="552" spans="1:135">
      <c r="A552" s="15" t="s">
        <v>11267</v>
      </c>
      <c r="B552" s="15" t="s">
        <v>11268</v>
      </c>
      <c r="C552" s="15" t="s">
        <v>11269</v>
      </c>
      <c r="D552" s="15" t="s">
        <v>138</v>
      </c>
      <c r="E552" s="15" t="s">
        <v>138</v>
      </c>
      <c r="F552" s="15" t="s">
        <v>11267</v>
      </c>
      <c r="G552" s="15" t="s">
        <v>11270</v>
      </c>
      <c r="H552" s="15" t="s">
        <v>322</v>
      </c>
      <c r="I552" s="15" t="s">
        <v>323</v>
      </c>
      <c r="J552" s="15" t="s">
        <v>413</v>
      </c>
      <c r="K552" s="15" t="s">
        <v>874</v>
      </c>
      <c r="L552" s="15" t="s">
        <v>2641</v>
      </c>
      <c r="M552" s="15" t="s">
        <v>11271</v>
      </c>
      <c r="N552" s="15" t="s">
        <v>147</v>
      </c>
      <c r="O552" s="17">
        <v>13.44</v>
      </c>
      <c r="P552" s="15" t="s">
        <v>148</v>
      </c>
      <c r="Q552" s="15" t="s">
        <v>149</v>
      </c>
      <c r="R552" s="15" t="s">
        <v>174</v>
      </c>
      <c r="S552" s="15" t="s">
        <v>11272</v>
      </c>
      <c r="T552" s="18" t="s">
        <v>138</v>
      </c>
      <c r="U552" s="15" t="s">
        <v>138</v>
      </c>
      <c r="V552" s="15" t="s">
        <v>138</v>
      </c>
      <c r="W552" s="15" t="s">
        <v>138</v>
      </c>
      <c r="X552" s="19" t="s">
        <v>138</v>
      </c>
      <c r="Y552" s="15" t="s">
        <v>138</v>
      </c>
      <c r="Z552" s="15" t="s">
        <v>138</v>
      </c>
      <c r="AA552" s="15" t="s">
        <v>138</v>
      </c>
      <c r="AB552" s="20" t="s">
        <v>138</v>
      </c>
      <c r="AC552" s="20" t="s">
        <v>138</v>
      </c>
      <c r="AD552" s="20" t="s">
        <v>138</v>
      </c>
      <c r="AE552" s="20" t="s">
        <v>138</v>
      </c>
      <c r="AF552" s="20" t="s">
        <v>138</v>
      </c>
      <c r="AG552" s="15" t="s">
        <v>138</v>
      </c>
      <c r="AH552" s="20" t="s">
        <v>138</v>
      </c>
      <c r="AI552" s="20" t="s">
        <v>138</v>
      </c>
      <c r="AJ552" s="20" t="s">
        <v>138</v>
      </c>
      <c r="AK552" s="15" t="s">
        <v>11273</v>
      </c>
      <c r="AL552" s="15" t="s">
        <v>11274</v>
      </c>
      <c r="AM552" s="15" t="s">
        <v>11275</v>
      </c>
      <c r="AN552" s="15" t="s">
        <v>11276</v>
      </c>
      <c r="AO552" s="15" t="s">
        <v>11277</v>
      </c>
      <c r="AP552" s="15" t="s">
        <v>11278</v>
      </c>
      <c r="AQ552" s="15" t="s">
        <v>11279</v>
      </c>
      <c r="AR552" s="15" t="s">
        <v>138</v>
      </c>
      <c r="AS552" s="15" t="s">
        <v>11280</v>
      </c>
      <c r="AT552" s="15" t="s">
        <v>339</v>
      </c>
      <c r="AU552" s="15" t="s">
        <v>11281</v>
      </c>
      <c r="AV552" s="15" t="s">
        <v>162</v>
      </c>
      <c r="AW552" s="15" t="s">
        <v>11282</v>
      </c>
      <c r="AX552" s="15" t="s">
        <v>138</v>
      </c>
      <c r="AY552" s="15" t="s">
        <v>138</v>
      </c>
      <c r="AZ552" s="15" t="s">
        <v>164</v>
      </c>
      <c r="BA552" s="15" t="s">
        <v>165</v>
      </c>
      <c r="BB552" s="15" t="s">
        <v>11283</v>
      </c>
      <c r="BC552" s="15" t="s">
        <v>11284</v>
      </c>
      <c r="BD552" s="21">
        <v>7</v>
      </c>
      <c r="BE552" s="15" t="s">
        <v>138</v>
      </c>
      <c r="BF552" s="15" t="s">
        <v>138</v>
      </c>
      <c r="BG552" s="15" t="s">
        <v>138</v>
      </c>
      <c r="BH552" s="15" t="s">
        <v>11285</v>
      </c>
      <c r="BI552" s="15" t="s">
        <v>138</v>
      </c>
      <c r="BJ552" s="15" t="s">
        <v>138</v>
      </c>
      <c r="BK552" s="15" t="s">
        <v>1275</v>
      </c>
      <c r="BL552" s="15" t="s">
        <v>1275</v>
      </c>
      <c r="BM552" s="22">
        <v>40700</v>
      </c>
      <c r="BN552" s="17">
        <v>2.5</v>
      </c>
      <c r="BO552" s="15" t="s">
        <v>1178</v>
      </c>
      <c r="BP552" s="17">
        <v>20</v>
      </c>
      <c r="BQ552" s="15" t="s">
        <v>172</v>
      </c>
      <c r="BR552" s="15" t="s">
        <v>262</v>
      </c>
      <c r="BS552" s="15" t="s">
        <v>206</v>
      </c>
      <c r="BT552" s="15" t="s">
        <v>138</v>
      </c>
      <c r="BU552" s="15" t="s">
        <v>263</v>
      </c>
      <c r="BV552" s="15" t="s">
        <v>138</v>
      </c>
      <c r="BW552" s="15" t="s">
        <v>138</v>
      </c>
      <c r="BX552" s="15" t="s">
        <v>138</v>
      </c>
      <c r="BY552" s="15" t="s">
        <v>175</v>
      </c>
      <c r="BZ552" s="22" t="s">
        <v>138</v>
      </c>
      <c r="CA552" s="17">
        <v>9.98</v>
      </c>
      <c r="CB552" s="15" t="s">
        <v>172</v>
      </c>
      <c r="CC552" s="17">
        <v>30.98</v>
      </c>
      <c r="CD552" s="15" t="s">
        <v>172</v>
      </c>
      <c r="CE552" s="15" t="s">
        <v>173</v>
      </c>
      <c r="CF552" s="15" t="s">
        <v>317</v>
      </c>
      <c r="CG552" s="15" t="s">
        <v>138</v>
      </c>
      <c r="CH552" s="15" t="s">
        <v>174</v>
      </c>
      <c r="CI552" s="15" t="s">
        <v>138</v>
      </c>
      <c r="CJ552" s="15" t="s">
        <v>138</v>
      </c>
      <c r="CK552" s="15" t="s">
        <v>138</v>
      </c>
      <c r="CL552" s="15" t="s">
        <v>3093</v>
      </c>
      <c r="CM552" s="22" t="s">
        <v>138</v>
      </c>
      <c r="CN552" s="17" t="s">
        <v>138</v>
      </c>
      <c r="CO552" s="23">
        <v>-1.31</v>
      </c>
      <c r="CP552" s="24">
        <v>9</v>
      </c>
      <c r="CQ552" s="23">
        <v>0</v>
      </c>
      <c r="CR552" s="23">
        <v>0</v>
      </c>
      <c r="CS552" s="23">
        <v>-1.31</v>
      </c>
      <c r="CT552" s="24">
        <v>13</v>
      </c>
      <c r="CU552" s="23" t="s">
        <v>138</v>
      </c>
      <c r="CV552" s="24" t="s">
        <v>138</v>
      </c>
      <c r="CW552" s="23">
        <v>-1.31</v>
      </c>
      <c r="CX552" s="24">
        <v>9</v>
      </c>
      <c r="CY552" s="23" t="s">
        <v>138</v>
      </c>
      <c r="CZ552" s="24" t="s">
        <v>138</v>
      </c>
      <c r="DA552" s="23" t="s">
        <v>138</v>
      </c>
      <c r="DB552" s="24" t="s">
        <v>138</v>
      </c>
      <c r="DC552" s="25">
        <v>3.47</v>
      </c>
      <c r="DD552" s="24">
        <v>77</v>
      </c>
      <c r="DE552" s="25">
        <v>-0.45</v>
      </c>
      <c r="DF552" s="23">
        <v>-11.37</v>
      </c>
      <c r="DG552" s="25">
        <v>3.47</v>
      </c>
      <c r="DH552" s="24">
        <v>77</v>
      </c>
      <c r="DI552" s="25" t="s">
        <v>138</v>
      </c>
      <c r="DJ552" s="24" t="s">
        <v>138</v>
      </c>
      <c r="DK552" s="25">
        <v>3.47</v>
      </c>
      <c r="DL552" s="24">
        <v>74</v>
      </c>
      <c r="DM552" s="25" t="s">
        <v>138</v>
      </c>
      <c r="DN552" s="24" t="s">
        <v>138</v>
      </c>
      <c r="DO552" s="25" t="s">
        <v>138</v>
      </c>
      <c r="DP552" s="24" t="s">
        <v>138</v>
      </c>
      <c r="DQ552" s="24">
        <v>1181</v>
      </c>
      <c r="DR552" s="26">
        <v>25</v>
      </c>
      <c r="DS552" s="23">
        <v>2.16</v>
      </c>
      <c r="DT552" s="24" t="s">
        <v>138</v>
      </c>
      <c r="DU552" s="26" t="s">
        <v>138</v>
      </c>
      <c r="DV552" s="23" t="s">
        <v>138</v>
      </c>
      <c r="DW552" s="24">
        <v>138</v>
      </c>
      <c r="DX552" s="27">
        <v>6</v>
      </c>
      <c r="DY552" s="23">
        <v>4.55</v>
      </c>
      <c r="DZ552" s="15" t="s">
        <v>178</v>
      </c>
      <c r="EA552" s="22">
        <v>43622</v>
      </c>
      <c r="EB552" s="17">
        <v>29.44</v>
      </c>
      <c r="EC552" s="22">
        <v>43278</v>
      </c>
      <c r="ED552" s="15" t="s">
        <v>205</v>
      </c>
      <c r="EE552" s="14" t="str">
        <f>HYPERLINK("https://my.pitchbook.com?c=230429-08", "View company online")</f>
        <v>View company online</v>
      </c>
    </row>
    <row r="553" spans="1:135">
      <c r="A553" s="28" t="s">
        <v>11286</v>
      </c>
      <c r="B553" s="28" t="s">
        <v>11287</v>
      </c>
      <c r="C553" s="28" t="s">
        <v>138</v>
      </c>
      <c r="D553" s="28" t="s">
        <v>138</v>
      </c>
      <c r="E553" s="28" t="s">
        <v>138</v>
      </c>
      <c r="F553" s="28" t="s">
        <v>11286</v>
      </c>
      <c r="G553" s="28" t="s">
        <v>11288</v>
      </c>
      <c r="H553" s="28" t="s">
        <v>322</v>
      </c>
      <c r="I553" s="28" t="s">
        <v>323</v>
      </c>
      <c r="J553" s="28" t="s">
        <v>324</v>
      </c>
      <c r="K553" s="28" t="s">
        <v>11289</v>
      </c>
      <c r="L553" s="28" t="s">
        <v>3764</v>
      </c>
      <c r="M553" s="28" t="s">
        <v>11290</v>
      </c>
      <c r="N553" s="28" t="s">
        <v>147</v>
      </c>
      <c r="O553" s="29">
        <v>5.75</v>
      </c>
      <c r="P553" s="28" t="s">
        <v>148</v>
      </c>
      <c r="Q553" s="28" t="s">
        <v>149</v>
      </c>
      <c r="R553" s="28" t="s">
        <v>174</v>
      </c>
      <c r="S553" s="28" t="s">
        <v>11291</v>
      </c>
      <c r="T553" s="30">
        <v>8</v>
      </c>
      <c r="U553" s="28" t="s">
        <v>11292</v>
      </c>
      <c r="V553" s="28" t="s">
        <v>138</v>
      </c>
      <c r="W553" s="28" t="s">
        <v>138</v>
      </c>
      <c r="X553" s="31">
        <v>2014</v>
      </c>
      <c r="Y553" s="28" t="s">
        <v>138</v>
      </c>
      <c r="Z553" s="28" t="s">
        <v>138</v>
      </c>
      <c r="AA553" s="28" t="s">
        <v>138</v>
      </c>
      <c r="AB553" s="32" t="s">
        <v>138</v>
      </c>
      <c r="AC553" s="32" t="s">
        <v>138</v>
      </c>
      <c r="AD553" s="32" t="s">
        <v>138</v>
      </c>
      <c r="AE553" s="32" t="s">
        <v>138</v>
      </c>
      <c r="AF553" s="32" t="s">
        <v>138</v>
      </c>
      <c r="AG553" s="28" t="s">
        <v>138</v>
      </c>
      <c r="AH553" s="32" t="s">
        <v>138</v>
      </c>
      <c r="AI553" s="32" t="s">
        <v>138</v>
      </c>
      <c r="AJ553" s="32" t="s">
        <v>138</v>
      </c>
      <c r="AK553" s="28" t="s">
        <v>11293</v>
      </c>
      <c r="AL553" s="28" t="s">
        <v>11294</v>
      </c>
      <c r="AM553" s="28" t="s">
        <v>938</v>
      </c>
      <c r="AN553" s="28" t="s">
        <v>11295</v>
      </c>
      <c r="AO553" s="28" t="s">
        <v>138</v>
      </c>
      <c r="AP553" s="28" t="s">
        <v>10913</v>
      </c>
      <c r="AQ553" s="28" t="s">
        <v>11296</v>
      </c>
      <c r="AR553" s="28" t="s">
        <v>713</v>
      </c>
      <c r="AS553" s="28" t="s">
        <v>10916</v>
      </c>
      <c r="AT553" s="28" t="s">
        <v>138</v>
      </c>
      <c r="AU553" s="28" t="s">
        <v>11297</v>
      </c>
      <c r="AV553" s="28" t="s">
        <v>740</v>
      </c>
      <c r="AW553" s="28" t="s">
        <v>138</v>
      </c>
      <c r="AX553" s="28" t="s">
        <v>138</v>
      </c>
      <c r="AY553" s="28" t="s">
        <v>11298</v>
      </c>
      <c r="AZ553" s="28" t="s">
        <v>742</v>
      </c>
      <c r="BA553" s="28" t="s">
        <v>742</v>
      </c>
      <c r="BB553" s="28" t="s">
        <v>11299</v>
      </c>
      <c r="BC553" s="28" t="s">
        <v>11300</v>
      </c>
      <c r="BD553" s="33">
        <v>5</v>
      </c>
      <c r="BE553" s="28" t="s">
        <v>138</v>
      </c>
      <c r="BF553" s="28" t="s">
        <v>138</v>
      </c>
      <c r="BG553" s="28" t="s">
        <v>138</v>
      </c>
      <c r="BH553" s="28" t="s">
        <v>11301</v>
      </c>
      <c r="BI553" s="28" t="s">
        <v>138</v>
      </c>
      <c r="BJ553" s="28" t="s">
        <v>138</v>
      </c>
      <c r="BK553" s="28" t="s">
        <v>138</v>
      </c>
      <c r="BL553" s="28" t="s">
        <v>138</v>
      </c>
      <c r="BM553" s="34">
        <v>41974</v>
      </c>
      <c r="BN553" s="29" t="s">
        <v>138</v>
      </c>
      <c r="BO553" s="28" t="s">
        <v>138</v>
      </c>
      <c r="BP553" s="29" t="s">
        <v>138</v>
      </c>
      <c r="BQ553" s="28" t="s">
        <v>138</v>
      </c>
      <c r="BR553" s="28" t="s">
        <v>234</v>
      </c>
      <c r="BS553" s="28" t="s">
        <v>234</v>
      </c>
      <c r="BT553" s="28" t="s">
        <v>138</v>
      </c>
      <c r="BU553" s="28" t="s">
        <v>174</v>
      </c>
      <c r="BV553" s="28" t="s">
        <v>138</v>
      </c>
      <c r="BW553" s="28" t="s">
        <v>138</v>
      </c>
      <c r="BX553" s="28" t="s">
        <v>138</v>
      </c>
      <c r="BY553" s="28" t="s">
        <v>175</v>
      </c>
      <c r="BZ553" s="34">
        <v>42696</v>
      </c>
      <c r="CA553" s="29">
        <v>3.5</v>
      </c>
      <c r="CB553" s="28" t="s">
        <v>172</v>
      </c>
      <c r="CC553" s="29" t="s">
        <v>138</v>
      </c>
      <c r="CD553" s="28" t="s">
        <v>138</v>
      </c>
      <c r="CE553" s="28" t="s">
        <v>205</v>
      </c>
      <c r="CF553" s="28" t="s">
        <v>206</v>
      </c>
      <c r="CG553" s="28" t="s">
        <v>138</v>
      </c>
      <c r="CH553" s="28" t="s">
        <v>174</v>
      </c>
      <c r="CI553" s="28" t="s">
        <v>138</v>
      </c>
      <c r="CJ553" s="28" t="s">
        <v>138</v>
      </c>
      <c r="CK553" s="28" t="s">
        <v>138</v>
      </c>
      <c r="CL553" s="28" t="s">
        <v>175</v>
      </c>
      <c r="CM553" s="34" t="s">
        <v>138</v>
      </c>
      <c r="CN553" s="29" t="s">
        <v>138</v>
      </c>
      <c r="CO553" s="35">
        <v>-0.42</v>
      </c>
      <c r="CP553" s="36">
        <v>17</v>
      </c>
      <c r="CQ553" s="35">
        <v>0.02</v>
      </c>
      <c r="CR553" s="35">
        <v>3.83</v>
      </c>
      <c r="CS553" s="35">
        <v>-0.82</v>
      </c>
      <c r="CT553" s="36">
        <v>17</v>
      </c>
      <c r="CU553" s="35">
        <v>-0.02</v>
      </c>
      <c r="CV553" s="36">
        <v>17</v>
      </c>
      <c r="CW553" s="35">
        <v>0</v>
      </c>
      <c r="CX553" s="36">
        <v>13</v>
      </c>
      <c r="CY553" s="35">
        <v>-1.64</v>
      </c>
      <c r="CZ553" s="36">
        <v>14</v>
      </c>
      <c r="DA553" s="35">
        <v>-0.03</v>
      </c>
      <c r="DB553" s="36">
        <v>17</v>
      </c>
      <c r="DC553" s="37">
        <v>3.72</v>
      </c>
      <c r="DD553" s="36">
        <v>78</v>
      </c>
      <c r="DE553" s="37">
        <v>-7.0000000000000007E-2</v>
      </c>
      <c r="DF553" s="35">
        <v>-1.97</v>
      </c>
      <c r="DG553" s="37">
        <v>3.78</v>
      </c>
      <c r="DH553" s="36">
        <v>78</v>
      </c>
      <c r="DI553" s="37">
        <v>3.67</v>
      </c>
      <c r="DJ553" s="36">
        <v>73</v>
      </c>
      <c r="DK553" s="37">
        <v>2.69</v>
      </c>
      <c r="DL553" s="36">
        <v>70</v>
      </c>
      <c r="DM553" s="37">
        <v>4.8600000000000003</v>
      </c>
      <c r="DN553" s="36">
        <v>81</v>
      </c>
      <c r="DO553" s="37">
        <v>3.4</v>
      </c>
      <c r="DP553" s="36">
        <v>73</v>
      </c>
      <c r="DQ553" s="36">
        <v>924</v>
      </c>
      <c r="DR553" s="38">
        <v>-5</v>
      </c>
      <c r="DS553" s="35">
        <v>-0.54</v>
      </c>
      <c r="DT553" s="36">
        <v>140</v>
      </c>
      <c r="DU553" s="38">
        <v>0</v>
      </c>
      <c r="DV553" s="35">
        <v>0</v>
      </c>
      <c r="DW553" s="36">
        <v>1218</v>
      </c>
      <c r="DX553" s="39">
        <v>0</v>
      </c>
      <c r="DY553" s="35">
        <v>0</v>
      </c>
      <c r="DZ553" s="28" t="s">
        <v>178</v>
      </c>
      <c r="EA553" s="34">
        <v>43351</v>
      </c>
      <c r="EB553" s="29" t="s">
        <v>138</v>
      </c>
      <c r="EC553" s="34" t="s">
        <v>138</v>
      </c>
      <c r="ED553" s="28" t="s">
        <v>138</v>
      </c>
      <c r="EE553" s="40" t="str">
        <f>HYPERLINK("https://my.pitchbook.com?c=117170-47", "View company online")</f>
        <v>View company online</v>
      </c>
    </row>
    <row r="554" spans="1:135">
      <c r="A554" s="15" t="s">
        <v>11302</v>
      </c>
      <c r="B554" s="15" t="s">
        <v>11303</v>
      </c>
      <c r="C554" s="15" t="s">
        <v>138</v>
      </c>
      <c r="D554" s="15" t="s">
        <v>138</v>
      </c>
      <c r="E554" s="15" t="s">
        <v>11304</v>
      </c>
      <c r="F554" s="15" t="s">
        <v>11302</v>
      </c>
      <c r="G554" s="15" t="s">
        <v>11305</v>
      </c>
      <c r="H554" s="15" t="s">
        <v>141</v>
      </c>
      <c r="I554" s="15" t="s">
        <v>212</v>
      </c>
      <c r="J554" s="15" t="s">
        <v>11306</v>
      </c>
      <c r="K554" s="15" t="s">
        <v>11307</v>
      </c>
      <c r="L554" s="15" t="s">
        <v>1104</v>
      </c>
      <c r="M554" s="15" t="s">
        <v>11308</v>
      </c>
      <c r="N554" s="15" t="s">
        <v>147</v>
      </c>
      <c r="O554" s="17">
        <v>1.36</v>
      </c>
      <c r="P554" s="15" t="s">
        <v>148</v>
      </c>
      <c r="Q554" s="15" t="s">
        <v>149</v>
      </c>
      <c r="R554" s="15" t="s">
        <v>174</v>
      </c>
      <c r="S554" s="15" t="s">
        <v>11309</v>
      </c>
      <c r="T554" s="18">
        <v>9</v>
      </c>
      <c r="U554" s="15" t="s">
        <v>4748</v>
      </c>
      <c r="V554" s="15" t="s">
        <v>138</v>
      </c>
      <c r="W554" s="15" t="s">
        <v>138</v>
      </c>
      <c r="X554" s="19">
        <v>2013</v>
      </c>
      <c r="Y554" s="15" t="s">
        <v>138</v>
      </c>
      <c r="Z554" s="15" t="s">
        <v>138</v>
      </c>
      <c r="AA554" s="15" t="s">
        <v>138</v>
      </c>
      <c r="AB554" s="20">
        <v>0.03</v>
      </c>
      <c r="AC554" s="20" t="s">
        <v>138</v>
      </c>
      <c r="AD554" s="20" t="s">
        <v>138</v>
      </c>
      <c r="AE554" s="20" t="s">
        <v>138</v>
      </c>
      <c r="AF554" s="20" t="s">
        <v>138</v>
      </c>
      <c r="AG554" s="15" t="s">
        <v>514</v>
      </c>
      <c r="AH554" s="20" t="s">
        <v>138</v>
      </c>
      <c r="AI554" s="20" t="s">
        <v>138</v>
      </c>
      <c r="AJ554" s="20" t="s">
        <v>138</v>
      </c>
      <c r="AK554" s="15" t="s">
        <v>11310</v>
      </c>
      <c r="AL554" s="15" t="s">
        <v>11311</v>
      </c>
      <c r="AM554" s="15" t="s">
        <v>11312</v>
      </c>
      <c r="AN554" s="15" t="s">
        <v>11313</v>
      </c>
      <c r="AO554" s="15" t="s">
        <v>11314</v>
      </c>
      <c r="AP554" s="15" t="s">
        <v>941</v>
      </c>
      <c r="AQ554" s="15" t="s">
        <v>11315</v>
      </c>
      <c r="AR554" s="15" t="s">
        <v>138</v>
      </c>
      <c r="AS554" s="15" t="s">
        <v>944</v>
      </c>
      <c r="AT554" s="15" t="s">
        <v>138</v>
      </c>
      <c r="AU554" s="15" t="s">
        <v>11316</v>
      </c>
      <c r="AV554" s="15" t="s">
        <v>946</v>
      </c>
      <c r="AW554" s="15" t="s">
        <v>11314</v>
      </c>
      <c r="AX554" s="15" t="s">
        <v>11317</v>
      </c>
      <c r="AY554" s="15" t="s">
        <v>11318</v>
      </c>
      <c r="AZ554" s="15" t="s">
        <v>530</v>
      </c>
      <c r="BA554" s="15" t="s">
        <v>531</v>
      </c>
      <c r="BB554" s="15" t="s">
        <v>11319</v>
      </c>
      <c r="BC554" s="15" t="s">
        <v>11320</v>
      </c>
      <c r="BD554" s="21">
        <v>4</v>
      </c>
      <c r="BE554" s="15" t="s">
        <v>138</v>
      </c>
      <c r="BF554" s="15" t="s">
        <v>138</v>
      </c>
      <c r="BG554" s="15" t="s">
        <v>138</v>
      </c>
      <c r="BH554" s="15" t="s">
        <v>11321</v>
      </c>
      <c r="BI554" s="15" t="s">
        <v>138</v>
      </c>
      <c r="BJ554" s="15" t="s">
        <v>138</v>
      </c>
      <c r="BK554" s="15" t="s">
        <v>11322</v>
      </c>
      <c r="BL554" s="15" t="s">
        <v>138</v>
      </c>
      <c r="BM554" s="22">
        <v>41435</v>
      </c>
      <c r="BN554" s="17" t="s">
        <v>138</v>
      </c>
      <c r="BO554" s="15" t="s">
        <v>138</v>
      </c>
      <c r="BP554" s="17" t="s">
        <v>138</v>
      </c>
      <c r="BQ554" s="15" t="s">
        <v>138</v>
      </c>
      <c r="BR554" s="15" t="s">
        <v>234</v>
      </c>
      <c r="BS554" s="15" t="s">
        <v>234</v>
      </c>
      <c r="BT554" s="15" t="s">
        <v>138</v>
      </c>
      <c r="BU554" s="15" t="s">
        <v>174</v>
      </c>
      <c r="BV554" s="15" t="s">
        <v>138</v>
      </c>
      <c r="BW554" s="15" t="s">
        <v>138</v>
      </c>
      <c r="BX554" s="15" t="s">
        <v>138</v>
      </c>
      <c r="BY554" s="15" t="s">
        <v>175</v>
      </c>
      <c r="BZ554" s="22">
        <v>42152</v>
      </c>
      <c r="CA554" s="17" t="s">
        <v>138</v>
      </c>
      <c r="CB554" s="15" t="s">
        <v>138</v>
      </c>
      <c r="CC554" s="17" t="s">
        <v>138</v>
      </c>
      <c r="CD554" s="15" t="s">
        <v>138</v>
      </c>
      <c r="CE554" s="15" t="s">
        <v>205</v>
      </c>
      <c r="CF554" s="15" t="s">
        <v>138</v>
      </c>
      <c r="CG554" s="15" t="s">
        <v>138</v>
      </c>
      <c r="CH554" s="15" t="s">
        <v>174</v>
      </c>
      <c r="CI554" s="15" t="s">
        <v>138</v>
      </c>
      <c r="CJ554" s="15" t="s">
        <v>138</v>
      </c>
      <c r="CK554" s="15" t="s">
        <v>138</v>
      </c>
      <c r="CL554" s="15" t="s">
        <v>175</v>
      </c>
      <c r="CM554" s="22" t="s">
        <v>138</v>
      </c>
      <c r="CN554" s="17" t="s">
        <v>138</v>
      </c>
      <c r="CO554" s="23">
        <v>-0.05</v>
      </c>
      <c r="CP554" s="24">
        <v>22</v>
      </c>
      <c r="CQ554" s="23">
        <v>-0.05</v>
      </c>
      <c r="CR554" s="23">
        <v>-1564.81</v>
      </c>
      <c r="CS554" s="23">
        <v>-0.38</v>
      </c>
      <c r="CT554" s="24">
        <v>20</v>
      </c>
      <c r="CU554" s="23">
        <v>0.27</v>
      </c>
      <c r="CV554" s="24">
        <v>86</v>
      </c>
      <c r="CW554" s="23" t="s">
        <v>138</v>
      </c>
      <c r="CX554" s="24" t="s">
        <v>138</v>
      </c>
      <c r="CY554" s="23">
        <v>-0.38</v>
      </c>
      <c r="CZ554" s="24">
        <v>23</v>
      </c>
      <c r="DA554" s="23">
        <v>0.27</v>
      </c>
      <c r="DB554" s="24">
        <v>87</v>
      </c>
      <c r="DC554" s="25">
        <v>2.58</v>
      </c>
      <c r="DD554" s="24">
        <v>72</v>
      </c>
      <c r="DE554" s="25">
        <v>0.03</v>
      </c>
      <c r="DF554" s="23">
        <v>1.38</v>
      </c>
      <c r="DG554" s="25">
        <v>4.4800000000000004</v>
      </c>
      <c r="DH554" s="24">
        <v>81</v>
      </c>
      <c r="DI554" s="25">
        <v>0.67</v>
      </c>
      <c r="DJ554" s="24">
        <v>42</v>
      </c>
      <c r="DK554" s="25" t="s">
        <v>138</v>
      </c>
      <c r="DL554" s="24" t="s">
        <v>138</v>
      </c>
      <c r="DM554" s="25">
        <v>4.4800000000000004</v>
      </c>
      <c r="DN554" s="24">
        <v>80</v>
      </c>
      <c r="DO554" s="25">
        <v>0.67</v>
      </c>
      <c r="DP554" s="24">
        <v>43</v>
      </c>
      <c r="DQ554" s="24" t="s">
        <v>138</v>
      </c>
      <c r="DR554" s="26" t="s">
        <v>138</v>
      </c>
      <c r="DS554" s="23" t="s">
        <v>138</v>
      </c>
      <c r="DT554" s="24">
        <v>129</v>
      </c>
      <c r="DU554" s="26">
        <v>1</v>
      </c>
      <c r="DV554" s="23">
        <v>0.78</v>
      </c>
      <c r="DW554" s="24">
        <v>239</v>
      </c>
      <c r="DX554" s="27">
        <v>-1</v>
      </c>
      <c r="DY554" s="23">
        <v>-0.42</v>
      </c>
      <c r="DZ554" s="15" t="s">
        <v>178</v>
      </c>
      <c r="EA554" s="22">
        <v>43622</v>
      </c>
      <c r="EB554" s="17" t="s">
        <v>138</v>
      </c>
      <c r="EC554" s="22" t="s">
        <v>138</v>
      </c>
      <c r="ED554" s="15" t="s">
        <v>138</v>
      </c>
      <c r="EE554" s="14" t="str">
        <f>HYPERLINK("https://my.pitchbook.com?c=64307-17", "View company online")</f>
        <v>View company online</v>
      </c>
    </row>
    <row r="555" spans="1:135">
      <c r="A555" s="28" t="s">
        <v>11323</v>
      </c>
      <c r="B555" s="28" t="s">
        <v>11324</v>
      </c>
      <c r="C555" s="28" t="s">
        <v>11325</v>
      </c>
      <c r="D555" s="28" t="s">
        <v>138</v>
      </c>
      <c r="E555" s="28" t="s">
        <v>11326</v>
      </c>
      <c r="F555" s="28" t="s">
        <v>11323</v>
      </c>
      <c r="G555" s="28" t="s">
        <v>11327</v>
      </c>
      <c r="H555" s="28" t="s">
        <v>238</v>
      </c>
      <c r="I555" s="28" t="s">
        <v>1351</v>
      </c>
      <c r="J555" s="28" t="s">
        <v>1352</v>
      </c>
      <c r="K555" s="28" t="s">
        <v>11328</v>
      </c>
      <c r="L555" s="28" t="s">
        <v>415</v>
      </c>
      <c r="M555" s="28" t="s">
        <v>11329</v>
      </c>
      <c r="N555" s="28" t="s">
        <v>147</v>
      </c>
      <c r="O555" s="29">
        <v>38.24</v>
      </c>
      <c r="P555" s="28" t="s">
        <v>148</v>
      </c>
      <c r="Q555" s="28" t="s">
        <v>149</v>
      </c>
      <c r="R555" s="28" t="s">
        <v>174</v>
      </c>
      <c r="S555" s="28" t="s">
        <v>11330</v>
      </c>
      <c r="T555" s="30">
        <v>21</v>
      </c>
      <c r="U555" s="28" t="s">
        <v>11331</v>
      </c>
      <c r="V555" s="28" t="s">
        <v>138</v>
      </c>
      <c r="W555" s="28" t="s">
        <v>138</v>
      </c>
      <c r="X555" s="31">
        <v>2015</v>
      </c>
      <c r="Y555" s="28" t="s">
        <v>138</v>
      </c>
      <c r="Z555" s="28" t="s">
        <v>138</v>
      </c>
      <c r="AA555" s="28" t="s">
        <v>138</v>
      </c>
      <c r="AB555" s="32" t="s">
        <v>138</v>
      </c>
      <c r="AC555" s="32" t="s">
        <v>138</v>
      </c>
      <c r="AD555" s="32" t="s">
        <v>138</v>
      </c>
      <c r="AE555" s="32" t="s">
        <v>138</v>
      </c>
      <c r="AF555" s="32" t="s">
        <v>138</v>
      </c>
      <c r="AG555" s="28" t="s">
        <v>138</v>
      </c>
      <c r="AH555" s="32" t="s">
        <v>138</v>
      </c>
      <c r="AI555" s="32" t="s">
        <v>138</v>
      </c>
      <c r="AJ555" s="32" t="s">
        <v>138</v>
      </c>
      <c r="AK555" s="28" t="s">
        <v>11332</v>
      </c>
      <c r="AL555" s="28" t="s">
        <v>11333</v>
      </c>
      <c r="AM555" s="28" t="s">
        <v>221</v>
      </c>
      <c r="AN555" s="28" t="s">
        <v>11334</v>
      </c>
      <c r="AO555" s="28" t="s">
        <v>138</v>
      </c>
      <c r="AP555" s="28" t="s">
        <v>665</v>
      </c>
      <c r="AQ555" s="28" t="s">
        <v>11335</v>
      </c>
      <c r="AR555" s="28" t="s">
        <v>138</v>
      </c>
      <c r="AS555" s="28" t="s">
        <v>668</v>
      </c>
      <c r="AT555" s="28" t="s">
        <v>200</v>
      </c>
      <c r="AU555" s="28" t="s">
        <v>3557</v>
      </c>
      <c r="AV555" s="28" t="s">
        <v>162</v>
      </c>
      <c r="AW555" s="28" t="s">
        <v>138</v>
      </c>
      <c r="AX555" s="28" t="s">
        <v>138</v>
      </c>
      <c r="AY555" s="28" t="s">
        <v>11336</v>
      </c>
      <c r="AZ555" s="28" t="s">
        <v>164</v>
      </c>
      <c r="BA555" s="28" t="s">
        <v>165</v>
      </c>
      <c r="BB555" s="28" t="s">
        <v>11337</v>
      </c>
      <c r="BC555" s="28" t="s">
        <v>11338</v>
      </c>
      <c r="BD555" s="33">
        <v>12</v>
      </c>
      <c r="BE555" s="28" t="s">
        <v>138</v>
      </c>
      <c r="BF555" s="28" t="s">
        <v>138</v>
      </c>
      <c r="BG555" s="28" t="s">
        <v>138</v>
      </c>
      <c r="BH555" s="28" t="s">
        <v>11339</v>
      </c>
      <c r="BI555" s="28" t="s">
        <v>138</v>
      </c>
      <c r="BJ555" s="28" t="s">
        <v>138</v>
      </c>
      <c r="BK555" s="28" t="s">
        <v>3826</v>
      </c>
      <c r="BL555" s="28" t="s">
        <v>3826</v>
      </c>
      <c r="BM555" s="34">
        <v>42309</v>
      </c>
      <c r="BN555" s="29" t="s">
        <v>138</v>
      </c>
      <c r="BO555" s="28" t="s">
        <v>138</v>
      </c>
      <c r="BP555" s="29" t="s">
        <v>138</v>
      </c>
      <c r="BQ555" s="28" t="s">
        <v>138</v>
      </c>
      <c r="BR555" s="28" t="s">
        <v>262</v>
      </c>
      <c r="BS555" s="28" t="s">
        <v>262</v>
      </c>
      <c r="BT555" s="28" t="s">
        <v>138</v>
      </c>
      <c r="BU555" s="28" t="s">
        <v>263</v>
      </c>
      <c r="BV555" s="28" t="s">
        <v>138</v>
      </c>
      <c r="BW555" s="28" t="s">
        <v>138</v>
      </c>
      <c r="BX555" s="28" t="s">
        <v>138</v>
      </c>
      <c r="BY555" s="28" t="s">
        <v>175</v>
      </c>
      <c r="BZ555" s="34">
        <v>43410</v>
      </c>
      <c r="CA555" s="29">
        <v>20.25</v>
      </c>
      <c r="CB555" s="28" t="s">
        <v>172</v>
      </c>
      <c r="CC555" s="29">
        <v>120.25</v>
      </c>
      <c r="CD555" s="28" t="s">
        <v>172</v>
      </c>
      <c r="CE555" s="28" t="s">
        <v>205</v>
      </c>
      <c r="CF555" s="28" t="s">
        <v>720</v>
      </c>
      <c r="CG555" s="28" t="s">
        <v>138</v>
      </c>
      <c r="CH555" s="28" t="s">
        <v>174</v>
      </c>
      <c r="CI555" s="28" t="s">
        <v>138</v>
      </c>
      <c r="CJ555" s="28" t="s">
        <v>138</v>
      </c>
      <c r="CK555" s="28" t="s">
        <v>138</v>
      </c>
      <c r="CL555" s="28" t="s">
        <v>175</v>
      </c>
      <c r="CM555" s="34" t="s">
        <v>138</v>
      </c>
      <c r="CN555" s="29" t="s">
        <v>138</v>
      </c>
      <c r="CO555" s="35">
        <v>-0.43</v>
      </c>
      <c r="CP555" s="36">
        <v>17</v>
      </c>
      <c r="CQ555" s="35">
        <v>0.01</v>
      </c>
      <c r="CR555" s="35">
        <v>2.59</v>
      </c>
      <c r="CS555" s="35">
        <v>-1.23</v>
      </c>
      <c r="CT555" s="36">
        <v>13</v>
      </c>
      <c r="CU555" s="35">
        <v>0.36</v>
      </c>
      <c r="CV555" s="36">
        <v>90</v>
      </c>
      <c r="CW555" s="35">
        <v>-1.23</v>
      </c>
      <c r="CX555" s="36">
        <v>9</v>
      </c>
      <c r="CY555" s="35" t="s">
        <v>138</v>
      </c>
      <c r="CZ555" s="36" t="s">
        <v>138</v>
      </c>
      <c r="DA555" s="35">
        <v>0.5</v>
      </c>
      <c r="DB555" s="36">
        <v>94</v>
      </c>
      <c r="DC555" s="37">
        <v>71.77</v>
      </c>
      <c r="DD555" s="36">
        <v>99</v>
      </c>
      <c r="DE555" s="37">
        <v>-8.84</v>
      </c>
      <c r="DF555" s="35">
        <v>-10.96</v>
      </c>
      <c r="DG555" s="37">
        <v>137.85</v>
      </c>
      <c r="DH555" s="36">
        <v>100</v>
      </c>
      <c r="DI555" s="37">
        <v>5.69</v>
      </c>
      <c r="DJ555" s="36">
        <v>79</v>
      </c>
      <c r="DK555" s="37">
        <v>137.85</v>
      </c>
      <c r="DL555" s="36">
        <v>98</v>
      </c>
      <c r="DM555" s="37" t="s">
        <v>138</v>
      </c>
      <c r="DN555" s="36" t="s">
        <v>138</v>
      </c>
      <c r="DO555" s="37">
        <v>2.99</v>
      </c>
      <c r="DP555" s="36">
        <v>71</v>
      </c>
      <c r="DQ555" s="36">
        <v>47910</v>
      </c>
      <c r="DR555" s="38">
        <v>-1878</v>
      </c>
      <c r="DS555" s="35">
        <v>-3.77</v>
      </c>
      <c r="DT555" s="36" t="s">
        <v>138</v>
      </c>
      <c r="DU555" s="38" t="s">
        <v>138</v>
      </c>
      <c r="DV555" s="35" t="s">
        <v>138</v>
      </c>
      <c r="DW555" s="36">
        <v>1067</v>
      </c>
      <c r="DX555" s="39">
        <v>6</v>
      </c>
      <c r="DY555" s="35">
        <v>0.56999999999999995</v>
      </c>
      <c r="DZ555" s="28" t="s">
        <v>178</v>
      </c>
      <c r="EA555" s="34">
        <v>43475</v>
      </c>
      <c r="EB555" s="29">
        <v>120.25</v>
      </c>
      <c r="EC555" s="34">
        <v>43410</v>
      </c>
      <c r="ED555" s="28" t="s">
        <v>205</v>
      </c>
      <c r="EE555" s="40" t="str">
        <f>HYPERLINK("https://my.pitchbook.com?c=155181-43", "View company online")</f>
        <v>View company online</v>
      </c>
    </row>
    <row r="556" spans="1:135">
      <c r="A556" s="15" t="s">
        <v>11340</v>
      </c>
      <c r="B556" s="15" t="s">
        <v>11341</v>
      </c>
      <c r="C556" s="15" t="s">
        <v>138</v>
      </c>
      <c r="D556" s="15" t="s">
        <v>138</v>
      </c>
      <c r="E556" s="15" t="s">
        <v>138</v>
      </c>
      <c r="F556" s="15" t="s">
        <v>11340</v>
      </c>
      <c r="G556" s="15" t="s">
        <v>11342</v>
      </c>
      <c r="H556" s="15" t="s">
        <v>322</v>
      </c>
      <c r="I556" s="15" t="s">
        <v>323</v>
      </c>
      <c r="J556" s="15" t="s">
        <v>954</v>
      </c>
      <c r="K556" s="15" t="s">
        <v>11343</v>
      </c>
      <c r="L556" s="15" t="s">
        <v>657</v>
      </c>
      <c r="M556" s="15" t="s">
        <v>11344</v>
      </c>
      <c r="N556" s="15" t="s">
        <v>147</v>
      </c>
      <c r="O556" s="17">
        <v>3.62</v>
      </c>
      <c r="P556" s="15" t="s">
        <v>148</v>
      </c>
      <c r="Q556" s="15" t="s">
        <v>149</v>
      </c>
      <c r="R556" s="15" t="s">
        <v>174</v>
      </c>
      <c r="S556" s="15" t="s">
        <v>11345</v>
      </c>
      <c r="T556" s="18">
        <v>7</v>
      </c>
      <c r="U556" s="15" t="s">
        <v>11346</v>
      </c>
      <c r="V556" s="15" t="s">
        <v>138</v>
      </c>
      <c r="W556" s="15" t="s">
        <v>138</v>
      </c>
      <c r="X556" s="19">
        <v>2017</v>
      </c>
      <c r="Y556" s="15" t="s">
        <v>138</v>
      </c>
      <c r="Z556" s="15" t="s">
        <v>138</v>
      </c>
      <c r="AA556" s="15" t="s">
        <v>138</v>
      </c>
      <c r="AB556" s="20" t="s">
        <v>138</v>
      </c>
      <c r="AC556" s="20" t="s">
        <v>138</v>
      </c>
      <c r="AD556" s="20" t="s">
        <v>138</v>
      </c>
      <c r="AE556" s="20" t="s">
        <v>138</v>
      </c>
      <c r="AF556" s="20" t="s">
        <v>138</v>
      </c>
      <c r="AG556" s="15" t="s">
        <v>138</v>
      </c>
      <c r="AH556" s="20" t="s">
        <v>138</v>
      </c>
      <c r="AI556" s="20" t="s">
        <v>138</v>
      </c>
      <c r="AJ556" s="20" t="s">
        <v>138</v>
      </c>
      <c r="AK556" s="15" t="s">
        <v>11347</v>
      </c>
      <c r="AL556" s="15" t="s">
        <v>11348</v>
      </c>
      <c r="AM556" s="15" t="s">
        <v>986</v>
      </c>
      <c r="AN556" s="15" t="s">
        <v>11349</v>
      </c>
      <c r="AO556" s="15" t="s">
        <v>11350</v>
      </c>
      <c r="AP556" s="15" t="s">
        <v>11351</v>
      </c>
      <c r="AQ556" s="15" t="s">
        <v>11352</v>
      </c>
      <c r="AR556" s="15" t="s">
        <v>11353</v>
      </c>
      <c r="AS556" s="15" t="s">
        <v>11354</v>
      </c>
      <c r="AT556" s="15" t="s">
        <v>138</v>
      </c>
      <c r="AU556" s="15" t="s">
        <v>11355</v>
      </c>
      <c r="AV556" s="15" t="s">
        <v>1416</v>
      </c>
      <c r="AW556" s="15" t="s">
        <v>11350</v>
      </c>
      <c r="AX556" s="15" t="s">
        <v>138</v>
      </c>
      <c r="AY556" s="15" t="s">
        <v>11356</v>
      </c>
      <c r="AZ556" s="15" t="s">
        <v>164</v>
      </c>
      <c r="BA556" s="15" t="s">
        <v>165</v>
      </c>
      <c r="BB556" s="15" t="s">
        <v>11357</v>
      </c>
      <c r="BC556" s="15" t="s">
        <v>11358</v>
      </c>
      <c r="BD556" s="21">
        <v>8</v>
      </c>
      <c r="BE556" s="15" t="s">
        <v>138</v>
      </c>
      <c r="BF556" s="15" t="s">
        <v>138</v>
      </c>
      <c r="BG556" s="15" t="s">
        <v>138</v>
      </c>
      <c r="BH556" s="15" t="s">
        <v>11359</v>
      </c>
      <c r="BI556" s="15" t="s">
        <v>138</v>
      </c>
      <c r="BJ556" s="15" t="s">
        <v>138</v>
      </c>
      <c r="BK556" s="15" t="s">
        <v>138</v>
      </c>
      <c r="BL556" s="15" t="s">
        <v>138</v>
      </c>
      <c r="BM556" s="22">
        <v>43178</v>
      </c>
      <c r="BN556" s="17">
        <v>0.12</v>
      </c>
      <c r="BO556" s="15" t="s">
        <v>172</v>
      </c>
      <c r="BP556" s="17">
        <v>1.71</v>
      </c>
      <c r="BQ556" s="15" t="s">
        <v>172</v>
      </c>
      <c r="BR556" s="15" t="s">
        <v>316</v>
      </c>
      <c r="BS556" s="15" t="s">
        <v>138</v>
      </c>
      <c r="BT556" s="15" t="s">
        <v>138</v>
      </c>
      <c r="BU556" s="15" t="s">
        <v>177</v>
      </c>
      <c r="BV556" s="15" t="s">
        <v>138</v>
      </c>
      <c r="BW556" s="15" t="s">
        <v>138</v>
      </c>
      <c r="BX556" s="15" t="s">
        <v>138</v>
      </c>
      <c r="BY556" s="15" t="s">
        <v>175</v>
      </c>
      <c r="BZ556" s="22" t="s">
        <v>138</v>
      </c>
      <c r="CA556" s="17" t="s">
        <v>138</v>
      </c>
      <c r="CB556" s="15" t="s">
        <v>138</v>
      </c>
      <c r="CC556" s="17" t="s">
        <v>138</v>
      </c>
      <c r="CD556" s="15" t="s">
        <v>138</v>
      </c>
      <c r="CE556" s="15" t="s">
        <v>205</v>
      </c>
      <c r="CF556" s="15" t="s">
        <v>138</v>
      </c>
      <c r="CG556" s="15" t="s">
        <v>138</v>
      </c>
      <c r="CH556" s="15" t="s">
        <v>174</v>
      </c>
      <c r="CI556" s="15" t="s">
        <v>138</v>
      </c>
      <c r="CJ556" s="15" t="s">
        <v>138</v>
      </c>
      <c r="CK556" s="15" t="s">
        <v>138</v>
      </c>
      <c r="CL556" s="15" t="s">
        <v>175</v>
      </c>
      <c r="CM556" s="22" t="s">
        <v>138</v>
      </c>
      <c r="CN556" s="17" t="s">
        <v>138</v>
      </c>
      <c r="CO556" s="23">
        <v>0.34</v>
      </c>
      <c r="CP556" s="24">
        <v>94</v>
      </c>
      <c r="CQ556" s="23">
        <v>-0.01</v>
      </c>
      <c r="CR556" s="23">
        <v>-3.32</v>
      </c>
      <c r="CS556" s="23">
        <v>0</v>
      </c>
      <c r="CT556" s="24">
        <v>23</v>
      </c>
      <c r="CU556" s="23">
        <v>0.69</v>
      </c>
      <c r="CV556" s="24">
        <v>96</v>
      </c>
      <c r="CW556" s="23">
        <v>0</v>
      </c>
      <c r="CX556" s="24">
        <v>13</v>
      </c>
      <c r="CY556" s="23">
        <v>0</v>
      </c>
      <c r="CZ556" s="24">
        <v>25</v>
      </c>
      <c r="DA556" s="23">
        <v>0.66</v>
      </c>
      <c r="DB556" s="24">
        <v>96</v>
      </c>
      <c r="DC556" s="25">
        <v>1.36</v>
      </c>
      <c r="DD556" s="24">
        <v>58</v>
      </c>
      <c r="DE556" s="25">
        <v>-0.08</v>
      </c>
      <c r="DF556" s="23">
        <v>-5.56</v>
      </c>
      <c r="DG556" s="25">
        <v>1.46</v>
      </c>
      <c r="DH556" s="24">
        <v>60</v>
      </c>
      <c r="DI556" s="25">
        <v>1.27</v>
      </c>
      <c r="DJ556" s="24">
        <v>54</v>
      </c>
      <c r="DK556" s="25">
        <v>2.57</v>
      </c>
      <c r="DL556" s="24">
        <v>69</v>
      </c>
      <c r="DM556" s="25">
        <v>0.34</v>
      </c>
      <c r="DN556" s="24">
        <v>26</v>
      </c>
      <c r="DO556" s="25">
        <v>0.83</v>
      </c>
      <c r="DP556" s="24">
        <v>47</v>
      </c>
      <c r="DQ556" s="24">
        <v>887</v>
      </c>
      <c r="DR556" s="26">
        <v>-18</v>
      </c>
      <c r="DS556" s="23">
        <v>-1.99</v>
      </c>
      <c r="DT556" s="24">
        <v>10</v>
      </c>
      <c r="DU556" s="26">
        <v>1</v>
      </c>
      <c r="DV556" s="23">
        <v>11.11</v>
      </c>
      <c r="DW556" s="24">
        <v>295</v>
      </c>
      <c r="DX556" s="27">
        <v>1</v>
      </c>
      <c r="DY556" s="23">
        <v>0.34</v>
      </c>
      <c r="DZ556" s="15" t="s">
        <v>178</v>
      </c>
      <c r="EA556" s="22">
        <v>43558</v>
      </c>
      <c r="EB556" s="17">
        <v>1.71</v>
      </c>
      <c r="EC556" s="22">
        <v>43178</v>
      </c>
      <c r="ED556" s="15" t="s">
        <v>316</v>
      </c>
      <c r="EE556" s="14" t="str">
        <f>HYPERLINK("https://my.pitchbook.com?c=226884-79", "View company online")</f>
        <v>View company online</v>
      </c>
    </row>
    <row r="557" spans="1:135">
      <c r="A557" s="28" t="s">
        <v>11360</v>
      </c>
      <c r="B557" s="28" t="s">
        <v>11361</v>
      </c>
      <c r="C557" s="28" t="s">
        <v>138</v>
      </c>
      <c r="D557" s="28" t="s">
        <v>11362</v>
      </c>
      <c r="E557" s="28" t="s">
        <v>11363</v>
      </c>
      <c r="F557" s="28" t="s">
        <v>11360</v>
      </c>
      <c r="G557" s="28" t="s">
        <v>11364</v>
      </c>
      <c r="H557" s="28" t="s">
        <v>322</v>
      </c>
      <c r="I557" s="28" t="s">
        <v>323</v>
      </c>
      <c r="J557" s="28" t="s">
        <v>1132</v>
      </c>
      <c r="K557" s="28" t="s">
        <v>11365</v>
      </c>
      <c r="L557" s="28" t="s">
        <v>1134</v>
      </c>
      <c r="M557" s="28" t="s">
        <v>11366</v>
      </c>
      <c r="N557" s="28" t="s">
        <v>147</v>
      </c>
      <c r="O557" s="29">
        <v>6.01</v>
      </c>
      <c r="P557" s="28" t="s">
        <v>148</v>
      </c>
      <c r="Q557" s="28" t="s">
        <v>149</v>
      </c>
      <c r="R557" s="28" t="s">
        <v>174</v>
      </c>
      <c r="S557" s="28" t="s">
        <v>11367</v>
      </c>
      <c r="T557" s="30">
        <v>13</v>
      </c>
      <c r="U557" s="28" t="s">
        <v>11368</v>
      </c>
      <c r="V557" s="28" t="s">
        <v>138</v>
      </c>
      <c r="W557" s="28" t="s">
        <v>138</v>
      </c>
      <c r="X557" s="31">
        <v>2013</v>
      </c>
      <c r="Y557" s="28" t="s">
        <v>138</v>
      </c>
      <c r="Z557" s="28" t="s">
        <v>138</v>
      </c>
      <c r="AA557" s="28" t="s">
        <v>138</v>
      </c>
      <c r="AB557" s="32" t="s">
        <v>138</v>
      </c>
      <c r="AC557" s="32" t="s">
        <v>138</v>
      </c>
      <c r="AD557" s="32" t="s">
        <v>138</v>
      </c>
      <c r="AE557" s="32" t="s">
        <v>138</v>
      </c>
      <c r="AF557" s="32" t="s">
        <v>138</v>
      </c>
      <c r="AG557" s="28" t="s">
        <v>138</v>
      </c>
      <c r="AH557" s="32" t="s">
        <v>138</v>
      </c>
      <c r="AI557" s="32" t="s">
        <v>138</v>
      </c>
      <c r="AJ557" s="32" t="s">
        <v>138</v>
      </c>
      <c r="AK557" s="28" t="s">
        <v>11369</v>
      </c>
      <c r="AL557" s="28" t="s">
        <v>11370</v>
      </c>
      <c r="AM557" s="28" t="s">
        <v>11371</v>
      </c>
      <c r="AN557" s="28" t="s">
        <v>11372</v>
      </c>
      <c r="AO557" s="28" t="s">
        <v>138</v>
      </c>
      <c r="AP557" s="28" t="s">
        <v>7016</v>
      </c>
      <c r="AQ557" s="28" t="s">
        <v>11373</v>
      </c>
      <c r="AR557" s="28" t="s">
        <v>138</v>
      </c>
      <c r="AS557" s="28" t="s">
        <v>7019</v>
      </c>
      <c r="AT557" s="28" t="s">
        <v>138</v>
      </c>
      <c r="AU557" s="28" t="s">
        <v>11374</v>
      </c>
      <c r="AV557" s="28" t="s">
        <v>7021</v>
      </c>
      <c r="AW557" s="28" t="s">
        <v>138</v>
      </c>
      <c r="AX557" s="28" t="s">
        <v>138</v>
      </c>
      <c r="AY557" s="28" t="s">
        <v>11375</v>
      </c>
      <c r="AZ557" s="28" t="s">
        <v>530</v>
      </c>
      <c r="BA557" s="28" t="s">
        <v>531</v>
      </c>
      <c r="BB557" s="28" t="s">
        <v>11376</v>
      </c>
      <c r="BC557" s="28" t="s">
        <v>11377</v>
      </c>
      <c r="BD557" s="33">
        <v>4</v>
      </c>
      <c r="BE557" s="28" t="s">
        <v>138</v>
      </c>
      <c r="BF557" s="28" t="s">
        <v>138</v>
      </c>
      <c r="BG557" s="28" t="s">
        <v>138</v>
      </c>
      <c r="BH557" s="28" t="s">
        <v>11378</v>
      </c>
      <c r="BI557" s="28" t="s">
        <v>138</v>
      </c>
      <c r="BJ557" s="28" t="s">
        <v>138</v>
      </c>
      <c r="BK557" s="28" t="s">
        <v>138</v>
      </c>
      <c r="BL557" s="28" t="s">
        <v>11379</v>
      </c>
      <c r="BM557" s="34">
        <v>41609</v>
      </c>
      <c r="BN557" s="29">
        <v>0.49</v>
      </c>
      <c r="BO557" s="28" t="s">
        <v>172</v>
      </c>
      <c r="BP557" s="29" t="s">
        <v>138</v>
      </c>
      <c r="BQ557" s="28" t="s">
        <v>138</v>
      </c>
      <c r="BR557" s="28" t="s">
        <v>262</v>
      </c>
      <c r="BS557" s="28" t="s">
        <v>262</v>
      </c>
      <c r="BT557" s="28" t="s">
        <v>138</v>
      </c>
      <c r="BU557" s="28" t="s">
        <v>263</v>
      </c>
      <c r="BV557" s="28" t="s">
        <v>138</v>
      </c>
      <c r="BW557" s="28" t="s">
        <v>138</v>
      </c>
      <c r="BX557" s="28" t="s">
        <v>138</v>
      </c>
      <c r="BY557" s="28" t="s">
        <v>175</v>
      </c>
      <c r="BZ557" s="34">
        <v>42846</v>
      </c>
      <c r="CA557" s="29">
        <v>1.5</v>
      </c>
      <c r="CB557" s="28" t="s">
        <v>172</v>
      </c>
      <c r="CC557" s="29" t="s">
        <v>138</v>
      </c>
      <c r="CD557" s="28" t="s">
        <v>138</v>
      </c>
      <c r="CE557" s="28" t="s">
        <v>205</v>
      </c>
      <c r="CF557" s="28" t="s">
        <v>138</v>
      </c>
      <c r="CG557" s="28" t="s">
        <v>138</v>
      </c>
      <c r="CH557" s="28" t="s">
        <v>174</v>
      </c>
      <c r="CI557" s="28" t="s">
        <v>138</v>
      </c>
      <c r="CJ557" s="28" t="s">
        <v>138</v>
      </c>
      <c r="CK557" s="28" t="s">
        <v>138</v>
      </c>
      <c r="CL557" s="28" t="s">
        <v>175</v>
      </c>
      <c r="CM557" s="34" t="s">
        <v>138</v>
      </c>
      <c r="CN557" s="29" t="s">
        <v>138</v>
      </c>
      <c r="CO557" s="35">
        <v>0.41</v>
      </c>
      <c r="CP557" s="36">
        <v>95</v>
      </c>
      <c r="CQ557" s="35">
        <v>-0.01</v>
      </c>
      <c r="CR557" s="35">
        <v>-2.08</v>
      </c>
      <c r="CS557" s="35" t="s">
        <v>138</v>
      </c>
      <c r="CT557" s="36" t="s">
        <v>138</v>
      </c>
      <c r="CU557" s="35" t="s">
        <v>138</v>
      </c>
      <c r="CV557" s="36" t="s">
        <v>138</v>
      </c>
      <c r="CW557" s="35" t="s">
        <v>138</v>
      </c>
      <c r="CX557" s="36" t="s">
        <v>138</v>
      </c>
      <c r="CY557" s="35" t="s">
        <v>138</v>
      </c>
      <c r="CZ557" s="36" t="s">
        <v>138</v>
      </c>
      <c r="DA557" s="35" t="s">
        <v>138</v>
      </c>
      <c r="DB557" s="36" t="s">
        <v>138</v>
      </c>
      <c r="DC557" s="37">
        <v>25.17</v>
      </c>
      <c r="DD557" s="36">
        <v>96</v>
      </c>
      <c r="DE557" s="37">
        <v>1.1599999999999999</v>
      </c>
      <c r="DF557" s="35">
        <v>4.83</v>
      </c>
      <c r="DG557" s="37" t="s">
        <v>138</v>
      </c>
      <c r="DH557" s="36" t="s">
        <v>138</v>
      </c>
      <c r="DI557" s="37" t="s">
        <v>138</v>
      </c>
      <c r="DJ557" s="36" t="s">
        <v>138</v>
      </c>
      <c r="DK557" s="37" t="s">
        <v>138</v>
      </c>
      <c r="DL557" s="36" t="s">
        <v>138</v>
      </c>
      <c r="DM557" s="37" t="s">
        <v>138</v>
      </c>
      <c r="DN557" s="36" t="s">
        <v>138</v>
      </c>
      <c r="DO557" s="37" t="s">
        <v>138</v>
      </c>
      <c r="DP557" s="36" t="s">
        <v>138</v>
      </c>
      <c r="DQ557" s="36" t="s">
        <v>138</v>
      </c>
      <c r="DR557" s="38" t="s">
        <v>138</v>
      </c>
      <c r="DS557" s="35" t="s">
        <v>138</v>
      </c>
      <c r="DT557" s="36" t="s">
        <v>138</v>
      </c>
      <c r="DU557" s="38" t="s">
        <v>138</v>
      </c>
      <c r="DV557" s="35" t="s">
        <v>138</v>
      </c>
      <c r="DW557" s="36">
        <v>2856</v>
      </c>
      <c r="DX557" s="39">
        <v>0</v>
      </c>
      <c r="DY557" s="35">
        <v>0</v>
      </c>
      <c r="DZ557" s="28" t="s">
        <v>178</v>
      </c>
      <c r="EA557" s="34">
        <v>43507</v>
      </c>
      <c r="EB557" s="29" t="s">
        <v>138</v>
      </c>
      <c r="EC557" s="34" t="s">
        <v>138</v>
      </c>
      <c r="ED557" s="28" t="s">
        <v>138</v>
      </c>
      <c r="EE557" s="40" t="str">
        <f>HYPERLINK("https://my.pitchbook.com?c=102748-33", "View company online")</f>
        <v>View company online</v>
      </c>
    </row>
    <row r="558" spans="1:135">
      <c r="A558" s="15" t="s">
        <v>11380</v>
      </c>
      <c r="B558" s="15" t="s">
        <v>11381</v>
      </c>
      <c r="C558" s="15" t="s">
        <v>138</v>
      </c>
      <c r="D558" s="15" t="s">
        <v>138</v>
      </c>
      <c r="E558" s="15" t="s">
        <v>11382</v>
      </c>
      <c r="F558" s="15" t="s">
        <v>11380</v>
      </c>
      <c r="G558" s="15" t="s">
        <v>11383</v>
      </c>
      <c r="H558" s="15" t="s">
        <v>322</v>
      </c>
      <c r="I558" s="15" t="s">
        <v>807</v>
      </c>
      <c r="J558" s="15" t="s">
        <v>2534</v>
      </c>
      <c r="K558" s="15" t="s">
        <v>2535</v>
      </c>
      <c r="L558" s="15" t="s">
        <v>2835</v>
      </c>
      <c r="M558" s="15" t="s">
        <v>11384</v>
      </c>
      <c r="N558" s="15" t="s">
        <v>147</v>
      </c>
      <c r="O558" s="17">
        <v>45</v>
      </c>
      <c r="P558" s="15" t="s">
        <v>610</v>
      </c>
      <c r="Q558" s="15" t="s">
        <v>149</v>
      </c>
      <c r="R558" s="15" t="s">
        <v>174</v>
      </c>
      <c r="S558" s="15" t="s">
        <v>11385</v>
      </c>
      <c r="T558" s="18">
        <v>50</v>
      </c>
      <c r="U558" s="15" t="s">
        <v>1162</v>
      </c>
      <c r="V558" s="15" t="s">
        <v>138</v>
      </c>
      <c r="W558" s="15" t="s">
        <v>138</v>
      </c>
      <c r="X558" s="19">
        <v>2017</v>
      </c>
      <c r="Y558" s="15" t="s">
        <v>138</v>
      </c>
      <c r="Z558" s="15" t="s">
        <v>138</v>
      </c>
      <c r="AA558" s="15" t="s">
        <v>138</v>
      </c>
      <c r="AB558" s="20" t="s">
        <v>138</v>
      </c>
      <c r="AC558" s="20" t="s">
        <v>138</v>
      </c>
      <c r="AD558" s="20" t="s">
        <v>138</v>
      </c>
      <c r="AE558" s="20" t="s">
        <v>138</v>
      </c>
      <c r="AF558" s="20" t="s">
        <v>138</v>
      </c>
      <c r="AG558" s="15" t="s">
        <v>138</v>
      </c>
      <c r="AH558" s="20" t="s">
        <v>138</v>
      </c>
      <c r="AI558" s="20" t="s">
        <v>138</v>
      </c>
      <c r="AJ558" s="20" t="s">
        <v>138</v>
      </c>
      <c r="AK558" s="15" t="s">
        <v>11386</v>
      </c>
      <c r="AL558" s="15" t="s">
        <v>11387</v>
      </c>
      <c r="AM558" s="15" t="s">
        <v>249</v>
      </c>
      <c r="AN558" s="15" t="s">
        <v>11388</v>
      </c>
      <c r="AO558" s="15" t="s">
        <v>138</v>
      </c>
      <c r="AP558" s="15" t="s">
        <v>11389</v>
      </c>
      <c r="AQ558" s="15" t="s">
        <v>138</v>
      </c>
      <c r="AR558" s="15" t="s">
        <v>138</v>
      </c>
      <c r="AS558" s="15" t="s">
        <v>11390</v>
      </c>
      <c r="AT558" s="15" t="s">
        <v>200</v>
      </c>
      <c r="AU558" s="15" t="s">
        <v>138</v>
      </c>
      <c r="AV558" s="15" t="s">
        <v>162</v>
      </c>
      <c r="AW558" s="15" t="s">
        <v>138</v>
      </c>
      <c r="AX558" s="15" t="s">
        <v>138</v>
      </c>
      <c r="AY558" s="15" t="s">
        <v>11391</v>
      </c>
      <c r="AZ558" s="15" t="s">
        <v>164</v>
      </c>
      <c r="BA558" s="15" t="s">
        <v>165</v>
      </c>
      <c r="BB558" s="15" t="s">
        <v>11392</v>
      </c>
      <c r="BC558" s="15" t="s">
        <v>11393</v>
      </c>
      <c r="BD558" s="21">
        <v>2</v>
      </c>
      <c r="BE558" s="15" t="s">
        <v>138</v>
      </c>
      <c r="BF558" s="15" t="s">
        <v>138</v>
      </c>
      <c r="BG558" s="15" t="s">
        <v>138</v>
      </c>
      <c r="BH558" s="15" t="s">
        <v>11394</v>
      </c>
      <c r="BI558" s="15" t="s">
        <v>138</v>
      </c>
      <c r="BJ558" s="15" t="s">
        <v>138</v>
      </c>
      <c r="BK558" s="15" t="s">
        <v>3482</v>
      </c>
      <c r="BL558" s="15" t="s">
        <v>3482</v>
      </c>
      <c r="BM558" s="22">
        <v>43216</v>
      </c>
      <c r="BN558" s="17">
        <v>45</v>
      </c>
      <c r="BO558" s="15" t="s">
        <v>172</v>
      </c>
      <c r="BP558" s="17">
        <v>180</v>
      </c>
      <c r="BQ558" s="15" t="s">
        <v>172</v>
      </c>
      <c r="BR558" s="15" t="s">
        <v>205</v>
      </c>
      <c r="BS558" s="15" t="s">
        <v>206</v>
      </c>
      <c r="BT558" s="15" t="s">
        <v>138</v>
      </c>
      <c r="BU558" s="15" t="s">
        <v>174</v>
      </c>
      <c r="BV558" s="15" t="s">
        <v>138</v>
      </c>
      <c r="BW558" s="15" t="s">
        <v>138</v>
      </c>
      <c r="BX558" s="15" t="s">
        <v>138</v>
      </c>
      <c r="BY558" s="15" t="s">
        <v>175</v>
      </c>
      <c r="BZ558" s="22">
        <v>43216</v>
      </c>
      <c r="CA558" s="17">
        <v>45</v>
      </c>
      <c r="CB558" s="15" t="s">
        <v>172</v>
      </c>
      <c r="CC558" s="17">
        <v>180</v>
      </c>
      <c r="CD558" s="15" t="s">
        <v>172</v>
      </c>
      <c r="CE558" s="15" t="s">
        <v>205</v>
      </c>
      <c r="CF558" s="15" t="s">
        <v>206</v>
      </c>
      <c r="CG558" s="15" t="s">
        <v>138</v>
      </c>
      <c r="CH558" s="15" t="s">
        <v>174</v>
      </c>
      <c r="CI558" s="15" t="s">
        <v>138</v>
      </c>
      <c r="CJ558" s="15" t="s">
        <v>138</v>
      </c>
      <c r="CK558" s="15" t="s">
        <v>138</v>
      </c>
      <c r="CL558" s="15" t="s">
        <v>175</v>
      </c>
      <c r="CM558" s="22" t="s">
        <v>138</v>
      </c>
      <c r="CN558" s="17" t="s">
        <v>138</v>
      </c>
      <c r="CO558" s="23">
        <v>1.67</v>
      </c>
      <c r="CP558" s="24">
        <v>98</v>
      </c>
      <c r="CQ558" s="23">
        <v>0.05</v>
      </c>
      <c r="CR558" s="23">
        <v>3.4</v>
      </c>
      <c r="CS558" s="23">
        <v>0</v>
      </c>
      <c r="CT558" s="24">
        <v>23</v>
      </c>
      <c r="CU558" s="23">
        <v>3.34</v>
      </c>
      <c r="CV558" s="24">
        <v>100</v>
      </c>
      <c r="CW558" s="23" t="s">
        <v>138</v>
      </c>
      <c r="CX558" s="24" t="s">
        <v>138</v>
      </c>
      <c r="CY558" s="23">
        <v>0</v>
      </c>
      <c r="CZ558" s="24">
        <v>25</v>
      </c>
      <c r="DA558" s="23">
        <v>6</v>
      </c>
      <c r="DB558" s="24">
        <v>100</v>
      </c>
      <c r="DC558" s="25">
        <v>1.31</v>
      </c>
      <c r="DD558" s="24">
        <v>57</v>
      </c>
      <c r="DE558" s="25">
        <v>0.04</v>
      </c>
      <c r="DF558" s="23">
        <v>3.29</v>
      </c>
      <c r="DG558" s="25">
        <v>0.48</v>
      </c>
      <c r="DH558" s="24">
        <v>33</v>
      </c>
      <c r="DI558" s="25">
        <v>2.14</v>
      </c>
      <c r="DJ558" s="24">
        <v>64</v>
      </c>
      <c r="DK558" s="25" t="s">
        <v>138</v>
      </c>
      <c r="DL558" s="24" t="s">
        <v>138</v>
      </c>
      <c r="DM558" s="25">
        <v>0.48</v>
      </c>
      <c r="DN558" s="24">
        <v>33</v>
      </c>
      <c r="DO558" s="25">
        <v>2.8</v>
      </c>
      <c r="DP558" s="24">
        <v>70</v>
      </c>
      <c r="DQ558" s="24">
        <v>415</v>
      </c>
      <c r="DR558" s="26">
        <v>30</v>
      </c>
      <c r="DS558" s="23">
        <v>7.79</v>
      </c>
      <c r="DT558" s="24">
        <v>14</v>
      </c>
      <c r="DU558" s="26">
        <v>0</v>
      </c>
      <c r="DV558" s="23">
        <v>0</v>
      </c>
      <c r="DW558" s="24">
        <v>975</v>
      </c>
      <c r="DX558" s="27">
        <v>52</v>
      </c>
      <c r="DY558" s="23">
        <v>5.63</v>
      </c>
      <c r="DZ558" s="15" t="s">
        <v>178</v>
      </c>
      <c r="EA558" s="22">
        <v>43508</v>
      </c>
      <c r="EB558" s="17">
        <v>180</v>
      </c>
      <c r="EC558" s="22">
        <v>43216</v>
      </c>
      <c r="ED558" s="15" t="s">
        <v>205</v>
      </c>
      <c r="EE558" s="14" t="str">
        <f>HYPERLINK("https://my.pitchbook.com?c=225812-71", "View company online")</f>
        <v>View company online</v>
      </c>
    </row>
    <row r="559" spans="1:135">
      <c r="A559" s="28" t="s">
        <v>11395</v>
      </c>
      <c r="B559" s="28" t="s">
        <v>11396</v>
      </c>
      <c r="C559" s="28" t="s">
        <v>138</v>
      </c>
      <c r="D559" s="28" t="s">
        <v>138</v>
      </c>
      <c r="E559" s="28" t="s">
        <v>11397</v>
      </c>
      <c r="F559" s="28" t="s">
        <v>11395</v>
      </c>
      <c r="G559" s="28" t="s">
        <v>11398</v>
      </c>
      <c r="H559" s="28" t="s">
        <v>322</v>
      </c>
      <c r="I559" s="28" t="s">
        <v>323</v>
      </c>
      <c r="J559" s="28" t="s">
        <v>413</v>
      </c>
      <c r="K559" s="28" t="s">
        <v>11399</v>
      </c>
      <c r="L559" s="28" t="s">
        <v>1021</v>
      </c>
      <c r="M559" s="28" t="s">
        <v>11400</v>
      </c>
      <c r="N559" s="28" t="s">
        <v>147</v>
      </c>
      <c r="O559" s="29">
        <v>7.56</v>
      </c>
      <c r="P559" s="28" t="s">
        <v>148</v>
      </c>
      <c r="Q559" s="28" t="s">
        <v>149</v>
      </c>
      <c r="R559" s="28" t="s">
        <v>174</v>
      </c>
      <c r="S559" s="28" t="s">
        <v>11401</v>
      </c>
      <c r="T559" s="30">
        <v>25</v>
      </c>
      <c r="U559" s="28" t="s">
        <v>11402</v>
      </c>
      <c r="V559" s="28" t="s">
        <v>138</v>
      </c>
      <c r="W559" s="28" t="s">
        <v>138</v>
      </c>
      <c r="X559" s="31">
        <v>2016</v>
      </c>
      <c r="Y559" s="28" t="s">
        <v>138</v>
      </c>
      <c r="Z559" s="28" t="s">
        <v>138</v>
      </c>
      <c r="AA559" s="28" t="s">
        <v>138</v>
      </c>
      <c r="AB559" s="32" t="s">
        <v>138</v>
      </c>
      <c r="AC559" s="32" t="s">
        <v>138</v>
      </c>
      <c r="AD559" s="32" t="s">
        <v>138</v>
      </c>
      <c r="AE559" s="32" t="s">
        <v>138</v>
      </c>
      <c r="AF559" s="32" t="s">
        <v>138</v>
      </c>
      <c r="AG559" s="28" t="s">
        <v>138</v>
      </c>
      <c r="AH559" s="32" t="s">
        <v>138</v>
      </c>
      <c r="AI559" s="32" t="s">
        <v>138</v>
      </c>
      <c r="AJ559" s="32" t="s">
        <v>138</v>
      </c>
      <c r="AK559" s="28" t="s">
        <v>11403</v>
      </c>
      <c r="AL559" s="28" t="s">
        <v>11404</v>
      </c>
      <c r="AM559" s="28" t="s">
        <v>986</v>
      </c>
      <c r="AN559" s="28" t="s">
        <v>11405</v>
      </c>
      <c r="AO559" s="28" t="s">
        <v>11406</v>
      </c>
      <c r="AP559" s="28" t="s">
        <v>4490</v>
      </c>
      <c r="AQ559" s="28" t="s">
        <v>11407</v>
      </c>
      <c r="AR559" s="28" t="s">
        <v>3062</v>
      </c>
      <c r="AS559" s="28" t="s">
        <v>4492</v>
      </c>
      <c r="AT559" s="28" t="s">
        <v>4493</v>
      </c>
      <c r="AU559" s="28" t="s">
        <v>4494</v>
      </c>
      <c r="AV559" s="28" t="s">
        <v>162</v>
      </c>
      <c r="AW559" s="28" t="s">
        <v>11406</v>
      </c>
      <c r="AX559" s="28" t="s">
        <v>138</v>
      </c>
      <c r="AY559" s="28" t="s">
        <v>11408</v>
      </c>
      <c r="AZ559" s="28" t="s">
        <v>164</v>
      </c>
      <c r="BA559" s="28" t="s">
        <v>165</v>
      </c>
      <c r="BB559" s="28" t="s">
        <v>11409</v>
      </c>
      <c r="BC559" s="28" t="s">
        <v>11410</v>
      </c>
      <c r="BD559" s="33">
        <v>8</v>
      </c>
      <c r="BE559" s="28" t="s">
        <v>138</v>
      </c>
      <c r="BF559" s="28" t="s">
        <v>138</v>
      </c>
      <c r="BG559" s="28" t="s">
        <v>138</v>
      </c>
      <c r="BH559" s="28" t="s">
        <v>11411</v>
      </c>
      <c r="BI559" s="28" t="s">
        <v>138</v>
      </c>
      <c r="BJ559" s="28" t="s">
        <v>138</v>
      </c>
      <c r="BK559" s="28" t="s">
        <v>1275</v>
      </c>
      <c r="BL559" s="28" t="s">
        <v>1275</v>
      </c>
      <c r="BM559" s="34">
        <v>42522</v>
      </c>
      <c r="BN559" s="29">
        <v>0.5</v>
      </c>
      <c r="BO559" s="28" t="s">
        <v>172</v>
      </c>
      <c r="BP559" s="29" t="s">
        <v>138</v>
      </c>
      <c r="BQ559" s="28" t="s">
        <v>138</v>
      </c>
      <c r="BR559" s="28" t="s">
        <v>5214</v>
      </c>
      <c r="BS559" s="28" t="s">
        <v>138</v>
      </c>
      <c r="BT559" s="28" t="s">
        <v>138</v>
      </c>
      <c r="BU559" s="28" t="s">
        <v>263</v>
      </c>
      <c r="BV559" s="28" t="s">
        <v>138</v>
      </c>
      <c r="BW559" s="28" t="s">
        <v>138</v>
      </c>
      <c r="BX559" s="28" t="s">
        <v>138</v>
      </c>
      <c r="BY559" s="28" t="s">
        <v>175</v>
      </c>
      <c r="BZ559" s="34">
        <v>43504</v>
      </c>
      <c r="CA559" s="29">
        <v>5.64</v>
      </c>
      <c r="CB559" s="28" t="s">
        <v>172</v>
      </c>
      <c r="CC559" s="29">
        <v>169.37</v>
      </c>
      <c r="CD559" s="28" t="s">
        <v>172</v>
      </c>
      <c r="CE559" s="28" t="s">
        <v>205</v>
      </c>
      <c r="CF559" s="28" t="s">
        <v>206</v>
      </c>
      <c r="CG559" s="28" t="s">
        <v>138</v>
      </c>
      <c r="CH559" s="28" t="s">
        <v>174</v>
      </c>
      <c r="CI559" s="28" t="s">
        <v>138</v>
      </c>
      <c r="CJ559" s="28" t="s">
        <v>138</v>
      </c>
      <c r="CK559" s="28" t="s">
        <v>138</v>
      </c>
      <c r="CL559" s="28" t="s">
        <v>175</v>
      </c>
      <c r="CM559" s="34" t="s">
        <v>138</v>
      </c>
      <c r="CN559" s="29" t="s">
        <v>138</v>
      </c>
      <c r="CO559" s="35">
        <v>0.68</v>
      </c>
      <c r="CP559" s="36">
        <v>96</v>
      </c>
      <c r="CQ559" s="35">
        <v>0.04</v>
      </c>
      <c r="CR559" s="35">
        <v>6.47</v>
      </c>
      <c r="CS559" s="35" t="s">
        <v>138</v>
      </c>
      <c r="CT559" s="36" t="s">
        <v>138</v>
      </c>
      <c r="CU559" s="35">
        <v>0.68</v>
      </c>
      <c r="CV559" s="36">
        <v>96</v>
      </c>
      <c r="CW559" s="35" t="s">
        <v>138</v>
      </c>
      <c r="CX559" s="36" t="s">
        <v>138</v>
      </c>
      <c r="CY559" s="35" t="s">
        <v>138</v>
      </c>
      <c r="CZ559" s="36" t="s">
        <v>138</v>
      </c>
      <c r="DA559" s="35">
        <v>0.68</v>
      </c>
      <c r="DB559" s="36">
        <v>96</v>
      </c>
      <c r="DC559" s="37">
        <v>0.85</v>
      </c>
      <c r="DD559" s="36">
        <v>47</v>
      </c>
      <c r="DE559" s="37">
        <v>0.01</v>
      </c>
      <c r="DF559" s="35">
        <v>0.89</v>
      </c>
      <c r="DG559" s="37" t="s">
        <v>138</v>
      </c>
      <c r="DH559" s="36" t="s">
        <v>138</v>
      </c>
      <c r="DI559" s="37">
        <v>0.85</v>
      </c>
      <c r="DJ559" s="36">
        <v>46</v>
      </c>
      <c r="DK559" s="37" t="s">
        <v>138</v>
      </c>
      <c r="DL559" s="36" t="s">
        <v>138</v>
      </c>
      <c r="DM559" s="37" t="s">
        <v>138</v>
      </c>
      <c r="DN559" s="36" t="s">
        <v>138</v>
      </c>
      <c r="DO559" s="37">
        <v>0.85</v>
      </c>
      <c r="DP559" s="36">
        <v>47</v>
      </c>
      <c r="DQ559" s="36" t="s">
        <v>138</v>
      </c>
      <c r="DR559" s="38" t="s">
        <v>138</v>
      </c>
      <c r="DS559" s="35" t="s">
        <v>138</v>
      </c>
      <c r="DT559" s="36" t="s">
        <v>138</v>
      </c>
      <c r="DU559" s="38" t="s">
        <v>138</v>
      </c>
      <c r="DV559" s="35" t="s">
        <v>138</v>
      </c>
      <c r="DW559" s="36">
        <v>303</v>
      </c>
      <c r="DX559" s="39">
        <v>1</v>
      </c>
      <c r="DY559" s="35">
        <v>0.33</v>
      </c>
      <c r="DZ559" s="28" t="s">
        <v>178</v>
      </c>
      <c r="EA559" s="34">
        <v>43607</v>
      </c>
      <c r="EB559" s="29">
        <v>169.37</v>
      </c>
      <c r="EC559" s="34">
        <v>43504</v>
      </c>
      <c r="ED559" s="28" t="s">
        <v>205</v>
      </c>
      <c r="EE559" s="40" t="str">
        <f>HYPERLINK("https://my.pitchbook.com?c=184546-36", "View company online")</f>
        <v>View company online</v>
      </c>
    </row>
    <row r="560" spans="1:135">
      <c r="A560" s="15" t="s">
        <v>11412</v>
      </c>
      <c r="B560" s="15" t="s">
        <v>11413</v>
      </c>
      <c r="C560" s="15" t="s">
        <v>138</v>
      </c>
      <c r="D560" s="15" t="s">
        <v>138</v>
      </c>
      <c r="E560" s="15" t="s">
        <v>11414</v>
      </c>
      <c r="F560" s="15" t="s">
        <v>11412</v>
      </c>
      <c r="G560" s="15" t="s">
        <v>11415</v>
      </c>
      <c r="H560" s="15" t="s">
        <v>238</v>
      </c>
      <c r="I560" s="15" t="s">
        <v>239</v>
      </c>
      <c r="J560" s="15" t="s">
        <v>2578</v>
      </c>
      <c r="K560" s="15" t="s">
        <v>11416</v>
      </c>
      <c r="L560" s="15" t="s">
        <v>2835</v>
      </c>
      <c r="M560" s="15" t="s">
        <v>11417</v>
      </c>
      <c r="N560" s="15" t="s">
        <v>147</v>
      </c>
      <c r="O560" s="17">
        <v>10.95</v>
      </c>
      <c r="P560" s="15" t="s">
        <v>148</v>
      </c>
      <c r="Q560" s="15" t="s">
        <v>149</v>
      </c>
      <c r="R560" s="15" t="s">
        <v>174</v>
      </c>
      <c r="S560" s="15" t="s">
        <v>11418</v>
      </c>
      <c r="T560" s="18">
        <v>7</v>
      </c>
      <c r="U560" s="15" t="s">
        <v>11419</v>
      </c>
      <c r="V560" s="15" t="s">
        <v>138</v>
      </c>
      <c r="W560" s="15" t="s">
        <v>138</v>
      </c>
      <c r="X560" s="19">
        <v>2014</v>
      </c>
      <c r="Y560" s="15" t="s">
        <v>138</v>
      </c>
      <c r="Z560" s="15" t="s">
        <v>138</v>
      </c>
      <c r="AA560" s="15" t="s">
        <v>138</v>
      </c>
      <c r="AB560" s="20" t="s">
        <v>138</v>
      </c>
      <c r="AC560" s="20" t="s">
        <v>138</v>
      </c>
      <c r="AD560" s="20" t="s">
        <v>138</v>
      </c>
      <c r="AE560" s="20" t="s">
        <v>138</v>
      </c>
      <c r="AF560" s="20" t="s">
        <v>138</v>
      </c>
      <c r="AG560" s="15" t="s">
        <v>138</v>
      </c>
      <c r="AH560" s="20" t="s">
        <v>138</v>
      </c>
      <c r="AI560" s="20" t="s">
        <v>138</v>
      </c>
      <c r="AJ560" s="20" t="s">
        <v>138</v>
      </c>
      <c r="AK560" s="15" t="s">
        <v>11420</v>
      </c>
      <c r="AL560" s="15" t="s">
        <v>11421</v>
      </c>
      <c r="AM560" s="15" t="s">
        <v>304</v>
      </c>
      <c r="AN560" s="15" t="s">
        <v>11422</v>
      </c>
      <c r="AO560" s="15" t="s">
        <v>138</v>
      </c>
      <c r="AP560" s="15" t="s">
        <v>665</v>
      </c>
      <c r="AQ560" s="15" t="s">
        <v>138</v>
      </c>
      <c r="AR560" s="15" t="s">
        <v>138</v>
      </c>
      <c r="AS560" s="15" t="s">
        <v>668</v>
      </c>
      <c r="AT560" s="15" t="s">
        <v>200</v>
      </c>
      <c r="AU560" s="15" t="s">
        <v>138</v>
      </c>
      <c r="AV560" s="15" t="s">
        <v>162</v>
      </c>
      <c r="AW560" s="15" t="s">
        <v>138</v>
      </c>
      <c r="AX560" s="15" t="s">
        <v>138</v>
      </c>
      <c r="AY560" s="15" t="s">
        <v>11423</v>
      </c>
      <c r="AZ560" s="15" t="s">
        <v>164</v>
      </c>
      <c r="BA560" s="15" t="s">
        <v>165</v>
      </c>
      <c r="BB560" s="15" t="s">
        <v>11424</v>
      </c>
      <c r="BC560" s="15" t="s">
        <v>11425</v>
      </c>
      <c r="BD560" s="21">
        <v>13</v>
      </c>
      <c r="BE560" s="15" t="s">
        <v>138</v>
      </c>
      <c r="BF560" s="15" t="s">
        <v>138</v>
      </c>
      <c r="BG560" s="15" t="s">
        <v>138</v>
      </c>
      <c r="BH560" s="15" t="s">
        <v>11426</v>
      </c>
      <c r="BI560" s="15" t="s">
        <v>138</v>
      </c>
      <c r="BJ560" s="15" t="s">
        <v>138</v>
      </c>
      <c r="BK560" s="15" t="s">
        <v>138</v>
      </c>
      <c r="BL560" s="15" t="s">
        <v>138</v>
      </c>
      <c r="BM560" s="22">
        <v>42223</v>
      </c>
      <c r="BN560" s="17" t="s">
        <v>138</v>
      </c>
      <c r="BO560" s="15" t="s">
        <v>138</v>
      </c>
      <c r="BP560" s="17" t="s">
        <v>138</v>
      </c>
      <c r="BQ560" s="15" t="s">
        <v>138</v>
      </c>
      <c r="BR560" s="15" t="s">
        <v>205</v>
      </c>
      <c r="BS560" s="15" t="s">
        <v>138</v>
      </c>
      <c r="BT560" s="15" t="s">
        <v>138</v>
      </c>
      <c r="BU560" s="15" t="s">
        <v>174</v>
      </c>
      <c r="BV560" s="15" t="s">
        <v>138</v>
      </c>
      <c r="BW560" s="15" t="s">
        <v>138</v>
      </c>
      <c r="BX560" s="15" t="s">
        <v>138</v>
      </c>
      <c r="BY560" s="15" t="s">
        <v>175</v>
      </c>
      <c r="BZ560" s="22">
        <v>43019</v>
      </c>
      <c r="CA560" s="17">
        <v>8.6999999999999993</v>
      </c>
      <c r="CB560" s="15" t="s">
        <v>172</v>
      </c>
      <c r="CC560" s="17">
        <v>33.700000000000003</v>
      </c>
      <c r="CD560" s="15" t="s">
        <v>172</v>
      </c>
      <c r="CE560" s="15" t="s">
        <v>205</v>
      </c>
      <c r="CF560" s="15" t="s">
        <v>206</v>
      </c>
      <c r="CG560" s="15" t="s">
        <v>138</v>
      </c>
      <c r="CH560" s="15" t="s">
        <v>174</v>
      </c>
      <c r="CI560" s="15" t="s">
        <v>138</v>
      </c>
      <c r="CJ560" s="15" t="s">
        <v>138</v>
      </c>
      <c r="CK560" s="15" t="s">
        <v>138</v>
      </c>
      <c r="CL560" s="15" t="s">
        <v>175</v>
      </c>
      <c r="CM560" s="22" t="s">
        <v>138</v>
      </c>
      <c r="CN560" s="17" t="s">
        <v>138</v>
      </c>
      <c r="CO560" s="23">
        <v>0.13</v>
      </c>
      <c r="CP560" s="24">
        <v>91</v>
      </c>
      <c r="CQ560" s="23">
        <v>0</v>
      </c>
      <c r="CR560" s="23">
        <v>0.33</v>
      </c>
      <c r="CS560" s="23">
        <v>0</v>
      </c>
      <c r="CT560" s="24">
        <v>23</v>
      </c>
      <c r="CU560" s="23">
        <v>0.25</v>
      </c>
      <c r="CV560" s="24">
        <v>84</v>
      </c>
      <c r="CW560" s="23">
        <v>1.68</v>
      </c>
      <c r="CX560" s="24">
        <v>87</v>
      </c>
      <c r="CY560" s="23">
        <v>-1.68</v>
      </c>
      <c r="CZ560" s="24">
        <v>13</v>
      </c>
      <c r="DA560" s="23">
        <v>0.24</v>
      </c>
      <c r="DB560" s="24">
        <v>85</v>
      </c>
      <c r="DC560" s="25">
        <v>12.42</v>
      </c>
      <c r="DD560" s="24">
        <v>92</v>
      </c>
      <c r="DE560" s="25">
        <v>-0.21</v>
      </c>
      <c r="DF560" s="23">
        <v>-1.68</v>
      </c>
      <c r="DG560" s="25">
        <v>18.12</v>
      </c>
      <c r="DH560" s="24">
        <v>94</v>
      </c>
      <c r="DI560" s="25">
        <v>6.71</v>
      </c>
      <c r="DJ560" s="24">
        <v>81</v>
      </c>
      <c r="DK560" s="25">
        <v>6.58</v>
      </c>
      <c r="DL560" s="24">
        <v>82</v>
      </c>
      <c r="DM560" s="25">
        <v>29.66</v>
      </c>
      <c r="DN560" s="24">
        <v>96</v>
      </c>
      <c r="DO560" s="25">
        <v>12.49</v>
      </c>
      <c r="DP560" s="24">
        <v>89</v>
      </c>
      <c r="DQ560" s="24">
        <v>2182</v>
      </c>
      <c r="DR560" s="26">
        <v>223</v>
      </c>
      <c r="DS560" s="23">
        <v>11.38</v>
      </c>
      <c r="DT560" s="24">
        <v>861</v>
      </c>
      <c r="DU560" s="26">
        <v>-1</v>
      </c>
      <c r="DV560" s="23">
        <v>-0.12</v>
      </c>
      <c r="DW560" s="24">
        <v>4465</v>
      </c>
      <c r="DX560" s="27">
        <v>9</v>
      </c>
      <c r="DY560" s="23">
        <v>0.2</v>
      </c>
      <c r="DZ560" s="15" t="s">
        <v>178</v>
      </c>
      <c r="EA560" s="22">
        <v>43612</v>
      </c>
      <c r="EB560" s="17">
        <v>33.700000000000003</v>
      </c>
      <c r="EC560" s="22">
        <v>43019</v>
      </c>
      <c r="ED560" s="15" t="s">
        <v>205</v>
      </c>
      <c r="EE560" s="14" t="str">
        <f>HYPERLINK("https://my.pitchbook.com?c=117700-03", "View company online")</f>
        <v>View company online</v>
      </c>
    </row>
    <row r="561" spans="1:135">
      <c r="A561" s="28" t="s">
        <v>11427</v>
      </c>
      <c r="B561" s="28" t="s">
        <v>11428</v>
      </c>
      <c r="C561" s="28" t="s">
        <v>138</v>
      </c>
      <c r="D561" s="28" t="s">
        <v>138</v>
      </c>
      <c r="E561" s="28" t="s">
        <v>11429</v>
      </c>
      <c r="F561" s="28" t="s">
        <v>11427</v>
      </c>
      <c r="G561" s="28" t="s">
        <v>11430</v>
      </c>
      <c r="H561" s="28" t="s">
        <v>322</v>
      </c>
      <c r="I561" s="28" t="s">
        <v>323</v>
      </c>
      <c r="J561" s="28" t="s">
        <v>324</v>
      </c>
      <c r="K561" s="28" t="s">
        <v>1649</v>
      </c>
      <c r="L561" s="28" t="s">
        <v>215</v>
      </c>
      <c r="M561" s="28" t="s">
        <v>11431</v>
      </c>
      <c r="N561" s="28" t="s">
        <v>147</v>
      </c>
      <c r="O561" s="29">
        <v>26.06</v>
      </c>
      <c r="P561" s="28" t="s">
        <v>148</v>
      </c>
      <c r="Q561" s="28" t="s">
        <v>149</v>
      </c>
      <c r="R561" s="28" t="s">
        <v>174</v>
      </c>
      <c r="S561" s="28" t="s">
        <v>11432</v>
      </c>
      <c r="T561" s="30">
        <v>31</v>
      </c>
      <c r="U561" s="28" t="s">
        <v>11433</v>
      </c>
      <c r="V561" s="28" t="s">
        <v>138</v>
      </c>
      <c r="W561" s="28" t="s">
        <v>138</v>
      </c>
      <c r="X561" s="31">
        <v>2008</v>
      </c>
      <c r="Y561" s="28" t="s">
        <v>138</v>
      </c>
      <c r="Z561" s="28" t="s">
        <v>138</v>
      </c>
      <c r="AA561" s="28" t="s">
        <v>7276</v>
      </c>
      <c r="AB561" s="32" t="s">
        <v>138</v>
      </c>
      <c r="AC561" s="32" t="s">
        <v>138</v>
      </c>
      <c r="AD561" s="32" t="s">
        <v>138</v>
      </c>
      <c r="AE561" s="32" t="s">
        <v>138</v>
      </c>
      <c r="AF561" s="32" t="s">
        <v>138</v>
      </c>
      <c r="AG561" s="28" t="s">
        <v>138</v>
      </c>
      <c r="AH561" s="32" t="s">
        <v>138</v>
      </c>
      <c r="AI561" s="32" t="s">
        <v>138</v>
      </c>
      <c r="AJ561" s="32" t="s">
        <v>138</v>
      </c>
      <c r="AK561" s="28" t="s">
        <v>11434</v>
      </c>
      <c r="AL561" s="28" t="s">
        <v>11435</v>
      </c>
      <c r="AM561" s="28" t="s">
        <v>2794</v>
      </c>
      <c r="AN561" s="28" t="s">
        <v>11436</v>
      </c>
      <c r="AO561" s="28" t="s">
        <v>11437</v>
      </c>
      <c r="AP561" s="28" t="s">
        <v>6648</v>
      </c>
      <c r="AQ561" s="28" t="s">
        <v>11438</v>
      </c>
      <c r="AR561" s="28" t="s">
        <v>1936</v>
      </c>
      <c r="AS561" s="28" t="s">
        <v>6650</v>
      </c>
      <c r="AT561" s="28" t="s">
        <v>200</v>
      </c>
      <c r="AU561" s="28" t="s">
        <v>6651</v>
      </c>
      <c r="AV561" s="28" t="s">
        <v>162</v>
      </c>
      <c r="AW561" s="28" t="s">
        <v>11439</v>
      </c>
      <c r="AX561" s="28" t="s">
        <v>11440</v>
      </c>
      <c r="AY561" s="28" t="s">
        <v>11441</v>
      </c>
      <c r="AZ561" s="28" t="s">
        <v>164</v>
      </c>
      <c r="BA561" s="28" t="s">
        <v>165</v>
      </c>
      <c r="BB561" s="28" t="s">
        <v>11442</v>
      </c>
      <c r="BC561" s="28" t="s">
        <v>11443</v>
      </c>
      <c r="BD561" s="33">
        <v>3</v>
      </c>
      <c r="BE561" s="28" t="s">
        <v>138</v>
      </c>
      <c r="BF561" s="28" t="s">
        <v>138</v>
      </c>
      <c r="BG561" s="28" t="s">
        <v>138</v>
      </c>
      <c r="BH561" s="28" t="s">
        <v>11444</v>
      </c>
      <c r="BI561" s="28" t="s">
        <v>138</v>
      </c>
      <c r="BJ561" s="28" t="s">
        <v>138</v>
      </c>
      <c r="BK561" s="28" t="s">
        <v>1229</v>
      </c>
      <c r="BL561" s="28" t="s">
        <v>11445</v>
      </c>
      <c r="BM561" s="34">
        <v>40247</v>
      </c>
      <c r="BN561" s="29">
        <v>0.8</v>
      </c>
      <c r="BO561" s="28" t="s">
        <v>172</v>
      </c>
      <c r="BP561" s="29" t="s">
        <v>138</v>
      </c>
      <c r="BQ561" s="28" t="s">
        <v>138</v>
      </c>
      <c r="BR561" s="28" t="s">
        <v>205</v>
      </c>
      <c r="BS561" s="28" t="s">
        <v>206</v>
      </c>
      <c r="BT561" s="28" t="s">
        <v>138</v>
      </c>
      <c r="BU561" s="28" t="s">
        <v>174</v>
      </c>
      <c r="BV561" s="28" t="s">
        <v>138</v>
      </c>
      <c r="BW561" s="28" t="s">
        <v>138</v>
      </c>
      <c r="BX561" s="28" t="s">
        <v>138</v>
      </c>
      <c r="BY561" s="28" t="s">
        <v>175</v>
      </c>
      <c r="BZ561" s="34">
        <v>43291</v>
      </c>
      <c r="CA561" s="29">
        <v>4.9000000000000004</v>
      </c>
      <c r="CB561" s="28" t="s">
        <v>172</v>
      </c>
      <c r="CC561" s="29" t="s">
        <v>138</v>
      </c>
      <c r="CD561" s="28" t="s">
        <v>138</v>
      </c>
      <c r="CE561" s="28" t="s">
        <v>173</v>
      </c>
      <c r="CF561" s="28" t="s">
        <v>138</v>
      </c>
      <c r="CG561" s="28" t="s">
        <v>138</v>
      </c>
      <c r="CH561" s="28" t="s">
        <v>174</v>
      </c>
      <c r="CI561" s="28" t="s">
        <v>264</v>
      </c>
      <c r="CJ561" s="28" t="s">
        <v>138</v>
      </c>
      <c r="CK561" s="28" t="s">
        <v>138</v>
      </c>
      <c r="CL561" s="28" t="s">
        <v>175</v>
      </c>
      <c r="CM561" s="34" t="s">
        <v>138</v>
      </c>
      <c r="CN561" s="29" t="s">
        <v>138</v>
      </c>
      <c r="CO561" s="35">
        <v>0.11</v>
      </c>
      <c r="CP561" s="36">
        <v>90</v>
      </c>
      <c r="CQ561" s="35">
        <v>0.03</v>
      </c>
      <c r="CR561" s="35">
        <v>31.27</v>
      </c>
      <c r="CS561" s="35">
        <v>0.22</v>
      </c>
      <c r="CT561" s="36">
        <v>94</v>
      </c>
      <c r="CU561" s="35">
        <v>0</v>
      </c>
      <c r="CV561" s="36">
        <v>22</v>
      </c>
      <c r="CW561" s="35">
        <v>2.21</v>
      </c>
      <c r="CX561" s="36">
        <v>89</v>
      </c>
      <c r="CY561" s="35">
        <v>-1.77</v>
      </c>
      <c r="CZ561" s="36">
        <v>13</v>
      </c>
      <c r="DA561" s="35">
        <v>0</v>
      </c>
      <c r="DB561" s="36">
        <v>22</v>
      </c>
      <c r="DC561" s="37">
        <v>16.68</v>
      </c>
      <c r="DD561" s="36">
        <v>94</v>
      </c>
      <c r="DE561" s="37">
        <v>-0.13</v>
      </c>
      <c r="DF561" s="35">
        <v>-0.8</v>
      </c>
      <c r="DG561" s="37">
        <v>8.07</v>
      </c>
      <c r="DH561" s="36">
        <v>88</v>
      </c>
      <c r="DI561" s="37">
        <v>25.3</v>
      </c>
      <c r="DJ561" s="36">
        <v>92</v>
      </c>
      <c r="DK561" s="37">
        <v>4.5199999999999996</v>
      </c>
      <c r="DL561" s="36">
        <v>78</v>
      </c>
      <c r="DM561" s="37">
        <v>11.62</v>
      </c>
      <c r="DN561" s="36">
        <v>90</v>
      </c>
      <c r="DO561" s="37">
        <v>25.3</v>
      </c>
      <c r="DP561" s="36">
        <v>94</v>
      </c>
      <c r="DQ561" s="36">
        <v>1514</v>
      </c>
      <c r="DR561" s="38">
        <v>113</v>
      </c>
      <c r="DS561" s="35">
        <v>8.07</v>
      </c>
      <c r="DT561" s="36">
        <v>339</v>
      </c>
      <c r="DU561" s="38">
        <v>-4</v>
      </c>
      <c r="DV561" s="35">
        <v>-1.17</v>
      </c>
      <c r="DW561" s="36">
        <v>9055</v>
      </c>
      <c r="DX561" s="39">
        <v>-4</v>
      </c>
      <c r="DY561" s="35">
        <v>-0.04</v>
      </c>
      <c r="DZ561" s="28" t="s">
        <v>178</v>
      </c>
      <c r="EA561" s="34">
        <v>43622</v>
      </c>
      <c r="EB561" s="29" t="s">
        <v>138</v>
      </c>
      <c r="EC561" s="34" t="s">
        <v>138</v>
      </c>
      <c r="ED561" s="28" t="s">
        <v>138</v>
      </c>
      <c r="EE561" s="40" t="str">
        <f>HYPERLINK("https://my.pitchbook.com?c=52242-94", "View company online")</f>
        <v>View company online</v>
      </c>
    </row>
    <row r="562" spans="1:135">
      <c r="A562" s="15" t="s">
        <v>11446</v>
      </c>
      <c r="B562" s="15" t="s">
        <v>11447</v>
      </c>
      <c r="C562" s="15" t="s">
        <v>138</v>
      </c>
      <c r="D562" s="15" t="s">
        <v>138</v>
      </c>
      <c r="E562" s="15" t="s">
        <v>11448</v>
      </c>
      <c r="F562" s="15" t="s">
        <v>11446</v>
      </c>
      <c r="G562" s="15" t="s">
        <v>11449</v>
      </c>
      <c r="H562" s="15" t="s">
        <v>183</v>
      </c>
      <c r="I562" s="15" t="s">
        <v>4681</v>
      </c>
      <c r="J562" s="15" t="s">
        <v>9676</v>
      </c>
      <c r="K562" s="15" t="s">
        <v>11450</v>
      </c>
      <c r="L562" s="15" t="s">
        <v>10009</v>
      </c>
      <c r="M562" s="15" t="s">
        <v>11451</v>
      </c>
      <c r="N562" s="15" t="s">
        <v>147</v>
      </c>
      <c r="O562" s="17">
        <v>7</v>
      </c>
      <c r="P562" s="15" t="s">
        <v>934</v>
      </c>
      <c r="Q562" s="15" t="s">
        <v>149</v>
      </c>
      <c r="R562" s="15" t="s">
        <v>174</v>
      </c>
      <c r="S562" s="15" t="s">
        <v>11452</v>
      </c>
      <c r="T562" s="18" t="s">
        <v>138</v>
      </c>
      <c r="U562" s="15" t="s">
        <v>138</v>
      </c>
      <c r="V562" s="15" t="s">
        <v>138</v>
      </c>
      <c r="W562" s="15" t="s">
        <v>138</v>
      </c>
      <c r="X562" s="19">
        <v>2017</v>
      </c>
      <c r="Y562" s="15" t="s">
        <v>138</v>
      </c>
      <c r="Z562" s="15" t="s">
        <v>138</v>
      </c>
      <c r="AA562" s="15" t="s">
        <v>138</v>
      </c>
      <c r="AB562" s="20" t="s">
        <v>138</v>
      </c>
      <c r="AC562" s="20" t="s">
        <v>138</v>
      </c>
      <c r="AD562" s="20" t="s">
        <v>138</v>
      </c>
      <c r="AE562" s="20" t="s">
        <v>138</v>
      </c>
      <c r="AF562" s="20" t="s">
        <v>138</v>
      </c>
      <c r="AG562" s="15" t="s">
        <v>138</v>
      </c>
      <c r="AH562" s="20" t="s">
        <v>138</v>
      </c>
      <c r="AI562" s="20" t="s">
        <v>138</v>
      </c>
      <c r="AJ562" s="20" t="s">
        <v>138</v>
      </c>
      <c r="AK562" s="15" t="s">
        <v>11453</v>
      </c>
      <c r="AL562" s="15" t="s">
        <v>11454</v>
      </c>
      <c r="AM562" s="15" t="s">
        <v>11455</v>
      </c>
      <c r="AN562" s="15" t="s">
        <v>11456</v>
      </c>
      <c r="AO562" s="15" t="s">
        <v>138</v>
      </c>
      <c r="AP562" s="15" t="s">
        <v>861</v>
      </c>
      <c r="AQ562" s="15" t="s">
        <v>11457</v>
      </c>
      <c r="AR562" s="15" t="s">
        <v>11458</v>
      </c>
      <c r="AS562" s="15" t="s">
        <v>863</v>
      </c>
      <c r="AT562" s="15" t="s">
        <v>864</v>
      </c>
      <c r="AU562" s="15" t="s">
        <v>865</v>
      </c>
      <c r="AV562" s="15" t="s">
        <v>162</v>
      </c>
      <c r="AW562" s="15" t="s">
        <v>138</v>
      </c>
      <c r="AX562" s="15" t="s">
        <v>138</v>
      </c>
      <c r="AY562" s="15" t="s">
        <v>11459</v>
      </c>
      <c r="AZ562" s="15" t="s">
        <v>164</v>
      </c>
      <c r="BA562" s="15" t="s">
        <v>165</v>
      </c>
      <c r="BB562" s="15" t="s">
        <v>11460</v>
      </c>
      <c r="BC562" s="15" t="s">
        <v>11461</v>
      </c>
      <c r="BD562" s="21">
        <v>4</v>
      </c>
      <c r="BE562" s="15" t="s">
        <v>138</v>
      </c>
      <c r="BF562" s="15" t="s">
        <v>138</v>
      </c>
      <c r="BG562" s="15" t="s">
        <v>138</v>
      </c>
      <c r="BH562" s="15" t="s">
        <v>11462</v>
      </c>
      <c r="BI562" s="15" t="s">
        <v>138</v>
      </c>
      <c r="BJ562" s="15" t="s">
        <v>138</v>
      </c>
      <c r="BK562" s="15" t="s">
        <v>138</v>
      </c>
      <c r="BL562" s="15" t="s">
        <v>138</v>
      </c>
      <c r="BM562" s="22">
        <v>43020</v>
      </c>
      <c r="BN562" s="17" t="s">
        <v>138</v>
      </c>
      <c r="BO562" s="15" t="s">
        <v>138</v>
      </c>
      <c r="BP562" s="17" t="s">
        <v>138</v>
      </c>
      <c r="BQ562" s="15" t="s">
        <v>138</v>
      </c>
      <c r="BR562" s="15" t="s">
        <v>316</v>
      </c>
      <c r="BS562" s="15" t="s">
        <v>138</v>
      </c>
      <c r="BT562" s="15" t="s">
        <v>138</v>
      </c>
      <c r="BU562" s="15" t="s">
        <v>177</v>
      </c>
      <c r="BV562" s="15" t="s">
        <v>138</v>
      </c>
      <c r="BW562" s="15" t="s">
        <v>138</v>
      </c>
      <c r="BX562" s="15" t="s">
        <v>138</v>
      </c>
      <c r="BY562" s="15" t="s">
        <v>175</v>
      </c>
      <c r="BZ562" s="22">
        <v>43342</v>
      </c>
      <c r="CA562" s="17">
        <v>7</v>
      </c>
      <c r="CB562" s="15" t="s">
        <v>172</v>
      </c>
      <c r="CC562" s="17" t="s">
        <v>138</v>
      </c>
      <c r="CD562" s="15" t="s">
        <v>138</v>
      </c>
      <c r="CE562" s="15" t="s">
        <v>234</v>
      </c>
      <c r="CF562" s="15" t="s">
        <v>234</v>
      </c>
      <c r="CG562" s="15" t="s">
        <v>138</v>
      </c>
      <c r="CH562" s="15" t="s">
        <v>174</v>
      </c>
      <c r="CI562" s="15" t="s">
        <v>138</v>
      </c>
      <c r="CJ562" s="15" t="s">
        <v>138</v>
      </c>
      <c r="CK562" s="15" t="s">
        <v>138</v>
      </c>
      <c r="CL562" s="15" t="s">
        <v>175</v>
      </c>
      <c r="CM562" s="22" t="s">
        <v>138</v>
      </c>
      <c r="CN562" s="17" t="s">
        <v>138</v>
      </c>
      <c r="CO562" s="23">
        <v>0</v>
      </c>
      <c r="CP562" s="24">
        <v>26</v>
      </c>
      <c r="CQ562" s="23">
        <v>0</v>
      </c>
      <c r="CR562" s="23">
        <v>0</v>
      </c>
      <c r="CS562" s="23">
        <v>0</v>
      </c>
      <c r="CT562" s="24">
        <v>23</v>
      </c>
      <c r="CU562" s="23" t="s">
        <v>138</v>
      </c>
      <c r="CV562" s="24" t="s">
        <v>138</v>
      </c>
      <c r="CW562" s="23">
        <v>0</v>
      </c>
      <c r="CX562" s="24">
        <v>13</v>
      </c>
      <c r="CY562" s="23">
        <v>0</v>
      </c>
      <c r="CZ562" s="24">
        <v>25</v>
      </c>
      <c r="DA562" s="23" t="s">
        <v>138</v>
      </c>
      <c r="DB562" s="24" t="s">
        <v>138</v>
      </c>
      <c r="DC562" s="25">
        <v>0.62</v>
      </c>
      <c r="DD562" s="24">
        <v>39</v>
      </c>
      <c r="DE562" s="25">
        <v>-0.03</v>
      </c>
      <c r="DF562" s="23">
        <v>-4.78</v>
      </c>
      <c r="DG562" s="25">
        <v>0.62</v>
      </c>
      <c r="DH562" s="24">
        <v>39</v>
      </c>
      <c r="DI562" s="25" t="s">
        <v>138</v>
      </c>
      <c r="DJ562" s="24" t="s">
        <v>138</v>
      </c>
      <c r="DK562" s="25">
        <v>0.49</v>
      </c>
      <c r="DL562" s="24">
        <v>35</v>
      </c>
      <c r="DM562" s="25">
        <v>0.76</v>
      </c>
      <c r="DN562" s="24">
        <v>44</v>
      </c>
      <c r="DO562" s="25" t="s">
        <v>138</v>
      </c>
      <c r="DP562" s="24" t="s">
        <v>138</v>
      </c>
      <c r="DQ562" s="24">
        <v>164</v>
      </c>
      <c r="DR562" s="26">
        <v>6</v>
      </c>
      <c r="DS562" s="23">
        <v>3.8</v>
      </c>
      <c r="DT562" s="24">
        <v>22</v>
      </c>
      <c r="DU562" s="26">
        <v>0</v>
      </c>
      <c r="DV562" s="23">
        <v>0</v>
      </c>
      <c r="DW562" s="24" t="s">
        <v>138</v>
      </c>
      <c r="DX562" s="27" t="s">
        <v>138</v>
      </c>
      <c r="DY562" s="23" t="s">
        <v>138</v>
      </c>
      <c r="DZ562" s="15" t="s">
        <v>178</v>
      </c>
      <c r="EA562" s="22">
        <v>43353</v>
      </c>
      <c r="EB562" s="17" t="s">
        <v>138</v>
      </c>
      <c r="EC562" s="22" t="s">
        <v>138</v>
      </c>
      <c r="ED562" s="15" t="s">
        <v>138</v>
      </c>
      <c r="EE562" s="14" t="str">
        <f>HYPERLINK("https://my.pitchbook.com?c=232330-33", "View company online")</f>
        <v>View company online</v>
      </c>
    </row>
    <row r="563" spans="1:135">
      <c r="A563" s="28" t="s">
        <v>11463</v>
      </c>
      <c r="B563" s="28" t="s">
        <v>11464</v>
      </c>
      <c r="C563" s="28" t="s">
        <v>138</v>
      </c>
      <c r="D563" s="28" t="s">
        <v>138</v>
      </c>
      <c r="E563" s="28" t="s">
        <v>11465</v>
      </c>
      <c r="F563" s="28" t="s">
        <v>11463</v>
      </c>
      <c r="G563" s="28" t="s">
        <v>11466</v>
      </c>
      <c r="H563" s="28" t="s">
        <v>322</v>
      </c>
      <c r="I563" s="28" t="s">
        <v>323</v>
      </c>
      <c r="J563" s="28" t="s">
        <v>324</v>
      </c>
      <c r="K563" s="28" t="s">
        <v>11467</v>
      </c>
      <c r="L563" s="28" t="s">
        <v>215</v>
      </c>
      <c r="M563" s="28" t="s">
        <v>11468</v>
      </c>
      <c r="N563" s="28" t="s">
        <v>147</v>
      </c>
      <c r="O563" s="29">
        <v>3.12</v>
      </c>
      <c r="P563" s="28" t="s">
        <v>148</v>
      </c>
      <c r="Q563" s="28" t="s">
        <v>149</v>
      </c>
      <c r="R563" s="28" t="s">
        <v>174</v>
      </c>
      <c r="S563" s="28" t="s">
        <v>11469</v>
      </c>
      <c r="T563" s="30" t="s">
        <v>138</v>
      </c>
      <c r="U563" s="28" t="s">
        <v>138</v>
      </c>
      <c r="V563" s="28" t="s">
        <v>138</v>
      </c>
      <c r="W563" s="28" t="s">
        <v>138</v>
      </c>
      <c r="X563" s="31">
        <v>2008</v>
      </c>
      <c r="Y563" s="28" t="s">
        <v>138</v>
      </c>
      <c r="Z563" s="28" t="s">
        <v>138</v>
      </c>
      <c r="AA563" s="28" t="s">
        <v>138</v>
      </c>
      <c r="AB563" s="32" t="s">
        <v>138</v>
      </c>
      <c r="AC563" s="32" t="s">
        <v>138</v>
      </c>
      <c r="AD563" s="32" t="s">
        <v>138</v>
      </c>
      <c r="AE563" s="32" t="s">
        <v>138</v>
      </c>
      <c r="AF563" s="32" t="s">
        <v>138</v>
      </c>
      <c r="AG563" s="28" t="s">
        <v>138</v>
      </c>
      <c r="AH563" s="32" t="s">
        <v>138</v>
      </c>
      <c r="AI563" s="32" t="s">
        <v>138</v>
      </c>
      <c r="AJ563" s="32" t="s">
        <v>138</v>
      </c>
      <c r="AK563" s="28" t="s">
        <v>11470</v>
      </c>
      <c r="AL563" s="28" t="s">
        <v>11471</v>
      </c>
      <c r="AM563" s="28" t="s">
        <v>304</v>
      </c>
      <c r="AN563" s="28" t="s">
        <v>138</v>
      </c>
      <c r="AO563" s="28" t="s">
        <v>11472</v>
      </c>
      <c r="AP563" s="28" t="s">
        <v>423</v>
      </c>
      <c r="AQ563" s="28" t="s">
        <v>11473</v>
      </c>
      <c r="AR563" s="28" t="s">
        <v>138</v>
      </c>
      <c r="AS563" s="28" t="s">
        <v>426</v>
      </c>
      <c r="AT563" s="28" t="s">
        <v>426</v>
      </c>
      <c r="AU563" s="28" t="s">
        <v>2610</v>
      </c>
      <c r="AV563" s="28" t="s">
        <v>162</v>
      </c>
      <c r="AW563" s="28" t="s">
        <v>138</v>
      </c>
      <c r="AX563" s="28" t="s">
        <v>138</v>
      </c>
      <c r="AY563" s="28" t="s">
        <v>138</v>
      </c>
      <c r="AZ563" s="28" t="s">
        <v>164</v>
      </c>
      <c r="BA563" s="28" t="s">
        <v>165</v>
      </c>
      <c r="BB563" s="28" t="s">
        <v>11474</v>
      </c>
      <c r="BC563" s="28" t="s">
        <v>11475</v>
      </c>
      <c r="BD563" s="33">
        <v>10</v>
      </c>
      <c r="BE563" s="28" t="s">
        <v>138</v>
      </c>
      <c r="BF563" s="28" t="s">
        <v>138</v>
      </c>
      <c r="BG563" s="28" t="s">
        <v>138</v>
      </c>
      <c r="BH563" s="28" t="s">
        <v>11476</v>
      </c>
      <c r="BI563" s="28" t="s">
        <v>138</v>
      </c>
      <c r="BJ563" s="28" t="s">
        <v>138</v>
      </c>
      <c r="BK563" s="28" t="s">
        <v>138</v>
      </c>
      <c r="BL563" s="28" t="s">
        <v>138</v>
      </c>
      <c r="BM563" s="34">
        <v>41870</v>
      </c>
      <c r="BN563" s="29">
        <v>0.12</v>
      </c>
      <c r="BO563" s="28" t="s">
        <v>172</v>
      </c>
      <c r="BP563" s="29">
        <v>1.71</v>
      </c>
      <c r="BQ563" s="28" t="s">
        <v>172</v>
      </c>
      <c r="BR563" s="28" t="s">
        <v>316</v>
      </c>
      <c r="BS563" s="28" t="s">
        <v>138</v>
      </c>
      <c r="BT563" s="28" t="s">
        <v>138</v>
      </c>
      <c r="BU563" s="28" t="s">
        <v>177</v>
      </c>
      <c r="BV563" s="28" t="s">
        <v>138</v>
      </c>
      <c r="BW563" s="28" t="s">
        <v>138</v>
      </c>
      <c r="BX563" s="28" t="s">
        <v>138</v>
      </c>
      <c r="BY563" s="28" t="s">
        <v>175</v>
      </c>
      <c r="BZ563" s="34">
        <v>43101</v>
      </c>
      <c r="CA563" s="29" t="s">
        <v>138</v>
      </c>
      <c r="CB563" s="28" t="s">
        <v>138</v>
      </c>
      <c r="CC563" s="29" t="s">
        <v>138</v>
      </c>
      <c r="CD563" s="28" t="s">
        <v>138</v>
      </c>
      <c r="CE563" s="28" t="s">
        <v>173</v>
      </c>
      <c r="CF563" s="28" t="s">
        <v>138</v>
      </c>
      <c r="CG563" s="28" t="s">
        <v>138</v>
      </c>
      <c r="CH563" s="28" t="s">
        <v>174</v>
      </c>
      <c r="CI563" s="28" t="s">
        <v>138</v>
      </c>
      <c r="CJ563" s="28" t="s">
        <v>138</v>
      </c>
      <c r="CK563" s="28" t="s">
        <v>138</v>
      </c>
      <c r="CL563" s="28" t="s">
        <v>175</v>
      </c>
      <c r="CM563" s="34" t="s">
        <v>138</v>
      </c>
      <c r="CN563" s="29" t="s">
        <v>138</v>
      </c>
      <c r="CO563" s="35">
        <v>0</v>
      </c>
      <c r="CP563" s="36">
        <v>26</v>
      </c>
      <c r="CQ563" s="35">
        <v>0</v>
      </c>
      <c r="CR563" s="35">
        <v>0</v>
      </c>
      <c r="CS563" s="35">
        <v>0</v>
      </c>
      <c r="CT563" s="36">
        <v>23</v>
      </c>
      <c r="CU563" s="35">
        <v>0</v>
      </c>
      <c r="CV563" s="36">
        <v>22</v>
      </c>
      <c r="CW563" s="35">
        <v>0</v>
      </c>
      <c r="CX563" s="36">
        <v>13</v>
      </c>
      <c r="CY563" s="35">
        <v>0</v>
      </c>
      <c r="CZ563" s="36">
        <v>25</v>
      </c>
      <c r="DA563" s="35">
        <v>0</v>
      </c>
      <c r="DB563" s="36">
        <v>22</v>
      </c>
      <c r="DC563" s="37">
        <v>0.4</v>
      </c>
      <c r="DD563" s="36">
        <v>29</v>
      </c>
      <c r="DE563" s="37">
        <v>-0.01</v>
      </c>
      <c r="DF563" s="35">
        <v>-3.51</v>
      </c>
      <c r="DG563" s="37">
        <v>0.8</v>
      </c>
      <c r="DH563" s="36">
        <v>46</v>
      </c>
      <c r="DI563" s="37">
        <v>0.01</v>
      </c>
      <c r="DJ563" s="36">
        <v>1</v>
      </c>
      <c r="DK563" s="37">
        <v>0.46</v>
      </c>
      <c r="DL563" s="36">
        <v>34</v>
      </c>
      <c r="DM563" s="37">
        <v>1.1399999999999999</v>
      </c>
      <c r="DN563" s="36">
        <v>53</v>
      </c>
      <c r="DO563" s="37">
        <v>0.01</v>
      </c>
      <c r="DP563" s="36">
        <v>1</v>
      </c>
      <c r="DQ563" s="36">
        <v>178</v>
      </c>
      <c r="DR563" s="38">
        <v>-63</v>
      </c>
      <c r="DS563" s="35">
        <v>-26.14</v>
      </c>
      <c r="DT563" s="36">
        <v>33</v>
      </c>
      <c r="DU563" s="38">
        <v>0</v>
      </c>
      <c r="DV563" s="35">
        <v>0</v>
      </c>
      <c r="DW563" s="36">
        <v>3</v>
      </c>
      <c r="DX563" s="39">
        <v>0</v>
      </c>
      <c r="DY563" s="35">
        <v>0</v>
      </c>
      <c r="DZ563" s="28" t="s">
        <v>178</v>
      </c>
      <c r="EA563" s="34">
        <v>43621</v>
      </c>
      <c r="EB563" s="29">
        <v>1.71</v>
      </c>
      <c r="EC563" s="34">
        <v>41870</v>
      </c>
      <c r="ED563" s="28" t="s">
        <v>316</v>
      </c>
      <c r="EE563" s="40" t="str">
        <f>HYPERLINK("https://my.pitchbook.com?c=57983-32", "View company online")</f>
        <v>View company online</v>
      </c>
    </row>
    <row r="564" spans="1:135">
      <c r="A564" s="15" t="s">
        <v>11477</v>
      </c>
      <c r="B564" s="15" t="s">
        <v>11478</v>
      </c>
      <c r="C564" s="15" t="s">
        <v>138</v>
      </c>
      <c r="D564" s="15" t="s">
        <v>138</v>
      </c>
      <c r="E564" s="15" t="s">
        <v>138</v>
      </c>
      <c r="F564" s="15" t="s">
        <v>11477</v>
      </c>
      <c r="G564" s="15" t="s">
        <v>11479</v>
      </c>
      <c r="H564" s="15" t="s">
        <v>385</v>
      </c>
      <c r="I564" s="15" t="s">
        <v>386</v>
      </c>
      <c r="J564" s="15" t="s">
        <v>387</v>
      </c>
      <c r="K564" s="15" t="s">
        <v>10568</v>
      </c>
      <c r="L564" s="15" t="s">
        <v>1994</v>
      </c>
      <c r="M564" s="15" t="s">
        <v>11480</v>
      </c>
      <c r="N564" s="15" t="s">
        <v>147</v>
      </c>
      <c r="O564" s="17">
        <v>6.25</v>
      </c>
      <c r="P564" s="15" t="s">
        <v>1473</v>
      </c>
      <c r="Q564" s="15" t="s">
        <v>149</v>
      </c>
      <c r="R564" s="15" t="s">
        <v>174</v>
      </c>
      <c r="S564" s="15" t="s">
        <v>11481</v>
      </c>
      <c r="T564" s="18">
        <v>30</v>
      </c>
      <c r="U564" s="15" t="s">
        <v>11482</v>
      </c>
      <c r="V564" s="15" t="s">
        <v>138</v>
      </c>
      <c r="W564" s="15" t="s">
        <v>138</v>
      </c>
      <c r="X564" s="19">
        <v>2011</v>
      </c>
      <c r="Y564" s="15" t="s">
        <v>138</v>
      </c>
      <c r="Z564" s="15" t="s">
        <v>138</v>
      </c>
      <c r="AA564" s="15" t="s">
        <v>138</v>
      </c>
      <c r="AB564" s="20" t="s">
        <v>138</v>
      </c>
      <c r="AC564" s="20" t="s">
        <v>138</v>
      </c>
      <c r="AD564" s="20">
        <v>-2.95</v>
      </c>
      <c r="AE564" s="20" t="s">
        <v>138</v>
      </c>
      <c r="AF564" s="20" t="s">
        <v>138</v>
      </c>
      <c r="AG564" s="15" t="s">
        <v>563</v>
      </c>
      <c r="AH564" s="20" t="s">
        <v>138</v>
      </c>
      <c r="AI564" s="20" t="s">
        <v>138</v>
      </c>
      <c r="AJ564" s="20" t="s">
        <v>138</v>
      </c>
      <c r="AK564" s="15" t="s">
        <v>11483</v>
      </c>
      <c r="AL564" s="15" t="s">
        <v>11484</v>
      </c>
      <c r="AM564" s="15" t="s">
        <v>304</v>
      </c>
      <c r="AN564" s="15" t="s">
        <v>11485</v>
      </c>
      <c r="AO564" s="15" t="s">
        <v>11486</v>
      </c>
      <c r="AP564" s="15" t="s">
        <v>11487</v>
      </c>
      <c r="AQ564" s="15" t="s">
        <v>11488</v>
      </c>
      <c r="AR564" s="15" t="s">
        <v>138</v>
      </c>
      <c r="AS564" s="15" t="s">
        <v>11489</v>
      </c>
      <c r="AT564" s="15" t="s">
        <v>138</v>
      </c>
      <c r="AU564" s="15" t="s">
        <v>11490</v>
      </c>
      <c r="AV564" s="15" t="s">
        <v>3693</v>
      </c>
      <c r="AW564" s="15" t="s">
        <v>138</v>
      </c>
      <c r="AX564" s="15" t="s">
        <v>138</v>
      </c>
      <c r="AY564" s="15" t="s">
        <v>11491</v>
      </c>
      <c r="AZ564" s="15" t="s">
        <v>530</v>
      </c>
      <c r="BA564" s="15" t="s">
        <v>531</v>
      </c>
      <c r="BB564" s="15" t="s">
        <v>11492</v>
      </c>
      <c r="BC564" s="15" t="s">
        <v>11493</v>
      </c>
      <c r="BD564" s="21">
        <v>4</v>
      </c>
      <c r="BE564" s="15" t="s">
        <v>138</v>
      </c>
      <c r="BF564" s="15" t="s">
        <v>138</v>
      </c>
      <c r="BG564" s="15" t="s">
        <v>138</v>
      </c>
      <c r="BH564" s="15" t="s">
        <v>11494</v>
      </c>
      <c r="BI564" s="15" t="s">
        <v>138</v>
      </c>
      <c r="BJ564" s="15" t="s">
        <v>138</v>
      </c>
      <c r="BK564" s="15" t="s">
        <v>138</v>
      </c>
      <c r="BL564" s="15" t="s">
        <v>138</v>
      </c>
      <c r="BM564" s="22">
        <v>41390</v>
      </c>
      <c r="BN564" s="17">
        <v>6.25</v>
      </c>
      <c r="BO564" s="15" t="s">
        <v>172</v>
      </c>
      <c r="BP564" s="17" t="s">
        <v>138</v>
      </c>
      <c r="BQ564" s="15" t="s">
        <v>138</v>
      </c>
      <c r="BR564" s="15" t="s">
        <v>205</v>
      </c>
      <c r="BS564" s="15" t="s">
        <v>138</v>
      </c>
      <c r="BT564" s="15" t="s">
        <v>138</v>
      </c>
      <c r="BU564" s="15" t="s">
        <v>174</v>
      </c>
      <c r="BV564" s="15" t="s">
        <v>138</v>
      </c>
      <c r="BW564" s="15" t="s">
        <v>138</v>
      </c>
      <c r="BX564" s="15" t="s">
        <v>138</v>
      </c>
      <c r="BY564" s="15" t="s">
        <v>175</v>
      </c>
      <c r="BZ564" s="22">
        <v>41390</v>
      </c>
      <c r="CA564" s="17">
        <v>6.25</v>
      </c>
      <c r="CB564" s="15" t="s">
        <v>172</v>
      </c>
      <c r="CC564" s="17" t="s">
        <v>138</v>
      </c>
      <c r="CD564" s="15" t="s">
        <v>138</v>
      </c>
      <c r="CE564" s="15" t="s">
        <v>205</v>
      </c>
      <c r="CF564" s="15" t="s">
        <v>138</v>
      </c>
      <c r="CG564" s="15" t="s">
        <v>138</v>
      </c>
      <c r="CH564" s="15" t="s">
        <v>174</v>
      </c>
      <c r="CI564" s="15" t="s">
        <v>138</v>
      </c>
      <c r="CJ564" s="15" t="s">
        <v>138</v>
      </c>
      <c r="CK564" s="15" t="s">
        <v>138</v>
      </c>
      <c r="CL564" s="15" t="s">
        <v>175</v>
      </c>
      <c r="CM564" s="22" t="s">
        <v>138</v>
      </c>
      <c r="CN564" s="17" t="s">
        <v>138</v>
      </c>
      <c r="CO564" s="23">
        <v>0</v>
      </c>
      <c r="CP564" s="24">
        <v>26</v>
      </c>
      <c r="CQ564" s="23">
        <v>0</v>
      </c>
      <c r="CR564" s="23">
        <v>0</v>
      </c>
      <c r="CS564" s="23">
        <v>0</v>
      </c>
      <c r="CT564" s="24">
        <v>23</v>
      </c>
      <c r="CU564" s="23">
        <v>0</v>
      </c>
      <c r="CV564" s="24">
        <v>22</v>
      </c>
      <c r="CW564" s="23" t="s">
        <v>138</v>
      </c>
      <c r="CX564" s="24" t="s">
        <v>138</v>
      </c>
      <c r="CY564" s="23">
        <v>0</v>
      </c>
      <c r="CZ564" s="24">
        <v>25</v>
      </c>
      <c r="DA564" s="23">
        <v>0</v>
      </c>
      <c r="DB564" s="24">
        <v>22</v>
      </c>
      <c r="DC564" s="25">
        <v>1.1200000000000001</v>
      </c>
      <c r="DD564" s="24">
        <v>54</v>
      </c>
      <c r="DE564" s="25">
        <v>0.02</v>
      </c>
      <c r="DF564" s="23">
        <v>1.57</v>
      </c>
      <c r="DG564" s="25">
        <v>2.17</v>
      </c>
      <c r="DH564" s="24">
        <v>68</v>
      </c>
      <c r="DI564" s="25">
        <v>7.0000000000000007E-2</v>
      </c>
      <c r="DJ564" s="24">
        <v>11</v>
      </c>
      <c r="DK564" s="25" t="s">
        <v>138</v>
      </c>
      <c r="DL564" s="24" t="s">
        <v>138</v>
      </c>
      <c r="DM564" s="25">
        <v>2.17</v>
      </c>
      <c r="DN564" s="24">
        <v>67</v>
      </c>
      <c r="DO564" s="25">
        <v>0.09</v>
      </c>
      <c r="DP564" s="24">
        <v>15</v>
      </c>
      <c r="DQ564" s="24" t="s">
        <v>138</v>
      </c>
      <c r="DR564" s="26" t="s">
        <v>138</v>
      </c>
      <c r="DS564" s="23" t="s">
        <v>138</v>
      </c>
      <c r="DT564" s="24">
        <v>62</v>
      </c>
      <c r="DU564" s="26">
        <v>0</v>
      </c>
      <c r="DV564" s="23">
        <v>0</v>
      </c>
      <c r="DW564" s="24">
        <v>32</v>
      </c>
      <c r="DX564" s="27">
        <v>0</v>
      </c>
      <c r="DY564" s="23">
        <v>0</v>
      </c>
      <c r="DZ564" s="15" t="s">
        <v>178</v>
      </c>
      <c r="EA564" s="22">
        <v>43558</v>
      </c>
      <c r="EB564" s="17" t="s">
        <v>138</v>
      </c>
      <c r="EC564" s="22" t="s">
        <v>138</v>
      </c>
      <c r="ED564" s="15" t="s">
        <v>138</v>
      </c>
      <c r="EE564" s="14" t="str">
        <f>HYPERLINK("https://my.pitchbook.com?c=56733-22", "View company online")</f>
        <v>View company online</v>
      </c>
    </row>
    <row r="565" spans="1:135">
      <c r="A565" s="28" t="s">
        <v>11495</v>
      </c>
      <c r="B565" s="28" t="s">
        <v>11496</v>
      </c>
      <c r="C565" s="28" t="s">
        <v>138</v>
      </c>
      <c r="D565" s="28" t="s">
        <v>138</v>
      </c>
      <c r="E565" s="28" t="s">
        <v>138</v>
      </c>
      <c r="F565" s="28" t="s">
        <v>11495</v>
      </c>
      <c r="G565" s="28" t="s">
        <v>11497</v>
      </c>
      <c r="H565" s="28" t="s">
        <v>141</v>
      </c>
      <c r="I565" s="28" t="s">
        <v>142</v>
      </c>
      <c r="J565" s="28" t="s">
        <v>143</v>
      </c>
      <c r="K565" s="28" t="s">
        <v>11498</v>
      </c>
      <c r="L565" s="28" t="s">
        <v>510</v>
      </c>
      <c r="M565" s="28" t="s">
        <v>11499</v>
      </c>
      <c r="N565" s="28" t="s">
        <v>147</v>
      </c>
      <c r="O565" s="29">
        <v>2.94</v>
      </c>
      <c r="P565" s="28" t="s">
        <v>148</v>
      </c>
      <c r="Q565" s="28" t="s">
        <v>149</v>
      </c>
      <c r="R565" s="28" t="s">
        <v>174</v>
      </c>
      <c r="S565" s="28" t="s">
        <v>11500</v>
      </c>
      <c r="T565" s="30">
        <v>12</v>
      </c>
      <c r="U565" s="28" t="s">
        <v>11501</v>
      </c>
      <c r="V565" s="28" t="s">
        <v>138</v>
      </c>
      <c r="W565" s="28" t="s">
        <v>138</v>
      </c>
      <c r="X565" s="31">
        <v>2012</v>
      </c>
      <c r="Y565" s="28" t="s">
        <v>138</v>
      </c>
      <c r="Z565" s="28" t="s">
        <v>138</v>
      </c>
      <c r="AA565" s="28" t="s">
        <v>138</v>
      </c>
      <c r="AB565" s="32">
        <v>0.33</v>
      </c>
      <c r="AC565" s="32" t="s">
        <v>138</v>
      </c>
      <c r="AD565" s="32">
        <v>-0.79</v>
      </c>
      <c r="AE565" s="32" t="s">
        <v>138</v>
      </c>
      <c r="AF565" s="32" t="s">
        <v>138</v>
      </c>
      <c r="AG565" s="28" t="s">
        <v>419</v>
      </c>
      <c r="AH565" s="32" t="s">
        <v>138</v>
      </c>
      <c r="AI565" s="32" t="s">
        <v>138</v>
      </c>
      <c r="AJ565" s="32" t="s">
        <v>138</v>
      </c>
      <c r="AK565" s="28" t="s">
        <v>11502</v>
      </c>
      <c r="AL565" s="28" t="s">
        <v>11503</v>
      </c>
      <c r="AM565" s="28" t="s">
        <v>11504</v>
      </c>
      <c r="AN565" s="28" t="s">
        <v>11505</v>
      </c>
      <c r="AO565" s="28" t="s">
        <v>11506</v>
      </c>
      <c r="AP565" s="28" t="s">
        <v>11507</v>
      </c>
      <c r="AQ565" s="28" t="s">
        <v>11508</v>
      </c>
      <c r="AR565" s="28" t="s">
        <v>138</v>
      </c>
      <c r="AS565" s="28" t="s">
        <v>11509</v>
      </c>
      <c r="AT565" s="28" t="s">
        <v>138</v>
      </c>
      <c r="AU565" s="28" t="s">
        <v>11510</v>
      </c>
      <c r="AV565" s="28" t="s">
        <v>3996</v>
      </c>
      <c r="AW565" s="28" t="s">
        <v>11506</v>
      </c>
      <c r="AX565" s="28" t="s">
        <v>11511</v>
      </c>
      <c r="AY565" s="28" t="s">
        <v>11512</v>
      </c>
      <c r="AZ565" s="28" t="s">
        <v>530</v>
      </c>
      <c r="BA565" s="28" t="s">
        <v>577</v>
      </c>
      <c r="BB565" s="28" t="s">
        <v>11513</v>
      </c>
      <c r="BC565" s="28" t="s">
        <v>11514</v>
      </c>
      <c r="BD565" s="33">
        <v>8</v>
      </c>
      <c r="BE565" s="28" t="s">
        <v>138</v>
      </c>
      <c r="BF565" s="28" t="s">
        <v>138</v>
      </c>
      <c r="BG565" s="28" t="s">
        <v>138</v>
      </c>
      <c r="BH565" s="28" t="s">
        <v>11515</v>
      </c>
      <c r="BI565" s="28" t="s">
        <v>138</v>
      </c>
      <c r="BJ565" s="28" t="s">
        <v>138</v>
      </c>
      <c r="BK565" s="28" t="s">
        <v>138</v>
      </c>
      <c r="BL565" s="28" t="s">
        <v>138</v>
      </c>
      <c r="BM565" s="34">
        <v>41086</v>
      </c>
      <c r="BN565" s="29">
        <v>1.25</v>
      </c>
      <c r="BO565" s="28" t="s">
        <v>1178</v>
      </c>
      <c r="BP565" s="29" t="s">
        <v>138</v>
      </c>
      <c r="BQ565" s="28" t="s">
        <v>138</v>
      </c>
      <c r="BR565" s="28" t="s">
        <v>234</v>
      </c>
      <c r="BS565" s="28" t="s">
        <v>234</v>
      </c>
      <c r="BT565" s="28" t="s">
        <v>138</v>
      </c>
      <c r="BU565" s="28" t="s">
        <v>174</v>
      </c>
      <c r="BV565" s="28" t="s">
        <v>138</v>
      </c>
      <c r="BW565" s="28" t="s">
        <v>138</v>
      </c>
      <c r="BX565" s="28" t="s">
        <v>138</v>
      </c>
      <c r="BY565" s="28" t="s">
        <v>175</v>
      </c>
      <c r="BZ565" s="34" t="s">
        <v>138</v>
      </c>
      <c r="CA565" s="29" t="s">
        <v>138</v>
      </c>
      <c r="CB565" s="28" t="s">
        <v>138</v>
      </c>
      <c r="CC565" s="29" t="s">
        <v>138</v>
      </c>
      <c r="CD565" s="28" t="s">
        <v>138</v>
      </c>
      <c r="CE565" s="28" t="s">
        <v>176</v>
      </c>
      <c r="CF565" s="28" t="s">
        <v>138</v>
      </c>
      <c r="CG565" s="28" t="s">
        <v>138</v>
      </c>
      <c r="CH565" s="28" t="s">
        <v>177</v>
      </c>
      <c r="CI565" s="28" t="s">
        <v>138</v>
      </c>
      <c r="CJ565" s="28" t="s">
        <v>138</v>
      </c>
      <c r="CK565" s="28" t="s">
        <v>138</v>
      </c>
      <c r="CL565" s="28" t="s">
        <v>175</v>
      </c>
      <c r="CM565" s="34" t="s">
        <v>138</v>
      </c>
      <c r="CN565" s="29" t="s">
        <v>138</v>
      </c>
      <c r="CO565" s="35">
        <v>0.06</v>
      </c>
      <c r="CP565" s="36">
        <v>88</v>
      </c>
      <c r="CQ565" s="35">
        <v>0.04</v>
      </c>
      <c r="CR565" s="35">
        <v>157.38999999999999</v>
      </c>
      <c r="CS565" s="35">
        <v>0</v>
      </c>
      <c r="CT565" s="36">
        <v>23</v>
      </c>
      <c r="CU565" s="35">
        <v>0.12</v>
      </c>
      <c r="CV565" s="36">
        <v>71</v>
      </c>
      <c r="CW565" s="35" t="s">
        <v>138</v>
      </c>
      <c r="CX565" s="36" t="s">
        <v>138</v>
      </c>
      <c r="CY565" s="35">
        <v>0</v>
      </c>
      <c r="CZ565" s="36">
        <v>25</v>
      </c>
      <c r="DA565" s="35">
        <v>0</v>
      </c>
      <c r="DB565" s="36">
        <v>22</v>
      </c>
      <c r="DC565" s="37">
        <v>1.44</v>
      </c>
      <c r="DD565" s="36">
        <v>60</v>
      </c>
      <c r="DE565" s="37">
        <v>0.04</v>
      </c>
      <c r="DF565" s="35">
        <v>2.4900000000000002</v>
      </c>
      <c r="DG565" s="37">
        <v>2.5499999999999998</v>
      </c>
      <c r="DH565" s="36">
        <v>71</v>
      </c>
      <c r="DI565" s="37">
        <v>0.34</v>
      </c>
      <c r="DJ565" s="36">
        <v>30</v>
      </c>
      <c r="DK565" s="37" t="s">
        <v>138</v>
      </c>
      <c r="DL565" s="36" t="s">
        <v>138</v>
      </c>
      <c r="DM565" s="37">
        <v>2.5499999999999998</v>
      </c>
      <c r="DN565" s="36">
        <v>70</v>
      </c>
      <c r="DO565" s="37">
        <v>0.49</v>
      </c>
      <c r="DP565" s="36">
        <v>38</v>
      </c>
      <c r="DQ565" s="36" t="s">
        <v>138</v>
      </c>
      <c r="DR565" s="38" t="s">
        <v>138</v>
      </c>
      <c r="DS565" s="35" t="s">
        <v>138</v>
      </c>
      <c r="DT565" s="36">
        <v>73</v>
      </c>
      <c r="DU565" s="38">
        <v>2</v>
      </c>
      <c r="DV565" s="35">
        <v>2.82</v>
      </c>
      <c r="DW565" s="36">
        <v>176</v>
      </c>
      <c r="DX565" s="39">
        <v>1</v>
      </c>
      <c r="DY565" s="35">
        <v>0.56999999999999995</v>
      </c>
      <c r="DZ565" s="28" t="s">
        <v>178</v>
      </c>
      <c r="EA565" s="34">
        <v>43351</v>
      </c>
      <c r="EB565" s="29" t="s">
        <v>138</v>
      </c>
      <c r="EC565" s="34" t="s">
        <v>138</v>
      </c>
      <c r="ED565" s="28" t="s">
        <v>138</v>
      </c>
      <c r="EE565" s="40" t="str">
        <f>HYPERLINK("https://my.pitchbook.com?c=57267-01", "View company online")</f>
        <v>View company online</v>
      </c>
    </row>
    <row r="566" spans="1:135">
      <c r="A566" s="15" t="s">
        <v>11516</v>
      </c>
      <c r="B566" s="15" t="s">
        <v>11517</v>
      </c>
      <c r="C566" s="15" t="s">
        <v>138</v>
      </c>
      <c r="D566" s="15" t="s">
        <v>138</v>
      </c>
      <c r="E566" s="15" t="s">
        <v>11518</v>
      </c>
      <c r="F566" s="15" t="s">
        <v>11516</v>
      </c>
      <c r="G566" s="15" t="s">
        <v>11519</v>
      </c>
      <c r="H566" s="15" t="s">
        <v>322</v>
      </c>
      <c r="I566" s="15" t="s">
        <v>1208</v>
      </c>
      <c r="J566" s="15" t="s">
        <v>1209</v>
      </c>
      <c r="K566" s="15" t="s">
        <v>11520</v>
      </c>
      <c r="L566" s="15" t="s">
        <v>415</v>
      </c>
      <c r="M566" s="15" t="s">
        <v>11521</v>
      </c>
      <c r="N566" s="15" t="s">
        <v>147</v>
      </c>
      <c r="O566" s="17">
        <v>101.23</v>
      </c>
      <c r="P566" s="15" t="s">
        <v>148</v>
      </c>
      <c r="Q566" s="15" t="s">
        <v>149</v>
      </c>
      <c r="R566" s="15" t="s">
        <v>174</v>
      </c>
      <c r="S566" s="15" t="s">
        <v>11522</v>
      </c>
      <c r="T566" s="18">
        <v>34</v>
      </c>
      <c r="U566" s="15" t="s">
        <v>11523</v>
      </c>
      <c r="V566" s="15" t="s">
        <v>138</v>
      </c>
      <c r="W566" s="15" t="s">
        <v>138</v>
      </c>
      <c r="X566" s="19">
        <v>2013</v>
      </c>
      <c r="Y566" s="15" t="s">
        <v>138</v>
      </c>
      <c r="Z566" s="15" t="s">
        <v>138</v>
      </c>
      <c r="AA566" s="15" t="s">
        <v>138</v>
      </c>
      <c r="AB566" s="20" t="s">
        <v>138</v>
      </c>
      <c r="AC566" s="20" t="s">
        <v>138</v>
      </c>
      <c r="AD566" s="20" t="s">
        <v>138</v>
      </c>
      <c r="AE566" s="20" t="s">
        <v>138</v>
      </c>
      <c r="AF566" s="20" t="s">
        <v>138</v>
      </c>
      <c r="AG566" s="15" t="s">
        <v>138</v>
      </c>
      <c r="AH566" s="20" t="s">
        <v>138</v>
      </c>
      <c r="AI566" s="20" t="s">
        <v>138</v>
      </c>
      <c r="AJ566" s="20" t="s">
        <v>138</v>
      </c>
      <c r="AK566" s="15" t="s">
        <v>11524</v>
      </c>
      <c r="AL566" s="15" t="s">
        <v>11525</v>
      </c>
      <c r="AM566" s="15" t="s">
        <v>249</v>
      </c>
      <c r="AN566" s="15" t="s">
        <v>11526</v>
      </c>
      <c r="AO566" s="15" t="s">
        <v>11527</v>
      </c>
      <c r="AP566" s="15" t="s">
        <v>4876</v>
      </c>
      <c r="AQ566" s="15" t="s">
        <v>11528</v>
      </c>
      <c r="AR566" s="15" t="s">
        <v>226</v>
      </c>
      <c r="AS566" s="15" t="s">
        <v>4878</v>
      </c>
      <c r="AT566" s="15" t="s">
        <v>200</v>
      </c>
      <c r="AU566" s="15" t="s">
        <v>11529</v>
      </c>
      <c r="AV566" s="15" t="s">
        <v>162</v>
      </c>
      <c r="AW566" s="15" t="s">
        <v>11527</v>
      </c>
      <c r="AX566" s="15" t="s">
        <v>138</v>
      </c>
      <c r="AY566" s="15" t="s">
        <v>138</v>
      </c>
      <c r="AZ566" s="15" t="s">
        <v>164</v>
      </c>
      <c r="BA566" s="15" t="s">
        <v>165</v>
      </c>
      <c r="BB566" s="15" t="s">
        <v>11530</v>
      </c>
      <c r="BC566" s="15" t="s">
        <v>11531</v>
      </c>
      <c r="BD566" s="21">
        <v>8</v>
      </c>
      <c r="BE566" s="15" t="s">
        <v>138</v>
      </c>
      <c r="BF566" s="15" t="s">
        <v>138</v>
      </c>
      <c r="BG566" s="15" t="s">
        <v>138</v>
      </c>
      <c r="BH566" s="15" t="s">
        <v>11532</v>
      </c>
      <c r="BI566" s="15" t="s">
        <v>138</v>
      </c>
      <c r="BJ566" s="15" t="s">
        <v>138</v>
      </c>
      <c r="BK566" s="15" t="s">
        <v>138</v>
      </c>
      <c r="BL566" s="15" t="s">
        <v>138</v>
      </c>
      <c r="BM566" s="22">
        <v>41736</v>
      </c>
      <c r="BN566" s="17">
        <v>4.3</v>
      </c>
      <c r="BO566" s="15" t="s">
        <v>172</v>
      </c>
      <c r="BP566" s="17">
        <v>10.62</v>
      </c>
      <c r="BQ566" s="15" t="s">
        <v>172</v>
      </c>
      <c r="BR566" s="15" t="s">
        <v>205</v>
      </c>
      <c r="BS566" s="15" t="s">
        <v>206</v>
      </c>
      <c r="BT566" s="15" t="s">
        <v>138</v>
      </c>
      <c r="BU566" s="15" t="s">
        <v>174</v>
      </c>
      <c r="BV566" s="15" t="s">
        <v>138</v>
      </c>
      <c r="BW566" s="15" t="s">
        <v>138</v>
      </c>
      <c r="BX566" s="15" t="s">
        <v>138</v>
      </c>
      <c r="BY566" s="15" t="s">
        <v>175</v>
      </c>
      <c r="BZ566" s="22">
        <v>43166</v>
      </c>
      <c r="CA566" s="17">
        <v>40</v>
      </c>
      <c r="CB566" s="15" t="s">
        <v>172</v>
      </c>
      <c r="CC566" s="17" t="s">
        <v>138</v>
      </c>
      <c r="CD566" s="15" t="s">
        <v>138</v>
      </c>
      <c r="CE566" s="15" t="s">
        <v>173</v>
      </c>
      <c r="CF566" s="15" t="s">
        <v>433</v>
      </c>
      <c r="CG566" s="15" t="s">
        <v>138</v>
      </c>
      <c r="CH566" s="15" t="s">
        <v>174</v>
      </c>
      <c r="CI566" s="15" t="s">
        <v>138</v>
      </c>
      <c r="CJ566" s="15" t="s">
        <v>138</v>
      </c>
      <c r="CK566" s="15" t="s">
        <v>138</v>
      </c>
      <c r="CL566" s="15" t="s">
        <v>175</v>
      </c>
      <c r="CM566" s="22" t="s">
        <v>138</v>
      </c>
      <c r="CN566" s="17" t="s">
        <v>138</v>
      </c>
      <c r="CO566" s="23">
        <v>0.17</v>
      </c>
      <c r="CP566" s="24">
        <v>92</v>
      </c>
      <c r="CQ566" s="23">
        <v>0.04</v>
      </c>
      <c r="CR566" s="23">
        <v>26.42</v>
      </c>
      <c r="CS566" s="23">
        <v>0.12</v>
      </c>
      <c r="CT566" s="24">
        <v>94</v>
      </c>
      <c r="CU566" s="23">
        <v>0.22</v>
      </c>
      <c r="CV566" s="24">
        <v>82</v>
      </c>
      <c r="CW566" s="23">
        <v>0.25</v>
      </c>
      <c r="CX566" s="24">
        <v>81</v>
      </c>
      <c r="CY566" s="23">
        <v>0</v>
      </c>
      <c r="CZ566" s="24">
        <v>25</v>
      </c>
      <c r="DA566" s="23">
        <v>0.43</v>
      </c>
      <c r="DB566" s="24">
        <v>93</v>
      </c>
      <c r="DC566" s="25">
        <v>1.55</v>
      </c>
      <c r="DD566" s="24">
        <v>61</v>
      </c>
      <c r="DE566" s="25">
        <v>-0.09</v>
      </c>
      <c r="DF566" s="23">
        <v>-5.52</v>
      </c>
      <c r="DG566" s="25">
        <v>2.3199999999999998</v>
      </c>
      <c r="DH566" s="24">
        <v>70</v>
      </c>
      <c r="DI566" s="25">
        <v>0.77</v>
      </c>
      <c r="DJ566" s="24">
        <v>44</v>
      </c>
      <c r="DK566" s="25">
        <v>2.99</v>
      </c>
      <c r="DL566" s="24">
        <v>71</v>
      </c>
      <c r="DM566" s="25">
        <v>1.66</v>
      </c>
      <c r="DN566" s="24">
        <v>62</v>
      </c>
      <c r="DO566" s="25">
        <v>1.5</v>
      </c>
      <c r="DP566" s="24">
        <v>58</v>
      </c>
      <c r="DQ566" s="24">
        <v>1020</v>
      </c>
      <c r="DR566" s="26">
        <v>13</v>
      </c>
      <c r="DS566" s="23">
        <v>1.29</v>
      </c>
      <c r="DT566" s="24">
        <v>48</v>
      </c>
      <c r="DU566" s="26">
        <v>0</v>
      </c>
      <c r="DV566" s="23">
        <v>0</v>
      </c>
      <c r="DW566" s="24">
        <v>534</v>
      </c>
      <c r="DX566" s="27">
        <v>6</v>
      </c>
      <c r="DY566" s="23">
        <v>1.1399999999999999</v>
      </c>
      <c r="DZ566" s="15" t="s">
        <v>178</v>
      </c>
      <c r="EA566" s="22">
        <v>43351</v>
      </c>
      <c r="EB566" s="17">
        <v>122.77</v>
      </c>
      <c r="EC566" s="22">
        <v>43009</v>
      </c>
      <c r="ED566" s="15" t="s">
        <v>205</v>
      </c>
      <c r="EE566" s="14" t="str">
        <f>HYPERLINK("https://my.pitchbook.com?c=160331-77", "View company online")</f>
        <v>View company online</v>
      </c>
    </row>
    <row r="567" spans="1:135">
      <c r="A567" s="28" t="s">
        <v>11533</v>
      </c>
      <c r="B567" s="28" t="s">
        <v>11534</v>
      </c>
      <c r="C567" s="28" t="s">
        <v>138</v>
      </c>
      <c r="D567" s="28" t="s">
        <v>138</v>
      </c>
      <c r="E567" s="28" t="s">
        <v>11535</v>
      </c>
      <c r="F567" s="28" t="s">
        <v>11533</v>
      </c>
      <c r="G567" s="28" t="s">
        <v>11536</v>
      </c>
      <c r="H567" s="28" t="s">
        <v>141</v>
      </c>
      <c r="I567" s="28" t="s">
        <v>142</v>
      </c>
      <c r="J567" s="28" t="s">
        <v>4910</v>
      </c>
      <c r="K567" s="28" t="s">
        <v>11537</v>
      </c>
      <c r="L567" s="28" t="s">
        <v>6395</v>
      </c>
      <c r="M567" s="28" t="s">
        <v>11538</v>
      </c>
      <c r="N567" s="28" t="s">
        <v>147</v>
      </c>
      <c r="O567" s="29">
        <v>257.31</v>
      </c>
      <c r="P567" s="28" t="s">
        <v>148</v>
      </c>
      <c r="Q567" s="28" t="s">
        <v>149</v>
      </c>
      <c r="R567" s="28" t="s">
        <v>174</v>
      </c>
      <c r="S567" s="28" t="s">
        <v>11539</v>
      </c>
      <c r="T567" s="30">
        <v>400</v>
      </c>
      <c r="U567" s="28" t="s">
        <v>11540</v>
      </c>
      <c r="V567" s="28" t="s">
        <v>138</v>
      </c>
      <c r="W567" s="28" t="s">
        <v>138</v>
      </c>
      <c r="X567" s="31">
        <v>2006</v>
      </c>
      <c r="Y567" s="28" t="s">
        <v>138</v>
      </c>
      <c r="Z567" s="28" t="s">
        <v>138</v>
      </c>
      <c r="AA567" s="28" t="s">
        <v>138</v>
      </c>
      <c r="AB567" s="32" t="s">
        <v>138</v>
      </c>
      <c r="AC567" s="32" t="s">
        <v>138</v>
      </c>
      <c r="AD567" s="32" t="s">
        <v>138</v>
      </c>
      <c r="AE567" s="32" t="s">
        <v>138</v>
      </c>
      <c r="AF567" s="32" t="s">
        <v>138</v>
      </c>
      <c r="AG567" s="28" t="s">
        <v>138</v>
      </c>
      <c r="AH567" s="32" t="s">
        <v>138</v>
      </c>
      <c r="AI567" s="32" t="s">
        <v>138</v>
      </c>
      <c r="AJ567" s="32" t="s">
        <v>138</v>
      </c>
      <c r="AK567" s="28" t="s">
        <v>11541</v>
      </c>
      <c r="AL567" s="28" t="s">
        <v>11542</v>
      </c>
      <c r="AM567" s="28" t="s">
        <v>11543</v>
      </c>
      <c r="AN567" s="28" t="s">
        <v>11544</v>
      </c>
      <c r="AO567" s="28" t="s">
        <v>11545</v>
      </c>
      <c r="AP567" s="28" t="s">
        <v>11546</v>
      </c>
      <c r="AQ567" s="28" t="s">
        <v>11547</v>
      </c>
      <c r="AR567" s="28" t="s">
        <v>8976</v>
      </c>
      <c r="AS567" s="28" t="s">
        <v>11548</v>
      </c>
      <c r="AT567" s="28" t="s">
        <v>200</v>
      </c>
      <c r="AU567" s="28" t="s">
        <v>11549</v>
      </c>
      <c r="AV567" s="28" t="s">
        <v>162</v>
      </c>
      <c r="AW567" s="28" t="s">
        <v>11550</v>
      </c>
      <c r="AX567" s="28" t="s">
        <v>138</v>
      </c>
      <c r="AY567" s="28" t="s">
        <v>11551</v>
      </c>
      <c r="AZ567" s="28" t="s">
        <v>164</v>
      </c>
      <c r="BA567" s="28" t="s">
        <v>165</v>
      </c>
      <c r="BB567" s="28" t="s">
        <v>11552</v>
      </c>
      <c r="BC567" s="28" t="s">
        <v>11553</v>
      </c>
      <c r="BD567" s="33">
        <v>11</v>
      </c>
      <c r="BE567" s="28" t="s">
        <v>138</v>
      </c>
      <c r="BF567" s="28" t="s">
        <v>138</v>
      </c>
      <c r="BG567" s="28" t="s">
        <v>138</v>
      </c>
      <c r="BH567" s="28" t="s">
        <v>11554</v>
      </c>
      <c r="BI567" s="28" t="s">
        <v>138</v>
      </c>
      <c r="BJ567" s="28" t="s">
        <v>138</v>
      </c>
      <c r="BK567" s="28" t="s">
        <v>1691</v>
      </c>
      <c r="BL567" s="28" t="s">
        <v>1691</v>
      </c>
      <c r="BM567" s="34">
        <v>38718</v>
      </c>
      <c r="BN567" s="29" t="s">
        <v>138</v>
      </c>
      <c r="BO567" s="28" t="s">
        <v>138</v>
      </c>
      <c r="BP567" s="29" t="s">
        <v>138</v>
      </c>
      <c r="BQ567" s="28" t="s">
        <v>138</v>
      </c>
      <c r="BR567" s="28" t="s">
        <v>262</v>
      </c>
      <c r="BS567" s="28" t="s">
        <v>262</v>
      </c>
      <c r="BT567" s="28" t="s">
        <v>138</v>
      </c>
      <c r="BU567" s="28" t="s">
        <v>263</v>
      </c>
      <c r="BV567" s="28" t="s">
        <v>138</v>
      </c>
      <c r="BW567" s="28" t="s">
        <v>138</v>
      </c>
      <c r="BX567" s="28" t="s">
        <v>138</v>
      </c>
      <c r="BY567" s="28" t="s">
        <v>175</v>
      </c>
      <c r="BZ567" s="34">
        <v>43419</v>
      </c>
      <c r="CA567" s="29">
        <v>140</v>
      </c>
      <c r="CB567" s="28" t="s">
        <v>172</v>
      </c>
      <c r="CC567" s="29">
        <v>1415</v>
      </c>
      <c r="CD567" s="28" t="s">
        <v>172</v>
      </c>
      <c r="CE567" s="28" t="s">
        <v>173</v>
      </c>
      <c r="CF567" s="28" t="s">
        <v>482</v>
      </c>
      <c r="CG567" s="28" t="s">
        <v>138</v>
      </c>
      <c r="CH567" s="28" t="s">
        <v>174</v>
      </c>
      <c r="CI567" s="28" t="s">
        <v>138</v>
      </c>
      <c r="CJ567" s="28" t="s">
        <v>138</v>
      </c>
      <c r="CK567" s="28" t="s">
        <v>138</v>
      </c>
      <c r="CL567" s="28" t="s">
        <v>175</v>
      </c>
      <c r="CM567" s="34" t="s">
        <v>138</v>
      </c>
      <c r="CN567" s="29" t="s">
        <v>138</v>
      </c>
      <c r="CO567" s="35">
        <v>-2.34</v>
      </c>
      <c r="CP567" s="36">
        <v>4</v>
      </c>
      <c r="CQ567" s="35">
        <v>0.17</v>
      </c>
      <c r="CR567" s="35">
        <v>6.68</v>
      </c>
      <c r="CS567" s="35">
        <v>-5.7</v>
      </c>
      <c r="CT567" s="36">
        <v>2</v>
      </c>
      <c r="CU567" s="35">
        <v>1.02</v>
      </c>
      <c r="CV567" s="36">
        <v>98</v>
      </c>
      <c r="CW567" s="35">
        <v>-9.81</v>
      </c>
      <c r="CX567" s="36">
        <v>1</v>
      </c>
      <c r="CY567" s="35">
        <v>-1.6</v>
      </c>
      <c r="CZ567" s="36">
        <v>14</v>
      </c>
      <c r="DA567" s="35">
        <v>1.02</v>
      </c>
      <c r="DB567" s="36">
        <v>98</v>
      </c>
      <c r="DC567" s="37">
        <v>125.49</v>
      </c>
      <c r="DD567" s="36">
        <v>99</v>
      </c>
      <c r="DE567" s="37">
        <v>38.130000000000003</v>
      </c>
      <c r="DF567" s="35">
        <v>43.64</v>
      </c>
      <c r="DG567" s="37">
        <v>56.08</v>
      </c>
      <c r="DH567" s="36">
        <v>98</v>
      </c>
      <c r="DI567" s="37">
        <v>194.9</v>
      </c>
      <c r="DJ567" s="36">
        <v>98</v>
      </c>
      <c r="DK567" s="37">
        <v>32.090000000000003</v>
      </c>
      <c r="DL567" s="36">
        <v>94</v>
      </c>
      <c r="DM567" s="37">
        <v>80.069999999999993</v>
      </c>
      <c r="DN567" s="36">
        <v>99</v>
      </c>
      <c r="DO567" s="37">
        <v>194.9</v>
      </c>
      <c r="DP567" s="36">
        <v>99</v>
      </c>
      <c r="DQ567" s="36">
        <v>11570</v>
      </c>
      <c r="DR567" s="38">
        <v>-1695</v>
      </c>
      <c r="DS567" s="35">
        <v>-12.78</v>
      </c>
      <c r="DT567" s="36">
        <v>2314</v>
      </c>
      <c r="DU567" s="38">
        <v>18</v>
      </c>
      <c r="DV567" s="35">
        <v>0.78</v>
      </c>
      <c r="DW567" s="36">
        <v>69387</v>
      </c>
      <c r="DX567" s="39">
        <v>674</v>
      </c>
      <c r="DY567" s="35">
        <v>0.98</v>
      </c>
      <c r="DZ567" s="28" t="s">
        <v>178</v>
      </c>
      <c r="EA567" s="34">
        <v>43622</v>
      </c>
      <c r="EB567" s="29">
        <v>1415</v>
      </c>
      <c r="EC567" s="34">
        <v>43419</v>
      </c>
      <c r="ED567" s="28" t="s">
        <v>173</v>
      </c>
      <c r="EE567" s="40" t="str">
        <f>HYPERLINK("https://my.pitchbook.com?c=99587-80", "View company online")</f>
        <v>View company online</v>
      </c>
    </row>
    <row r="568" spans="1:135">
      <c r="A568" s="15" t="s">
        <v>11555</v>
      </c>
      <c r="B568" s="15" t="s">
        <v>11556</v>
      </c>
      <c r="C568" s="15" t="s">
        <v>138</v>
      </c>
      <c r="D568" s="15" t="s">
        <v>11557</v>
      </c>
      <c r="E568" s="15" t="s">
        <v>138</v>
      </c>
      <c r="F568" s="15" t="s">
        <v>11555</v>
      </c>
      <c r="G568" s="15" t="s">
        <v>11558</v>
      </c>
      <c r="H568" s="15" t="s">
        <v>141</v>
      </c>
      <c r="I568" s="15" t="s">
        <v>142</v>
      </c>
      <c r="J568" s="15" t="s">
        <v>1924</v>
      </c>
      <c r="K568" s="15" t="s">
        <v>11559</v>
      </c>
      <c r="L568" s="15" t="s">
        <v>11560</v>
      </c>
      <c r="M568" s="15" t="s">
        <v>11561</v>
      </c>
      <c r="N568" s="15" t="s">
        <v>147</v>
      </c>
      <c r="O568" s="17">
        <v>10</v>
      </c>
      <c r="P568" s="15" t="s">
        <v>148</v>
      </c>
      <c r="Q568" s="15" t="s">
        <v>149</v>
      </c>
      <c r="R568" s="15" t="s">
        <v>174</v>
      </c>
      <c r="S568" s="15" t="s">
        <v>11562</v>
      </c>
      <c r="T568" s="18">
        <v>8</v>
      </c>
      <c r="U568" s="15" t="s">
        <v>11563</v>
      </c>
      <c r="V568" s="15" t="s">
        <v>138</v>
      </c>
      <c r="W568" s="15" t="s">
        <v>138</v>
      </c>
      <c r="X568" s="19" t="s">
        <v>138</v>
      </c>
      <c r="Y568" s="15" t="s">
        <v>138</v>
      </c>
      <c r="Z568" s="15" t="s">
        <v>138</v>
      </c>
      <c r="AA568" s="15" t="s">
        <v>138</v>
      </c>
      <c r="AB568" s="20" t="s">
        <v>138</v>
      </c>
      <c r="AC568" s="20" t="s">
        <v>138</v>
      </c>
      <c r="AD568" s="20" t="s">
        <v>138</v>
      </c>
      <c r="AE568" s="20" t="s">
        <v>138</v>
      </c>
      <c r="AF568" s="20" t="s">
        <v>138</v>
      </c>
      <c r="AG568" s="15" t="s">
        <v>138</v>
      </c>
      <c r="AH568" s="20" t="s">
        <v>138</v>
      </c>
      <c r="AI568" s="20" t="s">
        <v>138</v>
      </c>
      <c r="AJ568" s="20" t="s">
        <v>138</v>
      </c>
      <c r="AK568" s="15" t="s">
        <v>11564</v>
      </c>
      <c r="AL568" s="15" t="s">
        <v>11565</v>
      </c>
      <c r="AM568" s="15" t="s">
        <v>11566</v>
      </c>
      <c r="AN568" s="15" t="s">
        <v>138</v>
      </c>
      <c r="AO568" s="15" t="s">
        <v>11567</v>
      </c>
      <c r="AP568" s="15" t="s">
        <v>11568</v>
      </c>
      <c r="AQ568" s="15" t="s">
        <v>11569</v>
      </c>
      <c r="AR568" s="15" t="s">
        <v>11570</v>
      </c>
      <c r="AS568" s="15" t="s">
        <v>11571</v>
      </c>
      <c r="AT568" s="15" t="s">
        <v>138</v>
      </c>
      <c r="AU568" s="15" t="s">
        <v>11572</v>
      </c>
      <c r="AV568" s="15" t="s">
        <v>11573</v>
      </c>
      <c r="AW568" s="15" t="s">
        <v>11567</v>
      </c>
      <c r="AX568" s="15" t="s">
        <v>138</v>
      </c>
      <c r="AY568" s="15" t="s">
        <v>11574</v>
      </c>
      <c r="AZ568" s="15" t="s">
        <v>9001</v>
      </c>
      <c r="BA568" s="15" t="s">
        <v>9001</v>
      </c>
      <c r="BB568" s="15" t="s">
        <v>11575</v>
      </c>
      <c r="BC568" s="15" t="s">
        <v>11576</v>
      </c>
      <c r="BD568" s="21">
        <v>6</v>
      </c>
      <c r="BE568" s="15" t="s">
        <v>138</v>
      </c>
      <c r="BF568" s="15" t="s">
        <v>138</v>
      </c>
      <c r="BG568" s="15" t="s">
        <v>138</v>
      </c>
      <c r="BH568" s="15" t="s">
        <v>11577</v>
      </c>
      <c r="BI568" s="15" t="s">
        <v>138</v>
      </c>
      <c r="BJ568" s="15" t="s">
        <v>138</v>
      </c>
      <c r="BK568" s="15" t="s">
        <v>138</v>
      </c>
      <c r="BL568" s="15" t="s">
        <v>138</v>
      </c>
      <c r="BM568" s="22">
        <v>41883</v>
      </c>
      <c r="BN568" s="17" t="s">
        <v>138</v>
      </c>
      <c r="BO568" s="15" t="s">
        <v>138</v>
      </c>
      <c r="BP568" s="17" t="s">
        <v>138</v>
      </c>
      <c r="BQ568" s="15" t="s">
        <v>138</v>
      </c>
      <c r="BR568" s="15" t="s">
        <v>176</v>
      </c>
      <c r="BS568" s="15" t="s">
        <v>138</v>
      </c>
      <c r="BT568" s="15" t="s">
        <v>138</v>
      </c>
      <c r="BU568" s="15" t="s">
        <v>177</v>
      </c>
      <c r="BV568" s="15" t="s">
        <v>138</v>
      </c>
      <c r="BW568" s="15" t="s">
        <v>138</v>
      </c>
      <c r="BX568" s="15" t="s">
        <v>138</v>
      </c>
      <c r="BY568" s="15" t="s">
        <v>175</v>
      </c>
      <c r="BZ568" s="22">
        <v>43419</v>
      </c>
      <c r="CA568" s="17">
        <v>10</v>
      </c>
      <c r="CB568" s="15" t="s">
        <v>172</v>
      </c>
      <c r="CC568" s="17" t="s">
        <v>138</v>
      </c>
      <c r="CD568" s="15" t="s">
        <v>138</v>
      </c>
      <c r="CE568" s="15" t="s">
        <v>205</v>
      </c>
      <c r="CF568" s="15" t="s">
        <v>138</v>
      </c>
      <c r="CG568" s="15" t="s">
        <v>138</v>
      </c>
      <c r="CH568" s="15" t="s">
        <v>174</v>
      </c>
      <c r="CI568" s="15" t="s">
        <v>138</v>
      </c>
      <c r="CJ568" s="15" t="s">
        <v>138</v>
      </c>
      <c r="CK568" s="15" t="s">
        <v>138</v>
      </c>
      <c r="CL568" s="15" t="s">
        <v>175</v>
      </c>
      <c r="CM568" s="22" t="s">
        <v>138</v>
      </c>
      <c r="CN568" s="17" t="s">
        <v>138</v>
      </c>
      <c r="CO568" s="23">
        <v>0.79</v>
      </c>
      <c r="CP568" s="24">
        <v>96</v>
      </c>
      <c r="CQ568" s="23">
        <v>0.02</v>
      </c>
      <c r="CR568" s="23">
        <v>2.5499999999999998</v>
      </c>
      <c r="CS568" s="23">
        <v>0</v>
      </c>
      <c r="CT568" s="24">
        <v>23</v>
      </c>
      <c r="CU568" s="23">
        <v>1.58</v>
      </c>
      <c r="CV568" s="24">
        <v>99</v>
      </c>
      <c r="CW568" s="23" t="s">
        <v>138</v>
      </c>
      <c r="CX568" s="24" t="s">
        <v>138</v>
      </c>
      <c r="CY568" s="23">
        <v>0</v>
      </c>
      <c r="CZ568" s="24">
        <v>25</v>
      </c>
      <c r="DA568" s="23">
        <v>1.58</v>
      </c>
      <c r="DB568" s="24">
        <v>99</v>
      </c>
      <c r="DC568" s="25">
        <v>1.58</v>
      </c>
      <c r="DD568" s="24">
        <v>62</v>
      </c>
      <c r="DE568" s="25">
        <v>0.02</v>
      </c>
      <c r="DF568" s="23">
        <v>1.59</v>
      </c>
      <c r="DG568" s="25">
        <v>2.48</v>
      </c>
      <c r="DH568" s="24">
        <v>71</v>
      </c>
      <c r="DI568" s="25">
        <v>0.67</v>
      </c>
      <c r="DJ568" s="24">
        <v>42</v>
      </c>
      <c r="DK568" s="25" t="s">
        <v>138</v>
      </c>
      <c r="DL568" s="24" t="s">
        <v>138</v>
      </c>
      <c r="DM568" s="25">
        <v>2.48</v>
      </c>
      <c r="DN568" s="24">
        <v>70</v>
      </c>
      <c r="DO568" s="25">
        <v>0.67</v>
      </c>
      <c r="DP568" s="24">
        <v>43</v>
      </c>
      <c r="DQ568" s="24" t="s">
        <v>138</v>
      </c>
      <c r="DR568" s="26" t="s">
        <v>138</v>
      </c>
      <c r="DS568" s="23" t="s">
        <v>138</v>
      </c>
      <c r="DT568" s="24">
        <v>71</v>
      </c>
      <c r="DU568" s="26">
        <v>1</v>
      </c>
      <c r="DV568" s="23">
        <v>1.43</v>
      </c>
      <c r="DW568" s="24">
        <v>239</v>
      </c>
      <c r="DX568" s="27">
        <v>3</v>
      </c>
      <c r="DY568" s="23">
        <v>1.27</v>
      </c>
      <c r="DZ568" s="15" t="s">
        <v>178</v>
      </c>
      <c r="EA568" s="22">
        <v>43622</v>
      </c>
      <c r="EB568" s="17" t="s">
        <v>138</v>
      </c>
      <c r="EC568" s="22" t="s">
        <v>138</v>
      </c>
      <c r="ED568" s="15" t="s">
        <v>138</v>
      </c>
      <c r="EE568" s="14" t="str">
        <f>HYPERLINK("https://my.pitchbook.com?c=179853-13", "View company online")</f>
        <v>View company online</v>
      </c>
    </row>
    <row r="569" spans="1:135">
      <c r="A569" s="28" t="s">
        <v>11578</v>
      </c>
      <c r="B569" s="28" t="s">
        <v>11579</v>
      </c>
      <c r="C569" s="28" t="s">
        <v>11580</v>
      </c>
      <c r="D569" s="28" t="s">
        <v>138</v>
      </c>
      <c r="E569" s="28" t="s">
        <v>138</v>
      </c>
      <c r="F569" s="28" t="s">
        <v>11578</v>
      </c>
      <c r="G569" s="28" t="s">
        <v>11581</v>
      </c>
      <c r="H569" s="28" t="s">
        <v>141</v>
      </c>
      <c r="I569" s="28" t="s">
        <v>142</v>
      </c>
      <c r="J569" s="28" t="s">
        <v>4910</v>
      </c>
      <c r="K569" s="28" t="s">
        <v>11582</v>
      </c>
      <c r="L569" s="28" t="s">
        <v>3681</v>
      </c>
      <c r="M569" s="28" t="s">
        <v>11583</v>
      </c>
      <c r="N569" s="28" t="s">
        <v>147</v>
      </c>
      <c r="O569" s="29">
        <v>0.7</v>
      </c>
      <c r="P569" s="28" t="s">
        <v>148</v>
      </c>
      <c r="Q569" s="28" t="s">
        <v>149</v>
      </c>
      <c r="R569" s="28" t="s">
        <v>174</v>
      </c>
      <c r="S569" s="28" t="s">
        <v>11584</v>
      </c>
      <c r="T569" s="30" t="s">
        <v>138</v>
      </c>
      <c r="U569" s="28" t="s">
        <v>138</v>
      </c>
      <c r="V569" s="28" t="s">
        <v>138</v>
      </c>
      <c r="W569" s="28" t="s">
        <v>138</v>
      </c>
      <c r="X569" s="31">
        <v>2014</v>
      </c>
      <c r="Y569" s="28" t="s">
        <v>138</v>
      </c>
      <c r="Z569" s="28" t="s">
        <v>11585</v>
      </c>
      <c r="AA569" s="28" t="s">
        <v>11586</v>
      </c>
      <c r="AB569" s="32" t="s">
        <v>138</v>
      </c>
      <c r="AC569" s="32" t="s">
        <v>138</v>
      </c>
      <c r="AD569" s="32" t="s">
        <v>138</v>
      </c>
      <c r="AE569" s="32" t="s">
        <v>138</v>
      </c>
      <c r="AF569" s="32" t="s">
        <v>138</v>
      </c>
      <c r="AG569" s="28" t="s">
        <v>138</v>
      </c>
      <c r="AH569" s="32" t="s">
        <v>138</v>
      </c>
      <c r="AI569" s="32" t="s">
        <v>138</v>
      </c>
      <c r="AJ569" s="32" t="s">
        <v>138</v>
      </c>
      <c r="AK569" s="28" t="s">
        <v>11587</v>
      </c>
      <c r="AL569" s="28" t="s">
        <v>11588</v>
      </c>
      <c r="AM569" s="28" t="s">
        <v>11589</v>
      </c>
      <c r="AN569" s="28" t="s">
        <v>11590</v>
      </c>
      <c r="AO569" s="28" t="s">
        <v>11591</v>
      </c>
      <c r="AP569" s="28" t="s">
        <v>9461</v>
      </c>
      <c r="AQ569" s="28" t="s">
        <v>11592</v>
      </c>
      <c r="AR569" s="28" t="s">
        <v>11593</v>
      </c>
      <c r="AS569" s="28" t="s">
        <v>9463</v>
      </c>
      <c r="AT569" s="28" t="s">
        <v>9464</v>
      </c>
      <c r="AU569" s="28" t="s">
        <v>9465</v>
      </c>
      <c r="AV569" s="28" t="s">
        <v>162</v>
      </c>
      <c r="AW569" s="28" t="s">
        <v>11591</v>
      </c>
      <c r="AX569" s="28" t="s">
        <v>138</v>
      </c>
      <c r="AY569" s="28" t="s">
        <v>11594</v>
      </c>
      <c r="AZ569" s="28" t="s">
        <v>164</v>
      </c>
      <c r="BA569" s="28" t="s">
        <v>165</v>
      </c>
      <c r="BB569" s="28" t="s">
        <v>11595</v>
      </c>
      <c r="BC569" s="28" t="s">
        <v>11596</v>
      </c>
      <c r="BD569" s="33">
        <v>4</v>
      </c>
      <c r="BE569" s="28" t="s">
        <v>138</v>
      </c>
      <c r="BF569" s="28" t="s">
        <v>138</v>
      </c>
      <c r="BG569" s="28" t="s">
        <v>138</v>
      </c>
      <c r="BH569" s="28" t="s">
        <v>11597</v>
      </c>
      <c r="BI569" s="28" t="s">
        <v>138</v>
      </c>
      <c r="BJ569" s="28" t="s">
        <v>138</v>
      </c>
      <c r="BK569" s="28" t="s">
        <v>138</v>
      </c>
      <c r="BL569" s="28" t="s">
        <v>138</v>
      </c>
      <c r="BM569" s="34">
        <v>42963</v>
      </c>
      <c r="BN569" s="29">
        <v>0.7</v>
      </c>
      <c r="BO569" s="28" t="s">
        <v>172</v>
      </c>
      <c r="BP569" s="29" t="s">
        <v>138</v>
      </c>
      <c r="BQ569" s="28" t="s">
        <v>138</v>
      </c>
      <c r="BR569" s="28" t="s">
        <v>234</v>
      </c>
      <c r="BS569" s="28" t="s">
        <v>234</v>
      </c>
      <c r="BT569" s="28" t="s">
        <v>138</v>
      </c>
      <c r="BU569" s="28" t="s">
        <v>174</v>
      </c>
      <c r="BV569" s="28" t="s">
        <v>138</v>
      </c>
      <c r="BW569" s="28" t="s">
        <v>138</v>
      </c>
      <c r="BX569" s="28" t="s">
        <v>138</v>
      </c>
      <c r="BY569" s="28" t="s">
        <v>175</v>
      </c>
      <c r="BZ569" s="34">
        <v>43620</v>
      </c>
      <c r="CA569" s="29" t="s">
        <v>138</v>
      </c>
      <c r="CB569" s="28" t="s">
        <v>138</v>
      </c>
      <c r="CC569" s="29" t="s">
        <v>138</v>
      </c>
      <c r="CD569" s="28" t="s">
        <v>138</v>
      </c>
      <c r="CE569" s="28" t="s">
        <v>205</v>
      </c>
      <c r="CF569" s="28" t="s">
        <v>138</v>
      </c>
      <c r="CG569" s="28" t="s">
        <v>138</v>
      </c>
      <c r="CH569" s="28" t="s">
        <v>174</v>
      </c>
      <c r="CI569" s="28" t="s">
        <v>138</v>
      </c>
      <c r="CJ569" s="28" t="s">
        <v>138</v>
      </c>
      <c r="CK569" s="28" t="s">
        <v>138</v>
      </c>
      <c r="CL569" s="28" t="s">
        <v>175</v>
      </c>
      <c r="CM569" s="34" t="s">
        <v>138</v>
      </c>
      <c r="CN569" s="29" t="s">
        <v>138</v>
      </c>
      <c r="CO569" s="35">
        <v>0.01</v>
      </c>
      <c r="CP569" s="36">
        <v>84</v>
      </c>
      <c r="CQ569" s="35">
        <v>0.02</v>
      </c>
      <c r="CR569" s="35">
        <v>202.94</v>
      </c>
      <c r="CS569" s="35">
        <v>0</v>
      </c>
      <c r="CT569" s="36">
        <v>23</v>
      </c>
      <c r="CU569" s="35">
        <v>0.02</v>
      </c>
      <c r="CV569" s="36">
        <v>51</v>
      </c>
      <c r="CW569" s="35" t="s">
        <v>138</v>
      </c>
      <c r="CX569" s="36" t="s">
        <v>138</v>
      </c>
      <c r="CY569" s="35">
        <v>0</v>
      </c>
      <c r="CZ569" s="36">
        <v>25</v>
      </c>
      <c r="DA569" s="35">
        <v>0.02</v>
      </c>
      <c r="DB569" s="36">
        <v>58</v>
      </c>
      <c r="DC569" s="37">
        <v>2.33</v>
      </c>
      <c r="DD569" s="36">
        <v>70</v>
      </c>
      <c r="DE569" s="37">
        <v>0.02</v>
      </c>
      <c r="DF569" s="35">
        <v>0.92</v>
      </c>
      <c r="DG569" s="37">
        <v>3.21</v>
      </c>
      <c r="DH569" s="36">
        <v>76</v>
      </c>
      <c r="DI569" s="37">
        <v>1.45</v>
      </c>
      <c r="DJ569" s="36">
        <v>56</v>
      </c>
      <c r="DK569" s="37" t="s">
        <v>138</v>
      </c>
      <c r="DL569" s="36" t="s">
        <v>138</v>
      </c>
      <c r="DM569" s="37">
        <v>3.21</v>
      </c>
      <c r="DN569" s="36">
        <v>75</v>
      </c>
      <c r="DO569" s="37">
        <v>1.45</v>
      </c>
      <c r="DP569" s="36">
        <v>58</v>
      </c>
      <c r="DQ569" s="36" t="s">
        <v>138</v>
      </c>
      <c r="DR569" s="38" t="s">
        <v>138</v>
      </c>
      <c r="DS569" s="35" t="s">
        <v>138</v>
      </c>
      <c r="DT569" s="36">
        <v>92</v>
      </c>
      <c r="DU569" s="38">
        <v>0</v>
      </c>
      <c r="DV569" s="35">
        <v>0</v>
      </c>
      <c r="DW569" s="36">
        <v>519</v>
      </c>
      <c r="DX569" s="39">
        <v>1</v>
      </c>
      <c r="DY569" s="35">
        <v>0.19</v>
      </c>
      <c r="DZ569" s="28" t="s">
        <v>178</v>
      </c>
      <c r="EA569" s="34">
        <v>43622</v>
      </c>
      <c r="EB569" s="29" t="s">
        <v>138</v>
      </c>
      <c r="EC569" s="34" t="s">
        <v>138</v>
      </c>
      <c r="ED569" s="28" t="s">
        <v>138</v>
      </c>
      <c r="EE569" s="40" t="str">
        <f>HYPERLINK("https://my.pitchbook.com?c=184954-51", "View company online")</f>
        <v>View company online</v>
      </c>
    </row>
    <row r="570" spans="1:135">
      <c r="A570" s="15" t="s">
        <v>11598</v>
      </c>
      <c r="B570" s="15" t="s">
        <v>11599</v>
      </c>
      <c r="C570" s="15" t="s">
        <v>138</v>
      </c>
      <c r="D570" s="15" t="s">
        <v>138</v>
      </c>
      <c r="E570" s="15" t="s">
        <v>138</v>
      </c>
      <c r="F570" s="15" t="s">
        <v>11598</v>
      </c>
      <c r="G570" s="15" t="s">
        <v>11600</v>
      </c>
      <c r="H570" s="15" t="s">
        <v>141</v>
      </c>
      <c r="I570" s="15" t="s">
        <v>142</v>
      </c>
      <c r="J570" s="15" t="s">
        <v>1924</v>
      </c>
      <c r="K570" s="15" t="s">
        <v>4744</v>
      </c>
      <c r="L570" s="15" t="s">
        <v>6622</v>
      </c>
      <c r="M570" s="15" t="s">
        <v>11601</v>
      </c>
      <c r="N570" s="15" t="s">
        <v>147</v>
      </c>
      <c r="O570" s="17">
        <v>2.91</v>
      </c>
      <c r="P570" s="15" t="s">
        <v>148</v>
      </c>
      <c r="Q570" s="15" t="s">
        <v>149</v>
      </c>
      <c r="R570" s="15" t="s">
        <v>174</v>
      </c>
      <c r="S570" s="15" t="s">
        <v>138</v>
      </c>
      <c r="T570" s="18" t="s">
        <v>138</v>
      </c>
      <c r="U570" s="15" t="s">
        <v>138</v>
      </c>
      <c r="V570" s="15" t="s">
        <v>138</v>
      </c>
      <c r="W570" s="15" t="s">
        <v>138</v>
      </c>
      <c r="X570" s="19" t="s">
        <v>138</v>
      </c>
      <c r="Y570" s="15" t="s">
        <v>138</v>
      </c>
      <c r="Z570" s="15" t="s">
        <v>138</v>
      </c>
      <c r="AA570" s="15" t="s">
        <v>138</v>
      </c>
      <c r="AB570" s="20" t="s">
        <v>138</v>
      </c>
      <c r="AC570" s="20" t="s">
        <v>138</v>
      </c>
      <c r="AD570" s="20" t="s">
        <v>138</v>
      </c>
      <c r="AE570" s="20" t="s">
        <v>138</v>
      </c>
      <c r="AF570" s="20" t="s">
        <v>138</v>
      </c>
      <c r="AG570" s="15" t="s">
        <v>138</v>
      </c>
      <c r="AH570" s="20" t="s">
        <v>138</v>
      </c>
      <c r="AI570" s="20" t="s">
        <v>138</v>
      </c>
      <c r="AJ570" s="20" t="s">
        <v>138</v>
      </c>
      <c r="AK570" s="15" t="s">
        <v>11602</v>
      </c>
      <c r="AL570" s="15" t="s">
        <v>11603</v>
      </c>
      <c r="AM570" s="15" t="s">
        <v>11604</v>
      </c>
      <c r="AN570" s="15" t="s">
        <v>138</v>
      </c>
      <c r="AO570" s="15" t="s">
        <v>138</v>
      </c>
      <c r="AP570" s="15" t="s">
        <v>450</v>
      </c>
      <c r="AQ570" s="15" t="s">
        <v>138</v>
      </c>
      <c r="AR570" s="15" t="s">
        <v>138</v>
      </c>
      <c r="AS570" s="15" t="s">
        <v>138</v>
      </c>
      <c r="AT570" s="15" t="s">
        <v>138</v>
      </c>
      <c r="AU570" s="15" t="s">
        <v>138</v>
      </c>
      <c r="AV570" s="15" t="s">
        <v>450</v>
      </c>
      <c r="AW570" s="15" t="s">
        <v>138</v>
      </c>
      <c r="AX570" s="15" t="s">
        <v>138</v>
      </c>
      <c r="AY570" s="15" t="s">
        <v>138</v>
      </c>
      <c r="AZ570" s="15" t="s">
        <v>452</v>
      </c>
      <c r="BA570" s="15" t="s">
        <v>453</v>
      </c>
      <c r="BB570" s="15" t="s">
        <v>11605</v>
      </c>
      <c r="BC570" s="15" t="s">
        <v>11606</v>
      </c>
      <c r="BD570" s="21">
        <v>4</v>
      </c>
      <c r="BE570" s="15" t="s">
        <v>138</v>
      </c>
      <c r="BF570" s="15" t="s">
        <v>138</v>
      </c>
      <c r="BG570" s="15" t="s">
        <v>138</v>
      </c>
      <c r="BH570" s="15" t="s">
        <v>11607</v>
      </c>
      <c r="BI570" s="15" t="s">
        <v>138</v>
      </c>
      <c r="BJ570" s="15" t="s">
        <v>138</v>
      </c>
      <c r="BK570" s="15" t="s">
        <v>138</v>
      </c>
      <c r="BL570" s="15" t="s">
        <v>138</v>
      </c>
      <c r="BM570" s="22">
        <v>43440</v>
      </c>
      <c r="BN570" s="17">
        <v>2.91</v>
      </c>
      <c r="BO570" s="15" t="s">
        <v>172</v>
      </c>
      <c r="BP570" s="17">
        <v>17.43</v>
      </c>
      <c r="BQ570" s="15" t="s">
        <v>172</v>
      </c>
      <c r="BR570" s="15" t="s">
        <v>205</v>
      </c>
      <c r="BS570" s="15" t="s">
        <v>206</v>
      </c>
      <c r="BT570" s="15" t="s">
        <v>138</v>
      </c>
      <c r="BU570" s="15" t="s">
        <v>174</v>
      </c>
      <c r="BV570" s="15" t="s">
        <v>138</v>
      </c>
      <c r="BW570" s="15" t="s">
        <v>138</v>
      </c>
      <c r="BX570" s="15" t="s">
        <v>138</v>
      </c>
      <c r="BY570" s="15" t="s">
        <v>175</v>
      </c>
      <c r="BZ570" s="22">
        <v>43440</v>
      </c>
      <c r="CA570" s="17">
        <v>2.91</v>
      </c>
      <c r="CB570" s="15" t="s">
        <v>172</v>
      </c>
      <c r="CC570" s="17">
        <v>17.43</v>
      </c>
      <c r="CD570" s="15" t="s">
        <v>172</v>
      </c>
      <c r="CE570" s="15" t="s">
        <v>205</v>
      </c>
      <c r="CF570" s="15" t="s">
        <v>206</v>
      </c>
      <c r="CG570" s="15" t="s">
        <v>138</v>
      </c>
      <c r="CH570" s="15" t="s">
        <v>174</v>
      </c>
      <c r="CI570" s="15" t="s">
        <v>138</v>
      </c>
      <c r="CJ570" s="15" t="s">
        <v>138</v>
      </c>
      <c r="CK570" s="15" t="s">
        <v>138</v>
      </c>
      <c r="CL570" s="15" t="s">
        <v>175</v>
      </c>
      <c r="CM570" s="22" t="s">
        <v>138</v>
      </c>
      <c r="CN570" s="17" t="s">
        <v>138</v>
      </c>
      <c r="CO570" s="23" t="s">
        <v>138</v>
      </c>
      <c r="CP570" s="24" t="s">
        <v>138</v>
      </c>
      <c r="CQ570" s="23" t="s">
        <v>138</v>
      </c>
      <c r="CR570" s="23" t="s">
        <v>138</v>
      </c>
      <c r="CS570" s="23" t="s">
        <v>138</v>
      </c>
      <c r="CT570" s="24" t="s">
        <v>138</v>
      </c>
      <c r="CU570" s="23" t="s">
        <v>138</v>
      </c>
      <c r="CV570" s="24" t="s">
        <v>138</v>
      </c>
      <c r="CW570" s="23" t="s">
        <v>138</v>
      </c>
      <c r="CX570" s="24" t="s">
        <v>138</v>
      </c>
      <c r="CY570" s="23" t="s">
        <v>138</v>
      </c>
      <c r="CZ570" s="24" t="s">
        <v>138</v>
      </c>
      <c r="DA570" s="23" t="s">
        <v>138</v>
      </c>
      <c r="DB570" s="24" t="s">
        <v>138</v>
      </c>
      <c r="DC570" s="25" t="s">
        <v>138</v>
      </c>
      <c r="DD570" s="24" t="s">
        <v>138</v>
      </c>
      <c r="DE570" s="25" t="s">
        <v>138</v>
      </c>
      <c r="DF570" s="23" t="s">
        <v>138</v>
      </c>
      <c r="DG570" s="25" t="s">
        <v>138</v>
      </c>
      <c r="DH570" s="24" t="s">
        <v>138</v>
      </c>
      <c r="DI570" s="25" t="s">
        <v>138</v>
      </c>
      <c r="DJ570" s="24" t="s">
        <v>138</v>
      </c>
      <c r="DK570" s="25" t="s">
        <v>138</v>
      </c>
      <c r="DL570" s="24" t="s">
        <v>138</v>
      </c>
      <c r="DM570" s="25" t="s">
        <v>138</v>
      </c>
      <c r="DN570" s="24" t="s">
        <v>138</v>
      </c>
      <c r="DO570" s="25" t="s">
        <v>138</v>
      </c>
      <c r="DP570" s="24" t="s">
        <v>138</v>
      </c>
      <c r="DQ570" s="24" t="s">
        <v>138</v>
      </c>
      <c r="DR570" s="26" t="s">
        <v>138</v>
      </c>
      <c r="DS570" s="23" t="s">
        <v>138</v>
      </c>
      <c r="DT570" s="24" t="s">
        <v>138</v>
      </c>
      <c r="DU570" s="26" t="s">
        <v>138</v>
      </c>
      <c r="DV570" s="23" t="s">
        <v>138</v>
      </c>
      <c r="DW570" s="24" t="s">
        <v>138</v>
      </c>
      <c r="DX570" s="27" t="s">
        <v>138</v>
      </c>
      <c r="DY570" s="23" t="s">
        <v>138</v>
      </c>
      <c r="DZ570" s="15" t="s">
        <v>178</v>
      </c>
      <c r="EA570" s="22">
        <v>43444</v>
      </c>
      <c r="EB570" s="17">
        <v>17.43</v>
      </c>
      <c r="EC570" s="22">
        <v>43440</v>
      </c>
      <c r="ED570" s="15" t="s">
        <v>205</v>
      </c>
      <c r="EE570" s="14" t="str">
        <f>HYPERLINK("https://my.pitchbook.com?c=235126-00", "View company online")</f>
        <v>View company online</v>
      </c>
    </row>
    <row r="571" spans="1:135">
      <c r="A571" s="28" t="s">
        <v>11608</v>
      </c>
      <c r="B571" s="28" t="s">
        <v>11609</v>
      </c>
      <c r="C571" s="28" t="s">
        <v>138</v>
      </c>
      <c r="D571" s="28" t="s">
        <v>11610</v>
      </c>
      <c r="E571" s="28" t="s">
        <v>138</v>
      </c>
      <c r="F571" s="28" t="s">
        <v>11608</v>
      </c>
      <c r="G571" s="28" t="s">
        <v>11611</v>
      </c>
      <c r="H571" s="28" t="s">
        <v>322</v>
      </c>
      <c r="I571" s="28" t="s">
        <v>323</v>
      </c>
      <c r="J571" s="28" t="s">
        <v>324</v>
      </c>
      <c r="K571" s="28" t="s">
        <v>1649</v>
      </c>
      <c r="L571" s="28" t="s">
        <v>4341</v>
      </c>
      <c r="M571" s="28" t="s">
        <v>11612</v>
      </c>
      <c r="N571" s="28" t="s">
        <v>147</v>
      </c>
      <c r="O571" s="29">
        <v>39</v>
      </c>
      <c r="P571" s="28" t="s">
        <v>148</v>
      </c>
      <c r="Q571" s="28" t="s">
        <v>149</v>
      </c>
      <c r="R571" s="28" t="s">
        <v>150</v>
      </c>
      <c r="S571" s="28" t="s">
        <v>11613</v>
      </c>
      <c r="T571" s="30">
        <v>45</v>
      </c>
      <c r="U571" s="28" t="s">
        <v>11614</v>
      </c>
      <c r="V571" s="28" t="s">
        <v>138</v>
      </c>
      <c r="W571" s="28" t="s">
        <v>138</v>
      </c>
      <c r="X571" s="31">
        <v>2013</v>
      </c>
      <c r="Y571" s="28" t="s">
        <v>138</v>
      </c>
      <c r="Z571" s="28" t="s">
        <v>138</v>
      </c>
      <c r="AA571" s="28" t="s">
        <v>138</v>
      </c>
      <c r="AB571" s="32" t="s">
        <v>138</v>
      </c>
      <c r="AC571" s="32" t="s">
        <v>138</v>
      </c>
      <c r="AD571" s="32" t="s">
        <v>138</v>
      </c>
      <c r="AE571" s="32" t="s">
        <v>138</v>
      </c>
      <c r="AF571" s="32" t="s">
        <v>138</v>
      </c>
      <c r="AG571" s="28" t="s">
        <v>138</v>
      </c>
      <c r="AH571" s="32" t="s">
        <v>138</v>
      </c>
      <c r="AI571" s="32" t="s">
        <v>138</v>
      </c>
      <c r="AJ571" s="32" t="s">
        <v>138</v>
      </c>
      <c r="AK571" s="28" t="s">
        <v>11615</v>
      </c>
      <c r="AL571" s="28" t="s">
        <v>11616</v>
      </c>
      <c r="AM571" s="28" t="s">
        <v>2949</v>
      </c>
      <c r="AN571" s="28" t="s">
        <v>11617</v>
      </c>
      <c r="AO571" s="28" t="s">
        <v>11618</v>
      </c>
      <c r="AP571" s="28" t="s">
        <v>1220</v>
      </c>
      <c r="AQ571" s="28" t="s">
        <v>3019</v>
      </c>
      <c r="AR571" s="28" t="s">
        <v>226</v>
      </c>
      <c r="AS571" s="28" t="s">
        <v>1223</v>
      </c>
      <c r="AT571" s="28" t="s">
        <v>200</v>
      </c>
      <c r="AU571" s="28" t="s">
        <v>11619</v>
      </c>
      <c r="AV571" s="28" t="s">
        <v>162</v>
      </c>
      <c r="AW571" s="28" t="s">
        <v>11618</v>
      </c>
      <c r="AX571" s="28" t="s">
        <v>138</v>
      </c>
      <c r="AY571" s="28" t="s">
        <v>11620</v>
      </c>
      <c r="AZ571" s="28" t="s">
        <v>164</v>
      </c>
      <c r="BA571" s="28" t="s">
        <v>165</v>
      </c>
      <c r="BB571" s="28" t="s">
        <v>11621</v>
      </c>
      <c r="BC571" s="28" t="s">
        <v>11622</v>
      </c>
      <c r="BD571" s="33">
        <v>15</v>
      </c>
      <c r="BE571" s="28" t="s">
        <v>138</v>
      </c>
      <c r="BF571" s="28" t="s">
        <v>138</v>
      </c>
      <c r="BG571" s="28" t="s">
        <v>138</v>
      </c>
      <c r="BH571" s="28" t="s">
        <v>11623</v>
      </c>
      <c r="BI571" s="28" t="s">
        <v>138</v>
      </c>
      <c r="BJ571" s="28" t="s">
        <v>138</v>
      </c>
      <c r="BK571" s="28" t="s">
        <v>11624</v>
      </c>
      <c r="BL571" s="28" t="s">
        <v>11624</v>
      </c>
      <c r="BM571" s="34">
        <v>41640</v>
      </c>
      <c r="BN571" s="29">
        <v>2</v>
      </c>
      <c r="BO571" s="28" t="s">
        <v>172</v>
      </c>
      <c r="BP571" s="29">
        <v>8</v>
      </c>
      <c r="BQ571" s="28" t="s">
        <v>172</v>
      </c>
      <c r="BR571" s="28" t="s">
        <v>234</v>
      </c>
      <c r="BS571" s="28" t="s">
        <v>234</v>
      </c>
      <c r="BT571" s="28" t="s">
        <v>138</v>
      </c>
      <c r="BU571" s="28" t="s">
        <v>174</v>
      </c>
      <c r="BV571" s="28" t="s">
        <v>138</v>
      </c>
      <c r="BW571" s="28" t="s">
        <v>138</v>
      </c>
      <c r="BX571" s="28" t="s">
        <v>138</v>
      </c>
      <c r="BY571" s="28" t="s">
        <v>175</v>
      </c>
      <c r="BZ571" s="34">
        <v>43333</v>
      </c>
      <c r="CA571" s="29">
        <v>17</v>
      </c>
      <c r="CB571" s="28" t="s">
        <v>172</v>
      </c>
      <c r="CC571" s="29">
        <v>85</v>
      </c>
      <c r="CD571" s="28" t="s">
        <v>172</v>
      </c>
      <c r="CE571" s="28" t="s">
        <v>205</v>
      </c>
      <c r="CF571" s="28" t="s">
        <v>720</v>
      </c>
      <c r="CG571" s="28" t="s">
        <v>138</v>
      </c>
      <c r="CH571" s="28" t="s">
        <v>174</v>
      </c>
      <c r="CI571" s="28" t="s">
        <v>138</v>
      </c>
      <c r="CJ571" s="28" t="s">
        <v>138</v>
      </c>
      <c r="CK571" s="28" t="s">
        <v>138</v>
      </c>
      <c r="CL571" s="28" t="s">
        <v>175</v>
      </c>
      <c r="CM571" s="34" t="s">
        <v>138</v>
      </c>
      <c r="CN571" s="29" t="s">
        <v>138</v>
      </c>
      <c r="CO571" s="35">
        <v>4.22</v>
      </c>
      <c r="CP571" s="36">
        <v>100</v>
      </c>
      <c r="CQ571" s="35">
        <v>0</v>
      </c>
      <c r="CR571" s="35">
        <v>0</v>
      </c>
      <c r="CS571" s="35">
        <v>8.42</v>
      </c>
      <c r="CT571" s="36">
        <v>100</v>
      </c>
      <c r="CU571" s="35">
        <v>0.02</v>
      </c>
      <c r="CV571" s="36">
        <v>51</v>
      </c>
      <c r="CW571" s="35">
        <v>8.42</v>
      </c>
      <c r="CX571" s="36">
        <v>99</v>
      </c>
      <c r="CY571" s="35" t="s">
        <v>138</v>
      </c>
      <c r="CZ571" s="36" t="s">
        <v>138</v>
      </c>
      <c r="DA571" s="35">
        <v>0.02</v>
      </c>
      <c r="DB571" s="36">
        <v>58</v>
      </c>
      <c r="DC571" s="37">
        <v>5.13</v>
      </c>
      <c r="DD571" s="36">
        <v>83</v>
      </c>
      <c r="DE571" s="37">
        <v>-0.35</v>
      </c>
      <c r="DF571" s="35">
        <v>-6.39</v>
      </c>
      <c r="DG571" s="37">
        <v>5.65</v>
      </c>
      <c r="DH571" s="36">
        <v>84</v>
      </c>
      <c r="DI571" s="37">
        <v>4.5999999999999996</v>
      </c>
      <c r="DJ571" s="36">
        <v>76</v>
      </c>
      <c r="DK571" s="37">
        <v>5.65</v>
      </c>
      <c r="DL571" s="36">
        <v>81</v>
      </c>
      <c r="DM571" s="37" t="s">
        <v>138</v>
      </c>
      <c r="DN571" s="36" t="s">
        <v>138</v>
      </c>
      <c r="DO571" s="37">
        <v>4.5999999999999996</v>
      </c>
      <c r="DP571" s="36">
        <v>78</v>
      </c>
      <c r="DQ571" s="36">
        <v>1888</v>
      </c>
      <c r="DR571" s="38">
        <v>151</v>
      </c>
      <c r="DS571" s="35">
        <v>8.69</v>
      </c>
      <c r="DT571" s="36" t="s">
        <v>138</v>
      </c>
      <c r="DU571" s="38" t="s">
        <v>138</v>
      </c>
      <c r="DV571" s="35" t="s">
        <v>138</v>
      </c>
      <c r="DW571" s="36">
        <v>1646</v>
      </c>
      <c r="DX571" s="39">
        <v>-1</v>
      </c>
      <c r="DY571" s="35">
        <v>-0.06</v>
      </c>
      <c r="DZ571" s="28" t="s">
        <v>178</v>
      </c>
      <c r="EA571" s="34">
        <v>43622</v>
      </c>
      <c r="EB571" s="29">
        <v>85</v>
      </c>
      <c r="EC571" s="34">
        <v>43333</v>
      </c>
      <c r="ED571" s="28" t="s">
        <v>205</v>
      </c>
      <c r="EE571" s="40" t="str">
        <f>HYPERLINK("https://my.pitchbook.com?c=100373-05", "View company online")</f>
        <v>View company online</v>
      </c>
    </row>
    <row r="572" spans="1:135">
      <c r="A572" s="15" t="s">
        <v>11625</v>
      </c>
      <c r="B572" s="15" t="s">
        <v>11626</v>
      </c>
      <c r="C572" s="15" t="s">
        <v>138</v>
      </c>
      <c r="D572" s="15" t="s">
        <v>138</v>
      </c>
      <c r="E572" s="15" t="s">
        <v>11627</v>
      </c>
      <c r="F572" s="15" t="s">
        <v>11625</v>
      </c>
      <c r="G572" s="15" t="s">
        <v>11628</v>
      </c>
      <c r="H572" s="15" t="s">
        <v>322</v>
      </c>
      <c r="I572" s="15" t="s">
        <v>323</v>
      </c>
      <c r="J572" s="15" t="s">
        <v>324</v>
      </c>
      <c r="K572" s="15" t="s">
        <v>325</v>
      </c>
      <c r="L572" s="15" t="s">
        <v>215</v>
      </c>
      <c r="M572" s="15" t="s">
        <v>11629</v>
      </c>
      <c r="N572" s="15" t="s">
        <v>147</v>
      </c>
      <c r="O572" s="17">
        <v>27.94</v>
      </c>
      <c r="P572" s="15" t="s">
        <v>148</v>
      </c>
      <c r="Q572" s="15" t="s">
        <v>149</v>
      </c>
      <c r="R572" s="15" t="s">
        <v>174</v>
      </c>
      <c r="S572" s="15" t="s">
        <v>11630</v>
      </c>
      <c r="T572" s="18">
        <v>150</v>
      </c>
      <c r="U572" s="15" t="s">
        <v>11631</v>
      </c>
      <c r="V572" s="15" t="s">
        <v>138</v>
      </c>
      <c r="W572" s="15" t="s">
        <v>138</v>
      </c>
      <c r="X572" s="19">
        <v>2014</v>
      </c>
      <c r="Y572" s="15" t="s">
        <v>138</v>
      </c>
      <c r="Z572" s="15" t="s">
        <v>138</v>
      </c>
      <c r="AA572" s="15" t="s">
        <v>138</v>
      </c>
      <c r="AB572" s="20" t="s">
        <v>138</v>
      </c>
      <c r="AC572" s="20" t="s">
        <v>138</v>
      </c>
      <c r="AD572" s="20" t="s">
        <v>138</v>
      </c>
      <c r="AE572" s="20" t="s">
        <v>138</v>
      </c>
      <c r="AF572" s="20" t="s">
        <v>138</v>
      </c>
      <c r="AG572" s="15" t="s">
        <v>138</v>
      </c>
      <c r="AH572" s="20" t="s">
        <v>138</v>
      </c>
      <c r="AI572" s="20" t="s">
        <v>138</v>
      </c>
      <c r="AJ572" s="20" t="s">
        <v>138</v>
      </c>
      <c r="AK572" s="15" t="s">
        <v>11632</v>
      </c>
      <c r="AL572" s="15" t="s">
        <v>11633</v>
      </c>
      <c r="AM572" s="15" t="s">
        <v>221</v>
      </c>
      <c r="AN572" s="15" t="s">
        <v>11634</v>
      </c>
      <c r="AO572" s="15" t="s">
        <v>11635</v>
      </c>
      <c r="AP572" s="15" t="s">
        <v>1292</v>
      </c>
      <c r="AQ572" s="15" t="s">
        <v>11636</v>
      </c>
      <c r="AR572" s="15" t="s">
        <v>713</v>
      </c>
      <c r="AS572" s="15" t="s">
        <v>1294</v>
      </c>
      <c r="AT572" s="15" t="s">
        <v>864</v>
      </c>
      <c r="AU572" s="15" t="s">
        <v>8420</v>
      </c>
      <c r="AV572" s="15" t="s">
        <v>162</v>
      </c>
      <c r="AW572" s="15" t="s">
        <v>11635</v>
      </c>
      <c r="AX572" s="15" t="s">
        <v>138</v>
      </c>
      <c r="AY572" s="15" t="s">
        <v>11637</v>
      </c>
      <c r="AZ572" s="15" t="s">
        <v>164</v>
      </c>
      <c r="BA572" s="15" t="s">
        <v>165</v>
      </c>
      <c r="BB572" s="15" t="s">
        <v>11638</v>
      </c>
      <c r="BC572" s="15" t="s">
        <v>11639</v>
      </c>
      <c r="BD572" s="21">
        <v>18</v>
      </c>
      <c r="BE572" s="15" t="s">
        <v>138</v>
      </c>
      <c r="BF572" s="15" t="s">
        <v>138</v>
      </c>
      <c r="BG572" s="15" t="s">
        <v>138</v>
      </c>
      <c r="BH572" s="15" t="s">
        <v>11640</v>
      </c>
      <c r="BI572" s="15" t="s">
        <v>138</v>
      </c>
      <c r="BJ572" s="15" t="s">
        <v>138</v>
      </c>
      <c r="BK572" s="15" t="s">
        <v>11641</v>
      </c>
      <c r="BL572" s="15" t="s">
        <v>138</v>
      </c>
      <c r="BM572" s="22">
        <v>41828</v>
      </c>
      <c r="BN572" s="17">
        <v>1.35</v>
      </c>
      <c r="BO572" s="15" t="s">
        <v>172</v>
      </c>
      <c r="BP572" s="17">
        <v>8.35</v>
      </c>
      <c r="BQ572" s="15" t="s">
        <v>172</v>
      </c>
      <c r="BR572" s="15" t="s">
        <v>234</v>
      </c>
      <c r="BS572" s="15" t="s">
        <v>234</v>
      </c>
      <c r="BT572" s="15" t="s">
        <v>138</v>
      </c>
      <c r="BU572" s="15" t="s">
        <v>174</v>
      </c>
      <c r="BV572" s="15" t="s">
        <v>138</v>
      </c>
      <c r="BW572" s="15" t="s">
        <v>138</v>
      </c>
      <c r="BX572" s="15" t="s">
        <v>138</v>
      </c>
      <c r="BY572" s="15" t="s">
        <v>175</v>
      </c>
      <c r="BZ572" s="22">
        <v>43560</v>
      </c>
      <c r="CA572" s="17">
        <v>18</v>
      </c>
      <c r="CB572" s="15" t="s">
        <v>172</v>
      </c>
      <c r="CC572" s="17">
        <v>75</v>
      </c>
      <c r="CD572" s="15" t="s">
        <v>172</v>
      </c>
      <c r="CE572" s="15" t="s">
        <v>173</v>
      </c>
      <c r="CF572" s="15" t="s">
        <v>720</v>
      </c>
      <c r="CG572" s="15" t="s">
        <v>138</v>
      </c>
      <c r="CH572" s="15" t="s">
        <v>174</v>
      </c>
      <c r="CI572" s="15" t="s">
        <v>138</v>
      </c>
      <c r="CJ572" s="15" t="s">
        <v>138</v>
      </c>
      <c r="CK572" s="15" t="s">
        <v>138</v>
      </c>
      <c r="CL572" s="15" t="s">
        <v>175</v>
      </c>
      <c r="CM572" s="22" t="s">
        <v>138</v>
      </c>
      <c r="CN572" s="17" t="s">
        <v>138</v>
      </c>
      <c r="CO572" s="23">
        <v>0.13</v>
      </c>
      <c r="CP572" s="24">
        <v>91</v>
      </c>
      <c r="CQ572" s="23">
        <v>0</v>
      </c>
      <c r="CR572" s="23">
        <v>-2.97</v>
      </c>
      <c r="CS572" s="23">
        <v>1.34</v>
      </c>
      <c r="CT572" s="24">
        <v>97</v>
      </c>
      <c r="CU572" s="23">
        <v>0.19</v>
      </c>
      <c r="CV572" s="24">
        <v>79</v>
      </c>
      <c r="CW572" s="23">
        <v>2.67</v>
      </c>
      <c r="CX572" s="24">
        <v>90</v>
      </c>
      <c r="CY572" s="23">
        <v>0</v>
      </c>
      <c r="CZ572" s="24">
        <v>25</v>
      </c>
      <c r="DA572" s="23">
        <v>0.19</v>
      </c>
      <c r="DB572" s="24">
        <v>82</v>
      </c>
      <c r="DC572" s="25">
        <v>8.32</v>
      </c>
      <c r="DD572" s="24">
        <v>88</v>
      </c>
      <c r="DE572" s="25">
        <v>-0.9</v>
      </c>
      <c r="DF572" s="23">
        <v>-9.77</v>
      </c>
      <c r="DG572" s="25">
        <v>21.63</v>
      </c>
      <c r="DH572" s="24">
        <v>95</v>
      </c>
      <c r="DI572" s="25">
        <v>3.18</v>
      </c>
      <c r="DJ572" s="24">
        <v>71</v>
      </c>
      <c r="DK572" s="25">
        <v>42.74</v>
      </c>
      <c r="DL572" s="24">
        <v>95</v>
      </c>
      <c r="DM572" s="25">
        <v>0.52</v>
      </c>
      <c r="DN572" s="24">
        <v>35</v>
      </c>
      <c r="DO572" s="25">
        <v>3.18</v>
      </c>
      <c r="DP572" s="24">
        <v>72</v>
      </c>
      <c r="DQ572" s="24">
        <v>14303</v>
      </c>
      <c r="DR572" s="26">
        <v>1065</v>
      </c>
      <c r="DS572" s="23">
        <v>8.0500000000000007</v>
      </c>
      <c r="DT572" s="24">
        <v>15</v>
      </c>
      <c r="DU572" s="26">
        <v>0</v>
      </c>
      <c r="DV572" s="23">
        <v>0</v>
      </c>
      <c r="DW572" s="24">
        <v>1138</v>
      </c>
      <c r="DX572" s="27">
        <v>4</v>
      </c>
      <c r="DY572" s="23">
        <v>0.35</v>
      </c>
      <c r="DZ572" s="15" t="s">
        <v>178</v>
      </c>
      <c r="EA572" s="22">
        <v>43608</v>
      </c>
      <c r="EB572" s="17">
        <v>75</v>
      </c>
      <c r="EC572" s="22">
        <v>43560</v>
      </c>
      <c r="ED572" s="15" t="s">
        <v>173</v>
      </c>
      <c r="EE572" s="14" t="str">
        <f>HYPERLINK("https://my.pitchbook.com?c=64707-58", "View company online")</f>
        <v>View company online</v>
      </c>
    </row>
    <row r="573" spans="1:135">
      <c r="A573" s="28" t="s">
        <v>11642</v>
      </c>
      <c r="B573" s="28" t="s">
        <v>11643</v>
      </c>
      <c r="C573" s="28" t="s">
        <v>138</v>
      </c>
      <c r="D573" s="28" t="s">
        <v>138</v>
      </c>
      <c r="E573" s="28" t="s">
        <v>11644</v>
      </c>
      <c r="F573" s="28" t="s">
        <v>11642</v>
      </c>
      <c r="G573" s="28" t="s">
        <v>11645</v>
      </c>
      <c r="H573" s="28" t="s">
        <v>183</v>
      </c>
      <c r="I573" s="28" t="s">
        <v>725</v>
      </c>
      <c r="J573" s="28" t="s">
        <v>726</v>
      </c>
      <c r="K573" s="28" t="s">
        <v>11646</v>
      </c>
      <c r="L573" s="28" t="s">
        <v>2143</v>
      </c>
      <c r="M573" s="28" t="s">
        <v>11647</v>
      </c>
      <c r="N573" s="28" t="s">
        <v>147</v>
      </c>
      <c r="O573" s="29">
        <v>14</v>
      </c>
      <c r="P573" s="28" t="s">
        <v>148</v>
      </c>
      <c r="Q573" s="28" t="s">
        <v>149</v>
      </c>
      <c r="R573" s="28" t="s">
        <v>174</v>
      </c>
      <c r="S573" s="28" t="s">
        <v>11648</v>
      </c>
      <c r="T573" s="30">
        <v>12</v>
      </c>
      <c r="U573" s="28" t="s">
        <v>4523</v>
      </c>
      <c r="V573" s="28" t="s">
        <v>138</v>
      </c>
      <c r="W573" s="28" t="s">
        <v>138</v>
      </c>
      <c r="X573" s="31">
        <v>2013</v>
      </c>
      <c r="Y573" s="28" t="s">
        <v>138</v>
      </c>
      <c r="Z573" s="28" t="s">
        <v>138</v>
      </c>
      <c r="AA573" s="28" t="s">
        <v>138</v>
      </c>
      <c r="AB573" s="32" t="s">
        <v>138</v>
      </c>
      <c r="AC573" s="32" t="s">
        <v>138</v>
      </c>
      <c r="AD573" s="32" t="s">
        <v>138</v>
      </c>
      <c r="AE573" s="32" t="s">
        <v>138</v>
      </c>
      <c r="AF573" s="32" t="s">
        <v>138</v>
      </c>
      <c r="AG573" s="28" t="s">
        <v>138</v>
      </c>
      <c r="AH573" s="32" t="s">
        <v>138</v>
      </c>
      <c r="AI573" s="32" t="s">
        <v>138</v>
      </c>
      <c r="AJ573" s="32" t="s">
        <v>138</v>
      </c>
      <c r="AK573" s="28" t="s">
        <v>11649</v>
      </c>
      <c r="AL573" s="28" t="s">
        <v>11650</v>
      </c>
      <c r="AM573" s="28" t="s">
        <v>304</v>
      </c>
      <c r="AN573" s="28" t="s">
        <v>11651</v>
      </c>
      <c r="AO573" s="28" t="s">
        <v>138</v>
      </c>
      <c r="AP573" s="28" t="s">
        <v>665</v>
      </c>
      <c r="AQ573" s="28" t="s">
        <v>11652</v>
      </c>
      <c r="AR573" s="28" t="s">
        <v>138</v>
      </c>
      <c r="AS573" s="28" t="s">
        <v>668</v>
      </c>
      <c r="AT573" s="28" t="s">
        <v>200</v>
      </c>
      <c r="AU573" s="28" t="s">
        <v>1723</v>
      </c>
      <c r="AV573" s="28" t="s">
        <v>162</v>
      </c>
      <c r="AW573" s="28" t="s">
        <v>138</v>
      </c>
      <c r="AX573" s="28" t="s">
        <v>138</v>
      </c>
      <c r="AY573" s="28" t="s">
        <v>11653</v>
      </c>
      <c r="AZ573" s="28" t="s">
        <v>164</v>
      </c>
      <c r="BA573" s="28" t="s">
        <v>165</v>
      </c>
      <c r="BB573" s="28" t="s">
        <v>11654</v>
      </c>
      <c r="BC573" s="28" t="s">
        <v>11655</v>
      </c>
      <c r="BD573" s="33">
        <v>8</v>
      </c>
      <c r="BE573" s="28" t="s">
        <v>138</v>
      </c>
      <c r="BF573" s="28" t="s">
        <v>138</v>
      </c>
      <c r="BG573" s="28" t="s">
        <v>138</v>
      </c>
      <c r="BH573" s="28" t="s">
        <v>11656</v>
      </c>
      <c r="BI573" s="28" t="s">
        <v>138</v>
      </c>
      <c r="BJ573" s="28" t="s">
        <v>138</v>
      </c>
      <c r="BK573" s="28" t="s">
        <v>290</v>
      </c>
      <c r="BL573" s="28" t="s">
        <v>290</v>
      </c>
      <c r="BM573" s="34">
        <v>42826</v>
      </c>
      <c r="BN573" s="29">
        <v>2</v>
      </c>
      <c r="BO573" s="28" t="s">
        <v>172</v>
      </c>
      <c r="BP573" s="29" t="s">
        <v>138</v>
      </c>
      <c r="BQ573" s="28" t="s">
        <v>138</v>
      </c>
      <c r="BR573" s="28" t="s">
        <v>234</v>
      </c>
      <c r="BS573" s="28" t="s">
        <v>234</v>
      </c>
      <c r="BT573" s="28" t="s">
        <v>138</v>
      </c>
      <c r="BU573" s="28" t="s">
        <v>174</v>
      </c>
      <c r="BV573" s="28" t="s">
        <v>138</v>
      </c>
      <c r="BW573" s="28" t="s">
        <v>138</v>
      </c>
      <c r="BX573" s="28" t="s">
        <v>138</v>
      </c>
      <c r="BY573" s="28" t="s">
        <v>175</v>
      </c>
      <c r="BZ573" s="34">
        <v>43433</v>
      </c>
      <c r="CA573" s="29">
        <v>12</v>
      </c>
      <c r="CB573" s="28" t="s">
        <v>172</v>
      </c>
      <c r="CC573" s="29">
        <v>33</v>
      </c>
      <c r="CD573" s="28" t="s">
        <v>172</v>
      </c>
      <c r="CE573" s="28" t="s">
        <v>205</v>
      </c>
      <c r="CF573" s="28" t="s">
        <v>206</v>
      </c>
      <c r="CG573" s="28" t="s">
        <v>138</v>
      </c>
      <c r="CH573" s="28" t="s">
        <v>174</v>
      </c>
      <c r="CI573" s="28" t="s">
        <v>138</v>
      </c>
      <c r="CJ573" s="28" t="s">
        <v>138</v>
      </c>
      <c r="CK573" s="28" t="s">
        <v>138</v>
      </c>
      <c r="CL573" s="28" t="s">
        <v>175</v>
      </c>
      <c r="CM573" s="34" t="s">
        <v>138</v>
      </c>
      <c r="CN573" s="29" t="s">
        <v>138</v>
      </c>
      <c r="CO573" s="35">
        <v>-0.62</v>
      </c>
      <c r="CP573" s="36">
        <v>15</v>
      </c>
      <c r="CQ573" s="35">
        <v>-0.32</v>
      </c>
      <c r="CR573" s="35">
        <v>-108.12</v>
      </c>
      <c r="CS573" s="35">
        <v>-0.62</v>
      </c>
      <c r="CT573" s="36">
        <v>18</v>
      </c>
      <c r="CU573" s="35" t="s">
        <v>138</v>
      </c>
      <c r="CV573" s="36" t="s">
        <v>138</v>
      </c>
      <c r="CW573" s="35">
        <v>0.75</v>
      </c>
      <c r="CX573" s="36">
        <v>84</v>
      </c>
      <c r="CY573" s="35">
        <v>-2</v>
      </c>
      <c r="CZ573" s="36">
        <v>11</v>
      </c>
      <c r="DA573" s="35" t="s">
        <v>138</v>
      </c>
      <c r="DB573" s="36" t="s">
        <v>138</v>
      </c>
      <c r="DC573" s="37">
        <v>11.04</v>
      </c>
      <c r="DD573" s="36">
        <v>91</v>
      </c>
      <c r="DE573" s="37">
        <v>-0.75</v>
      </c>
      <c r="DF573" s="35">
        <v>-6.39</v>
      </c>
      <c r="DG573" s="37">
        <v>11.04</v>
      </c>
      <c r="DH573" s="36">
        <v>90</v>
      </c>
      <c r="DI573" s="37" t="s">
        <v>138</v>
      </c>
      <c r="DJ573" s="36" t="s">
        <v>138</v>
      </c>
      <c r="DK573" s="37">
        <v>9.59</v>
      </c>
      <c r="DL573" s="36">
        <v>86</v>
      </c>
      <c r="DM573" s="37">
        <v>12.48</v>
      </c>
      <c r="DN573" s="36">
        <v>91</v>
      </c>
      <c r="DO573" s="37" t="s">
        <v>138</v>
      </c>
      <c r="DP573" s="36" t="s">
        <v>138</v>
      </c>
      <c r="DQ573" s="36">
        <v>3309</v>
      </c>
      <c r="DR573" s="38">
        <v>-59</v>
      </c>
      <c r="DS573" s="35">
        <v>-1.75</v>
      </c>
      <c r="DT573" s="36">
        <v>365</v>
      </c>
      <c r="DU573" s="38">
        <v>-20</v>
      </c>
      <c r="DV573" s="35">
        <v>-5.19</v>
      </c>
      <c r="DW573" s="36" t="s">
        <v>138</v>
      </c>
      <c r="DX573" s="39" t="s">
        <v>138</v>
      </c>
      <c r="DY573" s="35" t="s">
        <v>138</v>
      </c>
      <c r="DZ573" s="28" t="s">
        <v>178</v>
      </c>
      <c r="EA573" s="34">
        <v>43571</v>
      </c>
      <c r="EB573" s="29">
        <v>33</v>
      </c>
      <c r="EC573" s="34">
        <v>43433</v>
      </c>
      <c r="ED573" s="28" t="s">
        <v>205</v>
      </c>
      <c r="EE573" s="40" t="str">
        <f>HYPERLINK("https://my.pitchbook.com?c=161431-03", "View company online")</f>
        <v>View company online</v>
      </c>
    </row>
    <row r="574" spans="1:135">
      <c r="A574" s="15" t="s">
        <v>11657</v>
      </c>
      <c r="B574" s="15" t="s">
        <v>11658</v>
      </c>
      <c r="C574" s="15" t="s">
        <v>138</v>
      </c>
      <c r="D574" s="15" t="s">
        <v>138</v>
      </c>
      <c r="E574" s="15" t="s">
        <v>11659</v>
      </c>
      <c r="F574" s="15" t="s">
        <v>11657</v>
      </c>
      <c r="G574" s="15" t="s">
        <v>11660</v>
      </c>
      <c r="H574" s="15" t="s">
        <v>141</v>
      </c>
      <c r="I574" s="15" t="s">
        <v>212</v>
      </c>
      <c r="J574" s="15" t="s">
        <v>486</v>
      </c>
      <c r="K574" s="15" t="s">
        <v>4581</v>
      </c>
      <c r="L574" s="15" t="s">
        <v>242</v>
      </c>
      <c r="M574" s="15" t="s">
        <v>11661</v>
      </c>
      <c r="N574" s="15" t="s">
        <v>147</v>
      </c>
      <c r="O574" s="17">
        <v>62</v>
      </c>
      <c r="P574" s="15" t="s">
        <v>148</v>
      </c>
      <c r="Q574" s="15" t="s">
        <v>149</v>
      </c>
      <c r="R574" s="15" t="s">
        <v>174</v>
      </c>
      <c r="S574" s="15" t="s">
        <v>11662</v>
      </c>
      <c r="T574" s="18">
        <v>60</v>
      </c>
      <c r="U574" s="15" t="s">
        <v>11663</v>
      </c>
      <c r="V574" s="15" t="s">
        <v>138</v>
      </c>
      <c r="W574" s="15" t="s">
        <v>138</v>
      </c>
      <c r="X574" s="19" t="s">
        <v>138</v>
      </c>
      <c r="Y574" s="15" t="s">
        <v>138</v>
      </c>
      <c r="Z574" s="15" t="s">
        <v>138</v>
      </c>
      <c r="AA574" s="15" t="s">
        <v>138</v>
      </c>
      <c r="AB574" s="20" t="s">
        <v>138</v>
      </c>
      <c r="AC574" s="20" t="s">
        <v>138</v>
      </c>
      <c r="AD574" s="20" t="s">
        <v>138</v>
      </c>
      <c r="AE574" s="20" t="s">
        <v>138</v>
      </c>
      <c r="AF574" s="20" t="s">
        <v>138</v>
      </c>
      <c r="AG574" s="15" t="s">
        <v>138</v>
      </c>
      <c r="AH574" s="20" t="s">
        <v>138</v>
      </c>
      <c r="AI574" s="20" t="s">
        <v>138</v>
      </c>
      <c r="AJ574" s="20" t="s">
        <v>138</v>
      </c>
      <c r="AK574" s="15" t="s">
        <v>11664</v>
      </c>
      <c r="AL574" s="15" t="s">
        <v>11665</v>
      </c>
      <c r="AM574" s="15" t="s">
        <v>986</v>
      </c>
      <c r="AN574" s="15" t="s">
        <v>11666</v>
      </c>
      <c r="AO574" s="15" t="s">
        <v>11667</v>
      </c>
      <c r="AP574" s="15" t="s">
        <v>2880</v>
      </c>
      <c r="AQ574" s="15" t="s">
        <v>11668</v>
      </c>
      <c r="AR574" s="15" t="s">
        <v>138</v>
      </c>
      <c r="AS574" s="15" t="s">
        <v>2882</v>
      </c>
      <c r="AT574" s="15" t="s">
        <v>2883</v>
      </c>
      <c r="AU574" s="15" t="s">
        <v>10036</v>
      </c>
      <c r="AV574" s="15" t="s">
        <v>162</v>
      </c>
      <c r="AW574" s="15" t="s">
        <v>11667</v>
      </c>
      <c r="AX574" s="15" t="s">
        <v>138</v>
      </c>
      <c r="AY574" s="15" t="s">
        <v>138</v>
      </c>
      <c r="AZ574" s="15" t="s">
        <v>164</v>
      </c>
      <c r="BA574" s="15" t="s">
        <v>165</v>
      </c>
      <c r="BB574" s="15" t="s">
        <v>11669</v>
      </c>
      <c r="BC574" s="15" t="s">
        <v>11670</v>
      </c>
      <c r="BD574" s="21">
        <v>12</v>
      </c>
      <c r="BE574" s="15" t="s">
        <v>138</v>
      </c>
      <c r="BF574" s="15" t="s">
        <v>138</v>
      </c>
      <c r="BG574" s="15" t="s">
        <v>138</v>
      </c>
      <c r="BH574" s="15" t="s">
        <v>11671</v>
      </c>
      <c r="BI574" s="15" t="s">
        <v>138</v>
      </c>
      <c r="BJ574" s="15" t="s">
        <v>138</v>
      </c>
      <c r="BK574" s="15" t="s">
        <v>11672</v>
      </c>
      <c r="BL574" s="15" t="s">
        <v>204</v>
      </c>
      <c r="BM574" s="22">
        <v>41467</v>
      </c>
      <c r="BN574" s="17" t="s">
        <v>138</v>
      </c>
      <c r="BO574" s="15" t="s">
        <v>138</v>
      </c>
      <c r="BP574" s="17" t="s">
        <v>138</v>
      </c>
      <c r="BQ574" s="15" t="s">
        <v>138</v>
      </c>
      <c r="BR574" s="15" t="s">
        <v>316</v>
      </c>
      <c r="BS574" s="15" t="s">
        <v>138</v>
      </c>
      <c r="BT574" s="15" t="s">
        <v>138</v>
      </c>
      <c r="BU574" s="15" t="s">
        <v>177</v>
      </c>
      <c r="BV574" s="15" t="s">
        <v>138</v>
      </c>
      <c r="BW574" s="15" t="s">
        <v>138</v>
      </c>
      <c r="BX574" s="15" t="s">
        <v>138</v>
      </c>
      <c r="BY574" s="15" t="s">
        <v>175</v>
      </c>
      <c r="BZ574" s="22">
        <v>43521</v>
      </c>
      <c r="CA574" s="17">
        <v>13</v>
      </c>
      <c r="CB574" s="15" t="s">
        <v>172</v>
      </c>
      <c r="CC574" s="17">
        <v>233</v>
      </c>
      <c r="CD574" s="15" t="s">
        <v>172</v>
      </c>
      <c r="CE574" s="15" t="s">
        <v>173</v>
      </c>
      <c r="CF574" s="15" t="s">
        <v>2359</v>
      </c>
      <c r="CG574" s="15" t="s">
        <v>138</v>
      </c>
      <c r="CH574" s="15" t="s">
        <v>174</v>
      </c>
      <c r="CI574" s="15" t="s">
        <v>138</v>
      </c>
      <c r="CJ574" s="15" t="s">
        <v>138</v>
      </c>
      <c r="CK574" s="15" t="s">
        <v>138</v>
      </c>
      <c r="CL574" s="15" t="s">
        <v>175</v>
      </c>
      <c r="CM574" s="22" t="s">
        <v>138</v>
      </c>
      <c r="CN574" s="17" t="s">
        <v>138</v>
      </c>
      <c r="CO574" s="23">
        <v>1.07</v>
      </c>
      <c r="CP574" s="24">
        <v>97</v>
      </c>
      <c r="CQ574" s="23">
        <v>-0.02</v>
      </c>
      <c r="CR574" s="23">
        <v>-1.67</v>
      </c>
      <c r="CS574" s="23">
        <v>1.1399999999999999</v>
      </c>
      <c r="CT574" s="24">
        <v>97</v>
      </c>
      <c r="CU574" s="23">
        <v>0.19</v>
      </c>
      <c r="CV574" s="24">
        <v>79</v>
      </c>
      <c r="CW574" s="23">
        <v>2.4500000000000002</v>
      </c>
      <c r="CX574" s="24">
        <v>90</v>
      </c>
      <c r="CY574" s="23">
        <v>-0.17</v>
      </c>
      <c r="CZ574" s="24">
        <v>24</v>
      </c>
      <c r="DA574" s="23">
        <v>0.16</v>
      </c>
      <c r="DB574" s="24">
        <v>79</v>
      </c>
      <c r="DC574" s="25">
        <v>26.86</v>
      </c>
      <c r="DD574" s="24">
        <v>96</v>
      </c>
      <c r="DE574" s="25">
        <v>-0.69</v>
      </c>
      <c r="DF574" s="23">
        <v>-2.5099999999999998</v>
      </c>
      <c r="DG574" s="25">
        <v>43.43</v>
      </c>
      <c r="DH574" s="24">
        <v>98</v>
      </c>
      <c r="DI574" s="25">
        <v>11.89</v>
      </c>
      <c r="DJ574" s="24">
        <v>87</v>
      </c>
      <c r="DK574" s="25">
        <v>56.21</v>
      </c>
      <c r="DL574" s="24">
        <v>96</v>
      </c>
      <c r="DM574" s="25">
        <v>30.66</v>
      </c>
      <c r="DN574" s="24">
        <v>96</v>
      </c>
      <c r="DO574" s="25">
        <v>14.37</v>
      </c>
      <c r="DP574" s="24">
        <v>90</v>
      </c>
      <c r="DQ574" s="24">
        <v>19231</v>
      </c>
      <c r="DR574" s="26">
        <v>143</v>
      </c>
      <c r="DS574" s="23">
        <v>0.75</v>
      </c>
      <c r="DT574" s="24">
        <v>888</v>
      </c>
      <c r="DU574" s="26">
        <v>1</v>
      </c>
      <c r="DV574" s="23">
        <v>0.11</v>
      </c>
      <c r="DW574" s="24">
        <v>5143</v>
      </c>
      <c r="DX574" s="27">
        <v>3</v>
      </c>
      <c r="DY574" s="23">
        <v>0.06</v>
      </c>
      <c r="DZ574" s="15" t="s">
        <v>178</v>
      </c>
      <c r="EA574" s="22">
        <v>43587</v>
      </c>
      <c r="EB574" s="17">
        <v>233</v>
      </c>
      <c r="EC574" s="22">
        <v>43521</v>
      </c>
      <c r="ED574" s="15" t="s">
        <v>173</v>
      </c>
      <c r="EE574" s="14" t="str">
        <f>HYPERLINK("https://my.pitchbook.com?c=107512-75", "View company online")</f>
        <v>View company online</v>
      </c>
    </row>
    <row r="575" spans="1:135">
      <c r="A575" s="28" t="s">
        <v>11673</v>
      </c>
      <c r="B575" s="28" t="s">
        <v>11674</v>
      </c>
      <c r="C575" s="28" t="s">
        <v>138</v>
      </c>
      <c r="D575" s="28" t="s">
        <v>138</v>
      </c>
      <c r="E575" s="28" t="s">
        <v>11675</v>
      </c>
      <c r="F575" s="28" t="s">
        <v>11673</v>
      </c>
      <c r="G575" s="28" t="s">
        <v>11676</v>
      </c>
      <c r="H575" s="28" t="s">
        <v>322</v>
      </c>
      <c r="I575" s="28" t="s">
        <v>1503</v>
      </c>
      <c r="J575" s="28" t="s">
        <v>11677</v>
      </c>
      <c r="K575" s="28" t="s">
        <v>11678</v>
      </c>
      <c r="L575" s="28" t="s">
        <v>215</v>
      </c>
      <c r="M575" s="28" t="s">
        <v>11679</v>
      </c>
      <c r="N575" s="28" t="s">
        <v>147</v>
      </c>
      <c r="O575" s="29">
        <v>41.68</v>
      </c>
      <c r="P575" s="28" t="s">
        <v>148</v>
      </c>
      <c r="Q575" s="28" t="s">
        <v>149</v>
      </c>
      <c r="R575" s="28" t="s">
        <v>174</v>
      </c>
      <c r="S575" s="28" t="s">
        <v>11680</v>
      </c>
      <c r="T575" s="30">
        <v>56</v>
      </c>
      <c r="U575" s="28" t="s">
        <v>11681</v>
      </c>
      <c r="V575" s="28" t="s">
        <v>138</v>
      </c>
      <c r="W575" s="28" t="s">
        <v>138</v>
      </c>
      <c r="X575" s="31">
        <v>2009</v>
      </c>
      <c r="Y575" s="28" t="s">
        <v>138</v>
      </c>
      <c r="Z575" s="28" t="s">
        <v>138</v>
      </c>
      <c r="AA575" s="28" t="s">
        <v>138</v>
      </c>
      <c r="AB575" s="32" t="s">
        <v>138</v>
      </c>
      <c r="AC575" s="32" t="s">
        <v>138</v>
      </c>
      <c r="AD575" s="32" t="s">
        <v>138</v>
      </c>
      <c r="AE575" s="32" t="s">
        <v>138</v>
      </c>
      <c r="AF575" s="32" t="s">
        <v>138</v>
      </c>
      <c r="AG575" s="28" t="s">
        <v>138</v>
      </c>
      <c r="AH575" s="32" t="s">
        <v>138</v>
      </c>
      <c r="AI575" s="32" t="s">
        <v>138</v>
      </c>
      <c r="AJ575" s="32" t="s">
        <v>138</v>
      </c>
      <c r="AK575" s="28" t="s">
        <v>11682</v>
      </c>
      <c r="AL575" s="28" t="s">
        <v>11683</v>
      </c>
      <c r="AM575" s="28" t="s">
        <v>4011</v>
      </c>
      <c r="AN575" s="28" t="s">
        <v>11684</v>
      </c>
      <c r="AO575" s="28" t="s">
        <v>11685</v>
      </c>
      <c r="AP575" s="28" t="s">
        <v>1220</v>
      </c>
      <c r="AQ575" s="28" t="s">
        <v>11686</v>
      </c>
      <c r="AR575" s="28" t="s">
        <v>11687</v>
      </c>
      <c r="AS575" s="28" t="s">
        <v>1223</v>
      </c>
      <c r="AT575" s="28" t="s">
        <v>200</v>
      </c>
      <c r="AU575" s="28" t="s">
        <v>5087</v>
      </c>
      <c r="AV575" s="28" t="s">
        <v>162</v>
      </c>
      <c r="AW575" s="28" t="s">
        <v>11685</v>
      </c>
      <c r="AX575" s="28" t="s">
        <v>11688</v>
      </c>
      <c r="AY575" s="28" t="s">
        <v>138</v>
      </c>
      <c r="AZ575" s="28" t="s">
        <v>164</v>
      </c>
      <c r="BA575" s="28" t="s">
        <v>165</v>
      </c>
      <c r="BB575" s="28" t="s">
        <v>11689</v>
      </c>
      <c r="BC575" s="28" t="s">
        <v>11690</v>
      </c>
      <c r="BD575" s="33">
        <v>7</v>
      </c>
      <c r="BE575" s="28" t="s">
        <v>138</v>
      </c>
      <c r="BF575" s="28" t="s">
        <v>138</v>
      </c>
      <c r="BG575" s="28" t="s">
        <v>138</v>
      </c>
      <c r="BH575" s="28" t="s">
        <v>11691</v>
      </c>
      <c r="BI575" s="28" t="s">
        <v>138</v>
      </c>
      <c r="BJ575" s="28" t="s">
        <v>138</v>
      </c>
      <c r="BK575" s="28" t="s">
        <v>11692</v>
      </c>
      <c r="BL575" s="28" t="s">
        <v>11693</v>
      </c>
      <c r="BM575" s="34">
        <v>40997</v>
      </c>
      <c r="BN575" s="29">
        <v>4.8</v>
      </c>
      <c r="BO575" s="28" t="s">
        <v>172</v>
      </c>
      <c r="BP575" s="29">
        <v>12.91</v>
      </c>
      <c r="BQ575" s="28" t="s">
        <v>172</v>
      </c>
      <c r="BR575" s="28" t="s">
        <v>262</v>
      </c>
      <c r="BS575" s="28" t="s">
        <v>206</v>
      </c>
      <c r="BT575" s="28" t="s">
        <v>138</v>
      </c>
      <c r="BU575" s="28" t="s">
        <v>263</v>
      </c>
      <c r="BV575" s="28" t="s">
        <v>138</v>
      </c>
      <c r="BW575" s="28" t="s">
        <v>138</v>
      </c>
      <c r="BX575" s="28" t="s">
        <v>138</v>
      </c>
      <c r="BY575" s="28" t="s">
        <v>175</v>
      </c>
      <c r="BZ575" s="34">
        <v>42563</v>
      </c>
      <c r="CA575" s="29">
        <v>1.5</v>
      </c>
      <c r="CB575" s="28" t="s">
        <v>172</v>
      </c>
      <c r="CC575" s="29" t="s">
        <v>138</v>
      </c>
      <c r="CD575" s="28" t="s">
        <v>138</v>
      </c>
      <c r="CE575" s="28" t="s">
        <v>265</v>
      </c>
      <c r="CF575" s="28" t="s">
        <v>138</v>
      </c>
      <c r="CG575" s="28" t="s">
        <v>138</v>
      </c>
      <c r="CH575" s="28" t="s">
        <v>174</v>
      </c>
      <c r="CI575" s="28" t="s">
        <v>264</v>
      </c>
      <c r="CJ575" s="28" t="s">
        <v>138</v>
      </c>
      <c r="CK575" s="28" t="s">
        <v>138</v>
      </c>
      <c r="CL575" s="28" t="s">
        <v>175</v>
      </c>
      <c r="CM575" s="34" t="s">
        <v>138</v>
      </c>
      <c r="CN575" s="29" t="s">
        <v>138</v>
      </c>
      <c r="CO575" s="35">
        <v>-0.27</v>
      </c>
      <c r="CP575" s="36">
        <v>19</v>
      </c>
      <c r="CQ575" s="35">
        <v>-0.02</v>
      </c>
      <c r="CR575" s="35">
        <v>-6.18</v>
      </c>
      <c r="CS575" s="35">
        <v>-0.65</v>
      </c>
      <c r="CT575" s="36">
        <v>18</v>
      </c>
      <c r="CU575" s="35">
        <v>0.1</v>
      </c>
      <c r="CV575" s="36">
        <v>68</v>
      </c>
      <c r="CW575" s="35">
        <v>0</v>
      </c>
      <c r="CX575" s="36">
        <v>13</v>
      </c>
      <c r="CY575" s="35">
        <v>-1.29</v>
      </c>
      <c r="CZ575" s="36">
        <v>16</v>
      </c>
      <c r="DA575" s="35">
        <v>0.04</v>
      </c>
      <c r="DB575" s="36">
        <v>62</v>
      </c>
      <c r="DC575" s="37">
        <v>2.68</v>
      </c>
      <c r="DD575" s="36">
        <v>73</v>
      </c>
      <c r="DE575" s="37">
        <v>-0.06</v>
      </c>
      <c r="DF575" s="35">
        <v>-2.06</v>
      </c>
      <c r="DG575" s="37">
        <v>4.3600000000000003</v>
      </c>
      <c r="DH575" s="36">
        <v>80</v>
      </c>
      <c r="DI575" s="37">
        <v>0.99</v>
      </c>
      <c r="DJ575" s="36">
        <v>49</v>
      </c>
      <c r="DK575" s="37">
        <v>1.34</v>
      </c>
      <c r="DL575" s="36">
        <v>56</v>
      </c>
      <c r="DM575" s="37">
        <v>7.38</v>
      </c>
      <c r="DN575" s="36">
        <v>86</v>
      </c>
      <c r="DO575" s="37">
        <v>1.73</v>
      </c>
      <c r="DP575" s="36">
        <v>61</v>
      </c>
      <c r="DQ575" s="36">
        <v>440</v>
      </c>
      <c r="DR575" s="38">
        <v>51</v>
      </c>
      <c r="DS575" s="35">
        <v>13.11</v>
      </c>
      <c r="DT575" s="36">
        <v>214</v>
      </c>
      <c r="DU575" s="38">
        <v>-2</v>
      </c>
      <c r="DV575" s="35">
        <v>-0.93</v>
      </c>
      <c r="DW575" s="36">
        <v>618</v>
      </c>
      <c r="DX575" s="39">
        <v>1</v>
      </c>
      <c r="DY575" s="35">
        <v>0.16</v>
      </c>
      <c r="DZ575" s="28" t="s">
        <v>178</v>
      </c>
      <c r="EA575" s="34">
        <v>43622</v>
      </c>
      <c r="EB575" s="29">
        <v>14.13</v>
      </c>
      <c r="EC575" s="34">
        <v>42389</v>
      </c>
      <c r="ED575" s="28" t="s">
        <v>173</v>
      </c>
      <c r="EE575" s="40" t="str">
        <f>HYPERLINK("https://my.pitchbook.com?c=55092-61", "View company online")</f>
        <v>View company online</v>
      </c>
    </row>
    <row r="576" spans="1:135">
      <c r="A576" s="15" t="s">
        <v>11694</v>
      </c>
      <c r="B576" s="15" t="s">
        <v>11695</v>
      </c>
      <c r="C576" s="15" t="s">
        <v>11696</v>
      </c>
      <c r="D576" s="15" t="s">
        <v>138</v>
      </c>
      <c r="E576" s="15" t="s">
        <v>11697</v>
      </c>
      <c r="F576" s="15" t="s">
        <v>11694</v>
      </c>
      <c r="G576" s="15" t="s">
        <v>11698</v>
      </c>
      <c r="H576" s="15" t="s">
        <v>322</v>
      </c>
      <c r="I576" s="15" t="s">
        <v>323</v>
      </c>
      <c r="J576" s="15" t="s">
        <v>461</v>
      </c>
      <c r="K576" s="15" t="s">
        <v>2209</v>
      </c>
      <c r="L576" s="15" t="s">
        <v>586</v>
      </c>
      <c r="M576" s="15" t="s">
        <v>11699</v>
      </c>
      <c r="N576" s="15" t="s">
        <v>147</v>
      </c>
      <c r="O576" s="17">
        <v>26</v>
      </c>
      <c r="P576" s="15" t="s">
        <v>148</v>
      </c>
      <c r="Q576" s="15" t="s">
        <v>149</v>
      </c>
      <c r="R576" s="15" t="s">
        <v>174</v>
      </c>
      <c r="S576" s="15" t="s">
        <v>11700</v>
      </c>
      <c r="T576" s="18">
        <v>110</v>
      </c>
      <c r="U576" s="15" t="s">
        <v>11701</v>
      </c>
      <c r="V576" s="15" t="s">
        <v>138</v>
      </c>
      <c r="W576" s="15" t="s">
        <v>138</v>
      </c>
      <c r="X576" s="19">
        <v>2006</v>
      </c>
      <c r="Y576" s="15" t="s">
        <v>138</v>
      </c>
      <c r="Z576" s="15" t="s">
        <v>138</v>
      </c>
      <c r="AA576" s="15" t="s">
        <v>138</v>
      </c>
      <c r="AB576" s="20">
        <v>4.67</v>
      </c>
      <c r="AC576" s="20" t="s">
        <v>138</v>
      </c>
      <c r="AD576" s="20" t="s">
        <v>138</v>
      </c>
      <c r="AE576" s="20" t="s">
        <v>138</v>
      </c>
      <c r="AF576" s="20" t="s">
        <v>138</v>
      </c>
      <c r="AG576" s="15" t="s">
        <v>563</v>
      </c>
      <c r="AH576" s="20" t="s">
        <v>138</v>
      </c>
      <c r="AI576" s="20" t="s">
        <v>138</v>
      </c>
      <c r="AJ576" s="20" t="s">
        <v>138</v>
      </c>
      <c r="AK576" s="15" t="s">
        <v>11702</v>
      </c>
      <c r="AL576" s="15" t="s">
        <v>11703</v>
      </c>
      <c r="AM576" s="15" t="s">
        <v>221</v>
      </c>
      <c r="AN576" s="15" t="s">
        <v>11704</v>
      </c>
      <c r="AO576" s="15" t="s">
        <v>11705</v>
      </c>
      <c r="AP576" s="15" t="s">
        <v>1244</v>
      </c>
      <c r="AQ576" s="15" t="s">
        <v>11706</v>
      </c>
      <c r="AR576" s="15" t="s">
        <v>7121</v>
      </c>
      <c r="AS576" s="15" t="s">
        <v>1246</v>
      </c>
      <c r="AT576" s="15" t="s">
        <v>200</v>
      </c>
      <c r="AU576" s="15" t="s">
        <v>4589</v>
      </c>
      <c r="AV576" s="15" t="s">
        <v>162</v>
      </c>
      <c r="AW576" s="15" t="s">
        <v>138</v>
      </c>
      <c r="AX576" s="15" t="s">
        <v>138</v>
      </c>
      <c r="AY576" s="15" t="s">
        <v>11707</v>
      </c>
      <c r="AZ576" s="15" t="s">
        <v>164</v>
      </c>
      <c r="BA576" s="15" t="s">
        <v>165</v>
      </c>
      <c r="BB576" s="15" t="s">
        <v>11708</v>
      </c>
      <c r="BC576" s="15" t="s">
        <v>11709</v>
      </c>
      <c r="BD576" s="21">
        <v>9</v>
      </c>
      <c r="BE576" s="15" t="s">
        <v>138</v>
      </c>
      <c r="BF576" s="15" t="s">
        <v>138</v>
      </c>
      <c r="BG576" s="15" t="s">
        <v>138</v>
      </c>
      <c r="BH576" s="15" t="s">
        <v>11710</v>
      </c>
      <c r="BI576" s="15" t="s">
        <v>138</v>
      </c>
      <c r="BJ576" s="15" t="s">
        <v>138</v>
      </c>
      <c r="BK576" s="15" t="s">
        <v>2936</v>
      </c>
      <c r="BL576" s="15" t="s">
        <v>11711</v>
      </c>
      <c r="BM576" s="22">
        <v>42803</v>
      </c>
      <c r="BN576" s="17">
        <v>14</v>
      </c>
      <c r="BO576" s="15" t="s">
        <v>172</v>
      </c>
      <c r="BP576" s="17">
        <v>40</v>
      </c>
      <c r="BQ576" s="15" t="s">
        <v>172</v>
      </c>
      <c r="BR576" s="15" t="s">
        <v>205</v>
      </c>
      <c r="BS576" s="15" t="s">
        <v>206</v>
      </c>
      <c r="BT576" s="15" t="s">
        <v>138</v>
      </c>
      <c r="BU576" s="15" t="s">
        <v>174</v>
      </c>
      <c r="BV576" s="15" t="s">
        <v>1080</v>
      </c>
      <c r="BW576" s="15" t="s">
        <v>138</v>
      </c>
      <c r="BX576" s="15" t="s">
        <v>138</v>
      </c>
      <c r="BY576" s="15" t="s">
        <v>175</v>
      </c>
      <c r="BZ576" s="22">
        <v>43319</v>
      </c>
      <c r="CA576" s="17">
        <v>12</v>
      </c>
      <c r="CB576" s="15" t="s">
        <v>172</v>
      </c>
      <c r="CC576" s="17" t="s">
        <v>138</v>
      </c>
      <c r="CD576" s="15" t="s">
        <v>138</v>
      </c>
      <c r="CE576" s="15" t="s">
        <v>173</v>
      </c>
      <c r="CF576" s="15" t="s">
        <v>720</v>
      </c>
      <c r="CG576" s="15" t="s">
        <v>138</v>
      </c>
      <c r="CH576" s="15" t="s">
        <v>174</v>
      </c>
      <c r="CI576" s="15" t="s">
        <v>138</v>
      </c>
      <c r="CJ576" s="15" t="s">
        <v>138</v>
      </c>
      <c r="CK576" s="15" t="s">
        <v>138</v>
      </c>
      <c r="CL576" s="15" t="s">
        <v>175</v>
      </c>
      <c r="CM576" s="22">
        <v>42803</v>
      </c>
      <c r="CN576" s="17" t="s">
        <v>138</v>
      </c>
      <c r="CO576" s="23">
        <v>0.31</v>
      </c>
      <c r="CP576" s="24">
        <v>94</v>
      </c>
      <c r="CQ576" s="23">
        <v>0</v>
      </c>
      <c r="CR576" s="23">
        <v>-1.08</v>
      </c>
      <c r="CS576" s="23">
        <v>0.4</v>
      </c>
      <c r="CT576" s="24">
        <v>95</v>
      </c>
      <c r="CU576" s="23">
        <v>0.16</v>
      </c>
      <c r="CV576" s="24">
        <v>76</v>
      </c>
      <c r="CW576" s="23">
        <v>1.99</v>
      </c>
      <c r="CX576" s="24">
        <v>88</v>
      </c>
      <c r="CY576" s="23">
        <v>-1.2</v>
      </c>
      <c r="CZ576" s="24">
        <v>17</v>
      </c>
      <c r="DA576" s="23">
        <v>0.25</v>
      </c>
      <c r="DB576" s="24">
        <v>86</v>
      </c>
      <c r="DC576" s="25">
        <v>4.29</v>
      </c>
      <c r="DD576" s="24">
        <v>81</v>
      </c>
      <c r="DE576" s="25">
        <v>-7.0000000000000007E-2</v>
      </c>
      <c r="DF576" s="23">
        <v>-1.54</v>
      </c>
      <c r="DG576" s="25">
        <v>6.29</v>
      </c>
      <c r="DH576" s="24">
        <v>85</v>
      </c>
      <c r="DI576" s="25">
        <v>6.38</v>
      </c>
      <c r="DJ576" s="24">
        <v>80</v>
      </c>
      <c r="DK576" s="25">
        <v>3.48</v>
      </c>
      <c r="DL576" s="24">
        <v>74</v>
      </c>
      <c r="DM576" s="25">
        <v>9.1</v>
      </c>
      <c r="DN576" s="24">
        <v>88</v>
      </c>
      <c r="DO576" s="25">
        <v>12.3</v>
      </c>
      <c r="DP576" s="24">
        <v>89</v>
      </c>
      <c r="DQ576" s="24">
        <v>1166</v>
      </c>
      <c r="DR576" s="26">
        <v>86</v>
      </c>
      <c r="DS576" s="23">
        <v>7.96</v>
      </c>
      <c r="DT576" s="24">
        <v>264</v>
      </c>
      <c r="DU576" s="26">
        <v>0</v>
      </c>
      <c r="DV576" s="23">
        <v>0</v>
      </c>
      <c r="DW576" s="24">
        <v>4401</v>
      </c>
      <c r="DX576" s="27">
        <v>7</v>
      </c>
      <c r="DY576" s="23">
        <v>0.16</v>
      </c>
      <c r="DZ576" s="15" t="s">
        <v>178</v>
      </c>
      <c r="EA576" s="22">
        <v>43622</v>
      </c>
      <c r="EB576" s="17">
        <v>40</v>
      </c>
      <c r="EC576" s="22">
        <v>42803</v>
      </c>
      <c r="ED576" s="15" t="s">
        <v>205</v>
      </c>
      <c r="EE576" s="14" t="str">
        <f>HYPERLINK("https://my.pitchbook.com?c=122139-19", "View company online")</f>
        <v>View company online</v>
      </c>
    </row>
    <row r="577" spans="1:135">
      <c r="A577" s="28" t="s">
        <v>11712</v>
      </c>
      <c r="B577" s="28" t="s">
        <v>11713</v>
      </c>
      <c r="C577" s="28" t="s">
        <v>11714</v>
      </c>
      <c r="D577" s="28" t="s">
        <v>138</v>
      </c>
      <c r="E577" s="28" t="s">
        <v>11715</v>
      </c>
      <c r="F577" s="28" t="s">
        <v>11712</v>
      </c>
      <c r="G577" s="28" t="s">
        <v>11716</v>
      </c>
      <c r="H577" s="28" t="s">
        <v>322</v>
      </c>
      <c r="I577" s="28" t="s">
        <v>323</v>
      </c>
      <c r="J577" s="28" t="s">
        <v>1132</v>
      </c>
      <c r="K577" s="28" t="s">
        <v>11717</v>
      </c>
      <c r="L577" s="28" t="s">
        <v>11718</v>
      </c>
      <c r="M577" s="28" t="s">
        <v>11719</v>
      </c>
      <c r="N577" s="28" t="s">
        <v>147</v>
      </c>
      <c r="O577" s="29">
        <v>93.5</v>
      </c>
      <c r="P577" s="28" t="s">
        <v>148</v>
      </c>
      <c r="Q577" s="28" t="s">
        <v>149</v>
      </c>
      <c r="R577" s="28" t="s">
        <v>174</v>
      </c>
      <c r="S577" s="28" t="s">
        <v>11720</v>
      </c>
      <c r="T577" s="30">
        <v>300</v>
      </c>
      <c r="U577" s="28" t="s">
        <v>11721</v>
      </c>
      <c r="V577" s="28" t="s">
        <v>138</v>
      </c>
      <c r="W577" s="28" t="s">
        <v>138</v>
      </c>
      <c r="X577" s="31">
        <v>2012</v>
      </c>
      <c r="Y577" s="28" t="s">
        <v>138</v>
      </c>
      <c r="Z577" s="28" t="s">
        <v>138</v>
      </c>
      <c r="AA577" s="28" t="s">
        <v>1163</v>
      </c>
      <c r="AB577" s="32" t="s">
        <v>138</v>
      </c>
      <c r="AC577" s="32" t="s">
        <v>138</v>
      </c>
      <c r="AD577" s="32" t="s">
        <v>138</v>
      </c>
      <c r="AE577" s="32" t="s">
        <v>138</v>
      </c>
      <c r="AF577" s="32" t="s">
        <v>138</v>
      </c>
      <c r="AG577" s="28" t="s">
        <v>138</v>
      </c>
      <c r="AH577" s="32" t="s">
        <v>138</v>
      </c>
      <c r="AI577" s="32" t="s">
        <v>138</v>
      </c>
      <c r="AJ577" s="32" t="s">
        <v>138</v>
      </c>
      <c r="AK577" s="28" t="s">
        <v>11722</v>
      </c>
      <c r="AL577" s="28" t="s">
        <v>11723</v>
      </c>
      <c r="AM577" s="28" t="s">
        <v>249</v>
      </c>
      <c r="AN577" s="28" t="s">
        <v>11724</v>
      </c>
      <c r="AO577" s="28" t="s">
        <v>138</v>
      </c>
      <c r="AP577" s="28" t="s">
        <v>665</v>
      </c>
      <c r="AQ577" s="28" t="s">
        <v>11725</v>
      </c>
      <c r="AR577" s="28" t="s">
        <v>713</v>
      </c>
      <c r="AS577" s="28" t="s">
        <v>668</v>
      </c>
      <c r="AT577" s="28" t="s">
        <v>200</v>
      </c>
      <c r="AU577" s="28" t="s">
        <v>1893</v>
      </c>
      <c r="AV577" s="28" t="s">
        <v>162</v>
      </c>
      <c r="AW577" s="28" t="s">
        <v>138</v>
      </c>
      <c r="AX577" s="28" t="s">
        <v>138</v>
      </c>
      <c r="AY577" s="28" t="s">
        <v>11726</v>
      </c>
      <c r="AZ577" s="28" t="s">
        <v>164</v>
      </c>
      <c r="BA577" s="28" t="s">
        <v>165</v>
      </c>
      <c r="BB577" s="28" t="s">
        <v>11727</v>
      </c>
      <c r="BC577" s="28" t="s">
        <v>11728</v>
      </c>
      <c r="BD577" s="33">
        <v>45</v>
      </c>
      <c r="BE577" s="28" t="s">
        <v>138</v>
      </c>
      <c r="BF577" s="28" t="s">
        <v>11729</v>
      </c>
      <c r="BG577" s="28" t="s">
        <v>138</v>
      </c>
      <c r="BH577" s="28" t="s">
        <v>11730</v>
      </c>
      <c r="BI577" s="28" t="s">
        <v>11731</v>
      </c>
      <c r="BJ577" s="28" t="s">
        <v>138</v>
      </c>
      <c r="BK577" s="28" t="s">
        <v>11732</v>
      </c>
      <c r="BL577" s="28" t="s">
        <v>11733</v>
      </c>
      <c r="BM577" s="34">
        <v>41590</v>
      </c>
      <c r="BN577" s="29">
        <v>6.5</v>
      </c>
      <c r="BO577" s="28" t="s">
        <v>172</v>
      </c>
      <c r="BP577" s="29" t="s">
        <v>138</v>
      </c>
      <c r="BQ577" s="28" t="s">
        <v>138</v>
      </c>
      <c r="BR577" s="28" t="s">
        <v>234</v>
      </c>
      <c r="BS577" s="28" t="s">
        <v>234</v>
      </c>
      <c r="BT577" s="28" t="s">
        <v>138</v>
      </c>
      <c r="BU577" s="28" t="s">
        <v>174</v>
      </c>
      <c r="BV577" s="28" t="s">
        <v>138</v>
      </c>
      <c r="BW577" s="28" t="s">
        <v>138</v>
      </c>
      <c r="BX577" s="28" t="s">
        <v>138</v>
      </c>
      <c r="BY577" s="28" t="s">
        <v>175</v>
      </c>
      <c r="BZ577" s="34" t="s">
        <v>138</v>
      </c>
      <c r="CA577" s="29" t="s">
        <v>138</v>
      </c>
      <c r="CB577" s="28" t="s">
        <v>138</v>
      </c>
      <c r="CC577" s="29" t="s">
        <v>138</v>
      </c>
      <c r="CD577" s="28" t="s">
        <v>138</v>
      </c>
      <c r="CE577" s="28" t="s">
        <v>379</v>
      </c>
      <c r="CF577" s="28" t="s">
        <v>138</v>
      </c>
      <c r="CG577" s="28" t="s">
        <v>138</v>
      </c>
      <c r="CH577" s="28" t="s">
        <v>174</v>
      </c>
      <c r="CI577" s="28" t="s">
        <v>138</v>
      </c>
      <c r="CJ577" s="28" t="s">
        <v>138</v>
      </c>
      <c r="CK577" s="28" t="s">
        <v>138</v>
      </c>
      <c r="CL577" s="28" t="s">
        <v>175</v>
      </c>
      <c r="CM577" s="34" t="s">
        <v>138</v>
      </c>
      <c r="CN577" s="29" t="s">
        <v>138</v>
      </c>
      <c r="CO577" s="35">
        <v>-0.94</v>
      </c>
      <c r="CP577" s="36">
        <v>11</v>
      </c>
      <c r="CQ577" s="35">
        <v>-0.01</v>
      </c>
      <c r="CR577" s="35">
        <v>-1.24</v>
      </c>
      <c r="CS577" s="35">
        <v>-1.93</v>
      </c>
      <c r="CT577" s="36">
        <v>9</v>
      </c>
      <c r="CU577" s="35">
        <v>0.05</v>
      </c>
      <c r="CV577" s="36">
        <v>58</v>
      </c>
      <c r="CW577" s="35">
        <v>-2.27</v>
      </c>
      <c r="CX577" s="36">
        <v>7</v>
      </c>
      <c r="CY577" s="35">
        <v>-1.59</v>
      </c>
      <c r="CZ577" s="36">
        <v>14</v>
      </c>
      <c r="DA577" s="35">
        <v>7.0000000000000007E-2</v>
      </c>
      <c r="DB577" s="36">
        <v>67</v>
      </c>
      <c r="DC577" s="37">
        <v>714.9</v>
      </c>
      <c r="DD577" s="36">
        <v>100</v>
      </c>
      <c r="DE577" s="37">
        <v>-0.09</v>
      </c>
      <c r="DF577" s="35">
        <v>-0.01</v>
      </c>
      <c r="DG577" s="37">
        <v>77.260000000000005</v>
      </c>
      <c r="DH577" s="36">
        <v>99</v>
      </c>
      <c r="DI577" s="37">
        <v>1352.55</v>
      </c>
      <c r="DJ577" s="36">
        <v>100</v>
      </c>
      <c r="DK577" s="37">
        <v>129.37</v>
      </c>
      <c r="DL577" s="36">
        <v>98</v>
      </c>
      <c r="DM577" s="37">
        <v>25.14</v>
      </c>
      <c r="DN577" s="36">
        <v>95</v>
      </c>
      <c r="DO577" s="37">
        <v>2561.2399999999998</v>
      </c>
      <c r="DP577" s="36">
        <v>100</v>
      </c>
      <c r="DQ577" s="36">
        <v>44620</v>
      </c>
      <c r="DR577" s="38">
        <v>-736</v>
      </c>
      <c r="DS577" s="35">
        <v>-1.62</v>
      </c>
      <c r="DT577" s="36">
        <v>730</v>
      </c>
      <c r="DU577" s="38">
        <v>-1</v>
      </c>
      <c r="DV577" s="35">
        <v>-0.14000000000000001</v>
      </c>
      <c r="DW577" s="36">
        <v>916631</v>
      </c>
      <c r="DX577" s="39">
        <v>1059</v>
      </c>
      <c r="DY577" s="35">
        <v>0.12</v>
      </c>
      <c r="DZ577" s="28" t="s">
        <v>178</v>
      </c>
      <c r="EA577" s="34">
        <v>43621</v>
      </c>
      <c r="EB577" s="29">
        <v>410</v>
      </c>
      <c r="EC577" s="34">
        <v>42628</v>
      </c>
      <c r="ED577" s="28" t="s">
        <v>205</v>
      </c>
      <c r="EE577" s="40" t="str">
        <f>HYPERLINK("https://my.pitchbook.com?c=56502-19", "View company online")</f>
        <v>View company online</v>
      </c>
    </row>
    <row r="578" spans="1:135">
      <c r="A578" s="15" t="s">
        <v>11734</v>
      </c>
      <c r="B578" s="15" t="s">
        <v>11735</v>
      </c>
      <c r="C578" s="15" t="s">
        <v>11736</v>
      </c>
      <c r="D578" s="15" t="s">
        <v>11737</v>
      </c>
      <c r="E578" s="15" t="s">
        <v>11738</v>
      </c>
      <c r="F578" s="15" t="s">
        <v>11734</v>
      </c>
      <c r="G578" s="15" t="s">
        <v>11739</v>
      </c>
      <c r="H578" s="15" t="s">
        <v>322</v>
      </c>
      <c r="I578" s="15" t="s">
        <v>323</v>
      </c>
      <c r="J578" s="15" t="s">
        <v>413</v>
      </c>
      <c r="K578" s="15" t="s">
        <v>2254</v>
      </c>
      <c r="L578" s="15" t="s">
        <v>1134</v>
      </c>
      <c r="M578" s="15" t="s">
        <v>11740</v>
      </c>
      <c r="N578" s="15" t="s">
        <v>147</v>
      </c>
      <c r="O578" s="17">
        <v>74.900000000000006</v>
      </c>
      <c r="P578" s="15" t="s">
        <v>148</v>
      </c>
      <c r="Q578" s="15" t="s">
        <v>149</v>
      </c>
      <c r="R578" s="15" t="s">
        <v>174</v>
      </c>
      <c r="S578" s="15" t="s">
        <v>11741</v>
      </c>
      <c r="T578" s="18">
        <v>100</v>
      </c>
      <c r="U578" s="15" t="s">
        <v>11742</v>
      </c>
      <c r="V578" s="15" t="s">
        <v>138</v>
      </c>
      <c r="W578" s="15" t="s">
        <v>138</v>
      </c>
      <c r="X578" s="19">
        <v>2015</v>
      </c>
      <c r="Y578" s="15" t="s">
        <v>138</v>
      </c>
      <c r="Z578" s="15" t="s">
        <v>138</v>
      </c>
      <c r="AA578" s="15" t="s">
        <v>138</v>
      </c>
      <c r="AB578" s="20" t="s">
        <v>138</v>
      </c>
      <c r="AC578" s="20" t="s">
        <v>138</v>
      </c>
      <c r="AD578" s="20" t="s">
        <v>138</v>
      </c>
      <c r="AE578" s="20" t="s">
        <v>138</v>
      </c>
      <c r="AF578" s="20" t="s">
        <v>138</v>
      </c>
      <c r="AG578" s="15" t="s">
        <v>138</v>
      </c>
      <c r="AH578" s="20" t="s">
        <v>138</v>
      </c>
      <c r="AI578" s="20" t="s">
        <v>138</v>
      </c>
      <c r="AJ578" s="20" t="s">
        <v>138</v>
      </c>
      <c r="AK578" s="15" t="s">
        <v>11743</v>
      </c>
      <c r="AL578" s="15" t="s">
        <v>11744</v>
      </c>
      <c r="AM578" s="15" t="s">
        <v>11745</v>
      </c>
      <c r="AN578" s="15" t="s">
        <v>11746</v>
      </c>
      <c r="AO578" s="15" t="s">
        <v>11747</v>
      </c>
      <c r="AP578" s="15" t="s">
        <v>11748</v>
      </c>
      <c r="AQ578" s="15" t="s">
        <v>11749</v>
      </c>
      <c r="AR578" s="15" t="s">
        <v>138</v>
      </c>
      <c r="AS578" s="15" t="s">
        <v>11750</v>
      </c>
      <c r="AT578" s="15" t="s">
        <v>200</v>
      </c>
      <c r="AU578" s="15" t="s">
        <v>11751</v>
      </c>
      <c r="AV578" s="15" t="s">
        <v>162</v>
      </c>
      <c r="AW578" s="15" t="s">
        <v>11747</v>
      </c>
      <c r="AX578" s="15" t="s">
        <v>138</v>
      </c>
      <c r="AY578" s="15" t="s">
        <v>11752</v>
      </c>
      <c r="AZ578" s="15" t="s">
        <v>164</v>
      </c>
      <c r="BA578" s="15" t="s">
        <v>165</v>
      </c>
      <c r="BB578" s="15" t="s">
        <v>11753</v>
      </c>
      <c r="BC578" s="15" t="s">
        <v>11754</v>
      </c>
      <c r="BD578" s="21">
        <v>17</v>
      </c>
      <c r="BE578" s="15" t="s">
        <v>138</v>
      </c>
      <c r="BF578" s="15" t="s">
        <v>138</v>
      </c>
      <c r="BG578" s="15" t="s">
        <v>138</v>
      </c>
      <c r="BH578" s="15" t="s">
        <v>11755</v>
      </c>
      <c r="BI578" s="15" t="s">
        <v>138</v>
      </c>
      <c r="BJ578" s="15" t="s">
        <v>138</v>
      </c>
      <c r="BK578" s="15" t="s">
        <v>290</v>
      </c>
      <c r="BL578" s="15" t="s">
        <v>290</v>
      </c>
      <c r="BM578" s="22">
        <v>42263</v>
      </c>
      <c r="BN578" s="17">
        <v>0.4</v>
      </c>
      <c r="BO578" s="15" t="s">
        <v>172</v>
      </c>
      <c r="BP578" s="17">
        <v>2</v>
      </c>
      <c r="BQ578" s="15" t="s">
        <v>1178</v>
      </c>
      <c r="BR578" s="15" t="s">
        <v>234</v>
      </c>
      <c r="BS578" s="15" t="s">
        <v>234</v>
      </c>
      <c r="BT578" s="15" t="s">
        <v>138</v>
      </c>
      <c r="BU578" s="15" t="s">
        <v>174</v>
      </c>
      <c r="BV578" s="15" t="s">
        <v>138</v>
      </c>
      <c r="BW578" s="15" t="s">
        <v>138</v>
      </c>
      <c r="BX578" s="15" t="s">
        <v>138</v>
      </c>
      <c r="BY578" s="15" t="s">
        <v>175</v>
      </c>
      <c r="BZ578" s="22">
        <v>43089</v>
      </c>
      <c r="CA578" s="17">
        <v>25</v>
      </c>
      <c r="CB578" s="15" t="s">
        <v>172</v>
      </c>
      <c r="CC578" s="17">
        <v>170</v>
      </c>
      <c r="CD578" s="15" t="s">
        <v>172</v>
      </c>
      <c r="CE578" s="15" t="s">
        <v>205</v>
      </c>
      <c r="CF578" s="15" t="s">
        <v>974</v>
      </c>
      <c r="CG578" s="15" t="s">
        <v>138</v>
      </c>
      <c r="CH578" s="15" t="s">
        <v>174</v>
      </c>
      <c r="CI578" s="15" t="s">
        <v>138</v>
      </c>
      <c r="CJ578" s="15" t="s">
        <v>138</v>
      </c>
      <c r="CK578" s="15" t="s">
        <v>138</v>
      </c>
      <c r="CL578" s="15" t="s">
        <v>175</v>
      </c>
      <c r="CM578" s="22" t="s">
        <v>138</v>
      </c>
      <c r="CN578" s="17" t="s">
        <v>138</v>
      </c>
      <c r="CO578" s="23">
        <v>4.28</v>
      </c>
      <c r="CP578" s="24">
        <v>100</v>
      </c>
      <c r="CQ578" s="23">
        <v>0.21</v>
      </c>
      <c r="CR578" s="23">
        <v>5.07</v>
      </c>
      <c r="CS578" s="23">
        <v>3.77</v>
      </c>
      <c r="CT578" s="24">
        <v>100</v>
      </c>
      <c r="CU578" s="23">
        <v>4.8</v>
      </c>
      <c r="CV578" s="24">
        <v>100</v>
      </c>
      <c r="CW578" s="23">
        <v>7.82</v>
      </c>
      <c r="CX578" s="24">
        <v>98</v>
      </c>
      <c r="CY578" s="23">
        <v>-0.28000000000000003</v>
      </c>
      <c r="CZ578" s="24">
        <v>23</v>
      </c>
      <c r="DA578" s="23">
        <v>9.57</v>
      </c>
      <c r="DB578" s="24">
        <v>100</v>
      </c>
      <c r="DC578" s="25">
        <v>4.5199999999999996</v>
      </c>
      <c r="DD578" s="24">
        <v>81</v>
      </c>
      <c r="DE578" s="25">
        <v>-0.12</v>
      </c>
      <c r="DF578" s="23">
        <v>-2.5</v>
      </c>
      <c r="DG578" s="25">
        <v>5.76</v>
      </c>
      <c r="DH578" s="24">
        <v>84</v>
      </c>
      <c r="DI578" s="25">
        <v>3.28</v>
      </c>
      <c r="DJ578" s="24">
        <v>71</v>
      </c>
      <c r="DK578" s="25">
        <v>6.07</v>
      </c>
      <c r="DL578" s="24">
        <v>82</v>
      </c>
      <c r="DM578" s="25">
        <v>5.45</v>
      </c>
      <c r="DN578" s="24">
        <v>82</v>
      </c>
      <c r="DO578" s="25">
        <v>5.49</v>
      </c>
      <c r="DP578" s="24">
        <v>80</v>
      </c>
      <c r="DQ578" s="24">
        <v>2002</v>
      </c>
      <c r="DR578" s="26">
        <v>238</v>
      </c>
      <c r="DS578" s="23">
        <v>13.49</v>
      </c>
      <c r="DT578" s="24">
        <v>157</v>
      </c>
      <c r="DU578" s="26">
        <v>2</v>
      </c>
      <c r="DV578" s="23">
        <v>1.29</v>
      </c>
      <c r="DW578" s="24">
        <v>1934</v>
      </c>
      <c r="DX578" s="27">
        <v>96</v>
      </c>
      <c r="DY578" s="23">
        <v>5.22</v>
      </c>
      <c r="DZ578" s="15" t="s">
        <v>178</v>
      </c>
      <c r="EA578" s="22">
        <v>43622</v>
      </c>
      <c r="EB578" s="17">
        <v>170</v>
      </c>
      <c r="EC578" s="22">
        <v>43089</v>
      </c>
      <c r="ED578" s="15" t="s">
        <v>205</v>
      </c>
      <c r="EE578" s="14" t="str">
        <f>HYPERLINK("https://my.pitchbook.com?c=178948-99", "View company online")</f>
        <v>View company online</v>
      </c>
    </row>
    <row r="579" spans="1:135">
      <c r="A579" s="28" t="s">
        <v>11756</v>
      </c>
      <c r="B579" s="28" t="s">
        <v>11757</v>
      </c>
      <c r="C579" s="28" t="s">
        <v>138</v>
      </c>
      <c r="D579" s="28" t="s">
        <v>138</v>
      </c>
      <c r="E579" s="28" t="s">
        <v>11758</v>
      </c>
      <c r="F579" s="28" t="s">
        <v>11756</v>
      </c>
      <c r="G579" s="28" t="s">
        <v>11759</v>
      </c>
      <c r="H579" s="28" t="s">
        <v>238</v>
      </c>
      <c r="I579" s="28" t="s">
        <v>1018</v>
      </c>
      <c r="J579" s="28" t="s">
        <v>1019</v>
      </c>
      <c r="K579" s="28" t="s">
        <v>11760</v>
      </c>
      <c r="L579" s="28" t="s">
        <v>242</v>
      </c>
      <c r="M579" s="28" t="s">
        <v>11761</v>
      </c>
      <c r="N579" s="28" t="s">
        <v>147</v>
      </c>
      <c r="O579" s="29">
        <v>23.5</v>
      </c>
      <c r="P579" s="28" t="s">
        <v>148</v>
      </c>
      <c r="Q579" s="28" t="s">
        <v>149</v>
      </c>
      <c r="R579" s="28" t="s">
        <v>174</v>
      </c>
      <c r="S579" s="28" t="s">
        <v>11762</v>
      </c>
      <c r="T579" s="30">
        <v>29</v>
      </c>
      <c r="U579" s="28" t="s">
        <v>11763</v>
      </c>
      <c r="V579" s="28" t="s">
        <v>138</v>
      </c>
      <c r="W579" s="28" t="s">
        <v>138</v>
      </c>
      <c r="X579" s="31">
        <v>2013</v>
      </c>
      <c r="Y579" s="28" t="s">
        <v>138</v>
      </c>
      <c r="Z579" s="28" t="s">
        <v>138</v>
      </c>
      <c r="AA579" s="28" t="s">
        <v>138</v>
      </c>
      <c r="AB579" s="32" t="s">
        <v>138</v>
      </c>
      <c r="AC579" s="32" t="s">
        <v>138</v>
      </c>
      <c r="AD579" s="32" t="s">
        <v>138</v>
      </c>
      <c r="AE579" s="32" t="s">
        <v>138</v>
      </c>
      <c r="AF579" s="32" t="s">
        <v>138</v>
      </c>
      <c r="AG579" s="28" t="s">
        <v>138</v>
      </c>
      <c r="AH579" s="32" t="s">
        <v>138</v>
      </c>
      <c r="AI579" s="32" t="s">
        <v>138</v>
      </c>
      <c r="AJ579" s="32" t="s">
        <v>138</v>
      </c>
      <c r="AK579" s="28" t="s">
        <v>11764</v>
      </c>
      <c r="AL579" s="28" t="s">
        <v>11765</v>
      </c>
      <c r="AM579" s="28" t="s">
        <v>304</v>
      </c>
      <c r="AN579" s="28" t="s">
        <v>11766</v>
      </c>
      <c r="AO579" s="28" t="s">
        <v>11767</v>
      </c>
      <c r="AP579" s="28" t="s">
        <v>665</v>
      </c>
      <c r="AQ579" s="28" t="s">
        <v>11768</v>
      </c>
      <c r="AR579" s="28" t="s">
        <v>138</v>
      </c>
      <c r="AS579" s="28" t="s">
        <v>668</v>
      </c>
      <c r="AT579" s="28" t="s">
        <v>200</v>
      </c>
      <c r="AU579" s="28" t="s">
        <v>1723</v>
      </c>
      <c r="AV579" s="28" t="s">
        <v>162</v>
      </c>
      <c r="AW579" s="28" t="s">
        <v>11767</v>
      </c>
      <c r="AX579" s="28" t="s">
        <v>138</v>
      </c>
      <c r="AY579" s="28" t="s">
        <v>11769</v>
      </c>
      <c r="AZ579" s="28" t="s">
        <v>164</v>
      </c>
      <c r="BA579" s="28" t="s">
        <v>165</v>
      </c>
      <c r="BB579" s="28" t="s">
        <v>11770</v>
      </c>
      <c r="BC579" s="28" t="s">
        <v>11771</v>
      </c>
      <c r="BD579" s="33">
        <v>40</v>
      </c>
      <c r="BE579" s="28" t="s">
        <v>138</v>
      </c>
      <c r="BF579" s="28" t="s">
        <v>138</v>
      </c>
      <c r="BG579" s="28" t="s">
        <v>138</v>
      </c>
      <c r="BH579" s="28" t="s">
        <v>11772</v>
      </c>
      <c r="BI579" s="28" t="s">
        <v>138</v>
      </c>
      <c r="BJ579" s="28" t="s">
        <v>138</v>
      </c>
      <c r="BK579" s="28" t="s">
        <v>10878</v>
      </c>
      <c r="BL579" s="28" t="s">
        <v>1251</v>
      </c>
      <c r="BM579" s="34">
        <v>41640</v>
      </c>
      <c r="BN579" s="29" t="s">
        <v>138</v>
      </c>
      <c r="BO579" s="28" t="s">
        <v>138</v>
      </c>
      <c r="BP579" s="29" t="s">
        <v>138</v>
      </c>
      <c r="BQ579" s="28" t="s">
        <v>138</v>
      </c>
      <c r="BR579" s="28" t="s">
        <v>234</v>
      </c>
      <c r="BS579" s="28" t="s">
        <v>234</v>
      </c>
      <c r="BT579" s="28" t="s">
        <v>138</v>
      </c>
      <c r="BU579" s="28" t="s">
        <v>174</v>
      </c>
      <c r="BV579" s="28" t="s">
        <v>138</v>
      </c>
      <c r="BW579" s="28" t="s">
        <v>138</v>
      </c>
      <c r="BX579" s="28" t="s">
        <v>138</v>
      </c>
      <c r="BY579" s="28" t="s">
        <v>175</v>
      </c>
      <c r="BZ579" s="34">
        <v>42907</v>
      </c>
      <c r="CA579" s="29">
        <v>14</v>
      </c>
      <c r="CB579" s="28" t="s">
        <v>172</v>
      </c>
      <c r="CC579" s="29">
        <v>42</v>
      </c>
      <c r="CD579" s="28" t="s">
        <v>172</v>
      </c>
      <c r="CE579" s="28" t="s">
        <v>205</v>
      </c>
      <c r="CF579" s="28" t="s">
        <v>720</v>
      </c>
      <c r="CG579" s="28" t="s">
        <v>138</v>
      </c>
      <c r="CH579" s="28" t="s">
        <v>174</v>
      </c>
      <c r="CI579" s="28" t="s">
        <v>138</v>
      </c>
      <c r="CJ579" s="28" t="s">
        <v>138</v>
      </c>
      <c r="CK579" s="28" t="s">
        <v>138</v>
      </c>
      <c r="CL579" s="28" t="s">
        <v>175</v>
      </c>
      <c r="CM579" s="34" t="s">
        <v>138</v>
      </c>
      <c r="CN579" s="29" t="s">
        <v>138</v>
      </c>
      <c r="CO579" s="35">
        <v>0.79</v>
      </c>
      <c r="CP579" s="36">
        <v>96</v>
      </c>
      <c r="CQ579" s="35">
        <v>-0.01</v>
      </c>
      <c r="CR579" s="35">
        <v>-0.84</v>
      </c>
      <c r="CS579" s="35">
        <v>1.93</v>
      </c>
      <c r="CT579" s="36">
        <v>98</v>
      </c>
      <c r="CU579" s="35">
        <v>0.2</v>
      </c>
      <c r="CV579" s="36">
        <v>80</v>
      </c>
      <c r="CW579" s="35">
        <v>4.97</v>
      </c>
      <c r="CX579" s="36">
        <v>95</v>
      </c>
      <c r="CY579" s="35">
        <v>-1.1200000000000001</v>
      </c>
      <c r="CZ579" s="36">
        <v>18</v>
      </c>
      <c r="DA579" s="35">
        <v>0.2</v>
      </c>
      <c r="DB579" s="36">
        <v>82</v>
      </c>
      <c r="DC579" s="37">
        <v>22.5</v>
      </c>
      <c r="DD579" s="36">
        <v>95</v>
      </c>
      <c r="DE579" s="37">
        <v>-1.64</v>
      </c>
      <c r="DF579" s="35">
        <v>-6.78</v>
      </c>
      <c r="DG579" s="37">
        <v>58.01</v>
      </c>
      <c r="DH579" s="36">
        <v>99</v>
      </c>
      <c r="DI579" s="37">
        <v>6.29</v>
      </c>
      <c r="DJ579" s="36">
        <v>80</v>
      </c>
      <c r="DK579" s="37">
        <v>78.91</v>
      </c>
      <c r="DL579" s="36">
        <v>97</v>
      </c>
      <c r="DM579" s="37">
        <v>37.1</v>
      </c>
      <c r="DN579" s="36">
        <v>97</v>
      </c>
      <c r="DO579" s="37">
        <v>6.29</v>
      </c>
      <c r="DP579" s="36">
        <v>82</v>
      </c>
      <c r="DQ579" s="36">
        <v>26645</v>
      </c>
      <c r="DR579" s="38">
        <v>1263</v>
      </c>
      <c r="DS579" s="35">
        <v>4.9800000000000004</v>
      </c>
      <c r="DT579" s="36">
        <v>1076</v>
      </c>
      <c r="DU579" s="38">
        <v>-3</v>
      </c>
      <c r="DV579" s="35">
        <v>-0.28000000000000003</v>
      </c>
      <c r="DW579" s="36">
        <v>2254</v>
      </c>
      <c r="DX579" s="39">
        <v>-4</v>
      </c>
      <c r="DY579" s="35">
        <v>-0.18</v>
      </c>
      <c r="DZ579" s="28" t="s">
        <v>178</v>
      </c>
      <c r="EA579" s="34">
        <v>43558</v>
      </c>
      <c r="EB579" s="29">
        <v>42</v>
      </c>
      <c r="EC579" s="34">
        <v>42907</v>
      </c>
      <c r="ED579" s="28" t="s">
        <v>205</v>
      </c>
      <c r="EE579" s="40" t="str">
        <f>HYPERLINK("https://my.pitchbook.com?c=87814-90", "View company online")</f>
        <v>View company online</v>
      </c>
    </row>
    <row r="580" spans="1:135">
      <c r="A580" s="15" t="s">
        <v>11773</v>
      </c>
      <c r="B580" s="15" t="s">
        <v>11774</v>
      </c>
      <c r="C580" s="15" t="s">
        <v>138</v>
      </c>
      <c r="D580" s="15" t="s">
        <v>138</v>
      </c>
      <c r="E580" s="15" t="s">
        <v>11775</v>
      </c>
      <c r="F580" s="15" t="s">
        <v>11773</v>
      </c>
      <c r="G580" s="15" t="s">
        <v>11776</v>
      </c>
      <c r="H580" s="15" t="s">
        <v>322</v>
      </c>
      <c r="I580" s="15" t="s">
        <v>356</v>
      </c>
      <c r="J580" s="15" t="s">
        <v>3852</v>
      </c>
      <c r="K580" s="15" t="s">
        <v>11777</v>
      </c>
      <c r="L580" s="15" t="s">
        <v>11778</v>
      </c>
      <c r="M580" s="15" t="s">
        <v>11779</v>
      </c>
      <c r="N580" s="15" t="s">
        <v>147</v>
      </c>
      <c r="O580" s="17">
        <v>6.11</v>
      </c>
      <c r="P580" s="15" t="s">
        <v>148</v>
      </c>
      <c r="Q580" s="15" t="s">
        <v>149</v>
      </c>
      <c r="R580" s="15" t="s">
        <v>174</v>
      </c>
      <c r="S580" s="15" t="s">
        <v>11780</v>
      </c>
      <c r="T580" s="18">
        <v>22</v>
      </c>
      <c r="U580" s="15" t="s">
        <v>11781</v>
      </c>
      <c r="V580" s="15" t="s">
        <v>138</v>
      </c>
      <c r="W580" s="15" t="s">
        <v>138</v>
      </c>
      <c r="X580" s="19">
        <v>2013</v>
      </c>
      <c r="Y580" s="15" t="s">
        <v>138</v>
      </c>
      <c r="Z580" s="15" t="s">
        <v>138</v>
      </c>
      <c r="AA580" s="15" t="s">
        <v>138</v>
      </c>
      <c r="AB580" s="20" t="s">
        <v>138</v>
      </c>
      <c r="AC580" s="20" t="s">
        <v>138</v>
      </c>
      <c r="AD580" s="20" t="s">
        <v>138</v>
      </c>
      <c r="AE580" s="20" t="s">
        <v>138</v>
      </c>
      <c r="AF580" s="20" t="s">
        <v>138</v>
      </c>
      <c r="AG580" s="15" t="s">
        <v>138</v>
      </c>
      <c r="AH580" s="20" t="s">
        <v>138</v>
      </c>
      <c r="AI580" s="20" t="s">
        <v>138</v>
      </c>
      <c r="AJ580" s="20" t="s">
        <v>138</v>
      </c>
      <c r="AK580" s="15" t="s">
        <v>11782</v>
      </c>
      <c r="AL580" s="15" t="s">
        <v>11783</v>
      </c>
      <c r="AM580" s="15" t="s">
        <v>938</v>
      </c>
      <c r="AN580" s="15" t="s">
        <v>11784</v>
      </c>
      <c r="AO580" s="15" t="s">
        <v>11785</v>
      </c>
      <c r="AP580" s="15" t="s">
        <v>423</v>
      </c>
      <c r="AQ580" s="15" t="s">
        <v>11786</v>
      </c>
      <c r="AR580" s="15" t="s">
        <v>11787</v>
      </c>
      <c r="AS580" s="15" t="s">
        <v>426</v>
      </c>
      <c r="AT580" s="15" t="s">
        <v>426</v>
      </c>
      <c r="AU580" s="15" t="s">
        <v>549</v>
      </c>
      <c r="AV580" s="15" t="s">
        <v>162</v>
      </c>
      <c r="AW580" s="15" t="s">
        <v>11785</v>
      </c>
      <c r="AX580" s="15" t="s">
        <v>138</v>
      </c>
      <c r="AY580" s="15" t="s">
        <v>138</v>
      </c>
      <c r="AZ580" s="15" t="s">
        <v>164</v>
      </c>
      <c r="BA580" s="15" t="s">
        <v>165</v>
      </c>
      <c r="BB580" s="15" t="s">
        <v>11788</v>
      </c>
      <c r="BC580" s="15" t="s">
        <v>11789</v>
      </c>
      <c r="BD580" s="21">
        <v>17</v>
      </c>
      <c r="BE580" s="15" t="s">
        <v>138</v>
      </c>
      <c r="BF580" s="15" t="s">
        <v>138</v>
      </c>
      <c r="BG580" s="15" t="s">
        <v>138</v>
      </c>
      <c r="BH580" s="15" t="s">
        <v>11790</v>
      </c>
      <c r="BI580" s="15" t="s">
        <v>138</v>
      </c>
      <c r="BJ580" s="15" t="s">
        <v>138</v>
      </c>
      <c r="BK580" s="15" t="s">
        <v>1251</v>
      </c>
      <c r="BL580" s="15" t="s">
        <v>1251</v>
      </c>
      <c r="BM580" s="22">
        <v>41523</v>
      </c>
      <c r="BN580" s="17">
        <v>1.01</v>
      </c>
      <c r="BO580" s="15" t="s">
        <v>172</v>
      </c>
      <c r="BP580" s="17">
        <v>4.76</v>
      </c>
      <c r="BQ580" s="15" t="s">
        <v>172</v>
      </c>
      <c r="BR580" s="15" t="s">
        <v>234</v>
      </c>
      <c r="BS580" s="15" t="s">
        <v>234</v>
      </c>
      <c r="BT580" s="15" t="s">
        <v>138</v>
      </c>
      <c r="BU580" s="15" t="s">
        <v>174</v>
      </c>
      <c r="BV580" s="15" t="s">
        <v>264</v>
      </c>
      <c r="BW580" s="15" t="s">
        <v>138</v>
      </c>
      <c r="BX580" s="15" t="s">
        <v>138</v>
      </c>
      <c r="BY580" s="15" t="s">
        <v>175</v>
      </c>
      <c r="BZ580" s="22">
        <v>42025</v>
      </c>
      <c r="CA580" s="17">
        <v>5.0999999999999996</v>
      </c>
      <c r="CB580" s="15" t="s">
        <v>172</v>
      </c>
      <c r="CC580" s="17">
        <v>19.64</v>
      </c>
      <c r="CD580" s="15" t="s">
        <v>172</v>
      </c>
      <c r="CE580" s="15" t="s">
        <v>205</v>
      </c>
      <c r="CF580" s="15" t="s">
        <v>206</v>
      </c>
      <c r="CG580" s="15" t="s">
        <v>138</v>
      </c>
      <c r="CH580" s="15" t="s">
        <v>174</v>
      </c>
      <c r="CI580" s="15" t="s">
        <v>138</v>
      </c>
      <c r="CJ580" s="15" t="s">
        <v>138</v>
      </c>
      <c r="CK580" s="15" t="s">
        <v>138</v>
      </c>
      <c r="CL580" s="15" t="s">
        <v>175</v>
      </c>
      <c r="CM580" s="22" t="s">
        <v>138</v>
      </c>
      <c r="CN580" s="17" t="s">
        <v>138</v>
      </c>
      <c r="CO580" s="23">
        <v>-1.82</v>
      </c>
      <c r="CP580" s="24">
        <v>6</v>
      </c>
      <c r="CQ580" s="23">
        <v>0.04</v>
      </c>
      <c r="CR580" s="23">
        <v>2.39</v>
      </c>
      <c r="CS580" s="23">
        <v>-3.57</v>
      </c>
      <c r="CT580" s="24">
        <v>4</v>
      </c>
      <c r="CU580" s="23">
        <v>-7.0000000000000007E-2</v>
      </c>
      <c r="CV580" s="24">
        <v>7</v>
      </c>
      <c r="CW580" s="23">
        <v>-5.46</v>
      </c>
      <c r="CX580" s="24">
        <v>2</v>
      </c>
      <c r="CY580" s="23">
        <v>-1.67</v>
      </c>
      <c r="CZ580" s="24">
        <v>13</v>
      </c>
      <c r="DA580" s="23">
        <v>-7.0000000000000007E-2</v>
      </c>
      <c r="DB580" s="24">
        <v>9</v>
      </c>
      <c r="DC580" s="25">
        <v>9.17</v>
      </c>
      <c r="DD580" s="24">
        <v>89</v>
      </c>
      <c r="DE580" s="25">
        <v>-0.01</v>
      </c>
      <c r="DF580" s="23">
        <v>-7.0000000000000007E-2</v>
      </c>
      <c r="DG580" s="25">
        <v>3.84</v>
      </c>
      <c r="DH580" s="24">
        <v>79</v>
      </c>
      <c r="DI580" s="25">
        <v>14.5</v>
      </c>
      <c r="DJ580" s="24">
        <v>88</v>
      </c>
      <c r="DK580" s="25">
        <v>2.23</v>
      </c>
      <c r="DL580" s="24">
        <v>66</v>
      </c>
      <c r="DM580" s="25">
        <v>5.45</v>
      </c>
      <c r="DN580" s="24">
        <v>82</v>
      </c>
      <c r="DO580" s="25">
        <v>14.5</v>
      </c>
      <c r="DP580" s="24">
        <v>90</v>
      </c>
      <c r="DQ580" s="24">
        <v>790</v>
      </c>
      <c r="DR580" s="26">
        <v>-78</v>
      </c>
      <c r="DS580" s="23">
        <v>-8.99</v>
      </c>
      <c r="DT580" s="24">
        <v>157</v>
      </c>
      <c r="DU580" s="26">
        <v>3</v>
      </c>
      <c r="DV580" s="23">
        <v>1.95</v>
      </c>
      <c r="DW580" s="24">
        <v>5190</v>
      </c>
      <c r="DX580" s="27">
        <v>-4</v>
      </c>
      <c r="DY580" s="23">
        <v>-0.08</v>
      </c>
      <c r="DZ580" s="15" t="s">
        <v>178</v>
      </c>
      <c r="EA580" s="22">
        <v>43560</v>
      </c>
      <c r="EB580" s="17">
        <v>19.64</v>
      </c>
      <c r="EC580" s="22">
        <v>42025</v>
      </c>
      <c r="ED580" s="15" t="s">
        <v>205</v>
      </c>
      <c r="EE580" s="14" t="str">
        <f>HYPERLINK("https://my.pitchbook.com?c=58906-81", "View company online")</f>
        <v>View company online</v>
      </c>
    </row>
    <row r="581" spans="1:135">
      <c r="A581" s="28" t="s">
        <v>11791</v>
      </c>
      <c r="B581" s="28" t="s">
        <v>11792</v>
      </c>
      <c r="C581" s="28" t="s">
        <v>11793</v>
      </c>
      <c r="D581" s="28" t="s">
        <v>138</v>
      </c>
      <c r="E581" s="28" t="s">
        <v>138</v>
      </c>
      <c r="F581" s="28" t="s">
        <v>11791</v>
      </c>
      <c r="G581" s="28" t="s">
        <v>11794</v>
      </c>
      <c r="H581" s="28" t="s">
        <v>322</v>
      </c>
      <c r="I581" s="28" t="s">
        <v>323</v>
      </c>
      <c r="J581" s="28" t="s">
        <v>324</v>
      </c>
      <c r="K581" s="28" t="s">
        <v>11795</v>
      </c>
      <c r="L581" s="28" t="s">
        <v>10625</v>
      </c>
      <c r="M581" s="28" t="s">
        <v>11796</v>
      </c>
      <c r="N581" s="28" t="s">
        <v>147</v>
      </c>
      <c r="O581" s="29">
        <v>16.2</v>
      </c>
      <c r="P581" s="28" t="s">
        <v>148</v>
      </c>
      <c r="Q581" s="28" t="s">
        <v>149</v>
      </c>
      <c r="R581" s="28" t="s">
        <v>174</v>
      </c>
      <c r="S581" s="28" t="s">
        <v>11797</v>
      </c>
      <c r="T581" s="30">
        <v>9</v>
      </c>
      <c r="U581" s="28" t="s">
        <v>7357</v>
      </c>
      <c r="V581" s="28" t="s">
        <v>138</v>
      </c>
      <c r="W581" s="28" t="s">
        <v>138</v>
      </c>
      <c r="X581" s="31">
        <v>2006</v>
      </c>
      <c r="Y581" s="28" t="s">
        <v>138</v>
      </c>
      <c r="Z581" s="28" t="s">
        <v>138</v>
      </c>
      <c r="AA581" s="28" t="s">
        <v>138</v>
      </c>
      <c r="AB581" s="32" t="s">
        <v>138</v>
      </c>
      <c r="AC581" s="32" t="s">
        <v>138</v>
      </c>
      <c r="AD581" s="32" t="s">
        <v>138</v>
      </c>
      <c r="AE581" s="32" t="s">
        <v>138</v>
      </c>
      <c r="AF581" s="32" t="s">
        <v>138</v>
      </c>
      <c r="AG581" s="28" t="s">
        <v>138</v>
      </c>
      <c r="AH581" s="32" t="s">
        <v>138</v>
      </c>
      <c r="AI581" s="32" t="s">
        <v>138</v>
      </c>
      <c r="AJ581" s="32" t="s">
        <v>138</v>
      </c>
      <c r="AK581" s="28" t="s">
        <v>11798</v>
      </c>
      <c r="AL581" s="28" t="s">
        <v>11799</v>
      </c>
      <c r="AM581" s="28" t="s">
        <v>2949</v>
      </c>
      <c r="AN581" s="28" t="s">
        <v>11800</v>
      </c>
      <c r="AO581" s="28" t="s">
        <v>11801</v>
      </c>
      <c r="AP581" s="28" t="s">
        <v>665</v>
      </c>
      <c r="AQ581" s="28" t="s">
        <v>11802</v>
      </c>
      <c r="AR581" s="28" t="s">
        <v>11803</v>
      </c>
      <c r="AS581" s="28" t="s">
        <v>668</v>
      </c>
      <c r="AT581" s="28" t="s">
        <v>200</v>
      </c>
      <c r="AU581" s="28" t="s">
        <v>2052</v>
      </c>
      <c r="AV581" s="28" t="s">
        <v>162</v>
      </c>
      <c r="AW581" s="28" t="s">
        <v>11801</v>
      </c>
      <c r="AX581" s="28" t="s">
        <v>138</v>
      </c>
      <c r="AY581" s="28" t="s">
        <v>138</v>
      </c>
      <c r="AZ581" s="28" t="s">
        <v>164</v>
      </c>
      <c r="BA581" s="28" t="s">
        <v>165</v>
      </c>
      <c r="BB581" s="28" t="s">
        <v>11804</v>
      </c>
      <c r="BC581" s="28" t="s">
        <v>11805</v>
      </c>
      <c r="BD581" s="33">
        <v>2</v>
      </c>
      <c r="BE581" s="28" t="s">
        <v>138</v>
      </c>
      <c r="BF581" s="28" t="s">
        <v>138</v>
      </c>
      <c r="BG581" s="28" t="s">
        <v>138</v>
      </c>
      <c r="BH581" s="28" t="s">
        <v>138</v>
      </c>
      <c r="BI581" s="28" t="s">
        <v>138</v>
      </c>
      <c r="BJ581" s="28" t="s">
        <v>138</v>
      </c>
      <c r="BK581" s="28" t="s">
        <v>11806</v>
      </c>
      <c r="BL581" s="28" t="s">
        <v>138</v>
      </c>
      <c r="BM581" s="34">
        <v>43095</v>
      </c>
      <c r="BN581" s="29">
        <v>11</v>
      </c>
      <c r="BO581" s="28" t="s">
        <v>172</v>
      </c>
      <c r="BP581" s="29">
        <v>39</v>
      </c>
      <c r="BQ581" s="28" t="s">
        <v>172</v>
      </c>
      <c r="BR581" s="28" t="s">
        <v>205</v>
      </c>
      <c r="BS581" s="28" t="s">
        <v>206</v>
      </c>
      <c r="BT581" s="28" t="s">
        <v>138</v>
      </c>
      <c r="BU581" s="28" t="s">
        <v>174</v>
      </c>
      <c r="BV581" s="28" t="s">
        <v>138</v>
      </c>
      <c r="BW581" s="28" t="s">
        <v>138</v>
      </c>
      <c r="BX581" s="28" t="s">
        <v>138</v>
      </c>
      <c r="BY581" s="28" t="s">
        <v>175</v>
      </c>
      <c r="BZ581" s="34">
        <v>43489</v>
      </c>
      <c r="CA581" s="29">
        <v>5.2</v>
      </c>
      <c r="CB581" s="28" t="s">
        <v>172</v>
      </c>
      <c r="CC581" s="29" t="s">
        <v>138</v>
      </c>
      <c r="CD581" s="28" t="s">
        <v>138</v>
      </c>
      <c r="CE581" s="28" t="s">
        <v>205</v>
      </c>
      <c r="CF581" s="28" t="s">
        <v>138</v>
      </c>
      <c r="CG581" s="28" t="s">
        <v>138</v>
      </c>
      <c r="CH581" s="28" t="s">
        <v>174</v>
      </c>
      <c r="CI581" s="28" t="s">
        <v>264</v>
      </c>
      <c r="CJ581" s="28" t="s">
        <v>138</v>
      </c>
      <c r="CK581" s="28" t="s">
        <v>138</v>
      </c>
      <c r="CL581" s="28" t="s">
        <v>175</v>
      </c>
      <c r="CM581" s="34" t="s">
        <v>138</v>
      </c>
      <c r="CN581" s="29" t="s">
        <v>138</v>
      </c>
      <c r="CO581" s="35">
        <v>0.39</v>
      </c>
      <c r="CP581" s="36">
        <v>94</v>
      </c>
      <c r="CQ581" s="35">
        <v>0.39</v>
      </c>
      <c r="CR581" s="35">
        <v>0</v>
      </c>
      <c r="CS581" s="35">
        <v>0</v>
      </c>
      <c r="CT581" s="36">
        <v>23</v>
      </c>
      <c r="CU581" s="35">
        <v>0.79</v>
      </c>
      <c r="CV581" s="36">
        <v>97</v>
      </c>
      <c r="CW581" s="35">
        <v>0</v>
      </c>
      <c r="CX581" s="36">
        <v>13</v>
      </c>
      <c r="CY581" s="35" t="s">
        <v>138</v>
      </c>
      <c r="CZ581" s="36" t="s">
        <v>138</v>
      </c>
      <c r="DA581" s="35">
        <v>0.79</v>
      </c>
      <c r="DB581" s="36">
        <v>97</v>
      </c>
      <c r="DC581" s="37">
        <v>1.23</v>
      </c>
      <c r="DD581" s="36">
        <v>56</v>
      </c>
      <c r="DE581" s="37">
        <v>-0.89</v>
      </c>
      <c r="DF581" s="35">
        <v>-41.91</v>
      </c>
      <c r="DG581" s="37">
        <v>1.88</v>
      </c>
      <c r="DH581" s="36">
        <v>65</v>
      </c>
      <c r="DI581" s="37">
        <v>0.57999999999999996</v>
      </c>
      <c r="DJ581" s="36">
        <v>39</v>
      </c>
      <c r="DK581" s="37">
        <v>1.88</v>
      </c>
      <c r="DL581" s="36">
        <v>63</v>
      </c>
      <c r="DM581" s="37" t="s">
        <v>138</v>
      </c>
      <c r="DN581" s="36" t="s">
        <v>138</v>
      </c>
      <c r="DO581" s="37">
        <v>0.57999999999999996</v>
      </c>
      <c r="DP581" s="36">
        <v>40</v>
      </c>
      <c r="DQ581" s="36">
        <v>630</v>
      </c>
      <c r="DR581" s="38">
        <v>39</v>
      </c>
      <c r="DS581" s="35">
        <v>6.6</v>
      </c>
      <c r="DT581" s="36" t="s">
        <v>138</v>
      </c>
      <c r="DU581" s="38" t="s">
        <v>138</v>
      </c>
      <c r="DV581" s="35" t="s">
        <v>138</v>
      </c>
      <c r="DW581" s="36">
        <v>208</v>
      </c>
      <c r="DX581" s="39">
        <v>3</v>
      </c>
      <c r="DY581" s="35">
        <v>1.46</v>
      </c>
      <c r="DZ581" s="28" t="s">
        <v>178</v>
      </c>
      <c r="EA581" s="34">
        <v>43622</v>
      </c>
      <c r="EB581" s="29">
        <v>39</v>
      </c>
      <c r="EC581" s="34">
        <v>43095</v>
      </c>
      <c r="ED581" s="28" t="s">
        <v>205</v>
      </c>
      <c r="EE581" s="40" t="str">
        <f>HYPERLINK("https://my.pitchbook.com?c=179229-70", "View company online")</f>
        <v>View company online</v>
      </c>
    </row>
    <row r="582" spans="1:135">
      <c r="A582" s="15" t="s">
        <v>11807</v>
      </c>
      <c r="B582" s="15" t="s">
        <v>11808</v>
      </c>
      <c r="C582" s="15" t="s">
        <v>11809</v>
      </c>
      <c r="D582" s="15" t="s">
        <v>11810</v>
      </c>
      <c r="E582" s="15" t="s">
        <v>138</v>
      </c>
      <c r="F582" s="15" t="s">
        <v>11807</v>
      </c>
      <c r="G582" s="15" t="s">
        <v>11811</v>
      </c>
      <c r="H582" s="15" t="s">
        <v>183</v>
      </c>
      <c r="I582" s="15" t="s">
        <v>3466</v>
      </c>
      <c r="J582" s="15" t="s">
        <v>11812</v>
      </c>
      <c r="K582" s="15" t="s">
        <v>11813</v>
      </c>
      <c r="L582" s="15" t="s">
        <v>4186</v>
      </c>
      <c r="M582" s="15" t="s">
        <v>11814</v>
      </c>
      <c r="N582" s="15" t="s">
        <v>147</v>
      </c>
      <c r="O582" s="17">
        <v>7</v>
      </c>
      <c r="P582" s="15" t="s">
        <v>148</v>
      </c>
      <c r="Q582" s="15" t="s">
        <v>149</v>
      </c>
      <c r="R582" s="15" t="s">
        <v>174</v>
      </c>
      <c r="S582" s="15" t="s">
        <v>11815</v>
      </c>
      <c r="T582" s="18">
        <v>55</v>
      </c>
      <c r="U582" s="15" t="s">
        <v>11816</v>
      </c>
      <c r="V582" s="15" t="s">
        <v>138</v>
      </c>
      <c r="W582" s="15" t="s">
        <v>138</v>
      </c>
      <c r="X582" s="19">
        <v>2016</v>
      </c>
      <c r="Y582" s="15" t="s">
        <v>138</v>
      </c>
      <c r="Z582" s="15" t="s">
        <v>138</v>
      </c>
      <c r="AA582" s="15" t="s">
        <v>138</v>
      </c>
      <c r="AB582" s="20" t="s">
        <v>138</v>
      </c>
      <c r="AC582" s="20" t="s">
        <v>138</v>
      </c>
      <c r="AD582" s="20" t="s">
        <v>138</v>
      </c>
      <c r="AE582" s="20" t="s">
        <v>138</v>
      </c>
      <c r="AF582" s="20" t="s">
        <v>138</v>
      </c>
      <c r="AG582" s="15" t="s">
        <v>138</v>
      </c>
      <c r="AH582" s="20" t="s">
        <v>138</v>
      </c>
      <c r="AI582" s="20" t="s">
        <v>138</v>
      </c>
      <c r="AJ582" s="20" t="s">
        <v>138</v>
      </c>
      <c r="AK582" s="15" t="s">
        <v>11817</v>
      </c>
      <c r="AL582" s="15" t="s">
        <v>11818</v>
      </c>
      <c r="AM582" s="15" t="s">
        <v>11819</v>
      </c>
      <c r="AN582" s="15" t="s">
        <v>11820</v>
      </c>
      <c r="AO582" s="15" t="s">
        <v>138</v>
      </c>
      <c r="AP582" s="15" t="s">
        <v>3905</v>
      </c>
      <c r="AQ582" s="15" t="s">
        <v>11821</v>
      </c>
      <c r="AR582" s="15" t="s">
        <v>11822</v>
      </c>
      <c r="AS582" s="15" t="s">
        <v>3907</v>
      </c>
      <c r="AT582" s="15" t="s">
        <v>2740</v>
      </c>
      <c r="AU582" s="15" t="s">
        <v>11823</v>
      </c>
      <c r="AV582" s="15" t="s">
        <v>2742</v>
      </c>
      <c r="AW582" s="15" t="s">
        <v>138</v>
      </c>
      <c r="AX582" s="15" t="s">
        <v>138</v>
      </c>
      <c r="AY582" s="15" t="s">
        <v>11824</v>
      </c>
      <c r="AZ582" s="15" t="s">
        <v>164</v>
      </c>
      <c r="BA582" s="15" t="s">
        <v>165</v>
      </c>
      <c r="BB582" s="15" t="s">
        <v>11825</v>
      </c>
      <c r="BC582" s="15" t="s">
        <v>11826</v>
      </c>
      <c r="BD582" s="21">
        <v>3</v>
      </c>
      <c r="BE582" s="15" t="s">
        <v>138</v>
      </c>
      <c r="BF582" s="15" t="s">
        <v>138</v>
      </c>
      <c r="BG582" s="15" t="s">
        <v>138</v>
      </c>
      <c r="BH582" s="15" t="s">
        <v>11827</v>
      </c>
      <c r="BI582" s="15" t="s">
        <v>138</v>
      </c>
      <c r="BJ582" s="15" t="s">
        <v>138</v>
      </c>
      <c r="BK582" s="15" t="s">
        <v>138</v>
      </c>
      <c r="BL582" s="15" t="s">
        <v>138</v>
      </c>
      <c r="BM582" s="22">
        <v>42825</v>
      </c>
      <c r="BN582" s="17">
        <v>7</v>
      </c>
      <c r="BO582" s="15" t="s">
        <v>172</v>
      </c>
      <c r="BP582" s="17" t="s">
        <v>138</v>
      </c>
      <c r="BQ582" s="15" t="s">
        <v>138</v>
      </c>
      <c r="BR582" s="15" t="s">
        <v>205</v>
      </c>
      <c r="BS582" s="15" t="s">
        <v>138</v>
      </c>
      <c r="BT582" s="15" t="s">
        <v>138</v>
      </c>
      <c r="BU582" s="15" t="s">
        <v>174</v>
      </c>
      <c r="BV582" s="15" t="s">
        <v>138</v>
      </c>
      <c r="BW582" s="15" t="s">
        <v>138</v>
      </c>
      <c r="BX582" s="15" t="s">
        <v>138</v>
      </c>
      <c r="BY582" s="15" t="s">
        <v>175</v>
      </c>
      <c r="BZ582" s="22">
        <v>42825</v>
      </c>
      <c r="CA582" s="17">
        <v>7</v>
      </c>
      <c r="CB582" s="15" t="s">
        <v>172</v>
      </c>
      <c r="CC582" s="17" t="s">
        <v>138</v>
      </c>
      <c r="CD582" s="15" t="s">
        <v>138</v>
      </c>
      <c r="CE582" s="15" t="s">
        <v>205</v>
      </c>
      <c r="CF582" s="15" t="s">
        <v>138</v>
      </c>
      <c r="CG582" s="15" t="s">
        <v>138</v>
      </c>
      <c r="CH582" s="15" t="s">
        <v>174</v>
      </c>
      <c r="CI582" s="15" t="s">
        <v>138</v>
      </c>
      <c r="CJ582" s="15" t="s">
        <v>138</v>
      </c>
      <c r="CK582" s="15" t="s">
        <v>138</v>
      </c>
      <c r="CL582" s="15" t="s">
        <v>175</v>
      </c>
      <c r="CM582" s="22" t="s">
        <v>138</v>
      </c>
      <c r="CN582" s="17" t="s">
        <v>138</v>
      </c>
      <c r="CO582" s="23" t="s">
        <v>138</v>
      </c>
      <c r="CP582" s="24" t="s">
        <v>138</v>
      </c>
      <c r="CQ582" s="23" t="s">
        <v>138</v>
      </c>
      <c r="CR582" s="23" t="s">
        <v>138</v>
      </c>
      <c r="CS582" s="23" t="s">
        <v>138</v>
      </c>
      <c r="CT582" s="24" t="s">
        <v>138</v>
      </c>
      <c r="CU582" s="23" t="s">
        <v>138</v>
      </c>
      <c r="CV582" s="24" t="s">
        <v>138</v>
      </c>
      <c r="CW582" s="23" t="s">
        <v>138</v>
      </c>
      <c r="CX582" s="24" t="s">
        <v>138</v>
      </c>
      <c r="CY582" s="23" t="s">
        <v>138</v>
      </c>
      <c r="CZ582" s="24" t="s">
        <v>138</v>
      </c>
      <c r="DA582" s="23" t="s">
        <v>138</v>
      </c>
      <c r="DB582" s="24" t="s">
        <v>138</v>
      </c>
      <c r="DC582" s="25" t="s">
        <v>138</v>
      </c>
      <c r="DD582" s="24" t="s">
        <v>138</v>
      </c>
      <c r="DE582" s="25" t="s">
        <v>138</v>
      </c>
      <c r="DF582" s="23" t="s">
        <v>138</v>
      </c>
      <c r="DG582" s="25" t="s">
        <v>138</v>
      </c>
      <c r="DH582" s="24" t="s">
        <v>138</v>
      </c>
      <c r="DI582" s="25" t="s">
        <v>138</v>
      </c>
      <c r="DJ582" s="24" t="s">
        <v>138</v>
      </c>
      <c r="DK582" s="25" t="s">
        <v>138</v>
      </c>
      <c r="DL582" s="24" t="s">
        <v>138</v>
      </c>
      <c r="DM582" s="25" t="s">
        <v>138</v>
      </c>
      <c r="DN582" s="24" t="s">
        <v>138</v>
      </c>
      <c r="DO582" s="25" t="s">
        <v>138</v>
      </c>
      <c r="DP582" s="24" t="s">
        <v>138</v>
      </c>
      <c r="DQ582" s="24" t="s">
        <v>138</v>
      </c>
      <c r="DR582" s="26" t="s">
        <v>138</v>
      </c>
      <c r="DS582" s="23" t="s">
        <v>138</v>
      </c>
      <c r="DT582" s="24" t="s">
        <v>138</v>
      </c>
      <c r="DU582" s="26" t="s">
        <v>138</v>
      </c>
      <c r="DV582" s="23" t="s">
        <v>138</v>
      </c>
      <c r="DW582" s="24" t="s">
        <v>138</v>
      </c>
      <c r="DX582" s="27" t="s">
        <v>138</v>
      </c>
      <c r="DY582" s="23" t="s">
        <v>138</v>
      </c>
      <c r="DZ582" s="15" t="s">
        <v>178</v>
      </c>
      <c r="EA582" s="22">
        <v>43504</v>
      </c>
      <c r="EB582" s="17" t="s">
        <v>138</v>
      </c>
      <c r="EC582" s="22" t="s">
        <v>138</v>
      </c>
      <c r="ED582" s="15" t="s">
        <v>138</v>
      </c>
      <c r="EE582" s="14" t="str">
        <f>HYPERLINK("https://my.pitchbook.com?c=186423-40", "View company online")</f>
        <v>View company online</v>
      </c>
    </row>
    <row r="583" spans="1:135">
      <c r="A583" s="28" t="s">
        <v>11828</v>
      </c>
      <c r="B583" s="28" t="s">
        <v>11829</v>
      </c>
      <c r="C583" s="28" t="s">
        <v>138</v>
      </c>
      <c r="D583" s="28" t="s">
        <v>138</v>
      </c>
      <c r="E583" s="28" t="s">
        <v>11830</v>
      </c>
      <c r="F583" s="28" t="s">
        <v>11828</v>
      </c>
      <c r="G583" s="28" t="s">
        <v>11831</v>
      </c>
      <c r="H583" s="28" t="s">
        <v>322</v>
      </c>
      <c r="I583" s="28" t="s">
        <v>323</v>
      </c>
      <c r="J583" s="28" t="s">
        <v>324</v>
      </c>
      <c r="K583" s="28" t="s">
        <v>325</v>
      </c>
      <c r="L583" s="28" t="s">
        <v>4640</v>
      </c>
      <c r="M583" s="28" t="s">
        <v>11832</v>
      </c>
      <c r="N583" s="28" t="s">
        <v>147</v>
      </c>
      <c r="O583" s="29">
        <v>27.4</v>
      </c>
      <c r="P583" s="28" t="s">
        <v>148</v>
      </c>
      <c r="Q583" s="28" t="s">
        <v>149</v>
      </c>
      <c r="R583" s="28" t="s">
        <v>244</v>
      </c>
      <c r="S583" s="28" t="s">
        <v>11833</v>
      </c>
      <c r="T583" s="30">
        <v>30</v>
      </c>
      <c r="U583" s="28" t="s">
        <v>11834</v>
      </c>
      <c r="V583" s="28" t="s">
        <v>138</v>
      </c>
      <c r="W583" s="28" t="s">
        <v>138</v>
      </c>
      <c r="X583" s="31">
        <v>2014</v>
      </c>
      <c r="Y583" s="28" t="s">
        <v>138</v>
      </c>
      <c r="Z583" s="28" t="s">
        <v>1163</v>
      </c>
      <c r="AA583" s="28" t="s">
        <v>11835</v>
      </c>
      <c r="AB583" s="32" t="s">
        <v>138</v>
      </c>
      <c r="AC583" s="32" t="s">
        <v>138</v>
      </c>
      <c r="AD583" s="32" t="s">
        <v>138</v>
      </c>
      <c r="AE583" s="32" t="s">
        <v>138</v>
      </c>
      <c r="AF583" s="32" t="s">
        <v>138</v>
      </c>
      <c r="AG583" s="28" t="s">
        <v>138</v>
      </c>
      <c r="AH583" s="32" t="s">
        <v>138</v>
      </c>
      <c r="AI583" s="32" t="s">
        <v>138</v>
      </c>
      <c r="AJ583" s="32" t="s">
        <v>138</v>
      </c>
      <c r="AK583" s="28" t="s">
        <v>11836</v>
      </c>
      <c r="AL583" s="28" t="s">
        <v>11837</v>
      </c>
      <c r="AM583" s="28" t="s">
        <v>422</v>
      </c>
      <c r="AN583" s="28" t="s">
        <v>11838</v>
      </c>
      <c r="AO583" s="28" t="s">
        <v>11839</v>
      </c>
      <c r="AP583" s="28" t="s">
        <v>3328</v>
      </c>
      <c r="AQ583" s="28" t="s">
        <v>11840</v>
      </c>
      <c r="AR583" s="28" t="s">
        <v>138</v>
      </c>
      <c r="AS583" s="28" t="s">
        <v>3330</v>
      </c>
      <c r="AT583" s="28" t="s">
        <v>200</v>
      </c>
      <c r="AU583" s="28" t="s">
        <v>11841</v>
      </c>
      <c r="AV583" s="28" t="s">
        <v>162</v>
      </c>
      <c r="AW583" s="28" t="s">
        <v>11842</v>
      </c>
      <c r="AX583" s="28" t="s">
        <v>138</v>
      </c>
      <c r="AY583" s="28" t="s">
        <v>11843</v>
      </c>
      <c r="AZ583" s="28" t="s">
        <v>164</v>
      </c>
      <c r="BA583" s="28" t="s">
        <v>165</v>
      </c>
      <c r="BB583" s="28" t="s">
        <v>11844</v>
      </c>
      <c r="BC583" s="28" t="s">
        <v>11845</v>
      </c>
      <c r="BD583" s="33">
        <v>10</v>
      </c>
      <c r="BE583" s="28" t="s">
        <v>138</v>
      </c>
      <c r="BF583" s="28" t="s">
        <v>138</v>
      </c>
      <c r="BG583" s="28" t="s">
        <v>138</v>
      </c>
      <c r="BH583" s="28" t="s">
        <v>11846</v>
      </c>
      <c r="BI583" s="28" t="s">
        <v>138</v>
      </c>
      <c r="BJ583" s="28" t="s">
        <v>138</v>
      </c>
      <c r="BK583" s="28" t="s">
        <v>2936</v>
      </c>
      <c r="BL583" s="28" t="s">
        <v>11847</v>
      </c>
      <c r="BM583" s="34" t="s">
        <v>138</v>
      </c>
      <c r="BN583" s="29" t="s">
        <v>138</v>
      </c>
      <c r="BO583" s="28" t="s">
        <v>138</v>
      </c>
      <c r="BP583" s="29" t="s">
        <v>138</v>
      </c>
      <c r="BQ583" s="28" t="s">
        <v>138</v>
      </c>
      <c r="BR583" s="28" t="s">
        <v>316</v>
      </c>
      <c r="BS583" s="28" t="s">
        <v>138</v>
      </c>
      <c r="BT583" s="28" t="s">
        <v>138</v>
      </c>
      <c r="BU583" s="28" t="s">
        <v>177</v>
      </c>
      <c r="BV583" s="28" t="s">
        <v>138</v>
      </c>
      <c r="BW583" s="28" t="s">
        <v>138</v>
      </c>
      <c r="BX583" s="28" t="s">
        <v>138</v>
      </c>
      <c r="BY583" s="28" t="s">
        <v>175</v>
      </c>
      <c r="BZ583" s="34">
        <v>43614</v>
      </c>
      <c r="CA583" s="29">
        <v>15</v>
      </c>
      <c r="CB583" s="28" t="s">
        <v>172</v>
      </c>
      <c r="CC583" s="29">
        <v>52.5</v>
      </c>
      <c r="CD583" s="28" t="s">
        <v>172</v>
      </c>
      <c r="CE583" s="28" t="s">
        <v>205</v>
      </c>
      <c r="CF583" s="28" t="s">
        <v>720</v>
      </c>
      <c r="CG583" s="28" t="s">
        <v>138</v>
      </c>
      <c r="CH583" s="28" t="s">
        <v>174</v>
      </c>
      <c r="CI583" s="28" t="s">
        <v>138</v>
      </c>
      <c r="CJ583" s="28" t="s">
        <v>138</v>
      </c>
      <c r="CK583" s="28" t="s">
        <v>138</v>
      </c>
      <c r="CL583" s="28" t="s">
        <v>175</v>
      </c>
      <c r="CM583" s="34" t="s">
        <v>138</v>
      </c>
      <c r="CN583" s="29" t="s">
        <v>138</v>
      </c>
      <c r="CO583" s="35">
        <v>0.01</v>
      </c>
      <c r="CP583" s="36">
        <v>84</v>
      </c>
      <c r="CQ583" s="35">
        <v>-0.01</v>
      </c>
      <c r="CR583" s="35">
        <v>-32.85</v>
      </c>
      <c r="CS583" s="35">
        <v>0</v>
      </c>
      <c r="CT583" s="36">
        <v>23</v>
      </c>
      <c r="CU583" s="35">
        <v>0.03</v>
      </c>
      <c r="CV583" s="36">
        <v>54</v>
      </c>
      <c r="CW583" s="35" t="s">
        <v>138</v>
      </c>
      <c r="CX583" s="36" t="s">
        <v>138</v>
      </c>
      <c r="CY583" s="35">
        <v>0</v>
      </c>
      <c r="CZ583" s="36">
        <v>25</v>
      </c>
      <c r="DA583" s="35">
        <v>0.06</v>
      </c>
      <c r="DB583" s="36">
        <v>65</v>
      </c>
      <c r="DC583" s="37">
        <v>1.19</v>
      </c>
      <c r="DD583" s="36">
        <v>55</v>
      </c>
      <c r="DE583" s="37">
        <v>0.02</v>
      </c>
      <c r="DF583" s="35">
        <v>1.62</v>
      </c>
      <c r="DG583" s="37">
        <v>1.72</v>
      </c>
      <c r="DH583" s="36">
        <v>63</v>
      </c>
      <c r="DI583" s="37">
        <v>0.66</v>
      </c>
      <c r="DJ583" s="36">
        <v>41</v>
      </c>
      <c r="DK583" s="37" t="s">
        <v>138</v>
      </c>
      <c r="DL583" s="36" t="s">
        <v>138</v>
      </c>
      <c r="DM583" s="37">
        <v>1.72</v>
      </c>
      <c r="DN583" s="36">
        <v>62</v>
      </c>
      <c r="DO583" s="37">
        <v>1.27</v>
      </c>
      <c r="DP583" s="36">
        <v>55</v>
      </c>
      <c r="DQ583" s="36" t="s">
        <v>138</v>
      </c>
      <c r="DR583" s="38" t="s">
        <v>138</v>
      </c>
      <c r="DS583" s="35" t="s">
        <v>138</v>
      </c>
      <c r="DT583" s="36">
        <v>49</v>
      </c>
      <c r="DU583" s="38">
        <v>0</v>
      </c>
      <c r="DV583" s="35">
        <v>0</v>
      </c>
      <c r="DW583" s="36">
        <v>456</v>
      </c>
      <c r="DX583" s="39">
        <v>-1</v>
      </c>
      <c r="DY583" s="35">
        <v>-0.22</v>
      </c>
      <c r="DZ583" s="28" t="s">
        <v>178</v>
      </c>
      <c r="EA583" s="34">
        <v>43615</v>
      </c>
      <c r="EB583" s="29">
        <v>52.5</v>
      </c>
      <c r="EC583" s="34">
        <v>43614</v>
      </c>
      <c r="ED583" s="28" t="s">
        <v>205</v>
      </c>
      <c r="EE583" s="40" t="str">
        <f>HYPERLINK("https://my.pitchbook.com?c=97946-29", "View company online")</f>
        <v>View company online</v>
      </c>
    </row>
    <row r="584" spans="1:135">
      <c r="A584" s="15" t="s">
        <v>11848</v>
      </c>
      <c r="B584" s="15" t="s">
        <v>11849</v>
      </c>
      <c r="C584" s="15" t="s">
        <v>138</v>
      </c>
      <c r="D584" s="15" t="s">
        <v>138</v>
      </c>
      <c r="E584" s="15" t="s">
        <v>11850</v>
      </c>
      <c r="F584" s="15" t="s">
        <v>11848</v>
      </c>
      <c r="G584" s="15" t="s">
        <v>11851</v>
      </c>
      <c r="H584" s="15" t="s">
        <v>238</v>
      </c>
      <c r="I584" s="15" t="s">
        <v>269</v>
      </c>
      <c r="J584" s="15" t="s">
        <v>296</v>
      </c>
      <c r="K584" s="15" t="s">
        <v>11852</v>
      </c>
      <c r="L584" s="15" t="s">
        <v>2427</v>
      </c>
      <c r="M584" s="15" t="s">
        <v>11853</v>
      </c>
      <c r="N584" s="15" t="s">
        <v>147</v>
      </c>
      <c r="O584" s="17">
        <v>34</v>
      </c>
      <c r="P584" s="15" t="s">
        <v>148</v>
      </c>
      <c r="Q584" s="15" t="s">
        <v>149</v>
      </c>
      <c r="R584" s="15" t="s">
        <v>174</v>
      </c>
      <c r="S584" s="15" t="s">
        <v>11854</v>
      </c>
      <c r="T584" s="18" t="s">
        <v>138</v>
      </c>
      <c r="U584" s="15" t="s">
        <v>138</v>
      </c>
      <c r="V584" s="15" t="s">
        <v>138</v>
      </c>
      <c r="W584" s="15" t="s">
        <v>138</v>
      </c>
      <c r="X584" s="19">
        <v>2017</v>
      </c>
      <c r="Y584" s="15" t="s">
        <v>138</v>
      </c>
      <c r="Z584" s="15" t="s">
        <v>138</v>
      </c>
      <c r="AA584" s="15" t="s">
        <v>138</v>
      </c>
      <c r="AB584" s="20" t="s">
        <v>138</v>
      </c>
      <c r="AC584" s="20" t="s">
        <v>138</v>
      </c>
      <c r="AD584" s="20" t="s">
        <v>138</v>
      </c>
      <c r="AE584" s="20" t="s">
        <v>138</v>
      </c>
      <c r="AF584" s="20" t="s">
        <v>138</v>
      </c>
      <c r="AG584" s="15" t="s">
        <v>138</v>
      </c>
      <c r="AH584" s="20" t="s">
        <v>138</v>
      </c>
      <c r="AI584" s="20" t="s">
        <v>138</v>
      </c>
      <c r="AJ584" s="20" t="s">
        <v>138</v>
      </c>
      <c r="AK584" s="15" t="s">
        <v>11855</v>
      </c>
      <c r="AL584" s="15" t="s">
        <v>11856</v>
      </c>
      <c r="AM584" s="15" t="s">
        <v>304</v>
      </c>
      <c r="AN584" s="15" t="s">
        <v>11857</v>
      </c>
      <c r="AO584" s="15" t="s">
        <v>138</v>
      </c>
      <c r="AP584" s="15" t="s">
        <v>665</v>
      </c>
      <c r="AQ584" s="15" t="s">
        <v>11858</v>
      </c>
      <c r="AR584" s="15" t="s">
        <v>11859</v>
      </c>
      <c r="AS584" s="15" t="s">
        <v>668</v>
      </c>
      <c r="AT584" s="15" t="s">
        <v>200</v>
      </c>
      <c r="AU584" s="15" t="s">
        <v>669</v>
      </c>
      <c r="AV584" s="15" t="s">
        <v>162</v>
      </c>
      <c r="AW584" s="15" t="s">
        <v>138</v>
      </c>
      <c r="AX584" s="15" t="s">
        <v>138</v>
      </c>
      <c r="AY584" s="15" t="s">
        <v>11860</v>
      </c>
      <c r="AZ584" s="15" t="s">
        <v>164</v>
      </c>
      <c r="BA584" s="15" t="s">
        <v>165</v>
      </c>
      <c r="BB584" s="15" t="s">
        <v>11861</v>
      </c>
      <c r="BC584" s="15" t="s">
        <v>11862</v>
      </c>
      <c r="BD584" s="21">
        <v>5</v>
      </c>
      <c r="BE584" s="15" t="s">
        <v>138</v>
      </c>
      <c r="BF584" s="15" t="s">
        <v>138</v>
      </c>
      <c r="BG584" s="15" t="s">
        <v>138</v>
      </c>
      <c r="BH584" s="15" t="s">
        <v>11863</v>
      </c>
      <c r="BI584" s="15" t="s">
        <v>138</v>
      </c>
      <c r="BJ584" s="15" t="s">
        <v>138</v>
      </c>
      <c r="BK584" s="15" t="s">
        <v>290</v>
      </c>
      <c r="BL584" s="15" t="s">
        <v>290</v>
      </c>
      <c r="BM584" s="22">
        <v>43266</v>
      </c>
      <c r="BN584" s="17">
        <v>9</v>
      </c>
      <c r="BO584" s="15" t="s">
        <v>1178</v>
      </c>
      <c r="BP584" s="17" t="s">
        <v>138</v>
      </c>
      <c r="BQ584" s="15" t="s">
        <v>138</v>
      </c>
      <c r="BR584" s="15" t="s">
        <v>205</v>
      </c>
      <c r="BS584" s="15" t="s">
        <v>206</v>
      </c>
      <c r="BT584" s="15" t="s">
        <v>138</v>
      </c>
      <c r="BU584" s="15" t="s">
        <v>174</v>
      </c>
      <c r="BV584" s="15" t="s">
        <v>138</v>
      </c>
      <c r="BW584" s="15" t="s">
        <v>138</v>
      </c>
      <c r="BX584" s="15" t="s">
        <v>138</v>
      </c>
      <c r="BY584" s="15" t="s">
        <v>175</v>
      </c>
      <c r="BZ584" s="22">
        <v>43314</v>
      </c>
      <c r="CA584" s="17">
        <v>25</v>
      </c>
      <c r="CB584" s="15" t="s">
        <v>172</v>
      </c>
      <c r="CC584" s="17">
        <v>185</v>
      </c>
      <c r="CD584" s="15" t="s">
        <v>172</v>
      </c>
      <c r="CE584" s="15" t="s">
        <v>205</v>
      </c>
      <c r="CF584" s="15" t="s">
        <v>720</v>
      </c>
      <c r="CG584" s="15" t="s">
        <v>138</v>
      </c>
      <c r="CH584" s="15" t="s">
        <v>174</v>
      </c>
      <c r="CI584" s="15" t="s">
        <v>138</v>
      </c>
      <c r="CJ584" s="15" t="s">
        <v>138</v>
      </c>
      <c r="CK584" s="15" t="s">
        <v>138</v>
      </c>
      <c r="CL584" s="15" t="s">
        <v>175</v>
      </c>
      <c r="CM584" s="22" t="s">
        <v>138</v>
      </c>
      <c r="CN584" s="17" t="s">
        <v>138</v>
      </c>
      <c r="CO584" s="23">
        <v>3.54</v>
      </c>
      <c r="CP584" s="24">
        <v>100</v>
      </c>
      <c r="CQ584" s="23">
        <v>0</v>
      </c>
      <c r="CR584" s="23">
        <v>0</v>
      </c>
      <c r="CS584" s="23">
        <v>7.08</v>
      </c>
      <c r="CT584" s="24">
        <v>100</v>
      </c>
      <c r="CU584" s="23">
        <v>0</v>
      </c>
      <c r="CV584" s="24">
        <v>22</v>
      </c>
      <c r="CW584" s="23">
        <v>7.08</v>
      </c>
      <c r="CX584" s="24">
        <v>98</v>
      </c>
      <c r="CY584" s="23" t="s">
        <v>138</v>
      </c>
      <c r="CZ584" s="24" t="s">
        <v>138</v>
      </c>
      <c r="DA584" s="23" t="s">
        <v>138</v>
      </c>
      <c r="DB584" s="24" t="s">
        <v>138</v>
      </c>
      <c r="DC584" s="25">
        <v>2.59</v>
      </c>
      <c r="DD584" s="24">
        <v>72</v>
      </c>
      <c r="DE584" s="25">
        <v>-0.33</v>
      </c>
      <c r="DF584" s="23">
        <v>-11.27</v>
      </c>
      <c r="DG584" s="25">
        <v>5.13</v>
      </c>
      <c r="DH584" s="24">
        <v>83</v>
      </c>
      <c r="DI584" s="25">
        <v>0.05</v>
      </c>
      <c r="DJ584" s="24">
        <v>9</v>
      </c>
      <c r="DK584" s="25">
        <v>5.13</v>
      </c>
      <c r="DL584" s="24">
        <v>79</v>
      </c>
      <c r="DM584" s="25" t="s">
        <v>138</v>
      </c>
      <c r="DN584" s="24" t="s">
        <v>138</v>
      </c>
      <c r="DO584" s="25" t="s">
        <v>138</v>
      </c>
      <c r="DP584" s="24" t="s">
        <v>138</v>
      </c>
      <c r="DQ584" s="24">
        <v>1721</v>
      </c>
      <c r="DR584" s="26">
        <v>117</v>
      </c>
      <c r="DS584" s="23">
        <v>7.29</v>
      </c>
      <c r="DT584" s="24" t="s">
        <v>138</v>
      </c>
      <c r="DU584" s="26" t="s">
        <v>138</v>
      </c>
      <c r="DV584" s="23" t="s">
        <v>138</v>
      </c>
      <c r="DW584" s="24">
        <v>162</v>
      </c>
      <c r="DX584" s="27">
        <v>48</v>
      </c>
      <c r="DY584" s="23">
        <v>42.11</v>
      </c>
      <c r="DZ584" s="15" t="s">
        <v>178</v>
      </c>
      <c r="EA584" s="22">
        <v>43489</v>
      </c>
      <c r="EB584" s="17">
        <v>185</v>
      </c>
      <c r="EC584" s="22">
        <v>43314</v>
      </c>
      <c r="ED584" s="15" t="s">
        <v>205</v>
      </c>
      <c r="EE584" s="14" t="str">
        <f>HYPERLINK("https://my.pitchbook.com?c=222016-42", "View company online")</f>
        <v>View company online</v>
      </c>
    </row>
    <row r="585" spans="1:135">
      <c r="A585" s="28" t="s">
        <v>11864</v>
      </c>
      <c r="B585" s="28" t="s">
        <v>11865</v>
      </c>
      <c r="C585" s="28" t="s">
        <v>138</v>
      </c>
      <c r="D585" s="28" t="s">
        <v>138</v>
      </c>
      <c r="E585" s="28" t="s">
        <v>11866</v>
      </c>
      <c r="F585" s="28" t="s">
        <v>11864</v>
      </c>
      <c r="G585" s="28" t="s">
        <v>11867</v>
      </c>
      <c r="H585" s="28" t="s">
        <v>238</v>
      </c>
      <c r="I585" s="28" t="s">
        <v>269</v>
      </c>
      <c r="J585" s="28" t="s">
        <v>296</v>
      </c>
      <c r="K585" s="28" t="s">
        <v>11868</v>
      </c>
      <c r="L585" s="28" t="s">
        <v>11869</v>
      </c>
      <c r="M585" s="28" t="s">
        <v>11870</v>
      </c>
      <c r="N585" s="28" t="s">
        <v>147</v>
      </c>
      <c r="O585" s="29">
        <v>76.06</v>
      </c>
      <c r="P585" s="28" t="s">
        <v>148</v>
      </c>
      <c r="Q585" s="28" t="s">
        <v>149</v>
      </c>
      <c r="R585" s="28" t="s">
        <v>174</v>
      </c>
      <c r="S585" s="28" t="s">
        <v>11871</v>
      </c>
      <c r="T585" s="30">
        <v>120</v>
      </c>
      <c r="U585" s="28" t="s">
        <v>11872</v>
      </c>
      <c r="V585" s="28" t="s">
        <v>138</v>
      </c>
      <c r="W585" s="28" t="s">
        <v>138</v>
      </c>
      <c r="X585" s="31">
        <v>2009</v>
      </c>
      <c r="Y585" s="28" t="s">
        <v>138</v>
      </c>
      <c r="Z585" s="28" t="s">
        <v>3531</v>
      </c>
      <c r="AA585" s="28" t="s">
        <v>3531</v>
      </c>
      <c r="AB585" s="32" t="s">
        <v>138</v>
      </c>
      <c r="AC585" s="32" t="s">
        <v>138</v>
      </c>
      <c r="AD585" s="32" t="s">
        <v>138</v>
      </c>
      <c r="AE585" s="32" t="s">
        <v>138</v>
      </c>
      <c r="AF585" s="32" t="s">
        <v>138</v>
      </c>
      <c r="AG585" s="28" t="s">
        <v>138</v>
      </c>
      <c r="AH585" s="32" t="s">
        <v>138</v>
      </c>
      <c r="AI585" s="32" t="s">
        <v>138</v>
      </c>
      <c r="AJ585" s="32" t="s">
        <v>138</v>
      </c>
      <c r="AK585" s="28" t="s">
        <v>7725</v>
      </c>
      <c r="AL585" s="28" t="s">
        <v>7726</v>
      </c>
      <c r="AM585" s="28" t="s">
        <v>221</v>
      </c>
      <c r="AN585" s="28" t="s">
        <v>7727</v>
      </c>
      <c r="AO585" s="28" t="s">
        <v>138</v>
      </c>
      <c r="AP585" s="28" t="s">
        <v>665</v>
      </c>
      <c r="AQ585" s="28" t="s">
        <v>11873</v>
      </c>
      <c r="AR585" s="28" t="s">
        <v>138</v>
      </c>
      <c r="AS585" s="28" t="s">
        <v>668</v>
      </c>
      <c r="AT585" s="28" t="s">
        <v>200</v>
      </c>
      <c r="AU585" s="28" t="s">
        <v>3557</v>
      </c>
      <c r="AV585" s="28" t="s">
        <v>162</v>
      </c>
      <c r="AW585" s="28" t="s">
        <v>138</v>
      </c>
      <c r="AX585" s="28" t="s">
        <v>138</v>
      </c>
      <c r="AY585" s="28" t="s">
        <v>138</v>
      </c>
      <c r="AZ585" s="28" t="s">
        <v>164</v>
      </c>
      <c r="BA585" s="28" t="s">
        <v>165</v>
      </c>
      <c r="BB585" s="28" t="s">
        <v>11874</v>
      </c>
      <c r="BC585" s="28" t="s">
        <v>11875</v>
      </c>
      <c r="BD585" s="33">
        <v>24</v>
      </c>
      <c r="BE585" s="28" t="s">
        <v>138</v>
      </c>
      <c r="BF585" s="28" t="s">
        <v>138</v>
      </c>
      <c r="BG585" s="28" t="s">
        <v>138</v>
      </c>
      <c r="BH585" s="28" t="s">
        <v>11876</v>
      </c>
      <c r="BI585" s="28" t="s">
        <v>138</v>
      </c>
      <c r="BJ585" s="28" t="s">
        <v>138</v>
      </c>
      <c r="BK585" s="28" t="s">
        <v>3482</v>
      </c>
      <c r="BL585" s="28" t="s">
        <v>3482</v>
      </c>
      <c r="BM585" s="34">
        <v>40544</v>
      </c>
      <c r="BN585" s="29">
        <v>0.12</v>
      </c>
      <c r="BO585" s="28" t="s">
        <v>172</v>
      </c>
      <c r="BP585" s="29">
        <v>1.71</v>
      </c>
      <c r="BQ585" s="28" t="s">
        <v>172</v>
      </c>
      <c r="BR585" s="28" t="s">
        <v>316</v>
      </c>
      <c r="BS585" s="28" t="s">
        <v>138</v>
      </c>
      <c r="BT585" s="28" t="s">
        <v>138</v>
      </c>
      <c r="BU585" s="28" t="s">
        <v>177</v>
      </c>
      <c r="BV585" s="28" t="s">
        <v>138</v>
      </c>
      <c r="BW585" s="28" t="s">
        <v>138</v>
      </c>
      <c r="BX585" s="28" t="s">
        <v>138</v>
      </c>
      <c r="BY585" s="28" t="s">
        <v>175</v>
      </c>
      <c r="BZ585" s="34">
        <v>43404</v>
      </c>
      <c r="CA585" s="29">
        <v>60</v>
      </c>
      <c r="CB585" s="28" t="s">
        <v>172</v>
      </c>
      <c r="CC585" s="29">
        <v>250</v>
      </c>
      <c r="CD585" s="28" t="s">
        <v>172</v>
      </c>
      <c r="CE585" s="28" t="s">
        <v>173</v>
      </c>
      <c r="CF585" s="28" t="s">
        <v>720</v>
      </c>
      <c r="CG585" s="28" t="s">
        <v>138</v>
      </c>
      <c r="CH585" s="28" t="s">
        <v>174</v>
      </c>
      <c r="CI585" s="28" t="s">
        <v>138</v>
      </c>
      <c r="CJ585" s="28" t="s">
        <v>138</v>
      </c>
      <c r="CK585" s="28" t="s">
        <v>138</v>
      </c>
      <c r="CL585" s="28" t="s">
        <v>175</v>
      </c>
      <c r="CM585" s="34" t="s">
        <v>138</v>
      </c>
      <c r="CN585" s="29" t="s">
        <v>138</v>
      </c>
      <c r="CO585" s="35">
        <v>-0.34</v>
      </c>
      <c r="CP585" s="36">
        <v>18</v>
      </c>
      <c r="CQ585" s="35">
        <v>-0.03</v>
      </c>
      <c r="CR585" s="35">
        <v>-9.75</v>
      </c>
      <c r="CS585" s="35">
        <v>-1.32</v>
      </c>
      <c r="CT585" s="36">
        <v>13</v>
      </c>
      <c r="CU585" s="35">
        <v>0.3</v>
      </c>
      <c r="CV585" s="36">
        <v>87</v>
      </c>
      <c r="CW585" s="35">
        <v>-0.52</v>
      </c>
      <c r="CX585" s="36">
        <v>11</v>
      </c>
      <c r="CY585" s="35">
        <v>-2.12</v>
      </c>
      <c r="CZ585" s="36">
        <v>11</v>
      </c>
      <c r="DA585" s="35">
        <v>0.3</v>
      </c>
      <c r="DB585" s="36">
        <v>88</v>
      </c>
      <c r="DC585" s="37">
        <v>4.8</v>
      </c>
      <c r="DD585" s="36">
        <v>82</v>
      </c>
      <c r="DE585" s="37">
        <v>-0.26</v>
      </c>
      <c r="DF585" s="35">
        <v>-5.19</v>
      </c>
      <c r="DG585" s="37">
        <v>9.67</v>
      </c>
      <c r="DH585" s="36">
        <v>89</v>
      </c>
      <c r="DI585" s="37">
        <v>4.51</v>
      </c>
      <c r="DJ585" s="36">
        <v>76</v>
      </c>
      <c r="DK585" s="37">
        <v>12.27</v>
      </c>
      <c r="DL585" s="36">
        <v>88</v>
      </c>
      <c r="DM585" s="37">
        <v>7.07</v>
      </c>
      <c r="DN585" s="36">
        <v>85</v>
      </c>
      <c r="DO585" s="37">
        <v>4.51</v>
      </c>
      <c r="DP585" s="36">
        <v>78</v>
      </c>
      <c r="DQ585" s="36">
        <v>4125</v>
      </c>
      <c r="DR585" s="38">
        <v>254</v>
      </c>
      <c r="DS585" s="35">
        <v>6.56</v>
      </c>
      <c r="DT585" s="36">
        <v>206</v>
      </c>
      <c r="DU585" s="38">
        <v>-3</v>
      </c>
      <c r="DV585" s="35">
        <v>-1.44</v>
      </c>
      <c r="DW585" s="36">
        <v>1609</v>
      </c>
      <c r="DX585" s="39">
        <v>6</v>
      </c>
      <c r="DY585" s="35">
        <v>0.37</v>
      </c>
      <c r="DZ585" s="28" t="s">
        <v>178</v>
      </c>
      <c r="EA585" s="34">
        <v>43609</v>
      </c>
      <c r="EB585" s="29">
        <v>250</v>
      </c>
      <c r="EC585" s="34">
        <v>43404</v>
      </c>
      <c r="ED585" s="28" t="s">
        <v>173</v>
      </c>
      <c r="EE585" s="40" t="str">
        <f>HYPERLINK("https://my.pitchbook.com?c=102111-67", "View company online")</f>
        <v>View company online</v>
      </c>
    </row>
    <row r="586" spans="1:135">
      <c r="A586" s="15" t="s">
        <v>11877</v>
      </c>
      <c r="B586" s="15" t="s">
        <v>11878</v>
      </c>
      <c r="C586" s="15" t="s">
        <v>138</v>
      </c>
      <c r="D586" s="15" t="s">
        <v>138</v>
      </c>
      <c r="E586" s="15" t="s">
        <v>138</v>
      </c>
      <c r="F586" s="15" t="s">
        <v>11877</v>
      </c>
      <c r="G586" s="15" t="s">
        <v>11879</v>
      </c>
      <c r="H586" s="15" t="s">
        <v>141</v>
      </c>
      <c r="I586" s="15" t="s">
        <v>212</v>
      </c>
      <c r="J586" s="15" t="s">
        <v>213</v>
      </c>
      <c r="K586" s="15" t="s">
        <v>5748</v>
      </c>
      <c r="L586" s="15" t="s">
        <v>138</v>
      </c>
      <c r="M586" s="15" t="s">
        <v>11880</v>
      </c>
      <c r="N586" s="15" t="s">
        <v>147</v>
      </c>
      <c r="O586" s="17" t="s">
        <v>138</v>
      </c>
      <c r="P586" s="15" t="s">
        <v>148</v>
      </c>
      <c r="Q586" s="15" t="s">
        <v>149</v>
      </c>
      <c r="R586" s="15" t="s">
        <v>174</v>
      </c>
      <c r="S586" s="15" t="s">
        <v>11881</v>
      </c>
      <c r="T586" s="18">
        <v>108</v>
      </c>
      <c r="U586" s="15" t="s">
        <v>11882</v>
      </c>
      <c r="V586" s="15" t="s">
        <v>138</v>
      </c>
      <c r="W586" s="15" t="s">
        <v>138</v>
      </c>
      <c r="X586" s="19">
        <v>2010</v>
      </c>
      <c r="Y586" s="15" t="s">
        <v>138</v>
      </c>
      <c r="Z586" s="15" t="s">
        <v>138</v>
      </c>
      <c r="AA586" s="15" t="s">
        <v>138</v>
      </c>
      <c r="AB586" s="20">
        <v>12.69</v>
      </c>
      <c r="AC586" s="20" t="s">
        <v>138</v>
      </c>
      <c r="AD586" s="20" t="s">
        <v>138</v>
      </c>
      <c r="AE586" s="20" t="s">
        <v>138</v>
      </c>
      <c r="AF586" s="20" t="s">
        <v>138</v>
      </c>
      <c r="AG586" s="15" t="s">
        <v>514</v>
      </c>
      <c r="AH586" s="20" t="s">
        <v>138</v>
      </c>
      <c r="AI586" s="20" t="s">
        <v>138</v>
      </c>
      <c r="AJ586" s="20" t="s">
        <v>138</v>
      </c>
      <c r="AK586" s="15" t="s">
        <v>11883</v>
      </c>
      <c r="AL586" s="15" t="s">
        <v>11884</v>
      </c>
      <c r="AM586" s="15" t="s">
        <v>11885</v>
      </c>
      <c r="AN586" s="15" t="s">
        <v>11886</v>
      </c>
      <c r="AO586" s="15" t="s">
        <v>11887</v>
      </c>
      <c r="AP586" s="15" t="s">
        <v>1195</v>
      </c>
      <c r="AQ586" s="15" t="s">
        <v>11888</v>
      </c>
      <c r="AR586" s="15" t="s">
        <v>11889</v>
      </c>
      <c r="AS586" s="15" t="s">
        <v>1198</v>
      </c>
      <c r="AT586" s="15" t="s">
        <v>138</v>
      </c>
      <c r="AU586" s="15" t="s">
        <v>8627</v>
      </c>
      <c r="AV586" s="15" t="s">
        <v>1200</v>
      </c>
      <c r="AW586" s="15" t="s">
        <v>11887</v>
      </c>
      <c r="AX586" s="15" t="s">
        <v>11890</v>
      </c>
      <c r="AY586" s="15" t="s">
        <v>11891</v>
      </c>
      <c r="AZ586" s="15" t="s">
        <v>452</v>
      </c>
      <c r="BA586" s="15" t="s">
        <v>453</v>
      </c>
      <c r="BB586" s="15" t="s">
        <v>11892</v>
      </c>
      <c r="BC586" s="15" t="s">
        <v>11893</v>
      </c>
      <c r="BD586" s="21">
        <v>6</v>
      </c>
      <c r="BE586" s="15" t="s">
        <v>138</v>
      </c>
      <c r="BF586" s="15" t="s">
        <v>138</v>
      </c>
      <c r="BG586" s="15" t="s">
        <v>138</v>
      </c>
      <c r="BH586" s="15" t="s">
        <v>11894</v>
      </c>
      <c r="BI586" s="15" t="s">
        <v>138</v>
      </c>
      <c r="BJ586" s="15" t="s">
        <v>138</v>
      </c>
      <c r="BK586" s="15" t="s">
        <v>138</v>
      </c>
      <c r="BL586" s="15" t="s">
        <v>138</v>
      </c>
      <c r="BM586" s="22">
        <v>41061</v>
      </c>
      <c r="BN586" s="17" t="s">
        <v>138</v>
      </c>
      <c r="BO586" s="15" t="s">
        <v>138</v>
      </c>
      <c r="BP586" s="17" t="s">
        <v>138</v>
      </c>
      <c r="BQ586" s="15" t="s">
        <v>138</v>
      </c>
      <c r="BR586" s="15" t="s">
        <v>205</v>
      </c>
      <c r="BS586" s="15" t="s">
        <v>138</v>
      </c>
      <c r="BT586" s="15" t="s">
        <v>138</v>
      </c>
      <c r="BU586" s="15" t="s">
        <v>174</v>
      </c>
      <c r="BV586" s="15" t="s">
        <v>138</v>
      </c>
      <c r="BW586" s="15" t="s">
        <v>138</v>
      </c>
      <c r="BX586" s="15" t="s">
        <v>138</v>
      </c>
      <c r="BY586" s="15" t="s">
        <v>175</v>
      </c>
      <c r="BZ586" s="22">
        <v>41061</v>
      </c>
      <c r="CA586" s="17" t="s">
        <v>138</v>
      </c>
      <c r="CB586" s="15" t="s">
        <v>138</v>
      </c>
      <c r="CC586" s="17" t="s">
        <v>138</v>
      </c>
      <c r="CD586" s="15" t="s">
        <v>138</v>
      </c>
      <c r="CE586" s="15" t="s">
        <v>205</v>
      </c>
      <c r="CF586" s="15" t="s">
        <v>138</v>
      </c>
      <c r="CG586" s="15" t="s">
        <v>138</v>
      </c>
      <c r="CH586" s="15" t="s">
        <v>174</v>
      </c>
      <c r="CI586" s="15" t="s">
        <v>138</v>
      </c>
      <c r="CJ586" s="15" t="s">
        <v>138</v>
      </c>
      <c r="CK586" s="15" t="s">
        <v>138</v>
      </c>
      <c r="CL586" s="15" t="s">
        <v>175</v>
      </c>
      <c r="CM586" s="22" t="s">
        <v>138</v>
      </c>
      <c r="CN586" s="17" t="s">
        <v>138</v>
      </c>
      <c r="CO586" s="23">
        <v>-0.81</v>
      </c>
      <c r="CP586" s="24">
        <v>13</v>
      </c>
      <c r="CQ586" s="23">
        <v>0</v>
      </c>
      <c r="CR586" s="23">
        <v>0.27</v>
      </c>
      <c r="CS586" s="23">
        <v>-1.53</v>
      </c>
      <c r="CT586" s="24">
        <v>11</v>
      </c>
      <c r="CU586" s="23">
        <v>-0.09</v>
      </c>
      <c r="CV586" s="24">
        <v>5</v>
      </c>
      <c r="CW586" s="23" t="s">
        <v>138</v>
      </c>
      <c r="CX586" s="24" t="s">
        <v>138</v>
      </c>
      <c r="CY586" s="23">
        <v>-1.53</v>
      </c>
      <c r="CZ586" s="24">
        <v>15</v>
      </c>
      <c r="DA586" s="23">
        <v>-0.09</v>
      </c>
      <c r="DB586" s="24">
        <v>7</v>
      </c>
      <c r="DC586" s="25">
        <v>7.07</v>
      </c>
      <c r="DD586" s="24">
        <v>87</v>
      </c>
      <c r="DE586" s="25">
        <v>0.02</v>
      </c>
      <c r="DF586" s="23">
        <v>0.33</v>
      </c>
      <c r="DG586" s="25">
        <v>11.55</v>
      </c>
      <c r="DH586" s="24">
        <v>91</v>
      </c>
      <c r="DI586" s="25">
        <v>2.58</v>
      </c>
      <c r="DJ586" s="24">
        <v>67</v>
      </c>
      <c r="DK586" s="25" t="s">
        <v>138</v>
      </c>
      <c r="DL586" s="24" t="s">
        <v>138</v>
      </c>
      <c r="DM586" s="25">
        <v>11.55</v>
      </c>
      <c r="DN586" s="24">
        <v>90</v>
      </c>
      <c r="DO586" s="25">
        <v>2.58</v>
      </c>
      <c r="DP586" s="24">
        <v>68</v>
      </c>
      <c r="DQ586" s="24" t="s">
        <v>138</v>
      </c>
      <c r="DR586" s="26" t="s">
        <v>138</v>
      </c>
      <c r="DS586" s="23" t="s">
        <v>138</v>
      </c>
      <c r="DT586" s="24">
        <v>334</v>
      </c>
      <c r="DU586" s="26">
        <v>1</v>
      </c>
      <c r="DV586" s="23">
        <v>0.3</v>
      </c>
      <c r="DW586" s="24">
        <v>925</v>
      </c>
      <c r="DX586" s="27">
        <v>-1</v>
      </c>
      <c r="DY586" s="23">
        <v>-0.11</v>
      </c>
      <c r="DZ586" s="15" t="s">
        <v>178</v>
      </c>
      <c r="EA586" s="22">
        <v>43374</v>
      </c>
      <c r="EB586" s="17" t="s">
        <v>138</v>
      </c>
      <c r="EC586" s="22" t="s">
        <v>138</v>
      </c>
      <c r="ED586" s="15" t="s">
        <v>138</v>
      </c>
      <c r="EE586" s="14" t="str">
        <f>HYPERLINK("https://my.pitchbook.com?c=89692-03", "View company online")</f>
        <v>View company online</v>
      </c>
    </row>
    <row r="587" spans="1:135">
      <c r="A587" s="28" t="s">
        <v>11895</v>
      </c>
      <c r="B587" s="28" t="s">
        <v>11896</v>
      </c>
      <c r="C587" s="28" t="s">
        <v>11897</v>
      </c>
      <c r="D587" s="28" t="s">
        <v>138</v>
      </c>
      <c r="E587" s="28" t="s">
        <v>11898</v>
      </c>
      <c r="F587" s="28" t="s">
        <v>11895</v>
      </c>
      <c r="G587" s="28" t="s">
        <v>11899</v>
      </c>
      <c r="H587" s="28" t="s">
        <v>238</v>
      </c>
      <c r="I587" s="28" t="s">
        <v>749</v>
      </c>
      <c r="J587" s="28" t="s">
        <v>750</v>
      </c>
      <c r="K587" s="28" t="s">
        <v>11900</v>
      </c>
      <c r="L587" s="28" t="s">
        <v>7930</v>
      </c>
      <c r="M587" s="28" t="s">
        <v>11901</v>
      </c>
      <c r="N587" s="28" t="s">
        <v>147</v>
      </c>
      <c r="O587" s="29">
        <v>17.239999999999998</v>
      </c>
      <c r="P587" s="28" t="s">
        <v>148</v>
      </c>
      <c r="Q587" s="28" t="s">
        <v>149</v>
      </c>
      <c r="R587" s="28" t="s">
        <v>174</v>
      </c>
      <c r="S587" s="28" t="s">
        <v>11902</v>
      </c>
      <c r="T587" s="30">
        <v>23</v>
      </c>
      <c r="U587" s="28" t="s">
        <v>11903</v>
      </c>
      <c r="V587" s="28" t="s">
        <v>138</v>
      </c>
      <c r="W587" s="28" t="s">
        <v>138</v>
      </c>
      <c r="X587" s="31">
        <v>1999</v>
      </c>
      <c r="Y587" s="28" t="s">
        <v>138</v>
      </c>
      <c r="Z587" s="28" t="s">
        <v>138</v>
      </c>
      <c r="AA587" s="28" t="s">
        <v>138</v>
      </c>
      <c r="AB587" s="32">
        <v>20</v>
      </c>
      <c r="AC587" s="32" t="s">
        <v>138</v>
      </c>
      <c r="AD587" s="32" t="s">
        <v>138</v>
      </c>
      <c r="AE587" s="32" t="s">
        <v>138</v>
      </c>
      <c r="AF587" s="32" t="s">
        <v>138</v>
      </c>
      <c r="AG587" s="28" t="s">
        <v>419</v>
      </c>
      <c r="AH587" s="32" t="s">
        <v>138</v>
      </c>
      <c r="AI587" s="32" t="s">
        <v>138</v>
      </c>
      <c r="AJ587" s="32" t="s">
        <v>138</v>
      </c>
      <c r="AK587" s="28" t="s">
        <v>11904</v>
      </c>
      <c r="AL587" s="28" t="s">
        <v>11905</v>
      </c>
      <c r="AM587" s="28" t="s">
        <v>1632</v>
      </c>
      <c r="AN587" s="28" t="s">
        <v>11906</v>
      </c>
      <c r="AO587" s="28" t="s">
        <v>11907</v>
      </c>
      <c r="AP587" s="28" t="s">
        <v>639</v>
      </c>
      <c r="AQ587" s="28" t="s">
        <v>11908</v>
      </c>
      <c r="AR587" s="28" t="s">
        <v>138</v>
      </c>
      <c r="AS587" s="28" t="s">
        <v>642</v>
      </c>
      <c r="AT587" s="28" t="s">
        <v>474</v>
      </c>
      <c r="AU587" s="28" t="s">
        <v>11909</v>
      </c>
      <c r="AV587" s="28" t="s">
        <v>162</v>
      </c>
      <c r="AW587" s="28" t="s">
        <v>11907</v>
      </c>
      <c r="AX587" s="28" t="s">
        <v>138</v>
      </c>
      <c r="AY587" s="28" t="s">
        <v>11910</v>
      </c>
      <c r="AZ587" s="28" t="s">
        <v>164</v>
      </c>
      <c r="BA587" s="28" t="s">
        <v>165</v>
      </c>
      <c r="BB587" s="28" t="s">
        <v>11911</v>
      </c>
      <c r="BC587" s="28" t="s">
        <v>11912</v>
      </c>
      <c r="BD587" s="33">
        <v>11</v>
      </c>
      <c r="BE587" s="28" t="s">
        <v>138</v>
      </c>
      <c r="BF587" s="28" t="s">
        <v>138</v>
      </c>
      <c r="BG587" s="28" t="s">
        <v>138</v>
      </c>
      <c r="BH587" s="28" t="s">
        <v>11913</v>
      </c>
      <c r="BI587" s="28" t="s">
        <v>138</v>
      </c>
      <c r="BJ587" s="28" t="s">
        <v>138</v>
      </c>
      <c r="BK587" s="28" t="s">
        <v>11914</v>
      </c>
      <c r="BL587" s="28" t="s">
        <v>6179</v>
      </c>
      <c r="BM587" s="34">
        <v>40430</v>
      </c>
      <c r="BN587" s="29">
        <v>0.51</v>
      </c>
      <c r="BO587" s="28" t="s">
        <v>172</v>
      </c>
      <c r="BP587" s="29" t="s">
        <v>138</v>
      </c>
      <c r="BQ587" s="28" t="s">
        <v>138</v>
      </c>
      <c r="BR587" s="28" t="s">
        <v>173</v>
      </c>
      <c r="BS587" s="28" t="s">
        <v>138</v>
      </c>
      <c r="BT587" s="28" t="s">
        <v>138</v>
      </c>
      <c r="BU587" s="28" t="s">
        <v>174</v>
      </c>
      <c r="BV587" s="28" t="s">
        <v>138</v>
      </c>
      <c r="BW587" s="28" t="s">
        <v>138</v>
      </c>
      <c r="BX587" s="28" t="s">
        <v>138</v>
      </c>
      <c r="BY587" s="28" t="s">
        <v>175</v>
      </c>
      <c r="BZ587" s="34">
        <v>42752</v>
      </c>
      <c r="CA587" s="29">
        <v>6</v>
      </c>
      <c r="CB587" s="28" t="s">
        <v>172</v>
      </c>
      <c r="CC587" s="29" t="s">
        <v>138</v>
      </c>
      <c r="CD587" s="28" t="s">
        <v>138</v>
      </c>
      <c r="CE587" s="28" t="s">
        <v>173</v>
      </c>
      <c r="CF587" s="28" t="s">
        <v>433</v>
      </c>
      <c r="CG587" s="28" t="s">
        <v>138</v>
      </c>
      <c r="CH587" s="28" t="s">
        <v>174</v>
      </c>
      <c r="CI587" s="28" t="s">
        <v>138</v>
      </c>
      <c r="CJ587" s="28" t="s">
        <v>138</v>
      </c>
      <c r="CK587" s="28" t="s">
        <v>138</v>
      </c>
      <c r="CL587" s="28" t="s">
        <v>175</v>
      </c>
      <c r="CM587" s="34" t="s">
        <v>138</v>
      </c>
      <c r="CN587" s="29" t="s">
        <v>138</v>
      </c>
      <c r="CO587" s="35">
        <v>2.27</v>
      </c>
      <c r="CP587" s="36">
        <v>99</v>
      </c>
      <c r="CQ587" s="35">
        <v>0.01</v>
      </c>
      <c r="CR587" s="35">
        <v>0.62</v>
      </c>
      <c r="CS587" s="35">
        <v>4.55</v>
      </c>
      <c r="CT587" s="36">
        <v>100</v>
      </c>
      <c r="CU587" s="35">
        <v>0</v>
      </c>
      <c r="CV587" s="36">
        <v>22</v>
      </c>
      <c r="CW587" s="35">
        <v>10.92</v>
      </c>
      <c r="CX587" s="36">
        <v>100</v>
      </c>
      <c r="CY587" s="35">
        <v>-1.83</v>
      </c>
      <c r="CZ587" s="36">
        <v>12</v>
      </c>
      <c r="DA587" s="35">
        <v>0</v>
      </c>
      <c r="DB587" s="36">
        <v>22</v>
      </c>
      <c r="DC587" s="37">
        <v>13.9</v>
      </c>
      <c r="DD587" s="36">
        <v>93</v>
      </c>
      <c r="DE587" s="37">
        <v>-0.15</v>
      </c>
      <c r="DF587" s="35">
        <v>-1.04</v>
      </c>
      <c r="DG587" s="37">
        <v>5.31</v>
      </c>
      <c r="DH587" s="36">
        <v>83</v>
      </c>
      <c r="DI587" s="37">
        <v>22.49</v>
      </c>
      <c r="DJ587" s="36">
        <v>91</v>
      </c>
      <c r="DK587" s="37">
        <v>6.76</v>
      </c>
      <c r="DL587" s="36">
        <v>83</v>
      </c>
      <c r="DM587" s="37">
        <v>3.86</v>
      </c>
      <c r="DN587" s="36">
        <v>78</v>
      </c>
      <c r="DO587" s="37">
        <v>22.49</v>
      </c>
      <c r="DP587" s="36">
        <v>93</v>
      </c>
      <c r="DQ587" s="36">
        <v>2269</v>
      </c>
      <c r="DR587" s="38">
        <v>146</v>
      </c>
      <c r="DS587" s="35">
        <v>6.88</v>
      </c>
      <c r="DT587" s="36">
        <v>111</v>
      </c>
      <c r="DU587" s="38">
        <v>1</v>
      </c>
      <c r="DV587" s="35">
        <v>0.91</v>
      </c>
      <c r="DW587" s="36">
        <v>8053</v>
      </c>
      <c r="DX587" s="39">
        <v>1</v>
      </c>
      <c r="DY587" s="35">
        <v>0.01</v>
      </c>
      <c r="DZ587" s="28" t="s">
        <v>178</v>
      </c>
      <c r="EA587" s="34">
        <v>43364</v>
      </c>
      <c r="EB587" s="29">
        <v>21</v>
      </c>
      <c r="EC587" s="34">
        <v>41358</v>
      </c>
      <c r="ED587" s="28" t="s">
        <v>173</v>
      </c>
      <c r="EE587" s="40" t="str">
        <f>HYPERLINK("https://my.pitchbook.com?c=54393-13", "View company online")</f>
        <v>View company online</v>
      </c>
    </row>
    <row r="588" spans="1:135">
      <c r="A588" s="15" t="s">
        <v>11915</v>
      </c>
      <c r="B588" s="15" t="s">
        <v>11916</v>
      </c>
      <c r="C588" s="15" t="s">
        <v>138</v>
      </c>
      <c r="D588" s="15" t="s">
        <v>138</v>
      </c>
      <c r="E588" s="15" t="s">
        <v>138</v>
      </c>
      <c r="F588" s="15" t="s">
        <v>11915</v>
      </c>
      <c r="G588" s="15" t="s">
        <v>11917</v>
      </c>
      <c r="H588" s="15" t="s">
        <v>322</v>
      </c>
      <c r="I588" s="15" t="s">
        <v>1503</v>
      </c>
      <c r="J588" s="15" t="s">
        <v>1836</v>
      </c>
      <c r="K588" s="15" t="s">
        <v>11918</v>
      </c>
      <c r="L588" s="15" t="s">
        <v>11919</v>
      </c>
      <c r="M588" s="15" t="s">
        <v>11920</v>
      </c>
      <c r="N588" s="15" t="s">
        <v>147</v>
      </c>
      <c r="O588" s="17" t="s">
        <v>138</v>
      </c>
      <c r="P588" s="15" t="s">
        <v>148</v>
      </c>
      <c r="Q588" s="15" t="s">
        <v>149</v>
      </c>
      <c r="R588" s="15" t="s">
        <v>174</v>
      </c>
      <c r="S588" s="15" t="s">
        <v>11921</v>
      </c>
      <c r="T588" s="18" t="s">
        <v>138</v>
      </c>
      <c r="U588" s="15" t="s">
        <v>138</v>
      </c>
      <c r="V588" s="15" t="s">
        <v>138</v>
      </c>
      <c r="W588" s="15" t="s">
        <v>138</v>
      </c>
      <c r="X588" s="19">
        <v>2004</v>
      </c>
      <c r="Y588" s="15" t="s">
        <v>138</v>
      </c>
      <c r="Z588" s="15" t="s">
        <v>138</v>
      </c>
      <c r="AA588" s="15" t="s">
        <v>138</v>
      </c>
      <c r="AB588" s="20" t="s">
        <v>138</v>
      </c>
      <c r="AC588" s="20" t="s">
        <v>138</v>
      </c>
      <c r="AD588" s="20" t="s">
        <v>138</v>
      </c>
      <c r="AE588" s="20" t="s">
        <v>138</v>
      </c>
      <c r="AF588" s="20" t="s">
        <v>138</v>
      </c>
      <c r="AG588" s="15" t="s">
        <v>138</v>
      </c>
      <c r="AH588" s="20" t="s">
        <v>138</v>
      </c>
      <c r="AI588" s="20" t="s">
        <v>138</v>
      </c>
      <c r="AJ588" s="20" t="s">
        <v>138</v>
      </c>
      <c r="AK588" s="15" t="s">
        <v>11922</v>
      </c>
      <c r="AL588" s="15" t="s">
        <v>11923</v>
      </c>
      <c r="AM588" s="15" t="s">
        <v>11924</v>
      </c>
      <c r="AN588" s="15" t="s">
        <v>11925</v>
      </c>
      <c r="AO588" s="15" t="s">
        <v>11926</v>
      </c>
      <c r="AP588" s="15" t="s">
        <v>11927</v>
      </c>
      <c r="AQ588" s="15" t="s">
        <v>11928</v>
      </c>
      <c r="AR588" s="15" t="s">
        <v>11929</v>
      </c>
      <c r="AS588" s="15" t="s">
        <v>11930</v>
      </c>
      <c r="AT588" s="15" t="s">
        <v>7690</v>
      </c>
      <c r="AU588" s="15" t="s">
        <v>11931</v>
      </c>
      <c r="AV588" s="15" t="s">
        <v>2071</v>
      </c>
      <c r="AW588" s="15" t="s">
        <v>11926</v>
      </c>
      <c r="AX588" s="15" t="s">
        <v>11932</v>
      </c>
      <c r="AY588" s="15" t="s">
        <v>11933</v>
      </c>
      <c r="AZ588" s="15" t="s">
        <v>452</v>
      </c>
      <c r="BA588" s="15" t="s">
        <v>453</v>
      </c>
      <c r="BB588" s="15" t="s">
        <v>4609</v>
      </c>
      <c r="BC588" s="15" t="s">
        <v>2075</v>
      </c>
      <c r="BD588" s="21">
        <v>1</v>
      </c>
      <c r="BE588" s="15" t="s">
        <v>138</v>
      </c>
      <c r="BF588" s="15" t="s">
        <v>138</v>
      </c>
      <c r="BG588" s="15" t="s">
        <v>138</v>
      </c>
      <c r="BH588" s="15" t="s">
        <v>2077</v>
      </c>
      <c r="BI588" s="15" t="s">
        <v>138</v>
      </c>
      <c r="BJ588" s="15" t="s">
        <v>138</v>
      </c>
      <c r="BK588" s="15" t="s">
        <v>138</v>
      </c>
      <c r="BL588" s="15" t="s">
        <v>138</v>
      </c>
      <c r="BM588" s="22" t="s">
        <v>138</v>
      </c>
      <c r="BN588" s="17" t="s">
        <v>138</v>
      </c>
      <c r="BO588" s="15" t="s">
        <v>138</v>
      </c>
      <c r="BP588" s="17" t="s">
        <v>138</v>
      </c>
      <c r="BQ588" s="15" t="s">
        <v>138</v>
      </c>
      <c r="BR588" s="15" t="s">
        <v>205</v>
      </c>
      <c r="BS588" s="15" t="s">
        <v>138</v>
      </c>
      <c r="BT588" s="15" t="s">
        <v>138</v>
      </c>
      <c r="BU588" s="15" t="s">
        <v>174</v>
      </c>
      <c r="BV588" s="15" t="s">
        <v>138</v>
      </c>
      <c r="BW588" s="15" t="s">
        <v>138</v>
      </c>
      <c r="BX588" s="15" t="s">
        <v>138</v>
      </c>
      <c r="BY588" s="15" t="s">
        <v>175</v>
      </c>
      <c r="BZ588" s="22" t="s">
        <v>138</v>
      </c>
      <c r="CA588" s="17" t="s">
        <v>138</v>
      </c>
      <c r="CB588" s="15" t="s">
        <v>138</v>
      </c>
      <c r="CC588" s="17" t="s">
        <v>138</v>
      </c>
      <c r="CD588" s="15" t="s">
        <v>138</v>
      </c>
      <c r="CE588" s="15" t="s">
        <v>205</v>
      </c>
      <c r="CF588" s="15" t="s">
        <v>138</v>
      </c>
      <c r="CG588" s="15" t="s">
        <v>138</v>
      </c>
      <c r="CH588" s="15" t="s">
        <v>174</v>
      </c>
      <c r="CI588" s="15" t="s">
        <v>138</v>
      </c>
      <c r="CJ588" s="15" t="s">
        <v>138</v>
      </c>
      <c r="CK588" s="15" t="s">
        <v>138</v>
      </c>
      <c r="CL588" s="15" t="s">
        <v>175</v>
      </c>
      <c r="CM588" s="22" t="s">
        <v>138</v>
      </c>
      <c r="CN588" s="17" t="s">
        <v>138</v>
      </c>
      <c r="CO588" s="23">
        <v>0</v>
      </c>
      <c r="CP588" s="24">
        <v>26</v>
      </c>
      <c r="CQ588" s="23">
        <v>0</v>
      </c>
      <c r="CR588" s="23">
        <v>0</v>
      </c>
      <c r="CS588" s="23">
        <v>0</v>
      </c>
      <c r="CT588" s="24">
        <v>23</v>
      </c>
      <c r="CU588" s="23">
        <v>0</v>
      </c>
      <c r="CV588" s="24">
        <v>22</v>
      </c>
      <c r="CW588" s="23" t="s">
        <v>138</v>
      </c>
      <c r="CX588" s="24" t="s">
        <v>138</v>
      </c>
      <c r="CY588" s="23">
        <v>0</v>
      </c>
      <c r="CZ588" s="24">
        <v>25</v>
      </c>
      <c r="DA588" s="23">
        <v>0</v>
      </c>
      <c r="DB588" s="24">
        <v>22</v>
      </c>
      <c r="DC588" s="25">
        <v>0.24</v>
      </c>
      <c r="DD588" s="24">
        <v>18</v>
      </c>
      <c r="DE588" s="25">
        <v>0</v>
      </c>
      <c r="DF588" s="23">
        <v>0.03</v>
      </c>
      <c r="DG588" s="25">
        <v>0.45</v>
      </c>
      <c r="DH588" s="24">
        <v>31</v>
      </c>
      <c r="DI588" s="25">
        <v>0.03</v>
      </c>
      <c r="DJ588" s="24">
        <v>5</v>
      </c>
      <c r="DK588" s="25" t="s">
        <v>138</v>
      </c>
      <c r="DL588" s="24" t="s">
        <v>138</v>
      </c>
      <c r="DM588" s="25">
        <v>0.45</v>
      </c>
      <c r="DN588" s="24">
        <v>31</v>
      </c>
      <c r="DO588" s="25">
        <v>0.03</v>
      </c>
      <c r="DP588" s="24">
        <v>6</v>
      </c>
      <c r="DQ588" s="24" t="s">
        <v>138</v>
      </c>
      <c r="DR588" s="26" t="s">
        <v>138</v>
      </c>
      <c r="DS588" s="23" t="s">
        <v>138</v>
      </c>
      <c r="DT588" s="24">
        <v>13</v>
      </c>
      <c r="DU588" s="26">
        <v>0</v>
      </c>
      <c r="DV588" s="23">
        <v>0</v>
      </c>
      <c r="DW588" s="24">
        <v>10</v>
      </c>
      <c r="DX588" s="27">
        <v>0</v>
      </c>
      <c r="DY588" s="23">
        <v>0</v>
      </c>
      <c r="DZ588" s="15" t="s">
        <v>178</v>
      </c>
      <c r="EA588" s="22">
        <v>43351</v>
      </c>
      <c r="EB588" s="17" t="s">
        <v>138</v>
      </c>
      <c r="EC588" s="22" t="s">
        <v>138</v>
      </c>
      <c r="ED588" s="15" t="s">
        <v>138</v>
      </c>
      <c r="EE588" s="14" t="str">
        <f>HYPERLINK("https://my.pitchbook.com?c=54825-58", "View company online")</f>
        <v>View company online</v>
      </c>
    </row>
    <row r="589" spans="1:135">
      <c r="A589" s="28" t="s">
        <v>11934</v>
      </c>
      <c r="B589" s="28" t="s">
        <v>11935</v>
      </c>
      <c r="C589" s="28" t="s">
        <v>11936</v>
      </c>
      <c r="D589" s="28" t="s">
        <v>138</v>
      </c>
      <c r="E589" s="28" t="s">
        <v>11937</v>
      </c>
      <c r="F589" s="28" t="s">
        <v>11934</v>
      </c>
      <c r="G589" s="28" t="s">
        <v>11938</v>
      </c>
      <c r="H589" s="28" t="s">
        <v>322</v>
      </c>
      <c r="I589" s="28" t="s">
        <v>323</v>
      </c>
      <c r="J589" s="28" t="s">
        <v>324</v>
      </c>
      <c r="K589" s="28" t="s">
        <v>325</v>
      </c>
      <c r="L589" s="28" t="s">
        <v>4025</v>
      </c>
      <c r="M589" s="28" t="s">
        <v>11939</v>
      </c>
      <c r="N589" s="28" t="s">
        <v>147</v>
      </c>
      <c r="O589" s="29">
        <v>12.5</v>
      </c>
      <c r="P589" s="28" t="s">
        <v>148</v>
      </c>
      <c r="Q589" s="28" t="s">
        <v>149</v>
      </c>
      <c r="R589" s="28" t="s">
        <v>174</v>
      </c>
      <c r="S589" s="28" t="s">
        <v>11940</v>
      </c>
      <c r="T589" s="30">
        <v>25</v>
      </c>
      <c r="U589" s="28" t="s">
        <v>11941</v>
      </c>
      <c r="V589" s="28" t="s">
        <v>138</v>
      </c>
      <c r="W589" s="28" t="s">
        <v>138</v>
      </c>
      <c r="X589" s="31">
        <v>2013</v>
      </c>
      <c r="Y589" s="28" t="s">
        <v>138</v>
      </c>
      <c r="Z589" s="28" t="s">
        <v>138</v>
      </c>
      <c r="AA589" s="28" t="s">
        <v>138</v>
      </c>
      <c r="AB589" s="32" t="s">
        <v>138</v>
      </c>
      <c r="AC589" s="32" t="s">
        <v>138</v>
      </c>
      <c r="AD589" s="32" t="s">
        <v>138</v>
      </c>
      <c r="AE589" s="32" t="s">
        <v>138</v>
      </c>
      <c r="AF589" s="32" t="s">
        <v>138</v>
      </c>
      <c r="AG589" s="28" t="s">
        <v>138</v>
      </c>
      <c r="AH589" s="32" t="s">
        <v>138</v>
      </c>
      <c r="AI589" s="32" t="s">
        <v>138</v>
      </c>
      <c r="AJ589" s="32" t="s">
        <v>138</v>
      </c>
      <c r="AK589" s="28" t="s">
        <v>11942</v>
      </c>
      <c r="AL589" s="28" t="s">
        <v>11943</v>
      </c>
      <c r="AM589" s="28" t="s">
        <v>2794</v>
      </c>
      <c r="AN589" s="28" t="s">
        <v>11944</v>
      </c>
      <c r="AO589" s="28" t="s">
        <v>11945</v>
      </c>
      <c r="AP589" s="28" t="s">
        <v>307</v>
      </c>
      <c r="AQ589" s="28" t="s">
        <v>5791</v>
      </c>
      <c r="AR589" s="28" t="s">
        <v>158</v>
      </c>
      <c r="AS589" s="28" t="s">
        <v>310</v>
      </c>
      <c r="AT589" s="28" t="s">
        <v>200</v>
      </c>
      <c r="AU589" s="28" t="s">
        <v>311</v>
      </c>
      <c r="AV589" s="28" t="s">
        <v>162</v>
      </c>
      <c r="AW589" s="28" t="s">
        <v>11946</v>
      </c>
      <c r="AX589" s="28" t="s">
        <v>138</v>
      </c>
      <c r="AY589" s="28" t="s">
        <v>11947</v>
      </c>
      <c r="AZ589" s="28" t="s">
        <v>164</v>
      </c>
      <c r="BA589" s="28" t="s">
        <v>165</v>
      </c>
      <c r="BB589" s="28" t="s">
        <v>11948</v>
      </c>
      <c r="BC589" s="28" t="s">
        <v>11949</v>
      </c>
      <c r="BD589" s="33">
        <v>37</v>
      </c>
      <c r="BE589" s="28" t="s">
        <v>138</v>
      </c>
      <c r="BF589" s="28" t="s">
        <v>138</v>
      </c>
      <c r="BG589" s="28" t="s">
        <v>138</v>
      </c>
      <c r="BH589" s="28" t="s">
        <v>11950</v>
      </c>
      <c r="BI589" s="28" t="s">
        <v>138</v>
      </c>
      <c r="BJ589" s="28" t="s">
        <v>138</v>
      </c>
      <c r="BK589" s="28" t="s">
        <v>11951</v>
      </c>
      <c r="BL589" s="28" t="s">
        <v>11952</v>
      </c>
      <c r="BM589" s="34">
        <v>42453</v>
      </c>
      <c r="BN589" s="29">
        <v>5</v>
      </c>
      <c r="BO589" s="28" t="s">
        <v>172</v>
      </c>
      <c r="BP589" s="29">
        <v>15</v>
      </c>
      <c r="BQ589" s="28" t="s">
        <v>172</v>
      </c>
      <c r="BR589" s="28" t="s">
        <v>234</v>
      </c>
      <c r="BS589" s="28" t="s">
        <v>234</v>
      </c>
      <c r="BT589" s="28" t="s">
        <v>138</v>
      </c>
      <c r="BU589" s="28" t="s">
        <v>174</v>
      </c>
      <c r="BV589" s="28" t="s">
        <v>138</v>
      </c>
      <c r="BW589" s="28" t="s">
        <v>138</v>
      </c>
      <c r="BX589" s="28" t="s">
        <v>138</v>
      </c>
      <c r="BY589" s="28" t="s">
        <v>175</v>
      </c>
      <c r="BZ589" s="34">
        <v>43381</v>
      </c>
      <c r="CA589" s="29">
        <v>7.5</v>
      </c>
      <c r="CB589" s="28" t="s">
        <v>172</v>
      </c>
      <c r="CC589" s="29" t="s">
        <v>138</v>
      </c>
      <c r="CD589" s="28" t="s">
        <v>138</v>
      </c>
      <c r="CE589" s="28" t="s">
        <v>205</v>
      </c>
      <c r="CF589" s="28" t="s">
        <v>206</v>
      </c>
      <c r="CG589" s="28" t="s">
        <v>138</v>
      </c>
      <c r="CH589" s="28" t="s">
        <v>174</v>
      </c>
      <c r="CI589" s="28" t="s">
        <v>138</v>
      </c>
      <c r="CJ589" s="28" t="s">
        <v>138</v>
      </c>
      <c r="CK589" s="28" t="s">
        <v>138</v>
      </c>
      <c r="CL589" s="28" t="s">
        <v>175</v>
      </c>
      <c r="CM589" s="34" t="s">
        <v>138</v>
      </c>
      <c r="CN589" s="29" t="s">
        <v>138</v>
      </c>
      <c r="CO589" s="35">
        <v>-0.11</v>
      </c>
      <c r="CP589" s="36">
        <v>21</v>
      </c>
      <c r="CQ589" s="35">
        <v>0.11</v>
      </c>
      <c r="CR589" s="35">
        <v>50.47</v>
      </c>
      <c r="CS589" s="35">
        <v>0</v>
      </c>
      <c r="CT589" s="36">
        <v>23</v>
      </c>
      <c r="CU589" s="35">
        <v>-0.22</v>
      </c>
      <c r="CV589" s="36">
        <v>1</v>
      </c>
      <c r="CW589" s="35">
        <v>0</v>
      </c>
      <c r="CX589" s="36">
        <v>13</v>
      </c>
      <c r="CY589" s="35">
        <v>0</v>
      </c>
      <c r="CZ589" s="36">
        <v>25</v>
      </c>
      <c r="DA589" s="35">
        <v>-0.22</v>
      </c>
      <c r="DB589" s="36">
        <v>2</v>
      </c>
      <c r="DC589" s="37">
        <v>0.97</v>
      </c>
      <c r="DD589" s="36">
        <v>50</v>
      </c>
      <c r="DE589" s="37">
        <v>-0.05</v>
      </c>
      <c r="DF589" s="35">
        <v>-5.37</v>
      </c>
      <c r="DG589" s="37">
        <v>1.63</v>
      </c>
      <c r="DH589" s="36">
        <v>62</v>
      </c>
      <c r="DI589" s="37">
        <v>0.31</v>
      </c>
      <c r="DJ589" s="36">
        <v>29</v>
      </c>
      <c r="DK589" s="37">
        <v>1.74</v>
      </c>
      <c r="DL589" s="36">
        <v>62</v>
      </c>
      <c r="DM589" s="37">
        <v>1.52</v>
      </c>
      <c r="DN589" s="36">
        <v>60</v>
      </c>
      <c r="DO589" s="37">
        <v>0.31</v>
      </c>
      <c r="DP589" s="36">
        <v>30</v>
      </c>
      <c r="DQ589" s="36">
        <v>566</v>
      </c>
      <c r="DR589" s="38">
        <v>88</v>
      </c>
      <c r="DS589" s="35">
        <v>18.41</v>
      </c>
      <c r="DT589" s="36">
        <v>44</v>
      </c>
      <c r="DU589" s="38">
        <v>0</v>
      </c>
      <c r="DV589" s="35">
        <v>0</v>
      </c>
      <c r="DW589" s="36">
        <v>110</v>
      </c>
      <c r="DX589" s="39">
        <v>1</v>
      </c>
      <c r="DY589" s="35">
        <v>0.92</v>
      </c>
      <c r="DZ589" s="28" t="s">
        <v>178</v>
      </c>
      <c r="EA589" s="34">
        <v>43564</v>
      </c>
      <c r="EB589" s="29">
        <v>15</v>
      </c>
      <c r="EC589" s="34">
        <v>42453</v>
      </c>
      <c r="ED589" s="28" t="s">
        <v>234</v>
      </c>
      <c r="EE589" s="40" t="str">
        <f>HYPERLINK("https://my.pitchbook.com?c=125280-64", "View company online")</f>
        <v>View company online</v>
      </c>
    </row>
    <row r="590" spans="1:135">
      <c r="A590" s="15" t="s">
        <v>11953</v>
      </c>
      <c r="B590" s="15" t="s">
        <v>11954</v>
      </c>
      <c r="C590" s="15" t="s">
        <v>138</v>
      </c>
      <c r="D590" s="15" t="s">
        <v>138</v>
      </c>
      <c r="E590" s="15" t="s">
        <v>11955</v>
      </c>
      <c r="F590" s="15" t="s">
        <v>11953</v>
      </c>
      <c r="G590" s="15" t="s">
        <v>11956</v>
      </c>
      <c r="H590" s="15" t="s">
        <v>238</v>
      </c>
      <c r="I590" s="15" t="s">
        <v>749</v>
      </c>
      <c r="J590" s="15" t="s">
        <v>750</v>
      </c>
      <c r="K590" s="15" t="s">
        <v>11957</v>
      </c>
      <c r="L590" s="15" t="s">
        <v>11958</v>
      </c>
      <c r="M590" s="15" t="s">
        <v>11959</v>
      </c>
      <c r="N590" s="15" t="s">
        <v>147</v>
      </c>
      <c r="O590" s="17">
        <v>183.6</v>
      </c>
      <c r="P590" s="15" t="s">
        <v>812</v>
      </c>
      <c r="Q590" s="15" t="s">
        <v>149</v>
      </c>
      <c r="R590" s="15" t="s">
        <v>244</v>
      </c>
      <c r="S590" s="15" t="s">
        <v>11960</v>
      </c>
      <c r="T590" s="18">
        <v>1200</v>
      </c>
      <c r="U590" s="15" t="s">
        <v>11961</v>
      </c>
      <c r="V590" s="15" t="s">
        <v>138</v>
      </c>
      <c r="W590" s="15" t="s">
        <v>138</v>
      </c>
      <c r="X590" s="19">
        <v>2006</v>
      </c>
      <c r="Y590" s="15" t="s">
        <v>138</v>
      </c>
      <c r="Z590" s="15" t="s">
        <v>138</v>
      </c>
      <c r="AA590" s="15" t="s">
        <v>138</v>
      </c>
      <c r="AB590" s="20">
        <v>150</v>
      </c>
      <c r="AC590" s="20" t="s">
        <v>138</v>
      </c>
      <c r="AD590" s="20" t="s">
        <v>138</v>
      </c>
      <c r="AE590" s="20" t="s">
        <v>138</v>
      </c>
      <c r="AF590" s="20" t="s">
        <v>138</v>
      </c>
      <c r="AG590" s="15" t="s">
        <v>815</v>
      </c>
      <c r="AH590" s="20" t="s">
        <v>138</v>
      </c>
      <c r="AI590" s="20" t="s">
        <v>138</v>
      </c>
      <c r="AJ590" s="20" t="s">
        <v>138</v>
      </c>
      <c r="AK590" s="15" t="s">
        <v>11962</v>
      </c>
      <c r="AL590" s="15" t="s">
        <v>11963</v>
      </c>
      <c r="AM590" s="15" t="s">
        <v>11964</v>
      </c>
      <c r="AN590" s="15" t="s">
        <v>11965</v>
      </c>
      <c r="AO590" s="15" t="s">
        <v>11966</v>
      </c>
      <c r="AP590" s="15" t="s">
        <v>3328</v>
      </c>
      <c r="AQ590" s="15" t="s">
        <v>11967</v>
      </c>
      <c r="AR590" s="15" t="s">
        <v>1459</v>
      </c>
      <c r="AS590" s="15" t="s">
        <v>3330</v>
      </c>
      <c r="AT590" s="15" t="s">
        <v>200</v>
      </c>
      <c r="AU590" s="15" t="s">
        <v>11968</v>
      </c>
      <c r="AV590" s="15" t="s">
        <v>162</v>
      </c>
      <c r="AW590" s="15" t="s">
        <v>11966</v>
      </c>
      <c r="AX590" s="15" t="s">
        <v>11969</v>
      </c>
      <c r="AY590" s="15" t="s">
        <v>11970</v>
      </c>
      <c r="AZ590" s="15" t="s">
        <v>164</v>
      </c>
      <c r="BA590" s="15" t="s">
        <v>165</v>
      </c>
      <c r="BB590" s="15" t="s">
        <v>11971</v>
      </c>
      <c r="BC590" s="15" t="s">
        <v>11972</v>
      </c>
      <c r="BD590" s="21">
        <v>27</v>
      </c>
      <c r="BE590" s="15" t="s">
        <v>138</v>
      </c>
      <c r="BF590" s="15" t="s">
        <v>138</v>
      </c>
      <c r="BG590" s="15" t="s">
        <v>138</v>
      </c>
      <c r="BH590" s="15" t="s">
        <v>11973</v>
      </c>
      <c r="BI590" s="15" t="s">
        <v>138</v>
      </c>
      <c r="BJ590" s="15" t="s">
        <v>138</v>
      </c>
      <c r="BK590" s="15" t="s">
        <v>11974</v>
      </c>
      <c r="BL590" s="15" t="s">
        <v>11975</v>
      </c>
      <c r="BM590" s="22">
        <v>38832</v>
      </c>
      <c r="BN590" s="17">
        <v>6.85</v>
      </c>
      <c r="BO590" s="15" t="s">
        <v>172</v>
      </c>
      <c r="BP590" s="17" t="s">
        <v>138</v>
      </c>
      <c r="BQ590" s="15" t="s">
        <v>138</v>
      </c>
      <c r="BR590" s="15" t="s">
        <v>205</v>
      </c>
      <c r="BS590" s="15" t="s">
        <v>206</v>
      </c>
      <c r="BT590" s="15" t="s">
        <v>138</v>
      </c>
      <c r="BU590" s="15" t="s">
        <v>174</v>
      </c>
      <c r="BV590" s="15" t="s">
        <v>138</v>
      </c>
      <c r="BW590" s="15" t="s">
        <v>138</v>
      </c>
      <c r="BX590" s="15" t="s">
        <v>138</v>
      </c>
      <c r="BY590" s="15" t="s">
        <v>175</v>
      </c>
      <c r="BZ590" s="22">
        <v>43549</v>
      </c>
      <c r="CA590" s="17">
        <v>30.35</v>
      </c>
      <c r="CB590" s="15" t="s">
        <v>172</v>
      </c>
      <c r="CC590" s="17">
        <v>340.35</v>
      </c>
      <c r="CD590" s="15" t="s">
        <v>172</v>
      </c>
      <c r="CE590" s="15" t="s">
        <v>173</v>
      </c>
      <c r="CF590" s="15" t="s">
        <v>11976</v>
      </c>
      <c r="CG590" s="15" t="s">
        <v>138</v>
      </c>
      <c r="CH590" s="15" t="s">
        <v>174</v>
      </c>
      <c r="CI590" s="15" t="s">
        <v>138</v>
      </c>
      <c r="CJ590" s="15" t="s">
        <v>138</v>
      </c>
      <c r="CK590" s="15" t="s">
        <v>138</v>
      </c>
      <c r="CL590" s="15" t="s">
        <v>175</v>
      </c>
      <c r="CM590" s="22">
        <v>42894</v>
      </c>
      <c r="CN590" s="17" t="s">
        <v>138</v>
      </c>
      <c r="CO590" s="23">
        <v>0.92</v>
      </c>
      <c r="CP590" s="24">
        <v>97</v>
      </c>
      <c r="CQ590" s="23">
        <v>0.37</v>
      </c>
      <c r="CR590" s="23">
        <v>66.59</v>
      </c>
      <c r="CS590" s="23">
        <v>2.62</v>
      </c>
      <c r="CT590" s="24">
        <v>99</v>
      </c>
      <c r="CU590" s="23">
        <v>-0.01</v>
      </c>
      <c r="CV590" s="24">
        <v>20</v>
      </c>
      <c r="CW590" s="23">
        <v>2.79</v>
      </c>
      <c r="CX590" s="24">
        <v>91</v>
      </c>
      <c r="CY590" s="23">
        <v>2.4500000000000002</v>
      </c>
      <c r="CZ590" s="24">
        <v>100</v>
      </c>
      <c r="DA590" s="23">
        <v>0</v>
      </c>
      <c r="DB590" s="24">
        <v>22</v>
      </c>
      <c r="DC590" s="25">
        <v>28.86</v>
      </c>
      <c r="DD590" s="24">
        <v>96</v>
      </c>
      <c r="DE590" s="25">
        <v>-0.06</v>
      </c>
      <c r="DF590" s="23">
        <v>-0.21</v>
      </c>
      <c r="DG590" s="25">
        <v>6.88</v>
      </c>
      <c r="DH590" s="24">
        <v>86</v>
      </c>
      <c r="DI590" s="25">
        <v>77.489999999999995</v>
      </c>
      <c r="DJ590" s="24">
        <v>96</v>
      </c>
      <c r="DK590" s="25">
        <v>4.66</v>
      </c>
      <c r="DL590" s="24">
        <v>78</v>
      </c>
      <c r="DM590" s="25">
        <v>9.1</v>
      </c>
      <c r="DN590" s="24">
        <v>88</v>
      </c>
      <c r="DO590" s="25">
        <v>30.61</v>
      </c>
      <c r="DP590" s="24">
        <v>95</v>
      </c>
      <c r="DQ590" s="24">
        <v>1589</v>
      </c>
      <c r="DR590" s="26">
        <v>26</v>
      </c>
      <c r="DS590" s="23">
        <v>1.66</v>
      </c>
      <c r="DT590" s="24">
        <v>261</v>
      </c>
      <c r="DU590" s="26">
        <v>6</v>
      </c>
      <c r="DV590" s="23">
        <v>2.35</v>
      </c>
      <c r="DW590" s="24">
        <v>10960</v>
      </c>
      <c r="DX590" s="27">
        <v>0</v>
      </c>
      <c r="DY590" s="23">
        <v>0</v>
      </c>
      <c r="DZ590" s="15" t="s">
        <v>178</v>
      </c>
      <c r="EA590" s="22">
        <v>43607</v>
      </c>
      <c r="EB590" s="17">
        <v>340.35</v>
      </c>
      <c r="EC590" s="22">
        <v>43549</v>
      </c>
      <c r="ED590" s="15" t="s">
        <v>173</v>
      </c>
      <c r="EE590" s="14" t="str">
        <f>HYPERLINK("https://my.pitchbook.com?c=52920-01", "View company online")</f>
        <v>View company online</v>
      </c>
    </row>
    <row r="591" spans="1:135">
      <c r="A591" s="28" t="s">
        <v>11977</v>
      </c>
      <c r="B591" s="28" t="s">
        <v>11978</v>
      </c>
      <c r="C591" s="28" t="s">
        <v>11979</v>
      </c>
      <c r="D591" s="28" t="s">
        <v>11980</v>
      </c>
      <c r="E591" s="28" t="s">
        <v>11981</v>
      </c>
      <c r="F591" s="28" t="s">
        <v>11977</v>
      </c>
      <c r="G591" s="28" t="s">
        <v>11982</v>
      </c>
      <c r="H591" s="28" t="s">
        <v>238</v>
      </c>
      <c r="I591" s="28" t="s">
        <v>1351</v>
      </c>
      <c r="J591" s="28" t="s">
        <v>1352</v>
      </c>
      <c r="K591" s="28" t="s">
        <v>11328</v>
      </c>
      <c r="L591" s="28" t="s">
        <v>415</v>
      </c>
      <c r="M591" s="28" t="s">
        <v>11983</v>
      </c>
      <c r="N591" s="28" t="s">
        <v>147</v>
      </c>
      <c r="O591" s="29">
        <v>6.08</v>
      </c>
      <c r="P591" s="28" t="s">
        <v>148</v>
      </c>
      <c r="Q591" s="28" t="s">
        <v>149</v>
      </c>
      <c r="R591" s="28" t="s">
        <v>174</v>
      </c>
      <c r="S591" s="28" t="s">
        <v>11984</v>
      </c>
      <c r="T591" s="30">
        <v>13</v>
      </c>
      <c r="U591" s="28" t="s">
        <v>11985</v>
      </c>
      <c r="V591" s="28" t="s">
        <v>138</v>
      </c>
      <c r="W591" s="28" t="s">
        <v>138</v>
      </c>
      <c r="X591" s="31">
        <v>2013</v>
      </c>
      <c r="Y591" s="28" t="s">
        <v>138</v>
      </c>
      <c r="Z591" s="28" t="s">
        <v>138</v>
      </c>
      <c r="AA591" s="28" t="s">
        <v>138</v>
      </c>
      <c r="AB591" s="32" t="s">
        <v>138</v>
      </c>
      <c r="AC591" s="32" t="s">
        <v>138</v>
      </c>
      <c r="AD591" s="32" t="s">
        <v>138</v>
      </c>
      <c r="AE591" s="32" t="s">
        <v>138</v>
      </c>
      <c r="AF591" s="32" t="s">
        <v>138</v>
      </c>
      <c r="AG591" s="28" t="s">
        <v>138</v>
      </c>
      <c r="AH591" s="32" t="s">
        <v>138</v>
      </c>
      <c r="AI591" s="32" t="s">
        <v>138</v>
      </c>
      <c r="AJ591" s="32" t="s">
        <v>138</v>
      </c>
      <c r="AK591" s="28" t="s">
        <v>11986</v>
      </c>
      <c r="AL591" s="28" t="s">
        <v>11987</v>
      </c>
      <c r="AM591" s="28" t="s">
        <v>221</v>
      </c>
      <c r="AN591" s="28" t="s">
        <v>11988</v>
      </c>
      <c r="AO591" s="28" t="s">
        <v>11989</v>
      </c>
      <c r="AP591" s="28" t="s">
        <v>665</v>
      </c>
      <c r="AQ591" s="28" t="s">
        <v>11990</v>
      </c>
      <c r="AR591" s="28" t="s">
        <v>138</v>
      </c>
      <c r="AS591" s="28" t="s">
        <v>668</v>
      </c>
      <c r="AT591" s="28" t="s">
        <v>200</v>
      </c>
      <c r="AU591" s="28" t="s">
        <v>691</v>
      </c>
      <c r="AV591" s="28" t="s">
        <v>162</v>
      </c>
      <c r="AW591" s="28" t="s">
        <v>11989</v>
      </c>
      <c r="AX591" s="28" t="s">
        <v>138</v>
      </c>
      <c r="AY591" s="28" t="s">
        <v>11991</v>
      </c>
      <c r="AZ591" s="28" t="s">
        <v>164</v>
      </c>
      <c r="BA591" s="28" t="s">
        <v>165</v>
      </c>
      <c r="BB591" s="28" t="s">
        <v>11992</v>
      </c>
      <c r="BC591" s="28" t="s">
        <v>11993</v>
      </c>
      <c r="BD591" s="33">
        <v>12</v>
      </c>
      <c r="BE591" s="28" t="s">
        <v>138</v>
      </c>
      <c r="BF591" s="28" t="s">
        <v>138</v>
      </c>
      <c r="BG591" s="28" t="s">
        <v>138</v>
      </c>
      <c r="BH591" s="28" t="s">
        <v>11994</v>
      </c>
      <c r="BI591" s="28" t="s">
        <v>138</v>
      </c>
      <c r="BJ591" s="28" t="s">
        <v>138</v>
      </c>
      <c r="BK591" s="28" t="s">
        <v>138</v>
      </c>
      <c r="BL591" s="28" t="s">
        <v>1370</v>
      </c>
      <c r="BM591" s="34" t="s">
        <v>138</v>
      </c>
      <c r="BN591" s="29" t="s">
        <v>138</v>
      </c>
      <c r="BO591" s="28" t="s">
        <v>138</v>
      </c>
      <c r="BP591" s="29" t="s">
        <v>138</v>
      </c>
      <c r="BQ591" s="28" t="s">
        <v>138</v>
      </c>
      <c r="BR591" s="28" t="s">
        <v>316</v>
      </c>
      <c r="BS591" s="28" t="s">
        <v>138</v>
      </c>
      <c r="BT591" s="28" t="s">
        <v>138</v>
      </c>
      <c r="BU591" s="28" t="s">
        <v>177</v>
      </c>
      <c r="BV591" s="28" t="s">
        <v>138</v>
      </c>
      <c r="BW591" s="28" t="s">
        <v>138</v>
      </c>
      <c r="BX591" s="28" t="s">
        <v>138</v>
      </c>
      <c r="BY591" s="28" t="s">
        <v>175</v>
      </c>
      <c r="BZ591" s="34">
        <v>43076</v>
      </c>
      <c r="CA591" s="29">
        <v>5.96</v>
      </c>
      <c r="CB591" s="28" t="s">
        <v>172</v>
      </c>
      <c r="CC591" s="29">
        <v>16.96</v>
      </c>
      <c r="CD591" s="28" t="s">
        <v>172</v>
      </c>
      <c r="CE591" s="28" t="s">
        <v>234</v>
      </c>
      <c r="CF591" s="28" t="s">
        <v>234</v>
      </c>
      <c r="CG591" s="28" t="s">
        <v>138</v>
      </c>
      <c r="CH591" s="28" t="s">
        <v>174</v>
      </c>
      <c r="CI591" s="28" t="s">
        <v>138</v>
      </c>
      <c r="CJ591" s="28" t="s">
        <v>138</v>
      </c>
      <c r="CK591" s="28" t="s">
        <v>138</v>
      </c>
      <c r="CL591" s="28" t="s">
        <v>175</v>
      </c>
      <c r="CM591" s="34" t="s">
        <v>138</v>
      </c>
      <c r="CN591" s="29" t="s">
        <v>138</v>
      </c>
      <c r="CO591" s="35">
        <v>4.55</v>
      </c>
      <c r="CP591" s="36">
        <v>100</v>
      </c>
      <c r="CQ591" s="35">
        <v>0.74</v>
      </c>
      <c r="CR591" s="35">
        <v>19.27</v>
      </c>
      <c r="CS591" s="35">
        <v>0</v>
      </c>
      <c r="CT591" s="36">
        <v>23</v>
      </c>
      <c r="CU591" s="35">
        <v>-0.01</v>
      </c>
      <c r="CV591" s="36">
        <v>20</v>
      </c>
      <c r="CW591" s="35">
        <v>0</v>
      </c>
      <c r="CX591" s="36">
        <v>13</v>
      </c>
      <c r="CY591" s="35" t="s">
        <v>138</v>
      </c>
      <c r="CZ591" s="36" t="s">
        <v>138</v>
      </c>
      <c r="DA591" s="35">
        <v>0.02</v>
      </c>
      <c r="DB591" s="36">
        <v>58</v>
      </c>
      <c r="DC591" s="37">
        <v>4.09</v>
      </c>
      <c r="DD591" s="36">
        <v>80</v>
      </c>
      <c r="DE591" s="37">
        <v>0.02</v>
      </c>
      <c r="DF591" s="35">
        <v>0.48</v>
      </c>
      <c r="DG591" s="37">
        <v>1</v>
      </c>
      <c r="DH591" s="36">
        <v>51</v>
      </c>
      <c r="DI591" s="37">
        <v>14.25</v>
      </c>
      <c r="DJ591" s="36">
        <v>88</v>
      </c>
      <c r="DK591" s="37">
        <v>1</v>
      </c>
      <c r="DL591" s="36">
        <v>50</v>
      </c>
      <c r="DM591" s="37" t="s">
        <v>138</v>
      </c>
      <c r="DN591" s="36" t="s">
        <v>138</v>
      </c>
      <c r="DO591" s="37">
        <v>1.67</v>
      </c>
      <c r="DP591" s="36">
        <v>60</v>
      </c>
      <c r="DQ591" s="36">
        <v>341</v>
      </c>
      <c r="DR591" s="38">
        <v>1</v>
      </c>
      <c r="DS591" s="35">
        <v>0.28999999999999998</v>
      </c>
      <c r="DT591" s="36" t="s">
        <v>138</v>
      </c>
      <c r="DU591" s="38" t="s">
        <v>138</v>
      </c>
      <c r="DV591" s="35" t="s">
        <v>138</v>
      </c>
      <c r="DW591" s="36">
        <v>597</v>
      </c>
      <c r="DX591" s="39">
        <v>0</v>
      </c>
      <c r="DY591" s="35">
        <v>0</v>
      </c>
      <c r="DZ591" s="28" t="s">
        <v>178</v>
      </c>
      <c r="EA591" s="34">
        <v>43622</v>
      </c>
      <c r="EB591" s="29">
        <v>16.96</v>
      </c>
      <c r="EC591" s="34">
        <v>43076</v>
      </c>
      <c r="ED591" s="28" t="s">
        <v>234</v>
      </c>
      <c r="EE591" s="40" t="str">
        <f>HYPERLINK("https://my.pitchbook.com?c=154450-18", "View company online")</f>
        <v>View company online</v>
      </c>
    </row>
    <row r="592" spans="1:135">
      <c r="A592" s="15" t="s">
        <v>11995</v>
      </c>
      <c r="B592" s="15" t="s">
        <v>11996</v>
      </c>
      <c r="C592" s="15" t="s">
        <v>138</v>
      </c>
      <c r="D592" s="15" t="s">
        <v>138</v>
      </c>
      <c r="E592" s="15" t="s">
        <v>138</v>
      </c>
      <c r="F592" s="15" t="s">
        <v>11995</v>
      </c>
      <c r="G592" s="15" t="s">
        <v>11997</v>
      </c>
      <c r="H592" s="15" t="s">
        <v>322</v>
      </c>
      <c r="I592" s="15" t="s">
        <v>323</v>
      </c>
      <c r="J592" s="15" t="s">
        <v>413</v>
      </c>
      <c r="K592" s="15" t="s">
        <v>3831</v>
      </c>
      <c r="L592" s="15" t="s">
        <v>2274</v>
      </c>
      <c r="M592" s="15" t="s">
        <v>11998</v>
      </c>
      <c r="N592" s="15" t="s">
        <v>147</v>
      </c>
      <c r="O592" s="17">
        <v>2.76</v>
      </c>
      <c r="P592" s="15" t="s">
        <v>148</v>
      </c>
      <c r="Q592" s="15" t="s">
        <v>149</v>
      </c>
      <c r="R592" s="15" t="s">
        <v>174</v>
      </c>
      <c r="S592" s="15" t="s">
        <v>11999</v>
      </c>
      <c r="T592" s="18" t="s">
        <v>138</v>
      </c>
      <c r="U592" s="15" t="s">
        <v>138</v>
      </c>
      <c r="V592" s="15" t="s">
        <v>138</v>
      </c>
      <c r="W592" s="15" t="s">
        <v>138</v>
      </c>
      <c r="X592" s="19">
        <v>2015</v>
      </c>
      <c r="Y592" s="15" t="s">
        <v>138</v>
      </c>
      <c r="Z592" s="15" t="s">
        <v>138</v>
      </c>
      <c r="AA592" s="15" t="s">
        <v>138</v>
      </c>
      <c r="AB592" s="20" t="s">
        <v>138</v>
      </c>
      <c r="AC592" s="20" t="s">
        <v>138</v>
      </c>
      <c r="AD592" s="20" t="s">
        <v>138</v>
      </c>
      <c r="AE592" s="20" t="s">
        <v>138</v>
      </c>
      <c r="AF592" s="20" t="s">
        <v>138</v>
      </c>
      <c r="AG592" s="15" t="s">
        <v>138</v>
      </c>
      <c r="AH592" s="20" t="s">
        <v>138</v>
      </c>
      <c r="AI592" s="20" t="s">
        <v>138</v>
      </c>
      <c r="AJ592" s="20" t="s">
        <v>138</v>
      </c>
      <c r="AK592" s="15" t="s">
        <v>12000</v>
      </c>
      <c r="AL592" s="15" t="s">
        <v>12001</v>
      </c>
      <c r="AM592" s="15" t="s">
        <v>12002</v>
      </c>
      <c r="AN592" s="15" t="s">
        <v>12003</v>
      </c>
      <c r="AO592" s="15" t="s">
        <v>12004</v>
      </c>
      <c r="AP592" s="15" t="s">
        <v>12005</v>
      </c>
      <c r="AQ592" s="15" t="s">
        <v>12006</v>
      </c>
      <c r="AR592" s="15" t="s">
        <v>138</v>
      </c>
      <c r="AS592" s="15" t="s">
        <v>12007</v>
      </c>
      <c r="AT592" s="15" t="s">
        <v>371</v>
      </c>
      <c r="AU592" s="15" t="s">
        <v>12008</v>
      </c>
      <c r="AV592" s="15" t="s">
        <v>162</v>
      </c>
      <c r="AW592" s="15" t="s">
        <v>12004</v>
      </c>
      <c r="AX592" s="15" t="s">
        <v>138</v>
      </c>
      <c r="AY592" s="15" t="s">
        <v>138</v>
      </c>
      <c r="AZ592" s="15" t="s">
        <v>164</v>
      </c>
      <c r="BA592" s="15" t="s">
        <v>165</v>
      </c>
      <c r="BB592" s="15" t="s">
        <v>12009</v>
      </c>
      <c r="BC592" s="15" t="s">
        <v>12010</v>
      </c>
      <c r="BD592" s="21">
        <v>2</v>
      </c>
      <c r="BE592" s="15" t="s">
        <v>138</v>
      </c>
      <c r="BF592" s="15" t="s">
        <v>138</v>
      </c>
      <c r="BG592" s="15" t="s">
        <v>138</v>
      </c>
      <c r="BH592" s="15" t="s">
        <v>12011</v>
      </c>
      <c r="BI592" s="15" t="s">
        <v>138</v>
      </c>
      <c r="BJ592" s="15" t="s">
        <v>138</v>
      </c>
      <c r="BK592" s="15" t="s">
        <v>1275</v>
      </c>
      <c r="BL592" s="15" t="s">
        <v>1275</v>
      </c>
      <c r="BM592" s="22">
        <v>42570</v>
      </c>
      <c r="BN592" s="17">
        <v>0.85</v>
      </c>
      <c r="BO592" s="15" t="s">
        <v>172</v>
      </c>
      <c r="BP592" s="17">
        <v>4.32</v>
      </c>
      <c r="BQ592" s="15" t="s">
        <v>172</v>
      </c>
      <c r="BR592" s="15" t="s">
        <v>234</v>
      </c>
      <c r="BS592" s="15" t="s">
        <v>234</v>
      </c>
      <c r="BT592" s="15" t="s">
        <v>138</v>
      </c>
      <c r="BU592" s="15" t="s">
        <v>174</v>
      </c>
      <c r="BV592" s="15" t="s">
        <v>138</v>
      </c>
      <c r="BW592" s="15" t="s">
        <v>138</v>
      </c>
      <c r="BX592" s="15" t="s">
        <v>138</v>
      </c>
      <c r="BY592" s="15" t="s">
        <v>175</v>
      </c>
      <c r="BZ592" s="22">
        <v>43235</v>
      </c>
      <c r="CA592" s="17">
        <v>1.92</v>
      </c>
      <c r="CB592" s="15" t="s">
        <v>172</v>
      </c>
      <c r="CC592" s="17">
        <v>6.42</v>
      </c>
      <c r="CD592" s="15" t="s">
        <v>172</v>
      </c>
      <c r="CE592" s="15" t="s">
        <v>234</v>
      </c>
      <c r="CF592" s="15" t="s">
        <v>234</v>
      </c>
      <c r="CG592" s="15" t="s">
        <v>138</v>
      </c>
      <c r="CH592" s="15" t="s">
        <v>174</v>
      </c>
      <c r="CI592" s="15" t="s">
        <v>138</v>
      </c>
      <c r="CJ592" s="15" t="s">
        <v>138</v>
      </c>
      <c r="CK592" s="15" t="s">
        <v>138</v>
      </c>
      <c r="CL592" s="15" t="s">
        <v>175</v>
      </c>
      <c r="CM592" s="22" t="s">
        <v>138</v>
      </c>
      <c r="CN592" s="17" t="s">
        <v>138</v>
      </c>
      <c r="CO592" s="23">
        <v>-0.57999999999999996</v>
      </c>
      <c r="CP592" s="24">
        <v>15</v>
      </c>
      <c r="CQ592" s="23">
        <v>0.03</v>
      </c>
      <c r="CR592" s="23">
        <v>4.6100000000000003</v>
      </c>
      <c r="CS592" s="23">
        <v>-3.36</v>
      </c>
      <c r="CT592" s="24">
        <v>4</v>
      </c>
      <c r="CU592" s="23">
        <v>0.32</v>
      </c>
      <c r="CV592" s="24">
        <v>88</v>
      </c>
      <c r="CW592" s="23">
        <v>-6.72</v>
      </c>
      <c r="CX592" s="24">
        <v>2</v>
      </c>
      <c r="CY592" s="23">
        <v>0</v>
      </c>
      <c r="CZ592" s="24">
        <v>25</v>
      </c>
      <c r="DA592" s="23">
        <v>0.32</v>
      </c>
      <c r="DB592" s="24">
        <v>89</v>
      </c>
      <c r="DC592" s="25">
        <v>14.34</v>
      </c>
      <c r="DD592" s="24">
        <v>93</v>
      </c>
      <c r="DE592" s="25">
        <v>0.55000000000000004</v>
      </c>
      <c r="DF592" s="23">
        <v>4.01</v>
      </c>
      <c r="DG592" s="25">
        <v>4.32</v>
      </c>
      <c r="DH592" s="24">
        <v>80</v>
      </c>
      <c r="DI592" s="25">
        <v>1.87</v>
      </c>
      <c r="DJ592" s="24">
        <v>61</v>
      </c>
      <c r="DK592" s="25">
        <v>6.01</v>
      </c>
      <c r="DL592" s="24">
        <v>81</v>
      </c>
      <c r="DM592" s="25">
        <v>2.62</v>
      </c>
      <c r="DN592" s="24">
        <v>71</v>
      </c>
      <c r="DO592" s="25">
        <v>1.87</v>
      </c>
      <c r="DP592" s="24">
        <v>62</v>
      </c>
      <c r="DQ592" s="24">
        <v>2085</v>
      </c>
      <c r="DR592" s="26">
        <v>-66</v>
      </c>
      <c r="DS592" s="23">
        <v>-3.07</v>
      </c>
      <c r="DT592" s="24">
        <v>76</v>
      </c>
      <c r="DU592" s="26">
        <v>-2</v>
      </c>
      <c r="DV592" s="23">
        <v>-2.56</v>
      </c>
      <c r="DW592" s="24">
        <v>667</v>
      </c>
      <c r="DX592" s="27">
        <v>5</v>
      </c>
      <c r="DY592" s="23">
        <v>0.76</v>
      </c>
      <c r="DZ592" s="15" t="s">
        <v>178</v>
      </c>
      <c r="EA592" s="22">
        <v>43351</v>
      </c>
      <c r="EB592" s="17">
        <v>6.42</v>
      </c>
      <c r="EC592" s="22">
        <v>43235</v>
      </c>
      <c r="ED592" s="15" t="s">
        <v>234</v>
      </c>
      <c r="EE592" s="14" t="str">
        <f>HYPERLINK("https://my.pitchbook.com?c=162876-34", "View company online")</f>
        <v>View company online</v>
      </c>
    </row>
    <row r="593" spans="1:135">
      <c r="A593" s="28" t="s">
        <v>12012</v>
      </c>
      <c r="B593" s="28" t="s">
        <v>12013</v>
      </c>
      <c r="C593" s="28" t="s">
        <v>138</v>
      </c>
      <c r="D593" s="28" t="s">
        <v>138</v>
      </c>
      <c r="E593" s="28" t="s">
        <v>138</v>
      </c>
      <c r="F593" s="28" t="s">
        <v>12012</v>
      </c>
      <c r="G593" s="28" t="s">
        <v>12014</v>
      </c>
      <c r="H593" s="28" t="s">
        <v>141</v>
      </c>
      <c r="I593" s="28" t="s">
        <v>212</v>
      </c>
      <c r="J593" s="28" t="s">
        <v>1257</v>
      </c>
      <c r="K593" s="28" t="s">
        <v>12015</v>
      </c>
      <c r="L593" s="28" t="s">
        <v>4640</v>
      </c>
      <c r="M593" s="28" t="s">
        <v>12016</v>
      </c>
      <c r="N593" s="28" t="s">
        <v>147</v>
      </c>
      <c r="O593" s="29">
        <v>2.5</v>
      </c>
      <c r="P593" s="28" t="s">
        <v>148</v>
      </c>
      <c r="Q593" s="28" t="s">
        <v>149</v>
      </c>
      <c r="R593" s="28" t="s">
        <v>174</v>
      </c>
      <c r="S593" s="28" t="s">
        <v>12017</v>
      </c>
      <c r="T593" s="30" t="s">
        <v>138</v>
      </c>
      <c r="U593" s="28" t="s">
        <v>138</v>
      </c>
      <c r="V593" s="28" t="s">
        <v>138</v>
      </c>
      <c r="W593" s="28" t="s">
        <v>138</v>
      </c>
      <c r="X593" s="31">
        <v>2017</v>
      </c>
      <c r="Y593" s="28" t="s">
        <v>138</v>
      </c>
      <c r="Z593" s="28" t="s">
        <v>138</v>
      </c>
      <c r="AA593" s="28" t="s">
        <v>138</v>
      </c>
      <c r="AB593" s="32" t="s">
        <v>138</v>
      </c>
      <c r="AC593" s="32" t="s">
        <v>138</v>
      </c>
      <c r="AD593" s="32" t="s">
        <v>138</v>
      </c>
      <c r="AE593" s="32" t="s">
        <v>138</v>
      </c>
      <c r="AF593" s="32" t="s">
        <v>138</v>
      </c>
      <c r="AG593" s="28" t="s">
        <v>138</v>
      </c>
      <c r="AH593" s="32" t="s">
        <v>138</v>
      </c>
      <c r="AI593" s="32" t="s">
        <v>138</v>
      </c>
      <c r="AJ593" s="32" t="s">
        <v>138</v>
      </c>
      <c r="AK593" s="28" t="s">
        <v>12018</v>
      </c>
      <c r="AL593" s="28" t="s">
        <v>12019</v>
      </c>
      <c r="AM593" s="28" t="s">
        <v>12020</v>
      </c>
      <c r="AN593" s="28" t="s">
        <v>138</v>
      </c>
      <c r="AO593" s="28" t="s">
        <v>138</v>
      </c>
      <c r="AP593" s="28" t="s">
        <v>1870</v>
      </c>
      <c r="AQ593" s="28" t="s">
        <v>12021</v>
      </c>
      <c r="AR593" s="28" t="s">
        <v>138</v>
      </c>
      <c r="AS593" s="28" t="s">
        <v>1872</v>
      </c>
      <c r="AT593" s="28" t="s">
        <v>200</v>
      </c>
      <c r="AU593" s="28" t="s">
        <v>10934</v>
      </c>
      <c r="AV593" s="28" t="s">
        <v>162</v>
      </c>
      <c r="AW593" s="28" t="s">
        <v>138</v>
      </c>
      <c r="AX593" s="28" t="s">
        <v>138</v>
      </c>
      <c r="AY593" s="28" t="s">
        <v>138</v>
      </c>
      <c r="AZ593" s="28" t="s">
        <v>164</v>
      </c>
      <c r="BA593" s="28" t="s">
        <v>165</v>
      </c>
      <c r="BB593" s="28" t="s">
        <v>12022</v>
      </c>
      <c r="BC593" s="28" t="s">
        <v>12023</v>
      </c>
      <c r="BD593" s="33">
        <v>5</v>
      </c>
      <c r="BE593" s="28" t="s">
        <v>138</v>
      </c>
      <c r="BF593" s="28" t="s">
        <v>138</v>
      </c>
      <c r="BG593" s="28" t="s">
        <v>138</v>
      </c>
      <c r="BH593" s="28" t="s">
        <v>12024</v>
      </c>
      <c r="BI593" s="28" t="s">
        <v>138</v>
      </c>
      <c r="BJ593" s="28" t="s">
        <v>138</v>
      </c>
      <c r="BK593" s="28" t="s">
        <v>138</v>
      </c>
      <c r="BL593" s="28" t="s">
        <v>138</v>
      </c>
      <c r="BM593" s="34">
        <v>42959</v>
      </c>
      <c r="BN593" s="29">
        <v>2.5</v>
      </c>
      <c r="BO593" s="28" t="s">
        <v>172</v>
      </c>
      <c r="BP593" s="29">
        <v>10</v>
      </c>
      <c r="BQ593" s="28" t="s">
        <v>172</v>
      </c>
      <c r="BR593" s="28" t="s">
        <v>234</v>
      </c>
      <c r="BS593" s="28" t="s">
        <v>234</v>
      </c>
      <c r="BT593" s="28" t="s">
        <v>138</v>
      </c>
      <c r="BU593" s="28" t="s">
        <v>174</v>
      </c>
      <c r="BV593" s="28" t="s">
        <v>138</v>
      </c>
      <c r="BW593" s="28" t="s">
        <v>138</v>
      </c>
      <c r="BX593" s="28" t="s">
        <v>138</v>
      </c>
      <c r="BY593" s="28" t="s">
        <v>175</v>
      </c>
      <c r="BZ593" s="34">
        <v>42959</v>
      </c>
      <c r="CA593" s="29">
        <v>2.5</v>
      </c>
      <c r="CB593" s="28" t="s">
        <v>172</v>
      </c>
      <c r="CC593" s="29">
        <v>10</v>
      </c>
      <c r="CD593" s="28" t="s">
        <v>172</v>
      </c>
      <c r="CE593" s="28" t="s">
        <v>234</v>
      </c>
      <c r="CF593" s="28" t="s">
        <v>234</v>
      </c>
      <c r="CG593" s="28" t="s">
        <v>138</v>
      </c>
      <c r="CH593" s="28" t="s">
        <v>174</v>
      </c>
      <c r="CI593" s="28" t="s">
        <v>138</v>
      </c>
      <c r="CJ593" s="28" t="s">
        <v>138</v>
      </c>
      <c r="CK593" s="28" t="s">
        <v>138</v>
      </c>
      <c r="CL593" s="28" t="s">
        <v>175</v>
      </c>
      <c r="CM593" s="34" t="s">
        <v>138</v>
      </c>
      <c r="CN593" s="29" t="s">
        <v>138</v>
      </c>
      <c r="CO593" s="35">
        <v>0</v>
      </c>
      <c r="CP593" s="36">
        <v>26</v>
      </c>
      <c r="CQ593" s="35">
        <v>0</v>
      </c>
      <c r="CR593" s="35">
        <v>0</v>
      </c>
      <c r="CS593" s="35">
        <v>0</v>
      </c>
      <c r="CT593" s="36">
        <v>23</v>
      </c>
      <c r="CU593" s="35" t="s">
        <v>138</v>
      </c>
      <c r="CV593" s="36" t="s">
        <v>138</v>
      </c>
      <c r="CW593" s="35">
        <v>0</v>
      </c>
      <c r="CX593" s="36">
        <v>13</v>
      </c>
      <c r="CY593" s="35" t="s">
        <v>138</v>
      </c>
      <c r="CZ593" s="36" t="s">
        <v>138</v>
      </c>
      <c r="DA593" s="35" t="s">
        <v>138</v>
      </c>
      <c r="DB593" s="36" t="s">
        <v>138</v>
      </c>
      <c r="DC593" s="37">
        <v>2.14</v>
      </c>
      <c r="DD593" s="36">
        <v>68</v>
      </c>
      <c r="DE593" s="37">
        <v>-0.27</v>
      </c>
      <c r="DF593" s="35">
        <v>-11.37</v>
      </c>
      <c r="DG593" s="37">
        <v>2.14</v>
      </c>
      <c r="DH593" s="36">
        <v>68</v>
      </c>
      <c r="DI593" s="37" t="s">
        <v>138</v>
      </c>
      <c r="DJ593" s="36" t="s">
        <v>138</v>
      </c>
      <c r="DK593" s="37">
        <v>2.14</v>
      </c>
      <c r="DL593" s="36">
        <v>66</v>
      </c>
      <c r="DM593" s="37" t="s">
        <v>138</v>
      </c>
      <c r="DN593" s="36" t="s">
        <v>138</v>
      </c>
      <c r="DO593" s="37" t="s">
        <v>138</v>
      </c>
      <c r="DP593" s="36" t="s">
        <v>138</v>
      </c>
      <c r="DQ593" s="36">
        <v>722</v>
      </c>
      <c r="DR593" s="38">
        <v>33</v>
      </c>
      <c r="DS593" s="35">
        <v>4.79</v>
      </c>
      <c r="DT593" s="36" t="s">
        <v>138</v>
      </c>
      <c r="DU593" s="38" t="s">
        <v>138</v>
      </c>
      <c r="DV593" s="35" t="s">
        <v>138</v>
      </c>
      <c r="DW593" s="36" t="s">
        <v>138</v>
      </c>
      <c r="DX593" s="39" t="s">
        <v>138</v>
      </c>
      <c r="DY593" s="35" t="s">
        <v>138</v>
      </c>
      <c r="DZ593" s="28" t="s">
        <v>178</v>
      </c>
      <c r="EA593" s="34">
        <v>43602</v>
      </c>
      <c r="EB593" s="29">
        <v>10</v>
      </c>
      <c r="EC593" s="34">
        <v>42959</v>
      </c>
      <c r="ED593" s="28" t="s">
        <v>234</v>
      </c>
      <c r="EE593" s="40" t="str">
        <f>HYPERLINK("https://my.pitchbook.com?c=179645-86", "View company online")</f>
        <v>View company online</v>
      </c>
    </row>
    <row r="594" spans="1:135">
      <c r="A594" s="15" t="s">
        <v>12025</v>
      </c>
      <c r="B594" s="15" t="s">
        <v>12026</v>
      </c>
      <c r="C594" s="15" t="s">
        <v>138</v>
      </c>
      <c r="D594" s="15" t="s">
        <v>138</v>
      </c>
      <c r="E594" s="15" t="s">
        <v>12027</v>
      </c>
      <c r="F594" s="15" t="s">
        <v>12025</v>
      </c>
      <c r="G594" s="15" t="s">
        <v>12028</v>
      </c>
      <c r="H594" s="15" t="s">
        <v>322</v>
      </c>
      <c r="I594" s="15" t="s">
        <v>323</v>
      </c>
      <c r="J594" s="15" t="s">
        <v>324</v>
      </c>
      <c r="K594" s="15" t="s">
        <v>12029</v>
      </c>
      <c r="L594" s="15" t="s">
        <v>12030</v>
      </c>
      <c r="M594" s="15" t="s">
        <v>12031</v>
      </c>
      <c r="N594" s="15" t="s">
        <v>147</v>
      </c>
      <c r="O594" s="17">
        <v>30.07</v>
      </c>
      <c r="P594" s="15" t="s">
        <v>148</v>
      </c>
      <c r="Q594" s="15" t="s">
        <v>149</v>
      </c>
      <c r="R594" s="15" t="s">
        <v>174</v>
      </c>
      <c r="S594" s="15" t="s">
        <v>12032</v>
      </c>
      <c r="T594" s="18">
        <v>43</v>
      </c>
      <c r="U594" s="15" t="s">
        <v>12033</v>
      </c>
      <c r="V594" s="15" t="s">
        <v>138</v>
      </c>
      <c r="W594" s="15" t="s">
        <v>138</v>
      </c>
      <c r="X594" s="19">
        <v>2013</v>
      </c>
      <c r="Y594" s="15" t="s">
        <v>138</v>
      </c>
      <c r="Z594" s="15" t="s">
        <v>138</v>
      </c>
      <c r="AA594" s="15" t="s">
        <v>138</v>
      </c>
      <c r="AB594" s="20">
        <v>0.03</v>
      </c>
      <c r="AC594" s="20" t="s">
        <v>138</v>
      </c>
      <c r="AD594" s="20" t="s">
        <v>138</v>
      </c>
      <c r="AE594" s="20" t="s">
        <v>138</v>
      </c>
      <c r="AF594" s="20" t="s">
        <v>138</v>
      </c>
      <c r="AG594" s="15" t="s">
        <v>815</v>
      </c>
      <c r="AH594" s="20" t="s">
        <v>138</v>
      </c>
      <c r="AI594" s="20" t="s">
        <v>138</v>
      </c>
      <c r="AJ594" s="20" t="s">
        <v>138</v>
      </c>
      <c r="AK594" s="15" t="s">
        <v>12034</v>
      </c>
      <c r="AL594" s="15" t="s">
        <v>12035</v>
      </c>
      <c r="AM594" s="15" t="s">
        <v>12036</v>
      </c>
      <c r="AN594" s="15" t="s">
        <v>12037</v>
      </c>
      <c r="AO594" s="15" t="s">
        <v>12038</v>
      </c>
      <c r="AP594" s="15" t="s">
        <v>12039</v>
      </c>
      <c r="AQ594" s="15" t="s">
        <v>12040</v>
      </c>
      <c r="AR594" s="15" t="s">
        <v>12041</v>
      </c>
      <c r="AS594" s="15" t="s">
        <v>12042</v>
      </c>
      <c r="AT594" s="15" t="s">
        <v>12043</v>
      </c>
      <c r="AU594" s="15" t="s">
        <v>12044</v>
      </c>
      <c r="AV594" s="15" t="s">
        <v>2742</v>
      </c>
      <c r="AW594" s="15" t="s">
        <v>12038</v>
      </c>
      <c r="AX594" s="15" t="s">
        <v>138</v>
      </c>
      <c r="AY594" s="15" t="s">
        <v>12045</v>
      </c>
      <c r="AZ594" s="15" t="s">
        <v>164</v>
      </c>
      <c r="BA594" s="15" t="s">
        <v>165</v>
      </c>
      <c r="BB594" s="15" t="s">
        <v>12046</v>
      </c>
      <c r="BC594" s="15" t="s">
        <v>12047</v>
      </c>
      <c r="BD594" s="21">
        <v>12</v>
      </c>
      <c r="BE594" s="15" t="s">
        <v>138</v>
      </c>
      <c r="BF594" s="15" t="s">
        <v>138</v>
      </c>
      <c r="BG594" s="15" t="s">
        <v>138</v>
      </c>
      <c r="BH594" s="15" t="s">
        <v>12048</v>
      </c>
      <c r="BI594" s="15" t="s">
        <v>138</v>
      </c>
      <c r="BJ594" s="15" t="s">
        <v>138</v>
      </c>
      <c r="BK594" s="15" t="s">
        <v>12049</v>
      </c>
      <c r="BL594" s="15" t="s">
        <v>12050</v>
      </c>
      <c r="BM594" s="22">
        <v>41275</v>
      </c>
      <c r="BN594" s="17" t="s">
        <v>138</v>
      </c>
      <c r="BO594" s="15" t="s">
        <v>138</v>
      </c>
      <c r="BP594" s="17" t="s">
        <v>138</v>
      </c>
      <c r="BQ594" s="15" t="s">
        <v>138</v>
      </c>
      <c r="BR594" s="15" t="s">
        <v>316</v>
      </c>
      <c r="BS594" s="15" t="s">
        <v>138</v>
      </c>
      <c r="BT594" s="15" t="s">
        <v>138</v>
      </c>
      <c r="BU594" s="15" t="s">
        <v>177</v>
      </c>
      <c r="BV594" s="15" t="s">
        <v>138</v>
      </c>
      <c r="BW594" s="15" t="s">
        <v>138</v>
      </c>
      <c r="BX594" s="15" t="s">
        <v>138</v>
      </c>
      <c r="BY594" s="15" t="s">
        <v>175</v>
      </c>
      <c r="BZ594" s="22">
        <v>43228</v>
      </c>
      <c r="CA594" s="17">
        <v>14</v>
      </c>
      <c r="CB594" s="15" t="s">
        <v>172</v>
      </c>
      <c r="CC594" s="17" t="s">
        <v>138</v>
      </c>
      <c r="CD594" s="15" t="s">
        <v>138</v>
      </c>
      <c r="CE594" s="15" t="s">
        <v>173</v>
      </c>
      <c r="CF594" s="15" t="s">
        <v>317</v>
      </c>
      <c r="CG594" s="15" t="s">
        <v>138</v>
      </c>
      <c r="CH594" s="15" t="s">
        <v>174</v>
      </c>
      <c r="CI594" s="15" t="s">
        <v>138</v>
      </c>
      <c r="CJ594" s="15" t="s">
        <v>138</v>
      </c>
      <c r="CK594" s="15" t="s">
        <v>138</v>
      </c>
      <c r="CL594" s="15" t="s">
        <v>175</v>
      </c>
      <c r="CM594" s="22" t="s">
        <v>138</v>
      </c>
      <c r="CN594" s="17" t="s">
        <v>138</v>
      </c>
      <c r="CO594" s="23" t="s">
        <v>138</v>
      </c>
      <c r="CP594" s="24" t="s">
        <v>138</v>
      </c>
      <c r="CQ594" s="23" t="s">
        <v>138</v>
      </c>
      <c r="CR594" s="23" t="s">
        <v>138</v>
      </c>
      <c r="CS594" s="23" t="s">
        <v>138</v>
      </c>
      <c r="CT594" s="24" t="s">
        <v>138</v>
      </c>
      <c r="CU594" s="23" t="s">
        <v>138</v>
      </c>
      <c r="CV594" s="24" t="s">
        <v>138</v>
      </c>
      <c r="CW594" s="23" t="s">
        <v>138</v>
      </c>
      <c r="CX594" s="24" t="s">
        <v>138</v>
      </c>
      <c r="CY594" s="23" t="s">
        <v>138</v>
      </c>
      <c r="CZ594" s="24" t="s">
        <v>138</v>
      </c>
      <c r="DA594" s="23" t="s">
        <v>138</v>
      </c>
      <c r="DB594" s="24" t="s">
        <v>138</v>
      </c>
      <c r="DC594" s="25" t="s">
        <v>138</v>
      </c>
      <c r="DD594" s="24" t="s">
        <v>138</v>
      </c>
      <c r="DE594" s="25" t="s">
        <v>138</v>
      </c>
      <c r="DF594" s="23" t="s">
        <v>138</v>
      </c>
      <c r="DG594" s="25" t="s">
        <v>138</v>
      </c>
      <c r="DH594" s="24" t="s">
        <v>138</v>
      </c>
      <c r="DI594" s="25" t="s">
        <v>138</v>
      </c>
      <c r="DJ594" s="24" t="s">
        <v>138</v>
      </c>
      <c r="DK594" s="25" t="s">
        <v>138</v>
      </c>
      <c r="DL594" s="24" t="s">
        <v>138</v>
      </c>
      <c r="DM594" s="25" t="s">
        <v>138</v>
      </c>
      <c r="DN594" s="24" t="s">
        <v>138</v>
      </c>
      <c r="DO594" s="25" t="s">
        <v>138</v>
      </c>
      <c r="DP594" s="24" t="s">
        <v>138</v>
      </c>
      <c r="DQ594" s="24" t="s">
        <v>138</v>
      </c>
      <c r="DR594" s="26" t="s">
        <v>138</v>
      </c>
      <c r="DS594" s="23" t="s">
        <v>138</v>
      </c>
      <c r="DT594" s="24" t="s">
        <v>138</v>
      </c>
      <c r="DU594" s="26" t="s">
        <v>138</v>
      </c>
      <c r="DV594" s="23" t="s">
        <v>138</v>
      </c>
      <c r="DW594" s="24" t="s">
        <v>138</v>
      </c>
      <c r="DX594" s="27" t="s">
        <v>138</v>
      </c>
      <c r="DY594" s="23" t="s">
        <v>138</v>
      </c>
      <c r="DZ594" s="15" t="s">
        <v>178</v>
      </c>
      <c r="EA594" s="22">
        <v>43571</v>
      </c>
      <c r="EB594" s="17">
        <v>30.35</v>
      </c>
      <c r="EC594" s="22">
        <v>42487</v>
      </c>
      <c r="ED594" s="15" t="s">
        <v>205</v>
      </c>
      <c r="EE594" s="14" t="str">
        <f>HYPERLINK("https://my.pitchbook.com?c=62065-63", "View company online")</f>
        <v>View company online</v>
      </c>
    </row>
    <row r="595" spans="1:135">
      <c r="A595" s="28" t="s">
        <v>12051</v>
      </c>
      <c r="B595" s="28" t="s">
        <v>12052</v>
      </c>
      <c r="C595" s="28" t="s">
        <v>138</v>
      </c>
      <c r="D595" s="28" t="s">
        <v>138</v>
      </c>
      <c r="E595" s="28" t="s">
        <v>12053</v>
      </c>
      <c r="F595" s="28" t="s">
        <v>12051</v>
      </c>
      <c r="G595" s="28" t="s">
        <v>12054</v>
      </c>
      <c r="H595" s="28" t="s">
        <v>322</v>
      </c>
      <c r="I595" s="28" t="s">
        <v>323</v>
      </c>
      <c r="J595" s="28" t="s">
        <v>324</v>
      </c>
      <c r="K595" s="28" t="s">
        <v>12055</v>
      </c>
      <c r="L595" s="28" t="s">
        <v>215</v>
      </c>
      <c r="M595" s="28" t="s">
        <v>12056</v>
      </c>
      <c r="N595" s="28" t="s">
        <v>147</v>
      </c>
      <c r="O595" s="29">
        <v>31.72</v>
      </c>
      <c r="P595" s="28" t="s">
        <v>148</v>
      </c>
      <c r="Q595" s="28" t="s">
        <v>149</v>
      </c>
      <c r="R595" s="28" t="s">
        <v>244</v>
      </c>
      <c r="S595" s="28" t="s">
        <v>12057</v>
      </c>
      <c r="T595" s="30">
        <v>131</v>
      </c>
      <c r="U595" s="28" t="s">
        <v>12058</v>
      </c>
      <c r="V595" s="28" t="s">
        <v>138</v>
      </c>
      <c r="W595" s="28" t="s">
        <v>138</v>
      </c>
      <c r="X595" s="31">
        <v>2010</v>
      </c>
      <c r="Y595" s="28" t="s">
        <v>138</v>
      </c>
      <c r="Z595" s="28" t="s">
        <v>138</v>
      </c>
      <c r="AA595" s="28" t="s">
        <v>138</v>
      </c>
      <c r="AB595" s="32" t="s">
        <v>138</v>
      </c>
      <c r="AC595" s="32" t="s">
        <v>138</v>
      </c>
      <c r="AD595" s="32" t="s">
        <v>138</v>
      </c>
      <c r="AE595" s="32" t="s">
        <v>138</v>
      </c>
      <c r="AF595" s="32" t="s">
        <v>138</v>
      </c>
      <c r="AG595" s="28" t="s">
        <v>138</v>
      </c>
      <c r="AH595" s="32" t="s">
        <v>138</v>
      </c>
      <c r="AI595" s="32" t="s">
        <v>138</v>
      </c>
      <c r="AJ595" s="32" t="s">
        <v>138</v>
      </c>
      <c r="AK595" s="28" t="s">
        <v>12059</v>
      </c>
      <c r="AL595" s="28" t="s">
        <v>12060</v>
      </c>
      <c r="AM595" s="28" t="s">
        <v>1632</v>
      </c>
      <c r="AN595" s="28" t="s">
        <v>12061</v>
      </c>
      <c r="AO595" s="28" t="s">
        <v>12062</v>
      </c>
      <c r="AP595" s="28" t="s">
        <v>12063</v>
      </c>
      <c r="AQ595" s="28" t="s">
        <v>12064</v>
      </c>
      <c r="AR595" s="28" t="s">
        <v>5792</v>
      </c>
      <c r="AS595" s="28" t="s">
        <v>12065</v>
      </c>
      <c r="AT595" s="28" t="s">
        <v>200</v>
      </c>
      <c r="AU595" s="28" t="s">
        <v>12066</v>
      </c>
      <c r="AV595" s="28" t="s">
        <v>162</v>
      </c>
      <c r="AW595" s="28" t="s">
        <v>12062</v>
      </c>
      <c r="AX595" s="28" t="s">
        <v>138</v>
      </c>
      <c r="AY595" s="28" t="s">
        <v>12067</v>
      </c>
      <c r="AZ595" s="28" t="s">
        <v>164</v>
      </c>
      <c r="BA595" s="28" t="s">
        <v>165</v>
      </c>
      <c r="BB595" s="28" t="s">
        <v>12068</v>
      </c>
      <c r="BC595" s="28" t="s">
        <v>12069</v>
      </c>
      <c r="BD595" s="33">
        <v>11</v>
      </c>
      <c r="BE595" s="28" t="s">
        <v>138</v>
      </c>
      <c r="BF595" s="28" t="s">
        <v>138</v>
      </c>
      <c r="BG595" s="28" t="s">
        <v>138</v>
      </c>
      <c r="BH595" s="28" t="s">
        <v>12070</v>
      </c>
      <c r="BI595" s="28" t="s">
        <v>138</v>
      </c>
      <c r="BJ595" s="28" t="s">
        <v>138</v>
      </c>
      <c r="BK595" s="28" t="s">
        <v>138</v>
      </c>
      <c r="BL595" s="28" t="s">
        <v>12071</v>
      </c>
      <c r="BM595" s="34">
        <v>40544</v>
      </c>
      <c r="BN595" s="29" t="s">
        <v>138</v>
      </c>
      <c r="BO595" s="28" t="s">
        <v>138</v>
      </c>
      <c r="BP595" s="29" t="s">
        <v>138</v>
      </c>
      <c r="BQ595" s="28" t="s">
        <v>138</v>
      </c>
      <c r="BR595" s="28" t="s">
        <v>316</v>
      </c>
      <c r="BS595" s="28" t="s">
        <v>138</v>
      </c>
      <c r="BT595" s="28" t="s">
        <v>138</v>
      </c>
      <c r="BU595" s="28" t="s">
        <v>177</v>
      </c>
      <c r="BV595" s="28" t="s">
        <v>138</v>
      </c>
      <c r="BW595" s="28" t="s">
        <v>138</v>
      </c>
      <c r="BX595" s="28" t="s">
        <v>138</v>
      </c>
      <c r="BY595" s="28" t="s">
        <v>175</v>
      </c>
      <c r="BZ595" s="34">
        <v>43191</v>
      </c>
      <c r="CA595" s="29">
        <v>3</v>
      </c>
      <c r="CB595" s="28" t="s">
        <v>172</v>
      </c>
      <c r="CC595" s="29" t="s">
        <v>138</v>
      </c>
      <c r="CD595" s="28" t="s">
        <v>138</v>
      </c>
      <c r="CE595" s="28" t="s">
        <v>1326</v>
      </c>
      <c r="CF595" s="28" t="s">
        <v>138</v>
      </c>
      <c r="CG595" s="28" t="s">
        <v>138</v>
      </c>
      <c r="CH595" s="28" t="s">
        <v>1327</v>
      </c>
      <c r="CI595" s="28" t="s">
        <v>1498</v>
      </c>
      <c r="CJ595" s="28" t="s">
        <v>1397</v>
      </c>
      <c r="CK595" s="28" t="s">
        <v>138</v>
      </c>
      <c r="CL595" s="28" t="s">
        <v>175</v>
      </c>
      <c r="CM595" s="34">
        <v>43191</v>
      </c>
      <c r="CN595" s="29">
        <v>2</v>
      </c>
      <c r="CO595" s="35">
        <v>-0.39</v>
      </c>
      <c r="CP595" s="36">
        <v>17</v>
      </c>
      <c r="CQ595" s="35">
        <v>7.0000000000000007E-2</v>
      </c>
      <c r="CR595" s="35">
        <v>14.43</v>
      </c>
      <c r="CS595" s="35">
        <v>-0.83</v>
      </c>
      <c r="CT595" s="36">
        <v>16</v>
      </c>
      <c r="CU595" s="35">
        <v>0.06</v>
      </c>
      <c r="CV595" s="36">
        <v>60</v>
      </c>
      <c r="CW595" s="35">
        <v>0</v>
      </c>
      <c r="CX595" s="36">
        <v>13</v>
      </c>
      <c r="CY595" s="35">
        <v>-1.66</v>
      </c>
      <c r="CZ595" s="36">
        <v>14</v>
      </c>
      <c r="DA595" s="35">
        <v>0</v>
      </c>
      <c r="DB595" s="36">
        <v>22</v>
      </c>
      <c r="DC595" s="37">
        <v>4.8</v>
      </c>
      <c r="DD595" s="36">
        <v>82</v>
      </c>
      <c r="DE595" s="37">
        <v>-0.02</v>
      </c>
      <c r="DF595" s="35">
        <v>-0.48</v>
      </c>
      <c r="DG595" s="37">
        <v>4.25</v>
      </c>
      <c r="DH595" s="36">
        <v>80</v>
      </c>
      <c r="DI595" s="37">
        <v>5.36</v>
      </c>
      <c r="DJ595" s="36">
        <v>78</v>
      </c>
      <c r="DK595" s="37">
        <v>1.52</v>
      </c>
      <c r="DL595" s="36">
        <v>59</v>
      </c>
      <c r="DM595" s="37">
        <v>6.97</v>
      </c>
      <c r="DN595" s="36">
        <v>85</v>
      </c>
      <c r="DO595" s="37">
        <v>10.33</v>
      </c>
      <c r="DP595" s="36">
        <v>88</v>
      </c>
      <c r="DQ595" s="36">
        <v>534</v>
      </c>
      <c r="DR595" s="38">
        <v>-35</v>
      </c>
      <c r="DS595" s="35">
        <v>-6.15</v>
      </c>
      <c r="DT595" s="36">
        <v>201</v>
      </c>
      <c r="DU595" s="38">
        <v>2</v>
      </c>
      <c r="DV595" s="35">
        <v>1.01</v>
      </c>
      <c r="DW595" s="36">
        <v>3698</v>
      </c>
      <c r="DX595" s="39">
        <v>4</v>
      </c>
      <c r="DY595" s="35">
        <v>0.11</v>
      </c>
      <c r="DZ595" s="28" t="s">
        <v>178</v>
      </c>
      <c r="EA595" s="34">
        <v>43580</v>
      </c>
      <c r="EB595" s="29">
        <v>40</v>
      </c>
      <c r="EC595" s="34">
        <v>43065</v>
      </c>
      <c r="ED595" s="28" t="s">
        <v>173</v>
      </c>
      <c r="EE595" s="40" t="str">
        <f>HYPERLINK("https://my.pitchbook.com?c=57649-24", "View company online")</f>
        <v>View company online</v>
      </c>
    </row>
    <row r="596" spans="1:135">
      <c r="A596" s="15" t="s">
        <v>12072</v>
      </c>
      <c r="B596" s="15" t="s">
        <v>12073</v>
      </c>
      <c r="C596" s="15" t="s">
        <v>138</v>
      </c>
      <c r="D596" s="15" t="s">
        <v>138</v>
      </c>
      <c r="E596" s="15" t="s">
        <v>138</v>
      </c>
      <c r="F596" s="15" t="s">
        <v>12072</v>
      </c>
      <c r="G596" s="15" t="s">
        <v>12074</v>
      </c>
      <c r="H596" s="15" t="s">
        <v>322</v>
      </c>
      <c r="I596" s="15" t="s">
        <v>323</v>
      </c>
      <c r="J596" s="15" t="s">
        <v>1084</v>
      </c>
      <c r="K596" s="15" t="s">
        <v>12075</v>
      </c>
      <c r="L596" s="15" t="s">
        <v>2255</v>
      </c>
      <c r="M596" s="15" t="s">
        <v>12076</v>
      </c>
      <c r="N596" s="15" t="s">
        <v>542</v>
      </c>
      <c r="O596" s="17" t="s">
        <v>138</v>
      </c>
      <c r="P596" s="15" t="s">
        <v>189</v>
      </c>
      <c r="Q596" s="15" t="s">
        <v>149</v>
      </c>
      <c r="R596" s="15" t="s">
        <v>174</v>
      </c>
      <c r="S596" s="15" t="s">
        <v>12077</v>
      </c>
      <c r="T596" s="18" t="s">
        <v>138</v>
      </c>
      <c r="U596" s="15" t="s">
        <v>138</v>
      </c>
      <c r="V596" s="15" t="s">
        <v>138</v>
      </c>
      <c r="W596" s="15" t="s">
        <v>138</v>
      </c>
      <c r="X596" s="19">
        <v>2017</v>
      </c>
      <c r="Y596" s="15" t="s">
        <v>138</v>
      </c>
      <c r="Z596" s="15" t="s">
        <v>138</v>
      </c>
      <c r="AA596" s="15" t="s">
        <v>138</v>
      </c>
      <c r="AB596" s="20" t="s">
        <v>138</v>
      </c>
      <c r="AC596" s="20" t="s">
        <v>138</v>
      </c>
      <c r="AD596" s="20" t="s">
        <v>138</v>
      </c>
      <c r="AE596" s="20" t="s">
        <v>138</v>
      </c>
      <c r="AF596" s="20" t="s">
        <v>138</v>
      </c>
      <c r="AG596" s="15" t="s">
        <v>138</v>
      </c>
      <c r="AH596" s="20" t="s">
        <v>138</v>
      </c>
      <c r="AI596" s="20" t="s">
        <v>138</v>
      </c>
      <c r="AJ596" s="20" t="s">
        <v>138</v>
      </c>
      <c r="AK596" s="15" t="s">
        <v>12078</v>
      </c>
      <c r="AL596" s="15" t="s">
        <v>12079</v>
      </c>
      <c r="AM596" s="15" t="s">
        <v>916</v>
      </c>
      <c r="AN596" s="15" t="s">
        <v>138</v>
      </c>
      <c r="AO596" s="15" t="s">
        <v>138</v>
      </c>
      <c r="AP596" s="15" t="s">
        <v>5697</v>
      </c>
      <c r="AQ596" s="15" t="s">
        <v>138</v>
      </c>
      <c r="AR596" s="15" t="s">
        <v>138</v>
      </c>
      <c r="AS596" s="15" t="s">
        <v>5700</v>
      </c>
      <c r="AT596" s="15" t="s">
        <v>138</v>
      </c>
      <c r="AU596" s="15" t="s">
        <v>138</v>
      </c>
      <c r="AV596" s="15" t="s">
        <v>740</v>
      </c>
      <c r="AW596" s="15" t="s">
        <v>138</v>
      </c>
      <c r="AX596" s="15" t="s">
        <v>138</v>
      </c>
      <c r="AY596" s="15" t="s">
        <v>138</v>
      </c>
      <c r="AZ596" s="15" t="s">
        <v>742</v>
      </c>
      <c r="BA596" s="15" t="s">
        <v>742</v>
      </c>
      <c r="BB596" s="15" t="s">
        <v>3065</v>
      </c>
      <c r="BC596" s="15" t="s">
        <v>3066</v>
      </c>
      <c r="BD596" s="21">
        <v>2</v>
      </c>
      <c r="BE596" s="15" t="s">
        <v>138</v>
      </c>
      <c r="BF596" s="15" t="s">
        <v>138</v>
      </c>
      <c r="BG596" s="15" t="s">
        <v>138</v>
      </c>
      <c r="BH596" s="15" t="s">
        <v>3067</v>
      </c>
      <c r="BI596" s="15" t="s">
        <v>138</v>
      </c>
      <c r="BJ596" s="15" t="s">
        <v>138</v>
      </c>
      <c r="BK596" s="15" t="s">
        <v>138</v>
      </c>
      <c r="BL596" s="15" t="s">
        <v>138</v>
      </c>
      <c r="BM596" s="22" t="s">
        <v>138</v>
      </c>
      <c r="BN596" s="17" t="s">
        <v>138</v>
      </c>
      <c r="BO596" s="15" t="s">
        <v>138</v>
      </c>
      <c r="BP596" s="17" t="s">
        <v>138</v>
      </c>
      <c r="BQ596" s="15" t="s">
        <v>138</v>
      </c>
      <c r="BR596" s="15" t="s">
        <v>316</v>
      </c>
      <c r="BS596" s="15" t="s">
        <v>138</v>
      </c>
      <c r="BT596" s="15" t="s">
        <v>138</v>
      </c>
      <c r="BU596" s="15" t="s">
        <v>177</v>
      </c>
      <c r="BV596" s="15" t="s">
        <v>138</v>
      </c>
      <c r="BW596" s="15" t="s">
        <v>138</v>
      </c>
      <c r="BX596" s="15" t="s">
        <v>138</v>
      </c>
      <c r="BY596" s="15" t="s">
        <v>175</v>
      </c>
      <c r="BZ596" s="22">
        <v>43101</v>
      </c>
      <c r="CA596" s="17" t="s">
        <v>138</v>
      </c>
      <c r="CB596" s="15" t="s">
        <v>138</v>
      </c>
      <c r="CC596" s="17" t="s">
        <v>138</v>
      </c>
      <c r="CD596" s="15" t="s">
        <v>138</v>
      </c>
      <c r="CE596" s="15" t="s">
        <v>316</v>
      </c>
      <c r="CF596" s="15" t="s">
        <v>138</v>
      </c>
      <c r="CG596" s="15" t="s">
        <v>138</v>
      </c>
      <c r="CH596" s="15" t="s">
        <v>177</v>
      </c>
      <c r="CI596" s="15" t="s">
        <v>138</v>
      </c>
      <c r="CJ596" s="15" t="s">
        <v>138</v>
      </c>
      <c r="CK596" s="15" t="s">
        <v>138</v>
      </c>
      <c r="CL596" s="15" t="s">
        <v>175</v>
      </c>
      <c r="CM596" s="22" t="s">
        <v>138</v>
      </c>
      <c r="CN596" s="17" t="s">
        <v>138</v>
      </c>
      <c r="CO596" s="23">
        <v>0</v>
      </c>
      <c r="CP596" s="24">
        <v>26</v>
      </c>
      <c r="CQ596" s="23" t="s">
        <v>138</v>
      </c>
      <c r="CR596" s="23" t="s">
        <v>138</v>
      </c>
      <c r="CS596" s="23">
        <v>0</v>
      </c>
      <c r="CT596" s="24">
        <v>23</v>
      </c>
      <c r="CU596" s="23" t="s">
        <v>138</v>
      </c>
      <c r="CV596" s="24" t="s">
        <v>138</v>
      </c>
      <c r="CW596" s="23" t="s">
        <v>138</v>
      </c>
      <c r="CX596" s="24" t="s">
        <v>138</v>
      </c>
      <c r="CY596" s="23">
        <v>0</v>
      </c>
      <c r="CZ596" s="24">
        <v>25</v>
      </c>
      <c r="DA596" s="23" t="s">
        <v>138</v>
      </c>
      <c r="DB596" s="24" t="s">
        <v>138</v>
      </c>
      <c r="DC596" s="25">
        <v>0.03</v>
      </c>
      <c r="DD596" s="24">
        <v>1</v>
      </c>
      <c r="DE596" s="25" t="s">
        <v>138</v>
      </c>
      <c r="DF596" s="23" t="s">
        <v>138</v>
      </c>
      <c r="DG596" s="25">
        <v>0.03</v>
      </c>
      <c r="DH596" s="24">
        <v>1</v>
      </c>
      <c r="DI596" s="25" t="s">
        <v>138</v>
      </c>
      <c r="DJ596" s="24" t="s">
        <v>138</v>
      </c>
      <c r="DK596" s="25" t="s">
        <v>138</v>
      </c>
      <c r="DL596" s="24" t="s">
        <v>138</v>
      </c>
      <c r="DM596" s="25">
        <v>0.03</v>
      </c>
      <c r="DN596" s="24">
        <v>1</v>
      </c>
      <c r="DO596" s="25" t="s">
        <v>138</v>
      </c>
      <c r="DP596" s="24" t="s">
        <v>138</v>
      </c>
      <c r="DQ596" s="24" t="s">
        <v>138</v>
      </c>
      <c r="DR596" s="26" t="s">
        <v>138</v>
      </c>
      <c r="DS596" s="23" t="s">
        <v>138</v>
      </c>
      <c r="DT596" s="24">
        <v>1</v>
      </c>
      <c r="DU596" s="26">
        <v>0</v>
      </c>
      <c r="DV596" s="23">
        <v>0</v>
      </c>
      <c r="DW596" s="24" t="s">
        <v>138</v>
      </c>
      <c r="DX596" s="27" t="s">
        <v>138</v>
      </c>
      <c r="DY596" s="23" t="s">
        <v>138</v>
      </c>
      <c r="DZ596" s="15" t="s">
        <v>178</v>
      </c>
      <c r="EA596" s="22">
        <v>43622</v>
      </c>
      <c r="EB596" s="17" t="s">
        <v>138</v>
      </c>
      <c r="EC596" s="22" t="s">
        <v>138</v>
      </c>
      <c r="ED596" s="15" t="s">
        <v>138</v>
      </c>
      <c r="EE596" s="14" t="str">
        <f>HYPERLINK("https://my.pitchbook.com?c=234741-43", "View company online")</f>
        <v>View company online</v>
      </c>
    </row>
    <row r="597" spans="1:135">
      <c r="A597" s="28" t="s">
        <v>12080</v>
      </c>
      <c r="B597" s="28" t="s">
        <v>12081</v>
      </c>
      <c r="C597" s="28" t="s">
        <v>138</v>
      </c>
      <c r="D597" s="28" t="s">
        <v>12082</v>
      </c>
      <c r="E597" s="28" t="s">
        <v>12083</v>
      </c>
      <c r="F597" s="28" t="s">
        <v>12080</v>
      </c>
      <c r="G597" s="28" t="s">
        <v>12084</v>
      </c>
      <c r="H597" s="28" t="s">
        <v>238</v>
      </c>
      <c r="I597" s="28" t="s">
        <v>785</v>
      </c>
      <c r="J597" s="28" t="s">
        <v>786</v>
      </c>
      <c r="K597" s="28" t="s">
        <v>4702</v>
      </c>
      <c r="L597" s="28" t="s">
        <v>4703</v>
      </c>
      <c r="M597" s="28" t="s">
        <v>12085</v>
      </c>
      <c r="N597" s="28" t="s">
        <v>147</v>
      </c>
      <c r="O597" s="29">
        <v>521.15</v>
      </c>
      <c r="P597" s="28" t="s">
        <v>812</v>
      </c>
      <c r="Q597" s="28" t="s">
        <v>149</v>
      </c>
      <c r="R597" s="28" t="s">
        <v>244</v>
      </c>
      <c r="S597" s="28" t="s">
        <v>12086</v>
      </c>
      <c r="T597" s="30">
        <v>1800</v>
      </c>
      <c r="U597" s="28" t="s">
        <v>12087</v>
      </c>
      <c r="V597" s="28" t="s">
        <v>138</v>
      </c>
      <c r="W597" s="28" t="s">
        <v>138</v>
      </c>
      <c r="X597" s="31">
        <v>2009</v>
      </c>
      <c r="Y597" s="28" t="s">
        <v>138</v>
      </c>
      <c r="Z597" s="28" t="s">
        <v>138</v>
      </c>
      <c r="AA597" s="28" t="s">
        <v>138</v>
      </c>
      <c r="AB597" s="32">
        <v>100</v>
      </c>
      <c r="AC597" s="32" t="s">
        <v>138</v>
      </c>
      <c r="AD597" s="32" t="s">
        <v>138</v>
      </c>
      <c r="AE597" s="32" t="s">
        <v>138</v>
      </c>
      <c r="AF597" s="32" t="s">
        <v>138</v>
      </c>
      <c r="AG597" s="28" t="s">
        <v>419</v>
      </c>
      <c r="AH597" s="32" t="s">
        <v>138</v>
      </c>
      <c r="AI597" s="32" t="s">
        <v>138</v>
      </c>
      <c r="AJ597" s="32" t="s">
        <v>138</v>
      </c>
      <c r="AK597" s="28" t="s">
        <v>12088</v>
      </c>
      <c r="AL597" s="28" t="s">
        <v>12089</v>
      </c>
      <c r="AM597" s="28" t="s">
        <v>249</v>
      </c>
      <c r="AN597" s="28" t="s">
        <v>12090</v>
      </c>
      <c r="AO597" s="28" t="s">
        <v>12091</v>
      </c>
      <c r="AP597" s="28" t="s">
        <v>423</v>
      </c>
      <c r="AQ597" s="28" t="s">
        <v>12092</v>
      </c>
      <c r="AR597" s="28" t="s">
        <v>618</v>
      </c>
      <c r="AS597" s="28" t="s">
        <v>426</v>
      </c>
      <c r="AT597" s="28" t="s">
        <v>426</v>
      </c>
      <c r="AU597" s="28" t="s">
        <v>921</v>
      </c>
      <c r="AV597" s="28" t="s">
        <v>162</v>
      </c>
      <c r="AW597" s="28" t="s">
        <v>12091</v>
      </c>
      <c r="AX597" s="28" t="s">
        <v>138</v>
      </c>
      <c r="AY597" s="28" t="s">
        <v>12093</v>
      </c>
      <c r="AZ597" s="28" t="s">
        <v>164</v>
      </c>
      <c r="BA597" s="28" t="s">
        <v>165</v>
      </c>
      <c r="BB597" s="28" t="s">
        <v>12094</v>
      </c>
      <c r="BC597" s="28" t="s">
        <v>12095</v>
      </c>
      <c r="BD597" s="33">
        <v>23</v>
      </c>
      <c r="BE597" s="28" t="s">
        <v>138</v>
      </c>
      <c r="BF597" s="28" t="s">
        <v>138</v>
      </c>
      <c r="BG597" s="28" t="s">
        <v>138</v>
      </c>
      <c r="BH597" s="28" t="s">
        <v>12096</v>
      </c>
      <c r="BI597" s="28" t="s">
        <v>138</v>
      </c>
      <c r="BJ597" s="28" t="s">
        <v>138</v>
      </c>
      <c r="BK597" s="28" t="s">
        <v>12097</v>
      </c>
      <c r="BL597" s="28" t="s">
        <v>12098</v>
      </c>
      <c r="BM597" s="34">
        <v>40009</v>
      </c>
      <c r="BN597" s="29">
        <v>1.75</v>
      </c>
      <c r="BO597" s="28" t="s">
        <v>172</v>
      </c>
      <c r="BP597" s="29">
        <v>4.8</v>
      </c>
      <c r="BQ597" s="28" t="s">
        <v>172</v>
      </c>
      <c r="BR597" s="28" t="s">
        <v>234</v>
      </c>
      <c r="BS597" s="28" t="s">
        <v>234</v>
      </c>
      <c r="BT597" s="28" t="s">
        <v>138</v>
      </c>
      <c r="BU597" s="28" t="s">
        <v>174</v>
      </c>
      <c r="BV597" s="28" t="s">
        <v>138</v>
      </c>
      <c r="BW597" s="28" t="s">
        <v>138</v>
      </c>
      <c r="BX597" s="28" t="s">
        <v>138</v>
      </c>
      <c r="BY597" s="28" t="s">
        <v>175</v>
      </c>
      <c r="BZ597" s="34">
        <v>43545</v>
      </c>
      <c r="CA597" s="29">
        <v>125</v>
      </c>
      <c r="CB597" s="28" t="s">
        <v>172</v>
      </c>
      <c r="CC597" s="29">
        <v>1000</v>
      </c>
      <c r="CD597" s="28" t="s">
        <v>172</v>
      </c>
      <c r="CE597" s="28" t="s">
        <v>173</v>
      </c>
      <c r="CF597" s="28" t="s">
        <v>408</v>
      </c>
      <c r="CG597" s="28" t="s">
        <v>138</v>
      </c>
      <c r="CH597" s="28" t="s">
        <v>174</v>
      </c>
      <c r="CI597" s="28" t="s">
        <v>138</v>
      </c>
      <c r="CJ597" s="28" t="s">
        <v>138</v>
      </c>
      <c r="CK597" s="28" t="s">
        <v>138</v>
      </c>
      <c r="CL597" s="28" t="s">
        <v>175</v>
      </c>
      <c r="CM597" s="34">
        <v>43315</v>
      </c>
      <c r="CN597" s="29">
        <v>200</v>
      </c>
      <c r="CO597" s="35">
        <v>0.21</v>
      </c>
      <c r="CP597" s="36">
        <v>92</v>
      </c>
      <c r="CQ597" s="35">
        <v>0</v>
      </c>
      <c r="CR597" s="35">
        <v>0.39</v>
      </c>
      <c r="CS597" s="35">
        <v>-0.69</v>
      </c>
      <c r="CT597" s="36">
        <v>18</v>
      </c>
      <c r="CU597" s="35">
        <v>0.13</v>
      </c>
      <c r="CV597" s="36">
        <v>73</v>
      </c>
      <c r="CW597" s="35">
        <v>-0.49</v>
      </c>
      <c r="CX597" s="36">
        <v>11</v>
      </c>
      <c r="CY597" s="35">
        <v>-0.89</v>
      </c>
      <c r="CZ597" s="36">
        <v>20</v>
      </c>
      <c r="DA597" s="35">
        <v>0.13</v>
      </c>
      <c r="DB597" s="36">
        <v>76</v>
      </c>
      <c r="DC597" s="37">
        <v>635.94000000000005</v>
      </c>
      <c r="DD597" s="36">
        <v>100</v>
      </c>
      <c r="DE597" s="37">
        <v>-75.75</v>
      </c>
      <c r="DF597" s="35">
        <v>-10.64</v>
      </c>
      <c r="DG597" s="37">
        <v>613.99</v>
      </c>
      <c r="DH597" s="36">
        <v>100</v>
      </c>
      <c r="DI597" s="37">
        <v>143.16</v>
      </c>
      <c r="DJ597" s="36">
        <v>98</v>
      </c>
      <c r="DK597" s="37">
        <v>891.28</v>
      </c>
      <c r="DL597" s="36">
        <v>100</v>
      </c>
      <c r="DM597" s="37">
        <v>336.69</v>
      </c>
      <c r="DN597" s="36">
        <v>100</v>
      </c>
      <c r="DO597" s="37">
        <v>143.16</v>
      </c>
      <c r="DP597" s="36">
        <v>99</v>
      </c>
      <c r="DQ597" s="36">
        <v>303495</v>
      </c>
      <c r="DR597" s="38">
        <v>6643</v>
      </c>
      <c r="DS597" s="35">
        <v>2.2400000000000002</v>
      </c>
      <c r="DT597" s="36">
        <v>9756</v>
      </c>
      <c r="DU597" s="38">
        <v>22</v>
      </c>
      <c r="DV597" s="35">
        <v>0.23</v>
      </c>
      <c r="DW597" s="36">
        <v>51239</v>
      </c>
      <c r="DX597" s="39">
        <v>53</v>
      </c>
      <c r="DY597" s="35">
        <v>0.1</v>
      </c>
      <c r="DZ597" s="28" t="s">
        <v>178</v>
      </c>
      <c r="EA597" s="34">
        <v>43622</v>
      </c>
      <c r="EB597" s="29">
        <v>1000</v>
      </c>
      <c r="EC597" s="34">
        <v>43545</v>
      </c>
      <c r="ED597" s="28" t="s">
        <v>173</v>
      </c>
      <c r="EE597" s="40" t="str">
        <f>HYPERLINK("https://my.pitchbook.com?c=52213-15", "View company online")</f>
        <v>View company online</v>
      </c>
    </row>
    <row r="598" spans="1:135">
      <c r="A598" s="15" t="s">
        <v>12099</v>
      </c>
      <c r="B598" s="15" t="s">
        <v>12100</v>
      </c>
      <c r="C598" s="15" t="s">
        <v>12101</v>
      </c>
      <c r="D598" s="15" t="s">
        <v>12102</v>
      </c>
      <c r="E598" s="15" t="s">
        <v>138</v>
      </c>
      <c r="F598" s="15" t="s">
        <v>12099</v>
      </c>
      <c r="G598" s="15" t="s">
        <v>12103</v>
      </c>
      <c r="H598" s="15" t="s">
        <v>238</v>
      </c>
      <c r="I598" s="15" t="s">
        <v>269</v>
      </c>
      <c r="J598" s="15" t="s">
        <v>296</v>
      </c>
      <c r="K598" s="15" t="s">
        <v>10865</v>
      </c>
      <c r="L598" s="15" t="s">
        <v>12104</v>
      </c>
      <c r="M598" s="15" t="s">
        <v>12105</v>
      </c>
      <c r="N598" s="15" t="s">
        <v>147</v>
      </c>
      <c r="O598" s="17">
        <v>14.5</v>
      </c>
      <c r="P598" s="15" t="s">
        <v>148</v>
      </c>
      <c r="Q598" s="15" t="s">
        <v>149</v>
      </c>
      <c r="R598" s="15" t="s">
        <v>244</v>
      </c>
      <c r="S598" s="15" t="s">
        <v>12106</v>
      </c>
      <c r="T598" s="18">
        <v>12</v>
      </c>
      <c r="U598" s="15" t="s">
        <v>12107</v>
      </c>
      <c r="V598" s="15" t="s">
        <v>138</v>
      </c>
      <c r="W598" s="15" t="s">
        <v>138</v>
      </c>
      <c r="X598" s="19">
        <v>2010</v>
      </c>
      <c r="Y598" s="15" t="s">
        <v>138</v>
      </c>
      <c r="Z598" s="15" t="s">
        <v>138</v>
      </c>
      <c r="AA598" s="15" t="s">
        <v>138</v>
      </c>
      <c r="AB598" s="20" t="s">
        <v>138</v>
      </c>
      <c r="AC598" s="20" t="s">
        <v>138</v>
      </c>
      <c r="AD598" s="20" t="s">
        <v>138</v>
      </c>
      <c r="AE598" s="20" t="s">
        <v>138</v>
      </c>
      <c r="AF598" s="20" t="s">
        <v>138</v>
      </c>
      <c r="AG598" s="15" t="s">
        <v>138</v>
      </c>
      <c r="AH598" s="20" t="s">
        <v>138</v>
      </c>
      <c r="AI598" s="20" t="s">
        <v>138</v>
      </c>
      <c r="AJ598" s="20" t="s">
        <v>138</v>
      </c>
      <c r="AK598" s="15" t="s">
        <v>12108</v>
      </c>
      <c r="AL598" s="15" t="s">
        <v>12109</v>
      </c>
      <c r="AM598" s="15" t="s">
        <v>221</v>
      </c>
      <c r="AN598" s="15" t="s">
        <v>12110</v>
      </c>
      <c r="AO598" s="15" t="s">
        <v>138</v>
      </c>
      <c r="AP598" s="15" t="s">
        <v>2649</v>
      </c>
      <c r="AQ598" s="15" t="s">
        <v>12111</v>
      </c>
      <c r="AR598" s="15" t="s">
        <v>12112</v>
      </c>
      <c r="AS598" s="15" t="s">
        <v>2651</v>
      </c>
      <c r="AT598" s="15" t="s">
        <v>200</v>
      </c>
      <c r="AU598" s="15" t="s">
        <v>2652</v>
      </c>
      <c r="AV598" s="15" t="s">
        <v>162</v>
      </c>
      <c r="AW598" s="15" t="s">
        <v>138</v>
      </c>
      <c r="AX598" s="15" t="s">
        <v>138</v>
      </c>
      <c r="AY598" s="15" t="s">
        <v>12113</v>
      </c>
      <c r="AZ598" s="15" t="s">
        <v>164</v>
      </c>
      <c r="BA598" s="15" t="s">
        <v>165</v>
      </c>
      <c r="BB598" s="15" t="s">
        <v>12114</v>
      </c>
      <c r="BC598" s="15" t="s">
        <v>12115</v>
      </c>
      <c r="BD598" s="21">
        <v>8</v>
      </c>
      <c r="BE598" s="15" t="s">
        <v>138</v>
      </c>
      <c r="BF598" s="15" t="s">
        <v>138</v>
      </c>
      <c r="BG598" s="15" t="s">
        <v>138</v>
      </c>
      <c r="BH598" s="15" t="s">
        <v>12116</v>
      </c>
      <c r="BI598" s="15" t="s">
        <v>138</v>
      </c>
      <c r="BJ598" s="15" t="s">
        <v>138</v>
      </c>
      <c r="BK598" s="15" t="s">
        <v>138</v>
      </c>
      <c r="BL598" s="15" t="s">
        <v>12117</v>
      </c>
      <c r="BM598" s="22">
        <v>41540</v>
      </c>
      <c r="BN598" s="17">
        <v>4.5</v>
      </c>
      <c r="BO598" s="15" t="s">
        <v>172</v>
      </c>
      <c r="BP598" s="17">
        <v>14.5</v>
      </c>
      <c r="BQ598" s="15" t="s">
        <v>172</v>
      </c>
      <c r="BR598" s="15" t="s">
        <v>205</v>
      </c>
      <c r="BS598" s="15" t="s">
        <v>206</v>
      </c>
      <c r="BT598" s="15" t="s">
        <v>138</v>
      </c>
      <c r="BU598" s="15" t="s">
        <v>174</v>
      </c>
      <c r="BV598" s="15" t="s">
        <v>138</v>
      </c>
      <c r="BW598" s="15" t="s">
        <v>138</v>
      </c>
      <c r="BX598" s="15" t="s">
        <v>138</v>
      </c>
      <c r="BY598" s="15" t="s">
        <v>175</v>
      </c>
      <c r="BZ598" s="22">
        <v>42852</v>
      </c>
      <c r="CA598" s="17">
        <v>10</v>
      </c>
      <c r="CB598" s="15" t="s">
        <v>172</v>
      </c>
      <c r="CC598" s="17">
        <v>50</v>
      </c>
      <c r="CD598" s="15" t="s">
        <v>172</v>
      </c>
      <c r="CE598" s="15" t="s">
        <v>173</v>
      </c>
      <c r="CF598" s="15" t="s">
        <v>1727</v>
      </c>
      <c r="CG598" s="15" t="s">
        <v>138</v>
      </c>
      <c r="CH598" s="15" t="s">
        <v>174</v>
      </c>
      <c r="CI598" s="15" t="s">
        <v>138</v>
      </c>
      <c r="CJ598" s="15" t="s">
        <v>138</v>
      </c>
      <c r="CK598" s="15" t="s">
        <v>138</v>
      </c>
      <c r="CL598" s="15" t="s">
        <v>175</v>
      </c>
      <c r="CM598" s="22">
        <v>41947</v>
      </c>
      <c r="CN598" s="17" t="s">
        <v>138</v>
      </c>
      <c r="CO598" s="23">
        <v>-0.78</v>
      </c>
      <c r="CP598" s="24">
        <v>13</v>
      </c>
      <c r="CQ598" s="23">
        <v>0</v>
      </c>
      <c r="CR598" s="23">
        <v>-0.44</v>
      </c>
      <c r="CS598" s="23">
        <v>-1.66</v>
      </c>
      <c r="CT598" s="24">
        <v>11</v>
      </c>
      <c r="CU598" s="23">
        <v>0.11</v>
      </c>
      <c r="CV598" s="24">
        <v>70</v>
      </c>
      <c r="CW598" s="23">
        <v>-3.31</v>
      </c>
      <c r="CX598" s="24">
        <v>5</v>
      </c>
      <c r="CY598" s="23">
        <v>0</v>
      </c>
      <c r="CZ598" s="24">
        <v>25</v>
      </c>
      <c r="DA598" s="23">
        <v>0.11</v>
      </c>
      <c r="DB598" s="24">
        <v>73</v>
      </c>
      <c r="DC598" s="25">
        <v>3.09</v>
      </c>
      <c r="DD598" s="24">
        <v>75</v>
      </c>
      <c r="DE598" s="25">
        <v>-0.02</v>
      </c>
      <c r="DF598" s="23">
        <v>-0.66</v>
      </c>
      <c r="DG598" s="25">
        <v>0.87</v>
      </c>
      <c r="DH598" s="24">
        <v>48</v>
      </c>
      <c r="DI598" s="25">
        <v>5.32</v>
      </c>
      <c r="DJ598" s="24">
        <v>78</v>
      </c>
      <c r="DK598" s="25">
        <v>1.45</v>
      </c>
      <c r="DL598" s="24">
        <v>58</v>
      </c>
      <c r="DM598" s="25">
        <v>0.28000000000000003</v>
      </c>
      <c r="DN598" s="24">
        <v>21</v>
      </c>
      <c r="DO598" s="25">
        <v>5.32</v>
      </c>
      <c r="DP598" s="24">
        <v>80</v>
      </c>
      <c r="DQ598" s="24">
        <v>492</v>
      </c>
      <c r="DR598" s="26">
        <v>20</v>
      </c>
      <c r="DS598" s="23">
        <v>4.24</v>
      </c>
      <c r="DT598" s="24">
        <v>7</v>
      </c>
      <c r="DU598" s="26">
        <v>0</v>
      </c>
      <c r="DV598" s="23">
        <v>0</v>
      </c>
      <c r="DW598" s="24">
        <v>1904</v>
      </c>
      <c r="DX598" s="27">
        <v>3</v>
      </c>
      <c r="DY598" s="23">
        <v>0.16</v>
      </c>
      <c r="DZ598" s="15" t="s">
        <v>178</v>
      </c>
      <c r="EA598" s="22">
        <v>43553</v>
      </c>
      <c r="EB598" s="17">
        <v>50</v>
      </c>
      <c r="EC598" s="22">
        <v>42852</v>
      </c>
      <c r="ED598" s="15" t="s">
        <v>173</v>
      </c>
      <c r="EE598" s="14" t="str">
        <f>HYPERLINK("https://my.pitchbook.com?c=97355-08", "View company online")</f>
        <v>View company online</v>
      </c>
    </row>
    <row r="599" spans="1:135">
      <c r="A599" s="28" t="s">
        <v>12118</v>
      </c>
      <c r="B599" s="28" t="s">
        <v>12119</v>
      </c>
      <c r="C599" s="28" t="s">
        <v>138</v>
      </c>
      <c r="D599" s="28" t="s">
        <v>138</v>
      </c>
      <c r="E599" s="28" t="s">
        <v>12120</v>
      </c>
      <c r="F599" s="28" t="s">
        <v>12118</v>
      </c>
      <c r="G599" s="28" t="s">
        <v>12121</v>
      </c>
      <c r="H599" s="28" t="s">
        <v>322</v>
      </c>
      <c r="I599" s="28" t="s">
        <v>1503</v>
      </c>
      <c r="J599" s="28" t="s">
        <v>1836</v>
      </c>
      <c r="K599" s="28" t="s">
        <v>1837</v>
      </c>
      <c r="L599" s="28" t="s">
        <v>359</v>
      </c>
      <c r="M599" s="28" t="s">
        <v>12122</v>
      </c>
      <c r="N599" s="28" t="s">
        <v>147</v>
      </c>
      <c r="O599" s="29">
        <v>31.43</v>
      </c>
      <c r="P599" s="28" t="s">
        <v>148</v>
      </c>
      <c r="Q599" s="28" t="s">
        <v>149</v>
      </c>
      <c r="R599" s="28" t="s">
        <v>174</v>
      </c>
      <c r="S599" s="28" t="s">
        <v>12123</v>
      </c>
      <c r="T599" s="30">
        <v>10</v>
      </c>
      <c r="U599" s="28" t="s">
        <v>12124</v>
      </c>
      <c r="V599" s="28" t="s">
        <v>138</v>
      </c>
      <c r="W599" s="28" t="s">
        <v>138</v>
      </c>
      <c r="X599" s="31">
        <v>2013</v>
      </c>
      <c r="Y599" s="28" t="s">
        <v>138</v>
      </c>
      <c r="Z599" s="28" t="s">
        <v>138</v>
      </c>
      <c r="AA599" s="28" t="s">
        <v>1163</v>
      </c>
      <c r="AB599" s="32" t="s">
        <v>138</v>
      </c>
      <c r="AC599" s="32" t="s">
        <v>138</v>
      </c>
      <c r="AD599" s="32" t="s">
        <v>138</v>
      </c>
      <c r="AE599" s="32" t="s">
        <v>138</v>
      </c>
      <c r="AF599" s="32" t="s">
        <v>138</v>
      </c>
      <c r="AG599" s="28" t="s">
        <v>138</v>
      </c>
      <c r="AH599" s="32" t="s">
        <v>138</v>
      </c>
      <c r="AI599" s="32" t="s">
        <v>138</v>
      </c>
      <c r="AJ599" s="32" t="s">
        <v>138</v>
      </c>
      <c r="AK599" s="28" t="s">
        <v>12125</v>
      </c>
      <c r="AL599" s="28" t="s">
        <v>12126</v>
      </c>
      <c r="AM599" s="28" t="s">
        <v>2949</v>
      </c>
      <c r="AN599" s="28" t="s">
        <v>12127</v>
      </c>
      <c r="AO599" s="28" t="s">
        <v>12128</v>
      </c>
      <c r="AP599" s="28" t="s">
        <v>12129</v>
      </c>
      <c r="AQ599" s="28" t="s">
        <v>12130</v>
      </c>
      <c r="AR599" s="28" t="s">
        <v>12131</v>
      </c>
      <c r="AS599" s="28" t="s">
        <v>12132</v>
      </c>
      <c r="AT599" s="28" t="s">
        <v>6576</v>
      </c>
      <c r="AU599" s="28" t="s">
        <v>12133</v>
      </c>
      <c r="AV599" s="28" t="s">
        <v>162</v>
      </c>
      <c r="AW599" s="28" t="s">
        <v>12128</v>
      </c>
      <c r="AX599" s="28" t="s">
        <v>138</v>
      </c>
      <c r="AY599" s="28" t="s">
        <v>138</v>
      </c>
      <c r="AZ599" s="28" t="s">
        <v>164</v>
      </c>
      <c r="BA599" s="28" t="s">
        <v>165</v>
      </c>
      <c r="BB599" s="28" t="s">
        <v>12134</v>
      </c>
      <c r="BC599" s="28" t="s">
        <v>12135</v>
      </c>
      <c r="BD599" s="33">
        <v>8</v>
      </c>
      <c r="BE599" s="28" t="s">
        <v>138</v>
      </c>
      <c r="BF599" s="28" t="s">
        <v>138</v>
      </c>
      <c r="BG599" s="28" t="s">
        <v>138</v>
      </c>
      <c r="BH599" s="28" t="s">
        <v>12136</v>
      </c>
      <c r="BI599" s="28" t="s">
        <v>138</v>
      </c>
      <c r="BJ599" s="28" t="s">
        <v>138</v>
      </c>
      <c r="BK599" s="28" t="s">
        <v>12137</v>
      </c>
      <c r="BL599" s="28" t="s">
        <v>12137</v>
      </c>
      <c r="BM599" s="34">
        <v>42026</v>
      </c>
      <c r="BN599" s="29">
        <v>6.23</v>
      </c>
      <c r="BO599" s="28" t="s">
        <v>172</v>
      </c>
      <c r="BP599" s="29" t="s">
        <v>138</v>
      </c>
      <c r="BQ599" s="28" t="s">
        <v>138</v>
      </c>
      <c r="BR599" s="28" t="s">
        <v>205</v>
      </c>
      <c r="BS599" s="28" t="s">
        <v>206</v>
      </c>
      <c r="BT599" s="28" t="s">
        <v>138</v>
      </c>
      <c r="BU599" s="28" t="s">
        <v>174</v>
      </c>
      <c r="BV599" s="28" t="s">
        <v>138</v>
      </c>
      <c r="BW599" s="28" t="s">
        <v>138</v>
      </c>
      <c r="BX599" s="28" t="s">
        <v>138</v>
      </c>
      <c r="BY599" s="28" t="s">
        <v>175</v>
      </c>
      <c r="BZ599" s="34">
        <v>43005</v>
      </c>
      <c r="CA599" s="29">
        <v>11.2</v>
      </c>
      <c r="CB599" s="28" t="s">
        <v>172</v>
      </c>
      <c r="CC599" s="29" t="s">
        <v>138</v>
      </c>
      <c r="CD599" s="28" t="s">
        <v>138</v>
      </c>
      <c r="CE599" s="28" t="s">
        <v>173</v>
      </c>
      <c r="CF599" s="28" t="s">
        <v>317</v>
      </c>
      <c r="CG599" s="28" t="s">
        <v>138</v>
      </c>
      <c r="CH599" s="28" t="s">
        <v>174</v>
      </c>
      <c r="CI599" s="28" t="s">
        <v>138</v>
      </c>
      <c r="CJ599" s="28" t="s">
        <v>138</v>
      </c>
      <c r="CK599" s="28" t="s">
        <v>138</v>
      </c>
      <c r="CL599" s="28" t="s">
        <v>175</v>
      </c>
      <c r="CM599" s="34" t="s">
        <v>138</v>
      </c>
      <c r="CN599" s="29" t="s">
        <v>138</v>
      </c>
      <c r="CO599" s="35">
        <v>0</v>
      </c>
      <c r="CP599" s="36">
        <v>26</v>
      </c>
      <c r="CQ599" s="35">
        <v>0</v>
      </c>
      <c r="CR599" s="35">
        <v>0</v>
      </c>
      <c r="CS599" s="35">
        <v>0</v>
      </c>
      <c r="CT599" s="36">
        <v>23</v>
      </c>
      <c r="CU599" s="35">
        <v>0</v>
      </c>
      <c r="CV599" s="36">
        <v>22</v>
      </c>
      <c r="CW599" s="35" t="s">
        <v>138</v>
      </c>
      <c r="CX599" s="36" t="s">
        <v>138</v>
      </c>
      <c r="CY599" s="35">
        <v>0</v>
      </c>
      <c r="CZ599" s="36">
        <v>25</v>
      </c>
      <c r="DA599" s="35">
        <v>0</v>
      </c>
      <c r="DB599" s="36">
        <v>22</v>
      </c>
      <c r="DC599" s="37">
        <v>0.43</v>
      </c>
      <c r="DD599" s="36">
        <v>30</v>
      </c>
      <c r="DE599" s="37">
        <v>0</v>
      </c>
      <c r="DF599" s="35">
        <v>0.09</v>
      </c>
      <c r="DG599" s="37">
        <v>0.72</v>
      </c>
      <c r="DH599" s="36">
        <v>43</v>
      </c>
      <c r="DI599" s="37">
        <v>0.14000000000000001</v>
      </c>
      <c r="DJ599" s="36">
        <v>18</v>
      </c>
      <c r="DK599" s="37" t="s">
        <v>138</v>
      </c>
      <c r="DL599" s="36" t="s">
        <v>138</v>
      </c>
      <c r="DM599" s="37">
        <v>0.72</v>
      </c>
      <c r="DN599" s="36">
        <v>42</v>
      </c>
      <c r="DO599" s="37">
        <v>0.14000000000000001</v>
      </c>
      <c r="DP599" s="36">
        <v>20</v>
      </c>
      <c r="DQ599" s="36" t="s">
        <v>138</v>
      </c>
      <c r="DR599" s="38" t="s">
        <v>138</v>
      </c>
      <c r="DS599" s="35" t="s">
        <v>138</v>
      </c>
      <c r="DT599" s="36">
        <v>21</v>
      </c>
      <c r="DU599" s="38">
        <v>0</v>
      </c>
      <c r="DV599" s="35">
        <v>0</v>
      </c>
      <c r="DW599" s="36">
        <v>49</v>
      </c>
      <c r="DX599" s="39">
        <v>0</v>
      </c>
      <c r="DY599" s="35">
        <v>0</v>
      </c>
      <c r="DZ599" s="28" t="s">
        <v>178</v>
      </c>
      <c r="EA599" s="34">
        <v>43476</v>
      </c>
      <c r="EB599" s="29" t="s">
        <v>138</v>
      </c>
      <c r="EC599" s="34" t="s">
        <v>138</v>
      </c>
      <c r="ED599" s="28" t="s">
        <v>138</v>
      </c>
      <c r="EE599" s="40" t="str">
        <f>HYPERLINK("https://my.pitchbook.com?c=91838-26", "View company online")</f>
        <v>View company online</v>
      </c>
    </row>
    <row r="600" spans="1:135">
      <c r="A600" s="15" t="s">
        <v>12138</v>
      </c>
      <c r="B600" s="15" t="s">
        <v>12139</v>
      </c>
      <c r="C600" s="15" t="s">
        <v>12140</v>
      </c>
      <c r="D600" s="15" t="s">
        <v>138</v>
      </c>
      <c r="E600" s="15" t="s">
        <v>12141</v>
      </c>
      <c r="F600" s="15" t="s">
        <v>12138</v>
      </c>
      <c r="G600" s="15" t="s">
        <v>12142</v>
      </c>
      <c r="H600" s="15" t="s">
        <v>385</v>
      </c>
      <c r="I600" s="15" t="s">
        <v>1448</v>
      </c>
      <c r="J600" s="15" t="s">
        <v>4108</v>
      </c>
      <c r="K600" s="15" t="s">
        <v>12143</v>
      </c>
      <c r="L600" s="15" t="s">
        <v>1994</v>
      </c>
      <c r="M600" s="15" t="s">
        <v>12144</v>
      </c>
      <c r="N600" s="15" t="s">
        <v>147</v>
      </c>
      <c r="O600" s="17">
        <v>143.19999999999999</v>
      </c>
      <c r="P600" s="15" t="s">
        <v>148</v>
      </c>
      <c r="Q600" s="15" t="s">
        <v>149</v>
      </c>
      <c r="R600" s="15" t="s">
        <v>174</v>
      </c>
      <c r="S600" s="15" t="s">
        <v>12145</v>
      </c>
      <c r="T600" s="18">
        <v>63</v>
      </c>
      <c r="U600" s="15" t="s">
        <v>12146</v>
      </c>
      <c r="V600" s="15" t="s">
        <v>138</v>
      </c>
      <c r="W600" s="15" t="s">
        <v>138</v>
      </c>
      <c r="X600" s="19">
        <v>2007</v>
      </c>
      <c r="Y600" s="15" t="s">
        <v>138</v>
      </c>
      <c r="Z600" s="15" t="s">
        <v>138</v>
      </c>
      <c r="AA600" s="15" t="s">
        <v>138</v>
      </c>
      <c r="AB600" s="20" t="s">
        <v>138</v>
      </c>
      <c r="AC600" s="20" t="s">
        <v>138</v>
      </c>
      <c r="AD600" s="20" t="s">
        <v>138</v>
      </c>
      <c r="AE600" s="20" t="s">
        <v>138</v>
      </c>
      <c r="AF600" s="20" t="s">
        <v>138</v>
      </c>
      <c r="AG600" s="15" t="s">
        <v>138</v>
      </c>
      <c r="AH600" s="20" t="s">
        <v>138</v>
      </c>
      <c r="AI600" s="20" t="s">
        <v>138</v>
      </c>
      <c r="AJ600" s="20" t="s">
        <v>138</v>
      </c>
      <c r="AK600" s="15" t="s">
        <v>12147</v>
      </c>
      <c r="AL600" s="15" t="s">
        <v>12148</v>
      </c>
      <c r="AM600" s="15" t="s">
        <v>2776</v>
      </c>
      <c r="AN600" s="15" t="s">
        <v>12149</v>
      </c>
      <c r="AO600" s="15" t="s">
        <v>12150</v>
      </c>
      <c r="AP600" s="15" t="s">
        <v>7461</v>
      </c>
      <c r="AQ600" s="15" t="s">
        <v>12151</v>
      </c>
      <c r="AR600" s="15" t="s">
        <v>138</v>
      </c>
      <c r="AS600" s="15" t="s">
        <v>7463</v>
      </c>
      <c r="AT600" s="15" t="s">
        <v>4493</v>
      </c>
      <c r="AU600" s="15" t="s">
        <v>7464</v>
      </c>
      <c r="AV600" s="15" t="s">
        <v>162</v>
      </c>
      <c r="AW600" s="15" t="s">
        <v>12150</v>
      </c>
      <c r="AX600" s="15" t="s">
        <v>12152</v>
      </c>
      <c r="AY600" s="15" t="s">
        <v>12153</v>
      </c>
      <c r="AZ600" s="15" t="s">
        <v>164</v>
      </c>
      <c r="BA600" s="15" t="s">
        <v>165</v>
      </c>
      <c r="BB600" s="15" t="s">
        <v>12154</v>
      </c>
      <c r="BC600" s="15" t="s">
        <v>12155</v>
      </c>
      <c r="BD600" s="21">
        <v>7</v>
      </c>
      <c r="BE600" s="15" t="s">
        <v>138</v>
      </c>
      <c r="BF600" s="15" t="s">
        <v>138</v>
      </c>
      <c r="BG600" s="15" t="s">
        <v>138</v>
      </c>
      <c r="BH600" s="15" t="s">
        <v>12156</v>
      </c>
      <c r="BI600" s="15" t="s">
        <v>138</v>
      </c>
      <c r="BJ600" s="15" t="s">
        <v>138</v>
      </c>
      <c r="BK600" s="15" t="s">
        <v>12157</v>
      </c>
      <c r="BL600" s="15" t="s">
        <v>12158</v>
      </c>
      <c r="BM600" s="22">
        <v>39412</v>
      </c>
      <c r="BN600" s="17">
        <v>5</v>
      </c>
      <c r="BO600" s="15" t="s">
        <v>172</v>
      </c>
      <c r="BP600" s="17">
        <v>16.649999999999999</v>
      </c>
      <c r="BQ600" s="15" t="s">
        <v>172</v>
      </c>
      <c r="BR600" s="15" t="s">
        <v>205</v>
      </c>
      <c r="BS600" s="15" t="s">
        <v>206</v>
      </c>
      <c r="BT600" s="15" t="s">
        <v>138</v>
      </c>
      <c r="BU600" s="15" t="s">
        <v>174</v>
      </c>
      <c r="BV600" s="15" t="s">
        <v>138</v>
      </c>
      <c r="BW600" s="15" t="s">
        <v>138</v>
      </c>
      <c r="BX600" s="15" t="s">
        <v>138</v>
      </c>
      <c r="BY600" s="15" t="s">
        <v>175</v>
      </c>
      <c r="BZ600" s="22">
        <v>42628</v>
      </c>
      <c r="CA600" s="17">
        <v>31.25</v>
      </c>
      <c r="CB600" s="15" t="s">
        <v>172</v>
      </c>
      <c r="CC600" s="17">
        <v>89.3</v>
      </c>
      <c r="CD600" s="15" t="s">
        <v>172</v>
      </c>
      <c r="CE600" s="15" t="s">
        <v>173</v>
      </c>
      <c r="CF600" s="15" t="s">
        <v>5037</v>
      </c>
      <c r="CG600" s="15" t="s">
        <v>138</v>
      </c>
      <c r="CH600" s="15" t="s">
        <v>174</v>
      </c>
      <c r="CI600" s="15" t="s">
        <v>138</v>
      </c>
      <c r="CJ600" s="15" t="s">
        <v>138</v>
      </c>
      <c r="CK600" s="15" t="s">
        <v>138</v>
      </c>
      <c r="CL600" s="15" t="s">
        <v>175</v>
      </c>
      <c r="CM600" s="22">
        <v>41143</v>
      </c>
      <c r="CN600" s="17">
        <v>5</v>
      </c>
      <c r="CO600" s="23">
        <v>-0.64</v>
      </c>
      <c r="CP600" s="24">
        <v>14</v>
      </c>
      <c r="CQ600" s="23">
        <v>0.14000000000000001</v>
      </c>
      <c r="CR600" s="23">
        <v>17.809999999999999</v>
      </c>
      <c r="CS600" s="23">
        <v>-1.34</v>
      </c>
      <c r="CT600" s="24">
        <v>13</v>
      </c>
      <c r="CU600" s="23">
        <v>0.06</v>
      </c>
      <c r="CV600" s="24">
        <v>60</v>
      </c>
      <c r="CW600" s="23" t="s">
        <v>138</v>
      </c>
      <c r="CX600" s="24" t="s">
        <v>138</v>
      </c>
      <c r="CY600" s="23">
        <v>-1.34</v>
      </c>
      <c r="CZ600" s="24">
        <v>16</v>
      </c>
      <c r="DA600" s="23">
        <v>0.06</v>
      </c>
      <c r="DB600" s="24">
        <v>65</v>
      </c>
      <c r="DC600" s="25">
        <v>3.93</v>
      </c>
      <c r="DD600" s="24">
        <v>79</v>
      </c>
      <c r="DE600" s="25">
        <v>0.01</v>
      </c>
      <c r="DF600" s="23">
        <v>0.3</v>
      </c>
      <c r="DG600" s="25">
        <v>4.1399999999999997</v>
      </c>
      <c r="DH600" s="24">
        <v>80</v>
      </c>
      <c r="DI600" s="25">
        <v>3.73</v>
      </c>
      <c r="DJ600" s="24">
        <v>73</v>
      </c>
      <c r="DK600" s="25" t="s">
        <v>138</v>
      </c>
      <c r="DL600" s="24" t="s">
        <v>138</v>
      </c>
      <c r="DM600" s="25">
        <v>4.1399999999999997</v>
      </c>
      <c r="DN600" s="24">
        <v>79</v>
      </c>
      <c r="DO600" s="25">
        <v>3.73</v>
      </c>
      <c r="DP600" s="24">
        <v>75</v>
      </c>
      <c r="DQ600" s="24" t="s">
        <v>138</v>
      </c>
      <c r="DR600" s="26" t="s">
        <v>138</v>
      </c>
      <c r="DS600" s="23" t="s">
        <v>138</v>
      </c>
      <c r="DT600" s="24">
        <v>120</v>
      </c>
      <c r="DU600" s="26">
        <v>2</v>
      </c>
      <c r="DV600" s="23">
        <v>1.69</v>
      </c>
      <c r="DW600" s="24">
        <v>1334</v>
      </c>
      <c r="DX600" s="27">
        <v>2</v>
      </c>
      <c r="DY600" s="23">
        <v>0.15</v>
      </c>
      <c r="DZ600" s="15" t="s">
        <v>178</v>
      </c>
      <c r="EA600" s="22">
        <v>43501</v>
      </c>
      <c r="EB600" s="17">
        <v>89.3</v>
      </c>
      <c r="EC600" s="22">
        <v>42628</v>
      </c>
      <c r="ED600" s="15" t="s">
        <v>173</v>
      </c>
      <c r="EE600" s="14" t="str">
        <f>HYPERLINK("https://my.pitchbook.com?c=52869-43", "View company online")</f>
        <v>View company online</v>
      </c>
    </row>
    <row r="601" spans="1:135">
      <c r="A601" s="28" t="s">
        <v>12159</v>
      </c>
      <c r="B601" s="28" t="s">
        <v>12160</v>
      </c>
      <c r="C601" s="28" t="s">
        <v>12161</v>
      </c>
      <c r="D601" s="28" t="s">
        <v>12162</v>
      </c>
      <c r="E601" s="28" t="s">
        <v>12163</v>
      </c>
      <c r="F601" s="28" t="s">
        <v>12159</v>
      </c>
      <c r="G601" s="28" t="s">
        <v>12164</v>
      </c>
      <c r="H601" s="28" t="s">
        <v>322</v>
      </c>
      <c r="I601" s="28" t="s">
        <v>323</v>
      </c>
      <c r="J601" s="28" t="s">
        <v>413</v>
      </c>
      <c r="K601" s="28" t="s">
        <v>12165</v>
      </c>
      <c r="L601" s="28" t="s">
        <v>1104</v>
      </c>
      <c r="M601" s="28" t="s">
        <v>12166</v>
      </c>
      <c r="N601" s="28" t="s">
        <v>147</v>
      </c>
      <c r="O601" s="29">
        <v>26.74</v>
      </c>
      <c r="P601" s="28" t="s">
        <v>148</v>
      </c>
      <c r="Q601" s="28" t="s">
        <v>149</v>
      </c>
      <c r="R601" s="28" t="s">
        <v>174</v>
      </c>
      <c r="S601" s="28" t="s">
        <v>12167</v>
      </c>
      <c r="T601" s="30">
        <v>60</v>
      </c>
      <c r="U601" s="28" t="s">
        <v>12168</v>
      </c>
      <c r="V601" s="28" t="s">
        <v>138</v>
      </c>
      <c r="W601" s="28" t="s">
        <v>138</v>
      </c>
      <c r="X601" s="31">
        <v>2014</v>
      </c>
      <c r="Y601" s="28" t="s">
        <v>138</v>
      </c>
      <c r="Z601" s="28" t="s">
        <v>138</v>
      </c>
      <c r="AA601" s="28" t="s">
        <v>12169</v>
      </c>
      <c r="AB601" s="32" t="s">
        <v>138</v>
      </c>
      <c r="AC601" s="32" t="s">
        <v>138</v>
      </c>
      <c r="AD601" s="32" t="s">
        <v>138</v>
      </c>
      <c r="AE601" s="32" t="s">
        <v>138</v>
      </c>
      <c r="AF601" s="32" t="s">
        <v>138</v>
      </c>
      <c r="AG601" s="28" t="s">
        <v>138</v>
      </c>
      <c r="AH601" s="32" t="s">
        <v>138</v>
      </c>
      <c r="AI601" s="32" t="s">
        <v>138</v>
      </c>
      <c r="AJ601" s="32" t="s">
        <v>138</v>
      </c>
      <c r="AK601" s="28" t="s">
        <v>12170</v>
      </c>
      <c r="AL601" s="28" t="s">
        <v>12171</v>
      </c>
      <c r="AM601" s="28" t="s">
        <v>304</v>
      </c>
      <c r="AN601" s="28" t="s">
        <v>12172</v>
      </c>
      <c r="AO601" s="28" t="s">
        <v>138</v>
      </c>
      <c r="AP601" s="28" t="s">
        <v>665</v>
      </c>
      <c r="AQ601" s="28" t="s">
        <v>12173</v>
      </c>
      <c r="AR601" s="28" t="s">
        <v>138</v>
      </c>
      <c r="AS601" s="28" t="s">
        <v>668</v>
      </c>
      <c r="AT601" s="28" t="s">
        <v>200</v>
      </c>
      <c r="AU601" s="28" t="s">
        <v>691</v>
      </c>
      <c r="AV601" s="28" t="s">
        <v>162</v>
      </c>
      <c r="AW601" s="28" t="s">
        <v>138</v>
      </c>
      <c r="AX601" s="28" t="s">
        <v>138</v>
      </c>
      <c r="AY601" s="28" t="s">
        <v>12174</v>
      </c>
      <c r="AZ601" s="28" t="s">
        <v>164</v>
      </c>
      <c r="BA601" s="28" t="s">
        <v>165</v>
      </c>
      <c r="BB601" s="28" t="s">
        <v>12175</v>
      </c>
      <c r="BC601" s="28" t="s">
        <v>12176</v>
      </c>
      <c r="BD601" s="33">
        <v>8</v>
      </c>
      <c r="BE601" s="28" t="s">
        <v>138</v>
      </c>
      <c r="BF601" s="28" t="s">
        <v>138</v>
      </c>
      <c r="BG601" s="28" t="s">
        <v>138</v>
      </c>
      <c r="BH601" s="28" t="s">
        <v>12177</v>
      </c>
      <c r="BI601" s="28" t="s">
        <v>138</v>
      </c>
      <c r="BJ601" s="28" t="s">
        <v>138</v>
      </c>
      <c r="BK601" s="28" t="s">
        <v>138</v>
      </c>
      <c r="BL601" s="28" t="s">
        <v>12178</v>
      </c>
      <c r="BM601" s="34">
        <v>42087</v>
      </c>
      <c r="BN601" s="29">
        <v>0.1</v>
      </c>
      <c r="BO601" s="28" t="s">
        <v>172</v>
      </c>
      <c r="BP601" s="29">
        <v>2.5</v>
      </c>
      <c r="BQ601" s="28" t="s">
        <v>172</v>
      </c>
      <c r="BR601" s="28" t="s">
        <v>316</v>
      </c>
      <c r="BS601" s="28" t="s">
        <v>138</v>
      </c>
      <c r="BT601" s="28" t="s">
        <v>138</v>
      </c>
      <c r="BU601" s="28" t="s">
        <v>177</v>
      </c>
      <c r="BV601" s="28" t="s">
        <v>138</v>
      </c>
      <c r="BW601" s="28" t="s">
        <v>138</v>
      </c>
      <c r="BX601" s="28" t="s">
        <v>138</v>
      </c>
      <c r="BY601" s="28" t="s">
        <v>175</v>
      </c>
      <c r="BZ601" s="34">
        <v>43523</v>
      </c>
      <c r="CA601" s="29">
        <v>15</v>
      </c>
      <c r="CB601" s="28" t="s">
        <v>172</v>
      </c>
      <c r="CC601" s="29">
        <v>60</v>
      </c>
      <c r="CD601" s="28" t="s">
        <v>172</v>
      </c>
      <c r="CE601" s="28" t="s">
        <v>205</v>
      </c>
      <c r="CF601" s="28" t="s">
        <v>720</v>
      </c>
      <c r="CG601" s="28" t="s">
        <v>138</v>
      </c>
      <c r="CH601" s="28" t="s">
        <v>174</v>
      </c>
      <c r="CI601" s="28" t="s">
        <v>138</v>
      </c>
      <c r="CJ601" s="28" t="s">
        <v>138</v>
      </c>
      <c r="CK601" s="28" t="s">
        <v>138</v>
      </c>
      <c r="CL601" s="28" t="s">
        <v>175</v>
      </c>
      <c r="CM601" s="34" t="s">
        <v>138</v>
      </c>
      <c r="CN601" s="29" t="s">
        <v>138</v>
      </c>
      <c r="CO601" s="35">
        <v>-1.05</v>
      </c>
      <c r="CP601" s="36">
        <v>11</v>
      </c>
      <c r="CQ601" s="35">
        <v>0.15</v>
      </c>
      <c r="CR601" s="35">
        <v>12.55</v>
      </c>
      <c r="CS601" s="35">
        <v>-2.68</v>
      </c>
      <c r="CT601" s="36">
        <v>6</v>
      </c>
      <c r="CU601" s="35">
        <v>0.57999999999999996</v>
      </c>
      <c r="CV601" s="36">
        <v>95</v>
      </c>
      <c r="CW601" s="35">
        <v>-2.68</v>
      </c>
      <c r="CX601" s="36">
        <v>6</v>
      </c>
      <c r="CY601" s="35" t="s">
        <v>138</v>
      </c>
      <c r="CZ601" s="36" t="s">
        <v>138</v>
      </c>
      <c r="DA601" s="35">
        <v>0.57999999999999996</v>
      </c>
      <c r="DB601" s="36">
        <v>95</v>
      </c>
      <c r="DC601" s="37">
        <v>10.79</v>
      </c>
      <c r="DD601" s="36">
        <v>91</v>
      </c>
      <c r="DE601" s="37">
        <v>0.55000000000000004</v>
      </c>
      <c r="DF601" s="35">
        <v>5.36</v>
      </c>
      <c r="DG601" s="37">
        <v>9.3699999999999992</v>
      </c>
      <c r="DH601" s="36">
        <v>89</v>
      </c>
      <c r="DI601" s="37">
        <v>12.21</v>
      </c>
      <c r="DJ601" s="36">
        <v>87</v>
      </c>
      <c r="DK601" s="37">
        <v>9.3699999999999992</v>
      </c>
      <c r="DL601" s="36">
        <v>86</v>
      </c>
      <c r="DM601" s="37" t="s">
        <v>138</v>
      </c>
      <c r="DN601" s="36" t="s">
        <v>138</v>
      </c>
      <c r="DO601" s="37">
        <v>12.21</v>
      </c>
      <c r="DP601" s="36">
        <v>89</v>
      </c>
      <c r="DQ601" s="36">
        <v>3213</v>
      </c>
      <c r="DR601" s="38">
        <v>3</v>
      </c>
      <c r="DS601" s="35">
        <v>0.09</v>
      </c>
      <c r="DT601" s="36" t="s">
        <v>138</v>
      </c>
      <c r="DU601" s="38" t="s">
        <v>138</v>
      </c>
      <c r="DV601" s="35" t="s">
        <v>138</v>
      </c>
      <c r="DW601" s="36">
        <v>4370</v>
      </c>
      <c r="DX601" s="39">
        <v>17</v>
      </c>
      <c r="DY601" s="35">
        <v>0.39</v>
      </c>
      <c r="DZ601" s="28" t="s">
        <v>178</v>
      </c>
      <c r="EA601" s="34">
        <v>43616</v>
      </c>
      <c r="EB601" s="29">
        <v>60</v>
      </c>
      <c r="EC601" s="34">
        <v>43523</v>
      </c>
      <c r="ED601" s="28" t="s">
        <v>205</v>
      </c>
      <c r="EE601" s="40" t="str">
        <f>HYPERLINK("https://my.pitchbook.com?c=104203-09", "View company online")</f>
        <v>View company online</v>
      </c>
    </row>
    <row r="602" spans="1:135">
      <c r="A602" s="15" t="s">
        <v>12179</v>
      </c>
      <c r="B602" s="15" t="s">
        <v>12180</v>
      </c>
      <c r="C602" s="15" t="s">
        <v>138</v>
      </c>
      <c r="D602" s="15" t="s">
        <v>138</v>
      </c>
      <c r="E602" s="15" t="s">
        <v>138</v>
      </c>
      <c r="F602" s="15" t="s">
        <v>12179</v>
      </c>
      <c r="G602" s="15" t="s">
        <v>12181</v>
      </c>
      <c r="H602" s="15" t="s">
        <v>322</v>
      </c>
      <c r="I602" s="15" t="s">
        <v>323</v>
      </c>
      <c r="J602" s="15" t="s">
        <v>954</v>
      </c>
      <c r="K602" s="15" t="s">
        <v>12182</v>
      </c>
      <c r="L602" s="15" t="s">
        <v>242</v>
      </c>
      <c r="M602" s="15" t="s">
        <v>12183</v>
      </c>
      <c r="N602" s="15" t="s">
        <v>147</v>
      </c>
      <c r="O602" s="17">
        <v>8.1300000000000008</v>
      </c>
      <c r="P602" s="15" t="s">
        <v>148</v>
      </c>
      <c r="Q602" s="15" t="s">
        <v>149</v>
      </c>
      <c r="R602" s="15" t="s">
        <v>174</v>
      </c>
      <c r="S602" s="15" t="s">
        <v>12184</v>
      </c>
      <c r="T602" s="18">
        <v>62</v>
      </c>
      <c r="U602" s="15" t="s">
        <v>12185</v>
      </c>
      <c r="V602" s="15" t="s">
        <v>138</v>
      </c>
      <c r="W602" s="15" t="s">
        <v>138</v>
      </c>
      <c r="X602" s="19">
        <v>2011</v>
      </c>
      <c r="Y602" s="15" t="s">
        <v>138</v>
      </c>
      <c r="Z602" s="15" t="s">
        <v>138</v>
      </c>
      <c r="AA602" s="15" t="s">
        <v>138</v>
      </c>
      <c r="AB602" s="20" t="s">
        <v>138</v>
      </c>
      <c r="AC602" s="20" t="s">
        <v>138</v>
      </c>
      <c r="AD602" s="20" t="s">
        <v>138</v>
      </c>
      <c r="AE602" s="20" t="s">
        <v>138</v>
      </c>
      <c r="AF602" s="20" t="s">
        <v>138</v>
      </c>
      <c r="AG602" s="15" t="s">
        <v>138</v>
      </c>
      <c r="AH602" s="20" t="s">
        <v>138</v>
      </c>
      <c r="AI602" s="20" t="s">
        <v>138</v>
      </c>
      <c r="AJ602" s="20" t="s">
        <v>138</v>
      </c>
      <c r="AK602" s="15" t="s">
        <v>12186</v>
      </c>
      <c r="AL602" s="15" t="s">
        <v>12187</v>
      </c>
      <c r="AM602" s="15" t="s">
        <v>12188</v>
      </c>
      <c r="AN602" s="15" t="s">
        <v>138</v>
      </c>
      <c r="AO602" s="15" t="s">
        <v>138</v>
      </c>
      <c r="AP602" s="15" t="s">
        <v>1195</v>
      </c>
      <c r="AQ602" s="15" t="s">
        <v>12189</v>
      </c>
      <c r="AR602" s="15" t="s">
        <v>12190</v>
      </c>
      <c r="AS602" s="15" t="s">
        <v>1198</v>
      </c>
      <c r="AT602" s="15" t="s">
        <v>138</v>
      </c>
      <c r="AU602" s="15" t="s">
        <v>12191</v>
      </c>
      <c r="AV602" s="15" t="s">
        <v>1200</v>
      </c>
      <c r="AW602" s="15" t="s">
        <v>138</v>
      </c>
      <c r="AX602" s="15" t="s">
        <v>138</v>
      </c>
      <c r="AY602" s="15" t="s">
        <v>138</v>
      </c>
      <c r="AZ602" s="15" t="s">
        <v>452</v>
      </c>
      <c r="BA602" s="15" t="s">
        <v>453</v>
      </c>
      <c r="BB602" s="15" t="s">
        <v>12192</v>
      </c>
      <c r="BC602" s="15" t="s">
        <v>12193</v>
      </c>
      <c r="BD602" s="21">
        <v>1</v>
      </c>
      <c r="BE602" s="15" t="s">
        <v>138</v>
      </c>
      <c r="BF602" s="15" t="s">
        <v>12194</v>
      </c>
      <c r="BG602" s="15" t="s">
        <v>138</v>
      </c>
      <c r="BH602" s="15" t="s">
        <v>138</v>
      </c>
      <c r="BI602" s="15" t="s">
        <v>12195</v>
      </c>
      <c r="BJ602" s="15" t="s">
        <v>138</v>
      </c>
      <c r="BK602" s="15" t="s">
        <v>138</v>
      </c>
      <c r="BL602" s="15" t="s">
        <v>138</v>
      </c>
      <c r="BM602" s="22">
        <v>41353</v>
      </c>
      <c r="BN602" s="17">
        <v>0.5</v>
      </c>
      <c r="BO602" s="15" t="s">
        <v>172</v>
      </c>
      <c r="BP602" s="17" t="s">
        <v>138</v>
      </c>
      <c r="BQ602" s="15" t="s">
        <v>138</v>
      </c>
      <c r="BR602" s="15" t="s">
        <v>234</v>
      </c>
      <c r="BS602" s="15" t="s">
        <v>234</v>
      </c>
      <c r="BT602" s="15" t="s">
        <v>138</v>
      </c>
      <c r="BU602" s="15" t="s">
        <v>174</v>
      </c>
      <c r="BV602" s="15" t="s">
        <v>138</v>
      </c>
      <c r="BW602" s="15" t="s">
        <v>138</v>
      </c>
      <c r="BX602" s="15" t="s">
        <v>138</v>
      </c>
      <c r="BY602" s="15" t="s">
        <v>175</v>
      </c>
      <c r="BZ602" s="22">
        <v>42774</v>
      </c>
      <c r="CA602" s="17" t="s">
        <v>138</v>
      </c>
      <c r="CB602" s="15" t="s">
        <v>138</v>
      </c>
      <c r="CC602" s="17" t="s">
        <v>138</v>
      </c>
      <c r="CD602" s="15" t="s">
        <v>138</v>
      </c>
      <c r="CE602" s="15" t="s">
        <v>349</v>
      </c>
      <c r="CF602" s="15" t="s">
        <v>138</v>
      </c>
      <c r="CG602" s="15" t="s">
        <v>138</v>
      </c>
      <c r="CH602" s="15" t="s">
        <v>174</v>
      </c>
      <c r="CI602" s="15" t="s">
        <v>138</v>
      </c>
      <c r="CJ602" s="15" t="s">
        <v>138</v>
      </c>
      <c r="CK602" s="15" t="s">
        <v>138</v>
      </c>
      <c r="CL602" s="15" t="s">
        <v>175</v>
      </c>
      <c r="CM602" s="22" t="s">
        <v>138</v>
      </c>
      <c r="CN602" s="17" t="s">
        <v>138</v>
      </c>
      <c r="CO602" s="23">
        <v>1.19</v>
      </c>
      <c r="CP602" s="24">
        <v>98</v>
      </c>
      <c r="CQ602" s="23">
        <v>0</v>
      </c>
      <c r="CR602" s="23">
        <v>0.01</v>
      </c>
      <c r="CS602" s="23">
        <v>2.39</v>
      </c>
      <c r="CT602" s="24">
        <v>99</v>
      </c>
      <c r="CU602" s="23">
        <v>-0.02</v>
      </c>
      <c r="CV602" s="24">
        <v>17</v>
      </c>
      <c r="CW602" s="23">
        <v>4.78</v>
      </c>
      <c r="CX602" s="24">
        <v>95</v>
      </c>
      <c r="CY602" s="23">
        <v>0</v>
      </c>
      <c r="CZ602" s="24">
        <v>25</v>
      </c>
      <c r="DA602" s="23">
        <v>-0.06</v>
      </c>
      <c r="DB602" s="24">
        <v>11</v>
      </c>
      <c r="DC602" s="25">
        <v>348.74</v>
      </c>
      <c r="DD602" s="24">
        <v>100</v>
      </c>
      <c r="DE602" s="25">
        <v>-0.56999999999999995</v>
      </c>
      <c r="DF602" s="23">
        <v>-0.16</v>
      </c>
      <c r="DG602" s="25">
        <v>5.8</v>
      </c>
      <c r="DH602" s="24">
        <v>84</v>
      </c>
      <c r="DI602" s="25">
        <v>691.67</v>
      </c>
      <c r="DJ602" s="24">
        <v>100</v>
      </c>
      <c r="DK602" s="25">
        <v>9.91</v>
      </c>
      <c r="DL602" s="24">
        <v>87</v>
      </c>
      <c r="DM602" s="25">
        <v>1.69</v>
      </c>
      <c r="DN602" s="24">
        <v>62</v>
      </c>
      <c r="DO602" s="25">
        <v>107.35</v>
      </c>
      <c r="DP602" s="24">
        <v>98</v>
      </c>
      <c r="DQ602" s="24">
        <v>3304</v>
      </c>
      <c r="DR602" s="26">
        <v>285</v>
      </c>
      <c r="DS602" s="23">
        <v>9.44</v>
      </c>
      <c r="DT602" s="24">
        <v>50</v>
      </c>
      <c r="DU602" s="26">
        <v>0</v>
      </c>
      <c r="DV602" s="23">
        <v>0</v>
      </c>
      <c r="DW602" s="24">
        <v>38444</v>
      </c>
      <c r="DX602" s="27">
        <v>-36</v>
      </c>
      <c r="DY602" s="23">
        <v>-0.09</v>
      </c>
      <c r="DZ602" s="15" t="s">
        <v>178</v>
      </c>
      <c r="EA602" s="22">
        <v>43503</v>
      </c>
      <c r="EB602" s="17" t="s">
        <v>138</v>
      </c>
      <c r="EC602" s="22" t="s">
        <v>138</v>
      </c>
      <c r="ED602" s="15" t="s">
        <v>138</v>
      </c>
      <c r="EE602" s="14" t="str">
        <f>HYPERLINK("https://my.pitchbook.com?c=102694-42", "View company online")</f>
        <v>View company online</v>
      </c>
    </row>
    <row r="603" spans="1:135">
      <c r="A603" s="28" t="s">
        <v>12196</v>
      </c>
      <c r="B603" s="28" t="s">
        <v>12197</v>
      </c>
      <c r="C603" s="28" t="s">
        <v>12198</v>
      </c>
      <c r="D603" s="28" t="s">
        <v>12199</v>
      </c>
      <c r="E603" s="28" t="s">
        <v>12200</v>
      </c>
      <c r="F603" s="28" t="s">
        <v>12196</v>
      </c>
      <c r="G603" s="28" t="s">
        <v>12201</v>
      </c>
      <c r="H603" s="28" t="s">
        <v>141</v>
      </c>
      <c r="I603" s="28" t="s">
        <v>212</v>
      </c>
      <c r="J603" s="28" t="s">
        <v>213</v>
      </c>
      <c r="K603" s="28" t="s">
        <v>12202</v>
      </c>
      <c r="L603" s="28" t="s">
        <v>215</v>
      </c>
      <c r="M603" s="28" t="s">
        <v>12203</v>
      </c>
      <c r="N603" s="28" t="s">
        <v>147</v>
      </c>
      <c r="O603" s="29">
        <v>120.27</v>
      </c>
      <c r="P603" s="28" t="s">
        <v>148</v>
      </c>
      <c r="Q603" s="28" t="s">
        <v>149</v>
      </c>
      <c r="R603" s="28" t="s">
        <v>174</v>
      </c>
      <c r="S603" s="28" t="s">
        <v>12204</v>
      </c>
      <c r="T603" s="30">
        <v>168</v>
      </c>
      <c r="U603" s="28" t="s">
        <v>12205</v>
      </c>
      <c r="V603" s="28" t="s">
        <v>138</v>
      </c>
      <c r="W603" s="28" t="s">
        <v>138</v>
      </c>
      <c r="X603" s="31">
        <v>2010</v>
      </c>
      <c r="Y603" s="28" t="s">
        <v>138</v>
      </c>
      <c r="Z603" s="28" t="s">
        <v>138</v>
      </c>
      <c r="AA603" s="28" t="s">
        <v>138</v>
      </c>
      <c r="AB603" s="32" t="s">
        <v>138</v>
      </c>
      <c r="AC603" s="32" t="s">
        <v>138</v>
      </c>
      <c r="AD603" s="32" t="s">
        <v>138</v>
      </c>
      <c r="AE603" s="32" t="s">
        <v>138</v>
      </c>
      <c r="AF603" s="32" t="s">
        <v>138</v>
      </c>
      <c r="AG603" s="28" t="s">
        <v>138</v>
      </c>
      <c r="AH603" s="32" t="s">
        <v>138</v>
      </c>
      <c r="AI603" s="32" t="s">
        <v>138</v>
      </c>
      <c r="AJ603" s="32" t="s">
        <v>138</v>
      </c>
      <c r="AK603" s="28" t="s">
        <v>12206</v>
      </c>
      <c r="AL603" s="28" t="s">
        <v>12207</v>
      </c>
      <c r="AM603" s="28" t="s">
        <v>566</v>
      </c>
      <c r="AN603" s="28" t="s">
        <v>12208</v>
      </c>
      <c r="AO603" s="28" t="s">
        <v>12209</v>
      </c>
      <c r="AP603" s="28" t="s">
        <v>423</v>
      </c>
      <c r="AQ603" s="28" t="s">
        <v>12210</v>
      </c>
      <c r="AR603" s="28" t="s">
        <v>12211</v>
      </c>
      <c r="AS603" s="28" t="s">
        <v>426</v>
      </c>
      <c r="AT603" s="28" t="s">
        <v>426</v>
      </c>
      <c r="AU603" s="28" t="s">
        <v>12212</v>
      </c>
      <c r="AV603" s="28" t="s">
        <v>162</v>
      </c>
      <c r="AW603" s="28" t="s">
        <v>12209</v>
      </c>
      <c r="AX603" s="28" t="s">
        <v>138</v>
      </c>
      <c r="AY603" s="28" t="s">
        <v>12213</v>
      </c>
      <c r="AZ603" s="28" t="s">
        <v>164</v>
      </c>
      <c r="BA603" s="28" t="s">
        <v>165</v>
      </c>
      <c r="BB603" s="28" t="s">
        <v>12214</v>
      </c>
      <c r="BC603" s="28" t="s">
        <v>12215</v>
      </c>
      <c r="BD603" s="33">
        <v>22</v>
      </c>
      <c r="BE603" s="28" t="s">
        <v>138</v>
      </c>
      <c r="BF603" s="28" t="s">
        <v>138</v>
      </c>
      <c r="BG603" s="28" t="s">
        <v>138</v>
      </c>
      <c r="BH603" s="28" t="s">
        <v>12216</v>
      </c>
      <c r="BI603" s="28" t="s">
        <v>138</v>
      </c>
      <c r="BJ603" s="28" t="s">
        <v>138</v>
      </c>
      <c r="BK603" s="28" t="s">
        <v>12217</v>
      </c>
      <c r="BL603" s="28" t="s">
        <v>12218</v>
      </c>
      <c r="BM603" s="34">
        <v>40179</v>
      </c>
      <c r="BN603" s="29">
        <v>9.24</v>
      </c>
      <c r="BO603" s="28" t="s">
        <v>172</v>
      </c>
      <c r="BP603" s="29" t="s">
        <v>138</v>
      </c>
      <c r="BQ603" s="28" t="s">
        <v>138</v>
      </c>
      <c r="BR603" s="28" t="s">
        <v>234</v>
      </c>
      <c r="BS603" s="28" t="s">
        <v>234</v>
      </c>
      <c r="BT603" s="28" t="s">
        <v>138</v>
      </c>
      <c r="BU603" s="28" t="s">
        <v>174</v>
      </c>
      <c r="BV603" s="28" t="s">
        <v>138</v>
      </c>
      <c r="BW603" s="28" t="s">
        <v>138</v>
      </c>
      <c r="BX603" s="28" t="s">
        <v>138</v>
      </c>
      <c r="BY603" s="28" t="s">
        <v>175</v>
      </c>
      <c r="BZ603" s="34">
        <v>42047</v>
      </c>
      <c r="CA603" s="29">
        <v>31.32</v>
      </c>
      <c r="CB603" s="28" t="s">
        <v>172</v>
      </c>
      <c r="CC603" s="29" t="s">
        <v>138</v>
      </c>
      <c r="CD603" s="28" t="s">
        <v>138</v>
      </c>
      <c r="CE603" s="28" t="s">
        <v>173</v>
      </c>
      <c r="CF603" s="28" t="s">
        <v>433</v>
      </c>
      <c r="CG603" s="28" t="s">
        <v>138</v>
      </c>
      <c r="CH603" s="28" t="s">
        <v>174</v>
      </c>
      <c r="CI603" s="28" t="s">
        <v>138</v>
      </c>
      <c r="CJ603" s="28" t="s">
        <v>138</v>
      </c>
      <c r="CK603" s="28" t="s">
        <v>138</v>
      </c>
      <c r="CL603" s="28" t="s">
        <v>175</v>
      </c>
      <c r="CM603" s="34" t="s">
        <v>138</v>
      </c>
      <c r="CN603" s="29" t="s">
        <v>138</v>
      </c>
      <c r="CO603" s="35">
        <v>1.27</v>
      </c>
      <c r="CP603" s="36">
        <v>98</v>
      </c>
      <c r="CQ603" s="35">
        <v>-0.02</v>
      </c>
      <c r="CR603" s="35">
        <v>-1.48</v>
      </c>
      <c r="CS603" s="35">
        <v>3.84</v>
      </c>
      <c r="CT603" s="36">
        <v>100</v>
      </c>
      <c r="CU603" s="35">
        <v>-0.03</v>
      </c>
      <c r="CV603" s="36">
        <v>14</v>
      </c>
      <c r="CW603" s="35">
        <v>8.5500000000000007</v>
      </c>
      <c r="CX603" s="36">
        <v>99</v>
      </c>
      <c r="CY603" s="35">
        <v>-0.88</v>
      </c>
      <c r="CZ603" s="36">
        <v>20</v>
      </c>
      <c r="DA603" s="35">
        <v>-0.04</v>
      </c>
      <c r="DB603" s="36">
        <v>15</v>
      </c>
      <c r="DC603" s="37">
        <v>9.31</v>
      </c>
      <c r="DD603" s="36">
        <v>89</v>
      </c>
      <c r="DE603" s="37">
        <v>-0.27</v>
      </c>
      <c r="DF603" s="35">
        <v>-2.77</v>
      </c>
      <c r="DG603" s="37">
        <v>10.19</v>
      </c>
      <c r="DH603" s="36">
        <v>90</v>
      </c>
      <c r="DI603" s="37">
        <v>17.46</v>
      </c>
      <c r="DJ603" s="36">
        <v>90</v>
      </c>
      <c r="DK603" s="37">
        <v>13.42</v>
      </c>
      <c r="DL603" s="36">
        <v>89</v>
      </c>
      <c r="DM603" s="37">
        <v>6.97</v>
      </c>
      <c r="DN603" s="36">
        <v>85</v>
      </c>
      <c r="DO603" s="37">
        <v>33.04</v>
      </c>
      <c r="DP603" s="36">
        <v>95</v>
      </c>
      <c r="DQ603" s="36">
        <v>4495</v>
      </c>
      <c r="DR603" s="38">
        <v>325</v>
      </c>
      <c r="DS603" s="35">
        <v>7.79</v>
      </c>
      <c r="DT603" s="36">
        <v>202</v>
      </c>
      <c r="DU603" s="38">
        <v>-1</v>
      </c>
      <c r="DV603" s="35">
        <v>-0.49</v>
      </c>
      <c r="DW603" s="36">
        <v>11828</v>
      </c>
      <c r="DX603" s="39">
        <v>-4</v>
      </c>
      <c r="DY603" s="35">
        <v>-0.03</v>
      </c>
      <c r="DZ603" s="28" t="s">
        <v>178</v>
      </c>
      <c r="EA603" s="34">
        <v>43607</v>
      </c>
      <c r="EB603" s="29" t="s">
        <v>138</v>
      </c>
      <c r="EC603" s="34" t="s">
        <v>138</v>
      </c>
      <c r="ED603" s="28" t="s">
        <v>138</v>
      </c>
      <c r="EE603" s="40" t="str">
        <f>HYPERLINK("https://my.pitchbook.com?c=54944-11", "View company online")</f>
        <v>View company online</v>
      </c>
    </row>
    <row r="604" spans="1:135">
      <c r="A604" s="15" t="s">
        <v>12219</v>
      </c>
      <c r="B604" s="15" t="s">
        <v>12220</v>
      </c>
      <c r="C604" s="15" t="s">
        <v>138</v>
      </c>
      <c r="D604" s="15" t="s">
        <v>138</v>
      </c>
      <c r="E604" s="15" t="s">
        <v>138</v>
      </c>
      <c r="F604" s="15" t="s">
        <v>12219</v>
      </c>
      <c r="G604" s="15" t="s">
        <v>12221</v>
      </c>
      <c r="H604" s="15" t="s">
        <v>183</v>
      </c>
      <c r="I604" s="15" t="s">
        <v>4681</v>
      </c>
      <c r="J604" s="15" t="s">
        <v>9676</v>
      </c>
      <c r="K604" s="15" t="s">
        <v>12222</v>
      </c>
      <c r="L604" s="15" t="s">
        <v>4684</v>
      </c>
      <c r="M604" s="15" t="s">
        <v>12223</v>
      </c>
      <c r="N604" s="15" t="s">
        <v>147</v>
      </c>
      <c r="O604" s="17">
        <v>34.5</v>
      </c>
      <c r="P604" s="15" t="s">
        <v>12224</v>
      </c>
      <c r="Q604" s="15" t="s">
        <v>149</v>
      </c>
      <c r="R604" s="15" t="s">
        <v>174</v>
      </c>
      <c r="S604" s="15" t="s">
        <v>12225</v>
      </c>
      <c r="T604" s="18" t="s">
        <v>138</v>
      </c>
      <c r="U604" s="15" t="s">
        <v>138</v>
      </c>
      <c r="V604" s="15" t="s">
        <v>138</v>
      </c>
      <c r="W604" s="15" t="s">
        <v>138</v>
      </c>
      <c r="X604" s="19">
        <v>2006</v>
      </c>
      <c r="Y604" s="15" t="s">
        <v>138</v>
      </c>
      <c r="Z604" s="15" t="s">
        <v>138</v>
      </c>
      <c r="AA604" s="15" t="s">
        <v>138</v>
      </c>
      <c r="AB604" s="20" t="s">
        <v>138</v>
      </c>
      <c r="AC604" s="20" t="s">
        <v>138</v>
      </c>
      <c r="AD604" s="20" t="s">
        <v>138</v>
      </c>
      <c r="AE604" s="20" t="s">
        <v>138</v>
      </c>
      <c r="AF604" s="20" t="s">
        <v>138</v>
      </c>
      <c r="AG604" s="15" t="s">
        <v>138</v>
      </c>
      <c r="AH604" s="20" t="s">
        <v>138</v>
      </c>
      <c r="AI604" s="20" t="s">
        <v>138</v>
      </c>
      <c r="AJ604" s="20" t="s">
        <v>138</v>
      </c>
      <c r="AK604" s="15" t="s">
        <v>12226</v>
      </c>
      <c r="AL604" s="15" t="s">
        <v>12227</v>
      </c>
      <c r="AM604" s="15" t="s">
        <v>12228</v>
      </c>
      <c r="AN604" s="15" t="s">
        <v>12229</v>
      </c>
      <c r="AO604" s="15" t="s">
        <v>138</v>
      </c>
      <c r="AP604" s="15" t="s">
        <v>1195</v>
      </c>
      <c r="AQ604" s="15" t="s">
        <v>12230</v>
      </c>
      <c r="AR604" s="15" t="s">
        <v>138</v>
      </c>
      <c r="AS604" s="15" t="s">
        <v>1198</v>
      </c>
      <c r="AT604" s="15" t="s">
        <v>12231</v>
      </c>
      <c r="AU604" s="15" t="s">
        <v>12232</v>
      </c>
      <c r="AV604" s="15" t="s">
        <v>1200</v>
      </c>
      <c r="AW604" s="15" t="s">
        <v>138</v>
      </c>
      <c r="AX604" s="15" t="s">
        <v>138</v>
      </c>
      <c r="AY604" s="15" t="s">
        <v>12233</v>
      </c>
      <c r="AZ604" s="15" t="s">
        <v>452</v>
      </c>
      <c r="BA604" s="15" t="s">
        <v>453</v>
      </c>
      <c r="BB604" s="15" t="s">
        <v>12234</v>
      </c>
      <c r="BC604" s="15" t="s">
        <v>12235</v>
      </c>
      <c r="BD604" s="21">
        <v>33</v>
      </c>
      <c r="BE604" s="15" t="s">
        <v>138</v>
      </c>
      <c r="BF604" s="15" t="s">
        <v>138</v>
      </c>
      <c r="BG604" s="15" t="s">
        <v>138</v>
      </c>
      <c r="BH604" s="15" t="s">
        <v>12236</v>
      </c>
      <c r="BI604" s="15" t="s">
        <v>138</v>
      </c>
      <c r="BJ604" s="15" t="s">
        <v>138</v>
      </c>
      <c r="BK604" s="15" t="s">
        <v>138</v>
      </c>
      <c r="BL604" s="15" t="s">
        <v>138</v>
      </c>
      <c r="BM604" s="22">
        <v>38944</v>
      </c>
      <c r="BN604" s="17">
        <v>1.6</v>
      </c>
      <c r="BO604" s="15" t="s">
        <v>172</v>
      </c>
      <c r="BP604" s="17" t="s">
        <v>138</v>
      </c>
      <c r="BQ604" s="15" t="s">
        <v>138</v>
      </c>
      <c r="BR604" s="15" t="s">
        <v>234</v>
      </c>
      <c r="BS604" s="15" t="s">
        <v>234</v>
      </c>
      <c r="BT604" s="15" t="s">
        <v>138</v>
      </c>
      <c r="BU604" s="15" t="s">
        <v>174</v>
      </c>
      <c r="BV604" s="15" t="s">
        <v>138</v>
      </c>
      <c r="BW604" s="15" t="s">
        <v>138</v>
      </c>
      <c r="BX604" s="15" t="s">
        <v>138</v>
      </c>
      <c r="BY604" s="15" t="s">
        <v>175</v>
      </c>
      <c r="BZ604" s="22">
        <v>42867</v>
      </c>
      <c r="CA604" s="17">
        <v>6</v>
      </c>
      <c r="CB604" s="15" t="s">
        <v>172</v>
      </c>
      <c r="CC604" s="17" t="s">
        <v>138</v>
      </c>
      <c r="CD604" s="15" t="s">
        <v>138</v>
      </c>
      <c r="CE604" s="15" t="s">
        <v>173</v>
      </c>
      <c r="CF604" s="15" t="s">
        <v>482</v>
      </c>
      <c r="CG604" s="15" t="s">
        <v>138</v>
      </c>
      <c r="CH604" s="15" t="s">
        <v>174</v>
      </c>
      <c r="CI604" s="15" t="s">
        <v>138</v>
      </c>
      <c r="CJ604" s="15" t="s">
        <v>138</v>
      </c>
      <c r="CK604" s="15" t="s">
        <v>138</v>
      </c>
      <c r="CL604" s="15" t="s">
        <v>175</v>
      </c>
      <c r="CM604" s="22" t="s">
        <v>138</v>
      </c>
      <c r="CN604" s="17" t="s">
        <v>138</v>
      </c>
      <c r="CO604" s="23">
        <v>0</v>
      </c>
      <c r="CP604" s="24">
        <v>26</v>
      </c>
      <c r="CQ604" s="23">
        <v>0</v>
      </c>
      <c r="CR604" s="23">
        <v>0</v>
      </c>
      <c r="CS604" s="23">
        <v>0</v>
      </c>
      <c r="CT604" s="24">
        <v>23</v>
      </c>
      <c r="CU604" s="23">
        <v>0</v>
      </c>
      <c r="CV604" s="24">
        <v>22</v>
      </c>
      <c r="CW604" s="23" t="s">
        <v>138</v>
      </c>
      <c r="CX604" s="24" t="s">
        <v>138</v>
      </c>
      <c r="CY604" s="23">
        <v>0</v>
      </c>
      <c r="CZ604" s="24">
        <v>25</v>
      </c>
      <c r="DA604" s="23">
        <v>0</v>
      </c>
      <c r="DB604" s="24">
        <v>22</v>
      </c>
      <c r="DC604" s="25">
        <v>0.92</v>
      </c>
      <c r="DD604" s="24">
        <v>49</v>
      </c>
      <c r="DE604" s="25">
        <v>0.03</v>
      </c>
      <c r="DF604" s="23">
        <v>3.95</v>
      </c>
      <c r="DG604" s="25">
        <v>1.72</v>
      </c>
      <c r="DH604" s="24">
        <v>63</v>
      </c>
      <c r="DI604" s="25">
        <v>0.11</v>
      </c>
      <c r="DJ604" s="24">
        <v>15</v>
      </c>
      <c r="DK604" s="25" t="s">
        <v>138</v>
      </c>
      <c r="DL604" s="24" t="s">
        <v>138</v>
      </c>
      <c r="DM604" s="25">
        <v>1.72</v>
      </c>
      <c r="DN604" s="24">
        <v>62</v>
      </c>
      <c r="DO604" s="25">
        <v>0.11</v>
      </c>
      <c r="DP604" s="24">
        <v>17</v>
      </c>
      <c r="DQ604" s="24" t="s">
        <v>138</v>
      </c>
      <c r="DR604" s="26" t="s">
        <v>138</v>
      </c>
      <c r="DS604" s="23" t="s">
        <v>138</v>
      </c>
      <c r="DT604" s="24">
        <v>49</v>
      </c>
      <c r="DU604" s="26">
        <v>1</v>
      </c>
      <c r="DV604" s="23">
        <v>2.08</v>
      </c>
      <c r="DW604" s="24">
        <v>38</v>
      </c>
      <c r="DX604" s="27">
        <v>0</v>
      </c>
      <c r="DY604" s="23">
        <v>0</v>
      </c>
      <c r="DZ604" s="15" t="s">
        <v>178</v>
      </c>
      <c r="EA604" s="22">
        <v>43594</v>
      </c>
      <c r="EB604" s="17" t="s">
        <v>138</v>
      </c>
      <c r="EC604" s="22" t="s">
        <v>138</v>
      </c>
      <c r="ED604" s="15" t="s">
        <v>138</v>
      </c>
      <c r="EE604" s="14" t="str">
        <f>HYPERLINK("https://my.pitchbook.com?c=60913-63", "View company online")</f>
        <v>View company online</v>
      </c>
    </row>
    <row r="605" spans="1:135">
      <c r="A605" s="28" t="s">
        <v>12237</v>
      </c>
      <c r="B605" s="28" t="s">
        <v>12238</v>
      </c>
      <c r="C605" s="28" t="s">
        <v>138</v>
      </c>
      <c r="D605" s="28" t="s">
        <v>138</v>
      </c>
      <c r="E605" s="28" t="s">
        <v>12239</v>
      </c>
      <c r="F605" s="28" t="s">
        <v>12237</v>
      </c>
      <c r="G605" s="28" t="s">
        <v>12240</v>
      </c>
      <c r="H605" s="28" t="s">
        <v>141</v>
      </c>
      <c r="I605" s="28" t="s">
        <v>212</v>
      </c>
      <c r="J605" s="28" t="s">
        <v>213</v>
      </c>
      <c r="K605" s="28" t="s">
        <v>1064</v>
      </c>
      <c r="L605" s="28" t="s">
        <v>4341</v>
      </c>
      <c r="M605" s="28" t="s">
        <v>12241</v>
      </c>
      <c r="N605" s="28" t="s">
        <v>147</v>
      </c>
      <c r="O605" s="29">
        <v>44.63</v>
      </c>
      <c r="P605" s="28" t="s">
        <v>148</v>
      </c>
      <c r="Q605" s="28" t="s">
        <v>149</v>
      </c>
      <c r="R605" s="28" t="s">
        <v>244</v>
      </c>
      <c r="S605" s="28" t="s">
        <v>12242</v>
      </c>
      <c r="T605" s="30">
        <v>57</v>
      </c>
      <c r="U605" s="28" t="s">
        <v>12243</v>
      </c>
      <c r="V605" s="28" t="s">
        <v>138</v>
      </c>
      <c r="W605" s="28" t="s">
        <v>138</v>
      </c>
      <c r="X605" s="31">
        <v>2012</v>
      </c>
      <c r="Y605" s="28" t="s">
        <v>138</v>
      </c>
      <c r="Z605" s="28" t="s">
        <v>1163</v>
      </c>
      <c r="AA605" s="28" t="s">
        <v>1163</v>
      </c>
      <c r="AB605" s="32" t="s">
        <v>138</v>
      </c>
      <c r="AC605" s="32" t="s">
        <v>138</v>
      </c>
      <c r="AD605" s="32" t="s">
        <v>138</v>
      </c>
      <c r="AE605" s="32" t="s">
        <v>138</v>
      </c>
      <c r="AF605" s="32" t="s">
        <v>138</v>
      </c>
      <c r="AG605" s="28" t="s">
        <v>138</v>
      </c>
      <c r="AH605" s="32" t="s">
        <v>138</v>
      </c>
      <c r="AI605" s="32" t="s">
        <v>138</v>
      </c>
      <c r="AJ605" s="32" t="s">
        <v>138</v>
      </c>
      <c r="AK605" s="28" t="s">
        <v>12244</v>
      </c>
      <c r="AL605" s="28" t="s">
        <v>12245</v>
      </c>
      <c r="AM605" s="28" t="s">
        <v>4399</v>
      </c>
      <c r="AN605" s="28" t="s">
        <v>12246</v>
      </c>
      <c r="AO605" s="28" t="s">
        <v>12247</v>
      </c>
      <c r="AP605" s="28" t="s">
        <v>3668</v>
      </c>
      <c r="AQ605" s="28" t="s">
        <v>12248</v>
      </c>
      <c r="AR605" s="28" t="s">
        <v>158</v>
      </c>
      <c r="AS605" s="28" t="s">
        <v>3670</v>
      </c>
      <c r="AT605" s="28" t="s">
        <v>200</v>
      </c>
      <c r="AU605" s="28" t="s">
        <v>12249</v>
      </c>
      <c r="AV605" s="28" t="s">
        <v>162</v>
      </c>
      <c r="AW605" s="28" t="s">
        <v>12247</v>
      </c>
      <c r="AX605" s="28" t="s">
        <v>138</v>
      </c>
      <c r="AY605" s="28" t="s">
        <v>138</v>
      </c>
      <c r="AZ605" s="28" t="s">
        <v>164</v>
      </c>
      <c r="BA605" s="28" t="s">
        <v>165</v>
      </c>
      <c r="BB605" s="28" t="s">
        <v>12250</v>
      </c>
      <c r="BC605" s="28" t="s">
        <v>12251</v>
      </c>
      <c r="BD605" s="33">
        <v>11</v>
      </c>
      <c r="BE605" s="28" t="s">
        <v>138</v>
      </c>
      <c r="BF605" s="28" t="s">
        <v>138</v>
      </c>
      <c r="BG605" s="28" t="s">
        <v>138</v>
      </c>
      <c r="BH605" s="28" t="s">
        <v>12252</v>
      </c>
      <c r="BI605" s="28" t="s">
        <v>138</v>
      </c>
      <c r="BJ605" s="28" t="s">
        <v>138</v>
      </c>
      <c r="BK605" s="28" t="s">
        <v>432</v>
      </c>
      <c r="BL605" s="28" t="s">
        <v>432</v>
      </c>
      <c r="BM605" s="34">
        <v>41213</v>
      </c>
      <c r="BN605" s="29">
        <v>1.5</v>
      </c>
      <c r="BO605" s="28" t="s">
        <v>172</v>
      </c>
      <c r="BP605" s="29" t="s">
        <v>138</v>
      </c>
      <c r="BQ605" s="28" t="s">
        <v>138</v>
      </c>
      <c r="BR605" s="28" t="s">
        <v>1326</v>
      </c>
      <c r="BS605" s="28" t="s">
        <v>138</v>
      </c>
      <c r="BT605" s="28" t="s">
        <v>138</v>
      </c>
      <c r="BU605" s="28" t="s">
        <v>1327</v>
      </c>
      <c r="BV605" s="28" t="s">
        <v>1328</v>
      </c>
      <c r="BW605" s="28" t="s">
        <v>138</v>
      </c>
      <c r="BX605" s="28" t="s">
        <v>138</v>
      </c>
      <c r="BY605" s="28" t="s">
        <v>175</v>
      </c>
      <c r="BZ605" s="34">
        <v>43033</v>
      </c>
      <c r="CA605" s="29">
        <v>12</v>
      </c>
      <c r="CB605" s="28" t="s">
        <v>172</v>
      </c>
      <c r="CC605" s="29">
        <v>76</v>
      </c>
      <c r="CD605" s="28" t="s">
        <v>172</v>
      </c>
      <c r="CE605" s="28" t="s">
        <v>173</v>
      </c>
      <c r="CF605" s="28" t="s">
        <v>317</v>
      </c>
      <c r="CG605" s="28" t="s">
        <v>138</v>
      </c>
      <c r="CH605" s="28" t="s">
        <v>174</v>
      </c>
      <c r="CI605" s="28" t="s">
        <v>138</v>
      </c>
      <c r="CJ605" s="28" t="s">
        <v>138</v>
      </c>
      <c r="CK605" s="28" t="s">
        <v>138</v>
      </c>
      <c r="CL605" s="28" t="s">
        <v>175</v>
      </c>
      <c r="CM605" s="34" t="s">
        <v>138</v>
      </c>
      <c r="CN605" s="29" t="s">
        <v>138</v>
      </c>
      <c r="CO605" s="35">
        <v>0.28999999999999998</v>
      </c>
      <c r="CP605" s="36">
        <v>93</v>
      </c>
      <c r="CQ605" s="35">
        <v>-0.05</v>
      </c>
      <c r="CR605" s="35">
        <v>-14.06</v>
      </c>
      <c r="CS605" s="35">
        <v>0.53</v>
      </c>
      <c r="CT605" s="36">
        <v>95</v>
      </c>
      <c r="CU605" s="35">
        <v>0.05</v>
      </c>
      <c r="CV605" s="36">
        <v>58</v>
      </c>
      <c r="CW605" s="35">
        <v>3.2</v>
      </c>
      <c r="CX605" s="36">
        <v>92</v>
      </c>
      <c r="CY605" s="35">
        <v>-2.14</v>
      </c>
      <c r="CZ605" s="36">
        <v>10</v>
      </c>
      <c r="DA605" s="35">
        <v>0.03</v>
      </c>
      <c r="DB605" s="36">
        <v>60</v>
      </c>
      <c r="DC605" s="37">
        <v>3.04</v>
      </c>
      <c r="DD605" s="36">
        <v>75</v>
      </c>
      <c r="DE605" s="37">
        <v>-0.13</v>
      </c>
      <c r="DF605" s="35">
        <v>-4.01</v>
      </c>
      <c r="DG605" s="37">
        <v>3.92</v>
      </c>
      <c r="DH605" s="36">
        <v>79</v>
      </c>
      <c r="DI605" s="37">
        <v>2.16</v>
      </c>
      <c r="DJ605" s="36">
        <v>64</v>
      </c>
      <c r="DK605" s="37">
        <v>3.87</v>
      </c>
      <c r="DL605" s="36">
        <v>76</v>
      </c>
      <c r="DM605" s="37">
        <v>3.97</v>
      </c>
      <c r="DN605" s="36">
        <v>78</v>
      </c>
      <c r="DO605" s="37">
        <v>4.16</v>
      </c>
      <c r="DP605" s="36">
        <v>76</v>
      </c>
      <c r="DQ605" s="36">
        <v>1272</v>
      </c>
      <c r="DR605" s="38">
        <v>171</v>
      </c>
      <c r="DS605" s="35">
        <v>15.53</v>
      </c>
      <c r="DT605" s="36">
        <v>115</v>
      </c>
      <c r="DU605" s="38">
        <v>-1</v>
      </c>
      <c r="DV605" s="35">
        <v>-0.86</v>
      </c>
      <c r="DW605" s="36">
        <v>1489</v>
      </c>
      <c r="DX605" s="39">
        <v>2</v>
      </c>
      <c r="DY605" s="35">
        <v>0.13</v>
      </c>
      <c r="DZ605" s="28" t="s">
        <v>178</v>
      </c>
      <c r="EA605" s="34">
        <v>43622</v>
      </c>
      <c r="EB605" s="29">
        <v>76</v>
      </c>
      <c r="EC605" s="34">
        <v>43033</v>
      </c>
      <c r="ED605" s="28" t="s">
        <v>173</v>
      </c>
      <c r="EE605" s="40" t="str">
        <f>HYPERLINK("https://my.pitchbook.com?c=55523-26", "View company online")</f>
        <v>View company online</v>
      </c>
    </row>
    <row r="606" spans="1:135">
      <c r="A606" s="15" t="s">
        <v>12253</v>
      </c>
      <c r="B606" s="15" t="s">
        <v>12254</v>
      </c>
      <c r="C606" s="15" t="s">
        <v>138</v>
      </c>
      <c r="D606" s="15" t="s">
        <v>12255</v>
      </c>
      <c r="E606" s="15" t="s">
        <v>12256</v>
      </c>
      <c r="F606" s="15" t="s">
        <v>12253</v>
      </c>
      <c r="G606" s="15" t="s">
        <v>12257</v>
      </c>
      <c r="H606" s="15" t="s">
        <v>238</v>
      </c>
      <c r="I606" s="15" t="s">
        <v>239</v>
      </c>
      <c r="J606" s="15" t="s">
        <v>1756</v>
      </c>
      <c r="K606" s="15" t="s">
        <v>12258</v>
      </c>
      <c r="L606" s="15" t="s">
        <v>4703</v>
      </c>
      <c r="M606" s="15" t="s">
        <v>12259</v>
      </c>
      <c r="N606" s="15" t="s">
        <v>147</v>
      </c>
      <c r="O606" s="17">
        <v>133.71</v>
      </c>
      <c r="P606" s="15" t="s">
        <v>148</v>
      </c>
      <c r="Q606" s="15" t="s">
        <v>149</v>
      </c>
      <c r="R606" s="15" t="s">
        <v>174</v>
      </c>
      <c r="S606" s="15" t="s">
        <v>12260</v>
      </c>
      <c r="T606" s="18">
        <v>400</v>
      </c>
      <c r="U606" s="15" t="s">
        <v>12261</v>
      </c>
      <c r="V606" s="15" t="s">
        <v>138</v>
      </c>
      <c r="W606" s="15" t="s">
        <v>138</v>
      </c>
      <c r="X606" s="19">
        <v>2005</v>
      </c>
      <c r="Y606" s="15" t="s">
        <v>138</v>
      </c>
      <c r="Z606" s="15" t="s">
        <v>138</v>
      </c>
      <c r="AA606" s="15" t="s">
        <v>138</v>
      </c>
      <c r="AB606" s="20">
        <v>100</v>
      </c>
      <c r="AC606" s="20" t="s">
        <v>138</v>
      </c>
      <c r="AD606" s="20" t="s">
        <v>138</v>
      </c>
      <c r="AE606" s="20" t="s">
        <v>138</v>
      </c>
      <c r="AF606" s="20" t="s">
        <v>138</v>
      </c>
      <c r="AG606" s="15" t="s">
        <v>815</v>
      </c>
      <c r="AH606" s="20" t="s">
        <v>138</v>
      </c>
      <c r="AI606" s="20" t="s">
        <v>138</v>
      </c>
      <c r="AJ606" s="20" t="s">
        <v>138</v>
      </c>
      <c r="AK606" s="15" t="s">
        <v>12262</v>
      </c>
      <c r="AL606" s="15" t="s">
        <v>12263</v>
      </c>
      <c r="AM606" s="15" t="s">
        <v>1004</v>
      </c>
      <c r="AN606" s="15" t="s">
        <v>12264</v>
      </c>
      <c r="AO606" s="15" t="s">
        <v>12265</v>
      </c>
      <c r="AP606" s="15" t="s">
        <v>423</v>
      </c>
      <c r="AQ606" s="15" t="s">
        <v>12266</v>
      </c>
      <c r="AR606" s="15" t="s">
        <v>4571</v>
      </c>
      <c r="AS606" s="15" t="s">
        <v>426</v>
      </c>
      <c r="AT606" s="15" t="s">
        <v>426</v>
      </c>
      <c r="AU606" s="15" t="s">
        <v>12267</v>
      </c>
      <c r="AV606" s="15" t="s">
        <v>162</v>
      </c>
      <c r="AW606" s="15" t="s">
        <v>12265</v>
      </c>
      <c r="AX606" s="15" t="s">
        <v>138</v>
      </c>
      <c r="AY606" s="15" t="s">
        <v>138</v>
      </c>
      <c r="AZ606" s="15" t="s">
        <v>164</v>
      </c>
      <c r="BA606" s="15" t="s">
        <v>165</v>
      </c>
      <c r="BB606" s="15" t="s">
        <v>12268</v>
      </c>
      <c r="BC606" s="15" t="s">
        <v>12269</v>
      </c>
      <c r="BD606" s="21">
        <v>18</v>
      </c>
      <c r="BE606" s="15" t="s">
        <v>138</v>
      </c>
      <c r="BF606" s="15" t="s">
        <v>138</v>
      </c>
      <c r="BG606" s="15" t="s">
        <v>138</v>
      </c>
      <c r="BH606" s="15" t="s">
        <v>12270</v>
      </c>
      <c r="BI606" s="15" t="s">
        <v>138</v>
      </c>
      <c r="BJ606" s="15" t="s">
        <v>138</v>
      </c>
      <c r="BK606" s="15" t="s">
        <v>138</v>
      </c>
      <c r="BL606" s="15" t="s">
        <v>12271</v>
      </c>
      <c r="BM606" s="22">
        <v>40222</v>
      </c>
      <c r="BN606" s="17">
        <v>0.5</v>
      </c>
      <c r="BO606" s="15" t="s">
        <v>172</v>
      </c>
      <c r="BP606" s="17" t="s">
        <v>138</v>
      </c>
      <c r="BQ606" s="15" t="s">
        <v>138</v>
      </c>
      <c r="BR606" s="15" t="s">
        <v>234</v>
      </c>
      <c r="BS606" s="15" t="s">
        <v>234</v>
      </c>
      <c r="BT606" s="15" t="s">
        <v>138</v>
      </c>
      <c r="BU606" s="15" t="s">
        <v>263</v>
      </c>
      <c r="BV606" s="15" t="s">
        <v>138</v>
      </c>
      <c r="BW606" s="15" t="s">
        <v>138</v>
      </c>
      <c r="BX606" s="15" t="s">
        <v>138</v>
      </c>
      <c r="BY606" s="15" t="s">
        <v>175</v>
      </c>
      <c r="BZ606" s="22" t="s">
        <v>138</v>
      </c>
      <c r="CA606" s="17" t="s">
        <v>138</v>
      </c>
      <c r="CB606" s="15" t="s">
        <v>138</v>
      </c>
      <c r="CC606" s="17" t="s">
        <v>138</v>
      </c>
      <c r="CD606" s="15" t="s">
        <v>138</v>
      </c>
      <c r="CE606" s="15" t="s">
        <v>2228</v>
      </c>
      <c r="CF606" s="15" t="s">
        <v>138</v>
      </c>
      <c r="CG606" s="15" t="s">
        <v>138</v>
      </c>
      <c r="CH606" s="15" t="s">
        <v>780</v>
      </c>
      <c r="CI606" s="15" t="s">
        <v>138</v>
      </c>
      <c r="CJ606" s="15" t="s">
        <v>138</v>
      </c>
      <c r="CK606" s="15" t="s">
        <v>138</v>
      </c>
      <c r="CL606" s="15" t="s">
        <v>3093</v>
      </c>
      <c r="CM606" s="22" t="s">
        <v>138</v>
      </c>
      <c r="CN606" s="17" t="s">
        <v>138</v>
      </c>
      <c r="CO606" s="23">
        <v>-0.49</v>
      </c>
      <c r="CP606" s="24">
        <v>16</v>
      </c>
      <c r="CQ606" s="23">
        <v>0</v>
      </c>
      <c r="CR606" s="23">
        <v>-0.06</v>
      </c>
      <c r="CS606" s="23">
        <v>-1.03</v>
      </c>
      <c r="CT606" s="24">
        <v>15</v>
      </c>
      <c r="CU606" s="23">
        <v>0.06</v>
      </c>
      <c r="CV606" s="24">
        <v>60</v>
      </c>
      <c r="CW606" s="23">
        <v>-1.66</v>
      </c>
      <c r="CX606" s="24">
        <v>8</v>
      </c>
      <c r="CY606" s="23">
        <v>-0.4</v>
      </c>
      <c r="CZ606" s="24">
        <v>23</v>
      </c>
      <c r="DA606" s="23">
        <v>0.06</v>
      </c>
      <c r="DB606" s="24">
        <v>65</v>
      </c>
      <c r="DC606" s="25">
        <v>4671.37</v>
      </c>
      <c r="DD606" s="24">
        <v>100</v>
      </c>
      <c r="DE606" s="25">
        <v>-270.83</v>
      </c>
      <c r="DF606" s="23">
        <v>-5.48</v>
      </c>
      <c r="DG606" s="25">
        <v>5649.23</v>
      </c>
      <c r="DH606" s="24">
        <v>100</v>
      </c>
      <c r="DI606" s="25">
        <v>3693.51</v>
      </c>
      <c r="DJ606" s="24">
        <v>100</v>
      </c>
      <c r="DK606" s="25">
        <v>9024.8700000000008</v>
      </c>
      <c r="DL606" s="24">
        <v>100</v>
      </c>
      <c r="DM606" s="25">
        <v>2273.59</v>
      </c>
      <c r="DN606" s="24">
        <v>100</v>
      </c>
      <c r="DO606" s="25">
        <v>3693.51</v>
      </c>
      <c r="DP606" s="24">
        <v>100</v>
      </c>
      <c r="DQ606" s="24">
        <v>3134098</v>
      </c>
      <c r="DR606" s="26">
        <v>-115701</v>
      </c>
      <c r="DS606" s="23">
        <v>-3.56</v>
      </c>
      <c r="DT606" s="24">
        <v>65813</v>
      </c>
      <c r="DU606" s="26">
        <v>335</v>
      </c>
      <c r="DV606" s="23">
        <v>0.51</v>
      </c>
      <c r="DW606" s="24">
        <v>1319967</v>
      </c>
      <c r="DX606" s="27">
        <v>2142</v>
      </c>
      <c r="DY606" s="23">
        <v>0.16</v>
      </c>
      <c r="DZ606" s="15" t="s">
        <v>178</v>
      </c>
      <c r="EA606" s="22">
        <v>43613</v>
      </c>
      <c r="EB606" s="17">
        <v>460</v>
      </c>
      <c r="EC606" s="22">
        <v>42593</v>
      </c>
      <c r="ED606" s="15" t="s">
        <v>173</v>
      </c>
      <c r="EE606" s="14" t="str">
        <f>HYPERLINK("https://my.pitchbook.com?c=53325-37", "View company online")</f>
        <v>View company online</v>
      </c>
    </row>
    <row r="607" spans="1:135">
      <c r="A607" s="28" t="s">
        <v>12272</v>
      </c>
      <c r="B607" s="28" t="s">
        <v>12273</v>
      </c>
      <c r="C607" s="28" t="s">
        <v>138</v>
      </c>
      <c r="D607" s="28" t="s">
        <v>138</v>
      </c>
      <c r="E607" s="28" t="s">
        <v>138</v>
      </c>
      <c r="F607" s="28" t="s">
        <v>12272</v>
      </c>
      <c r="G607" s="28" t="s">
        <v>12274</v>
      </c>
      <c r="H607" s="28" t="s">
        <v>322</v>
      </c>
      <c r="I607" s="28" t="s">
        <v>323</v>
      </c>
      <c r="J607" s="28" t="s">
        <v>954</v>
      </c>
      <c r="K607" s="28" t="s">
        <v>1562</v>
      </c>
      <c r="L607" s="28" t="s">
        <v>3343</v>
      </c>
      <c r="M607" s="28" t="s">
        <v>12275</v>
      </c>
      <c r="N607" s="28" t="s">
        <v>147</v>
      </c>
      <c r="O607" s="29">
        <v>6.5</v>
      </c>
      <c r="P607" s="28" t="s">
        <v>148</v>
      </c>
      <c r="Q607" s="28" t="s">
        <v>149</v>
      </c>
      <c r="R607" s="28" t="s">
        <v>174</v>
      </c>
      <c r="S607" s="28" t="s">
        <v>12276</v>
      </c>
      <c r="T607" s="30">
        <v>7</v>
      </c>
      <c r="U607" s="28" t="s">
        <v>12277</v>
      </c>
      <c r="V607" s="28" t="s">
        <v>138</v>
      </c>
      <c r="W607" s="28" t="s">
        <v>138</v>
      </c>
      <c r="X607" s="31">
        <v>2000</v>
      </c>
      <c r="Y607" s="28" t="s">
        <v>138</v>
      </c>
      <c r="Z607" s="28" t="s">
        <v>138</v>
      </c>
      <c r="AA607" s="28" t="s">
        <v>138</v>
      </c>
      <c r="AB607" s="32" t="s">
        <v>138</v>
      </c>
      <c r="AC607" s="32" t="s">
        <v>138</v>
      </c>
      <c r="AD607" s="32" t="s">
        <v>138</v>
      </c>
      <c r="AE607" s="32" t="s">
        <v>138</v>
      </c>
      <c r="AF607" s="32" t="s">
        <v>138</v>
      </c>
      <c r="AG607" s="28" t="s">
        <v>138</v>
      </c>
      <c r="AH607" s="32" t="s">
        <v>138</v>
      </c>
      <c r="AI607" s="32" t="s">
        <v>138</v>
      </c>
      <c r="AJ607" s="32" t="s">
        <v>138</v>
      </c>
      <c r="AK607" s="28" t="s">
        <v>12278</v>
      </c>
      <c r="AL607" s="28" t="s">
        <v>12279</v>
      </c>
      <c r="AM607" s="28" t="s">
        <v>12280</v>
      </c>
      <c r="AN607" s="28" t="s">
        <v>138</v>
      </c>
      <c r="AO607" s="28" t="s">
        <v>138</v>
      </c>
      <c r="AP607" s="28" t="s">
        <v>4898</v>
      </c>
      <c r="AQ607" s="28" t="s">
        <v>12281</v>
      </c>
      <c r="AR607" s="28" t="s">
        <v>138</v>
      </c>
      <c r="AS607" s="28" t="s">
        <v>4900</v>
      </c>
      <c r="AT607" s="28" t="s">
        <v>200</v>
      </c>
      <c r="AU607" s="28" t="s">
        <v>10934</v>
      </c>
      <c r="AV607" s="28" t="s">
        <v>162</v>
      </c>
      <c r="AW607" s="28" t="s">
        <v>138</v>
      </c>
      <c r="AX607" s="28" t="s">
        <v>138</v>
      </c>
      <c r="AY607" s="28" t="s">
        <v>12282</v>
      </c>
      <c r="AZ607" s="28" t="s">
        <v>164</v>
      </c>
      <c r="BA607" s="28" t="s">
        <v>165</v>
      </c>
      <c r="BB607" s="28" t="s">
        <v>12283</v>
      </c>
      <c r="BC607" s="28" t="s">
        <v>12284</v>
      </c>
      <c r="BD607" s="33">
        <v>3</v>
      </c>
      <c r="BE607" s="28" t="s">
        <v>138</v>
      </c>
      <c r="BF607" s="28" t="s">
        <v>7802</v>
      </c>
      <c r="BG607" s="28" t="s">
        <v>138</v>
      </c>
      <c r="BH607" s="28" t="s">
        <v>12285</v>
      </c>
      <c r="BI607" s="28" t="s">
        <v>138</v>
      </c>
      <c r="BJ607" s="28" t="s">
        <v>138</v>
      </c>
      <c r="BK607" s="28" t="s">
        <v>138</v>
      </c>
      <c r="BL607" s="28" t="s">
        <v>138</v>
      </c>
      <c r="BM607" s="34" t="s">
        <v>138</v>
      </c>
      <c r="BN607" s="29" t="s">
        <v>138</v>
      </c>
      <c r="BO607" s="28" t="s">
        <v>138</v>
      </c>
      <c r="BP607" s="29" t="s">
        <v>138</v>
      </c>
      <c r="BQ607" s="28" t="s">
        <v>138</v>
      </c>
      <c r="BR607" s="28" t="s">
        <v>234</v>
      </c>
      <c r="BS607" s="28" t="s">
        <v>234</v>
      </c>
      <c r="BT607" s="28" t="s">
        <v>138</v>
      </c>
      <c r="BU607" s="28" t="s">
        <v>174</v>
      </c>
      <c r="BV607" s="28" t="s">
        <v>138</v>
      </c>
      <c r="BW607" s="28" t="s">
        <v>138</v>
      </c>
      <c r="BX607" s="28" t="s">
        <v>138</v>
      </c>
      <c r="BY607" s="28" t="s">
        <v>175</v>
      </c>
      <c r="BZ607" s="34" t="s">
        <v>138</v>
      </c>
      <c r="CA607" s="29" t="s">
        <v>138</v>
      </c>
      <c r="CB607" s="28" t="s">
        <v>138</v>
      </c>
      <c r="CC607" s="29" t="s">
        <v>138</v>
      </c>
      <c r="CD607" s="28" t="s">
        <v>138</v>
      </c>
      <c r="CE607" s="28" t="s">
        <v>379</v>
      </c>
      <c r="CF607" s="28" t="s">
        <v>138</v>
      </c>
      <c r="CG607" s="28" t="s">
        <v>138</v>
      </c>
      <c r="CH607" s="28" t="s">
        <v>174</v>
      </c>
      <c r="CI607" s="28" t="s">
        <v>138</v>
      </c>
      <c r="CJ607" s="28" t="s">
        <v>138</v>
      </c>
      <c r="CK607" s="28" t="s">
        <v>138</v>
      </c>
      <c r="CL607" s="28" t="s">
        <v>175</v>
      </c>
      <c r="CM607" s="34" t="s">
        <v>138</v>
      </c>
      <c r="CN607" s="29" t="s">
        <v>138</v>
      </c>
      <c r="CO607" s="35">
        <v>0</v>
      </c>
      <c r="CP607" s="36">
        <v>26</v>
      </c>
      <c r="CQ607" s="35">
        <v>0</v>
      </c>
      <c r="CR607" s="35">
        <v>-0.08</v>
      </c>
      <c r="CS607" s="35" t="s">
        <v>138</v>
      </c>
      <c r="CT607" s="36" t="s">
        <v>138</v>
      </c>
      <c r="CU607" s="35">
        <v>0</v>
      </c>
      <c r="CV607" s="36">
        <v>22</v>
      </c>
      <c r="CW607" s="35" t="s">
        <v>138</v>
      </c>
      <c r="CX607" s="36" t="s">
        <v>138</v>
      </c>
      <c r="CY607" s="35" t="s">
        <v>138</v>
      </c>
      <c r="CZ607" s="36" t="s">
        <v>138</v>
      </c>
      <c r="DA607" s="35">
        <v>-0.01</v>
      </c>
      <c r="DB607" s="36">
        <v>21</v>
      </c>
      <c r="DC607" s="37">
        <v>1.97</v>
      </c>
      <c r="DD607" s="36">
        <v>67</v>
      </c>
      <c r="DE607" s="37">
        <v>0.01</v>
      </c>
      <c r="DF607" s="35">
        <v>0.43</v>
      </c>
      <c r="DG607" s="37" t="s">
        <v>138</v>
      </c>
      <c r="DH607" s="36" t="s">
        <v>138</v>
      </c>
      <c r="DI607" s="37">
        <v>1.97</v>
      </c>
      <c r="DJ607" s="36">
        <v>62</v>
      </c>
      <c r="DK607" s="37" t="s">
        <v>138</v>
      </c>
      <c r="DL607" s="36" t="s">
        <v>138</v>
      </c>
      <c r="DM607" s="37" t="s">
        <v>138</v>
      </c>
      <c r="DN607" s="36" t="s">
        <v>138</v>
      </c>
      <c r="DO607" s="37">
        <v>3.6</v>
      </c>
      <c r="DP607" s="36">
        <v>74</v>
      </c>
      <c r="DQ607" s="36" t="s">
        <v>138</v>
      </c>
      <c r="DR607" s="38" t="s">
        <v>138</v>
      </c>
      <c r="DS607" s="35" t="s">
        <v>138</v>
      </c>
      <c r="DT607" s="36" t="s">
        <v>138</v>
      </c>
      <c r="DU607" s="38" t="s">
        <v>138</v>
      </c>
      <c r="DV607" s="35" t="s">
        <v>138</v>
      </c>
      <c r="DW607" s="36">
        <v>1290</v>
      </c>
      <c r="DX607" s="39">
        <v>-1</v>
      </c>
      <c r="DY607" s="35">
        <v>-0.08</v>
      </c>
      <c r="DZ607" s="28" t="s">
        <v>178</v>
      </c>
      <c r="EA607" s="34">
        <v>43444</v>
      </c>
      <c r="EB607" s="29" t="s">
        <v>138</v>
      </c>
      <c r="EC607" s="34" t="s">
        <v>138</v>
      </c>
      <c r="ED607" s="28" t="s">
        <v>138</v>
      </c>
      <c r="EE607" s="40" t="str">
        <f>HYPERLINK("https://my.pitchbook.com?c=59175-55", "View company online")</f>
        <v>View company online</v>
      </c>
    </row>
    <row r="608" spans="1:135">
      <c r="A608" s="15" t="s">
        <v>12286</v>
      </c>
      <c r="B608" s="15" t="s">
        <v>12287</v>
      </c>
      <c r="C608" s="15" t="s">
        <v>12288</v>
      </c>
      <c r="D608" s="15" t="s">
        <v>138</v>
      </c>
      <c r="E608" s="15" t="s">
        <v>12289</v>
      </c>
      <c r="F608" s="15" t="s">
        <v>12286</v>
      </c>
      <c r="G608" s="15" t="s">
        <v>12290</v>
      </c>
      <c r="H608" s="15" t="s">
        <v>322</v>
      </c>
      <c r="I608" s="15" t="s">
        <v>323</v>
      </c>
      <c r="J608" s="15" t="s">
        <v>461</v>
      </c>
      <c r="K608" s="15" t="s">
        <v>462</v>
      </c>
      <c r="L608" s="15" t="s">
        <v>2210</v>
      </c>
      <c r="M608" s="15" t="s">
        <v>12291</v>
      </c>
      <c r="N608" s="15" t="s">
        <v>1452</v>
      </c>
      <c r="O608" s="17">
        <v>94.36</v>
      </c>
      <c r="P608" s="15" t="s">
        <v>812</v>
      </c>
      <c r="Q608" s="15" t="s">
        <v>149</v>
      </c>
      <c r="R608" s="15" t="s">
        <v>1652</v>
      </c>
      <c r="S608" s="15" t="s">
        <v>12292</v>
      </c>
      <c r="T608" s="18">
        <v>186</v>
      </c>
      <c r="U608" s="15" t="s">
        <v>12293</v>
      </c>
      <c r="V608" s="15" t="s">
        <v>138</v>
      </c>
      <c r="W608" s="15" t="s">
        <v>138</v>
      </c>
      <c r="X608" s="19">
        <v>2004</v>
      </c>
      <c r="Y608" s="15" t="s">
        <v>138</v>
      </c>
      <c r="Z608" s="15" t="s">
        <v>138</v>
      </c>
      <c r="AA608" s="15" t="s">
        <v>138</v>
      </c>
      <c r="AB608" s="20">
        <v>100</v>
      </c>
      <c r="AC608" s="20" t="s">
        <v>138</v>
      </c>
      <c r="AD608" s="20" t="s">
        <v>138</v>
      </c>
      <c r="AE608" s="20" t="s">
        <v>138</v>
      </c>
      <c r="AF608" s="20" t="s">
        <v>138</v>
      </c>
      <c r="AG608" s="15" t="s">
        <v>563</v>
      </c>
      <c r="AH608" s="20" t="s">
        <v>138</v>
      </c>
      <c r="AI608" s="20" t="s">
        <v>138</v>
      </c>
      <c r="AJ608" s="20" t="s">
        <v>138</v>
      </c>
      <c r="AK608" s="15" t="s">
        <v>12294</v>
      </c>
      <c r="AL608" s="15" t="s">
        <v>12295</v>
      </c>
      <c r="AM608" s="15" t="s">
        <v>12296</v>
      </c>
      <c r="AN608" s="15" t="s">
        <v>12297</v>
      </c>
      <c r="AO608" s="15" t="s">
        <v>12298</v>
      </c>
      <c r="AP608" s="15" t="s">
        <v>1220</v>
      </c>
      <c r="AQ608" s="15" t="s">
        <v>12299</v>
      </c>
      <c r="AR608" s="15" t="s">
        <v>3062</v>
      </c>
      <c r="AS608" s="15" t="s">
        <v>1223</v>
      </c>
      <c r="AT608" s="15" t="s">
        <v>200</v>
      </c>
      <c r="AU608" s="15" t="s">
        <v>1484</v>
      </c>
      <c r="AV608" s="15" t="s">
        <v>162</v>
      </c>
      <c r="AW608" s="15" t="s">
        <v>12298</v>
      </c>
      <c r="AX608" s="15" t="s">
        <v>138</v>
      </c>
      <c r="AY608" s="15" t="s">
        <v>12300</v>
      </c>
      <c r="AZ608" s="15" t="s">
        <v>164</v>
      </c>
      <c r="BA608" s="15" t="s">
        <v>165</v>
      </c>
      <c r="BB608" s="15" t="s">
        <v>12301</v>
      </c>
      <c r="BC608" s="15" t="s">
        <v>12302</v>
      </c>
      <c r="BD608" s="21">
        <v>15</v>
      </c>
      <c r="BE608" s="15" t="s">
        <v>138</v>
      </c>
      <c r="BF608" s="15" t="s">
        <v>138</v>
      </c>
      <c r="BG608" s="15" t="s">
        <v>138</v>
      </c>
      <c r="BH608" s="15" t="s">
        <v>12303</v>
      </c>
      <c r="BI608" s="15" t="s">
        <v>138</v>
      </c>
      <c r="BJ608" s="15" t="s">
        <v>138</v>
      </c>
      <c r="BK608" s="15" t="s">
        <v>12304</v>
      </c>
      <c r="BL608" s="15" t="s">
        <v>12305</v>
      </c>
      <c r="BM608" s="22">
        <v>38880</v>
      </c>
      <c r="BN608" s="17">
        <v>14.49</v>
      </c>
      <c r="BO608" s="15" t="s">
        <v>172</v>
      </c>
      <c r="BP608" s="17">
        <v>25.71</v>
      </c>
      <c r="BQ608" s="15" t="s">
        <v>172</v>
      </c>
      <c r="BR608" s="15" t="s">
        <v>205</v>
      </c>
      <c r="BS608" s="15" t="s">
        <v>206</v>
      </c>
      <c r="BT608" s="15" t="s">
        <v>138</v>
      </c>
      <c r="BU608" s="15" t="s">
        <v>174</v>
      </c>
      <c r="BV608" s="15" t="s">
        <v>138</v>
      </c>
      <c r="BW608" s="15" t="s">
        <v>138</v>
      </c>
      <c r="BX608" s="15" t="s">
        <v>138</v>
      </c>
      <c r="BY608" s="15" t="s">
        <v>175</v>
      </c>
      <c r="BZ608" s="22">
        <v>43564</v>
      </c>
      <c r="CA608" s="17">
        <v>70</v>
      </c>
      <c r="CB608" s="15" t="s">
        <v>1178</v>
      </c>
      <c r="CC608" s="17">
        <v>100</v>
      </c>
      <c r="CD608" s="15" t="s">
        <v>1178</v>
      </c>
      <c r="CE608" s="15" t="s">
        <v>349</v>
      </c>
      <c r="CF608" s="15" t="s">
        <v>138</v>
      </c>
      <c r="CG608" s="15" t="s">
        <v>138</v>
      </c>
      <c r="CH608" s="15" t="s">
        <v>351</v>
      </c>
      <c r="CI608" s="15" t="s">
        <v>138</v>
      </c>
      <c r="CJ608" s="15" t="s">
        <v>138</v>
      </c>
      <c r="CK608" s="15" t="s">
        <v>138</v>
      </c>
      <c r="CL608" s="15" t="s">
        <v>175</v>
      </c>
      <c r="CM608" s="22">
        <v>43070</v>
      </c>
      <c r="CN608" s="17">
        <v>15</v>
      </c>
      <c r="CO608" s="23">
        <v>2.77</v>
      </c>
      <c r="CP608" s="24">
        <v>100</v>
      </c>
      <c r="CQ608" s="23">
        <v>0.02</v>
      </c>
      <c r="CR608" s="23">
        <v>0.55000000000000004</v>
      </c>
      <c r="CS608" s="23">
        <v>5.34</v>
      </c>
      <c r="CT608" s="24">
        <v>100</v>
      </c>
      <c r="CU608" s="23">
        <v>0.2</v>
      </c>
      <c r="CV608" s="24">
        <v>80</v>
      </c>
      <c r="CW608" s="23">
        <v>5.34</v>
      </c>
      <c r="CX608" s="24">
        <v>96</v>
      </c>
      <c r="CY608" s="23" t="s">
        <v>138</v>
      </c>
      <c r="CZ608" s="24" t="s">
        <v>138</v>
      </c>
      <c r="DA608" s="23">
        <v>0.2</v>
      </c>
      <c r="DB608" s="24">
        <v>82</v>
      </c>
      <c r="DC608" s="25">
        <v>6.15</v>
      </c>
      <c r="DD608" s="24">
        <v>85</v>
      </c>
      <c r="DE608" s="25">
        <v>-0.39</v>
      </c>
      <c r="DF608" s="23">
        <v>-5.91</v>
      </c>
      <c r="DG608" s="25">
        <v>6.5</v>
      </c>
      <c r="DH608" s="24">
        <v>85</v>
      </c>
      <c r="DI608" s="25">
        <v>5.81</v>
      </c>
      <c r="DJ608" s="24">
        <v>79</v>
      </c>
      <c r="DK608" s="25">
        <v>6.5</v>
      </c>
      <c r="DL608" s="24">
        <v>82</v>
      </c>
      <c r="DM608" s="25" t="s">
        <v>138</v>
      </c>
      <c r="DN608" s="24" t="s">
        <v>138</v>
      </c>
      <c r="DO608" s="25">
        <v>5.81</v>
      </c>
      <c r="DP608" s="24">
        <v>81</v>
      </c>
      <c r="DQ608" s="24">
        <v>2178</v>
      </c>
      <c r="DR608" s="26">
        <v>152</v>
      </c>
      <c r="DS608" s="23">
        <v>7.5</v>
      </c>
      <c r="DT608" s="24" t="s">
        <v>138</v>
      </c>
      <c r="DU608" s="26" t="s">
        <v>138</v>
      </c>
      <c r="DV608" s="23" t="s">
        <v>138</v>
      </c>
      <c r="DW608" s="24">
        <v>2073</v>
      </c>
      <c r="DX608" s="27">
        <v>5</v>
      </c>
      <c r="DY608" s="23">
        <v>0.24</v>
      </c>
      <c r="DZ608" s="15" t="s">
        <v>178</v>
      </c>
      <c r="EA608" s="22">
        <v>43619</v>
      </c>
      <c r="EB608" s="17">
        <v>100</v>
      </c>
      <c r="EC608" s="22">
        <v>43564</v>
      </c>
      <c r="ED608" s="15" t="s">
        <v>349</v>
      </c>
      <c r="EE608" s="14" t="str">
        <f>HYPERLINK("https://my.pitchbook.com?c=52869-25", "View company online")</f>
        <v>View company online</v>
      </c>
    </row>
    <row r="609" spans="1:135">
      <c r="A609" s="28" t="s">
        <v>12306</v>
      </c>
      <c r="B609" s="28" t="s">
        <v>12307</v>
      </c>
      <c r="C609" s="28" t="s">
        <v>138</v>
      </c>
      <c r="D609" s="28" t="s">
        <v>138</v>
      </c>
      <c r="E609" s="28" t="s">
        <v>12308</v>
      </c>
      <c r="F609" s="28" t="s">
        <v>12306</v>
      </c>
      <c r="G609" s="28" t="s">
        <v>12309</v>
      </c>
      <c r="H609" s="28" t="s">
        <v>322</v>
      </c>
      <c r="I609" s="28" t="s">
        <v>323</v>
      </c>
      <c r="J609" s="28" t="s">
        <v>1084</v>
      </c>
      <c r="K609" s="28" t="s">
        <v>1579</v>
      </c>
      <c r="L609" s="28" t="s">
        <v>415</v>
      </c>
      <c r="M609" s="28" t="s">
        <v>12310</v>
      </c>
      <c r="N609" s="28" t="s">
        <v>147</v>
      </c>
      <c r="O609" s="29">
        <v>6.9</v>
      </c>
      <c r="P609" s="28" t="s">
        <v>148</v>
      </c>
      <c r="Q609" s="28" t="s">
        <v>149</v>
      </c>
      <c r="R609" s="28" t="s">
        <v>174</v>
      </c>
      <c r="S609" s="28" t="s">
        <v>12311</v>
      </c>
      <c r="T609" s="30">
        <v>11</v>
      </c>
      <c r="U609" s="28" t="s">
        <v>3406</v>
      </c>
      <c r="V609" s="28" t="s">
        <v>138</v>
      </c>
      <c r="W609" s="28" t="s">
        <v>138</v>
      </c>
      <c r="X609" s="31">
        <v>2010</v>
      </c>
      <c r="Y609" s="28" t="s">
        <v>138</v>
      </c>
      <c r="Z609" s="28" t="s">
        <v>138</v>
      </c>
      <c r="AA609" s="28" t="s">
        <v>138</v>
      </c>
      <c r="AB609" s="32" t="s">
        <v>138</v>
      </c>
      <c r="AC609" s="32" t="s">
        <v>138</v>
      </c>
      <c r="AD609" s="32" t="s">
        <v>138</v>
      </c>
      <c r="AE609" s="32" t="s">
        <v>138</v>
      </c>
      <c r="AF609" s="32" t="s">
        <v>138</v>
      </c>
      <c r="AG609" s="28" t="s">
        <v>138</v>
      </c>
      <c r="AH609" s="32" t="s">
        <v>138</v>
      </c>
      <c r="AI609" s="32" t="s">
        <v>138</v>
      </c>
      <c r="AJ609" s="32" t="s">
        <v>138</v>
      </c>
      <c r="AK609" s="28" t="s">
        <v>12312</v>
      </c>
      <c r="AL609" s="28" t="s">
        <v>12313</v>
      </c>
      <c r="AM609" s="28" t="s">
        <v>839</v>
      </c>
      <c r="AN609" s="28" t="s">
        <v>12314</v>
      </c>
      <c r="AO609" s="28" t="s">
        <v>12315</v>
      </c>
      <c r="AP609" s="28" t="s">
        <v>1292</v>
      </c>
      <c r="AQ609" s="28" t="s">
        <v>12316</v>
      </c>
      <c r="AR609" s="28" t="s">
        <v>618</v>
      </c>
      <c r="AS609" s="28" t="s">
        <v>1294</v>
      </c>
      <c r="AT609" s="28" t="s">
        <v>864</v>
      </c>
      <c r="AU609" s="28" t="s">
        <v>12317</v>
      </c>
      <c r="AV609" s="28" t="s">
        <v>162</v>
      </c>
      <c r="AW609" s="28" t="s">
        <v>12315</v>
      </c>
      <c r="AX609" s="28" t="s">
        <v>138</v>
      </c>
      <c r="AY609" s="28" t="s">
        <v>138</v>
      </c>
      <c r="AZ609" s="28" t="s">
        <v>164</v>
      </c>
      <c r="BA609" s="28" t="s">
        <v>165</v>
      </c>
      <c r="BB609" s="28" t="s">
        <v>12318</v>
      </c>
      <c r="BC609" s="28" t="s">
        <v>12319</v>
      </c>
      <c r="BD609" s="33">
        <v>2</v>
      </c>
      <c r="BE609" s="28" t="s">
        <v>138</v>
      </c>
      <c r="BF609" s="28" t="s">
        <v>138</v>
      </c>
      <c r="BG609" s="28" t="s">
        <v>138</v>
      </c>
      <c r="BH609" s="28" t="s">
        <v>3002</v>
      </c>
      <c r="BI609" s="28" t="s">
        <v>138</v>
      </c>
      <c r="BJ609" s="28" t="s">
        <v>138</v>
      </c>
      <c r="BK609" s="28" t="s">
        <v>138</v>
      </c>
      <c r="BL609" s="28" t="s">
        <v>138</v>
      </c>
      <c r="BM609" s="34">
        <v>42654</v>
      </c>
      <c r="BN609" s="29">
        <v>2.4</v>
      </c>
      <c r="BO609" s="28" t="s">
        <v>172</v>
      </c>
      <c r="BP609" s="29">
        <v>12</v>
      </c>
      <c r="BQ609" s="28" t="s">
        <v>1178</v>
      </c>
      <c r="BR609" s="28" t="s">
        <v>205</v>
      </c>
      <c r="BS609" s="28" t="s">
        <v>206</v>
      </c>
      <c r="BT609" s="28" t="s">
        <v>138</v>
      </c>
      <c r="BU609" s="28" t="s">
        <v>174</v>
      </c>
      <c r="BV609" s="28" t="s">
        <v>138</v>
      </c>
      <c r="BW609" s="28" t="s">
        <v>138</v>
      </c>
      <c r="BX609" s="28" t="s">
        <v>138</v>
      </c>
      <c r="BY609" s="28" t="s">
        <v>175</v>
      </c>
      <c r="BZ609" s="34">
        <v>43031</v>
      </c>
      <c r="CA609" s="29">
        <v>4.5</v>
      </c>
      <c r="CB609" s="28" t="s">
        <v>1178</v>
      </c>
      <c r="CC609" s="29">
        <v>30</v>
      </c>
      <c r="CD609" s="28" t="s">
        <v>1178</v>
      </c>
      <c r="CE609" s="28" t="s">
        <v>173</v>
      </c>
      <c r="CF609" s="28" t="s">
        <v>623</v>
      </c>
      <c r="CG609" s="28" t="s">
        <v>138</v>
      </c>
      <c r="CH609" s="28" t="s">
        <v>174</v>
      </c>
      <c r="CI609" s="28" t="s">
        <v>138</v>
      </c>
      <c r="CJ609" s="28" t="s">
        <v>138</v>
      </c>
      <c r="CK609" s="28" t="s">
        <v>138</v>
      </c>
      <c r="CL609" s="28" t="s">
        <v>175</v>
      </c>
      <c r="CM609" s="34" t="s">
        <v>138</v>
      </c>
      <c r="CN609" s="29" t="s">
        <v>138</v>
      </c>
      <c r="CO609" s="35">
        <v>0.51</v>
      </c>
      <c r="CP609" s="36">
        <v>95</v>
      </c>
      <c r="CQ609" s="35">
        <v>0</v>
      </c>
      <c r="CR609" s="35">
        <v>0</v>
      </c>
      <c r="CS609" s="35">
        <v>1.01</v>
      </c>
      <c r="CT609" s="36">
        <v>97</v>
      </c>
      <c r="CU609" s="35">
        <v>0</v>
      </c>
      <c r="CV609" s="36">
        <v>22</v>
      </c>
      <c r="CW609" s="35" t="s">
        <v>138</v>
      </c>
      <c r="CX609" s="36" t="s">
        <v>138</v>
      </c>
      <c r="CY609" s="35">
        <v>1.01</v>
      </c>
      <c r="CZ609" s="36">
        <v>99</v>
      </c>
      <c r="DA609" s="35">
        <v>0</v>
      </c>
      <c r="DB609" s="36">
        <v>22</v>
      </c>
      <c r="DC609" s="37">
        <v>2.71</v>
      </c>
      <c r="DD609" s="36">
        <v>73</v>
      </c>
      <c r="DE609" s="37">
        <v>0</v>
      </c>
      <c r="DF609" s="35">
        <v>0.04</v>
      </c>
      <c r="DG609" s="37">
        <v>5.03</v>
      </c>
      <c r="DH609" s="36">
        <v>82</v>
      </c>
      <c r="DI609" s="37">
        <v>0.38</v>
      </c>
      <c r="DJ609" s="36">
        <v>32</v>
      </c>
      <c r="DK609" s="37" t="s">
        <v>138</v>
      </c>
      <c r="DL609" s="36" t="s">
        <v>138</v>
      </c>
      <c r="DM609" s="37">
        <v>5.03</v>
      </c>
      <c r="DN609" s="36">
        <v>81</v>
      </c>
      <c r="DO609" s="37">
        <v>0.38</v>
      </c>
      <c r="DP609" s="36">
        <v>34</v>
      </c>
      <c r="DQ609" s="36">
        <v>224</v>
      </c>
      <c r="DR609" s="38">
        <v>-9</v>
      </c>
      <c r="DS609" s="35">
        <v>-3.86</v>
      </c>
      <c r="DT609" s="36">
        <v>146</v>
      </c>
      <c r="DU609" s="38">
        <v>1</v>
      </c>
      <c r="DV609" s="35">
        <v>0.69</v>
      </c>
      <c r="DW609" s="36">
        <v>135</v>
      </c>
      <c r="DX609" s="39">
        <v>0</v>
      </c>
      <c r="DY609" s="35">
        <v>0</v>
      </c>
      <c r="DZ609" s="28" t="s">
        <v>178</v>
      </c>
      <c r="EA609" s="34">
        <v>43502</v>
      </c>
      <c r="EB609" s="29">
        <v>30</v>
      </c>
      <c r="EC609" s="34">
        <v>43031</v>
      </c>
      <c r="ED609" s="28" t="s">
        <v>173</v>
      </c>
      <c r="EE609" s="40" t="str">
        <f>HYPERLINK("https://my.pitchbook.com?c=122138-29", "View company online")</f>
        <v>View company online</v>
      </c>
    </row>
    <row r="610" spans="1:135">
      <c r="A610" s="15" t="s">
        <v>12320</v>
      </c>
      <c r="B610" s="15" t="s">
        <v>12321</v>
      </c>
      <c r="C610" s="15" t="s">
        <v>12322</v>
      </c>
      <c r="D610" s="15" t="s">
        <v>138</v>
      </c>
      <c r="E610" s="15" t="s">
        <v>12323</v>
      </c>
      <c r="F610" s="15" t="s">
        <v>12320</v>
      </c>
      <c r="G610" s="15" t="s">
        <v>12324</v>
      </c>
      <c r="H610" s="15" t="s">
        <v>322</v>
      </c>
      <c r="I610" s="15" t="s">
        <v>323</v>
      </c>
      <c r="J610" s="15" t="s">
        <v>324</v>
      </c>
      <c r="K610" s="15" t="s">
        <v>325</v>
      </c>
      <c r="L610" s="15" t="s">
        <v>2274</v>
      </c>
      <c r="M610" s="15" t="s">
        <v>12325</v>
      </c>
      <c r="N610" s="15" t="s">
        <v>147</v>
      </c>
      <c r="O610" s="17">
        <v>7.7</v>
      </c>
      <c r="P610" s="15" t="s">
        <v>148</v>
      </c>
      <c r="Q610" s="15" t="s">
        <v>149</v>
      </c>
      <c r="R610" s="15" t="s">
        <v>174</v>
      </c>
      <c r="S610" s="15" t="s">
        <v>12326</v>
      </c>
      <c r="T610" s="18">
        <v>15</v>
      </c>
      <c r="U610" s="15" t="s">
        <v>913</v>
      </c>
      <c r="V610" s="15" t="s">
        <v>138</v>
      </c>
      <c r="W610" s="15" t="s">
        <v>138</v>
      </c>
      <c r="X610" s="19">
        <v>2015</v>
      </c>
      <c r="Y610" s="15" t="s">
        <v>138</v>
      </c>
      <c r="Z610" s="15" t="s">
        <v>138</v>
      </c>
      <c r="AA610" s="15" t="s">
        <v>138</v>
      </c>
      <c r="AB610" s="20" t="s">
        <v>138</v>
      </c>
      <c r="AC610" s="20" t="s">
        <v>138</v>
      </c>
      <c r="AD610" s="20" t="s">
        <v>138</v>
      </c>
      <c r="AE610" s="20" t="s">
        <v>138</v>
      </c>
      <c r="AF610" s="20" t="s">
        <v>138</v>
      </c>
      <c r="AG610" s="15" t="s">
        <v>138</v>
      </c>
      <c r="AH610" s="20" t="s">
        <v>138</v>
      </c>
      <c r="AI610" s="20" t="s">
        <v>138</v>
      </c>
      <c r="AJ610" s="20" t="s">
        <v>138</v>
      </c>
      <c r="AK610" s="15" t="s">
        <v>12327</v>
      </c>
      <c r="AL610" s="15" t="s">
        <v>12328</v>
      </c>
      <c r="AM610" s="15" t="s">
        <v>938</v>
      </c>
      <c r="AN610" s="15" t="s">
        <v>12329</v>
      </c>
      <c r="AO610" s="15" t="s">
        <v>138</v>
      </c>
      <c r="AP610" s="15" t="s">
        <v>6230</v>
      </c>
      <c r="AQ610" s="15" t="s">
        <v>12330</v>
      </c>
      <c r="AR610" s="15" t="s">
        <v>12331</v>
      </c>
      <c r="AS610" s="15" t="s">
        <v>6232</v>
      </c>
      <c r="AT610" s="15" t="s">
        <v>371</v>
      </c>
      <c r="AU610" s="15" t="s">
        <v>6233</v>
      </c>
      <c r="AV610" s="15" t="s">
        <v>162</v>
      </c>
      <c r="AW610" s="15" t="s">
        <v>138</v>
      </c>
      <c r="AX610" s="15" t="s">
        <v>138</v>
      </c>
      <c r="AY610" s="15" t="s">
        <v>138</v>
      </c>
      <c r="AZ610" s="15" t="s">
        <v>164</v>
      </c>
      <c r="BA610" s="15" t="s">
        <v>165</v>
      </c>
      <c r="BB610" s="15" t="s">
        <v>12332</v>
      </c>
      <c r="BC610" s="15" t="s">
        <v>12333</v>
      </c>
      <c r="BD610" s="21">
        <v>11</v>
      </c>
      <c r="BE610" s="15" t="s">
        <v>138</v>
      </c>
      <c r="BF610" s="15" t="s">
        <v>138</v>
      </c>
      <c r="BG610" s="15" t="s">
        <v>138</v>
      </c>
      <c r="BH610" s="15" t="s">
        <v>12334</v>
      </c>
      <c r="BI610" s="15" t="s">
        <v>138</v>
      </c>
      <c r="BJ610" s="15" t="s">
        <v>138</v>
      </c>
      <c r="BK610" s="15" t="s">
        <v>138</v>
      </c>
      <c r="BL610" s="15" t="s">
        <v>12335</v>
      </c>
      <c r="BM610" s="22">
        <v>43046</v>
      </c>
      <c r="BN610" s="17">
        <v>0.1</v>
      </c>
      <c r="BO610" s="15" t="s">
        <v>172</v>
      </c>
      <c r="BP610" s="17" t="s">
        <v>138</v>
      </c>
      <c r="BQ610" s="15" t="s">
        <v>138</v>
      </c>
      <c r="BR610" s="15" t="s">
        <v>176</v>
      </c>
      <c r="BS610" s="15" t="s">
        <v>138</v>
      </c>
      <c r="BT610" s="15" t="s">
        <v>138</v>
      </c>
      <c r="BU610" s="15" t="s">
        <v>177</v>
      </c>
      <c r="BV610" s="15" t="s">
        <v>138</v>
      </c>
      <c r="BW610" s="15" t="s">
        <v>138</v>
      </c>
      <c r="BX610" s="15" t="s">
        <v>138</v>
      </c>
      <c r="BY610" s="15" t="s">
        <v>175</v>
      </c>
      <c r="BZ610" s="22">
        <v>43164</v>
      </c>
      <c r="CA610" s="17">
        <v>7.7</v>
      </c>
      <c r="CB610" s="15" t="s">
        <v>172</v>
      </c>
      <c r="CC610" s="17">
        <v>15</v>
      </c>
      <c r="CD610" s="15" t="s">
        <v>1178</v>
      </c>
      <c r="CE610" s="15" t="s">
        <v>205</v>
      </c>
      <c r="CF610" s="15" t="s">
        <v>206</v>
      </c>
      <c r="CG610" s="15" t="s">
        <v>138</v>
      </c>
      <c r="CH610" s="15" t="s">
        <v>174</v>
      </c>
      <c r="CI610" s="15" t="s">
        <v>138</v>
      </c>
      <c r="CJ610" s="15" t="s">
        <v>138</v>
      </c>
      <c r="CK610" s="15" t="s">
        <v>138</v>
      </c>
      <c r="CL610" s="15" t="s">
        <v>175</v>
      </c>
      <c r="CM610" s="22" t="s">
        <v>138</v>
      </c>
      <c r="CN610" s="17" t="s">
        <v>138</v>
      </c>
      <c r="CO610" s="23">
        <v>0.53</v>
      </c>
      <c r="CP610" s="24">
        <v>95</v>
      </c>
      <c r="CQ610" s="23">
        <v>-0.1</v>
      </c>
      <c r="CR610" s="23">
        <v>-16.02</v>
      </c>
      <c r="CS610" s="23">
        <v>0</v>
      </c>
      <c r="CT610" s="24">
        <v>23</v>
      </c>
      <c r="CU610" s="23">
        <v>1.06</v>
      </c>
      <c r="CV610" s="24">
        <v>98</v>
      </c>
      <c r="CW610" s="23" t="s">
        <v>138</v>
      </c>
      <c r="CX610" s="24" t="s">
        <v>138</v>
      </c>
      <c r="CY610" s="23">
        <v>0</v>
      </c>
      <c r="CZ610" s="24">
        <v>25</v>
      </c>
      <c r="DA610" s="23">
        <v>1.06</v>
      </c>
      <c r="DB610" s="24">
        <v>98</v>
      </c>
      <c r="DC610" s="25">
        <v>1.52</v>
      </c>
      <c r="DD610" s="24">
        <v>61</v>
      </c>
      <c r="DE610" s="25">
        <v>0.02</v>
      </c>
      <c r="DF610" s="23">
        <v>1.22</v>
      </c>
      <c r="DG610" s="25">
        <v>2.66</v>
      </c>
      <c r="DH610" s="24">
        <v>72</v>
      </c>
      <c r="DI610" s="25">
        <v>0.38</v>
      </c>
      <c r="DJ610" s="24">
        <v>32</v>
      </c>
      <c r="DK610" s="25" t="s">
        <v>138</v>
      </c>
      <c r="DL610" s="24" t="s">
        <v>138</v>
      </c>
      <c r="DM610" s="25">
        <v>2.66</v>
      </c>
      <c r="DN610" s="24">
        <v>71</v>
      </c>
      <c r="DO610" s="25">
        <v>0.38</v>
      </c>
      <c r="DP610" s="24">
        <v>34</v>
      </c>
      <c r="DQ610" s="24" t="s">
        <v>138</v>
      </c>
      <c r="DR610" s="26" t="s">
        <v>138</v>
      </c>
      <c r="DS610" s="23" t="s">
        <v>138</v>
      </c>
      <c r="DT610" s="24">
        <v>76</v>
      </c>
      <c r="DU610" s="26">
        <v>0</v>
      </c>
      <c r="DV610" s="23">
        <v>0</v>
      </c>
      <c r="DW610" s="24">
        <v>137</v>
      </c>
      <c r="DX610" s="27">
        <v>0</v>
      </c>
      <c r="DY610" s="23">
        <v>0</v>
      </c>
      <c r="DZ610" s="15" t="s">
        <v>178</v>
      </c>
      <c r="EA610" s="22">
        <v>43461</v>
      </c>
      <c r="EB610" s="17">
        <v>15</v>
      </c>
      <c r="EC610" s="22">
        <v>43164</v>
      </c>
      <c r="ED610" s="15" t="s">
        <v>205</v>
      </c>
      <c r="EE610" s="14" t="str">
        <f>HYPERLINK("https://my.pitchbook.com?c=169017-13", "View company online")</f>
        <v>View company online</v>
      </c>
    </row>
    <row r="611" spans="1:135">
      <c r="A611" s="28" t="s">
        <v>12336</v>
      </c>
      <c r="B611" s="28" t="s">
        <v>12337</v>
      </c>
      <c r="C611" s="28" t="s">
        <v>12338</v>
      </c>
      <c r="D611" s="28" t="s">
        <v>138</v>
      </c>
      <c r="E611" s="28" t="s">
        <v>12339</v>
      </c>
      <c r="F611" s="28" t="s">
        <v>12336</v>
      </c>
      <c r="G611" s="28" t="s">
        <v>12340</v>
      </c>
      <c r="H611" s="28" t="s">
        <v>322</v>
      </c>
      <c r="I611" s="28" t="s">
        <v>323</v>
      </c>
      <c r="J611" s="28" t="s">
        <v>413</v>
      </c>
      <c r="K611" s="28" t="s">
        <v>12341</v>
      </c>
      <c r="L611" s="28" t="s">
        <v>242</v>
      </c>
      <c r="M611" s="28" t="s">
        <v>12342</v>
      </c>
      <c r="N611" s="28" t="s">
        <v>147</v>
      </c>
      <c r="O611" s="29">
        <v>12.35</v>
      </c>
      <c r="P611" s="28" t="s">
        <v>148</v>
      </c>
      <c r="Q611" s="28" t="s">
        <v>149</v>
      </c>
      <c r="R611" s="28" t="s">
        <v>174</v>
      </c>
      <c r="S611" s="28" t="s">
        <v>12343</v>
      </c>
      <c r="T611" s="30">
        <v>10</v>
      </c>
      <c r="U611" s="28" t="s">
        <v>12344</v>
      </c>
      <c r="V611" s="28" t="s">
        <v>138</v>
      </c>
      <c r="W611" s="28" t="s">
        <v>138</v>
      </c>
      <c r="X611" s="31">
        <v>2015</v>
      </c>
      <c r="Y611" s="28" t="s">
        <v>138</v>
      </c>
      <c r="Z611" s="28" t="s">
        <v>138</v>
      </c>
      <c r="AA611" s="28" t="s">
        <v>1163</v>
      </c>
      <c r="AB611" s="32" t="s">
        <v>138</v>
      </c>
      <c r="AC611" s="32" t="s">
        <v>138</v>
      </c>
      <c r="AD611" s="32" t="s">
        <v>138</v>
      </c>
      <c r="AE611" s="32" t="s">
        <v>138</v>
      </c>
      <c r="AF611" s="32" t="s">
        <v>138</v>
      </c>
      <c r="AG611" s="28" t="s">
        <v>138</v>
      </c>
      <c r="AH611" s="32" t="s">
        <v>138</v>
      </c>
      <c r="AI611" s="32" t="s">
        <v>138</v>
      </c>
      <c r="AJ611" s="32" t="s">
        <v>138</v>
      </c>
      <c r="AK611" s="28" t="s">
        <v>12345</v>
      </c>
      <c r="AL611" s="28" t="s">
        <v>12346</v>
      </c>
      <c r="AM611" s="28" t="s">
        <v>221</v>
      </c>
      <c r="AN611" s="28" t="s">
        <v>12347</v>
      </c>
      <c r="AO611" s="28" t="s">
        <v>12348</v>
      </c>
      <c r="AP611" s="28" t="s">
        <v>665</v>
      </c>
      <c r="AQ611" s="28" t="s">
        <v>12349</v>
      </c>
      <c r="AR611" s="28" t="s">
        <v>138</v>
      </c>
      <c r="AS611" s="28" t="s">
        <v>668</v>
      </c>
      <c r="AT611" s="28" t="s">
        <v>200</v>
      </c>
      <c r="AU611" s="28" t="s">
        <v>691</v>
      </c>
      <c r="AV611" s="28" t="s">
        <v>162</v>
      </c>
      <c r="AW611" s="28" t="s">
        <v>12348</v>
      </c>
      <c r="AX611" s="28" t="s">
        <v>138</v>
      </c>
      <c r="AY611" s="28" t="s">
        <v>12350</v>
      </c>
      <c r="AZ611" s="28" t="s">
        <v>164</v>
      </c>
      <c r="BA611" s="28" t="s">
        <v>165</v>
      </c>
      <c r="BB611" s="28" t="s">
        <v>12351</v>
      </c>
      <c r="BC611" s="28" t="s">
        <v>12352</v>
      </c>
      <c r="BD611" s="33">
        <v>10</v>
      </c>
      <c r="BE611" s="28" t="s">
        <v>138</v>
      </c>
      <c r="BF611" s="28" t="s">
        <v>138</v>
      </c>
      <c r="BG611" s="28" t="s">
        <v>138</v>
      </c>
      <c r="BH611" s="28" t="s">
        <v>12353</v>
      </c>
      <c r="BI611" s="28" t="s">
        <v>138</v>
      </c>
      <c r="BJ611" s="28" t="s">
        <v>138</v>
      </c>
      <c r="BK611" s="28" t="s">
        <v>138</v>
      </c>
      <c r="BL611" s="28" t="s">
        <v>3482</v>
      </c>
      <c r="BM611" s="34">
        <v>42339</v>
      </c>
      <c r="BN611" s="29">
        <v>0.65</v>
      </c>
      <c r="BO611" s="28" t="s">
        <v>172</v>
      </c>
      <c r="BP611" s="29" t="s">
        <v>138</v>
      </c>
      <c r="BQ611" s="28" t="s">
        <v>138</v>
      </c>
      <c r="BR611" s="28" t="s">
        <v>262</v>
      </c>
      <c r="BS611" s="28" t="s">
        <v>262</v>
      </c>
      <c r="BT611" s="28" t="s">
        <v>138</v>
      </c>
      <c r="BU611" s="28" t="s">
        <v>263</v>
      </c>
      <c r="BV611" s="28" t="s">
        <v>138</v>
      </c>
      <c r="BW611" s="28" t="s">
        <v>138</v>
      </c>
      <c r="BX611" s="28" t="s">
        <v>138</v>
      </c>
      <c r="BY611" s="28" t="s">
        <v>175</v>
      </c>
      <c r="BZ611" s="34">
        <v>43494</v>
      </c>
      <c r="CA611" s="29" t="s">
        <v>138</v>
      </c>
      <c r="CB611" s="28" t="s">
        <v>138</v>
      </c>
      <c r="CC611" s="29" t="s">
        <v>138</v>
      </c>
      <c r="CD611" s="28" t="s">
        <v>138</v>
      </c>
      <c r="CE611" s="28" t="s">
        <v>205</v>
      </c>
      <c r="CF611" s="28" t="s">
        <v>138</v>
      </c>
      <c r="CG611" s="28" t="s">
        <v>138</v>
      </c>
      <c r="CH611" s="28" t="s">
        <v>174</v>
      </c>
      <c r="CI611" s="28" t="s">
        <v>138</v>
      </c>
      <c r="CJ611" s="28" t="s">
        <v>138</v>
      </c>
      <c r="CK611" s="28" t="s">
        <v>138</v>
      </c>
      <c r="CL611" s="28" t="s">
        <v>175</v>
      </c>
      <c r="CM611" s="34" t="s">
        <v>138</v>
      </c>
      <c r="CN611" s="29" t="s">
        <v>138</v>
      </c>
      <c r="CO611" s="35">
        <v>3.07</v>
      </c>
      <c r="CP611" s="36">
        <v>100</v>
      </c>
      <c r="CQ611" s="35">
        <v>-0.05</v>
      </c>
      <c r="CR611" s="35">
        <v>-1.49</v>
      </c>
      <c r="CS611" s="35">
        <v>8.75</v>
      </c>
      <c r="CT611" s="36">
        <v>100</v>
      </c>
      <c r="CU611" s="35">
        <v>0.12</v>
      </c>
      <c r="CV611" s="36">
        <v>71</v>
      </c>
      <c r="CW611" s="35">
        <v>17.489999999999998</v>
      </c>
      <c r="CX611" s="36">
        <v>100</v>
      </c>
      <c r="CY611" s="35">
        <v>0</v>
      </c>
      <c r="CZ611" s="36">
        <v>25</v>
      </c>
      <c r="DA611" s="35">
        <v>0.12</v>
      </c>
      <c r="DB611" s="36">
        <v>75</v>
      </c>
      <c r="DC611" s="37">
        <v>8.3000000000000007</v>
      </c>
      <c r="DD611" s="36">
        <v>88</v>
      </c>
      <c r="DE611" s="37">
        <v>0.01</v>
      </c>
      <c r="DF611" s="35">
        <v>0.12</v>
      </c>
      <c r="DG611" s="37">
        <v>9.4499999999999993</v>
      </c>
      <c r="DH611" s="36">
        <v>89</v>
      </c>
      <c r="DI611" s="37">
        <v>1.72</v>
      </c>
      <c r="DJ611" s="36">
        <v>59</v>
      </c>
      <c r="DK611" s="37">
        <v>17.7</v>
      </c>
      <c r="DL611" s="36">
        <v>91</v>
      </c>
      <c r="DM611" s="37">
        <v>1.21</v>
      </c>
      <c r="DN611" s="36">
        <v>54</v>
      </c>
      <c r="DO611" s="37">
        <v>1.72</v>
      </c>
      <c r="DP611" s="36">
        <v>61</v>
      </c>
      <c r="DQ611" s="36">
        <v>5828</v>
      </c>
      <c r="DR611" s="38">
        <v>728</v>
      </c>
      <c r="DS611" s="35">
        <v>14.27</v>
      </c>
      <c r="DT611" s="36">
        <v>34</v>
      </c>
      <c r="DU611" s="38">
        <v>0</v>
      </c>
      <c r="DV611" s="35">
        <v>0</v>
      </c>
      <c r="DW611" s="36">
        <v>616</v>
      </c>
      <c r="DX611" s="39">
        <v>1</v>
      </c>
      <c r="DY611" s="35">
        <v>0.16</v>
      </c>
      <c r="DZ611" s="28" t="s">
        <v>178</v>
      </c>
      <c r="EA611" s="34">
        <v>43607</v>
      </c>
      <c r="EB611" s="29">
        <v>16.899999999999999</v>
      </c>
      <c r="EC611" s="34">
        <v>43221</v>
      </c>
      <c r="ED611" s="28" t="s">
        <v>234</v>
      </c>
      <c r="EE611" s="40" t="str">
        <f>HYPERLINK("https://my.pitchbook.com?c=155945-17", "View company online")</f>
        <v>View company online</v>
      </c>
    </row>
    <row r="612" spans="1:135">
      <c r="A612" s="15" t="s">
        <v>12354</v>
      </c>
      <c r="B612" s="15" t="s">
        <v>12355</v>
      </c>
      <c r="C612" s="15" t="s">
        <v>12356</v>
      </c>
      <c r="D612" s="15" t="s">
        <v>12357</v>
      </c>
      <c r="E612" s="15" t="s">
        <v>12358</v>
      </c>
      <c r="F612" s="15" t="s">
        <v>12354</v>
      </c>
      <c r="G612" s="15" t="s">
        <v>12359</v>
      </c>
      <c r="H612" s="15" t="s">
        <v>238</v>
      </c>
      <c r="I612" s="15" t="s">
        <v>785</v>
      </c>
      <c r="J612" s="15" t="s">
        <v>6223</v>
      </c>
      <c r="K612" s="15" t="s">
        <v>12360</v>
      </c>
      <c r="L612" s="15" t="s">
        <v>4703</v>
      </c>
      <c r="M612" s="15" t="s">
        <v>12361</v>
      </c>
      <c r="N612" s="15" t="s">
        <v>147</v>
      </c>
      <c r="O612" s="17">
        <v>39.58</v>
      </c>
      <c r="P612" s="15" t="s">
        <v>812</v>
      </c>
      <c r="Q612" s="15" t="s">
        <v>149</v>
      </c>
      <c r="R612" s="15" t="s">
        <v>1652</v>
      </c>
      <c r="S612" s="15" t="s">
        <v>12362</v>
      </c>
      <c r="T612" s="18">
        <v>700</v>
      </c>
      <c r="U612" s="15" t="s">
        <v>12363</v>
      </c>
      <c r="V612" s="15" t="s">
        <v>138</v>
      </c>
      <c r="W612" s="15" t="s">
        <v>138</v>
      </c>
      <c r="X612" s="19">
        <v>2004</v>
      </c>
      <c r="Y612" s="15" t="s">
        <v>138</v>
      </c>
      <c r="Z612" s="15" t="s">
        <v>1163</v>
      </c>
      <c r="AA612" s="15" t="s">
        <v>1163</v>
      </c>
      <c r="AB612" s="20">
        <v>125.18</v>
      </c>
      <c r="AC612" s="20">
        <v>52.57</v>
      </c>
      <c r="AD612" s="20">
        <v>-2.2599999999999998</v>
      </c>
      <c r="AE612" s="20" t="s">
        <v>138</v>
      </c>
      <c r="AF612" s="20">
        <v>0.08</v>
      </c>
      <c r="AG612" s="15" t="s">
        <v>419</v>
      </c>
      <c r="AH612" s="20" t="s">
        <v>138</v>
      </c>
      <c r="AI612" s="20" t="s">
        <v>138</v>
      </c>
      <c r="AJ612" s="20" t="s">
        <v>138</v>
      </c>
      <c r="AK612" s="15" t="s">
        <v>12364</v>
      </c>
      <c r="AL612" s="15" t="s">
        <v>12365</v>
      </c>
      <c r="AM612" s="15" t="s">
        <v>4214</v>
      </c>
      <c r="AN612" s="15" t="s">
        <v>12366</v>
      </c>
      <c r="AO612" s="15" t="s">
        <v>12367</v>
      </c>
      <c r="AP612" s="15" t="s">
        <v>941</v>
      </c>
      <c r="AQ612" s="15" t="s">
        <v>12368</v>
      </c>
      <c r="AR612" s="15" t="s">
        <v>138</v>
      </c>
      <c r="AS612" s="15" t="s">
        <v>944</v>
      </c>
      <c r="AT612" s="15" t="s">
        <v>138</v>
      </c>
      <c r="AU612" s="15" t="s">
        <v>12369</v>
      </c>
      <c r="AV612" s="15" t="s">
        <v>946</v>
      </c>
      <c r="AW612" s="15" t="s">
        <v>12367</v>
      </c>
      <c r="AX612" s="15" t="s">
        <v>12370</v>
      </c>
      <c r="AY612" s="15" t="s">
        <v>12371</v>
      </c>
      <c r="AZ612" s="15" t="s">
        <v>530</v>
      </c>
      <c r="BA612" s="15" t="s">
        <v>531</v>
      </c>
      <c r="BB612" s="15" t="s">
        <v>12372</v>
      </c>
      <c r="BC612" s="15" t="s">
        <v>12373</v>
      </c>
      <c r="BD612" s="21">
        <v>15</v>
      </c>
      <c r="BE612" s="15" t="s">
        <v>138</v>
      </c>
      <c r="BF612" s="15" t="s">
        <v>12374</v>
      </c>
      <c r="BG612" s="15" t="s">
        <v>138</v>
      </c>
      <c r="BH612" s="15" t="s">
        <v>12375</v>
      </c>
      <c r="BI612" s="15" t="s">
        <v>12376</v>
      </c>
      <c r="BJ612" s="15" t="s">
        <v>138</v>
      </c>
      <c r="BK612" s="15" t="s">
        <v>12377</v>
      </c>
      <c r="BL612" s="15" t="s">
        <v>12378</v>
      </c>
      <c r="BM612" s="22">
        <v>39539</v>
      </c>
      <c r="BN612" s="17" t="s">
        <v>138</v>
      </c>
      <c r="BO612" s="15" t="s">
        <v>138</v>
      </c>
      <c r="BP612" s="17" t="s">
        <v>138</v>
      </c>
      <c r="BQ612" s="15" t="s">
        <v>138</v>
      </c>
      <c r="BR612" s="15" t="s">
        <v>205</v>
      </c>
      <c r="BS612" s="15" t="s">
        <v>138</v>
      </c>
      <c r="BT612" s="15" t="s">
        <v>138</v>
      </c>
      <c r="BU612" s="15" t="s">
        <v>174</v>
      </c>
      <c r="BV612" s="15" t="s">
        <v>138</v>
      </c>
      <c r="BW612" s="15" t="s">
        <v>138</v>
      </c>
      <c r="BX612" s="15" t="s">
        <v>138</v>
      </c>
      <c r="BY612" s="15" t="s">
        <v>175</v>
      </c>
      <c r="BZ612" s="22">
        <v>43419</v>
      </c>
      <c r="CA612" s="17" t="s">
        <v>138</v>
      </c>
      <c r="CB612" s="15" t="s">
        <v>138</v>
      </c>
      <c r="CC612" s="17" t="s">
        <v>138</v>
      </c>
      <c r="CD612" s="15" t="s">
        <v>138</v>
      </c>
      <c r="CE612" s="15" t="s">
        <v>379</v>
      </c>
      <c r="CF612" s="15" t="s">
        <v>138</v>
      </c>
      <c r="CG612" s="15" t="s">
        <v>138</v>
      </c>
      <c r="CH612" s="15" t="s">
        <v>138</v>
      </c>
      <c r="CI612" s="15" t="s">
        <v>138</v>
      </c>
      <c r="CJ612" s="15" t="s">
        <v>138</v>
      </c>
      <c r="CK612" s="15" t="s">
        <v>138</v>
      </c>
      <c r="CL612" s="15" t="s">
        <v>175</v>
      </c>
      <c r="CM612" s="22" t="s">
        <v>138</v>
      </c>
      <c r="CN612" s="17" t="s">
        <v>138</v>
      </c>
      <c r="CO612" s="23">
        <v>-0.99</v>
      </c>
      <c r="CP612" s="24">
        <v>11</v>
      </c>
      <c r="CQ612" s="23">
        <v>0.08</v>
      </c>
      <c r="CR612" s="23">
        <v>7.09</v>
      </c>
      <c r="CS612" s="23">
        <v>-2.17</v>
      </c>
      <c r="CT612" s="24">
        <v>8</v>
      </c>
      <c r="CU612" s="23">
        <v>0.19</v>
      </c>
      <c r="CV612" s="24">
        <v>79</v>
      </c>
      <c r="CW612" s="23">
        <v>-1.83</v>
      </c>
      <c r="CX612" s="24">
        <v>8</v>
      </c>
      <c r="CY612" s="23">
        <v>-2.5099999999999998</v>
      </c>
      <c r="CZ612" s="24">
        <v>9</v>
      </c>
      <c r="DA612" s="23">
        <v>0.05</v>
      </c>
      <c r="DB612" s="24">
        <v>64</v>
      </c>
      <c r="DC612" s="25">
        <v>53.53</v>
      </c>
      <c r="DD612" s="24">
        <v>98</v>
      </c>
      <c r="DE612" s="25">
        <v>0.33</v>
      </c>
      <c r="DF612" s="23">
        <v>0.63</v>
      </c>
      <c r="DG612" s="25">
        <v>44.08</v>
      </c>
      <c r="DH612" s="24">
        <v>98</v>
      </c>
      <c r="DI612" s="25">
        <v>62.99</v>
      </c>
      <c r="DJ612" s="24">
        <v>96</v>
      </c>
      <c r="DK612" s="25">
        <v>5.81</v>
      </c>
      <c r="DL612" s="24">
        <v>81</v>
      </c>
      <c r="DM612" s="25">
        <v>82.34</v>
      </c>
      <c r="DN612" s="24">
        <v>99</v>
      </c>
      <c r="DO612" s="25">
        <v>5.66</v>
      </c>
      <c r="DP612" s="24">
        <v>81</v>
      </c>
      <c r="DQ612" s="24">
        <v>1961</v>
      </c>
      <c r="DR612" s="26">
        <v>93</v>
      </c>
      <c r="DS612" s="23">
        <v>4.9800000000000004</v>
      </c>
      <c r="DT612" s="24">
        <v>2362</v>
      </c>
      <c r="DU612" s="26">
        <v>50</v>
      </c>
      <c r="DV612" s="23">
        <v>2.16</v>
      </c>
      <c r="DW612" s="24">
        <v>2027</v>
      </c>
      <c r="DX612" s="27">
        <v>2</v>
      </c>
      <c r="DY612" s="23">
        <v>0.1</v>
      </c>
      <c r="DZ612" s="15" t="s">
        <v>178</v>
      </c>
      <c r="EA612" s="22">
        <v>43622</v>
      </c>
      <c r="EB612" s="17" t="s">
        <v>138</v>
      </c>
      <c r="EC612" s="22" t="s">
        <v>138</v>
      </c>
      <c r="ED612" s="15" t="s">
        <v>138</v>
      </c>
      <c r="EE612" s="14" t="str">
        <f>HYPERLINK("https://my.pitchbook.com?c=56375-20", "View company online")</f>
        <v>View company online</v>
      </c>
    </row>
    <row r="613" spans="1:135">
      <c r="A613" s="28" t="s">
        <v>12379</v>
      </c>
      <c r="B613" s="28" t="s">
        <v>12380</v>
      </c>
      <c r="C613" s="28" t="s">
        <v>12381</v>
      </c>
      <c r="D613" s="28" t="s">
        <v>138</v>
      </c>
      <c r="E613" s="28" t="s">
        <v>12382</v>
      </c>
      <c r="F613" s="28" t="s">
        <v>12379</v>
      </c>
      <c r="G613" s="28" t="s">
        <v>12383</v>
      </c>
      <c r="H613" s="28" t="s">
        <v>238</v>
      </c>
      <c r="I613" s="28" t="s">
        <v>749</v>
      </c>
      <c r="J613" s="28" t="s">
        <v>4261</v>
      </c>
      <c r="K613" s="28" t="s">
        <v>12384</v>
      </c>
      <c r="L613" s="28" t="s">
        <v>752</v>
      </c>
      <c r="M613" s="28" t="s">
        <v>12385</v>
      </c>
      <c r="N613" s="28" t="s">
        <v>147</v>
      </c>
      <c r="O613" s="29">
        <v>37.090000000000003</v>
      </c>
      <c r="P613" s="28" t="s">
        <v>148</v>
      </c>
      <c r="Q613" s="28" t="s">
        <v>149</v>
      </c>
      <c r="R613" s="28" t="s">
        <v>244</v>
      </c>
      <c r="S613" s="28" t="s">
        <v>12386</v>
      </c>
      <c r="T613" s="30" t="s">
        <v>138</v>
      </c>
      <c r="U613" s="28" t="s">
        <v>138</v>
      </c>
      <c r="V613" s="28" t="s">
        <v>138</v>
      </c>
      <c r="W613" s="28" t="s">
        <v>138</v>
      </c>
      <c r="X613" s="31">
        <v>2011</v>
      </c>
      <c r="Y613" s="28" t="s">
        <v>138</v>
      </c>
      <c r="Z613" s="28" t="s">
        <v>138</v>
      </c>
      <c r="AA613" s="28" t="s">
        <v>138</v>
      </c>
      <c r="AB613" s="32">
        <v>16.2</v>
      </c>
      <c r="AC613" s="32" t="s">
        <v>138</v>
      </c>
      <c r="AD613" s="32" t="s">
        <v>138</v>
      </c>
      <c r="AE613" s="32" t="s">
        <v>138</v>
      </c>
      <c r="AF613" s="32" t="s">
        <v>138</v>
      </c>
      <c r="AG613" s="28" t="s">
        <v>419</v>
      </c>
      <c r="AH613" s="32" t="s">
        <v>138</v>
      </c>
      <c r="AI613" s="32" t="s">
        <v>138</v>
      </c>
      <c r="AJ613" s="32" t="s">
        <v>138</v>
      </c>
      <c r="AK613" s="28" t="s">
        <v>12387</v>
      </c>
      <c r="AL613" s="28" t="s">
        <v>12388</v>
      </c>
      <c r="AM613" s="28" t="s">
        <v>2949</v>
      </c>
      <c r="AN613" s="28" t="s">
        <v>12389</v>
      </c>
      <c r="AO613" s="28" t="s">
        <v>12390</v>
      </c>
      <c r="AP613" s="28" t="s">
        <v>12391</v>
      </c>
      <c r="AQ613" s="28" t="s">
        <v>12392</v>
      </c>
      <c r="AR613" s="28" t="s">
        <v>12393</v>
      </c>
      <c r="AS613" s="28" t="s">
        <v>12394</v>
      </c>
      <c r="AT613" s="28" t="s">
        <v>200</v>
      </c>
      <c r="AU613" s="28" t="s">
        <v>12395</v>
      </c>
      <c r="AV613" s="28" t="s">
        <v>162</v>
      </c>
      <c r="AW613" s="28" t="s">
        <v>12390</v>
      </c>
      <c r="AX613" s="28" t="s">
        <v>138</v>
      </c>
      <c r="AY613" s="28" t="s">
        <v>12396</v>
      </c>
      <c r="AZ613" s="28" t="s">
        <v>164</v>
      </c>
      <c r="BA613" s="28" t="s">
        <v>165</v>
      </c>
      <c r="BB613" s="28" t="s">
        <v>12397</v>
      </c>
      <c r="BC613" s="28" t="s">
        <v>12398</v>
      </c>
      <c r="BD613" s="33">
        <v>7</v>
      </c>
      <c r="BE613" s="28" t="s">
        <v>138</v>
      </c>
      <c r="BF613" s="28" t="s">
        <v>138</v>
      </c>
      <c r="BG613" s="28" t="s">
        <v>138</v>
      </c>
      <c r="BH613" s="28" t="s">
        <v>12399</v>
      </c>
      <c r="BI613" s="28" t="s">
        <v>138</v>
      </c>
      <c r="BJ613" s="28" t="s">
        <v>138</v>
      </c>
      <c r="BK613" s="28" t="s">
        <v>138</v>
      </c>
      <c r="BL613" s="28" t="s">
        <v>12400</v>
      </c>
      <c r="BM613" s="34">
        <v>41115</v>
      </c>
      <c r="BN613" s="29">
        <v>0.15</v>
      </c>
      <c r="BO613" s="28" t="s">
        <v>172</v>
      </c>
      <c r="BP613" s="29">
        <v>0.43</v>
      </c>
      <c r="BQ613" s="28" t="s">
        <v>172</v>
      </c>
      <c r="BR613" s="28" t="s">
        <v>1830</v>
      </c>
      <c r="BS613" s="28" t="s">
        <v>138</v>
      </c>
      <c r="BT613" s="28" t="s">
        <v>138</v>
      </c>
      <c r="BU613" s="28" t="s">
        <v>263</v>
      </c>
      <c r="BV613" s="28" t="s">
        <v>138</v>
      </c>
      <c r="BW613" s="28" t="s">
        <v>138</v>
      </c>
      <c r="BX613" s="28" t="s">
        <v>138</v>
      </c>
      <c r="BY613" s="28" t="s">
        <v>175</v>
      </c>
      <c r="BZ613" s="34" t="s">
        <v>138</v>
      </c>
      <c r="CA613" s="29" t="s">
        <v>138</v>
      </c>
      <c r="CB613" s="28" t="s">
        <v>138</v>
      </c>
      <c r="CC613" s="29" t="s">
        <v>138</v>
      </c>
      <c r="CD613" s="28" t="s">
        <v>138</v>
      </c>
      <c r="CE613" s="28" t="s">
        <v>1326</v>
      </c>
      <c r="CF613" s="28" t="s">
        <v>138</v>
      </c>
      <c r="CG613" s="28" t="s">
        <v>138</v>
      </c>
      <c r="CH613" s="28" t="s">
        <v>1327</v>
      </c>
      <c r="CI613" s="28" t="s">
        <v>1328</v>
      </c>
      <c r="CJ613" s="28" t="s">
        <v>138</v>
      </c>
      <c r="CK613" s="28" t="s">
        <v>138</v>
      </c>
      <c r="CL613" s="28" t="s">
        <v>175</v>
      </c>
      <c r="CM613" s="34" t="s">
        <v>138</v>
      </c>
      <c r="CN613" s="29" t="s">
        <v>138</v>
      </c>
      <c r="CO613" s="35">
        <v>0.23</v>
      </c>
      <c r="CP613" s="36">
        <v>93</v>
      </c>
      <c r="CQ613" s="35">
        <v>0</v>
      </c>
      <c r="CR613" s="35">
        <v>0.77</v>
      </c>
      <c r="CS613" s="35">
        <v>0.26</v>
      </c>
      <c r="CT613" s="36">
        <v>95</v>
      </c>
      <c r="CU613" s="35">
        <v>0.2</v>
      </c>
      <c r="CV613" s="36">
        <v>80</v>
      </c>
      <c r="CW613" s="35">
        <v>0.52</v>
      </c>
      <c r="CX613" s="36">
        <v>83</v>
      </c>
      <c r="CY613" s="35">
        <v>0</v>
      </c>
      <c r="CZ613" s="36">
        <v>25</v>
      </c>
      <c r="DA613" s="35">
        <v>0.41</v>
      </c>
      <c r="DB613" s="36">
        <v>92</v>
      </c>
      <c r="DC613" s="37">
        <v>44.32</v>
      </c>
      <c r="DD613" s="36">
        <v>98</v>
      </c>
      <c r="DE613" s="37">
        <v>-0.57999999999999996</v>
      </c>
      <c r="DF613" s="35">
        <v>-1.28</v>
      </c>
      <c r="DG613" s="37">
        <v>9.27</v>
      </c>
      <c r="DH613" s="36">
        <v>89</v>
      </c>
      <c r="DI613" s="37">
        <v>79.37</v>
      </c>
      <c r="DJ613" s="36">
        <v>97</v>
      </c>
      <c r="DK613" s="37">
        <v>16.88</v>
      </c>
      <c r="DL613" s="36">
        <v>91</v>
      </c>
      <c r="DM613" s="37">
        <v>1.66</v>
      </c>
      <c r="DN613" s="36">
        <v>62</v>
      </c>
      <c r="DO613" s="37">
        <v>4.83</v>
      </c>
      <c r="DP613" s="36">
        <v>79</v>
      </c>
      <c r="DQ613" s="36">
        <v>5762</v>
      </c>
      <c r="DR613" s="38">
        <v>79</v>
      </c>
      <c r="DS613" s="35">
        <v>1.39</v>
      </c>
      <c r="DT613" s="36">
        <v>48</v>
      </c>
      <c r="DU613" s="38">
        <v>0</v>
      </c>
      <c r="DV613" s="35">
        <v>0</v>
      </c>
      <c r="DW613" s="36">
        <v>1726</v>
      </c>
      <c r="DX613" s="39">
        <v>2</v>
      </c>
      <c r="DY613" s="35">
        <v>0.12</v>
      </c>
      <c r="DZ613" s="28" t="s">
        <v>178</v>
      </c>
      <c r="EA613" s="34">
        <v>43569</v>
      </c>
      <c r="EB613" s="29">
        <v>95</v>
      </c>
      <c r="EC613" s="34">
        <v>43238</v>
      </c>
      <c r="ED613" s="28" t="s">
        <v>173</v>
      </c>
      <c r="EE613" s="40" t="str">
        <f>HYPERLINK("https://my.pitchbook.com?c=152316-55", "View company online")</f>
        <v>View company online</v>
      </c>
    </row>
    <row r="614" spans="1:135">
      <c r="A614" s="15" t="s">
        <v>12401</v>
      </c>
      <c r="B614" s="15" t="s">
        <v>12402</v>
      </c>
      <c r="C614" s="15" t="s">
        <v>138</v>
      </c>
      <c r="D614" s="15" t="s">
        <v>138</v>
      </c>
      <c r="E614" s="15" t="s">
        <v>138</v>
      </c>
      <c r="F614" s="15" t="s">
        <v>12401</v>
      </c>
      <c r="G614" s="15" t="s">
        <v>12403</v>
      </c>
      <c r="H614" s="15" t="s">
        <v>322</v>
      </c>
      <c r="I614" s="15" t="s">
        <v>1208</v>
      </c>
      <c r="J614" s="15" t="s">
        <v>1209</v>
      </c>
      <c r="K614" s="15" t="s">
        <v>12404</v>
      </c>
      <c r="L614" s="15" t="s">
        <v>12405</v>
      </c>
      <c r="M614" s="15" t="s">
        <v>12406</v>
      </c>
      <c r="N614" s="15" t="s">
        <v>147</v>
      </c>
      <c r="O614" s="17">
        <v>9.65</v>
      </c>
      <c r="P614" s="15" t="s">
        <v>148</v>
      </c>
      <c r="Q614" s="15" t="s">
        <v>149</v>
      </c>
      <c r="R614" s="15" t="s">
        <v>150</v>
      </c>
      <c r="S614" s="15" t="s">
        <v>12407</v>
      </c>
      <c r="T614" s="18">
        <v>30</v>
      </c>
      <c r="U614" s="15" t="s">
        <v>12408</v>
      </c>
      <c r="V614" s="15" t="s">
        <v>138</v>
      </c>
      <c r="W614" s="15" t="s">
        <v>138</v>
      </c>
      <c r="X614" s="19">
        <v>2016</v>
      </c>
      <c r="Y614" s="15" t="s">
        <v>138</v>
      </c>
      <c r="Z614" s="15" t="s">
        <v>138</v>
      </c>
      <c r="AA614" s="15" t="s">
        <v>138</v>
      </c>
      <c r="AB614" s="20" t="s">
        <v>138</v>
      </c>
      <c r="AC614" s="20" t="s">
        <v>138</v>
      </c>
      <c r="AD614" s="20" t="s">
        <v>138</v>
      </c>
      <c r="AE614" s="20" t="s">
        <v>138</v>
      </c>
      <c r="AF614" s="20" t="s">
        <v>138</v>
      </c>
      <c r="AG614" s="15" t="s">
        <v>138</v>
      </c>
      <c r="AH614" s="20" t="s">
        <v>138</v>
      </c>
      <c r="AI614" s="20" t="s">
        <v>138</v>
      </c>
      <c r="AJ614" s="20" t="s">
        <v>138</v>
      </c>
      <c r="AK614" s="15" t="s">
        <v>12409</v>
      </c>
      <c r="AL614" s="15" t="s">
        <v>12410</v>
      </c>
      <c r="AM614" s="15" t="s">
        <v>12411</v>
      </c>
      <c r="AN614" s="15" t="s">
        <v>12412</v>
      </c>
      <c r="AO614" s="15" t="s">
        <v>12413</v>
      </c>
      <c r="AP614" s="15" t="s">
        <v>1292</v>
      </c>
      <c r="AQ614" s="15" t="s">
        <v>12414</v>
      </c>
      <c r="AR614" s="15" t="s">
        <v>12415</v>
      </c>
      <c r="AS614" s="15" t="s">
        <v>1294</v>
      </c>
      <c r="AT614" s="15" t="s">
        <v>864</v>
      </c>
      <c r="AU614" s="15" t="s">
        <v>8420</v>
      </c>
      <c r="AV614" s="15" t="s">
        <v>162</v>
      </c>
      <c r="AW614" s="15" t="s">
        <v>12413</v>
      </c>
      <c r="AX614" s="15" t="s">
        <v>138</v>
      </c>
      <c r="AY614" s="15" t="s">
        <v>12416</v>
      </c>
      <c r="AZ614" s="15" t="s">
        <v>164</v>
      </c>
      <c r="BA614" s="15" t="s">
        <v>165</v>
      </c>
      <c r="BB614" s="15" t="s">
        <v>12417</v>
      </c>
      <c r="BC614" s="15" t="s">
        <v>12418</v>
      </c>
      <c r="BD614" s="21">
        <v>5</v>
      </c>
      <c r="BE614" s="15" t="s">
        <v>138</v>
      </c>
      <c r="BF614" s="15" t="s">
        <v>138</v>
      </c>
      <c r="BG614" s="15" t="s">
        <v>138</v>
      </c>
      <c r="BH614" s="15" t="s">
        <v>12419</v>
      </c>
      <c r="BI614" s="15" t="s">
        <v>138</v>
      </c>
      <c r="BJ614" s="15" t="s">
        <v>138</v>
      </c>
      <c r="BK614" s="15" t="s">
        <v>138</v>
      </c>
      <c r="BL614" s="15" t="s">
        <v>138</v>
      </c>
      <c r="BM614" s="22">
        <v>43038</v>
      </c>
      <c r="BN614" s="17">
        <v>2</v>
      </c>
      <c r="BO614" s="15" t="s">
        <v>172</v>
      </c>
      <c r="BP614" s="17" t="s">
        <v>138</v>
      </c>
      <c r="BQ614" s="15" t="s">
        <v>138</v>
      </c>
      <c r="BR614" s="15" t="s">
        <v>234</v>
      </c>
      <c r="BS614" s="15" t="s">
        <v>234</v>
      </c>
      <c r="BT614" s="15" t="s">
        <v>138</v>
      </c>
      <c r="BU614" s="15" t="s">
        <v>174</v>
      </c>
      <c r="BV614" s="15" t="s">
        <v>138</v>
      </c>
      <c r="BW614" s="15" t="s">
        <v>138</v>
      </c>
      <c r="BX614" s="15" t="s">
        <v>138</v>
      </c>
      <c r="BY614" s="15" t="s">
        <v>175</v>
      </c>
      <c r="BZ614" s="22">
        <v>43592</v>
      </c>
      <c r="CA614" s="17" t="s">
        <v>138</v>
      </c>
      <c r="CB614" s="15" t="s">
        <v>138</v>
      </c>
      <c r="CC614" s="17" t="s">
        <v>138</v>
      </c>
      <c r="CD614" s="15" t="s">
        <v>138</v>
      </c>
      <c r="CE614" s="15" t="s">
        <v>780</v>
      </c>
      <c r="CF614" s="15" t="s">
        <v>780</v>
      </c>
      <c r="CG614" s="15" t="s">
        <v>138</v>
      </c>
      <c r="CH614" s="15" t="s">
        <v>780</v>
      </c>
      <c r="CI614" s="15" t="s">
        <v>138</v>
      </c>
      <c r="CJ614" s="15" t="s">
        <v>138</v>
      </c>
      <c r="CK614" s="15" t="s">
        <v>138</v>
      </c>
      <c r="CL614" s="15" t="s">
        <v>175</v>
      </c>
      <c r="CM614" s="22" t="s">
        <v>138</v>
      </c>
      <c r="CN614" s="17" t="s">
        <v>138</v>
      </c>
      <c r="CO614" s="23">
        <v>4.5599999999999996</v>
      </c>
      <c r="CP614" s="24">
        <v>100</v>
      </c>
      <c r="CQ614" s="23">
        <v>0</v>
      </c>
      <c r="CR614" s="23">
        <v>0</v>
      </c>
      <c r="CS614" s="23">
        <v>4.5599999999999996</v>
      </c>
      <c r="CT614" s="24">
        <v>100</v>
      </c>
      <c r="CU614" s="23" t="s">
        <v>138</v>
      </c>
      <c r="CV614" s="24" t="s">
        <v>138</v>
      </c>
      <c r="CW614" s="23">
        <v>4.5599999999999996</v>
      </c>
      <c r="CX614" s="24">
        <v>95</v>
      </c>
      <c r="CY614" s="23" t="s">
        <v>138</v>
      </c>
      <c r="CZ614" s="24" t="s">
        <v>138</v>
      </c>
      <c r="DA614" s="23" t="s">
        <v>138</v>
      </c>
      <c r="DB614" s="24" t="s">
        <v>138</v>
      </c>
      <c r="DC614" s="25">
        <v>4.6100000000000003</v>
      </c>
      <c r="DD614" s="24">
        <v>82</v>
      </c>
      <c r="DE614" s="25">
        <v>-0.59</v>
      </c>
      <c r="DF614" s="23">
        <v>-11.37</v>
      </c>
      <c r="DG614" s="25">
        <v>4.6100000000000003</v>
      </c>
      <c r="DH614" s="24">
        <v>81</v>
      </c>
      <c r="DI614" s="25" t="s">
        <v>138</v>
      </c>
      <c r="DJ614" s="24" t="s">
        <v>138</v>
      </c>
      <c r="DK614" s="25">
        <v>4.6100000000000003</v>
      </c>
      <c r="DL614" s="24">
        <v>78</v>
      </c>
      <c r="DM614" s="25" t="s">
        <v>138</v>
      </c>
      <c r="DN614" s="24" t="s">
        <v>138</v>
      </c>
      <c r="DO614" s="25" t="s">
        <v>138</v>
      </c>
      <c r="DP614" s="24" t="s">
        <v>138</v>
      </c>
      <c r="DQ614" s="24">
        <v>1558</v>
      </c>
      <c r="DR614" s="26">
        <v>66</v>
      </c>
      <c r="DS614" s="23">
        <v>4.42</v>
      </c>
      <c r="DT614" s="24" t="s">
        <v>138</v>
      </c>
      <c r="DU614" s="26" t="s">
        <v>138</v>
      </c>
      <c r="DV614" s="23" t="s">
        <v>138</v>
      </c>
      <c r="DW614" s="24" t="s">
        <v>138</v>
      </c>
      <c r="DX614" s="27" t="s">
        <v>138</v>
      </c>
      <c r="DY614" s="23" t="s">
        <v>138</v>
      </c>
      <c r="DZ614" s="15" t="s">
        <v>178</v>
      </c>
      <c r="EA614" s="22">
        <v>43593</v>
      </c>
      <c r="EB614" s="17">
        <v>49.65</v>
      </c>
      <c r="EC614" s="22">
        <v>43552</v>
      </c>
      <c r="ED614" s="15" t="s">
        <v>205</v>
      </c>
      <c r="EE614" s="14" t="str">
        <f>HYPERLINK("https://my.pitchbook.com?c=187548-76", "View company online")</f>
        <v>View company online</v>
      </c>
    </row>
    <row r="615" spans="1:135">
      <c r="A615" s="28" t="s">
        <v>12420</v>
      </c>
      <c r="B615" s="28" t="s">
        <v>12421</v>
      </c>
      <c r="C615" s="28" t="s">
        <v>138</v>
      </c>
      <c r="D615" s="28" t="s">
        <v>12422</v>
      </c>
      <c r="E615" s="28" t="s">
        <v>138</v>
      </c>
      <c r="F615" s="28" t="s">
        <v>12420</v>
      </c>
      <c r="G615" s="28" t="s">
        <v>12423</v>
      </c>
      <c r="H615" s="28" t="s">
        <v>238</v>
      </c>
      <c r="I615" s="28" t="s">
        <v>1351</v>
      </c>
      <c r="J615" s="28" t="s">
        <v>1352</v>
      </c>
      <c r="K615" s="28" t="s">
        <v>12424</v>
      </c>
      <c r="L615" s="28" t="s">
        <v>1972</v>
      </c>
      <c r="M615" s="28" t="s">
        <v>12425</v>
      </c>
      <c r="N615" s="28" t="s">
        <v>147</v>
      </c>
      <c r="O615" s="29">
        <v>12.3</v>
      </c>
      <c r="P615" s="28" t="s">
        <v>148</v>
      </c>
      <c r="Q615" s="28" t="s">
        <v>149</v>
      </c>
      <c r="R615" s="28" t="s">
        <v>174</v>
      </c>
      <c r="S615" s="28" t="s">
        <v>12426</v>
      </c>
      <c r="T615" s="30" t="s">
        <v>138</v>
      </c>
      <c r="U615" s="28" t="s">
        <v>138</v>
      </c>
      <c r="V615" s="28" t="s">
        <v>138</v>
      </c>
      <c r="W615" s="28" t="s">
        <v>138</v>
      </c>
      <c r="X615" s="31">
        <v>2012</v>
      </c>
      <c r="Y615" s="28" t="s">
        <v>138</v>
      </c>
      <c r="Z615" s="28" t="s">
        <v>138</v>
      </c>
      <c r="AA615" s="28" t="s">
        <v>138</v>
      </c>
      <c r="AB615" s="32" t="s">
        <v>138</v>
      </c>
      <c r="AC615" s="32" t="s">
        <v>138</v>
      </c>
      <c r="AD615" s="32" t="s">
        <v>138</v>
      </c>
      <c r="AE615" s="32" t="s">
        <v>138</v>
      </c>
      <c r="AF615" s="32" t="s">
        <v>138</v>
      </c>
      <c r="AG615" s="28" t="s">
        <v>138</v>
      </c>
      <c r="AH615" s="32" t="s">
        <v>138</v>
      </c>
      <c r="AI615" s="32" t="s">
        <v>138</v>
      </c>
      <c r="AJ615" s="32" t="s">
        <v>138</v>
      </c>
      <c r="AK615" s="28" t="s">
        <v>12427</v>
      </c>
      <c r="AL615" s="28" t="s">
        <v>12428</v>
      </c>
      <c r="AM615" s="28" t="s">
        <v>12429</v>
      </c>
      <c r="AN615" s="28" t="s">
        <v>12430</v>
      </c>
      <c r="AO615" s="28" t="s">
        <v>12431</v>
      </c>
      <c r="AP615" s="28" t="s">
        <v>12432</v>
      </c>
      <c r="AQ615" s="28" t="s">
        <v>12433</v>
      </c>
      <c r="AR615" s="28" t="s">
        <v>12434</v>
      </c>
      <c r="AS615" s="28" t="s">
        <v>12435</v>
      </c>
      <c r="AT615" s="28" t="s">
        <v>864</v>
      </c>
      <c r="AU615" s="28" t="s">
        <v>12436</v>
      </c>
      <c r="AV615" s="28" t="s">
        <v>162</v>
      </c>
      <c r="AW615" s="28" t="s">
        <v>138</v>
      </c>
      <c r="AX615" s="28" t="s">
        <v>138</v>
      </c>
      <c r="AY615" s="28" t="s">
        <v>138</v>
      </c>
      <c r="AZ615" s="28" t="s">
        <v>164</v>
      </c>
      <c r="BA615" s="28" t="s">
        <v>165</v>
      </c>
      <c r="BB615" s="28" t="s">
        <v>12437</v>
      </c>
      <c r="BC615" s="28" t="s">
        <v>12438</v>
      </c>
      <c r="BD615" s="33">
        <v>12</v>
      </c>
      <c r="BE615" s="28" t="s">
        <v>138</v>
      </c>
      <c r="BF615" s="28" t="s">
        <v>138</v>
      </c>
      <c r="BG615" s="28" t="s">
        <v>138</v>
      </c>
      <c r="BH615" s="28" t="s">
        <v>12439</v>
      </c>
      <c r="BI615" s="28" t="s">
        <v>138</v>
      </c>
      <c r="BJ615" s="28" t="s">
        <v>138</v>
      </c>
      <c r="BK615" s="28" t="s">
        <v>138</v>
      </c>
      <c r="BL615" s="28" t="s">
        <v>138</v>
      </c>
      <c r="BM615" s="34">
        <v>41821</v>
      </c>
      <c r="BN615" s="29">
        <v>2</v>
      </c>
      <c r="BO615" s="28" t="s">
        <v>172</v>
      </c>
      <c r="BP615" s="29" t="s">
        <v>138</v>
      </c>
      <c r="BQ615" s="28" t="s">
        <v>138</v>
      </c>
      <c r="BR615" s="28" t="s">
        <v>234</v>
      </c>
      <c r="BS615" s="28" t="s">
        <v>234</v>
      </c>
      <c r="BT615" s="28" t="s">
        <v>138</v>
      </c>
      <c r="BU615" s="28" t="s">
        <v>174</v>
      </c>
      <c r="BV615" s="28" t="s">
        <v>138</v>
      </c>
      <c r="BW615" s="28" t="s">
        <v>138</v>
      </c>
      <c r="BX615" s="28" t="s">
        <v>138</v>
      </c>
      <c r="BY615" s="28" t="s">
        <v>175</v>
      </c>
      <c r="BZ615" s="34">
        <v>42970</v>
      </c>
      <c r="CA615" s="29">
        <v>1</v>
      </c>
      <c r="CB615" s="28" t="s">
        <v>172</v>
      </c>
      <c r="CC615" s="29" t="s">
        <v>138</v>
      </c>
      <c r="CD615" s="28" t="s">
        <v>138</v>
      </c>
      <c r="CE615" s="28" t="s">
        <v>173</v>
      </c>
      <c r="CF615" s="28" t="s">
        <v>138</v>
      </c>
      <c r="CG615" s="28" t="s">
        <v>138</v>
      </c>
      <c r="CH615" s="28" t="s">
        <v>174</v>
      </c>
      <c r="CI615" s="28" t="s">
        <v>264</v>
      </c>
      <c r="CJ615" s="28" t="s">
        <v>138</v>
      </c>
      <c r="CK615" s="28" t="s">
        <v>138</v>
      </c>
      <c r="CL615" s="28" t="s">
        <v>175</v>
      </c>
      <c r="CM615" s="34" t="s">
        <v>138</v>
      </c>
      <c r="CN615" s="29" t="s">
        <v>138</v>
      </c>
      <c r="CO615" s="35">
        <v>0</v>
      </c>
      <c r="CP615" s="36">
        <v>26</v>
      </c>
      <c r="CQ615" s="35">
        <v>0.02</v>
      </c>
      <c r="CR615" s="35">
        <v>100</v>
      </c>
      <c r="CS615" s="35">
        <v>0</v>
      </c>
      <c r="CT615" s="36">
        <v>23</v>
      </c>
      <c r="CU615" s="35">
        <v>0</v>
      </c>
      <c r="CV615" s="36">
        <v>22</v>
      </c>
      <c r="CW615" s="35" t="s">
        <v>138</v>
      </c>
      <c r="CX615" s="36" t="s">
        <v>138</v>
      </c>
      <c r="CY615" s="35">
        <v>0</v>
      </c>
      <c r="CZ615" s="36">
        <v>25</v>
      </c>
      <c r="DA615" s="35">
        <v>0</v>
      </c>
      <c r="DB615" s="36">
        <v>22</v>
      </c>
      <c r="DC615" s="37">
        <v>0.33</v>
      </c>
      <c r="DD615" s="36">
        <v>25</v>
      </c>
      <c r="DE615" s="37">
        <v>-0.03</v>
      </c>
      <c r="DF615" s="35">
        <v>-8.2200000000000006</v>
      </c>
      <c r="DG615" s="37">
        <v>0.62</v>
      </c>
      <c r="DH615" s="36">
        <v>39</v>
      </c>
      <c r="DI615" s="37">
        <v>0.04</v>
      </c>
      <c r="DJ615" s="36">
        <v>7</v>
      </c>
      <c r="DK615" s="37" t="s">
        <v>138</v>
      </c>
      <c r="DL615" s="36" t="s">
        <v>138</v>
      </c>
      <c r="DM615" s="37">
        <v>0.62</v>
      </c>
      <c r="DN615" s="36">
        <v>39</v>
      </c>
      <c r="DO615" s="37">
        <v>0.04</v>
      </c>
      <c r="DP615" s="36">
        <v>8</v>
      </c>
      <c r="DQ615" s="36" t="s">
        <v>138</v>
      </c>
      <c r="DR615" s="38" t="s">
        <v>138</v>
      </c>
      <c r="DS615" s="35" t="s">
        <v>138</v>
      </c>
      <c r="DT615" s="36">
        <v>18</v>
      </c>
      <c r="DU615" s="38">
        <v>0</v>
      </c>
      <c r="DV615" s="35">
        <v>0</v>
      </c>
      <c r="DW615" s="36">
        <v>13</v>
      </c>
      <c r="DX615" s="39">
        <v>0</v>
      </c>
      <c r="DY615" s="35">
        <v>0</v>
      </c>
      <c r="DZ615" s="28" t="s">
        <v>178</v>
      </c>
      <c r="EA615" s="34">
        <v>43616</v>
      </c>
      <c r="EB615" s="29">
        <v>33</v>
      </c>
      <c r="EC615" s="34">
        <v>42478</v>
      </c>
      <c r="ED615" s="28" t="s">
        <v>205</v>
      </c>
      <c r="EE615" s="40" t="str">
        <f>HYPERLINK("https://my.pitchbook.com?c=113827-24", "View company online")</f>
        <v>View company online</v>
      </c>
    </row>
    <row r="616" spans="1:135">
      <c r="A616" s="15" t="s">
        <v>12440</v>
      </c>
      <c r="B616" s="15" t="s">
        <v>12441</v>
      </c>
      <c r="C616" s="15" t="s">
        <v>138</v>
      </c>
      <c r="D616" s="15" t="s">
        <v>138</v>
      </c>
      <c r="E616" s="15" t="s">
        <v>12442</v>
      </c>
      <c r="F616" s="15" t="s">
        <v>12440</v>
      </c>
      <c r="G616" s="15" t="s">
        <v>12443</v>
      </c>
      <c r="H616" s="15" t="s">
        <v>322</v>
      </c>
      <c r="I616" s="15" t="s">
        <v>323</v>
      </c>
      <c r="J616" s="15" t="s">
        <v>1235</v>
      </c>
      <c r="K616" s="15" t="s">
        <v>5304</v>
      </c>
      <c r="L616" s="15" t="s">
        <v>12444</v>
      </c>
      <c r="M616" s="15" t="s">
        <v>12445</v>
      </c>
      <c r="N616" s="15" t="s">
        <v>147</v>
      </c>
      <c r="O616" s="17">
        <v>40.17</v>
      </c>
      <c r="P616" s="15" t="s">
        <v>148</v>
      </c>
      <c r="Q616" s="15" t="s">
        <v>149</v>
      </c>
      <c r="R616" s="15" t="s">
        <v>150</v>
      </c>
      <c r="S616" s="15" t="s">
        <v>12446</v>
      </c>
      <c r="T616" s="18">
        <v>65</v>
      </c>
      <c r="U616" s="15" t="s">
        <v>12447</v>
      </c>
      <c r="V616" s="15" t="s">
        <v>138</v>
      </c>
      <c r="W616" s="15" t="s">
        <v>138</v>
      </c>
      <c r="X616" s="19">
        <v>2011</v>
      </c>
      <c r="Y616" s="15" t="s">
        <v>138</v>
      </c>
      <c r="Z616" s="15" t="s">
        <v>138</v>
      </c>
      <c r="AA616" s="15" t="s">
        <v>138</v>
      </c>
      <c r="AB616" s="20" t="s">
        <v>138</v>
      </c>
      <c r="AC616" s="20" t="s">
        <v>138</v>
      </c>
      <c r="AD616" s="20" t="s">
        <v>138</v>
      </c>
      <c r="AE616" s="20" t="s">
        <v>138</v>
      </c>
      <c r="AF616" s="20" t="s">
        <v>138</v>
      </c>
      <c r="AG616" s="15" t="s">
        <v>138</v>
      </c>
      <c r="AH616" s="20" t="s">
        <v>138</v>
      </c>
      <c r="AI616" s="20" t="s">
        <v>138</v>
      </c>
      <c r="AJ616" s="20" t="s">
        <v>138</v>
      </c>
      <c r="AK616" s="15" t="s">
        <v>12448</v>
      </c>
      <c r="AL616" s="15" t="s">
        <v>12449</v>
      </c>
      <c r="AM616" s="15" t="s">
        <v>12450</v>
      </c>
      <c r="AN616" s="15" t="s">
        <v>12451</v>
      </c>
      <c r="AO616" s="15" t="s">
        <v>12452</v>
      </c>
      <c r="AP616" s="15" t="s">
        <v>665</v>
      </c>
      <c r="AQ616" s="15" t="s">
        <v>12453</v>
      </c>
      <c r="AR616" s="15" t="s">
        <v>138</v>
      </c>
      <c r="AS616" s="15" t="s">
        <v>668</v>
      </c>
      <c r="AT616" s="15" t="s">
        <v>200</v>
      </c>
      <c r="AU616" s="15" t="s">
        <v>3557</v>
      </c>
      <c r="AV616" s="15" t="s">
        <v>162</v>
      </c>
      <c r="AW616" s="15" t="s">
        <v>12452</v>
      </c>
      <c r="AX616" s="15" t="s">
        <v>138</v>
      </c>
      <c r="AY616" s="15" t="s">
        <v>12454</v>
      </c>
      <c r="AZ616" s="15" t="s">
        <v>164</v>
      </c>
      <c r="BA616" s="15" t="s">
        <v>165</v>
      </c>
      <c r="BB616" s="15" t="s">
        <v>12455</v>
      </c>
      <c r="BC616" s="15" t="s">
        <v>12456</v>
      </c>
      <c r="BD616" s="21">
        <v>15</v>
      </c>
      <c r="BE616" s="15" t="s">
        <v>138</v>
      </c>
      <c r="BF616" s="15" t="s">
        <v>138</v>
      </c>
      <c r="BG616" s="15" t="s">
        <v>12457</v>
      </c>
      <c r="BH616" s="15" t="s">
        <v>12458</v>
      </c>
      <c r="BI616" s="15" t="s">
        <v>138</v>
      </c>
      <c r="BJ616" s="15" t="s">
        <v>12459</v>
      </c>
      <c r="BK616" s="15" t="s">
        <v>12460</v>
      </c>
      <c r="BL616" s="15" t="s">
        <v>3482</v>
      </c>
      <c r="BM616" s="22">
        <v>41464</v>
      </c>
      <c r="BN616" s="17">
        <v>8.9700000000000006</v>
      </c>
      <c r="BO616" s="15" t="s">
        <v>172</v>
      </c>
      <c r="BP616" s="17">
        <v>28.38</v>
      </c>
      <c r="BQ616" s="15" t="s">
        <v>172</v>
      </c>
      <c r="BR616" s="15" t="s">
        <v>205</v>
      </c>
      <c r="BS616" s="15" t="s">
        <v>206</v>
      </c>
      <c r="BT616" s="15" t="s">
        <v>138</v>
      </c>
      <c r="BU616" s="15" t="s">
        <v>174</v>
      </c>
      <c r="BV616" s="15" t="s">
        <v>138</v>
      </c>
      <c r="BW616" s="15" t="s">
        <v>138</v>
      </c>
      <c r="BX616" s="15" t="s">
        <v>138</v>
      </c>
      <c r="BY616" s="15" t="s">
        <v>175</v>
      </c>
      <c r="BZ616" s="22">
        <v>43579</v>
      </c>
      <c r="CA616" s="17">
        <v>39</v>
      </c>
      <c r="CB616" s="15" t="s">
        <v>172</v>
      </c>
      <c r="CC616" s="17">
        <v>39</v>
      </c>
      <c r="CD616" s="15" t="s">
        <v>1178</v>
      </c>
      <c r="CE616" s="15" t="s">
        <v>2228</v>
      </c>
      <c r="CF616" s="15" t="s">
        <v>138</v>
      </c>
      <c r="CG616" s="15" t="s">
        <v>138</v>
      </c>
      <c r="CH616" s="15" t="s">
        <v>780</v>
      </c>
      <c r="CI616" s="15" t="s">
        <v>138</v>
      </c>
      <c r="CJ616" s="15" t="s">
        <v>138</v>
      </c>
      <c r="CK616" s="15" t="s">
        <v>138</v>
      </c>
      <c r="CL616" s="15" t="s">
        <v>352</v>
      </c>
      <c r="CM616" s="22" t="s">
        <v>138</v>
      </c>
      <c r="CN616" s="17" t="s">
        <v>138</v>
      </c>
      <c r="CO616" s="23">
        <v>0.63</v>
      </c>
      <c r="CP616" s="24">
        <v>96</v>
      </c>
      <c r="CQ616" s="23">
        <v>0</v>
      </c>
      <c r="CR616" s="23">
        <v>0.05</v>
      </c>
      <c r="CS616" s="23">
        <v>1.24</v>
      </c>
      <c r="CT616" s="24">
        <v>97</v>
      </c>
      <c r="CU616" s="23">
        <v>0.02</v>
      </c>
      <c r="CV616" s="24">
        <v>51</v>
      </c>
      <c r="CW616" s="23">
        <v>2.48</v>
      </c>
      <c r="CX616" s="24">
        <v>90</v>
      </c>
      <c r="CY616" s="23">
        <v>0</v>
      </c>
      <c r="CZ616" s="24">
        <v>25</v>
      </c>
      <c r="DA616" s="23">
        <v>0.02</v>
      </c>
      <c r="DB616" s="24">
        <v>58</v>
      </c>
      <c r="DC616" s="25">
        <v>35.549999999999997</v>
      </c>
      <c r="DD616" s="24">
        <v>97</v>
      </c>
      <c r="DE616" s="25">
        <v>-1.1100000000000001</v>
      </c>
      <c r="DF616" s="23">
        <v>-3.02</v>
      </c>
      <c r="DG616" s="25">
        <v>20.48</v>
      </c>
      <c r="DH616" s="24">
        <v>95</v>
      </c>
      <c r="DI616" s="25">
        <v>50.62</v>
      </c>
      <c r="DJ616" s="24">
        <v>95</v>
      </c>
      <c r="DK616" s="25">
        <v>38.200000000000003</v>
      </c>
      <c r="DL616" s="24">
        <v>95</v>
      </c>
      <c r="DM616" s="25">
        <v>2.76</v>
      </c>
      <c r="DN616" s="24">
        <v>72</v>
      </c>
      <c r="DO616" s="25">
        <v>50.62</v>
      </c>
      <c r="DP616" s="24">
        <v>97</v>
      </c>
      <c r="DQ616" s="24">
        <v>12905</v>
      </c>
      <c r="DR616" s="26">
        <v>585</v>
      </c>
      <c r="DS616" s="23">
        <v>4.75</v>
      </c>
      <c r="DT616" s="24">
        <v>80</v>
      </c>
      <c r="DU616" s="26">
        <v>-2</v>
      </c>
      <c r="DV616" s="23">
        <v>-2.44</v>
      </c>
      <c r="DW616" s="24">
        <v>18122</v>
      </c>
      <c r="DX616" s="27">
        <v>-2</v>
      </c>
      <c r="DY616" s="23">
        <v>-0.01</v>
      </c>
      <c r="DZ616" s="15" t="s">
        <v>178</v>
      </c>
      <c r="EA616" s="22">
        <v>43622</v>
      </c>
      <c r="EB616" s="17">
        <v>39</v>
      </c>
      <c r="EC616" s="22">
        <v>43579</v>
      </c>
      <c r="ED616" s="15" t="s">
        <v>2228</v>
      </c>
      <c r="EE616" s="14" t="str">
        <f>HYPERLINK("https://my.pitchbook.com?c=58147-48", "View company online")</f>
        <v>View company online</v>
      </c>
    </row>
    <row r="617" spans="1:135">
      <c r="A617" s="28" t="s">
        <v>12461</v>
      </c>
      <c r="B617" s="28" t="s">
        <v>12462</v>
      </c>
      <c r="C617" s="28" t="s">
        <v>138</v>
      </c>
      <c r="D617" s="28" t="s">
        <v>138</v>
      </c>
      <c r="E617" s="28" t="s">
        <v>12463</v>
      </c>
      <c r="F617" s="28" t="s">
        <v>12461</v>
      </c>
      <c r="G617" s="28" t="s">
        <v>12464</v>
      </c>
      <c r="H617" s="28" t="s">
        <v>141</v>
      </c>
      <c r="I617" s="28" t="s">
        <v>142</v>
      </c>
      <c r="J617" s="28" t="s">
        <v>4910</v>
      </c>
      <c r="K617" s="28" t="s">
        <v>12465</v>
      </c>
      <c r="L617" s="28" t="s">
        <v>8431</v>
      </c>
      <c r="M617" s="28" t="s">
        <v>12466</v>
      </c>
      <c r="N617" s="28" t="s">
        <v>147</v>
      </c>
      <c r="O617" s="29">
        <v>95.37</v>
      </c>
      <c r="P617" s="28" t="s">
        <v>148</v>
      </c>
      <c r="Q617" s="28" t="s">
        <v>149</v>
      </c>
      <c r="R617" s="28" t="s">
        <v>150</v>
      </c>
      <c r="S617" s="28" t="s">
        <v>12467</v>
      </c>
      <c r="T617" s="30">
        <v>110</v>
      </c>
      <c r="U617" s="28" t="s">
        <v>12468</v>
      </c>
      <c r="V617" s="28" t="s">
        <v>138</v>
      </c>
      <c r="W617" s="28" t="s">
        <v>138</v>
      </c>
      <c r="X617" s="31">
        <v>1989</v>
      </c>
      <c r="Y617" s="28" t="s">
        <v>138</v>
      </c>
      <c r="Z617" s="28" t="s">
        <v>138</v>
      </c>
      <c r="AA617" s="28" t="s">
        <v>138</v>
      </c>
      <c r="AB617" s="32">
        <v>17.87</v>
      </c>
      <c r="AC617" s="32">
        <v>10.36</v>
      </c>
      <c r="AD617" s="32">
        <v>-6.54</v>
      </c>
      <c r="AE617" s="32" t="s">
        <v>138</v>
      </c>
      <c r="AF617" s="32">
        <v>-5.09</v>
      </c>
      <c r="AG617" s="28" t="s">
        <v>419</v>
      </c>
      <c r="AH617" s="32" t="s">
        <v>138</v>
      </c>
      <c r="AI617" s="32" t="s">
        <v>138</v>
      </c>
      <c r="AJ617" s="32" t="s">
        <v>138</v>
      </c>
      <c r="AK617" s="28" t="s">
        <v>12469</v>
      </c>
      <c r="AL617" s="28" t="s">
        <v>12470</v>
      </c>
      <c r="AM617" s="28" t="s">
        <v>12471</v>
      </c>
      <c r="AN617" s="28" t="s">
        <v>12472</v>
      </c>
      <c r="AO617" s="28" t="s">
        <v>12473</v>
      </c>
      <c r="AP617" s="28" t="s">
        <v>12474</v>
      </c>
      <c r="AQ617" s="28" t="s">
        <v>12475</v>
      </c>
      <c r="AR617" s="28" t="s">
        <v>12476</v>
      </c>
      <c r="AS617" s="28" t="s">
        <v>12477</v>
      </c>
      <c r="AT617" s="28" t="s">
        <v>824</v>
      </c>
      <c r="AU617" s="28" t="s">
        <v>12478</v>
      </c>
      <c r="AV617" s="28" t="s">
        <v>526</v>
      </c>
      <c r="AW617" s="28" t="s">
        <v>12473</v>
      </c>
      <c r="AX617" s="28" t="s">
        <v>138</v>
      </c>
      <c r="AY617" s="28" t="s">
        <v>12479</v>
      </c>
      <c r="AZ617" s="28" t="s">
        <v>530</v>
      </c>
      <c r="BA617" s="28" t="s">
        <v>531</v>
      </c>
      <c r="BB617" s="28" t="s">
        <v>12480</v>
      </c>
      <c r="BC617" s="28" t="s">
        <v>12481</v>
      </c>
      <c r="BD617" s="33">
        <v>6</v>
      </c>
      <c r="BE617" s="28" t="s">
        <v>138</v>
      </c>
      <c r="BF617" s="28" t="s">
        <v>138</v>
      </c>
      <c r="BG617" s="28" t="s">
        <v>138</v>
      </c>
      <c r="BH617" s="28" t="s">
        <v>12482</v>
      </c>
      <c r="BI617" s="28" t="s">
        <v>138</v>
      </c>
      <c r="BJ617" s="28" t="s">
        <v>138</v>
      </c>
      <c r="BK617" s="28" t="s">
        <v>138</v>
      </c>
      <c r="BL617" s="28" t="s">
        <v>12483</v>
      </c>
      <c r="BM617" s="34">
        <v>40470</v>
      </c>
      <c r="BN617" s="29">
        <v>4.47</v>
      </c>
      <c r="BO617" s="28" t="s">
        <v>172</v>
      </c>
      <c r="BP617" s="29">
        <v>71.86</v>
      </c>
      <c r="BQ617" s="28" t="s">
        <v>172</v>
      </c>
      <c r="BR617" s="28" t="s">
        <v>205</v>
      </c>
      <c r="BS617" s="28" t="s">
        <v>138</v>
      </c>
      <c r="BT617" s="28" t="s">
        <v>138</v>
      </c>
      <c r="BU617" s="28" t="s">
        <v>174</v>
      </c>
      <c r="BV617" s="28" t="s">
        <v>138</v>
      </c>
      <c r="BW617" s="28" t="s">
        <v>138</v>
      </c>
      <c r="BX617" s="28" t="s">
        <v>138</v>
      </c>
      <c r="BY617" s="28" t="s">
        <v>175</v>
      </c>
      <c r="BZ617" s="34">
        <v>43201</v>
      </c>
      <c r="CA617" s="29">
        <v>37.29</v>
      </c>
      <c r="CB617" s="28" t="s">
        <v>172</v>
      </c>
      <c r="CC617" s="29" t="s">
        <v>138</v>
      </c>
      <c r="CD617" s="28" t="s">
        <v>138</v>
      </c>
      <c r="CE617" s="28" t="s">
        <v>173</v>
      </c>
      <c r="CF617" s="28" t="s">
        <v>720</v>
      </c>
      <c r="CG617" s="28" t="s">
        <v>138</v>
      </c>
      <c r="CH617" s="28" t="s">
        <v>174</v>
      </c>
      <c r="CI617" s="28" t="s">
        <v>138</v>
      </c>
      <c r="CJ617" s="28" t="s">
        <v>138</v>
      </c>
      <c r="CK617" s="28" t="s">
        <v>138</v>
      </c>
      <c r="CL617" s="28" t="s">
        <v>175</v>
      </c>
      <c r="CM617" s="34" t="s">
        <v>138</v>
      </c>
      <c r="CN617" s="29" t="s">
        <v>138</v>
      </c>
      <c r="CO617" s="35">
        <v>-0.37</v>
      </c>
      <c r="CP617" s="36">
        <v>18</v>
      </c>
      <c r="CQ617" s="35">
        <v>0.15</v>
      </c>
      <c r="CR617" s="35">
        <v>29.33</v>
      </c>
      <c r="CS617" s="35">
        <v>-1.78</v>
      </c>
      <c r="CT617" s="36">
        <v>10</v>
      </c>
      <c r="CU617" s="35">
        <v>1.05</v>
      </c>
      <c r="CV617" s="36">
        <v>98</v>
      </c>
      <c r="CW617" s="35">
        <v>7.0000000000000007E-2</v>
      </c>
      <c r="CX617" s="36">
        <v>80</v>
      </c>
      <c r="CY617" s="35">
        <v>-3.64</v>
      </c>
      <c r="CZ617" s="36">
        <v>5</v>
      </c>
      <c r="DA617" s="35">
        <v>1.1200000000000001</v>
      </c>
      <c r="DB617" s="36">
        <v>98</v>
      </c>
      <c r="DC617" s="37">
        <v>21.63</v>
      </c>
      <c r="DD617" s="36">
        <v>95</v>
      </c>
      <c r="DE617" s="37">
        <v>0.52</v>
      </c>
      <c r="DF617" s="35">
        <v>2.46</v>
      </c>
      <c r="DG617" s="37">
        <v>30.48</v>
      </c>
      <c r="DH617" s="36">
        <v>97</v>
      </c>
      <c r="DI617" s="37">
        <v>12.78</v>
      </c>
      <c r="DJ617" s="36">
        <v>87</v>
      </c>
      <c r="DK617" s="37">
        <v>2.86</v>
      </c>
      <c r="DL617" s="36">
        <v>71</v>
      </c>
      <c r="DM617" s="37">
        <v>58.1</v>
      </c>
      <c r="DN617" s="36">
        <v>98</v>
      </c>
      <c r="DO617" s="37">
        <v>23.92</v>
      </c>
      <c r="DP617" s="36">
        <v>93</v>
      </c>
      <c r="DQ617" s="36">
        <v>992</v>
      </c>
      <c r="DR617" s="38">
        <v>-30</v>
      </c>
      <c r="DS617" s="35">
        <v>-2.94</v>
      </c>
      <c r="DT617" s="36">
        <v>1667</v>
      </c>
      <c r="DU617" s="38">
        <v>30</v>
      </c>
      <c r="DV617" s="35">
        <v>1.83</v>
      </c>
      <c r="DW617" s="36">
        <v>8425</v>
      </c>
      <c r="DX617" s="39">
        <v>249</v>
      </c>
      <c r="DY617" s="35">
        <v>3.05</v>
      </c>
      <c r="DZ617" s="28" t="s">
        <v>178</v>
      </c>
      <c r="EA617" s="34">
        <v>43622</v>
      </c>
      <c r="EB617" s="29">
        <v>144.68</v>
      </c>
      <c r="EC617" s="34">
        <v>42310</v>
      </c>
      <c r="ED617" s="28" t="s">
        <v>780</v>
      </c>
      <c r="EE617" s="40" t="str">
        <f>HYPERLINK("https://my.pitchbook.com?c=126790-84", "View company online")</f>
        <v>View company online</v>
      </c>
    </row>
    <row r="618" spans="1:135">
      <c r="A618" s="15" t="s">
        <v>12484</v>
      </c>
      <c r="B618" s="15" t="s">
        <v>12485</v>
      </c>
      <c r="C618" s="15" t="s">
        <v>138</v>
      </c>
      <c r="D618" s="15" t="s">
        <v>138</v>
      </c>
      <c r="E618" s="15" t="s">
        <v>138</v>
      </c>
      <c r="F618" s="15" t="s">
        <v>12484</v>
      </c>
      <c r="G618" s="15" t="s">
        <v>12486</v>
      </c>
      <c r="H618" s="15" t="s">
        <v>183</v>
      </c>
      <c r="I618" s="15" t="s">
        <v>4681</v>
      </c>
      <c r="J618" s="15" t="s">
        <v>12487</v>
      </c>
      <c r="K618" s="15" t="s">
        <v>12488</v>
      </c>
      <c r="L618" s="15" t="s">
        <v>12489</v>
      </c>
      <c r="M618" s="15" t="s">
        <v>12490</v>
      </c>
      <c r="N618" s="15" t="s">
        <v>147</v>
      </c>
      <c r="O618" s="17">
        <v>2</v>
      </c>
      <c r="P618" s="15" t="s">
        <v>148</v>
      </c>
      <c r="Q618" s="15" t="s">
        <v>149</v>
      </c>
      <c r="R618" s="15" t="s">
        <v>174</v>
      </c>
      <c r="S618" s="15" t="s">
        <v>12491</v>
      </c>
      <c r="T618" s="18">
        <v>10</v>
      </c>
      <c r="U618" s="15" t="s">
        <v>8007</v>
      </c>
      <c r="V618" s="15" t="s">
        <v>138</v>
      </c>
      <c r="W618" s="15" t="s">
        <v>138</v>
      </c>
      <c r="X618" s="19">
        <v>2018</v>
      </c>
      <c r="Y618" s="15" t="s">
        <v>138</v>
      </c>
      <c r="Z618" s="15" t="s">
        <v>138</v>
      </c>
      <c r="AA618" s="15" t="s">
        <v>138</v>
      </c>
      <c r="AB618" s="20" t="s">
        <v>138</v>
      </c>
      <c r="AC618" s="20" t="s">
        <v>138</v>
      </c>
      <c r="AD618" s="20" t="s">
        <v>138</v>
      </c>
      <c r="AE618" s="20" t="s">
        <v>138</v>
      </c>
      <c r="AF618" s="20" t="s">
        <v>138</v>
      </c>
      <c r="AG618" s="15" t="s">
        <v>138</v>
      </c>
      <c r="AH618" s="20" t="s">
        <v>138</v>
      </c>
      <c r="AI618" s="20" t="s">
        <v>138</v>
      </c>
      <c r="AJ618" s="20" t="s">
        <v>138</v>
      </c>
      <c r="AK618" s="15" t="s">
        <v>12492</v>
      </c>
      <c r="AL618" s="15" t="s">
        <v>12493</v>
      </c>
      <c r="AM618" s="15" t="s">
        <v>12494</v>
      </c>
      <c r="AN618" s="15" t="s">
        <v>12495</v>
      </c>
      <c r="AO618" s="15" t="s">
        <v>12496</v>
      </c>
      <c r="AP618" s="15" t="s">
        <v>6230</v>
      </c>
      <c r="AQ618" s="15" t="s">
        <v>138</v>
      </c>
      <c r="AR618" s="15" t="s">
        <v>138</v>
      </c>
      <c r="AS618" s="15" t="s">
        <v>6232</v>
      </c>
      <c r="AT618" s="15" t="s">
        <v>371</v>
      </c>
      <c r="AU618" s="15" t="s">
        <v>138</v>
      </c>
      <c r="AV618" s="15" t="s">
        <v>162</v>
      </c>
      <c r="AW618" s="15" t="s">
        <v>138</v>
      </c>
      <c r="AX618" s="15" t="s">
        <v>138</v>
      </c>
      <c r="AY618" s="15" t="s">
        <v>138</v>
      </c>
      <c r="AZ618" s="15" t="s">
        <v>164</v>
      </c>
      <c r="BA618" s="15" t="s">
        <v>165</v>
      </c>
      <c r="BB618" s="15" t="s">
        <v>12497</v>
      </c>
      <c r="BC618" s="15" t="s">
        <v>12498</v>
      </c>
      <c r="BD618" s="21">
        <v>1</v>
      </c>
      <c r="BE618" s="15" t="s">
        <v>138</v>
      </c>
      <c r="BF618" s="15" t="s">
        <v>138</v>
      </c>
      <c r="BG618" s="15" t="s">
        <v>138</v>
      </c>
      <c r="BH618" s="15" t="s">
        <v>12499</v>
      </c>
      <c r="BI618" s="15" t="s">
        <v>138</v>
      </c>
      <c r="BJ618" s="15" t="s">
        <v>138</v>
      </c>
      <c r="BK618" s="15" t="s">
        <v>138</v>
      </c>
      <c r="BL618" s="15" t="s">
        <v>138</v>
      </c>
      <c r="BM618" s="22">
        <v>43557</v>
      </c>
      <c r="BN618" s="17">
        <v>2</v>
      </c>
      <c r="BO618" s="15" t="s">
        <v>172</v>
      </c>
      <c r="BP618" s="17" t="s">
        <v>138</v>
      </c>
      <c r="BQ618" s="15" t="s">
        <v>138</v>
      </c>
      <c r="BR618" s="15" t="s">
        <v>234</v>
      </c>
      <c r="BS618" s="15" t="s">
        <v>234</v>
      </c>
      <c r="BT618" s="15" t="s">
        <v>138</v>
      </c>
      <c r="BU618" s="15" t="s">
        <v>174</v>
      </c>
      <c r="BV618" s="15" t="s">
        <v>138</v>
      </c>
      <c r="BW618" s="15" t="s">
        <v>138</v>
      </c>
      <c r="BX618" s="15" t="s">
        <v>138</v>
      </c>
      <c r="BY618" s="15" t="s">
        <v>175</v>
      </c>
      <c r="BZ618" s="22">
        <v>43557</v>
      </c>
      <c r="CA618" s="17">
        <v>2</v>
      </c>
      <c r="CB618" s="15" t="s">
        <v>172</v>
      </c>
      <c r="CC618" s="17" t="s">
        <v>138</v>
      </c>
      <c r="CD618" s="15" t="s">
        <v>138</v>
      </c>
      <c r="CE618" s="15" t="s">
        <v>234</v>
      </c>
      <c r="CF618" s="15" t="s">
        <v>234</v>
      </c>
      <c r="CG618" s="15" t="s">
        <v>138</v>
      </c>
      <c r="CH618" s="15" t="s">
        <v>174</v>
      </c>
      <c r="CI618" s="15" t="s">
        <v>138</v>
      </c>
      <c r="CJ618" s="15" t="s">
        <v>138</v>
      </c>
      <c r="CK618" s="15" t="s">
        <v>138</v>
      </c>
      <c r="CL618" s="15" t="s">
        <v>175</v>
      </c>
      <c r="CM618" s="22" t="s">
        <v>138</v>
      </c>
      <c r="CN618" s="17" t="s">
        <v>138</v>
      </c>
      <c r="CO618" s="23" t="s">
        <v>138</v>
      </c>
      <c r="CP618" s="24" t="s">
        <v>138</v>
      </c>
      <c r="CQ618" s="23" t="s">
        <v>138</v>
      </c>
      <c r="CR618" s="23" t="s">
        <v>138</v>
      </c>
      <c r="CS618" s="23" t="s">
        <v>138</v>
      </c>
      <c r="CT618" s="24" t="s">
        <v>138</v>
      </c>
      <c r="CU618" s="23" t="s">
        <v>138</v>
      </c>
      <c r="CV618" s="24" t="s">
        <v>138</v>
      </c>
      <c r="CW618" s="23" t="s">
        <v>138</v>
      </c>
      <c r="CX618" s="24" t="s">
        <v>138</v>
      </c>
      <c r="CY618" s="23" t="s">
        <v>138</v>
      </c>
      <c r="CZ618" s="24" t="s">
        <v>138</v>
      </c>
      <c r="DA618" s="23" t="s">
        <v>138</v>
      </c>
      <c r="DB618" s="24" t="s">
        <v>138</v>
      </c>
      <c r="DC618" s="25" t="s">
        <v>138</v>
      </c>
      <c r="DD618" s="24" t="s">
        <v>138</v>
      </c>
      <c r="DE618" s="25" t="s">
        <v>138</v>
      </c>
      <c r="DF618" s="23" t="s">
        <v>138</v>
      </c>
      <c r="DG618" s="25" t="s">
        <v>138</v>
      </c>
      <c r="DH618" s="24" t="s">
        <v>138</v>
      </c>
      <c r="DI618" s="25" t="s">
        <v>138</v>
      </c>
      <c r="DJ618" s="24" t="s">
        <v>138</v>
      </c>
      <c r="DK618" s="25" t="s">
        <v>138</v>
      </c>
      <c r="DL618" s="24" t="s">
        <v>138</v>
      </c>
      <c r="DM618" s="25" t="s">
        <v>138</v>
      </c>
      <c r="DN618" s="24" t="s">
        <v>138</v>
      </c>
      <c r="DO618" s="25" t="s">
        <v>138</v>
      </c>
      <c r="DP618" s="24" t="s">
        <v>138</v>
      </c>
      <c r="DQ618" s="24" t="s">
        <v>138</v>
      </c>
      <c r="DR618" s="26" t="s">
        <v>138</v>
      </c>
      <c r="DS618" s="23" t="s">
        <v>138</v>
      </c>
      <c r="DT618" s="24" t="s">
        <v>138</v>
      </c>
      <c r="DU618" s="26" t="s">
        <v>138</v>
      </c>
      <c r="DV618" s="23" t="s">
        <v>138</v>
      </c>
      <c r="DW618" s="24" t="s">
        <v>138</v>
      </c>
      <c r="DX618" s="27" t="s">
        <v>138</v>
      </c>
      <c r="DY618" s="23" t="s">
        <v>138</v>
      </c>
      <c r="DZ618" s="15" t="s">
        <v>178</v>
      </c>
      <c r="EA618" s="22">
        <v>43600</v>
      </c>
      <c r="EB618" s="17" t="s">
        <v>138</v>
      </c>
      <c r="EC618" s="22" t="s">
        <v>138</v>
      </c>
      <c r="ED618" s="15" t="s">
        <v>138</v>
      </c>
      <c r="EE618" s="14" t="str">
        <f>HYPERLINK("https://my.pitchbook.com?c=266669-65", "View company online")</f>
        <v>View company online</v>
      </c>
    </row>
    <row r="619" spans="1:135">
      <c r="A619" s="28" t="s">
        <v>12500</v>
      </c>
      <c r="B619" s="28" t="s">
        <v>12501</v>
      </c>
      <c r="C619" s="28" t="s">
        <v>138</v>
      </c>
      <c r="D619" s="28" t="s">
        <v>138</v>
      </c>
      <c r="E619" s="28" t="s">
        <v>138</v>
      </c>
      <c r="F619" s="28" t="s">
        <v>12500</v>
      </c>
      <c r="G619" s="28" t="s">
        <v>12502</v>
      </c>
      <c r="H619" s="28" t="s">
        <v>322</v>
      </c>
      <c r="I619" s="28" t="s">
        <v>323</v>
      </c>
      <c r="J619" s="28" t="s">
        <v>437</v>
      </c>
      <c r="K619" s="28" t="s">
        <v>6110</v>
      </c>
      <c r="L619" s="28" t="s">
        <v>215</v>
      </c>
      <c r="M619" s="28" t="s">
        <v>12503</v>
      </c>
      <c r="N619" s="28" t="s">
        <v>147</v>
      </c>
      <c r="O619" s="29" t="s">
        <v>138</v>
      </c>
      <c r="P619" s="28" t="s">
        <v>148</v>
      </c>
      <c r="Q619" s="28" t="s">
        <v>149</v>
      </c>
      <c r="R619" s="28" t="s">
        <v>174</v>
      </c>
      <c r="S619" s="28" t="s">
        <v>12504</v>
      </c>
      <c r="T619" s="30" t="s">
        <v>138</v>
      </c>
      <c r="U619" s="28" t="s">
        <v>138</v>
      </c>
      <c r="V619" s="28" t="s">
        <v>138</v>
      </c>
      <c r="W619" s="28" t="s">
        <v>138</v>
      </c>
      <c r="X619" s="31" t="s">
        <v>138</v>
      </c>
      <c r="Y619" s="28" t="s">
        <v>138</v>
      </c>
      <c r="Z619" s="28" t="s">
        <v>1163</v>
      </c>
      <c r="AA619" s="28" t="s">
        <v>1163</v>
      </c>
      <c r="AB619" s="32" t="s">
        <v>138</v>
      </c>
      <c r="AC619" s="32" t="s">
        <v>138</v>
      </c>
      <c r="AD619" s="32" t="s">
        <v>138</v>
      </c>
      <c r="AE619" s="32" t="s">
        <v>138</v>
      </c>
      <c r="AF619" s="32" t="s">
        <v>138</v>
      </c>
      <c r="AG619" s="28" t="s">
        <v>138</v>
      </c>
      <c r="AH619" s="32" t="s">
        <v>138</v>
      </c>
      <c r="AI619" s="32" t="s">
        <v>138</v>
      </c>
      <c r="AJ619" s="32" t="s">
        <v>138</v>
      </c>
      <c r="AK619" s="28" t="s">
        <v>12505</v>
      </c>
      <c r="AL619" s="28" t="s">
        <v>12506</v>
      </c>
      <c r="AM619" s="28" t="s">
        <v>12507</v>
      </c>
      <c r="AN619" s="28" t="s">
        <v>12508</v>
      </c>
      <c r="AO619" s="28" t="s">
        <v>138</v>
      </c>
      <c r="AP619" s="28" t="s">
        <v>4490</v>
      </c>
      <c r="AQ619" s="28" t="s">
        <v>138</v>
      </c>
      <c r="AR619" s="28" t="s">
        <v>138</v>
      </c>
      <c r="AS619" s="28" t="s">
        <v>4492</v>
      </c>
      <c r="AT619" s="28" t="s">
        <v>4493</v>
      </c>
      <c r="AU619" s="28" t="s">
        <v>12509</v>
      </c>
      <c r="AV619" s="28" t="s">
        <v>162</v>
      </c>
      <c r="AW619" s="28" t="s">
        <v>138</v>
      </c>
      <c r="AX619" s="28" t="s">
        <v>138</v>
      </c>
      <c r="AY619" s="28" t="s">
        <v>12510</v>
      </c>
      <c r="AZ619" s="28" t="s">
        <v>164</v>
      </c>
      <c r="BA619" s="28" t="s">
        <v>165</v>
      </c>
      <c r="BB619" s="28" t="s">
        <v>12511</v>
      </c>
      <c r="BC619" s="28" t="s">
        <v>12512</v>
      </c>
      <c r="BD619" s="33">
        <v>3</v>
      </c>
      <c r="BE619" s="28" t="s">
        <v>138</v>
      </c>
      <c r="BF619" s="28" t="s">
        <v>138</v>
      </c>
      <c r="BG619" s="28" t="s">
        <v>138</v>
      </c>
      <c r="BH619" s="28" t="s">
        <v>12513</v>
      </c>
      <c r="BI619" s="28" t="s">
        <v>138</v>
      </c>
      <c r="BJ619" s="28" t="s">
        <v>138</v>
      </c>
      <c r="BK619" s="28" t="s">
        <v>138</v>
      </c>
      <c r="BL619" s="28" t="s">
        <v>138</v>
      </c>
      <c r="BM619" s="34" t="s">
        <v>138</v>
      </c>
      <c r="BN619" s="29" t="s">
        <v>138</v>
      </c>
      <c r="BO619" s="28" t="s">
        <v>138</v>
      </c>
      <c r="BP619" s="29" t="s">
        <v>138</v>
      </c>
      <c r="BQ619" s="28" t="s">
        <v>138</v>
      </c>
      <c r="BR619" s="28" t="s">
        <v>1465</v>
      </c>
      <c r="BS619" s="28" t="s">
        <v>138</v>
      </c>
      <c r="BT619" s="28" t="s">
        <v>138</v>
      </c>
      <c r="BU619" s="28" t="s">
        <v>177</v>
      </c>
      <c r="BV619" s="28" t="s">
        <v>138</v>
      </c>
      <c r="BW619" s="28" t="s">
        <v>138</v>
      </c>
      <c r="BX619" s="28" t="s">
        <v>138</v>
      </c>
      <c r="BY619" s="28" t="s">
        <v>175</v>
      </c>
      <c r="BZ619" s="34" t="s">
        <v>138</v>
      </c>
      <c r="CA619" s="29" t="s">
        <v>138</v>
      </c>
      <c r="CB619" s="28" t="s">
        <v>138</v>
      </c>
      <c r="CC619" s="29" t="s">
        <v>138</v>
      </c>
      <c r="CD619" s="28" t="s">
        <v>138</v>
      </c>
      <c r="CE619" s="28" t="s">
        <v>1465</v>
      </c>
      <c r="CF619" s="28" t="s">
        <v>138</v>
      </c>
      <c r="CG619" s="28" t="s">
        <v>138</v>
      </c>
      <c r="CH619" s="28" t="s">
        <v>177</v>
      </c>
      <c r="CI619" s="28" t="s">
        <v>138</v>
      </c>
      <c r="CJ619" s="28" t="s">
        <v>138</v>
      </c>
      <c r="CK619" s="28" t="s">
        <v>138</v>
      </c>
      <c r="CL619" s="28" t="s">
        <v>175</v>
      </c>
      <c r="CM619" s="34" t="s">
        <v>138</v>
      </c>
      <c r="CN619" s="29" t="s">
        <v>138</v>
      </c>
      <c r="CO619" s="35">
        <v>0</v>
      </c>
      <c r="CP619" s="36">
        <v>26</v>
      </c>
      <c r="CQ619" s="35">
        <v>0</v>
      </c>
      <c r="CR619" s="35">
        <v>0</v>
      </c>
      <c r="CS619" s="35">
        <v>0</v>
      </c>
      <c r="CT619" s="36">
        <v>23</v>
      </c>
      <c r="CU619" s="35">
        <v>0</v>
      </c>
      <c r="CV619" s="36">
        <v>22</v>
      </c>
      <c r="CW619" s="35" t="s">
        <v>138</v>
      </c>
      <c r="CX619" s="36" t="s">
        <v>138</v>
      </c>
      <c r="CY619" s="35">
        <v>0</v>
      </c>
      <c r="CZ619" s="36">
        <v>25</v>
      </c>
      <c r="DA619" s="35">
        <v>0</v>
      </c>
      <c r="DB619" s="36">
        <v>22</v>
      </c>
      <c r="DC619" s="37">
        <v>1.07</v>
      </c>
      <c r="DD619" s="36">
        <v>53</v>
      </c>
      <c r="DE619" s="37">
        <v>0.3</v>
      </c>
      <c r="DF619" s="35">
        <v>38.35</v>
      </c>
      <c r="DG619" s="37">
        <v>1.9</v>
      </c>
      <c r="DH619" s="36">
        <v>66</v>
      </c>
      <c r="DI619" s="37">
        <v>0.24</v>
      </c>
      <c r="DJ619" s="36">
        <v>25</v>
      </c>
      <c r="DK619" s="37" t="s">
        <v>138</v>
      </c>
      <c r="DL619" s="36" t="s">
        <v>138</v>
      </c>
      <c r="DM619" s="37">
        <v>1.9</v>
      </c>
      <c r="DN619" s="36">
        <v>64</v>
      </c>
      <c r="DO619" s="37">
        <v>0.24</v>
      </c>
      <c r="DP619" s="36">
        <v>27</v>
      </c>
      <c r="DQ619" s="36">
        <v>203</v>
      </c>
      <c r="DR619" s="38">
        <v>34</v>
      </c>
      <c r="DS619" s="35">
        <v>20.12</v>
      </c>
      <c r="DT619" s="36">
        <v>55</v>
      </c>
      <c r="DU619" s="38">
        <v>0</v>
      </c>
      <c r="DV619" s="35">
        <v>0</v>
      </c>
      <c r="DW619" s="36">
        <v>85</v>
      </c>
      <c r="DX619" s="39">
        <v>0</v>
      </c>
      <c r="DY619" s="35">
        <v>0</v>
      </c>
      <c r="DZ619" s="28" t="s">
        <v>178</v>
      </c>
      <c r="EA619" s="34">
        <v>43351</v>
      </c>
      <c r="EB619" s="29" t="s">
        <v>138</v>
      </c>
      <c r="EC619" s="34" t="s">
        <v>138</v>
      </c>
      <c r="ED619" s="28" t="s">
        <v>138</v>
      </c>
      <c r="EE619" s="40" t="str">
        <f>HYPERLINK("https://my.pitchbook.com?c=107063-92", "View company online")</f>
        <v>View company online</v>
      </c>
    </row>
    <row r="620" spans="1:135">
      <c r="A620" s="15" t="s">
        <v>12514</v>
      </c>
      <c r="B620" s="15" t="s">
        <v>12515</v>
      </c>
      <c r="C620" s="15" t="s">
        <v>138</v>
      </c>
      <c r="D620" s="15" t="s">
        <v>138</v>
      </c>
      <c r="E620" s="15" t="s">
        <v>138</v>
      </c>
      <c r="F620" s="15" t="s">
        <v>12514</v>
      </c>
      <c r="G620" s="15" t="s">
        <v>12516</v>
      </c>
      <c r="H620" s="15" t="s">
        <v>322</v>
      </c>
      <c r="I620" s="15" t="s">
        <v>356</v>
      </c>
      <c r="J620" s="15" t="s">
        <v>2106</v>
      </c>
      <c r="K620" s="15" t="s">
        <v>2107</v>
      </c>
      <c r="L620" s="15" t="s">
        <v>12517</v>
      </c>
      <c r="M620" s="15" t="s">
        <v>12518</v>
      </c>
      <c r="N620" s="15" t="s">
        <v>147</v>
      </c>
      <c r="O620" s="17" t="s">
        <v>138</v>
      </c>
      <c r="P620" s="15" t="s">
        <v>148</v>
      </c>
      <c r="Q620" s="15" t="s">
        <v>149</v>
      </c>
      <c r="R620" s="15" t="s">
        <v>174</v>
      </c>
      <c r="S620" s="15" t="s">
        <v>12519</v>
      </c>
      <c r="T620" s="18">
        <v>10</v>
      </c>
      <c r="U620" s="15" t="s">
        <v>12520</v>
      </c>
      <c r="V620" s="15" t="s">
        <v>138</v>
      </c>
      <c r="W620" s="15" t="s">
        <v>138</v>
      </c>
      <c r="X620" s="19">
        <v>2015</v>
      </c>
      <c r="Y620" s="15" t="s">
        <v>138</v>
      </c>
      <c r="Z620" s="15" t="s">
        <v>138</v>
      </c>
      <c r="AA620" s="15" t="s">
        <v>138</v>
      </c>
      <c r="AB620" s="20" t="s">
        <v>138</v>
      </c>
      <c r="AC620" s="20" t="s">
        <v>138</v>
      </c>
      <c r="AD620" s="20" t="s">
        <v>138</v>
      </c>
      <c r="AE620" s="20" t="s">
        <v>138</v>
      </c>
      <c r="AF620" s="20" t="s">
        <v>138</v>
      </c>
      <c r="AG620" s="15" t="s">
        <v>138</v>
      </c>
      <c r="AH620" s="20" t="s">
        <v>138</v>
      </c>
      <c r="AI620" s="20" t="s">
        <v>138</v>
      </c>
      <c r="AJ620" s="20" t="s">
        <v>138</v>
      </c>
      <c r="AK620" s="15" t="s">
        <v>12521</v>
      </c>
      <c r="AL620" s="15" t="s">
        <v>12522</v>
      </c>
      <c r="AM620" s="15" t="s">
        <v>818</v>
      </c>
      <c r="AN620" s="15" t="s">
        <v>12523</v>
      </c>
      <c r="AO620" s="15" t="s">
        <v>12524</v>
      </c>
      <c r="AP620" s="15" t="s">
        <v>12525</v>
      </c>
      <c r="AQ620" s="15" t="s">
        <v>12526</v>
      </c>
      <c r="AR620" s="15" t="s">
        <v>138</v>
      </c>
      <c r="AS620" s="15" t="s">
        <v>12527</v>
      </c>
      <c r="AT620" s="15" t="s">
        <v>284</v>
      </c>
      <c r="AU620" s="15" t="s">
        <v>12528</v>
      </c>
      <c r="AV620" s="15" t="s">
        <v>162</v>
      </c>
      <c r="AW620" s="15" t="s">
        <v>12524</v>
      </c>
      <c r="AX620" s="15" t="s">
        <v>138</v>
      </c>
      <c r="AY620" s="15" t="s">
        <v>138</v>
      </c>
      <c r="AZ620" s="15" t="s">
        <v>164</v>
      </c>
      <c r="BA620" s="15" t="s">
        <v>165</v>
      </c>
      <c r="BB620" s="15" t="s">
        <v>12529</v>
      </c>
      <c r="BC620" s="15" t="s">
        <v>12530</v>
      </c>
      <c r="BD620" s="21">
        <v>12</v>
      </c>
      <c r="BE620" s="15" t="s">
        <v>138</v>
      </c>
      <c r="BF620" s="15" t="s">
        <v>138</v>
      </c>
      <c r="BG620" s="15" t="s">
        <v>138</v>
      </c>
      <c r="BH620" s="15" t="s">
        <v>12531</v>
      </c>
      <c r="BI620" s="15" t="s">
        <v>138</v>
      </c>
      <c r="BJ620" s="15" t="s">
        <v>138</v>
      </c>
      <c r="BK620" s="15" t="s">
        <v>3826</v>
      </c>
      <c r="BL620" s="15" t="s">
        <v>3826</v>
      </c>
      <c r="BM620" s="22">
        <v>42803</v>
      </c>
      <c r="BN620" s="17" t="s">
        <v>138</v>
      </c>
      <c r="BO620" s="15" t="s">
        <v>138</v>
      </c>
      <c r="BP620" s="17" t="s">
        <v>138</v>
      </c>
      <c r="BQ620" s="15" t="s">
        <v>138</v>
      </c>
      <c r="BR620" s="15" t="s">
        <v>234</v>
      </c>
      <c r="BS620" s="15" t="s">
        <v>234</v>
      </c>
      <c r="BT620" s="15" t="s">
        <v>138</v>
      </c>
      <c r="BU620" s="15" t="s">
        <v>174</v>
      </c>
      <c r="BV620" s="15" t="s">
        <v>138</v>
      </c>
      <c r="BW620" s="15" t="s">
        <v>138</v>
      </c>
      <c r="BX620" s="15" t="s">
        <v>138</v>
      </c>
      <c r="BY620" s="15" t="s">
        <v>175</v>
      </c>
      <c r="BZ620" s="22" t="s">
        <v>138</v>
      </c>
      <c r="CA620" s="17" t="s">
        <v>138</v>
      </c>
      <c r="CB620" s="15" t="s">
        <v>138</v>
      </c>
      <c r="CC620" s="17" t="s">
        <v>138</v>
      </c>
      <c r="CD620" s="15" t="s">
        <v>138</v>
      </c>
      <c r="CE620" s="15" t="s">
        <v>205</v>
      </c>
      <c r="CF620" s="15" t="s">
        <v>206</v>
      </c>
      <c r="CG620" s="15" t="s">
        <v>138</v>
      </c>
      <c r="CH620" s="15" t="s">
        <v>174</v>
      </c>
      <c r="CI620" s="15" t="s">
        <v>138</v>
      </c>
      <c r="CJ620" s="15" t="s">
        <v>138</v>
      </c>
      <c r="CK620" s="15" t="s">
        <v>138</v>
      </c>
      <c r="CL620" s="15" t="s">
        <v>3093</v>
      </c>
      <c r="CM620" s="22" t="s">
        <v>138</v>
      </c>
      <c r="CN620" s="17" t="s">
        <v>138</v>
      </c>
      <c r="CO620" s="23">
        <v>0.28999999999999998</v>
      </c>
      <c r="CP620" s="24">
        <v>93</v>
      </c>
      <c r="CQ620" s="23">
        <v>0</v>
      </c>
      <c r="CR620" s="23">
        <v>1.61</v>
      </c>
      <c r="CS620" s="23">
        <v>0</v>
      </c>
      <c r="CT620" s="24">
        <v>23</v>
      </c>
      <c r="CU620" s="23">
        <v>0.56999999999999995</v>
      </c>
      <c r="CV620" s="24">
        <v>95</v>
      </c>
      <c r="CW620" s="23" t="s">
        <v>138</v>
      </c>
      <c r="CX620" s="24" t="s">
        <v>138</v>
      </c>
      <c r="CY620" s="23">
        <v>0</v>
      </c>
      <c r="CZ620" s="24">
        <v>25</v>
      </c>
      <c r="DA620" s="23">
        <v>1.1399999999999999</v>
      </c>
      <c r="DB620" s="24">
        <v>98</v>
      </c>
      <c r="DC620" s="25">
        <v>0.69</v>
      </c>
      <c r="DD620" s="24">
        <v>42</v>
      </c>
      <c r="DE620" s="25">
        <v>-0.01</v>
      </c>
      <c r="DF620" s="23">
        <v>-1.73</v>
      </c>
      <c r="DG620" s="25">
        <v>0.72</v>
      </c>
      <c r="DH620" s="24">
        <v>43</v>
      </c>
      <c r="DI620" s="25">
        <v>0.65</v>
      </c>
      <c r="DJ620" s="24">
        <v>41</v>
      </c>
      <c r="DK620" s="25" t="s">
        <v>138</v>
      </c>
      <c r="DL620" s="24" t="s">
        <v>138</v>
      </c>
      <c r="DM620" s="25">
        <v>0.72</v>
      </c>
      <c r="DN620" s="24">
        <v>42</v>
      </c>
      <c r="DO620" s="25">
        <v>1.23</v>
      </c>
      <c r="DP620" s="24">
        <v>54</v>
      </c>
      <c r="DQ620" s="24" t="s">
        <v>138</v>
      </c>
      <c r="DR620" s="26" t="s">
        <v>138</v>
      </c>
      <c r="DS620" s="23" t="s">
        <v>138</v>
      </c>
      <c r="DT620" s="24">
        <v>21</v>
      </c>
      <c r="DU620" s="26">
        <v>-1</v>
      </c>
      <c r="DV620" s="23">
        <v>-4.55</v>
      </c>
      <c r="DW620" s="24">
        <v>437</v>
      </c>
      <c r="DX620" s="27">
        <v>5</v>
      </c>
      <c r="DY620" s="23">
        <v>1.1599999999999999</v>
      </c>
      <c r="DZ620" s="15" t="s">
        <v>178</v>
      </c>
      <c r="EA620" s="22">
        <v>43564</v>
      </c>
      <c r="EB620" s="17" t="s">
        <v>138</v>
      </c>
      <c r="EC620" s="22" t="s">
        <v>138</v>
      </c>
      <c r="ED620" s="15" t="s">
        <v>138</v>
      </c>
      <c r="EE620" s="14" t="str">
        <f>HYPERLINK("https://my.pitchbook.com?c=164033-38", "View company online")</f>
        <v>View company online</v>
      </c>
    </row>
    <row r="621" spans="1:135">
      <c r="A621" s="28" t="s">
        <v>12532</v>
      </c>
      <c r="B621" s="28" t="s">
        <v>12533</v>
      </c>
      <c r="C621" s="28" t="s">
        <v>138</v>
      </c>
      <c r="D621" s="28" t="s">
        <v>138</v>
      </c>
      <c r="E621" s="28" t="s">
        <v>138</v>
      </c>
      <c r="F621" s="28" t="s">
        <v>12532</v>
      </c>
      <c r="G621" s="28" t="s">
        <v>12534</v>
      </c>
      <c r="H621" s="28" t="s">
        <v>322</v>
      </c>
      <c r="I621" s="28" t="s">
        <v>1503</v>
      </c>
      <c r="J621" s="28" t="s">
        <v>1504</v>
      </c>
      <c r="K621" s="28" t="s">
        <v>12535</v>
      </c>
      <c r="L621" s="28" t="s">
        <v>12536</v>
      </c>
      <c r="M621" s="28" t="s">
        <v>12537</v>
      </c>
      <c r="N621" s="28" t="s">
        <v>147</v>
      </c>
      <c r="O621" s="29">
        <v>50.89</v>
      </c>
      <c r="P621" s="28" t="s">
        <v>148</v>
      </c>
      <c r="Q621" s="28" t="s">
        <v>149</v>
      </c>
      <c r="R621" s="28" t="s">
        <v>174</v>
      </c>
      <c r="S621" s="28" t="s">
        <v>12538</v>
      </c>
      <c r="T621" s="30">
        <v>50</v>
      </c>
      <c r="U621" s="28" t="s">
        <v>3472</v>
      </c>
      <c r="V621" s="28" t="s">
        <v>138</v>
      </c>
      <c r="W621" s="28" t="s">
        <v>138</v>
      </c>
      <c r="X621" s="31">
        <v>2011</v>
      </c>
      <c r="Y621" s="28" t="s">
        <v>138</v>
      </c>
      <c r="Z621" s="28" t="s">
        <v>138</v>
      </c>
      <c r="AA621" s="28" t="s">
        <v>138</v>
      </c>
      <c r="AB621" s="32" t="s">
        <v>138</v>
      </c>
      <c r="AC621" s="32" t="s">
        <v>138</v>
      </c>
      <c r="AD621" s="32" t="s">
        <v>138</v>
      </c>
      <c r="AE621" s="32" t="s">
        <v>138</v>
      </c>
      <c r="AF621" s="32" t="s">
        <v>138</v>
      </c>
      <c r="AG621" s="28" t="s">
        <v>138</v>
      </c>
      <c r="AH621" s="32" t="s">
        <v>138</v>
      </c>
      <c r="AI621" s="32" t="s">
        <v>138</v>
      </c>
      <c r="AJ621" s="32" t="s">
        <v>138</v>
      </c>
      <c r="AK621" s="28" t="s">
        <v>12539</v>
      </c>
      <c r="AL621" s="28" t="s">
        <v>12540</v>
      </c>
      <c r="AM621" s="28" t="s">
        <v>249</v>
      </c>
      <c r="AN621" s="28" t="s">
        <v>12541</v>
      </c>
      <c r="AO621" s="28" t="s">
        <v>12542</v>
      </c>
      <c r="AP621" s="28" t="s">
        <v>11748</v>
      </c>
      <c r="AQ621" s="28" t="s">
        <v>12543</v>
      </c>
      <c r="AR621" s="28" t="s">
        <v>138</v>
      </c>
      <c r="AS621" s="28" t="s">
        <v>11750</v>
      </c>
      <c r="AT621" s="28" t="s">
        <v>200</v>
      </c>
      <c r="AU621" s="28" t="s">
        <v>11751</v>
      </c>
      <c r="AV621" s="28" t="s">
        <v>162</v>
      </c>
      <c r="AW621" s="28" t="s">
        <v>12542</v>
      </c>
      <c r="AX621" s="28" t="s">
        <v>138</v>
      </c>
      <c r="AY621" s="28" t="s">
        <v>12544</v>
      </c>
      <c r="AZ621" s="28" t="s">
        <v>164</v>
      </c>
      <c r="BA621" s="28" t="s">
        <v>165</v>
      </c>
      <c r="BB621" s="28" t="s">
        <v>12545</v>
      </c>
      <c r="BC621" s="28" t="s">
        <v>12546</v>
      </c>
      <c r="BD621" s="33">
        <v>12</v>
      </c>
      <c r="BE621" s="28" t="s">
        <v>138</v>
      </c>
      <c r="BF621" s="28" t="s">
        <v>138</v>
      </c>
      <c r="BG621" s="28" t="s">
        <v>138</v>
      </c>
      <c r="BH621" s="28" t="s">
        <v>12547</v>
      </c>
      <c r="BI621" s="28" t="s">
        <v>138</v>
      </c>
      <c r="BJ621" s="28" t="s">
        <v>138</v>
      </c>
      <c r="BK621" s="28" t="s">
        <v>1691</v>
      </c>
      <c r="BL621" s="28" t="s">
        <v>1691</v>
      </c>
      <c r="BM621" s="34">
        <v>41089</v>
      </c>
      <c r="BN621" s="29">
        <v>4.5999999999999996</v>
      </c>
      <c r="BO621" s="28" t="s">
        <v>172</v>
      </c>
      <c r="BP621" s="29">
        <v>9.41</v>
      </c>
      <c r="BQ621" s="28" t="s">
        <v>1178</v>
      </c>
      <c r="BR621" s="28" t="s">
        <v>205</v>
      </c>
      <c r="BS621" s="28" t="s">
        <v>206</v>
      </c>
      <c r="BT621" s="28" t="s">
        <v>138</v>
      </c>
      <c r="BU621" s="28" t="s">
        <v>174</v>
      </c>
      <c r="BV621" s="28" t="s">
        <v>138</v>
      </c>
      <c r="BW621" s="28" t="s">
        <v>138</v>
      </c>
      <c r="BX621" s="28" t="s">
        <v>138</v>
      </c>
      <c r="BY621" s="28" t="s">
        <v>175</v>
      </c>
      <c r="BZ621" s="34">
        <v>43077</v>
      </c>
      <c r="CA621" s="29">
        <v>11</v>
      </c>
      <c r="CB621" s="28" t="s">
        <v>172</v>
      </c>
      <c r="CC621" s="29">
        <v>100</v>
      </c>
      <c r="CD621" s="28" t="s">
        <v>172</v>
      </c>
      <c r="CE621" s="28" t="s">
        <v>173</v>
      </c>
      <c r="CF621" s="28" t="s">
        <v>138</v>
      </c>
      <c r="CG621" s="28" t="s">
        <v>138</v>
      </c>
      <c r="CH621" s="28" t="s">
        <v>174</v>
      </c>
      <c r="CI621" s="28" t="s">
        <v>138</v>
      </c>
      <c r="CJ621" s="28" t="s">
        <v>138</v>
      </c>
      <c r="CK621" s="28" t="s">
        <v>138</v>
      </c>
      <c r="CL621" s="28" t="s">
        <v>175</v>
      </c>
      <c r="CM621" s="34" t="s">
        <v>138</v>
      </c>
      <c r="CN621" s="29" t="s">
        <v>138</v>
      </c>
      <c r="CO621" s="35">
        <v>-0.08</v>
      </c>
      <c r="CP621" s="36">
        <v>21</v>
      </c>
      <c r="CQ621" s="35">
        <v>-0.08</v>
      </c>
      <c r="CR621" s="35">
        <v>-2246.98</v>
      </c>
      <c r="CS621" s="35">
        <v>-0.04</v>
      </c>
      <c r="CT621" s="36">
        <v>23</v>
      </c>
      <c r="CU621" s="35">
        <v>-0.13</v>
      </c>
      <c r="CV621" s="36">
        <v>3</v>
      </c>
      <c r="CW621" s="35">
        <v>0</v>
      </c>
      <c r="CX621" s="36">
        <v>13</v>
      </c>
      <c r="CY621" s="35">
        <v>-0.08</v>
      </c>
      <c r="CZ621" s="36">
        <v>24</v>
      </c>
      <c r="DA621" s="35">
        <v>-0.23</v>
      </c>
      <c r="DB621" s="36">
        <v>2</v>
      </c>
      <c r="DC621" s="37">
        <v>1.62</v>
      </c>
      <c r="DD621" s="36">
        <v>62</v>
      </c>
      <c r="DE621" s="37">
        <v>-0.04</v>
      </c>
      <c r="DF621" s="35">
        <v>-2.16</v>
      </c>
      <c r="DG621" s="37">
        <v>2.88</v>
      </c>
      <c r="DH621" s="36">
        <v>74</v>
      </c>
      <c r="DI621" s="37">
        <v>0.35</v>
      </c>
      <c r="DJ621" s="36">
        <v>30</v>
      </c>
      <c r="DK621" s="37">
        <v>1.1000000000000001</v>
      </c>
      <c r="DL621" s="36">
        <v>52</v>
      </c>
      <c r="DM621" s="37">
        <v>4.66</v>
      </c>
      <c r="DN621" s="36">
        <v>80</v>
      </c>
      <c r="DO621" s="37">
        <v>0.3</v>
      </c>
      <c r="DP621" s="36">
        <v>30</v>
      </c>
      <c r="DQ621" s="36">
        <v>377</v>
      </c>
      <c r="DR621" s="38">
        <v>3</v>
      </c>
      <c r="DS621" s="35">
        <v>0.8</v>
      </c>
      <c r="DT621" s="36">
        <v>135</v>
      </c>
      <c r="DU621" s="38">
        <v>2</v>
      </c>
      <c r="DV621" s="35">
        <v>1.5</v>
      </c>
      <c r="DW621" s="36">
        <v>109</v>
      </c>
      <c r="DX621" s="39">
        <v>-1</v>
      </c>
      <c r="DY621" s="35">
        <v>-0.91</v>
      </c>
      <c r="DZ621" s="28" t="s">
        <v>178</v>
      </c>
      <c r="EA621" s="34">
        <v>43622</v>
      </c>
      <c r="EB621" s="29">
        <v>100</v>
      </c>
      <c r="EC621" s="34">
        <v>43077</v>
      </c>
      <c r="ED621" s="28" t="s">
        <v>173</v>
      </c>
      <c r="EE621" s="40" t="str">
        <f>HYPERLINK("https://my.pitchbook.com?c=55234-63", "View company online")</f>
        <v>View company online</v>
      </c>
    </row>
    <row r="622" spans="1:135">
      <c r="A622" s="15" t="s">
        <v>12548</v>
      </c>
      <c r="B622" s="15" t="s">
        <v>12549</v>
      </c>
      <c r="C622" s="15" t="s">
        <v>12550</v>
      </c>
      <c r="D622" s="15" t="s">
        <v>138</v>
      </c>
      <c r="E622" s="15" t="s">
        <v>138</v>
      </c>
      <c r="F622" s="15" t="s">
        <v>12548</v>
      </c>
      <c r="G622" s="15" t="s">
        <v>12551</v>
      </c>
      <c r="H622" s="15" t="s">
        <v>183</v>
      </c>
      <c r="I622" s="15" t="s">
        <v>184</v>
      </c>
      <c r="J622" s="15" t="s">
        <v>10687</v>
      </c>
      <c r="K622" s="15" t="s">
        <v>12552</v>
      </c>
      <c r="L622" s="15" t="s">
        <v>12553</v>
      </c>
      <c r="M622" s="15" t="s">
        <v>12554</v>
      </c>
      <c r="N622" s="15" t="s">
        <v>147</v>
      </c>
      <c r="O622" s="17" t="s">
        <v>138</v>
      </c>
      <c r="P622" s="15" t="s">
        <v>148</v>
      </c>
      <c r="Q622" s="15" t="s">
        <v>149</v>
      </c>
      <c r="R622" s="15" t="s">
        <v>174</v>
      </c>
      <c r="S622" s="15" t="s">
        <v>12555</v>
      </c>
      <c r="T622" s="18">
        <v>51</v>
      </c>
      <c r="U622" s="15" t="s">
        <v>12556</v>
      </c>
      <c r="V622" s="15" t="s">
        <v>138</v>
      </c>
      <c r="W622" s="15" t="s">
        <v>138</v>
      </c>
      <c r="X622" s="19">
        <v>2004</v>
      </c>
      <c r="Y622" s="15" t="s">
        <v>138</v>
      </c>
      <c r="Z622" s="15" t="s">
        <v>138</v>
      </c>
      <c r="AA622" s="15" t="s">
        <v>138</v>
      </c>
      <c r="AB622" s="20" t="s">
        <v>138</v>
      </c>
      <c r="AC622" s="20" t="s">
        <v>138</v>
      </c>
      <c r="AD622" s="20" t="s">
        <v>138</v>
      </c>
      <c r="AE622" s="20" t="s">
        <v>138</v>
      </c>
      <c r="AF622" s="20" t="s">
        <v>138</v>
      </c>
      <c r="AG622" s="15" t="s">
        <v>138</v>
      </c>
      <c r="AH622" s="20" t="s">
        <v>138</v>
      </c>
      <c r="AI622" s="20" t="s">
        <v>138</v>
      </c>
      <c r="AJ622" s="20" t="s">
        <v>138</v>
      </c>
      <c r="AK622" s="15" t="s">
        <v>12557</v>
      </c>
      <c r="AL622" s="15" t="s">
        <v>12558</v>
      </c>
      <c r="AM622" s="15" t="s">
        <v>986</v>
      </c>
      <c r="AN622" s="15" t="s">
        <v>12559</v>
      </c>
      <c r="AO622" s="15" t="s">
        <v>12560</v>
      </c>
      <c r="AP622" s="15" t="s">
        <v>12561</v>
      </c>
      <c r="AQ622" s="15" t="s">
        <v>12562</v>
      </c>
      <c r="AR622" s="15" t="s">
        <v>12563</v>
      </c>
      <c r="AS622" s="15" t="s">
        <v>12564</v>
      </c>
      <c r="AT622" s="15" t="s">
        <v>6099</v>
      </c>
      <c r="AU622" s="15" t="s">
        <v>12565</v>
      </c>
      <c r="AV622" s="15" t="s">
        <v>2071</v>
      </c>
      <c r="AW622" s="15" t="s">
        <v>12560</v>
      </c>
      <c r="AX622" s="15" t="s">
        <v>12566</v>
      </c>
      <c r="AY622" s="15" t="s">
        <v>12567</v>
      </c>
      <c r="AZ622" s="15" t="s">
        <v>452</v>
      </c>
      <c r="BA622" s="15" t="s">
        <v>453</v>
      </c>
      <c r="BB622" s="15" t="s">
        <v>12568</v>
      </c>
      <c r="BC622" s="15" t="s">
        <v>12569</v>
      </c>
      <c r="BD622" s="21">
        <v>2</v>
      </c>
      <c r="BE622" s="15" t="s">
        <v>138</v>
      </c>
      <c r="BF622" s="15" t="s">
        <v>138</v>
      </c>
      <c r="BG622" s="15" t="s">
        <v>138</v>
      </c>
      <c r="BH622" s="15" t="s">
        <v>2077</v>
      </c>
      <c r="BI622" s="15" t="s">
        <v>138</v>
      </c>
      <c r="BJ622" s="15" t="s">
        <v>138</v>
      </c>
      <c r="BK622" s="15" t="s">
        <v>138</v>
      </c>
      <c r="BL622" s="15" t="s">
        <v>138</v>
      </c>
      <c r="BM622" s="22">
        <v>40238</v>
      </c>
      <c r="BN622" s="17" t="s">
        <v>138</v>
      </c>
      <c r="BO622" s="15" t="s">
        <v>138</v>
      </c>
      <c r="BP622" s="17" t="s">
        <v>138</v>
      </c>
      <c r="BQ622" s="15" t="s">
        <v>138</v>
      </c>
      <c r="BR622" s="15" t="s">
        <v>349</v>
      </c>
      <c r="BS622" s="15" t="s">
        <v>138</v>
      </c>
      <c r="BT622" s="15" t="s">
        <v>138</v>
      </c>
      <c r="BU622" s="15" t="s">
        <v>174</v>
      </c>
      <c r="BV622" s="15" t="s">
        <v>138</v>
      </c>
      <c r="BW622" s="15" t="s">
        <v>138</v>
      </c>
      <c r="BX622" s="15" t="s">
        <v>138</v>
      </c>
      <c r="BY622" s="15" t="s">
        <v>175</v>
      </c>
      <c r="BZ622" s="22">
        <v>42062</v>
      </c>
      <c r="CA622" s="17" t="s">
        <v>138</v>
      </c>
      <c r="CB622" s="15" t="s">
        <v>138</v>
      </c>
      <c r="CC622" s="17" t="s">
        <v>138</v>
      </c>
      <c r="CD622" s="15" t="s">
        <v>138</v>
      </c>
      <c r="CE622" s="15" t="s">
        <v>173</v>
      </c>
      <c r="CF622" s="15" t="s">
        <v>138</v>
      </c>
      <c r="CG622" s="15" t="s">
        <v>138</v>
      </c>
      <c r="CH622" s="15" t="s">
        <v>174</v>
      </c>
      <c r="CI622" s="15" t="s">
        <v>138</v>
      </c>
      <c r="CJ622" s="15" t="s">
        <v>138</v>
      </c>
      <c r="CK622" s="15" t="s">
        <v>138</v>
      </c>
      <c r="CL622" s="15" t="s">
        <v>175</v>
      </c>
      <c r="CM622" s="22" t="s">
        <v>138</v>
      </c>
      <c r="CN622" s="17" t="s">
        <v>138</v>
      </c>
      <c r="CO622" s="23">
        <v>0</v>
      </c>
      <c r="CP622" s="24">
        <v>26</v>
      </c>
      <c r="CQ622" s="23">
        <v>-0.17</v>
      </c>
      <c r="CR622" s="23">
        <v>-100</v>
      </c>
      <c r="CS622" s="23">
        <v>0</v>
      </c>
      <c r="CT622" s="24">
        <v>23</v>
      </c>
      <c r="CU622" s="23">
        <v>0</v>
      </c>
      <c r="CV622" s="24">
        <v>22</v>
      </c>
      <c r="CW622" s="23" t="s">
        <v>138</v>
      </c>
      <c r="CX622" s="24" t="s">
        <v>138</v>
      </c>
      <c r="CY622" s="23">
        <v>0</v>
      </c>
      <c r="CZ622" s="24">
        <v>25</v>
      </c>
      <c r="DA622" s="23">
        <v>0</v>
      </c>
      <c r="DB622" s="24">
        <v>22</v>
      </c>
      <c r="DC622" s="25">
        <v>1.53</v>
      </c>
      <c r="DD622" s="24">
        <v>61</v>
      </c>
      <c r="DE622" s="25">
        <v>-0.2</v>
      </c>
      <c r="DF622" s="23">
        <v>-11.62</v>
      </c>
      <c r="DG622" s="25">
        <v>3</v>
      </c>
      <c r="DH622" s="24">
        <v>74</v>
      </c>
      <c r="DI622" s="25">
        <v>0.06</v>
      </c>
      <c r="DJ622" s="24">
        <v>10</v>
      </c>
      <c r="DK622" s="25" t="s">
        <v>138</v>
      </c>
      <c r="DL622" s="24" t="s">
        <v>138</v>
      </c>
      <c r="DM622" s="25">
        <v>3</v>
      </c>
      <c r="DN622" s="24">
        <v>73</v>
      </c>
      <c r="DO622" s="25">
        <v>0.06</v>
      </c>
      <c r="DP622" s="24">
        <v>11</v>
      </c>
      <c r="DQ622" s="24">
        <v>148</v>
      </c>
      <c r="DR622" s="26">
        <v>13</v>
      </c>
      <c r="DS622" s="23">
        <v>9.6300000000000008</v>
      </c>
      <c r="DT622" s="24">
        <v>86</v>
      </c>
      <c r="DU622" s="26">
        <v>2</v>
      </c>
      <c r="DV622" s="23">
        <v>2.38</v>
      </c>
      <c r="DW622" s="24">
        <v>22</v>
      </c>
      <c r="DX622" s="27">
        <v>0</v>
      </c>
      <c r="DY622" s="23">
        <v>0</v>
      </c>
      <c r="DZ622" s="15" t="s">
        <v>178</v>
      </c>
      <c r="EA622" s="22">
        <v>43374</v>
      </c>
      <c r="EB622" s="17" t="s">
        <v>138</v>
      </c>
      <c r="EC622" s="22" t="s">
        <v>138</v>
      </c>
      <c r="ED622" s="15" t="s">
        <v>138</v>
      </c>
      <c r="EE622" s="14" t="str">
        <f>HYPERLINK("https://my.pitchbook.com?c=109435-87", "View company online")</f>
        <v>View company online</v>
      </c>
    </row>
    <row r="623" spans="1:135">
      <c r="A623" s="28" t="s">
        <v>12570</v>
      </c>
      <c r="B623" s="28" t="s">
        <v>12571</v>
      </c>
      <c r="C623" s="28" t="s">
        <v>138</v>
      </c>
      <c r="D623" s="28" t="s">
        <v>138</v>
      </c>
      <c r="E623" s="28" t="s">
        <v>138</v>
      </c>
      <c r="F623" s="28" t="s">
        <v>12570</v>
      </c>
      <c r="G623" s="28" t="s">
        <v>12572</v>
      </c>
      <c r="H623" s="28" t="s">
        <v>141</v>
      </c>
      <c r="I623" s="28" t="s">
        <v>1281</v>
      </c>
      <c r="J623" s="28" t="s">
        <v>1282</v>
      </c>
      <c r="K623" s="28" t="s">
        <v>12573</v>
      </c>
      <c r="L623" s="28" t="s">
        <v>4616</v>
      </c>
      <c r="M623" s="28" t="s">
        <v>12574</v>
      </c>
      <c r="N623" s="28" t="s">
        <v>147</v>
      </c>
      <c r="O623" s="29">
        <v>4</v>
      </c>
      <c r="P623" s="28" t="s">
        <v>148</v>
      </c>
      <c r="Q623" s="28" t="s">
        <v>149</v>
      </c>
      <c r="R623" s="28" t="s">
        <v>174</v>
      </c>
      <c r="S623" s="28" t="s">
        <v>12575</v>
      </c>
      <c r="T623" s="30">
        <v>12</v>
      </c>
      <c r="U623" s="28" t="s">
        <v>12576</v>
      </c>
      <c r="V623" s="28" t="s">
        <v>138</v>
      </c>
      <c r="W623" s="28" t="s">
        <v>138</v>
      </c>
      <c r="X623" s="31">
        <v>2018</v>
      </c>
      <c r="Y623" s="28" t="s">
        <v>138</v>
      </c>
      <c r="Z623" s="28" t="s">
        <v>138</v>
      </c>
      <c r="AA623" s="28" t="s">
        <v>12577</v>
      </c>
      <c r="AB623" s="32" t="s">
        <v>138</v>
      </c>
      <c r="AC623" s="32" t="s">
        <v>138</v>
      </c>
      <c r="AD623" s="32" t="s">
        <v>138</v>
      </c>
      <c r="AE623" s="32" t="s">
        <v>138</v>
      </c>
      <c r="AF623" s="32" t="s">
        <v>138</v>
      </c>
      <c r="AG623" s="28" t="s">
        <v>138</v>
      </c>
      <c r="AH623" s="32" t="s">
        <v>138</v>
      </c>
      <c r="AI623" s="32" t="s">
        <v>138</v>
      </c>
      <c r="AJ623" s="32" t="s">
        <v>138</v>
      </c>
      <c r="AK623" s="28" t="s">
        <v>12578</v>
      </c>
      <c r="AL623" s="28" t="s">
        <v>12579</v>
      </c>
      <c r="AM623" s="28" t="s">
        <v>938</v>
      </c>
      <c r="AN623" s="28" t="s">
        <v>138</v>
      </c>
      <c r="AO623" s="28" t="s">
        <v>138</v>
      </c>
      <c r="AP623" s="28" t="s">
        <v>820</v>
      </c>
      <c r="AQ623" s="28" t="s">
        <v>1785</v>
      </c>
      <c r="AR623" s="28" t="s">
        <v>1786</v>
      </c>
      <c r="AS623" s="28" t="s">
        <v>823</v>
      </c>
      <c r="AT623" s="28" t="s">
        <v>824</v>
      </c>
      <c r="AU623" s="28" t="s">
        <v>12580</v>
      </c>
      <c r="AV623" s="28" t="s">
        <v>526</v>
      </c>
      <c r="AW623" s="28" t="s">
        <v>138</v>
      </c>
      <c r="AX623" s="28" t="s">
        <v>138</v>
      </c>
      <c r="AY623" s="28" t="s">
        <v>12581</v>
      </c>
      <c r="AZ623" s="28" t="s">
        <v>530</v>
      </c>
      <c r="BA623" s="28" t="s">
        <v>531</v>
      </c>
      <c r="BB623" s="28" t="s">
        <v>12582</v>
      </c>
      <c r="BC623" s="28" t="s">
        <v>12583</v>
      </c>
      <c r="BD623" s="33">
        <v>3</v>
      </c>
      <c r="BE623" s="28" t="s">
        <v>138</v>
      </c>
      <c r="BF623" s="28" t="s">
        <v>138</v>
      </c>
      <c r="BG623" s="28" t="s">
        <v>138</v>
      </c>
      <c r="BH623" s="28" t="s">
        <v>12584</v>
      </c>
      <c r="BI623" s="28" t="s">
        <v>138</v>
      </c>
      <c r="BJ623" s="28" t="s">
        <v>138</v>
      </c>
      <c r="BK623" s="28" t="s">
        <v>138</v>
      </c>
      <c r="BL623" s="28" t="s">
        <v>138</v>
      </c>
      <c r="BM623" s="34">
        <v>43132</v>
      </c>
      <c r="BN623" s="29" t="s">
        <v>138</v>
      </c>
      <c r="BO623" s="28" t="s">
        <v>138</v>
      </c>
      <c r="BP623" s="29" t="s">
        <v>138</v>
      </c>
      <c r="BQ623" s="28" t="s">
        <v>138</v>
      </c>
      <c r="BR623" s="28" t="s">
        <v>316</v>
      </c>
      <c r="BS623" s="28" t="s">
        <v>138</v>
      </c>
      <c r="BT623" s="28" t="s">
        <v>138</v>
      </c>
      <c r="BU623" s="28" t="s">
        <v>177</v>
      </c>
      <c r="BV623" s="28" t="s">
        <v>138</v>
      </c>
      <c r="BW623" s="28" t="s">
        <v>138</v>
      </c>
      <c r="BX623" s="28" t="s">
        <v>138</v>
      </c>
      <c r="BY623" s="28" t="s">
        <v>175</v>
      </c>
      <c r="BZ623" s="34">
        <v>43608</v>
      </c>
      <c r="CA623" s="29">
        <v>4</v>
      </c>
      <c r="CB623" s="28" t="s">
        <v>172</v>
      </c>
      <c r="CC623" s="29" t="s">
        <v>138</v>
      </c>
      <c r="CD623" s="28" t="s">
        <v>138</v>
      </c>
      <c r="CE623" s="28" t="s">
        <v>234</v>
      </c>
      <c r="CF623" s="28" t="s">
        <v>234</v>
      </c>
      <c r="CG623" s="28" t="s">
        <v>138</v>
      </c>
      <c r="CH623" s="28" t="s">
        <v>174</v>
      </c>
      <c r="CI623" s="28" t="s">
        <v>138</v>
      </c>
      <c r="CJ623" s="28" t="s">
        <v>138</v>
      </c>
      <c r="CK623" s="28" t="s">
        <v>138</v>
      </c>
      <c r="CL623" s="28" t="s">
        <v>175</v>
      </c>
      <c r="CM623" s="34" t="s">
        <v>138</v>
      </c>
      <c r="CN623" s="29" t="s">
        <v>138</v>
      </c>
      <c r="CO623" s="35" t="s">
        <v>138</v>
      </c>
      <c r="CP623" s="36" t="s">
        <v>138</v>
      </c>
      <c r="CQ623" s="35" t="s">
        <v>138</v>
      </c>
      <c r="CR623" s="35" t="s">
        <v>138</v>
      </c>
      <c r="CS623" s="35" t="s">
        <v>138</v>
      </c>
      <c r="CT623" s="36" t="s">
        <v>138</v>
      </c>
      <c r="CU623" s="35" t="s">
        <v>138</v>
      </c>
      <c r="CV623" s="36" t="s">
        <v>138</v>
      </c>
      <c r="CW623" s="35" t="s">
        <v>138</v>
      </c>
      <c r="CX623" s="36" t="s">
        <v>138</v>
      </c>
      <c r="CY623" s="35" t="s">
        <v>138</v>
      </c>
      <c r="CZ623" s="36" t="s">
        <v>138</v>
      </c>
      <c r="DA623" s="35" t="s">
        <v>138</v>
      </c>
      <c r="DB623" s="36" t="s">
        <v>138</v>
      </c>
      <c r="DC623" s="37" t="s">
        <v>138</v>
      </c>
      <c r="DD623" s="36" t="s">
        <v>138</v>
      </c>
      <c r="DE623" s="37" t="s">
        <v>138</v>
      </c>
      <c r="DF623" s="35" t="s">
        <v>138</v>
      </c>
      <c r="DG623" s="37" t="s">
        <v>138</v>
      </c>
      <c r="DH623" s="36" t="s">
        <v>138</v>
      </c>
      <c r="DI623" s="37" t="s">
        <v>138</v>
      </c>
      <c r="DJ623" s="36" t="s">
        <v>138</v>
      </c>
      <c r="DK623" s="37" t="s">
        <v>138</v>
      </c>
      <c r="DL623" s="36" t="s">
        <v>138</v>
      </c>
      <c r="DM623" s="37" t="s">
        <v>138</v>
      </c>
      <c r="DN623" s="36" t="s">
        <v>138</v>
      </c>
      <c r="DO623" s="37" t="s">
        <v>138</v>
      </c>
      <c r="DP623" s="36" t="s">
        <v>138</v>
      </c>
      <c r="DQ623" s="36" t="s">
        <v>138</v>
      </c>
      <c r="DR623" s="38" t="s">
        <v>138</v>
      </c>
      <c r="DS623" s="35" t="s">
        <v>138</v>
      </c>
      <c r="DT623" s="36" t="s">
        <v>138</v>
      </c>
      <c r="DU623" s="38" t="s">
        <v>138</v>
      </c>
      <c r="DV623" s="35" t="s">
        <v>138</v>
      </c>
      <c r="DW623" s="36" t="s">
        <v>138</v>
      </c>
      <c r="DX623" s="39" t="s">
        <v>138</v>
      </c>
      <c r="DY623" s="35" t="s">
        <v>138</v>
      </c>
      <c r="DZ623" s="28" t="s">
        <v>178</v>
      </c>
      <c r="EA623" s="34">
        <v>43618</v>
      </c>
      <c r="EB623" s="29" t="s">
        <v>138</v>
      </c>
      <c r="EC623" s="34" t="s">
        <v>138</v>
      </c>
      <c r="ED623" s="28" t="s">
        <v>138</v>
      </c>
      <c r="EE623" s="40" t="str">
        <f>HYPERLINK("https://my.pitchbook.com?c=267498-55", "View company online")</f>
        <v>View company online</v>
      </c>
    </row>
    <row r="624" spans="1:135">
      <c r="A624" s="15" t="s">
        <v>12585</v>
      </c>
      <c r="B624" s="15" t="s">
        <v>12586</v>
      </c>
      <c r="C624" s="15" t="s">
        <v>138</v>
      </c>
      <c r="D624" s="15" t="s">
        <v>138</v>
      </c>
      <c r="E624" s="15" t="s">
        <v>12587</v>
      </c>
      <c r="F624" s="15" t="s">
        <v>12585</v>
      </c>
      <c r="G624" s="15" t="s">
        <v>12588</v>
      </c>
      <c r="H624" s="15" t="s">
        <v>141</v>
      </c>
      <c r="I624" s="15" t="s">
        <v>212</v>
      </c>
      <c r="J624" s="15" t="s">
        <v>213</v>
      </c>
      <c r="K624" s="15" t="s">
        <v>7644</v>
      </c>
      <c r="L624" s="15" t="s">
        <v>12589</v>
      </c>
      <c r="M624" s="15" t="s">
        <v>12590</v>
      </c>
      <c r="N624" s="15" t="s">
        <v>147</v>
      </c>
      <c r="O624" s="17" t="s">
        <v>138</v>
      </c>
      <c r="P624" s="15" t="s">
        <v>148</v>
      </c>
      <c r="Q624" s="15" t="s">
        <v>149</v>
      </c>
      <c r="R624" s="15" t="s">
        <v>174</v>
      </c>
      <c r="S624" s="15" t="s">
        <v>12591</v>
      </c>
      <c r="T624" s="18" t="s">
        <v>138</v>
      </c>
      <c r="U624" s="15" t="s">
        <v>138</v>
      </c>
      <c r="V624" s="15" t="s">
        <v>138</v>
      </c>
      <c r="W624" s="15" t="s">
        <v>138</v>
      </c>
      <c r="X624" s="19">
        <v>2000</v>
      </c>
      <c r="Y624" s="15" t="s">
        <v>138</v>
      </c>
      <c r="Z624" s="15" t="s">
        <v>138</v>
      </c>
      <c r="AA624" s="15" t="s">
        <v>138</v>
      </c>
      <c r="AB624" s="20" t="s">
        <v>138</v>
      </c>
      <c r="AC624" s="20" t="s">
        <v>138</v>
      </c>
      <c r="AD624" s="20" t="s">
        <v>138</v>
      </c>
      <c r="AE624" s="20" t="s">
        <v>138</v>
      </c>
      <c r="AF624" s="20" t="s">
        <v>138</v>
      </c>
      <c r="AG624" s="15" t="s">
        <v>138</v>
      </c>
      <c r="AH624" s="20" t="s">
        <v>138</v>
      </c>
      <c r="AI624" s="20" t="s">
        <v>138</v>
      </c>
      <c r="AJ624" s="20" t="s">
        <v>138</v>
      </c>
      <c r="AK624" s="15" t="s">
        <v>12592</v>
      </c>
      <c r="AL624" s="15" t="s">
        <v>12593</v>
      </c>
      <c r="AM624" s="15" t="s">
        <v>12594</v>
      </c>
      <c r="AN624" s="15" t="s">
        <v>12595</v>
      </c>
      <c r="AO624" s="15" t="s">
        <v>138</v>
      </c>
      <c r="AP624" s="15" t="s">
        <v>1028</v>
      </c>
      <c r="AQ624" s="15" t="s">
        <v>12596</v>
      </c>
      <c r="AR624" s="15" t="s">
        <v>6688</v>
      </c>
      <c r="AS624" s="15" t="s">
        <v>1031</v>
      </c>
      <c r="AT624" s="15" t="s">
        <v>1032</v>
      </c>
      <c r="AU624" s="15" t="s">
        <v>12597</v>
      </c>
      <c r="AV624" s="15" t="s">
        <v>162</v>
      </c>
      <c r="AW624" s="15" t="s">
        <v>138</v>
      </c>
      <c r="AX624" s="15" t="s">
        <v>138</v>
      </c>
      <c r="AY624" s="15" t="s">
        <v>138</v>
      </c>
      <c r="AZ624" s="15" t="s">
        <v>164</v>
      </c>
      <c r="BA624" s="15" t="s">
        <v>165</v>
      </c>
      <c r="BB624" s="15" t="s">
        <v>12598</v>
      </c>
      <c r="BC624" s="15" t="s">
        <v>2783</v>
      </c>
      <c r="BD624" s="21">
        <v>1</v>
      </c>
      <c r="BE624" s="15" t="s">
        <v>138</v>
      </c>
      <c r="BF624" s="15" t="s">
        <v>138</v>
      </c>
      <c r="BG624" s="15" t="s">
        <v>138</v>
      </c>
      <c r="BH624" s="15" t="s">
        <v>2784</v>
      </c>
      <c r="BI624" s="15" t="s">
        <v>138</v>
      </c>
      <c r="BJ624" s="15" t="s">
        <v>138</v>
      </c>
      <c r="BK624" s="15" t="s">
        <v>138</v>
      </c>
      <c r="BL624" s="15" t="s">
        <v>138</v>
      </c>
      <c r="BM624" s="22">
        <v>42644</v>
      </c>
      <c r="BN624" s="17" t="s">
        <v>138</v>
      </c>
      <c r="BO624" s="15" t="s">
        <v>138</v>
      </c>
      <c r="BP624" s="17" t="s">
        <v>138</v>
      </c>
      <c r="BQ624" s="15" t="s">
        <v>138</v>
      </c>
      <c r="BR624" s="15" t="s">
        <v>173</v>
      </c>
      <c r="BS624" s="15" t="s">
        <v>138</v>
      </c>
      <c r="BT624" s="15" t="s">
        <v>138</v>
      </c>
      <c r="BU624" s="15" t="s">
        <v>174</v>
      </c>
      <c r="BV624" s="15" t="s">
        <v>138</v>
      </c>
      <c r="BW624" s="15" t="s">
        <v>138</v>
      </c>
      <c r="BX624" s="15" t="s">
        <v>138</v>
      </c>
      <c r="BY624" s="15" t="s">
        <v>175</v>
      </c>
      <c r="BZ624" s="22">
        <v>43503</v>
      </c>
      <c r="CA624" s="17" t="s">
        <v>138</v>
      </c>
      <c r="CB624" s="15" t="s">
        <v>138</v>
      </c>
      <c r="CC624" s="17" t="s">
        <v>138</v>
      </c>
      <c r="CD624" s="15" t="s">
        <v>138</v>
      </c>
      <c r="CE624" s="15" t="s">
        <v>349</v>
      </c>
      <c r="CF624" s="15" t="s">
        <v>138</v>
      </c>
      <c r="CG624" s="15" t="s">
        <v>138</v>
      </c>
      <c r="CH624" s="15" t="s">
        <v>174</v>
      </c>
      <c r="CI624" s="15" t="s">
        <v>138</v>
      </c>
      <c r="CJ624" s="15" t="s">
        <v>138</v>
      </c>
      <c r="CK624" s="15" t="s">
        <v>138</v>
      </c>
      <c r="CL624" s="15" t="s">
        <v>175</v>
      </c>
      <c r="CM624" s="22" t="s">
        <v>138</v>
      </c>
      <c r="CN624" s="17" t="s">
        <v>138</v>
      </c>
      <c r="CO624" s="23">
        <v>-7.0000000000000007E-2</v>
      </c>
      <c r="CP624" s="24">
        <v>21</v>
      </c>
      <c r="CQ624" s="23">
        <v>0.01</v>
      </c>
      <c r="CR624" s="23">
        <v>7.83</v>
      </c>
      <c r="CS624" s="23">
        <v>-0.15</v>
      </c>
      <c r="CT624" s="24">
        <v>22</v>
      </c>
      <c r="CU624" s="23">
        <v>0</v>
      </c>
      <c r="CV624" s="24">
        <v>22</v>
      </c>
      <c r="CW624" s="23">
        <v>1.69</v>
      </c>
      <c r="CX624" s="24">
        <v>87</v>
      </c>
      <c r="CY624" s="23">
        <v>-1.99</v>
      </c>
      <c r="CZ624" s="24">
        <v>11</v>
      </c>
      <c r="DA624" s="23">
        <v>0</v>
      </c>
      <c r="DB624" s="24">
        <v>22</v>
      </c>
      <c r="DC624" s="25">
        <v>309.8</v>
      </c>
      <c r="DD624" s="24">
        <v>100</v>
      </c>
      <c r="DE624" s="25">
        <v>-15.34</v>
      </c>
      <c r="DF624" s="23">
        <v>-4.72</v>
      </c>
      <c r="DG624" s="25">
        <v>448.05</v>
      </c>
      <c r="DH624" s="24">
        <v>100</v>
      </c>
      <c r="DI624" s="25">
        <v>171.55</v>
      </c>
      <c r="DJ624" s="24">
        <v>98</v>
      </c>
      <c r="DK624" s="25">
        <v>505.62</v>
      </c>
      <c r="DL624" s="24">
        <v>100</v>
      </c>
      <c r="DM624" s="25">
        <v>390.48</v>
      </c>
      <c r="DN624" s="24">
        <v>100</v>
      </c>
      <c r="DO624" s="25">
        <v>171.55</v>
      </c>
      <c r="DP624" s="24">
        <v>99</v>
      </c>
      <c r="DQ624" s="24">
        <v>172819</v>
      </c>
      <c r="DR624" s="26">
        <v>1830</v>
      </c>
      <c r="DS624" s="23">
        <v>1.07</v>
      </c>
      <c r="DT624" s="24">
        <v>11306</v>
      </c>
      <c r="DU624" s="26">
        <v>32</v>
      </c>
      <c r="DV624" s="23">
        <v>0.28000000000000003</v>
      </c>
      <c r="DW624" s="24">
        <v>61409</v>
      </c>
      <c r="DX624" s="27">
        <v>28</v>
      </c>
      <c r="DY624" s="23">
        <v>0.05</v>
      </c>
      <c r="DZ624" s="15" t="s">
        <v>178</v>
      </c>
      <c r="EA624" s="22">
        <v>43508</v>
      </c>
      <c r="EB624" s="17" t="s">
        <v>138</v>
      </c>
      <c r="EC624" s="22" t="s">
        <v>138</v>
      </c>
      <c r="ED624" s="15" t="s">
        <v>138</v>
      </c>
      <c r="EE624" s="14" t="str">
        <f>HYPERLINK("https://my.pitchbook.com?c=91712-26", "View company online")</f>
        <v>View company online</v>
      </c>
    </row>
    <row r="625" spans="1:135">
      <c r="A625" s="28" t="s">
        <v>12599</v>
      </c>
      <c r="B625" s="28" t="s">
        <v>12600</v>
      </c>
      <c r="C625" s="28" t="s">
        <v>138</v>
      </c>
      <c r="D625" s="28" t="s">
        <v>138</v>
      </c>
      <c r="E625" s="28" t="s">
        <v>138</v>
      </c>
      <c r="F625" s="28" t="s">
        <v>12599</v>
      </c>
      <c r="G625" s="28" t="s">
        <v>12601</v>
      </c>
      <c r="H625" s="28" t="s">
        <v>385</v>
      </c>
      <c r="I625" s="28" t="s">
        <v>386</v>
      </c>
      <c r="J625" s="28" t="s">
        <v>558</v>
      </c>
      <c r="K625" s="28" t="s">
        <v>12602</v>
      </c>
      <c r="L625" s="28" t="s">
        <v>560</v>
      </c>
      <c r="M625" s="28" t="s">
        <v>12603</v>
      </c>
      <c r="N625" s="28" t="s">
        <v>147</v>
      </c>
      <c r="O625" s="29">
        <v>7.39</v>
      </c>
      <c r="P625" s="28" t="s">
        <v>148</v>
      </c>
      <c r="Q625" s="28" t="s">
        <v>149</v>
      </c>
      <c r="R625" s="28" t="s">
        <v>174</v>
      </c>
      <c r="S625" s="28" t="s">
        <v>12604</v>
      </c>
      <c r="T625" s="30">
        <v>6</v>
      </c>
      <c r="U625" s="28" t="s">
        <v>12605</v>
      </c>
      <c r="V625" s="28" t="s">
        <v>138</v>
      </c>
      <c r="W625" s="28" t="s">
        <v>138</v>
      </c>
      <c r="X625" s="31">
        <v>2011</v>
      </c>
      <c r="Y625" s="28" t="s">
        <v>138</v>
      </c>
      <c r="Z625" s="28" t="s">
        <v>138</v>
      </c>
      <c r="AA625" s="28" t="s">
        <v>138</v>
      </c>
      <c r="AB625" s="32" t="s">
        <v>138</v>
      </c>
      <c r="AC625" s="32" t="s">
        <v>138</v>
      </c>
      <c r="AD625" s="32" t="s">
        <v>138</v>
      </c>
      <c r="AE625" s="32" t="s">
        <v>138</v>
      </c>
      <c r="AF625" s="32" t="s">
        <v>138</v>
      </c>
      <c r="AG625" s="28" t="s">
        <v>138</v>
      </c>
      <c r="AH625" s="32" t="s">
        <v>138</v>
      </c>
      <c r="AI625" s="32" t="s">
        <v>138</v>
      </c>
      <c r="AJ625" s="32" t="s">
        <v>138</v>
      </c>
      <c r="AK625" s="28" t="s">
        <v>12606</v>
      </c>
      <c r="AL625" s="28" t="s">
        <v>12607</v>
      </c>
      <c r="AM625" s="28" t="s">
        <v>2878</v>
      </c>
      <c r="AN625" s="28" t="s">
        <v>12608</v>
      </c>
      <c r="AO625" s="28" t="s">
        <v>138</v>
      </c>
      <c r="AP625" s="28" t="s">
        <v>520</v>
      </c>
      <c r="AQ625" s="28" t="s">
        <v>12609</v>
      </c>
      <c r="AR625" s="28" t="s">
        <v>138</v>
      </c>
      <c r="AS625" s="28" t="s">
        <v>523</v>
      </c>
      <c r="AT625" s="28" t="s">
        <v>524</v>
      </c>
      <c r="AU625" s="28" t="s">
        <v>12610</v>
      </c>
      <c r="AV625" s="28" t="s">
        <v>526</v>
      </c>
      <c r="AW625" s="28" t="s">
        <v>138</v>
      </c>
      <c r="AX625" s="28" t="s">
        <v>138</v>
      </c>
      <c r="AY625" s="28" t="s">
        <v>138</v>
      </c>
      <c r="AZ625" s="28" t="s">
        <v>530</v>
      </c>
      <c r="BA625" s="28" t="s">
        <v>531</v>
      </c>
      <c r="BB625" s="28" t="s">
        <v>12611</v>
      </c>
      <c r="BC625" s="28" t="s">
        <v>12612</v>
      </c>
      <c r="BD625" s="33">
        <v>3</v>
      </c>
      <c r="BE625" s="28" t="s">
        <v>138</v>
      </c>
      <c r="BF625" s="28" t="s">
        <v>138</v>
      </c>
      <c r="BG625" s="28" t="s">
        <v>138</v>
      </c>
      <c r="BH625" s="28" t="s">
        <v>12613</v>
      </c>
      <c r="BI625" s="28" t="s">
        <v>138</v>
      </c>
      <c r="BJ625" s="28" t="s">
        <v>138</v>
      </c>
      <c r="BK625" s="28" t="s">
        <v>138</v>
      </c>
      <c r="BL625" s="28" t="s">
        <v>138</v>
      </c>
      <c r="BM625" s="34">
        <v>41310</v>
      </c>
      <c r="BN625" s="29">
        <v>0.31</v>
      </c>
      <c r="BO625" s="28" t="s">
        <v>172</v>
      </c>
      <c r="BP625" s="29">
        <v>1.24</v>
      </c>
      <c r="BQ625" s="28" t="s">
        <v>172</v>
      </c>
      <c r="BR625" s="28" t="s">
        <v>205</v>
      </c>
      <c r="BS625" s="28" t="s">
        <v>138</v>
      </c>
      <c r="BT625" s="28" t="s">
        <v>138</v>
      </c>
      <c r="BU625" s="28" t="s">
        <v>174</v>
      </c>
      <c r="BV625" s="28" t="s">
        <v>138</v>
      </c>
      <c r="BW625" s="28" t="s">
        <v>138</v>
      </c>
      <c r="BX625" s="28" t="s">
        <v>138</v>
      </c>
      <c r="BY625" s="28" t="s">
        <v>175</v>
      </c>
      <c r="BZ625" s="34">
        <v>43084</v>
      </c>
      <c r="CA625" s="29">
        <v>5.36</v>
      </c>
      <c r="CB625" s="28" t="s">
        <v>172</v>
      </c>
      <c r="CC625" s="29">
        <v>10.92</v>
      </c>
      <c r="CD625" s="28" t="s">
        <v>172</v>
      </c>
      <c r="CE625" s="28" t="s">
        <v>173</v>
      </c>
      <c r="CF625" s="28" t="s">
        <v>317</v>
      </c>
      <c r="CG625" s="28" t="s">
        <v>138</v>
      </c>
      <c r="CH625" s="28" t="s">
        <v>174</v>
      </c>
      <c r="CI625" s="28" t="s">
        <v>138</v>
      </c>
      <c r="CJ625" s="28" t="s">
        <v>138</v>
      </c>
      <c r="CK625" s="28" t="s">
        <v>138</v>
      </c>
      <c r="CL625" s="28" t="s">
        <v>175</v>
      </c>
      <c r="CM625" s="34" t="s">
        <v>138</v>
      </c>
      <c r="CN625" s="29" t="s">
        <v>138</v>
      </c>
      <c r="CO625" s="35">
        <v>-0.15</v>
      </c>
      <c r="CP625" s="36">
        <v>20</v>
      </c>
      <c r="CQ625" s="35">
        <v>0</v>
      </c>
      <c r="CR625" s="35">
        <v>0</v>
      </c>
      <c r="CS625" s="35">
        <v>0</v>
      </c>
      <c r="CT625" s="36">
        <v>23</v>
      </c>
      <c r="CU625" s="35">
        <v>-0.3</v>
      </c>
      <c r="CV625" s="36">
        <v>1</v>
      </c>
      <c r="CW625" s="35" t="s">
        <v>138</v>
      </c>
      <c r="CX625" s="36" t="s">
        <v>138</v>
      </c>
      <c r="CY625" s="35">
        <v>0</v>
      </c>
      <c r="CZ625" s="36">
        <v>25</v>
      </c>
      <c r="DA625" s="35">
        <v>-0.3</v>
      </c>
      <c r="DB625" s="36">
        <v>1</v>
      </c>
      <c r="DC625" s="37">
        <v>0.28999999999999998</v>
      </c>
      <c r="DD625" s="36">
        <v>22</v>
      </c>
      <c r="DE625" s="37">
        <v>0</v>
      </c>
      <c r="DF625" s="35">
        <v>0.33</v>
      </c>
      <c r="DG625" s="37">
        <v>0.24</v>
      </c>
      <c r="DH625" s="36">
        <v>18</v>
      </c>
      <c r="DI625" s="37">
        <v>0.34</v>
      </c>
      <c r="DJ625" s="36">
        <v>30</v>
      </c>
      <c r="DK625" s="37" t="s">
        <v>138</v>
      </c>
      <c r="DL625" s="36" t="s">
        <v>138</v>
      </c>
      <c r="DM625" s="37">
        <v>0.24</v>
      </c>
      <c r="DN625" s="36">
        <v>19</v>
      </c>
      <c r="DO625" s="37">
        <v>0.34</v>
      </c>
      <c r="DP625" s="36">
        <v>32</v>
      </c>
      <c r="DQ625" s="36" t="s">
        <v>138</v>
      </c>
      <c r="DR625" s="38" t="s">
        <v>138</v>
      </c>
      <c r="DS625" s="35" t="s">
        <v>138</v>
      </c>
      <c r="DT625" s="36">
        <v>7</v>
      </c>
      <c r="DU625" s="38">
        <v>0</v>
      </c>
      <c r="DV625" s="35">
        <v>0</v>
      </c>
      <c r="DW625" s="36">
        <v>122</v>
      </c>
      <c r="DX625" s="39">
        <v>0</v>
      </c>
      <c r="DY625" s="35">
        <v>0</v>
      </c>
      <c r="DZ625" s="28" t="s">
        <v>178</v>
      </c>
      <c r="EA625" s="34">
        <v>43607</v>
      </c>
      <c r="EB625" s="29">
        <v>10.92</v>
      </c>
      <c r="EC625" s="34">
        <v>43084</v>
      </c>
      <c r="ED625" s="28" t="s">
        <v>173</v>
      </c>
      <c r="EE625" s="40" t="str">
        <f>HYPERLINK("https://my.pitchbook.com?c=114596-92", "View company online")</f>
        <v>View company online</v>
      </c>
    </row>
    <row r="626" spans="1:135">
      <c r="A626" s="15" t="s">
        <v>12614</v>
      </c>
      <c r="B626" s="15" t="s">
        <v>12615</v>
      </c>
      <c r="C626" s="15" t="s">
        <v>138</v>
      </c>
      <c r="D626" s="15" t="s">
        <v>138</v>
      </c>
      <c r="E626" s="15" t="s">
        <v>12616</v>
      </c>
      <c r="F626" s="15" t="s">
        <v>12614</v>
      </c>
      <c r="G626" s="15" t="s">
        <v>12617</v>
      </c>
      <c r="H626" s="15" t="s">
        <v>238</v>
      </c>
      <c r="I626" s="15" t="s">
        <v>785</v>
      </c>
      <c r="J626" s="15" t="s">
        <v>786</v>
      </c>
      <c r="K626" s="15" t="s">
        <v>12618</v>
      </c>
      <c r="L626" s="15" t="s">
        <v>12619</v>
      </c>
      <c r="M626" s="15" t="s">
        <v>12620</v>
      </c>
      <c r="N626" s="15" t="s">
        <v>147</v>
      </c>
      <c r="O626" s="17">
        <v>1464.66</v>
      </c>
      <c r="P626" s="15" t="s">
        <v>148</v>
      </c>
      <c r="Q626" s="15" t="s">
        <v>149</v>
      </c>
      <c r="R626" s="15" t="s">
        <v>174</v>
      </c>
      <c r="S626" s="15" t="s">
        <v>12621</v>
      </c>
      <c r="T626" s="18">
        <v>700</v>
      </c>
      <c r="U626" s="15" t="s">
        <v>12622</v>
      </c>
      <c r="V626" s="15" t="s">
        <v>138</v>
      </c>
      <c r="W626" s="15" t="s">
        <v>138</v>
      </c>
      <c r="X626" s="19">
        <v>2015</v>
      </c>
      <c r="Y626" s="15" t="s">
        <v>138</v>
      </c>
      <c r="Z626" s="15" t="s">
        <v>138</v>
      </c>
      <c r="AA626" s="15" t="s">
        <v>138</v>
      </c>
      <c r="AB626" s="20" t="s">
        <v>138</v>
      </c>
      <c r="AC626" s="20" t="s">
        <v>138</v>
      </c>
      <c r="AD626" s="20" t="s">
        <v>138</v>
      </c>
      <c r="AE626" s="20" t="s">
        <v>138</v>
      </c>
      <c r="AF626" s="20" t="s">
        <v>138</v>
      </c>
      <c r="AG626" s="15" t="s">
        <v>138</v>
      </c>
      <c r="AH626" s="20" t="s">
        <v>138</v>
      </c>
      <c r="AI626" s="20" t="s">
        <v>138</v>
      </c>
      <c r="AJ626" s="20" t="s">
        <v>138</v>
      </c>
      <c r="AK626" s="15" t="s">
        <v>12623</v>
      </c>
      <c r="AL626" s="15" t="s">
        <v>12624</v>
      </c>
      <c r="AM626" s="15" t="s">
        <v>2194</v>
      </c>
      <c r="AN626" s="15" t="s">
        <v>12625</v>
      </c>
      <c r="AO626" s="15" t="s">
        <v>138</v>
      </c>
      <c r="AP626" s="15" t="s">
        <v>12626</v>
      </c>
      <c r="AQ626" s="15" t="s">
        <v>12627</v>
      </c>
      <c r="AR626" s="15" t="s">
        <v>138</v>
      </c>
      <c r="AS626" s="15" t="s">
        <v>12628</v>
      </c>
      <c r="AT626" s="15" t="s">
        <v>12629</v>
      </c>
      <c r="AU626" s="15" t="s">
        <v>138</v>
      </c>
      <c r="AV626" s="15" t="s">
        <v>12630</v>
      </c>
      <c r="AW626" s="15" t="s">
        <v>138</v>
      </c>
      <c r="AX626" s="15" t="s">
        <v>138</v>
      </c>
      <c r="AY626" s="15" t="s">
        <v>138</v>
      </c>
      <c r="AZ626" s="15" t="s">
        <v>164</v>
      </c>
      <c r="BA626" s="15" t="s">
        <v>2781</v>
      </c>
      <c r="BB626" s="15" t="s">
        <v>12631</v>
      </c>
      <c r="BC626" s="15" t="s">
        <v>12632</v>
      </c>
      <c r="BD626" s="21">
        <v>27</v>
      </c>
      <c r="BE626" s="15" t="s">
        <v>138</v>
      </c>
      <c r="BF626" s="15" t="s">
        <v>138</v>
      </c>
      <c r="BG626" s="15" t="s">
        <v>138</v>
      </c>
      <c r="BH626" s="15" t="s">
        <v>12633</v>
      </c>
      <c r="BI626" s="15" t="s">
        <v>138</v>
      </c>
      <c r="BJ626" s="15" t="s">
        <v>138</v>
      </c>
      <c r="BK626" s="15" t="s">
        <v>1275</v>
      </c>
      <c r="BL626" s="15" t="s">
        <v>1275</v>
      </c>
      <c r="BM626" s="22">
        <v>42370</v>
      </c>
      <c r="BN626" s="17">
        <v>0.26</v>
      </c>
      <c r="BO626" s="15" t="s">
        <v>1178</v>
      </c>
      <c r="BP626" s="17" t="s">
        <v>138</v>
      </c>
      <c r="BQ626" s="15" t="s">
        <v>138</v>
      </c>
      <c r="BR626" s="15" t="s">
        <v>316</v>
      </c>
      <c r="BS626" s="15" t="s">
        <v>138</v>
      </c>
      <c r="BT626" s="15" t="s">
        <v>138</v>
      </c>
      <c r="BU626" s="15" t="s">
        <v>177</v>
      </c>
      <c r="BV626" s="15" t="s">
        <v>138</v>
      </c>
      <c r="BW626" s="15" t="s">
        <v>138</v>
      </c>
      <c r="BX626" s="15" t="s">
        <v>138</v>
      </c>
      <c r="BY626" s="15" t="s">
        <v>175</v>
      </c>
      <c r="BZ626" s="22">
        <v>43585</v>
      </c>
      <c r="CA626" s="17">
        <v>1000</v>
      </c>
      <c r="CB626" s="15" t="s">
        <v>172</v>
      </c>
      <c r="CC626" s="17" t="s">
        <v>138</v>
      </c>
      <c r="CD626" s="15" t="s">
        <v>138</v>
      </c>
      <c r="CE626" s="15" t="s">
        <v>173</v>
      </c>
      <c r="CF626" s="15" t="s">
        <v>138</v>
      </c>
      <c r="CG626" s="15" t="s">
        <v>138</v>
      </c>
      <c r="CH626" s="15" t="s">
        <v>174</v>
      </c>
      <c r="CI626" s="15" t="s">
        <v>138</v>
      </c>
      <c r="CJ626" s="15" t="s">
        <v>138</v>
      </c>
      <c r="CK626" s="15" t="s">
        <v>138</v>
      </c>
      <c r="CL626" s="15" t="s">
        <v>175</v>
      </c>
      <c r="CM626" s="22" t="s">
        <v>138</v>
      </c>
      <c r="CN626" s="17" t="s">
        <v>138</v>
      </c>
      <c r="CO626" s="23">
        <v>0.85</v>
      </c>
      <c r="CP626" s="24">
        <v>97</v>
      </c>
      <c r="CQ626" s="23">
        <v>0.08</v>
      </c>
      <c r="CR626" s="23">
        <v>9.91</v>
      </c>
      <c r="CS626" s="23">
        <v>0.03</v>
      </c>
      <c r="CT626" s="24">
        <v>94</v>
      </c>
      <c r="CU626" s="23">
        <v>1.3</v>
      </c>
      <c r="CV626" s="24">
        <v>99</v>
      </c>
      <c r="CW626" s="23">
        <v>0.23</v>
      </c>
      <c r="CX626" s="24">
        <v>81</v>
      </c>
      <c r="CY626" s="23">
        <v>-0.17</v>
      </c>
      <c r="CZ626" s="24">
        <v>24</v>
      </c>
      <c r="DA626" s="23">
        <v>1.3</v>
      </c>
      <c r="DB626" s="24">
        <v>99</v>
      </c>
      <c r="DC626" s="25">
        <v>168.09</v>
      </c>
      <c r="DD626" s="24">
        <v>100</v>
      </c>
      <c r="DE626" s="25">
        <v>8.01</v>
      </c>
      <c r="DF626" s="23">
        <v>5</v>
      </c>
      <c r="DG626" s="25">
        <v>12.92</v>
      </c>
      <c r="DH626" s="24">
        <v>92</v>
      </c>
      <c r="DI626" s="25">
        <v>53.63</v>
      </c>
      <c r="DJ626" s="24">
        <v>95</v>
      </c>
      <c r="DK626" s="25">
        <v>7.36</v>
      </c>
      <c r="DL626" s="24">
        <v>84</v>
      </c>
      <c r="DM626" s="25">
        <v>18.48</v>
      </c>
      <c r="DN626" s="24">
        <v>94</v>
      </c>
      <c r="DO626" s="25">
        <v>53.63</v>
      </c>
      <c r="DP626" s="24">
        <v>97</v>
      </c>
      <c r="DQ626" s="24">
        <v>2509</v>
      </c>
      <c r="DR626" s="26">
        <v>40</v>
      </c>
      <c r="DS626" s="23">
        <v>1.62</v>
      </c>
      <c r="DT626" s="24">
        <v>532</v>
      </c>
      <c r="DU626" s="26">
        <v>11</v>
      </c>
      <c r="DV626" s="23">
        <v>2.11</v>
      </c>
      <c r="DW626" s="24">
        <v>19123</v>
      </c>
      <c r="DX626" s="27">
        <v>262</v>
      </c>
      <c r="DY626" s="23">
        <v>1.39</v>
      </c>
      <c r="DZ626" s="15" t="s">
        <v>178</v>
      </c>
      <c r="EA626" s="22">
        <v>43587</v>
      </c>
      <c r="EB626" s="17">
        <v>1017.51</v>
      </c>
      <c r="EC626" s="22">
        <v>43361</v>
      </c>
      <c r="ED626" s="15" t="s">
        <v>173</v>
      </c>
      <c r="EE626" s="14" t="str">
        <f>HYPERLINK("https://my.pitchbook.com?c=155890-63", "View company online")</f>
        <v>View company online</v>
      </c>
    </row>
    <row r="627" spans="1:135">
      <c r="A627" s="28" t="s">
        <v>12634</v>
      </c>
      <c r="B627" s="28" t="s">
        <v>12635</v>
      </c>
      <c r="C627" s="28" t="s">
        <v>138</v>
      </c>
      <c r="D627" s="28" t="s">
        <v>138</v>
      </c>
      <c r="E627" s="28" t="s">
        <v>12636</v>
      </c>
      <c r="F627" s="28" t="s">
        <v>12634</v>
      </c>
      <c r="G627" s="28" t="s">
        <v>12637</v>
      </c>
      <c r="H627" s="28" t="s">
        <v>322</v>
      </c>
      <c r="I627" s="28" t="s">
        <v>323</v>
      </c>
      <c r="J627" s="28" t="s">
        <v>324</v>
      </c>
      <c r="K627" s="28" t="s">
        <v>325</v>
      </c>
      <c r="L627" s="28" t="s">
        <v>7700</v>
      </c>
      <c r="M627" s="28" t="s">
        <v>12638</v>
      </c>
      <c r="N627" s="28" t="s">
        <v>147</v>
      </c>
      <c r="O627" s="29">
        <v>12</v>
      </c>
      <c r="P627" s="28" t="s">
        <v>148</v>
      </c>
      <c r="Q627" s="28" t="s">
        <v>149</v>
      </c>
      <c r="R627" s="28" t="s">
        <v>174</v>
      </c>
      <c r="S627" s="28" t="s">
        <v>12639</v>
      </c>
      <c r="T627" s="30" t="s">
        <v>138</v>
      </c>
      <c r="U627" s="28" t="s">
        <v>138</v>
      </c>
      <c r="V627" s="28" t="s">
        <v>138</v>
      </c>
      <c r="W627" s="28" t="s">
        <v>138</v>
      </c>
      <c r="X627" s="31">
        <v>2014</v>
      </c>
      <c r="Y627" s="28" t="s">
        <v>138</v>
      </c>
      <c r="Z627" s="28" t="s">
        <v>138</v>
      </c>
      <c r="AA627" s="28" t="s">
        <v>138</v>
      </c>
      <c r="AB627" s="32" t="s">
        <v>138</v>
      </c>
      <c r="AC627" s="32" t="s">
        <v>138</v>
      </c>
      <c r="AD627" s="32" t="s">
        <v>138</v>
      </c>
      <c r="AE627" s="32" t="s">
        <v>138</v>
      </c>
      <c r="AF627" s="32" t="s">
        <v>138</v>
      </c>
      <c r="AG627" s="28" t="s">
        <v>138</v>
      </c>
      <c r="AH627" s="32" t="s">
        <v>138</v>
      </c>
      <c r="AI627" s="32" t="s">
        <v>138</v>
      </c>
      <c r="AJ627" s="32" t="s">
        <v>138</v>
      </c>
      <c r="AK627" s="28" t="s">
        <v>12640</v>
      </c>
      <c r="AL627" s="28" t="s">
        <v>12641</v>
      </c>
      <c r="AM627" s="28" t="s">
        <v>304</v>
      </c>
      <c r="AN627" s="28" t="s">
        <v>12642</v>
      </c>
      <c r="AO627" s="28" t="s">
        <v>12643</v>
      </c>
      <c r="AP627" s="28" t="s">
        <v>639</v>
      </c>
      <c r="AQ627" s="28" t="s">
        <v>138</v>
      </c>
      <c r="AR627" s="28" t="s">
        <v>138</v>
      </c>
      <c r="AS627" s="28" t="s">
        <v>642</v>
      </c>
      <c r="AT627" s="28" t="s">
        <v>474</v>
      </c>
      <c r="AU627" s="28" t="s">
        <v>138</v>
      </c>
      <c r="AV627" s="28" t="s">
        <v>162</v>
      </c>
      <c r="AW627" s="28" t="s">
        <v>12643</v>
      </c>
      <c r="AX627" s="28" t="s">
        <v>138</v>
      </c>
      <c r="AY627" s="28" t="s">
        <v>138</v>
      </c>
      <c r="AZ627" s="28" t="s">
        <v>164</v>
      </c>
      <c r="BA627" s="28" t="s">
        <v>165</v>
      </c>
      <c r="BB627" s="28" t="s">
        <v>12644</v>
      </c>
      <c r="BC627" s="28" t="s">
        <v>12645</v>
      </c>
      <c r="BD627" s="33">
        <v>3</v>
      </c>
      <c r="BE627" s="28" t="s">
        <v>138</v>
      </c>
      <c r="BF627" s="28" t="s">
        <v>138</v>
      </c>
      <c r="BG627" s="28" t="s">
        <v>138</v>
      </c>
      <c r="BH627" s="28" t="s">
        <v>12646</v>
      </c>
      <c r="BI627" s="28" t="s">
        <v>138</v>
      </c>
      <c r="BJ627" s="28" t="s">
        <v>138</v>
      </c>
      <c r="BK627" s="28" t="s">
        <v>138</v>
      </c>
      <c r="BL627" s="28" t="s">
        <v>3826</v>
      </c>
      <c r="BM627" s="34">
        <v>43507</v>
      </c>
      <c r="BN627" s="29">
        <v>12</v>
      </c>
      <c r="BO627" s="28" t="s">
        <v>172</v>
      </c>
      <c r="BP627" s="29" t="s">
        <v>138</v>
      </c>
      <c r="BQ627" s="28" t="s">
        <v>138</v>
      </c>
      <c r="BR627" s="28" t="s">
        <v>205</v>
      </c>
      <c r="BS627" s="28" t="s">
        <v>206</v>
      </c>
      <c r="BT627" s="28" t="s">
        <v>138</v>
      </c>
      <c r="BU627" s="28" t="s">
        <v>174</v>
      </c>
      <c r="BV627" s="28" t="s">
        <v>138</v>
      </c>
      <c r="BW627" s="28" t="s">
        <v>138</v>
      </c>
      <c r="BX627" s="28" t="s">
        <v>138</v>
      </c>
      <c r="BY627" s="28" t="s">
        <v>175</v>
      </c>
      <c r="BZ627" s="34">
        <v>43507</v>
      </c>
      <c r="CA627" s="29">
        <v>12</v>
      </c>
      <c r="CB627" s="28" t="s">
        <v>172</v>
      </c>
      <c r="CC627" s="29" t="s">
        <v>138</v>
      </c>
      <c r="CD627" s="28" t="s">
        <v>138</v>
      </c>
      <c r="CE627" s="28" t="s">
        <v>205</v>
      </c>
      <c r="CF627" s="28" t="s">
        <v>206</v>
      </c>
      <c r="CG627" s="28" t="s">
        <v>138</v>
      </c>
      <c r="CH627" s="28" t="s">
        <v>174</v>
      </c>
      <c r="CI627" s="28" t="s">
        <v>138</v>
      </c>
      <c r="CJ627" s="28" t="s">
        <v>138</v>
      </c>
      <c r="CK627" s="28" t="s">
        <v>138</v>
      </c>
      <c r="CL627" s="28" t="s">
        <v>175</v>
      </c>
      <c r="CM627" s="34" t="s">
        <v>138</v>
      </c>
      <c r="CN627" s="29" t="s">
        <v>138</v>
      </c>
      <c r="CO627" s="35">
        <v>0.79</v>
      </c>
      <c r="CP627" s="36">
        <v>96</v>
      </c>
      <c r="CQ627" s="35" t="s">
        <v>138</v>
      </c>
      <c r="CR627" s="35" t="s">
        <v>138</v>
      </c>
      <c r="CS627" s="35">
        <v>0</v>
      </c>
      <c r="CT627" s="36">
        <v>23</v>
      </c>
      <c r="CU627" s="35">
        <v>1.58</v>
      </c>
      <c r="CV627" s="36">
        <v>99</v>
      </c>
      <c r="CW627" s="35" t="s">
        <v>138</v>
      </c>
      <c r="CX627" s="36" t="s">
        <v>138</v>
      </c>
      <c r="CY627" s="35">
        <v>0</v>
      </c>
      <c r="CZ627" s="36">
        <v>25</v>
      </c>
      <c r="DA627" s="35">
        <v>1.58</v>
      </c>
      <c r="DB627" s="36">
        <v>99</v>
      </c>
      <c r="DC627" s="37">
        <v>1.69</v>
      </c>
      <c r="DD627" s="36">
        <v>63</v>
      </c>
      <c r="DE627" s="37" t="s">
        <v>138</v>
      </c>
      <c r="DF627" s="35" t="s">
        <v>138</v>
      </c>
      <c r="DG627" s="37">
        <v>2</v>
      </c>
      <c r="DH627" s="36">
        <v>67</v>
      </c>
      <c r="DI627" s="37">
        <v>1.38</v>
      </c>
      <c r="DJ627" s="36">
        <v>55</v>
      </c>
      <c r="DK627" s="37" t="s">
        <v>138</v>
      </c>
      <c r="DL627" s="36" t="s">
        <v>138</v>
      </c>
      <c r="DM627" s="37">
        <v>2</v>
      </c>
      <c r="DN627" s="36">
        <v>66</v>
      </c>
      <c r="DO627" s="37">
        <v>1.38</v>
      </c>
      <c r="DP627" s="36">
        <v>57</v>
      </c>
      <c r="DQ627" s="36" t="s">
        <v>138</v>
      </c>
      <c r="DR627" s="38" t="s">
        <v>138</v>
      </c>
      <c r="DS627" s="35" t="s">
        <v>138</v>
      </c>
      <c r="DT627" s="36">
        <v>57</v>
      </c>
      <c r="DU627" s="38">
        <v>1</v>
      </c>
      <c r="DV627" s="35">
        <v>1.79</v>
      </c>
      <c r="DW627" s="36">
        <v>492</v>
      </c>
      <c r="DX627" s="39">
        <v>9</v>
      </c>
      <c r="DY627" s="35">
        <v>1.86</v>
      </c>
      <c r="DZ627" s="28" t="s">
        <v>178</v>
      </c>
      <c r="EA627" s="34">
        <v>43584</v>
      </c>
      <c r="EB627" s="29" t="s">
        <v>138</v>
      </c>
      <c r="EC627" s="34" t="s">
        <v>138</v>
      </c>
      <c r="ED627" s="28" t="s">
        <v>138</v>
      </c>
      <c r="EE627" s="40" t="str">
        <f>HYPERLINK("https://my.pitchbook.com?c=265357-09", "View company online")</f>
        <v>View company online</v>
      </c>
    </row>
    <row r="628" spans="1:135">
      <c r="A628" s="15" t="s">
        <v>12647</v>
      </c>
      <c r="B628" s="15" t="s">
        <v>12648</v>
      </c>
      <c r="C628" s="15" t="s">
        <v>12649</v>
      </c>
      <c r="D628" s="15" t="s">
        <v>138</v>
      </c>
      <c r="E628" s="15" t="s">
        <v>12650</v>
      </c>
      <c r="F628" s="15" t="s">
        <v>12647</v>
      </c>
      <c r="G628" s="15" t="s">
        <v>12651</v>
      </c>
      <c r="H628" s="15" t="s">
        <v>322</v>
      </c>
      <c r="I628" s="15" t="s">
        <v>323</v>
      </c>
      <c r="J628" s="15" t="s">
        <v>539</v>
      </c>
      <c r="K628" s="15" t="s">
        <v>9529</v>
      </c>
      <c r="L628" s="15" t="s">
        <v>215</v>
      </c>
      <c r="M628" s="15" t="s">
        <v>12652</v>
      </c>
      <c r="N628" s="15" t="s">
        <v>147</v>
      </c>
      <c r="O628" s="17">
        <v>50.54</v>
      </c>
      <c r="P628" s="15" t="s">
        <v>812</v>
      </c>
      <c r="Q628" s="15" t="s">
        <v>149</v>
      </c>
      <c r="R628" s="15" t="s">
        <v>244</v>
      </c>
      <c r="S628" s="15" t="s">
        <v>12653</v>
      </c>
      <c r="T628" s="18" t="s">
        <v>138</v>
      </c>
      <c r="U628" s="15" t="s">
        <v>138</v>
      </c>
      <c r="V628" s="15" t="s">
        <v>138</v>
      </c>
      <c r="W628" s="15" t="s">
        <v>138</v>
      </c>
      <c r="X628" s="19">
        <v>2006</v>
      </c>
      <c r="Y628" s="15" t="s">
        <v>138</v>
      </c>
      <c r="Z628" s="15" t="s">
        <v>138</v>
      </c>
      <c r="AA628" s="15" t="s">
        <v>138</v>
      </c>
      <c r="AB628" s="20">
        <v>7.18</v>
      </c>
      <c r="AC628" s="20" t="s">
        <v>138</v>
      </c>
      <c r="AD628" s="20" t="s">
        <v>138</v>
      </c>
      <c r="AE628" s="20" t="s">
        <v>138</v>
      </c>
      <c r="AF628" s="20" t="s">
        <v>138</v>
      </c>
      <c r="AG628" s="15" t="s">
        <v>633</v>
      </c>
      <c r="AH628" s="20" t="s">
        <v>138</v>
      </c>
      <c r="AI628" s="20" t="s">
        <v>138</v>
      </c>
      <c r="AJ628" s="20" t="s">
        <v>138</v>
      </c>
      <c r="AK628" s="15" t="s">
        <v>12654</v>
      </c>
      <c r="AL628" s="15" t="s">
        <v>12655</v>
      </c>
      <c r="AM628" s="15" t="s">
        <v>12656</v>
      </c>
      <c r="AN628" s="15" t="s">
        <v>12657</v>
      </c>
      <c r="AO628" s="15" t="s">
        <v>12658</v>
      </c>
      <c r="AP628" s="15" t="s">
        <v>1292</v>
      </c>
      <c r="AQ628" s="15" t="s">
        <v>12659</v>
      </c>
      <c r="AR628" s="15" t="s">
        <v>12660</v>
      </c>
      <c r="AS628" s="15" t="s">
        <v>1294</v>
      </c>
      <c r="AT628" s="15" t="s">
        <v>864</v>
      </c>
      <c r="AU628" s="15" t="s">
        <v>8420</v>
      </c>
      <c r="AV628" s="15" t="s">
        <v>162</v>
      </c>
      <c r="AW628" s="15" t="s">
        <v>12658</v>
      </c>
      <c r="AX628" s="15" t="s">
        <v>12661</v>
      </c>
      <c r="AY628" s="15" t="s">
        <v>12662</v>
      </c>
      <c r="AZ628" s="15" t="s">
        <v>164</v>
      </c>
      <c r="BA628" s="15" t="s">
        <v>165</v>
      </c>
      <c r="BB628" s="15" t="s">
        <v>12663</v>
      </c>
      <c r="BC628" s="15" t="s">
        <v>12664</v>
      </c>
      <c r="BD628" s="21">
        <v>10</v>
      </c>
      <c r="BE628" s="15" t="s">
        <v>138</v>
      </c>
      <c r="BF628" s="15" t="s">
        <v>138</v>
      </c>
      <c r="BG628" s="15" t="s">
        <v>138</v>
      </c>
      <c r="BH628" s="15" t="s">
        <v>12665</v>
      </c>
      <c r="BI628" s="15" t="s">
        <v>138</v>
      </c>
      <c r="BJ628" s="15" t="s">
        <v>138</v>
      </c>
      <c r="BK628" s="15" t="s">
        <v>12666</v>
      </c>
      <c r="BL628" s="15" t="s">
        <v>12667</v>
      </c>
      <c r="BM628" s="22">
        <v>38777</v>
      </c>
      <c r="BN628" s="17">
        <v>5</v>
      </c>
      <c r="BO628" s="15" t="s">
        <v>1178</v>
      </c>
      <c r="BP628" s="17" t="s">
        <v>138</v>
      </c>
      <c r="BQ628" s="15" t="s">
        <v>138</v>
      </c>
      <c r="BR628" s="15" t="s">
        <v>205</v>
      </c>
      <c r="BS628" s="15" t="s">
        <v>206</v>
      </c>
      <c r="BT628" s="15" t="s">
        <v>138</v>
      </c>
      <c r="BU628" s="15" t="s">
        <v>174</v>
      </c>
      <c r="BV628" s="15" t="s">
        <v>138</v>
      </c>
      <c r="BW628" s="15" t="s">
        <v>138</v>
      </c>
      <c r="BX628" s="15" t="s">
        <v>138</v>
      </c>
      <c r="BY628" s="15" t="s">
        <v>175</v>
      </c>
      <c r="BZ628" s="22">
        <v>43552</v>
      </c>
      <c r="CA628" s="17">
        <v>1.79</v>
      </c>
      <c r="CB628" s="15" t="s">
        <v>172</v>
      </c>
      <c r="CC628" s="17">
        <v>71.790000000000006</v>
      </c>
      <c r="CD628" s="15" t="s">
        <v>172</v>
      </c>
      <c r="CE628" s="15" t="s">
        <v>173</v>
      </c>
      <c r="CF628" s="15" t="s">
        <v>433</v>
      </c>
      <c r="CG628" s="15" t="s">
        <v>138</v>
      </c>
      <c r="CH628" s="15" t="s">
        <v>174</v>
      </c>
      <c r="CI628" s="15" t="s">
        <v>138</v>
      </c>
      <c r="CJ628" s="15" t="s">
        <v>138</v>
      </c>
      <c r="CK628" s="15" t="s">
        <v>138</v>
      </c>
      <c r="CL628" s="15" t="s">
        <v>175</v>
      </c>
      <c r="CM628" s="22" t="s">
        <v>138</v>
      </c>
      <c r="CN628" s="17" t="s">
        <v>138</v>
      </c>
      <c r="CO628" s="23">
        <v>-1.32</v>
      </c>
      <c r="CP628" s="24">
        <v>9</v>
      </c>
      <c r="CQ628" s="23">
        <v>0</v>
      </c>
      <c r="CR628" s="23">
        <v>-0.27</v>
      </c>
      <c r="CS628" s="23">
        <v>-2.61</v>
      </c>
      <c r="CT628" s="24">
        <v>6</v>
      </c>
      <c r="CU628" s="23">
        <v>-0.04</v>
      </c>
      <c r="CV628" s="24">
        <v>12</v>
      </c>
      <c r="CW628" s="23">
        <v>0</v>
      </c>
      <c r="CX628" s="24">
        <v>13</v>
      </c>
      <c r="CY628" s="23">
        <v>-5.22</v>
      </c>
      <c r="CZ628" s="24">
        <v>3</v>
      </c>
      <c r="DA628" s="23">
        <v>-0.12</v>
      </c>
      <c r="DB628" s="24">
        <v>5</v>
      </c>
      <c r="DC628" s="25">
        <v>10.91</v>
      </c>
      <c r="DD628" s="24">
        <v>91</v>
      </c>
      <c r="DE628" s="25">
        <v>-0.1</v>
      </c>
      <c r="DF628" s="23">
        <v>-0.89</v>
      </c>
      <c r="DG628" s="25">
        <v>12.69</v>
      </c>
      <c r="DH628" s="24">
        <v>92</v>
      </c>
      <c r="DI628" s="25">
        <v>9.14</v>
      </c>
      <c r="DJ628" s="24">
        <v>84</v>
      </c>
      <c r="DK628" s="25">
        <v>2.9</v>
      </c>
      <c r="DL628" s="24">
        <v>71</v>
      </c>
      <c r="DM628" s="25">
        <v>22.48</v>
      </c>
      <c r="DN628" s="24">
        <v>95</v>
      </c>
      <c r="DO628" s="25">
        <v>17.93</v>
      </c>
      <c r="DP628" s="24">
        <v>92</v>
      </c>
      <c r="DQ628" s="24">
        <v>945</v>
      </c>
      <c r="DR628" s="26">
        <v>149</v>
      </c>
      <c r="DS628" s="23">
        <v>18.72</v>
      </c>
      <c r="DT628" s="24">
        <v>653</v>
      </c>
      <c r="DU628" s="26">
        <v>-2</v>
      </c>
      <c r="DV628" s="23">
        <v>-0.31</v>
      </c>
      <c r="DW628" s="24">
        <v>6423</v>
      </c>
      <c r="DX628" s="27">
        <v>-4</v>
      </c>
      <c r="DY628" s="23">
        <v>-0.06</v>
      </c>
      <c r="DZ628" s="15" t="s">
        <v>178</v>
      </c>
      <c r="EA628" s="22">
        <v>43557</v>
      </c>
      <c r="EB628" s="17">
        <v>71.790000000000006</v>
      </c>
      <c r="EC628" s="22">
        <v>43552</v>
      </c>
      <c r="ED628" s="15" t="s">
        <v>173</v>
      </c>
      <c r="EE628" s="14" t="str">
        <f>HYPERLINK("https://my.pitchbook.com?c=12875-23", "View company online")</f>
        <v>View company online</v>
      </c>
    </row>
    <row r="629" spans="1:135">
      <c r="A629" s="28" t="s">
        <v>12668</v>
      </c>
      <c r="B629" s="28" t="s">
        <v>12669</v>
      </c>
      <c r="C629" s="28" t="s">
        <v>138</v>
      </c>
      <c r="D629" s="28" t="s">
        <v>12670</v>
      </c>
      <c r="E629" s="28" t="s">
        <v>138</v>
      </c>
      <c r="F629" s="28" t="s">
        <v>12668</v>
      </c>
      <c r="G629" s="28" t="s">
        <v>12671</v>
      </c>
      <c r="H629" s="28" t="s">
        <v>322</v>
      </c>
      <c r="I629" s="28" t="s">
        <v>1503</v>
      </c>
      <c r="J629" s="28" t="s">
        <v>11677</v>
      </c>
      <c r="K629" s="28" t="s">
        <v>12672</v>
      </c>
      <c r="L629" s="28" t="s">
        <v>359</v>
      </c>
      <c r="M629" s="28" t="s">
        <v>12673</v>
      </c>
      <c r="N629" s="28" t="s">
        <v>147</v>
      </c>
      <c r="O629" s="29" t="s">
        <v>138</v>
      </c>
      <c r="P629" s="28" t="s">
        <v>138</v>
      </c>
      <c r="Q629" s="28" t="s">
        <v>149</v>
      </c>
      <c r="R629" s="28" t="s">
        <v>174</v>
      </c>
      <c r="S629" s="28" t="s">
        <v>12674</v>
      </c>
      <c r="T629" s="30" t="s">
        <v>138</v>
      </c>
      <c r="U629" s="28" t="s">
        <v>138</v>
      </c>
      <c r="V629" s="28" t="s">
        <v>138</v>
      </c>
      <c r="W629" s="28" t="s">
        <v>138</v>
      </c>
      <c r="X629" s="31">
        <v>2001</v>
      </c>
      <c r="Y629" s="28" t="s">
        <v>138</v>
      </c>
      <c r="Z629" s="28" t="s">
        <v>138</v>
      </c>
      <c r="AA629" s="28" t="s">
        <v>138</v>
      </c>
      <c r="AB629" s="32" t="s">
        <v>138</v>
      </c>
      <c r="AC629" s="32" t="s">
        <v>138</v>
      </c>
      <c r="AD629" s="32" t="s">
        <v>138</v>
      </c>
      <c r="AE629" s="32" t="s">
        <v>138</v>
      </c>
      <c r="AF629" s="32" t="s">
        <v>138</v>
      </c>
      <c r="AG629" s="28" t="s">
        <v>138</v>
      </c>
      <c r="AH629" s="32" t="s">
        <v>138</v>
      </c>
      <c r="AI629" s="32" t="s">
        <v>138</v>
      </c>
      <c r="AJ629" s="32" t="s">
        <v>138</v>
      </c>
      <c r="AK629" s="28" t="s">
        <v>138</v>
      </c>
      <c r="AL629" s="28" t="s">
        <v>138</v>
      </c>
      <c r="AM629" s="28" t="s">
        <v>138</v>
      </c>
      <c r="AN629" s="28" t="s">
        <v>138</v>
      </c>
      <c r="AO629" s="28" t="s">
        <v>138</v>
      </c>
      <c r="AP629" s="28" t="s">
        <v>12675</v>
      </c>
      <c r="AQ629" s="28" t="s">
        <v>12676</v>
      </c>
      <c r="AR629" s="28" t="s">
        <v>12677</v>
      </c>
      <c r="AS629" s="28" t="s">
        <v>12678</v>
      </c>
      <c r="AT629" s="28" t="s">
        <v>138</v>
      </c>
      <c r="AU629" s="28" t="s">
        <v>12679</v>
      </c>
      <c r="AV629" s="28" t="s">
        <v>2071</v>
      </c>
      <c r="AW629" s="28" t="s">
        <v>12680</v>
      </c>
      <c r="AX629" s="28" t="s">
        <v>12681</v>
      </c>
      <c r="AY629" s="28" t="s">
        <v>138</v>
      </c>
      <c r="AZ629" s="28" t="s">
        <v>452</v>
      </c>
      <c r="BA629" s="28" t="s">
        <v>453</v>
      </c>
      <c r="BB629" s="28" t="s">
        <v>12682</v>
      </c>
      <c r="BC629" s="28" t="s">
        <v>2075</v>
      </c>
      <c r="BD629" s="33">
        <v>1</v>
      </c>
      <c r="BE629" s="28" t="s">
        <v>138</v>
      </c>
      <c r="BF629" s="28" t="s">
        <v>138</v>
      </c>
      <c r="BG629" s="28" t="s">
        <v>138</v>
      </c>
      <c r="BH629" s="28" t="s">
        <v>2077</v>
      </c>
      <c r="BI629" s="28" t="s">
        <v>138</v>
      </c>
      <c r="BJ629" s="28" t="s">
        <v>138</v>
      </c>
      <c r="BK629" s="28" t="s">
        <v>138</v>
      </c>
      <c r="BL629" s="28" t="s">
        <v>138</v>
      </c>
      <c r="BM629" s="34" t="s">
        <v>138</v>
      </c>
      <c r="BN629" s="29" t="s">
        <v>138</v>
      </c>
      <c r="BO629" s="28" t="s">
        <v>138</v>
      </c>
      <c r="BP629" s="29" t="s">
        <v>138</v>
      </c>
      <c r="BQ629" s="28" t="s">
        <v>138</v>
      </c>
      <c r="BR629" s="28" t="s">
        <v>205</v>
      </c>
      <c r="BS629" s="28" t="s">
        <v>138</v>
      </c>
      <c r="BT629" s="28" t="s">
        <v>138</v>
      </c>
      <c r="BU629" s="28" t="s">
        <v>174</v>
      </c>
      <c r="BV629" s="28" t="s">
        <v>138</v>
      </c>
      <c r="BW629" s="28" t="s">
        <v>138</v>
      </c>
      <c r="BX629" s="28" t="s">
        <v>138</v>
      </c>
      <c r="BY629" s="28" t="s">
        <v>175</v>
      </c>
      <c r="BZ629" s="34" t="s">
        <v>138</v>
      </c>
      <c r="CA629" s="29" t="s">
        <v>138</v>
      </c>
      <c r="CB629" s="28" t="s">
        <v>138</v>
      </c>
      <c r="CC629" s="29" t="s">
        <v>138</v>
      </c>
      <c r="CD629" s="28" t="s">
        <v>138</v>
      </c>
      <c r="CE629" s="28" t="s">
        <v>205</v>
      </c>
      <c r="CF629" s="28" t="s">
        <v>138</v>
      </c>
      <c r="CG629" s="28" t="s">
        <v>138</v>
      </c>
      <c r="CH629" s="28" t="s">
        <v>174</v>
      </c>
      <c r="CI629" s="28" t="s">
        <v>138</v>
      </c>
      <c r="CJ629" s="28" t="s">
        <v>138</v>
      </c>
      <c r="CK629" s="28" t="s">
        <v>138</v>
      </c>
      <c r="CL629" s="28" t="s">
        <v>175</v>
      </c>
      <c r="CM629" s="34" t="s">
        <v>138</v>
      </c>
      <c r="CN629" s="29" t="s">
        <v>138</v>
      </c>
      <c r="CO629" s="35">
        <v>0</v>
      </c>
      <c r="CP629" s="36">
        <v>26</v>
      </c>
      <c r="CQ629" s="35">
        <v>0</v>
      </c>
      <c r="CR629" s="35">
        <v>0</v>
      </c>
      <c r="CS629" s="35">
        <v>0</v>
      </c>
      <c r="CT629" s="36">
        <v>23</v>
      </c>
      <c r="CU629" s="35" t="s">
        <v>138</v>
      </c>
      <c r="CV629" s="36" t="s">
        <v>138</v>
      </c>
      <c r="CW629" s="35" t="s">
        <v>138</v>
      </c>
      <c r="CX629" s="36" t="s">
        <v>138</v>
      </c>
      <c r="CY629" s="35">
        <v>0</v>
      </c>
      <c r="CZ629" s="36">
        <v>25</v>
      </c>
      <c r="DA629" s="35" t="s">
        <v>138</v>
      </c>
      <c r="DB629" s="36" t="s">
        <v>138</v>
      </c>
      <c r="DC629" s="37">
        <v>0.21</v>
      </c>
      <c r="DD629" s="36">
        <v>15</v>
      </c>
      <c r="DE629" s="37">
        <v>0</v>
      </c>
      <c r="DF629" s="35">
        <v>0</v>
      </c>
      <c r="DG629" s="37">
        <v>0.21</v>
      </c>
      <c r="DH629" s="36">
        <v>16</v>
      </c>
      <c r="DI629" s="37" t="s">
        <v>138</v>
      </c>
      <c r="DJ629" s="36" t="s">
        <v>138</v>
      </c>
      <c r="DK629" s="37" t="s">
        <v>138</v>
      </c>
      <c r="DL629" s="36" t="s">
        <v>138</v>
      </c>
      <c r="DM629" s="37">
        <v>0.21</v>
      </c>
      <c r="DN629" s="36">
        <v>16</v>
      </c>
      <c r="DO629" s="37" t="s">
        <v>138</v>
      </c>
      <c r="DP629" s="36" t="s">
        <v>138</v>
      </c>
      <c r="DQ629" s="36" t="s">
        <v>138</v>
      </c>
      <c r="DR629" s="38" t="s">
        <v>138</v>
      </c>
      <c r="DS629" s="35" t="s">
        <v>138</v>
      </c>
      <c r="DT629" s="36">
        <v>6</v>
      </c>
      <c r="DU629" s="38">
        <v>0</v>
      </c>
      <c r="DV629" s="35">
        <v>0</v>
      </c>
      <c r="DW629" s="36" t="s">
        <v>138</v>
      </c>
      <c r="DX629" s="39" t="s">
        <v>138</v>
      </c>
      <c r="DY629" s="35" t="s">
        <v>138</v>
      </c>
      <c r="DZ629" s="28" t="s">
        <v>178</v>
      </c>
      <c r="EA629" s="34">
        <v>43351</v>
      </c>
      <c r="EB629" s="29" t="s">
        <v>138</v>
      </c>
      <c r="EC629" s="34" t="s">
        <v>138</v>
      </c>
      <c r="ED629" s="28" t="s">
        <v>138</v>
      </c>
      <c r="EE629" s="40" t="str">
        <f>HYPERLINK("https://my.pitchbook.com?c=54822-34", "View company online")</f>
        <v>View company online</v>
      </c>
    </row>
    <row r="630" spans="1:135">
      <c r="A630" s="15" t="s">
        <v>12683</v>
      </c>
      <c r="B630" s="15" t="s">
        <v>12684</v>
      </c>
      <c r="C630" s="15" t="s">
        <v>138</v>
      </c>
      <c r="D630" s="15" t="s">
        <v>12685</v>
      </c>
      <c r="E630" s="15" t="s">
        <v>12686</v>
      </c>
      <c r="F630" s="15" t="s">
        <v>12683</v>
      </c>
      <c r="G630" s="15" t="s">
        <v>12687</v>
      </c>
      <c r="H630" s="15" t="s">
        <v>141</v>
      </c>
      <c r="I630" s="15" t="s">
        <v>212</v>
      </c>
      <c r="J630" s="15" t="s">
        <v>213</v>
      </c>
      <c r="K630" s="15" t="s">
        <v>1064</v>
      </c>
      <c r="L630" s="15" t="s">
        <v>12688</v>
      </c>
      <c r="M630" s="15" t="s">
        <v>12689</v>
      </c>
      <c r="N630" s="15" t="s">
        <v>542</v>
      </c>
      <c r="O630" s="17">
        <v>0.12</v>
      </c>
      <c r="P630" s="15" t="s">
        <v>148</v>
      </c>
      <c r="Q630" s="15" t="s">
        <v>149</v>
      </c>
      <c r="R630" s="15" t="s">
        <v>150</v>
      </c>
      <c r="S630" s="15" t="s">
        <v>12690</v>
      </c>
      <c r="T630" s="18">
        <v>4</v>
      </c>
      <c r="U630" s="15" t="s">
        <v>4046</v>
      </c>
      <c r="V630" s="15" t="s">
        <v>138</v>
      </c>
      <c r="W630" s="15" t="s">
        <v>138</v>
      </c>
      <c r="X630" s="19">
        <v>2013</v>
      </c>
      <c r="Y630" s="15" t="s">
        <v>138</v>
      </c>
      <c r="Z630" s="15" t="s">
        <v>138</v>
      </c>
      <c r="AA630" s="15" t="s">
        <v>138</v>
      </c>
      <c r="AB630" s="20" t="s">
        <v>138</v>
      </c>
      <c r="AC630" s="20" t="s">
        <v>138</v>
      </c>
      <c r="AD630" s="20" t="s">
        <v>138</v>
      </c>
      <c r="AE630" s="20" t="s">
        <v>138</v>
      </c>
      <c r="AF630" s="20" t="s">
        <v>138</v>
      </c>
      <c r="AG630" s="15" t="s">
        <v>138</v>
      </c>
      <c r="AH630" s="20" t="s">
        <v>138</v>
      </c>
      <c r="AI630" s="20" t="s">
        <v>138</v>
      </c>
      <c r="AJ630" s="20" t="s">
        <v>138</v>
      </c>
      <c r="AK630" s="15" t="s">
        <v>12691</v>
      </c>
      <c r="AL630" s="15" t="s">
        <v>12692</v>
      </c>
      <c r="AM630" s="15" t="s">
        <v>304</v>
      </c>
      <c r="AN630" s="15" t="s">
        <v>12693</v>
      </c>
      <c r="AO630" s="15" t="s">
        <v>12694</v>
      </c>
      <c r="AP630" s="15" t="s">
        <v>4898</v>
      </c>
      <c r="AQ630" s="15" t="s">
        <v>12695</v>
      </c>
      <c r="AR630" s="15" t="s">
        <v>138</v>
      </c>
      <c r="AS630" s="15" t="s">
        <v>4900</v>
      </c>
      <c r="AT630" s="15" t="s">
        <v>200</v>
      </c>
      <c r="AU630" s="15" t="s">
        <v>10934</v>
      </c>
      <c r="AV630" s="15" t="s">
        <v>162</v>
      </c>
      <c r="AW630" s="15" t="s">
        <v>12694</v>
      </c>
      <c r="AX630" s="15" t="s">
        <v>138</v>
      </c>
      <c r="AY630" s="15" t="s">
        <v>12696</v>
      </c>
      <c r="AZ630" s="15" t="s">
        <v>164</v>
      </c>
      <c r="BA630" s="15" t="s">
        <v>165</v>
      </c>
      <c r="BB630" s="15" t="s">
        <v>12697</v>
      </c>
      <c r="BC630" s="15" t="s">
        <v>12698</v>
      </c>
      <c r="BD630" s="21">
        <v>5</v>
      </c>
      <c r="BE630" s="15" t="s">
        <v>138</v>
      </c>
      <c r="BF630" s="15" t="s">
        <v>138</v>
      </c>
      <c r="BG630" s="15" t="s">
        <v>138</v>
      </c>
      <c r="BH630" s="15" t="s">
        <v>12699</v>
      </c>
      <c r="BI630" s="15" t="s">
        <v>138</v>
      </c>
      <c r="BJ630" s="15" t="s">
        <v>138</v>
      </c>
      <c r="BK630" s="15" t="s">
        <v>138</v>
      </c>
      <c r="BL630" s="15" t="s">
        <v>138</v>
      </c>
      <c r="BM630" s="22" t="s">
        <v>138</v>
      </c>
      <c r="BN630" s="17" t="s">
        <v>138</v>
      </c>
      <c r="BO630" s="15" t="s">
        <v>138</v>
      </c>
      <c r="BP630" s="17" t="s">
        <v>138</v>
      </c>
      <c r="BQ630" s="15" t="s">
        <v>138</v>
      </c>
      <c r="BR630" s="15" t="s">
        <v>780</v>
      </c>
      <c r="BS630" s="15" t="s">
        <v>780</v>
      </c>
      <c r="BT630" s="15" t="s">
        <v>138</v>
      </c>
      <c r="BU630" s="15" t="s">
        <v>780</v>
      </c>
      <c r="BV630" s="15" t="s">
        <v>138</v>
      </c>
      <c r="BW630" s="15" t="s">
        <v>138</v>
      </c>
      <c r="BX630" s="15" t="s">
        <v>138</v>
      </c>
      <c r="BY630" s="15" t="s">
        <v>175</v>
      </c>
      <c r="BZ630" s="22">
        <v>42439</v>
      </c>
      <c r="CA630" s="17">
        <v>0.12</v>
      </c>
      <c r="CB630" s="15" t="s">
        <v>172</v>
      </c>
      <c r="CC630" s="17">
        <v>2</v>
      </c>
      <c r="CD630" s="15" t="s">
        <v>172</v>
      </c>
      <c r="CE630" s="15" t="s">
        <v>316</v>
      </c>
      <c r="CF630" s="15" t="s">
        <v>138</v>
      </c>
      <c r="CG630" s="15" t="s">
        <v>138</v>
      </c>
      <c r="CH630" s="15" t="s">
        <v>177</v>
      </c>
      <c r="CI630" s="15" t="s">
        <v>138</v>
      </c>
      <c r="CJ630" s="15" t="s">
        <v>138</v>
      </c>
      <c r="CK630" s="15" t="s">
        <v>138</v>
      </c>
      <c r="CL630" s="15" t="s">
        <v>175</v>
      </c>
      <c r="CM630" s="22" t="s">
        <v>138</v>
      </c>
      <c r="CN630" s="17" t="s">
        <v>138</v>
      </c>
      <c r="CO630" s="23">
        <v>0</v>
      </c>
      <c r="CP630" s="24">
        <v>26</v>
      </c>
      <c r="CQ630" s="23">
        <v>0</v>
      </c>
      <c r="CR630" s="23">
        <v>0</v>
      </c>
      <c r="CS630" s="23">
        <v>0</v>
      </c>
      <c r="CT630" s="24">
        <v>23</v>
      </c>
      <c r="CU630" s="23">
        <v>0</v>
      </c>
      <c r="CV630" s="24">
        <v>22</v>
      </c>
      <c r="CW630" s="23" t="s">
        <v>138</v>
      </c>
      <c r="CX630" s="24" t="s">
        <v>138</v>
      </c>
      <c r="CY630" s="23">
        <v>0</v>
      </c>
      <c r="CZ630" s="24">
        <v>25</v>
      </c>
      <c r="DA630" s="23">
        <v>0</v>
      </c>
      <c r="DB630" s="24">
        <v>22</v>
      </c>
      <c r="DC630" s="25">
        <v>0.06</v>
      </c>
      <c r="DD630" s="24">
        <v>4</v>
      </c>
      <c r="DE630" s="25">
        <v>0</v>
      </c>
      <c r="DF630" s="23">
        <v>0.05</v>
      </c>
      <c r="DG630" s="25">
        <v>0.1</v>
      </c>
      <c r="DH630" s="24">
        <v>7</v>
      </c>
      <c r="DI630" s="25">
        <v>0.01</v>
      </c>
      <c r="DJ630" s="24">
        <v>1</v>
      </c>
      <c r="DK630" s="25" t="s">
        <v>138</v>
      </c>
      <c r="DL630" s="24" t="s">
        <v>138</v>
      </c>
      <c r="DM630" s="25">
        <v>0.1</v>
      </c>
      <c r="DN630" s="24">
        <v>8</v>
      </c>
      <c r="DO630" s="25">
        <v>0.01</v>
      </c>
      <c r="DP630" s="24">
        <v>1</v>
      </c>
      <c r="DQ630" s="24" t="s">
        <v>138</v>
      </c>
      <c r="DR630" s="26" t="s">
        <v>138</v>
      </c>
      <c r="DS630" s="23" t="s">
        <v>138</v>
      </c>
      <c r="DT630" s="24">
        <v>3</v>
      </c>
      <c r="DU630" s="26">
        <v>0</v>
      </c>
      <c r="DV630" s="23">
        <v>0</v>
      </c>
      <c r="DW630" s="24">
        <v>4</v>
      </c>
      <c r="DX630" s="27">
        <v>0</v>
      </c>
      <c r="DY630" s="23">
        <v>0</v>
      </c>
      <c r="DZ630" s="15" t="s">
        <v>178</v>
      </c>
      <c r="EA630" s="22">
        <v>43351</v>
      </c>
      <c r="EB630" s="17">
        <v>2</v>
      </c>
      <c r="EC630" s="22">
        <v>42439</v>
      </c>
      <c r="ED630" s="15" t="s">
        <v>316</v>
      </c>
      <c r="EE630" s="14" t="str">
        <f>HYPERLINK("https://my.pitchbook.com?c=155313-46", "View company online")</f>
        <v>View company online</v>
      </c>
    </row>
    <row r="631" spans="1:135">
      <c r="A631" s="28" t="s">
        <v>12700</v>
      </c>
      <c r="B631" s="28" t="s">
        <v>12701</v>
      </c>
      <c r="C631" s="28" t="s">
        <v>138</v>
      </c>
      <c r="D631" s="28" t="s">
        <v>138</v>
      </c>
      <c r="E631" s="28" t="s">
        <v>138</v>
      </c>
      <c r="F631" s="28" t="s">
        <v>12700</v>
      </c>
      <c r="G631" s="28" t="s">
        <v>12702</v>
      </c>
      <c r="H631" s="28" t="s">
        <v>238</v>
      </c>
      <c r="I631" s="28" t="s">
        <v>12703</v>
      </c>
      <c r="J631" s="28" t="s">
        <v>12703</v>
      </c>
      <c r="K631" s="28" t="s">
        <v>12704</v>
      </c>
      <c r="L631" s="28" t="s">
        <v>2707</v>
      </c>
      <c r="M631" s="28" t="s">
        <v>12705</v>
      </c>
      <c r="N631" s="28" t="s">
        <v>147</v>
      </c>
      <c r="O631" s="29">
        <v>32.6</v>
      </c>
      <c r="P631" s="28" t="s">
        <v>148</v>
      </c>
      <c r="Q631" s="28" t="s">
        <v>149</v>
      </c>
      <c r="R631" s="28" t="s">
        <v>174</v>
      </c>
      <c r="S631" s="28" t="s">
        <v>12706</v>
      </c>
      <c r="T631" s="30">
        <v>15</v>
      </c>
      <c r="U631" s="28" t="s">
        <v>12707</v>
      </c>
      <c r="V631" s="28" t="s">
        <v>138</v>
      </c>
      <c r="W631" s="28" t="s">
        <v>138</v>
      </c>
      <c r="X631" s="31">
        <v>2012</v>
      </c>
      <c r="Y631" s="28" t="s">
        <v>138</v>
      </c>
      <c r="Z631" s="28" t="s">
        <v>138</v>
      </c>
      <c r="AA631" s="28" t="s">
        <v>138</v>
      </c>
      <c r="AB631" s="32" t="s">
        <v>138</v>
      </c>
      <c r="AC631" s="32" t="s">
        <v>138</v>
      </c>
      <c r="AD631" s="32" t="s">
        <v>138</v>
      </c>
      <c r="AE631" s="32" t="s">
        <v>138</v>
      </c>
      <c r="AF631" s="32" t="s">
        <v>138</v>
      </c>
      <c r="AG631" s="28" t="s">
        <v>138</v>
      </c>
      <c r="AH631" s="32" t="s">
        <v>138</v>
      </c>
      <c r="AI631" s="32" t="s">
        <v>138</v>
      </c>
      <c r="AJ631" s="32" t="s">
        <v>138</v>
      </c>
      <c r="AK631" s="28" t="s">
        <v>12708</v>
      </c>
      <c r="AL631" s="28" t="s">
        <v>12709</v>
      </c>
      <c r="AM631" s="28" t="s">
        <v>938</v>
      </c>
      <c r="AN631" s="28" t="s">
        <v>12710</v>
      </c>
      <c r="AO631" s="28" t="s">
        <v>138</v>
      </c>
      <c r="AP631" s="28" t="s">
        <v>665</v>
      </c>
      <c r="AQ631" s="28" t="s">
        <v>12711</v>
      </c>
      <c r="AR631" s="28" t="s">
        <v>6317</v>
      </c>
      <c r="AS631" s="28" t="s">
        <v>668</v>
      </c>
      <c r="AT631" s="28" t="s">
        <v>200</v>
      </c>
      <c r="AU631" s="28" t="s">
        <v>1723</v>
      </c>
      <c r="AV631" s="28" t="s">
        <v>162</v>
      </c>
      <c r="AW631" s="28" t="s">
        <v>138</v>
      </c>
      <c r="AX631" s="28" t="s">
        <v>138</v>
      </c>
      <c r="AY631" s="28" t="s">
        <v>138</v>
      </c>
      <c r="AZ631" s="28" t="s">
        <v>164</v>
      </c>
      <c r="BA631" s="28" t="s">
        <v>165</v>
      </c>
      <c r="BB631" s="28" t="s">
        <v>12712</v>
      </c>
      <c r="BC631" s="28" t="s">
        <v>12713</v>
      </c>
      <c r="BD631" s="33">
        <v>19</v>
      </c>
      <c r="BE631" s="28" t="s">
        <v>138</v>
      </c>
      <c r="BF631" s="28" t="s">
        <v>138</v>
      </c>
      <c r="BG631" s="28" t="s">
        <v>138</v>
      </c>
      <c r="BH631" s="28" t="s">
        <v>12714</v>
      </c>
      <c r="BI631" s="28" t="s">
        <v>138</v>
      </c>
      <c r="BJ631" s="28" t="s">
        <v>138</v>
      </c>
      <c r="BK631" s="28" t="s">
        <v>12715</v>
      </c>
      <c r="BL631" s="28" t="s">
        <v>12716</v>
      </c>
      <c r="BM631" s="34">
        <v>41211</v>
      </c>
      <c r="BN631" s="29" t="s">
        <v>138</v>
      </c>
      <c r="BO631" s="28" t="s">
        <v>138</v>
      </c>
      <c r="BP631" s="29" t="s">
        <v>138</v>
      </c>
      <c r="BQ631" s="28" t="s">
        <v>138</v>
      </c>
      <c r="BR631" s="28" t="s">
        <v>316</v>
      </c>
      <c r="BS631" s="28" t="s">
        <v>138</v>
      </c>
      <c r="BT631" s="28" t="s">
        <v>138</v>
      </c>
      <c r="BU631" s="28" t="s">
        <v>174</v>
      </c>
      <c r="BV631" s="28" t="s">
        <v>138</v>
      </c>
      <c r="BW631" s="28" t="s">
        <v>138</v>
      </c>
      <c r="BX631" s="28" t="s">
        <v>138</v>
      </c>
      <c r="BY631" s="28" t="s">
        <v>175</v>
      </c>
      <c r="BZ631" s="34">
        <v>43307</v>
      </c>
      <c r="CA631" s="29">
        <v>15</v>
      </c>
      <c r="CB631" s="28" t="s">
        <v>172</v>
      </c>
      <c r="CC631" s="29">
        <v>85</v>
      </c>
      <c r="CD631" s="28" t="s">
        <v>172</v>
      </c>
      <c r="CE631" s="28" t="s">
        <v>173</v>
      </c>
      <c r="CF631" s="28" t="s">
        <v>720</v>
      </c>
      <c r="CG631" s="28" t="s">
        <v>138</v>
      </c>
      <c r="CH631" s="28" t="s">
        <v>174</v>
      </c>
      <c r="CI631" s="28" t="s">
        <v>138</v>
      </c>
      <c r="CJ631" s="28" t="s">
        <v>138</v>
      </c>
      <c r="CK631" s="28" t="s">
        <v>138</v>
      </c>
      <c r="CL631" s="28" t="s">
        <v>175</v>
      </c>
      <c r="CM631" s="34" t="s">
        <v>138</v>
      </c>
      <c r="CN631" s="29" t="s">
        <v>138</v>
      </c>
      <c r="CO631" s="35">
        <v>0.35</v>
      </c>
      <c r="CP631" s="36">
        <v>94</v>
      </c>
      <c r="CQ631" s="35">
        <v>-0.09</v>
      </c>
      <c r="CR631" s="35">
        <v>-20.29</v>
      </c>
      <c r="CS631" s="35">
        <v>0.33</v>
      </c>
      <c r="CT631" s="36">
        <v>95</v>
      </c>
      <c r="CU631" s="35">
        <v>0.17</v>
      </c>
      <c r="CV631" s="36">
        <v>77</v>
      </c>
      <c r="CW631" s="35">
        <v>0.78</v>
      </c>
      <c r="CX631" s="36">
        <v>84</v>
      </c>
      <c r="CY631" s="35">
        <v>-0.13</v>
      </c>
      <c r="CZ631" s="36">
        <v>24</v>
      </c>
      <c r="DA631" s="35">
        <v>0.16</v>
      </c>
      <c r="DB631" s="36">
        <v>79</v>
      </c>
      <c r="DC631" s="37">
        <v>100.16</v>
      </c>
      <c r="DD631" s="36">
        <v>99</v>
      </c>
      <c r="DE631" s="37">
        <v>-3.55</v>
      </c>
      <c r="DF631" s="35">
        <v>-3.42</v>
      </c>
      <c r="DG631" s="37">
        <v>158.71</v>
      </c>
      <c r="DH631" s="36">
        <v>100</v>
      </c>
      <c r="DI631" s="37">
        <v>7.13</v>
      </c>
      <c r="DJ631" s="36">
        <v>82</v>
      </c>
      <c r="DK631" s="37">
        <v>269.7</v>
      </c>
      <c r="DL631" s="36">
        <v>99</v>
      </c>
      <c r="DM631" s="37">
        <v>47.72</v>
      </c>
      <c r="DN631" s="36">
        <v>98</v>
      </c>
      <c r="DO631" s="37">
        <v>8.44</v>
      </c>
      <c r="DP631" s="36">
        <v>86</v>
      </c>
      <c r="DQ631" s="36">
        <v>92305</v>
      </c>
      <c r="DR631" s="38">
        <v>606</v>
      </c>
      <c r="DS631" s="35">
        <v>0.66</v>
      </c>
      <c r="DT631" s="36">
        <v>1382</v>
      </c>
      <c r="DU631" s="38">
        <v>5</v>
      </c>
      <c r="DV631" s="35">
        <v>0.36</v>
      </c>
      <c r="DW631" s="36">
        <v>3022</v>
      </c>
      <c r="DX631" s="39">
        <v>0</v>
      </c>
      <c r="DY631" s="35">
        <v>0</v>
      </c>
      <c r="DZ631" s="28" t="s">
        <v>178</v>
      </c>
      <c r="EA631" s="34">
        <v>43496</v>
      </c>
      <c r="EB631" s="29">
        <v>85</v>
      </c>
      <c r="EC631" s="34">
        <v>43307</v>
      </c>
      <c r="ED631" s="28" t="s">
        <v>173</v>
      </c>
      <c r="EE631" s="40" t="str">
        <f>HYPERLINK("https://my.pitchbook.com?c=97627-33", "View company online")</f>
        <v>View company online</v>
      </c>
    </row>
    <row r="632" spans="1:135">
      <c r="A632" s="15" t="s">
        <v>12717</v>
      </c>
      <c r="B632" s="15" t="s">
        <v>12718</v>
      </c>
      <c r="C632" s="15" t="s">
        <v>138</v>
      </c>
      <c r="D632" s="15" t="s">
        <v>12719</v>
      </c>
      <c r="E632" s="15" t="s">
        <v>138</v>
      </c>
      <c r="F632" s="15" t="s">
        <v>12717</v>
      </c>
      <c r="G632" s="15" t="s">
        <v>12720</v>
      </c>
      <c r="H632" s="15" t="s">
        <v>238</v>
      </c>
      <c r="I632" s="15" t="s">
        <v>2662</v>
      </c>
      <c r="J632" s="15" t="s">
        <v>2663</v>
      </c>
      <c r="K632" s="15" t="s">
        <v>12721</v>
      </c>
      <c r="L632" s="15" t="s">
        <v>272</v>
      </c>
      <c r="M632" s="15" t="s">
        <v>12722</v>
      </c>
      <c r="N632" s="15" t="s">
        <v>1452</v>
      </c>
      <c r="O632" s="17">
        <v>2.9</v>
      </c>
      <c r="P632" s="15" t="s">
        <v>148</v>
      </c>
      <c r="Q632" s="15" t="s">
        <v>149</v>
      </c>
      <c r="R632" s="15" t="s">
        <v>1652</v>
      </c>
      <c r="S632" s="15" t="s">
        <v>12723</v>
      </c>
      <c r="T632" s="18">
        <v>24</v>
      </c>
      <c r="U632" s="15" t="s">
        <v>12724</v>
      </c>
      <c r="V632" s="15" t="s">
        <v>138</v>
      </c>
      <c r="W632" s="15" t="s">
        <v>138</v>
      </c>
      <c r="X632" s="19">
        <v>2008</v>
      </c>
      <c r="Y632" s="15" t="s">
        <v>138</v>
      </c>
      <c r="Z632" s="15" t="s">
        <v>138</v>
      </c>
      <c r="AA632" s="15" t="s">
        <v>138</v>
      </c>
      <c r="AB632" s="20" t="s">
        <v>138</v>
      </c>
      <c r="AC632" s="20" t="s">
        <v>138</v>
      </c>
      <c r="AD632" s="20" t="s">
        <v>138</v>
      </c>
      <c r="AE632" s="20" t="s">
        <v>138</v>
      </c>
      <c r="AF632" s="20" t="s">
        <v>138</v>
      </c>
      <c r="AG632" s="15" t="s">
        <v>138</v>
      </c>
      <c r="AH632" s="20" t="s">
        <v>138</v>
      </c>
      <c r="AI632" s="20" t="s">
        <v>138</v>
      </c>
      <c r="AJ632" s="20" t="s">
        <v>138</v>
      </c>
      <c r="AK632" s="15" t="s">
        <v>12725</v>
      </c>
      <c r="AL632" s="15" t="s">
        <v>12726</v>
      </c>
      <c r="AM632" s="15" t="s">
        <v>12727</v>
      </c>
      <c r="AN632" s="15" t="s">
        <v>12728</v>
      </c>
      <c r="AO632" s="15" t="s">
        <v>12729</v>
      </c>
      <c r="AP632" s="15" t="s">
        <v>7746</v>
      </c>
      <c r="AQ632" s="15" t="s">
        <v>12730</v>
      </c>
      <c r="AR632" s="15" t="s">
        <v>12731</v>
      </c>
      <c r="AS632" s="15" t="s">
        <v>7748</v>
      </c>
      <c r="AT632" s="15" t="s">
        <v>200</v>
      </c>
      <c r="AU632" s="15" t="s">
        <v>12732</v>
      </c>
      <c r="AV632" s="15" t="s">
        <v>162</v>
      </c>
      <c r="AW632" s="15" t="s">
        <v>12729</v>
      </c>
      <c r="AX632" s="15" t="s">
        <v>12733</v>
      </c>
      <c r="AY632" s="15" t="s">
        <v>12734</v>
      </c>
      <c r="AZ632" s="15" t="s">
        <v>164</v>
      </c>
      <c r="BA632" s="15" t="s">
        <v>165</v>
      </c>
      <c r="BB632" s="15" t="s">
        <v>12735</v>
      </c>
      <c r="BC632" s="15" t="s">
        <v>12736</v>
      </c>
      <c r="BD632" s="21">
        <v>2</v>
      </c>
      <c r="BE632" s="15" t="s">
        <v>138</v>
      </c>
      <c r="BF632" s="15" t="s">
        <v>138</v>
      </c>
      <c r="BG632" s="15" t="s">
        <v>138</v>
      </c>
      <c r="BH632" s="15" t="s">
        <v>12737</v>
      </c>
      <c r="BI632" s="15" t="s">
        <v>138</v>
      </c>
      <c r="BJ632" s="15" t="s">
        <v>138</v>
      </c>
      <c r="BK632" s="15" t="s">
        <v>138</v>
      </c>
      <c r="BL632" s="15" t="s">
        <v>12738</v>
      </c>
      <c r="BM632" s="22">
        <v>41365</v>
      </c>
      <c r="BN632" s="17" t="s">
        <v>138</v>
      </c>
      <c r="BO632" s="15" t="s">
        <v>138</v>
      </c>
      <c r="BP632" s="17" t="s">
        <v>138</v>
      </c>
      <c r="BQ632" s="15" t="s">
        <v>138</v>
      </c>
      <c r="BR632" s="15" t="s">
        <v>205</v>
      </c>
      <c r="BS632" s="15" t="s">
        <v>138</v>
      </c>
      <c r="BT632" s="15" t="s">
        <v>138</v>
      </c>
      <c r="BU632" s="15" t="s">
        <v>174</v>
      </c>
      <c r="BV632" s="15" t="s">
        <v>138</v>
      </c>
      <c r="BW632" s="15" t="s">
        <v>138</v>
      </c>
      <c r="BX632" s="15" t="s">
        <v>138</v>
      </c>
      <c r="BY632" s="15" t="s">
        <v>175</v>
      </c>
      <c r="BZ632" s="22">
        <v>42583</v>
      </c>
      <c r="CA632" s="17" t="s">
        <v>138</v>
      </c>
      <c r="CB632" s="15" t="s">
        <v>138</v>
      </c>
      <c r="CC632" s="17" t="s">
        <v>138</v>
      </c>
      <c r="CD632" s="15" t="s">
        <v>138</v>
      </c>
      <c r="CE632" s="15" t="s">
        <v>1328</v>
      </c>
      <c r="CF632" s="15" t="s">
        <v>138</v>
      </c>
      <c r="CG632" s="15" t="s">
        <v>138</v>
      </c>
      <c r="CH632" s="15" t="s">
        <v>1327</v>
      </c>
      <c r="CI632" s="15" t="s">
        <v>1328</v>
      </c>
      <c r="CJ632" s="15" t="s">
        <v>138</v>
      </c>
      <c r="CK632" s="15" t="s">
        <v>138</v>
      </c>
      <c r="CL632" s="15" t="s">
        <v>175</v>
      </c>
      <c r="CM632" s="22">
        <v>42583</v>
      </c>
      <c r="CN632" s="17" t="s">
        <v>138</v>
      </c>
      <c r="CO632" s="23">
        <v>-1.73</v>
      </c>
      <c r="CP632" s="24">
        <v>6</v>
      </c>
      <c r="CQ632" s="23">
        <v>0.01</v>
      </c>
      <c r="CR632" s="23">
        <v>0.47</v>
      </c>
      <c r="CS632" s="23">
        <v>-3.4</v>
      </c>
      <c r="CT632" s="24">
        <v>4</v>
      </c>
      <c r="CU632" s="23">
        <v>-0.06</v>
      </c>
      <c r="CV632" s="24">
        <v>8</v>
      </c>
      <c r="CW632" s="23">
        <v>-6.8</v>
      </c>
      <c r="CX632" s="24">
        <v>2</v>
      </c>
      <c r="CY632" s="23">
        <v>0</v>
      </c>
      <c r="CZ632" s="24">
        <v>25</v>
      </c>
      <c r="DA632" s="23">
        <v>-0.06</v>
      </c>
      <c r="DB632" s="24">
        <v>11</v>
      </c>
      <c r="DC632" s="25">
        <v>13.36</v>
      </c>
      <c r="DD632" s="24">
        <v>92</v>
      </c>
      <c r="DE632" s="25">
        <v>-0.8</v>
      </c>
      <c r="DF632" s="23">
        <v>-5.67</v>
      </c>
      <c r="DG632" s="25">
        <v>14.03</v>
      </c>
      <c r="DH632" s="24">
        <v>92</v>
      </c>
      <c r="DI632" s="25">
        <v>12.7</v>
      </c>
      <c r="DJ632" s="24">
        <v>87</v>
      </c>
      <c r="DK632" s="25">
        <v>26.16</v>
      </c>
      <c r="DL632" s="24">
        <v>93</v>
      </c>
      <c r="DM632" s="25">
        <v>1.9</v>
      </c>
      <c r="DN632" s="24">
        <v>64</v>
      </c>
      <c r="DO632" s="25">
        <v>12.7</v>
      </c>
      <c r="DP632" s="24">
        <v>89</v>
      </c>
      <c r="DQ632" s="24">
        <v>8912</v>
      </c>
      <c r="DR632" s="26">
        <v>186</v>
      </c>
      <c r="DS632" s="23">
        <v>2.13</v>
      </c>
      <c r="DT632" s="24">
        <v>55</v>
      </c>
      <c r="DU632" s="26">
        <v>-1</v>
      </c>
      <c r="DV632" s="23">
        <v>-1.79</v>
      </c>
      <c r="DW632" s="24">
        <v>4546</v>
      </c>
      <c r="DX632" s="27">
        <v>0</v>
      </c>
      <c r="DY632" s="23">
        <v>0</v>
      </c>
      <c r="DZ632" s="15" t="s">
        <v>178</v>
      </c>
      <c r="EA632" s="22">
        <v>43607</v>
      </c>
      <c r="EB632" s="17" t="s">
        <v>138</v>
      </c>
      <c r="EC632" s="22" t="s">
        <v>138</v>
      </c>
      <c r="ED632" s="15" t="s">
        <v>138</v>
      </c>
      <c r="EE632" s="14" t="str">
        <f>HYPERLINK("https://my.pitchbook.com?c=150227-29", "View company online")</f>
        <v>View company online</v>
      </c>
    </row>
    <row r="633" spans="1:135">
      <c r="A633" s="28" t="s">
        <v>12739</v>
      </c>
      <c r="B633" s="28" t="s">
        <v>12740</v>
      </c>
      <c r="C633" s="28" t="s">
        <v>12741</v>
      </c>
      <c r="D633" s="28" t="s">
        <v>138</v>
      </c>
      <c r="E633" s="28" t="s">
        <v>12742</v>
      </c>
      <c r="F633" s="28" t="s">
        <v>12739</v>
      </c>
      <c r="G633" s="28" t="s">
        <v>12743</v>
      </c>
      <c r="H633" s="28" t="s">
        <v>141</v>
      </c>
      <c r="I633" s="28" t="s">
        <v>212</v>
      </c>
      <c r="J633" s="28" t="s">
        <v>213</v>
      </c>
      <c r="K633" s="28" t="s">
        <v>12744</v>
      </c>
      <c r="L633" s="28" t="s">
        <v>6679</v>
      </c>
      <c r="M633" s="28" t="s">
        <v>12745</v>
      </c>
      <c r="N633" s="28" t="s">
        <v>147</v>
      </c>
      <c r="O633" s="29">
        <v>120.78</v>
      </c>
      <c r="P633" s="28" t="s">
        <v>148</v>
      </c>
      <c r="Q633" s="28" t="s">
        <v>149</v>
      </c>
      <c r="R633" s="28" t="s">
        <v>174</v>
      </c>
      <c r="S633" s="28" t="s">
        <v>12746</v>
      </c>
      <c r="T633" s="30">
        <v>154</v>
      </c>
      <c r="U633" s="28" t="s">
        <v>12747</v>
      </c>
      <c r="V633" s="28" t="s">
        <v>138</v>
      </c>
      <c r="W633" s="28" t="s">
        <v>138</v>
      </c>
      <c r="X633" s="31" t="s">
        <v>138</v>
      </c>
      <c r="Y633" s="28" t="s">
        <v>138</v>
      </c>
      <c r="Z633" s="28" t="s">
        <v>138</v>
      </c>
      <c r="AA633" s="28" t="s">
        <v>138</v>
      </c>
      <c r="AB633" s="32" t="s">
        <v>138</v>
      </c>
      <c r="AC633" s="32" t="s">
        <v>138</v>
      </c>
      <c r="AD633" s="32" t="s">
        <v>138</v>
      </c>
      <c r="AE633" s="32" t="s">
        <v>138</v>
      </c>
      <c r="AF633" s="32" t="s">
        <v>138</v>
      </c>
      <c r="AG633" s="28" t="s">
        <v>138</v>
      </c>
      <c r="AH633" s="32" t="s">
        <v>138</v>
      </c>
      <c r="AI633" s="32" t="s">
        <v>138</v>
      </c>
      <c r="AJ633" s="32" t="s">
        <v>138</v>
      </c>
      <c r="AK633" s="28" t="s">
        <v>12748</v>
      </c>
      <c r="AL633" s="28" t="s">
        <v>12749</v>
      </c>
      <c r="AM633" s="28" t="s">
        <v>4567</v>
      </c>
      <c r="AN633" s="28" t="s">
        <v>12750</v>
      </c>
      <c r="AO633" s="28" t="s">
        <v>12751</v>
      </c>
      <c r="AP633" s="28" t="s">
        <v>665</v>
      </c>
      <c r="AQ633" s="28" t="s">
        <v>9192</v>
      </c>
      <c r="AR633" s="28" t="s">
        <v>12752</v>
      </c>
      <c r="AS633" s="28" t="s">
        <v>668</v>
      </c>
      <c r="AT633" s="28" t="s">
        <v>200</v>
      </c>
      <c r="AU633" s="28" t="s">
        <v>1893</v>
      </c>
      <c r="AV633" s="28" t="s">
        <v>162</v>
      </c>
      <c r="AW633" s="28" t="s">
        <v>12751</v>
      </c>
      <c r="AX633" s="28" t="s">
        <v>138</v>
      </c>
      <c r="AY633" s="28" t="s">
        <v>12753</v>
      </c>
      <c r="AZ633" s="28" t="s">
        <v>164</v>
      </c>
      <c r="BA633" s="28" t="s">
        <v>165</v>
      </c>
      <c r="BB633" s="28" t="s">
        <v>12754</v>
      </c>
      <c r="BC633" s="28" t="s">
        <v>12755</v>
      </c>
      <c r="BD633" s="33">
        <v>28</v>
      </c>
      <c r="BE633" s="28" t="s">
        <v>138</v>
      </c>
      <c r="BF633" s="28" t="s">
        <v>12756</v>
      </c>
      <c r="BG633" s="28" t="s">
        <v>138</v>
      </c>
      <c r="BH633" s="28" t="s">
        <v>12757</v>
      </c>
      <c r="BI633" s="28" t="s">
        <v>12758</v>
      </c>
      <c r="BJ633" s="28" t="s">
        <v>138</v>
      </c>
      <c r="BK633" s="28" t="s">
        <v>12759</v>
      </c>
      <c r="BL633" s="28" t="s">
        <v>12760</v>
      </c>
      <c r="BM633" s="34">
        <v>39717</v>
      </c>
      <c r="BN633" s="29">
        <v>1.25</v>
      </c>
      <c r="BO633" s="28" t="s">
        <v>172</v>
      </c>
      <c r="BP633" s="29">
        <v>6.8</v>
      </c>
      <c r="BQ633" s="28" t="s">
        <v>172</v>
      </c>
      <c r="BR633" s="28" t="s">
        <v>205</v>
      </c>
      <c r="BS633" s="28" t="s">
        <v>206</v>
      </c>
      <c r="BT633" s="28" t="s">
        <v>138</v>
      </c>
      <c r="BU633" s="28" t="s">
        <v>174</v>
      </c>
      <c r="BV633" s="28" t="s">
        <v>138</v>
      </c>
      <c r="BW633" s="28" t="s">
        <v>138</v>
      </c>
      <c r="BX633" s="28" t="s">
        <v>138</v>
      </c>
      <c r="BY633" s="28" t="s">
        <v>175</v>
      </c>
      <c r="BZ633" s="34" t="s">
        <v>138</v>
      </c>
      <c r="CA633" s="29">
        <v>60</v>
      </c>
      <c r="CB633" s="28" t="s">
        <v>1178</v>
      </c>
      <c r="CC633" s="29">
        <v>200</v>
      </c>
      <c r="CD633" s="28" t="s">
        <v>172</v>
      </c>
      <c r="CE633" s="28" t="s">
        <v>173</v>
      </c>
      <c r="CF633" s="28" t="s">
        <v>4410</v>
      </c>
      <c r="CG633" s="28" t="s">
        <v>138</v>
      </c>
      <c r="CH633" s="28" t="s">
        <v>174</v>
      </c>
      <c r="CI633" s="28" t="s">
        <v>138</v>
      </c>
      <c r="CJ633" s="28" t="s">
        <v>138</v>
      </c>
      <c r="CK633" s="28" t="s">
        <v>138</v>
      </c>
      <c r="CL633" s="28" t="s">
        <v>3093</v>
      </c>
      <c r="CM633" s="34">
        <v>41905</v>
      </c>
      <c r="CN633" s="29" t="s">
        <v>138</v>
      </c>
      <c r="CO633" s="35">
        <v>-0.55000000000000004</v>
      </c>
      <c r="CP633" s="36">
        <v>15</v>
      </c>
      <c r="CQ633" s="35">
        <v>-0.01</v>
      </c>
      <c r="CR633" s="35">
        <v>-1.1599999999999999</v>
      </c>
      <c r="CS633" s="35">
        <v>-1.05</v>
      </c>
      <c r="CT633" s="36">
        <v>15</v>
      </c>
      <c r="CU633" s="35">
        <v>-0.05</v>
      </c>
      <c r="CV633" s="36">
        <v>9</v>
      </c>
      <c r="CW633" s="35">
        <v>-0.92</v>
      </c>
      <c r="CX633" s="36">
        <v>10</v>
      </c>
      <c r="CY633" s="35">
        <v>-1.19</v>
      </c>
      <c r="CZ633" s="36">
        <v>17</v>
      </c>
      <c r="DA633" s="35">
        <v>-0.06</v>
      </c>
      <c r="DB633" s="36">
        <v>11</v>
      </c>
      <c r="DC633" s="37">
        <v>17.64</v>
      </c>
      <c r="DD633" s="36">
        <v>94</v>
      </c>
      <c r="DE633" s="37">
        <v>-0.39</v>
      </c>
      <c r="DF633" s="35">
        <v>-2.15</v>
      </c>
      <c r="DG633" s="37">
        <v>14.82</v>
      </c>
      <c r="DH633" s="36">
        <v>93</v>
      </c>
      <c r="DI633" s="37">
        <v>20.47</v>
      </c>
      <c r="DJ633" s="36">
        <v>91</v>
      </c>
      <c r="DK633" s="37">
        <v>13.01</v>
      </c>
      <c r="DL633" s="36">
        <v>89</v>
      </c>
      <c r="DM633" s="37">
        <v>16.62</v>
      </c>
      <c r="DN633" s="36">
        <v>93</v>
      </c>
      <c r="DO633" s="37">
        <v>35.78</v>
      </c>
      <c r="DP633" s="36">
        <v>95</v>
      </c>
      <c r="DQ633" s="36">
        <v>4377</v>
      </c>
      <c r="DR633" s="38">
        <v>258</v>
      </c>
      <c r="DS633" s="35">
        <v>6.26</v>
      </c>
      <c r="DT633" s="36">
        <v>482</v>
      </c>
      <c r="DU633" s="38">
        <v>-2</v>
      </c>
      <c r="DV633" s="35">
        <v>-0.41</v>
      </c>
      <c r="DW633" s="36">
        <v>12808</v>
      </c>
      <c r="DX633" s="39">
        <v>-8</v>
      </c>
      <c r="DY633" s="35">
        <v>-0.06</v>
      </c>
      <c r="DZ633" s="28" t="s">
        <v>178</v>
      </c>
      <c r="EA633" s="34">
        <v>43622</v>
      </c>
      <c r="EB633" s="29">
        <v>555</v>
      </c>
      <c r="EC633" s="34">
        <v>42214</v>
      </c>
      <c r="ED633" s="28" t="s">
        <v>173</v>
      </c>
      <c r="EE633" s="40" t="str">
        <f>HYPERLINK("https://my.pitchbook.com?c=54106-39", "View company online")</f>
        <v>View company online</v>
      </c>
    </row>
    <row r="634" spans="1:135">
      <c r="A634" s="15" t="s">
        <v>12761</v>
      </c>
      <c r="B634" s="15" t="s">
        <v>12762</v>
      </c>
      <c r="C634" s="15" t="s">
        <v>138</v>
      </c>
      <c r="D634" s="15" t="s">
        <v>12763</v>
      </c>
      <c r="E634" s="15" t="s">
        <v>138</v>
      </c>
      <c r="F634" s="15" t="s">
        <v>12761</v>
      </c>
      <c r="G634" s="15" t="s">
        <v>12764</v>
      </c>
      <c r="H634" s="15" t="s">
        <v>238</v>
      </c>
      <c r="I634" s="15" t="s">
        <v>239</v>
      </c>
      <c r="J634" s="15" t="s">
        <v>1756</v>
      </c>
      <c r="K634" s="15" t="s">
        <v>12765</v>
      </c>
      <c r="L634" s="15" t="s">
        <v>242</v>
      </c>
      <c r="M634" s="15" t="s">
        <v>12766</v>
      </c>
      <c r="N634" s="15" t="s">
        <v>147</v>
      </c>
      <c r="O634" s="17">
        <v>7.5</v>
      </c>
      <c r="P634" s="15" t="s">
        <v>148</v>
      </c>
      <c r="Q634" s="15" t="s">
        <v>149</v>
      </c>
      <c r="R634" s="15" t="s">
        <v>244</v>
      </c>
      <c r="S634" s="15" t="s">
        <v>12767</v>
      </c>
      <c r="T634" s="18">
        <v>30</v>
      </c>
      <c r="U634" s="15" t="s">
        <v>12768</v>
      </c>
      <c r="V634" s="15" t="s">
        <v>138</v>
      </c>
      <c r="W634" s="15" t="s">
        <v>138</v>
      </c>
      <c r="X634" s="19" t="s">
        <v>138</v>
      </c>
      <c r="Y634" s="15" t="s">
        <v>138</v>
      </c>
      <c r="Z634" s="15" t="s">
        <v>138</v>
      </c>
      <c r="AA634" s="15" t="s">
        <v>138</v>
      </c>
      <c r="AB634" s="20">
        <v>90</v>
      </c>
      <c r="AC634" s="20" t="s">
        <v>138</v>
      </c>
      <c r="AD634" s="20" t="s">
        <v>138</v>
      </c>
      <c r="AE634" s="20" t="s">
        <v>138</v>
      </c>
      <c r="AF634" s="20" t="s">
        <v>138</v>
      </c>
      <c r="AG634" s="15" t="s">
        <v>707</v>
      </c>
      <c r="AH634" s="20" t="s">
        <v>138</v>
      </c>
      <c r="AI634" s="20" t="s">
        <v>138</v>
      </c>
      <c r="AJ634" s="20" t="s">
        <v>138</v>
      </c>
      <c r="AK634" s="15" t="s">
        <v>12769</v>
      </c>
      <c r="AL634" s="15" t="s">
        <v>12770</v>
      </c>
      <c r="AM634" s="15" t="s">
        <v>304</v>
      </c>
      <c r="AN634" s="15" t="s">
        <v>12771</v>
      </c>
      <c r="AO634" s="15" t="s">
        <v>12772</v>
      </c>
      <c r="AP634" s="15" t="s">
        <v>423</v>
      </c>
      <c r="AQ634" s="15" t="s">
        <v>12773</v>
      </c>
      <c r="AR634" s="15" t="s">
        <v>138</v>
      </c>
      <c r="AS634" s="15" t="s">
        <v>426</v>
      </c>
      <c r="AT634" s="15" t="s">
        <v>426</v>
      </c>
      <c r="AU634" s="15" t="s">
        <v>9016</v>
      </c>
      <c r="AV634" s="15" t="s">
        <v>162</v>
      </c>
      <c r="AW634" s="15" t="s">
        <v>12772</v>
      </c>
      <c r="AX634" s="15" t="s">
        <v>138</v>
      </c>
      <c r="AY634" s="15" t="s">
        <v>12774</v>
      </c>
      <c r="AZ634" s="15" t="s">
        <v>164</v>
      </c>
      <c r="BA634" s="15" t="s">
        <v>165</v>
      </c>
      <c r="BB634" s="15" t="s">
        <v>12775</v>
      </c>
      <c r="BC634" s="15" t="s">
        <v>12776</v>
      </c>
      <c r="BD634" s="21">
        <v>22</v>
      </c>
      <c r="BE634" s="15" t="s">
        <v>138</v>
      </c>
      <c r="BF634" s="15" t="s">
        <v>138</v>
      </c>
      <c r="BG634" s="15" t="s">
        <v>138</v>
      </c>
      <c r="BH634" s="15" t="s">
        <v>12777</v>
      </c>
      <c r="BI634" s="15" t="s">
        <v>138</v>
      </c>
      <c r="BJ634" s="15" t="s">
        <v>138</v>
      </c>
      <c r="BK634" s="15" t="s">
        <v>290</v>
      </c>
      <c r="BL634" s="15" t="s">
        <v>12778</v>
      </c>
      <c r="BM634" s="22">
        <v>41988</v>
      </c>
      <c r="BN634" s="17" t="s">
        <v>138</v>
      </c>
      <c r="BO634" s="15" t="s">
        <v>138</v>
      </c>
      <c r="BP634" s="17" t="s">
        <v>138</v>
      </c>
      <c r="BQ634" s="15" t="s">
        <v>138</v>
      </c>
      <c r="BR634" s="15" t="s">
        <v>1326</v>
      </c>
      <c r="BS634" s="15" t="s">
        <v>138</v>
      </c>
      <c r="BT634" s="15" t="s">
        <v>138</v>
      </c>
      <c r="BU634" s="15" t="s">
        <v>1327</v>
      </c>
      <c r="BV634" s="15" t="s">
        <v>2528</v>
      </c>
      <c r="BW634" s="15" t="s">
        <v>138</v>
      </c>
      <c r="BX634" s="15" t="s">
        <v>138</v>
      </c>
      <c r="BY634" s="15" t="s">
        <v>175</v>
      </c>
      <c r="BZ634" s="22">
        <v>43202</v>
      </c>
      <c r="CA634" s="17">
        <v>4.5</v>
      </c>
      <c r="CB634" s="15" t="s">
        <v>1178</v>
      </c>
      <c r="CC634" s="17">
        <v>22.5</v>
      </c>
      <c r="CD634" s="15" t="s">
        <v>172</v>
      </c>
      <c r="CE634" s="15" t="s">
        <v>234</v>
      </c>
      <c r="CF634" s="15" t="s">
        <v>234</v>
      </c>
      <c r="CG634" s="15" t="s">
        <v>138</v>
      </c>
      <c r="CH634" s="15" t="s">
        <v>174</v>
      </c>
      <c r="CI634" s="15" t="s">
        <v>138</v>
      </c>
      <c r="CJ634" s="15" t="s">
        <v>138</v>
      </c>
      <c r="CK634" s="15" t="s">
        <v>138</v>
      </c>
      <c r="CL634" s="15" t="s">
        <v>175</v>
      </c>
      <c r="CM634" s="22">
        <v>41988</v>
      </c>
      <c r="CN634" s="17" t="s">
        <v>138</v>
      </c>
      <c r="CO634" s="23">
        <v>0.49</v>
      </c>
      <c r="CP634" s="24">
        <v>95</v>
      </c>
      <c r="CQ634" s="23">
        <v>0.02</v>
      </c>
      <c r="CR634" s="23">
        <v>5.36</v>
      </c>
      <c r="CS634" s="23">
        <v>0.02</v>
      </c>
      <c r="CT634" s="24">
        <v>93</v>
      </c>
      <c r="CU634" s="23">
        <v>0.09</v>
      </c>
      <c r="CV634" s="24">
        <v>66</v>
      </c>
      <c r="CW634" s="23">
        <v>1.87</v>
      </c>
      <c r="CX634" s="24">
        <v>88</v>
      </c>
      <c r="CY634" s="23">
        <v>-1.84</v>
      </c>
      <c r="CZ634" s="24">
        <v>12</v>
      </c>
      <c r="DA634" s="23">
        <v>-0.02</v>
      </c>
      <c r="DB634" s="24">
        <v>19</v>
      </c>
      <c r="DC634" s="25">
        <v>12.3</v>
      </c>
      <c r="DD634" s="24">
        <v>92</v>
      </c>
      <c r="DE634" s="25">
        <v>-0.01</v>
      </c>
      <c r="DF634" s="23">
        <v>-0.09</v>
      </c>
      <c r="DG634" s="25">
        <v>8.83</v>
      </c>
      <c r="DH634" s="24">
        <v>88</v>
      </c>
      <c r="DI634" s="25">
        <v>15.87</v>
      </c>
      <c r="DJ634" s="24">
        <v>89</v>
      </c>
      <c r="DK634" s="25">
        <v>10.65</v>
      </c>
      <c r="DL634" s="24">
        <v>87</v>
      </c>
      <c r="DM634" s="25">
        <v>7</v>
      </c>
      <c r="DN634" s="24">
        <v>85</v>
      </c>
      <c r="DO634" s="25">
        <v>22.47</v>
      </c>
      <c r="DP634" s="24">
        <v>93</v>
      </c>
      <c r="DQ634" s="24">
        <v>3565</v>
      </c>
      <c r="DR634" s="26">
        <v>266</v>
      </c>
      <c r="DS634" s="23">
        <v>8.06</v>
      </c>
      <c r="DT634" s="24">
        <v>203</v>
      </c>
      <c r="DU634" s="26">
        <v>1</v>
      </c>
      <c r="DV634" s="23">
        <v>0.5</v>
      </c>
      <c r="DW634" s="24">
        <v>8042</v>
      </c>
      <c r="DX634" s="27">
        <v>1</v>
      </c>
      <c r="DY634" s="23">
        <v>0.01</v>
      </c>
      <c r="DZ634" s="15" t="s">
        <v>178</v>
      </c>
      <c r="EA634" s="22">
        <v>43622</v>
      </c>
      <c r="EB634" s="17">
        <v>22.5</v>
      </c>
      <c r="EC634" s="22">
        <v>43202</v>
      </c>
      <c r="ED634" s="15" t="s">
        <v>234</v>
      </c>
      <c r="EE634" s="14" t="str">
        <f>HYPERLINK("https://my.pitchbook.com?c=170128-18", "View company online")</f>
        <v>View company online</v>
      </c>
    </row>
    <row r="635" spans="1:135">
      <c r="A635" s="28" t="s">
        <v>12779</v>
      </c>
      <c r="B635" s="28" t="s">
        <v>12780</v>
      </c>
      <c r="C635" s="28" t="s">
        <v>138</v>
      </c>
      <c r="D635" s="28" t="s">
        <v>138</v>
      </c>
      <c r="E635" s="28" t="s">
        <v>12781</v>
      </c>
      <c r="F635" s="28" t="s">
        <v>12779</v>
      </c>
      <c r="G635" s="28" t="s">
        <v>12782</v>
      </c>
      <c r="H635" s="28" t="s">
        <v>322</v>
      </c>
      <c r="I635" s="28" t="s">
        <v>323</v>
      </c>
      <c r="J635" s="28" t="s">
        <v>437</v>
      </c>
      <c r="K635" s="28" t="s">
        <v>12783</v>
      </c>
      <c r="L635" s="28" t="s">
        <v>242</v>
      </c>
      <c r="M635" s="28" t="s">
        <v>12784</v>
      </c>
      <c r="N635" s="28" t="s">
        <v>147</v>
      </c>
      <c r="O635" s="29">
        <v>4.95</v>
      </c>
      <c r="P635" s="28" t="s">
        <v>148</v>
      </c>
      <c r="Q635" s="28" t="s">
        <v>149</v>
      </c>
      <c r="R635" s="28" t="s">
        <v>174</v>
      </c>
      <c r="S635" s="28" t="s">
        <v>12785</v>
      </c>
      <c r="T635" s="30" t="s">
        <v>138</v>
      </c>
      <c r="U635" s="28" t="s">
        <v>138</v>
      </c>
      <c r="V635" s="28" t="s">
        <v>138</v>
      </c>
      <c r="W635" s="28" t="s">
        <v>138</v>
      </c>
      <c r="X635" s="31">
        <v>2015</v>
      </c>
      <c r="Y635" s="28" t="s">
        <v>138</v>
      </c>
      <c r="Z635" s="28" t="s">
        <v>138</v>
      </c>
      <c r="AA635" s="28" t="s">
        <v>138</v>
      </c>
      <c r="AB635" s="32" t="s">
        <v>138</v>
      </c>
      <c r="AC635" s="32" t="s">
        <v>138</v>
      </c>
      <c r="AD635" s="32" t="s">
        <v>138</v>
      </c>
      <c r="AE635" s="32" t="s">
        <v>138</v>
      </c>
      <c r="AF635" s="32" t="s">
        <v>138</v>
      </c>
      <c r="AG635" s="28" t="s">
        <v>138</v>
      </c>
      <c r="AH635" s="32" t="s">
        <v>138</v>
      </c>
      <c r="AI635" s="32" t="s">
        <v>138</v>
      </c>
      <c r="AJ635" s="32" t="s">
        <v>138</v>
      </c>
      <c r="AK635" s="28" t="s">
        <v>12786</v>
      </c>
      <c r="AL635" s="28" t="s">
        <v>12787</v>
      </c>
      <c r="AM635" s="28" t="s">
        <v>2794</v>
      </c>
      <c r="AN635" s="28" t="s">
        <v>138</v>
      </c>
      <c r="AO635" s="28" t="s">
        <v>138</v>
      </c>
      <c r="AP635" s="28" t="s">
        <v>1292</v>
      </c>
      <c r="AQ635" s="28" t="s">
        <v>12788</v>
      </c>
      <c r="AR635" s="28" t="s">
        <v>138</v>
      </c>
      <c r="AS635" s="28" t="s">
        <v>1294</v>
      </c>
      <c r="AT635" s="28" t="s">
        <v>864</v>
      </c>
      <c r="AU635" s="28" t="s">
        <v>138</v>
      </c>
      <c r="AV635" s="28" t="s">
        <v>162</v>
      </c>
      <c r="AW635" s="28" t="s">
        <v>138</v>
      </c>
      <c r="AX635" s="28" t="s">
        <v>138</v>
      </c>
      <c r="AY635" s="28" t="s">
        <v>12789</v>
      </c>
      <c r="AZ635" s="28" t="s">
        <v>164</v>
      </c>
      <c r="BA635" s="28" t="s">
        <v>165</v>
      </c>
      <c r="BB635" s="28" t="s">
        <v>12790</v>
      </c>
      <c r="BC635" s="28" t="s">
        <v>12791</v>
      </c>
      <c r="BD635" s="33">
        <v>14</v>
      </c>
      <c r="BE635" s="28" t="s">
        <v>138</v>
      </c>
      <c r="BF635" s="28" t="s">
        <v>138</v>
      </c>
      <c r="BG635" s="28" t="s">
        <v>138</v>
      </c>
      <c r="BH635" s="28" t="s">
        <v>12792</v>
      </c>
      <c r="BI635" s="28" t="s">
        <v>138</v>
      </c>
      <c r="BJ635" s="28" t="s">
        <v>138</v>
      </c>
      <c r="BK635" s="28" t="s">
        <v>138</v>
      </c>
      <c r="BL635" s="28" t="s">
        <v>993</v>
      </c>
      <c r="BM635" s="34">
        <v>42509</v>
      </c>
      <c r="BN635" s="29">
        <v>1.5</v>
      </c>
      <c r="BO635" s="28" t="s">
        <v>172</v>
      </c>
      <c r="BP635" s="29">
        <v>6.5</v>
      </c>
      <c r="BQ635" s="28" t="s">
        <v>172</v>
      </c>
      <c r="BR635" s="28" t="s">
        <v>234</v>
      </c>
      <c r="BS635" s="28" t="s">
        <v>4410</v>
      </c>
      <c r="BT635" s="28" t="s">
        <v>138</v>
      </c>
      <c r="BU635" s="28" t="s">
        <v>174</v>
      </c>
      <c r="BV635" s="28" t="s">
        <v>138</v>
      </c>
      <c r="BW635" s="28" t="s">
        <v>138</v>
      </c>
      <c r="BX635" s="28" t="s">
        <v>138</v>
      </c>
      <c r="BY635" s="28" t="s">
        <v>175</v>
      </c>
      <c r="BZ635" s="34">
        <v>43378</v>
      </c>
      <c r="CA635" s="29">
        <v>0.5</v>
      </c>
      <c r="CB635" s="28" t="s">
        <v>172</v>
      </c>
      <c r="CC635" s="29">
        <v>10.5</v>
      </c>
      <c r="CD635" s="28" t="s">
        <v>172</v>
      </c>
      <c r="CE635" s="28" t="s">
        <v>205</v>
      </c>
      <c r="CF635" s="28" t="s">
        <v>206</v>
      </c>
      <c r="CG635" s="28" t="s">
        <v>138</v>
      </c>
      <c r="CH635" s="28" t="s">
        <v>174</v>
      </c>
      <c r="CI635" s="28" t="s">
        <v>138</v>
      </c>
      <c r="CJ635" s="28" t="s">
        <v>138</v>
      </c>
      <c r="CK635" s="28" t="s">
        <v>138</v>
      </c>
      <c r="CL635" s="28" t="s">
        <v>175</v>
      </c>
      <c r="CM635" s="34" t="s">
        <v>138</v>
      </c>
      <c r="CN635" s="29" t="s">
        <v>138</v>
      </c>
      <c r="CO635" s="35">
        <v>1.22</v>
      </c>
      <c r="CP635" s="36">
        <v>98</v>
      </c>
      <c r="CQ635" s="35">
        <v>-0.01</v>
      </c>
      <c r="CR635" s="35">
        <v>-0.68</v>
      </c>
      <c r="CS635" s="35">
        <v>1.74</v>
      </c>
      <c r="CT635" s="36">
        <v>98</v>
      </c>
      <c r="CU635" s="35">
        <v>0.66</v>
      </c>
      <c r="CV635" s="36">
        <v>96</v>
      </c>
      <c r="CW635" s="35">
        <v>1.74</v>
      </c>
      <c r="CX635" s="36">
        <v>87</v>
      </c>
      <c r="CY635" s="35" t="s">
        <v>138</v>
      </c>
      <c r="CZ635" s="36" t="s">
        <v>138</v>
      </c>
      <c r="DA635" s="35">
        <v>0.71</v>
      </c>
      <c r="DB635" s="36">
        <v>96</v>
      </c>
      <c r="DC635" s="37">
        <v>60.35</v>
      </c>
      <c r="DD635" s="36">
        <v>98</v>
      </c>
      <c r="DE635" s="37">
        <v>-7.16</v>
      </c>
      <c r="DF635" s="35">
        <v>-10.61</v>
      </c>
      <c r="DG635" s="37">
        <v>169.37</v>
      </c>
      <c r="DH635" s="36">
        <v>100</v>
      </c>
      <c r="DI635" s="37">
        <v>7.89</v>
      </c>
      <c r="DJ635" s="36">
        <v>83</v>
      </c>
      <c r="DK635" s="37">
        <v>169.37</v>
      </c>
      <c r="DL635" s="36">
        <v>99</v>
      </c>
      <c r="DM635" s="37" t="s">
        <v>138</v>
      </c>
      <c r="DN635" s="36" t="s">
        <v>138</v>
      </c>
      <c r="DO635" s="37">
        <v>14.79</v>
      </c>
      <c r="DP635" s="36">
        <v>90</v>
      </c>
      <c r="DQ635" s="36">
        <v>58255</v>
      </c>
      <c r="DR635" s="38">
        <v>-485</v>
      </c>
      <c r="DS635" s="35">
        <v>-0.83</v>
      </c>
      <c r="DT635" s="36" t="s">
        <v>138</v>
      </c>
      <c r="DU635" s="38" t="s">
        <v>138</v>
      </c>
      <c r="DV635" s="35" t="s">
        <v>138</v>
      </c>
      <c r="DW635" s="36">
        <v>5284</v>
      </c>
      <c r="DX635" s="39">
        <v>27</v>
      </c>
      <c r="DY635" s="35">
        <v>0.51</v>
      </c>
      <c r="DZ635" s="28" t="s">
        <v>178</v>
      </c>
      <c r="EA635" s="34">
        <v>43392</v>
      </c>
      <c r="EB635" s="29">
        <v>10.5</v>
      </c>
      <c r="EC635" s="34">
        <v>43378</v>
      </c>
      <c r="ED635" s="28" t="s">
        <v>205</v>
      </c>
      <c r="EE635" s="40" t="str">
        <f>HYPERLINK("https://my.pitchbook.com?c=159360-85", "View company online")</f>
        <v>View company online</v>
      </c>
    </row>
    <row r="636" spans="1:135">
      <c r="A636" s="15" t="s">
        <v>12793</v>
      </c>
      <c r="B636" s="15" t="s">
        <v>12794</v>
      </c>
      <c r="C636" s="15" t="s">
        <v>138</v>
      </c>
      <c r="D636" s="15" t="s">
        <v>138</v>
      </c>
      <c r="E636" s="15" t="s">
        <v>12795</v>
      </c>
      <c r="F636" s="15" t="s">
        <v>12793</v>
      </c>
      <c r="G636" s="15" t="s">
        <v>12796</v>
      </c>
      <c r="H636" s="15" t="s">
        <v>238</v>
      </c>
      <c r="I636" s="15" t="s">
        <v>239</v>
      </c>
      <c r="J636" s="15" t="s">
        <v>2234</v>
      </c>
      <c r="K636" s="15" t="s">
        <v>12797</v>
      </c>
      <c r="L636" s="15" t="s">
        <v>415</v>
      </c>
      <c r="M636" s="15" t="s">
        <v>12798</v>
      </c>
      <c r="N636" s="15" t="s">
        <v>147</v>
      </c>
      <c r="O636" s="17">
        <v>15.44</v>
      </c>
      <c r="P636" s="15" t="s">
        <v>148</v>
      </c>
      <c r="Q636" s="15" t="s">
        <v>149</v>
      </c>
      <c r="R636" s="15" t="s">
        <v>174</v>
      </c>
      <c r="S636" s="15" t="s">
        <v>12799</v>
      </c>
      <c r="T636" s="18">
        <v>37</v>
      </c>
      <c r="U636" s="15" t="s">
        <v>12800</v>
      </c>
      <c r="V636" s="15" t="s">
        <v>138</v>
      </c>
      <c r="W636" s="15" t="s">
        <v>138</v>
      </c>
      <c r="X636" s="19">
        <v>2011</v>
      </c>
      <c r="Y636" s="15" t="s">
        <v>138</v>
      </c>
      <c r="Z636" s="15" t="s">
        <v>138</v>
      </c>
      <c r="AA636" s="15" t="s">
        <v>138</v>
      </c>
      <c r="AB636" s="20" t="s">
        <v>138</v>
      </c>
      <c r="AC636" s="20" t="s">
        <v>138</v>
      </c>
      <c r="AD636" s="20" t="s">
        <v>138</v>
      </c>
      <c r="AE636" s="20" t="s">
        <v>138</v>
      </c>
      <c r="AF636" s="20" t="s">
        <v>138</v>
      </c>
      <c r="AG636" s="15" t="s">
        <v>138</v>
      </c>
      <c r="AH636" s="20" t="s">
        <v>138</v>
      </c>
      <c r="AI636" s="20" t="s">
        <v>138</v>
      </c>
      <c r="AJ636" s="20" t="s">
        <v>138</v>
      </c>
      <c r="AK636" s="15" t="s">
        <v>12801</v>
      </c>
      <c r="AL636" s="15" t="s">
        <v>12802</v>
      </c>
      <c r="AM636" s="15" t="s">
        <v>5715</v>
      </c>
      <c r="AN636" s="15" t="s">
        <v>12803</v>
      </c>
      <c r="AO636" s="15" t="s">
        <v>12804</v>
      </c>
      <c r="AP636" s="15" t="s">
        <v>3449</v>
      </c>
      <c r="AQ636" s="15" t="s">
        <v>12805</v>
      </c>
      <c r="AR636" s="15" t="s">
        <v>12806</v>
      </c>
      <c r="AS636" s="15" t="s">
        <v>3452</v>
      </c>
      <c r="AT636" s="15" t="s">
        <v>3453</v>
      </c>
      <c r="AU636" s="15" t="s">
        <v>12807</v>
      </c>
      <c r="AV636" s="15" t="s">
        <v>2333</v>
      </c>
      <c r="AW636" s="15" t="s">
        <v>12804</v>
      </c>
      <c r="AX636" s="15" t="s">
        <v>138</v>
      </c>
      <c r="AY636" s="15" t="s">
        <v>12808</v>
      </c>
      <c r="AZ636" s="15" t="s">
        <v>452</v>
      </c>
      <c r="BA636" s="15" t="s">
        <v>2335</v>
      </c>
      <c r="BB636" s="15" t="s">
        <v>12809</v>
      </c>
      <c r="BC636" s="15" t="s">
        <v>12810</v>
      </c>
      <c r="BD636" s="21">
        <v>5</v>
      </c>
      <c r="BE636" s="15" t="s">
        <v>138</v>
      </c>
      <c r="BF636" s="15" t="s">
        <v>138</v>
      </c>
      <c r="BG636" s="15" t="s">
        <v>138</v>
      </c>
      <c r="BH636" s="15" t="s">
        <v>12811</v>
      </c>
      <c r="BI636" s="15" t="s">
        <v>138</v>
      </c>
      <c r="BJ636" s="15" t="s">
        <v>138</v>
      </c>
      <c r="BK636" s="15" t="s">
        <v>138</v>
      </c>
      <c r="BL636" s="15" t="s">
        <v>138</v>
      </c>
      <c r="BM636" s="22">
        <v>40954</v>
      </c>
      <c r="BN636" s="17">
        <v>5.44</v>
      </c>
      <c r="BO636" s="15" t="s">
        <v>172</v>
      </c>
      <c r="BP636" s="17">
        <v>32.020000000000003</v>
      </c>
      <c r="BQ636" s="15" t="s">
        <v>172</v>
      </c>
      <c r="BR636" s="15" t="s">
        <v>205</v>
      </c>
      <c r="BS636" s="15" t="s">
        <v>138</v>
      </c>
      <c r="BT636" s="15" t="s">
        <v>138</v>
      </c>
      <c r="BU636" s="15" t="s">
        <v>174</v>
      </c>
      <c r="BV636" s="15" t="s">
        <v>138</v>
      </c>
      <c r="BW636" s="15" t="s">
        <v>138</v>
      </c>
      <c r="BX636" s="15" t="s">
        <v>138</v>
      </c>
      <c r="BY636" s="15" t="s">
        <v>175</v>
      </c>
      <c r="BZ636" s="22">
        <v>42740</v>
      </c>
      <c r="CA636" s="17">
        <v>10</v>
      </c>
      <c r="CB636" s="15" t="s">
        <v>1178</v>
      </c>
      <c r="CC636" s="17">
        <v>44.4</v>
      </c>
      <c r="CD636" s="15" t="s">
        <v>172</v>
      </c>
      <c r="CE636" s="15" t="s">
        <v>173</v>
      </c>
      <c r="CF636" s="15" t="s">
        <v>206</v>
      </c>
      <c r="CG636" s="15" t="s">
        <v>138</v>
      </c>
      <c r="CH636" s="15" t="s">
        <v>174</v>
      </c>
      <c r="CI636" s="15" t="s">
        <v>138</v>
      </c>
      <c r="CJ636" s="15" t="s">
        <v>138</v>
      </c>
      <c r="CK636" s="15" t="s">
        <v>138</v>
      </c>
      <c r="CL636" s="15" t="s">
        <v>1831</v>
      </c>
      <c r="CM636" s="22" t="s">
        <v>138</v>
      </c>
      <c r="CN636" s="17" t="s">
        <v>138</v>
      </c>
      <c r="CO636" s="23">
        <v>-0.6</v>
      </c>
      <c r="CP636" s="24">
        <v>15</v>
      </c>
      <c r="CQ636" s="23">
        <v>0</v>
      </c>
      <c r="CR636" s="23">
        <v>-0.78</v>
      </c>
      <c r="CS636" s="23">
        <v>-1.25</v>
      </c>
      <c r="CT636" s="24">
        <v>13</v>
      </c>
      <c r="CU636" s="23">
        <v>0.05</v>
      </c>
      <c r="CV636" s="24">
        <v>58</v>
      </c>
      <c r="CW636" s="23" t="s">
        <v>138</v>
      </c>
      <c r="CX636" s="24" t="s">
        <v>138</v>
      </c>
      <c r="CY636" s="23">
        <v>-1.25</v>
      </c>
      <c r="CZ636" s="24">
        <v>17</v>
      </c>
      <c r="DA636" s="23">
        <v>0.14000000000000001</v>
      </c>
      <c r="DB636" s="24">
        <v>77</v>
      </c>
      <c r="DC636" s="25">
        <v>28.3</v>
      </c>
      <c r="DD636" s="24">
        <v>96</v>
      </c>
      <c r="DE636" s="25">
        <v>-0.02</v>
      </c>
      <c r="DF636" s="23">
        <v>-0.05</v>
      </c>
      <c r="DG636" s="25">
        <v>3.55</v>
      </c>
      <c r="DH636" s="24">
        <v>77</v>
      </c>
      <c r="DI636" s="25">
        <v>53.05</v>
      </c>
      <c r="DJ636" s="24">
        <v>95</v>
      </c>
      <c r="DK636" s="25" t="s">
        <v>138</v>
      </c>
      <c r="DL636" s="24" t="s">
        <v>138</v>
      </c>
      <c r="DM636" s="25">
        <v>3.55</v>
      </c>
      <c r="DN636" s="24">
        <v>76</v>
      </c>
      <c r="DO636" s="25">
        <v>15.4</v>
      </c>
      <c r="DP636" s="24">
        <v>91</v>
      </c>
      <c r="DQ636" s="24" t="s">
        <v>138</v>
      </c>
      <c r="DR636" s="26" t="s">
        <v>138</v>
      </c>
      <c r="DS636" s="23" t="s">
        <v>138</v>
      </c>
      <c r="DT636" s="24">
        <v>103</v>
      </c>
      <c r="DU636" s="26">
        <v>0</v>
      </c>
      <c r="DV636" s="23">
        <v>0</v>
      </c>
      <c r="DW636" s="24">
        <v>5509</v>
      </c>
      <c r="DX636" s="27">
        <v>5</v>
      </c>
      <c r="DY636" s="23">
        <v>0.09</v>
      </c>
      <c r="DZ636" s="15" t="s">
        <v>178</v>
      </c>
      <c r="EA636" s="22">
        <v>43351</v>
      </c>
      <c r="EB636" s="17">
        <v>44.4</v>
      </c>
      <c r="EC636" s="22">
        <v>42740</v>
      </c>
      <c r="ED636" s="15" t="s">
        <v>173</v>
      </c>
      <c r="EE636" s="14" t="str">
        <f>HYPERLINK("https://my.pitchbook.com?c=56894-68", "View company online")</f>
        <v>View company online</v>
      </c>
    </row>
    <row r="637" spans="1:135">
      <c r="A637" s="28" t="s">
        <v>12812</v>
      </c>
      <c r="B637" s="28" t="s">
        <v>12813</v>
      </c>
      <c r="C637" s="28" t="s">
        <v>138</v>
      </c>
      <c r="D637" s="28" t="s">
        <v>138</v>
      </c>
      <c r="E637" s="28" t="s">
        <v>12814</v>
      </c>
      <c r="F637" s="28" t="s">
        <v>12812</v>
      </c>
      <c r="G637" s="28" t="s">
        <v>12815</v>
      </c>
      <c r="H637" s="28" t="s">
        <v>322</v>
      </c>
      <c r="I637" s="28" t="s">
        <v>323</v>
      </c>
      <c r="J637" s="28" t="s">
        <v>539</v>
      </c>
      <c r="K637" s="28" t="s">
        <v>9529</v>
      </c>
      <c r="L637" s="28" t="s">
        <v>215</v>
      </c>
      <c r="M637" s="28" t="s">
        <v>12816</v>
      </c>
      <c r="N637" s="28" t="s">
        <v>147</v>
      </c>
      <c r="O637" s="29">
        <v>67.2</v>
      </c>
      <c r="P637" s="28" t="s">
        <v>148</v>
      </c>
      <c r="Q637" s="28" t="s">
        <v>149</v>
      </c>
      <c r="R637" s="28" t="s">
        <v>174</v>
      </c>
      <c r="S637" s="28" t="s">
        <v>12817</v>
      </c>
      <c r="T637" s="30">
        <v>77</v>
      </c>
      <c r="U637" s="28" t="s">
        <v>12818</v>
      </c>
      <c r="V637" s="28" t="s">
        <v>138</v>
      </c>
      <c r="W637" s="28" t="s">
        <v>138</v>
      </c>
      <c r="X637" s="31">
        <v>2010</v>
      </c>
      <c r="Y637" s="28" t="s">
        <v>138</v>
      </c>
      <c r="Z637" s="28" t="s">
        <v>138</v>
      </c>
      <c r="AA637" s="28" t="s">
        <v>138</v>
      </c>
      <c r="AB637" s="32" t="s">
        <v>138</v>
      </c>
      <c r="AC637" s="32" t="s">
        <v>138</v>
      </c>
      <c r="AD637" s="32" t="s">
        <v>138</v>
      </c>
      <c r="AE637" s="32" t="s">
        <v>138</v>
      </c>
      <c r="AF637" s="32" t="s">
        <v>138</v>
      </c>
      <c r="AG637" s="28" t="s">
        <v>138</v>
      </c>
      <c r="AH637" s="32" t="s">
        <v>138</v>
      </c>
      <c r="AI637" s="32" t="s">
        <v>138</v>
      </c>
      <c r="AJ637" s="32" t="s">
        <v>138</v>
      </c>
      <c r="AK637" s="28" t="s">
        <v>12819</v>
      </c>
      <c r="AL637" s="28" t="s">
        <v>12820</v>
      </c>
      <c r="AM637" s="28" t="s">
        <v>818</v>
      </c>
      <c r="AN637" s="28" t="s">
        <v>12821</v>
      </c>
      <c r="AO637" s="28" t="s">
        <v>12822</v>
      </c>
      <c r="AP637" s="28" t="s">
        <v>307</v>
      </c>
      <c r="AQ637" s="28" t="s">
        <v>308</v>
      </c>
      <c r="AR637" s="28" t="s">
        <v>2492</v>
      </c>
      <c r="AS637" s="28" t="s">
        <v>310</v>
      </c>
      <c r="AT637" s="28" t="s">
        <v>200</v>
      </c>
      <c r="AU637" s="28" t="s">
        <v>311</v>
      </c>
      <c r="AV637" s="28" t="s">
        <v>162</v>
      </c>
      <c r="AW637" s="28" t="s">
        <v>12822</v>
      </c>
      <c r="AX637" s="28" t="s">
        <v>12823</v>
      </c>
      <c r="AY637" s="28" t="s">
        <v>12824</v>
      </c>
      <c r="AZ637" s="28" t="s">
        <v>164</v>
      </c>
      <c r="BA637" s="28" t="s">
        <v>165</v>
      </c>
      <c r="BB637" s="28" t="s">
        <v>12825</v>
      </c>
      <c r="BC637" s="28" t="s">
        <v>12826</v>
      </c>
      <c r="BD637" s="33">
        <v>12</v>
      </c>
      <c r="BE637" s="28" t="s">
        <v>138</v>
      </c>
      <c r="BF637" s="28" t="s">
        <v>138</v>
      </c>
      <c r="BG637" s="28" t="s">
        <v>138</v>
      </c>
      <c r="BH637" s="28" t="s">
        <v>12827</v>
      </c>
      <c r="BI637" s="28" t="s">
        <v>138</v>
      </c>
      <c r="BJ637" s="28" t="s">
        <v>138</v>
      </c>
      <c r="BK637" s="28" t="s">
        <v>290</v>
      </c>
      <c r="BL637" s="28" t="s">
        <v>138</v>
      </c>
      <c r="BM637" s="34">
        <v>40434</v>
      </c>
      <c r="BN637" s="29">
        <v>9.1</v>
      </c>
      <c r="BO637" s="28" t="s">
        <v>172</v>
      </c>
      <c r="BP637" s="29">
        <v>19.53</v>
      </c>
      <c r="BQ637" s="28" t="s">
        <v>172</v>
      </c>
      <c r="BR637" s="28" t="s">
        <v>205</v>
      </c>
      <c r="BS637" s="28" t="s">
        <v>206</v>
      </c>
      <c r="BT637" s="28" t="s">
        <v>138</v>
      </c>
      <c r="BU637" s="28" t="s">
        <v>174</v>
      </c>
      <c r="BV637" s="28" t="s">
        <v>138</v>
      </c>
      <c r="BW637" s="28" t="s">
        <v>138</v>
      </c>
      <c r="BX637" s="28" t="s">
        <v>138</v>
      </c>
      <c r="BY637" s="28" t="s">
        <v>175</v>
      </c>
      <c r="BZ637" s="34">
        <v>42180</v>
      </c>
      <c r="CA637" s="29">
        <v>25</v>
      </c>
      <c r="CB637" s="28" t="s">
        <v>172</v>
      </c>
      <c r="CC637" s="29">
        <v>178.51</v>
      </c>
      <c r="CD637" s="28" t="s">
        <v>172</v>
      </c>
      <c r="CE637" s="28" t="s">
        <v>173</v>
      </c>
      <c r="CF637" s="28" t="s">
        <v>433</v>
      </c>
      <c r="CG637" s="28" t="s">
        <v>138</v>
      </c>
      <c r="CH637" s="28" t="s">
        <v>174</v>
      </c>
      <c r="CI637" s="28" t="s">
        <v>138</v>
      </c>
      <c r="CJ637" s="28" t="s">
        <v>138</v>
      </c>
      <c r="CK637" s="28" t="s">
        <v>138</v>
      </c>
      <c r="CL637" s="28" t="s">
        <v>175</v>
      </c>
      <c r="CM637" s="34" t="s">
        <v>138</v>
      </c>
      <c r="CN637" s="29" t="s">
        <v>138</v>
      </c>
      <c r="CO637" s="35">
        <v>-0.54</v>
      </c>
      <c r="CP637" s="36">
        <v>16</v>
      </c>
      <c r="CQ637" s="35">
        <v>0</v>
      </c>
      <c r="CR637" s="35">
        <v>-0.79</v>
      </c>
      <c r="CS637" s="35">
        <v>-1.1599999999999999</v>
      </c>
      <c r="CT637" s="36">
        <v>14</v>
      </c>
      <c r="CU637" s="35">
        <v>0.08</v>
      </c>
      <c r="CV637" s="36">
        <v>64</v>
      </c>
      <c r="CW637" s="35">
        <v>0</v>
      </c>
      <c r="CX637" s="36">
        <v>13</v>
      </c>
      <c r="CY637" s="35">
        <v>-2.3199999999999998</v>
      </c>
      <c r="CZ637" s="36">
        <v>9</v>
      </c>
      <c r="DA637" s="35">
        <v>0.08</v>
      </c>
      <c r="DB637" s="36">
        <v>69</v>
      </c>
      <c r="DC637" s="37">
        <v>5.14</v>
      </c>
      <c r="DD637" s="36">
        <v>83</v>
      </c>
      <c r="DE637" s="37">
        <v>-0.03</v>
      </c>
      <c r="DF637" s="35">
        <v>-0.68</v>
      </c>
      <c r="DG637" s="37">
        <v>5.17</v>
      </c>
      <c r="DH637" s="36">
        <v>83</v>
      </c>
      <c r="DI637" s="37">
        <v>5.1100000000000003</v>
      </c>
      <c r="DJ637" s="36">
        <v>78</v>
      </c>
      <c r="DK637" s="37">
        <v>1.1299999999999999</v>
      </c>
      <c r="DL637" s="36">
        <v>53</v>
      </c>
      <c r="DM637" s="37">
        <v>9.2100000000000009</v>
      </c>
      <c r="DN637" s="36">
        <v>88</v>
      </c>
      <c r="DO637" s="37">
        <v>5.1100000000000003</v>
      </c>
      <c r="DP637" s="36">
        <v>79</v>
      </c>
      <c r="DQ637" s="36">
        <v>382</v>
      </c>
      <c r="DR637" s="38">
        <v>11</v>
      </c>
      <c r="DS637" s="35">
        <v>2.96</v>
      </c>
      <c r="DT637" s="36">
        <v>267</v>
      </c>
      <c r="DU637" s="38">
        <v>-1</v>
      </c>
      <c r="DV637" s="35">
        <v>-0.37</v>
      </c>
      <c r="DW637" s="36">
        <v>1829</v>
      </c>
      <c r="DX637" s="39">
        <v>7</v>
      </c>
      <c r="DY637" s="35">
        <v>0.38</v>
      </c>
      <c r="DZ637" s="28" t="s">
        <v>178</v>
      </c>
      <c r="EA637" s="34">
        <v>43622</v>
      </c>
      <c r="EB637" s="29">
        <v>178.51</v>
      </c>
      <c r="EC637" s="34">
        <v>42180</v>
      </c>
      <c r="ED637" s="28" t="s">
        <v>173</v>
      </c>
      <c r="EE637" s="40" t="str">
        <f>HYPERLINK("https://my.pitchbook.com?c=53012-44", "View company online")</f>
        <v>View company online</v>
      </c>
    </row>
    <row r="638" spans="1:135">
      <c r="A638" s="15" t="s">
        <v>12828</v>
      </c>
      <c r="B638" s="15" t="s">
        <v>12829</v>
      </c>
      <c r="C638" s="15" t="s">
        <v>138</v>
      </c>
      <c r="D638" s="15" t="s">
        <v>138</v>
      </c>
      <c r="E638" s="15" t="s">
        <v>12830</v>
      </c>
      <c r="F638" s="15" t="s">
        <v>12828</v>
      </c>
      <c r="G638" s="15" t="s">
        <v>12831</v>
      </c>
      <c r="H638" s="15" t="s">
        <v>322</v>
      </c>
      <c r="I638" s="15" t="s">
        <v>323</v>
      </c>
      <c r="J638" s="15" t="s">
        <v>324</v>
      </c>
      <c r="K638" s="15" t="s">
        <v>2464</v>
      </c>
      <c r="L638" s="15" t="s">
        <v>215</v>
      </c>
      <c r="M638" s="15" t="s">
        <v>12832</v>
      </c>
      <c r="N638" s="15" t="s">
        <v>147</v>
      </c>
      <c r="O638" s="17">
        <v>6.75</v>
      </c>
      <c r="P638" s="15" t="s">
        <v>148</v>
      </c>
      <c r="Q638" s="15" t="s">
        <v>149</v>
      </c>
      <c r="R638" s="15" t="s">
        <v>174</v>
      </c>
      <c r="S638" s="15" t="s">
        <v>12833</v>
      </c>
      <c r="T638" s="18">
        <v>2</v>
      </c>
      <c r="U638" s="15" t="s">
        <v>12834</v>
      </c>
      <c r="V638" s="15" t="s">
        <v>138</v>
      </c>
      <c r="W638" s="15" t="s">
        <v>138</v>
      </c>
      <c r="X638" s="19">
        <v>2013</v>
      </c>
      <c r="Y638" s="15" t="s">
        <v>138</v>
      </c>
      <c r="Z638" s="15" t="s">
        <v>138</v>
      </c>
      <c r="AA638" s="15" t="s">
        <v>138</v>
      </c>
      <c r="AB638" s="20" t="s">
        <v>138</v>
      </c>
      <c r="AC638" s="20" t="s">
        <v>138</v>
      </c>
      <c r="AD638" s="20" t="s">
        <v>138</v>
      </c>
      <c r="AE638" s="20" t="s">
        <v>138</v>
      </c>
      <c r="AF638" s="20" t="s">
        <v>138</v>
      </c>
      <c r="AG638" s="15" t="s">
        <v>138</v>
      </c>
      <c r="AH638" s="20" t="s">
        <v>138</v>
      </c>
      <c r="AI638" s="20" t="s">
        <v>138</v>
      </c>
      <c r="AJ638" s="20" t="s">
        <v>138</v>
      </c>
      <c r="AK638" s="15" t="s">
        <v>12835</v>
      </c>
      <c r="AL638" s="15" t="s">
        <v>12836</v>
      </c>
      <c r="AM638" s="15" t="s">
        <v>304</v>
      </c>
      <c r="AN638" s="15" t="s">
        <v>12837</v>
      </c>
      <c r="AO638" s="15" t="s">
        <v>12838</v>
      </c>
      <c r="AP638" s="15" t="s">
        <v>3839</v>
      </c>
      <c r="AQ638" s="15" t="s">
        <v>12839</v>
      </c>
      <c r="AR638" s="15" t="s">
        <v>12840</v>
      </c>
      <c r="AS638" s="15" t="s">
        <v>3841</v>
      </c>
      <c r="AT638" s="15" t="s">
        <v>200</v>
      </c>
      <c r="AU638" s="15" t="s">
        <v>3842</v>
      </c>
      <c r="AV638" s="15" t="s">
        <v>162</v>
      </c>
      <c r="AW638" s="15" t="s">
        <v>12838</v>
      </c>
      <c r="AX638" s="15" t="s">
        <v>138</v>
      </c>
      <c r="AY638" s="15" t="s">
        <v>12841</v>
      </c>
      <c r="AZ638" s="15" t="s">
        <v>164</v>
      </c>
      <c r="BA638" s="15" t="s">
        <v>165</v>
      </c>
      <c r="BB638" s="15" t="s">
        <v>12842</v>
      </c>
      <c r="BC638" s="15" t="s">
        <v>12843</v>
      </c>
      <c r="BD638" s="21">
        <v>13</v>
      </c>
      <c r="BE638" s="15" t="s">
        <v>138</v>
      </c>
      <c r="BF638" s="15" t="s">
        <v>138</v>
      </c>
      <c r="BG638" s="15" t="s">
        <v>138</v>
      </c>
      <c r="BH638" s="15" t="s">
        <v>12844</v>
      </c>
      <c r="BI638" s="15" t="s">
        <v>138</v>
      </c>
      <c r="BJ638" s="15" t="s">
        <v>138</v>
      </c>
      <c r="BK638" s="15" t="s">
        <v>138</v>
      </c>
      <c r="BL638" s="15" t="s">
        <v>138</v>
      </c>
      <c r="BM638" s="22">
        <v>41898</v>
      </c>
      <c r="BN638" s="17">
        <v>1.75</v>
      </c>
      <c r="BO638" s="15" t="s">
        <v>1178</v>
      </c>
      <c r="BP638" s="17">
        <v>5.75</v>
      </c>
      <c r="BQ638" s="15" t="s">
        <v>172</v>
      </c>
      <c r="BR638" s="15" t="s">
        <v>205</v>
      </c>
      <c r="BS638" s="15" t="s">
        <v>206</v>
      </c>
      <c r="BT638" s="15" t="s">
        <v>138</v>
      </c>
      <c r="BU638" s="15" t="s">
        <v>174</v>
      </c>
      <c r="BV638" s="15" t="s">
        <v>138</v>
      </c>
      <c r="BW638" s="15" t="s">
        <v>138</v>
      </c>
      <c r="BX638" s="15" t="s">
        <v>138</v>
      </c>
      <c r="BY638" s="15" t="s">
        <v>175</v>
      </c>
      <c r="BZ638" s="22">
        <v>42912</v>
      </c>
      <c r="CA638" s="17" t="s">
        <v>138</v>
      </c>
      <c r="CB638" s="15" t="s">
        <v>138</v>
      </c>
      <c r="CC638" s="17" t="s">
        <v>138</v>
      </c>
      <c r="CD638" s="15" t="s">
        <v>138</v>
      </c>
      <c r="CE638" s="15" t="s">
        <v>173</v>
      </c>
      <c r="CF638" s="15" t="s">
        <v>433</v>
      </c>
      <c r="CG638" s="15" t="s">
        <v>138</v>
      </c>
      <c r="CH638" s="15" t="s">
        <v>174</v>
      </c>
      <c r="CI638" s="15" t="s">
        <v>138</v>
      </c>
      <c r="CJ638" s="15" t="s">
        <v>138</v>
      </c>
      <c r="CK638" s="15" t="s">
        <v>138</v>
      </c>
      <c r="CL638" s="15" t="s">
        <v>175</v>
      </c>
      <c r="CM638" s="22" t="s">
        <v>138</v>
      </c>
      <c r="CN638" s="17" t="s">
        <v>138</v>
      </c>
      <c r="CO638" s="23">
        <v>0</v>
      </c>
      <c r="CP638" s="24">
        <v>26</v>
      </c>
      <c r="CQ638" s="23">
        <v>0.03</v>
      </c>
      <c r="CR638" s="23">
        <v>100.56</v>
      </c>
      <c r="CS638" s="23" t="s">
        <v>138</v>
      </c>
      <c r="CT638" s="24" t="s">
        <v>138</v>
      </c>
      <c r="CU638" s="23">
        <v>0</v>
      </c>
      <c r="CV638" s="24">
        <v>22</v>
      </c>
      <c r="CW638" s="23" t="s">
        <v>138</v>
      </c>
      <c r="CX638" s="24" t="s">
        <v>138</v>
      </c>
      <c r="CY638" s="23" t="s">
        <v>138</v>
      </c>
      <c r="CZ638" s="24" t="s">
        <v>138</v>
      </c>
      <c r="DA638" s="23">
        <v>0</v>
      </c>
      <c r="DB638" s="24">
        <v>22</v>
      </c>
      <c r="DC638" s="25">
        <v>0.53</v>
      </c>
      <c r="DD638" s="24">
        <v>35</v>
      </c>
      <c r="DE638" s="25">
        <v>0</v>
      </c>
      <c r="DF638" s="23">
        <v>0.79</v>
      </c>
      <c r="DG638" s="25" t="s">
        <v>138</v>
      </c>
      <c r="DH638" s="24" t="s">
        <v>138</v>
      </c>
      <c r="DI638" s="25">
        <v>0.53</v>
      </c>
      <c r="DJ638" s="24">
        <v>37</v>
      </c>
      <c r="DK638" s="25" t="s">
        <v>138</v>
      </c>
      <c r="DL638" s="24" t="s">
        <v>138</v>
      </c>
      <c r="DM638" s="25" t="s">
        <v>138</v>
      </c>
      <c r="DN638" s="24" t="s">
        <v>138</v>
      </c>
      <c r="DO638" s="25">
        <v>1.01</v>
      </c>
      <c r="DP638" s="24">
        <v>51</v>
      </c>
      <c r="DQ638" s="24">
        <v>397</v>
      </c>
      <c r="DR638" s="26">
        <v>-7</v>
      </c>
      <c r="DS638" s="23">
        <v>-1.73</v>
      </c>
      <c r="DT638" s="24" t="s">
        <v>138</v>
      </c>
      <c r="DU638" s="26" t="s">
        <v>138</v>
      </c>
      <c r="DV638" s="23" t="s">
        <v>138</v>
      </c>
      <c r="DW638" s="24">
        <v>361</v>
      </c>
      <c r="DX638" s="27">
        <v>1</v>
      </c>
      <c r="DY638" s="23">
        <v>0.28000000000000003</v>
      </c>
      <c r="DZ638" s="15" t="s">
        <v>178</v>
      </c>
      <c r="EA638" s="22">
        <v>43529</v>
      </c>
      <c r="EB638" s="17">
        <v>22.5</v>
      </c>
      <c r="EC638" s="22">
        <v>42458</v>
      </c>
      <c r="ED638" s="15" t="s">
        <v>205</v>
      </c>
      <c r="EE638" s="14" t="str">
        <f>HYPERLINK("https://my.pitchbook.com?c=97502-23", "View company online")</f>
        <v>View company online</v>
      </c>
    </row>
    <row r="639" spans="1:135">
      <c r="A639" s="28" t="s">
        <v>12845</v>
      </c>
      <c r="B639" s="28" t="s">
        <v>12846</v>
      </c>
      <c r="C639" s="28" t="s">
        <v>138</v>
      </c>
      <c r="D639" s="28" t="s">
        <v>138</v>
      </c>
      <c r="E639" s="28" t="s">
        <v>12847</v>
      </c>
      <c r="F639" s="28" t="s">
        <v>12845</v>
      </c>
      <c r="G639" s="28" t="s">
        <v>12848</v>
      </c>
      <c r="H639" s="28" t="s">
        <v>322</v>
      </c>
      <c r="I639" s="28" t="s">
        <v>323</v>
      </c>
      <c r="J639" s="28" t="s">
        <v>2984</v>
      </c>
      <c r="K639" s="28" t="s">
        <v>5783</v>
      </c>
      <c r="L639" s="28" t="s">
        <v>215</v>
      </c>
      <c r="M639" s="28" t="s">
        <v>12849</v>
      </c>
      <c r="N639" s="28" t="s">
        <v>147</v>
      </c>
      <c r="O639" s="29">
        <v>238.01</v>
      </c>
      <c r="P639" s="28" t="s">
        <v>148</v>
      </c>
      <c r="Q639" s="28" t="s">
        <v>149</v>
      </c>
      <c r="R639" s="28" t="s">
        <v>174</v>
      </c>
      <c r="S639" s="28" t="s">
        <v>12850</v>
      </c>
      <c r="T639" s="30">
        <v>200</v>
      </c>
      <c r="U639" s="28" t="s">
        <v>12851</v>
      </c>
      <c r="V639" s="28" t="s">
        <v>138</v>
      </c>
      <c r="W639" s="28" t="s">
        <v>138</v>
      </c>
      <c r="X639" s="31">
        <v>2012</v>
      </c>
      <c r="Y639" s="28" t="s">
        <v>138</v>
      </c>
      <c r="Z639" s="28" t="s">
        <v>138</v>
      </c>
      <c r="AA639" s="28" t="s">
        <v>1163</v>
      </c>
      <c r="AB639" s="32" t="s">
        <v>138</v>
      </c>
      <c r="AC639" s="32" t="s">
        <v>138</v>
      </c>
      <c r="AD639" s="32" t="s">
        <v>138</v>
      </c>
      <c r="AE639" s="32" t="s">
        <v>138</v>
      </c>
      <c r="AF639" s="32" t="s">
        <v>138</v>
      </c>
      <c r="AG639" s="28" t="s">
        <v>138</v>
      </c>
      <c r="AH639" s="32" t="s">
        <v>138</v>
      </c>
      <c r="AI639" s="32" t="s">
        <v>138</v>
      </c>
      <c r="AJ639" s="32" t="s">
        <v>138</v>
      </c>
      <c r="AK639" s="28" t="s">
        <v>12852</v>
      </c>
      <c r="AL639" s="28" t="s">
        <v>12853</v>
      </c>
      <c r="AM639" s="28" t="s">
        <v>249</v>
      </c>
      <c r="AN639" s="28" t="s">
        <v>12854</v>
      </c>
      <c r="AO639" s="28" t="s">
        <v>12855</v>
      </c>
      <c r="AP639" s="28" t="s">
        <v>1514</v>
      </c>
      <c r="AQ639" s="28" t="s">
        <v>12856</v>
      </c>
      <c r="AR639" s="28" t="s">
        <v>12857</v>
      </c>
      <c r="AS639" s="28" t="s">
        <v>1516</v>
      </c>
      <c r="AT639" s="28" t="s">
        <v>284</v>
      </c>
      <c r="AU639" s="28" t="s">
        <v>1517</v>
      </c>
      <c r="AV639" s="28" t="s">
        <v>162</v>
      </c>
      <c r="AW639" s="28" t="s">
        <v>12855</v>
      </c>
      <c r="AX639" s="28" t="s">
        <v>138</v>
      </c>
      <c r="AY639" s="28" t="s">
        <v>12858</v>
      </c>
      <c r="AZ639" s="28" t="s">
        <v>164</v>
      </c>
      <c r="BA639" s="28" t="s">
        <v>165</v>
      </c>
      <c r="BB639" s="28" t="s">
        <v>12859</v>
      </c>
      <c r="BC639" s="28" t="s">
        <v>12860</v>
      </c>
      <c r="BD639" s="33">
        <v>14</v>
      </c>
      <c r="BE639" s="28" t="s">
        <v>138</v>
      </c>
      <c r="BF639" s="28" t="s">
        <v>138</v>
      </c>
      <c r="BG639" s="28" t="s">
        <v>138</v>
      </c>
      <c r="BH639" s="28" t="s">
        <v>12861</v>
      </c>
      <c r="BI639" s="28" t="s">
        <v>138</v>
      </c>
      <c r="BJ639" s="28" t="s">
        <v>138</v>
      </c>
      <c r="BK639" s="28" t="s">
        <v>12862</v>
      </c>
      <c r="BL639" s="28" t="s">
        <v>11711</v>
      </c>
      <c r="BM639" s="34">
        <v>41005</v>
      </c>
      <c r="BN639" s="29">
        <v>2.2999999999999998</v>
      </c>
      <c r="BO639" s="28" t="s">
        <v>172</v>
      </c>
      <c r="BP639" s="29">
        <v>23.84</v>
      </c>
      <c r="BQ639" s="28" t="s">
        <v>172</v>
      </c>
      <c r="BR639" s="28" t="s">
        <v>234</v>
      </c>
      <c r="BS639" s="28" t="s">
        <v>234</v>
      </c>
      <c r="BT639" s="28" t="s">
        <v>138</v>
      </c>
      <c r="BU639" s="28" t="s">
        <v>174</v>
      </c>
      <c r="BV639" s="28" t="s">
        <v>138</v>
      </c>
      <c r="BW639" s="28" t="s">
        <v>138</v>
      </c>
      <c r="BX639" s="28" t="s">
        <v>138</v>
      </c>
      <c r="BY639" s="28" t="s">
        <v>175</v>
      </c>
      <c r="BZ639" s="34">
        <v>43257</v>
      </c>
      <c r="CA639" s="29">
        <v>93.01</v>
      </c>
      <c r="CB639" s="28" t="s">
        <v>172</v>
      </c>
      <c r="CC639" s="29">
        <v>553.01</v>
      </c>
      <c r="CD639" s="28" t="s">
        <v>172</v>
      </c>
      <c r="CE639" s="28" t="s">
        <v>173</v>
      </c>
      <c r="CF639" s="28" t="s">
        <v>433</v>
      </c>
      <c r="CG639" s="28" t="s">
        <v>138</v>
      </c>
      <c r="CH639" s="28" t="s">
        <v>174</v>
      </c>
      <c r="CI639" s="28" t="s">
        <v>1397</v>
      </c>
      <c r="CJ639" s="28" t="s">
        <v>138</v>
      </c>
      <c r="CK639" s="28" t="s">
        <v>138</v>
      </c>
      <c r="CL639" s="28" t="s">
        <v>175</v>
      </c>
      <c r="CM639" s="34">
        <v>43257</v>
      </c>
      <c r="CN639" s="29">
        <v>8</v>
      </c>
      <c r="CO639" s="35">
        <v>0.06</v>
      </c>
      <c r="CP639" s="36">
        <v>88</v>
      </c>
      <c r="CQ639" s="35">
        <v>0.01</v>
      </c>
      <c r="CR639" s="35">
        <v>24.02</v>
      </c>
      <c r="CS639" s="35">
        <v>-0.62</v>
      </c>
      <c r="CT639" s="36">
        <v>18</v>
      </c>
      <c r="CU639" s="35">
        <v>0.28000000000000003</v>
      </c>
      <c r="CV639" s="36">
        <v>86</v>
      </c>
      <c r="CW639" s="35">
        <v>-0.57999999999999996</v>
      </c>
      <c r="CX639" s="36">
        <v>11</v>
      </c>
      <c r="CY639" s="35">
        <v>-0.65</v>
      </c>
      <c r="CZ639" s="36">
        <v>21</v>
      </c>
      <c r="DA639" s="35">
        <v>0.56999999999999995</v>
      </c>
      <c r="DB639" s="36">
        <v>95</v>
      </c>
      <c r="DC639" s="37">
        <v>4.34</v>
      </c>
      <c r="DD639" s="36">
        <v>81</v>
      </c>
      <c r="DE639" s="37">
        <v>-0.19</v>
      </c>
      <c r="DF639" s="35">
        <v>-4.1900000000000004</v>
      </c>
      <c r="DG639" s="37">
        <v>9.25</v>
      </c>
      <c r="DH639" s="36">
        <v>89</v>
      </c>
      <c r="DI639" s="37">
        <v>3.38</v>
      </c>
      <c r="DJ639" s="36">
        <v>72</v>
      </c>
      <c r="DK639" s="37">
        <v>10.34</v>
      </c>
      <c r="DL639" s="36">
        <v>87</v>
      </c>
      <c r="DM639" s="37">
        <v>8.17</v>
      </c>
      <c r="DN639" s="36">
        <v>87</v>
      </c>
      <c r="DO639" s="37">
        <v>5.93</v>
      </c>
      <c r="DP639" s="36">
        <v>81</v>
      </c>
      <c r="DQ639" s="36">
        <v>3473</v>
      </c>
      <c r="DR639" s="38">
        <v>214</v>
      </c>
      <c r="DS639" s="35">
        <v>6.57</v>
      </c>
      <c r="DT639" s="36">
        <v>236</v>
      </c>
      <c r="DU639" s="38">
        <v>1</v>
      </c>
      <c r="DV639" s="35">
        <v>0.43</v>
      </c>
      <c r="DW639" s="36">
        <v>2109</v>
      </c>
      <c r="DX639" s="39">
        <v>28</v>
      </c>
      <c r="DY639" s="35">
        <v>1.35</v>
      </c>
      <c r="DZ639" s="28" t="s">
        <v>178</v>
      </c>
      <c r="EA639" s="34">
        <v>43616</v>
      </c>
      <c r="EB639" s="29">
        <v>553.01</v>
      </c>
      <c r="EC639" s="34">
        <v>43257</v>
      </c>
      <c r="ED639" s="28" t="s">
        <v>173</v>
      </c>
      <c r="EE639" s="40" t="str">
        <f>HYPERLINK("https://my.pitchbook.com?c=55632-25", "View company online")</f>
        <v>View company online</v>
      </c>
    </row>
    <row r="640" spans="1:135">
      <c r="A640" s="15" t="s">
        <v>12863</v>
      </c>
      <c r="B640" s="15" t="s">
        <v>12864</v>
      </c>
      <c r="C640" s="15" t="s">
        <v>138</v>
      </c>
      <c r="D640" s="15" t="s">
        <v>138</v>
      </c>
      <c r="E640" s="15" t="s">
        <v>12865</v>
      </c>
      <c r="F640" s="15" t="s">
        <v>12863</v>
      </c>
      <c r="G640" s="15" t="s">
        <v>12866</v>
      </c>
      <c r="H640" s="15" t="s">
        <v>322</v>
      </c>
      <c r="I640" s="15" t="s">
        <v>323</v>
      </c>
      <c r="J640" s="15" t="s">
        <v>324</v>
      </c>
      <c r="K640" s="15" t="s">
        <v>1159</v>
      </c>
      <c r="L640" s="15" t="s">
        <v>4341</v>
      </c>
      <c r="M640" s="15" t="s">
        <v>12867</v>
      </c>
      <c r="N640" s="15" t="s">
        <v>147</v>
      </c>
      <c r="O640" s="17">
        <v>113.52</v>
      </c>
      <c r="P640" s="15" t="s">
        <v>148</v>
      </c>
      <c r="Q640" s="15" t="s">
        <v>149</v>
      </c>
      <c r="R640" s="15" t="s">
        <v>244</v>
      </c>
      <c r="S640" s="15" t="s">
        <v>12868</v>
      </c>
      <c r="T640" s="18">
        <v>125</v>
      </c>
      <c r="U640" s="15" t="s">
        <v>12869</v>
      </c>
      <c r="V640" s="15" t="s">
        <v>138</v>
      </c>
      <c r="W640" s="15" t="s">
        <v>138</v>
      </c>
      <c r="X640" s="19">
        <v>2006</v>
      </c>
      <c r="Y640" s="15" t="s">
        <v>138</v>
      </c>
      <c r="Z640" s="15" t="s">
        <v>138</v>
      </c>
      <c r="AA640" s="15" t="s">
        <v>138</v>
      </c>
      <c r="AB640" s="20" t="s">
        <v>138</v>
      </c>
      <c r="AC640" s="20" t="s">
        <v>138</v>
      </c>
      <c r="AD640" s="20" t="s">
        <v>138</v>
      </c>
      <c r="AE640" s="20" t="s">
        <v>138</v>
      </c>
      <c r="AF640" s="20" t="s">
        <v>138</v>
      </c>
      <c r="AG640" s="15" t="s">
        <v>138</v>
      </c>
      <c r="AH640" s="20" t="s">
        <v>138</v>
      </c>
      <c r="AI640" s="20" t="s">
        <v>138</v>
      </c>
      <c r="AJ640" s="20" t="s">
        <v>138</v>
      </c>
      <c r="AK640" s="15" t="s">
        <v>12870</v>
      </c>
      <c r="AL640" s="15" t="s">
        <v>12871</v>
      </c>
      <c r="AM640" s="15" t="s">
        <v>304</v>
      </c>
      <c r="AN640" s="15" t="s">
        <v>12872</v>
      </c>
      <c r="AO640" s="15" t="s">
        <v>12873</v>
      </c>
      <c r="AP640" s="15" t="s">
        <v>665</v>
      </c>
      <c r="AQ640" s="15" t="s">
        <v>12874</v>
      </c>
      <c r="AR640" s="15" t="s">
        <v>6688</v>
      </c>
      <c r="AS640" s="15" t="s">
        <v>668</v>
      </c>
      <c r="AT640" s="15" t="s">
        <v>200</v>
      </c>
      <c r="AU640" s="15" t="s">
        <v>3557</v>
      </c>
      <c r="AV640" s="15" t="s">
        <v>162</v>
      </c>
      <c r="AW640" s="15" t="s">
        <v>12873</v>
      </c>
      <c r="AX640" s="15" t="s">
        <v>12875</v>
      </c>
      <c r="AY640" s="15" t="s">
        <v>12876</v>
      </c>
      <c r="AZ640" s="15" t="s">
        <v>164</v>
      </c>
      <c r="BA640" s="15" t="s">
        <v>165</v>
      </c>
      <c r="BB640" s="15" t="s">
        <v>12877</v>
      </c>
      <c r="BC640" s="15" t="s">
        <v>12878</v>
      </c>
      <c r="BD640" s="21">
        <v>23</v>
      </c>
      <c r="BE640" s="15" t="s">
        <v>138</v>
      </c>
      <c r="BF640" s="15" t="s">
        <v>138</v>
      </c>
      <c r="BG640" s="15" t="s">
        <v>138</v>
      </c>
      <c r="BH640" s="15" t="s">
        <v>12879</v>
      </c>
      <c r="BI640" s="15" t="s">
        <v>138</v>
      </c>
      <c r="BJ640" s="15" t="s">
        <v>138</v>
      </c>
      <c r="BK640" s="15" t="s">
        <v>12880</v>
      </c>
      <c r="BL640" s="15" t="s">
        <v>12881</v>
      </c>
      <c r="BM640" s="22">
        <v>38975</v>
      </c>
      <c r="BN640" s="17">
        <v>1.35</v>
      </c>
      <c r="BO640" s="15" t="s">
        <v>172</v>
      </c>
      <c r="BP640" s="17">
        <v>3.83</v>
      </c>
      <c r="BQ640" s="15" t="s">
        <v>172</v>
      </c>
      <c r="BR640" s="15" t="s">
        <v>205</v>
      </c>
      <c r="BS640" s="15" t="s">
        <v>206</v>
      </c>
      <c r="BT640" s="15" t="s">
        <v>138</v>
      </c>
      <c r="BU640" s="15" t="s">
        <v>174</v>
      </c>
      <c r="BV640" s="15" t="s">
        <v>138</v>
      </c>
      <c r="BW640" s="15" t="s">
        <v>138</v>
      </c>
      <c r="BX640" s="15" t="s">
        <v>138</v>
      </c>
      <c r="BY640" s="15" t="s">
        <v>175</v>
      </c>
      <c r="BZ640" s="22">
        <v>43402</v>
      </c>
      <c r="CA640" s="17">
        <v>37.5</v>
      </c>
      <c r="CB640" s="15" t="s">
        <v>172</v>
      </c>
      <c r="CC640" s="17">
        <v>237.5</v>
      </c>
      <c r="CD640" s="15" t="s">
        <v>172</v>
      </c>
      <c r="CE640" s="15" t="s">
        <v>173</v>
      </c>
      <c r="CF640" s="15" t="s">
        <v>482</v>
      </c>
      <c r="CG640" s="15" t="s">
        <v>138</v>
      </c>
      <c r="CH640" s="15" t="s">
        <v>174</v>
      </c>
      <c r="CI640" s="15" t="s">
        <v>1328</v>
      </c>
      <c r="CJ640" s="15" t="s">
        <v>138</v>
      </c>
      <c r="CK640" s="15" t="s">
        <v>138</v>
      </c>
      <c r="CL640" s="15" t="s">
        <v>175</v>
      </c>
      <c r="CM640" s="22">
        <v>43402</v>
      </c>
      <c r="CN640" s="17">
        <v>8</v>
      </c>
      <c r="CO640" s="23">
        <v>-0.73</v>
      </c>
      <c r="CP640" s="24">
        <v>13</v>
      </c>
      <c r="CQ640" s="23">
        <v>0</v>
      </c>
      <c r="CR640" s="23">
        <v>-0.02</v>
      </c>
      <c r="CS640" s="23">
        <v>-1.5</v>
      </c>
      <c r="CT640" s="24">
        <v>11</v>
      </c>
      <c r="CU640" s="23">
        <v>0.04</v>
      </c>
      <c r="CV640" s="24">
        <v>56</v>
      </c>
      <c r="CW640" s="23">
        <v>3.64</v>
      </c>
      <c r="CX640" s="24">
        <v>93</v>
      </c>
      <c r="CY640" s="23">
        <v>-6.65</v>
      </c>
      <c r="CZ640" s="24">
        <v>2</v>
      </c>
      <c r="DA640" s="23">
        <v>0.04</v>
      </c>
      <c r="DB640" s="24">
        <v>62</v>
      </c>
      <c r="DC640" s="25">
        <v>17.850000000000001</v>
      </c>
      <c r="DD640" s="24">
        <v>94</v>
      </c>
      <c r="DE640" s="25">
        <v>-0.72</v>
      </c>
      <c r="DF640" s="23">
        <v>-3.87</v>
      </c>
      <c r="DG640" s="25">
        <v>19.16</v>
      </c>
      <c r="DH640" s="24">
        <v>94</v>
      </c>
      <c r="DI640" s="25">
        <v>16.54</v>
      </c>
      <c r="DJ640" s="24">
        <v>89</v>
      </c>
      <c r="DK640" s="25">
        <v>23.98</v>
      </c>
      <c r="DL640" s="24">
        <v>93</v>
      </c>
      <c r="DM640" s="25">
        <v>14.34</v>
      </c>
      <c r="DN640" s="24">
        <v>92</v>
      </c>
      <c r="DO640" s="25">
        <v>16.54</v>
      </c>
      <c r="DP640" s="24">
        <v>91</v>
      </c>
      <c r="DQ640" s="24">
        <v>8186</v>
      </c>
      <c r="DR640" s="26">
        <v>116</v>
      </c>
      <c r="DS640" s="23">
        <v>1.44</v>
      </c>
      <c r="DT640" s="24">
        <v>416</v>
      </c>
      <c r="DU640" s="26">
        <v>-2</v>
      </c>
      <c r="DV640" s="23">
        <v>-0.48</v>
      </c>
      <c r="DW640" s="24">
        <v>5914</v>
      </c>
      <c r="DX640" s="27">
        <v>12</v>
      </c>
      <c r="DY640" s="23">
        <v>0.2</v>
      </c>
      <c r="DZ640" s="15" t="s">
        <v>178</v>
      </c>
      <c r="EA640" s="22">
        <v>43622</v>
      </c>
      <c r="EB640" s="17">
        <v>237.5</v>
      </c>
      <c r="EC640" s="22">
        <v>43402</v>
      </c>
      <c r="ED640" s="15" t="s">
        <v>173</v>
      </c>
      <c r="EE640" s="14" t="str">
        <f>HYPERLINK("https://my.pitchbook.com?c=52552-18", "View company online")</f>
        <v>View company online</v>
      </c>
    </row>
    <row r="641" spans="1:135">
      <c r="A641" s="28" t="s">
        <v>12882</v>
      </c>
      <c r="B641" s="28" t="s">
        <v>12883</v>
      </c>
      <c r="C641" s="28" t="s">
        <v>138</v>
      </c>
      <c r="D641" s="28" t="s">
        <v>138</v>
      </c>
      <c r="E641" s="28" t="s">
        <v>12884</v>
      </c>
      <c r="F641" s="28" t="s">
        <v>12882</v>
      </c>
      <c r="G641" s="28" t="s">
        <v>12885</v>
      </c>
      <c r="H641" s="28" t="s">
        <v>322</v>
      </c>
      <c r="I641" s="28" t="s">
        <v>323</v>
      </c>
      <c r="J641" s="28" t="s">
        <v>954</v>
      </c>
      <c r="K641" s="28" t="s">
        <v>12886</v>
      </c>
      <c r="L641" s="28" t="s">
        <v>12887</v>
      </c>
      <c r="M641" s="28" t="s">
        <v>12888</v>
      </c>
      <c r="N641" s="28" t="s">
        <v>147</v>
      </c>
      <c r="O641" s="29">
        <v>74.900000000000006</v>
      </c>
      <c r="P641" s="28" t="s">
        <v>148</v>
      </c>
      <c r="Q641" s="28" t="s">
        <v>149</v>
      </c>
      <c r="R641" s="28" t="s">
        <v>174</v>
      </c>
      <c r="S641" s="28" t="s">
        <v>12889</v>
      </c>
      <c r="T641" s="30">
        <v>203</v>
      </c>
      <c r="U641" s="28" t="s">
        <v>12890</v>
      </c>
      <c r="V641" s="28" t="s">
        <v>138</v>
      </c>
      <c r="W641" s="28" t="s">
        <v>138</v>
      </c>
      <c r="X641" s="31">
        <v>2010</v>
      </c>
      <c r="Y641" s="28" t="s">
        <v>138</v>
      </c>
      <c r="Z641" s="28" t="s">
        <v>138</v>
      </c>
      <c r="AA641" s="28" t="s">
        <v>138</v>
      </c>
      <c r="AB641" s="32">
        <v>24.63</v>
      </c>
      <c r="AC641" s="32">
        <v>15.42</v>
      </c>
      <c r="AD641" s="32">
        <v>-11.21</v>
      </c>
      <c r="AE641" s="32" t="s">
        <v>138</v>
      </c>
      <c r="AF641" s="32">
        <v>-13.05</v>
      </c>
      <c r="AG641" s="28" t="s">
        <v>815</v>
      </c>
      <c r="AH641" s="32" t="s">
        <v>138</v>
      </c>
      <c r="AI641" s="32" t="s">
        <v>138</v>
      </c>
      <c r="AJ641" s="32" t="s">
        <v>138</v>
      </c>
      <c r="AK641" s="28" t="s">
        <v>12891</v>
      </c>
      <c r="AL641" s="28" t="s">
        <v>12892</v>
      </c>
      <c r="AM641" s="28" t="s">
        <v>249</v>
      </c>
      <c r="AN641" s="28" t="s">
        <v>12893</v>
      </c>
      <c r="AO641" s="28" t="s">
        <v>12894</v>
      </c>
      <c r="AP641" s="28" t="s">
        <v>820</v>
      </c>
      <c r="AQ641" s="28" t="s">
        <v>12895</v>
      </c>
      <c r="AR641" s="28" t="s">
        <v>138</v>
      </c>
      <c r="AS641" s="28" t="s">
        <v>823</v>
      </c>
      <c r="AT641" s="28" t="s">
        <v>824</v>
      </c>
      <c r="AU641" s="28" t="s">
        <v>12896</v>
      </c>
      <c r="AV641" s="28" t="s">
        <v>526</v>
      </c>
      <c r="AW641" s="28" t="s">
        <v>12894</v>
      </c>
      <c r="AX641" s="28" t="s">
        <v>138</v>
      </c>
      <c r="AY641" s="28" t="s">
        <v>12897</v>
      </c>
      <c r="AZ641" s="28" t="s">
        <v>530</v>
      </c>
      <c r="BA641" s="28" t="s">
        <v>531</v>
      </c>
      <c r="BB641" s="28" t="s">
        <v>12898</v>
      </c>
      <c r="BC641" s="28" t="s">
        <v>12899</v>
      </c>
      <c r="BD641" s="33">
        <v>9</v>
      </c>
      <c r="BE641" s="28" t="s">
        <v>138</v>
      </c>
      <c r="BF641" s="28" t="s">
        <v>138</v>
      </c>
      <c r="BG641" s="28" t="s">
        <v>138</v>
      </c>
      <c r="BH641" s="28" t="s">
        <v>12900</v>
      </c>
      <c r="BI641" s="28" t="s">
        <v>138</v>
      </c>
      <c r="BJ641" s="28" t="s">
        <v>138</v>
      </c>
      <c r="BK641" s="28" t="s">
        <v>12901</v>
      </c>
      <c r="BL641" s="28" t="s">
        <v>12902</v>
      </c>
      <c r="BM641" s="34">
        <v>40452</v>
      </c>
      <c r="BN641" s="29">
        <v>1.35</v>
      </c>
      <c r="BO641" s="28" t="s">
        <v>172</v>
      </c>
      <c r="BP641" s="29" t="s">
        <v>138</v>
      </c>
      <c r="BQ641" s="28" t="s">
        <v>138</v>
      </c>
      <c r="BR641" s="28" t="s">
        <v>234</v>
      </c>
      <c r="BS641" s="28" t="s">
        <v>234</v>
      </c>
      <c r="BT641" s="28" t="s">
        <v>138</v>
      </c>
      <c r="BU641" s="28" t="s">
        <v>174</v>
      </c>
      <c r="BV641" s="28" t="s">
        <v>138</v>
      </c>
      <c r="BW641" s="28" t="s">
        <v>138</v>
      </c>
      <c r="BX641" s="28" t="s">
        <v>138</v>
      </c>
      <c r="BY641" s="28" t="s">
        <v>175</v>
      </c>
      <c r="BZ641" s="34">
        <v>42422</v>
      </c>
      <c r="CA641" s="29">
        <v>40</v>
      </c>
      <c r="CB641" s="28" t="s">
        <v>172</v>
      </c>
      <c r="CC641" s="29" t="s">
        <v>138</v>
      </c>
      <c r="CD641" s="28" t="s">
        <v>138</v>
      </c>
      <c r="CE641" s="28" t="s">
        <v>173</v>
      </c>
      <c r="CF641" s="28" t="s">
        <v>317</v>
      </c>
      <c r="CG641" s="28" t="s">
        <v>138</v>
      </c>
      <c r="CH641" s="28" t="s">
        <v>174</v>
      </c>
      <c r="CI641" s="28" t="s">
        <v>138</v>
      </c>
      <c r="CJ641" s="28" t="s">
        <v>138</v>
      </c>
      <c r="CK641" s="28" t="s">
        <v>138</v>
      </c>
      <c r="CL641" s="28" t="s">
        <v>175</v>
      </c>
      <c r="CM641" s="34">
        <v>41247</v>
      </c>
      <c r="CN641" s="29" t="s">
        <v>138</v>
      </c>
      <c r="CO641" s="35">
        <v>-0.94</v>
      </c>
      <c r="CP641" s="36">
        <v>11</v>
      </c>
      <c r="CQ641" s="35">
        <v>-0.05</v>
      </c>
      <c r="CR641" s="35">
        <v>-5.65</v>
      </c>
      <c r="CS641" s="35">
        <v>-1.9</v>
      </c>
      <c r="CT641" s="36">
        <v>9</v>
      </c>
      <c r="CU641" s="35">
        <v>0.02</v>
      </c>
      <c r="CV641" s="36">
        <v>51</v>
      </c>
      <c r="CW641" s="35">
        <v>-1.39</v>
      </c>
      <c r="CX641" s="36">
        <v>9</v>
      </c>
      <c r="CY641" s="35">
        <v>-2.41</v>
      </c>
      <c r="CZ641" s="36">
        <v>9</v>
      </c>
      <c r="DA641" s="35">
        <v>0.02</v>
      </c>
      <c r="DB641" s="36">
        <v>58</v>
      </c>
      <c r="DC641" s="37">
        <v>20.51</v>
      </c>
      <c r="DD641" s="36">
        <v>95</v>
      </c>
      <c r="DE641" s="37">
        <v>-0.1</v>
      </c>
      <c r="DF641" s="35">
        <v>-0.5</v>
      </c>
      <c r="DG641" s="37">
        <v>31.3</v>
      </c>
      <c r="DH641" s="36">
        <v>97</v>
      </c>
      <c r="DI641" s="37">
        <v>9.7200000000000006</v>
      </c>
      <c r="DJ641" s="36">
        <v>85</v>
      </c>
      <c r="DK641" s="37">
        <v>2.61</v>
      </c>
      <c r="DL641" s="36">
        <v>69</v>
      </c>
      <c r="DM641" s="37">
        <v>60</v>
      </c>
      <c r="DN641" s="36">
        <v>98</v>
      </c>
      <c r="DO641" s="37">
        <v>9.7200000000000006</v>
      </c>
      <c r="DP641" s="36">
        <v>87</v>
      </c>
      <c r="DQ641" s="36">
        <v>874</v>
      </c>
      <c r="DR641" s="38">
        <v>59</v>
      </c>
      <c r="DS641" s="35">
        <v>7.24</v>
      </c>
      <c r="DT641" s="36">
        <v>1742</v>
      </c>
      <c r="DU641" s="38">
        <v>-2</v>
      </c>
      <c r="DV641" s="35">
        <v>-0.11</v>
      </c>
      <c r="DW641" s="36">
        <v>3482</v>
      </c>
      <c r="DX641" s="39">
        <v>-5</v>
      </c>
      <c r="DY641" s="35">
        <v>-0.14000000000000001</v>
      </c>
      <c r="DZ641" s="28" t="s">
        <v>178</v>
      </c>
      <c r="EA641" s="34">
        <v>43515</v>
      </c>
      <c r="EB641" s="29">
        <v>25.51</v>
      </c>
      <c r="EC641" s="34">
        <v>41247</v>
      </c>
      <c r="ED641" s="28" t="s">
        <v>205</v>
      </c>
      <c r="EE641" s="40" t="str">
        <f>HYPERLINK("https://my.pitchbook.com?c=55717-12", "View company online")</f>
        <v>View company online</v>
      </c>
    </row>
    <row r="642" spans="1:135">
      <c r="A642" s="15" t="s">
        <v>12903</v>
      </c>
      <c r="B642" s="15" t="s">
        <v>12904</v>
      </c>
      <c r="C642" s="15" t="s">
        <v>12905</v>
      </c>
      <c r="D642" s="15" t="s">
        <v>12906</v>
      </c>
      <c r="E642" s="15" t="s">
        <v>12907</v>
      </c>
      <c r="F642" s="15" t="s">
        <v>12903</v>
      </c>
      <c r="G642" s="15" t="s">
        <v>12908</v>
      </c>
      <c r="H642" s="15" t="s">
        <v>141</v>
      </c>
      <c r="I642" s="15" t="s">
        <v>212</v>
      </c>
      <c r="J642" s="15" t="s">
        <v>213</v>
      </c>
      <c r="K642" s="15" t="s">
        <v>12909</v>
      </c>
      <c r="L642" s="15" t="s">
        <v>415</v>
      </c>
      <c r="M642" s="15" t="s">
        <v>12910</v>
      </c>
      <c r="N642" s="15" t="s">
        <v>147</v>
      </c>
      <c r="O642" s="17">
        <v>25</v>
      </c>
      <c r="P642" s="15" t="s">
        <v>148</v>
      </c>
      <c r="Q642" s="15" t="s">
        <v>149</v>
      </c>
      <c r="R642" s="15" t="s">
        <v>150</v>
      </c>
      <c r="S642" s="15" t="s">
        <v>12911</v>
      </c>
      <c r="T642" s="18" t="s">
        <v>138</v>
      </c>
      <c r="U642" s="15" t="s">
        <v>138</v>
      </c>
      <c r="V642" s="15" t="s">
        <v>138</v>
      </c>
      <c r="W642" s="15" t="s">
        <v>138</v>
      </c>
      <c r="X642" s="19">
        <v>1986</v>
      </c>
      <c r="Y642" s="15" t="s">
        <v>138</v>
      </c>
      <c r="Z642" s="15" t="s">
        <v>138</v>
      </c>
      <c r="AA642" s="15" t="s">
        <v>138</v>
      </c>
      <c r="AB642" s="20">
        <v>36.78</v>
      </c>
      <c r="AC642" s="20" t="s">
        <v>138</v>
      </c>
      <c r="AD642" s="20" t="s">
        <v>138</v>
      </c>
      <c r="AE642" s="20" t="s">
        <v>138</v>
      </c>
      <c r="AF642" s="20" t="s">
        <v>138</v>
      </c>
      <c r="AG642" s="15" t="s">
        <v>2214</v>
      </c>
      <c r="AH642" s="20" t="s">
        <v>138</v>
      </c>
      <c r="AI642" s="20" t="s">
        <v>138</v>
      </c>
      <c r="AJ642" s="20" t="s">
        <v>138</v>
      </c>
      <c r="AK642" s="15" t="s">
        <v>12912</v>
      </c>
      <c r="AL642" s="15" t="s">
        <v>12913</v>
      </c>
      <c r="AM642" s="15" t="s">
        <v>249</v>
      </c>
      <c r="AN642" s="15" t="s">
        <v>12914</v>
      </c>
      <c r="AO642" s="15" t="s">
        <v>12915</v>
      </c>
      <c r="AP642" s="15" t="s">
        <v>10256</v>
      </c>
      <c r="AQ642" s="15" t="s">
        <v>12916</v>
      </c>
      <c r="AR642" s="15" t="s">
        <v>12917</v>
      </c>
      <c r="AS642" s="15" t="s">
        <v>10259</v>
      </c>
      <c r="AT642" s="15" t="s">
        <v>12918</v>
      </c>
      <c r="AU642" s="15" t="s">
        <v>12919</v>
      </c>
      <c r="AV642" s="15" t="s">
        <v>2333</v>
      </c>
      <c r="AW642" s="15" t="s">
        <v>12915</v>
      </c>
      <c r="AX642" s="15" t="s">
        <v>12920</v>
      </c>
      <c r="AY642" s="15" t="s">
        <v>12921</v>
      </c>
      <c r="AZ642" s="15" t="s">
        <v>452</v>
      </c>
      <c r="BA642" s="15" t="s">
        <v>2335</v>
      </c>
      <c r="BB642" s="15" t="s">
        <v>12922</v>
      </c>
      <c r="BC642" s="15" t="s">
        <v>12923</v>
      </c>
      <c r="BD642" s="21">
        <v>5</v>
      </c>
      <c r="BE642" s="15" t="s">
        <v>138</v>
      </c>
      <c r="BF642" s="15" t="s">
        <v>138</v>
      </c>
      <c r="BG642" s="15" t="s">
        <v>12924</v>
      </c>
      <c r="BH642" s="15" t="s">
        <v>12925</v>
      </c>
      <c r="BI642" s="15" t="s">
        <v>138</v>
      </c>
      <c r="BJ642" s="15" t="s">
        <v>12926</v>
      </c>
      <c r="BK642" s="15" t="s">
        <v>138</v>
      </c>
      <c r="BL642" s="15" t="s">
        <v>12927</v>
      </c>
      <c r="BM642" s="22">
        <v>36526</v>
      </c>
      <c r="BN642" s="17" t="s">
        <v>138</v>
      </c>
      <c r="BO642" s="15" t="s">
        <v>138</v>
      </c>
      <c r="BP642" s="17" t="s">
        <v>138</v>
      </c>
      <c r="BQ642" s="15" t="s">
        <v>138</v>
      </c>
      <c r="BR642" s="15" t="s">
        <v>1423</v>
      </c>
      <c r="BS642" s="15" t="s">
        <v>138</v>
      </c>
      <c r="BT642" s="15" t="s">
        <v>138</v>
      </c>
      <c r="BU642" s="15" t="s">
        <v>780</v>
      </c>
      <c r="BV642" s="15" t="s">
        <v>138</v>
      </c>
      <c r="BW642" s="15" t="s">
        <v>138</v>
      </c>
      <c r="BX642" s="15" t="s">
        <v>138</v>
      </c>
      <c r="BY642" s="15" t="s">
        <v>175</v>
      </c>
      <c r="BZ642" s="22">
        <v>43041</v>
      </c>
      <c r="CA642" s="17" t="s">
        <v>138</v>
      </c>
      <c r="CB642" s="15" t="s">
        <v>138</v>
      </c>
      <c r="CC642" s="17" t="s">
        <v>138</v>
      </c>
      <c r="CD642" s="15" t="s">
        <v>138</v>
      </c>
      <c r="CE642" s="15" t="s">
        <v>2228</v>
      </c>
      <c r="CF642" s="15" t="s">
        <v>138</v>
      </c>
      <c r="CG642" s="15" t="s">
        <v>138</v>
      </c>
      <c r="CH642" s="15" t="s">
        <v>780</v>
      </c>
      <c r="CI642" s="15" t="s">
        <v>138</v>
      </c>
      <c r="CJ642" s="15" t="s">
        <v>138</v>
      </c>
      <c r="CK642" s="15" t="s">
        <v>138</v>
      </c>
      <c r="CL642" s="15" t="s">
        <v>352</v>
      </c>
      <c r="CM642" s="22" t="s">
        <v>138</v>
      </c>
      <c r="CN642" s="17" t="s">
        <v>138</v>
      </c>
      <c r="CO642" s="23">
        <v>-0.43</v>
      </c>
      <c r="CP642" s="24">
        <v>17</v>
      </c>
      <c r="CQ642" s="23">
        <v>0.01</v>
      </c>
      <c r="CR642" s="23">
        <v>2.4900000000000002</v>
      </c>
      <c r="CS642" s="23">
        <v>-1.1399999999999999</v>
      </c>
      <c r="CT642" s="24">
        <v>14</v>
      </c>
      <c r="CU642" s="23">
        <v>0.28000000000000003</v>
      </c>
      <c r="CV642" s="24">
        <v>86</v>
      </c>
      <c r="CW642" s="23" t="s">
        <v>138</v>
      </c>
      <c r="CX642" s="24" t="s">
        <v>138</v>
      </c>
      <c r="CY642" s="23">
        <v>-1.1399999999999999</v>
      </c>
      <c r="CZ642" s="24">
        <v>18</v>
      </c>
      <c r="DA642" s="23">
        <v>0.39</v>
      </c>
      <c r="DB642" s="24">
        <v>92</v>
      </c>
      <c r="DC642" s="25">
        <v>7.52</v>
      </c>
      <c r="DD642" s="24">
        <v>87</v>
      </c>
      <c r="DE642" s="25">
        <v>0.05</v>
      </c>
      <c r="DF642" s="23">
        <v>0.72</v>
      </c>
      <c r="DG642" s="25">
        <v>8.7200000000000006</v>
      </c>
      <c r="DH642" s="24">
        <v>88</v>
      </c>
      <c r="DI642" s="25">
        <v>6.31</v>
      </c>
      <c r="DJ642" s="24">
        <v>80</v>
      </c>
      <c r="DK642" s="25" t="s">
        <v>138</v>
      </c>
      <c r="DL642" s="24" t="s">
        <v>138</v>
      </c>
      <c r="DM642" s="25">
        <v>8.7200000000000006</v>
      </c>
      <c r="DN642" s="24">
        <v>87</v>
      </c>
      <c r="DO642" s="25">
        <v>5.97</v>
      </c>
      <c r="DP642" s="24">
        <v>82</v>
      </c>
      <c r="DQ642" s="24" t="s">
        <v>138</v>
      </c>
      <c r="DR642" s="26" t="s">
        <v>138</v>
      </c>
      <c r="DS642" s="23" t="s">
        <v>138</v>
      </c>
      <c r="DT642" s="24">
        <v>252</v>
      </c>
      <c r="DU642" s="26">
        <v>4</v>
      </c>
      <c r="DV642" s="23">
        <v>1.61</v>
      </c>
      <c r="DW642" s="24">
        <v>2132</v>
      </c>
      <c r="DX642" s="27">
        <v>19</v>
      </c>
      <c r="DY642" s="23">
        <v>0.9</v>
      </c>
      <c r="DZ642" s="15" t="s">
        <v>178</v>
      </c>
      <c r="EA642" s="22">
        <v>43607</v>
      </c>
      <c r="EB642" s="17" t="s">
        <v>138</v>
      </c>
      <c r="EC642" s="22" t="s">
        <v>138</v>
      </c>
      <c r="ED642" s="15" t="s">
        <v>138</v>
      </c>
      <c r="EE642" s="14" t="str">
        <f>HYPERLINK("https://my.pitchbook.com?c=54755-65", "View company online")</f>
        <v>View company online</v>
      </c>
    </row>
    <row r="643" spans="1:135">
      <c r="A643" s="28" t="s">
        <v>12928</v>
      </c>
      <c r="B643" s="28" t="s">
        <v>12929</v>
      </c>
      <c r="C643" s="28" t="s">
        <v>12930</v>
      </c>
      <c r="D643" s="28" t="s">
        <v>138</v>
      </c>
      <c r="E643" s="28" t="s">
        <v>12931</v>
      </c>
      <c r="F643" s="28" t="s">
        <v>12928</v>
      </c>
      <c r="G643" s="28" t="s">
        <v>12932</v>
      </c>
      <c r="H643" s="28" t="s">
        <v>183</v>
      </c>
      <c r="I643" s="28" t="s">
        <v>4681</v>
      </c>
      <c r="J643" s="28" t="s">
        <v>12487</v>
      </c>
      <c r="K643" s="28" t="s">
        <v>12488</v>
      </c>
      <c r="L643" s="28" t="s">
        <v>4684</v>
      </c>
      <c r="M643" s="28" t="s">
        <v>12933</v>
      </c>
      <c r="N643" s="28" t="s">
        <v>1452</v>
      </c>
      <c r="O643" s="29">
        <v>116.78</v>
      </c>
      <c r="P643" s="28" t="s">
        <v>12934</v>
      </c>
      <c r="Q643" s="28" t="s">
        <v>149</v>
      </c>
      <c r="R643" s="28" t="s">
        <v>328</v>
      </c>
      <c r="S643" s="28" t="s">
        <v>12935</v>
      </c>
      <c r="T643" s="30">
        <v>54</v>
      </c>
      <c r="U643" s="28" t="s">
        <v>12936</v>
      </c>
      <c r="V643" s="28" t="s">
        <v>138</v>
      </c>
      <c r="W643" s="28" t="s">
        <v>138</v>
      </c>
      <c r="X643" s="31">
        <v>1993</v>
      </c>
      <c r="Y643" s="28" t="s">
        <v>12937</v>
      </c>
      <c r="Z643" s="28" t="s">
        <v>138</v>
      </c>
      <c r="AA643" s="28" t="s">
        <v>138</v>
      </c>
      <c r="AB643" s="32">
        <v>4.25</v>
      </c>
      <c r="AC643" s="32" t="s">
        <v>138</v>
      </c>
      <c r="AD643" s="32">
        <v>-16.96</v>
      </c>
      <c r="AE643" s="32" t="s">
        <v>138</v>
      </c>
      <c r="AF643" s="32">
        <v>-16.93</v>
      </c>
      <c r="AG643" s="28" t="s">
        <v>11002</v>
      </c>
      <c r="AH643" s="32" t="s">
        <v>138</v>
      </c>
      <c r="AI643" s="32" t="s">
        <v>138</v>
      </c>
      <c r="AJ643" s="32" t="s">
        <v>138</v>
      </c>
      <c r="AK643" s="28" t="s">
        <v>12938</v>
      </c>
      <c r="AL643" s="28" t="s">
        <v>12939</v>
      </c>
      <c r="AM643" s="28" t="s">
        <v>249</v>
      </c>
      <c r="AN643" s="28" t="s">
        <v>12940</v>
      </c>
      <c r="AO643" s="28" t="s">
        <v>12941</v>
      </c>
      <c r="AP643" s="28" t="s">
        <v>5380</v>
      </c>
      <c r="AQ643" s="28" t="s">
        <v>12942</v>
      </c>
      <c r="AR643" s="28" t="s">
        <v>138</v>
      </c>
      <c r="AS643" s="28" t="s">
        <v>5382</v>
      </c>
      <c r="AT643" s="28" t="s">
        <v>200</v>
      </c>
      <c r="AU643" s="28" t="s">
        <v>12943</v>
      </c>
      <c r="AV643" s="28" t="s">
        <v>162</v>
      </c>
      <c r="AW643" s="28" t="s">
        <v>12941</v>
      </c>
      <c r="AX643" s="28" t="s">
        <v>12944</v>
      </c>
      <c r="AY643" s="28" t="s">
        <v>12945</v>
      </c>
      <c r="AZ643" s="28" t="s">
        <v>164</v>
      </c>
      <c r="BA643" s="28" t="s">
        <v>165</v>
      </c>
      <c r="BB643" s="28" t="s">
        <v>12946</v>
      </c>
      <c r="BC643" s="28" t="s">
        <v>12937</v>
      </c>
      <c r="BD643" s="33">
        <v>1</v>
      </c>
      <c r="BE643" s="28" t="s">
        <v>138</v>
      </c>
      <c r="BF643" s="28" t="s">
        <v>12947</v>
      </c>
      <c r="BG643" s="28" t="s">
        <v>138</v>
      </c>
      <c r="BH643" s="28" t="s">
        <v>12948</v>
      </c>
      <c r="BI643" s="28" t="s">
        <v>12949</v>
      </c>
      <c r="BJ643" s="28" t="s">
        <v>138</v>
      </c>
      <c r="BK643" s="28" t="s">
        <v>138</v>
      </c>
      <c r="BL643" s="28" t="s">
        <v>12950</v>
      </c>
      <c r="BM643" s="34">
        <v>34348</v>
      </c>
      <c r="BN643" s="29">
        <v>0.01</v>
      </c>
      <c r="BO643" s="28" t="s">
        <v>172</v>
      </c>
      <c r="BP643" s="29" t="s">
        <v>138</v>
      </c>
      <c r="BQ643" s="28" t="s">
        <v>138</v>
      </c>
      <c r="BR643" s="28" t="s">
        <v>262</v>
      </c>
      <c r="BS643" s="28" t="s">
        <v>262</v>
      </c>
      <c r="BT643" s="28" t="s">
        <v>138</v>
      </c>
      <c r="BU643" s="28" t="s">
        <v>263</v>
      </c>
      <c r="BV643" s="28" t="s">
        <v>138</v>
      </c>
      <c r="BW643" s="28" t="s">
        <v>138</v>
      </c>
      <c r="BX643" s="28" t="s">
        <v>138</v>
      </c>
      <c r="BY643" s="28" t="s">
        <v>175</v>
      </c>
      <c r="BZ643" s="34">
        <v>41268</v>
      </c>
      <c r="CA643" s="29" t="s">
        <v>138</v>
      </c>
      <c r="CB643" s="28" t="s">
        <v>138</v>
      </c>
      <c r="CC643" s="29" t="s">
        <v>138</v>
      </c>
      <c r="CD643" s="28" t="s">
        <v>138</v>
      </c>
      <c r="CE643" s="28" t="s">
        <v>349</v>
      </c>
      <c r="CF643" s="28" t="s">
        <v>138</v>
      </c>
      <c r="CG643" s="28" t="s">
        <v>138</v>
      </c>
      <c r="CH643" s="28" t="s">
        <v>351</v>
      </c>
      <c r="CI643" s="28" t="s">
        <v>138</v>
      </c>
      <c r="CJ643" s="28" t="s">
        <v>138</v>
      </c>
      <c r="CK643" s="28" t="s">
        <v>138</v>
      </c>
      <c r="CL643" s="28" t="s">
        <v>175</v>
      </c>
      <c r="CM643" s="34" t="s">
        <v>138</v>
      </c>
      <c r="CN643" s="29" t="s">
        <v>138</v>
      </c>
      <c r="CO643" s="35">
        <v>-0.47</v>
      </c>
      <c r="CP643" s="36">
        <v>16</v>
      </c>
      <c r="CQ643" s="35">
        <v>-0.03</v>
      </c>
      <c r="CR643" s="35">
        <v>-5.95</v>
      </c>
      <c r="CS643" s="35">
        <v>-1.1200000000000001</v>
      </c>
      <c r="CT643" s="36">
        <v>14</v>
      </c>
      <c r="CU643" s="35">
        <v>0.18</v>
      </c>
      <c r="CV643" s="36">
        <v>78</v>
      </c>
      <c r="CW643" s="35">
        <v>0</v>
      </c>
      <c r="CX643" s="36">
        <v>13</v>
      </c>
      <c r="CY643" s="35">
        <v>-2.2400000000000002</v>
      </c>
      <c r="CZ643" s="36">
        <v>10</v>
      </c>
      <c r="DA643" s="35">
        <v>0.37</v>
      </c>
      <c r="DB643" s="36">
        <v>91</v>
      </c>
      <c r="DC643" s="37">
        <v>1.37</v>
      </c>
      <c r="DD643" s="36">
        <v>59</v>
      </c>
      <c r="DE643" s="37">
        <v>-0.06</v>
      </c>
      <c r="DF643" s="35">
        <v>-4.24</v>
      </c>
      <c r="DG643" s="37">
        <v>2.52</v>
      </c>
      <c r="DH643" s="36">
        <v>71</v>
      </c>
      <c r="DI643" s="37">
        <v>0.21</v>
      </c>
      <c r="DJ643" s="36">
        <v>23</v>
      </c>
      <c r="DK643" s="37">
        <v>1.65</v>
      </c>
      <c r="DL643" s="36">
        <v>61</v>
      </c>
      <c r="DM643" s="37">
        <v>3.38</v>
      </c>
      <c r="DN643" s="36">
        <v>75</v>
      </c>
      <c r="DO643" s="37">
        <v>0.39</v>
      </c>
      <c r="DP643" s="36">
        <v>34</v>
      </c>
      <c r="DQ643" s="36">
        <v>569</v>
      </c>
      <c r="DR643" s="38">
        <v>-9</v>
      </c>
      <c r="DS643" s="35">
        <v>-1.56</v>
      </c>
      <c r="DT643" s="36">
        <v>98</v>
      </c>
      <c r="DU643" s="38">
        <v>0</v>
      </c>
      <c r="DV643" s="35">
        <v>0</v>
      </c>
      <c r="DW643" s="36">
        <v>140</v>
      </c>
      <c r="DX643" s="39">
        <v>0</v>
      </c>
      <c r="DY643" s="35">
        <v>0</v>
      </c>
      <c r="DZ643" s="28" t="s">
        <v>178</v>
      </c>
      <c r="EA643" s="34">
        <v>43424</v>
      </c>
      <c r="EB643" s="29" t="s">
        <v>138</v>
      </c>
      <c r="EC643" s="34" t="s">
        <v>138</v>
      </c>
      <c r="ED643" s="28" t="s">
        <v>138</v>
      </c>
      <c r="EE643" s="40" t="str">
        <f>HYPERLINK("https://my.pitchbook.com?c=41534-29", "View company online")</f>
        <v>View company online</v>
      </c>
    </row>
    <row r="644" spans="1:135">
      <c r="A644" s="15" t="s">
        <v>12951</v>
      </c>
      <c r="B644" s="15" t="s">
        <v>12952</v>
      </c>
      <c r="C644" s="15" t="s">
        <v>12953</v>
      </c>
      <c r="D644" s="15" t="s">
        <v>138</v>
      </c>
      <c r="E644" s="15" t="s">
        <v>12954</v>
      </c>
      <c r="F644" s="15" t="s">
        <v>12951</v>
      </c>
      <c r="G644" s="15" t="s">
        <v>12955</v>
      </c>
      <c r="H644" s="15" t="s">
        <v>322</v>
      </c>
      <c r="I644" s="15" t="s">
        <v>323</v>
      </c>
      <c r="J644" s="15" t="s">
        <v>324</v>
      </c>
      <c r="K644" s="15" t="s">
        <v>12956</v>
      </c>
      <c r="L644" s="15" t="s">
        <v>12957</v>
      </c>
      <c r="M644" s="15" t="s">
        <v>12958</v>
      </c>
      <c r="N644" s="15" t="s">
        <v>147</v>
      </c>
      <c r="O644" s="17">
        <v>53.05</v>
      </c>
      <c r="P644" s="15" t="s">
        <v>148</v>
      </c>
      <c r="Q644" s="15" t="s">
        <v>149</v>
      </c>
      <c r="R644" s="15" t="s">
        <v>174</v>
      </c>
      <c r="S644" s="15" t="s">
        <v>12959</v>
      </c>
      <c r="T644" s="18">
        <v>81</v>
      </c>
      <c r="U644" s="15" t="s">
        <v>12960</v>
      </c>
      <c r="V644" s="15" t="s">
        <v>138</v>
      </c>
      <c r="W644" s="15" t="s">
        <v>138</v>
      </c>
      <c r="X644" s="19">
        <v>2009</v>
      </c>
      <c r="Y644" s="15" t="s">
        <v>138</v>
      </c>
      <c r="Z644" s="15" t="s">
        <v>138</v>
      </c>
      <c r="AA644" s="15" t="s">
        <v>138</v>
      </c>
      <c r="AB644" s="20" t="s">
        <v>138</v>
      </c>
      <c r="AC644" s="20" t="s">
        <v>138</v>
      </c>
      <c r="AD644" s="20" t="s">
        <v>138</v>
      </c>
      <c r="AE644" s="20" t="s">
        <v>138</v>
      </c>
      <c r="AF644" s="20" t="s">
        <v>138</v>
      </c>
      <c r="AG644" s="15" t="s">
        <v>138</v>
      </c>
      <c r="AH644" s="20" t="s">
        <v>138</v>
      </c>
      <c r="AI644" s="20" t="s">
        <v>138</v>
      </c>
      <c r="AJ644" s="20" t="s">
        <v>138</v>
      </c>
      <c r="AK644" s="15" t="s">
        <v>12961</v>
      </c>
      <c r="AL644" s="15" t="s">
        <v>12962</v>
      </c>
      <c r="AM644" s="15" t="s">
        <v>221</v>
      </c>
      <c r="AN644" s="15" t="s">
        <v>12963</v>
      </c>
      <c r="AO644" s="15" t="s">
        <v>12964</v>
      </c>
      <c r="AP644" s="15" t="s">
        <v>2928</v>
      </c>
      <c r="AQ644" s="15" t="s">
        <v>12965</v>
      </c>
      <c r="AR644" s="15" t="s">
        <v>158</v>
      </c>
      <c r="AS644" s="15" t="s">
        <v>2931</v>
      </c>
      <c r="AT644" s="15" t="s">
        <v>200</v>
      </c>
      <c r="AU644" s="15" t="s">
        <v>2932</v>
      </c>
      <c r="AV644" s="15" t="s">
        <v>162</v>
      </c>
      <c r="AW644" s="15" t="s">
        <v>12964</v>
      </c>
      <c r="AX644" s="15" t="s">
        <v>138</v>
      </c>
      <c r="AY644" s="15" t="s">
        <v>12966</v>
      </c>
      <c r="AZ644" s="15" t="s">
        <v>164</v>
      </c>
      <c r="BA644" s="15" t="s">
        <v>165</v>
      </c>
      <c r="BB644" s="15" t="s">
        <v>12967</v>
      </c>
      <c r="BC644" s="15" t="s">
        <v>12968</v>
      </c>
      <c r="BD644" s="21">
        <v>9</v>
      </c>
      <c r="BE644" s="15" t="s">
        <v>138</v>
      </c>
      <c r="BF644" s="15" t="s">
        <v>138</v>
      </c>
      <c r="BG644" s="15" t="s">
        <v>138</v>
      </c>
      <c r="BH644" s="15" t="s">
        <v>12969</v>
      </c>
      <c r="BI644" s="15" t="s">
        <v>138</v>
      </c>
      <c r="BJ644" s="15" t="s">
        <v>138</v>
      </c>
      <c r="BK644" s="15" t="s">
        <v>2936</v>
      </c>
      <c r="BL644" s="15" t="s">
        <v>2936</v>
      </c>
      <c r="BM644" s="22">
        <v>40100</v>
      </c>
      <c r="BN644" s="17">
        <v>0.75</v>
      </c>
      <c r="BO644" s="15" t="s">
        <v>172</v>
      </c>
      <c r="BP644" s="17">
        <v>3.31</v>
      </c>
      <c r="BQ644" s="15" t="s">
        <v>172</v>
      </c>
      <c r="BR644" s="15" t="s">
        <v>205</v>
      </c>
      <c r="BS644" s="15" t="s">
        <v>206</v>
      </c>
      <c r="BT644" s="15" t="s">
        <v>138</v>
      </c>
      <c r="BU644" s="15" t="s">
        <v>174</v>
      </c>
      <c r="BV644" s="15" t="s">
        <v>138</v>
      </c>
      <c r="BW644" s="15" t="s">
        <v>138</v>
      </c>
      <c r="BX644" s="15" t="s">
        <v>138</v>
      </c>
      <c r="BY644" s="15" t="s">
        <v>175</v>
      </c>
      <c r="BZ644" s="22">
        <v>42424</v>
      </c>
      <c r="CA644" s="17">
        <v>30.05</v>
      </c>
      <c r="CB644" s="15" t="s">
        <v>172</v>
      </c>
      <c r="CC644" s="17">
        <v>158.57</v>
      </c>
      <c r="CD644" s="15" t="s">
        <v>172</v>
      </c>
      <c r="CE644" s="15" t="s">
        <v>173</v>
      </c>
      <c r="CF644" s="15" t="s">
        <v>138</v>
      </c>
      <c r="CG644" s="15" t="s">
        <v>138</v>
      </c>
      <c r="CH644" s="15" t="s">
        <v>174</v>
      </c>
      <c r="CI644" s="15" t="s">
        <v>138</v>
      </c>
      <c r="CJ644" s="15" t="s">
        <v>138</v>
      </c>
      <c r="CK644" s="15" t="s">
        <v>138</v>
      </c>
      <c r="CL644" s="15" t="s">
        <v>175</v>
      </c>
      <c r="CM644" s="22" t="s">
        <v>138</v>
      </c>
      <c r="CN644" s="17" t="s">
        <v>138</v>
      </c>
      <c r="CO644" s="23">
        <v>-1.74</v>
      </c>
      <c r="CP644" s="24">
        <v>6</v>
      </c>
      <c r="CQ644" s="23">
        <v>0.03</v>
      </c>
      <c r="CR644" s="23">
        <v>1.82</v>
      </c>
      <c r="CS644" s="23">
        <v>-3.52</v>
      </c>
      <c r="CT644" s="24">
        <v>4</v>
      </c>
      <c r="CU644" s="23">
        <v>0.03</v>
      </c>
      <c r="CV644" s="24">
        <v>54</v>
      </c>
      <c r="CW644" s="23">
        <v>-6.45</v>
      </c>
      <c r="CX644" s="24">
        <v>2</v>
      </c>
      <c r="CY644" s="23">
        <v>-0.6</v>
      </c>
      <c r="CZ644" s="24">
        <v>21</v>
      </c>
      <c r="DA644" s="23">
        <v>-0.05</v>
      </c>
      <c r="DB644" s="24">
        <v>13</v>
      </c>
      <c r="DC644" s="25">
        <v>2.58</v>
      </c>
      <c r="DD644" s="24">
        <v>72</v>
      </c>
      <c r="DE644" s="25">
        <v>-0.11</v>
      </c>
      <c r="DF644" s="23">
        <v>-4.1500000000000004</v>
      </c>
      <c r="DG644" s="25">
        <v>3.54</v>
      </c>
      <c r="DH644" s="24">
        <v>77</v>
      </c>
      <c r="DI644" s="25">
        <v>1.62</v>
      </c>
      <c r="DJ644" s="24">
        <v>58</v>
      </c>
      <c r="DK644" s="25">
        <v>3.95</v>
      </c>
      <c r="DL644" s="24">
        <v>76</v>
      </c>
      <c r="DM644" s="25">
        <v>3.14</v>
      </c>
      <c r="DN644" s="24">
        <v>74</v>
      </c>
      <c r="DO644" s="25">
        <v>3</v>
      </c>
      <c r="DP644" s="24">
        <v>71</v>
      </c>
      <c r="DQ644" s="24">
        <v>1372</v>
      </c>
      <c r="DR644" s="26">
        <v>-54</v>
      </c>
      <c r="DS644" s="23">
        <v>-3.79</v>
      </c>
      <c r="DT644" s="24">
        <v>90</v>
      </c>
      <c r="DU644" s="26">
        <v>0</v>
      </c>
      <c r="DV644" s="23">
        <v>0</v>
      </c>
      <c r="DW644" s="24">
        <v>1071</v>
      </c>
      <c r="DX644" s="27">
        <v>0</v>
      </c>
      <c r="DY644" s="23">
        <v>0</v>
      </c>
      <c r="DZ644" s="15" t="s">
        <v>178</v>
      </c>
      <c r="EA644" s="22">
        <v>43581</v>
      </c>
      <c r="EB644" s="17">
        <v>158.57</v>
      </c>
      <c r="EC644" s="22">
        <v>42424</v>
      </c>
      <c r="ED644" s="15" t="s">
        <v>173</v>
      </c>
      <c r="EE644" s="14" t="str">
        <f>HYPERLINK("https://my.pitchbook.com?c=53488-09", "View company online")</f>
        <v>View company online</v>
      </c>
    </row>
    <row r="645" spans="1:135">
      <c r="A645" s="28" t="s">
        <v>12970</v>
      </c>
      <c r="B645" s="28" t="s">
        <v>12971</v>
      </c>
      <c r="C645" s="28" t="s">
        <v>138</v>
      </c>
      <c r="D645" s="28" t="s">
        <v>12972</v>
      </c>
      <c r="E645" s="28" t="s">
        <v>138</v>
      </c>
      <c r="F645" s="28" t="s">
        <v>12970</v>
      </c>
      <c r="G645" s="28" t="s">
        <v>12973</v>
      </c>
      <c r="H645" s="28" t="s">
        <v>141</v>
      </c>
      <c r="I645" s="28" t="s">
        <v>212</v>
      </c>
      <c r="J645" s="28" t="s">
        <v>11306</v>
      </c>
      <c r="K645" s="28" t="s">
        <v>12974</v>
      </c>
      <c r="L645" s="28" t="s">
        <v>12975</v>
      </c>
      <c r="M645" s="28" t="s">
        <v>12976</v>
      </c>
      <c r="N645" s="28" t="s">
        <v>147</v>
      </c>
      <c r="O645" s="29" t="s">
        <v>138</v>
      </c>
      <c r="P645" s="28" t="s">
        <v>148</v>
      </c>
      <c r="Q645" s="28" t="s">
        <v>149</v>
      </c>
      <c r="R645" s="28" t="s">
        <v>174</v>
      </c>
      <c r="S645" s="28" t="s">
        <v>12977</v>
      </c>
      <c r="T645" s="30" t="s">
        <v>138</v>
      </c>
      <c r="U645" s="28" t="s">
        <v>138</v>
      </c>
      <c r="V645" s="28" t="s">
        <v>138</v>
      </c>
      <c r="W645" s="28" t="s">
        <v>138</v>
      </c>
      <c r="X645" s="31">
        <v>2012</v>
      </c>
      <c r="Y645" s="28" t="s">
        <v>138</v>
      </c>
      <c r="Z645" s="28" t="s">
        <v>138</v>
      </c>
      <c r="AA645" s="28" t="s">
        <v>138</v>
      </c>
      <c r="AB645" s="32" t="s">
        <v>138</v>
      </c>
      <c r="AC645" s="32" t="s">
        <v>138</v>
      </c>
      <c r="AD645" s="32" t="s">
        <v>138</v>
      </c>
      <c r="AE645" s="32" t="s">
        <v>138</v>
      </c>
      <c r="AF645" s="32" t="s">
        <v>138</v>
      </c>
      <c r="AG645" s="28" t="s">
        <v>138</v>
      </c>
      <c r="AH645" s="32" t="s">
        <v>138</v>
      </c>
      <c r="AI645" s="32" t="s">
        <v>138</v>
      </c>
      <c r="AJ645" s="32" t="s">
        <v>138</v>
      </c>
      <c r="AK645" s="28" t="s">
        <v>12978</v>
      </c>
      <c r="AL645" s="28" t="s">
        <v>12979</v>
      </c>
      <c r="AM645" s="28" t="s">
        <v>304</v>
      </c>
      <c r="AN645" s="28" t="s">
        <v>12980</v>
      </c>
      <c r="AO645" s="28" t="s">
        <v>12981</v>
      </c>
      <c r="AP645" s="28" t="s">
        <v>1457</v>
      </c>
      <c r="AQ645" s="28" t="s">
        <v>12982</v>
      </c>
      <c r="AR645" s="28" t="s">
        <v>12983</v>
      </c>
      <c r="AS645" s="28" t="s">
        <v>1460</v>
      </c>
      <c r="AT645" s="28" t="s">
        <v>474</v>
      </c>
      <c r="AU645" s="28" t="s">
        <v>12984</v>
      </c>
      <c r="AV645" s="28" t="s">
        <v>162</v>
      </c>
      <c r="AW645" s="28" t="s">
        <v>12981</v>
      </c>
      <c r="AX645" s="28" t="s">
        <v>138</v>
      </c>
      <c r="AY645" s="28" t="s">
        <v>12985</v>
      </c>
      <c r="AZ645" s="28" t="s">
        <v>164</v>
      </c>
      <c r="BA645" s="28" t="s">
        <v>165</v>
      </c>
      <c r="BB645" s="28" t="s">
        <v>12986</v>
      </c>
      <c r="BC645" s="28" t="s">
        <v>12987</v>
      </c>
      <c r="BD645" s="33">
        <v>2</v>
      </c>
      <c r="BE645" s="28" t="s">
        <v>138</v>
      </c>
      <c r="BF645" s="28" t="s">
        <v>138</v>
      </c>
      <c r="BG645" s="28" t="s">
        <v>138</v>
      </c>
      <c r="BH645" s="28" t="s">
        <v>138</v>
      </c>
      <c r="BI645" s="28" t="s">
        <v>138</v>
      </c>
      <c r="BJ645" s="28" t="s">
        <v>138</v>
      </c>
      <c r="BK645" s="28" t="s">
        <v>138</v>
      </c>
      <c r="BL645" s="28" t="s">
        <v>138</v>
      </c>
      <c r="BM645" s="34">
        <v>42128</v>
      </c>
      <c r="BN645" s="29" t="s">
        <v>138</v>
      </c>
      <c r="BO645" s="28" t="s">
        <v>138</v>
      </c>
      <c r="BP645" s="29" t="s">
        <v>138</v>
      </c>
      <c r="BQ645" s="28" t="s">
        <v>138</v>
      </c>
      <c r="BR645" s="28" t="s">
        <v>205</v>
      </c>
      <c r="BS645" s="28" t="s">
        <v>206</v>
      </c>
      <c r="BT645" s="28" t="s">
        <v>138</v>
      </c>
      <c r="BU645" s="28" t="s">
        <v>174</v>
      </c>
      <c r="BV645" s="28" t="s">
        <v>138</v>
      </c>
      <c r="BW645" s="28" t="s">
        <v>138</v>
      </c>
      <c r="BX645" s="28" t="s">
        <v>138</v>
      </c>
      <c r="BY645" s="28" t="s">
        <v>175</v>
      </c>
      <c r="BZ645" s="34">
        <v>42128</v>
      </c>
      <c r="CA645" s="29" t="s">
        <v>138</v>
      </c>
      <c r="CB645" s="28" t="s">
        <v>138</v>
      </c>
      <c r="CC645" s="29" t="s">
        <v>138</v>
      </c>
      <c r="CD645" s="28" t="s">
        <v>138</v>
      </c>
      <c r="CE645" s="28" t="s">
        <v>205</v>
      </c>
      <c r="CF645" s="28" t="s">
        <v>206</v>
      </c>
      <c r="CG645" s="28" t="s">
        <v>138</v>
      </c>
      <c r="CH645" s="28" t="s">
        <v>174</v>
      </c>
      <c r="CI645" s="28" t="s">
        <v>138</v>
      </c>
      <c r="CJ645" s="28" t="s">
        <v>138</v>
      </c>
      <c r="CK645" s="28" t="s">
        <v>138</v>
      </c>
      <c r="CL645" s="28" t="s">
        <v>175</v>
      </c>
      <c r="CM645" s="34" t="s">
        <v>138</v>
      </c>
      <c r="CN645" s="29" t="s">
        <v>138</v>
      </c>
      <c r="CO645" s="35">
        <v>0</v>
      </c>
      <c r="CP645" s="36">
        <v>26</v>
      </c>
      <c r="CQ645" s="35">
        <v>0</v>
      </c>
      <c r="CR645" s="35">
        <v>0</v>
      </c>
      <c r="CS645" s="35">
        <v>0</v>
      </c>
      <c r="CT645" s="36">
        <v>23</v>
      </c>
      <c r="CU645" s="35">
        <v>0</v>
      </c>
      <c r="CV645" s="36">
        <v>22</v>
      </c>
      <c r="CW645" s="35" t="s">
        <v>138</v>
      </c>
      <c r="CX645" s="36" t="s">
        <v>138</v>
      </c>
      <c r="CY645" s="35">
        <v>0</v>
      </c>
      <c r="CZ645" s="36">
        <v>25</v>
      </c>
      <c r="DA645" s="35">
        <v>0</v>
      </c>
      <c r="DB645" s="36">
        <v>22</v>
      </c>
      <c r="DC645" s="37">
        <v>0.27</v>
      </c>
      <c r="DD645" s="36">
        <v>20</v>
      </c>
      <c r="DE645" s="37">
        <v>0</v>
      </c>
      <c r="DF645" s="35">
        <v>0.06</v>
      </c>
      <c r="DG645" s="37">
        <v>0.48</v>
      </c>
      <c r="DH645" s="36">
        <v>33</v>
      </c>
      <c r="DI645" s="37">
        <v>0.06</v>
      </c>
      <c r="DJ645" s="36">
        <v>10</v>
      </c>
      <c r="DK645" s="37" t="s">
        <v>138</v>
      </c>
      <c r="DL645" s="36" t="s">
        <v>138</v>
      </c>
      <c r="DM645" s="37">
        <v>0.48</v>
      </c>
      <c r="DN645" s="36">
        <v>33</v>
      </c>
      <c r="DO645" s="37">
        <v>0.06</v>
      </c>
      <c r="DP645" s="36">
        <v>11</v>
      </c>
      <c r="DQ645" s="36" t="s">
        <v>138</v>
      </c>
      <c r="DR645" s="38" t="s">
        <v>138</v>
      </c>
      <c r="DS645" s="35" t="s">
        <v>138</v>
      </c>
      <c r="DT645" s="36">
        <v>14</v>
      </c>
      <c r="DU645" s="38">
        <v>0</v>
      </c>
      <c r="DV645" s="35">
        <v>0</v>
      </c>
      <c r="DW645" s="36">
        <v>20</v>
      </c>
      <c r="DX645" s="39">
        <v>0</v>
      </c>
      <c r="DY645" s="35">
        <v>0</v>
      </c>
      <c r="DZ645" s="28" t="s">
        <v>178</v>
      </c>
      <c r="EA645" s="34">
        <v>43351</v>
      </c>
      <c r="EB645" s="29" t="s">
        <v>138</v>
      </c>
      <c r="EC645" s="34" t="s">
        <v>138</v>
      </c>
      <c r="ED645" s="28" t="s">
        <v>138</v>
      </c>
      <c r="EE645" s="40" t="str">
        <f>HYPERLINK("https://my.pitchbook.com?c=112632-40", "View company online")</f>
        <v>View company online</v>
      </c>
    </row>
    <row r="646" spans="1:135">
      <c r="A646" s="15" t="s">
        <v>12988</v>
      </c>
      <c r="B646" s="15" t="s">
        <v>12989</v>
      </c>
      <c r="C646" s="15" t="s">
        <v>138</v>
      </c>
      <c r="D646" s="15" t="s">
        <v>138</v>
      </c>
      <c r="E646" s="15" t="s">
        <v>12990</v>
      </c>
      <c r="F646" s="15" t="s">
        <v>12988</v>
      </c>
      <c r="G646" s="15" t="s">
        <v>12991</v>
      </c>
      <c r="H646" s="15" t="s">
        <v>141</v>
      </c>
      <c r="I646" s="15" t="s">
        <v>212</v>
      </c>
      <c r="J646" s="15" t="s">
        <v>213</v>
      </c>
      <c r="K646" s="15" t="s">
        <v>1064</v>
      </c>
      <c r="L646" s="15" t="s">
        <v>12992</v>
      </c>
      <c r="M646" s="15" t="s">
        <v>12993</v>
      </c>
      <c r="N646" s="15" t="s">
        <v>147</v>
      </c>
      <c r="O646" s="17">
        <v>76.900000000000006</v>
      </c>
      <c r="P646" s="15" t="s">
        <v>148</v>
      </c>
      <c r="Q646" s="15" t="s">
        <v>149</v>
      </c>
      <c r="R646" s="15" t="s">
        <v>244</v>
      </c>
      <c r="S646" s="15" t="s">
        <v>12994</v>
      </c>
      <c r="T646" s="18">
        <v>700</v>
      </c>
      <c r="U646" s="15" t="s">
        <v>12995</v>
      </c>
      <c r="V646" s="15" t="s">
        <v>138</v>
      </c>
      <c r="W646" s="15" t="s">
        <v>138</v>
      </c>
      <c r="X646" s="19">
        <v>2006</v>
      </c>
      <c r="Y646" s="15" t="s">
        <v>138</v>
      </c>
      <c r="Z646" s="15" t="s">
        <v>138</v>
      </c>
      <c r="AA646" s="15" t="s">
        <v>138</v>
      </c>
      <c r="AB646" s="20">
        <v>100</v>
      </c>
      <c r="AC646" s="20" t="s">
        <v>138</v>
      </c>
      <c r="AD646" s="20" t="s">
        <v>138</v>
      </c>
      <c r="AE646" s="20" t="s">
        <v>138</v>
      </c>
      <c r="AF646" s="20" t="s">
        <v>138</v>
      </c>
      <c r="AG646" s="15" t="s">
        <v>633</v>
      </c>
      <c r="AH646" s="20" t="s">
        <v>138</v>
      </c>
      <c r="AI646" s="20" t="s">
        <v>138</v>
      </c>
      <c r="AJ646" s="20" t="s">
        <v>138</v>
      </c>
      <c r="AK646" s="15" t="s">
        <v>12996</v>
      </c>
      <c r="AL646" s="15" t="s">
        <v>12997</v>
      </c>
      <c r="AM646" s="15" t="s">
        <v>304</v>
      </c>
      <c r="AN646" s="15" t="s">
        <v>12998</v>
      </c>
      <c r="AO646" s="15" t="s">
        <v>138</v>
      </c>
      <c r="AP646" s="15" t="s">
        <v>665</v>
      </c>
      <c r="AQ646" s="15" t="s">
        <v>9518</v>
      </c>
      <c r="AR646" s="15" t="s">
        <v>138</v>
      </c>
      <c r="AS646" s="15" t="s">
        <v>668</v>
      </c>
      <c r="AT646" s="15" t="s">
        <v>200</v>
      </c>
      <c r="AU646" s="15" t="s">
        <v>3557</v>
      </c>
      <c r="AV646" s="15" t="s">
        <v>162</v>
      </c>
      <c r="AW646" s="15" t="s">
        <v>138</v>
      </c>
      <c r="AX646" s="15" t="s">
        <v>138</v>
      </c>
      <c r="AY646" s="15" t="s">
        <v>138</v>
      </c>
      <c r="AZ646" s="15" t="s">
        <v>164</v>
      </c>
      <c r="BA646" s="15" t="s">
        <v>165</v>
      </c>
      <c r="BB646" s="15" t="s">
        <v>12999</v>
      </c>
      <c r="BC646" s="15" t="s">
        <v>13000</v>
      </c>
      <c r="BD646" s="21">
        <v>10</v>
      </c>
      <c r="BE646" s="15" t="s">
        <v>138</v>
      </c>
      <c r="BF646" s="15" t="s">
        <v>13001</v>
      </c>
      <c r="BG646" s="15" t="s">
        <v>138</v>
      </c>
      <c r="BH646" s="15" t="s">
        <v>13002</v>
      </c>
      <c r="BI646" s="15" t="s">
        <v>13003</v>
      </c>
      <c r="BJ646" s="15" t="s">
        <v>138</v>
      </c>
      <c r="BK646" s="15" t="s">
        <v>13004</v>
      </c>
      <c r="BL646" s="15" t="s">
        <v>13005</v>
      </c>
      <c r="BM646" s="22">
        <v>39202</v>
      </c>
      <c r="BN646" s="17">
        <v>6.2</v>
      </c>
      <c r="BO646" s="15" t="s">
        <v>172</v>
      </c>
      <c r="BP646" s="17">
        <v>31.09</v>
      </c>
      <c r="BQ646" s="15" t="s">
        <v>172</v>
      </c>
      <c r="BR646" s="15" t="s">
        <v>205</v>
      </c>
      <c r="BS646" s="15" t="s">
        <v>206</v>
      </c>
      <c r="BT646" s="15" t="s">
        <v>138</v>
      </c>
      <c r="BU646" s="15" t="s">
        <v>174</v>
      </c>
      <c r="BV646" s="15" t="s">
        <v>138</v>
      </c>
      <c r="BW646" s="15" t="s">
        <v>138</v>
      </c>
      <c r="BX646" s="15" t="s">
        <v>138</v>
      </c>
      <c r="BY646" s="15" t="s">
        <v>175</v>
      </c>
      <c r="BZ646" s="22" t="s">
        <v>138</v>
      </c>
      <c r="CA646" s="17" t="s">
        <v>138</v>
      </c>
      <c r="CB646" s="15" t="s">
        <v>138</v>
      </c>
      <c r="CC646" s="17" t="s">
        <v>138</v>
      </c>
      <c r="CD646" s="15" t="s">
        <v>138</v>
      </c>
      <c r="CE646" s="15" t="s">
        <v>379</v>
      </c>
      <c r="CF646" s="15" t="s">
        <v>138</v>
      </c>
      <c r="CG646" s="15" t="s">
        <v>138</v>
      </c>
      <c r="CH646" s="15" t="s">
        <v>174</v>
      </c>
      <c r="CI646" s="15" t="s">
        <v>138</v>
      </c>
      <c r="CJ646" s="15" t="s">
        <v>138</v>
      </c>
      <c r="CK646" s="15" t="s">
        <v>138</v>
      </c>
      <c r="CL646" s="15" t="s">
        <v>175</v>
      </c>
      <c r="CM646" s="22">
        <v>43190</v>
      </c>
      <c r="CN646" s="17">
        <v>15</v>
      </c>
      <c r="CO646" s="23">
        <v>-0.45</v>
      </c>
      <c r="CP646" s="24">
        <v>17</v>
      </c>
      <c r="CQ646" s="23">
        <v>-0.01</v>
      </c>
      <c r="CR646" s="23">
        <v>-1.75</v>
      </c>
      <c r="CS646" s="23">
        <v>-0.99</v>
      </c>
      <c r="CT646" s="24">
        <v>15</v>
      </c>
      <c r="CU646" s="23">
        <v>0.09</v>
      </c>
      <c r="CV646" s="24">
        <v>66</v>
      </c>
      <c r="CW646" s="23">
        <v>-0.42</v>
      </c>
      <c r="CX646" s="24">
        <v>11</v>
      </c>
      <c r="CY646" s="23">
        <v>-1.55</v>
      </c>
      <c r="CZ646" s="24">
        <v>14</v>
      </c>
      <c r="DA646" s="23">
        <v>0.13</v>
      </c>
      <c r="DB646" s="24">
        <v>76</v>
      </c>
      <c r="DC646" s="25">
        <v>701.44</v>
      </c>
      <c r="DD646" s="24">
        <v>100</v>
      </c>
      <c r="DE646" s="25">
        <v>-6.12</v>
      </c>
      <c r="DF646" s="23">
        <v>-0.87</v>
      </c>
      <c r="DG646" s="25">
        <v>1384.03</v>
      </c>
      <c r="DH646" s="24">
        <v>100</v>
      </c>
      <c r="DI646" s="25">
        <v>18.84</v>
      </c>
      <c r="DJ646" s="24">
        <v>90</v>
      </c>
      <c r="DK646" s="25">
        <v>193.07</v>
      </c>
      <c r="DL646" s="24">
        <v>99</v>
      </c>
      <c r="DM646" s="25">
        <v>2575</v>
      </c>
      <c r="DN646" s="24">
        <v>100</v>
      </c>
      <c r="DO646" s="25">
        <v>31.47</v>
      </c>
      <c r="DP646" s="24">
        <v>95</v>
      </c>
      <c r="DQ646" s="24">
        <v>65904</v>
      </c>
      <c r="DR646" s="26">
        <v>955</v>
      </c>
      <c r="DS646" s="23">
        <v>1.47</v>
      </c>
      <c r="DT646" s="24">
        <v>74674</v>
      </c>
      <c r="DU646" s="26">
        <v>67</v>
      </c>
      <c r="DV646" s="23">
        <v>0.09</v>
      </c>
      <c r="DW646" s="24">
        <v>11266</v>
      </c>
      <c r="DX646" s="27">
        <v>5</v>
      </c>
      <c r="DY646" s="23">
        <v>0.04</v>
      </c>
      <c r="DZ646" s="15" t="s">
        <v>178</v>
      </c>
      <c r="EA646" s="22">
        <v>43622</v>
      </c>
      <c r="EB646" s="17">
        <v>327.84</v>
      </c>
      <c r="EC646" s="22">
        <v>40899</v>
      </c>
      <c r="ED646" s="15" t="s">
        <v>173</v>
      </c>
      <c r="EE646" s="14" t="str">
        <f>HYPERLINK("https://my.pitchbook.com?c=12672-91", "View company online")</f>
        <v>View company online</v>
      </c>
    </row>
    <row r="647" spans="1:135">
      <c r="A647" s="28" t="s">
        <v>13006</v>
      </c>
      <c r="B647" s="28" t="s">
        <v>13007</v>
      </c>
      <c r="C647" s="28" t="s">
        <v>138</v>
      </c>
      <c r="D647" s="28" t="s">
        <v>138</v>
      </c>
      <c r="E647" s="28" t="s">
        <v>13008</v>
      </c>
      <c r="F647" s="28" t="s">
        <v>13006</v>
      </c>
      <c r="G647" s="28" t="s">
        <v>13009</v>
      </c>
      <c r="H647" s="28" t="s">
        <v>183</v>
      </c>
      <c r="I647" s="28" t="s">
        <v>4681</v>
      </c>
      <c r="J647" s="28" t="s">
        <v>9676</v>
      </c>
      <c r="K647" s="28" t="s">
        <v>13010</v>
      </c>
      <c r="L647" s="28" t="s">
        <v>13011</v>
      </c>
      <c r="M647" s="28" t="s">
        <v>13012</v>
      </c>
      <c r="N647" s="28" t="s">
        <v>147</v>
      </c>
      <c r="O647" s="29">
        <v>33.049999999999997</v>
      </c>
      <c r="P647" s="28" t="s">
        <v>934</v>
      </c>
      <c r="Q647" s="28" t="s">
        <v>149</v>
      </c>
      <c r="R647" s="28" t="s">
        <v>174</v>
      </c>
      <c r="S647" s="28" t="s">
        <v>13013</v>
      </c>
      <c r="T647" s="30">
        <v>26</v>
      </c>
      <c r="U647" s="28" t="s">
        <v>13014</v>
      </c>
      <c r="V647" s="28" t="s">
        <v>138</v>
      </c>
      <c r="W647" s="28" t="s">
        <v>138</v>
      </c>
      <c r="X647" s="31">
        <v>2009</v>
      </c>
      <c r="Y647" s="28" t="s">
        <v>138</v>
      </c>
      <c r="Z647" s="28" t="s">
        <v>138</v>
      </c>
      <c r="AA647" s="28" t="s">
        <v>138</v>
      </c>
      <c r="AB647" s="32" t="s">
        <v>138</v>
      </c>
      <c r="AC647" s="32" t="s">
        <v>138</v>
      </c>
      <c r="AD647" s="32" t="s">
        <v>138</v>
      </c>
      <c r="AE647" s="32" t="s">
        <v>138</v>
      </c>
      <c r="AF647" s="32" t="s">
        <v>138</v>
      </c>
      <c r="AG647" s="28" t="s">
        <v>138</v>
      </c>
      <c r="AH647" s="32" t="s">
        <v>138</v>
      </c>
      <c r="AI647" s="32" t="s">
        <v>138</v>
      </c>
      <c r="AJ647" s="32" t="s">
        <v>138</v>
      </c>
      <c r="AK647" s="28" t="s">
        <v>13015</v>
      </c>
      <c r="AL647" s="28" t="s">
        <v>13016</v>
      </c>
      <c r="AM647" s="28" t="s">
        <v>2413</v>
      </c>
      <c r="AN647" s="28" t="s">
        <v>13017</v>
      </c>
      <c r="AO647" s="28" t="s">
        <v>13018</v>
      </c>
      <c r="AP647" s="28" t="s">
        <v>2928</v>
      </c>
      <c r="AQ647" s="28" t="s">
        <v>13019</v>
      </c>
      <c r="AR647" s="28" t="s">
        <v>13020</v>
      </c>
      <c r="AS647" s="28" t="s">
        <v>2931</v>
      </c>
      <c r="AT647" s="28" t="s">
        <v>200</v>
      </c>
      <c r="AU647" s="28" t="s">
        <v>2932</v>
      </c>
      <c r="AV647" s="28" t="s">
        <v>162</v>
      </c>
      <c r="AW647" s="28" t="s">
        <v>13021</v>
      </c>
      <c r="AX647" s="28" t="s">
        <v>138</v>
      </c>
      <c r="AY647" s="28" t="s">
        <v>13022</v>
      </c>
      <c r="AZ647" s="28" t="s">
        <v>164</v>
      </c>
      <c r="BA647" s="28" t="s">
        <v>165</v>
      </c>
      <c r="BB647" s="28" t="s">
        <v>13023</v>
      </c>
      <c r="BC647" s="28" t="s">
        <v>13024</v>
      </c>
      <c r="BD647" s="33">
        <v>8</v>
      </c>
      <c r="BE647" s="28" t="s">
        <v>138</v>
      </c>
      <c r="BF647" s="28" t="s">
        <v>138</v>
      </c>
      <c r="BG647" s="28" t="s">
        <v>138</v>
      </c>
      <c r="BH647" s="28" t="s">
        <v>13025</v>
      </c>
      <c r="BI647" s="28" t="s">
        <v>138</v>
      </c>
      <c r="BJ647" s="28" t="s">
        <v>138</v>
      </c>
      <c r="BK647" s="28" t="s">
        <v>13026</v>
      </c>
      <c r="BL647" s="28" t="s">
        <v>290</v>
      </c>
      <c r="BM647" s="34">
        <v>40644</v>
      </c>
      <c r="BN647" s="29">
        <v>1.2</v>
      </c>
      <c r="BO647" s="28" t="s">
        <v>172</v>
      </c>
      <c r="BP647" s="29">
        <v>14.2</v>
      </c>
      <c r="BQ647" s="28" t="s">
        <v>172</v>
      </c>
      <c r="BR647" s="28" t="s">
        <v>205</v>
      </c>
      <c r="BS647" s="28" t="s">
        <v>206</v>
      </c>
      <c r="BT647" s="28" t="s">
        <v>138</v>
      </c>
      <c r="BU647" s="28" t="s">
        <v>174</v>
      </c>
      <c r="BV647" s="28" t="s">
        <v>138</v>
      </c>
      <c r="BW647" s="28" t="s">
        <v>138</v>
      </c>
      <c r="BX647" s="28" t="s">
        <v>138</v>
      </c>
      <c r="BY647" s="28" t="s">
        <v>175</v>
      </c>
      <c r="BZ647" s="34">
        <v>43299</v>
      </c>
      <c r="CA647" s="29">
        <v>17.05</v>
      </c>
      <c r="CB647" s="28" t="s">
        <v>172</v>
      </c>
      <c r="CC647" s="29">
        <v>67.05</v>
      </c>
      <c r="CD647" s="28" t="s">
        <v>172</v>
      </c>
      <c r="CE647" s="28" t="s">
        <v>173</v>
      </c>
      <c r="CF647" s="28" t="s">
        <v>13027</v>
      </c>
      <c r="CG647" s="28" t="s">
        <v>138</v>
      </c>
      <c r="CH647" s="28" t="s">
        <v>174</v>
      </c>
      <c r="CI647" s="28" t="s">
        <v>138</v>
      </c>
      <c r="CJ647" s="28" t="s">
        <v>138</v>
      </c>
      <c r="CK647" s="28" t="s">
        <v>138</v>
      </c>
      <c r="CL647" s="28" t="s">
        <v>175</v>
      </c>
      <c r="CM647" s="34" t="s">
        <v>138</v>
      </c>
      <c r="CN647" s="29" t="s">
        <v>138</v>
      </c>
      <c r="CO647" s="35">
        <v>0.68</v>
      </c>
      <c r="CP647" s="36">
        <v>96</v>
      </c>
      <c r="CQ647" s="35">
        <v>0</v>
      </c>
      <c r="CR647" s="35">
        <v>0</v>
      </c>
      <c r="CS647" s="35">
        <v>0</v>
      </c>
      <c r="CT647" s="36">
        <v>23</v>
      </c>
      <c r="CU647" s="35" t="s">
        <v>138</v>
      </c>
      <c r="CV647" s="36" t="s">
        <v>138</v>
      </c>
      <c r="CW647" s="35" t="s">
        <v>138</v>
      </c>
      <c r="CX647" s="36" t="s">
        <v>138</v>
      </c>
      <c r="CY647" s="35">
        <v>0</v>
      </c>
      <c r="CZ647" s="36">
        <v>25</v>
      </c>
      <c r="DA647" s="35" t="s">
        <v>138</v>
      </c>
      <c r="DB647" s="36" t="s">
        <v>138</v>
      </c>
      <c r="DC647" s="37">
        <v>0.9</v>
      </c>
      <c r="DD647" s="36">
        <v>48</v>
      </c>
      <c r="DE647" s="37">
        <v>0.02</v>
      </c>
      <c r="DF647" s="35">
        <v>1.96</v>
      </c>
      <c r="DG647" s="37">
        <v>1.76</v>
      </c>
      <c r="DH647" s="36">
        <v>64</v>
      </c>
      <c r="DI647" s="37" t="s">
        <v>138</v>
      </c>
      <c r="DJ647" s="36" t="s">
        <v>138</v>
      </c>
      <c r="DK647" s="37" t="s">
        <v>138</v>
      </c>
      <c r="DL647" s="36" t="s">
        <v>138</v>
      </c>
      <c r="DM647" s="37">
        <v>1.76</v>
      </c>
      <c r="DN647" s="36">
        <v>63</v>
      </c>
      <c r="DO647" s="37" t="s">
        <v>138</v>
      </c>
      <c r="DP647" s="36" t="s">
        <v>138</v>
      </c>
      <c r="DQ647" s="36" t="s">
        <v>138</v>
      </c>
      <c r="DR647" s="38" t="s">
        <v>138</v>
      </c>
      <c r="DS647" s="35" t="s">
        <v>138</v>
      </c>
      <c r="DT647" s="36">
        <v>50</v>
      </c>
      <c r="DU647" s="38">
        <v>1</v>
      </c>
      <c r="DV647" s="35">
        <v>2.04</v>
      </c>
      <c r="DW647" s="36" t="s">
        <v>138</v>
      </c>
      <c r="DX647" s="39" t="s">
        <v>138</v>
      </c>
      <c r="DY647" s="35" t="s">
        <v>138</v>
      </c>
      <c r="DZ647" s="28" t="s">
        <v>178</v>
      </c>
      <c r="EA647" s="34">
        <v>43581</v>
      </c>
      <c r="EB647" s="29">
        <v>67.05</v>
      </c>
      <c r="EC647" s="34">
        <v>43299</v>
      </c>
      <c r="ED647" s="28" t="s">
        <v>173</v>
      </c>
      <c r="EE647" s="40" t="str">
        <f>HYPERLINK("https://my.pitchbook.com?c=63419-14", "View company online")</f>
        <v>View company online</v>
      </c>
    </row>
    <row r="648" spans="1:135">
      <c r="A648" s="15" t="s">
        <v>13028</v>
      </c>
      <c r="B648" s="15" t="s">
        <v>13029</v>
      </c>
      <c r="C648" s="15" t="s">
        <v>138</v>
      </c>
      <c r="D648" s="15" t="s">
        <v>13030</v>
      </c>
      <c r="E648" s="15" t="s">
        <v>13031</v>
      </c>
      <c r="F648" s="15" t="s">
        <v>13028</v>
      </c>
      <c r="G648" s="15" t="s">
        <v>13032</v>
      </c>
      <c r="H648" s="15" t="s">
        <v>322</v>
      </c>
      <c r="I648" s="15" t="s">
        <v>1503</v>
      </c>
      <c r="J648" s="15" t="s">
        <v>1836</v>
      </c>
      <c r="K648" s="15" t="s">
        <v>9275</v>
      </c>
      <c r="L648" s="15" t="s">
        <v>13033</v>
      </c>
      <c r="M648" s="15" t="s">
        <v>13034</v>
      </c>
      <c r="N648" s="15" t="s">
        <v>147</v>
      </c>
      <c r="O648" s="17">
        <v>325.10000000000002</v>
      </c>
      <c r="P648" s="15" t="s">
        <v>148</v>
      </c>
      <c r="Q648" s="15" t="s">
        <v>149</v>
      </c>
      <c r="R648" s="15" t="s">
        <v>174</v>
      </c>
      <c r="S648" s="15" t="s">
        <v>13035</v>
      </c>
      <c r="T648" s="18">
        <v>250</v>
      </c>
      <c r="U648" s="15" t="s">
        <v>13036</v>
      </c>
      <c r="V648" s="15" t="s">
        <v>138</v>
      </c>
      <c r="W648" s="15" t="s">
        <v>138</v>
      </c>
      <c r="X648" s="19">
        <v>2012</v>
      </c>
      <c r="Y648" s="15" t="s">
        <v>138</v>
      </c>
      <c r="Z648" s="15" t="s">
        <v>1163</v>
      </c>
      <c r="AA648" s="15" t="s">
        <v>1163</v>
      </c>
      <c r="AB648" s="20" t="s">
        <v>138</v>
      </c>
      <c r="AC648" s="20" t="s">
        <v>138</v>
      </c>
      <c r="AD648" s="20" t="s">
        <v>138</v>
      </c>
      <c r="AE648" s="20" t="s">
        <v>138</v>
      </c>
      <c r="AF648" s="20" t="s">
        <v>138</v>
      </c>
      <c r="AG648" s="15" t="s">
        <v>138</v>
      </c>
      <c r="AH648" s="20" t="s">
        <v>138</v>
      </c>
      <c r="AI648" s="20" t="s">
        <v>138</v>
      </c>
      <c r="AJ648" s="20" t="s">
        <v>138</v>
      </c>
      <c r="AK648" s="15" t="s">
        <v>13037</v>
      </c>
      <c r="AL648" s="15" t="s">
        <v>13038</v>
      </c>
      <c r="AM648" s="15" t="s">
        <v>7338</v>
      </c>
      <c r="AN648" s="15" t="s">
        <v>13039</v>
      </c>
      <c r="AO648" s="15" t="s">
        <v>13040</v>
      </c>
      <c r="AP648" s="15" t="s">
        <v>1244</v>
      </c>
      <c r="AQ648" s="15" t="s">
        <v>13041</v>
      </c>
      <c r="AR648" s="15" t="s">
        <v>138</v>
      </c>
      <c r="AS648" s="15" t="s">
        <v>1246</v>
      </c>
      <c r="AT648" s="15" t="s">
        <v>200</v>
      </c>
      <c r="AU648" s="15" t="s">
        <v>4589</v>
      </c>
      <c r="AV648" s="15" t="s">
        <v>162</v>
      </c>
      <c r="AW648" s="15" t="s">
        <v>13042</v>
      </c>
      <c r="AX648" s="15" t="s">
        <v>13043</v>
      </c>
      <c r="AY648" s="15" t="s">
        <v>13044</v>
      </c>
      <c r="AZ648" s="15" t="s">
        <v>164</v>
      </c>
      <c r="BA648" s="15" t="s">
        <v>165</v>
      </c>
      <c r="BB648" s="15" t="s">
        <v>13045</v>
      </c>
      <c r="BC648" s="15" t="s">
        <v>13046</v>
      </c>
      <c r="BD648" s="21">
        <v>23</v>
      </c>
      <c r="BE648" s="15" t="s">
        <v>138</v>
      </c>
      <c r="BF648" s="15" t="s">
        <v>138</v>
      </c>
      <c r="BG648" s="15" t="s">
        <v>138</v>
      </c>
      <c r="BH648" s="15" t="s">
        <v>13047</v>
      </c>
      <c r="BI648" s="15" t="s">
        <v>138</v>
      </c>
      <c r="BJ648" s="15" t="s">
        <v>138</v>
      </c>
      <c r="BK648" s="15" t="s">
        <v>13048</v>
      </c>
      <c r="BL648" s="15" t="s">
        <v>13049</v>
      </c>
      <c r="BM648" s="22">
        <v>41705</v>
      </c>
      <c r="BN648" s="17">
        <v>3.5</v>
      </c>
      <c r="BO648" s="15" t="s">
        <v>172</v>
      </c>
      <c r="BP648" s="17">
        <v>11.73</v>
      </c>
      <c r="BQ648" s="15" t="s">
        <v>172</v>
      </c>
      <c r="BR648" s="15" t="s">
        <v>234</v>
      </c>
      <c r="BS648" s="15" t="s">
        <v>234</v>
      </c>
      <c r="BT648" s="15" t="s">
        <v>138</v>
      </c>
      <c r="BU648" s="15" t="s">
        <v>174</v>
      </c>
      <c r="BV648" s="15" t="s">
        <v>138</v>
      </c>
      <c r="BW648" s="15" t="s">
        <v>138</v>
      </c>
      <c r="BX648" s="15" t="s">
        <v>138</v>
      </c>
      <c r="BY648" s="15" t="s">
        <v>175</v>
      </c>
      <c r="BZ648" s="22">
        <v>43403</v>
      </c>
      <c r="CA648" s="17">
        <v>175</v>
      </c>
      <c r="CB648" s="15" t="s">
        <v>172</v>
      </c>
      <c r="CC648" s="17">
        <v>2275</v>
      </c>
      <c r="CD648" s="15" t="s">
        <v>172</v>
      </c>
      <c r="CE648" s="15" t="s">
        <v>173</v>
      </c>
      <c r="CF648" s="15" t="s">
        <v>317</v>
      </c>
      <c r="CG648" s="15" t="s">
        <v>138</v>
      </c>
      <c r="CH648" s="15" t="s">
        <v>174</v>
      </c>
      <c r="CI648" s="15" t="s">
        <v>138</v>
      </c>
      <c r="CJ648" s="15" t="s">
        <v>138</v>
      </c>
      <c r="CK648" s="15" t="s">
        <v>138</v>
      </c>
      <c r="CL648" s="15" t="s">
        <v>175</v>
      </c>
      <c r="CM648" s="22" t="s">
        <v>138</v>
      </c>
      <c r="CN648" s="17" t="s">
        <v>138</v>
      </c>
      <c r="CO648" s="23">
        <v>1.53</v>
      </c>
      <c r="CP648" s="24">
        <v>98</v>
      </c>
      <c r="CQ648" s="23">
        <v>0</v>
      </c>
      <c r="CR648" s="23">
        <v>-0.1</v>
      </c>
      <c r="CS648" s="23">
        <v>2.86</v>
      </c>
      <c r="CT648" s="24">
        <v>99</v>
      </c>
      <c r="CU648" s="23">
        <v>0.19</v>
      </c>
      <c r="CV648" s="24">
        <v>79</v>
      </c>
      <c r="CW648" s="23">
        <v>6.66</v>
      </c>
      <c r="CX648" s="24">
        <v>98</v>
      </c>
      <c r="CY648" s="23">
        <v>-0.93</v>
      </c>
      <c r="CZ648" s="24">
        <v>19</v>
      </c>
      <c r="DA648" s="23">
        <v>0.23</v>
      </c>
      <c r="DB648" s="24">
        <v>85</v>
      </c>
      <c r="DC648" s="25">
        <v>8</v>
      </c>
      <c r="DD648" s="24">
        <v>88</v>
      </c>
      <c r="DE648" s="25">
        <v>-0.26</v>
      </c>
      <c r="DF648" s="23">
        <v>-3.19</v>
      </c>
      <c r="DG648" s="25">
        <v>12.2</v>
      </c>
      <c r="DH648" s="24">
        <v>91</v>
      </c>
      <c r="DI648" s="25">
        <v>3.79</v>
      </c>
      <c r="DJ648" s="24">
        <v>73</v>
      </c>
      <c r="DK648" s="25">
        <v>8.5500000000000007</v>
      </c>
      <c r="DL648" s="24">
        <v>85</v>
      </c>
      <c r="DM648" s="25">
        <v>15.86</v>
      </c>
      <c r="DN648" s="24">
        <v>93</v>
      </c>
      <c r="DO648" s="25">
        <v>6.41</v>
      </c>
      <c r="DP648" s="24">
        <v>82</v>
      </c>
      <c r="DQ648" s="24">
        <v>2836</v>
      </c>
      <c r="DR648" s="26">
        <v>283</v>
      </c>
      <c r="DS648" s="23">
        <v>11.08</v>
      </c>
      <c r="DT648" s="24">
        <v>460</v>
      </c>
      <c r="DU648" s="26">
        <v>0</v>
      </c>
      <c r="DV648" s="23">
        <v>0</v>
      </c>
      <c r="DW648" s="24">
        <v>2292</v>
      </c>
      <c r="DX648" s="27">
        <v>2</v>
      </c>
      <c r="DY648" s="23">
        <v>0.09</v>
      </c>
      <c r="DZ648" s="15" t="s">
        <v>178</v>
      </c>
      <c r="EA648" s="22">
        <v>43622</v>
      </c>
      <c r="EB648" s="17">
        <v>2275</v>
      </c>
      <c r="EC648" s="22">
        <v>43403</v>
      </c>
      <c r="ED648" s="15" t="s">
        <v>173</v>
      </c>
      <c r="EE648" s="14" t="str">
        <f>HYPERLINK("https://my.pitchbook.com?c=60490-00", "View company online")</f>
        <v>View company online</v>
      </c>
    </row>
    <row r="649" spans="1:135">
      <c r="A649" s="28" t="s">
        <v>13050</v>
      </c>
      <c r="B649" s="28" t="s">
        <v>13051</v>
      </c>
      <c r="C649" s="28" t="s">
        <v>138</v>
      </c>
      <c r="D649" s="28" t="s">
        <v>138</v>
      </c>
      <c r="E649" s="28" t="s">
        <v>138</v>
      </c>
      <c r="F649" s="28" t="s">
        <v>13050</v>
      </c>
      <c r="G649" s="28" t="s">
        <v>13052</v>
      </c>
      <c r="H649" s="28" t="s">
        <v>322</v>
      </c>
      <c r="I649" s="28" t="s">
        <v>323</v>
      </c>
      <c r="J649" s="28" t="s">
        <v>324</v>
      </c>
      <c r="K649" s="28" t="s">
        <v>13053</v>
      </c>
      <c r="L649" s="28" t="s">
        <v>415</v>
      </c>
      <c r="M649" s="28" t="s">
        <v>13054</v>
      </c>
      <c r="N649" s="28" t="s">
        <v>147</v>
      </c>
      <c r="O649" s="29">
        <v>3.99</v>
      </c>
      <c r="P649" s="28" t="s">
        <v>148</v>
      </c>
      <c r="Q649" s="28" t="s">
        <v>149</v>
      </c>
      <c r="R649" s="28" t="s">
        <v>244</v>
      </c>
      <c r="S649" s="28" t="s">
        <v>13055</v>
      </c>
      <c r="T649" s="30">
        <v>23</v>
      </c>
      <c r="U649" s="28" t="s">
        <v>13056</v>
      </c>
      <c r="V649" s="28" t="s">
        <v>138</v>
      </c>
      <c r="W649" s="28" t="s">
        <v>138</v>
      </c>
      <c r="X649" s="31">
        <v>2012</v>
      </c>
      <c r="Y649" s="28" t="s">
        <v>138</v>
      </c>
      <c r="Z649" s="28" t="s">
        <v>138</v>
      </c>
      <c r="AA649" s="28" t="s">
        <v>138</v>
      </c>
      <c r="AB649" s="32" t="s">
        <v>138</v>
      </c>
      <c r="AC649" s="32" t="s">
        <v>138</v>
      </c>
      <c r="AD649" s="32" t="s">
        <v>138</v>
      </c>
      <c r="AE649" s="32" t="s">
        <v>138</v>
      </c>
      <c r="AF649" s="32" t="s">
        <v>138</v>
      </c>
      <c r="AG649" s="28" t="s">
        <v>138</v>
      </c>
      <c r="AH649" s="32" t="s">
        <v>138</v>
      </c>
      <c r="AI649" s="32" t="s">
        <v>138</v>
      </c>
      <c r="AJ649" s="32" t="s">
        <v>138</v>
      </c>
      <c r="AK649" s="28" t="s">
        <v>13057</v>
      </c>
      <c r="AL649" s="28" t="s">
        <v>13058</v>
      </c>
      <c r="AM649" s="28" t="s">
        <v>5161</v>
      </c>
      <c r="AN649" s="28" t="s">
        <v>13059</v>
      </c>
      <c r="AO649" s="28" t="s">
        <v>13060</v>
      </c>
      <c r="AP649" s="28" t="s">
        <v>13061</v>
      </c>
      <c r="AQ649" s="28" t="s">
        <v>13062</v>
      </c>
      <c r="AR649" s="28" t="s">
        <v>138</v>
      </c>
      <c r="AS649" s="28" t="s">
        <v>13063</v>
      </c>
      <c r="AT649" s="28" t="s">
        <v>13064</v>
      </c>
      <c r="AU649" s="28" t="s">
        <v>13065</v>
      </c>
      <c r="AV649" s="28" t="s">
        <v>2742</v>
      </c>
      <c r="AW649" s="28" t="s">
        <v>13060</v>
      </c>
      <c r="AX649" s="28" t="s">
        <v>138</v>
      </c>
      <c r="AY649" s="28" t="s">
        <v>13066</v>
      </c>
      <c r="AZ649" s="28" t="s">
        <v>164</v>
      </c>
      <c r="BA649" s="28" t="s">
        <v>165</v>
      </c>
      <c r="BB649" s="28" t="s">
        <v>13067</v>
      </c>
      <c r="BC649" s="28" t="s">
        <v>13068</v>
      </c>
      <c r="BD649" s="33">
        <v>6</v>
      </c>
      <c r="BE649" s="28" t="s">
        <v>138</v>
      </c>
      <c r="BF649" s="28" t="s">
        <v>138</v>
      </c>
      <c r="BG649" s="28" t="s">
        <v>138</v>
      </c>
      <c r="BH649" s="28" t="s">
        <v>13069</v>
      </c>
      <c r="BI649" s="28" t="s">
        <v>138</v>
      </c>
      <c r="BJ649" s="28" t="s">
        <v>138</v>
      </c>
      <c r="BK649" s="28" t="s">
        <v>138</v>
      </c>
      <c r="BL649" s="28" t="s">
        <v>13070</v>
      </c>
      <c r="BM649" s="34">
        <v>42064</v>
      </c>
      <c r="BN649" s="29">
        <v>1</v>
      </c>
      <c r="BO649" s="28" t="s">
        <v>172</v>
      </c>
      <c r="BP649" s="29" t="s">
        <v>138</v>
      </c>
      <c r="BQ649" s="28" t="s">
        <v>138</v>
      </c>
      <c r="BR649" s="28" t="s">
        <v>205</v>
      </c>
      <c r="BS649" s="28" t="s">
        <v>138</v>
      </c>
      <c r="BT649" s="28" t="s">
        <v>138</v>
      </c>
      <c r="BU649" s="28" t="s">
        <v>174</v>
      </c>
      <c r="BV649" s="28" t="s">
        <v>138</v>
      </c>
      <c r="BW649" s="28" t="s">
        <v>138</v>
      </c>
      <c r="BX649" s="28" t="s">
        <v>138</v>
      </c>
      <c r="BY649" s="28" t="s">
        <v>175</v>
      </c>
      <c r="BZ649" s="34">
        <v>43172</v>
      </c>
      <c r="CA649" s="29">
        <v>0.75</v>
      </c>
      <c r="CB649" s="28" t="s">
        <v>1178</v>
      </c>
      <c r="CC649" s="29" t="s">
        <v>138</v>
      </c>
      <c r="CD649" s="28" t="s">
        <v>138</v>
      </c>
      <c r="CE649" s="28" t="s">
        <v>176</v>
      </c>
      <c r="CF649" s="28" t="s">
        <v>138</v>
      </c>
      <c r="CG649" s="28" t="s">
        <v>138</v>
      </c>
      <c r="CH649" s="28" t="s">
        <v>177</v>
      </c>
      <c r="CI649" s="28" t="s">
        <v>138</v>
      </c>
      <c r="CJ649" s="28" t="s">
        <v>138</v>
      </c>
      <c r="CK649" s="28" t="s">
        <v>138</v>
      </c>
      <c r="CL649" s="28" t="s">
        <v>175</v>
      </c>
      <c r="CM649" s="34">
        <v>42577</v>
      </c>
      <c r="CN649" s="29">
        <v>2.99</v>
      </c>
      <c r="CO649" s="35">
        <v>0.28000000000000003</v>
      </c>
      <c r="CP649" s="36">
        <v>93</v>
      </c>
      <c r="CQ649" s="35">
        <v>-0.04</v>
      </c>
      <c r="CR649" s="35">
        <v>-12.74</v>
      </c>
      <c r="CS649" s="35">
        <v>0.6</v>
      </c>
      <c r="CT649" s="36">
        <v>96</v>
      </c>
      <c r="CU649" s="35">
        <v>-0.04</v>
      </c>
      <c r="CV649" s="36">
        <v>12</v>
      </c>
      <c r="CW649" s="35">
        <v>1.21</v>
      </c>
      <c r="CX649" s="36">
        <v>85</v>
      </c>
      <c r="CY649" s="35">
        <v>0</v>
      </c>
      <c r="CZ649" s="36">
        <v>25</v>
      </c>
      <c r="DA649" s="35">
        <v>-0.04</v>
      </c>
      <c r="DB649" s="36">
        <v>15</v>
      </c>
      <c r="DC649" s="37">
        <v>4.18</v>
      </c>
      <c r="DD649" s="36">
        <v>80</v>
      </c>
      <c r="DE649" s="37">
        <v>-0.16</v>
      </c>
      <c r="DF649" s="35">
        <v>-3.66</v>
      </c>
      <c r="DG649" s="37">
        <v>2.81</v>
      </c>
      <c r="DH649" s="36">
        <v>73</v>
      </c>
      <c r="DI649" s="37">
        <v>5.54</v>
      </c>
      <c r="DJ649" s="36">
        <v>79</v>
      </c>
      <c r="DK649" s="37">
        <v>5.22</v>
      </c>
      <c r="DL649" s="36">
        <v>80</v>
      </c>
      <c r="DM649" s="37">
        <v>0.41</v>
      </c>
      <c r="DN649" s="36">
        <v>30</v>
      </c>
      <c r="DO649" s="37">
        <v>5.54</v>
      </c>
      <c r="DP649" s="36">
        <v>81</v>
      </c>
      <c r="DQ649" s="36">
        <v>1700</v>
      </c>
      <c r="DR649" s="38">
        <v>267</v>
      </c>
      <c r="DS649" s="35">
        <v>18.63</v>
      </c>
      <c r="DT649" s="36">
        <v>12</v>
      </c>
      <c r="DU649" s="38">
        <v>0</v>
      </c>
      <c r="DV649" s="35">
        <v>0</v>
      </c>
      <c r="DW649" s="36">
        <v>1983</v>
      </c>
      <c r="DX649" s="39">
        <v>-6</v>
      </c>
      <c r="DY649" s="35">
        <v>-0.3</v>
      </c>
      <c r="DZ649" s="28" t="s">
        <v>178</v>
      </c>
      <c r="EA649" s="34">
        <v>43351</v>
      </c>
      <c r="EB649" s="29" t="s">
        <v>138</v>
      </c>
      <c r="EC649" s="34" t="s">
        <v>138</v>
      </c>
      <c r="ED649" s="28" t="s">
        <v>138</v>
      </c>
      <c r="EE649" s="40" t="str">
        <f>HYPERLINK("https://my.pitchbook.com?c=104685-85", "View company online")</f>
        <v>View company online</v>
      </c>
    </row>
    <row r="650" spans="1:135">
      <c r="A650" s="15" t="s">
        <v>13071</v>
      </c>
      <c r="B650" s="15" t="s">
        <v>13072</v>
      </c>
      <c r="C650" s="15" t="s">
        <v>138</v>
      </c>
      <c r="D650" s="15" t="s">
        <v>138</v>
      </c>
      <c r="E650" s="15" t="s">
        <v>13073</v>
      </c>
      <c r="F650" s="15" t="s">
        <v>13071</v>
      </c>
      <c r="G650" s="15" t="s">
        <v>13074</v>
      </c>
      <c r="H650" s="15" t="s">
        <v>385</v>
      </c>
      <c r="I650" s="15" t="s">
        <v>1991</v>
      </c>
      <c r="J650" s="15" t="s">
        <v>1992</v>
      </c>
      <c r="K650" s="15" t="s">
        <v>13075</v>
      </c>
      <c r="L650" s="15" t="s">
        <v>13076</v>
      </c>
      <c r="M650" s="15" t="s">
        <v>13077</v>
      </c>
      <c r="N650" s="15" t="s">
        <v>147</v>
      </c>
      <c r="O650" s="17">
        <v>23.8</v>
      </c>
      <c r="P650" s="15" t="s">
        <v>148</v>
      </c>
      <c r="Q650" s="15" t="s">
        <v>149</v>
      </c>
      <c r="R650" s="15" t="s">
        <v>174</v>
      </c>
      <c r="S650" s="15" t="s">
        <v>13078</v>
      </c>
      <c r="T650" s="18">
        <v>12</v>
      </c>
      <c r="U650" s="15" t="s">
        <v>13079</v>
      </c>
      <c r="V650" s="15" t="s">
        <v>138</v>
      </c>
      <c r="W650" s="15" t="s">
        <v>138</v>
      </c>
      <c r="X650" s="19">
        <v>2009</v>
      </c>
      <c r="Y650" s="15" t="s">
        <v>138</v>
      </c>
      <c r="Z650" s="15" t="s">
        <v>138</v>
      </c>
      <c r="AA650" s="15" t="s">
        <v>138</v>
      </c>
      <c r="AB650" s="20" t="s">
        <v>138</v>
      </c>
      <c r="AC650" s="20" t="s">
        <v>138</v>
      </c>
      <c r="AD650" s="20" t="s">
        <v>138</v>
      </c>
      <c r="AE650" s="20" t="s">
        <v>138</v>
      </c>
      <c r="AF650" s="20" t="s">
        <v>138</v>
      </c>
      <c r="AG650" s="15" t="s">
        <v>138</v>
      </c>
      <c r="AH650" s="20" t="s">
        <v>138</v>
      </c>
      <c r="AI650" s="20" t="s">
        <v>138</v>
      </c>
      <c r="AJ650" s="20" t="s">
        <v>138</v>
      </c>
      <c r="AK650" s="15" t="s">
        <v>13080</v>
      </c>
      <c r="AL650" s="15" t="s">
        <v>13081</v>
      </c>
      <c r="AM650" s="15" t="s">
        <v>221</v>
      </c>
      <c r="AN650" s="15" t="s">
        <v>13082</v>
      </c>
      <c r="AO650" s="15" t="s">
        <v>13083</v>
      </c>
      <c r="AP650" s="15" t="s">
        <v>13084</v>
      </c>
      <c r="AQ650" s="15" t="s">
        <v>13085</v>
      </c>
      <c r="AR650" s="15" t="s">
        <v>138</v>
      </c>
      <c r="AS650" s="15" t="s">
        <v>13086</v>
      </c>
      <c r="AT650" s="15" t="s">
        <v>200</v>
      </c>
      <c r="AU650" s="15" t="s">
        <v>13087</v>
      </c>
      <c r="AV650" s="15" t="s">
        <v>162</v>
      </c>
      <c r="AW650" s="15" t="s">
        <v>13083</v>
      </c>
      <c r="AX650" s="15" t="s">
        <v>138</v>
      </c>
      <c r="AY650" s="15" t="s">
        <v>13088</v>
      </c>
      <c r="AZ650" s="15" t="s">
        <v>164</v>
      </c>
      <c r="BA650" s="15" t="s">
        <v>165</v>
      </c>
      <c r="BB650" s="15" t="s">
        <v>13089</v>
      </c>
      <c r="BC650" s="15" t="s">
        <v>13090</v>
      </c>
      <c r="BD650" s="21">
        <v>9</v>
      </c>
      <c r="BE650" s="15" t="s">
        <v>138</v>
      </c>
      <c r="BF650" s="15" t="s">
        <v>138</v>
      </c>
      <c r="BG650" s="15" t="s">
        <v>138</v>
      </c>
      <c r="BH650" s="15" t="s">
        <v>13091</v>
      </c>
      <c r="BI650" s="15" t="s">
        <v>138</v>
      </c>
      <c r="BJ650" s="15" t="s">
        <v>138</v>
      </c>
      <c r="BK650" s="15" t="s">
        <v>1251</v>
      </c>
      <c r="BL650" s="15" t="s">
        <v>1251</v>
      </c>
      <c r="BM650" s="22">
        <v>39814</v>
      </c>
      <c r="BN650" s="17">
        <v>1.1000000000000001</v>
      </c>
      <c r="BO650" s="15" t="s">
        <v>172</v>
      </c>
      <c r="BP650" s="17">
        <v>3.6</v>
      </c>
      <c r="BQ650" s="15" t="s">
        <v>172</v>
      </c>
      <c r="BR650" s="15" t="s">
        <v>205</v>
      </c>
      <c r="BS650" s="15" t="s">
        <v>4410</v>
      </c>
      <c r="BT650" s="15" t="s">
        <v>138</v>
      </c>
      <c r="BU650" s="15" t="s">
        <v>174</v>
      </c>
      <c r="BV650" s="15" t="s">
        <v>138</v>
      </c>
      <c r="BW650" s="15" t="s">
        <v>138</v>
      </c>
      <c r="BX650" s="15" t="s">
        <v>138</v>
      </c>
      <c r="BY650" s="15" t="s">
        <v>175</v>
      </c>
      <c r="BZ650" s="22" t="s">
        <v>138</v>
      </c>
      <c r="CA650" s="17" t="s">
        <v>138</v>
      </c>
      <c r="CB650" s="15" t="s">
        <v>138</v>
      </c>
      <c r="CC650" s="17" t="s">
        <v>138</v>
      </c>
      <c r="CD650" s="15" t="s">
        <v>138</v>
      </c>
      <c r="CE650" s="15" t="s">
        <v>316</v>
      </c>
      <c r="CF650" s="15" t="s">
        <v>138</v>
      </c>
      <c r="CG650" s="15" t="s">
        <v>138</v>
      </c>
      <c r="CH650" s="15" t="s">
        <v>177</v>
      </c>
      <c r="CI650" s="15" t="s">
        <v>138</v>
      </c>
      <c r="CJ650" s="15" t="s">
        <v>138</v>
      </c>
      <c r="CK650" s="15" t="s">
        <v>138</v>
      </c>
      <c r="CL650" s="15" t="s">
        <v>175</v>
      </c>
      <c r="CM650" s="22" t="s">
        <v>138</v>
      </c>
      <c r="CN650" s="17" t="s">
        <v>138</v>
      </c>
      <c r="CO650" s="23">
        <v>-1.26</v>
      </c>
      <c r="CP650" s="24">
        <v>9</v>
      </c>
      <c r="CQ650" s="23">
        <v>0</v>
      </c>
      <c r="CR650" s="23">
        <v>0</v>
      </c>
      <c r="CS650" s="23">
        <v>-2.76</v>
      </c>
      <c r="CT650" s="24">
        <v>6</v>
      </c>
      <c r="CU650" s="23">
        <v>0.25</v>
      </c>
      <c r="CV650" s="24">
        <v>84</v>
      </c>
      <c r="CW650" s="23">
        <v>-2.76</v>
      </c>
      <c r="CX650" s="24">
        <v>6</v>
      </c>
      <c r="CY650" s="23" t="s">
        <v>138</v>
      </c>
      <c r="CZ650" s="24" t="s">
        <v>138</v>
      </c>
      <c r="DA650" s="23">
        <v>0.25</v>
      </c>
      <c r="DB650" s="24">
        <v>86</v>
      </c>
      <c r="DC650" s="25">
        <v>1.29</v>
      </c>
      <c r="DD650" s="24">
        <v>57</v>
      </c>
      <c r="DE650" s="25">
        <v>-0.15</v>
      </c>
      <c r="DF650" s="23">
        <v>-10.16</v>
      </c>
      <c r="DG650" s="25">
        <v>2.29</v>
      </c>
      <c r="DH650" s="24">
        <v>69</v>
      </c>
      <c r="DI650" s="25">
        <v>0.28999999999999998</v>
      </c>
      <c r="DJ650" s="24">
        <v>28</v>
      </c>
      <c r="DK650" s="25">
        <v>2.29</v>
      </c>
      <c r="DL650" s="24">
        <v>67</v>
      </c>
      <c r="DM650" s="25" t="s">
        <v>138</v>
      </c>
      <c r="DN650" s="24" t="s">
        <v>138</v>
      </c>
      <c r="DO650" s="25">
        <v>0.28999999999999998</v>
      </c>
      <c r="DP650" s="24">
        <v>29</v>
      </c>
      <c r="DQ650" s="24">
        <v>775</v>
      </c>
      <c r="DR650" s="26">
        <v>29</v>
      </c>
      <c r="DS650" s="23">
        <v>3.89</v>
      </c>
      <c r="DT650" s="24" t="s">
        <v>138</v>
      </c>
      <c r="DU650" s="26" t="s">
        <v>138</v>
      </c>
      <c r="DV650" s="23" t="s">
        <v>138</v>
      </c>
      <c r="DW650" s="24">
        <v>105</v>
      </c>
      <c r="DX650" s="27">
        <v>0</v>
      </c>
      <c r="DY650" s="23">
        <v>0</v>
      </c>
      <c r="DZ650" s="15" t="s">
        <v>178</v>
      </c>
      <c r="EA650" s="22">
        <v>43550</v>
      </c>
      <c r="EB650" s="17">
        <v>36.159999999999997</v>
      </c>
      <c r="EC650" s="22">
        <v>40649</v>
      </c>
      <c r="ED650" s="15" t="s">
        <v>205</v>
      </c>
      <c r="EE650" s="14" t="str">
        <f>HYPERLINK("https://my.pitchbook.com?c=54346-60", "View company online")</f>
        <v>View company online</v>
      </c>
    </row>
    <row r="651" spans="1:135">
      <c r="A651" s="28" t="s">
        <v>13092</v>
      </c>
      <c r="B651" s="28" t="s">
        <v>13093</v>
      </c>
      <c r="C651" s="28" t="s">
        <v>138</v>
      </c>
      <c r="D651" s="28" t="s">
        <v>138</v>
      </c>
      <c r="E651" s="28" t="s">
        <v>13094</v>
      </c>
      <c r="F651" s="28" t="s">
        <v>13092</v>
      </c>
      <c r="G651" s="28" t="s">
        <v>13095</v>
      </c>
      <c r="H651" s="28" t="s">
        <v>322</v>
      </c>
      <c r="I651" s="28" t="s">
        <v>323</v>
      </c>
      <c r="J651" s="28" t="s">
        <v>413</v>
      </c>
      <c r="K651" s="28" t="s">
        <v>3388</v>
      </c>
      <c r="L651" s="28" t="s">
        <v>683</v>
      </c>
      <c r="M651" s="28" t="s">
        <v>13096</v>
      </c>
      <c r="N651" s="28" t="s">
        <v>147</v>
      </c>
      <c r="O651" s="29">
        <v>17</v>
      </c>
      <c r="P651" s="28" t="s">
        <v>148</v>
      </c>
      <c r="Q651" s="28" t="s">
        <v>149</v>
      </c>
      <c r="R651" s="28" t="s">
        <v>174</v>
      </c>
      <c r="S651" s="28" t="s">
        <v>13097</v>
      </c>
      <c r="T651" s="30">
        <v>10</v>
      </c>
      <c r="U651" s="28" t="s">
        <v>13098</v>
      </c>
      <c r="V651" s="28" t="s">
        <v>138</v>
      </c>
      <c r="W651" s="28" t="s">
        <v>138</v>
      </c>
      <c r="X651" s="31">
        <v>2012</v>
      </c>
      <c r="Y651" s="28" t="s">
        <v>138</v>
      </c>
      <c r="Z651" s="28" t="s">
        <v>138</v>
      </c>
      <c r="AA651" s="28" t="s">
        <v>138</v>
      </c>
      <c r="AB651" s="32" t="s">
        <v>138</v>
      </c>
      <c r="AC651" s="32" t="s">
        <v>138</v>
      </c>
      <c r="AD651" s="32" t="s">
        <v>138</v>
      </c>
      <c r="AE651" s="32" t="s">
        <v>138</v>
      </c>
      <c r="AF651" s="32" t="s">
        <v>138</v>
      </c>
      <c r="AG651" s="28" t="s">
        <v>138</v>
      </c>
      <c r="AH651" s="32" t="s">
        <v>138</v>
      </c>
      <c r="AI651" s="32" t="s">
        <v>138</v>
      </c>
      <c r="AJ651" s="32" t="s">
        <v>138</v>
      </c>
      <c r="AK651" s="28" t="s">
        <v>13099</v>
      </c>
      <c r="AL651" s="28" t="s">
        <v>13100</v>
      </c>
      <c r="AM651" s="28" t="s">
        <v>12020</v>
      </c>
      <c r="AN651" s="28" t="s">
        <v>13101</v>
      </c>
      <c r="AO651" s="28" t="s">
        <v>13102</v>
      </c>
      <c r="AP651" s="28" t="s">
        <v>423</v>
      </c>
      <c r="AQ651" s="28" t="s">
        <v>13103</v>
      </c>
      <c r="AR651" s="28" t="s">
        <v>138</v>
      </c>
      <c r="AS651" s="28" t="s">
        <v>426</v>
      </c>
      <c r="AT651" s="28" t="s">
        <v>426</v>
      </c>
      <c r="AU651" s="28" t="s">
        <v>13104</v>
      </c>
      <c r="AV651" s="28" t="s">
        <v>162</v>
      </c>
      <c r="AW651" s="28" t="s">
        <v>13102</v>
      </c>
      <c r="AX651" s="28" t="s">
        <v>138</v>
      </c>
      <c r="AY651" s="28" t="s">
        <v>13105</v>
      </c>
      <c r="AZ651" s="28" t="s">
        <v>164</v>
      </c>
      <c r="BA651" s="28" t="s">
        <v>165</v>
      </c>
      <c r="BB651" s="28" t="s">
        <v>13106</v>
      </c>
      <c r="BC651" s="28" t="s">
        <v>13107</v>
      </c>
      <c r="BD651" s="33">
        <v>8</v>
      </c>
      <c r="BE651" s="28" t="s">
        <v>138</v>
      </c>
      <c r="BF651" s="28" t="s">
        <v>138</v>
      </c>
      <c r="BG651" s="28" t="s">
        <v>138</v>
      </c>
      <c r="BH651" s="28" t="s">
        <v>13108</v>
      </c>
      <c r="BI651" s="28" t="s">
        <v>138</v>
      </c>
      <c r="BJ651" s="28" t="s">
        <v>138</v>
      </c>
      <c r="BK651" s="28" t="s">
        <v>290</v>
      </c>
      <c r="BL651" s="28" t="s">
        <v>290</v>
      </c>
      <c r="BM651" s="34">
        <v>41222</v>
      </c>
      <c r="BN651" s="29">
        <v>1.4</v>
      </c>
      <c r="BO651" s="28" t="s">
        <v>172</v>
      </c>
      <c r="BP651" s="29" t="s">
        <v>138</v>
      </c>
      <c r="BQ651" s="28" t="s">
        <v>138</v>
      </c>
      <c r="BR651" s="28" t="s">
        <v>234</v>
      </c>
      <c r="BS651" s="28" t="s">
        <v>234</v>
      </c>
      <c r="BT651" s="28" t="s">
        <v>138</v>
      </c>
      <c r="BU651" s="28" t="s">
        <v>174</v>
      </c>
      <c r="BV651" s="28" t="s">
        <v>138</v>
      </c>
      <c r="BW651" s="28" t="s">
        <v>138</v>
      </c>
      <c r="BX651" s="28" t="s">
        <v>138</v>
      </c>
      <c r="BY651" s="28" t="s">
        <v>175</v>
      </c>
      <c r="BZ651" s="34">
        <v>42928</v>
      </c>
      <c r="CA651" s="29">
        <v>6.5</v>
      </c>
      <c r="CB651" s="28" t="s">
        <v>172</v>
      </c>
      <c r="CC651" s="29" t="s">
        <v>138</v>
      </c>
      <c r="CD651" s="28" t="s">
        <v>138</v>
      </c>
      <c r="CE651" s="28" t="s">
        <v>205</v>
      </c>
      <c r="CF651" s="28" t="s">
        <v>138</v>
      </c>
      <c r="CG651" s="28" t="s">
        <v>138</v>
      </c>
      <c r="CH651" s="28" t="s">
        <v>174</v>
      </c>
      <c r="CI651" s="28" t="s">
        <v>138</v>
      </c>
      <c r="CJ651" s="28" t="s">
        <v>138</v>
      </c>
      <c r="CK651" s="28" t="s">
        <v>138</v>
      </c>
      <c r="CL651" s="28" t="s">
        <v>175</v>
      </c>
      <c r="CM651" s="34" t="s">
        <v>138</v>
      </c>
      <c r="CN651" s="29" t="s">
        <v>138</v>
      </c>
      <c r="CO651" s="35">
        <v>0.48</v>
      </c>
      <c r="CP651" s="36">
        <v>95</v>
      </c>
      <c r="CQ651" s="35">
        <v>-0.12</v>
      </c>
      <c r="CR651" s="35">
        <v>-19.55</v>
      </c>
      <c r="CS651" s="35" t="s">
        <v>138</v>
      </c>
      <c r="CT651" s="36" t="s">
        <v>138</v>
      </c>
      <c r="CU651" s="35">
        <v>0.48</v>
      </c>
      <c r="CV651" s="36">
        <v>93</v>
      </c>
      <c r="CW651" s="35" t="s">
        <v>138</v>
      </c>
      <c r="CX651" s="36" t="s">
        <v>138</v>
      </c>
      <c r="CY651" s="35" t="s">
        <v>138</v>
      </c>
      <c r="CZ651" s="36" t="s">
        <v>138</v>
      </c>
      <c r="DA651" s="35">
        <v>0.96</v>
      </c>
      <c r="DB651" s="36">
        <v>98</v>
      </c>
      <c r="DC651" s="37">
        <v>3.6</v>
      </c>
      <c r="DD651" s="36">
        <v>78</v>
      </c>
      <c r="DE651" s="37">
        <v>0.08</v>
      </c>
      <c r="DF651" s="35">
        <v>2.31</v>
      </c>
      <c r="DG651" s="37" t="s">
        <v>138</v>
      </c>
      <c r="DH651" s="36" t="s">
        <v>138</v>
      </c>
      <c r="DI651" s="37">
        <v>3.6</v>
      </c>
      <c r="DJ651" s="36">
        <v>73</v>
      </c>
      <c r="DK651" s="37" t="s">
        <v>138</v>
      </c>
      <c r="DL651" s="36" t="s">
        <v>138</v>
      </c>
      <c r="DM651" s="37" t="s">
        <v>138</v>
      </c>
      <c r="DN651" s="36" t="s">
        <v>138</v>
      </c>
      <c r="DO651" s="37">
        <v>6.78</v>
      </c>
      <c r="DP651" s="36">
        <v>83</v>
      </c>
      <c r="DQ651" s="36" t="s">
        <v>138</v>
      </c>
      <c r="DR651" s="38" t="s">
        <v>138</v>
      </c>
      <c r="DS651" s="35" t="s">
        <v>138</v>
      </c>
      <c r="DT651" s="36" t="s">
        <v>138</v>
      </c>
      <c r="DU651" s="38" t="s">
        <v>138</v>
      </c>
      <c r="DV651" s="35" t="s">
        <v>138</v>
      </c>
      <c r="DW651" s="36">
        <v>2399</v>
      </c>
      <c r="DX651" s="39">
        <v>17</v>
      </c>
      <c r="DY651" s="35">
        <v>0.71</v>
      </c>
      <c r="DZ651" s="28" t="s">
        <v>178</v>
      </c>
      <c r="EA651" s="34">
        <v>43522</v>
      </c>
      <c r="EB651" s="29" t="s">
        <v>138</v>
      </c>
      <c r="EC651" s="34" t="s">
        <v>138</v>
      </c>
      <c r="ED651" s="28" t="s">
        <v>138</v>
      </c>
      <c r="EE651" s="40" t="str">
        <f>HYPERLINK("https://my.pitchbook.com?c=55578-16", "View company online")</f>
        <v>View company online</v>
      </c>
    </row>
    <row r="652" spans="1:135">
      <c r="A652" s="15" t="s">
        <v>13109</v>
      </c>
      <c r="B652" s="15" t="s">
        <v>13110</v>
      </c>
      <c r="C652" s="15" t="s">
        <v>138</v>
      </c>
      <c r="D652" s="15" t="s">
        <v>138</v>
      </c>
      <c r="E652" s="15" t="s">
        <v>138</v>
      </c>
      <c r="F652" s="15" t="s">
        <v>13109</v>
      </c>
      <c r="G652" s="15" t="s">
        <v>13111</v>
      </c>
      <c r="H652" s="15" t="s">
        <v>238</v>
      </c>
      <c r="I652" s="15" t="s">
        <v>1351</v>
      </c>
      <c r="J652" s="15" t="s">
        <v>1352</v>
      </c>
      <c r="K652" s="15" t="s">
        <v>13112</v>
      </c>
      <c r="L652" s="15" t="s">
        <v>13113</v>
      </c>
      <c r="M652" s="15" t="s">
        <v>13114</v>
      </c>
      <c r="N652" s="15" t="s">
        <v>147</v>
      </c>
      <c r="O652" s="17">
        <v>0.75</v>
      </c>
      <c r="P652" s="15" t="s">
        <v>148</v>
      </c>
      <c r="Q652" s="15" t="s">
        <v>149</v>
      </c>
      <c r="R652" s="15" t="s">
        <v>174</v>
      </c>
      <c r="S652" s="15" t="s">
        <v>13115</v>
      </c>
      <c r="T652" s="18" t="s">
        <v>138</v>
      </c>
      <c r="U652" s="15" t="s">
        <v>138</v>
      </c>
      <c r="V652" s="15" t="s">
        <v>138</v>
      </c>
      <c r="W652" s="15" t="s">
        <v>138</v>
      </c>
      <c r="X652" s="19" t="s">
        <v>138</v>
      </c>
      <c r="Y652" s="15" t="s">
        <v>138</v>
      </c>
      <c r="Z652" s="15" t="s">
        <v>138</v>
      </c>
      <c r="AA652" s="15" t="s">
        <v>138</v>
      </c>
      <c r="AB652" s="20" t="s">
        <v>138</v>
      </c>
      <c r="AC652" s="20" t="s">
        <v>138</v>
      </c>
      <c r="AD652" s="20" t="s">
        <v>138</v>
      </c>
      <c r="AE652" s="20" t="s">
        <v>138</v>
      </c>
      <c r="AF652" s="20" t="s">
        <v>138</v>
      </c>
      <c r="AG652" s="15" t="s">
        <v>138</v>
      </c>
      <c r="AH652" s="20" t="s">
        <v>138</v>
      </c>
      <c r="AI652" s="20" t="s">
        <v>138</v>
      </c>
      <c r="AJ652" s="20" t="s">
        <v>138</v>
      </c>
      <c r="AK652" s="15" t="s">
        <v>13116</v>
      </c>
      <c r="AL652" s="15" t="s">
        <v>13117</v>
      </c>
      <c r="AM652" s="15" t="s">
        <v>1632</v>
      </c>
      <c r="AN652" s="15" t="s">
        <v>13118</v>
      </c>
      <c r="AO652" s="15" t="s">
        <v>13119</v>
      </c>
      <c r="AP652" s="15" t="s">
        <v>1292</v>
      </c>
      <c r="AQ652" s="15" t="s">
        <v>13120</v>
      </c>
      <c r="AR652" s="15" t="s">
        <v>138</v>
      </c>
      <c r="AS652" s="15" t="s">
        <v>1294</v>
      </c>
      <c r="AT652" s="15" t="s">
        <v>864</v>
      </c>
      <c r="AU652" s="15" t="s">
        <v>9304</v>
      </c>
      <c r="AV652" s="15" t="s">
        <v>162</v>
      </c>
      <c r="AW652" s="15" t="s">
        <v>13119</v>
      </c>
      <c r="AX652" s="15" t="s">
        <v>138</v>
      </c>
      <c r="AY652" s="15" t="s">
        <v>13121</v>
      </c>
      <c r="AZ652" s="15" t="s">
        <v>164</v>
      </c>
      <c r="BA652" s="15" t="s">
        <v>165</v>
      </c>
      <c r="BB652" s="15" t="s">
        <v>13122</v>
      </c>
      <c r="BC652" s="15" t="s">
        <v>13123</v>
      </c>
      <c r="BD652" s="21">
        <v>4</v>
      </c>
      <c r="BE652" s="15" t="s">
        <v>138</v>
      </c>
      <c r="BF652" s="15" t="s">
        <v>138</v>
      </c>
      <c r="BG652" s="15" t="s">
        <v>138</v>
      </c>
      <c r="BH652" s="15" t="s">
        <v>13124</v>
      </c>
      <c r="BI652" s="15" t="s">
        <v>138</v>
      </c>
      <c r="BJ652" s="15" t="s">
        <v>138</v>
      </c>
      <c r="BK652" s="15" t="s">
        <v>138</v>
      </c>
      <c r="BL652" s="15" t="s">
        <v>1370</v>
      </c>
      <c r="BM652" s="22">
        <v>40909</v>
      </c>
      <c r="BN652" s="17">
        <v>0.04</v>
      </c>
      <c r="BO652" s="15" t="s">
        <v>172</v>
      </c>
      <c r="BP652" s="17" t="s">
        <v>138</v>
      </c>
      <c r="BQ652" s="15" t="s">
        <v>138</v>
      </c>
      <c r="BR652" s="15" t="s">
        <v>316</v>
      </c>
      <c r="BS652" s="15" t="s">
        <v>138</v>
      </c>
      <c r="BT652" s="15" t="s">
        <v>138</v>
      </c>
      <c r="BU652" s="15" t="s">
        <v>177</v>
      </c>
      <c r="BV652" s="15" t="s">
        <v>138</v>
      </c>
      <c r="BW652" s="15" t="s">
        <v>138</v>
      </c>
      <c r="BX652" s="15" t="s">
        <v>138</v>
      </c>
      <c r="BY652" s="15" t="s">
        <v>175</v>
      </c>
      <c r="BZ652" s="22">
        <v>43077</v>
      </c>
      <c r="CA652" s="17">
        <v>0.72</v>
      </c>
      <c r="CB652" s="15" t="s">
        <v>172</v>
      </c>
      <c r="CC652" s="17">
        <v>4.22</v>
      </c>
      <c r="CD652" s="15" t="s">
        <v>172</v>
      </c>
      <c r="CE652" s="15" t="s">
        <v>205</v>
      </c>
      <c r="CF652" s="15" t="s">
        <v>138</v>
      </c>
      <c r="CG652" s="15" t="s">
        <v>138</v>
      </c>
      <c r="CH652" s="15" t="s">
        <v>174</v>
      </c>
      <c r="CI652" s="15" t="s">
        <v>138</v>
      </c>
      <c r="CJ652" s="15" t="s">
        <v>138</v>
      </c>
      <c r="CK652" s="15" t="s">
        <v>138</v>
      </c>
      <c r="CL652" s="15" t="s">
        <v>175</v>
      </c>
      <c r="CM652" s="22" t="s">
        <v>138</v>
      </c>
      <c r="CN652" s="17" t="s">
        <v>138</v>
      </c>
      <c r="CO652" s="23">
        <v>-0.02</v>
      </c>
      <c r="CP652" s="24">
        <v>24</v>
      </c>
      <c r="CQ652" s="23">
        <v>0</v>
      </c>
      <c r="CR652" s="23">
        <v>-0.06</v>
      </c>
      <c r="CS652" s="23">
        <v>0</v>
      </c>
      <c r="CT652" s="24">
        <v>23</v>
      </c>
      <c r="CU652" s="23">
        <v>-0.05</v>
      </c>
      <c r="CV652" s="24">
        <v>9</v>
      </c>
      <c r="CW652" s="23">
        <v>0</v>
      </c>
      <c r="CX652" s="24">
        <v>13</v>
      </c>
      <c r="CY652" s="23" t="s">
        <v>138</v>
      </c>
      <c r="CZ652" s="24" t="s">
        <v>138</v>
      </c>
      <c r="DA652" s="23">
        <v>-7.0000000000000007E-2</v>
      </c>
      <c r="DB652" s="24">
        <v>9</v>
      </c>
      <c r="DC652" s="25">
        <v>2.27</v>
      </c>
      <c r="DD652" s="24">
        <v>70</v>
      </c>
      <c r="DE652" s="25">
        <v>-0.08</v>
      </c>
      <c r="DF652" s="23">
        <v>-3.22</v>
      </c>
      <c r="DG652" s="25">
        <v>1.23</v>
      </c>
      <c r="DH652" s="24">
        <v>56</v>
      </c>
      <c r="DI652" s="25">
        <v>3.31</v>
      </c>
      <c r="DJ652" s="24">
        <v>71</v>
      </c>
      <c r="DK652" s="25">
        <v>1.23</v>
      </c>
      <c r="DL652" s="24">
        <v>55</v>
      </c>
      <c r="DM652" s="25" t="s">
        <v>138</v>
      </c>
      <c r="DN652" s="24" t="s">
        <v>138</v>
      </c>
      <c r="DO652" s="25">
        <v>3.45</v>
      </c>
      <c r="DP652" s="24">
        <v>73</v>
      </c>
      <c r="DQ652" s="24">
        <v>402</v>
      </c>
      <c r="DR652" s="26">
        <v>54</v>
      </c>
      <c r="DS652" s="23">
        <v>15.52</v>
      </c>
      <c r="DT652" s="24" t="s">
        <v>138</v>
      </c>
      <c r="DU652" s="26" t="s">
        <v>138</v>
      </c>
      <c r="DV652" s="23" t="s">
        <v>138</v>
      </c>
      <c r="DW652" s="24">
        <v>1236</v>
      </c>
      <c r="DX652" s="27">
        <v>-1</v>
      </c>
      <c r="DY652" s="23">
        <v>-0.08</v>
      </c>
      <c r="DZ652" s="15" t="s">
        <v>178</v>
      </c>
      <c r="EA652" s="22">
        <v>43404</v>
      </c>
      <c r="EB652" s="17">
        <v>4.22</v>
      </c>
      <c r="EC652" s="22">
        <v>43077</v>
      </c>
      <c r="ED652" s="15" t="s">
        <v>205</v>
      </c>
      <c r="EE652" s="14" t="str">
        <f>HYPERLINK("https://my.pitchbook.com?c=88653-70", "View company online")</f>
        <v>View company online</v>
      </c>
    </row>
    <row r="653" spans="1:135">
      <c r="A653" s="28" t="s">
        <v>13125</v>
      </c>
      <c r="B653" s="28" t="s">
        <v>13126</v>
      </c>
      <c r="C653" s="28" t="s">
        <v>138</v>
      </c>
      <c r="D653" s="28" t="s">
        <v>138</v>
      </c>
      <c r="E653" s="28" t="s">
        <v>138</v>
      </c>
      <c r="F653" s="28" t="s">
        <v>13125</v>
      </c>
      <c r="G653" s="28" t="s">
        <v>13127</v>
      </c>
      <c r="H653" s="28" t="s">
        <v>183</v>
      </c>
      <c r="I653" s="28" t="s">
        <v>4681</v>
      </c>
      <c r="J653" s="28" t="s">
        <v>9676</v>
      </c>
      <c r="K653" s="28" t="s">
        <v>13128</v>
      </c>
      <c r="L653" s="28" t="s">
        <v>13011</v>
      </c>
      <c r="M653" s="28" t="s">
        <v>13129</v>
      </c>
      <c r="N653" s="28" t="s">
        <v>147</v>
      </c>
      <c r="O653" s="29" t="s">
        <v>138</v>
      </c>
      <c r="P653" s="28" t="s">
        <v>610</v>
      </c>
      <c r="Q653" s="28" t="s">
        <v>149</v>
      </c>
      <c r="R653" s="28" t="s">
        <v>174</v>
      </c>
      <c r="S653" s="28" t="s">
        <v>13130</v>
      </c>
      <c r="T653" s="30" t="s">
        <v>138</v>
      </c>
      <c r="U653" s="28" t="s">
        <v>138</v>
      </c>
      <c r="V653" s="28" t="s">
        <v>138</v>
      </c>
      <c r="W653" s="28" t="s">
        <v>138</v>
      </c>
      <c r="X653" s="31">
        <v>2016</v>
      </c>
      <c r="Y653" s="28" t="s">
        <v>138</v>
      </c>
      <c r="Z653" s="28" t="s">
        <v>138</v>
      </c>
      <c r="AA653" s="28" t="s">
        <v>138</v>
      </c>
      <c r="AB653" s="32" t="s">
        <v>138</v>
      </c>
      <c r="AC653" s="32" t="s">
        <v>138</v>
      </c>
      <c r="AD653" s="32" t="s">
        <v>138</v>
      </c>
      <c r="AE653" s="32" t="s">
        <v>138</v>
      </c>
      <c r="AF653" s="32" t="s">
        <v>138</v>
      </c>
      <c r="AG653" s="28" t="s">
        <v>138</v>
      </c>
      <c r="AH653" s="32" t="s">
        <v>138</v>
      </c>
      <c r="AI653" s="32" t="s">
        <v>138</v>
      </c>
      <c r="AJ653" s="32" t="s">
        <v>138</v>
      </c>
      <c r="AK653" s="28" t="s">
        <v>13131</v>
      </c>
      <c r="AL653" s="28" t="s">
        <v>13132</v>
      </c>
      <c r="AM653" s="28" t="s">
        <v>4269</v>
      </c>
      <c r="AN653" s="28" t="s">
        <v>13133</v>
      </c>
      <c r="AO653" s="28" t="s">
        <v>13134</v>
      </c>
      <c r="AP653" s="28" t="s">
        <v>1361</v>
      </c>
      <c r="AQ653" s="28" t="s">
        <v>13135</v>
      </c>
      <c r="AR653" s="28" t="s">
        <v>13136</v>
      </c>
      <c r="AS653" s="28" t="s">
        <v>1364</v>
      </c>
      <c r="AT653" s="28" t="s">
        <v>13137</v>
      </c>
      <c r="AU653" s="28" t="s">
        <v>1365</v>
      </c>
      <c r="AV653" s="28" t="s">
        <v>450</v>
      </c>
      <c r="AW653" s="28" t="s">
        <v>13134</v>
      </c>
      <c r="AX653" s="28" t="s">
        <v>138</v>
      </c>
      <c r="AY653" s="28" t="s">
        <v>13138</v>
      </c>
      <c r="AZ653" s="28" t="s">
        <v>452</v>
      </c>
      <c r="BA653" s="28" t="s">
        <v>453</v>
      </c>
      <c r="BB653" s="28" t="s">
        <v>13139</v>
      </c>
      <c r="BC653" s="28" t="s">
        <v>13140</v>
      </c>
      <c r="BD653" s="33">
        <v>2</v>
      </c>
      <c r="BE653" s="28" t="s">
        <v>138</v>
      </c>
      <c r="BF653" s="28" t="s">
        <v>138</v>
      </c>
      <c r="BG653" s="28" t="s">
        <v>138</v>
      </c>
      <c r="BH653" s="28" t="s">
        <v>13141</v>
      </c>
      <c r="BI653" s="28" t="s">
        <v>138</v>
      </c>
      <c r="BJ653" s="28" t="s">
        <v>138</v>
      </c>
      <c r="BK653" s="28" t="s">
        <v>138</v>
      </c>
      <c r="BL653" s="28" t="s">
        <v>138</v>
      </c>
      <c r="BM653" s="34">
        <v>42785</v>
      </c>
      <c r="BN653" s="29" t="s">
        <v>138</v>
      </c>
      <c r="BO653" s="28" t="s">
        <v>138</v>
      </c>
      <c r="BP653" s="29" t="s">
        <v>138</v>
      </c>
      <c r="BQ653" s="28" t="s">
        <v>138</v>
      </c>
      <c r="BR653" s="28" t="s">
        <v>262</v>
      </c>
      <c r="BS653" s="28" t="s">
        <v>262</v>
      </c>
      <c r="BT653" s="28" t="s">
        <v>138</v>
      </c>
      <c r="BU653" s="28" t="s">
        <v>263</v>
      </c>
      <c r="BV653" s="28" t="s">
        <v>138</v>
      </c>
      <c r="BW653" s="28" t="s">
        <v>138</v>
      </c>
      <c r="BX653" s="28" t="s">
        <v>138</v>
      </c>
      <c r="BY653" s="28" t="s">
        <v>175</v>
      </c>
      <c r="BZ653" s="34">
        <v>43282</v>
      </c>
      <c r="CA653" s="29" t="s">
        <v>138</v>
      </c>
      <c r="CB653" s="28" t="s">
        <v>138</v>
      </c>
      <c r="CC653" s="29" t="s">
        <v>138</v>
      </c>
      <c r="CD653" s="28" t="s">
        <v>138</v>
      </c>
      <c r="CE653" s="28" t="s">
        <v>205</v>
      </c>
      <c r="CF653" s="28" t="s">
        <v>138</v>
      </c>
      <c r="CG653" s="28" t="s">
        <v>138</v>
      </c>
      <c r="CH653" s="28" t="s">
        <v>174</v>
      </c>
      <c r="CI653" s="28" t="s">
        <v>138</v>
      </c>
      <c r="CJ653" s="28" t="s">
        <v>138</v>
      </c>
      <c r="CK653" s="28" t="s">
        <v>138</v>
      </c>
      <c r="CL653" s="28" t="s">
        <v>175</v>
      </c>
      <c r="CM653" s="34" t="s">
        <v>138</v>
      </c>
      <c r="CN653" s="29" t="s">
        <v>138</v>
      </c>
      <c r="CO653" s="35">
        <v>0</v>
      </c>
      <c r="CP653" s="36">
        <v>26</v>
      </c>
      <c r="CQ653" s="35">
        <v>0</v>
      </c>
      <c r="CR653" s="35">
        <v>0</v>
      </c>
      <c r="CS653" s="35">
        <v>0</v>
      </c>
      <c r="CT653" s="36">
        <v>23</v>
      </c>
      <c r="CU653" s="35" t="s">
        <v>138</v>
      </c>
      <c r="CV653" s="36" t="s">
        <v>138</v>
      </c>
      <c r="CW653" s="35" t="s">
        <v>138</v>
      </c>
      <c r="CX653" s="36" t="s">
        <v>138</v>
      </c>
      <c r="CY653" s="35">
        <v>0</v>
      </c>
      <c r="CZ653" s="36">
        <v>25</v>
      </c>
      <c r="DA653" s="35" t="s">
        <v>138</v>
      </c>
      <c r="DB653" s="36" t="s">
        <v>138</v>
      </c>
      <c r="DC653" s="37">
        <v>0.31</v>
      </c>
      <c r="DD653" s="36">
        <v>23</v>
      </c>
      <c r="DE653" s="37">
        <v>0</v>
      </c>
      <c r="DF653" s="35">
        <v>0</v>
      </c>
      <c r="DG653" s="37">
        <v>0.31</v>
      </c>
      <c r="DH653" s="36">
        <v>23</v>
      </c>
      <c r="DI653" s="37" t="s">
        <v>138</v>
      </c>
      <c r="DJ653" s="36" t="s">
        <v>138</v>
      </c>
      <c r="DK653" s="37" t="s">
        <v>138</v>
      </c>
      <c r="DL653" s="36" t="s">
        <v>138</v>
      </c>
      <c r="DM653" s="37">
        <v>0.31</v>
      </c>
      <c r="DN653" s="36">
        <v>24</v>
      </c>
      <c r="DO653" s="37" t="s">
        <v>138</v>
      </c>
      <c r="DP653" s="36" t="s">
        <v>138</v>
      </c>
      <c r="DQ653" s="36" t="s">
        <v>138</v>
      </c>
      <c r="DR653" s="38" t="s">
        <v>138</v>
      </c>
      <c r="DS653" s="35" t="s">
        <v>138</v>
      </c>
      <c r="DT653" s="36">
        <v>9</v>
      </c>
      <c r="DU653" s="38">
        <v>0</v>
      </c>
      <c r="DV653" s="35">
        <v>0</v>
      </c>
      <c r="DW653" s="36" t="s">
        <v>138</v>
      </c>
      <c r="DX653" s="39" t="s">
        <v>138</v>
      </c>
      <c r="DY653" s="35" t="s">
        <v>138</v>
      </c>
      <c r="DZ653" s="28" t="s">
        <v>178</v>
      </c>
      <c r="EA653" s="34">
        <v>43528</v>
      </c>
      <c r="EB653" s="29" t="s">
        <v>138</v>
      </c>
      <c r="EC653" s="34" t="s">
        <v>138</v>
      </c>
      <c r="ED653" s="28" t="s">
        <v>138</v>
      </c>
      <c r="EE653" s="40" t="str">
        <f>HYPERLINK("https://my.pitchbook.com?c=231942-61", "View company online")</f>
        <v>View company online</v>
      </c>
    </row>
    <row r="654" spans="1:135">
      <c r="A654" s="15" t="s">
        <v>13142</v>
      </c>
      <c r="B654" s="15" t="s">
        <v>13143</v>
      </c>
      <c r="C654" s="15" t="s">
        <v>138</v>
      </c>
      <c r="D654" s="15" t="s">
        <v>13144</v>
      </c>
      <c r="E654" s="15" t="s">
        <v>138</v>
      </c>
      <c r="F654" s="15" t="s">
        <v>13142</v>
      </c>
      <c r="G654" s="15" t="s">
        <v>13145</v>
      </c>
      <c r="H654" s="15" t="s">
        <v>322</v>
      </c>
      <c r="I654" s="15" t="s">
        <v>1208</v>
      </c>
      <c r="J654" s="15" t="s">
        <v>1209</v>
      </c>
      <c r="K654" s="15" t="s">
        <v>1971</v>
      </c>
      <c r="L654" s="15" t="s">
        <v>13146</v>
      </c>
      <c r="M654" s="15" t="s">
        <v>13147</v>
      </c>
      <c r="N654" s="15" t="s">
        <v>147</v>
      </c>
      <c r="O654" s="17">
        <v>14.73</v>
      </c>
      <c r="P654" s="15" t="s">
        <v>610</v>
      </c>
      <c r="Q654" s="15" t="s">
        <v>149</v>
      </c>
      <c r="R654" s="15" t="s">
        <v>174</v>
      </c>
      <c r="S654" s="15" t="s">
        <v>138</v>
      </c>
      <c r="T654" s="18" t="s">
        <v>138</v>
      </c>
      <c r="U654" s="15" t="s">
        <v>138</v>
      </c>
      <c r="V654" s="15" t="s">
        <v>138</v>
      </c>
      <c r="W654" s="15" t="s">
        <v>138</v>
      </c>
      <c r="X654" s="19">
        <v>2018</v>
      </c>
      <c r="Y654" s="15" t="s">
        <v>138</v>
      </c>
      <c r="Z654" s="15" t="s">
        <v>138</v>
      </c>
      <c r="AA654" s="15" t="s">
        <v>138</v>
      </c>
      <c r="AB654" s="20" t="s">
        <v>138</v>
      </c>
      <c r="AC654" s="20" t="s">
        <v>138</v>
      </c>
      <c r="AD654" s="20" t="s">
        <v>138</v>
      </c>
      <c r="AE654" s="20" t="s">
        <v>138</v>
      </c>
      <c r="AF654" s="20" t="s">
        <v>138</v>
      </c>
      <c r="AG654" s="15" t="s">
        <v>138</v>
      </c>
      <c r="AH654" s="20" t="s">
        <v>138</v>
      </c>
      <c r="AI654" s="20" t="s">
        <v>138</v>
      </c>
      <c r="AJ654" s="20" t="s">
        <v>138</v>
      </c>
      <c r="AK654" s="15" t="s">
        <v>13148</v>
      </c>
      <c r="AL654" s="15" t="s">
        <v>13149</v>
      </c>
      <c r="AM654" s="15" t="s">
        <v>636</v>
      </c>
      <c r="AN654" s="15" t="s">
        <v>13150</v>
      </c>
      <c r="AO654" s="15" t="s">
        <v>138</v>
      </c>
      <c r="AP654" s="15" t="s">
        <v>446</v>
      </c>
      <c r="AQ654" s="15" t="s">
        <v>13151</v>
      </c>
      <c r="AR654" s="15" t="s">
        <v>13152</v>
      </c>
      <c r="AS654" s="15" t="s">
        <v>449</v>
      </c>
      <c r="AT654" s="15" t="s">
        <v>13153</v>
      </c>
      <c r="AU654" s="15" t="s">
        <v>138</v>
      </c>
      <c r="AV654" s="15" t="s">
        <v>450</v>
      </c>
      <c r="AW654" s="15" t="s">
        <v>138</v>
      </c>
      <c r="AX654" s="15" t="s">
        <v>138</v>
      </c>
      <c r="AY654" s="15" t="s">
        <v>138</v>
      </c>
      <c r="AZ654" s="15" t="s">
        <v>452</v>
      </c>
      <c r="BA654" s="15" t="s">
        <v>453</v>
      </c>
      <c r="BB654" s="15" t="s">
        <v>13154</v>
      </c>
      <c r="BC654" s="15" t="s">
        <v>13155</v>
      </c>
      <c r="BD654" s="21">
        <v>5</v>
      </c>
      <c r="BE654" s="15" t="s">
        <v>138</v>
      </c>
      <c r="BF654" s="15" t="s">
        <v>138</v>
      </c>
      <c r="BG654" s="15" t="s">
        <v>138</v>
      </c>
      <c r="BH654" s="15" t="s">
        <v>13156</v>
      </c>
      <c r="BI654" s="15" t="s">
        <v>138</v>
      </c>
      <c r="BJ654" s="15" t="s">
        <v>138</v>
      </c>
      <c r="BK654" s="15" t="s">
        <v>138</v>
      </c>
      <c r="BL654" s="15" t="s">
        <v>138</v>
      </c>
      <c r="BM654" s="22">
        <v>43344</v>
      </c>
      <c r="BN654" s="17">
        <v>14.73</v>
      </c>
      <c r="BO654" s="15" t="s">
        <v>172</v>
      </c>
      <c r="BP654" s="17" t="s">
        <v>138</v>
      </c>
      <c r="BQ654" s="15" t="s">
        <v>138</v>
      </c>
      <c r="BR654" s="15" t="s">
        <v>205</v>
      </c>
      <c r="BS654" s="15" t="s">
        <v>138</v>
      </c>
      <c r="BT654" s="15" t="s">
        <v>138</v>
      </c>
      <c r="BU654" s="15" t="s">
        <v>174</v>
      </c>
      <c r="BV654" s="15" t="s">
        <v>138</v>
      </c>
      <c r="BW654" s="15" t="s">
        <v>138</v>
      </c>
      <c r="BX654" s="15" t="s">
        <v>138</v>
      </c>
      <c r="BY654" s="15" t="s">
        <v>175</v>
      </c>
      <c r="BZ654" s="22">
        <v>43344</v>
      </c>
      <c r="CA654" s="17">
        <v>14.73</v>
      </c>
      <c r="CB654" s="15" t="s">
        <v>172</v>
      </c>
      <c r="CC654" s="17" t="s">
        <v>138</v>
      </c>
      <c r="CD654" s="15" t="s">
        <v>138</v>
      </c>
      <c r="CE654" s="15" t="s">
        <v>205</v>
      </c>
      <c r="CF654" s="15" t="s">
        <v>138</v>
      </c>
      <c r="CG654" s="15" t="s">
        <v>138</v>
      </c>
      <c r="CH654" s="15" t="s">
        <v>174</v>
      </c>
      <c r="CI654" s="15" t="s">
        <v>138</v>
      </c>
      <c r="CJ654" s="15" t="s">
        <v>138</v>
      </c>
      <c r="CK654" s="15" t="s">
        <v>138</v>
      </c>
      <c r="CL654" s="15" t="s">
        <v>175</v>
      </c>
      <c r="CM654" s="22" t="s">
        <v>138</v>
      </c>
      <c r="CN654" s="17" t="s">
        <v>138</v>
      </c>
      <c r="CO654" s="23" t="s">
        <v>138</v>
      </c>
      <c r="CP654" s="24" t="s">
        <v>138</v>
      </c>
      <c r="CQ654" s="23" t="s">
        <v>138</v>
      </c>
      <c r="CR654" s="23" t="s">
        <v>138</v>
      </c>
      <c r="CS654" s="23" t="s">
        <v>138</v>
      </c>
      <c r="CT654" s="24" t="s">
        <v>138</v>
      </c>
      <c r="CU654" s="23" t="s">
        <v>138</v>
      </c>
      <c r="CV654" s="24" t="s">
        <v>138</v>
      </c>
      <c r="CW654" s="23" t="s">
        <v>138</v>
      </c>
      <c r="CX654" s="24" t="s">
        <v>138</v>
      </c>
      <c r="CY654" s="23" t="s">
        <v>138</v>
      </c>
      <c r="CZ654" s="24" t="s">
        <v>138</v>
      </c>
      <c r="DA654" s="23" t="s">
        <v>138</v>
      </c>
      <c r="DB654" s="24" t="s">
        <v>138</v>
      </c>
      <c r="DC654" s="25" t="s">
        <v>138</v>
      </c>
      <c r="DD654" s="24" t="s">
        <v>138</v>
      </c>
      <c r="DE654" s="25" t="s">
        <v>138</v>
      </c>
      <c r="DF654" s="23" t="s">
        <v>138</v>
      </c>
      <c r="DG654" s="25" t="s">
        <v>138</v>
      </c>
      <c r="DH654" s="24" t="s">
        <v>138</v>
      </c>
      <c r="DI654" s="25" t="s">
        <v>138</v>
      </c>
      <c r="DJ654" s="24" t="s">
        <v>138</v>
      </c>
      <c r="DK654" s="25" t="s">
        <v>138</v>
      </c>
      <c r="DL654" s="24" t="s">
        <v>138</v>
      </c>
      <c r="DM654" s="25" t="s">
        <v>138</v>
      </c>
      <c r="DN654" s="24" t="s">
        <v>138</v>
      </c>
      <c r="DO654" s="25" t="s">
        <v>138</v>
      </c>
      <c r="DP654" s="24" t="s">
        <v>138</v>
      </c>
      <c r="DQ654" s="24" t="s">
        <v>138</v>
      </c>
      <c r="DR654" s="26" t="s">
        <v>138</v>
      </c>
      <c r="DS654" s="23" t="s">
        <v>138</v>
      </c>
      <c r="DT654" s="24" t="s">
        <v>138</v>
      </c>
      <c r="DU654" s="26" t="s">
        <v>138</v>
      </c>
      <c r="DV654" s="23" t="s">
        <v>138</v>
      </c>
      <c r="DW654" s="24" t="s">
        <v>138</v>
      </c>
      <c r="DX654" s="27" t="s">
        <v>138</v>
      </c>
      <c r="DY654" s="23" t="s">
        <v>138</v>
      </c>
      <c r="DZ654" s="15" t="s">
        <v>178</v>
      </c>
      <c r="EA654" s="22">
        <v>43566</v>
      </c>
      <c r="EB654" s="17" t="s">
        <v>138</v>
      </c>
      <c r="EC654" s="22" t="s">
        <v>138</v>
      </c>
      <c r="ED654" s="15" t="s">
        <v>138</v>
      </c>
      <c r="EE654" s="14" t="str">
        <f>HYPERLINK("https://my.pitchbook.com?c=264922-03", "View company online")</f>
        <v>View company online</v>
      </c>
    </row>
    <row r="655" spans="1:135">
      <c r="A655" s="28" t="s">
        <v>13157</v>
      </c>
      <c r="B655" s="28" t="s">
        <v>13158</v>
      </c>
      <c r="C655" s="28" t="s">
        <v>138</v>
      </c>
      <c r="D655" s="28" t="s">
        <v>138</v>
      </c>
      <c r="E655" s="28" t="s">
        <v>13159</v>
      </c>
      <c r="F655" s="28" t="s">
        <v>13157</v>
      </c>
      <c r="G655" s="28" t="s">
        <v>13160</v>
      </c>
      <c r="H655" s="28" t="s">
        <v>322</v>
      </c>
      <c r="I655" s="28" t="s">
        <v>323</v>
      </c>
      <c r="J655" s="28" t="s">
        <v>413</v>
      </c>
      <c r="K655" s="28" t="s">
        <v>13161</v>
      </c>
      <c r="L655" s="28" t="s">
        <v>242</v>
      </c>
      <c r="M655" s="28" t="s">
        <v>13162</v>
      </c>
      <c r="N655" s="28" t="s">
        <v>1452</v>
      </c>
      <c r="O655" s="29" t="s">
        <v>138</v>
      </c>
      <c r="P655" s="28" t="s">
        <v>148</v>
      </c>
      <c r="Q655" s="28" t="s">
        <v>149</v>
      </c>
      <c r="R655" s="28" t="s">
        <v>328</v>
      </c>
      <c r="S655" s="28" t="s">
        <v>13163</v>
      </c>
      <c r="T655" s="30">
        <v>11</v>
      </c>
      <c r="U655" s="28" t="s">
        <v>13164</v>
      </c>
      <c r="V655" s="28" t="s">
        <v>138</v>
      </c>
      <c r="W655" s="28" t="s">
        <v>138</v>
      </c>
      <c r="X655" s="31">
        <v>2006</v>
      </c>
      <c r="Y655" s="28" t="s">
        <v>138</v>
      </c>
      <c r="Z655" s="28" t="s">
        <v>138</v>
      </c>
      <c r="AA655" s="28" t="s">
        <v>138</v>
      </c>
      <c r="AB655" s="32" t="s">
        <v>138</v>
      </c>
      <c r="AC655" s="32" t="s">
        <v>138</v>
      </c>
      <c r="AD655" s="32" t="s">
        <v>138</v>
      </c>
      <c r="AE655" s="32" t="s">
        <v>138</v>
      </c>
      <c r="AF655" s="32" t="s">
        <v>138</v>
      </c>
      <c r="AG655" s="28" t="s">
        <v>138</v>
      </c>
      <c r="AH655" s="32" t="s">
        <v>138</v>
      </c>
      <c r="AI655" s="32" t="s">
        <v>138</v>
      </c>
      <c r="AJ655" s="32" t="s">
        <v>138</v>
      </c>
      <c r="AK655" s="28" t="s">
        <v>13165</v>
      </c>
      <c r="AL655" s="28" t="s">
        <v>13166</v>
      </c>
      <c r="AM655" s="28" t="s">
        <v>5715</v>
      </c>
      <c r="AN655" s="28" t="s">
        <v>138</v>
      </c>
      <c r="AO655" s="28" t="s">
        <v>13167</v>
      </c>
      <c r="AP655" s="28" t="s">
        <v>13168</v>
      </c>
      <c r="AQ655" s="28" t="s">
        <v>13169</v>
      </c>
      <c r="AR655" s="28" t="s">
        <v>138</v>
      </c>
      <c r="AS655" s="28" t="s">
        <v>13170</v>
      </c>
      <c r="AT655" s="28" t="s">
        <v>138</v>
      </c>
      <c r="AU655" s="28" t="s">
        <v>13171</v>
      </c>
      <c r="AV655" s="28" t="s">
        <v>946</v>
      </c>
      <c r="AW655" s="28" t="s">
        <v>13167</v>
      </c>
      <c r="AX655" s="28" t="s">
        <v>13172</v>
      </c>
      <c r="AY655" s="28" t="s">
        <v>13173</v>
      </c>
      <c r="AZ655" s="28" t="s">
        <v>530</v>
      </c>
      <c r="BA655" s="28" t="s">
        <v>531</v>
      </c>
      <c r="BB655" s="28" t="s">
        <v>13174</v>
      </c>
      <c r="BC655" s="28" t="s">
        <v>13175</v>
      </c>
      <c r="BD655" s="33">
        <v>3</v>
      </c>
      <c r="BE655" s="28" t="s">
        <v>138</v>
      </c>
      <c r="BF655" s="28" t="s">
        <v>13176</v>
      </c>
      <c r="BG655" s="28" t="s">
        <v>138</v>
      </c>
      <c r="BH655" s="28" t="s">
        <v>13177</v>
      </c>
      <c r="BI655" s="28" t="s">
        <v>13178</v>
      </c>
      <c r="BJ655" s="28" t="s">
        <v>138</v>
      </c>
      <c r="BK655" s="28" t="s">
        <v>13179</v>
      </c>
      <c r="BL655" s="28" t="s">
        <v>13180</v>
      </c>
      <c r="BM655" s="34">
        <v>39238</v>
      </c>
      <c r="BN655" s="29" t="s">
        <v>138</v>
      </c>
      <c r="BO655" s="28" t="s">
        <v>138</v>
      </c>
      <c r="BP655" s="29" t="s">
        <v>138</v>
      </c>
      <c r="BQ655" s="28" t="s">
        <v>138</v>
      </c>
      <c r="BR655" s="28" t="s">
        <v>205</v>
      </c>
      <c r="BS655" s="28" t="s">
        <v>206</v>
      </c>
      <c r="BT655" s="28" t="s">
        <v>138</v>
      </c>
      <c r="BU655" s="28" t="s">
        <v>174</v>
      </c>
      <c r="BV655" s="28" t="s">
        <v>138</v>
      </c>
      <c r="BW655" s="28" t="s">
        <v>138</v>
      </c>
      <c r="BX655" s="28" t="s">
        <v>138</v>
      </c>
      <c r="BY655" s="28" t="s">
        <v>175</v>
      </c>
      <c r="BZ655" s="34" t="s">
        <v>138</v>
      </c>
      <c r="CA655" s="29" t="s">
        <v>138</v>
      </c>
      <c r="CB655" s="28" t="s">
        <v>138</v>
      </c>
      <c r="CC655" s="29" t="s">
        <v>138</v>
      </c>
      <c r="CD655" s="28" t="s">
        <v>138</v>
      </c>
      <c r="CE655" s="28" t="s">
        <v>379</v>
      </c>
      <c r="CF655" s="28" t="s">
        <v>138</v>
      </c>
      <c r="CG655" s="28" t="s">
        <v>138</v>
      </c>
      <c r="CH655" s="28" t="s">
        <v>174</v>
      </c>
      <c r="CI655" s="28" t="s">
        <v>138</v>
      </c>
      <c r="CJ655" s="28" t="s">
        <v>138</v>
      </c>
      <c r="CK655" s="28" t="s">
        <v>138</v>
      </c>
      <c r="CL655" s="28" t="s">
        <v>175</v>
      </c>
      <c r="CM655" s="34" t="s">
        <v>138</v>
      </c>
      <c r="CN655" s="29" t="s">
        <v>138</v>
      </c>
      <c r="CO655" s="35">
        <v>-3.34</v>
      </c>
      <c r="CP655" s="36">
        <v>3</v>
      </c>
      <c r="CQ655" s="35">
        <v>-0.04</v>
      </c>
      <c r="CR655" s="35">
        <v>-1.1200000000000001</v>
      </c>
      <c r="CS655" s="35">
        <v>-6.64</v>
      </c>
      <c r="CT655" s="36">
        <v>1</v>
      </c>
      <c r="CU655" s="35">
        <v>-0.04</v>
      </c>
      <c r="CV655" s="36">
        <v>12</v>
      </c>
      <c r="CW655" s="35" t="s">
        <v>138</v>
      </c>
      <c r="CX655" s="36" t="s">
        <v>138</v>
      </c>
      <c r="CY655" s="35">
        <v>-6.64</v>
      </c>
      <c r="CZ655" s="36">
        <v>2</v>
      </c>
      <c r="DA655" s="35" t="s">
        <v>138</v>
      </c>
      <c r="DB655" s="36" t="s">
        <v>138</v>
      </c>
      <c r="DC655" s="37">
        <v>45.76</v>
      </c>
      <c r="DD655" s="36">
        <v>98</v>
      </c>
      <c r="DE655" s="37">
        <v>-0.06</v>
      </c>
      <c r="DF655" s="35">
        <v>-0.12</v>
      </c>
      <c r="DG655" s="37">
        <v>19.100000000000001</v>
      </c>
      <c r="DH655" s="36">
        <v>94</v>
      </c>
      <c r="DI655" s="37">
        <v>72.41</v>
      </c>
      <c r="DJ655" s="36">
        <v>96</v>
      </c>
      <c r="DK655" s="37" t="s">
        <v>138</v>
      </c>
      <c r="DL655" s="36" t="s">
        <v>138</v>
      </c>
      <c r="DM655" s="37">
        <v>19.100000000000001</v>
      </c>
      <c r="DN655" s="36">
        <v>94</v>
      </c>
      <c r="DO655" s="37" t="s">
        <v>138</v>
      </c>
      <c r="DP655" s="36" t="s">
        <v>138</v>
      </c>
      <c r="DQ655" s="36">
        <v>472</v>
      </c>
      <c r="DR655" s="38">
        <v>-75</v>
      </c>
      <c r="DS655" s="35">
        <v>-13.71</v>
      </c>
      <c r="DT655" s="36">
        <v>554</v>
      </c>
      <c r="DU655" s="38">
        <v>-1</v>
      </c>
      <c r="DV655" s="35">
        <v>-0.18</v>
      </c>
      <c r="DW655" s="36" t="s">
        <v>138</v>
      </c>
      <c r="DX655" s="39" t="s">
        <v>138</v>
      </c>
      <c r="DY655" s="35" t="s">
        <v>138</v>
      </c>
      <c r="DZ655" s="28" t="s">
        <v>178</v>
      </c>
      <c r="EA655" s="34">
        <v>43448</v>
      </c>
      <c r="EB655" s="29" t="s">
        <v>138</v>
      </c>
      <c r="EC655" s="34" t="s">
        <v>138</v>
      </c>
      <c r="ED655" s="28" t="s">
        <v>138</v>
      </c>
      <c r="EE655" s="40" t="str">
        <f>HYPERLINK("https://my.pitchbook.com?c=56377-63", "View company online")</f>
        <v>View company online</v>
      </c>
    </row>
    <row r="656" spans="1:135">
      <c r="A656" s="15" t="s">
        <v>13181</v>
      </c>
      <c r="B656" s="15" t="s">
        <v>13182</v>
      </c>
      <c r="C656" s="15" t="s">
        <v>13183</v>
      </c>
      <c r="D656" s="15" t="s">
        <v>138</v>
      </c>
      <c r="E656" s="15" t="s">
        <v>13184</v>
      </c>
      <c r="F656" s="15" t="s">
        <v>13181</v>
      </c>
      <c r="G656" s="15" t="s">
        <v>13185</v>
      </c>
      <c r="H656" s="15" t="s">
        <v>322</v>
      </c>
      <c r="I656" s="15" t="s">
        <v>323</v>
      </c>
      <c r="J656" s="15" t="s">
        <v>461</v>
      </c>
      <c r="K656" s="15" t="s">
        <v>13186</v>
      </c>
      <c r="L656" s="15" t="s">
        <v>4640</v>
      </c>
      <c r="M656" s="15" t="s">
        <v>13187</v>
      </c>
      <c r="N656" s="15" t="s">
        <v>147</v>
      </c>
      <c r="O656" s="17">
        <v>8.2799999999999994</v>
      </c>
      <c r="P656" s="15" t="s">
        <v>610</v>
      </c>
      <c r="Q656" s="15" t="s">
        <v>149</v>
      </c>
      <c r="R656" s="15" t="s">
        <v>174</v>
      </c>
      <c r="S656" s="15" t="s">
        <v>13188</v>
      </c>
      <c r="T656" s="18">
        <v>9</v>
      </c>
      <c r="U656" s="15" t="s">
        <v>4748</v>
      </c>
      <c r="V656" s="15" t="s">
        <v>138</v>
      </c>
      <c r="W656" s="15" t="s">
        <v>138</v>
      </c>
      <c r="X656" s="19">
        <v>2014</v>
      </c>
      <c r="Y656" s="15" t="s">
        <v>138</v>
      </c>
      <c r="Z656" s="15" t="s">
        <v>138</v>
      </c>
      <c r="AA656" s="15" t="s">
        <v>138</v>
      </c>
      <c r="AB656" s="20" t="s">
        <v>138</v>
      </c>
      <c r="AC656" s="20" t="s">
        <v>138</v>
      </c>
      <c r="AD656" s="20" t="s">
        <v>138</v>
      </c>
      <c r="AE656" s="20" t="s">
        <v>138</v>
      </c>
      <c r="AF656" s="20" t="s">
        <v>138</v>
      </c>
      <c r="AG656" s="15" t="s">
        <v>138</v>
      </c>
      <c r="AH656" s="20" t="s">
        <v>138</v>
      </c>
      <c r="AI656" s="20" t="s">
        <v>138</v>
      </c>
      <c r="AJ656" s="20" t="s">
        <v>138</v>
      </c>
      <c r="AK656" s="15" t="s">
        <v>13189</v>
      </c>
      <c r="AL656" s="15" t="s">
        <v>13190</v>
      </c>
      <c r="AM656" s="15" t="s">
        <v>304</v>
      </c>
      <c r="AN656" s="15" t="s">
        <v>13191</v>
      </c>
      <c r="AO656" s="15" t="s">
        <v>13192</v>
      </c>
      <c r="AP656" s="15" t="s">
        <v>1168</v>
      </c>
      <c r="AQ656" s="15" t="s">
        <v>13193</v>
      </c>
      <c r="AR656" s="15" t="s">
        <v>3630</v>
      </c>
      <c r="AS656" s="15" t="s">
        <v>1171</v>
      </c>
      <c r="AT656" s="15" t="s">
        <v>200</v>
      </c>
      <c r="AU656" s="15" t="s">
        <v>4152</v>
      </c>
      <c r="AV656" s="15" t="s">
        <v>162</v>
      </c>
      <c r="AW656" s="15" t="s">
        <v>138</v>
      </c>
      <c r="AX656" s="15" t="s">
        <v>138</v>
      </c>
      <c r="AY656" s="15" t="s">
        <v>13194</v>
      </c>
      <c r="AZ656" s="15" t="s">
        <v>164</v>
      </c>
      <c r="BA656" s="15" t="s">
        <v>165</v>
      </c>
      <c r="BB656" s="15" t="s">
        <v>13195</v>
      </c>
      <c r="BC656" s="15" t="s">
        <v>13196</v>
      </c>
      <c r="BD656" s="21">
        <v>8</v>
      </c>
      <c r="BE656" s="15" t="s">
        <v>138</v>
      </c>
      <c r="BF656" s="15" t="s">
        <v>138</v>
      </c>
      <c r="BG656" s="15" t="s">
        <v>138</v>
      </c>
      <c r="BH656" s="15" t="s">
        <v>13197</v>
      </c>
      <c r="BI656" s="15" t="s">
        <v>138</v>
      </c>
      <c r="BJ656" s="15" t="s">
        <v>138</v>
      </c>
      <c r="BK656" s="15" t="s">
        <v>290</v>
      </c>
      <c r="BL656" s="15" t="s">
        <v>290</v>
      </c>
      <c r="BM656" s="22">
        <v>42145</v>
      </c>
      <c r="BN656" s="17">
        <v>0.03</v>
      </c>
      <c r="BO656" s="15" t="s">
        <v>172</v>
      </c>
      <c r="BP656" s="17">
        <v>0.6</v>
      </c>
      <c r="BQ656" s="15" t="s">
        <v>172</v>
      </c>
      <c r="BR656" s="15" t="s">
        <v>316</v>
      </c>
      <c r="BS656" s="15" t="s">
        <v>138</v>
      </c>
      <c r="BT656" s="15" t="s">
        <v>138</v>
      </c>
      <c r="BU656" s="15" t="s">
        <v>177</v>
      </c>
      <c r="BV656" s="15" t="s">
        <v>138</v>
      </c>
      <c r="BW656" s="15" t="s">
        <v>138</v>
      </c>
      <c r="BX656" s="15" t="s">
        <v>138</v>
      </c>
      <c r="BY656" s="15" t="s">
        <v>175</v>
      </c>
      <c r="BZ656" s="22">
        <v>43286</v>
      </c>
      <c r="CA656" s="17">
        <v>8.25</v>
      </c>
      <c r="CB656" s="15" t="s">
        <v>172</v>
      </c>
      <c r="CC656" s="17">
        <v>46.75</v>
      </c>
      <c r="CD656" s="15" t="s">
        <v>172</v>
      </c>
      <c r="CE656" s="15" t="s">
        <v>205</v>
      </c>
      <c r="CF656" s="15" t="s">
        <v>206</v>
      </c>
      <c r="CG656" s="15" t="s">
        <v>138</v>
      </c>
      <c r="CH656" s="15" t="s">
        <v>174</v>
      </c>
      <c r="CI656" s="15" t="s">
        <v>138</v>
      </c>
      <c r="CJ656" s="15" t="s">
        <v>138</v>
      </c>
      <c r="CK656" s="15" t="s">
        <v>138</v>
      </c>
      <c r="CL656" s="15" t="s">
        <v>175</v>
      </c>
      <c r="CM656" s="22" t="s">
        <v>138</v>
      </c>
      <c r="CN656" s="17" t="s">
        <v>138</v>
      </c>
      <c r="CO656" s="23">
        <v>-0.7</v>
      </c>
      <c r="CP656" s="24">
        <v>14</v>
      </c>
      <c r="CQ656" s="23">
        <v>0</v>
      </c>
      <c r="CR656" s="23">
        <v>0</v>
      </c>
      <c r="CS656" s="23">
        <v>-0.7</v>
      </c>
      <c r="CT656" s="24">
        <v>18</v>
      </c>
      <c r="CU656" s="23" t="s">
        <v>138</v>
      </c>
      <c r="CV656" s="24" t="s">
        <v>138</v>
      </c>
      <c r="CW656" s="23">
        <v>-1.4</v>
      </c>
      <c r="CX656" s="24">
        <v>9</v>
      </c>
      <c r="CY656" s="23">
        <v>0</v>
      </c>
      <c r="CZ656" s="24">
        <v>25</v>
      </c>
      <c r="DA656" s="23" t="s">
        <v>138</v>
      </c>
      <c r="DB656" s="24" t="s">
        <v>138</v>
      </c>
      <c r="DC656" s="25">
        <v>1.6</v>
      </c>
      <c r="DD656" s="24">
        <v>62</v>
      </c>
      <c r="DE656" s="25">
        <v>-0.12</v>
      </c>
      <c r="DF656" s="23">
        <v>-6.93</v>
      </c>
      <c r="DG656" s="25">
        <v>1.6</v>
      </c>
      <c r="DH656" s="24">
        <v>62</v>
      </c>
      <c r="DI656" s="25" t="s">
        <v>138</v>
      </c>
      <c r="DJ656" s="24" t="s">
        <v>138</v>
      </c>
      <c r="DK656" s="25">
        <v>1.86</v>
      </c>
      <c r="DL656" s="24">
        <v>63</v>
      </c>
      <c r="DM656" s="25">
        <v>1.34</v>
      </c>
      <c r="DN656" s="24">
        <v>57</v>
      </c>
      <c r="DO656" s="25" t="s">
        <v>138</v>
      </c>
      <c r="DP656" s="24" t="s">
        <v>138</v>
      </c>
      <c r="DQ656" s="24">
        <v>667</v>
      </c>
      <c r="DR656" s="26">
        <v>-87</v>
      </c>
      <c r="DS656" s="23">
        <v>-11.54</v>
      </c>
      <c r="DT656" s="24">
        <v>39</v>
      </c>
      <c r="DU656" s="26">
        <v>1</v>
      </c>
      <c r="DV656" s="23">
        <v>2.63</v>
      </c>
      <c r="DW656" s="24" t="s">
        <v>138</v>
      </c>
      <c r="DX656" s="27" t="s">
        <v>138</v>
      </c>
      <c r="DY656" s="23" t="s">
        <v>138</v>
      </c>
      <c r="DZ656" s="15" t="s">
        <v>178</v>
      </c>
      <c r="EA656" s="22">
        <v>43538</v>
      </c>
      <c r="EB656" s="17">
        <v>46.75</v>
      </c>
      <c r="EC656" s="22">
        <v>43286</v>
      </c>
      <c r="ED656" s="15" t="s">
        <v>205</v>
      </c>
      <c r="EE656" s="14" t="str">
        <f>HYPERLINK("https://my.pitchbook.com?c=149896-18", "View company online")</f>
        <v>View company online</v>
      </c>
    </row>
    <row r="657" spans="1:135">
      <c r="A657" s="28" t="s">
        <v>13198</v>
      </c>
      <c r="B657" s="28" t="s">
        <v>13199</v>
      </c>
      <c r="C657" s="28" t="s">
        <v>13200</v>
      </c>
      <c r="D657" s="28" t="s">
        <v>138</v>
      </c>
      <c r="E657" s="28" t="s">
        <v>13201</v>
      </c>
      <c r="F657" s="28" t="s">
        <v>13198</v>
      </c>
      <c r="G657" s="28" t="s">
        <v>13202</v>
      </c>
      <c r="H657" s="28" t="s">
        <v>322</v>
      </c>
      <c r="I657" s="28" t="s">
        <v>323</v>
      </c>
      <c r="J657" s="28" t="s">
        <v>324</v>
      </c>
      <c r="K657" s="28" t="s">
        <v>2464</v>
      </c>
      <c r="L657" s="28" t="s">
        <v>415</v>
      </c>
      <c r="M657" s="28" t="s">
        <v>13203</v>
      </c>
      <c r="N657" s="28" t="s">
        <v>147</v>
      </c>
      <c r="O657" s="29">
        <v>11.96</v>
      </c>
      <c r="P657" s="28" t="s">
        <v>148</v>
      </c>
      <c r="Q657" s="28" t="s">
        <v>149</v>
      </c>
      <c r="R657" s="28" t="s">
        <v>174</v>
      </c>
      <c r="S657" s="28" t="s">
        <v>13204</v>
      </c>
      <c r="T657" s="30">
        <v>11</v>
      </c>
      <c r="U657" s="28" t="s">
        <v>13205</v>
      </c>
      <c r="V657" s="28" t="s">
        <v>138</v>
      </c>
      <c r="W657" s="28" t="s">
        <v>138</v>
      </c>
      <c r="X657" s="31">
        <v>2007</v>
      </c>
      <c r="Y657" s="28" t="s">
        <v>138</v>
      </c>
      <c r="Z657" s="28" t="s">
        <v>138</v>
      </c>
      <c r="AA657" s="28" t="s">
        <v>138</v>
      </c>
      <c r="AB657" s="32" t="s">
        <v>138</v>
      </c>
      <c r="AC657" s="32" t="s">
        <v>138</v>
      </c>
      <c r="AD657" s="32" t="s">
        <v>138</v>
      </c>
      <c r="AE657" s="32" t="s">
        <v>138</v>
      </c>
      <c r="AF657" s="32" t="s">
        <v>138</v>
      </c>
      <c r="AG657" s="28" t="s">
        <v>138</v>
      </c>
      <c r="AH657" s="32" t="s">
        <v>138</v>
      </c>
      <c r="AI657" s="32" t="s">
        <v>138</v>
      </c>
      <c r="AJ657" s="32" t="s">
        <v>138</v>
      </c>
      <c r="AK657" s="28" t="s">
        <v>13206</v>
      </c>
      <c r="AL657" s="28" t="s">
        <v>13207</v>
      </c>
      <c r="AM657" s="28" t="s">
        <v>13208</v>
      </c>
      <c r="AN657" s="28" t="s">
        <v>13209</v>
      </c>
      <c r="AO657" s="28" t="s">
        <v>13210</v>
      </c>
      <c r="AP657" s="28" t="s">
        <v>665</v>
      </c>
      <c r="AQ657" s="28" t="s">
        <v>13211</v>
      </c>
      <c r="AR657" s="28" t="s">
        <v>618</v>
      </c>
      <c r="AS657" s="28" t="s">
        <v>668</v>
      </c>
      <c r="AT657" s="28" t="s">
        <v>200</v>
      </c>
      <c r="AU657" s="28" t="s">
        <v>669</v>
      </c>
      <c r="AV657" s="28" t="s">
        <v>162</v>
      </c>
      <c r="AW657" s="28" t="s">
        <v>13210</v>
      </c>
      <c r="AX657" s="28" t="s">
        <v>138</v>
      </c>
      <c r="AY657" s="28" t="s">
        <v>13212</v>
      </c>
      <c r="AZ657" s="28" t="s">
        <v>164</v>
      </c>
      <c r="BA657" s="28" t="s">
        <v>165</v>
      </c>
      <c r="BB657" s="28" t="s">
        <v>13213</v>
      </c>
      <c r="BC657" s="28" t="s">
        <v>13214</v>
      </c>
      <c r="BD657" s="33">
        <v>2</v>
      </c>
      <c r="BE657" s="28" t="s">
        <v>138</v>
      </c>
      <c r="BF657" s="28" t="s">
        <v>138</v>
      </c>
      <c r="BG657" s="28" t="s">
        <v>138</v>
      </c>
      <c r="BH657" s="28" t="s">
        <v>13215</v>
      </c>
      <c r="BI657" s="28" t="s">
        <v>138</v>
      </c>
      <c r="BJ657" s="28" t="s">
        <v>138</v>
      </c>
      <c r="BK657" s="28" t="s">
        <v>138</v>
      </c>
      <c r="BL657" s="28" t="s">
        <v>138</v>
      </c>
      <c r="BM657" s="34">
        <v>40148</v>
      </c>
      <c r="BN657" s="29">
        <v>5.2</v>
      </c>
      <c r="BO657" s="28" t="s">
        <v>172</v>
      </c>
      <c r="BP657" s="29">
        <v>21.7</v>
      </c>
      <c r="BQ657" s="28" t="s">
        <v>172</v>
      </c>
      <c r="BR657" s="28" t="s">
        <v>205</v>
      </c>
      <c r="BS657" s="28" t="s">
        <v>206</v>
      </c>
      <c r="BT657" s="28" t="s">
        <v>138</v>
      </c>
      <c r="BU657" s="28" t="s">
        <v>174</v>
      </c>
      <c r="BV657" s="28" t="s">
        <v>138</v>
      </c>
      <c r="BW657" s="28" t="s">
        <v>138</v>
      </c>
      <c r="BX657" s="28" t="s">
        <v>138</v>
      </c>
      <c r="BY657" s="28" t="s">
        <v>175</v>
      </c>
      <c r="BZ657" s="34">
        <v>42821</v>
      </c>
      <c r="CA657" s="29">
        <v>3.12</v>
      </c>
      <c r="CB657" s="28" t="s">
        <v>172</v>
      </c>
      <c r="CC657" s="29">
        <v>21.52</v>
      </c>
      <c r="CD657" s="28" t="s">
        <v>172</v>
      </c>
      <c r="CE657" s="28" t="s">
        <v>173</v>
      </c>
      <c r="CF657" s="28" t="s">
        <v>1727</v>
      </c>
      <c r="CG657" s="28" t="s">
        <v>138</v>
      </c>
      <c r="CH657" s="28" t="s">
        <v>174</v>
      </c>
      <c r="CI657" s="28" t="s">
        <v>138</v>
      </c>
      <c r="CJ657" s="28" t="s">
        <v>138</v>
      </c>
      <c r="CK657" s="28" t="s">
        <v>138</v>
      </c>
      <c r="CL657" s="28" t="s">
        <v>175</v>
      </c>
      <c r="CM657" s="34" t="s">
        <v>138</v>
      </c>
      <c r="CN657" s="29" t="s">
        <v>138</v>
      </c>
      <c r="CO657" s="35">
        <v>-3.05</v>
      </c>
      <c r="CP657" s="36">
        <v>3</v>
      </c>
      <c r="CQ657" s="35">
        <v>-0.06</v>
      </c>
      <c r="CR657" s="35">
        <v>-1.91</v>
      </c>
      <c r="CS657" s="35">
        <v>-5.98</v>
      </c>
      <c r="CT657" s="36">
        <v>2</v>
      </c>
      <c r="CU657" s="35">
        <v>-0.12</v>
      </c>
      <c r="CV657" s="36">
        <v>3</v>
      </c>
      <c r="CW657" s="35" t="s">
        <v>138</v>
      </c>
      <c r="CX657" s="36" t="s">
        <v>138</v>
      </c>
      <c r="CY657" s="35">
        <v>-5.98</v>
      </c>
      <c r="CZ657" s="36">
        <v>2</v>
      </c>
      <c r="DA657" s="35">
        <v>-0.12</v>
      </c>
      <c r="DB657" s="36">
        <v>5</v>
      </c>
      <c r="DC657" s="37">
        <v>8.66</v>
      </c>
      <c r="DD657" s="36">
        <v>89</v>
      </c>
      <c r="DE657" s="37">
        <v>-0.05</v>
      </c>
      <c r="DF657" s="35">
        <v>-0.56999999999999995</v>
      </c>
      <c r="DG657" s="37">
        <v>16.72</v>
      </c>
      <c r="DH657" s="36">
        <v>94</v>
      </c>
      <c r="DI657" s="37">
        <v>0.6</v>
      </c>
      <c r="DJ657" s="36">
        <v>40</v>
      </c>
      <c r="DK657" s="37" t="s">
        <v>138</v>
      </c>
      <c r="DL657" s="36" t="s">
        <v>138</v>
      </c>
      <c r="DM657" s="37">
        <v>16.72</v>
      </c>
      <c r="DN657" s="36">
        <v>93</v>
      </c>
      <c r="DO657" s="37">
        <v>0.6</v>
      </c>
      <c r="DP657" s="36">
        <v>41</v>
      </c>
      <c r="DQ657" s="36" t="s">
        <v>138</v>
      </c>
      <c r="DR657" s="38" t="s">
        <v>138</v>
      </c>
      <c r="DS657" s="35" t="s">
        <v>138</v>
      </c>
      <c r="DT657" s="36">
        <v>486</v>
      </c>
      <c r="DU657" s="38">
        <v>-1</v>
      </c>
      <c r="DV657" s="35">
        <v>-0.21</v>
      </c>
      <c r="DW657" s="36">
        <v>215</v>
      </c>
      <c r="DX657" s="39">
        <v>0</v>
      </c>
      <c r="DY657" s="35">
        <v>0</v>
      </c>
      <c r="DZ657" s="28" t="s">
        <v>178</v>
      </c>
      <c r="EA657" s="34">
        <v>43351</v>
      </c>
      <c r="EB657" s="29">
        <v>21.52</v>
      </c>
      <c r="EC657" s="34">
        <v>42821</v>
      </c>
      <c r="ED657" s="28" t="s">
        <v>173</v>
      </c>
      <c r="EE657" s="40" t="str">
        <f>HYPERLINK("https://my.pitchbook.com?c=55754-29", "View company online")</f>
        <v>View company online</v>
      </c>
    </row>
    <row r="658" spans="1:135">
      <c r="A658" s="15" t="s">
        <v>13216</v>
      </c>
      <c r="B658" s="15" t="s">
        <v>13217</v>
      </c>
      <c r="C658" s="15" t="s">
        <v>138</v>
      </c>
      <c r="D658" s="15" t="s">
        <v>138</v>
      </c>
      <c r="E658" s="15" t="s">
        <v>13218</v>
      </c>
      <c r="F658" s="15" t="s">
        <v>13216</v>
      </c>
      <c r="G658" s="15" t="s">
        <v>13219</v>
      </c>
      <c r="H658" s="15" t="s">
        <v>141</v>
      </c>
      <c r="I658" s="15" t="s">
        <v>212</v>
      </c>
      <c r="J658" s="15" t="s">
        <v>655</v>
      </c>
      <c r="K658" s="15" t="s">
        <v>13220</v>
      </c>
      <c r="L658" s="15" t="s">
        <v>13221</v>
      </c>
      <c r="M658" s="15" t="s">
        <v>13222</v>
      </c>
      <c r="N658" s="15" t="s">
        <v>147</v>
      </c>
      <c r="O658" s="17">
        <v>62.76</v>
      </c>
      <c r="P658" s="15" t="s">
        <v>148</v>
      </c>
      <c r="Q658" s="15" t="s">
        <v>149</v>
      </c>
      <c r="R658" s="15" t="s">
        <v>174</v>
      </c>
      <c r="S658" s="15" t="s">
        <v>13223</v>
      </c>
      <c r="T658" s="18">
        <v>87</v>
      </c>
      <c r="U658" s="15" t="s">
        <v>13224</v>
      </c>
      <c r="V658" s="15" t="s">
        <v>138</v>
      </c>
      <c r="W658" s="15" t="s">
        <v>138</v>
      </c>
      <c r="X658" s="19" t="s">
        <v>138</v>
      </c>
      <c r="Y658" s="15" t="s">
        <v>138</v>
      </c>
      <c r="Z658" s="15" t="s">
        <v>138</v>
      </c>
      <c r="AA658" s="15" t="s">
        <v>138</v>
      </c>
      <c r="AB658" s="20" t="s">
        <v>138</v>
      </c>
      <c r="AC658" s="20" t="s">
        <v>138</v>
      </c>
      <c r="AD658" s="20" t="s">
        <v>138</v>
      </c>
      <c r="AE658" s="20" t="s">
        <v>138</v>
      </c>
      <c r="AF658" s="20" t="s">
        <v>138</v>
      </c>
      <c r="AG658" s="15" t="s">
        <v>138</v>
      </c>
      <c r="AH658" s="20" t="s">
        <v>138</v>
      </c>
      <c r="AI658" s="20" t="s">
        <v>138</v>
      </c>
      <c r="AJ658" s="20" t="s">
        <v>138</v>
      </c>
      <c r="AK658" s="15" t="s">
        <v>13225</v>
      </c>
      <c r="AL658" s="15" t="s">
        <v>13226</v>
      </c>
      <c r="AM658" s="15" t="s">
        <v>221</v>
      </c>
      <c r="AN658" s="15" t="s">
        <v>13227</v>
      </c>
      <c r="AO658" s="15" t="s">
        <v>13228</v>
      </c>
      <c r="AP658" s="15" t="s">
        <v>423</v>
      </c>
      <c r="AQ658" s="15" t="s">
        <v>13229</v>
      </c>
      <c r="AR658" s="15" t="s">
        <v>138</v>
      </c>
      <c r="AS658" s="15" t="s">
        <v>426</v>
      </c>
      <c r="AT658" s="15" t="s">
        <v>426</v>
      </c>
      <c r="AU658" s="15" t="s">
        <v>13230</v>
      </c>
      <c r="AV658" s="15" t="s">
        <v>162</v>
      </c>
      <c r="AW658" s="15" t="s">
        <v>13228</v>
      </c>
      <c r="AX658" s="15" t="s">
        <v>138</v>
      </c>
      <c r="AY658" s="15" t="s">
        <v>13231</v>
      </c>
      <c r="AZ658" s="15" t="s">
        <v>164</v>
      </c>
      <c r="BA658" s="15" t="s">
        <v>165</v>
      </c>
      <c r="BB658" s="15" t="s">
        <v>13232</v>
      </c>
      <c r="BC658" s="15" t="s">
        <v>13233</v>
      </c>
      <c r="BD658" s="21">
        <v>19</v>
      </c>
      <c r="BE658" s="15" t="s">
        <v>138</v>
      </c>
      <c r="BF658" s="15" t="s">
        <v>138</v>
      </c>
      <c r="BG658" s="15" t="s">
        <v>138</v>
      </c>
      <c r="BH658" s="15" t="s">
        <v>13234</v>
      </c>
      <c r="BI658" s="15" t="s">
        <v>138</v>
      </c>
      <c r="BJ658" s="15" t="s">
        <v>138</v>
      </c>
      <c r="BK658" s="15" t="s">
        <v>5213</v>
      </c>
      <c r="BL658" s="15" t="s">
        <v>5213</v>
      </c>
      <c r="BM658" s="22">
        <v>41221</v>
      </c>
      <c r="BN658" s="17" t="s">
        <v>138</v>
      </c>
      <c r="BO658" s="15" t="s">
        <v>138</v>
      </c>
      <c r="BP658" s="17" t="s">
        <v>138</v>
      </c>
      <c r="BQ658" s="15" t="s">
        <v>138</v>
      </c>
      <c r="BR658" s="15" t="s">
        <v>316</v>
      </c>
      <c r="BS658" s="15" t="s">
        <v>138</v>
      </c>
      <c r="BT658" s="15" t="s">
        <v>138</v>
      </c>
      <c r="BU658" s="15" t="s">
        <v>177</v>
      </c>
      <c r="BV658" s="15" t="s">
        <v>138</v>
      </c>
      <c r="BW658" s="15" t="s">
        <v>138</v>
      </c>
      <c r="BX658" s="15" t="s">
        <v>138</v>
      </c>
      <c r="BY658" s="15" t="s">
        <v>175</v>
      </c>
      <c r="BZ658" s="22">
        <v>43370</v>
      </c>
      <c r="CA658" s="17">
        <v>40</v>
      </c>
      <c r="CB658" s="15" t="s">
        <v>172</v>
      </c>
      <c r="CC658" s="17">
        <v>190</v>
      </c>
      <c r="CD658" s="15" t="s">
        <v>172</v>
      </c>
      <c r="CE658" s="15" t="s">
        <v>173</v>
      </c>
      <c r="CF658" s="15" t="s">
        <v>720</v>
      </c>
      <c r="CG658" s="15" t="s">
        <v>138</v>
      </c>
      <c r="CH658" s="15" t="s">
        <v>174</v>
      </c>
      <c r="CI658" s="15" t="s">
        <v>138</v>
      </c>
      <c r="CJ658" s="15" t="s">
        <v>138</v>
      </c>
      <c r="CK658" s="15" t="s">
        <v>138</v>
      </c>
      <c r="CL658" s="15" t="s">
        <v>175</v>
      </c>
      <c r="CM658" s="22" t="s">
        <v>138</v>
      </c>
      <c r="CN658" s="17" t="s">
        <v>138</v>
      </c>
      <c r="CO658" s="23">
        <v>0.94</v>
      </c>
      <c r="CP658" s="24">
        <v>97</v>
      </c>
      <c r="CQ658" s="23">
        <v>-0.02</v>
      </c>
      <c r="CR658" s="23">
        <v>-2.0299999999999998</v>
      </c>
      <c r="CS658" s="23">
        <v>2.12</v>
      </c>
      <c r="CT658" s="24">
        <v>98</v>
      </c>
      <c r="CU658" s="23">
        <v>0.43</v>
      </c>
      <c r="CV658" s="24">
        <v>92</v>
      </c>
      <c r="CW658" s="23">
        <v>4.41</v>
      </c>
      <c r="CX658" s="24">
        <v>94</v>
      </c>
      <c r="CY658" s="23">
        <v>-0.18</v>
      </c>
      <c r="CZ658" s="24">
        <v>24</v>
      </c>
      <c r="DA658" s="23">
        <v>0.43</v>
      </c>
      <c r="DB658" s="24">
        <v>93</v>
      </c>
      <c r="DC658" s="25">
        <v>24.77</v>
      </c>
      <c r="DD658" s="24">
        <v>96</v>
      </c>
      <c r="DE658" s="25">
        <v>-2.13</v>
      </c>
      <c r="DF658" s="23">
        <v>-7.92</v>
      </c>
      <c r="DG658" s="25">
        <v>64.930000000000007</v>
      </c>
      <c r="DH658" s="24">
        <v>99</v>
      </c>
      <c r="DI658" s="25">
        <v>8.6300000000000008</v>
      </c>
      <c r="DJ658" s="24">
        <v>84</v>
      </c>
      <c r="DK658" s="25">
        <v>101.2</v>
      </c>
      <c r="DL658" s="24">
        <v>98</v>
      </c>
      <c r="DM658" s="25">
        <v>28.66</v>
      </c>
      <c r="DN658" s="24">
        <v>96</v>
      </c>
      <c r="DO658" s="25">
        <v>8.6300000000000008</v>
      </c>
      <c r="DP658" s="24">
        <v>86</v>
      </c>
      <c r="DQ658" s="24">
        <v>33985</v>
      </c>
      <c r="DR658" s="26">
        <v>2184</v>
      </c>
      <c r="DS658" s="23">
        <v>6.87</v>
      </c>
      <c r="DT658" s="24">
        <v>831</v>
      </c>
      <c r="DU658" s="26">
        <v>-1</v>
      </c>
      <c r="DV658" s="23">
        <v>-0.12</v>
      </c>
      <c r="DW658" s="24">
        <v>3084</v>
      </c>
      <c r="DX658" s="27">
        <v>10</v>
      </c>
      <c r="DY658" s="23">
        <v>0.33</v>
      </c>
      <c r="DZ658" s="15" t="s">
        <v>178</v>
      </c>
      <c r="EA658" s="22">
        <v>43506</v>
      </c>
      <c r="EB658" s="17">
        <v>190</v>
      </c>
      <c r="EC658" s="22">
        <v>43370</v>
      </c>
      <c r="ED658" s="15" t="s">
        <v>173</v>
      </c>
      <c r="EE658" s="14" t="str">
        <f>HYPERLINK("https://my.pitchbook.com?c=59145-49", "View company online")</f>
        <v>View company online</v>
      </c>
    </row>
    <row r="659" spans="1:135">
      <c r="A659" s="28" t="s">
        <v>13235</v>
      </c>
      <c r="B659" s="28" t="s">
        <v>13236</v>
      </c>
      <c r="C659" s="28" t="s">
        <v>138</v>
      </c>
      <c r="D659" s="28" t="s">
        <v>138</v>
      </c>
      <c r="E659" s="28" t="s">
        <v>13237</v>
      </c>
      <c r="F659" s="28" t="s">
        <v>13235</v>
      </c>
      <c r="G659" s="28" t="s">
        <v>13238</v>
      </c>
      <c r="H659" s="28" t="s">
        <v>238</v>
      </c>
      <c r="I659" s="28" t="s">
        <v>749</v>
      </c>
      <c r="J659" s="28" t="s">
        <v>750</v>
      </c>
      <c r="K659" s="28" t="s">
        <v>5196</v>
      </c>
      <c r="L659" s="28" t="s">
        <v>4703</v>
      </c>
      <c r="M659" s="28" t="s">
        <v>13239</v>
      </c>
      <c r="N659" s="28" t="s">
        <v>147</v>
      </c>
      <c r="O659" s="29">
        <v>3</v>
      </c>
      <c r="P659" s="28" t="s">
        <v>812</v>
      </c>
      <c r="Q659" s="28" t="s">
        <v>149</v>
      </c>
      <c r="R659" s="28" t="s">
        <v>174</v>
      </c>
      <c r="S659" s="28" t="s">
        <v>13240</v>
      </c>
      <c r="T659" s="30">
        <v>10</v>
      </c>
      <c r="U659" s="28" t="s">
        <v>13241</v>
      </c>
      <c r="V659" s="28" t="s">
        <v>138</v>
      </c>
      <c r="W659" s="28" t="s">
        <v>138</v>
      </c>
      <c r="X659" s="31">
        <v>2009</v>
      </c>
      <c r="Y659" s="28" t="s">
        <v>138</v>
      </c>
      <c r="Z659" s="28" t="s">
        <v>138</v>
      </c>
      <c r="AA659" s="28" t="s">
        <v>138</v>
      </c>
      <c r="AB659" s="32">
        <v>12</v>
      </c>
      <c r="AC659" s="32" t="s">
        <v>138</v>
      </c>
      <c r="AD659" s="32" t="s">
        <v>138</v>
      </c>
      <c r="AE659" s="32" t="s">
        <v>138</v>
      </c>
      <c r="AF659" s="32" t="s">
        <v>138</v>
      </c>
      <c r="AG659" s="28" t="s">
        <v>707</v>
      </c>
      <c r="AH659" s="32" t="s">
        <v>138</v>
      </c>
      <c r="AI659" s="32" t="s">
        <v>138</v>
      </c>
      <c r="AJ659" s="32" t="s">
        <v>138</v>
      </c>
      <c r="AK659" s="28" t="s">
        <v>13242</v>
      </c>
      <c r="AL659" s="28" t="s">
        <v>13243</v>
      </c>
      <c r="AM659" s="28" t="s">
        <v>986</v>
      </c>
      <c r="AN659" s="28" t="s">
        <v>13244</v>
      </c>
      <c r="AO659" s="28" t="s">
        <v>13245</v>
      </c>
      <c r="AP659" s="28" t="s">
        <v>6230</v>
      </c>
      <c r="AQ659" s="28" t="s">
        <v>13246</v>
      </c>
      <c r="AR659" s="28" t="s">
        <v>158</v>
      </c>
      <c r="AS659" s="28" t="s">
        <v>6232</v>
      </c>
      <c r="AT659" s="28" t="s">
        <v>371</v>
      </c>
      <c r="AU659" s="28" t="s">
        <v>6551</v>
      </c>
      <c r="AV659" s="28" t="s">
        <v>162</v>
      </c>
      <c r="AW659" s="28" t="s">
        <v>13245</v>
      </c>
      <c r="AX659" s="28" t="s">
        <v>13247</v>
      </c>
      <c r="AY659" s="28" t="s">
        <v>13248</v>
      </c>
      <c r="AZ659" s="28" t="s">
        <v>164</v>
      </c>
      <c r="BA659" s="28" t="s">
        <v>165</v>
      </c>
      <c r="BB659" s="28" t="s">
        <v>13249</v>
      </c>
      <c r="BC659" s="28" t="s">
        <v>13250</v>
      </c>
      <c r="BD659" s="33">
        <v>1</v>
      </c>
      <c r="BE659" s="28" t="s">
        <v>138</v>
      </c>
      <c r="BF659" s="28" t="s">
        <v>138</v>
      </c>
      <c r="BG659" s="28" t="s">
        <v>138</v>
      </c>
      <c r="BH659" s="28" t="s">
        <v>13251</v>
      </c>
      <c r="BI659" s="28" t="s">
        <v>138</v>
      </c>
      <c r="BJ659" s="28" t="s">
        <v>138</v>
      </c>
      <c r="BK659" s="28" t="s">
        <v>138</v>
      </c>
      <c r="BL659" s="28" t="s">
        <v>13252</v>
      </c>
      <c r="BM659" s="34">
        <v>42828</v>
      </c>
      <c r="BN659" s="29">
        <v>3</v>
      </c>
      <c r="BO659" s="28" t="s">
        <v>172</v>
      </c>
      <c r="BP659" s="29" t="s">
        <v>138</v>
      </c>
      <c r="BQ659" s="28" t="s">
        <v>138</v>
      </c>
      <c r="BR659" s="28" t="s">
        <v>173</v>
      </c>
      <c r="BS659" s="28" t="s">
        <v>138</v>
      </c>
      <c r="BT659" s="28" t="s">
        <v>138</v>
      </c>
      <c r="BU659" s="28" t="s">
        <v>174</v>
      </c>
      <c r="BV659" s="28" t="s">
        <v>138</v>
      </c>
      <c r="BW659" s="28" t="s">
        <v>138</v>
      </c>
      <c r="BX659" s="28" t="s">
        <v>138</v>
      </c>
      <c r="BY659" s="28" t="s">
        <v>175</v>
      </c>
      <c r="BZ659" s="34">
        <v>42828</v>
      </c>
      <c r="CA659" s="29">
        <v>3</v>
      </c>
      <c r="CB659" s="28" t="s">
        <v>172</v>
      </c>
      <c r="CC659" s="29" t="s">
        <v>138</v>
      </c>
      <c r="CD659" s="28" t="s">
        <v>138</v>
      </c>
      <c r="CE659" s="28" t="s">
        <v>173</v>
      </c>
      <c r="CF659" s="28" t="s">
        <v>138</v>
      </c>
      <c r="CG659" s="28" t="s">
        <v>138</v>
      </c>
      <c r="CH659" s="28" t="s">
        <v>174</v>
      </c>
      <c r="CI659" s="28" t="s">
        <v>138</v>
      </c>
      <c r="CJ659" s="28" t="s">
        <v>138</v>
      </c>
      <c r="CK659" s="28" t="s">
        <v>138</v>
      </c>
      <c r="CL659" s="28" t="s">
        <v>175</v>
      </c>
      <c r="CM659" s="34" t="s">
        <v>138</v>
      </c>
      <c r="CN659" s="29" t="s">
        <v>138</v>
      </c>
      <c r="CO659" s="35">
        <v>-0.56000000000000005</v>
      </c>
      <c r="CP659" s="36">
        <v>15</v>
      </c>
      <c r="CQ659" s="35">
        <v>-0.01</v>
      </c>
      <c r="CR659" s="35">
        <v>-2.04</v>
      </c>
      <c r="CS659" s="35">
        <v>-1.1499999999999999</v>
      </c>
      <c r="CT659" s="36">
        <v>14</v>
      </c>
      <c r="CU659" s="35">
        <v>0.03</v>
      </c>
      <c r="CV659" s="36">
        <v>54</v>
      </c>
      <c r="CW659" s="35">
        <v>-0.9</v>
      </c>
      <c r="CX659" s="36">
        <v>10</v>
      </c>
      <c r="CY659" s="35">
        <v>-1.4</v>
      </c>
      <c r="CZ659" s="36">
        <v>16</v>
      </c>
      <c r="DA659" s="35">
        <v>0.01</v>
      </c>
      <c r="DB659" s="36">
        <v>57</v>
      </c>
      <c r="DC659" s="37">
        <v>15.69</v>
      </c>
      <c r="DD659" s="36">
        <v>93</v>
      </c>
      <c r="DE659" s="37">
        <v>-0.38</v>
      </c>
      <c r="DF659" s="35">
        <v>-2.34</v>
      </c>
      <c r="DG659" s="37">
        <v>10.43</v>
      </c>
      <c r="DH659" s="36">
        <v>90</v>
      </c>
      <c r="DI659" s="37">
        <v>20.95</v>
      </c>
      <c r="DJ659" s="36">
        <v>91</v>
      </c>
      <c r="DK659" s="37">
        <v>12.24</v>
      </c>
      <c r="DL659" s="36">
        <v>88</v>
      </c>
      <c r="DM659" s="37">
        <v>8.6199999999999992</v>
      </c>
      <c r="DN659" s="36">
        <v>87</v>
      </c>
      <c r="DO659" s="37">
        <v>20.72</v>
      </c>
      <c r="DP659" s="36">
        <v>93</v>
      </c>
      <c r="DQ659" s="36">
        <v>4199</v>
      </c>
      <c r="DR659" s="38">
        <v>-4</v>
      </c>
      <c r="DS659" s="35">
        <v>-0.1</v>
      </c>
      <c r="DT659" s="36">
        <v>250</v>
      </c>
      <c r="DU659" s="38">
        <v>-1</v>
      </c>
      <c r="DV659" s="35">
        <v>-0.4</v>
      </c>
      <c r="DW659" s="36">
        <v>7413</v>
      </c>
      <c r="DX659" s="39">
        <v>3</v>
      </c>
      <c r="DY659" s="35">
        <v>0.04</v>
      </c>
      <c r="DZ659" s="28" t="s">
        <v>178</v>
      </c>
      <c r="EA659" s="34">
        <v>43351</v>
      </c>
      <c r="EB659" s="29" t="s">
        <v>138</v>
      </c>
      <c r="EC659" s="34" t="s">
        <v>138</v>
      </c>
      <c r="ED659" s="28" t="s">
        <v>138</v>
      </c>
      <c r="EE659" s="40" t="str">
        <f>HYPERLINK("https://my.pitchbook.com?c=170220-34", "View company online")</f>
        <v>View company online</v>
      </c>
    </row>
    <row r="660" spans="1:135">
      <c r="A660" s="15" t="s">
        <v>13253</v>
      </c>
      <c r="B660" s="15" t="s">
        <v>13254</v>
      </c>
      <c r="C660" s="15" t="s">
        <v>13255</v>
      </c>
      <c r="D660" s="15" t="s">
        <v>13256</v>
      </c>
      <c r="E660" s="15" t="s">
        <v>13257</v>
      </c>
      <c r="F660" s="15" t="s">
        <v>13253</v>
      </c>
      <c r="G660" s="15" t="s">
        <v>13258</v>
      </c>
      <c r="H660" s="15" t="s">
        <v>322</v>
      </c>
      <c r="I660" s="15" t="s">
        <v>323</v>
      </c>
      <c r="J660" s="15" t="s">
        <v>1184</v>
      </c>
      <c r="K660" s="15" t="s">
        <v>6678</v>
      </c>
      <c r="L660" s="15" t="s">
        <v>215</v>
      </c>
      <c r="M660" s="15" t="s">
        <v>13259</v>
      </c>
      <c r="N660" s="15" t="s">
        <v>147</v>
      </c>
      <c r="O660" s="17">
        <v>150</v>
      </c>
      <c r="P660" s="15" t="s">
        <v>812</v>
      </c>
      <c r="Q660" s="15" t="s">
        <v>149</v>
      </c>
      <c r="R660" s="15" t="s">
        <v>244</v>
      </c>
      <c r="S660" s="15" t="s">
        <v>13260</v>
      </c>
      <c r="T660" s="18">
        <v>500</v>
      </c>
      <c r="U660" s="15" t="s">
        <v>13261</v>
      </c>
      <c r="V660" s="15" t="s">
        <v>138</v>
      </c>
      <c r="W660" s="15" t="s">
        <v>138</v>
      </c>
      <c r="X660" s="19">
        <v>2005</v>
      </c>
      <c r="Y660" s="15" t="s">
        <v>138</v>
      </c>
      <c r="Z660" s="15" t="s">
        <v>138</v>
      </c>
      <c r="AA660" s="15" t="s">
        <v>138</v>
      </c>
      <c r="AB660" s="20">
        <v>100</v>
      </c>
      <c r="AC660" s="20" t="s">
        <v>138</v>
      </c>
      <c r="AD660" s="20" t="s">
        <v>138</v>
      </c>
      <c r="AE660" s="20" t="s">
        <v>138</v>
      </c>
      <c r="AF660" s="20" t="s">
        <v>138</v>
      </c>
      <c r="AG660" s="15" t="s">
        <v>514</v>
      </c>
      <c r="AH660" s="20" t="s">
        <v>138</v>
      </c>
      <c r="AI660" s="20" t="s">
        <v>138</v>
      </c>
      <c r="AJ660" s="20" t="s">
        <v>138</v>
      </c>
      <c r="AK660" s="15" t="s">
        <v>13262</v>
      </c>
      <c r="AL660" s="15" t="s">
        <v>13263</v>
      </c>
      <c r="AM660" s="15" t="s">
        <v>249</v>
      </c>
      <c r="AN660" s="15" t="s">
        <v>13264</v>
      </c>
      <c r="AO660" s="15" t="s">
        <v>13265</v>
      </c>
      <c r="AP660" s="15" t="s">
        <v>2027</v>
      </c>
      <c r="AQ660" s="15" t="s">
        <v>13266</v>
      </c>
      <c r="AR660" s="15" t="s">
        <v>13267</v>
      </c>
      <c r="AS660" s="15" t="s">
        <v>2030</v>
      </c>
      <c r="AT660" s="15" t="s">
        <v>2031</v>
      </c>
      <c r="AU660" s="15" t="s">
        <v>13268</v>
      </c>
      <c r="AV660" s="15" t="s">
        <v>162</v>
      </c>
      <c r="AW660" s="15" t="s">
        <v>13265</v>
      </c>
      <c r="AX660" s="15" t="s">
        <v>138</v>
      </c>
      <c r="AY660" s="15" t="s">
        <v>13269</v>
      </c>
      <c r="AZ660" s="15" t="s">
        <v>164</v>
      </c>
      <c r="BA660" s="15" t="s">
        <v>165</v>
      </c>
      <c r="BB660" s="15" t="s">
        <v>13270</v>
      </c>
      <c r="BC660" s="15" t="s">
        <v>13271</v>
      </c>
      <c r="BD660" s="21">
        <v>12</v>
      </c>
      <c r="BE660" s="15" t="s">
        <v>138</v>
      </c>
      <c r="BF660" s="15" t="s">
        <v>138</v>
      </c>
      <c r="BG660" s="15" t="s">
        <v>138</v>
      </c>
      <c r="BH660" s="15" t="s">
        <v>13272</v>
      </c>
      <c r="BI660" s="15" t="s">
        <v>138</v>
      </c>
      <c r="BJ660" s="15" t="s">
        <v>138</v>
      </c>
      <c r="BK660" s="15" t="s">
        <v>13273</v>
      </c>
      <c r="BL660" s="15" t="s">
        <v>13274</v>
      </c>
      <c r="BM660" s="22">
        <v>39987</v>
      </c>
      <c r="BN660" s="17">
        <v>2.21</v>
      </c>
      <c r="BO660" s="15" t="s">
        <v>172</v>
      </c>
      <c r="BP660" s="17">
        <v>8.0299999999999994</v>
      </c>
      <c r="BQ660" s="15" t="s">
        <v>172</v>
      </c>
      <c r="BR660" s="15" t="s">
        <v>205</v>
      </c>
      <c r="BS660" s="15" t="s">
        <v>206</v>
      </c>
      <c r="BT660" s="15" t="s">
        <v>138</v>
      </c>
      <c r="BU660" s="15" t="s">
        <v>174</v>
      </c>
      <c r="BV660" s="15" t="s">
        <v>138</v>
      </c>
      <c r="BW660" s="15" t="s">
        <v>138</v>
      </c>
      <c r="BX660" s="15" t="s">
        <v>138</v>
      </c>
      <c r="BY660" s="15" t="s">
        <v>175</v>
      </c>
      <c r="BZ660" s="22" t="s">
        <v>138</v>
      </c>
      <c r="CA660" s="17" t="s">
        <v>138</v>
      </c>
      <c r="CB660" s="15" t="s">
        <v>138</v>
      </c>
      <c r="CC660" s="17" t="s">
        <v>138</v>
      </c>
      <c r="CD660" s="15" t="s">
        <v>138</v>
      </c>
      <c r="CE660" s="15" t="s">
        <v>173</v>
      </c>
      <c r="CF660" s="15" t="s">
        <v>138</v>
      </c>
      <c r="CG660" s="15" t="s">
        <v>138</v>
      </c>
      <c r="CH660" s="15" t="s">
        <v>174</v>
      </c>
      <c r="CI660" s="15" t="s">
        <v>138</v>
      </c>
      <c r="CJ660" s="15" t="s">
        <v>138</v>
      </c>
      <c r="CK660" s="15" t="s">
        <v>138</v>
      </c>
      <c r="CL660" s="15" t="s">
        <v>175</v>
      </c>
      <c r="CM660" s="22">
        <v>42389</v>
      </c>
      <c r="CN660" s="17">
        <v>22</v>
      </c>
      <c r="CO660" s="23">
        <v>-0.27</v>
      </c>
      <c r="CP660" s="24">
        <v>19</v>
      </c>
      <c r="CQ660" s="23">
        <v>0</v>
      </c>
      <c r="CR660" s="23">
        <v>0.95</v>
      </c>
      <c r="CS660" s="23">
        <v>-0.59</v>
      </c>
      <c r="CT660" s="24">
        <v>19</v>
      </c>
      <c r="CU660" s="23">
        <v>0.05</v>
      </c>
      <c r="CV660" s="24">
        <v>58</v>
      </c>
      <c r="CW660" s="23">
        <v>-0.59</v>
      </c>
      <c r="CX660" s="24">
        <v>11</v>
      </c>
      <c r="CY660" s="23" t="s">
        <v>138</v>
      </c>
      <c r="CZ660" s="24" t="s">
        <v>138</v>
      </c>
      <c r="DA660" s="23">
        <v>0.04</v>
      </c>
      <c r="DB660" s="24">
        <v>62</v>
      </c>
      <c r="DC660" s="25">
        <v>120.4</v>
      </c>
      <c r="DD660" s="24">
        <v>99</v>
      </c>
      <c r="DE660" s="25">
        <v>-8.6300000000000008</v>
      </c>
      <c r="DF660" s="23">
        <v>-6.69</v>
      </c>
      <c r="DG660" s="25">
        <v>139.26</v>
      </c>
      <c r="DH660" s="24">
        <v>100</v>
      </c>
      <c r="DI660" s="25">
        <v>101.53</v>
      </c>
      <c r="DJ660" s="24">
        <v>97</v>
      </c>
      <c r="DK660" s="25">
        <v>139.26</v>
      </c>
      <c r="DL660" s="24">
        <v>98</v>
      </c>
      <c r="DM660" s="25" t="s">
        <v>138</v>
      </c>
      <c r="DN660" s="24" t="s">
        <v>138</v>
      </c>
      <c r="DO660" s="25">
        <v>194.41</v>
      </c>
      <c r="DP660" s="24">
        <v>99</v>
      </c>
      <c r="DQ660" s="24">
        <v>47722</v>
      </c>
      <c r="DR660" s="26">
        <v>133</v>
      </c>
      <c r="DS660" s="23">
        <v>0.28000000000000003</v>
      </c>
      <c r="DT660" s="24" t="s">
        <v>138</v>
      </c>
      <c r="DU660" s="26" t="s">
        <v>138</v>
      </c>
      <c r="DV660" s="23" t="s">
        <v>138</v>
      </c>
      <c r="DW660" s="24">
        <v>69571</v>
      </c>
      <c r="DX660" s="27">
        <v>40</v>
      </c>
      <c r="DY660" s="23">
        <v>0.06</v>
      </c>
      <c r="DZ660" s="15" t="s">
        <v>178</v>
      </c>
      <c r="EA660" s="22">
        <v>43622</v>
      </c>
      <c r="EB660" s="17">
        <v>652.05999999999995</v>
      </c>
      <c r="EC660" s="22">
        <v>41809</v>
      </c>
      <c r="ED660" s="15" t="s">
        <v>173</v>
      </c>
      <c r="EE660" s="14" t="str">
        <f>HYPERLINK("https://my.pitchbook.com?c=45710-29", "View company online")</f>
        <v>View company online</v>
      </c>
    </row>
    <row r="661" spans="1:135">
      <c r="A661" s="28" t="s">
        <v>13275</v>
      </c>
      <c r="B661" s="28" t="s">
        <v>13276</v>
      </c>
      <c r="C661" s="28" t="s">
        <v>138</v>
      </c>
      <c r="D661" s="28" t="s">
        <v>138</v>
      </c>
      <c r="E661" s="28" t="s">
        <v>13277</v>
      </c>
      <c r="F661" s="28" t="s">
        <v>13275</v>
      </c>
      <c r="G661" s="28" t="s">
        <v>13278</v>
      </c>
      <c r="H661" s="28" t="s">
        <v>322</v>
      </c>
      <c r="I661" s="28" t="s">
        <v>323</v>
      </c>
      <c r="J661" s="28" t="s">
        <v>324</v>
      </c>
      <c r="K661" s="28" t="s">
        <v>325</v>
      </c>
      <c r="L661" s="28" t="s">
        <v>6068</v>
      </c>
      <c r="M661" s="28" t="s">
        <v>13279</v>
      </c>
      <c r="N661" s="28" t="s">
        <v>147</v>
      </c>
      <c r="O661" s="29">
        <v>3.24</v>
      </c>
      <c r="P661" s="28" t="s">
        <v>148</v>
      </c>
      <c r="Q661" s="28" t="s">
        <v>149</v>
      </c>
      <c r="R661" s="28" t="s">
        <v>174</v>
      </c>
      <c r="S661" s="28" t="s">
        <v>13280</v>
      </c>
      <c r="T661" s="30">
        <v>20</v>
      </c>
      <c r="U661" s="28" t="s">
        <v>13281</v>
      </c>
      <c r="V661" s="28" t="s">
        <v>138</v>
      </c>
      <c r="W661" s="28" t="s">
        <v>138</v>
      </c>
      <c r="X661" s="31">
        <v>2013</v>
      </c>
      <c r="Y661" s="28" t="s">
        <v>138</v>
      </c>
      <c r="Z661" s="28" t="s">
        <v>138</v>
      </c>
      <c r="AA661" s="28" t="s">
        <v>138</v>
      </c>
      <c r="AB661" s="32" t="s">
        <v>138</v>
      </c>
      <c r="AC661" s="32" t="s">
        <v>138</v>
      </c>
      <c r="AD661" s="32" t="s">
        <v>138</v>
      </c>
      <c r="AE661" s="32" t="s">
        <v>138</v>
      </c>
      <c r="AF661" s="32" t="s">
        <v>138</v>
      </c>
      <c r="AG661" s="28" t="s">
        <v>138</v>
      </c>
      <c r="AH661" s="32" t="s">
        <v>138</v>
      </c>
      <c r="AI661" s="32" t="s">
        <v>138</v>
      </c>
      <c r="AJ661" s="32" t="s">
        <v>138</v>
      </c>
      <c r="AK661" s="28" t="s">
        <v>13282</v>
      </c>
      <c r="AL661" s="28" t="s">
        <v>13283</v>
      </c>
      <c r="AM661" s="28" t="s">
        <v>4269</v>
      </c>
      <c r="AN661" s="28" t="s">
        <v>138</v>
      </c>
      <c r="AO661" s="28" t="s">
        <v>13284</v>
      </c>
      <c r="AP661" s="28" t="s">
        <v>7016</v>
      </c>
      <c r="AQ661" s="28" t="s">
        <v>13285</v>
      </c>
      <c r="AR661" s="28" t="s">
        <v>13286</v>
      </c>
      <c r="AS661" s="28" t="s">
        <v>7019</v>
      </c>
      <c r="AT661" s="28" t="s">
        <v>138</v>
      </c>
      <c r="AU661" s="28" t="s">
        <v>11374</v>
      </c>
      <c r="AV661" s="28" t="s">
        <v>7021</v>
      </c>
      <c r="AW661" s="28" t="s">
        <v>13287</v>
      </c>
      <c r="AX661" s="28" t="s">
        <v>138</v>
      </c>
      <c r="AY661" s="28" t="s">
        <v>138</v>
      </c>
      <c r="AZ661" s="28" t="s">
        <v>530</v>
      </c>
      <c r="BA661" s="28" t="s">
        <v>531</v>
      </c>
      <c r="BB661" s="28" t="s">
        <v>13288</v>
      </c>
      <c r="BC661" s="28" t="s">
        <v>13289</v>
      </c>
      <c r="BD661" s="33">
        <v>5</v>
      </c>
      <c r="BE661" s="28" t="s">
        <v>138</v>
      </c>
      <c r="BF661" s="28" t="s">
        <v>138</v>
      </c>
      <c r="BG661" s="28" t="s">
        <v>138</v>
      </c>
      <c r="BH661" s="28" t="s">
        <v>13290</v>
      </c>
      <c r="BI661" s="28" t="s">
        <v>138</v>
      </c>
      <c r="BJ661" s="28" t="s">
        <v>138</v>
      </c>
      <c r="BK661" s="28" t="s">
        <v>138</v>
      </c>
      <c r="BL661" s="28" t="s">
        <v>13291</v>
      </c>
      <c r="BM661" s="34">
        <v>42032</v>
      </c>
      <c r="BN661" s="29">
        <v>1.2</v>
      </c>
      <c r="BO661" s="28" t="s">
        <v>172</v>
      </c>
      <c r="BP661" s="29" t="s">
        <v>138</v>
      </c>
      <c r="BQ661" s="28" t="s">
        <v>138</v>
      </c>
      <c r="BR661" s="28" t="s">
        <v>234</v>
      </c>
      <c r="BS661" s="28" t="s">
        <v>234</v>
      </c>
      <c r="BT661" s="28" t="s">
        <v>138</v>
      </c>
      <c r="BU661" s="28" t="s">
        <v>174</v>
      </c>
      <c r="BV661" s="28" t="s">
        <v>138</v>
      </c>
      <c r="BW661" s="28" t="s">
        <v>138</v>
      </c>
      <c r="BX661" s="28" t="s">
        <v>138</v>
      </c>
      <c r="BY661" s="28" t="s">
        <v>175</v>
      </c>
      <c r="BZ661" s="34">
        <v>43455</v>
      </c>
      <c r="CA661" s="29">
        <v>0.25</v>
      </c>
      <c r="CB661" s="28" t="s">
        <v>172</v>
      </c>
      <c r="CC661" s="29" t="s">
        <v>138</v>
      </c>
      <c r="CD661" s="28" t="s">
        <v>138</v>
      </c>
      <c r="CE661" s="28" t="s">
        <v>205</v>
      </c>
      <c r="CF661" s="28" t="s">
        <v>138</v>
      </c>
      <c r="CG661" s="28" t="s">
        <v>138</v>
      </c>
      <c r="CH661" s="28" t="s">
        <v>174</v>
      </c>
      <c r="CI661" s="28" t="s">
        <v>138</v>
      </c>
      <c r="CJ661" s="28" t="s">
        <v>138</v>
      </c>
      <c r="CK661" s="28" t="s">
        <v>138</v>
      </c>
      <c r="CL661" s="28" t="s">
        <v>175</v>
      </c>
      <c r="CM661" s="34" t="s">
        <v>138</v>
      </c>
      <c r="CN661" s="29" t="s">
        <v>138</v>
      </c>
      <c r="CO661" s="35">
        <v>-0.02</v>
      </c>
      <c r="CP661" s="36">
        <v>24</v>
      </c>
      <c r="CQ661" s="35">
        <v>0</v>
      </c>
      <c r="CR661" s="35">
        <v>16.190000000000001</v>
      </c>
      <c r="CS661" s="35">
        <v>0</v>
      </c>
      <c r="CT661" s="36">
        <v>23</v>
      </c>
      <c r="CU661" s="35">
        <v>-0.03</v>
      </c>
      <c r="CV661" s="36">
        <v>14</v>
      </c>
      <c r="CW661" s="35">
        <v>0</v>
      </c>
      <c r="CX661" s="36">
        <v>13</v>
      </c>
      <c r="CY661" s="35">
        <v>0</v>
      </c>
      <c r="CZ661" s="36">
        <v>25</v>
      </c>
      <c r="DA661" s="35">
        <v>-0.09</v>
      </c>
      <c r="DB661" s="36">
        <v>7</v>
      </c>
      <c r="DC661" s="37">
        <v>1.74</v>
      </c>
      <c r="DD661" s="36">
        <v>64</v>
      </c>
      <c r="DE661" s="37">
        <v>-0.03</v>
      </c>
      <c r="DF661" s="35">
        <v>-1.49</v>
      </c>
      <c r="DG661" s="37">
        <v>1.79</v>
      </c>
      <c r="DH661" s="36">
        <v>64</v>
      </c>
      <c r="DI661" s="37">
        <v>1.69</v>
      </c>
      <c r="DJ661" s="36">
        <v>59</v>
      </c>
      <c r="DK661" s="37">
        <v>0.42</v>
      </c>
      <c r="DL661" s="36">
        <v>29</v>
      </c>
      <c r="DM661" s="37">
        <v>3.17</v>
      </c>
      <c r="DN661" s="36">
        <v>74</v>
      </c>
      <c r="DO661" s="37">
        <v>2.77</v>
      </c>
      <c r="DP661" s="36">
        <v>69</v>
      </c>
      <c r="DQ661" s="36">
        <v>138</v>
      </c>
      <c r="DR661" s="38">
        <v>14</v>
      </c>
      <c r="DS661" s="35">
        <v>11.29</v>
      </c>
      <c r="DT661" s="36">
        <v>92</v>
      </c>
      <c r="DU661" s="38">
        <v>-2</v>
      </c>
      <c r="DV661" s="35">
        <v>-2.13</v>
      </c>
      <c r="DW661" s="36">
        <v>992</v>
      </c>
      <c r="DX661" s="39">
        <v>0</v>
      </c>
      <c r="DY661" s="35">
        <v>0</v>
      </c>
      <c r="DZ661" s="28" t="s">
        <v>178</v>
      </c>
      <c r="EA661" s="34">
        <v>43622</v>
      </c>
      <c r="EB661" s="29" t="s">
        <v>138</v>
      </c>
      <c r="EC661" s="34" t="s">
        <v>138</v>
      </c>
      <c r="ED661" s="28" t="s">
        <v>138</v>
      </c>
      <c r="EE661" s="40" t="str">
        <f>HYPERLINK("https://my.pitchbook.com?c=94709-44", "View company online")</f>
        <v>View company online</v>
      </c>
    </row>
    <row r="662" spans="1:135">
      <c r="A662" s="15" t="s">
        <v>13292</v>
      </c>
      <c r="B662" s="15" t="s">
        <v>13293</v>
      </c>
      <c r="C662" s="15" t="s">
        <v>13294</v>
      </c>
      <c r="D662" s="15" t="s">
        <v>13295</v>
      </c>
      <c r="E662" s="15" t="s">
        <v>13296</v>
      </c>
      <c r="F662" s="15" t="s">
        <v>13292</v>
      </c>
      <c r="G662" s="15" t="s">
        <v>13297</v>
      </c>
      <c r="H662" s="15" t="s">
        <v>322</v>
      </c>
      <c r="I662" s="15" t="s">
        <v>323</v>
      </c>
      <c r="J662" s="15" t="s">
        <v>954</v>
      </c>
      <c r="K662" s="15" t="s">
        <v>13298</v>
      </c>
      <c r="L662" s="15" t="s">
        <v>415</v>
      </c>
      <c r="M662" s="15" t="s">
        <v>13299</v>
      </c>
      <c r="N662" s="15" t="s">
        <v>147</v>
      </c>
      <c r="O662" s="17">
        <v>93</v>
      </c>
      <c r="P662" s="15" t="s">
        <v>148</v>
      </c>
      <c r="Q662" s="15" t="s">
        <v>149</v>
      </c>
      <c r="R662" s="15" t="s">
        <v>174</v>
      </c>
      <c r="S662" s="15" t="s">
        <v>13300</v>
      </c>
      <c r="T662" s="18">
        <v>62</v>
      </c>
      <c r="U662" s="15" t="s">
        <v>13301</v>
      </c>
      <c r="V662" s="15" t="s">
        <v>138</v>
      </c>
      <c r="W662" s="15" t="s">
        <v>138</v>
      </c>
      <c r="X662" s="19">
        <v>2015</v>
      </c>
      <c r="Y662" s="15" t="s">
        <v>138</v>
      </c>
      <c r="Z662" s="15" t="s">
        <v>138</v>
      </c>
      <c r="AA662" s="15" t="s">
        <v>138</v>
      </c>
      <c r="AB662" s="20" t="s">
        <v>138</v>
      </c>
      <c r="AC662" s="20" t="s">
        <v>138</v>
      </c>
      <c r="AD662" s="20" t="s">
        <v>138</v>
      </c>
      <c r="AE662" s="20" t="s">
        <v>138</v>
      </c>
      <c r="AF662" s="20" t="s">
        <v>138</v>
      </c>
      <c r="AG662" s="15" t="s">
        <v>138</v>
      </c>
      <c r="AH662" s="20" t="s">
        <v>138</v>
      </c>
      <c r="AI662" s="20" t="s">
        <v>138</v>
      </c>
      <c r="AJ662" s="20" t="s">
        <v>138</v>
      </c>
      <c r="AK662" s="15" t="s">
        <v>13302</v>
      </c>
      <c r="AL662" s="15" t="s">
        <v>13303</v>
      </c>
      <c r="AM662" s="15" t="s">
        <v>13304</v>
      </c>
      <c r="AN662" s="15" t="s">
        <v>13305</v>
      </c>
      <c r="AO662" s="15" t="s">
        <v>13306</v>
      </c>
      <c r="AP662" s="15" t="s">
        <v>665</v>
      </c>
      <c r="AQ662" s="15" t="s">
        <v>13307</v>
      </c>
      <c r="AR662" s="15" t="s">
        <v>13308</v>
      </c>
      <c r="AS662" s="15" t="s">
        <v>668</v>
      </c>
      <c r="AT662" s="15" t="s">
        <v>200</v>
      </c>
      <c r="AU662" s="15" t="s">
        <v>2052</v>
      </c>
      <c r="AV662" s="15" t="s">
        <v>162</v>
      </c>
      <c r="AW662" s="15" t="s">
        <v>13306</v>
      </c>
      <c r="AX662" s="15" t="s">
        <v>138</v>
      </c>
      <c r="AY662" s="15" t="s">
        <v>13309</v>
      </c>
      <c r="AZ662" s="15" t="s">
        <v>164</v>
      </c>
      <c r="BA662" s="15" t="s">
        <v>165</v>
      </c>
      <c r="BB662" s="15" t="s">
        <v>13310</v>
      </c>
      <c r="BC662" s="15" t="s">
        <v>13311</v>
      </c>
      <c r="BD662" s="21">
        <v>10</v>
      </c>
      <c r="BE662" s="15" t="s">
        <v>138</v>
      </c>
      <c r="BF662" s="15" t="s">
        <v>138</v>
      </c>
      <c r="BG662" s="15" t="s">
        <v>138</v>
      </c>
      <c r="BH662" s="15" t="s">
        <v>13312</v>
      </c>
      <c r="BI662" s="15" t="s">
        <v>138</v>
      </c>
      <c r="BJ662" s="15" t="s">
        <v>138</v>
      </c>
      <c r="BK662" s="15" t="s">
        <v>13313</v>
      </c>
      <c r="BL662" s="15" t="s">
        <v>13313</v>
      </c>
      <c r="BM662" s="22">
        <v>42356</v>
      </c>
      <c r="BN662" s="17">
        <v>3</v>
      </c>
      <c r="BO662" s="15" t="s">
        <v>172</v>
      </c>
      <c r="BP662" s="17">
        <v>4.8</v>
      </c>
      <c r="BQ662" s="15" t="s">
        <v>172</v>
      </c>
      <c r="BR662" s="15" t="s">
        <v>234</v>
      </c>
      <c r="BS662" s="15" t="s">
        <v>234</v>
      </c>
      <c r="BT662" s="15" t="s">
        <v>138</v>
      </c>
      <c r="BU662" s="15" t="s">
        <v>174</v>
      </c>
      <c r="BV662" s="15" t="s">
        <v>264</v>
      </c>
      <c r="BW662" s="15" t="s">
        <v>138</v>
      </c>
      <c r="BX662" s="15" t="s">
        <v>138</v>
      </c>
      <c r="BY662" s="15" t="s">
        <v>175</v>
      </c>
      <c r="BZ662" s="22">
        <v>43340</v>
      </c>
      <c r="CA662" s="17">
        <v>50</v>
      </c>
      <c r="CB662" s="15" t="s">
        <v>172</v>
      </c>
      <c r="CC662" s="17">
        <v>198</v>
      </c>
      <c r="CD662" s="15" t="s">
        <v>172</v>
      </c>
      <c r="CE662" s="15" t="s">
        <v>173</v>
      </c>
      <c r="CF662" s="15" t="s">
        <v>317</v>
      </c>
      <c r="CG662" s="15" t="s">
        <v>138</v>
      </c>
      <c r="CH662" s="15" t="s">
        <v>174</v>
      </c>
      <c r="CI662" s="15" t="s">
        <v>177</v>
      </c>
      <c r="CJ662" s="15" t="s">
        <v>138</v>
      </c>
      <c r="CK662" s="15" t="s">
        <v>138</v>
      </c>
      <c r="CL662" s="15" t="s">
        <v>175</v>
      </c>
      <c r="CM662" s="22" t="s">
        <v>138</v>
      </c>
      <c r="CN662" s="17" t="s">
        <v>138</v>
      </c>
      <c r="CO662" s="23">
        <v>0.69</v>
      </c>
      <c r="CP662" s="24">
        <v>96</v>
      </c>
      <c r="CQ662" s="23">
        <v>0</v>
      </c>
      <c r="CR662" s="23">
        <v>0.3</v>
      </c>
      <c r="CS662" s="23">
        <v>1.27</v>
      </c>
      <c r="CT662" s="24">
        <v>97</v>
      </c>
      <c r="CU662" s="23">
        <v>0.1</v>
      </c>
      <c r="CV662" s="24">
        <v>68</v>
      </c>
      <c r="CW662" s="23">
        <v>1.27</v>
      </c>
      <c r="CX662" s="24">
        <v>86</v>
      </c>
      <c r="CY662" s="23" t="s">
        <v>138</v>
      </c>
      <c r="CZ662" s="24" t="s">
        <v>138</v>
      </c>
      <c r="DA662" s="23">
        <v>0.1</v>
      </c>
      <c r="DB662" s="24">
        <v>72</v>
      </c>
      <c r="DC662" s="25">
        <v>80.47</v>
      </c>
      <c r="DD662" s="24">
        <v>99</v>
      </c>
      <c r="DE662" s="25">
        <v>-9.75</v>
      </c>
      <c r="DF662" s="23">
        <v>-10.8</v>
      </c>
      <c r="DG662" s="25">
        <v>152.32</v>
      </c>
      <c r="DH662" s="24">
        <v>100</v>
      </c>
      <c r="DI662" s="25">
        <v>8.6300000000000008</v>
      </c>
      <c r="DJ662" s="24">
        <v>84</v>
      </c>
      <c r="DK662" s="25">
        <v>152.32</v>
      </c>
      <c r="DL662" s="24">
        <v>98</v>
      </c>
      <c r="DM662" s="25" t="s">
        <v>138</v>
      </c>
      <c r="DN662" s="24" t="s">
        <v>138</v>
      </c>
      <c r="DO662" s="25">
        <v>8.6300000000000008</v>
      </c>
      <c r="DP662" s="24">
        <v>86</v>
      </c>
      <c r="DQ662" s="24">
        <v>52471</v>
      </c>
      <c r="DR662" s="26">
        <v>-680</v>
      </c>
      <c r="DS662" s="23">
        <v>-1.28</v>
      </c>
      <c r="DT662" s="24" t="s">
        <v>138</v>
      </c>
      <c r="DU662" s="26" t="s">
        <v>138</v>
      </c>
      <c r="DV662" s="23" t="s">
        <v>138</v>
      </c>
      <c r="DW662" s="24">
        <v>3087</v>
      </c>
      <c r="DX662" s="27">
        <v>-2</v>
      </c>
      <c r="DY662" s="23">
        <v>-0.06</v>
      </c>
      <c r="DZ662" s="15" t="s">
        <v>178</v>
      </c>
      <c r="EA662" s="22">
        <v>43473</v>
      </c>
      <c r="EB662" s="17">
        <v>198</v>
      </c>
      <c r="EC662" s="22">
        <v>43340</v>
      </c>
      <c r="ED662" s="15" t="s">
        <v>173</v>
      </c>
      <c r="EE662" s="14" t="str">
        <f>HYPERLINK("https://my.pitchbook.com?c=118203-04", "View company online")</f>
        <v>View company online</v>
      </c>
    </row>
    <row r="663" spans="1:135">
      <c r="A663" s="28" t="s">
        <v>13314</v>
      </c>
      <c r="B663" s="28" t="s">
        <v>13315</v>
      </c>
      <c r="C663" s="28" t="s">
        <v>138</v>
      </c>
      <c r="D663" s="28" t="s">
        <v>138</v>
      </c>
      <c r="E663" s="28" t="s">
        <v>13316</v>
      </c>
      <c r="F663" s="28" t="s">
        <v>13314</v>
      </c>
      <c r="G663" s="28" t="s">
        <v>13317</v>
      </c>
      <c r="H663" s="28" t="s">
        <v>322</v>
      </c>
      <c r="I663" s="28" t="s">
        <v>323</v>
      </c>
      <c r="J663" s="28" t="s">
        <v>1235</v>
      </c>
      <c r="K663" s="28" t="s">
        <v>5304</v>
      </c>
      <c r="L663" s="28" t="s">
        <v>13113</v>
      </c>
      <c r="M663" s="28" t="s">
        <v>13318</v>
      </c>
      <c r="N663" s="28" t="s">
        <v>147</v>
      </c>
      <c r="O663" s="29">
        <v>69.05</v>
      </c>
      <c r="P663" s="28" t="s">
        <v>148</v>
      </c>
      <c r="Q663" s="28" t="s">
        <v>149</v>
      </c>
      <c r="R663" s="28" t="s">
        <v>174</v>
      </c>
      <c r="S663" s="28" t="s">
        <v>13319</v>
      </c>
      <c r="T663" s="30" t="s">
        <v>138</v>
      </c>
      <c r="U663" s="28" t="s">
        <v>138</v>
      </c>
      <c r="V663" s="28" t="s">
        <v>138</v>
      </c>
      <c r="W663" s="28" t="s">
        <v>138</v>
      </c>
      <c r="X663" s="31">
        <v>2010</v>
      </c>
      <c r="Y663" s="28" t="s">
        <v>138</v>
      </c>
      <c r="Z663" s="28" t="s">
        <v>138</v>
      </c>
      <c r="AA663" s="28" t="s">
        <v>138</v>
      </c>
      <c r="AB663" s="32" t="s">
        <v>138</v>
      </c>
      <c r="AC663" s="32" t="s">
        <v>138</v>
      </c>
      <c r="AD663" s="32" t="s">
        <v>138</v>
      </c>
      <c r="AE663" s="32" t="s">
        <v>138</v>
      </c>
      <c r="AF663" s="32" t="s">
        <v>138</v>
      </c>
      <c r="AG663" s="28" t="s">
        <v>138</v>
      </c>
      <c r="AH663" s="32" t="s">
        <v>138</v>
      </c>
      <c r="AI663" s="32" t="s">
        <v>138</v>
      </c>
      <c r="AJ663" s="32" t="s">
        <v>138</v>
      </c>
      <c r="AK663" s="28" t="s">
        <v>13320</v>
      </c>
      <c r="AL663" s="28" t="s">
        <v>13321</v>
      </c>
      <c r="AM663" s="28" t="s">
        <v>304</v>
      </c>
      <c r="AN663" s="28" t="s">
        <v>13322</v>
      </c>
      <c r="AO663" s="28" t="s">
        <v>13323</v>
      </c>
      <c r="AP663" s="28" t="s">
        <v>665</v>
      </c>
      <c r="AQ663" s="28" t="s">
        <v>13324</v>
      </c>
      <c r="AR663" s="28" t="s">
        <v>138</v>
      </c>
      <c r="AS663" s="28" t="s">
        <v>668</v>
      </c>
      <c r="AT663" s="28" t="s">
        <v>200</v>
      </c>
      <c r="AU663" s="28" t="s">
        <v>3557</v>
      </c>
      <c r="AV663" s="28" t="s">
        <v>162</v>
      </c>
      <c r="AW663" s="28" t="s">
        <v>13323</v>
      </c>
      <c r="AX663" s="28" t="s">
        <v>138</v>
      </c>
      <c r="AY663" s="28" t="s">
        <v>138</v>
      </c>
      <c r="AZ663" s="28" t="s">
        <v>164</v>
      </c>
      <c r="BA663" s="28" t="s">
        <v>165</v>
      </c>
      <c r="BB663" s="28" t="s">
        <v>13325</v>
      </c>
      <c r="BC663" s="28" t="s">
        <v>13326</v>
      </c>
      <c r="BD663" s="33">
        <v>18</v>
      </c>
      <c r="BE663" s="28" t="s">
        <v>138</v>
      </c>
      <c r="BF663" s="28" t="s">
        <v>138</v>
      </c>
      <c r="BG663" s="28" t="s">
        <v>138</v>
      </c>
      <c r="BH663" s="28" t="s">
        <v>13327</v>
      </c>
      <c r="BI663" s="28" t="s">
        <v>138</v>
      </c>
      <c r="BJ663" s="28" t="s">
        <v>138</v>
      </c>
      <c r="BK663" s="28" t="s">
        <v>138</v>
      </c>
      <c r="BL663" s="28" t="s">
        <v>1691</v>
      </c>
      <c r="BM663" s="34">
        <v>40988</v>
      </c>
      <c r="BN663" s="29">
        <v>4.45</v>
      </c>
      <c r="BO663" s="28" t="s">
        <v>172</v>
      </c>
      <c r="BP663" s="29">
        <v>20.47</v>
      </c>
      <c r="BQ663" s="28" t="s">
        <v>172</v>
      </c>
      <c r="BR663" s="28" t="s">
        <v>205</v>
      </c>
      <c r="BS663" s="28" t="s">
        <v>206</v>
      </c>
      <c r="BT663" s="28" t="s">
        <v>138</v>
      </c>
      <c r="BU663" s="28" t="s">
        <v>174</v>
      </c>
      <c r="BV663" s="28" t="s">
        <v>138</v>
      </c>
      <c r="BW663" s="28" t="s">
        <v>138</v>
      </c>
      <c r="BX663" s="28" t="s">
        <v>138</v>
      </c>
      <c r="BY663" s="28" t="s">
        <v>175</v>
      </c>
      <c r="BZ663" s="34">
        <v>43564</v>
      </c>
      <c r="CA663" s="29">
        <v>23</v>
      </c>
      <c r="CB663" s="28" t="s">
        <v>172</v>
      </c>
      <c r="CC663" s="29">
        <v>220</v>
      </c>
      <c r="CD663" s="28" t="s">
        <v>172</v>
      </c>
      <c r="CE663" s="28" t="s">
        <v>173</v>
      </c>
      <c r="CF663" s="28" t="s">
        <v>433</v>
      </c>
      <c r="CG663" s="28" t="s">
        <v>138</v>
      </c>
      <c r="CH663" s="28" t="s">
        <v>174</v>
      </c>
      <c r="CI663" s="28" t="s">
        <v>138</v>
      </c>
      <c r="CJ663" s="28" t="s">
        <v>138</v>
      </c>
      <c r="CK663" s="28" t="s">
        <v>138</v>
      </c>
      <c r="CL663" s="28" t="s">
        <v>175</v>
      </c>
      <c r="CM663" s="34" t="s">
        <v>138</v>
      </c>
      <c r="CN663" s="29" t="s">
        <v>138</v>
      </c>
      <c r="CO663" s="35">
        <v>-0.06</v>
      </c>
      <c r="CP663" s="36">
        <v>22</v>
      </c>
      <c r="CQ663" s="35">
        <v>0.12</v>
      </c>
      <c r="CR663" s="35">
        <v>67.28</v>
      </c>
      <c r="CS663" s="35">
        <v>-0.1</v>
      </c>
      <c r="CT663" s="36">
        <v>22</v>
      </c>
      <c r="CU663" s="35">
        <v>-0.01</v>
      </c>
      <c r="CV663" s="36">
        <v>20</v>
      </c>
      <c r="CW663" s="35">
        <v>1.28</v>
      </c>
      <c r="CX663" s="36">
        <v>86</v>
      </c>
      <c r="CY663" s="35">
        <v>-1.47</v>
      </c>
      <c r="CZ663" s="36">
        <v>15</v>
      </c>
      <c r="DA663" s="35">
        <v>-0.01</v>
      </c>
      <c r="DB663" s="36">
        <v>21</v>
      </c>
      <c r="DC663" s="37">
        <v>84.31</v>
      </c>
      <c r="DD663" s="36">
        <v>99</v>
      </c>
      <c r="DE663" s="37">
        <v>-1.75</v>
      </c>
      <c r="DF663" s="35">
        <v>-2.0299999999999998</v>
      </c>
      <c r="DG663" s="37">
        <v>109.56</v>
      </c>
      <c r="DH663" s="36">
        <v>99</v>
      </c>
      <c r="DI663" s="37">
        <v>59.06</v>
      </c>
      <c r="DJ663" s="36">
        <v>96</v>
      </c>
      <c r="DK663" s="37">
        <v>98.64</v>
      </c>
      <c r="DL663" s="36">
        <v>98</v>
      </c>
      <c r="DM663" s="37">
        <v>120.48</v>
      </c>
      <c r="DN663" s="36">
        <v>100</v>
      </c>
      <c r="DO663" s="37">
        <v>59.06</v>
      </c>
      <c r="DP663" s="36">
        <v>97</v>
      </c>
      <c r="DQ663" s="36">
        <v>33333</v>
      </c>
      <c r="DR663" s="38">
        <v>1497</v>
      </c>
      <c r="DS663" s="35">
        <v>4.7</v>
      </c>
      <c r="DT663" s="36">
        <v>3433</v>
      </c>
      <c r="DU663" s="38">
        <v>115</v>
      </c>
      <c r="DV663" s="35">
        <v>3.47</v>
      </c>
      <c r="DW663" s="36">
        <v>21138</v>
      </c>
      <c r="DX663" s="39">
        <v>-2</v>
      </c>
      <c r="DY663" s="35">
        <v>-0.01</v>
      </c>
      <c r="DZ663" s="28" t="s">
        <v>178</v>
      </c>
      <c r="EA663" s="34">
        <v>43622</v>
      </c>
      <c r="EB663" s="29">
        <v>220</v>
      </c>
      <c r="EC663" s="34">
        <v>43564</v>
      </c>
      <c r="ED663" s="28" t="s">
        <v>173</v>
      </c>
      <c r="EE663" s="40" t="str">
        <f>HYPERLINK("https://my.pitchbook.com?c=53999-11", "View company online")</f>
        <v>View company online</v>
      </c>
    </row>
    <row r="664" spans="1:135">
      <c r="A664" s="15" t="s">
        <v>13328</v>
      </c>
      <c r="B664" s="15" t="s">
        <v>13329</v>
      </c>
      <c r="C664" s="15" t="s">
        <v>13330</v>
      </c>
      <c r="D664" s="15" t="s">
        <v>138</v>
      </c>
      <c r="E664" s="15" t="s">
        <v>138</v>
      </c>
      <c r="F664" s="15" t="s">
        <v>13328</v>
      </c>
      <c r="G664" s="15" t="s">
        <v>13331</v>
      </c>
      <c r="H664" s="15" t="s">
        <v>238</v>
      </c>
      <c r="I664" s="15" t="s">
        <v>749</v>
      </c>
      <c r="J664" s="15" t="s">
        <v>750</v>
      </c>
      <c r="K664" s="15" t="s">
        <v>751</v>
      </c>
      <c r="L664" s="15" t="s">
        <v>752</v>
      </c>
      <c r="M664" s="15" t="s">
        <v>13332</v>
      </c>
      <c r="N664" s="15" t="s">
        <v>147</v>
      </c>
      <c r="O664" s="17">
        <v>1.19</v>
      </c>
      <c r="P664" s="15" t="s">
        <v>148</v>
      </c>
      <c r="Q664" s="15" t="s">
        <v>149</v>
      </c>
      <c r="R664" s="15" t="s">
        <v>244</v>
      </c>
      <c r="S664" s="15" t="s">
        <v>13333</v>
      </c>
      <c r="T664" s="18" t="s">
        <v>138</v>
      </c>
      <c r="U664" s="15" t="s">
        <v>138</v>
      </c>
      <c r="V664" s="15" t="s">
        <v>138</v>
      </c>
      <c r="W664" s="15" t="s">
        <v>138</v>
      </c>
      <c r="X664" s="19">
        <v>2013</v>
      </c>
      <c r="Y664" s="15" t="s">
        <v>138</v>
      </c>
      <c r="Z664" s="15" t="s">
        <v>138</v>
      </c>
      <c r="AA664" s="15" t="s">
        <v>138</v>
      </c>
      <c r="AB664" s="20" t="s">
        <v>138</v>
      </c>
      <c r="AC664" s="20" t="s">
        <v>138</v>
      </c>
      <c r="AD664" s="20" t="s">
        <v>138</v>
      </c>
      <c r="AE664" s="20" t="s">
        <v>138</v>
      </c>
      <c r="AF664" s="20" t="s">
        <v>138</v>
      </c>
      <c r="AG664" s="15" t="s">
        <v>138</v>
      </c>
      <c r="AH664" s="20" t="s">
        <v>138</v>
      </c>
      <c r="AI664" s="20" t="s">
        <v>138</v>
      </c>
      <c r="AJ664" s="20" t="s">
        <v>138</v>
      </c>
      <c r="AK664" s="15" t="s">
        <v>13334</v>
      </c>
      <c r="AL664" s="15" t="s">
        <v>13335</v>
      </c>
      <c r="AM664" s="15" t="s">
        <v>304</v>
      </c>
      <c r="AN664" s="15" t="s">
        <v>13336</v>
      </c>
      <c r="AO664" s="15" t="s">
        <v>138</v>
      </c>
      <c r="AP664" s="15" t="s">
        <v>4463</v>
      </c>
      <c r="AQ664" s="15" t="s">
        <v>138</v>
      </c>
      <c r="AR664" s="15" t="s">
        <v>138</v>
      </c>
      <c r="AS664" s="15" t="s">
        <v>4466</v>
      </c>
      <c r="AT664" s="15" t="s">
        <v>426</v>
      </c>
      <c r="AU664" s="15" t="s">
        <v>138</v>
      </c>
      <c r="AV664" s="15" t="s">
        <v>162</v>
      </c>
      <c r="AW664" s="15" t="s">
        <v>138</v>
      </c>
      <c r="AX664" s="15" t="s">
        <v>138</v>
      </c>
      <c r="AY664" s="15" t="s">
        <v>13337</v>
      </c>
      <c r="AZ664" s="15" t="s">
        <v>164</v>
      </c>
      <c r="BA664" s="15" t="s">
        <v>165</v>
      </c>
      <c r="BB664" s="15" t="s">
        <v>13338</v>
      </c>
      <c r="BC664" s="15" t="s">
        <v>13339</v>
      </c>
      <c r="BD664" s="21">
        <v>3</v>
      </c>
      <c r="BE664" s="15" t="s">
        <v>138</v>
      </c>
      <c r="BF664" s="15" t="s">
        <v>138</v>
      </c>
      <c r="BG664" s="15" t="s">
        <v>138</v>
      </c>
      <c r="BH664" s="15" t="s">
        <v>13340</v>
      </c>
      <c r="BI664" s="15" t="s">
        <v>138</v>
      </c>
      <c r="BJ664" s="15" t="s">
        <v>138</v>
      </c>
      <c r="BK664" s="15" t="s">
        <v>138</v>
      </c>
      <c r="BL664" s="15" t="s">
        <v>13341</v>
      </c>
      <c r="BM664" s="22">
        <v>42289</v>
      </c>
      <c r="BN664" s="17">
        <v>0.01</v>
      </c>
      <c r="BO664" s="15" t="s">
        <v>172</v>
      </c>
      <c r="BP664" s="17" t="s">
        <v>138</v>
      </c>
      <c r="BQ664" s="15" t="s">
        <v>138</v>
      </c>
      <c r="BR664" s="15" t="s">
        <v>1326</v>
      </c>
      <c r="BS664" s="15" t="s">
        <v>138</v>
      </c>
      <c r="BT664" s="15" t="s">
        <v>138</v>
      </c>
      <c r="BU664" s="15" t="s">
        <v>1327</v>
      </c>
      <c r="BV664" s="15" t="s">
        <v>1328</v>
      </c>
      <c r="BW664" s="15" t="s">
        <v>138</v>
      </c>
      <c r="BX664" s="15" t="s">
        <v>138</v>
      </c>
      <c r="BY664" s="15" t="s">
        <v>175</v>
      </c>
      <c r="BZ664" s="22">
        <v>42605</v>
      </c>
      <c r="CA664" s="17">
        <v>1.1299999999999999</v>
      </c>
      <c r="CB664" s="15" t="s">
        <v>172</v>
      </c>
      <c r="CC664" s="17">
        <v>5.13</v>
      </c>
      <c r="CD664" s="15" t="s">
        <v>172</v>
      </c>
      <c r="CE664" s="15" t="s">
        <v>205</v>
      </c>
      <c r="CF664" s="15" t="s">
        <v>206</v>
      </c>
      <c r="CG664" s="15" t="s">
        <v>138</v>
      </c>
      <c r="CH664" s="15" t="s">
        <v>174</v>
      </c>
      <c r="CI664" s="15" t="s">
        <v>138</v>
      </c>
      <c r="CJ664" s="15" t="s">
        <v>138</v>
      </c>
      <c r="CK664" s="15" t="s">
        <v>138</v>
      </c>
      <c r="CL664" s="15" t="s">
        <v>175</v>
      </c>
      <c r="CM664" s="22">
        <v>42289</v>
      </c>
      <c r="CN664" s="17">
        <v>0.01</v>
      </c>
      <c r="CO664" s="23">
        <v>-0.54</v>
      </c>
      <c r="CP664" s="24">
        <v>16</v>
      </c>
      <c r="CQ664" s="23">
        <v>0</v>
      </c>
      <c r="CR664" s="23">
        <v>0.49</v>
      </c>
      <c r="CS664" s="23">
        <v>-1.29</v>
      </c>
      <c r="CT664" s="24">
        <v>13</v>
      </c>
      <c r="CU664" s="23">
        <v>0.21</v>
      </c>
      <c r="CV664" s="24">
        <v>81</v>
      </c>
      <c r="CW664" s="23">
        <v>-1.29</v>
      </c>
      <c r="CX664" s="24">
        <v>9</v>
      </c>
      <c r="CY664" s="23" t="s">
        <v>138</v>
      </c>
      <c r="CZ664" s="24" t="s">
        <v>138</v>
      </c>
      <c r="DA664" s="23">
        <v>0.06</v>
      </c>
      <c r="DB664" s="24">
        <v>65</v>
      </c>
      <c r="DC664" s="25">
        <v>4.95</v>
      </c>
      <c r="DD664" s="24">
        <v>83</v>
      </c>
      <c r="DE664" s="25">
        <v>-0.23</v>
      </c>
      <c r="DF664" s="23">
        <v>-4.3899999999999997</v>
      </c>
      <c r="DG664" s="25">
        <v>3.59</v>
      </c>
      <c r="DH664" s="24">
        <v>77</v>
      </c>
      <c r="DI664" s="25">
        <v>6.3</v>
      </c>
      <c r="DJ664" s="24">
        <v>80</v>
      </c>
      <c r="DK664" s="25">
        <v>3.59</v>
      </c>
      <c r="DL664" s="24">
        <v>74</v>
      </c>
      <c r="DM664" s="25" t="s">
        <v>138</v>
      </c>
      <c r="DN664" s="24" t="s">
        <v>138</v>
      </c>
      <c r="DO664" s="25">
        <v>3.32</v>
      </c>
      <c r="DP664" s="24">
        <v>73</v>
      </c>
      <c r="DQ664" s="24">
        <v>1180</v>
      </c>
      <c r="DR664" s="26">
        <v>159</v>
      </c>
      <c r="DS664" s="23">
        <v>15.57</v>
      </c>
      <c r="DT664" s="24" t="s">
        <v>138</v>
      </c>
      <c r="DU664" s="26" t="s">
        <v>138</v>
      </c>
      <c r="DV664" s="23" t="s">
        <v>138</v>
      </c>
      <c r="DW664" s="24">
        <v>1187</v>
      </c>
      <c r="DX664" s="27">
        <v>1</v>
      </c>
      <c r="DY664" s="23">
        <v>0.08</v>
      </c>
      <c r="DZ664" s="15" t="s">
        <v>178</v>
      </c>
      <c r="EA664" s="22">
        <v>43426</v>
      </c>
      <c r="EB664" s="17">
        <v>5.13</v>
      </c>
      <c r="EC664" s="22">
        <v>42605</v>
      </c>
      <c r="ED664" s="15" t="s">
        <v>205</v>
      </c>
      <c r="EE664" s="14" t="str">
        <f>HYPERLINK("https://my.pitchbook.com?c=159924-88", "View company online")</f>
        <v>View company online</v>
      </c>
    </row>
    <row r="665" spans="1:135">
      <c r="A665" s="28" t="s">
        <v>13342</v>
      </c>
      <c r="B665" s="28" t="s">
        <v>13343</v>
      </c>
      <c r="C665" s="28" t="s">
        <v>13344</v>
      </c>
      <c r="D665" s="28" t="s">
        <v>138</v>
      </c>
      <c r="E665" s="28" t="s">
        <v>13345</v>
      </c>
      <c r="F665" s="28" t="s">
        <v>13342</v>
      </c>
      <c r="G665" s="28" t="s">
        <v>13346</v>
      </c>
      <c r="H665" s="28" t="s">
        <v>141</v>
      </c>
      <c r="I665" s="28" t="s">
        <v>142</v>
      </c>
      <c r="J665" s="28" t="s">
        <v>1924</v>
      </c>
      <c r="K665" s="28" t="s">
        <v>13347</v>
      </c>
      <c r="L665" s="28" t="s">
        <v>1284</v>
      </c>
      <c r="M665" s="28" t="s">
        <v>13348</v>
      </c>
      <c r="N665" s="28" t="s">
        <v>147</v>
      </c>
      <c r="O665" s="29">
        <v>525</v>
      </c>
      <c r="P665" s="28" t="s">
        <v>148</v>
      </c>
      <c r="Q665" s="28" t="s">
        <v>149</v>
      </c>
      <c r="R665" s="28" t="s">
        <v>174</v>
      </c>
      <c r="S665" s="28" t="s">
        <v>13349</v>
      </c>
      <c r="T665" s="30">
        <v>175</v>
      </c>
      <c r="U665" s="28" t="s">
        <v>13350</v>
      </c>
      <c r="V665" s="28" t="s">
        <v>138</v>
      </c>
      <c r="W665" s="28" t="s">
        <v>138</v>
      </c>
      <c r="X665" s="31">
        <v>2004</v>
      </c>
      <c r="Y665" s="28" t="s">
        <v>138</v>
      </c>
      <c r="Z665" s="28" t="s">
        <v>138</v>
      </c>
      <c r="AA665" s="28" t="s">
        <v>13351</v>
      </c>
      <c r="AB665" s="32">
        <v>100</v>
      </c>
      <c r="AC665" s="32" t="s">
        <v>138</v>
      </c>
      <c r="AD665" s="32" t="s">
        <v>138</v>
      </c>
      <c r="AE665" s="32" t="s">
        <v>138</v>
      </c>
      <c r="AF665" s="32" t="s">
        <v>138</v>
      </c>
      <c r="AG665" s="28" t="s">
        <v>419</v>
      </c>
      <c r="AH665" s="32" t="s">
        <v>138</v>
      </c>
      <c r="AI665" s="32" t="s">
        <v>138</v>
      </c>
      <c r="AJ665" s="32" t="s">
        <v>138</v>
      </c>
      <c r="AK665" s="28" t="s">
        <v>13352</v>
      </c>
      <c r="AL665" s="28" t="s">
        <v>13353</v>
      </c>
      <c r="AM665" s="28" t="s">
        <v>4689</v>
      </c>
      <c r="AN665" s="28" t="s">
        <v>13354</v>
      </c>
      <c r="AO665" s="28" t="s">
        <v>138</v>
      </c>
      <c r="AP665" s="28" t="s">
        <v>13355</v>
      </c>
      <c r="AQ665" s="28" t="s">
        <v>13356</v>
      </c>
      <c r="AR665" s="28" t="s">
        <v>138</v>
      </c>
      <c r="AS665" s="28" t="s">
        <v>13357</v>
      </c>
      <c r="AT665" s="28" t="s">
        <v>200</v>
      </c>
      <c r="AU665" s="28" t="s">
        <v>13358</v>
      </c>
      <c r="AV665" s="28" t="s">
        <v>162</v>
      </c>
      <c r="AW665" s="28" t="s">
        <v>138</v>
      </c>
      <c r="AX665" s="28" t="s">
        <v>138</v>
      </c>
      <c r="AY665" s="28" t="s">
        <v>13359</v>
      </c>
      <c r="AZ665" s="28" t="s">
        <v>164</v>
      </c>
      <c r="BA665" s="28" t="s">
        <v>165</v>
      </c>
      <c r="BB665" s="28" t="s">
        <v>13360</v>
      </c>
      <c r="BC665" s="28" t="s">
        <v>13361</v>
      </c>
      <c r="BD665" s="33">
        <v>21</v>
      </c>
      <c r="BE665" s="28" t="s">
        <v>138</v>
      </c>
      <c r="BF665" s="28" t="s">
        <v>138</v>
      </c>
      <c r="BG665" s="28" t="s">
        <v>138</v>
      </c>
      <c r="BH665" s="28" t="s">
        <v>13362</v>
      </c>
      <c r="BI665" s="28" t="s">
        <v>138</v>
      </c>
      <c r="BJ665" s="28" t="s">
        <v>138</v>
      </c>
      <c r="BK665" s="28" t="s">
        <v>13363</v>
      </c>
      <c r="BL665" s="28" t="s">
        <v>13364</v>
      </c>
      <c r="BM665" s="34">
        <v>40703</v>
      </c>
      <c r="BN665" s="29">
        <v>20</v>
      </c>
      <c r="BO665" s="28" t="s">
        <v>172</v>
      </c>
      <c r="BP665" s="29">
        <v>32.57</v>
      </c>
      <c r="BQ665" s="28" t="s">
        <v>1178</v>
      </c>
      <c r="BR665" s="28" t="s">
        <v>173</v>
      </c>
      <c r="BS665" s="28" t="s">
        <v>4410</v>
      </c>
      <c r="BT665" s="28" t="s">
        <v>138</v>
      </c>
      <c r="BU665" s="28" t="s">
        <v>174</v>
      </c>
      <c r="BV665" s="28" t="s">
        <v>138</v>
      </c>
      <c r="BW665" s="28" t="s">
        <v>138</v>
      </c>
      <c r="BX665" s="28" t="s">
        <v>138</v>
      </c>
      <c r="BY665" s="28" t="s">
        <v>175</v>
      </c>
      <c r="BZ665" s="34">
        <v>43362</v>
      </c>
      <c r="CA665" s="29">
        <v>155</v>
      </c>
      <c r="CB665" s="28" t="s">
        <v>172</v>
      </c>
      <c r="CC665" s="29">
        <v>855</v>
      </c>
      <c r="CD665" s="28" t="s">
        <v>172</v>
      </c>
      <c r="CE665" s="28" t="s">
        <v>173</v>
      </c>
      <c r="CF665" s="28" t="s">
        <v>138</v>
      </c>
      <c r="CG665" s="28" t="s">
        <v>138</v>
      </c>
      <c r="CH665" s="28" t="s">
        <v>174</v>
      </c>
      <c r="CI665" s="28" t="s">
        <v>138</v>
      </c>
      <c r="CJ665" s="28" t="s">
        <v>138</v>
      </c>
      <c r="CK665" s="28" t="s">
        <v>138</v>
      </c>
      <c r="CL665" s="28" t="s">
        <v>175</v>
      </c>
      <c r="CM665" s="34">
        <v>42172</v>
      </c>
      <c r="CN665" s="29">
        <v>25</v>
      </c>
      <c r="CO665" s="35">
        <v>0.39</v>
      </c>
      <c r="CP665" s="36">
        <v>94</v>
      </c>
      <c r="CQ665" s="35">
        <v>0.02</v>
      </c>
      <c r="CR665" s="35">
        <v>6.38</v>
      </c>
      <c r="CS665" s="35">
        <v>0.4</v>
      </c>
      <c r="CT665" s="36">
        <v>95</v>
      </c>
      <c r="CU665" s="35">
        <v>0.38</v>
      </c>
      <c r="CV665" s="36">
        <v>91</v>
      </c>
      <c r="CW665" s="35">
        <v>1.44</v>
      </c>
      <c r="CX665" s="36">
        <v>86</v>
      </c>
      <c r="CY665" s="35">
        <v>-0.64</v>
      </c>
      <c r="CZ665" s="36">
        <v>21</v>
      </c>
      <c r="DA665" s="35">
        <v>0.54</v>
      </c>
      <c r="DB665" s="36">
        <v>95</v>
      </c>
      <c r="DC665" s="37">
        <v>21.74</v>
      </c>
      <c r="DD665" s="36">
        <v>95</v>
      </c>
      <c r="DE665" s="37">
        <v>-0.32</v>
      </c>
      <c r="DF665" s="35">
        <v>-1.43</v>
      </c>
      <c r="DG665" s="37">
        <v>34.93</v>
      </c>
      <c r="DH665" s="36">
        <v>97</v>
      </c>
      <c r="DI665" s="37">
        <v>8.5500000000000007</v>
      </c>
      <c r="DJ665" s="36">
        <v>84</v>
      </c>
      <c r="DK665" s="37">
        <v>13.1</v>
      </c>
      <c r="DL665" s="36">
        <v>89</v>
      </c>
      <c r="DM665" s="37">
        <v>56.76</v>
      </c>
      <c r="DN665" s="36">
        <v>98</v>
      </c>
      <c r="DO665" s="37">
        <v>14.9</v>
      </c>
      <c r="DP665" s="36">
        <v>90</v>
      </c>
      <c r="DQ665" s="36">
        <v>4479</v>
      </c>
      <c r="DR665" s="38">
        <v>40</v>
      </c>
      <c r="DS665" s="35">
        <v>0.9</v>
      </c>
      <c r="DT665" s="36">
        <v>1643</v>
      </c>
      <c r="DU665" s="38">
        <v>14</v>
      </c>
      <c r="DV665" s="35">
        <v>0.86</v>
      </c>
      <c r="DW665" s="36">
        <v>5319</v>
      </c>
      <c r="DX665" s="39">
        <v>32</v>
      </c>
      <c r="DY665" s="35">
        <v>0.61</v>
      </c>
      <c r="DZ665" s="28" t="s">
        <v>178</v>
      </c>
      <c r="EA665" s="34">
        <v>43557</v>
      </c>
      <c r="EB665" s="29">
        <v>855</v>
      </c>
      <c r="EC665" s="34">
        <v>43362</v>
      </c>
      <c r="ED665" s="28" t="s">
        <v>173</v>
      </c>
      <c r="EE665" s="40" t="str">
        <f>HYPERLINK("https://my.pitchbook.com?c=43055-02", "View company online")</f>
        <v>View company online</v>
      </c>
    </row>
    <row r="666" spans="1:135">
      <c r="A666" s="15" t="s">
        <v>13365</v>
      </c>
      <c r="B666" s="15" t="s">
        <v>13366</v>
      </c>
      <c r="C666" s="15" t="s">
        <v>138</v>
      </c>
      <c r="D666" s="15" t="s">
        <v>13367</v>
      </c>
      <c r="E666" s="15" t="s">
        <v>13368</v>
      </c>
      <c r="F666" s="15" t="s">
        <v>13365</v>
      </c>
      <c r="G666" s="15" t="s">
        <v>13369</v>
      </c>
      <c r="H666" s="15" t="s">
        <v>322</v>
      </c>
      <c r="I666" s="15" t="s">
        <v>323</v>
      </c>
      <c r="J666" s="15" t="s">
        <v>324</v>
      </c>
      <c r="K666" s="15" t="s">
        <v>13370</v>
      </c>
      <c r="L666" s="15" t="s">
        <v>13371</v>
      </c>
      <c r="M666" s="15" t="s">
        <v>13372</v>
      </c>
      <c r="N666" s="15" t="s">
        <v>147</v>
      </c>
      <c r="O666" s="17">
        <v>22</v>
      </c>
      <c r="P666" s="15" t="s">
        <v>148</v>
      </c>
      <c r="Q666" s="15" t="s">
        <v>149</v>
      </c>
      <c r="R666" s="15" t="s">
        <v>174</v>
      </c>
      <c r="S666" s="15" t="s">
        <v>13373</v>
      </c>
      <c r="T666" s="18">
        <v>30</v>
      </c>
      <c r="U666" s="15" t="s">
        <v>1431</v>
      </c>
      <c r="V666" s="15" t="s">
        <v>138</v>
      </c>
      <c r="W666" s="15" t="s">
        <v>138</v>
      </c>
      <c r="X666" s="19">
        <v>2014</v>
      </c>
      <c r="Y666" s="15" t="s">
        <v>138</v>
      </c>
      <c r="Z666" s="15" t="s">
        <v>138</v>
      </c>
      <c r="AA666" s="15" t="s">
        <v>138</v>
      </c>
      <c r="AB666" s="20" t="s">
        <v>138</v>
      </c>
      <c r="AC666" s="20" t="s">
        <v>138</v>
      </c>
      <c r="AD666" s="20" t="s">
        <v>138</v>
      </c>
      <c r="AE666" s="20" t="s">
        <v>138</v>
      </c>
      <c r="AF666" s="20" t="s">
        <v>138</v>
      </c>
      <c r="AG666" s="15" t="s">
        <v>138</v>
      </c>
      <c r="AH666" s="20" t="s">
        <v>138</v>
      </c>
      <c r="AI666" s="20" t="s">
        <v>138</v>
      </c>
      <c r="AJ666" s="20" t="s">
        <v>138</v>
      </c>
      <c r="AK666" s="15" t="s">
        <v>13374</v>
      </c>
      <c r="AL666" s="15" t="s">
        <v>13375</v>
      </c>
      <c r="AM666" s="15" t="s">
        <v>938</v>
      </c>
      <c r="AN666" s="15" t="s">
        <v>13376</v>
      </c>
      <c r="AO666" s="15" t="s">
        <v>138</v>
      </c>
      <c r="AP666" s="15" t="s">
        <v>13377</v>
      </c>
      <c r="AQ666" s="15" t="s">
        <v>13378</v>
      </c>
      <c r="AR666" s="15" t="s">
        <v>138</v>
      </c>
      <c r="AS666" s="15" t="s">
        <v>13379</v>
      </c>
      <c r="AT666" s="15" t="s">
        <v>138</v>
      </c>
      <c r="AU666" s="15" t="s">
        <v>13380</v>
      </c>
      <c r="AV666" s="15" t="s">
        <v>740</v>
      </c>
      <c r="AW666" s="15" t="s">
        <v>138</v>
      </c>
      <c r="AX666" s="15" t="s">
        <v>138</v>
      </c>
      <c r="AY666" s="15" t="s">
        <v>13381</v>
      </c>
      <c r="AZ666" s="15" t="s">
        <v>742</v>
      </c>
      <c r="BA666" s="15" t="s">
        <v>742</v>
      </c>
      <c r="BB666" s="15" t="s">
        <v>13382</v>
      </c>
      <c r="BC666" s="15" t="s">
        <v>13383</v>
      </c>
      <c r="BD666" s="21">
        <v>5</v>
      </c>
      <c r="BE666" s="15" t="s">
        <v>138</v>
      </c>
      <c r="BF666" s="15" t="s">
        <v>138</v>
      </c>
      <c r="BG666" s="15" t="s">
        <v>138</v>
      </c>
      <c r="BH666" s="15" t="s">
        <v>13384</v>
      </c>
      <c r="BI666" s="15" t="s">
        <v>138</v>
      </c>
      <c r="BJ666" s="15" t="s">
        <v>138</v>
      </c>
      <c r="BK666" s="15" t="s">
        <v>138</v>
      </c>
      <c r="BL666" s="15" t="s">
        <v>2550</v>
      </c>
      <c r="BM666" s="22">
        <v>42158</v>
      </c>
      <c r="BN666" s="17" t="s">
        <v>138</v>
      </c>
      <c r="BO666" s="15" t="s">
        <v>138</v>
      </c>
      <c r="BP666" s="17" t="s">
        <v>138</v>
      </c>
      <c r="BQ666" s="15" t="s">
        <v>138</v>
      </c>
      <c r="BR666" s="15" t="s">
        <v>205</v>
      </c>
      <c r="BS666" s="15" t="s">
        <v>138</v>
      </c>
      <c r="BT666" s="15" t="s">
        <v>138</v>
      </c>
      <c r="BU666" s="15" t="s">
        <v>174</v>
      </c>
      <c r="BV666" s="15" t="s">
        <v>138</v>
      </c>
      <c r="BW666" s="15" t="s">
        <v>138</v>
      </c>
      <c r="BX666" s="15" t="s">
        <v>138</v>
      </c>
      <c r="BY666" s="15" t="s">
        <v>175</v>
      </c>
      <c r="BZ666" s="22">
        <v>42801</v>
      </c>
      <c r="CA666" s="17">
        <v>15</v>
      </c>
      <c r="CB666" s="15" t="s">
        <v>172</v>
      </c>
      <c r="CC666" s="17" t="s">
        <v>138</v>
      </c>
      <c r="CD666" s="15" t="s">
        <v>138</v>
      </c>
      <c r="CE666" s="15" t="s">
        <v>205</v>
      </c>
      <c r="CF666" s="15" t="s">
        <v>720</v>
      </c>
      <c r="CG666" s="15" t="s">
        <v>138</v>
      </c>
      <c r="CH666" s="15" t="s">
        <v>174</v>
      </c>
      <c r="CI666" s="15" t="s">
        <v>138</v>
      </c>
      <c r="CJ666" s="15" t="s">
        <v>138</v>
      </c>
      <c r="CK666" s="15" t="s">
        <v>138</v>
      </c>
      <c r="CL666" s="15" t="s">
        <v>175</v>
      </c>
      <c r="CM666" s="22" t="s">
        <v>138</v>
      </c>
      <c r="CN666" s="17" t="s">
        <v>138</v>
      </c>
      <c r="CO666" s="23">
        <v>0</v>
      </c>
      <c r="CP666" s="24">
        <v>26</v>
      </c>
      <c r="CQ666" s="23">
        <v>0</v>
      </c>
      <c r="CR666" s="23">
        <v>0</v>
      </c>
      <c r="CS666" s="23">
        <v>0</v>
      </c>
      <c r="CT666" s="24">
        <v>23</v>
      </c>
      <c r="CU666" s="23">
        <v>0</v>
      </c>
      <c r="CV666" s="24">
        <v>22</v>
      </c>
      <c r="CW666" s="23">
        <v>0</v>
      </c>
      <c r="CX666" s="24">
        <v>13</v>
      </c>
      <c r="CY666" s="23">
        <v>0.01</v>
      </c>
      <c r="CZ666" s="24">
        <v>97</v>
      </c>
      <c r="DA666" s="23">
        <v>0</v>
      </c>
      <c r="DB666" s="24">
        <v>22</v>
      </c>
      <c r="DC666" s="25">
        <v>1.36</v>
      </c>
      <c r="DD666" s="24">
        <v>58</v>
      </c>
      <c r="DE666" s="25">
        <v>-0.02</v>
      </c>
      <c r="DF666" s="23">
        <v>-1.1599999999999999</v>
      </c>
      <c r="DG666" s="25">
        <v>2.4500000000000002</v>
      </c>
      <c r="DH666" s="24">
        <v>71</v>
      </c>
      <c r="DI666" s="25">
        <v>0.28000000000000003</v>
      </c>
      <c r="DJ666" s="24">
        <v>27</v>
      </c>
      <c r="DK666" s="25">
        <v>0.52</v>
      </c>
      <c r="DL666" s="24">
        <v>36</v>
      </c>
      <c r="DM666" s="25">
        <v>4.38</v>
      </c>
      <c r="DN666" s="24">
        <v>80</v>
      </c>
      <c r="DO666" s="25">
        <v>0.28000000000000003</v>
      </c>
      <c r="DP666" s="24">
        <v>29</v>
      </c>
      <c r="DQ666" s="24">
        <v>176</v>
      </c>
      <c r="DR666" s="26">
        <v>9</v>
      </c>
      <c r="DS666" s="23">
        <v>5.39</v>
      </c>
      <c r="DT666" s="24">
        <v>126</v>
      </c>
      <c r="DU666" s="26">
        <v>1</v>
      </c>
      <c r="DV666" s="23">
        <v>0.8</v>
      </c>
      <c r="DW666" s="24">
        <v>99</v>
      </c>
      <c r="DX666" s="27">
        <v>0</v>
      </c>
      <c r="DY666" s="23">
        <v>0</v>
      </c>
      <c r="DZ666" s="15" t="s">
        <v>178</v>
      </c>
      <c r="EA666" s="22">
        <v>43518</v>
      </c>
      <c r="EB666" s="17" t="s">
        <v>138</v>
      </c>
      <c r="EC666" s="22" t="s">
        <v>138</v>
      </c>
      <c r="ED666" s="15" t="s">
        <v>138</v>
      </c>
      <c r="EE666" s="14" t="str">
        <f>HYPERLINK("https://my.pitchbook.com?c=156679-21", "View company online")</f>
        <v>View company online</v>
      </c>
    </row>
    <row r="667" spans="1:135">
      <c r="A667" s="28" t="s">
        <v>13385</v>
      </c>
      <c r="B667" s="28" t="s">
        <v>13386</v>
      </c>
      <c r="C667" s="28" t="s">
        <v>138</v>
      </c>
      <c r="D667" s="28" t="s">
        <v>13387</v>
      </c>
      <c r="E667" s="28" t="s">
        <v>13388</v>
      </c>
      <c r="F667" s="28" t="s">
        <v>13385</v>
      </c>
      <c r="G667" s="28" t="s">
        <v>13389</v>
      </c>
      <c r="H667" s="28" t="s">
        <v>322</v>
      </c>
      <c r="I667" s="28" t="s">
        <v>323</v>
      </c>
      <c r="J667" s="28" t="s">
        <v>324</v>
      </c>
      <c r="K667" s="28" t="s">
        <v>5902</v>
      </c>
      <c r="L667" s="28" t="s">
        <v>215</v>
      </c>
      <c r="M667" s="28" t="s">
        <v>13390</v>
      </c>
      <c r="N667" s="28" t="s">
        <v>147</v>
      </c>
      <c r="O667" s="29">
        <v>28.22</v>
      </c>
      <c r="P667" s="28" t="s">
        <v>148</v>
      </c>
      <c r="Q667" s="28" t="s">
        <v>149</v>
      </c>
      <c r="R667" s="28" t="s">
        <v>174</v>
      </c>
      <c r="S667" s="28" t="s">
        <v>13391</v>
      </c>
      <c r="T667" s="30">
        <v>35</v>
      </c>
      <c r="U667" s="28" t="s">
        <v>13392</v>
      </c>
      <c r="V667" s="28" t="s">
        <v>138</v>
      </c>
      <c r="W667" s="28" t="s">
        <v>138</v>
      </c>
      <c r="X667" s="31">
        <v>2015</v>
      </c>
      <c r="Y667" s="28" t="s">
        <v>138</v>
      </c>
      <c r="Z667" s="28" t="s">
        <v>138</v>
      </c>
      <c r="AA667" s="28" t="s">
        <v>138</v>
      </c>
      <c r="AB667" s="32" t="s">
        <v>138</v>
      </c>
      <c r="AC667" s="32" t="s">
        <v>138</v>
      </c>
      <c r="AD667" s="32" t="s">
        <v>138</v>
      </c>
      <c r="AE667" s="32" t="s">
        <v>138</v>
      </c>
      <c r="AF667" s="32" t="s">
        <v>138</v>
      </c>
      <c r="AG667" s="28" t="s">
        <v>138</v>
      </c>
      <c r="AH667" s="32" t="s">
        <v>138</v>
      </c>
      <c r="AI667" s="32" t="s">
        <v>138</v>
      </c>
      <c r="AJ667" s="32" t="s">
        <v>138</v>
      </c>
      <c r="AK667" s="28" t="s">
        <v>13393</v>
      </c>
      <c r="AL667" s="28" t="s">
        <v>13394</v>
      </c>
      <c r="AM667" s="28" t="s">
        <v>818</v>
      </c>
      <c r="AN667" s="28" t="s">
        <v>13395</v>
      </c>
      <c r="AO667" s="28" t="s">
        <v>13396</v>
      </c>
      <c r="AP667" s="28" t="s">
        <v>3839</v>
      </c>
      <c r="AQ667" s="28" t="s">
        <v>13397</v>
      </c>
      <c r="AR667" s="28" t="s">
        <v>13398</v>
      </c>
      <c r="AS667" s="28" t="s">
        <v>3841</v>
      </c>
      <c r="AT667" s="28" t="s">
        <v>200</v>
      </c>
      <c r="AU667" s="28" t="s">
        <v>11035</v>
      </c>
      <c r="AV667" s="28" t="s">
        <v>162</v>
      </c>
      <c r="AW667" s="28" t="s">
        <v>13396</v>
      </c>
      <c r="AX667" s="28" t="s">
        <v>138</v>
      </c>
      <c r="AY667" s="28" t="s">
        <v>13399</v>
      </c>
      <c r="AZ667" s="28" t="s">
        <v>164</v>
      </c>
      <c r="BA667" s="28" t="s">
        <v>165</v>
      </c>
      <c r="BB667" s="28" t="s">
        <v>13400</v>
      </c>
      <c r="BC667" s="28" t="s">
        <v>13401</v>
      </c>
      <c r="BD667" s="33">
        <v>9</v>
      </c>
      <c r="BE667" s="28" t="s">
        <v>138</v>
      </c>
      <c r="BF667" s="28" t="s">
        <v>138</v>
      </c>
      <c r="BG667" s="28" t="s">
        <v>138</v>
      </c>
      <c r="BH667" s="28" t="s">
        <v>13402</v>
      </c>
      <c r="BI667" s="28" t="s">
        <v>138</v>
      </c>
      <c r="BJ667" s="28" t="s">
        <v>138</v>
      </c>
      <c r="BK667" s="28" t="s">
        <v>3482</v>
      </c>
      <c r="BL667" s="28" t="s">
        <v>3482</v>
      </c>
      <c r="BM667" s="34">
        <v>42439</v>
      </c>
      <c r="BN667" s="29">
        <v>4.22</v>
      </c>
      <c r="BO667" s="28" t="s">
        <v>172</v>
      </c>
      <c r="BP667" s="29">
        <v>10.220000000000001</v>
      </c>
      <c r="BQ667" s="28" t="s">
        <v>172</v>
      </c>
      <c r="BR667" s="28" t="s">
        <v>205</v>
      </c>
      <c r="BS667" s="28" t="s">
        <v>206</v>
      </c>
      <c r="BT667" s="28" t="s">
        <v>138</v>
      </c>
      <c r="BU667" s="28" t="s">
        <v>174</v>
      </c>
      <c r="BV667" s="28" t="s">
        <v>138</v>
      </c>
      <c r="BW667" s="28" t="s">
        <v>138</v>
      </c>
      <c r="BX667" s="28" t="s">
        <v>138</v>
      </c>
      <c r="BY667" s="28" t="s">
        <v>175</v>
      </c>
      <c r="BZ667" s="34">
        <v>43419</v>
      </c>
      <c r="CA667" s="29">
        <v>18</v>
      </c>
      <c r="CB667" s="28" t="s">
        <v>172</v>
      </c>
      <c r="CC667" s="29">
        <v>60</v>
      </c>
      <c r="CD667" s="28" t="s">
        <v>172</v>
      </c>
      <c r="CE667" s="28" t="s">
        <v>205</v>
      </c>
      <c r="CF667" s="28" t="s">
        <v>720</v>
      </c>
      <c r="CG667" s="28" t="s">
        <v>138</v>
      </c>
      <c r="CH667" s="28" t="s">
        <v>174</v>
      </c>
      <c r="CI667" s="28" t="s">
        <v>138</v>
      </c>
      <c r="CJ667" s="28" t="s">
        <v>138</v>
      </c>
      <c r="CK667" s="28" t="s">
        <v>138</v>
      </c>
      <c r="CL667" s="28" t="s">
        <v>175</v>
      </c>
      <c r="CM667" s="34" t="s">
        <v>138</v>
      </c>
      <c r="CN667" s="29" t="s">
        <v>138</v>
      </c>
      <c r="CO667" s="35">
        <v>1.65</v>
      </c>
      <c r="CP667" s="36">
        <v>98</v>
      </c>
      <c r="CQ667" s="35">
        <v>-0.03</v>
      </c>
      <c r="CR667" s="35">
        <v>-2.0099999999999998</v>
      </c>
      <c r="CS667" s="35">
        <v>4.54</v>
      </c>
      <c r="CT667" s="36">
        <v>100</v>
      </c>
      <c r="CU667" s="35">
        <v>0.04</v>
      </c>
      <c r="CV667" s="36">
        <v>56</v>
      </c>
      <c r="CW667" s="35">
        <v>11.36</v>
      </c>
      <c r="CX667" s="36">
        <v>100</v>
      </c>
      <c r="CY667" s="35">
        <v>-2.29</v>
      </c>
      <c r="CZ667" s="36">
        <v>10</v>
      </c>
      <c r="DA667" s="35">
        <v>0.04</v>
      </c>
      <c r="DB667" s="36">
        <v>62</v>
      </c>
      <c r="DC667" s="37">
        <v>3.21</v>
      </c>
      <c r="DD667" s="36">
        <v>76</v>
      </c>
      <c r="DE667" s="37">
        <v>-0.18</v>
      </c>
      <c r="DF667" s="35">
        <v>-5.22</v>
      </c>
      <c r="DG667" s="37">
        <v>7.63</v>
      </c>
      <c r="DH667" s="36">
        <v>87</v>
      </c>
      <c r="DI667" s="37">
        <v>1.93</v>
      </c>
      <c r="DJ667" s="36">
        <v>62</v>
      </c>
      <c r="DK667" s="37">
        <v>7.54</v>
      </c>
      <c r="DL667" s="36">
        <v>84</v>
      </c>
      <c r="DM667" s="37">
        <v>7.72</v>
      </c>
      <c r="DN667" s="36">
        <v>86</v>
      </c>
      <c r="DO667" s="37">
        <v>1.93</v>
      </c>
      <c r="DP667" s="36">
        <v>63</v>
      </c>
      <c r="DQ667" s="36">
        <v>2501</v>
      </c>
      <c r="DR667" s="38">
        <v>258</v>
      </c>
      <c r="DS667" s="35">
        <v>11.5</v>
      </c>
      <c r="DT667" s="36">
        <v>225</v>
      </c>
      <c r="DU667" s="38">
        <v>-2</v>
      </c>
      <c r="DV667" s="35">
        <v>-0.88</v>
      </c>
      <c r="DW667" s="36">
        <v>691</v>
      </c>
      <c r="DX667" s="39">
        <v>-1</v>
      </c>
      <c r="DY667" s="35">
        <v>-0.14000000000000001</v>
      </c>
      <c r="DZ667" s="28" t="s">
        <v>178</v>
      </c>
      <c r="EA667" s="34">
        <v>43487</v>
      </c>
      <c r="EB667" s="29">
        <v>60</v>
      </c>
      <c r="EC667" s="34">
        <v>43419</v>
      </c>
      <c r="ED667" s="28" t="s">
        <v>205</v>
      </c>
      <c r="EE667" s="40" t="str">
        <f>HYPERLINK("https://my.pitchbook.com?c=155356-84", "View company online")</f>
        <v>View company online</v>
      </c>
    </row>
    <row r="668" spans="1:135">
      <c r="A668" s="15" t="s">
        <v>13403</v>
      </c>
      <c r="B668" s="15" t="s">
        <v>13404</v>
      </c>
      <c r="C668" s="15" t="s">
        <v>138</v>
      </c>
      <c r="D668" s="15" t="s">
        <v>138</v>
      </c>
      <c r="E668" s="15" t="s">
        <v>10482</v>
      </c>
      <c r="F668" s="15" t="s">
        <v>13403</v>
      </c>
      <c r="G668" s="15" t="s">
        <v>13405</v>
      </c>
      <c r="H668" s="15" t="s">
        <v>183</v>
      </c>
      <c r="I668" s="15" t="s">
        <v>184</v>
      </c>
      <c r="J668" s="15" t="s">
        <v>10687</v>
      </c>
      <c r="K668" s="15" t="s">
        <v>13406</v>
      </c>
      <c r="L668" s="15" t="s">
        <v>752</v>
      </c>
      <c r="M668" s="15" t="s">
        <v>13407</v>
      </c>
      <c r="N668" s="15" t="s">
        <v>147</v>
      </c>
      <c r="O668" s="17">
        <v>60.95</v>
      </c>
      <c r="P668" s="15" t="s">
        <v>148</v>
      </c>
      <c r="Q668" s="15" t="s">
        <v>149</v>
      </c>
      <c r="R668" s="15" t="s">
        <v>174</v>
      </c>
      <c r="S668" s="15" t="s">
        <v>13408</v>
      </c>
      <c r="T668" s="18">
        <v>37</v>
      </c>
      <c r="U668" s="15" t="s">
        <v>13409</v>
      </c>
      <c r="V668" s="15" t="s">
        <v>138</v>
      </c>
      <c r="W668" s="15" t="s">
        <v>138</v>
      </c>
      <c r="X668" s="19">
        <v>2009</v>
      </c>
      <c r="Y668" s="15" t="s">
        <v>138</v>
      </c>
      <c r="Z668" s="15" t="s">
        <v>138</v>
      </c>
      <c r="AA668" s="15" t="s">
        <v>138</v>
      </c>
      <c r="AB668" s="20" t="s">
        <v>138</v>
      </c>
      <c r="AC668" s="20" t="s">
        <v>138</v>
      </c>
      <c r="AD668" s="20" t="s">
        <v>138</v>
      </c>
      <c r="AE668" s="20" t="s">
        <v>138</v>
      </c>
      <c r="AF668" s="20" t="s">
        <v>138</v>
      </c>
      <c r="AG668" s="15" t="s">
        <v>138</v>
      </c>
      <c r="AH668" s="20" t="s">
        <v>138</v>
      </c>
      <c r="AI668" s="20" t="s">
        <v>138</v>
      </c>
      <c r="AJ668" s="20" t="s">
        <v>138</v>
      </c>
      <c r="AK668" s="15" t="s">
        <v>13410</v>
      </c>
      <c r="AL668" s="15" t="s">
        <v>13411</v>
      </c>
      <c r="AM668" s="15" t="s">
        <v>839</v>
      </c>
      <c r="AN668" s="15" t="s">
        <v>13412</v>
      </c>
      <c r="AO668" s="15" t="s">
        <v>13413</v>
      </c>
      <c r="AP668" s="15" t="s">
        <v>13414</v>
      </c>
      <c r="AQ668" s="15" t="s">
        <v>13415</v>
      </c>
      <c r="AR668" s="15" t="s">
        <v>138</v>
      </c>
      <c r="AS668" s="15" t="s">
        <v>13416</v>
      </c>
      <c r="AT668" s="15" t="s">
        <v>200</v>
      </c>
      <c r="AU668" s="15" t="s">
        <v>13417</v>
      </c>
      <c r="AV668" s="15" t="s">
        <v>162</v>
      </c>
      <c r="AW668" s="15" t="s">
        <v>13413</v>
      </c>
      <c r="AX668" s="15" t="s">
        <v>138</v>
      </c>
      <c r="AY668" s="15" t="s">
        <v>13418</v>
      </c>
      <c r="AZ668" s="15" t="s">
        <v>164</v>
      </c>
      <c r="BA668" s="15" t="s">
        <v>165</v>
      </c>
      <c r="BB668" s="15" t="s">
        <v>13419</v>
      </c>
      <c r="BC668" s="15" t="s">
        <v>13420</v>
      </c>
      <c r="BD668" s="21">
        <v>13</v>
      </c>
      <c r="BE668" s="15" t="s">
        <v>138</v>
      </c>
      <c r="BF668" s="15" t="s">
        <v>138</v>
      </c>
      <c r="BG668" s="15" t="s">
        <v>138</v>
      </c>
      <c r="BH668" s="15" t="s">
        <v>13421</v>
      </c>
      <c r="BI668" s="15" t="s">
        <v>138</v>
      </c>
      <c r="BJ668" s="15" t="s">
        <v>138</v>
      </c>
      <c r="BK668" s="15" t="s">
        <v>13422</v>
      </c>
      <c r="BL668" s="15" t="s">
        <v>13422</v>
      </c>
      <c r="BM668" s="22">
        <v>41522</v>
      </c>
      <c r="BN668" s="17">
        <v>2.75</v>
      </c>
      <c r="BO668" s="15" t="s">
        <v>172</v>
      </c>
      <c r="BP668" s="17">
        <v>15.75</v>
      </c>
      <c r="BQ668" s="15" t="s">
        <v>1178</v>
      </c>
      <c r="BR668" s="15" t="s">
        <v>205</v>
      </c>
      <c r="BS668" s="15" t="s">
        <v>206</v>
      </c>
      <c r="BT668" s="15" t="s">
        <v>138</v>
      </c>
      <c r="BU668" s="15" t="s">
        <v>174</v>
      </c>
      <c r="BV668" s="15" t="s">
        <v>138</v>
      </c>
      <c r="BW668" s="15" t="s">
        <v>138</v>
      </c>
      <c r="BX668" s="15" t="s">
        <v>138</v>
      </c>
      <c r="BY668" s="15" t="s">
        <v>175</v>
      </c>
      <c r="BZ668" s="22">
        <v>43326</v>
      </c>
      <c r="CA668" s="17">
        <v>45</v>
      </c>
      <c r="CB668" s="15" t="s">
        <v>172</v>
      </c>
      <c r="CC668" s="17">
        <v>215</v>
      </c>
      <c r="CD668" s="15" t="s">
        <v>172</v>
      </c>
      <c r="CE668" s="15" t="s">
        <v>173</v>
      </c>
      <c r="CF668" s="15" t="s">
        <v>317</v>
      </c>
      <c r="CG668" s="15" t="s">
        <v>138</v>
      </c>
      <c r="CH668" s="15" t="s">
        <v>174</v>
      </c>
      <c r="CI668" s="15" t="s">
        <v>138</v>
      </c>
      <c r="CJ668" s="15" t="s">
        <v>138</v>
      </c>
      <c r="CK668" s="15" t="s">
        <v>138</v>
      </c>
      <c r="CL668" s="15" t="s">
        <v>175</v>
      </c>
      <c r="CM668" s="22" t="s">
        <v>138</v>
      </c>
      <c r="CN668" s="17" t="s">
        <v>138</v>
      </c>
      <c r="CO668" s="23">
        <v>1.17</v>
      </c>
      <c r="CP668" s="24">
        <v>98</v>
      </c>
      <c r="CQ668" s="23">
        <v>0.01</v>
      </c>
      <c r="CR668" s="23">
        <v>0.77</v>
      </c>
      <c r="CS668" s="23">
        <v>2.41</v>
      </c>
      <c r="CT668" s="24">
        <v>99</v>
      </c>
      <c r="CU668" s="23">
        <v>-0.06</v>
      </c>
      <c r="CV668" s="24">
        <v>8</v>
      </c>
      <c r="CW668" s="23">
        <v>4.8099999999999996</v>
      </c>
      <c r="CX668" s="24">
        <v>95</v>
      </c>
      <c r="CY668" s="23">
        <v>0</v>
      </c>
      <c r="CZ668" s="24">
        <v>25</v>
      </c>
      <c r="DA668" s="23">
        <v>-0.06</v>
      </c>
      <c r="DB668" s="24">
        <v>11</v>
      </c>
      <c r="DC668" s="25">
        <v>8.23</v>
      </c>
      <c r="DD668" s="24">
        <v>88</v>
      </c>
      <c r="DE668" s="25">
        <v>-0.11</v>
      </c>
      <c r="DF668" s="23">
        <v>-1.31</v>
      </c>
      <c r="DG668" s="25">
        <v>2.93</v>
      </c>
      <c r="DH668" s="24">
        <v>74</v>
      </c>
      <c r="DI668" s="25">
        <v>13.53</v>
      </c>
      <c r="DJ668" s="24">
        <v>88</v>
      </c>
      <c r="DK668" s="25">
        <v>4.3099999999999996</v>
      </c>
      <c r="DL668" s="24">
        <v>77</v>
      </c>
      <c r="DM668" s="25">
        <v>1.55</v>
      </c>
      <c r="DN668" s="24">
        <v>60</v>
      </c>
      <c r="DO668" s="25">
        <v>13.53</v>
      </c>
      <c r="DP668" s="24">
        <v>90</v>
      </c>
      <c r="DQ668" s="24">
        <v>1445</v>
      </c>
      <c r="DR668" s="26">
        <v>103</v>
      </c>
      <c r="DS668" s="23">
        <v>7.68</v>
      </c>
      <c r="DT668" s="24">
        <v>45</v>
      </c>
      <c r="DU668" s="26">
        <v>0</v>
      </c>
      <c r="DV668" s="23">
        <v>0</v>
      </c>
      <c r="DW668" s="24">
        <v>4848</v>
      </c>
      <c r="DX668" s="27">
        <v>-2</v>
      </c>
      <c r="DY668" s="23">
        <v>-0.04</v>
      </c>
      <c r="DZ668" s="15" t="s">
        <v>178</v>
      </c>
      <c r="EA668" s="22">
        <v>43525</v>
      </c>
      <c r="EB668" s="17">
        <v>215</v>
      </c>
      <c r="EC668" s="22">
        <v>43326</v>
      </c>
      <c r="ED668" s="15" t="s">
        <v>173</v>
      </c>
      <c r="EE668" s="14" t="str">
        <f>HYPERLINK("https://my.pitchbook.com?c=58919-95", "View company online")</f>
        <v>View company online</v>
      </c>
    </row>
    <row r="669" spans="1:135">
      <c r="A669" s="28" t="s">
        <v>13423</v>
      </c>
      <c r="B669" s="28" t="s">
        <v>13424</v>
      </c>
      <c r="C669" s="28" t="s">
        <v>138</v>
      </c>
      <c r="D669" s="28" t="s">
        <v>138</v>
      </c>
      <c r="E669" s="28" t="s">
        <v>138</v>
      </c>
      <c r="F669" s="28" t="s">
        <v>13423</v>
      </c>
      <c r="G669" s="28" t="s">
        <v>13425</v>
      </c>
      <c r="H669" s="28" t="s">
        <v>183</v>
      </c>
      <c r="I669" s="28" t="s">
        <v>184</v>
      </c>
      <c r="J669" s="28" t="s">
        <v>10687</v>
      </c>
      <c r="K669" s="28" t="s">
        <v>13426</v>
      </c>
      <c r="L669" s="28" t="s">
        <v>138</v>
      </c>
      <c r="M669" s="28" t="s">
        <v>13427</v>
      </c>
      <c r="N669" s="28" t="s">
        <v>1452</v>
      </c>
      <c r="O669" s="29" t="s">
        <v>138</v>
      </c>
      <c r="P669" s="28" t="s">
        <v>148</v>
      </c>
      <c r="Q669" s="28" t="s">
        <v>149</v>
      </c>
      <c r="R669" s="28" t="s">
        <v>328</v>
      </c>
      <c r="S669" s="28" t="s">
        <v>13428</v>
      </c>
      <c r="T669" s="30" t="s">
        <v>138</v>
      </c>
      <c r="U669" s="28" t="s">
        <v>138</v>
      </c>
      <c r="V669" s="28" t="s">
        <v>138</v>
      </c>
      <c r="W669" s="28" t="s">
        <v>138</v>
      </c>
      <c r="X669" s="31">
        <v>2013</v>
      </c>
      <c r="Y669" s="28" t="s">
        <v>138</v>
      </c>
      <c r="Z669" s="28" t="s">
        <v>138</v>
      </c>
      <c r="AA669" s="28" t="s">
        <v>138</v>
      </c>
      <c r="AB669" s="32" t="s">
        <v>138</v>
      </c>
      <c r="AC669" s="32" t="s">
        <v>138</v>
      </c>
      <c r="AD669" s="32" t="s">
        <v>138</v>
      </c>
      <c r="AE669" s="32" t="s">
        <v>138</v>
      </c>
      <c r="AF669" s="32" t="s">
        <v>138</v>
      </c>
      <c r="AG669" s="28" t="s">
        <v>138</v>
      </c>
      <c r="AH669" s="32" t="s">
        <v>138</v>
      </c>
      <c r="AI669" s="32" t="s">
        <v>138</v>
      </c>
      <c r="AJ669" s="32" t="s">
        <v>138</v>
      </c>
      <c r="AK669" s="28" t="s">
        <v>13429</v>
      </c>
      <c r="AL669" s="28" t="s">
        <v>13430</v>
      </c>
      <c r="AM669" s="28" t="s">
        <v>13431</v>
      </c>
      <c r="AN669" s="28" t="s">
        <v>13432</v>
      </c>
      <c r="AO669" s="28" t="s">
        <v>13433</v>
      </c>
      <c r="AP669" s="28" t="s">
        <v>9682</v>
      </c>
      <c r="AQ669" s="28" t="s">
        <v>13434</v>
      </c>
      <c r="AR669" s="28" t="s">
        <v>138</v>
      </c>
      <c r="AS669" s="28" t="s">
        <v>9684</v>
      </c>
      <c r="AT669" s="28" t="s">
        <v>138</v>
      </c>
      <c r="AU669" s="28" t="s">
        <v>13435</v>
      </c>
      <c r="AV669" s="28" t="s">
        <v>9686</v>
      </c>
      <c r="AW669" s="28" t="s">
        <v>13436</v>
      </c>
      <c r="AX669" s="28" t="s">
        <v>138</v>
      </c>
      <c r="AY669" s="28" t="s">
        <v>138</v>
      </c>
      <c r="AZ669" s="28" t="s">
        <v>530</v>
      </c>
      <c r="BA669" s="28" t="s">
        <v>9687</v>
      </c>
      <c r="BB669" s="28" t="s">
        <v>13437</v>
      </c>
      <c r="BC669" s="28" t="s">
        <v>13438</v>
      </c>
      <c r="BD669" s="33">
        <v>3</v>
      </c>
      <c r="BE669" s="28" t="s">
        <v>138</v>
      </c>
      <c r="BF669" s="28" t="s">
        <v>138</v>
      </c>
      <c r="BG669" s="28" t="s">
        <v>138</v>
      </c>
      <c r="BH669" s="28" t="s">
        <v>13439</v>
      </c>
      <c r="BI669" s="28" t="s">
        <v>138</v>
      </c>
      <c r="BJ669" s="28" t="s">
        <v>138</v>
      </c>
      <c r="BK669" s="28" t="s">
        <v>138</v>
      </c>
      <c r="BL669" s="28" t="s">
        <v>138</v>
      </c>
      <c r="BM669" s="34" t="s">
        <v>138</v>
      </c>
      <c r="BN669" s="29" t="s">
        <v>138</v>
      </c>
      <c r="BO669" s="28" t="s">
        <v>138</v>
      </c>
      <c r="BP669" s="29" t="s">
        <v>138</v>
      </c>
      <c r="BQ669" s="28" t="s">
        <v>138</v>
      </c>
      <c r="BR669" s="28" t="s">
        <v>234</v>
      </c>
      <c r="BS669" s="28" t="s">
        <v>234</v>
      </c>
      <c r="BT669" s="28" t="s">
        <v>138</v>
      </c>
      <c r="BU669" s="28" t="s">
        <v>174</v>
      </c>
      <c r="BV669" s="28" t="s">
        <v>138</v>
      </c>
      <c r="BW669" s="28" t="s">
        <v>138</v>
      </c>
      <c r="BX669" s="28" t="s">
        <v>138</v>
      </c>
      <c r="BY669" s="28" t="s">
        <v>175</v>
      </c>
      <c r="BZ669" s="34">
        <v>42716</v>
      </c>
      <c r="CA669" s="29">
        <v>0.05</v>
      </c>
      <c r="CB669" s="28" t="s">
        <v>172</v>
      </c>
      <c r="CC669" s="29" t="s">
        <v>138</v>
      </c>
      <c r="CD669" s="28" t="s">
        <v>138</v>
      </c>
      <c r="CE669" s="28" t="s">
        <v>176</v>
      </c>
      <c r="CF669" s="28" t="s">
        <v>138</v>
      </c>
      <c r="CG669" s="28" t="s">
        <v>138</v>
      </c>
      <c r="CH669" s="28" t="s">
        <v>177</v>
      </c>
      <c r="CI669" s="28" t="s">
        <v>138</v>
      </c>
      <c r="CJ669" s="28" t="s">
        <v>138</v>
      </c>
      <c r="CK669" s="28" t="s">
        <v>138</v>
      </c>
      <c r="CL669" s="28" t="s">
        <v>175</v>
      </c>
      <c r="CM669" s="34" t="s">
        <v>138</v>
      </c>
      <c r="CN669" s="29" t="s">
        <v>138</v>
      </c>
      <c r="CO669" s="35">
        <v>0.13</v>
      </c>
      <c r="CP669" s="36">
        <v>91</v>
      </c>
      <c r="CQ669" s="35">
        <v>0</v>
      </c>
      <c r="CR669" s="35">
        <v>0</v>
      </c>
      <c r="CS669" s="35">
        <v>0</v>
      </c>
      <c r="CT669" s="36">
        <v>23</v>
      </c>
      <c r="CU669" s="35">
        <v>0.25</v>
      </c>
      <c r="CV669" s="36">
        <v>84</v>
      </c>
      <c r="CW669" s="35" t="s">
        <v>138</v>
      </c>
      <c r="CX669" s="36" t="s">
        <v>138</v>
      </c>
      <c r="CY669" s="35">
        <v>0</v>
      </c>
      <c r="CZ669" s="36">
        <v>25</v>
      </c>
      <c r="DA669" s="35" t="s">
        <v>138</v>
      </c>
      <c r="DB669" s="36" t="s">
        <v>138</v>
      </c>
      <c r="DC669" s="37">
        <v>0.37</v>
      </c>
      <c r="DD669" s="36">
        <v>27</v>
      </c>
      <c r="DE669" s="37">
        <v>0</v>
      </c>
      <c r="DF669" s="35">
        <v>-0.06</v>
      </c>
      <c r="DG669" s="37">
        <v>0.34</v>
      </c>
      <c r="DH669" s="36">
        <v>25</v>
      </c>
      <c r="DI669" s="37">
        <v>0.39</v>
      </c>
      <c r="DJ669" s="36">
        <v>32</v>
      </c>
      <c r="DK669" s="37" t="s">
        <v>138</v>
      </c>
      <c r="DL669" s="36" t="s">
        <v>138</v>
      </c>
      <c r="DM669" s="37">
        <v>0.34</v>
      </c>
      <c r="DN669" s="36">
        <v>26</v>
      </c>
      <c r="DO669" s="37" t="s">
        <v>138</v>
      </c>
      <c r="DP669" s="36" t="s">
        <v>138</v>
      </c>
      <c r="DQ669" s="36" t="s">
        <v>138</v>
      </c>
      <c r="DR669" s="38" t="s">
        <v>138</v>
      </c>
      <c r="DS669" s="35" t="s">
        <v>138</v>
      </c>
      <c r="DT669" s="36">
        <v>10</v>
      </c>
      <c r="DU669" s="38">
        <v>1</v>
      </c>
      <c r="DV669" s="35">
        <v>11.11</v>
      </c>
      <c r="DW669" s="36" t="s">
        <v>138</v>
      </c>
      <c r="DX669" s="39" t="s">
        <v>138</v>
      </c>
      <c r="DY669" s="35" t="s">
        <v>138</v>
      </c>
      <c r="DZ669" s="28" t="s">
        <v>178</v>
      </c>
      <c r="EA669" s="34">
        <v>43552</v>
      </c>
      <c r="EB669" s="29" t="s">
        <v>138</v>
      </c>
      <c r="EC669" s="34" t="s">
        <v>138</v>
      </c>
      <c r="ED669" s="28" t="s">
        <v>138</v>
      </c>
      <c r="EE669" s="40" t="str">
        <f>HYPERLINK("https://my.pitchbook.com?c=125433-37", "View company online")</f>
        <v>View company online</v>
      </c>
    </row>
    <row r="670" spans="1:135">
      <c r="A670" s="15" t="s">
        <v>13440</v>
      </c>
      <c r="B670" s="15" t="s">
        <v>13441</v>
      </c>
      <c r="C670" s="15" t="s">
        <v>138</v>
      </c>
      <c r="D670" s="15" t="s">
        <v>138</v>
      </c>
      <c r="E670" s="15" t="s">
        <v>138</v>
      </c>
      <c r="F670" s="15" t="s">
        <v>13440</v>
      </c>
      <c r="G670" s="15" t="s">
        <v>13442</v>
      </c>
      <c r="H670" s="15" t="s">
        <v>183</v>
      </c>
      <c r="I670" s="15" t="s">
        <v>184</v>
      </c>
      <c r="J670" s="15" t="s">
        <v>185</v>
      </c>
      <c r="K670" s="15" t="s">
        <v>13443</v>
      </c>
      <c r="L670" s="15" t="s">
        <v>4186</v>
      </c>
      <c r="M670" s="15" t="s">
        <v>13444</v>
      </c>
      <c r="N670" s="15" t="s">
        <v>147</v>
      </c>
      <c r="O670" s="17">
        <v>0.5</v>
      </c>
      <c r="P670" s="15" t="s">
        <v>610</v>
      </c>
      <c r="Q670" s="15" t="s">
        <v>149</v>
      </c>
      <c r="R670" s="15" t="s">
        <v>174</v>
      </c>
      <c r="S670" s="15" t="s">
        <v>13445</v>
      </c>
      <c r="T670" s="18" t="s">
        <v>138</v>
      </c>
      <c r="U670" s="15" t="s">
        <v>138</v>
      </c>
      <c r="V670" s="15" t="s">
        <v>138</v>
      </c>
      <c r="W670" s="15" t="s">
        <v>138</v>
      </c>
      <c r="X670" s="19">
        <v>2016</v>
      </c>
      <c r="Y670" s="15" t="s">
        <v>138</v>
      </c>
      <c r="Z670" s="15" t="s">
        <v>138</v>
      </c>
      <c r="AA670" s="15" t="s">
        <v>138</v>
      </c>
      <c r="AB670" s="20" t="s">
        <v>138</v>
      </c>
      <c r="AC670" s="20" t="s">
        <v>138</v>
      </c>
      <c r="AD670" s="20" t="s">
        <v>138</v>
      </c>
      <c r="AE670" s="20" t="s">
        <v>138</v>
      </c>
      <c r="AF670" s="20" t="s">
        <v>138</v>
      </c>
      <c r="AG670" s="15" t="s">
        <v>138</v>
      </c>
      <c r="AH670" s="20" t="s">
        <v>138</v>
      </c>
      <c r="AI670" s="20" t="s">
        <v>138</v>
      </c>
      <c r="AJ670" s="20" t="s">
        <v>138</v>
      </c>
      <c r="AK670" s="15" t="s">
        <v>13446</v>
      </c>
      <c r="AL670" s="15" t="s">
        <v>13447</v>
      </c>
      <c r="AM670" s="15" t="s">
        <v>304</v>
      </c>
      <c r="AN670" s="15" t="s">
        <v>13448</v>
      </c>
      <c r="AO670" s="15" t="s">
        <v>13449</v>
      </c>
      <c r="AP670" s="15" t="s">
        <v>13450</v>
      </c>
      <c r="AQ670" s="15" t="s">
        <v>13451</v>
      </c>
      <c r="AR670" s="15" t="s">
        <v>138</v>
      </c>
      <c r="AS670" s="15" t="s">
        <v>13452</v>
      </c>
      <c r="AT670" s="15" t="s">
        <v>200</v>
      </c>
      <c r="AU670" s="15" t="s">
        <v>13453</v>
      </c>
      <c r="AV670" s="15" t="s">
        <v>162</v>
      </c>
      <c r="AW670" s="15" t="s">
        <v>138</v>
      </c>
      <c r="AX670" s="15" t="s">
        <v>138</v>
      </c>
      <c r="AY670" s="15" t="s">
        <v>138</v>
      </c>
      <c r="AZ670" s="15" t="s">
        <v>164</v>
      </c>
      <c r="BA670" s="15" t="s">
        <v>165</v>
      </c>
      <c r="BB670" s="15" t="s">
        <v>13454</v>
      </c>
      <c r="BC670" s="15" t="s">
        <v>13455</v>
      </c>
      <c r="BD670" s="21">
        <v>5</v>
      </c>
      <c r="BE670" s="15" t="s">
        <v>138</v>
      </c>
      <c r="BF670" s="15" t="s">
        <v>138</v>
      </c>
      <c r="BG670" s="15" t="s">
        <v>138</v>
      </c>
      <c r="BH670" s="15" t="s">
        <v>13456</v>
      </c>
      <c r="BI670" s="15" t="s">
        <v>138</v>
      </c>
      <c r="BJ670" s="15" t="s">
        <v>138</v>
      </c>
      <c r="BK670" s="15" t="s">
        <v>138</v>
      </c>
      <c r="BL670" s="15" t="s">
        <v>138</v>
      </c>
      <c r="BM670" s="22">
        <v>42736</v>
      </c>
      <c r="BN670" s="17">
        <v>0.3</v>
      </c>
      <c r="BO670" s="15" t="s">
        <v>172</v>
      </c>
      <c r="BP670" s="17" t="s">
        <v>138</v>
      </c>
      <c r="BQ670" s="15" t="s">
        <v>138</v>
      </c>
      <c r="BR670" s="15" t="s">
        <v>176</v>
      </c>
      <c r="BS670" s="15" t="s">
        <v>138</v>
      </c>
      <c r="BT670" s="15" t="s">
        <v>138</v>
      </c>
      <c r="BU670" s="15" t="s">
        <v>177</v>
      </c>
      <c r="BV670" s="15" t="s">
        <v>138</v>
      </c>
      <c r="BW670" s="15" t="s">
        <v>138</v>
      </c>
      <c r="BX670" s="15" t="s">
        <v>138</v>
      </c>
      <c r="BY670" s="15" t="s">
        <v>175</v>
      </c>
      <c r="BZ670" s="22">
        <v>43399</v>
      </c>
      <c r="CA670" s="17">
        <v>0.5</v>
      </c>
      <c r="CB670" s="15" t="s">
        <v>1178</v>
      </c>
      <c r="CC670" s="17">
        <v>5</v>
      </c>
      <c r="CD670" s="15" t="s">
        <v>172</v>
      </c>
      <c r="CE670" s="15" t="s">
        <v>234</v>
      </c>
      <c r="CF670" s="15" t="s">
        <v>234</v>
      </c>
      <c r="CG670" s="15" t="s">
        <v>138</v>
      </c>
      <c r="CH670" s="15" t="s">
        <v>174</v>
      </c>
      <c r="CI670" s="15" t="s">
        <v>138</v>
      </c>
      <c r="CJ670" s="15" t="s">
        <v>138</v>
      </c>
      <c r="CK670" s="15" t="s">
        <v>138</v>
      </c>
      <c r="CL670" s="15" t="s">
        <v>175</v>
      </c>
      <c r="CM670" s="22" t="s">
        <v>138</v>
      </c>
      <c r="CN670" s="17" t="s">
        <v>138</v>
      </c>
      <c r="CO670" s="23">
        <v>0</v>
      </c>
      <c r="CP670" s="24">
        <v>26</v>
      </c>
      <c r="CQ670" s="23">
        <v>0</v>
      </c>
      <c r="CR670" s="23">
        <v>0</v>
      </c>
      <c r="CS670" s="23">
        <v>0</v>
      </c>
      <c r="CT670" s="24">
        <v>23</v>
      </c>
      <c r="CU670" s="23" t="s">
        <v>138</v>
      </c>
      <c r="CV670" s="24" t="s">
        <v>138</v>
      </c>
      <c r="CW670" s="23" t="s">
        <v>138</v>
      </c>
      <c r="CX670" s="24" t="s">
        <v>138</v>
      </c>
      <c r="CY670" s="23">
        <v>0</v>
      </c>
      <c r="CZ670" s="24">
        <v>25</v>
      </c>
      <c r="DA670" s="23" t="s">
        <v>138</v>
      </c>
      <c r="DB670" s="24" t="s">
        <v>138</v>
      </c>
      <c r="DC670" s="25">
        <v>0.28000000000000003</v>
      </c>
      <c r="DD670" s="24">
        <v>21</v>
      </c>
      <c r="DE670" s="25">
        <v>0</v>
      </c>
      <c r="DF670" s="23">
        <v>0</v>
      </c>
      <c r="DG670" s="25">
        <v>0.28000000000000003</v>
      </c>
      <c r="DH670" s="24">
        <v>21</v>
      </c>
      <c r="DI670" s="25" t="s">
        <v>138</v>
      </c>
      <c r="DJ670" s="24" t="s">
        <v>138</v>
      </c>
      <c r="DK670" s="25" t="s">
        <v>138</v>
      </c>
      <c r="DL670" s="24" t="s">
        <v>138</v>
      </c>
      <c r="DM670" s="25">
        <v>0.28000000000000003</v>
      </c>
      <c r="DN670" s="24">
        <v>21</v>
      </c>
      <c r="DO670" s="25" t="s">
        <v>138</v>
      </c>
      <c r="DP670" s="24" t="s">
        <v>138</v>
      </c>
      <c r="DQ670" s="24" t="s">
        <v>138</v>
      </c>
      <c r="DR670" s="26" t="s">
        <v>138</v>
      </c>
      <c r="DS670" s="23" t="s">
        <v>138</v>
      </c>
      <c r="DT670" s="24">
        <v>8</v>
      </c>
      <c r="DU670" s="26">
        <v>0</v>
      </c>
      <c r="DV670" s="23">
        <v>0</v>
      </c>
      <c r="DW670" s="24" t="s">
        <v>138</v>
      </c>
      <c r="DX670" s="27" t="s">
        <v>138</v>
      </c>
      <c r="DY670" s="23" t="s">
        <v>138</v>
      </c>
      <c r="DZ670" s="15" t="s">
        <v>178</v>
      </c>
      <c r="EA670" s="22">
        <v>43472</v>
      </c>
      <c r="EB670" s="17">
        <v>5</v>
      </c>
      <c r="EC670" s="22">
        <v>43399</v>
      </c>
      <c r="ED670" s="15" t="s">
        <v>234</v>
      </c>
      <c r="EE670" s="14" t="str">
        <f>HYPERLINK("https://my.pitchbook.com?c=229948-03", "View company online")</f>
        <v>View company online</v>
      </c>
    </row>
    <row r="671" spans="1:135">
      <c r="A671" s="28" t="s">
        <v>13457</v>
      </c>
      <c r="B671" s="28" t="s">
        <v>13458</v>
      </c>
      <c r="C671" s="28" t="s">
        <v>138</v>
      </c>
      <c r="D671" s="28" t="s">
        <v>138</v>
      </c>
      <c r="E671" s="28" t="s">
        <v>13459</v>
      </c>
      <c r="F671" s="28" t="s">
        <v>13457</v>
      </c>
      <c r="G671" s="28" t="s">
        <v>13460</v>
      </c>
      <c r="H671" s="28" t="s">
        <v>322</v>
      </c>
      <c r="I671" s="28" t="s">
        <v>323</v>
      </c>
      <c r="J671" s="28" t="s">
        <v>461</v>
      </c>
      <c r="K671" s="28" t="s">
        <v>462</v>
      </c>
      <c r="L671" s="28" t="s">
        <v>13461</v>
      </c>
      <c r="M671" s="28" t="s">
        <v>13462</v>
      </c>
      <c r="N671" s="28" t="s">
        <v>147</v>
      </c>
      <c r="O671" s="29">
        <v>21.53</v>
      </c>
      <c r="P671" s="28" t="s">
        <v>148</v>
      </c>
      <c r="Q671" s="28" t="s">
        <v>149</v>
      </c>
      <c r="R671" s="28" t="s">
        <v>174</v>
      </c>
      <c r="S671" s="28" t="s">
        <v>13463</v>
      </c>
      <c r="T671" s="30" t="s">
        <v>138</v>
      </c>
      <c r="U671" s="28" t="s">
        <v>138</v>
      </c>
      <c r="V671" s="28" t="s">
        <v>138</v>
      </c>
      <c r="W671" s="28" t="s">
        <v>138</v>
      </c>
      <c r="X671" s="31">
        <v>2014</v>
      </c>
      <c r="Y671" s="28" t="s">
        <v>138</v>
      </c>
      <c r="Z671" s="28" t="s">
        <v>138</v>
      </c>
      <c r="AA671" s="28" t="s">
        <v>138</v>
      </c>
      <c r="AB671" s="32" t="s">
        <v>138</v>
      </c>
      <c r="AC671" s="32" t="s">
        <v>138</v>
      </c>
      <c r="AD671" s="32" t="s">
        <v>138</v>
      </c>
      <c r="AE671" s="32" t="s">
        <v>138</v>
      </c>
      <c r="AF671" s="32" t="s">
        <v>138</v>
      </c>
      <c r="AG671" s="28" t="s">
        <v>138</v>
      </c>
      <c r="AH671" s="32" t="s">
        <v>138</v>
      </c>
      <c r="AI671" s="32" t="s">
        <v>138</v>
      </c>
      <c r="AJ671" s="32" t="s">
        <v>138</v>
      </c>
      <c r="AK671" s="28" t="s">
        <v>13464</v>
      </c>
      <c r="AL671" s="28" t="s">
        <v>13465</v>
      </c>
      <c r="AM671" s="28" t="s">
        <v>221</v>
      </c>
      <c r="AN671" s="28" t="s">
        <v>13466</v>
      </c>
      <c r="AO671" s="28" t="s">
        <v>13467</v>
      </c>
      <c r="AP671" s="28" t="s">
        <v>820</v>
      </c>
      <c r="AQ671" s="28" t="s">
        <v>13468</v>
      </c>
      <c r="AR671" s="28" t="s">
        <v>138</v>
      </c>
      <c r="AS671" s="28" t="s">
        <v>823</v>
      </c>
      <c r="AT671" s="28" t="s">
        <v>824</v>
      </c>
      <c r="AU671" s="28" t="s">
        <v>13469</v>
      </c>
      <c r="AV671" s="28" t="s">
        <v>526</v>
      </c>
      <c r="AW671" s="28" t="s">
        <v>13467</v>
      </c>
      <c r="AX671" s="28" t="s">
        <v>138</v>
      </c>
      <c r="AY671" s="28" t="s">
        <v>13470</v>
      </c>
      <c r="AZ671" s="28" t="s">
        <v>530</v>
      </c>
      <c r="BA671" s="28" t="s">
        <v>531</v>
      </c>
      <c r="BB671" s="28" t="s">
        <v>13471</v>
      </c>
      <c r="BC671" s="28" t="s">
        <v>13472</v>
      </c>
      <c r="BD671" s="33">
        <v>15</v>
      </c>
      <c r="BE671" s="28" t="s">
        <v>138</v>
      </c>
      <c r="BF671" s="28" t="s">
        <v>138</v>
      </c>
      <c r="BG671" s="28" t="s">
        <v>138</v>
      </c>
      <c r="BH671" s="28" t="s">
        <v>13473</v>
      </c>
      <c r="BI671" s="28" t="s">
        <v>138</v>
      </c>
      <c r="BJ671" s="28" t="s">
        <v>138</v>
      </c>
      <c r="BK671" s="28" t="s">
        <v>138</v>
      </c>
      <c r="BL671" s="28" t="s">
        <v>13474</v>
      </c>
      <c r="BM671" s="34">
        <v>42199</v>
      </c>
      <c r="BN671" s="29">
        <v>1.06</v>
      </c>
      <c r="BO671" s="28" t="s">
        <v>172</v>
      </c>
      <c r="BP671" s="29">
        <v>4.17</v>
      </c>
      <c r="BQ671" s="28" t="s">
        <v>172</v>
      </c>
      <c r="BR671" s="28" t="s">
        <v>234</v>
      </c>
      <c r="BS671" s="28" t="s">
        <v>234</v>
      </c>
      <c r="BT671" s="28" t="s">
        <v>138</v>
      </c>
      <c r="BU671" s="28" t="s">
        <v>174</v>
      </c>
      <c r="BV671" s="28" t="s">
        <v>138</v>
      </c>
      <c r="BW671" s="28" t="s">
        <v>138</v>
      </c>
      <c r="BX671" s="28" t="s">
        <v>138</v>
      </c>
      <c r="BY671" s="28" t="s">
        <v>175</v>
      </c>
      <c r="BZ671" s="34">
        <v>43444</v>
      </c>
      <c r="CA671" s="29" t="s">
        <v>138</v>
      </c>
      <c r="CB671" s="28" t="s">
        <v>138</v>
      </c>
      <c r="CC671" s="29" t="s">
        <v>138</v>
      </c>
      <c r="CD671" s="28" t="s">
        <v>138</v>
      </c>
      <c r="CE671" s="28" t="s">
        <v>205</v>
      </c>
      <c r="CF671" s="28" t="s">
        <v>138</v>
      </c>
      <c r="CG671" s="28" t="s">
        <v>138</v>
      </c>
      <c r="CH671" s="28" t="s">
        <v>174</v>
      </c>
      <c r="CI671" s="28" t="s">
        <v>138</v>
      </c>
      <c r="CJ671" s="28" t="s">
        <v>138</v>
      </c>
      <c r="CK671" s="28" t="s">
        <v>138</v>
      </c>
      <c r="CL671" s="28" t="s">
        <v>175</v>
      </c>
      <c r="CM671" s="34" t="s">
        <v>138</v>
      </c>
      <c r="CN671" s="29" t="s">
        <v>138</v>
      </c>
      <c r="CO671" s="35">
        <v>0.8</v>
      </c>
      <c r="CP671" s="36">
        <v>96</v>
      </c>
      <c r="CQ671" s="35">
        <v>0.16</v>
      </c>
      <c r="CR671" s="35">
        <v>24.8</v>
      </c>
      <c r="CS671" s="35">
        <v>-0.14000000000000001</v>
      </c>
      <c r="CT671" s="36">
        <v>22</v>
      </c>
      <c r="CU671" s="35">
        <v>1.74</v>
      </c>
      <c r="CV671" s="36">
        <v>99</v>
      </c>
      <c r="CW671" s="35" t="s">
        <v>138</v>
      </c>
      <c r="CX671" s="36" t="s">
        <v>138</v>
      </c>
      <c r="CY671" s="35">
        <v>-0.14000000000000001</v>
      </c>
      <c r="CZ671" s="36">
        <v>24</v>
      </c>
      <c r="DA671" s="35">
        <v>1.74</v>
      </c>
      <c r="DB671" s="36">
        <v>99</v>
      </c>
      <c r="DC671" s="37">
        <v>5.2</v>
      </c>
      <c r="DD671" s="36">
        <v>83</v>
      </c>
      <c r="DE671" s="37">
        <v>0.05</v>
      </c>
      <c r="DF671" s="35">
        <v>0.89</v>
      </c>
      <c r="DG671" s="37">
        <v>8.3800000000000008</v>
      </c>
      <c r="DH671" s="36">
        <v>88</v>
      </c>
      <c r="DI671" s="37">
        <v>2.02</v>
      </c>
      <c r="DJ671" s="36">
        <v>63</v>
      </c>
      <c r="DK671" s="37" t="s">
        <v>138</v>
      </c>
      <c r="DL671" s="36" t="s">
        <v>138</v>
      </c>
      <c r="DM671" s="37">
        <v>8.3800000000000008</v>
      </c>
      <c r="DN671" s="36">
        <v>87</v>
      </c>
      <c r="DO671" s="37">
        <v>2.02</v>
      </c>
      <c r="DP671" s="36">
        <v>64</v>
      </c>
      <c r="DQ671" s="36" t="s">
        <v>138</v>
      </c>
      <c r="DR671" s="38" t="s">
        <v>138</v>
      </c>
      <c r="DS671" s="35" t="s">
        <v>138</v>
      </c>
      <c r="DT671" s="36">
        <v>242</v>
      </c>
      <c r="DU671" s="38">
        <v>3</v>
      </c>
      <c r="DV671" s="35">
        <v>1.26</v>
      </c>
      <c r="DW671" s="36">
        <v>722</v>
      </c>
      <c r="DX671" s="39">
        <v>32</v>
      </c>
      <c r="DY671" s="35">
        <v>4.6399999999999997</v>
      </c>
      <c r="DZ671" s="28" t="s">
        <v>178</v>
      </c>
      <c r="EA671" s="34">
        <v>43622</v>
      </c>
      <c r="EB671" s="29">
        <v>46.94</v>
      </c>
      <c r="EC671" s="34">
        <v>42951</v>
      </c>
      <c r="ED671" s="28" t="s">
        <v>205</v>
      </c>
      <c r="EE671" s="40" t="str">
        <f>HYPERLINK("https://my.pitchbook.com?c=113075-29", "View company online")</f>
        <v>View company online</v>
      </c>
    </row>
    <row r="672" spans="1:135">
      <c r="A672" s="15" t="s">
        <v>13475</v>
      </c>
      <c r="B672" s="15" t="s">
        <v>13476</v>
      </c>
      <c r="C672" s="15" t="s">
        <v>138</v>
      </c>
      <c r="D672" s="15" t="s">
        <v>138</v>
      </c>
      <c r="E672" s="15" t="s">
        <v>13477</v>
      </c>
      <c r="F672" s="15" t="s">
        <v>13475</v>
      </c>
      <c r="G672" s="15" t="s">
        <v>13478</v>
      </c>
      <c r="H672" s="15" t="s">
        <v>322</v>
      </c>
      <c r="I672" s="15" t="s">
        <v>323</v>
      </c>
      <c r="J672" s="15" t="s">
        <v>413</v>
      </c>
      <c r="K672" s="15" t="s">
        <v>4414</v>
      </c>
      <c r="L672" s="15" t="s">
        <v>4640</v>
      </c>
      <c r="M672" s="15" t="s">
        <v>13479</v>
      </c>
      <c r="N672" s="15" t="s">
        <v>147</v>
      </c>
      <c r="O672" s="17">
        <v>24</v>
      </c>
      <c r="P672" s="15" t="s">
        <v>148</v>
      </c>
      <c r="Q672" s="15" t="s">
        <v>149</v>
      </c>
      <c r="R672" s="15" t="s">
        <v>174</v>
      </c>
      <c r="S672" s="15" t="s">
        <v>13480</v>
      </c>
      <c r="T672" s="18">
        <v>61</v>
      </c>
      <c r="U672" s="15" t="s">
        <v>13481</v>
      </c>
      <c r="V672" s="15" t="s">
        <v>138</v>
      </c>
      <c r="W672" s="15" t="s">
        <v>138</v>
      </c>
      <c r="X672" s="19">
        <v>2011</v>
      </c>
      <c r="Y672" s="15" t="s">
        <v>138</v>
      </c>
      <c r="Z672" s="15" t="s">
        <v>138</v>
      </c>
      <c r="AA672" s="15" t="s">
        <v>138</v>
      </c>
      <c r="AB672" s="20" t="s">
        <v>138</v>
      </c>
      <c r="AC672" s="20" t="s">
        <v>138</v>
      </c>
      <c r="AD672" s="20" t="s">
        <v>138</v>
      </c>
      <c r="AE672" s="20" t="s">
        <v>138</v>
      </c>
      <c r="AF672" s="20" t="s">
        <v>138</v>
      </c>
      <c r="AG672" s="15" t="s">
        <v>138</v>
      </c>
      <c r="AH672" s="20" t="s">
        <v>138</v>
      </c>
      <c r="AI672" s="20" t="s">
        <v>138</v>
      </c>
      <c r="AJ672" s="20" t="s">
        <v>138</v>
      </c>
      <c r="AK672" s="15" t="s">
        <v>13482</v>
      </c>
      <c r="AL672" s="15" t="s">
        <v>13483</v>
      </c>
      <c r="AM672" s="15" t="s">
        <v>221</v>
      </c>
      <c r="AN672" s="15" t="s">
        <v>13484</v>
      </c>
      <c r="AO672" s="15" t="s">
        <v>13485</v>
      </c>
      <c r="AP672" s="15" t="s">
        <v>665</v>
      </c>
      <c r="AQ672" s="15" t="s">
        <v>13486</v>
      </c>
      <c r="AR672" s="15" t="s">
        <v>1073</v>
      </c>
      <c r="AS672" s="15" t="s">
        <v>668</v>
      </c>
      <c r="AT672" s="15" t="s">
        <v>200</v>
      </c>
      <c r="AU672" s="15" t="s">
        <v>691</v>
      </c>
      <c r="AV672" s="15" t="s">
        <v>162</v>
      </c>
      <c r="AW672" s="15" t="s">
        <v>13485</v>
      </c>
      <c r="AX672" s="15" t="s">
        <v>138</v>
      </c>
      <c r="AY672" s="15" t="s">
        <v>13487</v>
      </c>
      <c r="AZ672" s="15" t="s">
        <v>164</v>
      </c>
      <c r="BA672" s="15" t="s">
        <v>165</v>
      </c>
      <c r="BB672" s="15" t="s">
        <v>13488</v>
      </c>
      <c r="BC672" s="15" t="s">
        <v>13489</v>
      </c>
      <c r="BD672" s="21">
        <v>28</v>
      </c>
      <c r="BE672" s="15" t="s">
        <v>138</v>
      </c>
      <c r="BF672" s="15" t="s">
        <v>138</v>
      </c>
      <c r="BG672" s="15" t="s">
        <v>138</v>
      </c>
      <c r="BH672" s="15" t="s">
        <v>13490</v>
      </c>
      <c r="BI672" s="15" t="s">
        <v>138</v>
      </c>
      <c r="BJ672" s="15" t="s">
        <v>138</v>
      </c>
      <c r="BK672" s="15" t="s">
        <v>13491</v>
      </c>
      <c r="BL672" s="15" t="s">
        <v>13492</v>
      </c>
      <c r="BM672" s="22">
        <v>40799</v>
      </c>
      <c r="BN672" s="17">
        <v>1.5</v>
      </c>
      <c r="BO672" s="15" t="s">
        <v>172</v>
      </c>
      <c r="BP672" s="17" t="s">
        <v>138</v>
      </c>
      <c r="BQ672" s="15" t="s">
        <v>138</v>
      </c>
      <c r="BR672" s="15" t="s">
        <v>234</v>
      </c>
      <c r="BS672" s="15" t="s">
        <v>234</v>
      </c>
      <c r="BT672" s="15" t="s">
        <v>138</v>
      </c>
      <c r="BU672" s="15" t="s">
        <v>174</v>
      </c>
      <c r="BV672" s="15" t="s">
        <v>138</v>
      </c>
      <c r="BW672" s="15" t="s">
        <v>138</v>
      </c>
      <c r="BX672" s="15" t="s">
        <v>138</v>
      </c>
      <c r="BY672" s="15" t="s">
        <v>175</v>
      </c>
      <c r="BZ672" s="22">
        <v>41570</v>
      </c>
      <c r="CA672" s="17">
        <v>15</v>
      </c>
      <c r="CB672" s="15" t="s">
        <v>172</v>
      </c>
      <c r="CC672" s="17">
        <v>68.790000000000006</v>
      </c>
      <c r="CD672" s="15" t="s">
        <v>172</v>
      </c>
      <c r="CE672" s="15" t="s">
        <v>205</v>
      </c>
      <c r="CF672" s="15" t="s">
        <v>720</v>
      </c>
      <c r="CG672" s="15" t="s">
        <v>138</v>
      </c>
      <c r="CH672" s="15" t="s">
        <v>174</v>
      </c>
      <c r="CI672" s="15" t="s">
        <v>138</v>
      </c>
      <c r="CJ672" s="15" t="s">
        <v>138</v>
      </c>
      <c r="CK672" s="15" t="s">
        <v>138</v>
      </c>
      <c r="CL672" s="15" t="s">
        <v>175</v>
      </c>
      <c r="CM672" s="22" t="s">
        <v>138</v>
      </c>
      <c r="CN672" s="17" t="s">
        <v>138</v>
      </c>
      <c r="CO672" s="23">
        <v>0.28000000000000003</v>
      </c>
      <c r="CP672" s="24">
        <v>93</v>
      </c>
      <c r="CQ672" s="23">
        <v>0</v>
      </c>
      <c r="CR672" s="23">
        <v>0</v>
      </c>
      <c r="CS672" s="23">
        <v>0.55000000000000004</v>
      </c>
      <c r="CT672" s="24">
        <v>96</v>
      </c>
      <c r="CU672" s="23">
        <v>0</v>
      </c>
      <c r="CV672" s="24">
        <v>22</v>
      </c>
      <c r="CW672" s="23">
        <v>1.1100000000000001</v>
      </c>
      <c r="CX672" s="24">
        <v>85</v>
      </c>
      <c r="CY672" s="23">
        <v>0</v>
      </c>
      <c r="CZ672" s="24">
        <v>25</v>
      </c>
      <c r="DA672" s="23">
        <v>0</v>
      </c>
      <c r="DB672" s="24">
        <v>22</v>
      </c>
      <c r="DC672" s="25">
        <v>1.44</v>
      </c>
      <c r="DD672" s="24">
        <v>60</v>
      </c>
      <c r="DE672" s="25">
        <v>-0.1</v>
      </c>
      <c r="DF672" s="23">
        <v>-6.49</v>
      </c>
      <c r="DG672" s="25">
        <v>2.64</v>
      </c>
      <c r="DH672" s="24">
        <v>72</v>
      </c>
      <c r="DI672" s="25">
        <v>0.24</v>
      </c>
      <c r="DJ672" s="24">
        <v>25</v>
      </c>
      <c r="DK672" s="25">
        <v>3.14</v>
      </c>
      <c r="DL672" s="24">
        <v>72</v>
      </c>
      <c r="DM672" s="25">
        <v>2.14</v>
      </c>
      <c r="DN672" s="24">
        <v>67</v>
      </c>
      <c r="DO672" s="25">
        <v>0.24</v>
      </c>
      <c r="DP672" s="24">
        <v>27</v>
      </c>
      <c r="DQ672" s="24">
        <v>1084</v>
      </c>
      <c r="DR672" s="26">
        <v>-23</v>
      </c>
      <c r="DS672" s="23">
        <v>-2.08</v>
      </c>
      <c r="DT672" s="24">
        <v>62</v>
      </c>
      <c r="DU672" s="26">
        <v>0</v>
      </c>
      <c r="DV672" s="23">
        <v>0</v>
      </c>
      <c r="DW672" s="24">
        <v>86</v>
      </c>
      <c r="DX672" s="27">
        <v>0</v>
      </c>
      <c r="DY672" s="23">
        <v>0</v>
      </c>
      <c r="DZ672" s="15" t="s">
        <v>178</v>
      </c>
      <c r="EA672" s="22">
        <v>43511</v>
      </c>
      <c r="EB672" s="17">
        <v>68.790000000000006</v>
      </c>
      <c r="EC672" s="22">
        <v>41570</v>
      </c>
      <c r="ED672" s="15" t="s">
        <v>205</v>
      </c>
      <c r="EE672" s="14" t="str">
        <f>HYPERLINK("https://my.pitchbook.com?c=52798-60", "View company online")</f>
        <v>View company online</v>
      </c>
    </row>
    <row r="673" spans="1:135">
      <c r="A673" s="28" t="s">
        <v>13493</v>
      </c>
      <c r="B673" s="28" t="s">
        <v>13494</v>
      </c>
      <c r="C673" s="28" t="s">
        <v>13495</v>
      </c>
      <c r="D673" s="28" t="s">
        <v>13496</v>
      </c>
      <c r="E673" s="28" t="s">
        <v>13497</v>
      </c>
      <c r="F673" s="28" t="s">
        <v>13493</v>
      </c>
      <c r="G673" s="28" t="s">
        <v>13498</v>
      </c>
      <c r="H673" s="28" t="s">
        <v>141</v>
      </c>
      <c r="I673" s="28" t="s">
        <v>142</v>
      </c>
      <c r="J673" s="28" t="s">
        <v>4042</v>
      </c>
      <c r="K673" s="28" t="s">
        <v>13499</v>
      </c>
      <c r="L673" s="28" t="s">
        <v>1949</v>
      </c>
      <c r="M673" s="28" t="s">
        <v>13500</v>
      </c>
      <c r="N673" s="28" t="s">
        <v>147</v>
      </c>
      <c r="O673" s="29">
        <v>40</v>
      </c>
      <c r="P673" s="28" t="s">
        <v>148</v>
      </c>
      <c r="Q673" s="28" t="s">
        <v>149</v>
      </c>
      <c r="R673" s="28" t="s">
        <v>174</v>
      </c>
      <c r="S673" s="28" t="s">
        <v>13501</v>
      </c>
      <c r="T673" s="30">
        <v>36</v>
      </c>
      <c r="U673" s="28" t="s">
        <v>13502</v>
      </c>
      <c r="V673" s="28" t="s">
        <v>138</v>
      </c>
      <c r="W673" s="28" t="s">
        <v>138</v>
      </c>
      <c r="X673" s="31">
        <v>2016</v>
      </c>
      <c r="Y673" s="28" t="s">
        <v>138</v>
      </c>
      <c r="Z673" s="28" t="s">
        <v>138</v>
      </c>
      <c r="AA673" s="28" t="s">
        <v>138</v>
      </c>
      <c r="AB673" s="32" t="s">
        <v>138</v>
      </c>
      <c r="AC673" s="32" t="s">
        <v>138</v>
      </c>
      <c r="AD673" s="32" t="s">
        <v>138</v>
      </c>
      <c r="AE673" s="32" t="s">
        <v>138</v>
      </c>
      <c r="AF673" s="32" t="s">
        <v>138</v>
      </c>
      <c r="AG673" s="28" t="s">
        <v>138</v>
      </c>
      <c r="AH673" s="32" t="s">
        <v>138</v>
      </c>
      <c r="AI673" s="32" t="s">
        <v>138</v>
      </c>
      <c r="AJ673" s="32" t="s">
        <v>138</v>
      </c>
      <c r="AK673" s="28" t="s">
        <v>13503</v>
      </c>
      <c r="AL673" s="28" t="s">
        <v>13504</v>
      </c>
      <c r="AM673" s="28" t="s">
        <v>8182</v>
      </c>
      <c r="AN673" s="28" t="s">
        <v>13505</v>
      </c>
      <c r="AO673" s="28" t="s">
        <v>13506</v>
      </c>
      <c r="AP673" s="28" t="s">
        <v>13507</v>
      </c>
      <c r="AQ673" s="28" t="s">
        <v>13508</v>
      </c>
      <c r="AR673" s="28" t="s">
        <v>13509</v>
      </c>
      <c r="AS673" s="28" t="s">
        <v>13510</v>
      </c>
      <c r="AT673" s="28" t="s">
        <v>6898</v>
      </c>
      <c r="AU673" s="28" t="s">
        <v>13511</v>
      </c>
      <c r="AV673" s="28" t="s">
        <v>162</v>
      </c>
      <c r="AW673" s="28" t="s">
        <v>13506</v>
      </c>
      <c r="AX673" s="28" t="s">
        <v>138</v>
      </c>
      <c r="AY673" s="28" t="s">
        <v>138</v>
      </c>
      <c r="AZ673" s="28" t="s">
        <v>164</v>
      </c>
      <c r="BA673" s="28" t="s">
        <v>165</v>
      </c>
      <c r="BB673" s="28" t="s">
        <v>13512</v>
      </c>
      <c r="BC673" s="28" t="s">
        <v>13513</v>
      </c>
      <c r="BD673" s="33">
        <v>2</v>
      </c>
      <c r="BE673" s="28" t="s">
        <v>138</v>
      </c>
      <c r="BF673" s="28" t="s">
        <v>138</v>
      </c>
      <c r="BG673" s="28" t="s">
        <v>138</v>
      </c>
      <c r="BH673" s="28" t="s">
        <v>13514</v>
      </c>
      <c r="BI673" s="28" t="s">
        <v>138</v>
      </c>
      <c r="BJ673" s="28" t="s">
        <v>138</v>
      </c>
      <c r="BK673" s="28" t="s">
        <v>13515</v>
      </c>
      <c r="BL673" s="28" t="s">
        <v>927</v>
      </c>
      <c r="BM673" s="34">
        <v>42611</v>
      </c>
      <c r="BN673" s="29">
        <v>40</v>
      </c>
      <c r="BO673" s="28" t="s">
        <v>1178</v>
      </c>
      <c r="BP673" s="29">
        <v>117.65</v>
      </c>
      <c r="BQ673" s="28" t="s">
        <v>172</v>
      </c>
      <c r="BR673" s="28" t="s">
        <v>205</v>
      </c>
      <c r="BS673" s="28" t="s">
        <v>206</v>
      </c>
      <c r="BT673" s="28" t="s">
        <v>138</v>
      </c>
      <c r="BU673" s="28" t="s">
        <v>174</v>
      </c>
      <c r="BV673" s="28" t="s">
        <v>138</v>
      </c>
      <c r="BW673" s="28" t="s">
        <v>138</v>
      </c>
      <c r="BX673" s="28" t="s">
        <v>138</v>
      </c>
      <c r="BY673" s="28" t="s">
        <v>175</v>
      </c>
      <c r="BZ673" s="34">
        <v>42611</v>
      </c>
      <c r="CA673" s="29">
        <v>40</v>
      </c>
      <c r="CB673" s="28" t="s">
        <v>1178</v>
      </c>
      <c r="CC673" s="29">
        <v>117.65</v>
      </c>
      <c r="CD673" s="28" t="s">
        <v>172</v>
      </c>
      <c r="CE673" s="28" t="s">
        <v>205</v>
      </c>
      <c r="CF673" s="28" t="s">
        <v>206</v>
      </c>
      <c r="CG673" s="28" t="s">
        <v>138</v>
      </c>
      <c r="CH673" s="28" t="s">
        <v>174</v>
      </c>
      <c r="CI673" s="28" t="s">
        <v>138</v>
      </c>
      <c r="CJ673" s="28" t="s">
        <v>138</v>
      </c>
      <c r="CK673" s="28" t="s">
        <v>138</v>
      </c>
      <c r="CL673" s="28" t="s">
        <v>175</v>
      </c>
      <c r="CM673" s="34" t="s">
        <v>138</v>
      </c>
      <c r="CN673" s="29" t="s">
        <v>138</v>
      </c>
      <c r="CO673" s="35">
        <v>-1.18</v>
      </c>
      <c r="CP673" s="36">
        <v>10</v>
      </c>
      <c r="CQ673" s="35">
        <v>-0.03</v>
      </c>
      <c r="CR673" s="35">
        <v>-2.79</v>
      </c>
      <c r="CS673" s="35">
        <v>-2.5499999999999998</v>
      </c>
      <c r="CT673" s="36">
        <v>7</v>
      </c>
      <c r="CU673" s="35">
        <v>0.19</v>
      </c>
      <c r="CV673" s="36">
        <v>79</v>
      </c>
      <c r="CW673" s="35" t="s">
        <v>138</v>
      </c>
      <c r="CX673" s="36" t="s">
        <v>138</v>
      </c>
      <c r="CY673" s="35">
        <v>-2.5499999999999998</v>
      </c>
      <c r="CZ673" s="36">
        <v>8</v>
      </c>
      <c r="DA673" s="35">
        <v>0.19</v>
      </c>
      <c r="DB673" s="36">
        <v>82</v>
      </c>
      <c r="DC673" s="37">
        <v>2.1800000000000002</v>
      </c>
      <c r="DD673" s="36">
        <v>69</v>
      </c>
      <c r="DE673" s="37">
        <v>0.01</v>
      </c>
      <c r="DF673" s="35">
        <v>0.27</v>
      </c>
      <c r="DG673" s="37">
        <v>3.24</v>
      </c>
      <c r="DH673" s="36">
        <v>76</v>
      </c>
      <c r="DI673" s="37">
        <v>1.1200000000000001</v>
      </c>
      <c r="DJ673" s="36">
        <v>51</v>
      </c>
      <c r="DK673" s="37" t="s">
        <v>138</v>
      </c>
      <c r="DL673" s="36" t="s">
        <v>138</v>
      </c>
      <c r="DM673" s="37">
        <v>3.24</v>
      </c>
      <c r="DN673" s="36">
        <v>75</v>
      </c>
      <c r="DO673" s="37">
        <v>1.1200000000000001</v>
      </c>
      <c r="DP673" s="36">
        <v>53</v>
      </c>
      <c r="DQ673" s="36">
        <v>130</v>
      </c>
      <c r="DR673" s="38">
        <v>-9</v>
      </c>
      <c r="DS673" s="35">
        <v>-6.47</v>
      </c>
      <c r="DT673" s="36">
        <v>94</v>
      </c>
      <c r="DU673" s="38">
        <v>0</v>
      </c>
      <c r="DV673" s="35">
        <v>0</v>
      </c>
      <c r="DW673" s="36">
        <v>399</v>
      </c>
      <c r="DX673" s="39">
        <v>0</v>
      </c>
      <c r="DY673" s="35">
        <v>0</v>
      </c>
      <c r="DZ673" s="28" t="s">
        <v>178</v>
      </c>
      <c r="EA673" s="34">
        <v>43351</v>
      </c>
      <c r="EB673" s="29">
        <v>117.65</v>
      </c>
      <c r="EC673" s="34">
        <v>42611</v>
      </c>
      <c r="ED673" s="28" t="s">
        <v>205</v>
      </c>
      <c r="EE673" s="40" t="str">
        <f>HYPERLINK("https://my.pitchbook.com?c=166367-53", "View company online")</f>
        <v>View company online</v>
      </c>
    </row>
    <row r="674" spans="1:135">
      <c r="A674" s="15" t="s">
        <v>13516</v>
      </c>
      <c r="B674" s="15" t="s">
        <v>13517</v>
      </c>
      <c r="C674" s="15" t="s">
        <v>138</v>
      </c>
      <c r="D674" s="15" t="s">
        <v>13518</v>
      </c>
      <c r="E674" s="15" t="s">
        <v>138</v>
      </c>
      <c r="F674" s="15" t="s">
        <v>13516</v>
      </c>
      <c r="G674" s="15" t="s">
        <v>13519</v>
      </c>
      <c r="H674" s="15" t="s">
        <v>238</v>
      </c>
      <c r="I674" s="15" t="s">
        <v>749</v>
      </c>
      <c r="J674" s="15" t="s">
        <v>750</v>
      </c>
      <c r="K674" s="15" t="s">
        <v>751</v>
      </c>
      <c r="L674" s="15" t="s">
        <v>138</v>
      </c>
      <c r="M674" s="15" t="s">
        <v>13520</v>
      </c>
      <c r="N674" s="15" t="s">
        <v>542</v>
      </c>
      <c r="O674" s="17">
        <v>13.69</v>
      </c>
      <c r="P674" s="15" t="s">
        <v>610</v>
      </c>
      <c r="Q674" s="15" t="s">
        <v>149</v>
      </c>
      <c r="R674" s="15" t="s">
        <v>174</v>
      </c>
      <c r="S674" s="15" t="s">
        <v>13521</v>
      </c>
      <c r="T674" s="18">
        <v>11</v>
      </c>
      <c r="U674" s="15" t="s">
        <v>1356</v>
      </c>
      <c r="V674" s="15" t="s">
        <v>138</v>
      </c>
      <c r="W674" s="15" t="s">
        <v>138</v>
      </c>
      <c r="X674" s="19">
        <v>2011</v>
      </c>
      <c r="Y674" s="15" t="s">
        <v>138</v>
      </c>
      <c r="Z674" s="15" t="s">
        <v>138</v>
      </c>
      <c r="AA674" s="15" t="s">
        <v>138</v>
      </c>
      <c r="AB674" s="20" t="s">
        <v>138</v>
      </c>
      <c r="AC674" s="20" t="s">
        <v>138</v>
      </c>
      <c r="AD674" s="20" t="s">
        <v>138</v>
      </c>
      <c r="AE674" s="20" t="s">
        <v>138</v>
      </c>
      <c r="AF674" s="20" t="s">
        <v>138</v>
      </c>
      <c r="AG674" s="15" t="s">
        <v>138</v>
      </c>
      <c r="AH674" s="20" t="s">
        <v>138</v>
      </c>
      <c r="AI674" s="20" t="s">
        <v>138</v>
      </c>
      <c r="AJ674" s="20" t="s">
        <v>138</v>
      </c>
      <c r="AK674" s="15" t="s">
        <v>13522</v>
      </c>
      <c r="AL674" s="15" t="s">
        <v>13523</v>
      </c>
      <c r="AM674" s="15" t="s">
        <v>13524</v>
      </c>
      <c r="AN674" s="15" t="s">
        <v>13525</v>
      </c>
      <c r="AO674" s="15" t="s">
        <v>13526</v>
      </c>
      <c r="AP674" s="15" t="s">
        <v>639</v>
      </c>
      <c r="AQ674" s="15" t="s">
        <v>13527</v>
      </c>
      <c r="AR674" s="15" t="s">
        <v>138</v>
      </c>
      <c r="AS674" s="15" t="s">
        <v>642</v>
      </c>
      <c r="AT674" s="15" t="s">
        <v>474</v>
      </c>
      <c r="AU674" s="15" t="s">
        <v>13528</v>
      </c>
      <c r="AV674" s="15" t="s">
        <v>162</v>
      </c>
      <c r="AW674" s="15" t="s">
        <v>13526</v>
      </c>
      <c r="AX674" s="15" t="s">
        <v>13529</v>
      </c>
      <c r="AY674" s="15" t="s">
        <v>13530</v>
      </c>
      <c r="AZ674" s="15" t="s">
        <v>164</v>
      </c>
      <c r="BA674" s="15" t="s">
        <v>165</v>
      </c>
      <c r="BB674" s="15" t="s">
        <v>13531</v>
      </c>
      <c r="BC674" s="15" t="s">
        <v>13532</v>
      </c>
      <c r="BD674" s="21">
        <v>9</v>
      </c>
      <c r="BE674" s="15" t="s">
        <v>138</v>
      </c>
      <c r="BF674" s="15" t="s">
        <v>138</v>
      </c>
      <c r="BG674" s="15" t="s">
        <v>138</v>
      </c>
      <c r="BH674" s="15" t="s">
        <v>13533</v>
      </c>
      <c r="BI674" s="15" t="s">
        <v>138</v>
      </c>
      <c r="BJ674" s="15" t="s">
        <v>138</v>
      </c>
      <c r="BK674" s="15" t="s">
        <v>138</v>
      </c>
      <c r="BL674" s="15" t="s">
        <v>13534</v>
      </c>
      <c r="BM674" s="22">
        <v>41274</v>
      </c>
      <c r="BN674" s="17">
        <v>6</v>
      </c>
      <c r="BO674" s="15" t="s">
        <v>172</v>
      </c>
      <c r="BP674" s="17">
        <v>7.25</v>
      </c>
      <c r="BQ674" s="15" t="s">
        <v>138</v>
      </c>
      <c r="BR674" s="15" t="s">
        <v>262</v>
      </c>
      <c r="BS674" s="15" t="s">
        <v>262</v>
      </c>
      <c r="BT674" s="15" t="s">
        <v>138</v>
      </c>
      <c r="BU674" s="15" t="s">
        <v>263</v>
      </c>
      <c r="BV674" s="15" t="s">
        <v>138</v>
      </c>
      <c r="BW674" s="15" t="s">
        <v>138</v>
      </c>
      <c r="BX674" s="15" t="s">
        <v>138</v>
      </c>
      <c r="BY674" s="15" t="s">
        <v>175</v>
      </c>
      <c r="BZ674" s="22">
        <v>42565</v>
      </c>
      <c r="CA674" s="17">
        <v>1.65</v>
      </c>
      <c r="CB674" s="15" t="s">
        <v>172</v>
      </c>
      <c r="CC674" s="17" t="s">
        <v>138</v>
      </c>
      <c r="CD674" s="15" t="s">
        <v>138</v>
      </c>
      <c r="CE674" s="15" t="s">
        <v>265</v>
      </c>
      <c r="CF674" s="15" t="s">
        <v>138</v>
      </c>
      <c r="CG674" s="15" t="s">
        <v>138</v>
      </c>
      <c r="CH674" s="15" t="s">
        <v>263</v>
      </c>
      <c r="CI674" s="15" t="s">
        <v>264</v>
      </c>
      <c r="CJ674" s="15" t="s">
        <v>138</v>
      </c>
      <c r="CK674" s="15" t="s">
        <v>138</v>
      </c>
      <c r="CL674" s="15" t="s">
        <v>175</v>
      </c>
      <c r="CM674" s="22" t="s">
        <v>138</v>
      </c>
      <c r="CN674" s="17" t="s">
        <v>138</v>
      </c>
      <c r="CO674" s="23">
        <v>-0.01</v>
      </c>
      <c r="CP674" s="24">
        <v>25</v>
      </c>
      <c r="CQ674" s="23">
        <v>0.01</v>
      </c>
      <c r="CR674" s="23">
        <v>44.71</v>
      </c>
      <c r="CS674" s="23">
        <v>0</v>
      </c>
      <c r="CT674" s="24">
        <v>23</v>
      </c>
      <c r="CU674" s="23">
        <v>-0.02</v>
      </c>
      <c r="CV674" s="24">
        <v>17</v>
      </c>
      <c r="CW674" s="23">
        <v>0</v>
      </c>
      <c r="CX674" s="24">
        <v>13</v>
      </c>
      <c r="CY674" s="23">
        <v>0</v>
      </c>
      <c r="CZ674" s="24">
        <v>25</v>
      </c>
      <c r="DA674" s="23">
        <v>-0.01</v>
      </c>
      <c r="DB674" s="24">
        <v>21</v>
      </c>
      <c r="DC674" s="25">
        <v>9.81</v>
      </c>
      <c r="DD674" s="24">
        <v>90</v>
      </c>
      <c r="DE674" s="25">
        <v>-0.02</v>
      </c>
      <c r="DF674" s="23">
        <v>-0.23</v>
      </c>
      <c r="DG674" s="25">
        <v>1.61</v>
      </c>
      <c r="DH674" s="24">
        <v>62</v>
      </c>
      <c r="DI674" s="25">
        <v>18.02</v>
      </c>
      <c r="DJ674" s="24">
        <v>90</v>
      </c>
      <c r="DK674" s="25">
        <v>0.66</v>
      </c>
      <c r="DL674" s="24">
        <v>41</v>
      </c>
      <c r="DM674" s="25">
        <v>2.5499999999999998</v>
      </c>
      <c r="DN674" s="24">
        <v>70</v>
      </c>
      <c r="DO674" s="25">
        <v>4.7</v>
      </c>
      <c r="DP674" s="24">
        <v>78</v>
      </c>
      <c r="DQ674" s="24">
        <v>224</v>
      </c>
      <c r="DR674" s="26">
        <v>13</v>
      </c>
      <c r="DS674" s="23">
        <v>6.16</v>
      </c>
      <c r="DT674" s="24">
        <v>74</v>
      </c>
      <c r="DU674" s="26">
        <v>0</v>
      </c>
      <c r="DV674" s="23">
        <v>0</v>
      </c>
      <c r="DW674" s="24">
        <v>1681</v>
      </c>
      <c r="DX674" s="27">
        <v>2</v>
      </c>
      <c r="DY674" s="23">
        <v>0.12</v>
      </c>
      <c r="DZ674" s="15" t="s">
        <v>178</v>
      </c>
      <c r="EA674" s="22">
        <v>43375</v>
      </c>
      <c r="EB674" s="17">
        <v>1.65</v>
      </c>
      <c r="EC674" s="22">
        <v>41482</v>
      </c>
      <c r="ED674" s="15" t="s">
        <v>316</v>
      </c>
      <c r="EE674" s="14" t="str">
        <f>HYPERLINK("https://my.pitchbook.com?c=104139-55", "View company online")</f>
        <v>View company online</v>
      </c>
    </row>
    <row r="675" spans="1:135">
      <c r="A675" s="28" t="s">
        <v>13535</v>
      </c>
      <c r="B675" s="28" t="s">
        <v>13536</v>
      </c>
      <c r="C675" s="28" t="s">
        <v>138</v>
      </c>
      <c r="D675" s="28" t="s">
        <v>138</v>
      </c>
      <c r="E675" s="28" t="s">
        <v>13537</v>
      </c>
      <c r="F675" s="28" t="s">
        <v>13535</v>
      </c>
      <c r="G675" s="28" t="s">
        <v>13538</v>
      </c>
      <c r="H675" s="28" t="s">
        <v>385</v>
      </c>
      <c r="I675" s="28" t="s">
        <v>1991</v>
      </c>
      <c r="J675" s="28" t="s">
        <v>1992</v>
      </c>
      <c r="K675" s="28" t="s">
        <v>13539</v>
      </c>
      <c r="L675" s="28" t="s">
        <v>272</v>
      </c>
      <c r="M675" s="28" t="s">
        <v>13540</v>
      </c>
      <c r="N675" s="28" t="s">
        <v>147</v>
      </c>
      <c r="O675" s="29">
        <v>12.75</v>
      </c>
      <c r="P675" s="28" t="s">
        <v>148</v>
      </c>
      <c r="Q675" s="28" t="s">
        <v>149</v>
      </c>
      <c r="R675" s="28" t="s">
        <v>244</v>
      </c>
      <c r="S675" s="28" t="s">
        <v>13541</v>
      </c>
      <c r="T675" s="30" t="s">
        <v>138</v>
      </c>
      <c r="U675" s="28" t="s">
        <v>138</v>
      </c>
      <c r="V675" s="28" t="s">
        <v>138</v>
      </c>
      <c r="W675" s="28" t="s">
        <v>138</v>
      </c>
      <c r="X675" s="31">
        <v>2009</v>
      </c>
      <c r="Y675" s="28" t="s">
        <v>138</v>
      </c>
      <c r="Z675" s="28" t="s">
        <v>138</v>
      </c>
      <c r="AA675" s="28" t="s">
        <v>138</v>
      </c>
      <c r="AB675" s="32" t="s">
        <v>138</v>
      </c>
      <c r="AC675" s="32" t="s">
        <v>138</v>
      </c>
      <c r="AD675" s="32" t="s">
        <v>138</v>
      </c>
      <c r="AE675" s="32" t="s">
        <v>138</v>
      </c>
      <c r="AF675" s="32" t="s">
        <v>138</v>
      </c>
      <c r="AG675" s="28" t="s">
        <v>138</v>
      </c>
      <c r="AH675" s="32" t="s">
        <v>138</v>
      </c>
      <c r="AI675" s="32" t="s">
        <v>138</v>
      </c>
      <c r="AJ675" s="32" t="s">
        <v>138</v>
      </c>
      <c r="AK675" s="28" t="s">
        <v>13542</v>
      </c>
      <c r="AL675" s="28" t="s">
        <v>13543</v>
      </c>
      <c r="AM675" s="28" t="s">
        <v>13544</v>
      </c>
      <c r="AN675" s="28" t="s">
        <v>13545</v>
      </c>
      <c r="AO675" s="28" t="s">
        <v>13546</v>
      </c>
      <c r="AP675" s="28" t="s">
        <v>13547</v>
      </c>
      <c r="AQ675" s="28" t="s">
        <v>13548</v>
      </c>
      <c r="AR675" s="28" t="s">
        <v>13549</v>
      </c>
      <c r="AS675" s="28" t="s">
        <v>13550</v>
      </c>
      <c r="AT675" s="28" t="s">
        <v>371</v>
      </c>
      <c r="AU675" s="28" t="s">
        <v>13551</v>
      </c>
      <c r="AV675" s="28" t="s">
        <v>162</v>
      </c>
      <c r="AW675" s="28" t="s">
        <v>13552</v>
      </c>
      <c r="AX675" s="28" t="s">
        <v>138</v>
      </c>
      <c r="AY675" s="28" t="s">
        <v>13553</v>
      </c>
      <c r="AZ675" s="28" t="s">
        <v>164</v>
      </c>
      <c r="BA675" s="28" t="s">
        <v>165</v>
      </c>
      <c r="BB675" s="28" t="s">
        <v>13554</v>
      </c>
      <c r="BC675" s="28" t="s">
        <v>13555</v>
      </c>
      <c r="BD675" s="33">
        <v>6</v>
      </c>
      <c r="BE675" s="28" t="s">
        <v>138</v>
      </c>
      <c r="BF675" s="28" t="s">
        <v>138</v>
      </c>
      <c r="BG675" s="28" t="s">
        <v>138</v>
      </c>
      <c r="BH675" s="28" t="s">
        <v>13556</v>
      </c>
      <c r="BI675" s="28" t="s">
        <v>138</v>
      </c>
      <c r="BJ675" s="28" t="s">
        <v>138</v>
      </c>
      <c r="BK675" s="28" t="s">
        <v>138</v>
      </c>
      <c r="BL675" s="28" t="s">
        <v>13557</v>
      </c>
      <c r="BM675" s="34">
        <v>40246</v>
      </c>
      <c r="BN675" s="29">
        <v>0.9</v>
      </c>
      <c r="BO675" s="28" t="s">
        <v>172</v>
      </c>
      <c r="BP675" s="29">
        <v>3.9</v>
      </c>
      <c r="BQ675" s="28" t="s">
        <v>172</v>
      </c>
      <c r="BR675" s="28" t="s">
        <v>205</v>
      </c>
      <c r="BS675" s="28" t="s">
        <v>206</v>
      </c>
      <c r="BT675" s="28" t="s">
        <v>138</v>
      </c>
      <c r="BU675" s="28" t="s">
        <v>174</v>
      </c>
      <c r="BV675" s="28" t="s">
        <v>138</v>
      </c>
      <c r="BW675" s="28" t="s">
        <v>138</v>
      </c>
      <c r="BX675" s="28" t="s">
        <v>138</v>
      </c>
      <c r="BY675" s="28" t="s">
        <v>175</v>
      </c>
      <c r="BZ675" s="34">
        <v>42787</v>
      </c>
      <c r="CA675" s="29" t="s">
        <v>138</v>
      </c>
      <c r="CB675" s="28" t="s">
        <v>138</v>
      </c>
      <c r="CC675" s="29" t="s">
        <v>138</v>
      </c>
      <c r="CD675" s="28" t="s">
        <v>138</v>
      </c>
      <c r="CE675" s="28" t="s">
        <v>1326</v>
      </c>
      <c r="CF675" s="28" t="s">
        <v>138</v>
      </c>
      <c r="CG675" s="28" t="s">
        <v>138</v>
      </c>
      <c r="CH675" s="28" t="s">
        <v>1327</v>
      </c>
      <c r="CI675" s="28" t="s">
        <v>2528</v>
      </c>
      <c r="CJ675" s="28" t="s">
        <v>138</v>
      </c>
      <c r="CK675" s="28" t="s">
        <v>138</v>
      </c>
      <c r="CL675" s="28" t="s">
        <v>175</v>
      </c>
      <c r="CM675" s="34">
        <v>42787</v>
      </c>
      <c r="CN675" s="29" t="s">
        <v>138</v>
      </c>
      <c r="CO675" s="35">
        <v>-0.48</v>
      </c>
      <c r="CP675" s="36">
        <v>16</v>
      </c>
      <c r="CQ675" s="35">
        <v>0.11</v>
      </c>
      <c r="CR675" s="35">
        <v>18.3</v>
      </c>
      <c r="CS675" s="35">
        <v>-0.96</v>
      </c>
      <c r="CT675" s="36">
        <v>15</v>
      </c>
      <c r="CU675" s="35">
        <v>0</v>
      </c>
      <c r="CV675" s="36">
        <v>22</v>
      </c>
      <c r="CW675" s="35">
        <v>0</v>
      </c>
      <c r="CX675" s="36">
        <v>13</v>
      </c>
      <c r="CY675" s="35">
        <v>-1.93</v>
      </c>
      <c r="CZ675" s="36">
        <v>12</v>
      </c>
      <c r="DA675" s="35">
        <v>0</v>
      </c>
      <c r="DB675" s="36">
        <v>22</v>
      </c>
      <c r="DC675" s="37">
        <v>2.04</v>
      </c>
      <c r="DD675" s="36">
        <v>68</v>
      </c>
      <c r="DE675" s="37">
        <v>-0.03</v>
      </c>
      <c r="DF675" s="35">
        <v>-1.36</v>
      </c>
      <c r="DG675" s="37">
        <v>3.82</v>
      </c>
      <c r="DH675" s="36">
        <v>78</v>
      </c>
      <c r="DI675" s="37">
        <v>0.27</v>
      </c>
      <c r="DJ675" s="36">
        <v>26</v>
      </c>
      <c r="DK675" s="37">
        <v>0.63</v>
      </c>
      <c r="DL675" s="36">
        <v>39</v>
      </c>
      <c r="DM675" s="37">
        <v>7</v>
      </c>
      <c r="DN675" s="36">
        <v>85</v>
      </c>
      <c r="DO675" s="37">
        <v>0.27</v>
      </c>
      <c r="DP675" s="36">
        <v>28</v>
      </c>
      <c r="DQ675" s="36">
        <v>232</v>
      </c>
      <c r="DR675" s="38">
        <v>-45</v>
      </c>
      <c r="DS675" s="35">
        <v>-16.25</v>
      </c>
      <c r="DT675" s="36">
        <v>203</v>
      </c>
      <c r="DU675" s="38">
        <v>2</v>
      </c>
      <c r="DV675" s="35">
        <v>1</v>
      </c>
      <c r="DW675" s="36">
        <v>96</v>
      </c>
      <c r="DX675" s="39">
        <v>0</v>
      </c>
      <c r="DY675" s="35">
        <v>0</v>
      </c>
      <c r="DZ675" s="28" t="s">
        <v>178</v>
      </c>
      <c r="EA675" s="34">
        <v>43584</v>
      </c>
      <c r="EB675" s="29">
        <v>24</v>
      </c>
      <c r="EC675" s="34">
        <v>42475</v>
      </c>
      <c r="ED675" s="28" t="s">
        <v>173</v>
      </c>
      <c r="EE675" s="40" t="str">
        <f>HYPERLINK("https://my.pitchbook.com?c=47662-48", "View company online")</f>
        <v>View company online</v>
      </c>
    </row>
    <row r="676" spans="1:135">
      <c r="A676" s="15" t="s">
        <v>13558</v>
      </c>
      <c r="B676" s="15" t="s">
        <v>13559</v>
      </c>
      <c r="C676" s="15" t="s">
        <v>13560</v>
      </c>
      <c r="D676" s="15" t="s">
        <v>138</v>
      </c>
      <c r="E676" s="15" t="s">
        <v>13561</v>
      </c>
      <c r="F676" s="15" t="s">
        <v>13558</v>
      </c>
      <c r="G676" s="15" t="s">
        <v>13562</v>
      </c>
      <c r="H676" s="15" t="s">
        <v>322</v>
      </c>
      <c r="I676" s="15" t="s">
        <v>323</v>
      </c>
      <c r="J676" s="15" t="s">
        <v>413</v>
      </c>
      <c r="K676" s="15" t="s">
        <v>13563</v>
      </c>
      <c r="L676" s="15" t="s">
        <v>13564</v>
      </c>
      <c r="M676" s="15" t="s">
        <v>13565</v>
      </c>
      <c r="N676" s="15" t="s">
        <v>147</v>
      </c>
      <c r="O676" s="17">
        <v>96.5</v>
      </c>
      <c r="P676" s="15" t="s">
        <v>812</v>
      </c>
      <c r="Q676" s="15" t="s">
        <v>149</v>
      </c>
      <c r="R676" s="15" t="s">
        <v>174</v>
      </c>
      <c r="S676" s="15" t="s">
        <v>13566</v>
      </c>
      <c r="T676" s="18">
        <v>525</v>
      </c>
      <c r="U676" s="15" t="s">
        <v>13567</v>
      </c>
      <c r="V676" s="15" t="s">
        <v>138</v>
      </c>
      <c r="W676" s="15" t="s">
        <v>138</v>
      </c>
      <c r="X676" s="19">
        <v>2007</v>
      </c>
      <c r="Y676" s="15" t="s">
        <v>138</v>
      </c>
      <c r="Z676" s="15" t="s">
        <v>138</v>
      </c>
      <c r="AA676" s="15" t="s">
        <v>138</v>
      </c>
      <c r="AB676" s="20">
        <v>19.93</v>
      </c>
      <c r="AC676" s="20" t="s">
        <v>138</v>
      </c>
      <c r="AD676" s="20">
        <v>-2.36</v>
      </c>
      <c r="AE676" s="20">
        <v>274.54000000000002</v>
      </c>
      <c r="AF676" s="20">
        <v>-0.01</v>
      </c>
      <c r="AG676" s="15" t="s">
        <v>514</v>
      </c>
      <c r="AH676" s="20" t="s">
        <v>138</v>
      </c>
      <c r="AI676" s="20" t="s">
        <v>138</v>
      </c>
      <c r="AJ676" s="20" t="s">
        <v>138</v>
      </c>
      <c r="AK676" s="15" t="s">
        <v>13568</v>
      </c>
      <c r="AL676" s="15" t="s">
        <v>13569</v>
      </c>
      <c r="AM676" s="15" t="s">
        <v>13570</v>
      </c>
      <c r="AN676" s="15" t="s">
        <v>13571</v>
      </c>
      <c r="AO676" s="15" t="s">
        <v>13572</v>
      </c>
      <c r="AP676" s="15" t="s">
        <v>1457</v>
      </c>
      <c r="AQ676" s="15" t="s">
        <v>13573</v>
      </c>
      <c r="AR676" s="15" t="s">
        <v>158</v>
      </c>
      <c r="AS676" s="15" t="s">
        <v>1460</v>
      </c>
      <c r="AT676" s="15" t="s">
        <v>474</v>
      </c>
      <c r="AU676" s="15" t="s">
        <v>13574</v>
      </c>
      <c r="AV676" s="15" t="s">
        <v>162</v>
      </c>
      <c r="AW676" s="15" t="s">
        <v>13575</v>
      </c>
      <c r="AX676" s="15" t="s">
        <v>138</v>
      </c>
      <c r="AY676" s="15" t="s">
        <v>138</v>
      </c>
      <c r="AZ676" s="15" t="s">
        <v>164</v>
      </c>
      <c r="BA676" s="15" t="s">
        <v>165</v>
      </c>
      <c r="BB676" s="15" t="s">
        <v>13576</v>
      </c>
      <c r="BC676" s="15" t="s">
        <v>13577</v>
      </c>
      <c r="BD676" s="21">
        <v>6</v>
      </c>
      <c r="BE676" s="15" t="s">
        <v>138</v>
      </c>
      <c r="BF676" s="15" t="s">
        <v>138</v>
      </c>
      <c r="BG676" s="15" t="s">
        <v>138</v>
      </c>
      <c r="BH676" s="15" t="s">
        <v>13578</v>
      </c>
      <c r="BI676" s="15" t="s">
        <v>138</v>
      </c>
      <c r="BJ676" s="15" t="s">
        <v>138</v>
      </c>
      <c r="BK676" s="15" t="s">
        <v>138</v>
      </c>
      <c r="BL676" s="15" t="s">
        <v>138</v>
      </c>
      <c r="BM676" s="22">
        <v>40591</v>
      </c>
      <c r="BN676" s="17">
        <v>1.5</v>
      </c>
      <c r="BO676" s="15" t="s">
        <v>172</v>
      </c>
      <c r="BP676" s="17" t="s">
        <v>138</v>
      </c>
      <c r="BQ676" s="15" t="s">
        <v>138</v>
      </c>
      <c r="BR676" s="15" t="s">
        <v>205</v>
      </c>
      <c r="BS676" s="15" t="s">
        <v>138</v>
      </c>
      <c r="BT676" s="15" t="s">
        <v>138</v>
      </c>
      <c r="BU676" s="15" t="s">
        <v>174</v>
      </c>
      <c r="BV676" s="15" t="s">
        <v>138</v>
      </c>
      <c r="BW676" s="15" t="s">
        <v>138</v>
      </c>
      <c r="BX676" s="15" t="s">
        <v>138</v>
      </c>
      <c r="BY676" s="15" t="s">
        <v>175</v>
      </c>
      <c r="BZ676" s="22">
        <v>42123</v>
      </c>
      <c r="CA676" s="17" t="s">
        <v>138</v>
      </c>
      <c r="CB676" s="15" t="s">
        <v>138</v>
      </c>
      <c r="CC676" s="17" t="s">
        <v>138</v>
      </c>
      <c r="CD676" s="15" t="s">
        <v>138</v>
      </c>
      <c r="CE676" s="15" t="s">
        <v>173</v>
      </c>
      <c r="CF676" s="15" t="s">
        <v>138</v>
      </c>
      <c r="CG676" s="15" t="s">
        <v>138</v>
      </c>
      <c r="CH676" s="15" t="s">
        <v>174</v>
      </c>
      <c r="CI676" s="15" t="s">
        <v>264</v>
      </c>
      <c r="CJ676" s="15" t="s">
        <v>138</v>
      </c>
      <c r="CK676" s="15" t="s">
        <v>138</v>
      </c>
      <c r="CL676" s="15" t="s">
        <v>175</v>
      </c>
      <c r="CM676" s="22" t="s">
        <v>138</v>
      </c>
      <c r="CN676" s="17" t="s">
        <v>138</v>
      </c>
      <c r="CO676" s="23">
        <v>-0.14000000000000001</v>
      </c>
      <c r="CP676" s="24">
        <v>20</v>
      </c>
      <c r="CQ676" s="23">
        <v>-0.02</v>
      </c>
      <c r="CR676" s="23">
        <v>-21.13</v>
      </c>
      <c r="CS676" s="23">
        <v>-0.27</v>
      </c>
      <c r="CT676" s="24">
        <v>21</v>
      </c>
      <c r="CU676" s="23">
        <v>0</v>
      </c>
      <c r="CV676" s="24">
        <v>22</v>
      </c>
      <c r="CW676" s="23">
        <v>-1.4</v>
      </c>
      <c r="CX676" s="24">
        <v>9</v>
      </c>
      <c r="CY676" s="23">
        <v>0.86</v>
      </c>
      <c r="CZ676" s="24">
        <v>99</v>
      </c>
      <c r="DA676" s="23">
        <v>0</v>
      </c>
      <c r="DB676" s="24">
        <v>22</v>
      </c>
      <c r="DC676" s="25">
        <v>2.74</v>
      </c>
      <c r="DD676" s="24">
        <v>73</v>
      </c>
      <c r="DE676" s="25">
        <v>-0.2</v>
      </c>
      <c r="DF676" s="23">
        <v>-6.71</v>
      </c>
      <c r="DG676" s="25">
        <v>5.39</v>
      </c>
      <c r="DH676" s="24">
        <v>83</v>
      </c>
      <c r="DI676" s="25">
        <v>0.09</v>
      </c>
      <c r="DJ676" s="24">
        <v>13</v>
      </c>
      <c r="DK676" s="25">
        <v>5.88</v>
      </c>
      <c r="DL676" s="24">
        <v>81</v>
      </c>
      <c r="DM676" s="25">
        <v>4.9000000000000004</v>
      </c>
      <c r="DN676" s="24">
        <v>81</v>
      </c>
      <c r="DO676" s="25">
        <v>0.09</v>
      </c>
      <c r="DP676" s="24">
        <v>15</v>
      </c>
      <c r="DQ676" s="24">
        <v>2002</v>
      </c>
      <c r="DR676" s="26">
        <v>49</v>
      </c>
      <c r="DS676" s="23">
        <v>2.5099999999999998</v>
      </c>
      <c r="DT676" s="24">
        <v>142</v>
      </c>
      <c r="DU676" s="26">
        <v>0</v>
      </c>
      <c r="DV676" s="23">
        <v>0</v>
      </c>
      <c r="DW676" s="24">
        <v>33</v>
      </c>
      <c r="DX676" s="27">
        <v>0</v>
      </c>
      <c r="DY676" s="23">
        <v>0</v>
      </c>
      <c r="DZ676" s="15" t="s">
        <v>178</v>
      </c>
      <c r="EA676" s="22">
        <v>43622</v>
      </c>
      <c r="EB676" s="17">
        <v>267</v>
      </c>
      <c r="EC676" s="22">
        <v>42219</v>
      </c>
      <c r="ED676" s="15" t="s">
        <v>780</v>
      </c>
      <c r="EE676" s="14" t="str">
        <f>HYPERLINK("https://my.pitchbook.com?c=56224-09", "View company online")</f>
        <v>View company online</v>
      </c>
    </row>
    <row r="677" spans="1:135">
      <c r="A677" s="28" t="s">
        <v>13579</v>
      </c>
      <c r="B677" s="28" t="s">
        <v>13580</v>
      </c>
      <c r="C677" s="28" t="s">
        <v>13581</v>
      </c>
      <c r="D677" s="28" t="s">
        <v>138</v>
      </c>
      <c r="E677" s="28" t="s">
        <v>138</v>
      </c>
      <c r="F677" s="28" t="s">
        <v>13579</v>
      </c>
      <c r="G677" s="28" t="s">
        <v>13582</v>
      </c>
      <c r="H677" s="28" t="s">
        <v>322</v>
      </c>
      <c r="I677" s="28" t="s">
        <v>323</v>
      </c>
      <c r="J677" s="28" t="s">
        <v>413</v>
      </c>
      <c r="K677" s="28" t="s">
        <v>414</v>
      </c>
      <c r="L677" s="28" t="s">
        <v>2641</v>
      </c>
      <c r="M677" s="28" t="s">
        <v>13583</v>
      </c>
      <c r="N677" s="28" t="s">
        <v>147</v>
      </c>
      <c r="O677" s="29">
        <v>0.71</v>
      </c>
      <c r="P677" s="28" t="s">
        <v>148</v>
      </c>
      <c r="Q677" s="28" t="s">
        <v>149</v>
      </c>
      <c r="R677" s="28" t="s">
        <v>174</v>
      </c>
      <c r="S677" s="28" t="s">
        <v>13584</v>
      </c>
      <c r="T677" s="30">
        <v>11</v>
      </c>
      <c r="U677" s="28" t="s">
        <v>13585</v>
      </c>
      <c r="V677" s="28" t="s">
        <v>138</v>
      </c>
      <c r="W677" s="28" t="s">
        <v>138</v>
      </c>
      <c r="X677" s="31">
        <v>2014</v>
      </c>
      <c r="Y677" s="28" t="s">
        <v>138</v>
      </c>
      <c r="Z677" s="28" t="s">
        <v>138</v>
      </c>
      <c r="AA677" s="28" t="s">
        <v>138</v>
      </c>
      <c r="AB677" s="32" t="s">
        <v>138</v>
      </c>
      <c r="AC677" s="32" t="s">
        <v>138</v>
      </c>
      <c r="AD677" s="32" t="s">
        <v>138</v>
      </c>
      <c r="AE677" s="32" t="s">
        <v>138</v>
      </c>
      <c r="AF677" s="32" t="s">
        <v>138</v>
      </c>
      <c r="AG677" s="28" t="s">
        <v>138</v>
      </c>
      <c r="AH677" s="32" t="s">
        <v>138</v>
      </c>
      <c r="AI677" s="32" t="s">
        <v>138</v>
      </c>
      <c r="AJ677" s="32" t="s">
        <v>138</v>
      </c>
      <c r="AK677" s="28" t="s">
        <v>13586</v>
      </c>
      <c r="AL677" s="28" t="s">
        <v>13587</v>
      </c>
      <c r="AM677" s="28" t="s">
        <v>938</v>
      </c>
      <c r="AN677" s="28" t="s">
        <v>13588</v>
      </c>
      <c r="AO677" s="28" t="s">
        <v>138</v>
      </c>
      <c r="AP677" s="28" t="s">
        <v>941</v>
      </c>
      <c r="AQ677" s="28" t="s">
        <v>13589</v>
      </c>
      <c r="AR677" s="28" t="s">
        <v>138</v>
      </c>
      <c r="AS677" s="28" t="s">
        <v>944</v>
      </c>
      <c r="AT677" s="28" t="s">
        <v>138</v>
      </c>
      <c r="AU677" s="28" t="s">
        <v>13590</v>
      </c>
      <c r="AV677" s="28" t="s">
        <v>946</v>
      </c>
      <c r="AW677" s="28" t="s">
        <v>138</v>
      </c>
      <c r="AX677" s="28" t="s">
        <v>138</v>
      </c>
      <c r="AY677" s="28" t="s">
        <v>138</v>
      </c>
      <c r="AZ677" s="28" t="s">
        <v>530</v>
      </c>
      <c r="BA677" s="28" t="s">
        <v>531</v>
      </c>
      <c r="BB677" s="28" t="s">
        <v>13591</v>
      </c>
      <c r="BC677" s="28" t="s">
        <v>13592</v>
      </c>
      <c r="BD677" s="33">
        <v>14</v>
      </c>
      <c r="BE677" s="28" t="s">
        <v>138</v>
      </c>
      <c r="BF677" s="28" t="s">
        <v>138</v>
      </c>
      <c r="BG677" s="28" t="s">
        <v>138</v>
      </c>
      <c r="BH677" s="28" t="s">
        <v>13593</v>
      </c>
      <c r="BI677" s="28" t="s">
        <v>138</v>
      </c>
      <c r="BJ677" s="28" t="s">
        <v>138</v>
      </c>
      <c r="BK677" s="28" t="s">
        <v>138</v>
      </c>
      <c r="BL677" s="28" t="s">
        <v>138</v>
      </c>
      <c r="BM677" s="34">
        <v>41827</v>
      </c>
      <c r="BN677" s="29">
        <v>0.68</v>
      </c>
      <c r="BO677" s="28" t="s">
        <v>172</v>
      </c>
      <c r="BP677" s="29" t="s">
        <v>138</v>
      </c>
      <c r="BQ677" s="28" t="s">
        <v>138</v>
      </c>
      <c r="BR677" s="28" t="s">
        <v>234</v>
      </c>
      <c r="BS677" s="28" t="s">
        <v>234</v>
      </c>
      <c r="BT677" s="28" t="s">
        <v>138</v>
      </c>
      <c r="BU677" s="28" t="s">
        <v>174</v>
      </c>
      <c r="BV677" s="28" t="s">
        <v>138</v>
      </c>
      <c r="BW677" s="28" t="s">
        <v>138</v>
      </c>
      <c r="BX677" s="28" t="s">
        <v>138</v>
      </c>
      <c r="BY677" s="28" t="s">
        <v>175</v>
      </c>
      <c r="BZ677" s="34">
        <v>42230</v>
      </c>
      <c r="CA677" s="29">
        <v>1.56</v>
      </c>
      <c r="CB677" s="28" t="s">
        <v>172</v>
      </c>
      <c r="CC677" s="29" t="s">
        <v>138</v>
      </c>
      <c r="CD677" s="28" t="s">
        <v>138</v>
      </c>
      <c r="CE677" s="28" t="s">
        <v>176</v>
      </c>
      <c r="CF677" s="28" t="s">
        <v>138</v>
      </c>
      <c r="CG677" s="28" t="s">
        <v>138</v>
      </c>
      <c r="CH677" s="28" t="s">
        <v>177</v>
      </c>
      <c r="CI677" s="28" t="s">
        <v>138</v>
      </c>
      <c r="CJ677" s="28" t="s">
        <v>138</v>
      </c>
      <c r="CK677" s="28" t="s">
        <v>138</v>
      </c>
      <c r="CL677" s="28" t="s">
        <v>175</v>
      </c>
      <c r="CM677" s="34" t="s">
        <v>138</v>
      </c>
      <c r="CN677" s="29" t="s">
        <v>138</v>
      </c>
      <c r="CO677" s="35">
        <v>0.11</v>
      </c>
      <c r="CP677" s="36">
        <v>90</v>
      </c>
      <c r="CQ677" s="35">
        <v>0.06</v>
      </c>
      <c r="CR677" s="35">
        <v>99.12</v>
      </c>
      <c r="CS677" s="35">
        <v>0</v>
      </c>
      <c r="CT677" s="36">
        <v>23</v>
      </c>
      <c r="CU677" s="35">
        <v>0.22</v>
      </c>
      <c r="CV677" s="36">
        <v>82</v>
      </c>
      <c r="CW677" s="35" t="s">
        <v>138</v>
      </c>
      <c r="CX677" s="36" t="s">
        <v>138</v>
      </c>
      <c r="CY677" s="35">
        <v>0</v>
      </c>
      <c r="CZ677" s="36">
        <v>25</v>
      </c>
      <c r="DA677" s="35">
        <v>0.22</v>
      </c>
      <c r="DB677" s="36">
        <v>84</v>
      </c>
      <c r="DC677" s="37">
        <v>1.26</v>
      </c>
      <c r="DD677" s="36">
        <v>57</v>
      </c>
      <c r="DE677" s="37">
        <v>0</v>
      </c>
      <c r="DF677" s="35">
        <v>7.0000000000000007E-2</v>
      </c>
      <c r="DG677" s="37">
        <v>2.21</v>
      </c>
      <c r="DH677" s="36">
        <v>69</v>
      </c>
      <c r="DI677" s="37">
        <v>0.32</v>
      </c>
      <c r="DJ677" s="36">
        <v>29</v>
      </c>
      <c r="DK677" s="37" t="s">
        <v>138</v>
      </c>
      <c r="DL677" s="36" t="s">
        <v>138</v>
      </c>
      <c r="DM677" s="37">
        <v>2.21</v>
      </c>
      <c r="DN677" s="36">
        <v>68</v>
      </c>
      <c r="DO677" s="37">
        <v>0.32</v>
      </c>
      <c r="DP677" s="36">
        <v>31</v>
      </c>
      <c r="DQ677" s="36" t="s">
        <v>138</v>
      </c>
      <c r="DR677" s="38" t="s">
        <v>138</v>
      </c>
      <c r="DS677" s="35" t="s">
        <v>138</v>
      </c>
      <c r="DT677" s="36">
        <v>64</v>
      </c>
      <c r="DU677" s="38">
        <v>0</v>
      </c>
      <c r="DV677" s="35">
        <v>0</v>
      </c>
      <c r="DW677" s="36">
        <v>114</v>
      </c>
      <c r="DX677" s="39">
        <v>1</v>
      </c>
      <c r="DY677" s="35">
        <v>0.88</v>
      </c>
      <c r="DZ677" s="28" t="s">
        <v>178</v>
      </c>
      <c r="EA677" s="34">
        <v>43504</v>
      </c>
      <c r="EB677" s="29" t="s">
        <v>138</v>
      </c>
      <c r="EC677" s="34" t="s">
        <v>138</v>
      </c>
      <c r="ED677" s="28" t="s">
        <v>138</v>
      </c>
      <c r="EE677" s="40" t="str">
        <f>HYPERLINK("https://my.pitchbook.com?c=64674-82", "View company online")</f>
        <v>View company online</v>
      </c>
    </row>
    <row r="678" spans="1:135">
      <c r="A678" s="15" t="s">
        <v>13594</v>
      </c>
      <c r="B678" s="15" t="s">
        <v>13595</v>
      </c>
      <c r="C678" s="15" t="s">
        <v>13596</v>
      </c>
      <c r="D678" s="15" t="s">
        <v>138</v>
      </c>
      <c r="E678" s="15" t="s">
        <v>13597</v>
      </c>
      <c r="F678" s="15" t="s">
        <v>13594</v>
      </c>
      <c r="G678" s="15" t="s">
        <v>13598</v>
      </c>
      <c r="H678" s="15" t="s">
        <v>322</v>
      </c>
      <c r="I678" s="15" t="s">
        <v>323</v>
      </c>
      <c r="J678" s="15" t="s">
        <v>1132</v>
      </c>
      <c r="K678" s="15" t="s">
        <v>1777</v>
      </c>
      <c r="L678" s="15" t="s">
        <v>5101</v>
      </c>
      <c r="M678" s="15" t="s">
        <v>13599</v>
      </c>
      <c r="N678" s="15" t="s">
        <v>147</v>
      </c>
      <c r="O678" s="17">
        <v>19.600000000000001</v>
      </c>
      <c r="P678" s="15" t="s">
        <v>812</v>
      </c>
      <c r="Q678" s="15" t="s">
        <v>149</v>
      </c>
      <c r="R678" s="15" t="s">
        <v>328</v>
      </c>
      <c r="S678" s="15" t="s">
        <v>13600</v>
      </c>
      <c r="T678" s="18">
        <v>125</v>
      </c>
      <c r="U678" s="15" t="s">
        <v>13601</v>
      </c>
      <c r="V678" s="15" t="s">
        <v>138</v>
      </c>
      <c r="W678" s="15" t="s">
        <v>138</v>
      </c>
      <c r="X678" s="19">
        <v>2009</v>
      </c>
      <c r="Y678" s="15" t="s">
        <v>138</v>
      </c>
      <c r="Z678" s="15" t="s">
        <v>138</v>
      </c>
      <c r="AA678" s="15" t="s">
        <v>138</v>
      </c>
      <c r="AB678" s="20">
        <v>68</v>
      </c>
      <c r="AC678" s="20" t="s">
        <v>138</v>
      </c>
      <c r="AD678" s="20" t="s">
        <v>138</v>
      </c>
      <c r="AE678" s="20" t="s">
        <v>138</v>
      </c>
      <c r="AF678" s="20" t="s">
        <v>138</v>
      </c>
      <c r="AG678" s="15" t="s">
        <v>707</v>
      </c>
      <c r="AH678" s="20" t="s">
        <v>138</v>
      </c>
      <c r="AI678" s="20" t="s">
        <v>138</v>
      </c>
      <c r="AJ678" s="20" t="s">
        <v>138</v>
      </c>
      <c r="AK678" s="15" t="s">
        <v>13602</v>
      </c>
      <c r="AL678" s="15" t="s">
        <v>13603</v>
      </c>
      <c r="AM678" s="15" t="s">
        <v>13604</v>
      </c>
      <c r="AN678" s="15" t="s">
        <v>13605</v>
      </c>
      <c r="AO678" s="15" t="s">
        <v>13606</v>
      </c>
      <c r="AP678" s="15" t="s">
        <v>13607</v>
      </c>
      <c r="AQ678" s="15" t="s">
        <v>13608</v>
      </c>
      <c r="AR678" s="15" t="s">
        <v>2095</v>
      </c>
      <c r="AS678" s="15" t="s">
        <v>13609</v>
      </c>
      <c r="AT678" s="15" t="s">
        <v>5271</v>
      </c>
      <c r="AU678" s="15" t="s">
        <v>13610</v>
      </c>
      <c r="AV678" s="15" t="s">
        <v>162</v>
      </c>
      <c r="AW678" s="15" t="s">
        <v>13611</v>
      </c>
      <c r="AX678" s="15" t="s">
        <v>13612</v>
      </c>
      <c r="AY678" s="15" t="s">
        <v>13613</v>
      </c>
      <c r="AZ678" s="15" t="s">
        <v>164</v>
      </c>
      <c r="BA678" s="15" t="s">
        <v>165</v>
      </c>
      <c r="BB678" s="15" t="s">
        <v>13614</v>
      </c>
      <c r="BC678" s="15" t="s">
        <v>13615</v>
      </c>
      <c r="BD678" s="21">
        <v>4</v>
      </c>
      <c r="BE678" s="15" t="s">
        <v>138</v>
      </c>
      <c r="BF678" s="15" t="s">
        <v>138</v>
      </c>
      <c r="BG678" s="15" t="s">
        <v>138</v>
      </c>
      <c r="BH678" s="15" t="s">
        <v>13616</v>
      </c>
      <c r="BI678" s="15" t="s">
        <v>138</v>
      </c>
      <c r="BJ678" s="15" t="s">
        <v>138</v>
      </c>
      <c r="BK678" s="15" t="s">
        <v>138</v>
      </c>
      <c r="BL678" s="15" t="s">
        <v>13617</v>
      </c>
      <c r="BM678" s="22">
        <v>41913</v>
      </c>
      <c r="BN678" s="17" t="s">
        <v>138</v>
      </c>
      <c r="BO678" s="15" t="s">
        <v>138</v>
      </c>
      <c r="BP678" s="17" t="s">
        <v>138</v>
      </c>
      <c r="BQ678" s="15" t="s">
        <v>138</v>
      </c>
      <c r="BR678" s="15" t="s">
        <v>1673</v>
      </c>
      <c r="BS678" s="15" t="s">
        <v>138</v>
      </c>
      <c r="BT678" s="15" t="s">
        <v>138</v>
      </c>
      <c r="BU678" s="15" t="s">
        <v>351</v>
      </c>
      <c r="BV678" s="15" t="s">
        <v>138</v>
      </c>
      <c r="BW678" s="15" t="s">
        <v>138</v>
      </c>
      <c r="BX678" s="15" t="s">
        <v>138</v>
      </c>
      <c r="BY678" s="15" t="s">
        <v>175</v>
      </c>
      <c r="BZ678" s="22">
        <v>43089</v>
      </c>
      <c r="CA678" s="17" t="s">
        <v>138</v>
      </c>
      <c r="CB678" s="15" t="s">
        <v>138</v>
      </c>
      <c r="CC678" s="17" t="s">
        <v>138</v>
      </c>
      <c r="CD678" s="15" t="s">
        <v>138</v>
      </c>
      <c r="CE678" s="15" t="s">
        <v>1673</v>
      </c>
      <c r="CF678" s="15" t="s">
        <v>138</v>
      </c>
      <c r="CG678" s="15" t="s">
        <v>138</v>
      </c>
      <c r="CH678" s="15" t="s">
        <v>351</v>
      </c>
      <c r="CI678" s="15" t="s">
        <v>138</v>
      </c>
      <c r="CJ678" s="15" t="s">
        <v>138</v>
      </c>
      <c r="CK678" s="15" t="s">
        <v>138</v>
      </c>
      <c r="CL678" s="15" t="s">
        <v>175</v>
      </c>
      <c r="CM678" s="22" t="s">
        <v>138</v>
      </c>
      <c r="CN678" s="17" t="s">
        <v>138</v>
      </c>
      <c r="CO678" s="23">
        <v>-0.04</v>
      </c>
      <c r="CP678" s="24">
        <v>23</v>
      </c>
      <c r="CQ678" s="23">
        <v>-0.02</v>
      </c>
      <c r="CR678" s="23">
        <v>-75.180000000000007</v>
      </c>
      <c r="CS678" s="23">
        <v>-0.27</v>
      </c>
      <c r="CT678" s="24">
        <v>21</v>
      </c>
      <c r="CU678" s="23">
        <v>0.19</v>
      </c>
      <c r="CV678" s="24">
        <v>79</v>
      </c>
      <c r="CW678" s="23">
        <v>-0.55000000000000004</v>
      </c>
      <c r="CX678" s="24">
        <v>11</v>
      </c>
      <c r="CY678" s="23">
        <v>0</v>
      </c>
      <c r="CZ678" s="24">
        <v>25</v>
      </c>
      <c r="DA678" s="23">
        <v>0.28999999999999998</v>
      </c>
      <c r="DB678" s="24">
        <v>88</v>
      </c>
      <c r="DC678" s="25">
        <v>1.1000000000000001</v>
      </c>
      <c r="DD678" s="24">
        <v>53</v>
      </c>
      <c r="DE678" s="25">
        <v>-0.05</v>
      </c>
      <c r="DF678" s="23">
        <v>-4.3899999999999997</v>
      </c>
      <c r="DG678" s="25">
        <v>1.39</v>
      </c>
      <c r="DH678" s="24">
        <v>59</v>
      </c>
      <c r="DI678" s="25">
        <v>0.82</v>
      </c>
      <c r="DJ678" s="24">
        <v>45</v>
      </c>
      <c r="DK678" s="25">
        <v>1.39</v>
      </c>
      <c r="DL678" s="24">
        <v>57</v>
      </c>
      <c r="DM678" s="25">
        <v>1.38</v>
      </c>
      <c r="DN678" s="24">
        <v>58</v>
      </c>
      <c r="DO678" s="25">
        <v>1.49</v>
      </c>
      <c r="DP678" s="24">
        <v>58</v>
      </c>
      <c r="DQ678" s="24">
        <v>485</v>
      </c>
      <c r="DR678" s="26">
        <v>-22</v>
      </c>
      <c r="DS678" s="23">
        <v>-4.34</v>
      </c>
      <c r="DT678" s="24">
        <v>40</v>
      </c>
      <c r="DU678" s="26">
        <v>-1</v>
      </c>
      <c r="DV678" s="23">
        <v>-2.44</v>
      </c>
      <c r="DW678" s="24">
        <v>533</v>
      </c>
      <c r="DX678" s="27">
        <v>0</v>
      </c>
      <c r="DY678" s="23">
        <v>0</v>
      </c>
      <c r="DZ678" s="15" t="s">
        <v>178</v>
      </c>
      <c r="EA678" s="22">
        <v>43549</v>
      </c>
      <c r="EB678" s="17">
        <v>111.36</v>
      </c>
      <c r="EC678" s="22">
        <v>42636</v>
      </c>
      <c r="ED678" s="15" t="s">
        <v>1673</v>
      </c>
      <c r="EE678" s="14" t="str">
        <f>HYPERLINK("https://my.pitchbook.com?c=98172-73", "View company online")</f>
        <v>View company online</v>
      </c>
    </row>
    <row r="679" spans="1:135">
      <c r="A679" s="28" t="s">
        <v>13618</v>
      </c>
      <c r="B679" s="28" t="s">
        <v>13619</v>
      </c>
      <c r="C679" s="28" t="s">
        <v>138</v>
      </c>
      <c r="D679" s="28" t="s">
        <v>138</v>
      </c>
      <c r="E679" s="28" t="s">
        <v>13620</v>
      </c>
      <c r="F679" s="28" t="s">
        <v>13618</v>
      </c>
      <c r="G679" s="28" t="s">
        <v>13621</v>
      </c>
      <c r="H679" s="28" t="s">
        <v>141</v>
      </c>
      <c r="I679" s="28" t="s">
        <v>142</v>
      </c>
      <c r="J679" s="28" t="s">
        <v>4910</v>
      </c>
      <c r="K679" s="28" t="s">
        <v>13622</v>
      </c>
      <c r="L679" s="28" t="s">
        <v>11560</v>
      </c>
      <c r="M679" s="28" t="s">
        <v>13623</v>
      </c>
      <c r="N679" s="28" t="s">
        <v>147</v>
      </c>
      <c r="O679" s="29">
        <v>106.75</v>
      </c>
      <c r="P679" s="28" t="s">
        <v>148</v>
      </c>
      <c r="Q679" s="28" t="s">
        <v>149</v>
      </c>
      <c r="R679" s="28" t="s">
        <v>174</v>
      </c>
      <c r="S679" s="28" t="s">
        <v>13624</v>
      </c>
      <c r="T679" s="30">
        <v>150</v>
      </c>
      <c r="U679" s="28" t="s">
        <v>13625</v>
      </c>
      <c r="V679" s="28" t="s">
        <v>138</v>
      </c>
      <c r="W679" s="28" t="s">
        <v>138</v>
      </c>
      <c r="X679" s="31">
        <v>2010</v>
      </c>
      <c r="Y679" s="28" t="s">
        <v>138</v>
      </c>
      <c r="Z679" s="28" t="s">
        <v>138</v>
      </c>
      <c r="AA679" s="28" t="s">
        <v>1163</v>
      </c>
      <c r="AB679" s="32" t="s">
        <v>138</v>
      </c>
      <c r="AC679" s="32" t="s">
        <v>138</v>
      </c>
      <c r="AD679" s="32" t="s">
        <v>138</v>
      </c>
      <c r="AE679" s="32" t="s">
        <v>138</v>
      </c>
      <c r="AF679" s="32" t="s">
        <v>138</v>
      </c>
      <c r="AG679" s="28" t="s">
        <v>138</v>
      </c>
      <c r="AH679" s="32" t="s">
        <v>138</v>
      </c>
      <c r="AI679" s="32" t="s">
        <v>138</v>
      </c>
      <c r="AJ679" s="32" t="s">
        <v>138</v>
      </c>
      <c r="AK679" s="28" t="s">
        <v>13626</v>
      </c>
      <c r="AL679" s="28" t="s">
        <v>13627</v>
      </c>
      <c r="AM679" s="28" t="s">
        <v>12280</v>
      </c>
      <c r="AN679" s="28" t="s">
        <v>13628</v>
      </c>
      <c r="AO679" s="28" t="s">
        <v>13629</v>
      </c>
      <c r="AP679" s="28" t="s">
        <v>13630</v>
      </c>
      <c r="AQ679" s="28" t="s">
        <v>13631</v>
      </c>
      <c r="AR679" s="28" t="s">
        <v>138</v>
      </c>
      <c r="AS679" s="28" t="s">
        <v>13632</v>
      </c>
      <c r="AT679" s="28" t="s">
        <v>5271</v>
      </c>
      <c r="AU679" s="28" t="s">
        <v>13633</v>
      </c>
      <c r="AV679" s="28" t="s">
        <v>162</v>
      </c>
      <c r="AW679" s="28" t="s">
        <v>13629</v>
      </c>
      <c r="AX679" s="28" t="s">
        <v>138</v>
      </c>
      <c r="AY679" s="28" t="s">
        <v>13634</v>
      </c>
      <c r="AZ679" s="28" t="s">
        <v>164</v>
      </c>
      <c r="BA679" s="28" t="s">
        <v>165</v>
      </c>
      <c r="BB679" s="28" t="s">
        <v>13635</v>
      </c>
      <c r="BC679" s="28" t="s">
        <v>13636</v>
      </c>
      <c r="BD679" s="33">
        <v>19</v>
      </c>
      <c r="BE679" s="28" t="s">
        <v>138</v>
      </c>
      <c r="BF679" s="28" t="s">
        <v>138</v>
      </c>
      <c r="BG679" s="28" t="s">
        <v>138</v>
      </c>
      <c r="BH679" s="28" t="s">
        <v>13637</v>
      </c>
      <c r="BI679" s="28" t="s">
        <v>138</v>
      </c>
      <c r="BJ679" s="28" t="s">
        <v>138</v>
      </c>
      <c r="BK679" s="28" t="s">
        <v>13638</v>
      </c>
      <c r="BL679" s="28" t="s">
        <v>204</v>
      </c>
      <c r="BM679" s="34">
        <v>41499</v>
      </c>
      <c r="BN679" s="29">
        <v>1</v>
      </c>
      <c r="BO679" s="28" t="s">
        <v>172</v>
      </c>
      <c r="BP679" s="29">
        <v>6</v>
      </c>
      <c r="BQ679" s="28" t="s">
        <v>1178</v>
      </c>
      <c r="BR679" s="28" t="s">
        <v>205</v>
      </c>
      <c r="BS679" s="28" t="s">
        <v>206</v>
      </c>
      <c r="BT679" s="28" t="s">
        <v>138</v>
      </c>
      <c r="BU679" s="28" t="s">
        <v>174</v>
      </c>
      <c r="BV679" s="28" t="s">
        <v>138</v>
      </c>
      <c r="BW679" s="28" t="s">
        <v>138</v>
      </c>
      <c r="BX679" s="28" t="s">
        <v>138</v>
      </c>
      <c r="BY679" s="28" t="s">
        <v>175</v>
      </c>
      <c r="BZ679" s="34">
        <v>43402</v>
      </c>
      <c r="CA679" s="29">
        <v>2.4300000000000002</v>
      </c>
      <c r="CB679" s="28" t="s">
        <v>172</v>
      </c>
      <c r="CC679" s="29" t="s">
        <v>138</v>
      </c>
      <c r="CD679" s="28" t="s">
        <v>138</v>
      </c>
      <c r="CE679" s="28" t="s">
        <v>173</v>
      </c>
      <c r="CF679" s="28" t="s">
        <v>138</v>
      </c>
      <c r="CG679" s="28" t="s">
        <v>138</v>
      </c>
      <c r="CH679" s="28" t="s">
        <v>174</v>
      </c>
      <c r="CI679" s="28" t="s">
        <v>264</v>
      </c>
      <c r="CJ679" s="28" t="s">
        <v>138</v>
      </c>
      <c r="CK679" s="28" t="s">
        <v>138</v>
      </c>
      <c r="CL679" s="28" t="s">
        <v>175</v>
      </c>
      <c r="CM679" s="34" t="s">
        <v>138</v>
      </c>
      <c r="CN679" s="29" t="s">
        <v>138</v>
      </c>
      <c r="CO679" s="35">
        <v>0.04</v>
      </c>
      <c r="CP679" s="36">
        <v>87</v>
      </c>
      <c r="CQ679" s="35">
        <v>0.01</v>
      </c>
      <c r="CR679" s="35">
        <v>21.24</v>
      </c>
      <c r="CS679" s="35">
        <v>-0.28999999999999998</v>
      </c>
      <c r="CT679" s="36">
        <v>21</v>
      </c>
      <c r="CU679" s="35">
        <v>0.17</v>
      </c>
      <c r="CV679" s="36">
        <v>77</v>
      </c>
      <c r="CW679" s="35">
        <v>-0.24</v>
      </c>
      <c r="CX679" s="36">
        <v>12</v>
      </c>
      <c r="CY679" s="35">
        <v>-0.34</v>
      </c>
      <c r="CZ679" s="36">
        <v>23</v>
      </c>
      <c r="DA679" s="35">
        <v>0.17</v>
      </c>
      <c r="DB679" s="36">
        <v>80</v>
      </c>
      <c r="DC679" s="37">
        <v>23.82</v>
      </c>
      <c r="DD679" s="36">
        <v>95</v>
      </c>
      <c r="DE679" s="37">
        <v>-0.46</v>
      </c>
      <c r="DF679" s="35">
        <v>-1.88</v>
      </c>
      <c r="DG679" s="37">
        <v>34.43</v>
      </c>
      <c r="DH679" s="36">
        <v>97</v>
      </c>
      <c r="DI679" s="37">
        <v>36.76</v>
      </c>
      <c r="DJ679" s="36">
        <v>94</v>
      </c>
      <c r="DK679" s="37">
        <v>25.44</v>
      </c>
      <c r="DL679" s="36">
        <v>93</v>
      </c>
      <c r="DM679" s="37">
        <v>43.41</v>
      </c>
      <c r="DN679" s="36">
        <v>98</v>
      </c>
      <c r="DO679" s="37">
        <v>36.76</v>
      </c>
      <c r="DP679" s="36">
        <v>95</v>
      </c>
      <c r="DQ679" s="36">
        <v>8576</v>
      </c>
      <c r="DR679" s="38">
        <v>449</v>
      </c>
      <c r="DS679" s="35">
        <v>5.52</v>
      </c>
      <c r="DT679" s="36">
        <v>1258</v>
      </c>
      <c r="DU679" s="38">
        <v>6</v>
      </c>
      <c r="DV679" s="35">
        <v>0.48</v>
      </c>
      <c r="DW679" s="36">
        <v>13154</v>
      </c>
      <c r="DX679" s="39">
        <v>22</v>
      </c>
      <c r="DY679" s="35">
        <v>0.17</v>
      </c>
      <c r="DZ679" s="28" t="s">
        <v>178</v>
      </c>
      <c r="EA679" s="34">
        <v>43622</v>
      </c>
      <c r="EB679" s="29">
        <v>210.12</v>
      </c>
      <c r="EC679" s="34">
        <v>43101</v>
      </c>
      <c r="ED679" s="28" t="s">
        <v>173</v>
      </c>
      <c r="EE679" s="40" t="str">
        <f>HYPERLINK("https://my.pitchbook.com?c=91114-57", "View company online")</f>
        <v>View company online</v>
      </c>
    </row>
    <row r="680" spans="1:135">
      <c r="A680" s="15" t="s">
        <v>13639</v>
      </c>
      <c r="B680" s="15" t="s">
        <v>13640</v>
      </c>
      <c r="C680" s="15" t="s">
        <v>138</v>
      </c>
      <c r="D680" s="15" t="s">
        <v>138</v>
      </c>
      <c r="E680" s="15" t="s">
        <v>138</v>
      </c>
      <c r="F680" s="15" t="s">
        <v>13639</v>
      </c>
      <c r="G680" s="15" t="s">
        <v>13641</v>
      </c>
      <c r="H680" s="15" t="s">
        <v>322</v>
      </c>
      <c r="I680" s="15" t="s">
        <v>323</v>
      </c>
      <c r="J680" s="15" t="s">
        <v>1132</v>
      </c>
      <c r="K680" s="15" t="s">
        <v>13642</v>
      </c>
      <c r="L680" s="15" t="s">
        <v>13643</v>
      </c>
      <c r="M680" s="15" t="s">
        <v>13644</v>
      </c>
      <c r="N680" s="15" t="s">
        <v>147</v>
      </c>
      <c r="O680" s="17">
        <v>3.5</v>
      </c>
      <c r="P680" s="15" t="s">
        <v>148</v>
      </c>
      <c r="Q680" s="15" t="s">
        <v>149</v>
      </c>
      <c r="R680" s="15" t="s">
        <v>174</v>
      </c>
      <c r="S680" s="15" t="s">
        <v>13645</v>
      </c>
      <c r="T680" s="18">
        <v>23</v>
      </c>
      <c r="U680" s="15" t="s">
        <v>13646</v>
      </c>
      <c r="V680" s="15" t="s">
        <v>138</v>
      </c>
      <c r="W680" s="15" t="s">
        <v>138</v>
      </c>
      <c r="X680" s="19">
        <v>2013</v>
      </c>
      <c r="Y680" s="15" t="s">
        <v>138</v>
      </c>
      <c r="Z680" s="15" t="s">
        <v>138</v>
      </c>
      <c r="AA680" s="15" t="s">
        <v>138</v>
      </c>
      <c r="AB680" s="20">
        <v>3</v>
      </c>
      <c r="AC680" s="20" t="s">
        <v>138</v>
      </c>
      <c r="AD680" s="20" t="s">
        <v>138</v>
      </c>
      <c r="AE680" s="20" t="s">
        <v>138</v>
      </c>
      <c r="AF680" s="20" t="s">
        <v>138</v>
      </c>
      <c r="AG680" s="15" t="s">
        <v>815</v>
      </c>
      <c r="AH680" s="20" t="s">
        <v>138</v>
      </c>
      <c r="AI680" s="20" t="s">
        <v>138</v>
      </c>
      <c r="AJ680" s="20" t="s">
        <v>138</v>
      </c>
      <c r="AK680" s="15" t="s">
        <v>13647</v>
      </c>
      <c r="AL680" s="15" t="s">
        <v>13648</v>
      </c>
      <c r="AM680" s="15" t="s">
        <v>304</v>
      </c>
      <c r="AN680" s="15" t="s">
        <v>13649</v>
      </c>
      <c r="AO680" s="15" t="s">
        <v>13650</v>
      </c>
      <c r="AP680" s="15" t="s">
        <v>13651</v>
      </c>
      <c r="AQ680" s="15" t="s">
        <v>13652</v>
      </c>
      <c r="AR680" s="15" t="s">
        <v>138</v>
      </c>
      <c r="AS680" s="15" t="s">
        <v>13653</v>
      </c>
      <c r="AT680" s="15" t="s">
        <v>13654</v>
      </c>
      <c r="AU680" s="15" t="s">
        <v>13655</v>
      </c>
      <c r="AV680" s="15" t="s">
        <v>8999</v>
      </c>
      <c r="AW680" s="15" t="s">
        <v>13650</v>
      </c>
      <c r="AX680" s="15" t="s">
        <v>138</v>
      </c>
      <c r="AY680" s="15" t="s">
        <v>138</v>
      </c>
      <c r="AZ680" s="15" t="s">
        <v>9001</v>
      </c>
      <c r="BA680" s="15" t="s">
        <v>9001</v>
      </c>
      <c r="BB680" s="15" t="s">
        <v>13656</v>
      </c>
      <c r="BC680" s="15" t="s">
        <v>13657</v>
      </c>
      <c r="BD680" s="21">
        <v>3</v>
      </c>
      <c r="BE680" s="15" t="s">
        <v>138</v>
      </c>
      <c r="BF680" s="15" t="s">
        <v>138</v>
      </c>
      <c r="BG680" s="15" t="s">
        <v>138</v>
      </c>
      <c r="BH680" s="15" t="s">
        <v>13658</v>
      </c>
      <c r="BI680" s="15" t="s">
        <v>138</v>
      </c>
      <c r="BJ680" s="15" t="s">
        <v>138</v>
      </c>
      <c r="BK680" s="15" t="s">
        <v>138</v>
      </c>
      <c r="BL680" s="15" t="s">
        <v>138</v>
      </c>
      <c r="BM680" s="22">
        <v>42261</v>
      </c>
      <c r="BN680" s="17">
        <v>1.3</v>
      </c>
      <c r="BO680" s="15" t="s">
        <v>172</v>
      </c>
      <c r="BP680" s="17" t="s">
        <v>138</v>
      </c>
      <c r="BQ680" s="15" t="s">
        <v>138</v>
      </c>
      <c r="BR680" s="15" t="s">
        <v>234</v>
      </c>
      <c r="BS680" s="15" t="s">
        <v>234</v>
      </c>
      <c r="BT680" s="15" t="s">
        <v>138</v>
      </c>
      <c r="BU680" s="15" t="s">
        <v>263</v>
      </c>
      <c r="BV680" s="15" t="s">
        <v>138</v>
      </c>
      <c r="BW680" s="15" t="s">
        <v>138</v>
      </c>
      <c r="BX680" s="15" t="s">
        <v>138</v>
      </c>
      <c r="BY680" s="15" t="s">
        <v>175</v>
      </c>
      <c r="BZ680" s="22">
        <v>43333</v>
      </c>
      <c r="CA680" s="17">
        <v>2.2000000000000002</v>
      </c>
      <c r="CB680" s="15" t="s">
        <v>172</v>
      </c>
      <c r="CC680" s="17" t="s">
        <v>138</v>
      </c>
      <c r="CD680" s="15" t="s">
        <v>138</v>
      </c>
      <c r="CE680" s="15" t="s">
        <v>205</v>
      </c>
      <c r="CF680" s="15" t="s">
        <v>206</v>
      </c>
      <c r="CG680" s="15" t="s">
        <v>138</v>
      </c>
      <c r="CH680" s="15" t="s">
        <v>174</v>
      </c>
      <c r="CI680" s="15" t="s">
        <v>138</v>
      </c>
      <c r="CJ680" s="15" t="s">
        <v>138</v>
      </c>
      <c r="CK680" s="15" t="s">
        <v>138</v>
      </c>
      <c r="CL680" s="15" t="s">
        <v>175</v>
      </c>
      <c r="CM680" s="22" t="s">
        <v>138</v>
      </c>
      <c r="CN680" s="17" t="s">
        <v>138</v>
      </c>
      <c r="CO680" s="23">
        <v>0.04</v>
      </c>
      <c r="CP680" s="24">
        <v>87</v>
      </c>
      <c r="CQ680" s="23">
        <v>0</v>
      </c>
      <c r="CR680" s="23">
        <v>12.23</v>
      </c>
      <c r="CS680" s="23">
        <v>0</v>
      </c>
      <c r="CT680" s="24">
        <v>23</v>
      </c>
      <c r="CU680" s="23">
        <v>0.08</v>
      </c>
      <c r="CV680" s="24">
        <v>64</v>
      </c>
      <c r="CW680" s="23" t="s">
        <v>138</v>
      </c>
      <c r="CX680" s="24" t="s">
        <v>138</v>
      </c>
      <c r="CY680" s="23">
        <v>0</v>
      </c>
      <c r="CZ680" s="24">
        <v>25</v>
      </c>
      <c r="DA680" s="23">
        <v>0.16</v>
      </c>
      <c r="DB680" s="24">
        <v>79</v>
      </c>
      <c r="DC680" s="25">
        <v>0.91</v>
      </c>
      <c r="DD680" s="24">
        <v>49</v>
      </c>
      <c r="DE680" s="25">
        <v>-0.01</v>
      </c>
      <c r="DF680" s="23">
        <v>-1.43</v>
      </c>
      <c r="DG680" s="25">
        <v>0.83</v>
      </c>
      <c r="DH680" s="24">
        <v>46</v>
      </c>
      <c r="DI680" s="25">
        <v>0.99</v>
      </c>
      <c r="DJ680" s="24">
        <v>49</v>
      </c>
      <c r="DK680" s="25" t="s">
        <v>138</v>
      </c>
      <c r="DL680" s="24" t="s">
        <v>138</v>
      </c>
      <c r="DM680" s="25">
        <v>0.83</v>
      </c>
      <c r="DN680" s="24">
        <v>46</v>
      </c>
      <c r="DO680" s="25">
        <v>1.95</v>
      </c>
      <c r="DP680" s="24">
        <v>63</v>
      </c>
      <c r="DQ680" s="24" t="s">
        <v>138</v>
      </c>
      <c r="DR680" s="26" t="s">
        <v>138</v>
      </c>
      <c r="DS680" s="23" t="s">
        <v>138</v>
      </c>
      <c r="DT680" s="24">
        <v>24</v>
      </c>
      <c r="DU680" s="26">
        <v>-1</v>
      </c>
      <c r="DV680" s="23">
        <v>-4</v>
      </c>
      <c r="DW680" s="24">
        <v>697</v>
      </c>
      <c r="DX680" s="27">
        <v>2</v>
      </c>
      <c r="DY680" s="23">
        <v>0.28999999999999998</v>
      </c>
      <c r="DZ680" s="15" t="s">
        <v>178</v>
      </c>
      <c r="EA680" s="22">
        <v>43544</v>
      </c>
      <c r="EB680" s="17" t="s">
        <v>138</v>
      </c>
      <c r="EC680" s="22" t="s">
        <v>138</v>
      </c>
      <c r="ED680" s="15" t="s">
        <v>138</v>
      </c>
      <c r="EE680" s="14" t="str">
        <f>HYPERLINK("https://my.pitchbook.com?c=123576-76", "View company online")</f>
        <v>View company online</v>
      </c>
    </row>
    <row r="681" spans="1:135">
      <c r="A681" s="28" t="s">
        <v>13659</v>
      </c>
      <c r="B681" s="28" t="s">
        <v>13660</v>
      </c>
      <c r="C681" s="28" t="s">
        <v>138</v>
      </c>
      <c r="D681" s="28" t="s">
        <v>138</v>
      </c>
      <c r="E681" s="28" t="s">
        <v>13661</v>
      </c>
      <c r="F681" s="28" t="s">
        <v>13659</v>
      </c>
      <c r="G681" s="28" t="s">
        <v>13662</v>
      </c>
      <c r="H681" s="28" t="s">
        <v>141</v>
      </c>
      <c r="I681" s="28" t="s">
        <v>212</v>
      </c>
      <c r="J681" s="28" t="s">
        <v>655</v>
      </c>
      <c r="K681" s="28" t="s">
        <v>13663</v>
      </c>
      <c r="L681" s="28" t="s">
        <v>13664</v>
      </c>
      <c r="M681" s="28" t="s">
        <v>13665</v>
      </c>
      <c r="N681" s="28" t="s">
        <v>147</v>
      </c>
      <c r="O681" s="29">
        <v>7.5</v>
      </c>
      <c r="P681" s="28" t="s">
        <v>148</v>
      </c>
      <c r="Q681" s="28" t="s">
        <v>149</v>
      </c>
      <c r="R681" s="28" t="s">
        <v>174</v>
      </c>
      <c r="S681" s="28" t="s">
        <v>13666</v>
      </c>
      <c r="T681" s="30">
        <v>12</v>
      </c>
      <c r="U681" s="28" t="s">
        <v>13667</v>
      </c>
      <c r="V681" s="28" t="s">
        <v>138</v>
      </c>
      <c r="W681" s="28" t="s">
        <v>138</v>
      </c>
      <c r="X681" s="31">
        <v>2014</v>
      </c>
      <c r="Y681" s="28" t="s">
        <v>138</v>
      </c>
      <c r="Z681" s="28" t="s">
        <v>138</v>
      </c>
      <c r="AA681" s="28" t="s">
        <v>138</v>
      </c>
      <c r="AB681" s="32" t="s">
        <v>138</v>
      </c>
      <c r="AC681" s="32" t="s">
        <v>138</v>
      </c>
      <c r="AD681" s="32" t="s">
        <v>138</v>
      </c>
      <c r="AE681" s="32" t="s">
        <v>138</v>
      </c>
      <c r="AF681" s="32" t="s">
        <v>138</v>
      </c>
      <c r="AG681" s="28" t="s">
        <v>138</v>
      </c>
      <c r="AH681" s="32" t="s">
        <v>138</v>
      </c>
      <c r="AI681" s="32" t="s">
        <v>138</v>
      </c>
      <c r="AJ681" s="32" t="s">
        <v>138</v>
      </c>
      <c r="AK681" s="28" t="s">
        <v>13668</v>
      </c>
      <c r="AL681" s="28" t="s">
        <v>13669</v>
      </c>
      <c r="AM681" s="28" t="s">
        <v>12280</v>
      </c>
      <c r="AN681" s="28" t="s">
        <v>13670</v>
      </c>
      <c r="AO681" s="28" t="s">
        <v>138</v>
      </c>
      <c r="AP681" s="28" t="s">
        <v>423</v>
      </c>
      <c r="AQ681" s="28" t="s">
        <v>13671</v>
      </c>
      <c r="AR681" s="28" t="s">
        <v>13672</v>
      </c>
      <c r="AS681" s="28" t="s">
        <v>426</v>
      </c>
      <c r="AT681" s="28" t="s">
        <v>426</v>
      </c>
      <c r="AU681" s="28" t="s">
        <v>1804</v>
      </c>
      <c r="AV681" s="28" t="s">
        <v>162</v>
      </c>
      <c r="AW681" s="28" t="s">
        <v>138</v>
      </c>
      <c r="AX681" s="28" t="s">
        <v>138</v>
      </c>
      <c r="AY681" s="28" t="s">
        <v>13673</v>
      </c>
      <c r="AZ681" s="28" t="s">
        <v>164</v>
      </c>
      <c r="BA681" s="28" t="s">
        <v>165</v>
      </c>
      <c r="BB681" s="28" t="s">
        <v>13674</v>
      </c>
      <c r="BC681" s="28" t="s">
        <v>13675</v>
      </c>
      <c r="BD681" s="33">
        <v>5</v>
      </c>
      <c r="BE681" s="28" t="s">
        <v>138</v>
      </c>
      <c r="BF681" s="28" t="s">
        <v>138</v>
      </c>
      <c r="BG681" s="28" t="s">
        <v>138</v>
      </c>
      <c r="BH681" s="28" t="s">
        <v>13676</v>
      </c>
      <c r="BI681" s="28" t="s">
        <v>138</v>
      </c>
      <c r="BJ681" s="28" t="s">
        <v>138</v>
      </c>
      <c r="BK681" s="28" t="s">
        <v>13677</v>
      </c>
      <c r="BL681" s="28" t="s">
        <v>138</v>
      </c>
      <c r="BM681" s="34">
        <v>41821</v>
      </c>
      <c r="BN681" s="29">
        <v>1</v>
      </c>
      <c r="BO681" s="28" t="s">
        <v>172</v>
      </c>
      <c r="BP681" s="29">
        <v>4.0599999999999996</v>
      </c>
      <c r="BQ681" s="28" t="s">
        <v>172</v>
      </c>
      <c r="BR681" s="28" t="s">
        <v>234</v>
      </c>
      <c r="BS681" s="28" t="s">
        <v>234</v>
      </c>
      <c r="BT681" s="28" t="s">
        <v>138</v>
      </c>
      <c r="BU681" s="28" t="s">
        <v>174</v>
      </c>
      <c r="BV681" s="28" t="s">
        <v>138</v>
      </c>
      <c r="BW681" s="28" t="s">
        <v>138</v>
      </c>
      <c r="BX681" s="28" t="s">
        <v>138</v>
      </c>
      <c r="BY681" s="28" t="s">
        <v>175</v>
      </c>
      <c r="BZ681" s="34">
        <v>42185</v>
      </c>
      <c r="CA681" s="29">
        <v>6.5</v>
      </c>
      <c r="CB681" s="28" t="s">
        <v>172</v>
      </c>
      <c r="CC681" s="29">
        <v>20.64</v>
      </c>
      <c r="CD681" s="28" t="s">
        <v>172</v>
      </c>
      <c r="CE681" s="28" t="s">
        <v>205</v>
      </c>
      <c r="CF681" s="28" t="s">
        <v>206</v>
      </c>
      <c r="CG681" s="28" t="s">
        <v>138</v>
      </c>
      <c r="CH681" s="28" t="s">
        <v>174</v>
      </c>
      <c r="CI681" s="28" t="s">
        <v>138</v>
      </c>
      <c r="CJ681" s="28" t="s">
        <v>138</v>
      </c>
      <c r="CK681" s="28" t="s">
        <v>138</v>
      </c>
      <c r="CL681" s="28" t="s">
        <v>175</v>
      </c>
      <c r="CM681" s="34" t="s">
        <v>138</v>
      </c>
      <c r="CN681" s="29" t="s">
        <v>138</v>
      </c>
      <c r="CO681" s="35">
        <v>0.34</v>
      </c>
      <c r="CP681" s="36">
        <v>94</v>
      </c>
      <c r="CQ681" s="35">
        <v>0.01</v>
      </c>
      <c r="CR681" s="35">
        <v>1.8</v>
      </c>
      <c r="CS681" s="35">
        <v>0.59</v>
      </c>
      <c r="CT681" s="36">
        <v>96</v>
      </c>
      <c r="CU681" s="35">
        <v>0.09</v>
      </c>
      <c r="CV681" s="36">
        <v>66</v>
      </c>
      <c r="CW681" s="35">
        <v>2.69</v>
      </c>
      <c r="CX681" s="36">
        <v>90</v>
      </c>
      <c r="CY681" s="35">
        <v>-1.51</v>
      </c>
      <c r="CZ681" s="36">
        <v>15</v>
      </c>
      <c r="DA681" s="35">
        <v>0.09</v>
      </c>
      <c r="DB681" s="36">
        <v>70</v>
      </c>
      <c r="DC681" s="37">
        <v>38.65</v>
      </c>
      <c r="DD681" s="36">
        <v>97</v>
      </c>
      <c r="DE681" s="37">
        <v>1.38</v>
      </c>
      <c r="DF681" s="35">
        <v>3.71</v>
      </c>
      <c r="DG681" s="37">
        <v>42.79</v>
      </c>
      <c r="DH681" s="36">
        <v>98</v>
      </c>
      <c r="DI681" s="37">
        <v>34.51</v>
      </c>
      <c r="DJ681" s="36">
        <v>94</v>
      </c>
      <c r="DK681" s="37">
        <v>71.849999999999994</v>
      </c>
      <c r="DL681" s="36">
        <v>97</v>
      </c>
      <c r="DM681" s="37">
        <v>13.72</v>
      </c>
      <c r="DN681" s="36">
        <v>91</v>
      </c>
      <c r="DO681" s="37">
        <v>34.51</v>
      </c>
      <c r="DP681" s="36">
        <v>95</v>
      </c>
      <c r="DQ681" s="36">
        <v>23980</v>
      </c>
      <c r="DR681" s="38">
        <v>1993</v>
      </c>
      <c r="DS681" s="35">
        <v>9.06</v>
      </c>
      <c r="DT681" s="36">
        <v>399</v>
      </c>
      <c r="DU681" s="38">
        <v>-4</v>
      </c>
      <c r="DV681" s="35">
        <v>-0.99</v>
      </c>
      <c r="DW681" s="36">
        <v>12347</v>
      </c>
      <c r="DX681" s="39">
        <v>1</v>
      </c>
      <c r="DY681" s="35">
        <v>0.01</v>
      </c>
      <c r="DZ681" s="28" t="s">
        <v>178</v>
      </c>
      <c r="EA681" s="34">
        <v>43622</v>
      </c>
      <c r="EB681" s="29">
        <v>20.64</v>
      </c>
      <c r="EC681" s="34">
        <v>42185</v>
      </c>
      <c r="ED681" s="28" t="s">
        <v>205</v>
      </c>
      <c r="EE681" s="40" t="str">
        <f>HYPERLINK("https://my.pitchbook.com?c=117660-16", "View company online")</f>
        <v>View company online</v>
      </c>
    </row>
    <row r="682" spans="1:135">
      <c r="A682" s="15" t="s">
        <v>13678</v>
      </c>
      <c r="B682" s="15" t="s">
        <v>13679</v>
      </c>
      <c r="C682" s="15" t="s">
        <v>138</v>
      </c>
      <c r="D682" s="15" t="s">
        <v>138</v>
      </c>
      <c r="E682" s="15" t="s">
        <v>138</v>
      </c>
      <c r="F682" s="15" t="s">
        <v>13678</v>
      </c>
      <c r="G682" s="15" t="s">
        <v>13680</v>
      </c>
      <c r="H682" s="15" t="s">
        <v>385</v>
      </c>
      <c r="I682" s="15" t="s">
        <v>1991</v>
      </c>
      <c r="J682" s="15" t="s">
        <v>13681</v>
      </c>
      <c r="K682" s="15" t="s">
        <v>13682</v>
      </c>
      <c r="L682" s="15" t="s">
        <v>13683</v>
      </c>
      <c r="M682" s="15" t="s">
        <v>13684</v>
      </c>
      <c r="N682" s="15" t="s">
        <v>1452</v>
      </c>
      <c r="O682" s="17">
        <v>12</v>
      </c>
      <c r="P682" s="15" t="s">
        <v>148</v>
      </c>
      <c r="Q682" s="15" t="s">
        <v>149</v>
      </c>
      <c r="R682" s="15" t="s">
        <v>351</v>
      </c>
      <c r="S682" s="15" t="s">
        <v>13685</v>
      </c>
      <c r="T682" s="18">
        <v>18</v>
      </c>
      <c r="U682" s="15" t="s">
        <v>13686</v>
      </c>
      <c r="V682" s="15" t="s">
        <v>138</v>
      </c>
      <c r="W682" s="15" t="s">
        <v>138</v>
      </c>
      <c r="X682" s="19">
        <v>2012</v>
      </c>
      <c r="Y682" s="15" t="s">
        <v>138</v>
      </c>
      <c r="Z682" s="15" t="s">
        <v>138</v>
      </c>
      <c r="AA682" s="15" t="s">
        <v>138</v>
      </c>
      <c r="AB682" s="20" t="s">
        <v>138</v>
      </c>
      <c r="AC682" s="20" t="s">
        <v>138</v>
      </c>
      <c r="AD682" s="20" t="s">
        <v>138</v>
      </c>
      <c r="AE682" s="20" t="s">
        <v>138</v>
      </c>
      <c r="AF682" s="20" t="s">
        <v>138</v>
      </c>
      <c r="AG682" s="15" t="s">
        <v>138</v>
      </c>
      <c r="AH682" s="20" t="s">
        <v>138</v>
      </c>
      <c r="AI682" s="20" t="s">
        <v>138</v>
      </c>
      <c r="AJ682" s="20" t="s">
        <v>138</v>
      </c>
      <c r="AK682" s="15" t="s">
        <v>13687</v>
      </c>
      <c r="AL682" s="15" t="s">
        <v>13688</v>
      </c>
      <c r="AM682" s="15" t="s">
        <v>13689</v>
      </c>
      <c r="AN682" s="15" t="s">
        <v>13690</v>
      </c>
      <c r="AO682" s="15" t="s">
        <v>13691</v>
      </c>
      <c r="AP682" s="15" t="s">
        <v>13692</v>
      </c>
      <c r="AQ682" s="15" t="s">
        <v>13693</v>
      </c>
      <c r="AR682" s="15" t="s">
        <v>138</v>
      </c>
      <c r="AS682" s="15" t="s">
        <v>13694</v>
      </c>
      <c r="AT682" s="15" t="s">
        <v>1146</v>
      </c>
      <c r="AU682" s="15" t="s">
        <v>13695</v>
      </c>
      <c r="AV682" s="15" t="s">
        <v>162</v>
      </c>
      <c r="AW682" s="15" t="s">
        <v>13691</v>
      </c>
      <c r="AX682" s="15" t="s">
        <v>138</v>
      </c>
      <c r="AY682" s="15" t="s">
        <v>13696</v>
      </c>
      <c r="AZ682" s="15" t="s">
        <v>164</v>
      </c>
      <c r="BA682" s="15" t="s">
        <v>165</v>
      </c>
      <c r="BB682" s="15" t="s">
        <v>13697</v>
      </c>
      <c r="BC682" s="15" t="s">
        <v>13698</v>
      </c>
      <c r="BD682" s="21">
        <v>2</v>
      </c>
      <c r="BE682" s="15" t="s">
        <v>138</v>
      </c>
      <c r="BF682" s="15" t="s">
        <v>138</v>
      </c>
      <c r="BG682" s="15" t="s">
        <v>138</v>
      </c>
      <c r="BH682" s="15" t="s">
        <v>13699</v>
      </c>
      <c r="BI682" s="15" t="s">
        <v>138</v>
      </c>
      <c r="BJ682" s="15" t="s">
        <v>138</v>
      </c>
      <c r="BK682" s="15" t="s">
        <v>13700</v>
      </c>
      <c r="BL682" s="15" t="s">
        <v>13701</v>
      </c>
      <c r="BM682" s="22" t="s">
        <v>138</v>
      </c>
      <c r="BN682" s="17">
        <v>12</v>
      </c>
      <c r="BO682" s="15" t="s">
        <v>172</v>
      </c>
      <c r="BP682" s="17" t="s">
        <v>138</v>
      </c>
      <c r="BQ682" s="15" t="s">
        <v>138</v>
      </c>
      <c r="BR682" s="15" t="s">
        <v>262</v>
      </c>
      <c r="BS682" s="15" t="s">
        <v>262</v>
      </c>
      <c r="BT682" s="15" t="s">
        <v>138</v>
      </c>
      <c r="BU682" s="15" t="s">
        <v>263</v>
      </c>
      <c r="BV682" s="15" t="s">
        <v>138</v>
      </c>
      <c r="BW682" s="15" t="s">
        <v>138</v>
      </c>
      <c r="BX682" s="15" t="s">
        <v>138</v>
      </c>
      <c r="BY682" s="15" t="s">
        <v>175</v>
      </c>
      <c r="BZ682" s="22">
        <v>43097</v>
      </c>
      <c r="CA682" s="17" t="s">
        <v>138</v>
      </c>
      <c r="CB682" s="15" t="s">
        <v>138</v>
      </c>
      <c r="CC682" s="17" t="s">
        <v>138</v>
      </c>
      <c r="CD682" s="15" t="s">
        <v>138</v>
      </c>
      <c r="CE682" s="15" t="s">
        <v>780</v>
      </c>
      <c r="CF682" s="15" t="s">
        <v>780</v>
      </c>
      <c r="CG682" s="15" t="s">
        <v>138</v>
      </c>
      <c r="CH682" s="15" t="s">
        <v>780</v>
      </c>
      <c r="CI682" s="15" t="s">
        <v>138</v>
      </c>
      <c r="CJ682" s="15" t="s">
        <v>138</v>
      </c>
      <c r="CK682" s="15" t="s">
        <v>138</v>
      </c>
      <c r="CL682" s="15" t="s">
        <v>175</v>
      </c>
      <c r="CM682" s="22" t="s">
        <v>138</v>
      </c>
      <c r="CN682" s="17" t="s">
        <v>138</v>
      </c>
      <c r="CO682" s="23">
        <v>0.13</v>
      </c>
      <c r="CP682" s="24">
        <v>91</v>
      </c>
      <c r="CQ682" s="23">
        <v>0</v>
      </c>
      <c r="CR682" s="23">
        <v>0</v>
      </c>
      <c r="CS682" s="23" t="s">
        <v>138</v>
      </c>
      <c r="CT682" s="24" t="s">
        <v>138</v>
      </c>
      <c r="CU682" s="23">
        <v>0.13</v>
      </c>
      <c r="CV682" s="24">
        <v>73</v>
      </c>
      <c r="CW682" s="23" t="s">
        <v>138</v>
      </c>
      <c r="CX682" s="24" t="s">
        <v>138</v>
      </c>
      <c r="CY682" s="23" t="s">
        <v>138</v>
      </c>
      <c r="CZ682" s="24" t="s">
        <v>138</v>
      </c>
      <c r="DA682" s="23">
        <v>0.13</v>
      </c>
      <c r="DB682" s="24">
        <v>76</v>
      </c>
      <c r="DC682" s="25">
        <v>0.28000000000000003</v>
      </c>
      <c r="DD682" s="24">
        <v>21</v>
      </c>
      <c r="DE682" s="25">
        <v>0</v>
      </c>
      <c r="DF682" s="23">
        <v>0.56000000000000005</v>
      </c>
      <c r="DG682" s="25" t="s">
        <v>138</v>
      </c>
      <c r="DH682" s="24" t="s">
        <v>138</v>
      </c>
      <c r="DI682" s="25">
        <v>0.28000000000000003</v>
      </c>
      <c r="DJ682" s="24">
        <v>27</v>
      </c>
      <c r="DK682" s="25" t="s">
        <v>138</v>
      </c>
      <c r="DL682" s="24" t="s">
        <v>138</v>
      </c>
      <c r="DM682" s="25" t="s">
        <v>138</v>
      </c>
      <c r="DN682" s="24" t="s">
        <v>138</v>
      </c>
      <c r="DO682" s="25">
        <v>0.28000000000000003</v>
      </c>
      <c r="DP682" s="24">
        <v>29</v>
      </c>
      <c r="DQ682" s="24">
        <v>165</v>
      </c>
      <c r="DR682" s="26">
        <v>26</v>
      </c>
      <c r="DS682" s="23">
        <v>18.71</v>
      </c>
      <c r="DT682" s="24" t="s">
        <v>138</v>
      </c>
      <c r="DU682" s="26" t="s">
        <v>138</v>
      </c>
      <c r="DV682" s="23" t="s">
        <v>138</v>
      </c>
      <c r="DW682" s="24">
        <v>101</v>
      </c>
      <c r="DX682" s="27">
        <v>0</v>
      </c>
      <c r="DY682" s="23">
        <v>0</v>
      </c>
      <c r="DZ682" s="15" t="s">
        <v>178</v>
      </c>
      <c r="EA682" s="22">
        <v>43622</v>
      </c>
      <c r="EB682" s="17" t="s">
        <v>138</v>
      </c>
      <c r="EC682" s="22" t="s">
        <v>138</v>
      </c>
      <c r="ED682" s="15" t="s">
        <v>138</v>
      </c>
      <c r="EE682" s="14" t="str">
        <f>HYPERLINK("https://my.pitchbook.com?c=129702-79", "View company online")</f>
        <v>View company online</v>
      </c>
    </row>
    <row r="683" spans="1:135">
      <c r="A683" s="28" t="s">
        <v>13702</v>
      </c>
      <c r="B683" s="28" t="s">
        <v>13703</v>
      </c>
      <c r="C683" s="28" t="s">
        <v>138</v>
      </c>
      <c r="D683" s="28" t="s">
        <v>138</v>
      </c>
      <c r="E683" s="28" t="s">
        <v>138</v>
      </c>
      <c r="F683" s="28" t="s">
        <v>13702</v>
      </c>
      <c r="G683" s="28" t="s">
        <v>13704</v>
      </c>
      <c r="H683" s="28" t="s">
        <v>385</v>
      </c>
      <c r="I683" s="28" t="s">
        <v>1991</v>
      </c>
      <c r="J683" s="28" t="s">
        <v>4454</v>
      </c>
      <c r="K683" s="28" t="s">
        <v>4502</v>
      </c>
      <c r="L683" s="28" t="s">
        <v>1994</v>
      </c>
      <c r="M683" s="28" t="s">
        <v>13705</v>
      </c>
      <c r="N683" s="28" t="s">
        <v>147</v>
      </c>
      <c r="O683" s="29">
        <v>14.02</v>
      </c>
      <c r="P683" s="28" t="s">
        <v>148</v>
      </c>
      <c r="Q683" s="28" t="s">
        <v>149</v>
      </c>
      <c r="R683" s="28" t="s">
        <v>174</v>
      </c>
      <c r="S683" s="28" t="s">
        <v>13706</v>
      </c>
      <c r="T683" s="30">
        <v>28</v>
      </c>
      <c r="U683" s="28" t="s">
        <v>13707</v>
      </c>
      <c r="V683" s="28" t="s">
        <v>138</v>
      </c>
      <c r="W683" s="28" t="s">
        <v>138</v>
      </c>
      <c r="X683" s="31">
        <v>2006</v>
      </c>
      <c r="Y683" s="28" t="s">
        <v>138</v>
      </c>
      <c r="Z683" s="28" t="s">
        <v>138</v>
      </c>
      <c r="AA683" s="28" t="s">
        <v>138</v>
      </c>
      <c r="AB683" s="32">
        <v>1.72</v>
      </c>
      <c r="AC683" s="32">
        <v>0.37</v>
      </c>
      <c r="AD683" s="32">
        <v>-4.04</v>
      </c>
      <c r="AE683" s="32" t="s">
        <v>138</v>
      </c>
      <c r="AF683" s="32" t="s">
        <v>138</v>
      </c>
      <c r="AG683" s="28" t="s">
        <v>633</v>
      </c>
      <c r="AH683" s="32" t="s">
        <v>138</v>
      </c>
      <c r="AI683" s="32" t="s">
        <v>138</v>
      </c>
      <c r="AJ683" s="32" t="s">
        <v>138</v>
      </c>
      <c r="AK683" s="28" t="s">
        <v>13708</v>
      </c>
      <c r="AL683" s="28" t="s">
        <v>13709</v>
      </c>
      <c r="AM683" s="28" t="s">
        <v>13710</v>
      </c>
      <c r="AN683" s="28" t="s">
        <v>13711</v>
      </c>
      <c r="AO683" s="28" t="s">
        <v>13712</v>
      </c>
      <c r="AP683" s="28" t="s">
        <v>13713</v>
      </c>
      <c r="AQ683" s="28" t="s">
        <v>13714</v>
      </c>
      <c r="AR683" s="28" t="s">
        <v>13715</v>
      </c>
      <c r="AS683" s="28" t="s">
        <v>13716</v>
      </c>
      <c r="AT683" s="28" t="s">
        <v>824</v>
      </c>
      <c r="AU683" s="28" t="s">
        <v>13717</v>
      </c>
      <c r="AV683" s="28" t="s">
        <v>526</v>
      </c>
      <c r="AW683" s="28" t="s">
        <v>13712</v>
      </c>
      <c r="AX683" s="28" t="s">
        <v>138</v>
      </c>
      <c r="AY683" s="28" t="s">
        <v>13718</v>
      </c>
      <c r="AZ683" s="28" t="s">
        <v>530</v>
      </c>
      <c r="BA683" s="28" t="s">
        <v>531</v>
      </c>
      <c r="BB683" s="28" t="s">
        <v>13719</v>
      </c>
      <c r="BC683" s="28" t="s">
        <v>13720</v>
      </c>
      <c r="BD683" s="33">
        <v>7</v>
      </c>
      <c r="BE683" s="28" t="s">
        <v>138</v>
      </c>
      <c r="BF683" s="28" t="s">
        <v>138</v>
      </c>
      <c r="BG683" s="28" t="s">
        <v>138</v>
      </c>
      <c r="BH683" s="28" t="s">
        <v>13721</v>
      </c>
      <c r="BI683" s="28" t="s">
        <v>138</v>
      </c>
      <c r="BJ683" s="28" t="s">
        <v>138</v>
      </c>
      <c r="BK683" s="28" t="s">
        <v>13722</v>
      </c>
      <c r="BL683" s="28" t="s">
        <v>138</v>
      </c>
      <c r="BM683" s="34">
        <v>39083</v>
      </c>
      <c r="BN683" s="29" t="s">
        <v>138</v>
      </c>
      <c r="BO683" s="28" t="s">
        <v>138</v>
      </c>
      <c r="BP683" s="29" t="s">
        <v>138</v>
      </c>
      <c r="BQ683" s="28" t="s">
        <v>138</v>
      </c>
      <c r="BR683" s="28" t="s">
        <v>234</v>
      </c>
      <c r="BS683" s="28" t="s">
        <v>234</v>
      </c>
      <c r="BT683" s="28" t="s">
        <v>138</v>
      </c>
      <c r="BU683" s="28" t="s">
        <v>174</v>
      </c>
      <c r="BV683" s="28" t="s">
        <v>138</v>
      </c>
      <c r="BW683" s="28" t="s">
        <v>138</v>
      </c>
      <c r="BX683" s="28" t="s">
        <v>138</v>
      </c>
      <c r="BY683" s="28" t="s">
        <v>175</v>
      </c>
      <c r="BZ683" s="34">
        <v>43021</v>
      </c>
      <c r="CA683" s="29">
        <v>0.4</v>
      </c>
      <c r="CB683" s="28" t="s">
        <v>172</v>
      </c>
      <c r="CC683" s="29">
        <v>16.09</v>
      </c>
      <c r="CD683" s="28" t="s">
        <v>172</v>
      </c>
      <c r="CE683" s="28" t="s">
        <v>173</v>
      </c>
      <c r="CF683" s="28" t="s">
        <v>317</v>
      </c>
      <c r="CG683" s="28" t="s">
        <v>138</v>
      </c>
      <c r="CH683" s="28" t="s">
        <v>174</v>
      </c>
      <c r="CI683" s="28" t="s">
        <v>138</v>
      </c>
      <c r="CJ683" s="28" t="s">
        <v>138</v>
      </c>
      <c r="CK683" s="28" t="s">
        <v>138</v>
      </c>
      <c r="CL683" s="28" t="s">
        <v>175</v>
      </c>
      <c r="CM683" s="34" t="s">
        <v>138</v>
      </c>
      <c r="CN683" s="29" t="s">
        <v>138</v>
      </c>
      <c r="CO683" s="35">
        <v>0</v>
      </c>
      <c r="CP683" s="36">
        <v>26</v>
      </c>
      <c r="CQ683" s="35">
        <v>0</v>
      </c>
      <c r="CR683" s="35">
        <v>0</v>
      </c>
      <c r="CS683" s="35" t="s">
        <v>138</v>
      </c>
      <c r="CT683" s="36" t="s">
        <v>138</v>
      </c>
      <c r="CU683" s="35">
        <v>0</v>
      </c>
      <c r="CV683" s="36">
        <v>22</v>
      </c>
      <c r="CW683" s="35" t="s">
        <v>138</v>
      </c>
      <c r="CX683" s="36" t="s">
        <v>138</v>
      </c>
      <c r="CY683" s="35" t="s">
        <v>138</v>
      </c>
      <c r="CZ683" s="36" t="s">
        <v>138</v>
      </c>
      <c r="DA683" s="35">
        <v>0</v>
      </c>
      <c r="DB683" s="36">
        <v>22</v>
      </c>
      <c r="DC683" s="37">
        <v>0.16</v>
      </c>
      <c r="DD683" s="36">
        <v>12</v>
      </c>
      <c r="DE683" s="37">
        <v>0</v>
      </c>
      <c r="DF683" s="35">
        <v>0.56000000000000005</v>
      </c>
      <c r="DG683" s="37" t="s">
        <v>138</v>
      </c>
      <c r="DH683" s="36" t="s">
        <v>138</v>
      </c>
      <c r="DI683" s="37">
        <v>0.16</v>
      </c>
      <c r="DJ683" s="36">
        <v>19</v>
      </c>
      <c r="DK683" s="37" t="s">
        <v>138</v>
      </c>
      <c r="DL683" s="36" t="s">
        <v>138</v>
      </c>
      <c r="DM683" s="37" t="s">
        <v>138</v>
      </c>
      <c r="DN683" s="36" t="s">
        <v>138</v>
      </c>
      <c r="DO683" s="37">
        <v>0.16</v>
      </c>
      <c r="DP683" s="36">
        <v>22</v>
      </c>
      <c r="DQ683" s="36" t="s">
        <v>138</v>
      </c>
      <c r="DR683" s="38" t="s">
        <v>138</v>
      </c>
      <c r="DS683" s="35" t="s">
        <v>138</v>
      </c>
      <c r="DT683" s="36" t="s">
        <v>138</v>
      </c>
      <c r="DU683" s="38" t="s">
        <v>138</v>
      </c>
      <c r="DV683" s="35" t="s">
        <v>138</v>
      </c>
      <c r="DW683" s="36">
        <v>59</v>
      </c>
      <c r="DX683" s="39">
        <v>0</v>
      </c>
      <c r="DY683" s="35">
        <v>0</v>
      </c>
      <c r="DZ683" s="28" t="s">
        <v>178</v>
      </c>
      <c r="EA683" s="34">
        <v>43351</v>
      </c>
      <c r="EB683" s="29">
        <v>16.09</v>
      </c>
      <c r="EC683" s="34">
        <v>43021</v>
      </c>
      <c r="ED683" s="28" t="s">
        <v>173</v>
      </c>
      <c r="EE683" s="40" t="str">
        <f>HYPERLINK("https://my.pitchbook.com?c=53443-81", "View company online")</f>
        <v>View company online</v>
      </c>
    </row>
    <row r="684" spans="1:135">
      <c r="A684" s="15" t="s">
        <v>13723</v>
      </c>
      <c r="B684" s="15" t="s">
        <v>13724</v>
      </c>
      <c r="C684" s="15" t="s">
        <v>138</v>
      </c>
      <c r="D684" s="15" t="s">
        <v>13725</v>
      </c>
      <c r="E684" s="15" t="s">
        <v>13726</v>
      </c>
      <c r="F684" s="15" t="s">
        <v>13723</v>
      </c>
      <c r="G684" s="15" t="s">
        <v>13727</v>
      </c>
      <c r="H684" s="15" t="s">
        <v>385</v>
      </c>
      <c r="I684" s="15" t="s">
        <v>1991</v>
      </c>
      <c r="J684" s="15" t="s">
        <v>1992</v>
      </c>
      <c r="K684" s="15" t="s">
        <v>13728</v>
      </c>
      <c r="L684" s="15" t="s">
        <v>5652</v>
      </c>
      <c r="M684" s="15" t="s">
        <v>13729</v>
      </c>
      <c r="N684" s="15" t="s">
        <v>147</v>
      </c>
      <c r="O684" s="17">
        <v>72.5</v>
      </c>
      <c r="P684" s="15" t="s">
        <v>148</v>
      </c>
      <c r="Q684" s="15" t="s">
        <v>149</v>
      </c>
      <c r="R684" s="15" t="s">
        <v>174</v>
      </c>
      <c r="S684" s="15" t="s">
        <v>13730</v>
      </c>
      <c r="T684" s="18">
        <v>83</v>
      </c>
      <c r="U684" s="15" t="s">
        <v>13731</v>
      </c>
      <c r="V684" s="15" t="s">
        <v>138</v>
      </c>
      <c r="W684" s="15" t="s">
        <v>138</v>
      </c>
      <c r="X684" s="19">
        <v>2006</v>
      </c>
      <c r="Y684" s="15" t="s">
        <v>138</v>
      </c>
      <c r="Z684" s="15" t="s">
        <v>138</v>
      </c>
      <c r="AA684" s="15" t="s">
        <v>138</v>
      </c>
      <c r="AB684" s="20" t="s">
        <v>138</v>
      </c>
      <c r="AC684" s="20" t="s">
        <v>138</v>
      </c>
      <c r="AD684" s="20" t="s">
        <v>138</v>
      </c>
      <c r="AE684" s="20" t="s">
        <v>138</v>
      </c>
      <c r="AF684" s="20" t="s">
        <v>138</v>
      </c>
      <c r="AG684" s="15" t="s">
        <v>138</v>
      </c>
      <c r="AH684" s="20" t="s">
        <v>138</v>
      </c>
      <c r="AI684" s="20" t="s">
        <v>138</v>
      </c>
      <c r="AJ684" s="20" t="s">
        <v>138</v>
      </c>
      <c r="AK684" s="15" t="s">
        <v>13732</v>
      </c>
      <c r="AL684" s="15" t="s">
        <v>13733</v>
      </c>
      <c r="AM684" s="15" t="s">
        <v>566</v>
      </c>
      <c r="AN684" s="15" t="s">
        <v>13734</v>
      </c>
      <c r="AO684" s="15" t="s">
        <v>13735</v>
      </c>
      <c r="AP684" s="15" t="s">
        <v>13736</v>
      </c>
      <c r="AQ684" s="15" t="s">
        <v>13737</v>
      </c>
      <c r="AR684" s="15" t="s">
        <v>138</v>
      </c>
      <c r="AS684" s="15" t="s">
        <v>13738</v>
      </c>
      <c r="AT684" s="15" t="s">
        <v>138</v>
      </c>
      <c r="AU684" s="15" t="s">
        <v>13739</v>
      </c>
      <c r="AV684" s="15" t="s">
        <v>740</v>
      </c>
      <c r="AW684" s="15" t="s">
        <v>13735</v>
      </c>
      <c r="AX684" s="15" t="s">
        <v>138</v>
      </c>
      <c r="AY684" s="15" t="s">
        <v>138</v>
      </c>
      <c r="AZ684" s="15" t="s">
        <v>742</v>
      </c>
      <c r="BA684" s="15" t="s">
        <v>742</v>
      </c>
      <c r="BB684" s="15" t="s">
        <v>13740</v>
      </c>
      <c r="BC684" s="15" t="s">
        <v>13741</v>
      </c>
      <c r="BD684" s="21">
        <v>13</v>
      </c>
      <c r="BE684" s="15" t="s">
        <v>138</v>
      </c>
      <c r="BF684" s="15" t="s">
        <v>138</v>
      </c>
      <c r="BG684" s="15" t="s">
        <v>138</v>
      </c>
      <c r="BH684" s="15" t="s">
        <v>13742</v>
      </c>
      <c r="BI684" s="15" t="s">
        <v>138</v>
      </c>
      <c r="BJ684" s="15" t="s">
        <v>138</v>
      </c>
      <c r="BK684" s="15" t="s">
        <v>13743</v>
      </c>
      <c r="BL684" s="15" t="s">
        <v>138</v>
      </c>
      <c r="BM684" s="22">
        <v>39652</v>
      </c>
      <c r="BN684" s="17">
        <v>30</v>
      </c>
      <c r="BO684" s="15" t="s">
        <v>172</v>
      </c>
      <c r="BP684" s="17" t="s">
        <v>138</v>
      </c>
      <c r="BQ684" s="15" t="s">
        <v>138</v>
      </c>
      <c r="BR684" s="15" t="s">
        <v>205</v>
      </c>
      <c r="BS684" s="15" t="s">
        <v>138</v>
      </c>
      <c r="BT684" s="15" t="s">
        <v>138</v>
      </c>
      <c r="BU684" s="15" t="s">
        <v>174</v>
      </c>
      <c r="BV684" s="15" t="s">
        <v>138</v>
      </c>
      <c r="BW684" s="15" t="s">
        <v>138</v>
      </c>
      <c r="BX684" s="15" t="s">
        <v>138</v>
      </c>
      <c r="BY684" s="15" t="s">
        <v>175</v>
      </c>
      <c r="BZ684" s="22">
        <v>40931</v>
      </c>
      <c r="CA684" s="17">
        <v>30</v>
      </c>
      <c r="CB684" s="15" t="s">
        <v>172</v>
      </c>
      <c r="CC684" s="17" t="s">
        <v>138</v>
      </c>
      <c r="CD684" s="15" t="s">
        <v>138</v>
      </c>
      <c r="CE684" s="15" t="s">
        <v>173</v>
      </c>
      <c r="CF684" s="15" t="s">
        <v>720</v>
      </c>
      <c r="CG684" s="15" t="s">
        <v>138</v>
      </c>
      <c r="CH684" s="15" t="s">
        <v>174</v>
      </c>
      <c r="CI684" s="15" t="s">
        <v>138</v>
      </c>
      <c r="CJ684" s="15" t="s">
        <v>138</v>
      </c>
      <c r="CK684" s="15" t="s">
        <v>138</v>
      </c>
      <c r="CL684" s="15" t="s">
        <v>175</v>
      </c>
      <c r="CM684" s="22" t="s">
        <v>138</v>
      </c>
      <c r="CN684" s="17" t="s">
        <v>138</v>
      </c>
      <c r="CO684" s="23">
        <v>0.93</v>
      </c>
      <c r="CP684" s="24">
        <v>97</v>
      </c>
      <c r="CQ684" s="23">
        <v>-0.06</v>
      </c>
      <c r="CR684" s="23">
        <v>-6.01</v>
      </c>
      <c r="CS684" s="23">
        <v>2.31</v>
      </c>
      <c r="CT684" s="24">
        <v>99</v>
      </c>
      <c r="CU684" s="23">
        <v>-0.01</v>
      </c>
      <c r="CV684" s="24">
        <v>20</v>
      </c>
      <c r="CW684" s="23">
        <v>7.82</v>
      </c>
      <c r="CX684" s="24">
        <v>98</v>
      </c>
      <c r="CY684" s="23">
        <v>-3.2</v>
      </c>
      <c r="CZ684" s="24">
        <v>6</v>
      </c>
      <c r="DA684" s="23">
        <v>-0.01</v>
      </c>
      <c r="DB684" s="24">
        <v>21</v>
      </c>
      <c r="DC684" s="25">
        <v>16.809999999999999</v>
      </c>
      <c r="DD684" s="24">
        <v>94</v>
      </c>
      <c r="DE684" s="25">
        <v>-0.49</v>
      </c>
      <c r="DF684" s="23">
        <v>-2.82</v>
      </c>
      <c r="DG684" s="25">
        <v>44.09</v>
      </c>
      <c r="DH684" s="24">
        <v>98</v>
      </c>
      <c r="DI684" s="25">
        <v>3.81</v>
      </c>
      <c r="DJ684" s="24">
        <v>73</v>
      </c>
      <c r="DK684" s="25">
        <v>22.73</v>
      </c>
      <c r="DL684" s="24">
        <v>92</v>
      </c>
      <c r="DM684" s="25">
        <v>65.45</v>
      </c>
      <c r="DN684" s="24">
        <v>99</v>
      </c>
      <c r="DO684" s="25">
        <v>3.81</v>
      </c>
      <c r="DP684" s="24">
        <v>75</v>
      </c>
      <c r="DQ684" s="24">
        <v>7682</v>
      </c>
      <c r="DR684" s="26">
        <v>341</v>
      </c>
      <c r="DS684" s="23">
        <v>4.6500000000000004</v>
      </c>
      <c r="DT684" s="24">
        <v>1901</v>
      </c>
      <c r="DU684" s="26">
        <v>-4</v>
      </c>
      <c r="DV684" s="23">
        <v>-0.21</v>
      </c>
      <c r="DW684" s="24">
        <v>1365</v>
      </c>
      <c r="DX684" s="27">
        <v>0</v>
      </c>
      <c r="DY684" s="23">
        <v>0</v>
      </c>
      <c r="DZ684" s="15" t="s">
        <v>178</v>
      </c>
      <c r="EA684" s="22">
        <v>43574</v>
      </c>
      <c r="EB684" s="17" t="s">
        <v>138</v>
      </c>
      <c r="EC684" s="22" t="s">
        <v>138</v>
      </c>
      <c r="ED684" s="15" t="s">
        <v>138</v>
      </c>
      <c r="EE684" s="14" t="str">
        <f>HYPERLINK("https://my.pitchbook.com?c=51457-42", "View company online")</f>
        <v>View company online</v>
      </c>
    </row>
    <row r="685" spans="1:135">
      <c r="A685" s="28" t="s">
        <v>13744</v>
      </c>
      <c r="B685" s="28" t="s">
        <v>13745</v>
      </c>
      <c r="C685" s="28" t="s">
        <v>13746</v>
      </c>
      <c r="D685" s="28" t="s">
        <v>138</v>
      </c>
      <c r="E685" s="28" t="s">
        <v>138</v>
      </c>
      <c r="F685" s="28" t="s">
        <v>13744</v>
      </c>
      <c r="G685" s="28" t="s">
        <v>13747</v>
      </c>
      <c r="H685" s="28" t="s">
        <v>141</v>
      </c>
      <c r="I685" s="28" t="s">
        <v>212</v>
      </c>
      <c r="J685" s="28" t="s">
        <v>213</v>
      </c>
      <c r="K685" s="28" t="s">
        <v>5748</v>
      </c>
      <c r="L685" s="28" t="s">
        <v>4341</v>
      </c>
      <c r="M685" s="28" t="s">
        <v>13748</v>
      </c>
      <c r="N685" s="28" t="s">
        <v>147</v>
      </c>
      <c r="O685" s="29">
        <v>1.85</v>
      </c>
      <c r="P685" s="28" t="s">
        <v>148</v>
      </c>
      <c r="Q685" s="28" t="s">
        <v>149</v>
      </c>
      <c r="R685" s="28" t="s">
        <v>328</v>
      </c>
      <c r="S685" s="28" t="s">
        <v>13749</v>
      </c>
      <c r="T685" s="30">
        <v>13</v>
      </c>
      <c r="U685" s="28" t="s">
        <v>13750</v>
      </c>
      <c r="V685" s="28" t="s">
        <v>138</v>
      </c>
      <c r="W685" s="28" t="s">
        <v>138</v>
      </c>
      <c r="X685" s="31">
        <v>2011</v>
      </c>
      <c r="Y685" s="28" t="s">
        <v>138</v>
      </c>
      <c r="Z685" s="28" t="s">
        <v>138</v>
      </c>
      <c r="AA685" s="28" t="s">
        <v>138</v>
      </c>
      <c r="AB685" s="32" t="s">
        <v>138</v>
      </c>
      <c r="AC685" s="32" t="s">
        <v>138</v>
      </c>
      <c r="AD685" s="32" t="s">
        <v>138</v>
      </c>
      <c r="AE685" s="32" t="s">
        <v>138</v>
      </c>
      <c r="AF685" s="32" t="s">
        <v>138</v>
      </c>
      <c r="AG685" s="28" t="s">
        <v>138</v>
      </c>
      <c r="AH685" s="32" t="s">
        <v>138</v>
      </c>
      <c r="AI685" s="32" t="s">
        <v>138</v>
      </c>
      <c r="AJ685" s="32" t="s">
        <v>138</v>
      </c>
      <c r="AK685" s="28" t="s">
        <v>13751</v>
      </c>
      <c r="AL685" s="28" t="s">
        <v>13752</v>
      </c>
      <c r="AM685" s="28" t="s">
        <v>249</v>
      </c>
      <c r="AN685" s="28" t="s">
        <v>13753</v>
      </c>
      <c r="AO685" s="28" t="s">
        <v>13754</v>
      </c>
      <c r="AP685" s="28" t="s">
        <v>13755</v>
      </c>
      <c r="AQ685" s="28" t="s">
        <v>13756</v>
      </c>
      <c r="AR685" s="28" t="s">
        <v>138</v>
      </c>
      <c r="AS685" s="28" t="s">
        <v>13757</v>
      </c>
      <c r="AT685" s="28" t="s">
        <v>4493</v>
      </c>
      <c r="AU685" s="28" t="s">
        <v>13758</v>
      </c>
      <c r="AV685" s="28" t="s">
        <v>162</v>
      </c>
      <c r="AW685" s="28" t="s">
        <v>13754</v>
      </c>
      <c r="AX685" s="28" t="s">
        <v>13759</v>
      </c>
      <c r="AY685" s="28" t="s">
        <v>13760</v>
      </c>
      <c r="AZ685" s="28" t="s">
        <v>164</v>
      </c>
      <c r="BA685" s="28" t="s">
        <v>165</v>
      </c>
      <c r="BB685" s="28" t="s">
        <v>13761</v>
      </c>
      <c r="BC685" s="28" t="s">
        <v>13762</v>
      </c>
      <c r="BD685" s="33">
        <v>2</v>
      </c>
      <c r="BE685" s="28" t="s">
        <v>138</v>
      </c>
      <c r="BF685" s="28" t="s">
        <v>13763</v>
      </c>
      <c r="BG685" s="28" t="s">
        <v>138</v>
      </c>
      <c r="BH685" s="28" t="s">
        <v>13764</v>
      </c>
      <c r="BI685" s="28" t="s">
        <v>13765</v>
      </c>
      <c r="BJ685" s="28" t="s">
        <v>138</v>
      </c>
      <c r="BK685" s="28" t="s">
        <v>13766</v>
      </c>
      <c r="BL685" s="28" t="s">
        <v>138</v>
      </c>
      <c r="BM685" s="34">
        <v>40862</v>
      </c>
      <c r="BN685" s="29">
        <v>0.15</v>
      </c>
      <c r="BO685" s="28" t="s">
        <v>172</v>
      </c>
      <c r="BP685" s="29">
        <v>3</v>
      </c>
      <c r="BQ685" s="28" t="s">
        <v>172</v>
      </c>
      <c r="BR685" s="28" t="s">
        <v>205</v>
      </c>
      <c r="BS685" s="28" t="s">
        <v>623</v>
      </c>
      <c r="BT685" s="28" t="s">
        <v>138</v>
      </c>
      <c r="BU685" s="28" t="s">
        <v>174</v>
      </c>
      <c r="BV685" s="28" t="s">
        <v>138</v>
      </c>
      <c r="BW685" s="28" t="s">
        <v>138</v>
      </c>
      <c r="BX685" s="28" t="s">
        <v>138</v>
      </c>
      <c r="BY685" s="28" t="s">
        <v>175</v>
      </c>
      <c r="BZ685" s="34">
        <v>42510</v>
      </c>
      <c r="CA685" s="29" t="s">
        <v>138</v>
      </c>
      <c r="CB685" s="28" t="s">
        <v>138</v>
      </c>
      <c r="CC685" s="29" t="s">
        <v>138</v>
      </c>
      <c r="CD685" s="28" t="s">
        <v>138</v>
      </c>
      <c r="CE685" s="28" t="s">
        <v>205</v>
      </c>
      <c r="CF685" s="28" t="s">
        <v>138</v>
      </c>
      <c r="CG685" s="28" t="s">
        <v>138</v>
      </c>
      <c r="CH685" s="28" t="s">
        <v>174</v>
      </c>
      <c r="CI685" s="28" t="s">
        <v>138</v>
      </c>
      <c r="CJ685" s="28" t="s">
        <v>138</v>
      </c>
      <c r="CK685" s="28" t="s">
        <v>138</v>
      </c>
      <c r="CL685" s="28" t="s">
        <v>175</v>
      </c>
      <c r="CM685" s="34" t="s">
        <v>138</v>
      </c>
      <c r="CN685" s="29" t="s">
        <v>138</v>
      </c>
      <c r="CO685" s="35">
        <v>-0.1</v>
      </c>
      <c r="CP685" s="36">
        <v>21</v>
      </c>
      <c r="CQ685" s="35">
        <v>0</v>
      </c>
      <c r="CR685" s="35">
        <v>0</v>
      </c>
      <c r="CS685" s="35">
        <v>0</v>
      </c>
      <c r="CT685" s="36">
        <v>23</v>
      </c>
      <c r="CU685" s="35">
        <v>-0.19</v>
      </c>
      <c r="CV685" s="36">
        <v>2</v>
      </c>
      <c r="CW685" s="35" t="s">
        <v>138</v>
      </c>
      <c r="CX685" s="36" t="s">
        <v>138</v>
      </c>
      <c r="CY685" s="35">
        <v>0</v>
      </c>
      <c r="CZ685" s="36">
        <v>25</v>
      </c>
      <c r="DA685" s="35">
        <v>-0.19</v>
      </c>
      <c r="DB685" s="36">
        <v>2</v>
      </c>
      <c r="DC685" s="37">
        <v>0.99</v>
      </c>
      <c r="DD685" s="36">
        <v>51</v>
      </c>
      <c r="DE685" s="37">
        <v>-0.02</v>
      </c>
      <c r="DF685" s="35">
        <v>-1.62</v>
      </c>
      <c r="DG685" s="37">
        <v>1.62</v>
      </c>
      <c r="DH685" s="36">
        <v>62</v>
      </c>
      <c r="DI685" s="37">
        <v>0.36</v>
      </c>
      <c r="DJ685" s="36">
        <v>31</v>
      </c>
      <c r="DK685" s="37" t="s">
        <v>138</v>
      </c>
      <c r="DL685" s="36" t="s">
        <v>138</v>
      </c>
      <c r="DM685" s="37">
        <v>1.62</v>
      </c>
      <c r="DN685" s="36">
        <v>61</v>
      </c>
      <c r="DO685" s="37">
        <v>0.36</v>
      </c>
      <c r="DP685" s="36">
        <v>33</v>
      </c>
      <c r="DQ685" s="36" t="s">
        <v>138</v>
      </c>
      <c r="DR685" s="38" t="s">
        <v>138</v>
      </c>
      <c r="DS685" s="35" t="s">
        <v>138</v>
      </c>
      <c r="DT685" s="36">
        <v>47</v>
      </c>
      <c r="DU685" s="38">
        <v>-1</v>
      </c>
      <c r="DV685" s="35">
        <v>-2.08</v>
      </c>
      <c r="DW685" s="36">
        <v>128</v>
      </c>
      <c r="DX685" s="39">
        <v>0</v>
      </c>
      <c r="DY685" s="35">
        <v>0</v>
      </c>
      <c r="DZ685" s="28" t="s">
        <v>178</v>
      </c>
      <c r="EA685" s="34">
        <v>43351</v>
      </c>
      <c r="EB685" s="29">
        <v>8.49</v>
      </c>
      <c r="EC685" s="34">
        <v>41782</v>
      </c>
      <c r="ED685" s="28" t="s">
        <v>205</v>
      </c>
      <c r="EE685" s="40" t="str">
        <f>HYPERLINK("https://my.pitchbook.com?c=53675-29", "View company online")</f>
        <v>View company online</v>
      </c>
    </row>
    <row r="686" spans="1:135">
      <c r="A686" s="15" t="s">
        <v>13767</v>
      </c>
      <c r="B686" s="15" t="s">
        <v>13768</v>
      </c>
      <c r="C686" s="15" t="s">
        <v>138</v>
      </c>
      <c r="D686" s="15" t="s">
        <v>138</v>
      </c>
      <c r="E686" s="15" t="s">
        <v>13769</v>
      </c>
      <c r="F686" s="15" t="s">
        <v>13767</v>
      </c>
      <c r="G686" s="15" t="s">
        <v>13770</v>
      </c>
      <c r="H686" s="15" t="s">
        <v>385</v>
      </c>
      <c r="I686" s="15" t="s">
        <v>1991</v>
      </c>
      <c r="J686" s="15" t="s">
        <v>4454</v>
      </c>
      <c r="K686" s="15" t="s">
        <v>13771</v>
      </c>
      <c r="L686" s="15" t="s">
        <v>13772</v>
      </c>
      <c r="M686" s="15" t="s">
        <v>13773</v>
      </c>
      <c r="N686" s="15" t="s">
        <v>1212</v>
      </c>
      <c r="O686" s="17">
        <v>23.38</v>
      </c>
      <c r="P686" s="15" t="s">
        <v>148</v>
      </c>
      <c r="Q686" s="15" t="s">
        <v>149</v>
      </c>
      <c r="R686" s="15" t="s">
        <v>244</v>
      </c>
      <c r="S686" s="15" t="s">
        <v>13774</v>
      </c>
      <c r="T686" s="18">
        <v>25</v>
      </c>
      <c r="U686" s="15" t="s">
        <v>13775</v>
      </c>
      <c r="V686" s="15" t="s">
        <v>138</v>
      </c>
      <c r="W686" s="15" t="s">
        <v>138</v>
      </c>
      <c r="X686" s="19">
        <v>2009</v>
      </c>
      <c r="Y686" s="15" t="s">
        <v>138</v>
      </c>
      <c r="Z686" s="15" t="s">
        <v>138</v>
      </c>
      <c r="AA686" s="15" t="s">
        <v>138</v>
      </c>
      <c r="AB686" s="20" t="s">
        <v>138</v>
      </c>
      <c r="AC686" s="20" t="s">
        <v>138</v>
      </c>
      <c r="AD686" s="20" t="s">
        <v>138</v>
      </c>
      <c r="AE686" s="20" t="s">
        <v>138</v>
      </c>
      <c r="AF686" s="20" t="s">
        <v>138</v>
      </c>
      <c r="AG686" s="15" t="s">
        <v>138</v>
      </c>
      <c r="AH686" s="20" t="s">
        <v>138</v>
      </c>
      <c r="AI686" s="20" t="s">
        <v>138</v>
      </c>
      <c r="AJ686" s="20" t="s">
        <v>138</v>
      </c>
      <c r="AK686" s="15" t="s">
        <v>13776</v>
      </c>
      <c r="AL686" s="15" t="s">
        <v>13777</v>
      </c>
      <c r="AM686" s="15" t="s">
        <v>2949</v>
      </c>
      <c r="AN686" s="15" t="s">
        <v>13778</v>
      </c>
      <c r="AO686" s="15" t="s">
        <v>13779</v>
      </c>
      <c r="AP686" s="15" t="s">
        <v>1113</v>
      </c>
      <c r="AQ686" s="15" t="s">
        <v>13780</v>
      </c>
      <c r="AR686" s="15" t="s">
        <v>713</v>
      </c>
      <c r="AS686" s="15" t="s">
        <v>1116</v>
      </c>
      <c r="AT686" s="15" t="s">
        <v>864</v>
      </c>
      <c r="AU686" s="15" t="s">
        <v>13781</v>
      </c>
      <c r="AV686" s="15" t="s">
        <v>162</v>
      </c>
      <c r="AW686" s="15" t="s">
        <v>13779</v>
      </c>
      <c r="AX686" s="15" t="s">
        <v>138</v>
      </c>
      <c r="AY686" s="15" t="s">
        <v>13782</v>
      </c>
      <c r="AZ686" s="15" t="s">
        <v>164</v>
      </c>
      <c r="BA686" s="15" t="s">
        <v>165</v>
      </c>
      <c r="BB686" s="15" t="s">
        <v>13783</v>
      </c>
      <c r="BC686" s="15" t="s">
        <v>138</v>
      </c>
      <c r="BD686" s="21" t="s">
        <v>138</v>
      </c>
      <c r="BE686" s="15" t="s">
        <v>13784</v>
      </c>
      <c r="BF686" s="15" t="s">
        <v>13785</v>
      </c>
      <c r="BG686" s="15" t="s">
        <v>138</v>
      </c>
      <c r="BH686" s="15" t="s">
        <v>138</v>
      </c>
      <c r="BI686" s="15" t="s">
        <v>13786</v>
      </c>
      <c r="BJ686" s="15" t="s">
        <v>138</v>
      </c>
      <c r="BK686" s="15" t="s">
        <v>3460</v>
      </c>
      <c r="BL686" s="15" t="s">
        <v>13787</v>
      </c>
      <c r="BM686" s="22">
        <v>40213</v>
      </c>
      <c r="BN686" s="17">
        <v>1.02</v>
      </c>
      <c r="BO686" s="15" t="s">
        <v>172</v>
      </c>
      <c r="BP686" s="17">
        <v>2.46</v>
      </c>
      <c r="BQ686" s="15" t="s">
        <v>172</v>
      </c>
      <c r="BR686" s="15" t="s">
        <v>234</v>
      </c>
      <c r="BS686" s="15" t="s">
        <v>234</v>
      </c>
      <c r="BT686" s="15" t="s">
        <v>138</v>
      </c>
      <c r="BU686" s="15" t="s">
        <v>174</v>
      </c>
      <c r="BV686" s="15" t="s">
        <v>138</v>
      </c>
      <c r="BW686" s="15" t="s">
        <v>138</v>
      </c>
      <c r="BX686" s="15" t="s">
        <v>138</v>
      </c>
      <c r="BY686" s="15" t="s">
        <v>175</v>
      </c>
      <c r="BZ686" s="22">
        <v>43556</v>
      </c>
      <c r="CA686" s="17" t="s">
        <v>138</v>
      </c>
      <c r="CB686" s="15" t="s">
        <v>138</v>
      </c>
      <c r="CC686" s="17" t="s">
        <v>138</v>
      </c>
      <c r="CD686" s="15" t="s">
        <v>138</v>
      </c>
      <c r="CE686" s="15" t="s">
        <v>2228</v>
      </c>
      <c r="CF686" s="15" t="s">
        <v>138</v>
      </c>
      <c r="CG686" s="15" t="s">
        <v>138</v>
      </c>
      <c r="CH686" s="15" t="s">
        <v>780</v>
      </c>
      <c r="CI686" s="15" t="s">
        <v>138</v>
      </c>
      <c r="CJ686" s="15" t="s">
        <v>138</v>
      </c>
      <c r="CK686" s="15" t="s">
        <v>138</v>
      </c>
      <c r="CL686" s="15" t="s">
        <v>175</v>
      </c>
      <c r="CM686" s="22">
        <v>42145</v>
      </c>
      <c r="CN686" s="17">
        <v>2.5</v>
      </c>
      <c r="CO686" s="23" t="s">
        <v>138</v>
      </c>
      <c r="CP686" s="24" t="s">
        <v>138</v>
      </c>
      <c r="CQ686" s="23" t="s">
        <v>138</v>
      </c>
      <c r="CR686" s="23" t="s">
        <v>138</v>
      </c>
      <c r="CS686" s="23" t="s">
        <v>138</v>
      </c>
      <c r="CT686" s="24" t="s">
        <v>138</v>
      </c>
      <c r="CU686" s="23" t="s">
        <v>138</v>
      </c>
      <c r="CV686" s="24" t="s">
        <v>138</v>
      </c>
      <c r="CW686" s="23" t="s">
        <v>138</v>
      </c>
      <c r="CX686" s="24" t="s">
        <v>138</v>
      </c>
      <c r="CY686" s="23" t="s">
        <v>138</v>
      </c>
      <c r="CZ686" s="24" t="s">
        <v>138</v>
      </c>
      <c r="DA686" s="23" t="s">
        <v>138</v>
      </c>
      <c r="DB686" s="24" t="s">
        <v>138</v>
      </c>
      <c r="DC686" s="25" t="s">
        <v>138</v>
      </c>
      <c r="DD686" s="24" t="s">
        <v>138</v>
      </c>
      <c r="DE686" s="25" t="s">
        <v>138</v>
      </c>
      <c r="DF686" s="23" t="s">
        <v>138</v>
      </c>
      <c r="DG686" s="25" t="s">
        <v>138</v>
      </c>
      <c r="DH686" s="24" t="s">
        <v>138</v>
      </c>
      <c r="DI686" s="25" t="s">
        <v>138</v>
      </c>
      <c r="DJ686" s="24" t="s">
        <v>138</v>
      </c>
      <c r="DK686" s="25" t="s">
        <v>138</v>
      </c>
      <c r="DL686" s="24" t="s">
        <v>138</v>
      </c>
      <c r="DM686" s="25" t="s">
        <v>138</v>
      </c>
      <c r="DN686" s="24" t="s">
        <v>138</v>
      </c>
      <c r="DO686" s="25" t="s">
        <v>138</v>
      </c>
      <c r="DP686" s="24" t="s">
        <v>138</v>
      </c>
      <c r="DQ686" s="24" t="s">
        <v>138</v>
      </c>
      <c r="DR686" s="26" t="s">
        <v>138</v>
      </c>
      <c r="DS686" s="23" t="s">
        <v>138</v>
      </c>
      <c r="DT686" s="24" t="s">
        <v>138</v>
      </c>
      <c r="DU686" s="26" t="s">
        <v>138</v>
      </c>
      <c r="DV686" s="23" t="s">
        <v>138</v>
      </c>
      <c r="DW686" s="24" t="s">
        <v>138</v>
      </c>
      <c r="DX686" s="27" t="s">
        <v>138</v>
      </c>
      <c r="DY686" s="23" t="s">
        <v>138</v>
      </c>
      <c r="DZ686" s="15" t="s">
        <v>178</v>
      </c>
      <c r="EA686" s="22">
        <v>43605</v>
      </c>
      <c r="EB686" s="17">
        <v>18</v>
      </c>
      <c r="EC686" s="22">
        <v>41779</v>
      </c>
      <c r="ED686" s="15" t="s">
        <v>173</v>
      </c>
      <c r="EE686" s="14" t="str">
        <f>HYPERLINK("https://my.pitchbook.com?c=53320-69", "View company online")</f>
        <v>View company online</v>
      </c>
    </row>
    <row r="687" spans="1:135">
      <c r="A687" s="28" t="s">
        <v>13788</v>
      </c>
      <c r="B687" s="28" t="s">
        <v>13789</v>
      </c>
      <c r="C687" s="28" t="s">
        <v>138</v>
      </c>
      <c r="D687" s="28" t="s">
        <v>138</v>
      </c>
      <c r="E687" s="28" t="s">
        <v>13790</v>
      </c>
      <c r="F687" s="28" t="s">
        <v>13788</v>
      </c>
      <c r="G687" s="28" t="s">
        <v>13791</v>
      </c>
      <c r="H687" s="28" t="s">
        <v>385</v>
      </c>
      <c r="I687" s="28" t="s">
        <v>386</v>
      </c>
      <c r="J687" s="28" t="s">
        <v>387</v>
      </c>
      <c r="K687" s="28" t="s">
        <v>13792</v>
      </c>
      <c r="L687" s="28" t="s">
        <v>6542</v>
      </c>
      <c r="M687" s="28" t="s">
        <v>13793</v>
      </c>
      <c r="N687" s="28" t="s">
        <v>147</v>
      </c>
      <c r="O687" s="29">
        <v>22.03</v>
      </c>
      <c r="P687" s="28" t="s">
        <v>148</v>
      </c>
      <c r="Q687" s="28" t="s">
        <v>149</v>
      </c>
      <c r="R687" s="28" t="s">
        <v>150</v>
      </c>
      <c r="S687" s="28" t="s">
        <v>13794</v>
      </c>
      <c r="T687" s="30">
        <v>29</v>
      </c>
      <c r="U687" s="28" t="s">
        <v>13795</v>
      </c>
      <c r="V687" s="28" t="s">
        <v>138</v>
      </c>
      <c r="W687" s="28" t="s">
        <v>138</v>
      </c>
      <c r="X687" s="31">
        <v>2011</v>
      </c>
      <c r="Y687" s="28" t="s">
        <v>138</v>
      </c>
      <c r="Z687" s="28" t="s">
        <v>138</v>
      </c>
      <c r="AA687" s="28" t="s">
        <v>138</v>
      </c>
      <c r="AB687" s="32" t="s">
        <v>138</v>
      </c>
      <c r="AC687" s="32" t="s">
        <v>138</v>
      </c>
      <c r="AD687" s="32" t="s">
        <v>138</v>
      </c>
      <c r="AE687" s="32" t="s">
        <v>138</v>
      </c>
      <c r="AF687" s="32" t="s">
        <v>138</v>
      </c>
      <c r="AG687" s="28" t="s">
        <v>138</v>
      </c>
      <c r="AH687" s="32" t="s">
        <v>138</v>
      </c>
      <c r="AI687" s="32" t="s">
        <v>138</v>
      </c>
      <c r="AJ687" s="32" t="s">
        <v>138</v>
      </c>
      <c r="AK687" s="28" t="s">
        <v>13796</v>
      </c>
      <c r="AL687" s="28" t="s">
        <v>13797</v>
      </c>
      <c r="AM687" s="28" t="s">
        <v>1632</v>
      </c>
      <c r="AN687" s="28" t="s">
        <v>13798</v>
      </c>
      <c r="AO687" s="28" t="s">
        <v>13799</v>
      </c>
      <c r="AP687" s="28" t="s">
        <v>2842</v>
      </c>
      <c r="AQ687" s="28" t="s">
        <v>13800</v>
      </c>
      <c r="AR687" s="28" t="s">
        <v>138</v>
      </c>
      <c r="AS687" s="28" t="s">
        <v>2845</v>
      </c>
      <c r="AT687" s="28" t="s">
        <v>200</v>
      </c>
      <c r="AU687" s="28" t="s">
        <v>10437</v>
      </c>
      <c r="AV687" s="28" t="s">
        <v>162</v>
      </c>
      <c r="AW687" s="28" t="s">
        <v>13799</v>
      </c>
      <c r="AX687" s="28" t="s">
        <v>138</v>
      </c>
      <c r="AY687" s="28" t="s">
        <v>13801</v>
      </c>
      <c r="AZ687" s="28" t="s">
        <v>164</v>
      </c>
      <c r="BA687" s="28" t="s">
        <v>165</v>
      </c>
      <c r="BB687" s="28" t="s">
        <v>13802</v>
      </c>
      <c r="BC687" s="28" t="s">
        <v>13803</v>
      </c>
      <c r="BD687" s="33">
        <v>7</v>
      </c>
      <c r="BE687" s="28" t="s">
        <v>138</v>
      </c>
      <c r="BF687" s="28" t="s">
        <v>138</v>
      </c>
      <c r="BG687" s="28" t="s">
        <v>138</v>
      </c>
      <c r="BH687" s="28" t="s">
        <v>13804</v>
      </c>
      <c r="BI687" s="28" t="s">
        <v>138</v>
      </c>
      <c r="BJ687" s="28" t="s">
        <v>138</v>
      </c>
      <c r="BK687" s="28" t="s">
        <v>290</v>
      </c>
      <c r="BL687" s="28" t="s">
        <v>290</v>
      </c>
      <c r="BM687" s="34" t="s">
        <v>138</v>
      </c>
      <c r="BN687" s="29" t="s">
        <v>138</v>
      </c>
      <c r="BO687" s="28" t="s">
        <v>138</v>
      </c>
      <c r="BP687" s="29" t="s">
        <v>138</v>
      </c>
      <c r="BQ687" s="28" t="s">
        <v>138</v>
      </c>
      <c r="BR687" s="28" t="s">
        <v>316</v>
      </c>
      <c r="BS687" s="28" t="s">
        <v>138</v>
      </c>
      <c r="BT687" s="28" t="s">
        <v>138</v>
      </c>
      <c r="BU687" s="28" t="s">
        <v>177</v>
      </c>
      <c r="BV687" s="28" t="s">
        <v>138</v>
      </c>
      <c r="BW687" s="28" t="s">
        <v>138</v>
      </c>
      <c r="BX687" s="28" t="s">
        <v>138</v>
      </c>
      <c r="BY687" s="28" t="s">
        <v>175</v>
      </c>
      <c r="BZ687" s="34">
        <v>43594</v>
      </c>
      <c r="CA687" s="29">
        <v>2.0299999999999998</v>
      </c>
      <c r="CB687" s="28" t="s">
        <v>172</v>
      </c>
      <c r="CC687" s="29" t="s">
        <v>138</v>
      </c>
      <c r="CD687" s="28" t="s">
        <v>138</v>
      </c>
      <c r="CE687" s="28" t="s">
        <v>173</v>
      </c>
      <c r="CF687" s="28" t="s">
        <v>138</v>
      </c>
      <c r="CG687" s="28" t="s">
        <v>138</v>
      </c>
      <c r="CH687" s="28" t="s">
        <v>174</v>
      </c>
      <c r="CI687" s="28" t="s">
        <v>264</v>
      </c>
      <c r="CJ687" s="28" t="s">
        <v>138</v>
      </c>
      <c r="CK687" s="28" t="s">
        <v>138</v>
      </c>
      <c r="CL687" s="28" t="s">
        <v>175</v>
      </c>
      <c r="CM687" s="34" t="s">
        <v>138</v>
      </c>
      <c r="CN687" s="29" t="s">
        <v>138</v>
      </c>
      <c r="CO687" s="35">
        <v>-0.84</v>
      </c>
      <c r="CP687" s="36">
        <v>12</v>
      </c>
      <c r="CQ687" s="35">
        <v>0.12</v>
      </c>
      <c r="CR687" s="35">
        <v>12.65</v>
      </c>
      <c r="CS687" s="35">
        <v>-1.79</v>
      </c>
      <c r="CT687" s="36">
        <v>10</v>
      </c>
      <c r="CU687" s="35">
        <v>0.12</v>
      </c>
      <c r="CV687" s="36">
        <v>71</v>
      </c>
      <c r="CW687" s="35" t="s">
        <v>138</v>
      </c>
      <c r="CX687" s="36" t="s">
        <v>138</v>
      </c>
      <c r="CY687" s="35">
        <v>-1.79</v>
      </c>
      <c r="CZ687" s="36">
        <v>13</v>
      </c>
      <c r="DA687" s="35">
        <v>0.12</v>
      </c>
      <c r="DB687" s="36">
        <v>75</v>
      </c>
      <c r="DC687" s="37">
        <v>5.12</v>
      </c>
      <c r="DD687" s="36">
        <v>83</v>
      </c>
      <c r="DE687" s="37">
        <v>0.06</v>
      </c>
      <c r="DF687" s="35">
        <v>1.1299999999999999</v>
      </c>
      <c r="DG687" s="37">
        <v>7.86</v>
      </c>
      <c r="DH687" s="36">
        <v>87</v>
      </c>
      <c r="DI687" s="37">
        <v>2.39</v>
      </c>
      <c r="DJ687" s="36">
        <v>66</v>
      </c>
      <c r="DK687" s="37" t="s">
        <v>138</v>
      </c>
      <c r="DL687" s="36" t="s">
        <v>138</v>
      </c>
      <c r="DM687" s="37">
        <v>7.86</v>
      </c>
      <c r="DN687" s="36">
        <v>87</v>
      </c>
      <c r="DO687" s="37">
        <v>3.67</v>
      </c>
      <c r="DP687" s="36">
        <v>74</v>
      </c>
      <c r="DQ687" s="36" t="s">
        <v>138</v>
      </c>
      <c r="DR687" s="38" t="s">
        <v>138</v>
      </c>
      <c r="DS687" s="35" t="s">
        <v>138</v>
      </c>
      <c r="DT687" s="36">
        <v>227</v>
      </c>
      <c r="DU687" s="38">
        <v>3</v>
      </c>
      <c r="DV687" s="35">
        <v>1.34</v>
      </c>
      <c r="DW687" s="36">
        <v>1313</v>
      </c>
      <c r="DX687" s="39">
        <v>-2</v>
      </c>
      <c r="DY687" s="35">
        <v>-0.15</v>
      </c>
      <c r="DZ687" s="28" t="s">
        <v>178</v>
      </c>
      <c r="EA687" s="34">
        <v>43600</v>
      </c>
      <c r="EB687" s="29">
        <v>58.25</v>
      </c>
      <c r="EC687" s="34">
        <v>42394</v>
      </c>
      <c r="ED687" s="28" t="s">
        <v>205</v>
      </c>
      <c r="EE687" s="40" t="str">
        <f>HYPERLINK("https://my.pitchbook.com?c=92781-19", "View company online")</f>
        <v>View company online</v>
      </c>
    </row>
    <row r="688" spans="1:135">
      <c r="A688" s="15" t="s">
        <v>13805</v>
      </c>
      <c r="B688" s="15" t="s">
        <v>13806</v>
      </c>
      <c r="C688" s="15" t="s">
        <v>138</v>
      </c>
      <c r="D688" s="15" t="s">
        <v>13807</v>
      </c>
      <c r="E688" s="15" t="s">
        <v>13808</v>
      </c>
      <c r="F688" s="15" t="s">
        <v>13805</v>
      </c>
      <c r="G688" s="15" t="s">
        <v>13809</v>
      </c>
      <c r="H688" s="15" t="s">
        <v>322</v>
      </c>
      <c r="I688" s="15" t="s">
        <v>356</v>
      </c>
      <c r="J688" s="15" t="s">
        <v>3030</v>
      </c>
      <c r="K688" s="15" t="s">
        <v>13810</v>
      </c>
      <c r="L688" s="15" t="s">
        <v>415</v>
      </c>
      <c r="M688" s="15" t="s">
        <v>13811</v>
      </c>
      <c r="N688" s="15" t="s">
        <v>1452</v>
      </c>
      <c r="O688" s="17">
        <v>27.75</v>
      </c>
      <c r="P688" s="15" t="s">
        <v>812</v>
      </c>
      <c r="Q688" s="15" t="s">
        <v>149</v>
      </c>
      <c r="R688" s="15" t="s">
        <v>13812</v>
      </c>
      <c r="S688" s="15" t="s">
        <v>13813</v>
      </c>
      <c r="T688" s="18">
        <v>51</v>
      </c>
      <c r="U688" s="15" t="s">
        <v>13814</v>
      </c>
      <c r="V688" s="15" t="s">
        <v>138</v>
      </c>
      <c r="W688" s="15" t="s">
        <v>138</v>
      </c>
      <c r="X688" s="19">
        <v>2001</v>
      </c>
      <c r="Y688" s="15" t="s">
        <v>138</v>
      </c>
      <c r="Z688" s="15" t="s">
        <v>138</v>
      </c>
      <c r="AA688" s="15" t="s">
        <v>138</v>
      </c>
      <c r="AB688" s="20">
        <v>8.35</v>
      </c>
      <c r="AC688" s="20" t="s">
        <v>138</v>
      </c>
      <c r="AD688" s="20" t="s">
        <v>138</v>
      </c>
      <c r="AE688" s="20" t="s">
        <v>138</v>
      </c>
      <c r="AF688" s="20" t="s">
        <v>138</v>
      </c>
      <c r="AG688" s="15" t="s">
        <v>2214</v>
      </c>
      <c r="AH688" s="20" t="s">
        <v>138</v>
      </c>
      <c r="AI688" s="20" t="s">
        <v>138</v>
      </c>
      <c r="AJ688" s="20" t="s">
        <v>138</v>
      </c>
      <c r="AK688" s="15" t="s">
        <v>13815</v>
      </c>
      <c r="AL688" s="15" t="s">
        <v>13816</v>
      </c>
      <c r="AM688" s="15" t="s">
        <v>2949</v>
      </c>
      <c r="AN688" s="15" t="s">
        <v>13817</v>
      </c>
      <c r="AO688" s="15" t="s">
        <v>13818</v>
      </c>
      <c r="AP688" s="15" t="s">
        <v>3612</v>
      </c>
      <c r="AQ688" s="15" t="s">
        <v>13819</v>
      </c>
      <c r="AR688" s="15" t="s">
        <v>138</v>
      </c>
      <c r="AS688" s="15" t="s">
        <v>3614</v>
      </c>
      <c r="AT688" s="15" t="s">
        <v>138</v>
      </c>
      <c r="AU688" s="15" t="s">
        <v>13820</v>
      </c>
      <c r="AV688" s="15" t="s">
        <v>946</v>
      </c>
      <c r="AW688" s="15" t="s">
        <v>13818</v>
      </c>
      <c r="AX688" s="15" t="s">
        <v>13821</v>
      </c>
      <c r="AY688" s="15" t="s">
        <v>13822</v>
      </c>
      <c r="AZ688" s="15" t="s">
        <v>530</v>
      </c>
      <c r="BA688" s="15" t="s">
        <v>531</v>
      </c>
      <c r="BB688" s="15" t="s">
        <v>13823</v>
      </c>
      <c r="BC688" s="15" t="s">
        <v>13824</v>
      </c>
      <c r="BD688" s="21">
        <v>4</v>
      </c>
      <c r="BE688" s="15" t="s">
        <v>138</v>
      </c>
      <c r="BF688" s="15" t="s">
        <v>13825</v>
      </c>
      <c r="BG688" s="15" t="s">
        <v>138</v>
      </c>
      <c r="BH688" s="15" t="s">
        <v>13826</v>
      </c>
      <c r="BI688" s="15" t="s">
        <v>13827</v>
      </c>
      <c r="BJ688" s="15" t="s">
        <v>138</v>
      </c>
      <c r="BK688" s="15" t="s">
        <v>138</v>
      </c>
      <c r="BL688" s="15" t="s">
        <v>13828</v>
      </c>
      <c r="BM688" s="22">
        <v>36892</v>
      </c>
      <c r="BN688" s="17" t="s">
        <v>138</v>
      </c>
      <c r="BO688" s="15" t="s">
        <v>138</v>
      </c>
      <c r="BP688" s="17" t="s">
        <v>138</v>
      </c>
      <c r="BQ688" s="15" t="s">
        <v>138</v>
      </c>
      <c r="BR688" s="15" t="s">
        <v>1465</v>
      </c>
      <c r="BS688" s="15" t="s">
        <v>138</v>
      </c>
      <c r="BT688" s="15" t="s">
        <v>138</v>
      </c>
      <c r="BU688" s="15" t="s">
        <v>177</v>
      </c>
      <c r="BV688" s="15" t="s">
        <v>138</v>
      </c>
      <c r="BW688" s="15" t="s">
        <v>138</v>
      </c>
      <c r="BX688" s="15" t="s">
        <v>138</v>
      </c>
      <c r="BY688" s="15" t="s">
        <v>175</v>
      </c>
      <c r="BZ688" s="22">
        <v>42579</v>
      </c>
      <c r="CA688" s="17" t="s">
        <v>138</v>
      </c>
      <c r="CB688" s="15" t="s">
        <v>138</v>
      </c>
      <c r="CC688" s="17" t="s">
        <v>138</v>
      </c>
      <c r="CD688" s="15" t="s">
        <v>138</v>
      </c>
      <c r="CE688" s="15" t="s">
        <v>1673</v>
      </c>
      <c r="CF688" s="15" t="s">
        <v>138</v>
      </c>
      <c r="CG688" s="15" t="s">
        <v>138</v>
      </c>
      <c r="CH688" s="15" t="s">
        <v>351</v>
      </c>
      <c r="CI688" s="15" t="s">
        <v>138</v>
      </c>
      <c r="CJ688" s="15" t="s">
        <v>138</v>
      </c>
      <c r="CK688" s="15" t="s">
        <v>138</v>
      </c>
      <c r="CL688" s="15" t="s">
        <v>175</v>
      </c>
      <c r="CM688" s="22" t="s">
        <v>138</v>
      </c>
      <c r="CN688" s="17" t="s">
        <v>138</v>
      </c>
      <c r="CO688" s="23">
        <v>-0.55000000000000004</v>
      </c>
      <c r="CP688" s="24">
        <v>15</v>
      </c>
      <c r="CQ688" s="23">
        <v>-0.03</v>
      </c>
      <c r="CR688" s="23">
        <v>-6.35</v>
      </c>
      <c r="CS688" s="23">
        <v>-1.29</v>
      </c>
      <c r="CT688" s="24">
        <v>13</v>
      </c>
      <c r="CU688" s="23">
        <v>0.18</v>
      </c>
      <c r="CV688" s="24">
        <v>78</v>
      </c>
      <c r="CW688" s="23" t="s">
        <v>138</v>
      </c>
      <c r="CX688" s="24" t="s">
        <v>138</v>
      </c>
      <c r="CY688" s="23">
        <v>-1.29</v>
      </c>
      <c r="CZ688" s="24">
        <v>16</v>
      </c>
      <c r="DA688" s="23">
        <v>0.36</v>
      </c>
      <c r="DB688" s="24">
        <v>91</v>
      </c>
      <c r="DC688" s="25">
        <v>4.84</v>
      </c>
      <c r="DD688" s="24">
        <v>82</v>
      </c>
      <c r="DE688" s="25">
        <v>0</v>
      </c>
      <c r="DF688" s="23">
        <v>0.05</v>
      </c>
      <c r="DG688" s="25">
        <v>8.7899999999999991</v>
      </c>
      <c r="DH688" s="24">
        <v>88</v>
      </c>
      <c r="DI688" s="25">
        <v>0.89</v>
      </c>
      <c r="DJ688" s="24">
        <v>47</v>
      </c>
      <c r="DK688" s="25" t="s">
        <v>138</v>
      </c>
      <c r="DL688" s="24" t="s">
        <v>138</v>
      </c>
      <c r="DM688" s="25">
        <v>8.7899999999999991</v>
      </c>
      <c r="DN688" s="24">
        <v>88</v>
      </c>
      <c r="DO688" s="25">
        <v>1.68</v>
      </c>
      <c r="DP688" s="24">
        <v>60</v>
      </c>
      <c r="DQ688" s="24" t="s">
        <v>138</v>
      </c>
      <c r="DR688" s="26" t="s">
        <v>138</v>
      </c>
      <c r="DS688" s="23" t="s">
        <v>138</v>
      </c>
      <c r="DT688" s="24">
        <v>255</v>
      </c>
      <c r="DU688" s="26">
        <v>0</v>
      </c>
      <c r="DV688" s="23">
        <v>0</v>
      </c>
      <c r="DW688" s="24">
        <v>603</v>
      </c>
      <c r="DX688" s="27">
        <v>1</v>
      </c>
      <c r="DY688" s="23">
        <v>0.17</v>
      </c>
      <c r="DZ688" s="15" t="s">
        <v>178</v>
      </c>
      <c r="EA688" s="22">
        <v>43622</v>
      </c>
      <c r="EB688" s="17" t="s">
        <v>138</v>
      </c>
      <c r="EC688" s="22" t="s">
        <v>138</v>
      </c>
      <c r="ED688" s="15" t="s">
        <v>138</v>
      </c>
      <c r="EE688" s="14" t="str">
        <f>HYPERLINK("https://my.pitchbook.com?c=54674-92", "View company online")</f>
        <v>View company online</v>
      </c>
    </row>
    <row r="689" spans="1:135">
      <c r="A689" s="28" t="s">
        <v>13829</v>
      </c>
      <c r="B689" s="28" t="s">
        <v>13830</v>
      </c>
      <c r="C689" s="28" t="s">
        <v>138</v>
      </c>
      <c r="D689" s="28" t="s">
        <v>13831</v>
      </c>
      <c r="E689" s="28" t="s">
        <v>138</v>
      </c>
      <c r="F689" s="28" t="s">
        <v>13829</v>
      </c>
      <c r="G689" s="28" t="s">
        <v>13832</v>
      </c>
      <c r="H689" s="28" t="s">
        <v>322</v>
      </c>
      <c r="I689" s="28" t="s">
        <v>323</v>
      </c>
      <c r="J689" s="28" t="s">
        <v>539</v>
      </c>
      <c r="K689" s="28" t="s">
        <v>13833</v>
      </c>
      <c r="L689" s="28" t="s">
        <v>10048</v>
      </c>
      <c r="M689" s="28" t="s">
        <v>13834</v>
      </c>
      <c r="N689" s="28" t="s">
        <v>147</v>
      </c>
      <c r="O689" s="29">
        <v>18.489999999999998</v>
      </c>
      <c r="P689" s="28" t="s">
        <v>610</v>
      </c>
      <c r="Q689" s="28" t="s">
        <v>149</v>
      </c>
      <c r="R689" s="28" t="s">
        <v>244</v>
      </c>
      <c r="S689" s="28" t="s">
        <v>13835</v>
      </c>
      <c r="T689" s="30">
        <v>24</v>
      </c>
      <c r="U689" s="28" t="s">
        <v>13836</v>
      </c>
      <c r="V689" s="28" t="s">
        <v>138</v>
      </c>
      <c r="W689" s="28" t="s">
        <v>138</v>
      </c>
      <c r="X689" s="31">
        <v>2014</v>
      </c>
      <c r="Y689" s="28" t="s">
        <v>138</v>
      </c>
      <c r="Z689" s="28" t="s">
        <v>138</v>
      </c>
      <c r="AA689" s="28" t="s">
        <v>138</v>
      </c>
      <c r="AB689" s="32" t="s">
        <v>138</v>
      </c>
      <c r="AC689" s="32" t="s">
        <v>138</v>
      </c>
      <c r="AD689" s="32" t="s">
        <v>138</v>
      </c>
      <c r="AE689" s="32" t="s">
        <v>138</v>
      </c>
      <c r="AF689" s="32" t="s">
        <v>138</v>
      </c>
      <c r="AG689" s="28" t="s">
        <v>138</v>
      </c>
      <c r="AH689" s="32" t="s">
        <v>138</v>
      </c>
      <c r="AI689" s="32" t="s">
        <v>138</v>
      </c>
      <c r="AJ689" s="32" t="s">
        <v>138</v>
      </c>
      <c r="AK689" s="28" t="s">
        <v>13837</v>
      </c>
      <c r="AL689" s="28" t="s">
        <v>13838</v>
      </c>
      <c r="AM689" s="28" t="s">
        <v>566</v>
      </c>
      <c r="AN689" s="28" t="s">
        <v>13839</v>
      </c>
      <c r="AO689" s="28" t="s">
        <v>13840</v>
      </c>
      <c r="AP689" s="28" t="s">
        <v>13841</v>
      </c>
      <c r="AQ689" s="28" t="s">
        <v>13842</v>
      </c>
      <c r="AR689" s="28" t="s">
        <v>13843</v>
      </c>
      <c r="AS689" s="28" t="s">
        <v>13844</v>
      </c>
      <c r="AT689" s="28" t="s">
        <v>426</v>
      </c>
      <c r="AU689" s="28" t="s">
        <v>13845</v>
      </c>
      <c r="AV689" s="28" t="s">
        <v>162</v>
      </c>
      <c r="AW689" s="28" t="s">
        <v>13840</v>
      </c>
      <c r="AX689" s="28" t="s">
        <v>138</v>
      </c>
      <c r="AY689" s="28" t="s">
        <v>13846</v>
      </c>
      <c r="AZ689" s="28" t="s">
        <v>164</v>
      </c>
      <c r="BA689" s="28" t="s">
        <v>165</v>
      </c>
      <c r="BB689" s="28" t="s">
        <v>13847</v>
      </c>
      <c r="BC689" s="28" t="s">
        <v>13848</v>
      </c>
      <c r="BD689" s="33">
        <v>5</v>
      </c>
      <c r="BE689" s="28" t="s">
        <v>138</v>
      </c>
      <c r="BF689" s="28" t="s">
        <v>138</v>
      </c>
      <c r="BG689" s="28" t="s">
        <v>138</v>
      </c>
      <c r="BH689" s="28" t="s">
        <v>13849</v>
      </c>
      <c r="BI689" s="28" t="s">
        <v>138</v>
      </c>
      <c r="BJ689" s="28" t="s">
        <v>138</v>
      </c>
      <c r="BK689" s="28" t="s">
        <v>13850</v>
      </c>
      <c r="BL689" s="28" t="s">
        <v>13851</v>
      </c>
      <c r="BM689" s="34">
        <v>41834</v>
      </c>
      <c r="BN689" s="29" t="s">
        <v>138</v>
      </c>
      <c r="BO689" s="28" t="s">
        <v>138</v>
      </c>
      <c r="BP689" s="29" t="s">
        <v>138</v>
      </c>
      <c r="BQ689" s="28" t="s">
        <v>138</v>
      </c>
      <c r="BR689" s="28" t="s">
        <v>1326</v>
      </c>
      <c r="BS689" s="28" t="s">
        <v>138</v>
      </c>
      <c r="BT689" s="28" t="s">
        <v>138</v>
      </c>
      <c r="BU689" s="28" t="s">
        <v>1327</v>
      </c>
      <c r="BV689" s="28" t="s">
        <v>2528</v>
      </c>
      <c r="BW689" s="28" t="s">
        <v>138</v>
      </c>
      <c r="BX689" s="28" t="s">
        <v>138</v>
      </c>
      <c r="BY689" s="28" t="s">
        <v>175</v>
      </c>
      <c r="BZ689" s="34">
        <v>43523</v>
      </c>
      <c r="CA689" s="29">
        <v>14.19</v>
      </c>
      <c r="CB689" s="28" t="s">
        <v>172</v>
      </c>
      <c r="CC689" s="29" t="s">
        <v>138</v>
      </c>
      <c r="CD689" s="28" t="s">
        <v>138</v>
      </c>
      <c r="CE689" s="28" t="s">
        <v>173</v>
      </c>
      <c r="CF689" s="28" t="s">
        <v>138</v>
      </c>
      <c r="CG689" s="28" t="s">
        <v>138</v>
      </c>
      <c r="CH689" s="28" t="s">
        <v>174</v>
      </c>
      <c r="CI689" s="28" t="s">
        <v>264</v>
      </c>
      <c r="CJ689" s="28" t="s">
        <v>138</v>
      </c>
      <c r="CK689" s="28" t="s">
        <v>138</v>
      </c>
      <c r="CL689" s="28" t="s">
        <v>175</v>
      </c>
      <c r="CM689" s="34">
        <v>42852</v>
      </c>
      <c r="CN689" s="29" t="s">
        <v>138</v>
      </c>
      <c r="CO689" s="35">
        <v>0.18</v>
      </c>
      <c r="CP689" s="36">
        <v>92</v>
      </c>
      <c r="CQ689" s="35">
        <v>-7.0000000000000007E-2</v>
      </c>
      <c r="CR689" s="35">
        <v>-28.34</v>
      </c>
      <c r="CS689" s="35">
        <v>0.02</v>
      </c>
      <c r="CT689" s="36">
        <v>93</v>
      </c>
      <c r="CU689" s="35">
        <v>0.34</v>
      </c>
      <c r="CV689" s="36">
        <v>89</v>
      </c>
      <c r="CW689" s="35" t="s">
        <v>138</v>
      </c>
      <c r="CX689" s="36" t="s">
        <v>138</v>
      </c>
      <c r="CY689" s="35">
        <v>0.02</v>
      </c>
      <c r="CZ689" s="36">
        <v>97</v>
      </c>
      <c r="DA689" s="35">
        <v>0.68</v>
      </c>
      <c r="DB689" s="36">
        <v>96</v>
      </c>
      <c r="DC689" s="37">
        <v>2.73</v>
      </c>
      <c r="DD689" s="36">
        <v>73</v>
      </c>
      <c r="DE689" s="37">
        <v>0.88</v>
      </c>
      <c r="DF689" s="35">
        <v>47.19</v>
      </c>
      <c r="DG689" s="37">
        <v>4.72</v>
      </c>
      <c r="DH689" s="36">
        <v>82</v>
      </c>
      <c r="DI689" s="37">
        <v>0.74</v>
      </c>
      <c r="DJ689" s="36">
        <v>43</v>
      </c>
      <c r="DK689" s="37" t="s">
        <v>138</v>
      </c>
      <c r="DL689" s="36" t="s">
        <v>138</v>
      </c>
      <c r="DM689" s="37">
        <v>4.72</v>
      </c>
      <c r="DN689" s="36">
        <v>81</v>
      </c>
      <c r="DO689" s="37">
        <v>1.38</v>
      </c>
      <c r="DP689" s="36">
        <v>57</v>
      </c>
      <c r="DQ689" s="36">
        <v>351</v>
      </c>
      <c r="DR689" s="38">
        <v>-5</v>
      </c>
      <c r="DS689" s="35">
        <v>-1.4</v>
      </c>
      <c r="DT689" s="36">
        <v>137</v>
      </c>
      <c r="DU689" s="38">
        <v>-1</v>
      </c>
      <c r="DV689" s="35">
        <v>-0.72</v>
      </c>
      <c r="DW689" s="36">
        <v>493</v>
      </c>
      <c r="DX689" s="39">
        <v>-2</v>
      </c>
      <c r="DY689" s="35">
        <v>-0.4</v>
      </c>
      <c r="DZ689" s="28" t="s">
        <v>178</v>
      </c>
      <c r="EA689" s="34">
        <v>43538</v>
      </c>
      <c r="EB689" s="29" t="s">
        <v>138</v>
      </c>
      <c r="EC689" s="34" t="s">
        <v>138</v>
      </c>
      <c r="ED689" s="28" t="s">
        <v>138</v>
      </c>
      <c r="EE689" s="40" t="str">
        <f>HYPERLINK("https://my.pitchbook.com?c=167972-50", "View company online")</f>
        <v>View company online</v>
      </c>
    </row>
    <row r="690" spans="1:135">
      <c r="A690" s="15" t="s">
        <v>13852</v>
      </c>
      <c r="B690" s="15" t="s">
        <v>13853</v>
      </c>
      <c r="C690" s="15" t="s">
        <v>13854</v>
      </c>
      <c r="D690" s="15" t="s">
        <v>138</v>
      </c>
      <c r="E690" s="15" t="s">
        <v>13855</v>
      </c>
      <c r="F690" s="15" t="s">
        <v>13852</v>
      </c>
      <c r="G690" s="15" t="s">
        <v>13856</v>
      </c>
      <c r="H690" s="15" t="s">
        <v>385</v>
      </c>
      <c r="I690" s="15" t="s">
        <v>386</v>
      </c>
      <c r="J690" s="15" t="s">
        <v>387</v>
      </c>
      <c r="K690" s="15" t="s">
        <v>10568</v>
      </c>
      <c r="L690" s="15" t="s">
        <v>4828</v>
      </c>
      <c r="M690" s="15" t="s">
        <v>13857</v>
      </c>
      <c r="N690" s="15" t="s">
        <v>1452</v>
      </c>
      <c r="O690" s="17">
        <v>131.94999999999999</v>
      </c>
      <c r="P690" s="15" t="s">
        <v>812</v>
      </c>
      <c r="Q690" s="15" t="s">
        <v>149</v>
      </c>
      <c r="R690" s="15" t="s">
        <v>13858</v>
      </c>
      <c r="S690" s="15" t="s">
        <v>13859</v>
      </c>
      <c r="T690" s="18">
        <v>220</v>
      </c>
      <c r="U690" s="15" t="s">
        <v>13860</v>
      </c>
      <c r="V690" s="15" t="s">
        <v>138</v>
      </c>
      <c r="W690" s="15" t="s">
        <v>138</v>
      </c>
      <c r="X690" s="19">
        <v>2011</v>
      </c>
      <c r="Y690" s="15" t="s">
        <v>138</v>
      </c>
      <c r="Z690" s="15" t="s">
        <v>138</v>
      </c>
      <c r="AA690" s="15" t="s">
        <v>138</v>
      </c>
      <c r="AB690" s="20">
        <v>50.53</v>
      </c>
      <c r="AC690" s="20" t="s">
        <v>138</v>
      </c>
      <c r="AD690" s="20" t="s">
        <v>138</v>
      </c>
      <c r="AE690" s="20" t="s">
        <v>138</v>
      </c>
      <c r="AF690" s="20" t="s">
        <v>138</v>
      </c>
      <c r="AG690" s="15" t="s">
        <v>514</v>
      </c>
      <c r="AH690" s="20" t="s">
        <v>138</v>
      </c>
      <c r="AI690" s="20" t="s">
        <v>138</v>
      </c>
      <c r="AJ690" s="20" t="s">
        <v>138</v>
      </c>
      <c r="AK690" s="15" t="s">
        <v>13861</v>
      </c>
      <c r="AL690" s="15" t="s">
        <v>13862</v>
      </c>
      <c r="AM690" s="15" t="s">
        <v>5486</v>
      </c>
      <c r="AN690" s="15" t="s">
        <v>13863</v>
      </c>
      <c r="AO690" s="15" t="s">
        <v>13864</v>
      </c>
      <c r="AP690" s="15" t="s">
        <v>13865</v>
      </c>
      <c r="AQ690" s="15" t="s">
        <v>13866</v>
      </c>
      <c r="AR690" s="15" t="s">
        <v>3159</v>
      </c>
      <c r="AS690" s="15" t="s">
        <v>13867</v>
      </c>
      <c r="AT690" s="15" t="s">
        <v>13868</v>
      </c>
      <c r="AU690" s="15" t="s">
        <v>13869</v>
      </c>
      <c r="AV690" s="15" t="s">
        <v>162</v>
      </c>
      <c r="AW690" s="15" t="s">
        <v>13864</v>
      </c>
      <c r="AX690" s="15" t="s">
        <v>138</v>
      </c>
      <c r="AY690" s="15" t="s">
        <v>13870</v>
      </c>
      <c r="AZ690" s="15" t="s">
        <v>164</v>
      </c>
      <c r="BA690" s="15" t="s">
        <v>165</v>
      </c>
      <c r="BB690" s="15" t="s">
        <v>13871</v>
      </c>
      <c r="BC690" s="15" t="s">
        <v>13872</v>
      </c>
      <c r="BD690" s="21">
        <v>7</v>
      </c>
      <c r="BE690" s="15" t="s">
        <v>138</v>
      </c>
      <c r="BF690" s="15" t="s">
        <v>138</v>
      </c>
      <c r="BG690" s="15" t="s">
        <v>138</v>
      </c>
      <c r="BH690" s="15" t="s">
        <v>13873</v>
      </c>
      <c r="BI690" s="15" t="s">
        <v>138</v>
      </c>
      <c r="BJ690" s="15" t="s">
        <v>138</v>
      </c>
      <c r="BK690" s="15" t="s">
        <v>138</v>
      </c>
      <c r="BL690" s="15" t="s">
        <v>13874</v>
      </c>
      <c r="BM690" s="22">
        <v>41898</v>
      </c>
      <c r="BN690" s="17">
        <v>40</v>
      </c>
      <c r="BO690" s="15" t="s">
        <v>172</v>
      </c>
      <c r="BP690" s="17" t="s">
        <v>138</v>
      </c>
      <c r="BQ690" s="15" t="s">
        <v>138</v>
      </c>
      <c r="BR690" s="15" t="s">
        <v>1326</v>
      </c>
      <c r="BS690" s="15" t="s">
        <v>138</v>
      </c>
      <c r="BT690" s="15" t="s">
        <v>138</v>
      </c>
      <c r="BU690" s="15" t="s">
        <v>1327</v>
      </c>
      <c r="BV690" s="15" t="s">
        <v>1328</v>
      </c>
      <c r="BW690" s="15" t="s">
        <v>138</v>
      </c>
      <c r="BX690" s="15" t="s">
        <v>138</v>
      </c>
      <c r="BY690" s="15" t="s">
        <v>175</v>
      </c>
      <c r="BZ690" s="22">
        <v>43571</v>
      </c>
      <c r="CA690" s="17">
        <v>20</v>
      </c>
      <c r="CB690" s="15" t="s">
        <v>172</v>
      </c>
      <c r="CC690" s="17" t="s">
        <v>138</v>
      </c>
      <c r="CD690" s="15" t="s">
        <v>138</v>
      </c>
      <c r="CE690" s="15" t="s">
        <v>780</v>
      </c>
      <c r="CF690" s="15" t="s">
        <v>780</v>
      </c>
      <c r="CG690" s="15" t="s">
        <v>138</v>
      </c>
      <c r="CH690" s="15" t="s">
        <v>780</v>
      </c>
      <c r="CI690" s="15" t="s">
        <v>138</v>
      </c>
      <c r="CJ690" s="15" t="s">
        <v>138</v>
      </c>
      <c r="CK690" s="15" t="s">
        <v>138</v>
      </c>
      <c r="CL690" s="15" t="s">
        <v>175</v>
      </c>
      <c r="CM690" s="22">
        <v>43494</v>
      </c>
      <c r="CN690" s="17">
        <v>90</v>
      </c>
      <c r="CO690" s="23">
        <v>0.73</v>
      </c>
      <c r="CP690" s="24">
        <v>96</v>
      </c>
      <c r="CQ690" s="23">
        <v>-0.02</v>
      </c>
      <c r="CR690" s="23">
        <v>-2.33</v>
      </c>
      <c r="CS690" s="23">
        <v>1.5</v>
      </c>
      <c r="CT690" s="24">
        <v>98</v>
      </c>
      <c r="CU690" s="23">
        <v>0.21</v>
      </c>
      <c r="CV690" s="24">
        <v>81</v>
      </c>
      <c r="CW690" s="23">
        <v>4.99</v>
      </c>
      <c r="CX690" s="24">
        <v>95</v>
      </c>
      <c r="CY690" s="23">
        <v>-1.98</v>
      </c>
      <c r="CZ690" s="24">
        <v>11</v>
      </c>
      <c r="DA690" s="23">
        <v>0.21</v>
      </c>
      <c r="DB690" s="24">
        <v>83</v>
      </c>
      <c r="DC690" s="25">
        <v>2.78</v>
      </c>
      <c r="DD690" s="24">
        <v>74</v>
      </c>
      <c r="DE690" s="25">
        <v>-0.08</v>
      </c>
      <c r="DF690" s="23">
        <v>-2.91</v>
      </c>
      <c r="DG690" s="25">
        <v>5.42</v>
      </c>
      <c r="DH690" s="24">
        <v>83</v>
      </c>
      <c r="DI690" s="25">
        <v>2.5299999999999998</v>
      </c>
      <c r="DJ690" s="24">
        <v>67</v>
      </c>
      <c r="DK690" s="25">
        <v>4.38</v>
      </c>
      <c r="DL690" s="24">
        <v>77</v>
      </c>
      <c r="DM690" s="25">
        <v>6.45</v>
      </c>
      <c r="DN690" s="24">
        <v>85</v>
      </c>
      <c r="DO690" s="25">
        <v>2.5299999999999998</v>
      </c>
      <c r="DP690" s="24">
        <v>68</v>
      </c>
      <c r="DQ690" s="24">
        <v>1457</v>
      </c>
      <c r="DR690" s="26">
        <v>141</v>
      </c>
      <c r="DS690" s="23">
        <v>10.71</v>
      </c>
      <c r="DT690" s="24">
        <v>186</v>
      </c>
      <c r="DU690" s="26">
        <v>1</v>
      </c>
      <c r="DV690" s="23">
        <v>0.54</v>
      </c>
      <c r="DW690" s="24">
        <v>905</v>
      </c>
      <c r="DX690" s="27">
        <v>0</v>
      </c>
      <c r="DY690" s="23">
        <v>0</v>
      </c>
      <c r="DZ690" s="15" t="s">
        <v>178</v>
      </c>
      <c r="EA690" s="22">
        <v>43622</v>
      </c>
      <c r="EB690" s="17" t="s">
        <v>138</v>
      </c>
      <c r="EC690" s="22" t="s">
        <v>138</v>
      </c>
      <c r="ED690" s="15" t="s">
        <v>138</v>
      </c>
      <c r="EE690" s="14" t="str">
        <f>HYPERLINK("https://my.pitchbook.com?c=94655-71", "View company online")</f>
        <v>View company online</v>
      </c>
    </row>
    <row r="691" spans="1:135">
      <c r="A691" s="28" t="s">
        <v>13875</v>
      </c>
      <c r="B691" s="28" t="s">
        <v>13876</v>
      </c>
      <c r="C691" s="28" t="s">
        <v>138</v>
      </c>
      <c r="D691" s="28" t="s">
        <v>138</v>
      </c>
      <c r="E691" s="28" t="s">
        <v>13877</v>
      </c>
      <c r="F691" s="28" t="s">
        <v>13875</v>
      </c>
      <c r="G691" s="28" t="s">
        <v>13878</v>
      </c>
      <c r="H691" s="28" t="s">
        <v>322</v>
      </c>
      <c r="I691" s="28" t="s">
        <v>807</v>
      </c>
      <c r="J691" s="28" t="s">
        <v>2534</v>
      </c>
      <c r="K691" s="28" t="s">
        <v>6360</v>
      </c>
      <c r="L691" s="28" t="s">
        <v>415</v>
      </c>
      <c r="M691" s="28" t="s">
        <v>13879</v>
      </c>
      <c r="N691" s="28" t="s">
        <v>147</v>
      </c>
      <c r="O691" s="29">
        <v>55.5</v>
      </c>
      <c r="P691" s="28" t="s">
        <v>148</v>
      </c>
      <c r="Q691" s="28" t="s">
        <v>149</v>
      </c>
      <c r="R691" s="28" t="s">
        <v>174</v>
      </c>
      <c r="S691" s="28" t="s">
        <v>13880</v>
      </c>
      <c r="T691" s="30">
        <v>30</v>
      </c>
      <c r="U691" s="28" t="s">
        <v>13881</v>
      </c>
      <c r="V691" s="28" t="s">
        <v>138</v>
      </c>
      <c r="W691" s="28" t="s">
        <v>138</v>
      </c>
      <c r="X691" s="31">
        <v>2014</v>
      </c>
      <c r="Y691" s="28" t="s">
        <v>138</v>
      </c>
      <c r="Z691" s="28" t="s">
        <v>138</v>
      </c>
      <c r="AA691" s="28" t="s">
        <v>138</v>
      </c>
      <c r="AB691" s="32" t="s">
        <v>138</v>
      </c>
      <c r="AC691" s="32" t="s">
        <v>138</v>
      </c>
      <c r="AD691" s="32" t="s">
        <v>138</v>
      </c>
      <c r="AE691" s="32" t="s">
        <v>138</v>
      </c>
      <c r="AF691" s="32" t="s">
        <v>138</v>
      </c>
      <c r="AG691" s="28" t="s">
        <v>138</v>
      </c>
      <c r="AH691" s="32" t="s">
        <v>138</v>
      </c>
      <c r="AI691" s="32" t="s">
        <v>138</v>
      </c>
      <c r="AJ691" s="32" t="s">
        <v>138</v>
      </c>
      <c r="AK691" s="28" t="s">
        <v>13882</v>
      </c>
      <c r="AL691" s="28" t="s">
        <v>13883</v>
      </c>
      <c r="AM691" s="28" t="s">
        <v>221</v>
      </c>
      <c r="AN691" s="28" t="s">
        <v>13884</v>
      </c>
      <c r="AO691" s="28" t="s">
        <v>13885</v>
      </c>
      <c r="AP691" s="28" t="s">
        <v>13886</v>
      </c>
      <c r="AQ691" s="28" t="s">
        <v>13887</v>
      </c>
      <c r="AR691" s="28" t="s">
        <v>1459</v>
      </c>
      <c r="AS691" s="28" t="s">
        <v>13888</v>
      </c>
      <c r="AT691" s="28" t="s">
        <v>200</v>
      </c>
      <c r="AU691" s="28" t="s">
        <v>13889</v>
      </c>
      <c r="AV691" s="28" t="s">
        <v>162</v>
      </c>
      <c r="AW691" s="28" t="s">
        <v>13890</v>
      </c>
      <c r="AX691" s="28" t="s">
        <v>138</v>
      </c>
      <c r="AY691" s="28" t="s">
        <v>13891</v>
      </c>
      <c r="AZ691" s="28" t="s">
        <v>164</v>
      </c>
      <c r="BA691" s="28" t="s">
        <v>165</v>
      </c>
      <c r="BB691" s="28" t="s">
        <v>13892</v>
      </c>
      <c r="BC691" s="28" t="s">
        <v>13893</v>
      </c>
      <c r="BD691" s="33">
        <v>10</v>
      </c>
      <c r="BE691" s="28" t="s">
        <v>138</v>
      </c>
      <c r="BF691" s="28" t="s">
        <v>138</v>
      </c>
      <c r="BG691" s="28" t="s">
        <v>138</v>
      </c>
      <c r="BH691" s="28" t="s">
        <v>13894</v>
      </c>
      <c r="BI691" s="28" t="s">
        <v>138</v>
      </c>
      <c r="BJ691" s="28" t="s">
        <v>138</v>
      </c>
      <c r="BK691" s="28" t="s">
        <v>13895</v>
      </c>
      <c r="BL691" s="28" t="s">
        <v>432</v>
      </c>
      <c r="BM691" s="34">
        <v>42090</v>
      </c>
      <c r="BN691" s="29">
        <v>8.5</v>
      </c>
      <c r="BO691" s="28" t="s">
        <v>172</v>
      </c>
      <c r="BP691" s="29">
        <v>33.4</v>
      </c>
      <c r="BQ691" s="28" t="s">
        <v>172</v>
      </c>
      <c r="BR691" s="28" t="s">
        <v>205</v>
      </c>
      <c r="BS691" s="28" t="s">
        <v>206</v>
      </c>
      <c r="BT691" s="28" t="s">
        <v>138</v>
      </c>
      <c r="BU691" s="28" t="s">
        <v>174</v>
      </c>
      <c r="BV691" s="28" t="s">
        <v>138</v>
      </c>
      <c r="BW691" s="28" t="s">
        <v>138</v>
      </c>
      <c r="BX691" s="28" t="s">
        <v>138</v>
      </c>
      <c r="BY691" s="28" t="s">
        <v>175</v>
      </c>
      <c r="BZ691" s="34">
        <v>43531</v>
      </c>
      <c r="CA691" s="29">
        <v>27</v>
      </c>
      <c r="CB691" s="28" t="s">
        <v>172</v>
      </c>
      <c r="CC691" s="29">
        <v>137</v>
      </c>
      <c r="CD691" s="28" t="s">
        <v>172</v>
      </c>
      <c r="CE691" s="28" t="s">
        <v>173</v>
      </c>
      <c r="CF691" s="28" t="s">
        <v>317</v>
      </c>
      <c r="CG691" s="28" t="s">
        <v>138</v>
      </c>
      <c r="CH691" s="28" t="s">
        <v>174</v>
      </c>
      <c r="CI691" s="28" t="s">
        <v>138</v>
      </c>
      <c r="CJ691" s="28" t="s">
        <v>138</v>
      </c>
      <c r="CK691" s="28" t="s">
        <v>138</v>
      </c>
      <c r="CL691" s="28" t="s">
        <v>175</v>
      </c>
      <c r="CM691" s="34" t="s">
        <v>138</v>
      </c>
      <c r="CN691" s="29" t="s">
        <v>138</v>
      </c>
      <c r="CO691" s="35">
        <v>2.81</v>
      </c>
      <c r="CP691" s="36">
        <v>100</v>
      </c>
      <c r="CQ691" s="35">
        <v>-0.02</v>
      </c>
      <c r="CR691" s="35">
        <v>-0.66</v>
      </c>
      <c r="CS691" s="35">
        <v>3.29</v>
      </c>
      <c r="CT691" s="36">
        <v>99</v>
      </c>
      <c r="CU691" s="35">
        <v>2.33</v>
      </c>
      <c r="CV691" s="36">
        <v>100</v>
      </c>
      <c r="CW691" s="35">
        <v>6.59</v>
      </c>
      <c r="CX691" s="36">
        <v>98</v>
      </c>
      <c r="CY691" s="35">
        <v>0</v>
      </c>
      <c r="CZ691" s="36">
        <v>25</v>
      </c>
      <c r="DA691" s="35">
        <v>2.33</v>
      </c>
      <c r="DB691" s="36">
        <v>100</v>
      </c>
      <c r="DC691" s="37">
        <v>6.95</v>
      </c>
      <c r="DD691" s="36">
        <v>87</v>
      </c>
      <c r="DE691" s="37">
        <v>-0.43</v>
      </c>
      <c r="DF691" s="35">
        <v>-5.82</v>
      </c>
      <c r="DG691" s="37">
        <v>8.1999999999999993</v>
      </c>
      <c r="DH691" s="36">
        <v>88</v>
      </c>
      <c r="DI691" s="37">
        <v>5.7</v>
      </c>
      <c r="DJ691" s="36">
        <v>79</v>
      </c>
      <c r="DK691" s="37">
        <v>14.36</v>
      </c>
      <c r="DL691" s="36">
        <v>90</v>
      </c>
      <c r="DM691" s="37">
        <v>2.0299999999999998</v>
      </c>
      <c r="DN691" s="36">
        <v>66</v>
      </c>
      <c r="DO691" s="37">
        <v>5.7</v>
      </c>
      <c r="DP691" s="36">
        <v>81</v>
      </c>
      <c r="DQ691" s="36">
        <v>4766</v>
      </c>
      <c r="DR691" s="38">
        <v>472</v>
      </c>
      <c r="DS691" s="35">
        <v>10.99</v>
      </c>
      <c r="DT691" s="36">
        <v>59</v>
      </c>
      <c r="DU691" s="38">
        <v>1</v>
      </c>
      <c r="DV691" s="35">
        <v>1.72</v>
      </c>
      <c r="DW691" s="36">
        <v>2035</v>
      </c>
      <c r="DX691" s="39">
        <v>12</v>
      </c>
      <c r="DY691" s="35">
        <v>0.59</v>
      </c>
      <c r="DZ691" s="28" t="s">
        <v>178</v>
      </c>
      <c r="EA691" s="34">
        <v>43622</v>
      </c>
      <c r="EB691" s="29">
        <v>137</v>
      </c>
      <c r="EC691" s="34">
        <v>43531</v>
      </c>
      <c r="ED691" s="28" t="s">
        <v>173</v>
      </c>
      <c r="EE691" s="40" t="str">
        <f>HYPERLINK("https://my.pitchbook.com?c=118527-13", "View company online")</f>
        <v>View company online</v>
      </c>
    </row>
    <row r="692" spans="1:135">
      <c r="A692" s="15" t="s">
        <v>13896</v>
      </c>
      <c r="B692" s="15" t="s">
        <v>13897</v>
      </c>
      <c r="C692" s="15" t="s">
        <v>138</v>
      </c>
      <c r="D692" s="15" t="s">
        <v>138</v>
      </c>
      <c r="E692" s="15" t="s">
        <v>13898</v>
      </c>
      <c r="F692" s="15" t="s">
        <v>13896</v>
      </c>
      <c r="G692" s="15" t="s">
        <v>13899</v>
      </c>
      <c r="H692" s="15" t="s">
        <v>322</v>
      </c>
      <c r="I692" s="15" t="s">
        <v>323</v>
      </c>
      <c r="J692" s="15" t="s">
        <v>1235</v>
      </c>
      <c r="K692" s="15" t="s">
        <v>5304</v>
      </c>
      <c r="L692" s="15" t="s">
        <v>13900</v>
      </c>
      <c r="M692" s="15" t="s">
        <v>13901</v>
      </c>
      <c r="N692" s="15" t="s">
        <v>147</v>
      </c>
      <c r="O692" s="17">
        <v>21.71</v>
      </c>
      <c r="P692" s="15" t="s">
        <v>148</v>
      </c>
      <c r="Q692" s="15" t="s">
        <v>149</v>
      </c>
      <c r="R692" s="15" t="s">
        <v>174</v>
      </c>
      <c r="S692" s="15" t="s">
        <v>13902</v>
      </c>
      <c r="T692" s="18">
        <v>17</v>
      </c>
      <c r="U692" s="15" t="s">
        <v>13903</v>
      </c>
      <c r="V692" s="15" t="s">
        <v>138</v>
      </c>
      <c r="W692" s="15" t="s">
        <v>138</v>
      </c>
      <c r="X692" s="19">
        <v>2011</v>
      </c>
      <c r="Y692" s="15" t="s">
        <v>138</v>
      </c>
      <c r="Z692" s="15" t="s">
        <v>138</v>
      </c>
      <c r="AA692" s="15" t="s">
        <v>138</v>
      </c>
      <c r="AB692" s="20" t="s">
        <v>138</v>
      </c>
      <c r="AC692" s="20" t="s">
        <v>138</v>
      </c>
      <c r="AD692" s="20" t="s">
        <v>138</v>
      </c>
      <c r="AE692" s="20" t="s">
        <v>138</v>
      </c>
      <c r="AF692" s="20" t="s">
        <v>138</v>
      </c>
      <c r="AG692" s="15" t="s">
        <v>138</v>
      </c>
      <c r="AH692" s="20" t="s">
        <v>138</v>
      </c>
      <c r="AI692" s="20" t="s">
        <v>138</v>
      </c>
      <c r="AJ692" s="20" t="s">
        <v>138</v>
      </c>
      <c r="AK692" s="15" t="s">
        <v>13904</v>
      </c>
      <c r="AL692" s="15" t="s">
        <v>13905</v>
      </c>
      <c r="AM692" s="15" t="s">
        <v>304</v>
      </c>
      <c r="AN692" s="15" t="s">
        <v>13906</v>
      </c>
      <c r="AO692" s="15" t="s">
        <v>13907</v>
      </c>
      <c r="AP692" s="15" t="s">
        <v>820</v>
      </c>
      <c r="AQ692" s="15" t="s">
        <v>13908</v>
      </c>
      <c r="AR692" s="15" t="s">
        <v>13909</v>
      </c>
      <c r="AS692" s="15" t="s">
        <v>823</v>
      </c>
      <c r="AT692" s="15" t="s">
        <v>824</v>
      </c>
      <c r="AU692" s="15" t="s">
        <v>13910</v>
      </c>
      <c r="AV692" s="15" t="s">
        <v>526</v>
      </c>
      <c r="AW692" s="15" t="s">
        <v>13907</v>
      </c>
      <c r="AX692" s="15" t="s">
        <v>138</v>
      </c>
      <c r="AY692" s="15" t="s">
        <v>13911</v>
      </c>
      <c r="AZ692" s="15" t="s">
        <v>530</v>
      </c>
      <c r="BA692" s="15" t="s">
        <v>531</v>
      </c>
      <c r="BB692" s="15" t="s">
        <v>13912</v>
      </c>
      <c r="BC692" s="15" t="s">
        <v>13913</v>
      </c>
      <c r="BD692" s="21">
        <v>11</v>
      </c>
      <c r="BE692" s="15" t="s">
        <v>138</v>
      </c>
      <c r="BF692" s="15" t="s">
        <v>138</v>
      </c>
      <c r="BG692" s="15" t="s">
        <v>138</v>
      </c>
      <c r="BH692" s="15" t="s">
        <v>13914</v>
      </c>
      <c r="BI692" s="15" t="s">
        <v>138</v>
      </c>
      <c r="BJ692" s="15" t="s">
        <v>138</v>
      </c>
      <c r="BK692" s="15" t="s">
        <v>138</v>
      </c>
      <c r="BL692" s="15" t="s">
        <v>13915</v>
      </c>
      <c r="BM692" s="22">
        <v>41227</v>
      </c>
      <c r="BN692" s="17">
        <v>0.36</v>
      </c>
      <c r="BO692" s="15" t="s">
        <v>172</v>
      </c>
      <c r="BP692" s="17">
        <v>1.32</v>
      </c>
      <c r="BQ692" s="15" t="s">
        <v>172</v>
      </c>
      <c r="BR692" s="15" t="s">
        <v>234</v>
      </c>
      <c r="BS692" s="15" t="s">
        <v>234</v>
      </c>
      <c r="BT692" s="15" t="s">
        <v>138</v>
      </c>
      <c r="BU692" s="15" t="s">
        <v>174</v>
      </c>
      <c r="BV692" s="15" t="s">
        <v>138</v>
      </c>
      <c r="BW692" s="15" t="s">
        <v>138</v>
      </c>
      <c r="BX692" s="15" t="s">
        <v>138</v>
      </c>
      <c r="BY692" s="15" t="s">
        <v>175</v>
      </c>
      <c r="BZ692" s="22">
        <v>43222</v>
      </c>
      <c r="CA692" s="17">
        <v>12.81</v>
      </c>
      <c r="CB692" s="15" t="s">
        <v>172</v>
      </c>
      <c r="CC692" s="17" t="s">
        <v>138</v>
      </c>
      <c r="CD692" s="15" t="s">
        <v>138</v>
      </c>
      <c r="CE692" s="15" t="s">
        <v>173</v>
      </c>
      <c r="CF692" s="15" t="s">
        <v>720</v>
      </c>
      <c r="CG692" s="15" t="s">
        <v>138</v>
      </c>
      <c r="CH692" s="15" t="s">
        <v>174</v>
      </c>
      <c r="CI692" s="15" t="s">
        <v>138</v>
      </c>
      <c r="CJ692" s="15" t="s">
        <v>138</v>
      </c>
      <c r="CK692" s="15" t="s">
        <v>138</v>
      </c>
      <c r="CL692" s="15" t="s">
        <v>175</v>
      </c>
      <c r="CM692" s="22">
        <v>42965</v>
      </c>
      <c r="CN692" s="17">
        <v>1.3</v>
      </c>
      <c r="CO692" s="23">
        <v>2.41</v>
      </c>
      <c r="CP692" s="24">
        <v>99</v>
      </c>
      <c r="CQ692" s="23">
        <v>-0.78</v>
      </c>
      <c r="CR692" s="23">
        <v>-24.37</v>
      </c>
      <c r="CS692" s="23" t="s">
        <v>138</v>
      </c>
      <c r="CT692" s="24" t="s">
        <v>138</v>
      </c>
      <c r="CU692" s="23">
        <v>7.0000000000000007E-2</v>
      </c>
      <c r="CV692" s="24">
        <v>62</v>
      </c>
      <c r="CW692" s="23" t="s">
        <v>138</v>
      </c>
      <c r="CX692" s="24" t="s">
        <v>138</v>
      </c>
      <c r="CY692" s="23" t="s">
        <v>138</v>
      </c>
      <c r="CZ692" s="24" t="s">
        <v>138</v>
      </c>
      <c r="DA692" s="23">
        <v>0.02</v>
      </c>
      <c r="DB692" s="24">
        <v>58</v>
      </c>
      <c r="DC692" s="25">
        <v>1.77</v>
      </c>
      <c r="DD692" s="24">
        <v>64</v>
      </c>
      <c r="DE692" s="25">
        <v>0.02</v>
      </c>
      <c r="DF692" s="23">
        <v>1.05</v>
      </c>
      <c r="DG692" s="25" t="s">
        <v>138</v>
      </c>
      <c r="DH692" s="24" t="s">
        <v>138</v>
      </c>
      <c r="DI692" s="25">
        <v>3.13</v>
      </c>
      <c r="DJ692" s="24">
        <v>70</v>
      </c>
      <c r="DK692" s="25" t="s">
        <v>138</v>
      </c>
      <c r="DL692" s="24" t="s">
        <v>138</v>
      </c>
      <c r="DM692" s="25" t="s">
        <v>138</v>
      </c>
      <c r="DN692" s="24" t="s">
        <v>138</v>
      </c>
      <c r="DO692" s="25">
        <v>5.63</v>
      </c>
      <c r="DP692" s="24">
        <v>81</v>
      </c>
      <c r="DQ692" s="24" t="s">
        <v>138</v>
      </c>
      <c r="DR692" s="26" t="s">
        <v>138</v>
      </c>
      <c r="DS692" s="23" t="s">
        <v>138</v>
      </c>
      <c r="DT692" s="24" t="s">
        <v>138</v>
      </c>
      <c r="DU692" s="26" t="s">
        <v>138</v>
      </c>
      <c r="DV692" s="23" t="s">
        <v>138</v>
      </c>
      <c r="DW692" s="24">
        <v>2014</v>
      </c>
      <c r="DX692" s="27">
        <v>3</v>
      </c>
      <c r="DY692" s="23">
        <v>0.15</v>
      </c>
      <c r="DZ692" s="15" t="s">
        <v>178</v>
      </c>
      <c r="EA692" s="22">
        <v>43622</v>
      </c>
      <c r="EB692" s="17">
        <v>1.32</v>
      </c>
      <c r="EC692" s="22">
        <v>41227</v>
      </c>
      <c r="ED692" s="15" t="s">
        <v>234</v>
      </c>
      <c r="EE692" s="14" t="str">
        <f>HYPERLINK("https://my.pitchbook.com?c=64381-96", "View company online")</f>
        <v>View company online</v>
      </c>
    </row>
    <row r="693" spans="1:135">
      <c r="A693" s="28" t="s">
        <v>13916</v>
      </c>
      <c r="B693" s="28" t="s">
        <v>13917</v>
      </c>
      <c r="C693" s="28" t="s">
        <v>138</v>
      </c>
      <c r="D693" s="28" t="s">
        <v>13918</v>
      </c>
      <c r="E693" s="28" t="s">
        <v>13919</v>
      </c>
      <c r="F693" s="28" t="s">
        <v>13916</v>
      </c>
      <c r="G693" s="28" t="s">
        <v>13920</v>
      </c>
      <c r="H693" s="28" t="s">
        <v>141</v>
      </c>
      <c r="I693" s="28" t="s">
        <v>1281</v>
      </c>
      <c r="J693" s="28" t="s">
        <v>1282</v>
      </c>
      <c r="K693" s="28" t="s">
        <v>13921</v>
      </c>
      <c r="L693" s="28" t="s">
        <v>2427</v>
      </c>
      <c r="M693" s="28" t="s">
        <v>13922</v>
      </c>
      <c r="N693" s="28" t="s">
        <v>147</v>
      </c>
      <c r="O693" s="29">
        <v>264</v>
      </c>
      <c r="P693" s="28" t="s">
        <v>148</v>
      </c>
      <c r="Q693" s="28" t="s">
        <v>149</v>
      </c>
      <c r="R693" s="28" t="s">
        <v>174</v>
      </c>
      <c r="S693" s="28" t="s">
        <v>13923</v>
      </c>
      <c r="T693" s="30" t="s">
        <v>138</v>
      </c>
      <c r="U693" s="28" t="s">
        <v>138</v>
      </c>
      <c r="V693" s="28" t="s">
        <v>138</v>
      </c>
      <c r="W693" s="28" t="s">
        <v>138</v>
      </c>
      <c r="X693" s="31">
        <v>2016</v>
      </c>
      <c r="Y693" s="28" t="s">
        <v>138</v>
      </c>
      <c r="Z693" s="28" t="s">
        <v>138</v>
      </c>
      <c r="AA693" s="28" t="s">
        <v>13924</v>
      </c>
      <c r="AB693" s="32" t="s">
        <v>138</v>
      </c>
      <c r="AC693" s="32" t="s">
        <v>138</v>
      </c>
      <c r="AD693" s="32" t="s">
        <v>138</v>
      </c>
      <c r="AE693" s="32" t="s">
        <v>138</v>
      </c>
      <c r="AF693" s="32" t="s">
        <v>138</v>
      </c>
      <c r="AG693" s="28" t="s">
        <v>138</v>
      </c>
      <c r="AH693" s="32" t="s">
        <v>138</v>
      </c>
      <c r="AI693" s="32" t="s">
        <v>138</v>
      </c>
      <c r="AJ693" s="32" t="s">
        <v>138</v>
      </c>
      <c r="AK693" s="28" t="s">
        <v>13925</v>
      </c>
      <c r="AL693" s="28" t="s">
        <v>13926</v>
      </c>
      <c r="AM693" s="28" t="s">
        <v>304</v>
      </c>
      <c r="AN693" s="28" t="s">
        <v>13927</v>
      </c>
      <c r="AO693" s="28" t="s">
        <v>138</v>
      </c>
      <c r="AP693" s="28" t="s">
        <v>5380</v>
      </c>
      <c r="AQ693" s="28" t="s">
        <v>13928</v>
      </c>
      <c r="AR693" s="28" t="s">
        <v>138</v>
      </c>
      <c r="AS693" s="28" t="s">
        <v>5382</v>
      </c>
      <c r="AT693" s="28" t="s">
        <v>200</v>
      </c>
      <c r="AU693" s="28" t="s">
        <v>5383</v>
      </c>
      <c r="AV693" s="28" t="s">
        <v>162</v>
      </c>
      <c r="AW693" s="28" t="s">
        <v>138</v>
      </c>
      <c r="AX693" s="28" t="s">
        <v>138</v>
      </c>
      <c r="AY693" s="28" t="s">
        <v>13929</v>
      </c>
      <c r="AZ693" s="28" t="s">
        <v>164</v>
      </c>
      <c r="BA693" s="28" t="s">
        <v>165</v>
      </c>
      <c r="BB693" s="28" t="s">
        <v>13930</v>
      </c>
      <c r="BC693" s="28" t="s">
        <v>13931</v>
      </c>
      <c r="BD693" s="33">
        <v>19</v>
      </c>
      <c r="BE693" s="28" t="s">
        <v>138</v>
      </c>
      <c r="BF693" s="28" t="s">
        <v>138</v>
      </c>
      <c r="BG693" s="28" t="s">
        <v>13932</v>
      </c>
      <c r="BH693" s="28" t="s">
        <v>13933</v>
      </c>
      <c r="BI693" s="28" t="s">
        <v>138</v>
      </c>
      <c r="BJ693" s="28" t="s">
        <v>13934</v>
      </c>
      <c r="BK693" s="28" t="s">
        <v>138</v>
      </c>
      <c r="BL693" s="28" t="s">
        <v>13935</v>
      </c>
      <c r="BM693" s="34">
        <v>43115</v>
      </c>
      <c r="BN693" s="29">
        <v>112</v>
      </c>
      <c r="BO693" s="28" t="s">
        <v>172</v>
      </c>
      <c r="BP693" s="29" t="s">
        <v>138</v>
      </c>
      <c r="BQ693" s="28" t="s">
        <v>138</v>
      </c>
      <c r="BR693" s="28" t="s">
        <v>205</v>
      </c>
      <c r="BS693" s="28" t="s">
        <v>206</v>
      </c>
      <c r="BT693" s="28" t="s">
        <v>138</v>
      </c>
      <c r="BU693" s="28" t="s">
        <v>174</v>
      </c>
      <c r="BV693" s="28" t="s">
        <v>138</v>
      </c>
      <c r="BW693" s="28" t="s">
        <v>138</v>
      </c>
      <c r="BX693" s="28" t="s">
        <v>138</v>
      </c>
      <c r="BY693" s="28" t="s">
        <v>175</v>
      </c>
      <c r="BZ693" s="34">
        <v>43567</v>
      </c>
      <c r="CA693" s="29">
        <v>50</v>
      </c>
      <c r="CB693" s="28" t="s">
        <v>172</v>
      </c>
      <c r="CC693" s="29">
        <v>1666.67</v>
      </c>
      <c r="CD693" s="28" t="s">
        <v>1178</v>
      </c>
      <c r="CE693" s="28" t="s">
        <v>780</v>
      </c>
      <c r="CF693" s="28" t="s">
        <v>780</v>
      </c>
      <c r="CG693" s="28" t="s">
        <v>138</v>
      </c>
      <c r="CH693" s="28" t="s">
        <v>780</v>
      </c>
      <c r="CI693" s="28" t="s">
        <v>138</v>
      </c>
      <c r="CJ693" s="28" t="s">
        <v>138</v>
      </c>
      <c r="CK693" s="28" t="s">
        <v>138</v>
      </c>
      <c r="CL693" s="28" t="s">
        <v>352</v>
      </c>
      <c r="CM693" s="34" t="s">
        <v>138</v>
      </c>
      <c r="CN693" s="29" t="s">
        <v>138</v>
      </c>
      <c r="CO693" s="35">
        <v>0.98</v>
      </c>
      <c r="CP693" s="36">
        <v>97</v>
      </c>
      <c r="CQ693" s="35">
        <v>-0.01</v>
      </c>
      <c r="CR693" s="35">
        <v>-0.87</v>
      </c>
      <c r="CS693" s="35">
        <v>0.98</v>
      </c>
      <c r="CT693" s="36">
        <v>97</v>
      </c>
      <c r="CU693" s="35" t="s">
        <v>138</v>
      </c>
      <c r="CV693" s="36" t="s">
        <v>138</v>
      </c>
      <c r="CW693" s="35">
        <v>0.51</v>
      </c>
      <c r="CX693" s="36">
        <v>83</v>
      </c>
      <c r="CY693" s="35">
        <v>1.46</v>
      </c>
      <c r="CZ693" s="36">
        <v>99</v>
      </c>
      <c r="DA693" s="35" t="s">
        <v>138</v>
      </c>
      <c r="DB693" s="36" t="s">
        <v>138</v>
      </c>
      <c r="DC693" s="37">
        <v>16.93</v>
      </c>
      <c r="DD693" s="36">
        <v>94</v>
      </c>
      <c r="DE693" s="37">
        <v>-1.52</v>
      </c>
      <c r="DF693" s="35">
        <v>-8.24</v>
      </c>
      <c r="DG693" s="37">
        <v>16.93</v>
      </c>
      <c r="DH693" s="36">
        <v>94</v>
      </c>
      <c r="DI693" s="37" t="s">
        <v>138</v>
      </c>
      <c r="DJ693" s="36" t="s">
        <v>138</v>
      </c>
      <c r="DK693" s="37">
        <v>24.52</v>
      </c>
      <c r="DL693" s="36">
        <v>93</v>
      </c>
      <c r="DM693" s="37">
        <v>9.34</v>
      </c>
      <c r="DN693" s="36">
        <v>88</v>
      </c>
      <c r="DO693" s="37" t="s">
        <v>138</v>
      </c>
      <c r="DP693" s="36" t="s">
        <v>138</v>
      </c>
      <c r="DQ693" s="36">
        <v>8222</v>
      </c>
      <c r="DR693" s="38">
        <v>565</v>
      </c>
      <c r="DS693" s="35">
        <v>7.38</v>
      </c>
      <c r="DT693" s="36">
        <v>269</v>
      </c>
      <c r="DU693" s="38">
        <v>3</v>
      </c>
      <c r="DV693" s="35">
        <v>1.1299999999999999</v>
      </c>
      <c r="DW693" s="36" t="s">
        <v>138</v>
      </c>
      <c r="DX693" s="39" t="s">
        <v>138</v>
      </c>
      <c r="DY693" s="35" t="s">
        <v>138</v>
      </c>
      <c r="DZ693" s="28" t="s">
        <v>178</v>
      </c>
      <c r="EA693" s="34">
        <v>43608</v>
      </c>
      <c r="EB693" s="29">
        <v>1666.67</v>
      </c>
      <c r="EC693" s="34">
        <v>43567</v>
      </c>
      <c r="ED693" s="28" t="s">
        <v>780</v>
      </c>
      <c r="EE693" s="40" t="str">
        <f>HYPERLINK("https://my.pitchbook.com?c=184540-78", "View company online")</f>
        <v>View company online</v>
      </c>
    </row>
    <row r="694" spans="1:135">
      <c r="A694" s="15" t="s">
        <v>13936</v>
      </c>
      <c r="B694" s="15" t="s">
        <v>13937</v>
      </c>
      <c r="C694" s="15" t="s">
        <v>13938</v>
      </c>
      <c r="D694" s="15" t="s">
        <v>138</v>
      </c>
      <c r="E694" s="15" t="s">
        <v>138</v>
      </c>
      <c r="F694" s="15" t="s">
        <v>13936</v>
      </c>
      <c r="G694" s="15" t="s">
        <v>13939</v>
      </c>
      <c r="H694" s="15" t="s">
        <v>141</v>
      </c>
      <c r="I694" s="15" t="s">
        <v>212</v>
      </c>
      <c r="J694" s="15" t="s">
        <v>213</v>
      </c>
      <c r="K694" s="15" t="s">
        <v>1064</v>
      </c>
      <c r="L694" s="15" t="s">
        <v>3701</v>
      </c>
      <c r="M694" s="15" t="s">
        <v>13940</v>
      </c>
      <c r="N694" s="15" t="s">
        <v>147</v>
      </c>
      <c r="O694" s="17">
        <v>11.34</v>
      </c>
      <c r="P694" s="15" t="s">
        <v>148</v>
      </c>
      <c r="Q694" s="15" t="s">
        <v>149</v>
      </c>
      <c r="R694" s="15" t="s">
        <v>150</v>
      </c>
      <c r="S694" s="15" t="s">
        <v>13941</v>
      </c>
      <c r="T694" s="18">
        <v>28</v>
      </c>
      <c r="U694" s="15" t="s">
        <v>13942</v>
      </c>
      <c r="V694" s="15" t="s">
        <v>138</v>
      </c>
      <c r="W694" s="15" t="s">
        <v>138</v>
      </c>
      <c r="X694" s="19">
        <v>2013</v>
      </c>
      <c r="Y694" s="15" t="s">
        <v>138</v>
      </c>
      <c r="Z694" s="15" t="s">
        <v>138</v>
      </c>
      <c r="AA694" s="15" t="s">
        <v>138</v>
      </c>
      <c r="AB694" s="20" t="s">
        <v>138</v>
      </c>
      <c r="AC694" s="20" t="s">
        <v>138</v>
      </c>
      <c r="AD694" s="20" t="s">
        <v>138</v>
      </c>
      <c r="AE694" s="20" t="s">
        <v>138</v>
      </c>
      <c r="AF694" s="20" t="s">
        <v>138</v>
      </c>
      <c r="AG694" s="15" t="s">
        <v>138</v>
      </c>
      <c r="AH694" s="20" t="s">
        <v>138</v>
      </c>
      <c r="AI694" s="20" t="s">
        <v>138</v>
      </c>
      <c r="AJ694" s="20" t="s">
        <v>138</v>
      </c>
      <c r="AK694" s="15" t="s">
        <v>13943</v>
      </c>
      <c r="AL694" s="15" t="s">
        <v>13944</v>
      </c>
      <c r="AM694" s="15" t="s">
        <v>818</v>
      </c>
      <c r="AN694" s="15" t="s">
        <v>13945</v>
      </c>
      <c r="AO694" s="15" t="s">
        <v>138</v>
      </c>
      <c r="AP694" s="15" t="s">
        <v>665</v>
      </c>
      <c r="AQ694" s="15" t="s">
        <v>13946</v>
      </c>
      <c r="AR694" s="15" t="s">
        <v>13947</v>
      </c>
      <c r="AS694" s="15" t="s">
        <v>668</v>
      </c>
      <c r="AT694" s="15" t="s">
        <v>200</v>
      </c>
      <c r="AU694" s="15" t="s">
        <v>3928</v>
      </c>
      <c r="AV694" s="15" t="s">
        <v>162</v>
      </c>
      <c r="AW694" s="15" t="s">
        <v>138</v>
      </c>
      <c r="AX694" s="15" t="s">
        <v>138</v>
      </c>
      <c r="AY694" s="15" t="s">
        <v>13948</v>
      </c>
      <c r="AZ694" s="15" t="s">
        <v>164</v>
      </c>
      <c r="BA694" s="15" t="s">
        <v>165</v>
      </c>
      <c r="BB694" s="15" t="s">
        <v>13949</v>
      </c>
      <c r="BC694" s="15" t="s">
        <v>13950</v>
      </c>
      <c r="BD694" s="21">
        <v>38</v>
      </c>
      <c r="BE694" s="15" t="s">
        <v>138</v>
      </c>
      <c r="BF694" s="15" t="s">
        <v>138</v>
      </c>
      <c r="BG694" s="15" t="s">
        <v>13951</v>
      </c>
      <c r="BH694" s="15" t="s">
        <v>13952</v>
      </c>
      <c r="BI694" s="15" t="s">
        <v>138</v>
      </c>
      <c r="BJ694" s="15" t="s">
        <v>13953</v>
      </c>
      <c r="BK694" s="15" t="s">
        <v>138</v>
      </c>
      <c r="BL694" s="15" t="s">
        <v>290</v>
      </c>
      <c r="BM694" s="22" t="s">
        <v>138</v>
      </c>
      <c r="BN694" s="17" t="s">
        <v>138</v>
      </c>
      <c r="BO694" s="15" t="s">
        <v>138</v>
      </c>
      <c r="BP694" s="17" t="s">
        <v>138</v>
      </c>
      <c r="BQ694" s="15" t="s">
        <v>138</v>
      </c>
      <c r="BR694" s="15" t="s">
        <v>234</v>
      </c>
      <c r="BS694" s="15" t="s">
        <v>234</v>
      </c>
      <c r="BT694" s="15" t="s">
        <v>138</v>
      </c>
      <c r="BU694" s="15" t="s">
        <v>174</v>
      </c>
      <c r="BV694" s="15" t="s">
        <v>138</v>
      </c>
      <c r="BW694" s="15" t="s">
        <v>138</v>
      </c>
      <c r="BX694" s="15" t="s">
        <v>138</v>
      </c>
      <c r="BY694" s="15" t="s">
        <v>175</v>
      </c>
      <c r="BZ694" s="22">
        <v>43566</v>
      </c>
      <c r="CA694" s="17" t="s">
        <v>138</v>
      </c>
      <c r="CB694" s="15" t="s">
        <v>138</v>
      </c>
      <c r="CC694" s="17" t="s">
        <v>138</v>
      </c>
      <c r="CD694" s="15" t="s">
        <v>138</v>
      </c>
      <c r="CE694" s="15" t="s">
        <v>2228</v>
      </c>
      <c r="CF694" s="15" t="s">
        <v>138</v>
      </c>
      <c r="CG694" s="15" t="s">
        <v>138</v>
      </c>
      <c r="CH694" s="15" t="s">
        <v>780</v>
      </c>
      <c r="CI694" s="15" t="s">
        <v>138</v>
      </c>
      <c r="CJ694" s="15" t="s">
        <v>138</v>
      </c>
      <c r="CK694" s="15" t="s">
        <v>138</v>
      </c>
      <c r="CL694" s="15" t="s">
        <v>352</v>
      </c>
      <c r="CM694" s="22" t="s">
        <v>138</v>
      </c>
      <c r="CN694" s="17" t="s">
        <v>138</v>
      </c>
      <c r="CO694" s="23">
        <v>0</v>
      </c>
      <c r="CP694" s="24">
        <v>26</v>
      </c>
      <c r="CQ694" s="23">
        <v>0</v>
      </c>
      <c r="CR694" s="23">
        <v>0</v>
      </c>
      <c r="CS694" s="23">
        <v>0</v>
      </c>
      <c r="CT694" s="24">
        <v>23</v>
      </c>
      <c r="CU694" s="23" t="s">
        <v>138</v>
      </c>
      <c r="CV694" s="24" t="s">
        <v>138</v>
      </c>
      <c r="CW694" s="23">
        <v>0</v>
      </c>
      <c r="CX694" s="24">
        <v>13</v>
      </c>
      <c r="CY694" s="23" t="s">
        <v>138</v>
      </c>
      <c r="CZ694" s="24" t="s">
        <v>138</v>
      </c>
      <c r="DA694" s="23" t="s">
        <v>138</v>
      </c>
      <c r="DB694" s="24" t="s">
        <v>138</v>
      </c>
      <c r="DC694" s="25">
        <v>1.94</v>
      </c>
      <c r="DD694" s="24">
        <v>66</v>
      </c>
      <c r="DE694" s="25">
        <v>-0.25</v>
      </c>
      <c r="DF694" s="23">
        <v>-11.37</v>
      </c>
      <c r="DG694" s="25">
        <v>1.94</v>
      </c>
      <c r="DH694" s="24">
        <v>66</v>
      </c>
      <c r="DI694" s="25" t="s">
        <v>138</v>
      </c>
      <c r="DJ694" s="24" t="s">
        <v>138</v>
      </c>
      <c r="DK694" s="25">
        <v>1.94</v>
      </c>
      <c r="DL694" s="24">
        <v>64</v>
      </c>
      <c r="DM694" s="25" t="s">
        <v>138</v>
      </c>
      <c r="DN694" s="24" t="s">
        <v>138</v>
      </c>
      <c r="DO694" s="25" t="s">
        <v>138</v>
      </c>
      <c r="DP694" s="24" t="s">
        <v>138</v>
      </c>
      <c r="DQ694" s="24">
        <v>659</v>
      </c>
      <c r="DR694" s="26">
        <v>19</v>
      </c>
      <c r="DS694" s="23">
        <v>2.97</v>
      </c>
      <c r="DT694" s="24" t="s">
        <v>138</v>
      </c>
      <c r="DU694" s="26" t="s">
        <v>138</v>
      </c>
      <c r="DV694" s="23" t="s">
        <v>138</v>
      </c>
      <c r="DW694" s="24" t="s">
        <v>138</v>
      </c>
      <c r="DX694" s="27" t="s">
        <v>138</v>
      </c>
      <c r="DY694" s="23" t="s">
        <v>138</v>
      </c>
      <c r="DZ694" s="15" t="s">
        <v>178</v>
      </c>
      <c r="EA694" s="22">
        <v>43622</v>
      </c>
      <c r="EB694" s="17">
        <v>26.84</v>
      </c>
      <c r="EC694" s="22">
        <v>42772</v>
      </c>
      <c r="ED694" s="15" t="s">
        <v>205</v>
      </c>
      <c r="EE694" s="14" t="str">
        <f>HYPERLINK("https://my.pitchbook.com?c=56934-01", "View company online")</f>
        <v>View company online</v>
      </c>
    </row>
    <row r="695" spans="1:135">
      <c r="A695" s="28" t="s">
        <v>13954</v>
      </c>
      <c r="B695" s="28" t="s">
        <v>13955</v>
      </c>
      <c r="C695" s="28" t="s">
        <v>138</v>
      </c>
      <c r="D695" s="28" t="s">
        <v>138</v>
      </c>
      <c r="E695" s="28" t="s">
        <v>13956</v>
      </c>
      <c r="F695" s="28" t="s">
        <v>13954</v>
      </c>
      <c r="G695" s="28" t="s">
        <v>13957</v>
      </c>
      <c r="H695" s="28" t="s">
        <v>322</v>
      </c>
      <c r="I695" s="28" t="s">
        <v>356</v>
      </c>
      <c r="J695" s="28" t="s">
        <v>2106</v>
      </c>
      <c r="K695" s="28" t="s">
        <v>2107</v>
      </c>
      <c r="L695" s="28" t="s">
        <v>415</v>
      </c>
      <c r="M695" s="28" t="s">
        <v>13958</v>
      </c>
      <c r="N695" s="28" t="s">
        <v>147</v>
      </c>
      <c r="O695" s="29">
        <v>84.08</v>
      </c>
      <c r="P695" s="28" t="s">
        <v>610</v>
      </c>
      <c r="Q695" s="28" t="s">
        <v>149</v>
      </c>
      <c r="R695" s="28" t="s">
        <v>244</v>
      </c>
      <c r="S695" s="28" t="s">
        <v>13959</v>
      </c>
      <c r="T695" s="30">
        <v>109</v>
      </c>
      <c r="U695" s="28" t="s">
        <v>13960</v>
      </c>
      <c r="V695" s="28" t="s">
        <v>138</v>
      </c>
      <c r="W695" s="28" t="s">
        <v>138</v>
      </c>
      <c r="X695" s="31" t="s">
        <v>138</v>
      </c>
      <c r="Y695" s="28" t="s">
        <v>138</v>
      </c>
      <c r="Z695" s="28" t="s">
        <v>138</v>
      </c>
      <c r="AA695" s="28" t="s">
        <v>138</v>
      </c>
      <c r="AB695" s="32" t="s">
        <v>138</v>
      </c>
      <c r="AC695" s="32" t="s">
        <v>138</v>
      </c>
      <c r="AD695" s="32" t="s">
        <v>138</v>
      </c>
      <c r="AE695" s="32" t="s">
        <v>138</v>
      </c>
      <c r="AF695" s="32" t="s">
        <v>138</v>
      </c>
      <c r="AG695" s="28" t="s">
        <v>138</v>
      </c>
      <c r="AH695" s="32" t="s">
        <v>138</v>
      </c>
      <c r="AI695" s="32" t="s">
        <v>138</v>
      </c>
      <c r="AJ695" s="32" t="s">
        <v>138</v>
      </c>
      <c r="AK695" s="28" t="s">
        <v>13961</v>
      </c>
      <c r="AL695" s="28" t="s">
        <v>13962</v>
      </c>
      <c r="AM695" s="28" t="s">
        <v>13963</v>
      </c>
      <c r="AN695" s="28" t="s">
        <v>13964</v>
      </c>
      <c r="AO695" s="28" t="s">
        <v>13965</v>
      </c>
      <c r="AP695" s="28" t="s">
        <v>1220</v>
      </c>
      <c r="AQ695" s="28" t="s">
        <v>13966</v>
      </c>
      <c r="AR695" s="28" t="s">
        <v>138</v>
      </c>
      <c r="AS695" s="28" t="s">
        <v>1223</v>
      </c>
      <c r="AT695" s="28" t="s">
        <v>200</v>
      </c>
      <c r="AU695" s="28" t="s">
        <v>13967</v>
      </c>
      <c r="AV695" s="28" t="s">
        <v>162</v>
      </c>
      <c r="AW695" s="28" t="s">
        <v>13965</v>
      </c>
      <c r="AX695" s="28" t="s">
        <v>138</v>
      </c>
      <c r="AY695" s="28" t="s">
        <v>13968</v>
      </c>
      <c r="AZ695" s="28" t="s">
        <v>164</v>
      </c>
      <c r="BA695" s="28" t="s">
        <v>165</v>
      </c>
      <c r="BB695" s="28" t="s">
        <v>13969</v>
      </c>
      <c r="BC695" s="28" t="s">
        <v>13970</v>
      </c>
      <c r="BD695" s="33">
        <v>12</v>
      </c>
      <c r="BE695" s="28" t="s">
        <v>138</v>
      </c>
      <c r="BF695" s="28" t="s">
        <v>13971</v>
      </c>
      <c r="BG695" s="28" t="s">
        <v>138</v>
      </c>
      <c r="BH695" s="28" t="s">
        <v>13972</v>
      </c>
      <c r="BI695" s="28" t="s">
        <v>13973</v>
      </c>
      <c r="BJ695" s="28" t="s">
        <v>138</v>
      </c>
      <c r="BK695" s="28" t="s">
        <v>138</v>
      </c>
      <c r="BL695" s="28" t="s">
        <v>13974</v>
      </c>
      <c r="BM695" s="34">
        <v>36739</v>
      </c>
      <c r="BN695" s="29">
        <v>22.4</v>
      </c>
      <c r="BO695" s="28" t="s">
        <v>172</v>
      </c>
      <c r="BP695" s="29">
        <v>44.4</v>
      </c>
      <c r="BQ695" s="28" t="s">
        <v>172</v>
      </c>
      <c r="BR695" s="28" t="s">
        <v>205</v>
      </c>
      <c r="BS695" s="28" t="s">
        <v>206</v>
      </c>
      <c r="BT695" s="28" t="s">
        <v>138</v>
      </c>
      <c r="BU695" s="28" t="s">
        <v>174</v>
      </c>
      <c r="BV695" s="28" t="s">
        <v>138</v>
      </c>
      <c r="BW695" s="28" t="s">
        <v>138</v>
      </c>
      <c r="BX695" s="28" t="s">
        <v>138</v>
      </c>
      <c r="BY695" s="28" t="s">
        <v>175</v>
      </c>
      <c r="BZ695" s="34">
        <v>38152</v>
      </c>
      <c r="CA695" s="29">
        <v>9.68</v>
      </c>
      <c r="CB695" s="28" t="s">
        <v>172</v>
      </c>
      <c r="CC695" s="29" t="s">
        <v>138</v>
      </c>
      <c r="CD695" s="28" t="s">
        <v>138</v>
      </c>
      <c r="CE695" s="28" t="s">
        <v>265</v>
      </c>
      <c r="CF695" s="28" t="s">
        <v>138</v>
      </c>
      <c r="CG695" s="28" t="s">
        <v>138</v>
      </c>
      <c r="CH695" s="28" t="s">
        <v>1327</v>
      </c>
      <c r="CI695" s="28" t="s">
        <v>264</v>
      </c>
      <c r="CJ695" s="28" t="s">
        <v>138</v>
      </c>
      <c r="CK695" s="28" t="s">
        <v>138</v>
      </c>
      <c r="CL695" s="28" t="s">
        <v>175</v>
      </c>
      <c r="CM695" s="34">
        <v>37333</v>
      </c>
      <c r="CN695" s="29" t="s">
        <v>138</v>
      </c>
      <c r="CO695" s="35">
        <v>-0.03</v>
      </c>
      <c r="CP695" s="36">
        <v>23</v>
      </c>
      <c r="CQ695" s="35">
        <v>0</v>
      </c>
      <c r="CR695" s="35">
        <v>0</v>
      </c>
      <c r="CS695" s="35">
        <v>0</v>
      </c>
      <c r="CT695" s="36">
        <v>23</v>
      </c>
      <c r="CU695" s="35">
        <v>-0.05</v>
      </c>
      <c r="CV695" s="36">
        <v>9</v>
      </c>
      <c r="CW695" s="35" t="s">
        <v>138</v>
      </c>
      <c r="CX695" s="36" t="s">
        <v>138</v>
      </c>
      <c r="CY695" s="35">
        <v>0</v>
      </c>
      <c r="CZ695" s="36">
        <v>25</v>
      </c>
      <c r="DA695" s="35">
        <v>0</v>
      </c>
      <c r="DB695" s="36">
        <v>22</v>
      </c>
      <c r="DC695" s="37">
        <v>1.52</v>
      </c>
      <c r="DD695" s="36">
        <v>61</v>
      </c>
      <c r="DE695" s="37">
        <v>-0.02</v>
      </c>
      <c r="DF695" s="35">
        <v>-1.1299999999999999</v>
      </c>
      <c r="DG695" s="37">
        <v>2.83</v>
      </c>
      <c r="DH695" s="36">
        <v>73</v>
      </c>
      <c r="DI695" s="37">
        <v>0.2</v>
      </c>
      <c r="DJ695" s="36">
        <v>22</v>
      </c>
      <c r="DK695" s="37" t="s">
        <v>138</v>
      </c>
      <c r="DL695" s="36" t="s">
        <v>138</v>
      </c>
      <c r="DM695" s="37">
        <v>2.83</v>
      </c>
      <c r="DN695" s="36">
        <v>72</v>
      </c>
      <c r="DO695" s="37">
        <v>0.02</v>
      </c>
      <c r="DP695" s="36">
        <v>4</v>
      </c>
      <c r="DQ695" s="36" t="s">
        <v>138</v>
      </c>
      <c r="DR695" s="38" t="s">
        <v>138</v>
      </c>
      <c r="DS695" s="35" t="s">
        <v>138</v>
      </c>
      <c r="DT695" s="36">
        <v>82</v>
      </c>
      <c r="DU695" s="38">
        <v>0</v>
      </c>
      <c r="DV695" s="35">
        <v>0</v>
      </c>
      <c r="DW695" s="36">
        <v>8</v>
      </c>
      <c r="DX695" s="39">
        <v>0</v>
      </c>
      <c r="DY695" s="35">
        <v>0</v>
      </c>
      <c r="DZ695" s="28" t="s">
        <v>178</v>
      </c>
      <c r="EA695" s="34">
        <v>43375</v>
      </c>
      <c r="EB695" s="29">
        <v>104.6</v>
      </c>
      <c r="EC695" s="34">
        <v>37333</v>
      </c>
      <c r="ED695" s="28" t="s">
        <v>205</v>
      </c>
      <c r="EE695" s="40" t="str">
        <f>HYPERLINK("https://my.pitchbook.com?c=54423-55", "View company online")</f>
        <v>View company online</v>
      </c>
    </row>
    <row r="696" spans="1:135">
      <c r="A696" s="15" t="s">
        <v>13975</v>
      </c>
      <c r="B696" s="15" t="s">
        <v>13976</v>
      </c>
      <c r="C696" s="15" t="s">
        <v>138</v>
      </c>
      <c r="D696" s="15" t="s">
        <v>138</v>
      </c>
      <c r="E696" s="15" t="s">
        <v>13977</v>
      </c>
      <c r="F696" s="15" t="s">
        <v>13975</v>
      </c>
      <c r="G696" s="15" t="s">
        <v>13978</v>
      </c>
      <c r="H696" s="15" t="s">
        <v>238</v>
      </c>
      <c r="I696" s="15" t="s">
        <v>1351</v>
      </c>
      <c r="J696" s="15" t="s">
        <v>1352</v>
      </c>
      <c r="K696" s="15" t="s">
        <v>13979</v>
      </c>
      <c r="L696" s="15" t="s">
        <v>3509</v>
      </c>
      <c r="M696" s="15" t="s">
        <v>13980</v>
      </c>
      <c r="N696" s="15" t="s">
        <v>147</v>
      </c>
      <c r="O696" s="17">
        <v>12</v>
      </c>
      <c r="P696" s="15" t="s">
        <v>148</v>
      </c>
      <c r="Q696" s="15" t="s">
        <v>149</v>
      </c>
      <c r="R696" s="15" t="s">
        <v>174</v>
      </c>
      <c r="S696" s="15" t="s">
        <v>13981</v>
      </c>
      <c r="T696" s="18">
        <v>51</v>
      </c>
      <c r="U696" s="15" t="s">
        <v>12556</v>
      </c>
      <c r="V696" s="15" t="s">
        <v>138</v>
      </c>
      <c r="W696" s="15" t="s">
        <v>138</v>
      </c>
      <c r="X696" s="19">
        <v>2008</v>
      </c>
      <c r="Y696" s="15" t="s">
        <v>138</v>
      </c>
      <c r="Z696" s="15" t="s">
        <v>138</v>
      </c>
      <c r="AA696" s="15" t="s">
        <v>138</v>
      </c>
      <c r="AB696" s="20" t="s">
        <v>138</v>
      </c>
      <c r="AC696" s="20" t="s">
        <v>138</v>
      </c>
      <c r="AD696" s="20" t="s">
        <v>138</v>
      </c>
      <c r="AE696" s="20" t="s">
        <v>138</v>
      </c>
      <c r="AF696" s="20" t="s">
        <v>138</v>
      </c>
      <c r="AG696" s="15" t="s">
        <v>138</v>
      </c>
      <c r="AH696" s="20" t="s">
        <v>138</v>
      </c>
      <c r="AI696" s="20" t="s">
        <v>138</v>
      </c>
      <c r="AJ696" s="20" t="s">
        <v>138</v>
      </c>
      <c r="AK696" s="15" t="s">
        <v>13982</v>
      </c>
      <c r="AL696" s="15" t="s">
        <v>13983</v>
      </c>
      <c r="AM696" s="15" t="s">
        <v>249</v>
      </c>
      <c r="AN696" s="15" t="s">
        <v>13984</v>
      </c>
      <c r="AO696" s="15" t="s">
        <v>13985</v>
      </c>
      <c r="AP696" s="15" t="s">
        <v>4069</v>
      </c>
      <c r="AQ696" s="15" t="s">
        <v>13986</v>
      </c>
      <c r="AR696" s="15" t="s">
        <v>13987</v>
      </c>
      <c r="AS696" s="15" t="s">
        <v>4072</v>
      </c>
      <c r="AT696" s="15" t="s">
        <v>138</v>
      </c>
      <c r="AU696" s="15" t="s">
        <v>13988</v>
      </c>
      <c r="AV696" s="15" t="s">
        <v>740</v>
      </c>
      <c r="AW696" s="15" t="s">
        <v>13985</v>
      </c>
      <c r="AX696" s="15" t="s">
        <v>138</v>
      </c>
      <c r="AY696" s="15" t="s">
        <v>13989</v>
      </c>
      <c r="AZ696" s="15" t="s">
        <v>742</v>
      </c>
      <c r="BA696" s="15" t="s">
        <v>742</v>
      </c>
      <c r="BB696" s="15" t="s">
        <v>13990</v>
      </c>
      <c r="BC696" s="15" t="s">
        <v>13991</v>
      </c>
      <c r="BD696" s="21">
        <v>6</v>
      </c>
      <c r="BE696" s="15" t="s">
        <v>138</v>
      </c>
      <c r="BF696" s="15" t="s">
        <v>138</v>
      </c>
      <c r="BG696" s="15" t="s">
        <v>138</v>
      </c>
      <c r="BH696" s="15" t="s">
        <v>13992</v>
      </c>
      <c r="BI696" s="15" t="s">
        <v>138</v>
      </c>
      <c r="BJ696" s="15" t="s">
        <v>138</v>
      </c>
      <c r="BK696" s="15" t="s">
        <v>138</v>
      </c>
      <c r="BL696" s="15" t="s">
        <v>138</v>
      </c>
      <c r="BM696" s="22" t="s">
        <v>138</v>
      </c>
      <c r="BN696" s="17" t="s">
        <v>138</v>
      </c>
      <c r="BO696" s="15" t="s">
        <v>138</v>
      </c>
      <c r="BP696" s="17" t="s">
        <v>138</v>
      </c>
      <c r="BQ696" s="15" t="s">
        <v>138</v>
      </c>
      <c r="BR696" s="15" t="s">
        <v>262</v>
      </c>
      <c r="BS696" s="15" t="s">
        <v>262</v>
      </c>
      <c r="BT696" s="15" t="s">
        <v>138</v>
      </c>
      <c r="BU696" s="15" t="s">
        <v>263</v>
      </c>
      <c r="BV696" s="15" t="s">
        <v>138</v>
      </c>
      <c r="BW696" s="15" t="s">
        <v>138</v>
      </c>
      <c r="BX696" s="15" t="s">
        <v>138</v>
      </c>
      <c r="BY696" s="15" t="s">
        <v>175</v>
      </c>
      <c r="BZ696" s="22">
        <v>42668</v>
      </c>
      <c r="CA696" s="17">
        <v>7</v>
      </c>
      <c r="CB696" s="15" t="s">
        <v>172</v>
      </c>
      <c r="CC696" s="17" t="s">
        <v>138</v>
      </c>
      <c r="CD696" s="15" t="s">
        <v>138</v>
      </c>
      <c r="CE696" s="15" t="s">
        <v>173</v>
      </c>
      <c r="CF696" s="15" t="s">
        <v>138</v>
      </c>
      <c r="CG696" s="15" t="s">
        <v>138</v>
      </c>
      <c r="CH696" s="15" t="s">
        <v>174</v>
      </c>
      <c r="CI696" s="15" t="s">
        <v>138</v>
      </c>
      <c r="CJ696" s="15" t="s">
        <v>138</v>
      </c>
      <c r="CK696" s="15" t="s">
        <v>138</v>
      </c>
      <c r="CL696" s="15" t="s">
        <v>175</v>
      </c>
      <c r="CM696" s="22" t="s">
        <v>138</v>
      </c>
      <c r="CN696" s="17" t="s">
        <v>138</v>
      </c>
      <c r="CO696" s="23">
        <v>-0.64</v>
      </c>
      <c r="CP696" s="24">
        <v>14</v>
      </c>
      <c r="CQ696" s="23">
        <v>0.01</v>
      </c>
      <c r="CR696" s="23">
        <v>1.58</v>
      </c>
      <c r="CS696" s="23">
        <v>-1.07</v>
      </c>
      <c r="CT696" s="24">
        <v>14</v>
      </c>
      <c r="CU696" s="23">
        <v>-0.21</v>
      </c>
      <c r="CV696" s="24">
        <v>1</v>
      </c>
      <c r="CW696" s="23">
        <v>0</v>
      </c>
      <c r="CX696" s="24">
        <v>13</v>
      </c>
      <c r="CY696" s="23">
        <v>-2.13</v>
      </c>
      <c r="CZ696" s="24">
        <v>10</v>
      </c>
      <c r="DA696" s="23">
        <v>-0.48</v>
      </c>
      <c r="DB696" s="24">
        <v>1</v>
      </c>
      <c r="DC696" s="25">
        <v>4.29</v>
      </c>
      <c r="DD696" s="24">
        <v>81</v>
      </c>
      <c r="DE696" s="25">
        <v>0.02</v>
      </c>
      <c r="DF696" s="23">
        <v>0.54</v>
      </c>
      <c r="DG696" s="25">
        <v>7.1</v>
      </c>
      <c r="DH696" s="24">
        <v>86</v>
      </c>
      <c r="DI696" s="25">
        <v>1.49</v>
      </c>
      <c r="DJ696" s="24">
        <v>57</v>
      </c>
      <c r="DK696" s="25">
        <v>0.17</v>
      </c>
      <c r="DL696" s="24">
        <v>1</v>
      </c>
      <c r="DM696" s="25">
        <v>14.03</v>
      </c>
      <c r="DN696" s="24">
        <v>92</v>
      </c>
      <c r="DO696" s="25">
        <v>2.16</v>
      </c>
      <c r="DP696" s="24">
        <v>65</v>
      </c>
      <c r="DQ696" s="24">
        <v>59</v>
      </c>
      <c r="DR696" s="26">
        <v>-3</v>
      </c>
      <c r="DS696" s="23">
        <v>-4.84</v>
      </c>
      <c r="DT696" s="24">
        <v>405</v>
      </c>
      <c r="DU696" s="26">
        <v>2</v>
      </c>
      <c r="DV696" s="23">
        <v>0.5</v>
      </c>
      <c r="DW696" s="24">
        <v>772</v>
      </c>
      <c r="DX696" s="27">
        <v>0</v>
      </c>
      <c r="DY696" s="23">
        <v>0</v>
      </c>
      <c r="DZ696" s="15" t="s">
        <v>178</v>
      </c>
      <c r="EA696" s="22">
        <v>43351</v>
      </c>
      <c r="EB696" s="17" t="s">
        <v>138</v>
      </c>
      <c r="EC696" s="22" t="s">
        <v>138</v>
      </c>
      <c r="ED696" s="15" t="s">
        <v>138</v>
      </c>
      <c r="EE696" s="14" t="str">
        <f>HYPERLINK("https://my.pitchbook.com?c=94735-54", "View company online")</f>
        <v>View company online</v>
      </c>
    </row>
    <row r="697" spans="1:135">
      <c r="A697" s="28" t="s">
        <v>13993</v>
      </c>
      <c r="B697" s="28" t="s">
        <v>13994</v>
      </c>
      <c r="C697" s="28" t="s">
        <v>138</v>
      </c>
      <c r="D697" s="28" t="s">
        <v>138</v>
      </c>
      <c r="E697" s="28" t="s">
        <v>138</v>
      </c>
      <c r="F697" s="28" t="s">
        <v>13993</v>
      </c>
      <c r="G697" s="28" t="s">
        <v>13995</v>
      </c>
      <c r="H697" s="28" t="s">
        <v>322</v>
      </c>
      <c r="I697" s="28" t="s">
        <v>323</v>
      </c>
      <c r="J697" s="28" t="s">
        <v>1084</v>
      </c>
      <c r="K697" s="28" t="s">
        <v>1579</v>
      </c>
      <c r="L697" s="28" t="s">
        <v>13996</v>
      </c>
      <c r="M697" s="28" t="s">
        <v>13997</v>
      </c>
      <c r="N697" s="28" t="s">
        <v>147</v>
      </c>
      <c r="O697" s="29">
        <v>3.3</v>
      </c>
      <c r="P697" s="28" t="s">
        <v>934</v>
      </c>
      <c r="Q697" s="28" t="s">
        <v>149</v>
      </c>
      <c r="R697" s="28" t="s">
        <v>174</v>
      </c>
      <c r="S697" s="28" t="s">
        <v>13998</v>
      </c>
      <c r="T697" s="30" t="s">
        <v>138</v>
      </c>
      <c r="U697" s="28" t="s">
        <v>138</v>
      </c>
      <c r="V697" s="28" t="s">
        <v>138</v>
      </c>
      <c r="W697" s="28" t="s">
        <v>138</v>
      </c>
      <c r="X697" s="31">
        <v>2017</v>
      </c>
      <c r="Y697" s="28" t="s">
        <v>138</v>
      </c>
      <c r="Z697" s="28" t="s">
        <v>138</v>
      </c>
      <c r="AA697" s="28" t="s">
        <v>138</v>
      </c>
      <c r="AB697" s="32" t="s">
        <v>138</v>
      </c>
      <c r="AC697" s="32" t="s">
        <v>138</v>
      </c>
      <c r="AD697" s="32" t="s">
        <v>138</v>
      </c>
      <c r="AE697" s="32" t="s">
        <v>138</v>
      </c>
      <c r="AF697" s="32" t="s">
        <v>138</v>
      </c>
      <c r="AG697" s="28" t="s">
        <v>138</v>
      </c>
      <c r="AH697" s="32" t="s">
        <v>138</v>
      </c>
      <c r="AI697" s="32" t="s">
        <v>138</v>
      </c>
      <c r="AJ697" s="32" t="s">
        <v>138</v>
      </c>
      <c r="AK697" s="28" t="s">
        <v>13999</v>
      </c>
      <c r="AL697" s="28" t="s">
        <v>14000</v>
      </c>
      <c r="AM697" s="28" t="s">
        <v>444</v>
      </c>
      <c r="AN697" s="28" t="s">
        <v>14001</v>
      </c>
      <c r="AO697" s="28" t="s">
        <v>138</v>
      </c>
      <c r="AP697" s="28" t="s">
        <v>2928</v>
      </c>
      <c r="AQ697" s="28" t="s">
        <v>14002</v>
      </c>
      <c r="AR697" s="28" t="s">
        <v>14003</v>
      </c>
      <c r="AS697" s="28" t="s">
        <v>2931</v>
      </c>
      <c r="AT697" s="28" t="s">
        <v>200</v>
      </c>
      <c r="AU697" s="28" t="s">
        <v>2932</v>
      </c>
      <c r="AV697" s="28" t="s">
        <v>162</v>
      </c>
      <c r="AW697" s="28" t="s">
        <v>138</v>
      </c>
      <c r="AX697" s="28" t="s">
        <v>138</v>
      </c>
      <c r="AY697" s="28" t="s">
        <v>14004</v>
      </c>
      <c r="AZ697" s="28" t="s">
        <v>164</v>
      </c>
      <c r="BA697" s="28" t="s">
        <v>165</v>
      </c>
      <c r="BB697" s="28" t="s">
        <v>14005</v>
      </c>
      <c r="BC697" s="28" t="s">
        <v>455</v>
      </c>
      <c r="BD697" s="33">
        <v>1</v>
      </c>
      <c r="BE697" s="28" t="s">
        <v>138</v>
      </c>
      <c r="BF697" s="28" t="s">
        <v>138</v>
      </c>
      <c r="BG697" s="28" t="s">
        <v>138</v>
      </c>
      <c r="BH697" s="28" t="s">
        <v>456</v>
      </c>
      <c r="BI697" s="28" t="s">
        <v>138</v>
      </c>
      <c r="BJ697" s="28" t="s">
        <v>138</v>
      </c>
      <c r="BK697" s="28" t="s">
        <v>138</v>
      </c>
      <c r="BL697" s="28" t="s">
        <v>14006</v>
      </c>
      <c r="BM697" s="34">
        <v>43199</v>
      </c>
      <c r="BN697" s="29">
        <v>3.3</v>
      </c>
      <c r="BO697" s="28" t="s">
        <v>172</v>
      </c>
      <c r="BP697" s="29">
        <v>12.3</v>
      </c>
      <c r="BQ697" s="28" t="s">
        <v>172</v>
      </c>
      <c r="BR697" s="28" t="s">
        <v>234</v>
      </c>
      <c r="BS697" s="28" t="s">
        <v>234</v>
      </c>
      <c r="BT697" s="28" t="s">
        <v>138</v>
      </c>
      <c r="BU697" s="28" t="s">
        <v>174</v>
      </c>
      <c r="BV697" s="28" t="s">
        <v>138</v>
      </c>
      <c r="BW697" s="28" t="s">
        <v>138</v>
      </c>
      <c r="BX697" s="28" t="s">
        <v>138</v>
      </c>
      <c r="BY697" s="28" t="s">
        <v>175</v>
      </c>
      <c r="BZ697" s="34">
        <v>43199</v>
      </c>
      <c r="CA697" s="29">
        <v>3.3</v>
      </c>
      <c r="CB697" s="28" t="s">
        <v>172</v>
      </c>
      <c r="CC697" s="29">
        <v>12.3</v>
      </c>
      <c r="CD697" s="28" t="s">
        <v>172</v>
      </c>
      <c r="CE697" s="28" t="s">
        <v>234</v>
      </c>
      <c r="CF697" s="28" t="s">
        <v>234</v>
      </c>
      <c r="CG697" s="28" t="s">
        <v>138</v>
      </c>
      <c r="CH697" s="28" t="s">
        <v>174</v>
      </c>
      <c r="CI697" s="28" t="s">
        <v>138</v>
      </c>
      <c r="CJ697" s="28" t="s">
        <v>138</v>
      </c>
      <c r="CK697" s="28" t="s">
        <v>138</v>
      </c>
      <c r="CL697" s="28" t="s">
        <v>175</v>
      </c>
      <c r="CM697" s="34" t="s">
        <v>138</v>
      </c>
      <c r="CN697" s="29" t="s">
        <v>138</v>
      </c>
      <c r="CO697" s="35" t="s">
        <v>138</v>
      </c>
      <c r="CP697" s="36" t="s">
        <v>138</v>
      </c>
      <c r="CQ697" s="35" t="s">
        <v>138</v>
      </c>
      <c r="CR697" s="35" t="s">
        <v>138</v>
      </c>
      <c r="CS697" s="35" t="s">
        <v>138</v>
      </c>
      <c r="CT697" s="36" t="s">
        <v>138</v>
      </c>
      <c r="CU697" s="35" t="s">
        <v>138</v>
      </c>
      <c r="CV697" s="36" t="s">
        <v>138</v>
      </c>
      <c r="CW697" s="35" t="s">
        <v>138</v>
      </c>
      <c r="CX697" s="36" t="s">
        <v>138</v>
      </c>
      <c r="CY697" s="35" t="s">
        <v>138</v>
      </c>
      <c r="CZ697" s="36" t="s">
        <v>138</v>
      </c>
      <c r="DA697" s="35" t="s">
        <v>138</v>
      </c>
      <c r="DB697" s="36" t="s">
        <v>138</v>
      </c>
      <c r="DC697" s="37" t="s">
        <v>138</v>
      </c>
      <c r="DD697" s="36" t="s">
        <v>138</v>
      </c>
      <c r="DE697" s="37" t="s">
        <v>138</v>
      </c>
      <c r="DF697" s="35" t="s">
        <v>138</v>
      </c>
      <c r="DG697" s="37" t="s">
        <v>138</v>
      </c>
      <c r="DH697" s="36" t="s">
        <v>138</v>
      </c>
      <c r="DI697" s="37" t="s">
        <v>138</v>
      </c>
      <c r="DJ697" s="36" t="s">
        <v>138</v>
      </c>
      <c r="DK697" s="37" t="s">
        <v>138</v>
      </c>
      <c r="DL697" s="36" t="s">
        <v>138</v>
      </c>
      <c r="DM697" s="37" t="s">
        <v>138</v>
      </c>
      <c r="DN697" s="36" t="s">
        <v>138</v>
      </c>
      <c r="DO697" s="37" t="s">
        <v>138</v>
      </c>
      <c r="DP697" s="36" t="s">
        <v>138</v>
      </c>
      <c r="DQ697" s="36" t="s">
        <v>138</v>
      </c>
      <c r="DR697" s="38" t="s">
        <v>138</v>
      </c>
      <c r="DS697" s="35" t="s">
        <v>138</v>
      </c>
      <c r="DT697" s="36" t="s">
        <v>138</v>
      </c>
      <c r="DU697" s="38" t="s">
        <v>138</v>
      </c>
      <c r="DV697" s="35" t="s">
        <v>138</v>
      </c>
      <c r="DW697" s="36" t="s">
        <v>138</v>
      </c>
      <c r="DX697" s="39" t="s">
        <v>138</v>
      </c>
      <c r="DY697" s="35" t="s">
        <v>138</v>
      </c>
      <c r="DZ697" s="28" t="s">
        <v>178</v>
      </c>
      <c r="EA697" s="34">
        <v>43543</v>
      </c>
      <c r="EB697" s="29">
        <v>12.3</v>
      </c>
      <c r="EC697" s="34">
        <v>43199</v>
      </c>
      <c r="ED697" s="28" t="s">
        <v>234</v>
      </c>
      <c r="EE697" s="40" t="str">
        <f>HYPERLINK("https://my.pitchbook.com?c=231934-60", "View company online")</f>
        <v>View company online</v>
      </c>
    </row>
    <row r="698" spans="1:135">
      <c r="A698" s="15" t="s">
        <v>14007</v>
      </c>
      <c r="B698" s="15" t="s">
        <v>14008</v>
      </c>
      <c r="C698" s="15" t="s">
        <v>138</v>
      </c>
      <c r="D698" s="15" t="s">
        <v>138</v>
      </c>
      <c r="E698" s="15" t="s">
        <v>138</v>
      </c>
      <c r="F698" s="15" t="s">
        <v>14007</v>
      </c>
      <c r="G698" s="15" t="s">
        <v>14009</v>
      </c>
      <c r="H698" s="15" t="s">
        <v>322</v>
      </c>
      <c r="I698" s="15" t="s">
        <v>323</v>
      </c>
      <c r="J698" s="15" t="s">
        <v>413</v>
      </c>
      <c r="K698" s="15" t="s">
        <v>14010</v>
      </c>
      <c r="L698" s="15" t="s">
        <v>14011</v>
      </c>
      <c r="M698" s="15" t="s">
        <v>14012</v>
      </c>
      <c r="N698" s="15" t="s">
        <v>1452</v>
      </c>
      <c r="O698" s="17">
        <v>109.19</v>
      </c>
      <c r="P698" s="15" t="s">
        <v>148</v>
      </c>
      <c r="Q698" s="15" t="s">
        <v>149</v>
      </c>
      <c r="R698" s="15" t="s">
        <v>328</v>
      </c>
      <c r="S698" s="15" t="s">
        <v>14013</v>
      </c>
      <c r="T698" s="18">
        <v>28</v>
      </c>
      <c r="U698" s="15" t="s">
        <v>14014</v>
      </c>
      <c r="V698" s="15" t="s">
        <v>138</v>
      </c>
      <c r="W698" s="15" t="s">
        <v>138</v>
      </c>
      <c r="X698" s="19">
        <v>2010</v>
      </c>
      <c r="Y698" s="15" t="s">
        <v>138</v>
      </c>
      <c r="Z698" s="15" t="s">
        <v>138</v>
      </c>
      <c r="AA698" s="15" t="s">
        <v>138</v>
      </c>
      <c r="AB698" s="20" t="s">
        <v>138</v>
      </c>
      <c r="AC698" s="20" t="s">
        <v>138</v>
      </c>
      <c r="AD698" s="20" t="s">
        <v>138</v>
      </c>
      <c r="AE698" s="20" t="s">
        <v>138</v>
      </c>
      <c r="AF698" s="20" t="s">
        <v>138</v>
      </c>
      <c r="AG698" s="15" t="s">
        <v>138</v>
      </c>
      <c r="AH698" s="20" t="s">
        <v>138</v>
      </c>
      <c r="AI698" s="20" t="s">
        <v>138</v>
      </c>
      <c r="AJ698" s="20" t="s">
        <v>138</v>
      </c>
      <c r="AK698" s="15" t="s">
        <v>14015</v>
      </c>
      <c r="AL698" s="15" t="s">
        <v>14016</v>
      </c>
      <c r="AM698" s="15" t="s">
        <v>916</v>
      </c>
      <c r="AN698" s="15" t="s">
        <v>138</v>
      </c>
      <c r="AO698" s="15" t="s">
        <v>138</v>
      </c>
      <c r="AP698" s="15" t="s">
        <v>2065</v>
      </c>
      <c r="AQ698" s="15" t="s">
        <v>14017</v>
      </c>
      <c r="AR698" s="15" t="s">
        <v>14018</v>
      </c>
      <c r="AS698" s="15" t="s">
        <v>2068</v>
      </c>
      <c r="AT698" s="15" t="s">
        <v>138</v>
      </c>
      <c r="AU698" s="15" t="s">
        <v>138</v>
      </c>
      <c r="AV698" s="15" t="s">
        <v>2071</v>
      </c>
      <c r="AW698" s="15" t="s">
        <v>138</v>
      </c>
      <c r="AX698" s="15" t="s">
        <v>138</v>
      </c>
      <c r="AY698" s="15" t="s">
        <v>14019</v>
      </c>
      <c r="AZ698" s="15" t="s">
        <v>452</v>
      </c>
      <c r="BA698" s="15" t="s">
        <v>453</v>
      </c>
      <c r="BB698" s="15" t="s">
        <v>14020</v>
      </c>
      <c r="BC698" s="15" t="s">
        <v>14021</v>
      </c>
      <c r="BD698" s="21">
        <v>6</v>
      </c>
      <c r="BE698" s="15" t="s">
        <v>138</v>
      </c>
      <c r="BF698" s="15" t="s">
        <v>138</v>
      </c>
      <c r="BG698" s="15" t="s">
        <v>138</v>
      </c>
      <c r="BH698" s="15" t="s">
        <v>14022</v>
      </c>
      <c r="BI698" s="15" t="s">
        <v>138</v>
      </c>
      <c r="BJ698" s="15" t="s">
        <v>138</v>
      </c>
      <c r="BK698" s="15" t="s">
        <v>138</v>
      </c>
      <c r="BL698" s="15" t="s">
        <v>138</v>
      </c>
      <c r="BM698" s="22" t="s">
        <v>138</v>
      </c>
      <c r="BN698" s="17">
        <v>1.79</v>
      </c>
      <c r="BO698" s="15" t="s">
        <v>172</v>
      </c>
      <c r="BP698" s="17" t="s">
        <v>138</v>
      </c>
      <c r="BQ698" s="15" t="s">
        <v>138</v>
      </c>
      <c r="BR698" s="15" t="s">
        <v>205</v>
      </c>
      <c r="BS698" s="15" t="s">
        <v>138</v>
      </c>
      <c r="BT698" s="15" t="s">
        <v>138</v>
      </c>
      <c r="BU698" s="15" t="s">
        <v>174</v>
      </c>
      <c r="BV698" s="15" t="s">
        <v>138</v>
      </c>
      <c r="BW698" s="15" t="s">
        <v>138</v>
      </c>
      <c r="BX698" s="15" t="s">
        <v>138</v>
      </c>
      <c r="BY698" s="15" t="s">
        <v>175</v>
      </c>
      <c r="BZ698" s="22">
        <v>42711</v>
      </c>
      <c r="CA698" s="17">
        <v>105.62</v>
      </c>
      <c r="CB698" s="15" t="s">
        <v>172</v>
      </c>
      <c r="CC698" s="17">
        <v>422.48</v>
      </c>
      <c r="CD698" s="15" t="s">
        <v>1178</v>
      </c>
      <c r="CE698" s="15" t="s">
        <v>1673</v>
      </c>
      <c r="CF698" s="15" t="s">
        <v>138</v>
      </c>
      <c r="CG698" s="15" t="s">
        <v>138</v>
      </c>
      <c r="CH698" s="15" t="s">
        <v>351</v>
      </c>
      <c r="CI698" s="15" t="s">
        <v>138</v>
      </c>
      <c r="CJ698" s="15" t="s">
        <v>138</v>
      </c>
      <c r="CK698" s="15" t="s">
        <v>138</v>
      </c>
      <c r="CL698" s="15" t="s">
        <v>175</v>
      </c>
      <c r="CM698" s="22" t="s">
        <v>138</v>
      </c>
      <c r="CN698" s="17" t="s">
        <v>138</v>
      </c>
      <c r="CO698" s="23">
        <v>-3.71</v>
      </c>
      <c r="CP698" s="24">
        <v>2</v>
      </c>
      <c r="CQ698" s="23">
        <v>-0.03</v>
      </c>
      <c r="CR698" s="23">
        <v>-0.81</v>
      </c>
      <c r="CS698" s="23">
        <v>-7.28</v>
      </c>
      <c r="CT698" s="24">
        <v>1</v>
      </c>
      <c r="CU698" s="23">
        <v>-0.14000000000000001</v>
      </c>
      <c r="CV698" s="24">
        <v>2</v>
      </c>
      <c r="CW698" s="23" t="s">
        <v>138</v>
      </c>
      <c r="CX698" s="24" t="s">
        <v>138</v>
      </c>
      <c r="CY698" s="23">
        <v>-7.28</v>
      </c>
      <c r="CZ698" s="24">
        <v>1</v>
      </c>
      <c r="DA698" s="23">
        <v>-0.14000000000000001</v>
      </c>
      <c r="DB698" s="24">
        <v>4</v>
      </c>
      <c r="DC698" s="25">
        <v>7.05</v>
      </c>
      <c r="DD698" s="24">
        <v>87</v>
      </c>
      <c r="DE698" s="25">
        <v>0</v>
      </c>
      <c r="DF698" s="23">
        <v>0.04</v>
      </c>
      <c r="DG698" s="25">
        <v>12.59</v>
      </c>
      <c r="DH698" s="24">
        <v>92</v>
      </c>
      <c r="DI698" s="25">
        <v>1.52</v>
      </c>
      <c r="DJ698" s="24">
        <v>57</v>
      </c>
      <c r="DK698" s="25" t="s">
        <v>138</v>
      </c>
      <c r="DL698" s="24" t="s">
        <v>138</v>
      </c>
      <c r="DM698" s="25">
        <v>12.59</v>
      </c>
      <c r="DN698" s="24">
        <v>91</v>
      </c>
      <c r="DO698" s="25">
        <v>1.52</v>
      </c>
      <c r="DP698" s="24">
        <v>58</v>
      </c>
      <c r="DQ698" s="24" t="s">
        <v>138</v>
      </c>
      <c r="DR698" s="26" t="s">
        <v>138</v>
      </c>
      <c r="DS698" s="23" t="s">
        <v>138</v>
      </c>
      <c r="DT698" s="24">
        <v>365</v>
      </c>
      <c r="DU698" s="26">
        <v>0</v>
      </c>
      <c r="DV698" s="23">
        <v>0</v>
      </c>
      <c r="DW698" s="24">
        <v>544</v>
      </c>
      <c r="DX698" s="27">
        <v>-1</v>
      </c>
      <c r="DY698" s="23">
        <v>-0.18</v>
      </c>
      <c r="DZ698" s="15" t="s">
        <v>178</v>
      </c>
      <c r="EA698" s="22">
        <v>43552</v>
      </c>
      <c r="EB698" s="17">
        <v>422.48</v>
      </c>
      <c r="EC698" s="22">
        <v>42711</v>
      </c>
      <c r="ED698" s="15" t="s">
        <v>1673</v>
      </c>
      <c r="EE698" s="14" t="str">
        <f>HYPERLINK("https://my.pitchbook.com?c=88550-56", "View company online")</f>
        <v>View company online</v>
      </c>
    </row>
    <row r="699" spans="1:135">
      <c r="A699" s="28" t="s">
        <v>14023</v>
      </c>
      <c r="B699" s="28" t="s">
        <v>14024</v>
      </c>
      <c r="C699" s="28" t="s">
        <v>138</v>
      </c>
      <c r="D699" s="28" t="s">
        <v>138</v>
      </c>
      <c r="E699" s="28" t="s">
        <v>138</v>
      </c>
      <c r="F699" s="28" t="s">
        <v>14023</v>
      </c>
      <c r="G699" s="28" t="s">
        <v>14025</v>
      </c>
      <c r="H699" s="28" t="s">
        <v>322</v>
      </c>
      <c r="I699" s="28" t="s">
        <v>1208</v>
      </c>
      <c r="J699" s="28" t="s">
        <v>1209</v>
      </c>
      <c r="K699" s="28" t="s">
        <v>1971</v>
      </c>
      <c r="L699" s="28" t="s">
        <v>242</v>
      </c>
      <c r="M699" s="28" t="s">
        <v>14026</v>
      </c>
      <c r="N699" s="28" t="s">
        <v>147</v>
      </c>
      <c r="O699" s="29" t="s">
        <v>138</v>
      </c>
      <c r="P699" s="28" t="s">
        <v>610</v>
      </c>
      <c r="Q699" s="28" t="s">
        <v>149</v>
      </c>
      <c r="R699" s="28" t="s">
        <v>174</v>
      </c>
      <c r="S699" s="28" t="s">
        <v>14027</v>
      </c>
      <c r="T699" s="30" t="s">
        <v>138</v>
      </c>
      <c r="U699" s="28" t="s">
        <v>138</v>
      </c>
      <c r="V699" s="28" t="s">
        <v>138</v>
      </c>
      <c r="W699" s="28" t="s">
        <v>138</v>
      </c>
      <c r="X699" s="31">
        <v>2000</v>
      </c>
      <c r="Y699" s="28" t="s">
        <v>138</v>
      </c>
      <c r="Z699" s="28" t="s">
        <v>138</v>
      </c>
      <c r="AA699" s="28" t="s">
        <v>138</v>
      </c>
      <c r="AB699" s="32" t="s">
        <v>138</v>
      </c>
      <c r="AC699" s="32" t="s">
        <v>138</v>
      </c>
      <c r="AD699" s="32" t="s">
        <v>138</v>
      </c>
      <c r="AE699" s="32" t="s">
        <v>138</v>
      </c>
      <c r="AF699" s="32" t="s">
        <v>138</v>
      </c>
      <c r="AG699" s="28" t="s">
        <v>138</v>
      </c>
      <c r="AH699" s="32" t="s">
        <v>138</v>
      </c>
      <c r="AI699" s="32" t="s">
        <v>138</v>
      </c>
      <c r="AJ699" s="32" t="s">
        <v>138</v>
      </c>
      <c r="AK699" s="28" t="s">
        <v>14028</v>
      </c>
      <c r="AL699" s="28" t="s">
        <v>14029</v>
      </c>
      <c r="AM699" s="28" t="s">
        <v>304</v>
      </c>
      <c r="AN699" s="28" t="s">
        <v>14030</v>
      </c>
      <c r="AO699" s="28" t="s">
        <v>14031</v>
      </c>
      <c r="AP699" s="28" t="s">
        <v>6095</v>
      </c>
      <c r="AQ699" s="28" t="s">
        <v>14032</v>
      </c>
      <c r="AR699" s="28" t="s">
        <v>14033</v>
      </c>
      <c r="AS699" s="28" t="s">
        <v>6098</v>
      </c>
      <c r="AT699" s="28" t="s">
        <v>14034</v>
      </c>
      <c r="AU699" s="28" t="s">
        <v>138</v>
      </c>
      <c r="AV699" s="28" t="s">
        <v>2071</v>
      </c>
      <c r="AW699" s="28" t="s">
        <v>14031</v>
      </c>
      <c r="AX699" s="28" t="s">
        <v>14035</v>
      </c>
      <c r="AY699" s="28" t="s">
        <v>14036</v>
      </c>
      <c r="AZ699" s="28" t="s">
        <v>452</v>
      </c>
      <c r="BA699" s="28" t="s">
        <v>453</v>
      </c>
      <c r="BB699" s="28" t="s">
        <v>14037</v>
      </c>
      <c r="BC699" s="28" t="s">
        <v>14038</v>
      </c>
      <c r="BD699" s="33">
        <v>2</v>
      </c>
      <c r="BE699" s="28" t="s">
        <v>138</v>
      </c>
      <c r="BF699" s="28" t="s">
        <v>138</v>
      </c>
      <c r="BG699" s="28" t="s">
        <v>138</v>
      </c>
      <c r="BH699" s="28" t="s">
        <v>14039</v>
      </c>
      <c r="BI699" s="28" t="s">
        <v>138</v>
      </c>
      <c r="BJ699" s="28" t="s">
        <v>138</v>
      </c>
      <c r="BK699" s="28" t="s">
        <v>138</v>
      </c>
      <c r="BL699" s="28" t="s">
        <v>138</v>
      </c>
      <c r="BM699" s="34" t="s">
        <v>138</v>
      </c>
      <c r="BN699" s="29" t="s">
        <v>138</v>
      </c>
      <c r="BO699" s="28" t="s">
        <v>138</v>
      </c>
      <c r="BP699" s="29" t="s">
        <v>138</v>
      </c>
      <c r="BQ699" s="28" t="s">
        <v>138</v>
      </c>
      <c r="BR699" s="28" t="s">
        <v>205</v>
      </c>
      <c r="BS699" s="28" t="s">
        <v>138</v>
      </c>
      <c r="BT699" s="28" t="s">
        <v>138</v>
      </c>
      <c r="BU699" s="28" t="s">
        <v>174</v>
      </c>
      <c r="BV699" s="28" t="s">
        <v>138</v>
      </c>
      <c r="BW699" s="28" t="s">
        <v>138</v>
      </c>
      <c r="BX699" s="28" t="s">
        <v>138</v>
      </c>
      <c r="BY699" s="28" t="s">
        <v>175</v>
      </c>
      <c r="BZ699" s="34" t="s">
        <v>138</v>
      </c>
      <c r="CA699" s="29" t="s">
        <v>138</v>
      </c>
      <c r="CB699" s="28" t="s">
        <v>138</v>
      </c>
      <c r="CC699" s="29" t="s">
        <v>138</v>
      </c>
      <c r="CD699" s="28" t="s">
        <v>138</v>
      </c>
      <c r="CE699" s="28" t="s">
        <v>205</v>
      </c>
      <c r="CF699" s="28" t="s">
        <v>138</v>
      </c>
      <c r="CG699" s="28" t="s">
        <v>138</v>
      </c>
      <c r="CH699" s="28" t="s">
        <v>174</v>
      </c>
      <c r="CI699" s="28" t="s">
        <v>138</v>
      </c>
      <c r="CJ699" s="28" t="s">
        <v>138</v>
      </c>
      <c r="CK699" s="28" t="s">
        <v>138</v>
      </c>
      <c r="CL699" s="28" t="s">
        <v>175</v>
      </c>
      <c r="CM699" s="34" t="s">
        <v>138</v>
      </c>
      <c r="CN699" s="29" t="s">
        <v>138</v>
      </c>
      <c r="CO699" s="35">
        <v>0</v>
      </c>
      <c r="CP699" s="36">
        <v>26</v>
      </c>
      <c r="CQ699" s="35">
        <v>0</v>
      </c>
      <c r="CR699" s="35">
        <v>0</v>
      </c>
      <c r="CS699" s="35">
        <v>0</v>
      </c>
      <c r="CT699" s="36">
        <v>23</v>
      </c>
      <c r="CU699" s="35" t="s">
        <v>138</v>
      </c>
      <c r="CV699" s="36" t="s">
        <v>138</v>
      </c>
      <c r="CW699" s="35" t="s">
        <v>138</v>
      </c>
      <c r="CX699" s="36" t="s">
        <v>138</v>
      </c>
      <c r="CY699" s="35">
        <v>0</v>
      </c>
      <c r="CZ699" s="36">
        <v>25</v>
      </c>
      <c r="DA699" s="35" t="s">
        <v>138</v>
      </c>
      <c r="DB699" s="36" t="s">
        <v>138</v>
      </c>
      <c r="DC699" s="37">
        <v>0.14000000000000001</v>
      </c>
      <c r="DD699" s="36">
        <v>10</v>
      </c>
      <c r="DE699" s="37">
        <v>0</v>
      </c>
      <c r="DF699" s="35">
        <v>0</v>
      </c>
      <c r="DG699" s="37">
        <v>0.14000000000000001</v>
      </c>
      <c r="DH699" s="36">
        <v>10</v>
      </c>
      <c r="DI699" s="37" t="s">
        <v>138</v>
      </c>
      <c r="DJ699" s="36" t="s">
        <v>138</v>
      </c>
      <c r="DK699" s="37" t="s">
        <v>138</v>
      </c>
      <c r="DL699" s="36" t="s">
        <v>138</v>
      </c>
      <c r="DM699" s="37">
        <v>0.14000000000000001</v>
      </c>
      <c r="DN699" s="36">
        <v>11</v>
      </c>
      <c r="DO699" s="37" t="s">
        <v>138</v>
      </c>
      <c r="DP699" s="36" t="s">
        <v>138</v>
      </c>
      <c r="DQ699" s="36" t="s">
        <v>138</v>
      </c>
      <c r="DR699" s="38" t="s">
        <v>138</v>
      </c>
      <c r="DS699" s="35" t="s">
        <v>138</v>
      </c>
      <c r="DT699" s="36">
        <v>4</v>
      </c>
      <c r="DU699" s="38">
        <v>0</v>
      </c>
      <c r="DV699" s="35">
        <v>0</v>
      </c>
      <c r="DW699" s="36" t="s">
        <v>138</v>
      </c>
      <c r="DX699" s="39" t="s">
        <v>138</v>
      </c>
      <c r="DY699" s="35" t="s">
        <v>138</v>
      </c>
      <c r="DZ699" s="28" t="s">
        <v>178</v>
      </c>
      <c r="EA699" s="34">
        <v>43351</v>
      </c>
      <c r="EB699" s="29" t="s">
        <v>138</v>
      </c>
      <c r="EC699" s="34" t="s">
        <v>138</v>
      </c>
      <c r="ED699" s="28" t="s">
        <v>138</v>
      </c>
      <c r="EE699" s="40" t="str">
        <f>HYPERLINK("https://my.pitchbook.com?c=60577-66", "View company online")</f>
        <v>View company online</v>
      </c>
    </row>
    <row r="700" spans="1:135">
      <c r="A700" s="15" t="s">
        <v>14040</v>
      </c>
      <c r="B700" s="15" t="s">
        <v>14041</v>
      </c>
      <c r="C700" s="15" t="s">
        <v>138</v>
      </c>
      <c r="D700" s="15" t="s">
        <v>138</v>
      </c>
      <c r="E700" s="15" t="s">
        <v>138</v>
      </c>
      <c r="F700" s="15" t="s">
        <v>14040</v>
      </c>
      <c r="G700" s="15" t="s">
        <v>14042</v>
      </c>
      <c r="H700" s="15" t="s">
        <v>141</v>
      </c>
      <c r="I700" s="15" t="s">
        <v>1281</v>
      </c>
      <c r="J700" s="15" t="s">
        <v>1282</v>
      </c>
      <c r="K700" s="15" t="s">
        <v>14043</v>
      </c>
      <c r="L700" s="15" t="s">
        <v>14044</v>
      </c>
      <c r="M700" s="15" t="s">
        <v>14045</v>
      </c>
      <c r="N700" s="15" t="s">
        <v>2487</v>
      </c>
      <c r="O700" s="17" t="s">
        <v>138</v>
      </c>
      <c r="P700" s="15" t="s">
        <v>148</v>
      </c>
      <c r="Q700" s="15" t="s">
        <v>149</v>
      </c>
      <c r="R700" s="15" t="s">
        <v>174</v>
      </c>
      <c r="S700" s="15" t="s">
        <v>14046</v>
      </c>
      <c r="T700" s="18">
        <v>15</v>
      </c>
      <c r="U700" s="15" t="s">
        <v>7917</v>
      </c>
      <c r="V700" s="15" t="s">
        <v>138</v>
      </c>
      <c r="W700" s="15" t="s">
        <v>138</v>
      </c>
      <c r="X700" s="19">
        <v>2016</v>
      </c>
      <c r="Y700" s="15" t="s">
        <v>138</v>
      </c>
      <c r="Z700" s="15" t="s">
        <v>138</v>
      </c>
      <c r="AA700" s="15" t="s">
        <v>138</v>
      </c>
      <c r="AB700" s="20" t="s">
        <v>138</v>
      </c>
      <c r="AC700" s="20" t="s">
        <v>138</v>
      </c>
      <c r="AD700" s="20" t="s">
        <v>138</v>
      </c>
      <c r="AE700" s="20" t="s">
        <v>138</v>
      </c>
      <c r="AF700" s="20" t="s">
        <v>138</v>
      </c>
      <c r="AG700" s="15" t="s">
        <v>138</v>
      </c>
      <c r="AH700" s="20" t="s">
        <v>138</v>
      </c>
      <c r="AI700" s="20" t="s">
        <v>138</v>
      </c>
      <c r="AJ700" s="20" t="s">
        <v>138</v>
      </c>
      <c r="AK700" s="15" t="s">
        <v>14047</v>
      </c>
      <c r="AL700" s="15" t="s">
        <v>14048</v>
      </c>
      <c r="AM700" s="15" t="s">
        <v>10648</v>
      </c>
      <c r="AN700" s="15" t="s">
        <v>14049</v>
      </c>
      <c r="AO700" s="15" t="s">
        <v>138</v>
      </c>
      <c r="AP700" s="15" t="s">
        <v>13886</v>
      </c>
      <c r="AQ700" s="15" t="s">
        <v>14050</v>
      </c>
      <c r="AR700" s="15" t="s">
        <v>7121</v>
      </c>
      <c r="AS700" s="15" t="s">
        <v>13888</v>
      </c>
      <c r="AT700" s="15" t="s">
        <v>200</v>
      </c>
      <c r="AU700" s="15" t="s">
        <v>13889</v>
      </c>
      <c r="AV700" s="15" t="s">
        <v>162</v>
      </c>
      <c r="AW700" s="15" t="s">
        <v>138</v>
      </c>
      <c r="AX700" s="15" t="s">
        <v>138</v>
      </c>
      <c r="AY700" s="15" t="s">
        <v>14051</v>
      </c>
      <c r="AZ700" s="15" t="s">
        <v>164</v>
      </c>
      <c r="BA700" s="15" t="s">
        <v>165</v>
      </c>
      <c r="BB700" s="15" t="s">
        <v>14052</v>
      </c>
      <c r="BC700" s="15" t="s">
        <v>14053</v>
      </c>
      <c r="BD700" s="21">
        <v>5</v>
      </c>
      <c r="BE700" s="15" t="s">
        <v>138</v>
      </c>
      <c r="BF700" s="15" t="s">
        <v>138</v>
      </c>
      <c r="BG700" s="15" t="s">
        <v>138</v>
      </c>
      <c r="BH700" s="15" t="s">
        <v>14054</v>
      </c>
      <c r="BI700" s="15" t="s">
        <v>138</v>
      </c>
      <c r="BJ700" s="15" t="s">
        <v>138</v>
      </c>
      <c r="BK700" s="15" t="s">
        <v>138</v>
      </c>
      <c r="BL700" s="15" t="s">
        <v>138</v>
      </c>
      <c r="BM700" s="22">
        <v>42736</v>
      </c>
      <c r="BN700" s="17" t="s">
        <v>138</v>
      </c>
      <c r="BO700" s="15" t="s">
        <v>138</v>
      </c>
      <c r="BP700" s="17" t="s">
        <v>138</v>
      </c>
      <c r="BQ700" s="15" t="s">
        <v>138</v>
      </c>
      <c r="BR700" s="15" t="s">
        <v>316</v>
      </c>
      <c r="BS700" s="15" t="s">
        <v>138</v>
      </c>
      <c r="BT700" s="15" t="s">
        <v>138</v>
      </c>
      <c r="BU700" s="15" t="s">
        <v>177</v>
      </c>
      <c r="BV700" s="15" t="s">
        <v>138</v>
      </c>
      <c r="BW700" s="15" t="s">
        <v>138</v>
      </c>
      <c r="BX700" s="15" t="s">
        <v>138</v>
      </c>
      <c r="BY700" s="15" t="s">
        <v>175</v>
      </c>
      <c r="BZ700" s="22">
        <v>42803</v>
      </c>
      <c r="CA700" s="17" t="s">
        <v>138</v>
      </c>
      <c r="CB700" s="15" t="s">
        <v>138</v>
      </c>
      <c r="CC700" s="17" t="s">
        <v>138</v>
      </c>
      <c r="CD700" s="15" t="s">
        <v>138</v>
      </c>
      <c r="CE700" s="15" t="s">
        <v>205</v>
      </c>
      <c r="CF700" s="15" t="s">
        <v>138</v>
      </c>
      <c r="CG700" s="15" t="s">
        <v>138</v>
      </c>
      <c r="CH700" s="15" t="s">
        <v>174</v>
      </c>
      <c r="CI700" s="15" t="s">
        <v>138</v>
      </c>
      <c r="CJ700" s="15" t="s">
        <v>138</v>
      </c>
      <c r="CK700" s="15" t="s">
        <v>138</v>
      </c>
      <c r="CL700" s="15" t="s">
        <v>175</v>
      </c>
      <c r="CM700" s="22" t="s">
        <v>138</v>
      </c>
      <c r="CN700" s="17" t="s">
        <v>138</v>
      </c>
      <c r="CO700" s="23">
        <v>2.1</v>
      </c>
      <c r="CP700" s="24">
        <v>99</v>
      </c>
      <c r="CQ700" s="23">
        <v>0</v>
      </c>
      <c r="CR700" s="23">
        <v>0</v>
      </c>
      <c r="CS700" s="23">
        <v>4.2</v>
      </c>
      <c r="CT700" s="24">
        <v>100</v>
      </c>
      <c r="CU700" s="23">
        <v>0</v>
      </c>
      <c r="CV700" s="24">
        <v>22</v>
      </c>
      <c r="CW700" s="23">
        <v>4.2</v>
      </c>
      <c r="CX700" s="24">
        <v>94</v>
      </c>
      <c r="CY700" s="23" t="s">
        <v>138</v>
      </c>
      <c r="CZ700" s="24" t="s">
        <v>138</v>
      </c>
      <c r="DA700" s="23">
        <v>0</v>
      </c>
      <c r="DB700" s="24">
        <v>22</v>
      </c>
      <c r="DC700" s="25">
        <v>3.49</v>
      </c>
      <c r="DD700" s="24">
        <v>78</v>
      </c>
      <c r="DE700" s="25">
        <v>-0.44</v>
      </c>
      <c r="DF700" s="23">
        <v>-11.29</v>
      </c>
      <c r="DG700" s="25">
        <v>6.96</v>
      </c>
      <c r="DH700" s="24">
        <v>86</v>
      </c>
      <c r="DI700" s="25">
        <v>0.03</v>
      </c>
      <c r="DJ700" s="24">
        <v>5</v>
      </c>
      <c r="DK700" s="25">
        <v>6.96</v>
      </c>
      <c r="DL700" s="24">
        <v>83</v>
      </c>
      <c r="DM700" s="25" t="s">
        <v>138</v>
      </c>
      <c r="DN700" s="24" t="s">
        <v>138</v>
      </c>
      <c r="DO700" s="25">
        <v>0.03</v>
      </c>
      <c r="DP700" s="24">
        <v>6</v>
      </c>
      <c r="DQ700" s="24">
        <v>2322</v>
      </c>
      <c r="DR700" s="26">
        <v>191</v>
      </c>
      <c r="DS700" s="23">
        <v>8.9600000000000009</v>
      </c>
      <c r="DT700" s="24" t="s">
        <v>138</v>
      </c>
      <c r="DU700" s="26" t="s">
        <v>138</v>
      </c>
      <c r="DV700" s="23" t="s">
        <v>138</v>
      </c>
      <c r="DW700" s="24">
        <v>11</v>
      </c>
      <c r="DX700" s="27">
        <v>1</v>
      </c>
      <c r="DY700" s="23">
        <v>10</v>
      </c>
      <c r="DZ700" s="15" t="s">
        <v>178</v>
      </c>
      <c r="EA700" s="22">
        <v>43542</v>
      </c>
      <c r="EB700" s="17" t="s">
        <v>138</v>
      </c>
      <c r="EC700" s="22" t="s">
        <v>138</v>
      </c>
      <c r="ED700" s="15" t="s">
        <v>138</v>
      </c>
      <c r="EE700" s="14" t="str">
        <f>HYPERLINK("https://my.pitchbook.com?c=180375-76", "View company online")</f>
        <v>View company online</v>
      </c>
    </row>
    <row r="701" spans="1:135">
      <c r="A701" s="28" t="s">
        <v>14055</v>
      </c>
      <c r="B701" s="28" t="s">
        <v>14056</v>
      </c>
      <c r="C701" s="28" t="s">
        <v>138</v>
      </c>
      <c r="D701" s="28" t="s">
        <v>138</v>
      </c>
      <c r="E701" s="28" t="s">
        <v>14057</v>
      </c>
      <c r="F701" s="28" t="s">
        <v>14055</v>
      </c>
      <c r="G701" s="28" t="s">
        <v>14058</v>
      </c>
      <c r="H701" s="28" t="s">
        <v>322</v>
      </c>
      <c r="I701" s="28" t="s">
        <v>323</v>
      </c>
      <c r="J701" s="28" t="s">
        <v>461</v>
      </c>
      <c r="K701" s="28" t="s">
        <v>462</v>
      </c>
      <c r="L701" s="28" t="s">
        <v>415</v>
      </c>
      <c r="M701" s="28" t="s">
        <v>14059</v>
      </c>
      <c r="N701" s="28" t="s">
        <v>147</v>
      </c>
      <c r="O701" s="29">
        <v>117.1</v>
      </c>
      <c r="P701" s="28" t="s">
        <v>148</v>
      </c>
      <c r="Q701" s="28" t="s">
        <v>149</v>
      </c>
      <c r="R701" s="28" t="s">
        <v>174</v>
      </c>
      <c r="S701" s="28" t="s">
        <v>14060</v>
      </c>
      <c r="T701" s="30">
        <v>75</v>
      </c>
      <c r="U701" s="28" t="s">
        <v>14061</v>
      </c>
      <c r="V701" s="28" t="s">
        <v>138</v>
      </c>
      <c r="W701" s="28" t="s">
        <v>138</v>
      </c>
      <c r="X701" s="31">
        <v>2010</v>
      </c>
      <c r="Y701" s="28" t="s">
        <v>138</v>
      </c>
      <c r="Z701" s="28" t="s">
        <v>138</v>
      </c>
      <c r="AA701" s="28" t="s">
        <v>138</v>
      </c>
      <c r="AB701" s="32">
        <v>10</v>
      </c>
      <c r="AC701" s="32" t="s">
        <v>138</v>
      </c>
      <c r="AD701" s="32" t="s">
        <v>138</v>
      </c>
      <c r="AE701" s="32" t="s">
        <v>138</v>
      </c>
      <c r="AF701" s="32" t="s">
        <v>138</v>
      </c>
      <c r="AG701" s="28" t="s">
        <v>514</v>
      </c>
      <c r="AH701" s="32" t="s">
        <v>138</v>
      </c>
      <c r="AI701" s="32" t="s">
        <v>138</v>
      </c>
      <c r="AJ701" s="32" t="s">
        <v>138</v>
      </c>
      <c r="AK701" s="28" t="s">
        <v>14062</v>
      </c>
      <c r="AL701" s="28" t="s">
        <v>14063</v>
      </c>
      <c r="AM701" s="28" t="s">
        <v>14064</v>
      </c>
      <c r="AN701" s="28" t="s">
        <v>14065</v>
      </c>
      <c r="AO701" s="28" t="s">
        <v>14066</v>
      </c>
      <c r="AP701" s="28" t="s">
        <v>1220</v>
      </c>
      <c r="AQ701" s="28" t="s">
        <v>14067</v>
      </c>
      <c r="AR701" s="28" t="s">
        <v>10286</v>
      </c>
      <c r="AS701" s="28" t="s">
        <v>1223</v>
      </c>
      <c r="AT701" s="28" t="s">
        <v>200</v>
      </c>
      <c r="AU701" s="28" t="s">
        <v>14068</v>
      </c>
      <c r="AV701" s="28" t="s">
        <v>162</v>
      </c>
      <c r="AW701" s="28" t="s">
        <v>14069</v>
      </c>
      <c r="AX701" s="28" t="s">
        <v>138</v>
      </c>
      <c r="AY701" s="28" t="s">
        <v>138</v>
      </c>
      <c r="AZ701" s="28" t="s">
        <v>164</v>
      </c>
      <c r="BA701" s="28" t="s">
        <v>165</v>
      </c>
      <c r="BB701" s="28" t="s">
        <v>14070</v>
      </c>
      <c r="BC701" s="28" t="s">
        <v>14071</v>
      </c>
      <c r="BD701" s="33">
        <v>14</v>
      </c>
      <c r="BE701" s="28" t="s">
        <v>138</v>
      </c>
      <c r="BF701" s="28" t="s">
        <v>138</v>
      </c>
      <c r="BG701" s="28" t="s">
        <v>138</v>
      </c>
      <c r="BH701" s="28" t="s">
        <v>14072</v>
      </c>
      <c r="BI701" s="28" t="s">
        <v>138</v>
      </c>
      <c r="BJ701" s="28" t="s">
        <v>138</v>
      </c>
      <c r="BK701" s="28" t="s">
        <v>14073</v>
      </c>
      <c r="BL701" s="28" t="s">
        <v>14073</v>
      </c>
      <c r="BM701" s="34">
        <v>40318</v>
      </c>
      <c r="BN701" s="29">
        <v>1.5</v>
      </c>
      <c r="BO701" s="28" t="s">
        <v>172</v>
      </c>
      <c r="BP701" s="29" t="s">
        <v>138</v>
      </c>
      <c r="BQ701" s="28" t="s">
        <v>138</v>
      </c>
      <c r="BR701" s="28" t="s">
        <v>205</v>
      </c>
      <c r="BS701" s="28" t="s">
        <v>206</v>
      </c>
      <c r="BT701" s="28" t="s">
        <v>138</v>
      </c>
      <c r="BU701" s="28" t="s">
        <v>263</v>
      </c>
      <c r="BV701" s="28" t="s">
        <v>138</v>
      </c>
      <c r="BW701" s="28" t="s">
        <v>138</v>
      </c>
      <c r="BX701" s="28" t="s">
        <v>138</v>
      </c>
      <c r="BY701" s="28" t="s">
        <v>175</v>
      </c>
      <c r="BZ701" s="34">
        <v>42726</v>
      </c>
      <c r="CA701" s="29">
        <v>21.1</v>
      </c>
      <c r="CB701" s="28" t="s">
        <v>172</v>
      </c>
      <c r="CC701" s="29">
        <v>321.10000000000002</v>
      </c>
      <c r="CD701" s="28" t="s">
        <v>172</v>
      </c>
      <c r="CE701" s="28" t="s">
        <v>173</v>
      </c>
      <c r="CF701" s="28" t="s">
        <v>482</v>
      </c>
      <c r="CG701" s="28" t="s">
        <v>138</v>
      </c>
      <c r="CH701" s="28" t="s">
        <v>174</v>
      </c>
      <c r="CI701" s="28" t="s">
        <v>138</v>
      </c>
      <c r="CJ701" s="28" t="s">
        <v>138</v>
      </c>
      <c r="CK701" s="28" t="s">
        <v>138</v>
      </c>
      <c r="CL701" s="28" t="s">
        <v>175</v>
      </c>
      <c r="CM701" s="34" t="s">
        <v>138</v>
      </c>
      <c r="CN701" s="29" t="s">
        <v>138</v>
      </c>
      <c r="CO701" s="35">
        <v>-0.48</v>
      </c>
      <c r="CP701" s="36">
        <v>16</v>
      </c>
      <c r="CQ701" s="35">
        <v>-0.02</v>
      </c>
      <c r="CR701" s="35">
        <v>-5.3</v>
      </c>
      <c r="CS701" s="35">
        <v>-1.08</v>
      </c>
      <c r="CT701" s="36">
        <v>14</v>
      </c>
      <c r="CU701" s="35">
        <v>0.12</v>
      </c>
      <c r="CV701" s="36">
        <v>71</v>
      </c>
      <c r="CW701" s="35">
        <v>-0.78</v>
      </c>
      <c r="CX701" s="36">
        <v>10</v>
      </c>
      <c r="CY701" s="35">
        <v>-1.38</v>
      </c>
      <c r="CZ701" s="36">
        <v>16</v>
      </c>
      <c r="DA701" s="35">
        <v>0.24</v>
      </c>
      <c r="DB701" s="36">
        <v>85</v>
      </c>
      <c r="DC701" s="37">
        <v>6.72</v>
      </c>
      <c r="DD701" s="36">
        <v>86</v>
      </c>
      <c r="DE701" s="37">
        <v>-0.15</v>
      </c>
      <c r="DF701" s="35">
        <v>-2.2000000000000002</v>
      </c>
      <c r="DG701" s="37">
        <v>9.49</v>
      </c>
      <c r="DH701" s="36">
        <v>89</v>
      </c>
      <c r="DI701" s="37">
        <v>3.96</v>
      </c>
      <c r="DJ701" s="36">
        <v>74</v>
      </c>
      <c r="DK701" s="37">
        <v>3.22</v>
      </c>
      <c r="DL701" s="36">
        <v>73</v>
      </c>
      <c r="DM701" s="37">
        <v>15.76</v>
      </c>
      <c r="DN701" s="36">
        <v>93</v>
      </c>
      <c r="DO701" s="37">
        <v>7.39</v>
      </c>
      <c r="DP701" s="36">
        <v>84</v>
      </c>
      <c r="DQ701" s="36">
        <v>1108</v>
      </c>
      <c r="DR701" s="38">
        <v>-17</v>
      </c>
      <c r="DS701" s="35">
        <v>-1.51</v>
      </c>
      <c r="DT701" s="36">
        <v>459</v>
      </c>
      <c r="DU701" s="38">
        <v>-9</v>
      </c>
      <c r="DV701" s="35">
        <v>-1.92</v>
      </c>
      <c r="DW701" s="36">
        <v>2643</v>
      </c>
      <c r="DX701" s="39">
        <v>1</v>
      </c>
      <c r="DY701" s="35">
        <v>0.04</v>
      </c>
      <c r="DZ701" s="28" t="s">
        <v>178</v>
      </c>
      <c r="EA701" s="34">
        <v>43622</v>
      </c>
      <c r="EB701" s="29">
        <v>321.10000000000002</v>
      </c>
      <c r="EC701" s="34">
        <v>42726</v>
      </c>
      <c r="ED701" s="28" t="s">
        <v>173</v>
      </c>
      <c r="EE701" s="40" t="str">
        <f>HYPERLINK("https://my.pitchbook.com?c=52932-88", "View company online")</f>
        <v>View company online</v>
      </c>
    </row>
    <row r="702" spans="1:135">
      <c r="A702" s="15" t="s">
        <v>14074</v>
      </c>
      <c r="B702" s="15" t="s">
        <v>14075</v>
      </c>
      <c r="C702" s="15" t="s">
        <v>138</v>
      </c>
      <c r="D702" s="15" t="s">
        <v>138</v>
      </c>
      <c r="E702" s="15" t="s">
        <v>14076</v>
      </c>
      <c r="F702" s="15" t="s">
        <v>14074</v>
      </c>
      <c r="G702" s="15" t="s">
        <v>14077</v>
      </c>
      <c r="H702" s="15" t="s">
        <v>322</v>
      </c>
      <c r="I702" s="15" t="s">
        <v>356</v>
      </c>
      <c r="J702" s="15" t="s">
        <v>3852</v>
      </c>
      <c r="K702" s="15" t="s">
        <v>14078</v>
      </c>
      <c r="L702" s="15" t="s">
        <v>415</v>
      </c>
      <c r="M702" s="15" t="s">
        <v>14079</v>
      </c>
      <c r="N702" s="15" t="s">
        <v>147</v>
      </c>
      <c r="O702" s="17">
        <v>66.19</v>
      </c>
      <c r="P702" s="15" t="s">
        <v>148</v>
      </c>
      <c r="Q702" s="15" t="s">
        <v>149</v>
      </c>
      <c r="R702" s="15" t="s">
        <v>174</v>
      </c>
      <c r="S702" s="15" t="s">
        <v>14080</v>
      </c>
      <c r="T702" s="18">
        <v>24</v>
      </c>
      <c r="U702" s="15" t="s">
        <v>14081</v>
      </c>
      <c r="V702" s="15" t="s">
        <v>138</v>
      </c>
      <c r="W702" s="15" t="s">
        <v>138</v>
      </c>
      <c r="X702" s="19">
        <v>2014</v>
      </c>
      <c r="Y702" s="15" t="s">
        <v>138</v>
      </c>
      <c r="Z702" s="15" t="s">
        <v>138</v>
      </c>
      <c r="AA702" s="15" t="s">
        <v>138</v>
      </c>
      <c r="AB702" s="20" t="s">
        <v>138</v>
      </c>
      <c r="AC702" s="20" t="s">
        <v>138</v>
      </c>
      <c r="AD702" s="20" t="s">
        <v>138</v>
      </c>
      <c r="AE702" s="20" t="s">
        <v>138</v>
      </c>
      <c r="AF702" s="20" t="s">
        <v>138</v>
      </c>
      <c r="AG702" s="15" t="s">
        <v>138</v>
      </c>
      <c r="AH702" s="20" t="s">
        <v>138</v>
      </c>
      <c r="AI702" s="20" t="s">
        <v>138</v>
      </c>
      <c r="AJ702" s="20" t="s">
        <v>138</v>
      </c>
      <c r="AK702" s="15" t="s">
        <v>14082</v>
      </c>
      <c r="AL702" s="15" t="s">
        <v>14083</v>
      </c>
      <c r="AM702" s="15" t="s">
        <v>1632</v>
      </c>
      <c r="AN702" s="15" t="s">
        <v>138</v>
      </c>
      <c r="AO702" s="15" t="s">
        <v>14084</v>
      </c>
      <c r="AP702" s="15" t="s">
        <v>1168</v>
      </c>
      <c r="AQ702" s="15" t="s">
        <v>14085</v>
      </c>
      <c r="AR702" s="15" t="s">
        <v>1459</v>
      </c>
      <c r="AS702" s="15" t="s">
        <v>1171</v>
      </c>
      <c r="AT702" s="15" t="s">
        <v>200</v>
      </c>
      <c r="AU702" s="15" t="s">
        <v>1172</v>
      </c>
      <c r="AV702" s="15" t="s">
        <v>162</v>
      </c>
      <c r="AW702" s="15" t="s">
        <v>14086</v>
      </c>
      <c r="AX702" s="15" t="s">
        <v>14087</v>
      </c>
      <c r="AY702" s="15" t="s">
        <v>14088</v>
      </c>
      <c r="AZ702" s="15" t="s">
        <v>164</v>
      </c>
      <c r="BA702" s="15" t="s">
        <v>165</v>
      </c>
      <c r="BB702" s="15" t="s">
        <v>14089</v>
      </c>
      <c r="BC702" s="15" t="s">
        <v>14090</v>
      </c>
      <c r="BD702" s="21">
        <v>9</v>
      </c>
      <c r="BE702" s="15" t="s">
        <v>138</v>
      </c>
      <c r="BF702" s="15" t="s">
        <v>138</v>
      </c>
      <c r="BG702" s="15" t="s">
        <v>138</v>
      </c>
      <c r="BH702" s="15" t="s">
        <v>14091</v>
      </c>
      <c r="BI702" s="15" t="s">
        <v>138</v>
      </c>
      <c r="BJ702" s="15" t="s">
        <v>138</v>
      </c>
      <c r="BK702" s="15" t="s">
        <v>14092</v>
      </c>
      <c r="BL702" s="15" t="s">
        <v>14092</v>
      </c>
      <c r="BM702" s="22">
        <v>42348</v>
      </c>
      <c r="BN702" s="17">
        <v>21.33</v>
      </c>
      <c r="BO702" s="15" t="s">
        <v>172</v>
      </c>
      <c r="BP702" s="17">
        <v>42.33</v>
      </c>
      <c r="BQ702" s="15" t="s">
        <v>1178</v>
      </c>
      <c r="BR702" s="15" t="s">
        <v>205</v>
      </c>
      <c r="BS702" s="15" t="s">
        <v>206</v>
      </c>
      <c r="BT702" s="15" t="s">
        <v>138</v>
      </c>
      <c r="BU702" s="15" t="s">
        <v>174</v>
      </c>
      <c r="BV702" s="15" t="s">
        <v>138</v>
      </c>
      <c r="BW702" s="15" t="s">
        <v>138</v>
      </c>
      <c r="BX702" s="15" t="s">
        <v>138</v>
      </c>
      <c r="BY702" s="15" t="s">
        <v>175</v>
      </c>
      <c r="BZ702" s="22">
        <v>42941</v>
      </c>
      <c r="CA702" s="17">
        <v>40.21</v>
      </c>
      <c r="CB702" s="15" t="s">
        <v>172</v>
      </c>
      <c r="CC702" s="17">
        <v>65.209999999999994</v>
      </c>
      <c r="CD702" s="15" t="s">
        <v>172</v>
      </c>
      <c r="CE702" s="15" t="s">
        <v>173</v>
      </c>
      <c r="CF702" s="15" t="s">
        <v>317</v>
      </c>
      <c r="CG702" s="15" t="s">
        <v>138</v>
      </c>
      <c r="CH702" s="15" t="s">
        <v>174</v>
      </c>
      <c r="CI702" s="15" t="s">
        <v>138</v>
      </c>
      <c r="CJ702" s="15" t="s">
        <v>138</v>
      </c>
      <c r="CK702" s="15" t="s">
        <v>138</v>
      </c>
      <c r="CL702" s="15" t="s">
        <v>175</v>
      </c>
      <c r="CM702" s="22" t="s">
        <v>138</v>
      </c>
      <c r="CN702" s="17" t="s">
        <v>138</v>
      </c>
      <c r="CO702" s="23">
        <v>-0.45</v>
      </c>
      <c r="CP702" s="24">
        <v>17</v>
      </c>
      <c r="CQ702" s="23">
        <v>-0.01</v>
      </c>
      <c r="CR702" s="23">
        <v>-1.91</v>
      </c>
      <c r="CS702" s="23">
        <v>-3.1</v>
      </c>
      <c r="CT702" s="24">
        <v>5</v>
      </c>
      <c r="CU702" s="23">
        <v>7.0000000000000007E-2</v>
      </c>
      <c r="CV702" s="24">
        <v>62</v>
      </c>
      <c r="CW702" s="23">
        <v>-3.1</v>
      </c>
      <c r="CX702" s="24">
        <v>5</v>
      </c>
      <c r="CY702" s="23" t="s">
        <v>138</v>
      </c>
      <c r="CZ702" s="24" t="s">
        <v>138</v>
      </c>
      <c r="DA702" s="23">
        <v>0</v>
      </c>
      <c r="DB702" s="24">
        <v>22</v>
      </c>
      <c r="DC702" s="25">
        <v>18.809999999999999</v>
      </c>
      <c r="DD702" s="24">
        <v>94</v>
      </c>
      <c r="DE702" s="25">
        <v>-0.39</v>
      </c>
      <c r="DF702" s="23">
        <v>-2.0499999999999998</v>
      </c>
      <c r="DG702" s="25">
        <v>21.64</v>
      </c>
      <c r="DH702" s="24">
        <v>95</v>
      </c>
      <c r="DI702" s="25">
        <v>3.34</v>
      </c>
      <c r="DJ702" s="24">
        <v>71</v>
      </c>
      <c r="DK702" s="25">
        <v>21.64</v>
      </c>
      <c r="DL702" s="24">
        <v>92</v>
      </c>
      <c r="DM702" s="25" t="s">
        <v>138</v>
      </c>
      <c r="DN702" s="24" t="s">
        <v>138</v>
      </c>
      <c r="DO702" s="25">
        <v>0.09</v>
      </c>
      <c r="DP702" s="24">
        <v>15</v>
      </c>
      <c r="DQ702" s="24">
        <v>7583</v>
      </c>
      <c r="DR702" s="26">
        <v>-479</v>
      </c>
      <c r="DS702" s="23">
        <v>-5.94</v>
      </c>
      <c r="DT702" s="24" t="s">
        <v>138</v>
      </c>
      <c r="DU702" s="26" t="s">
        <v>138</v>
      </c>
      <c r="DV702" s="23" t="s">
        <v>138</v>
      </c>
      <c r="DW702" s="24">
        <v>33</v>
      </c>
      <c r="DX702" s="27">
        <v>1</v>
      </c>
      <c r="DY702" s="23">
        <v>3.13</v>
      </c>
      <c r="DZ702" s="15" t="s">
        <v>178</v>
      </c>
      <c r="EA702" s="22">
        <v>43457</v>
      </c>
      <c r="EB702" s="17">
        <v>65.209999999999994</v>
      </c>
      <c r="EC702" s="22">
        <v>42941</v>
      </c>
      <c r="ED702" s="15" t="s">
        <v>173</v>
      </c>
      <c r="EE702" s="14" t="str">
        <f>HYPERLINK("https://my.pitchbook.com?c=160277-95", "View company online")</f>
        <v>View company online</v>
      </c>
    </row>
    <row r="703" spans="1:135">
      <c r="A703" s="28" t="s">
        <v>14093</v>
      </c>
      <c r="B703" s="28" t="s">
        <v>14094</v>
      </c>
      <c r="C703" s="28" t="s">
        <v>14095</v>
      </c>
      <c r="D703" s="28" t="s">
        <v>138</v>
      </c>
      <c r="E703" s="28" t="s">
        <v>14096</v>
      </c>
      <c r="F703" s="28" t="s">
        <v>14093</v>
      </c>
      <c r="G703" s="28" t="s">
        <v>14097</v>
      </c>
      <c r="H703" s="28" t="s">
        <v>322</v>
      </c>
      <c r="I703" s="28" t="s">
        <v>323</v>
      </c>
      <c r="J703" s="28" t="s">
        <v>954</v>
      </c>
      <c r="K703" s="28" t="s">
        <v>14098</v>
      </c>
      <c r="L703" s="28" t="s">
        <v>14099</v>
      </c>
      <c r="M703" s="28" t="s">
        <v>14100</v>
      </c>
      <c r="N703" s="28" t="s">
        <v>147</v>
      </c>
      <c r="O703" s="29">
        <v>2.82</v>
      </c>
      <c r="P703" s="28" t="s">
        <v>148</v>
      </c>
      <c r="Q703" s="28" t="s">
        <v>149</v>
      </c>
      <c r="R703" s="28" t="s">
        <v>174</v>
      </c>
      <c r="S703" s="28" t="s">
        <v>14101</v>
      </c>
      <c r="T703" s="30">
        <v>22</v>
      </c>
      <c r="U703" s="28" t="s">
        <v>14102</v>
      </c>
      <c r="V703" s="28" t="s">
        <v>138</v>
      </c>
      <c r="W703" s="28" t="s">
        <v>138</v>
      </c>
      <c r="X703" s="31">
        <v>2012</v>
      </c>
      <c r="Y703" s="28" t="s">
        <v>138</v>
      </c>
      <c r="Z703" s="28" t="s">
        <v>138</v>
      </c>
      <c r="AA703" s="28" t="s">
        <v>14103</v>
      </c>
      <c r="AB703" s="32" t="s">
        <v>138</v>
      </c>
      <c r="AC703" s="32" t="s">
        <v>138</v>
      </c>
      <c r="AD703" s="32" t="s">
        <v>138</v>
      </c>
      <c r="AE703" s="32" t="s">
        <v>138</v>
      </c>
      <c r="AF703" s="32" t="s">
        <v>138</v>
      </c>
      <c r="AG703" s="28" t="s">
        <v>138</v>
      </c>
      <c r="AH703" s="32" t="s">
        <v>138</v>
      </c>
      <c r="AI703" s="32" t="s">
        <v>138</v>
      </c>
      <c r="AJ703" s="32" t="s">
        <v>138</v>
      </c>
      <c r="AK703" s="28" t="s">
        <v>14104</v>
      </c>
      <c r="AL703" s="28" t="s">
        <v>14105</v>
      </c>
      <c r="AM703" s="28" t="s">
        <v>221</v>
      </c>
      <c r="AN703" s="28" t="s">
        <v>14106</v>
      </c>
      <c r="AO703" s="28" t="s">
        <v>14107</v>
      </c>
      <c r="AP703" s="28" t="s">
        <v>2736</v>
      </c>
      <c r="AQ703" s="28" t="s">
        <v>14108</v>
      </c>
      <c r="AR703" s="28" t="s">
        <v>14109</v>
      </c>
      <c r="AS703" s="28" t="s">
        <v>2739</v>
      </c>
      <c r="AT703" s="28" t="s">
        <v>2740</v>
      </c>
      <c r="AU703" s="28" t="s">
        <v>14110</v>
      </c>
      <c r="AV703" s="28" t="s">
        <v>2742</v>
      </c>
      <c r="AW703" s="28" t="s">
        <v>14111</v>
      </c>
      <c r="AX703" s="28" t="s">
        <v>138</v>
      </c>
      <c r="AY703" s="28" t="s">
        <v>14112</v>
      </c>
      <c r="AZ703" s="28" t="s">
        <v>164</v>
      </c>
      <c r="BA703" s="28" t="s">
        <v>165</v>
      </c>
      <c r="BB703" s="28" t="s">
        <v>14113</v>
      </c>
      <c r="BC703" s="28" t="s">
        <v>14114</v>
      </c>
      <c r="BD703" s="33">
        <v>28</v>
      </c>
      <c r="BE703" s="28" t="s">
        <v>138</v>
      </c>
      <c r="BF703" s="28" t="s">
        <v>138</v>
      </c>
      <c r="BG703" s="28" t="s">
        <v>138</v>
      </c>
      <c r="BH703" s="28" t="s">
        <v>14115</v>
      </c>
      <c r="BI703" s="28" t="s">
        <v>138</v>
      </c>
      <c r="BJ703" s="28" t="s">
        <v>138</v>
      </c>
      <c r="BK703" s="28" t="s">
        <v>14116</v>
      </c>
      <c r="BL703" s="28" t="s">
        <v>138</v>
      </c>
      <c r="BM703" s="34" t="s">
        <v>138</v>
      </c>
      <c r="BN703" s="29" t="s">
        <v>138</v>
      </c>
      <c r="BO703" s="28" t="s">
        <v>138</v>
      </c>
      <c r="BP703" s="29" t="s">
        <v>138</v>
      </c>
      <c r="BQ703" s="28" t="s">
        <v>138</v>
      </c>
      <c r="BR703" s="28" t="s">
        <v>316</v>
      </c>
      <c r="BS703" s="28" t="s">
        <v>138</v>
      </c>
      <c r="BT703" s="28" t="s">
        <v>138</v>
      </c>
      <c r="BU703" s="28" t="s">
        <v>177</v>
      </c>
      <c r="BV703" s="28" t="s">
        <v>138</v>
      </c>
      <c r="BW703" s="28" t="s">
        <v>138</v>
      </c>
      <c r="BX703" s="28" t="s">
        <v>138</v>
      </c>
      <c r="BY703" s="28" t="s">
        <v>175</v>
      </c>
      <c r="BZ703" s="34">
        <v>43271</v>
      </c>
      <c r="CA703" s="29">
        <v>0.44</v>
      </c>
      <c r="CB703" s="28" t="s">
        <v>172</v>
      </c>
      <c r="CC703" s="29" t="s">
        <v>138</v>
      </c>
      <c r="CD703" s="28" t="s">
        <v>138</v>
      </c>
      <c r="CE703" s="28" t="s">
        <v>205</v>
      </c>
      <c r="CF703" s="28" t="s">
        <v>138</v>
      </c>
      <c r="CG703" s="28" t="s">
        <v>138</v>
      </c>
      <c r="CH703" s="28" t="s">
        <v>174</v>
      </c>
      <c r="CI703" s="28" t="s">
        <v>264</v>
      </c>
      <c r="CJ703" s="28" t="s">
        <v>138</v>
      </c>
      <c r="CK703" s="28" t="s">
        <v>138</v>
      </c>
      <c r="CL703" s="28" t="s">
        <v>175</v>
      </c>
      <c r="CM703" s="34" t="s">
        <v>138</v>
      </c>
      <c r="CN703" s="29" t="s">
        <v>138</v>
      </c>
      <c r="CO703" s="35">
        <v>0.99</v>
      </c>
      <c r="CP703" s="36">
        <v>97</v>
      </c>
      <c r="CQ703" s="35">
        <v>-0.2</v>
      </c>
      <c r="CR703" s="35">
        <v>-16.87</v>
      </c>
      <c r="CS703" s="35">
        <v>1.89</v>
      </c>
      <c r="CT703" s="36">
        <v>98</v>
      </c>
      <c r="CU703" s="35">
        <v>0.09</v>
      </c>
      <c r="CV703" s="36">
        <v>66</v>
      </c>
      <c r="CW703" s="35">
        <v>0.35</v>
      </c>
      <c r="CX703" s="36">
        <v>82</v>
      </c>
      <c r="CY703" s="35">
        <v>3.42</v>
      </c>
      <c r="CZ703" s="36">
        <v>100</v>
      </c>
      <c r="DA703" s="35">
        <v>0.1</v>
      </c>
      <c r="DB703" s="36">
        <v>72</v>
      </c>
      <c r="DC703" s="37">
        <v>4.62</v>
      </c>
      <c r="DD703" s="36">
        <v>82</v>
      </c>
      <c r="DE703" s="37">
        <v>-0.2</v>
      </c>
      <c r="DF703" s="35">
        <v>-4.13</v>
      </c>
      <c r="DG703" s="37">
        <v>5.36</v>
      </c>
      <c r="DH703" s="36">
        <v>83</v>
      </c>
      <c r="DI703" s="37">
        <v>3.89</v>
      </c>
      <c r="DJ703" s="36">
        <v>74</v>
      </c>
      <c r="DK703" s="37">
        <v>5.71</v>
      </c>
      <c r="DL703" s="36">
        <v>81</v>
      </c>
      <c r="DM703" s="37">
        <v>5</v>
      </c>
      <c r="DN703" s="36">
        <v>81</v>
      </c>
      <c r="DO703" s="37">
        <v>6.78</v>
      </c>
      <c r="DP703" s="36">
        <v>83</v>
      </c>
      <c r="DQ703" s="36">
        <v>1908</v>
      </c>
      <c r="DR703" s="38">
        <v>153</v>
      </c>
      <c r="DS703" s="35">
        <v>8.7200000000000006</v>
      </c>
      <c r="DT703" s="36">
        <v>146</v>
      </c>
      <c r="DU703" s="38">
        <v>-1</v>
      </c>
      <c r="DV703" s="35">
        <v>-0.68</v>
      </c>
      <c r="DW703" s="36">
        <v>2426</v>
      </c>
      <c r="DX703" s="39">
        <v>-1</v>
      </c>
      <c r="DY703" s="35">
        <v>-0.04</v>
      </c>
      <c r="DZ703" s="28" t="s">
        <v>178</v>
      </c>
      <c r="EA703" s="34">
        <v>43622</v>
      </c>
      <c r="EB703" s="29">
        <v>6.2</v>
      </c>
      <c r="EC703" s="34">
        <v>42856</v>
      </c>
      <c r="ED703" s="28" t="s">
        <v>234</v>
      </c>
      <c r="EE703" s="40" t="str">
        <f>HYPERLINK("https://my.pitchbook.com?c=92771-65", "View company online")</f>
        <v>View company online</v>
      </c>
    </row>
    <row r="704" spans="1:135">
      <c r="A704" s="15" t="s">
        <v>14117</v>
      </c>
      <c r="B704" s="15" t="s">
        <v>14118</v>
      </c>
      <c r="C704" s="15" t="s">
        <v>138</v>
      </c>
      <c r="D704" s="15" t="s">
        <v>138</v>
      </c>
      <c r="E704" s="15" t="s">
        <v>14119</v>
      </c>
      <c r="F704" s="15" t="s">
        <v>14117</v>
      </c>
      <c r="G704" s="15" t="s">
        <v>14120</v>
      </c>
      <c r="H704" s="15" t="s">
        <v>322</v>
      </c>
      <c r="I704" s="15" t="s">
        <v>323</v>
      </c>
      <c r="J704" s="15" t="s">
        <v>2984</v>
      </c>
      <c r="K704" s="15" t="s">
        <v>4024</v>
      </c>
      <c r="L704" s="15" t="s">
        <v>215</v>
      </c>
      <c r="M704" s="15" t="s">
        <v>14121</v>
      </c>
      <c r="N704" s="15" t="s">
        <v>147</v>
      </c>
      <c r="O704" s="17">
        <v>7</v>
      </c>
      <c r="P704" s="15" t="s">
        <v>148</v>
      </c>
      <c r="Q704" s="15" t="s">
        <v>149</v>
      </c>
      <c r="R704" s="15" t="s">
        <v>174</v>
      </c>
      <c r="S704" s="15" t="s">
        <v>14122</v>
      </c>
      <c r="T704" s="18">
        <v>15</v>
      </c>
      <c r="U704" s="15" t="s">
        <v>14123</v>
      </c>
      <c r="V704" s="15" t="s">
        <v>138</v>
      </c>
      <c r="W704" s="15" t="s">
        <v>138</v>
      </c>
      <c r="X704" s="19">
        <v>2013</v>
      </c>
      <c r="Y704" s="15" t="s">
        <v>138</v>
      </c>
      <c r="Z704" s="15" t="s">
        <v>138</v>
      </c>
      <c r="AA704" s="15" t="s">
        <v>138</v>
      </c>
      <c r="AB704" s="20" t="s">
        <v>138</v>
      </c>
      <c r="AC704" s="20" t="s">
        <v>138</v>
      </c>
      <c r="AD704" s="20" t="s">
        <v>138</v>
      </c>
      <c r="AE704" s="20" t="s">
        <v>138</v>
      </c>
      <c r="AF704" s="20" t="s">
        <v>138</v>
      </c>
      <c r="AG704" s="15" t="s">
        <v>138</v>
      </c>
      <c r="AH704" s="20" t="s">
        <v>138</v>
      </c>
      <c r="AI704" s="20" t="s">
        <v>138</v>
      </c>
      <c r="AJ704" s="20" t="s">
        <v>138</v>
      </c>
      <c r="AK704" s="15" t="s">
        <v>14124</v>
      </c>
      <c r="AL704" s="15" t="s">
        <v>14125</v>
      </c>
      <c r="AM704" s="15" t="s">
        <v>2605</v>
      </c>
      <c r="AN704" s="15" t="s">
        <v>14126</v>
      </c>
      <c r="AO704" s="15" t="s">
        <v>138</v>
      </c>
      <c r="AP704" s="15" t="s">
        <v>14127</v>
      </c>
      <c r="AQ704" s="15" t="s">
        <v>14128</v>
      </c>
      <c r="AR704" s="15" t="s">
        <v>282</v>
      </c>
      <c r="AS704" s="15" t="s">
        <v>14129</v>
      </c>
      <c r="AT704" s="15" t="s">
        <v>14130</v>
      </c>
      <c r="AU704" s="15" t="s">
        <v>14131</v>
      </c>
      <c r="AV704" s="15" t="s">
        <v>2742</v>
      </c>
      <c r="AW704" s="15" t="s">
        <v>138</v>
      </c>
      <c r="AX704" s="15" t="s">
        <v>138</v>
      </c>
      <c r="AY704" s="15" t="s">
        <v>14132</v>
      </c>
      <c r="AZ704" s="15" t="s">
        <v>164</v>
      </c>
      <c r="BA704" s="15" t="s">
        <v>165</v>
      </c>
      <c r="BB704" s="15" t="s">
        <v>14133</v>
      </c>
      <c r="BC704" s="15" t="s">
        <v>14134</v>
      </c>
      <c r="BD704" s="21">
        <v>8</v>
      </c>
      <c r="BE704" s="15" t="s">
        <v>138</v>
      </c>
      <c r="BF704" s="15" t="s">
        <v>138</v>
      </c>
      <c r="BG704" s="15" t="s">
        <v>138</v>
      </c>
      <c r="BH704" s="15" t="s">
        <v>14135</v>
      </c>
      <c r="BI704" s="15" t="s">
        <v>138</v>
      </c>
      <c r="BJ704" s="15" t="s">
        <v>138</v>
      </c>
      <c r="BK704" s="15" t="s">
        <v>138</v>
      </c>
      <c r="BL704" s="15" t="s">
        <v>138</v>
      </c>
      <c r="BM704" s="22">
        <v>41484</v>
      </c>
      <c r="BN704" s="17">
        <v>1.5</v>
      </c>
      <c r="BO704" s="15" t="s">
        <v>172</v>
      </c>
      <c r="BP704" s="17" t="s">
        <v>138</v>
      </c>
      <c r="BQ704" s="15" t="s">
        <v>138</v>
      </c>
      <c r="BR704" s="15" t="s">
        <v>234</v>
      </c>
      <c r="BS704" s="15" t="s">
        <v>234</v>
      </c>
      <c r="BT704" s="15" t="s">
        <v>138</v>
      </c>
      <c r="BU704" s="15" t="s">
        <v>174</v>
      </c>
      <c r="BV704" s="15" t="s">
        <v>138</v>
      </c>
      <c r="BW704" s="15" t="s">
        <v>138</v>
      </c>
      <c r="BX704" s="15" t="s">
        <v>138</v>
      </c>
      <c r="BY704" s="15" t="s">
        <v>175</v>
      </c>
      <c r="BZ704" s="22">
        <v>43308</v>
      </c>
      <c r="CA704" s="17" t="s">
        <v>138</v>
      </c>
      <c r="CB704" s="15" t="s">
        <v>138</v>
      </c>
      <c r="CC704" s="17" t="s">
        <v>138</v>
      </c>
      <c r="CD704" s="15" t="s">
        <v>138</v>
      </c>
      <c r="CE704" s="15" t="s">
        <v>205</v>
      </c>
      <c r="CF704" s="15" t="s">
        <v>138</v>
      </c>
      <c r="CG704" s="15" t="s">
        <v>138</v>
      </c>
      <c r="CH704" s="15" t="s">
        <v>174</v>
      </c>
      <c r="CI704" s="15" t="s">
        <v>138</v>
      </c>
      <c r="CJ704" s="15" t="s">
        <v>138</v>
      </c>
      <c r="CK704" s="15" t="s">
        <v>138</v>
      </c>
      <c r="CL704" s="15" t="s">
        <v>175</v>
      </c>
      <c r="CM704" s="22" t="s">
        <v>138</v>
      </c>
      <c r="CN704" s="17" t="s">
        <v>138</v>
      </c>
      <c r="CO704" s="23">
        <v>-0.97</v>
      </c>
      <c r="CP704" s="24">
        <v>11</v>
      </c>
      <c r="CQ704" s="23">
        <v>-0.06</v>
      </c>
      <c r="CR704" s="23">
        <v>-6.25</v>
      </c>
      <c r="CS704" s="23">
        <v>-2</v>
      </c>
      <c r="CT704" s="24">
        <v>9</v>
      </c>
      <c r="CU704" s="23">
        <v>0.06</v>
      </c>
      <c r="CV704" s="24">
        <v>60</v>
      </c>
      <c r="CW704" s="23">
        <v>-1.77</v>
      </c>
      <c r="CX704" s="24">
        <v>8</v>
      </c>
      <c r="CY704" s="23">
        <v>-2.2200000000000002</v>
      </c>
      <c r="CZ704" s="24">
        <v>10</v>
      </c>
      <c r="DA704" s="23">
        <v>0.15</v>
      </c>
      <c r="DB704" s="24">
        <v>78</v>
      </c>
      <c r="DC704" s="25">
        <v>195.88</v>
      </c>
      <c r="DD704" s="24">
        <v>100</v>
      </c>
      <c r="DE704" s="25">
        <v>-20.399999999999999</v>
      </c>
      <c r="DF704" s="23">
        <v>-9.43</v>
      </c>
      <c r="DG704" s="25">
        <v>321.92</v>
      </c>
      <c r="DH704" s="24">
        <v>100</v>
      </c>
      <c r="DI704" s="25">
        <v>69.849999999999994</v>
      </c>
      <c r="DJ704" s="24">
        <v>96</v>
      </c>
      <c r="DK704" s="25">
        <v>640.36</v>
      </c>
      <c r="DL704" s="24">
        <v>100</v>
      </c>
      <c r="DM704" s="25">
        <v>3.48</v>
      </c>
      <c r="DN704" s="24">
        <v>76</v>
      </c>
      <c r="DO704" s="25">
        <v>107.29</v>
      </c>
      <c r="DP704" s="24">
        <v>98</v>
      </c>
      <c r="DQ704" s="24">
        <v>218243</v>
      </c>
      <c r="DR704" s="26">
        <v>4195</v>
      </c>
      <c r="DS704" s="23">
        <v>1.96</v>
      </c>
      <c r="DT704" s="24">
        <v>101</v>
      </c>
      <c r="DU704" s="26">
        <v>-2</v>
      </c>
      <c r="DV704" s="23">
        <v>-1.94</v>
      </c>
      <c r="DW704" s="24">
        <v>38404</v>
      </c>
      <c r="DX704" s="27">
        <v>27</v>
      </c>
      <c r="DY704" s="23">
        <v>7.0000000000000007E-2</v>
      </c>
      <c r="DZ704" s="15" t="s">
        <v>178</v>
      </c>
      <c r="EA704" s="22">
        <v>43593</v>
      </c>
      <c r="EB704" s="17" t="s">
        <v>138</v>
      </c>
      <c r="EC704" s="22" t="s">
        <v>138</v>
      </c>
      <c r="ED704" s="15" t="s">
        <v>138</v>
      </c>
      <c r="EE704" s="14" t="str">
        <f>HYPERLINK("https://my.pitchbook.com?c=58183-21", "View company online")</f>
        <v>View company online</v>
      </c>
    </row>
    <row r="705" spans="1:135">
      <c r="A705" s="28" t="s">
        <v>14136</v>
      </c>
      <c r="B705" s="28" t="s">
        <v>14137</v>
      </c>
      <c r="C705" s="28" t="s">
        <v>138</v>
      </c>
      <c r="D705" s="28" t="s">
        <v>138</v>
      </c>
      <c r="E705" s="28" t="s">
        <v>138</v>
      </c>
      <c r="F705" s="28" t="s">
        <v>14136</v>
      </c>
      <c r="G705" s="28" t="s">
        <v>14138</v>
      </c>
      <c r="H705" s="28" t="s">
        <v>322</v>
      </c>
      <c r="I705" s="28" t="s">
        <v>1208</v>
      </c>
      <c r="J705" s="28" t="s">
        <v>5371</v>
      </c>
      <c r="K705" s="28" t="s">
        <v>5372</v>
      </c>
      <c r="L705" s="28" t="s">
        <v>415</v>
      </c>
      <c r="M705" s="28" t="s">
        <v>14139</v>
      </c>
      <c r="N705" s="28" t="s">
        <v>147</v>
      </c>
      <c r="O705" s="29">
        <v>30</v>
      </c>
      <c r="P705" s="28" t="s">
        <v>189</v>
      </c>
      <c r="Q705" s="28" t="s">
        <v>149</v>
      </c>
      <c r="R705" s="28" t="s">
        <v>174</v>
      </c>
      <c r="S705" s="28" t="s">
        <v>138</v>
      </c>
      <c r="T705" s="30" t="s">
        <v>138</v>
      </c>
      <c r="U705" s="28" t="s">
        <v>138</v>
      </c>
      <c r="V705" s="28" t="s">
        <v>138</v>
      </c>
      <c r="W705" s="28" t="s">
        <v>138</v>
      </c>
      <c r="X705" s="31" t="s">
        <v>138</v>
      </c>
      <c r="Y705" s="28" t="s">
        <v>138</v>
      </c>
      <c r="Z705" s="28" t="s">
        <v>138</v>
      </c>
      <c r="AA705" s="28" t="s">
        <v>138</v>
      </c>
      <c r="AB705" s="32" t="s">
        <v>138</v>
      </c>
      <c r="AC705" s="32" t="s">
        <v>138</v>
      </c>
      <c r="AD705" s="32" t="s">
        <v>138</v>
      </c>
      <c r="AE705" s="32" t="s">
        <v>138</v>
      </c>
      <c r="AF705" s="32" t="s">
        <v>138</v>
      </c>
      <c r="AG705" s="28" t="s">
        <v>138</v>
      </c>
      <c r="AH705" s="32" t="s">
        <v>138</v>
      </c>
      <c r="AI705" s="32" t="s">
        <v>138</v>
      </c>
      <c r="AJ705" s="32" t="s">
        <v>138</v>
      </c>
      <c r="AK705" s="28" t="s">
        <v>138</v>
      </c>
      <c r="AL705" s="28" t="s">
        <v>138</v>
      </c>
      <c r="AM705" s="28" t="s">
        <v>138</v>
      </c>
      <c r="AN705" s="28" t="s">
        <v>138</v>
      </c>
      <c r="AO705" s="28" t="s">
        <v>138</v>
      </c>
      <c r="AP705" s="28" t="s">
        <v>5697</v>
      </c>
      <c r="AQ705" s="28" t="s">
        <v>138</v>
      </c>
      <c r="AR705" s="28" t="s">
        <v>138</v>
      </c>
      <c r="AS705" s="28" t="s">
        <v>5700</v>
      </c>
      <c r="AT705" s="28" t="s">
        <v>138</v>
      </c>
      <c r="AU705" s="28" t="s">
        <v>138</v>
      </c>
      <c r="AV705" s="28" t="s">
        <v>740</v>
      </c>
      <c r="AW705" s="28" t="s">
        <v>138</v>
      </c>
      <c r="AX705" s="28" t="s">
        <v>138</v>
      </c>
      <c r="AY705" s="28" t="s">
        <v>138</v>
      </c>
      <c r="AZ705" s="28" t="s">
        <v>742</v>
      </c>
      <c r="BA705" s="28" t="s">
        <v>742</v>
      </c>
      <c r="BB705" s="28" t="s">
        <v>14140</v>
      </c>
      <c r="BC705" s="28" t="s">
        <v>14141</v>
      </c>
      <c r="BD705" s="33">
        <v>8</v>
      </c>
      <c r="BE705" s="28" t="s">
        <v>138</v>
      </c>
      <c r="BF705" s="28" t="s">
        <v>138</v>
      </c>
      <c r="BG705" s="28" t="s">
        <v>138</v>
      </c>
      <c r="BH705" s="28" t="s">
        <v>14142</v>
      </c>
      <c r="BI705" s="28" t="s">
        <v>138</v>
      </c>
      <c r="BJ705" s="28" t="s">
        <v>138</v>
      </c>
      <c r="BK705" s="28" t="s">
        <v>138</v>
      </c>
      <c r="BL705" s="28" t="s">
        <v>138</v>
      </c>
      <c r="BM705" s="34" t="s">
        <v>138</v>
      </c>
      <c r="BN705" s="29">
        <v>30</v>
      </c>
      <c r="BO705" s="28" t="s">
        <v>172</v>
      </c>
      <c r="BP705" s="29" t="s">
        <v>138</v>
      </c>
      <c r="BQ705" s="28" t="s">
        <v>138</v>
      </c>
      <c r="BR705" s="28" t="s">
        <v>205</v>
      </c>
      <c r="BS705" s="28" t="s">
        <v>720</v>
      </c>
      <c r="BT705" s="28" t="s">
        <v>138</v>
      </c>
      <c r="BU705" s="28" t="s">
        <v>174</v>
      </c>
      <c r="BV705" s="28" t="s">
        <v>138</v>
      </c>
      <c r="BW705" s="28" t="s">
        <v>138</v>
      </c>
      <c r="BX705" s="28" t="s">
        <v>138</v>
      </c>
      <c r="BY705" s="28" t="s">
        <v>175</v>
      </c>
      <c r="BZ705" s="34" t="s">
        <v>138</v>
      </c>
      <c r="CA705" s="29">
        <v>30</v>
      </c>
      <c r="CB705" s="28" t="s">
        <v>172</v>
      </c>
      <c r="CC705" s="29" t="s">
        <v>138</v>
      </c>
      <c r="CD705" s="28" t="s">
        <v>138</v>
      </c>
      <c r="CE705" s="28" t="s">
        <v>205</v>
      </c>
      <c r="CF705" s="28" t="s">
        <v>720</v>
      </c>
      <c r="CG705" s="28" t="s">
        <v>138</v>
      </c>
      <c r="CH705" s="28" t="s">
        <v>174</v>
      </c>
      <c r="CI705" s="28" t="s">
        <v>138</v>
      </c>
      <c r="CJ705" s="28" t="s">
        <v>138</v>
      </c>
      <c r="CK705" s="28" t="s">
        <v>138</v>
      </c>
      <c r="CL705" s="28" t="s">
        <v>175</v>
      </c>
      <c r="CM705" s="34" t="s">
        <v>138</v>
      </c>
      <c r="CN705" s="29" t="s">
        <v>138</v>
      </c>
      <c r="CO705" s="35" t="s">
        <v>138</v>
      </c>
      <c r="CP705" s="36" t="s">
        <v>138</v>
      </c>
      <c r="CQ705" s="35" t="s">
        <v>138</v>
      </c>
      <c r="CR705" s="35" t="s">
        <v>138</v>
      </c>
      <c r="CS705" s="35" t="s">
        <v>138</v>
      </c>
      <c r="CT705" s="36" t="s">
        <v>138</v>
      </c>
      <c r="CU705" s="35" t="s">
        <v>138</v>
      </c>
      <c r="CV705" s="36" t="s">
        <v>138</v>
      </c>
      <c r="CW705" s="35" t="s">
        <v>138</v>
      </c>
      <c r="CX705" s="36" t="s">
        <v>138</v>
      </c>
      <c r="CY705" s="35" t="s">
        <v>138</v>
      </c>
      <c r="CZ705" s="36" t="s">
        <v>138</v>
      </c>
      <c r="DA705" s="35" t="s">
        <v>138</v>
      </c>
      <c r="DB705" s="36" t="s">
        <v>138</v>
      </c>
      <c r="DC705" s="37" t="s">
        <v>138</v>
      </c>
      <c r="DD705" s="36" t="s">
        <v>138</v>
      </c>
      <c r="DE705" s="37" t="s">
        <v>138</v>
      </c>
      <c r="DF705" s="35" t="s">
        <v>138</v>
      </c>
      <c r="DG705" s="37" t="s">
        <v>138</v>
      </c>
      <c r="DH705" s="36" t="s">
        <v>138</v>
      </c>
      <c r="DI705" s="37" t="s">
        <v>138</v>
      </c>
      <c r="DJ705" s="36" t="s">
        <v>138</v>
      </c>
      <c r="DK705" s="37" t="s">
        <v>138</v>
      </c>
      <c r="DL705" s="36" t="s">
        <v>138</v>
      </c>
      <c r="DM705" s="37" t="s">
        <v>138</v>
      </c>
      <c r="DN705" s="36" t="s">
        <v>138</v>
      </c>
      <c r="DO705" s="37" t="s">
        <v>138</v>
      </c>
      <c r="DP705" s="36" t="s">
        <v>138</v>
      </c>
      <c r="DQ705" s="36" t="s">
        <v>138</v>
      </c>
      <c r="DR705" s="38" t="s">
        <v>138</v>
      </c>
      <c r="DS705" s="35" t="s">
        <v>138</v>
      </c>
      <c r="DT705" s="36" t="s">
        <v>138</v>
      </c>
      <c r="DU705" s="38" t="s">
        <v>138</v>
      </c>
      <c r="DV705" s="35" t="s">
        <v>138</v>
      </c>
      <c r="DW705" s="36" t="s">
        <v>138</v>
      </c>
      <c r="DX705" s="39" t="s">
        <v>138</v>
      </c>
      <c r="DY705" s="35" t="s">
        <v>138</v>
      </c>
      <c r="DZ705" s="28" t="s">
        <v>178</v>
      </c>
      <c r="EA705" s="34">
        <v>43523</v>
      </c>
      <c r="EB705" s="29" t="s">
        <v>138</v>
      </c>
      <c r="EC705" s="34" t="s">
        <v>138</v>
      </c>
      <c r="ED705" s="28" t="s">
        <v>138</v>
      </c>
      <c r="EE705" s="40" t="str">
        <f>HYPERLINK("https://my.pitchbook.com?c=226288-90", "View company online")</f>
        <v>View company online</v>
      </c>
    </row>
    <row r="706" spans="1:135">
      <c r="A706" s="15" t="s">
        <v>14143</v>
      </c>
      <c r="B706" s="15" t="s">
        <v>14144</v>
      </c>
      <c r="C706" s="15" t="s">
        <v>14145</v>
      </c>
      <c r="D706" s="15" t="s">
        <v>138</v>
      </c>
      <c r="E706" s="15" t="s">
        <v>14146</v>
      </c>
      <c r="F706" s="15" t="s">
        <v>14143</v>
      </c>
      <c r="G706" s="15" t="s">
        <v>14147</v>
      </c>
      <c r="H706" s="15" t="s">
        <v>322</v>
      </c>
      <c r="I706" s="15" t="s">
        <v>323</v>
      </c>
      <c r="J706" s="15" t="s">
        <v>437</v>
      </c>
      <c r="K706" s="15" t="s">
        <v>14148</v>
      </c>
      <c r="L706" s="15" t="s">
        <v>14149</v>
      </c>
      <c r="M706" s="15" t="s">
        <v>14150</v>
      </c>
      <c r="N706" s="15" t="s">
        <v>147</v>
      </c>
      <c r="O706" s="17">
        <v>47.2</v>
      </c>
      <c r="P706" s="15" t="s">
        <v>148</v>
      </c>
      <c r="Q706" s="15" t="s">
        <v>149</v>
      </c>
      <c r="R706" s="15" t="s">
        <v>174</v>
      </c>
      <c r="S706" s="15" t="s">
        <v>14151</v>
      </c>
      <c r="T706" s="18" t="s">
        <v>138</v>
      </c>
      <c r="U706" s="15" t="s">
        <v>138</v>
      </c>
      <c r="V706" s="15" t="s">
        <v>138</v>
      </c>
      <c r="W706" s="15" t="s">
        <v>138</v>
      </c>
      <c r="X706" s="19">
        <v>2016</v>
      </c>
      <c r="Y706" s="15" t="s">
        <v>138</v>
      </c>
      <c r="Z706" s="15" t="s">
        <v>138</v>
      </c>
      <c r="AA706" s="15" t="s">
        <v>138</v>
      </c>
      <c r="AB706" s="20" t="s">
        <v>138</v>
      </c>
      <c r="AC706" s="20" t="s">
        <v>138</v>
      </c>
      <c r="AD706" s="20" t="s">
        <v>138</v>
      </c>
      <c r="AE706" s="20" t="s">
        <v>138</v>
      </c>
      <c r="AF706" s="20" t="s">
        <v>138</v>
      </c>
      <c r="AG706" s="15" t="s">
        <v>138</v>
      </c>
      <c r="AH706" s="20" t="s">
        <v>138</v>
      </c>
      <c r="AI706" s="20" t="s">
        <v>138</v>
      </c>
      <c r="AJ706" s="20" t="s">
        <v>138</v>
      </c>
      <c r="AK706" s="15" t="s">
        <v>14152</v>
      </c>
      <c r="AL706" s="15" t="s">
        <v>14153</v>
      </c>
      <c r="AM706" s="15" t="s">
        <v>818</v>
      </c>
      <c r="AN706" s="15" t="s">
        <v>14154</v>
      </c>
      <c r="AO706" s="15" t="s">
        <v>138</v>
      </c>
      <c r="AP706" s="15" t="s">
        <v>4898</v>
      </c>
      <c r="AQ706" s="15" t="s">
        <v>10933</v>
      </c>
      <c r="AR706" s="15" t="s">
        <v>1459</v>
      </c>
      <c r="AS706" s="15" t="s">
        <v>4900</v>
      </c>
      <c r="AT706" s="15" t="s">
        <v>200</v>
      </c>
      <c r="AU706" s="15" t="s">
        <v>10934</v>
      </c>
      <c r="AV706" s="15" t="s">
        <v>162</v>
      </c>
      <c r="AW706" s="15" t="s">
        <v>138</v>
      </c>
      <c r="AX706" s="15" t="s">
        <v>138</v>
      </c>
      <c r="AY706" s="15" t="s">
        <v>14155</v>
      </c>
      <c r="AZ706" s="15" t="s">
        <v>164</v>
      </c>
      <c r="BA706" s="15" t="s">
        <v>165</v>
      </c>
      <c r="BB706" s="15" t="s">
        <v>14156</v>
      </c>
      <c r="BC706" s="15" t="s">
        <v>14157</v>
      </c>
      <c r="BD706" s="21">
        <v>31</v>
      </c>
      <c r="BE706" s="15" t="s">
        <v>138</v>
      </c>
      <c r="BF706" s="15" t="s">
        <v>138</v>
      </c>
      <c r="BG706" s="15" t="s">
        <v>138</v>
      </c>
      <c r="BH706" s="15" t="s">
        <v>14158</v>
      </c>
      <c r="BI706" s="15" t="s">
        <v>138</v>
      </c>
      <c r="BJ706" s="15" t="s">
        <v>138</v>
      </c>
      <c r="BK706" s="15" t="s">
        <v>3482</v>
      </c>
      <c r="BL706" s="15" t="s">
        <v>3482</v>
      </c>
      <c r="BM706" s="22">
        <v>42370</v>
      </c>
      <c r="BN706" s="17" t="s">
        <v>138</v>
      </c>
      <c r="BO706" s="15" t="s">
        <v>138</v>
      </c>
      <c r="BP706" s="17" t="s">
        <v>138</v>
      </c>
      <c r="BQ706" s="15" t="s">
        <v>138</v>
      </c>
      <c r="BR706" s="15" t="s">
        <v>205</v>
      </c>
      <c r="BS706" s="15" t="s">
        <v>138</v>
      </c>
      <c r="BT706" s="15" t="s">
        <v>138</v>
      </c>
      <c r="BU706" s="15" t="s">
        <v>174</v>
      </c>
      <c r="BV706" s="15" t="s">
        <v>138</v>
      </c>
      <c r="BW706" s="15" t="s">
        <v>138</v>
      </c>
      <c r="BX706" s="15" t="s">
        <v>138</v>
      </c>
      <c r="BY706" s="15" t="s">
        <v>175</v>
      </c>
      <c r="BZ706" s="22">
        <v>43424</v>
      </c>
      <c r="CA706" s="17">
        <v>30.5</v>
      </c>
      <c r="CB706" s="15" t="s">
        <v>172</v>
      </c>
      <c r="CC706" s="17" t="s">
        <v>138</v>
      </c>
      <c r="CD706" s="15" t="s">
        <v>138</v>
      </c>
      <c r="CE706" s="15" t="s">
        <v>205</v>
      </c>
      <c r="CF706" s="15" t="s">
        <v>720</v>
      </c>
      <c r="CG706" s="15" t="s">
        <v>138</v>
      </c>
      <c r="CH706" s="15" t="s">
        <v>174</v>
      </c>
      <c r="CI706" s="15" t="s">
        <v>138</v>
      </c>
      <c r="CJ706" s="15" t="s">
        <v>138</v>
      </c>
      <c r="CK706" s="15" t="s">
        <v>138</v>
      </c>
      <c r="CL706" s="15" t="s">
        <v>175</v>
      </c>
      <c r="CM706" s="22" t="s">
        <v>138</v>
      </c>
      <c r="CN706" s="17" t="s">
        <v>138</v>
      </c>
      <c r="CO706" s="23">
        <v>1.2</v>
      </c>
      <c r="CP706" s="24">
        <v>98</v>
      </c>
      <c r="CQ706" s="23">
        <v>-0.03</v>
      </c>
      <c r="CR706" s="23">
        <v>-2.13</v>
      </c>
      <c r="CS706" s="23" t="s">
        <v>138</v>
      </c>
      <c r="CT706" s="24" t="s">
        <v>138</v>
      </c>
      <c r="CU706" s="23">
        <v>1.2</v>
      </c>
      <c r="CV706" s="24">
        <v>99</v>
      </c>
      <c r="CW706" s="23" t="s">
        <v>138</v>
      </c>
      <c r="CX706" s="24" t="s">
        <v>138</v>
      </c>
      <c r="CY706" s="23" t="s">
        <v>138</v>
      </c>
      <c r="CZ706" s="24" t="s">
        <v>138</v>
      </c>
      <c r="DA706" s="23">
        <v>0.26</v>
      </c>
      <c r="DB706" s="24">
        <v>87</v>
      </c>
      <c r="DC706" s="25">
        <v>8.1</v>
      </c>
      <c r="DD706" s="24">
        <v>88</v>
      </c>
      <c r="DE706" s="25">
        <v>0.05</v>
      </c>
      <c r="DF706" s="23">
        <v>0.65</v>
      </c>
      <c r="DG706" s="25" t="s">
        <v>138</v>
      </c>
      <c r="DH706" s="24" t="s">
        <v>138</v>
      </c>
      <c r="DI706" s="25">
        <v>8.1</v>
      </c>
      <c r="DJ706" s="24">
        <v>83</v>
      </c>
      <c r="DK706" s="25" t="s">
        <v>138</v>
      </c>
      <c r="DL706" s="24" t="s">
        <v>138</v>
      </c>
      <c r="DM706" s="25" t="s">
        <v>138</v>
      </c>
      <c r="DN706" s="24" t="s">
        <v>138</v>
      </c>
      <c r="DO706" s="25">
        <v>15.95</v>
      </c>
      <c r="DP706" s="24">
        <v>91</v>
      </c>
      <c r="DQ706" s="24" t="s">
        <v>138</v>
      </c>
      <c r="DR706" s="26" t="s">
        <v>138</v>
      </c>
      <c r="DS706" s="23" t="s">
        <v>138</v>
      </c>
      <c r="DT706" s="24" t="s">
        <v>138</v>
      </c>
      <c r="DU706" s="26" t="s">
        <v>138</v>
      </c>
      <c r="DV706" s="23" t="s">
        <v>138</v>
      </c>
      <c r="DW706" s="24">
        <v>5709</v>
      </c>
      <c r="DX706" s="27">
        <v>7</v>
      </c>
      <c r="DY706" s="23">
        <v>0.12</v>
      </c>
      <c r="DZ706" s="15" t="s">
        <v>178</v>
      </c>
      <c r="EA706" s="22">
        <v>43607</v>
      </c>
      <c r="EB706" s="17" t="s">
        <v>138</v>
      </c>
      <c r="EC706" s="22" t="s">
        <v>138</v>
      </c>
      <c r="ED706" s="15" t="s">
        <v>138</v>
      </c>
      <c r="EE706" s="14" t="str">
        <f>HYPERLINK("https://my.pitchbook.com?c=107166-88", "View company online")</f>
        <v>View company online</v>
      </c>
    </row>
    <row r="707" spans="1:135">
      <c r="A707" s="28" t="s">
        <v>14159</v>
      </c>
      <c r="B707" s="28" t="s">
        <v>14160</v>
      </c>
      <c r="C707" s="28" t="s">
        <v>138</v>
      </c>
      <c r="D707" s="28" t="s">
        <v>138</v>
      </c>
      <c r="E707" s="28" t="s">
        <v>14161</v>
      </c>
      <c r="F707" s="28" t="s">
        <v>14159</v>
      </c>
      <c r="G707" s="28" t="s">
        <v>14162</v>
      </c>
      <c r="H707" s="28" t="s">
        <v>322</v>
      </c>
      <c r="I707" s="28" t="s">
        <v>323</v>
      </c>
      <c r="J707" s="28" t="s">
        <v>954</v>
      </c>
      <c r="K707" s="28" t="s">
        <v>14163</v>
      </c>
      <c r="L707" s="28" t="s">
        <v>215</v>
      </c>
      <c r="M707" s="28" t="s">
        <v>14164</v>
      </c>
      <c r="N707" s="28" t="s">
        <v>147</v>
      </c>
      <c r="O707" s="29">
        <v>37</v>
      </c>
      <c r="P707" s="28" t="s">
        <v>148</v>
      </c>
      <c r="Q707" s="28" t="s">
        <v>149</v>
      </c>
      <c r="R707" s="28" t="s">
        <v>174</v>
      </c>
      <c r="S707" s="28" t="s">
        <v>14165</v>
      </c>
      <c r="T707" s="30">
        <v>90</v>
      </c>
      <c r="U707" s="28" t="s">
        <v>14166</v>
      </c>
      <c r="V707" s="28" t="s">
        <v>138</v>
      </c>
      <c r="W707" s="28" t="s">
        <v>138</v>
      </c>
      <c r="X707" s="31">
        <v>2010</v>
      </c>
      <c r="Y707" s="28" t="s">
        <v>138</v>
      </c>
      <c r="Z707" s="28" t="s">
        <v>138</v>
      </c>
      <c r="AA707" s="28" t="s">
        <v>138</v>
      </c>
      <c r="AB707" s="32" t="s">
        <v>138</v>
      </c>
      <c r="AC707" s="32" t="s">
        <v>138</v>
      </c>
      <c r="AD707" s="32" t="s">
        <v>138</v>
      </c>
      <c r="AE707" s="32" t="s">
        <v>138</v>
      </c>
      <c r="AF707" s="32" t="s">
        <v>138</v>
      </c>
      <c r="AG707" s="28" t="s">
        <v>138</v>
      </c>
      <c r="AH707" s="32" t="s">
        <v>138</v>
      </c>
      <c r="AI707" s="32" t="s">
        <v>138</v>
      </c>
      <c r="AJ707" s="32" t="s">
        <v>138</v>
      </c>
      <c r="AK707" s="28" t="s">
        <v>14167</v>
      </c>
      <c r="AL707" s="28" t="s">
        <v>14168</v>
      </c>
      <c r="AM707" s="28" t="s">
        <v>304</v>
      </c>
      <c r="AN707" s="28" t="s">
        <v>14169</v>
      </c>
      <c r="AO707" s="28" t="s">
        <v>14170</v>
      </c>
      <c r="AP707" s="28" t="s">
        <v>14171</v>
      </c>
      <c r="AQ707" s="28" t="s">
        <v>14172</v>
      </c>
      <c r="AR707" s="28" t="s">
        <v>138</v>
      </c>
      <c r="AS707" s="28" t="s">
        <v>14173</v>
      </c>
      <c r="AT707" s="28" t="s">
        <v>138</v>
      </c>
      <c r="AU707" s="28" t="s">
        <v>14174</v>
      </c>
      <c r="AV707" s="28" t="s">
        <v>740</v>
      </c>
      <c r="AW707" s="28" t="s">
        <v>14175</v>
      </c>
      <c r="AX707" s="28" t="s">
        <v>14176</v>
      </c>
      <c r="AY707" s="28" t="s">
        <v>14177</v>
      </c>
      <c r="AZ707" s="28" t="s">
        <v>742</v>
      </c>
      <c r="BA707" s="28" t="s">
        <v>742</v>
      </c>
      <c r="BB707" s="28" t="s">
        <v>14178</v>
      </c>
      <c r="BC707" s="28" t="s">
        <v>14179</v>
      </c>
      <c r="BD707" s="33">
        <v>7</v>
      </c>
      <c r="BE707" s="28" t="s">
        <v>138</v>
      </c>
      <c r="BF707" s="28" t="s">
        <v>138</v>
      </c>
      <c r="BG707" s="28" t="s">
        <v>138</v>
      </c>
      <c r="BH707" s="28" t="s">
        <v>14180</v>
      </c>
      <c r="BI707" s="28" t="s">
        <v>138</v>
      </c>
      <c r="BJ707" s="28" t="s">
        <v>138</v>
      </c>
      <c r="BK707" s="28" t="s">
        <v>138</v>
      </c>
      <c r="BL707" s="28" t="s">
        <v>138</v>
      </c>
      <c r="BM707" s="34">
        <v>41253</v>
      </c>
      <c r="BN707" s="29">
        <v>1.5</v>
      </c>
      <c r="BO707" s="28" t="s">
        <v>172</v>
      </c>
      <c r="BP707" s="29" t="s">
        <v>138</v>
      </c>
      <c r="BQ707" s="28" t="s">
        <v>138</v>
      </c>
      <c r="BR707" s="28" t="s">
        <v>262</v>
      </c>
      <c r="BS707" s="28" t="s">
        <v>206</v>
      </c>
      <c r="BT707" s="28" t="s">
        <v>138</v>
      </c>
      <c r="BU707" s="28" t="s">
        <v>263</v>
      </c>
      <c r="BV707" s="28" t="s">
        <v>138</v>
      </c>
      <c r="BW707" s="28" t="s">
        <v>138</v>
      </c>
      <c r="BX707" s="28" t="s">
        <v>138</v>
      </c>
      <c r="BY707" s="28" t="s">
        <v>175</v>
      </c>
      <c r="BZ707" s="34">
        <v>43215</v>
      </c>
      <c r="CA707" s="29">
        <v>21</v>
      </c>
      <c r="CB707" s="28" t="s">
        <v>172</v>
      </c>
      <c r="CC707" s="29" t="s">
        <v>138</v>
      </c>
      <c r="CD707" s="28" t="s">
        <v>138</v>
      </c>
      <c r="CE707" s="28" t="s">
        <v>173</v>
      </c>
      <c r="CF707" s="28" t="s">
        <v>317</v>
      </c>
      <c r="CG707" s="28" t="s">
        <v>138</v>
      </c>
      <c r="CH707" s="28" t="s">
        <v>174</v>
      </c>
      <c r="CI707" s="28" t="s">
        <v>138</v>
      </c>
      <c r="CJ707" s="28" t="s">
        <v>138</v>
      </c>
      <c r="CK707" s="28" t="s">
        <v>138</v>
      </c>
      <c r="CL707" s="28" t="s">
        <v>175</v>
      </c>
      <c r="CM707" s="34" t="s">
        <v>138</v>
      </c>
      <c r="CN707" s="29" t="s">
        <v>138</v>
      </c>
      <c r="CO707" s="35">
        <v>0.78</v>
      </c>
      <c r="CP707" s="36">
        <v>96</v>
      </c>
      <c r="CQ707" s="35">
        <v>-0.02</v>
      </c>
      <c r="CR707" s="35">
        <v>-2.38</v>
      </c>
      <c r="CS707" s="35">
        <v>-0.57999999999999996</v>
      </c>
      <c r="CT707" s="36">
        <v>19</v>
      </c>
      <c r="CU707" s="35">
        <v>0.2</v>
      </c>
      <c r="CV707" s="36">
        <v>80</v>
      </c>
      <c r="CW707" s="35">
        <v>0.41</v>
      </c>
      <c r="CX707" s="36">
        <v>82</v>
      </c>
      <c r="CY707" s="35">
        <v>-1.57</v>
      </c>
      <c r="CZ707" s="36">
        <v>14</v>
      </c>
      <c r="DA707" s="35">
        <v>0.2</v>
      </c>
      <c r="DB707" s="36">
        <v>82</v>
      </c>
      <c r="DC707" s="37">
        <v>6.38</v>
      </c>
      <c r="DD707" s="36">
        <v>86</v>
      </c>
      <c r="DE707" s="37">
        <v>-0.17</v>
      </c>
      <c r="DF707" s="35">
        <v>-2.66</v>
      </c>
      <c r="DG707" s="37">
        <v>10.97</v>
      </c>
      <c r="DH707" s="36">
        <v>90</v>
      </c>
      <c r="DI707" s="37">
        <v>7.84</v>
      </c>
      <c r="DJ707" s="36">
        <v>83</v>
      </c>
      <c r="DK707" s="37">
        <v>9.86</v>
      </c>
      <c r="DL707" s="36">
        <v>87</v>
      </c>
      <c r="DM707" s="37">
        <v>12.07</v>
      </c>
      <c r="DN707" s="36">
        <v>90</v>
      </c>
      <c r="DO707" s="37">
        <v>7.84</v>
      </c>
      <c r="DP707" s="36">
        <v>85</v>
      </c>
      <c r="DQ707" s="36">
        <v>3288</v>
      </c>
      <c r="DR707" s="38">
        <v>283</v>
      </c>
      <c r="DS707" s="35">
        <v>9.42</v>
      </c>
      <c r="DT707" s="36">
        <v>349</v>
      </c>
      <c r="DU707" s="38">
        <v>1</v>
      </c>
      <c r="DV707" s="35">
        <v>0.28999999999999998</v>
      </c>
      <c r="DW707" s="36">
        <v>2808</v>
      </c>
      <c r="DX707" s="39">
        <v>1</v>
      </c>
      <c r="DY707" s="35">
        <v>0.04</v>
      </c>
      <c r="DZ707" s="28" t="s">
        <v>178</v>
      </c>
      <c r="EA707" s="34">
        <v>43383</v>
      </c>
      <c r="EB707" s="29" t="s">
        <v>138</v>
      </c>
      <c r="EC707" s="34" t="s">
        <v>138</v>
      </c>
      <c r="ED707" s="28" t="s">
        <v>138</v>
      </c>
      <c r="EE707" s="40" t="str">
        <f>HYPERLINK("https://my.pitchbook.com?c=55781-02", "View company online")</f>
        <v>View company online</v>
      </c>
    </row>
    <row r="708" spans="1:135">
      <c r="A708" s="15" t="s">
        <v>14181</v>
      </c>
      <c r="B708" s="15" t="s">
        <v>14182</v>
      </c>
      <c r="C708" s="15" t="s">
        <v>138</v>
      </c>
      <c r="D708" s="15" t="s">
        <v>138</v>
      </c>
      <c r="E708" s="15" t="s">
        <v>138</v>
      </c>
      <c r="F708" s="15" t="s">
        <v>14181</v>
      </c>
      <c r="G708" s="15" t="s">
        <v>14183</v>
      </c>
      <c r="H708" s="15" t="s">
        <v>322</v>
      </c>
      <c r="I708" s="15" t="s">
        <v>323</v>
      </c>
      <c r="J708" s="15" t="s">
        <v>437</v>
      </c>
      <c r="K708" s="15" t="s">
        <v>2406</v>
      </c>
      <c r="L708" s="15" t="s">
        <v>14184</v>
      </c>
      <c r="M708" s="15" t="s">
        <v>14185</v>
      </c>
      <c r="N708" s="15" t="s">
        <v>147</v>
      </c>
      <c r="O708" s="17">
        <v>3.12</v>
      </c>
      <c r="P708" s="15" t="s">
        <v>148</v>
      </c>
      <c r="Q708" s="15" t="s">
        <v>149</v>
      </c>
      <c r="R708" s="15" t="s">
        <v>174</v>
      </c>
      <c r="S708" s="15" t="s">
        <v>14186</v>
      </c>
      <c r="T708" s="18" t="s">
        <v>138</v>
      </c>
      <c r="U708" s="15" t="s">
        <v>138</v>
      </c>
      <c r="V708" s="15" t="s">
        <v>138</v>
      </c>
      <c r="W708" s="15" t="s">
        <v>138</v>
      </c>
      <c r="X708" s="19">
        <v>2014</v>
      </c>
      <c r="Y708" s="15" t="s">
        <v>138</v>
      </c>
      <c r="Z708" s="15" t="s">
        <v>138</v>
      </c>
      <c r="AA708" s="15" t="s">
        <v>138</v>
      </c>
      <c r="AB708" s="20">
        <v>2</v>
      </c>
      <c r="AC708" s="20" t="s">
        <v>138</v>
      </c>
      <c r="AD708" s="20" t="s">
        <v>138</v>
      </c>
      <c r="AE708" s="20" t="s">
        <v>138</v>
      </c>
      <c r="AF708" s="20" t="s">
        <v>138</v>
      </c>
      <c r="AG708" s="15" t="s">
        <v>815</v>
      </c>
      <c r="AH708" s="20" t="s">
        <v>138</v>
      </c>
      <c r="AI708" s="20" t="s">
        <v>138</v>
      </c>
      <c r="AJ708" s="20" t="s">
        <v>138</v>
      </c>
      <c r="AK708" s="15" t="s">
        <v>14187</v>
      </c>
      <c r="AL708" s="15" t="s">
        <v>14188</v>
      </c>
      <c r="AM708" s="15" t="s">
        <v>221</v>
      </c>
      <c r="AN708" s="15" t="s">
        <v>14189</v>
      </c>
      <c r="AO708" s="15" t="s">
        <v>14190</v>
      </c>
      <c r="AP708" s="15" t="s">
        <v>4463</v>
      </c>
      <c r="AQ708" s="15" t="s">
        <v>14191</v>
      </c>
      <c r="AR708" s="15" t="s">
        <v>138</v>
      </c>
      <c r="AS708" s="15" t="s">
        <v>4466</v>
      </c>
      <c r="AT708" s="15" t="s">
        <v>426</v>
      </c>
      <c r="AU708" s="15" t="s">
        <v>14192</v>
      </c>
      <c r="AV708" s="15" t="s">
        <v>162</v>
      </c>
      <c r="AW708" s="15" t="s">
        <v>14190</v>
      </c>
      <c r="AX708" s="15" t="s">
        <v>138</v>
      </c>
      <c r="AY708" s="15" t="s">
        <v>14193</v>
      </c>
      <c r="AZ708" s="15" t="s">
        <v>164</v>
      </c>
      <c r="BA708" s="15" t="s">
        <v>165</v>
      </c>
      <c r="BB708" s="15" t="s">
        <v>14194</v>
      </c>
      <c r="BC708" s="15" t="s">
        <v>14195</v>
      </c>
      <c r="BD708" s="21">
        <v>13</v>
      </c>
      <c r="BE708" s="15" t="s">
        <v>138</v>
      </c>
      <c r="BF708" s="15" t="s">
        <v>138</v>
      </c>
      <c r="BG708" s="15" t="s">
        <v>138</v>
      </c>
      <c r="BH708" s="15" t="s">
        <v>14196</v>
      </c>
      <c r="BI708" s="15" t="s">
        <v>138</v>
      </c>
      <c r="BJ708" s="15" t="s">
        <v>138</v>
      </c>
      <c r="BK708" s="15" t="s">
        <v>138</v>
      </c>
      <c r="BL708" s="15" t="s">
        <v>138</v>
      </c>
      <c r="BM708" s="22">
        <v>42402</v>
      </c>
      <c r="BN708" s="17" t="s">
        <v>138</v>
      </c>
      <c r="BO708" s="15" t="s">
        <v>138</v>
      </c>
      <c r="BP708" s="17" t="s">
        <v>138</v>
      </c>
      <c r="BQ708" s="15" t="s">
        <v>138</v>
      </c>
      <c r="BR708" s="15" t="s">
        <v>316</v>
      </c>
      <c r="BS708" s="15" t="s">
        <v>138</v>
      </c>
      <c r="BT708" s="15" t="s">
        <v>138</v>
      </c>
      <c r="BU708" s="15" t="s">
        <v>177</v>
      </c>
      <c r="BV708" s="15" t="s">
        <v>138</v>
      </c>
      <c r="BW708" s="15" t="s">
        <v>138</v>
      </c>
      <c r="BX708" s="15" t="s">
        <v>138</v>
      </c>
      <c r="BY708" s="15" t="s">
        <v>175</v>
      </c>
      <c r="BZ708" s="22">
        <v>43552</v>
      </c>
      <c r="CA708" s="17">
        <v>3</v>
      </c>
      <c r="CB708" s="15" t="s">
        <v>172</v>
      </c>
      <c r="CC708" s="17" t="s">
        <v>138</v>
      </c>
      <c r="CD708" s="15" t="s">
        <v>138</v>
      </c>
      <c r="CE708" s="15" t="s">
        <v>234</v>
      </c>
      <c r="CF708" s="15" t="s">
        <v>234</v>
      </c>
      <c r="CG708" s="15" t="s">
        <v>138</v>
      </c>
      <c r="CH708" s="15" t="s">
        <v>174</v>
      </c>
      <c r="CI708" s="15" t="s">
        <v>138</v>
      </c>
      <c r="CJ708" s="15" t="s">
        <v>138</v>
      </c>
      <c r="CK708" s="15" t="s">
        <v>138</v>
      </c>
      <c r="CL708" s="15" t="s">
        <v>175</v>
      </c>
      <c r="CM708" s="22" t="s">
        <v>138</v>
      </c>
      <c r="CN708" s="17" t="s">
        <v>138</v>
      </c>
      <c r="CO708" s="23">
        <v>2.1800000000000002</v>
      </c>
      <c r="CP708" s="24">
        <v>99</v>
      </c>
      <c r="CQ708" s="23">
        <v>-0.12</v>
      </c>
      <c r="CR708" s="23">
        <v>-5.13</v>
      </c>
      <c r="CS708" s="23">
        <v>1.76</v>
      </c>
      <c r="CT708" s="24">
        <v>98</v>
      </c>
      <c r="CU708" s="23">
        <v>2.61</v>
      </c>
      <c r="CV708" s="24">
        <v>100</v>
      </c>
      <c r="CW708" s="23">
        <v>3.52</v>
      </c>
      <c r="CX708" s="24">
        <v>92</v>
      </c>
      <c r="CY708" s="23">
        <v>0</v>
      </c>
      <c r="CZ708" s="24">
        <v>25</v>
      </c>
      <c r="DA708" s="23">
        <v>2.61</v>
      </c>
      <c r="DB708" s="24">
        <v>100</v>
      </c>
      <c r="DC708" s="25">
        <v>30.33</v>
      </c>
      <c r="DD708" s="24">
        <v>96</v>
      </c>
      <c r="DE708" s="25">
        <v>-3</v>
      </c>
      <c r="DF708" s="23">
        <v>-9.01</v>
      </c>
      <c r="DG708" s="25">
        <v>47.8</v>
      </c>
      <c r="DH708" s="24">
        <v>98</v>
      </c>
      <c r="DI708" s="25">
        <v>12.85</v>
      </c>
      <c r="DJ708" s="24">
        <v>87</v>
      </c>
      <c r="DK708" s="25">
        <v>95.12</v>
      </c>
      <c r="DL708" s="24">
        <v>98</v>
      </c>
      <c r="DM708" s="25">
        <v>0.48</v>
      </c>
      <c r="DN708" s="24">
        <v>33</v>
      </c>
      <c r="DO708" s="25">
        <v>12.85</v>
      </c>
      <c r="DP708" s="24">
        <v>89</v>
      </c>
      <c r="DQ708" s="24">
        <v>32184</v>
      </c>
      <c r="DR708" s="26">
        <v>1328</v>
      </c>
      <c r="DS708" s="23">
        <v>4.3</v>
      </c>
      <c r="DT708" s="24">
        <v>14</v>
      </c>
      <c r="DU708" s="26">
        <v>-1</v>
      </c>
      <c r="DV708" s="23">
        <v>-6.67</v>
      </c>
      <c r="DW708" s="24">
        <v>4594</v>
      </c>
      <c r="DX708" s="27">
        <v>20</v>
      </c>
      <c r="DY708" s="23">
        <v>0.44</v>
      </c>
      <c r="DZ708" s="15" t="s">
        <v>178</v>
      </c>
      <c r="EA708" s="22">
        <v>43622</v>
      </c>
      <c r="EB708" s="17">
        <v>1.71</v>
      </c>
      <c r="EC708" s="22">
        <v>43179</v>
      </c>
      <c r="ED708" s="15" t="s">
        <v>316</v>
      </c>
      <c r="EE708" s="14" t="str">
        <f>HYPERLINK("https://my.pitchbook.com?c=121708-63", "View company online")</f>
        <v>View company online</v>
      </c>
    </row>
    <row r="709" spans="1:135">
      <c r="A709" s="28" t="s">
        <v>14197</v>
      </c>
      <c r="B709" s="28" t="s">
        <v>14198</v>
      </c>
      <c r="C709" s="28" t="s">
        <v>138</v>
      </c>
      <c r="D709" s="28" t="s">
        <v>138</v>
      </c>
      <c r="E709" s="28" t="s">
        <v>14199</v>
      </c>
      <c r="F709" s="28" t="s">
        <v>14197</v>
      </c>
      <c r="G709" s="28" t="s">
        <v>14200</v>
      </c>
      <c r="H709" s="28" t="s">
        <v>5219</v>
      </c>
      <c r="I709" s="28" t="s">
        <v>6415</v>
      </c>
      <c r="J709" s="28" t="s">
        <v>14201</v>
      </c>
      <c r="K709" s="28" t="s">
        <v>14202</v>
      </c>
      <c r="L709" s="28" t="s">
        <v>14203</v>
      </c>
      <c r="M709" s="28" t="s">
        <v>14204</v>
      </c>
      <c r="N709" s="28" t="s">
        <v>147</v>
      </c>
      <c r="O709" s="29">
        <v>13.1</v>
      </c>
      <c r="P709" s="28" t="s">
        <v>148</v>
      </c>
      <c r="Q709" s="28" t="s">
        <v>149</v>
      </c>
      <c r="R709" s="28" t="s">
        <v>174</v>
      </c>
      <c r="S709" s="28" t="s">
        <v>14205</v>
      </c>
      <c r="T709" s="30">
        <v>20</v>
      </c>
      <c r="U709" s="28" t="s">
        <v>14206</v>
      </c>
      <c r="V709" s="28" t="s">
        <v>138</v>
      </c>
      <c r="W709" s="28" t="s">
        <v>138</v>
      </c>
      <c r="X709" s="31">
        <v>2008</v>
      </c>
      <c r="Y709" s="28" t="s">
        <v>138</v>
      </c>
      <c r="Z709" s="28" t="s">
        <v>138</v>
      </c>
      <c r="AA709" s="28" t="s">
        <v>138</v>
      </c>
      <c r="AB709" s="32" t="s">
        <v>138</v>
      </c>
      <c r="AC709" s="32" t="s">
        <v>138</v>
      </c>
      <c r="AD709" s="32" t="s">
        <v>138</v>
      </c>
      <c r="AE709" s="32" t="s">
        <v>138</v>
      </c>
      <c r="AF709" s="32" t="s">
        <v>138</v>
      </c>
      <c r="AG709" s="28" t="s">
        <v>138</v>
      </c>
      <c r="AH709" s="32" t="s">
        <v>138</v>
      </c>
      <c r="AI709" s="32" t="s">
        <v>138</v>
      </c>
      <c r="AJ709" s="32" t="s">
        <v>138</v>
      </c>
      <c r="AK709" s="28" t="s">
        <v>14207</v>
      </c>
      <c r="AL709" s="28" t="s">
        <v>14208</v>
      </c>
      <c r="AM709" s="28" t="s">
        <v>566</v>
      </c>
      <c r="AN709" s="28" t="s">
        <v>14209</v>
      </c>
      <c r="AO709" s="28" t="s">
        <v>14210</v>
      </c>
      <c r="AP709" s="28" t="s">
        <v>6608</v>
      </c>
      <c r="AQ709" s="28" t="s">
        <v>14211</v>
      </c>
      <c r="AR709" s="28" t="s">
        <v>14212</v>
      </c>
      <c r="AS709" s="28" t="s">
        <v>6611</v>
      </c>
      <c r="AT709" s="28" t="s">
        <v>138</v>
      </c>
      <c r="AU709" s="28" t="s">
        <v>14213</v>
      </c>
      <c r="AV709" s="28" t="s">
        <v>1614</v>
      </c>
      <c r="AW709" s="28" t="s">
        <v>14210</v>
      </c>
      <c r="AX709" s="28" t="s">
        <v>14214</v>
      </c>
      <c r="AY709" s="28" t="s">
        <v>14215</v>
      </c>
      <c r="AZ709" s="28" t="s">
        <v>530</v>
      </c>
      <c r="BA709" s="28" t="s">
        <v>1616</v>
      </c>
      <c r="BB709" s="28" t="s">
        <v>14216</v>
      </c>
      <c r="BC709" s="28" t="s">
        <v>14217</v>
      </c>
      <c r="BD709" s="33">
        <v>7</v>
      </c>
      <c r="BE709" s="28" t="s">
        <v>138</v>
      </c>
      <c r="BF709" s="28" t="s">
        <v>138</v>
      </c>
      <c r="BG709" s="28" t="s">
        <v>138</v>
      </c>
      <c r="BH709" s="28" t="s">
        <v>14218</v>
      </c>
      <c r="BI709" s="28" t="s">
        <v>138</v>
      </c>
      <c r="BJ709" s="28" t="s">
        <v>138</v>
      </c>
      <c r="BK709" s="28" t="s">
        <v>138</v>
      </c>
      <c r="BL709" s="28" t="s">
        <v>138</v>
      </c>
      <c r="BM709" s="34">
        <v>40878</v>
      </c>
      <c r="BN709" s="29" t="s">
        <v>138</v>
      </c>
      <c r="BO709" s="28" t="s">
        <v>138</v>
      </c>
      <c r="BP709" s="29" t="s">
        <v>138</v>
      </c>
      <c r="BQ709" s="28" t="s">
        <v>138</v>
      </c>
      <c r="BR709" s="28" t="s">
        <v>262</v>
      </c>
      <c r="BS709" s="28" t="s">
        <v>262</v>
      </c>
      <c r="BT709" s="28" t="s">
        <v>138</v>
      </c>
      <c r="BU709" s="28" t="s">
        <v>263</v>
      </c>
      <c r="BV709" s="28" t="s">
        <v>138</v>
      </c>
      <c r="BW709" s="28" t="s">
        <v>138</v>
      </c>
      <c r="BX709" s="28" t="s">
        <v>138</v>
      </c>
      <c r="BY709" s="28" t="s">
        <v>175</v>
      </c>
      <c r="BZ709" s="34" t="s">
        <v>138</v>
      </c>
      <c r="CA709" s="29" t="s">
        <v>138</v>
      </c>
      <c r="CB709" s="28" t="s">
        <v>138</v>
      </c>
      <c r="CC709" s="29" t="s">
        <v>138</v>
      </c>
      <c r="CD709" s="28" t="s">
        <v>138</v>
      </c>
      <c r="CE709" s="28" t="s">
        <v>173</v>
      </c>
      <c r="CF709" s="28" t="s">
        <v>138</v>
      </c>
      <c r="CG709" s="28" t="s">
        <v>138</v>
      </c>
      <c r="CH709" s="28" t="s">
        <v>174</v>
      </c>
      <c r="CI709" s="28" t="s">
        <v>138</v>
      </c>
      <c r="CJ709" s="28" t="s">
        <v>138</v>
      </c>
      <c r="CK709" s="28" t="s">
        <v>138</v>
      </c>
      <c r="CL709" s="28" t="s">
        <v>175</v>
      </c>
      <c r="CM709" s="34" t="s">
        <v>138</v>
      </c>
      <c r="CN709" s="29" t="s">
        <v>138</v>
      </c>
      <c r="CO709" s="35">
        <v>0.71</v>
      </c>
      <c r="CP709" s="36">
        <v>96</v>
      </c>
      <c r="CQ709" s="35">
        <v>-0.03</v>
      </c>
      <c r="CR709" s="35">
        <v>-3.77</v>
      </c>
      <c r="CS709" s="35">
        <v>0</v>
      </c>
      <c r="CT709" s="36">
        <v>23</v>
      </c>
      <c r="CU709" s="35">
        <v>1.42</v>
      </c>
      <c r="CV709" s="36">
        <v>99</v>
      </c>
      <c r="CW709" s="35" t="s">
        <v>138</v>
      </c>
      <c r="CX709" s="36" t="s">
        <v>138</v>
      </c>
      <c r="CY709" s="35">
        <v>0</v>
      </c>
      <c r="CZ709" s="36">
        <v>25</v>
      </c>
      <c r="DA709" s="35">
        <v>1.42</v>
      </c>
      <c r="DB709" s="36">
        <v>99</v>
      </c>
      <c r="DC709" s="37">
        <v>0.79</v>
      </c>
      <c r="DD709" s="36">
        <v>45</v>
      </c>
      <c r="DE709" s="37">
        <v>0</v>
      </c>
      <c r="DF709" s="35">
        <v>0.28000000000000003</v>
      </c>
      <c r="DG709" s="37">
        <v>0.79</v>
      </c>
      <c r="DH709" s="36">
        <v>45</v>
      </c>
      <c r="DI709" s="37">
        <v>0.78</v>
      </c>
      <c r="DJ709" s="36">
        <v>44</v>
      </c>
      <c r="DK709" s="37" t="s">
        <v>138</v>
      </c>
      <c r="DL709" s="36" t="s">
        <v>138</v>
      </c>
      <c r="DM709" s="37">
        <v>0.79</v>
      </c>
      <c r="DN709" s="36">
        <v>45</v>
      </c>
      <c r="DO709" s="37">
        <v>0.78</v>
      </c>
      <c r="DP709" s="36">
        <v>46</v>
      </c>
      <c r="DQ709" s="36" t="s">
        <v>138</v>
      </c>
      <c r="DR709" s="38" t="s">
        <v>138</v>
      </c>
      <c r="DS709" s="35" t="s">
        <v>138</v>
      </c>
      <c r="DT709" s="36">
        <v>23</v>
      </c>
      <c r="DU709" s="38">
        <v>0</v>
      </c>
      <c r="DV709" s="35">
        <v>0</v>
      </c>
      <c r="DW709" s="36">
        <v>281</v>
      </c>
      <c r="DX709" s="39">
        <v>1</v>
      </c>
      <c r="DY709" s="35">
        <v>0.36</v>
      </c>
      <c r="DZ709" s="28" t="s">
        <v>178</v>
      </c>
      <c r="EA709" s="34">
        <v>43591</v>
      </c>
      <c r="EB709" s="29" t="s">
        <v>138</v>
      </c>
      <c r="EC709" s="34" t="s">
        <v>138</v>
      </c>
      <c r="ED709" s="28" t="s">
        <v>138</v>
      </c>
      <c r="EE709" s="40" t="str">
        <f>HYPERLINK("https://my.pitchbook.com?c=144643-24", "View company online")</f>
        <v>View company online</v>
      </c>
    </row>
    <row r="710" spans="1:135">
      <c r="A710" s="15" t="s">
        <v>14219</v>
      </c>
      <c r="B710" s="15" t="s">
        <v>14220</v>
      </c>
      <c r="C710" s="15" t="s">
        <v>14221</v>
      </c>
      <c r="D710" s="15" t="s">
        <v>138</v>
      </c>
      <c r="E710" s="15" t="s">
        <v>138</v>
      </c>
      <c r="F710" s="15" t="s">
        <v>14219</v>
      </c>
      <c r="G710" s="15" t="s">
        <v>14222</v>
      </c>
      <c r="H710" s="15" t="s">
        <v>322</v>
      </c>
      <c r="I710" s="15" t="s">
        <v>323</v>
      </c>
      <c r="J710" s="15" t="s">
        <v>954</v>
      </c>
      <c r="K710" s="15" t="s">
        <v>1562</v>
      </c>
      <c r="L710" s="15" t="s">
        <v>242</v>
      </c>
      <c r="M710" s="15" t="s">
        <v>14223</v>
      </c>
      <c r="N710" s="15" t="s">
        <v>147</v>
      </c>
      <c r="O710" s="17">
        <v>7.59</v>
      </c>
      <c r="P710" s="15" t="s">
        <v>148</v>
      </c>
      <c r="Q710" s="15" t="s">
        <v>149</v>
      </c>
      <c r="R710" s="15" t="s">
        <v>174</v>
      </c>
      <c r="S710" s="15" t="s">
        <v>14224</v>
      </c>
      <c r="T710" s="18">
        <v>3</v>
      </c>
      <c r="U710" s="15" t="s">
        <v>14225</v>
      </c>
      <c r="V710" s="15" t="s">
        <v>138</v>
      </c>
      <c r="W710" s="15" t="s">
        <v>138</v>
      </c>
      <c r="X710" s="19">
        <v>2016</v>
      </c>
      <c r="Y710" s="15" t="s">
        <v>138</v>
      </c>
      <c r="Z710" s="15" t="s">
        <v>138</v>
      </c>
      <c r="AA710" s="15" t="s">
        <v>138</v>
      </c>
      <c r="AB710" s="20" t="s">
        <v>138</v>
      </c>
      <c r="AC710" s="20" t="s">
        <v>138</v>
      </c>
      <c r="AD710" s="20" t="s">
        <v>138</v>
      </c>
      <c r="AE710" s="20" t="s">
        <v>138</v>
      </c>
      <c r="AF710" s="20" t="s">
        <v>138</v>
      </c>
      <c r="AG710" s="15" t="s">
        <v>138</v>
      </c>
      <c r="AH710" s="20" t="s">
        <v>138</v>
      </c>
      <c r="AI710" s="20" t="s">
        <v>138</v>
      </c>
      <c r="AJ710" s="20" t="s">
        <v>138</v>
      </c>
      <c r="AK710" s="15" t="s">
        <v>14226</v>
      </c>
      <c r="AL710" s="15" t="s">
        <v>14227</v>
      </c>
      <c r="AM710" s="15" t="s">
        <v>986</v>
      </c>
      <c r="AN710" s="15" t="s">
        <v>14228</v>
      </c>
      <c r="AO710" s="15" t="s">
        <v>138</v>
      </c>
      <c r="AP710" s="15" t="s">
        <v>423</v>
      </c>
      <c r="AQ710" s="15" t="s">
        <v>138</v>
      </c>
      <c r="AR710" s="15" t="s">
        <v>138</v>
      </c>
      <c r="AS710" s="15" t="s">
        <v>426</v>
      </c>
      <c r="AT710" s="15" t="s">
        <v>426</v>
      </c>
      <c r="AU710" s="15" t="s">
        <v>138</v>
      </c>
      <c r="AV710" s="15" t="s">
        <v>162</v>
      </c>
      <c r="AW710" s="15" t="s">
        <v>138</v>
      </c>
      <c r="AX710" s="15" t="s">
        <v>138</v>
      </c>
      <c r="AY710" s="15" t="s">
        <v>14229</v>
      </c>
      <c r="AZ710" s="15" t="s">
        <v>164</v>
      </c>
      <c r="BA710" s="15" t="s">
        <v>165</v>
      </c>
      <c r="BB710" s="15" t="s">
        <v>14230</v>
      </c>
      <c r="BC710" s="15" t="s">
        <v>14231</v>
      </c>
      <c r="BD710" s="21">
        <v>3</v>
      </c>
      <c r="BE710" s="15" t="s">
        <v>138</v>
      </c>
      <c r="BF710" s="15" t="s">
        <v>138</v>
      </c>
      <c r="BG710" s="15" t="s">
        <v>138</v>
      </c>
      <c r="BH710" s="15" t="s">
        <v>14232</v>
      </c>
      <c r="BI710" s="15" t="s">
        <v>138</v>
      </c>
      <c r="BJ710" s="15" t="s">
        <v>138</v>
      </c>
      <c r="BK710" s="15" t="s">
        <v>138</v>
      </c>
      <c r="BL710" s="15" t="s">
        <v>14233</v>
      </c>
      <c r="BM710" s="22">
        <v>42644</v>
      </c>
      <c r="BN710" s="17">
        <v>7</v>
      </c>
      <c r="BO710" s="15" t="s">
        <v>172</v>
      </c>
      <c r="BP710" s="17" t="s">
        <v>138</v>
      </c>
      <c r="BQ710" s="15" t="s">
        <v>138</v>
      </c>
      <c r="BR710" s="15" t="s">
        <v>205</v>
      </c>
      <c r="BS710" s="15" t="s">
        <v>138</v>
      </c>
      <c r="BT710" s="15" t="s">
        <v>138</v>
      </c>
      <c r="BU710" s="15" t="s">
        <v>174</v>
      </c>
      <c r="BV710" s="15" t="s">
        <v>138</v>
      </c>
      <c r="BW710" s="15" t="s">
        <v>138</v>
      </c>
      <c r="BX710" s="15" t="s">
        <v>138</v>
      </c>
      <c r="BY710" s="15" t="s">
        <v>175</v>
      </c>
      <c r="BZ710" s="22">
        <v>42736</v>
      </c>
      <c r="CA710" s="17">
        <v>0.47</v>
      </c>
      <c r="CB710" s="15" t="s">
        <v>172</v>
      </c>
      <c r="CC710" s="17">
        <v>4.17</v>
      </c>
      <c r="CD710" s="15" t="s">
        <v>172</v>
      </c>
      <c r="CE710" s="15" t="s">
        <v>262</v>
      </c>
      <c r="CF710" s="15" t="s">
        <v>262</v>
      </c>
      <c r="CG710" s="15" t="s">
        <v>138</v>
      </c>
      <c r="CH710" s="15" t="s">
        <v>263</v>
      </c>
      <c r="CI710" s="15" t="s">
        <v>138</v>
      </c>
      <c r="CJ710" s="15" t="s">
        <v>138</v>
      </c>
      <c r="CK710" s="15" t="s">
        <v>138</v>
      </c>
      <c r="CL710" s="15" t="s">
        <v>175</v>
      </c>
      <c r="CM710" s="22" t="s">
        <v>138</v>
      </c>
      <c r="CN710" s="17" t="s">
        <v>138</v>
      </c>
      <c r="CO710" s="23">
        <v>0.13</v>
      </c>
      <c r="CP710" s="24">
        <v>91</v>
      </c>
      <c r="CQ710" s="23">
        <v>0.01</v>
      </c>
      <c r="CR710" s="23">
        <v>11.5</v>
      </c>
      <c r="CS710" s="23">
        <v>0</v>
      </c>
      <c r="CT710" s="24">
        <v>23</v>
      </c>
      <c r="CU710" s="23">
        <v>0.27</v>
      </c>
      <c r="CV710" s="24">
        <v>86</v>
      </c>
      <c r="CW710" s="23" t="s">
        <v>138</v>
      </c>
      <c r="CX710" s="24" t="s">
        <v>138</v>
      </c>
      <c r="CY710" s="23">
        <v>0</v>
      </c>
      <c r="CZ710" s="24">
        <v>25</v>
      </c>
      <c r="DA710" s="23">
        <v>0.4</v>
      </c>
      <c r="DB710" s="24">
        <v>92</v>
      </c>
      <c r="DC710" s="25">
        <v>1.1599999999999999</v>
      </c>
      <c r="DD710" s="24">
        <v>55</v>
      </c>
      <c r="DE710" s="25">
        <v>0</v>
      </c>
      <c r="DF710" s="23">
        <v>0.32</v>
      </c>
      <c r="DG710" s="25">
        <v>1.38</v>
      </c>
      <c r="DH710" s="24">
        <v>58</v>
      </c>
      <c r="DI710" s="25">
        <v>0.93</v>
      </c>
      <c r="DJ710" s="24">
        <v>48</v>
      </c>
      <c r="DK710" s="25" t="s">
        <v>138</v>
      </c>
      <c r="DL710" s="24" t="s">
        <v>138</v>
      </c>
      <c r="DM710" s="25">
        <v>1.38</v>
      </c>
      <c r="DN710" s="24">
        <v>58</v>
      </c>
      <c r="DO710" s="25">
        <v>1.27</v>
      </c>
      <c r="DP710" s="24">
        <v>55</v>
      </c>
      <c r="DQ710" s="24" t="s">
        <v>138</v>
      </c>
      <c r="DR710" s="26" t="s">
        <v>138</v>
      </c>
      <c r="DS710" s="23" t="s">
        <v>138</v>
      </c>
      <c r="DT710" s="24">
        <v>40</v>
      </c>
      <c r="DU710" s="26">
        <v>0</v>
      </c>
      <c r="DV710" s="23">
        <v>0</v>
      </c>
      <c r="DW710" s="24">
        <v>451</v>
      </c>
      <c r="DX710" s="27">
        <v>3</v>
      </c>
      <c r="DY710" s="23">
        <v>0.67</v>
      </c>
      <c r="DZ710" s="15" t="s">
        <v>178</v>
      </c>
      <c r="EA710" s="22">
        <v>43375</v>
      </c>
      <c r="EB710" s="17">
        <v>4.17</v>
      </c>
      <c r="EC710" s="22">
        <v>42736</v>
      </c>
      <c r="ED710" s="15" t="s">
        <v>262</v>
      </c>
      <c r="EE710" s="14" t="str">
        <f>HYPERLINK("https://my.pitchbook.com?c=178198-48", "View company online")</f>
        <v>View company online</v>
      </c>
    </row>
    <row r="711" spans="1:135">
      <c r="A711" s="28" t="s">
        <v>14234</v>
      </c>
      <c r="B711" s="28" t="s">
        <v>14235</v>
      </c>
      <c r="C711" s="28" t="s">
        <v>138</v>
      </c>
      <c r="D711" s="28" t="s">
        <v>138</v>
      </c>
      <c r="E711" s="28" t="s">
        <v>14236</v>
      </c>
      <c r="F711" s="28" t="s">
        <v>14234</v>
      </c>
      <c r="G711" s="28" t="s">
        <v>14237</v>
      </c>
      <c r="H711" s="28" t="s">
        <v>141</v>
      </c>
      <c r="I711" s="28" t="s">
        <v>212</v>
      </c>
      <c r="J711" s="28" t="s">
        <v>213</v>
      </c>
      <c r="K711" s="28" t="s">
        <v>14238</v>
      </c>
      <c r="L711" s="28" t="s">
        <v>14239</v>
      </c>
      <c r="M711" s="28" t="s">
        <v>14240</v>
      </c>
      <c r="N711" s="28" t="s">
        <v>147</v>
      </c>
      <c r="O711" s="29">
        <v>51.96</v>
      </c>
      <c r="P711" s="28" t="s">
        <v>148</v>
      </c>
      <c r="Q711" s="28" t="s">
        <v>149</v>
      </c>
      <c r="R711" s="28" t="s">
        <v>244</v>
      </c>
      <c r="S711" s="28" t="s">
        <v>14241</v>
      </c>
      <c r="T711" s="30">
        <v>230</v>
      </c>
      <c r="U711" s="28" t="s">
        <v>14242</v>
      </c>
      <c r="V711" s="28" t="s">
        <v>138</v>
      </c>
      <c r="W711" s="28" t="s">
        <v>138</v>
      </c>
      <c r="X711" s="31">
        <v>2010</v>
      </c>
      <c r="Y711" s="28" t="s">
        <v>138</v>
      </c>
      <c r="Z711" s="28" t="s">
        <v>138</v>
      </c>
      <c r="AA711" s="28" t="s">
        <v>14243</v>
      </c>
      <c r="AB711" s="32" t="s">
        <v>138</v>
      </c>
      <c r="AC711" s="32" t="s">
        <v>138</v>
      </c>
      <c r="AD711" s="32" t="s">
        <v>138</v>
      </c>
      <c r="AE711" s="32" t="s">
        <v>138</v>
      </c>
      <c r="AF711" s="32" t="s">
        <v>138</v>
      </c>
      <c r="AG711" s="28" t="s">
        <v>138</v>
      </c>
      <c r="AH711" s="32" t="s">
        <v>138</v>
      </c>
      <c r="AI711" s="32" t="s">
        <v>138</v>
      </c>
      <c r="AJ711" s="32" t="s">
        <v>138</v>
      </c>
      <c r="AK711" s="28" t="s">
        <v>14244</v>
      </c>
      <c r="AL711" s="28" t="s">
        <v>14245</v>
      </c>
      <c r="AM711" s="28" t="s">
        <v>221</v>
      </c>
      <c r="AN711" s="28" t="s">
        <v>14246</v>
      </c>
      <c r="AO711" s="28" t="s">
        <v>138</v>
      </c>
      <c r="AP711" s="28" t="s">
        <v>423</v>
      </c>
      <c r="AQ711" s="28" t="s">
        <v>14247</v>
      </c>
      <c r="AR711" s="28" t="s">
        <v>14248</v>
      </c>
      <c r="AS711" s="28" t="s">
        <v>426</v>
      </c>
      <c r="AT711" s="28" t="s">
        <v>426</v>
      </c>
      <c r="AU711" s="28" t="s">
        <v>2610</v>
      </c>
      <c r="AV711" s="28" t="s">
        <v>162</v>
      </c>
      <c r="AW711" s="28" t="s">
        <v>138</v>
      </c>
      <c r="AX711" s="28" t="s">
        <v>138</v>
      </c>
      <c r="AY711" s="28" t="s">
        <v>14249</v>
      </c>
      <c r="AZ711" s="28" t="s">
        <v>164</v>
      </c>
      <c r="BA711" s="28" t="s">
        <v>165</v>
      </c>
      <c r="BB711" s="28" t="s">
        <v>14250</v>
      </c>
      <c r="BC711" s="28" t="s">
        <v>14251</v>
      </c>
      <c r="BD711" s="33">
        <v>15</v>
      </c>
      <c r="BE711" s="28" t="s">
        <v>138</v>
      </c>
      <c r="BF711" s="28" t="s">
        <v>138</v>
      </c>
      <c r="BG711" s="28" t="s">
        <v>138</v>
      </c>
      <c r="BH711" s="28" t="s">
        <v>14252</v>
      </c>
      <c r="BI711" s="28" t="s">
        <v>138</v>
      </c>
      <c r="BJ711" s="28" t="s">
        <v>138</v>
      </c>
      <c r="BK711" s="28" t="s">
        <v>14253</v>
      </c>
      <c r="BL711" s="28" t="s">
        <v>14254</v>
      </c>
      <c r="BM711" s="34">
        <v>40478</v>
      </c>
      <c r="BN711" s="29">
        <v>1</v>
      </c>
      <c r="BO711" s="28" t="s">
        <v>172</v>
      </c>
      <c r="BP711" s="29">
        <v>3.23</v>
      </c>
      <c r="BQ711" s="28" t="s">
        <v>172</v>
      </c>
      <c r="BR711" s="28" t="s">
        <v>234</v>
      </c>
      <c r="BS711" s="28" t="s">
        <v>234</v>
      </c>
      <c r="BT711" s="28" t="s">
        <v>138</v>
      </c>
      <c r="BU711" s="28" t="s">
        <v>174</v>
      </c>
      <c r="BV711" s="28" t="s">
        <v>138</v>
      </c>
      <c r="BW711" s="28" t="s">
        <v>138</v>
      </c>
      <c r="BX711" s="28" t="s">
        <v>138</v>
      </c>
      <c r="BY711" s="28" t="s">
        <v>175</v>
      </c>
      <c r="BZ711" s="34" t="s">
        <v>138</v>
      </c>
      <c r="CA711" s="29" t="s">
        <v>138</v>
      </c>
      <c r="CB711" s="28" t="s">
        <v>138</v>
      </c>
      <c r="CC711" s="29" t="s">
        <v>138</v>
      </c>
      <c r="CD711" s="28" t="s">
        <v>138</v>
      </c>
      <c r="CE711" s="28" t="s">
        <v>173</v>
      </c>
      <c r="CF711" s="28" t="s">
        <v>138</v>
      </c>
      <c r="CG711" s="28" t="s">
        <v>138</v>
      </c>
      <c r="CH711" s="28" t="s">
        <v>174</v>
      </c>
      <c r="CI711" s="28" t="s">
        <v>138</v>
      </c>
      <c r="CJ711" s="28" t="s">
        <v>138</v>
      </c>
      <c r="CK711" s="28" t="s">
        <v>138</v>
      </c>
      <c r="CL711" s="28" t="s">
        <v>175</v>
      </c>
      <c r="CM711" s="34">
        <v>41725</v>
      </c>
      <c r="CN711" s="29" t="s">
        <v>138</v>
      </c>
      <c r="CO711" s="35">
        <v>-2.23</v>
      </c>
      <c r="CP711" s="36">
        <v>5</v>
      </c>
      <c r="CQ711" s="35">
        <v>-0.02</v>
      </c>
      <c r="CR711" s="35">
        <v>-0.95</v>
      </c>
      <c r="CS711" s="35">
        <v>-4.54</v>
      </c>
      <c r="CT711" s="36">
        <v>3</v>
      </c>
      <c r="CU711" s="35">
        <v>0.08</v>
      </c>
      <c r="CV711" s="36">
        <v>64</v>
      </c>
      <c r="CW711" s="35">
        <v>-4.5</v>
      </c>
      <c r="CX711" s="36">
        <v>3</v>
      </c>
      <c r="CY711" s="35">
        <v>-4.58</v>
      </c>
      <c r="CZ711" s="36">
        <v>4</v>
      </c>
      <c r="DA711" s="35">
        <v>0.08</v>
      </c>
      <c r="DB711" s="36">
        <v>69</v>
      </c>
      <c r="DC711" s="37">
        <v>11.89</v>
      </c>
      <c r="DD711" s="36">
        <v>91</v>
      </c>
      <c r="DE711" s="37">
        <v>1.98</v>
      </c>
      <c r="DF711" s="35">
        <v>20.02</v>
      </c>
      <c r="DG711" s="37">
        <v>14.6</v>
      </c>
      <c r="DH711" s="36">
        <v>93</v>
      </c>
      <c r="DI711" s="37">
        <v>9.19</v>
      </c>
      <c r="DJ711" s="36">
        <v>84</v>
      </c>
      <c r="DK711" s="37">
        <v>3.27</v>
      </c>
      <c r="DL711" s="36">
        <v>73</v>
      </c>
      <c r="DM711" s="37">
        <v>25.93</v>
      </c>
      <c r="DN711" s="36">
        <v>96</v>
      </c>
      <c r="DO711" s="37">
        <v>9.19</v>
      </c>
      <c r="DP711" s="36">
        <v>86</v>
      </c>
      <c r="DQ711" s="36">
        <v>1151</v>
      </c>
      <c r="DR711" s="38">
        <v>-92</v>
      </c>
      <c r="DS711" s="35">
        <v>-7.4</v>
      </c>
      <c r="DT711" s="36">
        <v>753</v>
      </c>
      <c r="DU711" s="38">
        <v>-2</v>
      </c>
      <c r="DV711" s="35">
        <v>-0.26</v>
      </c>
      <c r="DW711" s="36">
        <v>3289</v>
      </c>
      <c r="DX711" s="39">
        <v>2</v>
      </c>
      <c r="DY711" s="35">
        <v>0.06</v>
      </c>
      <c r="DZ711" s="28" t="s">
        <v>178</v>
      </c>
      <c r="EA711" s="34">
        <v>43622</v>
      </c>
      <c r="EB711" s="29">
        <v>140</v>
      </c>
      <c r="EC711" s="34">
        <v>42656</v>
      </c>
      <c r="ED711" s="28" t="s">
        <v>173</v>
      </c>
      <c r="EE711" s="40" t="str">
        <f>HYPERLINK("https://my.pitchbook.com?c=51751-99", "View company online")</f>
        <v>View company online</v>
      </c>
    </row>
    <row r="712" spans="1:135">
      <c r="A712" s="15" t="s">
        <v>14255</v>
      </c>
      <c r="B712" s="15" t="s">
        <v>14256</v>
      </c>
      <c r="C712" s="15" t="s">
        <v>138</v>
      </c>
      <c r="D712" s="15" t="s">
        <v>138</v>
      </c>
      <c r="E712" s="15" t="s">
        <v>14257</v>
      </c>
      <c r="F712" s="15" t="s">
        <v>14255</v>
      </c>
      <c r="G712" s="15" t="s">
        <v>14258</v>
      </c>
      <c r="H712" s="15" t="s">
        <v>322</v>
      </c>
      <c r="I712" s="15" t="s">
        <v>323</v>
      </c>
      <c r="J712" s="15" t="s">
        <v>539</v>
      </c>
      <c r="K712" s="15" t="s">
        <v>9529</v>
      </c>
      <c r="L712" s="15" t="s">
        <v>14259</v>
      </c>
      <c r="M712" s="15" t="s">
        <v>14260</v>
      </c>
      <c r="N712" s="15" t="s">
        <v>147</v>
      </c>
      <c r="O712" s="17">
        <v>20.09</v>
      </c>
      <c r="P712" s="15" t="s">
        <v>148</v>
      </c>
      <c r="Q712" s="15" t="s">
        <v>149</v>
      </c>
      <c r="R712" s="15" t="s">
        <v>174</v>
      </c>
      <c r="S712" s="15" t="s">
        <v>14261</v>
      </c>
      <c r="T712" s="18">
        <v>30</v>
      </c>
      <c r="U712" s="15" t="s">
        <v>14262</v>
      </c>
      <c r="V712" s="15" t="s">
        <v>138</v>
      </c>
      <c r="W712" s="15" t="s">
        <v>138</v>
      </c>
      <c r="X712" s="19">
        <v>2015</v>
      </c>
      <c r="Y712" s="15" t="s">
        <v>138</v>
      </c>
      <c r="Z712" s="15" t="s">
        <v>138</v>
      </c>
      <c r="AA712" s="15" t="s">
        <v>138</v>
      </c>
      <c r="AB712" s="20" t="s">
        <v>138</v>
      </c>
      <c r="AC712" s="20" t="s">
        <v>138</v>
      </c>
      <c r="AD712" s="20" t="s">
        <v>138</v>
      </c>
      <c r="AE712" s="20" t="s">
        <v>138</v>
      </c>
      <c r="AF712" s="20" t="s">
        <v>138</v>
      </c>
      <c r="AG712" s="15" t="s">
        <v>138</v>
      </c>
      <c r="AH712" s="20" t="s">
        <v>138</v>
      </c>
      <c r="AI712" s="20" t="s">
        <v>138</v>
      </c>
      <c r="AJ712" s="20" t="s">
        <v>138</v>
      </c>
      <c r="AK712" s="15" t="s">
        <v>14263</v>
      </c>
      <c r="AL712" s="15" t="s">
        <v>14264</v>
      </c>
      <c r="AM712" s="15" t="s">
        <v>422</v>
      </c>
      <c r="AN712" s="15" t="s">
        <v>14265</v>
      </c>
      <c r="AO712" s="15" t="s">
        <v>14266</v>
      </c>
      <c r="AP712" s="15" t="s">
        <v>1514</v>
      </c>
      <c r="AQ712" s="15" t="s">
        <v>14267</v>
      </c>
      <c r="AR712" s="15" t="s">
        <v>14268</v>
      </c>
      <c r="AS712" s="15" t="s">
        <v>1516</v>
      </c>
      <c r="AT712" s="15" t="s">
        <v>284</v>
      </c>
      <c r="AU712" s="15" t="s">
        <v>14269</v>
      </c>
      <c r="AV712" s="15" t="s">
        <v>162</v>
      </c>
      <c r="AW712" s="15" t="s">
        <v>14266</v>
      </c>
      <c r="AX712" s="15" t="s">
        <v>138</v>
      </c>
      <c r="AY712" s="15" t="s">
        <v>138</v>
      </c>
      <c r="AZ712" s="15" t="s">
        <v>164</v>
      </c>
      <c r="BA712" s="15" t="s">
        <v>165</v>
      </c>
      <c r="BB712" s="15" t="s">
        <v>14270</v>
      </c>
      <c r="BC712" s="15" t="s">
        <v>14271</v>
      </c>
      <c r="BD712" s="21">
        <v>8</v>
      </c>
      <c r="BE712" s="15" t="s">
        <v>138</v>
      </c>
      <c r="BF712" s="15" t="s">
        <v>138</v>
      </c>
      <c r="BG712" s="15" t="s">
        <v>138</v>
      </c>
      <c r="BH712" s="15" t="s">
        <v>14272</v>
      </c>
      <c r="BI712" s="15" t="s">
        <v>138</v>
      </c>
      <c r="BJ712" s="15" t="s">
        <v>138</v>
      </c>
      <c r="BK712" s="15" t="s">
        <v>14273</v>
      </c>
      <c r="BL712" s="15" t="s">
        <v>2936</v>
      </c>
      <c r="BM712" s="22">
        <v>42352</v>
      </c>
      <c r="BN712" s="17">
        <v>6</v>
      </c>
      <c r="BO712" s="15" t="s">
        <v>172</v>
      </c>
      <c r="BP712" s="17">
        <v>20</v>
      </c>
      <c r="BQ712" s="15" t="s">
        <v>172</v>
      </c>
      <c r="BR712" s="15" t="s">
        <v>234</v>
      </c>
      <c r="BS712" s="15" t="s">
        <v>234</v>
      </c>
      <c r="BT712" s="15" t="s">
        <v>138</v>
      </c>
      <c r="BU712" s="15" t="s">
        <v>174</v>
      </c>
      <c r="BV712" s="15" t="s">
        <v>138</v>
      </c>
      <c r="BW712" s="15" t="s">
        <v>138</v>
      </c>
      <c r="BX712" s="15" t="s">
        <v>138</v>
      </c>
      <c r="BY712" s="15" t="s">
        <v>175</v>
      </c>
      <c r="BZ712" s="22">
        <v>43059</v>
      </c>
      <c r="CA712" s="17">
        <v>14.09</v>
      </c>
      <c r="CB712" s="15" t="s">
        <v>172</v>
      </c>
      <c r="CC712" s="17">
        <v>44.09</v>
      </c>
      <c r="CD712" s="15" t="s">
        <v>172</v>
      </c>
      <c r="CE712" s="15" t="s">
        <v>205</v>
      </c>
      <c r="CF712" s="15" t="s">
        <v>206</v>
      </c>
      <c r="CG712" s="15" t="s">
        <v>138</v>
      </c>
      <c r="CH712" s="15" t="s">
        <v>174</v>
      </c>
      <c r="CI712" s="15" t="s">
        <v>138</v>
      </c>
      <c r="CJ712" s="15" t="s">
        <v>138</v>
      </c>
      <c r="CK712" s="15" t="s">
        <v>138</v>
      </c>
      <c r="CL712" s="15" t="s">
        <v>175</v>
      </c>
      <c r="CM712" s="22" t="s">
        <v>138</v>
      </c>
      <c r="CN712" s="17" t="s">
        <v>138</v>
      </c>
      <c r="CO712" s="23">
        <v>-0.38</v>
      </c>
      <c r="CP712" s="24">
        <v>17</v>
      </c>
      <c r="CQ712" s="23">
        <v>0.02</v>
      </c>
      <c r="CR712" s="23">
        <v>4.25</v>
      </c>
      <c r="CS712" s="23">
        <v>-0.8</v>
      </c>
      <c r="CT712" s="24">
        <v>17</v>
      </c>
      <c r="CU712" s="23">
        <v>0.04</v>
      </c>
      <c r="CV712" s="24">
        <v>56</v>
      </c>
      <c r="CW712" s="23">
        <v>-0.22</v>
      </c>
      <c r="CX712" s="24">
        <v>12</v>
      </c>
      <c r="CY712" s="23">
        <v>-1.38</v>
      </c>
      <c r="CZ712" s="24">
        <v>16</v>
      </c>
      <c r="DA712" s="23">
        <v>0.02</v>
      </c>
      <c r="DB712" s="24">
        <v>58</v>
      </c>
      <c r="DC712" s="25">
        <v>5.36</v>
      </c>
      <c r="DD712" s="24">
        <v>84</v>
      </c>
      <c r="DE712" s="25">
        <v>-0.37</v>
      </c>
      <c r="DF712" s="23">
        <v>-6.44</v>
      </c>
      <c r="DG712" s="25">
        <v>8.26</v>
      </c>
      <c r="DH712" s="24">
        <v>88</v>
      </c>
      <c r="DI712" s="25">
        <v>2.4700000000000002</v>
      </c>
      <c r="DJ712" s="24">
        <v>66</v>
      </c>
      <c r="DK712" s="25">
        <v>11.65</v>
      </c>
      <c r="DL712" s="24">
        <v>88</v>
      </c>
      <c r="DM712" s="25">
        <v>4.8600000000000003</v>
      </c>
      <c r="DN712" s="24">
        <v>81</v>
      </c>
      <c r="DO712" s="25">
        <v>3.17</v>
      </c>
      <c r="DP712" s="24">
        <v>72</v>
      </c>
      <c r="DQ712" s="24">
        <v>4095</v>
      </c>
      <c r="DR712" s="26">
        <v>-298</v>
      </c>
      <c r="DS712" s="23">
        <v>-6.78</v>
      </c>
      <c r="DT712" s="24">
        <v>141</v>
      </c>
      <c r="DU712" s="26">
        <v>1</v>
      </c>
      <c r="DV712" s="23">
        <v>0.71</v>
      </c>
      <c r="DW712" s="24">
        <v>1135</v>
      </c>
      <c r="DX712" s="27">
        <v>2</v>
      </c>
      <c r="DY712" s="23">
        <v>0.18</v>
      </c>
      <c r="DZ712" s="15" t="s">
        <v>178</v>
      </c>
      <c r="EA712" s="22">
        <v>43551</v>
      </c>
      <c r="EB712" s="17">
        <v>44.09</v>
      </c>
      <c r="EC712" s="22">
        <v>43059</v>
      </c>
      <c r="ED712" s="15" t="s">
        <v>205</v>
      </c>
      <c r="EE712" s="14" t="str">
        <f>HYPERLINK("https://my.pitchbook.com?c=149316-31", "View company online")</f>
        <v>View company online</v>
      </c>
    </row>
    <row r="713" spans="1:135">
      <c r="A713" s="28" t="s">
        <v>14274</v>
      </c>
      <c r="B713" s="28" t="s">
        <v>14275</v>
      </c>
      <c r="C713" s="28" t="s">
        <v>138</v>
      </c>
      <c r="D713" s="28" t="s">
        <v>138</v>
      </c>
      <c r="E713" s="28" t="s">
        <v>14276</v>
      </c>
      <c r="F713" s="28" t="s">
        <v>14274</v>
      </c>
      <c r="G713" s="28" t="s">
        <v>14277</v>
      </c>
      <c r="H713" s="28" t="s">
        <v>141</v>
      </c>
      <c r="I713" s="28" t="s">
        <v>212</v>
      </c>
      <c r="J713" s="28" t="s">
        <v>213</v>
      </c>
      <c r="K713" s="28" t="s">
        <v>8619</v>
      </c>
      <c r="L713" s="28" t="s">
        <v>1544</v>
      </c>
      <c r="M713" s="28" t="s">
        <v>14278</v>
      </c>
      <c r="N713" s="28" t="s">
        <v>147</v>
      </c>
      <c r="O713" s="29">
        <v>5.7</v>
      </c>
      <c r="P713" s="28" t="s">
        <v>934</v>
      </c>
      <c r="Q713" s="28" t="s">
        <v>149</v>
      </c>
      <c r="R713" s="28" t="s">
        <v>174</v>
      </c>
      <c r="S713" s="28" t="s">
        <v>14279</v>
      </c>
      <c r="T713" s="30">
        <v>24</v>
      </c>
      <c r="U713" s="28" t="s">
        <v>14280</v>
      </c>
      <c r="V713" s="28" t="s">
        <v>138</v>
      </c>
      <c r="W713" s="28" t="s">
        <v>138</v>
      </c>
      <c r="X713" s="31">
        <v>2012</v>
      </c>
      <c r="Y713" s="28" t="s">
        <v>138</v>
      </c>
      <c r="Z713" s="28" t="s">
        <v>138</v>
      </c>
      <c r="AA713" s="28" t="s">
        <v>138</v>
      </c>
      <c r="AB713" s="32" t="s">
        <v>138</v>
      </c>
      <c r="AC713" s="32" t="s">
        <v>138</v>
      </c>
      <c r="AD713" s="32" t="s">
        <v>138</v>
      </c>
      <c r="AE713" s="32" t="s">
        <v>138</v>
      </c>
      <c r="AF713" s="32" t="s">
        <v>138</v>
      </c>
      <c r="AG713" s="28" t="s">
        <v>138</v>
      </c>
      <c r="AH713" s="32" t="s">
        <v>138</v>
      </c>
      <c r="AI713" s="32" t="s">
        <v>138</v>
      </c>
      <c r="AJ713" s="32" t="s">
        <v>138</v>
      </c>
      <c r="AK713" s="28" t="s">
        <v>14281</v>
      </c>
      <c r="AL713" s="28" t="s">
        <v>14282</v>
      </c>
      <c r="AM713" s="28" t="s">
        <v>2605</v>
      </c>
      <c r="AN713" s="28" t="s">
        <v>14283</v>
      </c>
      <c r="AO713" s="28" t="s">
        <v>138</v>
      </c>
      <c r="AP713" s="28" t="s">
        <v>665</v>
      </c>
      <c r="AQ713" s="28" t="s">
        <v>14284</v>
      </c>
      <c r="AR713" s="28" t="s">
        <v>14285</v>
      </c>
      <c r="AS713" s="28" t="s">
        <v>668</v>
      </c>
      <c r="AT713" s="28" t="s">
        <v>200</v>
      </c>
      <c r="AU713" s="28" t="s">
        <v>3557</v>
      </c>
      <c r="AV713" s="28" t="s">
        <v>162</v>
      </c>
      <c r="AW713" s="28" t="s">
        <v>138</v>
      </c>
      <c r="AX713" s="28" t="s">
        <v>138</v>
      </c>
      <c r="AY713" s="28" t="s">
        <v>14286</v>
      </c>
      <c r="AZ713" s="28" t="s">
        <v>164</v>
      </c>
      <c r="BA713" s="28" t="s">
        <v>165</v>
      </c>
      <c r="BB713" s="28" t="s">
        <v>14287</v>
      </c>
      <c r="BC713" s="28" t="s">
        <v>14288</v>
      </c>
      <c r="BD713" s="33">
        <v>21</v>
      </c>
      <c r="BE713" s="28" t="s">
        <v>138</v>
      </c>
      <c r="BF713" s="28" t="s">
        <v>138</v>
      </c>
      <c r="BG713" s="28" t="s">
        <v>138</v>
      </c>
      <c r="BH713" s="28" t="s">
        <v>14289</v>
      </c>
      <c r="BI713" s="28" t="s">
        <v>138</v>
      </c>
      <c r="BJ713" s="28" t="s">
        <v>138</v>
      </c>
      <c r="BK713" s="28" t="s">
        <v>1038</v>
      </c>
      <c r="BL713" s="28" t="s">
        <v>1038</v>
      </c>
      <c r="BM713" s="34">
        <v>40909</v>
      </c>
      <c r="BN713" s="29" t="s">
        <v>138</v>
      </c>
      <c r="BO713" s="28" t="s">
        <v>138</v>
      </c>
      <c r="BP713" s="29" t="s">
        <v>138</v>
      </c>
      <c r="BQ713" s="28" t="s">
        <v>138</v>
      </c>
      <c r="BR713" s="28" t="s">
        <v>316</v>
      </c>
      <c r="BS713" s="28" t="s">
        <v>138</v>
      </c>
      <c r="BT713" s="28" t="s">
        <v>138</v>
      </c>
      <c r="BU713" s="28" t="s">
        <v>177</v>
      </c>
      <c r="BV713" s="28" t="s">
        <v>138</v>
      </c>
      <c r="BW713" s="28" t="s">
        <v>138</v>
      </c>
      <c r="BX713" s="28" t="s">
        <v>138</v>
      </c>
      <c r="BY713" s="28" t="s">
        <v>175</v>
      </c>
      <c r="BZ713" s="34">
        <v>42918</v>
      </c>
      <c r="CA713" s="29" t="s">
        <v>138</v>
      </c>
      <c r="CB713" s="28" t="s">
        <v>138</v>
      </c>
      <c r="CC713" s="29" t="s">
        <v>138</v>
      </c>
      <c r="CD713" s="28" t="s">
        <v>138</v>
      </c>
      <c r="CE713" s="28" t="s">
        <v>234</v>
      </c>
      <c r="CF713" s="28" t="s">
        <v>234</v>
      </c>
      <c r="CG713" s="28" t="s">
        <v>138</v>
      </c>
      <c r="CH713" s="28" t="s">
        <v>174</v>
      </c>
      <c r="CI713" s="28" t="s">
        <v>138</v>
      </c>
      <c r="CJ713" s="28" t="s">
        <v>138</v>
      </c>
      <c r="CK713" s="28" t="s">
        <v>138</v>
      </c>
      <c r="CL713" s="28" t="s">
        <v>175</v>
      </c>
      <c r="CM713" s="34" t="s">
        <v>138</v>
      </c>
      <c r="CN713" s="29" t="s">
        <v>138</v>
      </c>
      <c r="CO713" s="35">
        <v>0.09</v>
      </c>
      <c r="CP713" s="36">
        <v>90</v>
      </c>
      <c r="CQ713" s="35">
        <v>0.01</v>
      </c>
      <c r="CR713" s="35">
        <v>16.59</v>
      </c>
      <c r="CS713" s="35">
        <v>0.23</v>
      </c>
      <c r="CT713" s="36">
        <v>94</v>
      </c>
      <c r="CU713" s="35">
        <v>-0.05</v>
      </c>
      <c r="CV713" s="36">
        <v>9</v>
      </c>
      <c r="CW713" s="35">
        <v>-0.08</v>
      </c>
      <c r="CX713" s="36">
        <v>13</v>
      </c>
      <c r="CY713" s="35">
        <v>0.55000000000000004</v>
      </c>
      <c r="CZ713" s="36">
        <v>99</v>
      </c>
      <c r="DA713" s="35">
        <v>-0.1</v>
      </c>
      <c r="DB713" s="36">
        <v>6</v>
      </c>
      <c r="DC713" s="37">
        <v>37.869999999999997</v>
      </c>
      <c r="DD713" s="36">
        <v>97</v>
      </c>
      <c r="DE713" s="37">
        <v>-2.46</v>
      </c>
      <c r="DF713" s="35">
        <v>-6.1</v>
      </c>
      <c r="DG713" s="37">
        <v>57.55</v>
      </c>
      <c r="DH713" s="36">
        <v>98</v>
      </c>
      <c r="DI713" s="37">
        <v>18.2</v>
      </c>
      <c r="DJ713" s="36">
        <v>90</v>
      </c>
      <c r="DK713" s="37">
        <v>79.72</v>
      </c>
      <c r="DL713" s="36">
        <v>97</v>
      </c>
      <c r="DM713" s="37">
        <v>35.380000000000003</v>
      </c>
      <c r="DN713" s="36">
        <v>97</v>
      </c>
      <c r="DO713" s="37">
        <v>28.75</v>
      </c>
      <c r="DP713" s="36">
        <v>94</v>
      </c>
      <c r="DQ713" s="36">
        <v>26952</v>
      </c>
      <c r="DR713" s="38">
        <v>1176</v>
      </c>
      <c r="DS713" s="35">
        <v>4.5599999999999996</v>
      </c>
      <c r="DT713" s="36">
        <v>1023</v>
      </c>
      <c r="DU713" s="38">
        <v>16</v>
      </c>
      <c r="DV713" s="35">
        <v>1.59</v>
      </c>
      <c r="DW713" s="36">
        <v>10295</v>
      </c>
      <c r="DX713" s="39">
        <v>-6</v>
      </c>
      <c r="DY713" s="35">
        <v>-0.06</v>
      </c>
      <c r="DZ713" s="28" t="s">
        <v>178</v>
      </c>
      <c r="EA713" s="34">
        <v>43542</v>
      </c>
      <c r="EB713" s="29" t="s">
        <v>138</v>
      </c>
      <c r="EC713" s="34" t="s">
        <v>138</v>
      </c>
      <c r="ED713" s="28" t="s">
        <v>138</v>
      </c>
      <c r="EE713" s="40" t="str">
        <f>HYPERLINK("https://my.pitchbook.com?c=56347-03", "View company online")</f>
        <v>View company online</v>
      </c>
    </row>
    <row r="714" spans="1:135">
      <c r="A714" s="15" t="s">
        <v>14290</v>
      </c>
      <c r="B714" s="15" t="s">
        <v>14291</v>
      </c>
      <c r="C714" s="15" t="s">
        <v>138</v>
      </c>
      <c r="D714" s="15" t="s">
        <v>138</v>
      </c>
      <c r="E714" s="15" t="s">
        <v>138</v>
      </c>
      <c r="F714" s="15" t="s">
        <v>14290</v>
      </c>
      <c r="G714" s="15" t="s">
        <v>14292</v>
      </c>
      <c r="H714" s="15" t="s">
        <v>322</v>
      </c>
      <c r="I714" s="15" t="s">
        <v>807</v>
      </c>
      <c r="J714" s="15" t="s">
        <v>2534</v>
      </c>
      <c r="K714" s="15" t="s">
        <v>14293</v>
      </c>
      <c r="L714" s="15" t="s">
        <v>215</v>
      </c>
      <c r="M714" s="15" t="s">
        <v>14294</v>
      </c>
      <c r="N714" s="15" t="s">
        <v>147</v>
      </c>
      <c r="O714" s="17">
        <v>15</v>
      </c>
      <c r="P714" s="15" t="s">
        <v>148</v>
      </c>
      <c r="Q714" s="15" t="s">
        <v>149</v>
      </c>
      <c r="R714" s="15" t="s">
        <v>174</v>
      </c>
      <c r="S714" s="15" t="s">
        <v>14295</v>
      </c>
      <c r="T714" s="18">
        <v>80</v>
      </c>
      <c r="U714" s="15" t="s">
        <v>14296</v>
      </c>
      <c r="V714" s="15" t="s">
        <v>138</v>
      </c>
      <c r="W714" s="15" t="s">
        <v>138</v>
      </c>
      <c r="X714" s="19">
        <v>2013</v>
      </c>
      <c r="Y714" s="15" t="s">
        <v>138</v>
      </c>
      <c r="Z714" s="15" t="s">
        <v>138</v>
      </c>
      <c r="AA714" s="15" t="s">
        <v>138</v>
      </c>
      <c r="AB714" s="20" t="s">
        <v>138</v>
      </c>
      <c r="AC714" s="20" t="s">
        <v>138</v>
      </c>
      <c r="AD714" s="20" t="s">
        <v>138</v>
      </c>
      <c r="AE714" s="20" t="s">
        <v>138</v>
      </c>
      <c r="AF714" s="20" t="s">
        <v>138</v>
      </c>
      <c r="AG714" s="15" t="s">
        <v>138</v>
      </c>
      <c r="AH714" s="20" t="s">
        <v>138</v>
      </c>
      <c r="AI714" s="20" t="s">
        <v>138</v>
      </c>
      <c r="AJ714" s="20" t="s">
        <v>138</v>
      </c>
      <c r="AK714" s="15" t="s">
        <v>14297</v>
      </c>
      <c r="AL714" s="15" t="s">
        <v>14298</v>
      </c>
      <c r="AM714" s="15" t="s">
        <v>304</v>
      </c>
      <c r="AN714" s="15" t="s">
        <v>14299</v>
      </c>
      <c r="AO714" s="15" t="s">
        <v>138</v>
      </c>
      <c r="AP714" s="15" t="s">
        <v>14300</v>
      </c>
      <c r="AQ714" s="15" t="s">
        <v>14301</v>
      </c>
      <c r="AR714" s="15" t="s">
        <v>138</v>
      </c>
      <c r="AS714" s="15" t="s">
        <v>14302</v>
      </c>
      <c r="AT714" s="15" t="s">
        <v>1146</v>
      </c>
      <c r="AU714" s="15" t="s">
        <v>14303</v>
      </c>
      <c r="AV714" s="15" t="s">
        <v>162</v>
      </c>
      <c r="AW714" s="15" t="s">
        <v>138</v>
      </c>
      <c r="AX714" s="15" t="s">
        <v>138</v>
      </c>
      <c r="AY714" s="15" t="s">
        <v>14304</v>
      </c>
      <c r="AZ714" s="15" t="s">
        <v>164</v>
      </c>
      <c r="BA714" s="15" t="s">
        <v>165</v>
      </c>
      <c r="BB714" s="15" t="s">
        <v>14305</v>
      </c>
      <c r="BC714" s="15" t="s">
        <v>14306</v>
      </c>
      <c r="BD714" s="21">
        <v>4</v>
      </c>
      <c r="BE714" s="15" t="s">
        <v>138</v>
      </c>
      <c r="BF714" s="15" t="s">
        <v>138</v>
      </c>
      <c r="BG714" s="15" t="s">
        <v>138</v>
      </c>
      <c r="BH714" s="15" t="s">
        <v>14307</v>
      </c>
      <c r="BI714" s="15" t="s">
        <v>138</v>
      </c>
      <c r="BJ714" s="15" t="s">
        <v>138</v>
      </c>
      <c r="BK714" s="15" t="s">
        <v>138</v>
      </c>
      <c r="BL714" s="15" t="s">
        <v>14308</v>
      </c>
      <c r="BM714" s="22" t="s">
        <v>138</v>
      </c>
      <c r="BN714" s="17" t="s">
        <v>138</v>
      </c>
      <c r="BO714" s="15" t="s">
        <v>138</v>
      </c>
      <c r="BP714" s="17" t="s">
        <v>138</v>
      </c>
      <c r="BQ714" s="15" t="s">
        <v>138</v>
      </c>
      <c r="BR714" s="15" t="s">
        <v>316</v>
      </c>
      <c r="BS714" s="15" t="s">
        <v>138</v>
      </c>
      <c r="BT714" s="15" t="s">
        <v>138</v>
      </c>
      <c r="BU714" s="15" t="s">
        <v>177</v>
      </c>
      <c r="BV714" s="15" t="s">
        <v>138</v>
      </c>
      <c r="BW714" s="15" t="s">
        <v>138</v>
      </c>
      <c r="BX714" s="15" t="s">
        <v>138</v>
      </c>
      <c r="BY714" s="15" t="s">
        <v>175</v>
      </c>
      <c r="BZ714" s="22">
        <v>43556</v>
      </c>
      <c r="CA714" s="17">
        <v>15</v>
      </c>
      <c r="CB714" s="15" t="s">
        <v>172</v>
      </c>
      <c r="CC714" s="17" t="s">
        <v>138</v>
      </c>
      <c r="CD714" s="15" t="s">
        <v>138</v>
      </c>
      <c r="CE714" s="15" t="s">
        <v>173</v>
      </c>
      <c r="CF714" s="15" t="s">
        <v>138</v>
      </c>
      <c r="CG714" s="15" t="s">
        <v>138</v>
      </c>
      <c r="CH714" s="15" t="s">
        <v>174</v>
      </c>
      <c r="CI714" s="15" t="s">
        <v>138</v>
      </c>
      <c r="CJ714" s="15" t="s">
        <v>138</v>
      </c>
      <c r="CK714" s="15" t="s">
        <v>138</v>
      </c>
      <c r="CL714" s="15" t="s">
        <v>175</v>
      </c>
      <c r="CM714" s="22" t="s">
        <v>138</v>
      </c>
      <c r="CN714" s="17" t="s">
        <v>138</v>
      </c>
      <c r="CO714" s="23">
        <v>3.44</v>
      </c>
      <c r="CP714" s="24">
        <v>100</v>
      </c>
      <c r="CQ714" s="23">
        <v>3.04</v>
      </c>
      <c r="CR714" s="23">
        <v>777.68</v>
      </c>
      <c r="CS714" s="23">
        <v>6.34</v>
      </c>
      <c r="CT714" s="24">
        <v>100</v>
      </c>
      <c r="CU714" s="23">
        <v>0.53</v>
      </c>
      <c r="CV714" s="24">
        <v>94</v>
      </c>
      <c r="CW714" s="23" t="s">
        <v>138</v>
      </c>
      <c r="CX714" s="24" t="s">
        <v>138</v>
      </c>
      <c r="CY714" s="23">
        <v>6.34</v>
      </c>
      <c r="CZ714" s="24">
        <v>100</v>
      </c>
      <c r="DA714" s="23">
        <v>0.53</v>
      </c>
      <c r="DB714" s="24">
        <v>94</v>
      </c>
      <c r="DC714" s="25">
        <v>4.2300000000000004</v>
      </c>
      <c r="DD714" s="24">
        <v>80</v>
      </c>
      <c r="DE714" s="25">
        <v>1.1100000000000001</v>
      </c>
      <c r="DF714" s="23">
        <v>35.659999999999997</v>
      </c>
      <c r="DG714" s="25">
        <v>6.17</v>
      </c>
      <c r="DH714" s="24">
        <v>85</v>
      </c>
      <c r="DI714" s="25">
        <v>2.29</v>
      </c>
      <c r="DJ714" s="24">
        <v>65</v>
      </c>
      <c r="DK714" s="25" t="s">
        <v>138</v>
      </c>
      <c r="DL714" s="24" t="s">
        <v>138</v>
      </c>
      <c r="DM714" s="25">
        <v>6.17</v>
      </c>
      <c r="DN714" s="24">
        <v>84</v>
      </c>
      <c r="DO714" s="25">
        <v>2.29</v>
      </c>
      <c r="DP714" s="24">
        <v>66</v>
      </c>
      <c r="DQ714" s="24" t="s">
        <v>138</v>
      </c>
      <c r="DR714" s="26" t="s">
        <v>138</v>
      </c>
      <c r="DS714" s="23" t="s">
        <v>138</v>
      </c>
      <c r="DT714" s="24">
        <v>152</v>
      </c>
      <c r="DU714" s="26">
        <v>70</v>
      </c>
      <c r="DV714" s="23">
        <v>85.37</v>
      </c>
      <c r="DW714" s="24">
        <v>819</v>
      </c>
      <c r="DX714" s="27">
        <v>9</v>
      </c>
      <c r="DY714" s="23">
        <v>1.1100000000000001</v>
      </c>
      <c r="DZ714" s="15" t="s">
        <v>178</v>
      </c>
      <c r="EA714" s="22">
        <v>43579</v>
      </c>
      <c r="EB714" s="17" t="s">
        <v>138</v>
      </c>
      <c r="EC714" s="22" t="s">
        <v>138</v>
      </c>
      <c r="ED714" s="15" t="s">
        <v>138</v>
      </c>
      <c r="EE714" s="14" t="str">
        <f>HYPERLINK("https://my.pitchbook.com?c=88798-78", "View company online")</f>
        <v>View company online</v>
      </c>
    </row>
    <row r="715" spans="1:135">
      <c r="A715" s="28" t="s">
        <v>14309</v>
      </c>
      <c r="B715" s="28" t="s">
        <v>14310</v>
      </c>
      <c r="C715" s="28" t="s">
        <v>138</v>
      </c>
      <c r="D715" s="28" t="s">
        <v>138</v>
      </c>
      <c r="E715" s="28" t="s">
        <v>14311</v>
      </c>
      <c r="F715" s="28" t="s">
        <v>14309</v>
      </c>
      <c r="G715" s="28" t="s">
        <v>14312</v>
      </c>
      <c r="H715" s="28" t="s">
        <v>322</v>
      </c>
      <c r="I715" s="28" t="s">
        <v>807</v>
      </c>
      <c r="J715" s="28" t="s">
        <v>2534</v>
      </c>
      <c r="K715" s="28" t="s">
        <v>14313</v>
      </c>
      <c r="L715" s="28" t="s">
        <v>415</v>
      </c>
      <c r="M715" s="28" t="s">
        <v>14314</v>
      </c>
      <c r="N715" s="28" t="s">
        <v>147</v>
      </c>
      <c r="O715" s="29">
        <v>237.56</v>
      </c>
      <c r="P715" s="28" t="s">
        <v>610</v>
      </c>
      <c r="Q715" s="28" t="s">
        <v>149</v>
      </c>
      <c r="R715" s="28" t="s">
        <v>244</v>
      </c>
      <c r="S715" s="28" t="s">
        <v>14315</v>
      </c>
      <c r="T715" s="30">
        <v>220</v>
      </c>
      <c r="U715" s="28" t="s">
        <v>14316</v>
      </c>
      <c r="V715" s="28" t="s">
        <v>138</v>
      </c>
      <c r="W715" s="28" t="s">
        <v>138</v>
      </c>
      <c r="X715" s="31">
        <v>2002</v>
      </c>
      <c r="Y715" s="28" t="s">
        <v>138</v>
      </c>
      <c r="Z715" s="28" t="s">
        <v>138</v>
      </c>
      <c r="AA715" s="28" t="s">
        <v>138</v>
      </c>
      <c r="AB715" s="32">
        <v>30.88</v>
      </c>
      <c r="AC715" s="32" t="s">
        <v>138</v>
      </c>
      <c r="AD715" s="32" t="s">
        <v>138</v>
      </c>
      <c r="AE715" s="32" t="s">
        <v>138</v>
      </c>
      <c r="AF715" s="32" t="s">
        <v>138</v>
      </c>
      <c r="AG715" s="28" t="s">
        <v>2214</v>
      </c>
      <c r="AH715" s="32" t="s">
        <v>138</v>
      </c>
      <c r="AI715" s="32" t="s">
        <v>138</v>
      </c>
      <c r="AJ715" s="32" t="s">
        <v>138</v>
      </c>
      <c r="AK715" s="28" t="s">
        <v>14317</v>
      </c>
      <c r="AL715" s="28" t="s">
        <v>14318</v>
      </c>
      <c r="AM715" s="28" t="s">
        <v>14319</v>
      </c>
      <c r="AN715" s="28" t="s">
        <v>14320</v>
      </c>
      <c r="AO715" s="28" t="s">
        <v>14321</v>
      </c>
      <c r="AP715" s="28" t="s">
        <v>639</v>
      </c>
      <c r="AQ715" s="28" t="s">
        <v>14322</v>
      </c>
      <c r="AR715" s="28" t="s">
        <v>337</v>
      </c>
      <c r="AS715" s="28" t="s">
        <v>642</v>
      </c>
      <c r="AT715" s="28" t="s">
        <v>474</v>
      </c>
      <c r="AU715" s="28" t="s">
        <v>14323</v>
      </c>
      <c r="AV715" s="28" t="s">
        <v>162</v>
      </c>
      <c r="AW715" s="28" t="s">
        <v>14321</v>
      </c>
      <c r="AX715" s="28" t="s">
        <v>14324</v>
      </c>
      <c r="AY715" s="28" t="s">
        <v>138</v>
      </c>
      <c r="AZ715" s="28" t="s">
        <v>164</v>
      </c>
      <c r="BA715" s="28" t="s">
        <v>165</v>
      </c>
      <c r="BB715" s="28" t="s">
        <v>14325</v>
      </c>
      <c r="BC715" s="28" t="s">
        <v>14326</v>
      </c>
      <c r="BD715" s="33">
        <v>11</v>
      </c>
      <c r="BE715" s="28" t="s">
        <v>138</v>
      </c>
      <c r="BF715" s="28" t="s">
        <v>138</v>
      </c>
      <c r="BG715" s="28" t="s">
        <v>138</v>
      </c>
      <c r="BH715" s="28" t="s">
        <v>14327</v>
      </c>
      <c r="BI715" s="28" t="s">
        <v>138</v>
      </c>
      <c r="BJ715" s="28" t="s">
        <v>138</v>
      </c>
      <c r="BK715" s="28" t="s">
        <v>14328</v>
      </c>
      <c r="BL715" s="28" t="s">
        <v>14329</v>
      </c>
      <c r="BM715" s="34">
        <v>37926</v>
      </c>
      <c r="BN715" s="29">
        <v>6</v>
      </c>
      <c r="BO715" s="28" t="s">
        <v>172</v>
      </c>
      <c r="BP715" s="29">
        <v>16.97</v>
      </c>
      <c r="BQ715" s="28" t="s">
        <v>172</v>
      </c>
      <c r="BR715" s="28" t="s">
        <v>205</v>
      </c>
      <c r="BS715" s="28" t="s">
        <v>206</v>
      </c>
      <c r="BT715" s="28" t="s">
        <v>138</v>
      </c>
      <c r="BU715" s="28" t="s">
        <v>174</v>
      </c>
      <c r="BV715" s="28" t="s">
        <v>138</v>
      </c>
      <c r="BW715" s="28" t="s">
        <v>138</v>
      </c>
      <c r="BX715" s="28" t="s">
        <v>138</v>
      </c>
      <c r="BY715" s="28" t="s">
        <v>175</v>
      </c>
      <c r="BZ715" s="34">
        <v>42969</v>
      </c>
      <c r="CA715" s="29">
        <v>67.180000000000007</v>
      </c>
      <c r="CB715" s="28" t="s">
        <v>172</v>
      </c>
      <c r="CC715" s="29">
        <v>217.18</v>
      </c>
      <c r="CD715" s="28" t="s">
        <v>1178</v>
      </c>
      <c r="CE715" s="28" t="s">
        <v>173</v>
      </c>
      <c r="CF715" s="28" t="s">
        <v>317</v>
      </c>
      <c r="CG715" s="28" t="s">
        <v>138</v>
      </c>
      <c r="CH715" s="28" t="s">
        <v>174</v>
      </c>
      <c r="CI715" s="28" t="s">
        <v>138</v>
      </c>
      <c r="CJ715" s="28" t="s">
        <v>138</v>
      </c>
      <c r="CK715" s="28" t="s">
        <v>138</v>
      </c>
      <c r="CL715" s="28" t="s">
        <v>175</v>
      </c>
      <c r="CM715" s="34">
        <v>41572</v>
      </c>
      <c r="CN715" s="29" t="s">
        <v>138</v>
      </c>
      <c r="CO715" s="35">
        <v>1.04</v>
      </c>
      <c r="CP715" s="36">
        <v>97</v>
      </c>
      <c r="CQ715" s="35">
        <v>0.02</v>
      </c>
      <c r="CR715" s="35">
        <v>1.48</v>
      </c>
      <c r="CS715" s="35">
        <v>1.9</v>
      </c>
      <c r="CT715" s="36">
        <v>98</v>
      </c>
      <c r="CU715" s="35">
        <v>0.18</v>
      </c>
      <c r="CV715" s="36">
        <v>78</v>
      </c>
      <c r="CW715" s="35">
        <v>4.5</v>
      </c>
      <c r="CX715" s="36">
        <v>95</v>
      </c>
      <c r="CY715" s="35">
        <v>-0.71</v>
      </c>
      <c r="CZ715" s="36">
        <v>21</v>
      </c>
      <c r="DA715" s="35">
        <v>0.12</v>
      </c>
      <c r="DB715" s="36">
        <v>75</v>
      </c>
      <c r="DC715" s="37">
        <v>9.6999999999999993</v>
      </c>
      <c r="DD715" s="36">
        <v>90</v>
      </c>
      <c r="DE715" s="37">
        <v>-0.17</v>
      </c>
      <c r="DF715" s="35">
        <v>-1.7</v>
      </c>
      <c r="DG715" s="37">
        <v>12.23</v>
      </c>
      <c r="DH715" s="36">
        <v>91</v>
      </c>
      <c r="DI715" s="37">
        <v>7.16</v>
      </c>
      <c r="DJ715" s="36">
        <v>82</v>
      </c>
      <c r="DK715" s="37">
        <v>5.92</v>
      </c>
      <c r="DL715" s="36">
        <v>81</v>
      </c>
      <c r="DM715" s="37">
        <v>18.55</v>
      </c>
      <c r="DN715" s="36">
        <v>94</v>
      </c>
      <c r="DO715" s="37">
        <v>13.41</v>
      </c>
      <c r="DP715" s="36">
        <v>90</v>
      </c>
      <c r="DQ715" s="36">
        <v>1990</v>
      </c>
      <c r="DR715" s="38">
        <v>115</v>
      </c>
      <c r="DS715" s="35">
        <v>6.13</v>
      </c>
      <c r="DT715" s="36">
        <v>538</v>
      </c>
      <c r="DU715" s="38">
        <v>2</v>
      </c>
      <c r="DV715" s="35">
        <v>0.37</v>
      </c>
      <c r="DW715" s="36">
        <v>4798</v>
      </c>
      <c r="DX715" s="39">
        <v>6</v>
      </c>
      <c r="DY715" s="35">
        <v>0.13</v>
      </c>
      <c r="DZ715" s="28" t="s">
        <v>178</v>
      </c>
      <c r="EA715" s="34">
        <v>43622</v>
      </c>
      <c r="EB715" s="29">
        <v>217.18</v>
      </c>
      <c r="EC715" s="34">
        <v>42969</v>
      </c>
      <c r="ED715" s="28" t="s">
        <v>173</v>
      </c>
      <c r="EE715" s="40" t="str">
        <f>HYPERLINK("https://my.pitchbook.com?c=52933-87", "View company online")</f>
        <v>View company online</v>
      </c>
    </row>
    <row r="716" spans="1:135">
      <c r="A716" s="15" t="s">
        <v>14330</v>
      </c>
      <c r="B716" s="15" t="s">
        <v>14331</v>
      </c>
      <c r="C716" s="15" t="s">
        <v>138</v>
      </c>
      <c r="D716" s="15" t="s">
        <v>138</v>
      </c>
      <c r="E716" s="15" t="s">
        <v>14332</v>
      </c>
      <c r="F716" s="15" t="s">
        <v>14330</v>
      </c>
      <c r="G716" s="15" t="s">
        <v>14333</v>
      </c>
      <c r="H716" s="15" t="s">
        <v>5219</v>
      </c>
      <c r="I716" s="15" t="s">
        <v>5220</v>
      </c>
      <c r="J716" s="15" t="s">
        <v>14334</v>
      </c>
      <c r="K716" s="15" t="s">
        <v>14335</v>
      </c>
      <c r="L716" s="15" t="s">
        <v>14336</v>
      </c>
      <c r="M716" s="15" t="s">
        <v>14337</v>
      </c>
      <c r="N716" s="15" t="s">
        <v>147</v>
      </c>
      <c r="O716" s="17">
        <v>86.75</v>
      </c>
      <c r="P716" s="15" t="s">
        <v>148</v>
      </c>
      <c r="Q716" s="15" t="s">
        <v>149</v>
      </c>
      <c r="R716" s="15" t="s">
        <v>174</v>
      </c>
      <c r="S716" s="15" t="s">
        <v>14338</v>
      </c>
      <c r="T716" s="18">
        <v>33</v>
      </c>
      <c r="U716" s="15" t="s">
        <v>14339</v>
      </c>
      <c r="V716" s="15" t="s">
        <v>138</v>
      </c>
      <c r="W716" s="15" t="s">
        <v>138</v>
      </c>
      <c r="X716" s="19">
        <v>2010</v>
      </c>
      <c r="Y716" s="15" t="s">
        <v>138</v>
      </c>
      <c r="Z716" s="15" t="s">
        <v>138</v>
      </c>
      <c r="AA716" s="15" t="s">
        <v>138</v>
      </c>
      <c r="AB716" s="20" t="s">
        <v>138</v>
      </c>
      <c r="AC716" s="20" t="s">
        <v>138</v>
      </c>
      <c r="AD716" s="20" t="s">
        <v>138</v>
      </c>
      <c r="AE716" s="20" t="s">
        <v>138</v>
      </c>
      <c r="AF716" s="20" t="s">
        <v>138</v>
      </c>
      <c r="AG716" s="15" t="s">
        <v>138</v>
      </c>
      <c r="AH716" s="20" t="s">
        <v>138</v>
      </c>
      <c r="AI716" s="20" t="s">
        <v>138</v>
      </c>
      <c r="AJ716" s="20" t="s">
        <v>138</v>
      </c>
      <c r="AK716" s="15" t="s">
        <v>14340</v>
      </c>
      <c r="AL716" s="15" t="s">
        <v>14341</v>
      </c>
      <c r="AM716" s="15" t="s">
        <v>221</v>
      </c>
      <c r="AN716" s="15" t="s">
        <v>14342</v>
      </c>
      <c r="AO716" s="15" t="s">
        <v>14343</v>
      </c>
      <c r="AP716" s="15" t="s">
        <v>2842</v>
      </c>
      <c r="AQ716" s="15" t="s">
        <v>14344</v>
      </c>
      <c r="AR716" s="15" t="s">
        <v>4422</v>
      </c>
      <c r="AS716" s="15" t="s">
        <v>2845</v>
      </c>
      <c r="AT716" s="15" t="s">
        <v>200</v>
      </c>
      <c r="AU716" s="15" t="s">
        <v>10437</v>
      </c>
      <c r="AV716" s="15" t="s">
        <v>162</v>
      </c>
      <c r="AW716" s="15" t="s">
        <v>14343</v>
      </c>
      <c r="AX716" s="15" t="s">
        <v>138</v>
      </c>
      <c r="AY716" s="15" t="s">
        <v>14345</v>
      </c>
      <c r="AZ716" s="15" t="s">
        <v>164</v>
      </c>
      <c r="BA716" s="15" t="s">
        <v>165</v>
      </c>
      <c r="BB716" s="15" t="s">
        <v>14346</v>
      </c>
      <c r="BC716" s="15" t="s">
        <v>14347</v>
      </c>
      <c r="BD716" s="21">
        <v>13</v>
      </c>
      <c r="BE716" s="15" t="s">
        <v>138</v>
      </c>
      <c r="BF716" s="15" t="s">
        <v>138</v>
      </c>
      <c r="BG716" s="15" t="s">
        <v>138</v>
      </c>
      <c r="BH716" s="15" t="s">
        <v>14348</v>
      </c>
      <c r="BI716" s="15" t="s">
        <v>138</v>
      </c>
      <c r="BJ716" s="15" t="s">
        <v>138</v>
      </c>
      <c r="BK716" s="15" t="s">
        <v>138</v>
      </c>
      <c r="BL716" s="15" t="s">
        <v>2828</v>
      </c>
      <c r="BM716" s="22">
        <v>40817</v>
      </c>
      <c r="BN716" s="17">
        <v>0.1</v>
      </c>
      <c r="BO716" s="15" t="s">
        <v>172</v>
      </c>
      <c r="BP716" s="17" t="s">
        <v>138</v>
      </c>
      <c r="BQ716" s="15" t="s">
        <v>138</v>
      </c>
      <c r="BR716" s="15" t="s">
        <v>176</v>
      </c>
      <c r="BS716" s="15" t="s">
        <v>138</v>
      </c>
      <c r="BT716" s="15" t="s">
        <v>138</v>
      </c>
      <c r="BU716" s="15" t="s">
        <v>177</v>
      </c>
      <c r="BV716" s="15" t="s">
        <v>138</v>
      </c>
      <c r="BW716" s="15" t="s">
        <v>138</v>
      </c>
      <c r="BX716" s="15" t="s">
        <v>138</v>
      </c>
      <c r="BY716" s="15" t="s">
        <v>175</v>
      </c>
      <c r="BZ716" s="22">
        <v>43369</v>
      </c>
      <c r="CA716" s="17">
        <v>70</v>
      </c>
      <c r="CB716" s="15" t="s">
        <v>172</v>
      </c>
      <c r="CC716" s="17">
        <v>200</v>
      </c>
      <c r="CD716" s="15" t="s">
        <v>172</v>
      </c>
      <c r="CE716" s="15" t="s">
        <v>173</v>
      </c>
      <c r="CF716" s="15" t="s">
        <v>720</v>
      </c>
      <c r="CG716" s="15" t="s">
        <v>138</v>
      </c>
      <c r="CH716" s="15" t="s">
        <v>174</v>
      </c>
      <c r="CI716" s="15" t="s">
        <v>138</v>
      </c>
      <c r="CJ716" s="15" t="s">
        <v>138</v>
      </c>
      <c r="CK716" s="15" t="s">
        <v>138</v>
      </c>
      <c r="CL716" s="15" t="s">
        <v>175</v>
      </c>
      <c r="CM716" s="22" t="s">
        <v>138</v>
      </c>
      <c r="CN716" s="17" t="s">
        <v>138</v>
      </c>
      <c r="CO716" s="23">
        <v>5.97</v>
      </c>
      <c r="CP716" s="24">
        <v>100</v>
      </c>
      <c r="CQ716" s="23">
        <v>-0.28000000000000003</v>
      </c>
      <c r="CR716" s="23">
        <v>-4.55</v>
      </c>
      <c r="CS716" s="23">
        <v>9.6199999999999992</v>
      </c>
      <c r="CT716" s="24">
        <v>100</v>
      </c>
      <c r="CU716" s="23">
        <v>2.3199999999999998</v>
      </c>
      <c r="CV716" s="24">
        <v>100</v>
      </c>
      <c r="CW716" s="23">
        <v>15.66</v>
      </c>
      <c r="CX716" s="24">
        <v>100</v>
      </c>
      <c r="CY716" s="23">
        <v>3.59</v>
      </c>
      <c r="CZ716" s="24">
        <v>100</v>
      </c>
      <c r="DA716" s="23">
        <v>2.3199999999999998</v>
      </c>
      <c r="DB716" s="24">
        <v>100</v>
      </c>
      <c r="DC716" s="25">
        <v>8.74</v>
      </c>
      <c r="DD716" s="24">
        <v>89</v>
      </c>
      <c r="DE716" s="25">
        <v>-0.41</v>
      </c>
      <c r="DF716" s="23">
        <v>-4.5</v>
      </c>
      <c r="DG716" s="25">
        <v>12.6</v>
      </c>
      <c r="DH716" s="24">
        <v>92</v>
      </c>
      <c r="DI716" s="25">
        <v>4.88</v>
      </c>
      <c r="DJ716" s="24">
        <v>77</v>
      </c>
      <c r="DK716" s="25">
        <v>14.38</v>
      </c>
      <c r="DL716" s="24">
        <v>90</v>
      </c>
      <c r="DM716" s="25">
        <v>10.83</v>
      </c>
      <c r="DN716" s="24">
        <v>89</v>
      </c>
      <c r="DO716" s="25">
        <v>4.88</v>
      </c>
      <c r="DP716" s="24">
        <v>79</v>
      </c>
      <c r="DQ716" s="24">
        <v>4700</v>
      </c>
      <c r="DR716" s="26">
        <v>692</v>
      </c>
      <c r="DS716" s="23">
        <v>17.27</v>
      </c>
      <c r="DT716" s="24">
        <v>313</v>
      </c>
      <c r="DU716" s="26">
        <v>4</v>
      </c>
      <c r="DV716" s="23">
        <v>1.29</v>
      </c>
      <c r="DW716" s="24">
        <v>1739</v>
      </c>
      <c r="DX716" s="27">
        <v>18</v>
      </c>
      <c r="DY716" s="23">
        <v>1.05</v>
      </c>
      <c r="DZ716" s="15" t="s">
        <v>178</v>
      </c>
      <c r="EA716" s="22">
        <v>43433</v>
      </c>
      <c r="EB716" s="17">
        <v>200</v>
      </c>
      <c r="EC716" s="22">
        <v>43369</v>
      </c>
      <c r="ED716" s="15" t="s">
        <v>173</v>
      </c>
      <c r="EE716" s="14" t="str">
        <f>HYPERLINK("https://my.pitchbook.com?c=106802-02", "View company online")</f>
        <v>View company online</v>
      </c>
    </row>
    <row r="717" spans="1:135">
      <c r="A717" s="28" t="s">
        <v>14349</v>
      </c>
      <c r="B717" s="28" t="s">
        <v>14350</v>
      </c>
      <c r="C717" s="28" t="s">
        <v>138</v>
      </c>
      <c r="D717" s="28" t="s">
        <v>138</v>
      </c>
      <c r="E717" s="28" t="s">
        <v>138</v>
      </c>
      <c r="F717" s="28" t="s">
        <v>14349</v>
      </c>
      <c r="G717" s="28" t="s">
        <v>14351</v>
      </c>
      <c r="H717" s="28" t="s">
        <v>238</v>
      </c>
      <c r="I717" s="28" t="s">
        <v>269</v>
      </c>
      <c r="J717" s="28" t="s">
        <v>296</v>
      </c>
      <c r="K717" s="28" t="s">
        <v>10865</v>
      </c>
      <c r="L717" s="28" t="s">
        <v>7760</v>
      </c>
      <c r="M717" s="28" t="s">
        <v>14352</v>
      </c>
      <c r="N717" s="28" t="s">
        <v>147</v>
      </c>
      <c r="O717" s="29">
        <v>1.81</v>
      </c>
      <c r="P717" s="28" t="s">
        <v>148</v>
      </c>
      <c r="Q717" s="28" t="s">
        <v>149</v>
      </c>
      <c r="R717" s="28" t="s">
        <v>174</v>
      </c>
      <c r="S717" s="28" t="s">
        <v>14353</v>
      </c>
      <c r="T717" s="30" t="s">
        <v>138</v>
      </c>
      <c r="U717" s="28" t="s">
        <v>138</v>
      </c>
      <c r="V717" s="28" t="s">
        <v>138</v>
      </c>
      <c r="W717" s="28" t="s">
        <v>138</v>
      </c>
      <c r="X717" s="31">
        <v>2013</v>
      </c>
      <c r="Y717" s="28" t="s">
        <v>138</v>
      </c>
      <c r="Z717" s="28" t="s">
        <v>138</v>
      </c>
      <c r="AA717" s="28" t="s">
        <v>1163</v>
      </c>
      <c r="AB717" s="32" t="s">
        <v>138</v>
      </c>
      <c r="AC717" s="32" t="s">
        <v>138</v>
      </c>
      <c r="AD717" s="32" t="s">
        <v>138</v>
      </c>
      <c r="AE717" s="32" t="s">
        <v>138</v>
      </c>
      <c r="AF717" s="32" t="s">
        <v>138</v>
      </c>
      <c r="AG717" s="28" t="s">
        <v>138</v>
      </c>
      <c r="AH717" s="32" t="s">
        <v>138</v>
      </c>
      <c r="AI717" s="32" t="s">
        <v>138</v>
      </c>
      <c r="AJ717" s="32" t="s">
        <v>138</v>
      </c>
      <c r="AK717" s="28" t="s">
        <v>14354</v>
      </c>
      <c r="AL717" s="28" t="s">
        <v>14355</v>
      </c>
      <c r="AM717" s="28" t="s">
        <v>304</v>
      </c>
      <c r="AN717" s="28" t="s">
        <v>14356</v>
      </c>
      <c r="AO717" s="28" t="s">
        <v>14357</v>
      </c>
      <c r="AP717" s="28" t="s">
        <v>3905</v>
      </c>
      <c r="AQ717" s="28" t="s">
        <v>226</v>
      </c>
      <c r="AR717" s="28" t="s">
        <v>14358</v>
      </c>
      <c r="AS717" s="28" t="s">
        <v>3907</v>
      </c>
      <c r="AT717" s="28" t="s">
        <v>2740</v>
      </c>
      <c r="AU717" s="28" t="s">
        <v>138</v>
      </c>
      <c r="AV717" s="28" t="s">
        <v>2742</v>
      </c>
      <c r="AW717" s="28" t="s">
        <v>14359</v>
      </c>
      <c r="AX717" s="28" t="s">
        <v>138</v>
      </c>
      <c r="AY717" s="28" t="s">
        <v>14360</v>
      </c>
      <c r="AZ717" s="28" t="s">
        <v>164</v>
      </c>
      <c r="BA717" s="28" t="s">
        <v>165</v>
      </c>
      <c r="BB717" s="28" t="s">
        <v>14361</v>
      </c>
      <c r="BC717" s="28" t="s">
        <v>14362</v>
      </c>
      <c r="BD717" s="33">
        <v>14</v>
      </c>
      <c r="BE717" s="28" t="s">
        <v>138</v>
      </c>
      <c r="BF717" s="28" t="s">
        <v>138</v>
      </c>
      <c r="BG717" s="28" t="s">
        <v>138</v>
      </c>
      <c r="BH717" s="28" t="s">
        <v>14363</v>
      </c>
      <c r="BI717" s="28" t="s">
        <v>138</v>
      </c>
      <c r="BJ717" s="28" t="s">
        <v>138</v>
      </c>
      <c r="BK717" s="28" t="s">
        <v>138</v>
      </c>
      <c r="BL717" s="28" t="s">
        <v>138</v>
      </c>
      <c r="BM717" s="34">
        <v>41878</v>
      </c>
      <c r="BN717" s="29" t="s">
        <v>138</v>
      </c>
      <c r="BO717" s="28" t="s">
        <v>138</v>
      </c>
      <c r="BP717" s="29" t="s">
        <v>138</v>
      </c>
      <c r="BQ717" s="28" t="s">
        <v>138</v>
      </c>
      <c r="BR717" s="28" t="s">
        <v>316</v>
      </c>
      <c r="BS717" s="28" t="s">
        <v>138</v>
      </c>
      <c r="BT717" s="28" t="s">
        <v>138</v>
      </c>
      <c r="BU717" s="28" t="s">
        <v>174</v>
      </c>
      <c r="BV717" s="28" t="s">
        <v>138</v>
      </c>
      <c r="BW717" s="28" t="s">
        <v>138</v>
      </c>
      <c r="BX717" s="28" t="s">
        <v>138</v>
      </c>
      <c r="BY717" s="28" t="s">
        <v>175</v>
      </c>
      <c r="BZ717" s="34">
        <v>43615</v>
      </c>
      <c r="CA717" s="29">
        <v>1.5</v>
      </c>
      <c r="CB717" s="28" t="s">
        <v>172</v>
      </c>
      <c r="CC717" s="29" t="s">
        <v>138</v>
      </c>
      <c r="CD717" s="28" t="s">
        <v>138</v>
      </c>
      <c r="CE717" s="28" t="s">
        <v>234</v>
      </c>
      <c r="CF717" s="28" t="s">
        <v>234</v>
      </c>
      <c r="CG717" s="28" t="s">
        <v>138</v>
      </c>
      <c r="CH717" s="28" t="s">
        <v>174</v>
      </c>
      <c r="CI717" s="28" t="s">
        <v>138</v>
      </c>
      <c r="CJ717" s="28" t="s">
        <v>138</v>
      </c>
      <c r="CK717" s="28" t="s">
        <v>138</v>
      </c>
      <c r="CL717" s="28" t="s">
        <v>175</v>
      </c>
      <c r="CM717" s="34" t="s">
        <v>138</v>
      </c>
      <c r="CN717" s="29" t="s">
        <v>138</v>
      </c>
      <c r="CO717" s="35">
        <v>0.02</v>
      </c>
      <c r="CP717" s="36">
        <v>85</v>
      </c>
      <c r="CQ717" s="35">
        <v>0</v>
      </c>
      <c r="CR717" s="35">
        <v>-16.809999999999999</v>
      </c>
      <c r="CS717" s="35">
        <v>0</v>
      </c>
      <c r="CT717" s="36">
        <v>23</v>
      </c>
      <c r="CU717" s="35">
        <v>0.04</v>
      </c>
      <c r="CV717" s="36">
        <v>56</v>
      </c>
      <c r="CW717" s="35" t="s">
        <v>138</v>
      </c>
      <c r="CX717" s="36" t="s">
        <v>138</v>
      </c>
      <c r="CY717" s="35">
        <v>0</v>
      </c>
      <c r="CZ717" s="36">
        <v>25</v>
      </c>
      <c r="DA717" s="35">
        <v>0.15</v>
      </c>
      <c r="DB717" s="36">
        <v>78</v>
      </c>
      <c r="DC717" s="37">
        <v>1.06</v>
      </c>
      <c r="DD717" s="36">
        <v>52</v>
      </c>
      <c r="DE717" s="37">
        <v>7.0000000000000007E-2</v>
      </c>
      <c r="DF717" s="35">
        <v>7.22</v>
      </c>
      <c r="DG717" s="37">
        <v>1.07</v>
      </c>
      <c r="DH717" s="36">
        <v>52</v>
      </c>
      <c r="DI717" s="37">
        <v>1.05</v>
      </c>
      <c r="DJ717" s="36">
        <v>50</v>
      </c>
      <c r="DK717" s="37" t="s">
        <v>138</v>
      </c>
      <c r="DL717" s="36" t="s">
        <v>138</v>
      </c>
      <c r="DM717" s="37">
        <v>1.07</v>
      </c>
      <c r="DN717" s="36">
        <v>52</v>
      </c>
      <c r="DO717" s="37">
        <v>1.18</v>
      </c>
      <c r="DP717" s="36">
        <v>54</v>
      </c>
      <c r="DQ717" s="36">
        <v>163</v>
      </c>
      <c r="DR717" s="38">
        <v>16</v>
      </c>
      <c r="DS717" s="35">
        <v>10.88</v>
      </c>
      <c r="DT717" s="36">
        <v>29</v>
      </c>
      <c r="DU717" s="38">
        <v>2</v>
      </c>
      <c r="DV717" s="35">
        <v>7.41</v>
      </c>
      <c r="DW717" s="36">
        <v>422</v>
      </c>
      <c r="DX717" s="39">
        <v>1</v>
      </c>
      <c r="DY717" s="35">
        <v>0.24</v>
      </c>
      <c r="DZ717" s="28" t="s">
        <v>178</v>
      </c>
      <c r="EA717" s="34">
        <v>43615</v>
      </c>
      <c r="EB717" s="29">
        <v>0.33</v>
      </c>
      <c r="EC717" s="34">
        <v>42165</v>
      </c>
      <c r="ED717" s="28" t="s">
        <v>316</v>
      </c>
      <c r="EE717" s="40" t="str">
        <f>HYPERLINK("https://my.pitchbook.com?c=115191-37", "View company online")</f>
        <v>View company online</v>
      </c>
    </row>
    <row r="718" spans="1:135">
      <c r="A718" s="15" t="s">
        <v>14364</v>
      </c>
      <c r="B718" s="15" t="s">
        <v>14365</v>
      </c>
      <c r="C718" s="15" t="s">
        <v>138</v>
      </c>
      <c r="D718" s="15" t="s">
        <v>14366</v>
      </c>
      <c r="E718" s="15" t="s">
        <v>138</v>
      </c>
      <c r="F718" s="15" t="s">
        <v>14364</v>
      </c>
      <c r="G718" s="15" t="s">
        <v>14367</v>
      </c>
      <c r="H718" s="15" t="s">
        <v>183</v>
      </c>
      <c r="I718" s="15" t="s">
        <v>184</v>
      </c>
      <c r="J718" s="15" t="s">
        <v>2141</v>
      </c>
      <c r="K718" s="15" t="s">
        <v>14368</v>
      </c>
      <c r="L718" s="15" t="s">
        <v>2143</v>
      </c>
      <c r="M718" s="15" t="s">
        <v>14369</v>
      </c>
      <c r="N718" s="15" t="s">
        <v>147</v>
      </c>
      <c r="O718" s="17">
        <v>6.53</v>
      </c>
      <c r="P718" s="15" t="s">
        <v>610</v>
      </c>
      <c r="Q718" s="15" t="s">
        <v>149</v>
      </c>
      <c r="R718" s="15" t="s">
        <v>174</v>
      </c>
      <c r="S718" s="15" t="s">
        <v>14370</v>
      </c>
      <c r="T718" s="18" t="s">
        <v>138</v>
      </c>
      <c r="U718" s="15" t="s">
        <v>138</v>
      </c>
      <c r="V718" s="15" t="s">
        <v>138</v>
      </c>
      <c r="W718" s="15" t="s">
        <v>138</v>
      </c>
      <c r="X718" s="19">
        <v>2016</v>
      </c>
      <c r="Y718" s="15" t="s">
        <v>138</v>
      </c>
      <c r="Z718" s="15" t="s">
        <v>138</v>
      </c>
      <c r="AA718" s="15" t="s">
        <v>138</v>
      </c>
      <c r="AB718" s="20" t="s">
        <v>138</v>
      </c>
      <c r="AC718" s="20" t="s">
        <v>138</v>
      </c>
      <c r="AD718" s="20" t="s">
        <v>138</v>
      </c>
      <c r="AE718" s="20" t="s">
        <v>138</v>
      </c>
      <c r="AF718" s="20" t="s">
        <v>138</v>
      </c>
      <c r="AG718" s="15" t="s">
        <v>138</v>
      </c>
      <c r="AH718" s="20" t="s">
        <v>138</v>
      </c>
      <c r="AI718" s="20" t="s">
        <v>138</v>
      </c>
      <c r="AJ718" s="20" t="s">
        <v>138</v>
      </c>
      <c r="AK718" s="15" t="s">
        <v>14371</v>
      </c>
      <c r="AL718" s="15" t="s">
        <v>14372</v>
      </c>
      <c r="AM718" s="15" t="s">
        <v>221</v>
      </c>
      <c r="AN718" s="15" t="s">
        <v>14373</v>
      </c>
      <c r="AO718" s="15" t="s">
        <v>14374</v>
      </c>
      <c r="AP718" s="15" t="s">
        <v>1292</v>
      </c>
      <c r="AQ718" s="15" t="s">
        <v>14375</v>
      </c>
      <c r="AR718" s="15" t="s">
        <v>14376</v>
      </c>
      <c r="AS718" s="15" t="s">
        <v>1294</v>
      </c>
      <c r="AT718" s="15" t="s">
        <v>864</v>
      </c>
      <c r="AU718" s="15" t="s">
        <v>14377</v>
      </c>
      <c r="AV718" s="15" t="s">
        <v>162</v>
      </c>
      <c r="AW718" s="15" t="s">
        <v>14374</v>
      </c>
      <c r="AX718" s="15" t="s">
        <v>138</v>
      </c>
      <c r="AY718" s="15" t="s">
        <v>14378</v>
      </c>
      <c r="AZ718" s="15" t="s">
        <v>164</v>
      </c>
      <c r="BA718" s="15" t="s">
        <v>165</v>
      </c>
      <c r="BB718" s="15" t="s">
        <v>14379</v>
      </c>
      <c r="BC718" s="15" t="s">
        <v>14380</v>
      </c>
      <c r="BD718" s="21">
        <v>7</v>
      </c>
      <c r="BE718" s="15" t="s">
        <v>138</v>
      </c>
      <c r="BF718" s="15" t="s">
        <v>138</v>
      </c>
      <c r="BG718" s="15" t="s">
        <v>138</v>
      </c>
      <c r="BH718" s="15" t="s">
        <v>14381</v>
      </c>
      <c r="BI718" s="15" t="s">
        <v>138</v>
      </c>
      <c r="BJ718" s="15" t="s">
        <v>138</v>
      </c>
      <c r="BK718" s="15" t="s">
        <v>138</v>
      </c>
      <c r="BL718" s="15" t="s">
        <v>138</v>
      </c>
      <c r="BM718" s="22">
        <v>42580</v>
      </c>
      <c r="BN718" s="17">
        <v>0.03</v>
      </c>
      <c r="BO718" s="15" t="s">
        <v>172</v>
      </c>
      <c r="BP718" s="17" t="s">
        <v>138</v>
      </c>
      <c r="BQ718" s="15" t="s">
        <v>138</v>
      </c>
      <c r="BR718" s="15" t="s">
        <v>316</v>
      </c>
      <c r="BS718" s="15" t="s">
        <v>138</v>
      </c>
      <c r="BT718" s="15" t="s">
        <v>138</v>
      </c>
      <c r="BU718" s="15" t="s">
        <v>177</v>
      </c>
      <c r="BV718" s="15" t="s">
        <v>138</v>
      </c>
      <c r="BW718" s="15" t="s">
        <v>138</v>
      </c>
      <c r="BX718" s="15" t="s">
        <v>138</v>
      </c>
      <c r="BY718" s="15" t="s">
        <v>175</v>
      </c>
      <c r="BZ718" s="22">
        <v>43546</v>
      </c>
      <c r="CA718" s="17">
        <v>6.5</v>
      </c>
      <c r="CB718" s="15" t="s">
        <v>1178</v>
      </c>
      <c r="CC718" s="17">
        <v>23</v>
      </c>
      <c r="CD718" s="15" t="s">
        <v>172</v>
      </c>
      <c r="CE718" s="15" t="s">
        <v>234</v>
      </c>
      <c r="CF718" s="15" t="s">
        <v>234</v>
      </c>
      <c r="CG718" s="15" t="s">
        <v>138</v>
      </c>
      <c r="CH718" s="15" t="s">
        <v>174</v>
      </c>
      <c r="CI718" s="15" t="s">
        <v>138</v>
      </c>
      <c r="CJ718" s="15" t="s">
        <v>138</v>
      </c>
      <c r="CK718" s="15" t="s">
        <v>138</v>
      </c>
      <c r="CL718" s="15" t="s">
        <v>175</v>
      </c>
      <c r="CM718" s="22" t="s">
        <v>138</v>
      </c>
      <c r="CN718" s="17" t="s">
        <v>138</v>
      </c>
      <c r="CO718" s="23">
        <v>0.02</v>
      </c>
      <c r="CP718" s="24">
        <v>85</v>
      </c>
      <c r="CQ718" s="23">
        <v>0</v>
      </c>
      <c r="CR718" s="23">
        <v>0</v>
      </c>
      <c r="CS718" s="23">
        <v>0</v>
      </c>
      <c r="CT718" s="24">
        <v>23</v>
      </c>
      <c r="CU718" s="23">
        <v>0.04</v>
      </c>
      <c r="CV718" s="24">
        <v>56</v>
      </c>
      <c r="CW718" s="23">
        <v>0</v>
      </c>
      <c r="CX718" s="24">
        <v>13</v>
      </c>
      <c r="CY718" s="23">
        <v>0</v>
      </c>
      <c r="CZ718" s="24">
        <v>25</v>
      </c>
      <c r="DA718" s="23">
        <v>0</v>
      </c>
      <c r="DB718" s="24">
        <v>22</v>
      </c>
      <c r="DC718" s="25">
        <v>0.51</v>
      </c>
      <c r="DD718" s="24">
        <v>34</v>
      </c>
      <c r="DE718" s="25">
        <v>-0.04</v>
      </c>
      <c r="DF718" s="23">
        <v>-8.17</v>
      </c>
      <c r="DG718" s="25">
        <v>0.82</v>
      </c>
      <c r="DH718" s="24">
        <v>46</v>
      </c>
      <c r="DI718" s="25">
        <v>0.19</v>
      </c>
      <c r="DJ718" s="24">
        <v>22</v>
      </c>
      <c r="DK718" s="25">
        <v>1.4</v>
      </c>
      <c r="DL718" s="24">
        <v>57</v>
      </c>
      <c r="DM718" s="25">
        <v>0.24</v>
      </c>
      <c r="DN718" s="24">
        <v>19</v>
      </c>
      <c r="DO718" s="25">
        <v>0.04</v>
      </c>
      <c r="DP718" s="24">
        <v>8</v>
      </c>
      <c r="DQ718" s="24">
        <v>456</v>
      </c>
      <c r="DR718" s="26">
        <v>71</v>
      </c>
      <c r="DS718" s="23">
        <v>18.440000000000001</v>
      </c>
      <c r="DT718" s="24">
        <v>7</v>
      </c>
      <c r="DU718" s="26">
        <v>0</v>
      </c>
      <c r="DV718" s="23">
        <v>0</v>
      </c>
      <c r="DW718" s="24">
        <v>13</v>
      </c>
      <c r="DX718" s="27">
        <v>1</v>
      </c>
      <c r="DY718" s="23">
        <v>8.33</v>
      </c>
      <c r="DZ718" s="15" t="s">
        <v>178</v>
      </c>
      <c r="EA718" s="22">
        <v>43622</v>
      </c>
      <c r="EB718" s="17">
        <v>23</v>
      </c>
      <c r="EC718" s="22">
        <v>43546</v>
      </c>
      <c r="ED718" s="15" t="s">
        <v>234</v>
      </c>
      <c r="EE718" s="14" t="str">
        <f>HYPERLINK("https://my.pitchbook.com?c=221733-19", "View company online")</f>
        <v>View company online</v>
      </c>
    </row>
    <row r="719" spans="1:135">
      <c r="A719" s="28" t="s">
        <v>14382</v>
      </c>
      <c r="B719" s="28" t="s">
        <v>14383</v>
      </c>
      <c r="C719" s="28" t="s">
        <v>14384</v>
      </c>
      <c r="D719" s="28" t="s">
        <v>138</v>
      </c>
      <c r="E719" s="28" t="s">
        <v>14385</v>
      </c>
      <c r="F719" s="28" t="s">
        <v>14382</v>
      </c>
      <c r="G719" s="28" t="s">
        <v>14386</v>
      </c>
      <c r="H719" s="28" t="s">
        <v>238</v>
      </c>
      <c r="I719" s="28" t="s">
        <v>1351</v>
      </c>
      <c r="J719" s="28" t="s">
        <v>1352</v>
      </c>
      <c r="K719" s="28" t="s">
        <v>14387</v>
      </c>
      <c r="L719" s="28" t="s">
        <v>14388</v>
      </c>
      <c r="M719" s="28" t="s">
        <v>14389</v>
      </c>
      <c r="N719" s="28" t="s">
        <v>147</v>
      </c>
      <c r="O719" s="29">
        <v>17</v>
      </c>
      <c r="P719" s="28" t="s">
        <v>148</v>
      </c>
      <c r="Q719" s="28" t="s">
        <v>149</v>
      </c>
      <c r="R719" s="28" t="s">
        <v>174</v>
      </c>
      <c r="S719" s="28" t="s">
        <v>14390</v>
      </c>
      <c r="T719" s="30">
        <v>32</v>
      </c>
      <c r="U719" s="28" t="s">
        <v>14391</v>
      </c>
      <c r="V719" s="28" t="s">
        <v>138</v>
      </c>
      <c r="W719" s="28" t="s">
        <v>138</v>
      </c>
      <c r="X719" s="31">
        <v>2015</v>
      </c>
      <c r="Y719" s="28" t="s">
        <v>138</v>
      </c>
      <c r="Z719" s="28" t="s">
        <v>1163</v>
      </c>
      <c r="AA719" s="28" t="s">
        <v>1163</v>
      </c>
      <c r="AB719" s="32" t="s">
        <v>138</v>
      </c>
      <c r="AC719" s="32" t="s">
        <v>138</v>
      </c>
      <c r="AD719" s="32" t="s">
        <v>138</v>
      </c>
      <c r="AE719" s="32" t="s">
        <v>138</v>
      </c>
      <c r="AF719" s="32" t="s">
        <v>138</v>
      </c>
      <c r="AG719" s="28" t="s">
        <v>138</v>
      </c>
      <c r="AH719" s="32" t="s">
        <v>138</v>
      </c>
      <c r="AI719" s="32" t="s">
        <v>138</v>
      </c>
      <c r="AJ719" s="32" t="s">
        <v>138</v>
      </c>
      <c r="AK719" s="28" t="s">
        <v>14392</v>
      </c>
      <c r="AL719" s="28" t="s">
        <v>14393</v>
      </c>
      <c r="AM719" s="28" t="s">
        <v>221</v>
      </c>
      <c r="AN719" s="28" t="s">
        <v>14394</v>
      </c>
      <c r="AO719" s="28" t="s">
        <v>138</v>
      </c>
      <c r="AP719" s="28" t="s">
        <v>1292</v>
      </c>
      <c r="AQ719" s="28" t="s">
        <v>14395</v>
      </c>
      <c r="AR719" s="28" t="s">
        <v>4403</v>
      </c>
      <c r="AS719" s="28" t="s">
        <v>1294</v>
      </c>
      <c r="AT719" s="28" t="s">
        <v>864</v>
      </c>
      <c r="AU719" s="28" t="s">
        <v>3579</v>
      </c>
      <c r="AV719" s="28" t="s">
        <v>162</v>
      </c>
      <c r="AW719" s="28" t="s">
        <v>138</v>
      </c>
      <c r="AX719" s="28" t="s">
        <v>138</v>
      </c>
      <c r="AY719" s="28" t="s">
        <v>14396</v>
      </c>
      <c r="AZ719" s="28" t="s">
        <v>164</v>
      </c>
      <c r="BA719" s="28" t="s">
        <v>165</v>
      </c>
      <c r="BB719" s="28" t="s">
        <v>14397</v>
      </c>
      <c r="BC719" s="28" t="s">
        <v>14398</v>
      </c>
      <c r="BD719" s="33">
        <v>10</v>
      </c>
      <c r="BE719" s="28" t="s">
        <v>138</v>
      </c>
      <c r="BF719" s="28" t="s">
        <v>138</v>
      </c>
      <c r="BG719" s="28" t="s">
        <v>138</v>
      </c>
      <c r="BH719" s="28" t="s">
        <v>14399</v>
      </c>
      <c r="BI719" s="28" t="s">
        <v>138</v>
      </c>
      <c r="BJ719" s="28" t="s">
        <v>138</v>
      </c>
      <c r="BK719" s="28" t="s">
        <v>138</v>
      </c>
      <c r="BL719" s="28" t="s">
        <v>1370</v>
      </c>
      <c r="BM719" s="34">
        <v>42339</v>
      </c>
      <c r="BN719" s="29">
        <v>0.25</v>
      </c>
      <c r="BO719" s="28" t="s">
        <v>172</v>
      </c>
      <c r="BP719" s="29" t="s">
        <v>138</v>
      </c>
      <c r="BQ719" s="28" t="s">
        <v>138</v>
      </c>
      <c r="BR719" s="28" t="s">
        <v>262</v>
      </c>
      <c r="BS719" s="28" t="s">
        <v>262</v>
      </c>
      <c r="BT719" s="28" t="s">
        <v>138</v>
      </c>
      <c r="BU719" s="28" t="s">
        <v>263</v>
      </c>
      <c r="BV719" s="28" t="s">
        <v>264</v>
      </c>
      <c r="BW719" s="28" t="s">
        <v>138</v>
      </c>
      <c r="BX719" s="28" t="s">
        <v>138</v>
      </c>
      <c r="BY719" s="28" t="s">
        <v>175</v>
      </c>
      <c r="BZ719" s="34">
        <v>43614</v>
      </c>
      <c r="CA719" s="29">
        <v>11</v>
      </c>
      <c r="CB719" s="28" t="s">
        <v>172</v>
      </c>
      <c r="CC719" s="29" t="s">
        <v>138</v>
      </c>
      <c r="CD719" s="28" t="s">
        <v>138</v>
      </c>
      <c r="CE719" s="28" t="s">
        <v>205</v>
      </c>
      <c r="CF719" s="28" t="s">
        <v>206</v>
      </c>
      <c r="CG719" s="28" t="s">
        <v>138</v>
      </c>
      <c r="CH719" s="28" t="s">
        <v>174</v>
      </c>
      <c r="CI719" s="28" t="s">
        <v>138</v>
      </c>
      <c r="CJ719" s="28" t="s">
        <v>138</v>
      </c>
      <c r="CK719" s="28" t="s">
        <v>138</v>
      </c>
      <c r="CL719" s="28" t="s">
        <v>175</v>
      </c>
      <c r="CM719" s="34" t="s">
        <v>138</v>
      </c>
      <c r="CN719" s="29" t="s">
        <v>138</v>
      </c>
      <c r="CO719" s="35">
        <v>-0.96</v>
      </c>
      <c r="CP719" s="36">
        <v>11</v>
      </c>
      <c r="CQ719" s="35">
        <v>-0.1</v>
      </c>
      <c r="CR719" s="35">
        <v>-11.05</v>
      </c>
      <c r="CS719" s="35">
        <v>-1.98</v>
      </c>
      <c r="CT719" s="36">
        <v>9</v>
      </c>
      <c r="CU719" s="35">
        <v>0.06</v>
      </c>
      <c r="CV719" s="36">
        <v>60</v>
      </c>
      <c r="CW719" s="35">
        <v>-6.84</v>
      </c>
      <c r="CX719" s="36">
        <v>2</v>
      </c>
      <c r="CY719" s="35">
        <v>2.88</v>
      </c>
      <c r="CZ719" s="36">
        <v>100</v>
      </c>
      <c r="DA719" s="35">
        <v>0.14000000000000001</v>
      </c>
      <c r="DB719" s="36">
        <v>77</v>
      </c>
      <c r="DC719" s="37">
        <v>6.95</v>
      </c>
      <c r="DD719" s="36">
        <v>87</v>
      </c>
      <c r="DE719" s="37">
        <v>-0.15</v>
      </c>
      <c r="DF719" s="35">
        <v>-2.17</v>
      </c>
      <c r="DG719" s="37">
        <v>7.03</v>
      </c>
      <c r="DH719" s="36">
        <v>86</v>
      </c>
      <c r="DI719" s="37">
        <v>6.87</v>
      </c>
      <c r="DJ719" s="36">
        <v>81</v>
      </c>
      <c r="DK719" s="37">
        <v>4.8499999999999996</v>
      </c>
      <c r="DL719" s="36">
        <v>79</v>
      </c>
      <c r="DM719" s="37">
        <v>9.2100000000000009</v>
      </c>
      <c r="DN719" s="36">
        <v>88</v>
      </c>
      <c r="DO719" s="37">
        <v>2.52</v>
      </c>
      <c r="DP719" s="36">
        <v>68</v>
      </c>
      <c r="DQ719" s="36">
        <v>1814</v>
      </c>
      <c r="DR719" s="38">
        <v>-450</v>
      </c>
      <c r="DS719" s="35">
        <v>-19.88</v>
      </c>
      <c r="DT719" s="36">
        <v>267</v>
      </c>
      <c r="DU719" s="38">
        <v>3</v>
      </c>
      <c r="DV719" s="35">
        <v>1.1399999999999999</v>
      </c>
      <c r="DW719" s="36">
        <v>901</v>
      </c>
      <c r="DX719" s="39">
        <v>3</v>
      </c>
      <c r="DY719" s="35">
        <v>0.33</v>
      </c>
      <c r="DZ719" s="28" t="s">
        <v>178</v>
      </c>
      <c r="EA719" s="34">
        <v>43620</v>
      </c>
      <c r="EB719" s="29" t="s">
        <v>138</v>
      </c>
      <c r="EC719" s="34" t="s">
        <v>138</v>
      </c>
      <c r="ED719" s="28" t="s">
        <v>138</v>
      </c>
      <c r="EE719" s="40" t="str">
        <f>HYPERLINK("https://my.pitchbook.com?c=175012-48", "View company online")</f>
        <v>View company online</v>
      </c>
    </row>
    <row r="720" spans="1:135">
      <c r="A720" s="15" t="s">
        <v>14400</v>
      </c>
      <c r="B720" s="15" t="s">
        <v>14401</v>
      </c>
      <c r="C720" s="15" t="s">
        <v>138</v>
      </c>
      <c r="D720" s="15" t="s">
        <v>138</v>
      </c>
      <c r="E720" s="15" t="s">
        <v>14402</v>
      </c>
      <c r="F720" s="15" t="s">
        <v>14400</v>
      </c>
      <c r="G720" s="15" t="s">
        <v>14403</v>
      </c>
      <c r="H720" s="15" t="s">
        <v>890</v>
      </c>
      <c r="I720" s="15" t="s">
        <v>7410</v>
      </c>
      <c r="J720" s="15" t="s">
        <v>7411</v>
      </c>
      <c r="K720" s="15" t="s">
        <v>14404</v>
      </c>
      <c r="L720" s="15" t="s">
        <v>9254</v>
      </c>
      <c r="M720" s="15" t="s">
        <v>14405</v>
      </c>
      <c r="N720" s="15" t="s">
        <v>147</v>
      </c>
      <c r="O720" s="17">
        <v>11.05</v>
      </c>
      <c r="P720" s="15" t="s">
        <v>148</v>
      </c>
      <c r="Q720" s="15" t="s">
        <v>149</v>
      </c>
      <c r="R720" s="15" t="s">
        <v>174</v>
      </c>
      <c r="S720" s="15" t="s">
        <v>14406</v>
      </c>
      <c r="T720" s="18">
        <v>24</v>
      </c>
      <c r="U720" s="15" t="s">
        <v>14407</v>
      </c>
      <c r="V720" s="15" t="s">
        <v>138</v>
      </c>
      <c r="W720" s="15" t="s">
        <v>138</v>
      </c>
      <c r="X720" s="19">
        <v>2012</v>
      </c>
      <c r="Y720" s="15" t="s">
        <v>138</v>
      </c>
      <c r="Z720" s="15" t="s">
        <v>138</v>
      </c>
      <c r="AA720" s="15" t="s">
        <v>138</v>
      </c>
      <c r="AB720" s="20" t="s">
        <v>138</v>
      </c>
      <c r="AC720" s="20" t="s">
        <v>138</v>
      </c>
      <c r="AD720" s="20" t="s">
        <v>138</v>
      </c>
      <c r="AE720" s="20" t="s">
        <v>138</v>
      </c>
      <c r="AF720" s="20" t="s">
        <v>138</v>
      </c>
      <c r="AG720" s="15" t="s">
        <v>138</v>
      </c>
      <c r="AH720" s="20" t="s">
        <v>138</v>
      </c>
      <c r="AI720" s="20" t="s">
        <v>138</v>
      </c>
      <c r="AJ720" s="20" t="s">
        <v>138</v>
      </c>
      <c r="AK720" s="15" t="s">
        <v>14408</v>
      </c>
      <c r="AL720" s="15" t="s">
        <v>14409</v>
      </c>
      <c r="AM720" s="15" t="s">
        <v>365</v>
      </c>
      <c r="AN720" s="15" t="s">
        <v>14410</v>
      </c>
      <c r="AO720" s="15" t="s">
        <v>14411</v>
      </c>
      <c r="AP720" s="15" t="s">
        <v>4490</v>
      </c>
      <c r="AQ720" s="15" t="s">
        <v>14412</v>
      </c>
      <c r="AR720" s="15" t="s">
        <v>138</v>
      </c>
      <c r="AS720" s="15" t="s">
        <v>4492</v>
      </c>
      <c r="AT720" s="15" t="s">
        <v>4493</v>
      </c>
      <c r="AU720" s="15" t="s">
        <v>12509</v>
      </c>
      <c r="AV720" s="15" t="s">
        <v>162</v>
      </c>
      <c r="AW720" s="15" t="s">
        <v>14411</v>
      </c>
      <c r="AX720" s="15" t="s">
        <v>138</v>
      </c>
      <c r="AY720" s="15" t="s">
        <v>14413</v>
      </c>
      <c r="AZ720" s="15" t="s">
        <v>164</v>
      </c>
      <c r="BA720" s="15" t="s">
        <v>165</v>
      </c>
      <c r="BB720" s="15" t="s">
        <v>14414</v>
      </c>
      <c r="BC720" s="15" t="s">
        <v>14415</v>
      </c>
      <c r="BD720" s="21">
        <v>9</v>
      </c>
      <c r="BE720" s="15" t="s">
        <v>138</v>
      </c>
      <c r="BF720" s="15" t="s">
        <v>138</v>
      </c>
      <c r="BG720" s="15" t="s">
        <v>138</v>
      </c>
      <c r="BH720" s="15" t="s">
        <v>14416</v>
      </c>
      <c r="BI720" s="15" t="s">
        <v>138</v>
      </c>
      <c r="BJ720" s="15" t="s">
        <v>138</v>
      </c>
      <c r="BK720" s="15" t="s">
        <v>14417</v>
      </c>
      <c r="BL720" s="15" t="s">
        <v>14418</v>
      </c>
      <c r="BM720" s="22">
        <v>42186</v>
      </c>
      <c r="BN720" s="17">
        <v>4.0199999999999996</v>
      </c>
      <c r="BO720" s="15" t="s">
        <v>172</v>
      </c>
      <c r="BP720" s="17">
        <v>27.51</v>
      </c>
      <c r="BQ720" s="15" t="s">
        <v>172</v>
      </c>
      <c r="BR720" s="15" t="s">
        <v>205</v>
      </c>
      <c r="BS720" s="15" t="s">
        <v>206</v>
      </c>
      <c r="BT720" s="15" t="s">
        <v>138</v>
      </c>
      <c r="BU720" s="15" t="s">
        <v>174</v>
      </c>
      <c r="BV720" s="15" t="s">
        <v>138</v>
      </c>
      <c r="BW720" s="15" t="s">
        <v>138</v>
      </c>
      <c r="BX720" s="15" t="s">
        <v>138</v>
      </c>
      <c r="BY720" s="15" t="s">
        <v>175</v>
      </c>
      <c r="BZ720" s="22">
        <v>43151</v>
      </c>
      <c r="CA720" s="17">
        <v>4</v>
      </c>
      <c r="CB720" s="15" t="s">
        <v>172</v>
      </c>
      <c r="CC720" s="17">
        <v>15</v>
      </c>
      <c r="CD720" s="15" t="s">
        <v>172</v>
      </c>
      <c r="CE720" s="15" t="s">
        <v>173</v>
      </c>
      <c r="CF720" s="15" t="s">
        <v>720</v>
      </c>
      <c r="CG720" s="15" t="s">
        <v>138</v>
      </c>
      <c r="CH720" s="15" t="s">
        <v>174</v>
      </c>
      <c r="CI720" s="15" t="s">
        <v>138</v>
      </c>
      <c r="CJ720" s="15" t="s">
        <v>138</v>
      </c>
      <c r="CK720" s="15" t="s">
        <v>138</v>
      </c>
      <c r="CL720" s="15" t="s">
        <v>175</v>
      </c>
      <c r="CM720" s="22" t="s">
        <v>138</v>
      </c>
      <c r="CN720" s="17" t="s">
        <v>138</v>
      </c>
      <c r="CO720" s="23">
        <v>-0.09</v>
      </c>
      <c r="CP720" s="24">
        <v>21</v>
      </c>
      <c r="CQ720" s="23">
        <v>-0.01</v>
      </c>
      <c r="CR720" s="23">
        <v>-14.78</v>
      </c>
      <c r="CS720" s="23">
        <v>-0.16</v>
      </c>
      <c r="CT720" s="24">
        <v>22</v>
      </c>
      <c r="CU720" s="23">
        <v>-0.02</v>
      </c>
      <c r="CV720" s="24">
        <v>17</v>
      </c>
      <c r="CW720" s="23">
        <v>0</v>
      </c>
      <c r="CX720" s="24">
        <v>13</v>
      </c>
      <c r="CY720" s="23">
        <v>-0.32</v>
      </c>
      <c r="CZ720" s="24">
        <v>23</v>
      </c>
      <c r="DA720" s="23">
        <v>-0.05</v>
      </c>
      <c r="DB720" s="24">
        <v>13</v>
      </c>
      <c r="DC720" s="25">
        <v>1.31</v>
      </c>
      <c r="DD720" s="24">
        <v>57</v>
      </c>
      <c r="DE720" s="25">
        <v>-0.03</v>
      </c>
      <c r="DF720" s="23">
        <v>-1.96</v>
      </c>
      <c r="DG720" s="25">
        <v>2.2400000000000002</v>
      </c>
      <c r="DH720" s="24">
        <v>69</v>
      </c>
      <c r="DI720" s="25">
        <v>0.38</v>
      </c>
      <c r="DJ720" s="24">
        <v>32</v>
      </c>
      <c r="DK720" s="25">
        <v>0.57999999999999996</v>
      </c>
      <c r="DL720" s="24">
        <v>38</v>
      </c>
      <c r="DM720" s="25">
        <v>3.9</v>
      </c>
      <c r="DN720" s="24">
        <v>78</v>
      </c>
      <c r="DO720" s="25">
        <v>0.73</v>
      </c>
      <c r="DP720" s="24">
        <v>45</v>
      </c>
      <c r="DQ720" s="24">
        <v>211</v>
      </c>
      <c r="DR720" s="26">
        <v>-35</v>
      </c>
      <c r="DS720" s="23">
        <v>-14.23</v>
      </c>
      <c r="DT720" s="24">
        <v>113</v>
      </c>
      <c r="DU720" s="26">
        <v>0</v>
      </c>
      <c r="DV720" s="23">
        <v>0</v>
      </c>
      <c r="DW720" s="24">
        <v>260</v>
      </c>
      <c r="DX720" s="27">
        <v>-1</v>
      </c>
      <c r="DY720" s="23">
        <v>-0.38</v>
      </c>
      <c r="DZ720" s="15" t="s">
        <v>178</v>
      </c>
      <c r="EA720" s="22">
        <v>43622</v>
      </c>
      <c r="EB720" s="17">
        <v>15</v>
      </c>
      <c r="EC720" s="22">
        <v>43151</v>
      </c>
      <c r="ED720" s="15" t="s">
        <v>173</v>
      </c>
      <c r="EE720" s="14" t="str">
        <f>HYPERLINK("https://my.pitchbook.com?c=109726-84", "View company online")</f>
        <v>View company online</v>
      </c>
    </row>
    <row r="721" spans="1:135">
      <c r="A721" s="28" t="s">
        <v>14419</v>
      </c>
      <c r="B721" s="28" t="s">
        <v>14420</v>
      </c>
      <c r="C721" s="28" t="s">
        <v>138</v>
      </c>
      <c r="D721" s="28" t="s">
        <v>138</v>
      </c>
      <c r="E721" s="28" t="s">
        <v>14421</v>
      </c>
      <c r="F721" s="28" t="s">
        <v>14419</v>
      </c>
      <c r="G721" s="28" t="s">
        <v>14422</v>
      </c>
      <c r="H721" s="28" t="s">
        <v>238</v>
      </c>
      <c r="I721" s="28" t="s">
        <v>1351</v>
      </c>
      <c r="J721" s="28" t="s">
        <v>5633</v>
      </c>
      <c r="K721" s="28" t="s">
        <v>14423</v>
      </c>
      <c r="L721" s="28" t="s">
        <v>138</v>
      </c>
      <c r="M721" s="28" t="s">
        <v>14424</v>
      </c>
      <c r="N721" s="28" t="s">
        <v>147</v>
      </c>
      <c r="O721" s="29">
        <v>16.079999999999998</v>
      </c>
      <c r="P721" s="28" t="s">
        <v>148</v>
      </c>
      <c r="Q721" s="28" t="s">
        <v>149</v>
      </c>
      <c r="R721" s="28" t="s">
        <v>174</v>
      </c>
      <c r="S721" s="28" t="s">
        <v>14425</v>
      </c>
      <c r="T721" s="30">
        <v>57</v>
      </c>
      <c r="U721" s="28" t="s">
        <v>14426</v>
      </c>
      <c r="V721" s="28" t="s">
        <v>138</v>
      </c>
      <c r="W721" s="28" t="s">
        <v>138</v>
      </c>
      <c r="X721" s="31">
        <v>2010</v>
      </c>
      <c r="Y721" s="28" t="s">
        <v>138</v>
      </c>
      <c r="Z721" s="28" t="s">
        <v>138</v>
      </c>
      <c r="AA721" s="28" t="s">
        <v>138</v>
      </c>
      <c r="AB721" s="32" t="s">
        <v>138</v>
      </c>
      <c r="AC721" s="32" t="s">
        <v>138</v>
      </c>
      <c r="AD721" s="32" t="s">
        <v>138</v>
      </c>
      <c r="AE721" s="32" t="s">
        <v>138</v>
      </c>
      <c r="AF721" s="32" t="s">
        <v>138</v>
      </c>
      <c r="AG721" s="28" t="s">
        <v>138</v>
      </c>
      <c r="AH721" s="32" t="s">
        <v>138</v>
      </c>
      <c r="AI721" s="32" t="s">
        <v>138</v>
      </c>
      <c r="AJ721" s="32" t="s">
        <v>138</v>
      </c>
      <c r="AK721" s="28" t="s">
        <v>14427</v>
      </c>
      <c r="AL721" s="28" t="s">
        <v>14428</v>
      </c>
      <c r="AM721" s="28" t="s">
        <v>14429</v>
      </c>
      <c r="AN721" s="28" t="s">
        <v>14430</v>
      </c>
      <c r="AO721" s="28" t="s">
        <v>138</v>
      </c>
      <c r="AP721" s="28" t="s">
        <v>1514</v>
      </c>
      <c r="AQ721" s="28" t="s">
        <v>14431</v>
      </c>
      <c r="AR721" s="28" t="s">
        <v>158</v>
      </c>
      <c r="AS721" s="28" t="s">
        <v>1516</v>
      </c>
      <c r="AT721" s="28" t="s">
        <v>284</v>
      </c>
      <c r="AU721" s="28" t="s">
        <v>14269</v>
      </c>
      <c r="AV721" s="28" t="s">
        <v>162</v>
      </c>
      <c r="AW721" s="28" t="s">
        <v>138</v>
      </c>
      <c r="AX721" s="28" t="s">
        <v>138</v>
      </c>
      <c r="AY721" s="28" t="s">
        <v>14432</v>
      </c>
      <c r="AZ721" s="28" t="s">
        <v>164</v>
      </c>
      <c r="BA721" s="28" t="s">
        <v>165</v>
      </c>
      <c r="BB721" s="28" t="s">
        <v>14433</v>
      </c>
      <c r="BC721" s="28" t="s">
        <v>14434</v>
      </c>
      <c r="BD721" s="33">
        <v>3</v>
      </c>
      <c r="BE721" s="28" t="s">
        <v>138</v>
      </c>
      <c r="BF721" s="28" t="s">
        <v>138</v>
      </c>
      <c r="BG721" s="28" t="s">
        <v>138</v>
      </c>
      <c r="BH721" s="28" t="s">
        <v>14435</v>
      </c>
      <c r="BI721" s="28" t="s">
        <v>138</v>
      </c>
      <c r="BJ721" s="28" t="s">
        <v>138</v>
      </c>
      <c r="BK721" s="28" t="s">
        <v>1829</v>
      </c>
      <c r="BL721" s="28" t="s">
        <v>1829</v>
      </c>
      <c r="BM721" s="34">
        <v>41577</v>
      </c>
      <c r="BN721" s="29">
        <v>0.66</v>
      </c>
      <c r="BO721" s="28" t="s">
        <v>172</v>
      </c>
      <c r="BP721" s="29" t="s">
        <v>138</v>
      </c>
      <c r="BQ721" s="28" t="s">
        <v>138</v>
      </c>
      <c r="BR721" s="28" t="s">
        <v>1830</v>
      </c>
      <c r="BS721" s="28" t="s">
        <v>138</v>
      </c>
      <c r="BT721" s="28" t="s">
        <v>138</v>
      </c>
      <c r="BU721" s="28" t="s">
        <v>177</v>
      </c>
      <c r="BV721" s="28" t="s">
        <v>138</v>
      </c>
      <c r="BW721" s="28" t="s">
        <v>138</v>
      </c>
      <c r="BX721" s="28" t="s">
        <v>138</v>
      </c>
      <c r="BY721" s="28" t="s">
        <v>175</v>
      </c>
      <c r="BZ721" s="34">
        <v>43236</v>
      </c>
      <c r="CA721" s="29">
        <v>0.09</v>
      </c>
      <c r="CB721" s="28" t="s">
        <v>172</v>
      </c>
      <c r="CC721" s="29" t="s">
        <v>138</v>
      </c>
      <c r="CD721" s="28" t="s">
        <v>138</v>
      </c>
      <c r="CE721" s="28" t="s">
        <v>1830</v>
      </c>
      <c r="CF721" s="28" t="s">
        <v>138</v>
      </c>
      <c r="CG721" s="28" t="s">
        <v>138</v>
      </c>
      <c r="CH721" s="28" t="s">
        <v>263</v>
      </c>
      <c r="CI721" s="28" t="s">
        <v>138</v>
      </c>
      <c r="CJ721" s="28" t="s">
        <v>138</v>
      </c>
      <c r="CK721" s="28" t="s">
        <v>138</v>
      </c>
      <c r="CL721" s="28" t="s">
        <v>1831</v>
      </c>
      <c r="CM721" s="34" t="s">
        <v>138</v>
      </c>
      <c r="CN721" s="29" t="s">
        <v>138</v>
      </c>
      <c r="CO721" s="35">
        <v>0.62</v>
      </c>
      <c r="CP721" s="36">
        <v>96</v>
      </c>
      <c r="CQ721" s="35">
        <v>0</v>
      </c>
      <c r="CR721" s="35">
        <v>0.71</v>
      </c>
      <c r="CS721" s="35">
        <v>-1.56</v>
      </c>
      <c r="CT721" s="36">
        <v>11</v>
      </c>
      <c r="CU721" s="35">
        <v>0</v>
      </c>
      <c r="CV721" s="36">
        <v>22</v>
      </c>
      <c r="CW721" s="35">
        <v>-1.56</v>
      </c>
      <c r="CX721" s="36">
        <v>8</v>
      </c>
      <c r="CY721" s="35" t="s">
        <v>138</v>
      </c>
      <c r="CZ721" s="36" t="s">
        <v>138</v>
      </c>
      <c r="DA721" s="35">
        <v>0.02</v>
      </c>
      <c r="DB721" s="36">
        <v>58</v>
      </c>
      <c r="DC721" s="37">
        <v>17.23</v>
      </c>
      <c r="DD721" s="36">
        <v>94</v>
      </c>
      <c r="DE721" s="37">
        <v>-1.28</v>
      </c>
      <c r="DF721" s="35">
        <v>-6.93</v>
      </c>
      <c r="DG721" s="37">
        <v>30.22</v>
      </c>
      <c r="DH721" s="36">
        <v>97</v>
      </c>
      <c r="DI721" s="37">
        <v>21.27</v>
      </c>
      <c r="DJ721" s="36">
        <v>91</v>
      </c>
      <c r="DK721" s="37">
        <v>30.22</v>
      </c>
      <c r="DL721" s="36">
        <v>94</v>
      </c>
      <c r="DM721" s="37" t="s">
        <v>138</v>
      </c>
      <c r="DN721" s="36" t="s">
        <v>138</v>
      </c>
      <c r="DO721" s="37">
        <v>9.26</v>
      </c>
      <c r="DP721" s="36">
        <v>86</v>
      </c>
      <c r="DQ721" s="36">
        <v>10735</v>
      </c>
      <c r="DR721" s="38">
        <v>-1109</v>
      </c>
      <c r="DS721" s="35">
        <v>-9.36</v>
      </c>
      <c r="DT721" s="36" t="s">
        <v>138</v>
      </c>
      <c r="DU721" s="38" t="s">
        <v>138</v>
      </c>
      <c r="DV721" s="35" t="s">
        <v>138</v>
      </c>
      <c r="DW721" s="36">
        <v>3313</v>
      </c>
      <c r="DX721" s="39">
        <v>5</v>
      </c>
      <c r="DY721" s="35">
        <v>0.15</v>
      </c>
      <c r="DZ721" s="28" t="s">
        <v>178</v>
      </c>
      <c r="EA721" s="34">
        <v>43565</v>
      </c>
      <c r="EB721" s="29">
        <v>60.6</v>
      </c>
      <c r="EC721" s="34">
        <v>42494</v>
      </c>
      <c r="ED721" s="28" t="s">
        <v>173</v>
      </c>
      <c r="EE721" s="40" t="str">
        <f>HYPERLINK("https://my.pitchbook.com?c=63450-73", "View company online")</f>
        <v>View company online</v>
      </c>
    </row>
    <row r="722" spans="1:135">
      <c r="A722" s="15" t="s">
        <v>14436</v>
      </c>
      <c r="B722" s="15" t="s">
        <v>14437</v>
      </c>
      <c r="C722" s="15" t="s">
        <v>138</v>
      </c>
      <c r="D722" s="15" t="s">
        <v>14438</v>
      </c>
      <c r="E722" s="15" t="s">
        <v>14439</v>
      </c>
      <c r="F722" s="15" t="s">
        <v>14436</v>
      </c>
      <c r="G722" s="15" t="s">
        <v>14440</v>
      </c>
      <c r="H722" s="15" t="s">
        <v>322</v>
      </c>
      <c r="I722" s="15" t="s">
        <v>323</v>
      </c>
      <c r="J722" s="15" t="s">
        <v>437</v>
      </c>
      <c r="K722" s="15" t="s">
        <v>12783</v>
      </c>
      <c r="L722" s="15" t="s">
        <v>4804</v>
      </c>
      <c r="M722" s="15" t="s">
        <v>14441</v>
      </c>
      <c r="N722" s="15" t="s">
        <v>147</v>
      </c>
      <c r="O722" s="17">
        <v>4.5999999999999996</v>
      </c>
      <c r="P722" s="15" t="s">
        <v>148</v>
      </c>
      <c r="Q722" s="15" t="s">
        <v>149</v>
      </c>
      <c r="R722" s="15" t="s">
        <v>174</v>
      </c>
      <c r="S722" s="15" t="s">
        <v>14442</v>
      </c>
      <c r="T722" s="18">
        <v>15</v>
      </c>
      <c r="U722" s="15" t="s">
        <v>14443</v>
      </c>
      <c r="V722" s="15" t="s">
        <v>138</v>
      </c>
      <c r="W722" s="15" t="s">
        <v>138</v>
      </c>
      <c r="X722" s="19">
        <v>2003</v>
      </c>
      <c r="Y722" s="15" t="s">
        <v>138</v>
      </c>
      <c r="Z722" s="15" t="s">
        <v>138</v>
      </c>
      <c r="AA722" s="15" t="s">
        <v>138</v>
      </c>
      <c r="AB722" s="20" t="s">
        <v>138</v>
      </c>
      <c r="AC722" s="20" t="s">
        <v>138</v>
      </c>
      <c r="AD722" s="20" t="s">
        <v>138</v>
      </c>
      <c r="AE722" s="20" t="s">
        <v>138</v>
      </c>
      <c r="AF722" s="20" t="s">
        <v>138</v>
      </c>
      <c r="AG722" s="15" t="s">
        <v>138</v>
      </c>
      <c r="AH722" s="20" t="s">
        <v>138</v>
      </c>
      <c r="AI722" s="20" t="s">
        <v>138</v>
      </c>
      <c r="AJ722" s="20" t="s">
        <v>138</v>
      </c>
      <c r="AK722" s="15" t="s">
        <v>14444</v>
      </c>
      <c r="AL722" s="15" t="s">
        <v>14445</v>
      </c>
      <c r="AM722" s="15" t="s">
        <v>3902</v>
      </c>
      <c r="AN722" s="15" t="s">
        <v>14446</v>
      </c>
      <c r="AO722" s="15" t="s">
        <v>14447</v>
      </c>
      <c r="AP722" s="15" t="s">
        <v>2905</v>
      </c>
      <c r="AQ722" s="15" t="s">
        <v>14448</v>
      </c>
      <c r="AR722" s="15" t="s">
        <v>138</v>
      </c>
      <c r="AS722" s="15" t="s">
        <v>2907</v>
      </c>
      <c r="AT722" s="15" t="s">
        <v>138</v>
      </c>
      <c r="AU722" s="15" t="s">
        <v>14449</v>
      </c>
      <c r="AV722" s="15" t="s">
        <v>946</v>
      </c>
      <c r="AW722" s="15" t="s">
        <v>14447</v>
      </c>
      <c r="AX722" s="15" t="s">
        <v>138</v>
      </c>
      <c r="AY722" s="15" t="s">
        <v>138</v>
      </c>
      <c r="AZ722" s="15" t="s">
        <v>530</v>
      </c>
      <c r="BA722" s="15" t="s">
        <v>531</v>
      </c>
      <c r="BB722" s="15" t="s">
        <v>14450</v>
      </c>
      <c r="BC722" s="15" t="s">
        <v>14451</v>
      </c>
      <c r="BD722" s="21">
        <v>1</v>
      </c>
      <c r="BE722" s="15" t="s">
        <v>138</v>
      </c>
      <c r="BF722" s="15" t="s">
        <v>14452</v>
      </c>
      <c r="BG722" s="15" t="s">
        <v>138</v>
      </c>
      <c r="BH722" s="15" t="s">
        <v>14453</v>
      </c>
      <c r="BI722" s="15" t="s">
        <v>14454</v>
      </c>
      <c r="BJ722" s="15" t="s">
        <v>138</v>
      </c>
      <c r="BK722" s="15" t="s">
        <v>138</v>
      </c>
      <c r="BL722" s="15" t="s">
        <v>138</v>
      </c>
      <c r="BM722" s="22">
        <v>37987</v>
      </c>
      <c r="BN722" s="17" t="s">
        <v>138</v>
      </c>
      <c r="BO722" s="15" t="s">
        <v>138</v>
      </c>
      <c r="BP722" s="17" t="s">
        <v>138</v>
      </c>
      <c r="BQ722" s="15" t="s">
        <v>138</v>
      </c>
      <c r="BR722" s="15" t="s">
        <v>205</v>
      </c>
      <c r="BS722" s="15" t="s">
        <v>206</v>
      </c>
      <c r="BT722" s="15" t="s">
        <v>138</v>
      </c>
      <c r="BU722" s="15" t="s">
        <v>174</v>
      </c>
      <c r="BV722" s="15" t="s">
        <v>138</v>
      </c>
      <c r="BW722" s="15" t="s">
        <v>138</v>
      </c>
      <c r="BX722" s="15" t="s">
        <v>138</v>
      </c>
      <c r="BY722" s="15" t="s">
        <v>175</v>
      </c>
      <c r="BZ722" s="22">
        <v>41743</v>
      </c>
      <c r="CA722" s="17" t="s">
        <v>138</v>
      </c>
      <c r="CB722" s="15" t="s">
        <v>138</v>
      </c>
      <c r="CC722" s="17" t="s">
        <v>138</v>
      </c>
      <c r="CD722" s="15" t="s">
        <v>138</v>
      </c>
      <c r="CE722" s="15" t="s">
        <v>173</v>
      </c>
      <c r="CF722" s="15" t="s">
        <v>138</v>
      </c>
      <c r="CG722" s="15" t="s">
        <v>138</v>
      </c>
      <c r="CH722" s="15" t="s">
        <v>174</v>
      </c>
      <c r="CI722" s="15" t="s">
        <v>138</v>
      </c>
      <c r="CJ722" s="15" t="s">
        <v>138</v>
      </c>
      <c r="CK722" s="15" t="s">
        <v>138</v>
      </c>
      <c r="CL722" s="15" t="s">
        <v>175</v>
      </c>
      <c r="CM722" s="22" t="s">
        <v>138</v>
      </c>
      <c r="CN722" s="17" t="s">
        <v>138</v>
      </c>
      <c r="CO722" s="23">
        <v>0.82</v>
      </c>
      <c r="CP722" s="24">
        <v>97</v>
      </c>
      <c r="CQ722" s="23">
        <v>-0.01</v>
      </c>
      <c r="CR722" s="23">
        <v>-1.19</v>
      </c>
      <c r="CS722" s="23">
        <v>1.52</v>
      </c>
      <c r="CT722" s="24">
        <v>98</v>
      </c>
      <c r="CU722" s="23">
        <v>0.13</v>
      </c>
      <c r="CV722" s="24">
        <v>73</v>
      </c>
      <c r="CW722" s="23">
        <v>1.52</v>
      </c>
      <c r="CX722" s="24">
        <v>86</v>
      </c>
      <c r="CY722" s="23" t="s">
        <v>138</v>
      </c>
      <c r="CZ722" s="24" t="s">
        <v>138</v>
      </c>
      <c r="DA722" s="23">
        <v>0.2</v>
      </c>
      <c r="DB722" s="24">
        <v>82</v>
      </c>
      <c r="DC722" s="25">
        <v>15.51</v>
      </c>
      <c r="DD722" s="24">
        <v>93</v>
      </c>
      <c r="DE722" s="25">
        <v>-1.77</v>
      </c>
      <c r="DF722" s="23">
        <v>-10.25</v>
      </c>
      <c r="DG722" s="25">
        <v>27.74</v>
      </c>
      <c r="DH722" s="24">
        <v>96</v>
      </c>
      <c r="DI722" s="25">
        <v>3.27</v>
      </c>
      <c r="DJ722" s="24">
        <v>71</v>
      </c>
      <c r="DK722" s="25">
        <v>27.74</v>
      </c>
      <c r="DL722" s="24">
        <v>93</v>
      </c>
      <c r="DM722" s="25" t="s">
        <v>138</v>
      </c>
      <c r="DN722" s="24" t="s">
        <v>138</v>
      </c>
      <c r="DO722" s="25">
        <v>5.37</v>
      </c>
      <c r="DP722" s="24">
        <v>80</v>
      </c>
      <c r="DQ722" s="24">
        <v>9516</v>
      </c>
      <c r="DR722" s="26">
        <v>0</v>
      </c>
      <c r="DS722" s="23">
        <v>0</v>
      </c>
      <c r="DT722" s="24" t="s">
        <v>138</v>
      </c>
      <c r="DU722" s="26" t="s">
        <v>138</v>
      </c>
      <c r="DV722" s="23" t="s">
        <v>138</v>
      </c>
      <c r="DW722" s="24">
        <v>1917</v>
      </c>
      <c r="DX722" s="27">
        <v>-1</v>
      </c>
      <c r="DY722" s="23">
        <v>-0.05</v>
      </c>
      <c r="DZ722" s="15" t="s">
        <v>178</v>
      </c>
      <c r="EA722" s="22">
        <v>43448</v>
      </c>
      <c r="EB722" s="17" t="s">
        <v>138</v>
      </c>
      <c r="EC722" s="22" t="s">
        <v>138</v>
      </c>
      <c r="ED722" s="15" t="s">
        <v>138</v>
      </c>
      <c r="EE722" s="14" t="str">
        <f>HYPERLINK("https://my.pitchbook.com?c=55015-30", "View company online")</f>
        <v>View company online</v>
      </c>
    </row>
    <row r="723" spans="1:135">
      <c r="A723" s="28" t="s">
        <v>14455</v>
      </c>
      <c r="B723" s="28" t="s">
        <v>14456</v>
      </c>
      <c r="C723" s="28" t="s">
        <v>138</v>
      </c>
      <c r="D723" s="28" t="s">
        <v>14457</v>
      </c>
      <c r="E723" s="28" t="s">
        <v>138</v>
      </c>
      <c r="F723" s="28" t="s">
        <v>14455</v>
      </c>
      <c r="G723" s="28" t="s">
        <v>14458</v>
      </c>
      <c r="H723" s="28" t="s">
        <v>322</v>
      </c>
      <c r="I723" s="28" t="s">
        <v>323</v>
      </c>
      <c r="J723" s="28" t="s">
        <v>324</v>
      </c>
      <c r="K723" s="28" t="s">
        <v>14459</v>
      </c>
      <c r="L723" s="28" t="s">
        <v>415</v>
      </c>
      <c r="M723" s="28" t="s">
        <v>14460</v>
      </c>
      <c r="N723" s="28" t="s">
        <v>147</v>
      </c>
      <c r="O723" s="29" t="s">
        <v>138</v>
      </c>
      <c r="P723" s="28" t="s">
        <v>148</v>
      </c>
      <c r="Q723" s="28" t="s">
        <v>149</v>
      </c>
      <c r="R723" s="28" t="s">
        <v>174</v>
      </c>
      <c r="S723" s="28" t="s">
        <v>14461</v>
      </c>
      <c r="T723" s="30">
        <v>2</v>
      </c>
      <c r="U723" s="28" t="s">
        <v>2021</v>
      </c>
      <c r="V723" s="28" t="s">
        <v>138</v>
      </c>
      <c r="W723" s="28" t="s">
        <v>138</v>
      </c>
      <c r="X723" s="31">
        <v>2006</v>
      </c>
      <c r="Y723" s="28" t="s">
        <v>138</v>
      </c>
      <c r="Z723" s="28" t="s">
        <v>138</v>
      </c>
      <c r="AA723" s="28" t="s">
        <v>138</v>
      </c>
      <c r="AB723" s="32" t="s">
        <v>138</v>
      </c>
      <c r="AC723" s="32" t="s">
        <v>138</v>
      </c>
      <c r="AD723" s="32" t="s">
        <v>138</v>
      </c>
      <c r="AE723" s="32" t="s">
        <v>138</v>
      </c>
      <c r="AF723" s="32" t="s">
        <v>138</v>
      </c>
      <c r="AG723" s="28" t="s">
        <v>138</v>
      </c>
      <c r="AH723" s="32" t="s">
        <v>138</v>
      </c>
      <c r="AI723" s="32" t="s">
        <v>138</v>
      </c>
      <c r="AJ723" s="32" t="s">
        <v>138</v>
      </c>
      <c r="AK723" s="28" t="s">
        <v>14462</v>
      </c>
      <c r="AL723" s="28" t="s">
        <v>14463</v>
      </c>
      <c r="AM723" s="28" t="s">
        <v>938</v>
      </c>
      <c r="AN723" s="28" t="s">
        <v>14464</v>
      </c>
      <c r="AO723" s="28" t="s">
        <v>14465</v>
      </c>
      <c r="AP723" s="28" t="s">
        <v>8993</v>
      </c>
      <c r="AQ723" s="28" t="s">
        <v>14466</v>
      </c>
      <c r="AR723" s="28" t="s">
        <v>14467</v>
      </c>
      <c r="AS723" s="28" t="s">
        <v>8996</v>
      </c>
      <c r="AT723" s="28" t="s">
        <v>8997</v>
      </c>
      <c r="AU723" s="28" t="s">
        <v>14468</v>
      </c>
      <c r="AV723" s="28" t="s">
        <v>8999</v>
      </c>
      <c r="AW723" s="28" t="s">
        <v>14469</v>
      </c>
      <c r="AX723" s="28" t="s">
        <v>138</v>
      </c>
      <c r="AY723" s="28" t="s">
        <v>138</v>
      </c>
      <c r="AZ723" s="28" t="s">
        <v>9001</v>
      </c>
      <c r="BA723" s="28" t="s">
        <v>9001</v>
      </c>
      <c r="BB723" s="28" t="s">
        <v>14470</v>
      </c>
      <c r="BC723" s="28" t="s">
        <v>14471</v>
      </c>
      <c r="BD723" s="33">
        <v>2</v>
      </c>
      <c r="BE723" s="28" t="s">
        <v>138</v>
      </c>
      <c r="BF723" s="28" t="s">
        <v>138</v>
      </c>
      <c r="BG723" s="28" t="s">
        <v>138</v>
      </c>
      <c r="BH723" s="28" t="s">
        <v>3049</v>
      </c>
      <c r="BI723" s="28" t="s">
        <v>138</v>
      </c>
      <c r="BJ723" s="28" t="s">
        <v>138</v>
      </c>
      <c r="BK723" s="28" t="s">
        <v>138</v>
      </c>
      <c r="BL723" s="28" t="s">
        <v>138</v>
      </c>
      <c r="BM723" s="34">
        <v>41555</v>
      </c>
      <c r="BN723" s="29">
        <v>0.01</v>
      </c>
      <c r="BO723" s="28" t="s">
        <v>172</v>
      </c>
      <c r="BP723" s="29" t="s">
        <v>138</v>
      </c>
      <c r="BQ723" s="28" t="s">
        <v>138</v>
      </c>
      <c r="BR723" s="28" t="s">
        <v>176</v>
      </c>
      <c r="BS723" s="28" t="s">
        <v>138</v>
      </c>
      <c r="BT723" s="28" t="s">
        <v>138</v>
      </c>
      <c r="BU723" s="28" t="s">
        <v>177</v>
      </c>
      <c r="BV723" s="28" t="s">
        <v>138</v>
      </c>
      <c r="BW723" s="28" t="s">
        <v>138</v>
      </c>
      <c r="BX723" s="28" t="s">
        <v>138</v>
      </c>
      <c r="BY723" s="28" t="s">
        <v>175</v>
      </c>
      <c r="BZ723" s="34">
        <v>42837</v>
      </c>
      <c r="CA723" s="29" t="s">
        <v>138</v>
      </c>
      <c r="CB723" s="28" t="s">
        <v>138</v>
      </c>
      <c r="CC723" s="29" t="s">
        <v>138</v>
      </c>
      <c r="CD723" s="28" t="s">
        <v>138</v>
      </c>
      <c r="CE723" s="28" t="s">
        <v>173</v>
      </c>
      <c r="CF723" s="28" t="s">
        <v>206</v>
      </c>
      <c r="CG723" s="28" t="s">
        <v>138</v>
      </c>
      <c r="CH723" s="28" t="s">
        <v>174</v>
      </c>
      <c r="CI723" s="28" t="s">
        <v>138</v>
      </c>
      <c r="CJ723" s="28" t="s">
        <v>138</v>
      </c>
      <c r="CK723" s="28" t="s">
        <v>138</v>
      </c>
      <c r="CL723" s="28" t="s">
        <v>175</v>
      </c>
      <c r="CM723" s="34" t="s">
        <v>138</v>
      </c>
      <c r="CN723" s="29" t="s">
        <v>138</v>
      </c>
      <c r="CO723" s="35">
        <v>0</v>
      </c>
      <c r="CP723" s="36">
        <v>26</v>
      </c>
      <c r="CQ723" s="35">
        <v>0</v>
      </c>
      <c r="CR723" s="35">
        <v>0</v>
      </c>
      <c r="CS723" s="35">
        <v>0</v>
      </c>
      <c r="CT723" s="36">
        <v>23</v>
      </c>
      <c r="CU723" s="35" t="s">
        <v>138</v>
      </c>
      <c r="CV723" s="36" t="s">
        <v>138</v>
      </c>
      <c r="CW723" s="35" t="s">
        <v>138</v>
      </c>
      <c r="CX723" s="36" t="s">
        <v>138</v>
      </c>
      <c r="CY723" s="35">
        <v>0</v>
      </c>
      <c r="CZ723" s="36">
        <v>25</v>
      </c>
      <c r="DA723" s="35" t="s">
        <v>138</v>
      </c>
      <c r="DB723" s="36" t="s">
        <v>138</v>
      </c>
      <c r="DC723" s="37">
        <v>1.34</v>
      </c>
      <c r="DD723" s="36">
        <v>58</v>
      </c>
      <c r="DE723" s="37">
        <v>0.03</v>
      </c>
      <c r="DF723" s="35">
        <v>2.63</v>
      </c>
      <c r="DG723" s="37">
        <v>1.34</v>
      </c>
      <c r="DH723" s="36">
        <v>58</v>
      </c>
      <c r="DI723" s="37" t="s">
        <v>138</v>
      </c>
      <c r="DJ723" s="36" t="s">
        <v>138</v>
      </c>
      <c r="DK723" s="37" t="s">
        <v>138</v>
      </c>
      <c r="DL723" s="36" t="s">
        <v>138</v>
      </c>
      <c r="DM723" s="37">
        <v>1.34</v>
      </c>
      <c r="DN723" s="36">
        <v>57</v>
      </c>
      <c r="DO723" s="37" t="s">
        <v>138</v>
      </c>
      <c r="DP723" s="36" t="s">
        <v>138</v>
      </c>
      <c r="DQ723" s="36" t="s">
        <v>138</v>
      </c>
      <c r="DR723" s="38" t="s">
        <v>138</v>
      </c>
      <c r="DS723" s="35" t="s">
        <v>138</v>
      </c>
      <c r="DT723" s="36">
        <v>38</v>
      </c>
      <c r="DU723" s="38">
        <v>0</v>
      </c>
      <c r="DV723" s="35">
        <v>0</v>
      </c>
      <c r="DW723" s="36" t="s">
        <v>138</v>
      </c>
      <c r="DX723" s="39" t="s">
        <v>138</v>
      </c>
      <c r="DY723" s="35" t="s">
        <v>138</v>
      </c>
      <c r="DZ723" s="28" t="s">
        <v>178</v>
      </c>
      <c r="EA723" s="34">
        <v>43445</v>
      </c>
      <c r="EB723" s="29" t="s">
        <v>138</v>
      </c>
      <c r="EC723" s="34" t="s">
        <v>138</v>
      </c>
      <c r="ED723" s="28" t="s">
        <v>138</v>
      </c>
      <c r="EE723" s="40" t="str">
        <f>HYPERLINK("https://my.pitchbook.com?c=163952-02", "View company online")</f>
        <v>View company online</v>
      </c>
    </row>
    <row r="724" spans="1:135">
      <c r="A724" s="15" t="s">
        <v>14472</v>
      </c>
      <c r="B724" s="15" t="s">
        <v>14473</v>
      </c>
      <c r="C724" s="15" t="s">
        <v>138</v>
      </c>
      <c r="D724" s="15" t="s">
        <v>138</v>
      </c>
      <c r="E724" s="15" t="s">
        <v>138</v>
      </c>
      <c r="F724" s="15" t="s">
        <v>14472</v>
      </c>
      <c r="G724" s="15" t="s">
        <v>14474</v>
      </c>
      <c r="H724" s="15" t="s">
        <v>183</v>
      </c>
      <c r="I724" s="15" t="s">
        <v>4681</v>
      </c>
      <c r="J724" s="15" t="s">
        <v>14475</v>
      </c>
      <c r="K724" s="15" t="s">
        <v>14476</v>
      </c>
      <c r="L724" s="15" t="s">
        <v>4684</v>
      </c>
      <c r="M724" s="15" t="s">
        <v>14477</v>
      </c>
      <c r="N724" s="15" t="s">
        <v>147</v>
      </c>
      <c r="O724" s="17">
        <v>2.15</v>
      </c>
      <c r="P724" s="15" t="s">
        <v>148</v>
      </c>
      <c r="Q724" s="15" t="s">
        <v>149</v>
      </c>
      <c r="R724" s="15" t="s">
        <v>244</v>
      </c>
      <c r="S724" s="15" t="s">
        <v>14478</v>
      </c>
      <c r="T724" s="18">
        <v>11</v>
      </c>
      <c r="U724" s="15" t="s">
        <v>14479</v>
      </c>
      <c r="V724" s="15" t="s">
        <v>138</v>
      </c>
      <c r="W724" s="15" t="s">
        <v>138</v>
      </c>
      <c r="X724" s="19">
        <v>2001</v>
      </c>
      <c r="Y724" s="15" t="s">
        <v>138</v>
      </c>
      <c r="Z724" s="15" t="s">
        <v>138</v>
      </c>
      <c r="AA724" s="15" t="s">
        <v>138</v>
      </c>
      <c r="AB724" s="20" t="s">
        <v>138</v>
      </c>
      <c r="AC724" s="20" t="s">
        <v>138</v>
      </c>
      <c r="AD724" s="20" t="s">
        <v>138</v>
      </c>
      <c r="AE724" s="20" t="s">
        <v>138</v>
      </c>
      <c r="AF724" s="20" t="s">
        <v>138</v>
      </c>
      <c r="AG724" s="15" t="s">
        <v>138</v>
      </c>
      <c r="AH724" s="20" t="s">
        <v>138</v>
      </c>
      <c r="AI724" s="20" t="s">
        <v>138</v>
      </c>
      <c r="AJ724" s="20" t="s">
        <v>138</v>
      </c>
      <c r="AK724" s="15" t="s">
        <v>14480</v>
      </c>
      <c r="AL724" s="15" t="s">
        <v>14481</v>
      </c>
      <c r="AM724" s="15" t="s">
        <v>14482</v>
      </c>
      <c r="AN724" s="15" t="s">
        <v>14483</v>
      </c>
      <c r="AO724" s="15" t="s">
        <v>14484</v>
      </c>
      <c r="AP724" s="15" t="s">
        <v>280</v>
      </c>
      <c r="AQ724" s="15" t="s">
        <v>14485</v>
      </c>
      <c r="AR724" s="15" t="s">
        <v>8976</v>
      </c>
      <c r="AS724" s="15" t="s">
        <v>283</v>
      </c>
      <c r="AT724" s="15" t="s">
        <v>284</v>
      </c>
      <c r="AU724" s="15" t="s">
        <v>285</v>
      </c>
      <c r="AV724" s="15" t="s">
        <v>162</v>
      </c>
      <c r="AW724" s="15" t="s">
        <v>14486</v>
      </c>
      <c r="AX724" s="15" t="s">
        <v>138</v>
      </c>
      <c r="AY724" s="15" t="s">
        <v>14487</v>
      </c>
      <c r="AZ724" s="15" t="s">
        <v>164</v>
      </c>
      <c r="BA724" s="15" t="s">
        <v>165</v>
      </c>
      <c r="BB724" s="15" t="s">
        <v>14488</v>
      </c>
      <c r="BC724" s="15" t="s">
        <v>14489</v>
      </c>
      <c r="BD724" s="21">
        <v>4</v>
      </c>
      <c r="BE724" s="15" t="s">
        <v>138</v>
      </c>
      <c r="BF724" s="15" t="s">
        <v>138</v>
      </c>
      <c r="BG724" s="15" t="s">
        <v>138</v>
      </c>
      <c r="BH724" s="15" t="s">
        <v>14490</v>
      </c>
      <c r="BI724" s="15" t="s">
        <v>138</v>
      </c>
      <c r="BJ724" s="15" t="s">
        <v>138</v>
      </c>
      <c r="BK724" s="15" t="s">
        <v>138</v>
      </c>
      <c r="BL724" s="15" t="s">
        <v>138</v>
      </c>
      <c r="BM724" s="22" t="s">
        <v>138</v>
      </c>
      <c r="BN724" s="17" t="s">
        <v>138</v>
      </c>
      <c r="BO724" s="15" t="s">
        <v>138</v>
      </c>
      <c r="BP724" s="17" t="s">
        <v>138</v>
      </c>
      <c r="BQ724" s="15" t="s">
        <v>138</v>
      </c>
      <c r="BR724" s="15" t="s">
        <v>205</v>
      </c>
      <c r="BS724" s="15" t="s">
        <v>138</v>
      </c>
      <c r="BT724" s="15" t="s">
        <v>138</v>
      </c>
      <c r="BU724" s="15" t="s">
        <v>174</v>
      </c>
      <c r="BV724" s="15" t="s">
        <v>138</v>
      </c>
      <c r="BW724" s="15" t="s">
        <v>138</v>
      </c>
      <c r="BX724" s="15" t="s">
        <v>138</v>
      </c>
      <c r="BY724" s="15" t="s">
        <v>175</v>
      </c>
      <c r="BZ724" s="22">
        <v>41773</v>
      </c>
      <c r="CA724" s="17">
        <v>1.5</v>
      </c>
      <c r="CB724" s="15" t="s">
        <v>172</v>
      </c>
      <c r="CC724" s="17">
        <v>23.25</v>
      </c>
      <c r="CD724" s="15" t="s">
        <v>172</v>
      </c>
      <c r="CE724" s="15" t="s">
        <v>173</v>
      </c>
      <c r="CF724" s="15" t="s">
        <v>720</v>
      </c>
      <c r="CG724" s="15" t="s">
        <v>138</v>
      </c>
      <c r="CH724" s="15" t="s">
        <v>174</v>
      </c>
      <c r="CI724" s="15" t="s">
        <v>138</v>
      </c>
      <c r="CJ724" s="15" t="s">
        <v>138</v>
      </c>
      <c r="CK724" s="15" t="s">
        <v>138</v>
      </c>
      <c r="CL724" s="15" t="s">
        <v>175</v>
      </c>
      <c r="CM724" s="22" t="s">
        <v>138</v>
      </c>
      <c r="CN724" s="17" t="s">
        <v>138</v>
      </c>
      <c r="CO724" s="23">
        <v>0</v>
      </c>
      <c r="CP724" s="24">
        <v>26</v>
      </c>
      <c r="CQ724" s="23">
        <v>0</v>
      </c>
      <c r="CR724" s="23">
        <v>0</v>
      </c>
      <c r="CS724" s="23">
        <v>0</v>
      </c>
      <c r="CT724" s="24">
        <v>23</v>
      </c>
      <c r="CU724" s="23" t="s">
        <v>138</v>
      </c>
      <c r="CV724" s="24" t="s">
        <v>138</v>
      </c>
      <c r="CW724" s="23" t="s">
        <v>138</v>
      </c>
      <c r="CX724" s="24" t="s">
        <v>138</v>
      </c>
      <c r="CY724" s="23">
        <v>0</v>
      </c>
      <c r="CZ724" s="24">
        <v>25</v>
      </c>
      <c r="DA724" s="23" t="s">
        <v>138</v>
      </c>
      <c r="DB724" s="24" t="s">
        <v>138</v>
      </c>
      <c r="DC724" s="25">
        <v>1.55</v>
      </c>
      <c r="DD724" s="24">
        <v>61</v>
      </c>
      <c r="DE724" s="25">
        <v>0</v>
      </c>
      <c r="DF724" s="23">
        <v>0</v>
      </c>
      <c r="DG724" s="25">
        <v>1.55</v>
      </c>
      <c r="DH724" s="24">
        <v>61</v>
      </c>
      <c r="DI724" s="25" t="s">
        <v>138</v>
      </c>
      <c r="DJ724" s="24" t="s">
        <v>138</v>
      </c>
      <c r="DK724" s="25" t="s">
        <v>138</v>
      </c>
      <c r="DL724" s="24" t="s">
        <v>138</v>
      </c>
      <c r="DM724" s="25">
        <v>1.55</v>
      </c>
      <c r="DN724" s="24">
        <v>60</v>
      </c>
      <c r="DO724" s="25" t="s">
        <v>138</v>
      </c>
      <c r="DP724" s="24" t="s">
        <v>138</v>
      </c>
      <c r="DQ724" s="24" t="s">
        <v>138</v>
      </c>
      <c r="DR724" s="26" t="s">
        <v>138</v>
      </c>
      <c r="DS724" s="23" t="s">
        <v>138</v>
      </c>
      <c r="DT724" s="24">
        <v>45</v>
      </c>
      <c r="DU724" s="26">
        <v>0</v>
      </c>
      <c r="DV724" s="23">
        <v>0</v>
      </c>
      <c r="DW724" s="24" t="s">
        <v>138</v>
      </c>
      <c r="DX724" s="27" t="s">
        <v>138</v>
      </c>
      <c r="DY724" s="23" t="s">
        <v>138</v>
      </c>
      <c r="DZ724" s="15" t="s">
        <v>178</v>
      </c>
      <c r="EA724" s="22">
        <v>43375</v>
      </c>
      <c r="EB724" s="17">
        <v>23.25</v>
      </c>
      <c r="EC724" s="22">
        <v>41773</v>
      </c>
      <c r="ED724" s="15" t="s">
        <v>173</v>
      </c>
      <c r="EE724" s="14" t="str">
        <f>HYPERLINK("https://my.pitchbook.com?c=54113-95", "View company online")</f>
        <v>View company online</v>
      </c>
    </row>
    <row r="725" spans="1:135">
      <c r="A725" s="28" t="s">
        <v>14491</v>
      </c>
      <c r="B725" s="28" t="s">
        <v>14492</v>
      </c>
      <c r="C725" s="28" t="s">
        <v>138</v>
      </c>
      <c r="D725" s="28" t="s">
        <v>138</v>
      </c>
      <c r="E725" s="28" t="s">
        <v>14493</v>
      </c>
      <c r="F725" s="28" t="s">
        <v>14491</v>
      </c>
      <c r="G725" s="28" t="s">
        <v>14494</v>
      </c>
      <c r="H725" s="28" t="s">
        <v>322</v>
      </c>
      <c r="I725" s="28" t="s">
        <v>323</v>
      </c>
      <c r="J725" s="28" t="s">
        <v>413</v>
      </c>
      <c r="K725" s="28" t="s">
        <v>414</v>
      </c>
      <c r="L725" s="28" t="s">
        <v>14495</v>
      </c>
      <c r="M725" s="28" t="s">
        <v>14496</v>
      </c>
      <c r="N725" s="28" t="s">
        <v>1452</v>
      </c>
      <c r="O725" s="29">
        <v>2.17</v>
      </c>
      <c r="P725" s="28" t="s">
        <v>148</v>
      </c>
      <c r="Q725" s="28" t="s">
        <v>149</v>
      </c>
      <c r="R725" s="28" t="s">
        <v>328</v>
      </c>
      <c r="S725" s="28" t="s">
        <v>14497</v>
      </c>
      <c r="T725" s="30">
        <v>9</v>
      </c>
      <c r="U725" s="28" t="s">
        <v>4748</v>
      </c>
      <c r="V725" s="28" t="s">
        <v>138</v>
      </c>
      <c r="W725" s="28" t="s">
        <v>138</v>
      </c>
      <c r="X725" s="31" t="s">
        <v>138</v>
      </c>
      <c r="Y725" s="28" t="s">
        <v>14498</v>
      </c>
      <c r="Z725" s="28" t="s">
        <v>138</v>
      </c>
      <c r="AA725" s="28" t="s">
        <v>138</v>
      </c>
      <c r="AB725" s="32" t="s">
        <v>138</v>
      </c>
      <c r="AC725" s="32" t="s">
        <v>138</v>
      </c>
      <c r="AD725" s="32" t="s">
        <v>138</v>
      </c>
      <c r="AE725" s="32" t="s">
        <v>138</v>
      </c>
      <c r="AF725" s="32" t="s">
        <v>138</v>
      </c>
      <c r="AG725" s="28" t="s">
        <v>138</v>
      </c>
      <c r="AH725" s="32" t="s">
        <v>138</v>
      </c>
      <c r="AI725" s="32" t="s">
        <v>138</v>
      </c>
      <c r="AJ725" s="32" t="s">
        <v>138</v>
      </c>
      <c r="AK725" s="28" t="s">
        <v>138</v>
      </c>
      <c r="AL725" s="28" t="s">
        <v>138</v>
      </c>
      <c r="AM725" s="28" t="s">
        <v>138</v>
      </c>
      <c r="AN725" s="28" t="s">
        <v>138</v>
      </c>
      <c r="AO725" s="28" t="s">
        <v>138</v>
      </c>
      <c r="AP725" s="28" t="s">
        <v>14499</v>
      </c>
      <c r="AQ725" s="28" t="s">
        <v>14500</v>
      </c>
      <c r="AR725" s="28" t="s">
        <v>14501</v>
      </c>
      <c r="AS725" s="28" t="s">
        <v>14502</v>
      </c>
      <c r="AT725" s="28" t="s">
        <v>4493</v>
      </c>
      <c r="AU725" s="28" t="s">
        <v>14503</v>
      </c>
      <c r="AV725" s="28" t="s">
        <v>162</v>
      </c>
      <c r="AW725" s="28" t="s">
        <v>138</v>
      </c>
      <c r="AX725" s="28" t="s">
        <v>138</v>
      </c>
      <c r="AY725" s="28" t="s">
        <v>14504</v>
      </c>
      <c r="AZ725" s="28" t="s">
        <v>164</v>
      </c>
      <c r="BA725" s="28" t="s">
        <v>165</v>
      </c>
      <c r="BB725" s="28" t="s">
        <v>14505</v>
      </c>
      <c r="BC725" s="28" t="s">
        <v>138</v>
      </c>
      <c r="BD725" s="33" t="s">
        <v>138</v>
      </c>
      <c r="BE725" s="28" t="s">
        <v>14498</v>
      </c>
      <c r="BF725" s="28" t="s">
        <v>14506</v>
      </c>
      <c r="BG725" s="28" t="s">
        <v>14507</v>
      </c>
      <c r="BH725" s="28" t="s">
        <v>138</v>
      </c>
      <c r="BI725" s="28" t="s">
        <v>14508</v>
      </c>
      <c r="BJ725" s="28" t="s">
        <v>14509</v>
      </c>
      <c r="BK725" s="28" t="s">
        <v>138</v>
      </c>
      <c r="BL725" s="28" t="s">
        <v>138</v>
      </c>
      <c r="BM725" s="34" t="s">
        <v>138</v>
      </c>
      <c r="BN725" s="29">
        <v>0.15</v>
      </c>
      <c r="BO725" s="28" t="s">
        <v>172</v>
      </c>
      <c r="BP725" s="29" t="s">
        <v>138</v>
      </c>
      <c r="BQ725" s="28" t="s">
        <v>138</v>
      </c>
      <c r="BR725" s="28" t="s">
        <v>5214</v>
      </c>
      <c r="BS725" s="28" t="s">
        <v>138</v>
      </c>
      <c r="BT725" s="28" t="s">
        <v>138</v>
      </c>
      <c r="BU725" s="28" t="s">
        <v>263</v>
      </c>
      <c r="BV725" s="28" t="s">
        <v>138</v>
      </c>
      <c r="BW725" s="28" t="s">
        <v>138</v>
      </c>
      <c r="BX725" s="28" t="s">
        <v>138</v>
      </c>
      <c r="BY725" s="28" t="s">
        <v>175</v>
      </c>
      <c r="BZ725" s="34">
        <v>42829</v>
      </c>
      <c r="CA725" s="29" t="s">
        <v>138</v>
      </c>
      <c r="CB725" s="28" t="s">
        <v>138</v>
      </c>
      <c r="CC725" s="29" t="s">
        <v>138</v>
      </c>
      <c r="CD725" s="28" t="s">
        <v>138</v>
      </c>
      <c r="CE725" s="28" t="s">
        <v>349</v>
      </c>
      <c r="CF725" s="28" t="s">
        <v>350</v>
      </c>
      <c r="CG725" s="28" t="s">
        <v>138</v>
      </c>
      <c r="CH725" s="28" t="s">
        <v>351</v>
      </c>
      <c r="CI725" s="28" t="s">
        <v>138</v>
      </c>
      <c r="CJ725" s="28" t="s">
        <v>138</v>
      </c>
      <c r="CK725" s="28" t="s">
        <v>138</v>
      </c>
      <c r="CL725" s="28" t="s">
        <v>175</v>
      </c>
      <c r="CM725" s="34" t="s">
        <v>138</v>
      </c>
      <c r="CN725" s="29" t="s">
        <v>138</v>
      </c>
      <c r="CO725" s="35">
        <v>4.49</v>
      </c>
      <c r="CP725" s="36">
        <v>100</v>
      </c>
      <c r="CQ725" s="35">
        <v>0.5</v>
      </c>
      <c r="CR725" s="35">
        <v>12.45</v>
      </c>
      <c r="CS725" s="35">
        <v>8.9</v>
      </c>
      <c r="CT725" s="36">
        <v>100</v>
      </c>
      <c r="CU725" s="35">
        <v>0.08</v>
      </c>
      <c r="CV725" s="36">
        <v>64</v>
      </c>
      <c r="CW725" s="35">
        <v>1.31</v>
      </c>
      <c r="CX725" s="36">
        <v>86</v>
      </c>
      <c r="CY725" s="35">
        <v>16.48</v>
      </c>
      <c r="CZ725" s="36">
        <v>100</v>
      </c>
      <c r="DA725" s="35">
        <v>0.08</v>
      </c>
      <c r="DB725" s="36">
        <v>69</v>
      </c>
      <c r="DC725" s="37">
        <v>159.41999999999999</v>
      </c>
      <c r="DD725" s="36">
        <v>100</v>
      </c>
      <c r="DE725" s="37">
        <v>-16.2</v>
      </c>
      <c r="DF725" s="35">
        <v>-9.23</v>
      </c>
      <c r="DG725" s="37">
        <v>311.07</v>
      </c>
      <c r="DH725" s="36">
        <v>100</v>
      </c>
      <c r="DI725" s="37">
        <v>7.76</v>
      </c>
      <c r="DJ725" s="36">
        <v>83</v>
      </c>
      <c r="DK725" s="37">
        <v>514.94000000000005</v>
      </c>
      <c r="DL725" s="36">
        <v>100</v>
      </c>
      <c r="DM725" s="37">
        <v>107.21</v>
      </c>
      <c r="DN725" s="36">
        <v>99</v>
      </c>
      <c r="DO725" s="37">
        <v>7.76</v>
      </c>
      <c r="DP725" s="36">
        <v>85</v>
      </c>
      <c r="DQ725" s="36">
        <v>174279</v>
      </c>
      <c r="DR725" s="38">
        <v>7036</v>
      </c>
      <c r="DS725" s="35">
        <v>4.21</v>
      </c>
      <c r="DT725" s="36">
        <v>3094</v>
      </c>
      <c r="DU725" s="38">
        <v>446</v>
      </c>
      <c r="DV725" s="35">
        <v>16.84</v>
      </c>
      <c r="DW725" s="36">
        <v>2780</v>
      </c>
      <c r="DX725" s="39">
        <v>2</v>
      </c>
      <c r="DY725" s="35">
        <v>7.0000000000000007E-2</v>
      </c>
      <c r="DZ725" s="28" t="s">
        <v>178</v>
      </c>
      <c r="EA725" s="34">
        <v>43351</v>
      </c>
      <c r="EB725" s="29" t="s">
        <v>138</v>
      </c>
      <c r="EC725" s="34" t="s">
        <v>138</v>
      </c>
      <c r="ED725" s="28" t="s">
        <v>138</v>
      </c>
      <c r="EE725" s="40" t="str">
        <f>HYPERLINK("https://my.pitchbook.com?c=65994-85", "View company online")</f>
        <v>View company online</v>
      </c>
    </row>
    <row r="726" spans="1:135">
      <c r="A726" s="15" t="s">
        <v>14510</v>
      </c>
      <c r="B726" s="15" t="s">
        <v>14511</v>
      </c>
      <c r="C726" s="15" t="s">
        <v>14512</v>
      </c>
      <c r="D726" s="15" t="s">
        <v>138</v>
      </c>
      <c r="E726" s="15" t="s">
        <v>138</v>
      </c>
      <c r="F726" s="15" t="s">
        <v>14510</v>
      </c>
      <c r="G726" s="15" t="s">
        <v>14513</v>
      </c>
      <c r="H726" s="15" t="s">
        <v>322</v>
      </c>
      <c r="I726" s="15" t="s">
        <v>323</v>
      </c>
      <c r="J726" s="15" t="s">
        <v>2084</v>
      </c>
      <c r="K726" s="15" t="s">
        <v>4639</v>
      </c>
      <c r="L726" s="15" t="s">
        <v>4503</v>
      </c>
      <c r="M726" s="15" t="s">
        <v>14514</v>
      </c>
      <c r="N726" s="15" t="s">
        <v>1212</v>
      </c>
      <c r="O726" s="17">
        <v>7.96</v>
      </c>
      <c r="P726" s="15" t="s">
        <v>148</v>
      </c>
      <c r="Q726" s="15" t="s">
        <v>149</v>
      </c>
      <c r="R726" s="15" t="s">
        <v>174</v>
      </c>
      <c r="S726" s="15" t="s">
        <v>14515</v>
      </c>
      <c r="T726" s="18">
        <v>7</v>
      </c>
      <c r="U726" s="15" t="s">
        <v>14516</v>
      </c>
      <c r="V726" s="15" t="s">
        <v>138</v>
      </c>
      <c r="W726" s="15" t="s">
        <v>138</v>
      </c>
      <c r="X726" s="19">
        <v>2009</v>
      </c>
      <c r="Y726" s="15" t="s">
        <v>138</v>
      </c>
      <c r="Z726" s="15" t="s">
        <v>138</v>
      </c>
      <c r="AA726" s="15" t="s">
        <v>138</v>
      </c>
      <c r="AB726" s="20" t="s">
        <v>138</v>
      </c>
      <c r="AC726" s="20" t="s">
        <v>138</v>
      </c>
      <c r="AD726" s="20" t="s">
        <v>138</v>
      </c>
      <c r="AE726" s="20" t="s">
        <v>138</v>
      </c>
      <c r="AF726" s="20" t="s">
        <v>138</v>
      </c>
      <c r="AG726" s="15" t="s">
        <v>138</v>
      </c>
      <c r="AH726" s="20" t="s">
        <v>138</v>
      </c>
      <c r="AI726" s="20" t="s">
        <v>138</v>
      </c>
      <c r="AJ726" s="20" t="s">
        <v>138</v>
      </c>
      <c r="AK726" s="15" t="s">
        <v>14517</v>
      </c>
      <c r="AL726" s="15" t="s">
        <v>14518</v>
      </c>
      <c r="AM726" s="15" t="s">
        <v>221</v>
      </c>
      <c r="AN726" s="15" t="s">
        <v>14519</v>
      </c>
      <c r="AO726" s="15" t="s">
        <v>14520</v>
      </c>
      <c r="AP726" s="15" t="s">
        <v>3136</v>
      </c>
      <c r="AQ726" s="15" t="s">
        <v>14521</v>
      </c>
      <c r="AR726" s="15" t="s">
        <v>6874</v>
      </c>
      <c r="AS726" s="15" t="s">
        <v>3139</v>
      </c>
      <c r="AT726" s="15" t="s">
        <v>3140</v>
      </c>
      <c r="AU726" s="15" t="s">
        <v>14522</v>
      </c>
      <c r="AV726" s="15" t="s">
        <v>162</v>
      </c>
      <c r="AW726" s="15" t="s">
        <v>14520</v>
      </c>
      <c r="AX726" s="15" t="s">
        <v>138</v>
      </c>
      <c r="AY726" s="15" t="s">
        <v>14523</v>
      </c>
      <c r="AZ726" s="15" t="s">
        <v>164</v>
      </c>
      <c r="BA726" s="15" t="s">
        <v>165</v>
      </c>
      <c r="BB726" s="15" t="s">
        <v>14524</v>
      </c>
      <c r="BC726" s="15" t="s">
        <v>138</v>
      </c>
      <c r="BD726" s="21" t="s">
        <v>138</v>
      </c>
      <c r="BE726" s="15" t="s">
        <v>14525</v>
      </c>
      <c r="BF726" s="15" t="s">
        <v>14526</v>
      </c>
      <c r="BG726" s="15" t="s">
        <v>138</v>
      </c>
      <c r="BH726" s="15" t="s">
        <v>138</v>
      </c>
      <c r="BI726" s="15" t="s">
        <v>14527</v>
      </c>
      <c r="BJ726" s="15" t="s">
        <v>138</v>
      </c>
      <c r="BK726" s="15" t="s">
        <v>14528</v>
      </c>
      <c r="BL726" s="15" t="s">
        <v>138</v>
      </c>
      <c r="BM726" s="22">
        <v>40697</v>
      </c>
      <c r="BN726" s="17">
        <v>0.65</v>
      </c>
      <c r="BO726" s="15" t="s">
        <v>172</v>
      </c>
      <c r="BP726" s="17" t="s">
        <v>138</v>
      </c>
      <c r="BQ726" s="15" t="s">
        <v>138</v>
      </c>
      <c r="BR726" s="15" t="s">
        <v>205</v>
      </c>
      <c r="BS726" s="15" t="s">
        <v>206</v>
      </c>
      <c r="BT726" s="15" t="s">
        <v>138</v>
      </c>
      <c r="BU726" s="15" t="s">
        <v>174</v>
      </c>
      <c r="BV726" s="15" t="s">
        <v>138</v>
      </c>
      <c r="BW726" s="15" t="s">
        <v>138</v>
      </c>
      <c r="BX726" s="15" t="s">
        <v>138</v>
      </c>
      <c r="BY726" s="15" t="s">
        <v>175</v>
      </c>
      <c r="BZ726" s="22">
        <v>43353</v>
      </c>
      <c r="CA726" s="17" t="s">
        <v>138</v>
      </c>
      <c r="CB726" s="15" t="s">
        <v>138</v>
      </c>
      <c r="CC726" s="17" t="s">
        <v>138</v>
      </c>
      <c r="CD726" s="15" t="s">
        <v>138</v>
      </c>
      <c r="CE726" s="15" t="s">
        <v>2228</v>
      </c>
      <c r="CF726" s="15" t="s">
        <v>138</v>
      </c>
      <c r="CG726" s="15" t="s">
        <v>138</v>
      </c>
      <c r="CH726" s="15" t="s">
        <v>780</v>
      </c>
      <c r="CI726" s="15" t="s">
        <v>138</v>
      </c>
      <c r="CJ726" s="15" t="s">
        <v>138</v>
      </c>
      <c r="CK726" s="15" t="s">
        <v>138</v>
      </c>
      <c r="CL726" s="15" t="s">
        <v>175</v>
      </c>
      <c r="CM726" s="22" t="s">
        <v>138</v>
      </c>
      <c r="CN726" s="17" t="s">
        <v>138</v>
      </c>
      <c r="CO726" s="23" t="s">
        <v>138</v>
      </c>
      <c r="CP726" s="24" t="s">
        <v>138</v>
      </c>
      <c r="CQ726" s="23" t="s">
        <v>138</v>
      </c>
      <c r="CR726" s="23" t="s">
        <v>138</v>
      </c>
      <c r="CS726" s="23" t="s">
        <v>138</v>
      </c>
      <c r="CT726" s="24" t="s">
        <v>138</v>
      </c>
      <c r="CU726" s="23" t="s">
        <v>138</v>
      </c>
      <c r="CV726" s="24" t="s">
        <v>138</v>
      </c>
      <c r="CW726" s="23" t="s">
        <v>138</v>
      </c>
      <c r="CX726" s="24" t="s">
        <v>138</v>
      </c>
      <c r="CY726" s="23" t="s">
        <v>138</v>
      </c>
      <c r="CZ726" s="24" t="s">
        <v>138</v>
      </c>
      <c r="DA726" s="23" t="s">
        <v>138</v>
      </c>
      <c r="DB726" s="24" t="s">
        <v>138</v>
      </c>
      <c r="DC726" s="25" t="s">
        <v>138</v>
      </c>
      <c r="DD726" s="24" t="s">
        <v>138</v>
      </c>
      <c r="DE726" s="25" t="s">
        <v>138</v>
      </c>
      <c r="DF726" s="23" t="s">
        <v>138</v>
      </c>
      <c r="DG726" s="25" t="s">
        <v>138</v>
      </c>
      <c r="DH726" s="24" t="s">
        <v>138</v>
      </c>
      <c r="DI726" s="25" t="s">
        <v>138</v>
      </c>
      <c r="DJ726" s="24" t="s">
        <v>138</v>
      </c>
      <c r="DK726" s="25" t="s">
        <v>138</v>
      </c>
      <c r="DL726" s="24" t="s">
        <v>138</v>
      </c>
      <c r="DM726" s="25" t="s">
        <v>138</v>
      </c>
      <c r="DN726" s="24" t="s">
        <v>138</v>
      </c>
      <c r="DO726" s="25" t="s">
        <v>138</v>
      </c>
      <c r="DP726" s="24" t="s">
        <v>138</v>
      </c>
      <c r="DQ726" s="24" t="s">
        <v>138</v>
      </c>
      <c r="DR726" s="26" t="s">
        <v>138</v>
      </c>
      <c r="DS726" s="23" t="s">
        <v>138</v>
      </c>
      <c r="DT726" s="24" t="s">
        <v>138</v>
      </c>
      <c r="DU726" s="26" t="s">
        <v>138</v>
      </c>
      <c r="DV726" s="23" t="s">
        <v>138</v>
      </c>
      <c r="DW726" s="24" t="s">
        <v>138</v>
      </c>
      <c r="DX726" s="27" t="s">
        <v>138</v>
      </c>
      <c r="DY726" s="23" t="s">
        <v>138</v>
      </c>
      <c r="DZ726" s="15" t="s">
        <v>178</v>
      </c>
      <c r="EA726" s="22">
        <v>43622</v>
      </c>
      <c r="EB726" s="17">
        <v>9.57</v>
      </c>
      <c r="EC726" s="22">
        <v>41507</v>
      </c>
      <c r="ED726" s="15" t="s">
        <v>205</v>
      </c>
      <c r="EE726" s="14" t="str">
        <f>HYPERLINK("https://my.pitchbook.com?c=52709-41", "View company online")</f>
        <v>View company online</v>
      </c>
    </row>
    <row r="727" spans="1:135">
      <c r="A727" s="28" t="s">
        <v>14529</v>
      </c>
      <c r="B727" s="28" t="s">
        <v>14530</v>
      </c>
      <c r="C727" s="28" t="s">
        <v>14531</v>
      </c>
      <c r="D727" s="28" t="s">
        <v>138</v>
      </c>
      <c r="E727" s="28" t="s">
        <v>138</v>
      </c>
      <c r="F727" s="28" t="s">
        <v>14529</v>
      </c>
      <c r="G727" s="28" t="s">
        <v>14532</v>
      </c>
      <c r="H727" s="28" t="s">
        <v>238</v>
      </c>
      <c r="I727" s="28" t="s">
        <v>749</v>
      </c>
      <c r="J727" s="28" t="s">
        <v>14533</v>
      </c>
      <c r="K727" s="28" t="s">
        <v>14534</v>
      </c>
      <c r="L727" s="28" t="s">
        <v>14535</v>
      </c>
      <c r="M727" s="28" t="s">
        <v>14536</v>
      </c>
      <c r="N727" s="28" t="s">
        <v>1452</v>
      </c>
      <c r="O727" s="29">
        <v>14.14</v>
      </c>
      <c r="P727" s="28" t="s">
        <v>148</v>
      </c>
      <c r="Q727" s="28" t="s">
        <v>149</v>
      </c>
      <c r="R727" s="28" t="s">
        <v>328</v>
      </c>
      <c r="S727" s="28" t="s">
        <v>14537</v>
      </c>
      <c r="T727" s="30">
        <v>11</v>
      </c>
      <c r="U727" s="28" t="s">
        <v>14538</v>
      </c>
      <c r="V727" s="28" t="s">
        <v>138</v>
      </c>
      <c r="W727" s="28" t="s">
        <v>138</v>
      </c>
      <c r="X727" s="31">
        <v>2017</v>
      </c>
      <c r="Y727" s="28" t="s">
        <v>138</v>
      </c>
      <c r="Z727" s="28" t="s">
        <v>138</v>
      </c>
      <c r="AA727" s="28" t="s">
        <v>138</v>
      </c>
      <c r="AB727" s="32" t="s">
        <v>138</v>
      </c>
      <c r="AC727" s="32" t="s">
        <v>138</v>
      </c>
      <c r="AD727" s="32" t="s">
        <v>138</v>
      </c>
      <c r="AE727" s="32" t="s">
        <v>138</v>
      </c>
      <c r="AF727" s="32" t="s">
        <v>138</v>
      </c>
      <c r="AG727" s="28" t="s">
        <v>138</v>
      </c>
      <c r="AH727" s="32" t="s">
        <v>138</v>
      </c>
      <c r="AI727" s="32" t="s">
        <v>138</v>
      </c>
      <c r="AJ727" s="32" t="s">
        <v>138</v>
      </c>
      <c r="AK727" s="28" t="s">
        <v>14539</v>
      </c>
      <c r="AL727" s="28" t="s">
        <v>14540</v>
      </c>
      <c r="AM727" s="28" t="s">
        <v>304</v>
      </c>
      <c r="AN727" s="28" t="s">
        <v>14541</v>
      </c>
      <c r="AO727" s="28" t="s">
        <v>14542</v>
      </c>
      <c r="AP727" s="28" t="s">
        <v>14543</v>
      </c>
      <c r="AQ727" s="28" t="s">
        <v>14544</v>
      </c>
      <c r="AR727" s="28" t="s">
        <v>2095</v>
      </c>
      <c r="AS727" s="28" t="s">
        <v>14545</v>
      </c>
      <c r="AT727" s="28" t="s">
        <v>284</v>
      </c>
      <c r="AU727" s="28" t="s">
        <v>14546</v>
      </c>
      <c r="AV727" s="28" t="s">
        <v>162</v>
      </c>
      <c r="AW727" s="28" t="s">
        <v>14542</v>
      </c>
      <c r="AX727" s="28" t="s">
        <v>138</v>
      </c>
      <c r="AY727" s="28" t="s">
        <v>14547</v>
      </c>
      <c r="AZ727" s="28" t="s">
        <v>164</v>
      </c>
      <c r="BA727" s="28" t="s">
        <v>165</v>
      </c>
      <c r="BB727" s="28" t="s">
        <v>14548</v>
      </c>
      <c r="BC727" s="28" t="s">
        <v>14549</v>
      </c>
      <c r="BD727" s="33">
        <v>3</v>
      </c>
      <c r="BE727" s="28" t="s">
        <v>138</v>
      </c>
      <c r="BF727" s="28" t="s">
        <v>138</v>
      </c>
      <c r="BG727" s="28" t="s">
        <v>138</v>
      </c>
      <c r="BH727" s="28" t="s">
        <v>14550</v>
      </c>
      <c r="BI727" s="28" t="s">
        <v>138</v>
      </c>
      <c r="BJ727" s="28" t="s">
        <v>138</v>
      </c>
      <c r="BK727" s="28" t="s">
        <v>138</v>
      </c>
      <c r="BL727" s="28" t="s">
        <v>14551</v>
      </c>
      <c r="BM727" s="34" t="s">
        <v>138</v>
      </c>
      <c r="BN727" s="29">
        <v>0.01</v>
      </c>
      <c r="BO727" s="28" t="s">
        <v>172</v>
      </c>
      <c r="BP727" s="29" t="s">
        <v>138</v>
      </c>
      <c r="BQ727" s="28" t="s">
        <v>138</v>
      </c>
      <c r="BR727" s="28" t="s">
        <v>1830</v>
      </c>
      <c r="BS727" s="28" t="s">
        <v>138</v>
      </c>
      <c r="BT727" s="28" t="s">
        <v>138</v>
      </c>
      <c r="BU727" s="28" t="s">
        <v>263</v>
      </c>
      <c r="BV727" s="28" t="s">
        <v>138</v>
      </c>
      <c r="BW727" s="28" t="s">
        <v>138</v>
      </c>
      <c r="BX727" s="28" t="s">
        <v>138</v>
      </c>
      <c r="BY727" s="28" t="s">
        <v>175</v>
      </c>
      <c r="BZ727" s="34">
        <v>43445</v>
      </c>
      <c r="CA727" s="29">
        <v>4.5</v>
      </c>
      <c r="CB727" s="28" t="s">
        <v>172</v>
      </c>
      <c r="CC727" s="29" t="s">
        <v>138</v>
      </c>
      <c r="CD727" s="28" t="s">
        <v>138</v>
      </c>
      <c r="CE727" s="28" t="s">
        <v>1673</v>
      </c>
      <c r="CF727" s="28" t="s">
        <v>138</v>
      </c>
      <c r="CG727" s="28" t="s">
        <v>138</v>
      </c>
      <c r="CH727" s="28" t="s">
        <v>351</v>
      </c>
      <c r="CI727" s="28" t="s">
        <v>138</v>
      </c>
      <c r="CJ727" s="28" t="s">
        <v>138</v>
      </c>
      <c r="CK727" s="28" t="s">
        <v>138</v>
      </c>
      <c r="CL727" s="28" t="s">
        <v>352</v>
      </c>
      <c r="CM727" s="34">
        <v>43341</v>
      </c>
      <c r="CN727" s="29" t="s">
        <v>138</v>
      </c>
      <c r="CO727" s="35">
        <v>2.88</v>
      </c>
      <c r="CP727" s="36">
        <v>100</v>
      </c>
      <c r="CQ727" s="35">
        <v>0</v>
      </c>
      <c r="CR727" s="35">
        <v>0</v>
      </c>
      <c r="CS727" s="35">
        <v>5.76</v>
      </c>
      <c r="CT727" s="36">
        <v>100</v>
      </c>
      <c r="CU727" s="35">
        <v>0</v>
      </c>
      <c r="CV727" s="36">
        <v>22</v>
      </c>
      <c r="CW727" s="35">
        <v>5.76</v>
      </c>
      <c r="CX727" s="36">
        <v>97</v>
      </c>
      <c r="CY727" s="35" t="s">
        <v>138</v>
      </c>
      <c r="CZ727" s="36" t="s">
        <v>138</v>
      </c>
      <c r="DA727" s="35">
        <v>0</v>
      </c>
      <c r="DB727" s="36">
        <v>22</v>
      </c>
      <c r="DC727" s="37">
        <v>21.82</v>
      </c>
      <c r="DD727" s="36">
        <v>95</v>
      </c>
      <c r="DE727" s="37">
        <v>-2.8</v>
      </c>
      <c r="DF727" s="35">
        <v>-11.36</v>
      </c>
      <c r="DG727" s="37">
        <v>43.63</v>
      </c>
      <c r="DH727" s="36">
        <v>98</v>
      </c>
      <c r="DI727" s="37">
        <v>0.02</v>
      </c>
      <c r="DJ727" s="36">
        <v>4</v>
      </c>
      <c r="DK727" s="37">
        <v>43.63</v>
      </c>
      <c r="DL727" s="36">
        <v>95</v>
      </c>
      <c r="DM727" s="37" t="s">
        <v>138</v>
      </c>
      <c r="DN727" s="36" t="s">
        <v>138</v>
      </c>
      <c r="DO727" s="37">
        <v>0.02</v>
      </c>
      <c r="DP727" s="36">
        <v>4</v>
      </c>
      <c r="DQ727" s="36">
        <v>14750</v>
      </c>
      <c r="DR727" s="38">
        <v>644</v>
      </c>
      <c r="DS727" s="35">
        <v>4.57</v>
      </c>
      <c r="DT727" s="36" t="s">
        <v>138</v>
      </c>
      <c r="DU727" s="38" t="s">
        <v>138</v>
      </c>
      <c r="DV727" s="35" t="s">
        <v>138</v>
      </c>
      <c r="DW727" s="36">
        <v>5</v>
      </c>
      <c r="DX727" s="39">
        <v>0</v>
      </c>
      <c r="DY727" s="35">
        <v>0</v>
      </c>
      <c r="DZ727" s="28" t="s">
        <v>178</v>
      </c>
      <c r="EA727" s="34">
        <v>43622</v>
      </c>
      <c r="EB727" s="29">
        <v>6.75</v>
      </c>
      <c r="EC727" s="34">
        <v>43045</v>
      </c>
      <c r="ED727" s="28" t="s">
        <v>234</v>
      </c>
      <c r="EE727" s="40" t="str">
        <f>HYPERLINK("https://my.pitchbook.com?c=184101-49", "View company online")</f>
        <v>View company online</v>
      </c>
    </row>
    <row r="728" spans="1:135">
      <c r="A728" s="15" t="s">
        <v>14552</v>
      </c>
      <c r="B728" s="15" t="s">
        <v>14553</v>
      </c>
      <c r="C728" s="15" t="s">
        <v>14554</v>
      </c>
      <c r="D728" s="15" t="s">
        <v>138</v>
      </c>
      <c r="E728" s="15" t="s">
        <v>14555</v>
      </c>
      <c r="F728" s="15" t="s">
        <v>14552</v>
      </c>
      <c r="G728" s="15" t="s">
        <v>14556</v>
      </c>
      <c r="H728" s="15" t="s">
        <v>322</v>
      </c>
      <c r="I728" s="15" t="s">
        <v>323</v>
      </c>
      <c r="J728" s="15" t="s">
        <v>324</v>
      </c>
      <c r="K728" s="15" t="s">
        <v>1678</v>
      </c>
      <c r="L728" s="15" t="s">
        <v>1544</v>
      </c>
      <c r="M728" s="15" t="s">
        <v>14557</v>
      </c>
      <c r="N728" s="15" t="s">
        <v>147</v>
      </c>
      <c r="O728" s="17">
        <v>1.82</v>
      </c>
      <c r="P728" s="15" t="s">
        <v>148</v>
      </c>
      <c r="Q728" s="15" t="s">
        <v>149</v>
      </c>
      <c r="R728" s="15" t="s">
        <v>174</v>
      </c>
      <c r="S728" s="15" t="s">
        <v>14558</v>
      </c>
      <c r="T728" s="18">
        <v>8</v>
      </c>
      <c r="U728" s="15" t="s">
        <v>14559</v>
      </c>
      <c r="V728" s="15" t="s">
        <v>138</v>
      </c>
      <c r="W728" s="15" t="s">
        <v>138</v>
      </c>
      <c r="X728" s="19">
        <v>2014</v>
      </c>
      <c r="Y728" s="15" t="s">
        <v>138</v>
      </c>
      <c r="Z728" s="15" t="s">
        <v>138</v>
      </c>
      <c r="AA728" s="15" t="s">
        <v>138</v>
      </c>
      <c r="AB728" s="20" t="s">
        <v>138</v>
      </c>
      <c r="AC728" s="20" t="s">
        <v>138</v>
      </c>
      <c r="AD728" s="20" t="s">
        <v>138</v>
      </c>
      <c r="AE728" s="20" t="s">
        <v>138</v>
      </c>
      <c r="AF728" s="20" t="s">
        <v>138</v>
      </c>
      <c r="AG728" s="15" t="s">
        <v>138</v>
      </c>
      <c r="AH728" s="20" t="s">
        <v>138</v>
      </c>
      <c r="AI728" s="20" t="s">
        <v>138</v>
      </c>
      <c r="AJ728" s="20" t="s">
        <v>138</v>
      </c>
      <c r="AK728" s="15" t="s">
        <v>14560</v>
      </c>
      <c r="AL728" s="15" t="s">
        <v>14561</v>
      </c>
      <c r="AM728" s="15" t="s">
        <v>938</v>
      </c>
      <c r="AN728" s="15" t="s">
        <v>14562</v>
      </c>
      <c r="AO728" s="15" t="s">
        <v>138</v>
      </c>
      <c r="AP728" s="15" t="s">
        <v>3668</v>
      </c>
      <c r="AQ728" s="15" t="s">
        <v>14563</v>
      </c>
      <c r="AR728" s="15" t="s">
        <v>138</v>
      </c>
      <c r="AS728" s="15" t="s">
        <v>3670</v>
      </c>
      <c r="AT728" s="15" t="s">
        <v>200</v>
      </c>
      <c r="AU728" s="15" t="s">
        <v>967</v>
      </c>
      <c r="AV728" s="15" t="s">
        <v>162</v>
      </c>
      <c r="AW728" s="15" t="s">
        <v>138</v>
      </c>
      <c r="AX728" s="15" t="s">
        <v>138</v>
      </c>
      <c r="AY728" s="15" t="s">
        <v>14564</v>
      </c>
      <c r="AZ728" s="15" t="s">
        <v>164</v>
      </c>
      <c r="BA728" s="15" t="s">
        <v>165</v>
      </c>
      <c r="BB728" s="15" t="s">
        <v>14565</v>
      </c>
      <c r="BC728" s="15" t="s">
        <v>14566</v>
      </c>
      <c r="BD728" s="21">
        <v>11</v>
      </c>
      <c r="BE728" s="15" t="s">
        <v>138</v>
      </c>
      <c r="BF728" s="15" t="s">
        <v>138</v>
      </c>
      <c r="BG728" s="15" t="s">
        <v>138</v>
      </c>
      <c r="BH728" s="15" t="s">
        <v>14567</v>
      </c>
      <c r="BI728" s="15" t="s">
        <v>138</v>
      </c>
      <c r="BJ728" s="15" t="s">
        <v>138</v>
      </c>
      <c r="BK728" s="15" t="s">
        <v>138</v>
      </c>
      <c r="BL728" s="15" t="s">
        <v>138</v>
      </c>
      <c r="BM728" s="22">
        <v>41870</v>
      </c>
      <c r="BN728" s="17">
        <v>0.12</v>
      </c>
      <c r="BO728" s="15" t="s">
        <v>172</v>
      </c>
      <c r="BP728" s="17">
        <v>1.71</v>
      </c>
      <c r="BQ728" s="15" t="s">
        <v>172</v>
      </c>
      <c r="BR728" s="15" t="s">
        <v>316</v>
      </c>
      <c r="BS728" s="15" t="s">
        <v>138</v>
      </c>
      <c r="BT728" s="15" t="s">
        <v>138</v>
      </c>
      <c r="BU728" s="15" t="s">
        <v>177</v>
      </c>
      <c r="BV728" s="15" t="s">
        <v>138</v>
      </c>
      <c r="BW728" s="15" t="s">
        <v>138</v>
      </c>
      <c r="BX728" s="15" t="s">
        <v>138</v>
      </c>
      <c r="BY728" s="15" t="s">
        <v>175</v>
      </c>
      <c r="BZ728" s="22">
        <v>42215</v>
      </c>
      <c r="CA728" s="17">
        <v>1.7</v>
      </c>
      <c r="CB728" s="15" t="s">
        <v>172</v>
      </c>
      <c r="CC728" s="17" t="s">
        <v>138</v>
      </c>
      <c r="CD728" s="15" t="s">
        <v>138</v>
      </c>
      <c r="CE728" s="15" t="s">
        <v>234</v>
      </c>
      <c r="CF728" s="15" t="s">
        <v>234</v>
      </c>
      <c r="CG728" s="15" t="s">
        <v>138</v>
      </c>
      <c r="CH728" s="15" t="s">
        <v>174</v>
      </c>
      <c r="CI728" s="15" t="s">
        <v>138</v>
      </c>
      <c r="CJ728" s="15" t="s">
        <v>138</v>
      </c>
      <c r="CK728" s="15" t="s">
        <v>138</v>
      </c>
      <c r="CL728" s="15" t="s">
        <v>175</v>
      </c>
      <c r="CM728" s="22" t="s">
        <v>138</v>
      </c>
      <c r="CN728" s="17" t="s">
        <v>138</v>
      </c>
      <c r="CO728" s="23">
        <v>0.15</v>
      </c>
      <c r="CP728" s="24">
        <v>91</v>
      </c>
      <c r="CQ728" s="23">
        <v>0</v>
      </c>
      <c r="CR728" s="23">
        <v>0.84</v>
      </c>
      <c r="CS728" s="23">
        <v>0.34</v>
      </c>
      <c r="CT728" s="24">
        <v>95</v>
      </c>
      <c r="CU728" s="23">
        <v>-0.05</v>
      </c>
      <c r="CV728" s="24">
        <v>9</v>
      </c>
      <c r="CW728" s="23">
        <v>0.69</v>
      </c>
      <c r="CX728" s="24">
        <v>83</v>
      </c>
      <c r="CY728" s="23">
        <v>0</v>
      </c>
      <c r="CZ728" s="24">
        <v>25</v>
      </c>
      <c r="DA728" s="23">
        <v>-0.09</v>
      </c>
      <c r="DB728" s="24">
        <v>7</v>
      </c>
      <c r="DC728" s="25">
        <v>5.44</v>
      </c>
      <c r="DD728" s="24">
        <v>84</v>
      </c>
      <c r="DE728" s="25">
        <v>-0.38</v>
      </c>
      <c r="DF728" s="23">
        <v>-6.48</v>
      </c>
      <c r="DG728" s="25">
        <v>7.39</v>
      </c>
      <c r="DH728" s="24">
        <v>87</v>
      </c>
      <c r="DI728" s="25">
        <v>3.5</v>
      </c>
      <c r="DJ728" s="24">
        <v>72</v>
      </c>
      <c r="DK728" s="25">
        <v>12.29</v>
      </c>
      <c r="DL728" s="24">
        <v>88</v>
      </c>
      <c r="DM728" s="25">
        <v>2.48</v>
      </c>
      <c r="DN728" s="24">
        <v>70</v>
      </c>
      <c r="DO728" s="25">
        <v>6.9</v>
      </c>
      <c r="DP728" s="24">
        <v>83</v>
      </c>
      <c r="DQ728" s="24">
        <v>4205</v>
      </c>
      <c r="DR728" s="26">
        <v>30</v>
      </c>
      <c r="DS728" s="23">
        <v>0.72</v>
      </c>
      <c r="DT728" s="24">
        <v>71</v>
      </c>
      <c r="DU728" s="26">
        <v>1</v>
      </c>
      <c r="DV728" s="23">
        <v>1.43</v>
      </c>
      <c r="DW728" s="24">
        <v>2472</v>
      </c>
      <c r="DX728" s="27">
        <v>0</v>
      </c>
      <c r="DY728" s="23">
        <v>0</v>
      </c>
      <c r="DZ728" s="15" t="s">
        <v>178</v>
      </c>
      <c r="EA728" s="22">
        <v>43364</v>
      </c>
      <c r="EB728" s="17">
        <v>1.71</v>
      </c>
      <c r="EC728" s="22">
        <v>41870</v>
      </c>
      <c r="ED728" s="15" t="s">
        <v>316</v>
      </c>
      <c r="EE728" s="14" t="str">
        <f>HYPERLINK("https://my.pitchbook.com?c=65936-98", "View company online")</f>
        <v>View company online</v>
      </c>
    </row>
    <row r="729" spans="1:135">
      <c r="A729" s="28" t="s">
        <v>14568</v>
      </c>
      <c r="B729" s="28" t="s">
        <v>14569</v>
      </c>
      <c r="C729" s="28" t="s">
        <v>138</v>
      </c>
      <c r="D729" s="28" t="s">
        <v>138</v>
      </c>
      <c r="E729" s="28" t="s">
        <v>138</v>
      </c>
      <c r="F729" s="28" t="s">
        <v>14568</v>
      </c>
      <c r="G729" s="28" t="s">
        <v>14570</v>
      </c>
      <c r="H729" s="28" t="s">
        <v>322</v>
      </c>
      <c r="I729" s="28" t="s">
        <v>323</v>
      </c>
      <c r="J729" s="28" t="s">
        <v>324</v>
      </c>
      <c r="K729" s="28" t="s">
        <v>325</v>
      </c>
      <c r="L729" s="28" t="s">
        <v>1544</v>
      </c>
      <c r="M729" s="28" t="s">
        <v>14571</v>
      </c>
      <c r="N729" s="28" t="s">
        <v>147</v>
      </c>
      <c r="O729" s="29">
        <v>4.37</v>
      </c>
      <c r="P729" s="28" t="s">
        <v>148</v>
      </c>
      <c r="Q729" s="28" t="s">
        <v>149</v>
      </c>
      <c r="R729" s="28" t="s">
        <v>174</v>
      </c>
      <c r="S729" s="28" t="s">
        <v>14572</v>
      </c>
      <c r="T729" s="30">
        <v>14</v>
      </c>
      <c r="U729" s="28" t="s">
        <v>14573</v>
      </c>
      <c r="V729" s="28" t="s">
        <v>138</v>
      </c>
      <c r="W729" s="28" t="s">
        <v>138</v>
      </c>
      <c r="X729" s="31">
        <v>2015</v>
      </c>
      <c r="Y729" s="28" t="s">
        <v>138</v>
      </c>
      <c r="Z729" s="28" t="s">
        <v>138</v>
      </c>
      <c r="AA729" s="28" t="s">
        <v>138</v>
      </c>
      <c r="AB729" s="32">
        <v>1.3</v>
      </c>
      <c r="AC729" s="32" t="s">
        <v>138</v>
      </c>
      <c r="AD729" s="32" t="s">
        <v>138</v>
      </c>
      <c r="AE729" s="32" t="s">
        <v>138</v>
      </c>
      <c r="AF729" s="32" t="s">
        <v>138</v>
      </c>
      <c r="AG729" s="28" t="s">
        <v>514</v>
      </c>
      <c r="AH729" s="32" t="s">
        <v>138</v>
      </c>
      <c r="AI729" s="32" t="s">
        <v>138</v>
      </c>
      <c r="AJ729" s="32" t="s">
        <v>138</v>
      </c>
      <c r="AK729" s="28" t="s">
        <v>14574</v>
      </c>
      <c r="AL729" s="28" t="s">
        <v>14575</v>
      </c>
      <c r="AM729" s="28" t="s">
        <v>986</v>
      </c>
      <c r="AN729" s="28" t="s">
        <v>14576</v>
      </c>
      <c r="AO729" s="28" t="s">
        <v>138</v>
      </c>
      <c r="AP729" s="28" t="s">
        <v>423</v>
      </c>
      <c r="AQ729" s="28" t="s">
        <v>14577</v>
      </c>
      <c r="AR729" s="28" t="s">
        <v>618</v>
      </c>
      <c r="AS729" s="28" t="s">
        <v>426</v>
      </c>
      <c r="AT729" s="28" t="s">
        <v>426</v>
      </c>
      <c r="AU729" s="28" t="s">
        <v>2475</v>
      </c>
      <c r="AV729" s="28" t="s">
        <v>162</v>
      </c>
      <c r="AW729" s="28" t="s">
        <v>138</v>
      </c>
      <c r="AX729" s="28" t="s">
        <v>138</v>
      </c>
      <c r="AY729" s="28" t="s">
        <v>138</v>
      </c>
      <c r="AZ729" s="28" t="s">
        <v>164</v>
      </c>
      <c r="BA729" s="28" t="s">
        <v>165</v>
      </c>
      <c r="BB729" s="28" t="s">
        <v>14578</v>
      </c>
      <c r="BC729" s="28" t="s">
        <v>14579</v>
      </c>
      <c r="BD729" s="33">
        <v>8</v>
      </c>
      <c r="BE729" s="28" t="s">
        <v>138</v>
      </c>
      <c r="BF729" s="28" t="s">
        <v>138</v>
      </c>
      <c r="BG729" s="28" t="s">
        <v>138</v>
      </c>
      <c r="BH729" s="28" t="s">
        <v>14580</v>
      </c>
      <c r="BI729" s="28" t="s">
        <v>138</v>
      </c>
      <c r="BJ729" s="28" t="s">
        <v>138</v>
      </c>
      <c r="BK729" s="28" t="s">
        <v>138</v>
      </c>
      <c r="BL729" s="28" t="s">
        <v>138</v>
      </c>
      <c r="BM729" s="34" t="s">
        <v>138</v>
      </c>
      <c r="BN729" s="29">
        <v>0.25</v>
      </c>
      <c r="BO729" s="28" t="s">
        <v>172</v>
      </c>
      <c r="BP729" s="29" t="s">
        <v>138</v>
      </c>
      <c r="BQ729" s="28" t="s">
        <v>138</v>
      </c>
      <c r="BR729" s="28" t="s">
        <v>5214</v>
      </c>
      <c r="BS729" s="28" t="s">
        <v>138</v>
      </c>
      <c r="BT729" s="28" t="s">
        <v>138</v>
      </c>
      <c r="BU729" s="28" t="s">
        <v>263</v>
      </c>
      <c r="BV729" s="28" t="s">
        <v>138</v>
      </c>
      <c r="BW729" s="28" t="s">
        <v>138</v>
      </c>
      <c r="BX729" s="28" t="s">
        <v>138</v>
      </c>
      <c r="BY729" s="28" t="s">
        <v>175</v>
      </c>
      <c r="BZ729" s="34">
        <v>43591</v>
      </c>
      <c r="CA729" s="29">
        <v>0.12</v>
      </c>
      <c r="CB729" s="28" t="s">
        <v>172</v>
      </c>
      <c r="CC729" s="29" t="s">
        <v>138</v>
      </c>
      <c r="CD729" s="28" t="s">
        <v>138</v>
      </c>
      <c r="CE729" s="28" t="s">
        <v>316</v>
      </c>
      <c r="CF729" s="28" t="s">
        <v>138</v>
      </c>
      <c r="CG729" s="28" t="s">
        <v>138</v>
      </c>
      <c r="CH729" s="28" t="s">
        <v>177</v>
      </c>
      <c r="CI729" s="28" t="s">
        <v>138</v>
      </c>
      <c r="CJ729" s="28" t="s">
        <v>138</v>
      </c>
      <c r="CK729" s="28" t="s">
        <v>138</v>
      </c>
      <c r="CL729" s="28" t="s">
        <v>175</v>
      </c>
      <c r="CM729" s="34" t="s">
        <v>138</v>
      </c>
      <c r="CN729" s="29" t="s">
        <v>138</v>
      </c>
      <c r="CO729" s="35">
        <v>1.44</v>
      </c>
      <c r="CP729" s="36">
        <v>98</v>
      </c>
      <c r="CQ729" s="35">
        <v>-0.12</v>
      </c>
      <c r="CR729" s="35">
        <v>-7.5</v>
      </c>
      <c r="CS729" s="35" t="s">
        <v>138</v>
      </c>
      <c r="CT729" s="36" t="s">
        <v>138</v>
      </c>
      <c r="CU729" s="35">
        <v>0.65</v>
      </c>
      <c r="CV729" s="36">
        <v>96</v>
      </c>
      <c r="CW729" s="35" t="s">
        <v>138</v>
      </c>
      <c r="CX729" s="36" t="s">
        <v>138</v>
      </c>
      <c r="CY729" s="35" t="s">
        <v>138</v>
      </c>
      <c r="CZ729" s="36" t="s">
        <v>138</v>
      </c>
      <c r="DA729" s="35">
        <v>0.65</v>
      </c>
      <c r="DB729" s="36">
        <v>96</v>
      </c>
      <c r="DC729" s="37">
        <v>14.98</v>
      </c>
      <c r="DD729" s="36">
        <v>93</v>
      </c>
      <c r="DE729" s="37">
        <v>0.97</v>
      </c>
      <c r="DF729" s="35">
        <v>6.94</v>
      </c>
      <c r="DG729" s="37" t="s">
        <v>138</v>
      </c>
      <c r="DH729" s="36" t="s">
        <v>138</v>
      </c>
      <c r="DI729" s="37">
        <v>1.62</v>
      </c>
      <c r="DJ729" s="36">
        <v>58</v>
      </c>
      <c r="DK729" s="37" t="s">
        <v>138</v>
      </c>
      <c r="DL729" s="36" t="s">
        <v>138</v>
      </c>
      <c r="DM729" s="37" t="s">
        <v>138</v>
      </c>
      <c r="DN729" s="36" t="s">
        <v>138</v>
      </c>
      <c r="DO729" s="37">
        <v>1.62</v>
      </c>
      <c r="DP729" s="36">
        <v>60</v>
      </c>
      <c r="DQ729" s="36" t="s">
        <v>138</v>
      </c>
      <c r="DR729" s="38" t="s">
        <v>138</v>
      </c>
      <c r="DS729" s="35" t="s">
        <v>138</v>
      </c>
      <c r="DT729" s="36" t="s">
        <v>138</v>
      </c>
      <c r="DU729" s="38" t="s">
        <v>138</v>
      </c>
      <c r="DV729" s="35" t="s">
        <v>138</v>
      </c>
      <c r="DW729" s="36">
        <v>574</v>
      </c>
      <c r="DX729" s="39">
        <v>7</v>
      </c>
      <c r="DY729" s="35">
        <v>1.23</v>
      </c>
      <c r="DZ729" s="28" t="s">
        <v>178</v>
      </c>
      <c r="EA729" s="34">
        <v>43593</v>
      </c>
      <c r="EB729" s="29">
        <v>15</v>
      </c>
      <c r="EC729" s="34">
        <v>43500</v>
      </c>
      <c r="ED729" s="28" t="s">
        <v>234</v>
      </c>
      <c r="EE729" s="40" t="str">
        <f>HYPERLINK("https://my.pitchbook.com?c=156932-11", "View company online")</f>
        <v>View company online</v>
      </c>
    </row>
    <row r="730" spans="1:135">
      <c r="A730" s="15" t="s">
        <v>14581</v>
      </c>
      <c r="B730" s="15" t="s">
        <v>14582</v>
      </c>
      <c r="C730" s="15" t="s">
        <v>138</v>
      </c>
      <c r="D730" s="15" t="s">
        <v>138</v>
      </c>
      <c r="E730" s="15" t="s">
        <v>14583</v>
      </c>
      <c r="F730" s="15" t="s">
        <v>14581</v>
      </c>
      <c r="G730" s="15" t="s">
        <v>14584</v>
      </c>
      <c r="H730" s="15" t="s">
        <v>322</v>
      </c>
      <c r="I730" s="15" t="s">
        <v>323</v>
      </c>
      <c r="J730" s="15" t="s">
        <v>413</v>
      </c>
      <c r="K730" s="15" t="s">
        <v>14585</v>
      </c>
      <c r="L730" s="15" t="s">
        <v>14586</v>
      </c>
      <c r="M730" s="15" t="s">
        <v>14587</v>
      </c>
      <c r="N730" s="15" t="s">
        <v>147</v>
      </c>
      <c r="O730" s="17">
        <v>18.95</v>
      </c>
      <c r="P730" s="15" t="s">
        <v>148</v>
      </c>
      <c r="Q730" s="15" t="s">
        <v>149</v>
      </c>
      <c r="R730" s="15" t="s">
        <v>174</v>
      </c>
      <c r="S730" s="15" t="s">
        <v>14588</v>
      </c>
      <c r="T730" s="18" t="s">
        <v>138</v>
      </c>
      <c r="U730" s="15" t="s">
        <v>138</v>
      </c>
      <c r="V730" s="15" t="s">
        <v>138</v>
      </c>
      <c r="W730" s="15" t="s">
        <v>138</v>
      </c>
      <c r="X730" s="19">
        <v>2015</v>
      </c>
      <c r="Y730" s="15" t="s">
        <v>138</v>
      </c>
      <c r="Z730" s="15" t="s">
        <v>138</v>
      </c>
      <c r="AA730" s="15" t="s">
        <v>138</v>
      </c>
      <c r="AB730" s="20" t="s">
        <v>138</v>
      </c>
      <c r="AC730" s="20" t="s">
        <v>138</v>
      </c>
      <c r="AD730" s="20" t="s">
        <v>138</v>
      </c>
      <c r="AE730" s="20" t="s">
        <v>138</v>
      </c>
      <c r="AF730" s="20" t="s">
        <v>138</v>
      </c>
      <c r="AG730" s="15" t="s">
        <v>138</v>
      </c>
      <c r="AH730" s="20" t="s">
        <v>138</v>
      </c>
      <c r="AI730" s="20" t="s">
        <v>138</v>
      </c>
      <c r="AJ730" s="20" t="s">
        <v>138</v>
      </c>
      <c r="AK730" s="15" t="s">
        <v>14589</v>
      </c>
      <c r="AL730" s="15" t="s">
        <v>14590</v>
      </c>
      <c r="AM730" s="15" t="s">
        <v>304</v>
      </c>
      <c r="AN730" s="15" t="s">
        <v>14591</v>
      </c>
      <c r="AO730" s="15" t="s">
        <v>138</v>
      </c>
      <c r="AP730" s="15" t="s">
        <v>14592</v>
      </c>
      <c r="AQ730" s="15" t="s">
        <v>14593</v>
      </c>
      <c r="AR730" s="15" t="s">
        <v>138</v>
      </c>
      <c r="AS730" s="15" t="s">
        <v>14594</v>
      </c>
      <c r="AT730" s="15" t="s">
        <v>864</v>
      </c>
      <c r="AU730" s="15" t="s">
        <v>14595</v>
      </c>
      <c r="AV730" s="15" t="s">
        <v>162</v>
      </c>
      <c r="AW730" s="15" t="s">
        <v>138</v>
      </c>
      <c r="AX730" s="15" t="s">
        <v>138</v>
      </c>
      <c r="AY730" s="15" t="s">
        <v>14596</v>
      </c>
      <c r="AZ730" s="15" t="s">
        <v>164</v>
      </c>
      <c r="BA730" s="15" t="s">
        <v>165</v>
      </c>
      <c r="BB730" s="15" t="s">
        <v>14597</v>
      </c>
      <c r="BC730" s="15" t="s">
        <v>14598</v>
      </c>
      <c r="BD730" s="21">
        <v>10</v>
      </c>
      <c r="BE730" s="15" t="s">
        <v>138</v>
      </c>
      <c r="BF730" s="15" t="s">
        <v>138</v>
      </c>
      <c r="BG730" s="15" t="s">
        <v>138</v>
      </c>
      <c r="BH730" s="15" t="s">
        <v>14599</v>
      </c>
      <c r="BI730" s="15" t="s">
        <v>138</v>
      </c>
      <c r="BJ730" s="15" t="s">
        <v>138</v>
      </c>
      <c r="BK730" s="15" t="s">
        <v>138</v>
      </c>
      <c r="BL730" s="15" t="s">
        <v>138</v>
      </c>
      <c r="BM730" s="22">
        <v>42370</v>
      </c>
      <c r="BN730" s="17">
        <v>0.22</v>
      </c>
      <c r="BO730" s="15" t="s">
        <v>172</v>
      </c>
      <c r="BP730" s="17" t="s">
        <v>138</v>
      </c>
      <c r="BQ730" s="15" t="s">
        <v>138</v>
      </c>
      <c r="BR730" s="15" t="s">
        <v>176</v>
      </c>
      <c r="BS730" s="15" t="s">
        <v>138</v>
      </c>
      <c r="BT730" s="15" t="s">
        <v>138</v>
      </c>
      <c r="BU730" s="15" t="s">
        <v>177</v>
      </c>
      <c r="BV730" s="15" t="s">
        <v>138</v>
      </c>
      <c r="BW730" s="15" t="s">
        <v>138</v>
      </c>
      <c r="BX730" s="15" t="s">
        <v>138</v>
      </c>
      <c r="BY730" s="15" t="s">
        <v>175</v>
      </c>
      <c r="BZ730" s="22">
        <v>43382</v>
      </c>
      <c r="CA730" s="17">
        <v>15.95</v>
      </c>
      <c r="CB730" s="15" t="s">
        <v>172</v>
      </c>
      <c r="CC730" s="17">
        <v>57.95</v>
      </c>
      <c r="CD730" s="15" t="s">
        <v>172</v>
      </c>
      <c r="CE730" s="15" t="s">
        <v>205</v>
      </c>
      <c r="CF730" s="15" t="s">
        <v>206</v>
      </c>
      <c r="CG730" s="15" t="s">
        <v>138</v>
      </c>
      <c r="CH730" s="15" t="s">
        <v>174</v>
      </c>
      <c r="CI730" s="15" t="s">
        <v>138</v>
      </c>
      <c r="CJ730" s="15" t="s">
        <v>138</v>
      </c>
      <c r="CK730" s="15" t="s">
        <v>138</v>
      </c>
      <c r="CL730" s="15" t="s">
        <v>175</v>
      </c>
      <c r="CM730" s="22" t="s">
        <v>138</v>
      </c>
      <c r="CN730" s="17" t="s">
        <v>138</v>
      </c>
      <c r="CO730" s="23">
        <v>2</v>
      </c>
      <c r="CP730" s="24">
        <v>99</v>
      </c>
      <c r="CQ730" s="23">
        <v>0.01</v>
      </c>
      <c r="CR730" s="23">
        <v>0.5</v>
      </c>
      <c r="CS730" s="23">
        <v>2.68</v>
      </c>
      <c r="CT730" s="24">
        <v>99</v>
      </c>
      <c r="CU730" s="23">
        <v>1.33</v>
      </c>
      <c r="CV730" s="24">
        <v>99</v>
      </c>
      <c r="CW730" s="23">
        <v>6.2</v>
      </c>
      <c r="CX730" s="24">
        <v>97</v>
      </c>
      <c r="CY730" s="23">
        <v>-0.84</v>
      </c>
      <c r="CZ730" s="24">
        <v>20</v>
      </c>
      <c r="DA730" s="23">
        <v>1.33</v>
      </c>
      <c r="DB730" s="24">
        <v>99</v>
      </c>
      <c r="DC730" s="25">
        <v>3.9</v>
      </c>
      <c r="DD730" s="24">
        <v>79</v>
      </c>
      <c r="DE730" s="25">
        <v>-0.13</v>
      </c>
      <c r="DF730" s="23">
        <v>-3.32</v>
      </c>
      <c r="DG730" s="25">
        <v>6.85</v>
      </c>
      <c r="DH730" s="24">
        <v>86</v>
      </c>
      <c r="DI730" s="25">
        <v>0.96</v>
      </c>
      <c r="DJ730" s="24">
        <v>48</v>
      </c>
      <c r="DK730" s="25">
        <v>4.8</v>
      </c>
      <c r="DL730" s="24">
        <v>79</v>
      </c>
      <c r="DM730" s="25">
        <v>8.9</v>
      </c>
      <c r="DN730" s="24">
        <v>88</v>
      </c>
      <c r="DO730" s="25">
        <v>0.96</v>
      </c>
      <c r="DP730" s="24">
        <v>50</v>
      </c>
      <c r="DQ730" s="24">
        <v>1587</v>
      </c>
      <c r="DR730" s="26">
        <v>174</v>
      </c>
      <c r="DS730" s="23">
        <v>12.31</v>
      </c>
      <c r="DT730" s="24">
        <v>257</v>
      </c>
      <c r="DU730" s="26">
        <v>1</v>
      </c>
      <c r="DV730" s="23">
        <v>0.39</v>
      </c>
      <c r="DW730" s="24">
        <v>340</v>
      </c>
      <c r="DX730" s="27">
        <v>7</v>
      </c>
      <c r="DY730" s="23">
        <v>2.1</v>
      </c>
      <c r="DZ730" s="15" t="s">
        <v>178</v>
      </c>
      <c r="EA730" s="22">
        <v>43469</v>
      </c>
      <c r="EB730" s="17">
        <v>57.95</v>
      </c>
      <c r="EC730" s="22">
        <v>43382</v>
      </c>
      <c r="ED730" s="15" t="s">
        <v>205</v>
      </c>
      <c r="EE730" s="14" t="str">
        <f>HYPERLINK("https://my.pitchbook.com?c=186473-98", "View company online")</f>
        <v>View company online</v>
      </c>
    </row>
    <row r="731" spans="1:135">
      <c r="A731" s="28" t="s">
        <v>14600</v>
      </c>
      <c r="B731" s="28" t="s">
        <v>14601</v>
      </c>
      <c r="C731" s="28" t="s">
        <v>138</v>
      </c>
      <c r="D731" s="28" t="s">
        <v>14602</v>
      </c>
      <c r="E731" s="28" t="s">
        <v>14603</v>
      </c>
      <c r="F731" s="28" t="s">
        <v>14600</v>
      </c>
      <c r="G731" s="28" t="s">
        <v>14604</v>
      </c>
      <c r="H731" s="28" t="s">
        <v>322</v>
      </c>
      <c r="I731" s="28" t="s">
        <v>323</v>
      </c>
      <c r="J731" s="28" t="s">
        <v>413</v>
      </c>
      <c r="K731" s="28" t="s">
        <v>3264</v>
      </c>
      <c r="L731" s="28" t="s">
        <v>14605</v>
      </c>
      <c r="M731" s="28" t="s">
        <v>14606</v>
      </c>
      <c r="N731" s="28" t="s">
        <v>147</v>
      </c>
      <c r="O731" s="29">
        <v>22</v>
      </c>
      <c r="P731" s="28" t="s">
        <v>148</v>
      </c>
      <c r="Q731" s="28" t="s">
        <v>149</v>
      </c>
      <c r="R731" s="28" t="s">
        <v>174</v>
      </c>
      <c r="S731" s="28" t="s">
        <v>14607</v>
      </c>
      <c r="T731" s="30">
        <v>40</v>
      </c>
      <c r="U731" s="28" t="s">
        <v>14608</v>
      </c>
      <c r="V731" s="28" t="s">
        <v>138</v>
      </c>
      <c r="W731" s="28" t="s">
        <v>138</v>
      </c>
      <c r="X731" s="31">
        <v>2016</v>
      </c>
      <c r="Y731" s="28" t="s">
        <v>138</v>
      </c>
      <c r="Z731" s="28" t="s">
        <v>138</v>
      </c>
      <c r="AA731" s="28" t="s">
        <v>138</v>
      </c>
      <c r="AB731" s="32" t="s">
        <v>138</v>
      </c>
      <c r="AC731" s="32" t="s">
        <v>138</v>
      </c>
      <c r="AD731" s="32" t="s">
        <v>138</v>
      </c>
      <c r="AE731" s="32" t="s">
        <v>138</v>
      </c>
      <c r="AF731" s="32" t="s">
        <v>138</v>
      </c>
      <c r="AG731" s="28" t="s">
        <v>138</v>
      </c>
      <c r="AH731" s="32" t="s">
        <v>138</v>
      </c>
      <c r="AI731" s="32" t="s">
        <v>138</v>
      </c>
      <c r="AJ731" s="32" t="s">
        <v>138</v>
      </c>
      <c r="AK731" s="28" t="s">
        <v>14609</v>
      </c>
      <c r="AL731" s="28" t="s">
        <v>14610</v>
      </c>
      <c r="AM731" s="28" t="s">
        <v>304</v>
      </c>
      <c r="AN731" s="28" t="s">
        <v>14611</v>
      </c>
      <c r="AO731" s="28" t="s">
        <v>138</v>
      </c>
      <c r="AP731" s="28" t="s">
        <v>3839</v>
      </c>
      <c r="AQ731" s="28" t="s">
        <v>138</v>
      </c>
      <c r="AR731" s="28" t="s">
        <v>138</v>
      </c>
      <c r="AS731" s="28" t="s">
        <v>3841</v>
      </c>
      <c r="AT731" s="28" t="s">
        <v>200</v>
      </c>
      <c r="AU731" s="28" t="s">
        <v>138</v>
      </c>
      <c r="AV731" s="28" t="s">
        <v>162</v>
      </c>
      <c r="AW731" s="28" t="s">
        <v>138</v>
      </c>
      <c r="AX731" s="28" t="s">
        <v>138</v>
      </c>
      <c r="AY731" s="28" t="s">
        <v>14612</v>
      </c>
      <c r="AZ731" s="28" t="s">
        <v>164</v>
      </c>
      <c r="BA731" s="28" t="s">
        <v>165</v>
      </c>
      <c r="BB731" s="28" t="s">
        <v>14613</v>
      </c>
      <c r="BC731" s="28" t="s">
        <v>14614</v>
      </c>
      <c r="BD731" s="33">
        <v>5</v>
      </c>
      <c r="BE731" s="28" t="s">
        <v>138</v>
      </c>
      <c r="BF731" s="28" t="s">
        <v>138</v>
      </c>
      <c r="BG731" s="28" t="s">
        <v>138</v>
      </c>
      <c r="BH731" s="28" t="s">
        <v>14615</v>
      </c>
      <c r="BI731" s="28" t="s">
        <v>138</v>
      </c>
      <c r="BJ731" s="28" t="s">
        <v>138</v>
      </c>
      <c r="BK731" s="28" t="s">
        <v>138</v>
      </c>
      <c r="BL731" s="28" t="s">
        <v>138</v>
      </c>
      <c r="BM731" s="34">
        <v>42491</v>
      </c>
      <c r="BN731" s="29">
        <v>2</v>
      </c>
      <c r="BO731" s="28" t="s">
        <v>1178</v>
      </c>
      <c r="BP731" s="29" t="s">
        <v>138</v>
      </c>
      <c r="BQ731" s="28" t="s">
        <v>138</v>
      </c>
      <c r="BR731" s="28" t="s">
        <v>234</v>
      </c>
      <c r="BS731" s="28" t="s">
        <v>234</v>
      </c>
      <c r="BT731" s="28" t="s">
        <v>138</v>
      </c>
      <c r="BU731" s="28" t="s">
        <v>174</v>
      </c>
      <c r="BV731" s="28" t="s">
        <v>138</v>
      </c>
      <c r="BW731" s="28" t="s">
        <v>138</v>
      </c>
      <c r="BX731" s="28" t="s">
        <v>138</v>
      </c>
      <c r="BY731" s="28" t="s">
        <v>175</v>
      </c>
      <c r="BZ731" s="34">
        <v>43413</v>
      </c>
      <c r="CA731" s="29">
        <v>11</v>
      </c>
      <c r="CB731" s="28" t="s">
        <v>172</v>
      </c>
      <c r="CC731" s="29" t="s">
        <v>138</v>
      </c>
      <c r="CD731" s="28" t="s">
        <v>138</v>
      </c>
      <c r="CE731" s="28" t="s">
        <v>205</v>
      </c>
      <c r="CF731" s="28" t="s">
        <v>138</v>
      </c>
      <c r="CG731" s="28" t="s">
        <v>138</v>
      </c>
      <c r="CH731" s="28" t="s">
        <v>174</v>
      </c>
      <c r="CI731" s="28" t="s">
        <v>138</v>
      </c>
      <c r="CJ731" s="28" t="s">
        <v>138</v>
      </c>
      <c r="CK731" s="28" t="s">
        <v>138</v>
      </c>
      <c r="CL731" s="28" t="s">
        <v>175</v>
      </c>
      <c r="CM731" s="34" t="s">
        <v>138</v>
      </c>
      <c r="CN731" s="29" t="s">
        <v>138</v>
      </c>
      <c r="CO731" s="35">
        <v>-0.08</v>
      </c>
      <c r="CP731" s="36">
        <v>21</v>
      </c>
      <c r="CQ731" s="35">
        <v>0.05</v>
      </c>
      <c r="CR731" s="35">
        <v>39.22</v>
      </c>
      <c r="CS731" s="35">
        <v>-0.89</v>
      </c>
      <c r="CT731" s="36">
        <v>16</v>
      </c>
      <c r="CU731" s="35">
        <v>0</v>
      </c>
      <c r="CV731" s="36">
        <v>22</v>
      </c>
      <c r="CW731" s="35">
        <v>0</v>
      </c>
      <c r="CX731" s="36">
        <v>13</v>
      </c>
      <c r="CY731" s="35">
        <v>-1.79</v>
      </c>
      <c r="CZ731" s="36">
        <v>13</v>
      </c>
      <c r="DA731" s="35">
        <v>0</v>
      </c>
      <c r="DB731" s="36">
        <v>22</v>
      </c>
      <c r="DC731" s="37">
        <v>0.68</v>
      </c>
      <c r="DD731" s="36">
        <v>41</v>
      </c>
      <c r="DE731" s="37">
        <v>0.01</v>
      </c>
      <c r="DF731" s="35">
        <v>1.18</v>
      </c>
      <c r="DG731" s="37">
        <v>1.81</v>
      </c>
      <c r="DH731" s="36">
        <v>65</v>
      </c>
      <c r="DI731" s="37">
        <v>0.14000000000000001</v>
      </c>
      <c r="DJ731" s="36">
        <v>18</v>
      </c>
      <c r="DK731" s="37">
        <v>0.18</v>
      </c>
      <c r="DL731" s="36">
        <v>3</v>
      </c>
      <c r="DM731" s="37">
        <v>3.45</v>
      </c>
      <c r="DN731" s="36">
        <v>76</v>
      </c>
      <c r="DO731" s="37">
        <v>0.14000000000000001</v>
      </c>
      <c r="DP731" s="36">
        <v>20</v>
      </c>
      <c r="DQ731" s="36">
        <v>78</v>
      </c>
      <c r="DR731" s="38">
        <v>-51</v>
      </c>
      <c r="DS731" s="35">
        <v>-39.53</v>
      </c>
      <c r="DT731" s="36">
        <v>99</v>
      </c>
      <c r="DU731" s="38">
        <v>2</v>
      </c>
      <c r="DV731" s="35">
        <v>2.06</v>
      </c>
      <c r="DW731" s="36">
        <v>49</v>
      </c>
      <c r="DX731" s="39">
        <v>1</v>
      </c>
      <c r="DY731" s="35">
        <v>2.08</v>
      </c>
      <c r="DZ731" s="28" t="s">
        <v>178</v>
      </c>
      <c r="EA731" s="34">
        <v>43425</v>
      </c>
      <c r="EB731" s="29">
        <v>28</v>
      </c>
      <c r="EC731" s="34">
        <v>43075</v>
      </c>
      <c r="ED731" s="28" t="s">
        <v>205</v>
      </c>
      <c r="EE731" s="40" t="str">
        <f>HYPERLINK("https://my.pitchbook.com?c=171169-39", "View company online")</f>
        <v>View company online</v>
      </c>
    </row>
    <row r="732" spans="1:135">
      <c r="A732" s="15" t="s">
        <v>14616</v>
      </c>
      <c r="B732" s="15" t="s">
        <v>14617</v>
      </c>
      <c r="C732" s="15" t="s">
        <v>14618</v>
      </c>
      <c r="D732" s="15" t="s">
        <v>138</v>
      </c>
      <c r="E732" s="15" t="s">
        <v>14619</v>
      </c>
      <c r="F732" s="15" t="s">
        <v>14616</v>
      </c>
      <c r="G732" s="15" t="s">
        <v>14620</v>
      </c>
      <c r="H732" s="15" t="s">
        <v>238</v>
      </c>
      <c r="I732" s="15" t="s">
        <v>239</v>
      </c>
      <c r="J732" s="15" t="s">
        <v>2234</v>
      </c>
      <c r="K732" s="15" t="s">
        <v>14621</v>
      </c>
      <c r="L732" s="15" t="s">
        <v>242</v>
      </c>
      <c r="M732" s="15" t="s">
        <v>14622</v>
      </c>
      <c r="N732" s="15" t="s">
        <v>147</v>
      </c>
      <c r="O732" s="17">
        <v>20.68</v>
      </c>
      <c r="P732" s="15" t="s">
        <v>148</v>
      </c>
      <c r="Q732" s="15" t="s">
        <v>149</v>
      </c>
      <c r="R732" s="15" t="s">
        <v>174</v>
      </c>
      <c r="S732" s="15" t="s">
        <v>14623</v>
      </c>
      <c r="T732" s="18">
        <v>11</v>
      </c>
      <c r="U732" s="15" t="s">
        <v>14624</v>
      </c>
      <c r="V732" s="15" t="s">
        <v>138</v>
      </c>
      <c r="W732" s="15" t="s">
        <v>138</v>
      </c>
      <c r="X732" s="19">
        <v>2005</v>
      </c>
      <c r="Y732" s="15" t="s">
        <v>138</v>
      </c>
      <c r="Z732" s="15" t="s">
        <v>138</v>
      </c>
      <c r="AA732" s="15" t="s">
        <v>138</v>
      </c>
      <c r="AB732" s="20" t="s">
        <v>138</v>
      </c>
      <c r="AC732" s="20" t="s">
        <v>138</v>
      </c>
      <c r="AD732" s="20" t="s">
        <v>138</v>
      </c>
      <c r="AE732" s="20" t="s">
        <v>138</v>
      </c>
      <c r="AF732" s="20" t="s">
        <v>138</v>
      </c>
      <c r="AG732" s="15" t="s">
        <v>138</v>
      </c>
      <c r="AH732" s="20" t="s">
        <v>138</v>
      </c>
      <c r="AI732" s="20" t="s">
        <v>138</v>
      </c>
      <c r="AJ732" s="20" t="s">
        <v>138</v>
      </c>
      <c r="AK732" s="15" t="s">
        <v>14625</v>
      </c>
      <c r="AL732" s="15" t="s">
        <v>14626</v>
      </c>
      <c r="AM732" s="15" t="s">
        <v>12471</v>
      </c>
      <c r="AN732" s="15" t="s">
        <v>14627</v>
      </c>
      <c r="AO732" s="15" t="s">
        <v>14628</v>
      </c>
      <c r="AP732" s="15" t="s">
        <v>423</v>
      </c>
      <c r="AQ732" s="15" t="s">
        <v>14629</v>
      </c>
      <c r="AR732" s="15" t="s">
        <v>138</v>
      </c>
      <c r="AS732" s="15" t="s">
        <v>426</v>
      </c>
      <c r="AT732" s="15" t="s">
        <v>426</v>
      </c>
      <c r="AU732" s="15" t="s">
        <v>714</v>
      </c>
      <c r="AV732" s="15" t="s">
        <v>162</v>
      </c>
      <c r="AW732" s="15" t="s">
        <v>14628</v>
      </c>
      <c r="AX732" s="15" t="s">
        <v>138</v>
      </c>
      <c r="AY732" s="15" t="s">
        <v>14630</v>
      </c>
      <c r="AZ732" s="15" t="s">
        <v>164</v>
      </c>
      <c r="BA732" s="15" t="s">
        <v>165</v>
      </c>
      <c r="BB732" s="15" t="s">
        <v>14631</v>
      </c>
      <c r="BC732" s="15" t="s">
        <v>14632</v>
      </c>
      <c r="BD732" s="21">
        <v>7</v>
      </c>
      <c r="BE732" s="15" t="s">
        <v>138</v>
      </c>
      <c r="BF732" s="15" t="s">
        <v>138</v>
      </c>
      <c r="BG732" s="15" t="s">
        <v>138</v>
      </c>
      <c r="BH732" s="15" t="s">
        <v>14633</v>
      </c>
      <c r="BI732" s="15" t="s">
        <v>138</v>
      </c>
      <c r="BJ732" s="15" t="s">
        <v>138</v>
      </c>
      <c r="BK732" s="15" t="s">
        <v>1275</v>
      </c>
      <c r="BL732" s="15" t="s">
        <v>1275</v>
      </c>
      <c r="BM732" s="22">
        <v>38743</v>
      </c>
      <c r="BN732" s="17">
        <v>6.6</v>
      </c>
      <c r="BO732" s="15" t="s">
        <v>172</v>
      </c>
      <c r="BP732" s="17" t="s">
        <v>138</v>
      </c>
      <c r="BQ732" s="15" t="s">
        <v>138</v>
      </c>
      <c r="BR732" s="15" t="s">
        <v>205</v>
      </c>
      <c r="BS732" s="15" t="s">
        <v>206</v>
      </c>
      <c r="BT732" s="15" t="s">
        <v>138</v>
      </c>
      <c r="BU732" s="15" t="s">
        <v>174</v>
      </c>
      <c r="BV732" s="15" t="s">
        <v>138</v>
      </c>
      <c r="BW732" s="15" t="s">
        <v>138</v>
      </c>
      <c r="BX732" s="15" t="s">
        <v>138</v>
      </c>
      <c r="BY732" s="15" t="s">
        <v>175</v>
      </c>
      <c r="BZ732" s="22">
        <v>43018</v>
      </c>
      <c r="CA732" s="17">
        <v>6.43</v>
      </c>
      <c r="CB732" s="15" t="s">
        <v>172</v>
      </c>
      <c r="CC732" s="17" t="s">
        <v>138</v>
      </c>
      <c r="CD732" s="15" t="s">
        <v>138</v>
      </c>
      <c r="CE732" s="15" t="s">
        <v>173</v>
      </c>
      <c r="CF732" s="15" t="s">
        <v>138</v>
      </c>
      <c r="CG732" s="15" t="s">
        <v>138</v>
      </c>
      <c r="CH732" s="15" t="s">
        <v>174</v>
      </c>
      <c r="CI732" s="15" t="s">
        <v>138</v>
      </c>
      <c r="CJ732" s="15" t="s">
        <v>138</v>
      </c>
      <c r="CK732" s="15" t="s">
        <v>138</v>
      </c>
      <c r="CL732" s="15" t="s">
        <v>175</v>
      </c>
      <c r="CM732" s="22" t="s">
        <v>138</v>
      </c>
      <c r="CN732" s="17" t="s">
        <v>138</v>
      </c>
      <c r="CO732" s="23">
        <v>0</v>
      </c>
      <c r="CP732" s="24">
        <v>26</v>
      </c>
      <c r="CQ732" s="23">
        <v>0</v>
      </c>
      <c r="CR732" s="23">
        <v>0</v>
      </c>
      <c r="CS732" s="23">
        <v>0</v>
      </c>
      <c r="CT732" s="24">
        <v>23</v>
      </c>
      <c r="CU732" s="23">
        <v>0</v>
      </c>
      <c r="CV732" s="24">
        <v>22</v>
      </c>
      <c r="CW732" s="23" t="s">
        <v>138</v>
      </c>
      <c r="CX732" s="24" t="s">
        <v>138</v>
      </c>
      <c r="CY732" s="23">
        <v>0</v>
      </c>
      <c r="CZ732" s="24">
        <v>25</v>
      </c>
      <c r="DA732" s="23">
        <v>0</v>
      </c>
      <c r="DB732" s="24">
        <v>22</v>
      </c>
      <c r="DC732" s="25">
        <v>1.22</v>
      </c>
      <c r="DD732" s="24">
        <v>56</v>
      </c>
      <c r="DE732" s="25">
        <v>0.51</v>
      </c>
      <c r="DF732" s="23">
        <v>72.45</v>
      </c>
      <c r="DG732" s="25">
        <v>2.31</v>
      </c>
      <c r="DH732" s="24">
        <v>70</v>
      </c>
      <c r="DI732" s="25">
        <v>0.13</v>
      </c>
      <c r="DJ732" s="24">
        <v>17</v>
      </c>
      <c r="DK732" s="25" t="s">
        <v>138</v>
      </c>
      <c r="DL732" s="24" t="s">
        <v>138</v>
      </c>
      <c r="DM732" s="25">
        <v>2.31</v>
      </c>
      <c r="DN732" s="24">
        <v>68</v>
      </c>
      <c r="DO732" s="25">
        <v>0.13</v>
      </c>
      <c r="DP732" s="24">
        <v>19</v>
      </c>
      <c r="DQ732" s="24">
        <v>86</v>
      </c>
      <c r="DR732" s="26">
        <v>-35</v>
      </c>
      <c r="DS732" s="23">
        <v>-28.93</v>
      </c>
      <c r="DT732" s="24">
        <v>67</v>
      </c>
      <c r="DU732" s="26">
        <v>-1</v>
      </c>
      <c r="DV732" s="23">
        <v>-1.47</v>
      </c>
      <c r="DW732" s="24">
        <v>46</v>
      </c>
      <c r="DX732" s="27">
        <v>2</v>
      </c>
      <c r="DY732" s="23">
        <v>4.55</v>
      </c>
      <c r="DZ732" s="15" t="s">
        <v>178</v>
      </c>
      <c r="EA732" s="22">
        <v>43622</v>
      </c>
      <c r="EB732" s="17" t="s">
        <v>138</v>
      </c>
      <c r="EC732" s="22" t="s">
        <v>138</v>
      </c>
      <c r="ED732" s="15" t="s">
        <v>138</v>
      </c>
      <c r="EE732" s="14" t="str">
        <f>HYPERLINK("https://my.pitchbook.com?c=61416-37", "View company online")</f>
        <v>View company online</v>
      </c>
    </row>
    <row r="733" spans="1:135">
      <c r="A733" s="28" t="s">
        <v>14634</v>
      </c>
      <c r="B733" s="28" t="s">
        <v>14635</v>
      </c>
      <c r="C733" s="28" t="s">
        <v>138</v>
      </c>
      <c r="D733" s="28" t="s">
        <v>138</v>
      </c>
      <c r="E733" s="28" t="s">
        <v>138</v>
      </c>
      <c r="F733" s="28" t="s">
        <v>14634</v>
      </c>
      <c r="G733" s="28" t="s">
        <v>14636</v>
      </c>
      <c r="H733" s="28" t="s">
        <v>141</v>
      </c>
      <c r="I733" s="28" t="s">
        <v>142</v>
      </c>
      <c r="J733" s="28" t="s">
        <v>1924</v>
      </c>
      <c r="K733" s="28" t="s">
        <v>14637</v>
      </c>
      <c r="L733" s="28" t="s">
        <v>3589</v>
      </c>
      <c r="M733" s="28" t="s">
        <v>14638</v>
      </c>
      <c r="N733" s="28" t="s">
        <v>147</v>
      </c>
      <c r="O733" s="29">
        <v>24</v>
      </c>
      <c r="P733" s="28" t="s">
        <v>148</v>
      </c>
      <c r="Q733" s="28" t="s">
        <v>149</v>
      </c>
      <c r="R733" s="28" t="s">
        <v>174</v>
      </c>
      <c r="S733" s="28" t="s">
        <v>14639</v>
      </c>
      <c r="T733" s="30">
        <v>31</v>
      </c>
      <c r="U733" s="28" t="s">
        <v>1024</v>
      </c>
      <c r="V733" s="28" t="s">
        <v>138</v>
      </c>
      <c r="W733" s="28" t="s">
        <v>138</v>
      </c>
      <c r="X733" s="31">
        <v>2009</v>
      </c>
      <c r="Y733" s="28" t="s">
        <v>138</v>
      </c>
      <c r="Z733" s="28" t="s">
        <v>138</v>
      </c>
      <c r="AA733" s="28" t="s">
        <v>138</v>
      </c>
      <c r="AB733" s="32" t="s">
        <v>138</v>
      </c>
      <c r="AC733" s="32" t="s">
        <v>138</v>
      </c>
      <c r="AD733" s="32" t="s">
        <v>138</v>
      </c>
      <c r="AE733" s="32" t="s">
        <v>138</v>
      </c>
      <c r="AF733" s="32" t="s">
        <v>138</v>
      </c>
      <c r="AG733" s="28" t="s">
        <v>138</v>
      </c>
      <c r="AH733" s="32" t="s">
        <v>138</v>
      </c>
      <c r="AI733" s="32" t="s">
        <v>138</v>
      </c>
      <c r="AJ733" s="32" t="s">
        <v>138</v>
      </c>
      <c r="AK733" s="28" t="s">
        <v>14640</v>
      </c>
      <c r="AL733" s="28" t="s">
        <v>14641</v>
      </c>
      <c r="AM733" s="28" t="s">
        <v>2794</v>
      </c>
      <c r="AN733" s="28" t="s">
        <v>14642</v>
      </c>
      <c r="AO733" s="28" t="s">
        <v>14643</v>
      </c>
      <c r="AP733" s="28" t="s">
        <v>14644</v>
      </c>
      <c r="AQ733" s="28" t="s">
        <v>14645</v>
      </c>
      <c r="AR733" s="28" t="s">
        <v>14646</v>
      </c>
      <c r="AS733" s="28" t="s">
        <v>14647</v>
      </c>
      <c r="AT733" s="28" t="s">
        <v>138</v>
      </c>
      <c r="AU733" s="28" t="s">
        <v>14648</v>
      </c>
      <c r="AV733" s="28" t="s">
        <v>740</v>
      </c>
      <c r="AW733" s="28" t="s">
        <v>14643</v>
      </c>
      <c r="AX733" s="28" t="s">
        <v>14649</v>
      </c>
      <c r="AY733" s="28" t="s">
        <v>14650</v>
      </c>
      <c r="AZ733" s="28" t="s">
        <v>742</v>
      </c>
      <c r="BA733" s="28" t="s">
        <v>742</v>
      </c>
      <c r="BB733" s="28" t="s">
        <v>14651</v>
      </c>
      <c r="BC733" s="28" t="s">
        <v>14652</v>
      </c>
      <c r="BD733" s="33">
        <v>9</v>
      </c>
      <c r="BE733" s="28" t="s">
        <v>138</v>
      </c>
      <c r="BF733" s="28" t="s">
        <v>138</v>
      </c>
      <c r="BG733" s="28" t="s">
        <v>138</v>
      </c>
      <c r="BH733" s="28" t="s">
        <v>14653</v>
      </c>
      <c r="BI733" s="28" t="s">
        <v>138</v>
      </c>
      <c r="BJ733" s="28" t="s">
        <v>138</v>
      </c>
      <c r="BK733" s="28" t="s">
        <v>138</v>
      </c>
      <c r="BL733" s="28" t="s">
        <v>138</v>
      </c>
      <c r="BM733" s="34">
        <v>40499</v>
      </c>
      <c r="BN733" s="29">
        <v>9</v>
      </c>
      <c r="BO733" s="28" t="s">
        <v>172</v>
      </c>
      <c r="BP733" s="29" t="s">
        <v>138</v>
      </c>
      <c r="BQ733" s="28" t="s">
        <v>138</v>
      </c>
      <c r="BR733" s="28" t="s">
        <v>205</v>
      </c>
      <c r="BS733" s="28" t="s">
        <v>138</v>
      </c>
      <c r="BT733" s="28" t="s">
        <v>138</v>
      </c>
      <c r="BU733" s="28" t="s">
        <v>174</v>
      </c>
      <c r="BV733" s="28" t="s">
        <v>138</v>
      </c>
      <c r="BW733" s="28" t="s">
        <v>138</v>
      </c>
      <c r="BX733" s="28" t="s">
        <v>138</v>
      </c>
      <c r="BY733" s="28" t="s">
        <v>175</v>
      </c>
      <c r="BZ733" s="34">
        <v>42462</v>
      </c>
      <c r="CA733" s="29">
        <v>1</v>
      </c>
      <c r="CB733" s="28" t="s">
        <v>172</v>
      </c>
      <c r="CC733" s="29" t="s">
        <v>138</v>
      </c>
      <c r="CD733" s="28" t="s">
        <v>138</v>
      </c>
      <c r="CE733" s="28" t="s">
        <v>173</v>
      </c>
      <c r="CF733" s="28" t="s">
        <v>138</v>
      </c>
      <c r="CG733" s="28" t="s">
        <v>138</v>
      </c>
      <c r="CH733" s="28" t="s">
        <v>174</v>
      </c>
      <c r="CI733" s="28" t="s">
        <v>138</v>
      </c>
      <c r="CJ733" s="28" t="s">
        <v>138</v>
      </c>
      <c r="CK733" s="28" t="s">
        <v>138</v>
      </c>
      <c r="CL733" s="28" t="s">
        <v>175</v>
      </c>
      <c r="CM733" s="34" t="s">
        <v>138</v>
      </c>
      <c r="CN733" s="29" t="s">
        <v>138</v>
      </c>
      <c r="CO733" s="35">
        <v>-1.18</v>
      </c>
      <c r="CP733" s="36">
        <v>10</v>
      </c>
      <c r="CQ733" s="35">
        <v>0.11</v>
      </c>
      <c r="CR733" s="35">
        <v>8.73</v>
      </c>
      <c r="CS733" s="35">
        <v>-1.18</v>
      </c>
      <c r="CT733" s="36">
        <v>14</v>
      </c>
      <c r="CU733" s="35" t="s">
        <v>138</v>
      </c>
      <c r="CV733" s="36" t="s">
        <v>138</v>
      </c>
      <c r="CW733" s="35" t="s">
        <v>138</v>
      </c>
      <c r="CX733" s="36" t="s">
        <v>138</v>
      </c>
      <c r="CY733" s="35">
        <v>-1.18</v>
      </c>
      <c r="CZ733" s="36">
        <v>17</v>
      </c>
      <c r="DA733" s="35" t="s">
        <v>138</v>
      </c>
      <c r="DB733" s="36" t="s">
        <v>138</v>
      </c>
      <c r="DC733" s="37">
        <v>3.24</v>
      </c>
      <c r="DD733" s="36">
        <v>76</v>
      </c>
      <c r="DE733" s="37">
        <v>0.03</v>
      </c>
      <c r="DF733" s="35">
        <v>1.08</v>
      </c>
      <c r="DG733" s="37">
        <v>3.24</v>
      </c>
      <c r="DH733" s="36">
        <v>76</v>
      </c>
      <c r="DI733" s="37" t="s">
        <v>138</v>
      </c>
      <c r="DJ733" s="36" t="s">
        <v>138</v>
      </c>
      <c r="DK733" s="37" t="s">
        <v>138</v>
      </c>
      <c r="DL733" s="36" t="s">
        <v>138</v>
      </c>
      <c r="DM733" s="37">
        <v>3.24</v>
      </c>
      <c r="DN733" s="36">
        <v>75</v>
      </c>
      <c r="DO733" s="37" t="s">
        <v>138</v>
      </c>
      <c r="DP733" s="36" t="s">
        <v>138</v>
      </c>
      <c r="DQ733" s="36" t="s">
        <v>138</v>
      </c>
      <c r="DR733" s="38" t="s">
        <v>138</v>
      </c>
      <c r="DS733" s="35" t="s">
        <v>138</v>
      </c>
      <c r="DT733" s="36">
        <v>93</v>
      </c>
      <c r="DU733" s="38">
        <v>0</v>
      </c>
      <c r="DV733" s="35">
        <v>0</v>
      </c>
      <c r="DW733" s="36" t="s">
        <v>138</v>
      </c>
      <c r="DX733" s="39" t="s">
        <v>138</v>
      </c>
      <c r="DY733" s="35" t="s">
        <v>138</v>
      </c>
      <c r="DZ733" s="28" t="s">
        <v>178</v>
      </c>
      <c r="EA733" s="34">
        <v>43353</v>
      </c>
      <c r="EB733" s="29" t="s">
        <v>138</v>
      </c>
      <c r="EC733" s="34" t="s">
        <v>138</v>
      </c>
      <c r="ED733" s="28" t="s">
        <v>138</v>
      </c>
      <c r="EE733" s="40" t="str">
        <f>HYPERLINK("https://my.pitchbook.com?c=53855-02", "View company online")</f>
        <v>View company online</v>
      </c>
    </row>
    <row r="734" spans="1:135">
      <c r="A734" s="15" t="s">
        <v>14654</v>
      </c>
      <c r="B734" s="15" t="s">
        <v>14655</v>
      </c>
      <c r="C734" s="15" t="s">
        <v>138</v>
      </c>
      <c r="D734" s="15" t="s">
        <v>14656</v>
      </c>
      <c r="E734" s="15" t="s">
        <v>14657</v>
      </c>
      <c r="F734" s="15" t="s">
        <v>14654</v>
      </c>
      <c r="G734" s="15" t="s">
        <v>14658</v>
      </c>
      <c r="H734" s="15" t="s">
        <v>322</v>
      </c>
      <c r="I734" s="15" t="s">
        <v>323</v>
      </c>
      <c r="J734" s="15" t="s">
        <v>324</v>
      </c>
      <c r="K734" s="15" t="s">
        <v>14659</v>
      </c>
      <c r="L734" s="15" t="s">
        <v>14660</v>
      </c>
      <c r="M734" s="15" t="s">
        <v>14661</v>
      </c>
      <c r="N734" s="15" t="s">
        <v>147</v>
      </c>
      <c r="O734" s="17">
        <v>7.2</v>
      </c>
      <c r="P734" s="15" t="s">
        <v>148</v>
      </c>
      <c r="Q734" s="15" t="s">
        <v>149</v>
      </c>
      <c r="R734" s="15" t="s">
        <v>174</v>
      </c>
      <c r="S734" s="15" t="s">
        <v>14662</v>
      </c>
      <c r="T734" s="18" t="s">
        <v>138</v>
      </c>
      <c r="U734" s="15" t="s">
        <v>138</v>
      </c>
      <c r="V734" s="15" t="s">
        <v>138</v>
      </c>
      <c r="W734" s="15" t="s">
        <v>138</v>
      </c>
      <c r="X734" s="19">
        <v>2016</v>
      </c>
      <c r="Y734" s="15" t="s">
        <v>138</v>
      </c>
      <c r="Z734" s="15" t="s">
        <v>138</v>
      </c>
      <c r="AA734" s="15" t="s">
        <v>138</v>
      </c>
      <c r="AB734" s="20" t="s">
        <v>138</v>
      </c>
      <c r="AC734" s="20" t="s">
        <v>138</v>
      </c>
      <c r="AD734" s="20" t="s">
        <v>138</v>
      </c>
      <c r="AE734" s="20" t="s">
        <v>138</v>
      </c>
      <c r="AF734" s="20" t="s">
        <v>138</v>
      </c>
      <c r="AG734" s="15" t="s">
        <v>138</v>
      </c>
      <c r="AH734" s="20" t="s">
        <v>138</v>
      </c>
      <c r="AI734" s="20" t="s">
        <v>138</v>
      </c>
      <c r="AJ734" s="20" t="s">
        <v>138</v>
      </c>
      <c r="AK734" s="15" t="s">
        <v>14663</v>
      </c>
      <c r="AL734" s="15" t="s">
        <v>14664</v>
      </c>
      <c r="AM734" s="15" t="s">
        <v>4011</v>
      </c>
      <c r="AN734" s="15" t="s">
        <v>14665</v>
      </c>
      <c r="AO734" s="15" t="s">
        <v>138</v>
      </c>
      <c r="AP734" s="15" t="s">
        <v>639</v>
      </c>
      <c r="AQ734" s="15" t="s">
        <v>14666</v>
      </c>
      <c r="AR734" s="15" t="s">
        <v>14667</v>
      </c>
      <c r="AS734" s="15" t="s">
        <v>642</v>
      </c>
      <c r="AT734" s="15" t="s">
        <v>474</v>
      </c>
      <c r="AU734" s="15" t="s">
        <v>14668</v>
      </c>
      <c r="AV734" s="15" t="s">
        <v>162</v>
      </c>
      <c r="AW734" s="15" t="s">
        <v>138</v>
      </c>
      <c r="AX734" s="15" t="s">
        <v>138</v>
      </c>
      <c r="AY734" s="15" t="s">
        <v>14669</v>
      </c>
      <c r="AZ734" s="15" t="s">
        <v>164</v>
      </c>
      <c r="BA734" s="15" t="s">
        <v>165</v>
      </c>
      <c r="BB734" s="15" t="s">
        <v>14670</v>
      </c>
      <c r="BC734" s="15" t="s">
        <v>14671</v>
      </c>
      <c r="BD734" s="21">
        <v>8</v>
      </c>
      <c r="BE734" s="15" t="s">
        <v>138</v>
      </c>
      <c r="BF734" s="15" t="s">
        <v>138</v>
      </c>
      <c r="BG734" s="15" t="s">
        <v>138</v>
      </c>
      <c r="BH734" s="15" t="s">
        <v>14672</v>
      </c>
      <c r="BI734" s="15" t="s">
        <v>138</v>
      </c>
      <c r="BJ734" s="15" t="s">
        <v>138</v>
      </c>
      <c r="BK734" s="15" t="s">
        <v>138</v>
      </c>
      <c r="BL734" s="15" t="s">
        <v>138</v>
      </c>
      <c r="BM734" s="22" t="s">
        <v>138</v>
      </c>
      <c r="BN734" s="17" t="s">
        <v>138</v>
      </c>
      <c r="BO734" s="15" t="s">
        <v>138</v>
      </c>
      <c r="BP734" s="17" t="s">
        <v>138</v>
      </c>
      <c r="BQ734" s="15" t="s">
        <v>138</v>
      </c>
      <c r="BR734" s="15" t="s">
        <v>316</v>
      </c>
      <c r="BS734" s="15" t="s">
        <v>138</v>
      </c>
      <c r="BT734" s="15" t="s">
        <v>138</v>
      </c>
      <c r="BU734" s="15" t="s">
        <v>177</v>
      </c>
      <c r="BV734" s="15" t="s">
        <v>138</v>
      </c>
      <c r="BW734" s="15" t="s">
        <v>138</v>
      </c>
      <c r="BX734" s="15" t="s">
        <v>138</v>
      </c>
      <c r="BY734" s="15" t="s">
        <v>175</v>
      </c>
      <c r="BZ734" s="22">
        <v>43478</v>
      </c>
      <c r="CA734" s="17">
        <v>5</v>
      </c>
      <c r="CB734" s="15" t="s">
        <v>172</v>
      </c>
      <c r="CC734" s="17">
        <v>17.5</v>
      </c>
      <c r="CD734" s="15" t="s">
        <v>172</v>
      </c>
      <c r="CE734" s="15" t="s">
        <v>205</v>
      </c>
      <c r="CF734" s="15" t="s">
        <v>206</v>
      </c>
      <c r="CG734" s="15" t="s">
        <v>138</v>
      </c>
      <c r="CH734" s="15" t="s">
        <v>174</v>
      </c>
      <c r="CI734" s="15" t="s">
        <v>138</v>
      </c>
      <c r="CJ734" s="15" t="s">
        <v>138</v>
      </c>
      <c r="CK734" s="15" t="s">
        <v>138</v>
      </c>
      <c r="CL734" s="15" t="s">
        <v>175</v>
      </c>
      <c r="CM734" s="22" t="s">
        <v>138</v>
      </c>
      <c r="CN734" s="17" t="s">
        <v>138</v>
      </c>
      <c r="CO734" s="23">
        <v>3.36</v>
      </c>
      <c r="CP734" s="24">
        <v>100</v>
      </c>
      <c r="CQ734" s="23">
        <v>0</v>
      </c>
      <c r="CR734" s="23">
        <v>0</v>
      </c>
      <c r="CS734" s="23">
        <v>6.72</v>
      </c>
      <c r="CT734" s="24">
        <v>100</v>
      </c>
      <c r="CU734" s="23">
        <v>0</v>
      </c>
      <c r="CV734" s="24">
        <v>22</v>
      </c>
      <c r="CW734" s="23">
        <v>6.72</v>
      </c>
      <c r="CX734" s="24">
        <v>98</v>
      </c>
      <c r="CY734" s="23" t="s">
        <v>138</v>
      </c>
      <c r="CZ734" s="24" t="s">
        <v>138</v>
      </c>
      <c r="DA734" s="23">
        <v>0</v>
      </c>
      <c r="DB734" s="24">
        <v>22</v>
      </c>
      <c r="DC734" s="25">
        <v>2.58</v>
      </c>
      <c r="DD734" s="24">
        <v>72</v>
      </c>
      <c r="DE734" s="25">
        <v>-0.32</v>
      </c>
      <c r="DF734" s="23">
        <v>-11.09</v>
      </c>
      <c r="DG734" s="25">
        <v>5.01</v>
      </c>
      <c r="DH734" s="24">
        <v>82</v>
      </c>
      <c r="DI734" s="25">
        <v>0.16</v>
      </c>
      <c r="DJ734" s="24">
        <v>19</v>
      </c>
      <c r="DK734" s="25">
        <v>5.01</v>
      </c>
      <c r="DL734" s="24">
        <v>79</v>
      </c>
      <c r="DM734" s="25" t="s">
        <v>138</v>
      </c>
      <c r="DN734" s="24" t="s">
        <v>138</v>
      </c>
      <c r="DO734" s="25">
        <v>0.16</v>
      </c>
      <c r="DP734" s="24">
        <v>22</v>
      </c>
      <c r="DQ734" s="24">
        <v>1619</v>
      </c>
      <c r="DR734" s="26">
        <v>294</v>
      </c>
      <c r="DS734" s="23">
        <v>22.19</v>
      </c>
      <c r="DT734" s="24" t="s">
        <v>138</v>
      </c>
      <c r="DU734" s="26" t="s">
        <v>138</v>
      </c>
      <c r="DV734" s="23" t="s">
        <v>138</v>
      </c>
      <c r="DW734" s="24">
        <v>56</v>
      </c>
      <c r="DX734" s="27">
        <v>-1</v>
      </c>
      <c r="DY734" s="23">
        <v>-1.75</v>
      </c>
      <c r="DZ734" s="15" t="s">
        <v>178</v>
      </c>
      <c r="EA734" s="22">
        <v>43600</v>
      </c>
      <c r="EB734" s="17">
        <v>17.5</v>
      </c>
      <c r="EC734" s="22">
        <v>43478</v>
      </c>
      <c r="ED734" s="15" t="s">
        <v>205</v>
      </c>
      <c r="EE734" s="14" t="str">
        <f>HYPERLINK("https://my.pitchbook.com?c=226616-86", "View company online")</f>
        <v>View company online</v>
      </c>
    </row>
    <row r="735" spans="1:135">
      <c r="A735" s="28" t="s">
        <v>14673</v>
      </c>
      <c r="B735" s="28" t="s">
        <v>14674</v>
      </c>
      <c r="C735" s="28" t="s">
        <v>138</v>
      </c>
      <c r="D735" s="28" t="s">
        <v>138</v>
      </c>
      <c r="E735" s="28" t="s">
        <v>14675</v>
      </c>
      <c r="F735" s="28" t="s">
        <v>14673</v>
      </c>
      <c r="G735" s="28" t="s">
        <v>14676</v>
      </c>
      <c r="H735" s="28" t="s">
        <v>322</v>
      </c>
      <c r="I735" s="28" t="s">
        <v>323</v>
      </c>
      <c r="J735" s="28" t="s">
        <v>324</v>
      </c>
      <c r="K735" s="28" t="s">
        <v>1649</v>
      </c>
      <c r="L735" s="28" t="s">
        <v>4503</v>
      </c>
      <c r="M735" s="28" t="s">
        <v>14677</v>
      </c>
      <c r="N735" s="28" t="s">
        <v>147</v>
      </c>
      <c r="O735" s="29">
        <v>108.54</v>
      </c>
      <c r="P735" s="28" t="s">
        <v>148</v>
      </c>
      <c r="Q735" s="28" t="s">
        <v>149</v>
      </c>
      <c r="R735" s="28" t="s">
        <v>174</v>
      </c>
      <c r="S735" s="28" t="s">
        <v>14678</v>
      </c>
      <c r="T735" s="30">
        <v>337</v>
      </c>
      <c r="U735" s="28" t="s">
        <v>14679</v>
      </c>
      <c r="V735" s="28" t="s">
        <v>138</v>
      </c>
      <c r="W735" s="28" t="s">
        <v>138</v>
      </c>
      <c r="X735" s="31">
        <v>2013</v>
      </c>
      <c r="Y735" s="28" t="s">
        <v>138</v>
      </c>
      <c r="Z735" s="28" t="s">
        <v>138</v>
      </c>
      <c r="AA735" s="28" t="s">
        <v>1163</v>
      </c>
      <c r="AB735" s="32" t="s">
        <v>138</v>
      </c>
      <c r="AC735" s="32" t="s">
        <v>138</v>
      </c>
      <c r="AD735" s="32" t="s">
        <v>138</v>
      </c>
      <c r="AE735" s="32" t="s">
        <v>138</v>
      </c>
      <c r="AF735" s="32" t="s">
        <v>138</v>
      </c>
      <c r="AG735" s="28" t="s">
        <v>138</v>
      </c>
      <c r="AH735" s="32" t="s">
        <v>138</v>
      </c>
      <c r="AI735" s="32" t="s">
        <v>138</v>
      </c>
      <c r="AJ735" s="32" t="s">
        <v>138</v>
      </c>
      <c r="AK735" s="28" t="s">
        <v>14680</v>
      </c>
      <c r="AL735" s="28" t="s">
        <v>14681</v>
      </c>
      <c r="AM735" s="28" t="s">
        <v>304</v>
      </c>
      <c r="AN735" s="28" t="s">
        <v>14682</v>
      </c>
      <c r="AO735" s="28" t="s">
        <v>14683</v>
      </c>
      <c r="AP735" s="28" t="s">
        <v>13630</v>
      </c>
      <c r="AQ735" s="28" t="s">
        <v>14684</v>
      </c>
      <c r="AR735" s="28" t="s">
        <v>138</v>
      </c>
      <c r="AS735" s="28" t="s">
        <v>13632</v>
      </c>
      <c r="AT735" s="28" t="s">
        <v>5271</v>
      </c>
      <c r="AU735" s="28" t="s">
        <v>14685</v>
      </c>
      <c r="AV735" s="28" t="s">
        <v>162</v>
      </c>
      <c r="AW735" s="28" t="s">
        <v>14683</v>
      </c>
      <c r="AX735" s="28" t="s">
        <v>138</v>
      </c>
      <c r="AY735" s="28" t="s">
        <v>138</v>
      </c>
      <c r="AZ735" s="28" t="s">
        <v>164</v>
      </c>
      <c r="BA735" s="28" t="s">
        <v>165</v>
      </c>
      <c r="BB735" s="28" t="s">
        <v>14686</v>
      </c>
      <c r="BC735" s="28" t="s">
        <v>14687</v>
      </c>
      <c r="BD735" s="33">
        <v>13</v>
      </c>
      <c r="BE735" s="28" t="s">
        <v>138</v>
      </c>
      <c r="BF735" s="28" t="s">
        <v>138</v>
      </c>
      <c r="BG735" s="28" t="s">
        <v>138</v>
      </c>
      <c r="BH735" s="28" t="s">
        <v>14688</v>
      </c>
      <c r="BI735" s="28" t="s">
        <v>138</v>
      </c>
      <c r="BJ735" s="28" t="s">
        <v>138</v>
      </c>
      <c r="BK735" s="28" t="s">
        <v>14689</v>
      </c>
      <c r="BL735" s="28" t="s">
        <v>14690</v>
      </c>
      <c r="BM735" s="34">
        <v>41609</v>
      </c>
      <c r="BN735" s="29" t="s">
        <v>138</v>
      </c>
      <c r="BO735" s="28" t="s">
        <v>138</v>
      </c>
      <c r="BP735" s="29" t="s">
        <v>138</v>
      </c>
      <c r="BQ735" s="28" t="s">
        <v>138</v>
      </c>
      <c r="BR735" s="28" t="s">
        <v>262</v>
      </c>
      <c r="BS735" s="28" t="s">
        <v>262</v>
      </c>
      <c r="BT735" s="28" t="s">
        <v>138</v>
      </c>
      <c r="BU735" s="28" t="s">
        <v>263</v>
      </c>
      <c r="BV735" s="28" t="s">
        <v>138</v>
      </c>
      <c r="BW735" s="28" t="s">
        <v>138</v>
      </c>
      <c r="BX735" s="28" t="s">
        <v>138</v>
      </c>
      <c r="BY735" s="28" t="s">
        <v>175</v>
      </c>
      <c r="BZ735" s="34">
        <v>43355</v>
      </c>
      <c r="CA735" s="29">
        <v>50</v>
      </c>
      <c r="CB735" s="28" t="s">
        <v>172</v>
      </c>
      <c r="CC735" s="29">
        <v>500</v>
      </c>
      <c r="CD735" s="28" t="s">
        <v>172</v>
      </c>
      <c r="CE735" s="28" t="s">
        <v>173</v>
      </c>
      <c r="CF735" s="28" t="s">
        <v>433</v>
      </c>
      <c r="CG735" s="28" t="s">
        <v>138</v>
      </c>
      <c r="CH735" s="28" t="s">
        <v>174</v>
      </c>
      <c r="CI735" s="28" t="s">
        <v>138</v>
      </c>
      <c r="CJ735" s="28" t="s">
        <v>138</v>
      </c>
      <c r="CK735" s="28" t="s">
        <v>138</v>
      </c>
      <c r="CL735" s="28" t="s">
        <v>175</v>
      </c>
      <c r="CM735" s="34" t="s">
        <v>138</v>
      </c>
      <c r="CN735" s="29" t="s">
        <v>138</v>
      </c>
      <c r="CO735" s="35">
        <v>0.84</v>
      </c>
      <c r="CP735" s="36">
        <v>97</v>
      </c>
      <c r="CQ735" s="35">
        <v>-0.05</v>
      </c>
      <c r="CR735" s="35">
        <v>-5.31</v>
      </c>
      <c r="CS735" s="35">
        <v>1.52</v>
      </c>
      <c r="CT735" s="36">
        <v>98</v>
      </c>
      <c r="CU735" s="35">
        <v>0.25</v>
      </c>
      <c r="CV735" s="36">
        <v>84</v>
      </c>
      <c r="CW735" s="35">
        <v>3.36</v>
      </c>
      <c r="CX735" s="36">
        <v>92</v>
      </c>
      <c r="CY735" s="35">
        <v>-0.32</v>
      </c>
      <c r="CZ735" s="36">
        <v>23</v>
      </c>
      <c r="DA735" s="35">
        <v>0.03</v>
      </c>
      <c r="DB735" s="36">
        <v>60</v>
      </c>
      <c r="DC735" s="37">
        <v>26.53</v>
      </c>
      <c r="DD735" s="36">
        <v>96</v>
      </c>
      <c r="DE735" s="37">
        <v>-1.23</v>
      </c>
      <c r="DF735" s="35">
        <v>-4.4400000000000004</v>
      </c>
      <c r="DG735" s="37">
        <v>44.52</v>
      </c>
      <c r="DH735" s="36">
        <v>98</v>
      </c>
      <c r="DI735" s="37">
        <v>34.51</v>
      </c>
      <c r="DJ735" s="36">
        <v>94</v>
      </c>
      <c r="DK735" s="37">
        <v>54.52</v>
      </c>
      <c r="DL735" s="36">
        <v>96</v>
      </c>
      <c r="DM735" s="37">
        <v>34.520000000000003</v>
      </c>
      <c r="DN735" s="36">
        <v>97</v>
      </c>
      <c r="DO735" s="37">
        <v>67.12</v>
      </c>
      <c r="DP735" s="36">
        <v>97</v>
      </c>
      <c r="DQ735" s="36">
        <v>18757</v>
      </c>
      <c r="DR735" s="38">
        <v>-177</v>
      </c>
      <c r="DS735" s="35">
        <v>-0.93</v>
      </c>
      <c r="DT735" s="36">
        <v>1010</v>
      </c>
      <c r="DU735" s="38">
        <v>-15</v>
      </c>
      <c r="DV735" s="35">
        <v>-1.46</v>
      </c>
      <c r="DW735" s="36">
        <v>24028</v>
      </c>
      <c r="DX735" s="39">
        <v>9</v>
      </c>
      <c r="DY735" s="35">
        <v>0.04</v>
      </c>
      <c r="DZ735" s="28" t="s">
        <v>178</v>
      </c>
      <c r="EA735" s="34">
        <v>43622</v>
      </c>
      <c r="EB735" s="29">
        <v>500</v>
      </c>
      <c r="EC735" s="34">
        <v>43355</v>
      </c>
      <c r="ED735" s="28" t="s">
        <v>173</v>
      </c>
      <c r="EE735" s="40" t="str">
        <f>HYPERLINK("https://my.pitchbook.com?c=96538-33", "View company online")</f>
        <v>View company online</v>
      </c>
    </row>
    <row r="736" spans="1:135">
      <c r="A736" s="15" t="s">
        <v>14691</v>
      </c>
      <c r="B736" s="15" t="s">
        <v>14692</v>
      </c>
      <c r="C736" s="15" t="s">
        <v>138</v>
      </c>
      <c r="D736" s="15" t="s">
        <v>14693</v>
      </c>
      <c r="E736" s="15" t="s">
        <v>138</v>
      </c>
      <c r="F736" s="15" t="s">
        <v>14691</v>
      </c>
      <c r="G736" s="15" t="s">
        <v>14694</v>
      </c>
      <c r="H736" s="15" t="s">
        <v>141</v>
      </c>
      <c r="I736" s="15" t="s">
        <v>1281</v>
      </c>
      <c r="J736" s="15" t="s">
        <v>14695</v>
      </c>
      <c r="K736" s="15" t="s">
        <v>14696</v>
      </c>
      <c r="L736" s="15" t="s">
        <v>1104</v>
      </c>
      <c r="M736" s="15" t="s">
        <v>14697</v>
      </c>
      <c r="N736" s="15" t="s">
        <v>147</v>
      </c>
      <c r="O736" s="17">
        <v>83.82</v>
      </c>
      <c r="P736" s="15" t="s">
        <v>148</v>
      </c>
      <c r="Q736" s="15" t="s">
        <v>149</v>
      </c>
      <c r="R736" s="15" t="s">
        <v>174</v>
      </c>
      <c r="S736" s="15" t="s">
        <v>14698</v>
      </c>
      <c r="T736" s="18">
        <v>24</v>
      </c>
      <c r="U736" s="15" t="s">
        <v>14699</v>
      </c>
      <c r="V736" s="15" t="s">
        <v>138</v>
      </c>
      <c r="W736" s="15" t="s">
        <v>138</v>
      </c>
      <c r="X736" s="19">
        <v>2011</v>
      </c>
      <c r="Y736" s="15" t="s">
        <v>138</v>
      </c>
      <c r="Z736" s="15" t="s">
        <v>138</v>
      </c>
      <c r="AA736" s="15" t="s">
        <v>138</v>
      </c>
      <c r="AB736" s="20" t="s">
        <v>138</v>
      </c>
      <c r="AC736" s="20" t="s">
        <v>138</v>
      </c>
      <c r="AD736" s="20" t="s">
        <v>138</v>
      </c>
      <c r="AE736" s="20" t="s">
        <v>138</v>
      </c>
      <c r="AF736" s="20" t="s">
        <v>138</v>
      </c>
      <c r="AG736" s="15" t="s">
        <v>138</v>
      </c>
      <c r="AH736" s="20" t="s">
        <v>138</v>
      </c>
      <c r="AI736" s="20" t="s">
        <v>138</v>
      </c>
      <c r="AJ736" s="20" t="s">
        <v>138</v>
      </c>
      <c r="AK736" s="15" t="s">
        <v>14700</v>
      </c>
      <c r="AL736" s="15" t="s">
        <v>14701</v>
      </c>
      <c r="AM736" s="15" t="s">
        <v>10555</v>
      </c>
      <c r="AN736" s="15" t="s">
        <v>14702</v>
      </c>
      <c r="AO736" s="15" t="s">
        <v>14703</v>
      </c>
      <c r="AP736" s="15" t="s">
        <v>964</v>
      </c>
      <c r="AQ736" s="15" t="s">
        <v>10206</v>
      </c>
      <c r="AR736" s="15" t="s">
        <v>138</v>
      </c>
      <c r="AS736" s="15" t="s">
        <v>966</v>
      </c>
      <c r="AT736" s="15" t="s">
        <v>200</v>
      </c>
      <c r="AU736" s="15" t="s">
        <v>967</v>
      </c>
      <c r="AV736" s="15" t="s">
        <v>162</v>
      </c>
      <c r="AW736" s="15" t="s">
        <v>14703</v>
      </c>
      <c r="AX736" s="15" t="s">
        <v>138</v>
      </c>
      <c r="AY736" s="15" t="s">
        <v>14704</v>
      </c>
      <c r="AZ736" s="15" t="s">
        <v>164</v>
      </c>
      <c r="BA736" s="15" t="s">
        <v>165</v>
      </c>
      <c r="BB736" s="15" t="s">
        <v>14705</v>
      </c>
      <c r="BC736" s="15" t="s">
        <v>14706</v>
      </c>
      <c r="BD736" s="21">
        <v>34</v>
      </c>
      <c r="BE736" s="15" t="s">
        <v>138</v>
      </c>
      <c r="BF736" s="15" t="s">
        <v>14707</v>
      </c>
      <c r="BG736" s="15" t="s">
        <v>138</v>
      </c>
      <c r="BH736" s="15" t="s">
        <v>14708</v>
      </c>
      <c r="BI736" s="15" t="s">
        <v>14709</v>
      </c>
      <c r="BJ736" s="15" t="s">
        <v>138</v>
      </c>
      <c r="BK736" s="15" t="s">
        <v>14710</v>
      </c>
      <c r="BL736" s="15" t="s">
        <v>9913</v>
      </c>
      <c r="BM736" s="22">
        <v>41537</v>
      </c>
      <c r="BN736" s="17">
        <v>1.5</v>
      </c>
      <c r="BO736" s="15" t="s">
        <v>172</v>
      </c>
      <c r="BP736" s="17">
        <v>5.0599999999999996</v>
      </c>
      <c r="BQ736" s="15" t="s">
        <v>172</v>
      </c>
      <c r="BR736" s="15" t="s">
        <v>234</v>
      </c>
      <c r="BS736" s="15" t="s">
        <v>234</v>
      </c>
      <c r="BT736" s="15" t="s">
        <v>138</v>
      </c>
      <c r="BU736" s="15" t="s">
        <v>174</v>
      </c>
      <c r="BV736" s="15" t="s">
        <v>138</v>
      </c>
      <c r="BW736" s="15" t="s">
        <v>138</v>
      </c>
      <c r="BX736" s="15" t="s">
        <v>138</v>
      </c>
      <c r="BY736" s="15" t="s">
        <v>175</v>
      </c>
      <c r="BZ736" s="22">
        <v>42845</v>
      </c>
      <c r="CA736" s="17">
        <v>65.319999999999993</v>
      </c>
      <c r="CB736" s="15" t="s">
        <v>172</v>
      </c>
      <c r="CC736" s="17">
        <v>186.62</v>
      </c>
      <c r="CD736" s="15" t="s">
        <v>172</v>
      </c>
      <c r="CE736" s="15" t="s">
        <v>173</v>
      </c>
      <c r="CF736" s="15" t="s">
        <v>720</v>
      </c>
      <c r="CG736" s="15" t="s">
        <v>138</v>
      </c>
      <c r="CH736" s="15" t="s">
        <v>174</v>
      </c>
      <c r="CI736" s="15" t="s">
        <v>138</v>
      </c>
      <c r="CJ736" s="15" t="s">
        <v>138</v>
      </c>
      <c r="CK736" s="15" t="s">
        <v>138</v>
      </c>
      <c r="CL736" s="15" t="s">
        <v>175</v>
      </c>
      <c r="CM736" s="22" t="s">
        <v>138</v>
      </c>
      <c r="CN736" s="17" t="s">
        <v>138</v>
      </c>
      <c r="CO736" s="23">
        <v>-0.4</v>
      </c>
      <c r="CP736" s="24">
        <v>17</v>
      </c>
      <c r="CQ736" s="23">
        <v>-0.02</v>
      </c>
      <c r="CR736" s="23">
        <v>-6.41</v>
      </c>
      <c r="CS736" s="23">
        <v>-0.97</v>
      </c>
      <c r="CT736" s="24">
        <v>15</v>
      </c>
      <c r="CU736" s="23">
        <v>0.16</v>
      </c>
      <c r="CV736" s="24">
        <v>76</v>
      </c>
      <c r="CW736" s="23">
        <v>-0.5</v>
      </c>
      <c r="CX736" s="24">
        <v>11</v>
      </c>
      <c r="CY736" s="23">
        <v>-1.43</v>
      </c>
      <c r="CZ736" s="24">
        <v>15</v>
      </c>
      <c r="DA736" s="23">
        <v>0.16</v>
      </c>
      <c r="DB736" s="24">
        <v>79</v>
      </c>
      <c r="DC736" s="25">
        <v>5.1100000000000003</v>
      </c>
      <c r="DD736" s="24">
        <v>83</v>
      </c>
      <c r="DE736" s="25">
        <v>-0.12</v>
      </c>
      <c r="DF736" s="23">
        <v>-2.21</v>
      </c>
      <c r="DG736" s="25">
        <v>5.77</v>
      </c>
      <c r="DH736" s="24">
        <v>84</v>
      </c>
      <c r="DI736" s="25">
        <v>4.45</v>
      </c>
      <c r="DJ736" s="24">
        <v>76</v>
      </c>
      <c r="DK736" s="25">
        <v>3.71</v>
      </c>
      <c r="DL736" s="24">
        <v>75</v>
      </c>
      <c r="DM736" s="25">
        <v>7.83</v>
      </c>
      <c r="DN736" s="24">
        <v>86</v>
      </c>
      <c r="DO736" s="25">
        <v>4.45</v>
      </c>
      <c r="DP736" s="24">
        <v>77</v>
      </c>
      <c r="DQ736" s="24">
        <v>1230</v>
      </c>
      <c r="DR736" s="26">
        <v>125</v>
      </c>
      <c r="DS736" s="23">
        <v>11.31</v>
      </c>
      <c r="DT736" s="24">
        <v>227</v>
      </c>
      <c r="DU736" s="26">
        <v>0</v>
      </c>
      <c r="DV736" s="23">
        <v>0</v>
      </c>
      <c r="DW736" s="24">
        <v>1593</v>
      </c>
      <c r="DX736" s="27">
        <v>2</v>
      </c>
      <c r="DY736" s="23">
        <v>0.13</v>
      </c>
      <c r="DZ736" s="15" t="s">
        <v>178</v>
      </c>
      <c r="EA736" s="22">
        <v>43612</v>
      </c>
      <c r="EB736" s="17">
        <v>186.62</v>
      </c>
      <c r="EC736" s="22">
        <v>42845</v>
      </c>
      <c r="ED736" s="15" t="s">
        <v>173</v>
      </c>
      <c r="EE736" s="14" t="str">
        <f>HYPERLINK("https://my.pitchbook.com?c=99452-53", "View company online")</f>
        <v>View company online</v>
      </c>
    </row>
    <row r="737" spans="1:135">
      <c r="A737" s="28" t="s">
        <v>14711</v>
      </c>
      <c r="B737" s="28" t="s">
        <v>14712</v>
      </c>
      <c r="C737" s="28" t="s">
        <v>138</v>
      </c>
      <c r="D737" s="28" t="s">
        <v>138</v>
      </c>
      <c r="E737" s="28" t="s">
        <v>138</v>
      </c>
      <c r="F737" s="28" t="s">
        <v>14711</v>
      </c>
      <c r="G737" s="28" t="s">
        <v>14713</v>
      </c>
      <c r="H737" s="28" t="s">
        <v>322</v>
      </c>
      <c r="I737" s="28" t="s">
        <v>323</v>
      </c>
      <c r="J737" s="28" t="s">
        <v>413</v>
      </c>
      <c r="K737" s="28" t="s">
        <v>14714</v>
      </c>
      <c r="L737" s="28" t="s">
        <v>1428</v>
      </c>
      <c r="M737" s="28" t="s">
        <v>14715</v>
      </c>
      <c r="N737" s="28" t="s">
        <v>147</v>
      </c>
      <c r="O737" s="29">
        <v>95</v>
      </c>
      <c r="P737" s="28" t="s">
        <v>812</v>
      </c>
      <c r="Q737" s="28" t="s">
        <v>149</v>
      </c>
      <c r="R737" s="28" t="s">
        <v>174</v>
      </c>
      <c r="S737" s="28" t="s">
        <v>14716</v>
      </c>
      <c r="T737" s="30">
        <v>124</v>
      </c>
      <c r="U737" s="28" t="s">
        <v>14717</v>
      </c>
      <c r="V737" s="28" t="s">
        <v>138</v>
      </c>
      <c r="W737" s="28" t="s">
        <v>138</v>
      </c>
      <c r="X737" s="31">
        <v>2009</v>
      </c>
      <c r="Y737" s="28" t="s">
        <v>138</v>
      </c>
      <c r="Z737" s="28" t="s">
        <v>138</v>
      </c>
      <c r="AA737" s="28" t="s">
        <v>138</v>
      </c>
      <c r="AB737" s="32">
        <v>3.48</v>
      </c>
      <c r="AC737" s="32" t="s">
        <v>138</v>
      </c>
      <c r="AD737" s="32" t="s">
        <v>138</v>
      </c>
      <c r="AE737" s="32" t="s">
        <v>138</v>
      </c>
      <c r="AF737" s="32" t="s">
        <v>138</v>
      </c>
      <c r="AG737" s="28" t="s">
        <v>563</v>
      </c>
      <c r="AH737" s="32" t="s">
        <v>138</v>
      </c>
      <c r="AI737" s="32" t="s">
        <v>138</v>
      </c>
      <c r="AJ737" s="32" t="s">
        <v>138</v>
      </c>
      <c r="AK737" s="28" t="s">
        <v>14718</v>
      </c>
      <c r="AL737" s="28" t="s">
        <v>14719</v>
      </c>
      <c r="AM737" s="28" t="s">
        <v>304</v>
      </c>
      <c r="AN737" s="28" t="s">
        <v>14720</v>
      </c>
      <c r="AO737" s="28" t="s">
        <v>14721</v>
      </c>
      <c r="AP737" s="28" t="s">
        <v>964</v>
      </c>
      <c r="AQ737" s="28" t="s">
        <v>14722</v>
      </c>
      <c r="AR737" s="28" t="s">
        <v>138</v>
      </c>
      <c r="AS737" s="28" t="s">
        <v>966</v>
      </c>
      <c r="AT737" s="28" t="s">
        <v>200</v>
      </c>
      <c r="AU737" s="28" t="s">
        <v>1590</v>
      </c>
      <c r="AV737" s="28" t="s">
        <v>162</v>
      </c>
      <c r="AW737" s="28" t="s">
        <v>14721</v>
      </c>
      <c r="AX737" s="28" t="s">
        <v>14723</v>
      </c>
      <c r="AY737" s="28" t="s">
        <v>14724</v>
      </c>
      <c r="AZ737" s="28" t="s">
        <v>164</v>
      </c>
      <c r="BA737" s="28" t="s">
        <v>165</v>
      </c>
      <c r="BB737" s="28" t="s">
        <v>14725</v>
      </c>
      <c r="BC737" s="28" t="s">
        <v>14726</v>
      </c>
      <c r="BD737" s="33">
        <v>10</v>
      </c>
      <c r="BE737" s="28" t="s">
        <v>138</v>
      </c>
      <c r="BF737" s="28" t="s">
        <v>138</v>
      </c>
      <c r="BG737" s="28" t="s">
        <v>138</v>
      </c>
      <c r="BH737" s="28" t="s">
        <v>14727</v>
      </c>
      <c r="BI737" s="28" t="s">
        <v>138</v>
      </c>
      <c r="BJ737" s="28" t="s">
        <v>138</v>
      </c>
      <c r="BK737" s="28" t="s">
        <v>14728</v>
      </c>
      <c r="BL737" s="28" t="s">
        <v>1251</v>
      </c>
      <c r="BM737" s="34" t="s">
        <v>138</v>
      </c>
      <c r="BN737" s="29" t="s">
        <v>138</v>
      </c>
      <c r="BO737" s="28" t="s">
        <v>138</v>
      </c>
      <c r="BP737" s="29" t="s">
        <v>138</v>
      </c>
      <c r="BQ737" s="28" t="s">
        <v>138</v>
      </c>
      <c r="BR737" s="28" t="s">
        <v>234</v>
      </c>
      <c r="BS737" s="28" t="s">
        <v>234</v>
      </c>
      <c r="BT737" s="28" t="s">
        <v>138</v>
      </c>
      <c r="BU737" s="28" t="s">
        <v>174</v>
      </c>
      <c r="BV737" s="28" t="s">
        <v>138</v>
      </c>
      <c r="BW737" s="28" t="s">
        <v>138</v>
      </c>
      <c r="BX737" s="28" t="s">
        <v>138</v>
      </c>
      <c r="BY737" s="28" t="s">
        <v>175</v>
      </c>
      <c r="BZ737" s="34">
        <v>41774</v>
      </c>
      <c r="CA737" s="29">
        <v>50</v>
      </c>
      <c r="CB737" s="28" t="s">
        <v>172</v>
      </c>
      <c r="CC737" s="29">
        <v>400</v>
      </c>
      <c r="CD737" s="28" t="s">
        <v>172</v>
      </c>
      <c r="CE737" s="28" t="s">
        <v>173</v>
      </c>
      <c r="CF737" s="28" t="s">
        <v>433</v>
      </c>
      <c r="CG737" s="28" t="s">
        <v>138</v>
      </c>
      <c r="CH737" s="28" t="s">
        <v>174</v>
      </c>
      <c r="CI737" s="28" t="s">
        <v>138</v>
      </c>
      <c r="CJ737" s="28" t="s">
        <v>138</v>
      </c>
      <c r="CK737" s="28" t="s">
        <v>138</v>
      </c>
      <c r="CL737" s="28" t="s">
        <v>175</v>
      </c>
      <c r="CM737" s="34" t="s">
        <v>138</v>
      </c>
      <c r="CN737" s="29" t="s">
        <v>138</v>
      </c>
      <c r="CO737" s="35">
        <v>-0.31</v>
      </c>
      <c r="CP737" s="36">
        <v>18</v>
      </c>
      <c r="CQ737" s="35">
        <v>0.03</v>
      </c>
      <c r="CR737" s="35">
        <v>8.92</v>
      </c>
      <c r="CS737" s="35">
        <v>-0.96</v>
      </c>
      <c r="CT737" s="36">
        <v>15</v>
      </c>
      <c r="CU737" s="35">
        <v>-0.03</v>
      </c>
      <c r="CV737" s="36">
        <v>14</v>
      </c>
      <c r="CW737" s="35">
        <v>0</v>
      </c>
      <c r="CX737" s="36">
        <v>13</v>
      </c>
      <c r="CY737" s="35">
        <v>-1.91</v>
      </c>
      <c r="CZ737" s="36">
        <v>12</v>
      </c>
      <c r="DA737" s="35">
        <v>-0.02</v>
      </c>
      <c r="DB737" s="36">
        <v>19</v>
      </c>
      <c r="DC737" s="37">
        <v>21.4</v>
      </c>
      <c r="DD737" s="36">
        <v>95</v>
      </c>
      <c r="DE737" s="37">
        <v>0.4</v>
      </c>
      <c r="DF737" s="35">
        <v>1.92</v>
      </c>
      <c r="DG737" s="37">
        <v>8.98</v>
      </c>
      <c r="DH737" s="36">
        <v>89</v>
      </c>
      <c r="DI737" s="37">
        <v>29.59</v>
      </c>
      <c r="DJ737" s="36">
        <v>93</v>
      </c>
      <c r="DK737" s="37">
        <v>1.83</v>
      </c>
      <c r="DL737" s="36">
        <v>63</v>
      </c>
      <c r="DM737" s="37">
        <v>16.14</v>
      </c>
      <c r="DN737" s="36">
        <v>93</v>
      </c>
      <c r="DO737" s="37">
        <v>18.59</v>
      </c>
      <c r="DP737" s="36">
        <v>92</v>
      </c>
      <c r="DQ737" s="36">
        <v>596</v>
      </c>
      <c r="DR737" s="38">
        <v>90</v>
      </c>
      <c r="DS737" s="35">
        <v>17.79</v>
      </c>
      <c r="DT737" s="36">
        <v>468</v>
      </c>
      <c r="DU737" s="38">
        <v>2</v>
      </c>
      <c r="DV737" s="35">
        <v>0.43</v>
      </c>
      <c r="DW737" s="36">
        <v>6658</v>
      </c>
      <c r="DX737" s="39">
        <v>-1</v>
      </c>
      <c r="DY737" s="35">
        <v>-0.02</v>
      </c>
      <c r="DZ737" s="28" t="s">
        <v>178</v>
      </c>
      <c r="EA737" s="34">
        <v>43351</v>
      </c>
      <c r="EB737" s="29">
        <v>400</v>
      </c>
      <c r="EC737" s="34">
        <v>41774</v>
      </c>
      <c r="ED737" s="28" t="s">
        <v>173</v>
      </c>
      <c r="EE737" s="40" t="str">
        <f>HYPERLINK("https://my.pitchbook.com?c=52150-51", "View company online")</f>
        <v>View company online</v>
      </c>
    </row>
    <row r="738" spans="1:135">
      <c r="A738" s="15" t="s">
        <v>14729</v>
      </c>
      <c r="B738" s="15" t="s">
        <v>14730</v>
      </c>
      <c r="C738" s="15" t="s">
        <v>14731</v>
      </c>
      <c r="D738" s="15" t="s">
        <v>138</v>
      </c>
      <c r="E738" s="15" t="s">
        <v>14732</v>
      </c>
      <c r="F738" s="15" t="s">
        <v>14729</v>
      </c>
      <c r="G738" s="15" t="s">
        <v>14733</v>
      </c>
      <c r="H738" s="15" t="s">
        <v>322</v>
      </c>
      <c r="I738" s="15" t="s">
        <v>323</v>
      </c>
      <c r="J738" s="15" t="s">
        <v>413</v>
      </c>
      <c r="K738" s="15" t="s">
        <v>14734</v>
      </c>
      <c r="L738" s="15" t="s">
        <v>242</v>
      </c>
      <c r="M738" s="15" t="s">
        <v>14735</v>
      </c>
      <c r="N738" s="15" t="s">
        <v>147</v>
      </c>
      <c r="O738" s="17">
        <v>54.37</v>
      </c>
      <c r="P738" s="15" t="s">
        <v>148</v>
      </c>
      <c r="Q738" s="15" t="s">
        <v>149</v>
      </c>
      <c r="R738" s="15" t="s">
        <v>174</v>
      </c>
      <c r="S738" s="15" t="s">
        <v>14736</v>
      </c>
      <c r="T738" s="18">
        <v>80</v>
      </c>
      <c r="U738" s="15" t="s">
        <v>14737</v>
      </c>
      <c r="V738" s="15" t="s">
        <v>138</v>
      </c>
      <c r="W738" s="15" t="s">
        <v>138</v>
      </c>
      <c r="X738" s="19">
        <v>2011</v>
      </c>
      <c r="Y738" s="15" t="s">
        <v>138</v>
      </c>
      <c r="Z738" s="15" t="s">
        <v>138</v>
      </c>
      <c r="AA738" s="15" t="s">
        <v>138</v>
      </c>
      <c r="AB738" s="20" t="s">
        <v>138</v>
      </c>
      <c r="AC738" s="20" t="s">
        <v>138</v>
      </c>
      <c r="AD738" s="20" t="s">
        <v>138</v>
      </c>
      <c r="AE738" s="20" t="s">
        <v>138</v>
      </c>
      <c r="AF738" s="20" t="s">
        <v>138</v>
      </c>
      <c r="AG738" s="15" t="s">
        <v>138</v>
      </c>
      <c r="AH738" s="20" t="s">
        <v>138</v>
      </c>
      <c r="AI738" s="20" t="s">
        <v>138</v>
      </c>
      <c r="AJ738" s="20" t="s">
        <v>138</v>
      </c>
      <c r="AK738" s="15" t="s">
        <v>14738</v>
      </c>
      <c r="AL738" s="15" t="s">
        <v>14739</v>
      </c>
      <c r="AM738" s="15" t="s">
        <v>221</v>
      </c>
      <c r="AN738" s="15" t="s">
        <v>14740</v>
      </c>
      <c r="AO738" s="15" t="s">
        <v>14741</v>
      </c>
      <c r="AP738" s="15" t="s">
        <v>665</v>
      </c>
      <c r="AQ738" s="15" t="s">
        <v>14742</v>
      </c>
      <c r="AR738" s="15" t="s">
        <v>3084</v>
      </c>
      <c r="AS738" s="15" t="s">
        <v>668</v>
      </c>
      <c r="AT738" s="15" t="s">
        <v>200</v>
      </c>
      <c r="AU738" s="15" t="s">
        <v>14743</v>
      </c>
      <c r="AV738" s="15" t="s">
        <v>162</v>
      </c>
      <c r="AW738" s="15" t="s">
        <v>14741</v>
      </c>
      <c r="AX738" s="15" t="s">
        <v>138</v>
      </c>
      <c r="AY738" s="15" t="s">
        <v>138</v>
      </c>
      <c r="AZ738" s="15" t="s">
        <v>164</v>
      </c>
      <c r="BA738" s="15" t="s">
        <v>165</v>
      </c>
      <c r="BB738" s="15" t="s">
        <v>14744</v>
      </c>
      <c r="BC738" s="15" t="s">
        <v>14745</v>
      </c>
      <c r="BD738" s="21">
        <v>36</v>
      </c>
      <c r="BE738" s="15" t="s">
        <v>138</v>
      </c>
      <c r="BF738" s="15" t="s">
        <v>14746</v>
      </c>
      <c r="BG738" s="15" t="s">
        <v>138</v>
      </c>
      <c r="BH738" s="15" t="s">
        <v>14747</v>
      </c>
      <c r="BI738" s="15" t="s">
        <v>14748</v>
      </c>
      <c r="BJ738" s="15" t="s">
        <v>138</v>
      </c>
      <c r="BK738" s="15" t="s">
        <v>3541</v>
      </c>
      <c r="BL738" s="15" t="s">
        <v>3541</v>
      </c>
      <c r="BM738" s="22">
        <v>41193</v>
      </c>
      <c r="BN738" s="17">
        <v>1.4</v>
      </c>
      <c r="BO738" s="15" t="s">
        <v>172</v>
      </c>
      <c r="BP738" s="17" t="s">
        <v>138</v>
      </c>
      <c r="BQ738" s="15" t="s">
        <v>138</v>
      </c>
      <c r="BR738" s="15" t="s">
        <v>234</v>
      </c>
      <c r="BS738" s="15" t="s">
        <v>234</v>
      </c>
      <c r="BT738" s="15" t="s">
        <v>138</v>
      </c>
      <c r="BU738" s="15" t="s">
        <v>174</v>
      </c>
      <c r="BV738" s="15" t="s">
        <v>138</v>
      </c>
      <c r="BW738" s="15" t="s">
        <v>138</v>
      </c>
      <c r="BX738" s="15" t="s">
        <v>138</v>
      </c>
      <c r="BY738" s="15" t="s">
        <v>175</v>
      </c>
      <c r="BZ738" s="22">
        <v>43313</v>
      </c>
      <c r="CA738" s="17">
        <v>33.47</v>
      </c>
      <c r="CB738" s="15" t="s">
        <v>172</v>
      </c>
      <c r="CC738" s="17" t="s">
        <v>138</v>
      </c>
      <c r="CD738" s="15" t="s">
        <v>138</v>
      </c>
      <c r="CE738" s="15" t="s">
        <v>173</v>
      </c>
      <c r="CF738" s="15" t="s">
        <v>720</v>
      </c>
      <c r="CG738" s="15" t="s">
        <v>138</v>
      </c>
      <c r="CH738" s="15" t="s">
        <v>174</v>
      </c>
      <c r="CI738" s="15" t="s">
        <v>138</v>
      </c>
      <c r="CJ738" s="15" t="s">
        <v>138</v>
      </c>
      <c r="CK738" s="15" t="s">
        <v>138</v>
      </c>
      <c r="CL738" s="15" t="s">
        <v>175</v>
      </c>
      <c r="CM738" s="22" t="s">
        <v>138</v>
      </c>
      <c r="CN738" s="17" t="s">
        <v>138</v>
      </c>
      <c r="CO738" s="23">
        <v>-0.63</v>
      </c>
      <c r="CP738" s="24">
        <v>15</v>
      </c>
      <c r="CQ738" s="23">
        <v>-0.01</v>
      </c>
      <c r="CR738" s="23">
        <v>-1.1499999999999999</v>
      </c>
      <c r="CS738" s="23">
        <v>-1.91</v>
      </c>
      <c r="CT738" s="24">
        <v>9</v>
      </c>
      <c r="CU738" s="23">
        <v>-0.01</v>
      </c>
      <c r="CV738" s="24">
        <v>20</v>
      </c>
      <c r="CW738" s="23">
        <v>-2.5499999999999998</v>
      </c>
      <c r="CX738" s="24">
        <v>6</v>
      </c>
      <c r="CY738" s="23">
        <v>-1.27</v>
      </c>
      <c r="CZ738" s="24">
        <v>17</v>
      </c>
      <c r="DA738" s="23">
        <v>-0.04</v>
      </c>
      <c r="DB738" s="24">
        <v>15</v>
      </c>
      <c r="DC738" s="25">
        <v>47.54</v>
      </c>
      <c r="DD738" s="24">
        <v>98</v>
      </c>
      <c r="DE738" s="25">
        <v>-1.75</v>
      </c>
      <c r="DF738" s="23">
        <v>-3.54</v>
      </c>
      <c r="DG738" s="25">
        <v>120.26</v>
      </c>
      <c r="DH738" s="24">
        <v>100</v>
      </c>
      <c r="DI738" s="25">
        <v>16.809999999999999</v>
      </c>
      <c r="DJ738" s="24">
        <v>89</v>
      </c>
      <c r="DK738" s="25">
        <v>88.24</v>
      </c>
      <c r="DL738" s="24">
        <v>97</v>
      </c>
      <c r="DM738" s="25">
        <v>152.28</v>
      </c>
      <c r="DN738" s="24">
        <v>100</v>
      </c>
      <c r="DO738" s="25">
        <v>19.43</v>
      </c>
      <c r="DP738" s="24">
        <v>92</v>
      </c>
      <c r="DQ738" s="24">
        <v>30885</v>
      </c>
      <c r="DR738" s="26">
        <v>-1863</v>
      </c>
      <c r="DS738" s="23">
        <v>-5.69</v>
      </c>
      <c r="DT738" s="24">
        <v>4413</v>
      </c>
      <c r="DU738" s="26">
        <v>10</v>
      </c>
      <c r="DV738" s="23">
        <v>0.23</v>
      </c>
      <c r="DW738" s="24">
        <v>6954</v>
      </c>
      <c r="DX738" s="27">
        <v>2</v>
      </c>
      <c r="DY738" s="23">
        <v>0.03</v>
      </c>
      <c r="DZ738" s="15" t="s">
        <v>178</v>
      </c>
      <c r="EA738" s="22">
        <v>43507</v>
      </c>
      <c r="EB738" s="17">
        <v>19.510000000000002</v>
      </c>
      <c r="EC738" s="22">
        <v>41703</v>
      </c>
      <c r="ED738" s="15" t="s">
        <v>205</v>
      </c>
      <c r="EE738" s="14" t="str">
        <f>HYPERLINK("https://my.pitchbook.com?c=55420-12", "View company online")</f>
        <v>View company online</v>
      </c>
    </row>
    <row r="739" spans="1:135">
      <c r="A739" s="28" t="s">
        <v>14749</v>
      </c>
      <c r="B739" s="28" t="s">
        <v>14750</v>
      </c>
      <c r="C739" s="28" t="s">
        <v>14751</v>
      </c>
      <c r="D739" s="28" t="s">
        <v>138</v>
      </c>
      <c r="E739" s="28" t="s">
        <v>14752</v>
      </c>
      <c r="F739" s="28" t="s">
        <v>14749</v>
      </c>
      <c r="G739" s="28" t="s">
        <v>14753</v>
      </c>
      <c r="H739" s="28" t="s">
        <v>238</v>
      </c>
      <c r="I739" s="28" t="s">
        <v>785</v>
      </c>
      <c r="J739" s="28" t="s">
        <v>786</v>
      </c>
      <c r="K739" s="28" t="s">
        <v>14754</v>
      </c>
      <c r="L739" s="28" t="s">
        <v>4703</v>
      </c>
      <c r="M739" s="28" t="s">
        <v>14755</v>
      </c>
      <c r="N739" s="28" t="s">
        <v>147</v>
      </c>
      <c r="O739" s="29">
        <v>19.920000000000002</v>
      </c>
      <c r="P739" s="28" t="s">
        <v>148</v>
      </c>
      <c r="Q739" s="28" t="s">
        <v>149</v>
      </c>
      <c r="R739" s="28" t="s">
        <v>174</v>
      </c>
      <c r="S739" s="28" t="s">
        <v>14756</v>
      </c>
      <c r="T739" s="30">
        <v>36</v>
      </c>
      <c r="U739" s="28" t="s">
        <v>14757</v>
      </c>
      <c r="V739" s="28" t="s">
        <v>138</v>
      </c>
      <c r="W739" s="28" t="s">
        <v>138</v>
      </c>
      <c r="X739" s="31">
        <v>2004</v>
      </c>
      <c r="Y739" s="28" t="s">
        <v>138</v>
      </c>
      <c r="Z739" s="28" t="s">
        <v>138</v>
      </c>
      <c r="AA739" s="28" t="s">
        <v>138</v>
      </c>
      <c r="AB739" s="32" t="s">
        <v>138</v>
      </c>
      <c r="AC739" s="32" t="s">
        <v>138</v>
      </c>
      <c r="AD739" s="32" t="s">
        <v>138</v>
      </c>
      <c r="AE739" s="32" t="s">
        <v>138</v>
      </c>
      <c r="AF739" s="32" t="s">
        <v>138</v>
      </c>
      <c r="AG739" s="28" t="s">
        <v>138</v>
      </c>
      <c r="AH739" s="32" t="s">
        <v>138</v>
      </c>
      <c r="AI739" s="32" t="s">
        <v>138</v>
      </c>
      <c r="AJ739" s="32" t="s">
        <v>138</v>
      </c>
      <c r="AK739" s="28" t="s">
        <v>14758</v>
      </c>
      <c r="AL739" s="28" t="s">
        <v>14759</v>
      </c>
      <c r="AM739" s="28" t="s">
        <v>221</v>
      </c>
      <c r="AN739" s="28" t="s">
        <v>14760</v>
      </c>
      <c r="AO739" s="28" t="s">
        <v>14761</v>
      </c>
      <c r="AP739" s="28" t="s">
        <v>3817</v>
      </c>
      <c r="AQ739" s="28" t="s">
        <v>14762</v>
      </c>
      <c r="AR739" s="28" t="s">
        <v>3084</v>
      </c>
      <c r="AS739" s="28" t="s">
        <v>3820</v>
      </c>
      <c r="AT739" s="28" t="s">
        <v>864</v>
      </c>
      <c r="AU739" s="28" t="s">
        <v>4311</v>
      </c>
      <c r="AV739" s="28" t="s">
        <v>162</v>
      </c>
      <c r="AW739" s="28" t="s">
        <v>14761</v>
      </c>
      <c r="AX739" s="28" t="s">
        <v>138</v>
      </c>
      <c r="AY739" s="28" t="s">
        <v>14763</v>
      </c>
      <c r="AZ739" s="28" t="s">
        <v>164</v>
      </c>
      <c r="BA739" s="28" t="s">
        <v>165</v>
      </c>
      <c r="BB739" s="28" t="s">
        <v>14764</v>
      </c>
      <c r="BC739" s="28" t="s">
        <v>14765</v>
      </c>
      <c r="BD739" s="33">
        <v>13</v>
      </c>
      <c r="BE739" s="28" t="s">
        <v>138</v>
      </c>
      <c r="BF739" s="28" t="s">
        <v>138</v>
      </c>
      <c r="BG739" s="28" t="s">
        <v>138</v>
      </c>
      <c r="BH739" s="28" t="s">
        <v>14766</v>
      </c>
      <c r="BI739" s="28" t="s">
        <v>138</v>
      </c>
      <c r="BJ739" s="28" t="s">
        <v>138</v>
      </c>
      <c r="BK739" s="28" t="s">
        <v>138</v>
      </c>
      <c r="BL739" s="28" t="s">
        <v>14767</v>
      </c>
      <c r="BM739" s="34">
        <v>40179</v>
      </c>
      <c r="BN739" s="29">
        <v>0.05</v>
      </c>
      <c r="BO739" s="28" t="s">
        <v>172</v>
      </c>
      <c r="BP739" s="29" t="s">
        <v>138</v>
      </c>
      <c r="BQ739" s="28" t="s">
        <v>138</v>
      </c>
      <c r="BR739" s="28" t="s">
        <v>316</v>
      </c>
      <c r="BS739" s="28" t="s">
        <v>138</v>
      </c>
      <c r="BT739" s="28" t="s">
        <v>138</v>
      </c>
      <c r="BU739" s="28" t="s">
        <v>177</v>
      </c>
      <c r="BV739" s="28" t="s">
        <v>138</v>
      </c>
      <c r="BW739" s="28" t="s">
        <v>138</v>
      </c>
      <c r="BX739" s="28" t="s">
        <v>138</v>
      </c>
      <c r="BY739" s="28" t="s">
        <v>175</v>
      </c>
      <c r="BZ739" s="34">
        <v>43500</v>
      </c>
      <c r="CA739" s="29">
        <v>3.25</v>
      </c>
      <c r="CB739" s="28" t="s">
        <v>172</v>
      </c>
      <c r="CC739" s="29">
        <v>10</v>
      </c>
      <c r="CD739" s="28" t="s">
        <v>172</v>
      </c>
      <c r="CE739" s="28" t="s">
        <v>173</v>
      </c>
      <c r="CF739" s="28" t="s">
        <v>720</v>
      </c>
      <c r="CG739" s="28" t="s">
        <v>138</v>
      </c>
      <c r="CH739" s="28" t="s">
        <v>174</v>
      </c>
      <c r="CI739" s="28" t="s">
        <v>138</v>
      </c>
      <c r="CJ739" s="28" t="s">
        <v>138</v>
      </c>
      <c r="CK739" s="28" t="s">
        <v>138</v>
      </c>
      <c r="CL739" s="28" t="s">
        <v>175</v>
      </c>
      <c r="CM739" s="34" t="s">
        <v>138</v>
      </c>
      <c r="CN739" s="29" t="s">
        <v>138</v>
      </c>
      <c r="CO739" s="35">
        <v>0.2</v>
      </c>
      <c r="CP739" s="36">
        <v>92</v>
      </c>
      <c r="CQ739" s="35">
        <v>0</v>
      </c>
      <c r="CR739" s="35">
        <v>2</v>
      </c>
      <c r="CS739" s="35">
        <v>0.12</v>
      </c>
      <c r="CT739" s="36">
        <v>94</v>
      </c>
      <c r="CU739" s="35">
        <v>0.27</v>
      </c>
      <c r="CV739" s="36">
        <v>86</v>
      </c>
      <c r="CW739" s="35">
        <v>0.12</v>
      </c>
      <c r="CX739" s="36">
        <v>81</v>
      </c>
      <c r="CY739" s="35" t="s">
        <v>138</v>
      </c>
      <c r="CZ739" s="36" t="s">
        <v>138</v>
      </c>
      <c r="DA739" s="35">
        <v>0.02</v>
      </c>
      <c r="DB739" s="36">
        <v>58</v>
      </c>
      <c r="DC739" s="37">
        <v>7.54</v>
      </c>
      <c r="DD739" s="36">
        <v>87</v>
      </c>
      <c r="DE739" s="37">
        <v>-0.64</v>
      </c>
      <c r="DF739" s="35">
        <v>-7.85</v>
      </c>
      <c r="DG739" s="37">
        <v>10.11</v>
      </c>
      <c r="DH739" s="36">
        <v>90</v>
      </c>
      <c r="DI739" s="37">
        <v>4.96</v>
      </c>
      <c r="DJ739" s="36">
        <v>77</v>
      </c>
      <c r="DK739" s="37">
        <v>10.11</v>
      </c>
      <c r="DL739" s="36">
        <v>87</v>
      </c>
      <c r="DM739" s="37" t="s">
        <v>138</v>
      </c>
      <c r="DN739" s="36" t="s">
        <v>138</v>
      </c>
      <c r="DO739" s="37">
        <v>1.8</v>
      </c>
      <c r="DP739" s="36">
        <v>62</v>
      </c>
      <c r="DQ739" s="36">
        <v>3460</v>
      </c>
      <c r="DR739" s="38">
        <v>20</v>
      </c>
      <c r="DS739" s="35">
        <v>0.57999999999999996</v>
      </c>
      <c r="DT739" s="36" t="s">
        <v>138</v>
      </c>
      <c r="DU739" s="38" t="s">
        <v>138</v>
      </c>
      <c r="DV739" s="35" t="s">
        <v>138</v>
      </c>
      <c r="DW739" s="36">
        <v>645</v>
      </c>
      <c r="DX739" s="39">
        <v>-1</v>
      </c>
      <c r="DY739" s="35">
        <v>-0.15</v>
      </c>
      <c r="DZ739" s="28" t="s">
        <v>178</v>
      </c>
      <c r="EA739" s="34">
        <v>43594</v>
      </c>
      <c r="EB739" s="29">
        <v>10</v>
      </c>
      <c r="EC739" s="34">
        <v>43500</v>
      </c>
      <c r="ED739" s="28" t="s">
        <v>173</v>
      </c>
      <c r="EE739" s="40" t="str">
        <f>HYPERLINK("https://my.pitchbook.com?c=53858-08", "View company online")</f>
        <v>View company online</v>
      </c>
    </row>
    <row r="740" spans="1:135">
      <c r="A740" s="15" t="s">
        <v>14768</v>
      </c>
      <c r="B740" s="15" t="s">
        <v>14769</v>
      </c>
      <c r="C740" s="15" t="s">
        <v>138</v>
      </c>
      <c r="D740" s="15" t="s">
        <v>138</v>
      </c>
      <c r="E740" s="15" t="s">
        <v>14770</v>
      </c>
      <c r="F740" s="15" t="s">
        <v>14768</v>
      </c>
      <c r="G740" s="15" t="s">
        <v>14771</v>
      </c>
      <c r="H740" s="15" t="s">
        <v>322</v>
      </c>
      <c r="I740" s="15" t="s">
        <v>323</v>
      </c>
      <c r="J740" s="15" t="s">
        <v>954</v>
      </c>
      <c r="K740" s="15" t="s">
        <v>14772</v>
      </c>
      <c r="L740" s="15" t="s">
        <v>14773</v>
      </c>
      <c r="M740" s="15" t="s">
        <v>14774</v>
      </c>
      <c r="N740" s="15" t="s">
        <v>147</v>
      </c>
      <c r="O740" s="17">
        <v>19</v>
      </c>
      <c r="P740" s="15" t="s">
        <v>148</v>
      </c>
      <c r="Q740" s="15" t="s">
        <v>149</v>
      </c>
      <c r="R740" s="15" t="s">
        <v>174</v>
      </c>
      <c r="S740" s="15" t="s">
        <v>14775</v>
      </c>
      <c r="T740" s="18">
        <v>60</v>
      </c>
      <c r="U740" s="15" t="s">
        <v>14776</v>
      </c>
      <c r="V740" s="15" t="s">
        <v>138</v>
      </c>
      <c r="W740" s="15" t="s">
        <v>138</v>
      </c>
      <c r="X740" s="19">
        <v>2012</v>
      </c>
      <c r="Y740" s="15" t="s">
        <v>138</v>
      </c>
      <c r="Z740" s="15" t="s">
        <v>138</v>
      </c>
      <c r="AA740" s="15" t="s">
        <v>138</v>
      </c>
      <c r="AB740" s="20">
        <v>2.39</v>
      </c>
      <c r="AC740" s="20" t="s">
        <v>138</v>
      </c>
      <c r="AD740" s="20" t="s">
        <v>138</v>
      </c>
      <c r="AE740" s="20" t="s">
        <v>138</v>
      </c>
      <c r="AF740" s="20" t="s">
        <v>138</v>
      </c>
      <c r="AG740" s="15" t="s">
        <v>563</v>
      </c>
      <c r="AH740" s="20" t="s">
        <v>138</v>
      </c>
      <c r="AI740" s="20" t="s">
        <v>138</v>
      </c>
      <c r="AJ740" s="20" t="s">
        <v>138</v>
      </c>
      <c r="AK740" s="15" t="s">
        <v>14777</v>
      </c>
      <c r="AL740" s="15" t="s">
        <v>14778</v>
      </c>
      <c r="AM740" s="15" t="s">
        <v>422</v>
      </c>
      <c r="AN740" s="15" t="s">
        <v>14779</v>
      </c>
      <c r="AO740" s="15" t="s">
        <v>14780</v>
      </c>
      <c r="AP740" s="15" t="s">
        <v>5718</v>
      </c>
      <c r="AQ740" s="15" t="s">
        <v>14781</v>
      </c>
      <c r="AR740" s="15" t="s">
        <v>138</v>
      </c>
      <c r="AS740" s="15" t="s">
        <v>5720</v>
      </c>
      <c r="AT740" s="15" t="s">
        <v>138</v>
      </c>
      <c r="AU740" s="15" t="s">
        <v>14782</v>
      </c>
      <c r="AV740" s="15" t="s">
        <v>946</v>
      </c>
      <c r="AW740" s="15" t="s">
        <v>14780</v>
      </c>
      <c r="AX740" s="15" t="s">
        <v>14783</v>
      </c>
      <c r="AY740" s="15" t="s">
        <v>14784</v>
      </c>
      <c r="AZ740" s="15" t="s">
        <v>530</v>
      </c>
      <c r="BA740" s="15" t="s">
        <v>531</v>
      </c>
      <c r="BB740" s="15" t="s">
        <v>14785</v>
      </c>
      <c r="BC740" s="15" t="s">
        <v>14786</v>
      </c>
      <c r="BD740" s="21">
        <v>15</v>
      </c>
      <c r="BE740" s="15" t="s">
        <v>138</v>
      </c>
      <c r="BF740" s="15" t="s">
        <v>138</v>
      </c>
      <c r="BG740" s="15" t="s">
        <v>138</v>
      </c>
      <c r="BH740" s="15" t="s">
        <v>14787</v>
      </c>
      <c r="BI740" s="15" t="s">
        <v>138</v>
      </c>
      <c r="BJ740" s="15" t="s">
        <v>138</v>
      </c>
      <c r="BK740" s="15" t="s">
        <v>138</v>
      </c>
      <c r="BL740" s="15" t="s">
        <v>14788</v>
      </c>
      <c r="BM740" s="22">
        <v>41260</v>
      </c>
      <c r="BN740" s="17" t="s">
        <v>138</v>
      </c>
      <c r="BO740" s="15" t="s">
        <v>138</v>
      </c>
      <c r="BP740" s="17" t="s">
        <v>138</v>
      </c>
      <c r="BQ740" s="15" t="s">
        <v>138</v>
      </c>
      <c r="BR740" s="15" t="s">
        <v>176</v>
      </c>
      <c r="BS740" s="15" t="s">
        <v>138</v>
      </c>
      <c r="BT740" s="15" t="s">
        <v>138</v>
      </c>
      <c r="BU740" s="15" t="s">
        <v>177</v>
      </c>
      <c r="BV740" s="15" t="s">
        <v>138</v>
      </c>
      <c r="BW740" s="15" t="s">
        <v>138</v>
      </c>
      <c r="BX740" s="15" t="s">
        <v>138</v>
      </c>
      <c r="BY740" s="15" t="s">
        <v>175</v>
      </c>
      <c r="BZ740" s="22">
        <v>43145</v>
      </c>
      <c r="CA740" s="17">
        <v>14.5</v>
      </c>
      <c r="CB740" s="15" t="s">
        <v>172</v>
      </c>
      <c r="CC740" s="17">
        <v>61.4</v>
      </c>
      <c r="CD740" s="15" t="s">
        <v>1178</v>
      </c>
      <c r="CE740" s="15" t="s">
        <v>205</v>
      </c>
      <c r="CF740" s="15" t="s">
        <v>720</v>
      </c>
      <c r="CG740" s="15" t="s">
        <v>138</v>
      </c>
      <c r="CH740" s="15" t="s">
        <v>174</v>
      </c>
      <c r="CI740" s="15" t="s">
        <v>138</v>
      </c>
      <c r="CJ740" s="15" t="s">
        <v>138</v>
      </c>
      <c r="CK740" s="15" t="s">
        <v>138</v>
      </c>
      <c r="CL740" s="15" t="s">
        <v>175</v>
      </c>
      <c r="CM740" s="22" t="s">
        <v>138</v>
      </c>
      <c r="CN740" s="17" t="s">
        <v>138</v>
      </c>
      <c r="CO740" s="23">
        <v>0.53</v>
      </c>
      <c r="CP740" s="24">
        <v>95</v>
      </c>
      <c r="CQ740" s="23">
        <v>0</v>
      </c>
      <c r="CR740" s="23">
        <v>-0.46</v>
      </c>
      <c r="CS740" s="23">
        <v>0.96</v>
      </c>
      <c r="CT740" s="24">
        <v>97</v>
      </c>
      <c r="CU740" s="23">
        <v>0.1</v>
      </c>
      <c r="CV740" s="24">
        <v>68</v>
      </c>
      <c r="CW740" s="23">
        <v>0.96</v>
      </c>
      <c r="CX740" s="24">
        <v>84</v>
      </c>
      <c r="CY740" s="23" t="s">
        <v>138</v>
      </c>
      <c r="CZ740" s="24" t="s">
        <v>138</v>
      </c>
      <c r="DA740" s="23">
        <v>0.1</v>
      </c>
      <c r="DB740" s="24">
        <v>72</v>
      </c>
      <c r="DC740" s="25">
        <v>6.07</v>
      </c>
      <c r="DD740" s="24">
        <v>85</v>
      </c>
      <c r="DE740" s="25">
        <v>1.85</v>
      </c>
      <c r="DF740" s="23">
        <v>43.86</v>
      </c>
      <c r="DG740" s="25">
        <v>3.29</v>
      </c>
      <c r="DH740" s="24">
        <v>76</v>
      </c>
      <c r="DI740" s="25">
        <v>8.85</v>
      </c>
      <c r="DJ740" s="24">
        <v>84</v>
      </c>
      <c r="DK740" s="25">
        <v>3.29</v>
      </c>
      <c r="DL740" s="24">
        <v>73</v>
      </c>
      <c r="DM740" s="25" t="s">
        <v>138</v>
      </c>
      <c r="DN740" s="24" t="s">
        <v>138</v>
      </c>
      <c r="DO740" s="25">
        <v>8.85</v>
      </c>
      <c r="DP740" s="24">
        <v>86</v>
      </c>
      <c r="DQ740" s="24">
        <v>1077</v>
      </c>
      <c r="DR740" s="26">
        <v>154</v>
      </c>
      <c r="DS740" s="23">
        <v>16.68</v>
      </c>
      <c r="DT740" s="24" t="s">
        <v>138</v>
      </c>
      <c r="DU740" s="26" t="s">
        <v>138</v>
      </c>
      <c r="DV740" s="23" t="s">
        <v>138</v>
      </c>
      <c r="DW740" s="24">
        <v>3163</v>
      </c>
      <c r="DX740" s="27">
        <v>4</v>
      </c>
      <c r="DY740" s="23">
        <v>0.13</v>
      </c>
      <c r="DZ740" s="15" t="s">
        <v>178</v>
      </c>
      <c r="EA740" s="22">
        <v>43607</v>
      </c>
      <c r="EB740" s="17">
        <v>61.4</v>
      </c>
      <c r="EC740" s="22">
        <v>43145</v>
      </c>
      <c r="ED740" s="15" t="s">
        <v>205</v>
      </c>
      <c r="EE740" s="14" t="str">
        <f>HYPERLINK("https://my.pitchbook.com?c=90829-18", "View company online")</f>
        <v>View company online</v>
      </c>
    </row>
    <row r="741" spans="1:135">
      <c r="A741" s="28" t="s">
        <v>14789</v>
      </c>
      <c r="B741" s="28" t="s">
        <v>14790</v>
      </c>
      <c r="C741" s="28" t="s">
        <v>138</v>
      </c>
      <c r="D741" s="28" t="s">
        <v>138</v>
      </c>
      <c r="E741" s="28" t="s">
        <v>14791</v>
      </c>
      <c r="F741" s="28" t="s">
        <v>14789</v>
      </c>
      <c r="G741" s="28" t="s">
        <v>14792</v>
      </c>
      <c r="H741" s="28" t="s">
        <v>322</v>
      </c>
      <c r="I741" s="28" t="s">
        <v>323</v>
      </c>
      <c r="J741" s="28" t="s">
        <v>1132</v>
      </c>
      <c r="K741" s="28" t="s">
        <v>14793</v>
      </c>
      <c r="L741" s="28" t="s">
        <v>14794</v>
      </c>
      <c r="M741" s="28" t="s">
        <v>14795</v>
      </c>
      <c r="N741" s="28" t="s">
        <v>147</v>
      </c>
      <c r="O741" s="29">
        <v>12.21</v>
      </c>
      <c r="P741" s="28" t="s">
        <v>148</v>
      </c>
      <c r="Q741" s="28" t="s">
        <v>149</v>
      </c>
      <c r="R741" s="28" t="s">
        <v>174</v>
      </c>
      <c r="S741" s="28" t="s">
        <v>14796</v>
      </c>
      <c r="T741" s="30">
        <v>29</v>
      </c>
      <c r="U741" s="28" t="s">
        <v>14797</v>
      </c>
      <c r="V741" s="28" t="s">
        <v>138</v>
      </c>
      <c r="W741" s="28" t="s">
        <v>138</v>
      </c>
      <c r="X741" s="31">
        <v>2015</v>
      </c>
      <c r="Y741" s="28" t="s">
        <v>138</v>
      </c>
      <c r="Z741" s="28" t="s">
        <v>138</v>
      </c>
      <c r="AA741" s="28" t="s">
        <v>138</v>
      </c>
      <c r="AB741" s="32" t="s">
        <v>138</v>
      </c>
      <c r="AC741" s="32" t="s">
        <v>138</v>
      </c>
      <c r="AD741" s="32" t="s">
        <v>138</v>
      </c>
      <c r="AE741" s="32" t="s">
        <v>138</v>
      </c>
      <c r="AF741" s="32" t="s">
        <v>138</v>
      </c>
      <c r="AG741" s="28" t="s">
        <v>138</v>
      </c>
      <c r="AH741" s="32" t="s">
        <v>138</v>
      </c>
      <c r="AI741" s="32" t="s">
        <v>138</v>
      </c>
      <c r="AJ741" s="32" t="s">
        <v>138</v>
      </c>
      <c r="AK741" s="28" t="s">
        <v>14798</v>
      </c>
      <c r="AL741" s="28" t="s">
        <v>14799</v>
      </c>
      <c r="AM741" s="28" t="s">
        <v>2605</v>
      </c>
      <c r="AN741" s="28" t="s">
        <v>14800</v>
      </c>
      <c r="AO741" s="28" t="s">
        <v>14801</v>
      </c>
      <c r="AP741" s="28" t="s">
        <v>14802</v>
      </c>
      <c r="AQ741" s="28" t="s">
        <v>14803</v>
      </c>
      <c r="AR741" s="28" t="s">
        <v>14804</v>
      </c>
      <c r="AS741" s="28" t="s">
        <v>14805</v>
      </c>
      <c r="AT741" s="28" t="s">
        <v>138</v>
      </c>
      <c r="AU741" s="28" t="s">
        <v>138</v>
      </c>
      <c r="AV741" s="28" t="s">
        <v>14806</v>
      </c>
      <c r="AW741" s="28" t="s">
        <v>14801</v>
      </c>
      <c r="AX741" s="28" t="s">
        <v>138</v>
      </c>
      <c r="AY741" s="28" t="s">
        <v>14807</v>
      </c>
      <c r="AZ741" s="28" t="s">
        <v>401</v>
      </c>
      <c r="BA741" s="28" t="s">
        <v>14808</v>
      </c>
      <c r="BB741" s="28" t="s">
        <v>14809</v>
      </c>
      <c r="BC741" s="28" t="s">
        <v>14810</v>
      </c>
      <c r="BD741" s="33">
        <v>23</v>
      </c>
      <c r="BE741" s="28" t="s">
        <v>138</v>
      </c>
      <c r="BF741" s="28" t="s">
        <v>138</v>
      </c>
      <c r="BG741" s="28" t="s">
        <v>138</v>
      </c>
      <c r="BH741" s="28" t="s">
        <v>14811</v>
      </c>
      <c r="BI741" s="28" t="s">
        <v>138</v>
      </c>
      <c r="BJ741" s="28" t="s">
        <v>138</v>
      </c>
      <c r="BK741" s="28" t="s">
        <v>3482</v>
      </c>
      <c r="BL741" s="28" t="s">
        <v>3482</v>
      </c>
      <c r="BM741" s="34">
        <v>42451</v>
      </c>
      <c r="BN741" s="29">
        <v>0.12</v>
      </c>
      <c r="BO741" s="28" t="s">
        <v>172</v>
      </c>
      <c r="BP741" s="29">
        <v>1.71</v>
      </c>
      <c r="BQ741" s="28" t="s">
        <v>172</v>
      </c>
      <c r="BR741" s="28" t="s">
        <v>316</v>
      </c>
      <c r="BS741" s="28" t="s">
        <v>138</v>
      </c>
      <c r="BT741" s="28" t="s">
        <v>138</v>
      </c>
      <c r="BU741" s="28" t="s">
        <v>177</v>
      </c>
      <c r="BV741" s="28" t="s">
        <v>138</v>
      </c>
      <c r="BW741" s="28" t="s">
        <v>138</v>
      </c>
      <c r="BX741" s="28" t="s">
        <v>138</v>
      </c>
      <c r="BY741" s="28" t="s">
        <v>175</v>
      </c>
      <c r="BZ741" s="34">
        <v>43349</v>
      </c>
      <c r="CA741" s="29">
        <v>10.210000000000001</v>
      </c>
      <c r="CB741" s="28" t="s">
        <v>172</v>
      </c>
      <c r="CC741" s="29" t="s">
        <v>138</v>
      </c>
      <c r="CD741" s="28" t="s">
        <v>138</v>
      </c>
      <c r="CE741" s="28" t="s">
        <v>205</v>
      </c>
      <c r="CF741" s="28" t="s">
        <v>206</v>
      </c>
      <c r="CG741" s="28" t="s">
        <v>138</v>
      </c>
      <c r="CH741" s="28" t="s">
        <v>174</v>
      </c>
      <c r="CI741" s="28" t="s">
        <v>138</v>
      </c>
      <c r="CJ741" s="28" t="s">
        <v>138</v>
      </c>
      <c r="CK741" s="28" t="s">
        <v>138</v>
      </c>
      <c r="CL741" s="28" t="s">
        <v>175</v>
      </c>
      <c r="CM741" s="34" t="s">
        <v>138</v>
      </c>
      <c r="CN741" s="29" t="s">
        <v>138</v>
      </c>
      <c r="CO741" s="35">
        <v>1.05</v>
      </c>
      <c r="CP741" s="36">
        <v>97</v>
      </c>
      <c r="CQ741" s="35">
        <v>-0.01</v>
      </c>
      <c r="CR741" s="35">
        <v>-0.61</v>
      </c>
      <c r="CS741" s="35">
        <v>0.77</v>
      </c>
      <c r="CT741" s="36">
        <v>96</v>
      </c>
      <c r="CU741" s="35">
        <v>1.32</v>
      </c>
      <c r="CV741" s="36">
        <v>99</v>
      </c>
      <c r="CW741" s="35">
        <v>1.54</v>
      </c>
      <c r="CX741" s="36">
        <v>87</v>
      </c>
      <c r="CY741" s="35">
        <v>0.01</v>
      </c>
      <c r="CZ741" s="36">
        <v>97</v>
      </c>
      <c r="DA741" s="35">
        <v>1.32</v>
      </c>
      <c r="DB741" s="36">
        <v>99</v>
      </c>
      <c r="DC741" s="37">
        <v>14.67</v>
      </c>
      <c r="DD741" s="36">
        <v>93</v>
      </c>
      <c r="DE741" s="37">
        <v>-0.28000000000000003</v>
      </c>
      <c r="DF741" s="35">
        <v>-1.87</v>
      </c>
      <c r="DG741" s="37">
        <v>10.06</v>
      </c>
      <c r="DH741" s="36">
        <v>90</v>
      </c>
      <c r="DI741" s="37">
        <v>19.28</v>
      </c>
      <c r="DJ741" s="36">
        <v>90</v>
      </c>
      <c r="DK741" s="37">
        <v>13.22</v>
      </c>
      <c r="DL741" s="36">
        <v>89</v>
      </c>
      <c r="DM741" s="37">
        <v>6.9</v>
      </c>
      <c r="DN741" s="36">
        <v>85</v>
      </c>
      <c r="DO741" s="37">
        <v>37.200000000000003</v>
      </c>
      <c r="DP741" s="36">
        <v>95</v>
      </c>
      <c r="DQ741" s="36">
        <v>4441</v>
      </c>
      <c r="DR741" s="38">
        <v>280</v>
      </c>
      <c r="DS741" s="35">
        <v>6.73</v>
      </c>
      <c r="DT741" s="36">
        <v>200</v>
      </c>
      <c r="DU741" s="38">
        <v>-1</v>
      </c>
      <c r="DV741" s="35">
        <v>-0.5</v>
      </c>
      <c r="DW741" s="36">
        <v>13251</v>
      </c>
      <c r="DX741" s="39">
        <v>169</v>
      </c>
      <c r="DY741" s="35">
        <v>1.29</v>
      </c>
      <c r="DZ741" s="28" t="s">
        <v>178</v>
      </c>
      <c r="EA741" s="34">
        <v>43397</v>
      </c>
      <c r="EB741" s="29">
        <v>1.71</v>
      </c>
      <c r="EC741" s="34">
        <v>42451</v>
      </c>
      <c r="ED741" s="28" t="s">
        <v>316</v>
      </c>
      <c r="EE741" s="40" t="str">
        <f>HYPERLINK("https://my.pitchbook.com?c=155871-28", "View company online")</f>
        <v>View company online</v>
      </c>
    </row>
    <row r="742" spans="1:135">
      <c r="A742" s="15" t="s">
        <v>14812</v>
      </c>
      <c r="B742" s="15" t="s">
        <v>14813</v>
      </c>
      <c r="C742" s="15" t="s">
        <v>138</v>
      </c>
      <c r="D742" s="15" t="s">
        <v>138</v>
      </c>
      <c r="E742" s="15" t="s">
        <v>14814</v>
      </c>
      <c r="F742" s="15" t="s">
        <v>14812</v>
      </c>
      <c r="G742" s="15" t="s">
        <v>14815</v>
      </c>
      <c r="H742" s="15" t="s">
        <v>890</v>
      </c>
      <c r="I742" s="15" t="s">
        <v>891</v>
      </c>
      <c r="J742" s="15" t="s">
        <v>8932</v>
      </c>
      <c r="K742" s="15" t="s">
        <v>14816</v>
      </c>
      <c r="L742" s="15" t="s">
        <v>5101</v>
      </c>
      <c r="M742" s="15" t="s">
        <v>14817</v>
      </c>
      <c r="N742" s="15" t="s">
        <v>147</v>
      </c>
      <c r="O742" s="17">
        <v>61.45</v>
      </c>
      <c r="P742" s="15" t="s">
        <v>148</v>
      </c>
      <c r="Q742" s="15" t="s">
        <v>149</v>
      </c>
      <c r="R742" s="15" t="s">
        <v>244</v>
      </c>
      <c r="S742" s="15" t="s">
        <v>14818</v>
      </c>
      <c r="T742" s="18">
        <v>90</v>
      </c>
      <c r="U742" s="15" t="s">
        <v>14819</v>
      </c>
      <c r="V742" s="15" t="s">
        <v>138</v>
      </c>
      <c r="W742" s="15" t="s">
        <v>138</v>
      </c>
      <c r="X742" s="19">
        <v>2015</v>
      </c>
      <c r="Y742" s="15" t="s">
        <v>138</v>
      </c>
      <c r="Z742" s="15" t="s">
        <v>138</v>
      </c>
      <c r="AA742" s="15" t="s">
        <v>138</v>
      </c>
      <c r="AB742" s="20" t="s">
        <v>138</v>
      </c>
      <c r="AC742" s="20" t="s">
        <v>138</v>
      </c>
      <c r="AD742" s="20" t="s">
        <v>138</v>
      </c>
      <c r="AE742" s="20" t="s">
        <v>138</v>
      </c>
      <c r="AF742" s="20" t="s">
        <v>138</v>
      </c>
      <c r="AG742" s="15" t="s">
        <v>138</v>
      </c>
      <c r="AH742" s="20" t="s">
        <v>138</v>
      </c>
      <c r="AI742" s="20" t="s">
        <v>138</v>
      </c>
      <c r="AJ742" s="20" t="s">
        <v>138</v>
      </c>
      <c r="AK742" s="15" t="s">
        <v>14820</v>
      </c>
      <c r="AL742" s="15" t="s">
        <v>14821</v>
      </c>
      <c r="AM742" s="15" t="s">
        <v>304</v>
      </c>
      <c r="AN742" s="15" t="s">
        <v>14822</v>
      </c>
      <c r="AO742" s="15" t="s">
        <v>14823</v>
      </c>
      <c r="AP742" s="15" t="s">
        <v>665</v>
      </c>
      <c r="AQ742" s="15" t="s">
        <v>14824</v>
      </c>
      <c r="AR742" s="15" t="s">
        <v>138</v>
      </c>
      <c r="AS742" s="15" t="s">
        <v>668</v>
      </c>
      <c r="AT742" s="15" t="s">
        <v>200</v>
      </c>
      <c r="AU742" s="15" t="s">
        <v>3557</v>
      </c>
      <c r="AV742" s="15" t="s">
        <v>162</v>
      </c>
      <c r="AW742" s="15" t="s">
        <v>14823</v>
      </c>
      <c r="AX742" s="15" t="s">
        <v>138</v>
      </c>
      <c r="AY742" s="15" t="s">
        <v>14825</v>
      </c>
      <c r="AZ742" s="15" t="s">
        <v>164</v>
      </c>
      <c r="BA742" s="15" t="s">
        <v>165</v>
      </c>
      <c r="BB742" s="15" t="s">
        <v>14826</v>
      </c>
      <c r="BC742" s="15" t="s">
        <v>14827</v>
      </c>
      <c r="BD742" s="21">
        <v>34</v>
      </c>
      <c r="BE742" s="15" t="s">
        <v>138</v>
      </c>
      <c r="BF742" s="15" t="s">
        <v>138</v>
      </c>
      <c r="BG742" s="15" t="s">
        <v>138</v>
      </c>
      <c r="BH742" s="15" t="s">
        <v>14828</v>
      </c>
      <c r="BI742" s="15" t="s">
        <v>138</v>
      </c>
      <c r="BJ742" s="15" t="s">
        <v>138</v>
      </c>
      <c r="BK742" s="15" t="s">
        <v>138</v>
      </c>
      <c r="BL742" s="15" t="s">
        <v>14829</v>
      </c>
      <c r="BM742" s="22" t="s">
        <v>138</v>
      </c>
      <c r="BN742" s="17" t="s">
        <v>138</v>
      </c>
      <c r="BO742" s="15" t="s">
        <v>138</v>
      </c>
      <c r="BP742" s="17" t="s">
        <v>138</v>
      </c>
      <c r="BQ742" s="15" t="s">
        <v>138</v>
      </c>
      <c r="BR742" s="15" t="s">
        <v>316</v>
      </c>
      <c r="BS742" s="15" t="s">
        <v>138</v>
      </c>
      <c r="BT742" s="15" t="s">
        <v>138</v>
      </c>
      <c r="BU742" s="15" t="s">
        <v>177</v>
      </c>
      <c r="BV742" s="15" t="s">
        <v>138</v>
      </c>
      <c r="BW742" s="15" t="s">
        <v>138</v>
      </c>
      <c r="BX742" s="15" t="s">
        <v>138</v>
      </c>
      <c r="BY742" s="15" t="s">
        <v>175</v>
      </c>
      <c r="BZ742" s="22">
        <v>43608</v>
      </c>
      <c r="CA742" s="17">
        <v>20</v>
      </c>
      <c r="CB742" s="15" t="s">
        <v>172</v>
      </c>
      <c r="CC742" s="17">
        <v>75</v>
      </c>
      <c r="CD742" s="15" t="s">
        <v>172</v>
      </c>
      <c r="CE742" s="15" t="s">
        <v>205</v>
      </c>
      <c r="CF742" s="15" t="s">
        <v>720</v>
      </c>
      <c r="CG742" s="15" t="s">
        <v>138</v>
      </c>
      <c r="CH742" s="15" t="s">
        <v>174</v>
      </c>
      <c r="CI742" s="15" t="s">
        <v>138</v>
      </c>
      <c r="CJ742" s="15" t="s">
        <v>138</v>
      </c>
      <c r="CK742" s="15" t="s">
        <v>138</v>
      </c>
      <c r="CL742" s="15" t="s">
        <v>175</v>
      </c>
      <c r="CM742" s="22">
        <v>43405</v>
      </c>
      <c r="CN742" s="17">
        <v>20</v>
      </c>
      <c r="CO742" s="23">
        <v>0.76</v>
      </c>
      <c r="CP742" s="24">
        <v>96</v>
      </c>
      <c r="CQ742" s="23">
        <v>-0.21</v>
      </c>
      <c r="CR742" s="23">
        <v>-21.5</v>
      </c>
      <c r="CS742" s="23">
        <v>0.33</v>
      </c>
      <c r="CT742" s="24">
        <v>95</v>
      </c>
      <c r="CU742" s="23">
        <v>1.19</v>
      </c>
      <c r="CV742" s="24">
        <v>98</v>
      </c>
      <c r="CW742" s="23">
        <v>1.33</v>
      </c>
      <c r="CX742" s="24">
        <v>86</v>
      </c>
      <c r="CY742" s="23">
        <v>-0.66</v>
      </c>
      <c r="CZ742" s="24">
        <v>21</v>
      </c>
      <c r="DA742" s="23">
        <v>1.19</v>
      </c>
      <c r="DB742" s="24">
        <v>99</v>
      </c>
      <c r="DC742" s="25">
        <v>4.17</v>
      </c>
      <c r="DD742" s="24">
        <v>80</v>
      </c>
      <c r="DE742" s="25">
        <v>-1.06</v>
      </c>
      <c r="DF742" s="23">
        <v>-20.32</v>
      </c>
      <c r="DG742" s="25">
        <v>7.4</v>
      </c>
      <c r="DH742" s="24">
        <v>87</v>
      </c>
      <c r="DI742" s="25">
        <v>0.94</v>
      </c>
      <c r="DJ742" s="24">
        <v>48</v>
      </c>
      <c r="DK742" s="25">
        <v>9.18</v>
      </c>
      <c r="DL742" s="24">
        <v>86</v>
      </c>
      <c r="DM742" s="25">
        <v>5.62</v>
      </c>
      <c r="DN742" s="24">
        <v>83</v>
      </c>
      <c r="DO742" s="25">
        <v>0.94</v>
      </c>
      <c r="DP742" s="24">
        <v>49</v>
      </c>
      <c r="DQ742" s="24">
        <v>3090</v>
      </c>
      <c r="DR742" s="26">
        <v>173</v>
      </c>
      <c r="DS742" s="23">
        <v>5.93</v>
      </c>
      <c r="DT742" s="24">
        <v>162</v>
      </c>
      <c r="DU742" s="26">
        <v>1</v>
      </c>
      <c r="DV742" s="23">
        <v>0.62</v>
      </c>
      <c r="DW742" s="24">
        <v>334</v>
      </c>
      <c r="DX742" s="27">
        <v>6</v>
      </c>
      <c r="DY742" s="23">
        <v>1.83</v>
      </c>
      <c r="DZ742" s="15" t="s">
        <v>178</v>
      </c>
      <c r="EA742" s="22">
        <v>43609</v>
      </c>
      <c r="EB742" s="17">
        <v>75</v>
      </c>
      <c r="EC742" s="22">
        <v>43608</v>
      </c>
      <c r="ED742" s="15" t="s">
        <v>205</v>
      </c>
      <c r="EE742" s="14" t="str">
        <f>HYPERLINK("https://my.pitchbook.com?c=113370-76", "View company online")</f>
        <v>View company online</v>
      </c>
    </row>
    <row r="743" spans="1:135">
      <c r="A743" s="28" t="s">
        <v>14830</v>
      </c>
      <c r="B743" s="28" t="s">
        <v>14831</v>
      </c>
      <c r="C743" s="28" t="s">
        <v>138</v>
      </c>
      <c r="D743" s="28" t="s">
        <v>138</v>
      </c>
      <c r="E743" s="28" t="s">
        <v>14832</v>
      </c>
      <c r="F743" s="28" t="s">
        <v>14830</v>
      </c>
      <c r="G743" s="28" t="s">
        <v>14833</v>
      </c>
      <c r="H743" s="28" t="s">
        <v>322</v>
      </c>
      <c r="I743" s="28" t="s">
        <v>323</v>
      </c>
      <c r="J743" s="28" t="s">
        <v>413</v>
      </c>
      <c r="K743" s="28" t="s">
        <v>874</v>
      </c>
      <c r="L743" s="28" t="s">
        <v>463</v>
      </c>
      <c r="M743" s="28" t="s">
        <v>14834</v>
      </c>
      <c r="N743" s="28" t="s">
        <v>147</v>
      </c>
      <c r="O743" s="29">
        <v>112.24</v>
      </c>
      <c r="P743" s="28" t="s">
        <v>148</v>
      </c>
      <c r="Q743" s="28" t="s">
        <v>149</v>
      </c>
      <c r="R743" s="28" t="s">
        <v>174</v>
      </c>
      <c r="S743" s="28" t="s">
        <v>14835</v>
      </c>
      <c r="T743" s="30">
        <v>47</v>
      </c>
      <c r="U743" s="28" t="s">
        <v>14836</v>
      </c>
      <c r="V743" s="28" t="s">
        <v>138</v>
      </c>
      <c r="W743" s="28" t="s">
        <v>138</v>
      </c>
      <c r="X743" s="31">
        <v>2008</v>
      </c>
      <c r="Y743" s="28" t="s">
        <v>138</v>
      </c>
      <c r="Z743" s="28" t="s">
        <v>138</v>
      </c>
      <c r="AA743" s="28" t="s">
        <v>138</v>
      </c>
      <c r="AB743" s="32" t="s">
        <v>138</v>
      </c>
      <c r="AC743" s="32" t="s">
        <v>138</v>
      </c>
      <c r="AD743" s="32" t="s">
        <v>138</v>
      </c>
      <c r="AE743" s="32" t="s">
        <v>138</v>
      </c>
      <c r="AF743" s="32" t="s">
        <v>138</v>
      </c>
      <c r="AG743" s="28" t="s">
        <v>138</v>
      </c>
      <c r="AH743" s="32" t="s">
        <v>138</v>
      </c>
      <c r="AI743" s="32" t="s">
        <v>138</v>
      </c>
      <c r="AJ743" s="32" t="s">
        <v>138</v>
      </c>
      <c r="AK743" s="28" t="s">
        <v>14837</v>
      </c>
      <c r="AL743" s="28" t="s">
        <v>14838</v>
      </c>
      <c r="AM743" s="28" t="s">
        <v>221</v>
      </c>
      <c r="AN743" s="28" t="s">
        <v>14839</v>
      </c>
      <c r="AO743" s="28" t="s">
        <v>14840</v>
      </c>
      <c r="AP743" s="28" t="s">
        <v>423</v>
      </c>
      <c r="AQ743" s="28" t="s">
        <v>988</v>
      </c>
      <c r="AR743" s="28" t="s">
        <v>5294</v>
      </c>
      <c r="AS743" s="28" t="s">
        <v>426</v>
      </c>
      <c r="AT743" s="28" t="s">
        <v>426</v>
      </c>
      <c r="AU743" s="28" t="s">
        <v>619</v>
      </c>
      <c r="AV743" s="28" t="s">
        <v>162</v>
      </c>
      <c r="AW743" s="28" t="s">
        <v>14840</v>
      </c>
      <c r="AX743" s="28" t="s">
        <v>14841</v>
      </c>
      <c r="AY743" s="28" t="s">
        <v>14842</v>
      </c>
      <c r="AZ743" s="28" t="s">
        <v>164</v>
      </c>
      <c r="BA743" s="28" t="s">
        <v>165</v>
      </c>
      <c r="BB743" s="28" t="s">
        <v>14843</v>
      </c>
      <c r="BC743" s="28" t="s">
        <v>14844</v>
      </c>
      <c r="BD743" s="33">
        <v>21</v>
      </c>
      <c r="BE743" s="28" t="s">
        <v>138</v>
      </c>
      <c r="BF743" s="28" t="s">
        <v>138</v>
      </c>
      <c r="BG743" s="28" t="s">
        <v>138</v>
      </c>
      <c r="BH743" s="28" t="s">
        <v>14845</v>
      </c>
      <c r="BI743" s="28" t="s">
        <v>138</v>
      </c>
      <c r="BJ743" s="28" t="s">
        <v>138</v>
      </c>
      <c r="BK743" s="28" t="s">
        <v>14846</v>
      </c>
      <c r="BL743" s="28" t="s">
        <v>14847</v>
      </c>
      <c r="BM743" s="34">
        <v>39668</v>
      </c>
      <c r="BN743" s="29">
        <v>1.6</v>
      </c>
      <c r="BO743" s="28" t="s">
        <v>172</v>
      </c>
      <c r="BP743" s="29">
        <v>5.9</v>
      </c>
      <c r="BQ743" s="28" t="s">
        <v>172</v>
      </c>
      <c r="BR743" s="28" t="s">
        <v>205</v>
      </c>
      <c r="BS743" s="28" t="s">
        <v>206</v>
      </c>
      <c r="BT743" s="28" t="s">
        <v>138</v>
      </c>
      <c r="BU743" s="28" t="s">
        <v>174</v>
      </c>
      <c r="BV743" s="28" t="s">
        <v>138</v>
      </c>
      <c r="BW743" s="28" t="s">
        <v>138</v>
      </c>
      <c r="BX743" s="28" t="s">
        <v>138</v>
      </c>
      <c r="BY743" s="28" t="s">
        <v>175</v>
      </c>
      <c r="BZ743" s="34">
        <v>43572</v>
      </c>
      <c r="CA743" s="29">
        <v>24</v>
      </c>
      <c r="CB743" s="28" t="s">
        <v>172</v>
      </c>
      <c r="CC743" s="29">
        <v>270.10000000000002</v>
      </c>
      <c r="CD743" s="28" t="s">
        <v>172</v>
      </c>
      <c r="CE743" s="28" t="s">
        <v>173</v>
      </c>
      <c r="CF743" s="28" t="s">
        <v>138</v>
      </c>
      <c r="CG743" s="28" t="s">
        <v>138</v>
      </c>
      <c r="CH743" s="28" t="s">
        <v>174</v>
      </c>
      <c r="CI743" s="28" t="s">
        <v>177</v>
      </c>
      <c r="CJ743" s="28" t="s">
        <v>138</v>
      </c>
      <c r="CK743" s="28" t="s">
        <v>138</v>
      </c>
      <c r="CL743" s="28" t="s">
        <v>175</v>
      </c>
      <c r="CM743" s="34" t="s">
        <v>138</v>
      </c>
      <c r="CN743" s="29" t="s">
        <v>138</v>
      </c>
      <c r="CO743" s="35">
        <v>-0.37</v>
      </c>
      <c r="CP743" s="36">
        <v>18</v>
      </c>
      <c r="CQ743" s="35">
        <v>0.01</v>
      </c>
      <c r="CR743" s="35">
        <v>3.1</v>
      </c>
      <c r="CS743" s="35">
        <v>-0.86</v>
      </c>
      <c r="CT743" s="36">
        <v>16</v>
      </c>
      <c r="CU743" s="35">
        <v>0.11</v>
      </c>
      <c r="CV743" s="36">
        <v>70</v>
      </c>
      <c r="CW743" s="35">
        <v>0.03</v>
      </c>
      <c r="CX743" s="36">
        <v>80</v>
      </c>
      <c r="CY743" s="35">
        <v>-1.74</v>
      </c>
      <c r="CZ743" s="36">
        <v>13</v>
      </c>
      <c r="DA743" s="35">
        <v>0.04</v>
      </c>
      <c r="DB743" s="36">
        <v>62</v>
      </c>
      <c r="DC743" s="37">
        <v>4.87</v>
      </c>
      <c r="DD743" s="36">
        <v>82</v>
      </c>
      <c r="DE743" s="37">
        <v>-0.09</v>
      </c>
      <c r="DF743" s="35">
        <v>-1.91</v>
      </c>
      <c r="DG743" s="37">
        <v>6.44</v>
      </c>
      <c r="DH743" s="36">
        <v>85</v>
      </c>
      <c r="DI743" s="37">
        <v>3.3</v>
      </c>
      <c r="DJ743" s="36">
        <v>71</v>
      </c>
      <c r="DK743" s="37">
        <v>2.94</v>
      </c>
      <c r="DL743" s="36">
        <v>71</v>
      </c>
      <c r="DM743" s="37">
        <v>9.93</v>
      </c>
      <c r="DN743" s="36">
        <v>89</v>
      </c>
      <c r="DO743" s="37">
        <v>6.45</v>
      </c>
      <c r="DP743" s="36">
        <v>83</v>
      </c>
      <c r="DQ743" s="36">
        <v>986</v>
      </c>
      <c r="DR743" s="38">
        <v>70</v>
      </c>
      <c r="DS743" s="35">
        <v>7.64</v>
      </c>
      <c r="DT743" s="36">
        <v>288</v>
      </c>
      <c r="DU743" s="38">
        <v>-1</v>
      </c>
      <c r="DV743" s="35">
        <v>-0.35</v>
      </c>
      <c r="DW743" s="36">
        <v>2311</v>
      </c>
      <c r="DX743" s="39">
        <v>2</v>
      </c>
      <c r="DY743" s="35">
        <v>0.09</v>
      </c>
      <c r="DZ743" s="28" t="s">
        <v>178</v>
      </c>
      <c r="EA743" s="34">
        <v>43573</v>
      </c>
      <c r="EB743" s="29">
        <v>270.10000000000002</v>
      </c>
      <c r="EC743" s="34">
        <v>43572</v>
      </c>
      <c r="ED743" s="28" t="s">
        <v>173</v>
      </c>
      <c r="EE743" s="40" t="str">
        <f>HYPERLINK("https://my.pitchbook.com?c=48540-97", "View company online")</f>
        <v>View company online</v>
      </c>
    </row>
    <row r="744" spans="1:135">
      <c r="A744" s="15" t="s">
        <v>14848</v>
      </c>
      <c r="B744" s="15" t="s">
        <v>14849</v>
      </c>
      <c r="C744" s="15" t="s">
        <v>138</v>
      </c>
      <c r="D744" s="15" t="s">
        <v>138</v>
      </c>
      <c r="E744" s="15" t="s">
        <v>14850</v>
      </c>
      <c r="F744" s="15" t="s">
        <v>14848</v>
      </c>
      <c r="G744" s="15" t="s">
        <v>14851</v>
      </c>
      <c r="H744" s="15" t="s">
        <v>322</v>
      </c>
      <c r="I744" s="15" t="s">
        <v>323</v>
      </c>
      <c r="J744" s="15" t="s">
        <v>324</v>
      </c>
      <c r="K744" s="15" t="s">
        <v>8585</v>
      </c>
      <c r="L744" s="15" t="s">
        <v>4341</v>
      </c>
      <c r="M744" s="15" t="s">
        <v>14852</v>
      </c>
      <c r="N744" s="15" t="s">
        <v>147</v>
      </c>
      <c r="O744" s="17">
        <v>91.56</v>
      </c>
      <c r="P744" s="15" t="s">
        <v>148</v>
      </c>
      <c r="Q744" s="15" t="s">
        <v>149</v>
      </c>
      <c r="R744" s="15" t="s">
        <v>174</v>
      </c>
      <c r="S744" s="15" t="s">
        <v>14853</v>
      </c>
      <c r="T744" s="18">
        <v>90</v>
      </c>
      <c r="U744" s="15" t="s">
        <v>14854</v>
      </c>
      <c r="V744" s="15" t="s">
        <v>138</v>
      </c>
      <c r="W744" s="15" t="s">
        <v>138</v>
      </c>
      <c r="X744" s="19">
        <v>2012</v>
      </c>
      <c r="Y744" s="15" t="s">
        <v>138</v>
      </c>
      <c r="Z744" s="15" t="s">
        <v>138</v>
      </c>
      <c r="AA744" s="15" t="s">
        <v>138</v>
      </c>
      <c r="AB744" s="20" t="s">
        <v>138</v>
      </c>
      <c r="AC744" s="20" t="s">
        <v>138</v>
      </c>
      <c r="AD744" s="20" t="s">
        <v>138</v>
      </c>
      <c r="AE744" s="20" t="s">
        <v>138</v>
      </c>
      <c r="AF744" s="20" t="s">
        <v>138</v>
      </c>
      <c r="AG744" s="15" t="s">
        <v>138</v>
      </c>
      <c r="AH744" s="20" t="s">
        <v>138</v>
      </c>
      <c r="AI744" s="20" t="s">
        <v>138</v>
      </c>
      <c r="AJ744" s="20" t="s">
        <v>138</v>
      </c>
      <c r="AK744" s="15" t="s">
        <v>14855</v>
      </c>
      <c r="AL744" s="15" t="s">
        <v>14856</v>
      </c>
      <c r="AM744" s="15" t="s">
        <v>221</v>
      </c>
      <c r="AN744" s="15" t="s">
        <v>14857</v>
      </c>
      <c r="AO744" s="15" t="s">
        <v>14858</v>
      </c>
      <c r="AP744" s="15" t="s">
        <v>307</v>
      </c>
      <c r="AQ744" s="15" t="s">
        <v>797</v>
      </c>
      <c r="AR744" s="15" t="s">
        <v>3084</v>
      </c>
      <c r="AS744" s="15" t="s">
        <v>310</v>
      </c>
      <c r="AT744" s="15" t="s">
        <v>200</v>
      </c>
      <c r="AU744" s="15" t="s">
        <v>798</v>
      </c>
      <c r="AV744" s="15" t="s">
        <v>162</v>
      </c>
      <c r="AW744" s="15" t="s">
        <v>14858</v>
      </c>
      <c r="AX744" s="15" t="s">
        <v>138</v>
      </c>
      <c r="AY744" s="15" t="s">
        <v>14859</v>
      </c>
      <c r="AZ744" s="15" t="s">
        <v>164</v>
      </c>
      <c r="BA744" s="15" t="s">
        <v>165</v>
      </c>
      <c r="BB744" s="15" t="s">
        <v>14860</v>
      </c>
      <c r="BC744" s="15" t="s">
        <v>14861</v>
      </c>
      <c r="BD744" s="21">
        <v>19</v>
      </c>
      <c r="BE744" s="15" t="s">
        <v>138</v>
      </c>
      <c r="BF744" s="15" t="s">
        <v>138</v>
      </c>
      <c r="BG744" s="15" t="s">
        <v>138</v>
      </c>
      <c r="BH744" s="15" t="s">
        <v>14862</v>
      </c>
      <c r="BI744" s="15" t="s">
        <v>138</v>
      </c>
      <c r="BJ744" s="15" t="s">
        <v>138</v>
      </c>
      <c r="BK744" s="15" t="s">
        <v>14863</v>
      </c>
      <c r="BL744" s="15" t="s">
        <v>432</v>
      </c>
      <c r="BM744" s="22">
        <v>41227</v>
      </c>
      <c r="BN744" s="17">
        <v>2.06</v>
      </c>
      <c r="BO744" s="15" t="s">
        <v>172</v>
      </c>
      <c r="BP744" s="17">
        <v>10.3</v>
      </c>
      <c r="BQ744" s="15" t="s">
        <v>172</v>
      </c>
      <c r="BR744" s="15" t="s">
        <v>205</v>
      </c>
      <c r="BS744" s="15" t="s">
        <v>206</v>
      </c>
      <c r="BT744" s="15" t="s">
        <v>138</v>
      </c>
      <c r="BU744" s="15" t="s">
        <v>174</v>
      </c>
      <c r="BV744" s="15" t="s">
        <v>138</v>
      </c>
      <c r="BW744" s="15" t="s">
        <v>138</v>
      </c>
      <c r="BX744" s="15" t="s">
        <v>138</v>
      </c>
      <c r="BY744" s="15" t="s">
        <v>175</v>
      </c>
      <c r="BZ744" s="22">
        <v>43466</v>
      </c>
      <c r="CA744" s="17">
        <v>20</v>
      </c>
      <c r="CB744" s="15" t="s">
        <v>1178</v>
      </c>
      <c r="CC744" s="17">
        <v>200</v>
      </c>
      <c r="CD744" s="15" t="s">
        <v>172</v>
      </c>
      <c r="CE744" s="15" t="s">
        <v>173</v>
      </c>
      <c r="CF744" s="15" t="s">
        <v>14864</v>
      </c>
      <c r="CG744" s="15" t="s">
        <v>138</v>
      </c>
      <c r="CH744" s="15" t="s">
        <v>174</v>
      </c>
      <c r="CI744" s="15" t="s">
        <v>138</v>
      </c>
      <c r="CJ744" s="15" t="s">
        <v>138</v>
      </c>
      <c r="CK744" s="15" t="s">
        <v>138</v>
      </c>
      <c r="CL744" s="15" t="s">
        <v>175</v>
      </c>
      <c r="CM744" s="22" t="s">
        <v>138</v>
      </c>
      <c r="CN744" s="17" t="s">
        <v>138</v>
      </c>
      <c r="CO744" s="23">
        <v>1.82</v>
      </c>
      <c r="CP744" s="24">
        <v>99</v>
      </c>
      <c r="CQ744" s="23">
        <v>-0.02</v>
      </c>
      <c r="CR744" s="23">
        <v>-0.89</v>
      </c>
      <c r="CS744" s="23">
        <v>3.55</v>
      </c>
      <c r="CT744" s="24">
        <v>99</v>
      </c>
      <c r="CU744" s="23">
        <v>0.09</v>
      </c>
      <c r="CV744" s="24">
        <v>66</v>
      </c>
      <c r="CW744" s="23">
        <v>7.93</v>
      </c>
      <c r="CX744" s="24">
        <v>99</v>
      </c>
      <c r="CY744" s="23">
        <v>-0.82</v>
      </c>
      <c r="CZ744" s="24">
        <v>20</v>
      </c>
      <c r="DA744" s="23">
        <v>0.09</v>
      </c>
      <c r="DB744" s="24">
        <v>70</v>
      </c>
      <c r="DC744" s="25">
        <v>10.17</v>
      </c>
      <c r="DD744" s="24">
        <v>90</v>
      </c>
      <c r="DE744" s="25">
        <v>-0.21</v>
      </c>
      <c r="DF744" s="23">
        <v>-2.0499999999999998</v>
      </c>
      <c r="DG744" s="25">
        <v>15.15</v>
      </c>
      <c r="DH744" s="24">
        <v>93</v>
      </c>
      <c r="DI744" s="25">
        <v>5.18</v>
      </c>
      <c r="DJ744" s="24">
        <v>78</v>
      </c>
      <c r="DK744" s="25">
        <v>6.85</v>
      </c>
      <c r="DL744" s="24">
        <v>83</v>
      </c>
      <c r="DM744" s="25">
        <v>23.45</v>
      </c>
      <c r="DN744" s="24">
        <v>95</v>
      </c>
      <c r="DO744" s="25">
        <v>5.18</v>
      </c>
      <c r="DP744" s="24">
        <v>80</v>
      </c>
      <c r="DQ744" s="24">
        <v>2257</v>
      </c>
      <c r="DR744" s="26">
        <v>273</v>
      </c>
      <c r="DS744" s="23">
        <v>13.76</v>
      </c>
      <c r="DT744" s="24">
        <v>680</v>
      </c>
      <c r="DU744" s="26">
        <v>2</v>
      </c>
      <c r="DV744" s="23">
        <v>0.28999999999999998</v>
      </c>
      <c r="DW744" s="24">
        <v>1855</v>
      </c>
      <c r="DX744" s="27">
        <v>0</v>
      </c>
      <c r="DY744" s="23">
        <v>0</v>
      </c>
      <c r="DZ744" s="15" t="s">
        <v>178</v>
      </c>
      <c r="EA744" s="22">
        <v>43598</v>
      </c>
      <c r="EB744" s="17">
        <v>200</v>
      </c>
      <c r="EC744" s="22">
        <v>43466</v>
      </c>
      <c r="ED744" s="15" t="s">
        <v>173</v>
      </c>
      <c r="EE744" s="14" t="str">
        <f>HYPERLINK("https://my.pitchbook.com?c=55616-41", "View company online")</f>
        <v>View company online</v>
      </c>
    </row>
    <row r="745" spans="1:135">
      <c r="A745" s="28" t="s">
        <v>14865</v>
      </c>
      <c r="B745" s="28" t="s">
        <v>14866</v>
      </c>
      <c r="C745" s="28" t="s">
        <v>14867</v>
      </c>
      <c r="D745" s="28" t="s">
        <v>138</v>
      </c>
      <c r="E745" s="28" t="s">
        <v>14868</v>
      </c>
      <c r="F745" s="28" t="s">
        <v>14865</v>
      </c>
      <c r="G745" s="28" t="s">
        <v>14869</v>
      </c>
      <c r="H745" s="28" t="s">
        <v>322</v>
      </c>
      <c r="I745" s="28" t="s">
        <v>807</v>
      </c>
      <c r="J745" s="28" t="s">
        <v>2534</v>
      </c>
      <c r="K745" s="28" t="s">
        <v>6360</v>
      </c>
      <c r="L745" s="28" t="s">
        <v>4503</v>
      </c>
      <c r="M745" s="28" t="s">
        <v>14870</v>
      </c>
      <c r="N745" s="28" t="s">
        <v>147</v>
      </c>
      <c r="O745" s="29">
        <v>22.77</v>
      </c>
      <c r="P745" s="28" t="s">
        <v>148</v>
      </c>
      <c r="Q745" s="28" t="s">
        <v>149</v>
      </c>
      <c r="R745" s="28" t="s">
        <v>174</v>
      </c>
      <c r="S745" s="28" t="s">
        <v>14871</v>
      </c>
      <c r="T745" s="30">
        <v>135</v>
      </c>
      <c r="U745" s="28" t="s">
        <v>14872</v>
      </c>
      <c r="V745" s="28" t="s">
        <v>138</v>
      </c>
      <c r="W745" s="28" t="s">
        <v>138</v>
      </c>
      <c r="X745" s="31">
        <v>2012</v>
      </c>
      <c r="Y745" s="28" t="s">
        <v>138</v>
      </c>
      <c r="Z745" s="28" t="s">
        <v>138</v>
      </c>
      <c r="AA745" s="28" t="s">
        <v>138</v>
      </c>
      <c r="AB745" s="32">
        <v>11</v>
      </c>
      <c r="AC745" s="32" t="s">
        <v>138</v>
      </c>
      <c r="AD745" s="32" t="s">
        <v>138</v>
      </c>
      <c r="AE745" s="32" t="s">
        <v>138</v>
      </c>
      <c r="AF745" s="32" t="s">
        <v>138</v>
      </c>
      <c r="AG745" s="28" t="s">
        <v>419</v>
      </c>
      <c r="AH745" s="32" t="s">
        <v>138</v>
      </c>
      <c r="AI745" s="32" t="s">
        <v>138</v>
      </c>
      <c r="AJ745" s="32" t="s">
        <v>138</v>
      </c>
      <c r="AK745" s="28" t="s">
        <v>14873</v>
      </c>
      <c r="AL745" s="28" t="s">
        <v>14874</v>
      </c>
      <c r="AM745" s="28" t="s">
        <v>14875</v>
      </c>
      <c r="AN745" s="28" t="s">
        <v>14876</v>
      </c>
      <c r="AO745" s="28" t="s">
        <v>14877</v>
      </c>
      <c r="AP745" s="28" t="s">
        <v>14878</v>
      </c>
      <c r="AQ745" s="28" t="s">
        <v>14879</v>
      </c>
      <c r="AR745" s="28" t="s">
        <v>14880</v>
      </c>
      <c r="AS745" s="28" t="s">
        <v>14881</v>
      </c>
      <c r="AT745" s="28" t="s">
        <v>371</v>
      </c>
      <c r="AU745" s="28" t="s">
        <v>14882</v>
      </c>
      <c r="AV745" s="28" t="s">
        <v>162</v>
      </c>
      <c r="AW745" s="28" t="s">
        <v>14877</v>
      </c>
      <c r="AX745" s="28" t="s">
        <v>138</v>
      </c>
      <c r="AY745" s="28" t="s">
        <v>14883</v>
      </c>
      <c r="AZ745" s="28" t="s">
        <v>164</v>
      </c>
      <c r="BA745" s="28" t="s">
        <v>165</v>
      </c>
      <c r="BB745" s="28" t="s">
        <v>14884</v>
      </c>
      <c r="BC745" s="28" t="s">
        <v>14885</v>
      </c>
      <c r="BD745" s="33">
        <v>2</v>
      </c>
      <c r="BE745" s="28" t="s">
        <v>138</v>
      </c>
      <c r="BF745" s="28" t="s">
        <v>138</v>
      </c>
      <c r="BG745" s="28" t="s">
        <v>138</v>
      </c>
      <c r="BH745" s="28" t="s">
        <v>14886</v>
      </c>
      <c r="BI745" s="28" t="s">
        <v>138</v>
      </c>
      <c r="BJ745" s="28" t="s">
        <v>138</v>
      </c>
      <c r="BK745" s="28" t="s">
        <v>14887</v>
      </c>
      <c r="BL745" s="28" t="s">
        <v>138</v>
      </c>
      <c r="BM745" s="34">
        <v>40920</v>
      </c>
      <c r="BN745" s="29">
        <v>0.52</v>
      </c>
      <c r="BO745" s="28" t="s">
        <v>172</v>
      </c>
      <c r="BP745" s="29">
        <v>5</v>
      </c>
      <c r="BQ745" s="28" t="s">
        <v>172</v>
      </c>
      <c r="BR745" s="28" t="s">
        <v>205</v>
      </c>
      <c r="BS745" s="28" t="s">
        <v>720</v>
      </c>
      <c r="BT745" s="28" t="s">
        <v>138</v>
      </c>
      <c r="BU745" s="28" t="s">
        <v>174</v>
      </c>
      <c r="BV745" s="28" t="s">
        <v>177</v>
      </c>
      <c r="BW745" s="28" t="s">
        <v>138</v>
      </c>
      <c r="BX745" s="28" t="s">
        <v>138</v>
      </c>
      <c r="BY745" s="28" t="s">
        <v>175</v>
      </c>
      <c r="BZ745" s="34">
        <v>43516</v>
      </c>
      <c r="CA745" s="29">
        <v>13.3</v>
      </c>
      <c r="CB745" s="28" t="s">
        <v>172</v>
      </c>
      <c r="CC745" s="29">
        <v>62.3</v>
      </c>
      <c r="CD745" s="28" t="s">
        <v>172</v>
      </c>
      <c r="CE745" s="28" t="s">
        <v>173</v>
      </c>
      <c r="CF745" s="28" t="s">
        <v>482</v>
      </c>
      <c r="CG745" s="28" t="s">
        <v>138</v>
      </c>
      <c r="CH745" s="28" t="s">
        <v>174</v>
      </c>
      <c r="CI745" s="28" t="s">
        <v>138</v>
      </c>
      <c r="CJ745" s="28" t="s">
        <v>138</v>
      </c>
      <c r="CK745" s="28" t="s">
        <v>138</v>
      </c>
      <c r="CL745" s="28" t="s">
        <v>175</v>
      </c>
      <c r="CM745" s="34" t="s">
        <v>138</v>
      </c>
      <c r="CN745" s="29" t="s">
        <v>138</v>
      </c>
      <c r="CO745" s="35">
        <v>0.63</v>
      </c>
      <c r="CP745" s="36">
        <v>96</v>
      </c>
      <c r="CQ745" s="35">
        <v>-0.11</v>
      </c>
      <c r="CR745" s="35">
        <v>-14.52</v>
      </c>
      <c r="CS745" s="35">
        <v>0.8</v>
      </c>
      <c r="CT745" s="36">
        <v>96</v>
      </c>
      <c r="CU745" s="35">
        <v>0.47</v>
      </c>
      <c r="CV745" s="36">
        <v>93</v>
      </c>
      <c r="CW745" s="35">
        <v>1.76</v>
      </c>
      <c r="CX745" s="36">
        <v>87</v>
      </c>
      <c r="CY745" s="35">
        <v>-0.16</v>
      </c>
      <c r="CZ745" s="36">
        <v>24</v>
      </c>
      <c r="DA745" s="35">
        <v>0.47</v>
      </c>
      <c r="DB745" s="36">
        <v>93</v>
      </c>
      <c r="DC745" s="37">
        <v>7.94</v>
      </c>
      <c r="DD745" s="36">
        <v>88</v>
      </c>
      <c r="DE745" s="37">
        <v>-0.68</v>
      </c>
      <c r="DF745" s="35">
        <v>-7.93</v>
      </c>
      <c r="DG745" s="37">
        <v>13.34</v>
      </c>
      <c r="DH745" s="36">
        <v>92</v>
      </c>
      <c r="DI745" s="37">
        <v>2.54</v>
      </c>
      <c r="DJ745" s="36">
        <v>67</v>
      </c>
      <c r="DK745" s="37">
        <v>21.58</v>
      </c>
      <c r="DL745" s="36">
        <v>92</v>
      </c>
      <c r="DM745" s="37">
        <v>5.0999999999999996</v>
      </c>
      <c r="DN745" s="36">
        <v>82</v>
      </c>
      <c r="DO745" s="37">
        <v>2.54</v>
      </c>
      <c r="DP745" s="36">
        <v>68</v>
      </c>
      <c r="DQ745" s="36">
        <v>7241</v>
      </c>
      <c r="DR745" s="38">
        <v>482</v>
      </c>
      <c r="DS745" s="35">
        <v>7.13</v>
      </c>
      <c r="DT745" s="36">
        <v>148</v>
      </c>
      <c r="DU745" s="38">
        <v>-1</v>
      </c>
      <c r="DV745" s="35">
        <v>-0.67</v>
      </c>
      <c r="DW745" s="36">
        <v>905</v>
      </c>
      <c r="DX745" s="39">
        <v>3</v>
      </c>
      <c r="DY745" s="35">
        <v>0.33</v>
      </c>
      <c r="DZ745" s="28" t="s">
        <v>178</v>
      </c>
      <c r="EA745" s="34">
        <v>43592</v>
      </c>
      <c r="EB745" s="29">
        <v>62.3</v>
      </c>
      <c r="EC745" s="34">
        <v>43516</v>
      </c>
      <c r="ED745" s="28" t="s">
        <v>173</v>
      </c>
      <c r="EE745" s="40" t="str">
        <f>HYPERLINK("https://my.pitchbook.com?c=57987-28", "View company online")</f>
        <v>View company online</v>
      </c>
    </row>
    <row r="746" spans="1:135">
      <c r="A746" s="15" t="s">
        <v>14888</v>
      </c>
      <c r="B746" s="15" t="s">
        <v>14889</v>
      </c>
      <c r="C746" s="15" t="s">
        <v>138</v>
      </c>
      <c r="D746" s="15" t="s">
        <v>138</v>
      </c>
      <c r="E746" s="15" t="s">
        <v>14890</v>
      </c>
      <c r="F746" s="15" t="s">
        <v>14888</v>
      </c>
      <c r="G746" s="15" t="s">
        <v>14891</v>
      </c>
      <c r="H746" s="15" t="s">
        <v>238</v>
      </c>
      <c r="I746" s="15" t="s">
        <v>239</v>
      </c>
      <c r="J746" s="15" t="s">
        <v>2578</v>
      </c>
      <c r="K746" s="15" t="s">
        <v>14892</v>
      </c>
      <c r="L746" s="15" t="s">
        <v>415</v>
      </c>
      <c r="M746" s="15" t="s">
        <v>14893</v>
      </c>
      <c r="N746" s="15" t="s">
        <v>147</v>
      </c>
      <c r="O746" s="17">
        <v>107.08</v>
      </c>
      <c r="P746" s="15" t="s">
        <v>148</v>
      </c>
      <c r="Q746" s="15" t="s">
        <v>149</v>
      </c>
      <c r="R746" s="15" t="s">
        <v>174</v>
      </c>
      <c r="S746" s="15" t="s">
        <v>14894</v>
      </c>
      <c r="T746" s="18">
        <v>170</v>
      </c>
      <c r="U746" s="15" t="s">
        <v>14895</v>
      </c>
      <c r="V746" s="15" t="s">
        <v>138</v>
      </c>
      <c r="W746" s="15" t="s">
        <v>138</v>
      </c>
      <c r="X746" s="19">
        <v>2013</v>
      </c>
      <c r="Y746" s="15" t="s">
        <v>138</v>
      </c>
      <c r="Z746" s="15" t="s">
        <v>138</v>
      </c>
      <c r="AA746" s="15" t="s">
        <v>138</v>
      </c>
      <c r="AB746" s="20">
        <v>7.5</v>
      </c>
      <c r="AC746" s="20" t="s">
        <v>138</v>
      </c>
      <c r="AD746" s="20" t="s">
        <v>138</v>
      </c>
      <c r="AE746" s="20" t="s">
        <v>138</v>
      </c>
      <c r="AF746" s="20" t="s">
        <v>138</v>
      </c>
      <c r="AG746" s="15" t="s">
        <v>419</v>
      </c>
      <c r="AH746" s="20" t="s">
        <v>138</v>
      </c>
      <c r="AI746" s="20" t="s">
        <v>138</v>
      </c>
      <c r="AJ746" s="20" t="s">
        <v>138</v>
      </c>
      <c r="AK746" s="15" t="s">
        <v>14896</v>
      </c>
      <c r="AL746" s="15" t="s">
        <v>14897</v>
      </c>
      <c r="AM746" s="15" t="s">
        <v>304</v>
      </c>
      <c r="AN746" s="15" t="s">
        <v>14898</v>
      </c>
      <c r="AO746" s="15" t="s">
        <v>138</v>
      </c>
      <c r="AP746" s="15" t="s">
        <v>665</v>
      </c>
      <c r="AQ746" s="15" t="s">
        <v>14899</v>
      </c>
      <c r="AR746" s="15" t="s">
        <v>6298</v>
      </c>
      <c r="AS746" s="15" t="s">
        <v>668</v>
      </c>
      <c r="AT746" s="15" t="s">
        <v>200</v>
      </c>
      <c r="AU746" s="15" t="s">
        <v>138</v>
      </c>
      <c r="AV746" s="15" t="s">
        <v>162</v>
      </c>
      <c r="AW746" s="15" t="s">
        <v>138</v>
      </c>
      <c r="AX746" s="15" t="s">
        <v>138</v>
      </c>
      <c r="AY746" s="15" t="s">
        <v>138</v>
      </c>
      <c r="AZ746" s="15" t="s">
        <v>164</v>
      </c>
      <c r="BA746" s="15" t="s">
        <v>165</v>
      </c>
      <c r="BB746" s="15" t="s">
        <v>14900</v>
      </c>
      <c r="BC746" s="15" t="s">
        <v>14901</v>
      </c>
      <c r="BD746" s="21">
        <v>26</v>
      </c>
      <c r="BE746" s="15" t="s">
        <v>138</v>
      </c>
      <c r="BF746" s="15" t="s">
        <v>138</v>
      </c>
      <c r="BG746" s="15" t="s">
        <v>138</v>
      </c>
      <c r="BH746" s="15" t="s">
        <v>14902</v>
      </c>
      <c r="BI746" s="15" t="s">
        <v>138</v>
      </c>
      <c r="BJ746" s="15" t="s">
        <v>138</v>
      </c>
      <c r="BK746" s="15" t="s">
        <v>14903</v>
      </c>
      <c r="BL746" s="15" t="s">
        <v>1251</v>
      </c>
      <c r="BM746" s="22" t="s">
        <v>138</v>
      </c>
      <c r="BN746" s="17" t="s">
        <v>138</v>
      </c>
      <c r="BO746" s="15" t="s">
        <v>138</v>
      </c>
      <c r="BP746" s="17" t="s">
        <v>138</v>
      </c>
      <c r="BQ746" s="15" t="s">
        <v>138</v>
      </c>
      <c r="BR746" s="15" t="s">
        <v>316</v>
      </c>
      <c r="BS746" s="15" t="s">
        <v>138</v>
      </c>
      <c r="BT746" s="15" t="s">
        <v>138</v>
      </c>
      <c r="BU746" s="15" t="s">
        <v>177</v>
      </c>
      <c r="BV746" s="15" t="s">
        <v>138</v>
      </c>
      <c r="BW746" s="15" t="s">
        <v>138</v>
      </c>
      <c r="BX746" s="15" t="s">
        <v>138</v>
      </c>
      <c r="BY746" s="15" t="s">
        <v>175</v>
      </c>
      <c r="BZ746" s="22">
        <v>42993</v>
      </c>
      <c r="CA746" s="17">
        <v>60</v>
      </c>
      <c r="CB746" s="15" t="s">
        <v>172</v>
      </c>
      <c r="CC746" s="17">
        <v>450</v>
      </c>
      <c r="CD746" s="15" t="s">
        <v>172</v>
      </c>
      <c r="CE746" s="15" t="s">
        <v>173</v>
      </c>
      <c r="CF746" s="15" t="s">
        <v>317</v>
      </c>
      <c r="CG746" s="15" t="s">
        <v>138</v>
      </c>
      <c r="CH746" s="15" t="s">
        <v>174</v>
      </c>
      <c r="CI746" s="15" t="s">
        <v>138</v>
      </c>
      <c r="CJ746" s="15" t="s">
        <v>138</v>
      </c>
      <c r="CK746" s="15" t="s">
        <v>138</v>
      </c>
      <c r="CL746" s="15" t="s">
        <v>175</v>
      </c>
      <c r="CM746" s="22" t="s">
        <v>138</v>
      </c>
      <c r="CN746" s="17" t="s">
        <v>138</v>
      </c>
      <c r="CO746" s="23">
        <v>0.83</v>
      </c>
      <c r="CP746" s="24">
        <v>97</v>
      </c>
      <c r="CQ746" s="23">
        <v>-0.01</v>
      </c>
      <c r="CR746" s="23">
        <v>-1.01</v>
      </c>
      <c r="CS746" s="23">
        <v>0.3</v>
      </c>
      <c r="CT746" s="24">
        <v>95</v>
      </c>
      <c r="CU746" s="23">
        <v>0.45</v>
      </c>
      <c r="CV746" s="24">
        <v>92</v>
      </c>
      <c r="CW746" s="23">
        <v>0.66</v>
      </c>
      <c r="CX746" s="24">
        <v>83</v>
      </c>
      <c r="CY746" s="23">
        <v>-0.06</v>
      </c>
      <c r="CZ746" s="24">
        <v>24</v>
      </c>
      <c r="DA746" s="23">
        <v>0.45</v>
      </c>
      <c r="DB746" s="24">
        <v>93</v>
      </c>
      <c r="DC746" s="25">
        <v>2755.35</v>
      </c>
      <c r="DD746" s="24">
        <v>100</v>
      </c>
      <c r="DE746" s="25">
        <v>-233.02</v>
      </c>
      <c r="DF746" s="23">
        <v>-7.8</v>
      </c>
      <c r="DG746" s="25">
        <v>10122.469999999999</v>
      </c>
      <c r="DH746" s="24">
        <v>100</v>
      </c>
      <c r="DI746" s="25">
        <v>307.47000000000003</v>
      </c>
      <c r="DJ746" s="24">
        <v>99</v>
      </c>
      <c r="DK746" s="25">
        <v>16192.73</v>
      </c>
      <c r="DL746" s="24">
        <v>100</v>
      </c>
      <c r="DM746" s="25">
        <v>4052.21</v>
      </c>
      <c r="DN746" s="24">
        <v>100</v>
      </c>
      <c r="DO746" s="25">
        <v>307.47000000000003</v>
      </c>
      <c r="DP746" s="24">
        <v>99</v>
      </c>
      <c r="DQ746" s="24">
        <v>5543510</v>
      </c>
      <c r="DR746" s="26">
        <v>31794</v>
      </c>
      <c r="DS746" s="23">
        <v>0.57999999999999996</v>
      </c>
      <c r="DT746" s="24">
        <v>117191</v>
      </c>
      <c r="DU746" s="26">
        <v>861</v>
      </c>
      <c r="DV746" s="23">
        <v>0.74</v>
      </c>
      <c r="DW746" s="24">
        <v>109801</v>
      </c>
      <c r="DX746" s="27">
        <v>657</v>
      </c>
      <c r="DY746" s="23">
        <v>0.6</v>
      </c>
      <c r="DZ746" s="15" t="s">
        <v>178</v>
      </c>
      <c r="EA746" s="22">
        <v>43557</v>
      </c>
      <c r="EB746" s="17">
        <v>450</v>
      </c>
      <c r="EC746" s="22">
        <v>42993</v>
      </c>
      <c r="ED746" s="15" t="s">
        <v>173</v>
      </c>
      <c r="EE746" s="14" t="str">
        <f>HYPERLINK("https://my.pitchbook.com?c=58231-45", "View company online")</f>
        <v>View company online</v>
      </c>
    </row>
    <row r="747" spans="1:135">
      <c r="A747" s="28" t="s">
        <v>14904</v>
      </c>
      <c r="B747" s="28" t="s">
        <v>14905</v>
      </c>
      <c r="C747" s="28" t="s">
        <v>14906</v>
      </c>
      <c r="D747" s="28" t="s">
        <v>138</v>
      </c>
      <c r="E747" s="28" t="s">
        <v>14907</v>
      </c>
      <c r="F747" s="28" t="s">
        <v>14904</v>
      </c>
      <c r="G747" s="28" t="s">
        <v>14908</v>
      </c>
      <c r="H747" s="28" t="s">
        <v>183</v>
      </c>
      <c r="I747" s="28" t="s">
        <v>725</v>
      </c>
      <c r="J747" s="28" t="s">
        <v>8492</v>
      </c>
      <c r="K747" s="28" t="s">
        <v>14909</v>
      </c>
      <c r="L747" s="28" t="s">
        <v>14910</v>
      </c>
      <c r="M747" s="28" t="s">
        <v>14911</v>
      </c>
      <c r="N747" s="28" t="s">
        <v>1452</v>
      </c>
      <c r="O747" s="29">
        <v>139.68</v>
      </c>
      <c r="P747" s="28" t="s">
        <v>148</v>
      </c>
      <c r="Q747" s="28" t="s">
        <v>149</v>
      </c>
      <c r="R747" s="28" t="s">
        <v>1652</v>
      </c>
      <c r="S747" s="28" t="s">
        <v>14912</v>
      </c>
      <c r="T747" s="30">
        <v>83</v>
      </c>
      <c r="U747" s="28" t="s">
        <v>14913</v>
      </c>
      <c r="V747" s="28" t="s">
        <v>138</v>
      </c>
      <c r="W747" s="28" t="s">
        <v>138</v>
      </c>
      <c r="X747" s="31">
        <v>2002</v>
      </c>
      <c r="Y747" s="28" t="s">
        <v>138</v>
      </c>
      <c r="Z747" s="28" t="s">
        <v>138</v>
      </c>
      <c r="AA747" s="28" t="s">
        <v>138</v>
      </c>
      <c r="AB747" s="32">
        <v>25</v>
      </c>
      <c r="AC747" s="32" t="s">
        <v>138</v>
      </c>
      <c r="AD747" s="32" t="s">
        <v>138</v>
      </c>
      <c r="AE747" s="32" t="s">
        <v>138</v>
      </c>
      <c r="AF747" s="32" t="s">
        <v>138</v>
      </c>
      <c r="AG747" s="28" t="s">
        <v>14914</v>
      </c>
      <c r="AH747" s="32" t="s">
        <v>138</v>
      </c>
      <c r="AI747" s="32" t="s">
        <v>138</v>
      </c>
      <c r="AJ747" s="32" t="s">
        <v>138</v>
      </c>
      <c r="AK747" s="28" t="s">
        <v>14915</v>
      </c>
      <c r="AL747" s="28" t="s">
        <v>14916</v>
      </c>
      <c r="AM747" s="28" t="s">
        <v>2794</v>
      </c>
      <c r="AN747" s="28" t="s">
        <v>14917</v>
      </c>
      <c r="AO747" s="28" t="s">
        <v>14918</v>
      </c>
      <c r="AP747" s="28" t="s">
        <v>2002</v>
      </c>
      <c r="AQ747" s="28" t="s">
        <v>14919</v>
      </c>
      <c r="AR747" s="28" t="s">
        <v>6298</v>
      </c>
      <c r="AS747" s="28" t="s">
        <v>2005</v>
      </c>
      <c r="AT747" s="28" t="s">
        <v>200</v>
      </c>
      <c r="AU747" s="28" t="s">
        <v>2006</v>
      </c>
      <c r="AV747" s="28" t="s">
        <v>162</v>
      </c>
      <c r="AW747" s="28" t="s">
        <v>14918</v>
      </c>
      <c r="AX747" s="28" t="s">
        <v>14920</v>
      </c>
      <c r="AY747" s="28" t="s">
        <v>14921</v>
      </c>
      <c r="AZ747" s="28" t="s">
        <v>164</v>
      </c>
      <c r="BA747" s="28" t="s">
        <v>165</v>
      </c>
      <c r="BB747" s="28" t="s">
        <v>14922</v>
      </c>
      <c r="BC747" s="28" t="s">
        <v>14923</v>
      </c>
      <c r="BD747" s="33">
        <v>16</v>
      </c>
      <c r="BE747" s="28" t="s">
        <v>138</v>
      </c>
      <c r="BF747" s="28" t="s">
        <v>138</v>
      </c>
      <c r="BG747" s="28" t="s">
        <v>138</v>
      </c>
      <c r="BH747" s="28" t="s">
        <v>14924</v>
      </c>
      <c r="BI747" s="28" t="s">
        <v>138</v>
      </c>
      <c r="BJ747" s="28" t="s">
        <v>138</v>
      </c>
      <c r="BK747" s="28" t="s">
        <v>14925</v>
      </c>
      <c r="BL747" s="28" t="s">
        <v>14926</v>
      </c>
      <c r="BM747" s="34">
        <v>37956</v>
      </c>
      <c r="BN747" s="29">
        <v>4.22</v>
      </c>
      <c r="BO747" s="28" t="s">
        <v>172</v>
      </c>
      <c r="BP747" s="29" t="s">
        <v>138</v>
      </c>
      <c r="BQ747" s="28" t="s">
        <v>138</v>
      </c>
      <c r="BR747" s="28" t="s">
        <v>205</v>
      </c>
      <c r="BS747" s="28" t="s">
        <v>206</v>
      </c>
      <c r="BT747" s="28" t="s">
        <v>138</v>
      </c>
      <c r="BU747" s="28" t="s">
        <v>174</v>
      </c>
      <c r="BV747" s="28" t="s">
        <v>138</v>
      </c>
      <c r="BW747" s="28" t="s">
        <v>138</v>
      </c>
      <c r="BX747" s="28" t="s">
        <v>138</v>
      </c>
      <c r="BY747" s="28" t="s">
        <v>175</v>
      </c>
      <c r="BZ747" s="34">
        <v>43137</v>
      </c>
      <c r="CA747" s="29">
        <v>8</v>
      </c>
      <c r="CB747" s="28" t="s">
        <v>172</v>
      </c>
      <c r="CC747" s="29" t="s">
        <v>138</v>
      </c>
      <c r="CD747" s="28" t="s">
        <v>138</v>
      </c>
      <c r="CE747" s="28" t="s">
        <v>1326</v>
      </c>
      <c r="CF747" s="28" t="s">
        <v>138</v>
      </c>
      <c r="CG747" s="28" t="s">
        <v>138</v>
      </c>
      <c r="CH747" s="28" t="s">
        <v>1327</v>
      </c>
      <c r="CI747" s="28" t="s">
        <v>1397</v>
      </c>
      <c r="CJ747" s="28" t="s">
        <v>138</v>
      </c>
      <c r="CK747" s="28" t="s">
        <v>138</v>
      </c>
      <c r="CL747" s="28" t="s">
        <v>175</v>
      </c>
      <c r="CM747" s="34">
        <v>43137</v>
      </c>
      <c r="CN747" s="29" t="s">
        <v>138</v>
      </c>
      <c r="CO747" s="35">
        <v>-0.24</v>
      </c>
      <c r="CP747" s="36">
        <v>19</v>
      </c>
      <c r="CQ747" s="35">
        <v>0</v>
      </c>
      <c r="CR747" s="35">
        <v>-0.86</v>
      </c>
      <c r="CS747" s="35">
        <v>-0.7</v>
      </c>
      <c r="CT747" s="36">
        <v>18</v>
      </c>
      <c r="CU747" s="35">
        <v>-0.01</v>
      </c>
      <c r="CV747" s="36">
        <v>20</v>
      </c>
      <c r="CW747" s="35">
        <v>0</v>
      </c>
      <c r="CX747" s="36">
        <v>13</v>
      </c>
      <c r="CY747" s="35">
        <v>-1.4</v>
      </c>
      <c r="CZ747" s="36">
        <v>16</v>
      </c>
      <c r="DA747" s="35">
        <v>0</v>
      </c>
      <c r="DB747" s="36">
        <v>22</v>
      </c>
      <c r="DC747" s="37">
        <v>3.69</v>
      </c>
      <c r="DD747" s="36">
        <v>78</v>
      </c>
      <c r="DE747" s="37">
        <v>-0.02</v>
      </c>
      <c r="DF747" s="35">
        <v>-0.47</v>
      </c>
      <c r="DG747" s="37">
        <v>5.38</v>
      </c>
      <c r="DH747" s="36">
        <v>83</v>
      </c>
      <c r="DI747" s="37">
        <v>5.46</v>
      </c>
      <c r="DJ747" s="36">
        <v>78</v>
      </c>
      <c r="DK747" s="37">
        <v>2.14</v>
      </c>
      <c r="DL747" s="36">
        <v>66</v>
      </c>
      <c r="DM747" s="37">
        <v>8.6199999999999992</v>
      </c>
      <c r="DN747" s="36">
        <v>87</v>
      </c>
      <c r="DO747" s="37">
        <v>8.84</v>
      </c>
      <c r="DP747" s="36">
        <v>86</v>
      </c>
      <c r="DQ747" s="36">
        <v>753</v>
      </c>
      <c r="DR747" s="38">
        <v>-60</v>
      </c>
      <c r="DS747" s="35">
        <v>-7.38</v>
      </c>
      <c r="DT747" s="36">
        <v>249</v>
      </c>
      <c r="DU747" s="38">
        <v>4</v>
      </c>
      <c r="DV747" s="35">
        <v>1.63</v>
      </c>
      <c r="DW747" s="36">
        <v>3165</v>
      </c>
      <c r="DX747" s="39">
        <v>3</v>
      </c>
      <c r="DY747" s="35">
        <v>0.09</v>
      </c>
      <c r="DZ747" s="28" t="s">
        <v>178</v>
      </c>
      <c r="EA747" s="34">
        <v>43622</v>
      </c>
      <c r="EB747" s="29">
        <v>86.88</v>
      </c>
      <c r="EC747" s="34">
        <v>41660</v>
      </c>
      <c r="ED747" s="28" t="s">
        <v>173</v>
      </c>
      <c r="EE747" s="40" t="str">
        <f>HYPERLINK("https://my.pitchbook.com?c=50087-71", "View company online")</f>
        <v>View company online</v>
      </c>
    </row>
    <row r="748" spans="1:135">
      <c r="A748" s="15" t="s">
        <v>14927</v>
      </c>
      <c r="B748" s="15" t="s">
        <v>14928</v>
      </c>
      <c r="C748" s="15" t="s">
        <v>14929</v>
      </c>
      <c r="D748" s="15" t="s">
        <v>138</v>
      </c>
      <c r="E748" s="15" t="s">
        <v>14930</v>
      </c>
      <c r="F748" s="15" t="s">
        <v>14927</v>
      </c>
      <c r="G748" s="15" t="s">
        <v>14931</v>
      </c>
      <c r="H748" s="15" t="s">
        <v>322</v>
      </c>
      <c r="I748" s="15" t="s">
        <v>323</v>
      </c>
      <c r="J748" s="15" t="s">
        <v>324</v>
      </c>
      <c r="K748" s="15" t="s">
        <v>1543</v>
      </c>
      <c r="L748" s="15" t="s">
        <v>3701</v>
      </c>
      <c r="M748" s="15" t="s">
        <v>14932</v>
      </c>
      <c r="N748" s="15" t="s">
        <v>147</v>
      </c>
      <c r="O748" s="17">
        <v>7.7</v>
      </c>
      <c r="P748" s="15" t="s">
        <v>148</v>
      </c>
      <c r="Q748" s="15" t="s">
        <v>149</v>
      </c>
      <c r="R748" s="15" t="s">
        <v>174</v>
      </c>
      <c r="S748" s="15" t="s">
        <v>14933</v>
      </c>
      <c r="T748" s="18" t="s">
        <v>138</v>
      </c>
      <c r="U748" s="15" t="s">
        <v>138</v>
      </c>
      <c r="V748" s="15" t="s">
        <v>138</v>
      </c>
      <c r="W748" s="15" t="s">
        <v>138</v>
      </c>
      <c r="X748" s="19">
        <v>2010</v>
      </c>
      <c r="Y748" s="15" t="s">
        <v>138</v>
      </c>
      <c r="Z748" s="15" t="s">
        <v>138</v>
      </c>
      <c r="AA748" s="15" t="s">
        <v>138</v>
      </c>
      <c r="AB748" s="20" t="s">
        <v>138</v>
      </c>
      <c r="AC748" s="20" t="s">
        <v>138</v>
      </c>
      <c r="AD748" s="20" t="s">
        <v>138</v>
      </c>
      <c r="AE748" s="20" t="s">
        <v>138</v>
      </c>
      <c r="AF748" s="20" t="s">
        <v>138</v>
      </c>
      <c r="AG748" s="15" t="s">
        <v>138</v>
      </c>
      <c r="AH748" s="20" t="s">
        <v>138</v>
      </c>
      <c r="AI748" s="20" t="s">
        <v>138</v>
      </c>
      <c r="AJ748" s="20" t="s">
        <v>138</v>
      </c>
      <c r="AK748" s="15" t="s">
        <v>14934</v>
      </c>
      <c r="AL748" s="15" t="s">
        <v>14935</v>
      </c>
      <c r="AM748" s="15" t="s">
        <v>304</v>
      </c>
      <c r="AN748" s="15" t="s">
        <v>14936</v>
      </c>
      <c r="AO748" s="15" t="s">
        <v>14937</v>
      </c>
      <c r="AP748" s="15" t="s">
        <v>4898</v>
      </c>
      <c r="AQ748" s="15" t="s">
        <v>14938</v>
      </c>
      <c r="AR748" s="15" t="s">
        <v>1030</v>
      </c>
      <c r="AS748" s="15" t="s">
        <v>4900</v>
      </c>
      <c r="AT748" s="15" t="s">
        <v>200</v>
      </c>
      <c r="AU748" s="15" t="s">
        <v>10934</v>
      </c>
      <c r="AV748" s="15" t="s">
        <v>162</v>
      </c>
      <c r="AW748" s="15" t="s">
        <v>14937</v>
      </c>
      <c r="AX748" s="15" t="s">
        <v>138</v>
      </c>
      <c r="AY748" s="15" t="s">
        <v>138</v>
      </c>
      <c r="AZ748" s="15" t="s">
        <v>164</v>
      </c>
      <c r="BA748" s="15" t="s">
        <v>165</v>
      </c>
      <c r="BB748" s="15" t="s">
        <v>14939</v>
      </c>
      <c r="BC748" s="15" t="s">
        <v>14940</v>
      </c>
      <c r="BD748" s="21">
        <v>16</v>
      </c>
      <c r="BE748" s="15" t="s">
        <v>138</v>
      </c>
      <c r="BF748" s="15" t="s">
        <v>138</v>
      </c>
      <c r="BG748" s="15" t="s">
        <v>138</v>
      </c>
      <c r="BH748" s="15" t="s">
        <v>14941</v>
      </c>
      <c r="BI748" s="15" t="s">
        <v>138</v>
      </c>
      <c r="BJ748" s="15" t="s">
        <v>138</v>
      </c>
      <c r="BK748" s="15" t="s">
        <v>14942</v>
      </c>
      <c r="BL748" s="15" t="s">
        <v>14942</v>
      </c>
      <c r="BM748" s="22">
        <v>40909</v>
      </c>
      <c r="BN748" s="17" t="s">
        <v>138</v>
      </c>
      <c r="BO748" s="15" t="s">
        <v>138</v>
      </c>
      <c r="BP748" s="17" t="s">
        <v>138</v>
      </c>
      <c r="BQ748" s="15" t="s">
        <v>138</v>
      </c>
      <c r="BR748" s="15" t="s">
        <v>316</v>
      </c>
      <c r="BS748" s="15" t="s">
        <v>138</v>
      </c>
      <c r="BT748" s="15" t="s">
        <v>138</v>
      </c>
      <c r="BU748" s="15" t="s">
        <v>177</v>
      </c>
      <c r="BV748" s="15" t="s">
        <v>138</v>
      </c>
      <c r="BW748" s="15" t="s">
        <v>138</v>
      </c>
      <c r="BX748" s="15" t="s">
        <v>138</v>
      </c>
      <c r="BY748" s="15" t="s">
        <v>175</v>
      </c>
      <c r="BZ748" s="22">
        <v>43399</v>
      </c>
      <c r="CA748" s="17">
        <v>3</v>
      </c>
      <c r="CB748" s="15" t="s">
        <v>172</v>
      </c>
      <c r="CC748" s="17" t="s">
        <v>138</v>
      </c>
      <c r="CD748" s="15" t="s">
        <v>138</v>
      </c>
      <c r="CE748" s="15" t="s">
        <v>173</v>
      </c>
      <c r="CF748" s="15" t="s">
        <v>138</v>
      </c>
      <c r="CG748" s="15" t="s">
        <v>138</v>
      </c>
      <c r="CH748" s="15" t="s">
        <v>174</v>
      </c>
      <c r="CI748" s="15" t="s">
        <v>138</v>
      </c>
      <c r="CJ748" s="15" t="s">
        <v>138</v>
      </c>
      <c r="CK748" s="15" t="s">
        <v>138</v>
      </c>
      <c r="CL748" s="15" t="s">
        <v>175</v>
      </c>
      <c r="CM748" s="22" t="s">
        <v>138</v>
      </c>
      <c r="CN748" s="17" t="s">
        <v>138</v>
      </c>
      <c r="CO748" s="23">
        <v>1.68</v>
      </c>
      <c r="CP748" s="24">
        <v>99</v>
      </c>
      <c r="CQ748" s="23">
        <v>-0.02</v>
      </c>
      <c r="CR748" s="23">
        <v>-0.92</v>
      </c>
      <c r="CS748" s="23">
        <v>3.38</v>
      </c>
      <c r="CT748" s="24">
        <v>99</v>
      </c>
      <c r="CU748" s="23">
        <v>-0.02</v>
      </c>
      <c r="CV748" s="24">
        <v>17</v>
      </c>
      <c r="CW748" s="23">
        <v>6.39</v>
      </c>
      <c r="CX748" s="24">
        <v>97</v>
      </c>
      <c r="CY748" s="23">
        <v>0.38</v>
      </c>
      <c r="CZ748" s="24">
        <v>98</v>
      </c>
      <c r="DA748" s="23">
        <v>-0.03</v>
      </c>
      <c r="DB748" s="24">
        <v>17</v>
      </c>
      <c r="DC748" s="25">
        <v>10.89</v>
      </c>
      <c r="DD748" s="24">
        <v>91</v>
      </c>
      <c r="DE748" s="25">
        <v>-0.24</v>
      </c>
      <c r="DF748" s="23">
        <v>-2.1800000000000002</v>
      </c>
      <c r="DG748" s="25">
        <v>14.34</v>
      </c>
      <c r="DH748" s="24">
        <v>93</v>
      </c>
      <c r="DI748" s="25">
        <v>7.43</v>
      </c>
      <c r="DJ748" s="24">
        <v>82</v>
      </c>
      <c r="DK748" s="25">
        <v>8.68</v>
      </c>
      <c r="DL748" s="24">
        <v>85</v>
      </c>
      <c r="DM748" s="25">
        <v>20</v>
      </c>
      <c r="DN748" s="24">
        <v>94</v>
      </c>
      <c r="DO748" s="25">
        <v>9.76</v>
      </c>
      <c r="DP748" s="24">
        <v>87</v>
      </c>
      <c r="DQ748" s="24">
        <v>2950</v>
      </c>
      <c r="DR748" s="26">
        <v>82</v>
      </c>
      <c r="DS748" s="23">
        <v>2.86</v>
      </c>
      <c r="DT748" s="24">
        <v>579</v>
      </c>
      <c r="DU748" s="26">
        <v>4</v>
      </c>
      <c r="DV748" s="23">
        <v>0.7</v>
      </c>
      <c r="DW748" s="24">
        <v>3495</v>
      </c>
      <c r="DX748" s="27">
        <v>-4</v>
      </c>
      <c r="DY748" s="23">
        <v>-0.11</v>
      </c>
      <c r="DZ748" s="15" t="s">
        <v>178</v>
      </c>
      <c r="EA748" s="22">
        <v>43622</v>
      </c>
      <c r="EB748" s="17">
        <v>14.05</v>
      </c>
      <c r="EC748" s="22">
        <v>42249</v>
      </c>
      <c r="ED748" s="15" t="s">
        <v>173</v>
      </c>
      <c r="EE748" s="14" t="str">
        <f>HYPERLINK("https://my.pitchbook.com?c=55920-43", "View company online")</f>
        <v>View company online</v>
      </c>
    </row>
    <row r="749" spans="1:135">
      <c r="A749" s="28" t="s">
        <v>14943</v>
      </c>
      <c r="B749" s="28" t="s">
        <v>14944</v>
      </c>
      <c r="C749" s="28" t="s">
        <v>138</v>
      </c>
      <c r="D749" s="28" t="s">
        <v>138</v>
      </c>
      <c r="E749" s="28" t="s">
        <v>138</v>
      </c>
      <c r="F749" s="28" t="s">
        <v>14943</v>
      </c>
      <c r="G749" s="28" t="s">
        <v>14945</v>
      </c>
      <c r="H749" s="28" t="s">
        <v>238</v>
      </c>
      <c r="I749" s="28" t="s">
        <v>749</v>
      </c>
      <c r="J749" s="28" t="s">
        <v>750</v>
      </c>
      <c r="K749" s="28" t="s">
        <v>14946</v>
      </c>
      <c r="L749" s="28" t="s">
        <v>4263</v>
      </c>
      <c r="M749" s="28" t="s">
        <v>14947</v>
      </c>
      <c r="N749" s="28" t="s">
        <v>147</v>
      </c>
      <c r="O749" s="29">
        <v>3</v>
      </c>
      <c r="P749" s="28" t="s">
        <v>148</v>
      </c>
      <c r="Q749" s="28" t="s">
        <v>149</v>
      </c>
      <c r="R749" s="28" t="s">
        <v>174</v>
      </c>
      <c r="S749" s="28" t="s">
        <v>14948</v>
      </c>
      <c r="T749" s="30" t="s">
        <v>138</v>
      </c>
      <c r="U749" s="28" t="s">
        <v>138</v>
      </c>
      <c r="V749" s="28" t="s">
        <v>138</v>
      </c>
      <c r="W749" s="28" t="s">
        <v>138</v>
      </c>
      <c r="X749" s="31">
        <v>2013</v>
      </c>
      <c r="Y749" s="28" t="s">
        <v>138</v>
      </c>
      <c r="Z749" s="28" t="s">
        <v>138</v>
      </c>
      <c r="AA749" s="28" t="s">
        <v>138</v>
      </c>
      <c r="AB749" s="32" t="s">
        <v>138</v>
      </c>
      <c r="AC749" s="32" t="s">
        <v>138</v>
      </c>
      <c r="AD749" s="32" t="s">
        <v>138</v>
      </c>
      <c r="AE749" s="32" t="s">
        <v>138</v>
      </c>
      <c r="AF749" s="32" t="s">
        <v>138</v>
      </c>
      <c r="AG749" s="28" t="s">
        <v>138</v>
      </c>
      <c r="AH749" s="32" t="s">
        <v>138</v>
      </c>
      <c r="AI749" s="32" t="s">
        <v>138</v>
      </c>
      <c r="AJ749" s="32" t="s">
        <v>138</v>
      </c>
      <c r="AK749" s="28" t="s">
        <v>14949</v>
      </c>
      <c r="AL749" s="28" t="s">
        <v>14950</v>
      </c>
      <c r="AM749" s="28" t="s">
        <v>304</v>
      </c>
      <c r="AN749" s="28" t="s">
        <v>14951</v>
      </c>
      <c r="AO749" s="28" t="s">
        <v>138</v>
      </c>
      <c r="AP749" s="28" t="s">
        <v>14952</v>
      </c>
      <c r="AQ749" s="28" t="s">
        <v>14953</v>
      </c>
      <c r="AR749" s="28" t="s">
        <v>138</v>
      </c>
      <c r="AS749" s="28" t="s">
        <v>14954</v>
      </c>
      <c r="AT749" s="28" t="s">
        <v>1146</v>
      </c>
      <c r="AU749" s="28" t="s">
        <v>14955</v>
      </c>
      <c r="AV749" s="28" t="s">
        <v>162</v>
      </c>
      <c r="AW749" s="28" t="s">
        <v>138</v>
      </c>
      <c r="AX749" s="28" t="s">
        <v>14956</v>
      </c>
      <c r="AY749" s="28" t="s">
        <v>14957</v>
      </c>
      <c r="AZ749" s="28" t="s">
        <v>164</v>
      </c>
      <c r="BA749" s="28" t="s">
        <v>165</v>
      </c>
      <c r="BB749" s="28" t="s">
        <v>14958</v>
      </c>
      <c r="BC749" s="28" t="s">
        <v>14959</v>
      </c>
      <c r="BD749" s="33">
        <v>6</v>
      </c>
      <c r="BE749" s="28" t="s">
        <v>138</v>
      </c>
      <c r="BF749" s="28" t="s">
        <v>138</v>
      </c>
      <c r="BG749" s="28" t="s">
        <v>138</v>
      </c>
      <c r="BH749" s="28" t="s">
        <v>14960</v>
      </c>
      <c r="BI749" s="28" t="s">
        <v>138</v>
      </c>
      <c r="BJ749" s="28" t="s">
        <v>138</v>
      </c>
      <c r="BK749" s="28" t="s">
        <v>138</v>
      </c>
      <c r="BL749" s="28" t="s">
        <v>6179</v>
      </c>
      <c r="BM749" s="34">
        <v>42136</v>
      </c>
      <c r="BN749" s="29" t="s">
        <v>138</v>
      </c>
      <c r="BO749" s="28" t="s">
        <v>138</v>
      </c>
      <c r="BP749" s="29" t="s">
        <v>138</v>
      </c>
      <c r="BQ749" s="28" t="s">
        <v>138</v>
      </c>
      <c r="BR749" s="28" t="s">
        <v>205</v>
      </c>
      <c r="BS749" s="28" t="s">
        <v>138</v>
      </c>
      <c r="BT749" s="28" t="s">
        <v>138</v>
      </c>
      <c r="BU749" s="28" t="s">
        <v>174</v>
      </c>
      <c r="BV749" s="28" t="s">
        <v>138</v>
      </c>
      <c r="BW749" s="28" t="s">
        <v>138</v>
      </c>
      <c r="BX749" s="28" t="s">
        <v>138</v>
      </c>
      <c r="BY749" s="28" t="s">
        <v>175</v>
      </c>
      <c r="BZ749" s="34">
        <v>42668</v>
      </c>
      <c r="CA749" s="29">
        <v>3</v>
      </c>
      <c r="CB749" s="28" t="s">
        <v>172</v>
      </c>
      <c r="CC749" s="29" t="s">
        <v>138</v>
      </c>
      <c r="CD749" s="28" t="s">
        <v>138</v>
      </c>
      <c r="CE749" s="28" t="s">
        <v>205</v>
      </c>
      <c r="CF749" s="28" t="s">
        <v>138</v>
      </c>
      <c r="CG749" s="28" t="s">
        <v>138</v>
      </c>
      <c r="CH749" s="28" t="s">
        <v>174</v>
      </c>
      <c r="CI749" s="28" t="s">
        <v>138</v>
      </c>
      <c r="CJ749" s="28" t="s">
        <v>138</v>
      </c>
      <c r="CK749" s="28" t="s">
        <v>138</v>
      </c>
      <c r="CL749" s="28" t="s">
        <v>175</v>
      </c>
      <c r="CM749" s="34" t="s">
        <v>138</v>
      </c>
      <c r="CN749" s="29" t="s">
        <v>138</v>
      </c>
      <c r="CO749" s="35">
        <v>0</v>
      </c>
      <c r="CP749" s="36">
        <v>26</v>
      </c>
      <c r="CQ749" s="35">
        <v>-0.02</v>
      </c>
      <c r="CR749" s="35">
        <v>-100</v>
      </c>
      <c r="CS749" s="35">
        <v>0</v>
      </c>
      <c r="CT749" s="36">
        <v>23</v>
      </c>
      <c r="CU749" s="35">
        <v>0</v>
      </c>
      <c r="CV749" s="36">
        <v>22</v>
      </c>
      <c r="CW749" s="35">
        <v>0</v>
      </c>
      <c r="CX749" s="36">
        <v>13</v>
      </c>
      <c r="CY749" s="35" t="s">
        <v>138</v>
      </c>
      <c r="CZ749" s="36" t="s">
        <v>138</v>
      </c>
      <c r="DA749" s="35">
        <v>0</v>
      </c>
      <c r="DB749" s="36">
        <v>22</v>
      </c>
      <c r="DC749" s="37">
        <v>0.55000000000000004</v>
      </c>
      <c r="DD749" s="36">
        <v>36</v>
      </c>
      <c r="DE749" s="37">
        <v>-0.13</v>
      </c>
      <c r="DF749" s="35">
        <v>-19.05</v>
      </c>
      <c r="DG749" s="37">
        <v>1.07</v>
      </c>
      <c r="DH749" s="36">
        <v>52</v>
      </c>
      <c r="DI749" s="37">
        <v>0.04</v>
      </c>
      <c r="DJ749" s="36">
        <v>7</v>
      </c>
      <c r="DK749" s="37">
        <v>1.07</v>
      </c>
      <c r="DL749" s="36">
        <v>52</v>
      </c>
      <c r="DM749" s="37" t="s">
        <v>138</v>
      </c>
      <c r="DN749" s="36" t="s">
        <v>138</v>
      </c>
      <c r="DO749" s="37">
        <v>0.04</v>
      </c>
      <c r="DP749" s="36">
        <v>8</v>
      </c>
      <c r="DQ749" s="36">
        <v>364</v>
      </c>
      <c r="DR749" s="38">
        <v>12</v>
      </c>
      <c r="DS749" s="35">
        <v>3.41</v>
      </c>
      <c r="DT749" s="36" t="s">
        <v>138</v>
      </c>
      <c r="DU749" s="38" t="s">
        <v>138</v>
      </c>
      <c r="DV749" s="35" t="s">
        <v>138</v>
      </c>
      <c r="DW749" s="36">
        <v>13</v>
      </c>
      <c r="DX749" s="39">
        <v>0</v>
      </c>
      <c r="DY749" s="35">
        <v>0</v>
      </c>
      <c r="DZ749" s="28" t="s">
        <v>178</v>
      </c>
      <c r="EA749" s="34">
        <v>43508</v>
      </c>
      <c r="EB749" s="29" t="s">
        <v>138</v>
      </c>
      <c r="EC749" s="34" t="s">
        <v>138</v>
      </c>
      <c r="ED749" s="28" t="s">
        <v>138</v>
      </c>
      <c r="EE749" s="40" t="str">
        <f>HYPERLINK("https://my.pitchbook.com?c=113039-74", "View company online")</f>
        <v>View company online</v>
      </c>
    </row>
    <row r="750" spans="1:135">
      <c r="A750" s="15" t="s">
        <v>14961</v>
      </c>
      <c r="B750" s="15" t="s">
        <v>14962</v>
      </c>
      <c r="C750" s="15" t="s">
        <v>138</v>
      </c>
      <c r="D750" s="15" t="s">
        <v>138</v>
      </c>
      <c r="E750" s="15" t="s">
        <v>138</v>
      </c>
      <c r="F750" s="15" t="s">
        <v>14961</v>
      </c>
      <c r="G750" s="15" t="s">
        <v>14963</v>
      </c>
      <c r="H750" s="15" t="s">
        <v>141</v>
      </c>
      <c r="I750" s="15" t="s">
        <v>142</v>
      </c>
      <c r="J750" s="15" t="s">
        <v>4042</v>
      </c>
      <c r="K750" s="15" t="s">
        <v>14964</v>
      </c>
      <c r="L750" s="15" t="s">
        <v>3589</v>
      </c>
      <c r="M750" s="15" t="s">
        <v>14965</v>
      </c>
      <c r="N750" s="15" t="s">
        <v>147</v>
      </c>
      <c r="O750" s="17">
        <v>61.45</v>
      </c>
      <c r="P750" s="15" t="s">
        <v>148</v>
      </c>
      <c r="Q750" s="15" t="s">
        <v>149</v>
      </c>
      <c r="R750" s="15" t="s">
        <v>174</v>
      </c>
      <c r="S750" s="15" t="s">
        <v>14966</v>
      </c>
      <c r="T750" s="18">
        <v>47</v>
      </c>
      <c r="U750" s="15" t="s">
        <v>14967</v>
      </c>
      <c r="V750" s="15" t="s">
        <v>138</v>
      </c>
      <c r="W750" s="15" t="s">
        <v>138</v>
      </c>
      <c r="X750" s="19">
        <v>2002</v>
      </c>
      <c r="Y750" s="15" t="s">
        <v>138</v>
      </c>
      <c r="Z750" s="15" t="s">
        <v>138</v>
      </c>
      <c r="AA750" s="15" t="s">
        <v>138</v>
      </c>
      <c r="AB750" s="20" t="s">
        <v>138</v>
      </c>
      <c r="AC750" s="20" t="s">
        <v>138</v>
      </c>
      <c r="AD750" s="20" t="s">
        <v>138</v>
      </c>
      <c r="AE750" s="20" t="s">
        <v>138</v>
      </c>
      <c r="AF750" s="20" t="s">
        <v>138</v>
      </c>
      <c r="AG750" s="15" t="s">
        <v>138</v>
      </c>
      <c r="AH750" s="20" t="s">
        <v>138</v>
      </c>
      <c r="AI750" s="20" t="s">
        <v>138</v>
      </c>
      <c r="AJ750" s="20" t="s">
        <v>138</v>
      </c>
      <c r="AK750" s="15" t="s">
        <v>14968</v>
      </c>
      <c r="AL750" s="15" t="s">
        <v>14969</v>
      </c>
      <c r="AM750" s="15" t="s">
        <v>249</v>
      </c>
      <c r="AN750" s="15" t="s">
        <v>14970</v>
      </c>
      <c r="AO750" s="15" t="s">
        <v>14971</v>
      </c>
      <c r="AP750" s="15" t="s">
        <v>14972</v>
      </c>
      <c r="AQ750" s="15" t="s">
        <v>14973</v>
      </c>
      <c r="AR750" s="15" t="s">
        <v>14974</v>
      </c>
      <c r="AS750" s="15" t="s">
        <v>14975</v>
      </c>
      <c r="AT750" s="15" t="s">
        <v>864</v>
      </c>
      <c r="AU750" s="15" t="s">
        <v>14976</v>
      </c>
      <c r="AV750" s="15" t="s">
        <v>162</v>
      </c>
      <c r="AW750" s="15" t="s">
        <v>14971</v>
      </c>
      <c r="AX750" s="15" t="s">
        <v>14977</v>
      </c>
      <c r="AY750" s="15" t="s">
        <v>14978</v>
      </c>
      <c r="AZ750" s="15" t="s">
        <v>164</v>
      </c>
      <c r="BA750" s="15" t="s">
        <v>165</v>
      </c>
      <c r="BB750" s="15" t="s">
        <v>14979</v>
      </c>
      <c r="BC750" s="15" t="s">
        <v>14980</v>
      </c>
      <c r="BD750" s="21">
        <v>6</v>
      </c>
      <c r="BE750" s="15" t="s">
        <v>138</v>
      </c>
      <c r="BF750" s="15" t="s">
        <v>138</v>
      </c>
      <c r="BG750" s="15" t="s">
        <v>138</v>
      </c>
      <c r="BH750" s="15" t="s">
        <v>14981</v>
      </c>
      <c r="BI750" s="15" t="s">
        <v>138</v>
      </c>
      <c r="BJ750" s="15" t="s">
        <v>138</v>
      </c>
      <c r="BK750" s="15" t="s">
        <v>138</v>
      </c>
      <c r="BL750" s="15" t="s">
        <v>14982</v>
      </c>
      <c r="BM750" s="22">
        <v>37903</v>
      </c>
      <c r="BN750" s="17">
        <v>2.23</v>
      </c>
      <c r="BO750" s="15" t="s">
        <v>172</v>
      </c>
      <c r="BP750" s="17">
        <v>5.58</v>
      </c>
      <c r="BQ750" s="15" t="s">
        <v>172</v>
      </c>
      <c r="BR750" s="15" t="s">
        <v>205</v>
      </c>
      <c r="BS750" s="15" t="s">
        <v>206</v>
      </c>
      <c r="BT750" s="15" t="s">
        <v>138</v>
      </c>
      <c r="BU750" s="15" t="s">
        <v>174</v>
      </c>
      <c r="BV750" s="15" t="s">
        <v>138</v>
      </c>
      <c r="BW750" s="15" t="s">
        <v>138</v>
      </c>
      <c r="BX750" s="15" t="s">
        <v>138</v>
      </c>
      <c r="BY750" s="15" t="s">
        <v>175</v>
      </c>
      <c r="BZ750" s="22">
        <v>43529</v>
      </c>
      <c r="CA750" s="17">
        <v>19.5</v>
      </c>
      <c r="CB750" s="15" t="s">
        <v>172</v>
      </c>
      <c r="CC750" s="17" t="s">
        <v>138</v>
      </c>
      <c r="CD750" s="15" t="s">
        <v>138</v>
      </c>
      <c r="CE750" s="15" t="s">
        <v>173</v>
      </c>
      <c r="CF750" s="15" t="s">
        <v>138</v>
      </c>
      <c r="CG750" s="15" t="s">
        <v>138</v>
      </c>
      <c r="CH750" s="15" t="s">
        <v>174</v>
      </c>
      <c r="CI750" s="15" t="s">
        <v>264</v>
      </c>
      <c r="CJ750" s="15" t="s">
        <v>138</v>
      </c>
      <c r="CK750" s="15" t="s">
        <v>138</v>
      </c>
      <c r="CL750" s="15" t="s">
        <v>175</v>
      </c>
      <c r="CM750" s="22" t="s">
        <v>138</v>
      </c>
      <c r="CN750" s="17" t="s">
        <v>138</v>
      </c>
      <c r="CO750" s="23">
        <v>-1.04</v>
      </c>
      <c r="CP750" s="24">
        <v>11</v>
      </c>
      <c r="CQ750" s="23">
        <v>0.03</v>
      </c>
      <c r="CR750" s="23">
        <v>2.6</v>
      </c>
      <c r="CS750" s="23">
        <v>-2.5</v>
      </c>
      <c r="CT750" s="24">
        <v>7</v>
      </c>
      <c r="CU750" s="23">
        <v>0.41</v>
      </c>
      <c r="CV750" s="24">
        <v>91</v>
      </c>
      <c r="CW750" s="23" t="s">
        <v>138</v>
      </c>
      <c r="CX750" s="24" t="s">
        <v>138</v>
      </c>
      <c r="CY750" s="23">
        <v>-2.5</v>
      </c>
      <c r="CZ750" s="24">
        <v>9</v>
      </c>
      <c r="DA750" s="23">
        <v>0.41</v>
      </c>
      <c r="DB750" s="24">
        <v>92</v>
      </c>
      <c r="DC750" s="25">
        <v>3.12</v>
      </c>
      <c r="DD750" s="24">
        <v>76</v>
      </c>
      <c r="DE750" s="25">
        <v>0</v>
      </c>
      <c r="DF750" s="23">
        <v>0.03</v>
      </c>
      <c r="DG750" s="25">
        <v>5.9</v>
      </c>
      <c r="DH750" s="24">
        <v>84</v>
      </c>
      <c r="DI750" s="25">
        <v>0.34</v>
      </c>
      <c r="DJ750" s="24">
        <v>30</v>
      </c>
      <c r="DK750" s="25" t="s">
        <v>138</v>
      </c>
      <c r="DL750" s="24" t="s">
        <v>138</v>
      </c>
      <c r="DM750" s="25">
        <v>5.9</v>
      </c>
      <c r="DN750" s="24">
        <v>83</v>
      </c>
      <c r="DO750" s="25">
        <v>0.34</v>
      </c>
      <c r="DP750" s="24">
        <v>32</v>
      </c>
      <c r="DQ750" s="24" t="s">
        <v>138</v>
      </c>
      <c r="DR750" s="26" t="s">
        <v>138</v>
      </c>
      <c r="DS750" s="23" t="s">
        <v>138</v>
      </c>
      <c r="DT750" s="24">
        <v>171</v>
      </c>
      <c r="DU750" s="26">
        <v>0</v>
      </c>
      <c r="DV750" s="23">
        <v>0</v>
      </c>
      <c r="DW750" s="24">
        <v>123</v>
      </c>
      <c r="DX750" s="27">
        <v>1</v>
      </c>
      <c r="DY750" s="23">
        <v>0.82</v>
      </c>
      <c r="DZ750" s="15" t="s">
        <v>178</v>
      </c>
      <c r="EA750" s="22">
        <v>43622</v>
      </c>
      <c r="EB750" s="17">
        <v>88</v>
      </c>
      <c r="EC750" s="22">
        <v>41450</v>
      </c>
      <c r="ED750" s="15" t="s">
        <v>173</v>
      </c>
      <c r="EE750" s="14" t="str">
        <f>HYPERLINK("https://my.pitchbook.com?c=54621-91", "View company online")</f>
        <v>View company online</v>
      </c>
    </row>
    <row r="751" spans="1:135">
      <c r="A751" s="28" t="s">
        <v>14983</v>
      </c>
      <c r="B751" s="28" t="s">
        <v>14984</v>
      </c>
      <c r="C751" s="28" t="s">
        <v>138</v>
      </c>
      <c r="D751" s="28" t="s">
        <v>138</v>
      </c>
      <c r="E751" s="28" t="s">
        <v>138</v>
      </c>
      <c r="F751" s="28" t="s">
        <v>14983</v>
      </c>
      <c r="G751" s="28" t="s">
        <v>14985</v>
      </c>
      <c r="H751" s="28" t="s">
        <v>322</v>
      </c>
      <c r="I751" s="28" t="s">
        <v>807</v>
      </c>
      <c r="J751" s="28" t="s">
        <v>1102</v>
      </c>
      <c r="K751" s="28" t="s">
        <v>14986</v>
      </c>
      <c r="L751" s="28" t="s">
        <v>215</v>
      </c>
      <c r="M751" s="28" t="s">
        <v>14987</v>
      </c>
      <c r="N751" s="28" t="s">
        <v>147</v>
      </c>
      <c r="O751" s="29" t="s">
        <v>138</v>
      </c>
      <c r="P751" s="28" t="s">
        <v>148</v>
      </c>
      <c r="Q751" s="28" t="s">
        <v>149</v>
      </c>
      <c r="R751" s="28" t="s">
        <v>174</v>
      </c>
      <c r="S751" s="28" t="s">
        <v>14988</v>
      </c>
      <c r="T751" s="30">
        <v>135</v>
      </c>
      <c r="U751" s="28" t="s">
        <v>14989</v>
      </c>
      <c r="V751" s="28" t="s">
        <v>138</v>
      </c>
      <c r="W751" s="28" t="s">
        <v>138</v>
      </c>
      <c r="X751" s="31">
        <v>2012</v>
      </c>
      <c r="Y751" s="28" t="s">
        <v>138</v>
      </c>
      <c r="Z751" s="28" t="s">
        <v>138</v>
      </c>
      <c r="AA751" s="28" t="s">
        <v>138</v>
      </c>
      <c r="AB751" s="32" t="s">
        <v>138</v>
      </c>
      <c r="AC751" s="32" t="s">
        <v>138</v>
      </c>
      <c r="AD751" s="32" t="s">
        <v>138</v>
      </c>
      <c r="AE751" s="32" t="s">
        <v>138</v>
      </c>
      <c r="AF751" s="32" t="s">
        <v>138</v>
      </c>
      <c r="AG751" s="28" t="s">
        <v>138</v>
      </c>
      <c r="AH751" s="32" t="s">
        <v>138</v>
      </c>
      <c r="AI751" s="32" t="s">
        <v>138</v>
      </c>
      <c r="AJ751" s="32" t="s">
        <v>138</v>
      </c>
      <c r="AK751" s="28" t="s">
        <v>14990</v>
      </c>
      <c r="AL751" s="28" t="s">
        <v>14991</v>
      </c>
      <c r="AM751" s="28" t="s">
        <v>14992</v>
      </c>
      <c r="AN751" s="28" t="s">
        <v>14993</v>
      </c>
      <c r="AO751" s="28" t="s">
        <v>14994</v>
      </c>
      <c r="AP751" s="28" t="s">
        <v>1195</v>
      </c>
      <c r="AQ751" s="28" t="s">
        <v>14995</v>
      </c>
      <c r="AR751" s="28" t="s">
        <v>138</v>
      </c>
      <c r="AS751" s="28" t="s">
        <v>1198</v>
      </c>
      <c r="AT751" s="28" t="s">
        <v>138</v>
      </c>
      <c r="AU751" s="28" t="s">
        <v>14996</v>
      </c>
      <c r="AV751" s="28" t="s">
        <v>1200</v>
      </c>
      <c r="AW751" s="28" t="s">
        <v>14994</v>
      </c>
      <c r="AX751" s="28" t="s">
        <v>138</v>
      </c>
      <c r="AY751" s="28" t="s">
        <v>138</v>
      </c>
      <c r="AZ751" s="28" t="s">
        <v>452</v>
      </c>
      <c r="BA751" s="28" t="s">
        <v>453</v>
      </c>
      <c r="BB751" s="28" t="s">
        <v>14997</v>
      </c>
      <c r="BC751" s="28" t="s">
        <v>3186</v>
      </c>
      <c r="BD751" s="33">
        <v>1</v>
      </c>
      <c r="BE751" s="28" t="s">
        <v>138</v>
      </c>
      <c r="BF751" s="28" t="s">
        <v>138</v>
      </c>
      <c r="BG751" s="28" t="s">
        <v>138</v>
      </c>
      <c r="BH751" s="28" t="s">
        <v>138</v>
      </c>
      <c r="BI751" s="28" t="s">
        <v>138</v>
      </c>
      <c r="BJ751" s="28" t="s">
        <v>138</v>
      </c>
      <c r="BK751" s="28" t="s">
        <v>138</v>
      </c>
      <c r="BL751" s="28" t="s">
        <v>138</v>
      </c>
      <c r="BM751" s="34">
        <v>41334</v>
      </c>
      <c r="BN751" s="29" t="s">
        <v>138</v>
      </c>
      <c r="BO751" s="28" t="s">
        <v>138</v>
      </c>
      <c r="BP751" s="29" t="s">
        <v>138</v>
      </c>
      <c r="BQ751" s="28" t="s">
        <v>138</v>
      </c>
      <c r="BR751" s="28" t="s">
        <v>205</v>
      </c>
      <c r="BS751" s="28" t="s">
        <v>206</v>
      </c>
      <c r="BT751" s="28" t="s">
        <v>138</v>
      </c>
      <c r="BU751" s="28" t="s">
        <v>174</v>
      </c>
      <c r="BV751" s="28" t="s">
        <v>138</v>
      </c>
      <c r="BW751" s="28" t="s">
        <v>138</v>
      </c>
      <c r="BX751" s="28" t="s">
        <v>138</v>
      </c>
      <c r="BY751" s="28" t="s">
        <v>175</v>
      </c>
      <c r="BZ751" s="34">
        <v>41787</v>
      </c>
      <c r="CA751" s="29" t="s">
        <v>138</v>
      </c>
      <c r="CB751" s="28" t="s">
        <v>138</v>
      </c>
      <c r="CC751" s="29" t="s">
        <v>138</v>
      </c>
      <c r="CD751" s="28" t="s">
        <v>138</v>
      </c>
      <c r="CE751" s="28" t="s">
        <v>205</v>
      </c>
      <c r="CF751" s="28" t="s">
        <v>1727</v>
      </c>
      <c r="CG751" s="28" t="s">
        <v>138</v>
      </c>
      <c r="CH751" s="28" t="s">
        <v>174</v>
      </c>
      <c r="CI751" s="28" t="s">
        <v>138</v>
      </c>
      <c r="CJ751" s="28" t="s">
        <v>138</v>
      </c>
      <c r="CK751" s="28" t="s">
        <v>138</v>
      </c>
      <c r="CL751" s="28" t="s">
        <v>175</v>
      </c>
      <c r="CM751" s="34" t="s">
        <v>138</v>
      </c>
      <c r="CN751" s="29" t="s">
        <v>138</v>
      </c>
      <c r="CO751" s="35">
        <v>0</v>
      </c>
      <c r="CP751" s="36">
        <v>26</v>
      </c>
      <c r="CQ751" s="35">
        <v>0</v>
      </c>
      <c r="CR751" s="35">
        <v>0</v>
      </c>
      <c r="CS751" s="35">
        <v>0</v>
      </c>
      <c r="CT751" s="36">
        <v>23</v>
      </c>
      <c r="CU751" s="35">
        <v>0</v>
      </c>
      <c r="CV751" s="36">
        <v>22</v>
      </c>
      <c r="CW751" s="35" t="s">
        <v>138</v>
      </c>
      <c r="CX751" s="36" t="s">
        <v>138</v>
      </c>
      <c r="CY751" s="35">
        <v>0</v>
      </c>
      <c r="CZ751" s="36">
        <v>25</v>
      </c>
      <c r="DA751" s="35" t="s">
        <v>138</v>
      </c>
      <c r="DB751" s="36" t="s">
        <v>138</v>
      </c>
      <c r="DC751" s="37">
        <v>1.72</v>
      </c>
      <c r="DD751" s="36">
        <v>64</v>
      </c>
      <c r="DE751" s="37">
        <v>7.0000000000000007E-2</v>
      </c>
      <c r="DF751" s="35">
        <v>4.16</v>
      </c>
      <c r="DG751" s="37">
        <v>2.97</v>
      </c>
      <c r="DH751" s="36">
        <v>74</v>
      </c>
      <c r="DI751" s="37">
        <v>0.47</v>
      </c>
      <c r="DJ751" s="36">
        <v>35</v>
      </c>
      <c r="DK751" s="37" t="s">
        <v>138</v>
      </c>
      <c r="DL751" s="36" t="s">
        <v>138</v>
      </c>
      <c r="DM751" s="37">
        <v>2.97</v>
      </c>
      <c r="DN751" s="36">
        <v>73</v>
      </c>
      <c r="DO751" s="37" t="s">
        <v>138</v>
      </c>
      <c r="DP751" s="36" t="s">
        <v>138</v>
      </c>
      <c r="DQ751" s="36" t="s">
        <v>138</v>
      </c>
      <c r="DR751" s="38" t="s">
        <v>138</v>
      </c>
      <c r="DS751" s="35" t="s">
        <v>138</v>
      </c>
      <c r="DT751" s="36">
        <v>84</v>
      </c>
      <c r="DU751" s="38">
        <v>2</v>
      </c>
      <c r="DV751" s="35">
        <v>2.44</v>
      </c>
      <c r="DW751" s="36" t="s">
        <v>138</v>
      </c>
      <c r="DX751" s="39" t="s">
        <v>138</v>
      </c>
      <c r="DY751" s="35" t="s">
        <v>138</v>
      </c>
      <c r="DZ751" s="28" t="s">
        <v>178</v>
      </c>
      <c r="EA751" s="34">
        <v>43622</v>
      </c>
      <c r="EB751" s="29" t="s">
        <v>138</v>
      </c>
      <c r="EC751" s="34" t="s">
        <v>138</v>
      </c>
      <c r="ED751" s="28" t="s">
        <v>138</v>
      </c>
      <c r="EE751" s="40" t="str">
        <f>HYPERLINK("https://my.pitchbook.com?c=108819-28", "View company online")</f>
        <v>View company online</v>
      </c>
    </row>
    <row r="752" spans="1:135">
      <c r="A752" s="15" t="s">
        <v>14998</v>
      </c>
      <c r="B752" s="15" t="s">
        <v>14999</v>
      </c>
      <c r="C752" s="15" t="s">
        <v>15000</v>
      </c>
      <c r="D752" s="15" t="s">
        <v>15001</v>
      </c>
      <c r="E752" s="15" t="s">
        <v>138</v>
      </c>
      <c r="F752" s="15" t="s">
        <v>14998</v>
      </c>
      <c r="G752" s="15" t="s">
        <v>15002</v>
      </c>
      <c r="H752" s="15" t="s">
        <v>322</v>
      </c>
      <c r="I752" s="15" t="s">
        <v>323</v>
      </c>
      <c r="J752" s="15" t="s">
        <v>413</v>
      </c>
      <c r="K752" s="15" t="s">
        <v>3388</v>
      </c>
      <c r="L752" s="15" t="s">
        <v>242</v>
      </c>
      <c r="M752" s="15" t="s">
        <v>15003</v>
      </c>
      <c r="N752" s="15" t="s">
        <v>147</v>
      </c>
      <c r="O752" s="17">
        <v>0.85</v>
      </c>
      <c r="P752" s="15" t="s">
        <v>148</v>
      </c>
      <c r="Q752" s="15" t="s">
        <v>149</v>
      </c>
      <c r="R752" s="15" t="s">
        <v>174</v>
      </c>
      <c r="S752" s="15" t="s">
        <v>15004</v>
      </c>
      <c r="T752" s="18">
        <v>5</v>
      </c>
      <c r="U752" s="15" t="s">
        <v>9550</v>
      </c>
      <c r="V752" s="15" t="s">
        <v>138</v>
      </c>
      <c r="W752" s="15" t="s">
        <v>138</v>
      </c>
      <c r="X752" s="19">
        <v>2015</v>
      </c>
      <c r="Y752" s="15" t="s">
        <v>138</v>
      </c>
      <c r="Z752" s="15" t="s">
        <v>138</v>
      </c>
      <c r="AA752" s="15" t="s">
        <v>138</v>
      </c>
      <c r="AB752" s="20" t="s">
        <v>138</v>
      </c>
      <c r="AC752" s="20" t="s">
        <v>138</v>
      </c>
      <c r="AD752" s="20" t="s">
        <v>138</v>
      </c>
      <c r="AE752" s="20" t="s">
        <v>138</v>
      </c>
      <c r="AF752" s="20" t="s">
        <v>138</v>
      </c>
      <c r="AG752" s="15" t="s">
        <v>138</v>
      </c>
      <c r="AH752" s="20" t="s">
        <v>138</v>
      </c>
      <c r="AI752" s="20" t="s">
        <v>138</v>
      </c>
      <c r="AJ752" s="20" t="s">
        <v>138</v>
      </c>
      <c r="AK752" s="15" t="s">
        <v>15005</v>
      </c>
      <c r="AL752" s="15" t="s">
        <v>15006</v>
      </c>
      <c r="AM752" s="15" t="s">
        <v>986</v>
      </c>
      <c r="AN752" s="15" t="s">
        <v>15007</v>
      </c>
      <c r="AO752" s="15" t="s">
        <v>15008</v>
      </c>
      <c r="AP752" s="15" t="s">
        <v>1315</v>
      </c>
      <c r="AQ752" s="15" t="s">
        <v>15009</v>
      </c>
      <c r="AR752" s="15" t="s">
        <v>138</v>
      </c>
      <c r="AS752" s="15" t="s">
        <v>1317</v>
      </c>
      <c r="AT752" s="15" t="s">
        <v>138</v>
      </c>
      <c r="AU752" s="15" t="s">
        <v>15010</v>
      </c>
      <c r="AV752" s="15" t="s">
        <v>1319</v>
      </c>
      <c r="AW752" s="15" t="s">
        <v>15008</v>
      </c>
      <c r="AX752" s="15" t="s">
        <v>138</v>
      </c>
      <c r="AY752" s="15" t="s">
        <v>15011</v>
      </c>
      <c r="AZ752" s="15" t="s">
        <v>530</v>
      </c>
      <c r="BA752" s="15" t="s">
        <v>531</v>
      </c>
      <c r="BB752" s="15" t="s">
        <v>15012</v>
      </c>
      <c r="BC752" s="15" t="s">
        <v>15013</v>
      </c>
      <c r="BD752" s="21">
        <v>4</v>
      </c>
      <c r="BE752" s="15" t="s">
        <v>138</v>
      </c>
      <c r="BF752" s="15" t="s">
        <v>138</v>
      </c>
      <c r="BG752" s="15" t="s">
        <v>138</v>
      </c>
      <c r="BH752" s="15" t="s">
        <v>15014</v>
      </c>
      <c r="BI752" s="15" t="s">
        <v>138</v>
      </c>
      <c r="BJ752" s="15" t="s">
        <v>138</v>
      </c>
      <c r="BK752" s="15" t="s">
        <v>138</v>
      </c>
      <c r="BL752" s="15" t="s">
        <v>138</v>
      </c>
      <c r="BM752" s="22">
        <v>42129</v>
      </c>
      <c r="BN752" s="17">
        <v>0.22</v>
      </c>
      <c r="BO752" s="15" t="s">
        <v>172</v>
      </c>
      <c r="BP752" s="17" t="s">
        <v>138</v>
      </c>
      <c r="BQ752" s="15" t="s">
        <v>138</v>
      </c>
      <c r="BR752" s="15" t="s">
        <v>262</v>
      </c>
      <c r="BS752" s="15" t="s">
        <v>262</v>
      </c>
      <c r="BT752" s="15" t="s">
        <v>138</v>
      </c>
      <c r="BU752" s="15" t="s">
        <v>263</v>
      </c>
      <c r="BV752" s="15" t="s">
        <v>138</v>
      </c>
      <c r="BW752" s="15" t="s">
        <v>138</v>
      </c>
      <c r="BX752" s="15" t="s">
        <v>138</v>
      </c>
      <c r="BY752" s="15" t="s">
        <v>175</v>
      </c>
      <c r="BZ752" s="22">
        <v>43021</v>
      </c>
      <c r="CA752" s="17">
        <v>0.51</v>
      </c>
      <c r="CB752" s="15" t="s">
        <v>172</v>
      </c>
      <c r="CC752" s="17" t="s">
        <v>138</v>
      </c>
      <c r="CD752" s="15" t="s">
        <v>138</v>
      </c>
      <c r="CE752" s="15" t="s">
        <v>205</v>
      </c>
      <c r="CF752" s="15" t="s">
        <v>138</v>
      </c>
      <c r="CG752" s="15" t="s">
        <v>138</v>
      </c>
      <c r="CH752" s="15" t="s">
        <v>174</v>
      </c>
      <c r="CI752" s="15" t="s">
        <v>138</v>
      </c>
      <c r="CJ752" s="15" t="s">
        <v>138</v>
      </c>
      <c r="CK752" s="15" t="s">
        <v>138</v>
      </c>
      <c r="CL752" s="15" t="s">
        <v>175</v>
      </c>
      <c r="CM752" s="22" t="s">
        <v>138</v>
      </c>
      <c r="CN752" s="17" t="s">
        <v>138</v>
      </c>
      <c r="CO752" s="23">
        <v>0</v>
      </c>
      <c r="CP752" s="24">
        <v>26</v>
      </c>
      <c r="CQ752" s="23">
        <v>0.01</v>
      </c>
      <c r="CR752" s="23">
        <v>59.93</v>
      </c>
      <c r="CS752" s="23">
        <v>0</v>
      </c>
      <c r="CT752" s="24">
        <v>23</v>
      </c>
      <c r="CU752" s="23">
        <v>-0.01</v>
      </c>
      <c r="CV752" s="24">
        <v>20</v>
      </c>
      <c r="CW752" s="23" t="s">
        <v>138</v>
      </c>
      <c r="CX752" s="24" t="s">
        <v>138</v>
      </c>
      <c r="CY752" s="23">
        <v>0</v>
      </c>
      <c r="CZ752" s="24">
        <v>25</v>
      </c>
      <c r="DA752" s="23">
        <v>0</v>
      </c>
      <c r="DB752" s="24">
        <v>22</v>
      </c>
      <c r="DC752" s="25">
        <v>3.12</v>
      </c>
      <c r="DD752" s="24">
        <v>76</v>
      </c>
      <c r="DE752" s="25">
        <v>0.01</v>
      </c>
      <c r="DF752" s="23">
        <v>0.42</v>
      </c>
      <c r="DG752" s="25">
        <v>0.76</v>
      </c>
      <c r="DH752" s="24">
        <v>44</v>
      </c>
      <c r="DI752" s="25">
        <v>7.75</v>
      </c>
      <c r="DJ752" s="24">
        <v>83</v>
      </c>
      <c r="DK752" s="25" t="s">
        <v>138</v>
      </c>
      <c r="DL752" s="24" t="s">
        <v>138</v>
      </c>
      <c r="DM752" s="25">
        <v>0.76</v>
      </c>
      <c r="DN752" s="24">
        <v>44</v>
      </c>
      <c r="DO752" s="25">
        <v>3.15</v>
      </c>
      <c r="DP752" s="24">
        <v>72</v>
      </c>
      <c r="DQ752" s="24" t="s">
        <v>138</v>
      </c>
      <c r="DR752" s="26" t="s">
        <v>138</v>
      </c>
      <c r="DS752" s="23" t="s">
        <v>138</v>
      </c>
      <c r="DT752" s="24">
        <v>22</v>
      </c>
      <c r="DU752" s="26">
        <v>1</v>
      </c>
      <c r="DV752" s="23">
        <v>4.76</v>
      </c>
      <c r="DW752" s="24">
        <v>1126</v>
      </c>
      <c r="DX752" s="27">
        <v>0</v>
      </c>
      <c r="DY752" s="23">
        <v>0</v>
      </c>
      <c r="DZ752" s="15" t="s">
        <v>178</v>
      </c>
      <c r="EA752" s="22">
        <v>43448</v>
      </c>
      <c r="EB752" s="17">
        <v>0.33</v>
      </c>
      <c r="EC752" s="22">
        <v>42646</v>
      </c>
      <c r="ED752" s="15" t="s">
        <v>316</v>
      </c>
      <c r="EE752" s="14" t="str">
        <f>HYPERLINK("https://my.pitchbook.com?c=88216-84", "View company online")</f>
        <v>View company online</v>
      </c>
    </row>
    <row r="753" spans="1:135">
      <c r="A753" s="28" t="s">
        <v>15015</v>
      </c>
      <c r="B753" s="28" t="s">
        <v>15016</v>
      </c>
      <c r="C753" s="28" t="s">
        <v>15017</v>
      </c>
      <c r="D753" s="28" t="s">
        <v>138</v>
      </c>
      <c r="E753" s="28" t="s">
        <v>15018</v>
      </c>
      <c r="F753" s="28" t="s">
        <v>15015</v>
      </c>
      <c r="G753" s="28" t="s">
        <v>15019</v>
      </c>
      <c r="H753" s="28" t="s">
        <v>322</v>
      </c>
      <c r="I753" s="28" t="s">
        <v>323</v>
      </c>
      <c r="J753" s="28" t="s">
        <v>324</v>
      </c>
      <c r="K753" s="28" t="s">
        <v>15020</v>
      </c>
      <c r="L753" s="28" t="s">
        <v>415</v>
      </c>
      <c r="M753" s="28" t="s">
        <v>15021</v>
      </c>
      <c r="N753" s="28" t="s">
        <v>147</v>
      </c>
      <c r="O753" s="29">
        <v>68.87</v>
      </c>
      <c r="P753" s="28" t="s">
        <v>148</v>
      </c>
      <c r="Q753" s="28" t="s">
        <v>149</v>
      </c>
      <c r="R753" s="28" t="s">
        <v>174</v>
      </c>
      <c r="S753" s="28" t="s">
        <v>15022</v>
      </c>
      <c r="T753" s="30">
        <v>80</v>
      </c>
      <c r="U753" s="28" t="s">
        <v>15023</v>
      </c>
      <c r="V753" s="28" t="s">
        <v>138</v>
      </c>
      <c r="W753" s="28" t="s">
        <v>138</v>
      </c>
      <c r="X753" s="31">
        <v>2013</v>
      </c>
      <c r="Y753" s="28" t="s">
        <v>138</v>
      </c>
      <c r="Z753" s="28" t="s">
        <v>138</v>
      </c>
      <c r="AA753" s="28" t="s">
        <v>15024</v>
      </c>
      <c r="AB753" s="32" t="s">
        <v>138</v>
      </c>
      <c r="AC753" s="32" t="s">
        <v>138</v>
      </c>
      <c r="AD753" s="32" t="s">
        <v>138</v>
      </c>
      <c r="AE753" s="32" t="s">
        <v>138</v>
      </c>
      <c r="AF753" s="32" t="s">
        <v>138</v>
      </c>
      <c r="AG753" s="28" t="s">
        <v>138</v>
      </c>
      <c r="AH753" s="32" t="s">
        <v>138</v>
      </c>
      <c r="AI753" s="32" t="s">
        <v>138</v>
      </c>
      <c r="AJ753" s="32" t="s">
        <v>138</v>
      </c>
      <c r="AK753" s="28" t="s">
        <v>15025</v>
      </c>
      <c r="AL753" s="28" t="s">
        <v>15026</v>
      </c>
      <c r="AM753" s="28" t="s">
        <v>4399</v>
      </c>
      <c r="AN753" s="28" t="s">
        <v>15027</v>
      </c>
      <c r="AO753" s="28" t="s">
        <v>15028</v>
      </c>
      <c r="AP753" s="28" t="s">
        <v>665</v>
      </c>
      <c r="AQ753" s="28" t="s">
        <v>15029</v>
      </c>
      <c r="AR753" s="28" t="s">
        <v>618</v>
      </c>
      <c r="AS753" s="28" t="s">
        <v>668</v>
      </c>
      <c r="AT753" s="28" t="s">
        <v>200</v>
      </c>
      <c r="AU753" s="28" t="s">
        <v>1893</v>
      </c>
      <c r="AV753" s="28" t="s">
        <v>162</v>
      </c>
      <c r="AW753" s="28" t="s">
        <v>15028</v>
      </c>
      <c r="AX753" s="28" t="s">
        <v>138</v>
      </c>
      <c r="AY753" s="28" t="s">
        <v>15030</v>
      </c>
      <c r="AZ753" s="28" t="s">
        <v>164</v>
      </c>
      <c r="BA753" s="28" t="s">
        <v>165</v>
      </c>
      <c r="BB753" s="28" t="s">
        <v>15031</v>
      </c>
      <c r="BC753" s="28" t="s">
        <v>15032</v>
      </c>
      <c r="BD753" s="33">
        <v>15</v>
      </c>
      <c r="BE753" s="28" t="s">
        <v>138</v>
      </c>
      <c r="BF753" s="28" t="s">
        <v>138</v>
      </c>
      <c r="BG753" s="28" t="s">
        <v>138</v>
      </c>
      <c r="BH753" s="28" t="s">
        <v>15033</v>
      </c>
      <c r="BI753" s="28" t="s">
        <v>138</v>
      </c>
      <c r="BJ753" s="28" t="s">
        <v>138</v>
      </c>
      <c r="BK753" s="28" t="s">
        <v>138</v>
      </c>
      <c r="BL753" s="28" t="s">
        <v>1691</v>
      </c>
      <c r="BM753" s="34">
        <v>41590</v>
      </c>
      <c r="BN753" s="29" t="s">
        <v>138</v>
      </c>
      <c r="BO753" s="28" t="s">
        <v>138</v>
      </c>
      <c r="BP753" s="29" t="s">
        <v>138</v>
      </c>
      <c r="BQ753" s="28" t="s">
        <v>138</v>
      </c>
      <c r="BR753" s="28" t="s">
        <v>234</v>
      </c>
      <c r="BS753" s="28" t="s">
        <v>234</v>
      </c>
      <c r="BT753" s="28" t="s">
        <v>138</v>
      </c>
      <c r="BU753" s="28" t="s">
        <v>174</v>
      </c>
      <c r="BV753" s="28" t="s">
        <v>138</v>
      </c>
      <c r="BW753" s="28" t="s">
        <v>138</v>
      </c>
      <c r="BX753" s="28" t="s">
        <v>138</v>
      </c>
      <c r="BY753" s="28" t="s">
        <v>175</v>
      </c>
      <c r="BZ753" s="34">
        <v>43235</v>
      </c>
      <c r="CA753" s="29">
        <v>40</v>
      </c>
      <c r="CB753" s="28" t="s">
        <v>172</v>
      </c>
      <c r="CC753" s="29">
        <v>200</v>
      </c>
      <c r="CD753" s="28" t="s">
        <v>172</v>
      </c>
      <c r="CE753" s="28" t="s">
        <v>173</v>
      </c>
      <c r="CF753" s="28" t="s">
        <v>317</v>
      </c>
      <c r="CG753" s="28" t="s">
        <v>138</v>
      </c>
      <c r="CH753" s="28" t="s">
        <v>174</v>
      </c>
      <c r="CI753" s="28" t="s">
        <v>138</v>
      </c>
      <c r="CJ753" s="28" t="s">
        <v>138</v>
      </c>
      <c r="CK753" s="28" t="s">
        <v>138</v>
      </c>
      <c r="CL753" s="28" t="s">
        <v>175</v>
      </c>
      <c r="CM753" s="34" t="s">
        <v>138</v>
      </c>
      <c r="CN753" s="29" t="s">
        <v>138</v>
      </c>
      <c r="CO753" s="35">
        <v>-0.47</v>
      </c>
      <c r="CP753" s="36">
        <v>16</v>
      </c>
      <c r="CQ753" s="35">
        <v>-0.06</v>
      </c>
      <c r="CR753" s="35">
        <v>-15.35</v>
      </c>
      <c r="CS753" s="35">
        <v>-1.1499999999999999</v>
      </c>
      <c r="CT753" s="36">
        <v>14</v>
      </c>
      <c r="CU753" s="35">
        <v>0.22</v>
      </c>
      <c r="CV753" s="36">
        <v>82</v>
      </c>
      <c r="CW753" s="35">
        <v>-2.34</v>
      </c>
      <c r="CX753" s="36">
        <v>6</v>
      </c>
      <c r="CY753" s="35">
        <v>0.03</v>
      </c>
      <c r="CZ753" s="36">
        <v>97</v>
      </c>
      <c r="DA753" s="35">
        <v>0.22</v>
      </c>
      <c r="DB753" s="36">
        <v>84</v>
      </c>
      <c r="DC753" s="37">
        <v>2.54</v>
      </c>
      <c r="DD753" s="36">
        <v>72</v>
      </c>
      <c r="DE753" s="37">
        <v>-0.08</v>
      </c>
      <c r="DF753" s="35">
        <v>-3.21</v>
      </c>
      <c r="DG753" s="37">
        <v>3.93</v>
      </c>
      <c r="DH753" s="36">
        <v>79</v>
      </c>
      <c r="DI753" s="37">
        <v>1.1499999999999999</v>
      </c>
      <c r="DJ753" s="36">
        <v>52</v>
      </c>
      <c r="DK753" s="37">
        <v>3.48</v>
      </c>
      <c r="DL753" s="36">
        <v>74</v>
      </c>
      <c r="DM753" s="37">
        <v>4.38</v>
      </c>
      <c r="DN753" s="36">
        <v>80</v>
      </c>
      <c r="DO753" s="37">
        <v>1.1499999999999999</v>
      </c>
      <c r="DP753" s="36">
        <v>53</v>
      </c>
      <c r="DQ753" s="36">
        <v>1205</v>
      </c>
      <c r="DR753" s="38">
        <v>-31</v>
      </c>
      <c r="DS753" s="35">
        <v>-2.5099999999999998</v>
      </c>
      <c r="DT753" s="36">
        <v>126</v>
      </c>
      <c r="DU753" s="38">
        <v>1</v>
      </c>
      <c r="DV753" s="35">
        <v>0.8</v>
      </c>
      <c r="DW753" s="36">
        <v>409</v>
      </c>
      <c r="DX753" s="39">
        <v>1</v>
      </c>
      <c r="DY753" s="35">
        <v>0.25</v>
      </c>
      <c r="DZ753" s="28" t="s">
        <v>178</v>
      </c>
      <c r="EA753" s="34">
        <v>43622</v>
      </c>
      <c r="EB753" s="29">
        <v>200</v>
      </c>
      <c r="EC753" s="34">
        <v>43235</v>
      </c>
      <c r="ED753" s="28" t="s">
        <v>173</v>
      </c>
      <c r="EE753" s="40" t="str">
        <f>HYPERLINK("https://my.pitchbook.com?c=62958-52", "View company online")</f>
        <v>View company online</v>
      </c>
    </row>
    <row r="754" spans="1:135">
      <c r="A754" s="15" t="s">
        <v>15034</v>
      </c>
      <c r="B754" s="15" t="s">
        <v>15035</v>
      </c>
      <c r="C754" s="15" t="s">
        <v>138</v>
      </c>
      <c r="D754" s="15" t="s">
        <v>138</v>
      </c>
      <c r="E754" s="15" t="s">
        <v>15036</v>
      </c>
      <c r="F754" s="15" t="s">
        <v>15034</v>
      </c>
      <c r="G754" s="15" t="s">
        <v>15037</v>
      </c>
      <c r="H754" s="15" t="s">
        <v>322</v>
      </c>
      <c r="I754" s="15" t="s">
        <v>323</v>
      </c>
      <c r="J754" s="15" t="s">
        <v>413</v>
      </c>
      <c r="K754" s="15" t="s">
        <v>3831</v>
      </c>
      <c r="L754" s="15" t="s">
        <v>242</v>
      </c>
      <c r="M754" s="15" t="s">
        <v>15038</v>
      </c>
      <c r="N754" s="15" t="s">
        <v>147</v>
      </c>
      <c r="O754" s="17">
        <v>0.47</v>
      </c>
      <c r="P754" s="15" t="s">
        <v>148</v>
      </c>
      <c r="Q754" s="15" t="s">
        <v>149</v>
      </c>
      <c r="R754" s="15" t="s">
        <v>174</v>
      </c>
      <c r="S754" s="15" t="s">
        <v>15039</v>
      </c>
      <c r="T754" s="18">
        <v>60</v>
      </c>
      <c r="U754" s="15" t="s">
        <v>15040</v>
      </c>
      <c r="V754" s="15" t="s">
        <v>138</v>
      </c>
      <c r="W754" s="15" t="s">
        <v>138</v>
      </c>
      <c r="X754" s="19">
        <v>2007</v>
      </c>
      <c r="Y754" s="15" t="s">
        <v>138</v>
      </c>
      <c r="Z754" s="15" t="s">
        <v>138</v>
      </c>
      <c r="AA754" s="15" t="s">
        <v>138</v>
      </c>
      <c r="AB754" s="20" t="s">
        <v>138</v>
      </c>
      <c r="AC754" s="20" t="s">
        <v>138</v>
      </c>
      <c r="AD754" s="20" t="s">
        <v>138</v>
      </c>
      <c r="AE754" s="20" t="s">
        <v>138</v>
      </c>
      <c r="AF754" s="20" t="s">
        <v>138</v>
      </c>
      <c r="AG754" s="15" t="s">
        <v>138</v>
      </c>
      <c r="AH754" s="20" t="s">
        <v>138</v>
      </c>
      <c r="AI754" s="20" t="s">
        <v>138</v>
      </c>
      <c r="AJ754" s="20" t="s">
        <v>138</v>
      </c>
      <c r="AK754" s="15" t="s">
        <v>15041</v>
      </c>
      <c r="AL754" s="15" t="s">
        <v>15042</v>
      </c>
      <c r="AM754" s="15" t="s">
        <v>444</v>
      </c>
      <c r="AN754" s="15" t="s">
        <v>15043</v>
      </c>
      <c r="AO754" s="15" t="s">
        <v>138</v>
      </c>
      <c r="AP754" s="15" t="s">
        <v>820</v>
      </c>
      <c r="AQ754" s="15" t="s">
        <v>138</v>
      </c>
      <c r="AR754" s="15" t="s">
        <v>138</v>
      </c>
      <c r="AS754" s="15" t="s">
        <v>823</v>
      </c>
      <c r="AT754" s="15" t="s">
        <v>824</v>
      </c>
      <c r="AU754" s="15" t="s">
        <v>138</v>
      </c>
      <c r="AV754" s="15" t="s">
        <v>526</v>
      </c>
      <c r="AW754" s="15" t="s">
        <v>138</v>
      </c>
      <c r="AX754" s="15" t="s">
        <v>138</v>
      </c>
      <c r="AY754" s="15" t="s">
        <v>138</v>
      </c>
      <c r="AZ754" s="15" t="s">
        <v>530</v>
      </c>
      <c r="BA754" s="15" t="s">
        <v>531</v>
      </c>
      <c r="BB754" s="15" t="s">
        <v>15044</v>
      </c>
      <c r="BC754" s="15" t="s">
        <v>15045</v>
      </c>
      <c r="BD754" s="21">
        <v>1</v>
      </c>
      <c r="BE754" s="15" t="s">
        <v>138</v>
      </c>
      <c r="BF754" s="15" t="s">
        <v>138</v>
      </c>
      <c r="BG754" s="15" t="s">
        <v>138</v>
      </c>
      <c r="BH754" s="15" t="s">
        <v>15046</v>
      </c>
      <c r="BI754" s="15" t="s">
        <v>138</v>
      </c>
      <c r="BJ754" s="15" t="s">
        <v>138</v>
      </c>
      <c r="BK754" s="15" t="s">
        <v>3482</v>
      </c>
      <c r="BL754" s="15" t="s">
        <v>138</v>
      </c>
      <c r="BM754" s="22">
        <v>41093</v>
      </c>
      <c r="BN754" s="17">
        <v>0.47</v>
      </c>
      <c r="BO754" s="15" t="s">
        <v>172</v>
      </c>
      <c r="BP754" s="17">
        <v>4.43</v>
      </c>
      <c r="BQ754" s="15" t="s">
        <v>172</v>
      </c>
      <c r="BR754" s="15" t="s">
        <v>205</v>
      </c>
      <c r="BS754" s="15" t="s">
        <v>138</v>
      </c>
      <c r="BT754" s="15" t="s">
        <v>138</v>
      </c>
      <c r="BU754" s="15" t="s">
        <v>174</v>
      </c>
      <c r="BV754" s="15" t="s">
        <v>138</v>
      </c>
      <c r="BW754" s="15" t="s">
        <v>138</v>
      </c>
      <c r="BX754" s="15" t="s">
        <v>138</v>
      </c>
      <c r="BY754" s="15" t="s">
        <v>175</v>
      </c>
      <c r="BZ754" s="22">
        <v>41093</v>
      </c>
      <c r="CA754" s="17">
        <v>0.47</v>
      </c>
      <c r="CB754" s="15" t="s">
        <v>172</v>
      </c>
      <c r="CC754" s="17">
        <v>4.43</v>
      </c>
      <c r="CD754" s="15" t="s">
        <v>172</v>
      </c>
      <c r="CE754" s="15" t="s">
        <v>205</v>
      </c>
      <c r="CF754" s="15" t="s">
        <v>138</v>
      </c>
      <c r="CG754" s="15" t="s">
        <v>138</v>
      </c>
      <c r="CH754" s="15" t="s">
        <v>174</v>
      </c>
      <c r="CI754" s="15" t="s">
        <v>138</v>
      </c>
      <c r="CJ754" s="15" t="s">
        <v>138</v>
      </c>
      <c r="CK754" s="15" t="s">
        <v>138</v>
      </c>
      <c r="CL754" s="15" t="s">
        <v>175</v>
      </c>
      <c r="CM754" s="22" t="s">
        <v>138</v>
      </c>
      <c r="CN754" s="17" t="s">
        <v>138</v>
      </c>
      <c r="CO754" s="23">
        <v>0.37</v>
      </c>
      <c r="CP754" s="24">
        <v>94</v>
      </c>
      <c r="CQ754" s="23">
        <v>-0.04</v>
      </c>
      <c r="CR754" s="23">
        <v>-10.39</v>
      </c>
      <c r="CS754" s="23">
        <v>-0.17</v>
      </c>
      <c r="CT754" s="24">
        <v>22</v>
      </c>
      <c r="CU754" s="23">
        <v>0.03</v>
      </c>
      <c r="CV754" s="24">
        <v>54</v>
      </c>
      <c r="CW754" s="23">
        <v>2.2599999999999998</v>
      </c>
      <c r="CX754" s="24">
        <v>89</v>
      </c>
      <c r="CY754" s="23">
        <v>-2.61</v>
      </c>
      <c r="CZ754" s="24">
        <v>8</v>
      </c>
      <c r="DA754" s="23">
        <v>0.06</v>
      </c>
      <c r="DB754" s="24">
        <v>65</v>
      </c>
      <c r="DC754" s="25">
        <v>14.46</v>
      </c>
      <c r="DD754" s="24">
        <v>93</v>
      </c>
      <c r="DE754" s="25">
        <v>-0.34</v>
      </c>
      <c r="DF754" s="23">
        <v>-2.2999999999999998</v>
      </c>
      <c r="DG754" s="25">
        <v>30.49</v>
      </c>
      <c r="DH754" s="24">
        <v>97</v>
      </c>
      <c r="DI754" s="25">
        <v>7.32</v>
      </c>
      <c r="DJ754" s="24">
        <v>82</v>
      </c>
      <c r="DK754" s="25">
        <v>22.37</v>
      </c>
      <c r="DL754" s="24">
        <v>92</v>
      </c>
      <c r="DM754" s="25">
        <v>38.619999999999997</v>
      </c>
      <c r="DN754" s="24">
        <v>97</v>
      </c>
      <c r="DO754" s="25">
        <v>6.6</v>
      </c>
      <c r="DP754" s="24">
        <v>83</v>
      </c>
      <c r="DQ754" s="24">
        <v>7600</v>
      </c>
      <c r="DR754" s="26">
        <v>213</v>
      </c>
      <c r="DS754" s="23">
        <v>2.88</v>
      </c>
      <c r="DT754" s="24">
        <v>1117</v>
      </c>
      <c r="DU754" s="26">
        <v>9</v>
      </c>
      <c r="DV754" s="23">
        <v>0.81</v>
      </c>
      <c r="DW754" s="24">
        <v>2364</v>
      </c>
      <c r="DX754" s="27">
        <v>-3</v>
      </c>
      <c r="DY754" s="23">
        <v>-0.13</v>
      </c>
      <c r="DZ754" s="15" t="s">
        <v>178</v>
      </c>
      <c r="EA754" s="22">
        <v>43448</v>
      </c>
      <c r="EB754" s="17">
        <v>4.43</v>
      </c>
      <c r="EC754" s="22">
        <v>41093</v>
      </c>
      <c r="ED754" s="15" t="s">
        <v>205</v>
      </c>
      <c r="EE754" s="14" t="str">
        <f>HYPERLINK("https://my.pitchbook.com?c=92511-46", "View company online")</f>
        <v>View company online</v>
      </c>
    </row>
    <row r="755" spans="1:135">
      <c r="A755" s="28" t="s">
        <v>15047</v>
      </c>
      <c r="B755" s="28" t="s">
        <v>15048</v>
      </c>
      <c r="C755" s="28" t="s">
        <v>138</v>
      </c>
      <c r="D755" s="28" t="s">
        <v>138</v>
      </c>
      <c r="E755" s="28" t="s">
        <v>138</v>
      </c>
      <c r="F755" s="28" t="s">
        <v>15047</v>
      </c>
      <c r="G755" s="28" t="s">
        <v>15049</v>
      </c>
      <c r="H755" s="28" t="s">
        <v>322</v>
      </c>
      <c r="I755" s="28" t="s">
        <v>323</v>
      </c>
      <c r="J755" s="28" t="s">
        <v>413</v>
      </c>
      <c r="K755" s="28" t="s">
        <v>15050</v>
      </c>
      <c r="L755" s="28" t="s">
        <v>242</v>
      </c>
      <c r="M755" s="28" t="s">
        <v>15051</v>
      </c>
      <c r="N755" s="28" t="s">
        <v>147</v>
      </c>
      <c r="O755" s="29">
        <v>0.87</v>
      </c>
      <c r="P755" s="28" t="s">
        <v>610</v>
      </c>
      <c r="Q755" s="28" t="s">
        <v>149</v>
      </c>
      <c r="R755" s="28" t="s">
        <v>174</v>
      </c>
      <c r="S755" s="28" t="s">
        <v>15052</v>
      </c>
      <c r="T755" s="30" t="s">
        <v>138</v>
      </c>
      <c r="U755" s="28" t="s">
        <v>138</v>
      </c>
      <c r="V755" s="28" t="s">
        <v>138</v>
      </c>
      <c r="W755" s="28" t="s">
        <v>138</v>
      </c>
      <c r="X755" s="31">
        <v>2012</v>
      </c>
      <c r="Y755" s="28" t="s">
        <v>138</v>
      </c>
      <c r="Z755" s="28" t="s">
        <v>138</v>
      </c>
      <c r="AA755" s="28" t="s">
        <v>138</v>
      </c>
      <c r="AB755" s="32" t="s">
        <v>138</v>
      </c>
      <c r="AC755" s="32" t="s">
        <v>138</v>
      </c>
      <c r="AD755" s="32" t="s">
        <v>138</v>
      </c>
      <c r="AE755" s="32" t="s">
        <v>138</v>
      </c>
      <c r="AF755" s="32" t="s">
        <v>138</v>
      </c>
      <c r="AG755" s="28" t="s">
        <v>138</v>
      </c>
      <c r="AH755" s="32" t="s">
        <v>138</v>
      </c>
      <c r="AI755" s="32" t="s">
        <v>138</v>
      </c>
      <c r="AJ755" s="32" t="s">
        <v>138</v>
      </c>
      <c r="AK755" s="28" t="s">
        <v>15053</v>
      </c>
      <c r="AL755" s="28" t="s">
        <v>15054</v>
      </c>
      <c r="AM755" s="28" t="s">
        <v>304</v>
      </c>
      <c r="AN755" s="28" t="s">
        <v>15055</v>
      </c>
      <c r="AO755" s="28" t="s">
        <v>138</v>
      </c>
      <c r="AP755" s="28" t="s">
        <v>471</v>
      </c>
      <c r="AQ755" s="28" t="s">
        <v>138</v>
      </c>
      <c r="AR755" s="28" t="s">
        <v>138</v>
      </c>
      <c r="AS755" s="28" t="s">
        <v>473</v>
      </c>
      <c r="AT755" s="28" t="s">
        <v>474</v>
      </c>
      <c r="AU755" s="28" t="s">
        <v>138</v>
      </c>
      <c r="AV755" s="28" t="s">
        <v>162</v>
      </c>
      <c r="AW755" s="28" t="s">
        <v>138</v>
      </c>
      <c r="AX755" s="28" t="s">
        <v>138</v>
      </c>
      <c r="AY755" s="28" t="s">
        <v>15056</v>
      </c>
      <c r="AZ755" s="28" t="s">
        <v>164</v>
      </c>
      <c r="BA755" s="28" t="s">
        <v>165</v>
      </c>
      <c r="BB755" s="28" t="s">
        <v>15057</v>
      </c>
      <c r="BC755" s="28" t="s">
        <v>14231</v>
      </c>
      <c r="BD755" s="33">
        <v>3</v>
      </c>
      <c r="BE755" s="28" t="s">
        <v>138</v>
      </c>
      <c r="BF755" s="28" t="s">
        <v>138</v>
      </c>
      <c r="BG755" s="28" t="s">
        <v>138</v>
      </c>
      <c r="BH755" s="28" t="s">
        <v>14232</v>
      </c>
      <c r="BI755" s="28" t="s">
        <v>138</v>
      </c>
      <c r="BJ755" s="28" t="s">
        <v>138</v>
      </c>
      <c r="BK755" s="28" t="s">
        <v>2936</v>
      </c>
      <c r="BL755" s="28" t="s">
        <v>2936</v>
      </c>
      <c r="BM755" s="34">
        <v>42370</v>
      </c>
      <c r="BN755" s="29">
        <v>0.75</v>
      </c>
      <c r="BO755" s="28" t="s">
        <v>172</v>
      </c>
      <c r="BP755" s="29" t="s">
        <v>138</v>
      </c>
      <c r="BQ755" s="28" t="s">
        <v>138</v>
      </c>
      <c r="BR755" s="28" t="s">
        <v>234</v>
      </c>
      <c r="BS755" s="28" t="s">
        <v>234</v>
      </c>
      <c r="BT755" s="28" t="s">
        <v>138</v>
      </c>
      <c r="BU755" s="28" t="s">
        <v>263</v>
      </c>
      <c r="BV755" s="28" t="s">
        <v>138</v>
      </c>
      <c r="BW755" s="28" t="s">
        <v>138</v>
      </c>
      <c r="BX755" s="28" t="s">
        <v>138</v>
      </c>
      <c r="BY755" s="28" t="s">
        <v>175</v>
      </c>
      <c r="BZ755" s="34">
        <v>43125</v>
      </c>
      <c r="CA755" s="29" t="s">
        <v>138</v>
      </c>
      <c r="CB755" s="28" t="s">
        <v>138</v>
      </c>
      <c r="CC755" s="29" t="s">
        <v>138</v>
      </c>
      <c r="CD755" s="28" t="s">
        <v>138</v>
      </c>
      <c r="CE755" s="28" t="s">
        <v>234</v>
      </c>
      <c r="CF755" s="28" t="s">
        <v>234</v>
      </c>
      <c r="CG755" s="28" t="s">
        <v>138</v>
      </c>
      <c r="CH755" s="28" t="s">
        <v>174</v>
      </c>
      <c r="CI755" s="28" t="s">
        <v>138</v>
      </c>
      <c r="CJ755" s="28" t="s">
        <v>138</v>
      </c>
      <c r="CK755" s="28" t="s">
        <v>138</v>
      </c>
      <c r="CL755" s="28" t="s">
        <v>175</v>
      </c>
      <c r="CM755" s="34" t="s">
        <v>138</v>
      </c>
      <c r="CN755" s="29" t="s">
        <v>138</v>
      </c>
      <c r="CO755" s="35">
        <v>0.03</v>
      </c>
      <c r="CP755" s="36">
        <v>86</v>
      </c>
      <c r="CQ755" s="35">
        <v>0</v>
      </c>
      <c r="CR755" s="35">
        <v>5.0199999999999996</v>
      </c>
      <c r="CS755" s="35">
        <v>0</v>
      </c>
      <c r="CT755" s="36">
        <v>23</v>
      </c>
      <c r="CU755" s="35">
        <v>0.1</v>
      </c>
      <c r="CV755" s="36">
        <v>68</v>
      </c>
      <c r="CW755" s="35" t="s">
        <v>138</v>
      </c>
      <c r="CX755" s="36" t="s">
        <v>138</v>
      </c>
      <c r="CY755" s="35">
        <v>0</v>
      </c>
      <c r="CZ755" s="36">
        <v>25</v>
      </c>
      <c r="DA755" s="35">
        <v>0.23</v>
      </c>
      <c r="DB755" s="36">
        <v>85</v>
      </c>
      <c r="DC755" s="37">
        <v>5.01</v>
      </c>
      <c r="DD755" s="36">
        <v>83</v>
      </c>
      <c r="DE755" s="37">
        <v>0.01</v>
      </c>
      <c r="DF755" s="35">
        <v>0.21</v>
      </c>
      <c r="DG755" s="37">
        <v>1.21</v>
      </c>
      <c r="DH755" s="36">
        <v>55</v>
      </c>
      <c r="DI755" s="37">
        <v>13.53</v>
      </c>
      <c r="DJ755" s="36">
        <v>88</v>
      </c>
      <c r="DK755" s="37" t="s">
        <v>138</v>
      </c>
      <c r="DL755" s="36" t="s">
        <v>138</v>
      </c>
      <c r="DM755" s="37">
        <v>1.21</v>
      </c>
      <c r="DN755" s="36">
        <v>54</v>
      </c>
      <c r="DO755" s="37">
        <v>7.38</v>
      </c>
      <c r="DP755" s="36">
        <v>84</v>
      </c>
      <c r="DQ755" s="36" t="s">
        <v>138</v>
      </c>
      <c r="DR755" s="38" t="s">
        <v>138</v>
      </c>
      <c r="DS755" s="35" t="s">
        <v>138</v>
      </c>
      <c r="DT755" s="36">
        <v>35</v>
      </c>
      <c r="DU755" s="38">
        <v>0</v>
      </c>
      <c r="DV755" s="35">
        <v>0</v>
      </c>
      <c r="DW755" s="36">
        <v>2638</v>
      </c>
      <c r="DX755" s="39">
        <v>4</v>
      </c>
      <c r="DY755" s="35">
        <v>0.15</v>
      </c>
      <c r="DZ755" s="28" t="s">
        <v>178</v>
      </c>
      <c r="EA755" s="34">
        <v>43622</v>
      </c>
      <c r="EB755" s="29">
        <v>0.33</v>
      </c>
      <c r="EC755" s="34">
        <v>42646</v>
      </c>
      <c r="ED755" s="28" t="s">
        <v>316</v>
      </c>
      <c r="EE755" s="40" t="str">
        <f>HYPERLINK("https://my.pitchbook.com?c=88214-50", "View company online")</f>
        <v>View company online</v>
      </c>
    </row>
    <row r="756" spans="1:135">
      <c r="A756" s="15" t="s">
        <v>15058</v>
      </c>
      <c r="B756" s="15" t="s">
        <v>15059</v>
      </c>
      <c r="C756" s="15" t="s">
        <v>138</v>
      </c>
      <c r="D756" s="15" t="s">
        <v>138</v>
      </c>
      <c r="E756" s="15" t="s">
        <v>138</v>
      </c>
      <c r="F756" s="15" t="s">
        <v>15058</v>
      </c>
      <c r="G756" s="15" t="s">
        <v>15060</v>
      </c>
      <c r="H756" s="15" t="s">
        <v>322</v>
      </c>
      <c r="I756" s="15" t="s">
        <v>323</v>
      </c>
      <c r="J756" s="15" t="s">
        <v>539</v>
      </c>
      <c r="K756" s="15" t="s">
        <v>15061</v>
      </c>
      <c r="L756" s="15" t="s">
        <v>15062</v>
      </c>
      <c r="M756" s="15" t="s">
        <v>15063</v>
      </c>
      <c r="N756" s="15" t="s">
        <v>147</v>
      </c>
      <c r="O756" s="17">
        <v>2.65</v>
      </c>
      <c r="P756" s="15" t="s">
        <v>610</v>
      </c>
      <c r="Q756" s="15" t="s">
        <v>149</v>
      </c>
      <c r="R756" s="15" t="s">
        <v>174</v>
      </c>
      <c r="S756" s="15" t="s">
        <v>15064</v>
      </c>
      <c r="T756" s="18" t="s">
        <v>138</v>
      </c>
      <c r="U756" s="15" t="s">
        <v>138</v>
      </c>
      <c r="V756" s="15" t="s">
        <v>138</v>
      </c>
      <c r="W756" s="15" t="s">
        <v>138</v>
      </c>
      <c r="X756" s="19">
        <v>2017</v>
      </c>
      <c r="Y756" s="15" t="s">
        <v>138</v>
      </c>
      <c r="Z756" s="15" t="s">
        <v>138</v>
      </c>
      <c r="AA756" s="15" t="s">
        <v>138</v>
      </c>
      <c r="AB756" s="20" t="s">
        <v>138</v>
      </c>
      <c r="AC756" s="20" t="s">
        <v>138</v>
      </c>
      <c r="AD756" s="20" t="s">
        <v>138</v>
      </c>
      <c r="AE756" s="20" t="s">
        <v>138</v>
      </c>
      <c r="AF756" s="20" t="s">
        <v>138</v>
      </c>
      <c r="AG756" s="15" t="s">
        <v>138</v>
      </c>
      <c r="AH756" s="20" t="s">
        <v>138</v>
      </c>
      <c r="AI756" s="20" t="s">
        <v>138</v>
      </c>
      <c r="AJ756" s="20" t="s">
        <v>138</v>
      </c>
      <c r="AK756" s="15" t="s">
        <v>15065</v>
      </c>
      <c r="AL756" s="15" t="s">
        <v>15066</v>
      </c>
      <c r="AM756" s="15" t="s">
        <v>15067</v>
      </c>
      <c r="AN756" s="15" t="s">
        <v>15068</v>
      </c>
      <c r="AO756" s="15" t="s">
        <v>15069</v>
      </c>
      <c r="AP756" s="15" t="s">
        <v>2928</v>
      </c>
      <c r="AQ756" s="15" t="s">
        <v>15070</v>
      </c>
      <c r="AR756" s="15" t="s">
        <v>138</v>
      </c>
      <c r="AS756" s="15" t="s">
        <v>2931</v>
      </c>
      <c r="AT756" s="15" t="s">
        <v>200</v>
      </c>
      <c r="AU756" s="15" t="s">
        <v>2932</v>
      </c>
      <c r="AV756" s="15" t="s">
        <v>162</v>
      </c>
      <c r="AW756" s="15" t="s">
        <v>15069</v>
      </c>
      <c r="AX756" s="15" t="s">
        <v>138</v>
      </c>
      <c r="AY756" s="15" t="s">
        <v>15071</v>
      </c>
      <c r="AZ756" s="15" t="s">
        <v>164</v>
      </c>
      <c r="BA756" s="15" t="s">
        <v>165</v>
      </c>
      <c r="BB756" s="15" t="s">
        <v>15072</v>
      </c>
      <c r="BC756" s="15" t="s">
        <v>15073</v>
      </c>
      <c r="BD756" s="21">
        <v>5</v>
      </c>
      <c r="BE756" s="15" t="s">
        <v>138</v>
      </c>
      <c r="BF756" s="15" t="s">
        <v>138</v>
      </c>
      <c r="BG756" s="15" t="s">
        <v>138</v>
      </c>
      <c r="BH756" s="15" t="s">
        <v>15074</v>
      </c>
      <c r="BI756" s="15" t="s">
        <v>138</v>
      </c>
      <c r="BJ756" s="15" t="s">
        <v>138</v>
      </c>
      <c r="BK756" s="15" t="s">
        <v>3826</v>
      </c>
      <c r="BL756" s="15" t="s">
        <v>3826</v>
      </c>
      <c r="BM756" s="22">
        <v>43221</v>
      </c>
      <c r="BN756" s="17">
        <v>2.65</v>
      </c>
      <c r="BO756" s="15" t="s">
        <v>172</v>
      </c>
      <c r="BP756" s="17">
        <v>9</v>
      </c>
      <c r="BQ756" s="15" t="s">
        <v>172</v>
      </c>
      <c r="BR756" s="15" t="s">
        <v>234</v>
      </c>
      <c r="BS756" s="15" t="s">
        <v>234</v>
      </c>
      <c r="BT756" s="15" t="s">
        <v>138</v>
      </c>
      <c r="BU756" s="15" t="s">
        <v>174</v>
      </c>
      <c r="BV756" s="15" t="s">
        <v>138</v>
      </c>
      <c r="BW756" s="15" t="s">
        <v>138</v>
      </c>
      <c r="BX756" s="15" t="s">
        <v>138</v>
      </c>
      <c r="BY756" s="15" t="s">
        <v>175</v>
      </c>
      <c r="BZ756" s="22">
        <v>43221</v>
      </c>
      <c r="CA756" s="17">
        <v>2.65</v>
      </c>
      <c r="CB756" s="15" t="s">
        <v>172</v>
      </c>
      <c r="CC756" s="17">
        <v>9</v>
      </c>
      <c r="CD756" s="15" t="s">
        <v>172</v>
      </c>
      <c r="CE756" s="15" t="s">
        <v>234</v>
      </c>
      <c r="CF756" s="15" t="s">
        <v>234</v>
      </c>
      <c r="CG756" s="15" t="s">
        <v>138</v>
      </c>
      <c r="CH756" s="15" t="s">
        <v>174</v>
      </c>
      <c r="CI756" s="15" t="s">
        <v>138</v>
      </c>
      <c r="CJ756" s="15" t="s">
        <v>138</v>
      </c>
      <c r="CK756" s="15" t="s">
        <v>138</v>
      </c>
      <c r="CL756" s="15" t="s">
        <v>175</v>
      </c>
      <c r="CM756" s="22" t="s">
        <v>138</v>
      </c>
      <c r="CN756" s="17" t="s">
        <v>138</v>
      </c>
      <c r="CO756" s="23">
        <v>0</v>
      </c>
      <c r="CP756" s="24">
        <v>26</v>
      </c>
      <c r="CQ756" s="23">
        <v>0</v>
      </c>
      <c r="CR756" s="23">
        <v>0</v>
      </c>
      <c r="CS756" s="23">
        <v>0</v>
      </c>
      <c r="CT756" s="24">
        <v>23</v>
      </c>
      <c r="CU756" s="23" t="s">
        <v>138</v>
      </c>
      <c r="CV756" s="24" t="s">
        <v>138</v>
      </c>
      <c r="CW756" s="23">
        <v>0</v>
      </c>
      <c r="CX756" s="24">
        <v>13</v>
      </c>
      <c r="CY756" s="23">
        <v>0</v>
      </c>
      <c r="CZ756" s="24">
        <v>25</v>
      </c>
      <c r="DA756" s="23" t="s">
        <v>138</v>
      </c>
      <c r="DB756" s="24" t="s">
        <v>138</v>
      </c>
      <c r="DC756" s="25">
        <v>1.36</v>
      </c>
      <c r="DD756" s="24">
        <v>58</v>
      </c>
      <c r="DE756" s="25">
        <v>-0.09</v>
      </c>
      <c r="DF756" s="23">
        <v>-6.17</v>
      </c>
      <c r="DG756" s="25">
        <v>1.36</v>
      </c>
      <c r="DH756" s="24">
        <v>58</v>
      </c>
      <c r="DI756" s="25" t="s">
        <v>138</v>
      </c>
      <c r="DJ756" s="24" t="s">
        <v>138</v>
      </c>
      <c r="DK756" s="25">
        <v>0.59</v>
      </c>
      <c r="DL756" s="24">
        <v>38</v>
      </c>
      <c r="DM756" s="25">
        <v>2.14</v>
      </c>
      <c r="DN756" s="24">
        <v>67</v>
      </c>
      <c r="DO756" s="25" t="s">
        <v>138</v>
      </c>
      <c r="DP756" s="24" t="s">
        <v>138</v>
      </c>
      <c r="DQ756" s="24">
        <v>221</v>
      </c>
      <c r="DR756" s="26">
        <v>-55</v>
      </c>
      <c r="DS756" s="23">
        <v>-19.93</v>
      </c>
      <c r="DT756" s="24">
        <v>63</v>
      </c>
      <c r="DU756" s="26">
        <v>-2</v>
      </c>
      <c r="DV756" s="23">
        <v>-3.08</v>
      </c>
      <c r="DW756" s="24" t="s">
        <v>138</v>
      </c>
      <c r="DX756" s="27" t="s">
        <v>138</v>
      </c>
      <c r="DY756" s="23" t="s">
        <v>138</v>
      </c>
      <c r="DZ756" s="15" t="s">
        <v>178</v>
      </c>
      <c r="EA756" s="22">
        <v>43461</v>
      </c>
      <c r="EB756" s="17">
        <v>9</v>
      </c>
      <c r="EC756" s="22">
        <v>43221</v>
      </c>
      <c r="ED756" s="15" t="s">
        <v>234</v>
      </c>
      <c r="EE756" s="14" t="str">
        <f>HYPERLINK("https://my.pitchbook.com?c=227376-46", "View company online")</f>
        <v>View company online</v>
      </c>
    </row>
    <row r="757" spans="1:135">
      <c r="A757" s="28" t="s">
        <v>15075</v>
      </c>
      <c r="B757" s="28" t="s">
        <v>15076</v>
      </c>
      <c r="C757" s="28" t="s">
        <v>15077</v>
      </c>
      <c r="D757" s="28" t="s">
        <v>138</v>
      </c>
      <c r="E757" s="28" t="s">
        <v>15078</v>
      </c>
      <c r="F757" s="28" t="s">
        <v>15075</v>
      </c>
      <c r="G757" s="28" t="s">
        <v>15079</v>
      </c>
      <c r="H757" s="28" t="s">
        <v>322</v>
      </c>
      <c r="I757" s="28" t="s">
        <v>323</v>
      </c>
      <c r="J757" s="28" t="s">
        <v>324</v>
      </c>
      <c r="K757" s="28" t="s">
        <v>3192</v>
      </c>
      <c r="L757" s="28" t="s">
        <v>4503</v>
      </c>
      <c r="M757" s="28" t="s">
        <v>15080</v>
      </c>
      <c r="N757" s="28" t="s">
        <v>147</v>
      </c>
      <c r="O757" s="29">
        <v>90.11</v>
      </c>
      <c r="P757" s="28" t="s">
        <v>148</v>
      </c>
      <c r="Q757" s="28" t="s">
        <v>149</v>
      </c>
      <c r="R757" s="28" t="s">
        <v>174</v>
      </c>
      <c r="S757" s="28" t="s">
        <v>15081</v>
      </c>
      <c r="T757" s="30">
        <v>200</v>
      </c>
      <c r="U757" s="28" t="s">
        <v>15082</v>
      </c>
      <c r="V757" s="28" t="s">
        <v>138</v>
      </c>
      <c r="W757" s="28" t="s">
        <v>138</v>
      </c>
      <c r="X757" s="31">
        <v>2008</v>
      </c>
      <c r="Y757" s="28" t="s">
        <v>138</v>
      </c>
      <c r="Z757" s="28" t="s">
        <v>138</v>
      </c>
      <c r="AA757" s="28" t="s">
        <v>138</v>
      </c>
      <c r="AB757" s="32" t="s">
        <v>138</v>
      </c>
      <c r="AC757" s="32" t="s">
        <v>138</v>
      </c>
      <c r="AD757" s="32" t="s">
        <v>138</v>
      </c>
      <c r="AE757" s="32" t="s">
        <v>138</v>
      </c>
      <c r="AF757" s="32" t="s">
        <v>138</v>
      </c>
      <c r="AG757" s="28" t="s">
        <v>138</v>
      </c>
      <c r="AH757" s="32" t="s">
        <v>138</v>
      </c>
      <c r="AI757" s="32" t="s">
        <v>138</v>
      </c>
      <c r="AJ757" s="32" t="s">
        <v>138</v>
      </c>
      <c r="AK757" s="28" t="s">
        <v>15083</v>
      </c>
      <c r="AL757" s="28" t="s">
        <v>15084</v>
      </c>
      <c r="AM757" s="28" t="s">
        <v>15085</v>
      </c>
      <c r="AN757" s="28" t="s">
        <v>15086</v>
      </c>
      <c r="AO757" s="28" t="s">
        <v>15087</v>
      </c>
      <c r="AP757" s="28" t="s">
        <v>2649</v>
      </c>
      <c r="AQ757" s="28" t="s">
        <v>15088</v>
      </c>
      <c r="AR757" s="28" t="s">
        <v>15089</v>
      </c>
      <c r="AS757" s="28" t="s">
        <v>2651</v>
      </c>
      <c r="AT757" s="28" t="s">
        <v>200</v>
      </c>
      <c r="AU757" s="28" t="s">
        <v>2652</v>
      </c>
      <c r="AV757" s="28" t="s">
        <v>162</v>
      </c>
      <c r="AW757" s="28" t="s">
        <v>15087</v>
      </c>
      <c r="AX757" s="28" t="s">
        <v>138</v>
      </c>
      <c r="AY757" s="28" t="s">
        <v>15090</v>
      </c>
      <c r="AZ757" s="28" t="s">
        <v>164</v>
      </c>
      <c r="BA757" s="28" t="s">
        <v>165</v>
      </c>
      <c r="BB757" s="28" t="s">
        <v>15091</v>
      </c>
      <c r="BC757" s="28" t="s">
        <v>15092</v>
      </c>
      <c r="BD757" s="33">
        <v>10</v>
      </c>
      <c r="BE757" s="28" t="s">
        <v>138</v>
      </c>
      <c r="BF757" s="28" t="s">
        <v>138</v>
      </c>
      <c r="BG757" s="28" t="s">
        <v>138</v>
      </c>
      <c r="BH757" s="28" t="s">
        <v>15093</v>
      </c>
      <c r="BI757" s="28" t="s">
        <v>138</v>
      </c>
      <c r="BJ757" s="28" t="s">
        <v>138</v>
      </c>
      <c r="BK757" s="28" t="s">
        <v>1275</v>
      </c>
      <c r="BL757" s="28" t="s">
        <v>1275</v>
      </c>
      <c r="BM757" s="34">
        <v>39714</v>
      </c>
      <c r="BN757" s="29">
        <v>6.08</v>
      </c>
      <c r="BO757" s="28" t="s">
        <v>172</v>
      </c>
      <c r="BP757" s="29">
        <v>13.75</v>
      </c>
      <c r="BQ757" s="28" t="s">
        <v>172</v>
      </c>
      <c r="BR757" s="28" t="s">
        <v>205</v>
      </c>
      <c r="BS757" s="28" t="s">
        <v>206</v>
      </c>
      <c r="BT757" s="28" t="s">
        <v>138</v>
      </c>
      <c r="BU757" s="28" t="s">
        <v>174</v>
      </c>
      <c r="BV757" s="28" t="s">
        <v>138</v>
      </c>
      <c r="BW757" s="28" t="s">
        <v>138</v>
      </c>
      <c r="BX757" s="28" t="s">
        <v>138</v>
      </c>
      <c r="BY757" s="28" t="s">
        <v>175</v>
      </c>
      <c r="BZ757" s="34">
        <v>42745</v>
      </c>
      <c r="CA757" s="29">
        <v>32</v>
      </c>
      <c r="CB757" s="28" t="s">
        <v>172</v>
      </c>
      <c r="CC757" s="29">
        <v>86.5</v>
      </c>
      <c r="CD757" s="28" t="s">
        <v>172</v>
      </c>
      <c r="CE757" s="28" t="s">
        <v>173</v>
      </c>
      <c r="CF757" s="28" t="s">
        <v>482</v>
      </c>
      <c r="CG757" s="28" t="s">
        <v>138</v>
      </c>
      <c r="CH757" s="28" t="s">
        <v>174</v>
      </c>
      <c r="CI757" s="28" t="s">
        <v>138</v>
      </c>
      <c r="CJ757" s="28" t="s">
        <v>138</v>
      </c>
      <c r="CK757" s="28" t="s">
        <v>138</v>
      </c>
      <c r="CL757" s="28" t="s">
        <v>175</v>
      </c>
      <c r="CM757" s="34" t="s">
        <v>138</v>
      </c>
      <c r="CN757" s="29" t="s">
        <v>138</v>
      </c>
      <c r="CO757" s="35">
        <v>-1.41</v>
      </c>
      <c r="CP757" s="36">
        <v>8</v>
      </c>
      <c r="CQ757" s="35">
        <v>-0.03</v>
      </c>
      <c r="CR757" s="35">
        <v>-2.0299999999999998</v>
      </c>
      <c r="CS757" s="35">
        <v>-3.05</v>
      </c>
      <c r="CT757" s="36">
        <v>5</v>
      </c>
      <c r="CU757" s="35">
        <v>0.23</v>
      </c>
      <c r="CV757" s="36">
        <v>83</v>
      </c>
      <c r="CW757" s="35">
        <v>-3.39</v>
      </c>
      <c r="CX757" s="36">
        <v>5</v>
      </c>
      <c r="CY757" s="35">
        <v>-2.7</v>
      </c>
      <c r="CZ757" s="36">
        <v>8</v>
      </c>
      <c r="DA757" s="35">
        <v>0.23</v>
      </c>
      <c r="DB757" s="36">
        <v>85</v>
      </c>
      <c r="DC757" s="37">
        <v>5.45</v>
      </c>
      <c r="DD757" s="36">
        <v>84</v>
      </c>
      <c r="DE757" s="37">
        <v>-0.19</v>
      </c>
      <c r="DF757" s="35">
        <v>-3.3</v>
      </c>
      <c r="DG757" s="37">
        <v>6.97</v>
      </c>
      <c r="DH757" s="36">
        <v>86</v>
      </c>
      <c r="DI757" s="37">
        <v>3.94</v>
      </c>
      <c r="DJ757" s="36">
        <v>74</v>
      </c>
      <c r="DK757" s="37">
        <v>4.26</v>
      </c>
      <c r="DL757" s="36">
        <v>77</v>
      </c>
      <c r="DM757" s="37">
        <v>9.69</v>
      </c>
      <c r="DN757" s="36">
        <v>88</v>
      </c>
      <c r="DO757" s="37">
        <v>3.94</v>
      </c>
      <c r="DP757" s="36">
        <v>76</v>
      </c>
      <c r="DQ757" s="36">
        <v>1483</v>
      </c>
      <c r="DR757" s="38">
        <v>-70</v>
      </c>
      <c r="DS757" s="35">
        <v>-4.51</v>
      </c>
      <c r="DT757" s="36">
        <v>283</v>
      </c>
      <c r="DU757" s="38">
        <v>-5</v>
      </c>
      <c r="DV757" s="35">
        <v>-1.74</v>
      </c>
      <c r="DW757" s="36">
        <v>1409</v>
      </c>
      <c r="DX757" s="39">
        <v>1</v>
      </c>
      <c r="DY757" s="35">
        <v>7.0000000000000007E-2</v>
      </c>
      <c r="DZ757" s="28" t="s">
        <v>178</v>
      </c>
      <c r="EA757" s="34">
        <v>43622</v>
      </c>
      <c r="EB757" s="29">
        <v>86.5</v>
      </c>
      <c r="EC757" s="34">
        <v>42745</v>
      </c>
      <c r="ED757" s="28" t="s">
        <v>173</v>
      </c>
      <c r="EE757" s="40" t="str">
        <f>HYPERLINK("https://my.pitchbook.com?c=51365-35", "View company online")</f>
        <v>View company online</v>
      </c>
    </row>
    <row r="758" spans="1:135">
      <c r="A758" s="15" t="s">
        <v>15094</v>
      </c>
      <c r="B758" s="15" t="s">
        <v>15095</v>
      </c>
      <c r="C758" s="15" t="s">
        <v>15096</v>
      </c>
      <c r="D758" s="15" t="s">
        <v>15097</v>
      </c>
      <c r="E758" s="15" t="s">
        <v>138</v>
      </c>
      <c r="F758" s="15" t="s">
        <v>15094</v>
      </c>
      <c r="G758" s="15" t="s">
        <v>15098</v>
      </c>
      <c r="H758" s="15" t="s">
        <v>385</v>
      </c>
      <c r="I758" s="15" t="s">
        <v>1991</v>
      </c>
      <c r="J758" s="15" t="s">
        <v>4454</v>
      </c>
      <c r="K758" s="15" t="s">
        <v>15099</v>
      </c>
      <c r="L758" s="15" t="s">
        <v>138</v>
      </c>
      <c r="M758" s="15" t="s">
        <v>15100</v>
      </c>
      <c r="N758" s="15" t="s">
        <v>147</v>
      </c>
      <c r="O758" s="17">
        <v>27</v>
      </c>
      <c r="P758" s="15" t="s">
        <v>148</v>
      </c>
      <c r="Q758" s="15" t="s">
        <v>149</v>
      </c>
      <c r="R758" s="15" t="s">
        <v>174</v>
      </c>
      <c r="S758" s="15" t="s">
        <v>15101</v>
      </c>
      <c r="T758" s="18">
        <v>17</v>
      </c>
      <c r="U758" s="15" t="s">
        <v>15102</v>
      </c>
      <c r="V758" s="15" t="s">
        <v>138</v>
      </c>
      <c r="W758" s="15" t="s">
        <v>138</v>
      </c>
      <c r="X758" s="19">
        <v>2006</v>
      </c>
      <c r="Y758" s="15" t="s">
        <v>138</v>
      </c>
      <c r="Z758" s="15" t="s">
        <v>138</v>
      </c>
      <c r="AA758" s="15" t="s">
        <v>138</v>
      </c>
      <c r="AB758" s="20" t="s">
        <v>138</v>
      </c>
      <c r="AC758" s="20" t="s">
        <v>138</v>
      </c>
      <c r="AD758" s="20" t="s">
        <v>138</v>
      </c>
      <c r="AE758" s="20" t="s">
        <v>138</v>
      </c>
      <c r="AF758" s="20" t="s">
        <v>138</v>
      </c>
      <c r="AG758" s="15" t="s">
        <v>138</v>
      </c>
      <c r="AH758" s="20" t="s">
        <v>138</v>
      </c>
      <c r="AI758" s="20" t="s">
        <v>138</v>
      </c>
      <c r="AJ758" s="20" t="s">
        <v>138</v>
      </c>
      <c r="AK758" s="15" t="s">
        <v>15103</v>
      </c>
      <c r="AL758" s="15" t="s">
        <v>15104</v>
      </c>
      <c r="AM758" s="15" t="s">
        <v>249</v>
      </c>
      <c r="AN758" s="15" t="s">
        <v>15105</v>
      </c>
      <c r="AO758" s="15" t="s">
        <v>15106</v>
      </c>
      <c r="AP758" s="15" t="s">
        <v>15107</v>
      </c>
      <c r="AQ758" s="15" t="s">
        <v>15108</v>
      </c>
      <c r="AR758" s="15" t="s">
        <v>1170</v>
      </c>
      <c r="AS758" s="15" t="s">
        <v>15109</v>
      </c>
      <c r="AT758" s="15" t="s">
        <v>15110</v>
      </c>
      <c r="AU758" s="15" t="s">
        <v>15111</v>
      </c>
      <c r="AV758" s="15" t="s">
        <v>2742</v>
      </c>
      <c r="AW758" s="15" t="s">
        <v>15112</v>
      </c>
      <c r="AX758" s="15" t="s">
        <v>15113</v>
      </c>
      <c r="AY758" s="15" t="s">
        <v>15114</v>
      </c>
      <c r="AZ758" s="15" t="s">
        <v>164</v>
      </c>
      <c r="BA758" s="15" t="s">
        <v>165</v>
      </c>
      <c r="BB758" s="15" t="s">
        <v>15115</v>
      </c>
      <c r="BC758" s="15" t="s">
        <v>15116</v>
      </c>
      <c r="BD758" s="21">
        <v>3</v>
      </c>
      <c r="BE758" s="15" t="s">
        <v>138</v>
      </c>
      <c r="BF758" s="15" t="s">
        <v>15117</v>
      </c>
      <c r="BG758" s="15" t="s">
        <v>138</v>
      </c>
      <c r="BH758" s="15" t="s">
        <v>15118</v>
      </c>
      <c r="BI758" s="15" t="s">
        <v>9745</v>
      </c>
      <c r="BJ758" s="15" t="s">
        <v>138</v>
      </c>
      <c r="BK758" s="15" t="s">
        <v>138</v>
      </c>
      <c r="BL758" s="15" t="s">
        <v>15119</v>
      </c>
      <c r="BM758" s="22">
        <v>38718</v>
      </c>
      <c r="BN758" s="17" t="s">
        <v>138</v>
      </c>
      <c r="BO758" s="15" t="s">
        <v>138</v>
      </c>
      <c r="BP758" s="17" t="s">
        <v>138</v>
      </c>
      <c r="BQ758" s="15" t="s">
        <v>138</v>
      </c>
      <c r="BR758" s="15" t="s">
        <v>1423</v>
      </c>
      <c r="BS758" s="15" t="s">
        <v>138</v>
      </c>
      <c r="BT758" s="15" t="s">
        <v>138</v>
      </c>
      <c r="BU758" s="15" t="s">
        <v>780</v>
      </c>
      <c r="BV758" s="15" t="s">
        <v>138</v>
      </c>
      <c r="BW758" s="15" t="s">
        <v>138</v>
      </c>
      <c r="BX758" s="15" t="s">
        <v>138</v>
      </c>
      <c r="BY758" s="15" t="s">
        <v>175</v>
      </c>
      <c r="BZ758" s="22">
        <v>41640</v>
      </c>
      <c r="CA758" s="17" t="s">
        <v>138</v>
      </c>
      <c r="CB758" s="15" t="s">
        <v>138</v>
      </c>
      <c r="CC758" s="17" t="s">
        <v>138</v>
      </c>
      <c r="CD758" s="15" t="s">
        <v>138</v>
      </c>
      <c r="CE758" s="15" t="s">
        <v>379</v>
      </c>
      <c r="CF758" s="15" t="s">
        <v>138</v>
      </c>
      <c r="CG758" s="15" t="s">
        <v>138</v>
      </c>
      <c r="CH758" s="15" t="s">
        <v>174</v>
      </c>
      <c r="CI758" s="15" t="s">
        <v>138</v>
      </c>
      <c r="CJ758" s="15" t="s">
        <v>138</v>
      </c>
      <c r="CK758" s="15" t="s">
        <v>138</v>
      </c>
      <c r="CL758" s="15" t="s">
        <v>175</v>
      </c>
      <c r="CM758" s="22" t="s">
        <v>138</v>
      </c>
      <c r="CN758" s="17" t="s">
        <v>138</v>
      </c>
      <c r="CO758" s="23">
        <v>0.5</v>
      </c>
      <c r="CP758" s="24">
        <v>95</v>
      </c>
      <c r="CQ758" s="23">
        <v>-0.08</v>
      </c>
      <c r="CR758" s="23">
        <v>-14.05</v>
      </c>
      <c r="CS758" s="23">
        <v>0.56999999999999995</v>
      </c>
      <c r="CT758" s="24">
        <v>96</v>
      </c>
      <c r="CU758" s="23">
        <v>0.43</v>
      </c>
      <c r="CV758" s="24">
        <v>92</v>
      </c>
      <c r="CW758" s="23" t="s">
        <v>138</v>
      </c>
      <c r="CX758" s="24" t="s">
        <v>138</v>
      </c>
      <c r="CY758" s="23">
        <v>0.56999999999999995</v>
      </c>
      <c r="CZ758" s="24">
        <v>99</v>
      </c>
      <c r="DA758" s="23">
        <v>0.43</v>
      </c>
      <c r="DB758" s="24">
        <v>93</v>
      </c>
      <c r="DC758" s="25">
        <v>2.41</v>
      </c>
      <c r="DD758" s="24">
        <v>71</v>
      </c>
      <c r="DE758" s="25">
        <v>-0.03</v>
      </c>
      <c r="DF758" s="23">
        <v>-1.1200000000000001</v>
      </c>
      <c r="DG758" s="25">
        <v>3.72</v>
      </c>
      <c r="DH758" s="24">
        <v>78</v>
      </c>
      <c r="DI758" s="25">
        <v>1.0900000000000001</v>
      </c>
      <c r="DJ758" s="24">
        <v>51</v>
      </c>
      <c r="DK758" s="25" t="s">
        <v>138</v>
      </c>
      <c r="DL758" s="24" t="s">
        <v>138</v>
      </c>
      <c r="DM758" s="25">
        <v>3.72</v>
      </c>
      <c r="DN758" s="24">
        <v>77</v>
      </c>
      <c r="DO758" s="25">
        <v>1.0900000000000001</v>
      </c>
      <c r="DP758" s="24">
        <v>52</v>
      </c>
      <c r="DQ758" s="24" t="s">
        <v>138</v>
      </c>
      <c r="DR758" s="26" t="s">
        <v>138</v>
      </c>
      <c r="DS758" s="23" t="s">
        <v>138</v>
      </c>
      <c r="DT758" s="24">
        <v>108</v>
      </c>
      <c r="DU758" s="26">
        <v>-2</v>
      </c>
      <c r="DV758" s="23">
        <v>-1.82</v>
      </c>
      <c r="DW758" s="24">
        <v>388</v>
      </c>
      <c r="DX758" s="27">
        <v>3</v>
      </c>
      <c r="DY758" s="23">
        <v>0.78</v>
      </c>
      <c r="DZ758" s="15" t="s">
        <v>178</v>
      </c>
      <c r="EA758" s="22">
        <v>43351</v>
      </c>
      <c r="EB758" s="17" t="s">
        <v>138</v>
      </c>
      <c r="EC758" s="22" t="s">
        <v>138</v>
      </c>
      <c r="ED758" s="15" t="s">
        <v>138</v>
      </c>
      <c r="EE758" s="14" t="str">
        <f>HYPERLINK("https://my.pitchbook.com?c=51650-83", "View company online")</f>
        <v>View company online</v>
      </c>
    </row>
    <row r="759" spans="1:135">
      <c r="A759" s="28" t="s">
        <v>15120</v>
      </c>
      <c r="B759" s="28" t="s">
        <v>15121</v>
      </c>
      <c r="C759" s="28" t="s">
        <v>15122</v>
      </c>
      <c r="D759" s="28" t="s">
        <v>138</v>
      </c>
      <c r="E759" s="28" t="s">
        <v>15123</v>
      </c>
      <c r="F759" s="28" t="s">
        <v>15120</v>
      </c>
      <c r="G759" s="28" t="s">
        <v>15124</v>
      </c>
      <c r="H759" s="28" t="s">
        <v>141</v>
      </c>
      <c r="I759" s="28" t="s">
        <v>212</v>
      </c>
      <c r="J759" s="28" t="s">
        <v>655</v>
      </c>
      <c r="K759" s="28" t="s">
        <v>15125</v>
      </c>
      <c r="L759" s="28" t="s">
        <v>2599</v>
      </c>
      <c r="M759" s="28" t="s">
        <v>15126</v>
      </c>
      <c r="N759" s="28" t="s">
        <v>147</v>
      </c>
      <c r="O759" s="29">
        <v>19.7</v>
      </c>
      <c r="P759" s="28" t="s">
        <v>812</v>
      </c>
      <c r="Q759" s="28" t="s">
        <v>149</v>
      </c>
      <c r="R759" s="28" t="s">
        <v>174</v>
      </c>
      <c r="S759" s="28" t="s">
        <v>15127</v>
      </c>
      <c r="T759" s="30">
        <v>55</v>
      </c>
      <c r="U759" s="28" t="s">
        <v>15128</v>
      </c>
      <c r="V759" s="28" t="s">
        <v>138</v>
      </c>
      <c r="W759" s="28" t="s">
        <v>138</v>
      </c>
      <c r="X759" s="31">
        <v>2007</v>
      </c>
      <c r="Y759" s="28" t="s">
        <v>138</v>
      </c>
      <c r="Z759" s="28" t="s">
        <v>138</v>
      </c>
      <c r="AA759" s="28" t="s">
        <v>138</v>
      </c>
      <c r="AB759" s="32">
        <v>13</v>
      </c>
      <c r="AC759" s="32" t="s">
        <v>138</v>
      </c>
      <c r="AD759" s="32" t="s">
        <v>138</v>
      </c>
      <c r="AE759" s="32" t="s">
        <v>138</v>
      </c>
      <c r="AF759" s="32">
        <v>0.9</v>
      </c>
      <c r="AG759" s="28" t="s">
        <v>815</v>
      </c>
      <c r="AH759" s="32" t="s">
        <v>138</v>
      </c>
      <c r="AI759" s="32" t="s">
        <v>138</v>
      </c>
      <c r="AJ759" s="32" t="s">
        <v>138</v>
      </c>
      <c r="AK759" s="28" t="s">
        <v>15129</v>
      </c>
      <c r="AL759" s="28" t="s">
        <v>15130</v>
      </c>
      <c r="AM759" s="28" t="s">
        <v>10390</v>
      </c>
      <c r="AN759" s="28" t="s">
        <v>15131</v>
      </c>
      <c r="AO759" s="28" t="s">
        <v>15132</v>
      </c>
      <c r="AP759" s="28" t="s">
        <v>423</v>
      </c>
      <c r="AQ759" s="28" t="s">
        <v>15133</v>
      </c>
      <c r="AR759" s="28" t="s">
        <v>6874</v>
      </c>
      <c r="AS759" s="28" t="s">
        <v>426</v>
      </c>
      <c r="AT759" s="28" t="s">
        <v>426</v>
      </c>
      <c r="AU759" s="28" t="s">
        <v>15134</v>
      </c>
      <c r="AV759" s="28" t="s">
        <v>162</v>
      </c>
      <c r="AW759" s="28" t="s">
        <v>15132</v>
      </c>
      <c r="AX759" s="28" t="s">
        <v>138</v>
      </c>
      <c r="AY759" s="28" t="s">
        <v>15135</v>
      </c>
      <c r="AZ759" s="28" t="s">
        <v>164</v>
      </c>
      <c r="BA759" s="28" t="s">
        <v>165</v>
      </c>
      <c r="BB759" s="28" t="s">
        <v>15136</v>
      </c>
      <c r="BC759" s="28" t="s">
        <v>15137</v>
      </c>
      <c r="BD759" s="33">
        <v>7</v>
      </c>
      <c r="BE759" s="28" t="s">
        <v>138</v>
      </c>
      <c r="BF759" s="28" t="s">
        <v>138</v>
      </c>
      <c r="BG759" s="28" t="s">
        <v>138</v>
      </c>
      <c r="BH759" s="28" t="s">
        <v>15138</v>
      </c>
      <c r="BI759" s="28" t="s">
        <v>138</v>
      </c>
      <c r="BJ759" s="28" t="s">
        <v>138</v>
      </c>
      <c r="BK759" s="28" t="s">
        <v>15139</v>
      </c>
      <c r="BL759" s="28" t="s">
        <v>15140</v>
      </c>
      <c r="BM759" s="34">
        <v>39448</v>
      </c>
      <c r="BN759" s="29" t="s">
        <v>138</v>
      </c>
      <c r="BO759" s="28" t="s">
        <v>138</v>
      </c>
      <c r="BP759" s="29" t="s">
        <v>138</v>
      </c>
      <c r="BQ759" s="28" t="s">
        <v>138</v>
      </c>
      <c r="BR759" s="28" t="s">
        <v>205</v>
      </c>
      <c r="BS759" s="28" t="s">
        <v>206</v>
      </c>
      <c r="BT759" s="28" t="s">
        <v>138</v>
      </c>
      <c r="BU759" s="28" t="s">
        <v>174</v>
      </c>
      <c r="BV759" s="28" t="s">
        <v>138</v>
      </c>
      <c r="BW759" s="28" t="s">
        <v>138</v>
      </c>
      <c r="BX759" s="28" t="s">
        <v>138</v>
      </c>
      <c r="BY759" s="28" t="s">
        <v>175</v>
      </c>
      <c r="BZ759" s="34">
        <v>42023</v>
      </c>
      <c r="CA759" s="29">
        <v>8</v>
      </c>
      <c r="CB759" s="28" t="s">
        <v>172</v>
      </c>
      <c r="CC759" s="29" t="s">
        <v>138</v>
      </c>
      <c r="CD759" s="28" t="s">
        <v>138</v>
      </c>
      <c r="CE759" s="28" t="s">
        <v>173</v>
      </c>
      <c r="CF759" s="28" t="s">
        <v>2359</v>
      </c>
      <c r="CG759" s="28" t="s">
        <v>138</v>
      </c>
      <c r="CH759" s="28" t="s">
        <v>174</v>
      </c>
      <c r="CI759" s="28" t="s">
        <v>138</v>
      </c>
      <c r="CJ759" s="28" t="s">
        <v>138</v>
      </c>
      <c r="CK759" s="28" t="s">
        <v>138</v>
      </c>
      <c r="CL759" s="28" t="s">
        <v>175</v>
      </c>
      <c r="CM759" s="34" t="s">
        <v>138</v>
      </c>
      <c r="CN759" s="29" t="s">
        <v>138</v>
      </c>
      <c r="CO759" s="35">
        <v>4.0599999999999996</v>
      </c>
      <c r="CP759" s="36">
        <v>100</v>
      </c>
      <c r="CQ759" s="35">
        <v>0</v>
      </c>
      <c r="CR759" s="35">
        <v>-0.05</v>
      </c>
      <c r="CS759" s="35">
        <v>12.62</v>
      </c>
      <c r="CT759" s="36">
        <v>100</v>
      </c>
      <c r="CU759" s="35">
        <v>-0.01</v>
      </c>
      <c r="CV759" s="36">
        <v>20</v>
      </c>
      <c r="CW759" s="35">
        <v>12.62</v>
      </c>
      <c r="CX759" s="36">
        <v>100</v>
      </c>
      <c r="CY759" s="35" t="s">
        <v>138</v>
      </c>
      <c r="CZ759" s="36" t="s">
        <v>138</v>
      </c>
      <c r="DA759" s="35">
        <v>-0.05</v>
      </c>
      <c r="DB759" s="36">
        <v>13</v>
      </c>
      <c r="DC759" s="37">
        <v>6.14</v>
      </c>
      <c r="DD759" s="36">
        <v>85</v>
      </c>
      <c r="DE759" s="37">
        <v>-0.49</v>
      </c>
      <c r="DF759" s="35">
        <v>-7.44</v>
      </c>
      <c r="DG759" s="37">
        <v>11.76</v>
      </c>
      <c r="DH759" s="36">
        <v>91</v>
      </c>
      <c r="DI759" s="37">
        <v>6.55</v>
      </c>
      <c r="DJ759" s="36">
        <v>81</v>
      </c>
      <c r="DK759" s="37">
        <v>11.76</v>
      </c>
      <c r="DL759" s="36">
        <v>88</v>
      </c>
      <c r="DM759" s="37" t="s">
        <v>138</v>
      </c>
      <c r="DN759" s="36" t="s">
        <v>138</v>
      </c>
      <c r="DO759" s="37">
        <v>12.44</v>
      </c>
      <c r="DP759" s="36">
        <v>89</v>
      </c>
      <c r="DQ759" s="36">
        <v>3915</v>
      </c>
      <c r="DR759" s="38">
        <v>352</v>
      </c>
      <c r="DS759" s="35">
        <v>9.8800000000000008</v>
      </c>
      <c r="DT759" s="36" t="s">
        <v>138</v>
      </c>
      <c r="DU759" s="38" t="s">
        <v>138</v>
      </c>
      <c r="DV759" s="35" t="s">
        <v>138</v>
      </c>
      <c r="DW759" s="36">
        <v>4454</v>
      </c>
      <c r="DX759" s="39">
        <v>-3</v>
      </c>
      <c r="DY759" s="35">
        <v>-7.0000000000000007E-2</v>
      </c>
      <c r="DZ759" s="28" t="s">
        <v>178</v>
      </c>
      <c r="EA759" s="34">
        <v>43622</v>
      </c>
      <c r="EB759" s="29" t="s">
        <v>138</v>
      </c>
      <c r="EC759" s="34" t="s">
        <v>138</v>
      </c>
      <c r="ED759" s="28" t="s">
        <v>138</v>
      </c>
      <c r="EE759" s="40" t="str">
        <f>HYPERLINK("https://my.pitchbook.com?c=55193-59", "View company online")</f>
        <v>View company online</v>
      </c>
    </row>
    <row r="760" spans="1:135">
      <c r="A760" s="15" t="s">
        <v>15141</v>
      </c>
      <c r="B760" s="15" t="s">
        <v>15142</v>
      </c>
      <c r="C760" s="15" t="s">
        <v>138</v>
      </c>
      <c r="D760" s="15" t="s">
        <v>138</v>
      </c>
      <c r="E760" s="15" t="s">
        <v>138</v>
      </c>
      <c r="F760" s="15" t="s">
        <v>15141</v>
      </c>
      <c r="G760" s="15" t="s">
        <v>15143</v>
      </c>
      <c r="H760" s="15" t="s">
        <v>141</v>
      </c>
      <c r="I760" s="15" t="s">
        <v>142</v>
      </c>
      <c r="J760" s="15" t="s">
        <v>143</v>
      </c>
      <c r="K760" s="15" t="s">
        <v>15144</v>
      </c>
      <c r="L760" s="15" t="s">
        <v>138</v>
      </c>
      <c r="M760" s="15" t="s">
        <v>15145</v>
      </c>
      <c r="N760" s="15" t="s">
        <v>1452</v>
      </c>
      <c r="O760" s="17">
        <v>47</v>
      </c>
      <c r="P760" s="15" t="s">
        <v>148</v>
      </c>
      <c r="Q760" s="15" t="s">
        <v>149</v>
      </c>
      <c r="R760" s="15" t="s">
        <v>328</v>
      </c>
      <c r="S760" s="15" t="s">
        <v>15146</v>
      </c>
      <c r="T760" s="18" t="s">
        <v>138</v>
      </c>
      <c r="U760" s="15" t="s">
        <v>138</v>
      </c>
      <c r="V760" s="15" t="s">
        <v>138</v>
      </c>
      <c r="W760" s="15" t="s">
        <v>138</v>
      </c>
      <c r="X760" s="19">
        <v>2009</v>
      </c>
      <c r="Y760" s="15" t="s">
        <v>138</v>
      </c>
      <c r="Z760" s="15" t="s">
        <v>138</v>
      </c>
      <c r="AA760" s="15" t="s">
        <v>138</v>
      </c>
      <c r="AB760" s="20" t="s">
        <v>138</v>
      </c>
      <c r="AC760" s="20" t="s">
        <v>138</v>
      </c>
      <c r="AD760" s="20" t="s">
        <v>138</v>
      </c>
      <c r="AE760" s="20" t="s">
        <v>138</v>
      </c>
      <c r="AF760" s="20" t="s">
        <v>138</v>
      </c>
      <c r="AG760" s="15" t="s">
        <v>138</v>
      </c>
      <c r="AH760" s="20" t="s">
        <v>138</v>
      </c>
      <c r="AI760" s="20" t="s">
        <v>138</v>
      </c>
      <c r="AJ760" s="20" t="s">
        <v>138</v>
      </c>
      <c r="AK760" s="15" t="s">
        <v>15147</v>
      </c>
      <c r="AL760" s="15" t="s">
        <v>15148</v>
      </c>
      <c r="AM760" s="15" t="s">
        <v>15149</v>
      </c>
      <c r="AN760" s="15" t="s">
        <v>15150</v>
      </c>
      <c r="AO760" s="15" t="s">
        <v>15151</v>
      </c>
      <c r="AP760" s="15" t="s">
        <v>15152</v>
      </c>
      <c r="AQ760" s="15" t="s">
        <v>15153</v>
      </c>
      <c r="AR760" s="15" t="s">
        <v>138</v>
      </c>
      <c r="AS760" s="15" t="s">
        <v>15154</v>
      </c>
      <c r="AT760" s="15" t="s">
        <v>138</v>
      </c>
      <c r="AU760" s="15" t="s">
        <v>138</v>
      </c>
      <c r="AV760" s="15" t="s">
        <v>2071</v>
      </c>
      <c r="AW760" s="15" t="s">
        <v>15151</v>
      </c>
      <c r="AX760" s="15" t="s">
        <v>15155</v>
      </c>
      <c r="AY760" s="15" t="s">
        <v>15156</v>
      </c>
      <c r="AZ760" s="15" t="s">
        <v>452</v>
      </c>
      <c r="BA760" s="15" t="s">
        <v>453</v>
      </c>
      <c r="BB760" s="15" t="s">
        <v>15157</v>
      </c>
      <c r="BC760" s="15" t="s">
        <v>15158</v>
      </c>
      <c r="BD760" s="21">
        <v>4</v>
      </c>
      <c r="BE760" s="15" t="s">
        <v>138</v>
      </c>
      <c r="BF760" s="15" t="s">
        <v>15159</v>
      </c>
      <c r="BG760" s="15" t="s">
        <v>138</v>
      </c>
      <c r="BH760" s="15" t="s">
        <v>15160</v>
      </c>
      <c r="BI760" s="15" t="s">
        <v>2077</v>
      </c>
      <c r="BJ760" s="15" t="s">
        <v>138</v>
      </c>
      <c r="BK760" s="15" t="s">
        <v>138</v>
      </c>
      <c r="BL760" s="15" t="s">
        <v>138</v>
      </c>
      <c r="BM760" s="22" t="s">
        <v>138</v>
      </c>
      <c r="BN760" s="17" t="s">
        <v>138</v>
      </c>
      <c r="BO760" s="15" t="s">
        <v>138</v>
      </c>
      <c r="BP760" s="17" t="s">
        <v>138</v>
      </c>
      <c r="BQ760" s="15" t="s">
        <v>138</v>
      </c>
      <c r="BR760" s="15" t="s">
        <v>205</v>
      </c>
      <c r="BS760" s="15" t="s">
        <v>138</v>
      </c>
      <c r="BT760" s="15" t="s">
        <v>138</v>
      </c>
      <c r="BU760" s="15" t="s">
        <v>174</v>
      </c>
      <c r="BV760" s="15" t="s">
        <v>138</v>
      </c>
      <c r="BW760" s="15" t="s">
        <v>138</v>
      </c>
      <c r="BX760" s="15" t="s">
        <v>138</v>
      </c>
      <c r="BY760" s="15" t="s">
        <v>175</v>
      </c>
      <c r="BZ760" s="22">
        <v>41426</v>
      </c>
      <c r="CA760" s="17">
        <v>47</v>
      </c>
      <c r="CB760" s="15" t="s">
        <v>172</v>
      </c>
      <c r="CC760" s="17" t="s">
        <v>138</v>
      </c>
      <c r="CD760" s="15" t="s">
        <v>138</v>
      </c>
      <c r="CE760" s="15" t="s">
        <v>1673</v>
      </c>
      <c r="CF760" s="15" t="s">
        <v>138</v>
      </c>
      <c r="CG760" s="15" t="s">
        <v>138</v>
      </c>
      <c r="CH760" s="15" t="s">
        <v>351</v>
      </c>
      <c r="CI760" s="15" t="s">
        <v>138</v>
      </c>
      <c r="CJ760" s="15" t="s">
        <v>138</v>
      </c>
      <c r="CK760" s="15" t="s">
        <v>138</v>
      </c>
      <c r="CL760" s="15" t="s">
        <v>175</v>
      </c>
      <c r="CM760" s="22" t="s">
        <v>138</v>
      </c>
      <c r="CN760" s="17" t="s">
        <v>138</v>
      </c>
      <c r="CO760" s="23">
        <v>0</v>
      </c>
      <c r="CP760" s="24">
        <v>26</v>
      </c>
      <c r="CQ760" s="23">
        <v>0</v>
      </c>
      <c r="CR760" s="23">
        <v>0</v>
      </c>
      <c r="CS760" s="23">
        <v>0</v>
      </c>
      <c r="CT760" s="24">
        <v>23</v>
      </c>
      <c r="CU760" s="23" t="s">
        <v>138</v>
      </c>
      <c r="CV760" s="24" t="s">
        <v>138</v>
      </c>
      <c r="CW760" s="23" t="s">
        <v>138</v>
      </c>
      <c r="CX760" s="24" t="s">
        <v>138</v>
      </c>
      <c r="CY760" s="23">
        <v>0</v>
      </c>
      <c r="CZ760" s="24">
        <v>25</v>
      </c>
      <c r="DA760" s="23" t="s">
        <v>138</v>
      </c>
      <c r="DB760" s="24" t="s">
        <v>138</v>
      </c>
      <c r="DC760" s="25">
        <v>1</v>
      </c>
      <c r="DD760" s="24">
        <v>51</v>
      </c>
      <c r="DE760" s="25">
        <v>0</v>
      </c>
      <c r="DF760" s="23">
        <v>0</v>
      </c>
      <c r="DG760" s="25">
        <v>1</v>
      </c>
      <c r="DH760" s="24">
        <v>51</v>
      </c>
      <c r="DI760" s="25" t="s">
        <v>138</v>
      </c>
      <c r="DJ760" s="24" t="s">
        <v>138</v>
      </c>
      <c r="DK760" s="25" t="s">
        <v>138</v>
      </c>
      <c r="DL760" s="24" t="s">
        <v>138</v>
      </c>
      <c r="DM760" s="25">
        <v>1</v>
      </c>
      <c r="DN760" s="24">
        <v>50</v>
      </c>
      <c r="DO760" s="25" t="s">
        <v>138</v>
      </c>
      <c r="DP760" s="24" t="s">
        <v>138</v>
      </c>
      <c r="DQ760" s="24" t="s">
        <v>138</v>
      </c>
      <c r="DR760" s="26" t="s">
        <v>138</v>
      </c>
      <c r="DS760" s="23" t="s">
        <v>138</v>
      </c>
      <c r="DT760" s="24">
        <v>29</v>
      </c>
      <c r="DU760" s="26">
        <v>0</v>
      </c>
      <c r="DV760" s="23">
        <v>0</v>
      </c>
      <c r="DW760" s="24" t="s">
        <v>138</v>
      </c>
      <c r="DX760" s="27" t="s">
        <v>138</v>
      </c>
      <c r="DY760" s="23" t="s">
        <v>138</v>
      </c>
      <c r="DZ760" s="15" t="s">
        <v>178</v>
      </c>
      <c r="EA760" s="22">
        <v>43432</v>
      </c>
      <c r="EB760" s="17">
        <v>90.34</v>
      </c>
      <c r="EC760" s="22">
        <v>41193</v>
      </c>
      <c r="ED760" s="15" t="s">
        <v>379</v>
      </c>
      <c r="EE760" s="14" t="str">
        <f>HYPERLINK("https://my.pitchbook.com?c=55424-44", "View company online")</f>
        <v>View company online</v>
      </c>
    </row>
    <row r="761" spans="1:135">
      <c r="A761" s="28" t="s">
        <v>15161</v>
      </c>
      <c r="B761" s="28" t="s">
        <v>15162</v>
      </c>
      <c r="C761" s="28" t="s">
        <v>138</v>
      </c>
      <c r="D761" s="28" t="s">
        <v>138</v>
      </c>
      <c r="E761" s="28" t="s">
        <v>15163</v>
      </c>
      <c r="F761" s="28" t="s">
        <v>15161</v>
      </c>
      <c r="G761" s="28" t="s">
        <v>15164</v>
      </c>
      <c r="H761" s="28" t="s">
        <v>322</v>
      </c>
      <c r="I761" s="28" t="s">
        <v>323</v>
      </c>
      <c r="J761" s="28" t="s">
        <v>324</v>
      </c>
      <c r="K761" s="28" t="s">
        <v>15165</v>
      </c>
      <c r="L761" s="28" t="s">
        <v>13461</v>
      </c>
      <c r="M761" s="28" t="s">
        <v>15166</v>
      </c>
      <c r="N761" s="28" t="s">
        <v>147</v>
      </c>
      <c r="O761" s="29">
        <v>15.77</v>
      </c>
      <c r="P761" s="28" t="s">
        <v>148</v>
      </c>
      <c r="Q761" s="28" t="s">
        <v>149</v>
      </c>
      <c r="R761" s="28" t="s">
        <v>174</v>
      </c>
      <c r="S761" s="28" t="s">
        <v>15167</v>
      </c>
      <c r="T761" s="30">
        <v>33</v>
      </c>
      <c r="U761" s="28" t="s">
        <v>15168</v>
      </c>
      <c r="V761" s="28" t="s">
        <v>138</v>
      </c>
      <c r="W761" s="28" t="s">
        <v>138</v>
      </c>
      <c r="X761" s="31">
        <v>2014</v>
      </c>
      <c r="Y761" s="28" t="s">
        <v>138</v>
      </c>
      <c r="Z761" s="28" t="s">
        <v>138</v>
      </c>
      <c r="AA761" s="28" t="s">
        <v>138</v>
      </c>
      <c r="AB761" s="32" t="s">
        <v>138</v>
      </c>
      <c r="AC761" s="32" t="s">
        <v>138</v>
      </c>
      <c r="AD761" s="32" t="s">
        <v>138</v>
      </c>
      <c r="AE761" s="32" t="s">
        <v>138</v>
      </c>
      <c r="AF761" s="32" t="s">
        <v>138</v>
      </c>
      <c r="AG761" s="28" t="s">
        <v>138</v>
      </c>
      <c r="AH761" s="32" t="s">
        <v>138</v>
      </c>
      <c r="AI761" s="32" t="s">
        <v>138</v>
      </c>
      <c r="AJ761" s="32" t="s">
        <v>138</v>
      </c>
      <c r="AK761" s="28" t="s">
        <v>15169</v>
      </c>
      <c r="AL761" s="28" t="s">
        <v>15170</v>
      </c>
      <c r="AM761" s="28" t="s">
        <v>15171</v>
      </c>
      <c r="AN761" s="28" t="s">
        <v>15172</v>
      </c>
      <c r="AO761" s="28" t="s">
        <v>15173</v>
      </c>
      <c r="AP761" s="28" t="s">
        <v>820</v>
      </c>
      <c r="AQ761" s="28" t="s">
        <v>15174</v>
      </c>
      <c r="AR761" s="28" t="s">
        <v>15175</v>
      </c>
      <c r="AS761" s="28" t="s">
        <v>823</v>
      </c>
      <c r="AT761" s="28" t="s">
        <v>824</v>
      </c>
      <c r="AU761" s="28" t="s">
        <v>15176</v>
      </c>
      <c r="AV761" s="28" t="s">
        <v>526</v>
      </c>
      <c r="AW761" s="28" t="s">
        <v>15173</v>
      </c>
      <c r="AX761" s="28" t="s">
        <v>138</v>
      </c>
      <c r="AY761" s="28" t="s">
        <v>15177</v>
      </c>
      <c r="AZ761" s="28" t="s">
        <v>530</v>
      </c>
      <c r="BA761" s="28" t="s">
        <v>531</v>
      </c>
      <c r="BB761" s="28" t="s">
        <v>15178</v>
      </c>
      <c r="BC761" s="28" t="s">
        <v>15179</v>
      </c>
      <c r="BD761" s="33">
        <v>10</v>
      </c>
      <c r="BE761" s="28" t="s">
        <v>138</v>
      </c>
      <c r="BF761" s="28" t="s">
        <v>138</v>
      </c>
      <c r="BG761" s="28" t="s">
        <v>138</v>
      </c>
      <c r="BH761" s="28" t="s">
        <v>15180</v>
      </c>
      <c r="BI761" s="28" t="s">
        <v>138</v>
      </c>
      <c r="BJ761" s="28" t="s">
        <v>138</v>
      </c>
      <c r="BK761" s="28" t="s">
        <v>15181</v>
      </c>
      <c r="BL761" s="28" t="s">
        <v>15182</v>
      </c>
      <c r="BM761" s="34">
        <v>41995</v>
      </c>
      <c r="BN761" s="29">
        <v>0.27</v>
      </c>
      <c r="BO761" s="28" t="s">
        <v>172</v>
      </c>
      <c r="BP761" s="29">
        <v>1.45</v>
      </c>
      <c r="BQ761" s="28" t="s">
        <v>172</v>
      </c>
      <c r="BR761" s="28" t="s">
        <v>262</v>
      </c>
      <c r="BS761" s="28" t="s">
        <v>262</v>
      </c>
      <c r="BT761" s="28" t="s">
        <v>138</v>
      </c>
      <c r="BU761" s="28" t="s">
        <v>263</v>
      </c>
      <c r="BV761" s="28" t="s">
        <v>138</v>
      </c>
      <c r="BW761" s="28" t="s">
        <v>138</v>
      </c>
      <c r="BX761" s="28" t="s">
        <v>138</v>
      </c>
      <c r="BY761" s="28" t="s">
        <v>175</v>
      </c>
      <c r="BZ761" s="34">
        <v>43269</v>
      </c>
      <c r="CA761" s="29">
        <v>10</v>
      </c>
      <c r="CB761" s="28" t="s">
        <v>172</v>
      </c>
      <c r="CC761" s="29" t="s">
        <v>138</v>
      </c>
      <c r="CD761" s="28" t="s">
        <v>138</v>
      </c>
      <c r="CE761" s="28" t="s">
        <v>205</v>
      </c>
      <c r="CF761" s="28" t="s">
        <v>206</v>
      </c>
      <c r="CG761" s="28" t="s">
        <v>138</v>
      </c>
      <c r="CH761" s="28" t="s">
        <v>174</v>
      </c>
      <c r="CI761" s="28" t="s">
        <v>138</v>
      </c>
      <c r="CJ761" s="28" t="s">
        <v>138</v>
      </c>
      <c r="CK761" s="28" t="s">
        <v>138</v>
      </c>
      <c r="CL761" s="28" t="s">
        <v>175</v>
      </c>
      <c r="CM761" s="34" t="s">
        <v>138</v>
      </c>
      <c r="CN761" s="29" t="s">
        <v>138</v>
      </c>
      <c r="CO761" s="35">
        <v>-0.03</v>
      </c>
      <c r="CP761" s="36">
        <v>23</v>
      </c>
      <c r="CQ761" s="35">
        <v>0.04</v>
      </c>
      <c r="CR761" s="35">
        <v>54.16</v>
      </c>
      <c r="CS761" s="35">
        <v>-0.24</v>
      </c>
      <c r="CT761" s="36">
        <v>21</v>
      </c>
      <c r="CU761" s="35">
        <v>0.18</v>
      </c>
      <c r="CV761" s="36">
        <v>78</v>
      </c>
      <c r="CW761" s="35">
        <v>0</v>
      </c>
      <c r="CX761" s="36">
        <v>13</v>
      </c>
      <c r="CY761" s="35">
        <v>-0.49</v>
      </c>
      <c r="CZ761" s="36">
        <v>22</v>
      </c>
      <c r="DA761" s="35">
        <v>0.18</v>
      </c>
      <c r="DB761" s="36">
        <v>81</v>
      </c>
      <c r="DC761" s="37">
        <v>2.14</v>
      </c>
      <c r="DD761" s="36">
        <v>68</v>
      </c>
      <c r="DE761" s="37">
        <v>-0.02</v>
      </c>
      <c r="DF761" s="35">
        <v>-0.92</v>
      </c>
      <c r="DG761" s="37">
        <v>2.11</v>
      </c>
      <c r="DH761" s="36">
        <v>68</v>
      </c>
      <c r="DI761" s="37">
        <v>2.1800000000000002</v>
      </c>
      <c r="DJ761" s="36">
        <v>64</v>
      </c>
      <c r="DK761" s="37">
        <v>0.94</v>
      </c>
      <c r="DL761" s="36">
        <v>49</v>
      </c>
      <c r="DM761" s="37">
        <v>3.28</v>
      </c>
      <c r="DN761" s="36">
        <v>75</v>
      </c>
      <c r="DO761" s="37">
        <v>2.1800000000000002</v>
      </c>
      <c r="DP761" s="36">
        <v>65</v>
      </c>
      <c r="DQ761" s="36">
        <v>320</v>
      </c>
      <c r="DR761" s="38">
        <v>3</v>
      </c>
      <c r="DS761" s="35">
        <v>0.95</v>
      </c>
      <c r="DT761" s="36">
        <v>95</v>
      </c>
      <c r="DU761" s="38">
        <v>1</v>
      </c>
      <c r="DV761" s="35">
        <v>1.06</v>
      </c>
      <c r="DW761" s="36">
        <v>777</v>
      </c>
      <c r="DX761" s="39">
        <v>0</v>
      </c>
      <c r="DY761" s="35">
        <v>0</v>
      </c>
      <c r="DZ761" s="28" t="s">
        <v>178</v>
      </c>
      <c r="EA761" s="34">
        <v>43620</v>
      </c>
      <c r="EB761" s="29">
        <v>5.1100000000000003</v>
      </c>
      <c r="EC761" s="34">
        <v>42320</v>
      </c>
      <c r="ED761" s="28" t="s">
        <v>234</v>
      </c>
      <c r="EE761" s="40" t="str">
        <f>HYPERLINK("https://my.pitchbook.com?c=108542-35", "View company online")</f>
        <v>View company online</v>
      </c>
    </row>
    <row r="762" spans="1:135">
      <c r="A762" s="15" t="s">
        <v>15183</v>
      </c>
      <c r="B762" s="15" t="s">
        <v>15184</v>
      </c>
      <c r="C762" s="15" t="s">
        <v>138</v>
      </c>
      <c r="D762" s="15" t="s">
        <v>138</v>
      </c>
      <c r="E762" s="15" t="s">
        <v>15185</v>
      </c>
      <c r="F762" s="15" t="s">
        <v>15183</v>
      </c>
      <c r="G762" s="15" t="s">
        <v>15186</v>
      </c>
      <c r="H762" s="15" t="s">
        <v>322</v>
      </c>
      <c r="I762" s="15" t="s">
        <v>807</v>
      </c>
      <c r="J762" s="15" t="s">
        <v>2534</v>
      </c>
      <c r="K762" s="15" t="s">
        <v>6464</v>
      </c>
      <c r="L762" s="15" t="s">
        <v>415</v>
      </c>
      <c r="M762" s="15" t="s">
        <v>15187</v>
      </c>
      <c r="N762" s="15" t="s">
        <v>147</v>
      </c>
      <c r="O762" s="17">
        <v>143.75</v>
      </c>
      <c r="P762" s="15" t="s">
        <v>148</v>
      </c>
      <c r="Q762" s="15" t="s">
        <v>149</v>
      </c>
      <c r="R762" s="15" t="s">
        <v>1652</v>
      </c>
      <c r="S762" s="15" t="s">
        <v>15188</v>
      </c>
      <c r="T762" s="18">
        <v>150</v>
      </c>
      <c r="U762" s="15" t="s">
        <v>15189</v>
      </c>
      <c r="V762" s="15" t="s">
        <v>138</v>
      </c>
      <c r="W762" s="15" t="s">
        <v>138</v>
      </c>
      <c r="X762" s="19">
        <v>1999</v>
      </c>
      <c r="Y762" s="15" t="s">
        <v>138</v>
      </c>
      <c r="Z762" s="15" t="s">
        <v>138</v>
      </c>
      <c r="AA762" s="15" t="s">
        <v>138</v>
      </c>
      <c r="AB762" s="20" t="s">
        <v>138</v>
      </c>
      <c r="AC762" s="20" t="s">
        <v>138</v>
      </c>
      <c r="AD762" s="20" t="s">
        <v>138</v>
      </c>
      <c r="AE762" s="20" t="s">
        <v>138</v>
      </c>
      <c r="AF762" s="20" t="s">
        <v>138</v>
      </c>
      <c r="AG762" s="15" t="s">
        <v>138</v>
      </c>
      <c r="AH762" s="20" t="s">
        <v>138</v>
      </c>
      <c r="AI762" s="20" t="s">
        <v>138</v>
      </c>
      <c r="AJ762" s="20" t="s">
        <v>138</v>
      </c>
      <c r="AK762" s="15" t="s">
        <v>15190</v>
      </c>
      <c r="AL762" s="15" t="s">
        <v>15191</v>
      </c>
      <c r="AM762" s="15" t="s">
        <v>15192</v>
      </c>
      <c r="AN762" s="15" t="s">
        <v>15193</v>
      </c>
      <c r="AO762" s="15" t="s">
        <v>15194</v>
      </c>
      <c r="AP762" s="15" t="s">
        <v>1244</v>
      </c>
      <c r="AQ762" s="15" t="s">
        <v>15195</v>
      </c>
      <c r="AR762" s="15" t="s">
        <v>138</v>
      </c>
      <c r="AS762" s="15" t="s">
        <v>1246</v>
      </c>
      <c r="AT762" s="15" t="s">
        <v>200</v>
      </c>
      <c r="AU762" s="15" t="s">
        <v>4589</v>
      </c>
      <c r="AV762" s="15" t="s">
        <v>162</v>
      </c>
      <c r="AW762" s="15" t="s">
        <v>15194</v>
      </c>
      <c r="AX762" s="15" t="s">
        <v>15196</v>
      </c>
      <c r="AY762" s="15" t="s">
        <v>15197</v>
      </c>
      <c r="AZ762" s="15" t="s">
        <v>164</v>
      </c>
      <c r="BA762" s="15" t="s">
        <v>165</v>
      </c>
      <c r="BB762" s="15" t="s">
        <v>15198</v>
      </c>
      <c r="BC762" s="15" t="s">
        <v>15199</v>
      </c>
      <c r="BD762" s="21">
        <v>15</v>
      </c>
      <c r="BE762" s="15" t="s">
        <v>138</v>
      </c>
      <c r="BF762" s="15" t="s">
        <v>15200</v>
      </c>
      <c r="BG762" s="15" t="s">
        <v>138</v>
      </c>
      <c r="BH762" s="15" t="s">
        <v>15201</v>
      </c>
      <c r="BI762" s="15" t="s">
        <v>15202</v>
      </c>
      <c r="BJ762" s="15" t="s">
        <v>138</v>
      </c>
      <c r="BK762" s="15" t="s">
        <v>15203</v>
      </c>
      <c r="BL762" s="15" t="s">
        <v>15204</v>
      </c>
      <c r="BM762" s="22">
        <v>36780</v>
      </c>
      <c r="BN762" s="17">
        <v>10</v>
      </c>
      <c r="BO762" s="15" t="s">
        <v>172</v>
      </c>
      <c r="BP762" s="17">
        <v>55.15</v>
      </c>
      <c r="BQ762" s="15" t="s">
        <v>172</v>
      </c>
      <c r="BR762" s="15" t="s">
        <v>205</v>
      </c>
      <c r="BS762" s="15" t="s">
        <v>206</v>
      </c>
      <c r="BT762" s="15" t="s">
        <v>138</v>
      </c>
      <c r="BU762" s="15" t="s">
        <v>174</v>
      </c>
      <c r="BV762" s="15" t="s">
        <v>138</v>
      </c>
      <c r="BW762" s="15" t="s">
        <v>138</v>
      </c>
      <c r="BX762" s="15" t="s">
        <v>138</v>
      </c>
      <c r="BY762" s="15" t="s">
        <v>175</v>
      </c>
      <c r="BZ762" s="22">
        <v>43522</v>
      </c>
      <c r="CA762" s="17" t="s">
        <v>138</v>
      </c>
      <c r="CB762" s="15" t="s">
        <v>138</v>
      </c>
      <c r="CC762" s="17" t="s">
        <v>138</v>
      </c>
      <c r="CD762" s="15" t="s">
        <v>138</v>
      </c>
      <c r="CE762" s="15" t="s">
        <v>1673</v>
      </c>
      <c r="CF762" s="15" t="s">
        <v>138</v>
      </c>
      <c r="CG762" s="15" t="s">
        <v>138</v>
      </c>
      <c r="CH762" s="15" t="s">
        <v>351</v>
      </c>
      <c r="CI762" s="15" t="s">
        <v>138</v>
      </c>
      <c r="CJ762" s="15" t="s">
        <v>138</v>
      </c>
      <c r="CK762" s="15" t="s">
        <v>138</v>
      </c>
      <c r="CL762" s="15" t="s">
        <v>175</v>
      </c>
      <c r="CM762" s="22">
        <v>41837</v>
      </c>
      <c r="CN762" s="17">
        <v>10</v>
      </c>
      <c r="CO762" s="23">
        <v>-0.34</v>
      </c>
      <c r="CP762" s="24">
        <v>18</v>
      </c>
      <c r="CQ762" s="23">
        <v>-0.01</v>
      </c>
      <c r="CR762" s="23">
        <v>-3.32</v>
      </c>
      <c r="CS762" s="23">
        <v>-0.67</v>
      </c>
      <c r="CT762" s="24">
        <v>18</v>
      </c>
      <c r="CU762" s="23">
        <v>-0.01</v>
      </c>
      <c r="CV762" s="24">
        <v>20</v>
      </c>
      <c r="CW762" s="23">
        <v>0</v>
      </c>
      <c r="CX762" s="24">
        <v>13</v>
      </c>
      <c r="CY762" s="23">
        <v>-1.34</v>
      </c>
      <c r="CZ762" s="24">
        <v>16</v>
      </c>
      <c r="DA762" s="23">
        <v>-0.01</v>
      </c>
      <c r="DB762" s="24">
        <v>21</v>
      </c>
      <c r="DC762" s="25">
        <v>9.19</v>
      </c>
      <c r="DD762" s="24">
        <v>89</v>
      </c>
      <c r="DE762" s="25">
        <v>-0.04</v>
      </c>
      <c r="DF762" s="23">
        <v>-0.48</v>
      </c>
      <c r="DG762" s="25">
        <v>11.86</v>
      </c>
      <c r="DH762" s="24">
        <v>91</v>
      </c>
      <c r="DI762" s="25">
        <v>6.53</v>
      </c>
      <c r="DJ762" s="24">
        <v>81</v>
      </c>
      <c r="DK762" s="25">
        <v>2.17</v>
      </c>
      <c r="DL762" s="24">
        <v>66</v>
      </c>
      <c r="DM762" s="25">
        <v>21.55</v>
      </c>
      <c r="DN762" s="24">
        <v>95</v>
      </c>
      <c r="DO762" s="25">
        <v>6.53</v>
      </c>
      <c r="DP762" s="24">
        <v>83</v>
      </c>
      <c r="DQ762" s="24">
        <v>715</v>
      </c>
      <c r="DR762" s="26">
        <v>90</v>
      </c>
      <c r="DS762" s="23">
        <v>14.4</v>
      </c>
      <c r="DT762" s="24">
        <v>624</v>
      </c>
      <c r="DU762" s="26">
        <v>-2</v>
      </c>
      <c r="DV762" s="23">
        <v>-0.32</v>
      </c>
      <c r="DW762" s="24">
        <v>2336</v>
      </c>
      <c r="DX762" s="27">
        <v>0</v>
      </c>
      <c r="DY762" s="23">
        <v>0</v>
      </c>
      <c r="DZ762" s="15" t="s">
        <v>178</v>
      </c>
      <c r="EA762" s="22">
        <v>43622</v>
      </c>
      <c r="EB762" s="17">
        <v>18.5</v>
      </c>
      <c r="EC762" s="22">
        <v>43494</v>
      </c>
      <c r="ED762" s="15" t="s">
        <v>173</v>
      </c>
      <c r="EE762" s="14" t="str">
        <f>HYPERLINK("https://my.pitchbook.com?c=42142-60", "View company online")</f>
        <v>View company online</v>
      </c>
    </row>
    <row r="763" spans="1:135">
      <c r="A763" s="28" t="s">
        <v>15205</v>
      </c>
      <c r="B763" s="28" t="s">
        <v>15206</v>
      </c>
      <c r="C763" s="28" t="s">
        <v>138</v>
      </c>
      <c r="D763" s="28" t="s">
        <v>15207</v>
      </c>
      <c r="E763" s="28" t="s">
        <v>138</v>
      </c>
      <c r="F763" s="28" t="s">
        <v>15205</v>
      </c>
      <c r="G763" s="28" t="s">
        <v>15208</v>
      </c>
      <c r="H763" s="28" t="s">
        <v>183</v>
      </c>
      <c r="I763" s="28" t="s">
        <v>4681</v>
      </c>
      <c r="J763" s="28" t="s">
        <v>9676</v>
      </c>
      <c r="K763" s="28" t="s">
        <v>15209</v>
      </c>
      <c r="L763" s="28" t="s">
        <v>15210</v>
      </c>
      <c r="M763" s="28" t="s">
        <v>15211</v>
      </c>
      <c r="N763" s="28" t="s">
        <v>147</v>
      </c>
      <c r="O763" s="29">
        <v>25</v>
      </c>
      <c r="P763" s="28" t="s">
        <v>148</v>
      </c>
      <c r="Q763" s="28" t="s">
        <v>149</v>
      </c>
      <c r="R763" s="28" t="s">
        <v>174</v>
      </c>
      <c r="S763" s="28" t="s">
        <v>15212</v>
      </c>
      <c r="T763" s="30">
        <v>20</v>
      </c>
      <c r="U763" s="28" t="s">
        <v>15213</v>
      </c>
      <c r="V763" s="28" t="s">
        <v>138</v>
      </c>
      <c r="W763" s="28" t="s">
        <v>138</v>
      </c>
      <c r="X763" s="31" t="s">
        <v>138</v>
      </c>
      <c r="Y763" s="28" t="s">
        <v>138</v>
      </c>
      <c r="Z763" s="28" t="s">
        <v>138</v>
      </c>
      <c r="AA763" s="28" t="s">
        <v>138</v>
      </c>
      <c r="AB763" s="32" t="s">
        <v>138</v>
      </c>
      <c r="AC763" s="32" t="s">
        <v>138</v>
      </c>
      <c r="AD763" s="32" t="s">
        <v>138</v>
      </c>
      <c r="AE763" s="32" t="s">
        <v>138</v>
      </c>
      <c r="AF763" s="32" t="s">
        <v>138</v>
      </c>
      <c r="AG763" s="28" t="s">
        <v>138</v>
      </c>
      <c r="AH763" s="32" t="s">
        <v>138</v>
      </c>
      <c r="AI763" s="32" t="s">
        <v>138</v>
      </c>
      <c r="AJ763" s="32" t="s">
        <v>138</v>
      </c>
      <c r="AK763" s="28" t="s">
        <v>15214</v>
      </c>
      <c r="AL763" s="28" t="s">
        <v>15215</v>
      </c>
      <c r="AM763" s="28" t="s">
        <v>566</v>
      </c>
      <c r="AN763" s="28" t="s">
        <v>15216</v>
      </c>
      <c r="AO763" s="28" t="s">
        <v>15217</v>
      </c>
      <c r="AP763" s="28" t="s">
        <v>15218</v>
      </c>
      <c r="AQ763" s="28" t="s">
        <v>15219</v>
      </c>
      <c r="AR763" s="28" t="s">
        <v>138</v>
      </c>
      <c r="AS763" s="28" t="s">
        <v>15220</v>
      </c>
      <c r="AT763" s="28" t="s">
        <v>5271</v>
      </c>
      <c r="AU763" s="28" t="s">
        <v>10538</v>
      </c>
      <c r="AV763" s="28" t="s">
        <v>162</v>
      </c>
      <c r="AW763" s="28" t="s">
        <v>15217</v>
      </c>
      <c r="AX763" s="28" t="s">
        <v>138</v>
      </c>
      <c r="AY763" s="28" t="s">
        <v>138</v>
      </c>
      <c r="AZ763" s="28" t="s">
        <v>164</v>
      </c>
      <c r="BA763" s="28" t="s">
        <v>165</v>
      </c>
      <c r="BB763" s="28" t="s">
        <v>15221</v>
      </c>
      <c r="BC763" s="28" t="s">
        <v>15222</v>
      </c>
      <c r="BD763" s="33">
        <v>2</v>
      </c>
      <c r="BE763" s="28" t="s">
        <v>138</v>
      </c>
      <c r="BF763" s="28" t="s">
        <v>138</v>
      </c>
      <c r="BG763" s="28" t="s">
        <v>138</v>
      </c>
      <c r="BH763" s="28" t="s">
        <v>15223</v>
      </c>
      <c r="BI763" s="28" t="s">
        <v>138</v>
      </c>
      <c r="BJ763" s="28" t="s">
        <v>138</v>
      </c>
      <c r="BK763" s="28" t="s">
        <v>1691</v>
      </c>
      <c r="BL763" s="28" t="s">
        <v>1691</v>
      </c>
      <c r="BM763" s="34">
        <v>43179</v>
      </c>
      <c r="BN763" s="29">
        <v>25</v>
      </c>
      <c r="BO763" s="28" t="s">
        <v>172</v>
      </c>
      <c r="BP763" s="29" t="s">
        <v>138</v>
      </c>
      <c r="BQ763" s="28" t="s">
        <v>138</v>
      </c>
      <c r="BR763" s="28" t="s">
        <v>205</v>
      </c>
      <c r="BS763" s="28" t="s">
        <v>206</v>
      </c>
      <c r="BT763" s="28" t="s">
        <v>138</v>
      </c>
      <c r="BU763" s="28" t="s">
        <v>174</v>
      </c>
      <c r="BV763" s="28" t="s">
        <v>138</v>
      </c>
      <c r="BW763" s="28" t="s">
        <v>138</v>
      </c>
      <c r="BX763" s="28" t="s">
        <v>138</v>
      </c>
      <c r="BY763" s="28" t="s">
        <v>175</v>
      </c>
      <c r="BZ763" s="34">
        <v>43179</v>
      </c>
      <c r="CA763" s="29">
        <v>25</v>
      </c>
      <c r="CB763" s="28" t="s">
        <v>172</v>
      </c>
      <c r="CC763" s="29" t="s">
        <v>138</v>
      </c>
      <c r="CD763" s="28" t="s">
        <v>138</v>
      </c>
      <c r="CE763" s="28" t="s">
        <v>205</v>
      </c>
      <c r="CF763" s="28" t="s">
        <v>206</v>
      </c>
      <c r="CG763" s="28" t="s">
        <v>138</v>
      </c>
      <c r="CH763" s="28" t="s">
        <v>174</v>
      </c>
      <c r="CI763" s="28" t="s">
        <v>138</v>
      </c>
      <c r="CJ763" s="28" t="s">
        <v>138</v>
      </c>
      <c r="CK763" s="28" t="s">
        <v>138</v>
      </c>
      <c r="CL763" s="28" t="s">
        <v>175</v>
      </c>
      <c r="CM763" s="34" t="s">
        <v>138</v>
      </c>
      <c r="CN763" s="29" t="s">
        <v>138</v>
      </c>
      <c r="CO763" s="35">
        <v>0.99</v>
      </c>
      <c r="CP763" s="36">
        <v>97</v>
      </c>
      <c r="CQ763" s="35">
        <v>0</v>
      </c>
      <c r="CR763" s="35">
        <v>0</v>
      </c>
      <c r="CS763" s="35">
        <v>0.99</v>
      </c>
      <c r="CT763" s="36">
        <v>97</v>
      </c>
      <c r="CU763" s="35" t="s">
        <v>138</v>
      </c>
      <c r="CV763" s="36" t="s">
        <v>138</v>
      </c>
      <c r="CW763" s="35">
        <v>0.99</v>
      </c>
      <c r="CX763" s="36">
        <v>85</v>
      </c>
      <c r="CY763" s="35" t="s">
        <v>138</v>
      </c>
      <c r="CZ763" s="36" t="s">
        <v>138</v>
      </c>
      <c r="DA763" s="35" t="s">
        <v>138</v>
      </c>
      <c r="DB763" s="36" t="s">
        <v>138</v>
      </c>
      <c r="DC763" s="37">
        <v>3.5</v>
      </c>
      <c r="DD763" s="36">
        <v>78</v>
      </c>
      <c r="DE763" s="37">
        <v>-0.45</v>
      </c>
      <c r="DF763" s="35">
        <v>-11.37</v>
      </c>
      <c r="DG763" s="37">
        <v>3.5</v>
      </c>
      <c r="DH763" s="36">
        <v>77</v>
      </c>
      <c r="DI763" s="37" t="s">
        <v>138</v>
      </c>
      <c r="DJ763" s="36" t="s">
        <v>138</v>
      </c>
      <c r="DK763" s="37">
        <v>3.5</v>
      </c>
      <c r="DL763" s="36">
        <v>74</v>
      </c>
      <c r="DM763" s="37" t="s">
        <v>138</v>
      </c>
      <c r="DN763" s="36" t="s">
        <v>138</v>
      </c>
      <c r="DO763" s="37" t="s">
        <v>138</v>
      </c>
      <c r="DP763" s="36" t="s">
        <v>138</v>
      </c>
      <c r="DQ763" s="36">
        <v>1156</v>
      </c>
      <c r="DR763" s="38">
        <v>133</v>
      </c>
      <c r="DS763" s="35">
        <v>13</v>
      </c>
      <c r="DT763" s="36" t="s">
        <v>138</v>
      </c>
      <c r="DU763" s="38" t="s">
        <v>138</v>
      </c>
      <c r="DV763" s="35" t="s">
        <v>138</v>
      </c>
      <c r="DW763" s="36" t="s">
        <v>138</v>
      </c>
      <c r="DX763" s="39" t="s">
        <v>138</v>
      </c>
      <c r="DY763" s="35" t="s">
        <v>138</v>
      </c>
      <c r="DZ763" s="28" t="s">
        <v>178</v>
      </c>
      <c r="EA763" s="34">
        <v>43593</v>
      </c>
      <c r="EB763" s="29" t="s">
        <v>138</v>
      </c>
      <c r="EC763" s="34" t="s">
        <v>138</v>
      </c>
      <c r="ED763" s="28" t="s">
        <v>138</v>
      </c>
      <c r="EE763" s="40" t="str">
        <f>HYPERLINK("https://my.pitchbook.com?c=226880-47", "View company online")</f>
        <v>View company online</v>
      </c>
    </row>
    <row r="764" spans="1:135">
      <c r="A764" s="15" t="s">
        <v>15224</v>
      </c>
      <c r="B764" s="15" t="s">
        <v>15225</v>
      </c>
      <c r="C764" s="15" t="s">
        <v>15226</v>
      </c>
      <c r="D764" s="15" t="s">
        <v>138</v>
      </c>
      <c r="E764" s="15" t="s">
        <v>15227</v>
      </c>
      <c r="F764" s="15" t="s">
        <v>15224</v>
      </c>
      <c r="G764" s="15" t="s">
        <v>15228</v>
      </c>
      <c r="H764" s="15" t="s">
        <v>322</v>
      </c>
      <c r="I764" s="15" t="s">
        <v>323</v>
      </c>
      <c r="J764" s="15" t="s">
        <v>1132</v>
      </c>
      <c r="K764" s="15" t="s">
        <v>14793</v>
      </c>
      <c r="L764" s="15" t="s">
        <v>15229</v>
      </c>
      <c r="M764" s="15" t="s">
        <v>15230</v>
      </c>
      <c r="N764" s="15" t="s">
        <v>147</v>
      </c>
      <c r="O764" s="17">
        <v>79.5</v>
      </c>
      <c r="P764" s="15" t="s">
        <v>148</v>
      </c>
      <c r="Q764" s="15" t="s">
        <v>149</v>
      </c>
      <c r="R764" s="15" t="s">
        <v>174</v>
      </c>
      <c r="S764" s="15" t="s">
        <v>15231</v>
      </c>
      <c r="T764" s="18" t="s">
        <v>138</v>
      </c>
      <c r="U764" s="15" t="s">
        <v>138</v>
      </c>
      <c r="V764" s="15" t="s">
        <v>138</v>
      </c>
      <c r="W764" s="15" t="s">
        <v>138</v>
      </c>
      <c r="X764" s="19">
        <v>2008</v>
      </c>
      <c r="Y764" s="15" t="s">
        <v>138</v>
      </c>
      <c r="Z764" s="15" t="s">
        <v>138</v>
      </c>
      <c r="AA764" s="15" t="s">
        <v>138</v>
      </c>
      <c r="AB764" s="20" t="s">
        <v>138</v>
      </c>
      <c r="AC764" s="20" t="s">
        <v>138</v>
      </c>
      <c r="AD764" s="20" t="s">
        <v>138</v>
      </c>
      <c r="AE764" s="20" t="s">
        <v>138</v>
      </c>
      <c r="AF764" s="20" t="s">
        <v>138</v>
      </c>
      <c r="AG764" s="15" t="s">
        <v>138</v>
      </c>
      <c r="AH764" s="20" t="s">
        <v>138</v>
      </c>
      <c r="AI764" s="20" t="s">
        <v>138</v>
      </c>
      <c r="AJ764" s="20" t="s">
        <v>138</v>
      </c>
      <c r="AK764" s="15" t="s">
        <v>15232</v>
      </c>
      <c r="AL764" s="15" t="s">
        <v>15233</v>
      </c>
      <c r="AM764" s="15" t="s">
        <v>4567</v>
      </c>
      <c r="AN764" s="15" t="s">
        <v>15234</v>
      </c>
      <c r="AO764" s="15" t="s">
        <v>138</v>
      </c>
      <c r="AP764" s="15" t="s">
        <v>1195</v>
      </c>
      <c r="AQ764" s="15" t="s">
        <v>15235</v>
      </c>
      <c r="AR764" s="15" t="s">
        <v>15236</v>
      </c>
      <c r="AS764" s="15" t="s">
        <v>1198</v>
      </c>
      <c r="AT764" s="15" t="s">
        <v>138</v>
      </c>
      <c r="AU764" s="15" t="s">
        <v>4736</v>
      </c>
      <c r="AV764" s="15" t="s">
        <v>1200</v>
      </c>
      <c r="AW764" s="15" t="s">
        <v>138</v>
      </c>
      <c r="AX764" s="15" t="s">
        <v>138</v>
      </c>
      <c r="AY764" s="15" t="s">
        <v>138</v>
      </c>
      <c r="AZ764" s="15" t="s">
        <v>452</v>
      </c>
      <c r="BA764" s="15" t="s">
        <v>453</v>
      </c>
      <c r="BB764" s="15" t="s">
        <v>15237</v>
      </c>
      <c r="BC764" s="15" t="s">
        <v>15238</v>
      </c>
      <c r="BD764" s="21">
        <v>18</v>
      </c>
      <c r="BE764" s="15" t="s">
        <v>138</v>
      </c>
      <c r="BF764" s="15" t="s">
        <v>138</v>
      </c>
      <c r="BG764" s="15" t="s">
        <v>138</v>
      </c>
      <c r="BH764" s="15" t="s">
        <v>15239</v>
      </c>
      <c r="BI764" s="15" t="s">
        <v>138</v>
      </c>
      <c r="BJ764" s="15" t="s">
        <v>138</v>
      </c>
      <c r="BK764" s="15" t="s">
        <v>15240</v>
      </c>
      <c r="BL764" s="15" t="s">
        <v>1275</v>
      </c>
      <c r="BM764" s="22">
        <v>39508</v>
      </c>
      <c r="BN764" s="17">
        <v>0.57999999999999996</v>
      </c>
      <c r="BO764" s="15" t="s">
        <v>172</v>
      </c>
      <c r="BP764" s="17" t="s">
        <v>138</v>
      </c>
      <c r="BQ764" s="15" t="s">
        <v>138</v>
      </c>
      <c r="BR764" s="15" t="s">
        <v>234</v>
      </c>
      <c r="BS764" s="15" t="s">
        <v>234</v>
      </c>
      <c r="BT764" s="15" t="s">
        <v>138</v>
      </c>
      <c r="BU764" s="15" t="s">
        <v>174</v>
      </c>
      <c r="BV764" s="15" t="s">
        <v>138</v>
      </c>
      <c r="BW764" s="15" t="s">
        <v>138</v>
      </c>
      <c r="BX764" s="15" t="s">
        <v>138</v>
      </c>
      <c r="BY764" s="15" t="s">
        <v>175</v>
      </c>
      <c r="BZ764" s="22">
        <v>43335</v>
      </c>
      <c r="CA764" s="17">
        <v>55</v>
      </c>
      <c r="CB764" s="15" t="s">
        <v>172</v>
      </c>
      <c r="CC764" s="17" t="s">
        <v>138</v>
      </c>
      <c r="CD764" s="15" t="s">
        <v>138</v>
      </c>
      <c r="CE764" s="15" t="s">
        <v>173</v>
      </c>
      <c r="CF764" s="15" t="s">
        <v>317</v>
      </c>
      <c r="CG764" s="15" t="s">
        <v>138</v>
      </c>
      <c r="CH764" s="15" t="s">
        <v>174</v>
      </c>
      <c r="CI764" s="15" t="s">
        <v>138</v>
      </c>
      <c r="CJ764" s="15" t="s">
        <v>138</v>
      </c>
      <c r="CK764" s="15" t="s">
        <v>138</v>
      </c>
      <c r="CL764" s="15" t="s">
        <v>175</v>
      </c>
      <c r="CM764" s="22" t="s">
        <v>138</v>
      </c>
      <c r="CN764" s="17" t="s">
        <v>138</v>
      </c>
      <c r="CO764" s="23">
        <v>1.59</v>
      </c>
      <c r="CP764" s="24">
        <v>98</v>
      </c>
      <c r="CQ764" s="23">
        <v>-0.5</v>
      </c>
      <c r="CR764" s="23">
        <v>-23.8</v>
      </c>
      <c r="CS764" s="23">
        <v>0</v>
      </c>
      <c r="CT764" s="24">
        <v>23</v>
      </c>
      <c r="CU764" s="23">
        <v>3.18</v>
      </c>
      <c r="CV764" s="24">
        <v>100</v>
      </c>
      <c r="CW764" s="23" t="s">
        <v>138</v>
      </c>
      <c r="CX764" s="24" t="s">
        <v>138</v>
      </c>
      <c r="CY764" s="23">
        <v>0</v>
      </c>
      <c r="CZ764" s="24">
        <v>25</v>
      </c>
      <c r="DA764" s="23">
        <v>3.18</v>
      </c>
      <c r="DB764" s="24">
        <v>100</v>
      </c>
      <c r="DC764" s="25">
        <v>1.06</v>
      </c>
      <c r="DD764" s="24">
        <v>52</v>
      </c>
      <c r="DE764" s="25">
        <v>-0.01</v>
      </c>
      <c r="DF764" s="23">
        <v>-0.62</v>
      </c>
      <c r="DG764" s="25">
        <v>0.79</v>
      </c>
      <c r="DH764" s="24">
        <v>45</v>
      </c>
      <c r="DI764" s="25">
        <v>1.33</v>
      </c>
      <c r="DJ764" s="24">
        <v>55</v>
      </c>
      <c r="DK764" s="25" t="s">
        <v>138</v>
      </c>
      <c r="DL764" s="24" t="s">
        <v>138</v>
      </c>
      <c r="DM764" s="25">
        <v>0.79</v>
      </c>
      <c r="DN764" s="24">
        <v>45</v>
      </c>
      <c r="DO764" s="25">
        <v>1.33</v>
      </c>
      <c r="DP764" s="24">
        <v>56</v>
      </c>
      <c r="DQ764" s="24">
        <v>152</v>
      </c>
      <c r="DR764" s="26">
        <v>-24</v>
      </c>
      <c r="DS764" s="23">
        <v>-13.64</v>
      </c>
      <c r="DT764" s="24">
        <v>23</v>
      </c>
      <c r="DU764" s="26">
        <v>-1</v>
      </c>
      <c r="DV764" s="23">
        <v>-4.17</v>
      </c>
      <c r="DW764" s="24">
        <v>473</v>
      </c>
      <c r="DX764" s="27">
        <v>7</v>
      </c>
      <c r="DY764" s="23">
        <v>1.5</v>
      </c>
      <c r="DZ764" s="15" t="s">
        <v>178</v>
      </c>
      <c r="EA764" s="22">
        <v>43538</v>
      </c>
      <c r="EB764" s="17" t="s">
        <v>138</v>
      </c>
      <c r="EC764" s="22" t="s">
        <v>138</v>
      </c>
      <c r="ED764" s="15" t="s">
        <v>138</v>
      </c>
      <c r="EE764" s="14" t="str">
        <f>HYPERLINK("https://my.pitchbook.com?c=56428-75", "View company online")</f>
        <v>View company online</v>
      </c>
    </row>
    <row r="765" spans="1:135">
      <c r="A765" s="28" t="s">
        <v>15241</v>
      </c>
      <c r="B765" s="28" t="s">
        <v>15242</v>
      </c>
      <c r="C765" s="28" t="s">
        <v>138</v>
      </c>
      <c r="D765" s="28" t="s">
        <v>138</v>
      </c>
      <c r="E765" s="28" t="s">
        <v>15243</v>
      </c>
      <c r="F765" s="28" t="s">
        <v>15241</v>
      </c>
      <c r="G765" s="28" t="s">
        <v>15244</v>
      </c>
      <c r="H765" s="28" t="s">
        <v>322</v>
      </c>
      <c r="I765" s="28" t="s">
        <v>323</v>
      </c>
      <c r="J765" s="28" t="s">
        <v>461</v>
      </c>
      <c r="K765" s="28" t="s">
        <v>15245</v>
      </c>
      <c r="L765" s="28" t="s">
        <v>138</v>
      </c>
      <c r="M765" s="28" t="s">
        <v>15246</v>
      </c>
      <c r="N765" s="28" t="s">
        <v>147</v>
      </c>
      <c r="O765" s="29">
        <v>36.119999999999997</v>
      </c>
      <c r="P765" s="28" t="s">
        <v>148</v>
      </c>
      <c r="Q765" s="28" t="s">
        <v>149</v>
      </c>
      <c r="R765" s="28" t="s">
        <v>174</v>
      </c>
      <c r="S765" s="28" t="s">
        <v>15247</v>
      </c>
      <c r="T765" s="30">
        <v>50</v>
      </c>
      <c r="U765" s="28" t="s">
        <v>15248</v>
      </c>
      <c r="V765" s="28" t="s">
        <v>138</v>
      </c>
      <c r="W765" s="28" t="s">
        <v>138</v>
      </c>
      <c r="X765" s="31">
        <v>2014</v>
      </c>
      <c r="Y765" s="28" t="s">
        <v>138</v>
      </c>
      <c r="Z765" s="28" t="s">
        <v>138</v>
      </c>
      <c r="AA765" s="28" t="s">
        <v>138</v>
      </c>
      <c r="AB765" s="32" t="s">
        <v>138</v>
      </c>
      <c r="AC765" s="32" t="s">
        <v>138</v>
      </c>
      <c r="AD765" s="32" t="s">
        <v>138</v>
      </c>
      <c r="AE765" s="32" t="s">
        <v>138</v>
      </c>
      <c r="AF765" s="32" t="s">
        <v>138</v>
      </c>
      <c r="AG765" s="28" t="s">
        <v>138</v>
      </c>
      <c r="AH765" s="32" t="s">
        <v>138</v>
      </c>
      <c r="AI765" s="32" t="s">
        <v>138</v>
      </c>
      <c r="AJ765" s="32" t="s">
        <v>138</v>
      </c>
      <c r="AK765" s="28" t="s">
        <v>15249</v>
      </c>
      <c r="AL765" s="28" t="s">
        <v>15250</v>
      </c>
      <c r="AM765" s="28" t="s">
        <v>249</v>
      </c>
      <c r="AN765" s="28" t="s">
        <v>15251</v>
      </c>
      <c r="AO765" s="28" t="s">
        <v>15252</v>
      </c>
      <c r="AP765" s="28" t="s">
        <v>423</v>
      </c>
      <c r="AQ765" s="28" t="s">
        <v>15253</v>
      </c>
      <c r="AR765" s="28" t="s">
        <v>2245</v>
      </c>
      <c r="AS765" s="28" t="s">
        <v>426</v>
      </c>
      <c r="AT765" s="28" t="s">
        <v>426</v>
      </c>
      <c r="AU765" s="28" t="s">
        <v>12267</v>
      </c>
      <c r="AV765" s="28" t="s">
        <v>162</v>
      </c>
      <c r="AW765" s="28" t="s">
        <v>15252</v>
      </c>
      <c r="AX765" s="28" t="s">
        <v>138</v>
      </c>
      <c r="AY765" s="28" t="s">
        <v>15254</v>
      </c>
      <c r="AZ765" s="28" t="s">
        <v>164</v>
      </c>
      <c r="BA765" s="28" t="s">
        <v>165</v>
      </c>
      <c r="BB765" s="28" t="s">
        <v>15255</v>
      </c>
      <c r="BC765" s="28" t="s">
        <v>15256</v>
      </c>
      <c r="BD765" s="33">
        <v>8</v>
      </c>
      <c r="BE765" s="28" t="s">
        <v>138</v>
      </c>
      <c r="BF765" s="28" t="s">
        <v>138</v>
      </c>
      <c r="BG765" s="28" t="s">
        <v>138</v>
      </c>
      <c r="BH765" s="28" t="s">
        <v>15257</v>
      </c>
      <c r="BI765" s="28" t="s">
        <v>138</v>
      </c>
      <c r="BJ765" s="28" t="s">
        <v>138</v>
      </c>
      <c r="BK765" s="28" t="s">
        <v>138</v>
      </c>
      <c r="BL765" s="28" t="s">
        <v>15258</v>
      </c>
      <c r="BM765" s="34">
        <v>41974</v>
      </c>
      <c r="BN765" s="29">
        <v>1.7</v>
      </c>
      <c r="BO765" s="28" t="s">
        <v>172</v>
      </c>
      <c r="BP765" s="29">
        <v>7.7</v>
      </c>
      <c r="BQ765" s="28" t="s">
        <v>172</v>
      </c>
      <c r="BR765" s="28" t="s">
        <v>234</v>
      </c>
      <c r="BS765" s="28" t="s">
        <v>234</v>
      </c>
      <c r="BT765" s="28" t="s">
        <v>138</v>
      </c>
      <c r="BU765" s="28" t="s">
        <v>174</v>
      </c>
      <c r="BV765" s="28" t="s">
        <v>138</v>
      </c>
      <c r="BW765" s="28" t="s">
        <v>138</v>
      </c>
      <c r="BX765" s="28" t="s">
        <v>138</v>
      </c>
      <c r="BY765" s="28" t="s">
        <v>175</v>
      </c>
      <c r="BZ765" s="34">
        <v>43354</v>
      </c>
      <c r="CA765" s="29">
        <v>25</v>
      </c>
      <c r="CB765" s="28" t="s">
        <v>172</v>
      </c>
      <c r="CC765" s="29">
        <v>100</v>
      </c>
      <c r="CD765" s="28" t="s">
        <v>172</v>
      </c>
      <c r="CE765" s="28" t="s">
        <v>205</v>
      </c>
      <c r="CF765" s="28" t="s">
        <v>720</v>
      </c>
      <c r="CG765" s="28" t="s">
        <v>138</v>
      </c>
      <c r="CH765" s="28" t="s">
        <v>174</v>
      </c>
      <c r="CI765" s="28" t="s">
        <v>138</v>
      </c>
      <c r="CJ765" s="28" t="s">
        <v>138</v>
      </c>
      <c r="CK765" s="28" t="s">
        <v>138</v>
      </c>
      <c r="CL765" s="28" t="s">
        <v>175</v>
      </c>
      <c r="CM765" s="34" t="s">
        <v>138</v>
      </c>
      <c r="CN765" s="29" t="s">
        <v>138</v>
      </c>
      <c r="CO765" s="35">
        <v>-0.9</v>
      </c>
      <c r="CP765" s="36">
        <v>12</v>
      </c>
      <c r="CQ765" s="35">
        <v>0</v>
      </c>
      <c r="CR765" s="35">
        <v>-0.12</v>
      </c>
      <c r="CS765" s="35">
        <v>-2.4</v>
      </c>
      <c r="CT765" s="36">
        <v>7</v>
      </c>
      <c r="CU765" s="35">
        <v>0.61</v>
      </c>
      <c r="CV765" s="36">
        <v>95</v>
      </c>
      <c r="CW765" s="35">
        <v>-2.4</v>
      </c>
      <c r="CX765" s="36">
        <v>6</v>
      </c>
      <c r="CY765" s="35" t="s">
        <v>138</v>
      </c>
      <c r="CZ765" s="36" t="s">
        <v>138</v>
      </c>
      <c r="DA765" s="35">
        <v>0.48</v>
      </c>
      <c r="DB765" s="36">
        <v>94</v>
      </c>
      <c r="DC765" s="37">
        <v>12.41</v>
      </c>
      <c r="DD765" s="36">
        <v>92</v>
      </c>
      <c r="DE765" s="37">
        <v>-1.18</v>
      </c>
      <c r="DF765" s="35">
        <v>-8.69</v>
      </c>
      <c r="DG765" s="37">
        <v>18.739999999999998</v>
      </c>
      <c r="DH765" s="36">
        <v>94</v>
      </c>
      <c r="DI765" s="37">
        <v>6.08</v>
      </c>
      <c r="DJ765" s="36">
        <v>80</v>
      </c>
      <c r="DK765" s="37">
        <v>18.739999999999998</v>
      </c>
      <c r="DL765" s="36">
        <v>91</v>
      </c>
      <c r="DM765" s="37" t="s">
        <v>138</v>
      </c>
      <c r="DN765" s="36" t="s">
        <v>138</v>
      </c>
      <c r="DO765" s="37">
        <v>11.84</v>
      </c>
      <c r="DP765" s="36">
        <v>89</v>
      </c>
      <c r="DQ765" s="36">
        <v>6412</v>
      </c>
      <c r="DR765" s="38">
        <v>48</v>
      </c>
      <c r="DS765" s="35">
        <v>0.75</v>
      </c>
      <c r="DT765" s="36" t="s">
        <v>138</v>
      </c>
      <c r="DU765" s="38" t="s">
        <v>138</v>
      </c>
      <c r="DV765" s="35" t="s">
        <v>138</v>
      </c>
      <c r="DW765" s="36">
        <v>4235</v>
      </c>
      <c r="DX765" s="39">
        <v>10</v>
      </c>
      <c r="DY765" s="35">
        <v>0.24</v>
      </c>
      <c r="DZ765" s="28" t="s">
        <v>178</v>
      </c>
      <c r="EA765" s="34">
        <v>43622</v>
      </c>
      <c r="EB765" s="29">
        <v>100</v>
      </c>
      <c r="EC765" s="34">
        <v>43354</v>
      </c>
      <c r="ED765" s="28" t="s">
        <v>205</v>
      </c>
      <c r="EE765" s="40" t="str">
        <f>HYPERLINK("https://my.pitchbook.com?c=153064-36", "View company online")</f>
        <v>View company online</v>
      </c>
    </row>
    <row r="766" spans="1:135">
      <c r="A766" s="15" t="s">
        <v>15259</v>
      </c>
      <c r="B766" s="15" t="s">
        <v>15260</v>
      </c>
      <c r="C766" s="15" t="s">
        <v>138</v>
      </c>
      <c r="D766" s="15" t="s">
        <v>15261</v>
      </c>
      <c r="E766" s="15" t="s">
        <v>15262</v>
      </c>
      <c r="F766" s="15" t="s">
        <v>15259</v>
      </c>
      <c r="G766" s="15" t="s">
        <v>15263</v>
      </c>
      <c r="H766" s="15" t="s">
        <v>238</v>
      </c>
      <c r="I766" s="15" t="s">
        <v>785</v>
      </c>
      <c r="J766" s="15" t="s">
        <v>786</v>
      </c>
      <c r="K766" s="15" t="s">
        <v>15264</v>
      </c>
      <c r="L766" s="15" t="s">
        <v>1884</v>
      </c>
      <c r="M766" s="15" t="s">
        <v>15265</v>
      </c>
      <c r="N766" s="15" t="s">
        <v>147</v>
      </c>
      <c r="O766" s="17">
        <v>335.64</v>
      </c>
      <c r="P766" s="15" t="s">
        <v>148</v>
      </c>
      <c r="Q766" s="15" t="s">
        <v>149</v>
      </c>
      <c r="R766" s="15" t="s">
        <v>150</v>
      </c>
      <c r="S766" s="15" t="s">
        <v>15266</v>
      </c>
      <c r="T766" s="18" t="s">
        <v>138</v>
      </c>
      <c r="U766" s="15" t="s">
        <v>138</v>
      </c>
      <c r="V766" s="15" t="s">
        <v>138</v>
      </c>
      <c r="W766" s="15" t="s">
        <v>138</v>
      </c>
      <c r="X766" s="19">
        <v>1998</v>
      </c>
      <c r="Y766" s="15" t="s">
        <v>138</v>
      </c>
      <c r="Z766" s="15" t="s">
        <v>138</v>
      </c>
      <c r="AA766" s="15" t="s">
        <v>138</v>
      </c>
      <c r="AB766" s="20">
        <v>676.92</v>
      </c>
      <c r="AC766" s="20" t="s">
        <v>138</v>
      </c>
      <c r="AD766" s="20" t="s">
        <v>138</v>
      </c>
      <c r="AE766" s="20" t="s">
        <v>138</v>
      </c>
      <c r="AF766" s="20" t="s">
        <v>138</v>
      </c>
      <c r="AG766" s="15" t="s">
        <v>815</v>
      </c>
      <c r="AH766" s="20" t="s">
        <v>138</v>
      </c>
      <c r="AI766" s="20" t="s">
        <v>138</v>
      </c>
      <c r="AJ766" s="20" t="s">
        <v>138</v>
      </c>
      <c r="AK766" s="15" t="s">
        <v>15267</v>
      </c>
      <c r="AL766" s="15" t="s">
        <v>15268</v>
      </c>
      <c r="AM766" s="15" t="s">
        <v>249</v>
      </c>
      <c r="AN766" s="15" t="s">
        <v>15269</v>
      </c>
      <c r="AO766" s="15" t="s">
        <v>15270</v>
      </c>
      <c r="AP766" s="15" t="s">
        <v>15271</v>
      </c>
      <c r="AQ766" s="15" t="s">
        <v>15272</v>
      </c>
      <c r="AR766" s="15" t="s">
        <v>15273</v>
      </c>
      <c r="AS766" s="15" t="s">
        <v>15274</v>
      </c>
      <c r="AT766" s="15" t="s">
        <v>138</v>
      </c>
      <c r="AU766" s="15" t="s">
        <v>15275</v>
      </c>
      <c r="AV766" s="15" t="s">
        <v>15276</v>
      </c>
      <c r="AW766" s="15" t="s">
        <v>15270</v>
      </c>
      <c r="AX766" s="15" t="s">
        <v>138</v>
      </c>
      <c r="AY766" s="15" t="s">
        <v>138</v>
      </c>
      <c r="AZ766" s="15" t="s">
        <v>530</v>
      </c>
      <c r="BA766" s="15" t="s">
        <v>9687</v>
      </c>
      <c r="BB766" s="15" t="s">
        <v>15277</v>
      </c>
      <c r="BC766" s="15" t="s">
        <v>15278</v>
      </c>
      <c r="BD766" s="21">
        <v>16</v>
      </c>
      <c r="BE766" s="15" t="s">
        <v>138</v>
      </c>
      <c r="BF766" s="15" t="s">
        <v>15279</v>
      </c>
      <c r="BG766" s="15" t="s">
        <v>138</v>
      </c>
      <c r="BH766" s="15" t="s">
        <v>15280</v>
      </c>
      <c r="BI766" s="15" t="s">
        <v>15281</v>
      </c>
      <c r="BJ766" s="15" t="s">
        <v>138</v>
      </c>
      <c r="BK766" s="15" t="s">
        <v>15282</v>
      </c>
      <c r="BL766" s="15" t="s">
        <v>6617</v>
      </c>
      <c r="BM766" s="22">
        <v>36526</v>
      </c>
      <c r="BN766" s="17">
        <v>3</v>
      </c>
      <c r="BO766" s="15" t="s">
        <v>172</v>
      </c>
      <c r="BP766" s="17" t="s">
        <v>138</v>
      </c>
      <c r="BQ766" s="15" t="s">
        <v>138</v>
      </c>
      <c r="BR766" s="15" t="s">
        <v>205</v>
      </c>
      <c r="BS766" s="15" t="s">
        <v>206</v>
      </c>
      <c r="BT766" s="15" t="s">
        <v>138</v>
      </c>
      <c r="BU766" s="15" t="s">
        <v>174</v>
      </c>
      <c r="BV766" s="15" t="s">
        <v>138</v>
      </c>
      <c r="BW766" s="15" t="s">
        <v>138</v>
      </c>
      <c r="BX766" s="15" t="s">
        <v>138</v>
      </c>
      <c r="BY766" s="15" t="s">
        <v>175</v>
      </c>
      <c r="BZ766" s="22">
        <v>43539</v>
      </c>
      <c r="CA766" s="17">
        <v>116.72</v>
      </c>
      <c r="CB766" s="15" t="s">
        <v>172</v>
      </c>
      <c r="CC766" s="17">
        <v>624.5</v>
      </c>
      <c r="CD766" s="15" t="s">
        <v>172</v>
      </c>
      <c r="CE766" s="15" t="s">
        <v>379</v>
      </c>
      <c r="CF766" s="15" t="s">
        <v>138</v>
      </c>
      <c r="CG766" s="15" t="s">
        <v>138</v>
      </c>
      <c r="CH766" s="15" t="s">
        <v>780</v>
      </c>
      <c r="CI766" s="15" t="s">
        <v>138</v>
      </c>
      <c r="CJ766" s="15" t="s">
        <v>138</v>
      </c>
      <c r="CK766" s="15" t="s">
        <v>138</v>
      </c>
      <c r="CL766" s="15" t="s">
        <v>175</v>
      </c>
      <c r="CM766" s="22" t="s">
        <v>138</v>
      </c>
      <c r="CN766" s="17" t="s">
        <v>138</v>
      </c>
      <c r="CO766" s="23">
        <v>0.54</v>
      </c>
      <c r="CP766" s="24">
        <v>95</v>
      </c>
      <c r="CQ766" s="23">
        <v>-0.02</v>
      </c>
      <c r="CR766" s="23">
        <v>-3.26</v>
      </c>
      <c r="CS766" s="23">
        <v>0.53</v>
      </c>
      <c r="CT766" s="24">
        <v>95</v>
      </c>
      <c r="CU766" s="23">
        <v>0</v>
      </c>
      <c r="CV766" s="24">
        <v>22</v>
      </c>
      <c r="CW766" s="23">
        <v>0.53</v>
      </c>
      <c r="CX766" s="24">
        <v>83</v>
      </c>
      <c r="CY766" s="23" t="s">
        <v>138</v>
      </c>
      <c r="CZ766" s="24" t="s">
        <v>138</v>
      </c>
      <c r="DA766" s="23">
        <v>0</v>
      </c>
      <c r="DB766" s="24">
        <v>22</v>
      </c>
      <c r="DC766" s="25">
        <v>68.680000000000007</v>
      </c>
      <c r="DD766" s="24">
        <v>99</v>
      </c>
      <c r="DE766" s="25">
        <v>-7.82</v>
      </c>
      <c r="DF766" s="23">
        <v>-10.220000000000001</v>
      </c>
      <c r="DG766" s="25">
        <v>189.69</v>
      </c>
      <c r="DH766" s="24">
        <v>100</v>
      </c>
      <c r="DI766" s="25">
        <v>0.3</v>
      </c>
      <c r="DJ766" s="24">
        <v>28</v>
      </c>
      <c r="DK766" s="25">
        <v>189.69</v>
      </c>
      <c r="DL766" s="24">
        <v>99</v>
      </c>
      <c r="DM766" s="25" t="s">
        <v>138</v>
      </c>
      <c r="DN766" s="24" t="s">
        <v>138</v>
      </c>
      <c r="DO766" s="25">
        <v>0.3</v>
      </c>
      <c r="DP766" s="24">
        <v>30</v>
      </c>
      <c r="DQ766" s="24">
        <v>64936</v>
      </c>
      <c r="DR766" s="26">
        <v>379</v>
      </c>
      <c r="DS766" s="23">
        <v>0.59</v>
      </c>
      <c r="DT766" s="24" t="s">
        <v>138</v>
      </c>
      <c r="DU766" s="26" t="s">
        <v>138</v>
      </c>
      <c r="DV766" s="23" t="s">
        <v>138</v>
      </c>
      <c r="DW766" s="24">
        <v>109</v>
      </c>
      <c r="DX766" s="27">
        <v>0</v>
      </c>
      <c r="DY766" s="23">
        <v>0</v>
      </c>
      <c r="DZ766" s="15" t="s">
        <v>178</v>
      </c>
      <c r="EA766" s="22">
        <v>43622</v>
      </c>
      <c r="EB766" s="17">
        <v>624.5</v>
      </c>
      <c r="EC766" s="22">
        <v>43539</v>
      </c>
      <c r="ED766" s="15" t="s">
        <v>379</v>
      </c>
      <c r="EE766" s="14" t="str">
        <f>HYPERLINK("https://my.pitchbook.com?c=14195-17", "View company online")</f>
        <v>View company online</v>
      </c>
    </row>
    <row r="767" spans="1:135">
      <c r="A767" s="28" t="s">
        <v>15283</v>
      </c>
      <c r="B767" s="28" t="s">
        <v>15284</v>
      </c>
      <c r="C767" s="28" t="s">
        <v>138</v>
      </c>
      <c r="D767" s="28" t="s">
        <v>138</v>
      </c>
      <c r="E767" s="28" t="s">
        <v>15285</v>
      </c>
      <c r="F767" s="28" t="s">
        <v>15283</v>
      </c>
      <c r="G767" s="28" t="s">
        <v>15286</v>
      </c>
      <c r="H767" s="28" t="s">
        <v>322</v>
      </c>
      <c r="I767" s="28" t="s">
        <v>807</v>
      </c>
      <c r="J767" s="28" t="s">
        <v>2534</v>
      </c>
      <c r="K767" s="28" t="s">
        <v>6360</v>
      </c>
      <c r="L767" s="28" t="s">
        <v>215</v>
      </c>
      <c r="M767" s="28" t="s">
        <v>15287</v>
      </c>
      <c r="N767" s="28" t="s">
        <v>147</v>
      </c>
      <c r="O767" s="29">
        <v>49.75</v>
      </c>
      <c r="P767" s="28" t="s">
        <v>148</v>
      </c>
      <c r="Q767" s="28" t="s">
        <v>149</v>
      </c>
      <c r="R767" s="28" t="s">
        <v>174</v>
      </c>
      <c r="S767" s="28" t="s">
        <v>15288</v>
      </c>
      <c r="T767" s="30">
        <v>30</v>
      </c>
      <c r="U767" s="28" t="s">
        <v>15289</v>
      </c>
      <c r="V767" s="28" t="s">
        <v>138</v>
      </c>
      <c r="W767" s="28" t="s">
        <v>138</v>
      </c>
      <c r="X767" s="31">
        <v>2012</v>
      </c>
      <c r="Y767" s="28" t="s">
        <v>138</v>
      </c>
      <c r="Z767" s="28" t="s">
        <v>138</v>
      </c>
      <c r="AA767" s="28" t="s">
        <v>15290</v>
      </c>
      <c r="AB767" s="32" t="s">
        <v>138</v>
      </c>
      <c r="AC767" s="32" t="s">
        <v>138</v>
      </c>
      <c r="AD767" s="32" t="s">
        <v>138</v>
      </c>
      <c r="AE767" s="32" t="s">
        <v>138</v>
      </c>
      <c r="AF767" s="32" t="s">
        <v>138</v>
      </c>
      <c r="AG767" s="28" t="s">
        <v>138</v>
      </c>
      <c r="AH767" s="32" t="s">
        <v>138</v>
      </c>
      <c r="AI767" s="32" t="s">
        <v>138</v>
      </c>
      <c r="AJ767" s="32" t="s">
        <v>138</v>
      </c>
      <c r="AK767" s="28" t="s">
        <v>15291</v>
      </c>
      <c r="AL767" s="28" t="s">
        <v>15292</v>
      </c>
      <c r="AM767" s="28" t="s">
        <v>2949</v>
      </c>
      <c r="AN767" s="28" t="s">
        <v>15293</v>
      </c>
      <c r="AO767" s="28" t="s">
        <v>15294</v>
      </c>
      <c r="AP767" s="28" t="s">
        <v>15295</v>
      </c>
      <c r="AQ767" s="28" t="s">
        <v>15296</v>
      </c>
      <c r="AR767" s="28" t="s">
        <v>425</v>
      </c>
      <c r="AS767" s="28" t="s">
        <v>15297</v>
      </c>
      <c r="AT767" s="28" t="s">
        <v>6898</v>
      </c>
      <c r="AU767" s="28" t="s">
        <v>15298</v>
      </c>
      <c r="AV767" s="28" t="s">
        <v>162</v>
      </c>
      <c r="AW767" s="28" t="s">
        <v>15294</v>
      </c>
      <c r="AX767" s="28" t="s">
        <v>15299</v>
      </c>
      <c r="AY767" s="28" t="s">
        <v>15300</v>
      </c>
      <c r="AZ767" s="28" t="s">
        <v>164</v>
      </c>
      <c r="BA767" s="28" t="s">
        <v>165</v>
      </c>
      <c r="BB767" s="28" t="s">
        <v>15301</v>
      </c>
      <c r="BC767" s="28" t="s">
        <v>15302</v>
      </c>
      <c r="BD767" s="33">
        <v>6</v>
      </c>
      <c r="BE767" s="28" t="s">
        <v>138</v>
      </c>
      <c r="BF767" s="28" t="s">
        <v>138</v>
      </c>
      <c r="BG767" s="28" t="s">
        <v>138</v>
      </c>
      <c r="BH767" s="28" t="s">
        <v>15303</v>
      </c>
      <c r="BI767" s="28" t="s">
        <v>138</v>
      </c>
      <c r="BJ767" s="28" t="s">
        <v>138</v>
      </c>
      <c r="BK767" s="28" t="s">
        <v>138</v>
      </c>
      <c r="BL767" s="28" t="s">
        <v>138</v>
      </c>
      <c r="BM767" s="34">
        <v>42304</v>
      </c>
      <c r="BN767" s="29" t="s">
        <v>138</v>
      </c>
      <c r="BO767" s="28" t="s">
        <v>138</v>
      </c>
      <c r="BP767" s="29" t="s">
        <v>138</v>
      </c>
      <c r="BQ767" s="28" t="s">
        <v>138</v>
      </c>
      <c r="BR767" s="28" t="s">
        <v>316</v>
      </c>
      <c r="BS767" s="28" t="s">
        <v>138</v>
      </c>
      <c r="BT767" s="28" t="s">
        <v>138</v>
      </c>
      <c r="BU767" s="28" t="s">
        <v>177</v>
      </c>
      <c r="BV767" s="28" t="s">
        <v>138</v>
      </c>
      <c r="BW767" s="28" t="s">
        <v>138</v>
      </c>
      <c r="BX767" s="28" t="s">
        <v>138</v>
      </c>
      <c r="BY767" s="28" t="s">
        <v>175</v>
      </c>
      <c r="BZ767" s="34">
        <v>43615</v>
      </c>
      <c r="CA767" s="29">
        <v>23.25</v>
      </c>
      <c r="CB767" s="28" t="s">
        <v>172</v>
      </c>
      <c r="CC767" s="29" t="s">
        <v>138</v>
      </c>
      <c r="CD767" s="28" t="s">
        <v>138</v>
      </c>
      <c r="CE767" s="28" t="s">
        <v>173</v>
      </c>
      <c r="CF767" s="28" t="s">
        <v>317</v>
      </c>
      <c r="CG767" s="28" t="s">
        <v>138</v>
      </c>
      <c r="CH767" s="28" t="s">
        <v>174</v>
      </c>
      <c r="CI767" s="28" t="s">
        <v>138</v>
      </c>
      <c r="CJ767" s="28" t="s">
        <v>138</v>
      </c>
      <c r="CK767" s="28" t="s">
        <v>138</v>
      </c>
      <c r="CL767" s="28" t="s">
        <v>175</v>
      </c>
      <c r="CM767" s="34" t="s">
        <v>138</v>
      </c>
      <c r="CN767" s="29" t="s">
        <v>138</v>
      </c>
      <c r="CO767" s="35">
        <v>-0.57999999999999996</v>
      </c>
      <c r="CP767" s="36">
        <v>15</v>
      </c>
      <c r="CQ767" s="35">
        <v>0.12</v>
      </c>
      <c r="CR767" s="35">
        <v>17.399999999999999</v>
      </c>
      <c r="CS767" s="35">
        <v>-1.86</v>
      </c>
      <c r="CT767" s="36">
        <v>9</v>
      </c>
      <c r="CU767" s="35">
        <v>0.69</v>
      </c>
      <c r="CV767" s="36">
        <v>96</v>
      </c>
      <c r="CW767" s="35">
        <v>-2.1</v>
      </c>
      <c r="CX767" s="36">
        <v>7</v>
      </c>
      <c r="CY767" s="35">
        <v>-1.61</v>
      </c>
      <c r="CZ767" s="36">
        <v>14</v>
      </c>
      <c r="DA767" s="35">
        <v>0.69</v>
      </c>
      <c r="DB767" s="36">
        <v>96</v>
      </c>
      <c r="DC767" s="37">
        <v>4.46</v>
      </c>
      <c r="DD767" s="36">
        <v>81</v>
      </c>
      <c r="DE767" s="37">
        <v>0.95</v>
      </c>
      <c r="DF767" s="35">
        <v>26.89</v>
      </c>
      <c r="DG767" s="37">
        <v>4.43</v>
      </c>
      <c r="DH767" s="36">
        <v>81</v>
      </c>
      <c r="DI767" s="37">
        <v>4.49</v>
      </c>
      <c r="DJ767" s="36">
        <v>76</v>
      </c>
      <c r="DK767" s="37">
        <v>3.93</v>
      </c>
      <c r="DL767" s="36">
        <v>76</v>
      </c>
      <c r="DM767" s="37">
        <v>4.93</v>
      </c>
      <c r="DN767" s="36">
        <v>81</v>
      </c>
      <c r="DO767" s="37">
        <v>4.49</v>
      </c>
      <c r="DP767" s="36">
        <v>78</v>
      </c>
      <c r="DQ767" s="36">
        <v>1321</v>
      </c>
      <c r="DR767" s="38">
        <v>80</v>
      </c>
      <c r="DS767" s="35">
        <v>6.45</v>
      </c>
      <c r="DT767" s="36">
        <v>142</v>
      </c>
      <c r="DU767" s="38">
        <v>0</v>
      </c>
      <c r="DV767" s="35">
        <v>0</v>
      </c>
      <c r="DW767" s="36">
        <v>1602</v>
      </c>
      <c r="DX767" s="39">
        <v>9</v>
      </c>
      <c r="DY767" s="35">
        <v>0.56000000000000005</v>
      </c>
      <c r="DZ767" s="28" t="s">
        <v>178</v>
      </c>
      <c r="EA767" s="34">
        <v>43615</v>
      </c>
      <c r="EB767" s="29" t="s">
        <v>138</v>
      </c>
      <c r="EC767" s="34" t="s">
        <v>138</v>
      </c>
      <c r="ED767" s="28" t="s">
        <v>138</v>
      </c>
      <c r="EE767" s="40" t="str">
        <f>HYPERLINK("https://my.pitchbook.com?c=153138-88", "View company online")</f>
        <v>View company online</v>
      </c>
    </row>
    <row r="768" spans="1:135">
      <c r="A768" s="15" t="s">
        <v>15304</v>
      </c>
      <c r="B768" s="15" t="s">
        <v>15305</v>
      </c>
      <c r="C768" s="15" t="s">
        <v>15306</v>
      </c>
      <c r="D768" s="15" t="s">
        <v>138</v>
      </c>
      <c r="E768" s="15" t="s">
        <v>138</v>
      </c>
      <c r="F768" s="15" t="s">
        <v>15304</v>
      </c>
      <c r="G768" s="15" t="s">
        <v>15307</v>
      </c>
      <c r="H768" s="15" t="s">
        <v>238</v>
      </c>
      <c r="I768" s="15" t="s">
        <v>749</v>
      </c>
      <c r="J768" s="15" t="s">
        <v>4261</v>
      </c>
      <c r="K768" s="15" t="s">
        <v>7738</v>
      </c>
      <c r="L768" s="15" t="s">
        <v>138</v>
      </c>
      <c r="M768" s="15" t="s">
        <v>15308</v>
      </c>
      <c r="N768" s="15" t="s">
        <v>147</v>
      </c>
      <c r="O768" s="17">
        <v>6.2</v>
      </c>
      <c r="P768" s="15" t="s">
        <v>812</v>
      </c>
      <c r="Q768" s="15" t="s">
        <v>149</v>
      </c>
      <c r="R768" s="15" t="s">
        <v>174</v>
      </c>
      <c r="S768" s="15" t="s">
        <v>15309</v>
      </c>
      <c r="T768" s="18" t="s">
        <v>138</v>
      </c>
      <c r="U768" s="15" t="s">
        <v>138</v>
      </c>
      <c r="V768" s="15" t="s">
        <v>138</v>
      </c>
      <c r="W768" s="15" t="s">
        <v>138</v>
      </c>
      <c r="X768" s="19">
        <v>2013</v>
      </c>
      <c r="Y768" s="15" t="s">
        <v>138</v>
      </c>
      <c r="Z768" s="15" t="s">
        <v>138</v>
      </c>
      <c r="AA768" s="15" t="s">
        <v>138</v>
      </c>
      <c r="AB768" s="20">
        <v>1.7</v>
      </c>
      <c r="AC768" s="20" t="s">
        <v>138</v>
      </c>
      <c r="AD768" s="20" t="s">
        <v>138</v>
      </c>
      <c r="AE768" s="20" t="s">
        <v>138</v>
      </c>
      <c r="AF768" s="20" t="s">
        <v>138</v>
      </c>
      <c r="AG768" s="15" t="s">
        <v>514</v>
      </c>
      <c r="AH768" s="20" t="s">
        <v>138</v>
      </c>
      <c r="AI768" s="20" t="s">
        <v>138</v>
      </c>
      <c r="AJ768" s="20" t="s">
        <v>138</v>
      </c>
      <c r="AK768" s="15" t="s">
        <v>15310</v>
      </c>
      <c r="AL768" s="15" t="s">
        <v>15311</v>
      </c>
      <c r="AM768" s="15" t="s">
        <v>818</v>
      </c>
      <c r="AN768" s="15" t="s">
        <v>15312</v>
      </c>
      <c r="AO768" s="15" t="s">
        <v>15313</v>
      </c>
      <c r="AP768" s="15" t="s">
        <v>423</v>
      </c>
      <c r="AQ768" s="15" t="s">
        <v>15314</v>
      </c>
      <c r="AR768" s="15" t="s">
        <v>14285</v>
      </c>
      <c r="AS768" s="15" t="s">
        <v>426</v>
      </c>
      <c r="AT768" s="15" t="s">
        <v>426</v>
      </c>
      <c r="AU768" s="15" t="s">
        <v>8757</v>
      </c>
      <c r="AV768" s="15" t="s">
        <v>162</v>
      </c>
      <c r="AW768" s="15" t="s">
        <v>15313</v>
      </c>
      <c r="AX768" s="15" t="s">
        <v>138</v>
      </c>
      <c r="AY768" s="15" t="s">
        <v>15315</v>
      </c>
      <c r="AZ768" s="15" t="s">
        <v>164</v>
      </c>
      <c r="BA768" s="15" t="s">
        <v>165</v>
      </c>
      <c r="BB768" s="15" t="s">
        <v>15316</v>
      </c>
      <c r="BC768" s="15" t="s">
        <v>15317</v>
      </c>
      <c r="BD768" s="21">
        <v>5</v>
      </c>
      <c r="BE768" s="15" t="s">
        <v>138</v>
      </c>
      <c r="BF768" s="15" t="s">
        <v>138</v>
      </c>
      <c r="BG768" s="15" t="s">
        <v>138</v>
      </c>
      <c r="BH768" s="15" t="s">
        <v>15318</v>
      </c>
      <c r="BI768" s="15" t="s">
        <v>138</v>
      </c>
      <c r="BJ768" s="15" t="s">
        <v>138</v>
      </c>
      <c r="BK768" s="15" t="s">
        <v>138</v>
      </c>
      <c r="BL768" s="15" t="s">
        <v>15319</v>
      </c>
      <c r="BM768" s="22">
        <v>41681</v>
      </c>
      <c r="BN768" s="17">
        <v>0.26</v>
      </c>
      <c r="BO768" s="15" t="s">
        <v>172</v>
      </c>
      <c r="BP768" s="17" t="s">
        <v>138</v>
      </c>
      <c r="BQ768" s="15" t="s">
        <v>138</v>
      </c>
      <c r="BR768" s="15" t="s">
        <v>262</v>
      </c>
      <c r="BS768" s="15" t="s">
        <v>262</v>
      </c>
      <c r="BT768" s="15" t="s">
        <v>138</v>
      </c>
      <c r="BU768" s="15" t="s">
        <v>263</v>
      </c>
      <c r="BV768" s="15" t="s">
        <v>138</v>
      </c>
      <c r="BW768" s="15" t="s">
        <v>138</v>
      </c>
      <c r="BX768" s="15" t="s">
        <v>138</v>
      </c>
      <c r="BY768" s="15" t="s">
        <v>175</v>
      </c>
      <c r="BZ768" s="22">
        <v>43496</v>
      </c>
      <c r="CA768" s="17">
        <v>0.38</v>
      </c>
      <c r="CB768" s="15" t="s">
        <v>172</v>
      </c>
      <c r="CC768" s="17" t="s">
        <v>138</v>
      </c>
      <c r="CD768" s="15" t="s">
        <v>138</v>
      </c>
      <c r="CE768" s="15" t="s">
        <v>205</v>
      </c>
      <c r="CF768" s="15" t="s">
        <v>720</v>
      </c>
      <c r="CG768" s="15" t="s">
        <v>138</v>
      </c>
      <c r="CH768" s="15" t="s">
        <v>174</v>
      </c>
      <c r="CI768" s="15" t="s">
        <v>138</v>
      </c>
      <c r="CJ768" s="15" t="s">
        <v>138</v>
      </c>
      <c r="CK768" s="15" t="s">
        <v>138</v>
      </c>
      <c r="CL768" s="15" t="s">
        <v>175</v>
      </c>
      <c r="CM768" s="22" t="s">
        <v>138</v>
      </c>
      <c r="CN768" s="17" t="s">
        <v>138</v>
      </c>
      <c r="CO768" s="23">
        <v>-0.04</v>
      </c>
      <c r="CP768" s="24">
        <v>23</v>
      </c>
      <c r="CQ768" s="23">
        <v>0.03</v>
      </c>
      <c r="CR768" s="23">
        <v>41.73</v>
      </c>
      <c r="CS768" s="23">
        <v>-0.69</v>
      </c>
      <c r="CT768" s="24">
        <v>18</v>
      </c>
      <c r="CU768" s="23">
        <v>0.62</v>
      </c>
      <c r="CV768" s="24">
        <v>95</v>
      </c>
      <c r="CW768" s="23">
        <v>0</v>
      </c>
      <c r="CX768" s="24">
        <v>13</v>
      </c>
      <c r="CY768" s="23">
        <v>-1.38</v>
      </c>
      <c r="CZ768" s="24">
        <v>16</v>
      </c>
      <c r="DA768" s="23">
        <v>-0.05</v>
      </c>
      <c r="DB768" s="24">
        <v>13</v>
      </c>
      <c r="DC768" s="25">
        <v>10.15</v>
      </c>
      <c r="DD768" s="24">
        <v>90</v>
      </c>
      <c r="DE768" s="25">
        <v>0</v>
      </c>
      <c r="DF768" s="23">
        <v>0.01</v>
      </c>
      <c r="DG768" s="25">
        <v>9.83</v>
      </c>
      <c r="DH768" s="24">
        <v>89</v>
      </c>
      <c r="DI768" s="25">
        <v>10.47</v>
      </c>
      <c r="DJ768" s="24">
        <v>86</v>
      </c>
      <c r="DK768" s="25">
        <v>1.1100000000000001</v>
      </c>
      <c r="DL768" s="24">
        <v>52</v>
      </c>
      <c r="DM768" s="25">
        <v>18.55</v>
      </c>
      <c r="DN768" s="24">
        <v>94</v>
      </c>
      <c r="DO768" s="25">
        <v>10.53</v>
      </c>
      <c r="DP768" s="24">
        <v>88</v>
      </c>
      <c r="DQ768" s="24">
        <v>395</v>
      </c>
      <c r="DR768" s="26">
        <v>-42</v>
      </c>
      <c r="DS768" s="23">
        <v>-9.61</v>
      </c>
      <c r="DT768" s="24">
        <v>537</v>
      </c>
      <c r="DU768" s="26">
        <v>3</v>
      </c>
      <c r="DV768" s="23">
        <v>0.56000000000000005</v>
      </c>
      <c r="DW768" s="24">
        <v>3771</v>
      </c>
      <c r="DX768" s="27">
        <v>-1</v>
      </c>
      <c r="DY768" s="23">
        <v>-0.03</v>
      </c>
      <c r="DZ768" s="15" t="s">
        <v>178</v>
      </c>
      <c r="EA768" s="22">
        <v>43592</v>
      </c>
      <c r="EB768" s="17" t="s">
        <v>138</v>
      </c>
      <c r="EC768" s="22" t="s">
        <v>138</v>
      </c>
      <c r="ED768" s="15" t="s">
        <v>138</v>
      </c>
      <c r="EE768" s="14" t="str">
        <f>HYPERLINK("https://my.pitchbook.com?c=117055-54", "View company online")</f>
        <v>View company online</v>
      </c>
    </row>
    <row r="769" spans="1:135">
      <c r="A769" s="28" t="s">
        <v>15320</v>
      </c>
      <c r="B769" s="28" t="s">
        <v>15321</v>
      </c>
      <c r="C769" s="28" t="s">
        <v>138</v>
      </c>
      <c r="D769" s="28" t="s">
        <v>15322</v>
      </c>
      <c r="E769" s="28" t="s">
        <v>138</v>
      </c>
      <c r="F769" s="28" t="s">
        <v>15320</v>
      </c>
      <c r="G769" s="28" t="s">
        <v>15323</v>
      </c>
      <c r="H769" s="28" t="s">
        <v>322</v>
      </c>
      <c r="I769" s="28" t="s">
        <v>323</v>
      </c>
      <c r="J769" s="28" t="s">
        <v>1084</v>
      </c>
      <c r="K769" s="28" t="s">
        <v>12075</v>
      </c>
      <c r="L769" s="28" t="s">
        <v>138</v>
      </c>
      <c r="M769" s="28" t="s">
        <v>15324</v>
      </c>
      <c r="N769" s="28" t="s">
        <v>147</v>
      </c>
      <c r="O769" s="29">
        <v>2.5</v>
      </c>
      <c r="P769" s="28" t="s">
        <v>148</v>
      </c>
      <c r="Q769" s="28" t="s">
        <v>149</v>
      </c>
      <c r="R769" s="28" t="s">
        <v>174</v>
      </c>
      <c r="S769" s="28" t="s">
        <v>15325</v>
      </c>
      <c r="T769" s="30" t="s">
        <v>138</v>
      </c>
      <c r="U769" s="28" t="s">
        <v>138</v>
      </c>
      <c r="V769" s="28" t="s">
        <v>138</v>
      </c>
      <c r="W769" s="28" t="s">
        <v>138</v>
      </c>
      <c r="X769" s="31">
        <v>2017</v>
      </c>
      <c r="Y769" s="28" t="s">
        <v>138</v>
      </c>
      <c r="Z769" s="28" t="s">
        <v>138</v>
      </c>
      <c r="AA769" s="28" t="s">
        <v>138</v>
      </c>
      <c r="AB769" s="32" t="s">
        <v>138</v>
      </c>
      <c r="AC769" s="32" t="s">
        <v>138</v>
      </c>
      <c r="AD769" s="32" t="s">
        <v>138</v>
      </c>
      <c r="AE769" s="32" t="s">
        <v>138</v>
      </c>
      <c r="AF769" s="32" t="s">
        <v>138</v>
      </c>
      <c r="AG769" s="28" t="s">
        <v>138</v>
      </c>
      <c r="AH769" s="32" t="s">
        <v>138</v>
      </c>
      <c r="AI769" s="32" t="s">
        <v>138</v>
      </c>
      <c r="AJ769" s="32" t="s">
        <v>138</v>
      </c>
      <c r="AK769" s="28" t="s">
        <v>15326</v>
      </c>
      <c r="AL769" s="28" t="s">
        <v>15327</v>
      </c>
      <c r="AM769" s="28" t="s">
        <v>6346</v>
      </c>
      <c r="AN769" s="28" t="s">
        <v>15328</v>
      </c>
      <c r="AO769" s="28" t="s">
        <v>15329</v>
      </c>
      <c r="AP769" s="28" t="s">
        <v>15330</v>
      </c>
      <c r="AQ769" s="28" t="s">
        <v>15331</v>
      </c>
      <c r="AR769" s="28" t="s">
        <v>15332</v>
      </c>
      <c r="AS769" s="28" t="s">
        <v>138</v>
      </c>
      <c r="AT769" s="28" t="s">
        <v>597</v>
      </c>
      <c r="AU769" s="28" t="s">
        <v>15333</v>
      </c>
      <c r="AV769" s="28" t="s">
        <v>162</v>
      </c>
      <c r="AW769" s="28" t="s">
        <v>15329</v>
      </c>
      <c r="AX769" s="28" t="s">
        <v>138</v>
      </c>
      <c r="AY769" s="28" t="s">
        <v>138</v>
      </c>
      <c r="AZ769" s="28" t="s">
        <v>164</v>
      </c>
      <c r="BA769" s="28" t="s">
        <v>165</v>
      </c>
      <c r="BB769" s="28" t="s">
        <v>15334</v>
      </c>
      <c r="BC769" s="28" t="s">
        <v>15335</v>
      </c>
      <c r="BD769" s="33">
        <v>1</v>
      </c>
      <c r="BE769" s="28" t="s">
        <v>138</v>
      </c>
      <c r="BF769" s="28" t="s">
        <v>138</v>
      </c>
      <c r="BG769" s="28" t="s">
        <v>138</v>
      </c>
      <c r="BH769" s="28" t="s">
        <v>15336</v>
      </c>
      <c r="BI769" s="28" t="s">
        <v>138</v>
      </c>
      <c r="BJ769" s="28" t="s">
        <v>138</v>
      </c>
      <c r="BK769" s="28" t="s">
        <v>138</v>
      </c>
      <c r="BL769" s="28" t="s">
        <v>138</v>
      </c>
      <c r="BM769" s="34">
        <v>43357</v>
      </c>
      <c r="BN769" s="29">
        <v>2.5</v>
      </c>
      <c r="BO769" s="28" t="s">
        <v>172</v>
      </c>
      <c r="BP769" s="29">
        <v>22.5</v>
      </c>
      <c r="BQ769" s="28" t="s">
        <v>172</v>
      </c>
      <c r="BR769" s="28" t="s">
        <v>205</v>
      </c>
      <c r="BS769" s="28" t="s">
        <v>206</v>
      </c>
      <c r="BT769" s="28" t="s">
        <v>138</v>
      </c>
      <c r="BU769" s="28" t="s">
        <v>174</v>
      </c>
      <c r="BV769" s="28" t="s">
        <v>138</v>
      </c>
      <c r="BW769" s="28" t="s">
        <v>138</v>
      </c>
      <c r="BX769" s="28" t="s">
        <v>138</v>
      </c>
      <c r="BY769" s="28" t="s">
        <v>175</v>
      </c>
      <c r="BZ769" s="34">
        <v>43357</v>
      </c>
      <c r="CA769" s="29">
        <v>2.5</v>
      </c>
      <c r="CB769" s="28" t="s">
        <v>172</v>
      </c>
      <c r="CC769" s="29">
        <v>22.5</v>
      </c>
      <c r="CD769" s="28" t="s">
        <v>172</v>
      </c>
      <c r="CE769" s="28" t="s">
        <v>205</v>
      </c>
      <c r="CF769" s="28" t="s">
        <v>206</v>
      </c>
      <c r="CG769" s="28" t="s">
        <v>138</v>
      </c>
      <c r="CH769" s="28" t="s">
        <v>174</v>
      </c>
      <c r="CI769" s="28" t="s">
        <v>138</v>
      </c>
      <c r="CJ769" s="28" t="s">
        <v>138</v>
      </c>
      <c r="CK769" s="28" t="s">
        <v>138</v>
      </c>
      <c r="CL769" s="28" t="s">
        <v>175</v>
      </c>
      <c r="CM769" s="34" t="s">
        <v>138</v>
      </c>
      <c r="CN769" s="29" t="s">
        <v>138</v>
      </c>
      <c r="CO769" s="35">
        <v>0</v>
      </c>
      <c r="CP769" s="36">
        <v>26</v>
      </c>
      <c r="CQ769" s="35">
        <v>0</v>
      </c>
      <c r="CR769" s="35">
        <v>0</v>
      </c>
      <c r="CS769" s="35" t="s">
        <v>138</v>
      </c>
      <c r="CT769" s="36" t="s">
        <v>138</v>
      </c>
      <c r="CU769" s="35">
        <v>0</v>
      </c>
      <c r="CV769" s="36">
        <v>22</v>
      </c>
      <c r="CW769" s="35" t="s">
        <v>138</v>
      </c>
      <c r="CX769" s="36" t="s">
        <v>138</v>
      </c>
      <c r="CY769" s="35" t="s">
        <v>138</v>
      </c>
      <c r="CZ769" s="36" t="s">
        <v>138</v>
      </c>
      <c r="DA769" s="35">
        <v>0</v>
      </c>
      <c r="DB769" s="36">
        <v>22</v>
      </c>
      <c r="DC769" s="37">
        <v>0</v>
      </c>
      <c r="DD769" s="36">
        <v>1</v>
      </c>
      <c r="DE769" s="37">
        <v>0</v>
      </c>
      <c r="DF769" s="35">
        <v>0.56000000000000005</v>
      </c>
      <c r="DG769" s="37" t="s">
        <v>138</v>
      </c>
      <c r="DH769" s="36" t="s">
        <v>138</v>
      </c>
      <c r="DI769" s="37">
        <v>0</v>
      </c>
      <c r="DJ769" s="36">
        <v>1</v>
      </c>
      <c r="DK769" s="37" t="s">
        <v>138</v>
      </c>
      <c r="DL769" s="36" t="s">
        <v>138</v>
      </c>
      <c r="DM769" s="37" t="s">
        <v>138</v>
      </c>
      <c r="DN769" s="36" t="s">
        <v>138</v>
      </c>
      <c r="DO769" s="37">
        <v>0</v>
      </c>
      <c r="DP769" s="36">
        <v>1</v>
      </c>
      <c r="DQ769" s="36">
        <v>139</v>
      </c>
      <c r="DR769" s="38">
        <v>-1</v>
      </c>
      <c r="DS769" s="35">
        <v>-0.71</v>
      </c>
      <c r="DT769" s="36" t="s">
        <v>138</v>
      </c>
      <c r="DU769" s="38" t="s">
        <v>138</v>
      </c>
      <c r="DV769" s="35" t="s">
        <v>138</v>
      </c>
      <c r="DW769" s="36">
        <v>1</v>
      </c>
      <c r="DX769" s="39">
        <v>0</v>
      </c>
      <c r="DY769" s="35">
        <v>0</v>
      </c>
      <c r="DZ769" s="28" t="s">
        <v>178</v>
      </c>
      <c r="EA769" s="34">
        <v>43453</v>
      </c>
      <c r="EB769" s="29">
        <v>22.5</v>
      </c>
      <c r="EC769" s="34">
        <v>43357</v>
      </c>
      <c r="ED769" s="28" t="s">
        <v>205</v>
      </c>
      <c r="EE769" s="40" t="str">
        <f>HYPERLINK("https://my.pitchbook.com?c=232966-27", "View company online")</f>
        <v>View company online</v>
      </c>
    </row>
    <row r="770" spans="1:135">
      <c r="A770" s="15" t="s">
        <v>15337</v>
      </c>
      <c r="B770" s="15" t="s">
        <v>15338</v>
      </c>
      <c r="C770" s="15" t="s">
        <v>138</v>
      </c>
      <c r="D770" s="15" t="s">
        <v>138</v>
      </c>
      <c r="E770" s="15" t="s">
        <v>15339</v>
      </c>
      <c r="F770" s="15" t="s">
        <v>15337</v>
      </c>
      <c r="G770" s="15" t="s">
        <v>15340</v>
      </c>
      <c r="H770" s="15" t="s">
        <v>141</v>
      </c>
      <c r="I770" s="15" t="s">
        <v>142</v>
      </c>
      <c r="J770" s="15" t="s">
        <v>4042</v>
      </c>
      <c r="K770" s="15" t="s">
        <v>15341</v>
      </c>
      <c r="L770" s="15" t="s">
        <v>15062</v>
      </c>
      <c r="M770" s="15" t="s">
        <v>15342</v>
      </c>
      <c r="N770" s="15" t="s">
        <v>147</v>
      </c>
      <c r="O770" s="17">
        <v>100</v>
      </c>
      <c r="P770" s="15" t="s">
        <v>148</v>
      </c>
      <c r="Q770" s="15" t="s">
        <v>149</v>
      </c>
      <c r="R770" s="15" t="s">
        <v>244</v>
      </c>
      <c r="S770" s="15" t="s">
        <v>15343</v>
      </c>
      <c r="T770" s="18">
        <v>100</v>
      </c>
      <c r="U770" s="15" t="s">
        <v>15344</v>
      </c>
      <c r="V770" s="15" t="s">
        <v>138</v>
      </c>
      <c r="W770" s="15" t="s">
        <v>138</v>
      </c>
      <c r="X770" s="19">
        <v>2015</v>
      </c>
      <c r="Y770" s="15" t="s">
        <v>138</v>
      </c>
      <c r="Z770" s="15" t="s">
        <v>138</v>
      </c>
      <c r="AA770" s="15" t="s">
        <v>1163</v>
      </c>
      <c r="AB770" s="20" t="s">
        <v>138</v>
      </c>
      <c r="AC770" s="20" t="s">
        <v>138</v>
      </c>
      <c r="AD770" s="20" t="s">
        <v>138</v>
      </c>
      <c r="AE770" s="20" t="s">
        <v>138</v>
      </c>
      <c r="AF770" s="20" t="s">
        <v>138</v>
      </c>
      <c r="AG770" s="15" t="s">
        <v>138</v>
      </c>
      <c r="AH770" s="20" t="s">
        <v>138</v>
      </c>
      <c r="AI770" s="20" t="s">
        <v>138</v>
      </c>
      <c r="AJ770" s="20" t="s">
        <v>138</v>
      </c>
      <c r="AK770" s="15" t="s">
        <v>15345</v>
      </c>
      <c r="AL770" s="15" t="s">
        <v>15346</v>
      </c>
      <c r="AM770" s="15" t="s">
        <v>304</v>
      </c>
      <c r="AN770" s="15" t="s">
        <v>15347</v>
      </c>
      <c r="AO770" s="15" t="s">
        <v>15348</v>
      </c>
      <c r="AP770" s="15" t="s">
        <v>665</v>
      </c>
      <c r="AQ770" s="15" t="s">
        <v>15349</v>
      </c>
      <c r="AR770" s="15" t="s">
        <v>138</v>
      </c>
      <c r="AS770" s="15" t="s">
        <v>668</v>
      </c>
      <c r="AT770" s="15" t="s">
        <v>200</v>
      </c>
      <c r="AU770" s="15" t="s">
        <v>1723</v>
      </c>
      <c r="AV770" s="15" t="s">
        <v>162</v>
      </c>
      <c r="AW770" s="15" t="s">
        <v>15348</v>
      </c>
      <c r="AX770" s="15" t="s">
        <v>138</v>
      </c>
      <c r="AY770" s="15" t="s">
        <v>15350</v>
      </c>
      <c r="AZ770" s="15" t="s">
        <v>164</v>
      </c>
      <c r="BA770" s="15" t="s">
        <v>165</v>
      </c>
      <c r="BB770" s="15" t="s">
        <v>15351</v>
      </c>
      <c r="BC770" s="15" t="s">
        <v>15352</v>
      </c>
      <c r="BD770" s="21">
        <v>11</v>
      </c>
      <c r="BE770" s="15" t="s">
        <v>138</v>
      </c>
      <c r="BF770" s="15" t="s">
        <v>138</v>
      </c>
      <c r="BG770" s="15" t="s">
        <v>138</v>
      </c>
      <c r="BH770" s="15" t="s">
        <v>15353</v>
      </c>
      <c r="BI770" s="15" t="s">
        <v>138</v>
      </c>
      <c r="BJ770" s="15" t="s">
        <v>138</v>
      </c>
      <c r="BK770" s="15" t="s">
        <v>3482</v>
      </c>
      <c r="BL770" s="15" t="s">
        <v>15354</v>
      </c>
      <c r="BM770" s="22">
        <v>42466</v>
      </c>
      <c r="BN770" s="17">
        <v>3</v>
      </c>
      <c r="BO770" s="15" t="s">
        <v>1178</v>
      </c>
      <c r="BP770" s="17">
        <v>15</v>
      </c>
      <c r="BQ770" s="15" t="s">
        <v>172</v>
      </c>
      <c r="BR770" s="15" t="s">
        <v>234</v>
      </c>
      <c r="BS770" s="15" t="s">
        <v>234</v>
      </c>
      <c r="BT770" s="15" t="s">
        <v>138</v>
      </c>
      <c r="BU770" s="15" t="s">
        <v>174</v>
      </c>
      <c r="BV770" s="15" t="s">
        <v>138</v>
      </c>
      <c r="BW770" s="15" t="s">
        <v>138</v>
      </c>
      <c r="BX770" s="15" t="s">
        <v>138</v>
      </c>
      <c r="BY770" s="15" t="s">
        <v>175</v>
      </c>
      <c r="BZ770" s="22">
        <v>43549</v>
      </c>
      <c r="CA770" s="17">
        <v>60</v>
      </c>
      <c r="CB770" s="15" t="s">
        <v>172</v>
      </c>
      <c r="CC770" s="17" t="s">
        <v>138</v>
      </c>
      <c r="CD770" s="15" t="s">
        <v>138</v>
      </c>
      <c r="CE770" s="15" t="s">
        <v>205</v>
      </c>
      <c r="CF770" s="15" t="s">
        <v>623</v>
      </c>
      <c r="CG770" s="15" t="s">
        <v>138</v>
      </c>
      <c r="CH770" s="15" t="s">
        <v>174</v>
      </c>
      <c r="CI770" s="15" t="s">
        <v>264</v>
      </c>
      <c r="CJ770" s="15" t="s">
        <v>138</v>
      </c>
      <c r="CK770" s="15" t="s">
        <v>138</v>
      </c>
      <c r="CL770" s="15" t="s">
        <v>175</v>
      </c>
      <c r="CM770" s="22">
        <v>43431</v>
      </c>
      <c r="CN770" s="17">
        <v>10</v>
      </c>
      <c r="CO770" s="23">
        <v>-0.45</v>
      </c>
      <c r="CP770" s="24">
        <v>17</v>
      </c>
      <c r="CQ770" s="23">
        <v>0.16</v>
      </c>
      <c r="CR770" s="23">
        <v>26.69</v>
      </c>
      <c r="CS770" s="23">
        <v>-0.45</v>
      </c>
      <c r="CT770" s="24">
        <v>20</v>
      </c>
      <c r="CU770" s="23" t="s">
        <v>138</v>
      </c>
      <c r="CV770" s="24" t="s">
        <v>138</v>
      </c>
      <c r="CW770" s="23" t="s">
        <v>138</v>
      </c>
      <c r="CX770" s="24" t="s">
        <v>138</v>
      </c>
      <c r="CY770" s="23">
        <v>-0.45</v>
      </c>
      <c r="CZ770" s="24">
        <v>22</v>
      </c>
      <c r="DA770" s="23" t="s">
        <v>138</v>
      </c>
      <c r="DB770" s="24" t="s">
        <v>138</v>
      </c>
      <c r="DC770" s="25">
        <v>11.93</v>
      </c>
      <c r="DD770" s="24">
        <v>91</v>
      </c>
      <c r="DE770" s="25">
        <v>0.24</v>
      </c>
      <c r="DF770" s="23">
        <v>2.06</v>
      </c>
      <c r="DG770" s="25">
        <v>11.93</v>
      </c>
      <c r="DH770" s="24">
        <v>91</v>
      </c>
      <c r="DI770" s="25" t="s">
        <v>138</v>
      </c>
      <c r="DJ770" s="24" t="s">
        <v>138</v>
      </c>
      <c r="DK770" s="25" t="s">
        <v>138</v>
      </c>
      <c r="DL770" s="24" t="s">
        <v>138</v>
      </c>
      <c r="DM770" s="25">
        <v>11.93</v>
      </c>
      <c r="DN770" s="24">
        <v>90</v>
      </c>
      <c r="DO770" s="25" t="s">
        <v>138</v>
      </c>
      <c r="DP770" s="24" t="s">
        <v>138</v>
      </c>
      <c r="DQ770" s="24" t="s">
        <v>138</v>
      </c>
      <c r="DR770" s="26" t="s">
        <v>138</v>
      </c>
      <c r="DS770" s="23" t="s">
        <v>138</v>
      </c>
      <c r="DT770" s="24">
        <v>343</v>
      </c>
      <c r="DU770" s="26">
        <v>10</v>
      </c>
      <c r="DV770" s="23">
        <v>3</v>
      </c>
      <c r="DW770" s="24">
        <v>124</v>
      </c>
      <c r="DX770" s="27">
        <v>12</v>
      </c>
      <c r="DY770" s="23">
        <v>10.71</v>
      </c>
      <c r="DZ770" s="15" t="s">
        <v>178</v>
      </c>
      <c r="EA770" s="22">
        <v>43622</v>
      </c>
      <c r="EB770" s="17">
        <v>212</v>
      </c>
      <c r="EC770" s="22">
        <v>43080</v>
      </c>
      <c r="ED770" s="15" t="s">
        <v>205</v>
      </c>
      <c r="EE770" s="14" t="str">
        <f>HYPERLINK("https://my.pitchbook.com?c=170435-53", "View company online")</f>
        <v>View company online</v>
      </c>
    </row>
    <row r="771" spans="1:135">
      <c r="A771" s="28" t="s">
        <v>15355</v>
      </c>
      <c r="B771" s="28" t="s">
        <v>15356</v>
      </c>
      <c r="C771" s="28" t="s">
        <v>138</v>
      </c>
      <c r="D771" s="28" t="s">
        <v>15357</v>
      </c>
      <c r="E771" s="28" t="s">
        <v>138</v>
      </c>
      <c r="F771" s="28" t="s">
        <v>15355</v>
      </c>
      <c r="G771" s="28" t="s">
        <v>15358</v>
      </c>
      <c r="H771" s="28" t="s">
        <v>141</v>
      </c>
      <c r="I771" s="28" t="s">
        <v>212</v>
      </c>
      <c r="J771" s="28" t="s">
        <v>213</v>
      </c>
      <c r="K771" s="28" t="s">
        <v>15359</v>
      </c>
      <c r="L771" s="28" t="s">
        <v>415</v>
      </c>
      <c r="M771" s="28" t="s">
        <v>15360</v>
      </c>
      <c r="N771" s="28" t="s">
        <v>147</v>
      </c>
      <c r="O771" s="29">
        <v>40</v>
      </c>
      <c r="P771" s="28" t="s">
        <v>148</v>
      </c>
      <c r="Q771" s="28" t="s">
        <v>149</v>
      </c>
      <c r="R771" s="28" t="s">
        <v>174</v>
      </c>
      <c r="S771" s="28" t="s">
        <v>15361</v>
      </c>
      <c r="T771" s="30">
        <v>100</v>
      </c>
      <c r="U771" s="28" t="s">
        <v>301</v>
      </c>
      <c r="V771" s="28" t="s">
        <v>138</v>
      </c>
      <c r="W771" s="28" t="s">
        <v>138</v>
      </c>
      <c r="X771" s="31">
        <v>2015</v>
      </c>
      <c r="Y771" s="28" t="s">
        <v>138</v>
      </c>
      <c r="Z771" s="28" t="s">
        <v>138</v>
      </c>
      <c r="AA771" s="28" t="s">
        <v>138</v>
      </c>
      <c r="AB771" s="32" t="s">
        <v>138</v>
      </c>
      <c r="AC771" s="32" t="s">
        <v>138</v>
      </c>
      <c r="AD771" s="32" t="s">
        <v>138</v>
      </c>
      <c r="AE771" s="32" t="s">
        <v>138</v>
      </c>
      <c r="AF771" s="32" t="s">
        <v>138</v>
      </c>
      <c r="AG771" s="28" t="s">
        <v>138</v>
      </c>
      <c r="AH771" s="32" t="s">
        <v>138</v>
      </c>
      <c r="AI771" s="32" t="s">
        <v>138</v>
      </c>
      <c r="AJ771" s="32" t="s">
        <v>138</v>
      </c>
      <c r="AK771" s="28" t="s">
        <v>15362</v>
      </c>
      <c r="AL771" s="28" t="s">
        <v>15363</v>
      </c>
      <c r="AM771" s="28" t="s">
        <v>221</v>
      </c>
      <c r="AN771" s="28" t="s">
        <v>15364</v>
      </c>
      <c r="AO771" s="28" t="s">
        <v>138</v>
      </c>
      <c r="AP771" s="28" t="s">
        <v>10913</v>
      </c>
      <c r="AQ771" s="28" t="s">
        <v>15365</v>
      </c>
      <c r="AR771" s="28" t="s">
        <v>15366</v>
      </c>
      <c r="AS771" s="28" t="s">
        <v>10916</v>
      </c>
      <c r="AT771" s="28" t="s">
        <v>138</v>
      </c>
      <c r="AU771" s="28" t="s">
        <v>138</v>
      </c>
      <c r="AV771" s="28" t="s">
        <v>740</v>
      </c>
      <c r="AW771" s="28" t="s">
        <v>138</v>
      </c>
      <c r="AX771" s="28" t="s">
        <v>138</v>
      </c>
      <c r="AY771" s="28" t="s">
        <v>15367</v>
      </c>
      <c r="AZ771" s="28" t="s">
        <v>742</v>
      </c>
      <c r="BA771" s="28" t="s">
        <v>742</v>
      </c>
      <c r="BB771" s="28" t="s">
        <v>15368</v>
      </c>
      <c r="BC771" s="28" t="s">
        <v>15369</v>
      </c>
      <c r="BD771" s="33">
        <v>15</v>
      </c>
      <c r="BE771" s="28" t="s">
        <v>138</v>
      </c>
      <c r="BF771" s="28" t="s">
        <v>138</v>
      </c>
      <c r="BG771" s="28" t="s">
        <v>138</v>
      </c>
      <c r="BH771" s="28" t="s">
        <v>15370</v>
      </c>
      <c r="BI771" s="28" t="s">
        <v>138</v>
      </c>
      <c r="BJ771" s="28" t="s">
        <v>138</v>
      </c>
      <c r="BK771" s="28" t="s">
        <v>138</v>
      </c>
      <c r="BL771" s="28" t="s">
        <v>15371</v>
      </c>
      <c r="BM771" s="34">
        <v>42611</v>
      </c>
      <c r="BN771" s="29">
        <v>15</v>
      </c>
      <c r="BO771" s="28" t="s">
        <v>172</v>
      </c>
      <c r="BP771" s="29" t="s">
        <v>138</v>
      </c>
      <c r="BQ771" s="28" t="s">
        <v>138</v>
      </c>
      <c r="BR771" s="28" t="s">
        <v>205</v>
      </c>
      <c r="BS771" s="28" t="s">
        <v>206</v>
      </c>
      <c r="BT771" s="28" t="s">
        <v>138</v>
      </c>
      <c r="BU771" s="28" t="s">
        <v>174</v>
      </c>
      <c r="BV771" s="28" t="s">
        <v>138</v>
      </c>
      <c r="BW771" s="28" t="s">
        <v>138</v>
      </c>
      <c r="BX771" s="28" t="s">
        <v>138</v>
      </c>
      <c r="BY771" s="28" t="s">
        <v>175</v>
      </c>
      <c r="BZ771" s="34">
        <v>43562</v>
      </c>
      <c r="CA771" s="29" t="s">
        <v>138</v>
      </c>
      <c r="CB771" s="28" t="s">
        <v>138</v>
      </c>
      <c r="CC771" s="29" t="s">
        <v>138</v>
      </c>
      <c r="CD771" s="28" t="s">
        <v>138</v>
      </c>
      <c r="CE771" s="28" t="s">
        <v>173</v>
      </c>
      <c r="CF771" s="28" t="s">
        <v>317</v>
      </c>
      <c r="CG771" s="28" t="s">
        <v>138</v>
      </c>
      <c r="CH771" s="28" t="s">
        <v>174</v>
      </c>
      <c r="CI771" s="28" t="s">
        <v>138</v>
      </c>
      <c r="CJ771" s="28" t="s">
        <v>138</v>
      </c>
      <c r="CK771" s="28" t="s">
        <v>138</v>
      </c>
      <c r="CL771" s="28" t="s">
        <v>175</v>
      </c>
      <c r="CM771" s="34" t="s">
        <v>138</v>
      </c>
      <c r="CN771" s="29" t="s">
        <v>138</v>
      </c>
      <c r="CO771" s="35">
        <v>0.15</v>
      </c>
      <c r="CP771" s="36">
        <v>91</v>
      </c>
      <c r="CQ771" s="35">
        <v>-0.01</v>
      </c>
      <c r="CR771" s="35">
        <v>-6.59</v>
      </c>
      <c r="CS771" s="35">
        <v>0</v>
      </c>
      <c r="CT771" s="36">
        <v>23</v>
      </c>
      <c r="CU771" s="35">
        <v>0.3</v>
      </c>
      <c r="CV771" s="36">
        <v>87</v>
      </c>
      <c r="CW771" s="35">
        <v>0</v>
      </c>
      <c r="CX771" s="36">
        <v>13</v>
      </c>
      <c r="CY771" s="35" t="s">
        <v>138</v>
      </c>
      <c r="CZ771" s="36" t="s">
        <v>138</v>
      </c>
      <c r="DA771" s="35">
        <v>0.25</v>
      </c>
      <c r="DB771" s="36">
        <v>86</v>
      </c>
      <c r="DC771" s="37">
        <v>1.71</v>
      </c>
      <c r="DD771" s="36">
        <v>64</v>
      </c>
      <c r="DE771" s="37">
        <v>-0.09</v>
      </c>
      <c r="DF771" s="35">
        <v>-4.84</v>
      </c>
      <c r="DG771" s="37">
        <v>1.48</v>
      </c>
      <c r="DH771" s="36">
        <v>60</v>
      </c>
      <c r="DI771" s="37">
        <v>1.93</v>
      </c>
      <c r="DJ771" s="36">
        <v>62</v>
      </c>
      <c r="DK771" s="37">
        <v>1.48</v>
      </c>
      <c r="DL771" s="36">
        <v>58</v>
      </c>
      <c r="DM771" s="37" t="s">
        <v>138</v>
      </c>
      <c r="DN771" s="36" t="s">
        <v>138</v>
      </c>
      <c r="DO771" s="37">
        <v>3.43</v>
      </c>
      <c r="DP771" s="36">
        <v>73</v>
      </c>
      <c r="DQ771" s="36">
        <v>506</v>
      </c>
      <c r="DR771" s="38">
        <v>18</v>
      </c>
      <c r="DS771" s="35">
        <v>3.69</v>
      </c>
      <c r="DT771" s="36" t="s">
        <v>138</v>
      </c>
      <c r="DU771" s="38" t="s">
        <v>138</v>
      </c>
      <c r="DV771" s="35" t="s">
        <v>138</v>
      </c>
      <c r="DW771" s="36">
        <v>1225</v>
      </c>
      <c r="DX771" s="39">
        <v>3</v>
      </c>
      <c r="DY771" s="35">
        <v>0.25</v>
      </c>
      <c r="DZ771" s="28" t="s">
        <v>178</v>
      </c>
      <c r="EA771" s="34">
        <v>43622</v>
      </c>
      <c r="EB771" s="29" t="s">
        <v>138</v>
      </c>
      <c r="EC771" s="34" t="s">
        <v>138</v>
      </c>
      <c r="ED771" s="28" t="s">
        <v>138</v>
      </c>
      <c r="EE771" s="40" t="str">
        <f>HYPERLINK("https://my.pitchbook.com?c=160473-97", "View company online")</f>
        <v>View company online</v>
      </c>
    </row>
    <row r="772" spans="1:135">
      <c r="A772" s="15" t="s">
        <v>15372</v>
      </c>
      <c r="B772" s="15" t="s">
        <v>15373</v>
      </c>
      <c r="C772" s="15" t="s">
        <v>15374</v>
      </c>
      <c r="D772" s="15" t="s">
        <v>138</v>
      </c>
      <c r="E772" s="15" t="s">
        <v>15375</v>
      </c>
      <c r="F772" s="15" t="s">
        <v>15372</v>
      </c>
      <c r="G772" s="15" t="s">
        <v>15376</v>
      </c>
      <c r="H772" s="15" t="s">
        <v>238</v>
      </c>
      <c r="I772" s="15" t="s">
        <v>1351</v>
      </c>
      <c r="J772" s="15" t="s">
        <v>1352</v>
      </c>
      <c r="K772" s="15" t="s">
        <v>15377</v>
      </c>
      <c r="L772" s="15" t="s">
        <v>242</v>
      </c>
      <c r="M772" s="15" t="s">
        <v>15378</v>
      </c>
      <c r="N772" s="15" t="s">
        <v>1452</v>
      </c>
      <c r="O772" s="17">
        <v>55</v>
      </c>
      <c r="P772" s="15" t="s">
        <v>148</v>
      </c>
      <c r="Q772" s="15" t="s">
        <v>149</v>
      </c>
      <c r="R772" s="15" t="s">
        <v>328</v>
      </c>
      <c r="S772" s="15" t="s">
        <v>15379</v>
      </c>
      <c r="T772" s="18">
        <v>60</v>
      </c>
      <c r="U772" s="15" t="s">
        <v>15380</v>
      </c>
      <c r="V772" s="15" t="s">
        <v>138</v>
      </c>
      <c r="W772" s="15" t="s">
        <v>138</v>
      </c>
      <c r="X772" s="19">
        <v>2008</v>
      </c>
      <c r="Y772" s="15" t="s">
        <v>138</v>
      </c>
      <c r="Z772" s="15" t="s">
        <v>138</v>
      </c>
      <c r="AA772" s="15" t="s">
        <v>138</v>
      </c>
      <c r="AB772" s="20" t="s">
        <v>138</v>
      </c>
      <c r="AC772" s="20" t="s">
        <v>138</v>
      </c>
      <c r="AD772" s="20" t="s">
        <v>138</v>
      </c>
      <c r="AE772" s="20" t="s">
        <v>138</v>
      </c>
      <c r="AF772" s="20" t="s">
        <v>138</v>
      </c>
      <c r="AG772" s="15" t="s">
        <v>138</v>
      </c>
      <c r="AH772" s="20" t="s">
        <v>138</v>
      </c>
      <c r="AI772" s="20" t="s">
        <v>138</v>
      </c>
      <c r="AJ772" s="20" t="s">
        <v>138</v>
      </c>
      <c r="AK772" s="15" t="s">
        <v>15381</v>
      </c>
      <c r="AL772" s="15" t="s">
        <v>15382</v>
      </c>
      <c r="AM772" s="15" t="s">
        <v>15383</v>
      </c>
      <c r="AN772" s="15" t="s">
        <v>15384</v>
      </c>
      <c r="AO772" s="15" t="s">
        <v>15385</v>
      </c>
      <c r="AP772" s="15" t="s">
        <v>15386</v>
      </c>
      <c r="AQ772" s="15" t="s">
        <v>15387</v>
      </c>
      <c r="AR772" s="15" t="s">
        <v>1030</v>
      </c>
      <c r="AS772" s="15" t="s">
        <v>15388</v>
      </c>
      <c r="AT772" s="15" t="s">
        <v>284</v>
      </c>
      <c r="AU772" s="15" t="s">
        <v>15389</v>
      </c>
      <c r="AV772" s="15" t="s">
        <v>162</v>
      </c>
      <c r="AW772" s="15" t="s">
        <v>15385</v>
      </c>
      <c r="AX772" s="15" t="s">
        <v>138</v>
      </c>
      <c r="AY772" s="15" t="s">
        <v>15390</v>
      </c>
      <c r="AZ772" s="15" t="s">
        <v>164</v>
      </c>
      <c r="BA772" s="15" t="s">
        <v>165</v>
      </c>
      <c r="BB772" s="15" t="s">
        <v>15391</v>
      </c>
      <c r="BC772" s="15" t="s">
        <v>15392</v>
      </c>
      <c r="BD772" s="21">
        <v>12</v>
      </c>
      <c r="BE772" s="15" t="s">
        <v>138</v>
      </c>
      <c r="BF772" s="15" t="s">
        <v>138</v>
      </c>
      <c r="BG772" s="15" t="s">
        <v>138</v>
      </c>
      <c r="BH772" s="15" t="s">
        <v>15393</v>
      </c>
      <c r="BI772" s="15" t="s">
        <v>138</v>
      </c>
      <c r="BJ772" s="15" t="s">
        <v>138</v>
      </c>
      <c r="BK772" s="15" t="s">
        <v>15394</v>
      </c>
      <c r="BL772" s="15" t="s">
        <v>138</v>
      </c>
      <c r="BM772" s="22">
        <v>39722</v>
      </c>
      <c r="BN772" s="17">
        <v>0.48</v>
      </c>
      <c r="BO772" s="15" t="s">
        <v>172</v>
      </c>
      <c r="BP772" s="17">
        <v>4.75</v>
      </c>
      <c r="BQ772" s="15" t="s">
        <v>172</v>
      </c>
      <c r="BR772" s="15" t="s">
        <v>205</v>
      </c>
      <c r="BS772" s="15" t="s">
        <v>206</v>
      </c>
      <c r="BT772" s="15" t="s">
        <v>138</v>
      </c>
      <c r="BU772" s="15" t="s">
        <v>174</v>
      </c>
      <c r="BV772" s="15" t="s">
        <v>138</v>
      </c>
      <c r="BW772" s="15" t="s">
        <v>138</v>
      </c>
      <c r="BX772" s="15" t="s">
        <v>138</v>
      </c>
      <c r="BY772" s="15" t="s">
        <v>175</v>
      </c>
      <c r="BZ772" s="22">
        <v>43252</v>
      </c>
      <c r="CA772" s="17">
        <v>6</v>
      </c>
      <c r="CB772" s="15" t="s">
        <v>172</v>
      </c>
      <c r="CC772" s="17" t="s">
        <v>138</v>
      </c>
      <c r="CD772" s="15" t="s">
        <v>138</v>
      </c>
      <c r="CE772" s="15" t="s">
        <v>1673</v>
      </c>
      <c r="CF772" s="15" t="s">
        <v>138</v>
      </c>
      <c r="CG772" s="15" t="s">
        <v>138</v>
      </c>
      <c r="CH772" s="15" t="s">
        <v>351</v>
      </c>
      <c r="CI772" s="15" t="s">
        <v>138</v>
      </c>
      <c r="CJ772" s="15" t="s">
        <v>138</v>
      </c>
      <c r="CK772" s="15" t="s">
        <v>138</v>
      </c>
      <c r="CL772" s="15" t="s">
        <v>175</v>
      </c>
      <c r="CM772" s="22" t="s">
        <v>138</v>
      </c>
      <c r="CN772" s="17" t="s">
        <v>138</v>
      </c>
      <c r="CO772" s="23">
        <v>-0.3</v>
      </c>
      <c r="CP772" s="24">
        <v>18</v>
      </c>
      <c r="CQ772" s="23">
        <v>0</v>
      </c>
      <c r="CR772" s="23">
        <v>-0.2</v>
      </c>
      <c r="CS772" s="23">
        <v>-1.34</v>
      </c>
      <c r="CT772" s="24">
        <v>13</v>
      </c>
      <c r="CU772" s="23">
        <v>0.01</v>
      </c>
      <c r="CV772" s="24">
        <v>49</v>
      </c>
      <c r="CW772" s="23">
        <v>-1.34</v>
      </c>
      <c r="CX772" s="24">
        <v>9</v>
      </c>
      <c r="CY772" s="23" t="s">
        <v>138</v>
      </c>
      <c r="CZ772" s="24" t="s">
        <v>138</v>
      </c>
      <c r="DA772" s="23">
        <v>-0.04</v>
      </c>
      <c r="DB772" s="24">
        <v>15</v>
      </c>
      <c r="DC772" s="25">
        <v>3.4</v>
      </c>
      <c r="DD772" s="24">
        <v>77</v>
      </c>
      <c r="DE772" s="25">
        <v>-0.15</v>
      </c>
      <c r="DF772" s="23">
        <v>-4.2300000000000004</v>
      </c>
      <c r="DG772" s="25">
        <v>3.76</v>
      </c>
      <c r="DH772" s="24">
        <v>78</v>
      </c>
      <c r="DI772" s="25">
        <v>6.33</v>
      </c>
      <c r="DJ772" s="24">
        <v>80</v>
      </c>
      <c r="DK772" s="25">
        <v>3.76</v>
      </c>
      <c r="DL772" s="24">
        <v>75</v>
      </c>
      <c r="DM772" s="25" t="s">
        <v>138</v>
      </c>
      <c r="DN772" s="24" t="s">
        <v>138</v>
      </c>
      <c r="DO772" s="25">
        <v>9.8000000000000007</v>
      </c>
      <c r="DP772" s="24">
        <v>87</v>
      </c>
      <c r="DQ772" s="24">
        <v>1234</v>
      </c>
      <c r="DR772" s="26">
        <v>159</v>
      </c>
      <c r="DS772" s="23">
        <v>14.79</v>
      </c>
      <c r="DT772" s="24" t="s">
        <v>138</v>
      </c>
      <c r="DU772" s="26" t="s">
        <v>138</v>
      </c>
      <c r="DV772" s="23" t="s">
        <v>138</v>
      </c>
      <c r="DW772" s="24">
        <v>3505</v>
      </c>
      <c r="DX772" s="27">
        <v>3</v>
      </c>
      <c r="DY772" s="23">
        <v>0.09</v>
      </c>
      <c r="DZ772" s="15" t="s">
        <v>178</v>
      </c>
      <c r="EA772" s="22">
        <v>43622</v>
      </c>
      <c r="EB772" s="17">
        <v>311.11</v>
      </c>
      <c r="EC772" s="22">
        <v>43109</v>
      </c>
      <c r="ED772" s="15" t="s">
        <v>173</v>
      </c>
      <c r="EE772" s="14" t="str">
        <f>HYPERLINK("https://my.pitchbook.com?c=94001-41", "View company online")</f>
        <v>View company online</v>
      </c>
    </row>
    <row r="773" spans="1:135">
      <c r="A773" s="28" t="s">
        <v>15395</v>
      </c>
      <c r="B773" s="28" t="s">
        <v>15396</v>
      </c>
      <c r="C773" s="28" t="s">
        <v>138</v>
      </c>
      <c r="D773" s="28" t="s">
        <v>15397</v>
      </c>
      <c r="E773" s="28" t="s">
        <v>15398</v>
      </c>
      <c r="F773" s="28" t="s">
        <v>15395</v>
      </c>
      <c r="G773" s="28" t="s">
        <v>15399</v>
      </c>
      <c r="H773" s="28" t="s">
        <v>322</v>
      </c>
      <c r="I773" s="28" t="s">
        <v>323</v>
      </c>
      <c r="J773" s="28" t="s">
        <v>324</v>
      </c>
      <c r="K773" s="28" t="s">
        <v>15400</v>
      </c>
      <c r="L773" s="28" t="s">
        <v>15401</v>
      </c>
      <c r="M773" s="28" t="s">
        <v>15402</v>
      </c>
      <c r="N773" s="28" t="s">
        <v>147</v>
      </c>
      <c r="O773" s="29">
        <v>5.72</v>
      </c>
      <c r="P773" s="28" t="s">
        <v>148</v>
      </c>
      <c r="Q773" s="28" t="s">
        <v>149</v>
      </c>
      <c r="R773" s="28" t="s">
        <v>174</v>
      </c>
      <c r="S773" s="28" t="s">
        <v>15403</v>
      </c>
      <c r="T773" s="30">
        <v>15</v>
      </c>
      <c r="U773" s="28" t="s">
        <v>913</v>
      </c>
      <c r="V773" s="28" t="s">
        <v>138</v>
      </c>
      <c r="W773" s="28" t="s">
        <v>138</v>
      </c>
      <c r="X773" s="31">
        <v>2012</v>
      </c>
      <c r="Y773" s="28" t="s">
        <v>138</v>
      </c>
      <c r="Z773" s="28" t="s">
        <v>138</v>
      </c>
      <c r="AA773" s="28" t="s">
        <v>138</v>
      </c>
      <c r="AB773" s="32" t="s">
        <v>138</v>
      </c>
      <c r="AC773" s="32" t="s">
        <v>138</v>
      </c>
      <c r="AD773" s="32" t="s">
        <v>138</v>
      </c>
      <c r="AE773" s="32" t="s">
        <v>138</v>
      </c>
      <c r="AF773" s="32" t="s">
        <v>138</v>
      </c>
      <c r="AG773" s="28" t="s">
        <v>138</v>
      </c>
      <c r="AH773" s="32" t="s">
        <v>138</v>
      </c>
      <c r="AI773" s="32" t="s">
        <v>138</v>
      </c>
      <c r="AJ773" s="32" t="s">
        <v>138</v>
      </c>
      <c r="AK773" s="28" t="s">
        <v>15404</v>
      </c>
      <c r="AL773" s="28" t="s">
        <v>15405</v>
      </c>
      <c r="AM773" s="28" t="s">
        <v>566</v>
      </c>
      <c r="AN773" s="28" t="s">
        <v>15406</v>
      </c>
      <c r="AO773" s="28" t="s">
        <v>15407</v>
      </c>
      <c r="AP773" s="28" t="s">
        <v>15408</v>
      </c>
      <c r="AQ773" s="28" t="s">
        <v>15409</v>
      </c>
      <c r="AR773" s="28" t="s">
        <v>15410</v>
      </c>
      <c r="AS773" s="28" t="s">
        <v>15411</v>
      </c>
      <c r="AT773" s="28" t="s">
        <v>15412</v>
      </c>
      <c r="AU773" s="28" t="s">
        <v>15413</v>
      </c>
      <c r="AV773" s="28" t="s">
        <v>2742</v>
      </c>
      <c r="AW773" s="28" t="s">
        <v>15407</v>
      </c>
      <c r="AX773" s="28" t="s">
        <v>138</v>
      </c>
      <c r="AY773" s="28" t="s">
        <v>15414</v>
      </c>
      <c r="AZ773" s="28" t="s">
        <v>164</v>
      </c>
      <c r="BA773" s="28" t="s">
        <v>165</v>
      </c>
      <c r="BB773" s="28" t="s">
        <v>15415</v>
      </c>
      <c r="BC773" s="28" t="s">
        <v>15416</v>
      </c>
      <c r="BD773" s="33">
        <v>7</v>
      </c>
      <c r="BE773" s="28" t="s">
        <v>138</v>
      </c>
      <c r="BF773" s="28" t="s">
        <v>138</v>
      </c>
      <c r="BG773" s="28" t="s">
        <v>138</v>
      </c>
      <c r="BH773" s="28" t="s">
        <v>15417</v>
      </c>
      <c r="BI773" s="28" t="s">
        <v>138</v>
      </c>
      <c r="BJ773" s="28" t="s">
        <v>138</v>
      </c>
      <c r="BK773" s="28" t="s">
        <v>138</v>
      </c>
      <c r="BL773" s="28" t="s">
        <v>138</v>
      </c>
      <c r="BM773" s="34">
        <v>42030</v>
      </c>
      <c r="BN773" s="29">
        <v>1.87</v>
      </c>
      <c r="BO773" s="28" t="s">
        <v>172</v>
      </c>
      <c r="BP773" s="29" t="s">
        <v>138</v>
      </c>
      <c r="BQ773" s="28" t="s">
        <v>138</v>
      </c>
      <c r="BR773" s="28" t="s">
        <v>234</v>
      </c>
      <c r="BS773" s="28" t="s">
        <v>234</v>
      </c>
      <c r="BT773" s="28" t="s">
        <v>138</v>
      </c>
      <c r="BU773" s="28" t="s">
        <v>174</v>
      </c>
      <c r="BV773" s="28" t="s">
        <v>138</v>
      </c>
      <c r="BW773" s="28" t="s">
        <v>138</v>
      </c>
      <c r="BX773" s="28" t="s">
        <v>138</v>
      </c>
      <c r="BY773" s="28" t="s">
        <v>175</v>
      </c>
      <c r="BZ773" s="34">
        <v>43448</v>
      </c>
      <c r="CA773" s="29">
        <v>2.88</v>
      </c>
      <c r="CB773" s="28" t="s">
        <v>172</v>
      </c>
      <c r="CC773" s="29" t="s">
        <v>138</v>
      </c>
      <c r="CD773" s="28" t="s">
        <v>138</v>
      </c>
      <c r="CE773" s="28" t="s">
        <v>173</v>
      </c>
      <c r="CF773" s="28" t="s">
        <v>720</v>
      </c>
      <c r="CG773" s="28" t="s">
        <v>138</v>
      </c>
      <c r="CH773" s="28" t="s">
        <v>174</v>
      </c>
      <c r="CI773" s="28" t="s">
        <v>138</v>
      </c>
      <c r="CJ773" s="28" t="s">
        <v>138</v>
      </c>
      <c r="CK773" s="28" t="s">
        <v>138</v>
      </c>
      <c r="CL773" s="28" t="s">
        <v>175</v>
      </c>
      <c r="CM773" s="34" t="s">
        <v>138</v>
      </c>
      <c r="CN773" s="29" t="s">
        <v>138</v>
      </c>
      <c r="CO773" s="35">
        <v>0.03</v>
      </c>
      <c r="CP773" s="36">
        <v>86</v>
      </c>
      <c r="CQ773" s="35">
        <v>0.02</v>
      </c>
      <c r="CR773" s="35">
        <v>99.45</v>
      </c>
      <c r="CS773" s="35">
        <v>0</v>
      </c>
      <c r="CT773" s="36">
        <v>23</v>
      </c>
      <c r="CU773" s="35">
        <v>7.0000000000000007E-2</v>
      </c>
      <c r="CV773" s="36">
        <v>62</v>
      </c>
      <c r="CW773" s="35" t="s">
        <v>138</v>
      </c>
      <c r="CX773" s="36" t="s">
        <v>138</v>
      </c>
      <c r="CY773" s="35">
        <v>0</v>
      </c>
      <c r="CZ773" s="36">
        <v>25</v>
      </c>
      <c r="DA773" s="35">
        <v>7.0000000000000007E-2</v>
      </c>
      <c r="DB773" s="36">
        <v>67</v>
      </c>
      <c r="DC773" s="37">
        <v>1.37</v>
      </c>
      <c r="DD773" s="36">
        <v>59</v>
      </c>
      <c r="DE773" s="37">
        <v>0</v>
      </c>
      <c r="DF773" s="35">
        <v>0.31</v>
      </c>
      <c r="DG773" s="37">
        <v>1.72</v>
      </c>
      <c r="DH773" s="36">
        <v>63</v>
      </c>
      <c r="DI773" s="37">
        <v>1.02</v>
      </c>
      <c r="DJ773" s="36">
        <v>50</v>
      </c>
      <c r="DK773" s="37" t="s">
        <v>138</v>
      </c>
      <c r="DL773" s="36" t="s">
        <v>138</v>
      </c>
      <c r="DM773" s="37">
        <v>1.72</v>
      </c>
      <c r="DN773" s="36">
        <v>62</v>
      </c>
      <c r="DO773" s="37">
        <v>1.02</v>
      </c>
      <c r="DP773" s="36">
        <v>51</v>
      </c>
      <c r="DQ773" s="36" t="s">
        <v>138</v>
      </c>
      <c r="DR773" s="38" t="s">
        <v>138</v>
      </c>
      <c r="DS773" s="35" t="s">
        <v>138</v>
      </c>
      <c r="DT773" s="36">
        <v>51</v>
      </c>
      <c r="DU773" s="38">
        <v>-3</v>
      </c>
      <c r="DV773" s="35">
        <v>-5.56</v>
      </c>
      <c r="DW773" s="36">
        <v>365</v>
      </c>
      <c r="DX773" s="39">
        <v>1</v>
      </c>
      <c r="DY773" s="35">
        <v>0.27</v>
      </c>
      <c r="DZ773" s="28" t="s">
        <v>178</v>
      </c>
      <c r="EA773" s="34">
        <v>43607</v>
      </c>
      <c r="EB773" s="29" t="s">
        <v>138</v>
      </c>
      <c r="EC773" s="34" t="s">
        <v>138</v>
      </c>
      <c r="ED773" s="28" t="s">
        <v>138</v>
      </c>
      <c r="EE773" s="40" t="str">
        <f>HYPERLINK("https://my.pitchbook.com?c=88483-96", "View company online")</f>
        <v>View company online</v>
      </c>
    </row>
    <row r="774" spans="1:135">
      <c r="A774" s="15" t="s">
        <v>15418</v>
      </c>
      <c r="B774" s="15" t="s">
        <v>15419</v>
      </c>
      <c r="C774" s="15" t="s">
        <v>138</v>
      </c>
      <c r="D774" s="15" t="s">
        <v>15420</v>
      </c>
      <c r="E774" s="15" t="s">
        <v>138</v>
      </c>
      <c r="F774" s="15" t="s">
        <v>15418</v>
      </c>
      <c r="G774" s="15" t="s">
        <v>15421</v>
      </c>
      <c r="H774" s="15" t="s">
        <v>322</v>
      </c>
      <c r="I774" s="15" t="s">
        <v>323</v>
      </c>
      <c r="J774" s="15" t="s">
        <v>954</v>
      </c>
      <c r="K774" s="15" t="s">
        <v>1562</v>
      </c>
      <c r="L774" s="15" t="s">
        <v>415</v>
      </c>
      <c r="M774" s="15" t="s">
        <v>15422</v>
      </c>
      <c r="N774" s="15" t="s">
        <v>1212</v>
      </c>
      <c r="O774" s="17" t="s">
        <v>138</v>
      </c>
      <c r="P774" s="15" t="s">
        <v>610</v>
      </c>
      <c r="Q774" s="15" t="s">
        <v>149</v>
      </c>
      <c r="R774" s="15" t="s">
        <v>174</v>
      </c>
      <c r="S774" s="15" t="s">
        <v>15423</v>
      </c>
      <c r="T774" s="18" t="s">
        <v>138</v>
      </c>
      <c r="U774" s="15" t="s">
        <v>138</v>
      </c>
      <c r="V774" s="15" t="s">
        <v>138</v>
      </c>
      <c r="W774" s="15" t="s">
        <v>138</v>
      </c>
      <c r="X774" s="19" t="s">
        <v>138</v>
      </c>
      <c r="Y774" s="15" t="s">
        <v>15424</v>
      </c>
      <c r="Z774" s="15" t="s">
        <v>138</v>
      </c>
      <c r="AA774" s="15" t="s">
        <v>138</v>
      </c>
      <c r="AB774" s="20" t="s">
        <v>138</v>
      </c>
      <c r="AC774" s="20" t="s">
        <v>138</v>
      </c>
      <c r="AD774" s="20" t="s">
        <v>138</v>
      </c>
      <c r="AE774" s="20" t="s">
        <v>138</v>
      </c>
      <c r="AF774" s="20" t="s">
        <v>138</v>
      </c>
      <c r="AG774" s="15" t="s">
        <v>138</v>
      </c>
      <c r="AH774" s="20" t="s">
        <v>138</v>
      </c>
      <c r="AI774" s="20" t="s">
        <v>138</v>
      </c>
      <c r="AJ774" s="20" t="s">
        <v>138</v>
      </c>
      <c r="AK774" s="15" t="s">
        <v>15425</v>
      </c>
      <c r="AL774" s="15" t="s">
        <v>15426</v>
      </c>
      <c r="AM774" s="15" t="s">
        <v>5715</v>
      </c>
      <c r="AN774" s="15" t="s">
        <v>15427</v>
      </c>
      <c r="AO774" s="15" t="s">
        <v>15428</v>
      </c>
      <c r="AP774" s="15" t="s">
        <v>2905</v>
      </c>
      <c r="AQ774" s="15" t="s">
        <v>15429</v>
      </c>
      <c r="AR774" s="15" t="s">
        <v>138</v>
      </c>
      <c r="AS774" s="15" t="s">
        <v>2907</v>
      </c>
      <c r="AT774" s="15" t="s">
        <v>138</v>
      </c>
      <c r="AU774" s="15" t="s">
        <v>15430</v>
      </c>
      <c r="AV774" s="15" t="s">
        <v>946</v>
      </c>
      <c r="AW774" s="15" t="s">
        <v>15428</v>
      </c>
      <c r="AX774" s="15" t="s">
        <v>15431</v>
      </c>
      <c r="AY774" s="15" t="s">
        <v>15432</v>
      </c>
      <c r="AZ774" s="15" t="s">
        <v>530</v>
      </c>
      <c r="BA774" s="15" t="s">
        <v>531</v>
      </c>
      <c r="BB774" s="15" t="s">
        <v>15433</v>
      </c>
      <c r="BC774" s="15" t="s">
        <v>138</v>
      </c>
      <c r="BD774" s="21" t="s">
        <v>138</v>
      </c>
      <c r="BE774" s="15" t="s">
        <v>15424</v>
      </c>
      <c r="BF774" s="15" t="s">
        <v>15434</v>
      </c>
      <c r="BG774" s="15" t="s">
        <v>138</v>
      </c>
      <c r="BH774" s="15" t="s">
        <v>138</v>
      </c>
      <c r="BI774" s="15" t="s">
        <v>15435</v>
      </c>
      <c r="BJ774" s="15" t="s">
        <v>138</v>
      </c>
      <c r="BK774" s="15" t="s">
        <v>138</v>
      </c>
      <c r="BL774" s="15" t="s">
        <v>138</v>
      </c>
      <c r="BM774" s="22">
        <v>39264</v>
      </c>
      <c r="BN774" s="17" t="s">
        <v>138</v>
      </c>
      <c r="BO774" s="15" t="s">
        <v>138</v>
      </c>
      <c r="BP774" s="17" t="s">
        <v>138</v>
      </c>
      <c r="BQ774" s="15" t="s">
        <v>138</v>
      </c>
      <c r="BR774" s="15" t="s">
        <v>205</v>
      </c>
      <c r="BS774" s="15" t="s">
        <v>138</v>
      </c>
      <c r="BT774" s="15" t="s">
        <v>138</v>
      </c>
      <c r="BU774" s="15" t="s">
        <v>174</v>
      </c>
      <c r="BV774" s="15" t="s">
        <v>138</v>
      </c>
      <c r="BW774" s="15" t="s">
        <v>138</v>
      </c>
      <c r="BX774" s="15" t="s">
        <v>138</v>
      </c>
      <c r="BY774" s="15" t="s">
        <v>175</v>
      </c>
      <c r="BZ774" s="22">
        <v>40211</v>
      </c>
      <c r="CA774" s="17" t="s">
        <v>138</v>
      </c>
      <c r="CB774" s="15" t="s">
        <v>138</v>
      </c>
      <c r="CC774" s="17" t="s">
        <v>138</v>
      </c>
      <c r="CD774" s="15" t="s">
        <v>138</v>
      </c>
      <c r="CE774" s="15" t="s">
        <v>2228</v>
      </c>
      <c r="CF774" s="15" t="s">
        <v>138</v>
      </c>
      <c r="CG774" s="15" t="s">
        <v>138</v>
      </c>
      <c r="CH774" s="15" t="s">
        <v>780</v>
      </c>
      <c r="CI774" s="15" t="s">
        <v>138</v>
      </c>
      <c r="CJ774" s="15" t="s">
        <v>138</v>
      </c>
      <c r="CK774" s="15" t="s">
        <v>138</v>
      </c>
      <c r="CL774" s="15" t="s">
        <v>175</v>
      </c>
      <c r="CM774" s="22" t="s">
        <v>138</v>
      </c>
      <c r="CN774" s="17" t="s">
        <v>138</v>
      </c>
      <c r="CO774" s="23" t="s">
        <v>138</v>
      </c>
      <c r="CP774" s="24" t="s">
        <v>138</v>
      </c>
      <c r="CQ774" s="23" t="s">
        <v>138</v>
      </c>
      <c r="CR774" s="23" t="s">
        <v>138</v>
      </c>
      <c r="CS774" s="23" t="s">
        <v>138</v>
      </c>
      <c r="CT774" s="24" t="s">
        <v>138</v>
      </c>
      <c r="CU774" s="23" t="s">
        <v>138</v>
      </c>
      <c r="CV774" s="24" t="s">
        <v>138</v>
      </c>
      <c r="CW774" s="23" t="s">
        <v>138</v>
      </c>
      <c r="CX774" s="24" t="s">
        <v>138</v>
      </c>
      <c r="CY774" s="23" t="s">
        <v>138</v>
      </c>
      <c r="CZ774" s="24" t="s">
        <v>138</v>
      </c>
      <c r="DA774" s="23" t="s">
        <v>138</v>
      </c>
      <c r="DB774" s="24" t="s">
        <v>138</v>
      </c>
      <c r="DC774" s="25" t="s">
        <v>138</v>
      </c>
      <c r="DD774" s="24" t="s">
        <v>138</v>
      </c>
      <c r="DE774" s="25" t="s">
        <v>138</v>
      </c>
      <c r="DF774" s="23" t="s">
        <v>138</v>
      </c>
      <c r="DG774" s="25" t="s">
        <v>138</v>
      </c>
      <c r="DH774" s="24" t="s">
        <v>138</v>
      </c>
      <c r="DI774" s="25" t="s">
        <v>138</v>
      </c>
      <c r="DJ774" s="24" t="s">
        <v>138</v>
      </c>
      <c r="DK774" s="25" t="s">
        <v>138</v>
      </c>
      <c r="DL774" s="24" t="s">
        <v>138</v>
      </c>
      <c r="DM774" s="25" t="s">
        <v>138</v>
      </c>
      <c r="DN774" s="24" t="s">
        <v>138</v>
      </c>
      <c r="DO774" s="25" t="s">
        <v>138</v>
      </c>
      <c r="DP774" s="24" t="s">
        <v>138</v>
      </c>
      <c r="DQ774" s="24" t="s">
        <v>138</v>
      </c>
      <c r="DR774" s="26" t="s">
        <v>138</v>
      </c>
      <c r="DS774" s="23" t="s">
        <v>138</v>
      </c>
      <c r="DT774" s="24" t="s">
        <v>138</v>
      </c>
      <c r="DU774" s="26" t="s">
        <v>138</v>
      </c>
      <c r="DV774" s="23" t="s">
        <v>138</v>
      </c>
      <c r="DW774" s="24" t="s">
        <v>138</v>
      </c>
      <c r="DX774" s="27" t="s">
        <v>138</v>
      </c>
      <c r="DY774" s="23" t="s">
        <v>138</v>
      </c>
      <c r="DZ774" s="15" t="s">
        <v>178</v>
      </c>
      <c r="EA774" s="22">
        <v>43448</v>
      </c>
      <c r="EB774" s="17" t="s">
        <v>138</v>
      </c>
      <c r="EC774" s="22" t="s">
        <v>138</v>
      </c>
      <c r="ED774" s="15" t="s">
        <v>138</v>
      </c>
      <c r="EE774" s="14" t="str">
        <f>HYPERLINK("https://my.pitchbook.com?c=62112-43", "View company online")</f>
        <v>View company online</v>
      </c>
    </row>
    <row r="775" spans="1:135">
      <c r="A775" s="28" t="s">
        <v>15436</v>
      </c>
      <c r="B775" s="28" t="s">
        <v>15437</v>
      </c>
      <c r="C775" s="28" t="s">
        <v>15438</v>
      </c>
      <c r="D775" s="28" t="s">
        <v>138</v>
      </c>
      <c r="E775" s="28" t="s">
        <v>15439</v>
      </c>
      <c r="F775" s="28" t="s">
        <v>15436</v>
      </c>
      <c r="G775" s="28" t="s">
        <v>15440</v>
      </c>
      <c r="H775" s="28" t="s">
        <v>322</v>
      </c>
      <c r="I775" s="28" t="s">
        <v>807</v>
      </c>
      <c r="J775" s="28" t="s">
        <v>1102</v>
      </c>
      <c r="K775" s="28" t="s">
        <v>15441</v>
      </c>
      <c r="L775" s="28" t="s">
        <v>2274</v>
      </c>
      <c r="M775" s="28" t="s">
        <v>15442</v>
      </c>
      <c r="N775" s="28" t="s">
        <v>1452</v>
      </c>
      <c r="O775" s="29">
        <v>23</v>
      </c>
      <c r="P775" s="28" t="s">
        <v>148</v>
      </c>
      <c r="Q775" s="28" t="s">
        <v>149</v>
      </c>
      <c r="R775" s="28" t="s">
        <v>328</v>
      </c>
      <c r="S775" s="28" t="s">
        <v>15443</v>
      </c>
      <c r="T775" s="30">
        <v>1020</v>
      </c>
      <c r="U775" s="28" t="s">
        <v>15444</v>
      </c>
      <c r="V775" s="28" t="s">
        <v>138</v>
      </c>
      <c r="W775" s="28" t="s">
        <v>138</v>
      </c>
      <c r="X775" s="31">
        <v>2003</v>
      </c>
      <c r="Y775" s="28" t="s">
        <v>138</v>
      </c>
      <c r="Z775" s="28" t="s">
        <v>138</v>
      </c>
      <c r="AA775" s="28" t="s">
        <v>138</v>
      </c>
      <c r="AB775" s="32" t="s">
        <v>138</v>
      </c>
      <c r="AC775" s="32" t="s">
        <v>138</v>
      </c>
      <c r="AD775" s="32" t="s">
        <v>138</v>
      </c>
      <c r="AE775" s="32" t="s">
        <v>138</v>
      </c>
      <c r="AF775" s="32" t="s">
        <v>138</v>
      </c>
      <c r="AG775" s="28" t="s">
        <v>138</v>
      </c>
      <c r="AH775" s="32" t="s">
        <v>138</v>
      </c>
      <c r="AI775" s="32" t="s">
        <v>138</v>
      </c>
      <c r="AJ775" s="32" t="s">
        <v>138</v>
      </c>
      <c r="AK775" s="28" t="s">
        <v>15445</v>
      </c>
      <c r="AL775" s="28" t="s">
        <v>15446</v>
      </c>
      <c r="AM775" s="28" t="s">
        <v>11924</v>
      </c>
      <c r="AN775" s="28" t="s">
        <v>15447</v>
      </c>
      <c r="AO775" s="28" t="s">
        <v>15448</v>
      </c>
      <c r="AP775" s="28" t="s">
        <v>15449</v>
      </c>
      <c r="AQ775" s="28" t="s">
        <v>15450</v>
      </c>
      <c r="AR775" s="28" t="s">
        <v>15451</v>
      </c>
      <c r="AS775" s="28" t="s">
        <v>15452</v>
      </c>
      <c r="AT775" s="28" t="s">
        <v>14130</v>
      </c>
      <c r="AU775" s="28" t="s">
        <v>15453</v>
      </c>
      <c r="AV775" s="28" t="s">
        <v>2742</v>
      </c>
      <c r="AW775" s="28" t="s">
        <v>15448</v>
      </c>
      <c r="AX775" s="28" t="s">
        <v>138</v>
      </c>
      <c r="AY775" s="28" t="s">
        <v>15454</v>
      </c>
      <c r="AZ775" s="28" t="s">
        <v>164</v>
      </c>
      <c r="BA775" s="28" t="s">
        <v>165</v>
      </c>
      <c r="BB775" s="28" t="s">
        <v>15455</v>
      </c>
      <c r="BC775" s="28" t="s">
        <v>15456</v>
      </c>
      <c r="BD775" s="33">
        <v>3</v>
      </c>
      <c r="BE775" s="28" t="s">
        <v>138</v>
      </c>
      <c r="BF775" s="28" t="s">
        <v>138</v>
      </c>
      <c r="BG775" s="28" t="s">
        <v>138</v>
      </c>
      <c r="BH775" s="28" t="s">
        <v>15457</v>
      </c>
      <c r="BI775" s="28" t="s">
        <v>138</v>
      </c>
      <c r="BJ775" s="28" t="s">
        <v>138</v>
      </c>
      <c r="BK775" s="28" t="s">
        <v>138</v>
      </c>
      <c r="BL775" s="28" t="s">
        <v>15458</v>
      </c>
      <c r="BM775" s="34">
        <v>41423</v>
      </c>
      <c r="BN775" s="29" t="s">
        <v>138</v>
      </c>
      <c r="BO775" s="28" t="s">
        <v>138</v>
      </c>
      <c r="BP775" s="29" t="s">
        <v>138</v>
      </c>
      <c r="BQ775" s="28" t="s">
        <v>138</v>
      </c>
      <c r="BR775" s="28" t="s">
        <v>173</v>
      </c>
      <c r="BS775" s="28" t="s">
        <v>138</v>
      </c>
      <c r="BT775" s="28" t="s">
        <v>138</v>
      </c>
      <c r="BU775" s="28" t="s">
        <v>174</v>
      </c>
      <c r="BV775" s="28" t="s">
        <v>138</v>
      </c>
      <c r="BW775" s="28" t="s">
        <v>138</v>
      </c>
      <c r="BX775" s="28" t="s">
        <v>138</v>
      </c>
      <c r="BY775" s="28" t="s">
        <v>175</v>
      </c>
      <c r="BZ775" s="34">
        <v>43592</v>
      </c>
      <c r="CA775" s="29">
        <v>23</v>
      </c>
      <c r="CB775" s="28" t="s">
        <v>172</v>
      </c>
      <c r="CC775" s="29" t="s">
        <v>138</v>
      </c>
      <c r="CD775" s="28" t="s">
        <v>138</v>
      </c>
      <c r="CE775" s="28" t="s">
        <v>1673</v>
      </c>
      <c r="CF775" s="28" t="s">
        <v>138</v>
      </c>
      <c r="CG775" s="28" t="s">
        <v>138</v>
      </c>
      <c r="CH775" s="28" t="s">
        <v>351</v>
      </c>
      <c r="CI775" s="28" t="s">
        <v>138</v>
      </c>
      <c r="CJ775" s="28" t="s">
        <v>138</v>
      </c>
      <c r="CK775" s="28" t="s">
        <v>138</v>
      </c>
      <c r="CL775" s="28" t="s">
        <v>175</v>
      </c>
      <c r="CM775" s="34" t="s">
        <v>138</v>
      </c>
      <c r="CN775" s="29" t="s">
        <v>138</v>
      </c>
      <c r="CO775" s="35">
        <v>-1.05</v>
      </c>
      <c r="CP775" s="36">
        <v>11</v>
      </c>
      <c r="CQ775" s="35">
        <v>-0.02</v>
      </c>
      <c r="CR775" s="35">
        <v>-2.33</v>
      </c>
      <c r="CS775" s="35">
        <v>-2.4300000000000002</v>
      </c>
      <c r="CT775" s="36">
        <v>7</v>
      </c>
      <c r="CU775" s="35">
        <v>0.34</v>
      </c>
      <c r="CV775" s="36">
        <v>89</v>
      </c>
      <c r="CW775" s="35">
        <v>0</v>
      </c>
      <c r="CX775" s="36">
        <v>13</v>
      </c>
      <c r="CY775" s="35">
        <v>-4.87</v>
      </c>
      <c r="CZ775" s="36">
        <v>3</v>
      </c>
      <c r="DA775" s="35">
        <v>0.17</v>
      </c>
      <c r="DB775" s="36">
        <v>80</v>
      </c>
      <c r="DC775" s="37">
        <v>7.08</v>
      </c>
      <c r="DD775" s="36">
        <v>87</v>
      </c>
      <c r="DE775" s="37">
        <v>-0.09</v>
      </c>
      <c r="DF775" s="35">
        <v>-1.19</v>
      </c>
      <c r="DG775" s="37">
        <v>12.3</v>
      </c>
      <c r="DH775" s="36">
        <v>91</v>
      </c>
      <c r="DI775" s="37">
        <v>1.86</v>
      </c>
      <c r="DJ775" s="36">
        <v>61</v>
      </c>
      <c r="DK775" s="37">
        <v>2.7</v>
      </c>
      <c r="DL775" s="36">
        <v>70</v>
      </c>
      <c r="DM775" s="37">
        <v>21.9</v>
      </c>
      <c r="DN775" s="36">
        <v>95</v>
      </c>
      <c r="DO775" s="37">
        <v>1.63</v>
      </c>
      <c r="DP775" s="36">
        <v>60</v>
      </c>
      <c r="DQ775" s="36">
        <v>868</v>
      </c>
      <c r="DR775" s="38">
        <v>170</v>
      </c>
      <c r="DS775" s="35">
        <v>24.36</v>
      </c>
      <c r="DT775" s="36">
        <v>635</v>
      </c>
      <c r="DU775" s="38">
        <v>0</v>
      </c>
      <c r="DV775" s="35">
        <v>0</v>
      </c>
      <c r="DW775" s="36">
        <v>582</v>
      </c>
      <c r="DX775" s="39">
        <v>-2</v>
      </c>
      <c r="DY775" s="35">
        <v>-0.34</v>
      </c>
      <c r="DZ775" s="28" t="s">
        <v>178</v>
      </c>
      <c r="EA775" s="34">
        <v>43614</v>
      </c>
      <c r="EB775" s="29" t="s">
        <v>138</v>
      </c>
      <c r="EC775" s="34" t="s">
        <v>138</v>
      </c>
      <c r="ED775" s="28" t="s">
        <v>138</v>
      </c>
      <c r="EE775" s="40" t="str">
        <f>HYPERLINK("https://my.pitchbook.com?c=90809-83", "View company online")</f>
        <v>View company online</v>
      </c>
    </row>
    <row r="776" spans="1:135">
      <c r="A776" s="15" t="s">
        <v>15459</v>
      </c>
      <c r="B776" s="15" t="s">
        <v>15460</v>
      </c>
      <c r="C776" s="15" t="s">
        <v>138</v>
      </c>
      <c r="D776" s="15" t="s">
        <v>138</v>
      </c>
      <c r="E776" s="15" t="s">
        <v>15461</v>
      </c>
      <c r="F776" s="15" t="s">
        <v>15459</v>
      </c>
      <c r="G776" s="15" t="s">
        <v>15462</v>
      </c>
      <c r="H776" s="15" t="s">
        <v>322</v>
      </c>
      <c r="I776" s="15" t="s">
        <v>323</v>
      </c>
      <c r="J776" s="15" t="s">
        <v>324</v>
      </c>
      <c r="K776" s="15" t="s">
        <v>2464</v>
      </c>
      <c r="L776" s="15" t="s">
        <v>2641</v>
      </c>
      <c r="M776" s="15" t="s">
        <v>15463</v>
      </c>
      <c r="N776" s="15" t="s">
        <v>147</v>
      </c>
      <c r="O776" s="17">
        <v>14.1</v>
      </c>
      <c r="P776" s="15" t="s">
        <v>610</v>
      </c>
      <c r="Q776" s="15" t="s">
        <v>149</v>
      </c>
      <c r="R776" s="15" t="s">
        <v>174</v>
      </c>
      <c r="S776" s="15" t="s">
        <v>15464</v>
      </c>
      <c r="T776" s="18">
        <v>7</v>
      </c>
      <c r="U776" s="15" t="s">
        <v>5655</v>
      </c>
      <c r="V776" s="15" t="s">
        <v>138</v>
      </c>
      <c r="W776" s="15" t="s">
        <v>138</v>
      </c>
      <c r="X776" s="19">
        <v>2015</v>
      </c>
      <c r="Y776" s="15" t="s">
        <v>138</v>
      </c>
      <c r="Z776" s="15" t="s">
        <v>138</v>
      </c>
      <c r="AA776" s="15" t="s">
        <v>138</v>
      </c>
      <c r="AB776" s="20" t="s">
        <v>138</v>
      </c>
      <c r="AC776" s="20" t="s">
        <v>138</v>
      </c>
      <c r="AD776" s="20" t="s">
        <v>138</v>
      </c>
      <c r="AE776" s="20" t="s">
        <v>138</v>
      </c>
      <c r="AF776" s="20" t="s">
        <v>138</v>
      </c>
      <c r="AG776" s="15" t="s">
        <v>138</v>
      </c>
      <c r="AH776" s="20" t="s">
        <v>138</v>
      </c>
      <c r="AI776" s="20" t="s">
        <v>138</v>
      </c>
      <c r="AJ776" s="20" t="s">
        <v>138</v>
      </c>
      <c r="AK776" s="15" t="s">
        <v>15465</v>
      </c>
      <c r="AL776" s="15" t="s">
        <v>15466</v>
      </c>
      <c r="AM776" s="15" t="s">
        <v>12002</v>
      </c>
      <c r="AN776" s="15" t="s">
        <v>15467</v>
      </c>
      <c r="AO776" s="15" t="s">
        <v>138</v>
      </c>
      <c r="AP776" s="15" t="s">
        <v>665</v>
      </c>
      <c r="AQ776" s="15" t="s">
        <v>15468</v>
      </c>
      <c r="AR776" s="15" t="s">
        <v>1459</v>
      </c>
      <c r="AS776" s="15" t="s">
        <v>668</v>
      </c>
      <c r="AT776" s="15" t="s">
        <v>200</v>
      </c>
      <c r="AU776" s="15" t="s">
        <v>669</v>
      </c>
      <c r="AV776" s="15" t="s">
        <v>162</v>
      </c>
      <c r="AW776" s="15" t="s">
        <v>138</v>
      </c>
      <c r="AX776" s="15" t="s">
        <v>138</v>
      </c>
      <c r="AY776" s="15" t="s">
        <v>15469</v>
      </c>
      <c r="AZ776" s="15" t="s">
        <v>164</v>
      </c>
      <c r="BA776" s="15" t="s">
        <v>165</v>
      </c>
      <c r="BB776" s="15" t="s">
        <v>15470</v>
      </c>
      <c r="BC776" s="15" t="s">
        <v>15471</v>
      </c>
      <c r="BD776" s="21">
        <v>20</v>
      </c>
      <c r="BE776" s="15" t="s">
        <v>138</v>
      </c>
      <c r="BF776" s="15" t="s">
        <v>138</v>
      </c>
      <c r="BG776" s="15" t="s">
        <v>138</v>
      </c>
      <c r="BH776" s="15" t="s">
        <v>15472</v>
      </c>
      <c r="BI776" s="15" t="s">
        <v>138</v>
      </c>
      <c r="BJ776" s="15" t="s">
        <v>138</v>
      </c>
      <c r="BK776" s="15" t="s">
        <v>138</v>
      </c>
      <c r="BL776" s="15" t="s">
        <v>138</v>
      </c>
      <c r="BM776" s="22">
        <v>42340</v>
      </c>
      <c r="BN776" s="17">
        <v>3.3</v>
      </c>
      <c r="BO776" s="15" t="s">
        <v>172</v>
      </c>
      <c r="BP776" s="17" t="s">
        <v>138</v>
      </c>
      <c r="BQ776" s="15" t="s">
        <v>138</v>
      </c>
      <c r="BR776" s="15" t="s">
        <v>234</v>
      </c>
      <c r="BS776" s="15" t="s">
        <v>234</v>
      </c>
      <c r="BT776" s="15" t="s">
        <v>138</v>
      </c>
      <c r="BU776" s="15" t="s">
        <v>174</v>
      </c>
      <c r="BV776" s="15" t="s">
        <v>138</v>
      </c>
      <c r="BW776" s="15" t="s">
        <v>138</v>
      </c>
      <c r="BX776" s="15" t="s">
        <v>138</v>
      </c>
      <c r="BY776" s="15" t="s">
        <v>175</v>
      </c>
      <c r="BZ776" s="22">
        <v>42838</v>
      </c>
      <c r="CA776" s="17">
        <v>10.8</v>
      </c>
      <c r="CB776" s="15" t="s">
        <v>172</v>
      </c>
      <c r="CC776" s="17">
        <v>45</v>
      </c>
      <c r="CD776" s="15" t="s">
        <v>172</v>
      </c>
      <c r="CE776" s="15" t="s">
        <v>205</v>
      </c>
      <c r="CF776" s="15" t="s">
        <v>206</v>
      </c>
      <c r="CG776" s="15" t="s">
        <v>138</v>
      </c>
      <c r="CH776" s="15" t="s">
        <v>174</v>
      </c>
      <c r="CI776" s="15" t="s">
        <v>138</v>
      </c>
      <c r="CJ776" s="15" t="s">
        <v>138</v>
      </c>
      <c r="CK776" s="15" t="s">
        <v>138</v>
      </c>
      <c r="CL776" s="15" t="s">
        <v>175</v>
      </c>
      <c r="CM776" s="22" t="s">
        <v>138</v>
      </c>
      <c r="CN776" s="17" t="s">
        <v>138</v>
      </c>
      <c r="CO776" s="23">
        <v>-0.05</v>
      </c>
      <c r="CP776" s="24">
        <v>22</v>
      </c>
      <c r="CQ776" s="23">
        <v>0.01</v>
      </c>
      <c r="CR776" s="23">
        <v>18.829999999999998</v>
      </c>
      <c r="CS776" s="23">
        <v>-0.3</v>
      </c>
      <c r="CT776" s="24">
        <v>21</v>
      </c>
      <c r="CU776" s="23">
        <v>0.2</v>
      </c>
      <c r="CV776" s="24">
        <v>80</v>
      </c>
      <c r="CW776" s="23">
        <v>0.82</v>
      </c>
      <c r="CX776" s="24">
        <v>84</v>
      </c>
      <c r="CY776" s="23">
        <v>-1.42</v>
      </c>
      <c r="CZ776" s="24">
        <v>15</v>
      </c>
      <c r="DA776" s="23">
        <v>0.39</v>
      </c>
      <c r="DB776" s="24">
        <v>92</v>
      </c>
      <c r="DC776" s="25">
        <v>2.4</v>
      </c>
      <c r="DD776" s="24">
        <v>71</v>
      </c>
      <c r="DE776" s="25">
        <v>-0.11</v>
      </c>
      <c r="DF776" s="23">
        <v>-4.3099999999999996</v>
      </c>
      <c r="DG776" s="25">
        <v>4.28</v>
      </c>
      <c r="DH776" s="24">
        <v>80</v>
      </c>
      <c r="DI776" s="25">
        <v>0.53</v>
      </c>
      <c r="DJ776" s="24">
        <v>37</v>
      </c>
      <c r="DK776" s="25">
        <v>3.21</v>
      </c>
      <c r="DL776" s="24">
        <v>73</v>
      </c>
      <c r="DM776" s="25">
        <v>5.34</v>
      </c>
      <c r="DN776" s="24">
        <v>82</v>
      </c>
      <c r="DO776" s="25">
        <v>0.91</v>
      </c>
      <c r="DP776" s="24">
        <v>49</v>
      </c>
      <c r="DQ776" s="24">
        <v>1066</v>
      </c>
      <c r="DR776" s="26">
        <v>105</v>
      </c>
      <c r="DS776" s="23">
        <v>10.93</v>
      </c>
      <c r="DT776" s="24">
        <v>155</v>
      </c>
      <c r="DU776" s="26">
        <v>-1</v>
      </c>
      <c r="DV776" s="23">
        <v>-0.64</v>
      </c>
      <c r="DW776" s="24">
        <v>325</v>
      </c>
      <c r="DX776" s="27">
        <v>2</v>
      </c>
      <c r="DY776" s="23">
        <v>0.62</v>
      </c>
      <c r="DZ776" s="15" t="s">
        <v>178</v>
      </c>
      <c r="EA776" s="22">
        <v>43622</v>
      </c>
      <c r="EB776" s="17">
        <v>45</v>
      </c>
      <c r="EC776" s="22">
        <v>42838</v>
      </c>
      <c r="ED776" s="15" t="s">
        <v>205</v>
      </c>
      <c r="EE776" s="14" t="str">
        <f>HYPERLINK("https://my.pitchbook.com?c=139907-71", "View company online")</f>
        <v>View company online</v>
      </c>
    </row>
    <row r="777" spans="1:135">
      <c r="A777" s="28" t="s">
        <v>15473</v>
      </c>
      <c r="B777" s="28" t="s">
        <v>15474</v>
      </c>
      <c r="C777" s="28" t="s">
        <v>138</v>
      </c>
      <c r="D777" s="28" t="s">
        <v>138</v>
      </c>
      <c r="E777" s="28" t="s">
        <v>138</v>
      </c>
      <c r="F777" s="28" t="s">
        <v>15473</v>
      </c>
      <c r="G777" s="28" t="s">
        <v>15475</v>
      </c>
      <c r="H777" s="28" t="s">
        <v>322</v>
      </c>
      <c r="I777" s="28" t="s">
        <v>323</v>
      </c>
      <c r="J777" s="28" t="s">
        <v>2984</v>
      </c>
      <c r="K777" s="28" t="s">
        <v>15476</v>
      </c>
      <c r="L777" s="28" t="s">
        <v>6542</v>
      </c>
      <c r="M777" s="28" t="s">
        <v>15477</v>
      </c>
      <c r="N777" s="28" t="s">
        <v>1212</v>
      </c>
      <c r="O777" s="29" t="s">
        <v>138</v>
      </c>
      <c r="P777" s="28" t="s">
        <v>15478</v>
      </c>
      <c r="Q777" s="28" t="s">
        <v>149</v>
      </c>
      <c r="R777" s="28" t="s">
        <v>174</v>
      </c>
      <c r="S777" s="28" t="s">
        <v>15479</v>
      </c>
      <c r="T777" s="30">
        <v>28</v>
      </c>
      <c r="U777" s="28" t="s">
        <v>14014</v>
      </c>
      <c r="V777" s="28" t="s">
        <v>138</v>
      </c>
      <c r="W777" s="28" t="s">
        <v>138</v>
      </c>
      <c r="X777" s="31">
        <v>2011</v>
      </c>
      <c r="Y777" s="28" t="s">
        <v>138</v>
      </c>
      <c r="Z777" s="28" t="s">
        <v>138</v>
      </c>
      <c r="AA777" s="28" t="s">
        <v>138</v>
      </c>
      <c r="AB777" s="32" t="s">
        <v>138</v>
      </c>
      <c r="AC777" s="32" t="s">
        <v>138</v>
      </c>
      <c r="AD777" s="32" t="s">
        <v>138</v>
      </c>
      <c r="AE777" s="32" t="s">
        <v>138</v>
      </c>
      <c r="AF777" s="32" t="s">
        <v>138</v>
      </c>
      <c r="AG777" s="28" t="s">
        <v>138</v>
      </c>
      <c r="AH777" s="32" t="s">
        <v>138</v>
      </c>
      <c r="AI777" s="32" t="s">
        <v>138</v>
      </c>
      <c r="AJ777" s="32" t="s">
        <v>138</v>
      </c>
      <c r="AK777" s="28" t="s">
        <v>138</v>
      </c>
      <c r="AL777" s="28" t="s">
        <v>138</v>
      </c>
      <c r="AM777" s="28" t="s">
        <v>138</v>
      </c>
      <c r="AN777" s="28" t="s">
        <v>138</v>
      </c>
      <c r="AO777" s="28" t="s">
        <v>138</v>
      </c>
      <c r="AP777" s="28" t="s">
        <v>15480</v>
      </c>
      <c r="AQ777" s="28" t="s">
        <v>15481</v>
      </c>
      <c r="AR777" s="28" t="s">
        <v>138</v>
      </c>
      <c r="AS777" s="28" t="s">
        <v>4273</v>
      </c>
      <c r="AT777" s="28" t="s">
        <v>8997</v>
      </c>
      <c r="AU777" s="28" t="s">
        <v>15482</v>
      </c>
      <c r="AV777" s="28" t="s">
        <v>8999</v>
      </c>
      <c r="AW777" s="28" t="s">
        <v>15483</v>
      </c>
      <c r="AX777" s="28" t="s">
        <v>138</v>
      </c>
      <c r="AY777" s="28" t="s">
        <v>138</v>
      </c>
      <c r="AZ777" s="28" t="s">
        <v>9001</v>
      </c>
      <c r="BA777" s="28" t="s">
        <v>9001</v>
      </c>
      <c r="BB777" s="28" t="s">
        <v>15484</v>
      </c>
      <c r="BC777" s="28" t="s">
        <v>138</v>
      </c>
      <c r="BD777" s="33" t="s">
        <v>138</v>
      </c>
      <c r="BE777" s="28" t="s">
        <v>138</v>
      </c>
      <c r="BF777" s="28" t="s">
        <v>15485</v>
      </c>
      <c r="BG777" s="28" t="s">
        <v>138</v>
      </c>
      <c r="BH777" s="28" t="s">
        <v>138</v>
      </c>
      <c r="BI777" s="28" t="s">
        <v>15486</v>
      </c>
      <c r="BJ777" s="28" t="s">
        <v>138</v>
      </c>
      <c r="BK777" s="28" t="s">
        <v>138</v>
      </c>
      <c r="BL777" s="28" t="s">
        <v>138</v>
      </c>
      <c r="BM777" s="34">
        <v>42241</v>
      </c>
      <c r="BN777" s="29" t="s">
        <v>138</v>
      </c>
      <c r="BO777" s="28" t="s">
        <v>138</v>
      </c>
      <c r="BP777" s="29" t="s">
        <v>138</v>
      </c>
      <c r="BQ777" s="28" t="s">
        <v>138</v>
      </c>
      <c r="BR777" s="28" t="s">
        <v>205</v>
      </c>
      <c r="BS777" s="28" t="s">
        <v>138</v>
      </c>
      <c r="BT777" s="28" t="s">
        <v>138</v>
      </c>
      <c r="BU777" s="28" t="s">
        <v>174</v>
      </c>
      <c r="BV777" s="28" t="s">
        <v>138</v>
      </c>
      <c r="BW777" s="28" t="s">
        <v>138</v>
      </c>
      <c r="BX777" s="28" t="s">
        <v>138</v>
      </c>
      <c r="BY777" s="28" t="s">
        <v>175</v>
      </c>
      <c r="BZ777" s="34">
        <v>42790</v>
      </c>
      <c r="CA777" s="29" t="s">
        <v>138</v>
      </c>
      <c r="CB777" s="28" t="s">
        <v>138</v>
      </c>
      <c r="CC777" s="29" t="s">
        <v>138</v>
      </c>
      <c r="CD777" s="28" t="s">
        <v>138</v>
      </c>
      <c r="CE777" s="28" t="s">
        <v>15478</v>
      </c>
      <c r="CF777" s="28" t="s">
        <v>138</v>
      </c>
      <c r="CG777" s="28" t="s">
        <v>138</v>
      </c>
      <c r="CH777" s="28" t="s">
        <v>1230</v>
      </c>
      <c r="CI777" s="28" t="s">
        <v>138</v>
      </c>
      <c r="CJ777" s="28" t="s">
        <v>138</v>
      </c>
      <c r="CK777" s="28" t="s">
        <v>138</v>
      </c>
      <c r="CL777" s="28" t="s">
        <v>175</v>
      </c>
      <c r="CM777" s="34" t="s">
        <v>138</v>
      </c>
      <c r="CN777" s="29" t="s">
        <v>138</v>
      </c>
      <c r="CO777" s="35" t="s">
        <v>138</v>
      </c>
      <c r="CP777" s="36" t="s">
        <v>138</v>
      </c>
      <c r="CQ777" s="35" t="s">
        <v>138</v>
      </c>
      <c r="CR777" s="35" t="s">
        <v>138</v>
      </c>
      <c r="CS777" s="35" t="s">
        <v>138</v>
      </c>
      <c r="CT777" s="36" t="s">
        <v>138</v>
      </c>
      <c r="CU777" s="35" t="s">
        <v>138</v>
      </c>
      <c r="CV777" s="36" t="s">
        <v>138</v>
      </c>
      <c r="CW777" s="35" t="s">
        <v>138</v>
      </c>
      <c r="CX777" s="36" t="s">
        <v>138</v>
      </c>
      <c r="CY777" s="35" t="s">
        <v>138</v>
      </c>
      <c r="CZ777" s="36" t="s">
        <v>138</v>
      </c>
      <c r="DA777" s="35" t="s">
        <v>138</v>
      </c>
      <c r="DB777" s="36" t="s">
        <v>138</v>
      </c>
      <c r="DC777" s="37" t="s">
        <v>138</v>
      </c>
      <c r="DD777" s="36" t="s">
        <v>138</v>
      </c>
      <c r="DE777" s="37" t="s">
        <v>138</v>
      </c>
      <c r="DF777" s="35" t="s">
        <v>138</v>
      </c>
      <c r="DG777" s="37" t="s">
        <v>138</v>
      </c>
      <c r="DH777" s="36" t="s">
        <v>138</v>
      </c>
      <c r="DI777" s="37" t="s">
        <v>138</v>
      </c>
      <c r="DJ777" s="36" t="s">
        <v>138</v>
      </c>
      <c r="DK777" s="37" t="s">
        <v>138</v>
      </c>
      <c r="DL777" s="36" t="s">
        <v>138</v>
      </c>
      <c r="DM777" s="37" t="s">
        <v>138</v>
      </c>
      <c r="DN777" s="36" t="s">
        <v>138</v>
      </c>
      <c r="DO777" s="37" t="s">
        <v>138</v>
      </c>
      <c r="DP777" s="36" t="s">
        <v>138</v>
      </c>
      <c r="DQ777" s="36" t="s">
        <v>138</v>
      </c>
      <c r="DR777" s="38" t="s">
        <v>138</v>
      </c>
      <c r="DS777" s="35" t="s">
        <v>138</v>
      </c>
      <c r="DT777" s="36" t="s">
        <v>138</v>
      </c>
      <c r="DU777" s="38" t="s">
        <v>138</v>
      </c>
      <c r="DV777" s="35" t="s">
        <v>138</v>
      </c>
      <c r="DW777" s="36" t="s">
        <v>138</v>
      </c>
      <c r="DX777" s="39" t="s">
        <v>138</v>
      </c>
      <c r="DY777" s="35" t="s">
        <v>138</v>
      </c>
      <c r="DZ777" s="28" t="s">
        <v>178</v>
      </c>
      <c r="EA777" s="34">
        <v>43622</v>
      </c>
      <c r="EB777" s="29" t="s">
        <v>138</v>
      </c>
      <c r="EC777" s="34" t="s">
        <v>138</v>
      </c>
      <c r="ED777" s="28" t="s">
        <v>138</v>
      </c>
      <c r="EE777" s="40" t="str">
        <f>HYPERLINK("https://my.pitchbook.com?c=129022-48", "View company online")</f>
        <v>View company online</v>
      </c>
    </row>
    <row r="778" spans="1:135">
      <c r="A778" s="15" t="s">
        <v>15487</v>
      </c>
      <c r="B778" s="15" t="s">
        <v>15488</v>
      </c>
      <c r="C778" s="15" t="s">
        <v>138</v>
      </c>
      <c r="D778" s="15" t="s">
        <v>138</v>
      </c>
      <c r="E778" s="15" t="s">
        <v>15489</v>
      </c>
      <c r="F778" s="15" t="s">
        <v>15487</v>
      </c>
      <c r="G778" s="15" t="s">
        <v>15490</v>
      </c>
      <c r="H778" s="15" t="s">
        <v>322</v>
      </c>
      <c r="I778" s="15" t="s">
        <v>323</v>
      </c>
      <c r="J778" s="15" t="s">
        <v>1132</v>
      </c>
      <c r="K778" s="15" t="s">
        <v>1777</v>
      </c>
      <c r="L778" s="15" t="s">
        <v>15491</v>
      </c>
      <c r="M778" s="15" t="s">
        <v>15492</v>
      </c>
      <c r="N778" s="15" t="s">
        <v>147</v>
      </c>
      <c r="O778" s="17">
        <v>54.87</v>
      </c>
      <c r="P778" s="15" t="s">
        <v>148</v>
      </c>
      <c r="Q778" s="15" t="s">
        <v>149</v>
      </c>
      <c r="R778" s="15" t="s">
        <v>1652</v>
      </c>
      <c r="S778" s="15" t="s">
        <v>15493</v>
      </c>
      <c r="T778" s="18">
        <v>200</v>
      </c>
      <c r="U778" s="15" t="s">
        <v>15494</v>
      </c>
      <c r="V778" s="15" t="s">
        <v>138</v>
      </c>
      <c r="W778" s="15" t="s">
        <v>138</v>
      </c>
      <c r="X778" s="19">
        <v>2011</v>
      </c>
      <c r="Y778" s="15" t="s">
        <v>138</v>
      </c>
      <c r="Z778" s="15" t="s">
        <v>138</v>
      </c>
      <c r="AA778" s="15" t="s">
        <v>138</v>
      </c>
      <c r="AB778" s="20">
        <v>9.9499999999999993</v>
      </c>
      <c r="AC778" s="20">
        <v>5.69</v>
      </c>
      <c r="AD778" s="20">
        <v>-9.68</v>
      </c>
      <c r="AE778" s="20" t="s">
        <v>138</v>
      </c>
      <c r="AF778" s="20">
        <v>-9</v>
      </c>
      <c r="AG778" s="15" t="s">
        <v>419</v>
      </c>
      <c r="AH778" s="20" t="s">
        <v>138</v>
      </c>
      <c r="AI778" s="20" t="s">
        <v>138</v>
      </c>
      <c r="AJ778" s="20" t="s">
        <v>138</v>
      </c>
      <c r="AK778" s="15" t="s">
        <v>15495</v>
      </c>
      <c r="AL778" s="15" t="s">
        <v>15496</v>
      </c>
      <c r="AM778" s="15" t="s">
        <v>7338</v>
      </c>
      <c r="AN778" s="15" t="s">
        <v>15497</v>
      </c>
      <c r="AO778" s="15" t="s">
        <v>15498</v>
      </c>
      <c r="AP778" s="15" t="s">
        <v>941</v>
      </c>
      <c r="AQ778" s="15" t="s">
        <v>15499</v>
      </c>
      <c r="AR778" s="15" t="s">
        <v>138</v>
      </c>
      <c r="AS778" s="15" t="s">
        <v>944</v>
      </c>
      <c r="AT778" s="15" t="s">
        <v>138</v>
      </c>
      <c r="AU778" s="15" t="s">
        <v>15500</v>
      </c>
      <c r="AV778" s="15" t="s">
        <v>946</v>
      </c>
      <c r="AW778" s="15" t="s">
        <v>15498</v>
      </c>
      <c r="AX778" s="15" t="s">
        <v>15501</v>
      </c>
      <c r="AY778" s="15" t="s">
        <v>15502</v>
      </c>
      <c r="AZ778" s="15" t="s">
        <v>530</v>
      </c>
      <c r="BA778" s="15" t="s">
        <v>531</v>
      </c>
      <c r="BB778" s="15" t="s">
        <v>15503</v>
      </c>
      <c r="BC778" s="15" t="s">
        <v>15504</v>
      </c>
      <c r="BD778" s="21">
        <v>9</v>
      </c>
      <c r="BE778" s="15" t="s">
        <v>138</v>
      </c>
      <c r="BF778" s="15" t="s">
        <v>138</v>
      </c>
      <c r="BG778" s="15" t="s">
        <v>138</v>
      </c>
      <c r="BH778" s="15" t="s">
        <v>15505</v>
      </c>
      <c r="BI778" s="15" t="s">
        <v>138</v>
      </c>
      <c r="BJ778" s="15" t="s">
        <v>138</v>
      </c>
      <c r="BK778" s="15" t="s">
        <v>15506</v>
      </c>
      <c r="BL778" s="15" t="s">
        <v>15507</v>
      </c>
      <c r="BM778" s="22">
        <v>40575</v>
      </c>
      <c r="BN778" s="17">
        <v>0.63</v>
      </c>
      <c r="BO778" s="15" t="s">
        <v>172</v>
      </c>
      <c r="BP778" s="17" t="s">
        <v>138</v>
      </c>
      <c r="BQ778" s="15" t="s">
        <v>138</v>
      </c>
      <c r="BR778" s="15" t="s">
        <v>234</v>
      </c>
      <c r="BS778" s="15" t="s">
        <v>234</v>
      </c>
      <c r="BT778" s="15" t="s">
        <v>138</v>
      </c>
      <c r="BU778" s="15" t="s">
        <v>174</v>
      </c>
      <c r="BV778" s="15" t="s">
        <v>138</v>
      </c>
      <c r="BW778" s="15" t="s">
        <v>138</v>
      </c>
      <c r="BX778" s="15" t="s">
        <v>138</v>
      </c>
      <c r="BY778" s="15" t="s">
        <v>175</v>
      </c>
      <c r="BZ778" s="22">
        <v>42766</v>
      </c>
      <c r="CA778" s="17">
        <v>17.52</v>
      </c>
      <c r="CB778" s="15" t="s">
        <v>172</v>
      </c>
      <c r="CC778" s="17" t="s">
        <v>138</v>
      </c>
      <c r="CD778" s="15" t="s">
        <v>138</v>
      </c>
      <c r="CE778" s="15" t="s">
        <v>1673</v>
      </c>
      <c r="CF778" s="15" t="s">
        <v>138</v>
      </c>
      <c r="CG778" s="15" t="s">
        <v>138</v>
      </c>
      <c r="CH778" s="15" t="s">
        <v>351</v>
      </c>
      <c r="CI778" s="15" t="s">
        <v>138</v>
      </c>
      <c r="CJ778" s="15" t="s">
        <v>138</v>
      </c>
      <c r="CK778" s="15" t="s">
        <v>138</v>
      </c>
      <c r="CL778" s="15" t="s">
        <v>175</v>
      </c>
      <c r="CM778" s="22" t="s">
        <v>138</v>
      </c>
      <c r="CN778" s="17">
        <v>0.57999999999999996</v>
      </c>
      <c r="CO778" s="23">
        <v>-2.1</v>
      </c>
      <c r="CP778" s="24">
        <v>5</v>
      </c>
      <c r="CQ778" s="23">
        <v>-0.04</v>
      </c>
      <c r="CR778" s="23">
        <v>-1.94</v>
      </c>
      <c r="CS778" s="23">
        <v>-4.43</v>
      </c>
      <c r="CT778" s="24">
        <v>3</v>
      </c>
      <c r="CU778" s="23">
        <v>0.22</v>
      </c>
      <c r="CV778" s="24">
        <v>82</v>
      </c>
      <c r="CW778" s="23" t="s">
        <v>138</v>
      </c>
      <c r="CX778" s="24" t="s">
        <v>138</v>
      </c>
      <c r="CY778" s="23">
        <v>-4.43</v>
      </c>
      <c r="CZ778" s="24">
        <v>4</v>
      </c>
      <c r="DA778" s="23">
        <v>0.22</v>
      </c>
      <c r="DB778" s="24">
        <v>84</v>
      </c>
      <c r="DC778" s="25">
        <v>16.41</v>
      </c>
      <c r="DD778" s="24">
        <v>94</v>
      </c>
      <c r="DE778" s="25">
        <v>-0.02</v>
      </c>
      <c r="DF778" s="23">
        <v>-0.15</v>
      </c>
      <c r="DG778" s="25">
        <v>29.31</v>
      </c>
      <c r="DH778" s="24">
        <v>97</v>
      </c>
      <c r="DI778" s="25">
        <v>3.51</v>
      </c>
      <c r="DJ778" s="24">
        <v>72</v>
      </c>
      <c r="DK778" s="25" t="s">
        <v>138</v>
      </c>
      <c r="DL778" s="24" t="s">
        <v>138</v>
      </c>
      <c r="DM778" s="25">
        <v>29.31</v>
      </c>
      <c r="DN778" s="24">
        <v>96</v>
      </c>
      <c r="DO778" s="25">
        <v>3.51</v>
      </c>
      <c r="DP778" s="24">
        <v>74</v>
      </c>
      <c r="DQ778" s="24" t="s">
        <v>138</v>
      </c>
      <c r="DR778" s="26" t="s">
        <v>138</v>
      </c>
      <c r="DS778" s="23" t="s">
        <v>138</v>
      </c>
      <c r="DT778" s="24">
        <v>850</v>
      </c>
      <c r="DU778" s="26">
        <v>-2</v>
      </c>
      <c r="DV778" s="23">
        <v>-0.23</v>
      </c>
      <c r="DW778" s="24">
        <v>1256</v>
      </c>
      <c r="DX778" s="27">
        <v>0</v>
      </c>
      <c r="DY778" s="23">
        <v>0</v>
      </c>
      <c r="DZ778" s="15" t="s">
        <v>178</v>
      </c>
      <c r="EA778" s="22">
        <v>43483</v>
      </c>
      <c r="EB778" s="17" t="s">
        <v>138</v>
      </c>
      <c r="EC778" s="22" t="s">
        <v>138</v>
      </c>
      <c r="ED778" s="15" t="s">
        <v>138</v>
      </c>
      <c r="EE778" s="14" t="str">
        <f>HYPERLINK("https://my.pitchbook.com?c=54381-88", "View company online")</f>
        <v>View company online</v>
      </c>
    </row>
    <row r="779" spans="1:135">
      <c r="A779" s="28" t="s">
        <v>15508</v>
      </c>
      <c r="B779" s="28" t="s">
        <v>15509</v>
      </c>
      <c r="C779" s="28" t="s">
        <v>15510</v>
      </c>
      <c r="D779" s="28" t="s">
        <v>15511</v>
      </c>
      <c r="E779" s="28" t="s">
        <v>15512</v>
      </c>
      <c r="F779" s="28" t="s">
        <v>15508</v>
      </c>
      <c r="G779" s="28" t="s">
        <v>15513</v>
      </c>
      <c r="H779" s="28" t="s">
        <v>385</v>
      </c>
      <c r="I779" s="28" t="s">
        <v>386</v>
      </c>
      <c r="J779" s="28" t="s">
        <v>387</v>
      </c>
      <c r="K779" s="28" t="s">
        <v>15514</v>
      </c>
      <c r="L779" s="28" t="s">
        <v>10569</v>
      </c>
      <c r="M779" s="28" t="s">
        <v>15515</v>
      </c>
      <c r="N779" s="28" t="s">
        <v>147</v>
      </c>
      <c r="O779" s="29">
        <v>41.94</v>
      </c>
      <c r="P779" s="28" t="s">
        <v>148</v>
      </c>
      <c r="Q779" s="28" t="s">
        <v>149</v>
      </c>
      <c r="R779" s="28" t="s">
        <v>174</v>
      </c>
      <c r="S779" s="28" t="s">
        <v>15516</v>
      </c>
      <c r="T779" s="30">
        <v>30</v>
      </c>
      <c r="U779" s="28" t="s">
        <v>15517</v>
      </c>
      <c r="V779" s="28" t="s">
        <v>138</v>
      </c>
      <c r="W779" s="28" t="s">
        <v>138</v>
      </c>
      <c r="X779" s="31">
        <v>2002</v>
      </c>
      <c r="Y779" s="28" t="s">
        <v>138</v>
      </c>
      <c r="Z779" s="28" t="s">
        <v>138</v>
      </c>
      <c r="AA779" s="28" t="s">
        <v>138</v>
      </c>
      <c r="AB779" s="32" t="s">
        <v>138</v>
      </c>
      <c r="AC779" s="32" t="s">
        <v>138</v>
      </c>
      <c r="AD779" s="32" t="s">
        <v>138</v>
      </c>
      <c r="AE779" s="32" t="s">
        <v>138</v>
      </c>
      <c r="AF779" s="32" t="s">
        <v>138</v>
      </c>
      <c r="AG779" s="28" t="s">
        <v>138</v>
      </c>
      <c r="AH779" s="32" t="s">
        <v>138</v>
      </c>
      <c r="AI779" s="32" t="s">
        <v>138</v>
      </c>
      <c r="AJ779" s="32" t="s">
        <v>138</v>
      </c>
      <c r="AK779" s="28" t="s">
        <v>15518</v>
      </c>
      <c r="AL779" s="28" t="s">
        <v>15519</v>
      </c>
      <c r="AM779" s="28" t="s">
        <v>2949</v>
      </c>
      <c r="AN779" s="28" t="s">
        <v>15520</v>
      </c>
      <c r="AO779" s="28" t="s">
        <v>15521</v>
      </c>
      <c r="AP779" s="28" t="s">
        <v>15522</v>
      </c>
      <c r="AQ779" s="28" t="s">
        <v>15523</v>
      </c>
      <c r="AR779" s="28" t="s">
        <v>15524</v>
      </c>
      <c r="AS779" s="28" t="s">
        <v>4281</v>
      </c>
      <c r="AT779" s="28" t="s">
        <v>524</v>
      </c>
      <c r="AU779" s="28" t="s">
        <v>15525</v>
      </c>
      <c r="AV779" s="28" t="s">
        <v>526</v>
      </c>
      <c r="AW779" s="28" t="s">
        <v>15521</v>
      </c>
      <c r="AX779" s="28" t="s">
        <v>15526</v>
      </c>
      <c r="AY779" s="28" t="s">
        <v>15527</v>
      </c>
      <c r="AZ779" s="28" t="s">
        <v>530</v>
      </c>
      <c r="BA779" s="28" t="s">
        <v>531</v>
      </c>
      <c r="BB779" s="28" t="s">
        <v>15528</v>
      </c>
      <c r="BC779" s="28" t="s">
        <v>15529</v>
      </c>
      <c r="BD779" s="33">
        <v>10</v>
      </c>
      <c r="BE779" s="28" t="s">
        <v>138</v>
      </c>
      <c r="BF779" s="28" t="s">
        <v>138</v>
      </c>
      <c r="BG779" s="28" t="s">
        <v>138</v>
      </c>
      <c r="BH779" s="28" t="s">
        <v>15530</v>
      </c>
      <c r="BI779" s="28" t="s">
        <v>138</v>
      </c>
      <c r="BJ779" s="28" t="s">
        <v>138</v>
      </c>
      <c r="BK779" s="28" t="s">
        <v>15531</v>
      </c>
      <c r="BL779" s="28" t="s">
        <v>15532</v>
      </c>
      <c r="BM779" s="34" t="s">
        <v>138</v>
      </c>
      <c r="BN779" s="29">
        <v>1.56</v>
      </c>
      <c r="BO779" s="28" t="s">
        <v>172</v>
      </c>
      <c r="BP779" s="29" t="s">
        <v>138</v>
      </c>
      <c r="BQ779" s="28" t="s">
        <v>138</v>
      </c>
      <c r="BR779" s="28" t="s">
        <v>176</v>
      </c>
      <c r="BS779" s="28" t="s">
        <v>138</v>
      </c>
      <c r="BT779" s="28" t="s">
        <v>138</v>
      </c>
      <c r="BU779" s="28" t="s">
        <v>177</v>
      </c>
      <c r="BV779" s="28" t="s">
        <v>138</v>
      </c>
      <c r="BW779" s="28" t="s">
        <v>138</v>
      </c>
      <c r="BX779" s="28" t="s">
        <v>138</v>
      </c>
      <c r="BY779" s="28" t="s">
        <v>175</v>
      </c>
      <c r="BZ779" s="34">
        <v>43475</v>
      </c>
      <c r="CA779" s="29">
        <v>9.1300000000000008</v>
      </c>
      <c r="CB779" s="28" t="s">
        <v>172</v>
      </c>
      <c r="CC779" s="29" t="s">
        <v>138</v>
      </c>
      <c r="CD779" s="28" t="s">
        <v>138</v>
      </c>
      <c r="CE779" s="28" t="s">
        <v>173</v>
      </c>
      <c r="CF779" s="28" t="s">
        <v>138</v>
      </c>
      <c r="CG779" s="28" t="s">
        <v>138</v>
      </c>
      <c r="CH779" s="28" t="s">
        <v>174</v>
      </c>
      <c r="CI779" s="28" t="s">
        <v>138</v>
      </c>
      <c r="CJ779" s="28" t="s">
        <v>138</v>
      </c>
      <c r="CK779" s="28" t="s">
        <v>138</v>
      </c>
      <c r="CL779" s="28" t="s">
        <v>175</v>
      </c>
      <c r="CM779" s="34" t="s">
        <v>138</v>
      </c>
      <c r="CN779" s="29" t="s">
        <v>138</v>
      </c>
      <c r="CO779" s="35">
        <v>0.2</v>
      </c>
      <c r="CP779" s="36">
        <v>92</v>
      </c>
      <c r="CQ779" s="35">
        <v>-0.01</v>
      </c>
      <c r="CR779" s="35">
        <v>-4.59</v>
      </c>
      <c r="CS779" s="35">
        <v>0</v>
      </c>
      <c r="CT779" s="36">
        <v>23</v>
      </c>
      <c r="CU779" s="35">
        <v>0.6</v>
      </c>
      <c r="CV779" s="36">
        <v>95</v>
      </c>
      <c r="CW779" s="35">
        <v>0</v>
      </c>
      <c r="CX779" s="36">
        <v>13</v>
      </c>
      <c r="CY779" s="35" t="s">
        <v>138</v>
      </c>
      <c r="CZ779" s="36" t="s">
        <v>138</v>
      </c>
      <c r="DA779" s="35">
        <v>0.6</v>
      </c>
      <c r="DB779" s="36">
        <v>95</v>
      </c>
      <c r="DC779" s="37">
        <v>1.1100000000000001</v>
      </c>
      <c r="DD779" s="36">
        <v>54</v>
      </c>
      <c r="DE779" s="37">
        <v>0</v>
      </c>
      <c r="DF779" s="35">
        <v>-0.19</v>
      </c>
      <c r="DG779" s="37">
        <v>0.33</v>
      </c>
      <c r="DH779" s="36">
        <v>25</v>
      </c>
      <c r="DI779" s="37">
        <v>2.95</v>
      </c>
      <c r="DJ779" s="36">
        <v>69</v>
      </c>
      <c r="DK779" s="37">
        <v>0.33</v>
      </c>
      <c r="DL779" s="36">
        <v>24</v>
      </c>
      <c r="DM779" s="37" t="s">
        <v>138</v>
      </c>
      <c r="DN779" s="36" t="s">
        <v>138</v>
      </c>
      <c r="DO779" s="37">
        <v>2.95</v>
      </c>
      <c r="DP779" s="36">
        <v>71</v>
      </c>
      <c r="DQ779" s="36">
        <v>112</v>
      </c>
      <c r="DR779" s="38">
        <v>8</v>
      </c>
      <c r="DS779" s="35">
        <v>7.69</v>
      </c>
      <c r="DT779" s="36" t="s">
        <v>138</v>
      </c>
      <c r="DU779" s="38" t="s">
        <v>138</v>
      </c>
      <c r="DV779" s="35" t="s">
        <v>138</v>
      </c>
      <c r="DW779" s="36">
        <v>1053</v>
      </c>
      <c r="DX779" s="39">
        <v>6</v>
      </c>
      <c r="DY779" s="35">
        <v>0.56999999999999995</v>
      </c>
      <c r="DZ779" s="28" t="s">
        <v>178</v>
      </c>
      <c r="EA779" s="34">
        <v>43622</v>
      </c>
      <c r="EB779" s="29" t="s">
        <v>138</v>
      </c>
      <c r="EC779" s="34" t="s">
        <v>138</v>
      </c>
      <c r="ED779" s="28" t="s">
        <v>138</v>
      </c>
      <c r="EE779" s="40" t="str">
        <f>HYPERLINK("https://my.pitchbook.com?c=56330-38", "View company online")</f>
        <v>View company online</v>
      </c>
    </row>
    <row r="780" spans="1:135">
      <c r="A780" s="15" t="s">
        <v>15533</v>
      </c>
      <c r="B780" s="15" t="s">
        <v>15534</v>
      </c>
      <c r="C780" s="15" t="s">
        <v>138</v>
      </c>
      <c r="D780" s="15" t="s">
        <v>15535</v>
      </c>
      <c r="E780" s="15" t="s">
        <v>15536</v>
      </c>
      <c r="F780" s="15" t="s">
        <v>15533</v>
      </c>
      <c r="G780" s="15" t="s">
        <v>15537</v>
      </c>
      <c r="H780" s="15" t="s">
        <v>322</v>
      </c>
      <c r="I780" s="15" t="s">
        <v>356</v>
      </c>
      <c r="J780" s="15" t="s">
        <v>1901</v>
      </c>
      <c r="K780" s="15" t="s">
        <v>15538</v>
      </c>
      <c r="L780" s="15" t="s">
        <v>2641</v>
      </c>
      <c r="M780" s="15" t="s">
        <v>15539</v>
      </c>
      <c r="N780" s="15" t="s">
        <v>147</v>
      </c>
      <c r="O780" s="17">
        <v>130.44999999999999</v>
      </c>
      <c r="P780" s="15" t="s">
        <v>148</v>
      </c>
      <c r="Q780" s="15" t="s">
        <v>149</v>
      </c>
      <c r="R780" s="15" t="s">
        <v>174</v>
      </c>
      <c r="S780" s="15" t="s">
        <v>15540</v>
      </c>
      <c r="T780" s="18">
        <v>84</v>
      </c>
      <c r="U780" s="15" t="s">
        <v>15541</v>
      </c>
      <c r="V780" s="15" t="s">
        <v>138</v>
      </c>
      <c r="W780" s="15" t="s">
        <v>138</v>
      </c>
      <c r="X780" s="19">
        <v>2013</v>
      </c>
      <c r="Y780" s="15" t="s">
        <v>138</v>
      </c>
      <c r="Z780" s="15" t="s">
        <v>138</v>
      </c>
      <c r="AA780" s="15" t="s">
        <v>138</v>
      </c>
      <c r="AB780" s="20" t="s">
        <v>138</v>
      </c>
      <c r="AC780" s="20" t="s">
        <v>138</v>
      </c>
      <c r="AD780" s="20" t="s">
        <v>138</v>
      </c>
      <c r="AE780" s="20" t="s">
        <v>138</v>
      </c>
      <c r="AF780" s="20" t="s">
        <v>138</v>
      </c>
      <c r="AG780" s="15" t="s">
        <v>138</v>
      </c>
      <c r="AH780" s="20" t="s">
        <v>138</v>
      </c>
      <c r="AI780" s="20" t="s">
        <v>138</v>
      </c>
      <c r="AJ780" s="20" t="s">
        <v>138</v>
      </c>
      <c r="AK780" s="15" t="s">
        <v>15542</v>
      </c>
      <c r="AL780" s="15" t="s">
        <v>15543</v>
      </c>
      <c r="AM780" s="15" t="s">
        <v>986</v>
      </c>
      <c r="AN780" s="15" t="s">
        <v>15544</v>
      </c>
      <c r="AO780" s="15" t="s">
        <v>15545</v>
      </c>
      <c r="AP780" s="15" t="s">
        <v>1168</v>
      </c>
      <c r="AQ780" s="15" t="s">
        <v>15546</v>
      </c>
      <c r="AR780" s="15" t="s">
        <v>15547</v>
      </c>
      <c r="AS780" s="15" t="s">
        <v>1171</v>
      </c>
      <c r="AT780" s="15" t="s">
        <v>200</v>
      </c>
      <c r="AU780" s="15" t="s">
        <v>1172</v>
      </c>
      <c r="AV780" s="15" t="s">
        <v>162</v>
      </c>
      <c r="AW780" s="15" t="s">
        <v>15545</v>
      </c>
      <c r="AX780" s="15" t="s">
        <v>138</v>
      </c>
      <c r="AY780" s="15" t="s">
        <v>15548</v>
      </c>
      <c r="AZ780" s="15" t="s">
        <v>164</v>
      </c>
      <c r="BA780" s="15" t="s">
        <v>165</v>
      </c>
      <c r="BB780" s="15" t="s">
        <v>15549</v>
      </c>
      <c r="BC780" s="15" t="s">
        <v>15550</v>
      </c>
      <c r="BD780" s="21">
        <v>14</v>
      </c>
      <c r="BE780" s="15" t="s">
        <v>138</v>
      </c>
      <c r="BF780" s="15" t="s">
        <v>138</v>
      </c>
      <c r="BG780" s="15" t="s">
        <v>138</v>
      </c>
      <c r="BH780" s="15" t="s">
        <v>15551</v>
      </c>
      <c r="BI780" s="15" t="s">
        <v>138</v>
      </c>
      <c r="BJ780" s="15" t="s">
        <v>138</v>
      </c>
      <c r="BK780" s="15" t="s">
        <v>2936</v>
      </c>
      <c r="BL780" s="15" t="s">
        <v>2936</v>
      </c>
      <c r="BM780" s="22">
        <v>42079</v>
      </c>
      <c r="BN780" s="17">
        <v>10.45</v>
      </c>
      <c r="BO780" s="15" t="s">
        <v>172</v>
      </c>
      <c r="BP780" s="17">
        <v>41.8</v>
      </c>
      <c r="BQ780" s="15" t="s">
        <v>172</v>
      </c>
      <c r="BR780" s="15" t="s">
        <v>205</v>
      </c>
      <c r="BS780" s="15" t="s">
        <v>206</v>
      </c>
      <c r="BT780" s="15" t="s">
        <v>138</v>
      </c>
      <c r="BU780" s="15" t="s">
        <v>174</v>
      </c>
      <c r="BV780" s="15" t="s">
        <v>138</v>
      </c>
      <c r="BW780" s="15" t="s">
        <v>138</v>
      </c>
      <c r="BX780" s="15" t="s">
        <v>138</v>
      </c>
      <c r="BY780" s="15" t="s">
        <v>175</v>
      </c>
      <c r="BZ780" s="22">
        <v>43493</v>
      </c>
      <c r="CA780" s="17">
        <v>50</v>
      </c>
      <c r="CB780" s="15" t="s">
        <v>1178</v>
      </c>
      <c r="CC780" s="17">
        <v>480</v>
      </c>
      <c r="CD780" s="15" t="s">
        <v>172</v>
      </c>
      <c r="CE780" s="15" t="s">
        <v>173</v>
      </c>
      <c r="CF780" s="15" t="s">
        <v>433</v>
      </c>
      <c r="CG780" s="15" t="s">
        <v>138</v>
      </c>
      <c r="CH780" s="15" t="s">
        <v>174</v>
      </c>
      <c r="CI780" s="15" t="s">
        <v>138</v>
      </c>
      <c r="CJ780" s="15" t="s">
        <v>138</v>
      </c>
      <c r="CK780" s="15" t="s">
        <v>138</v>
      </c>
      <c r="CL780" s="15" t="s">
        <v>352</v>
      </c>
      <c r="CM780" s="22" t="s">
        <v>138</v>
      </c>
      <c r="CN780" s="17" t="s">
        <v>138</v>
      </c>
      <c r="CO780" s="23">
        <v>0.44</v>
      </c>
      <c r="CP780" s="24">
        <v>95</v>
      </c>
      <c r="CQ780" s="23">
        <v>-0.06</v>
      </c>
      <c r="CR780" s="23">
        <v>-12.83</v>
      </c>
      <c r="CS780" s="23">
        <v>0.44</v>
      </c>
      <c r="CT780" s="24">
        <v>95</v>
      </c>
      <c r="CU780" s="23">
        <v>0.43</v>
      </c>
      <c r="CV780" s="24">
        <v>92</v>
      </c>
      <c r="CW780" s="23">
        <v>1.48</v>
      </c>
      <c r="CX780" s="24">
        <v>86</v>
      </c>
      <c r="CY780" s="23">
        <v>-0.59</v>
      </c>
      <c r="CZ780" s="24">
        <v>22</v>
      </c>
      <c r="DA780" s="23">
        <v>0.34</v>
      </c>
      <c r="DB780" s="24">
        <v>90</v>
      </c>
      <c r="DC780" s="25">
        <v>7.79</v>
      </c>
      <c r="DD780" s="24">
        <v>88</v>
      </c>
      <c r="DE780" s="25">
        <v>-0.51</v>
      </c>
      <c r="DF780" s="23">
        <v>-6.17</v>
      </c>
      <c r="DG780" s="25">
        <v>9.85</v>
      </c>
      <c r="DH780" s="24">
        <v>89</v>
      </c>
      <c r="DI780" s="25">
        <v>5.74</v>
      </c>
      <c r="DJ780" s="24">
        <v>79</v>
      </c>
      <c r="DK780" s="25">
        <v>16.21</v>
      </c>
      <c r="DL780" s="24">
        <v>90</v>
      </c>
      <c r="DM780" s="25">
        <v>3.48</v>
      </c>
      <c r="DN780" s="24">
        <v>76</v>
      </c>
      <c r="DO780" s="25">
        <v>10.89</v>
      </c>
      <c r="DP780" s="24">
        <v>88</v>
      </c>
      <c r="DQ780" s="24">
        <v>5463</v>
      </c>
      <c r="DR780" s="26">
        <v>294</v>
      </c>
      <c r="DS780" s="23">
        <v>5.69</v>
      </c>
      <c r="DT780" s="24">
        <v>101</v>
      </c>
      <c r="DU780" s="26">
        <v>-1</v>
      </c>
      <c r="DV780" s="23">
        <v>-0.98</v>
      </c>
      <c r="DW780" s="24">
        <v>3890</v>
      </c>
      <c r="DX780" s="27">
        <v>13</v>
      </c>
      <c r="DY780" s="23">
        <v>0.34</v>
      </c>
      <c r="DZ780" s="15" t="s">
        <v>178</v>
      </c>
      <c r="EA780" s="22">
        <v>43608</v>
      </c>
      <c r="EB780" s="17">
        <v>480</v>
      </c>
      <c r="EC780" s="22">
        <v>43493</v>
      </c>
      <c r="ED780" s="15" t="s">
        <v>173</v>
      </c>
      <c r="EE780" s="14" t="str">
        <f>HYPERLINK("https://my.pitchbook.com?c=104126-05", "View company online")</f>
        <v>View company online</v>
      </c>
    </row>
    <row r="781" spans="1:135">
      <c r="A781" s="28" t="s">
        <v>15552</v>
      </c>
      <c r="B781" s="28" t="s">
        <v>15553</v>
      </c>
      <c r="C781" s="28" t="s">
        <v>15554</v>
      </c>
      <c r="D781" s="28" t="s">
        <v>138</v>
      </c>
      <c r="E781" s="28" t="s">
        <v>138</v>
      </c>
      <c r="F781" s="28" t="s">
        <v>15552</v>
      </c>
      <c r="G781" s="28" t="s">
        <v>15555</v>
      </c>
      <c r="H781" s="28" t="s">
        <v>322</v>
      </c>
      <c r="I781" s="28" t="s">
        <v>323</v>
      </c>
      <c r="J781" s="28" t="s">
        <v>2084</v>
      </c>
      <c r="K781" s="28" t="s">
        <v>4639</v>
      </c>
      <c r="L781" s="28" t="s">
        <v>4762</v>
      </c>
      <c r="M781" s="28" t="s">
        <v>15556</v>
      </c>
      <c r="N781" s="28" t="s">
        <v>147</v>
      </c>
      <c r="O781" s="29">
        <v>2.56</v>
      </c>
      <c r="P781" s="28" t="s">
        <v>610</v>
      </c>
      <c r="Q781" s="28" t="s">
        <v>149</v>
      </c>
      <c r="R781" s="28" t="s">
        <v>174</v>
      </c>
      <c r="S781" s="28" t="s">
        <v>15557</v>
      </c>
      <c r="T781" s="30" t="s">
        <v>138</v>
      </c>
      <c r="U781" s="28" t="s">
        <v>138</v>
      </c>
      <c r="V781" s="28" t="s">
        <v>138</v>
      </c>
      <c r="W781" s="28" t="s">
        <v>138</v>
      </c>
      <c r="X781" s="31">
        <v>2016</v>
      </c>
      <c r="Y781" s="28" t="s">
        <v>138</v>
      </c>
      <c r="Z781" s="28" t="s">
        <v>138</v>
      </c>
      <c r="AA781" s="28" t="s">
        <v>138</v>
      </c>
      <c r="AB781" s="32" t="s">
        <v>138</v>
      </c>
      <c r="AC781" s="32" t="s">
        <v>138</v>
      </c>
      <c r="AD781" s="32" t="s">
        <v>138</v>
      </c>
      <c r="AE781" s="32" t="s">
        <v>138</v>
      </c>
      <c r="AF781" s="32" t="s">
        <v>138</v>
      </c>
      <c r="AG781" s="28" t="s">
        <v>138</v>
      </c>
      <c r="AH781" s="32" t="s">
        <v>138</v>
      </c>
      <c r="AI781" s="32" t="s">
        <v>138</v>
      </c>
      <c r="AJ781" s="32" t="s">
        <v>138</v>
      </c>
      <c r="AK781" s="28" t="s">
        <v>15558</v>
      </c>
      <c r="AL781" s="28" t="s">
        <v>15559</v>
      </c>
      <c r="AM781" s="28" t="s">
        <v>221</v>
      </c>
      <c r="AN781" s="28" t="s">
        <v>15560</v>
      </c>
      <c r="AO781" s="28" t="s">
        <v>15561</v>
      </c>
      <c r="AP781" s="28" t="s">
        <v>4490</v>
      </c>
      <c r="AQ781" s="28" t="s">
        <v>15562</v>
      </c>
      <c r="AR781" s="28" t="s">
        <v>2153</v>
      </c>
      <c r="AS781" s="28" t="s">
        <v>4492</v>
      </c>
      <c r="AT781" s="28" t="s">
        <v>4493</v>
      </c>
      <c r="AU781" s="28" t="s">
        <v>15563</v>
      </c>
      <c r="AV781" s="28" t="s">
        <v>162</v>
      </c>
      <c r="AW781" s="28" t="s">
        <v>15561</v>
      </c>
      <c r="AX781" s="28" t="s">
        <v>138</v>
      </c>
      <c r="AY781" s="28" t="s">
        <v>15564</v>
      </c>
      <c r="AZ781" s="28" t="s">
        <v>164</v>
      </c>
      <c r="BA781" s="28" t="s">
        <v>165</v>
      </c>
      <c r="BB781" s="28" t="s">
        <v>15565</v>
      </c>
      <c r="BC781" s="28" t="s">
        <v>15566</v>
      </c>
      <c r="BD781" s="33">
        <v>8</v>
      </c>
      <c r="BE781" s="28" t="s">
        <v>138</v>
      </c>
      <c r="BF781" s="28" t="s">
        <v>138</v>
      </c>
      <c r="BG781" s="28" t="s">
        <v>138</v>
      </c>
      <c r="BH781" s="28" t="s">
        <v>15567</v>
      </c>
      <c r="BI781" s="28" t="s">
        <v>138</v>
      </c>
      <c r="BJ781" s="28" t="s">
        <v>138</v>
      </c>
      <c r="BK781" s="28" t="s">
        <v>1275</v>
      </c>
      <c r="BL781" s="28" t="s">
        <v>1275</v>
      </c>
      <c r="BM781" s="34">
        <v>42758</v>
      </c>
      <c r="BN781" s="29" t="s">
        <v>138</v>
      </c>
      <c r="BO781" s="28" t="s">
        <v>138</v>
      </c>
      <c r="BP781" s="29" t="s">
        <v>138</v>
      </c>
      <c r="BQ781" s="28" t="s">
        <v>138</v>
      </c>
      <c r="BR781" s="28" t="s">
        <v>316</v>
      </c>
      <c r="BS781" s="28" t="s">
        <v>138</v>
      </c>
      <c r="BT781" s="28" t="s">
        <v>138</v>
      </c>
      <c r="BU781" s="28" t="s">
        <v>177</v>
      </c>
      <c r="BV781" s="28" t="s">
        <v>138</v>
      </c>
      <c r="BW781" s="28" t="s">
        <v>138</v>
      </c>
      <c r="BX781" s="28" t="s">
        <v>138</v>
      </c>
      <c r="BY781" s="28" t="s">
        <v>175</v>
      </c>
      <c r="BZ781" s="34">
        <v>43515</v>
      </c>
      <c r="CA781" s="29">
        <v>2.56</v>
      </c>
      <c r="CB781" s="28" t="s">
        <v>172</v>
      </c>
      <c r="CC781" s="29">
        <v>9.9600000000000009</v>
      </c>
      <c r="CD781" s="28" t="s">
        <v>172</v>
      </c>
      <c r="CE781" s="28" t="s">
        <v>234</v>
      </c>
      <c r="CF781" s="28" t="s">
        <v>234</v>
      </c>
      <c r="CG781" s="28" t="s">
        <v>138</v>
      </c>
      <c r="CH781" s="28" t="s">
        <v>263</v>
      </c>
      <c r="CI781" s="28" t="s">
        <v>138</v>
      </c>
      <c r="CJ781" s="28" t="s">
        <v>138</v>
      </c>
      <c r="CK781" s="28" t="s">
        <v>138</v>
      </c>
      <c r="CL781" s="28" t="s">
        <v>175</v>
      </c>
      <c r="CM781" s="34" t="s">
        <v>138</v>
      </c>
      <c r="CN781" s="29" t="s">
        <v>138</v>
      </c>
      <c r="CO781" s="35">
        <v>2.4700000000000002</v>
      </c>
      <c r="CP781" s="36">
        <v>99</v>
      </c>
      <c r="CQ781" s="35">
        <v>-0.11</v>
      </c>
      <c r="CR781" s="35">
        <v>-4.3</v>
      </c>
      <c r="CS781" s="35" t="s">
        <v>138</v>
      </c>
      <c r="CT781" s="36" t="s">
        <v>138</v>
      </c>
      <c r="CU781" s="35">
        <v>2.1</v>
      </c>
      <c r="CV781" s="36">
        <v>100</v>
      </c>
      <c r="CW781" s="35" t="s">
        <v>138</v>
      </c>
      <c r="CX781" s="36" t="s">
        <v>138</v>
      </c>
      <c r="CY781" s="35" t="s">
        <v>138</v>
      </c>
      <c r="CZ781" s="36" t="s">
        <v>138</v>
      </c>
      <c r="DA781" s="35">
        <v>2.1</v>
      </c>
      <c r="DB781" s="36">
        <v>100</v>
      </c>
      <c r="DC781" s="37">
        <v>10.43</v>
      </c>
      <c r="DD781" s="36">
        <v>90</v>
      </c>
      <c r="DE781" s="37">
        <v>0.55000000000000004</v>
      </c>
      <c r="DF781" s="35">
        <v>5.62</v>
      </c>
      <c r="DG781" s="37" t="s">
        <v>138</v>
      </c>
      <c r="DH781" s="36" t="s">
        <v>138</v>
      </c>
      <c r="DI781" s="37">
        <v>1.25</v>
      </c>
      <c r="DJ781" s="36">
        <v>53</v>
      </c>
      <c r="DK781" s="37" t="s">
        <v>138</v>
      </c>
      <c r="DL781" s="36" t="s">
        <v>138</v>
      </c>
      <c r="DM781" s="37" t="s">
        <v>138</v>
      </c>
      <c r="DN781" s="36" t="s">
        <v>138</v>
      </c>
      <c r="DO781" s="37">
        <v>1.25</v>
      </c>
      <c r="DP781" s="36">
        <v>55</v>
      </c>
      <c r="DQ781" s="36" t="s">
        <v>138</v>
      </c>
      <c r="DR781" s="38" t="s">
        <v>138</v>
      </c>
      <c r="DS781" s="35" t="s">
        <v>138</v>
      </c>
      <c r="DT781" s="36" t="s">
        <v>138</v>
      </c>
      <c r="DU781" s="38" t="s">
        <v>138</v>
      </c>
      <c r="DV781" s="35" t="s">
        <v>138</v>
      </c>
      <c r="DW781" s="36">
        <v>445</v>
      </c>
      <c r="DX781" s="39">
        <v>10</v>
      </c>
      <c r="DY781" s="35">
        <v>2.2999999999999998</v>
      </c>
      <c r="DZ781" s="28" t="s">
        <v>178</v>
      </c>
      <c r="EA781" s="34">
        <v>43566</v>
      </c>
      <c r="EB781" s="29">
        <v>9.9600000000000009</v>
      </c>
      <c r="EC781" s="34">
        <v>43515</v>
      </c>
      <c r="ED781" s="28" t="s">
        <v>234</v>
      </c>
      <c r="EE781" s="40" t="str">
        <f>HYPERLINK("https://my.pitchbook.com?c=178216-03", "View company online")</f>
        <v>View company online</v>
      </c>
    </row>
    <row r="782" spans="1:135">
      <c r="A782" s="15" t="s">
        <v>15568</v>
      </c>
      <c r="B782" s="15" t="s">
        <v>15569</v>
      </c>
      <c r="C782" s="15" t="s">
        <v>138</v>
      </c>
      <c r="D782" s="15" t="s">
        <v>15570</v>
      </c>
      <c r="E782" s="15" t="s">
        <v>15571</v>
      </c>
      <c r="F782" s="15" t="s">
        <v>15568</v>
      </c>
      <c r="G782" s="15" t="s">
        <v>15572</v>
      </c>
      <c r="H782" s="15" t="s">
        <v>322</v>
      </c>
      <c r="I782" s="15" t="s">
        <v>323</v>
      </c>
      <c r="J782" s="15" t="s">
        <v>324</v>
      </c>
      <c r="K782" s="15" t="s">
        <v>1649</v>
      </c>
      <c r="L782" s="15" t="s">
        <v>415</v>
      </c>
      <c r="M782" s="15" t="s">
        <v>15573</v>
      </c>
      <c r="N782" s="15" t="s">
        <v>147</v>
      </c>
      <c r="O782" s="17" t="s">
        <v>138</v>
      </c>
      <c r="P782" s="15" t="s">
        <v>148</v>
      </c>
      <c r="Q782" s="15" t="s">
        <v>149</v>
      </c>
      <c r="R782" s="15" t="s">
        <v>174</v>
      </c>
      <c r="S782" s="15" t="s">
        <v>15574</v>
      </c>
      <c r="T782" s="18">
        <v>60</v>
      </c>
      <c r="U782" s="15" t="s">
        <v>15575</v>
      </c>
      <c r="V782" s="15" t="s">
        <v>138</v>
      </c>
      <c r="W782" s="15" t="s">
        <v>138</v>
      </c>
      <c r="X782" s="19">
        <v>2011</v>
      </c>
      <c r="Y782" s="15" t="s">
        <v>138</v>
      </c>
      <c r="Z782" s="15" t="s">
        <v>138</v>
      </c>
      <c r="AA782" s="15" t="s">
        <v>138</v>
      </c>
      <c r="AB782" s="20" t="s">
        <v>138</v>
      </c>
      <c r="AC782" s="20" t="s">
        <v>138</v>
      </c>
      <c r="AD782" s="20" t="s">
        <v>138</v>
      </c>
      <c r="AE782" s="20" t="s">
        <v>138</v>
      </c>
      <c r="AF782" s="20" t="s">
        <v>138</v>
      </c>
      <c r="AG782" s="15" t="s">
        <v>138</v>
      </c>
      <c r="AH782" s="20" t="s">
        <v>138</v>
      </c>
      <c r="AI782" s="20" t="s">
        <v>138</v>
      </c>
      <c r="AJ782" s="20" t="s">
        <v>138</v>
      </c>
      <c r="AK782" s="15" t="s">
        <v>15576</v>
      </c>
      <c r="AL782" s="15" t="s">
        <v>15577</v>
      </c>
      <c r="AM782" s="15" t="s">
        <v>249</v>
      </c>
      <c r="AN782" s="15" t="s">
        <v>15578</v>
      </c>
      <c r="AO782" s="15" t="s">
        <v>15579</v>
      </c>
      <c r="AP782" s="15" t="s">
        <v>15580</v>
      </c>
      <c r="AQ782" s="15" t="s">
        <v>15581</v>
      </c>
      <c r="AR782" s="15" t="s">
        <v>15582</v>
      </c>
      <c r="AS782" s="15" t="s">
        <v>15583</v>
      </c>
      <c r="AT782" s="15" t="s">
        <v>2740</v>
      </c>
      <c r="AU782" s="15" t="s">
        <v>15584</v>
      </c>
      <c r="AV782" s="15" t="s">
        <v>2742</v>
      </c>
      <c r="AW782" s="15" t="s">
        <v>15579</v>
      </c>
      <c r="AX782" s="15" t="s">
        <v>15585</v>
      </c>
      <c r="AY782" s="15" t="s">
        <v>15586</v>
      </c>
      <c r="AZ782" s="15" t="s">
        <v>164</v>
      </c>
      <c r="BA782" s="15" t="s">
        <v>165</v>
      </c>
      <c r="BB782" s="15" t="s">
        <v>15587</v>
      </c>
      <c r="BC782" s="15" t="s">
        <v>15588</v>
      </c>
      <c r="BD782" s="21">
        <v>14</v>
      </c>
      <c r="BE782" s="15" t="s">
        <v>138</v>
      </c>
      <c r="BF782" s="15" t="s">
        <v>138</v>
      </c>
      <c r="BG782" s="15" t="s">
        <v>138</v>
      </c>
      <c r="BH782" s="15" t="s">
        <v>15589</v>
      </c>
      <c r="BI782" s="15" t="s">
        <v>138</v>
      </c>
      <c r="BJ782" s="15" t="s">
        <v>138</v>
      </c>
      <c r="BK782" s="15" t="s">
        <v>15590</v>
      </c>
      <c r="BL782" s="15" t="s">
        <v>15591</v>
      </c>
      <c r="BM782" s="22">
        <v>41400</v>
      </c>
      <c r="BN782" s="17">
        <v>5.32</v>
      </c>
      <c r="BO782" s="15" t="s">
        <v>172</v>
      </c>
      <c r="BP782" s="17" t="s">
        <v>138</v>
      </c>
      <c r="BQ782" s="15" t="s">
        <v>138</v>
      </c>
      <c r="BR782" s="15" t="s">
        <v>176</v>
      </c>
      <c r="BS782" s="15" t="s">
        <v>138</v>
      </c>
      <c r="BT782" s="15" t="s">
        <v>138</v>
      </c>
      <c r="BU782" s="15" t="s">
        <v>177</v>
      </c>
      <c r="BV782" s="15" t="s">
        <v>138</v>
      </c>
      <c r="BW782" s="15" t="s">
        <v>138</v>
      </c>
      <c r="BX782" s="15" t="s">
        <v>138</v>
      </c>
      <c r="BY782" s="15" t="s">
        <v>175</v>
      </c>
      <c r="BZ782" s="22">
        <v>43447</v>
      </c>
      <c r="CA782" s="17" t="s">
        <v>138</v>
      </c>
      <c r="CB782" s="15" t="s">
        <v>138</v>
      </c>
      <c r="CC782" s="17" t="s">
        <v>138</v>
      </c>
      <c r="CD782" s="15" t="s">
        <v>138</v>
      </c>
      <c r="CE782" s="15" t="s">
        <v>173</v>
      </c>
      <c r="CF782" s="15" t="s">
        <v>720</v>
      </c>
      <c r="CG782" s="15" t="s">
        <v>138</v>
      </c>
      <c r="CH782" s="15" t="s">
        <v>174</v>
      </c>
      <c r="CI782" s="15" t="s">
        <v>138</v>
      </c>
      <c r="CJ782" s="15" t="s">
        <v>138</v>
      </c>
      <c r="CK782" s="15" t="s">
        <v>138</v>
      </c>
      <c r="CL782" s="15" t="s">
        <v>175</v>
      </c>
      <c r="CM782" s="22" t="s">
        <v>138</v>
      </c>
      <c r="CN782" s="17" t="s">
        <v>138</v>
      </c>
      <c r="CO782" s="23">
        <v>1.04</v>
      </c>
      <c r="CP782" s="24">
        <v>97</v>
      </c>
      <c r="CQ782" s="23">
        <v>-0.14000000000000001</v>
      </c>
      <c r="CR782" s="23">
        <v>-12.22</v>
      </c>
      <c r="CS782" s="23">
        <v>0.91</v>
      </c>
      <c r="CT782" s="24">
        <v>96</v>
      </c>
      <c r="CU782" s="23">
        <v>1.17</v>
      </c>
      <c r="CV782" s="24">
        <v>98</v>
      </c>
      <c r="CW782" s="23">
        <v>0</v>
      </c>
      <c r="CX782" s="24">
        <v>13</v>
      </c>
      <c r="CY782" s="23">
        <v>1.82</v>
      </c>
      <c r="CZ782" s="24">
        <v>100</v>
      </c>
      <c r="DA782" s="23">
        <v>1.17</v>
      </c>
      <c r="DB782" s="24">
        <v>99</v>
      </c>
      <c r="DC782" s="25">
        <v>2.56</v>
      </c>
      <c r="DD782" s="24">
        <v>72</v>
      </c>
      <c r="DE782" s="25">
        <v>0.01</v>
      </c>
      <c r="DF782" s="23">
        <v>0.52</v>
      </c>
      <c r="DG782" s="25">
        <v>3.83</v>
      </c>
      <c r="DH782" s="24">
        <v>78</v>
      </c>
      <c r="DI782" s="25">
        <v>1.3</v>
      </c>
      <c r="DJ782" s="24">
        <v>54</v>
      </c>
      <c r="DK782" s="25">
        <v>0.59</v>
      </c>
      <c r="DL782" s="24">
        <v>38</v>
      </c>
      <c r="DM782" s="25">
        <v>7.07</v>
      </c>
      <c r="DN782" s="24">
        <v>85</v>
      </c>
      <c r="DO782" s="25">
        <v>1.3</v>
      </c>
      <c r="DP782" s="24">
        <v>55</v>
      </c>
      <c r="DQ782" s="24">
        <v>202</v>
      </c>
      <c r="DR782" s="26">
        <v>-2</v>
      </c>
      <c r="DS782" s="23">
        <v>-0.98</v>
      </c>
      <c r="DT782" s="24">
        <v>203</v>
      </c>
      <c r="DU782" s="26">
        <v>7</v>
      </c>
      <c r="DV782" s="23">
        <v>3.57</v>
      </c>
      <c r="DW782" s="24">
        <v>462</v>
      </c>
      <c r="DX782" s="27">
        <v>3</v>
      </c>
      <c r="DY782" s="23">
        <v>0.65</v>
      </c>
      <c r="DZ782" s="15" t="s">
        <v>178</v>
      </c>
      <c r="EA782" s="22">
        <v>43580</v>
      </c>
      <c r="EB782" s="17" t="s">
        <v>138</v>
      </c>
      <c r="EC782" s="22" t="s">
        <v>138</v>
      </c>
      <c r="ED782" s="15" t="s">
        <v>138</v>
      </c>
      <c r="EE782" s="14" t="str">
        <f>HYPERLINK("https://my.pitchbook.com?c=139409-47", "View company online")</f>
        <v>View company online</v>
      </c>
    </row>
    <row r="783" spans="1:135">
      <c r="A783" s="28" t="s">
        <v>15592</v>
      </c>
      <c r="B783" s="28" t="s">
        <v>15593</v>
      </c>
      <c r="C783" s="28" t="s">
        <v>138</v>
      </c>
      <c r="D783" s="28" t="s">
        <v>138</v>
      </c>
      <c r="E783" s="28" t="s">
        <v>15594</v>
      </c>
      <c r="F783" s="28" t="s">
        <v>15592</v>
      </c>
      <c r="G783" s="28" t="s">
        <v>15595</v>
      </c>
      <c r="H783" s="28" t="s">
        <v>322</v>
      </c>
      <c r="I783" s="28" t="s">
        <v>323</v>
      </c>
      <c r="J783" s="28" t="s">
        <v>413</v>
      </c>
      <c r="K783" s="28" t="s">
        <v>15596</v>
      </c>
      <c r="L783" s="28" t="s">
        <v>15597</v>
      </c>
      <c r="M783" s="28" t="s">
        <v>15598</v>
      </c>
      <c r="N783" s="28" t="s">
        <v>147</v>
      </c>
      <c r="O783" s="29">
        <v>256.86</v>
      </c>
      <c r="P783" s="28" t="s">
        <v>148</v>
      </c>
      <c r="Q783" s="28" t="s">
        <v>149</v>
      </c>
      <c r="R783" s="28" t="s">
        <v>244</v>
      </c>
      <c r="S783" s="28" t="s">
        <v>15599</v>
      </c>
      <c r="T783" s="30">
        <v>200</v>
      </c>
      <c r="U783" s="28" t="s">
        <v>15600</v>
      </c>
      <c r="V783" s="28" t="s">
        <v>138</v>
      </c>
      <c r="W783" s="28" t="s">
        <v>138</v>
      </c>
      <c r="X783" s="31">
        <v>2010</v>
      </c>
      <c r="Y783" s="28" t="s">
        <v>138</v>
      </c>
      <c r="Z783" s="28" t="s">
        <v>138</v>
      </c>
      <c r="AA783" s="28" t="s">
        <v>138</v>
      </c>
      <c r="AB783" s="32" t="s">
        <v>138</v>
      </c>
      <c r="AC783" s="32" t="s">
        <v>138</v>
      </c>
      <c r="AD783" s="32" t="s">
        <v>138</v>
      </c>
      <c r="AE783" s="32" t="s">
        <v>138</v>
      </c>
      <c r="AF783" s="32" t="s">
        <v>138</v>
      </c>
      <c r="AG783" s="28" t="s">
        <v>138</v>
      </c>
      <c r="AH783" s="32" t="s">
        <v>138</v>
      </c>
      <c r="AI783" s="32" t="s">
        <v>138</v>
      </c>
      <c r="AJ783" s="32" t="s">
        <v>138</v>
      </c>
      <c r="AK783" s="28" t="s">
        <v>15601</v>
      </c>
      <c r="AL783" s="28" t="s">
        <v>15602</v>
      </c>
      <c r="AM783" s="28" t="s">
        <v>15603</v>
      </c>
      <c r="AN783" s="28" t="s">
        <v>15604</v>
      </c>
      <c r="AO783" s="28" t="s">
        <v>15605</v>
      </c>
      <c r="AP783" s="28" t="s">
        <v>2819</v>
      </c>
      <c r="AQ783" s="28" t="s">
        <v>15606</v>
      </c>
      <c r="AR783" s="28" t="s">
        <v>15607</v>
      </c>
      <c r="AS783" s="28" t="s">
        <v>284</v>
      </c>
      <c r="AT783" s="28" t="s">
        <v>2822</v>
      </c>
      <c r="AU783" s="28" t="s">
        <v>15608</v>
      </c>
      <c r="AV783" s="28" t="s">
        <v>162</v>
      </c>
      <c r="AW783" s="28" t="s">
        <v>15605</v>
      </c>
      <c r="AX783" s="28" t="s">
        <v>138</v>
      </c>
      <c r="AY783" s="28" t="s">
        <v>15609</v>
      </c>
      <c r="AZ783" s="28" t="s">
        <v>164</v>
      </c>
      <c r="BA783" s="28" t="s">
        <v>165</v>
      </c>
      <c r="BB783" s="28" t="s">
        <v>15610</v>
      </c>
      <c r="BC783" s="28" t="s">
        <v>15611</v>
      </c>
      <c r="BD783" s="33">
        <v>15</v>
      </c>
      <c r="BE783" s="28" t="s">
        <v>138</v>
      </c>
      <c r="BF783" s="28" t="s">
        <v>15612</v>
      </c>
      <c r="BG783" s="28" t="s">
        <v>138</v>
      </c>
      <c r="BH783" s="28" t="s">
        <v>15613</v>
      </c>
      <c r="BI783" s="28" t="s">
        <v>15614</v>
      </c>
      <c r="BJ783" s="28" t="s">
        <v>138</v>
      </c>
      <c r="BK783" s="28" t="s">
        <v>15615</v>
      </c>
      <c r="BL783" s="28" t="s">
        <v>15616</v>
      </c>
      <c r="BM783" s="34">
        <v>40179</v>
      </c>
      <c r="BN783" s="29">
        <v>0.44</v>
      </c>
      <c r="BO783" s="28" t="s">
        <v>172</v>
      </c>
      <c r="BP783" s="29">
        <v>2.59</v>
      </c>
      <c r="BQ783" s="28" t="s">
        <v>172</v>
      </c>
      <c r="BR783" s="28" t="s">
        <v>234</v>
      </c>
      <c r="BS783" s="28" t="s">
        <v>234</v>
      </c>
      <c r="BT783" s="28" t="s">
        <v>138</v>
      </c>
      <c r="BU783" s="28" t="s">
        <v>174</v>
      </c>
      <c r="BV783" s="28" t="s">
        <v>138</v>
      </c>
      <c r="BW783" s="28" t="s">
        <v>138</v>
      </c>
      <c r="BX783" s="28" t="s">
        <v>138</v>
      </c>
      <c r="BY783" s="28" t="s">
        <v>175</v>
      </c>
      <c r="BZ783" s="34">
        <v>43311</v>
      </c>
      <c r="CA783" s="29">
        <v>75</v>
      </c>
      <c r="CB783" s="28" t="s">
        <v>172</v>
      </c>
      <c r="CC783" s="29">
        <v>550</v>
      </c>
      <c r="CD783" s="28" t="s">
        <v>172</v>
      </c>
      <c r="CE783" s="28" t="s">
        <v>173</v>
      </c>
      <c r="CF783" s="28" t="s">
        <v>482</v>
      </c>
      <c r="CG783" s="28" t="s">
        <v>138</v>
      </c>
      <c r="CH783" s="28" t="s">
        <v>174</v>
      </c>
      <c r="CI783" s="28" t="s">
        <v>138</v>
      </c>
      <c r="CJ783" s="28" t="s">
        <v>138</v>
      </c>
      <c r="CK783" s="28" t="s">
        <v>138</v>
      </c>
      <c r="CL783" s="28" t="s">
        <v>175</v>
      </c>
      <c r="CM783" s="34">
        <v>42213</v>
      </c>
      <c r="CN783" s="29">
        <v>40</v>
      </c>
      <c r="CO783" s="35">
        <v>1.1100000000000001</v>
      </c>
      <c r="CP783" s="36">
        <v>97</v>
      </c>
      <c r="CQ783" s="35">
        <v>-0.02</v>
      </c>
      <c r="CR783" s="35">
        <v>-1.81</v>
      </c>
      <c r="CS783" s="35">
        <v>1.93</v>
      </c>
      <c r="CT783" s="36">
        <v>98</v>
      </c>
      <c r="CU783" s="35">
        <v>0.3</v>
      </c>
      <c r="CV783" s="36">
        <v>87</v>
      </c>
      <c r="CW783" s="35">
        <v>4.49</v>
      </c>
      <c r="CX783" s="36">
        <v>95</v>
      </c>
      <c r="CY783" s="35">
        <v>-0.64</v>
      </c>
      <c r="CZ783" s="36">
        <v>21</v>
      </c>
      <c r="DA783" s="35">
        <v>0.28999999999999998</v>
      </c>
      <c r="DB783" s="36">
        <v>88</v>
      </c>
      <c r="DC783" s="37">
        <v>10.039999999999999</v>
      </c>
      <c r="DD783" s="36">
        <v>90</v>
      </c>
      <c r="DE783" s="37">
        <v>-0.59</v>
      </c>
      <c r="DF783" s="35">
        <v>-5.59</v>
      </c>
      <c r="DG783" s="37">
        <v>17.39</v>
      </c>
      <c r="DH783" s="36">
        <v>94</v>
      </c>
      <c r="DI783" s="37">
        <v>2.7</v>
      </c>
      <c r="DJ783" s="36">
        <v>68</v>
      </c>
      <c r="DK783" s="37">
        <v>17.850000000000001</v>
      </c>
      <c r="DL783" s="36">
        <v>91</v>
      </c>
      <c r="DM783" s="37">
        <v>16.93</v>
      </c>
      <c r="DN783" s="36">
        <v>93</v>
      </c>
      <c r="DO783" s="37">
        <v>4.3899999999999997</v>
      </c>
      <c r="DP783" s="36">
        <v>77</v>
      </c>
      <c r="DQ783" s="36">
        <v>6038</v>
      </c>
      <c r="DR783" s="38">
        <v>252</v>
      </c>
      <c r="DS783" s="35">
        <v>4.3600000000000003</v>
      </c>
      <c r="DT783" s="36">
        <v>492</v>
      </c>
      <c r="DU783" s="38">
        <v>-1</v>
      </c>
      <c r="DV783" s="35">
        <v>-0.2</v>
      </c>
      <c r="DW783" s="36">
        <v>1574</v>
      </c>
      <c r="DX783" s="39">
        <v>2</v>
      </c>
      <c r="DY783" s="35">
        <v>0.13</v>
      </c>
      <c r="DZ783" s="28" t="s">
        <v>178</v>
      </c>
      <c r="EA783" s="34">
        <v>43607</v>
      </c>
      <c r="EB783" s="29">
        <v>550</v>
      </c>
      <c r="EC783" s="34">
        <v>43311</v>
      </c>
      <c r="ED783" s="28" t="s">
        <v>173</v>
      </c>
      <c r="EE783" s="40" t="str">
        <f>HYPERLINK("https://my.pitchbook.com?c=51500-71", "View company online")</f>
        <v>View company online</v>
      </c>
    </row>
    <row r="784" spans="1:135">
      <c r="A784" s="15" t="s">
        <v>15617</v>
      </c>
      <c r="B784" s="15" t="s">
        <v>15618</v>
      </c>
      <c r="C784" s="15" t="s">
        <v>138</v>
      </c>
      <c r="D784" s="15" t="s">
        <v>138</v>
      </c>
      <c r="E784" s="15" t="s">
        <v>138</v>
      </c>
      <c r="F784" s="15" t="s">
        <v>15617</v>
      </c>
      <c r="G784" s="15" t="s">
        <v>15619</v>
      </c>
      <c r="H784" s="15" t="s">
        <v>385</v>
      </c>
      <c r="I784" s="15" t="s">
        <v>15620</v>
      </c>
      <c r="J784" s="15" t="s">
        <v>15620</v>
      </c>
      <c r="K784" s="15" t="s">
        <v>15621</v>
      </c>
      <c r="L784" s="15" t="s">
        <v>138</v>
      </c>
      <c r="M784" s="15" t="s">
        <v>15622</v>
      </c>
      <c r="N784" s="15" t="s">
        <v>147</v>
      </c>
      <c r="O784" s="17" t="s">
        <v>138</v>
      </c>
      <c r="P784" s="15" t="s">
        <v>148</v>
      </c>
      <c r="Q784" s="15" t="s">
        <v>149</v>
      </c>
      <c r="R784" s="15" t="s">
        <v>174</v>
      </c>
      <c r="S784" s="15" t="s">
        <v>15623</v>
      </c>
      <c r="T784" s="18" t="s">
        <v>138</v>
      </c>
      <c r="U784" s="15" t="s">
        <v>138</v>
      </c>
      <c r="V784" s="15" t="s">
        <v>138</v>
      </c>
      <c r="W784" s="15" t="s">
        <v>138</v>
      </c>
      <c r="X784" s="19">
        <v>2000</v>
      </c>
      <c r="Y784" s="15" t="s">
        <v>138</v>
      </c>
      <c r="Z784" s="15" t="s">
        <v>138</v>
      </c>
      <c r="AA784" s="15" t="s">
        <v>138</v>
      </c>
      <c r="AB784" s="20" t="s">
        <v>138</v>
      </c>
      <c r="AC784" s="20" t="s">
        <v>138</v>
      </c>
      <c r="AD784" s="20" t="s">
        <v>138</v>
      </c>
      <c r="AE784" s="20" t="s">
        <v>138</v>
      </c>
      <c r="AF784" s="20" t="s">
        <v>138</v>
      </c>
      <c r="AG784" s="15" t="s">
        <v>138</v>
      </c>
      <c r="AH784" s="20" t="s">
        <v>138</v>
      </c>
      <c r="AI784" s="20" t="s">
        <v>138</v>
      </c>
      <c r="AJ784" s="20" t="s">
        <v>138</v>
      </c>
      <c r="AK784" s="15" t="s">
        <v>15624</v>
      </c>
      <c r="AL784" s="15" t="s">
        <v>15625</v>
      </c>
      <c r="AM784" s="15" t="s">
        <v>8182</v>
      </c>
      <c r="AN784" s="15" t="s">
        <v>15626</v>
      </c>
      <c r="AO784" s="15" t="s">
        <v>15627</v>
      </c>
      <c r="AP784" s="15" t="s">
        <v>15628</v>
      </c>
      <c r="AQ784" s="15" t="s">
        <v>15629</v>
      </c>
      <c r="AR784" s="15" t="s">
        <v>138</v>
      </c>
      <c r="AS784" s="15" t="s">
        <v>15630</v>
      </c>
      <c r="AT784" s="15" t="s">
        <v>864</v>
      </c>
      <c r="AU784" s="15" t="s">
        <v>15631</v>
      </c>
      <c r="AV784" s="15" t="s">
        <v>162</v>
      </c>
      <c r="AW784" s="15" t="s">
        <v>15627</v>
      </c>
      <c r="AX784" s="15" t="s">
        <v>138</v>
      </c>
      <c r="AY784" s="15" t="s">
        <v>15632</v>
      </c>
      <c r="AZ784" s="15" t="s">
        <v>164</v>
      </c>
      <c r="BA784" s="15" t="s">
        <v>165</v>
      </c>
      <c r="BB784" s="15" t="s">
        <v>15633</v>
      </c>
      <c r="BC784" s="15" t="s">
        <v>15634</v>
      </c>
      <c r="BD784" s="21">
        <v>4</v>
      </c>
      <c r="BE784" s="15" t="s">
        <v>138</v>
      </c>
      <c r="BF784" s="15" t="s">
        <v>138</v>
      </c>
      <c r="BG784" s="15" t="s">
        <v>138</v>
      </c>
      <c r="BH784" s="15" t="s">
        <v>15635</v>
      </c>
      <c r="BI784" s="15" t="s">
        <v>138</v>
      </c>
      <c r="BJ784" s="15" t="s">
        <v>138</v>
      </c>
      <c r="BK784" s="15" t="s">
        <v>138</v>
      </c>
      <c r="BL784" s="15" t="s">
        <v>138</v>
      </c>
      <c r="BM784" s="22">
        <v>37257</v>
      </c>
      <c r="BN784" s="17">
        <v>0.16</v>
      </c>
      <c r="BO784" s="15" t="s">
        <v>172</v>
      </c>
      <c r="BP784" s="17" t="s">
        <v>138</v>
      </c>
      <c r="BQ784" s="15" t="s">
        <v>138</v>
      </c>
      <c r="BR784" s="15" t="s">
        <v>176</v>
      </c>
      <c r="BS784" s="15" t="s">
        <v>138</v>
      </c>
      <c r="BT784" s="15" t="s">
        <v>138</v>
      </c>
      <c r="BU784" s="15" t="s">
        <v>177</v>
      </c>
      <c r="BV784" s="15" t="s">
        <v>138</v>
      </c>
      <c r="BW784" s="15" t="s">
        <v>138</v>
      </c>
      <c r="BX784" s="15" t="s">
        <v>138</v>
      </c>
      <c r="BY784" s="15" t="s">
        <v>175</v>
      </c>
      <c r="BZ784" s="22">
        <v>43496</v>
      </c>
      <c r="CA784" s="17" t="s">
        <v>138</v>
      </c>
      <c r="CB784" s="15" t="s">
        <v>138</v>
      </c>
      <c r="CC784" s="17" t="s">
        <v>138</v>
      </c>
      <c r="CD784" s="15" t="s">
        <v>138</v>
      </c>
      <c r="CE784" s="15" t="s">
        <v>173</v>
      </c>
      <c r="CF784" s="15" t="s">
        <v>138</v>
      </c>
      <c r="CG784" s="15" t="s">
        <v>138</v>
      </c>
      <c r="CH784" s="15" t="s">
        <v>174</v>
      </c>
      <c r="CI784" s="15" t="s">
        <v>264</v>
      </c>
      <c r="CJ784" s="15" t="s">
        <v>138</v>
      </c>
      <c r="CK784" s="15" t="s">
        <v>138</v>
      </c>
      <c r="CL784" s="15" t="s">
        <v>175</v>
      </c>
      <c r="CM784" s="22" t="s">
        <v>138</v>
      </c>
      <c r="CN784" s="17" t="s">
        <v>138</v>
      </c>
      <c r="CO784" s="23" t="s">
        <v>138</v>
      </c>
      <c r="CP784" s="24" t="s">
        <v>138</v>
      </c>
      <c r="CQ784" s="23" t="s">
        <v>138</v>
      </c>
      <c r="CR784" s="23" t="s">
        <v>138</v>
      </c>
      <c r="CS784" s="23" t="s">
        <v>138</v>
      </c>
      <c r="CT784" s="24" t="s">
        <v>138</v>
      </c>
      <c r="CU784" s="23" t="s">
        <v>138</v>
      </c>
      <c r="CV784" s="24" t="s">
        <v>138</v>
      </c>
      <c r="CW784" s="23" t="s">
        <v>138</v>
      </c>
      <c r="CX784" s="24" t="s">
        <v>138</v>
      </c>
      <c r="CY784" s="23" t="s">
        <v>138</v>
      </c>
      <c r="CZ784" s="24" t="s">
        <v>138</v>
      </c>
      <c r="DA784" s="23" t="s">
        <v>138</v>
      </c>
      <c r="DB784" s="24" t="s">
        <v>138</v>
      </c>
      <c r="DC784" s="25" t="s">
        <v>138</v>
      </c>
      <c r="DD784" s="24" t="s">
        <v>138</v>
      </c>
      <c r="DE784" s="25" t="s">
        <v>138</v>
      </c>
      <c r="DF784" s="23" t="s">
        <v>138</v>
      </c>
      <c r="DG784" s="25" t="s">
        <v>138</v>
      </c>
      <c r="DH784" s="24" t="s">
        <v>138</v>
      </c>
      <c r="DI784" s="25" t="s">
        <v>138</v>
      </c>
      <c r="DJ784" s="24" t="s">
        <v>138</v>
      </c>
      <c r="DK784" s="25" t="s">
        <v>138</v>
      </c>
      <c r="DL784" s="24" t="s">
        <v>138</v>
      </c>
      <c r="DM784" s="25" t="s">
        <v>138</v>
      </c>
      <c r="DN784" s="24" t="s">
        <v>138</v>
      </c>
      <c r="DO784" s="25" t="s">
        <v>138</v>
      </c>
      <c r="DP784" s="24" t="s">
        <v>138</v>
      </c>
      <c r="DQ784" s="24" t="s">
        <v>138</v>
      </c>
      <c r="DR784" s="26" t="s">
        <v>138</v>
      </c>
      <c r="DS784" s="23" t="s">
        <v>138</v>
      </c>
      <c r="DT784" s="24" t="s">
        <v>138</v>
      </c>
      <c r="DU784" s="26" t="s">
        <v>138</v>
      </c>
      <c r="DV784" s="23" t="s">
        <v>138</v>
      </c>
      <c r="DW784" s="24" t="s">
        <v>138</v>
      </c>
      <c r="DX784" s="27" t="s">
        <v>138</v>
      </c>
      <c r="DY784" s="23" t="s">
        <v>138</v>
      </c>
      <c r="DZ784" s="15" t="s">
        <v>178</v>
      </c>
      <c r="EA784" s="22">
        <v>43593</v>
      </c>
      <c r="EB784" s="17" t="s">
        <v>138</v>
      </c>
      <c r="EC784" s="22" t="s">
        <v>138</v>
      </c>
      <c r="ED784" s="15" t="s">
        <v>138</v>
      </c>
      <c r="EE784" s="14" t="str">
        <f>HYPERLINK("https://my.pitchbook.com?c=266650-21", "View company online")</f>
        <v>View company online</v>
      </c>
    </row>
    <row r="785" spans="1:135">
      <c r="A785" s="28" t="s">
        <v>15636</v>
      </c>
      <c r="B785" s="28" t="s">
        <v>15637</v>
      </c>
      <c r="C785" s="28" t="s">
        <v>138</v>
      </c>
      <c r="D785" s="28" t="s">
        <v>138</v>
      </c>
      <c r="E785" s="28" t="s">
        <v>15638</v>
      </c>
      <c r="F785" s="28" t="s">
        <v>15636</v>
      </c>
      <c r="G785" s="28" t="s">
        <v>15639</v>
      </c>
      <c r="H785" s="28" t="s">
        <v>238</v>
      </c>
      <c r="I785" s="28" t="s">
        <v>269</v>
      </c>
      <c r="J785" s="28" t="s">
        <v>296</v>
      </c>
      <c r="K785" s="28" t="s">
        <v>2187</v>
      </c>
      <c r="L785" s="28" t="s">
        <v>15640</v>
      </c>
      <c r="M785" s="28" t="s">
        <v>15641</v>
      </c>
      <c r="N785" s="28" t="s">
        <v>147</v>
      </c>
      <c r="O785" s="29">
        <v>43.96</v>
      </c>
      <c r="P785" s="28" t="s">
        <v>2922</v>
      </c>
      <c r="Q785" s="28" t="s">
        <v>149</v>
      </c>
      <c r="R785" s="28" t="s">
        <v>174</v>
      </c>
      <c r="S785" s="28" t="s">
        <v>15642</v>
      </c>
      <c r="T785" s="30">
        <v>100</v>
      </c>
      <c r="U785" s="28" t="s">
        <v>15643</v>
      </c>
      <c r="V785" s="28" t="s">
        <v>138</v>
      </c>
      <c r="W785" s="28" t="s">
        <v>138</v>
      </c>
      <c r="X785" s="31">
        <v>2015</v>
      </c>
      <c r="Y785" s="28" t="s">
        <v>138</v>
      </c>
      <c r="Z785" s="28" t="s">
        <v>138</v>
      </c>
      <c r="AA785" s="28" t="s">
        <v>138</v>
      </c>
      <c r="AB785" s="32" t="s">
        <v>138</v>
      </c>
      <c r="AC785" s="32" t="s">
        <v>138</v>
      </c>
      <c r="AD785" s="32" t="s">
        <v>138</v>
      </c>
      <c r="AE785" s="32" t="s">
        <v>138</v>
      </c>
      <c r="AF785" s="32" t="s">
        <v>138</v>
      </c>
      <c r="AG785" s="28" t="s">
        <v>138</v>
      </c>
      <c r="AH785" s="32" t="s">
        <v>138</v>
      </c>
      <c r="AI785" s="32" t="s">
        <v>138</v>
      </c>
      <c r="AJ785" s="32" t="s">
        <v>138</v>
      </c>
      <c r="AK785" s="28" t="s">
        <v>15644</v>
      </c>
      <c r="AL785" s="28" t="s">
        <v>15645</v>
      </c>
      <c r="AM785" s="28" t="s">
        <v>15646</v>
      </c>
      <c r="AN785" s="28" t="s">
        <v>15647</v>
      </c>
      <c r="AO785" s="28" t="s">
        <v>15648</v>
      </c>
      <c r="AP785" s="28" t="s">
        <v>1292</v>
      </c>
      <c r="AQ785" s="28" t="s">
        <v>15649</v>
      </c>
      <c r="AR785" s="28" t="s">
        <v>15650</v>
      </c>
      <c r="AS785" s="28" t="s">
        <v>1294</v>
      </c>
      <c r="AT785" s="28" t="s">
        <v>864</v>
      </c>
      <c r="AU785" s="28" t="s">
        <v>3579</v>
      </c>
      <c r="AV785" s="28" t="s">
        <v>162</v>
      </c>
      <c r="AW785" s="28" t="s">
        <v>15648</v>
      </c>
      <c r="AX785" s="28" t="s">
        <v>138</v>
      </c>
      <c r="AY785" s="28" t="s">
        <v>15651</v>
      </c>
      <c r="AZ785" s="28" t="s">
        <v>164</v>
      </c>
      <c r="BA785" s="28" t="s">
        <v>165</v>
      </c>
      <c r="BB785" s="28" t="s">
        <v>15652</v>
      </c>
      <c r="BC785" s="28" t="s">
        <v>15653</v>
      </c>
      <c r="BD785" s="33">
        <v>13</v>
      </c>
      <c r="BE785" s="28" t="s">
        <v>138</v>
      </c>
      <c r="BF785" s="28" t="s">
        <v>138</v>
      </c>
      <c r="BG785" s="28" t="s">
        <v>138</v>
      </c>
      <c r="BH785" s="28" t="s">
        <v>15654</v>
      </c>
      <c r="BI785" s="28" t="s">
        <v>138</v>
      </c>
      <c r="BJ785" s="28" t="s">
        <v>138</v>
      </c>
      <c r="BK785" s="28" t="s">
        <v>138</v>
      </c>
      <c r="BL785" s="28" t="s">
        <v>138</v>
      </c>
      <c r="BM785" s="34">
        <v>42654</v>
      </c>
      <c r="BN785" s="29">
        <v>5.25</v>
      </c>
      <c r="BO785" s="28" t="s">
        <v>172</v>
      </c>
      <c r="BP785" s="29">
        <v>15</v>
      </c>
      <c r="BQ785" s="28" t="s">
        <v>172</v>
      </c>
      <c r="BR785" s="28" t="s">
        <v>234</v>
      </c>
      <c r="BS785" s="28" t="s">
        <v>234</v>
      </c>
      <c r="BT785" s="28" t="s">
        <v>138</v>
      </c>
      <c r="BU785" s="28" t="s">
        <v>174</v>
      </c>
      <c r="BV785" s="28" t="s">
        <v>138</v>
      </c>
      <c r="BW785" s="28" t="s">
        <v>138</v>
      </c>
      <c r="BX785" s="28" t="s">
        <v>138</v>
      </c>
      <c r="BY785" s="28" t="s">
        <v>175</v>
      </c>
      <c r="BZ785" s="34">
        <v>43577</v>
      </c>
      <c r="CA785" s="29">
        <v>20.71</v>
      </c>
      <c r="CB785" s="28" t="s">
        <v>172</v>
      </c>
      <c r="CC785" s="29">
        <v>145.71</v>
      </c>
      <c r="CD785" s="28" t="s">
        <v>172</v>
      </c>
      <c r="CE785" s="28" t="s">
        <v>205</v>
      </c>
      <c r="CF785" s="28" t="s">
        <v>720</v>
      </c>
      <c r="CG785" s="28" t="s">
        <v>138</v>
      </c>
      <c r="CH785" s="28" t="s">
        <v>174</v>
      </c>
      <c r="CI785" s="28" t="s">
        <v>138</v>
      </c>
      <c r="CJ785" s="28" t="s">
        <v>138</v>
      </c>
      <c r="CK785" s="28" t="s">
        <v>138</v>
      </c>
      <c r="CL785" s="28" t="s">
        <v>175</v>
      </c>
      <c r="CM785" s="34" t="s">
        <v>138</v>
      </c>
      <c r="CN785" s="29" t="s">
        <v>138</v>
      </c>
      <c r="CO785" s="35">
        <v>3.63</v>
      </c>
      <c r="CP785" s="36">
        <v>100</v>
      </c>
      <c r="CQ785" s="35">
        <v>-0.28999999999999998</v>
      </c>
      <c r="CR785" s="35">
        <v>-7.47</v>
      </c>
      <c r="CS785" s="35">
        <v>5.86</v>
      </c>
      <c r="CT785" s="36">
        <v>100</v>
      </c>
      <c r="CU785" s="35">
        <v>1.41</v>
      </c>
      <c r="CV785" s="36">
        <v>99</v>
      </c>
      <c r="CW785" s="35">
        <v>3.79</v>
      </c>
      <c r="CX785" s="36">
        <v>93</v>
      </c>
      <c r="CY785" s="35">
        <v>7.94</v>
      </c>
      <c r="CZ785" s="36">
        <v>100</v>
      </c>
      <c r="DA785" s="35">
        <v>1.41</v>
      </c>
      <c r="DB785" s="36">
        <v>99</v>
      </c>
      <c r="DC785" s="37">
        <v>4.7300000000000004</v>
      </c>
      <c r="DD785" s="36">
        <v>82</v>
      </c>
      <c r="DE785" s="37">
        <v>-0.31</v>
      </c>
      <c r="DF785" s="35">
        <v>-6.06</v>
      </c>
      <c r="DG785" s="37">
        <v>8.5299999999999994</v>
      </c>
      <c r="DH785" s="36">
        <v>88</v>
      </c>
      <c r="DI785" s="37">
        <v>0.94</v>
      </c>
      <c r="DJ785" s="36">
        <v>48</v>
      </c>
      <c r="DK785" s="37">
        <v>9.7799999999999994</v>
      </c>
      <c r="DL785" s="36">
        <v>86</v>
      </c>
      <c r="DM785" s="37">
        <v>7.28</v>
      </c>
      <c r="DN785" s="36">
        <v>86</v>
      </c>
      <c r="DO785" s="37">
        <v>0.94</v>
      </c>
      <c r="DP785" s="36">
        <v>49</v>
      </c>
      <c r="DQ785" s="36">
        <v>3269</v>
      </c>
      <c r="DR785" s="38">
        <v>255</v>
      </c>
      <c r="DS785" s="35">
        <v>8.4600000000000009</v>
      </c>
      <c r="DT785" s="36">
        <v>209</v>
      </c>
      <c r="DU785" s="38">
        <v>18</v>
      </c>
      <c r="DV785" s="35">
        <v>9.42</v>
      </c>
      <c r="DW785" s="36">
        <v>333</v>
      </c>
      <c r="DX785" s="39">
        <v>2</v>
      </c>
      <c r="DY785" s="35">
        <v>0.6</v>
      </c>
      <c r="DZ785" s="28" t="s">
        <v>178</v>
      </c>
      <c r="EA785" s="34">
        <v>43588</v>
      </c>
      <c r="EB785" s="29">
        <v>145.71</v>
      </c>
      <c r="EC785" s="34">
        <v>43577</v>
      </c>
      <c r="ED785" s="28" t="s">
        <v>205</v>
      </c>
      <c r="EE785" s="40" t="str">
        <f>HYPERLINK("https://my.pitchbook.com?c=126596-71", "View company online")</f>
        <v>View company online</v>
      </c>
    </row>
    <row r="786" spans="1:135">
      <c r="A786" s="15" t="s">
        <v>15655</v>
      </c>
      <c r="B786" s="15" t="s">
        <v>15656</v>
      </c>
      <c r="C786" s="15" t="s">
        <v>15657</v>
      </c>
      <c r="D786" s="15" t="s">
        <v>138</v>
      </c>
      <c r="E786" s="15" t="s">
        <v>15658</v>
      </c>
      <c r="F786" s="15" t="s">
        <v>15655</v>
      </c>
      <c r="G786" s="15" t="s">
        <v>15659</v>
      </c>
      <c r="H786" s="15" t="s">
        <v>322</v>
      </c>
      <c r="I786" s="15" t="s">
        <v>323</v>
      </c>
      <c r="J786" s="15" t="s">
        <v>1235</v>
      </c>
      <c r="K786" s="15" t="s">
        <v>8952</v>
      </c>
      <c r="L786" s="15" t="s">
        <v>415</v>
      </c>
      <c r="M786" s="15" t="s">
        <v>15660</v>
      </c>
      <c r="N786" s="15" t="s">
        <v>147</v>
      </c>
      <c r="O786" s="17">
        <v>151.55000000000001</v>
      </c>
      <c r="P786" s="15" t="s">
        <v>148</v>
      </c>
      <c r="Q786" s="15" t="s">
        <v>149</v>
      </c>
      <c r="R786" s="15" t="s">
        <v>244</v>
      </c>
      <c r="S786" s="15" t="s">
        <v>15661</v>
      </c>
      <c r="T786" s="18">
        <v>400</v>
      </c>
      <c r="U786" s="15" t="s">
        <v>15662</v>
      </c>
      <c r="V786" s="15" t="s">
        <v>138</v>
      </c>
      <c r="W786" s="15" t="s">
        <v>138</v>
      </c>
      <c r="X786" s="19">
        <v>2009</v>
      </c>
      <c r="Y786" s="15" t="s">
        <v>138</v>
      </c>
      <c r="Z786" s="15" t="s">
        <v>138</v>
      </c>
      <c r="AA786" s="15" t="s">
        <v>138</v>
      </c>
      <c r="AB786" s="20">
        <v>7.6</v>
      </c>
      <c r="AC786" s="20" t="s">
        <v>138</v>
      </c>
      <c r="AD786" s="20" t="s">
        <v>138</v>
      </c>
      <c r="AE786" s="20" t="s">
        <v>138</v>
      </c>
      <c r="AF786" s="20" t="s">
        <v>138</v>
      </c>
      <c r="AG786" s="15" t="s">
        <v>2214</v>
      </c>
      <c r="AH786" s="20" t="s">
        <v>138</v>
      </c>
      <c r="AI786" s="20" t="s">
        <v>138</v>
      </c>
      <c r="AJ786" s="20" t="s">
        <v>138</v>
      </c>
      <c r="AK786" s="15" t="s">
        <v>15663</v>
      </c>
      <c r="AL786" s="15" t="s">
        <v>15664</v>
      </c>
      <c r="AM786" s="15" t="s">
        <v>2878</v>
      </c>
      <c r="AN786" s="15" t="s">
        <v>15665</v>
      </c>
      <c r="AO786" s="15" t="s">
        <v>15666</v>
      </c>
      <c r="AP786" s="15" t="s">
        <v>665</v>
      </c>
      <c r="AQ786" s="15" t="s">
        <v>15667</v>
      </c>
      <c r="AR786" s="15" t="s">
        <v>158</v>
      </c>
      <c r="AS786" s="15" t="s">
        <v>668</v>
      </c>
      <c r="AT786" s="15" t="s">
        <v>200</v>
      </c>
      <c r="AU786" s="15" t="s">
        <v>669</v>
      </c>
      <c r="AV786" s="15" t="s">
        <v>162</v>
      </c>
      <c r="AW786" s="15" t="s">
        <v>15666</v>
      </c>
      <c r="AX786" s="15" t="s">
        <v>138</v>
      </c>
      <c r="AY786" s="15" t="s">
        <v>15668</v>
      </c>
      <c r="AZ786" s="15" t="s">
        <v>164</v>
      </c>
      <c r="BA786" s="15" t="s">
        <v>165</v>
      </c>
      <c r="BB786" s="15" t="s">
        <v>15669</v>
      </c>
      <c r="BC786" s="15" t="s">
        <v>15670</v>
      </c>
      <c r="BD786" s="21">
        <v>42</v>
      </c>
      <c r="BE786" s="15" t="s">
        <v>138</v>
      </c>
      <c r="BF786" s="15" t="s">
        <v>15671</v>
      </c>
      <c r="BG786" s="15" t="s">
        <v>138</v>
      </c>
      <c r="BH786" s="15" t="s">
        <v>15672</v>
      </c>
      <c r="BI786" s="15" t="s">
        <v>15673</v>
      </c>
      <c r="BJ786" s="15" t="s">
        <v>138</v>
      </c>
      <c r="BK786" s="15" t="s">
        <v>15674</v>
      </c>
      <c r="BL786" s="15" t="s">
        <v>15675</v>
      </c>
      <c r="BM786" s="22">
        <v>40179</v>
      </c>
      <c r="BN786" s="17">
        <v>0.12</v>
      </c>
      <c r="BO786" s="15" t="s">
        <v>172</v>
      </c>
      <c r="BP786" s="17">
        <v>1.71</v>
      </c>
      <c r="BQ786" s="15" t="s">
        <v>172</v>
      </c>
      <c r="BR786" s="15" t="s">
        <v>316</v>
      </c>
      <c r="BS786" s="15" t="s">
        <v>138</v>
      </c>
      <c r="BT786" s="15" t="s">
        <v>138</v>
      </c>
      <c r="BU786" s="15" t="s">
        <v>177</v>
      </c>
      <c r="BV786" s="15" t="s">
        <v>138</v>
      </c>
      <c r="BW786" s="15" t="s">
        <v>138</v>
      </c>
      <c r="BX786" s="15" t="s">
        <v>138</v>
      </c>
      <c r="BY786" s="15" t="s">
        <v>175</v>
      </c>
      <c r="BZ786" s="22" t="s">
        <v>138</v>
      </c>
      <c r="CA786" s="17" t="s">
        <v>138</v>
      </c>
      <c r="CB786" s="15" t="s">
        <v>138</v>
      </c>
      <c r="CC786" s="17" t="s">
        <v>138</v>
      </c>
      <c r="CD786" s="15" t="s">
        <v>138</v>
      </c>
      <c r="CE786" s="15" t="s">
        <v>379</v>
      </c>
      <c r="CF786" s="15" t="s">
        <v>138</v>
      </c>
      <c r="CG786" s="15" t="s">
        <v>138</v>
      </c>
      <c r="CH786" s="15" t="s">
        <v>174</v>
      </c>
      <c r="CI786" s="15" t="s">
        <v>138</v>
      </c>
      <c r="CJ786" s="15" t="s">
        <v>138</v>
      </c>
      <c r="CK786" s="15" t="s">
        <v>138</v>
      </c>
      <c r="CL786" s="15" t="s">
        <v>175</v>
      </c>
      <c r="CM786" s="22">
        <v>42979</v>
      </c>
      <c r="CN786" s="17" t="s">
        <v>138</v>
      </c>
      <c r="CO786" s="23">
        <v>0.49</v>
      </c>
      <c r="CP786" s="24">
        <v>95</v>
      </c>
      <c r="CQ786" s="23">
        <v>-0.01</v>
      </c>
      <c r="CR786" s="23">
        <v>-1.26</v>
      </c>
      <c r="CS786" s="23">
        <v>0.92</v>
      </c>
      <c r="CT786" s="24">
        <v>96</v>
      </c>
      <c r="CU786" s="23">
        <v>0.06</v>
      </c>
      <c r="CV786" s="24">
        <v>60</v>
      </c>
      <c r="CW786" s="23">
        <v>2.66</v>
      </c>
      <c r="CX786" s="24">
        <v>90</v>
      </c>
      <c r="CY786" s="23">
        <v>-0.82</v>
      </c>
      <c r="CZ786" s="24">
        <v>20</v>
      </c>
      <c r="DA786" s="23">
        <v>0.05</v>
      </c>
      <c r="DB786" s="24">
        <v>64</v>
      </c>
      <c r="DC786" s="25">
        <v>198.03</v>
      </c>
      <c r="DD786" s="24">
        <v>100</v>
      </c>
      <c r="DE786" s="25">
        <v>-5.39</v>
      </c>
      <c r="DF786" s="23">
        <v>-2.65</v>
      </c>
      <c r="DG786" s="25">
        <v>348.01</v>
      </c>
      <c r="DH786" s="24">
        <v>100</v>
      </c>
      <c r="DI786" s="25">
        <v>48.05</v>
      </c>
      <c r="DJ786" s="24">
        <v>95</v>
      </c>
      <c r="DK786" s="25">
        <v>184.92</v>
      </c>
      <c r="DL786" s="24">
        <v>99</v>
      </c>
      <c r="DM786" s="25">
        <v>511.1</v>
      </c>
      <c r="DN786" s="24">
        <v>100</v>
      </c>
      <c r="DO786" s="25">
        <v>84.07</v>
      </c>
      <c r="DP786" s="24">
        <v>98</v>
      </c>
      <c r="DQ786" s="24">
        <v>61998</v>
      </c>
      <c r="DR786" s="26">
        <v>4285</v>
      </c>
      <c r="DS786" s="23">
        <v>7.42</v>
      </c>
      <c r="DT786" s="24">
        <v>14802</v>
      </c>
      <c r="DU786" s="26">
        <v>55</v>
      </c>
      <c r="DV786" s="23">
        <v>0.37</v>
      </c>
      <c r="DW786" s="24">
        <v>30084</v>
      </c>
      <c r="DX786" s="27">
        <v>19</v>
      </c>
      <c r="DY786" s="23">
        <v>0.06</v>
      </c>
      <c r="DZ786" s="15" t="s">
        <v>178</v>
      </c>
      <c r="EA786" s="22">
        <v>43622</v>
      </c>
      <c r="EB786" s="17">
        <v>585</v>
      </c>
      <c r="EC786" s="22">
        <v>42290</v>
      </c>
      <c r="ED786" s="15" t="s">
        <v>173</v>
      </c>
      <c r="EE786" s="14" t="str">
        <f>HYPERLINK("https://my.pitchbook.com?c=51283-54", "View company online")</f>
        <v>View company online</v>
      </c>
    </row>
    <row r="787" spans="1:135">
      <c r="A787" s="28" t="s">
        <v>15676</v>
      </c>
      <c r="B787" s="28" t="s">
        <v>15677</v>
      </c>
      <c r="C787" s="28" t="s">
        <v>138</v>
      </c>
      <c r="D787" s="28" t="s">
        <v>138</v>
      </c>
      <c r="E787" s="28" t="s">
        <v>15678</v>
      </c>
      <c r="F787" s="28" t="s">
        <v>15676</v>
      </c>
      <c r="G787" s="28" t="s">
        <v>15679</v>
      </c>
      <c r="H787" s="28" t="s">
        <v>322</v>
      </c>
      <c r="I787" s="28" t="s">
        <v>323</v>
      </c>
      <c r="J787" s="28" t="s">
        <v>413</v>
      </c>
      <c r="K787" s="28" t="s">
        <v>15680</v>
      </c>
      <c r="L787" s="28" t="s">
        <v>215</v>
      </c>
      <c r="M787" s="28" t="s">
        <v>15681</v>
      </c>
      <c r="N787" s="28" t="s">
        <v>147</v>
      </c>
      <c r="O787" s="29">
        <v>54.5</v>
      </c>
      <c r="P787" s="28" t="s">
        <v>148</v>
      </c>
      <c r="Q787" s="28" t="s">
        <v>149</v>
      </c>
      <c r="R787" s="28" t="s">
        <v>174</v>
      </c>
      <c r="S787" s="28" t="s">
        <v>15682</v>
      </c>
      <c r="T787" s="30">
        <v>75</v>
      </c>
      <c r="U787" s="28" t="s">
        <v>15683</v>
      </c>
      <c r="V787" s="28" t="s">
        <v>138</v>
      </c>
      <c r="W787" s="28" t="s">
        <v>138</v>
      </c>
      <c r="X787" s="31">
        <v>2011</v>
      </c>
      <c r="Y787" s="28" t="s">
        <v>138</v>
      </c>
      <c r="Z787" s="28" t="s">
        <v>138</v>
      </c>
      <c r="AA787" s="28" t="s">
        <v>138</v>
      </c>
      <c r="AB787" s="32" t="s">
        <v>138</v>
      </c>
      <c r="AC787" s="32" t="s">
        <v>138</v>
      </c>
      <c r="AD787" s="32" t="s">
        <v>138</v>
      </c>
      <c r="AE787" s="32" t="s">
        <v>138</v>
      </c>
      <c r="AF787" s="32" t="s">
        <v>138</v>
      </c>
      <c r="AG787" s="28" t="s">
        <v>138</v>
      </c>
      <c r="AH787" s="32" t="s">
        <v>138</v>
      </c>
      <c r="AI787" s="32" t="s">
        <v>138</v>
      </c>
      <c r="AJ787" s="32" t="s">
        <v>138</v>
      </c>
      <c r="AK787" s="28" t="s">
        <v>15684</v>
      </c>
      <c r="AL787" s="28" t="s">
        <v>15685</v>
      </c>
      <c r="AM787" s="28" t="s">
        <v>304</v>
      </c>
      <c r="AN787" s="28" t="s">
        <v>15686</v>
      </c>
      <c r="AO787" s="28" t="s">
        <v>15687</v>
      </c>
      <c r="AP787" s="28" t="s">
        <v>5697</v>
      </c>
      <c r="AQ787" s="28" t="s">
        <v>15688</v>
      </c>
      <c r="AR787" s="28" t="s">
        <v>138</v>
      </c>
      <c r="AS787" s="28" t="s">
        <v>5700</v>
      </c>
      <c r="AT787" s="28" t="s">
        <v>138</v>
      </c>
      <c r="AU787" s="28" t="s">
        <v>138</v>
      </c>
      <c r="AV787" s="28" t="s">
        <v>740</v>
      </c>
      <c r="AW787" s="28" t="s">
        <v>15687</v>
      </c>
      <c r="AX787" s="28" t="s">
        <v>15689</v>
      </c>
      <c r="AY787" s="28" t="s">
        <v>15690</v>
      </c>
      <c r="AZ787" s="28" t="s">
        <v>742</v>
      </c>
      <c r="BA787" s="28" t="s">
        <v>742</v>
      </c>
      <c r="BB787" s="28" t="s">
        <v>15691</v>
      </c>
      <c r="BC787" s="28" t="s">
        <v>15692</v>
      </c>
      <c r="BD787" s="33">
        <v>8</v>
      </c>
      <c r="BE787" s="28" t="s">
        <v>138</v>
      </c>
      <c r="BF787" s="28" t="s">
        <v>138</v>
      </c>
      <c r="BG787" s="28" t="s">
        <v>138</v>
      </c>
      <c r="BH787" s="28" t="s">
        <v>15693</v>
      </c>
      <c r="BI787" s="28" t="s">
        <v>138</v>
      </c>
      <c r="BJ787" s="28" t="s">
        <v>138</v>
      </c>
      <c r="BK787" s="28" t="s">
        <v>138</v>
      </c>
      <c r="BL787" s="28" t="s">
        <v>138</v>
      </c>
      <c r="BM787" s="34" t="s">
        <v>138</v>
      </c>
      <c r="BN787" s="29">
        <v>2.5</v>
      </c>
      <c r="BO787" s="28" t="s">
        <v>172</v>
      </c>
      <c r="BP787" s="29" t="s">
        <v>138</v>
      </c>
      <c r="BQ787" s="28" t="s">
        <v>138</v>
      </c>
      <c r="BR787" s="28" t="s">
        <v>262</v>
      </c>
      <c r="BS787" s="28" t="s">
        <v>262</v>
      </c>
      <c r="BT787" s="28" t="s">
        <v>138</v>
      </c>
      <c r="BU787" s="28" t="s">
        <v>263</v>
      </c>
      <c r="BV787" s="28" t="s">
        <v>138</v>
      </c>
      <c r="BW787" s="28" t="s">
        <v>138</v>
      </c>
      <c r="BX787" s="28" t="s">
        <v>138</v>
      </c>
      <c r="BY787" s="28" t="s">
        <v>175</v>
      </c>
      <c r="BZ787" s="34">
        <v>43446</v>
      </c>
      <c r="CA787" s="29">
        <v>40</v>
      </c>
      <c r="CB787" s="28" t="s">
        <v>172</v>
      </c>
      <c r="CC787" s="29" t="s">
        <v>138</v>
      </c>
      <c r="CD787" s="28" t="s">
        <v>138</v>
      </c>
      <c r="CE787" s="28" t="s">
        <v>173</v>
      </c>
      <c r="CF787" s="28" t="s">
        <v>720</v>
      </c>
      <c r="CG787" s="28" t="s">
        <v>138</v>
      </c>
      <c r="CH787" s="28" t="s">
        <v>174</v>
      </c>
      <c r="CI787" s="28" t="s">
        <v>138</v>
      </c>
      <c r="CJ787" s="28" t="s">
        <v>138</v>
      </c>
      <c r="CK787" s="28" t="s">
        <v>138</v>
      </c>
      <c r="CL787" s="28" t="s">
        <v>175</v>
      </c>
      <c r="CM787" s="34" t="s">
        <v>138</v>
      </c>
      <c r="CN787" s="29" t="s">
        <v>138</v>
      </c>
      <c r="CO787" s="35">
        <v>0.91</v>
      </c>
      <c r="CP787" s="36">
        <v>97</v>
      </c>
      <c r="CQ787" s="35">
        <v>0</v>
      </c>
      <c r="CR787" s="35">
        <v>-0.39</v>
      </c>
      <c r="CS787" s="35" t="s">
        <v>138</v>
      </c>
      <c r="CT787" s="36" t="s">
        <v>138</v>
      </c>
      <c r="CU787" s="35">
        <v>0.95</v>
      </c>
      <c r="CV787" s="36">
        <v>98</v>
      </c>
      <c r="CW787" s="35" t="s">
        <v>138</v>
      </c>
      <c r="CX787" s="36" t="s">
        <v>138</v>
      </c>
      <c r="CY787" s="35" t="s">
        <v>138</v>
      </c>
      <c r="CZ787" s="36" t="s">
        <v>138</v>
      </c>
      <c r="DA787" s="35">
        <v>1.41</v>
      </c>
      <c r="DB787" s="36">
        <v>99</v>
      </c>
      <c r="DC787" s="37">
        <v>0.38</v>
      </c>
      <c r="DD787" s="36">
        <v>27</v>
      </c>
      <c r="DE787" s="37">
        <v>0</v>
      </c>
      <c r="DF787" s="35">
        <v>0.16</v>
      </c>
      <c r="DG787" s="37" t="s">
        <v>138</v>
      </c>
      <c r="DH787" s="36" t="s">
        <v>138</v>
      </c>
      <c r="DI787" s="37">
        <v>0.63</v>
      </c>
      <c r="DJ787" s="36">
        <v>40</v>
      </c>
      <c r="DK787" s="37" t="s">
        <v>138</v>
      </c>
      <c r="DL787" s="36" t="s">
        <v>138</v>
      </c>
      <c r="DM787" s="37" t="s">
        <v>138</v>
      </c>
      <c r="DN787" s="36" t="s">
        <v>138</v>
      </c>
      <c r="DO787" s="37">
        <v>0.57999999999999996</v>
      </c>
      <c r="DP787" s="36">
        <v>40</v>
      </c>
      <c r="DQ787" s="36" t="s">
        <v>138</v>
      </c>
      <c r="DR787" s="38" t="s">
        <v>138</v>
      </c>
      <c r="DS787" s="35" t="s">
        <v>138</v>
      </c>
      <c r="DT787" s="36" t="s">
        <v>138</v>
      </c>
      <c r="DU787" s="38" t="s">
        <v>138</v>
      </c>
      <c r="DV787" s="35" t="s">
        <v>138</v>
      </c>
      <c r="DW787" s="36">
        <v>209</v>
      </c>
      <c r="DX787" s="39">
        <v>2</v>
      </c>
      <c r="DY787" s="35">
        <v>0.97</v>
      </c>
      <c r="DZ787" s="28" t="s">
        <v>178</v>
      </c>
      <c r="EA787" s="34">
        <v>43622</v>
      </c>
      <c r="EB787" s="29" t="s">
        <v>138</v>
      </c>
      <c r="EC787" s="34" t="s">
        <v>138</v>
      </c>
      <c r="ED787" s="28" t="s">
        <v>138</v>
      </c>
      <c r="EE787" s="40" t="str">
        <f>HYPERLINK("https://my.pitchbook.com?c=104125-78", "View company online")</f>
        <v>View company online</v>
      </c>
    </row>
    <row r="788" spans="1:135">
      <c r="A788" s="15" t="s">
        <v>15694</v>
      </c>
      <c r="B788" s="15" t="s">
        <v>15695</v>
      </c>
      <c r="C788" s="15" t="s">
        <v>15696</v>
      </c>
      <c r="D788" s="15" t="s">
        <v>138</v>
      </c>
      <c r="E788" s="15" t="s">
        <v>15697</v>
      </c>
      <c r="F788" s="15" t="s">
        <v>15694</v>
      </c>
      <c r="G788" s="15" t="s">
        <v>15698</v>
      </c>
      <c r="H788" s="15" t="s">
        <v>322</v>
      </c>
      <c r="I788" s="15" t="s">
        <v>323</v>
      </c>
      <c r="J788" s="15" t="s">
        <v>413</v>
      </c>
      <c r="K788" s="15" t="s">
        <v>15699</v>
      </c>
      <c r="L788" s="15" t="s">
        <v>2043</v>
      </c>
      <c r="M788" s="15" t="s">
        <v>15700</v>
      </c>
      <c r="N788" s="15" t="s">
        <v>147</v>
      </c>
      <c r="O788" s="17">
        <v>85.1</v>
      </c>
      <c r="P788" s="15" t="s">
        <v>812</v>
      </c>
      <c r="Q788" s="15" t="s">
        <v>149</v>
      </c>
      <c r="R788" s="15" t="s">
        <v>174</v>
      </c>
      <c r="S788" s="15" t="s">
        <v>15701</v>
      </c>
      <c r="T788" s="18">
        <v>368</v>
      </c>
      <c r="U788" s="15" t="s">
        <v>15702</v>
      </c>
      <c r="V788" s="15" t="s">
        <v>138</v>
      </c>
      <c r="W788" s="15" t="s">
        <v>138</v>
      </c>
      <c r="X788" s="19">
        <v>1998</v>
      </c>
      <c r="Y788" s="15" t="s">
        <v>138</v>
      </c>
      <c r="Z788" s="15" t="s">
        <v>138</v>
      </c>
      <c r="AA788" s="15" t="s">
        <v>138</v>
      </c>
      <c r="AB788" s="20">
        <v>170</v>
      </c>
      <c r="AC788" s="20" t="s">
        <v>138</v>
      </c>
      <c r="AD788" s="20" t="s">
        <v>138</v>
      </c>
      <c r="AE788" s="20" t="s">
        <v>138</v>
      </c>
      <c r="AF788" s="20" t="s">
        <v>138</v>
      </c>
      <c r="AG788" s="15" t="s">
        <v>419</v>
      </c>
      <c r="AH788" s="20" t="s">
        <v>138</v>
      </c>
      <c r="AI788" s="20" t="s">
        <v>138</v>
      </c>
      <c r="AJ788" s="20" t="s">
        <v>138</v>
      </c>
      <c r="AK788" s="15" t="s">
        <v>15703</v>
      </c>
      <c r="AL788" s="15" t="s">
        <v>15704</v>
      </c>
      <c r="AM788" s="15" t="s">
        <v>15705</v>
      </c>
      <c r="AN788" s="15" t="s">
        <v>15706</v>
      </c>
      <c r="AO788" s="15" t="s">
        <v>15707</v>
      </c>
      <c r="AP788" s="15" t="s">
        <v>4876</v>
      </c>
      <c r="AQ788" s="15" t="s">
        <v>15708</v>
      </c>
      <c r="AR788" s="15" t="s">
        <v>713</v>
      </c>
      <c r="AS788" s="15" t="s">
        <v>4878</v>
      </c>
      <c r="AT788" s="15" t="s">
        <v>200</v>
      </c>
      <c r="AU788" s="15" t="s">
        <v>11529</v>
      </c>
      <c r="AV788" s="15" t="s">
        <v>162</v>
      </c>
      <c r="AW788" s="15" t="s">
        <v>15707</v>
      </c>
      <c r="AX788" s="15" t="s">
        <v>138</v>
      </c>
      <c r="AY788" s="15" t="s">
        <v>138</v>
      </c>
      <c r="AZ788" s="15" t="s">
        <v>164</v>
      </c>
      <c r="BA788" s="15" t="s">
        <v>165</v>
      </c>
      <c r="BB788" s="15" t="s">
        <v>15709</v>
      </c>
      <c r="BC788" s="15" t="s">
        <v>15710</v>
      </c>
      <c r="BD788" s="21">
        <v>29</v>
      </c>
      <c r="BE788" s="15" t="s">
        <v>138</v>
      </c>
      <c r="BF788" s="15" t="s">
        <v>15711</v>
      </c>
      <c r="BG788" s="15" t="s">
        <v>138</v>
      </c>
      <c r="BH788" s="15" t="s">
        <v>15712</v>
      </c>
      <c r="BI788" s="15" t="s">
        <v>15713</v>
      </c>
      <c r="BJ788" s="15" t="s">
        <v>138</v>
      </c>
      <c r="BK788" s="15" t="s">
        <v>15714</v>
      </c>
      <c r="BL788" s="15" t="s">
        <v>15715</v>
      </c>
      <c r="BM788" s="22">
        <v>39246</v>
      </c>
      <c r="BN788" s="17">
        <v>5</v>
      </c>
      <c r="BO788" s="15" t="s">
        <v>172</v>
      </c>
      <c r="BP788" s="17" t="s">
        <v>138</v>
      </c>
      <c r="BQ788" s="15" t="s">
        <v>138</v>
      </c>
      <c r="BR788" s="15" t="s">
        <v>205</v>
      </c>
      <c r="BS788" s="15" t="s">
        <v>206</v>
      </c>
      <c r="BT788" s="15" t="s">
        <v>138</v>
      </c>
      <c r="BU788" s="15" t="s">
        <v>174</v>
      </c>
      <c r="BV788" s="15" t="s">
        <v>138</v>
      </c>
      <c r="BW788" s="15" t="s">
        <v>138</v>
      </c>
      <c r="BX788" s="15" t="s">
        <v>138</v>
      </c>
      <c r="BY788" s="15" t="s">
        <v>175</v>
      </c>
      <c r="BZ788" s="22">
        <v>42005</v>
      </c>
      <c r="CA788" s="17" t="s">
        <v>138</v>
      </c>
      <c r="CB788" s="15" t="s">
        <v>138</v>
      </c>
      <c r="CC788" s="17" t="s">
        <v>138</v>
      </c>
      <c r="CD788" s="15" t="s">
        <v>138</v>
      </c>
      <c r="CE788" s="15" t="s">
        <v>379</v>
      </c>
      <c r="CF788" s="15" t="s">
        <v>138</v>
      </c>
      <c r="CG788" s="15" t="s">
        <v>138</v>
      </c>
      <c r="CH788" s="15" t="s">
        <v>174</v>
      </c>
      <c r="CI788" s="15" t="s">
        <v>138</v>
      </c>
      <c r="CJ788" s="15" t="s">
        <v>138</v>
      </c>
      <c r="CK788" s="15" t="s">
        <v>138</v>
      </c>
      <c r="CL788" s="15" t="s">
        <v>175</v>
      </c>
      <c r="CM788" s="22" t="s">
        <v>138</v>
      </c>
      <c r="CN788" s="17" t="s">
        <v>138</v>
      </c>
      <c r="CO788" s="23">
        <v>0.45</v>
      </c>
      <c r="CP788" s="24">
        <v>95</v>
      </c>
      <c r="CQ788" s="23">
        <v>-0.02</v>
      </c>
      <c r="CR788" s="23">
        <v>-4.0599999999999996</v>
      </c>
      <c r="CS788" s="23">
        <v>0.87</v>
      </c>
      <c r="CT788" s="24">
        <v>96</v>
      </c>
      <c r="CU788" s="23">
        <v>0.03</v>
      </c>
      <c r="CV788" s="24">
        <v>54</v>
      </c>
      <c r="CW788" s="23">
        <v>2.73</v>
      </c>
      <c r="CX788" s="24">
        <v>90</v>
      </c>
      <c r="CY788" s="23">
        <v>-1</v>
      </c>
      <c r="CZ788" s="24">
        <v>19</v>
      </c>
      <c r="DA788" s="23">
        <v>0.03</v>
      </c>
      <c r="DB788" s="24">
        <v>60</v>
      </c>
      <c r="DC788" s="25">
        <v>75.36</v>
      </c>
      <c r="DD788" s="24">
        <v>99</v>
      </c>
      <c r="DE788" s="25">
        <v>-0.37</v>
      </c>
      <c r="DF788" s="23">
        <v>-0.49</v>
      </c>
      <c r="DG788" s="25">
        <v>102.39</v>
      </c>
      <c r="DH788" s="24">
        <v>99</v>
      </c>
      <c r="DI788" s="25">
        <v>48.33</v>
      </c>
      <c r="DJ788" s="24">
        <v>95</v>
      </c>
      <c r="DK788" s="25">
        <v>20.55</v>
      </c>
      <c r="DL788" s="24">
        <v>92</v>
      </c>
      <c r="DM788" s="25">
        <v>184.24</v>
      </c>
      <c r="DN788" s="24">
        <v>100</v>
      </c>
      <c r="DO788" s="25">
        <v>48.33</v>
      </c>
      <c r="DP788" s="24">
        <v>96</v>
      </c>
      <c r="DQ788" s="24">
        <v>6955</v>
      </c>
      <c r="DR788" s="26">
        <v>275</v>
      </c>
      <c r="DS788" s="23">
        <v>4.12</v>
      </c>
      <c r="DT788" s="24">
        <v>5335</v>
      </c>
      <c r="DU788" s="26">
        <v>22</v>
      </c>
      <c r="DV788" s="23">
        <v>0.41</v>
      </c>
      <c r="DW788" s="24">
        <v>17298</v>
      </c>
      <c r="DX788" s="27">
        <v>-6</v>
      </c>
      <c r="DY788" s="23">
        <v>-0.03</v>
      </c>
      <c r="DZ788" s="15" t="s">
        <v>178</v>
      </c>
      <c r="EA788" s="22">
        <v>43622</v>
      </c>
      <c r="EB788" s="17" t="s">
        <v>138</v>
      </c>
      <c r="EC788" s="22" t="s">
        <v>138</v>
      </c>
      <c r="ED788" s="15" t="s">
        <v>138</v>
      </c>
      <c r="EE788" s="14" t="str">
        <f>HYPERLINK("https://my.pitchbook.com?c=50933-89", "View company online")</f>
        <v>View company online</v>
      </c>
    </row>
    <row r="789" spans="1:135">
      <c r="A789" s="28" t="s">
        <v>15716</v>
      </c>
      <c r="B789" s="28" t="s">
        <v>15717</v>
      </c>
      <c r="C789" s="28" t="s">
        <v>138</v>
      </c>
      <c r="D789" s="28" t="s">
        <v>138</v>
      </c>
      <c r="E789" s="28" t="s">
        <v>138</v>
      </c>
      <c r="F789" s="28" t="s">
        <v>15716</v>
      </c>
      <c r="G789" s="28" t="s">
        <v>15718</v>
      </c>
      <c r="H789" s="28" t="s">
        <v>322</v>
      </c>
      <c r="I789" s="28" t="s">
        <v>323</v>
      </c>
      <c r="J789" s="28" t="s">
        <v>413</v>
      </c>
      <c r="K789" s="28" t="s">
        <v>2254</v>
      </c>
      <c r="L789" s="28" t="s">
        <v>15719</v>
      </c>
      <c r="M789" s="28" t="s">
        <v>15720</v>
      </c>
      <c r="N789" s="28" t="s">
        <v>147</v>
      </c>
      <c r="O789" s="29">
        <v>2.78</v>
      </c>
      <c r="P789" s="28" t="s">
        <v>189</v>
      </c>
      <c r="Q789" s="28" t="s">
        <v>149</v>
      </c>
      <c r="R789" s="28" t="s">
        <v>174</v>
      </c>
      <c r="S789" s="28" t="s">
        <v>15721</v>
      </c>
      <c r="T789" s="30" t="s">
        <v>138</v>
      </c>
      <c r="U789" s="28" t="s">
        <v>138</v>
      </c>
      <c r="V789" s="28" t="s">
        <v>138</v>
      </c>
      <c r="W789" s="28" t="s">
        <v>138</v>
      </c>
      <c r="X789" s="31">
        <v>2017</v>
      </c>
      <c r="Y789" s="28" t="s">
        <v>138</v>
      </c>
      <c r="Z789" s="28" t="s">
        <v>138</v>
      </c>
      <c r="AA789" s="28" t="s">
        <v>138</v>
      </c>
      <c r="AB789" s="32" t="s">
        <v>138</v>
      </c>
      <c r="AC789" s="32" t="s">
        <v>138</v>
      </c>
      <c r="AD789" s="32" t="s">
        <v>138</v>
      </c>
      <c r="AE789" s="32" t="s">
        <v>138</v>
      </c>
      <c r="AF789" s="32" t="s">
        <v>138</v>
      </c>
      <c r="AG789" s="28" t="s">
        <v>138</v>
      </c>
      <c r="AH789" s="32" t="s">
        <v>138</v>
      </c>
      <c r="AI789" s="32" t="s">
        <v>138</v>
      </c>
      <c r="AJ789" s="32" t="s">
        <v>138</v>
      </c>
      <c r="AK789" s="28" t="s">
        <v>15722</v>
      </c>
      <c r="AL789" s="28" t="s">
        <v>15723</v>
      </c>
      <c r="AM789" s="28" t="s">
        <v>4622</v>
      </c>
      <c r="AN789" s="28" t="s">
        <v>15724</v>
      </c>
      <c r="AO789" s="28" t="s">
        <v>15725</v>
      </c>
      <c r="AP789" s="28" t="s">
        <v>665</v>
      </c>
      <c r="AQ789" s="28" t="s">
        <v>15726</v>
      </c>
      <c r="AR789" s="28" t="s">
        <v>138</v>
      </c>
      <c r="AS789" s="28" t="s">
        <v>668</v>
      </c>
      <c r="AT789" s="28" t="s">
        <v>200</v>
      </c>
      <c r="AU789" s="28" t="s">
        <v>15727</v>
      </c>
      <c r="AV789" s="28" t="s">
        <v>162</v>
      </c>
      <c r="AW789" s="28" t="s">
        <v>15725</v>
      </c>
      <c r="AX789" s="28" t="s">
        <v>138</v>
      </c>
      <c r="AY789" s="28" t="s">
        <v>138</v>
      </c>
      <c r="AZ789" s="28" t="s">
        <v>164</v>
      </c>
      <c r="BA789" s="28" t="s">
        <v>165</v>
      </c>
      <c r="BB789" s="28" t="s">
        <v>15728</v>
      </c>
      <c r="BC789" s="28" t="s">
        <v>15729</v>
      </c>
      <c r="BD789" s="33">
        <v>9</v>
      </c>
      <c r="BE789" s="28" t="s">
        <v>138</v>
      </c>
      <c r="BF789" s="28" t="s">
        <v>138</v>
      </c>
      <c r="BG789" s="28" t="s">
        <v>138</v>
      </c>
      <c r="BH789" s="28" t="s">
        <v>15730</v>
      </c>
      <c r="BI789" s="28" t="s">
        <v>138</v>
      </c>
      <c r="BJ789" s="28" t="s">
        <v>138</v>
      </c>
      <c r="BK789" s="28" t="s">
        <v>1251</v>
      </c>
      <c r="BL789" s="28" t="s">
        <v>1251</v>
      </c>
      <c r="BM789" s="34">
        <v>43101</v>
      </c>
      <c r="BN789" s="29">
        <v>0.23</v>
      </c>
      <c r="BO789" s="28" t="s">
        <v>172</v>
      </c>
      <c r="BP789" s="29" t="s">
        <v>138</v>
      </c>
      <c r="BQ789" s="28" t="s">
        <v>138</v>
      </c>
      <c r="BR789" s="28" t="s">
        <v>176</v>
      </c>
      <c r="BS789" s="28" t="s">
        <v>138</v>
      </c>
      <c r="BT789" s="28" t="s">
        <v>138</v>
      </c>
      <c r="BU789" s="28" t="s">
        <v>177</v>
      </c>
      <c r="BV789" s="28" t="s">
        <v>138</v>
      </c>
      <c r="BW789" s="28" t="s">
        <v>138</v>
      </c>
      <c r="BX789" s="28" t="s">
        <v>138</v>
      </c>
      <c r="BY789" s="28" t="s">
        <v>175</v>
      </c>
      <c r="BZ789" s="34">
        <v>43282</v>
      </c>
      <c r="CA789" s="29">
        <v>2.78</v>
      </c>
      <c r="CB789" s="28" t="s">
        <v>172</v>
      </c>
      <c r="CC789" s="29">
        <v>13.92</v>
      </c>
      <c r="CD789" s="28" t="s">
        <v>1178</v>
      </c>
      <c r="CE789" s="28" t="s">
        <v>234</v>
      </c>
      <c r="CF789" s="28" t="s">
        <v>234</v>
      </c>
      <c r="CG789" s="28" t="s">
        <v>138</v>
      </c>
      <c r="CH789" s="28" t="s">
        <v>174</v>
      </c>
      <c r="CI789" s="28" t="s">
        <v>138</v>
      </c>
      <c r="CJ789" s="28" t="s">
        <v>138</v>
      </c>
      <c r="CK789" s="28" t="s">
        <v>138</v>
      </c>
      <c r="CL789" s="28" t="s">
        <v>175</v>
      </c>
      <c r="CM789" s="34" t="s">
        <v>138</v>
      </c>
      <c r="CN789" s="29" t="s">
        <v>138</v>
      </c>
      <c r="CO789" s="35">
        <v>0</v>
      </c>
      <c r="CP789" s="36">
        <v>26</v>
      </c>
      <c r="CQ789" s="35">
        <v>0</v>
      </c>
      <c r="CR789" s="35">
        <v>0</v>
      </c>
      <c r="CS789" s="35">
        <v>0</v>
      </c>
      <c r="CT789" s="36">
        <v>23</v>
      </c>
      <c r="CU789" s="35" t="s">
        <v>138</v>
      </c>
      <c r="CV789" s="36" t="s">
        <v>138</v>
      </c>
      <c r="CW789" s="35">
        <v>0</v>
      </c>
      <c r="CX789" s="36">
        <v>13</v>
      </c>
      <c r="CY789" s="35" t="s">
        <v>138</v>
      </c>
      <c r="CZ789" s="36" t="s">
        <v>138</v>
      </c>
      <c r="DA789" s="35" t="s">
        <v>138</v>
      </c>
      <c r="DB789" s="36" t="s">
        <v>138</v>
      </c>
      <c r="DC789" s="37">
        <v>0.88</v>
      </c>
      <c r="DD789" s="36">
        <v>48</v>
      </c>
      <c r="DE789" s="37">
        <v>-0.1</v>
      </c>
      <c r="DF789" s="35">
        <v>-10.5</v>
      </c>
      <c r="DG789" s="37">
        <v>1.64</v>
      </c>
      <c r="DH789" s="36">
        <v>63</v>
      </c>
      <c r="DI789" s="37" t="s">
        <v>138</v>
      </c>
      <c r="DJ789" s="36" t="s">
        <v>138</v>
      </c>
      <c r="DK789" s="37">
        <v>1.64</v>
      </c>
      <c r="DL789" s="36">
        <v>60</v>
      </c>
      <c r="DM789" s="37" t="s">
        <v>138</v>
      </c>
      <c r="DN789" s="36" t="s">
        <v>138</v>
      </c>
      <c r="DO789" s="37" t="s">
        <v>138</v>
      </c>
      <c r="DP789" s="36" t="s">
        <v>138</v>
      </c>
      <c r="DQ789" s="36">
        <v>559</v>
      </c>
      <c r="DR789" s="38">
        <v>12</v>
      </c>
      <c r="DS789" s="35">
        <v>2.19</v>
      </c>
      <c r="DT789" s="36" t="s">
        <v>138</v>
      </c>
      <c r="DU789" s="38" t="s">
        <v>138</v>
      </c>
      <c r="DV789" s="35" t="s">
        <v>138</v>
      </c>
      <c r="DW789" s="36" t="s">
        <v>138</v>
      </c>
      <c r="DX789" s="39" t="s">
        <v>138</v>
      </c>
      <c r="DY789" s="35" t="s">
        <v>138</v>
      </c>
      <c r="DZ789" s="28" t="s">
        <v>178</v>
      </c>
      <c r="EA789" s="34">
        <v>43622</v>
      </c>
      <c r="EB789" s="29">
        <v>13.92</v>
      </c>
      <c r="EC789" s="34">
        <v>43282</v>
      </c>
      <c r="ED789" s="28" t="s">
        <v>234</v>
      </c>
      <c r="EE789" s="40" t="str">
        <f>HYPERLINK("https://my.pitchbook.com?c=185815-81", "View company online")</f>
        <v>View company online</v>
      </c>
    </row>
    <row r="790" spans="1:135">
      <c r="A790" s="15" t="s">
        <v>15731</v>
      </c>
      <c r="B790" s="15" t="s">
        <v>15732</v>
      </c>
      <c r="C790" s="15" t="s">
        <v>138</v>
      </c>
      <c r="D790" s="15" t="s">
        <v>138</v>
      </c>
      <c r="E790" s="15" t="s">
        <v>15733</v>
      </c>
      <c r="F790" s="15" t="s">
        <v>15731</v>
      </c>
      <c r="G790" s="15" t="s">
        <v>15734</v>
      </c>
      <c r="H790" s="15" t="s">
        <v>890</v>
      </c>
      <c r="I790" s="15" t="s">
        <v>891</v>
      </c>
      <c r="J790" s="15" t="s">
        <v>891</v>
      </c>
      <c r="K790" s="15" t="s">
        <v>15735</v>
      </c>
      <c r="L790" s="15" t="s">
        <v>15736</v>
      </c>
      <c r="M790" s="15" t="s">
        <v>15737</v>
      </c>
      <c r="N790" s="15" t="s">
        <v>147</v>
      </c>
      <c r="O790" s="17">
        <v>49.21</v>
      </c>
      <c r="P790" s="15" t="s">
        <v>148</v>
      </c>
      <c r="Q790" s="15" t="s">
        <v>149</v>
      </c>
      <c r="R790" s="15" t="s">
        <v>174</v>
      </c>
      <c r="S790" s="15" t="s">
        <v>15738</v>
      </c>
      <c r="T790" s="18">
        <v>5</v>
      </c>
      <c r="U790" s="15" t="s">
        <v>15739</v>
      </c>
      <c r="V790" s="15" t="s">
        <v>138</v>
      </c>
      <c r="W790" s="15" t="s">
        <v>138</v>
      </c>
      <c r="X790" s="19">
        <v>2009</v>
      </c>
      <c r="Y790" s="15" t="s">
        <v>138</v>
      </c>
      <c r="Z790" s="15" t="s">
        <v>1163</v>
      </c>
      <c r="AA790" s="15" t="s">
        <v>1163</v>
      </c>
      <c r="AB790" s="20" t="s">
        <v>138</v>
      </c>
      <c r="AC790" s="20" t="s">
        <v>138</v>
      </c>
      <c r="AD790" s="20" t="s">
        <v>138</v>
      </c>
      <c r="AE790" s="20" t="s">
        <v>138</v>
      </c>
      <c r="AF790" s="20" t="s">
        <v>138</v>
      </c>
      <c r="AG790" s="15" t="s">
        <v>138</v>
      </c>
      <c r="AH790" s="20" t="s">
        <v>138</v>
      </c>
      <c r="AI790" s="20" t="s">
        <v>138</v>
      </c>
      <c r="AJ790" s="20" t="s">
        <v>138</v>
      </c>
      <c r="AK790" s="15" t="s">
        <v>15740</v>
      </c>
      <c r="AL790" s="15" t="s">
        <v>15741</v>
      </c>
      <c r="AM790" s="15" t="s">
        <v>2949</v>
      </c>
      <c r="AN790" s="15" t="s">
        <v>15742</v>
      </c>
      <c r="AO790" s="15" t="s">
        <v>15743</v>
      </c>
      <c r="AP790" s="15" t="s">
        <v>820</v>
      </c>
      <c r="AQ790" s="15" t="s">
        <v>15744</v>
      </c>
      <c r="AR790" s="15" t="s">
        <v>15745</v>
      </c>
      <c r="AS790" s="15" t="s">
        <v>823</v>
      </c>
      <c r="AT790" s="15" t="s">
        <v>824</v>
      </c>
      <c r="AU790" s="15" t="s">
        <v>15746</v>
      </c>
      <c r="AV790" s="15" t="s">
        <v>526</v>
      </c>
      <c r="AW790" s="15" t="s">
        <v>15743</v>
      </c>
      <c r="AX790" s="15" t="s">
        <v>138</v>
      </c>
      <c r="AY790" s="15" t="s">
        <v>15747</v>
      </c>
      <c r="AZ790" s="15" t="s">
        <v>530</v>
      </c>
      <c r="BA790" s="15" t="s">
        <v>531</v>
      </c>
      <c r="BB790" s="15" t="s">
        <v>15748</v>
      </c>
      <c r="BC790" s="15" t="s">
        <v>15749</v>
      </c>
      <c r="BD790" s="21">
        <v>9</v>
      </c>
      <c r="BE790" s="15" t="s">
        <v>138</v>
      </c>
      <c r="BF790" s="15" t="s">
        <v>138</v>
      </c>
      <c r="BG790" s="15" t="s">
        <v>138</v>
      </c>
      <c r="BH790" s="15" t="s">
        <v>15750</v>
      </c>
      <c r="BI790" s="15" t="s">
        <v>138</v>
      </c>
      <c r="BJ790" s="15" t="s">
        <v>138</v>
      </c>
      <c r="BK790" s="15" t="s">
        <v>1251</v>
      </c>
      <c r="BL790" s="15" t="s">
        <v>5299</v>
      </c>
      <c r="BM790" s="22">
        <v>40026</v>
      </c>
      <c r="BN790" s="17">
        <v>2.16</v>
      </c>
      <c r="BO790" s="15" t="s">
        <v>172</v>
      </c>
      <c r="BP790" s="17">
        <v>5.39</v>
      </c>
      <c r="BQ790" s="15" t="s">
        <v>172</v>
      </c>
      <c r="BR790" s="15" t="s">
        <v>205</v>
      </c>
      <c r="BS790" s="15" t="s">
        <v>206</v>
      </c>
      <c r="BT790" s="15" t="s">
        <v>138</v>
      </c>
      <c r="BU790" s="15" t="s">
        <v>174</v>
      </c>
      <c r="BV790" s="15" t="s">
        <v>138</v>
      </c>
      <c r="BW790" s="15" t="s">
        <v>138</v>
      </c>
      <c r="BX790" s="15" t="s">
        <v>138</v>
      </c>
      <c r="BY790" s="15" t="s">
        <v>175</v>
      </c>
      <c r="BZ790" s="22">
        <v>43558</v>
      </c>
      <c r="CA790" s="17">
        <v>10</v>
      </c>
      <c r="CB790" s="15" t="s">
        <v>172</v>
      </c>
      <c r="CC790" s="17" t="s">
        <v>138</v>
      </c>
      <c r="CD790" s="15" t="s">
        <v>138</v>
      </c>
      <c r="CE790" s="15" t="s">
        <v>173</v>
      </c>
      <c r="CF790" s="15" t="s">
        <v>138</v>
      </c>
      <c r="CG790" s="15" t="s">
        <v>138</v>
      </c>
      <c r="CH790" s="15" t="s">
        <v>174</v>
      </c>
      <c r="CI790" s="15" t="s">
        <v>138</v>
      </c>
      <c r="CJ790" s="15" t="s">
        <v>138</v>
      </c>
      <c r="CK790" s="15" t="s">
        <v>138</v>
      </c>
      <c r="CL790" s="15" t="s">
        <v>175</v>
      </c>
      <c r="CM790" s="22" t="s">
        <v>138</v>
      </c>
      <c r="CN790" s="17" t="s">
        <v>138</v>
      </c>
      <c r="CO790" s="23">
        <v>-0.69</v>
      </c>
      <c r="CP790" s="24">
        <v>14</v>
      </c>
      <c r="CQ790" s="23">
        <v>7.0000000000000007E-2</v>
      </c>
      <c r="CR790" s="23">
        <v>9.6</v>
      </c>
      <c r="CS790" s="23">
        <v>-1.55</v>
      </c>
      <c r="CT790" s="24">
        <v>11</v>
      </c>
      <c r="CU790" s="23">
        <v>0.17</v>
      </c>
      <c r="CV790" s="24">
        <v>77</v>
      </c>
      <c r="CW790" s="23">
        <v>0</v>
      </c>
      <c r="CX790" s="24">
        <v>13</v>
      </c>
      <c r="CY790" s="23">
        <v>-3.11</v>
      </c>
      <c r="CZ790" s="24">
        <v>7</v>
      </c>
      <c r="DA790" s="23">
        <v>0.17</v>
      </c>
      <c r="DB790" s="24">
        <v>80</v>
      </c>
      <c r="DC790" s="25">
        <v>4.95</v>
      </c>
      <c r="DD790" s="24">
        <v>83</v>
      </c>
      <c r="DE790" s="25">
        <v>0.06</v>
      </c>
      <c r="DF790" s="23">
        <v>1.1299999999999999</v>
      </c>
      <c r="DG790" s="25">
        <v>5.27</v>
      </c>
      <c r="DH790" s="24">
        <v>83</v>
      </c>
      <c r="DI790" s="25">
        <v>4.62</v>
      </c>
      <c r="DJ790" s="24">
        <v>76</v>
      </c>
      <c r="DK790" s="25">
        <v>0.23</v>
      </c>
      <c r="DL790" s="24">
        <v>19</v>
      </c>
      <c r="DM790" s="25">
        <v>10.31</v>
      </c>
      <c r="DN790" s="24">
        <v>89</v>
      </c>
      <c r="DO790" s="25">
        <v>4.62</v>
      </c>
      <c r="DP790" s="24">
        <v>78</v>
      </c>
      <c r="DQ790" s="24">
        <v>92</v>
      </c>
      <c r="DR790" s="26">
        <v>-38</v>
      </c>
      <c r="DS790" s="23">
        <v>-29.23</v>
      </c>
      <c r="DT790" s="24">
        <v>296</v>
      </c>
      <c r="DU790" s="26">
        <v>4</v>
      </c>
      <c r="DV790" s="23">
        <v>1.37</v>
      </c>
      <c r="DW790" s="24">
        <v>1652</v>
      </c>
      <c r="DX790" s="27">
        <v>9</v>
      </c>
      <c r="DY790" s="23">
        <v>0.55000000000000004</v>
      </c>
      <c r="DZ790" s="15" t="s">
        <v>178</v>
      </c>
      <c r="EA790" s="22">
        <v>43601</v>
      </c>
      <c r="EB790" s="17">
        <v>68.900000000000006</v>
      </c>
      <c r="EC790" s="22">
        <v>41129</v>
      </c>
      <c r="ED790" s="15" t="s">
        <v>173</v>
      </c>
      <c r="EE790" s="14" t="str">
        <f>HYPERLINK("https://my.pitchbook.com?c=51493-24", "View company online")</f>
        <v>View company online</v>
      </c>
    </row>
    <row r="791" spans="1:135">
      <c r="A791" s="28" t="s">
        <v>15751</v>
      </c>
      <c r="B791" s="28" t="s">
        <v>15752</v>
      </c>
      <c r="C791" s="28" t="s">
        <v>15753</v>
      </c>
      <c r="D791" s="28" t="s">
        <v>138</v>
      </c>
      <c r="E791" s="28" t="s">
        <v>15754</v>
      </c>
      <c r="F791" s="28" t="s">
        <v>15751</v>
      </c>
      <c r="G791" s="28" t="s">
        <v>15755</v>
      </c>
      <c r="H791" s="28" t="s">
        <v>322</v>
      </c>
      <c r="I791" s="28" t="s">
        <v>323</v>
      </c>
      <c r="J791" s="28" t="s">
        <v>324</v>
      </c>
      <c r="K791" s="28" t="s">
        <v>11795</v>
      </c>
      <c r="L791" s="28" t="s">
        <v>5101</v>
      </c>
      <c r="M791" s="28" t="s">
        <v>15756</v>
      </c>
      <c r="N791" s="28" t="s">
        <v>147</v>
      </c>
      <c r="O791" s="29">
        <v>24.61</v>
      </c>
      <c r="P791" s="28" t="s">
        <v>148</v>
      </c>
      <c r="Q791" s="28" t="s">
        <v>149</v>
      </c>
      <c r="R791" s="28" t="s">
        <v>174</v>
      </c>
      <c r="S791" s="28" t="s">
        <v>15757</v>
      </c>
      <c r="T791" s="30">
        <v>65</v>
      </c>
      <c r="U791" s="28" t="s">
        <v>15758</v>
      </c>
      <c r="V791" s="28" t="s">
        <v>138</v>
      </c>
      <c r="W791" s="28" t="s">
        <v>138</v>
      </c>
      <c r="X791" s="31">
        <v>2010</v>
      </c>
      <c r="Y791" s="28" t="s">
        <v>138</v>
      </c>
      <c r="Z791" s="28" t="s">
        <v>138</v>
      </c>
      <c r="AA791" s="28" t="s">
        <v>1163</v>
      </c>
      <c r="AB791" s="32" t="s">
        <v>138</v>
      </c>
      <c r="AC791" s="32" t="s">
        <v>138</v>
      </c>
      <c r="AD791" s="32" t="s">
        <v>138</v>
      </c>
      <c r="AE791" s="32" t="s">
        <v>138</v>
      </c>
      <c r="AF791" s="32" t="s">
        <v>138</v>
      </c>
      <c r="AG791" s="28" t="s">
        <v>138</v>
      </c>
      <c r="AH791" s="32" t="s">
        <v>138</v>
      </c>
      <c r="AI791" s="32" t="s">
        <v>138</v>
      </c>
      <c r="AJ791" s="32" t="s">
        <v>138</v>
      </c>
      <c r="AK791" s="28" t="s">
        <v>15759</v>
      </c>
      <c r="AL791" s="28" t="s">
        <v>15760</v>
      </c>
      <c r="AM791" s="28" t="s">
        <v>2949</v>
      </c>
      <c r="AN791" s="28" t="s">
        <v>15761</v>
      </c>
      <c r="AO791" s="28" t="s">
        <v>138</v>
      </c>
      <c r="AP791" s="28" t="s">
        <v>423</v>
      </c>
      <c r="AQ791" s="28" t="s">
        <v>7815</v>
      </c>
      <c r="AR791" s="28" t="s">
        <v>2245</v>
      </c>
      <c r="AS791" s="28" t="s">
        <v>426</v>
      </c>
      <c r="AT791" s="28" t="s">
        <v>426</v>
      </c>
      <c r="AU791" s="28" t="s">
        <v>2130</v>
      </c>
      <c r="AV791" s="28" t="s">
        <v>162</v>
      </c>
      <c r="AW791" s="28" t="s">
        <v>138</v>
      </c>
      <c r="AX791" s="28" t="s">
        <v>138</v>
      </c>
      <c r="AY791" s="28" t="s">
        <v>15762</v>
      </c>
      <c r="AZ791" s="28" t="s">
        <v>164</v>
      </c>
      <c r="BA791" s="28" t="s">
        <v>165</v>
      </c>
      <c r="BB791" s="28" t="s">
        <v>15763</v>
      </c>
      <c r="BC791" s="28" t="s">
        <v>15764</v>
      </c>
      <c r="BD791" s="33">
        <v>12</v>
      </c>
      <c r="BE791" s="28" t="s">
        <v>138</v>
      </c>
      <c r="BF791" s="28" t="s">
        <v>138</v>
      </c>
      <c r="BG791" s="28" t="s">
        <v>138</v>
      </c>
      <c r="BH791" s="28" t="s">
        <v>15765</v>
      </c>
      <c r="BI791" s="28" t="s">
        <v>138</v>
      </c>
      <c r="BJ791" s="28" t="s">
        <v>138</v>
      </c>
      <c r="BK791" s="28" t="s">
        <v>15766</v>
      </c>
      <c r="BL791" s="28" t="s">
        <v>1691</v>
      </c>
      <c r="BM791" s="34">
        <v>40675</v>
      </c>
      <c r="BN791" s="29">
        <v>0.75</v>
      </c>
      <c r="BO791" s="28" t="s">
        <v>172</v>
      </c>
      <c r="BP791" s="29">
        <v>5.05</v>
      </c>
      <c r="BQ791" s="28" t="s">
        <v>172</v>
      </c>
      <c r="BR791" s="28" t="s">
        <v>234</v>
      </c>
      <c r="BS791" s="28" t="s">
        <v>234</v>
      </c>
      <c r="BT791" s="28" t="s">
        <v>138</v>
      </c>
      <c r="BU791" s="28" t="s">
        <v>174</v>
      </c>
      <c r="BV791" s="28" t="s">
        <v>138</v>
      </c>
      <c r="BW791" s="28" t="s">
        <v>138</v>
      </c>
      <c r="BX791" s="28" t="s">
        <v>138</v>
      </c>
      <c r="BY791" s="28" t="s">
        <v>175</v>
      </c>
      <c r="BZ791" s="34">
        <v>42782</v>
      </c>
      <c r="CA791" s="29">
        <v>15</v>
      </c>
      <c r="CB791" s="28" t="s">
        <v>172</v>
      </c>
      <c r="CC791" s="29">
        <v>60</v>
      </c>
      <c r="CD791" s="28" t="s">
        <v>172</v>
      </c>
      <c r="CE791" s="28" t="s">
        <v>173</v>
      </c>
      <c r="CF791" s="28" t="s">
        <v>720</v>
      </c>
      <c r="CG791" s="28" t="s">
        <v>138</v>
      </c>
      <c r="CH791" s="28" t="s">
        <v>174</v>
      </c>
      <c r="CI791" s="28" t="s">
        <v>138</v>
      </c>
      <c r="CJ791" s="28" t="s">
        <v>138</v>
      </c>
      <c r="CK791" s="28" t="s">
        <v>138</v>
      </c>
      <c r="CL791" s="28" t="s">
        <v>175</v>
      </c>
      <c r="CM791" s="34" t="s">
        <v>138</v>
      </c>
      <c r="CN791" s="29" t="s">
        <v>138</v>
      </c>
      <c r="CO791" s="35">
        <v>1.96</v>
      </c>
      <c r="CP791" s="36">
        <v>99</v>
      </c>
      <c r="CQ791" s="35">
        <v>0</v>
      </c>
      <c r="CR791" s="35">
        <v>0.09</v>
      </c>
      <c r="CS791" s="35">
        <v>4.67</v>
      </c>
      <c r="CT791" s="36">
        <v>100</v>
      </c>
      <c r="CU791" s="35">
        <v>0.51</v>
      </c>
      <c r="CV791" s="36">
        <v>94</v>
      </c>
      <c r="CW791" s="35">
        <v>4.67</v>
      </c>
      <c r="CX791" s="36">
        <v>95</v>
      </c>
      <c r="CY791" s="35" t="s">
        <v>138</v>
      </c>
      <c r="CZ791" s="36" t="s">
        <v>138</v>
      </c>
      <c r="DA791" s="35">
        <v>0.51</v>
      </c>
      <c r="DB791" s="36">
        <v>94</v>
      </c>
      <c r="DC791" s="37">
        <v>3.97</v>
      </c>
      <c r="DD791" s="36">
        <v>79</v>
      </c>
      <c r="DE791" s="37">
        <v>-0.28000000000000003</v>
      </c>
      <c r="DF791" s="35">
        <v>-6.66</v>
      </c>
      <c r="DG791" s="37">
        <v>7.01</v>
      </c>
      <c r="DH791" s="36">
        <v>86</v>
      </c>
      <c r="DI791" s="37">
        <v>4.8</v>
      </c>
      <c r="DJ791" s="36">
        <v>77</v>
      </c>
      <c r="DK791" s="37">
        <v>7.01</v>
      </c>
      <c r="DL791" s="36">
        <v>83</v>
      </c>
      <c r="DM791" s="37" t="s">
        <v>138</v>
      </c>
      <c r="DN791" s="36" t="s">
        <v>138</v>
      </c>
      <c r="DO791" s="37">
        <v>4.8</v>
      </c>
      <c r="DP791" s="36">
        <v>79</v>
      </c>
      <c r="DQ791" s="36">
        <v>2379</v>
      </c>
      <c r="DR791" s="38">
        <v>78</v>
      </c>
      <c r="DS791" s="35">
        <v>3.39</v>
      </c>
      <c r="DT791" s="36" t="s">
        <v>138</v>
      </c>
      <c r="DU791" s="38" t="s">
        <v>138</v>
      </c>
      <c r="DV791" s="35" t="s">
        <v>138</v>
      </c>
      <c r="DW791" s="36">
        <v>1715</v>
      </c>
      <c r="DX791" s="39">
        <v>8</v>
      </c>
      <c r="DY791" s="35">
        <v>0.47</v>
      </c>
      <c r="DZ791" s="28" t="s">
        <v>178</v>
      </c>
      <c r="EA791" s="34">
        <v>43621</v>
      </c>
      <c r="EB791" s="29">
        <v>60</v>
      </c>
      <c r="EC791" s="34">
        <v>42782</v>
      </c>
      <c r="ED791" s="28" t="s">
        <v>173</v>
      </c>
      <c r="EE791" s="40" t="str">
        <f>HYPERLINK("https://my.pitchbook.com?c=54870-76", "View company online")</f>
        <v>View company online</v>
      </c>
    </row>
    <row r="792" spans="1:135">
      <c r="A792" s="15" t="s">
        <v>15767</v>
      </c>
      <c r="B792" s="15" t="s">
        <v>15768</v>
      </c>
      <c r="C792" s="15" t="s">
        <v>138</v>
      </c>
      <c r="D792" s="15" t="s">
        <v>15769</v>
      </c>
      <c r="E792" s="15" t="s">
        <v>138</v>
      </c>
      <c r="F792" s="15" t="s">
        <v>15767</v>
      </c>
      <c r="G792" s="15" t="s">
        <v>15770</v>
      </c>
      <c r="H792" s="15" t="s">
        <v>385</v>
      </c>
      <c r="I792" s="15" t="s">
        <v>386</v>
      </c>
      <c r="J792" s="15" t="s">
        <v>558</v>
      </c>
      <c r="K792" s="15" t="s">
        <v>15771</v>
      </c>
      <c r="L792" s="15" t="s">
        <v>15772</v>
      </c>
      <c r="M792" s="15" t="s">
        <v>15773</v>
      </c>
      <c r="N792" s="15" t="s">
        <v>147</v>
      </c>
      <c r="O792" s="17">
        <v>5.56</v>
      </c>
      <c r="P792" s="15" t="s">
        <v>812</v>
      </c>
      <c r="Q792" s="15" t="s">
        <v>149</v>
      </c>
      <c r="R792" s="15" t="s">
        <v>174</v>
      </c>
      <c r="S792" s="15" t="s">
        <v>15774</v>
      </c>
      <c r="T792" s="18">
        <v>7</v>
      </c>
      <c r="U792" s="15" t="s">
        <v>5655</v>
      </c>
      <c r="V792" s="15" t="s">
        <v>138</v>
      </c>
      <c r="W792" s="15" t="s">
        <v>138</v>
      </c>
      <c r="X792" s="19">
        <v>2011</v>
      </c>
      <c r="Y792" s="15" t="s">
        <v>138</v>
      </c>
      <c r="Z792" s="15" t="s">
        <v>138</v>
      </c>
      <c r="AA792" s="15" t="s">
        <v>138</v>
      </c>
      <c r="AB792" s="20">
        <v>2.97</v>
      </c>
      <c r="AC792" s="20">
        <v>1.73</v>
      </c>
      <c r="AD792" s="20">
        <v>0.94</v>
      </c>
      <c r="AE792" s="20" t="s">
        <v>138</v>
      </c>
      <c r="AF792" s="20">
        <v>1.22</v>
      </c>
      <c r="AG792" s="15" t="s">
        <v>514</v>
      </c>
      <c r="AH792" s="20" t="s">
        <v>138</v>
      </c>
      <c r="AI792" s="20" t="s">
        <v>138</v>
      </c>
      <c r="AJ792" s="20" t="s">
        <v>138</v>
      </c>
      <c r="AK792" s="15" t="s">
        <v>15775</v>
      </c>
      <c r="AL792" s="15" t="s">
        <v>15776</v>
      </c>
      <c r="AM792" s="15" t="s">
        <v>986</v>
      </c>
      <c r="AN792" s="15" t="s">
        <v>15777</v>
      </c>
      <c r="AO792" s="15" t="s">
        <v>15778</v>
      </c>
      <c r="AP792" s="15" t="s">
        <v>15779</v>
      </c>
      <c r="AQ792" s="15" t="s">
        <v>15780</v>
      </c>
      <c r="AR792" s="15" t="s">
        <v>138</v>
      </c>
      <c r="AS792" s="15" t="s">
        <v>15781</v>
      </c>
      <c r="AT792" s="15" t="s">
        <v>138</v>
      </c>
      <c r="AU792" s="15" t="s">
        <v>15782</v>
      </c>
      <c r="AV792" s="15" t="s">
        <v>1054</v>
      </c>
      <c r="AW792" s="15" t="s">
        <v>15778</v>
      </c>
      <c r="AX792" s="15" t="s">
        <v>138</v>
      </c>
      <c r="AY792" s="15" t="s">
        <v>15783</v>
      </c>
      <c r="AZ792" s="15" t="s">
        <v>530</v>
      </c>
      <c r="BA792" s="15" t="s">
        <v>531</v>
      </c>
      <c r="BB792" s="15" t="s">
        <v>15784</v>
      </c>
      <c r="BC792" s="15" t="s">
        <v>15785</v>
      </c>
      <c r="BD792" s="21">
        <v>3</v>
      </c>
      <c r="BE792" s="15" t="s">
        <v>138</v>
      </c>
      <c r="BF792" s="15" t="s">
        <v>138</v>
      </c>
      <c r="BG792" s="15" t="s">
        <v>138</v>
      </c>
      <c r="BH792" s="15" t="s">
        <v>15786</v>
      </c>
      <c r="BI792" s="15" t="s">
        <v>138</v>
      </c>
      <c r="BJ792" s="15" t="s">
        <v>138</v>
      </c>
      <c r="BK792" s="15" t="s">
        <v>15787</v>
      </c>
      <c r="BL792" s="15" t="s">
        <v>138</v>
      </c>
      <c r="BM792" s="22">
        <v>41605</v>
      </c>
      <c r="BN792" s="17">
        <v>1.85</v>
      </c>
      <c r="BO792" s="15" t="s">
        <v>172</v>
      </c>
      <c r="BP792" s="17">
        <v>5.92</v>
      </c>
      <c r="BQ792" s="15" t="s">
        <v>172</v>
      </c>
      <c r="BR792" s="15" t="s">
        <v>205</v>
      </c>
      <c r="BS792" s="15" t="s">
        <v>138</v>
      </c>
      <c r="BT792" s="15" t="s">
        <v>138</v>
      </c>
      <c r="BU792" s="15" t="s">
        <v>174</v>
      </c>
      <c r="BV792" s="15" t="s">
        <v>138</v>
      </c>
      <c r="BW792" s="15" t="s">
        <v>138</v>
      </c>
      <c r="BX792" s="15" t="s">
        <v>138</v>
      </c>
      <c r="BY792" s="15" t="s">
        <v>175</v>
      </c>
      <c r="BZ792" s="22">
        <v>41765</v>
      </c>
      <c r="CA792" s="17">
        <v>3.71</v>
      </c>
      <c r="CB792" s="15" t="s">
        <v>172</v>
      </c>
      <c r="CC792" s="17" t="s">
        <v>138</v>
      </c>
      <c r="CD792" s="15" t="s">
        <v>138</v>
      </c>
      <c r="CE792" s="15" t="s">
        <v>205</v>
      </c>
      <c r="CF792" s="15" t="s">
        <v>138</v>
      </c>
      <c r="CG792" s="15" t="s">
        <v>138</v>
      </c>
      <c r="CH792" s="15" t="s">
        <v>174</v>
      </c>
      <c r="CI792" s="15" t="s">
        <v>138</v>
      </c>
      <c r="CJ792" s="15" t="s">
        <v>138</v>
      </c>
      <c r="CK792" s="15" t="s">
        <v>138</v>
      </c>
      <c r="CL792" s="15" t="s">
        <v>175</v>
      </c>
      <c r="CM792" s="22" t="s">
        <v>138</v>
      </c>
      <c r="CN792" s="17" t="s">
        <v>138</v>
      </c>
      <c r="CO792" s="23">
        <v>0.12</v>
      </c>
      <c r="CP792" s="24">
        <v>91</v>
      </c>
      <c r="CQ792" s="23">
        <v>0</v>
      </c>
      <c r="CR792" s="23">
        <v>0</v>
      </c>
      <c r="CS792" s="23">
        <v>0</v>
      </c>
      <c r="CT792" s="24">
        <v>23</v>
      </c>
      <c r="CU792" s="23">
        <v>0.23</v>
      </c>
      <c r="CV792" s="24">
        <v>83</v>
      </c>
      <c r="CW792" s="23" t="s">
        <v>138</v>
      </c>
      <c r="CX792" s="24" t="s">
        <v>138</v>
      </c>
      <c r="CY792" s="23">
        <v>0</v>
      </c>
      <c r="CZ792" s="24">
        <v>25</v>
      </c>
      <c r="DA792" s="23">
        <v>0.23</v>
      </c>
      <c r="DB792" s="24">
        <v>85</v>
      </c>
      <c r="DC792" s="25">
        <v>0.34</v>
      </c>
      <c r="DD792" s="24">
        <v>25</v>
      </c>
      <c r="DE792" s="25">
        <v>0.02</v>
      </c>
      <c r="DF792" s="23">
        <v>5.56</v>
      </c>
      <c r="DG792" s="25">
        <v>0.38</v>
      </c>
      <c r="DH792" s="24">
        <v>27</v>
      </c>
      <c r="DI792" s="25">
        <v>0.31</v>
      </c>
      <c r="DJ792" s="24">
        <v>29</v>
      </c>
      <c r="DK792" s="25" t="s">
        <v>138</v>
      </c>
      <c r="DL792" s="24" t="s">
        <v>138</v>
      </c>
      <c r="DM792" s="25">
        <v>0.38</v>
      </c>
      <c r="DN792" s="24">
        <v>28</v>
      </c>
      <c r="DO792" s="25">
        <v>0.31</v>
      </c>
      <c r="DP792" s="24">
        <v>30</v>
      </c>
      <c r="DQ792" s="24" t="s">
        <v>138</v>
      </c>
      <c r="DR792" s="26" t="s">
        <v>138</v>
      </c>
      <c r="DS792" s="23" t="s">
        <v>138</v>
      </c>
      <c r="DT792" s="24">
        <v>10</v>
      </c>
      <c r="DU792" s="26">
        <v>0</v>
      </c>
      <c r="DV792" s="23">
        <v>0</v>
      </c>
      <c r="DW792" s="24">
        <v>110</v>
      </c>
      <c r="DX792" s="27">
        <v>0</v>
      </c>
      <c r="DY792" s="23">
        <v>0</v>
      </c>
      <c r="DZ792" s="15" t="s">
        <v>178</v>
      </c>
      <c r="EA792" s="22">
        <v>43535</v>
      </c>
      <c r="EB792" s="17">
        <v>5.92</v>
      </c>
      <c r="EC792" s="22">
        <v>41605</v>
      </c>
      <c r="ED792" s="15" t="s">
        <v>205</v>
      </c>
      <c r="EE792" s="14" t="str">
        <f>HYPERLINK("https://my.pitchbook.com?c=90856-72", "View company online")</f>
        <v>View company online</v>
      </c>
    </row>
    <row r="793" spans="1:135">
      <c r="A793" s="28" t="s">
        <v>15788</v>
      </c>
      <c r="B793" s="28" t="s">
        <v>15789</v>
      </c>
      <c r="C793" s="28" t="s">
        <v>138</v>
      </c>
      <c r="D793" s="28" t="s">
        <v>138</v>
      </c>
      <c r="E793" s="28" t="s">
        <v>15790</v>
      </c>
      <c r="F793" s="28" t="s">
        <v>15788</v>
      </c>
      <c r="G793" s="28" t="s">
        <v>15791</v>
      </c>
      <c r="H793" s="28" t="s">
        <v>238</v>
      </c>
      <c r="I793" s="28" t="s">
        <v>1018</v>
      </c>
      <c r="J793" s="28" t="s">
        <v>4087</v>
      </c>
      <c r="K793" s="28" t="s">
        <v>15792</v>
      </c>
      <c r="L793" s="28" t="s">
        <v>15793</v>
      </c>
      <c r="M793" s="28" t="s">
        <v>15794</v>
      </c>
      <c r="N793" s="28" t="s">
        <v>147</v>
      </c>
      <c r="O793" s="29">
        <v>4345.0600000000004</v>
      </c>
      <c r="P793" s="28" t="s">
        <v>148</v>
      </c>
      <c r="Q793" s="28" t="s">
        <v>149</v>
      </c>
      <c r="R793" s="28" t="s">
        <v>244</v>
      </c>
      <c r="S793" s="28" t="s">
        <v>15795</v>
      </c>
      <c r="T793" s="30">
        <v>1000</v>
      </c>
      <c r="U793" s="28" t="s">
        <v>15796</v>
      </c>
      <c r="V793" s="28" t="s">
        <v>138</v>
      </c>
      <c r="W793" s="28" t="s">
        <v>138</v>
      </c>
      <c r="X793" s="31">
        <v>2014</v>
      </c>
      <c r="Y793" s="28" t="s">
        <v>138</v>
      </c>
      <c r="Z793" s="28" t="s">
        <v>138</v>
      </c>
      <c r="AA793" s="28" t="s">
        <v>138</v>
      </c>
      <c r="AB793" s="32">
        <v>10</v>
      </c>
      <c r="AC793" s="32" t="s">
        <v>138</v>
      </c>
      <c r="AD793" s="32" t="s">
        <v>138</v>
      </c>
      <c r="AE793" s="32" t="s">
        <v>138</v>
      </c>
      <c r="AF793" s="32" t="s">
        <v>138</v>
      </c>
      <c r="AG793" s="28" t="s">
        <v>419</v>
      </c>
      <c r="AH793" s="32" t="s">
        <v>138</v>
      </c>
      <c r="AI793" s="32" t="s">
        <v>138</v>
      </c>
      <c r="AJ793" s="32" t="s">
        <v>138</v>
      </c>
      <c r="AK793" s="28" t="s">
        <v>15797</v>
      </c>
      <c r="AL793" s="28" t="s">
        <v>15798</v>
      </c>
      <c r="AM793" s="28" t="s">
        <v>304</v>
      </c>
      <c r="AN793" s="28" t="s">
        <v>15799</v>
      </c>
      <c r="AO793" s="28" t="s">
        <v>15800</v>
      </c>
      <c r="AP793" s="28" t="s">
        <v>665</v>
      </c>
      <c r="AQ793" s="28" t="s">
        <v>15801</v>
      </c>
      <c r="AR793" s="28" t="s">
        <v>5599</v>
      </c>
      <c r="AS793" s="28" t="s">
        <v>668</v>
      </c>
      <c r="AT793" s="28" t="s">
        <v>200</v>
      </c>
      <c r="AU793" s="28" t="s">
        <v>669</v>
      </c>
      <c r="AV793" s="28" t="s">
        <v>162</v>
      </c>
      <c r="AW793" s="28" t="s">
        <v>15800</v>
      </c>
      <c r="AX793" s="28" t="s">
        <v>138</v>
      </c>
      <c r="AY793" s="28" t="s">
        <v>15802</v>
      </c>
      <c r="AZ793" s="28" t="s">
        <v>164</v>
      </c>
      <c r="BA793" s="28" t="s">
        <v>165</v>
      </c>
      <c r="BB793" s="28" t="s">
        <v>15803</v>
      </c>
      <c r="BC793" s="28" t="s">
        <v>15804</v>
      </c>
      <c r="BD793" s="33">
        <v>41</v>
      </c>
      <c r="BE793" s="28" t="s">
        <v>138</v>
      </c>
      <c r="BF793" s="28" t="s">
        <v>138</v>
      </c>
      <c r="BG793" s="28" t="s">
        <v>138</v>
      </c>
      <c r="BH793" s="28" t="s">
        <v>15805</v>
      </c>
      <c r="BI793" s="28" t="s">
        <v>138</v>
      </c>
      <c r="BJ793" s="28" t="s">
        <v>138</v>
      </c>
      <c r="BK793" s="28" t="s">
        <v>15806</v>
      </c>
      <c r="BL793" s="28" t="s">
        <v>15807</v>
      </c>
      <c r="BM793" s="34">
        <v>41887</v>
      </c>
      <c r="BN793" s="29">
        <v>10.06</v>
      </c>
      <c r="BO793" s="28" t="s">
        <v>172</v>
      </c>
      <c r="BP793" s="29">
        <v>32.299999999999997</v>
      </c>
      <c r="BQ793" s="28" t="s">
        <v>172</v>
      </c>
      <c r="BR793" s="28" t="s">
        <v>205</v>
      </c>
      <c r="BS793" s="28" t="s">
        <v>206</v>
      </c>
      <c r="BT793" s="28" t="s">
        <v>138</v>
      </c>
      <c r="BU793" s="28" t="s">
        <v>174</v>
      </c>
      <c r="BV793" s="28" t="s">
        <v>138</v>
      </c>
      <c r="BW793" s="28" t="s">
        <v>138</v>
      </c>
      <c r="BX793" s="28" t="s">
        <v>138</v>
      </c>
      <c r="BY793" s="28" t="s">
        <v>175</v>
      </c>
      <c r="BZ793" s="34">
        <v>43544</v>
      </c>
      <c r="CA793" s="29">
        <v>1500</v>
      </c>
      <c r="CB793" s="28" t="s">
        <v>172</v>
      </c>
      <c r="CC793" s="29" t="s">
        <v>138</v>
      </c>
      <c r="CD793" s="28" t="s">
        <v>138</v>
      </c>
      <c r="CE793" s="28" t="s">
        <v>1326</v>
      </c>
      <c r="CF793" s="28" t="s">
        <v>138</v>
      </c>
      <c r="CG793" s="28" t="s">
        <v>138</v>
      </c>
      <c r="CH793" s="28" t="s">
        <v>1327</v>
      </c>
      <c r="CI793" s="28" t="s">
        <v>1328</v>
      </c>
      <c r="CJ793" s="28" t="s">
        <v>138</v>
      </c>
      <c r="CK793" s="28" t="s">
        <v>138</v>
      </c>
      <c r="CL793" s="28" t="s">
        <v>175</v>
      </c>
      <c r="CM793" s="34">
        <v>43544</v>
      </c>
      <c r="CN793" s="29">
        <v>1500</v>
      </c>
      <c r="CO793" s="35">
        <v>1.1100000000000001</v>
      </c>
      <c r="CP793" s="36">
        <v>97</v>
      </c>
      <c r="CQ793" s="35">
        <v>0</v>
      </c>
      <c r="CR793" s="35">
        <v>0.3</v>
      </c>
      <c r="CS793" s="35">
        <v>2.08</v>
      </c>
      <c r="CT793" s="36">
        <v>98</v>
      </c>
      <c r="CU793" s="35">
        <v>0.73</v>
      </c>
      <c r="CV793" s="36">
        <v>96</v>
      </c>
      <c r="CW793" s="35">
        <v>4.34</v>
      </c>
      <c r="CX793" s="36">
        <v>94</v>
      </c>
      <c r="CY793" s="35">
        <v>-0.17</v>
      </c>
      <c r="CZ793" s="36">
        <v>24</v>
      </c>
      <c r="DA793" s="35">
        <v>1.07</v>
      </c>
      <c r="DB793" s="36">
        <v>98</v>
      </c>
      <c r="DC793" s="37">
        <v>94.09</v>
      </c>
      <c r="DD793" s="36">
        <v>99</v>
      </c>
      <c r="DE793" s="37">
        <v>-6.19</v>
      </c>
      <c r="DF793" s="35">
        <v>-6.17</v>
      </c>
      <c r="DG793" s="37">
        <v>270.3</v>
      </c>
      <c r="DH793" s="36">
        <v>100</v>
      </c>
      <c r="DI793" s="37">
        <v>21.53</v>
      </c>
      <c r="DJ793" s="36">
        <v>91</v>
      </c>
      <c r="DK793" s="37">
        <v>453.54</v>
      </c>
      <c r="DL793" s="36">
        <v>100</v>
      </c>
      <c r="DM793" s="37">
        <v>87.07</v>
      </c>
      <c r="DN793" s="36">
        <v>99</v>
      </c>
      <c r="DO793" s="37">
        <v>12.44</v>
      </c>
      <c r="DP793" s="36">
        <v>89</v>
      </c>
      <c r="DQ793" s="36">
        <v>152252</v>
      </c>
      <c r="DR793" s="38">
        <v>9932</v>
      </c>
      <c r="DS793" s="35">
        <v>6.98</v>
      </c>
      <c r="DT793" s="36">
        <v>2516</v>
      </c>
      <c r="DU793" s="38">
        <v>23</v>
      </c>
      <c r="DV793" s="35">
        <v>0.92</v>
      </c>
      <c r="DW793" s="36">
        <v>4433</v>
      </c>
      <c r="DX793" s="39">
        <v>41</v>
      </c>
      <c r="DY793" s="35">
        <v>0.93</v>
      </c>
      <c r="DZ793" s="28" t="s">
        <v>178</v>
      </c>
      <c r="EA793" s="34">
        <v>43601</v>
      </c>
      <c r="EB793" s="29">
        <v>3800</v>
      </c>
      <c r="EC793" s="34">
        <v>43544</v>
      </c>
      <c r="ED793" s="28" t="s">
        <v>173</v>
      </c>
      <c r="EE793" s="40" t="str">
        <f>HYPERLINK("https://my.pitchbook.com?c=64708-30", "View company online")</f>
        <v>View company online</v>
      </c>
    </row>
    <row r="794" spans="1:135">
      <c r="A794" s="15" t="s">
        <v>15808</v>
      </c>
      <c r="B794" s="15" t="s">
        <v>15809</v>
      </c>
      <c r="C794" s="15" t="s">
        <v>138</v>
      </c>
      <c r="D794" s="15" t="s">
        <v>138</v>
      </c>
      <c r="E794" s="15" t="s">
        <v>15810</v>
      </c>
      <c r="F794" s="15" t="s">
        <v>15808</v>
      </c>
      <c r="G794" s="15" t="s">
        <v>15811</v>
      </c>
      <c r="H794" s="15" t="s">
        <v>322</v>
      </c>
      <c r="I794" s="15" t="s">
        <v>323</v>
      </c>
      <c r="J794" s="15" t="s">
        <v>324</v>
      </c>
      <c r="K794" s="15" t="s">
        <v>15812</v>
      </c>
      <c r="L794" s="15" t="s">
        <v>215</v>
      </c>
      <c r="M794" s="15" t="s">
        <v>15813</v>
      </c>
      <c r="N794" s="15" t="s">
        <v>147</v>
      </c>
      <c r="O794" s="17">
        <v>11.23</v>
      </c>
      <c r="P794" s="15" t="s">
        <v>148</v>
      </c>
      <c r="Q794" s="15" t="s">
        <v>149</v>
      </c>
      <c r="R794" s="15" t="s">
        <v>174</v>
      </c>
      <c r="S794" s="15" t="s">
        <v>15814</v>
      </c>
      <c r="T794" s="18">
        <v>20</v>
      </c>
      <c r="U794" s="15" t="s">
        <v>15815</v>
      </c>
      <c r="V794" s="15" t="s">
        <v>138</v>
      </c>
      <c r="W794" s="15" t="s">
        <v>138</v>
      </c>
      <c r="X794" s="19">
        <v>2011</v>
      </c>
      <c r="Y794" s="15" t="s">
        <v>138</v>
      </c>
      <c r="Z794" s="15" t="s">
        <v>138</v>
      </c>
      <c r="AA794" s="15" t="s">
        <v>138</v>
      </c>
      <c r="AB794" s="20">
        <v>0.36</v>
      </c>
      <c r="AC794" s="20" t="s">
        <v>138</v>
      </c>
      <c r="AD794" s="20">
        <v>0.08</v>
      </c>
      <c r="AE794" s="20" t="s">
        <v>138</v>
      </c>
      <c r="AF794" s="20" t="s">
        <v>138</v>
      </c>
      <c r="AG794" s="15" t="s">
        <v>563</v>
      </c>
      <c r="AH794" s="20" t="s">
        <v>138</v>
      </c>
      <c r="AI794" s="20" t="s">
        <v>138</v>
      </c>
      <c r="AJ794" s="20" t="s">
        <v>138</v>
      </c>
      <c r="AK794" s="15" t="s">
        <v>15816</v>
      </c>
      <c r="AL794" s="15" t="s">
        <v>15817</v>
      </c>
      <c r="AM794" s="15" t="s">
        <v>422</v>
      </c>
      <c r="AN794" s="15" t="s">
        <v>15818</v>
      </c>
      <c r="AO794" s="15" t="s">
        <v>138</v>
      </c>
      <c r="AP794" s="15" t="s">
        <v>2692</v>
      </c>
      <c r="AQ794" s="15" t="s">
        <v>15819</v>
      </c>
      <c r="AR794" s="15" t="s">
        <v>138</v>
      </c>
      <c r="AS794" s="15" t="s">
        <v>2694</v>
      </c>
      <c r="AT794" s="15" t="s">
        <v>138</v>
      </c>
      <c r="AU794" s="15" t="s">
        <v>15820</v>
      </c>
      <c r="AV794" s="15" t="s">
        <v>1054</v>
      </c>
      <c r="AW794" s="15" t="s">
        <v>138</v>
      </c>
      <c r="AX794" s="15" t="s">
        <v>138</v>
      </c>
      <c r="AY794" s="15" t="s">
        <v>15821</v>
      </c>
      <c r="AZ794" s="15" t="s">
        <v>530</v>
      </c>
      <c r="BA794" s="15" t="s">
        <v>531</v>
      </c>
      <c r="BB794" s="15" t="s">
        <v>15822</v>
      </c>
      <c r="BC794" s="15" t="s">
        <v>15823</v>
      </c>
      <c r="BD794" s="21">
        <v>6</v>
      </c>
      <c r="BE794" s="15" t="s">
        <v>138</v>
      </c>
      <c r="BF794" s="15" t="s">
        <v>138</v>
      </c>
      <c r="BG794" s="15" t="s">
        <v>138</v>
      </c>
      <c r="BH794" s="15" t="s">
        <v>15824</v>
      </c>
      <c r="BI794" s="15" t="s">
        <v>138</v>
      </c>
      <c r="BJ794" s="15" t="s">
        <v>138</v>
      </c>
      <c r="BK794" s="15" t="s">
        <v>138</v>
      </c>
      <c r="BL794" s="15" t="s">
        <v>15825</v>
      </c>
      <c r="BM794" s="22">
        <v>41667</v>
      </c>
      <c r="BN794" s="17" t="s">
        <v>138</v>
      </c>
      <c r="BO794" s="15" t="s">
        <v>138</v>
      </c>
      <c r="BP794" s="17" t="s">
        <v>138</v>
      </c>
      <c r="BQ794" s="15" t="s">
        <v>138</v>
      </c>
      <c r="BR794" s="15" t="s">
        <v>316</v>
      </c>
      <c r="BS794" s="15" t="s">
        <v>138</v>
      </c>
      <c r="BT794" s="15" t="s">
        <v>138</v>
      </c>
      <c r="BU794" s="15" t="s">
        <v>177</v>
      </c>
      <c r="BV794" s="15" t="s">
        <v>138</v>
      </c>
      <c r="BW794" s="15" t="s">
        <v>138</v>
      </c>
      <c r="BX794" s="15" t="s">
        <v>138</v>
      </c>
      <c r="BY794" s="15" t="s">
        <v>175</v>
      </c>
      <c r="BZ794" s="22">
        <v>43341</v>
      </c>
      <c r="CA794" s="17">
        <v>3.98</v>
      </c>
      <c r="CB794" s="15" t="s">
        <v>172</v>
      </c>
      <c r="CC794" s="17">
        <v>22.28</v>
      </c>
      <c r="CD794" s="15" t="s">
        <v>172</v>
      </c>
      <c r="CE794" s="15" t="s">
        <v>205</v>
      </c>
      <c r="CF794" s="15" t="s">
        <v>623</v>
      </c>
      <c r="CG794" s="15" t="s">
        <v>138</v>
      </c>
      <c r="CH794" s="15" t="s">
        <v>174</v>
      </c>
      <c r="CI794" s="15" t="s">
        <v>138</v>
      </c>
      <c r="CJ794" s="15" t="s">
        <v>138</v>
      </c>
      <c r="CK794" s="15" t="s">
        <v>138</v>
      </c>
      <c r="CL794" s="15" t="s">
        <v>175</v>
      </c>
      <c r="CM794" s="22" t="s">
        <v>138</v>
      </c>
      <c r="CN794" s="17" t="s">
        <v>138</v>
      </c>
      <c r="CO794" s="23">
        <v>-1.9</v>
      </c>
      <c r="CP794" s="24">
        <v>6</v>
      </c>
      <c r="CQ794" s="23">
        <v>-0.02</v>
      </c>
      <c r="CR794" s="23">
        <v>-0.89</v>
      </c>
      <c r="CS794" s="23">
        <v>-3.97</v>
      </c>
      <c r="CT794" s="24">
        <v>3</v>
      </c>
      <c r="CU794" s="23">
        <v>0.17</v>
      </c>
      <c r="CV794" s="24">
        <v>77</v>
      </c>
      <c r="CW794" s="23">
        <v>-8.27</v>
      </c>
      <c r="CX794" s="24">
        <v>1</v>
      </c>
      <c r="CY794" s="23">
        <v>0.34</v>
      </c>
      <c r="CZ794" s="24">
        <v>98</v>
      </c>
      <c r="DA794" s="23">
        <v>0.1</v>
      </c>
      <c r="DB794" s="24">
        <v>72</v>
      </c>
      <c r="DC794" s="25">
        <v>14.41</v>
      </c>
      <c r="DD794" s="24">
        <v>93</v>
      </c>
      <c r="DE794" s="25">
        <v>-7.0000000000000007E-2</v>
      </c>
      <c r="DF794" s="23">
        <v>-0.48</v>
      </c>
      <c r="DG794" s="25">
        <v>16.53</v>
      </c>
      <c r="DH794" s="24">
        <v>94</v>
      </c>
      <c r="DI794" s="25">
        <v>12.3</v>
      </c>
      <c r="DJ794" s="24">
        <v>87</v>
      </c>
      <c r="DK794" s="25">
        <v>3.6</v>
      </c>
      <c r="DL794" s="24">
        <v>74</v>
      </c>
      <c r="DM794" s="25">
        <v>29.45</v>
      </c>
      <c r="DN794" s="24">
        <v>96</v>
      </c>
      <c r="DO794" s="25">
        <v>23.71</v>
      </c>
      <c r="DP794" s="24">
        <v>93</v>
      </c>
      <c r="DQ794" s="24">
        <v>1270</v>
      </c>
      <c r="DR794" s="26">
        <v>-102</v>
      </c>
      <c r="DS794" s="23">
        <v>-7.43</v>
      </c>
      <c r="DT794" s="24">
        <v>854</v>
      </c>
      <c r="DU794" s="26">
        <v>0</v>
      </c>
      <c r="DV794" s="23">
        <v>0</v>
      </c>
      <c r="DW794" s="24">
        <v>8477</v>
      </c>
      <c r="DX794" s="27">
        <v>10</v>
      </c>
      <c r="DY794" s="23">
        <v>0.12</v>
      </c>
      <c r="DZ794" s="15" t="s">
        <v>178</v>
      </c>
      <c r="EA794" s="22">
        <v>43581</v>
      </c>
      <c r="EB794" s="17">
        <v>22.28</v>
      </c>
      <c r="EC794" s="22">
        <v>43341</v>
      </c>
      <c r="ED794" s="15" t="s">
        <v>205</v>
      </c>
      <c r="EE794" s="14" t="str">
        <f>HYPERLINK("https://my.pitchbook.com?c=87112-27", "View company online")</f>
        <v>View company online</v>
      </c>
    </row>
    <row r="795" spans="1:135">
      <c r="A795" s="28" t="s">
        <v>15826</v>
      </c>
      <c r="B795" s="28" t="s">
        <v>15827</v>
      </c>
      <c r="C795" s="28" t="s">
        <v>138</v>
      </c>
      <c r="D795" s="28" t="s">
        <v>138</v>
      </c>
      <c r="E795" s="28" t="s">
        <v>15828</v>
      </c>
      <c r="F795" s="28" t="s">
        <v>15826</v>
      </c>
      <c r="G795" s="28" t="s">
        <v>15829</v>
      </c>
      <c r="H795" s="28" t="s">
        <v>238</v>
      </c>
      <c r="I795" s="28" t="s">
        <v>1018</v>
      </c>
      <c r="J795" s="28" t="s">
        <v>1019</v>
      </c>
      <c r="K795" s="28" t="s">
        <v>15830</v>
      </c>
      <c r="L795" s="28" t="s">
        <v>15831</v>
      </c>
      <c r="M795" s="28" t="s">
        <v>15832</v>
      </c>
      <c r="N795" s="28" t="s">
        <v>147</v>
      </c>
      <c r="O795" s="29">
        <v>16.399999999999999</v>
      </c>
      <c r="P795" s="28" t="s">
        <v>148</v>
      </c>
      <c r="Q795" s="28" t="s">
        <v>149</v>
      </c>
      <c r="R795" s="28" t="s">
        <v>174</v>
      </c>
      <c r="S795" s="28" t="s">
        <v>15833</v>
      </c>
      <c r="T795" s="30">
        <v>26</v>
      </c>
      <c r="U795" s="28" t="s">
        <v>15834</v>
      </c>
      <c r="V795" s="28" t="s">
        <v>138</v>
      </c>
      <c r="W795" s="28" t="s">
        <v>138</v>
      </c>
      <c r="X795" s="31">
        <v>2011</v>
      </c>
      <c r="Y795" s="28" t="s">
        <v>138</v>
      </c>
      <c r="Z795" s="28" t="s">
        <v>138</v>
      </c>
      <c r="AA795" s="28" t="s">
        <v>138</v>
      </c>
      <c r="AB795" s="32" t="s">
        <v>138</v>
      </c>
      <c r="AC795" s="32" t="s">
        <v>138</v>
      </c>
      <c r="AD795" s="32" t="s">
        <v>138</v>
      </c>
      <c r="AE795" s="32" t="s">
        <v>138</v>
      </c>
      <c r="AF795" s="32" t="s">
        <v>138</v>
      </c>
      <c r="AG795" s="28" t="s">
        <v>138</v>
      </c>
      <c r="AH795" s="32" t="s">
        <v>138</v>
      </c>
      <c r="AI795" s="32" t="s">
        <v>138</v>
      </c>
      <c r="AJ795" s="32" t="s">
        <v>138</v>
      </c>
      <c r="AK795" s="28" t="s">
        <v>15835</v>
      </c>
      <c r="AL795" s="28" t="s">
        <v>15836</v>
      </c>
      <c r="AM795" s="28" t="s">
        <v>986</v>
      </c>
      <c r="AN795" s="28" t="s">
        <v>15837</v>
      </c>
      <c r="AO795" s="28" t="s">
        <v>15838</v>
      </c>
      <c r="AP795" s="28" t="s">
        <v>861</v>
      </c>
      <c r="AQ795" s="28" t="s">
        <v>15839</v>
      </c>
      <c r="AR795" s="28" t="s">
        <v>15840</v>
      </c>
      <c r="AS795" s="28" t="s">
        <v>863</v>
      </c>
      <c r="AT795" s="28" t="s">
        <v>864</v>
      </c>
      <c r="AU795" s="28" t="s">
        <v>10018</v>
      </c>
      <c r="AV795" s="28" t="s">
        <v>162</v>
      </c>
      <c r="AW795" s="28" t="s">
        <v>15838</v>
      </c>
      <c r="AX795" s="28" t="s">
        <v>138</v>
      </c>
      <c r="AY795" s="28" t="s">
        <v>15841</v>
      </c>
      <c r="AZ795" s="28" t="s">
        <v>164</v>
      </c>
      <c r="BA795" s="28" t="s">
        <v>165</v>
      </c>
      <c r="BB795" s="28" t="s">
        <v>15842</v>
      </c>
      <c r="BC795" s="28" t="s">
        <v>15843</v>
      </c>
      <c r="BD795" s="33">
        <v>12</v>
      </c>
      <c r="BE795" s="28" t="s">
        <v>138</v>
      </c>
      <c r="BF795" s="28" t="s">
        <v>138</v>
      </c>
      <c r="BG795" s="28" t="s">
        <v>138</v>
      </c>
      <c r="BH795" s="28" t="s">
        <v>15844</v>
      </c>
      <c r="BI795" s="28" t="s">
        <v>138</v>
      </c>
      <c r="BJ795" s="28" t="s">
        <v>138</v>
      </c>
      <c r="BK795" s="28" t="s">
        <v>15845</v>
      </c>
      <c r="BL795" s="28" t="s">
        <v>1251</v>
      </c>
      <c r="BM795" s="34" t="s">
        <v>138</v>
      </c>
      <c r="BN795" s="29" t="s">
        <v>138</v>
      </c>
      <c r="BO795" s="28" t="s">
        <v>138</v>
      </c>
      <c r="BP795" s="29" t="s">
        <v>138</v>
      </c>
      <c r="BQ795" s="28" t="s">
        <v>138</v>
      </c>
      <c r="BR795" s="28" t="s">
        <v>316</v>
      </c>
      <c r="BS795" s="28" t="s">
        <v>138</v>
      </c>
      <c r="BT795" s="28" t="s">
        <v>138</v>
      </c>
      <c r="BU795" s="28" t="s">
        <v>177</v>
      </c>
      <c r="BV795" s="28" t="s">
        <v>138</v>
      </c>
      <c r="BW795" s="28" t="s">
        <v>138</v>
      </c>
      <c r="BX795" s="28" t="s">
        <v>138</v>
      </c>
      <c r="BY795" s="28" t="s">
        <v>175</v>
      </c>
      <c r="BZ795" s="34">
        <v>43276</v>
      </c>
      <c r="CA795" s="29">
        <v>8</v>
      </c>
      <c r="CB795" s="28" t="s">
        <v>172</v>
      </c>
      <c r="CC795" s="29">
        <v>25</v>
      </c>
      <c r="CD795" s="28" t="s">
        <v>172</v>
      </c>
      <c r="CE795" s="28" t="s">
        <v>173</v>
      </c>
      <c r="CF795" s="28" t="s">
        <v>206</v>
      </c>
      <c r="CG795" s="28" t="s">
        <v>138</v>
      </c>
      <c r="CH795" s="28" t="s">
        <v>174</v>
      </c>
      <c r="CI795" s="28" t="s">
        <v>138</v>
      </c>
      <c r="CJ795" s="28" t="s">
        <v>138</v>
      </c>
      <c r="CK795" s="28" t="s">
        <v>138</v>
      </c>
      <c r="CL795" s="28" t="s">
        <v>175</v>
      </c>
      <c r="CM795" s="34" t="s">
        <v>138</v>
      </c>
      <c r="CN795" s="29" t="s">
        <v>138</v>
      </c>
      <c r="CO795" s="35">
        <v>1.49</v>
      </c>
      <c r="CP795" s="36">
        <v>98</v>
      </c>
      <c r="CQ795" s="35">
        <v>0.01</v>
      </c>
      <c r="CR795" s="35">
        <v>0.8</v>
      </c>
      <c r="CS795" s="35">
        <v>2.23</v>
      </c>
      <c r="CT795" s="36">
        <v>98</v>
      </c>
      <c r="CU795" s="35">
        <v>0.05</v>
      </c>
      <c r="CV795" s="36">
        <v>58</v>
      </c>
      <c r="CW795" s="35">
        <v>5.85</v>
      </c>
      <c r="CX795" s="36">
        <v>97</v>
      </c>
      <c r="CY795" s="35">
        <v>-1.39</v>
      </c>
      <c r="CZ795" s="36">
        <v>16</v>
      </c>
      <c r="DA795" s="35">
        <v>0.05</v>
      </c>
      <c r="DB795" s="36">
        <v>64</v>
      </c>
      <c r="DC795" s="37">
        <v>21.35</v>
      </c>
      <c r="DD795" s="36">
        <v>95</v>
      </c>
      <c r="DE795" s="37">
        <v>-1.63</v>
      </c>
      <c r="DF795" s="35">
        <v>-7.1</v>
      </c>
      <c r="DG795" s="37">
        <v>58.05</v>
      </c>
      <c r="DH795" s="36">
        <v>99</v>
      </c>
      <c r="DI795" s="37">
        <v>3.78</v>
      </c>
      <c r="DJ795" s="36">
        <v>73</v>
      </c>
      <c r="DK795" s="37">
        <v>89.73</v>
      </c>
      <c r="DL795" s="36">
        <v>97</v>
      </c>
      <c r="DM795" s="37">
        <v>26.38</v>
      </c>
      <c r="DN795" s="36">
        <v>96</v>
      </c>
      <c r="DO795" s="37">
        <v>5.44</v>
      </c>
      <c r="DP795" s="36">
        <v>80</v>
      </c>
      <c r="DQ795" s="36">
        <v>30238</v>
      </c>
      <c r="DR795" s="38">
        <v>1617</v>
      </c>
      <c r="DS795" s="35">
        <v>5.65</v>
      </c>
      <c r="DT795" s="36">
        <v>747</v>
      </c>
      <c r="DU795" s="38">
        <v>31</v>
      </c>
      <c r="DV795" s="35">
        <v>4.33</v>
      </c>
      <c r="DW795" s="36">
        <v>1944</v>
      </c>
      <c r="DX795" s="39">
        <v>4</v>
      </c>
      <c r="DY795" s="35">
        <v>0.21</v>
      </c>
      <c r="DZ795" s="28" t="s">
        <v>178</v>
      </c>
      <c r="EA795" s="34">
        <v>43351</v>
      </c>
      <c r="EB795" s="29">
        <v>25</v>
      </c>
      <c r="EC795" s="34">
        <v>43276</v>
      </c>
      <c r="ED795" s="28" t="s">
        <v>173</v>
      </c>
      <c r="EE795" s="40" t="str">
        <f>HYPERLINK("https://my.pitchbook.com?c=60083-38", "View company online")</f>
        <v>View company online</v>
      </c>
    </row>
    <row r="796" spans="1:135">
      <c r="A796" s="15" t="s">
        <v>15846</v>
      </c>
      <c r="B796" s="15" t="s">
        <v>15847</v>
      </c>
      <c r="C796" s="15" t="s">
        <v>138</v>
      </c>
      <c r="D796" s="15" t="s">
        <v>138</v>
      </c>
      <c r="E796" s="15" t="s">
        <v>15848</v>
      </c>
      <c r="F796" s="15" t="s">
        <v>15846</v>
      </c>
      <c r="G796" s="15" t="s">
        <v>15849</v>
      </c>
      <c r="H796" s="15" t="s">
        <v>322</v>
      </c>
      <c r="I796" s="15" t="s">
        <v>323</v>
      </c>
      <c r="J796" s="15" t="s">
        <v>2084</v>
      </c>
      <c r="K796" s="15" t="s">
        <v>15850</v>
      </c>
      <c r="L796" s="15" t="s">
        <v>242</v>
      </c>
      <c r="M796" s="15" t="s">
        <v>15851</v>
      </c>
      <c r="N796" s="15" t="s">
        <v>147</v>
      </c>
      <c r="O796" s="17">
        <v>12.8</v>
      </c>
      <c r="P796" s="15" t="s">
        <v>148</v>
      </c>
      <c r="Q796" s="15" t="s">
        <v>149</v>
      </c>
      <c r="R796" s="15" t="s">
        <v>174</v>
      </c>
      <c r="S796" s="15" t="s">
        <v>15852</v>
      </c>
      <c r="T796" s="18">
        <v>21</v>
      </c>
      <c r="U796" s="15" t="s">
        <v>15853</v>
      </c>
      <c r="V796" s="15" t="s">
        <v>138</v>
      </c>
      <c r="W796" s="15" t="s">
        <v>138</v>
      </c>
      <c r="X796" s="19">
        <v>2011</v>
      </c>
      <c r="Y796" s="15" t="s">
        <v>138</v>
      </c>
      <c r="Z796" s="15" t="s">
        <v>138</v>
      </c>
      <c r="AA796" s="15" t="s">
        <v>138</v>
      </c>
      <c r="AB796" s="20">
        <v>1.5</v>
      </c>
      <c r="AC796" s="20" t="s">
        <v>138</v>
      </c>
      <c r="AD796" s="20" t="s">
        <v>138</v>
      </c>
      <c r="AE796" s="20" t="s">
        <v>138</v>
      </c>
      <c r="AF796" s="20" t="s">
        <v>138</v>
      </c>
      <c r="AG796" s="15" t="s">
        <v>563</v>
      </c>
      <c r="AH796" s="20" t="s">
        <v>138</v>
      </c>
      <c r="AI796" s="20" t="s">
        <v>138</v>
      </c>
      <c r="AJ796" s="20" t="s">
        <v>138</v>
      </c>
      <c r="AK796" s="15" t="s">
        <v>15854</v>
      </c>
      <c r="AL796" s="15" t="s">
        <v>15855</v>
      </c>
      <c r="AM796" s="15" t="s">
        <v>566</v>
      </c>
      <c r="AN796" s="15" t="s">
        <v>15856</v>
      </c>
      <c r="AO796" s="15" t="s">
        <v>138</v>
      </c>
      <c r="AP796" s="15" t="s">
        <v>3328</v>
      </c>
      <c r="AQ796" s="15" t="s">
        <v>15857</v>
      </c>
      <c r="AR796" s="15" t="s">
        <v>15858</v>
      </c>
      <c r="AS796" s="15" t="s">
        <v>3330</v>
      </c>
      <c r="AT796" s="15" t="s">
        <v>200</v>
      </c>
      <c r="AU796" s="15" t="s">
        <v>138</v>
      </c>
      <c r="AV796" s="15" t="s">
        <v>162</v>
      </c>
      <c r="AW796" s="15" t="s">
        <v>138</v>
      </c>
      <c r="AX796" s="15" t="s">
        <v>138</v>
      </c>
      <c r="AY796" s="15" t="s">
        <v>15859</v>
      </c>
      <c r="AZ796" s="15" t="s">
        <v>164</v>
      </c>
      <c r="BA796" s="15" t="s">
        <v>165</v>
      </c>
      <c r="BB796" s="15" t="s">
        <v>15860</v>
      </c>
      <c r="BC796" s="15" t="s">
        <v>15861</v>
      </c>
      <c r="BD796" s="21">
        <v>23</v>
      </c>
      <c r="BE796" s="15" t="s">
        <v>138</v>
      </c>
      <c r="BF796" s="15" t="s">
        <v>15671</v>
      </c>
      <c r="BG796" s="15" t="s">
        <v>138</v>
      </c>
      <c r="BH796" s="15" t="s">
        <v>15862</v>
      </c>
      <c r="BI796" s="15" t="s">
        <v>15673</v>
      </c>
      <c r="BJ796" s="15" t="s">
        <v>138</v>
      </c>
      <c r="BK796" s="15" t="s">
        <v>15863</v>
      </c>
      <c r="BL796" s="15" t="s">
        <v>3482</v>
      </c>
      <c r="BM796" s="22">
        <v>41164</v>
      </c>
      <c r="BN796" s="17">
        <v>2</v>
      </c>
      <c r="BO796" s="15" t="s">
        <v>172</v>
      </c>
      <c r="BP796" s="17">
        <v>11</v>
      </c>
      <c r="BQ796" s="15" t="s">
        <v>172</v>
      </c>
      <c r="BR796" s="15" t="s">
        <v>234</v>
      </c>
      <c r="BS796" s="15" t="s">
        <v>234</v>
      </c>
      <c r="BT796" s="15" t="s">
        <v>138</v>
      </c>
      <c r="BU796" s="15" t="s">
        <v>174</v>
      </c>
      <c r="BV796" s="15" t="s">
        <v>138</v>
      </c>
      <c r="BW796" s="15" t="s">
        <v>138</v>
      </c>
      <c r="BX796" s="15" t="s">
        <v>138</v>
      </c>
      <c r="BY796" s="15" t="s">
        <v>175</v>
      </c>
      <c r="BZ796" s="22" t="s">
        <v>138</v>
      </c>
      <c r="CA796" s="17" t="s">
        <v>138</v>
      </c>
      <c r="CB796" s="15" t="s">
        <v>138</v>
      </c>
      <c r="CC796" s="17" t="s">
        <v>138</v>
      </c>
      <c r="CD796" s="15" t="s">
        <v>138</v>
      </c>
      <c r="CE796" s="15" t="s">
        <v>379</v>
      </c>
      <c r="CF796" s="15" t="s">
        <v>138</v>
      </c>
      <c r="CG796" s="15" t="s">
        <v>138</v>
      </c>
      <c r="CH796" s="15" t="s">
        <v>174</v>
      </c>
      <c r="CI796" s="15" t="s">
        <v>138</v>
      </c>
      <c r="CJ796" s="15" t="s">
        <v>138</v>
      </c>
      <c r="CK796" s="15" t="s">
        <v>138</v>
      </c>
      <c r="CL796" s="15" t="s">
        <v>175</v>
      </c>
      <c r="CM796" s="22" t="s">
        <v>138</v>
      </c>
      <c r="CN796" s="17" t="s">
        <v>138</v>
      </c>
      <c r="CO796" s="23">
        <v>-0.41</v>
      </c>
      <c r="CP796" s="24">
        <v>17</v>
      </c>
      <c r="CQ796" s="23">
        <v>-0.02</v>
      </c>
      <c r="CR796" s="23">
        <v>-4.55</v>
      </c>
      <c r="CS796" s="23">
        <v>-1.34</v>
      </c>
      <c r="CT796" s="24">
        <v>13</v>
      </c>
      <c r="CU796" s="23">
        <v>-0.05</v>
      </c>
      <c r="CV796" s="24">
        <v>9</v>
      </c>
      <c r="CW796" s="23">
        <v>0.85</v>
      </c>
      <c r="CX796" s="24">
        <v>84</v>
      </c>
      <c r="CY796" s="23">
        <v>-3.53</v>
      </c>
      <c r="CZ796" s="24">
        <v>5</v>
      </c>
      <c r="DA796" s="23">
        <v>-0.06</v>
      </c>
      <c r="DB796" s="24">
        <v>11</v>
      </c>
      <c r="DC796" s="25">
        <v>29.13</v>
      </c>
      <c r="DD796" s="24">
        <v>96</v>
      </c>
      <c r="DE796" s="25">
        <v>0.27</v>
      </c>
      <c r="DF796" s="23">
        <v>0.93</v>
      </c>
      <c r="DG796" s="25">
        <v>25.69</v>
      </c>
      <c r="DH796" s="24">
        <v>96</v>
      </c>
      <c r="DI796" s="25">
        <v>33.840000000000003</v>
      </c>
      <c r="DJ796" s="24">
        <v>93</v>
      </c>
      <c r="DK796" s="25">
        <v>6.52</v>
      </c>
      <c r="DL796" s="24">
        <v>82</v>
      </c>
      <c r="DM796" s="25">
        <v>44.86</v>
      </c>
      <c r="DN796" s="24">
        <v>98</v>
      </c>
      <c r="DO796" s="25">
        <v>49.25</v>
      </c>
      <c r="DP796" s="24">
        <v>96</v>
      </c>
      <c r="DQ796" s="24">
        <v>2267</v>
      </c>
      <c r="DR796" s="26">
        <v>-88</v>
      </c>
      <c r="DS796" s="23">
        <v>-3.74</v>
      </c>
      <c r="DT796" s="24">
        <v>1305</v>
      </c>
      <c r="DU796" s="26">
        <v>-10</v>
      </c>
      <c r="DV796" s="23">
        <v>-0.76</v>
      </c>
      <c r="DW796" s="24">
        <v>17638</v>
      </c>
      <c r="DX796" s="27">
        <v>-6</v>
      </c>
      <c r="DY796" s="23">
        <v>-0.03</v>
      </c>
      <c r="DZ796" s="15" t="s">
        <v>178</v>
      </c>
      <c r="EA796" s="22">
        <v>43622</v>
      </c>
      <c r="EB796" s="17">
        <v>35.82</v>
      </c>
      <c r="EC796" s="22">
        <v>41991</v>
      </c>
      <c r="ED796" s="15" t="s">
        <v>205</v>
      </c>
      <c r="EE796" s="14" t="str">
        <f>HYPERLINK("https://my.pitchbook.com?c=54517-33", "View company online")</f>
        <v>View company online</v>
      </c>
    </row>
    <row r="797" spans="1:135">
      <c r="A797" s="28" t="s">
        <v>15864</v>
      </c>
      <c r="B797" s="28" t="s">
        <v>15865</v>
      </c>
      <c r="C797" s="28" t="s">
        <v>138</v>
      </c>
      <c r="D797" s="28" t="s">
        <v>15866</v>
      </c>
      <c r="E797" s="28" t="s">
        <v>15867</v>
      </c>
      <c r="F797" s="28" t="s">
        <v>15864</v>
      </c>
      <c r="G797" s="28" t="s">
        <v>15868</v>
      </c>
      <c r="H797" s="28" t="s">
        <v>322</v>
      </c>
      <c r="I797" s="28" t="s">
        <v>323</v>
      </c>
      <c r="J797" s="28" t="s">
        <v>1132</v>
      </c>
      <c r="K797" s="28" t="s">
        <v>3918</v>
      </c>
      <c r="L797" s="28" t="s">
        <v>1134</v>
      </c>
      <c r="M797" s="28" t="s">
        <v>15869</v>
      </c>
      <c r="N797" s="28" t="s">
        <v>147</v>
      </c>
      <c r="O797" s="29">
        <v>6.95</v>
      </c>
      <c r="P797" s="28" t="s">
        <v>148</v>
      </c>
      <c r="Q797" s="28" t="s">
        <v>149</v>
      </c>
      <c r="R797" s="28" t="s">
        <v>174</v>
      </c>
      <c r="S797" s="28" t="s">
        <v>15870</v>
      </c>
      <c r="T797" s="30">
        <v>25</v>
      </c>
      <c r="U797" s="28" t="s">
        <v>15871</v>
      </c>
      <c r="V797" s="28" t="s">
        <v>138</v>
      </c>
      <c r="W797" s="28" t="s">
        <v>138</v>
      </c>
      <c r="X797" s="31">
        <v>2017</v>
      </c>
      <c r="Y797" s="28" t="s">
        <v>138</v>
      </c>
      <c r="Z797" s="28" t="s">
        <v>138</v>
      </c>
      <c r="AA797" s="28" t="s">
        <v>138</v>
      </c>
      <c r="AB797" s="32" t="s">
        <v>138</v>
      </c>
      <c r="AC797" s="32" t="s">
        <v>138</v>
      </c>
      <c r="AD797" s="32" t="s">
        <v>138</v>
      </c>
      <c r="AE797" s="32" t="s">
        <v>138</v>
      </c>
      <c r="AF797" s="32" t="s">
        <v>138</v>
      </c>
      <c r="AG797" s="28" t="s">
        <v>138</v>
      </c>
      <c r="AH797" s="32" t="s">
        <v>138</v>
      </c>
      <c r="AI797" s="32" t="s">
        <v>138</v>
      </c>
      <c r="AJ797" s="32" t="s">
        <v>138</v>
      </c>
      <c r="AK797" s="28" t="s">
        <v>15872</v>
      </c>
      <c r="AL797" s="28" t="s">
        <v>15873</v>
      </c>
      <c r="AM797" s="28" t="s">
        <v>304</v>
      </c>
      <c r="AN797" s="28" t="s">
        <v>15874</v>
      </c>
      <c r="AO797" s="28" t="s">
        <v>138</v>
      </c>
      <c r="AP797" s="28" t="s">
        <v>2327</v>
      </c>
      <c r="AQ797" s="28" t="s">
        <v>15875</v>
      </c>
      <c r="AR797" s="28" t="s">
        <v>15876</v>
      </c>
      <c r="AS797" s="28" t="s">
        <v>2330</v>
      </c>
      <c r="AT797" s="28" t="s">
        <v>2331</v>
      </c>
      <c r="AU797" s="28" t="s">
        <v>2332</v>
      </c>
      <c r="AV797" s="28" t="s">
        <v>2333</v>
      </c>
      <c r="AW797" s="28" t="s">
        <v>138</v>
      </c>
      <c r="AX797" s="28" t="s">
        <v>138</v>
      </c>
      <c r="AY797" s="28" t="s">
        <v>138</v>
      </c>
      <c r="AZ797" s="28" t="s">
        <v>452</v>
      </c>
      <c r="BA797" s="28" t="s">
        <v>2335</v>
      </c>
      <c r="BB797" s="28" t="s">
        <v>15877</v>
      </c>
      <c r="BC797" s="28" t="s">
        <v>15878</v>
      </c>
      <c r="BD797" s="33">
        <v>13</v>
      </c>
      <c r="BE797" s="28" t="s">
        <v>138</v>
      </c>
      <c r="BF797" s="28" t="s">
        <v>138</v>
      </c>
      <c r="BG797" s="28" t="s">
        <v>138</v>
      </c>
      <c r="BH797" s="28" t="s">
        <v>15879</v>
      </c>
      <c r="BI797" s="28" t="s">
        <v>138</v>
      </c>
      <c r="BJ797" s="28" t="s">
        <v>138</v>
      </c>
      <c r="BK797" s="28" t="s">
        <v>138</v>
      </c>
      <c r="BL797" s="28" t="s">
        <v>138</v>
      </c>
      <c r="BM797" s="34">
        <v>42929</v>
      </c>
      <c r="BN797" s="29">
        <v>0.25</v>
      </c>
      <c r="BO797" s="28" t="s">
        <v>172</v>
      </c>
      <c r="BP797" s="29" t="s">
        <v>138</v>
      </c>
      <c r="BQ797" s="28" t="s">
        <v>138</v>
      </c>
      <c r="BR797" s="28" t="s">
        <v>234</v>
      </c>
      <c r="BS797" s="28" t="s">
        <v>234</v>
      </c>
      <c r="BT797" s="28" t="s">
        <v>138</v>
      </c>
      <c r="BU797" s="28" t="s">
        <v>263</v>
      </c>
      <c r="BV797" s="28" t="s">
        <v>138</v>
      </c>
      <c r="BW797" s="28" t="s">
        <v>138</v>
      </c>
      <c r="BX797" s="28" t="s">
        <v>138</v>
      </c>
      <c r="BY797" s="28" t="s">
        <v>175</v>
      </c>
      <c r="BZ797" s="34">
        <v>43508</v>
      </c>
      <c r="CA797" s="29">
        <v>4.5999999999999996</v>
      </c>
      <c r="CB797" s="28" t="s">
        <v>172</v>
      </c>
      <c r="CC797" s="29" t="s">
        <v>138</v>
      </c>
      <c r="CD797" s="28" t="s">
        <v>138</v>
      </c>
      <c r="CE797" s="28" t="s">
        <v>205</v>
      </c>
      <c r="CF797" s="28" t="s">
        <v>206</v>
      </c>
      <c r="CG797" s="28" t="s">
        <v>138</v>
      </c>
      <c r="CH797" s="28" t="s">
        <v>174</v>
      </c>
      <c r="CI797" s="28" t="s">
        <v>138</v>
      </c>
      <c r="CJ797" s="28" t="s">
        <v>138</v>
      </c>
      <c r="CK797" s="28" t="s">
        <v>138</v>
      </c>
      <c r="CL797" s="28" t="s">
        <v>175</v>
      </c>
      <c r="CM797" s="34" t="s">
        <v>138</v>
      </c>
      <c r="CN797" s="29" t="s">
        <v>138</v>
      </c>
      <c r="CO797" s="35">
        <v>0.95</v>
      </c>
      <c r="CP797" s="36">
        <v>97</v>
      </c>
      <c r="CQ797" s="35">
        <v>-0.23</v>
      </c>
      <c r="CR797" s="35">
        <v>-19.28</v>
      </c>
      <c r="CS797" s="35">
        <v>0</v>
      </c>
      <c r="CT797" s="36">
        <v>23</v>
      </c>
      <c r="CU797" s="35">
        <v>1.9</v>
      </c>
      <c r="CV797" s="36">
        <v>100</v>
      </c>
      <c r="CW797" s="35" t="s">
        <v>138</v>
      </c>
      <c r="CX797" s="36" t="s">
        <v>138</v>
      </c>
      <c r="CY797" s="35">
        <v>0</v>
      </c>
      <c r="CZ797" s="36">
        <v>25</v>
      </c>
      <c r="DA797" s="35">
        <v>1.9</v>
      </c>
      <c r="DB797" s="36">
        <v>100</v>
      </c>
      <c r="DC797" s="37">
        <v>0.81</v>
      </c>
      <c r="DD797" s="36">
        <v>46</v>
      </c>
      <c r="DE797" s="37">
        <v>0</v>
      </c>
      <c r="DF797" s="35">
        <v>0.56999999999999995</v>
      </c>
      <c r="DG797" s="37">
        <v>0.97</v>
      </c>
      <c r="DH797" s="36">
        <v>50</v>
      </c>
      <c r="DI797" s="37">
        <v>0.65</v>
      </c>
      <c r="DJ797" s="36">
        <v>41</v>
      </c>
      <c r="DK797" s="37" t="s">
        <v>138</v>
      </c>
      <c r="DL797" s="36" t="s">
        <v>138</v>
      </c>
      <c r="DM797" s="37">
        <v>0.97</v>
      </c>
      <c r="DN797" s="36">
        <v>49</v>
      </c>
      <c r="DO797" s="37">
        <v>0.65</v>
      </c>
      <c r="DP797" s="36">
        <v>42</v>
      </c>
      <c r="DQ797" s="36" t="s">
        <v>138</v>
      </c>
      <c r="DR797" s="38" t="s">
        <v>138</v>
      </c>
      <c r="DS797" s="35" t="s">
        <v>138</v>
      </c>
      <c r="DT797" s="36">
        <v>28</v>
      </c>
      <c r="DU797" s="38">
        <v>0</v>
      </c>
      <c r="DV797" s="35">
        <v>0</v>
      </c>
      <c r="DW797" s="36">
        <v>231</v>
      </c>
      <c r="DX797" s="39">
        <v>5</v>
      </c>
      <c r="DY797" s="35">
        <v>2.21</v>
      </c>
      <c r="DZ797" s="28" t="s">
        <v>178</v>
      </c>
      <c r="EA797" s="34">
        <v>43564</v>
      </c>
      <c r="EB797" s="29" t="s">
        <v>138</v>
      </c>
      <c r="EC797" s="34" t="s">
        <v>138</v>
      </c>
      <c r="ED797" s="28" t="s">
        <v>138</v>
      </c>
      <c r="EE797" s="40" t="str">
        <f>HYPERLINK("https://my.pitchbook.com?c=183282-40", "View company online")</f>
        <v>View company online</v>
      </c>
    </row>
    <row r="798" spans="1:135">
      <c r="A798" s="15" t="s">
        <v>15880</v>
      </c>
      <c r="B798" s="15" t="s">
        <v>15881</v>
      </c>
      <c r="C798" s="15" t="s">
        <v>138</v>
      </c>
      <c r="D798" s="15" t="s">
        <v>138</v>
      </c>
      <c r="E798" s="15" t="s">
        <v>15882</v>
      </c>
      <c r="F798" s="15" t="s">
        <v>15880</v>
      </c>
      <c r="G798" s="15" t="s">
        <v>15883</v>
      </c>
      <c r="H798" s="15" t="s">
        <v>322</v>
      </c>
      <c r="I798" s="15" t="s">
        <v>323</v>
      </c>
      <c r="J798" s="15" t="s">
        <v>324</v>
      </c>
      <c r="K798" s="15" t="s">
        <v>15884</v>
      </c>
      <c r="L798" s="15" t="s">
        <v>1949</v>
      </c>
      <c r="M798" s="15" t="s">
        <v>15885</v>
      </c>
      <c r="N798" s="15" t="s">
        <v>147</v>
      </c>
      <c r="O798" s="17">
        <v>43.95</v>
      </c>
      <c r="P798" s="15" t="s">
        <v>148</v>
      </c>
      <c r="Q798" s="15" t="s">
        <v>149</v>
      </c>
      <c r="R798" s="15" t="s">
        <v>174</v>
      </c>
      <c r="S798" s="15" t="s">
        <v>15886</v>
      </c>
      <c r="T798" s="18">
        <v>130</v>
      </c>
      <c r="U798" s="15" t="s">
        <v>15887</v>
      </c>
      <c r="V798" s="15" t="s">
        <v>138</v>
      </c>
      <c r="W798" s="15" t="s">
        <v>138</v>
      </c>
      <c r="X798" s="19">
        <v>2016</v>
      </c>
      <c r="Y798" s="15" t="s">
        <v>138</v>
      </c>
      <c r="Z798" s="15" t="s">
        <v>138</v>
      </c>
      <c r="AA798" s="15" t="s">
        <v>138</v>
      </c>
      <c r="AB798" s="20" t="s">
        <v>138</v>
      </c>
      <c r="AC798" s="20" t="s">
        <v>138</v>
      </c>
      <c r="AD798" s="20" t="s">
        <v>138</v>
      </c>
      <c r="AE798" s="20" t="s">
        <v>138</v>
      </c>
      <c r="AF798" s="20" t="s">
        <v>138</v>
      </c>
      <c r="AG798" s="15" t="s">
        <v>138</v>
      </c>
      <c r="AH798" s="20" t="s">
        <v>138</v>
      </c>
      <c r="AI798" s="20" t="s">
        <v>138</v>
      </c>
      <c r="AJ798" s="20" t="s">
        <v>138</v>
      </c>
      <c r="AK798" s="15" t="s">
        <v>15888</v>
      </c>
      <c r="AL798" s="15" t="s">
        <v>15889</v>
      </c>
      <c r="AM798" s="15" t="s">
        <v>304</v>
      </c>
      <c r="AN798" s="15" t="s">
        <v>138</v>
      </c>
      <c r="AO798" s="15" t="s">
        <v>15890</v>
      </c>
      <c r="AP798" s="15" t="s">
        <v>6608</v>
      </c>
      <c r="AQ798" s="15" t="s">
        <v>15891</v>
      </c>
      <c r="AR798" s="15" t="s">
        <v>15892</v>
      </c>
      <c r="AS798" s="15" t="s">
        <v>6611</v>
      </c>
      <c r="AT798" s="15" t="s">
        <v>138</v>
      </c>
      <c r="AU798" s="15" t="s">
        <v>15893</v>
      </c>
      <c r="AV798" s="15" t="s">
        <v>1614</v>
      </c>
      <c r="AW798" s="15" t="s">
        <v>15890</v>
      </c>
      <c r="AX798" s="15" t="s">
        <v>138</v>
      </c>
      <c r="AY798" s="15" t="s">
        <v>15894</v>
      </c>
      <c r="AZ798" s="15" t="s">
        <v>530</v>
      </c>
      <c r="BA798" s="15" t="s">
        <v>1616</v>
      </c>
      <c r="BB798" s="15" t="s">
        <v>15895</v>
      </c>
      <c r="BC798" s="15" t="s">
        <v>15896</v>
      </c>
      <c r="BD798" s="21">
        <v>12</v>
      </c>
      <c r="BE798" s="15" t="s">
        <v>138</v>
      </c>
      <c r="BF798" s="15" t="s">
        <v>138</v>
      </c>
      <c r="BG798" s="15" t="s">
        <v>138</v>
      </c>
      <c r="BH798" s="15" t="s">
        <v>15897</v>
      </c>
      <c r="BI798" s="15" t="s">
        <v>138</v>
      </c>
      <c r="BJ798" s="15" t="s">
        <v>138</v>
      </c>
      <c r="BK798" s="15" t="s">
        <v>1621</v>
      </c>
      <c r="BL798" s="15" t="s">
        <v>1621</v>
      </c>
      <c r="BM798" s="22">
        <v>42669</v>
      </c>
      <c r="BN798" s="17">
        <v>2.21</v>
      </c>
      <c r="BO798" s="15" t="s">
        <v>172</v>
      </c>
      <c r="BP798" s="17" t="s">
        <v>138</v>
      </c>
      <c r="BQ798" s="15" t="s">
        <v>138</v>
      </c>
      <c r="BR798" s="15" t="s">
        <v>234</v>
      </c>
      <c r="BS798" s="15" t="s">
        <v>234</v>
      </c>
      <c r="BT798" s="15" t="s">
        <v>138</v>
      </c>
      <c r="BU798" s="15" t="s">
        <v>174</v>
      </c>
      <c r="BV798" s="15" t="s">
        <v>138</v>
      </c>
      <c r="BW798" s="15" t="s">
        <v>138</v>
      </c>
      <c r="BX798" s="15" t="s">
        <v>138</v>
      </c>
      <c r="BY798" s="15" t="s">
        <v>175</v>
      </c>
      <c r="BZ798" s="22">
        <v>43250</v>
      </c>
      <c r="CA798" s="17">
        <v>29.59</v>
      </c>
      <c r="CB798" s="15" t="s">
        <v>172</v>
      </c>
      <c r="CC798" s="17" t="s">
        <v>138</v>
      </c>
      <c r="CD798" s="15" t="s">
        <v>138</v>
      </c>
      <c r="CE798" s="15" t="s">
        <v>205</v>
      </c>
      <c r="CF798" s="15" t="s">
        <v>720</v>
      </c>
      <c r="CG798" s="15" t="s">
        <v>138</v>
      </c>
      <c r="CH798" s="15" t="s">
        <v>174</v>
      </c>
      <c r="CI798" s="15" t="s">
        <v>138</v>
      </c>
      <c r="CJ798" s="15" t="s">
        <v>138</v>
      </c>
      <c r="CK798" s="15" t="s">
        <v>138</v>
      </c>
      <c r="CL798" s="15" t="s">
        <v>175</v>
      </c>
      <c r="CM798" s="22" t="s">
        <v>138</v>
      </c>
      <c r="CN798" s="17" t="s">
        <v>138</v>
      </c>
      <c r="CO798" s="23">
        <v>1.08</v>
      </c>
      <c r="CP798" s="24">
        <v>97</v>
      </c>
      <c r="CQ798" s="23">
        <v>0.01</v>
      </c>
      <c r="CR798" s="23">
        <v>0.63</v>
      </c>
      <c r="CS798" s="23">
        <v>1.7</v>
      </c>
      <c r="CT798" s="24">
        <v>98</v>
      </c>
      <c r="CU798" s="23">
        <v>0.46</v>
      </c>
      <c r="CV798" s="24">
        <v>93</v>
      </c>
      <c r="CW798" s="23" t="s">
        <v>138</v>
      </c>
      <c r="CX798" s="24" t="s">
        <v>138</v>
      </c>
      <c r="CY798" s="23">
        <v>1.7</v>
      </c>
      <c r="CZ798" s="24">
        <v>100</v>
      </c>
      <c r="DA798" s="23">
        <v>0.85</v>
      </c>
      <c r="DB798" s="24">
        <v>97</v>
      </c>
      <c r="DC798" s="25">
        <v>5.0199999999999996</v>
      </c>
      <c r="DD798" s="24">
        <v>83</v>
      </c>
      <c r="DE798" s="25">
        <v>0.02</v>
      </c>
      <c r="DF798" s="23">
        <v>0.5</v>
      </c>
      <c r="DG798" s="25">
        <v>5.79</v>
      </c>
      <c r="DH798" s="24">
        <v>84</v>
      </c>
      <c r="DI798" s="25">
        <v>4.24</v>
      </c>
      <c r="DJ798" s="24">
        <v>75</v>
      </c>
      <c r="DK798" s="25" t="s">
        <v>138</v>
      </c>
      <c r="DL798" s="24" t="s">
        <v>138</v>
      </c>
      <c r="DM798" s="25">
        <v>5.79</v>
      </c>
      <c r="DN798" s="24">
        <v>83</v>
      </c>
      <c r="DO798" s="25">
        <v>2.69</v>
      </c>
      <c r="DP798" s="24">
        <v>69</v>
      </c>
      <c r="DQ798" s="24" t="s">
        <v>138</v>
      </c>
      <c r="DR798" s="26" t="s">
        <v>138</v>
      </c>
      <c r="DS798" s="23" t="s">
        <v>138</v>
      </c>
      <c r="DT798" s="24">
        <v>167</v>
      </c>
      <c r="DU798" s="26">
        <v>1</v>
      </c>
      <c r="DV798" s="23">
        <v>0.6</v>
      </c>
      <c r="DW798" s="24">
        <v>960</v>
      </c>
      <c r="DX798" s="27">
        <v>8</v>
      </c>
      <c r="DY798" s="23">
        <v>0.84</v>
      </c>
      <c r="DZ798" s="15" t="s">
        <v>178</v>
      </c>
      <c r="EA798" s="22">
        <v>43465</v>
      </c>
      <c r="EB798" s="17" t="s">
        <v>138</v>
      </c>
      <c r="EC798" s="22" t="s">
        <v>138</v>
      </c>
      <c r="ED798" s="15" t="s">
        <v>138</v>
      </c>
      <c r="EE798" s="14" t="str">
        <f>HYPERLINK("https://my.pitchbook.com?c=167652-10", "View company online")</f>
        <v>View company online</v>
      </c>
    </row>
    <row r="799" spans="1:135">
      <c r="A799" s="28" t="s">
        <v>15898</v>
      </c>
      <c r="B799" s="28" t="s">
        <v>15899</v>
      </c>
      <c r="C799" s="28" t="s">
        <v>15900</v>
      </c>
      <c r="D799" s="28" t="s">
        <v>15901</v>
      </c>
      <c r="E799" s="28" t="s">
        <v>15902</v>
      </c>
      <c r="F799" s="28" t="s">
        <v>15898</v>
      </c>
      <c r="G799" s="28" t="s">
        <v>15903</v>
      </c>
      <c r="H799" s="28" t="s">
        <v>183</v>
      </c>
      <c r="I799" s="28" t="s">
        <v>4681</v>
      </c>
      <c r="J799" s="28" t="s">
        <v>9676</v>
      </c>
      <c r="K799" s="28" t="s">
        <v>15904</v>
      </c>
      <c r="L799" s="28" t="s">
        <v>15905</v>
      </c>
      <c r="M799" s="28" t="s">
        <v>15906</v>
      </c>
      <c r="N799" s="28" t="s">
        <v>147</v>
      </c>
      <c r="O799" s="29">
        <v>39.01</v>
      </c>
      <c r="P799" s="28" t="s">
        <v>934</v>
      </c>
      <c r="Q799" s="28" t="s">
        <v>149</v>
      </c>
      <c r="R799" s="28" t="s">
        <v>174</v>
      </c>
      <c r="S799" s="28" t="s">
        <v>15907</v>
      </c>
      <c r="T799" s="30">
        <v>110</v>
      </c>
      <c r="U799" s="28" t="s">
        <v>15908</v>
      </c>
      <c r="V799" s="28" t="s">
        <v>138</v>
      </c>
      <c r="W799" s="28" t="s">
        <v>138</v>
      </c>
      <c r="X799" s="31">
        <v>2011</v>
      </c>
      <c r="Y799" s="28" t="s">
        <v>138</v>
      </c>
      <c r="Z799" s="28" t="s">
        <v>138</v>
      </c>
      <c r="AA799" s="28" t="s">
        <v>138</v>
      </c>
      <c r="AB799" s="32" t="s">
        <v>138</v>
      </c>
      <c r="AC799" s="32" t="s">
        <v>138</v>
      </c>
      <c r="AD799" s="32" t="s">
        <v>138</v>
      </c>
      <c r="AE799" s="32" t="s">
        <v>138</v>
      </c>
      <c r="AF799" s="32" t="s">
        <v>138</v>
      </c>
      <c r="AG799" s="28" t="s">
        <v>138</v>
      </c>
      <c r="AH799" s="32" t="s">
        <v>138</v>
      </c>
      <c r="AI799" s="32" t="s">
        <v>138</v>
      </c>
      <c r="AJ799" s="32" t="s">
        <v>138</v>
      </c>
      <c r="AK799" s="28" t="s">
        <v>15909</v>
      </c>
      <c r="AL799" s="28" t="s">
        <v>15910</v>
      </c>
      <c r="AM799" s="28" t="s">
        <v>15911</v>
      </c>
      <c r="AN799" s="28" t="s">
        <v>138</v>
      </c>
      <c r="AO799" s="28" t="s">
        <v>15912</v>
      </c>
      <c r="AP799" s="28" t="s">
        <v>15913</v>
      </c>
      <c r="AQ799" s="28" t="s">
        <v>15914</v>
      </c>
      <c r="AR799" s="28" t="s">
        <v>15089</v>
      </c>
      <c r="AS799" s="28" t="s">
        <v>15915</v>
      </c>
      <c r="AT799" s="28" t="s">
        <v>200</v>
      </c>
      <c r="AU799" s="28" t="s">
        <v>15916</v>
      </c>
      <c r="AV799" s="28" t="s">
        <v>162</v>
      </c>
      <c r="AW799" s="28" t="s">
        <v>15912</v>
      </c>
      <c r="AX799" s="28" t="s">
        <v>138</v>
      </c>
      <c r="AY799" s="28" t="s">
        <v>15917</v>
      </c>
      <c r="AZ799" s="28" t="s">
        <v>164</v>
      </c>
      <c r="BA799" s="28" t="s">
        <v>165</v>
      </c>
      <c r="BB799" s="28" t="s">
        <v>15918</v>
      </c>
      <c r="BC799" s="28" t="s">
        <v>15919</v>
      </c>
      <c r="BD799" s="33">
        <v>6</v>
      </c>
      <c r="BE799" s="28" t="s">
        <v>138</v>
      </c>
      <c r="BF799" s="28" t="s">
        <v>138</v>
      </c>
      <c r="BG799" s="28" t="s">
        <v>138</v>
      </c>
      <c r="BH799" s="28" t="s">
        <v>15920</v>
      </c>
      <c r="BI799" s="28" t="s">
        <v>138</v>
      </c>
      <c r="BJ799" s="28" t="s">
        <v>138</v>
      </c>
      <c r="BK799" s="28" t="s">
        <v>2936</v>
      </c>
      <c r="BL799" s="28" t="s">
        <v>2936</v>
      </c>
      <c r="BM799" s="34">
        <v>41275</v>
      </c>
      <c r="BN799" s="29">
        <v>0.15</v>
      </c>
      <c r="BO799" s="28" t="s">
        <v>172</v>
      </c>
      <c r="BP799" s="29" t="s">
        <v>138</v>
      </c>
      <c r="BQ799" s="28" t="s">
        <v>138</v>
      </c>
      <c r="BR799" s="28" t="s">
        <v>176</v>
      </c>
      <c r="BS799" s="28" t="s">
        <v>138</v>
      </c>
      <c r="BT799" s="28" t="s">
        <v>138</v>
      </c>
      <c r="BU799" s="28" t="s">
        <v>177</v>
      </c>
      <c r="BV799" s="28" t="s">
        <v>138</v>
      </c>
      <c r="BW799" s="28" t="s">
        <v>138</v>
      </c>
      <c r="BX799" s="28" t="s">
        <v>138</v>
      </c>
      <c r="BY799" s="28" t="s">
        <v>175</v>
      </c>
      <c r="BZ799" s="34" t="s">
        <v>138</v>
      </c>
      <c r="CA799" s="29">
        <v>8.5</v>
      </c>
      <c r="CB799" s="28" t="s">
        <v>1178</v>
      </c>
      <c r="CC799" s="29">
        <v>78.5</v>
      </c>
      <c r="CD799" s="28" t="s">
        <v>1178</v>
      </c>
      <c r="CE799" s="28" t="s">
        <v>173</v>
      </c>
      <c r="CF799" s="28" t="s">
        <v>1727</v>
      </c>
      <c r="CG799" s="28" t="s">
        <v>138</v>
      </c>
      <c r="CH799" s="28" t="s">
        <v>174</v>
      </c>
      <c r="CI799" s="28" t="s">
        <v>138</v>
      </c>
      <c r="CJ799" s="28" t="s">
        <v>138</v>
      </c>
      <c r="CK799" s="28" t="s">
        <v>138</v>
      </c>
      <c r="CL799" s="28" t="s">
        <v>3093</v>
      </c>
      <c r="CM799" s="34" t="s">
        <v>138</v>
      </c>
      <c r="CN799" s="29" t="s">
        <v>138</v>
      </c>
      <c r="CO799" s="35">
        <v>0.57999999999999996</v>
      </c>
      <c r="CP799" s="36">
        <v>96</v>
      </c>
      <c r="CQ799" s="35">
        <v>0</v>
      </c>
      <c r="CR799" s="35">
        <v>-0.24</v>
      </c>
      <c r="CS799" s="35" t="s">
        <v>138</v>
      </c>
      <c r="CT799" s="36" t="s">
        <v>138</v>
      </c>
      <c r="CU799" s="35">
        <v>0.46</v>
      </c>
      <c r="CV799" s="36">
        <v>93</v>
      </c>
      <c r="CW799" s="35" t="s">
        <v>138</v>
      </c>
      <c r="CX799" s="36" t="s">
        <v>138</v>
      </c>
      <c r="CY799" s="35" t="s">
        <v>138</v>
      </c>
      <c r="CZ799" s="36" t="s">
        <v>138</v>
      </c>
      <c r="DA799" s="35">
        <v>0.46</v>
      </c>
      <c r="DB799" s="36">
        <v>93</v>
      </c>
      <c r="DC799" s="37">
        <v>0.56999999999999995</v>
      </c>
      <c r="DD799" s="36">
        <v>37</v>
      </c>
      <c r="DE799" s="37">
        <v>0</v>
      </c>
      <c r="DF799" s="35">
        <v>0.71</v>
      </c>
      <c r="DG799" s="37" t="s">
        <v>138</v>
      </c>
      <c r="DH799" s="36" t="s">
        <v>138</v>
      </c>
      <c r="DI799" s="37">
        <v>0.93</v>
      </c>
      <c r="DJ799" s="36">
        <v>48</v>
      </c>
      <c r="DK799" s="37" t="s">
        <v>138</v>
      </c>
      <c r="DL799" s="36" t="s">
        <v>138</v>
      </c>
      <c r="DM799" s="37" t="s">
        <v>138</v>
      </c>
      <c r="DN799" s="36" t="s">
        <v>138</v>
      </c>
      <c r="DO799" s="37">
        <v>0.93</v>
      </c>
      <c r="DP799" s="36">
        <v>49</v>
      </c>
      <c r="DQ799" s="36" t="s">
        <v>138</v>
      </c>
      <c r="DR799" s="38" t="s">
        <v>138</v>
      </c>
      <c r="DS799" s="35" t="s">
        <v>138</v>
      </c>
      <c r="DT799" s="36" t="s">
        <v>138</v>
      </c>
      <c r="DU799" s="38" t="s">
        <v>138</v>
      </c>
      <c r="DV799" s="35" t="s">
        <v>138</v>
      </c>
      <c r="DW799" s="36">
        <v>334</v>
      </c>
      <c r="DX799" s="39">
        <v>2</v>
      </c>
      <c r="DY799" s="35">
        <v>0.6</v>
      </c>
      <c r="DZ799" s="28" t="s">
        <v>178</v>
      </c>
      <c r="EA799" s="34">
        <v>43567</v>
      </c>
      <c r="EB799" s="29">
        <v>57.51</v>
      </c>
      <c r="EC799" s="34">
        <v>43382</v>
      </c>
      <c r="ED799" s="28" t="s">
        <v>173</v>
      </c>
      <c r="EE799" s="40" t="str">
        <f>HYPERLINK("https://my.pitchbook.com?c=162170-38", "View company online")</f>
        <v>View company online</v>
      </c>
    </row>
    <row r="800" spans="1:135">
      <c r="A800" s="15" t="s">
        <v>15921</v>
      </c>
      <c r="B800" s="15" t="s">
        <v>15922</v>
      </c>
      <c r="C800" s="15" t="s">
        <v>15923</v>
      </c>
      <c r="D800" s="15" t="s">
        <v>138</v>
      </c>
      <c r="E800" s="15" t="s">
        <v>15924</v>
      </c>
      <c r="F800" s="15" t="s">
        <v>15921</v>
      </c>
      <c r="G800" s="15" t="s">
        <v>15925</v>
      </c>
      <c r="H800" s="15" t="s">
        <v>322</v>
      </c>
      <c r="I800" s="15" t="s">
        <v>323</v>
      </c>
      <c r="J800" s="15" t="s">
        <v>324</v>
      </c>
      <c r="K800" s="15" t="s">
        <v>15884</v>
      </c>
      <c r="L800" s="15" t="s">
        <v>1021</v>
      </c>
      <c r="M800" s="15" t="s">
        <v>15926</v>
      </c>
      <c r="N800" s="15" t="s">
        <v>147</v>
      </c>
      <c r="O800" s="17">
        <v>4.5999999999999996</v>
      </c>
      <c r="P800" s="15" t="s">
        <v>148</v>
      </c>
      <c r="Q800" s="15" t="s">
        <v>149</v>
      </c>
      <c r="R800" s="15" t="s">
        <v>174</v>
      </c>
      <c r="S800" s="15" t="s">
        <v>15927</v>
      </c>
      <c r="T800" s="18">
        <v>12</v>
      </c>
      <c r="U800" s="15" t="s">
        <v>15928</v>
      </c>
      <c r="V800" s="15" t="s">
        <v>138</v>
      </c>
      <c r="W800" s="15" t="s">
        <v>138</v>
      </c>
      <c r="X800" s="19">
        <v>2012</v>
      </c>
      <c r="Y800" s="15" t="s">
        <v>138</v>
      </c>
      <c r="Z800" s="15" t="s">
        <v>138</v>
      </c>
      <c r="AA800" s="15" t="s">
        <v>138</v>
      </c>
      <c r="AB800" s="20" t="s">
        <v>138</v>
      </c>
      <c r="AC800" s="20" t="s">
        <v>138</v>
      </c>
      <c r="AD800" s="20" t="s">
        <v>138</v>
      </c>
      <c r="AE800" s="20" t="s">
        <v>138</v>
      </c>
      <c r="AF800" s="20" t="s">
        <v>138</v>
      </c>
      <c r="AG800" s="15" t="s">
        <v>138</v>
      </c>
      <c r="AH800" s="20" t="s">
        <v>138</v>
      </c>
      <c r="AI800" s="20" t="s">
        <v>138</v>
      </c>
      <c r="AJ800" s="20" t="s">
        <v>138</v>
      </c>
      <c r="AK800" s="15" t="s">
        <v>15929</v>
      </c>
      <c r="AL800" s="15" t="s">
        <v>15930</v>
      </c>
      <c r="AM800" s="15" t="s">
        <v>221</v>
      </c>
      <c r="AN800" s="15" t="s">
        <v>15931</v>
      </c>
      <c r="AO800" s="15" t="s">
        <v>15932</v>
      </c>
      <c r="AP800" s="15" t="s">
        <v>665</v>
      </c>
      <c r="AQ800" s="15" t="s">
        <v>690</v>
      </c>
      <c r="AR800" s="15" t="s">
        <v>6298</v>
      </c>
      <c r="AS800" s="15" t="s">
        <v>668</v>
      </c>
      <c r="AT800" s="15" t="s">
        <v>200</v>
      </c>
      <c r="AU800" s="15" t="s">
        <v>691</v>
      </c>
      <c r="AV800" s="15" t="s">
        <v>162</v>
      </c>
      <c r="AW800" s="15" t="s">
        <v>15932</v>
      </c>
      <c r="AX800" s="15" t="s">
        <v>138</v>
      </c>
      <c r="AY800" s="15" t="s">
        <v>15933</v>
      </c>
      <c r="AZ800" s="15" t="s">
        <v>164</v>
      </c>
      <c r="BA800" s="15" t="s">
        <v>165</v>
      </c>
      <c r="BB800" s="15" t="s">
        <v>15934</v>
      </c>
      <c r="BC800" s="15" t="s">
        <v>15935</v>
      </c>
      <c r="BD800" s="21">
        <v>29</v>
      </c>
      <c r="BE800" s="15" t="s">
        <v>138</v>
      </c>
      <c r="BF800" s="15" t="s">
        <v>15936</v>
      </c>
      <c r="BG800" s="15" t="s">
        <v>138</v>
      </c>
      <c r="BH800" s="15" t="s">
        <v>15937</v>
      </c>
      <c r="BI800" s="15" t="s">
        <v>15938</v>
      </c>
      <c r="BJ800" s="15" t="s">
        <v>138</v>
      </c>
      <c r="BK800" s="15" t="s">
        <v>1275</v>
      </c>
      <c r="BL800" s="15" t="s">
        <v>1275</v>
      </c>
      <c r="BM800" s="22" t="s">
        <v>138</v>
      </c>
      <c r="BN800" s="17" t="s">
        <v>138</v>
      </c>
      <c r="BO800" s="15" t="s">
        <v>138</v>
      </c>
      <c r="BP800" s="17" t="s">
        <v>138</v>
      </c>
      <c r="BQ800" s="15" t="s">
        <v>138</v>
      </c>
      <c r="BR800" s="15" t="s">
        <v>316</v>
      </c>
      <c r="BS800" s="15" t="s">
        <v>138</v>
      </c>
      <c r="BT800" s="15" t="s">
        <v>138</v>
      </c>
      <c r="BU800" s="15" t="s">
        <v>177</v>
      </c>
      <c r="BV800" s="15" t="s">
        <v>138</v>
      </c>
      <c r="BW800" s="15" t="s">
        <v>138</v>
      </c>
      <c r="BX800" s="15" t="s">
        <v>138</v>
      </c>
      <c r="BY800" s="15" t="s">
        <v>175</v>
      </c>
      <c r="BZ800" s="22" t="s">
        <v>138</v>
      </c>
      <c r="CA800" s="17" t="s">
        <v>138</v>
      </c>
      <c r="CB800" s="15" t="s">
        <v>138</v>
      </c>
      <c r="CC800" s="17" t="s">
        <v>138</v>
      </c>
      <c r="CD800" s="15" t="s">
        <v>138</v>
      </c>
      <c r="CE800" s="15" t="s">
        <v>379</v>
      </c>
      <c r="CF800" s="15" t="s">
        <v>138</v>
      </c>
      <c r="CG800" s="15" t="s">
        <v>138</v>
      </c>
      <c r="CH800" s="15" t="s">
        <v>174</v>
      </c>
      <c r="CI800" s="15" t="s">
        <v>138</v>
      </c>
      <c r="CJ800" s="15" t="s">
        <v>138</v>
      </c>
      <c r="CK800" s="15" t="s">
        <v>138</v>
      </c>
      <c r="CL800" s="15" t="s">
        <v>175</v>
      </c>
      <c r="CM800" s="22" t="s">
        <v>138</v>
      </c>
      <c r="CN800" s="17" t="s">
        <v>138</v>
      </c>
      <c r="CO800" s="23">
        <v>0.77</v>
      </c>
      <c r="CP800" s="24">
        <v>96</v>
      </c>
      <c r="CQ800" s="23">
        <v>0</v>
      </c>
      <c r="CR800" s="23">
        <v>-0.38</v>
      </c>
      <c r="CS800" s="23">
        <v>-0.12</v>
      </c>
      <c r="CT800" s="24">
        <v>22</v>
      </c>
      <c r="CU800" s="23">
        <v>0.04</v>
      </c>
      <c r="CV800" s="24">
        <v>56</v>
      </c>
      <c r="CW800" s="23">
        <v>-0.23</v>
      </c>
      <c r="CX800" s="24">
        <v>12</v>
      </c>
      <c r="CY800" s="23">
        <v>0</v>
      </c>
      <c r="CZ800" s="24">
        <v>25</v>
      </c>
      <c r="DA800" s="23">
        <v>0.04</v>
      </c>
      <c r="DB800" s="24">
        <v>62</v>
      </c>
      <c r="DC800" s="25">
        <v>10.65</v>
      </c>
      <c r="DD800" s="24">
        <v>90</v>
      </c>
      <c r="DE800" s="25">
        <v>0.11</v>
      </c>
      <c r="DF800" s="23">
        <v>1.06</v>
      </c>
      <c r="DG800" s="25">
        <v>7.31</v>
      </c>
      <c r="DH800" s="24">
        <v>87</v>
      </c>
      <c r="DI800" s="25">
        <v>5.1100000000000003</v>
      </c>
      <c r="DJ800" s="24">
        <v>78</v>
      </c>
      <c r="DK800" s="25">
        <v>14.08</v>
      </c>
      <c r="DL800" s="24">
        <v>89</v>
      </c>
      <c r="DM800" s="25">
        <v>0.55000000000000004</v>
      </c>
      <c r="DN800" s="24">
        <v>36</v>
      </c>
      <c r="DO800" s="25">
        <v>5.1100000000000003</v>
      </c>
      <c r="DP800" s="24">
        <v>79</v>
      </c>
      <c r="DQ800" s="24">
        <v>4820</v>
      </c>
      <c r="DR800" s="26">
        <v>24</v>
      </c>
      <c r="DS800" s="23">
        <v>0.5</v>
      </c>
      <c r="DT800" s="24">
        <v>16</v>
      </c>
      <c r="DU800" s="26">
        <v>0</v>
      </c>
      <c r="DV800" s="23">
        <v>0</v>
      </c>
      <c r="DW800" s="24">
        <v>1828</v>
      </c>
      <c r="DX800" s="27">
        <v>1</v>
      </c>
      <c r="DY800" s="23">
        <v>0.05</v>
      </c>
      <c r="DZ800" s="15" t="s">
        <v>178</v>
      </c>
      <c r="EA800" s="22">
        <v>43399</v>
      </c>
      <c r="EB800" s="17">
        <v>14.97</v>
      </c>
      <c r="EC800" s="22">
        <v>42709</v>
      </c>
      <c r="ED800" s="15" t="s">
        <v>234</v>
      </c>
      <c r="EE800" s="14" t="str">
        <f>HYPERLINK("https://my.pitchbook.com?c=59170-78", "View company online")</f>
        <v>View company online</v>
      </c>
    </row>
    <row r="801" spans="1:135">
      <c r="A801" s="28" t="s">
        <v>15939</v>
      </c>
      <c r="B801" s="28" t="s">
        <v>15940</v>
      </c>
      <c r="C801" s="28" t="s">
        <v>15941</v>
      </c>
      <c r="D801" s="28" t="s">
        <v>138</v>
      </c>
      <c r="E801" s="28" t="s">
        <v>15942</v>
      </c>
      <c r="F801" s="28" t="s">
        <v>15939</v>
      </c>
      <c r="G801" s="28" t="s">
        <v>15943</v>
      </c>
      <c r="H801" s="28" t="s">
        <v>322</v>
      </c>
      <c r="I801" s="28" t="s">
        <v>323</v>
      </c>
      <c r="J801" s="28" t="s">
        <v>324</v>
      </c>
      <c r="K801" s="28" t="s">
        <v>325</v>
      </c>
      <c r="L801" s="28" t="s">
        <v>5139</v>
      </c>
      <c r="M801" s="28" t="s">
        <v>15944</v>
      </c>
      <c r="N801" s="28" t="s">
        <v>147</v>
      </c>
      <c r="O801" s="29">
        <v>125.49</v>
      </c>
      <c r="P801" s="28" t="s">
        <v>148</v>
      </c>
      <c r="Q801" s="28" t="s">
        <v>149</v>
      </c>
      <c r="R801" s="28" t="s">
        <v>174</v>
      </c>
      <c r="S801" s="28" t="s">
        <v>15945</v>
      </c>
      <c r="T801" s="30">
        <v>250</v>
      </c>
      <c r="U801" s="28" t="s">
        <v>15946</v>
      </c>
      <c r="V801" s="28" t="s">
        <v>138</v>
      </c>
      <c r="W801" s="28" t="s">
        <v>138</v>
      </c>
      <c r="X801" s="31">
        <v>2012</v>
      </c>
      <c r="Y801" s="28" t="s">
        <v>138</v>
      </c>
      <c r="Z801" s="28" t="s">
        <v>138</v>
      </c>
      <c r="AA801" s="28" t="s">
        <v>1163</v>
      </c>
      <c r="AB801" s="32">
        <v>10.210000000000001</v>
      </c>
      <c r="AC801" s="32">
        <v>3.06</v>
      </c>
      <c r="AD801" s="32">
        <v>-10.67</v>
      </c>
      <c r="AE801" s="32" t="s">
        <v>138</v>
      </c>
      <c r="AF801" s="32">
        <v>-11.23</v>
      </c>
      <c r="AG801" s="28" t="s">
        <v>419</v>
      </c>
      <c r="AH801" s="32" t="s">
        <v>138</v>
      </c>
      <c r="AI801" s="32" t="s">
        <v>138</v>
      </c>
      <c r="AJ801" s="32" t="s">
        <v>138</v>
      </c>
      <c r="AK801" s="28" t="s">
        <v>15947</v>
      </c>
      <c r="AL801" s="28" t="s">
        <v>15948</v>
      </c>
      <c r="AM801" s="28" t="s">
        <v>4214</v>
      </c>
      <c r="AN801" s="28" t="s">
        <v>15949</v>
      </c>
      <c r="AO801" s="28" t="s">
        <v>138</v>
      </c>
      <c r="AP801" s="28" t="s">
        <v>820</v>
      </c>
      <c r="AQ801" s="28" t="s">
        <v>15950</v>
      </c>
      <c r="AR801" s="28" t="s">
        <v>138</v>
      </c>
      <c r="AS801" s="28" t="s">
        <v>823</v>
      </c>
      <c r="AT801" s="28" t="s">
        <v>824</v>
      </c>
      <c r="AU801" s="28" t="s">
        <v>15951</v>
      </c>
      <c r="AV801" s="28" t="s">
        <v>526</v>
      </c>
      <c r="AW801" s="28" t="s">
        <v>138</v>
      </c>
      <c r="AX801" s="28" t="s">
        <v>138</v>
      </c>
      <c r="AY801" s="28" t="s">
        <v>138</v>
      </c>
      <c r="AZ801" s="28" t="s">
        <v>530</v>
      </c>
      <c r="BA801" s="28" t="s">
        <v>531</v>
      </c>
      <c r="BB801" s="28" t="s">
        <v>15952</v>
      </c>
      <c r="BC801" s="28" t="s">
        <v>15953</v>
      </c>
      <c r="BD801" s="33">
        <v>40</v>
      </c>
      <c r="BE801" s="28" t="s">
        <v>138</v>
      </c>
      <c r="BF801" s="28" t="s">
        <v>138</v>
      </c>
      <c r="BG801" s="28" t="s">
        <v>138</v>
      </c>
      <c r="BH801" s="28" t="s">
        <v>15954</v>
      </c>
      <c r="BI801" s="28" t="s">
        <v>138</v>
      </c>
      <c r="BJ801" s="28" t="s">
        <v>138</v>
      </c>
      <c r="BK801" s="28" t="s">
        <v>15955</v>
      </c>
      <c r="BL801" s="28" t="s">
        <v>15956</v>
      </c>
      <c r="BM801" s="34">
        <v>41091</v>
      </c>
      <c r="BN801" s="29" t="s">
        <v>138</v>
      </c>
      <c r="BO801" s="28" t="s">
        <v>138</v>
      </c>
      <c r="BP801" s="29" t="s">
        <v>138</v>
      </c>
      <c r="BQ801" s="28" t="s">
        <v>138</v>
      </c>
      <c r="BR801" s="28" t="s">
        <v>316</v>
      </c>
      <c r="BS801" s="28" t="s">
        <v>138</v>
      </c>
      <c r="BT801" s="28" t="s">
        <v>138</v>
      </c>
      <c r="BU801" s="28" t="s">
        <v>177</v>
      </c>
      <c r="BV801" s="28" t="s">
        <v>138</v>
      </c>
      <c r="BW801" s="28" t="s">
        <v>138</v>
      </c>
      <c r="BX801" s="28" t="s">
        <v>138</v>
      </c>
      <c r="BY801" s="28" t="s">
        <v>175</v>
      </c>
      <c r="BZ801" s="34">
        <v>43558</v>
      </c>
      <c r="CA801" s="29">
        <v>65.19</v>
      </c>
      <c r="CB801" s="28" t="s">
        <v>172</v>
      </c>
      <c r="CC801" s="29" t="s">
        <v>138</v>
      </c>
      <c r="CD801" s="28" t="s">
        <v>138</v>
      </c>
      <c r="CE801" s="28" t="s">
        <v>173</v>
      </c>
      <c r="CF801" s="28" t="s">
        <v>138</v>
      </c>
      <c r="CG801" s="28" t="s">
        <v>138</v>
      </c>
      <c r="CH801" s="28" t="s">
        <v>174</v>
      </c>
      <c r="CI801" s="28" t="s">
        <v>138</v>
      </c>
      <c r="CJ801" s="28" t="s">
        <v>138</v>
      </c>
      <c r="CK801" s="28" t="s">
        <v>138</v>
      </c>
      <c r="CL801" s="28" t="s">
        <v>175</v>
      </c>
      <c r="CM801" s="34" t="s">
        <v>138</v>
      </c>
      <c r="CN801" s="29" t="s">
        <v>138</v>
      </c>
      <c r="CO801" s="35">
        <v>0.8</v>
      </c>
      <c r="CP801" s="36">
        <v>96</v>
      </c>
      <c r="CQ801" s="35">
        <v>-0.3</v>
      </c>
      <c r="CR801" s="35">
        <v>-27.26</v>
      </c>
      <c r="CS801" s="35">
        <v>1.55</v>
      </c>
      <c r="CT801" s="36">
        <v>98</v>
      </c>
      <c r="CU801" s="35">
        <v>0.3</v>
      </c>
      <c r="CV801" s="36">
        <v>87</v>
      </c>
      <c r="CW801" s="35">
        <v>0.64</v>
      </c>
      <c r="CX801" s="36">
        <v>83</v>
      </c>
      <c r="CY801" s="35">
        <v>2.4500000000000002</v>
      </c>
      <c r="CZ801" s="36">
        <v>100</v>
      </c>
      <c r="DA801" s="35">
        <v>0.32</v>
      </c>
      <c r="DB801" s="36">
        <v>89</v>
      </c>
      <c r="DC801" s="37">
        <v>6.6</v>
      </c>
      <c r="DD801" s="36">
        <v>86</v>
      </c>
      <c r="DE801" s="37">
        <v>-0.15</v>
      </c>
      <c r="DF801" s="35">
        <v>-2.16</v>
      </c>
      <c r="DG801" s="37">
        <v>10.94</v>
      </c>
      <c r="DH801" s="36">
        <v>90</v>
      </c>
      <c r="DI801" s="37">
        <v>8.3800000000000008</v>
      </c>
      <c r="DJ801" s="36">
        <v>83</v>
      </c>
      <c r="DK801" s="37">
        <v>8.92</v>
      </c>
      <c r="DL801" s="36">
        <v>86</v>
      </c>
      <c r="DM801" s="37">
        <v>12.97</v>
      </c>
      <c r="DN801" s="36">
        <v>91</v>
      </c>
      <c r="DO801" s="37">
        <v>15.43</v>
      </c>
      <c r="DP801" s="36">
        <v>91</v>
      </c>
      <c r="DQ801" s="36">
        <v>3053</v>
      </c>
      <c r="DR801" s="38">
        <v>23</v>
      </c>
      <c r="DS801" s="35">
        <v>0.76</v>
      </c>
      <c r="DT801" s="36">
        <v>374</v>
      </c>
      <c r="DU801" s="38">
        <v>3</v>
      </c>
      <c r="DV801" s="35">
        <v>0.81</v>
      </c>
      <c r="DW801" s="36">
        <v>5516</v>
      </c>
      <c r="DX801" s="39">
        <v>42</v>
      </c>
      <c r="DY801" s="35">
        <v>0.77</v>
      </c>
      <c r="DZ801" s="28" t="s">
        <v>178</v>
      </c>
      <c r="EA801" s="34">
        <v>43607</v>
      </c>
      <c r="EB801" s="29">
        <v>6.51</v>
      </c>
      <c r="EC801" s="34">
        <v>41845</v>
      </c>
      <c r="ED801" s="28" t="s">
        <v>205</v>
      </c>
      <c r="EE801" s="40" t="str">
        <f>HYPERLINK("https://my.pitchbook.com?c=59914-99", "View company online")</f>
        <v>View company online</v>
      </c>
    </row>
    <row r="802" spans="1:135">
      <c r="A802" s="15" t="s">
        <v>15957</v>
      </c>
      <c r="B802" s="15" t="s">
        <v>15958</v>
      </c>
      <c r="C802" s="15" t="s">
        <v>138</v>
      </c>
      <c r="D802" s="15" t="s">
        <v>138</v>
      </c>
      <c r="E802" s="15" t="s">
        <v>15959</v>
      </c>
      <c r="F802" s="15" t="s">
        <v>15957</v>
      </c>
      <c r="G802" s="15" t="s">
        <v>15960</v>
      </c>
      <c r="H802" s="15" t="s">
        <v>322</v>
      </c>
      <c r="I802" s="15" t="s">
        <v>323</v>
      </c>
      <c r="J802" s="15" t="s">
        <v>324</v>
      </c>
      <c r="K802" s="15" t="s">
        <v>1543</v>
      </c>
      <c r="L802" s="15" t="s">
        <v>6068</v>
      </c>
      <c r="M802" s="15" t="s">
        <v>15961</v>
      </c>
      <c r="N802" s="15" t="s">
        <v>147</v>
      </c>
      <c r="O802" s="17">
        <v>1.43</v>
      </c>
      <c r="P802" s="15" t="s">
        <v>148</v>
      </c>
      <c r="Q802" s="15" t="s">
        <v>149</v>
      </c>
      <c r="R802" s="15" t="s">
        <v>174</v>
      </c>
      <c r="S802" s="15" t="s">
        <v>15962</v>
      </c>
      <c r="T802" s="18">
        <v>12</v>
      </c>
      <c r="U802" s="15" t="s">
        <v>15963</v>
      </c>
      <c r="V802" s="15" t="s">
        <v>138</v>
      </c>
      <c r="W802" s="15" t="s">
        <v>138</v>
      </c>
      <c r="X802" s="19">
        <v>2014</v>
      </c>
      <c r="Y802" s="15" t="s">
        <v>138</v>
      </c>
      <c r="Z802" s="15" t="s">
        <v>138</v>
      </c>
      <c r="AA802" s="15" t="s">
        <v>138</v>
      </c>
      <c r="AB802" s="20" t="s">
        <v>138</v>
      </c>
      <c r="AC802" s="20" t="s">
        <v>138</v>
      </c>
      <c r="AD802" s="20" t="s">
        <v>138</v>
      </c>
      <c r="AE802" s="20" t="s">
        <v>138</v>
      </c>
      <c r="AF802" s="20" t="s">
        <v>138</v>
      </c>
      <c r="AG802" s="15" t="s">
        <v>138</v>
      </c>
      <c r="AH802" s="20" t="s">
        <v>138</v>
      </c>
      <c r="AI802" s="20" t="s">
        <v>138</v>
      </c>
      <c r="AJ802" s="20" t="s">
        <v>138</v>
      </c>
      <c r="AK802" s="15" t="s">
        <v>15964</v>
      </c>
      <c r="AL802" s="15" t="s">
        <v>15965</v>
      </c>
      <c r="AM802" s="15" t="s">
        <v>15966</v>
      </c>
      <c r="AN802" s="15" t="s">
        <v>15967</v>
      </c>
      <c r="AO802" s="15" t="s">
        <v>138</v>
      </c>
      <c r="AP802" s="15" t="s">
        <v>665</v>
      </c>
      <c r="AQ802" s="15" t="s">
        <v>15968</v>
      </c>
      <c r="AR802" s="15" t="s">
        <v>5582</v>
      </c>
      <c r="AS802" s="15" t="s">
        <v>668</v>
      </c>
      <c r="AT802" s="15" t="s">
        <v>200</v>
      </c>
      <c r="AU802" s="15" t="s">
        <v>3557</v>
      </c>
      <c r="AV802" s="15" t="s">
        <v>162</v>
      </c>
      <c r="AW802" s="15" t="s">
        <v>138</v>
      </c>
      <c r="AX802" s="15" t="s">
        <v>138</v>
      </c>
      <c r="AY802" s="15" t="s">
        <v>15969</v>
      </c>
      <c r="AZ802" s="15" t="s">
        <v>164</v>
      </c>
      <c r="BA802" s="15" t="s">
        <v>165</v>
      </c>
      <c r="BB802" s="15" t="s">
        <v>15970</v>
      </c>
      <c r="BC802" s="15" t="s">
        <v>15971</v>
      </c>
      <c r="BD802" s="21">
        <v>9</v>
      </c>
      <c r="BE802" s="15" t="s">
        <v>138</v>
      </c>
      <c r="BF802" s="15" t="s">
        <v>138</v>
      </c>
      <c r="BG802" s="15" t="s">
        <v>138</v>
      </c>
      <c r="BH802" s="15" t="s">
        <v>15972</v>
      </c>
      <c r="BI802" s="15" t="s">
        <v>138</v>
      </c>
      <c r="BJ802" s="15" t="s">
        <v>138</v>
      </c>
      <c r="BK802" s="15" t="s">
        <v>138</v>
      </c>
      <c r="BL802" s="15" t="s">
        <v>138</v>
      </c>
      <c r="BM802" s="22">
        <v>41689</v>
      </c>
      <c r="BN802" s="17">
        <v>0.03</v>
      </c>
      <c r="BO802" s="15" t="s">
        <v>172</v>
      </c>
      <c r="BP802" s="17" t="s">
        <v>138</v>
      </c>
      <c r="BQ802" s="15" t="s">
        <v>138</v>
      </c>
      <c r="BR802" s="15" t="s">
        <v>316</v>
      </c>
      <c r="BS802" s="15" t="s">
        <v>138</v>
      </c>
      <c r="BT802" s="15" t="s">
        <v>138</v>
      </c>
      <c r="BU802" s="15" t="s">
        <v>174</v>
      </c>
      <c r="BV802" s="15" t="s">
        <v>138</v>
      </c>
      <c r="BW802" s="15" t="s">
        <v>138</v>
      </c>
      <c r="BX802" s="15" t="s">
        <v>138</v>
      </c>
      <c r="BY802" s="15" t="s">
        <v>175</v>
      </c>
      <c r="BZ802" s="22">
        <v>42233</v>
      </c>
      <c r="CA802" s="17">
        <v>0.9</v>
      </c>
      <c r="CB802" s="15" t="s">
        <v>172</v>
      </c>
      <c r="CC802" s="17" t="s">
        <v>138</v>
      </c>
      <c r="CD802" s="15" t="s">
        <v>138</v>
      </c>
      <c r="CE802" s="15" t="s">
        <v>205</v>
      </c>
      <c r="CF802" s="15" t="s">
        <v>138</v>
      </c>
      <c r="CG802" s="15" t="s">
        <v>138</v>
      </c>
      <c r="CH802" s="15" t="s">
        <v>174</v>
      </c>
      <c r="CI802" s="15" t="s">
        <v>138</v>
      </c>
      <c r="CJ802" s="15" t="s">
        <v>138</v>
      </c>
      <c r="CK802" s="15" t="s">
        <v>138</v>
      </c>
      <c r="CL802" s="15" t="s">
        <v>175</v>
      </c>
      <c r="CM802" s="22" t="s">
        <v>138</v>
      </c>
      <c r="CN802" s="17" t="s">
        <v>138</v>
      </c>
      <c r="CO802" s="23">
        <v>-1.44</v>
      </c>
      <c r="CP802" s="24">
        <v>8</v>
      </c>
      <c r="CQ802" s="23">
        <v>-0.03</v>
      </c>
      <c r="CR802" s="23">
        <v>-2.0499999999999998</v>
      </c>
      <c r="CS802" s="23">
        <v>-4.32</v>
      </c>
      <c r="CT802" s="24">
        <v>3</v>
      </c>
      <c r="CU802" s="23">
        <v>0</v>
      </c>
      <c r="CV802" s="24">
        <v>22</v>
      </c>
      <c r="CW802" s="23">
        <v>-2.82</v>
      </c>
      <c r="CX802" s="24">
        <v>6</v>
      </c>
      <c r="CY802" s="23">
        <v>-5.81</v>
      </c>
      <c r="CZ802" s="24">
        <v>2</v>
      </c>
      <c r="DA802" s="23">
        <v>-0.11</v>
      </c>
      <c r="DB802" s="24">
        <v>5</v>
      </c>
      <c r="DC802" s="25">
        <v>3.62</v>
      </c>
      <c r="DD802" s="24">
        <v>78</v>
      </c>
      <c r="DE802" s="25">
        <v>-0.18</v>
      </c>
      <c r="DF802" s="23">
        <v>-4.68</v>
      </c>
      <c r="DG802" s="25">
        <v>7.55</v>
      </c>
      <c r="DH802" s="24">
        <v>87</v>
      </c>
      <c r="DI802" s="25">
        <v>3.07</v>
      </c>
      <c r="DJ802" s="24">
        <v>70</v>
      </c>
      <c r="DK802" s="25">
        <v>6.37</v>
      </c>
      <c r="DL802" s="24">
        <v>82</v>
      </c>
      <c r="DM802" s="25">
        <v>8.7200000000000006</v>
      </c>
      <c r="DN802" s="24">
        <v>87</v>
      </c>
      <c r="DO802" s="25">
        <v>6.03</v>
      </c>
      <c r="DP802" s="24">
        <v>82</v>
      </c>
      <c r="DQ802" s="24">
        <v>2348</v>
      </c>
      <c r="DR802" s="26">
        <v>-494</v>
      </c>
      <c r="DS802" s="23">
        <v>-17.38</v>
      </c>
      <c r="DT802" s="24">
        <v>257</v>
      </c>
      <c r="DU802" s="26">
        <v>-8</v>
      </c>
      <c r="DV802" s="23">
        <v>-3.02</v>
      </c>
      <c r="DW802" s="24">
        <v>2157</v>
      </c>
      <c r="DX802" s="27">
        <v>1</v>
      </c>
      <c r="DY802" s="23">
        <v>0.05</v>
      </c>
      <c r="DZ802" s="15" t="s">
        <v>178</v>
      </c>
      <c r="EA802" s="22">
        <v>43406</v>
      </c>
      <c r="EB802" s="17">
        <v>10</v>
      </c>
      <c r="EC802" s="22">
        <v>41932</v>
      </c>
      <c r="ED802" s="15" t="s">
        <v>205</v>
      </c>
      <c r="EE802" s="14" t="str">
        <f>HYPERLINK("https://my.pitchbook.com?c=98257-42", "View company online")</f>
        <v>View company online</v>
      </c>
    </row>
    <row r="803" spans="1:135">
      <c r="A803" s="28" t="s">
        <v>15973</v>
      </c>
      <c r="B803" s="28" t="s">
        <v>15974</v>
      </c>
      <c r="C803" s="28" t="s">
        <v>138</v>
      </c>
      <c r="D803" s="28" t="s">
        <v>138</v>
      </c>
      <c r="E803" s="28" t="s">
        <v>138</v>
      </c>
      <c r="F803" s="28" t="s">
        <v>15973</v>
      </c>
      <c r="G803" s="28" t="s">
        <v>15975</v>
      </c>
      <c r="H803" s="28" t="s">
        <v>322</v>
      </c>
      <c r="I803" s="28" t="s">
        <v>323</v>
      </c>
      <c r="J803" s="28" t="s">
        <v>954</v>
      </c>
      <c r="K803" s="28" t="s">
        <v>4143</v>
      </c>
      <c r="L803" s="28" t="s">
        <v>5101</v>
      </c>
      <c r="M803" s="28" t="s">
        <v>15976</v>
      </c>
      <c r="N803" s="28" t="s">
        <v>147</v>
      </c>
      <c r="O803" s="29">
        <v>31.4</v>
      </c>
      <c r="P803" s="28" t="s">
        <v>148</v>
      </c>
      <c r="Q803" s="28" t="s">
        <v>149</v>
      </c>
      <c r="R803" s="28" t="s">
        <v>244</v>
      </c>
      <c r="S803" s="28" t="s">
        <v>15977</v>
      </c>
      <c r="T803" s="30">
        <v>51</v>
      </c>
      <c r="U803" s="28" t="s">
        <v>15978</v>
      </c>
      <c r="V803" s="28" t="s">
        <v>138</v>
      </c>
      <c r="W803" s="28" t="s">
        <v>138</v>
      </c>
      <c r="X803" s="31">
        <v>2011</v>
      </c>
      <c r="Y803" s="28" t="s">
        <v>138</v>
      </c>
      <c r="Z803" s="28" t="s">
        <v>138</v>
      </c>
      <c r="AA803" s="28" t="s">
        <v>138</v>
      </c>
      <c r="AB803" s="32">
        <v>6.26</v>
      </c>
      <c r="AC803" s="32" t="s">
        <v>138</v>
      </c>
      <c r="AD803" s="32">
        <v>-2.75</v>
      </c>
      <c r="AE803" s="32" t="s">
        <v>138</v>
      </c>
      <c r="AF803" s="32" t="s">
        <v>138</v>
      </c>
      <c r="AG803" s="28" t="s">
        <v>707</v>
      </c>
      <c r="AH803" s="32" t="s">
        <v>138</v>
      </c>
      <c r="AI803" s="32" t="s">
        <v>138</v>
      </c>
      <c r="AJ803" s="32" t="s">
        <v>138</v>
      </c>
      <c r="AK803" s="28" t="s">
        <v>15979</v>
      </c>
      <c r="AL803" s="28" t="s">
        <v>15980</v>
      </c>
      <c r="AM803" s="28" t="s">
        <v>15981</v>
      </c>
      <c r="AN803" s="28" t="s">
        <v>15982</v>
      </c>
      <c r="AO803" s="28" t="s">
        <v>15983</v>
      </c>
      <c r="AP803" s="28" t="s">
        <v>3449</v>
      </c>
      <c r="AQ803" s="28" t="s">
        <v>15984</v>
      </c>
      <c r="AR803" s="28" t="s">
        <v>15985</v>
      </c>
      <c r="AS803" s="28" t="s">
        <v>3452</v>
      </c>
      <c r="AT803" s="28" t="s">
        <v>3453</v>
      </c>
      <c r="AU803" s="28" t="s">
        <v>15986</v>
      </c>
      <c r="AV803" s="28" t="s">
        <v>2333</v>
      </c>
      <c r="AW803" s="28" t="s">
        <v>15983</v>
      </c>
      <c r="AX803" s="28" t="s">
        <v>138</v>
      </c>
      <c r="AY803" s="28" t="s">
        <v>15987</v>
      </c>
      <c r="AZ803" s="28" t="s">
        <v>452</v>
      </c>
      <c r="BA803" s="28" t="s">
        <v>2335</v>
      </c>
      <c r="BB803" s="28" t="s">
        <v>15988</v>
      </c>
      <c r="BC803" s="28" t="s">
        <v>15989</v>
      </c>
      <c r="BD803" s="33">
        <v>3</v>
      </c>
      <c r="BE803" s="28" t="s">
        <v>138</v>
      </c>
      <c r="BF803" s="28" t="s">
        <v>138</v>
      </c>
      <c r="BG803" s="28" t="s">
        <v>138</v>
      </c>
      <c r="BH803" s="28" t="s">
        <v>15990</v>
      </c>
      <c r="BI803" s="28" t="s">
        <v>138</v>
      </c>
      <c r="BJ803" s="28" t="s">
        <v>138</v>
      </c>
      <c r="BK803" s="28" t="s">
        <v>138</v>
      </c>
      <c r="BL803" s="28" t="s">
        <v>15991</v>
      </c>
      <c r="BM803" s="34">
        <v>41086</v>
      </c>
      <c r="BN803" s="29">
        <v>3.5</v>
      </c>
      <c r="BO803" s="28" t="s">
        <v>172</v>
      </c>
      <c r="BP803" s="29" t="s">
        <v>138</v>
      </c>
      <c r="BQ803" s="28" t="s">
        <v>138</v>
      </c>
      <c r="BR803" s="28" t="s">
        <v>205</v>
      </c>
      <c r="BS803" s="28" t="s">
        <v>138</v>
      </c>
      <c r="BT803" s="28" t="s">
        <v>138</v>
      </c>
      <c r="BU803" s="28" t="s">
        <v>174</v>
      </c>
      <c r="BV803" s="28" t="s">
        <v>138</v>
      </c>
      <c r="BW803" s="28" t="s">
        <v>138</v>
      </c>
      <c r="BX803" s="28" t="s">
        <v>138</v>
      </c>
      <c r="BY803" s="28" t="s">
        <v>175</v>
      </c>
      <c r="BZ803" s="34">
        <v>42909</v>
      </c>
      <c r="CA803" s="29">
        <v>18</v>
      </c>
      <c r="CB803" s="28" t="s">
        <v>172</v>
      </c>
      <c r="CC803" s="29" t="s">
        <v>138</v>
      </c>
      <c r="CD803" s="28" t="s">
        <v>138</v>
      </c>
      <c r="CE803" s="28" t="s">
        <v>173</v>
      </c>
      <c r="CF803" s="28" t="s">
        <v>317</v>
      </c>
      <c r="CG803" s="28" t="s">
        <v>138</v>
      </c>
      <c r="CH803" s="28" t="s">
        <v>174</v>
      </c>
      <c r="CI803" s="28" t="s">
        <v>138</v>
      </c>
      <c r="CJ803" s="28" t="s">
        <v>138</v>
      </c>
      <c r="CK803" s="28" t="s">
        <v>138</v>
      </c>
      <c r="CL803" s="28" t="s">
        <v>175</v>
      </c>
      <c r="CM803" s="34">
        <v>42555</v>
      </c>
      <c r="CN803" s="29">
        <v>2.4</v>
      </c>
      <c r="CO803" s="35">
        <v>-0.32</v>
      </c>
      <c r="CP803" s="36">
        <v>18</v>
      </c>
      <c r="CQ803" s="35">
        <v>0.02</v>
      </c>
      <c r="CR803" s="35">
        <v>5.74</v>
      </c>
      <c r="CS803" s="35">
        <v>-0.85</v>
      </c>
      <c r="CT803" s="36">
        <v>16</v>
      </c>
      <c r="CU803" s="35">
        <v>0.21</v>
      </c>
      <c r="CV803" s="36">
        <v>81</v>
      </c>
      <c r="CW803" s="35">
        <v>0</v>
      </c>
      <c r="CX803" s="36">
        <v>13</v>
      </c>
      <c r="CY803" s="35">
        <v>-1.7</v>
      </c>
      <c r="CZ803" s="36">
        <v>13</v>
      </c>
      <c r="DA803" s="35">
        <v>0.21</v>
      </c>
      <c r="DB803" s="36">
        <v>83</v>
      </c>
      <c r="DC803" s="37">
        <v>2.95</v>
      </c>
      <c r="DD803" s="36">
        <v>75</v>
      </c>
      <c r="DE803" s="37">
        <v>-0.02</v>
      </c>
      <c r="DF803" s="35">
        <v>-0.7</v>
      </c>
      <c r="DG803" s="37">
        <v>2.33</v>
      </c>
      <c r="DH803" s="36">
        <v>70</v>
      </c>
      <c r="DI803" s="37">
        <v>3.57</v>
      </c>
      <c r="DJ803" s="36">
        <v>72</v>
      </c>
      <c r="DK803" s="37">
        <v>1.22</v>
      </c>
      <c r="DL803" s="36">
        <v>54</v>
      </c>
      <c r="DM803" s="37">
        <v>3.45</v>
      </c>
      <c r="DN803" s="36">
        <v>76</v>
      </c>
      <c r="DO803" s="37">
        <v>3.57</v>
      </c>
      <c r="DP803" s="36">
        <v>74</v>
      </c>
      <c r="DQ803" s="36">
        <v>405</v>
      </c>
      <c r="DR803" s="38">
        <v>39</v>
      </c>
      <c r="DS803" s="35">
        <v>10.66</v>
      </c>
      <c r="DT803" s="36">
        <v>100</v>
      </c>
      <c r="DU803" s="38">
        <v>0</v>
      </c>
      <c r="DV803" s="35">
        <v>0</v>
      </c>
      <c r="DW803" s="36">
        <v>1274</v>
      </c>
      <c r="DX803" s="39">
        <v>5</v>
      </c>
      <c r="DY803" s="35">
        <v>0.39</v>
      </c>
      <c r="DZ803" s="28" t="s">
        <v>178</v>
      </c>
      <c r="EA803" s="34">
        <v>43570</v>
      </c>
      <c r="EB803" s="29" t="s">
        <v>138</v>
      </c>
      <c r="EC803" s="34" t="s">
        <v>138</v>
      </c>
      <c r="ED803" s="28" t="s">
        <v>138</v>
      </c>
      <c r="EE803" s="40" t="str">
        <f>HYPERLINK("https://my.pitchbook.com?c=52623-91", "View company online")</f>
        <v>View company online</v>
      </c>
    </row>
    <row r="804" spans="1:135">
      <c r="A804" s="15" t="s">
        <v>15992</v>
      </c>
      <c r="B804" s="15" t="s">
        <v>15993</v>
      </c>
      <c r="C804" s="15" t="s">
        <v>15994</v>
      </c>
      <c r="D804" s="15" t="s">
        <v>138</v>
      </c>
      <c r="E804" s="15" t="s">
        <v>15995</v>
      </c>
      <c r="F804" s="15" t="s">
        <v>15992</v>
      </c>
      <c r="G804" s="15" t="s">
        <v>15996</v>
      </c>
      <c r="H804" s="15" t="s">
        <v>238</v>
      </c>
      <c r="I804" s="15" t="s">
        <v>749</v>
      </c>
      <c r="J804" s="15" t="s">
        <v>750</v>
      </c>
      <c r="K804" s="15" t="s">
        <v>5196</v>
      </c>
      <c r="L804" s="15" t="s">
        <v>4263</v>
      </c>
      <c r="M804" s="15" t="s">
        <v>15997</v>
      </c>
      <c r="N804" s="15" t="s">
        <v>147</v>
      </c>
      <c r="O804" s="17">
        <v>23.96</v>
      </c>
      <c r="P804" s="15" t="s">
        <v>148</v>
      </c>
      <c r="Q804" s="15" t="s">
        <v>149</v>
      </c>
      <c r="R804" s="15" t="s">
        <v>174</v>
      </c>
      <c r="S804" s="15" t="s">
        <v>15998</v>
      </c>
      <c r="T804" s="18">
        <v>15</v>
      </c>
      <c r="U804" s="15" t="s">
        <v>7917</v>
      </c>
      <c r="V804" s="15" t="s">
        <v>138</v>
      </c>
      <c r="W804" s="15" t="s">
        <v>138</v>
      </c>
      <c r="X804" s="19" t="s">
        <v>138</v>
      </c>
      <c r="Y804" s="15" t="s">
        <v>138</v>
      </c>
      <c r="Z804" s="15" t="s">
        <v>138</v>
      </c>
      <c r="AA804" s="15" t="s">
        <v>138</v>
      </c>
      <c r="AB804" s="20" t="s">
        <v>138</v>
      </c>
      <c r="AC804" s="20" t="s">
        <v>138</v>
      </c>
      <c r="AD804" s="20" t="s">
        <v>138</v>
      </c>
      <c r="AE804" s="20" t="s">
        <v>138</v>
      </c>
      <c r="AF804" s="20" t="s">
        <v>138</v>
      </c>
      <c r="AG804" s="15" t="s">
        <v>138</v>
      </c>
      <c r="AH804" s="20" t="s">
        <v>138</v>
      </c>
      <c r="AI804" s="20" t="s">
        <v>138</v>
      </c>
      <c r="AJ804" s="20" t="s">
        <v>138</v>
      </c>
      <c r="AK804" s="15" t="s">
        <v>15999</v>
      </c>
      <c r="AL804" s="15" t="s">
        <v>16000</v>
      </c>
      <c r="AM804" s="15" t="s">
        <v>12280</v>
      </c>
      <c r="AN804" s="15" t="s">
        <v>16001</v>
      </c>
      <c r="AO804" s="15" t="s">
        <v>16002</v>
      </c>
      <c r="AP804" s="15" t="s">
        <v>2002</v>
      </c>
      <c r="AQ804" s="15" t="s">
        <v>16003</v>
      </c>
      <c r="AR804" s="15" t="s">
        <v>16004</v>
      </c>
      <c r="AS804" s="15" t="s">
        <v>2005</v>
      </c>
      <c r="AT804" s="15" t="s">
        <v>200</v>
      </c>
      <c r="AU804" s="15" t="s">
        <v>16005</v>
      </c>
      <c r="AV804" s="15" t="s">
        <v>162</v>
      </c>
      <c r="AW804" s="15" t="s">
        <v>16002</v>
      </c>
      <c r="AX804" s="15" t="s">
        <v>138</v>
      </c>
      <c r="AY804" s="15" t="s">
        <v>16006</v>
      </c>
      <c r="AZ804" s="15" t="s">
        <v>164</v>
      </c>
      <c r="BA804" s="15" t="s">
        <v>165</v>
      </c>
      <c r="BB804" s="15" t="s">
        <v>16007</v>
      </c>
      <c r="BC804" s="15" t="s">
        <v>16008</v>
      </c>
      <c r="BD804" s="21">
        <v>10</v>
      </c>
      <c r="BE804" s="15" t="s">
        <v>138</v>
      </c>
      <c r="BF804" s="15" t="s">
        <v>138</v>
      </c>
      <c r="BG804" s="15" t="s">
        <v>138</v>
      </c>
      <c r="BH804" s="15" t="s">
        <v>16009</v>
      </c>
      <c r="BI804" s="15" t="s">
        <v>138</v>
      </c>
      <c r="BJ804" s="15" t="s">
        <v>138</v>
      </c>
      <c r="BK804" s="15" t="s">
        <v>16010</v>
      </c>
      <c r="BL804" s="15" t="s">
        <v>16011</v>
      </c>
      <c r="BM804" s="22">
        <v>41640</v>
      </c>
      <c r="BN804" s="17" t="s">
        <v>138</v>
      </c>
      <c r="BO804" s="15" t="s">
        <v>138</v>
      </c>
      <c r="BP804" s="17" t="s">
        <v>138</v>
      </c>
      <c r="BQ804" s="15" t="s">
        <v>138</v>
      </c>
      <c r="BR804" s="15" t="s">
        <v>316</v>
      </c>
      <c r="BS804" s="15" t="s">
        <v>138</v>
      </c>
      <c r="BT804" s="15" t="s">
        <v>138</v>
      </c>
      <c r="BU804" s="15" t="s">
        <v>177</v>
      </c>
      <c r="BV804" s="15" t="s">
        <v>138</v>
      </c>
      <c r="BW804" s="15" t="s">
        <v>138</v>
      </c>
      <c r="BX804" s="15" t="s">
        <v>138</v>
      </c>
      <c r="BY804" s="15" t="s">
        <v>175</v>
      </c>
      <c r="BZ804" s="22">
        <v>43382</v>
      </c>
      <c r="CA804" s="17">
        <v>20</v>
      </c>
      <c r="CB804" s="15" t="s">
        <v>172</v>
      </c>
      <c r="CC804" s="17" t="s">
        <v>138</v>
      </c>
      <c r="CD804" s="15" t="s">
        <v>138</v>
      </c>
      <c r="CE804" s="15" t="s">
        <v>205</v>
      </c>
      <c r="CF804" s="15" t="s">
        <v>720</v>
      </c>
      <c r="CG804" s="15" t="s">
        <v>138</v>
      </c>
      <c r="CH804" s="15" t="s">
        <v>174</v>
      </c>
      <c r="CI804" s="15" t="s">
        <v>138</v>
      </c>
      <c r="CJ804" s="15" t="s">
        <v>138</v>
      </c>
      <c r="CK804" s="15" t="s">
        <v>138</v>
      </c>
      <c r="CL804" s="15" t="s">
        <v>175</v>
      </c>
      <c r="CM804" s="22" t="s">
        <v>138</v>
      </c>
      <c r="CN804" s="17" t="s">
        <v>138</v>
      </c>
      <c r="CO804" s="23">
        <v>-0.28999999999999998</v>
      </c>
      <c r="CP804" s="24">
        <v>18</v>
      </c>
      <c r="CQ804" s="23">
        <v>0</v>
      </c>
      <c r="CR804" s="23">
        <v>-0.06</v>
      </c>
      <c r="CS804" s="23">
        <v>-0.78</v>
      </c>
      <c r="CT804" s="24">
        <v>17</v>
      </c>
      <c r="CU804" s="23">
        <v>0.19</v>
      </c>
      <c r="CV804" s="24">
        <v>79</v>
      </c>
      <c r="CW804" s="23">
        <v>-0.78</v>
      </c>
      <c r="CX804" s="24">
        <v>10</v>
      </c>
      <c r="CY804" s="23" t="s">
        <v>138</v>
      </c>
      <c r="CZ804" s="24" t="s">
        <v>138</v>
      </c>
      <c r="DA804" s="23">
        <v>0.3</v>
      </c>
      <c r="DB804" s="24">
        <v>88</v>
      </c>
      <c r="DC804" s="25">
        <v>31.89</v>
      </c>
      <c r="DD804" s="24">
        <v>97</v>
      </c>
      <c r="DE804" s="25">
        <v>-0.51</v>
      </c>
      <c r="DF804" s="23">
        <v>-1.56</v>
      </c>
      <c r="DG804" s="25">
        <v>7.78</v>
      </c>
      <c r="DH804" s="24">
        <v>87</v>
      </c>
      <c r="DI804" s="25">
        <v>56</v>
      </c>
      <c r="DJ804" s="24">
        <v>95</v>
      </c>
      <c r="DK804" s="25">
        <v>7.78</v>
      </c>
      <c r="DL804" s="24">
        <v>84</v>
      </c>
      <c r="DM804" s="25" t="s">
        <v>138</v>
      </c>
      <c r="DN804" s="24" t="s">
        <v>138</v>
      </c>
      <c r="DO804" s="25">
        <v>7.63</v>
      </c>
      <c r="DP804" s="24">
        <v>84</v>
      </c>
      <c r="DQ804" s="24">
        <v>2590</v>
      </c>
      <c r="DR804" s="26">
        <v>234</v>
      </c>
      <c r="DS804" s="23">
        <v>9.93</v>
      </c>
      <c r="DT804" s="24" t="s">
        <v>138</v>
      </c>
      <c r="DU804" s="26" t="s">
        <v>138</v>
      </c>
      <c r="DV804" s="23" t="s">
        <v>138</v>
      </c>
      <c r="DW804" s="24">
        <v>2720</v>
      </c>
      <c r="DX804" s="27">
        <v>6</v>
      </c>
      <c r="DY804" s="23">
        <v>0.22</v>
      </c>
      <c r="DZ804" s="15" t="s">
        <v>178</v>
      </c>
      <c r="EA804" s="22">
        <v>43619</v>
      </c>
      <c r="EB804" s="17" t="s">
        <v>138</v>
      </c>
      <c r="EC804" s="22" t="s">
        <v>138</v>
      </c>
      <c r="ED804" s="15" t="s">
        <v>138</v>
      </c>
      <c r="EE804" s="14" t="str">
        <f>HYPERLINK("https://my.pitchbook.com?c=169018-93", "View company online")</f>
        <v>View company online</v>
      </c>
    </row>
    <row r="805" spans="1:135">
      <c r="A805" s="28" t="s">
        <v>16012</v>
      </c>
      <c r="B805" s="28" t="s">
        <v>16013</v>
      </c>
      <c r="C805" s="28" t="s">
        <v>138</v>
      </c>
      <c r="D805" s="28" t="s">
        <v>138</v>
      </c>
      <c r="E805" s="28" t="s">
        <v>16014</v>
      </c>
      <c r="F805" s="28" t="s">
        <v>16012</v>
      </c>
      <c r="G805" s="28" t="s">
        <v>16015</v>
      </c>
      <c r="H805" s="28" t="s">
        <v>322</v>
      </c>
      <c r="I805" s="28" t="s">
        <v>323</v>
      </c>
      <c r="J805" s="28" t="s">
        <v>461</v>
      </c>
      <c r="K805" s="28" t="s">
        <v>2209</v>
      </c>
      <c r="L805" s="28" t="s">
        <v>16016</v>
      </c>
      <c r="M805" s="28" t="s">
        <v>16017</v>
      </c>
      <c r="N805" s="28" t="s">
        <v>147</v>
      </c>
      <c r="O805" s="29">
        <v>61</v>
      </c>
      <c r="P805" s="28" t="s">
        <v>148</v>
      </c>
      <c r="Q805" s="28" t="s">
        <v>149</v>
      </c>
      <c r="R805" s="28" t="s">
        <v>174</v>
      </c>
      <c r="S805" s="28" t="s">
        <v>16018</v>
      </c>
      <c r="T805" s="30">
        <v>180</v>
      </c>
      <c r="U805" s="28" t="s">
        <v>16019</v>
      </c>
      <c r="V805" s="28" t="s">
        <v>138</v>
      </c>
      <c r="W805" s="28" t="s">
        <v>138</v>
      </c>
      <c r="X805" s="31">
        <v>2009</v>
      </c>
      <c r="Y805" s="28" t="s">
        <v>138</v>
      </c>
      <c r="Z805" s="28" t="s">
        <v>1163</v>
      </c>
      <c r="AA805" s="28" t="s">
        <v>1163</v>
      </c>
      <c r="AB805" s="32" t="s">
        <v>138</v>
      </c>
      <c r="AC805" s="32" t="s">
        <v>138</v>
      </c>
      <c r="AD805" s="32" t="s">
        <v>138</v>
      </c>
      <c r="AE805" s="32" t="s">
        <v>138</v>
      </c>
      <c r="AF805" s="32" t="s">
        <v>138</v>
      </c>
      <c r="AG805" s="28" t="s">
        <v>138</v>
      </c>
      <c r="AH805" s="32" t="s">
        <v>138</v>
      </c>
      <c r="AI805" s="32" t="s">
        <v>138</v>
      </c>
      <c r="AJ805" s="32" t="s">
        <v>138</v>
      </c>
      <c r="AK805" s="28" t="s">
        <v>16020</v>
      </c>
      <c r="AL805" s="28" t="s">
        <v>16021</v>
      </c>
      <c r="AM805" s="28" t="s">
        <v>16022</v>
      </c>
      <c r="AN805" s="28" t="s">
        <v>16023</v>
      </c>
      <c r="AO805" s="28" t="s">
        <v>16024</v>
      </c>
      <c r="AP805" s="28" t="s">
        <v>1292</v>
      </c>
      <c r="AQ805" s="28" t="s">
        <v>16025</v>
      </c>
      <c r="AR805" s="28" t="s">
        <v>667</v>
      </c>
      <c r="AS805" s="28" t="s">
        <v>1294</v>
      </c>
      <c r="AT805" s="28" t="s">
        <v>864</v>
      </c>
      <c r="AU805" s="28" t="s">
        <v>7283</v>
      </c>
      <c r="AV805" s="28" t="s">
        <v>162</v>
      </c>
      <c r="AW805" s="28" t="s">
        <v>16026</v>
      </c>
      <c r="AX805" s="28" t="s">
        <v>138</v>
      </c>
      <c r="AY805" s="28" t="s">
        <v>16027</v>
      </c>
      <c r="AZ805" s="28" t="s">
        <v>164</v>
      </c>
      <c r="BA805" s="28" t="s">
        <v>165</v>
      </c>
      <c r="BB805" s="28" t="s">
        <v>16028</v>
      </c>
      <c r="BC805" s="28" t="s">
        <v>16029</v>
      </c>
      <c r="BD805" s="33">
        <v>11</v>
      </c>
      <c r="BE805" s="28" t="s">
        <v>138</v>
      </c>
      <c r="BF805" s="28" t="s">
        <v>138</v>
      </c>
      <c r="BG805" s="28" t="s">
        <v>138</v>
      </c>
      <c r="BH805" s="28" t="s">
        <v>16030</v>
      </c>
      <c r="BI805" s="28" t="s">
        <v>138</v>
      </c>
      <c r="BJ805" s="28" t="s">
        <v>138</v>
      </c>
      <c r="BK805" s="28" t="s">
        <v>16031</v>
      </c>
      <c r="BL805" s="28" t="s">
        <v>1251</v>
      </c>
      <c r="BM805" s="34">
        <v>41185</v>
      </c>
      <c r="BN805" s="29">
        <v>3</v>
      </c>
      <c r="BO805" s="28" t="s">
        <v>172</v>
      </c>
      <c r="BP805" s="29">
        <v>10.5</v>
      </c>
      <c r="BQ805" s="28" t="s">
        <v>172</v>
      </c>
      <c r="BR805" s="28" t="s">
        <v>205</v>
      </c>
      <c r="BS805" s="28" t="s">
        <v>206</v>
      </c>
      <c r="BT805" s="28" t="s">
        <v>138</v>
      </c>
      <c r="BU805" s="28" t="s">
        <v>174</v>
      </c>
      <c r="BV805" s="28" t="s">
        <v>138</v>
      </c>
      <c r="BW805" s="28" t="s">
        <v>138</v>
      </c>
      <c r="BX805" s="28" t="s">
        <v>138</v>
      </c>
      <c r="BY805" s="28" t="s">
        <v>175</v>
      </c>
      <c r="BZ805" s="34">
        <v>43203</v>
      </c>
      <c r="CA805" s="29">
        <v>31</v>
      </c>
      <c r="CB805" s="28" t="s">
        <v>172</v>
      </c>
      <c r="CC805" s="29">
        <v>161</v>
      </c>
      <c r="CD805" s="28" t="s">
        <v>172</v>
      </c>
      <c r="CE805" s="28" t="s">
        <v>173</v>
      </c>
      <c r="CF805" s="28" t="s">
        <v>317</v>
      </c>
      <c r="CG805" s="28" t="s">
        <v>138</v>
      </c>
      <c r="CH805" s="28" t="s">
        <v>174</v>
      </c>
      <c r="CI805" s="28" t="s">
        <v>138</v>
      </c>
      <c r="CJ805" s="28" t="s">
        <v>138</v>
      </c>
      <c r="CK805" s="28" t="s">
        <v>138</v>
      </c>
      <c r="CL805" s="28" t="s">
        <v>175</v>
      </c>
      <c r="CM805" s="34" t="s">
        <v>138</v>
      </c>
      <c r="CN805" s="29" t="s">
        <v>138</v>
      </c>
      <c r="CO805" s="35">
        <v>-1.27</v>
      </c>
      <c r="CP805" s="36">
        <v>9</v>
      </c>
      <c r="CQ805" s="35">
        <v>0.01</v>
      </c>
      <c r="CR805" s="35">
        <v>0.42</v>
      </c>
      <c r="CS805" s="35">
        <v>-2.7</v>
      </c>
      <c r="CT805" s="36">
        <v>6</v>
      </c>
      <c r="CU805" s="35">
        <v>0.16</v>
      </c>
      <c r="CV805" s="36">
        <v>76</v>
      </c>
      <c r="CW805" s="35">
        <v>-4.63</v>
      </c>
      <c r="CX805" s="36">
        <v>3</v>
      </c>
      <c r="CY805" s="35">
        <v>-0.78</v>
      </c>
      <c r="CZ805" s="36">
        <v>20</v>
      </c>
      <c r="DA805" s="35">
        <v>0.09</v>
      </c>
      <c r="DB805" s="36">
        <v>70</v>
      </c>
      <c r="DC805" s="37">
        <v>12.26</v>
      </c>
      <c r="DD805" s="36">
        <v>92</v>
      </c>
      <c r="DE805" s="37">
        <v>-0.11</v>
      </c>
      <c r="DF805" s="35">
        <v>-0.9</v>
      </c>
      <c r="DG805" s="37">
        <v>18.59</v>
      </c>
      <c r="DH805" s="36">
        <v>94</v>
      </c>
      <c r="DI805" s="37">
        <v>5.93</v>
      </c>
      <c r="DJ805" s="36">
        <v>79</v>
      </c>
      <c r="DK805" s="37">
        <v>4.07</v>
      </c>
      <c r="DL805" s="36">
        <v>76</v>
      </c>
      <c r="DM805" s="37">
        <v>33.1</v>
      </c>
      <c r="DN805" s="36">
        <v>97</v>
      </c>
      <c r="DO805" s="37">
        <v>11.12</v>
      </c>
      <c r="DP805" s="36">
        <v>88</v>
      </c>
      <c r="DQ805" s="36">
        <v>1379</v>
      </c>
      <c r="DR805" s="38">
        <v>46</v>
      </c>
      <c r="DS805" s="35">
        <v>3.45</v>
      </c>
      <c r="DT805" s="36">
        <v>960</v>
      </c>
      <c r="DU805" s="38">
        <v>1</v>
      </c>
      <c r="DV805" s="35">
        <v>0.1</v>
      </c>
      <c r="DW805" s="36">
        <v>3979</v>
      </c>
      <c r="DX805" s="39">
        <v>6</v>
      </c>
      <c r="DY805" s="35">
        <v>0.15</v>
      </c>
      <c r="DZ805" s="28" t="s">
        <v>178</v>
      </c>
      <c r="EA805" s="34">
        <v>43549</v>
      </c>
      <c r="EB805" s="29">
        <v>161</v>
      </c>
      <c r="EC805" s="34">
        <v>43203</v>
      </c>
      <c r="ED805" s="28" t="s">
        <v>173</v>
      </c>
      <c r="EE805" s="40" t="str">
        <f>HYPERLINK("https://my.pitchbook.com?c=64018-63", "View company online")</f>
        <v>View company online</v>
      </c>
    </row>
    <row r="806" spans="1:135">
      <c r="A806" s="15" t="s">
        <v>16032</v>
      </c>
      <c r="B806" s="15" t="s">
        <v>16033</v>
      </c>
      <c r="C806" s="15" t="s">
        <v>16034</v>
      </c>
      <c r="D806" s="15" t="s">
        <v>138</v>
      </c>
      <c r="E806" s="15" t="s">
        <v>16035</v>
      </c>
      <c r="F806" s="15" t="s">
        <v>16032</v>
      </c>
      <c r="G806" s="15" t="s">
        <v>16036</v>
      </c>
      <c r="H806" s="15" t="s">
        <v>322</v>
      </c>
      <c r="I806" s="15" t="s">
        <v>323</v>
      </c>
      <c r="J806" s="15" t="s">
        <v>413</v>
      </c>
      <c r="K806" s="15" t="s">
        <v>16037</v>
      </c>
      <c r="L806" s="15" t="s">
        <v>16038</v>
      </c>
      <c r="M806" s="15" t="s">
        <v>16039</v>
      </c>
      <c r="N806" s="15" t="s">
        <v>147</v>
      </c>
      <c r="O806" s="17">
        <v>0.5</v>
      </c>
      <c r="P806" s="15" t="s">
        <v>148</v>
      </c>
      <c r="Q806" s="15" t="s">
        <v>149</v>
      </c>
      <c r="R806" s="15" t="s">
        <v>174</v>
      </c>
      <c r="S806" s="15" t="s">
        <v>16040</v>
      </c>
      <c r="T806" s="18">
        <v>11</v>
      </c>
      <c r="U806" s="15" t="s">
        <v>1356</v>
      </c>
      <c r="V806" s="15" t="s">
        <v>138</v>
      </c>
      <c r="W806" s="15" t="s">
        <v>138</v>
      </c>
      <c r="X806" s="19">
        <v>2012</v>
      </c>
      <c r="Y806" s="15" t="s">
        <v>138</v>
      </c>
      <c r="Z806" s="15" t="s">
        <v>138</v>
      </c>
      <c r="AA806" s="15" t="s">
        <v>138</v>
      </c>
      <c r="AB806" s="20" t="s">
        <v>138</v>
      </c>
      <c r="AC806" s="20" t="s">
        <v>138</v>
      </c>
      <c r="AD806" s="20" t="s">
        <v>138</v>
      </c>
      <c r="AE806" s="20" t="s">
        <v>138</v>
      </c>
      <c r="AF806" s="20" t="s">
        <v>138</v>
      </c>
      <c r="AG806" s="15" t="s">
        <v>138</v>
      </c>
      <c r="AH806" s="20" t="s">
        <v>138</v>
      </c>
      <c r="AI806" s="20" t="s">
        <v>138</v>
      </c>
      <c r="AJ806" s="20" t="s">
        <v>138</v>
      </c>
      <c r="AK806" s="15" t="s">
        <v>16041</v>
      </c>
      <c r="AL806" s="15" t="s">
        <v>16042</v>
      </c>
      <c r="AM806" s="15" t="s">
        <v>938</v>
      </c>
      <c r="AN806" s="15" t="s">
        <v>16043</v>
      </c>
      <c r="AO806" s="15" t="s">
        <v>16044</v>
      </c>
      <c r="AP806" s="15" t="s">
        <v>665</v>
      </c>
      <c r="AQ806" s="15" t="s">
        <v>138</v>
      </c>
      <c r="AR806" s="15" t="s">
        <v>138</v>
      </c>
      <c r="AS806" s="15" t="s">
        <v>668</v>
      </c>
      <c r="AT806" s="15" t="s">
        <v>200</v>
      </c>
      <c r="AU806" s="15" t="s">
        <v>138</v>
      </c>
      <c r="AV806" s="15" t="s">
        <v>162</v>
      </c>
      <c r="AW806" s="15" t="s">
        <v>16044</v>
      </c>
      <c r="AX806" s="15" t="s">
        <v>138</v>
      </c>
      <c r="AY806" s="15" t="s">
        <v>16045</v>
      </c>
      <c r="AZ806" s="15" t="s">
        <v>164</v>
      </c>
      <c r="BA806" s="15" t="s">
        <v>165</v>
      </c>
      <c r="BB806" s="15" t="s">
        <v>16046</v>
      </c>
      <c r="BC806" s="15" t="s">
        <v>16047</v>
      </c>
      <c r="BD806" s="21">
        <v>14</v>
      </c>
      <c r="BE806" s="15" t="s">
        <v>138</v>
      </c>
      <c r="BF806" s="15" t="s">
        <v>138</v>
      </c>
      <c r="BG806" s="15" t="s">
        <v>138</v>
      </c>
      <c r="BH806" s="15" t="s">
        <v>16048</v>
      </c>
      <c r="BI806" s="15" t="s">
        <v>138</v>
      </c>
      <c r="BJ806" s="15" t="s">
        <v>138</v>
      </c>
      <c r="BK806" s="15" t="s">
        <v>3482</v>
      </c>
      <c r="BL806" s="15" t="s">
        <v>138</v>
      </c>
      <c r="BM806" s="22" t="s">
        <v>138</v>
      </c>
      <c r="BN806" s="17">
        <v>0.5</v>
      </c>
      <c r="BO806" s="15" t="s">
        <v>172</v>
      </c>
      <c r="BP806" s="17" t="s">
        <v>138</v>
      </c>
      <c r="BQ806" s="15" t="s">
        <v>138</v>
      </c>
      <c r="BR806" s="15" t="s">
        <v>234</v>
      </c>
      <c r="BS806" s="15" t="s">
        <v>234</v>
      </c>
      <c r="BT806" s="15" t="s">
        <v>138</v>
      </c>
      <c r="BU806" s="15" t="s">
        <v>174</v>
      </c>
      <c r="BV806" s="15" t="s">
        <v>138</v>
      </c>
      <c r="BW806" s="15" t="s">
        <v>138</v>
      </c>
      <c r="BX806" s="15" t="s">
        <v>138</v>
      </c>
      <c r="BY806" s="15" t="s">
        <v>175</v>
      </c>
      <c r="BZ806" s="22">
        <v>42653</v>
      </c>
      <c r="CA806" s="17" t="s">
        <v>138</v>
      </c>
      <c r="CB806" s="15" t="s">
        <v>138</v>
      </c>
      <c r="CC806" s="17" t="s">
        <v>138</v>
      </c>
      <c r="CD806" s="15" t="s">
        <v>138</v>
      </c>
      <c r="CE806" s="15" t="s">
        <v>234</v>
      </c>
      <c r="CF806" s="15" t="s">
        <v>234</v>
      </c>
      <c r="CG806" s="15" t="s">
        <v>138</v>
      </c>
      <c r="CH806" s="15" t="s">
        <v>174</v>
      </c>
      <c r="CI806" s="15" t="s">
        <v>138</v>
      </c>
      <c r="CJ806" s="15" t="s">
        <v>138</v>
      </c>
      <c r="CK806" s="15" t="s">
        <v>138</v>
      </c>
      <c r="CL806" s="15" t="s">
        <v>175</v>
      </c>
      <c r="CM806" s="22" t="s">
        <v>138</v>
      </c>
      <c r="CN806" s="17" t="s">
        <v>138</v>
      </c>
      <c r="CO806" s="23">
        <v>-1.74</v>
      </c>
      <c r="CP806" s="24">
        <v>6</v>
      </c>
      <c r="CQ806" s="23">
        <v>-7.0000000000000007E-2</v>
      </c>
      <c r="CR806" s="23">
        <v>-4.4000000000000004</v>
      </c>
      <c r="CS806" s="23">
        <v>-3.43</v>
      </c>
      <c r="CT806" s="24">
        <v>4</v>
      </c>
      <c r="CU806" s="23">
        <v>-0.06</v>
      </c>
      <c r="CV806" s="24">
        <v>8</v>
      </c>
      <c r="CW806" s="23">
        <v>-6.6</v>
      </c>
      <c r="CX806" s="24">
        <v>2</v>
      </c>
      <c r="CY806" s="23">
        <v>-0.26</v>
      </c>
      <c r="CZ806" s="24">
        <v>23</v>
      </c>
      <c r="DA806" s="23">
        <v>-0.09</v>
      </c>
      <c r="DB806" s="24">
        <v>7</v>
      </c>
      <c r="DC806" s="25">
        <v>29.34</v>
      </c>
      <c r="DD806" s="24">
        <v>96</v>
      </c>
      <c r="DE806" s="25">
        <v>-0.44</v>
      </c>
      <c r="DF806" s="23">
        <v>-1.49</v>
      </c>
      <c r="DG806" s="25">
        <v>31.51</v>
      </c>
      <c r="DH806" s="24">
        <v>97</v>
      </c>
      <c r="DI806" s="25">
        <v>27.17</v>
      </c>
      <c r="DJ806" s="24">
        <v>92</v>
      </c>
      <c r="DK806" s="25">
        <v>13.96</v>
      </c>
      <c r="DL806" s="24">
        <v>89</v>
      </c>
      <c r="DM806" s="25">
        <v>49.07</v>
      </c>
      <c r="DN806" s="24">
        <v>98</v>
      </c>
      <c r="DO806" s="25">
        <v>52.86</v>
      </c>
      <c r="DP806" s="24">
        <v>97</v>
      </c>
      <c r="DQ806" s="24">
        <v>4850</v>
      </c>
      <c r="DR806" s="26">
        <v>-187</v>
      </c>
      <c r="DS806" s="23">
        <v>-3.71</v>
      </c>
      <c r="DT806" s="24">
        <v>1425</v>
      </c>
      <c r="DU806" s="26">
        <v>-14</v>
      </c>
      <c r="DV806" s="23">
        <v>-0.97</v>
      </c>
      <c r="DW806" s="24">
        <v>18928</v>
      </c>
      <c r="DX806" s="27">
        <v>-15</v>
      </c>
      <c r="DY806" s="23">
        <v>-0.08</v>
      </c>
      <c r="DZ806" s="15" t="s">
        <v>178</v>
      </c>
      <c r="EA806" s="22">
        <v>43351</v>
      </c>
      <c r="EB806" s="17" t="s">
        <v>138</v>
      </c>
      <c r="EC806" s="22" t="s">
        <v>138</v>
      </c>
      <c r="ED806" s="15" t="s">
        <v>138</v>
      </c>
      <c r="EE806" s="14" t="str">
        <f>HYPERLINK("https://my.pitchbook.com?c=61175-53", "View company online")</f>
        <v>View company online</v>
      </c>
    </row>
    <row r="807" spans="1:135">
      <c r="A807" s="28" t="s">
        <v>16049</v>
      </c>
      <c r="B807" s="28" t="s">
        <v>16050</v>
      </c>
      <c r="C807" s="28" t="s">
        <v>16051</v>
      </c>
      <c r="D807" s="28" t="s">
        <v>138</v>
      </c>
      <c r="E807" s="28" t="s">
        <v>16052</v>
      </c>
      <c r="F807" s="28" t="s">
        <v>16049</v>
      </c>
      <c r="G807" s="28" t="s">
        <v>16053</v>
      </c>
      <c r="H807" s="28" t="s">
        <v>322</v>
      </c>
      <c r="I807" s="28" t="s">
        <v>323</v>
      </c>
      <c r="J807" s="28" t="s">
        <v>2984</v>
      </c>
      <c r="K807" s="28" t="s">
        <v>5783</v>
      </c>
      <c r="L807" s="28" t="s">
        <v>16054</v>
      </c>
      <c r="M807" s="28" t="s">
        <v>16055</v>
      </c>
      <c r="N807" s="28" t="s">
        <v>147</v>
      </c>
      <c r="O807" s="29">
        <v>92.1</v>
      </c>
      <c r="P807" s="28" t="s">
        <v>148</v>
      </c>
      <c r="Q807" s="28" t="s">
        <v>149</v>
      </c>
      <c r="R807" s="28" t="s">
        <v>174</v>
      </c>
      <c r="S807" s="28" t="s">
        <v>16056</v>
      </c>
      <c r="T807" s="30">
        <v>78</v>
      </c>
      <c r="U807" s="28" t="s">
        <v>16057</v>
      </c>
      <c r="V807" s="28" t="s">
        <v>138</v>
      </c>
      <c r="W807" s="28" t="s">
        <v>138</v>
      </c>
      <c r="X807" s="31">
        <v>2013</v>
      </c>
      <c r="Y807" s="28" t="s">
        <v>138</v>
      </c>
      <c r="Z807" s="28" t="s">
        <v>138</v>
      </c>
      <c r="AA807" s="28" t="s">
        <v>138</v>
      </c>
      <c r="AB807" s="32" t="s">
        <v>138</v>
      </c>
      <c r="AC807" s="32" t="s">
        <v>138</v>
      </c>
      <c r="AD807" s="32" t="s">
        <v>138</v>
      </c>
      <c r="AE807" s="32" t="s">
        <v>138</v>
      </c>
      <c r="AF807" s="32" t="s">
        <v>138</v>
      </c>
      <c r="AG807" s="28" t="s">
        <v>138</v>
      </c>
      <c r="AH807" s="32" t="s">
        <v>138</v>
      </c>
      <c r="AI807" s="32" t="s">
        <v>138</v>
      </c>
      <c r="AJ807" s="32" t="s">
        <v>138</v>
      </c>
      <c r="AK807" s="28" t="s">
        <v>16058</v>
      </c>
      <c r="AL807" s="28" t="s">
        <v>16059</v>
      </c>
      <c r="AM807" s="28" t="s">
        <v>221</v>
      </c>
      <c r="AN807" s="28" t="s">
        <v>16060</v>
      </c>
      <c r="AO807" s="28" t="s">
        <v>16061</v>
      </c>
      <c r="AP807" s="28" t="s">
        <v>665</v>
      </c>
      <c r="AQ807" s="28" t="s">
        <v>16062</v>
      </c>
      <c r="AR807" s="28" t="s">
        <v>16063</v>
      </c>
      <c r="AS807" s="28" t="s">
        <v>668</v>
      </c>
      <c r="AT807" s="28" t="s">
        <v>200</v>
      </c>
      <c r="AU807" s="28" t="s">
        <v>2052</v>
      </c>
      <c r="AV807" s="28" t="s">
        <v>162</v>
      </c>
      <c r="AW807" s="28" t="s">
        <v>16061</v>
      </c>
      <c r="AX807" s="28" t="s">
        <v>138</v>
      </c>
      <c r="AY807" s="28" t="s">
        <v>16064</v>
      </c>
      <c r="AZ807" s="28" t="s">
        <v>164</v>
      </c>
      <c r="BA807" s="28" t="s">
        <v>165</v>
      </c>
      <c r="BB807" s="28" t="s">
        <v>16065</v>
      </c>
      <c r="BC807" s="28" t="s">
        <v>16066</v>
      </c>
      <c r="BD807" s="33">
        <v>10</v>
      </c>
      <c r="BE807" s="28" t="s">
        <v>138</v>
      </c>
      <c r="BF807" s="28" t="s">
        <v>138</v>
      </c>
      <c r="BG807" s="28" t="s">
        <v>138</v>
      </c>
      <c r="BH807" s="28" t="s">
        <v>16067</v>
      </c>
      <c r="BI807" s="28" t="s">
        <v>138</v>
      </c>
      <c r="BJ807" s="28" t="s">
        <v>138</v>
      </c>
      <c r="BK807" s="28" t="s">
        <v>3826</v>
      </c>
      <c r="BL807" s="28" t="s">
        <v>3826</v>
      </c>
      <c r="BM807" s="34">
        <v>42430</v>
      </c>
      <c r="BN807" s="29">
        <v>12.1</v>
      </c>
      <c r="BO807" s="28" t="s">
        <v>172</v>
      </c>
      <c r="BP807" s="29">
        <v>44.8</v>
      </c>
      <c r="BQ807" s="28" t="s">
        <v>172</v>
      </c>
      <c r="BR807" s="28" t="s">
        <v>205</v>
      </c>
      <c r="BS807" s="28" t="s">
        <v>206</v>
      </c>
      <c r="BT807" s="28" t="s">
        <v>138</v>
      </c>
      <c r="BU807" s="28" t="s">
        <v>174</v>
      </c>
      <c r="BV807" s="28" t="s">
        <v>138</v>
      </c>
      <c r="BW807" s="28" t="s">
        <v>138</v>
      </c>
      <c r="BX807" s="28" t="s">
        <v>138</v>
      </c>
      <c r="BY807" s="28" t="s">
        <v>175</v>
      </c>
      <c r="BZ807" s="34">
        <v>43371</v>
      </c>
      <c r="CA807" s="29">
        <v>55</v>
      </c>
      <c r="CB807" s="28" t="s">
        <v>172</v>
      </c>
      <c r="CC807" s="29">
        <v>255</v>
      </c>
      <c r="CD807" s="28" t="s">
        <v>172</v>
      </c>
      <c r="CE807" s="28" t="s">
        <v>173</v>
      </c>
      <c r="CF807" s="28" t="s">
        <v>317</v>
      </c>
      <c r="CG807" s="28" t="s">
        <v>138</v>
      </c>
      <c r="CH807" s="28" t="s">
        <v>174</v>
      </c>
      <c r="CI807" s="28" t="s">
        <v>138</v>
      </c>
      <c r="CJ807" s="28" t="s">
        <v>138</v>
      </c>
      <c r="CK807" s="28" t="s">
        <v>138</v>
      </c>
      <c r="CL807" s="28" t="s">
        <v>175</v>
      </c>
      <c r="CM807" s="34" t="s">
        <v>138</v>
      </c>
      <c r="CN807" s="29" t="s">
        <v>138</v>
      </c>
      <c r="CO807" s="35">
        <v>-0.38</v>
      </c>
      <c r="CP807" s="36">
        <v>17</v>
      </c>
      <c r="CQ807" s="35">
        <v>0</v>
      </c>
      <c r="CR807" s="35">
        <v>0</v>
      </c>
      <c r="CS807" s="35">
        <v>-0.77</v>
      </c>
      <c r="CT807" s="36">
        <v>17</v>
      </c>
      <c r="CU807" s="35">
        <v>0</v>
      </c>
      <c r="CV807" s="36">
        <v>22</v>
      </c>
      <c r="CW807" s="35">
        <v>-0.77</v>
      </c>
      <c r="CX807" s="36">
        <v>10</v>
      </c>
      <c r="CY807" s="35" t="s">
        <v>138</v>
      </c>
      <c r="CZ807" s="36" t="s">
        <v>138</v>
      </c>
      <c r="DA807" s="35">
        <v>0</v>
      </c>
      <c r="DB807" s="36">
        <v>22</v>
      </c>
      <c r="DC807" s="37">
        <v>11.3</v>
      </c>
      <c r="DD807" s="36">
        <v>91</v>
      </c>
      <c r="DE807" s="37">
        <v>-1.45</v>
      </c>
      <c r="DF807" s="35">
        <v>-11.34</v>
      </c>
      <c r="DG807" s="37">
        <v>22.56</v>
      </c>
      <c r="DH807" s="36">
        <v>95</v>
      </c>
      <c r="DI807" s="37">
        <v>0.04</v>
      </c>
      <c r="DJ807" s="36">
        <v>7</v>
      </c>
      <c r="DK807" s="37">
        <v>22.56</v>
      </c>
      <c r="DL807" s="36">
        <v>92</v>
      </c>
      <c r="DM807" s="37" t="s">
        <v>138</v>
      </c>
      <c r="DN807" s="36" t="s">
        <v>138</v>
      </c>
      <c r="DO807" s="37">
        <v>0.04</v>
      </c>
      <c r="DP807" s="36">
        <v>8</v>
      </c>
      <c r="DQ807" s="36">
        <v>7599</v>
      </c>
      <c r="DR807" s="38">
        <v>420</v>
      </c>
      <c r="DS807" s="35">
        <v>5.85</v>
      </c>
      <c r="DT807" s="36" t="s">
        <v>138</v>
      </c>
      <c r="DU807" s="38" t="s">
        <v>138</v>
      </c>
      <c r="DV807" s="35" t="s">
        <v>138</v>
      </c>
      <c r="DW807" s="36">
        <v>13</v>
      </c>
      <c r="DX807" s="39">
        <v>1</v>
      </c>
      <c r="DY807" s="35">
        <v>8.33</v>
      </c>
      <c r="DZ807" s="28" t="s">
        <v>178</v>
      </c>
      <c r="EA807" s="34">
        <v>43607</v>
      </c>
      <c r="EB807" s="29">
        <v>255</v>
      </c>
      <c r="EC807" s="34">
        <v>43371</v>
      </c>
      <c r="ED807" s="28" t="s">
        <v>173</v>
      </c>
      <c r="EE807" s="40" t="str">
        <f>HYPERLINK("https://my.pitchbook.com?c=98344-09", "View company online")</f>
        <v>View company online</v>
      </c>
    </row>
    <row r="808" spans="1:135">
      <c r="A808" s="15" t="s">
        <v>16068</v>
      </c>
      <c r="B808" s="15" t="s">
        <v>16069</v>
      </c>
      <c r="C808" s="15" t="s">
        <v>138</v>
      </c>
      <c r="D808" s="15" t="s">
        <v>138</v>
      </c>
      <c r="E808" s="15" t="s">
        <v>16070</v>
      </c>
      <c r="F808" s="15" t="s">
        <v>16068</v>
      </c>
      <c r="G808" s="15" t="s">
        <v>16071</v>
      </c>
      <c r="H808" s="15" t="s">
        <v>322</v>
      </c>
      <c r="I808" s="15" t="s">
        <v>323</v>
      </c>
      <c r="J808" s="15" t="s">
        <v>1084</v>
      </c>
      <c r="K808" s="15" t="s">
        <v>16072</v>
      </c>
      <c r="L808" s="15" t="s">
        <v>415</v>
      </c>
      <c r="M808" s="15" t="s">
        <v>16073</v>
      </c>
      <c r="N808" s="15" t="s">
        <v>147</v>
      </c>
      <c r="O808" s="17">
        <v>356</v>
      </c>
      <c r="P808" s="15" t="s">
        <v>148</v>
      </c>
      <c r="Q808" s="15" t="s">
        <v>149</v>
      </c>
      <c r="R808" s="15" t="s">
        <v>244</v>
      </c>
      <c r="S808" s="15" t="s">
        <v>16074</v>
      </c>
      <c r="T808" s="18">
        <v>300</v>
      </c>
      <c r="U808" s="15" t="s">
        <v>16075</v>
      </c>
      <c r="V808" s="15" t="s">
        <v>138</v>
      </c>
      <c r="W808" s="15" t="s">
        <v>138</v>
      </c>
      <c r="X808" s="19">
        <v>2012</v>
      </c>
      <c r="Y808" s="15" t="s">
        <v>138</v>
      </c>
      <c r="Z808" s="15" t="s">
        <v>138</v>
      </c>
      <c r="AA808" s="15" t="s">
        <v>138</v>
      </c>
      <c r="AB808" s="20" t="s">
        <v>138</v>
      </c>
      <c r="AC808" s="20" t="s">
        <v>138</v>
      </c>
      <c r="AD808" s="20" t="s">
        <v>138</v>
      </c>
      <c r="AE808" s="20" t="s">
        <v>138</v>
      </c>
      <c r="AF808" s="20" t="s">
        <v>138</v>
      </c>
      <c r="AG808" s="15" t="s">
        <v>138</v>
      </c>
      <c r="AH808" s="20" t="s">
        <v>138</v>
      </c>
      <c r="AI808" s="20" t="s">
        <v>138</v>
      </c>
      <c r="AJ808" s="20" t="s">
        <v>138</v>
      </c>
      <c r="AK808" s="15" t="s">
        <v>16076</v>
      </c>
      <c r="AL808" s="15" t="s">
        <v>16077</v>
      </c>
      <c r="AM808" s="15" t="s">
        <v>16078</v>
      </c>
      <c r="AN808" s="15" t="s">
        <v>16079</v>
      </c>
      <c r="AO808" s="15" t="s">
        <v>138</v>
      </c>
      <c r="AP808" s="15" t="s">
        <v>941</v>
      </c>
      <c r="AQ808" s="15" t="s">
        <v>16080</v>
      </c>
      <c r="AR808" s="15" t="s">
        <v>138</v>
      </c>
      <c r="AS808" s="15" t="s">
        <v>944</v>
      </c>
      <c r="AT808" s="15" t="s">
        <v>138</v>
      </c>
      <c r="AU808" s="15" t="s">
        <v>9116</v>
      </c>
      <c r="AV808" s="15" t="s">
        <v>946</v>
      </c>
      <c r="AW808" s="15" t="s">
        <v>138</v>
      </c>
      <c r="AX808" s="15" t="s">
        <v>138</v>
      </c>
      <c r="AY808" s="15" t="s">
        <v>138</v>
      </c>
      <c r="AZ808" s="15" t="s">
        <v>530</v>
      </c>
      <c r="BA808" s="15" t="s">
        <v>531</v>
      </c>
      <c r="BB808" s="15" t="s">
        <v>16081</v>
      </c>
      <c r="BC808" s="15" t="s">
        <v>16082</v>
      </c>
      <c r="BD808" s="21">
        <v>21</v>
      </c>
      <c r="BE808" s="15" t="s">
        <v>138</v>
      </c>
      <c r="BF808" s="15" t="s">
        <v>2912</v>
      </c>
      <c r="BG808" s="15" t="s">
        <v>138</v>
      </c>
      <c r="BH808" s="15" t="s">
        <v>16083</v>
      </c>
      <c r="BI808" s="15" t="s">
        <v>2914</v>
      </c>
      <c r="BJ808" s="15" t="s">
        <v>138</v>
      </c>
      <c r="BK808" s="15" t="s">
        <v>16084</v>
      </c>
      <c r="BL808" s="15" t="s">
        <v>16085</v>
      </c>
      <c r="BM808" s="22">
        <v>41337</v>
      </c>
      <c r="BN808" s="17">
        <v>4</v>
      </c>
      <c r="BO808" s="15" t="s">
        <v>172</v>
      </c>
      <c r="BP808" s="17" t="s">
        <v>138</v>
      </c>
      <c r="BQ808" s="15" t="s">
        <v>138</v>
      </c>
      <c r="BR808" s="15" t="s">
        <v>234</v>
      </c>
      <c r="BS808" s="15" t="s">
        <v>234</v>
      </c>
      <c r="BT808" s="15" t="s">
        <v>138</v>
      </c>
      <c r="BU808" s="15" t="s">
        <v>174</v>
      </c>
      <c r="BV808" s="15" t="s">
        <v>138</v>
      </c>
      <c r="BW808" s="15" t="s">
        <v>138</v>
      </c>
      <c r="BX808" s="15" t="s">
        <v>138</v>
      </c>
      <c r="BY808" s="15" t="s">
        <v>175</v>
      </c>
      <c r="BZ808" s="22">
        <v>43396</v>
      </c>
      <c r="CA808" s="17">
        <v>150</v>
      </c>
      <c r="CB808" s="15" t="s">
        <v>172</v>
      </c>
      <c r="CC808" s="17" t="s">
        <v>138</v>
      </c>
      <c r="CD808" s="15" t="s">
        <v>138</v>
      </c>
      <c r="CE808" s="15" t="s">
        <v>173</v>
      </c>
      <c r="CF808" s="15" t="s">
        <v>433</v>
      </c>
      <c r="CG808" s="15" t="s">
        <v>138</v>
      </c>
      <c r="CH808" s="15" t="s">
        <v>174</v>
      </c>
      <c r="CI808" s="15" t="s">
        <v>138</v>
      </c>
      <c r="CJ808" s="15" t="s">
        <v>138</v>
      </c>
      <c r="CK808" s="15" t="s">
        <v>138</v>
      </c>
      <c r="CL808" s="15" t="s">
        <v>175</v>
      </c>
      <c r="CM808" s="22">
        <v>43185</v>
      </c>
      <c r="CN808" s="17">
        <v>60</v>
      </c>
      <c r="CO808" s="23">
        <v>-6</v>
      </c>
      <c r="CP808" s="24">
        <v>1</v>
      </c>
      <c r="CQ808" s="23">
        <v>0.92</v>
      </c>
      <c r="CR808" s="23">
        <v>13.28</v>
      </c>
      <c r="CS808" s="23">
        <v>-3</v>
      </c>
      <c r="CT808" s="24">
        <v>5</v>
      </c>
      <c r="CU808" s="23">
        <v>-23.86</v>
      </c>
      <c r="CV808" s="24">
        <v>1</v>
      </c>
      <c r="CW808" s="23" t="s">
        <v>138</v>
      </c>
      <c r="CX808" s="24" t="s">
        <v>138</v>
      </c>
      <c r="CY808" s="23">
        <v>-3</v>
      </c>
      <c r="CZ808" s="24">
        <v>7</v>
      </c>
      <c r="DA808" s="23">
        <v>-23.86</v>
      </c>
      <c r="DB808" s="24">
        <v>1</v>
      </c>
      <c r="DC808" s="25">
        <v>54</v>
      </c>
      <c r="DD808" s="24">
        <v>98</v>
      </c>
      <c r="DE808" s="25">
        <v>-4.9800000000000004</v>
      </c>
      <c r="DF808" s="23">
        <v>-8.4499999999999993</v>
      </c>
      <c r="DG808" s="25">
        <v>27.66</v>
      </c>
      <c r="DH808" s="24">
        <v>96</v>
      </c>
      <c r="DI808" s="25">
        <v>0.02</v>
      </c>
      <c r="DJ808" s="24">
        <v>4</v>
      </c>
      <c r="DK808" s="25" t="s">
        <v>138</v>
      </c>
      <c r="DL808" s="24" t="s">
        <v>138</v>
      </c>
      <c r="DM808" s="25">
        <v>27.66</v>
      </c>
      <c r="DN808" s="24">
        <v>96</v>
      </c>
      <c r="DO808" s="25">
        <v>0.02</v>
      </c>
      <c r="DP808" s="24">
        <v>4</v>
      </c>
      <c r="DQ808" s="24" t="s">
        <v>138</v>
      </c>
      <c r="DR808" s="26" t="s">
        <v>138</v>
      </c>
      <c r="DS808" s="23" t="s">
        <v>138</v>
      </c>
      <c r="DT808" s="24">
        <v>789</v>
      </c>
      <c r="DU808" s="26">
        <v>27</v>
      </c>
      <c r="DV808" s="23">
        <v>3.54</v>
      </c>
      <c r="DW808" s="24">
        <v>8</v>
      </c>
      <c r="DX808" s="27">
        <v>1</v>
      </c>
      <c r="DY808" s="23">
        <v>14.29</v>
      </c>
      <c r="DZ808" s="15" t="s">
        <v>178</v>
      </c>
      <c r="EA808" s="22">
        <v>43571</v>
      </c>
      <c r="EB808" s="17" t="s">
        <v>138</v>
      </c>
      <c r="EC808" s="22" t="s">
        <v>138</v>
      </c>
      <c r="ED808" s="15" t="s">
        <v>138</v>
      </c>
      <c r="EE808" s="14" t="str">
        <f>HYPERLINK("https://my.pitchbook.com?c=56242-81", "View company online")</f>
        <v>View company online</v>
      </c>
    </row>
    <row r="809" spans="1:135">
      <c r="A809" s="28" t="s">
        <v>16086</v>
      </c>
      <c r="B809" s="28" t="s">
        <v>16087</v>
      </c>
      <c r="C809" s="28" t="s">
        <v>138</v>
      </c>
      <c r="D809" s="28" t="s">
        <v>16088</v>
      </c>
      <c r="E809" s="28" t="s">
        <v>16089</v>
      </c>
      <c r="F809" s="28" t="s">
        <v>16086</v>
      </c>
      <c r="G809" s="28" t="s">
        <v>16090</v>
      </c>
      <c r="H809" s="28" t="s">
        <v>238</v>
      </c>
      <c r="I809" s="28" t="s">
        <v>239</v>
      </c>
      <c r="J809" s="28" t="s">
        <v>2578</v>
      </c>
      <c r="K809" s="28" t="s">
        <v>11416</v>
      </c>
      <c r="L809" s="28" t="s">
        <v>415</v>
      </c>
      <c r="M809" s="28" t="s">
        <v>16091</v>
      </c>
      <c r="N809" s="28" t="s">
        <v>147</v>
      </c>
      <c r="O809" s="29">
        <v>1.22</v>
      </c>
      <c r="P809" s="28" t="s">
        <v>148</v>
      </c>
      <c r="Q809" s="28" t="s">
        <v>149</v>
      </c>
      <c r="R809" s="28" t="s">
        <v>174</v>
      </c>
      <c r="S809" s="28" t="s">
        <v>16092</v>
      </c>
      <c r="T809" s="30">
        <v>25</v>
      </c>
      <c r="U809" s="28" t="s">
        <v>16093</v>
      </c>
      <c r="V809" s="28" t="s">
        <v>138</v>
      </c>
      <c r="W809" s="28" t="s">
        <v>138</v>
      </c>
      <c r="X809" s="31">
        <v>2012</v>
      </c>
      <c r="Y809" s="28" t="s">
        <v>138</v>
      </c>
      <c r="Z809" s="28" t="s">
        <v>138</v>
      </c>
      <c r="AA809" s="28" t="s">
        <v>138</v>
      </c>
      <c r="AB809" s="32" t="s">
        <v>138</v>
      </c>
      <c r="AC809" s="32" t="s">
        <v>138</v>
      </c>
      <c r="AD809" s="32" t="s">
        <v>138</v>
      </c>
      <c r="AE809" s="32" t="s">
        <v>138</v>
      </c>
      <c r="AF809" s="32" t="s">
        <v>138</v>
      </c>
      <c r="AG809" s="28" t="s">
        <v>138</v>
      </c>
      <c r="AH809" s="32" t="s">
        <v>138</v>
      </c>
      <c r="AI809" s="32" t="s">
        <v>138</v>
      </c>
      <c r="AJ809" s="32" t="s">
        <v>138</v>
      </c>
      <c r="AK809" s="28" t="s">
        <v>16094</v>
      </c>
      <c r="AL809" s="28" t="s">
        <v>16095</v>
      </c>
      <c r="AM809" s="28" t="s">
        <v>304</v>
      </c>
      <c r="AN809" s="28" t="s">
        <v>16096</v>
      </c>
      <c r="AO809" s="28" t="s">
        <v>138</v>
      </c>
      <c r="AP809" s="28" t="s">
        <v>16097</v>
      </c>
      <c r="AQ809" s="28" t="s">
        <v>138</v>
      </c>
      <c r="AR809" s="28" t="s">
        <v>138</v>
      </c>
      <c r="AS809" s="28" t="s">
        <v>16098</v>
      </c>
      <c r="AT809" s="28" t="s">
        <v>138</v>
      </c>
      <c r="AU809" s="28" t="s">
        <v>138</v>
      </c>
      <c r="AV809" s="28" t="s">
        <v>16099</v>
      </c>
      <c r="AW809" s="28" t="s">
        <v>138</v>
      </c>
      <c r="AX809" s="28" t="s">
        <v>138</v>
      </c>
      <c r="AY809" s="28" t="s">
        <v>16100</v>
      </c>
      <c r="AZ809" s="28" t="s">
        <v>401</v>
      </c>
      <c r="BA809" s="28" t="s">
        <v>14808</v>
      </c>
      <c r="BB809" s="28" t="s">
        <v>16101</v>
      </c>
      <c r="BC809" s="28" t="s">
        <v>16102</v>
      </c>
      <c r="BD809" s="33">
        <v>13</v>
      </c>
      <c r="BE809" s="28" t="s">
        <v>138</v>
      </c>
      <c r="BF809" s="28" t="s">
        <v>138</v>
      </c>
      <c r="BG809" s="28" t="s">
        <v>138</v>
      </c>
      <c r="BH809" s="28" t="s">
        <v>16103</v>
      </c>
      <c r="BI809" s="28" t="s">
        <v>138</v>
      </c>
      <c r="BJ809" s="28" t="s">
        <v>138</v>
      </c>
      <c r="BK809" s="28" t="s">
        <v>138</v>
      </c>
      <c r="BL809" s="28" t="s">
        <v>138</v>
      </c>
      <c r="BM809" s="34">
        <v>42604</v>
      </c>
      <c r="BN809" s="29">
        <v>0.12</v>
      </c>
      <c r="BO809" s="28" t="s">
        <v>172</v>
      </c>
      <c r="BP809" s="29">
        <v>1.71</v>
      </c>
      <c r="BQ809" s="28" t="s">
        <v>172</v>
      </c>
      <c r="BR809" s="28" t="s">
        <v>316</v>
      </c>
      <c r="BS809" s="28" t="s">
        <v>138</v>
      </c>
      <c r="BT809" s="28" t="s">
        <v>138</v>
      </c>
      <c r="BU809" s="28" t="s">
        <v>177</v>
      </c>
      <c r="BV809" s="28" t="s">
        <v>138</v>
      </c>
      <c r="BW809" s="28" t="s">
        <v>138</v>
      </c>
      <c r="BX809" s="28" t="s">
        <v>138</v>
      </c>
      <c r="BY809" s="28" t="s">
        <v>175</v>
      </c>
      <c r="BZ809" s="34">
        <v>43179</v>
      </c>
      <c r="CA809" s="29" t="s">
        <v>138</v>
      </c>
      <c r="CB809" s="28" t="s">
        <v>138</v>
      </c>
      <c r="CC809" s="29" t="s">
        <v>138</v>
      </c>
      <c r="CD809" s="28" t="s">
        <v>138</v>
      </c>
      <c r="CE809" s="28" t="s">
        <v>316</v>
      </c>
      <c r="CF809" s="28" t="s">
        <v>138</v>
      </c>
      <c r="CG809" s="28" t="s">
        <v>138</v>
      </c>
      <c r="CH809" s="28" t="s">
        <v>177</v>
      </c>
      <c r="CI809" s="28" t="s">
        <v>138</v>
      </c>
      <c r="CJ809" s="28" t="s">
        <v>138</v>
      </c>
      <c r="CK809" s="28" t="s">
        <v>138</v>
      </c>
      <c r="CL809" s="28" t="s">
        <v>175</v>
      </c>
      <c r="CM809" s="34" t="s">
        <v>138</v>
      </c>
      <c r="CN809" s="29" t="s">
        <v>138</v>
      </c>
      <c r="CO809" s="35">
        <v>-1.86</v>
      </c>
      <c r="CP809" s="36">
        <v>6</v>
      </c>
      <c r="CQ809" s="35">
        <v>0.01</v>
      </c>
      <c r="CR809" s="35">
        <v>0.52</v>
      </c>
      <c r="CS809" s="35">
        <v>-3.86</v>
      </c>
      <c r="CT809" s="36">
        <v>4</v>
      </c>
      <c r="CU809" s="35">
        <v>0.15</v>
      </c>
      <c r="CV809" s="36">
        <v>75</v>
      </c>
      <c r="CW809" s="35">
        <v>-7.72</v>
      </c>
      <c r="CX809" s="36">
        <v>1</v>
      </c>
      <c r="CY809" s="35">
        <v>0</v>
      </c>
      <c r="CZ809" s="36">
        <v>25</v>
      </c>
      <c r="DA809" s="35">
        <v>0.15</v>
      </c>
      <c r="DB809" s="36">
        <v>78</v>
      </c>
      <c r="DC809" s="37">
        <v>24.49</v>
      </c>
      <c r="DD809" s="36">
        <v>96</v>
      </c>
      <c r="DE809" s="37">
        <v>-0.44</v>
      </c>
      <c r="DF809" s="35">
        <v>-1.75</v>
      </c>
      <c r="DG809" s="37">
        <v>9.26</v>
      </c>
      <c r="DH809" s="36">
        <v>89</v>
      </c>
      <c r="DI809" s="37">
        <v>39.71</v>
      </c>
      <c r="DJ809" s="36">
        <v>94</v>
      </c>
      <c r="DK809" s="37">
        <v>17.87</v>
      </c>
      <c r="DL809" s="36">
        <v>91</v>
      </c>
      <c r="DM809" s="37">
        <v>0.66</v>
      </c>
      <c r="DN809" s="36">
        <v>40</v>
      </c>
      <c r="DO809" s="37">
        <v>39.71</v>
      </c>
      <c r="DP809" s="36">
        <v>96</v>
      </c>
      <c r="DQ809" s="36">
        <v>6497</v>
      </c>
      <c r="DR809" s="38">
        <v>-1100</v>
      </c>
      <c r="DS809" s="35">
        <v>-14.48</v>
      </c>
      <c r="DT809" s="36">
        <v>19</v>
      </c>
      <c r="DU809" s="38">
        <v>0</v>
      </c>
      <c r="DV809" s="35">
        <v>0</v>
      </c>
      <c r="DW809" s="36">
        <v>14209</v>
      </c>
      <c r="DX809" s="39">
        <v>19</v>
      </c>
      <c r="DY809" s="35">
        <v>0.13</v>
      </c>
      <c r="DZ809" s="28" t="s">
        <v>178</v>
      </c>
      <c r="EA809" s="34">
        <v>43351</v>
      </c>
      <c r="EB809" s="29">
        <v>1.71</v>
      </c>
      <c r="EC809" s="34">
        <v>42604</v>
      </c>
      <c r="ED809" s="28" t="s">
        <v>316</v>
      </c>
      <c r="EE809" s="40" t="str">
        <f>HYPERLINK("https://my.pitchbook.com?c=156480-31", "View company online")</f>
        <v>View company online</v>
      </c>
    </row>
    <row r="810" spans="1:135">
      <c r="A810" s="15" t="s">
        <v>16104</v>
      </c>
      <c r="B810" s="15" t="s">
        <v>16105</v>
      </c>
      <c r="C810" s="15" t="s">
        <v>138</v>
      </c>
      <c r="D810" s="15" t="s">
        <v>138</v>
      </c>
      <c r="E810" s="15" t="s">
        <v>16106</v>
      </c>
      <c r="F810" s="15" t="s">
        <v>16104</v>
      </c>
      <c r="G810" s="15" t="s">
        <v>16107</v>
      </c>
      <c r="H810" s="15" t="s">
        <v>322</v>
      </c>
      <c r="I810" s="15" t="s">
        <v>323</v>
      </c>
      <c r="J810" s="15" t="s">
        <v>954</v>
      </c>
      <c r="K810" s="15" t="s">
        <v>1562</v>
      </c>
      <c r="L810" s="15" t="s">
        <v>10085</v>
      </c>
      <c r="M810" s="15" t="s">
        <v>16108</v>
      </c>
      <c r="N810" s="15" t="s">
        <v>147</v>
      </c>
      <c r="O810" s="17">
        <v>14.49</v>
      </c>
      <c r="P810" s="15" t="s">
        <v>148</v>
      </c>
      <c r="Q810" s="15" t="s">
        <v>149</v>
      </c>
      <c r="R810" s="15" t="s">
        <v>174</v>
      </c>
      <c r="S810" s="15" t="s">
        <v>16109</v>
      </c>
      <c r="T810" s="18">
        <v>52</v>
      </c>
      <c r="U810" s="15" t="s">
        <v>16110</v>
      </c>
      <c r="V810" s="15" t="s">
        <v>138</v>
      </c>
      <c r="W810" s="15" t="s">
        <v>138</v>
      </c>
      <c r="X810" s="19">
        <v>2011</v>
      </c>
      <c r="Y810" s="15" t="s">
        <v>138</v>
      </c>
      <c r="Z810" s="15" t="s">
        <v>138</v>
      </c>
      <c r="AA810" s="15" t="s">
        <v>138</v>
      </c>
      <c r="AB810" s="20" t="s">
        <v>138</v>
      </c>
      <c r="AC810" s="20" t="s">
        <v>138</v>
      </c>
      <c r="AD810" s="20" t="s">
        <v>138</v>
      </c>
      <c r="AE810" s="20" t="s">
        <v>138</v>
      </c>
      <c r="AF810" s="20" t="s">
        <v>138</v>
      </c>
      <c r="AG810" s="15" t="s">
        <v>138</v>
      </c>
      <c r="AH810" s="20" t="s">
        <v>138</v>
      </c>
      <c r="AI810" s="20" t="s">
        <v>138</v>
      </c>
      <c r="AJ810" s="20" t="s">
        <v>138</v>
      </c>
      <c r="AK810" s="15" t="s">
        <v>16111</v>
      </c>
      <c r="AL810" s="15" t="s">
        <v>16112</v>
      </c>
      <c r="AM810" s="15" t="s">
        <v>304</v>
      </c>
      <c r="AN810" s="15" t="s">
        <v>16113</v>
      </c>
      <c r="AO810" s="15" t="s">
        <v>16114</v>
      </c>
      <c r="AP810" s="15" t="s">
        <v>6077</v>
      </c>
      <c r="AQ810" s="15" t="s">
        <v>16115</v>
      </c>
      <c r="AR810" s="15" t="s">
        <v>138</v>
      </c>
      <c r="AS810" s="15" t="s">
        <v>6079</v>
      </c>
      <c r="AT810" s="15" t="s">
        <v>200</v>
      </c>
      <c r="AU810" s="15" t="s">
        <v>6080</v>
      </c>
      <c r="AV810" s="15" t="s">
        <v>162</v>
      </c>
      <c r="AW810" s="15" t="s">
        <v>16114</v>
      </c>
      <c r="AX810" s="15" t="s">
        <v>138</v>
      </c>
      <c r="AY810" s="15" t="s">
        <v>16116</v>
      </c>
      <c r="AZ810" s="15" t="s">
        <v>164</v>
      </c>
      <c r="BA810" s="15" t="s">
        <v>165</v>
      </c>
      <c r="BB810" s="15" t="s">
        <v>16117</v>
      </c>
      <c r="BC810" s="15" t="s">
        <v>16118</v>
      </c>
      <c r="BD810" s="21">
        <v>19</v>
      </c>
      <c r="BE810" s="15" t="s">
        <v>138</v>
      </c>
      <c r="BF810" s="15" t="s">
        <v>138</v>
      </c>
      <c r="BG810" s="15" t="s">
        <v>138</v>
      </c>
      <c r="BH810" s="15" t="s">
        <v>16119</v>
      </c>
      <c r="BI810" s="15" t="s">
        <v>138</v>
      </c>
      <c r="BJ810" s="15" t="s">
        <v>138</v>
      </c>
      <c r="BK810" s="15" t="s">
        <v>16120</v>
      </c>
      <c r="BL810" s="15" t="s">
        <v>1275</v>
      </c>
      <c r="BM810" s="22">
        <v>41113</v>
      </c>
      <c r="BN810" s="17">
        <v>1</v>
      </c>
      <c r="BO810" s="15" t="s">
        <v>172</v>
      </c>
      <c r="BP810" s="17">
        <v>4.47</v>
      </c>
      <c r="BQ810" s="15" t="s">
        <v>172</v>
      </c>
      <c r="BR810" s="15" t="s">
        <v>262</v>
      </c>
      <c r="BS810" s="15" t="s">
        <v>262</v>
      </c>
      <c r="BT810" s="15" t="s">
        <v>138</v>
      </c>
      <c r="BU810" s="15" t="s">
        <v>263</v>
      </c>
      <c r="BV810" s="15" t="s">
        <v>138</v>
      </c>
      <c r="BW810" s="15" t="s">
        <v>138</v>
      </c>
      <c r="BX810" s="15" t="s">
        <v>138</v>
      </c>
      <c r="BY810" s="15" t="s">
        <v>175</v>
      </c>
      <c r="BZ810" s="22" t="s">
        <v>138</v>
      </c>
      <c r="CA810" s="17" t="s">
        <v>138</v>
      </c>
      <c r="CB810" s="15" t="s">
        <v>138</v>
      </c>
      <c r="CC810" s="17" t="s">
        <v>138</v>
      </c>
      <c r="CD810" s="15" t="s">
        <v>138</v>
      </c>
      <c r="CE810" s="15" t="s">
        <v>205</v>
      </c>
      <c r="CF810" s="15" t="s">
        <v>138</v>
      </c>
      <c r="CG810" s="15" t="s">
        <v>138</v>
      </c>
      <c r="CH810" s="15" t="s">
        <v>174</v>
      </c>
      <c r="CI810" s="15" t="s">
        <v>138</v>
      </c>
      <c r="CJ810" s="15" t="s">
        <v>138</v>
      </c>
      <c r="CK810" s="15" t="s">
        <v>138</v>
      </c>
      <c r="CL810" s="15" t="s">
        <v>175</v>
      </c>
      <c r="CM810" s="22" t="s">
        <v>138</v>
      </c>
      <c r="CN810" s="17" t="s">
        <v>138</v>
      </c>
      <c r="CO810" s="23">
        <v>-0.73</v>
      </c>
      <c r="CP810" s="24">
        <v>13</v>
      </c>
      <c r="CQ810" s="23">
        <v>-0.01</v>
      </c>
      <c r="CR810" s="23">
        <v>-0.71</v>
      </c>
      <c r="CS810" s="23">
        <v>-1.82</v>
      </c>
      <c r="CT810" s="24">
        <v>10</v>
      </c>
      <c r="CU810" s="23">
        <v>0.36</v>
      </c>
      <c r="CV810" s="24">
        <v>90</v>
      </c>
      <c r="CW810" s="23">
        <v>-1.9</v>
      </c>
      <c r="CX810" s="24">
        <v>7</v>
      </c>
      <c r="CY810" s="23">
        <v>-1.74</v>
      </c>
      <c r="CZ810" s="24">
        <v>13</v>
      </c>
      <c r="DA810" s="23">
        <v>0.54</v>
      </c>
      <c r="DB810" s="24">
        <v>95</v>
      </c>
      <c r="DC810" s="25">
        <v>330.74</v>
      </c>
      <c r="DD810" s="24">
        <v>100</v>
      </c>
      <c r="DE810" s="25">
        <v>-18.53</v>
      </c>
      <c r="DF810" s="23">
        <v>-5.31</v>
      </c>
      <c r="DG810" s="25">
        <v>433.49</v>
      </c>
      <c r="DH810" s="24">
        <v>100</v>
      </c>
      <c r="DI810" s="25">
        <v>227.99</v>
      </c>
      <c r="DJ810" s="24">
        <v>99</v>
      </c>
      <c r="DK810" s="25">
        <v>586.94000000000005</v>
      </c>
      <c r="DL810" s="24">
        <v>100</v>
      </c>
      <c r="DM810" s="25">
        <v>280.02999999999997</v>
      </c>
      <c r="DN810" s="24">
        <v>100</v>
      </c>
      <c r="DO810" s="25">
        <v>113.42</v>
      </c>
      <c r="DP810" s="24">
        <v>98</v>
      </c>
      <c r="DQ810" s="24">
        <v>202331</v>
      </c>
      <c r="DR810" s="26">
        <v>-3032</v>
      </c>
      <c r="DS810" s="23">
        <v>-1.48</v>
      </c>
      <c r="DT810" s="24">
        <v>8119</v>
      </c>
      <c r="DU810" s="26">
        <v>2</v>
      </c>
      <c r="DV810" s="23">
        <v>0.02</v>
      </c>
      <c r="DW810" s="24">
        <v>40549</v>
      </c>
      <c r="DX810" s="27">
        <v>157</v>
      </c>
      <c r="DY810" s="23">
        <v>0.39</v>
      </c>
      <c r="DZ810" s="15" t="s">
        <v>178</v>
      </c>
      <c r="EA810" s="22">
        <v>43601</v>
      </c>
      <c r="EB810" s="17">
        <v>54.25</v>
      </c>
      <c r="EC810" s="22">
        <v>42130</v>
      </c>
      <c r="ED810" s="15" t="s">
        <v>205</v>
      </c>
      <c r="EE810" s="14" t="str">
        <f>HYPERLINK("https://my.pitchbook.com?c=93764-80", "View company online")</f>
        <v>View company online</v>
      </c>
    </row>
    <row r="811" spans="1:135">
      <c r="A811" s="28" t="s">
        <v>16121</v>
      </c>
      <c r="B811" s="28" t="s">
        <v>16122</v>
      </c>
      <c r="C811" s="28" t="s">
        <v>138</v>
      </c>
      <c r="D811" s="28" t="s">
        <v>138</v>
      </c>
      <c r="E811" s="28" t="s">
        <v>16123</v>
      </c>
      <c r="F811" s="28" t="s">
        <v>16121</v>
      </c>
      <c r="G811" s="28" t="s">
        <v>16124</v>
      </c>
      <c r="H811" s="28" t="s">
        <v>238</v>
      </c>
      <c r="I811" s="28" t="s">
        <v>749</v>
      </c>
      <c r="J811" s="28" t="s">
        <v>750</v>
      </c>
      <c r="K811" s="28" t="s">
        <v>751</v>
      </c>
      <c r="L811" s="28" t="s">
        <v>16125</v>
      </c>
      <c r="M811" s="28" t="s">
        <v>16126</v>
      </c>
      <c r="N811" s="28" t="s">
        <v>147</v>
      </c>
      <c r="O811" s="29">
        <v>17</v>
      </c>
      <c r="P811" s="28" t="s">
        <v>610</v>
      </c>
      <c r="Q811" s="28" t="s">
        <v>149</v>
      </c>
      <c r="R811" s="28" t="s">
        <v>244</v>
      </c>
      <c r="S811" s="28" t="s">
        <v>16127</v>
      </c>
      <c r="T811" s="30" t="s">
        <v>138</v>
      </c>
      <c r="U811" s="28" t="s">
        <v>138</v>
      </c>
      <c r="V811" s="28" t="s">
        <v>138</v>
      </c>
      <c r="W811" s="28" t="s">
        <v>138</v>
      </c>
      <c r="X811" s="31">
        <v>2015</v>
      </c>
      <c r="Y811" s="28" t="s">
        <v>138</v>
      </c>
      <c r="Z811" s="28" t="s">
        <v>138</v>
      </c>
      <c r="AA811" s="28" t="s">
        <v>138</v>
      </c>
      <c r="AB811" s="32" t="s">
        <v>138</v>
      </c>
      <c r="AC811" s="32" t="s">
        <v>138</v>
      </c>
      <c r="AD811" s="32" t="s">
        <v>138</v>
      </c>
      <c r="AE811" s="32" t="s">
        <v>138</v>
      </c>
      <c r="AF811" s="32" t="s">
        <v>138</v>
      </c>
      <c r="AG811" s="28" t="s">
        <v>138</v>
      </c>
      <c r="AH811" s="32" t="s">
        <v>138</v>
      </c>
      <c r="AI811" s="32" t="s">
        <v>138</v>
      </c>
      <c r="AJ811" s="32" t="s">
        <v>138</v>
      </c>
      <c r="AK811" s="28" t="s">
        <v>16128</v>
      </c>
      <c r="AL811" s="28" t="s">
        <v>16129</v>
      </c>
      <c r="AM811" s="28" t="s">
        <v>221</v>
      </c>
      <c r="AN811" s="28" t="s">
        <v>16130</v>
      </c>
      <c r="AO811" s="28" t="s">
        <v>16131</v>
      </c>
      <c r="AP811" s="28" t="s">
        <v>423</v>
      </c>
      <c r="AQ811" s="28" t="s">
        <v>16132</v>
      </c>
      <c r="AR811" s="28" t="s">
        <v>138</v>
      </c>
      <c r="AS811" s="28" t="s">
        <v>426</v>
      </c>
      <c r="AT811" s="28" t="s">
        <v>426</v>
      </c>
      <c r="AU811" s="28" t="s">
        <v>8757</v>
      </c>
      <c r="AV811" s="28" t="s">
        <v>162</v>
      </c>
      <c r="AW811" s="28" t="s">
        <v>16131</v>
      </c>
      <c r="AX811" s="28" t="s">
        <v>138</v>
      </c>
      <c r="AY811" s="28" t="s">
        <v>16133</v>
      </c>
      <c r="AZ811" s="28" t="s">
        <v>164</v>
      </c>
      <c r="BA811" s="28" t="s">
        <v>165</v>
      </c>
      <c r="BB811" s="28" t="s">
        <v>16134</v>
      </c>
      <c r="BC811" s="28" t="s">
        <v>16135</v>
      </c>
      <c r="BD811" s="33">
        <v>11</v>
      </c>
      <c r="BE811" s="28" t="s">
        <v>138</v>
      </c>
      <c r="BF811" s="28" t="s">
        <v>138</v>
      </c>
      <c r="BG811" s="28" t="s">
        <v>138</v>
      </c>
      <c r="BH811" s="28" t="s">
        <v>16136</v>
      </c>
      <c r="BI811" s="28" t="s">
        <v>138</v>
      </c>
      <c r="BJ811" s="28" t="s">
        <v>138</v>
      </c>
      <c r="BK811" s="28" t="s">
        <v>138</v>
      </c>
      <c r="BL811" s="28" t="s">
        <v>16137</v>
      </c>
      <c r="BM811" s="34">
        <v>42648</v>
      </c>
      <c r="BN811" s="29">
        <v>4.4000000000000004</v>
      </c>
      <c r="BO811" s="28" t="s">
        <v>172</v>
      </c>
      <c r="BP811" s="29">
        <v>11.67</v>
      </c>
      <c r="BQ811" s="28" t="s">
        <v>172</v>
      </c>
      <c r="BR811" s="28" t="s">
        <v>234</v>
      </c>
      <c r="BS811" s="28" t="s">
        <v>234</v>
      </c>
      <c r="BT811" s="28" t="s">
        <v>138</v>
      </c>
      <c r="BU811" s="28" t="s">
        <v>174</v>
      </c>
      <c r="BV811" s="28" t="s">
        <v>264</v>
      </c>
      <c r="BW811" s="28" t="s">
        <v>138</v>
      </c>
      <c r="BX811" s="28" t="s">
        <v>138</v>
      </c>
      <c r="BY811" s="28" t="s">
        <v>175</v>
      </c>
      <c r="BZ811" s="34" t="s">
        <v>138</v>
      </c>
      <c r="CA811" s="29" t="s">
        <v>138</v>
      </c>
      <c r="CB811" s="28" t="s">
        <v>138</v>
      </c>
      <c r="CC811" s="29" t="s">
        <v>138</v>
      </c>
      <c r="CD811" s="28" t="s">
        <v>138</v>
      </c>
      <c r="CE811" s="28" t="s">
        <v>1326</v>
      </c>
      <c r="CF811" s="28" t="s">
        <v>138</v>
      </c>
      <c r="CG811" s="28" t="s">
        <v>138</v>
      </c>
      <c r="CH811" s="28" t="s">
        <v>1327</v>
      </c>
      <c r="CI811" s="28" t="s">
        <v>1328</v>
      </c>
      <c r="CJ811" s="28" t="s">
        <v>138</v>
      </c>
      <c r="CK811" s="28" t="s">
        <v>138</v>
      </c>
      <c r="CL811" s="28" t="s">
        <v>175</v>
      </c>
      <c r="CM811" s="34" t="s">
        <v>138</v>
      </c>
      <c r="CN811" s="29" t="s">
        <v>138</v>
      </c>
      <c r="CO811" s="35">
        <v>0.91</v>
      </c>
      <c r="CP811" s="36">
        <v>97</v>
      </c>
      <c r="CQ811" s="35">
        <v>-0.04</v>
      </c>
      <c r="CR811" s="35">
        <v>-3.71</v>
      </c>
      <c r="CS811" s="35">
        <v>1.38</v>
      </c>
      <c r="CT811" s="36">
        <v>97</v>
      </c>
      <c r="CU811" s="35">
        <v>0.44</v>
      </c>
      <c r="CV811" s="36">
        <v>92</v>
      </c>
      <c r="CW811" s="35">
        <v>2.87</v>
      </c>
      <c r="CX811" s="36">
        <v>91</v>
      </c>
      <c r="CY811" s="35">
        <v>-0.1</v>
      </c>
      <c r="CZ811" s="36">
        <v>24</v>
      </c>
      <c r="DA811" s="35" t="s">
        <v>138</v>
      </c>
      <c r="DB811" s="36" t="s">
        <v>138</v>
      </c>
      <c r="DC811" s="37">
        <v>46.08</v>
      </c>
      <c r="DD811" s="36">
        <v>98</v>
      </c>
      <c r="DE811" s="37">
        <v>-2.85</v>
      </c>
      <c r="DF811" s="35">
        <v>-5.82</v>
      </c>
      <c r="DG811" s="37">
        <v>51.75</v>
      </c>
      <c r="DH811" s="36">
        <v>98</v>
      </c>
      <c r="DI811" s="37">
        <v>40.409999999999997</v>
      </c>
      <c r="DJ811" s="36">
        <v>94</v>
      </c>
      <c r="DK811" s="37">
        <v>88.12</v>
      </c>
      <c r="DL811" s="36">
        <v>97</v>
      </c>
      <c r="DM811" s="37">
        <v>15.38</v>
      </c>
      <c r="DN811" s="36">
        <v>92</v>
      </c>
      <c r="DO811" s="37" t="s">
        <v>138</v>
      </c>
      <c r="DP811" s="36" t="s">
        <v>138</v>
      </c>
      <c r="DQ811" s="36">
        <v>29971</v>
      </c>
      <c r="DR811" s="38">
        <v>762</v>
      </c>
      <c r="DS811" s="35">
        <v>2.61</v>
      </c>
      <c r="DT811" s="36">
        <v>446</v>
      </c>
      <c r="DU811" s="38">
        <v>0</v>
      </c>
      <c r="DV811" s="35">
        <v>0</v>
      </c>
      <c r="DW811" s="36" t="s">
        <v>138</v>
      </c>
      <c r="DX811" s="39" t="s">
        <v>138</v>
      </c>
      <c r="DY811" s="35" t="s">
        <v>138</v>
      </c>
      <c r="DZ811" s="28" t="s">
        <v>178</v>
      </c>
      <c r="EA811" s="34">
        <v>43570</v>
      </c>
      <c r="EB811" s="29">
        <v>30</v>
      </c>
      <c r="EC811" s="34">
        <v>42968</v>
      </c>
      <c r="ED811" s="28" t="s">
        <v>205</v>
      </c>
      <c r="EE811" s="40" t="str">
        <f>HYPERLINK("https://my.pitchbook.com?c=157180-51", "View company online")</f>
        <v>View company online</v>
      </c>
    </row>
    <row r="812" spans="1:135">
      <c r="A812" s="15" t="s">
        <v>16138</v>
      </c>
      <c r="B812" s="15" t="s">
        <v>16139</v>
      </c>
      <c r="C812" s="15" t="s">
        <v>16140</v>
      </c>
      <c r="D812" s="15" t="s">
        <v>138</v>
      </c>
      <c r="E812" s="15" t="s">
        <v>16141</v>
      </c>
      <c r="F812" s="15" t="s">
        <v>16138</v>
      </c>
      <c r="G812" s="15" t="s">
        <v>16142</v>
      </c>
      <c r="H812" s="15" t="s">
        <v>238</v>
      </c>
      <c r="I812" s="15" t="s">
        <v>785</v>
      </c>
      <c r="J812" s="15" t="s">
        <v>786</v>
      </c>
      <c r="K812" s="15" t="s">
        <v>787</v>
      </c>
      <c r="L812" s="15" t="s">
        <v>1884</v>
      </c>
      <c r="M812" s="15" t="s">
        <v>16143</v>
      </c>
      <c r="N812" s="15" t="s">
        <v>147</v>
      </c>
      <c r="O812" s="17">
        <v>261</v>
      </c>
      <c r="P812" s="15" t="s">
        <v>148</v>
      </c>
      <c r="Q812" s="15" t="s">
        <v>149</v>
      </c>
      <c r="R812" s="15" t="s">
        <v>174</v>
      </c>
      <c r="S812" s="15" t="s">
        <v>16144</v>
      </c>
      <c r="T812" s="18">
        <v>240</v>
      </c>
      <c r="U812" s="15" t="s">
        <v>16145</v>
      </c>
      <c r="V812" s="15" t="s">
        <v>138</v>
      </c>
      <c r="W812" s="15" t="s">
        <v>138</v>
      </c>
      <c r="X812" s="19">
        <v>2011</v>
      </c>
      <c r="Y812" s="15" t="s">
        <v>138</v>
      </c>
      <c r="Z812" s="15" t="s">
        <v>138</v>
      </c>
      <c r="AA812" s="15" t="s">
        <v>138</v>
      </c>
      <c r="AB812" s="20" t="s">
        <v>138</v>
      </c>
      <c r="AC812" s="20" t="s">
        <v>138</v>
      </c>
      <c r="AD812" s="20" t="s">
        <v>138</v>
      </c>
      <c r="AE812" s="20" t="s">
        <v>138</v>
      </c>
      <c r="AF812" s="20" t="s">
        <v>138</v>
      </c>
      <c r="AG812" s="15" t="s">
        <v>138</v>
      </c>
      <c r="AH812" s="20" t="s">
        <v>138</v>
      </c>
      <c r="AI812" s="20" t="s">
        <v>138</v>
      </c>
      <c r="AJ812" s="20" t="s">
        <v>138</v>
      </c>
      <c r="AK812" s="15" t="s">
        <v>16146</v>
      </c>
      <c r="AL812" s="15" t="s">
        <v>16147</v>
      </c>
      <c r="AM812" s="15" t="s">
        <v>818</v>
      </c>
      <c r="AN812" s="15" t="s">
        <v>16148</v>
      </c>
      <c r="AO812" s="15" t="s">
        <v>138</v>
      </c>
      <c r="AP812" s="15" t="s">
        <v>15386</v>
      </c>
      <c r="AQ812" s="15" t="s">
        <v>16149</v>
      </c>
      <c r="AR812" s="15" t="s">
        <v>16150</v>
      </c>
      <c r="AS812" s="15" t="s">
        <v>15388</v>
      </c>
      <c r="AT812" s="15" t="s">
        <v>284</v>
      </c>
      <c r="AU812" s="15" t="s">
        <v>15389</v>
      </c>
      <c r="AV812" s="15" t="s">
        <v>162</v>
      </c>
      <c r="AW812" s="15" t="s">
        <v>138</v>
      </c>
      <c r="AX812" s="15" t="s">
        <v>138</v>
      </c>
      <c r="AY812" s="15" t="s">
        <v>16151</v>
      </c>
      <c r="AZ812" s="15" t="s">
        <v>164</v>
      </c>
      <c r="BA812" s="15" t="s">
        <v>165</v>
      </c>
      <c r="BB812" s="15" t="s">
        <v>16152</v>
      </c>
      <c r="BC812" s="15" t="s">
        <v>16153</v>
      </c>
      <c r="BD812" s="21">
        <v>26</v>
      </c>
      <c r="BE812" s="15" t="s">
        <v>138</v>
      </c>
      <c r="BF812" s="15" t="s">
        <v>138</v>
      </c>
      <c r="BG812" s="15" t="s">
        <v>138</v>
      </c>
      <c r="BH812" s="15" t="s">
        <v>16154</v>
      </c>
      <c r="BI812" s="15" t="s">
        <v>138</v>
      </c>
      <c r="BJ812" s="15" t="s">
        <v>138</v>
      </c>
      <c r="BK812" s="15" t="s">
        <v>290</v>
      </c>
      <c r="BL812" s="15" t="s">
        <v>290</v>
      </c>
      <c r="BM812" s="22">
        <v>41481</v>
      </c>
      <c r="BN812" s="17">
        <v>3.3</v>
      </c>
      <c r="BO812" s="15" t="s">
        <v>172</v>
      </c>
      <c r="BP812" s="17">
        <v>13.3</v>
      </c>
      <c r="BQ812" s="15" t="s">
        <v>172</v>
      </c>
      <c r="BR812" s="15" t="s">
        <v>205</v>
      </c>
      <c r="BS812" s="15" t="s">
        <v>206</v>
      </c>
      <c r="BT812" s="15" t="s">
        <v>138</v>
      </c>
      <c r="BU812" s="15" t="s">
        <v>174</v>
      </c>
      <c r="BV812" s="15" t="s">
        <v>138</v>
      </c>
      <c r="BW812" s="15" t="s">
        <v>138</v>
      </c>
      <c r="BX812" s="15" t="s">
        <v>138</v>
      </c>
      <c r="BY812" s="15" t="s">
        <v>175</v>
      </c>
      <c r="BZ812" s="22">
        <v>43321</v>
      </c>
      <c r="CA812" s="17">
        <v>39</v>
      </c>
      <c r="CB812" s="15" t="s">
        <v>172</v>
      </c>
      <c r="CC812" s="17">
        <v>1389</v>
      </c>
      <c r="CD812" s="15" t="s">
        <v>172</v>
      </c>
      <c r="CE812" s="15" t="s">
        <v>173</v>
      </c>
      <c r="CF812" s="15" t="s">
        <v>9579</v>
      </c>
      <c r="CG812" s="15" t="s">
        <v>138</v>
      </c>
      <c r="CH812" s="15" t="s">
        <v>174</v>
      </c>
      <c r="CI812" s="15" t="s">
        <v>138</v>
      </c>
      <c r="CJ812" s="15" t="s">
        <v>138</v>
      </c>
      <c r="CK812" s="15" t="s">
        <v>138</v>
      </c>
      <c r="CL812" s="15" t="s">
        <v>175</v>
      </c>
      <c r="CM812" s="22" t="s">
        <v>138</v>
      </c>
      <c r="CN812" s="17" t="s">
        <v>138</v>
      </c>
      <c r="CO812" s="23">
        <v>0.31</v>
      </c>
      <c r="CP812" s="24">
        <v>94</v>
      </c>
      <c r="CQ812" s="23">
        <v>-0.02</v>
      </c>
      <c r="CR812" s="23">
        <v>-4.71</v>
      </c>
      <c r="CS812" s="23">
        <v>-0.4</v>
      </c>
      <c r="CT812" s="24">
        <v>20</v>
      </c>
      <c r="CU812" s="23">
        <v>0.19</v>
      </c>
      <c r="CV812" s="24">
        <v>79</v>
      </c>
      <c r="CW812" s="23">
        <v>-0.4</v>
      </c>
      <c r="CX812" s="24">
        <v>11</v>
      </c>
      <c r="CY812" s="23" t="s">
        <v>138</v>
      </c>
      <c r="CZ812" s="24" t="s">
        <v>138</v>
      </c>
      <c r="DA812" s="23">
        <v>0.36</v>
      </c>
      <c r="DB812" s="24">
        <v>91</v>
      </c>
      <c r="DC812" s="25">
        <v>14379.5</v>
      </c>
      <c r="DD812" s="24">
        <v>100</v>
      </c>
      <c r="DE812" s="25">
        <v>405.67</v>
      </c>
      <c r="DF812" s="23">
        <v>2.9</v>
      </c>
      <c r="DG812" s="25">
        <v>5455.41</v>
      </c>
      <c r="DH812" s="24">
        <v>100</v>
      </c>
      <c r="DI812" s="25">
        <v>721.59</v>
      </c>
      <c r="DJ812" s="24">
        <v>100</v>
      </c>
      <c r="DK812" s="25">
        <v>5455.41</v>
      </c>
      <c r="DL812" s="24">
        <v>100</v>
      </c>
      <c r="DM812" s="25" t="s">
        <v>138</v>
      </c>
      <c r="DN812" s="24" t="s">
        <v>138</v>
      </c>
      <c r="DO812" s="25">
        <v>104</v>
      </c>
      <c r="DP812" s="24">
        <v>98</v>
      </c>
      <c r="DQ812" s="24">
        <v>1868856</v>
      </c>
      <c r="DR812" s="26">
        <v>7047</v>
      </c>
      <c r="DS812" s="23">
        <v>0.38</v>
      </c>
      <c r="DT812" s="24" t="s">
        <v>138</v>
      </c>
      <c r="DU812" s="26" t="s">
        <v>138</v>
      </c>
      <c r="DV812" s="23" t="s">
        <v>138</v>
      </c>
      <c r="DW812" s="24">
        <v>37195</v>
      </c>
      <c r="DX812" s="27">
        <v>80</v>
      </c>
      <c r="DY812" s="23">
        <v>0.22</v>
      </c>
      <c r="DZ812" s="15" t="s">
        <v>178</v>
      </c>
      <c r="EA812" s="22">
        <v>43564</v>
      </c>
      <c r="EB812" s="17">
        <v>1389</v>
      </c>
      <c r="EC812" s="22">
        <v>43321</v>
      </c>
      <c r="ED812" s="15" t="s">
        <v>173</v>
      </c>
      <c r="EE812" s="14" t="str">
        <f>HYPERLINK("https://my.pitchbook.com?c=58369-06", "View company online")</f>
        <v>View company online</v>
      </c>
    </row>
    <row r="813" spans="1:135">
      <c r="A813" s="28" t="s">
        <v>16155</v>
      </c>
      <c r="B813" s="28" t="s">
        <v>16156</v>
      </c>
      <c r="C813" s="28" t="s">
        <v>138</v>
      </c>
      <c r="D813" s="28" t="s">
        <v>138</v>
      </c>
      <c r="E813" s="28" t="s">
        <v>138</v>
      </c>
      <c r="F813" s="28" t="s">
        <v>16155</v>
      </c>
      <c r="G813" s="28" t="s">
        <v>16157</v>
      </c>
      <c r="H813" s="28" t="s">
        <v>322</v>
      </c>
      <c r="I813" s="28" t="s">
        <v>323</v>
      </c>
      <c r="J813" s="28" t="s">
        <v>1184</v>
      </c>
      <c r="K813" s="28" t="s">
        <v>16158</v>
      </c>
      <c r="L813" s="28" t="s">
        <v>2835</v>
      </c>
      <c r="M813" s="28" t="s">
        <v>16159</v>
      </c>
      <c r="N813" s="28" t="s">
        <v>147</v>
      </c>
      <c r="O813" s="29">
        <v>14</v>
      </c>
      <c r="P813" s="28" t="s">
        <v>148</v>
      </c>
      <c r="Q813" s="28" t="s">
        <v>149</v>
      </c>
      <c r="R813" s="28" t="s">
        <v>174</v>
      </c>
      <c r="S813" s="28" t="s">
        <v>16160</v>
      </c>
      <c r="T813" s="30">
        <v>25</v>
      </c>
      <c r="U813" s="28" t="s">
        <v>16161</v>
      </c>
      <c r="V813" s="28" t="s">
        <v>138</v>
      </c>
      <c r="W813" s="28" t="s">
        <v>138</v>
      </c>
      <c r="X813" s="31">
        <v>2012</v>
      </c>
      <c r="Y813" s="28" t="s">
        <v>138</v>
      </c>
      <c r="Z813" s="28" t="s">
        <v>138</v>
      </c>
      <c r="AA813" s="28" t="s">
        <v>138</v>
      </c>
      <c r="AB813" s="32">
        <v>0.16</v>
      </c>
      <c r="AC813" s="32" t="s">
        <v>138</v>
      </c>
      <c r="AD813" s="32">
        <v>0.04</v>
      </c>
      <c r="AE813" s="32" t="s">
        <v>138</v>
      </c>
      <c r="AF813" s="32" t="s">
        <v>138</v>
      </c>
      <c r="AG813" s="28" t="s">
        <v>633</v>
      </c>
      <c r="AH813" s="32" t="s">
        <v>138</v>
      </c>
      <c r="AI813" s="32" t="s">
        <v>138</v>
      </c>
      <c r="AJ813" s="32" t="s">
        <v>138</v>
      </c>
      <c r="AK813" s="28" t="s">
        <v>16162</v>
      </c>
      <c r="AL813" s="28" t="s">
        <v>16163</v>
      </c>
      <c r="AM813" s="28" t="s">
        <v>304</v>
      </c>
      <c r="AN813" s="28" t="s">
        <v>16164</v>
      </c>
      <c r="AO813" s="28" t="s">
        <v>16165</v>
      </c>
      <c r="AP813" s="28" t="s">
        <v>861</v>
      </c>
      <c r="AQ813" s="28" t="s">
        <v>16166</v>
      </c>
      <c r="AR813" s="28" t="s">
        <v>3159</v>
      </c>
      <c r="AS813" s="28" t="s">
        <v>863</v>
      </c>
      <c r="AT813" s="28" t="s">
        <v>864</v>
      </c>
      <c r="AU813" s="28" t="s">
        <v>6944</v>
      </c>
      <c r="AV813" s="28" t="s">
        <v>162</v>
      </c>
      <c r="AW813" s="28" t="s">
        <v>16165</v>
      </c>
      <c r="AX813" s="28" t="s">
        <v>138</v>
      </c>
      <c r="AY813" s="28" t="s">
        <v>16167</v>
      </c>
      <c r="AZ813" s="28" t="s">
        <v>164</v>
      </c>
      <c r="BA813" s="28" t="s">
        <v>165</v>
      </c>
      <c r="BB813" s="28" t="s">
        <v>16168</v>
      </c>
      <c r="BC813" s="28" t="s">
        <v>16169</v>
      </c>
      <c r="BD813" s="33">
        <v>3</v>
      </c>
      <c r="BE813" s="28" t="s">
        <v>138</v>
      </c>
      <c r="BF813" s="28" t="s">
        <v>138</v>
      </c>
      <c r="BG813" s="28" t="s">
        <v>138</v>
      </c>
      <c r="BH813" s="28" t="s">
        <v>16170</v>
      </c>
      <c r="BI813" s="28" t="s">
        <v>138</v>
      </c>
      <c r="BJ813" s="28" t="s">
        <v>138</v>
      </c>
      <c r="BK813" s="28" t="s">
        <v>138</v>
      </c>
      <c r="BL813" s="28" t="s">
        <v>138</v>
      </c>
      <c r="BM813" s="34">
        <v>43063</v>
      </c>
      <c r="BN813" s="29">
        <v>2.2999999999999998</v>
      </c>
      <c r="BO813" s="28" t="s">
        <v>172</v>
      </c>
      <c r="BP813" s="29" t="s">
        <v>138</v>
      </c>
      <c r="BQ813" s="28" t="s">
        <v>138</v>
      </c>
      <c r="BR813" s="28" t="s">
        <v>234</v>
      </c>
      <c r="BS813" s="28" t="s">
        <v>234</v>
      </c>
      <c r="BT813" s="28" t="s">
        <v>138</v>
      </c>
      <c r="BU813" s="28" t="s">
        <v>174</v>
      </c>
      <c r="BV813" s="28" t="s">
        <v>138</v>
      </c>
      <c r="BW813" s="28" t="s">
        <v>138</v>
      </c>
      <c r="BX813" s="28" t="s">
        <v>138</v>
      </c>
      <c r="BY813" s="28" t="s">
        <v>175</v>
      </c>
      <c r="BZ813" s="34">
        <v>43524</v>
      </c>
      <c r="CA813" s="29">
        <v>11.7</v>
      </c>
      <c r="CB813" s="28" t="s">
        <v>172</v>
      </c>
      <c r="CC813" s="29" t="s">
        <v>138</v>
      </c>
      <c r="CD813" s="28" t="s">
        <v>138</v>
      </c>
      <c r="CE813" s="28" t="s">
        <v>173</v>
      </c>
      <c r="CF813" s="28" t="s">
        <v>206</v>
      </c>
      <c r="CG813" s="28" t="s">
        <v>138</v>
      </c>
      <c r="CH813" s="28" t="s">
        <v>174</v>
      </c>
      <c r="CI813" s="28" t="s">
        <v>138</v>
      </c>
      <c r="CJ813" s="28" t="s">
        <v>138</v>
      </c>
      <c r="CK813" s="28" t="s">
        <v>138</v>
      </c>
      <c r="CL813" s="28" t="s">
        <v>175</v>
      </c>
      <c r="CM813" s="34" t="s">
        <v>138</v>
      </c>
      <c r="CN813" s="29" t="s">
        <v>138</v>
      </c>
      <c r="CO813" s="35">
        <v>0.35</v>
      </c>
      <c r="CP813" s="36">
        <v>94</v>
      </c>
      <c r="CQ813" s="35">
        <v>0</v>
      </c>
      <c r="CR813" s="35">
        <v>0</v>
      </c>
      <c r="CS813" s="35">
        <v>0</v>
      </c>
      <c r="CT813" s="36">
        <v>23</v>
      </c>
      <c r="CU813" s="35">
        <v>0.7</v>
      </c>
      <c r="CV813" s="36">
        <v>96</v>
      </c>
      <c r="CW813" s="35" t="s">
        <v>138</v>
      </c>
      <c r="CX813" s="36" t="s">
        <v>138</v>
      </c>
      <c r="CY813" s="35">
        <v>0</v>
      </c>
      <c r="CZ813" s="36">
        <v>25</v>
      </c>
      <c r="DA813" s="35">
        <v>1.4</v>
      </c>
      <c r="DB813" s="36">
        <v>99</v>
      </c>
      <c r="DC813" s="37">
        <v>1.44</v>
      </c>
      <c r="DD813" s="36">
        <v>60</v>
      </c>
      <c r="DE813" s="37">
        <v>0.02</v>
      </c>
      <c r="DF813" s="35">
        <v>1.26</v>
      </c>
      <c r="DG813" s="37">
        <v>2.62</v>
      </c>
      <c r="DH813" s="36">
        <v>72</v>
      </c>
      <c r="DI813" s="37">
        <v>0.26</v>
      </c>
      <c r="DJ813" s="36">
        <v>26</v>
      </c>
      <c r="DK813" s="37" t="s">
        <v>138</v>
      </c>
      <c r="DL813" s="36" t="s">
        <v>138</v>
      </c>
      <c r="DM813" s="37">
        <v>2.62</v>
      </c>
      <c r="DN813" s="36">
        <v>71</v>
      </c>
      <c r="DO813" s="37">
        <v>0.48</v>
      </c>
      <c r="DP813" s="36">
        <v>37</v>
      </c>
      <c r="DQ813" s="36">
        <v>138</v>
      </c>
      <c r="DR813" s="38">
        <v>-6</v>
      </c>
      <c r="DS813" s="35">
        <v>-4.17</v>
      </c>
      <c r="DT813" s="36">
        <v>75</v>
      </c>
      <c r="DU813" s="38">
        <v>0</v>
      </c>
      <c r="DV813" s="35">
        <v>0</v>
      </c>
      <c r="DW813" s="36">
        <v>172</v>
      </c>
      <c r="DX813" s="39">
        <v>0</v>
      </c>
      <c r="DY813" s="35">
        <v>0</v>
      </c>
      <c r="DZ813" s="28" t="s">
        <v>178</v>
      </c>
      <c r="EA813" s="34">
        <v>43559</v>
      </c>
      <c r="EB813" s="29" t="s">
        <v>138</v>
      </c>
      <c r="EC813" s="34" t="s">
        <v>138</v>
      </c>
      <c r="ED813" s="28" t="s">
        <v>138</v>
      </c>
      <c r="EE813" s="40" t="str">
        <f>HYPERLINK("https://my.pitchbook.com?c=223699-96", "View company online")</f>
        <v>View company online</v>
      </c>
    </row>
    <row r="814" spans="1:135">
      <c r="A814" s="15" t="s">
        <v>16171</v>
      </c>
      <c r="B814" s="15" t="s">
        <v>16172</v>
      </c>
      <c r="C814" s="15" t="s">
        <v>138</v>
      </c>
      <c r="D814" s="15" t="s">
        <v>138</v>
      </c>
      <c r="E814" s="15" t="s">
        <v>16173</v>
      </c>
      <c r="F814" s="15" t="s">
        <v>16171</v>
      </c>
      <c r="G814" s="15" t="s">
        <v>16174</v>
      </c>
      <c r="H814" s="15" t="s">
        <v>141</v>
      </c>
      <c r="I814" s="15" t="s">
        <v>142</v>
      </c>
      <c r="J814" s="15" t="s">
        <v>4042</v>
      </c>
      <c r="K814" s="15" t="s">
        <v>16175</v>
      </c>
      <c r="L814" s="15" t="s">
        <v>16176</v>
      </c>
      <c r="M814" s="15" t="s">
        <v>16177</v>
      </c>
      <c r="N814" s="15" t="s">
        <v>147</v>
      </c>
      <c r="O814" s="17">
        <v>17.68</v>
      </c>
      <c r="P814" s="15" t="s">
        <v>148</v>
      </c>
      <c r="Q814" s="15" t="s">
        <v>149</v>
      </c>
      <c r="R814" s="15" t="s">
        <v>174</v>
      </c>
      <c r="S814" s="15" t="s">
        <v>16178</v>
      </c>
      <c r="T814" s="18">
        <v>25</v>
      </c>
      <c r="U814" s="15" t="s">
        <v>16179</v>
      </c>
      <c r="V814" s="15" t="s">
        <v>138</v>
      </c>
      <c r="W814" s="15" t="s">
        <v>138</v>
      </c>
      <c r="X814" s="19">
        <v>2015</v>
      </c>
      <c r="Y814" s="15" t="s">
        <v>138</v>
      </c>
      <c r="Z814" s="15" t="s">
        <v>138</v>
      </c>
      <c r="AA814" s="15" t="s">
        <v>138</v>
      </c>
      <c r="AB814" s="20" t="s">
        <v>138</v>
      </c>
      <c r="AC814" s="20" t="s">
        <v>138</v>
      </c>
      <c r="AD814" s="20" t="s">
        <v>138</v>
      </c>
      <c r="AE814" s="20" t="s">
        <v>138</v>
      </c>
      <c r="AF814" s="20" t="s">
        <v>138</v>
      </c>
      <c r="AG814" s="15" t="s">
        <v>138</v>
      </c>
      <c r="AH814" s="20" t="s">
        <v>138</v>
      </c>
      <c r="AI814" s="20" t="s">
        <v>138</v>
      </c>
      <c r="AJ814" s="20" t="s">
        <v>138</v>
      </c>
      <c r="AK814" s="15" t="s">
        <v>16180</v>
      </c>
      <c r="AL814" s="15" t="s">
        <v>16181</v>
      </c>
      <c r="AM814" s="15" t="s">
        <v>1632</v>
      </c>
      <c r="AN814" s="15" t="s">
        <v>16182</v>
      </c>
      <c r="AO814" s="15" t="s">
        <v>16183</v>
      </c>
      <c r="AP814" s="15" t="s">
        <v>16184</v>
      </c>
      <c r="AQ814" s="15" t="s">
        <v>16185</v>
      </c>
      <c r="AR814" s="15" t="s">
        <v>138</v>
      </c>
      <c r="AS814" s="15" t="s">
        <v>16186</v>
      </c>
      <c r="AT814" s="15" t="s">
        <v>160</v>
      </c>
      <c r="AU814" s="15" t="s">
        <v>16187</v>
      </c>
      <c r="AV814" s="15" t="s">
        <v>162</v>
      </c>
      <c r="AW814" s="15" t="s">
        <v>16183</v>
      </c>
      <c r="AX814" s="15" t="s">
        <v>138</v>
      </c>
      <c r="AY814" s="15" t="s">
        <v>16188</v>
      </c>
      <c r="AZ814" s="15" t="s">
        <v>164</v>
      </c>
      <c r="BA814" s="15" t="s">
        <v>165</v>
      </c>
      <c r="BB814" s="15" t="s">
        <v>16189</v>
      </c>
      <c r="BC814" s="15" t="s">
        <v>16190</v>
      </c>
      <c r="BD814" s="21">
        <v>11</v>
      </c>
      <c r="BE814" s="15" t="s">
        <v>138</v>
      </c>
      <c r="BF814" s="15" t="s">
        <v>138</v>
      </c>
      <c r="BG814" s="15" t="s">
        <v>138</v>
      </c>
      <c r="BH814" s="15" t="s">
        <v>16191</v>
      </c>
      <c r="BI814" s="15" t="s">
        <v>138</v>
      </c>
      <c r="BJ814" s="15" t="s">
        <v>138</v>
      </c>
      <c r="BK814" s="15" t="s">
        <v>16192</v>
      </c>
      <c r="BL814" s="15" t="s">
        <v>16192</v>
      </c>
      <c r="BM814" s="22">
        <v>42894</v>
      </c>
      <c r="BN814" s="17">
        <v>10.9</v>
      </c>
      <c r="BO814" s="15" t="s">
        <v>172</v>
      </c>
      <c r="BP814" s="17">
        <v>30.9</v>
      </c>
      <c r="BQ814" s="15" t="s">
        <v>172</v>
      </c>
      <c r="BR814" s="15" t="s">
        <v>205</v>
      </c>
      <c r="BS814" s="15" t="s">
        <v>206</v>
      </c>
      <c r="BT814" s="15" t="s">
        <v>138</v>
      </c>
      <c r="BU814" s="15" t="s">
        <v>174</v>
      </c>
      <c r="BV814" s="15" t="s">
        <v>138</v>
      </c>
      <c r="BW814" s="15" t="s">
        <v>138</v>
      </c>
      <c r="BX814" s="15" t="s">
        <v>138</v>
      </c>
      <c r="BY814" s="15" t="s">
        <v>175</v>
      </c>
      <c r="BZ814" s="22">
        <v>43259</v>
      </c>
      <c r="CA814" s="17">
        <v>6.77</v>
      </c>
      <c r="CB814" s="15" t="s">
        <v>172</v>
      </c>
      <c r="CC814" s="17">
        <v>66.77</v>
      </c>
      <c r="CD814" s="15" t="s">
        <v>172</v>
      </c>
      <c r="CE814" s="15" t="s">
        <v>205</v>
      </c>
      <c r="CF814" s="15" t="s">
        <v>623</v>
      </c>
      <c r="CG814" s="15" t="s">
        <v>138</v>
      </c>
      <c r="CH814" s="15" t="s">
        <v>174</v>
      </c>
      <c r="CI814" s="15" t="s">
        <v>138</v>
      </c>
      <c r="CJ814" s="15" t="s">
        <v>138</v>
      </c>
      <c r="CK814" s="15" t="s">
        <v>138</v>
      </c>
      <c r="CL814" s="15" t="s">
        <v>175</v>
      </c>
      <c r="CM814" s="22" t="s">
        <v>138</v>
      </c>
      <c r="CN814" s="17" t="s">
        <v>138</v>
      </c>
      <c r="CO814" s="23">
        <v>-0.57999999999999996</v>
      </c>
      <c r="CP814" s="24">
        <v>15</v>
      </c>
      <c r="CQ814" s="23">
        <v>-0.12</v>
      </c>
      <c r="CR814" s="23">
        <v>-25.19</v>
      </c>
      <c r="CS814" s="23">
        <v>-0.57999999999999996</v>
      </c>
      <c r="CT814" s="24">
        <v>19</v>
      </c>
      <c r="CU814" s="23" t="s">
        <v>138</v>
      </c>
      <c r="CV814" s="24" t="s">
        <v>138</v>
      </c>
      <c r="CW814" s="23">
        <v>0</v>
      </c>
      <c r="CX814" s="24">
        <v>13</v>
      </c>
      <c r="CY814" s="23">
        <v>-1.1499999999999999</v>
      </c>
      <c r="CZ814" s="24">
        <v>18</v>
      </c>
      <c r="DA814" s="23" t="s">
        <v>138</v>
      </c>
      <c r="DB814" s="24" t="s">
        <v>138</v>
      </c>
      <c r="DC814" s="25">
        <v>2.04</v>
      </c>
      <c r="DD814" s="24">
        <v>68</v>
      </c>
      <c r="DE814" s="25">
        <v>-0.04</v>
      </c>
      <c r="DF814" s="23">
        <v>-2.06</v>
      </c>
      <c r="DG814" s="25">
        <v>2.04</v>
      </c>
      <c r="DH814" s="24">
        <v>67</v>
      </c>
      <c r="DI814" s="25" t="s">
        <v>138</v>
      </c>
      <c r="DJ814" s="24" t="s">
        <v>138</v>
      </c>
      <c r="DK814" s="25">
        <v>0.67</v>
      </c>
      <c r="DL814" s="24">
        <v>41</v>
      </c>
      <c r="DM814" s="25">
        <v>3.41</v>
      </c>
      <c r="DN814" s="24">
        <v>76</v>
      </c>
      <c r="DO814" s="25" t="s">
        <v>138</v>
      </c>
      <c r="DP814" s="24" t="s">
        <v>138</v>
      </c>
      <c r="DQ814" s="24">
        <v>219</v>
      </c>
      <c r="DR814" s="26">
        <v>32</v>
      </c>
      <c r="DS814" s="23">
        <v>17.11</v>
      </c>
      <c r="DT814" s="24">
        <v>99</v>
      </c>
      <c r="DU814" s="26">
        <v>1</v>
      </c>
      <c r="DV814" s="23">
        <v>1.02</v>
      </c>
      <c r="DW814" s="24" t="s">
        <v>138</v>
      </c>
      <c r="DX814" s="27" t="s">
        <v>138</v>
      </c>
      <c r="DY814" s="23" t="s">
        <v>138</v>
      </c>
      <c r="DZ814" s="15" t="s">
        <v>178</v>
      </c>
      <c r="EA814" s="22">
        <v>43395</v>
      </c>
      <c r="EB814" s="17">
        <v>66.77</v>
      </c>
      <c r="EC814" s="22">
        <v>43259</v>
      </c>
      <c r="ED814" s="15" t="s">
        <v>205</v>
      </c>
      <c r="EE814" s="14" t="str">
        <f>HYPERLINK("https://my.pitchbook.com?c=125877-34", "View company online")</f>
        <v>View company online</v>
      </c>
    </row>
    <row r="815" spans="1:135">
      <c r="A815" s="28" t="s">
        <v>16193</v>
      </c>
      <c r="B815" s="28" t="s">
        <v>16194</v>
      </c>
      <c r="C815" s="28" t="s">
        <v>138</v>
      </c>
      <c r="D815" s="28" t="s">
        <v>16195</v>
      </c>
      <c r="E815" s="28" t="s">
        <v>138</v>
      </c>
      <c r="F815" s="28" t="s">
        <v>16193</v>
      </c>
      <c r="G815" s="28" t="s">
        <v>16196</v>
      </c>
      <c r="H815" s="28" t="s">
        <v>385</v>
      </c>
      <c r="I815" s="28" t="s">
        <v>1991</v>
      </c>
      <c r="J815" s="28" t="s">
        <v>1992</v>
      </c>
      <c r="K815" s="28" t="s">
        <v>16197</v>
      </c>
      <c r="L815" s="28" t="s">
        <v>16198</v>
      </c>
      <c r="M815" s="28" t="s">
        <v>16199</v>
      </c>
      <c r="N815" s="28" t="s">
        <v>147</v>
      </c>
      <c r="O815" s="29">
        <v>6.3</v>
      </c>
      <c r="P815" s="28" t="s">
        <v>148</v>
      </c>
      <c r="Q815" s="28" t="s">
        <v>149</v>
      </c>
      <c r="R815" s="28" t="s">
        <v>174</v>
      </c>
      <c r="S815" s="28" t="s">
        <v>16200</v>
      </c>
      <c r="T815" s="30">
        <v>600</v>
      </c>
      <c r="U815" s="28" t="s">
        <v>16201</v>
      </c>
      <c r="V815" s="28" t="s">
        <v>138</v>
      </c>
      <c r="W815" s="28" t="s">
        <v>138</v>
      </c>
      <c r="X815" s="31">
        <v>2009</v>
      </c>
      <c r="Y815" s="28" t="s">
        <v>138</v>
      </c>
      <c r="Z815" s="28" t="s">
        <v>138</v>
      </c>
      <c r="AA815" s="28" t="s">
        <v>138</v>
      </c>
      <c r="AB815" s="32" t="s">
        <v>138</v>
      </c>
      <c r="AC815" s="32" t="s">
        <v>138</v>
      </c>
      <c r="AD815" s="32" t="s">
        <v>138</v>
      </c>
      <c r="AE815" s="32" t="s">
        <v>138</v>
      </c>
      <c r="AF815" s="32" t="s">
        <v>138</v>
      </c>
      <c r="AG815" s="28" t="s">
        <v>138</v>
      </c>
      <c r="AH815" s="32" t="s">
        <v>138</v>
      </c>
      <c r="AI815" s="32" t="s">
        <v>138</v>
      </c>
      <c r="AJ815" s="32" t="s">
        <v>138</v>
      </c>
      <c r="AK815" s="28" t="s">
        <v>16202</v>
      </c>
      <c r="AL815" s="28" t="s">
        <v>16203</v>
      </c>
      <c r="AM815" s="28" t="s">
        <v>4114</v>
      </c>
      <c r="AN815" s="28" t="s">
        <v>16204</v>
      </c>
      <c r="AO815" s="28" t="s">
        <v>16205</v>
      </c>
      <c r="AP815" s="28" t="s">
        <v>11748</v>
      </c>
      <c r="AQ815" s="28" t="s">
        <v>16206</v>
      </c>
      <c r="AR815" s="28" t="s">
        <v>138</v>
      </c>
      <c r="AS815" s="28" t="s">
        <v>11750</v>
      </c>
      <c r="AT815" s="28" t="s">
        <v>200</v>
      </c>
      <c r="AU815" s="28" t="s">
        <v>16207</v>
      </c>
      <c r="AV815" s="28" t="s">
        <v>162</v>
      </c>
      <c r="AW815" s="28" t="s">
        <v>16205</v>
      </c>
      <c r="AX815" s="28" t="s">
        <v>138</v>
      </c>
      <c r="AY815" s="28" t="s">
        <v>16208</v>
      </c>
      <c r="AZ815" s="28" t="s">
        <v>164</v>
      </c>
      <c r="BA815" s="28" t="s">
        <v>165</v>
      </c>
      <c r="BB815" s="28" t="s">
        <v>16209</v>
      </c>
      <c r="BC815" s="28" t="s">
        <v>16210</v>
      </c>
      <c r="BD815" s="33">
        <v>3</v>
      </c>
      <c r="BE815" s="28" t="s">
        <v>138</v>
      </c>
      <c r="BF815" s="28" t="s">
        <v>138</v>
      </c>
      <c r="BG815" s="28" t="s">
        <v>138</v>
      </c>
      <c r="BH815" s="28" t="s">
        <v>16211</v>
      </c>
      <c r="BI815" s="28" t="s">
        <v>138</v>
      </c>
      <c r="BJ815" s="28" t="s">
        <v>138</v>
      </c>
      <c r="BK815" s="28" t="s">
        <v>16212</v>
      </c>
      <c r="BL815" s="28" t="s">
        <v>138</v>
      </c>
      <c r="BM815" s="34">
        <v>42186</v>
      </c>
      <c r="BN815" s="29">
        <v>6.3</v>
      </c>
      <c r="BO815" s="28" t="s">
        <v>172</v>
      </c>
      <c r="BP815" s="29" t="s">
        <v>138</v>
      </c>
      <c r="BQ815" s="28" t="s">
        <v>138</v>
      </c>
      <c r="BR815" s="28" t="s">
        <v>173</v>
      </c>
      <c r="BS815" s="28" t="s">
        <v>138</v>
      </c>
      <c r="BT815" s="28" t="s">
        <v>138</v>
      </c>
      <c r="BU815" s="28" t="s">
        <v>174</v>
      </c>
      <c r="BV815" s="28" t="s">
        <v>138</v>
      </c>
      <c r="BW815" s="28" t="s">
        <v>138</v>
      </c>
      <c r="BX815" s="28" t="s">
        <v>138</v>
      </c>
      <c r="BY815" s="28" t="s">
        <v>175</v>
      </c>
      <c r="BZ815" s="34">
        <v>42186</v>
      </c>
      <c r="CA815" s="29">
        <v>6.3</v>
      </c>
      <c r="CB815" s="28" t="s">
        <v>172</v>
      </c>
      <c r="CC815" s="29" t="s">
        <v>138</v>
      </c>
      <c r="CD815" s="28" t="s">
        <v>138</v>
      </c>
      <c r="CE815" s="28" t="s">
        <v>173</v>
      </c>
      <c r="CF815" s="28" t="s">
        <v>138</v>
      </c>
      <c r="CG815" s="28" t="s">
        <v>138</v>
      </c>
      <c r="CH815" s="28" t="s">
        <v>174</v>
      </c>
      <c r="CI815" s="28" t="s">
        <v>138</v>
      </c>
      <c r="CJ815" s="28" t="s">
        <v>138</v>
      </c>
      <c r="CK815" s="28" t="s">
        <v>138</v>
      </c>
      <c r="CL815" s="28" t="s">
        <v>175</v>
      </c>
      <c r="CM815" s="34" t="s">
        <v>138</v>
      </c>
      <c r="CN815" s="29" t="s">
        <v>138</v>
      </c>
      <c r="CO815" s="35">
        <v>0</v>
      </c>
      <c r="CP815" s="36">
        <v>26</v>
      </c>
      <c r="CQ815" s="35">
        <v>0</v>
      </c>
      <c r="CR815" s="35">
        <v>0</v>
      </c>
      <c r="CS815" s="35">
        <v>0</v>
      </c>
      <c r="CT815" s="36">
        <v>23</v>
      </c>
      <c r="CU815" s="35" t="s">
        <v>138</v>
      </c>
      <c r="CV815" s="36" t="s">
        <v>138</v>
      </c>
      <c r="CW815" s="35" t="s">
        <v>138</v>
      </c>
      <c r="CX815" s="36" t="s">
        <v>138</v>
      </c>
      <c r="CY815" s="35">
        <v>0</v>
      </c>
      <c r="CZ815" s="36">
        <v>25</v>
      </c>
      <c r="DA815" s="35" t="s">
        <v>138</v>
      </c>
      <c r="DB815" s="36" t="s">
        <v>138</v>
      </c>
      <c r="DC815" s="37">
        <v>0.31</v>
      </c>
      <c r="DD815" s="36">
        <v>23</v>
      </c>
      <c r="DE815" s="37">
        <v>0</v>
      </c>
      <c r="DF815" s="35">
        <v>0</v>
      </c>
      <c r="DG815" s="37">
        <v>0.31</v>
      </c>
      <c r="DH815" s="36">
        <v>23</v>
      </c>
      <c r="DI815" s="37" t="s">
        <v>138</v>
      </c>
      <c r="DJ815" s="36" t="s">
        <v>138</v>
      </c>
      <c r="DK815" s="37" t="s">
        <v>138</v>
      </c>
      <c r="DL815" s="36" t="s">
        <v>138</v>
      </c>
      <c r="DM815" s="37">
        <v>0.31</v>
      </c>
      <c r="DN815" s="36">
        <v>24</v>
      </c>
      <c r="DO815" s="37" t="s">
        <v>138</v>
      </c>
      <c r="DP815" s="36" t="s">
        <v>138</v>
      </c>
      <c r="DQ815" s="36">
        <v>75</v>
      </c>
      <c r="DR815" s="38">
        <v>-28</v>
      </c>
      <c r="DS815" s="35">
        <v>-27.18</v>
      </c>
      <c r="DT815" s="36">
        <v>9</v>
      </c>
      <c r="DU815" s="38">
        <v>1</v>
      </c>
      <c r="DV815" s="35">
        <v>12.5</v>
      </c>
      <c r="DW815" s="36" t="s">
        <v>138</v>
      </c>
      <c r="DX815" s="39" t="s">
        <v>138</v>
      </c>
      <c r="DY815" s="35" t="s">
        <v>138</v>
      </c>
      <c r="DZ815" s="28" t="s">
        <v>178</v>
      </c>
      <c r="EA815" s="34">
        <v>43351</v>
      </c>
      <c r="EB815" s="29" t="s">
        <v>138</v>
      </c>
      <c r="EC815" s="34" t="s">
        <v>138</v>
      </c>
      <c r="ED815" s="28" t="s">
        <v>138</v>
      </c>
      <c r="EE815" s="40" t="str">
        <f>HYPERLINK("https://my.pitchbook.com?c=186120-91", "View company online")</f>
        <v>View company online</v>
      </c>
    </row>
    <row r="816" spans="1:135">
      <c r="A816" s="15" t="s">
        <v>16213</v>
      </c>
      <c r="B816" s="15" t="s">
        <v>16214</v>
      </c>
      <c r="C816" s="15" t="s">
        <v>138</v>
      </c>
      <c r="D816" s="15" t="s">
        <v>138</v>
      </c>
      <c r="E816" s="15" t="s">
        <v>16215</v>
      </c>
      <c r="F816" s="15" t="s">
        <v>16213</v>
      </c>
      <c r="G816" s="15" t="s">
        <v>16216</v>
      </c>
      <c r="H816" s="15" t="s">
        <v>322</v>
      </c>
      <c r="I816" s="15" t="s">
        <v>323</v>
      </c>
      <c r="J816" s="15" t="s">
        <v>539</v>
      </c>
      <c r="K816" s="15" t="s">
        <v>16217</v>
      </c>
      <c r="L816" s="15" t="s">
        <v>16218</v>
      </c>
      <c r="M816" s="15" t="s">
        <v>16219</v>
      </c>
      <c r="N816" s="15" t="s">
        <v>147</v>
      </c>
      <c r="O816" s="17">
        <v>7.62</v>
      </c>
      <c r="P816" s="15" t="s">
        <v>610</v>
      </c>
      <c r="Q816" s="15" t="s">
        <v>149</v>
      </c>
      <c r="R816" s="15" t="s">
        <v>174</v>
      </c>
      <c r="S816" s="15" t="s">
        <v>16220</v>
      </c>
      <c r="T816" s="18" t="s">
        <v>138</v>
      </c>
      <c r="U816" s="15" t="s">
        <v>138</v>
      </c>
      <c r="V816" s="15" t="s">
        <v>138</v>
      </c>
      <c r="W816" s="15" t="s">
        <v>138</v>
      </c>
      <c r="X816" s="19" t="s">
        <v>138</v>
      </c>
      <c r="Y816" s="15" t="s">
        <v>138</v>
      </c>
      <c r="Z816" s="15" t="s">
        <v>138</v>
      </c>
      <c r="AA816" s="15" t="s">
        <v>138</v>
      </c>
      <c r="AB816" s="20" t="s">
        <v>138</v>
      </c>
      <c r="AC816" s="20" t="s">
        <v>138</v>
      </c>
      <c r="AD816" s="20" t="s">
        <v>138</v>
      </c>
      <c r="AE816" s="20" t="s">
        <v>138</v>
      </c>
      <c r="AF816" s="20" t="s">
        <v>138</v>
      </c>
      <c r="AG816" s="15" t="s">
        <v>138</v>
      </c>
      <c r="AH816" s="20" t="s">
        <v>138</v>
      </c>
      <c r="AI816" s="20" t="s">
        <v>138</v>
      </c>
      <c r="AJ816" s="20" t="s">
        <v>138</v>
      </c>
      <c r="AK816" s="15" t="s">
        <v>16221</v>
      </c>
      <c r="AL816" s="15" t="s">
        <v>16222</v>
      </c>
      <c r="AM816" s="15" t="s">
        <v>4269</v>
      </c>
      <c r="AN816" s="15" t="s">
        <v>16223</v>
      </c>
      <c r="AO816" s="15" t="s">
        <v>16224</v>
      </c>
      <c r="AP816" s="15" t="s">
        <v>1870</v>
      </c>
      <c r="AQ816" s="15" t="s">
        <v>16225</v>
      </c>
      <c r="AR816" s="15" t="s">
        <v>16226</v>
      </c>
      <c r="AS816" s="15" t="s">
        <v>1872</v>
      </c>
      <c r="AT816" s="15" t="s">
        <v>200</v>
      </c>
      <c r="AU816" s="15" t="s">
        <v>6318</v>
      </c>
      <c r="AV816" s="15" t="s">
        <v>162</v>
      </c>
      <c r="AW816" s="15" t="s">
        <v>16224</v>
      </c>
      <c r="AX816" s="15" t="s">
        <v>138</v>
      </c>
      <c r="AY816" s="15" t="s">
        <v>16227</v>
      </c>
      <c r="AZ816" s="15" t="s">
        <v>164</v>
      </c>
      <c r="BA816" s="15" t="s">
        <v>165</v>
      </c>
      <c r="BB816" s="15" t="s">
        <v>16228</v>
      </c>
      <c r="BC816" s="15" t="s">
        <v>16229</v>
      </c>
      <c r="BD816" s="21">
        <v>16</v>
      </c>
      <c r="BE816" s="15" t="s">
        <v>138</v>
      </c>
      <c r="BF816" s="15" t="s">
        <v>138</v>
      </c>
      <c r="BG816" s="15" t="s">
        <v>138</v>
      </c>
      <c r="BH816" s="15" t="s">
        <v>16230</v>
      </c>
      <c r="BI816" s="15" t="s">
        <v>138</v>
      </c>
      <c r="BJ816" s="15" t="s">
        <v>138</v>
      </c>
      <c r="BK816" s="15" t="s">
        <v>138</v>
      </c>
      <c r="BL816" s="15" t="s">
        <v>138</v>
      </c>
      <c r="BM816" s="22">
        <v>42370</v>
      </c>
      <c r="BN816" s="17" t="s">
        <v>138</v>
      </c>
      <c r="BO816" s="15" t="s">
        <v>138</v>
      </c>
      <c r="BP816" s="17" t="s">
        <v>138</v>
      </c>
      <c r="BQ816" s="15" t="s">
        <v>138</v>
      </c>
      <c r="BR816" s="15" t="s">
        <v>234</v>
      </c>
      <c r="BS816" s="15" t="s">
        <v>234</v>
      </c>
      <c r="BT816" s="15" t="s">
        <v>138</v>
      </c>
      <c r="BU816" s="15" t="s">
        <v>174</v>
      </c>
      <c r="BV816" s="15" t="s">
        <v>138</v>
      </c>
      <c r="BW816" s="15" t="s">
        <v>138</v>
      </c>
      <c r="BX816" s="15" t="s">
        <v>138</v>
      </c>
      <c r="BY816" s="15" t="s">
        <v>175</v>
      </c>
      <c r="BZ816" s="22">
        <v>43293</v>
      </c>
      <c r="CA816" s="17">
        <v>7.5</v>
      </c>
      <c r="CB816" s="15" t="s">
        <v>172</v>
      </c>
      <c r="CC816" s="17" t="s">
        <v>138</v>
      </c>
      <c r="CD816" s="15" t="s">
        <v>138</v>
      </c>
      <c r="CE816" s="15" t="s">
        <v>234</v>
      </c>
      <c r="CF816" s="15" t="s">
        <v>234</v>
      </c>
      <c r="CG816" s="15" t="s">
        <v>138</v>
      </c>
      <c r="CH816" s="15" t="s">
        <v>174</v>
      </c>
      <c r="CI816" s="15" t="s">
        <v>138</v>
      </c>
      <c r="CJ816" s="15" t="s">
        <v>138</v>
      </c>
      <c r="CK816" s="15" t="s">
        <v>138</v>
      </c>
      <c r="CL816" s="15" t="s">
        <v>175</v>
      </c>
      <c r="CM816" s="22" t="s">
        <v>138</v>
      </c>
      <c r="CN816" s="17" t="s">
        <v>138</v>
      </c>
      <c r="CO816" s="23">
        <v>0</v>
      </c>
      <c r="CP816" s="24">
        <v>26</v>
      </c>
      <c r="CQ816" s="23">
        <v>0</v>
      </c>
      <c r="CR816" s="23">
        <v>0</v>
      </c>
      <c r="CS816" s="23">
        <v>0</v>
      </c>
      <c r="CT816" s="24">
        <v>23</v>
      </c>
      <c r="CU816" s="23">
        <v>0</v>
      </c>
      <c r="CV816" s="24">
        <v>22</v>
      </c>
      <c r="CW816" s="23">
        <v>0</v>
      </c>
      <c r="CX816" s="24">
        <v>13</v>
      </c>
      <c r="CY816" s="23" t="s">
        <v>138</v>
      </c>
      <c r="CZ816" s="24" t="s">
        <v>138</v>
      </c>
      <c r="DA816" s="23">
        <v>0</v>
      </c>
      <c r="DB816" s="24">
        <v>22</v>
      </c>
      <c r="DC816" s="25">
        <v>0.98</v>
      </c>
      <c r="DD816" s="24">
        <v>51</v>
      </c>
      <c r="DE816" s="25">
        <v>-0.11</v>
      </c>
      <c r="DF816" s="23">
        <v>-9.93</v>
      </c>
      <c r="DG816" s="25">
        <v>1.69</v>
      </c>
      <c r="DH816" s="24">
        <v>63</v>
      </c>
      <c r="DI816" s="25">
        <v>0.26</v>
      </c>
      <c r="DJ816" s="24">
        <v>26</v>
      </c>
      <c r="DK816" s="25">
        <v>1.69</v>
      </c>
      <c r="DL816" s="24">
        <v>61</v>
      </c>
      <c r="DM816" s="25" t="s">
        <v>138</v>
      </c>
      <c r="DN816" s="24" t="s">
        <v>138</v>
      </c>
      <c r="DO816" s="25">
        <v>0.26</v>
      </c>
      <c r="DP816" s="24">
        <v>28</v>
      </c>
      <c r="DQ816" s="24">
        <v>568</v>
      </c>
      <c r="DR816" s="26">
        <v>33</v>
      </c>
      <c r="DS816" s="23">
        <v>6.17</v>
      </c>
      <c r="DT816" s="24" t="s">
        <v>138</v>
      </c>
      <c r="DU816" s="26" t="s">
        <v>138</v>
      </c>
      <c r="DV816" s="23" t="s">
        <v>138</v>
      </c>
      <c r="DW816" s="24">
        <v>94</v>
      </c>
      <c r="DX816" s="27">
        <v>1</v>
      </c>
      <c r="DY816" s="23">
        <v>1.08</v>
      </c>
      <c r="DZ816" s="15" t="s">
        <v>178</v>
      </c>
      <c r="EA816" s="22">
        <v>43447</v>
      </c>
      <c r="EB816" s="17" t="s">
        <v>138</v>
      </c>
      <c r="EC816" s="22" t="s">
        <v>138</v>
      </c>
      <c r="ED816" s="15" t="s">
        <v>138</v>
      </c>
      <c r="EE816" s="14" t="str">
        <f>HYPERLINK("https://my.pitchbook.com?c=178728-76", "View company online")</f>
        <v>View company online</v>
      </c>
    </row>
    <row r="817" spans="1:135">
      <c r="A817" s="28" t="s">
        <v>16231</v>
      </c>
      <c r="B817" s="28" t="s">
        <v>16232</v>
      </c>
      <c r="C817" s="28" t="s">
        <v>138</v>
      </c>
      <c r="D817" s="28" t="s">
        <v>138</v>
      </c>
      <c r="E817" s="28" t="s">
        <v>138</v>
      </c>
      <c r="F817" s="28" t="s">
        <v>16231</v>
      </c>
      <c r="G817" s="28" t="s">
        <v>16233</v>
      </c>
      <c r="H817" s="28" t="s">
        <v>141</v>
      </c>
      <c r="I817" s="28" t="s">
        <v>142</v>
      </c>
      <c r="J817" s="28" t="s">
        <v>4910</v>
      </c>
      <c r="K817" s="28" t="s">
        <v>16234</v>
      </c>
      <c r="L817" s="28" t="s">
        <v>16235</v>
      </c>
      <c r="M817" s="28" t="s">
        <v>16236</v>
      </c>
      <c r="N817" s="28" t="s">
        <v>147</v>
      </c>
      <c r="O817" s="29">
        <v>17.149999999999999</v>
      </c>
      <c r="P817" s="28" t="s">
        <v>148</v>
      </c>
      <c r="Q817" s="28" t="s">
        <v>149</v>
      </c>
      <c r="R817" s="28" t="s">
        <v>174</v>
      </c>
      <c r="S817" s="28" t="s">
        <v>16237</v>
      </c>
      <c r="T817" s="30">
        <v>20</v>
      </c>
      <c r="U817" s="28" t="s">
        <v>15213</v>
      </c>
      <c r="V817" s="28" t="s">
        <v>138</v>
      </c>
      <c r="W817" s="28" t="s">
        <v>138</v>
      </c>
      <c r="X817" s="31">
        <v>2012</v>
      </c>
      <c r="Y817" s="28" t="s">
        <v>138</v>
      </c>
      <c r="Z817" s="28" t="s">
        <v>138</v>
      </c>
      <c r="AA817" s="28" t="s">
        <v>138</v>
      </c>
      <c r="AB817" s="32" t="s">
        <v>138</v>
      </c>
      <c r="AC817" s="32" t="s">
        <v>138</v>
      </c>
      <c r="AD817" s="32" t="s">
        <v>138</v>
      </c>
      <c r="AE817" s="32" t="s">
        <v>138</v>
      </c>
      <c r="AF817" s="32" t="s">
        <v>138</v>
      </c>
      <c r="AG817" s="28" t="s">
        <v>138</v>
      </c>
      <c r="AH817" s="32" t="s">
        <v>138</v>
      </c>
      <c r="AI817" s="32" t="s">
        <v>138</v>
      </c>
      <c r="AJ817" s="32" t="s">
        <v>138</v>
      </c>
      <c r="AK817" s="28" t="s">
        <v>16238</v>
      </c>
      <c r="AL817" s="28" t="s">
        <v>16239</v>
      </c>
      <c r="AM817" s="28" t="s">
        <v>4810</v>
      </c>
      <c r="AN817" s="28" t="s">
        <v>16240</v>
      </c>
      <c r="AO817" s="28" t="s">
        <v>16241</v>
      </c>
      <c r="AP817" s="28" t="s">
        <v>2002</v>
      </c>
      <c r="AQ817" s="28" t="s">
        <v>16242</v>
      </c>
      <c r="AR817" s="28" t="s">
        <v>16243</v>
      </c>
      <c r="AS817" s="28" t="s">
        <v>2005</v>
      </c>
      <c r="AT817" s="28" t="s">
        <v>200</v>
      </c>
      <c r="AU817" s="28" t="s">
        <v>16244</v>
      </c>
      <c r="AV817" s="28" t="s">
        <v>162</v>
      </c>
      <c r="AW817" s="28" t="s">
        <v>16241</v>
      </c>
      <c r="AX817" s="28" t="s">
        <v>138</v>
      </c>
      <c r="AY817" s="28" t="s">
        <v>16245</v>
      </c>
      <c r="AZ817" s="28" t="s">
        <v>164</v>
      </c>
      <c r="BA817" s="28" t="s">
        <v>165</v>
      </c>
      <c r="BB817" s="28" t="s">
        <v>16246</v>
      </c>
      <c r="BC817" s="28" t="s">
        <v>16247</v>
      </c>
      <c r="BD817" s="33">
        <v>3</v>
      </c>
      <c r="BE817" s="28" t="s">
        <v>138</v>
      </c>
      <c r="BF817" s="28" t="s">
        <v>138</v>
      </c>
      <c r="BG817" s="28" t="s">
        <v>138</v>
      </c>
      <c r="BH817" s="28" t="s">
        <v>16248</v>
      </c>
      <c r="BI817" s="28" t="s">
        <v>138</v>
      </c>
      <c r="BJ817" s="28" t="s">
        <v>138</v>
      </c>
      <c r="BK817" s="28" t="s">
        <v>138</v>
      </c>
      <c r="BL817" s="28" t="s">
        <v>16249</v>
      </c>
      <c r="BM817" s="34">
        <v>41822</v>
      </c>
      <c r="BN817" s="29">
        <v>3</v>
      </c>
      <c r="BO817" s="28" t="s">
        <v>1178</v>
      </c>
      <c r="BP817" s="29">
        <v>9.5</v>
      </c>
      <c r="BQ817" s="28" t="s">
        <v>1178</v>
      </c>
      <c r="BR817" s="28" t="s">
        <v>205</v>
      </c>
      <c r="BS817" s="28" t="s">
        <v>206</v>
      </c>
      <c r="BT817" s="28" t="s">
        <v>138</v>
      </c>
      <c r="BU817" s="28" t="s">
        <v>174</v>
      </c>
      <c r="BV817" s="28" t="s">
        <v>138</v>
      </c>
      <c r="BW817" s="28" t="s">
        <v>138</v>
      </c>
      <c r="BX817" s="28" t="s">
        <v>138</v>
      </c>
      <c r="BY817" s="28" t="s">
        <v>175</v>
      </c>
      <c r="BZ817" s="34">
        <v>42993</v>
      </c>
      <c r="CA817" s="29">
        <v>12.9</v>
      </c>
      <c r="CB817" s="28" t="s">
        <v>1178</v>
      </c>
      <c r="CC817" s="29">
        <v>29.96</v>
      </c>
      <c r="CD817" s="28" t="s">
        <v>172</v>
      </c>
      <c r="CE817" s="28" t="s">
        <v>173</v>
      </c>
      <c r="CF817" s="28" t="s">
        <v>317</v>
      </c>
      <c r="CG817" s="28" t="s">
        <v>138</v>
      </c>
      <c r="CH817" s="28" t="s">
        <v>174</v>
      </c>
      <c r="CI817" s="28" t="s">
        <v>138</v>
      </c>
      <c r="CJ817" s="28" t="s">
        <v>138</v>
      </c>
      <c r="CK817" s="28" t="s">
        <v>138</v>
      </c>
      <c r="CL817" s="28" t="s">
        <v>175</v>
      </c>
      <c r="CM817" s="34" t="s">
        <v>138</v>
      </c>
      <c r="CN817" s="29" t="s">
        <v>138</v>
      </c>
      <c r="CO817" s="35">
        <v>0.11</v>
      </c>
      <c r="CP817" s="36">
        <v>90</v>
      </c>
      <c r="CQ817" s="35">
        <v>0</v>
      </c>
      <c r="CR817" s="35">
        <v>0</v>
      </c>
      <c r="CS817" s="35">
        <v>0</v>
      </c>
      <c r="CT817" s="36">
        <v>23</v>
      </c>
      <c r="CU817" s="35">
        <v>0.22</v>
      </c>
      <c r="CV817" s="36">
        <v>82</v>
      </c>
      <c r="CW817" s="35">
        <v>0</v>
      </c>
      <c r="CX817" s="36">
        <v>13</v>
      </c>
      <c r="CY817" s="35" t="s">
        <v>138</v>
      </c>
      <c r="CZ817" s="36" t="s">
        <v>138</v>
      </c>
      <c r="DA817" s="35">
        <v>0.11</v>
      </c>
      <c r="DB817" s="36">
        <v>73</v>
      </c>
      <c r="DC817" s="37">
        <v>0.79</v>
      </c>
      <c r="DD817" s="36">
        <v>45</v>
      </c>
      <c r="DE817" s="37">
        <v>-0.03</v>
      </c>
      <c r="DF817" s="35">
        <v>-3.12</v>
      </c>
      <c r="DG817" s="37">
        <v>0.43</v>
      </c>
      <c r="DH817" s="36">
        <v>31</v>
      </c>
      <c r="DI817" s="37">
        <v>1.1499999999999999</v>
      </c>
      <c r="DJ817" s="36">
        <v>52</v>
      </c>
      <c r="DK817" s="37">
        <v>0.43</v>
      </c>
      <c r="DL817" s="36">
        <v>30</v>
      </c>
      <c r="DM817" s="37" t="s">
        <v>138</v>
      </c>
      <c r="DN817" s="36" t="s">
        <v>138</v>
      </c>
      <c r="DO817" s="37">
        <v>1.66</v>
      </c>
      <c r="DP817" s="36">
        <v>60</v>
      </c>
      <c r="DQ817" s="36">
        <v>145</v>
      </c>
      <c r="DR817" s="38">
        <v>3</v>
      </c>
      <c r="DS817" s="35">
        <v>2.11</v>
      </c>
      <c r="DT817" s="36" t="s">
        <v>138</v>
      </c>
      <c r="DU817" s="38" t="s">
        <v>138</v>
      </c>
      <c r="DV817" s="35" t="s">
        <v>138</v>
      </c>
      <c r="DW817" s="36">
        <v>596</v>
      </c>
      <c r="DX817" s="39">
        <v>0</v>
      </c>
      <c r="DY817" s="35">
        <v>0</v>
      </c>
      <c r="DZ817" s="28" t="s">
        <v>178</v>
      </c>
      <c r="EA817" s="34">
        <v>43559</v>
      </c>
      <c r="EB817" s="29">
        <v>29.96</v>
      </c>
      <c r="EC817" s="34">
        <v>42993</v>
      </c>
      <c r="ED817" s="28" t="s">
        <v>173</v>
      </c>
      <c r="EE817" s="40" t="str">
        <f>HYPERLINK("https://my.pitchbook.com?c=98785-72", "View company online")</f>
        <v>View company online</v>
      </c>
    </row>
    <row r="818" spans="1:135">
      <c r="A818" s="15" t="s">
        <v>16250</v>
      </c>
      <c r="B818" s="15" t="s">
        <v>16251</v>
      </c>
      <c r="C818" s="15" t="s">
        <v>16252</v>
      </c>
      <c r="D818" s="15" t="s">
        <v>138</v>
      </c>
      <c r="E818" s="15" t="s">
        <v>138</v>
      </c>
      <c r="F818" s="15" t="s">
        <v>16250</v>
      </c>
      <c r="G818" s="15" t="s">
        <v>16253</v>
      </c>
      <c r="H818" s="15" t="s">
        <v>322</v>
      </c>
      <c r="I818" s="15" t="s">
        <v>323</v>
      </c>
      <c r="J818" s="15" t="s">
        <v>413</v>
      </c>
      <c r="K818" s="15" t="s">
        <v>874</v>
      </c>
      <c r="L818" s="15" t="s">
        <v>242</v>
      </c>
      <c r="M818" s="15" t="s">
        <v>16254</v>
      </c>
      <c r="N818" s="15" t="s">
        <v>147</v>
      </c>
      <c r="O818" s="17" t="s">
        <v>138</v>
      </c>
      <c r="P818" s="15" t="s">
        <v>610</v>
      </c>
      <c r="Q818" s="15" t="s">
        <v>149</v>
      </c>
      <c r="R818" s="15" t="s">
        <v>174</v>
      </c>
      <c r="S818" s="15" t="s">
        <v>16255</v>
      </c>
      <c r="T818" s="18">
        <v>201</v>
      </c>
      <c r="U818" s="15" t="s">
        <v>16256</v>
      </c>
      <c r="V818" s="15" t="s">
        <v>138</v>
      </c>
      <c r="W818" s="15" t="s">
        <v>138</v>
      </c>
      <c r="X818" s="19">
        <v>2008</v>
      </c>
      <c r="Y818" s="15" t="s">
        <v>138</v>
      </c>
      <c r="Z818" s="15" t="s">
        <v>138</v>
      </c>
      <c r="AA818" s="15" t="s">
        <v>138</v>
      </c>
      <c r="AB818" s="20" t="s">
        <v>138</v>
      </c>
      <c r="AC818" s="20" t="s">
        <v>138</v>
      </c>
      <c r="AD818" s="20" t="s">
        <v>138</v>
      </c>
      <c r="AE818" s="20" t="s">
        <v>138</v>
      </c>
      <c r="AF818" s="20" t="s">
        <v>138</v>
      </c>
      <c r="AG818" s="15" t="s">
        <v>138</v>
      </c>
      <c r="AH818" s="20" t="s">
        <v>138</v>
      </c>
      <c r="AI818" s="20" t="s">
        <v>138</v>
      </c>
      <c r="AJ818" s="20" t="s">
        <v>138</v>
      </c>
      <c r="AK818" s="15" t="s">
        <v>16257</v>
      </c>
      <c r="AL818" s="15" t="s">
        <v>16258</v>
      </c>
      <c r="AM818" s="15" t="s">
        <v>16259</v>
      </c>
      <c r="AN818" s="15" t="s">
        <v>16260</v>
      </c>
      <c r="AO818" s="15" t="s">
        <v>16261</v>
      </c>
      <c r="AP818" s="15" t="s">
        <v>2065</v>
      </c>
      <c r="AQ818" s="15" t="s">
        <v>16262</v>
      </c>
      <c r="AR818" s="15" t="s">
        <v>138</v>
      </c>
      <c r="AS818" s="15" t="s">
        <v>2068</v>
      </c>
      <c r="AT818" s="15" t="s">
        <v>6099</v>
      </c>
      <c r="AU818" s="15" t="s">
        <v>16263</v>
      </c>
      <c r="AV818" s="15" t="s">
        <v>2071</v>
      </c>
      <c r="AW818" s="15" t="s">
        <v>16261</v>
      </c>
      <c r="AX818" s="15" t="s">
        <v>16264</v>
      </c>
      <c r="AY818" s="15" t="s">
        <v>16265</v>
      </c>
      <c r="AZ818" s="15" t="s">
        <v>452</v>
      </c>
      <c r="BA818" s="15" t="s">
        <v>453</v>
      </c>
      <c r="BB818" s="15" t="s">
        <v>16266</v>
      </c>
      <c r="BC818" s="15" t="s">
        <v>14038</v>
      </c>
      <c r="BD818" s="21">
        <v>2</v>
      </c>
      <c r="BE818" s="15" t="s">
        <v>138</v>
      </c>
      <c r="BF818" s="15" t="s">
        <v>138</v>
      </c>
      <c r="BG818" s="15" t="s">
        <v>138</v>
      </c>
      <c r="BH818" s="15" t="s">
        <v>14039</v>
      </c>
      <c r="BI818" s="15" t="s">
        <v>138</v>
      </c>
      <c r="BJ818" s="15" t="s">
        <v>138</v>
      </c>
      <c r="BK818" s="15" t="s">
        <v>138</v>
      </c>
      <c r="BL818" s="15" t="s">
        <v>138</v>
      </c>
      <c r="BM818" s="22" t="s">
        <v>138</v>
      </c>
      <c r="BN818" s="17" t="s">
        <v>138</v>
      </c>
      <c r="BO818" s="15" t="s">
        <v>138</v>
      </c>
      <c r="BP818" s="17" t="s">
        <v>138</v>
      </c>
      <c r="BQ818" s="15" t="s">
        <v>138</v>
      </c>
      <c r="BR818" s="15" t="s">
        <v>205</v>
      </c>
      <c r="BS818" s="15" t="s">
        <v>138</v>
      </c>
      <c r="BT818" s="15" t="s">
        <v>138</v>
      </c>
      <c r="BU818" s="15" t="s">
        <v>174</v>
      </c>
      <c r="BV818" s="15" t="s">
        <v>138</v>
      </c>
      <c r="BW818" s="15" t="s">
        <v>138</v>
      </c>
      <c r="BX818" s="15" t="s">
        <v>138</v>
      </c>
      <c r="BY818" s="15" t="s">
        <v>175</v>
      </c>
      <c r="BZ818" s="22" t="s">
        <v>138</v>
      </c>
      <c r="CA818" s="17" t="s">
        <v>138</v>
      </c>
      <c r="CB818" s="15" t="s">
        <v>138</v>
      </c>
      <c r="CC818" s="17" t="s">
        <v>138</v>
      </c>
      <c r="CD818" s="15" t="s">
        <v>138</v>
      </c>
      <c r="CE818" s="15" t="s">
        <v>205</v>
      </c>
      <c r="CF818" s="15" t="s">
        <v>138</v>
      </c>
      <c r="CG818" s="15" t="s">
        <v>138</v>
      </c>
      <c r="CH818" s="15" t="s">
        <v>174</v>
      </c>
      <c r="CI818" s="15" t="s">
        <v>138</v>
      </c>
      <c r="CJ818" s="15" t="s">
        <v>138</v>
      </c>
      <c r="CK818" s="15" t="s">
        <v>138</v>
      </c>
      <c r="CL818" s="15" t="s">
        <v>175</v>
      </c>
      <c r="CM818" s="22" t="s">
        <v>138</v>
      </c>
      <c r="CN818" s="17" t="s">
        <v>138</v>
      </c>
      <c r="CO818" s="23">
        <v>-1.5</v>
      </c>
      <c r="CP818" s="24">
        <v>8</v>
      </c>
      <c r="CQ818" s="23">
        <v>-0.03</v>
      </c>
      <c r="CR818" s="23">
        <v>-1.91</v>
      </c>
      <c r="CS818" s="23">
        <v>-2.99</v>
      </c>
      <c r="CT818" s="24">
        <v>5</v>
      </c>
      <c r="CU818" s="23">
        <v>0</v>
      </c>
      <c r="CV818" s="24">
        <v>22</v>
      </c>
      <c r="CW818" s="23" t="s">
        <v>138</v>
      </c>
      <c r="CX818" s="24" t="s">
        <v>138</v>
      </c>
      <c r="CY818" s="23">
        <v>-2.99</v>
      </c>
      <c r="CZ818" s="24">
        <v>7</v>
      </c>
      <c r="DA818" s="23">
        <v>0</v>
      </c>
      <c r="DB818" s="24">
        <v>22</v>
      </c>
      <c r="DC818" s="25">
        <v>2.44</v>
      </c>
      <c r="DD818" s="24">
        <v>71</v>
      </c>
      <c r="DE818" s="25">
        <v>-0.03</v>
      </c>
      <c r="DF818" s="23">
        <v>-1.39</v>
      </c>
      <c r="DG818" s="25">
        <v>4.83</v>
      </c>
      <c r="DH818" s="24">
        <v>82</v>
      </c>
      <c r="DI818" s="25">
        <v>0.06</v>
      </c>
      <c r="DJ818" s="24">
        <v>10</v>
      </c>
      <c r="DK818" s="25" t="s">
        <v>138</v>
      </c>
      <c r="DL818" s="24" t="s">
        <v>138</v>
      </c>
      <c r="DM818" s="25">
        <v>4.83</v>
      </c>
      <c r="DN818" s="24">
        <v>81</v>
      </c>
      <c r="DO818" s="25">
        <v>0.06</v>
      </c>
      <c r="DP818" s="24">
        <v>11</v>
      </c>
      <c r="DQ818" s="24" t="s">
        <v>138</v>
      </c>
      <c r="DR818" s="26" t="s">
        <v>138</v>
      </c>
      <c r="DS818" s="23" t="s">
        <v>138</v>
      </c>
      <c r="DT818" s="24">
        <v>140</v>
      </c>
      <c r="DU818" s="26">
        <v>-3</v>
      </c>
      <c r="DV818" s="23">
        <v>-2.1</v>
      </c>
      <c r="DW818" s="24">
        <v>20</v>
      </c>
      <c r="DX818" s="27">
        <v>0</v>
      </c>
      <c r="DY818" s="23">
        <v>0</v>
      </c>
      <c r="DZ818" s="15" t="s">
        <v>178</v>
      </c>
      <c r="EA818" s="22">
        <v>43351</v>
      </c>
      <c r="EB818" s="17" t="s">
        <v>138</v>
      </c>
      <c r="EC818" s="22" t="s">
        <v>138</v>
      </c>
      <c r="ED818" s="15" t="s">
        <v>138</v>
      </c>
      <c r="EE818" s="14" t="str">
        <f>HYPERLINK("https://my.pitchbook.com?c=54826-57", "View company online")</f>
        <v>View company online</v>
      </c>
    </row>
    <row r="819" spans="1:135">
      <c r="A819" s="28" t="s">
        <v>16267</v>
      </c>
      <c r="B819" s="28" t="s">
        <v>16268</v>
      </c>
      <c r="C819" s="28" t="s">
        <v>138</v>
      </c>
      <c r="D819" s="28" t="s">
        <v>16269</v>
      </c>
      <c r="E819" s="28" t="s">
        <v>16270</v>
      </c>
      <c r="F819" s="28" t="s">
        <v>16267</v>
      </c>
      <c r="G819" s="28" t="s">
        <v>16271</v>
      </c>
      <c r="H819" s="28" t="s">
        <v>322</v>
      </c>
      <c r="I819" s="28" t="s">
        <v>323</v>
      </c>
      <c r="J819" s="28" t="s">
        <v>324</v>
      </c>
      <c r="K819" s="28" t="s">
        <v>16272</v>
      </c>
      <c r="L819" s="28" t="s">
        <v>16273</v>
      </c>
      <c r="M819" s="28" t="s">
        <v>16274</v>
      </c>
      <c r="N819" s="28" t="s">
        <v>2487</v>
      </c>
      <c r="O819" s="29">
        <v>7.27</v>
      </c>
      <c r="P819" s="28" t="s">
        <v>610</v>
      </c>
      <c r="Q819" s="28" t="s">
        <v>149</v>
      </c>
      <c r="R819" s="28" t="s">
        <v>16275</v>
      </c>
      <c r="S819" s="28" t="s">
        <v>16276</v>
      </c>
      <c r="T819" s="30">
        <v>20</v>
      </c>
      <c r="U819" s="28" t="s">
        <v>16277</v>
      </c>
      <c r="V819" s="28" t="s">
        <v>138</v>
      </c>
      <c r="W819" s="28" t="s">
        <v>138</v>
      </c>
      <c r="X819" s="31">
        <v>2013</v>
      </c>
      <c r="Y819" s="28" t="s">
        <v>138</v>
      </c>
      <c r="Z819" s="28" t="s">
        <v>138</v>
      </c>
      <c r="AA819" s="28" t="s">
        <v>138</v>
      </c>
      <c r="AB819" s="32">
        <v>0.8</v>
      </c>
      <c r="AC819" s="32" t="s">
        <v>138</v>
      </c>
      <c r="AD819" s="32" t="s">
        <v>138</v>
      </c>
      <c r="AE819" s="32" t="s">
        <v>138</v>
      </c>
      <c r="AF819" s="32" t="s">
        <v>138</v>
      </c>
      <c r="AG819" s="28" t="s">
        <v>815</v>
      </c>
      <c r="AH819" s="32" t="s">
        <v>138</v>
      </c>
      <c r="AI819" s="32" t="s">
        <v>138</v>
      </c>
      <c r="AJ819" s="32" t="s">
        <v>138</v>
      </c>
      <c r="AK819" s="28" t="s">
        <v>16278</v>
      </c>
      <c r="AL819" s="28" t="s">
        <v>16279</v>
      </c>
      <c r="AM819" s="28" t="s">
        <v>249</v>
      </c>
      <c r="AN819" s="28" t="s">
        <v>16280</v>
      </c>
      <c r="AO819" s="28" t="s">
        <v>16281</v>
      </c>
      <c r="AP819" s="28" t="s">
        <v>1457</v>
      </c>
      <c r="AQ819" s="28" t="s">
        <v>16282</v>
      </c>
      <c r="AR819" s="28" t="s">
        <v>16283</v>
      </c>
      <c r="AS819" s="28" t="s">
        <v>1460</v>
      </c>
      <c r="AT819" s="28" t="s">
        <v>474</v>
      </c>
      <c r="AU819" s="28" t="s">
        <v>16284</v>
      </c>
      <c r="AV819" s="28" t="s">
        <v>162</v>
      </c>
      <c r="AW819" s="28" t="s">
        <v>16281</v>
      </c>
      <c r="AX819" s="28" t="s">
        <v>138</v>
      </c>
      <c r="AY819" s="28" t="s">
        <v>16285</v>
      </c>
      <c r="AZ819" s="28" t="s">
        <v>164</v>
      </c>
      <c r="BA819" s="28" t="s">
        <v>165</v>
      </c>
      <c r="BB819" s="28" t="s">
        <v>16286</v>
      </c>
      <c r="BC819" s="28" t="s">
        <v>16287</v>
      </c>
      <c r="BD819" s="33">
        <v>1</v>
      </c>
      <c r="BE819" s="28" t="s">
        <v>138</v>
      </c>
      <c r="BF819" s="28" t="s">
        <v>138</v>
      </c>
      <c r="BG819" s="28" t="s">
        <v>138</v>
      </c>
      <c r="BH819" s="28" t="s">
        <v>16288</v>
      </c>
      <c r="BI819" s="28" t="s">
        <v>138</v>
      </c>
      <c r="BJ819" s="28" t="s">
        <v>138</v>
      </c>
      <c r="BK819" s="28" t="s">
        <v>138</v>
      </c>
      <c r="BL819" s="28" t="s">
        <v>138</v>
      </c>
      <c r="BM819" s="34">
        <v>42180</v>
      </c>
      <c r="BN819" s="29">
        <v>0.05</v>
      </c>
      <c r="BO819" s="28" t="s">
        <v>172</v>
      </c>
      <c r="BP819" s="29" t="s">
        <v>138</v>
      </c>
      <c r="BQ819" s="28" t="s">
        <v>138</v>
      </c>
      <c r="BR819" s="28" t="s">
        <v>262</v>
      </c>
      <c r="BS819" s="28" t="s">
        <v>262</v>
      </c>
      <c r="BT819" s="28" t="s">
        <v>138</v>
      </c>
      <c r="BU819" s="28" t="s">
        <v>263</v>
      </c>
      <c r="BV819" s="28" t="s">
        <v>138</v>
      </c>
      <c r="BW819" s="28" t="s">
        <v>138</v>
      </c>
      <c r="BX819" s="28" t="s">
        <v>138</v>
      </c>
      <c r="BY819" s="28" t="s">
        <v>175</v>
      </c>
      <c r="BZ819" s="34">
        <v>43559</v>
      </c>
      <c r="CA819" s="29">
        <v>7.22</v>
      </c>
      <c r="CB819" s="28" t="s">
        <v>172</v>
      </c>
      <c r="CC819" s="29" t="s">
        <v>138</v>
      </c>
      <c r="CD819" s="28" t="s">
        <v>138</v>
      </c>
      <c r="CE819" s="28" t="s">
        <v>262</v>
      </c>
      <c r="CF819" s="28" t="s">
        <v>262</v>
      </c>
      <c r="CG819" s="28" t="s">
        <v>138</v>
      </c>
      <c r="CH819" s="28" t="s">
        <v>263</v>
      </c>
      <c r="CI819" s="28" t="s">
        <v>138</v>
      </c>
      <c r="CJ819" s="28" t="s">
        <v>138</v>
      </c>
      <c r="CK819" s="28" t="s">
        <v>138</v>
      </c>
      <c r="CL819" s="28" t="s">
        <v>175</v>
      </c>
      <c r="CM819" s="34" t="s">
        <v>138</v>
      </c>
      <c r="CN819" s="29" t="s">
        <v>138</v>
      </c>
      <c r="CO819" s="35">
        <v>0.05</v>
      </c>
      <c r="CP819" s="36">
        <v>88</v>
      </c>
      <c r="CQ819" s="35">
        <v>-0.05</v>
      </c>
      <c r="CR819" s="35">
        <v>-50.11</v>
      </c>
      <c r="CS819" s="35">
        <v>0</v>
      </c>
      <c r="CT819" s="36">
        <v>23</v>
      </c>
      <c r="CU819" s="35">
        <v>0.11</v>
      </c>
      <c r="CV819" s="36">
        <v>70</v>
      </c>
      <c r="CW819" s="35" t="s">
        <v>138</v>
      </c>
      <c r="CX819" s="36" t="s">
        <v>138</v>
      </c>
      <c r="CY819" s="35">
        <v>0</v>
      </c>
      <c r="CZ819" s="36">
        <v>25</v>
      </c>
      <c r="DA819" s="35">
        <v>0.11</v>
      </c>
      <c r="DB819" s="36">
        <v>73</v>
      </c>
      <c r="DC819" s="37">
        <v>0.73</v>
      </c>
      <c r="DD819" s="36">
        <v>43</v>
      </c>
      <c r="DE819" s="37">
        <v>0</v>
      </c>
      <c r="DF819" s="35">
        <v>0.25</v>
      </c>
      <c r="DG819" s="37">
        <v>0.79</v>
      </c>
      <c r="DH819" s="36">
        <v>45</v>
      </c>
      <c r="DI819" s="37">
        <v>0.67</v>
      </c>
      <c r="DJ819" s="36">
        <v>42</v>
      </c>
      <c r="DK819" s="37" t="s">
        <v>138</v>
      </c>
      <c r="DL819" s="36" t="s">
        <v>138</v>
      </c>
      <c r="DM819" s="37">
        <v>0.79</v>
      </c>
      <c r="DN819" s="36">
        <v>45</v>
      </c>
      <c r="DO819" s="37">
        <v>0.67</v>
      </c>
      <c r="DP819" s="36">
        <v>43</v>
      </c>
      <c r="DQ819" s="36" t="s">
        <v>138</v>
      </c>
      <c r="DR819" s="38" t="s">
        <v>138</v>
      </c>
      <c r="DS819" s="35" t="s">
        <v>138</v>
      </c>
      <c r="DT819" s="36">
        <v>23</v>
      </c>
      <c r="DU819" s="38">
        <v>1</v>
      </c>
      <c r="DV819" s="35">
        <v>4.55</v>
      </c>
      <c r="DW819" s="36">
        <v>239</v>
      </c>
      <c r="DX819" s="39">
        <v>0</v>
      </c>
      <c r="DY819" s="35">
        <v>0</v>
      </c>
      <c r="DZ819" s="28" t="s">
        <v>178</v>
      </c>
      <c r="EA819" s="34">
        <v>43584</v>
      </c>
      <c r="EB819" s="29" t="s">
        <v>138</v>
      </c>
      <c r="EC819" s="34" t="s">
        <v>138</v>
      </c>
      <c r="ED819" s="28" t="s">
        <v>138</v>
      </c>
      <c r="EE819" s="40" t="str">
        <f>HYPERLINK("https://my.pitchbook.com?c=94426-57", "View company online")</f>
        <v>View company online</v>
      </c>
    </row>
    <row r="820" spans="1:135">
      <c r="A820" s="15" t="s">
        <v>16289</v>
      </c>
      <c r="B820" s="15" t="s">
        <v>16290</v>
      </c>
      <c r="C820" s="15" t="s">
        <v>16291</v>
      </c>
      <c r="D820" s="15" t="s">
        <v>138</v>
      </c>
      <c r="E820" s="15" t="s">
        <v>138</v>
      </c>
      <c r="F820" s="15" t="s">
        <v>16289</v>
      </c>
      <c r="G820" s="15" t="s">
        <v>16292</v>
      </c>
      <c r="H820" s="15" t="s">
        <v>238</v>
      </c>
      <c r="I820" s="15" t="s">
        <v>1351</v>
      </c>
      <c r="J820" s="15" t="s">
        <v>1352</v>
      </c>
      <c r="K820" s="15" t="s">
        <v>9200</v>
      </c>
      <c r="L820" s="15" t="s">
        <v>16293</v>
      </c>
      <c r="M820" s="15" t="s">
        <v>16294</v>
      </c>
      <c r="N820" s="15" t="s">
        <v>147</v>
      </c>
      <c r="O820" s="17">
        <v>30.4</v>
      </c>
      <c r="P820" s="15" t="s">
        <v>148</v>
      </c>
      <c r="Q820" s="15" t="s">
        <v>149</v>
      </c>
      <c r="R820" s="15" t="s">
        <v>174</v>
      </c>
      <c r="S820" s="15" t="s">
        <v>16295</v>
      </c>
      <c r="T820" s="18">
        <v>50</v>
      </c>
      <c r="U820" s="15" t="s">
        <v>16296</v>
      </c>
      <c r="V820" s="15" t="s">
        <v>138</v>
      </c>
      <c r="W820" s="15" t="s">
        <v>138</v>
      </c>
      <c r="X820" s="19">
        <v>2011</v>
      </c>
      <c r="Y820" s="15" t="s">
        <v>138</v>
      </c>
      <c r="Z820" s="15" t="s">
        <v>138</v>
      </c>
      <c r="AA820" s="15" t="s">
        <v>138</v>
      </c>
      <c r="AB820" s="20">
        <v>5</v>
      </c>
      <c r="AC820" s="20" t="s">
        <v>138</v>
      </c>
      <c r="AD820" s="20" t="s">
        <v>138</v>
      </c>
      <c r="AE820" s="20" t="s">
        <v>138</v>
      </c>
      <c r="AF820" s="20" t="s">
        <v>138</v>
      </c>
      <c r="AG820" s="15" t="s">
        <v>707</v>
      </c>
      <c r="AH820" s="20" t="s">
        <v>138</v>
      </c>
      <c r="AI820" s="20" t="s">
        <v>138</v>
      </c>
      <c r="AJ820" s="20" t="s">
        <v>138</v>
      </c>
      <c r="AK820" s="15" t="s">
        <v>16297</v>
      </c>
      <c r="AL820" s="15" t="s">
        <v>16298</v>
      </c>
      <c r="AM820" s="15" t="s">
        <v>16299</v>
      </c>
      <c r="AN820" s="15" t="s">
        <v>16300</v>
      </c>
      <c r="AO820" s="15" t="s">
        <v>16301</v>
      </c>
      <c r="AP820" s="15" t="s">
        <v>3905</v>
      </c>
      <c r="AQ820" s="15" t="s">
        <v>16302</v>
      </c>
      <c r="AR820" s="15" t="s">
        <v>6298</v>
      </c>
      <c r="AS820" s="15" t="s">
        <v>3907</v>
      </c>
      <c r="AT820" s="15" t="s">
        <v>2740</v>
      </c>
      <c r="AU820" s="15" t="s">
        <v>16303</v>
      </c>
      <c r="AV820" s="15" t="s">
        <v>2742</v>
      </c>
      <c r="AW820" s="15" t="s">
        <v>16301</v>
      </c>
      <c r="AX820" s="15" t="s">
        <v>138</v>
      </c>
      <c r="AY820" s="15" t="s">
        <v>16304</v>
      </c>
      <c r="AZ820" s="15" t="s">
        <v>164</v>
      </c>
      <c r="BA820" s="15" t="s">
        <v>165</v>
      </c>
      <c r="BB820" s="15" t="s">
        <v>16305</v>
      </c>
      <c r="BC820" s="15" t="s">
        <v>16306</v>
      </c>
      <c r="BD820" s="21">
        <v>19</v>
      </c>
      <c r="BE820" s="15" t="s">
        <v>138</v>
      </c>
      <c r="BF820" s="15" t="s">
        <v>138</v>
      </c>
      <c r="BG820" s="15" t="s">
        <v>138</v>
      </c>
      <c r="BH820" s="15" t="s">
        <v>16307</v>
      </c>
      <c r="BI820" s="15" t="s">
        <v>138</v>
      </c>
      <c r="BJ820" s="15" t="s">
        <v>138</v>
      </c>
      <c r="BK820" s="15" t="s">
        <v>16308</v>
      </c>
      <c r="BL820" s="15" t="s">
        <v>138</v>
      </c>
      <c r="BM820" s="22" t="s">
        <v>138</v>
      </c>
      <c r="BN820" s="17" t="s">
        <v>138</v>
      </c>
      <c r="BO820" s="15" t="s">
        <v>138</v>
      </c>
      <c r="BP820" s="17" t="s">
        <v>138</v>
      </c>
      <c r="BQ820" s="15" t="s">
        <v>138</v>
      </c>
      <c r="BR820" s="15" t="s">
        <v>316</v>
      </c>
      <c r="BS820" s="15" t="s">
        <v>138</v>
      </c>
      <c r="BT820" s="15" t="s">
        <v>138</v>
      </c>
      <c r="BU820" s="15" t="s">
        <v>177</v>
      </c>
      <c r="BV820" s="15" t="s">
        <v>138</v>
      </c>
      <c r="BW820" s="15" t="s">
        <v>138</v>
      </c>
      <c r="BX820" s="15" t="s">
        <v>138</v>
      </c>
      <c r="BY820" s="15" t="s">
        <v>175</v>
      </c>
      <c r="BZ820" s="22">
        <v>42787</v>
      </c>
      <c r="CA820" s="17">
        <v>15</v>
      </c>
      <c r="CB820" s="15" t="s">
        <v>172</v>
      </c>
      <c r="CC820" s="17" t="s">
        <v>138</v>
      </c>
      <c r="CD820" s="15" t="s">
        <v>138</v>
      </c>
      <c r="CE820" s="15" t="s">
        <v>205</v>
      </c>
      <c r="CF820" s="15" t="s">
        <v>720</v>
      </c>
      <c r="CG820" s="15" t="s">
        <v>138</v>
      </c>
      <c r="CH820" s="15" t="s">
        <v>174</v>
      </c>
      <c r="CI820" s="15" t="s">
        <v>138</v>
      </c>
      <c r="CJ820" s="15" t="s">
        <v>138</v>
      </c>
      <c r="CK820" s="15" t="s">
        <v>138</v>
      </c>
      <c r="CL820" s="15" t="s">
        <v>175</v>
      </c>
      <c r="CM820" s="22" t="s">
        <v>138</v>
      </c>
      <c r="CN820" s="17" t="s">
        <v>138</v>
      </c>
      <c r="CO820" s="23">
        <v>-0.42</v>
      </c>
      <c r="CP820" s="24">
        <v>17</v>
      </c>
      <c r="CQ820" s="23">
        <v>0.03</v>
      </c>
      <c r="CR820" s="23">
        <v>7.43</v>
      </c>
      <c r="CS820" s="23">
        <v>-0.78</v>
      </c>
      <c r="CT820" s="24">
        <v>17</v>
      </c>
      <c r="CU820" s="23">
        <v>-0.05</v>
      </c>
      <c r="CV820" s="24">
        <v>9</v>
      </c>
      <c r="CW820" s="23">
        <v>0</v>
      </c>
      <c r="CX820" s="24">
        <v>13</v>
      </c>
      <c r="CY820" s="23">
        <v>-1.57</v>
      </c>
      <c r="CZ820" s="24">
        <v>14</v>
      </c>
      <c r="DA820" s="23">
        <v>-0.06</v>
      </c>
      <c r="DB820" s="24">
        <v>11</v>
      </c>
      <c r="DC820" s="25">
        <v>8.94</v>
      </c>
      <c r="DD820" s="24">
        <v>89</v>
      </c>
      <c r="DE820" s="25">
        <v>-0.01</v>
      </c>
      <c r="DF820" s="23">
        <v>-0.1</v>
      </c>
      <c r="DG820" s="25">
        <v>9.23</v>
      </c>
      <c r="DH820" s="24">
        <v>89</v>
      </c>
      <c r="DI820" s="25">
        <v>8.65</v>
      </c>
      <c r="DJ820" s="24">
        <v>84</v>
      </c>
      <c r="DK820" s="25">
        <v>1.1499999999999999</v>
      </c>
      <c r="DL820" s="24">
        <v>53</v>
      </c>
      <c r="DM820" s="25">
        <v>17.309999999999999</v>
      </c>
      <c r="DN820" s="24">
        <v>93</v>
      </c>
      <c r="DO820" s="25">
        <v>12.79</v>
      </c>
      <c r="DP820" s="24">
        <v>89</v>
      </c>
      <c r="DQ820" s="24">
        <v>382</v>
      </c>
      <c r="DR820" s="26">
        <v>33</v>
      </c>
      <c r="DS820" s="23">
        <v>9.4600000000000009</v>
      </c>
      <c r="DT820" s="24">
        <v>501</v>
      </c>
      <c r="DU820" s="26">
        <v>2</v>
      </c>
      <c r="DV820" s="23">
        <v>0.4</v>
      </c>
      <c r="DW820" s="24">
        <v>4584</v>
      </c>
      <c r="DX820" s="27">
        <v>-3</v>
      </c>
      <c r="DY820" s="23">
        <v>-7.0000000000000007E-2</v>
      </c>
      <c r="DZ820" s="15" t="s">
        <v>178</v>
      </c>
      <c r="EA820" s="22">
        <v>43561</v>
      </c>
      <c r="EB820" s="17" t="s">
        <v>138</v>
      </c>
      <c r="EC820" s="22" t="s">
        <v>138</v>
      </c>
      <c r="ED820" s="15" t="s">
        <v>138</v>
      </c>
      <c r="EE820" s="14" t="str">
        <f>HYPERLINK("https://my.pitchbook.com?c=58673-98", "View company online")</f>
        <v>View company online</v>
      </c>
    </row>
    <row r="821" spans="1:135">
      <c r="A821" s="28" t="s">
        <v>16309</v>
      </c>
      <c r="B821" s="28" t="s">
        <v>16310</v>
      </c>
      <c r="C821" s="28" t="s">
        <v>138</v>
      </c>
      <c r="D821" s="28" t="s">
        <v>16311</v>
      </c>
      <c r="E821" s="28" t="s">
        <v>16312</v>
      </c>
      <c r="F821" s="28" t="s">
        <v>16309</v>
      </c>
      <c r="G821" s="28" t="s">
        <v>16313</v>
      </c>
      <c r="H821" s="28" t="s">
        <v>238</v>
      </c>
      <c r="I821" s="28" t="s">
        <v>749</v>
      </c>
      <c r="J821" s="28" t="s">
        <v>4261</v>
      </c>
      <c r="K821" s="28" t="s">
        <v>16314</v>
      </c>
      <c r="L821" s="28" t="s">
        <v>138</v>
      </c>
      <c r="M821" s="28" t="s">
        <v>16315</v>
      </c>
      <c r="N821" s="28" t="s">
        <v>1452</v>
      </c>
      <c r="O821" s="29">
        <v>3.17</v>
      </c>
      <c r="P821" s="28" t="s">
        <v>148</v>
      </c>
      <c r="Q821" s="28" t="s">
        <v>149</v>
      </c>
      <c r="R821" s="28" t="s">
        <v>328</v>
      </c>
      <c r="S821" s="28" t="s">
        <v>16316</v>
      </c>
      <c r="T821" s="30">
        <v>6</v>
      </c>
      <c r="U821" s="28" t="s">
        <v>2838</v>
      </c>
      <c r="V821" s="28" t="s">
        <v>138</v>
      </c>
      <c r="W821" s="28" t="s">
        <v>138</v>
      </c>
      <c r="X821" s="31">
        <v>2013</v>
      </c>
      <c r="Y821" s="28" t="s">
        <v>138</v>
      </c>
      <c r="Z821" s="28" t="s">
        <v>138</v>
      </c>
      <c r="AA821" s="28" t="s">
        <v>138</v>
      </c>
      <c r="AB821" s="32" t="s">
        <v>138</v>
      </c>
      <c r="AC821" s="32" t="s">
        <v>138</v>
      </c>
      <c r="AD821" s="32" t="s">
        <v>138</v>
      </c>
      <c r="AE821" s="32" t="s">
        <v>138</v>
      </c>
      <c r="AF821" s="32" t="s">
        <v>138</v>
      </c>
      <c r="AG821" s="28" t="s">
        <v>138</v>
      </c>
      <c r="AH821" s="32" t="s">
        <v>138</v>
      </c>
      <c r="AI821" s="32" t="s">
        <v>138</v>
      </c>
      <c r="AJ821" s="32" t="s">
        <v>138</v>
      </c>
      <c r="AK821" s="28" t="s">
        <v>16317</v>
      </c>
      <c r="AL821" s="28" t="s">
        <v>16318</v>
      </c>
      <c r="AM821" s="28" t="s">
        <v>16319</v>
      </c>
      <c r="AN821" s="28" t="s">
        <v>16320</v>
      </c>
      <c r="AO821" s="28" t="s">
        <v>16321</v>
      </c>
      <c r="AP821" s="28" t="s">
        <v>15386</v>
      </c>
      <c r="AQ821" s="28" t="s">
        <v>16322</v>
      </c>
      <c r="AR821" s="28" t="s">
        <v>16323</v>
      </c>
      <c r="AS821" s="28" t="s">
        <v>15388</v>
      </c>
      <c r="AT821" s="28" t="s">
        <v>284</v>
      </c>
      <c r="AU821" s="28" t="s">
        <v>16324</v>
      </c>
      <c r="AV821" s="28" t="s">
        <v>162</v>
      </c>
      <c r="AW821" s="28" t="s">
        <v>16321</v>
      </c>
      <c r="AX821" s="28" t="s">
        <v>138</v>
      </c>
      <c r="AY821" s="28" t="s">
        <v>16325</v>
      </c>
      <c r="AZ821" s="28" t="s">
        <v>164</v>
      </c>
      <c r="BA821" s="28" t="s">
        <v>165</v>
      </c>
      <c r="BB821" s="28" t="s">
        <v>16326</v>
      </c>
      <c r="BC821" s="28" t="s">
        <v>16327</v>
      </c>
      <c r="BD821" s="33">
        <v>6</v>
      </c>
      <c r="BE821" s="28" t="s">
        <v>138</v>
      </c>
      <c r="BF821" s="28" t="s">
        <v>138</v>
      </c>
      <c r="BG821" s="28" t="s">
        <v>138</v>
      </c>
      <c r="BH821" s="28" t="s">
        <v>16328</v>
      </c>
      <c r="BI821" s="28" t="s">
        <v>138</v>
      </c>
      <c r="BJ821" s="28" t="s">
        <v>138</v>
      </c>
      <c r="BK821" s="28" t="s">
        <v>138</v>
      </c>
      <c r="BL821" s="28" t="s">
        <v>16329</v>
      </c>
      <c r="BM821" s="34">
        <v>41584</v>
      </c>
      <c r="BN821" s="29">
        <v>0.03</v>
      </c>
      <c r="BO821" s="28" t="s">
        <v>172</v>
      </c>
      <c r="BP821" s="29" t="s">
        <v>138</v>
      </c>
      <c r="BQ821" s="28" t="s">
        <v>138</v>
      </c>
      <c r="BR821" s="28" t="s">
        <v>1830</v>
      </c>
      <c r="BS821" s="28" t="s">
        <v>138</v>
      </c>
      <c r="BT821" s="28" t="s">
        <v>138</v>
      </c>
      <c r="BU821" s="28" t="s">
        <v>263</v>
      </c>
      <c r="BV821" s="28" t="s">
        <v>138</v>
      </c>
      <c r="BW821" s="28" t="s">
        <v>138</v>
      </c>
      <c r="BX821" s="28" t="s">
        <v>138</v>
      </c>
      <c r="BY821" s="28" t="s">
        <v>175</v>
      </c>
      <c r="BZ821" s="34">
        <v>43159</v>
      </c>
      <c r="CA821" s="29" t="s">
        <v>138</v>
      </c>
      <c r="CB821" s="28" t="s">
        <v>138</v>
      </c>
      <c r="CC821" s="29" t="s">
        <v>138</v>
      </c>
      <c r="CD821" s="28" t="s">
        <v>138</v>
      </c>
      <c r="CE821" s="28" t="s">
        <v>1673</v>
      </c>
      <c r="CF821" s="28" t="s">
        <v>138</v>
      </c>
      <c r="CG821" s="28" t="s">
        <v>138</v>
      </c>
      <c r="CH821" s="28" t="s">
        <v>351</v>
      </c>
      <c r="CI821" s="28" t="s">
        <v>138</v>
      </c>
      <c r="CJ821" s="28" t="s">
        <v>138</v>
      </c>
      <c r="CK821" s="28" t="s">
        <v>138</v>
      </c>
      <c r="CL821" s="28" t="s">
        <v>175</v>
      </c>
      <c r="CM821" s="34" t="s">
        <v>138</v>
      </c>
      <c r="CN821" s="29" t="s">
        <v>138</v>
      </c>
      <c r="CO821" s="35">
        <v>1.29</v>
      </c>
      <c r="CP821" s="36">
        <v>98</v>
      </c>
      <c r="CQ821" s="35">
        <v>-0.03</v>
      </c>
      <c r="CR821" s="35">
        <v>-2.0699999999999998</v>
      </c>
      <c r="CS821" s="35">
        <v>2.4300000000000002</v>
      </c>
      <c r="CT821" s="36">
        <v>99</v>
      </c>
      <c r="CU821" s="35">
        <v>0.15</v>
      </c>
      <c r="CV821" s="36">
        <v>75</v>
      </c>
      <c r="CW821" s="35">
        <v>5.21</v>
      </c>
      <c r="CX821" s="36">
        <v>96</v>
      </c>
      <c r="CY821" s="35">
        <v>-0.36</v>
      </c>
      <c r="CZ821" s="36">
        <v>23</v>
      </c>
      <c r="DA821" s="35">
        <v>0.16</v>
      </c>
      <c r="DB821" s="36">
        <v>79</v>
      </c>
      <c r="DC821" s="37">
        <v>19.399999999999999</v>
      </c>
      <c r="DD821" s="36">
        <v>95</v>
      </c>
      <c r="DE821" s="37">
        <v>-0.94</v>
      </c>
      <c r="DF821" s="35">
        <v>-4.5999999999999996</v>
      </c>
      <c r="DG821" s="37">
        <v>20.93</v>
      </c>
      <c r="DH821" s="36">
        <v>95</v>
      </c>
      <c r="DI821" s="37">
        <v>17.87</v>
      </c>
      <c r="DJ821" s="36">
        <v>90</v>
      </c>
      <c r="DK821" s="37">
        <v>28.82</v>
      </c>
      <c r="DL821" s="36">
        <v>94</v>
      </c>
      <c r="DM821" s="37">
        <v>13.03</v>
      </c>
      <c r="DN821" s="36">
        <v>91</v>
      </c>
      <c r="DO821" s="37">
        <v>4.0599999999999996</v>
      </c>
      <c r="DP821" s="36">
        <v>76</v>
      </c>
      <c r="DQ821" s="36">
        <v>9590</v>
      </c>
      <c r="DR821" s="38">
        <v>884</v>
      </c>
      <c r="DS821" s="35">
        <v>10.15</v>
      </c>
      <c r="DT821" s="36">
        <v>378</v>
      </c>
      <c r="DU821" s="38">
        <v>-1</v>
      </c>
      <c r="DV821" s="35">
        <v>-0.26</v>
      </c>
      <c r="DW821" s="36">
        <v>1453</v>
      </c>
      <c r="DX821" s="39">
        <v>0</v>
      </c>
      <c r="DY821" s="35">
        <v>0</v>
      </c>
      <c r="DZ821" s="28" t="s">
        <v>178</v>
      </c>
      <c r="EA821" s="34">
        <v>43600</v>
      </c>
      <c r="EB821" s="29" t="s">
        <v>138</v>
      </c>
      <c r="EC821" s="34" t="s">
        <v>138</v>
      </c>
      <c r="ED821" s="28" t="s">
        <v>138</v>
      </c>
      <c r="EE821" s="40" t="str">
        <f>HYPERLINK("https://my.pitchbook.com?c=157173-85", "View company online")</f>
        <v>View company online</v>
      </c>
    </row>
    <row r="822" spans="1:135">
      <c r="A822" s="15" t="s">
        <v>16330</v>
      </c>
      <c r="B822" s="15" t="s">
        <v>16331</v>
      </c>
      <c r="C822" s="15" t="s">
        <v>138</v>
      </c>
      <c r="D822" s="15" t="s">
        <v>138</v>
      </c>
      <c r="E822" s="15" t="s">
        <v>138</v>
      </c>
      <c r="F822" s="15" t="s">
        <v>16330</v>
      </c>
      <c r="G822" s="15" t="s">
        <v>16332</v>
      </c>
      <c r="H822" s="15" t="s">
        <v>141</v>
      </c>
      <c r="I822" s="15" t="s">
        <v>212</v>
      </c>
      <c r="J822" s="15" t="s">
        <v>16333</v>
      </c>
      <c r="K822" s="15" t="s">
        <v>16334</v>
      </c>
      <c r="L822" s="15" t="s">
        <v>3589</v>
      </c>
      <c r="M822" s="15" t="s">
        <v>16335</v>
      </c>
      <c r="N822" s="15" t="s">
        <v>147</v>
      </c>
      <c r="O822" s="17">
        <v>3.03</v>
      </c>
      <c r="P822" s="15" t="s">
        <v>610</v>
      </c>
      <c r="Q822" s="15" t="s">
        <v>149</v>
      </c>
      <c r="R822" s="15" t="s">
        <v>174</v>
      </c>
      <c r="S822" s="15" t="s">
        <v>16336</v>
      </c>
      <c r="T822" s="18">
        <v>14</v>
      </c>
      <c r="U822" s="15" t="s">
        <v>16337</v>
      </c>
      <c r="V822" s="15" t="s">
        <v>138</v>
      </c>
      <c r="W822" s="15" t="s">
        <v>138</v>
      </c>
      <c r="X822" s="19">
        <v>2010</v>
      </c>
      <c r="Y822" s="15" t="s">
        <v>138</v>
      </c>
      <c r="Z822" s="15" t="s">
        <v>138</v>
      </c>
      <c r="AA822" s="15" t="s">
        <v>138</v>
      </c>
      <c r="AB822" s="20" t="s">
        <v>138</v>
      </c>
      <c r="AC822" s="20" t="s">
        <v>138</v>
      </c>
      <c r="AD822" s="20" t="s">
        <v>138</v>
      </c>
      <c r="AE822" s="20" t="s">
        <v>138</v>
      </c>
      <c r="AF822" s="20" t="s">
        <v>138</v>
      </c>
      <c r="AG822" s="15" t="s">
        <v>138</v>
      </c>
      <c r="AH822" s="20" t="s">
        <v>138</v>
      </c>
      <c r="AI822" s="20" t="s">
        <v>138</v>
      </c>
      <c r="AJ822" s="20" t="s">
        <v>138</v>
      </c>
      <c r="AK822" s="15" t="s">
        <v>16338</v>
      </c>
      <c r="AL822" s="15" t="s">
        <v>16339</v>
      </c>
      <c r="AM822" s="15" t="s">
        <v>249</v>
      </c>
      <c r="AN822" s="15" t="s">
        <v>16340</v>
      </c>
      <c r="AO822" s="15" t="s">
        <v>16341</v>
      </c>
      <c r="AP822" s="15" t="s">
        <v>16342</v>
      </c>
      <c r="AQ822" s="15" t="s">
        <v>16343</v>
      </c>
      <c r="AR822" s="15" t="s">
        <v>138</v>
      </c>
      <c r="AS822" s="15" t="s">
        <v>16344</v>
      </c>
      <c r="AT822" s="15" t="s">
        <v>138</v>
      </c>
      <c r="AU822" s="15" t="s">
        <v>16345</v>
      </c>
      <c r="AV822" s="15" t="s">
        <v>16346</v>
      </c>
      <c r="AW822" s="15" t="s">
        <v>16341</v>
      </c>
      <c r="AX822" s="15" t="s">
        <v>138</v>
      </c>
      <c r="AY822" s="15" t="s">
        <v>16347</v>
      </c>
      <c r="AZ822" s="15" t="s">
        <v>530</v>
      </c>
      <c r="BA822" s="15" t="s">
        <v>9687</v>
      </c>
      <c r="BB822" s="15" t="s">
        <v>16348</v>
      </c>
      <c r="BC822" s="15" t="s">
        <v>16349</v>
      </c>
      <c r="BD822" s="21">
        <v>2</v>
      </c>
      <c r="BE822" s="15" t="s">
        <v>138</v>
      </c>
      <c r="BF822" s="15" t="s">
        <v>138</v>
      </c>
      <c r="BG822" s="15" t="s">
        <v>138</v>
      </c>
      <c r="BH822" s="15" t="s">
        <v>16350</v>
      </c>
      <c r="BI822" s="15" t="s">
        <v>138</v>
      </c>
      <c r="BJ822" s="15" t="s">
        <v>138</v>
      </c>
      <c r="BK822" s="15" t="s">
        <v>138</v>
      </c>
      <c r="BL822" s="15" t="s">
        <v>138</v>
      </c>
      <c r="BM822" s="22">
        <v>41306</v>
      </c>
      <c r="BN822" s="17">
        <v>16.059999999999999</v>
      </c>
      <c r="BO822" s="15" t="s">
        <v>172</v>
      </c>
      <c r="BP822" s="17" t="s">
        <v>138</v>
      </c>
      <c r="BQ822" s="15" t="s">
        <v>138</v>
      </c>
      <c r="BR822" s="15" t="s">
        <v>176</v>
      </c>
      <c r="BS822" s="15" t="s">
        <v>138</v>
      </c>
      <c r="BT822" s="15" t="s">
        <v>138</v>
      </c>
      <c r="BU822" s="15" t="s">
        <v>177</v>
      </c>
      <c r="BV822" s="15" t="s">
        <v>138</v>
      </c>
      <c r="BW822" s="15" t="s">
        <v>138</v>
      </c>
      <c r="BX822" s="15" t="s">
        <v>138</v>
      </c>
      <c r="BY822" s="15" t="s">
        <v>175</v>
      </c>
      <c r="BZ822" s="22">
        <v>41452</v>
      </c>
      <c r="CA822" s="17">
        <v>3.03</v>
      </c>
      <c r="CB822" s="15" t="s">
        <v>172</v>
      </c>
      <c r="CC822" s="17" t="s">
        <v>138</v>
      </c>
      <c r="CD822" s="15" t="s">
        <v>138</v>
      </c>
      <c r="CE822" s="15" t="s">
        <v>205</v>
      </c>
      <c r="CF822" s="15" t="s">
        <v>138</v>
      </c>
      <c r="CG822" s="15" t="s">
        <v>138</v>
      </c>
      <c r="CH822" s="15" t="s">
        <v>174</v>
      </c>
      <c r="CI822" s="15" t="s">
        <v>138</v>
      </c>
      <c r="CJ822" s="15" t="s">
        <v>138</v>
      </c>
      <c r="CK822" s="15" t="s">
        <v>138</v>
      </c>
      <c r="CL822" s="15" t="s">
        <v>175</v>
      </c>
      <c r="CM822" s="22" t="s">
        <v>138</v>
      </c>
      <c r="CN822" s="17" t="s">
        <v>138</v>
      </c>
      <c r="CO822" s="23">
        <v>-0.78</v>
      </c>
      <c r="CP822" s="24">
        <v>13</v>
      </c>
      <c r="CQ822" s="23">
        <v>0.12</v>
      </c>
      <c r="CR822" s="23">
        <v>13.43</v>
      </c>
      <c r="CS822" s="23">
        <v>-0.78</v>
      </c>
      <c r="CT822" s="24">
        <v>17</v>
      </c>
      <c r="CU822" s="23" t="s">
        <v>138</v>
      </c>
      <c r="CV822" s="24" t="s">
        <v>138</v>
      </c>
      <c r="CW822" s="23" t="s">
        <v>138</v>
      </c>
      <c r="CX822" s="24" t="s">
        <v>138</v>
      </c>
      <c r="CY822" s="23">
        <v>-0.78</v>
      </c>
      <c r="CZ822" s="24">
        <v>20</v>
      </c>
      <c r="DA822" s="23" t="s">
        <v>138</v>
      </c>
      <c r="DB822" s="24" t="s">
        <v>138</v>
      </c>
      <c r="DC822" s="25">
        <v>3.59</v>
      </c>
      <c r="DD822" s="24">
        <v>78</v>
      </c>
      <c r="DE822" s="25">
        <v>0</v>
      </c>
      <c r="DF822" s="23">
        <v>0</v>
      </c>
      <c r="DG822" s="25">
        <v>3.59</v>
      </c>
      <c r="DH822" s="24">
        <v>77</v>
      </c>
      <c r="DI822" s="25" t="s">
        <v>138</v>
      </c>
      <c r="DJ822" s="24" t="s">
        <v>138</v>
      </c>
      <c r="DK822" s="25" t="s">
        <v>138</v>
      </c>
      <c r="DL822" s="24" t="s">
        <v>138</v>
      </c>
      <c r="DM822" s="25">
        <v>3.59</v>
      </c>
      <c r="DN822" s="24">
        <v>76</v>
      </c>
      <c r="DO822" s="25" t="s">
        <v>138</v>
      </c>
      <c r="DP822" s="24" t="s">
        <v>138</v>
      </c>
      <c r="DQ822" s="24" t="s">
        <v>138</v>
      </c>
      <c r="DR822" s="26" t="s">
        <v>138</v>
      </c>
      <c r="DS822" s="23" t="s">
        <v>138</v>
      </c>
      <c r="DT822" s="24">
        <v>104</v>
      </c>
      <c r="DU822" s="26">
        <v>1</v>
      </c>
      <c r="DV822" s="23">
        <v>0.97</v>
      </c>
      <c r="DW822" s="24" t="s">
        <v>138</v>
      </c>
      <c r="DX822" s="27" t="s">
        <v>138</v>
      </c>
      <c r="DY822" s="23" t="s">
        <v>138</v>
      </c>
      <c r="DZ822" s="15" t="s">
        <v>178</v>
      </c>
      <c r="EA822" s="22">
        <v>43592</v>
      </c>
      <c r="EB822" s="17" t="s">
        <v>138</v>
      </c>
      <c r="EC822" s="22" t="s">
        <v>138</v>
      </c>
      <c r="ED822" s="15" t="s">
        <v>138</v>
      </c>
      <c r="EE822" s="14" t="str">
        <f>HYPERLINK("https://my.pitchbook.com?c=61221-97", "View company online")</f>
        <v>View company online</v>
      </c>
    </row>
    <row r="823" spans="1:135">
      <c r="A823" s="28" t="s">
        <v>16351</v>
      </c>
      <c r="B823" s="28" t="s">
        <v>16352</v>
      </c>
      <c r="C823" s="28" t="s">
        <v>138</v>
      </c>
      <c r="D823" s="28" t="s">
        <v>138</v>
      </c>
      <c r="E823" s="28" t="s">
        <v>16353</v>
      </c>
      <c r="F823" s="28" t="s">
        <v>16351</v>
      </c>
      <c r="G823" s="28" t="s">
        <v>16354</v>
      </c>
      <c r="H823" s="28" t="s">
        <v>322</v>
      </c>
      <c r="I823" s="28" t="s">
        <v>323</v>
      </c>
      <c r="J823" s="28" t="s">
        <v>324</v>
      </c>
      <c r="K823" s="28" t="s">
        <v>325</v>
      </c>
      <c r="L823" s="28" t="s">
        <v>138</v>
      </c>
      <c r="M823" s="28" t="s">
        <v>16355</v>
      </c>
      <c r="N823" s="28" t="s">
        <v>147</v>
      </c>
      <c r="O823" s="29">
        <v>36.270000000000003</v>
      </c>
      <c r="P823" s="28" t="s">
        <v>812</v>
      </c>
      <c r="Q823" s="28" t="s">
        <v>149</v>
      </c>
      <c r="R823" s="28" t="s">
        <v>174</v>
      </c>
      <c r="S823" s="28" t="s">
        <v>16356</v>
      </c>
      <c r="T823" s="30">
        <v>70</v>
      </c>
      <c r="U823" s="28" t="s">
        <v>16357</v>
      </c>
      <c r="V823" s="28" t="s">
        <v>138</v>
      </c>
      <c r="W823" s="28" t="s">
        <v>138</v>
      </c>
      <c r="X823" s="31">
        <v>2011</v>
      </c>
      <c r="Y823" s="28" t="s">
        <v>138</v>
      </c>
      <c r="Z823" s="28" t="s">
        <v>138</v>
      </c>
      <c r="AA823" s="28" t="s">
        <v>138</v>
      </c>
      <c r="AB823" s="32" t="s">
        <v>138</v>
      </c>
      <c r="AC823" s="32" t="s">
        <v>138</v>
      </c>
      <c r="AD823" s="32" t="s">
        <v>138</v>
      </c>
      <c r="AE823" s="32" t="s">
        <v>138</v>
      </c>
      <c r="AF823" s="32" t="s">
        <v>138</v>
      </c>
      <c r="AG823" s="28" t="s">
        <v>138</v>
      </c>
      <c r="AH823" s="32" t="s">
        <v>138</v>
      </c>
      <c r="AI823" s="32" t="s">
        <v>138</v>
      </c>
      <c r="AJ823" s="32" t="s">
        <v>138</v>
      </c>
      <c r="AK823" s="28" t="s">
        <v>16358</v>
      </c>
      <c r="AL823" s="28" t="s">
        <v>16359</v>
      </c>
      <c r="AM823" s="28" t="s">
        <v>16360</v>
      </c>
      <c r="AN823" s="28" t="s">
        <v>16361</v>
      </c>
      <c r="AO823" s="28" t="s">
        <v>16362</v>
      </c>
      <c r="AP823" s="28" t="s">
        <v>1870</v>
      </c>
      <c r="AQ823" s="28" t="s">
        <v>16363</v>
      </c>
      <c r="AR823" s="28" t="s">
        <v>138</v>
      </c>
      <c r="AS823" s="28" t="s">
        <v>1872</v>
      </c>
      <c r="AT823" s="28" t="s">
        <v>200</v>
      </c>
      <c r="AU823" s="28" t="s">
        <v>16364</v>
      </c>
      <c r="AV823" s="28" t="s">
        <v>162</v>
      </c>
      <c r="AW823" s="28" t="s">
        <v>16362</v>
      </c>
      <c r="AX823" s="28" t="s">
        <v>138</v>
      </c>
      <c r="AY823" s="28" t="s">
        <v>16365</v>
      </c>
      <c r="AZ823" s="28" t="s">
        <v>164</v>
      </c>
      <c r="BA823" s="28" t="s">
        <v>165</v>
      </c>
      <c r="BB823" s="28" t="s">
        <v>16366</v>
      </c>
      <c r="BC823" s="28" t="s">
        <v>16367</v>
      </c>
      <c r="BD823" s="33">
        <v>16</v>
      </c>
      <c r="BE823" s="28" t="s">
        <v>138</v>
      </c>
      <c r="BF823" s="28" t="s">
        <v>138</v>
      </c>
      <c r="BG823" s="28" t="s">
        <v>138</v>
      </c>
      <c r="BH823" s="28" t="s">
        <v>16368</v>
      </c>
      <c r="BI823" s="28" t="s">
        <v>138</v>
      </c>
      <c r="BJ823" s="28" t="s">
        <v>138</v>
      </c>
      <c r="BK823" s="28" t="s">
        <v>16369</v>
      </c>
      <c r="BL823" s="28" t="s">
        <v>16370</v>
      </c>
      <c r="BM823" s="34">
        <v>41030</v>
      </c>
      <c r="BN823" s="29">
        <v>3</v>
      </c>
      <c r="BO823" s="28" t="s">
        <v>172</v>
      </c>
      <c r="BP823" s="29">
        <v>10.1</v>
      </c>
      <c r="BQ823" s="28" t="s">
        <v>172</v>
      </c>
      <c r="BR823" s="28" t="s">
        <v>205</v>
      </c>
      <c r="BS823" s="28" t="s">
        <v>206</v>
      </c>
      <c r="BT823" s="28" t="s">
        <v>138</v>
      </c>
      <c r="BU823" s="28" t="s">
        <v>174</v>
      </c>
      <c r="BV823" s="28" t="s">
        <v>138</v>
      </c>
      <c r="BW823" s="28" t="s">
        <v>138</v>
      </c>
      <c r="BX823" s="28" t="s">
        <v>138</v>
      </c>
      <c r="BY823" s="28" t="s">
        <v>175</v>
      </c>
      <c r="BZ823" s="34">
        <v>43385</v>
      </c>
      <c r="CA823" s="29">
        <v>15</v>
      </c>
      <c r="CB823" s="28" t="s">
        <v>172</v>
      </c>
      <c r="CC823" s="29">
        <v>80</v>
      </c>
      <c r="CD823" s="28" t="s">
        <v>172</v>
      </c>
      <c r="CE823" s="28" t="s">
        <v>173</v>
      </c>
      <c r="CF823" s="28" t="s">
        <v>433</v>
      </c>
      <c r="CG823" s="28" t="s">
        <v>138</v>
      </c>
      <c r="CH823" s="28" t="s">
        <v>174</v>
      </c>
      <c r="CI823" s="28" t="s">
        <v>138</v>
      </c>
      <c r="CJ823" s="28" t="s">
        <v>138</v>
      </c>
      <c r="CK823" s="28" t="s">
        <v>138</v>
      </c>
      <c r="CL823" s="28" t="s">
        <v>175</v>
      </c>
      <c r="CM823" s="34" t="s">
        <v>138</v>
      </c>
      <c r="CN823" s="29" t="s">
        <v>138</v>
      </c>
      <c r="CO823" s="35">
        <v>1.1599999999999999</v>
      </c>
      <c r="CP823" s="36">
        <v>98</v>
      </c>
      <c r="CQ823" s="35">
        <v>-0.03</v>
      </c>
      <c r="CR823" s="35">
        <v>-2.91</v>
      </c>
      <c r="CS823" s="35">
        <v>1.57</v>
      </c>
      <c r="CT823" s="36">
        <v>98</v>
      </c>
      <c r="CU823" s="35">
        <v>0.13</v>
      </c>
      <c r="CV823" s="36">
        <v>73</v>
      </c>
      <c r="CW823" s="35">
        <v>3.6</v>
      </c>
      <c r="CX823" s="36">
        <v>93</v>
      </c>
      <c r="CY823" s="35">
        <v>-0.47</v>
      </c>
      <c r="CZ823" s="36">
        <v>22</v>
      </c>
      <c r="DA823" s="35">
        <v>0.13</v>
      </c>
      <c r="DB823" s="36">
        <v>76</v>
      </c>
      <c r="DC823" s="37">
        <v>7.53</v>
      </c>
      <c r="DD823" s="36">
        <v>87</v>
      </c>
      <c r="DE823" s="37">
        <v>-0.68</v>
      </c>
      <c r="DF823" s="35">
        <v>-8.23</v>
      </c>
      <c r="DG823" s="37">
        <v>19.8</v>
      </c>
      <c r="DH823" s="36">
        <v>95</v>
      </c>
      <c r="DI823" s="37">
        <v>2.66</v>
      </c>
      <c r="DJ823" s="36">
        <v>67</v>
      </c>
      <c r="DK823" s="37">
        <v>29.99</v>
      </c>
      <c r="DL823" s="36">
        <v>94</v>
      </c>
      <c r="DM823" s="37">
        <v>9.6199999999999992</v>
      </c>
      <c r="DN823" s="36">
        <v>88</v>
      </c>
      <c r="DO823" s="37">
        <v>2.66</v>
      </c>
      <c r="DP823" s="36">
        <v>69</v>
      </c>
      <c r="DQ823" s="36">
        <v>10189</v>
      </c>
      <c r="DR823" s="38">
        <v>287</v>
      </c>
      <c r="DS823" s="35">
        <v>2.9</v>
      </c>
      <c r="DT823" s="36">
        <v>281</v>
      </c>
      <c r="DU823" s="38">
        <v>-4</v>
      </c>
      <c r="DV823" s="35">
        <v>-1.4</v>
      </c>
      <c r="DW823" s="36">
        <v>955</v>
      </c>
      <c r="DX823" s="39">
        <v>2</v>
      </c>
      <c r="DY823" s="35">
        <v>0.21</v>
      </c>
      <c r="DZ823" s="28" t="s">
        <v>178</v>
      </c>
      <c r="EA823" s="34">
        <v>43577</v>
      </c>
      <c r="EB823" s="29">
        <v>30</v>
      </c>
      <c r="EC823" s="34">
        <v>43439</v>
      </c>
      <c r="ED823" s="28" t="s">
        <v>173</v>
      </c>
      <c r="EE823" s="40" t="str">
        <f>HYPERLINK("https://my.pitchbook.com?c=55035-19", "View company online")</f>
        <v>View company online</v>
      </c>
    </row>
    <row r="824" spans="1:135">
      <c r="A824" s="15" t="s">
        <v>16371</v>
      </c>
      <c r="B824" s="15" t="s">
        <v>16372</v>
      </c>
      <c r="C824" s="15" t="s">
        <v>138</v>
      </c>
      <c r="D824" s="15" t="s">
        <v>138</v>
      </c>
      <c r="E824" s="15" t="s">
        <v>16373</v>
      </c>
      <c r="F824" s="15" t="s">
        <v>16371</v>
      </c>
      <c r="G824" s="15" t="s">
        <v>16374</v>
      </c>
      <c r="H824" s="15" t="s">
        <v>322</v>
      </c>
      <c r="I824" s="15" t="s">
        <v>323</v>
      </c>
      <c r="J824" s="15" t="s">
        <v>461</v>
      </c>
      <c r="K824" s="15" t="s">
        <v>16375</v>
      </c>
      <c r="L824" s="15" t="s">
        <v>2210</v>
      </c>
      <c r="M824" s="15" t="s">
        <v>16376</v>
      </c>
      <c r="N824" s="15" t="s">
        <v>147</v>
      </c>
      <c r="O824" s="17">
        <v>28</v>
      </c>
      <c r="P824" s="15" t="s">
        <v>148</v>
      </c>
      <c r="Q824" s="15" t="s">
        <v>149</v>
      </c>
      <c r="R824" s="15" t="s">
        <v>174</v>
      </c>
      <c r="S824" s="15" t="s">
        <v>16377</v>
      </c>
      <c r="T824" s="18">
        <v>71</v>
      </c>
      <c r="U824" s="15" t="s">
        <v>16378</v>
      </c>
      <c r="V824" s="15" t="s">
        <v>138</v>
      </c>
      <c r="W824" s="15" t="s">
        <v>138</v>
      </c>
      <c r="X824" s="19">
        <v>1991</v>
      </c>
      <c r="Y824" s="15" t="s">
        <v>138</v>
      </c>
      <c r="Z824" s="15" t="s">
        <v>138</v>
      </c>
      <c r="AA824" s="15" t="s">
        <v>138</v>
      </c>
      <c r="AB824" s="20">
        <v>17.7</v>
      </c>
      <c r="AC824" s="20" t="s">
        <v>138</v>
      </c>
      <c r="AD824" s="20" t="s">
        <v>138</v>
      </c>
      <c r="AE824" s="20" t="s">
        <v>138</v>
      </c>
      <c r="AF824" s="20" t="s">
        <v>138</v>
      </c>
      <c r="AG824" s="15" t="s">
        <v>707</v>
      </c>
      <c r="AH824" s="20" t="s">
        <v>138</v>
      </c>
      <c r="AI824" s="20" t="s">
        <v>138</v>
      </c>
      <c r="AJ824" s="20" t="s">
        <v>138</v>
      </c>
      <c r="AK824" s="15" t="s">
        <v>16379</v>
      </c>
      <c r="AL824" s="15" t="s">
        <v>16380</v>
      </c>
      <c r="AM824" s="15" t="s">
        <v>249</v>
      </c>
      <c r="AN824" s="15" t="s">
        <v>16381</v>
      </c>
      <c r="AO824" s="15" t="s">
        <v>16382</v>
      </c>
      <c r="AP824" s="15" t="s">
        <v>639</v>
      </c>
      <c r="AQ824" s="15" t="s">
        <v>16383</v>
      </c>
      <c r="AR824" s="15" t="s">
        <v>16384</v>
      </c>
      <c r="AS824" s="15" t="s">
        <v>642</v>
      </c>
      <c r="AT824" s="15" t="s">
        <v>474</v>
      </c>
      <c r="AU824" s="15" t="s">
        <v>16385</v>
      </c>
      <c r="AV824" s="15" t="s">
        <v>162</v>
      </c>
      <c r="AW824" s="15" t="s">
        <v>16382</v>
      </c>
      <c r="AX824" s="15" t="s">
        <v>138</v>
      </c>
      <c r="AY824" s="15" t="s">
        <v>16386</v>
      </c>
      <c r="AZ824" s="15" t="s">
        <v>164</v>
      </c>
      <c r="BA824" s="15" t="s">
        <v>165</v>
      </c>
      <c r="BB824" s="15" t="s">
        <v>16387</v>
      </c>
      <c r="BC824" s="15" t="s">
        <v>16388</v>
      </c>
      <c r="BD824" s="21">
        <v>3</v>
      </c>
      <c r="BE824" s="15" t="s">
        <v>138</v>
      </c>
      <c r="BF824" s="15" t="s">
        <v>138</v>
      </c>
      <c r="BG824" s="15" t="s">
        <v>138</v>
      </c>
      <c r="BH824" s="15" t="s">
        <v>16389</v>
      </c>
      <c r="BI824" s="15" t="s">
        <v>138</v>
      </c>
      <c r="BJ824" s="15" t="s">
        <v>138</v>
      </c>
      <c r="BK824" s="15" t="s">
        <v>138</v>
      </c>
      <c r="BL824" s="15" t="s">
        <v>138</v>
      </c>
      <c r="BM824" s="22">
        <v>41613</v>
      </c>
      <c r="BN824" s="17">
        <v>5</v>
      </c>
      <c r="BO824" s="15" t="s">
        <v>172</v>
      </c>
      <c r="BP824" s="17">
        <v>27.83</v>
      </c>
      <c r="BQ824" s="15" t="s">
        <v>172</v>
      </c>
      <c r="BR824" s="15" t="s">
        <v>173</v>
      </c>
      <c r="BS824" s="15" t="s">
        <v>206</v>
      </c>
      <c r="BT824" s="15" t="s">
        <v>138</v>
      </c>
      <c r="BU824" s="15" t="s">
        <v>174</v>
      </c>
      <c r="BV824" s="15" t="s">
        <v>138</v>
      </c>
      <c r="BW824" s="15" t="s">
        <v>138</v>
      </c>
      <c r="BX824" s="15" t="s">
        <v>138</v>
      </c>
      <c r="BY824" s="15" t="s">
        <v>175</v>
      </c>
      <c r="BZ824" s="22">
        <v>42541</v>
      </c>
      <c r="CA824" s="17">
        <v>16</v>
      </c>
      <c r="CB824" s="15" t="s">
        <v>172</v>
      </c>
      <c r="CC824" s="17">
        <v>55.73</v>
      </c>
      <c r="CD824" s="15" t="s">
        <v>172</v>
      </c>
      <c r="CE824" s="15" t="s">
        <v>173</v>
      </c>
      <c r="CF824" s="15" t="s">
        <v>720</v>
      </c>
      <c r="CG824" s="15" t="s">
        <v>138</v>
      </c>
      <c r="CH824" s="15" t="s">
        <v>174</v>
      </c>
      <c r="CI824" s="15" t="s">
        <v>1080</v>
      </c>
      <c r="CJ824" s="15" t="s">
        <v>138</v>
      </c>
      <c r="CK824" s="15" t="s">
        <v>138</v>
      </c>
      <c r="CL824" s="15" t="s">
        <v>175</v>
      </c>
      <c r="CM824" s="22" t="s">
        <v>138</v>
      </c>
      <c r="CN824" s="17" t="s">
        <v>138</v>
      </c>
      <c r="CO824" s="23">
        <v>-0.14000000000000001</v>
      </c>
      <c r="CP824" s="24">
        <v>20</v>
      </c>
      <c r="CQ824" s="23">
        <v>0</v>
      </c>
      <c r="CR824" s="23">
        <v>-1.55</v>
      </c>
      <c r="CS824" s="23">
        <v>-0.48</v>
      </c>
      <c r="CT824" s="24">
        <v>19</v>
      </c>
      <c r="CU824" s="23">
        <v>0.19</v>
      </c>
      <c r="CV824" s="24">
        <v>79</v>
      </c>
      <c r="CW824" s="23">
        <v>1.39</v>
      </c>
      <c r="CX824" s="24">
        <v>86</v>
      </c>
      <c r="CY824" s="23">
        <v>-2.35</v>
      </c>
      <c r="CZ824" s="24">
        <v>9</v>
      </c>
      <c r="DA824" s="23">
        <v>0.19</v>
      </c>
      <c r="DB824" s="24">
        <v>82</v>
      </c>
      <c r="DC824" s="25">
        <v>39.78</v>
      </c>
      <c r="DD824" s="24">
        <v>97</v>
      </c>
      <c r="DE824" s="25">
        <v>-0.32</v>
      </c>
      <c r="DF824" s="23">
        <v>-0.79</v>
      </c>
      <c r="DG824" s="25">
        <v>54.75</v>
      </c>
      <c r="DH824" s="24">
        <v>98</v>
      </c>
      <c r="DI824" s="25">
        <v>24.82</v>
      </c>
      <c r="DJ824" s="24">
        <v>92</v>
      </c>
      <c r="DK824" s="25">
        <v>12.57</v>
      </c>
      <c r="DL824" s="24">
        <v>89</v>
      </c>
      <c r="DM824" s="25">
        <v>96.93</v>
      </c>
      <c r="DN824" s="24">
        <v>99</v>
      </c>
      <c r="DO824" s="25">
        <v>24.82</v>
      </c>
      <c r="DP824" s="24">
        <v>94</v>
      </c>
      <c r="DQ824" s="24">
        <v>4214</v>
      </c>
      <c r="DR824" s="26">
        <v>287</v>
      </c>
      <c r="DS824" s="23">
        <v>7.31</v>
      </c>
      <c r="DT824" s="24">
        <v>2811</v>
      </c>
      <c r="DU824" s="26">
        <v>-3</v>
      </c>
      <c r="DV824" s="23">
        <v>-0.11</v>
      </c>
      <c r="DW824" s="24">
        <v>8879</v>
      </c>
      <c r="DX824" s="27">
        <v>13</v>
      </c>
      <c r="DY824" s="23">
        <v>0.15</v>
      </c>
      <c r="DZ824" s="15" t="s">
        <v>178</v>
      </c>
      <c r="EA824" s="22">
        <v>43622</v>
      </c>
      <c r="EB824" s="17">
        <v>55.73</v>
      </c>
      <c r="EC824" s="22">
        <v>42541</v>
      </c>
      <c r="ED824" s="15" t="s">
        <v>173</v>
      </c>
      <c r="EE824" s="14" t="str">
        <f>HYPERLINK("https://my.pitchbook.com?c=60613-39", "View company online")</f>
        <v>View company online</v>
      </c>
    </row>
    <row r="825" spans="1:135">
      <c r="A825" s="28" t="s">
        <v>16390</v>
      </c>
      <c r="B825" s="28" t="s">
        <v>16391</v>
      </c>
      <c r="C825" s="28" t="s">
        <v>138</v>
      </c>
      <c r="D825" s="28" t="s">
        <v>138</v>
      </c>
      <c r="E825" s="28" t="s">
        <v>16392</v>
      </c>
      <c r="F825" s="28" t="s">
        <v>16390</v>
      </c>
      <c r="G825" s="28" t="s">
        <v>16393</v>
      </c>
      <c r="H825" s="28" t="s">
        <v>322</v>
      </c>
      <c r="I825" s="28" t="s">
        <v>323</v>
      </c>
      <c r="J825" s="28" t="s">
        <v>461</v>
      </c>
      <c r="K825" s="28" t="s">
        <v>16394</v>
      </c>
      <c r="L825" s="28" t="s">
        <v>415</v>
      </c>
      <c r="M825" s="28" t="s">
        <v>16395</v>
      </c>
      <c r="N825" s="28" t="s">
        <v>147</v>
      </c>
      <c r="O825" s="29">
        <v>51.8</v>
      </c>
      <c r="P825" s="28" t="s">
        <v>148</v>
      </c>
      <c r="Q825" s="28" t="s">
        <v>149</v>
      </c>
      <c r="R825" s="28" t="s">
        <v>174</v>
      </c>
      <c r="S825" s="28" t="s">
        <v>16396</v>
      </c>
      <c r="T825" s="30">
        <v>100</v>
      </c>
      <c r="U825" s="28" t="s">
        <v>16397</v>
      </c>
      <c r="V825" s="28" t="s">
        <v>138</v>
      </c>
      <c r="W825" s="28" t="s">
        <v>138</v>
      </c>
      <c r="X825" s="31">
        <v>2013</v>
      </c>
      <c r="Y825" s="28" t="s">
        <v>138</v>
      </c>
      <c r="Z825" s="28" t="s">
        <v>138</v>
      </c>
      <c r="AA825" s="28" t="s">
        <v>138</v>
      </c>
      <c r="AB825" s="32" t="s">
        <v>138</v>
      </c>
      <c r="AC825" s="32" t="s">
        <v>138</v>
      </c>
      <c r="AD825" s="32" t="s">
        <v>138</v>
      </c>
      <c r="AE825" s="32" t="s">
        <v>138</v>
      </c>
      <c r="AF825" s="32" t="s">
        <v>138</v>
      </c>
      <c r="AG825" s="28" t="s">
        <v>138</v>
      </c>
      <c r="AH825" s="32" t="s">
        <v>138</v>
      </c>
      <c r="AI825" s="32" t="s">
        <v>138</v>
      </c>
      <c r="AJ825" s="32" t="s">
        <v>138</v>
      </c>
      <c r="AK825" s="28" t="s">
        <v>16398</v>
      </c>
      <c r="AL825" s="28" t="s">
        <v>16399</v>
      </c>
      <c r="AM825" s="28" t="s">
        <v>249</v>
      </c>
      <c r="AN825" s="28" t="s">
        <v>16400</v>
      </c>
      <c r="AO825" s="28" t="s">
        <v>16401</v>
      </c>
      <c r="AP825" s="28" t="s">
        <v>423</v>
      </c>
      <c r="AQ825" s="28" t="s">
        <v>16402</v>
      </c>
      <c r="AR825" s="28" t="s">
        <v>3084</v>
      </c>
      <c r="AS825" s="28" t="s">
        <v>426</v>
      </c>
      <c r="AT825" s="28" t="s">
        <v>426</v>
      </c>
      <c r="AU825" s="28" t="s">
        <v>2130</v>
      </c>
      <c r="AV825" s="28" t="s">
        <v>162</v>
      </c>
      <c r="AW825" s="28" t="s">
        <v>16401</v>
      </c>
      <c r="AX825" s="28" t="s">
        <v>138</v>
      </c>
      <c r="AY825" s="28" t="s">
        <v>16403</v>
      </c>
      <c r="AZ825" s="28" t="s">
        <v>164</v>
      </c>
      <c r="BA825" s="28" t="s">
        <v>165</v>
      </c>
      <c r="BB825" s="28" t="s">
        <v>16404</v>
      </c>
      <c r="BC825" s="28" t="s">
        <v>16405</v>
      </c>
      <c r="BD825" s="33">
        <v>13</v>
      </c>
      <c r="BE825" s="28" t="s">
        <v>138</v>
      </c>
      <c r="BF825" s="28" t="s">
        <v>138</v>
      </c>
      <c r="BG825" s="28" t="s">
        <v>138</v>
      </c>
      <c r="BH825" s="28" t="s">
        <v>16406</v>
      </c>
      <c r="BI825" s="28" t="s">
        <v>138</v>
      </c>
      <c r="BJ825" s="28" t="s">
        <v>138</v>
      </c>
      <c r="BK825" s="28" t="s">
        <v>1691</v>
      </c>
      <c r="BL825" s="28" t="s">
        <v>1691</v>
      </c>
      <c r="BM825" s="34">
        <v>41699</v>
      </c>
      <c r="BN825" s="29" t="s">
        <v>138</v>
      </c>
      <c r="BO825" s="28" t="s">
        <v>138</v>
      </c>
      <c r="BP825" s="29" t="s">
        <v>138</v>
      </c>
      <c r="BQ825" s="28" t="s">
        <v>138</v>
      </c>
      <c r="BR825" s="28" t="s">
        <v>234</v>
      </c>
      <c r="BS825" s="28" t="s">
        <v>234</v>
      </c>
      <c r="BT825" s="28" t="s">
        <v>138</v>
      </c>
      <c r="BU825" s="28" t="s">
        <v>174</v>
      </c>
      <c r="BV825" s="28" t="s">
        <v>138</v>
      </c>
      <c r="BW825" s="28" t="s">
        <v>138</v>
      </c>
      <c r="BX825" s="28" t="s">
        <v>138</v>
      </c>
      <c r="BY825" s="28" t="s">
        <v>175</v>
      </c>
      <c r="BZ825" s="34">
        <v>42986</v>
      </c>
      <c r="CA825" s="29">
        <v>23</v>
      </c>
      <c r="CB825" s="28" t="s">
        <v>172</v>
      </c>
      <c r="CC825" s="29">
        <v>173</v>
      </c>
      <c r="CD825" s="28" t="s">
        <v>172</v>
      </c>
      <c r="CE825" s="28" t="s">
        <v>205</v>
      </c>
      <c r="CF825" s="28" t="s">
        <v>974</v>
      </c>
      <c r="CG825" s="28" t="s">
        <v>138</v>
      </c>
      <c r="CH825" s="28" t="s">
        <v>174</v>
      </c>
      <c r="CI825" s="28" t="s">
        <v>138</v>
      </c>
      <c r="CJ825" s="28" t="s">
        <v>138</v>
      </c>
      <c r="CK825" s="28" t="s">
        <v>138</v>
      </c>
      <c r="CL825" s="28" t="s">
        <v>175</v>
      </c>
      <c r="CM825" s="34" t="s">
        <v>138</v>
      </c>
      <c r="CN825" s="29" t="s">
        <v>138</v>
      </c>
      <c r="CO825" s="35">
        <v>0.63</v>
      </c>
      <c r="CP825" s="36">
        <v>96</v>
      </c>
      <c r="CQ825" s="35">
        <v>0</v>
      </c>
      <c r="CR825" s="35">
        <v>0</v>
      </c>
      <c r="CS825" s="35">
        <v>1.28</v>
      </c>
      <c r="CT825" s="36">
        <v>97</v>
      </c>
      <c r="CU825" s="35">
        <v>-0.01</v>
      </c>
      <c r="CV825" s="36">
        <v>20</v>
      </c>
      <c r="CW825" s="35">
        <v>2.5499999999999998</v>
      </c>
      <c r="CX825" s="36">
        <v>90</v>
      </c>
      <c r="CY825" s="35">
        <v>0</v>
      </c>
      <c r="CZ825" s="36">
        <v>25</v>
      </c>
      <c r="DA825" s="35">
        <v>0</v>
      </c>
      <c r="DB825" s="36">
        <v>22</v>
      </c>
      <c r="DC825" s="37">
        <v>14.43</v>
      </c>
      <c r="DD825" s="36">
        <v>93</v>
      </c>
      <c r="DE825" s="37">
        <v>-1.7</v>
      </c>
      <c r="DF825" s="35">
        <v>-10.54</v>
      </c>
      <c r="DG825" s="37">
        <v>27.91</v>
      </c>
      <c r="DH825" s="36">
        <v>96</v>
      </c>
      <c r="DI825" s="37">
        <v>0.94</v>
      </c>
      <c r="DJ825" s="36">
        <v>48</v>
      </c>
      <c r="DK825" s="37">
        <v>52.99</v>
      </c>
      <c r="DL825" s="36">
        <v>96</v>
      </c>
      <c r="DM825" s="37">
        <v>2.83</v>
      </c>
      <c r="DN825" s="36">
        <v>72</v>
      </c>
      <c r="DO825" s="37">
        <v>0.01</v>
      </c>
      <c r="DP825" s="36">
        <v>1</v>
      </c>
      <c r="DQ825" s="36">
        <v>17910</v>
      </c>
      <c r="DR825" s="38">
        <v>798</v>
      </c>
      <c r="DS825" s="35">
        <v>4.66</v>
      </c>
      <c r="DT825" s="36">
        <v>82</v>
      </c>
      <c r="DU825" s="38">
        <v>0</v>
      </c>
      <c r="DV825" s="35">
        <v>0</v>
      </c>
      <c r="DW825" s="36">
        <v>2</v>
      </c>
      <c r="DX825" s="39">
        <v>0</v>
      </c>
      <c r="DY825" s="35">
        <v>0</v>
      </c>
      <c r="DZ825" s="28" t="s">
        <v>178</v>
      </c>
      <c r="EA825" s="34">
        <v>43622</v>
      </c>
      <c r="EB825" s="29">
        <v>173</v>
      </c>
      <c r="EC825" s="34">
        <v>42986</v>
      </c>
      <c r="ED825" s="28" t="s">
        <v>205</v>
      </c>
      <c r="EE825" s="40" t="str">
        <f>HYPERLINK("https://my.pitchbook.com?c=92327-23", "View company online")</f>
        <v>View company online</v>
      </c>
    </row>
    <row r="826" spans="1:135">
      <c r="A826" s="15" t="s">
        <v>16407</v>
      </c>
      <c r="B826" s="15" t="s">
        <v>16408</v>
      </c>
      <c r="C826" s="15" t="s">
        <v>138</v>
      </c>
      <c r="D826" s="15" t="s">
        <v>138</v>
      </c>
      <c r="E826" s="15" t="s">
        <v>138</v>
      </c>
      <c r="F826" s="15" t="s">
        <v>16407</v>
      </c>
      <c r="G826" s="15" t="s">
        <v>16409</v>
      </c>
      <c r="H826" s="15" t="s">
        <v>322</v>
      </c>
      <c r="I826" s="15" t="s">
        <v>323</v>
      </c>
      <c r="J826" s="15" t="s">
        <v>324</v>
      </c>
      <c r="K826" s="15" t="s">
        <v>16410</v>
      </c>
      <c r="L826" s="15" t="s">
        <v>2557</v>
      </c>
      <c r="M826" s="15" t="s">
        <v>16411</v>
      </c>
      <c r="N826" s="15" t="s">
        <v>147</v>
      </c>
      <c r="O826" s="17" t="s">
        <v>138</v>
      </c>
      <c r="P826" s="15" t="s">
        <v>148</v>
      </c>
      <c r="Q826" s="15" t="s">
        <v>149</v>
      </c>
      <c r="R826" s="15" t="s">
        <v>174</v>
      </c>
      <c r="S826" s="15" t="s">
        <v>16412</v>
      </c>
      <c r="T826" s="18">
        <v>14</v>
      </c>
      <c r="U826" s="15" t="s">
        <v>3965</v>
      </c>
      <c r="V826" s="15" t="s">
        <v>138</v>
      </c>
      <c r="W826" s="15" t="s">
        <v>138</v>
      </c>
      <c r="X826" s="19">
        <v>2009</v>
      </c>
      <c r="Y826" s="15" t="s">
        <v>138</v>
      </c>
      <c r="Z826" s="15" t="s">
        <v>138</v>
      </c>
      <c r="AA826" s="15" t="s">
        <v>138</v>
      </c>
      <c r="AB826" s="20" t="s">
        <v>138</v>
      </c>
      <c r="AC826" s="20" t="s">
        <v>138</v>
      </c>
      <c r="AD826" s="20" t="s">
        <v>138</v>
      </c>
      <c r="AE826" s="20" t="s">
        <v>138</v>
      </c>
      <c r="AF826" s="20" t="s">
        <v>138</v>
      </c>
      <c r="AG826" s="15" t="s">
        <v>138</v>
      </c>
      <c r="AH826" s="20" t="s">
        <v>138</v>
      </c>
      <c r="AI826" s="20" t="s">
        <v>138</v>
      </c>
      <c r="AJ826" s="20" t="s">
        <v>138</v>
      </c>
      <c r="AK826" s="15" t="s">
        <v>16413</v>
      </c>
      <c r="AL826" s="15" t="s">
        <v>16414</v>
      </c>
      <c r="AM826" s="15" t="s">
        <v>304</v>
      </c>
      <c r="AN826" s="15" t="s">
        <v>16415</v>
      </c>
      <c r="AO826" s="15" t="s">
        <v>16416</v>
      </c>
      <c r="AP826" s="15" t="s">
        <v>423</v>
      </c>
      <c r="AQ826" s="15" t="s">
        <v>16417</v>
      </c>
      <c r="AR826" s="15" t="s">
        <v>138</v>
      </c>
      <c r="AS826" s="15" t="s">
        <v>426</v>
      </c>
      <c r="AT826" s="15" t="s">
        <v>426</v>
      </c>
      <c r="AU826" s="15" t="s">
        <v>921</v>
      </c>
      <c r="AV826" s="15" t="s">
        <v>162</v>
      </c>
      <c r="AW826" s="15" t="s">
        <v>16418</v>
      </c>
      <c r="AX826" s="15" t="s">
        <v>138</v>
      </c>
      <c r="AY826" s="15" t="s">
        <v>16419</v>
      </c>
      <c r="AZ826" s="15" t="s">
        <v>164</v>
      </c>
      <c r="BA826" s="15" t="s">
        <v>165</v>
      </c>
      <c r="BB826" s="15" t="s">
        <v>16420</v>
      </c>
      <c r="BC826" s="15" t="s">
        <v>16421</v>
      </c>
      <c r="BD826" s="21">
        <v>3</v>
      </c>
      <c r="BE826" s="15" t="s">
        <v>138</v>
      </c>
      <c r="BF826" s="15" t="s">
        <v>138</v>
      </c>
      <c r="BG826" s="15" t="s">
        <v>138</v>
      </c>
      <c r="BH826" s="15" t="s">
        <v>16422</v>
      </c>
      <c r="BI826" s="15" t="s">
        <v>138</v>
      </c>
      <c r="BJ826" s="15" t="s">
        <v>138</v>
      </c>
      <c r="BK826" s="15" t="s">
        <v>138</v>
      </c>
      <c r="BL826" s="15" t="s">
        <v>138</v>
      </c>
      <c r="BM826" s="22">
        <v>43397</v>
      </c>
      <c r="BN826" s="17" t="s">
        <v>138</v>
      </c>
      <c r="BO826" s="15" t="s">
        <v>138</v>
      </c>
      <c r="BP826" s="17" t="s">
        <v>138</v>
      </c>
      <c r="BQ826" s="15" t="s">
        <v>138</v>
      </c>
      <c r="BR826" s="15" t="s">
        <v>205</v>
      </c>
      <c r="BS826" s="15" t="s">
        <v>138</v>
      </c>
      <c r="BT826" s="15" t="s">
        <v>138</v>
      </c>
      <c r="BU826" s="15" t="s">
        <v>174</v>
      </c>
      <c r="BV826" s="15" t="s">
        <v>138</v>
      </c>
      <c r="BW826" s="15" t="s">
        <v>138</v>
      </c>
      <c r="BX826" s="15" t="s">
        <v>138</v>
      </c>
      <c r="BY826" s="15" t="s">
        <v>175</v>
      </c>
      <c r="BZ826" s="22">
        <v>43397</v>
      </c>
      <c r="CA826" s="17" t="s">
        <v>138</v>
      </c>
      <c r="CB826" s="15" t="s">
        <v>138</v>
      </c>
      <c r="CC826" s="17" t="s">
        <v>138</v>
      </c>
      <c r="CD826" s="15" t="s">
        <v>138</v>
      </c>
      <c r="CE826" s="15" t="s">
        <v>205</v>
      </c>
      <c r="CF826" s="15" t="s">
        <v>138</v>
      </c>
      <c r="CG826" s="15" t="s">
        <v>138</v>
      </c>
      <c r="CH826" s="15" t="s">
        <v>174</v>
      </c>
      <c r="CI826" s="15" t="s">
        <v>138</v>
      </c>
      <c r="CJ826" s="15" t="s">
        <v>138</v>
      </c>
      <c r="CK826" s="15" t="s">
        <v>138</v>
      </c>
      <c r="CL826" s="15" t="s">
        <v>175</v>
      </c>
      <c r="CM826" s="22" t="s">
        <v>138</v>
      </c>
      <c r="CN826" s="17" t="s">
        <v>138</v>
      </c>
      <c r="CO826" s="23">
        <v>0.08</v>
      </c>
      <c r="CP826" s="24">
        <v>89</v>
      </c>
      <c r="CQ826" s="23">
        <v>0</v>
      </c>
      <c r="CR826" s="23">
        <v>-0.28999999999999998</v>
      </c>
      <c r="CS826" s="23">
        <v>0</v>
      </c>
      <c r="CT826" s="24">
        <v>23</v>
      </c>
      <c r="CU826" s="23">
        <v>0.16</v>
      </c>
      <c r="CV826" s="24">
        <v>76</v>
      </c>
      <c r="CW826" s="23" t="s">
        <v>138</v>
      </c>
      <c r="CX826" s="24" t="s">
        <v>138</v>
      </c>
      <c r="CY826" s="23">
        <v>0</v>
      </c>
      <c r="CZ826" s="24">
        <v>25</v>
      </c>
      <c r="DA826" s="23">
        <v>0.23</v>
      </c>
      <c r="DB826" s="24">
        <v>85</v>
      </c>
      <c r="DC826" s="25">
        <v>1.5</v>
      </c>
      <c r="DD826" s="24">
        <v>61</v>
      </c>
      <c r="DE826" s="25">
        <v>0.01</v>
      </c>
      <c r="DF826" s="23">
        <v>0.45</v>
      </c>
      <c r="DG826" s="25">
        <v>1.48</v>
      </c>
      <c r="DH826" s="24">
        <v>60</v>
      </c>
      <c r="DI826" s="25">
        <v>1.51</v>
      </c>
      <c r="DJ826" s="24">
        <v>57</v>
      </c>
      <c r="DK826" s="25" t="s">
        <v>138</v>
      </c>
      <c r="DL826" s="24" t="s">
        <v>138</v>
      </c>
      <c r="DM826" s="25">
        <v>1.48</v>
      </c>
      <c r="DN826" s="24">
        <v>59</v>
      </c>
      <c r="DO826" s="25">
        <v>2.86</v>
      </c>
      <c r="DP826" s="24">
        <v>70</v>
      </c>
      <c r="DQ826" s="24" t="s">
        <v>138</v>
      </c>
      <c r="DR826" s="26" t="s">
        <v>138</v>
      </c>
      <c r="DS826" s="23" t="s">
        <v>138</v>
      </c>
      <c r="DT826" s="24">
        <v>43</v>
      </c>
      <c r="DU826" s="26">
        <v>0</v>
      </c>
      <c r="DV826" s="23">
        <v>0</v>
      </c>
      <c r="DW826" s="24">
        <v>1023</v>
      </c>
      <c r="DX826" s="27">
        <v>4</v>
      </c>
      <c r="DY826" s="23">
        <v>0.39</v>
      </c>
      <c r="DZ826" s="15" t="s">
        <v>178</v>
      </c>
      <c r="EA826" s="22">
        <v>43622</v>
      </c>
      <c r="EB826" s="17" t="s">
        <v>138</v>
      </c>
      <c r="EC826" s="22" t="s">
        <v>138</v>
      </c>
      <c r="ED826" s="15" t="s">
        <v>138</v>
      </c>
      <c r="EE826" s="14" t="str">
        <f>HYPERLINK("https://my.pitchbook.com?c=58852-27", "View company online")</f>
        <v>View company online</v>
      </c>
    </row>
    <row r="827" spans="1:135">
      <c r="A827" s="28" t="s">
        <v>16423</v>
      </c>
      <c r="B827" s="28" t="s">
        <v>16424</v>
      </c>
      <c r="C827" s="28" t="s">
        <v>16425</v>
      </c>
      <c r="D827" s="28" t="s">
        <v>138</v>
      </c>
      <c r="E827" s="28" t="s">
        <v>16426</v>
      </c>
      <c r="F827" s="28" t="s">
        <v>16423</v>
      </c>
      <c r="G827" s="28" t="s">
        <v>16427</v>
      </c>
      <c r="H827" s="28" t="s">
        <v>322</v>
      </c>
      <c r="I827" s="28" t="s">
        <v>1503</v>
      </c>
      <c r="J827" s="28" t="s">
        <v>1836</v>
      </c>
      <c r="K827" s="28" t="s">
        <v>16428</v>
      </c>
      <c r="L827" s="28" t="s">
        <v>2143</v>
      </c>
      <c r="M827" s="28" t="s">
        <v>16429</v>
      </c>
      <c r="N827" s="28" t="s">
        <v>147</v>
      </c>
      <c r="O827" s="29">
        <v>24.56</v>
      </c>
      <c r="P827" s="28" t="s">
        <v>148</v>
      </c>
      <c r="Q827" s="28" t="s">
        <v>149</v>
      </c>
      <c r="R827" s="28" t="s">
        <v>244</v>
      </c>
      <c r="S827" s="28" t="s">
        <v>16430</v>
      </c>
      <c r="T827" s="30">
        <v>21</v>
      </c>
      <c r="U827" s="28" t="s">
        <v>16431</v>
      </c>
      <c r="V827" s="28" t="s">
        <v>138</v>
      </c>
      <c r="W827" s="28" t="s">
        <v>138</v>
      </c>
      <c r="X827" s="31">
        <v>2006</v>
      </c>
      <c r="Y827" s="28" t="s">
        <v>138</v>
      </c>
      <c r="Z827" s="28" t="s">
        <v>138</v>
      </c>
      <c r="AA827" s="28" t="s">
        <v>138</v>
      </c>
      <c r="AB827" s="32" t="s">
        <v>138</v>
      </c>
      <c r="AC827" s="32" t="s">
        <v>138</v>
      </c>
      <c r="AD827" s="32" t="s">
        <v>138</v>
      </c>
      <c r="AE827" s="32" t="s">
        <v>138</v>
      </c>
      <c r="AF827" s="32" t="s">
        <v>138</v>
      </c>
      <c r="AG827" s="28" t="s">
        <v>138</v>
      </c>
      <c r="AH827" s="32" t="s">
        <v>138</v>
      </c>
      <c r="AI827" s="32" t="s">
        <v>138</v>
      </c>
      <c r="AJ827" s="32" t="s">
        <v>138</v>
      </c>
      <c r="AK827" s="28" t="s">
        <v>16432</v>
      </c>
      <c r="AL827" s="28" t="s">
        <v>16433</v>
      </c>
      <c r="AM827" s="28" t="s">
        <v>249</v>
      </c>
      <c r="AN827" s="28" t="s">
        <v>138</v>
      </c>
      <c r="AO827" s="28" t="s">
        <v>16434</v>
      </c>
      <c r="AP827" s="28" t="s">
        <v>2842</v>
      </c>
      <c r="AQ827" s="28" t="s">
        <v>16435</v>
      </c>
      <c r="AR827" s="28" t="s">
        <v>16436</v>
      </c>
      <c r="AS827" s="28" t="s">
        <v>2845</v>
      </c>
      <c r="AT827" s="28" t="s">
        <v>200</v>
      </c>
      <c r="AU827" s="28" t="s">
        <v>10437</v>
      </c>
      <c r="AV827" s="28" t="s">
        <v>162</v>
      </c>
      <c r="AW827" s="28" t="s">
        <v>16434</v>
      </c>
      <c r="AX827" s="28" t="s">
        <v>138</v>
      </c>
      <c r="AY827" s="28" t="s">
        <v>16437</v>
      </c>
      <c r="AZ827" s="28" t="s">
        <v>164</v>
      </c>
      <c r="BA827" s="28" t="s">
        <v>165</v>
      </c>
      <c r="BB827" s="28" t="s">
        <v>16438</v>
      </c>
      <c r="BC827" s="28" t="s">
        <v>16439</v>
      </c>
      <c r="BD827" s="33">
        <v>7</v>
      </c>
      <c r="BE827" s="28" t="s">
        <v>138</v>
      </c>
      <c r="BF827" s="28" t="s">
        <v>138</v>
      </c>
      <c r="BG827" s="28" t="s">
        <v>138</v>
      </c>
      <c r="BH827" s="28" t="s">
        <v>16440</v>
      </c>
      <c r="BI827" s="28" t="s">
        <v>138</v>
      </c>
      <c r="BJ827" s="28" t="s">
        <v>138</v>
      </c>
      <c r="BK827" s="28" t="s">
        <v>290</v>
      </c>
      <c r="BL827" s="28" t="s">
        <v>16441</v>
      </c>
      <c r="BM827" s="34">
        <v>39569</v>
      </c>
      <c r="BN827" s="29">
        <v>3.13</v>
      </c>
      <c r="BO827" s="28" t="s">
        <v>172</v>
      </c>
      <c r="BP827" s="29">
        <v>13.67</v>
      </c>
      <c r="BQ827" s="28" t="s">
        <v>172</v>
      </c>
      <c r="BR827" s="28" t="s">
        <v>205</v>
      </c>
      <c r="BS827" s="28" t="s">
        <v>206</v>
      </c>
      <c r="BT827" s="28" t="s">
        <v>138</v>
      </c>
      <c r="BU827" s="28" t="s">
        <v>174</v>
      </c>
      <c r="BV827" s="28" t="s">
        <v>138</v>
      </c>
      <c r="BW827" s="28" t="s">
        <v>138</v>
      </c>
      <c r="BX827" s="28" t="s">
        <v>138</v>
      </c>
      <c r="BY827" s="28" t="s">
        <v>175</v>
      </c>
      <c r="BZ827" s="34">
        <v>43144</v>
      </c>
      <c r="CA827" s="29">
        <v>9.01</v>
      </c>
      <c r="CB827" s="28" t="s">
        <v>172</v>
      </c>
      <c r="CC827" s="29">
        <v>15.01</v>
      </c>
      <c r="CD827" s="28" t="s">
        <v>172</v>
      </c>
      <c r="CE827" s="28" t="s">
        <v>780</v>
      </c>
      <c r="CF827" s="28" t="s">
        <v>433</v>
      </c>
      <c r="CG827" s="28" t="s">
        <v>138</v>
      </c>
      <c r="CH827" s="28" t="s">
        <v>780</v>
      </c>
      <c r="CI827" s="28" t="s">
        <v>138</v>
      </c>
      <c r="CJ827" s="28" t="s">
        <v>138</v>
      </c>
      <c r="CK827" s="28" t="s">
        <v>138</v>
      </c>
      <c r="CL827" s="28" t="s">
        <v>175</v>
      </c>
      <c r="CM827" s="34">
        <v>41850</v>
      </c>
      <c r="CN827" s="29">
        <v>2</v>
      </c>
      <c r="CO827" s="35">
        <v>-0.66</v>
      </c>
      <c r="CP827" s="36">
        <v>14</v>
      </c>
      <c r="CQ827" s="35">
        <v>-0.12</v>
      </c>
      <c r="CR827" s="35">
        <v>-22.76</v>
      </c>
      <c r="CS827" s="35">
        <v>-1.27</v>
      </c>
      <c r="CT827" s="36">
        <v>13</v>
      </c>
      <c r="CU827" s="35">
        <v>-0.05</v>
      </c>
      <c r="CV827" s="36">
        <v>9</v>
      </c>
      <c r="CW827" s="35" t="s">
        <v>138</v>
      </c>
      <c r="CX827" s="36" t="s">
        <v>138</v>
      </c>
      <c r="CY827" s="35">
        <v>-1.27</v>
      </c>
      <c r="CZ827" s="36">
        <v>17</v>
      </c>
      <c r="DA827" s="35">
        <v>-0.05</v>
      </c>
      <c r="DB827" s="36">
        <v>13</v>
      </c>
      <c r="DC827" s="37">
        <v>2.87</v>
      </c>
      <c r="DD827" s="36">
        <v>74</v>
      </c>
      <c r="DE827" s="37">
        <v>-0.03</v>
      </c>
      <c r="DF827" s="35">
        <v>-1.07</v>
      </c>
      <c r="DG827" s="37">
        <v>5.07</v>
      </c>
      <c r="DH827" s="36">
        <v>82</v>
      </c>
      <c r="DI827" s="37">
        <v>0.68</v>
      </c>
      <c r="DJ827" s="36">
        <v>42</v>
      </c>
      <c r="DK827" s="37" t="s">
        <v>138</v>
      </c>
      <c r="DL827" s="36" t="s">
        <v>138</v>
      </c>
      <c r="DM827" s="37">
        <v>5.07</v>
      </c>
      <c r="DN827" s="36">
        <v>82</v>
      </c>
      <c r="DO827" s="37">
        <v>0.68</v>
      </c>
      <c r="DP827" s="36">
        <v>43</v>
      </c>
      <c r="DQ827" s="36" t="s">
        <v>138</v>
      </c>
      <c r="DR827" s="38" t="s">
        <v>138</v>
      </c>
      <c r="DS827" s="35" t="s">
        <v>138</v>
      </c>
      <c r="DT827" s="36">
        <v>147</v>
      </c>
      <c r="DU827" s="38">
        <v>-2</v>
      </c>
      <c r="DV827" s="35">
        <v>-1.34</v>
      </c>
      <c r="DW827" s="36">
        <v>242</v>
      </c>
      <c r="DX827" s="39">
        <v>0</v>
      </c>
      <c r="DY827" s="35">
        <v>0</v>
      </c>
      <c r="DZ827" s="28" t="s">
        <v>178</v>
      </c>
      <c r="EA827" s="34">
        <v>43622</v>
      </c>
      <c r="EB827" s="29">
        <v>15.01</v>
      </c>
      <c r="EC827" s="34">
        <v>43144</v>
      </c>
      <c r="ED827" s="28" t="s">
        <v>780</v>
      </c>
      <c r="EE827" s="40" t="str">
        <f>HYPERLINK("https://my.pitchbook.com?c=56290-33", "View company online")</f>
        <v>View company online</v>
      </c>
    </row>
    <row r="828" spans="1:135">
      <c r="A828" s="15" t="s">
        <v>16442</v>
      </c>
      <c r="B828" s="15" t="s">
        <v>16443</v>
      </c>
      <c r="C828" s="15" t="s">
        <v>138</v>
      </c>
      <c r="D828" s="15" t="s">
        <v>16444</v>
      </c>
      <c r="E828" s="15" t="s">
        <v>16445</v>
      </c>
      <c r="F828" s="15" t="s">
        <v>16442</v>
      </c>
      <c r="G828" s="15" t="s">
        <v>16446</v>
      </c>
      <c r="H828" s="15" t="s">
        <v>322</v>
      </c>
      <c r="I828" s="15" t="s">
        <v>323</v>
      </c>
      <c r="J828" s="15" t="s">
        <v>324</v>
      </c>
      <c r="K828" s="15" t="s">
        <v>325</v>
      </c>
      <c r="L828" s="15" t="s">
        <v>2835</v>
      </c>
      <c r="M828" s="15" t="s">
        <v>16447</v>
      </c>
      <c r="N828" s="15" t="s">
        <v>147</v>
      </c>
      <c r="O828" s="17">
        <v>0.15</v>
      </c>
      <c r="P828" s="15" t="s">
        <v>148</v>
      </c>
      <c r="Q828" s="15" t="s">
        <v>149</v>
      </c>
      <c r="R828" s="15" t="s">
        <v>174</v>
      </c>
      <c r="S828" s="15" t="s">
        <v>16448</v>
      </c>
      <c r="T828" s="18">
        <v>11</v>
      </c>
      <c r="U828" s="15" t="s">
        <v>1356</v>
      </c>
      <c r="V828" s="15" t="s">
        <v>138</v>
      </c>
      <c r="W828" s="15" t="s">
        <v>138</v>
      </c>
      <c r="X828" s="19">
        <v>2015</v>
      </c>
      <c r="Y828" s="15" t="s">
        <v>138</v>
      </c>
      <c r="Z828" s="15" t="s">
        <v>138</v>
      </c>
      <c r="AA828" s="15" t="s">
        <v>138</v>
      </c>
      <c r="AB828" s="20" t="s">
        <v>138</v>
      </c>
      <c r="AC828" s="20" t="s">
        <v>138</v>
      </c>
      <c r="AD828" s="20" t="s">
        <v>138</v>
      </c>
      <c r="AE828" s="20" t="s">
        <v>138</v>
      </c>
      <c r="AF828" s="20" t="s">
        <v>138</v>
      </c>
      <c r="AG828" s="15" t="s">
        <v>138</v>
      </c>
      <c r="AH828" s="20" t="s">
        <v>138</v>
      </c>
      <c r="AI828" s="20" t="s">
        <v>138</v>
      </c>
      <c r="AJ828" s="20" t="s">
        <v>138</v>
      </c>
      <c r="AK828" s="15" t="s">
        <v>16449</v>
      </c>
      <c r="AL828" s="15" t="s">
        <v>16450</v>
      </c>
      <c r="AM828" s="15" t="s">
        <v>16451</v>
      </c>
      <c r="AN828" s="15" t="s">
        <v>16452</v>
      </c>
      <c r="AO828" s="15" t="s">
        <v>138</v>
      </c>
      <c r="AP828" s="15" t="s">
        <v>665</v>
      </c>
      <c r="AQ828" s="15" t="s">
        <v>16453</v>
      </c>
      <c r="AR828" s="15" t="s">
        <v>4403</v>
      </c>
      <c r="AS828" s="15" t="s">
        <v>668</v>
      </c>
      <c r="AT828" s="15" t="s">
        <v>200</v>
      </c>
      <c r="AU828" s="15" t="s">
        <v>669</v>
      </c>
      <c r="AV828" s="15" t="s">
        <v>162</v>
      </c>
      <c r="AW828" s="15" t="s">
        <v>138</v>
      </c>
      <c r="AX828" s="15" t="s">
        <v>138</v>
      </c>
      <c r="AY828" s="15" t="s">
        <v>16454</v>
      </c>
      <c r="AZ828" s="15" t="s">
        <v>164</v>
      </c>
      <c r="BA828" s="15" t="s">
        <v>165</v>
      </c>
      <c r="BB828" s="15" t="s">
        <v>16455</v>
      </c>
      <c r="BC828" s="15" t="s">
        <v>16456</v>
      </c>
      <c r="BD828" s="21">
        <v>9</v>
      </c>
      <c r="BE828" s="15" t="s">
        <v>138</v>
      </c>
      <c r="BF828" s="15" t="s">
        <v>138</v>
      </c>
      <c r="BG828" s="15" t="s">
        <v>138</v>
      </c>
      <c r="BH828" s="15" t="s">
        <v>16457</v>
      </c>
      <c r="BI828" s="15" t="s">
        <v>138</v>
      </c>
      <c r="BJ828" s="15" t="s">
        <v>138</v>
      </c>
      <c r="BK828" s="15" t="s">
        <v>138</v>
      </c>
      <c r="BL828" s="15" t="s">
        <v>138</v>
      </c>
      <c r="BM828" s="22">
        <v>42142</v>
      </c>
      <c r="BN828" s="17">
        <v>0.03</v>
      </c>
      <c r="BO828" s="15" t="s">
        <v>172</v>
      </c>
      <c r="BP828" s="17" t="s">
        <v>138</v>
      </c>
      <c r="BQ828" s="15" t="s">
        <v>138</v>
      </c>
      <c r="BR828" s="15" t="s">
        <v>316</v>
      </c>
      <c r="BS828" s="15" t="s">
        <v>138</v>
      </c>
      <c r="BT828" s="15" t="s">
        <v>138</v>
      </c>
      <c r="BU828" s="15" t="s">
        <v>177</v>
      </c>
      <c r="BV828" s="15" t="s">
        <v>138</v>
      </c>
      <c r="BW828" s="15" t="s">
        <v>138</v>
      </c>
      <c r="BX828" s="15" t="s">
        <v>138</v>
      </c>
      <c r="BY828" s="15" t="s">
        <v>175</v>
      </c>
      <c r="BZ828" s="22">
        <v>42761</v>
      </c>
      <c r="CA828" s="17" t="s">
        <v>138</v>
      </c>
      <c r="CB828" s="15" t="s">
        <v>138</v>
      </c>
      <c r="CC828" s="17" t="s">
        <v>138</v>
      </c>
      <c r="CD828" s="15" t="s">
        <v>138</v>
      </c>
      <c r="CE828" s="15" t="s">
        <v>205</v>
      </c>
      <c r="CF828" s="15" t="s">
        <v>138</v>
      </c>
      <c r="CG828" s="15" t="s">
        <v>138</v>
      </c>
      <c r="CH828" s="15" t="s">
        <v>174</v>
      </c>
      <c r="CI828" s="15" t="s">
        <v>138</v>
      </c>
      <c r="CJ828" s="15" t="s">
        <v>138</v>
      </c>
      <c r="CK828" s="15" t="s">
        <v>138</v>
      </c>
      <c r="CL828" s="15" t="s">
        <v>175</v>
      </c>
      <c r="CM828" s="22" t="s">
        <v>138</v>
      </c>
      <c r="CN828" s="17" t="s">
        <v>138</v>
      </c>
      <c r="CO828" s="23">
        <v>-0.21</v>
      </c>
      <c r="CP828" s="24">
        <v>19</v>
      </c>
      <c r="CQ828" s="23">
        <v>0.02</v>
      </c>
      <c r="CR828" s="23">
        <v>8.26</v>
      </c>
      <c r="CS828" s="23">
        <v>-0.47</v>
      </c>
      <c r="CT828" s="24">
        <v>20</v>
      </c>
      <c r="CU828" s="23">
        <v>0.06</v>
      </c>
      <c r="CV828" s="24">
        <v>60</v>
      </c>
      <c r="CW828" s="23">
        <v>0</v>
      </c>
      <c r="CX828" s="24">
        <v>13</v>
      </c>
      <c r="CY828" s="23">
        <v>-0.95</v>
      </c>
      <c r="CZ828" s="24">
        <v>19</v>
      </c>
      <c r="DA828" s="23">
        <v>0.06</v>
      </c>
      <c r="DB828" s="24">
        <v>65</v>
      </c>
      <c r="DC828" s="25">
        <v>1.9</v>
      </c>
      <c r="DD828" s="24">
        <v>66</v>
      </c>
      <c r="DE828" s="25">
        <v>-0.08</v>
      </c>
      <c r="DF828" s="23">
        <v>-4.24</v>
      </c>
      <c r="DG828" s="25">
        <v>3.22</v>
      </c>
      <c r="DH828" s="24">
        <v>76</v>
      </c>
      <c r="DI828" s="25">
        <v>0.56999999999999995</v>
      </c>
      <c r="DJ828" s="24">
        <v>39</v>
      </c>
      <c r="DK828" s="25">
        <v>2.13</v>
      </c>
      <c r="DL828" s="24">
        <v>65</v>
      </c>
      <c r="DM828" s="25">
        <v>4.3099999999999996</v>
      </c>
      <c r="DN828" s="24">
        <v>79</v>
      </c>
      <c r="DO828" s="25">
        <v>0.56999999999999995</v>
      </c>
      <c r="DP828" s="24">
        <v>40</v>
      </c>
      <c r="DQ828" s="24">
        <v>707</v>
      </c>
      <c r="DR828" s="26">
        <v>70</v>
      </c>
      <c r="DS828" s="23">
        <v>10.99</v>
      </c>
      <c r="DT828" s="24">
        <v>125</v>
      </c>
      <c r="DU828" s="26">
        <v>-2</v>
      </c>
      <c r="DV828" s="23">
        <v>-1.57</v>
      </c>
      <c r="DW828" s="24">
        <v>204</v>
      </c>
      <c r="DX828" s="27">
        <v>1</v>
      </c>
      <c r="DY828" s="23">
        <v>0.49</v>
      </c>
      <c r="DZ828" s="15" t="s">
        <v>178</v>
      </c>
      <c r="EA828" s="22">
        <v>43351</v>
      </c>
      <c r="EB828" s="17">
        <v>1.71</v>
      </c>
      <c r="EC828" s="22">
        <v>42452</v>
      </c>
      <c r="ED828" s="15" t="s">
        <v>316</v>
      </c>
      <c r="EE828" s="14" t="str">
        <f>HYPERLINK("https://my.pitchbook.com?c=151468-48", "View company online")</f>
        <v>View company online</v>
      </c>
    </row>
    <row r="829" spans="1:135">
      <c r="A829" s="28" t="s">
        <v>16458</v>
      </c>
      <c r="B829" s="28" t="s">
        <v>16459</v>
      </c>
      <c r="C829" s="28" t="s">
        <v>16460</v>
      </c>
      <c r="D829" s="28" t="s">
        <v>138</v>
      </c>
      <c r="E829" s="28" t="s">
        <v>138</v>
      </c>
      <c r="F829" s="28" t="s">
        <v>16458</v>
      </c>
      <c r="G829" s="28" t="s">
        <v>16461</v>
      </c>
      <c r="H829" s="28" t="s">
        <v>322</v>
      </c>
      <c r="I829" s="28" t="s">
        <v>323</v>
      </c>
      <c r="J829" s="28" t="s">
        <v>2984</v>
      </c>
      <c r="K829" s="28" t="s">
        <v>16462</v>
      </c>
      <c r="L829" s="28" t="s">
        <v>415</v>
      </c>
      <c r="M829" s="28" t="s">
        <v>16463</v>
      </c>
      <c r="N829" s="28" t="s">
        <v>1212</v>
      </c>
      <c r="O829" s="29">
        <v>10.64</v>
      </c>
      <c r="P829" s="28" t="s">
        <v>148</v>
      </c>
      <c r="Q829" s="28" t="s">
        <v>149</v>
      </c>
      <c r="R829" s="28" t="s">
        <v>174</v>
      </c>
      <c r="S829" s="28" t="s">
        <v>16464</v>
      </c>
      <c r="T829" s="30">
        <v>200</v>
      </c>
      <c r="U829" s="28" t="s">
        <v>16465</v>
      </c>
      <c r="V829" s="28" t="s">
        <v>138</v>
      </c>
      <c r="W829" s="28" t="s">
        <v>138</v>
      </c>
      <c r="X829" s="31">
        <v>1996</v>
      </c>
      <c r="Y829" s="28" t="s">
        <v>138</v>
      </c>
      <c r="Z829" s="28" t="s">
        <v>138</v>
      </c>
      <c r="AA829" s="28" t="s">
        <v>138</v>
      </c>
      <c r="AB829" s="32" t="s">
        <v>138</v>
      </c>
      <c r="AC829" s="32" t="s">
        <v>138</v>
      </c>
      <c r="AD829" s="32" t="s">
        <v>138</v>
      </c>
      <c r="AE829" s="32" t="s">
        <v>138</v>
      </c>
      <c r="AF829" s="32" t="s">
        <v>138</v>
      </c>
      <c r="AG829" s="28" t="s">
        <v>138</v>
      </c>
      <c r="AH829" s="32" t="s">
        <v>138</v>
      </c>
      <c r="AI829" s="32" t="s">
        <v>138</v>
      </c>
      <c r="AJ829" s="32" t="s">
        <v>138</v>
      </c>
      <c r="AK829" s="28" t="s">
        <v>16466</v>
      </c>
      <c r="AL829" s="28" t="s">
        <v>16467</v>
      </c>
      <c r="AM829" s="28" t="s">
        <v>16468</v>
      </c>
      <c r="AN829" s="28" t="s">
        <v>138</v>
      </c>
      <c r="AO829" s="28" t="s">
        <v>16469</v>
      </c>
      <c r="AP829" s="28" t="s">
        <v>423</v>
      </c>
      <c r="AQ829" s="28" t="s">
        <v>16470</v>
      </c>
      <c r="AR829" s="28" t="s">
        <v>16471</v>
      </c>
      <c r="AS829" s="28" t="s">
        <v>426</v>
      </c>
      <c r="AT829" s="28" t="s">
        <v>426</v>
      </c>
      <c r="AU829" s="28" t="s">
        <v>1074</v>
      </c>
      <c r="AV829" s="28" t="s">
        <v>162</v>
      </c>
      <c r="AW829" s="28" t="s">
        <v>16469</v>
      </c>
      <c r="AX829" s="28" t="s">
        <v>16472</v>
      </c>
      <c r="AY829" s="28" t="s">
        <v>138</v>
      </c>
      <c r="AZ829" s="28" t="s">
        <v>164</v>
      </c>
      <c r="BA829" s="28" t="s">
        <v>165</v>
      </c>
      <c r="BB829" s="28" t="s">
        <v>16473</v>
      </c>
      <c r="BC829" s="28" t="s">
        <v>138</v>
      </c>
      <c r="BD829" s="33" t="s">
        <v>138</v>
      </c>
      <c r="BE829" s="28" t="s">
        <v>138</v>
      </c>
      <c r="BF829" s="28" t="s">
        <v>16474</v>
      </c>
      <c r="BG829" s="28" t="s">
        <v>138</v>
      </c>
      <c r="BH829" s="28" t="s">
        <v>138</v>
      </c>
      <c r="BI829" s="28" t="s">
        <v>16475</v>
      </c>
      <c r="BJ829" s="28" t="s">
        <v>138</v>
      </c>
      <c r="BK829" s="28" t="s">
        <v>138</v>
      </c>
      <c r="BL829" s="28" t="s">
        <v>138</v>
      </c>
      <c r="BM829" s="34">
        <v>36165</v>
      </c>
      <c r="BN829" s="29" t="s">
        <v>138</v>
      </c>
      <c r="BO829" s="28" t="s">
        <v>138</v>
      </c>
      <c r="BP829" s="29" t="s">
        <v>138</v>
      </c>
      <c r="BQ829" s="28" t="s">
        <v>138</v>
      </c>
      <c r="BR829" s="28" t="s">
        <v>205</v>
      </c>
      <c r="BS829" s="28" t="s">
        <v>206</v>
      </c>
      <c r="BT829" s="28" t="s">
        <v>138</v>
      </c>
      <c r="BU829" s="28" t="s">
        <v>174</v>
      </c>
      <c r="BV829" s="28" t="s">
        <v>138</v>
      </c>
      <c r="BW829" s="28" t="s">
        <v>138</v>
      </c>
      <c r="BX829" s="28" t="s">
        <v>138</v>
      </c>
      <c r="BY829" s="28" t="s">
        <v>175</v>
      </c>
      <c r="BZ829" s="34">
        <v>36892</v>
      </c>
      <c r="CA829" s="29" t="s">
        <v>138</v>
      </c>
      <c r="CB829" s="28" t="s">
        <v>138</v>
      </c>
      <c r="CC829" s="29" t="s">
        <v>138</v>
      </c>
      <c r="CD829" s="28" t="s">
        <v>138</v>
      </c>
      <c r="CE829" s="28" t="s">
        <v>2228</v>
      </c>
      <c r="CF829" s="28" t="s">
        <v>138</v>
      </c>
      <c r="CG829" s="28" t="s">
        <v>138</v>
      </c>
      <c r="CH829" s="28" t="s">
        <v>780</v>
      </c>
      <c r="CI829" s="28" t="s">
        <v>138</v>
      </c>
      <c r="CJ829" s="28" t="s">
        <v>138</v>
      </c>
      <c r="CK829" s="28" t="s">
        <v>138</v>
      </c>
      <c r="CL829" s="28" t="s">
        <v>175</v>
      </c>
      <c r="CM829" s="34" t="s">
        <v>138</v>
      </c>
      <c r="CN829" s="29" t="s">
        <v>138</v>
      </c>
      <c r="CO829" s="35" t="s">
        <v>138</v>
      </c>
      <c r="CP829" s="36" t="s">
        <v>138</v>
      </c>
      <c r="CQ829" s="35" t="s">
        <v>138</v>
      </c>
      <c r="CR829" s="35" t="s">
        <v>138</v>
      </c>
      <c r="CS829" s="35" t="s">
        <v>138</v>
      </c>
      <c r="CT829" s="36" t="s">
        <v>138</v>
      </c>
      <c r="CU829" s="35" t="s">
        <v>138</v>
      </c>
      <c r="CV829" s="36" t="s">
        <v>138</v>
      </c>
      <c r="CW829" s="35" t="s">
        <v>138</v>
      </c>
      <c r="CX829" s="36" t="s">
        <v>138</v>
      </c>
      <c r="CY829" s="35" t="s">
        <v>138</v>
      </c>
      <c r="CZ829" s="36" t="s">
        <v>138</v>
      </c>
      <c r="DA829" s="35" t="s">
        <v>138</v>
      </c>
      <c r="DB829" s="36" t="s">
        <v>138</v>
      </c>
      <c r="DC829" s="37" t="s">
        <v>138</v>
      </c>
      <c r="DD829" s="36" t="s">
        <v>138</v>
      </c>
      <c r="DE829" s="37" t="s">
        <v>138</v>
      </c>
      <c r="DF829" s="35" t="s">
        <v>138</v>
      </c>
      <c r="DG829" s="37" t="s">
        <v>138</v>
      </c>
      <c r="DH829" s="36" t="s">
        <v>138</v>
      </c>
      <c r="DI829" s="37" t="s">
        <v>138</v>
      </c>
      <c r="DJ829" s="36" t="s">
        <v>138</v>
      </c>
      <c r="DK829" s="37" t="s">
        <v>138</v>
      </c>
      <c r="DL829" s="36" t="s">
        <v>138</v>
      </c>
      <c r="DM829" s="37" t="s">
        <v>138</v>
      </c>
      <c r="DN829" s="36" t="s">
        <v>138</v>
      </c>
      <c r="DO829" s="37" t="s">
        <v>138</v>
      </c>
      <c r="DP829" s="36" t="s">
        <v>138</v>
      </c>
      <c r="DQ829" s="36" t="s">
        <v>138</v>
      </c>
      <c r="DR829" s="38" t="s">
        <v>138</v>
      </c>
      <c r="DS829" s="35" t="s">
        <v>138</v>
      </c>
      <c r="DT829" s="36" t="s">
        <v>138</v>
      </c>
      <c r="DU829" s="38" t="s">
        <v>138</v>
      </c>
      <c r="DV829" s="35" t="s">
        <v>138</v>
      </c>
      <c r="DW829" s="36" t="s">
        <v>138</v>
      </c>
      <c r="DX829" s="39" t="s">
        <v>138</v>
      </c>
      <c r="DY829" s="35" t="s">
        <v>138</v>
      </c>
      <c r="DZ829" s="28" t="s">
        <v>178</v>
      </c>
      <c r="EA829" s="34">
        <v>43532</v>
      </c>
      <c r="EB829" s="29">
        <v>68.27</v>
      </c>
      <c r="EC829" s="34">
        <v>36892</v>
      </c>
      <c r="ED829" s="28" t="s">
        <v>173</v>
      </c>
      <c r="EE829" s="40" t="str">
        <f>HYPERLINK("https://my.pitchbook.com?c=55105-48", "View company online")</f>
        <v>View company online</v>
      </c>
    </row>
    <row r="830" spans="1:135">
      <c r="A830" s="15" t="s">
        <v>16476</v>
      </c>
      <c r="B830" s="15" t="s">
        <v>16477</v>
      </c>
      <c r="C830" s="15" t="s">
        <v>16478</v>
      </c>
      <c r="D830" s="15" t="s">
        <v>138</v>
      </c>
      <c r="E830" s="15" t="s">
        <v>16479</v>
      </c>
      <c r="F830" s="15" t="s">
        <v>16476</v>
      </c>
      <c r="G830" s="15" t="s">
        <v>16480</v>
      </c>
      <c r="H830" s="15" t="s">
        <v>385</v>
      </c>
      <c r="I830" s="15" t="s">
        <v>1991</v>
      </c>
      <c r="J830" s="15" t="s">
        <v>1992</v>
      </c>
      <c r="K830" s="15" t="s">
        <v>16481</v>
      </c>
      <c r="L830" s="15" t="s">
        <v>4828</v>
      </c>
      <c r="M830" s="15" t="s">
        <v>16482</v>
      </c>
      <c r="N830" s="15" t="s">
        <v>147</v>
      </c>
      <c r="O830" s="17">
        <v>39.340000000000003</v>
      </c>
      <c r="P830" s="15" t="s">
        <v>148</v>
      </c>
      <c r="Q830" s="15" t="s">
        <v>149</v>
      </c>
      <c r="R830" s="15" t="s">
        <v>8692</v>
      </c>
      <c r="S830" s="15" t="s">
        <v>16483</v>
      </c>
      <c r="T830" s="18">
        <v>200</v>
      </c>
      <c r="U830" s="15" t="s">
        <v>16484</v>
      </c>
      <c r="V830" s="15" t="s">
        <v>138</v>
      </c>
      <c r="W830" s="15" t="s">
        <v>138</v>
      </c>
      <c r="X830" s="19">
        <v>2016</v>
      </c>
      <c r="Y830" s="15" t="s">
        <v>138</v>
      </c>
      <c r="Z830" s="15" t="s">
        <v>138</v>
      </c>
      <c r="AA830" s="15" t="s">
        <v>138</v>
      </c>
      <c r="AB830" s="20">
        <v>0.25</v>
      </c>
      <c r="AC830" s="20" t="s">
        <v>138</v>
      </c>
      <c r="AD830" s="20">
        <v>-0.59</v>
      </c>
      <c r="AE830" s="20" t="s">
        <v>138</v>
      </c>
      <c r="AF830" s="20">
        <v>-0.59</v>
      </c>
      <c r="AG830" s="15" t="s">
        <v>707</v>
      </c>
      <c r="AH830" s="20" t="s">
        <v>138</v>
      </c>
      <c r="AI830" s="20" t="s">
        <v>138</v>
      </c>
      <c r="AJ830" s="20" t="s">
        <v>138</v>
      </c>
      <c r="AK830" s="15" t="s">
        <v>16485</v>
      </c>
      <c r="AL830" s="15" t="s">
        <v>16486</v>
      </c>
      <c r="AM830" s="15" t="s">
        <v>221</v>
      </c>
      <c r="AN830" s="15" t="s">
        <v>16487</v>
      </c>
      <c r="AO830" s="15" t="s">
        <v>16488</v>
      </c>
      <c r="AP830" s="15" t="s">
        <v>4440</v>
      </c>
      <c r="AQ830" s="15" t="s">
        <v>16489</v>
      </c>
      <c r="AR830" s="15" t="s">
        <v>138</v>
      </c>
      <c r="AS830" s="15" t="s">
        <v>4442</v>
      </c>
      <c r="AT830" s="15" t="s">
        <v>138</v>
      </c>
      <c r="AU830" s="15" t="s">
        <v>16490</v>
      </c>
      <c r="AV830" s="15" t="s">
        <v>4444</v>
      </c>
      <c r="AW830" s="15" t="s">
        <v>16488</v>
      </c>
      <c r="AX830" s="15" t="s">
        <v>138</v>
      </c>
      <c r="AY830" s="15" t="s">
        <v>16491</v>
      </c>
      <c r="AZ830" s="15" t="s">
        <v>530</v>
      </c>
      <c r="BA830" s="15" t="s">
        <v>577</v>
      </c>
      <c r="BB830" s="15" t="s">
        <v>16492</v>
      </c>
      <c r="BC830" s="15" t="s">
        <v>16493</v>
      </c>
      <c r="BD830" s="21">
        <v>9</v>
      </c>
      <c r="BE830" s="15" t="s">
        <v>138</v>
      </c>
      <c r="BF830" s="15" t="s">
        <v>138</v>
      </c>
      <c r="BG830" s="15" t="s">
        <v>138</v>
      </c>
      <c r="BH830" s="15" t="s">
        <v>16494</v>
      </c>
      <c r="BI830" s="15" t="s">
        <v>138</v>
      </c>
      <c r="BJ830" s="15" t="s">
        <v>138</v>
      </c>
      <c r="BK830" s="15" t="s">
        <v>16495</v>
      </c>
      <c r="BL830" s="15" t="s">
        <v>16496</v>
      </c>
      <c r="BM830" s="22">
        <v>42736</v>
      </c>
      <c r="BN830" s="17" t="s">
        <v>138</v>
      </c>
      <c r="BO830" s="15" t="s">
        <v>138</v>
      </c>
      <c r="BP830" s="17" t="s">
        <v>138</v>
      </c>
      <c r="BQ830" s="15" t="s">
        <v>138</v>
      </c>
      <c r="BR830" s="15" t="s">
        <v>262</v>
      </c>
      <c r="BS830" s="15" t="s">
        <v>262</v>
      </c>
      <c r="BT830" s="15" t="s">
        <v>138</v>
      </c>
      <c r="BU830" s="15" t="s">
        <v>263</v>
      </c>
      <c r="BV830" s="15" t="s">
        <v>138</v>
      </c>
      <c r="BW830" s="15" t="s">
        <v>138</v>
      </c>
      <c r="BX830" s="15" t="s">
        <v>138</v>
      </c>
      <c r="BY830" s="15" t="s">
        <v>175</v>
      </c>
      <c r="BZ830" s="22" t="s">
        <v>138</v>
      </c>
      <c r="CA830" s="17">
        <v>466.02</v>
      </c>
      <c r="CB830" s="15" t="s">
        <v>172</v>
      </c>
      <c r="CC830" s="17" t="s">
        <v>138</v>
      </c>
      <c r="CD830" s="15" t="s">
        <v>138</v>
      </c>
      <c r="CE830" s="15" t="s">
        <v>1326</v>
      </c>
      <c r="CF830" s="15" t="s">
        <v>138</v>
      </c>
      <c r="CG830" s="15" t="s">
        <v>138</v>
      </c>
      <c r="CH830" s="15" t="s">
        <v>1327</v>
      </c>
      <c r="CI830" s="15" t="s">
        <v>1328</v>
      </c>
      <c r="CJ830" s="15" t="s">
        <v>138</v>
      </c>
      <c r="CK830" s="15" t="s">
        <v>138</v>
      </c>
      <c r="CL830" s="15" t="s">
        <v>3093</v>
      </c>
      <c r="CM830" s="22">
        <v>43143</v>
      </c>
      <c r="CN830" s="17" t="s">
        <v>138</v>
      </c>
      <c r="CO830" s="23">
        <v>0.49</v>
      </c>
      <c r="CP830" s="24">
        <v>95</v>
      </c>
      <c r="CQ830" s="23">
        <v>0.08</v>
      </c>
      <c r="CR830" s="23">
        <v>19.68</v>
      </c>
      <c r="CS830" s="23">
        <v>-1.21</v>
      </c>
      <c r="CT830" s="24">
        <v>13</v>
      </c>
      <c r="CU830" s="23">
        <v>1.01</v>
      </c>
      <c r="CV830" s="24">
        <v>98</v>
      </c>
      <c r="CW830" s="23" t="s">
        <v>138</v>
      </c>
      <c r="CX830" s="24" t="s">
        <v>138</v>
      </c>
      <c r="CY830" s="23">
        <v>-1.21</v>
      </c>
      <c r="CZ830" s="24">
        <v>17</v>
      </c>
      <c r="DA830" s="23">
        <v>1.01</v>
      </c>
      <c r="DB830" s="24">
        <v>98</v>
      </c>
      <c r="DC830" s="25">
        <v>3.91</v>
      </c>
      <c r="DD830" s="24">
        <v>79</v>
      </c>
      <c r="DE830" s="25">
        <v>0.88</v>
      </c>
      <c r="DF830" s="23">
        <v>28.96</v>
      </c>
      <c r="DG830" s="25">
        <v>3.97</v>
      </c>
      <c r="DH830" s="24">
        <v>79</v>
      </c>
      <c r="DI830" s="25">
        <v>7.39</v>
      </c>
      <c r="DJ830" s="24">
        <v>82</v>
      </c>
      <c r="DK830" s="25" t="s">
        <v>138</v>
      </c>
      <c r="DL830" s="24" t="s">
        <v>138</v>
      </c>
      <c r="DM830" s="25">
        <v>3.97</v>
      </c>
      <c r="DN830" s="24">
        <v>78</v>
      </c>
      <c r="DO830" s="25">
        <v>7.39</v>
      </c>
      <c r="DP830" s="24">
        <v>84</v>
      </c>
      <c r="DQ830" s="24" t="s">
        <v>138</v>
      </c>
      <c r="DR830" s="26" t="s">
        <v>138</v>
      </c>
      <c r="DS830" s="23" t="s">
        <v>138</v>
      </c>
      <c r="DT830" s="24">
        <v>115</v>
      </c>
      <c r="DU830" s="26">
        <v>0</v>
      </c>
      <c r="DV830" s="23">
        <v>0</v>
      </c>
      <c r="DW830" s="24">
        <v>2638</v>
      </c>
      <c r="DX830" s="27">
        <v>21</v>
      </c>
      <c r="DY830" s="23">
        <v>0.8</v>
      </c>
      <c r="DZ830" s="15" t="s">
        <v>178</v>
      </c>
      <c r="EA830" s="22">
        <v>43622</v>
      </c>
      <c r="EB830" s="17" t="s">
        <v>138</v>
      </c>
      <c r="EC830" s="22" t="s">
        <v>138</v>
      </c>
      <c r="ED830" s="15" t="s">
        <v>138</v>
      </c>
      <c r="EE830" s="14" t="str">
        <f>HYPERLINK("https://my.pitchbook.com?c=178342-84", "View company online")</f>
        <v>View company online</v>
      </c>
    </row>
    <row r="831" spans="1:135">
      <c r="A831" s="28" t="s">
        <v>16497</v>
      </c>
      <c r="B831" s="28" t="s">
        <v>16498</v>
      </c>
      <c r="C831" s="28" t="s">
        <v>138</v>
      </c>
      <c r="D831" s="28" t="s">
        <v>138</v>
      </c>
      <c r="E831" s="28" t="s">
        <v>16499</v>
      </c>
      <c r="F831" s="28" t="s">
        <v>16497</v>
      </c>
      <c r="G831" s="28" t="s">
        <v>16500</v>
      </c>
      <c r="H831" s="28" t="s">
        <v>238</v>
      </c>
      <c r="I831" s="28" t="s">
        <v>785</v>
      </c>
      <c r="J831" s="28" t="s">
        <v>6223</v>
      </c>
      <c r="K831" s="28" t="s">
        <v>16501</v>
      </c>
      <c r="L831" s="28" t="s">
        <v>138</v>
      </c>
      <c r="M831" s="28" t="s">
        <v>16502</v>
      </c>
      <c r="N831" s="28" t="s">
        <v>147</v>
      </c>
      <c r="O831" s="29" t="s">
        <v>138</v>
      </c>
      <c r="P831" s="28" t="s">
        <v>812</v>
      </c>
      <c r="Q831" s="28" t="s">
        <v>149</v>
      </c>
      <c r="R831" s="28" t="s">
        <v>328</v>
      </c>
      <c r="S831" s="28" t="s">
        <v>16503</v>
      </c>
      <c r="T831" s="30">
        <v>150</v>
      </c>
      <c r="U831" s="28" t="s">
        <v>16504</v>
      </c>
      <c r="V831" s="28" t="s">
        <v>138</v>
      </c>
      <c r="W831" s="28" t="s">
        <v>138</v>
      </c>
      <c r="X831" s="31">
        <v>1993</v>
      </c>
      <c r="Y831" s="28" t="s">
        <v>138</v>
      </c>
      <c r="Z831" s="28" t="s">
        <v>138</v>
      </c>
      <c r="AA831" s="28" t="s">
        <v>138</v>
      </c>
      <c r="AB831" s="32">
        <v>50</v>
      </c>
      <c r="AC831" s="32" t="s">
        <v>138</v>
      </c>
      <c r="AD831" s="32" t="s">
        <v>138</v>
      </c>
      <c r="AE831" s="32" t="s">
        <v>138</v>
      </c>
      <c r="AF831" s="32" t="s">
        <v>138</v>
      </c>
      <c r="AG831" s="28" t="s">
        <v>514</v>
      </c>
      <c r="AH831" s="32" t="s">
        <v>138</v>
      </c>
      <c r="AI831" s="32" t="s">
        <v>138</v>
      </c>
      <c r="AJ831" s="32" t="s">
        <v>138</v>
      </c>
      <c r="AK831" s="28" t="s">
        <v>16505</v>
      </c>
      <c r="AL831" s="28" t="s">
        <v>16506</v>
      </c>
      <c r="AM831" s="28" t="s">
        <v>11604</v>
      </c>
      <c r="AN831" s="28" t="s">
        <v>16507</v>
      </c>
      <c r="AO831" s="28" t="s">
        <v>16508</v>
      </c>
      <c r="AP831" s="28" t="s">
        <v>16509</v>
      </c>
      <c r="AQ831" s="28" t="s">
        <v>16510</v>
      </c>
      <c r="AR831" s="28" t="s">
        <v>138</v>
      </c>
      <c r="AS831" s="28" t="s">
        <v>16511</v>
      </c>
      <c r="AT831" s="28" t="s">
        <v>760</v>
      </c>
      <c r="AU831" s="28" t="s">
        <v>16512</v>
      </c>
      <c r="AV831" s="28" t="s">
        <v>162</v>
      </c>
      <c r="AW831" s="28" t="s">
        <v>16513</v>
      </c>
      <c r="AX831" s="28" t="s">
        <v>16514</v>
      </c>
      <c r="AY831" s="28" t="s">
        <v>16515</v>
      </c>
      <c r="AZ831" s="28" t="s">
        <v>164</v>
      </c>
      <c r="BA831" s="28" t="s">
        <v>165</v>
      </c>
      <c r="BB831" s="28" t="s">
        <v>16516</v>
      </c>
      <c r="BC831" s="28" t="s">
        <v>2783</v>
      </c>
      <c r="BD831" s="33">
        <v>1</v>
      </c>
      <c r="BE831" s="28" t="s">
        <v>138</v>
      </c>
      <c r="BF831" s="28" t="s">
        <v>16517</v>
      </c>
      <c r="BG831" s="28" t="s">
        <v>138</v>
      </c>
      <c r="BH831" s="28" t="s">
        <v>2784</v>
      </c>
      <c r="BI831" s="28" t="s">
        <v>16518</v>
      </c>
      <c r="BJ831" s="28" t="s">
        <v>138</v>
      </c>
      <c r="BK831" s="28" t="s">
        <v>138</v>
      </c>
      <c r="BL831" s="28" t="s">
        <v>16519</v>
      </c>
      <c r="BM831" s="34">
        <v>40855</v>
      </c>
      <c r="BN831" s="29">
        <v>10</v>
      </c>
      <c r="BO831" s="28" t="s">
        <v>172</v>
      </c>
      <c r="BP831" s="29">
        <v>10</v>
      </c>
      <c r="BQ831" s="28" t="s">
        <v>138</v>
      </c>
      <c r="BR831" s="28" t="s">
        <v>349</v>
      </c>
      <c r="BS831" s="28" t="s">
        <v>138</v>
      </c>
      <c r="BT831" s="28" t="s">
        <v>138</v>
      </c>
      <c r="BU831" s="28" t="s">
        <v>351</v>
      </c>
      <c r="BV831" s="28" t="s">
        <v>138</v>
      </c>
      <c r="BW831" s="28" t="s">
        <v>138</v>
      </c>
      <c r="BX831" s="28" t="s">
        <v>138</v>
      </c>
      <c r="BY831" s="28" t="s">
        <v>175</v>
      </c>
      <c r="BZ831" s="34">
        <v>42656</v>
      </c>
      <c r="CA831" s="29" t="s">
        <v>138</v>
      </c>
      <c r="CB831" s="28" t="s">
        <v>138</v>
      </c>
      <c r="CC831" s="29" t="s">
        <v>138</v>
      </c>
      <c r="CD831" s="28" t="s">
        <v>138</v>
      </c>
      <c r="CE831" s="28" t="s">
        <v>349</v>
      </c>
      <c r="CF831" s="28" t="s">
        <v>138</v>
      </c>
      <c r="CG831" s="28" t="s">
        <v>138</v>
      </c>
      <c r="CH831" s="28" t="s">
        <v>174</v>
      </c>
      <c r="CI831" s="28" t="s">
        <v>138</v>
      </c>
      <c r="CJ831" s="28" t="s">
        <v>138</v>
      </c>
      <c r="CK831" s="28" t="s">
        <v>138</v>
      </c>
      <c r="CL831" s="28" t="s">
        <v>175</v>
      </c>
      <c r="CM831" s="34">
        <v>41338</v>
      </c>
      <c r="CN831" s="29">
        <v>13.8</v>
      </c>
      <c r="CO831" s="35">
        <v>-0.76</v>
      </c>
      <c r="CP831" s="36">
        <v>13</v>
      </c>
      <c r="CQ831" s="35">
        <v>-0.01</v>
      </c>
      <c r="CR831" s="35">
        <v>-0.68</v>
      </c>
      <c r="CS831" s="35">
        <v>-1.51</v>
      </c>
      <c r="CT831" s="36">
        <v>11</v>
      </c>
      <c r="CU831" s="35">
        <v>0</v>
      </c>
      <c r="CV831" s="36">
        <v>22</v>
      </c>
      <c r="CW831" s="35">
        <v>-0.7</v>
      </c>
      <c r="CX831" s="36">
        <v>11</v>
      </c>
      <c r="CY831" s="35">
        <v>-2.3199999999999998</v>
      </c>
      <c r="CZ831" s="36">
        <v>9</v>
      </c>
      <c r="DA831" s="35">
        <v>0</v>
      </c>
      <c r="DB831" s="36">
        <v>22</v>
      </c>
      <c r="DC831" s="37">
        <v>132.57</v>
      </c>
      <c r="DD831" s="36">
        <v>99</v>
      </c>
      <c r="DE831" s="37">
        <v>-9.11</v>
      </c>
      <c r="DF831" s="35">
        <v>-6.43</v>
      </c>
      <c r="DG831" s="37">
        <v>194.82</v>
      </c>
      <c r="DH831" s="36">
        <v>100</v>
      </c>
      <c r="DI831" s="37">
        <v>70.31</v>
      </c>
      <c r="DJ831" s="36">
        <v>96</v>
      </c>
      <c r="DK831" s="37">
        <v>290.08999999999997</v>
      </c>
      <c r="DL831" s="36">
        <v>99</v>
      </c>
      <c r="DM831" s="37">
        <v>99.55</v>
      </c>
      <c r="DN831" s="36">
        <v>99</v>
      </c>
      <c r="DO831" s="37">
        <v>70.31</v>
      </c>
      <c r="DP831" s="36">
        <v>97</v>
      </c>
      <c r="DQ831" s="36">
        <v>99499</v>
      </c>
      <c r="DR831" s="38">
        <v>7</v>
      </c>
      <c r="DS831" s="35">
        <v>0.01</v>
      </c>
      <c r="DT831" s="36">
        <v>2887</v>
      </c>
      <c r="DU831" s="38">
        <v>-2</v>
      </c>
      <c r="DV831" s="35">
        <v>-7.0000000000000007E-2</v>
      </c>
      <c r="DW831" s="36">
        <v>25168</v>
      </c>
      <c r="DX831" s="39">
        <v>7</v>
      </c>
      <c r="DY831" s="35">
        <v>0.03</v>
      </c>
      <c r="DZ831" s="28" t="s">
        <v>178</v>
      </c>
      <c r="EA831" s="34">
        <v>43351</v>
      </c>
      <c r="EB831" s="29">
        <v>10</v>
      </c>
      <c r="EC831" s="34">
        <v>40855</v>
      </c>
      <c r="ED831" s="28" t="s">
        <v>349</v>
      </c>
      <c r="EE831" s="40" t="str">
        <f>HYPERLINK("https://my.pitchbook.com?c=54014-68", "View company online")</f>
        <v>View company online</v>
      </c>
    </row>
    <row r="832" spans="1:135">
      <c r="A832" s="15" t="s">
        <v>16520</v>
      </c>
      <c r="B832" s="15" t="s">
        <v>16521</v>
      </c>
      <c r="C832" s="15" t="s">
        <v>138</v>
      </c>
      <c r="D832" s="15" t="s">
        <v>16522</v>
      </c>
      <c r="E832" s="15" t="s">
        <v>16523</v>
      </c>
      <c r="F832" s="15" t="s">
        <v>16520</v>
      </c>
      <c r="G832" s="15" t="s">
        <v>16524</v>
      </c>
      <c r="H832" s="15" t="s">
        <v>141</v>
      </c>
      <c r="I832" s="15" t="s">
        <v>142</v>
      </c>
      <c r="J832" s="15" t="s">
        <v>143</v>
      </c>
      <c r="K832" s="15" t="s">
        <v>16525</v>
      </c>
      <c r="L832" s="15" t="s">
        <v>16526</v>
      </c>
      <c r="M832" s="15" t="s">
        <v>16527</v>
      </c>
      <c r="N832" s="15" t="s">
        <v>1452</v>
      </c>
      <c r="O832" s="17">
        <v>168.36</v>
      </c>
      <c r="P832" s="15" t="s">
        <v>812</v>
      </c>
      <c r="Q832" s="15" t="s">
        <v>149</v>
      </c>
      <c r="R832" s="15" t="s">
        <v>13812</v>
      </c>
      <c r="S832" s="15" t="s">
        <v>16528</v>
      </c>
      <c r="T832" s="18">
        <v>70</v>
      </c>
      <c r="U832" s="15" t="s">
        <v>16529</v>
      </c>
      <c r="V832" s="15" t="s">
        <v>138</v>
      </c>
      <c r="W832" s="15" t="s">
        <v>138</v>
      </c>
      <c r="X832" s="19">
        <v>2007</v>
      </c>
      <c r="Y832" s="15" t="s">
        <v>138</v>
      </c>
      <c r="Z832" s="15" t="s">
        <v>138</v>
      </c>
      <c r="AA832" s="15" t="s">
        <v>138</v>
      </c>
      <c r="AB832" s="20">
        <v>23.61</v>
      </c>
      <c r="AC832" s="20">
        <v>11.38</v>
      </c>
      <c r="AD832" s="20">
        <v>-6.75</v>
      </c>
      <c r="AE832" s="20" t="s">
        <v>138</v>
      </c>
      <c r="AF832" s="20">
        <v>-5.25</v>
      </c>
      <c r="AG832" s="15" t="s">
        <v>419</v>
      </c>
      <c r="AH832" s="20" t="s">
        <v>138</v>
      </c>
      <c r="AI832" s="20" t="s">
        <v>138</v>
      </c>
      <c r="AJ832" s="20" t="s">
        <v>138</v>
      </c>
      <c r="AK832" s="15" t="s">
        <v>16530</v>
      </c>
      <c r="AL832" s="15" t="s">
        <v>16531</v>
      </c>
      <c r="AM832" s="15" t="s">
        <v>12471</v>
      </c>
      <c r="AN832" s="15" t="s">
        <v>16532</v>
      </c>
      <c r="AO832" s="15" t="s">
        <v>16533</v>
      </c>
      <c r="AP832" s="15" t="s">
        <v>16534</v>
      </c>
      <c r="AQ832" s="15" t="s">
        <v>16535</v>
      </c>
      <c r="AR832" s="15" t="s">
        <v>16536</v>
      </c>
      <c r="AS832" s="15" t="s">
        <v>16537</v>
      </c>
      <c r="AT832" s="15" t="s">
        <v>138</v>
      </c>
      <c r="AU832" s="15" t="s">
        <v>16538</v>
      </c>
      <c r="AV832" s="15" t="s">
        <v>573</v>
      </c>
      <c r="AW832" s="15" t="s">
        <v>16533</v>
      </c>
      <c r="AX832" s="15" t="s">
        <v>138</v>
      </c>
      <c r="AY832" s="15" t="s">
        <v>16539</v>
      </c>
      <c r="AZ832" s="15" t="s">
        <v>530</v>
      </c>
      <c r="BA832" s="15" t="s">
        <v>577</v>
      </c>
      <c r="BB832" s="15" t="s">
        <v>16540</v>
      </c>
      <c r="BC832" s="15" t="s">
        <v>16541</v>
      </c>
      <c r="BD832" s="21">
        <v>8</v>
      </c>
      <c r="BE832" s="15" t="s">
        <v>138</v>
      </c>
      <c r="BF832" s="15" t="s">
        <v>138</v>
      </c>
      <c r="BG832" s="15" t="s">
        <v>138</v>
      </c>
      <c r="BH832" s="15" t="s">
        <v>16542</v>
      </c>
      <c r="BI832" s="15" t="s">
        <v>138</v>
      </c>
      <c r="BJ832" s="15" t="s">
        <v>138</v>
      </c>
      <c r="BK832" s="15" t="s">
        <v>1791</v>
      </c>
      <c r="BL832" s="15" t="s">
        <v>16543</v>
      </c>
      <c r="BM832" s="22">
        <v>40179</v>
      </c>
      <c r="BN832" s="17" t="s">
        <v>138</v>
      </c>
      <c r="BO832" s="15" t="s">
        <v>138</v>
      </c>
      <c r="BP832" s="17" t="s">
        <v>138</v>
      </c>
      <c r="BQ832" s="15" t="s">
        <v>138</v>
      </c>
      <c r="BR832" s="15" t="s">
        <v>780</v>
      </c>
      <c r="BS832" s="15" t="s">
        <v>780</v>
      </c>
      <c r="BT832" s="15" t="s">
        <v>138</v>
      </c>
      <c r="BU832" s="15" t="s">
        <v>780</v>
      </c>
      <c r="BV832" s="15" t="s">
        <v>138</v>
      </c>
      <c r="BW832" s="15" t="s">
        <v>138</v>
      </c>
      <c r="BX832" s="15" t="s">
        <v>138</v>
      </c>
      <c r="BY832" s="15" t="s">
        <v>175</v>
      </c>
      <c r="BZ832" s="22">
        <v>43059</v>
      </c>
      <c r="CA832" s="17" t="s">
        <v>138</v>
      </c>
      <c r="CB832" s="15" t="s">
        <v>138</v>
      </c>
      <c r="CC832" s="17" t="s">
        <v>138</v>
      </c>
      <c r="CD832" s="15" t="s">
        <v>138</v>
      </c>
      <c r="CE832" s="15" t="s">
        <v>1673</v>
      </c>
      <c r="CF832" s="15" t="s">
        <v>138</v>
      </c>
      <c r="CG832" s="15" t="s">
        <v>138</v>
      </c>
      <c r="CH832" s="15" t="s">
        <v>351</v>
      </c>
      <c r="CI832" s="15" t="s">
        <v>138</v>
      </c>
      <c r="CJ832" s="15" t="s">
        <v>138</v>
      </c>
      <c r="CK832" s="15" t="s">
        <v>138</v>
      </c>
      <c r="CL832" s="15" t="s">
        <v>175</v>
      </c>
      <c r="CM832" s="22">
        <v>42629</v>
      </c>
      <c r="CN832" s="17" t="s">
        <v>138</v>
      </c>
      <c r="CO832" s="23">
        <v>-0.22</v>
      </c>
      <c r="CP832" s="24">
        <v>19</v>
      </c>
      <c r="CQ832" s="23">
        <v>0.01</v>
      </c>
      <c r="CR832" s="23">
        <v>2.54</v>
      </c>
      <c r="CS832" s="23">
        <v>-0.66</v>
      </c>
      <c r="CT832" s="24">
        <v>18</v>
      </c>
      <c r="CU832" s="23">
        <v>0.22</v>
      </c>
      <c r="CV832" s="24">
        <v>82</v>
      </c>
      <c r="CW832" s="23">
        <v>0</v>
      </c>
      <c r="CX832" s="24">
        <v>13</v>
      </c>
      <c r="CY832" s="23">
        <v>-1.32</v>
      </c>
      <c r="CZ832" s="24">
        <v>16</v>
      </c>
      <c r="DA832" s="23">
        <v>0.22</v>
      </c>
      <c r="DB832" s="24">
        <v>84</v>
      </c>
      <c r="DC832" s="25">
        <v>4.05</v>
      </c>
      <c r="DD832" s="24">
        <v>80</v>
      </c>
      <c r="DE832" s="25">
        <v>0</v>
      </c>
      <c r="DF832" s="23">
        <v>0.11</v>
      </c>
      <c r="DG832" s="25">
        <v>6.36</v>
      </c>
      <c r="DH832" s="24">
        <v>85</v>
      </c>
      <c r="DI832" s="25">
        <v>1.75</v>
      </c>
      <c r="DJ832" s="24">
        <v>60</v>
      </c>
      <c r="DK832" s="25">
        <v>0.82</v>
      </c>
      <c r="DL832" s="24">
        <v>46</v>
      </c>
      <c r="DM832" s="25">
        <v>11.9</v>
      </c>
      <c r="DN832" s="24">
        <v>90</v>
      </c>
      <c r="DO832" s="25">
        <v>1.75</v>
      </c>
      <c r="DP832" s="24">
        <v>61</v>
      </c>
      <c r="DQ832" s="24">
        <v>275</v>
      </c>
      <c r="DR832" s="26">
        <v>17</v>
      </c>
      <c r="DS832" s="23">
        <v>6.59</v>
      </c>
      <c r="DT832" s="24">
        <v>344</v>
      </c>
      <c r="DU832" s="26">
        <v>2</v>
      </c>
      <c r="DV832" s="23">
        <v>0.57999999999999996</v>
      </c>
      <c r="DW832" s="24">
        <v>624</v>
      </c>
      <c r="DX832" s="27">
        <v>1</v>
      </c>
      <c r="DY832" s="23">
        <v>0.16</v>
      </c>
      <c r="DZ832" s="15" t="s">
        <v>178</v>
      </c>
      <c r="EA832" s="22">
        <v>43622</v>
      </c>
      <c r="EB832" s="17" t="s">
        <v>138</v>
      </c>
      <c r="EC832" s="22" t="s">
        <v>138</v>
      </c>
      <c r="ED832" s="15" t="s">
        <v>138</v>
      </c>
      <c r="EE832" s="14" t="str">
        <f>HYPERLINK("https://my.pitchbook.com?c=142090-30", "View company online")</f>
        <v>View company online</v>
      </c>
    </row>
    <row r="833" spans="1:135">
      <c r="A833" s="28" t="s">
        <v>16544</v>
      </c>
      <c r="B833" s="28" t="s">
        <v>16545</v>
      </c>
      <c r="C833" s="28" t="s">
        <v>138</v>
      </c>
      <c r="D833" s="28" t="s">
        <v>138</v>
      </c>
      <c r="E833" s="28" t="s">
        <v>16546</v>
      </c>
      <c r="F833" s="28" t="s">
        <v>16544</v>
      </c>
      <c r="G833" s="28" t="s">
        <v>16547</v>
      </c>
      <c r="H833" s="28" t="s">
        <v>322</v>
      </c>
      <c r="I833" s="28" t="s">
        <v>807</v>
      </c>
      <c r="J833" s="28" t="s">
        <v>2534</v>
      </c>
      <c r="K833" s="28" t="s">
        <v>16548</v>
      </c>
      <c r="L833" s="28" t="s">
        <v>2210</v>
      </c>
      <c r="M833" s="28" t="s">
        <v>16549</v>
      </c>
      <c r="N833" s="28" t="s">
        <v>147</v>
      </c>
      <c r="O833" s="29">
        <v>45.5</v>
      </c>
      <c r="P833" s="28" t="s">
        <v>148</v>
      </c>
      <c r="Q833" s="28" t="s">
        <v>149</v>
      </c>
      <c r="R833" s="28" t="s">
        <v>244</v>
      </c>
      <c r="S833" s="28" t="s">
        <v>16550</v>
      </c>
      <c r="T833" s="30">
        <v>98</v>
      </c>
      <c r="U833" s="28" t="s">
        <v>16551</v>
      </c>
      <c r="V833" s="28" t="s">
        <v>138</v>
      </c>
      <c r="W833" s="28" t="s">
        <v>138</v>
      </c>
      <c r="X833" s="31">
        <v>2010</v>
      </c>
      <c r="Y833" s="28" t="s">
        <v>138</v>
      </c>
      <c r="Z833" s="28" t="s">
        <v>138</v>
      </c>
      <c r="AA833" s="28" t="s">
        <v>4306</v>
      </c>
      <c r="AB833" s="32" t="s">
        <v>138</v>
      </c>
      <c r="AC833" s="32" t="s">
        <v>138</v>
      </c>
      <c r="AD833" s="32" t="s">
        <v>138</v>
      </c>
      <c r="AE833" s="32" t="s">
        <v>138</v>
      </c>
      <c r="AF833" s="32" t="s">
        <v>138</v>
      </c>
      <c r="AG833" s="28" t="s">
        <v>138</v>
      </c>
      <c r="AH833" s="32" t="s">
        <v>138</v>
      </c>
      <c r="AI833" s="32" t="s">
        <v>138</v>
      </c>
      <c r="AJ833" s="32" t="s">
        <v>138</v>
      </c>
      <c r="AK833" s="28" t="s">
        <v>16552</v>
      </c>
      <c r="AL833" s="28" t="s">
        <v>16553</v>
      </c>
      <c r="AM833" s="28" t="s">
        <v>221</v>
      </c>
      <c r="AN833" s="28" t="s">
        <v>138</v>
      </c>
      <c r="AO833" s="28" t="s">
        <v>16554</v>
      </c>
      <c r="AP833" s="28" t="s">
        <v>16555</v>
      </c>
      <c r="AQ833" s="28" t="s">
        <v>16556</v>
      </c>
      <c r="AR833" s="28" t="s">
        <v>138</v>
      </c>
      <c r="AS833" s="28" t="s">
        <v>16557</v>
      </c>
      <c r="AT833" s="28" t="s">
        <v>200</v>
      </c>
      <c r="AU833" s="28" t="s">
        <v>12249</v>
      </c>
      <c r="AV833" s="28" t="s">
        <v>162</v>
      </c>
      <c r="AW833" s="28" t="s">
        <v>16554</v>
      </c>
      <c r="AX833" s="28" t="s">
        <v>138</v>
      </c>
      <c r="AY833" s="28" t="s">
        <v>16558</v>
      </c>
      <c r="AZ833" s="28" t="s">
        <v>164</v>
      </c>
      <c r="BA833" s="28" t="s">
        <v>165</v>
      </c>
      <c r="BB833" s="28" t="s">
        <v>16559</v>
      </c>
      <c r="BC833" s="28" t="s">
        <v>16560</v>
      </c>
      <c r="BD833" s="33">
        <v>4</v>
      </c>
      <c r="BE833" s="28" t="s">
        <v>138</v>
      </c>
      <c r="BF833" s="28" t="s">
        <v>138</v>
      </c>
      <c r="BG833" s="28" t="s">
        <v>138</v>
      </c>
      <c r="BH833" s="28" t="s">
        <v>16561</v>
      </c>
      <c r="BI833" s="28" t="s">
        <v>138</v>
      </c>
      <c r="BJ833" s="28" t="s">
        <v>138</v>
      </c>
      <c r="BK833" s="28" t="s">
        <v>16562</v>
      </c>
      <c r="BL833" s="28" t="s">
        <v>9932</v>
      </c>
      <c r="BM833" s="34">
        <v>40269</v>
      </c>
      <c r="BN833" s="29">
        <v>12</v>
      </c>
      <c r="BO833" s="28" t="s">
        <v>172</v>
      </c>
      <c r="BP833" s="29" t="s">
        <v>138</v>
      </c>
      <c r="BQ833" s="28" t="s">
        <v>138</v>
      </c>
      <c r="BR833" s="28" t="s">
        <v>262</v>
      </c>
      <c r="BS833" s="28" t="s">
        <v>262</v>
      </c>
      <c r="BT833" s="28" t="s">
        <v>138</v>
      </c>
      <c r="BU833" s="28" t="s">
        <v>263</v>
      </c>
      <c r="BV833" s="28" t="s">
        <v>138</v>
      </c>
      <c r="BW833" s="28" t="s">
        <v>138</v>
      </c>
      <c r="BX833" s="28" t="s">
        <v>138</v>
      </c>
      <c r="BY833" s="28" t="s">
        <v>175</v>
      </c>
      <c r="BZ833" s="34" t="s">
        <v>138</v>
      </c>
      <c r="CA833" s="29" t="s">
        <v>138</v>
      </c>
      <c r="CB833" s="28" t="s">
        <v>138</v>
      </c>
      <c r="CC833" s="29" t="s">
        <v>138</v>
      </c>
      <c r="CD833" s="28" t="s">
        <v>138</v>
      </c>
      <c r="CE833" s="28" t="s">
        <v>1326</v>
      </c>
      <c r="CF833" s="28" t="s">
        <v>138</v>
      </c>
      <c r="CG833" s="28" t="s">
        <v>138</v>
      </c>
      <c r="CH833" s="28" t="s">
        <v>1327</v>
      </c>
      <c r="CI833" s="28" t="s">
        <v>1328</v>
      </c>
      <c r="CJ833" s="28" t="s">
        <v>138</v>
      </c>
      <c r="CK833" s="28" t="s">
        <v>138</v>
      </c>
      <c r="CL833" s="28" t="s">
        <v>175</v>
      </c>
      <c r="CM833" s="34">
        <v>42004</v>
      </c>
      <c r="CN833" s="29">
        <v>5.12</v>
      </c>
      <c r="CO833" s="35">
        <v>-1.1000000000000001</v>
      </c>
      <c r="CP833" s="36">
        <v>10</v>
      </c>
      <c r="CQ833" s="35">
        <v>-0.02</v>
      </c>
      <c r="CR833" s="35">
        <v>-1.98</v>
      </c>
      <c r="CS833" s="35">
        <v>-2.15</v>
      </c>
      <c r="CT833" s="36">
        <v>8</v>
      </c>
      <c r="CU833" s="35">
        <v>-0.04</v>
      </c>
      <c r="CV833" s="36">
        <v>12</v>
      </c>
      <c r="CW833" s="35">
        <v>-2.87</v>
      </c>
      <c r="CX833" s="36">
        <v>5</v>
      </c>
      <c r="CY833" s="35">
        <v>-1.44</v>
      </c>
      <c r="CZ833" s="36">
        <v>15</v>
      </c>
      <c r="DA833" s="35">
        <v>-0.03</v>
      </c>
      <c r="DB833" s="36">
        <v>17</v>
      </c>
      <c r="DC833" s="37">
        <v>33.83</v>
      </c>
      <c r="DD833" s="36">
        <v>97</v>
      </c>
      <c r="DE833" s="37">
        <v>-1.47</v>
      </c>
      <c r="DF833" s="35">
        <v>-4.1500000000000004</v>
      </c>
      <c r="DG833" s="37">
        <v>32.39</v>
      </c>
      <c r="DH833" s="36">
        <v>97</v>
      </c>
      <c r="DI833" s="37">
        <v>35.28</v>
      </c>
      <c r="DJ833" s="36">
        <v>94</v>
      </c>
      <c r="DK833" s="37">
        <v>46.67</v>
      </c>
      <c r="DL833" s="36">
        <v>96</v>
      </c>
      <c r="DM833" s="37">
        <v>18.100000000000001</v>
      </c>
      <c r="DN833" s="36">
        <v>93</v>
      </c>
      <c r="DO833" s="37">
        <v>44.16</v>
      </c>
      <c r="DP833" s="36">
        <v>96</v>
      </c>
      <c r="DQ833" s="36">
        <v>15905</v>
      </c>
      <c r="DR833" s="38">
        <v>303</v>
      </c>
      <c r="DS833" s="35">
        <v>1.94</v>
      </c>
      <c r="DT833" s="36">
        <v>525</v>
      </c>
      <c r="DU833" s="38">
        <v>-2</v>
      </c>
      <c r="DV833" s="35">
        <v>-0.38</v>
      </c>
      <c r="DW833" s="36">
        <v>15811</v>
      </c>
      <c r="DX833" s="39">
        <v>-7</v>
      </c>
      <c r="DY833" s="35">
        <v>-0.04</v>
      </c>
      <c r="DZ833" s="28" t="s">
        <v>178</v>
      </c>
      <c r="EA833" s="34">
        <v>43351</v>
      </c>
      <c r="EB833" s="29">
        <v>98.8</v>
      </c>
      <c r="EC833" s="34">
        <v>42277</v>
      </c>
      <c r="ED833" s="28" t="s">
        <v>205</v>
      </c>
      <c r="EE833" s="40" t="str">
        <f>HYPERLINK("https://my.pitchbook.com?c=54603-55", "View company online")</f>
        <v>View company online</v>
      </c>
    </row>
    <row r="834" spans="1:135">
      <c r="A834" s="15" t="s">
        <v>16563</v>
      </c>
      <c r="B834" s="15" t="s">
        <v>16564</v>
      </c>
      <c r="C834" s="15" t="s">
        <v>16565</v>
      </c>
      <c r="D834" s="15" t="s">
        <v>138</v>
      </c>
      <c r="E834" s="15" t="s">
        <v>138</v>
      </c>
      <c r="F834" s="15" t="s">
        <v>16563</v>
      </c>
      <c r="G834" s="15" t="s">
        <v>16566</v>
      </c>
      <c r="H834" s="15" t="s">
        <v>385</v>
      </c>
      <c r="I834" s="15" t="s">
        <v>386</v>
      </c>
      <c r="J834" s="15" t="s">
        <v>16567</v>
      </c>
      <c r="K834" s="15" t="s">
        <v>16568</v>
      </c>
      <c r="L834" s="15" t="s">
        <v>16569</v>
      </c>
      <c r="M834" s="15" t="s">
        <v>16570</v>
      </c>
      <c r="N834" s="15" t="s">
        <v>147</v>
      </c>
      <c r="O834" s="17" t="s">
        <v>138</v>
      </c>
      <c r="P834" s="15" t="s">
        <v>148</v>
      </c>
      <c r="Q834" s="15" t="s">
        <v>149</v>
      </c>
      <c r="R834" s="15" t="s">
        <v>174</v>
      </c>
      <c r="S834" s="15" t="s">
        <v>16571</v>
      </c>
      <c r="T834" s="18" t="s">
        <v>138</v>
      </c>
      <c r="U834" s="15" t="s">
        <v>138</v>
      </c>
      <c r="V834" s="15" t="s">
        <v>138</v>
      </c>
      <c r="W834" s="15" t="s">
        <v>138</v>
      </c>
      <c r="X834" s="19">
        <v>2009</v>
      </c>
      <c r="Y834" s="15" t="s">
        <v>138</v>
      </c>
      <c r="Z834" s="15" t="s">
        <v>138</v>
      </c>
      <c r="AA834" s="15" t="s">
        <v>138</v>
      </c>
      <c r="AB834" s="20" t="s">
        <v>138</v>
      </c>
      <c r="AC834" s="20" t="s">
        <v>138</v>
      </c>
      <c r="AD834" s="20" t="s">
        <v>138</v>
      </c>
      <c r="AE834" s="20" t="s">
        <v>138</v>
      </c>
      <c r="AF834" s="20" t="s">
        <v>138</v>
      </c>
      <c r="AG834" s="15" t="s">
        <v>138</v>
      </c>
      <c r="AH834" s="20" t="s">
        <v>138</v>
      </c>
      <c r="AI834" s="20" t="s">
        <v>138</v>
      </c>
      <c r="AJ834" s="20" t="s">
        <v>138</v>
      </c>
      <c r="AK834" s="15" t="s">
        <v>16572</v>
      </c>
      <c r="AL834" s="15" t="s">
        <v>16573</v>
      </c>
      <c r="AM834" s="15" t="s">
        <v>16574</v>
      </c>
      <c r="AN834" s="15" t="s">
        <v>16575</v>
      </c>
      <c r="AO834" s="15" t="s">
        <v>16576</v>
      </c>
      <c r="AP834" s="15" t="s">
        <v>16577</v>
      </c>
      <c r="AQ834" s="15" t="s">
        <v>16578</v>
      </c>
      <c r="AR834" s="15" t="s">
        <v>138</v>
      </c>
      <c r="AS834" s="15" t="s">
        <v>16579</v>
      </c>
      <c r="AT834" s="15" t="s">
        <v>138</v>
      </c>
      <c r="AU834" s="15" t="s">
        <v>16580</v>
      </c>
      <c r="AV834" s="15" t="s">
        <v>1319</v>
      </c>
      <c r="AW834" s="15" t="s">
        <v>16576</v>
      </c>
      <c r="AX834" s="15" t="s">
        <v>138</v>
      </c>
      <c r="AY834" s="15" t="s">
        <v>16581</v>
      </c>
      <c r="AZ834" s="15" t="s">
        <v>530</v>
      </c>
      <c r="BA834" s="15" t="s">
        <v>531</v>
      </c>
      <c r="BB834" s="15" t="s">
        <v>16582</v>
      </c>
      <c r="BC834" s="15" t="s">
        <v>16583</v>
      </c>
      <c r="BD834" s="21">
        <v>2</v>
      </c>
      <c r="BE834" s="15" t="s">
        <v>138</v>
      </c>
      <c r="BF834" s="15" t="s">
        <v>138</v>
      </c>
      <c r="BG834" s="15" t="s">
        <v>138</v>
      </c>
      <c r="BH834" s="15" t="s">
        <v>16350</v>
      </c>
      <c r="BI834" s="15" t="s">
        <v>138</v>
      </c>
      <c r="BJ834" s="15" t="s">
        <v>138</v>
      </c>
      <c r="BK834" s="15" t="s">
        <v>138</v>
      </c>
      <c r="BL834" s="15" t="s">
        <v>138</v>
      </c>
      <c r="BM834" s="22">
        <v>43440</v>
      </c>
      <c r="BN834" s="17" t="s">
        <v>138</v>
      </c>
      <c r="BO834" s="15" t="s">
        <v>138</v>
      </c>
      <c r="BP834" s="17" t="s">
        <v>138</v>
      </c>
      <c r="BQ834" s="15" t="s">
        <v>138</v>
      </c>
      <c r="BR834" s="15" t="s">
        <v>176</v>
      </c>
      <c r="BS834" s="15" t="s">
        <v>138</v>
      </c>
      <c r="BT834" s="15" t="s">
        <v>138</v>
      </c>
      <c r="BU834" s="15" t="s">
        <v>177</v>
      </c>
      <c r="BV834" s="15" t="s">
        <v>138</v>
      </c>
      <c r="BW834" s="15" t="s">
        <v>138</v>
      </c>
      <c r="BX834" s="15" t="s">
        <v>138</v>
      </c>
      <c r="BY834" s="15" t="s">
        <v>175</v>
      </c>
      <c r="BZ834" s="22">
        <v>43502</v>
      </c>
      <c r="CA834" s="17" t="s">
        <v>138</v>
      </c>
      <c r="CB834" s="15" t="s">
        <v>138</v>
      </c>
      <c r="CC834" s="17" t="s">
        <v>138</v>
      </c>
      <c r="CD834" s="15" t="s">
        <v>138</v>
      </c>
      <c r="CE834" s="15" t="s">
        <v>173</v>
      </c>
      <c r="CF834" s="15" t="s">
        <v>138</v>
      </c>
      <c r="CG834" s="15" t="s">
        <v>138</v>
      </c>
      <c r="CH834" s="15" t="s">
        <v>174</v>
      </c>
      <c r="CI834" s="15" t="s">
        <v>138</v>
      </c>
      <c r="CJ834" s="15" t="s">
        <v>138</v>
      </c>
      <c r="CK834" s="15" t="s">
        <v>138</v>
      </c>
      <c r="CL834" s="15" t="s">
        <v>175</v>
      </c>
      <c r="CM834" s="22" t="s">
        <v>138</v>
      </c>
      <c r="CN834" s="17" t="s">
        <v>138</v>
      </c>
      <c r="CO834" s="23">
        <v>0</v>
      </c>
      <c r="CP834" s="24">
        <v>26</v>
      </c>
      <c r="CQ834" s="23" t="s">
        <v>138</v>
      </c>
      <c r="CR834" s="23" t="s">
        <v>138</v>
      </c>
      <c r="CS834" s="23">
        <v>0</v>
      </c>
      <c r="CT834" s="24">
        <v>23</v>
      </c>
      <c r="CU834" s="23">
        <v>0</v>
      </c>
      <c r="CV834" s="24">
        <v>22</v>
      </c>
      <c r="CW834" s="23" t="s">
        <v>138</v>
      </c>
      <c r="CX834" s="24" t="s">
        <v>138</v>
      </c>
      <c r="CY834" s="23">
        <v>0</v>
      </c>
      <c r="CZ834" s="24">
        <v>25</v>
      </c>
      <c r="DA834" s="23">
        <v>0</v>
      </c>
      <c r="DB834" s="24">
        <v>22</v>
      </c>
      <c r="DC834" s="25">
        <v>0.42</v>
      </c>
      <c r="DD834" s="24">
        <v>30</v>
      </c>
      <c r="DE834" s="25" t="s">
        <v>138</v>
      </c>
      <c r="DF834" s="23" t="s">
        <v>138</v>
      </c>
      <c r="DG834" s="25">
        <v>0.79</v>
      </c>
      <c r="DH834" s="24">
        <v>45</v>
      </c>
      <c r="DI834" s="25">
        <v>0.04</v>
      </c>
      <c r="DJ834" s="24">
        <v>7</v>
      </c>
      <c r="DK834" s="25" t="s">
        <v>138</v>
      </c>
      <c r="DL834" s="24" t="s">
        <v>138</v>
      </c>
      <c r="DM834" s="25">
        <v>0.79</v>
      </c>
      <c r="DN834" s="24">
        <v>45</v>
      </c>
      <c r="DO834" s="25">
        <v>0.04</v>
      </c>
      <c r="DP834" s="24">
        <v>8</v>
      </c>
      <c r="DQ834" s="24" t="s">
        <v>138</v>
      </c>
      <c r="DR834" s="26" t="s">
        <v>138</v>
      </c>
      <c r="DS834" s="23" t="s">
        <v>138</v>
      </c>
      <c r="DT834" s="24">
        <v>23</v>
      </c>
      <c r="DU834" s="26">
        <v>0</v>
      </c>
      <c r="DV834" s="23">
        <v>0</v>
      </c>
      <c r="DW834" s="24">
        <v>15</v>
      </c>
      <c r="DX834" s="27">
        <v>0</v>
      </c>
      <c r="DY834" s="23">
        <v>0</v>
      </c>
      <c r="DZ834" s="15" t="s">
        <v>178</v>
      </c>
      <c r="EA834" s="22">
        <v>43518</v>
      </c>
      <c r="EB834" s="17" t="s">
        <v>138</v>
      </c>
      <c r="EC834" s="22" t="s">
        <v>138</v>
      </c>
      <c r="ED834" s="15" t="s">
        <v>138</v>
      </c>
      <c r="EE834" s="14" t="str">
        <f>HYPERLINK("https://my.pitchbook.com?c=265237-66", "View company online")</f>
        <v>View company online</v>
      </c>
    </row>
    <row r="835" spans="1:135">
      <c r="A835" s="28" t="s">
        <v>16584</v>
      </c>
      <c r="B835" s="28" t="s">
        <v>16585</v>
      </c>
      <c r="C835" s="28" t="s">
        <v>138</v>
      </c>
      <c r="D835" s="28" t="s">
        <v>138</v>
      </c>
      <c r="E835" s="28" t="s">
        <v>16586</v>
      </c>
      <c r="F835" s="28" t="s">
        <v>16584</v>
      </c>
      <c r="G835" s="28" t="s">
        <v>16587</v>
      </c>
      <c r="H835" s="28" t="s">
        <v>322</v>
      </c>
      <c r="I835" s="28" t="s">
        <v>323</v>
      </c>
      <c r="J835" s="28" t="s">
        <v>461</v>
      </c>
      <c r="K835" s="28" t="s">
        <v>16588</v>
      </c>
      <c r="L835" s="28" t="s">
        <v>586</v>
      </c>
      <c r="M835" s="28" t="s">
        <v>16589</v>
      </c>
      <c r="N835" s="28" t="s">
        <v>147</v>
      </c>
      <c r="O835" s="29">
        <v>5.93</v>
      </c>
      <c r="P835" s="28" t="s">
        <v>148</v>
      </c>
      <c r="Q835" s="28" t="s">
        <v>149</v>
      </c>
      <c r="R835" s="28" t="s">
        <v>174</v>
      </c>
      <c r="S835" s="28" t="s">
        <v>16590</v>
      </c>
      <c r="T835" s="30">
        <v>6</v>
      </c>
      <c r="U835" s="28" t="s">
        <v>16591</v>
      </c>
      <c r="V835" s="28" t="s">
        <v>138</v>
      </c>
      <c r="W835" s="28" t="s">
        <v>138</v>
      </c>
      <c r="X835" s="31">
        <v>2009</v>
      </c>
      <c r="Y835" s="28" t="s">
        <v>138</v>
      </c>
      <c r="Z835" s="28" t="s">
        <v>138</v>
      </c>
      <c r="AA835" s="28" t="s">
        <v>138</v>
      </c>
      <c r="AB835" s="32" t="s">
        <v>138</v>
      </c>
      <c r="AC835" s="32" t="s">
        <v>138</v>
      </c>
      <c r="AD835" s="32" t="s">
        <v>138</v>
      </c>
      <c r="AE835" s="32" t="s">
        <v>138</v>
      </c>
      <c r="AF835" s="32" t="s">
        <v>138</v>
      </c>
      <c r="AG835" s="28" t="s">
        <v>138</v>
      </c>
      <c r="AH835" s="32" t="s">
        <v>138</v>
      </c>
      <c r="AI835" s="32" t="s">
        <v>138</v>
      </c>
      <c r="AJ835" s="32" t="s">
        <v>138</v>
      </c>
      <c r="AK835" s="28" t="s">
        <v>16592</v>
      </c>
      <c r="AL835" s="28" t="s">
        <v>16593</v>
      </c>
      <c r="AM835" s="28" t="s">
        <v>304</v>
      </c>
      <c r="AN835" s="28" t="s">
        <v>16594</v>
      </c>
      <c r="AO835" s="28" t="s">
        <v>16595</v>
      </c>
      <c r="AP835" s="28" t="s">
        <v>4463</v>
      </c>
      <c r="AQ835" s="28" t="s">
        <v>4464</v>
      </c>
      <c r="AR835" s="28" t="s">
        <v>16596</v>
      </c>
      <c r="AS835" s="28" t="s">
        <v>4466</v>
      </c>
      <c r="AT835" s="28" t="s">
        <v>426</v>
      </c>
      <c r="AU835" s="28" t="s">
        <v>4467</v>
      </c>
      <c r="AV835" s="28" t="s">
        <v>162</v>
      </c>
      <c r="AW835" s="28" t="s">
        <v>16595</v>
      </c>
      <c r="AX835" s="28" t="s">
        <v>138</v>
      </c>
      <c r="AY835" s="28" t="s">
        <v>16597</v>
      </c>
      <c r="AZ835" s="28" t="s">
        <v>164</v>
      </c>
      <c r="BA835" s="28" t="s">
        <v>165</v>
      </c>
      <c r="BB835" s="28" t="s">
        <v>16598</v>
      </c>
      <c r="BC835" s="28" t="s">
        <v>16599</v>
      </c>
      <c r="BD835" s="33">
        <v>11</v>
      </c>
      <c r="BE835" s="28" t="s">
        <v>138</v>
      </c>
      <c r="BF835" s="28" t="s">
        <v>138</v>
      </c>
      <c r="BG835" s="28" t="s">
        <v>138</v>
      </c>
      <c r="BH835" s="28" t="s">
        <v>16600</v>
      </c>
      <c r="BI835" s="28" t="s">
        <v>138</v>
      </c>
      <c r="BJ835" s="28" t="s">
        <v>138</v>
      </c>
      <c r="BK835" s="28" t="s">
        <v>16601</v>
      </c>
      <c r="BL835" s="28" t="s">
        <v>16602</v>
      </c>
      <c r="BM835" s="34" t="s">
        <v>138</v>
      </c>
      <c r="BN835" s="29" t="s">
        <v>138</v>
      </c>
      <c r="BO835" s="28" t="s">
        <v>138</v>
      </c>
      <c r="BP835" s="29" t="s">
        <v>138</v>
      </c>
      <c r="BQ835" s="28" t="s">
        <v>138</v>
      </c>
      <c r="BR835" s="28" t="s">
        <v>316</v>
      </c>
      <c r="BS835" s="28" t="s">
        <v>138</v>
      </c>
      <c r="BT835" s="28" t="s">
        <v>138</v>
      </c>
      <c r="BU835" s="28" t="s">
        <v>177</v>
      </c>
      <c r="BV835" s="28" t="s">
        <v>138</v>
      </c>
      <c r="BW835" s="28" t="s">
        <v>138</v>
      </c>
      <c r="BX835" s="28" t="s">
        <v>138</v>
      </c>
      <c r="BY835" s="28" t="s">
        <v>175</v>
      </c>
      <c r="BZ835" s="34">
        <v>43327</v>
      </c>
      <c r="CA835" s="29" t="s">
        <v>138</v>
      </c>
      <c r="CB835" s="28" t="s">
        <v>138</v>
      </c>
      <c r="CC835" s="29" t="s">
        <v>138</v>
      </c>
      <c r="CD835" s="28" t="s">
        <v>138</v>
      </c>
      <c r="CE835" s="28" t="s">
        <v>316</v>
      </c>
      <c r="CF835" s="28" t="s">
        <v>138</v>
      </c>
      <c r="CG835" s="28" t="s">
        <v>138</v>
      </c>
      <c r="CH835" s="28" t="s">
        <v>177</v>
      </c>
      <c r="CI835" s="28" t="s">
        <v>138</v>
      </c>
      <c r="CJ835" s="28" t="s">
        <v>138</v>
      </c>
      <c r="CK835" s="28" t="s">
        <v>138</v>
      </c>
      <c r="CL835" s="28" t="s">
        <v>175</v>
      </c>
      <c r="CM835" s="34" t="s">
        <v>138</v>
      </c>
      <c r="CN835" s="29" t="s">
        <v>138</v>
      </c>
      <c r="CO835" s="35">
        <v>0.01</v>
      </c>
      <c r="CP835" s="36">
        <v>84</v>
      </c>
      <c r="CQ835" s="35">
        <v>-0.06</v>
      </c>
      <c r="CR835" s="35">
        <v>-89.9</v>
      </c>
      <c r="CS835" s="35">
        <v>-0.01</v>
      </c>
      <c r="CT835" s="36">
        <v>23</v>
      </c>
      <c r="CU835" s="35">
        <v>0.02</v>
      </c>
      <c r="CV835" s="36">
        <v>51</v>
      </c>
      <c r="CW835" s="35">
        <v>1.32</v>
      </c>
      <c r="CX835" s="36">
        <v>86</v>
      </c>
      <c r="CY835" s="35">
        <v>-1.34</v>
      </c>
      <c r="CZ835" s="36">
        <v>16</v>
      </c>
      <c r="DA835" s="35">
        <v>0.04</v>
      </c>
      <c r="DB835" s="36">
        <v>62</v>
      </c>
      <c r="DC835" s="37">
        <v>4.83</v>
      </c>
      <c r="DD835" s="36">
        <v>82</v>
      </c>
      <c r="DE835" s="37">
        <v>-0.11</v>
      </c>
      <c r="DF835" s="35">
        <v>-2.29</v>
      </c>
      <c r="DG835" s="37">
        <v>6.11</v>
      </c>
      <c r="DH835" s="36">
        <v>85</v>
      </c>
      <c r="DI835" s="37">
        <v>3.55</v>
      </c>
      <c r="DJ835" s="36">
        <v>72</v>
      </c>
      <c r="DK835" s="37">
        <v>3.63</v>
      </c>
      <c r="DL835" s="36">
        <v>75</v>
      </c>
      <c r="DM835" s="37">
        <v>8.59</v>
      </c>
      <c r="DN835" s="36">
        <v>87</v>
      </c>
      <c r="DO835" s="37">
        <v>7.06</v>
      </c>
      <c r="DP835" s="36">
        <v>84</v>
      </c>
      <c r="DQ835" s="36">
        <v>1210</v>
      </c>
      <c r="DR835" s="38">
        <v>102</v>
      </c>
      <c r="DS835" s="35">
        <v>9.2100000000000009</v>
      </c>
      <c r="DT835" s="36">
        <v>249</v>
      </c>
      <c r="DU835" s="38">
        <v>0</v>
      </c>
      <c r="DV835" s="35">
        <v>0</v>
      </c>
      <c r="DW835" s="36">
        <v>2524</v>
      </c>
      <c r="DX835" s="39">
        <v>2</v>
      </c>
      <c r="DY835" s="35">
        <v>0.08</v>
      </c>
      <c r="DZ835" s="28" t="s">
        <v>178</v>
      </c>
      <c r="EA835" s="34">
        <v>43351</v>
      </c>
      <c r="EB835" s="29">
        <v>30</v>
      </c>
      <c r="EC835" s="34">
        <v>42542</v>
      </c>
      <c r="ED835" s="28" t="s">
        <v>205</v>
      </c>
      <c r="EE835" s="40" t="str">
        <f>HYPERLINK("https://my.pitchbook.com?c=96481-90", "View company online")</f>
        <v>View company online</v>
      </c>
    </row>
    <row r="836" spans="1:135">
      <c r="A836" s="15" t="s">
        <v>16603</v>
      </c>
      <c r="B836" s="15" t="s">
        <v>16604</v>
      </c>
      <c r="C836" s="15" t="s">
        <v>16605</v>
      </c>
      <c r="D836" s="15" t="s">
        <v>138</v>
      </c>
      <c r="E836" s="15" t="s">
        <v>16606</v>
      </c>
      <c r="F836" s="15" t="s">
        <v>16603</v>
      </c>
      <c r="G836" s="15" t="s">
        <v>16607</v>
      </c>
      <c r="H836" s="15" t="s">
        <v>322</v>
      </c>
      <c r="I836" s="15" t="s">
        <v>323</v>
      </c>
      <c r="J836" s="15" t="s">
        <v>413</v>
      </c>
      <c r="K836" s="15" t="s">
        <v>16608</v>
      </c>
      <c r="L836" s="15" t="s">
        <v>16609</v>
      </c>
      <c r="M836" s="15" t="s">
        <v>16610</v>
      </c>
      <c r="N836" s="15" t="s">
        <v>147</v>
      </c>
      <c r="O836" s="17">
        <v>128.75</v>
      </c>
      <c r="P836" s="15" t="s">
        <v>148</v>
      </c>
      <c r="Q836" s="15" t="s">
        <v>149</v>
      </c>
      <c r="R836" s="15" t="s">
        <v>174</v>
      </c>
      <c r="S836" s="15" t="s">
        <v>16611</v>
      </c>
      <c r="T836" s="18">
        <v>1000</v>
      </c>
      <c r="U836" s="15" t="s">
        <v>16612</v>
      </c>
      <c r="V836" s="15" t="s">
        <v>138</v>
      </c>
      <c r="W836" s="15" t="s">
        <v>138</v>
      </c>
      <c r="X836" s="19">
        <v>2006</v>
      </c>
      <c r="Y836" s="15" t="s">
        <v>138</v>
      </c>
      <c r="Z836" s="15" t="s">
        <v>138</v>
      </c>
      <c r="AA836" s="15" t="s">
        <v>1163</v>
      </c>
      <c r="AB836" s="20" t="s">
        <v>138</v>
      </c>
      <c r="AC836" s="20" t="s">
        <v>138</v>
      </c>
      <c r="AD836" s="20" t="s">
        <v>138</v>
      </c>
      <c r="AE836" s="20" t="s">
        <v>138</v>
      </c>
      <c r="AF836" s="20" t="s">
        <v>138</v>
      </c>
      <c r="AG836" s="15" t="s">
        <v>138</v>
      </c>
      <c r="AH836" s="20" t="s">
        <v>138</v>
      </c>
      <c r="AI836" s="20" t="s">
        <v>138</v>
      </c>
      <c r="AJ836" s="20" t="s">
        <v>138</v>
      </c>
      <c r="AK836" s="15" t="s">
        <v>16613</v>
      </c>
      <c r="AL836" s="15" t="s">
        <v>16614</v>
      </c>
      <c r="AM836" s="15" t="s">
        <v>16615</v>
      </c>
      <c r="AN836" s="15" t="s">
        <v>16616</v>
      </c>
      <c r="AO836" s="15" t="s">
        <v>16617</v>
      </c>
      <c r="AP836" s="15" t="s">
        <v>423</v>
      </c>
      <c r="AQ836" s="15" t="s">
        <v>16618</v>
      </c>
      <c r="AR836" s="15" t="s">
        <v>2245</v>
      </c>
      <c r="AS836" s="15" t="s">
        <v>426</v>
      </c>
      <c r="AT836" s="15" t="s">
        <v>426</v>
      </c>
      <c r="AU836" s="15" t="s">
        <v>8757</v>
      </c>
      <c r="AV836" s="15" t="s">
        <v>162</v>
      </c>
      <c r="AW836" s="15" t="s">
        <v>16617</v>
      </c>
      <c r="AX836" s="15" t="s">
        <v>16619</v>
      </c>
      <c r="AY836" s="15" t="s">
        <v>138</v>
      </c>
      <c r="AZ836" s="15" t="s">
        <v>164</v>
      </c>
      <c r="BA836" s="15" t="s">
        <v>165</v>
      </c>
      <c r="BB836" s="15" t="s">
        <v>16620</v>
      </c>
      <c r="BC836" s="15" t="s">
        <v>16621</v>
      </c>
      <c r="BD836" s="21">
        <v>24</v>
      </c>
      <c r="BE836" s="15" t="s">
        <v>138</v>
      </c>
      <c r="BF836" s="15" t="s">
        <v>138</v>
      </c>
      <c r="BG836" s="15" t="s">
        <v>138</v>
      </c>
      <c r="BH836" s="15" t="s">
        <v>16622</v>
      </c>
      <c r="BI836" s="15" t="s">
        <v>138</v>
      </c>
      <c r="BJ836" s="15" t="s">
        <v>138</v>
      </c>
      <c r="BK836" s="15" t="s">
        <v>138</v>
      </c>
      <c r="BL836" s="15" t="s">
        <v>138</v>
      </c>
      <c r="BM836" s="22">
        <v>40717</v>
      </c>
      <c r="BN836" s="17" t="s">
        <v>138</v>
      </c>
      <c r="BO836" s="15" t="s">
        <v>138</v>
      </c>
      <c r="BP836" s="17" t="s">
        <v>138</v>
      </c>
      <c r="BQ836" s="15" t="s">
        <v>138</v>
      </c>
      <c r="BR836" s="15" t="s">
        <v>234</v>
      </c>
      <c r="BS836" s="15" t="s">
        <v>234</v>
      </c>
      <c r="BT836" s="15" t="s">
        <v>138</v>
      </c>
      <c r="BU836" s="15" t="s">
        <v>174</v>
      </c>
      <c r="BV836" s="15" t="s">
        <v>138</v>
      </c>
      <c r="BW836" s="15" t="s">
        <v>138</v>
      </c>
      <c r="BX836" s="15" t="s">
        <v>138</v>
      </c>
      <c r="BY836" s="15" t="s">
        <v>175</v>
      </c>
      <c r="BZ836" s="22">
        <v>43591</v>
      </c>
      <c r="CA836" s="17">
        <v>58</v>
      </c>
      <c r="CB836" s="15" t="s">
        <v>172</v>
      </c>
      <c r="CC836" s="17">
        <v>339.5</v>
      </c>
      <c r="CD836" s="15" t="s">
        <v>172</v>
      </c>
      <c r="CE836" s="15" t="s">
        <v>173</v>
      </c>
      <c r="CF836" s="15" t="s">
        <v>482</v>
      </c>
      <c r="CG836" s="15" t="s">
        <v>138</v>
      </c>
      <c r="CH836" s="15" t="s">
        <v>174</v>
      </c>
      <c r="CI836" s="15" t="s">
        <v>177</v>
      </c>
      <c r="CJ836" s="15" t="s">
        <v>138</v>
      </c>
      <c r="CK836" s="15" t="s">
        <v>138</v>
      </c>
      <c r="CL836" s="15" t="s">
        <v>175</v>
      </c>
      <c r="CM836" s="22" t="s">
        <v>138</v>
      </c>
      <c r="CN836" s="17" t="s">
        <v>138</v>
      </c>
      <c r="CO836" s="23">
        <v>2.38</v>
      </c>
      <c r="CP836" s="24">
        <v>99</v>
      </c>
      <c r="CQ836" s="23">
        <v>0</v>
      </c>
      <c r="CR836" s="23">
        <v>0.15</v>
      </c>
      <c r="CS836" s="23">
        <v>3.56</v>
      </c>
      <c r="CT836" s="24">
        <v>99</v>
      </c>
      <c r="CU836" s="23">
        <v>1.2</v>
      </c>
      <c r="CV836" s="24">
        <v>99</v>
      </c>
      <c r="CW836" s="23">
        <v>8.86</v>
      </c>
      <c r="CX836" s="24">
        <v>99</v>
      </c>
      <c r="CY836" s="23">
        <v>-1.75</v>
      </c>
      <c r="CZ836" s="24">
        <v>13</v>
      </c>
      <c r="DA836" s="23">
        <v>1.2</v>
      </c>
      <c r="DB836" s="24">
        <v>99</v>
      </c>
      <c r="DC836" s="25">
        <v>129.91</v>
      </c>
      <c r="DD836" s="24">
        <v>99</v>
      </c>
      <c r="DE836" s="25">
        <v>-148.66</v>
      </c>
      <c r="DF836" s="23">
        <v>-53.37</v>
      </c>
      <c r="DG836" s="25">
        <v>254.98</v>
      </c>
      <c r="DH836" s="24">
        <v>100</v>
      </c>
      <c r="DI836" s="25">
        <v>4.8499999999999996</v>
      </c>
      <c r="DJ836" s="24">
        <v>77</v>
      </c>
      <c r="DK836" s="25">
        <v>446.65</v>
      </c>
      <c r="DL836" s="24">
        <v>100</v>
      </c>
      <c r="DM836" s="25">
        <v>63.31</v>
      </c>
      <c r="DN836" s="24">
        <v>99</v>
      </c>
      <c r="DO836" s="25">
        <v>4.8499999999999996</v>
      </c>
      <c r="DP836" s="24">
        <v>79</v>
      </c>
      <c r="DQ836" s="24">
        <v>149714</v>
      </c>
      <c r="DR836" s="26">
        <v>10456</v>
      </c>
      <c r="DS836" s="23">
        <v>7.51</v>
      </c>
      <c r="DT836" s="24">
        <v>1833</v>
      </c>
      <c r="DU836" s="26">
        <v>14</v>
      </c>
      <c r="DV836" s="23">
        <v>0.77</v>
      </c>
      <c r="DW836" s="24">
        <v>1728</v>
      </c>
      <c r="DX836" s="27">
        <v>18</v>
      </c>
      <c r="DY836" s="23">
        <v>1.05</v>
      </c>
      <c r="DZ836" s="15" t="s">
        <v>178</v>
      </c>
      <c r="EA836" s="22">
        <v>43592</v>
      </c>
      <c r="EB836" s="17">
        <v>339.5</v>
      </c>
      <c r="EC836" s="22">
        <v>43591</v>
      </c>
      <c r="ED836" s="15" t="s">
        <v>173</v>
      </c>
      <c r="EE836" s="14" t="str">
        <f>HYPERLINK("https://my.pitchbook.com?c=52323-40", "View company online")</f>
        <v>View company online</v>
      </c>
    </row>
    <row r="837" spans="1:135">
      <c r="A837" s="28" t="s">
        <v>16623</v>
      </c>
      <c r="B837" s="28" t="s">
        <v>16624</v>
      </c>
      <c r="C837" s="28" t="s">
        <v>138</v>
      </c>
      <c r="D837" s="28" t="s">
        <v>138</v>
      </c>
      <c r="E837" s="28" t="s">
        <v>16625</v>
      </c>
      <c r="F837" s="28" t="s">
        <v>16623</v>
      </c>
      <c r="G837" s="28" t="s">
        <v>16626</v>
      </c>
      <c r="H837" s="28" t="s">
        <v>238</v>
      </c>
      <c r="I837" s="28" t="s">
        <v>749</v>
      </c>
      <c r="J837" s="28" t="s">
        <v>750</v>
      </c>
      <c r="K837" s="28" t="s">
        <v>5196</v>
      </c>
      <c r="L837" s="28" t="s">
        <v>16627</v>
      </c>
      <c r="M837" s="28" t="s">
        <v>16628</v>
      </c>
      <c r="N837" s="28" t="s">
        <v>147</v>
      </c>
      <c r="O837" s="29">
        <v>13</v>
      </c>
      <c r="P837" s="28" t="s">
        <v>148</v>
      </c>
      <c r="Q837" s="28" t="s">
        <v>149</v>
      </c>
      <c r="R837" s="28" t="s">
        <v>174</v>
      </c>
      <c r="S837" s="28" t="s">
        <v>16629</v>
      </c>
      <c r="T837" s="30">
        <v>55</v>
      </c>
      <c r="U837" s="28" t="s">
        <v>16630</v>
      </c>
      <c r="V837" s="28" t="s">
        <v>138</v>
      </c>
      <c r="W837" s="28" t="s">
        <v>138</v>
      </c>
      <c r="X837" s="31">
        <v>2015</v>
      </c>
      <c r="Y837" s="28" t="s">
        <v>138</v>
      </c>
      <c r="Z837" s="28" t="s">
        <v>138</v>
      </c>
      <c r="AA837" s="28" t="s">
        <v>138</v>
      </c>
      <c r="AB837" s="32" t="s">
        <v>138</v>
      </c>
      <c r="AC837" s="32" t="s">
        <v>138</v>
      </c>
      <c r="AD837" s="32" t="s">
        <v>138</v>
      </c>
      <c r="AE837" s="32" t="s">
        <v>138</v>
      </c>
      <c r="AF837" s="32" t="s">
        <v>138</v>
      </c>
      <c r="AG837" s="28" t="s">
        <v>138</v>
      </c>
      <c r="AH837" s="32" t="s">
        <v>138</v>
      </c>
      <c r="AI837" s="32" t="s">
        <v>138</v>
      </c>
      <c r="AJ837" s="32" t="s">
        <v>138</v>
      </c>
      <c r="AK837" s="28" t="s">
        <v>16631</v>
      </c>
      <c r="AL837" s="28" t="s">
        <v>16632</v>
      </c>
      <c r="AM837" s="28" t="s">
        <v>938</v>
      </c>
      <c r="AN837" s="28" t="s">
        <v>16633</v>
      </c>
      <c r="AO837" s="28" t="s">
        <v>16634</v>
      </c>
      <c r="AP837" s="28" t="s">
        <v>3328</v>
      </c>
      <c r="AQ837" s="28" t="s">
        <v>16635</v>
      </c>
      <c r="AR837" s="28" t="s">
        <v>138</v>
      </c>
      <c r="AS837" s="28" t="s">
        <v>3330</v>
      </c>
      <c r="AT837" s="28" t="s">
        <v>200</v>
      </c>
      <c r="AU837" s="28" t="s">
        <v>11841</v>
      </c>
      <c r="AV837" s="28" t="s">
        <v>162</v>
      </c>
      <c r="AW837" s="28" t="s">
        <v>16636</v>
      </c>
      <c r="AX837" s="28" t="s">
        <v>138</v>
      </c>
      <c r="AY837" s="28" t="s">
        <v>16637</v>
      </c>
      <c r="AZ837" s="28" t="s">
        <v>164</v>
      </c>
      <c r="BA837" s="28" t="s">
        <v>165</v>
      </c>
      <c r="BB837" s="28" t="s">
        <v>16638</v>
      </c>
      <c r="BC837" s="28" t="s">
        <v>16639</v>
      </c>
      <c r="BD837" s="33">
        <v>7</v>
      </c>
      <c r="BE837" s="28" t="s">
        <v>138</v>
      </c>
      <c r="BF837" s="28" t="s">
        <v>138</v>
      </c>
      <c r="BG837" s="28" t="s">
        <v>138</v>
      </c>
      <c r="BH837" s="28" t="s">
        <v>16640</v>
      </c>
      <c r="BI837" s="28" t="s">
        <v>138</v>
      </c>
      <c r="BJ837" s="28" t="s">
        <v>138</v>
      </c>
      <c r="BK837" s="28" t="s">
        <v>1275</v>
      </c>
      <c r="BL837" s="28" t="s">
        <v>1275</v>
      </c>
      <c r="BM837" s="34">
        <v>42583</v>
      </c>
      <c r="BN837" s="29">
        <v>3</v>
      </c>
      <c r="BO837" s="28" t="s">
        <v>172</v>
      </c>
      <c r="BP837" s="29">
        <v>9</v>
      </c>
      <c r="BQ837" s="28" t="s">
        <v>172</v>
      </c>
      <c r="BR837" s="28" t="s">
        <v>234</v>
      </c>
      <c r="BS837" s="28" t="s">
        <v>234</v>
      </c>
      <c r="BT837" s="28" t="s">
        <v>138</v>
      </c>
      <c r="BU837" s="28" t="s">
        <v>174</v>
      </c>
      <c r="BV837" s="28" t="s">
        <v>138</v>
      </c>
      <c r="BW837" s="28" t="s">
        <v>138</v>
      </c>
      <c r="BX837" s="28" t="s">
        <v>138</v>
      </c>
      <c r="BY837" s="28" t="s">
        <v>175</v>
      </c>
      <c r="BZ837" s="34">
        <v>43230</v>
      </c>
      <c r="CA837" s="29">
        <v>10</v>
      </c>
      <c r="CB837" s="28" t="s">
        <v>172</v>
      </c>
      <c r="CC837" s="29">
        <v>40</v>
      </c>
      <c r="CD837" s="28" t="s">
        <v>172</v>
      </c>
      <c r="CE837" s="28" t="s">
        <v>205</v>
      </c>
      <c r="CF837" s="28" t="s">
        <v>206</v>
      </c>
      <c r="CG837" s="28" t="s">
        <v>138</v>
      </c>
      <c r="CH837" s="28" t="s">
        <v>174</v>
      </c>
      <c r="CI837" s="28" t="s">
        <v>138</v>
      </c>
      <c r="CJ837" s="28" t="s">
        <v>138</v>
      </c>
      <c r="CK837" s="28" t="s">
        <v>138</v>
      </c>
      <c r="CL837" s="28" t="s">
        <v>175</v>
      </c>
      <c r="CM837" s="34" t="s">
        <v>138</v>
      </c>
      <c r="CN837" s="29" t="s">
        <v>138</v>
      </c>
      <c r="CO837" s="35">
        <v>1.45</v>
      </c>
      <c r="CP837" s="36">
        <v>98</v>
      </c>
      <c r="CQ837" s="35">
        <v>-0.03</v>
      </c>
      <c r="CR837" s="35">
        <v>-1.81</v>
      </c>
      <c r="CS837" s="35">
        <v>2.57</v>
      </c>
      <c r="CT837" s="36">
        <v>99</v>
      </c>
      <c r="CU837" s="35">
        <v>0.33</v>
      </c>
      <c r="CV837" s="36">
        <v>89</v>
      </c>
      <c r="CW837" s="35">
        <v>3.41</v>
      </c>
      <c r="CX837" s="36">
        <v>92</v>
      </c>
      <c r="CY837" s="35">
        <v>1.73</v>
      </c>
      <c r="CZ837" s="36">
        <v>100</v>
      </c>
      <c r="DA837" s="35">
        <v>0.17</v>
      </c>
      <c r="DB837" s="36">
        <v>80</v>
      </c>
      <c r="DC837" s="37">
        <v>34.64</v>
      </c>
      <c r="DD837" s="36">
        <v>97</v>
      </c>
      <c r="DE837" s="37">
        <v>-3.23</v>
      </c>
      <c r="DF837" s="35">
        <v>-8.5299999999999994</v>
      </c>
      <c r="DG837" s="37">
        <v>62.96</v>
      </c>
      <c r="DH837" s="36">
        <v>99</v>
      </c>
      <c r="DI837" s="37">
        <v>6.32</v>
      </c>
      <c r="DJ837" s="36">
        <v>80</v>
      </c>
      <c r="DK837" s="37">
        <v>104.62</v>
      </c>
      <c r="DL837" s="36">
        <v>98</v>
      </c>
      <c r="DM837" s="37">
        <v>21.31</v>
      </c>
      <c r="DN837" s="36">
        <v>95</v>
      </c>
      <c r="DO837" s="37">
        <v>3.17</v>
      </c>
      <c r="DP837" s="36">
        <v>72</v>
      </c>
      <c r="DQ837" s="36">
        <v>35423</v>
      </c>
      <c r="DR837" s="38">
        <v>1378</v>
      </c>
      <c r="DS837" s="35">
        <v>4.05</v>
      </c>
      <c r="DT837" s="36">
        <v>612</v>
      </c>
      <c r="DU837" s="38">
        <v>12</v>
      </c>
      <c r="DV837" s="35">
        <v>2</v>
      </c>
      <c r="DW837" s="36">
        <v>1134</v>
      </c>
      <c r="DX837" s="39">
        <v>2</v>
      </c>
      <c r="DY837" s="35">
        <v>0.18</v>
      </c>
      <c r="DZ837" s="28" t="s">
        <v>178</v>
      </c>
      <c r="EA837" s="34">
        <v>43355</v>
      </c>
      <c r="EB837" s="29">
        <v>40</v>
      </c>
      <c r="EC837" s="34">
        <v>43230</v>
      </c>
      <c r="ED837" s="28" t="s">
        <v>205</v>
      </c>
      <c r="EE837" s="40" t="str">
        <f>HYPERLINK("https://my.pitchbook.com?c=157333-78", "View company online")</f>
        <v>View company online</v>
      </c>
    </row>
    <row r="838" spans="1:135">
      <c r="A838" s="15" t="s">
        <v>16641</v>
      </c>
      <c r="B838" s="15" t="s">
        <v>16642</v>
      </c>
      <c r="C838" s="15" t="s">
        <v>138</v>
      </c>
      <c r="D838" s="15" t="s">
        <v>138</v>
      </c>
      <c r="E838" s="15" t="s">
        <v>16643</v>
      </c>
      <c r="F838" s="15" t="s">
        <v>16641</v>
      </c>
      <c r="G838" s="15" t="s">
        <v>16644</v>
      </c>
      <c r="H838" s="15" t="s">
        <v>238</v>
      </c>
      <c r="I838" s="15" t="s">
        <v>1351</v>
      </c>
      <c r="J838" s="15" t="s">
        <v>5503</v>
      </c>
      <c r="K838" s="15" t="s">
        <v>16645</v>
      </c>
      <c r="L838" s="15" t="s">
        <v>16646</v>
      </c>
      <c r="M838" s="15" t="s">
        <v>16647</v>
      </c>
      <c r="N838" s="15" t="s">
        <v>147</v>
      </c>
      <c r="O838" s="17">
        <v>4.2</v>
      </c>
      <c r="P838" s="15" t="s">
        <v>148</v>
      </c>
      <c r="Q838" s="15" t="s">
        <v>149</v>
      </c>
      <c r="R838" s="15" t="s">
        <v>174</v>
      </c>
      <c r="S838" s="15" t="s">
        <v>16648</v>
      </c>
      <c r="T838" s="18">
        <v>13</v>
      </c>
      <c r="U838" s="15" t="s">
        <v>16649</v>
      </c>
      <c r="V838" s="15" t="s">
        <v>138</v>
      </c>
      <c r="W838" s="15" t="s">
        <v>138</v>
      </c>
      <c r="X838" s="19">
        <v>2012</v>
      </c>
      <c r="Y838" s="15" t="s">
        <v>138</v>
      </c>
      <c r="Z838" s="15" t="s">
        <v>138</v>
      </c>
      <c r="AA838" s="15" t="s">
        <v>138</v>
      </c>
      <c r="AB838" s="20" t="s">
        <v>138</v>
      </c>
      <c r="AC838" s="20" t="s">
        <v>138</v>
      </c>
      <c r="AD838" s="20" t="s">
        <v>138</v>
      </c>
      <c r="AE838" s="20" t="s">
        <v>138</v>
      </c>
      <c r="AF838" s="20" t="s">
        <v>138</v>
      </c>
      <c r="AG838" s="15" t="s">
        <v>138</v>
      </c>
      <c r="AH838" s="20" t="s">
        <v>138</v>
      </c>
      <c r="AI838" s="20" t="s">
        <v>138</v>
      </c>
      <c r="AJ838" s="20" t="s">
        <v>138</v>
      </c>
      <c r="AK838" s="15" t="s">
        <v>16650</v>
      </c>
      <c r="AL838" s="15" t="s">
        <v>16651</v>
      </c>
      <c r="AM838" s="15" t="s">
        <v>422</v>
      </c>
      <c r="AN838" s="15" t="s">
        <v>16652</v>
      </c>
      <c r="AO838" s="15" t="s">
        <v>16653</v>
      </c>
      <c r="AP838" s="15" t="s">
        <v>665</v>
      </c>
      <c r="AQ838" s="15" t="s">
        <v>16654</v>
      </c>
      <c r="AR838" s="15" t="s">
        <v>16655</v>
      </c>
      <c r="AS838" s="15" t="s">
        <v>668</v>
      </c>
      <c r="AT838" s="15" t="s">
        <v>200</v>
      </c>
      <c r="AU838" s="15" t="s">
        <v>691</v>
      </c>
      <c r="AV838" s="15" t="s">
        <v>162</v>
      </c>
      <c r="AW838" s="15" t="s">
        <v>16653</v>
      </c>
      <c r="AX838" s="15" t="s">
        <v>138</v>
      </c>
      <c r="AY838" s="15" t="s">
        <v>16656</v>
      </c>
      <c r="AZ838" s="15" t="s">
        <v>164</v>
      </c>
      <c r="BA838" s="15" t="s">
        <v>165</v>
      </c>
      <c r="BB838" s="15" t="s">
        <v>16657</v>
      </c>
      <c r="BC838" s="15" t="s">
        <v>16658</v>
      </c>
      <c r="BD838" s="21">
        <v>30</v>
      </c>
      <c r="BE838" s="15" t="s">
        <v>138</v>
      </c>
      <c r="BF838" s="15" t="s">
        <v>138</v>
      </c>
      <c r="BG838" s="15" t="s">
        <v>138</v>
      </c>
      <c r="BH838" s="15" t="s">
        <v>16659</v>
      </c>
      <c r="BI838" s="15" t="s">
        <v>138</v>
      </c>
      <c r="BJ838" s="15" t="s">
        <v>138</v>
      </c>
      <c r="BK838" s="15" t="s">
        <v>1710</v>
      </c>
      <c r="BL838" s="15" t="s">
        <v>16660</v>
      </c>
      <c r="BM838" s="22">
        <v>41109</v>
      </c>
      <c r="BN838" s="17">
        <v>0.55000000000000004</v>
      </c>
      <c r="BO838" s="15" t="s">
        <v>172</v>
      </c>
      <c r="BP838" s="17" t="s">
        <v>138</v>
      </c>
      <c r="BQ838" s="15" t="s">
        <v>138</v>
      </c>
      <c r="BR838" s="15" t="s">
        <v>1830</v>
      </c>
      <c r="BS838" s="15" t="s">
        <v>138</v>
      </c>
      <c r="BT838" s="15" t="s">
        <v>138</v>
      </c>
      <c r="BU838" s="15" t="s">
        <v>263</v>
      </c>
      <c r="BV838" s="15" t="s">
        <v>138</v>
      </c>
      <c r="BW838" s="15" t="s">
        <v>138</v>
      </c>
      <c r="BX838" s="15" t="s">
        <v>138</v>
      </c>
      <c r="BY838" s="15" t="s">
        <v>175</v>
      </c>
      <c r="BZ838" s="22">
        <v>43488</v>
      </c>
      <c r="CA838" s="17">
        <v>0.2</v>
      </c>
      <c r="CB838" s="15" t="s">
        <v>172</v>
      </c>
      <c r="CC838" s="17" t="s">
        <v>138</v>
      </c>
      <c r="CD838" s="15" t="s">
        <v>138</v>
      </c>
      <c r="CE838" s="15" t="s">
        <v>205</v>
      </c>
      <c r="CF838" s="15" t="s">
        <v>138</v>
      </c>
      <c r="CG838" s="15" t="s">
        <v>138</v>
      </c>
      <c r="CH838" s="15" t="s">
        <v>174</v>
      </c>
      <c r="CI838" s="15" t="s">
        <v>138</v>
      </c>
      <c r="CJ838" s="15" t="s">
        <v>138</v>
      </c>
      <c r="CK838" s="15" t="s">
        <v>138</v>
      </c>
      <c r="CL838" s="15" t="s">
        <v>175</v>
      </c>
      <c r="CM838" s="22" t="s">
        <v>138</v>
      </c>
      <c r="CN838" s="17" t="s">
        <v>138</v>
      </c>
      <c r="CO838" s="23">
        <v>-1.98</v>
      </c>
      <c r="CP838" s="24">
        <v>6</v>
      </c>
      <c r="CQ838" s="23">
        <v>0.02</v>
      </c>
      <c r="CR838" s="23">
        <v>0.82</v>
      </c>
      <c r="CS838" s="23">
        <v>-3.97</v>
      </c>
      <c r="CT838" s="24">
        <v>3</v>
      </c>
      <c r="CU838" s="23">
        <v>0.01</v>
      </c>
      <c r="CV838" s="24">
        <v>49</v>
      </c>
      <c r="CW838" s="23">
        <v>-4.33</v>
      </c>
      <c r="CX838" s="24">
        <v>3</v>
      </c>
      <c r="CY838" s="23">
        <v>-3.62</v>
      </c>
      <c r="CZ838" s="24">
        <v>5</v>
      </c>
      <c r="DA838" s="23">
        <v>0</v>
      </c>
      <c r="DB838" s="24">
        <v>22</v>
      </c>
      <c r="DC838" s="25">
        <v>12.95</v>
      </c>
      <c r="DD838" s="24">
        <v>92</v>
      </c>
      <c r="DE838" s="25">
        <v>-0.19</v>
      </c>
      <c r="DF838" s="23">
        <v>-1.41</v>
      </c>
      <c r="DG838" s="25">
        <v>20.57</v>
      </c>
      <c r="DH838" s="24">
        <v>95</v>
      </c>
      <c r="DI838" s="25">
        <v>5.33</v>
      </c>
      <c r="DJ838" s="24">
        <v>78</v>
      </c>
      <c r="DK838" s="25">
        <v>5.7</v>
      </c>
      <c r="DL838" s="24">
        <v>81</v>
      </c>
      <c r="DM838" s="25">
        <v>35.450000000000003</v>
      </c>
      <c r="DN838" s="24">
        <v>97</v>
      </c>
      <c r="DO838" s="25">
        <v>0.36</v>
      </c>
      <c r="DP838" s="24">
        <v>33</v>
      </c>
      <c r="DQ838" s="24">
        <v>2035</v>
      </c>
      <c r="DR838" s="26">
        <v>-244</v>
      </c>
      <c r="DS838" s="23">
        <v>-10.71</v>
      </c>
      <c r="DT838" s="24">
        <v>1028</v>
      </c>
      <c r="DU838" s="26">
        <v>1</v>
      </c>
      <c r="DV838" s="23">
        <v>0.1</v>
      </c>
      <c r="DW838" s="24">
        <v>130</v>
      </c>
      <c r="DX838" s="27">
        <v>0</v>
      </c>
      <c r="DY838" s="23">
        <v>0</v>
      </c>
      <c r="DZ838" s="15" t="s">
        <v>178</v>
      </c>
      <c r="EA838" s="22">
        <v>43592</v>
      </c>
      <c r="EB838" s="17">
        <v>1.71</v>
      </c>
      <c r="EC838" s="22">
        <v>42086</v>
      </c>
      <c r="ED838" s="15" t="s">
        <v>316</v>
      </c>
      <c r="EE838" s="14" t="str">
        <f>HYPERLINK("https://my.pitchbook.com?c=56332-99", "View company online")</f>
        <v>View company online</v>
      </c>
    </row>
    <row r="839" spans="1:135">
      <c r="A839" s="28" t="s">
        <v>16661</v>
      </c>
      <c r="B839" s="28" t="s">
        <v>16662</v>
      </c>
      <c r="C839" s="28" t="s">
        <v>16663</v>
      </c>
      <c r="D839" s="28" t="s">
        <v>138</v>
      </c>
      <c r="E839" s="28" t="s">
        <v>138</v>
      </c>
      <c r="F839" s="28" t="s">
        <v>16661</v>
      </c>
      <c r="G839" s="28" t="s">
        <v>16664</v>
      </c>
      <c r="H839" s="28" t="s">
        <v>322</v>
      </c>
      <c r="I839" s="28" t="s">
        <v>323</v>
      </c>
      <c r="J839" s="28" t="s">
        <v>324</v>
      </c>
      <c r="K839" s="28" t="s">
        <v>325</v>
      </c>
      <c r="L839" s="28" t="s">
        <v>4503</v>
      </c>
      <c r="M839" s="28" t="s">
        <v>16665</v>
      </c>
      <c r="N839" s="28" t="s">
        <v>147</v>
      </c>
      <c r="O839" s="29">
        <v>5</v>
      </c>
      <c r="P839" s="28" t="s">
        <v>610</v>
      </c>
      <c r="Q839" s="28" t="s">
        <v>149</v>
      </c>
      <c r="R839" s="28" t="s">
        <v>174</v>
      </c>
      <c r="S839" s="28" t="s">
        <v>16666</v>
      </c>
      <c r="T839" s="30" t="s">
        <v>138</v>
      </c>
      <c r="U839" s="28" t="s">
        <v>138</v>
      </c>
      <c r="V839" s="28" t="s">
        <v>138</v>
      </c>
      <c r="W839" s="28" t="s">
        <v>138</v>
      </c>
      <c r="X839" s="31">
        <v>2017</v>
      </c>
      <c r="Y839" s="28" t="s">
        <v>138</v>
      </c>
      <c r="Z839" s="28" t="s">
        <v>138</v>
      </c>
      <c r="AA839" s="28" t="s">
        <v>138</v>
      </c>
      <c r="AB839" s="32" t="s">
        <v>138</v>
      </c>
      <c r="AC839" s="32" t="s">
        <v>138</v>
      </c>
      <c r="AD839" s="32" t="s">
        <v>138</v>
      </c>
      <c r="AE839" s="32" t="s">
        <v>138</v>
      </c>
      <c r="AF839" s="32" t="s">
        <v>138</v>
      </c>
      <c r="AG839" s="28" t="s">
        <v>138</v>
      </c>
      <c r="AH839" s="32" t="s">
        <v>138</v>
      </c>
      <c r="AI839" s="32" t="s">
        <v>138</v>
      </c>
      <c r="AJ839" s="32" t="s">
        <v>138</v>
      </c>
      <c r="AK839" s="28" t="s">
        <v>16667</v>
      </c>
      <c r="AL839" s="28" t="s">
        <v>16668</v>
      </c>
      <c r="AM839" s="28" t="s">
        <v>304</v>
      </c>
      <c r="AN839" s="28" t="s">
        <v>16669</v>
      </c>
      <c r="AO839" s="28" t="s">
        <v>16670</v>
      </c>
      <c r="AP839" s="28" t="s">
        <v>2490</v>
      </c>
      <c r="AQ839" s="28" t="s">
        <v>16671</v>
      </c>
      <c r="AR839" s="28" t="s">
        <v>16672</v>
      </c>
      <c r="AS839" s="28" t="s">
        <v>2493</v>
      </c>
      <c r="AT839" s="28" t="s">
        <v>371</v>
      </c>
      <c r="AU839" s="28" t="s">
        <v>2494</v>
      </c>
      <c r="AV839" s="28" t="s">
        <v>162</v>
      </c>
      <c r="AW839" s="28" t="s">
        <v>16670</v>
      </c>
      <c r="AX839" s="28" t="s">
        <v>138</v>
      </c>
      <c r="AY839" s="28" t="s">
        <v>16673</v>
      </c>
      <c r="AZ839" s="28" t="s">
        <v>164</v>
      </c>
      <c r="BA839" s="28" t="s">
        <v>165</v>
      </c>
      <c r="BB839" s="28" t="s">
        <v>16674</v>
      </c>
      <c r="BC839" s="28" t="s">
        <v>16675</v>
      </c>
      <c r="BD839" s="33">
        <v>2</v>
      </c>
      <c r="BE839" s="28" t="s">
        <v>138</v>
      </c>
      <c r="BF839" s="28" t="s">
        <v>138</v>
      </c>
      <c r="BG839" s="28" t="s">
        <v>138</v>
      </c>
      <c r="BH839" s="28" t="s">
        <v>138</v>
      </c>
      <c r="BI839" s="28" t="s">
        <v>138</v>
      </c>
      <c r="BJ839" s="28" t="s">
        <v>138</v>
      </c>
      <c r="BK839" s="28" t="s">
        <v>138</v>
      </c>
      <c r="BL839" s="28" t="s">
        <v>138</v>
      </c>
      <c r="BM839" s="34">
        <v>43549</v>
      </c>
      <c r="BN839" s="29">
        <v>5</v>
      </c>
      <c r="BO839" s="28" t="s">
        <v>172</v>
      </c>
      <c r="BP839" s="29">
        <v>11</v>
      </c>
      <c r="BQ839" s="28" t="s">
        <v>172</v>
      </c>
      <c r="BR839" s="28" t="s">
        <v>205</v>
      </c>
      <c r="BS839" s="28" t="s">
        <v>206</v>
      </c>
      <c r="BT839" s="28" t="s">
        <v>138</v>
      </c>
      <c r="BU839" s="28" t="s">
        <v>174</v>
      </c>
      <c r="BV839" s="28" t="s">
        <v>138</v>
      </c>
      <c r="BW839" s="28" t="s">
        <v>138</v>
      </c>
      <c r="BX839" s="28" t="s">
        <v>138</v>
      </c>
      <c r="BY839" s="28" t="s">
        <v>175</v>
      </c>
      <c r="BZ839" s="34">
        <v>43549</v>
      </c>
      <c r="CA839" s="29">
        <v>5</v>
      </c>
      <c r="CB839" s="28" t="s">
        <v>172</v>
      </c>
      <c r="CC839" s="29">
        <v>11</v>
      </c>
      <c r="CD839" s="28" t="s">
        <v>172</v>
      </c>
      <c r="CE839" s="28" t="s">
        <v>205</v>
      </c>
      <c r="CF839" s="28" t="s">
        <v>206</v>
      </c>
      <c r="CG839" s="28" t="s">
        <v>138</v>
      </c>
      <c r="CH839" s="28" t="s">
        <v>174</v>
      </c>
      <c r="CI839" s="28" t="s">
        <v>138</v>
      </c>
      <c r="CJ839" s="28" t="s">
        <v>138</v>
      </c>
      <c r="CK839" s="28" t="s">
        <v>138</v>
      </c>
      <c r="CL839" s="28" t="s">
        <v>175</v>
      </c>
      <c r="CM839" s="34" t="s">
        <v>138</v>
      </c>
      <c r="CN839" s="29" t="s">
        <v>138</v>
      </c>
      <c r="CO839" s="35" t="s">
        <v>138</v>
      </c>
      <c r="CP839" s="36" t="s">
        <v>138</v>
      </c>
      <c r="CQ839" s="35" t="s">
        <v>138</v>
      </c>
      <c r="CR839" s="35" t="s">
        <v>138</v>
      </c>
      <c r="CS839" s="35" t="s">
        <v>138</v>
      </c>
      <c r="CT839" s="36" t="s">
        <v>138</v>
      </c>
      <c r="CU839" s="35" t="s">
        <v>138</v>
      </c>
      <c r="CV839" s="36" t="s">
        <v>138</v>
      </c>
      <c r="CW839" s="35" t="s">
        <v>138</v>
      </c>
      <c r="CX839" s="36" t="s">
        <v>138</v>
      </c>
      <c r="CY839" s="35" t="s">
        <v>138</v>
      </c>
      <c r="CZ839" s="36" t="s">
        <v>138</v>
      </c>
      <c r="DA839" s="35" t="s">
        <v>138</v>
      </c>
      <c r="DB839" s="36" t="s">
        <v>138</v>
      </c>
      <c r="DC839" s="37" t="s">
        <v>138</v>
      </c>
      <c r="DD839" s="36" t="s">
        <v>138</v>
      </c>
      <c r="DE839" s="37" t="s">
        <v>138</v>
      </c>
      <c r="DF839" s="35" t="s">
        <v>138</v>
      </c>
      <c r="DG839" s="37" t="s">
        <v>138</v>
      </c>
      <c r="DH839" s="36" t="s">
        <v>138</v>
      </c>
      <c r="DI839" s="37" t="s">
        <v>138</v>
      </c>
      <c r="DJ839" s="36" t="s">
        <v>138</v>
      </c>
      <c r="DK839" s="37" t="s">
        <v>138</v>
      </c>
      <c r="DL839" s="36" t="s">
        <v>138</v>
      </c>
      <c r="DM839" s="37" t="s">
        <v>138</v>
      </c>
      <c r="DN839" s="36" t="s">
        <v>138</v>
      </c>
      <c r="DO839" s="37" t="s">
        <v>138</v>
      </c>
      <c r="DP839" s="36" t="s">
        <v>138</v>
      </c>
      <c r="DQ839" s="36" t="s">
        <v>138</v>
      </c>
      <c r="DR839" s="38" t="s">
        <v>138</v>
      </c>
      <c r="DS839" s="35" t="s">
        <v>138</v>
      </c>
      <c r="DT839" s="36" t="s">
        <v>138</v>
      </c>
      <c r="DU839" s="38" t="s">
        <v>138</v>
      </c>
      <c r="DV839" s="35" t="s">
        <v>138</v>
      </c>
      <c r="DW839" s="36" t="s">
        <v>138</v>
      </c>
      <c r="DX839" s="39" t="s">
        <v>138</v>
      </c>
      <c r="DY839" s="35" t="s">
        <v>138</v>
      </c>
      <c r="DZ839" s="28" t="s">
        <v>178</v>
      </c>
      <c r="EA839" s="34">
        <v>43602</v>
      </c>
      <c r="EB839" s="29">
        <v>11</v>
      </c>
      <c r="EC839" s="34">
        <v>43549</v>
      </c>
      <c r="ED839" s="28" t="s">
        <v>205</v>
      </c>
      <c r="EE839" s="40" t="str">
        <f>HYPERLINK("https://my.pitchbook.com?c=266404-60", "View company online")</f>
        <v>View company online</v>
      </c>
    </row>
    <row r="840" spans="1:135">
      <c r="A840" s="15" t="s">
        <v>16676</v>
      </c>
      <c r="B840" s="15" t="s">
        <v>16677</v>
      </c>
      <c r="C840" s="15" t="s">
        <v>16678</v>
      </c>
      <c r="D840" s="15" t="s">
        <v>138</v>
      </c>
      <c r="E840" s="15" t="s">
        <v>16679</v>
      </c>
      <c r="F840" s="15" t="s">
        <v>16676</v>
      </c>
      <c r="G840" s="15" t="s">
        <v>16680</v>
      </c>
      <c r="H840" s="15" t="s">
        <v>322</v>
      </c>
      <c r="I840" s="15" t="s">
        <v>323</v>
      </c>
      <c r="J840" s="15" t="s">
        <v>324</v>
      </c>
      <c r="K840" s="15" t="s">
        <v>8585</v>
      </c>
      <c r="L840" s="15" t="s">
        <v>2835</v>
      </c>
      <c r="M840" s="15" t="s">
        <v>16681</v>
      </c>
      <c r="N840" s="15" t="s">
        <v>147</v>
      </c>
      <c r="O840" s="17">
        <v>45.61</v>
      </c>
      <c r="P840" s="15" t="s">
        <v>148</v>
      </c>
      <c r="Q840" s="15" t="s">
        <v>149</v>
      </c>
      <c r="R840" s="15" t="s">
        <v>244</v>
      </c>
      <c r="S840" s="15" t="s">
        <v>16682</v>
      </c>
      <c r="T840" s="18" t="s">
        <v>138</v>
      </c>
      <c r="U840" s="15" t="s">
        <v>138</v>
      </c>
      <c r="V840" s="15" t="s">
        <v>138</v>
      </c>
      <c r="W840" s="15" t="s">
        <v>138</v>
      </c>
      <c r="X840" s="19">
        <v>2013</v>
      </c>
      <c r="Y840" s="15" t="s">
        <v>138</v>
      </c>
      <c r="Z840" s="15" t="s">
        <v>138</v>
      </c>
      <c r="AA840" s="15" t="s">
        <v>138</v>
      </c>
      <c r="AB840" s="20" t="s">
        <v>138</v>
      </c>
      <c r="AC840" s="20" t="s">
        <v>138</v>
      </c>
      <c r="AD840" s="20" t="s">
        <v>138</v>
      </c>
      <c r="AE840" s="20" t="s">
        <v>138</v>
      </c>
      <c r="AF840" s="20" t="s">
        <v>138</v>
      </c>
      <c r="AG840" s="15" t="s">
        <v>138</v>
      </c>
      <c r="AH840" s="20" t="s">
        <v>138</v>
      </c>
      <c r="AI840" s="20" t="s">
        <v>138</v>
      </c>
      <c r="AJ840" s="20" t="s">
        <v>138</v>
      </c>
      <c r="AK840" s="15" t="s">
        <v>16683</v>
      </c>
      <c r="AL840" s="15" t="s">
        <v>16684</v>
      </c>
      <c r="AM840" s="15" t="s">
        <v>5737</v>
      </c>
      <c r="AN840" s="15" t="s">
        <v>16685</v>
      </c>
      <c r="AO840" s="15" t="s">
        <v>16686</v>
      </c>
      <c r="AP840" s="15" t="s">
        <v>665</v>
      </c>
      <c r="AQ840" s="15" t="s">
        <v>16687</v>
      </c>
      <c r="AR840" s="15" t="s">
        <v>5662</v>
      </c>
      <c r="AS840" s="15" t="s">
        <v>668</v>
      </c>
      <c r="AT840" s="15" t="s">
        <v>200</v>
      </c>
      <c r="AU840" s="15" t="s">
        <v>691</v>
      </c>
      <c r="AV840" s="15" t="s">
        <v>162</v>
      </c>
      <c r="AW840" s="15" t="s">
        <v>16686</v>
      </c>
      <c r="AX840" s="15" t="s">
        <v>138</v>
      </c>
      <c r="AY840" s="15" t="s">
        <v>16688</v>
      </c>
      <c r="AZ840" s="15" t="s">
        <v>164</v>
      </c>
      <c r="BA840" s="15" t="s">
        <v>165</v>
      </c>
      <c r="BB840" s="15" t="s">
        <v>16689</v>
      </c>
      <c r="BC840" s="15" t="s">
        <v>16690</v>
      </c>
      <c r="BD840" s="21">
        <v>27</v>
      </c>
      <c r="BE840" s="15" t="s">
        <v>138</v>
      </c>
      <c r="BF840" s="15" t="s">
        <v>5604</v>
      </c>
      <c r="BG840" s="15" t="s">
        <v>138</v>
      </c>
      <c r="BH840" s="15" t="s">
        <v>16691</v>
      </c>
      <c r="BI840" s="15" t="s">
        <v>5606</v>
      </c>
      <c r="BJ840" s="15" t="s">
        <v>138</v>
      </c>
      <c r="BK840" s="15" t="s">
        <v>138</v>
      </c>
      <c r="BL840" s="15" t="s">
        <v>16692</v>
      </c>
      <c r="BM840" s="22">
        <v>42186</v>
      </c>
      <c r="BN840" s="17">
        <v>6.37</v>
      </c>
      <c r="BO840" s="15" t="s">
        <v>172</v>
      </c>
      <c r="BP840" s="17">
        <v>21.37</v>
      </c>
      <c r="BQ840" s="15" t="s">
        <v>172</v>
      </c>
      <c r="BR840" s="15" t="s">
        <v>234</v>
      </c>
      <c r="BS840" s="15" t="s">
        <v>234</v>
      </c>
      <c r="BT840" s="15" t="s">
        <v>138</v>
      </c>
      <c r="BU840" s="15" t="s">
        <v>174</v>
      </c>
      <c r="BV840" s="15" t="s">
        <v>138</v>
      </c>
      <c r="BW840" s="15" t="s">
        <v>138</v>
      </c>
      <c r="BX840" s="15" t="s">
        <v>138</v>
      </c>
      <c r="BY840" s="15" t="s">
        <v>175</v>
      </c>
      <c r="BZ840" s="22">
        <v>43390</v>
      </c>
      <c r="CA840" s="17">
        <v>20</v>
      </c>
      <c r="CB840" s="15" t="s">
        <v>1178</v>
      </c>
      <c r="CC840" s="17">
        <v>70</v>
      </c>
      <c r="CD840" s="15" t="s">
        <v>172</v>
      </c>
      <c r="CE840" s="15" t="s">
        <v>173</v>
      </c>
      <c r="CF840" s="15" t="s">
        <v>720</v>
      </c>
      <c r="CG840" s="15" t="s">
        <v>138</v>
      </c>
      <c r="CH840" s="15" t="s">
        <v>174</v>
      </c>
      <c r="CI840" s="15" t="s">
        <v>138</v>
      </c>
      <c r="CJ840" s="15" t="s">
        <v>138</v>
      </c>
      <c r="CK840" s="15" t="s">
        <v>138</v>
      </c>
      <c r="CL840" s="15" t="s">
        <v>352</v>
      </c>
      <c r="CM840" s="22">
        <v>43008</v>
      </c>
      <c r="CN840" s="17">
        <v>0.44</v>
      </c>
      <c r="CO840" s="23">
        <v>3.84</v>
      </c>
      <c r="CP840" s="24">
        <v>100</v>
      </c>
      <c r="CQ840" s="23">
        <v>-0.01</v>
      </c>
      <c r="CR840" s="23">
        <v>-0.3</v>
      </c>
      <c r="CS840" s="23">
        <v>7.51</v>
      </c>
      <c r="CT840" s="24">
        <v>100</v>
      </c>
      <c r="CU840" s="23">
        <v>0.17</v>
      </c>
      <c r="CV840" s="24">
        <v>77</v>
      </c>
      <c r="CW840" s="23">
        <v>7.51</v>
      </c>
      <c r="CX840" s="24">
        <v>98</v>
      </c>
      <c r="CY840" s="23" t="s">
        <v>138</v>
      </c>
      <c r="CZ840" s="24" t="s">
        <v>138</v>
      </c>
      <c r="DA840" s="23">
        <v>0.17</v>
      </c>
      <c r="DB840" s="24">
        <v>80</v>
      </c>
      <c r="DC840" s="25">
        <v>5.97</v>
      </c>
      <c r="DD840" s="24">
        <v>85</v>
      </c>
      <c r="DE840" s="25">
        <v>-0.35</v>
      </c>
      <c r="DF840" s="23">
        <v>-5.5</v>
      </c>
      <c r="DG840" s="25">
        <v>5.74</v>
      </c>
      <c r="DH840" s="24">
        <v>84</v>
      </c>
      <c r="DI840" s="25">
        <v>6.19</v>
      </c>
      <c r="DJ840" s="24">
        <v>80</v>
      </c>
      <c r="DK840" s="25">
        <v>5.74</v>
      </c>
      <c r="DL840" s="24">
        <v>81</v>
      </c>
      <c r="DM840" s="25" t="s">
        <v>138</v>
      </c>
      <c r="DN840" s="24" t="s">
        <v>138</v>
      </c>
      <c r="DO840" s="25">
        <v>6.19</v>
      </c>
      <c r="DP840" s="24">
        <v>82</v>
      </c>
      <c r="DQ840" s="24">
        <v>1977</v>
      </c>
      <c r="DR840" s="26">
        <v>-27</v>
      </c>
      <c r="DS840" s="23">
        <v>-1.35</v>
      </c>
      <c r="DT840" s="24" t="s">
        <v>138</v>
      </c>
      <c r="DU840" s="26" t="s">
        <v>138</v>
      </c>
      <c r="DV840" s="23" t="s">
        <v>138</v>
      </c>
      <c r="DW840" s="24">
        <v>2214</v>
      </c>
      <c r="DX840" s="27">
        <v>2</v>
      </c>
      <c r="DY840" s="23">
        <v>0.09</v>
      </c>
      <c r="DZ840" s="15" t="s">
        <v>178</v>
      </c>
      <c r="EA840" s="22">
        <v>43607</v>
      </c>
      <c r="EB840" s="17">
        <v>70</v>
      </c>
      <c r="EC840" s="22">
        <v>43390</v>
      </c>
      <c r="ED840" s="15" t="s">
        <v>173</v>
      </c>
      <c r="EE840" s="14" t="str">
        <f>HYPERLINK("https://my.pitchbook.com?c=115478-74", "View company online")</f>
        <v>View company online</v>
      </c>
    </row>
    <row r="841" spans="1:135">
      <c r="A841" s="28" t="s">
        <v>16693</v>
      </c>
      <c r="B841" s="28" t="s">
        <v>16694</v>
      </c>
      <c r="C841" s="28" t="s">
        <v>16695</v>
      </c>
      <c r="D841" s="28" t="s">
        <v>138</v>
      </c>
      <c r="E841" s="28" t="s">
        <v>138</v>
      </c>
      <c r="F841" s="28" t="s">
        <v>16693</v>
      </c>
      <c r="G841" s="28" t="s">
        <v>16696</v>
      </c>
      <c r="H841" s="28" t="s">
        <v>322</v>
      </c>
      <c r="I841" s="28" t="s">
        <v>323</v>
      </c>
      <c r="J841" s="28" t="s">
        <v>1184</v>
      </c>
      <c r="K841" s="28" t="s">
        <v>16697</v>
      </c>
      <c r="L841" s="28" t="s">
        <v>855</v>
      </c>
      <c r="M841" s="28" t="s">
        <v>16698</v>
      </c>
      <c r="N841" s="28" t="s">
        <v>147</v>
      </c>
      <c r="O841" s="29" t="s">
        <v>138</v>
      </c>
      <c r="P841" s="28" t="s">
        <v>148</v>
      </c>
      <c r="Q841" s="28" t="s">
        <v>149</v>
      </c>
      <c r="R841" s="28" t="s">
        <v>174</v>
      </c>
      <c r="S841" s="28" t="s">
        <v>16699</v>
      </c>
      <c r="T841" s="30">
        <v>16</v>
      </c>
      <c r="U841" s="28" t="s">
        <v>16700</v>
      </c>
      <c r="V841" s="28" t="s">
        <v>138</v>
      </c>
      <c r="W841" s="28" t="s">
        <v>138</v>
      </c>
      <c r="X841" s="31">
        <v>2012</v>
      </c>
      <c r="Y841" s="28" t="s">
        <v>138</v>
      </c>
      <c r="Z841" s="28" t="s">
        <v>138</v>
      </c>
      <c r="AA841" s="28" t="s">
        <v>138</v>
      </c>
      <c r="AB841" s="32" t="s">
        <v>138</v>
      </c>
      <c r="AC841" s="32" t="s">
        <v>138</v>
      </c>
      <c r="AD841" s="32" t="s">
        <v>138</v>
      </c>
      <c r="AE841" s="32" t="s">
        <v>138</v>
      </c>
      <c r="AF841" s="32" t="s">
        <v>138</v>
      </c>
      <c r="AG841" s="28" t="s">
        <v>138</v>
      </c>
      <c r="AH841" s="32" t="s">
        <v>138</v>
      </c>
      <c r="AI841" s="32" t="s">
        <v>138</v>
      </c>
      <c r="AJ841" s="32" t="s">
        <v>138</v>
      </c>
      <c r="AK841" s="28" t="s">
        <v>16701</v>
      </c>
      <c r="AL841" s="28" t="s">
        <v>16702</v>
      </c>
      <c r="AM841" s="28" t="s">
        <v>938</v>
      </c>
      <c r="AN841" s="28" t="s">
        <v>16703</v>
      </c>
      <c r="AO841" s="28" t="s">
        <v>16704</v>
      </c>
      <c r="AP841" s="28" t="s">
        <v>665</v>
      </c>
      <c r="AQ841" s="28" t="s">
        <v>6367</v>
      </c>
      <c r="AR841" s="28" t="s">
        <v>138</v>
      </c>
      <c r="AS841" s="28" t="s">
        <v>668</v>
      </c>
      <c r="AT841" s="28" t="s">
        <v>200</v>
      </c>
      <c r="AU841" s="28" t="s">
        <v>2052</v>
      </c>
      <c r="AV841" s="28" t="s">
        <v>162</v>
      </c>
      <c r="AW841" s="28" t="s">
        <v>138</v>
      </c>
      <c r="AX841" s="28" t="s">
        <v>138</v>
      </c>
      <c r="AY841" s="28" t="s">
        <v>16705</v>
      </c>
      <c r="AZ841" s="28" t="s">
        <v>164</v>
      </c>
      <c r="BA841" s="28" t="s">
        <v>165</v>
      </c>
      <c r="BB841" s="28" t="s">
        <v>16706</v>
      </c>
      <c r="BC841" s="28" t="s">
        <v>16707</v>
      </c>
      <c r="BD841" s="33">
        <v>5</v>
      </c>
      <c r="BE841" s="28" t="s">
        <v>138</v>
      </c>
      <c r="BF841" s="28" t="s">
        <v>138</v>
      </c>
      <c r="BG841" s="28" t="s">
        <v>138</v>
      </c>
      <c r="BH841" s="28" t="s">
        <v>16708</v>
      </c>
      <c r="BI841" s="28" t="s">
        <v>138</v>
      </c>
      <c r="BJ841" s="28" t="s">
        <v>138</v>
      </c>
      <c r="BK841" s="28" t="s">
        <v>16709</v>
      </c>
      <c r="BL841" s="28" t="s">
        <v>1829</v>
      </c>
      <c r="BM841" s="34">
        <v>41604</v>
      </c>
      <c r="BN841" s="29" t="s">
        <v>138</v>
      </c>
      <c r="BO841" s="28" t="s">
        <v>138</v>
      </c>
      <c r="BP841" s="29" t="s">
        <v>138</v>
      </c>
      <c r="BQ841" s="28" t="s">
        <v>138</v>
      </c>
      <c r="BR841" s="28" t="s">
        <v>205</v>
      </c>
      <c r="BS841" s="28" t="s">
        <v>138</v>
      </c>
      <c r="BT841" s="28" t="s">
        <v>138</v>
      </c>
      <c r="BU841" s="28" t="s">
        <v>174</v>
      </c>
      <c r="BV841" s="28" t="s">
        <v>138</v>
      </c>
      <c r="BW841" s="28" t="s">
        <v>138</v>
      </c>
      <c r="BX841" s="28" t="s">
        <v>138</v>
      </c>
      <c r="BY841" s="28" t="s">
        <v>175</v>
      </c>
      <c r="BZ841" s="34">
        <v>41611</v>
      </c>
      <c r="CA841" s="29">
        <v>0.1</v>
      </c>
      <c r="CB841" s="28" t="s">
        <v>172</v>
      </c>
      <c r="CC841" s="29" t="s">
        <v>138</v>
      </c>
      <c r="CD841" s="28" t="s">
        <v>138</v>
      </c>
      <c r="CE841" s="28" t="s">
        <v>1830</v>
      </c>
      <c r="CF841" s="28" t="s">
        <v>138</v>
      </c>
      <c r="CG841" s="28" t="s">
        <v>138</v>
      </c>
      <c r="CH841" s="28" t="s">
        <v>177</v>
      </c>
      <c r="CI841" s="28" t="s">
        <v>138</v>
      </c>
      <c r="CJ841" s="28" t="s">
        <v>138</v>
      </c>
      <c r="CK841" s="28" t="s">
        <v>138</v>
      </c>
      <c r="CL841" s="28" t="s">
        <v>175</v>
      </c>
      <c r="CM841" s="34" t="s">
        <v>138</v>
      </c>
      <c r="CN841" s="29" t="s">
        <v>138</v>
      </c>
      <c r="CO841" s="35">
        <v>0</v>
      </c>
      <c r="CP841" s="36">
        <v>26</v>
      </c>
      <c r="CQ841" s="35">
        <v>0</v>
      </c>
      <c r="CR841" s="35">
        <v>0</v>
      </c>
      <c r="CS841" s="35" t="s">
        <v>138</v>
      </c>
      <c r="CT841" s="36" t="s">
        <v>138</v>
      </c>
      <c r="CU841" s="35">
        <v>0</v>
      </c>
      <c r="CV841" s="36">
        <v>22</v>
      </c>
      <c r="CW841" s="35" t="s">
        <v>138</v>
      </c>
      <c r="CX841" s="36" t="s">
        <v>138</v>
      </c>
      <c r="CY841" s="35" t="s">
        <v>138</v>
      </c>
      <c r="CZ841" s="36" t="s">
        <v>138</v>
      </c>
      <c r="DA841" s="35">
        <v>0</v>
      </c>
      <c r="DB841" s="36">
        <v>22</v>
      </c>
      <c r="DC841" s="37">
        <v>0.26</v>
      </c>
      <c r="DD841" s="36">
        <v>20</v>
      </c>
      <c r="DE841" s="37">
        <v>0</v>
      </c>
      <c r="DF841" s="35">
        <v>0.56000000000000005</v>
      </c>
      <c r="DG841" s="37" t="s">
        <v>138</v>
      </c>
      <c r="DH841" s="36" t="s">
        <v>138</v>
      </c>
      <c r="DI841" s="37">
        <v>0.26</v>
      </c>
      <c r="DJ841" s="36">
        <v>26</v>
      </c>
      <c r="DK841" s="37" t="s">
        <v>138</v>
      </c>
      <c r="DL841" s="36" t="s">
        <v>138</v>
      </c>
      <c r="DM841" s="37" t="s">
        <v>138</v>
      </c>
      <c r="DN841" s="36" t="s">
        <v>138</v>
      </c>
      <c r="DO841" s="37">
        <v>0.26</v>
      </c>
      <c r="DP841" s="36">
        <v>28</v>
      </c>
      <c r="DQ841" s="36" t="s">
        <v>138</v>
      </c>
      <c r="DR841" s="38" t="s">
        <v>138</v>
      </c>
      <c r="DS841" s="35" t="s">
        <v>138</v>
      </c>
      <c r="DT841" s="36" t="s">
        <v>138</v>
      </c>
      <c r="DU841" s="38" t="s">
        <v>138</v>
      </c>
      <c r="DV841" s="35" t="s">
        <v>138</v>
      </c>
      <c r="DW841" s="36">
        <v>93</v>
      </c>
      <c r="DX841" s="39">
        <v>0</v>
      </c>
      <c r="DY841" s="35">
        <v>0</v>
      </c>
      <c r="DZ841" s="28" t="s">
        <v>178</v>
      </c>
      <c r="EA841" s="34">
        <v>43440</v>
      </c>
      <c r="EB841" s="29" t="s">
        <v>138</v>
      </c>
      <c r="EC841" s="34" t="s">
        <v>138</v>
      </c>
      <c r="ED841" s="28" t="s">
        <v>138</v>
      </c>
      <c r="EE841" s="40" t="str">
        <f>HYPERLINK("https://my.pitchbook.com?c=60495-13", "View company online")</f>
        <v>View company online</v>
      </c>
    </row>
    <row r="842" spans="1:135">
      <c r="A842" s="15" t="s">
        <v>16710</v>
      </c>
      <c r="B842" s="15" t="s">
        <v>16711</v>
      </c>
      <c r="C842" s="15" t="s">
        <v>16712</v>
      </c>
      <c r="D842" s="15" t="s">
        <v>138</v>
      </c>
      <c r="E842" s="15" t="s">
        <v>138</v>
      </c>
      <c r="F842" s="15" t="s">
        <v>16710</v>
      </c>
      <c r="G842" s="15" t="s">
        <v>16713</v>
      </c>
      <c r="H842" s="15" t="s">
        <v>238</v>
      </c>
      <c r="I842" s="15" t="s">
        <v>749</v>
      </c>
      <c r="J842" s="15" t="s">
        <v>750</v>
      </c>
      <c r="K842" s="15" t="s">
        <v>5196</v>
      </c>
      <c r="L842" s="15" t="s">
        <v>4393</v>
      </c>
      <c r="M842" s="15" t="s">
        <v>16714</v>
      </c>
      <c r="N842" s="15" t="s">
        <v>147</v>
      </c>
      <c r="O842" s="17">
        <v>3</v>
      </c>
      <c r="P842" s="15" t="s">
        <v>148</v>
      </c>
      <c r="Q842" s="15" t="s">
        <v>149</v>
      </c>
      <c r="R842" s="15" t="s">
        <v>174</v>
      </c>
      <c r="S842" s="15" t="s">
        <v>16715</v>
      </c>
      <c r="T842" s="18">
        <v>12</v>
      </c>
      <c r="U842" s="15" t="s">
        <v>12576</v>
      </c>
      <c r="V842" s="15" t="s">
        <v>138</v>
      </c>
      <c r="W842" s="15" t="s">
        <v>138</v>
      </c>
      <c r="X842" s="19">
        <v>2015</v>
      </c>
      <c r="Y842" s="15" t="s">
        <v>138</v>
      </c>
      <c r="Z842" s="15" t="s">
        <v>138</v>
      </c>
      <c r="AA842" s="15" t="s">
        <v>138</v>
      </c>
      <c r="AB842" s="20">
        <v>10</v>
      </c>
      <c r="AC842" s="20" t="s">
        <v>138</v>
      </c>
      <c r="AD842" s="20" t="s">
        <v>138</v>
      </c>
      <c r="AE842" s="20" t="s">
        <v>138</v>
      </c>
      <c r="AF842" s="20" t="s">
        <v>138</v>
      </c>
      <c r="AG842" s="15" t="s">
        <v>419</v>
      </c>
      <c r="AH842" s="20" t="s">
        <v>138</v>
      </c>
      <c r="AI842" s="20" t="s">
        <v>138</v>
      </c>
      <c r="AJ842" s="20" t="s">
        <v>138</v>
      </c>
      <c r="AK842" s="15" t="s">
        <v>16716</v>
      </c>
      <c r="AL842" s="15" t="s">
        <v>16717</v>
      </c>
      <c r="AM842" s="15" t="s">
        <v>4269</v>
      </c>
      <c r="AN842" s="15" t="s">
        <v>16718</v>
      </c>
      <c r="AO842" s="15" t="s">
        <v>16719</v>
      </c>
      <c r="AP842" s="15" t="s">
        <v>2490</v>
      </c>
      <c r="AQ842" s="15" t="s">
        <v>16720</v>
      </c>
      <c r="AR842" s="15" t="s">
        <v>1459</v>
      </c>
      <c r="AS842" s="15" t="s">
        <v>2493</v>
      </c>
      <c r="AT842" s="15" t="s">
        <v>371</v>
      </c>
      <c r="AU842" s="15" t="s">
        <v>2494</v>
      </c>
      <c r="AV842" s="15" t="s">
        <v>162</v>
      </c>
      <c r="AW842" s="15" t="s">
        <v>16721</v>
      </c>
      <c r="AX842" s="15" t="s">
        <v>138</v>
      </c>
      <c r="AY842" s="15" t="s">
        <v>16722</v>
      </c>
      <c r="AZ842" s="15" t="s">
        <v>164</v>
      </c>
      <c r="BA842" s="15" t="s">
        <v>165</v>
      </c>
      <c r="BB842" s="15" t="s">
        <v>16723</v>
      </c>
      <c r="BC842" s="15" t="s">
        <v>16724</v>
      </c>
      <c r="BD842" s="21">
        <v>2</v>
      </c>
      <c r="BE842" s="15" t="s">
        <v>138</v>
      </c>
      <c r="BF842" s="15" t="s">
        <v>138</v>
      </c>
      <c r="BG842" s="15" t="s">
        <v>138</v>
      </c>
      <c r="BH842" s="15" t="s">
        <v>16725</v>
      </c>
      <c r="BI842" s="15" t="s">
        <v>138</v>
      </c>
      <c r="BJ842" s="15" t="s">
        <v>138</v>
      </c>
      <c r="BK842" s="15" t="s">
        <v>16726</v>
      </c>
      <c r="BL842" s="15" t="s">
        <v>16727</v>
      </c>
      <c r="BM842" s="22">
        <v>42102</v>
      </c>
      <c r="BN842" s="17">
        <v>3</v>
      </c>
      <c r="BO842" s="15" t="s">
        <v>172</v>
      </c>
      <c r="BP842" s="17" t="s">
        <v>138</v>
      </c>
      <c r="BQ842" s="15" t="s">
        <v>138</v>
      </c>
      <c r="BR842" s="15" t="s">
        <v>262</v>
      </c>
      <c r="BS842" s="15" t="s">
        <v>262</v>
      </c>
      <c r="BT842" s="15" t="s">
        <v>138</v>
      </c>
      <c r="BU842" s="15" t="s">
        <v>263</v>
      </c>
      <c r="BV842" s="15" t="s">
        <v>138</v>
      </c>
      <c r="BW842" s="15" t="s">
        <v>138</v>
      </c>
      <c r="BX842" s="15" t="s">
        <v>138</v>
      </c>
      <c r="BY842" s="15" t="s">
        <v>175</v>
      </c>
      <c r="BZ842" s="22">
        <v>42794</v>
      </c>
      <c r="CA842" s="17" t="s">
        <v>138</v>
      </c>
      <c r="CB842" s="15" t="s">
        <v>138</v>
      </c>
      <c r="CC842" s="17" t="s">
        <v>138</v>
      </c>
      <c r="CD842" s="15" t="s">
        <v>138</v>
      </c>
      <c r="CE842" s="15" t="s">
        <v>205</v>
      </c>
      <c r="CF842" s="15" t="s">
        <v>138</v>
      </c>
      <c r="CG842" s="15" t="s">
        <v>138</v>
      </c>
      <c r="CH842" s="15" t="s">
        <v>174</v>
      </c>
      <c r="CI842" s="15" t="s">
        <v>138</v>
      </c>
      <c r="CJ842" s="15" t="s">
        <v>138</v>
      </c>
      <c r="CK842" s="15" t="s">
        <v>138</v>
      </c>
      <c r="CL842" s="15" t="s">
        <v>175</v>
      </c>
      <c r="CM842" s="22" t="s">
        <v>138</v>
      </c>
      <c r="CN842" s="17" t="s">
        <v>138</v>
      </c>
      <c r="CO842" s="23">
        <v>-1.46</v>
      </c>
      <c r="CP842" s="24">
        <v>8</v>
      </c>
      <c r="CQ842" s="23">
        <v>0.06</v>
      </c>
      <c r="CR842" s="23">
        <v>3.81</v>
      </c>
      <c r="CS842" s="23">
        <v>-2.84</v>
      </c>
      <c r="CT842" s="24">
        <v>6</v>
      </c>
      <c r="CU842" s="23">
        <v>-7.0000000000000007E-2</v>
      </c>
      <c r="CV842" s="24">
        <v>7</v>
      </c>
      <c r="CW842" s="23">
        <v>-2.84</v>
      </c>
      <c r="CX842" s="24">
        <v>6</v>
      </c>
      <c r="CY842" s="23" t="s">
        <v>138</v>
      </c>
      <c r="CZ842" s="24" t="s">
        <v>138</v>
      </c>
      <c r="DA842" s="23">
        <v>-7.0000000000000007E-2</v>
      </c>
      <c r="DB842" s="24">
        <v>9</v>
      </c>
      <c r="DC842" s="25">
        <v>5.15</v>
      </c>
      <c r="DD842" s="24">
        <v>83</v>
      </c>
      <c r="DE842" s="25">
        <v>-0.59</v>
      </c>
      <c r="DF842" s="23">
        <v>-10.33</v>
      </c>
      <c r="DG842" s="25">
        <v>9.3800000000000008</v>
      </c>
      <c r="DH842" s="24">
        <v>89</v>
      </c>
      <c r="DI842" s="25">
        <v>0.93</v>
      </c>
      <c r="DJ842" s="24">
        <v>48</v>
      </c>
      <c r="DK842" s="25">
        <v>9.3800000000000008</v>
      </c>
      <c r="DL842" s="24">
        <v>86</v>
      </c>
      <c r="DM842" s="25" t="s">
        <v>138</v>
      </c>
      <c r="DN842" s="24" t="s">
        <v>138</v>
      </c>
      <c r="DO842" s="25">
        <v>0.93</v>
      </c>
      <c r="DP842" s="24">
        <v>49</v>
      </c>
      <c r="DQ842" s="24">
        <v>3291</v>
      </c>
      <c r="DR842" s="26">
        <v>-224</v>
      </c>
      <c r="DS842" s="23">
        <v>-6.37</v>
      </c>
      <c r="DT842" s="24" t="s">
        <v>138</v>
      </c>
      <c r="DU842" s="26" t="s">
        <v>138</v>
      </c>
      <c r="DV842" s="23" t="s">
        <v>138</v>
      </c>
      <c r="DW842" s="24">
        <v>330</v>
      </c>
      <c r="DX842" s="27">
        <v>4</v>
      </c>
      <c r="DY842" s="23">
        <v>1.23</v>
      </c>
      <c r="DZ842" s="15" t="s">
        <v>178</v>
      </c>
      <c r="EA842" s="22">
        <v>43495</v>
      </c>
      <c r="EB842" s="17" t="s">
        <v>138</v>
      </c>
      <c r="EC842" s="22" t="s">
        <v>138</v>
      </c>
      <c r="ED842" s="15" t="s">
        <v>138</v>
      </c>
      <c r="EE842" s="14" t="str">
        <f>HYPERLINK("https://my.pitchbook.com?c=170996-77", "View company online")</f>
        <v>View company online</v>
      </c>
    </row>
    <row r="843" spans="1:135">
      <c r="A843" s="28" t="s">
        <v>16728</v>
      </c>
      <c r="B843" s="28" t="s">
        <v>16729</v>
      </c>
      <c r="C843" s="28" t="s">
        <v>16730</v>
      </c>
      <c r="D843" s="28" t="s">
        <v>138</v>
      </c>
      <c r="E843" s="28" t="s">
        <v>16731</v>
      </c>
      <c r="F843" s="28" t="s">
        <v>16728</v>
      </c>
      <c r="G843" s="28" t="s">
        <v>16732</v>
      </c>
      <c r="H843" s="28" t="s">
        <v>141</v>
      </c>
      <c r="I843" s="28" t="s">
        <v>212</v>
      </c>
      <c r="J843" s="28" t="s">
        <v>213</v>
      </c>
      <c r="K843" s="28" t="s">
        <v>1064</v>
      </c>
      <c r="L843" s="28" t="s">
        <v>2236</v>
      </c>
      <c r="M843" s="28" t="s">
        <v>16733</v>
      </c>
      <c r="N843" s="28" t="s">
        <v>147</v>
      </c>
      <c r="O843" s="29">
        <v>80.239999999999995</v>
      </c>
      <c r="P843" s="28" t="s">
        <v>148</v>
      </c>
      <c r="Q843" s="28" t="s">
        <v>149</v>
      </c>
      <c r="R843" s="28" t="s">
        <v>1652</v>
      </c>
      <c r="S843" s="28" t="s">
        <v>16734</v>
      </c>
      <c r="T843" s="30">
        <v>84</v>
      </c>
      <c r="U843" s="28" t="s">
        <v>16735</v>
      </c>
      <c r="V843" s="28" t="s">
        <v>138</v>
      </c>
      <c r="W843" s="28" t="s">
        <v>138</v>
      </c>
      <c r="X843" s="31">
        <v>2003</v>
      </c>
      <c r="Y843" s="28" t="s">
        <v>138</v>
      </c>
      <c r="Z843" s="28" t="s">
        <v>138</v>
      </c>
      <c r="AA843" s="28" t="s">
        <v>16736</v>
      </c>
      <c r="AB843" s="32">
        <v>49.35</v>
      </c>
      <c r="AC843" s="32" t="s">
        <v>138</v>
      </c>
      <c r="AD843" s="32" t="s">
        <v>138</v>
      </c>
      <c r="AE843" s="32" t="s">
        <v>138</v>
      </c>
      <c r="AF843" s="32" t="s">
        <v>138</v>
      </c>
      <c r="AG843" s="28" t="s">
        <v>707</v>
      </c>
      <c r="AH843" s="32" t="s">
        <v>138</v>
      </c>
      <c r="AI843" s="32" t="s">
        <v>138</v>
      </c>
      <c r="AJ843" s="32" t="s">
        <v>138</v>
      </c>
      <c r="AK843" s="28" t="s">
        <v>16737</v>
      </c>
      <c r="AL843" s="28" t="s">
        <v>16738</v>
      </c>
      <c r="AM843" s="28" t="s">
        <v>2949</v>
      </c>
      <c r="AN843" s="28" t="s">
        <v>16739</v>
      </c>
      <c r="AO843" s="28" t="s">
        <v>16740</v>
      </c>
      <c r="AP843" s="28" t="s">
        <v>665</v>
      </c>
      <c r="AQ843" s="28" t="s">
        <v>16741</v>
      </c>
      <c r="AR843" s="28" t="s">
        <v>6298</v>
      </c>
      <c r="AS843" s="28" t="s">
        <v>668</v>
      </c>
      <c r="AT843" s="28" t="s">
        <v>200</v>
      </c>
      <c r="AU843" s="28" t="s">
        <v>3477</v>
      </c>
      <c r="AV843" s="28" t="s">
        <v>162</v>
      </c>
      <c r="AW843" s="28" t="s">
        <v>16740</v>
      </c>
      <c r="AX843" s="28" t="s">
        <v>16742</v>
      </c>
      <c r="AY843" s="28" t="s">
        <v>16743</v>
      </c>
      <c r="AZ843" s="28" t="s">
        <v>164</v>
      </c>
      <c r="BA843" s="28" t="s">
        <v>165</v>
      </c>
      <c r="BB843" s="28" t="s">
        <v>16744</v>
      </c>
      <c r="BC843" s="28" t="s">
        <v>16745</v>
      </c>
      <c r="BD843" s="33">
        <v>12</v>
      </c>
      <c r="BE843" s="28" t="s">
        <v>138</v>
      </c>
      <c r="BF843" s="28" t="s">
        <v>16746</v>
      </c>
      <c r="BG843" s="28" t="s">
        <v>138</v>
      </c>
      <c r="BH843" s="28" t="s">
        <v>16747</v>
      </c>
      <c r="BI843" s="28" t="s">
        <v>16748</v>
      </c>
      <c r="BJ843" s="28" t="s">
        <v>138</v>
      </c>
      <c r="BK843" s="28" t="s">
        <v>16749</v>
      </c>
      <c r="BL843" s="28" t="s">
        <v>16750</v>
      </c>
      <c r="BM843" s="34" t="s">
        <v>138</v>
      </c>
      <c r="BN843" s="29" t="s">
        <v>138</v>
      </c>
      <c r="BO843" s="28" t="s">
        <v>138</v>
      </c>
      <c r="BP843" s="29" t="s">
        <v>138</v>
      </c>
      <c r="BQ843" s="28" t="s">
        <v>138</v>
      </c>
      <c r="BR843" s="28" t="s">
        <v>316</v>
      </c>
      <c r="BS843" s="28" t="s">
        <v>138</v>
      </c>
      <c r="BT843" s="28" t="s">
        <v>138</v>
      </c>
      <c r="BU843" s="28" t="s">
        <v>177</v>
      </c>
      <c r="BV843" s="28" t="s">
        <v>138</v>
      </c>
      <c r="BW843" s="28" t="s">
        <v>138</v>
      </c>
      <c r="BX843" s="28" t="s">
        <v>138</v>
      </c>
      <c r="BY843" s="28" t="s">
        <v>175</v>
      </c>
      <c r="BZ843" s="34">
        <v>43435</v>
      </c>
      <c r="CA843" s="29">
        <v>6.3</v>
      </c>
      <c r="CB843" s="28" t="s">
        <v>1178</v>
      </c>
      <c r="CC843" s="29">
        <v>121.03</v>
      </c>
      <c r="CD843" s="28" t="s">
        <v>172</v>
      </c>
      <c r="CE843" s="28" t="s">
        <v>173</v>
      </c>
      <c r="CF843" s="28" t="s">
        <v>16751</v>
      </c>
      <c r="CG843" s="28" t="s">
        <v>138</v>
      </c>
      <c r="CH843" s="28" t="s">
        <v>174</v>
      </c>
      <c r="CI843" s="28" t="s">
        <v>138</v>
      </c>
      <c r="CJ843" s="28" t="s">
        <v>138</v>
      </c>
      <c r="CK843" s="28" t="s">
        <v>138</v>
      </c>
      <c r="CL843" s="28" t="s">
        <v>175</v>
      </c>
      <c r="CM843" s="34" t="s">
        <v>138</v>
      </c>
      <c r="CN843" s="29" t="s">
        <v>138</v>
      </c>
      <c r="CO843" s="35">
        <v>1.46</v>
      </c>
      <c r="CP843" s="36">
        <v>98</v>
      </c>
      <c r="CQ843" s="35">
        <v>-0.04</v>
      </c>
      <c r="CR843" s="35">
        <v>-2.98</v>
      </c>
      <c r="CS843" s="35">
        <v>2.89</v>
      </c>
      <c r="CT843" s="36">
        <v>99</v>
      </c>
      <c r="CU843" s="35">
        <v>0.02</v>
      </c>
      <c r="CV843" s="36">
        <v>51</v>
      </c>
      <c r="CW843" s="35">
        <v>6.03</v>
      </c>
      <c r="CX843" s="36">
        <v>97</v>
      </c>
      <c r="CY843" s="35">
        <v>-0.24</v>
      </c>
      <c r="CZ843" s="36">
        <v>23</v>
      </c>
      <c r="DA843" s="35">
        <v>0.02</v>
      </c>
      <c r="DB843" s="36">
        <v>58</v>
      </c>
      <c r="DC843" s="37">
        <v>11.33</v>
      </c>
      <c r="DD843" s="36">
        <v>91</v>
      </c>
      <c r="DE843" s="37">
        <v>-0.15</v>
      </c>
      <c r="DF843" s="35">
        <v>-1.28</v>
      </c>
      <c r="DG843" s="37">
        <v>17.8</v>
      </c>
      <c r="DH843" s="36">
        <v>94</v>
      </c>
      <c r="DI843" s="37">
        <v>4.8499999999999996</v>
      </c>
      <c r="DJ843" s="36">
        <v>77</v>
      </c>
      <c r="DK843" s="37">
        <v>4.7699999999999996</v>
      </c>
      <c r="DL843" s="36">
        <v>78</v>
      </c>
      <c r="DM843" s="37">
        <v>30.83</v>
      </c>
      <c r="DN843" s="36">
        <v>96</v>
      </c>
      <c r="DO843" s="37">
        <v>4.8499999999999996</v>
      </c>
      <c r="DP843" s="36">
        <v>79</v>
      </c>
      <c r="DQ843" s="36">
        <v>1549</v>
      </c>
      <c r="DR843" s="38">
        <v>259</v>
      </c>
      <c r="DS843" s="35">
        <v>20.079999999999998</v>
      </c>
      <c r="DT843" s="36">
        <v>894</v>
      </c>
      <c r="DU843" s="38">
        <v>-3</v>
      </c>
      <c r="DV843" s="35">
        <v>-0.33</v>
      </c>
      <c r="DW843" s="36">
        <v>1737</v>
      </c>
      <c r="DX843" s="39">
        <v>0</v>
      </c>
      <c r="DY843" s="35">
        <v>0</v>
      </c>
      <c r="DZ843" s="28" t="s">
        <v>178</v>
      </c>
      <c r="EA843" s="34">
        <v>43622</v>
      </c>
      <c r="EB843" s="29">
        <v>121.03</v>
      </c>
      <c r="EC843" s="34">
        <v>43435</v>
      </c>
      <c r="ED843" s="28" t="s">
        <v>173</v>
      </c>
      <c r="EE843" s="40" t="str">
        <f>HYPERLINK("https://my.pitchbook.com?c=52164-28", "View company online")</f>
        <v>View company online</v>
      </c>
    </row>
    <row r="844" spans="1:135">
      <c r="A844" s="15" t="s">
        <v>16752</v>
      </c>
      <c r="B844" s="15" t="s">
        <v>16753</v>
      </c>
      <c r="C844" s="15" t="s">
        <v>138</v>
      </c>
      <c r="D844" s="15" t="s">
        <v>138</v>
      </c>
      <c r="E844" s="15" t="s">
        <v>138</v>
      </c>
      <c r="F844" s="15" t="s">
        <v>16752</v>
      </c>
      <c r="G844" s="15" t="s">
        <v>16754</v>
      </c>
      <c r="H844" s="15" t="s">
        <v>5219</v>
      </c>
      <c r="I844" s="15" t="s">
        <v>6415</v>
      </c>
      <c r="J844" s="15" t="s">
        <v>14201</v>
      </c>
      <c r="K844" s="15" t="s">
        <v>16755</v>
      </c>
      <c r="L844" s="15" t="s">
        <v>5223</v>
      </c>
      <c r="M844" s="15" t="s">
        <v>16756</v>
      </c>
      <c r="N844" s="15" t="s">
        <v>147</v>
      </c>
      <c r="O844" s="17" t="s">
        <v>138</v>
      </c>
      <c r="P844" s="15" t="s">
        <v>610</v>
      </c>
      <c r="Q844" s="15" t="s">
        <v>149</v>
      </c>
      <c r="R844" s="15" t="s">
        <v>174</v>
      </c>
      <c r="S844" s="15" t="s">
        <v>138</v>
      </c>
      <c r="T844" s="18" t="s">
        <v>138</v>
      </c>
      <c r="U844" s="15" t="s">
        <v>138</v>
      </c>
      <c r="V844" s="15" t="s">
        <v>138</v>
      </c>
      <c r="W844" s="15" t="s">
        <v>138</v>
      </c>
      <c r="X844" s="19">
        <v>2013</v>
      </c>
      <c r="Y844" s="15" t="s">
        <v>138</v>
      </c>
      <c r="Z844" s="15" t="s">
        <v>138</v>
      </c>
      <c r="AA844" s="15" t="s">
        <v>138</v>
      </c>
      <c r="AB844" s="20" t="s">
        <v>138</v>
      </c>
      <c r="AC844" s="20" t="s">
        <v>138</v>
      </c>
      <c r="AD844" s="20" t="s">
        <v>138</v>
      </c>
      <c r="AE844" s="20" t="s">
        <v>138</v>
      </c>
      <c r="AF844" s="20" t="s">
        <v>138</v>
      </c>
      <c r="AG844" s="15" t="s">
        <v>138</v>
      </c>
      <c r="AH844" s="20" t="s">
        <v>138</v>
      </c>
      <c r="AI844" s="20" t="s">
        <v>138</v>
      </c>
      <c r="AJ844" s="20" t="s">
        <v>138</v>
      </c>
      <c r="AK844" s="15" t="s">
        <v>138</v>
      </c>
      <c r="AL844" s="15" t="s">
        <v>138</v>
      </c>
      <c r="AM844" s="15" t="s">
        <v>138</v>
      </c>
      <c r="AN844" s="15" t="s">
        <v>138</v>
      </c>
      <c r="AO844" s="15" t="s">
        <v>138</v>
      </c>
      <c r="AP844" s="15" t="s">
        <v>861</v>
      </c>
      <c r="AQ844" s="15" t="s">
        <v>16757</v>
      </c>
      <c r="AR844" s="15" t="s">
        <v>16758</v>
      </c>
      <c r="AS844" s="15" t="s">
        <v>863</v>
      </c>
      <c r="AT844" s="15" t="s">
        <v>864</v>
      </c>
      <c r="AU844" s="15" t="s">
        <v>16759</v>
      </c>
      <c r="AV844" s="15" t="s">
        <v>162</v>
      </c>
      <c r="AW844" s="15" t="s">
        <v>138</v>
      </c>
      <c r="AX844" s="15" t="s">
        <v>138</v>
      </c>
      <c r="AY844" s="15" t="s">
        <v>138</v>
      </c>
      <c r="AZ844" s="15" t="s">
        <v>164</v>
      </c>
      <c r="BA844" s="15" t="s">
        <v>165</v>
      </c>
      <c r="BB844" s="15" t="s">
        <v>16760</v>
      </c>
      <c r="BC844" s="15" t="s">
        <v>16761</v>
      </c>
      <c r="BD844" s="21">
        <v>2</v>
      </c>
      <c r="BE844" s="15" t="s">
        <v>138</v>
      </c>
      <c r="BF844" s="15" t="s">
        <v>138</v>
      </c>
      <c r="BG844" s="15" t="s">
        <v>138</v>
      </c>
      <c r="BH844" s="15" t="s">
        <v>16762</v>
      </c>
      <c r="BI844" s="15" t="s">
        <v>138</v>
      </c>
      <c r="BJ844" s="15" t="s">
        <v>138</v>
      </c>
      <c r="BK844" s="15" t="s">
        <v>138</v>
      </c>
      <c r="BL844" s="15" t="s">
        <v>138</v>
      </c>
      <c r="BM844" s="22">
        <v>41439</v>
      </c>
      <c r="BN844" s="17" t="s">
        <v>138</v>
      </c>
      <c r="BO844" s="15" t="s">
        <v>138</v>
      </c>
      <c r="BP844" s="17" t="s">
        <v>138</v>
      </c>
      <c r="BQ844" s="15" t="s">
        <v>138</v>
      </c>
      <c r="BR844" s="15" t="s">
        <v>1465</v>
      </c>
      <c r="BS844" s="15" t="s">
        <v>138</v>
      </c>
      <c r="BT844" s="15" t="s">
        <v>138</v>
      </c>
      <c r="BU844" s="15" t="s">
        <v>174</v>
      </c>
      <c r="BV844" s="15" t="s">
        <v>138</v>
      </c>
      <c r="BW844" s="15" t="s">
        <v>138</v>
      </c>
      <c r="BX844" s="15" t="s">
        <v>138</v>
      </c>
      <c r="BY844" s="15" t="s">
        <v>175</v>
      </c>
      <c r="BZ844" s="22">
        <v>41439</v>
      </c>
      <c r="CA844" s="17" t="s">
        <v>138</v>
      </c>
      <c r="CB844" s="15" t="s">
        <v>138</v>
      </c>
      <c r="CC844" s="17" t="s">
        <v>138</v>
      </c>
      <c r="CD844" s="15" t="s">
        <v>138</v>
      </c>
      <c r="CE844" s="15" t="s">
        <v>1465</v>
      </c>
      <c r="CF844" s="15" t="s">
        <v>138</v>
      </c>
      <c r="CG844" s="15" t="s">
        <v>138</v>
      </c>
      <c r="CH844" s="15" t="s">
        <v>174</v>
      </c>
      <c r="CI844" s="15" t="s">
        <v>138</v>
      </c>
      <c r="CJ844" s="15" t="s">
        <v>138</v>
      </c>
      <c r="CK844" s="15" t="s">
        <v>138</v>
      </c>
      <c r="CL844" s="15" t="s">
        <v>175</v>
      </c>
      <c r="CM844" s="22" t="s">
        <v>138</v>
      </c>
      <c r="CN844" s="17" t="s">
        <v>138</v>
      </c>
      <c r="CO844" s="23" t="s">
        <v>138</v>
      </c>
      <c r="CP844" s="24" t="s">
        <v>138</v>
      </c>
      <c r="CQ844" s="23" t="s">
        <v>138</v>
      </c>
      <c r="CR844" s="23" t="s">
        <v>138</v>
      </c>
      <c r="CS844" s="23" t="s">
        <v>138</v>
      </c>
      <c r="CT844" s="24" t="s">
        <v>138</v>
      </c>
      <c r="CU844" s="23" t="s">
        <v>138</v>
      </c>
      <c r="CV844" s="24" t="s">
        <v>138</v>
      </c>
      <c r="CW844" s="23" t="s">
        <v>138</v>
      </c>
      <c r="CX844" s="24" t="s">
        <v>138</v>
      </c>
      <c r="CY844" s="23" t="s">
        <v>138</v>
      </c>
      <c r="CZ844" s="24" t="s">
        <v>138</v>
      </c>
      <c r="DA844" s="23" t="s">
        <v>138</v>
      </c>
      <c r="DB844" s="24" t="s">
        <v>138</v>
      </c>
      <c r="DC844" s="25" t="s">
        <v>138</v>
      </c>
      <c r="DD844" s="24" t="s">
        <v>138</v>
      </c>
      <c r="DE844" s="25" t="s">
        <v>138</v>
      </c>
      <c r="DF844" s="23" t="s">
        <v>138</v>
      </c>
      <c r="DG844" s="25" t="s">
        <v>138</v>
      </c>
      <c r="DH844" s="24" t="s">
        <v>138</v>
      </c>
      <c r="DI844" s="25" t="s">
        <v>138</v>
      </c>
      <c r="DJ844" s="24" t="s">
        <v>138</v>
      </c>
      <c r="DK844" s="25" t="s">
        <v>138</v>
      </c>
      <c r="DL844" s="24" t="s">
        <v>138</v>
      </c>
      <c r="DM844" s="25" t="s">
        <v>138</v>
      </c>
      <c r="DN844" s="24" t="s">
        <v>138</v>
      </c>
      <c r="DO844" s="25" t="s">
        <v>138</v>
      </c>
      <c r="DP844" s="24" t="s">
        <v>138</v>
      </c>
      <c r="DQ844" s="24" t="s">
        <v>138</v>
      </c>
      <c r="DR844" s="26" t="s">
        <v>138</v>
      </c>
      <c r="DS844" s="23" t="s">
        <v>138</v>
      </c>
      <c r="DT844" s="24" t="s">
        <v>138</v>
      </c>
      <c r="DU844" s="26" t="s">
        <v>138</v>
      </c>
      <c r="DV844" s="23" t="s">
        <v>138</v>
      </c>
      <c r="DW844" s="24" t="s">
        <v>138</v>
      </c>
      <c r="DX844" s="27" t="s">
        <v>138</v>
      </c>
      <c r="DY844" s="23" t="s">
        <v>138</v>
      </c>
      <c r="DZ844" s="15" t="s">
        <v>178</v>
      </c>
      <c r="EA844" s="22">
        <v>43351</v>
      </c>
      <c r="EB844" s="17" t="s">
        <v>138</v>
      </c>
      <c r="EC844" s="22" t="s">
        <v>138</v>
      </c>
      <c r="ED844" s="15" t="s">
        <v>138</v>
      </c>
      <c r="EE844" s="14" t="str">
        <f>HYPERLINK("https://my.pitchbook.com?c=161644-42", "View company online")</f>
        <v>View company online</v>
      </c>
    </row>
    <row r="845" spans="1:135">
      <c r="A845" s="28" t="s">
        <v>16763</v>
      </c>
      <c r="B845" s="28" t="s">
        <v>16764</v>
      </c>
      <c r="C845" s="28" t="s">
        <v>16765</v>
      </c>
      <c r="D845" s="28" t="s">
        <v>138</v>
      </c>
      <c r="E845" s="28" t="s">
        <v>138</v>
      </c>
      <c r="F845" s="28" t="s">
        <v>16763</v>
      </c>
      <c r="G845" s="28" t="s">
        <v>16766</v>
      </c>
      <c r="H845" s="28" t="s">
        <v>238</v>
      </c>
      <c r="I845" s="28" t="s">
        <v>749</v>
      </c>
      <c r="J845" s="28" t="s">
        <v>750</v>
      </c>
      <c r="K845" s="28" t="s">
        <v>5196</v>
      </c>
      <c r="L845" s="28" t="s">
        <v>4703</v>
      </c>
      <c r="M845" s="28" t="s">
        <v>16767</v>
      </c>
      <c r="N845" s="28" t="s">
        <v>147</v>
      </c>
      <c r="O845" s="29">
        <v>2.85</v>
      </c>
      <c r="P845" s="28" t="s">
        <v>148</v>
      </c>
      <c r="Q845" s="28" t="s">
        <v>149</v>
      </c>
      <c r="R845" s="28" t="s">
        <v>174</v>
      </c>
      <c r="S845" s="28" t="s">
        <v>16768</v>
      </c>
      <c r="T845" s="30">
        <v>11</v>
      </c>
      <c r="U845" s="28" t="s">
        <v>3406</v>
      </c>
      <c r="V845" s="28" t="s">
        <v>138</v>
      </c>
      <c r="W845" s="28" t="s">
        <v>138</v>
      </c>
      <c r="X845" s="31">
        <v>2009</v>
      </c>
      <c r="Y845" s="28" t="s">
        <v>138</v>
      </c>
      <c r="Z845" s="28" t="s">
        <v>138</v>
      </c>
      <c r="AA845" s="28" t="s">
        <v>138</v>
      </c>
      <c r="AB845" s="32" t="s">
        <v>138</v>
      </c>
      <c r="AC845" s="32" t="s">
        <v>138</v>
      </c>
      <c r="AD845" s="32" t="s">
        <v>138</v>
      </c>
      <c r="AE845" s="32" t="s">
        <v>138</v>
      </c>
      <c r="AF845" s="32" t="s">
        <v>138</v>
      </c>
      <c r="AG845" s="28" t="s">
        <v>138</v>
      </c>
      <c r="AH845" s="32" t="s">
        <v>138</v>
      </c>
      <c r="AI845" s="32" t="s">
        <v>138</v>
      </c>
      <c r="AJ845" s="32" t="s">
        <v>138</v>
      </c>
      <c r="AK845" s="28" t="s">
        <v>16769</v>
      </c>
      <c r="AL845" s="28" t="s">
        <v>16770</v>
      </c>
      <c r="AM845" s="28" t="s">
        <v>916</v>
      </c>
      <c r="AN845" s="28" t="s">
        <v>138</v>
      </c>
      <c r="AO845" s="28" t="s">
        <v>16771</v>
      </c>
      <c r="AP845" s="28" t="s">
        <v>16772</v>
      </c>
      <c r="AQ845" s="28" t="s">
        <v>16773</v>
      </c>
      <c r="AR845" s="28" t="s">
        <v>138</v>
      </c>
      <c r="AS845" s="28" t="s">
        <v>16774</v>
      </c>
      <c r="AT845" s="28" t="s">
        <v>16775</v>
      </c>
      <c r="AU845" s="28" t="s">
        <v>16776</v>
      </c>
      <c r="AV845" s="28" t="s">
        <v>162</v>
      </c>
      <c r="AW845" s="28" t="s">
        <v>16771</v>
      </c>
      <c r="AX845" s="28" t="s">
        <v>138</v>
      </c>
      <c r="AY845" s="28" t="s">
        <v>16777</v>
      </c>
      <c r="AZ845" s="28" t="s">
        <v>164</v>
      </c>
      <c r="BA845" s="28" t="s">
        <v>165</v>
      </c>
      <c r="BB845" s="28" t="s">
        <v>16778</v>
      </c>
      <c r="BC845" s="28" t="s">
        <v>1012</v>
      </c>
      <c r="BD845" s="33">
        <v>1</v>
      </c>
      <c r="BE845" s="28" t="s">
        <v>138</v>
      </c>
      <c r="BF845" s="28" t="s">
        <v>138</v>
      </c>
      <c r="BG845" s="28" t="s">
        <v>138</v>
      </c>
      <c r="BH845" s="28" t="s">
        <v>1013</v>
      </c>
      <c r="BI845" s="28" t="s">
        <v>138</v>
      </c>
      <c r="BJ845" s="28" t="s">
        <v>138</v>
      </c>
      <c r="BK845" s="28" t="s">
        <v>138</v>
      </c>
      <c r="BL845" s="28" t="s">
        <v>138</v>
      </c>
      <c r="BM845" s="34" t="s">
        <v>138</v>
      </c>
      <c r="BN845" s="29">
        <v>0.25</v>
      </c>
      <c r="BO845" s="28" t="s">
        <v>172</v>
      </c>
      <c r="BP845" s="29">
        <v>1.82</v>
      </c>
      <c r="BQ845" s="28" t="s">
        <v>172</v>
      </c>
      <c r="BR845" s="28" t="s">
        <v>205</v>
      </c>
      <c r="BS845" s="28" t="s">
        <v>206</v>
      </c>
      <c r="BT845" s="28" t="s">
        <v>138</v>
      </c>
      <c r="BU845" s="28" t="s">
        <v>174</v>
      </c>
      <c r="BV845" s="28" t="s">
        <v>138</v>
      </c>
      <c r="BW845" s="28" t="s">
        <v>138</v>
      </c>
      <c r="BX845" s="28" t="s">
        <v>138</v>
      </c>
      <c r="BY845" s="28" t="s">
        <v>175</v>
      </c>
      <c r="BZ845" s="34">
        <v>42062</v>
      </c>
      <c r="CA845" s="29">
        <v>0.75</v>
      </c>
      <c r="CB845" s="28" t="s">
        <v>172</v>
      </c>
      <c r="CC845" s="29" t="s">
        <v>138</v>
      </c>
      <c r="CD845" s="28" t="s">
        <v>138</v>
      </c>
      <c r="CE845" s="28" t="s">
        <v>173</v>
      </c>
      <c r="CF845" s="28" t="s">
        <v>138</v>
      </c>
      <c r="CG845" s="28" t="s">
        <v>138</v>
      </c>
      <c r="CH845" s="28" t="s">
        <v>174</v>
      </c>
      <c r="CI845" s="28" t="s">
        <v>138</v>
      </c>
      <c r="CJ845" s="28" t="s">
        <v>138</v>
      </c>
      <c r="CK845" s="28" t="s">
        <v>138</v>
      </c>
      <c r="CL845" s="28" t="s">
        <v>175</v>
      </c>
      <c r="CM845" s="34" t="s">
        <v>138</v>
      </c>
      <c r="CN845" s="29" t="s">
        <v>138</v>
      </c>
      <c r="CO845" s="35">
        <v>1.84</v>
      </c>
      <c r="CP845" s="36">
        <v>99</v>
      </c>
      <c r="CQ845" s="35">
        <v>-0.01</v>
      </c>
      <c r="CR845" s="35">
        <v>-0.45</v>
      </c>
      <c r="CS845" s="35">
        <v>3.66</v>
      </c>
      <c r="CT845" s="36">
        <v>100</v>
      </c>
      <c r="CU845" s="35">
        <v>0.03</v>
      </c>
      <c r="CV845" s="36">
        <v>54</v>
      </c>
      <c r="CW845" s="35">
        <v>3.66</v>
      </c>
      <c r="CX845" s="36">
        <v>93</v>
      </c>
      <c r="CY845" s="35" t="s">
        <v>138</v>
      </c>
      <c r="CZ845" s="36" t="s">
        <v>138</v>
      </c>
      <c r="DA845" s="35">
        <v>-0.03</v>
      </c>
      <c r="DB845" s="36">
        <v>17</v>
      </c>
      <c r="DC845" s="37">
        <v>6.96</v>
      </c>
      <c r="DD845" s="36">
        <v>87</v>
      </c>
      <c r="DE845" s="37">
        <v>-0.24</v>
      </c>
      <c r="DF845" s="35">
        <v>-3.39</v>
      </c>
      <c r="DG845" s="37">
        <v>3.96</v>
      </c>
      <c r="DH845" s="36">
        <v>79</v>
      </c>
      <c r="DI845" s="37">
        <v>9.9600000000000009</v>
      </c>
      <c r="DJ845" s="36">
        <v>85</v>
      </c>
      <c r="DK845" s="37">
        <v>3.96</v>
      </c>
      <c r="DL845" s="36">
        <v>76</v>
      </c>
      <c r="DM845" s="37" t="s">
        <v>138</v>
      </c>
      <c r="DN845" s="36" t="s">
        <v>138</v>
      </c>
      <c r="DO845" s="37">
        <v>8.99</v>
      </c>
      <c r="DP845" s="36">
        <v>86</v>
      </c>
      <c r="DQ845" s="36">
        <v>1322</v>
      </c>
      <c r="DR845" s="38">
        <v>108</v>
      </c>
      <c r="DS845" s="35">
        <v>8.9</v>
      </c>
      <c r="DT845" s="36" t="s">
        <v>138</v>
      </c>
      <c r="DU845" s="38" t="s">
        <v>138</v>
      </c>
      <c r="DV845" s="35" t="s">
        <v>138</v>
      </c>
      <c r="DW845" s="36">
        <v>3219</v>
      </c>
      <c r="DX845" s="39">
        <v>-3</v>
      </c>
      <c r="DY845" s="35">
        <v>-0.09</v>
      </c>
      <c r="DZ845" s="28" t="s">
        <v>178</v>
      </c>
      <c r="EA845" s="34">
        <v>43523</v>
      </c>
      <c r="EB845" s="29">
        <v>6</v>
      </c>
      <c r="EC845" s="34">
        <v>41451</v>
      </c>
      <c r="ED845" s="28" t="s">
        <v>173</v>
      </c>
      <c r="EE845" s="40" t="str">
        <f>HYPERLINK("https://my.pitchbook.com?c=57718-00", "View company online")</f>
        <v>View company online</v>
      </c>
    </row>
    <row r="846" spans="1:135">
      <c r="A846" s="15" t="s">
        <v>16779</v>
      </c>
      <c r="B846" s="15" t="s">
        <v>16780</v>
      </c>
      <c r="C846" s="15" t="s">
        <v>138</v>
      </c>
      <c r="D846" s="15" t="s">
        <v>138</v>
      </c>
      <c r="E846" s="15" t="s">
        <v>16781</v>
      </c>
      <c r="F846" s="15" t="s">
        <v>16779</v>
      </c>
      <c r="G846" s="15" t="s">
        <v>16782</v>
      </c>
      <c r="H846" s="15" t="s">
        <v>322</v>
      </c>
      <c r="I846" s="15" t="s">
        <v>323</v>
      </c>
      <c r="J846" s="15" t="s">
        <v>437</v>
      </c>
      <c r="K846" s="15" t="s">
        <v>6110</v>
      </c>
      <c r="L846" s="15" t="s">
        <v>16783</v>
      </c>
      <c r="M846" s="15" t="s">
        <v>16784</v>
      </c>
      <c r="N846" s="15" t="s">
        <v>147</v>
      </c>
      <c r="O846" s="17">
        <v>475</v>
      </c>
      <c r="P846" s="15" t="s">
        <v>148</v>
      </c>
      <c r="Q846" s="15" t="s">
        <v>149</v>
      </c>
      <c r="R846" s="15" t="s">
        <v>174</v>
      </c>
      <c r="S846" s="15" t="s">
        <v>16785</v>
      </c>
      <c r="T846" s="18">
        <v>150</v>
      </c>
      <c r="U846" s="15" t="s">
        <v>16786</v>
      </c>
      <c r="V846" s="15" t="s">
        <v>138</v>
      </c>
      <c r="W846" s="15" t="s">
        <v>138</v>
      </c>
      <c r="X846" s="19">
        <v>2010</v>
      </c>
      <c r="Y846" s="15" t="s">
        <v>138</v>
      </c>
      <c r="Z846" s="15" t="s">
        <v>138</v>
      </c>
      <c r="AA846" s="15" t="s">
        <v>1163</v>
      </c>
      <c r="AB846" s="20">
        <v>740</v>
      </c>
      <c r="AC846" s="20" t="s">
        <v>138</v>
      </c>
      <c r="AD846" s="20" t="s">
        <v>138</v>
      </c>
      <c r="AE846" s="20" t="s">
        <v>138</v>
      </c>
      <c r="AF846" s="20" t="s">
        <v>138</v>
      </c>
      <c r="AG846" s="15" t="s">
        <v>707</v>
      </c>
      <c r="AH846" s="20" t="s">
        <v>138</v>
      </c>
      <c r="AI846" s="20" t="s">
        <v>138</v>
      </c>
      <c r="AJ846" s="20" t="s">
        <v>138</v>
      </c>
      <c r="AK846" s="15" t="s">
        <v>16787</v>
      </c>
      <c r="AL846" s="15" t="s">
        <v>16788</v>
      </c>
      <c r="AM846" s="15" t="s">
        <v>221</v>
      </c>
      <c r="AN846" s="15" t="s">
        <v>16789</v>
      </c>
      <c r="AO846" s="15" t="s">
        <v>16790</v>
      </c>
      <c r="AP846" s="15" t="s">
        <v>665</v>
      </c>
      <c r="AQ846" s="15" t="s">
        <v>16791</v>
      </c>
      <c r="AR846" s="15" t="s">
        <v>1459</v>
      </c>
      <c r="AS846" s="15" t="s">
        <v>668</v>
      </c>
      <c r="AT846" s="15" t="s">
        <v>200</v>
      </c>
      <c r="AU846" s="15" t="s">
        <v>2052</v>
      </c>
      <c r="AV846" s="15" t="s">
        <v>162</v>
      </c>
      <c r="AW846" s="15" t="s">
        <v>16790</v>
      </c>
      <c r="AX846" s="15" t="s">
        <v>138</v>
      </c>
      <c r="AY846" s="15" t="s">
        <v>138</v>
      </c>
      <c r="AZ846" s="15" t="s">
        <v>164</v>
      </c>
      <c r="BA846" s="15" t="s">
        <v>165</v>
      </c>
      <c r="BB846" s="15" t="s">
        <v>16792</v>
      </c>
      <c r="BC846" s="15" t="s">
        <v>16793</v>
      </c>
      <c r="BD846" s="21">
        <v>24</v>
      </c>
      <c r="BE846" s="15" t="s">
        <v>138</v>
      </c>
      <c r="BF846" s="15" t="s">
        <v>138</v>
      </c>
      <c r="BG846" s="15" t="s">
        <v>138</v>
      </c>
      <c r="BH846" s="15" t="s">
        <v>16794</v>
      </c>
      <c r="BI846" s="15" t="s">
        <v>138</v>
      </c>
      <c r="BJ846" s="15" t="s">
        <v>138</v>
      </c>
      <c r="BK846" s="15" t="s">
        <v>16795</v>
      </c>
      <c r="BL846" s="15" t="s">
        <v>2936</v>
      </c>
      <c r="BM846" s="22">
        <v>42425</v>
      </c>
      <c r="BN846" s="17">
        <v>30</v>
      </c>
      <c r="BO846" s="15" t="s">
        <v>172</v>
      </c>
      <c r="BP846" s="17">
        <v>100</v>
      </c>
      <c r="BQ846" s="15" t="s">
        <v>172</v>
      </c>
      <c r="BR846" s="15" t="s">
        <v>205</v>
      </c>
      <c r="BS846" s="15" t="s">
        <v>206</v>
      </c>
      <c r="BT846" s="15" t="s">
        <v>138</v>
      </c>
      <c r="BU846" s="15" t="s">
        <v>174</v>
      </c>
      <c r="BV846" s="15" t="s">
        <v>138</v>
      </c>
      <c r="BW846" s="15" t="s">
        <v>138</v>
      </c>
      <c r="BX846" s="15" t="s">
        <v>138</v>
      </c>
      <c r="BY846" s="15" t="s">
        <v>175</v>
      </c>
      <c r="BZ846" s="22">
        <v>43467</v>
      </c>
      <c r="CA846" s="17">
        <v>245</v>
      </c>
      <c r="CB846" s="15" t="s">
        <v>172</v>
      </c>
      <c r="CC846" s="17">
        <v>4000</v>
      </c>
      <c r="CD846" s="15" t="s">
        <v>1178</v>
      </c>
      <c r="CE846" s="15" t="s">
        <v>173</v>
      </c>
      <c r="CF846" s="15" t="s">
        <v>317</v>
      </c>
      <c r="CG846" s="15" t="s">
        <v>138</v>
      </c>
      <c r="CH846" s="15" t="s">
        <v>174</v>
      </c>
      <c r="CI846" s="15" t="s">
        <v>138</v>
      </c>
      <c r="CJ846" s="15" t="s">
        <v>138</v>
      </c>
      <c r="CK846" s="15" t="s">
        <v>138</v>
      </c>
      <c r="CL846" s="15" t="s">
        <v>175</v>
      </c>
      <c r="CM846" s="22" t="s">
        <v>138</v>
      </c>
      <c r="CN846" s="17" t="s">
        <v>138</v>
      </c>
      <c r="CO846" s="23">
        <v>-0.24</v>
      </c>
      <c r="CP846" s="24">
        <v>19</v>
      </c>
      <c r="CQ846" s="23">
        <v>0</v>
      </c>
      <c r="CR846" s="23">
        <v>-1.1100000000000001</v>
      </c>
      <c r="CS846" s="23">
        <v>-1.18</v>
      </c>
      <c r="CT846" s="24">
        <v>14</v>
      </c>
      <c r="CU846" s="23">
        <v>0.11</v>
      </c>
      <c r="CV846" s="24">
        <v>70</v>
      </c>
      <c r="CW846" s="23">
        <v>-0.77</v>
      </c>
      <c r="CX846" s="24">
        <v>10</v>
      </c>
      <c r="CY846" s="23">
        <v>-1.59</v>
      </c>
      <c r="CZ846" s="24">
        <v>14</v>
      </c>
      <c r="DA846" s="23">
        <v>0.11</v>
      </c>
      <c r="DB846" s="24">
        <v>73</v>
      </c>
      <c r="DC846" s="25">
        <v>3018.71</v>
      </c>
      <c r="DD846" s="24">
        <v>100</v>
      </c>
      <c r="DE846" s="25">
        <v>111.03</v>
      </c>
      <c r="DF846" s="23">
        <v>3.82</v>
      </c>
      <c r="DG846" s="25">
        <v>129.84</v>
      </c>
      <c r="DH846" s="24">
        <v>100</v>
      </c>
      <c r="DI846" s="25">
        <v>2426.15</v>
      </c>
      <c r="DJ846" s="24">
        <v>100</v>
      </c>
      <c r="DK846" s="25">
        <v>96.26</v>
      </c>
      <c r="DL846" s="24">
        <v>98</v>
      </c>
      <c r="DM846" s="25">
        <v>163.41</v>
      </c>
      <c r="DN846" s="24">
        <v>100</v>
      </c>
      <c r="DO846" s="25">
        <v>2426.15</v>
      </c>
      <c r="DP846" s="24">
        <v>100</v>
      </c>
      <c r="DQ846" s="24">
        <v>33087</v>
      </c>
      <c r="DR846" s="26">
        <v>-214</v>
      </c>
      <c r="DS846" s="23">
        <v>-0.64</v>
      </c>
      <c r="DT846" s="24">
        <v>4741</v>
      </c>
      <c r="DU846" s="26">
        <v>-7</v>
      </c>
      <c r="DV846" s="23">
        <v>-0.15</v>
      </c>
      <c r="DW846" s="24">
        <v>868263</v>
      </c>
      <c r="DX846" s="27">
        <v>755</v>
      </c>
      <c r="DY846" s="23">
        <v>0.09</v>
      </c>
      <c r="DZ846" s="15" t="s">
        <v>178</v>
      </c>
      <c r="EA846" s="22">
        <v>43598</v>
      </c>
      <c r="EB846" s="17">
        <v>4000</v>
      </c>
      <c r="EC846" s="22">
        <v>43467</v>
      </c>
      <c r="ED846" s="15" t="s">
        <v>173</v>
      </c>
      <c r="EE846" s="14" t="str">
        <f>HYPERLINK("https://my.pitchbook.com?c=101984-86", "View company online")</f>
        <v>View company online</v>
      </c>
    </row>
    <row r="847" spans="1:135">
      <c r="A847" s="28" t="s">
        <v>16796</v>
      </c>
      <c r="B847" s="28" t="s">
        <v>16797</v>
      </c>
      <c r="C847" s="28" t="s">
        <v>138</v>
      </c>
      <c r="D847" s="28" t="s">
        <v>16798</v>
      </c>
      <c r="E847" s="28" t="s">
        <v>138</v>
      </c>
      <c r="F847" s="28" t="s">
        <v>16796</v>
      </c>
      <c r="G847" s="28" t="s">
        <v>16799</v>
      </c>
      <c r="H847" s="28" t="s">
        <v>141</v>
      </c>
      <c r="I847" s="28" t="s">
        <v>212</v>
      </c>
      <c r="J847" s="28" t="s">
        <v>2483</v>
      </c>
      <c r="K847" s="28" t="s">
        <v>16800</v>
      </c>
      <c r="L847" s="28" t="s">
        <v>16801</v>
      </c>
      <c r="M847" s="28" t="s">
        <v>16802</v>
      </c>
      <c r="N847" s="28" t="s">
        <v>147</v>
      </c>
      <c r="O847" s="29">
        <v>56</v>
      </c>
      <c r="P847" s="28" t="s">
        <v>148</v>
      </c>
      <c r="Q847" s="28" t="s">
        <v>149</v>
      </c>
      <c r="R847" s="28" t="s">
        <v>244</v>
      </c>
      <c r="S847" s="28" t="s">
        <v>16803</v>
      </c>
      <c r="T847" s="30">
        <v>10</v>
      </c>
      <c r="U847" s="28" t="s">
        <v>12124</v>
      </c>
      <c r="V847" s="28" t="s">
        <v>138</v>
      </c>
      <c r="W847" s="28" t="s">
        <v>138</v>
      </c>
      <c r="X847" s="31">
        <v>2003</v>
      </c>
      <c r="Y847" s="28" t="s">
        <v>138</v>
      </c>
      <c r="Z847" s="28" t="s">
        <v>138</v>
      </c>
      <c r="AA847" s="28" t="s">
        <v>138</v>
      </c>
      <c r="AB847" s="32" t="s">
        <v>138</v>
      </c>
      <c r="AC847" s="32" t="s">
        <v>138</v>
      </c>
      <c r="AD847" s="32" t="s">
        <v>138</v>
      </c>
      <c r="AE847" s="32" t="s">
        <v>138</v>
      </c>
      <c r="AF847" s="32" t="s">
        <v>138</v>
      </c>
      <c r="AG847" s="28" t="s">
        <v>138</v>
      </c>
      <c r="AH847" s="32" t="s">
        <v>138</v>
      </c>
      <c r="AI847" s="32" t="s">
        <v>138</v>
      </c>
      <c r="AJ847" s="32" t="s">
        <v>138</v>
      </c>
      <c r="AK847" s="28" t="s">
        <v>16804</v>
      </c>
      <c r="AL847" s="28" t="s">
        <v>16805</v>
      </c>
      <c r="AM847" s="28" t="s">
        <v>566</v>
      </c>
      <c r="AN847" s="28" t="s">
        <v>16806</v>
      </c>
      <c r="AO847" s="28" t="s">
        <v>16807</v>
      </c>
      <c r="AP847" s="28" t="s">
        <v>820</v>
      </c>
      <c r="AQ847" s="28" t="s">
        <v>16808</v>
      </c>
      <c r="AR847" s="28" t="s">
        <v>2245</v>
      </c>
      <c r="AS847" s="28" t="s">
        <v>823</v>
      </c>
      <c r="AT847" s="28" t="s">
        <v>824</v>
      </c>
      <c r="AU847" s="28" t="s">
        <v>16809</v>
      </c>
      <c r="AV847" s="28" t="s">
        <v>526</v>
      </c>
      <c r="AW847" s="28" t="s">
        <v>16810</v>
      </c>
      <c r="AX847" s="28" t="s">
        <v>138</v>
      </c>
      <c r="AY847" s="28" t="s">
        <v>16811</v>
      </c>
      <c r="AZ847" s="28" t="s">
        <v>530</v>
      </c>
      <c r="BA847" s="28" t="s">
        <v>531</v>
      </c>
      <c r="BB847" s="28" t="s">
        <v>16812</v>
      </c>
      <c r="BC847" s="28" t="s">
        <v>16813</v>
      </c>
      <c r="BD847" s="33">
        <v>10</v>
      </c>
      <c r="BE847" s="28" t="s">
        <v>138</v>
      </c>
      <c r="BF847" s="28" t="s">
        <v>138</v>
      </c>
      <c r="BG847" s="28" t="s">
        <v>138</v>
      </c>
      <c r="BH847" s="28" t="s">
        <v>16814</v>
      </c>
      <c r="BI847" s="28" t="s">
        <v>138</v>
      </c>
      <c r="BJ847" s="28" t="s">
        <v>138</v>
      </c>
      <c r="BK847" s="28" t="s">
        <v>1251</v>
      </c>
      <c r="BL847" s="28" t="s">
        <v>16815</v>
      </c>
      <c r="BM847" s="34">
        <v>38684</v>
      </c>
      <c r="BN847" s="29">
        <v>10.69</v>
      </c>
      <c r="BO847" s="28" t="s">
        <v>172</v>
      </c>
      <c r="BP847" s="29" t="s">
        <v>138</v>
      </c>
      <c r="BQ847" s="28" t="s">
        <v>138</v>
      </c>
      <c r="BR847" s="28" t="s">
        <v>205</v>
      </c>
      <c r="BS847" s="28" t="s">
        <v>206</v>
      </c>
      <c r="BT847" s="28" t="s">
        <v>138</v>
      </c>
      <c r="BU847" s="28" t="s">
        <v>174</v>
      </c>
      <c r="BV847" s="28" t="s">
        <v>138</v>
      </c>
      <c r="BW847" s="28" t="s">
        <v>138</v>
      </c>
      <c r="BX847" s="28" t="s">
        <v>138</v>
      </c>
      <c r="BY847" s="28" t="s">
        <v>175</v>
      </c>
      <c r="BZ847" s="34">
        <v>42317</v>
      </c>
      <c r="CA847" s="29" t="s">
        <v>138</v>
      </c>
      <c r="CB847" s="28" t="s">
        <v>138</v>
      </c>
      <c r="CC847" s="29" t="s">
        <v>138</v>
      </c>
      <c r="CD847" s="28" t="s">
        <v>138</v>
      </c>
      <c r="CE847" s="28" t="s">
        <v>173</v>
      </c>
      <c r="CF847" s="28" t="s">
        <v>433</v>
      </c>
      <c r="CG847" s="28" t="s">
        <v>138</v>
      </c>
      <c r="CH847" s="28" t="s">
        <v>174</v>
      </c>
      <c r="CI847" s="28" t="s">
        <v>138</v>
      </c>
      <c r="CJ847" s="28" t="s">
        <v>138</v>
      </c>
      <c r="CK847" s="28" t="s">
        <v>138</v>
      </c>
      <c r="CL847" s="28" t="s">
        <v>175</v>
      </c>
      <c r="CM847" s="34">
        <v>41274</v>
      </c>
      <c r="CN847" s="29" t="s">
        <v>138</v>
      </c>
      <c r="CO847" s="35" t="s">
        <v>138</v>
      </c>
      <c r="CP847" s="36" t="s">
        <v>138</v>
      </c>
      <c r="CQ847" s="35" t="s">
        <v>138</v>
      </c>
      <c r="CR847" s="35" t="s">
        <v>138</v>
      </c>
      <c r="CS847" s="35" t="s">
        <v>138</v>
      </c>
      <c r="CT847" s="36" t="s">
        <v>138</v>
      </c>
      <c r="CU847" s="35" t="s">
        <v>138</v>
      </c>
      <c r="CV847" s="36" t="s">
        <v>138</v>
      </c>
      <c r="CW847" s="35" t="s">
        <v>138</v>
      </c>
      <c r="CX847" s="36" t="s">
        <v>138</v>
      </c>
      <c r="CY847" s="35" t="s">
        <v>138</v>
      </c>
      <c r="CZ847" s="36" t="s">
        <v>138</v>
      </c>
      <c r="DA847" s="35" t="s">
        <v>138</v>
      </c>
      <c r="DB847" s="36" t="s">
        <v>138</v>
      </c>
      <c r="DC847" s="37" t="s">
        <v>138</v>
      </c>
      <c r="DD847" s="36" t="s">
        <v>138</v>
      </c>
      <c r="DE847" s="37" t="s">
        <v>138</v>
      </c>
      <c r="DF847" s="35" t="s">
        <v>138</v>
      </c>
      <c r="DG847" s="37" t="s">
        <v>138</v>
      </c>
      <c r="DH847" s="36" t="s">
        <v>138</v>
      </c>
      <c r="DI847" s="37" t="s">
        <v>138</v>
      </c>
      <c r="DJ847" s="36" t="s">
        <v>138</v>
      </c>
      <c r="DK847" s="37" t="s">
        <v>138</v>
      </c>
      <c r="DL847" s="36" t="s">
        <v>138</v>
      </c>
      <c r="DM847" s="37" t="s">
        <v>138</v>
      </c>
      <c r="DN847" s="36" t="s">
        <v>138</v>
      </c>
      <c r="DO847" s="37" t="s">
        <v>138</v>
      </c>
      <c r="DP847" s="36" t="s">
        <v>138</v>
      </c>
      <c r="DQ847" s="36" t="s">
        <v>138</v>
      </c>
      <c r="DR847" s="38" t="s">
        <v>138</v>
      </c>
      <c r="DS847" s="35" t="s">
        <v>138</v>
      </c>
      <c r="DT847" s="36" t="s">
        <v>138</v>
      </c>
      <c r="DU847" s="38" t="s">
        <v>138</v>
      </c>
      <c r="DV847" s="35" t="s">
        <v>138</v>
      </c>
      <c r="DW847" s="36" t="s">
        <v>138</v>
      </c>
      <c r="DX847" s="39" t="s">
        <v>138</v>
      </c>
      <c r="DY847" s="35" t="s">
        <v>138</v>
      </c>
      <c r="DZ847" s="28" t="s">
        <v>178</v>
      </c>
      <c r="EA847" s="34">
        <v>43622</v>
      </c>
      <c r="EB847" s="29" t="s">
        <v>138</v>
      </c>
      <c r="EC847" s="34" t="s">
        <v>138</v>
      </c>
      <c r="ED847" s="28" t="s">
        <v>138</v>
      </c>
      <c r="EE847" s="40" t="str">
        <f>HYPERLINK("https://my.pitchbook.com?c=55153-81", "View company online")</f>
        <v>View company online</v>
      </c>
    </row>
    <row r="848" spans="1:135">
      <c r="A848" s="15" t="s">
        <v>16816</v>
      </c>
      <c r="B848" s="15" t="s">
        <v>16817</v>
      </c>
      <c r="C848" s="15" t="s">
        <v>16818</v>
      </c>
      <c r="D848" s="15" t="s">
        <v>138</v>
      </c>
      <c r="E848" s="15" t="s">
        <v>16819</v>
      </c>
      <c r="F848" s="15" t="s">
        <v>16816</v>
      </c>
      <c r="G848" s="15" t="s">
        <v>16820</v>
      </c>
      <c r="H848" s="15" t="s">
        <v>322</v>
      </c>
      <c r="I848" s="15" t="s">
        <v>323</v>
      </c>
      <c r="J848" s="15" t="s">
        <v>437</v>
      </c>
      <c r="K848" s="15" t="s">
        <v>2406</v>
      </c>
      <c r="L848" s="15" t="s">
        <v>6111</v>
      </c>
      <c r="M848" s="15" t="s">
        <v>16821</v>
      </c>
      <c r="N848" s="15" t="s">
        <v>147</v>
      </c>
      <c r="O848" s="17">
        <v>116</v>
      </c>
      <c r="P848" s="15" t="s">
        <v>148</v>
      </c>
      <c r="Q848" s="15" t="s">
        <v>149</v>
      </c>
      <c r="R848" s="15" t="s">
        <v>174</v>
      </c>
      <c r="S848" s="15" t="s">
        <v>16822</v>
      </c>
      <c r="T848" s="18">
        <v>95</v>
      </c>
      <c r="U848" s="15" t="s">
        <v>16823</v>
      </c>
      <c r="V848" s="15" t="s">
        <v>138</v>
      </c>
      <c r="W848" s="15" t="s">
        <v>138</v>
      </c>
      <c r="X848" s="19">
        <v>2009</v>
      </c>
      <c r="Y848" s="15" t="s">
        <v>138</v>
      </c>
      <c r="Z848" s="15" t="s">
        <v>138</v>
      </c>
      <c r="AA848" s="15" t="s">
        <v>138</v>
      </c>
      <c r="AB848" s="20" t="s">
        <v>138</v>
      </c>
      <c r="AC848" s="20" t="s">
        <v>138</v>
      </c>
      <c r="AD848" s="20" t="s">
        <v>138</v>
      </c>
      <c r="AE848" s="20" t="s">
        <v>138</v>
      </c>
      <c r="AF848" s="20" t="s">
        <v>138</v>
      </c>
      <c r="AG848" s="15" t="s">
        <v>138</v>
      </c>
      <c r="AH848" s="20" t="s">
        <v>138</v>
      </c>
      <c r="AI848" s="20" t="s">
        <v>138</v>
      </c>
      <c r="AJ848" s="20" t="s">
        <v>138</v>
      </c>
      <c r="AK848" s="15" t="s">
        <v>16824</v>
      </c>
      <c r="AL848" s="15" t="s">
        <v>16825</v>
      </c>
      <c r="AM848" s="15" t="s">
        <v>221</v>
      </c>
      <c r="AN848" s="15" t="s">
        <v>16826</v>
      </c>
      <c r="AO848" s="15" t="s">
        <v>138</v>
      </c>
      <c r="AP848" s="15" t="s">
        <v>16827</v>
      </c>
      <c r="AQ848" s="15" t="s">
        <v>16828</v>
      </c>
      <c r="AR848" s="15" t="s">
        <v>138</v>
      </c>
      <c r="AS848" s="15" t="s">
        <v>16829</v>
      </c>
      <c r="AT848" s="15" t="s">
        <v>200</v>
      </c>
      <c r="AU848" s="15" t="s">
        <v>16830</v>
      </c>
      <c r="AV848" s="15" t="s">
        <v>162</v>
      </c>
      <c r="AW848" s="15" t="s">
        <v>138</v>
      </c>
      <c r="AX848" s="15" t="s">
        <v>138</v>
      </c>
      <c r="AY848" s="15" t="s">
        <v>16831</v>
      </c>
      <c r="AZ848" s="15" t="s">
        <v>164</v>
      </c>
      <c r="BA848" s="15" t="s">
        <v>165</v>
      </c>
      <c r="BB848" s="15" t="s">
        <v>16832</v>
      </c>
      <c r="BC848" s="15" t="s">
        <v>16833</v>
      </c>
      <c r="BD848" s="21">
        <v>23</v>
      </c>
      <c r="BE848" s="15" t="s">
        <v>138</v>
      </c>
      <c r="BF848" s="15" t="s">
        <v>138</v>
      </c>
      <c r="BG848" s="15" t="s">
        <v>138</v>
      </c>
      <c r="BH848" s="15" t="s">
        <v>16834</v>
      </c>
      <c r="BI848" s="15" t="s">
        <v>138</v>
      </c>
      <c r="BJ848" s="15" t="s">
        <v>138</v>
      </c>
      <c r="BK848" s="15" t="s">
        <v>16835</v>
      </c>
      <c r="BL848" s="15" t="s">
        <v>315</v>
      </c>
      <c r="BM848" s="22">
        <v>41891</v>
      </c>
      <c r="BN848" s="17">
        <v>5.5</v>
      </c>
      <c r="BO848" s="15" t="s">
        <v>172</v>
      </c>
      <c r="BP848" s="17" t="s">
        <v>138</v>
      </c>
      <c r="BQ848" s="15" t="s">
        <v>138</v>
      </c>
      <c r="BR848" s="15" t="s">
        <v>205</v>
      </c>
      <c r="BS848" s="15" t="s">
        <v>138</v>
      </c>
      <c r="BT848" s="15" t="s">
        <v>138</v>
      </c>
      <c r="BU848" s="15" t="s">
        <v>174</v>
      </c>
      <c r="BV848" s="15" t="s">
        <v>138</v>
      </c>
      <c r="BW848" s="15" t="s">
        <v>138</v>
      </c>
      <c r="BX848" s="15" t="s">
        <v>138</v>
      </c>
      <c r="BY848" s="15" t="s">
        <v>175</v>
      </c>
      <c r="BZ848" s="22">
        <v>42591</v>
      </c>
      <c r="CA848" s="17">
        <v>80</v>
      </c>
      <c r="CB848" s="15" t="s">
        <v>172</v>
      </c>
      <c r="CC848" s="17">
        <v>966.74</v>
      </c>
      <c r="CD848" s="15" t="s">
        <v>172</v>
      </c>
      <c r="CE848" s="15" t="s">
        <v>173</v>
      </c>
      <c r="CF848" s="15" t="s">
        <v>720</v>
      </c>
      <c r="CG848" s="15" t="s">
        <v>138</v>
      </c>
      <c r="CH848" s="15" t="s">
        <v>174</v>
      </c>
      <c r="CI848" s="15" t="s">
        <v>138</v>
      </c>
      <c r="CJ848" s="15" t="s">
        <v>138</v>
      </c>
      <c r="CK848" s="15" t="s">
        <v>138</v>
      </c>
      <c r="CL848" s="15" t="s">
        <v>175</v>
      </c>
      <c r="CM848" s="22" t="s">
        <v>138</v>
      </c>
      <c r="CN848" s="17" t="s">
        <v>138</v>
      </c>
      <c r="CO848" s="23">
        <v>0.46</v>
      </c>
      <c r="CP848" s="24">
        <v>95</v>
      </c>
      <c r="CQ848" s="23">
        <v>0.12</v>
      </c>
      <c r="CR848" s="23">
        <v>34.53</v>
      </c>
      <c r="CS848" s="23">
        <v>0.04</v>
      </c>
      <c r="CT848" s="24">
        <v>94</v>
      </c>
      <c r="CU848" s="23">
        <v>0.05</v>
      </c>
      <c r="CV848" s="24">
        <v>58</v>
      </c>
      <c r="CW848" s="23">
        <v>1.81</v>
      </c>
      <c r="CX848" s="24">
        <v>87</v>
      </c>
      <c r="CY848" s="23">
        <v>-1.73</v>
      </c>
      <c r="CZ848" s="24">
        <v>13</v>
      </c>
      <c r="DA848" s="23">
        <v>0.13</v>
      </c>
      <c r="DB848" s="24">
        <v>76</v>
      </c>
      <c r="DC848" s="25">
        <v>45.05</v>
      </c>
      <c r="DD848" s="24">
        <v>98</v>
      </c>
      <c r="DE848" s="25">
        <v>-0.45</v>
      </c>
      <c r="DF848" s="23">
        <v>-0.99</v>
      </c>
      <c r="DG848" s="25">
        <v>38.479999999999997</v>
      </c>
      <c r="DH848" s="24">
        <v>97</v>
      </c>
      <c r="DI848" s="25">
        <v>96.02</v>
      </c>
      <c r="DJ848" s="24">
        <v>97</v>
      </c>
      <c r="DK848" s="25">
        <v>27.55</v>
      </c>
      <c r="DL848" s="24">
        <v>93</v>
      </c>
      <c r="DM848" s="25">
        <v>49.41</v>
      </c>
      <c r="DN848" s="24">
        <v>98</v>
      </c>
      <c r="DO848" s="25">
        <v>98.34</v>
      </c>
      <c r="DP848" s="24">
        <v>98</v>
      </c>
      <c r="DQ848" s="24">
        <v>9693</v>
      </c>
      <c r="DR848" s="26">
        <v>-735</v>
      </c>
      <c r="DS848" s="23">
        <v>-7.05</v>
      </c>
      <c r="DT848" s="24">
        <v>1430</v>
      </c>
      <c r="DU848" s="26">
        <v>9</v>
      </c>
      <c r="DV848" s="23">
        <v>0.63</v>
      </c>
      <c r="DW848" s="24">
        <v>35190</v>
      </c>
      <c r="DX848" s="27">
        <v>44</v>
      </c>
      <c r="DY848" s="23">
        <v>0.13</v>
      </c>
      <c r="DZ848" s="15" t="s">
        <v>178</v>
      </c>
      <c r="EA848" s="22">
        <v>43613</v>
      </c>
      <c r="EB848" s="17">
        <v>966.74</v>
      </c>
      <c r="EC848" s="22">
        <v>42591</v>
      </c>
      <c r="ED848" s="15" t="s">
        <v>173</v>
      </c>
      <c r="EE848" s="14" t="str">
        <f>HYPERLINK("https://my.pitchbook.com?c=97904-62", "View company online")</f>
        <v>View company online</v>
      </c>
    </row>
    <row r="849" spans="1:135">
      <c r="A849" s="28" t="s">
        <v>16836</v>
      </c>
      <c r="B849" s="28" t="s">
        <v>16837</v>
      </c>
      <c r="C849" s="28" t="s">
        <v>138</v>
      </c>
      <c r="D849" s="28" t="s">
        <v>138</v>
      </c>
      <c r="E849" s="28" t="s">
        <v>16838</v>
      </c>
      <c r="F849" s="28" t="s">
        <v>16836</v>
      </c>
      <c r="G849" s="28" t="s">
        <v>16839</v>
      </c>
      <c r="H849" s="28" t="s">
        <v>322</v>
      </c>
      <c r="I849" s="28" t="s">
        <v>323</v>
      </c>
      <c r="J849" s="28" t="s">
        <v>954</v>
      </c>
      <c r="K849" s="28" t="s">
        <v>16840</v>
      </c>
      <c r="L849" s="28" t="s">
        <v>415</v>
      </c>
      <c r="M849" s="28" t="s">
        <v>16841</v>
      </c>
      <c r="N849" s="28" t="s">
        <v>147</v>
      </c>
      <c r="O849" s="29">
        <v>420.53</v>
      </c>
      <c r="P849" s="28" t="s">
        <v>1473</v>
      </c>
      <c r="Q849" s="28" t="s">
        <v>149</v>
      </c>
      <c r="R849" s="28" t="s">
        <v>174</v>
      </c>
      <c r="S849" s="28" t="s">
        <v>16842</v>
      </c>
      <c r="T849" s="30">
        <v>300</v>
      </c>
      <c r="U849" s="28" t="s">
        <v>16843</v>
      </c>
      <c r="V849" s="28" t="s">
        <v>138</v>
      </c>
      <c r="W849" s="28" t="s">
        <v>138</v>
      </c>
      <c r="X849" s="31">
        <v>2008</v>
      </c>
      <c r="Y849" s="28" t="s">
        <v>138</v>
      </c>
      <c r="Z849" s="28" t="s">
        <v>138</v>
      </c>
      <c r="AA849" s="28" t="s">
        <v>138</v>
      </c>
      <c r="AB849" s="32" t="s">
        <v>138</v>
      </c>
      <c r="AC849" s="32" t="s">
        <v>138</v>
      </c>
      <c r="AD849" s="32" t="s">
        <v>138</v>
      </c>
      <c r="AE849" s="32" t="s">
        <v>138</v>
      </c>
      <c r="AF849" s="32" t="s">
        <v>138</v>
      </c>
      <c r="AG849" s="28" t="s">
        <v>138</v>
      </c>
      <c r="AH849" s="32" t="s">
        <v>138</v>
      </c>
      <c r="AI849" s="32" t="s">
        <v>138</v>
      </c>
      <c r="AJ849" s="32" t="s">
        <v>138</v>
      </c>
      <c r="AK849" s="28" t="s">
        <v>16844</v>
      </c>
      <c r="AL849" s="28" t="s">
        <v>16845</v>
      </c>
      <c r="AM849" s="28" t="s">
        <v>16846</v>
      </c>
      <c r="AN849" s="28" t="s">
        <v>16847</v>
      </c>
      <c r="AO849" s="28" t="s">
        <v>16848</v>
      </c>
      <c r="AP849" s="28" t="s">
        <v>665</v>
      </c>
      <c r="AQ849" s="28" t="s">
        <v>16849</v>
      </c>
      <c r="AR849" s="28" t="s">
        <v>3138</v>
      </c>
      <c r="AS849" s="28" t="s">
        <v>668</v>
      </c>
      <c r="AT849" s="28" t="s">
        <v>200</v>
      </c>
      <c r="AU849" s="28" t="s">
        <v>691</v>
      </c>
      <c r="AV849" s="28" t="s">
        <v>162</v>
      </c>
      <c r="AW849" s="28" t="s">
        <v>16848</v>
      </c>
      <c r="AX849" s="28" t="s">
        <v>16850</v>
      </c>
      <c r="AY849" s="28" t="s">
        <v>16851</v>
      </c>
      <c r="AZ849" s="28" t="s">
        <v>164</v>
      </c>
      <c r="BA849" s="28" t="s">
        <v>165</v>
      </c>
      <c r="BB849" s="28" t="s">
        <v>16852</v>
      </c>
      <c r="BC849" s="28" t="s">
        <v>16853</v>
      </c>
      <c r="BD849" s="33">
        <v>31</v>
      </c>
      <c r="BE849" s="28" t="s">
        <v>138</v>
      </c>
      <c r="BF849" s="28" t="s">
        <v>138</v>
      </c>
      <c r="BG849" s="28" t="s">
        <v>138</v>
      </c>
      <c r="BH849" s="28" t="s">
        <v>16854</v>
      </c>
      <c r="BI849" s="28" t="s">
        <v>138</v>
      </c>
      <c r="BJ849" s="28" t="s">
        <v>138</v>
      </c>
      <c r="BK849" s="28" t="s">
        <v>4576</v>
      </c>
      <c r="BL849" s="28" t="s">
        <v>2936</v>
      </c>
      <c r="BM849" s="34">
        <v>39472</v>
      </c>
      <c r="BN849" s="29">
        <v>5.05</v>
      </c>
      <c r="BO849" s="28" t="s">
        <v>172</v>
      </c>
      <c r="BP849" s="29">
        <v>23.65</v>
      </c>
      <c r="BQ849" s="28" t="s">
        <v>172</v>
      </c>
      <c r="BR849" s="28" t="s">
        <v>205</v>
      </c>
      <c r="BS849" s="28" t="s">
        <v>206</v>
      </c>
      <c r="BT849" s="28" t="s">
        <v>138</v>
      </c>
      <c r="BU849" s="28" t="s">
        <v>174</v>
      </c>
      <c r="BV849" s="28" t="s">
        <v>138</v>
      </c>
      <c r="BW849" s="28" t="s">
        <v>138</v>
      </c>
      <c r="BX849" s="28" t="s">
        <v>138</v>
      </c>
      <c r="BY849" s="28" t="s">
        <v>175</v>
      </c>
      <c r="BZ849" s="34">
        <v>43599</v>
      </c>
      <c r="CA849" s="29">
        <v>123</v>
      </c>
      <c r="CB849" s="28" t="s">
        <v>172</v>
      </c>
      <c r="CC849" s="29">
        <v>2100</v>
      </c>
      <c r="CD849" s="28" t="s">
        <v>172</v>
      </c>
      <c r="CE849" s="28" t="s">
        <v>173</v>
      </c>
      <c r="CF849" s="28" t="s">
        <v>138</v>
      </c>
      <c r="CG849" s="28" t="s">
        <v>138</v>
      </c>
      <c r="CH849" s="28" t="s">
        <v>174</v>
      </c>
      <c r="CI849" s="28" t="s">
        <v>138</v>
      </c>
      <c r="CJ849" s="28" t="s">
        <v>138</v>
      </c>
      <c r="CK849" s="28" t="s">
        <v>138</v>
      </c>
      <c r="CL849" s="28" t="s">
        <v>175</v>
      </c>
      <c r="CM849" s="34" t="s">
        <v>138</v>
      </c>
      <c r="CN849" s="29" t="s">
        <v>138</v>
      </c>
      <c r="CO849" s="35">
        <v>1.43</v>
      </c>
      <c r="CP849" s="36">
        <v>98</v>
      </c>
      <c r="CQ849" s="35">
        <v>-0.08</v>
      </c>
      <c r="CR849" s="35">
        <v>-5.25</v>
      </c>
      <c r="CS849" s="35">
        <v>-0.56999999999999995</v>
      </c>
      <c r="CT849" s="36">
        <v>19</v>
      </c>
      <c r="CU849" s="35">
        <v>0.28000000000000003</v>
      </c>
      <c r="CV849" s="36">
        <v>86</v>
      </c>
      <c r="CW849" s="35">
        <v>0.88</v>
      </c>
      <c r="CX849" s="36">
        <v>84</v>
      </c>
      <c r="CY849" s="35">
        <v>-2.0099999999999998</v>
      </c>
      <c r="CZ849" s="36">
        <v>11</v>
      </c>
      <c r="DA849" s="35">
        <v>0.22</v>
      </c>
      <c r="DB849" s="36">
        <v>84</v>
      </c>
      <c r="DC849" s="37">
        <v>3924.54</v>
      </c>
      <c r="DD849" s="36">
        <v>100</v>
      </c>
      <c r="DE849" s="37">
        <v>-389.72</v>
      </c>
      <c r="DF849" s="35">
        <v>-9.0299999999999994</v>
      </c>
      <c r="DG849" s="37">
        <v>10023.66</v>
      </c>
      <c r="DH849" s="36">
        <v>100</v>
      </c>
      <c r="DI849" s="37">
        <v>231.35</v>
      </c>
      <c r="DJ849" s="36">
        <v>99</v>
      </c>
      <c r="DK849" s="37">
        <v>19943.12</v>
      </c>
      <c r="DL849" s="36">
        <v>100</v>
      </c>
      <c r="DM849" s="37">
        <v>104.21</v>
      </c>
      <c r="DN849" s="36">
        <v>99</v>
      </c>
      <c r="DO849" s="37">
        <v>93.03</v>
      </c>
      <c r="DP849" s="36">
        <v>98</v>
      </c>
      <c r="DQ849" s="36">
        <v>6811980</v>
      </c>
      <c r="DR849" s="38">
        <v>85527</v>
      </c>
      <c r="DS849" s="35">
        <v>1.27</v>
      </c>
      <c r="DT849" s="36">
        <v>3022</v>
      </c>
      <c r="DU849" s="38">
        <v>-1</v>
      </c>
      <c r="DV849" s="35">
        <v>-0.03</v>
      </c>
      <c r="DW849" s="36">
        <v>33280</v>
      </c>
      <c r="DX849" s="39">
        <v>80</v>
      </c>
      <c r="DY849" s="35">
        <v>0.24</v>
      </c>
      <c r="DZ849" s="28" t="s">
        <v>178</v>
      </c>
      <c r="EA849" s="34">
        <v>43600</v>
      </c>
      <c r="EB849" s="29">
        <v>2100</v>
      </c>
      <c r="EC849" s="34">
        <v>43599</v>
      </c>
      <c r="ED849" s="28" t="s">
        <v>173</v>
      </c>
      <c r="EE849" s="40" t="str">
        <f>HYPERLINK("https://my.pitchbook.com?c=53373-34", "View company online")</f>
        <v>View company online</v>
      </c>
    </row>
    <row r="850" spans="1:135">
      <c r="A850" s="15" t="s">
        <v>16855</v>
      </c>
      <c r="B850" s="15" t="s">
        <v>16856</v>
      </c>
      <c r="C850" s="15" t="s">
        <v>138</v>
      </c>
      <c r="D850" s="15" t="s">
        <v>138</v>
      </c>
      <c r="E850" s="15" t="s">
        <v>138</v>
      </c>
      <c r="F850" s="15" t="s">
        <v>16855</v>
      </c>
      <c r="G850" s="15" t="s">
        <v>16857</v>
      </c>
      <c r="H850" s="15" t="s">
        <v>322</v>
      </c>
      <c r="I850" s="15" t="s">
        <v>356</v>
      </c>
      <c r="J850" s="15" t="s">
        <v>3852</v>
      </c>
      <c r="K850" s="15" t="s">
        <v>14078</v>
      </c>
      <c r="L850" s="15" t="s">
        <v>415</v>
      </c>
      <c r="M850" s="15" t="s">
        <v>16858</v>
      </c>
      <c r="N850" s="15" t="s">
        <v>1212</v>
      </c>
      <c r="O850" s="17">
        <v>89.02</v>
      </c>
      <c r="P850" s="15" t="s">
        <v>1213</v>
      </c>
      <c r="Q850" s="15" t="s">
        <v>149</v>
      </c>
      <c r="R850" s="15" t="s">
        <v>174</v>
      </c>
      <c r="S850" s="15" t="s">
        <v>16859</v>
      </c>
      <c r="T850" s="18" t="s">
        <v>138</v>
      </c>
      <c r="U850" s="15" t="s">
        <v>138</v>
      </c>
      <c r="V850" s="15" t="s">
        <v>138</v>
      </c>
      <c r="W850" s="15" t="s">
        <v>138</v>
      </c>
      <c r="X850" s="19">
        <v>1999</v>
      </c>
      <c r="Y850" s="15" t="s">
        <v>138</v>
      </c>
      <c r="Z850" s="15" t="s">
        <v>138</v>
      </c>
      <c r="AA850" s="15" t="s">
        <v>138</v>
      </c>
      <c r="AB850" s="20" t="s">
        <v>138</v>
      </c>
      <c r="AC850" s="20" t="s">
        <v>138</v>
      </c>
      <c r="AD850" s="20" t="s">
        <v>138</v>
      </c>
      <c r="AE850" s="20" t="s">
        <v>138</v>
      </c>
      <c r="AF850" s="20" t="s">
        <v>138</v>
      </c>
      <c r="AG850" s="15" t="s">
        <v>138</v>
      </c>
      <c r="AH850" s="20" t="s">
        <v>138</v>
      </c>
      <c r="AI850" s="20" t="s">
        <v>138</v>
      </c>
      <c r="AJ850" s="20" t="s">
        <v>138</v>
      </c>
      <c r="AK850" s="15" t="s">
        <v>16860</v>
      </c>
      <c r="AL850" s="15" t="s">
        <v>16861</v>
      </c>
      <c r="AM850" s="15" t="s">
        <v>16862</v>
      </c>
      <c r="AN850" s="15" t="s">
        <v>138</v>
      </c>
      <c r="AO850" s="15" t="s">
        <v>138</v>
      </c>
      <c r="AP850" s="15" t="s">
        <v>1220</v>
      </c>
      <c r="AQ850" s="15" t="s">
        <v>16863</v>
      </c>
      <c r="AR850" s="15" t="s">
        <v>138</v>
      </c>
      <c r="AS850" s="15" t="s">
        <v>1223</v>
      </c>
      <c r="AT850" s="15" t="s">
        <v>200</v>
      </c>
      <c r="AU850" s="15" t="s">
        <v>5087</v>
      </c>
      <c r="AV850" s="15" t="s">
        <v>162</v>
      </c>
      <c r="AW850" s="15" t="s">
        <v>138</v>
      </c>
      <c r="AX850" s="15" t="s">
        <v>138</v>
      </c>
      <c r="AY850" s="15" t="s">
        <v>138</v>
      </c>
      <c r="AZ850" s="15" t="s">
        <v>164</v>
      </c>
      <c r="BA850" s="15" t="s">
        <v>165</v>
      </c>
      <c r="BB850" s="15" t="s">
        <v>16864</v>
      </c>
      <c r="BC850" s="15" t="s">
        <v>138</v>
      </c>
      <c r="BD850" s="21" t="s">
        <v>138</v>
      </c>
      <c r="BE850" s="15" t="s">
        <v>138</v>
      </c>
      <c r="BF850" s="15" t="s">
        <v>16865</v>
      </c>
      <c r="BG850" s="15" t="s">
        <v>138</v>
      </c>
      <c r="BH850" s="15" t="s">
        <v>138</v>
      </c>
      <c r="BI850" s="15" t="s">
        <v>16866</v>
      </c>
      <c r="BJ850" s="15" t="s">
        <v>138</v>
      </c>
      <c r="BK850" s="15" t="s">
        <v>138</v>
      </c>
      <c r="BL850" s="15" t="s">
        <v>138</v>
      </c>
      <c r="BM850" s="22">
        <v>36418</v>
      </c>
      <c r="BN850" s="17">
        <v>1.9</v>
      </c>
      <c r="BO850" s="15" t="s">
        <v>172</v>
      </c>
      <c r="BP850" s="17">
        <v>12.85</v>
      </c>
      <c r="BQ850" s="15" t="s">
        <v>172</v>
      </c>
      <c r="BR850" s="15" t="s">
        <v>205</v>
      </c>
      <c r="BS850" s="15" t="s">
        <v>206</v>
      </c>
      <c r="BT850" s="15" t="s">
        <v>138</v>
      </c>
      <c r="BU850" s="15" t="s">
        <v>174</v>
      </c>
      <c r="BV850" s="15" t="s">
        <v>1080</v>
      </c>
      <c r="BW850" s="15" t="s">
        <v>138</v>
      </c>
      <c r="BX850" s="15" t="s">
        <v>138</v>
      </c>
      <c r="BY850" s="15" t="s">
        <v>175</v>
      </c>
      <c r="BZ850" s="22">
        <v>37363</v>
      </c>
      <c r="CA850" s="17" t="s">
        <v>138</v>
      </c>
      <c r="CB850" s="15" t="s">
        <v>138</v>
      </c>
      <c r="CC850" s="17" t="s">
        <v>138</v>
      </c>
      <c r="CD850" s="15" t="s">
        <v>138</v>
      </c>
      <c r="CE850" s="15" t="s">
        <v>1213</v>
      </c>
      <c r="CF850" s="15" t="s">
        <v>138</v>
      </c>
      <c r="CG850" s="15" t="s">
        <v>138</v>
      </c>
      <c r="CH850" s="15" t="s">
        <v>1230</v>
      </c>
      <c r="CI850" s="15" t="s">
        <v>138</v>
      </c>
      <c r="CJ850" s="15" t="s">
        <v>138</v>
      </c>
      <c r="CK850" s="15" t="s">
        <v>138</v>
      </c>
      <c r="CL850" s="15" t="s">
        <v>175</v>
      </c>
      <c r="CM850" s="22" t="s">
        <v>138</v>
      </c>
      <c r="CN850" s="17" t="s">
        <v>138</v>
      </c>
      <c r="CO850" s="23" t="s">
        <v>138</v>
      </c>
      <c r="CP850" s="24" t="s">
        <v>138</v>
      </c>
      <c r="CQ850" s="23" t="s">
        <v>138</v>
      </c>
      <c r="CR850" s="23" t="s">
        <v>138</v>
      </c>
      <c r="CS850" s="23" t="s">
        <v>138</v>
      </c>
      <c r="CT850" s="24" t="s">
        <v>138</v>
      </c>
      <c r="CU850" s="23" t="s">
        <v>138</v>
      </c>
      <c r="CV850" s="24" t="s">
        <v>138</v>
      </c>
      <c r="CW850" s="23" t="s">
        <v>138</v>
      </c>
      <c r="CX850" s="24" t="s">
        <v>138</v>
      </c>
      <c r="CY850" s="23" t="s">
        <v>138</v>
      </c>
      <c r="CZ850" s="24" t="s">
        <v>138</v>
      </c>
      <c r="DA850" s="23" t="s">
        <v>138</v>
      </c>
      <c r="DB850" s="24" t="s">
        <v>138</v>
      </c>
      <c r="DC850" s="25" t="s">
        <v>138</v>
      </c>
      <c r="DD850" s="24" t="s">
        <v>138</v>
      </c>
      <c r="DE850" s="25" t="s">
        <v>138</v>
      </c>
      <c r="DF850" s="23" t="s">
        <v>138</v>
      </c>
      <c r="DG850" s="25" t="s">
        <v>138</v>
      </c>
      <c r="DH850" s="24" t="s">
        <v>138</v>
      </c>
      <c r="DI850" s="25" t="s">
        <v>138</v>
      </c>
      <c r="DJ850" s="24" t="s">
        <v>138</v>
      </c>
      <c r="DK850" s="25" t="s">
        <v>138</v>
      </c>
      <c r="DL850" s="24" t="s">
        <v>138</v>
      </c>
      <c r="DM850" s="25" t="s">
        <v>138</v>
      </c>
      <c r="DN850" s="24" t="s">
        <v>138</v>
      </c>
      <c r="DO850" s="25" t="s">
        <v>138</v>
      </c>
      <c r="DP850" s="24" t="s">
        <v>138</v>
      </c>
      <c r="DQ850" s="24" t="s">
        <v>138</v>
      </c>
      <c r="DR850" s="26" t="s">
        <v>138</v>
      </c>
      <c r="DS850" s="23" t="s">
        <v>138</v>
      </c>
      <c r="DT850" s="24" t="s">
        <v>138</v>
      </c>
      <c r="DU850" s="26" t="s">
        <v>138</v>
      </c>
      <c r="DV850" s="23" t="s">
        <v>138</v>
      </c>
      <c r="DW850" s="24" t="s">
        <v>138</v>
      </c>
      <c r="DX850" s="27" t="s">
        <v>138</v>
      </c>
      <c r="DY850" s="23" t="s">
        <v>138</v>
      </c>
      <c r="DZ850" s="15" t="s">
        <v>178</v>
      </c>
      <c r="EA850" s="22">
        <v>43430</v>
      </c>
      <c r="EB850" s="17" t="s">
        <v>138</v>
      </c>
      <c r="EC850" s="22" t="s">
        <v>138</v>
      </c>
      <c r="ED850" s="15" t="s">
        <v>138</v>
      </c>
      <c r="EE850" s="14" t="str">
        <f>HYPERLINK("https://my.pitchbook.com?c=149697-28", "View company online")</f>
        <v>View company online</v>
      </c>
    </row>
    <row r="851" spans="1:135">
      <c r="A851" s="28" t="s">
        <v>16867</v>
      </c>
      <c r="B851" s="28" t="s">
        <v>16868</v>
      </c>
      <c r="C851" s="28" t="s">
        <v>138</v>
      </c>
      <c r="D851" s="28" t="s">
        <v>138</v>
      </c>
      <c r="E851" s="28" t="s">
        <v>138</v>
      </c>
      <c r="F851" s="28" t="s">
        <v>16867</v>
      </c>
      <c r="G851" s="28" t="s">
        <v>16869</v>
      </c>
      <c r="H851" s="28" t="s">
        <v>322</v>
      </c>
      <c r="I851" s="28" t="s">
        <v>323</v>
      </c>
      <c r="J851" s="28" t="s">
        <v>413</v>
      </c>
      <c r="K851" s="28" t="s">
        <v>874</v>
      </c>
      <c r="L851" s="28" t="s">
        <v>1428</v>
      </c>
      <c r="M851" s="28" t="s">
        <v>16870</v>
      </c>
      <c r="N851" s="28" t="s">
        <v>147</v>
      </c>
      <c r="O851" s="29" t="s">
        <v>138</v>
      </c>
      <c r="P851" s="28" t="s">
        <v>148</v>
      </c>
      <c r="Q851" s="28" t="s">
        <v>149</v>
      </c>
      <c r="R851" s="28" t="s">
        <v>174</v>
      </c>
      <c r="S851" s="28" t="s">
        <v>16871</v>
      </c>
      <c r="T851" s="30" t="s">
        <v>138</v>
      </c>
      <c r="U851" s="28" t="s">
        <v>138</v>
      </c>
      <c r="V851" s="28" t="s">
        <v>138</v>
      </c>
      <c r="W851" s="28" t="s">
        <v>138</v>
      </c>
      <c r="X851" s="31">
        <v>2004</v>
      </c>
      <c r="Y851" s="28" t="s">
        <v>138</v>
      </c>
      <c r="Z851" s="28" t="s">
        <v>138</v>
      </c>
      <c r="AA851" s="28" t="s">
        <v>138</v>
      </c>
      <c r="AB851" s="32" t="s">
        <v>138</v>
      </c>
      <c r="AC851" s="32" t="s">
        <v>138</v>
      </c>
      <c r="AD851" s="32" t="s">
        <v>138</v>
      </c>
      <c r="AE851" s="32" t="s">
        <v>138</v>
      </c>
      <c r="AF851" s="32" t="s">
        <v>138</v>
      </c>
      <c r="AG851" s="28" t="s">
        <v>138</v>
      </c>
      <c r="AH851" s="32" t="s">
        <v>138</v>
      </c>
      <c r="AI851" s="32" t="s">
        <v>138</v>
      </c>
      <c r="AJ851" s="32" t="s">
        <v>138</v>
      </c>
      <c r="AK851" s="28" t="s">
        <v>138</v>
      </c>
      <c r="AL851" s="28" t="s">
        <v>138</v>
      </c>
      <c r="AM851" s="28" t="s">
        <v>138</v>
      </c>
      <c r="AN851" s="28" t="s">
        <v>138</v>
      </c>
      <c r="AO851" s="28" t="s">
        <v>138</v>
      </c>
      <c r="AP851" s="28" t="s">
        <v>4601</v>
      </c>
      <c r="AQ851" s="28" t="s">
        <v>16872</v>
      </c>
      <c r="AR851" s="28" t="s">
        <v>16873</v>
      </c>
      <c r="AS851" s="28" t="s">
        <v>4604</v>
      </c>
      <c r="AT851" s="28" t="s">
        <v>138</v>
      </c>
      <c r="AU851" s="28" t="s">
        <v>16874</v>
      </c>
      <c r="AV851" s="28" t="s">
        <v>2071</v>
      </c>
      <c r="AW851" s="28" t="s">
        <v>138</v>
      </c>
      <c r="AX851" s="28" t="s">
        <v>16875</v>
      </c>
      <c r="AY851" s="28" t="s">
        <v>16876</v>
      </c>
      <c r="AZ851" s="28" t="s">
        <v>452</v>
      </c>
      <c r="BA851" s="28" t="s">
        <v>453</v>
      </c>
      <c r="BB851" s="28" t="s">
        <v>502</v>
      </c>
      <c r="BC851" s="28" t="s">
        <v>16877</v>
      </c>
      <c r="BD851" s="33">
        <v>1</v>
      </c>
      <c r="BE851" s="28" t="s">
        <v>138</v>
      </c>
      <c r="BF851" s="28" t="s">
        <v>138</v>
      </c>
      <c r="BG851" s="28" t="s">
        <v>138</v>
      </c>
      <c r="BH851" s="28" t="s">
        <v>16878</v>
      </c>
      <c r="BI851" s="28" t="s">
        <v>138</v>
      </c>
      <c r="BJ851" s="28" t="s">
        <v>138</v>
      </c>
      <c r="BK851" s="28" t="s">
        <v>138</v>
      </c>
      <c r="BL851" s="28" t="s">
        <v>138</v>
      </c>
      <c r="BM851" s="34" t="s">
        <v>138</v>
      </c>
      <c r="BN851" s="29" t="s">
        <v>138</v>
      </c>
      <c r="BO851" s="28" t="s">
        <v>138</v>
      </c>
      <c r="BP851" s="29" t="s">
        <v>138</v>
      </c>
      <c r="BQ851" s="28" t="s">
        <v>138</v>
      </c>
      <c r="BR851" s="28" t="s">
        <v>205</v>
      </c>
      <c r="BS851" s="28" t="s">
        <v>138</v>
      </c>
      <c r="BT851" s="28" t="s">
        <v>138</v>
      </c>
      <c r="BU851" s="28" t="s">
        <v>174</v>
      </c>
      <c r="BV851" s="28" t="s">
        <v>138</v>
      </c>
      <c r="BW851" s="28" t="s">
        <v>138</v>
      </c>
      <c r="BX851" s="28" t="s">
        <v>138</v>
      </c>
      <c r="BY851" s="28" t="s">
        <v>175</v>
      </c>
      <c r="BZ851" s="34" t="s">
        <v>138</v>
      </c>
      <c r="CA851" s="29" t="s">
        <v>138</v>
      </c>
      <c r="CB851" s="28" t="s">
        <v>138</v>
      </c>
      <c r="CC851" s="29" t="s">
        <v>138</v>
      </c>
      <c r="CD851" s="28" t="s">
        <v>138</v>
      </c>
      <c r="CE851" s="28" t="s">
        <v>205</v>
      </c>
      <c r="CF851" s="28" t="s">
        <v>138</v>
      </c>
      <c r="CG851" s="28" t="s">
        <v>138</v>
      </c>
      <c r="CH851" s="28" t="s">
        <v>174</v>
      </c>
      <c r="CI851" s="28" t="s">
        <v>138</v>
      </c>
      <c r="CJ851" s="28" t="s">
        <v>138</v>
      </c>
      <c r="CK851" s="28" t="s">
        <v>138</v>
      </c>
      <c r="CL851" s="28" t="s">
        <v>175</v>
      </c>
      <c r="CM851" s="34" t="s">
        <v>138</v>
      </c>
      <c r="CN851" s="29" t="s">
        <v>138</v>
      </c>
      <c r="CO851" s="35">
        <v>0</v>
      </c>
      <c r="CP851" s="36">
        <v>26</v>
      </c>
      <c r="CQ851" s="35">
        <v>0</v>
      </c>
      <c r="CR851" s="35">
        <v>0</v>
      </c>
      <c r="CS851" s="35">
        <v>0</v>
      </c>
      <c r="CT851" s="36">
        <v>23</v>
      </c>
      <c r="CU851" s="35" t="s">
        <v>138</v>
      </c>
      <c r="CV851" s="36" t="s">
        <v>138</v>
      </c>
      <c r="CW851" s="35" t="s">
        <v>138</v>
      </c>
      <c r="CX851" s="36" t="s">
        <v>138</v>
      </c>
      <c r="CY851" s="35">
        <v>0</v>
      </c>
      <c r="CZ851" s="36">
        <v>25</v>
      </c>
      <c r="DA851" s="35" t="s">
        <v>138</v>
      </c>
      <c r="DB851" s="36" t="s">
        <v>138</v>
      </c>
      <c r="DC851" s="37">
        <v>0.14000000000000001</v>
      </c>
      <c r="DD851" s="36">
        <v>10</v>
      </c>
      <c r="DE851" s="37">
        <v>0</v>
      </c>
      <c r="DF851" s="35">
        <v>0</v>
      </c>
      <c r="DG851" s="37">
        <v>0.14000000000000001</v>
      </c>
      <c r="DH851" s="36">
        <v>10</v>
      </c>
      <c r="DI851" s="37" t="s">
        <v>138</v>
      </c>
      <c r="DJ851" s="36" t="s">
        <v>138</v>
      </c>
      <c r="DK851" s="37" t="s">
        <v>138</v>
      </c>
      <c r="DL851" s="36" t="s">
        <v>138</v>
      </c>
      <c r="DM851" s="37">
        <v>0.14000000000000001</v>
      </c>
      <c r="DN851" s="36">
        <v>11</v>
      </c>
      <c r="DO851" s="37" t="s">
        <v>138</v>
      </c>
      <c r="DP851" s="36" t="s">
        <v>138</v>
      </c>
      <c r="DQ851" s="36" t="s">
        <v>138</v>
      </c>
      <c r="DR851" s="38" t="s">
        <v>138</v>
      </c>
      <c r="DS851" s="35" t="s">
        <v>138</v>
      </c>
      <c r="DT851" s="36">
        <v>4</v>
      </c>
      <c r="DU851" s="38">
        <v>0</v>
      </c>
      <c r="DV851" s="35">
        <v>0</v>
      </c>
      <c r="DW851" s="36" t="s">
        <v>138</v>
      </c>
      <c r="DX851" s="39" t="s">
        <v>138</v>
      </c>
      <c r="DY851" s="35" t="s">
        <v>138</v>
      </c>
      <c r="DZ851" s="28" t="s">
        <v>178</v>
      </c>
      <c r="EA851" s="34">
        <v>43351</v>
      </c>
      <c r="EB851" s="29" t="s">
        <v>138</v>
      </c>
      <c r="EC851" s="34" t="s">
        <v>138</v>
      </c>
      <c r="ED851" s="28" t="s">
        <v>138</v>
      </c>
      <c r="EE851" s="40" t="str">
        <f>HYPERLINK("https://my.pitchbook.com?c=182980-36", "View company online")</f>
        <v>View company online</v>
      </c>
    </row>
    <row r="852" spans="1:135">
      <c r="A852" s="15" t="s">
        <v>16879</v>
      </c>
      <c r="B852" s="15" t="s">
        <v>16880</v>
      </c>
      <c r="C852" s="15" t="s">
        <v>138</v>
      </c>
      <c r="D852" s="15" t="s">
        <v>138</v>
      </c>
      <c r="E852" s="15" t="s">
        <v>16881</v>
      </c>
      <c r="F852" s="15" t="s">
        <v>16879</v>
      </c>
      <c r="G852" s="15" t="s">
        <v>16882</v>
      </c>
      <c r="H852" s="15" t="s">
        <v>322</v>
      </c>
      <c r="I852" s="15" t="s">
        <v>323</v>
      </c>
      <c r="J852" s="15" t="s">
        <v>2984</v>
      </c>
      <c r="K852" s="15" t="s">
        <v>16883</v>
      </c>
      <c r="L852" s="15" t="s">
        <v>326</v>
      </c>
      <c r="M852" s="15" t="s">
        <v>16884</v>
      </c>
      <c r="N852" s="15" t="s">
        <v>1212</v>
      </c>
      <c r="O852" s="17">
        <v>72.7</v>
      </c>
      <c r="P852" s="15" t="s">
        <v>148</v>
      </c>
      <c r="Q852" s="15" t="s">
        <v>149</v>
      </c>
      <c r="R852" s="15" t="s">
        <v>244</v>
      </c>
      <c r="S852" s="15" t="s">
        <v>16885</v>
      </c>
      <c r="T852" s="18" t="s">
        <v>138</v>
      </c>
      <c r="U852" s="15" t="s">
        <v>138</v>
      </c>
      <c r="V852" s="15" t="s">
        <v>138</v>
      </c>
      <c r="W852" s="15" t="s">
        <v>138</v>
      </c>
      <c r="X852" s="19">
        <v>2005</v>
      </c>
      <c r="Y852" s="15" t="s">
        <v>138</v>
      </c>
      <c r="Z852" s="15" t="s">
        <v>138</v>
      </c>
      <c r="AA852" s="15" t="s">
        <v>138</v>
      </c>
      <c r="AB852" s="20" t="s">
        <v>138</v>
      </c>
      <c r="AC852" s="20" t="s">
        <v>138</v>
      </c>
      <c r="AD852" s="20" t="s">
        <v>138</v>
      </c>
      <c r="AE852" s="20" t="s">
        <v>138</v>
      </c>
      <c r="AF852" s="20" t="s">
        <v>138</v>
      </c>
      <c r="AG852" s="15" t="s">
        <v>138</v>
      </c>
      <c r="AH852" s="20" t="s">
        <v>138</v>
      </c>
      <c r="AI852" s="20" t="s">
        <v>138</v>
      </c>
      <c r="AJ852" s="20" t="s">
        <v>138</v>
      </c>
      <c r="AK852" s="15" t="s">
        <v>16886</v>
      </c>
      <c r="AL852" s="15" t="s">
        <v>16887</v>
      </c>
      <c r="AM852" s="15" t="s">
        <v>636</v>
      </c>
      <c r="AN852" s="15" t="s">
        <v>16888</v>
      </c>
      <c r="AO852" s="15" t="s">
        <v>16889</v>
      </c>
      <c r="AP852" s="15" t="s">
        <v>1220</v>
      </c>
      <c r="AQ852" s="15" t="s">
        <v>16890</v>
      </c>
      <c r="AR852" s="15" t="s">
        <v>5792</v>
      </c>
      <c r="AS852" s="15" t="s">
        <v>1223</v>
      </c>
      <c r="AT852" s="15" t="s">
        <v>200</v>
      </c>
      <c r="AU852" s="15" t="s">
        <v>1484</v>
      </c>
      <c r="AV852" s="15" t="s">
        <v>162</v>
      </c>
      <c r="AW852" s="15" t="s">
        <v>16889</v>
      </c>
      <c r="AX852" s="15" t="s">
        <v>16891</v>
      </c>
      <c r="AY852" s="15" t="s">
        <v>138</v>
      </c>
      <c r="AZ852" s="15" t="s">
        <v>164</v>
      </c>
      <c r="BA852" s="15" t="s">
        <v>165</v>
      </c>
      <c r="BB852" s="15" t="s">
        <v>16892</v>
      </c>
      <c r="BC852" s="15" t="s">
        <v>138</v>
      </c>
      <c r="BD852" s="21" t="s">
        <v>138</v>
      </c>
      <c r="BE852" s="15" t="s">
        <v>16893</v>
      </c>
      <c r="BF852" s="15" t="s">
        <v>16894</v>
      </c>
      <c r="BG852" s="15" t="s">
        <v>138</v>
      </c>
      <c r="BH852" s="15" t="s">
        <v>138</v>
      </c>
      <c r="BI852" s="15" t="s">
        <v>16895</v>
      </c>
      <c r="BJ852" s="15" t="s">
        <v>138</v>
      </c>
      <c r="BK852" s="15" t="s">
        <v>16896</v>
      </c>
      <c r="BL852" s="15" t="s">
        <v>16897</v>
      </c>
      <c r="BM852" s="22">
        <v>40479</v>
      </c>
      <c r="BN852" s="17" t="s">
        <v>138</v>
      </c>
      <c r="BO852" s="15" t="s">
        <v>138</v>
      </c>
      <c r="BP852" s="17" t="s">
        <v>138</v>
      </c>
      <c r="BQ852" s="15" t="s">
        <v>138</v>
      </c>
      <c r="BR852" s="15" t="s">
        <v>205</v>
      </c>
      <c r="BS852" s="15" t="s">
        <v>206</v>
      </c>
      <c r="BT852" s="15" t="s">
        <v>138</v>
      </c>
      <c r="BU852" s="15" t="s">
        <v>174</v>
      </c>
      <c r="BV852" s="15" t="s">
        <v>1397</v>
      </c>
      <c r="BW852" s="15" t="s">
        <v>138</v>
      </c>
      <c r="BX852" s="15" t="s">
        <v>138</v>
      </c>
      <c r="BY852" s="15" t="s">
        <v>175</v>
      </c>
      <c r="BZ852" s="22">
        <v>43605</v>
      </c>
      <c r="CA852" s="17" t="s">
        <v>138</v>
      </c>
      <c r="CB852" s="15" t="s">
        <v>138</v>
      </c>
      <c r="CC852" s="17" t="s">
        <v>138</v>
      </c>
      <c r="CD852" s="15" t="s">
        <v>138</v>
      </c>
      <c r="CE852" s="15" t="s">
        <v>2228</v>
      </c>
      <c r="CF852" s="15" t="s">
        <v>138</v>
      </c>
      <c r="CG852" s="15" t="s">
        <v>138</v>
      </c>
      <c r="CH852" s="15" t="s">
        <v>780</v>
      </c>
      <c r="CI852" s="15" t="s">
        <v>138</v>
      </c>
      <c r="CJ852" s="15" t="s">
        <v>138</v>
      </c>
      <c r="CK852" s="15" t="s">
        <v>138</v>
      </c>
      <c r="CL852" s="15" t="s">
        <v>175</v>
      </c>
      <c r="CM852" s="22">
        <v>43160</v>
      </c>
      <c r="CN852" s="17">
        <v>5</v>
      </c>
      <c r="CO852" s="23">
        <v>-0.08</v>
      </c>
      <c r="CP852" s="24">
        <v>21</v>
      </c>
      <c r="CQ852" s="23">
        <v>-0.01</v>
      </c>
      <c r="CR852" s="23">
        <v>-16.350000000000001</v>
      </c>
      <c r="CS852" s="23">
        <v>-0.12</v>
      </c>
      <c r="CT852" s="24">
        <v>22</v>
      </c>
      <c r="CU852" s="23">
        <v>-0.03</v>
      </c>
      <c r="CV852" s="24">
        <v>14</v>
      </c>
      <c r="CW852" s="23">
        <v>3.52</v>
      </c>
      <c r="CX852" s="24">
        <v>92</v>
      </c>
      <c r="CY852" s="23">
        <v>-3.77</v>
      </c>
      <c r="CZ852" s="24">
        <v>5</v>
      </c>
      <c r="DA852" s="23">
        <v>-0.03</v>
      </c>
      <c r="DB852" s="24">
        <v>17</v>
      </c>
      <c r="DC852" s="25">
        <v>17.72</v>
      </c>
      <c r="DD852" s="24">
        <v>94</v>
      </c>
      <c r="DE852" s="25">
        <v>-0.11</v>
      </c>
      <c r="DF852" s="23">
        <v>-0.62</v>
      </c>
      <c r="DG852" s="25">
        <v>24.7</v>
      </c>
      <c r="DH852" s="24">
        <v>96</v>
      </c>
      <c r="DI852" s="25">
        <v>10.74</v>
      </c>
      <c r="DJ852" s="24">
        <v>86</v>
      </c>
      <c r="DK852" s="25">
        <v>3.98</v>
      </c>
      <c r="DL852" s="24">
        <v>76</v>
      </c>
      <c r="DM852" s="25">
        <v>45.41</v>
      </c>
      <c r="DN852" s="24">
        <v>98</v>
      </c>
      <c r="DO852" s="25">
        <v>19.14</v>
      </c>
      <c r="DP852" s="24">
        <v>92</v>
      </c>
      <c r="DQ852" s="24">
        <v>1393</v>
      </c>
      <c r="DR852" s="26">
        <v>-84</v>
      </c>
      <c r="DS852" s="23">
        <v>-5.69</v>
      </c>
      <c r="DT852" s="24">
        <v>1317</v>
      </c>
      <c r="DU852" s="26">
        <v>-3</v>
      </c>
      <c r="DV852" s="23">
        <v>-0.23</v>
      </c>
      <c r="DW852" s="24">
        <v>6850</v>
      </c>
      <c r="DX852" s="27">
        <v>-4</v>
      </c>
      <c r="DY852" s="23">
        <v>-0.06</v>
      </c>
      <c r="DZ852" s="15" t="s">
        <v>178</v>
      </c>
      <c r="EA852" s="22">
        <v>43622</v>
      </c>
      <c r="EB852" s="17" t="s">
        <v>138</v>
      </c>
      <c r="EC852" s="22" t="s">
        <v>138</v>
      </c>
      <c r="ED852" s="15" t="s">
        <v>138</v>
      </c>
      <c r="EE852" s="14" t="str">
        <f>HYPERLINK("https://my.pitchbook.com?c=53650-54", "View company online")</f>
        <v>View company online</v>
      </c>
    </row>
    <row r="853" spans="1:135">
      <c r="A853" s="28" t="s">
        <v>16898</v>
      </c>
      <c r="B853" s="28" t="s">
        <v>16899</v>
      </c>
      <c r="C853" s="28" t="s">
        <v>16900</v>
      </c>
      <c r="D853" s="28" t="s">
        <v>138</v>
      </c>
      <c r="E853" s="28" t="s">
        <v>16901</v>
      </c>
      <c r="F853" s="28" t="s">
        <v>16898</v>
      </c>
      <c r="G853" s="28" t="s">
        <v>16902</v>
      </c>
      <c r="H853" s="28" t="s">
        <v>5219</v>
      </c>
      <c r="I853" s="28" t="s">
        <v>5220</v>
      </c>
      <c r="J853" s="28" t="s">
        <v>14334</v>
      </c>
      <c r="K853" s="28" t="s">
        <v>16903</v>
      </c>
      <c r="L853" s="28" t="s">
        <v>15210</v>
      </c>
      <c r="M853" s="28" t="s">
        <v>16904</v>
      </c>
      <c r="N853" s="28" t="s">
        <v>147</v>
      </c>
      <c r="O853" s="29">
        <v>54.1</v>
      </c>
      <c r="P853" s="28" t="s">
        <v>148</v>
      </c>
      <c r="Q853" s="28" t="s">
        <v>149</v>
      </c>
      <c r="R853" s="28" t="s">
        <v>174</v>
      </c>
      <c r="S853" s="28" t="s">
        <v>16905</v>
      </c>
      <c r="T853" s="30">
        <v>44</v>
      </c>
      <c r="U853" s="28" t="s">
        <v>16906</v>
      </c>
      <c r="V853" s="28" t="s">
        <v>138</v>
      </c>
      <c r="W853" s="28" t="s">
        <v>138</v>
      </c>
      <c r="X853" s="31">
        <v>2012</v>
      </c>
      <c r="Y853" s="28" t="s">
        <v>138</v>
      </c>
      <c r="Z853" s="28" t="s">
        <v>138</v>
      </c>
      <c r="AA853" s="28" t="s">
        <v>138</v>
      </c>
      <c r="AB853" s="32" t="s">
        <v>138</v>
      </c>
      <c r="AC853" s="32" t="s">
        <v>138</v>
      </c>
      <c r="AD853" s="32" t="s">
        <v>138</v>
      </c>
      <c r="AE853" s="32" t="s">
        <v>138</v>
      </c>
      <c r="AF853" s="32" t="s">
        <v>138</v>
      </c>
      <c r="AG853" s="28" t="s">
        <v>138</v>
      </c>
      <c r="AH853" s="32" t="s">
        <v>138</v>
      </c>
      <c r="AI853" s="32" t="s">
        <v>138</v>
      </c>
      <c r="AJ853" s="32" t="s">
        <v>138</v>
      </c>
      <c r="AK853" s="28" t="s">
        <v>16907</v>
      </c>
      <c r="AL853" s="28" t="s">
        <v>16908</v>
      </c>
      <c r="AM853" s="28" t="s">
        <v>16909</v>
      </c>
      <c r="AN853" s="28" t="s">
        <v>16910</v>
      </c>
      <c r="AO853" s="28" t="s">
        <v>16911</v>
      </c>
      <c r="AP853" s="28" t="s">
        <v>16912</v>
      </c>
      <c r="AQ853" s="28" t="s">
        <v>16913</v>
      </c>
      <c r="AR853" s="28" t="s">
        <v>16914</v>
      </c>
      <c r="AS853" s="28" t="s">
        <v>16915</v>
      </c>
      <c r="AT853" s="28" t="s">
        <v>7605</v>
      </c>
      <c r="AU853" s="28" t="s">
        <v>16916</v>
      </c>
      <c r="AV853" s="28" t="s">
        <v>162</v>
      </c>
      <c r="AW853" s="28" t="s">
        <v>16917</v>
      </c>
      <c r="AX853" s="28" t="s">
        <v>138</v>
      </c>
      <c r="AY853" s="28" t="s">
        <v>16918</v>
      </c>
      <c r="AZ853" s="28" t="s">
        <v>164</v>
      </c>
      <c r="BA853" s="28" t="s">
        <v>165</v>
      </c>
      <c r="BB853" s="28" t="s">
        <v>16919</v>
      </c>
      <c r="BC853" s="28" t="s">
        <v>16920</v>
      </c>
      <c r="BD853" s="33">
        <v>13</v>
      </c>
      <c r="BE853" s="28" t="s">
        <v>138</v>
      </c>
      <c r="BF853" s="28" t="s">
        <v>138</v>
      </c>
      <c r="BG853" s="28" t="s">
        <v>138</v>
      </c>
      <c r="BH853" s="28" t="s">
        <v>16921</v>
      </c>
      <c r="BI853" s="28" t="s">
        <v>138</v>
      </c>
      <c r="BJ853" s="28" t="s">
        <v>138</v>
      </c>
      <c r="BK853" s="28" t="s">
        <v>7445</v>
      </c>
      <c r="BL853" s="28" t="s">
        <v>16922</v>
      </c>
      <c r="BM853" s="34" t="s">
        <v>138</v>
      </c>
      <c r="BN853" s="29" t="s">
        <v>138</v>
      </c>
      <c r="BO853" s="28" t="s">
        <v>138</v>
      </c>
      <c r="BP853" s="29" t="s">
        <v>138</v>
      </c>
      <c r="BQ853" s="28" t="s">
        <v>138</v>
      </c>
      <c r="BR853" s="28" t="s">
        <v>316</v>
      </c>
      <c r="BS853" s="28" t="s">
        <v>138</v>
      </c>
      <c r="BT853" s="28" t="s">
        <v>138</v>
      </c>
      <c r="BU853" s="28" t="s">
        <v>177</v>
      </c>
      <c r="BV853" s="28" t="s">
        <v>138</v>
      </c>
      <c r="BW853" s="28" t="s">
        <v>138</v>
      </c>
      <c r="BX853" s="28" t="s">
        <v>138</v>
      </c>
      <c r="BY853" s="28" t="s">
        <v>175</v>
      </c>
      <c r="BZ853" s="34">
        <v>42985</v>
      </c>
      <c r="CA853" s="29">
        <v>30</v>
      </c>
      <c r="CB853" s="28" t="s">
        <v>172</v>
      </c>
      <c r="CC853" s="29">
        <v>80</v>
      </c>
      <c r="CD853" s="28" t="s">
        <v>172</v>
      </c>
      <c r="CE853" s="28" t="s">
        <v>173</v>
      </c>
      <c r="CF853" s="28" t="s">
        <v>317</v>
      </c>
      <c r="CG853" s="28" t="s">
        <v>138</v>
      </c>
      <c r="CH853" s="28" t="s">
        <v>174</v>
      </c>
      <c r="CI853" s="28" t="s">
        <v>138</v>
      </c>
      <c r="CJ853" s="28" t="s">
        <v>138</v>
      </c>
      <c r="CK853" s="28" t="s">
        <v>138</v>
      </c>
      <c r="CL853" s="28" t="s">
        <v>175</v>
      </c>
      <c r="CM853" s="34" t="s">
        <v>138</v>
      </c>
      <c r="CN853" s="29" t="s">
        <v>138</v>
      </c>
      <c r="CO853" s="35">
        <v>0.31</v>
      </c>
      <c r="CP853" s="36">
        <v>94</v>
      </c>
      <c r="CQ853" s="35">
        <v>-0.06</v>
      </c>
      <c r="CR853" s="35">
        <v>-16.41</v>
      </c>
      <c r="CS853" s="35">
        <v>-1.48</v>
      </c>
      <c r="CT853" s="36">
        <v>12</v>
      </c>
      <c r="CU853" s="35">
        <v>2.1</v>
      </c>
      <c r="CV853" s="36">
        <v>100</v>
      </c>
      <c r="CW853" s="35" t="s">
        <v>138</v>
      </c>
      <c r="CX853" s="36" t="s">
        <v>138</v>
      </c>
      <c r="CY853" s="35">
        <v>-1.48</v>
      </c>
      <c r="CZ853" s="36">
        <v>15</v>
      </c>
      <c r="DA853" s="35">
        <v>2.1</v>
      </c>
      <c r="DB853" s="36">
        <v>100</v>
      </c>
      <c r="DC853" s="37">
        <v>2.46</v>
      </c>
      <c r="DD853" s="36">
        <v>71</v>
      </c>
      <c r="DE853" s="37">
        <v>0</v>
      </c>
      <c r="DF853" s="35">
        <v>0.18</v>
      </c>
      <c r="DG853" s="37">
        <v>4.3099999999999996</v>
      </c>
      <c r="DH853" s="36">
        <v>80</v>
      </c>
      <c r="DI853" s="37">
        <v>0.61</v>
      </c>
      <c r="DJ853" s="36">
        <v>40</v>
      </c>
      <c r="DK853" s="37" t="s">
        <v>138</v>
      </c>
      <c r="DL853" s="36" t="s">
        <v>138</v>
      </c>
      <c r="DM853" s="37">
        <v>4.3099999999999996</v>
      </c>
      <c r="DN853" s="36">
        <v>79</v>
      </c>
      <c r="DO853" s="37">
        <v>0.61</v>
      </c>
      <c r="DP853" s="36">
        <v>41</v>
      </c>
      <c r="DQ853" s="36">
        <v>463</v>
      </c>
      <c r="DR853" s="38">
        <v>74</v>
      </c>
      <c r="DS853" s="35">
        <v>19.02</v>
      </c>
      <c r="DT853" s="36">
        <v>125</v>
      </c>
      <c r="DU853" s="38">
        <v>0</v>
      </c>
      <c r="DV853" s="35">
        <v>0</v>
      </c>
      <c r="DW853" s="36">
        <v>216</v>
      </c>
      <c r="DX853" s="39">
        <v>3</v>
      </c>
      <c r="DY853" s="35">
        <v>1.41</v>
      </c>
      <c r="DZ853" s="28" t="s">
        <v>178</v>
      </c>
      <c r="EA853" s="34">
        <v>43511</v>
      </c>
      <c r="EB853" s="29">
        <v>80</v>
      </c>
      <c r="EC853" s="34">
        <v>42985</v>
      </c>
      <c r="ED853" s="28" t="s">
        <v>173</v>
      </c>
      <c r="EE853" s="40" t="str">
        <f>HYPERLINK("https://my.pitchbook.com?c=55914-76", "View company online")</f>
        <v>View company online</v>
      </c>
    </row>
    <row r="854" spans="1:135">
      <c r="A854" s="15" t="s">
        <v>16923</v>
      </c>
      <c r="B854" s="15" t="s">
        <v>16924</v>
      </c>
      <c r="C854" s="15" t="s">
        <v>138</v>
      </c>
      <c r="D854" s="15" t="s">
        <v>138</v>
      </c>
      <c r="E854" s="15" t="s">
        <v>16925</v>
      </c>
      <c r="F854" s="15" t="s">
        <v>16923</v>
      </c>
      <c r="G854" s="15" t="s">
        <v>16926</v>
      </c>
      <c r="H854" s="15" t="s">
        <v>322</v>
      </c>
      <c r="I854" s="15" t="s">
        <v>323</v>
      </c>
      <c r="J854" s="15" t="s">
        <v>461</v>
      </c>
      <c r="K854" s="15" t="s">
        <v>16927</v>
      </c>
      <c r="L854" s="15" t="s">
        <v>215</v>
      </c>
      <c r="M854" s="15" t="s">
        <v>16928</v>
      </c>
      <c r="N854" s="15" t="s">
        <v>147</v>
      </c>
      <c r="O854" s="17">
        <v>103.81</v>
      </c>
      <c r="P854" s="15" t="s">
        <v>148</v>
      </c>
      <c r="Q854" s="15" t="s">
        <v>149</v>
      </c>
      <c r="R854" s="15" t="s">
        <v>328</v>
      </c>
      <c r="S854" s="15" t="s">
        <v>16929</v>
      </c>
      <c r="T854" s="18">
        <v>178</v>
      </c>
      <c r="U854" s="15" t="s">
        <v>16930</v>
      </c>
      <c r="V854" s="15" t="s">
        <v>138</v>
      </c>
      <c r="W854" s="15" t="s">
        <v>138</v>
      </c>
      <c r="X854" s="19">
        <v>2003</v>
      </c>
      <c r="Y854" s="15" t="s">
        <v>138</v>
      </c>
      <c r="Z854" s="15" t="s">
        <v>138</v>
      </c>
      <c r="AA854" s="15" t="s">
        <v>138</v>
      </c>
      <c r="AB854" s="20">
        <v>37.79</v>
      </c>
      <c r="AC854" s="20" t="s">
        <v>138</v>
      </c>
      <c r="AD854" s="20" t="s">
        <v>138</v>
      </c>
      <c r="AE854" s="20" t="s">
        <v>138</v>
      </c>
      <c r="AF854" s="20" t="s">
        <v>138</v>
      </c>
      <c r="AG854" s="15" t="s">
        <v>633</v>
      </c>
      <c r="AH854" s="20" t="s">
        <v>138</v>
      </c>
      <c r="AI854" s="20" t="s">
        <v>138</v>
      </c>
      <c r="AJ854" s="20" t="s">
        <v>138</v>
      </c>
      <c r="AK854" s="15" t="s">
        <v>16931</v>
      </c>
      <c r="AL854" s="15" t="s">
        <v>16932</v>
      </c>
      <c r="AM854" s="15" t="s">
        <v>16933</v>
      </c>
      <c r="AN854" s="15" t="s">
        <v>16934</v>
      </c>
      <c r="AO854" s="15" t="s">
        <v>16935</v>
      </c>
      <c r="AP854" s="15" t="s">
        <v>3839</v>
      </c>
      <c r="AQ854" s="15" t="s">
        <v>16936</v>
      </c>
      <c r="AR854" s="15" t="s">
        <v>1936</v>
      </c>
      <c r="AS854" s="15" t="s">
        <v>3841</v>
      </c>
      <c r="AT854" s="15" t="s">
        <v>200</v>
      </c>
      <c r="AU854" s="15" t="s">
        <v>3842</v>
      </c>
      <c r="AV854" s="15" t="s">
        <v>162</v>
      </c>
      <c r="AW854" s="15" t="s">
        <v>16937</v>
      </c>
      <c r="AX854" s="15" t="s">
        <v>16938</v>
      </c>
      <c r="AY854" s="15" t="s">
        <v>138</v>
      </c>
      <c r="AZ854" s="15" t="s">
        <v>164</v>
      </c>
      <c r="BA854" s="15" t="s">
        <v>165</v>
      </c>
      <c r="BB854" s="15" t="s">
        <v>16939</v>
      </c>
      <c r="BC854" s="15" t="s">
        <v>16940</v>
      </c>
      <c r="BD854" s="21">
        <v>8</v>
      </c>
      <c r="BE854" s="15" t="s">
        <v>138</v>
      </c>
      <c r="BF854" s="15" t="s">
        <v>16941</v>
      </c>
      <c r="BG854" s="15" t="s">
        <v>138</v>
      </c>
      <c r="BH854" s="15" t="s">
        <v>16942</v>
      </c>
      <c r="BI854" s="15" t="s">
        <v>16943</v>
      </c>
      <c r="BJ854" s="15" t="s">
        <v>138</v>
      </c>
      <c r="BK854" s="15" t="s">
        <v>16944</v>
      </c>
      <c r="BL854" s="15" t="s">
        <v>1854</v>
      </c>
      <c r="BM854" s="22">
        <v>38292</v>
      </c>
      <c r="BN854" s="17">
        <v>1.5</v>
      </c>
      <c r="BO854" s="15" t="s">
        <v>172</v>
      </c>
      <c r="BP854" s="17">
        <v>4.2</v>
      </c>
      <c r="BQ854" s="15" t="s">
        <v>172</v>
      </c>
      <c r="BR854" s="15" t="s">
        <v>205</v>
      </c>
      <c r="BS854" s="15" t="s">
        <v>206</v>
      </c>
      <c r="BT854" s="15" t="s">
        <v>138</v>
      </c>
      <c r="BU854" s="15" t="s">
        <v>174</v>
      </c>
      <c r="BV854" s="15" t="s">
        <v>138</v>
      </c>
      <c r="BW854" s="15" t="s">
        <v>138</v>
      </c>
      <c r="BX854" s="15" t="s">
        <v>138</v>
      </c>
      <c r="BY854" s="15" t="s">
        <v>175</v>
      </c>
      <c r="BZ854" s="22">
        <v>43423</v>
      </c>
      <c r="CA854" s="17">
        <v>19.13</v>
      </c>
      <c r="CB854" s="15" t="s">
        <v>172</v>
      </c>
      <c r="CC854" s="17" t="s">
        <v>138</v>
      </c>
      <c r="CD854" s="15" t="s">
        <v>138</v>
      </c>
      <c r="CE854" s="15" t="s">
        <v>173</v>
      </c>
      <c r="CF854" s="15" t="s">
        <v>138</v>
      </c>
      <c r="CG854" s="15" t="s">
        <v>138</v>
      </c>
      <c r="CH854" s="15" t="s">
        <v>174</v>
      </c>
      <c r="CI854" s="15" t="s">
        <v>264</v>
      </c>
      <c r="CJ854" s="15" t="s">
        <v>138</v>
      </c>
      <c r="CK854" s="15" t="s">
        <v>138</v>
      </c>
      <c r="CL854" s="15" t="s">
        <v>175</v>
      </c>
      <c r="CM854" s="22" t="s">
        <v>138</v>
      </c>
      <c r="CN854" s="17" t="s">
        <v>138</v>
      </c>
      <c r="CO854" s="23">
        <v>-7.0000000000000007E-2</v>
      </c>
      <c r="CP854" s="24">
        <v>21</v>
      </c>
      <c r="CQ854" s="23">
        <v>0</v>
      </c>
      <c r="CR854" s="23">
        <v>-4.1399999999999997</v>
      </c>
      <c r="CS854" s="23">
        <v>-0.15</v>
      </c>
      <c r="CT854" s="24">
        <v>22</v>
      </c>
      <c r="CU854" s="23">
        <v>0.01</v>
      </c>
      <c r="CV854" s="24">
        <v>49</v>
      </c>
      <c r="CW854" s="23">
        <v>1.01</v>
      </c>
      <c r="CX854" s="24">
        <v>85</v>
      </c>
      <c r="CY854" s="23">
        <v>-1.31</v>
      </c>
      <c r="CZ854" s="24">
        <v>16</v>
      </c>
      <c r="DA854" s="23">
        <v>0.01</v>
      </c>
      <c r="DB854" s="24">
        <v>57</v>
      </c>
      <c r="DC854" s="25">
        <v>9.35</v>
      </c>
      <c r="DD854" s="24">
        <v>89</v>
      </c>
      <c r="DE854" s="25">
        <v>-0.13</v>
      </c>
      <c r="DF854" s="23">
        <v>-1.42</v>
      </c>
      <c r="DG854" s="25">
        <v>9.27</v>
      </c>
      <c r="DH854" s="24">
        <v>89</v>
      </c>
      <c r="DI854" s="25">
        <v>9.43</v>
      </c>
      <c r="DJ854" s="24">
        <v>85</v>
      </c>
      <c r="DK854" s="25">
        <v>4.16</v>
      </c>
      <c r="DL854" s="24">
        <v>77</v>
      </c>
      <c r="DM854" s="25">
        <v>14.38</v>
      </c>
      <c r="DN854" s="24">
        <v>92</v>
      </c>
      <c r="DO854" s="25">
        <v>9.43</v>
      </c>
      <c r="DP854" s="24">
        <v>87</v>
      </c>
      <c r="DQ854" s="24">
        <v>1410</v>
      </c>
      <c r="DR854" s="26">
        <v>48</v>
      </c>
      <c r="DS854" s="23">
        <v>3.52</v>
      </c>
      <c r="DT854" s="24">
        <v>418</v>
      </c>
      <c r="DU854" s="26">
        <v>-2</v>
      </c>
      <c r="DV854" s="23">
        <v>-0.48</v>
      </c>
      <c r="DW854" s="24">
        <v>3375</v>
      </c>
      <c r="DX854" s="27">
        <v>1</v>
      </c>
      <c r="DY854" s="23">
        <v>0.03</v>
      </c>
      <c r="DZ854" s="15" t="s">
        <v>178</v>
      </c>
      <c r="EA854" s="22">
        <v>43424</v>
      </c>
      <c r="EB854" s="17">
        <v>109</v>
      </c>
      <c r="EC854" s="22">
        <v>41382</v>
      </c>
      <c r="ED854" s="15" t="s">
        <v>173</v>
      </c>
      <c r="EE854" s="14" t="str">
        <f>HYPERLINK("https://my.pitchbook.com?c=45352-00", "View company online")</f>
        <v>View company online</v>
      </c>
    </row>
    <row r="855" spans="1:135">
      <c r="A855" s="28" t="s">
        <v>16945</v>
      </c>
      <c r="B855" s="28" t="s">
        <v>16946</v>
      </c>
      <c r="C855" s="28" t="s">
        <v>16947</v>
      </c>
      <c r="D855" s="28" t="s">
        <v>138</v>
      </c>
      <c r="E855" s="28" t="s">
        <v>16948</v>
      </c>
      <c r="F855" s="28" t="s">
        <v>16945</v>
      </c>
      <c r="G855" s="28" t="s">
        <v>16949</v>
      </c>
      <c r="H855" s="28" t="s">
        <v>141</v>
      </c>
      <c r="I855" s="28" t="s">
        <v>212</v>
      </c>
      <c r="J855" s="28" t="s">
        <v>213</v>
      </c>
      <c r="K855" s="28" t="s">
        <v>608</v>
      </c>
      <c r="L855" s="28" t="s">
        <v>16950</v>
      </c>
      <c r="M855" s="28" t="s">
        <v>16951</v>
      </c>
      <c r="N855" s="28" t="s">
        <v>147</v>
      </c>
      <c r="O855" s="29">
        <v>108.67</v>
      </c>
      <c r="P855" s="28" t="s">
        <v>148</v>
      </c>
      <c r="Q855" s="28" t="s">
        <v>149</v>
      </c>
      <c r="R855" s="28" t="s">
        <v>244</v>
      </c>
      <c r="S855" s="28" t="s">
        <v>16952</v>
      </c>
      <c r="T855" s="30">
        <v>116</v>
      </c>
      <c r="U855" s="28" t="s">
        <v>16953</v>
      </c>
      <c r="V855" s="28" t="s">
        <v>138</v>
      </c>
      <c r="W855" s="28" t="s">
        <v>138</v>
      </c>
      <c r="X855" s="31">
        <v>2003</v>
      </c>
      <c r="Y855" s="28" t="s">
        <v>138</v>
      </c>
      <c r="Z855" s="28" t="s">
        <v>138</v>
      </c>
      <c r="AA855" s="28" t="s">
        <v>138</v>
      </c>
      <c r="AB855" s="32" t="s">
        <v>138</v>
      </c>
      <c r="AC855" s="32" t="s">
        <v>138</v>
      </c>
      <c r="AD855" s="32" t="s">
        <v>138</v>
      </c>
      <c r="AE855" s="32" t="s">
        <v>138</v>
      </c>
      <c r="AF855" s="32" t="s">
        <v>138</v>
      </c>
      <c r="AG855" s="28" t="s">
        <v>138</v>
      </c>
      <c r="AH855" s="32" t="s">
        <v>138</v>
      </c>
      <c r="AI855" s="32" t="s">
        <v>138</v>
      </c>
      <c r="AJ855" s="32" t="s">
        <v>138</v>
      </c>
      <c r="AK855" s="28" t="s">
        <v>16954</v>
      </c>
      <c r="AL855" s="28" t="s">
        <v>16955</v>
      </c>
      <c r="AM855" s="28" t="s">
        <v>249</v>
      </c>
      <c r="AN855" s="28" t="s">
        <v>16956</v>
      </c>
      <c r="AO855" s="28" t="s">
        <v>16957</v>
      </c>
      <c r="AP855" s="28" t="s">
        <v>3839</v>
      </c>
      <c r="AQ855" s="28" t="s">
        <v>16958</v>
      </c>
      <c r="AR855" s="28" t="s">
        <v>282</v>
      </c>
      <c r="AS855" s="28" t="s">
        <v>3841</v>
      </c>
      <c r="AT855" s="28" t="s">
        <v>200</v>
      </c>
      <c r="AU855" s="28" t="s">
        <v>3842</v>
      </c>
      <c r="AV855" s="28" t="s">
        <v>162</v>
      </c>
      <c r="AW855" s="28" t="s">
        <v>16957</v>
      </c>
      <c r="AX855" s="28" t="s">
        <v>16959</v>
      </c>
      <c r="AY855" s="28" t="s">
        <v>16960</v>
      </c>
      <c r="AZ855" s="28" t="s">
        <v>164</v>
      </c>
      <c r="BA855" s="28" t="s">
        <v>165</v>
      </c>
      <c r="BB855" s="28" t="s">
        <v>16961</v>
      </c>
      <c r="BC855" s="28" t="s">
        <v>16962</v>
      </c>
      <c r="BD855" s="33">
        <v>10</v>
      </c>
      <c r="BE855" s="28" t="s">
        <v>138</v>
      </c>
      <c r="BF855" s="28" t="s">
        <v>138</v>
      </c>
      <c r="BG855" s="28" t="s">
        <v>138</v>
      </c>
      <c r="BH855" s="28" t="s">
        <v>16963</v>
      </c>
      <c r="BI855" s="28" t="s">
        <v>138</v>
      </c>
      <c r="BJ855" s="28" t="s">
        <v>138</v>
      </c>
      <c r="BK855" s="28" t="s">
        <v>16964</v>
      </c>
      <c r="BL855" s="28" t="s">
        <v>16965</v>
      </c>
      <c r="BM855" s="34">
        <v>38513</v>
      </c>
      <c r="BN855" s="29">
        <v>3</v>
      </c>
      <c r="BO855" s="28" t="s">
        <v>172</v>
      </c>
      <c r="BP855" s="29">
        <v>10</v>
      </c>
      <c r="BQ855" s="28" t="s">
        <v>172</v>
      </c>
      <c r="BR855" s="28" t="s">
        <v>205</v>
      </c>
      <c r="BS855" s="28" t="s">
        <v>206</v>
      </c>
      <c r="BT855" s="28" t="s">
        <v>138</v>
      </c>
      <c r="BU855" s="28" t="s">
        <v>174</v>
      </c>
      <c r="BV855" s="28" t="s">
        <v>138</v>
      </c>
      <c r="BW855" s="28" t="s">
        <v>138</v>
      </c>
      <c r="BX855" s="28" t="s">
        <v>138</v>
      </c>
      <c r="BY855" s="28" t="s">
        <v>175</v>
      </c>
      <c r="BZ855" s="34">
        <v>42969</v>
      </c>
      <c r="CA855" s="29">
        <v>10</v>
      </c>
      <c r="CB855" s="28" t="s">
        <v>172</v>
      </c>
      <c r="CC855" s="29" t="s">
        <v>138</v>
      </c>
      <c r="CD855" s="28" t="s">
        <v>138</v>
      </c>
      <c r="CE855" s="28" t="s">
        <v>1326</v>
      </c>
      <c r="CF855" s="28" t="s">
        <v>138</v>
      </c>
      <c r="CG855" s="28" t="s">
        <v>138</v>
      </c>
      <c r="CH855" s="28" t="s">
        <v>1327</v>
      </c>
      <c r="CI855" s="28" t="s">
        <v>5777</v>
      </c>
      <c r="CJ855" s="28" t="s">
        <v>138</v>
      </c>
      <c r="CK855" s="28" t="s">
        <v>138</v>
      </c>
      <c r="CL855" s="28" t="s">
        <v>175</v>
      </c>
      <c r="CM855" s="34">
        <v>42969</v>
      </c>
      <c r="CN855" s="29">
        <v>10</v>
      </c>
      <c r="CO855" s="35">
        <v>-0.44</v>
      </c>
      <c r="CP855" s="36">
        <v>17</v>
      </c>
      <c r="CQ855" s="35">
        <v>-0.04</v>
      </c>
      <c r="CR855" s="35">
        <v>-8.83</v>
      </c>
      <c r="CS855" s="35">
        <v>-0.92</v>
      </c>
      <c r="CT855" s="36">
        <v>16</v>
      </c>
      <c r="CU855" s="35">
        <v>0.05</v>
      </c>
      <c r="CV855" s="36">
        <v>58</v>
      </c>
      <c r="CW855" s="35">
        <v>0.57999999999999996</v>
      </c>
      <c r="CX855" s="36">
        <v>83</v>
      </c>
      <c r="CY855" s="35">
        <v>-2.41</v>
      </c>
      <c r="CZ855" s="36">
        <v>9</v>
      </c>
      <c r="DA855" s="35">
        <v>0.08</v>
      </c>
      <c r="DB855" s="36">
        <v>69</v>
      </c>
      <c r="DC855" s="37">
        <v>28.34</v>
      </c>
      <c r="DD855" s="36">
        <v>96</v>
      </c>
      <c r="DE855" s="37">
        <v>-0.73</v>
      </c>
      <c r="DF855" s="35">
        <v>-2.52</v>
      </c>
      <c r="DG855" s="37">
        <v>43.36</v>
      </c>
      <c r="DH855" s="36">
        <v>98</v>
      </c>
      <c r="DI855" s="37">
        <v>13.32</v>
      </c>
      <c r="DJ855" s="36">
        <v>88</v>
      </c>
      <c r="DK855" s="37">
        <v>24.55</v>
      </c>
      <c r="DL855" s="36">
        <v>93</v>
      </c>
      <c r="DM855" s="37">
        <v>62.17</v>
      </c>
      <c r="DN855" s="36">
        <v>99</v>
      </c>
      <c r="DO855" s="37">
        <v>24.65</v>
      </c>
      <c r="DP855" s="36">
        <v>94</v>
      </c>
      <c r="DQ855" s="36">
        <v>8290</v>
      </c>
      <c r="DR855" s="38">
        <v>391</v>
      </c>
      <c r="DS855" s="35">
        <v>4.95</v>
      </c>
      <c r="DT855" s="36">
        <v>1802</v>
      </c>
      <c r="DU855" s="38">
        <v>-4</v>
      </c>
      <c r="DV855" s="35">
        <v>-0.22</v>
      </c>
      <c r="DW855" s="36">
        <v>8815</v>
      </c>
      <c r="DX855" s="39">
        <v>25</v>
      </c>
      <c r="DY855" s="35">
        <v>0.28000000000000003</v>
      </c>
      <c r="DZ855" s="28" t="s">
        <v>178</v>
      </c>
      <c r="EA855" s="34">
        <v>43622</v>
      </c>
      <c r="EB855" s="29">
        <v>31.92</v>
      </c>
      <c r="EC855" s="34">
        <v>42828</v>
      </c>
      <c r="ED855" s="28" t="s">
        <v>173</v>
      </c>
      <c r="EE855" s="40" t="str">
        <f>HYPERLINK("https://my.pitchbook.com?c=51151-69", "View company online")</f>
        <v>View company online</v>
      </c>
    </row>
    <row r="856" spans="1:135">
      <c r="A856" s="15" t="s">
        <v>16966</v>
      </c>
      <c r="B856" s="15" t="s">
        <v>16967</v>
      </c>
      <c r="C856" s="15" t="s">
        <v>138</v>
      </c>
      <c r="D856" s="15" t="s">
        <v>138</v>
      </c>
      <c r="E856" s="15" t="s">
        <v>138</v>
      </c>
      <c r="F856" s="15" t="s">
        <v>16966</v>
      </c>
      <c r="G856" s="15" t="s">
        <v>16968</v>
      </c>
      <c r="H856" s="15" t="s">
        <v>141</v>
      </c>
      <c r="I856" s="15" t="s">
        <v>212</v>
      </c>
      <c r="J856" s="15" t="s">
        <v>2483</v>
      </c>
      <c r="K856" s="15" t="s">
        <v>16969</v>
      </c>
      <c r="L856" s="15" t="s">
        <v>3589</v>
      </c>
      <c r="M856" s="15" t="s">
        <v>16970</v>
      </c>
      <c r="N856" s="15" t="s">
        <v>147</v>
      </c>
      <c r="O856" s="17">
        <v>3</v>
      </c>
      <c r="P856" s="15" t="s">
        <v>148</v>
      </c>
      <c r="Q856" s="15" t="s">
        <v>149</v>
      </c>
      <c r="R856" s="15" t="s">
        <v>174</v>
      </c>
      <c r="S856" s="15" t="s">
        <v>16971</v>
      </c>
      <c r="T856" s="18">
        <v>9</v>
      </c>
      <c r="U856" s="15" t="s">
        <v>16972</v>
      </c>
      <c r="V856" s="15" t="s">
        <v>138</v>
      </c>
      <c r="W856" s="15" t="s">
        <v>138</v>
      </c>
      <c r="X856" s="19">
        <v>2011</v>
      </c>
      <c r="Y856" s="15" t="s">
        <v>138</v>
      </c>
      <c r="Z856" s="15" t="s">
        <v>138</v>
      </c>
      <c r="AA856" s="15" t="s">
        <v>138</v>
      </c>
      <c r="AB856" s="20" t="s">
        <v>138</v>
      </c>
      <c r="AC856" s="20" t="s">
        <v>138</v>
      </c>
      <c r="AD856" s="20" t="s">
        <v>138</v>
      </c>
      <c r="AE856" s="20" t="s">
        <v>138</v>
      </c>
      <c r="AF856" s="20" t="s">
        <v>138</v>
      </c>
      <c r="AG856" s="15" t="s">
        <v>138</v>
      </c>
      <c r="AH856" s="20" t="s">
        <v>138</v>
      </c>
      <c r="AI856" s="20" t="s">
        <v>138</v>
      </c>
      <c r="AJ856" s="20" t="s">
        <v>138</v>
      </c>
      <c r="AK856" s="15" t="s">
        <v>16973</v>
      </c>
      <c r="AL856" s="15" t="s">
        <v>16974</v>
      </c>
      <c r="AM856" s="15" t="s">
        <v>304</v>
      </c>
      <c r="AN856" s="15" t="s">
        <v>16975</v>
      </c>
      <c r="AO856" s="15" t="s">
        <v>138</v>
      </c>
      <c r="AP856" s="15" t="s">
        <v>5697</v>
      </c>
      <c r="AQ856" s="15" t="s">
        <v>16976</v>
      </c>
      <c r="AR856" s="15" t="s">
        <v>138</v>
      </c>
      <c r="AS856" s="15" t="s">
        <v>5700</v>
      </c>
      <c r="AT856" s="15" t="s">
        <v>138</v>
      </c>
      <c r="AU856" s="15" t="s">
        <v>138</v>
      </c>
      <c r="AV856" s="15" t="s">
        <v>740</v>
      </c>
      <c r="AW856" s="15" t="s">
        <v>138</v>
      </c>
      <c r="AX856" s="15" t="s">
        <v>138</v>
      </c>
      <c r="AY856" s="15" t="s">
        <v>16977</v>
      </c>
      <c r="AZ856" s="15" t="s">
        <v>742</v>
      </c>
      <c r="BA856" s="15" t="s">
        <v>742</v>
      </c>
      <c r="BB856" s="15" t="s">
        <v>16978</v>
      </c>
      <c r="BC856" s="15" t="s">
        <v>16979</v>
      </c>
      <c r="BD856" s="21">
        <v>8</v>
      </c>
      <c r="BE856" s="15" t="s">
        <v>138</v>
      </c>
      <c r="BF856" s="15" t="s">
        <v>138</v>
      </c>
      <c r="BG856" s="15" t="s">
        <v>138</v>
      </c>
      <c r="BH856" s="15" t="s">
        <v>16980</v>
      </c>
      <c r="BI856" s="15" t="s">
        <v>138</v>
      </c>
      <c r="BJ856" s="15" t="s">
        <v>138</v>
      </c>
      <c r="BK856" s="15" t="s">
        <v>138</v>
      </c>
      <c r="BL856" s="15" t="s">
        <v>16981</v>
      </c>
      <c r="BM856" s="22" t="s">
        <v>138</v>
      </c>
      <c r="BN856" s="17" t="s">
        <v>138</v>
      </c>
      <c r="BO856" s="15" t="s">
        <v>138</v>
      </c>
      <c r="BP856" s="17" t="s">
        <v>138</v>
      </c>
      <c r="BQ856" s="15" t="s">
        <v>138</v>
      </c>
      <c r="BR856" s="15" t="s">
        <v>316</v>
      </c>
      <c r="BS856" s="15" t="s">
        <v>138</v>
      </c>
      <c r="BT856" s="15" t="s">
        <v>138</v>
      </c>
      <c r="BU856" s="15" t="s">
        <v>177</v>
      </c>
      <c r="BV856" s="15" t="s">
        <v>138</v>
      </c>
      <c r="BW856" s="15" t="s">
        <v>138</v>
      </c>
      <c r="BX856" s="15" t="s">
        <v>138</v>
      </c>
      <c r="BY856" s="15" t="s">
        <v>175</v>
      </c>
      <c r="BZ856" s="22">
        <v>42670</v>
      </c>
      <c r="CA856" s="17">
        <v>0.14000000000000001</v>
      </c>
      <c r="CB856" s="15" t="s">
        <v>172</v>
      </c>
      <c r="CC856" s="17" t="s">
        <v>138</v>
      </c>
      <c r="CD856" s="15" t="s">
        <v>138</v>
      </c>
      <c r="CE856" s="15" t="s">
        <v>176</v>
      </c>
      <c r="CF856" s="15" t="s">
        <v>138</v>
      </c>
      <c r="CG856" s="15" t="s">
        <v>138</v>
      </c>
      <c r="CH856" s="15" t="s">
        <v>177</v>
      </c>
      <c r="CI856" s="15" t="s">
        <v>1328</v>
      </c>
      <c r="CJ856" s="15" t="s">
        <v>138</v>
      </c>
      <c r="CK856" s="15" t="s">
        <v>138</v>
      </c>
      <c r="CL856" s="15" t="s">
        <v>175</v>
      </c>
      <c r="CM856" s="22">
        <v>42670</v>
      </c>
      <c r="CN856" s="17">
        <v>0.11</v>
      </c>
      <c r="CO856" s="23">
        <v>0</v>
      </c>
      <c r="CP856" s="24">
        <v>26</v>
      </c>
      <c r="CQ856" s="23">
        <v>0</v>
      </c>
      <c r="CR856" s="23">
        <v>0</v>
      </c>
      <c r="CS856" s="23">
        <v>0</v>
      </c>
      <c r="CT856" s="24">
        <v>23</v>
      </c>
      <c r="CU856" s="23">
        <v>0</v>
      </c>
      <c r="CV856" s="24">
        <v>22</v>
      </c>
      <c r="CW856" s="23" t="s">
        <v>138</v>
      </c>
      <c r="CX856" s="24" t="s">
        <v>138</v>
      </c>
      <c r="CY856" s="23">
        <v>0</v>
      </c>
      <c r="CZ856" s="24">
        <v>25</v>
      </c>
      <c r="DA856" s="23">
        <v>0</v>
      </c>
      <c r="DB856" s="24">
        <v>22</v>
      </c>
      <c r="DC856" s="25">
        <v>0.23</v>
      </c>
      <c r="DD856" s="24">
        <v>18</v>
      </c>
      <c r="DE856" s="25">
        <v>0</v>
      </c>
      <c r="DF856" s="23">
        <v>0.14000000000000001</v>
      </c>
      <c r="DG856" s="25">
        <v>0.34</v>
      </c>
      <c r="DH856" s="24">
        <v>25</v>
      </c>
      <c r="DI856" s="25">
        <v>0.12</v>
      </c>
      <c r="DJ856" s="24">
        <v>16</v>
      </c>
      <c r="DK856" s="25" t="s">
        <v>138</v>
      </c>
      <c r="DL856" s="24" t="s">
        <v>138</v>
      </c>
      <c r="DM856" s="25">
        <v>0.34</v>
      </c>
      <c r="DN856" s="24">
        <v>26</v>
      </c>
      <c r="DO856" s="25">
        <v>0.12</v>
      </c>
      <c r="DP856" s="24">
        <v>18</v>
      </c>
      <c r="DQ856" s="24" t="s">
        <v>138</v>
      </c>
      <c r="DR856" s="26" t="s">
        <v>138</v>
      </c>
      <c r="DS856" s="23" t="s">
        <v>138</v>
      </c>
      <c r="DT856" s="24">
        <v>10</v>
      </c>
      <c r="DU856" s="26">
        <v>0</v>
      </c>
      <c r="DV856" s="23">
        <v>0</v>
      </c>
      <c r="DW856" s="24">
        <v>43</v>
      </c>
      <c r="DX856" s="27">
        <v>0</v>
      </c>
      <c r="DY856" s="23">
        <v>0</v>
      </c>
      <c r="DZ856" s="15" t="s">
        <v>178</v>
      </c>
      <c r="EA856" s="22">
        <v>43622</v>
      </c>
      <c r="EB856" s="17" t="s">
        <v>138</v>
      </c>
      <c r="EC856" s="22" t="s">
        <v>138</v>
      </c>
      <c r="ED856" s="15" t="s">
        <v>138</v>
      </c>
      <c r="EE856" s="14" t="str">
        <f>HYPERLINK("https://my.pitchbook.com?c=108704-53", "View company online")</f>
        <v>View company online</v>
      </c>
    </row>
    <row r="857" spans="1:135">
      <c r="A857" s="28" t="s">
        <v>16982</v>
      </c>
      <c r="B857" s="28" t="s">
        <v>16983</v>
      </c>
      <c r="C857" s="28" t="s">
        <v>138</v>
      </c>
      <c r="D857" s="28" t="s">
        <v>138</v>
      </c>
      <c r="E857" s="28" t="s">
        <v>16984</v>
      </c>
      <c r="F857" s="28" t="s">
        <v>16982</v>
      </c>
      <c r="G857" s="28" t="s">
        <v>16985</v>
      </c>
      <c r="H857" s="28" t="s">
        <v>238</v>
      </c>
      <c r="I857" s="28" t="s">
        <v>239</v>
      </c>
      <c r="J857" s="28" t="s">
        <v>2578</v>
      </c>
      <c r="K857" s="28" t="s">
        <v>16986</v>
      </c>
      <c r="L857" s="28" t="s">
        <v>4703</v>
      </c>
      <c r="M857" s="28" t="s">
        <v>16987</v>
      </c>
      <c r="N857" s="28" t="s">
        <v>147</v>
      </c>
      <c r="O857" s="29">
        <v>12.41</v>
      </c>
      <c r="P857" s="28" t="s">
        <v>189</v>
      </c>
      <c r="Q857" s="28" t="s">
        <v>149</v>
      </c>
      <c r="R857" s="28" t="s">
        <v>174</v>
      </c>
      <c r="S857" s="28" t="s">
        <v>16988</v>
      </c>
      <c r="T857" s="30">
        <v>8</v>
      </c>
      <c r="U857" s="28" t="s">
        <v>16989</v>
      </c>
      <c r="V857" s="28" t="s">
        <v>138</v>
      </c>
      <c r="W857" s="28" t="s">
        <v>138</v>
      </c>
      <c r="X857" s="31">
        <v>2017</v>
      </c>
      <c r="Y857" s="28" t="s">
        <v>138</v>
      </c>
      <c r="Z857" s="28" t="s">
        <v>138</v>
      </c>
      <c r="AA857" s="28" t="s">
        <v>138</v>
      </c>
      <c r="AB857" s="32" t="s">
        <v>138</v>
      </c>
      <c r="AC857" s="32" t="s">
        <v>138</v>
      </c>
      <c r="AD857" s="32" t="s">
        <v>138</v>
      </c>
      <c r="AE857" s="32" t="s">
        <v>138</v>
      </c>
      <c r="AF857" s="32" t="s">
        <v>138</v>
      </c>
      <c r="AG857" s="28" t="s">
        <v>138</v>
      </c>
      <c r="AH857" s="32" t="s">
        <v>138</v>
      </c>
      <c r="AI857" s="32" t="s">
        <v>138</v>
      </c>
      <c r="AJ857" s="32" t="s">
        <v>138</v>
      </c>
      <c r="AK857" s="28" t="s">
        <v>16990</v>
      </c>
      <c r="AL857" s="28" t="s">
        <v>16991</v>
      </c>
      <c r="AM857" s="28" t="s">
        <v>304</v>
      </c>
      <c r="AN857" s="28" t="s">
        <v>16992</v>
      </c>
      <c r="AO857" s="28" t="s">
        <v>16993</v>
      </c>
      <c r="AP857" s="28" t="s">
        <v>471</v>
      </c>
      <c r="AQ857" s="28" t="s">
        <v>16994</v>
      </c>
      <c r="AR857" s="28" t="s">
        <v>138</v>
      </c>
      <c r="AS857" s="28" t="s">
        <v>473</v>
      </c>
      <c r="AT857" s="28" t="s">
        <v>474</v>
      </c>
      <c r="AU857" s="28" t="s">
        <v>3311</v>
      </c>
      <c r="AV857" s="28" t="s">
        <v>162</v>
      </c>
      <c r="AW857" s="28" t="s">
        <v>16993</v>
      </c>
      <c r="AX857" s="28" t="s">
        <v>138</v>
      </c>
      <c r="AY857" s="28" t="s">
        <v>16995</v>
      </c>
      <c r="AZ857" s="28" t="s">
        <v>164</v>
      </c>
      <c r="BA857" s="28" t="s">
        <v>165</v>
      </c>
      <c r="BB857" s="28" t="s">
        <v>16996</v>
      </c>
      <c r="BC857" s="28" t="s">
        <v>16997</v>
      </c>
      <c r="BD857" s="33">
        <v>10</v>
      </c>
      <c r="BE857" s="28" t="s">
        <v>138</v>
      </c>
      <c r="BF857" s="28" t="s">
        <v>138</v>
      </c>
      <c r="BG857" s="28" t="s">
        <v>138</v>
      </c>
      <c r="BH857" s="28" t="s">
        <v>16998</v>
      </c>
      <c r="BI857" s="28" t="s">
        <v>138</v>
      </c>
      <c r="BJ857" s="28" t="s">
        <v>138</v>
      </c>
      <c r="BK857" s="28" t="s">
        <v>16999</v>
      </c>
      <c r="BL857" s="28" t="s">
        <v>138</v>
      </c>
      <c r="BM857" s="34">
        <v>43430</v>
      </c>
      <c r="BN857" s="29">
        <v>14.5</v>
      </c>
      <c r="BO857" s="28" t="s">
        <v>172</v>
      </c>
      <c r="BP857" s="29" t="s">
        <v>138</v>
      </c>
      <c r="BQ857" s="28" t="s">
        <v>138</v>
      </c>
      <c r="BR857" s="28" t="s">
        <v>234</v>
      </c>
      <c r="BS857" s="28" t="s">
        <v>234</v>
      </c>
      <c r="BT857" s="28" t="s">
        <v>138</v>
      </c>
      <c r="BU857" s="28" t="s">
        <v>174</v>
      </c>
      <c r="BV857" s="28" t="s">
        <v>138</v>
      </c>
      <c r="BW857" s="28" t="s">
        <v>138</v>
      </c>
      <c r="BX857" s="28" t="s">
        <v>138</v>
      </c>
      <c r="BY857" s="28" t="s">
        <v>175</v>
      </c>
      <c r="BZ857" s="34">
        <v>43430</v>
      </c>
      <c r="CA857" s="29">
        <v>14.5</v>
      </c>
      <c r="CB857" s="28" t="s">
        <v>172</v>
      </c>
      <c r="CC857" s="29" t="s">
        <v>138</v>
      </c>
      <c r="CD857" s="28" t="s">
        <v>138</v>
      </c>
      <c r="CE857" s="28" t="s">
        <v>234</v>
      </c>
      <c r="CF857" s="28" t="s">
        <v>234</v>
      </c>
      <c r="CG857" s="28" t="s">
        <v>138</v>
      </c>
      <c r="CH857" s="28" t="s">
        <v>174</v>
      </c>
      <c r="CI857" s="28" t="s">
        <v>138</v>
      </c>
      <c r="CJ857" s="28" t="s">
        <v>138</v>
      </c>
      <c r="CK857" s="28" t="s">
        <v>138</v>
      </c>
      <c r="CL857" s="28" t="s">
        <v>175</v>
      </c>
      <c r="CM857" s="34" t="s">
        <v>138</v>
      </c>
      <c r="CN857" s="29" t="s">
        <v>138</v>
      </c>
      <c r="CO857" s="35">
        <v>0.94</v>
      </c>
      <c r="CP857" s="36">
        <v>97</v>
      </c>
      <c r="CQ857" s="35">
        <v>-0.02</v>
      </c>
      <c r="CR857" s="35">
        <v>-1.6</v>
      </c>
      <c r="CS857" s="35">
        <v>0.53</v>
      </c>
      <c r="CT857" s="36">
        <v>95</v>
      </c>
      <c r="CU857" s="35">
        <v>2.29</v>
      </c>
      <c r="CV857" s="36">
        <v>100</v>
      </c>
      <c r="CW857" s="35">
        <v>1.07</v>
      </c>
      <c r="CX857" s="36">
        <v>85</v>
      </c>
      <c r="CY857" s="35">
        <v>0</v>
      </c>
      <c r="CZ857" s="36">
        <v>25</v>
      </c>
      <c r="DA857" s="35">
        <v>2.29</v>
      </c>
      <c r="DB857" s="36">
        <v>100</v>
      </c>
      <c r="DC857" s="37">
        <v>2.23</v>
      </c>
      <c r="DD857" s="36">
        <v>69</v>
      </c>
      <c r="DE857" s="37">
        <v>-0.19</v>
      </c>
      <c r="DF857" s="35">
        <v>-7.69</v>
      </c>
      <c r="DG857" s="37">
        <v>4.7699999999999996</v>
      </c>
      <c r="DH857" s="36">
        <v>82</v>
      </c>
      <c r="DI857" s="37">
        <v>1.7</v>
      </c>
      <c r="DJ857" s="36">
        <v>59</v>
      </c>
      <c r="DK857" s="37">
        <v>9.1300000000000008</v>
      </c>
      <c r="DL857" s="36">
        <v>86</v>
      </c>
      <c r="DM857" s="37">
        <v>0.41</v>
      </c>
      <c r="DN857" s="36">
        <v>30</v>
      </c>
      <c r="DO857" s="37">
        <v>1.7</v>
      </c>
      <c r="DP857" s="36">
        <v>61</v>
      </c>
      <c r="DQ857" s="36">
        <v>3152</v>
      </c>
      <c r="DR857" s="38">
        <v>-57</v>
      </c>
      <c r="DS857" s="35">
        <v>-1.78</v>
      </c>
      <c r="DT857" s="36">
        <v>12</v>
      </c>
      <c r="DU857" s="38">
        <v>0</v>
      </c>
      <c r="DV857" s="35">
        <v>0</v>
      </c>
      <c r="DW857" s="36">
        <v>604</v>
      </c>
      <c r="DX857" s="39">
        <v>5</v>
      </c>
      <c r="DY857" s="35">
        <v>0.83</v>
      </c>
      <c r="DZ857" s="28" t="s">
        <v>178</v>
      </c>
      <c r="EA857" s="34">
        <v>43587</v>
      </c>
      <c r="EB857" s="29" t="s">
        <v>138</v>
      </c>
      <c r="EC857" s="34" t="s">
        <v>138</v>
      </c>
      <c r="ED857" s="28" t="s">
        <v>138</v>
      </c>
      <c r="EE857" s="40" t="str">
        <f>HYPERLINK("https://my.pitchbook.com?c=226616-95", "View company online")</f>
        <v>View company online</v>
      </c>
    </row>
    <row r="858" spans="1:135">
      <c r="A858" s="15" t="s">
        <v>17000</v>
      </c>
      <c r="B858" s="15" t="s">
        <v>17001</v>
      </c>
      <c r="C858" s="15" t="s">
        <v>138</v>
      </c>
      <c r="D858" s="15" t="s">
        <v>138</v>
      </c>
      <c r="E858" s="15" t="s">
        <v>138</v>
      </c>
      <c r="F858" s="15" t="s">
        <v>17000</v>
      </c>
      <c r="G858" s="15" t="s">
        <v>17002</v>
      </c>
      <c r="H858" s="15" t="s">
        <v>322</v>
      </c>
      <c r="I858" s="15" t="s">
        <v>1208</v>
      </c>
      <c r="J858" s="15" t="s">
        <v>5371</v>
      </c>
      <c r="K858" s="15" t="s">
        <v>5372</v>
      </c>
      <c r="L858" s="15" t="s">
        <v>415</v>
      </c>
      <c r="M858" s="15" t="s">
        <v>17003</v>
      </c>
      <c r="N858" s="15" t="s">
        <v>147</v>
      </c>
      <c r="O858" s="17">
        <v>11.92</v>
      </c>
      <c r="P858" s="15" t="s">
        <v>934</v>
      </c>
      <c r="Q858" s="15" t="s">
        <v>149</v>
      </c>
      <c r="R858" s="15" t="s">
        <v>174</v>
      </c>
      <c r="S858" s="15" t="s">
        <v>17004</v>
      </c>
      <c r="T858" s="18" t="s">
        <v>138</v>
      </c>
      <c r="U858" s="15" t="s">
        <v>138</v>
      </c>
      <c r="V858" s="15" t="s">
        <v>138</v>
      </c>
      <c r="W858" s="15" t="s">
        <v>138</v>
      </c>
      <c r="X858" s="19">
        <v>2016</v>
      </c>
      <c r="Y858" s="15" t="s">
        <v>138</v>
      </c>
      <c r="Z858" s="15" t="s">
        <v>138</v>
      </c>
      <c r="AA858" s="15" t="s">
        <v>138</v>
      </c>
      <c r="AB858" s="20" t="s">
        <v>138</v>
      </c>
      <c r="AC858" s="20" t="s">
        <v>138</v>
      </c>
      <c r="AD858" s="20" t="s">
        <v>138</v>
      </c>
      <c r="AE858" s="20" t="s">
        <v>138</v>
      </c>
      <c r="AF858" s="20" t="s">
        <v>138</v>
      </c>
      <c r="AG858" s="15" t="s">
        <v>138</v>
      </c>
      <c r="AH858" s="20" t="s">
        <v>138</v>
      </c>
      <c r="AI858" s="20" t="s">
        <v>138</v>
      </c>
      <c r="AJ858" s="20" t="s">
        <v>138</v>
      </c>
      <c r="AK858" s="15" t="s">
        <v>17005</v>
      </c>
      <c r="AL858" s="15" t="s">
        <v>17006</v>
      </c>
      <c r="AM858" s="15" t="s">
        <v>566</v>
      </c>
      <c r="AN858" s="15" t="s">
        <v>17007</v>
      </c>
      <c r="AO858" s="15" t="s">
        <v>17008</v>
      </c>
      <c r="AP858" s="15" t="s">
        <v>17009</v>
      </c>
      <c r="AQ858" s="15" t="s">
        <v>17010</v>
      </c>
      <c r="AR858" s="15" t="s">
        <v>138</v>
      </c>
      <c r="AS858" s="15" t="s">
        <v>17011</v>
      </c>
      <c r="AT858" s="15" t="s">
        <v>138</v>
      </c>
      <c r="AU858" s="15" t="s">
        <v>17012</v>
      </c>
      <c r="AV858" s="15" t="s">
        <v>1319</v>
      </c>
      <c r="AW858" s="15" t="s">
        <v>17008</v>
      </c>
      <c r="AX858" s="15" t="s">
        <v>138</v>
      </c>
      <c r="AY858" s="15" t="s">
        <v>17013</v>
      </c>
      <c r="AZ858" s="15" t="s">
        <v>530</v>
      </c>
      <c r="BA858" s="15" t="s">
        <v>531</v>
      </c>
      <c r="BB858" s="15" t="s">
        <v>17014</v>
      </c>
      <c r="BC858" s="15" t="s">
        <v>17015</v>
      </c>
      <c r="BD858" s="21">
        <v>4</v>
      </c>
      <c r="BE858" s="15" t="s">
        <v>138</v>
      </c>
      <c r="BF858" s="15" t="s">
        <v>138</v>
      </c>
      <c r="BG858" s="15" t="s">
        <v>138</v>
      </c>
      <c r="BH858" s="15" t="s">
        <v>17016</v>
      </c>
      <c r="BI858" s="15" t="s">
        <v>138</v>
      </c>
      <c r="BJ858" s="15" t="s">
        <v>138</v>
      </c>
      <c r="BK858" s="15" t="s">
        <v>138</v>
      </c>
      <c r="BL858" s="15" t="s">
        <v>138</v>
      </c>
      <c r="BM858" s="22">
        <v>42983</v>
      </c>
      <c r="BN858" s="17">
        <v>11.92</v>
      </c>
      <c r="BO858" s="15" t="s">
        <v>172</v>
      </c>
      <c r="BP858" s="17" t="s">
        <v>138</v>
      </c>
      <c r="BQ858" s="15" t="s">
        <v>138</v>
      </c>
      <c r="BR858" s="15" t="s">
        <v>205</v>
      </c>
      <c r="BS858" s="15" t="s">
        <v>138</v>
      </c>
      <c r="BT858" s="15" t="s">
        <v>138</v>
      </c>
      <c r="BU858" s="15" t="s">
        <v>174</v>
      </c>
      <c r="BV858" s="15" t="s">
        <v>138</v>
      </c>
      <c r="BW858" s="15" t="s">
        <v>138</v>
      </c>
      <c r="BX858" s="15" t="s">
        <v>138</v>
      </c>
      <c r="BY858" s="15" t="s">
        <v>175</v>
      </c>
      <c r="BZ858" s="22">
        <v>42983</v>
      </c>
      <c r="CA858" s="17">
        <v>11.92</v>
      </c>
      <c r="CB858" s="15" t="s">
        <v>172</v>
      </c>
      <c r="CC858" s="17" t="s">
        <v>138</v>
      </c>
      <c r="CD858" s="15" t="s">
        <v>138</v>
      </c>
      <c r="CE858" s="15" t="s">
        <v>205</v>
      </c>
      <c r="CF858" s="15" t="s">
        <v>138</v>
      </c>
      <c r="CG858" s="15" t="s">
        <v>138</v>
      </c>
      <c r="CH858" s="15" t="s">
        <v>174</v>
      </c>
      <c r="CI858" s="15" t="s">
        <v>138</v>
      </c>
      <c r="CJ858" s="15" t="s">
        <v>138</v>
      </c>
      <c r="CK858" s="15" t="s">
        <v>138</v>
      </c>
      <c r="CL858" s="15" t="s">
        <v>175</v>
      </c>
      <c r="CM858" s="22" t="s">
        <v>138</v>
      </c>
      <c r="CN858" s="17" t="s">
        <v>138</v>
      </c>
      <c r="CO858" s="23">
        <v>0</v>
      </c>
      <c r="CP858" s="24">
        <v>26</v>
      </c>
      <c r="CQ858" s="23">
        <v>0</v>
      </c>
      <c r="CR858" s="23">
        <v>0</v>
      </c>
      <c r="CS858" s="23">
        <v>0</v>
      </c>
      <c r="CT858" s="24">
        <v>23</v>
      </c>
      <c r="CU858" s="23" t="s">
        <v>138</v>
      </c>
      <c r="CV858" s="24" t="s">
        <v>138</v>
      </c>
      <c r="CW858" s="23" t="s">
        <v>138</v>
      </c>
      <c r="CX858" s="24" t="s">
        <v>138</v>
      </c>
      <c r="CY858" s="23">
        <v>0</v>
      </c>
      <c r="CZ858" s="24">
        <v>25</v>
      </c>
      <c r="DA858" s="23" t="s">
        <v>138</v>
      </c>
      <c r="DB858" s="24" t="s">
        <v>138</v>
      </c>
      <c r="DC858" s="25">
        <v>7.0000000000000007E-2</v>
      </c>
      <c r="DD858" s="24">
        <v>4</v>
      </c>
      <c r="DE858" s="25">
        <v>0</v>
      </c>
      <c r="DF858" s="23">
        <v>0</v>
      </c>
      <c r="DG858" s="25">
        <v>7.0000000000000007E-2</v>
      </c>
      <c r="DH858" s="24">
        <v>4</v>
      </c>
      <c r="DI858" s="25" t="s">
        <v>138</v>
      </c>
      <c r="DJ858" s="24" t="s">
        <v>138</v>
      </c>
      <c r="DK858" s="25" t="s">
        <v>138</v>
      </c>
      <c r="DL858" s="24" t="s">
        <v>138</v>
      </c>
      <c r="DM858" s="25">
        <v>7.0000000000000007E-2</v>
      </c>
      <c r="DN858" s="24">
        <v>5</v>
      </c>
      <c r="DO858" s="25" t="s">
        <v>138</v>
      </c>
      <c r="DP858" s="24" t="s">
        <v>138</v>
      </c>
      <c r="DQ858" s="24" t="s">
        <v>138</v>
      </c>
      <c r="DR858" s="26" t="s">
        <v>138</v>
      </c>
      <c r="DS858" s="23" t="s">
        <v>138</v>
      </c>
      <c r="DT858" s="24">
        <v>2</v>
      </c>
      <c r="DU858" s="26">
        <v>0</v>
      </c>
      <c r="DV858" s="23">
        <v>0</v>
      </c>
      <c r="DW858" s="24" t="s">
        <v>138</v>
      </c>
      <c r="DX858" s="27" t="s">
        <v>138</v>
      </c>
      <c r="DY858" s="23" t="s">
        <v>138</v>
      </c>
      <c r="DZ858" s="15" t="s">
        <v>178</v>
      </c>
      <c r="EA858" s="22">
        <v>43448</v>
      </c>
      <c r="EB858" s="17" t="s">
        <v>138</v>
      </c>
      <c r="EC858" s="22" t="s">
        <v>138</v>
      </c>
      <c r="ED858" s="15" t="s">
        <v>138</v>
      </c>
      <c r="EE858" s="14" t="str">
        <f>HYPERLINK("https://my.pitchbook.com?c=187979-23", "View company online")</f>
        <v>View company online</v>
      </c>
    </row>
    <row r="859" spans="1:135">
      <c r="A859" s="28" t="s">
        <v>17017</v>
      </c>
      <c r="B859" s="28" t="s">
        <v>17018</v>
      </c>
      <c r="C859" s="28" t="s">
        <v>138</v>
      </c>
      <c r="D859" s="28" t="s">
        <v>138</v>
      </c>
      <c r="E859" s="28" t="s">
        <v>138</v>
      </c>
      <c r="F859" s="28" t="s">
        <v>17017</v>
      </c>
      <c r="G859" s="28" t="s">
        <v>17019</v>
      </c>
      <c r="H859" s="28" t="s">
        <v>322</v>
      </c>
      <c r="I859" s="28" t="s">
        <v>323</v>
      </c>
      <c r="J859" s="28" t="s">
        <v>413</v>
      </c>
      <c r="K859" s="28" t="s">
        <v>17020</v>
      </c>
      <c r="L859" s="28" t="s">
        <v>4912</v>
      </c>
      <c r="M859" s="28" t="s">
        <v>17021</v>
      </c>
      <c r="N859" s="28" t="s">
        <v>147</v>
      </c>
      <c r="O859" s="29">
        <v>8</v>
      </c>
      <c r="P859" s="28" t="s">
        <v>610</v>
      </c>
      <c r="Q859" s="28" t="s">
        <v>149</v>
      </c>
      <c r="R859" s="28" t="s">
        <v>174</v>
      </c>
      <c r="S859" s="28" t="s">
        <v>17022</v>
      </c>
      <c r="T859" s="30">
        <v>52</v>
      </c>
      <c r="U859" s="28" t="s">
        <v>17023</v>
      </c>
      <c r="V859" s="28" t="s">
        <v>138</v>
      </c>
      <c r="W859" s="28" t="s">
        <v>138</v>
      </c>
      <c r="X859" s="31" t="s">
        <v>138</v>
      </c>
      <c r="Y859" s="28" t="s">
        <v>138</v>
      </c>
      <c r="Z859" s="28" t="s">
        <v>138</v>
      </c>
      <c r="AA859" s="28" t="s">
        <v>138</v>
      </c>
      <c r="AB859" s="32" t="s">
        <v>138</v>
      </c>
      <c r="AC859" s="32" t="s">
        <v>138</v>
      </c>
      <c r="AD859" s="32" t="s">
        <v>138</v>
      </c>
      <c r="AE859" s="32" t="s">
        <v>138</v>
      </c>
      <c r="AF859" s="32" t="s">
        <v>138</v>
      </c>
      <c r="AG859" s="28" t="s">
        <v>138</v>
      </c>
      <c r="AH859" s="32" t="s">
        <v>138</v>
      </c>
      <c r="AI859" s="32" t="s">
        <v>138</v>
      </c>
      <c r="AJ859" s="32" t="s">
        <v>138</v>
      </c>
      <c r="AK859" s="28" t="s">
        <v>17024</v>
      </c>
      <c r="AL859" s="28" t="s">
        <v>17025</v>
      </c>
      <c r="AM859" s="28" t="s">
        <v>818</v>
      </c>
      <c r="AN859" s="28" t="s">
        <v>17026</v>
      </c>
      <c r="AO859" s="28" t="s">
        <v>138</v>
      </c>
      <c r="AP859" s="28" t="s">
        <v>17027</v>
      </c>
      <c r="AQ859" s="28" t="s">
        <v>17028</v>
      </c>
      <c r="AR859" s="28" t="s">
        <v>138</v>
      </c>
      <c r="AS859" s="28" t="s">
        <v>17029</v>
      </c>
      <c r="AT859" s="28" t="s">
        <v>4493</v>
      </c>
      <c r="AU859" s="28" t="s">
        <v>17030</v>
      </c>
      <c r="AV859" s="28" t="s">
        <v>162</v>
      </c>
      <c r="AW859" s="28" t="s">
        <v>138</v>
      </c>
      <c r="AX859" s="28" t="s">
        <v>138</v>
      </c>
      <c r="AY859" s="28" t="s">
        <v>17031</v>
      </c>
      <c r="AZ859" s="28" t="s">
        <v>164</v>
      </c>
      <c r="BA859" s="28" t="s">
        <v>165</v>
      </c>
      <c r="BB859" s="28" t="s">
        <v>17032</v>
      </c>
      <c r="BC859" s="28" t="s">
        <v>17033</v>
      </c>
      <c r="BD859" s="33">
        <v>2</v>
      </c>
      <c r="BE859" s="28" t="s">
        <v>138</v>
      </c>
      <c r="BF859" s="28" t="s">
        <v>138</v>
      </c>
      <c r="BG859" s="28" t="s">
        <v>138</v>
      </c>
      <c r="BH859" s="28" t="s">
        <v>17034</v>
      </c>
      <c r="BI859" s="28" t="s">
        <v>138</v>
      </c>
      <c r="BJ859" s="28" t="s">
        <v>138</v>
      </c>
      <c r="BK859" s="28" t="s">
        <v>138</v>
      </c>
      <c r="BL859" s="28" t="s">
        <v>138</v>
      </c>
      <c r="BM859" s="34">
        <v>42172</v>
      </c>
      <c r="BN859" s="29">
        <v>0.12</v>
      </c>
      <c r="BO859" s="28" t="s">
        <v>172</v>
      </c>
      <c r="BP859" s="29" t="s">
        <v>138</v>
      </c>
      <c r="BQ859" s="28" t="s">
        <v>138</v>
      </c>
      <c r="BR859" s="28" t="s">
        <v>176</v>
      </c>
      <c r="BS859" s="28" t="s">
        <v>138</v>
      </c>
      <c r="BT859" s="28" t="s">
        <v>138</v>
      </c>
      <c r="BU859" s="28" t="s">
        <v>177</v>
      </c>
      <c r="BV859" s="28" t="s">
        <v>138</v>
      </c>
      <c r="BW859" s="28" t="s">
        <v>138</v>
      </c>
      <c r="BX859" s="28" t="s">
        <v>138</v>
      </c>
      <c r="BY859" s="28" t="s">
        <v>175</v>
      </c>
      <c r="BZ859" s="34">
        <v>43028</v>
      </c>
      <c r="CA859" s="29">
        <v>8</v>
      </c>
      <c r="CB859" s="28" t="s">
        <v>172</v>
      </c>
      <c r="CC859" s="29">
        <v>50</v>
      </c>
      <c r="CD859" s="28" t="s">
        <v>172</v>
      </c>
      <c r="CE859" s="28" t="s">
        <v>205</v>
      </c>
      <c r="CF859" s="28" t="s">
        <v>206</v>
      </c>
      <c r="CG859" s="28" t="s">
        <v>138</v>
      </c>
      <c r="CH859" s="28" t="s">
        <v>174</v>
      </c>
      <c r="CI859" s="28" t="s">
        <v>138</v>
      </c>
      <c r="CJ859" s="28" t="s">
        <v>138</v>
      </c>
      <c r="CK859" s="28" t="s">
        <v>138</v>
      </c>
      <c r="CL859" s="28" t="s">
        <v>175</v>
      </c>
      <c r="CM859" s="34" t="s">
        <v>138</v>
      </c>
      <c r="CN859" s="29" t="s">
        <v>138</v>
      </c>
      <c r="CO859" s="35">
        <v>-0.14000000000000001</v>
      </c>
      <c r="CP859" s="36">
        <v>20</v>
      </c>
      <c r="CQ859" s="35">
        <v>-0.09</v>
      </c>
      <c r="CR859" s="35">
        <v>-152.27000000000001</v>
      </c>
      <c r="CS859" s="35">
        <v>-0.52</v>
      </c>
      <c r="CT859" s="36">
        <v>19</v>
      </c>
      <c r="CU859" s="35">
        <v>0.24</v>
      </c>
      <c r="CV859" s="36">
        <v>84</v>
      </c>
      <c r="CW859" s="35">
        <v>-0.17</v>
      </c>
      <c r="CX859" s="36">
        <v>12</v>
      </c>
      <c r="CY859" s="35">
        <v>-0.86</v>
      </c>
      <c r="CZ859" s="36">
        <v>20</v>
      </c>
      <c r="DA859" s="35">
        <v>0.24</v>
      </c>
      <c r="DB859" s="36">
        <v>85</v>
      </c>
      <c r="DC859" s="37">
        <v>1.69</v>
      </c>
      <c r="DD859" s="36">
        <v>63</v>
      </c>
      <c r="DE859" s="37">
        <v>-0.03</v>
      </c>
      <c r="DF859" s="35">
        <v>-1.67</v>
      </c>
      <c r="DG859" s="37">
        <v>2.4900000000000002</v>
      </c>
      <c r="DH859" s="36">
        <v>71</v>
      </c>
      <c r="DI859" s="37">
        <v>0.9</v>
      </c>
      <c r="DJ859" s="36">
        <v>47</v>
      </c>
      <c r="DK859" s="37">
        <v>0.39</v>
      </c>
      <c r="DL859" s="36">
        <v>26</v>
      </c>
      <c r="DM859" s="37">
        <v>4.59</v>
      </c>
      <c r="DN859" s="36">
        <v>80</v>
      </c>
      <c r="DO859" s="37">
        <v>0.9</v>
      </c>
      <c r="DP859" s="36">
        <v>48</v>
      </c>
      <c r="DQ859" s="36">
        <v>135</v>
      </c>
      <c r="DR859" s="38">
        <v>0</v>
      </c>
      <c r="DS859" s="35">
        <v>0</v>
      </c>
      <c r="DT859" s="36">
        <v>133</v>
      </c>
      <c r="DU859" s="38">
        <v>-1</v>
      </c>
      <c r="DV859" s="35">
        <v>-0.75</v>
      </c>
      <c r="DW859" s="36">
        <v>322</v>
      </c>
      <c r="DX859" s="39">
        <v>0</v>
      </c>
      <c r="DY859" s="35">
        <v>0</v>
      </c>
      <c r="DZ859" s="28" t="s">
        <v>178</v>
      </c>
      <c r="EA859" s="34">
        <v>43532</v>
      </c>
      <c r="EB859" s="29">
        <v>50</v>
      </c>
      <c r="EC859" s="34">
        <v>43028</v>
      </c>
      <c r="ED859" s="28" t="s">
        <v>205</v>
      </c>
      <c r="EE859" s="40" t="str">
        <f>HYPERLINK("https://my.pitchbook.com?c=152410-42", "View company online")</f>
        <v>View company online</v>
      </c>
    </row>
    <row r="860" spans="1:135">
      <c r="A860" s="15" t="s">
        <v>17035</v>
      </c>
      <c r="B860" s="15" t="s">
        <v>17036</v>
      </c>
      <c r="C860" s="15" t="s">
        <v>17037</v>
      </c>
      <c r="D860" s="15" t="s">
        <v>17038</v>
      </c>
      <c r="E860" s="15" t="s">
        <v>17039</v>
      </c>
      <c r="F860" s="15" t="s">
        <v>17035</v>
      </c>
      <c r="G860" s="15" t="s">
        <v>17040</v>
      </c>
      <c r="H860" s="15" t="s">
        <v>141</v>
      </c>
      <c r="I860" s="15" t="s">
        <v>212</v>
      </c>
      <c r="J860" s="15" t="s">
        <v>213</v>
      </c>
      <c r="K860" s="15" t="s">
        <v>8619</v>
      </c>
      <c r="L860" s="15" t="s">
        <v>2236</v>
      </c>
      <c r="M860" s="15" t="s">
        <v>17041</v>
      </c>
      <c r="N860" s="15" t="s">
        <v>147</v>
      </c>
      <c r="O860" s="17">
        <v>25.5</v>
      </c>
      <c r="P860" s="15" t="s">
        <v>148</v>
      </c>
      <c r="Q860" s="15" t="s">
        <v>149</v>
      </c>
      <c r="R860" s="15" t="s">
        <v>174</v>
      </c>
      <c r="S860" s="15" t="s">
        <v>17042</v>
      </c>
      <c r="T860" s="18">
        <v>87</v>
      </c>
      <c r="U860" s="15" t="s">
        <v>17043</v>
      </c>
      <c r="V860" s="15" t="s">
        <v>138</v>
      </c>
      <c r="W860" s="15" t="s">
        <v>138</v>
      </c>
      <c r="X860" s="19">
        <v>2008</v>
      </c>
      <c r="Y860" s="15" t="s">
        <v>138</v>
      </c>
      <c r="Z860" s="15" t="s">
        <v>138</v>
      </c>
      <c r="AA860" s="15" t="s">
        <v>138</v>
      </c>
      <c r="AB860" s="20" t="s">
        <v>138</v>
      </c>
      <c r="AC860" s="20" t="s">
        <v>138</v>
      </c>
      <c r="AD860" s="20" t="s">
        <v>138</v>
      </c>
      <c r="AE860" s="20" t="s">
        <v>138</v>
      </c>
      <c r="AF860" s="20" t="s">
        <v>138</v>
      </c>
      <c r="AG860" s="15" t="s">
        <v>138</v>
      </c>
      <c r="AH860" s="20" t="s">
        <v>138</v>
      </c>
      <c r="AI860" s="20" t="s">
        <v>138</v>
      </c>
      <c r="AJ860" s="20" t="s">
        <v>138</v>
      </c>
      <c r="AK860" s="15" t="s">
        <v>17044</v>
      </c>
      <c r="AL860" s="15" t="s">
        <v>17045</v>
      </c>
      <c r="AM860" s="15" t="s">
        <v>818</v>
      </c>
      <c r="AN860" s="15" t="s">
        <v>17046</v>
      </c>
      <c r="AO860" s="15" t="s">
        <v>17047</v>
      </c>
      <c r="AP860" s="15" t="s">
        <v>6492</v>
      </c>
      <c r="AQ860" s="15" t="s">
        <v>17048</v>
      </c>
      <c r="AR860" s="15" t="s">
        <v>17049</v>
      </c>
      <c r="AS860" s="15" t="s">
        <v>6495</v>
      </c>
      <c r="AT860" s="15" t="s">
        <v>138</v>
      </c>
      <c r="AU860" s="15" t="s">
        <v>17050</v>
      </c>
      <c r="AV860" s="15" t="s">
        <v>6495</v>
      </c>
      <c r="AW860" s="15" t="s">
        <v>138</v>
      </c>
      <c r="AX860" s="15" t="s">
        <v>138</v>
      </c>
      <c r="AY860" s="15" t="s">
        <v>17051</v>
      </c>
      <c r="AZ860" s="15" t="s">
        <v>452</v>
      </c>
      <c r="BA860" s="15" t="s">
        <v>1748</v>
      </c>
      <c r="BB860" s="15" t="s">
        <v>17052</v>
      </c>
      <c r="BC860" s="15" t="s">
        <v>17053</v>
      </c>
      <c r="BD860" s="21">
        <v>6</v>
      </c>
      <c r="BE860" s="15" t="s">
        <v>138</v>
      </c>
      <c r="BF860" s="15" t="s">
        <v>17054</v>
      </c>
      <c r="BG860" s="15" t="s">
        <v>138</v>
      </c>
      <c r="BH860" s="15" t="s">
        <v>17055</v>
      </c>
      <c r="BI860" s="15" t="s">
        <v>17056</v>
      </c>
      <c r="BJ860" s="15" t="s">
        <v>138</v>
      </c>
      <c r="BK860" s="15" t="s">
        <v>138</v>
      </c>
      <c r="BL860" s="15" t="s">
        <v>138</v>
      </c>
      <c r="BM860" s="22">
        <v>41241</v>
      </c>
      <c r="BN860" s="17">
        <v>6.5</v>
      </c>
      <c r="BO860" s="15" t="s">
        <v>172</v>
      </c>
      <c r="BP860" s="17" t="s">
        <v>138</v>
      </c>
      <c r="BQ860" s="15" t="s">
        <v>138</v>
      </c>
      <c r="BR860" s="15" t="s">
        <v>205</v>
      </c>
      <c r="BS860" s="15" t="s">
        <v>206</v>
      </c>
      <c r="BT860" s="15" t="s">
        <v>138</v>
      </c>
      <c r="BU860" s="15" t="s">
        <v>174</v>
      </c>
      <c r="BV860" s="15" t="s">
        <v>138</v>
      </c>
      <c r="BW860" s="15" t="s">
        <v>138</v>
      </c>
      <c r="BX860" s="15" t="s">
        <v>138</v>
      </c>
      <c r="BY860" s="15" t="s">
        <v>175</v>
      </c>
      <c r="BZ860" s="22" t="s">
        <v>138</v>
      </c>
      <c r="CA860" s="17" t="s">
        <v>138</v>
      </c>
      <c r="CB860" s="15" t="s">
        <v>138</v>
      </c>
      <c r="CC860" s="17" t="s">
        <v>138</v>
      </c>
      <c r="CD860" s="15" t="s">
        <v>138</v>
      </c>
      <c r="CE860" s="15" t="s">
        <v>379</v>
      </c>
      <c r="CF860" s="15" t="s">
        <v>138</v>
      </c>
      <c r="CG860" s="15" t="s">
        <v>138</v>
      </c>
      <c r="CH860" s="15" t="s">
        <v>174</v>
      </c>
      <c r="CI860" s="15" t="s">
        <v>138</v>
      </c>
      <c r="CJ860" s="15" t="s">
        <v>138</v>
      </c>
      <c r="CK860" s="15" t="s">
        <v>138</v>
      </c>
      <c r="CL860" s="15" t="s">
        <v>175</v>
      </c>
      <c r="CM860" s="22" t="s">
        <v>138</v>
      </c>
      <c r="CN860" s="17" t="s">
        <v>138</v>
      </c>
      <c r="CO860" s="23">
        <v>0.04</v>
      </c>
      <c r="CP860" s="24">
        <v>87</v>
      </c>
      <c r="CQ860" s="23">
        <v>0</v>
      </c>
      <c r="CR860" s="23">
        <v>0</v>
      </c>
      <c r="CS860" s="23">
        <v>0</v>
      </c>
      <c r="CT860" s="24">
        <v>23</v>
      </c>
      <c r="CU860" s="23">
        <v>7.0000000000000007E-2</v>
      </c>
      <c r="CV860" s="24">
        <v>62</v>
      </c>
      <c r="CW860" s="23">
        <v>0</v>
      </c>
      <c r="CX860" s="24">
        <v>13</v>
      </c>
      <c r="CY860" s="23" t="s">
        <v>138</v>
      </c>
      <c r="CZ860" s="24" t="s">
        <v>138</v>
      </c>
      <c r="DA860" s="23">
        <v>0.15</v>
      </c>
      <c r="DB860" s="24">
        <v>78</v>
      </c>
      <c r="DC860" s="25">
        <v>0.74</v>
      </c>
      <c r="DD860" s="24">
        <v>44</v>
      </c>
      <c r="DE860" s="25">
        <v>-0.04</v>
      </c>
      <c r="DF860" s="23">
        <v>-5.08</v>
      </c>
      <c r="DG860" s="25">
        <v>0.65</v>
      </c>
      <c r="DH860" s="24">
        <v>40</v>
      </c>
      <c r="DI860" s="25">
        <v>0.84</v>
      </c>
      <c r="DJ860" s="24">
        <v>46</v>
      </c>
      <c r="DK860" s="25">
        <v>0.65</v>
      </c>
      <c r="DL860" s="24">
        <v>40</v>
      </c>
      <c r="DM860" s="25" t="s">
        <v>138</v>
      </c>
      <c r="DN860" s="24" t="s">
        <v>138</v>
      </c>
      <c r="DO860" s="25">
        <v>0.96</v>
      </c>
      <c r="DP860" s="24">
        <v>50</v>
      </c>
      <c r="DQ860" s="24">
        <v>224</v>
      </c>
      <c r="DR860" s="26">
        <v>-5</v>
      </c>
      <c r="DS860" s="23">
        <v>-2.1800000000000002</v>
      </c>
      <c r="DT860" s="24" t="s">
        <v>138</v>
      </c>
      <c r="DU860" s="26" t="s">
        <v>138</v>
      </c>
      <c r="DV860" s="23" t="s">
        <v>138</v>
      </c>
      <c r="DW860" s="24">
        <v>344</v>
      </c>
      <c r="DX860" s="27">
        <v>0</v>
      </c>
      <c r="DY860" s="23">
        <v>0</v>
      </c>
      <c r="DZ860" s="15" t="s">
        <v>178</v>
      </c>
      <c r="EA860" s="22">
        <v>43622</v>
      </c>
      <c r="EB860" s="17" t="s">
        <v>138</v>
      </c>
      <c r="EC860" s="22" t="s">
        <v>138</v>
      </c>
      <c r="ED860" s="15" t="s">
        <v>138</v>
      </c>
      <c r="EE860" s="14" t="str">
        <f>HYPERLINK("https://my.pitchbook.com?c=55686-34", "View company online")</f>
        <v>View company online</v>
      </c>
    </row>
    <row r="861" spans="1:135">
      <c r="A861" s="28" t="s">
        <v>17057</v>
      </c>
      <c r="B861" s="28" t="s">
        <v>17058</v>
      </c>
      <c r="C861" s="28" t="s">
        <v>138</v>
      </c>
      <c r="D861" s="28" t="s">
        <v>138</v>
      </c>
      <c r="E861" s="28" t="s">
        <v>17059</v>
      </c>
      <c r="F861" s="28" t="s">
        <v>17057</v>
      </c>
      <c r="G861" s="28" t="s">
        <v>17060</v>
      </c>
      <c r="H861" s="28" t="s">
        <v>322</v>
      </c>
      <c r="I861" s="28" t="s">
        <v>323</v>
      </c>
      <c r="J861" s="28" t="s">
        <v>1132</v>
      </c>
      <c r="K861" s="28" t="s">
        <v>5444</v>
      </c>
      <c r="L861" s="28" t="s">
        <v>4025</v>
      </c>
      <c r="M861" s="28" t="s">
        <v>17061</v>
      </c>
      <c r="N861" s="28" t="s">
        <v>147</v>
      </c>
      <c r="O861" s="29">
        <v>125.11</v>
      </c>
      <c r="P861" s="28" t="s">
        <v>148</v>
      </c>
      <c r="Q861" s="28" t="s">
        <v>149</v>
      </c>
      <c r="R861" s="28" t="s">
        <v>174</v>
      </c>
      <c r="S861" s="28" t="s">
        <v>17062</v>
      </c>
      <c r="T861" s="30">
        <v>600</v>
      </c>
      <c r="U861" s="28" t="s">
        <v>17063</v>
      </c>
      <c r="V861" s="28" t="s">
        <v>138</v>
      </c>
      <c r="W861" s="28" t="s">
        <v>138</v>
      </c>
      <c r="X861" s="31">
        <v>2012</v>
      </c>
      <c r="Y861" s="28" t="s">
        <v>138</v>
      </c>
      <c r="Z861" s="28" t="s">
        <v>138</v>
      </c>
      <c r="AA861" s="28" t="s">
        <v>138</v>
      </c>
      <c r="AB861" s="32">
        <v>27.2</v>
      </c>
      <c r="AC861" s="32" t="s">
        <v>138</v>
      </c>
      <c r="AD861" s="32" t="s">
        <v>138</v>
      </c>
      <c r="AE861" s="32" t="s">
        <v>138</v>
      </c>
      <c r="AF861" s="32" t="s">
        <v>138</v>
      </c>
      <c r="AG861" s="28" t="s">
        <v>419</v>
      </c>
      <c r="AH861" s="32" t="s">
        <v>138</v>
      </c>
      <c r="AI861" s="32" t="s">
        <v>138</v>
      </c>
      <c r="AJ861" s="32" t="s">
        <v>138</v>
      </c>
      <c r="AK861" s="28" t="s">
        <v>17064</v>
      </c>
      <c r="AL861" s="28" t="s">
        <v>17065</v>
      </c>
      <c r="AM861" s="28" t="s">
        <v>221</v>
      </c>
      <c r="AN861" s="28" t="s">
        <v>17066</v>
      </c>
      <c r="AO861" s="28" t="s">
        <v>17067</v>
      </c>
      <c r="AP861" s="28" t="s">
        <v>17068</v>
      </c>
      <c r="AQ861" s="28" t="s">
        <v>17069</v>
      </c>
      <c r="AR861" s="28" t="s">
        <v>138</v>
      </c>
      <c r="AS861" s="28" t="s">
        <v>1031</v>
      </c>
      <c r="AT861" s="28" t="s">
        <v>5271</v>
      </c>
      <c r="AU861" s="28" t="s">
        <v>17070</v>
      </c>
      <c r="AV861" s="28" t="s">
        <v>162</v>
      </c>
      <c r="AW861" s="28" t="s">
        <v>17067</v>
      </c>
      <c r="AX861" s="28" t="s">
        <v>17071</v>
      </c>
      <c r="AY861" s="28" t="s">
        <v>17072</v>
      </c>
      <c r="AZ861" s="28" t="s">
        <v>164</v>
      </c>
      <c r="BA861" s="28" t="s">
        <v>165</v>
      </c>
      <c r="BB861" s="28" t="s">
        <v>17073</v>
      </c>
      <c r="BC861" s="28" t="s">
        <v>17074</v>
      </c>
      <c r="BD861" s="33">
        <v>9</v>
      </c>
      <c r="BE861" s="28" t="s">
        <v>138</v>
      </c>
      <c r="BF861" s="28" t="s">
        <v>138</v>
      </c>
      <c r="BG861" s="28" t="s">
        <v>138</v>
      </c>
      <c r="BH861" s="28" t="s">
        <v>17075</v>
      </c>
      <c r="BI861" s="28" t="s">
        <v>138</v>
      </c>
      <c r="BJ861" s="28" t="s">
        <v>138</v>
      </c>
      <c r="BK861" s="28" t="s">
        <v>17076</v>
      </c>
      <c r="BL861" s="28" t="s">
        <v>17077</v>
      </c>
      <c r="BM861" s="34">
        <v>41303</v>
      </c>
      <c r="BN861" s="29">
        <v>7.54</v>
      </c>
      <c r="BO861" s="28" t="s">
        <v>172</v>
      </c>
      <c r="BP861" s="29" t="s">
        <v>138</v>
      </c>
      <c r="BQ861" s="28" t="s">
        <v>138</v>
      </c>
      <c r="BR861" s="28" t="s">
        <v>262</v>
      </c>
      <c r="BS861" s="28" t="s">
        <v>262</v>
      </c>
      <c r="BT861" s="28" t="s">
        <v>138</v>
      </c>
      <c r="BU861" s="28" t="s">
        <v>263</v>
      </c>
      <c r="BV861" s="28" t="s">
        <v>138</v>
      </c>
      <c r="BW861" s="28" t="s">
        <v>138</v>
      </c>
      <c r="BX861" s="28" t="s">
        <v>138</v>
      </c>
      <c r="BY861" s="28" t="s">
        <v>175</v>
      </c>
      <c r="BZ861" s="34">
        <v>43130</v>
      </c>
      <c r="CA861" s="29">
        <v>51.5</v>
      </c>
      <c r="CB861" s="28" t="s">
        <v>172</v>
      </c>
      <c r="CC861" s="29" t="s">
        <v>138</v>
      </c>
      <c r="CD861" s="28" t="s">
        <v>138</v>
      </c>
      <c r="CE861" s="28" t="s">
        <v>173</v>
      </c>
      <c r="CF861" s="28" t="s">
        <v>138</v>
      </c>
      <c r="CG861" s="28" t="s">
        <v>138</v>
      </c>
      <c r="CH861" s="28" t="s">
        <v>174</v>
      </c>
      <c r="CI861" s="28" t="s">
        <v>138</v>
      </c>
      <c r="CJ861" s="28" t="s">
        <v>138</v>
      </c>
      <c r="CK861" s="28" t="s">
        <v>138</v>
      </c>
      <c r="CL861" s="28" t="s">
        <v>175</v>
      </c>
      <c r="CM861" s="34" t="s">
        <v>138</v>
      </c>
      <c r="CN861" s="29" t="s">
        <v>138</v>
      </c>
      <c r="CO861" s="35">
        <v>0.85</v>
      </c>
      <c r="CP861" s="36">
        <v>97</v>
      </c>
      <c r="CQ861" s="35">
        <v>0.02</v>
      </c>
      <c r="CR861" s="35">
        <v>2.46</v>
      </c>
      <c r="CS861" s="35">
        <v>1.53</v>
      </c>
      <c r="CT861" s="36">
        <v>98</v>
      </c>
      <c r="CU861" s="35">
        <v>0.53</v>
      </c>
      <c r="CV861" s="36">
        <v>94</v>
      </c>
      <c r="CW861" s="35">
        <v>3.07</v>
      </c>
      <c r="CX861" s="36">
        <v>91</v>
      </c>
      <c r="CY861" s="35">
        <v>-0.01</v>
      </c>
      <c r="CZ861" s="36">
        <v>24</v>
      </c>
      <c r="DA861" s="35">
        <v>0.5</v>
      </c>
      <c r="DB861" s="36">
        <v>94</v>
      </c>
      <c r="DC861" s="37">
        <v>5.8</v>
      </c>
      <c r="DD861" s="36">
        <v>84</v>
      </c>
      <c r="DE861" s="37">
        <v>-0.2</v>
      </c>
      <c r="DF861" s="35">
        <v>-3.41</v>
      </c>
      <c r="DG861" s="37">
        <v>12.8</v>
      </c>
      <c r="DH861" s="36">
        <v>92</v>
      </c>
      <c r="DI861" s="37">
        <v>3.5</v>
      </c>
      <c r="DJ861" s="36">
        <v>72</v>
      </c>
      <c r="DK861" s="37">
        <v>10.32</v>
      </c>
      <c r="DL861" s="36">
        <v>87</v>
      </c>
      <c r="DM861" s="37">
        <v>15.28</v>
      </c>
      <c r="DN861" s="36">
        <v>92</v>
      </c>
      <c r="DO861" s="37">
        <v>6.08</v>
      </c>
      <c r="DP861" s="36">
        <v>82</v>
      </c>
      <c r="DQ861" s="36">
        <v>3467</v>
      </c>
      <c r="DR861" s="38">
        <v>216</v>
      </c>
      <c r="DS861" s="35">
        <v>6.64</v>
      </c>
      <c r="DT861" s="36">
        <v>442</v>
      </c>
      <c r="DU861" s="38">
        <v>1</v>
      </c>
      <c r="DV861" s="35">
        <v>0.23</v>
      </c>
      <c r="DW861" s="36">
        <v>2170</v>
      </c>
      <c r="DX861" s="39">
        <v>10</v>
      </c>
      <c r="DY861" s="35">
        <v>0.46</v>
      </c>
      <c r="DZ861" s="28" t="s">
        <v>178</v>
      </c>
      <c r="EA861" s="34">
        <v>43621</v>
      </c>
      <c r="EB861" s="29" t="s">
        <v>138</v>
      </c>
      <c r="EC861" s="34" t="s">
        <v>138</v>
      </c>
      <c r="ED861" s="28" t="s">
        <v>138</v>
      </c>
      <c r="EE861" s="40" t="str">
        <f>HYPERLINK("https://my.pitchbook.com?c=57401-47", "View company online")</f>
        <v>View company online</v>
      </c>
    </row>
    <row r="862" spans="1:135">
      <c r="A862" s="15" t="s">
        <v>17078</v>
      </c>
      <c r="B862" s="15" t="s">
        <v>17079</v>
      </c>
      <c r="C862" s="15" t="s">
        <v>138</v>
      </c>
      <c r="D862" s="15" t="s">
        <v>138</v>
      </c>
      <c r="E862" s="15" t="s">
        <v>138</v>
      </c>
      <c r="F862" s="15" t="s">
        <v>17078</v>
      </c>
      <c r="G862" s="15" t="s">
        <v>17080</v>
      </c>
      <c r="H862" s="15" t="s">
        <v>238</v>
      </c>
      <c r="I862" s="15" t="s">
        <v>239</v>
      </c>
      <c r="J862" s="15" t="s">
        <v>2234</v>
      </c>
      <c r="K862" s="15" t="s">
        <v>17081</v>
      </c>
      <c r="L862" s="15" t="s">
        <v>415</v>
      </c>
      <c r="M862" s="15" t="s">
        <v>17082</v>
      </c>
      <c r="N862" s="15" t="s">
        <v>2109</v>
      </c>
      <c r="O862" s="17" t="s">
        <v>138</v>
      </c>
      <c r="P862" s="15" t="s">
        <v>148</v>
      </c>
      <c r="Q862" s="15" t="s">
        <v>149</v>
      </c>
      <c r="R862" s="15" t="s">
        <v>150</v>
      </c>
      <c r="S862" s="15" t="s">
        <v>17083</v>
      </c>
      <c r="T862" s="18">
        <v>1001</v>
      </c>
      <c r="U862" s="15" t="s">
        <v>17084</v>
      </c>
      <c r="V862" s="15" t="s">
        <v>138</v>
      </c>
      <c r="W862" s="15" t="s">
        <v>138</v>
      </c>
      <c r="X862" s="19">
        <v>2013</v>
      </c>
      <c r="Y862" s="15" t="s">
        <v>138</v>
      </c>
      <c r="Z862" s="15" t="s">
        <v>138</v>
      </c>
      <c r="AA862" s="15" t="s">
        <v>138</v>
      </c>
      <c r="AB862" s="20">
        <v>566.14</v>
      </c>
      <c r="AC862" s="20" t="s">
        <v>138</v>
      </c>
      <c r="AD862" s="20" t="s">
        <v>138</v>
      </c>
      <c r="AE862" s="20" t="s">
        <v>138</v>
      </c>
      <c r="AF862" s="20" t="s">
        <v>138</v>
      </c>
      <c r="AG862" s="15" t="s">
        <v>419</v>
      </c>
      <c r="AH862" s="20" t="s">
        <v>138</v>
      </c>
      <c r="AI862" s="20" t="s">
        <v>138</v>
      </c>
      <c r="AJ862" s="20" t="s">
        <v>138</v>
      </c>
      <c r="AK862" s="15" t="s">
        <v>17085</v>
      </c>
      <c r="AL862" s="15" t="s">
        <v>17086</v>
      </c>
      <c r="AM862" s="15" t="s">
        <v>17087</v>
      </c>
      <c r="AN862" s="15" t="s">
        <v>17088</v>
      </c>
      <c r="AO862" s="15" t="s">
        <v>17089</v>
      </c>
      <c r="AP862" s="15" t="s">
        <v>17090</v>
      </c>
      <c r="AQ862" s="15" t="s">
        <v>17091</v>
      </c>
      <c r="AR862" s="15" t="s">
        <v>138</v>
      </c>
      <c r="AS862" s="15" t="s">
        <v>17092</v>
      </c>
      <c r="AT862" s="15" t="s">
        <v>138</v>
      </c>
      <c r="AU862" s="15" t="s">
        <v>17093</v>
      </c>
      <c r="AV862" s="15" t="s">
        <v>9686</v>
      </c>
      <c r="AW862" s="15" t="s">
        <v>17089</v>
      </c>
      <c r="AX862" s="15" t="s">
        <v>17094</v>
      </c>
      <c r="AY862" s="15" t="s">
        <v>138</v>
      </c>
      <c r="AZ862" s="15" t="s">
        <v>530</v>
      </c>
      <c r="BA862" s="15" t="s">
        <v>9687</v>
      </c>
      <c r="BB862" s="15" t="s">
        <v>17095</v>
      </c>
      <c r="BC862" s="15" t="s">
        <v>6673</v>
      </c>
      <c r="BD862" s="21">
        <v>1</v>
      </c>
      <c r="BE862" s="15" t="s">
        <v>138</v>
      </c>
      <c r="BF862" s="15" t="s">
        <v>138</v>
      </c>
      <c r="BG862" s="15" t="s">
        <v>138</v>
      </c>
      <c r="BH862" s="15" t="s">
        <v>138</v>
      </c>
      <c r="BI862" s="15" t="s">
        <v>138</v>
      </c>
      <c r="BJ862" s="15" t="s">
        <v>138</v>
      </c>
      <c r="BK862" s="15" t="s">
        <v>17096</v>
      </c>
      <c r="BL862" s="15" t="s">
        <v>138</v>
      </c>
      <c r="BM862" s="22">
        <v>41354</v>
      </c>
      <c r="BN862" s="17" t="s">
        <v>138</v>
      </c>
      <c r="BO862" s="15" t="s">
        <v>138</v>
      </c>
      <c r="BP862" s="17" t="s">
        <v>138</v>
      </c>
      <c r="BQ862" s="15" t="s">
        <v>138</v>
      </c>
      <c r="BR862" s="15" t="s">
        <v>1423</v>
      </c>
      <c r="BS862" s="15" t="s">
        <v>138</v>
      </c>
      <c r="BT862" s="15" t="s">
        <v>138</v>
      </c>
      <c r="BU862" s="15" t="s">
        <v>174</v>
      </c>
      <c r="BV862" s="15" t="s">
        <v>138</v>
      </c>
      <c r="BW862" s="15" t="s">
        <v>138</v>
      </c>
      <c r="BX862" s="15" t="s">
        <v>138</v>
      </c>
      <c r="BY862" s="15" t="s">
        <v>175</v>
      </c>
      <c r="BZ862" s="22">
        <v>41354</v>
      </c>
      <c r="CA862" s="17" t="s">
        <v>138</v>
      </c>
      <c r="CB862" s="15" t="s">
        <v>138</v>
      </c>
      <c r="CC862" s="17" t="s">
        <v>138</v>
      </c>
      <c r="CD862" s="15" t="s">
        <v>138</v>
      </c>
      <c r="CE862" s="15" t="s">
        <v>1423</v>
      </c>
      <c r="CF862" s="15" t="s">
        <v>138</v>
      </c>
      <c r="CG862" s="15" t="s">
        <v>138</v>
      </c>
      <c r="CH862" s="15" t="s">
        <v>174</v>
      </c>
      <c r="CI862" s="15" t="s">
        <v>138</v>
      </c>
      <c r="CJ862" s="15" t="s">
        <v>138</v>
      </c>
      <c r="CK862" s="15" t="s">
        <v>138</v>
      </c>
      <c r="CL862" s="15" t="s">
        <v>175</v>
      </c>
      <c r="CM862" s="22" t="s">
        <v>138</v>
      </c>
      <c r="CN862" s="17" t="s">
        <v>138</v>
      </c>
      <c r="CO862" s="23">
        <v>-0.3</v>
      </c>
      <c r="CP862" s="24">
        <v>18</v>
      </c>
      <c r="CQ862" s="23">
        <v>-0.04</v>
      </c>
      <c r="CR862" s="23">
        <v>-14.26</v>
      </c>
      <c r="CS862" s="23">
        <v>-1.38</v>
      </c>
      <c r="CT862" s="24">
        <v>12</v>
      </c>
      <c r="CU862" s="23">
        <v>0.47</v>
      </c>
      <c r="CV862" s="24">
        <v>93</v>
      </c>
      <c r="CW862" s="23">
        <v>0</v>
      </c>
      <c r="CX862" s="24">
        <v>13</v>
      </c>
      <c r="CY862" s="23">
        <v>-2.76</v>
      </c>
      <c r="CZ862" s="24">
        <v>8</v>
      </c>
      <c r="DA862" s="23">
        <v>0.92</v>
      </c>
      <c r="DB862" s="24">
        <v>98</v>
      </c>
      <c r="DC862" s="25">
        <v>45.37</v>
      </c>
      <c r="DD862" s="24">
        <v>98</v>
      </c>
      <c r="DE862" s="25">
        <v>-0.06</v>
      </c>
      <c r="DF862" s="23">
        <v>-0.14000000000000001</v>
      </c>
      <c r="DG862" s="25">
        <v>3.21</v>
      </c>
      <c r="DH862" s="24">
        <v>76</v>
      </c>
      <c r="DI862" s="25">
        <v>132.32</v>
      </c>
      <c r="DJ862" s="24">
        <v>98</v>
      </c>
      <c r="DK862" s="25">
        <v>0.77</v>
      </c>
      <c r="DL862" s="24">
        <v>45</v>
      </c>
      <c r="DM862" s="25">
        <v>5.66</v>
      </c>
      <c r="DN862" s="24">
        <v>83</v>
      </c>
      <c r="DO862" s="25">
        <v>0.52</v>
      </c>
      <c r="DP862" s="24">
        <v>39</v>
      </c>
      <c r="DQ862" s="24">
        <v>284</v>
      </c>
      <c r="DR862" s="26">
        <v>-63</v>
      </c>
      <c r="DS862" s="23">
        <v>-18.16</v>
      </c>
      <c r="DT862" s="24">
        <v>164</v>
      </c>
      <c r="DU862" s="26">
        <v>0</v>
      </c>
      <c r="DV862" s="23">
        <v>0</v>
      </c>
      <c r="DW862" s="24">
        <v>186</v>
      </c>
      <c r="DX862" s="27">
        <v>1</v>
      </c>
      <c r="DY862" s="23">
        <v>0.54</v>
      </c>
      <c r="DZ862" s="15" t="s">
        <v>178</v>
      </c>
      <c r="EA862" s="22">
        <v>43622</v>
      </c>
      <c r="EB862" s="17" t="s">
        <v>138</v>
      </c>
      <c r="EC862" s="22" t="s">
        <v>138</v>
      </c>
      <c r="ED862" s="15" t="s">
        <v>138</v>
      </c>
      <c r="EE862" s="14" t="str">
        <f>HYPERLINK("https://my.pitchbook.com?c=119127-97", "View company online")</f>
        <v>View company online</v>
      </c>
    </row>
    <row r="863" spans="1:135">
      <c r="A863" s="28" t="s">
        <v>17097</v>
      </c>
      <c r="B863" s="28" t="s">
        <v>17098</v>
      </c>
      <c r="C863" s="28" t="s">
        <v>138</v>
      </c>
      <c r="D863" s="28" t="s">
        <v>138</v>
      </c>
      <c r="E863" s="28" t="s">
        <v>138</v>
      </c>
      <c r="F863" s="28" t="s">
        <v>17097</v>
      </c>
      <c r="G863" s="28" t="s">
        <v>17099</v>
      </c>
      <c r="H863" s="28" t="s">
        <v>322</v>
      </c>
      <c r="I863" s="28" t="s">
        <v>323</v>
      </c>
      <c r="J863" s="28" t="s">
        <v>413</v>
      </c>
      <c r="K863" s="28" t="s">
        <v>17100</v>
      </c>
      <c r="L863" s="28" t="s">
        <v>242</v>
      </c>
      <c r="M863" s="28" t="s">
        <v>17101</v>
      </c>
      <c r="N863" s="28" t="s">
        <v>147</v>
      </c>
      <c r="O863" s="29">
        <v>2.66</v>
      </c>
      <c r="P863" s="28" t="s">
        <v>148</v>
      </c>
      <c r="Q863" s="28" t="s">
        <v>149</v>
      </c>
      <c r="R863" s="28" t="s">
        <v>174</v>
      </c>
      <c r="S863" s="28" t="s">
        <v>17102</v>
      </c>
      <c r="T863" s="30">
        <v>3</v>
      </c>
      <c r="U863" s="28" t="s">
        <v>1334</v>
      </c>
      <c r="V863" s="28" t="s">
        <v>138</v>
      </c>
      <c r="W863" s="28" t="s">
        <v>138</v>
      </c>
      <c r="X863" s="31">
        <v>2013</v>
      </c>
      <c r="Y863" s="28" t="s">
        <v>138</v>
      </c>
      <c r="Z863" s="28" t="s">
        <v>138</v>
      </c>
      <c r="AA863" s="28" t="s">
        <v>138</v>
      </c>
      <c r="AB863" s="32" t="s">
        <v>138</v>
      </c>
      <c r="AC863" s="32" t="s">
        <v>138</v>
      </c>
      <c r="AD863" s="32" t="s">
        <v>138</v>
      </c>
      <c r="AE863" s="32" t="s">
        <v>138</v>
      </c>
      <c r="AF863" s="32" t="s">
        <v>138</v>
      </c>
      <c r="AG863" s="28" t="s">
        <v>138</v>
      </c>
      <c r="AH863" s="32" t="s">
        <v>138</v>
      </c>
      <c r="AI863" s="32" t="s">
        <v>138</v>
      </c>
      <c r="AJ863" s="32" t="s">
        <v>138</v>
      </c>
      <c r="AK863" s="28" t="s">
        <v>17103</v>
      </c>
      <c r="AL863" s="28" t="s">
        <v>17104</v>
      </c>
      <c r="AM863" s="28" t="s">
        <v>5401</v>
      </c>
      <c r="AN863" s="28" t="s">
        <v>17105</v>
      </c>
      <c r="AO863" s="28" t="s">
        <v>138</v>
      </c>
      <c r="AP863" s="28" t="s">
        <v>665</v>
      </c>
      <c r="AQ863" s="28" t="s">
        <v>8388</v>
      </c>
      <c r="AR863" s="28" t="s">
        <v>138</v>
      </c>
      <c r="AS863" s="28" t="s">
        <v>668</v>
      </c>
      <c r="AT863" s="28" t="s">
        <v>200</v>
      </c>
      <c r="AU863" s="28" t="s">
        <v>669</v>
      </c>
      <c r="AV863" s="28" t="s">
        <v>162</v>
      </c>
      <c r="AW863" s="28" t="s">
        <v>138</v>
      </c>
      <c r="AX863" s="28" t="s">
        <v>138</v>
      </c>
      <c r="AY863" s="28" t="s">
        <v>17106</v>
      </c>
      <c r="AZ863" s="28" t="s">
        <v>164</v>
      </c>
      <c r="BA863" s="28" t="s">
        <v>165</v>
      </c>
      <c r="BB863" s="28" t="s">
        <v>17107</v>
      </c>
      <c r="BC863" s="28" t="s">
        <v>17108</v>
      </c>
      <c r="BD863" s="33">
        <v>7</v>
      </c>
      <c r="BE863" s="28" t="s">
        <v>138</v>
      </c>
      <c r="BF863" s="28" t="s">
        <v>138</v>
      </c>
      <c r="BG863" s="28" t="s">
        <v>138</v>
      </c>
      <c r="BH863" s="28" t="s">
        <v>17109</v>
      </c>
      <c r="BI863" s="28" t="s">
        <v>138</v>
      </c>
      <c r="BJ863" s="28" t="s">
        <v>138</v>
      </c>
      <c r="BK863" s="28" t="s">
        <v>138</v>
      </c>
      <c r="BL863" s="28" t="s">
        <v>3482</v>
      </c>
      <c r="BM863" s="34" t="s">
        <v>138</v>
      </c>
      <c r="BN863" s="29" t="s">
        <v>138</v>
      </c>
      <c r="BO863" s="28" t="s">
        <v>138</v>
      </c>
      <c r="BP863" s="29" t="s">
        <v>138</v>
      </c>
      <c r="BQ863" s="28" t="s">
        <v>138</v>
      </c>
      <c r="BR863" s="28" t="s">
        <v>316</v>
      </c>
      <c r="BS863" s="28" t="s">
        <v>138</v>
      </c>
      <c r="BT863" s="28" t="s">
        <v>138</v>
      </c>
      <c r="BU863" s="28" t="s">
        <v>174</v>
      </c>
      <c r="BV863" s="28" t="s">
        <v>138</v>
      </c>
      <c r="BW863" s="28" t="s">
        <v>138</v>
      </c>
      <c r="BX863" s="28" t="s">
        <v>138</v>
      </c>
      <c r="BY863" s="28" t="s">
        <v>175</v>
      </c>
      <c r="BZ863" s="34">
        <v>43516</v>
      </c>
      <c r="CA863" s="29">
        <v>1</v>
      </c>
      <c r="CB863" s="28" t="s">
        <v>172</v>
      </c>
      <c r="CC863" s="29" t="s">
        <v>138</v>
      </c>
      <c r="CD863" s="28" t="s">
        <v>138</v>
      </c>
      <c r="CE863" s="28" t="s">
        <v>205</v>
      </c>
      <c r="CF863" s="28" t="s">
        <v>138</v>
      </c>
      <c r="CG863" s="28" t="s">
        <v>138</v>
      </c>
      <c r="CH863" s="28" t="s">
        <v>174</v>
      </c>
      <c r="CI863" s="28" t="s">
        <v>264</v>
      </c>
      <c r="CJ863" s="28" t="s">
        <v>138</v>
      </c>
      <c r="CK863" s="28" t="s">
        <v>138</v>
      </c>
      <c r="CL863" s="28" t="s">
        <v>175</v>
      </c>
      <c r="CM863" s="34" t="s">
        <v>138</v>
      </c>
      <c r="CN863" s="29" t="s">
        <v>138</v>
      </c>
      <c r="CO863" s="35">
        <v>0.13</v>
      </c>
      <c r="CP863" s="36">
        <v>91</v>
      </c>
      <c r="CQ863" s="35">
        <v>-0.01</v>
      </c>
      <c r="CR863" s="35">
        <v>-9.0399999999999991</v>
      </c>
      <c r="CS863" s="35">
        <v>0</v>
      </c>
      <c r="CT863" s="36">
        <v>23</v>
      </c>
      <c r="CU863" s="35">
        <v>0.26</v>
      </c>
      <c r="CV863" s="36">
        <v>85</v>
      </c>
      <c r="CW863" s="35" t="s">
        <v>138</v>
      </c>
      <c r="CX863" s="36" t="s">
        <v>138</v>
      </c>
      <c r="CY863" s="35">
        <v>0</v>
      </c>
      <c r="CZ863" s="36">
        <v>25</v>
      </c>
      <c r="DA863" s="35">
        <v>0.27</v>
      </c>
      <c r="DB863" s="36">
        <v>87</v>
      </c>
      <c r="DC863" s="37">
        <v>1.44</v>
      </c>
      <c r="DD863" s="36">
        <v>60</v>
      </c>
      <c r="DE863" s="37">
        <v>0.46</v>
      </c>
      <c r="DF863" s="35">
        <v>46.6</v>
      </c>
      <c r="DG863" s="37">
        <v>2.1</v>
      </c>
      <c r="DH863" s="36">
        <v>68</v>
      </c>
      <c r="DI863" s="37">
        <v>0.77</v>
      </c>
      <c r="DJ863" s="36">
        <v>44</v>
      </c>
      <c r="DK863" s="37" t="s">
        <v>138</v>
      </c>
      <c r="DL863" s="36" t="s">
        <v>138</v>
      </c>
      <c r="DM863" s="37">
        <v>2.1</v>
      </c>
      <c r="DN863" s="36">
        <v>67</v>
      </c>
      <c r="DO863" s="37">
        <v>1.33</v>
      </c>
      <c r="DP863" s="36">
        <v>56</v>
      </c>
      <c r="DQ863" s="36">
        <v>73</v>
      </c>
      <c r="DR863" s="38">
        <v>1</v>
      </c>
      <c r="DS863" s="35">
        <v>1.39</v>
      </c>
      <c r="DT863" s="36">
        <v>61</v>
      </c>
      <c r="DU863" s="38">
        <v>0</v>
      </c>
      <c r="DV863" s="35">
        <v>0</v>
      </c>
      <c r="DW863" s="36">
        <v>475</v>
      </c>
      <c r="DX863" s="39">
        <v>-2</v>
      </c>
      <c r="DY863" s="35">
        <v>-0.42</v>
      </c>
      <c r="DZ863" s="28" t="s">
        <v>178</v>
      </c>
      <c r="EA863" s="34">
        <v>43587</v>
      </c>
      <c r="EB863" s="29">
        <v>9.7799999999999994</v>
      </c>
      <c r="EC863" s="34">
        <v>42584</v>
      </c>
      <c r="ED863" s="28" t="s">
        <v>234</v>
      </c>
      <c r="EE863" s="40" t="str">
        <f>HYPERLINK("https://my.pitchbook.com?c=91894-33", "View company online")</f>
        <v>View company online</v>
      </c>
    </row>
    <row r="864" spans="1:135">
      <c r="A864" s="15" t="s">
        <v>17110</v>
      </c>
      <c r="B864" s="15" t="s">
        <v>17111</v>
      </c>
      <c r="C864" s="15" t="s">
        <v>138</v>
      </c>
      <c r="D864" s="15" t="s">
        <v>138</v>
      </c>
      <c r="E864" s="15" t="s">
        <v>17112</v>
      </c>
      <c r="F864" s="15" t="s">
        <v>17110</v>
      </c>
      <c r="G864" s="15" t="s">
        <v>17113</v>
      </c>
      <c r="H864" s="15" t="s">
        <v>238</v>
      </c>
      <c r="I864" s="15" t="s">
        <v>269</v>
      </c>
      <c r="J864" s="15" t="s">
        <v>296</v>
      </c>
      <c r="K864" s="15" t="s">
        <v>10865</v>
      </c>
      <c r="L864" s="15" t="s">
        <v>17114</v>
      </c>
      <c r="M864" s="15" t="s">
        <v>17115</v>
      </c>
      <c r="N864" s="15" t="s">
        <v>147</v>
      </c>
      <c r="O864" s="17">
        <v>174.2</v>
      </c>
      <c r="P864" s="15" t="s">
        <v>148</v>
      </c>
      <c r="Q864" s="15" t="s">
        <v>149</v>
      </c>
      <c r="R864" s="15" t="s">
        <v>174</v>
      </c>
      <c r="S864" s="15" t="s">
        <v>17116</v>
      </c>
      <c r="T864" s="18">
        <v>140</v>
      </c>
      <c r="U864" s="15" t="s">
        <v>17117</v>
      </c>
      <c r="V864" s="15" t="s">
        <v>138</v>
      </c>
      <c r="W864" s="15" t="s">
        <v>138</v>
      </c>
      <c r="X864" s="19">
        <v>2015</v>
      </c>
      <c r="Y864" s="15" t="s">
        <v>138</v>
      </c>
      <c r="Z864" s="15" t="s">
        <v>138</v>
      </c>
      <c r="AA864" s="15" t="s">
        <v>138</v>
      </c>
      <c r="AB864" s="20" t="s">
        <v>138</v>
      </c>
      <c r="AC864" s="20" t="s">
        <v>138</v>
      </c>
      <c r="AD864" s="20" t="s">
        <v>138</v>
      </c>
      <c r="AE864" s="20" t="s">
        <v>138</v>
      </c>
      <c r="AF864" s="20" t="s">
        <v>138</v>
      </c>
      <c r="AG864" s="15" t="s">
        <v>138</v>
      </c>
      <c r="AH864" s="20" t="s">
        <v>138</v>
      </c>
      <c r="AI864" s="20" t="s">
        <v>138</v>
      </c>
      <c r="AJ864" s="20" t="s">
        <v>138</v>
      </c>
      <c r="AK864" s="15" t="s">
        <v>17118</v>
      </c>
      <c r="AL864" s="15" t="s">
        <v>17119</v>
      </c>
      <c r="AM864" s="15" t="s">
        <v>221</v>
      </c>
      <c r="AN864" s="15" t="s">
        <v>17120</v>
      </c>
      <c r="AO864" s="15" t="s">
        <v>17121</v>
      </c>
      <c r="AP864" s="15" t="s">
        <v>1168</v>
      </c>
      <c r="AQ864" s="15" t="s">
        <v>4919</v>
      </c>
      <c r="AR864" s="15" t="s">
        <v>138</v>
      </c>
      <c r="AS864" s="15" t="s">
        <v>1171</v>
      </c>
      <c r="AT864" s="15" t="s">
        <v>200</v>
      </c>
      <c r="AU864" s="15" t="s">
        <v>1172</v>
      </c>
      <c r="AV864" s="15" t="s">
        <v>162</v>
      </c>
      <c r="AW864" s="15" t="s">
        <v>17121</v>
      </c>
      <c r="AX864" s="15" t="s">
        <v>138</v>
      </c>
      <c r="AY864" s="15" t="s">
        <v>17122</v>
      </c>
      <c r="AZ864" s="15" t="s">
        <v>164</v>
      </c>
      <c r="BA864" s="15" t="s">
        <v>165</v>
      </c>
      <c r="BB864" s="15" t="s">
        <v>17123</v>
      </c>
      <c r="BC864" s="15" t="s">
        <v>17124</v>
      </c>
      <c r="BD864" s="21">
        <v>13</v>
      </c>
      <c r="BE864" s="15" t="s">
        <v>138</v>
      </c>
      <c r="BF864" s="15" t="s">
        <v>138</v>
      </c>
      <c r="BG864" s="15" t="s">
        <v>138</v>
      </c>
      <c r="BH864" s="15" t="s">
        <v>17125</v>
      </c>
      <c r="BI864" s="15" t="s">
        <v>138</v>
      </c>
      <c r="BJ864" s="15" t="s">
        <v>138</v>
      </c>
      <c r="BK864" s="15" t="s">
        <v>5213</v>
      </c>
      <c r="BL864" s="15" t="s">
        <v>5213</v>
      </c>
      <c r="BM864" s="22" t="s">
        <v>138</v>
      </c>
      <c r="BN864" s="17" t="s">
        <v>138</v>
      </c>
      <c r="BO864" s="15" t="s">
        <v>138</v>
      </c>
      <c r="BP864" s="17" t="s">
        <v>138</v>
      </c>
      <c r="BQ864" s="15" t="s">
        <v>138</v>
      </c>
      <c r="BR864" s="15" t="s">
        <v>316</v>
      </c>
      <c r="BS864" s="15" t="s">
        <v>138</v>
      </c>
      <c r="BT864" s="15" t="s">
        <v>138</v>
      </c>
      <c r="BU864" s="15" t="s">
        <v>177</v>
      </c>
      <c r="BV864" s="15" t="s">
        <v>138</v>
      </c>
      <c r="BW864" s="15" t="s">
        <v>138</v>
      </c>
      <c r="BX864" s="15" t="s">
        <v>138</v>
      </c>
      <c r="BY864" s="15" t="s">
        <v>175</v>
      </c>
      <c r="BZ864" s="22">
        <v>42935</v>
      </c>
      <c r="CA864" s="17">
        <v>159</v>
      </c>
      <c r="CB864" s="15" t="s">
        <v>172</v>
      </c>
      <c r="CC864" s="17" t="s">
        <v>138</v>
      </c>
      <c r="CD864" s="15" t="s">
        <v>138</v>
      </c>
      <c r="CE864" s="15" t="s">
        <v>205</v>
      </c>
      <c r="CF864" s="15" t="s">
        <v>720</v>
      </c>
      <c r="CG864" s="15" t="s">
        <v>138</v>
      </c>
      <c r="CH864" s="15" t="s">
        <v>174</v>
      </c>
      <c r="CI864" s="15" t="s">
        <v>138</v>
      </c>
      <c r="CJ864" s="15" t="s">
        <v>138</v>
      </c>
      <c r="CK864" s="15" t="s">
        <v>138</v>
      </c>
      <c r="CL864" s="15" t="s">
        <v>175</v>
      </c>
      <c r="CM864" s="22" t="s">
        <v>138</v>
      </c>
      <c r="CN864" s="17" t="s">
        <v>138</v>
      </c>
      <c r="CO864" s="23">
        <v>0.83</v>
      </c>
      <c r="CP864" s="24">
        <v>97</v>
      </c>
      <c r="CQ864" s="23">
        <v>-7.0000000000000007E-2</v>
      </c>
      <c r="CR864" s="23">
        <v>-7.49</v>
      </c>
      <c r="CS864" s="23">
        <v>0.73</v>
      </c>
      <c r="CT864" s="24">
        <v>96</v>
      </c>
      <c r="CU864" s="23">
        <v>0.93</v>
      </c>
      <c r="CV864" s="24">
        <v>98</v>
      </c>
      <c r="CW864" s="23">
        <v>1.62</v>
      </c>
      <c r="CX864" s="24">
        <v>87</v>
      </c>
      <c r="CY864" s="23">
        <v>-0.15</v>
      </c>
      <c r="CZ864" s="24">
        <v>24</v>
      </c>
      <c r="DA864" s="23">
        <v>0.93</v>
      </c>
      <c r="DB864" s="24">
        <v>98</v>
      </c>
      <c r="DC864" s="25">
        <v>12.82</v>
      </c>
      <c r="DD864" s="24">
        <v>92</v>
      </c>
      <c r="DE864" s="25">
        <v>-0.72</v>
      </c>
      <c r="DF864" s="23">
        <v>-5.3</v>
      </c>
      <c r="DG864" s="25">
        <v>19.489999999999998</v>
      </c>
      <c r="DH864" s="24">
        <v>95</v>
      </c>
      <c r="DI864" s="25">
        <v>6.14</v>
      </c>
      <c r="DJ864" s="24">
        <v>80</v>
      </c>
      <c r="DK864" s="25">
        <v>18.61</v>
      </c>
      <c r="DL864" s="24">
        <v>91</v>
      </c>
      <c r="DM864" s="25">
        <v>20.38</v>
      </c>
      <c r="DN864" s="24">
        <v>94</v>
      </c>
      <c r="DO864" s="25">
        <v>6.14</v>
      </c>
      <c r="DP864" s="24">
        <v>82</v>
      </c>
      <c r="DQ864" s="24">
        <v>6197</v>
      </c>
      <c r="DR864" s="26">
        <v>555</v>
      </c>
      <c r="DS864" s="23">
        <v>9.84</v>
      </c>
      <c r="DT864" s="24">
        <v>597</v>
      </c>
      <c r="DU864" s="26">
        <v>-9</v>
      </c>
      <c r="DV864" s="23">
        <v>-1.49</v>
      </c>
      <c r="DW864" s="24">
        <v>2196</v>
      </c>
      <c r="DX864" s="27">
        <v>17</v>
      </c>
      <c r="DY864" s="23">
        <v>0.78</v>
      </c>
      <c r="DZ864" s="15" t="s">
        <v>178</v>
      </c>
      <c r="EA864" s="22">
        <v>43594</v>
      </c>
      <c r="EB864" s="17">
        <v>36</v>
      </c>
      <c r="EC864" s="22">
        <v>42650</v>
      </c>
      <c r="ED864" s="15" t="s">
        <v>205</v>
      </c>
      <c r="EE864" s="14" t="str">
        <f>HYPERLINK("https://my.pitchbook.com?c=126672-49", "View company online")</f>
        <v>View company online</v>
      </c>
    </row>
    <row r="865" spans="1:135">
      <c r="A865" s="28" t="s">
        <v>17126</v>
      </c>
      <c r="B865" s="28" t="s">
        <v>17127</v>
      </c>
      <c r="C865" s="28" t="s">
        <v>17128</v>
      </c>
      <c r="D865" s="28" t="s">
        <v>138</v>
      </c>
      <c r="E865" s="28" t="s">
        <v>138</v>
      </c>
      <c r="F865" s="28" t="s">
        <v>17126</v>
      </c>
      <c r="G865" s="28" t="s">
        <v>17129</v>
      </c>
      <c r="H865" s="28" t="s">
        <v>141</v>
      </c>
      <c r="I865" s="28" t="s">
        <v>142</v>
      </c>
      <c r="J865" s="28" t="s">
        <v>4042</v>
      </c>
      <c r="K865" s="28" t="s">
        <v>17130</v>
      </c>
      <c r="L865" s="28" t="s">
        <v>7679</v>
      </c>
      <c r="M865" s="28" t="s">
        <v>17131</v>
      </c>
      <c r="N865" s="28" t="s">
        <v>147</v>
      </c>
      <c r="O865" s="29">
        <v>19.14</v>
      </c>
      <c r="P865" s="28" t="s">
        <v>148</v>
      </c>
      <c r="Q865" s="28" t="s">
        <v>149</v>
      </c>
      <c r="R865" s="28" t="s">
        <v>174</v>
      </c>
      <c r="S865" s="28" t="s">
        <v>17132</v>
      </c>
      <c r="T865" s="30">
        <v>36</v>
      </c>
      <c r="U865" s="28" t="s">
        <v>17133</v>
      </c>
      <c r="V865" s="28" t="s">
        <v>138</v>
      </c>
      <c r="W865" s="28" t="s">
        <v>138</v>
      </c>
      <c r="X865" s="31">
        <v>2012</v>
      </c>
      <c r="Y865" s="28" t="s">
        <v>138</v>
      </c>
      <c r="Z865" s="28" t="s">
        <v>138</v>
      </c>
      <c r="AA865" s="28" t="s">
        <v>138</v>
      </c>
      <c r="AB865" s="32">
        <v>4.5999999999999996</v>
      </c>
      <c r="AC865" s="32" t="s">
        <v>138</v>
      </c>
      <c r="AD865" s="32" t="s">
        <v>138</v>
      </c>
      <c r="AE865" s="32" t="s">
        <v>138</v>
      </c>
      <c r="AF865" s="32" t="s">
        <v>138</v>
      </c>
      <c r="AG865" s="28" t="s">
        <v>707</v>
      </c>
      <c r="AH865" s="32" t="s">
        <v>138</v>
      </c>
      <c r="AI865" s="32" t="s">
        <v>138</v>
      </c>
      <c r="AJ865" s="32" t="s">
        <v>138</v>
      </c>
      <c r="AK865" s="28" t="s">
        <v>17134</v>
      </c>
      <c r="AL865" s="28" t="s">
        <v>17135</v>
      </c>
      <c r="AM865" s="28" t="s">
        <v>221</v>
      </c>
      <c r="AN865" s="28" t="s">
        <v>17136</v>
      </c>
      <c r="AO865" s="28" t="s">
        <v>17137</v>
      </c>
      <c r="AP865" s="28" t="s">
        <v>3839</v>
      </c>
      <c r="AQ865" s="28" t="s">
        <v>17138</v>
      </c>
      <c r="AR865" s="28" t="s">
        <v>138</v>
      </c>
      <c r="AS865" s="28" t="s">
        <v>3841</v>
      </c>
      <c r="AT865" s="28" t="s">
        <v>200</v>
      </c>
      <c r="AU865" s="28" t="s">
        <v>3842</v>
      </c>
      <c r="AV865" s="28" t="s">
        <v>162</v>
      </c>
      <c r="AW865" s="28" t="s">
        <v>17137</v>
      </c>
      <c r="AX865" s="28" t="s">
        <v>138</v>
      </c>
      <c r="AY865" s="28" t="s">
        <v>17139</v>
      </c>
      <c r="AZ865" s="28" t="s">
        <v>164</v>
      </c>
      <c r="BA865" s="28" t="s">
        <v>165</v>
      </c>
      <c r="BB865" s="28" t="s">
        <v>17140</v>
      </c>
      <c r="BC865" s="28" t="s">
        <v>17141</v>
      </c>
      <c r="BD865" s="33">
        <v>6</v>
      </c>
      <c r="BE865" s="28" t="s">
        <v>138</v>
      </c>
      <c r="BF865" s="28" t="s">
        <v>138</v>
      </c>
      <c r="BG865" s="28" t="s">
        <v>138</v>
      </c>
      <c r="BH865" s="28" t="s">
        <v>17142</v>
      </c>
      <c r="BI865" s="28" t="s">
        <v>138</v>
      </c>
      <c r="BJ865" s="28" t="s">
        <v>138</v>
      </c>
      <c r="BK865" s="28" t="s">
        <v>2936</v>
      </c>
      <c r="BL865" s="28" t="s">
        <v>2936</v>
      </c>
      <c r="BM865" s="34">
        <v>41248</v>
      </c>
      <c r="BN865" s="29">
        <v>4</v>
      </c>
      <c r="BO865" s="28" t="s">
        <v>172</v>
      </c>
      <c r="BP865" s="29" t="s">
        <v>138</v>
      </c>
      <c r="BQ865" s="28" t="s">
        <v>138</v>
      </c>
      <c r="BR865" s="28" t="s">
        <v>176</v>
      </c>
      <c r="BS865" s="28" t="s">
        <v>138</v>
      </c>
      <c r="BT865" s="28" t="s">
        <v>138</v>
      </c>
      <c r="BU865" s="28" t="s">
        <v>177</v>
      </c>
      <c r="BV865" s="28" t="s">
        <v>138</v>
      </c>
      <c r="BW865" s="28" t="s">
        <v>138</v>
      </c>
      <c r="BX865" s="28" t="s">
        <v>138</v>
      </c>
      <c r="BY865" s="28" t="s">
        <v>175</v>
      </c>
      <c r="BZ865" s="34">
        <v>43479</v>
      </c>
      <c r="CA865" s="29">
        <v>4</v>
      </c>
      <c r="CB865" s="28" t="s">
        <v>1178</v>
      </c>
      <c r="CC865" s="29">
        <v>58</v>
      </c>
      <c r="CD865" s="28" t="s">
        <v>172</v>
      </c>
      <c r="CE865" s="28" t="s">
        <v>173</v>
      </c>
      <c r="CF865" s="28" t="s">
        <v>2359</v>
      </c>
      <c r="CG865" s="28" t="s">
        <v>138</v>
      </c>
      <c r="CH865" s="28" t="s">
        <v>174</v>
      </c>
      <c r="CI865" s="28" t="s">
        <v>138</v>
      </c>
      <c r="CJ865" s="28" t="s">
        <v>138</v>
      </c>
      <c r="CK865" s="28" t="s">
        <v>138</v>
      </c>
      <c r="CL865" s="28" t="s">
        <v>175</v>
      </c>
      <c r="CM865" s="34" t="s">
        <v>138</v>
      </c>
      <c r="CN865" s="29" t="s">
        <v>138</v>
      </c>
      <c r="CO865" s="35">
        <v>0</v>
      </c>
      <c r="CP865" s="36">
        <v>26</v>
      </c>
      <c r="CQ865" s="35">
        <v>0</v>
      </c>
      <c r="CR865" s="35">
        <v>0</v>
      </c>
      <c r="CS865" s="35">
        <v>0</v>
      </c>
      <c r="CT865" s="36">
        <v>23</v>
      </c>
      <c r="CU865" s="35" t="s">
        <v>138</v>
      </c>
      <c r="CV865" s="36" t="s">
        <v>138</v>
      </c>
      <c r="CW865" s="35">
        <v>0</v>
      </c>
      <c r="CX865" s="36">
        <v>13</v>
      </c>
      <c r="CY865" s="35" t="s">
        <v>138</v>
      </c>
      <c r="CZ865" s="36" t="s">
        <v>138</v>
      </c>
      <c r="DA865" s="35" t="s">
        <v>138</v>
      </c>
      <c r="DB865" s="36" t="s">
        <v>138</v>
      </c>
      <c r="DC865" s="37">
        <v>1.6</v>
      </c>
      <c r="DD865" s="36">
        <v>62</v>
      </c>
      <c r="DE865" s="37">
        <v>-0.2</v>
      </c>
      <c r="DF865" s="35">
        <v>-11.37</v>
      </c>
      <c r="DG865" s="37">
        <v>1.6</v>
      </c>
      <c r="DH865" s="36">
        <v>62</v>
      </c>
      <c r="DI865" s="37" t="s">
        <v>138</v>
      </c>
      <c r="DJ865" s="36" t="s">
        <v>138</v>
      </c>
      <c r="DK865" s="37">
        <v>1.6</v>
      </c>
      <c r="DL865" s="36">
        <v>60</v>
      </c>
      <c r="DM865" s="37" t="s">
        <v>138</v>
      </c>
      <c r="DN865" s="36" t="s">
        <v>138</v>
      </c>
      <c r="DO865" s="37" t="s">
        <v>138</v>
      </c>
      <c r="DP865" s="36" t="s">
        <v>138</v>
      </c>
      <c r="DQ865" s="36">
        <v>544</v>
      </c>
      <c r="DR865" s="38">
        <v>10</v>
      </c>
      <c r="DS865" s="35">
        <v>1.87</v>
      </c>
      <c r="DT865" s="36" t="s">
        <v>138</v>
      </c>
      <c r="DU865" s="38" t="s">
        <v>138</v>
      </c>
      <c r="DV865" s="35" t="s">
        <v>138</v>
      </c>
      <c r="DW865" s="36" t="s">
        <v>138</v>
      </c>
      <c r="DX865" s="39" t="s">
        <v>138</v>
      </c>
      <c r="DY865" s="35" t="s">
        <v>138</v>
      </c>
      <c r="DZ865" s="28" t="s">
        <v>178</v>
      </c>
      <c r="EA865" s="34">
        <v>43480</v>
      </c>
      <c r="EB865" s="29">
        <v>58</v>
      </c>
      <c r="EC865" s="34">
        <v>43479</v>
      </c>
      <c r="ED865" s="28" t="s">
        <v>173</v>
      </c>
      <c r="EE865" s="40" t="str">
        <f>HYPERLINK("https://my.pitchbook.com?c=106772-14", "View company online")</f>
        <v>View company online</v>
      </c>
    </row>
    <row r="866" spans="1:135">
      <c r="A866" s="15" t="s">
        <v>17143</v>
      </c>
      <c r="B866" s="15" t="s">
        <v>17144</v>
      </c>
      <c r="C866" s="15" t="s">
        <v>17145</v>
      </c>
      <c r="D866" s="15" t="s">
        <v>138</v>
      </c>
      <c r="E866" s="15" t="s">
        <v>17146</v>
      </c>
      <c r="F866" s="15" t="s">
        <v>17143</v>
      </c>
      <c r="G866" s="15" t="s">
        <v>17147</v>
      </c>
      <c r="H866" s="15" t="s">
        <v>141</v>
      </c>
      <c r="I866" s="15" t="s">
        <v>212</v>
      </c>
      <c r="J866" s="15" t="s">
        <v>213</v>
      </c>
      <c r="K866" s="15" t="s">
        <v>3073</v>
      </c>
      <c r="L866" s="15" t="s">
        <v>415</v>
      </c>
      <c r="M866" s="15" t="s">
        <v>17148</v>
      </c>
      <c r="N866" s="15" t="s">
        <v>147</v>
      </c>
      <c r="O866" s="17">
        <v>36.67</v>
      </c>
      <c r="P866" s="15" t="s">
        <v>148</v>
      </c>
      <c r="Q866" s="15" t="s">
        <v>149</v>
      </c>
      <c r="R866" s="15" t="s">
        <v>244</v>
      </c>
      <c r="S866" s="15" t="s">
        <v>17149</v>
      </c>
      <c r="T866" s="18" t="s">
        <v>138</v>
      </c>
      <c r="U866" s="15" t="s">
        <v>138</v>
      </c>
      <c r="V866" s="15" t="s">
        <v>138</v>
      </c>
      <c r="W866" s="15" t="s">
        <v>138</v>
      </c>
      <c r="X866" s="19">
        <v>2010</v>
      </c>
      <c r="Y866" s="15" t="s">
        <v>138</v>
      </c>
      <c r="Z866" s="15" t="s">
        <v>138</v>
      </c>
      <c r="AA866" s="15" t="s">
        <v>138</v>
      </c>
      <c r="AB866" s="20" t="s">
        <v>138</v>
      </c>
      <c r="AC866" s="20" t="s">
        <v>138</v>
      </c>
      <c r="AD866" s="20" t="s">
        <v>138</v>
      </c>
      <c r="AE866" s="20" t="s">
        <v>138</v>
      </c>
      <c r="AF866" s="20" t="s">
        <v>138</v>
      </c>
      <c r="AG866" s="15" t="s">
        <v>138</v>
      </c>
      <c r="AH866" s="20" t="s">
        <v>138</v>
      </c>
      <c r="AI866" s="20" t="s">
        <v>138</v>
      </c>
      <c r="AJ866" s="20" t="s">
        <v>138</v>
      </c>
      <c r="AK866" s="15" t="s">
        <v>17150</v>
      </c>
      <c r="AL866" s="15" t="s">
        <v>17151</v>
      </c>
      <c r="AM866" s="15" t="s">
        <v>11924</v>
      </c>
      <c r="AN866" s="15" t="s">
        <v>17152</v>
      </c>
      <c r="AO866" s="15" t="s">
        <v>17153</v>
      </c>
      <c r="AP866" s="15" t="s">
        <v>1870</v>
      </c>
      <c r="AQ866" s="15" t="s">
        <v>17154</v>
      </c>
      <c r="AR866" s="15" t="s">
        <v>17155</v>
      </c>
      <c r="AS866" s="15" t="s">
        <v>1872</v>
      </c>
      <c r="AT866" s="15" t="s">
        <v>200</v>
      </c>
      <c r="AU866" s="15" t="s">
        <v>17156</v>
      </c>
      <c r="AV866" s="15" t="s">
        <v>162</v>
      </c>
      <c r="AW866" s="15" t="s">
        <v>17157</v>
      </c>
      <c r="AX866" s="15" t="s">
        <v>138</v>
      </c>
      <c r="AY866" s="15" t="s">
        <v>138</v>
      </c>
      <c r="AZ866" s="15" t="s">
        <v>164</v>
      </c>
      <c r="BA866" s="15" t="s">
        <v>165</v>
      </c>
      <c r="BB866" s="15" t="s">
        <v>17158</v>
      </c>
      <c r="BC866" s="15" t="s">
        <v>17159</v>
      </c>
      <c r="BD866" s="21">
        <v>11</v>
      </c>
      <c r="BE866" s="15" t="s">
        <v>138</v>
      </c>
      <c r="BF866" s="15" t="s">
        <v>138</v>
      </c>
      <c r="BG866" s="15" t="s">
        <v>138</v>
      </c>
      <c r="BH866" s="15" t="s">
        <v>17160</v>
      </c>
      <c r="BI866" s="15" t="s">
        <v>138</v>
      </c>
      <c r="BJ866" s="15" t="s">
        <v>138</v>
      </c>
      <c r="BK866" s="15" t="s">
        <v>17161</v>
      </c>
      <c r="BL866" s="15" t="s">
        <v>17162</v>
      </c>
      <c r="BM866" s="22">
        <v>40336</v>
      </c>
      <c r="BN866" s="17">
        <v>0.85</v>
      </c>
      <c r="BO866" s="15" t="s">
        <v>172</v>
      </c>
      <c r="BP866" s="17">
        <v>1.42</v>
      </c>
      <c r="BQ866" s="15" t="s">
        <v>172</v>
      </c>
      <c r="BR866" s="15" t="s">
        <v>234</v>
      </c>
      <c r="BS866" s="15" t="s">
        <v>234</v>
      </c>
      <c r="BT866" s="15" t="s">
        <v>138</v>
      </c>
      <c r="BU866" s="15" t="s">
        <v>174</v>
      </c>
      <c r="BV866" s="15" t="s">
        <v>138</v>
      </c>
      <c r="BW866" s="15" t="s">
        <v>138</v>
      </c>
      <c r="BX866" s="15" t="s">
        <v>138</v>
      </c>
      <c r="BY866" s="15" t="s">
        <v>175</v>
      </c>
      <c r="BZ866" s="22">
        <v>43517</v>
      </c>
      <c r="CA866" s="17">
        <v>4.67</v>
      </c>
      <c r="CB866" s="15" t="s">
        <v>172</v>
      </c>
      <c r="CC866" s="17">
        <v>144.66999999999999</v>
      </c>
      <c r="CD866" s="15" t="s">
        <v>172</v>
      </c>
      <c r="CE866" s="15" t="s">
        <v>173</v>
      </c>
      <c r="CF866" s="15" t="s">
        <v>974</v>
      </c>
      <c r="CG866" s="15" t="s">
        <v>138</v>
      </c>
      <c r="CH866" s="15" t="s">
        <v>174</v>
      </c>
      <c r="CI866" s="15" t="s">
        <v>138</v>
      </c>
      <c r="CJ866" s="15" t="s">
        <v>138</v>
      </c>
      <c r="CK866" s="15" t="s">
        <v>138</v>
      </c>
      <c r="CL866" s="15" t="s">
        <v>175</v>
      </c>
      <c r="CM866" s="22">
        <v>42109</v>
      </c>
      <c r="CN866" s="17">
        <v>6</v>
      </c>
      <c r="CO866" s="23">
        <v>-0.46</v>
      </c>
      <c r="CP866" s="24">
        <v>16</v>
      </c>
      <c r="CQ866" s="23">
        <v>-0.02</v>
      </c>
      <c r="CR866" s="23">
        <v>-4.18</v>
      </c>
      <c r="CS866" s="23">
        <v>-1.03</v>
      </c>
      <c r="CT866" s="24">
        <v>15</v>
      </c>
      <c r="CU866" s="23">
        <v>0.11</v>
      </c>
      <c r="CV866" s="24">
        <v>70</v>
      </c>
      <c r="CW866" s="23">
        <v>-1.03</v>
      </c>
      <c r="CX866" s="24">
        <v>10</v>
      </c>
      <c r="CY866" s="23" t="s">
        <v>138</v>
      </c>
      <c r="CZ866" s="24" t="s">
        <v>138</v>
      </c>
      <c r="DA866" s="23">
        <v>0.01</v>
      </c>
      <c r="DB866" s="24">
        <v>57</v>
      </c>
      <c r="DC866" s="25">
        <v>6.06</v>
      </c>
      <c r="DD866" s="24">
        <v>85</v>
      </c>
      <c r="DE866" s="25">
        <v>-0.67</v>
      </c>
      <c r="DF866" s="23">
        <v>-9.9499999999999993</v>
      </c>
      <c r="DG866" s="25">
        <v>10.5</v>
      </c>
      <c r="DH866" s="24">
        <v>90</v>
      </c>
      <c r="DI866" s="25">
        <v>1.62</v>
      </c>
      <c r="DJ866" s="24">
        <v>58</v>
      </c>
      <c r="DK866" s="25">
        <v>10.5</v>
      </c>
      <c r="DL866" s="24">
        <v>87</v>
      </c>
      <c r="DM866" s="25" t="s">
        <v>138</v>
      </c>
      <c r="DN866" s="24" t="s">
        <v>138</v>
      </c>
      <c r="DO866" s="25">
        <v>2.84</v>
      </c>
      <c r="DP866" s="24">
        <v>70</v>
      </c>
      <c r="DQ866" s="24">
        <v>3540</v>
      </c>
      <c r="DR866" s="26">
        <v>184</v>
      </c>
      <c r="DS866" s="23">
        <v>5.48</v>
      </c>
      <c r="DT866" s="24" t="s">
        <v>138</v>
      </c>
      <c r="DU866" s="26" t="s">
        <v>138</v>
      </c>
      <c r="DV866" s="23" t="s">
        <v>138</v>
      </c>
      <c r="DW866" s="24">
        <v>1017</v>
      </c>
      <c r="DX866" s="27">
        <v>-2</v>
      </c>
      <c r="DY866" s="23">
        <v>-0.2</v>
      </c>
      <c r="DZ866" s="15" t="s">
        <v>178</v>
      </c>
      <c r="EA866" s="22">
        <v>43592</v>
      </c>
      <c r="EB866" s="17">
        <v>144.66999999999999</v>
      </c>
      <c r="EC866" s="22">
        <v>43517</v>
      </c>
      <c r="ED866" s="15" t="s">
        <v>173</v>
      </c>
      <c r="EE866" s="14" t="str">
        <f>HYPERLINK("https://my.pitchbook.com?c=55101-25", "View company online")</f>
        <v>View company online</v>
      </c>
    </row>
    <row r="867" spans="1:135">
      <c r="A867" s="28" t="s">
        <v>17163</v>
      </c>
      <c r="B867" s="28" t="s">
        <v>17164</v>
      </c>
      <c r="C867" s="28" t="s">
        <v>138</v>
      </c>
      <c r="D867" s="28" t="s">
        <v>138</v>
      </c>
      <c r="E867" s="28" t="s">
        <v>17165</v>
      </c>
      <c r="F867" s="28" t="s">
        <v>17163</v>
      </c>
      <c r="G867" s="28" t="s">
        <v>17166</v>
      </c>
      <c r="H867" s="28" t="s">
        <v>322</v>
      </c>
      <c r="I867" s="28" t="s">
        <v>323</v>
      </c>
      <c r="J867" s="28" t="s">
        <v>324</v>
      </c>
      <c r="K867" s="28" t="s">
        <v>2964</v>
      </c>
      <c r="L867" s="28" t="s">
        <v>17167</v>
      </c>
      <c r="M867" s="28" t="s">
        <v>17168</v>
      </c>
      <c r="N867" s="28" t="s">
        <v>147</v>
      </c>
      <c r="O867" s="29">
        <v>64.400000000000006</v>
      </c>
      <c r="P867" s="28" t="s">
        <v>148</v>
      </c>
      <c r="Q867" s="28" t="s">
        <v>149</v>
      </c>
      <c r="R867" s="28" t="s">
        <v>174</v>
      </c>
      <c r="S867" s="28" t="s">
        <v>17169</v>
      </c>
      <c r="T867" s="30">
        <v>78</v>
      </c>
      <c r="U867" s="28" t="s">
        <v>17170</v>
      </c>
      <c r="V867" s="28" t="s">
        <v>138</v>
      </c>
      <c r="W867" s="28" t="s">
        <v>138</v>
      </c>
      <c r="X867" s="31">
        <v>2012</v>
      </c>
      <c r="Y867" s="28" t="s">
        <v>138</v>
      </c>
      <c r="Z867" s="28" t="s">
        <v>138</v>
      </c>
      <c r="AA867" s="28" t="s">
        <v>138</v>
      </c>
      <c r="AB867" s="32" t="s">
        <v>138</v>
      </c>
      <c r="AC867" s="32" t="s">
        <v>138</v>
      </c>
      <c r="AD867" s="32" t="s">
        <v>138</v>
      </c>
      <c r="AE867" s="32" t="s">
        <v>138</v>
      </c>
      <c r="AF867" s="32" t="s">
        <v>138</v>
      </c>
      <c r="AG867" s="28" t="s">
        <v>138</v>
      </c>
      <c r="AH867" s="32" t="s">
        <v>138</v>
      </c>
      <c r="AI867" s="32" t="s">
        <v>138</v>
      </c>
      <c r="AJ867" s="32" t="s">
        <v>138</v>
      </c>
      <c r="AK867" s="28" t="s">
        <v>17171</v>
      </c>
      <c r="AL867" s="28" t="s">
        <v>17172</v>
      </c>
      <c r="AM867" s="28" t="s">
        <v>221</v>
      </c>
      <c r="AN867" s="28" t="s">
        <v>17173</v>
      </c>
      <c r="AO867" s="28" t="s">
        <v>17174</v>
      </c>
      <c r="AP867" s="28" t="s">
        <v>665</v>
      </c>
      <c r="AQ867" s="28" t="s">
        <v>17175</v>
      </c>
      <c r="AR867" s="28" t="s">
        <v>5012</v>
      </c>
      <c r="AS867" s="28" t="s">
        <v>668</v>
      </c>
      <c r="AT867" s="28" t="s">
        <v>200</v>
      </c>
      <c r="AU867" s="28" t="s">
        <v>669</v>
      </c>
      <c r="AV867" s="28" t="s">
        <v>162</v>
      </c>
      <c r="AW867" s="28" t="s">
        <v>17174</v>
      </c>
      <c r="AX867" s="28" t="s">
        <v>138</v>
      </c>
      <c r="AY867" s="28" t="s">
        <v>17176</v>
      </c>
      <c r="AZ867" s="28" t="s">
        <v>164</v>
      </c>
      <c r="BA867" s="28" t="s">
        <v>165</v>
      </c>
      <c r="BB867" s="28" t="s">
        <v>17177</v>
      </c>
      <c r="BC867" s="28" t="s">
        <v>17178</v>
      </c>
      <c r="BD867" s="33">
        <v>16</v>
      </c>
      <c r="BE867" s="28" t="s">
        <v>138</v>
      </c>
      <c r="BF867" s="28" t="s">
        <v>138</v>
      </c>
      <c r="BG867" s="28" t="s">
        <v>138</v>
      </c>
      <c r="BH867" s="28" t="s">
        <v>17179</v>
      </c>
      <c r="BI867" s="28" t="s">
        <v>138</v>
      </c>
      <c r="BJ867" s="28" t="s">
        <v>138</v>
      </c>
      <c r="BK867" s="28" t="s">
        <v>1691</v>
      </c>
      <c r="BL867" s="28" t="s">
        <v>17180</v>
      </c>
      <c r="BM867" s="34" t="s">
        <v>138</v>
      </c>
      <c r="BN867" s="29" t="s">
        <v>138</v>
      </c>
      <c r="BO867" s="28" t="s">
        <v>138</v>
      </c>
      <c r="BP867" s="29" t="s">
        <v>138</v>
      </c>
      <c r="BQ867" s="28" t="s">
        <v>138</v>
      </c>
      <c r="BR867" s="28" t="s">
        <v>316</v>
      </c>
      <c r="BS867" s="28" t="s">
        <v>138</v>
      </c>
      <c r="BT867" s="28" t="s">
        <v>138</v>
      </c>
      <c r="BU867" s="28" t="s">
        <v>177</v>
      </c>
      <c r="BV867" s="28" t="s">
        <v>138</v>
      </c>
      <c r="BW867" s="28" t="s">
        <v>138</v>
      </c>
      <c r="BX867" s="28" t="s">
        <v>138</v>
      </c>
      <c r="BY867" s="28" t="s">
        <v>175</v>
      </c>
      <c r="BZ867" s="34">
        <v>43340</v>
      </c>
      <c r="CA867" s="29">
        <v>30</v>
      </c>
      <c r="CB867" s="28" t="s">
        <v>172</v>
      </c>
      <c r="CC867" s="29">
        <v>345</v>
      </c>
      <c r="CD867" s="28" t="s">
        <v>172</v>
      </c>
      <c r="CE867" s="28" t="s">
        <v>173</v>
      </c>
      <c r="CF867" s="28" t="s">
        <v>317</v>
      </c>
      <c r="CG867" s="28" t="s">
        <v>138</v>
      </c>
      <c r="CH867" s="28" t="s">
        <v>174</v>
      </c>
      <c r="CI867" s="28" t="s">
        <v>138</v>
      </c>
      <c r="CJ867" s="28" t="s">
        <v>138</v>
      </c>
      <c r="CK867" s="28" t="s">
        <v>138</v>
      </c>
      <c r="CL867" s="28" t="s">
        <v>175</v>
      </c>
      <c r="CM867" s="34" t="s">
        <v>138</v>
      </c>
      <c r="CN867" s="29" t="s">
        <v>138</v>
      </c>
      <c r="CO867" s="35">
        <v>0.17</v>
      </c>
      <c r="CP867" s="36">
        <v>92</v>
      </c>
      <c r="CQ867" s="35">
        <v>0.01</v>
      </c>
      <c r="CR867" s="35">
        <v>3.09</v>
      </c>
      <c r="CS867" s="35">
        <v>0.02</v>
      </c>
      <c r="CT867" s="36">
        <v>93</v>
      </c>
      <c r="CU867" s="35">
        <v>0.32</v>
      </c>
      <c r="CV867" s="36">
        <v>88</v>
      </c>
      <c r="CW867" s="35">
        <v>0.05</v>
      </c>
      <c r="CX867" s="36">
        <v>80</v>
      </c>
      <c r="CY867" s="35">
        <v>0</v>
      </c>
      <c r="CZ867" s="36">
        <v>25</v>
      </c>
      <c r="DA867" s="35">
        <v>0.32</v>
      </c>
      <c r="DB867" s="36">
        <v>89</v>
      </c>
      <c r="DC867" s="37">
        <v>11.11</v>
      </c>
      <c r="DD867" s="36">
        <v>91</v>
      </c>
      <c r="DE867" s="37">
        <v>-1.21</v>
      </c>
      <c r="DF867" s="35">
        <v>-9.8000000000000007</v>
      </c>
      <c r="DG867" s="37">
        <v>19.21</v>
      </c>
      <c r="DH867" s="36">
        <v>94</v>
      </c>
      <c r="DI867" s="37">
        <v>3</v>
      </c>
      <c r="DJ867" s="36">
        <v>70</v>
      </c>
      <c r="DK867" s="37">
        <v>38.01</v>
      </c>
      <c r="DL867" s="36">
        <v>95</v>
      </c>
      <c r="DM867" s="37">
        <v>0.41</v>
      </c>
      <c r="DN867" s="36">
        <v>30</v>
      </c>
      <c r="DO867" s="37">
        <v>3</v>
      </c>
      <c r="DP867" s="36">
        <v>71</v>
      </c>
      <c r="DQ867" s="36">
        <v>13186</v>
      </c>
      <c r="DR867" s="38">
        <v>-447</v>
      </c>
      <c r="DS867" s="35">
        <v>-3.28</v>
      </c>
      <c r="DT867" s="36">
        <v>12</v>
      </c>
      <c r="DU867" s="38">
        <v>0</v>
      </c>
      <c r="DV867" s="35">
        <v>0</v>
      </c>
      <c r="DW867" s="36">
        <v>1073</v>
      </c>
      <c r="DX867" s="39">
        <v>6</v>
      </c>
      <c r="DY867" s="35">
        <v>0.56000000000000005</v>
      </c>
      <c r="DZ867" s="28" t="s">
        <v>178</v>
      </c>
      <c r="EA867" s="34">
        <v>43571</v>
      </c>
      <c r="EB867" s="29">
        <v>345</v>
      </c>
      <c r="EC867" s="34">
        <v>43340</v>
      </c>
      <c r="ED867" s="28" t="s">
        <v>173</v>
      </c>
      <c r="EE867" s="40" t="str">
        <f>HYPERLINK("https://my.pitchbook.com?c=90310-69", "View company online")</f>
        <v>View company online</v>
      </c>
    </row>
    <row r="868" spans="1:135">
      <c r="A868" s="15" t="s">
        <v>17181</v>
      </c>
      <c r="B868" s="15" t="s">
        <v>17182</v>
      </c>
      <c r="C868" s="15" t="s">
        <v>17183</v>
      </c>
      <c r="D868" s="15" t="s">
        <v>138</v>
      </c>
      <c r="E868" s="15" t="s">
        <v>138</v>
      </c>
      <c r="F868" s="15" t="s">
        <v>17181</v>
      </c>
      <c r="G868" s="15" t="s">
        <v>17184</v>
      </c>
      <c r="H868" s="15" t="s">
        <v>141</v>
      </c>
      <c r="I868" s="15" t="s">
        <v>212</v>
      </c>
      <c r="J868" s="15" t="s">
        <v>213</v>
      </c>
      <c r="K868" s="15" t="s">
        <v>8619</v>
      </c>
      <c r="L868" s="15" t="s">
        <v>17185</v>
      </c>
      <c r="M868" s="15" t="s">
        <v>17186</v>
      </c>
      <c r="N868" s="15" t="s">
        <v>147</v>
      </c>
      <c r="O868" s="17">
        <v>3.1</v>
      </c>
      <c r="P868" s="15" t="s">
        <v>610</v>
      </c>
      <c r="Q868" s="15" t="s">
        <v>149</v>
      </c>
      <c r="R868" s="15" t="s">
        <v>174</v>
      </c>
      <c r="S868" s="15" t="s">
        <v>17187</v>
      </c>
      <c r="T868" s="18">
        <v>35</v>
      </c>
      <c r="U868" s="15" t="s">
        <v>17188</v>
      </c>
      <c r="V868" s="15" t="s">
        <v>138</v>
      </c>
      <c r="W868" s="15" t="s">
        <v>138</v>
      </c>
      <c r="X868" s="19">
        <v>2015</v>
      </c>
      <c r="Y868" s="15" t="s">
        <v>138</v>
      </c>
      <c r="Z868" s="15" t="s">
        <v>138</v>
      </c>
      <c r="AA868" s="15" t="s">
        <v>138</v>
      </c>
      <c r="AB868" s="20" t="s">
        <v>138</v>
      </c>
      <c r="AC868" s="20" t="s">
        <v>138</v>
      </c>
      <c r="AD868" s="20" t="s">
        <v>138</v>
      </c>
      <c r="AE868" s="20" t="s">
        <v>138</v>
      </c>
      <c r="AF868" s="20" t="s">
        <v>138</v>
      </c>
      <c r="AG868" s="15" t="s">
        <v>138</v>
      </c>
      <c r="AH868" s="20" t="s">
        <v>138</v>
      </c>
      <c r="AI868" s="20" t="s">
        <v>138</v>
      </c>
      <c r="AJ868" s="20" t="s">
        <v>138</v>
      </c>
      <c r="AK868" s="15" t="s">
        <v>17189</v>
      </c>
      <c r="AL868" s="15" t="s">
        <v>17190</v>
      </c>
      <c r="AM868" s="15" t="s">
        <v>986</v>
      </c>
      <c r="AN868" s="15" t="s">
        <v>17191</v>
      </c>
      <c r="AO868" s="15" t="s">
        <v>138</v>
      </c>
      <c r="AP868" s="15" t="s">
        <v>423</v>
      </c>
      <c r="AQ868" s="15" t="s">
        <v>12773</v>
      </c>
      <c r="AR868" s="15" t="s">
        <v>138</v>
      </c>
      <c r="AS868" s="15" t="s">
        <v>426</v>
      </c>
      <c r="AT868" s="15" t="s">
        <v>426</v>
      </c>
      <c r="AU868" s="15" t="s">
        <v>9016</v>
      </c>
      <c r="AV868" s="15" t="s">
        <v>162</v>
      </c>
      <c r="AW868" s="15" t="s">
        <v>138</v>
      </c>
      <c r="AX868" s="15" t="s">
        <v>138</v>
      </c>
      <c r="AY868" s="15" t="s">
        <v>17192</v>
      </c>
      <c r="AZ868" s="15" t="s">
        <v>164</v>
      </c>
      <c r="BA868" s="15" t="s">
        <v>165</v>
      </c>
      <c r="BB868" s="15" t="s">
        <v>16598</v>
      </c>
      <c r="BC868" s="15" t="s">
        <v>17193</v>
      </c>
      <c r="BD868" s="21">
        <v>9</v>
      </c>
      <c r="BE868" s="15" t="s">
        <v>138</v>
      </c>
      <c r="BF868" s="15" t="s">
        <v>138</v>
      </c>
      <c r="BG868" s="15" t="s">
        <v>138</v>
      </c>
      <c r="BH868" s="15" t="s">
        <v>17194</v>
      </c>
      <c r="BI868" s="15" t="s">
        <v>138</v>
      </c>
      <c r="BJ868" s="15" t="s">
        <v>138</v>
      </c>
      <c r="BK868" s="15" t="s">
        <v>138</v>
      </c>
      <c r="BL868" s="15" t="s">
        <v>138</v>
      </c>
      <c r="BM868" s="22" t="s">
        <v>138</v>
      </c>
      <c r="BN868" s="17" t="s">
        <v>138</v>
      </c>
      <c r="BO868" s="15" t="s">
        <v>138</v>
      </c>
      <c r="BP868" s="17" t="s">
        <v>138</v>
      </c>
      <c r="BQ868" s="15" t="s">
        <v>138</v>
      </c>
      <c r="BR868" s="15" t="s">
        <v>316</v>
      </c>
      <c r="BS868" s="15" t="s">
        <v>138</v>
      </c>
      <c r="BT868" s="15" t="s">
        <v>138</v>
      </c>
      <c r="BU868" s="15" t="s">
        <v>177</v>
      </c>
      <c r="BV868" s="15" t="s">
        <v>138</v>
      </c>
      <c r="BW868" s="15" t="s">
        <v>138</v>
      </c>
      <c r="BX868" s="15" t="s">
        <v>138</v>
      </c>
      <c r="BY868" s="15" t="s">
        <v>175</v>
      </c>
      <c r="BZ868" s="22">
        <v>43327</v>
      </c>
      <c r="CA868" s="17" t="s">
        <v>138</v>
      </c>
      <c r="CB868" s="15" t="s">
        <v>138</v>
      </c>
      <c r="CC868" s="17" t="s">
        <v>138</v>
      </c>
      <c r="CD868" s="15" t="s">
        <v>138</v>
      </c>
      <c r="CE868" s="15" t="s">
        <v>316</v>
      </c>
      <c r="CF868" s="15" t="s">
        <v>138</v>
      </c>
      <c r="CG868" s="15" t="s">
        <v>138</v>
      </c>
      <c r="CH868" s="15" t="s">
        <v>177</v>
      </c>
      <c r="CI868" s="15" t="s">
        <v>138</v>
      </c>
      <c r="CJ868" s="15" t="s">
        <v>138</v>
      </c>
      <c r="CK868" s="15" t="s">
        <v>138</v>
      </c>
      <c r="CL868" s="15" t="s">
        <v>175</v>
      </c>
      <c r="CM868" s="22" t="s">
        <v>138</v>
      </c>
      <c r="CN868" s="17" t="s">
        <v>138</v>
      </c>
      <c r="CO868" s="23">
        <v>0.47</v>
      </c>
      <c r="CP868" s="24">
        <v>95</v>
      </c>
      <c r="CQ868" s="23">
        <v>0.15</v>
      </c>
      <c r="CR868" s="23">
        <v>45.94</v>
      </c>
      <c r="CS868" s="23">
        <v>0.54</v>
      </c>
      <c r="CT868" s="24">
        <v>95</v>
      </c>
      <c r="CU868" s="23">
        <v>0.4</v>
      </c>
      <c r="CV868" s="24">
        <v>91</v>
      </c>
      <c r="CW868" s="23">
        <v>1.08</v>
      </c>
      <c r="CX868" s="24">
        <v>85</v>
      </c>
      <c r="CY868" s="23">
        <v>0</v>
      </c>
      <c r="CZ868" s="24">
        <v>25</v>
      </c>
      <c r="DA868" s="23">
        <v>0.4</v>
      </c>
      <c r="DB868" s="24">
        <v>92</v>
      </c>
      <c r="DC868" s="25">
        <v>1.59</v>
      </c>
      <c r="DD868" s="24">
        <v>62</v>
      </c>
      <c r="DE868" s="25">
        <v>-0.16</v>
      </c>
      <c r="DF868" s="23">
        <v>-8.98</v>
      </c>
      <c r="DG868" s="25">
        <v>2.82</v>
      </c>
      <c r="DH868" s="24">
        <v>73</v>
      </c>
      <c r="DI868" s="25">
        <v>0.37</v>
      </c>
      <c r="DJ868" s="24">
        <v>31</v>
      </c>
      <c r="DK868" s="25">
        <v>5.01</v>
      </c>
      <c r="DL868" s="24">
        <v>79</v>
      </c>
      <c r="DM868" s="25">
        <v>0.62</v>
      </c>
      <c r="DN868" s="24">
        <v>39</v>
      </c>
      <c r="DO868" s="25">
        <v>0.37</v>
      </c>
      <c r="DP868" s="24">
        <v>33</v>
      </c>
      <c r="DQ868" s="24">
        <v>1754</v>
      </c>
      <c r="DR868" s="26">
        <v>-101</v>
      </c>
      <c r="DS868" s="23">
        <v>-5.44</v>
      </c>
      <c r="DT868" s="24">
        <v>18</v>
      </c>
      <c r="DU868" s="26">
        <v>0</v>
      </c>
      <c r="DV868" s="23">
        <v>0</v>
      </c>
      <c r="DW868" s="24">
        <v>130</v>
      </c>
      <c r="DX868" s="27">
        <v>3</v>
      </c>
      <c r="DY868" s="23">
        <v>2.36</v>
      </c>
      <c r="DZ868" s="15" t="s">
        <v>178</v>
      </c>
      <c r="EA868" s="22">
        <v>43584</v>
      </c>
      <c r="EB868" s="17">
        <v>10.4</v>
      </c>
      <c r="EC868" s="22">
        <v>42309</v>
      </c>
      <c r="ED868" s="15" t="s">
        <v>234</v>
      </c>
      <c r="EE868" s="14" t="str">
        <f>HYPERLINK("https://my.pitchbook.com?c=119745-64", "View company online")</f>
        <v>View company online</v>
      </c>
    </row>
    <row r="869" spans="1:135">
      <c r="A869" s="28" t="s">
        <v>17195</v>
      </c>
      <c r="B869" s="28" t="s">
        <v>17196</v>
      </c>
      <c r="C869" s="28" t="s">
        <v>138</v>
      </c>
      <c r="D869" s="28" t="s">
        <v>138</v>
      </c>
      <c r="E869" s="28" t="s">
        <v>17197</v>
      </c>
      <c r="F869" s="28" t="s">
        <v>17195</v>
      </c>
      <c r="G869" s="28" t="s">
        <v>17198</v>
      </c>
      <c r="H869" s="28" t="s">
        <v>322</v>
      </c>
      <c r="I869" s="28" t="s">
        <v>1208</v>
      </c>
      <c r="J869" s="28" t="s">
        <v>1209</v>
      </c>
      <c r="K869" s="28" t="s">
        <v>1971</v>
      </c>
      <c r="L869" s="28" t="s">
        <v>17199</v>
      </c>
      <c r="M869" s="28" t="s">
        <v>17200</v>
      </c>
      <c r="N869" s="28" t="s">
        <v>147</v>
      </c>
      <c r="O869" s="29">
        <v>150.32</v>
      </c>
      <c r="P869" s="28" t="s">
        <v>148</v>
      </c>
      <c r="Q869" s="28" t="s">
        <v>149</v>
      </c>
      <c r="R869" s="28" t="s">
        <v>174</v>
      </c>
      <c r="S869" s="28" t="s">
        <v>17201</v>
      </c>
      <c r="T869" s="30">
        <v>66</v>
      </c>
      <c r="U869" s="28" t="s">
        <v>17202</v>
      </c>
      <c r="V869" s="28" t="s">
        <v>138</v>
      </c>
      <c r="W869" s="28" t="s">
        <v>138</v>
      </c>
      <c r="X869" s="31">
        <v>2001</v>
      </c>
      <c r="Y869" s="28" t="s">
        <v>138</v>
      </c>
      <c r="Z869" s="28" t="s">
        <v>138</v>
      </c>
      <c r="AA869" s="28" t="s">
        <v>138</v>
      </c>
      <c r="AB869" s="32">
        <v>15.9</v>
      </c>
      <c r="AC869" s="32" t="s">
        <v>138</v>
      </c>
      <c r="AD869" s="32" t="s">
        <v>138</v>
      </c>
      <c r="AE869" s="32" t="s">
        <v>138</v>
      </c>
      <c r="AF869" s="32" t="s">
        <v>138</v>
      </c>
      <c r="AG869" s="28" t="s">
        <v>5263</v>
      </c>
      <c r="AH869" s="32" t="s">
        <v>138</v>
      </c>
      <c r="AI869" s="32" t="s">
        <v>138</v>
      </c>
      <c r="AJ869" s="32" t="s">
        <v>138</v>
      </c>
      <c r="AK869" s="28" t="s">
        <v>17203</v>
      </c>
      <c r="AL869" s="28" t="s">
        <v>17204</v>
      </c>
      <c r="AM869" s="28" t="s">
        <v>14064</v>
      </c>
      <c r="AN869" s="28" t="s">
        <v>17205</v>
      </c>
      <c r="AO869" s="28" t="s">
        <v>17206</v>
      </c>
      <c r="AP869" s="28" t="s">
        <v>8835</v>
      </c>
      <c r="AQ869" s="28" t="s">
        <v>17207</v>
      </c>
      <c r="AR869" s="28" t="s">
        <v>138</v>
      </c>
      <c r="AS869" s="28" t="s">
        <v>8837</v>
      </c>
      <c r="AT869" s="28" t="s">
        <v>864</v>
      </c>
      <c r="AU869" s="28" t="s">
        <v>8838</v>
      </c>
      <c r="AV869" s="28" t="s">
        <v>162</v>
      </c>
      <c r="AW869" s="28" t="s">
        <v>17208</v>
      </c>
      <c r="AX869" s="28" t="s">
        <v>138</v>
      </c>
      <c r="AY869" s="28" t="s">
        <v>17209</v>
      </c>
      <c r="AZ869" s="28" t="s">
        <v>164</v>
      </c>
      <c r="BA869" s="28" t="s">
        <v>165</v>
      </c>
      <c r="BB869" s="28" t="s">
        <v>17210</v>
      </c>
      <c r="BC869" s="28" t="s">
        <v>17211</v>
      </c>
      <c r="BD869" s="33">
        <v>20</v>
      </c>
      <c r="BE869" s="28" t="s">
        <v>138</v>
      </c>
      <c r="BF869" s="28" t="s">
        <v>17212</v>
      </c>
      <c r="BG869" s="28" t="s">
        <v>138</v>
      </c>
      <c r="BH869" s="28" t="s">
        <v>17213</v>
      </c>
      <c r="BI869" s="28" t="s">
        <v>138</v>
      </c>
      <c r="BJ869" s="28" t="s">
        <v>138</v>
      </c>
      <c r="BK869" s="28" t="s">
        <v>1038</v>
      </c>
      <c r="BL869" s="28" t="s">
        <v>1038</v>
      </c>
      <c r="BM869" s="34">
        <v>37165</v>
      </c>
      <c r="BN869" s="29">
        <v>6</v>
      </c>
      <c r="BO869" s="28" t="s">
        <v>172</v>
      </c>
      <c r="BP869" s="29">
        <v>10.9</v>
      </c>
      <c r="BQ869" s="28" t="s">
        <v>172</v>
      </c>
      <c r="BR869" s="28" t="s">
        <v>205</v>
      </c>
      <c r="BS869" s="28" t="s">
        <v>206</v>
      </c>
      <c r="BT869" s="28" t="s">
        <v>138</v>
      </c>
      <c r="BU869" s="28" t="s">
        <v>174</v>
      </c>
      <c r="BV869" s="28" t="s">
        <v>138</v>
      </c>
      <c r="BW869" s="28" t="s">
        <v>138</v>
      </c>
      <c r="BX869" s="28" t="s">
        <v>138</v>
      </c>
      <c r="BY869" s="28" t="s">
        <v>175</v>
      </c>
      <c r="BZ869" s="34">
        <v>43383</v>
      </c>
      <c r="CA869" s="29">
        <v>29.7</v>
      </c>
      <c r="CB869" s="28" t="s">
        <v>172</v>
      </c>
      <c r="CC869" s="29">
        <v>400</v>
      </c>
      <c r="CD869" s="28" t="s">
        <v>1178</v>
      </c>
      <c r="CE869" s="28" t="s">
        <v>173</v>
      </c>
      <c r="CF869" s="28" t="s">
        <v>1897</v>
      </c>
      <c r="CG869" s="28" t="s">
        <v>138</v>
      </c>
      <c r="CH869" s="28" t="s">
        <v>174</v>
      </c>
      <c r="CI869" s="28" t="s">
        <v>177</v>
      </c>
      <c r="CJ869" s="28" t="s">
        <v>138</v>
      </c>
      <c r="CK869" s="28" t="s">
        <v>138</v>
      </c>
      <c r="CL869" s="28" t="s">
        <v>175</v>
      </c>
      <c r="CM869" s="34" t="s">
        <v>138</v>
      </c>
      <c r="CN869" s="29" t="s">
        <v>138</v>
      </c>
      <c r="CO869" s="35">
        <v>-0.5</v>
      </c>
      <c r="CP869" s="36">
        <v>16</v>
      </c>
      <c r="CQ869" s="35">
        <v>0.04</v>
      </c>
      <c r="CR869" s="35">
        <v>7.4</v>
      </c>
      <c r="CS869" s="35">
        <v>-0.92</v>
      </c>
      <c r="CT869" s="36">
        <v>16</v>
      </c>
      <c r="CU869" s="35">
        <v>-0.08</v>
      </c>
      <c r="CV869" s="36">
        <v>5</v>
      </c>
      <c r="CW869" s="35">
        <v>0</v>
      </c>
      <c r="CX869" s="36">
        <v>13</v>
      </c>
      <c r="CY869" s="35">
        <v>-1.83</v>
      </c>
      <c r="CZ869" s="36">
        <v>12</v>
      </c>
      <c r="DA869" s="35">
        <v>-0.08</v>
      </c>
      <c r="DB869" s="36">
        <v>8</v>
      </c>
      <c r="DC869" s="37">
        <v>3.65</v>
      </c>
      <c r="DD869" s="36">
        <v>78</v>
      </c>
      <c r="DE869" s="37">
        <v>-0.01</v>
      </c>
      <c r="DF869" s="35">
        <v>-0.2</v>
      </c>
      <c r="DG869" s="37">
        <v>5.95</v>
      </c>
      <c r="DH869" s="36">
        <v>84</v>
      </c>
      <c r="DI869" s="37">
        <v>1.35</v>
      </c>
      <c r="DJ869" s="36">
        <v>55</v>
      </c>
      <c r="DK869" s="37">
        <v>0.97</v>
      </c>
      <c r="DL869" s="36">
        <v>50</v>
      </c>
      <c r="DM869" s="37">
        <v>10.93</v>
      </c>
      <c r="DN869" s="36">
        <v>89</v>
      </c>
      <c r="DO869" s="37">
        <v>1.35</v>
      </c>
      <c r="DP869" s="36">
        <v>56</v>
      </c>
      <c r="DQ869" s="36">
        <v>315</v>
      </c>
      <c r="DR869" s="38">
        <v>49</v>
      </c>
      <c r="DS869" s="35">
        <v>18.420000000000002</v>
      </c>
      <c r="DT869" s="36">
        <v>316</v>
      </c>
      <c r="DU869" s="38">
        <v>1</v>
      </c>
      <c r="DV869" s="35">
        <v>0.32</v>
      </c>
      <c r="DW869" s="36">
        <v>480</v>
      </c>
      <c r="DX869" s="39">
        <v>0</v>
      </c>
      <c r="DY869" s="35">
        <v>0</v>
      </c>
      <c r="DZ869" s="28" t="s">
        <v>178</v>
      </c>
      <c r="EA869" s="34">
        <v>43567</v>
      </c>
      <c r="EB869" s="29">
        <v>400</v>
      </c>
      <c r="EC869" s="34">
        <v>43383</v>
      </c>
      <c r="ED869" s="28" t="s">
        <v>173</v>
      </c>
      <c r="EE869" s="40" t="str">
        <f>HYPERLINK("https://my.pitchbook.com?c=51232-24", "View company online")</f>
        <v>View company online</v>
      </c>
    </row>
    <row r="870" spans="1:135">
      <c r="A870" s="15" t="s">
        <v>17214</v>
      </c>
      <c r="B870" s="15" t="s">
        <v>17215</v>
      </c>
      <c r="C870" s="15" t="s">
        <v>138</v>
      </c>
      <c r="D870" s="15" t="s">
        <v>138</v>
      </c>
      <c r="E870" s="15" t="s">
        <v>17216</v>
      </c>
      <c r="F870" s="15" t="s">
        <v>17214</v>
      </c>
      <c r="G870" s="15" t="s">
        <v>17217</v>
      </c>
      <c r="H870" s="15" t="s">
        <v>322</v>
      </c>
      <c r="I870" s="15" t="s">
        <v>1503</v>
      </c>
      <c r="J870" s="15" t="s">
        <v>1836</v>
      </c>
      <c r="K870" s="15" t="s">
        <v>17218</v>
      </c>
      <c r="L870" s="15" t="s">
        <v>5395</v>
      </c>
      <c r="M870" s="15" t="s">
        <v>17219</v>
      </c>
      <c r="N870" s="15" t="s">
        <v>147</v>
      </c>
      <c r="O870" s="17">
        <v>189.84</v>
      </c>
      <c r="P870" s="15" t="s">
        <v>148</v>
      </c>
      <c r="Q870" s="15" t="s">
        <v>149</v>
      </c>
      <c r="R870" s="15" t="s">
        <v>244</v>
      </c>
      <c r="S870" s="15" t="s">
        <v>17220</v>
      </c>
      <c r="T870" s="18">
        <v>120</v>
      </c>
      <c r="U870" s="15" t="s">
        <v>17221</v>
      </c>
      <c r="V870" s="15" t="s">
        <v>138</v>
      </c>
      <c r="W870" s="15" t="s">
        <v>138</v>
      </c>
      <c r="X870" s="19">
        <v>2001</v>
      </c>
      <c r="Y870" s="15" t="s">
        <v>138</v>
      </c>
      <c r="Z870" s="15" t="s">
        <v>138</v>
      </c>
      <c r="AA870" s="15" t="s">
        <v>1163</v>
      </c>
      <c r="AB870" s="20">
        <v>11.56</v>
      </c>
      <c r="AC870" s="20" t="s">
        <v>138</v>
      </c>
      <c r="AD870" s="20" t="s">
        <v>138</v>
      </c>
      <c r="AE870" s="20" t="s">
        <v>138</v>
      </c>
      <c r="AF870" s="20" t="s">
        <v>138</v>
      </c>
      <c r="AG870" s="15" t="s">
        <v>11002</v>
      </c>
      <c r="AH870" s="20" t="s">
        <v>138</v>
      </c>
      <c r="AI870" s="20" t="s">
        <v>138</v>
      </c>
      <c r="AJ870" s="20" t="s">
        <v>138</v>
      </c>
      <c r="AK870" s="15" t="s">
        <v>17222</v>
      </c>
      <c r="AL870" s="15" t="s">
        <v>17223</v>
      </c>
      <c r="AM870" s="15" t="s">
        <v>249</v>
      </c>
      <c r="AN870" s="15" t="s">
        <v>17224</v>
      </c>
      <c r="AO870" s="15" t="s">
        <v>17225</v>
      </c>
      <c r="AP870" s="15" t="s">
        <v>12063</v>
      </c>
      <c r="AQ870" s="15" t="s">
        <v>17226</v>
      </c>
      <c r="AR870" s="15" t="s">
        <v>138</v>
      </c>
      <c r="AS870" s="15" t="s">
        <v>12065</v>
      </c>
      <c r="AT870" s="15" t="s">
        <v>200</v>
      </c>
      <c r="AU870" s="15" t="s">
        <v>12066</v>
      </c>
      <c r="AV870" s="15" t="s">
        <v>162</v>
      </c>
      <c r="AW870" s="15" t="s">
        <v>17225</v>
      </c>
      <c r="AX870" s="15" t="s">
        <v>17227</v>
      </c>
      <c r="AY870" s="15" t="s">
        <v>17228</v>
      </c>
      <c r="AZ870" s="15" t="s">
        <v>164</v>
      </c>
      <c r="BA870" s="15" t="s">
        <v>165</v>
      </c>
      <c r="BB870" s="15" t="s">
        <v>17229</v>
      </c>
      <c r="BC870" s="15" t="s">
        <v>17230</v>
      </c>
      <c r="BD870" s="21">
        <v>32</v>
      </c>
      <c r="BE870" s="15" t="s">
        <v>138</v>
      </c>
      <c r="BF870" s="15" t="s">
        <v>138</v>
      </c>
      <c r="BG870" s="15" t="s">
        <v>138</v>
      </c>
      <c r="BH870" s="15" t="s">
        <v>17231</v>
      </c>
      <c r="BI870" s="15" t="s">
        <v>138</v>
      </c>
      <c r="BJ870" s="15" t="s">
        <v>138</v>
      </c>
      <c r="BK870" s="15" t="s">
        <v>17232</v>
      </c>
      <c r="BL870" s="15" t="s">
        <v>17233</v>
      </c>
      <c r="BM870" s="22" t="s">
        <v>138</v>
      </c>
      <c r="BN870" s="17" t="s">
        <v>138</v>
      </c>
      <c r="BO870" s="15" t="s">
        <v>138</v>
      </c>
      <c r="BP870" s="17" t="s">
        <v>138</v>
      </c>
      <c r="BQ870" s="15" t="s">
        <v>138</v>
      </c>
      <c r="BR870" s="15" t="s">
        <v>316</v>
      </c>
      <c r="BS870" s="15" t="s">
        <v>138</v>
      </c>
      <c r="BT870" s="15" t="s">
        <v>138</v>
      </c>
      <c r="BU870" s="15" t="s">
        <v>177</v>
      </c>
      <c r="BV870" s="15" t="s">
        <v>138</v>
      </c>
      <c r="BW870" s="15" t="s">
        <v>138</v>
      </c>
      <c r="BX870" s="15" t="s">
        <v>138</v>
      </c>
      <c r="BY870" s="15" t="s">
        <v>175</v>
      </c>
      <c r="BZ870" s="22">
        <v>43321</v>
      </c>
      <c r="CA870" s="17">
        <v>10</v>
      </c>
      <c r="CB870" s="15" t="s">
        <v>172</v>
      </c>
      <c r="CC870" s="17">
        <v>230</v>
      </c>
      <c r="CD870" s="15" t="s">
        <v>172</v>
      </c>
      <c r="CE870" s="15" t="s">
        <v>173</v>
      </c>
      <c r="CF870" s="15" t="s">
        <v>138</v>
      </c>
      <c r="CG870" s="15" t="s">
        <v>138</v>
      </c>
      <c r="CH870" s="15" t="s">
        <v>174</v>
      </c>
      <c r="CI870" s="15" t="s">
        <v>138</v>
      </c>
      <c r="CJ870" s="15" t="s">
        <v>138</v>
      </c>
      <c r="CK870" s="15" t="s">
        <v>138</v>
      </c>
      <c r="CL870" s="15" t="s">
        <v>175</v>
      </c>
      <c r="CM870" s="22">
        <v>42458</v>
      </c>
      <c r="CN870" s="17">
        <v>10</v>
      </c>
      <c r="CO870" s="23">
        <v>-1.9</v>
      </c>
      <c r="CP870" s="24">
        <v>6</v>
      </c>
      <c r="CQ870" s="23">
        <v>0.02</v>
      </c>
      <c r="CR870" s="23">
        <v>1.18</v>
      </c>
      <c r="CS870" s="23">
        <v>-4.0599999999999996</v>
      </c>
      <c r="CT870" s="24">
        <v>3</v>
      </c>
      <c r="CU870" s="23">
        <v>0.25</v>
      </c>
      <c r="CV870" s="24">
        <v>84</v>
      </c>
      <c r="CW870" s="23">
        <v>-5.27</v>
      </c>
      <c r="CX870" s="24">
        <v>3</v>
      </c>
      <c r="CY870" s="23">
        <v>-2.85</v>
      </c>
      <c r="CZ870" s="24">
        <v>7</v>
      </c>
      <c r="DA870" s="23">
        <v>0.25</v>
      </c>
      <c r="DB870" s="24">
        <v>86</v>
      </c>
      <c r="DC870" s="25">
        <v>7.99</v>
      </c>
      <c r="DD870" s="24">
        <v>88</v>
      </c>
      <c r="DE870" s="25">
        <v>-7.0000000000000007E-2</v>
      </c>
      <c r="DF870" s="23">
        <v>-0.85</v>
      </c>
      <c r="DG870" s="25">
        <v>12.24</v>
      </c>
      <c r="DH870" s="24">
        <v>91</v>
      </c>
      <c r="DI870" s="25">
        <v>3.75</v>
      </c>
      <c r="DJ870" s="24">
        <v>73</v>
      </c>
      <c r="DK870" s="25">
        <v>2.82</v>
      </c>
      <c r="DL870" s="24">
        <v>70</v>
      </c>
      <c r="DM870" s="25">
        <v>21.66</v>
      </c>
      <c r="DN870" s="24">
        <v>95</v>
      </c>
      <c r="DO870" s="25">
        <v>3.75</v>
      </c>
      <c r="DP870" s="24">
        <v>75</v>
      </c>
      <c r="DQ870" s="24">
        <v>958</v>
      </c>
      <c r="DR870" s="26">
        <v>27</v>
      </c>
      <c r="DS870" s="23">
        <v>2.9</v>
      </c>
      <c r="DT870" s="24">
        <v>627</v>
      </c>
      <c r="DU870" s="26">
        <v>-2</v>
      </c>
      <c r="DV870" s="23">
        <v>-0.32</v>
      </c>
      <c r="DW870" s="24">
        <v>1341</v>
      </c>
      <c r="DX870" s="27">
        <v>4</v>
      </c>
      <c r="DY870" s="23">
        <v>0.3</v>
      </c>
      <c r="DZ870" s="15" t="s">
        <v>178</v>
      </c>
      <c r="EA870" s="22">
        <v>43622</v>
      </c>
      <c r="EB870" s="17">
        <v>230</v>
      </c>
      <c r="EC870" s="22">
        <v>43321</v>
      </c>
      <c r="ED870" s="15" t="s">
        <v>173</v>
      </c>
      <c r="EE870" s="14" t="str">
        <f>HYPERLINK("https://my.pitchbook.com?c=50754-52", "View company online")</f>
        <v>View company online</v>
      </c>
    </row>
    <row r="871" spans="1:135">
      <c r="A871" s="28" t="s">
        <v>17234</v>
      </c>
      <c r="B871" s="28" t="s">
        <v>17235</v>
      </c>
      <c r="C871" s="28" t="s">
        <v>138</v>
      </c>
      <c r="D871" s="28" t="s">
        <v>138</v>
      </c>
      <c r="E871" s="28" t="s">
        <v>17236</v>
      </c>
      <c r="F871" s="28" t="s">
        <v>17234</v>
      </c>
      <c r="G871" s="28" t="s">
        <v>17237</v>
      </c>
      <c r="H871" s="28" t="s">
        <v>141</v>
      </c>
      <c r="I871" s="28" t="s">
        <v>142</v>
      </c>
      <c r="J871" s="28" t="s">
        <v>143</v>
      </c>
      <c r="K871" s="28" t="s">
        <v>17238</v>
      </c>
      <c r="L871" s="28" t="s">
        <v>5395</v>
      </c>
      <c r="M871" s="28" t="s">
        <v>17239</v>
      </c>
      <c r="N871" s="28" t="s">
        <v>147</v>
      </c>
      <c r="O871" s="29">
        <v>129.63999999999999</v>
      </c>
      <c r="P871" s="28" t="s">
        <v>148</v>
      </c>
      <c r="Q871" s="28" t="s">
        <v>149</v>
      </c>
      <c r="R871" s="28" t="s">
        <v>244</v>
      </c>
      <c r="S871" s="28" t="s">
        <v>17240</v>
      </c>
      <c r="T871" s="30">
        <v>36</v>
      </c>
      <c r="U871" s="28" t="s">
        <v>17241</v>
      </c>
      <c r="V871" s="28" t="s">
        <v>138</v>
      </c>
      <c r="W871" s="28" t="s">
        <v>138</v>
      </c>
      <c r="X871" s="31">
        <v>2002</v>
      </c>
      <c r="Y871" s="28" t="s">
        <v>138</v>
      </c>
      <c r="Z871" s="28" t="s">
        <v>138</v>
      </c>
      <c r="AA871" s="28" t="s">
        <v>138</v>
      </c>
      <c r="AB871" s="32" t="s">
        <v>138</v>
      </c>
      <c r="AC871" s="32" t="s">
        <v>138</v>
      </c>
      <c r="AD871" s="32" t="s">
        <v>138</v>
      </c>
      <c r="AE871" s="32" t="s">
        <v>138</v>
      </c>
      <c r="AF871" s="32" t="s">
        <v>138</v>
      </c>
      <c r="AG871" s="28" t="s">
        <v>138</v>
      </c>
      <c r="AH871" s="32" t="s">
        <v>138</v>
      </c>
      <c r="AI871" s="32" t="s">
        <v>138</v>
      </c>
      <c r="AJ871" s="32" t="s">
        <v>138</v>
      </c>
      <c r="AK871" s="28" t="s">
        <v>17242</v>
      </c>
      <c r="AL871" s="28" t="s">
        <v>17243</v>
      </c>
      <c r="AM871" s="28" t="s">
        <v>17244</v>
      </c>
      <c r="AN871" s="28" t="s">
        <v>17245</v>
      </c>
      <c r="AO871" s="28" t="s">
        <v>17246</v>
      </c>
      <c r="AP871" s="28" t="s">
        <v>17247</v>
      </c>
      <c r="AQ871" s="28" t="s">
        <v>17248</v>
      </c>
      <c r="AR871" s="28" t="s">
        <v>1170</v>
      </c>
      <c r="AS871" s="28" t="s">
        <v>17249</v>
      </c>
      <c r="AT871" s="28" t="s">
        <v>17250</v>
      </c>
      <c r="AU871" s="28" t="s">
        <v>17251</v>
      </c>
      <c r="AV871" s="28" t="s">
        <v>162</v>
      </c>
      <c r="AW871" s="28" t="s">
        <v>17246</v>
      </c>
      <c r="AX871" s="28" t="s">
        <v>17252</v>
      </c>
      <c r="AY871" s="28" t="s">
        <v>17253</v>
      </c>
      <c r="AZ871" s="28" t="s">
        <v>164</v>
      </c>
      <c r="BA871" s="28" t="s">
        <v>165</v>
      </c>
      <c r="BB871" s="28" t="s">
        <v>17254</v>
      </c>
      <c r="BC871" s="28" t="s">
        <v>17255</v>
      </c>
      <c r="BD871" s="33">
        <v>11</v>
      </c>
      <c r="BE871" s="28" t="s">
        <v>138</v>
      </c>
      <c r="BF871" s="28" t="s">
        <v>138</v>
      </c>
      <c r="BG871" s="28" t="s">
        <v>138</v>
      </c>
      <c r="BH871" s="28" t="s">
        <v>17256</v>
      </c>
      <c r="BI871" s="28" t="s">
        <v>138</v>
      </c>
      <c r="BJ871" s="28" t="s">
        <v>138</v>
      </c>
      <c r="BK871" s="28" t="s">
        <v>17257</v>
      </c>
      <c r="BL871" s="28" t="s">
        <v>17258</v>
      </c>
      <c r="BM871" s="34">
        <v>37708</v>
      </c>
      <c r="BN871" s="29">
        <v>1.95</v>
      </c>
      <c r="BO871" s="28" t="s">
        <v>172</v>
      </c>
      <c r="BP871" s="29" t="s">
        <v>138</v>
      </c>
      <c r="BQ871" s="28" t="s">
        <v>138</v>
      </c>
      <c r="BR871" s="28" t="s">
        <v>205</v>
      </c>
      <c r="BS871" s="28" t="s">
        <v>138</v>
      </c>
      <c r="BT871" s="28" t="s">
        <v>138</v>
      </c>
      <c r="BU871" s="28" t="s">
        <v>174</v>
      </c>
      <c r="BV871" s="28" t="s">
        <v>138</v>
      </c>
      <c r="BW871" s="28" t="s">
        <v>138</v>
      </c>
      <c r="BX871" s="28" t="s">
        <v>138</v>
      </c>
      <c r="BY871" s="28" t="s">
        <v>175</v>
      </c>
      <c r="BZ871" s="34">
        <v>43241</v>
      </c>
      <c r="CA871" s="29">
        <v>9.59</v>
      </c>
      <c r="CB871" s="28" t="s">
        <v>172</v>
      </c>
      <c r="CC871" s="29" t="s">
        <v>138</v>
      </c>
      <c r="CD871" s="28" t="s">
        <v>138</v>
      </c>
      <c r="CE871" s="28" t="s">
        <v>173</v>
      </c>
      <c r="CF871" s="28" t="s">
        <v>13027</v>
      </c>
      <c r="CG871" s="28" t="s">
        <v>138</v>
      </c>
      <c r="CH871" s="28" t="s">
        <v>174</v>
      </c>
      <c r="CI871" s="28" t="s">
        <v>138</v>
      </c>
      <c r="CJ871" s="28" t="s">
        <v>138</v>
      </c>
      <c r="CK871" s="28" t="s">
        <v>138</v>
      </c>
      <c r="CL871" s="28" t="s">
        <v>175</v>
      </c>
      <c r="CM871" s="34">
        <v>42159</v>
      </c>
      <c r="CN871" s="29">
        <v>10</v>
      </c>
      <c r="CO871" s="35">
        <v>-0.56000000000000005</v>
      </c>
      <c r="CP871" s="36">
        <v>15</v>
      </c>
      <c r="CQ871" s="35">
        <v>7.0000000000000007E-2</v>
      </c>
      <c r="CR871" s="35">
        <v>10.52</v>
      </c>
      <c r="CS871" s="35">
        <v>-1.1200000000000001</v>
      </c>
      <c r="CT871" s="36">
        <v>14</v>
      </c>
      <c r="CU871" s="35">
        <v>-0.01</v>
      </c>
      <c r="CV871" s="36">
        <v>20</v>
      </c>
      <c r="CW871" s="35">
        <v>0</v>
      </c>
      <c r="CX871" s="36">
        <v>13</v>
      </c>
      <c r="CY871" s="35">
        <v>-2.23</v>
      </c>
      <c r="CZ871" s="36">
        <v>10</v>
      </c>
      <c r="DA871" s="35">
        <v>-0.02</v>
      </c>
      <c r="DB871" s="36">
        <v>19</v>
      </c>
      <c r="DC871" s="37">
        <v>2.66</v>
      </c>
      <c r="DD871" s="36">
        <v>73</v>
      </c>
      <c r="DE871" s="37">
        <v>-0.01</v>
      </c>
      <c r="DF871" s="35">
        <v>-0.44</v>
      </c>
      <c r="DG871" s="37">
        <v>3.04</v>
      </c>
      <c r="DH871" s="36">
        <v>75</v>
      </c>
      <c r="DI871" s="37">
        <v>2.2799999999999998</v>
      </c>
      <c r="DJ871" s="36">
        <v>65</v>
      </c>
      <c r="DK871" s="37">
        <v>0.59</v>
      </c>
      <c r="DL871" s="36">
        <v>38</v>
      </c>
      <c r="DM871" s="37">
        <v>5.48</v>
      </c>
      <c r="DN871" s="36">
        <v>83</v>
      </c>
      <c r="DO871" s="37">
        <v>4.25</v>
      </c>
      <c r="DP871" s="36">
        <v>77</v>
      </c>
      <c r="DQ871" s="36">
        <v>195</v>
      </c>
      <c r="DR871" s="38">
        <v>27</v>
      </c>
      <c r="DS871" s="35">
        <v>16.07</v>
      </c>
      <c r="DT871" s="36">
        <v>159</v>
      </c>
      <c r="DU871" s="38">
        <v>1</v>
      </c>
      <c r="DV871" s="35">
        <v>0.63</v>
      </c>
      <c r="DW871" s="36">
        <v>1522</v>
      </c>
      <c r="DX871" s="39">
        <v>1</v>
      </c>
      <c r="DY871" s="35">
        <v>7.0000000000000007E-2</v>
      </c>
      <c r="DZ871" s="28" t="s">
        <v>178</v>
      </c>
      <c r="EA871" s="34">
        <v>43602</v>
      </c>
      <c r="EB871" s="29">
        <v>142</v>
      </c>
      <c r="EC871" s="34">
        <v>42807</v>
      </c>
      <c r="ED871" s="28" t="s">
        <v>173</v>
      </c>
      <c r="EE871" s="40" t="str">
        <f>HYPERLINK("https://my.pitchbook.com?c=42954-40", "View company online")</f>
        <v>View company online</v>
      </c>
    </row>
    <row r="872" spans="1:135">
      <c r="A872" s="15" t="s">
        <v>17259</v>
      </c>
      <c r="B872" s="15" t="s">
        <v>17260</v>
      </c>
      <c r="C872" s="15" t="s">
        <v>138</v>
      </c>
      <c r="D872" s="15" t="s">
        <v>138</v>
      </c>
      <c r="E872" s="15" t="s">
        <v>138</v>
      </c>
      <c r="F872" s="15" t="s">
        <v>17259</v>
      </c>
      <c r="G872" s="15" t="s">
        <v>17261</v>
      </c>
      <c r="H872" s="15" t="s">
        <v>322</v>
      </c>
      <c r="I872" s="15" t="s">
        <v>807</v>
      </c>
      <c r="J872" s="15" t="s">
        <v>808</v>
      </c>
      <c r="K872" s="15" t="s">
        <v>17262</v>
      </c>
      <c r="L872" s="15" t="s">
        <v>5395</v>
      </c>
      <c r="M872" s="15" t="s">
        <v>17263</v>
      </c>
      <c r="N872" s="15" t="s">
        <v>147</v>
      </c>
      <c r="O872" s="17">
        <v>3.57</v>
      </c>
      <c r="P872" s="15" t="s">
        <v>148</v>
      </c>
      <c r="Q872" s="15" t="s">
        <v>149</v>
      </c>
      <c r="R872" s="15" t="s">
        <v>174</v>
      </c>
      <c r="S872" s="15" t="s">
        <v>17264</v>
      </c>
      <c r="T872" s="18" t="s">
        <v>138</v>
      </c>
      <c r="U872" s="15" t="s">
        <v>138</v>
      </c>
      <c r="V872" s="15" t="s">
        <v>138</v>
      </c>
      <c r="W872" s="15" t="s">
        <v>138</v>
      </c>
      <c r="X872" s="19">
        <v>2010</v>
      </c>
      <c r="Y872" s="15" t="s">
        <v>138</v>
      </c>
      <c r="Z872" s="15" t="s">
        <v>138</v>
      </c>
      <c r="AA872" s="15" t="s">
        <v>138</v>
      </c>
      <c r="AB872" s="20" t="s">
        <v>138</v>
      </c>
      <c r="AC872" s="20" t="s">
        <v>138</v>
      </c>
      <c r="AD872" s="20" t="s">
        <v>138</v>
      </c>
      <c r="AE872" s="20" t="s">
        <v>138</v>
      </c>
      <c r="AF872" s="20" t="s">
        <v>138</v>
      </c>
      <c r="AG872" s="15" t="s">
        <v>138</v>
      </c>
      <c r="AH872" s="20" t="s">
        <v>138</v>
      </c>
      <c r="AI872" s="20" t="s">
        <v>138</v>
      </c>
      <c r="AJ872" s="20" t="s">
        <v>138</v>
      </c>
      <c r="AK872" s="15" t="s">
        <v>17265</v>
      </c>
      <c r="AL872" s="15" t="s">
        <v>17266</v>
      </c>
      <c r="AM872" s="15" t="s">
        <v>2451</v>
      </c>
      <c r="AN872" s="15" t="s">
        <v>17267</v>
      </c>
      <c r="AO872" s="15" t="s">
        <v>138</v>
      </c>
      <c r="AP872" s="15" t="s">
        <v>17268</v>
      </c>
      <c r="AQ872" s="15" t="s">
        <v>17269</v>
      </c>
      <c r="AR872" s="15" t="s">
        <v>17270</v>
      </c>
      <c r="AS872" s="15" t="s">
        <v>17271</v>
      </c>
      <c r="AT872" s="15" t="s">
        <v>1146</v>
      </c>
      <c r="AU872" s="15" t="s">
        <v>17272</v>
      </c>
      <c r="AV872" s="15" t="s">
        <v>162</v>
      </c>
      <c r="AW872" s="15" t="s">
        <v>138</v>
      </c>
      <c r="AX872" s="15" t="s">
        <v>138</v>
      </c>
      <c r="AY872" s="15" t="s">
        <v>138</v>
      </c>
      <c r="AZ872" s="15" t="s">
        <v>164</v>
      </c>
      <c r="BA872" s="15" t="s">
        <v>165</v>
      </c>
      <c r="BB872" s="15" t="s">
        <v>17273</v>
      </c>
      <c r="BC872" s="15" t="s">
        <v>17274</v>
      </c>
      <c r="BD872" s="21">
        <v>3</v>
      </c>
      <c r="BE872" s="15" t="s">
        <v>138</v>
      </c>
      <c r="BF872" s="15" t="s">
        <v>138</v>
      </c>
      <c r="BG872" s="15" t="s">
        <v>138</v>
      </c>
      <c r="BH872" s="15" t="s">
        <v>17275</v>
      </c>
      <c r="BI872" s="15" t="s">
        <v>138</v>
      </c>
      <c r="BJ872" s="15" t="s">
        <v>138</v>
      </c>
      <c r="BK872" s="15" t="s">
        <v>138</v>
      </c>
      <c r="BL872" s="15" t="s">
        <v>17276</v>
      </c>
      <c r="BM872" s="22" t="s">
        <v>138</v>
      </c>
      <c r="BN872" s="17" t="s">
        <v>138</v>
      </c>
      <c r="BO872" s="15" t="s">
        <v>138</v>
      </c>
      <c r="BP872" s="17" t="s">
        <v>138</v>
      </c>
      <c r="BQ872" s="15" t="s">
        <v>138</v>
      </c>
      <c r="BR872" s="15" t="s">
        <v>316</v>
      </c>
      <c r="BS872" s="15" t="s">
        <v>138</v>
      </c>
      <c r="BT872" s="15" t="s">
        <v>138</v>
      </c>
      <c r="BU872" s="15" t="s">
        <v>177</v>
      </c>
      <c r="BV872" s="15" t="s">
        <v>138</v>
      </c>
      <c r="BW872" s="15" t="s">
        <v>138</v>
      </c>
      <c r="BX872" s="15" t="s">
        <v>138</v>
      </c>
      <c r="BY872" s="15" t="s">
        <v>175</v>
      </c>
      <c r="BZ872" s="22">
        <v>43425</v>
      </c>
      <c r="CA872" s="17">
        <v>3.42</v>
      </c>
      <c r="CB872" s="15" t="s">
        <v>172</v>
      </c>
      <c r="CC872" s="17">
        <v>16.420000000000002</v>
      </c>
      <c r="CD872" s="15" t="s">
        <v>172</v>
      </c>
      <c r="CE872" s="15" t="s">
        <v>173</v>
      </c>
      <c r="CF872" s="15" t="s">
        <v>138</v>
      </c>
      <c r="CG872" s="15" t="s">
        <v>138</v>
      </c>
      <c r="CH872" s="15" t="s">
        <v>174</v>
      </c>
      <c r="CI872" s="15" t="s">
        <v>138</v>
      </c>
      <c r="CJ872" s="15" t="s">
        <v>138</v>
      </c>
      <c r="CK872" s="15" t="s">
        <v>138</v>
      </c>
      <c r="CL872" s="15" t="s">
        <v>175</v>
      </c>
      <c r="CM872" s="22" t="s">
        <v>138</v>
      </c>
      <c r="CN872" s="17" t="s">
        <v>138</v>
      </c>
      <c r="CO872" s="23">
        <v>0</v>
      </c>
      <c r="CP872" s="24">
        <v>26</v>
      </c>
      <c r="CQ872" s="23">
        <v>0</v>
      </c>
      <c r="CR872" s="23">
        <v>0</v>
      </c>
      <c r="CS872" s="23" t="s">
        <v>138</v>
      </c>
      <c r="CT872" s="24" t="s">
        <v>138</v>
      </c>
      <c r="CU872" s="23">
        <v>0</v>
      </c>
      <c r="CV872" s="24">
        <v>22</v>
      </c>
      <c r="CW872" s="23" t="s">
        <v>138</v>
      </c>
      <c r="CX872" s="24" t="s">
        <v>138</v>
      </c>
      <c r="CY872" s="23" t="s">
        <v>138</v>
      </c>
      <c r="CZ872" s="24" t="s">
        <v>138</v>
      </c>
      <c r="DA872" s="23">
        <v>0</v>
      </c>
      <c r="DB872" s="24">
        <v>22</v>
      </c>
      <c r="DC872" s="25">
        <v>0.14000000000000001</v>
      </c>
      <c r="DD872" s="24">
        <v>10</v>
      </c>
      <c r="DE872" s="25">
        <v>0</v>
      </c>
      <c r="DF872" s="23">
        <v>0.56000000000000005</v>
      </c>
      <c r="DG872" s="25" t="s">
        <v>138</v>
      </c>
      <c r="DH872" s="24" t="s">
        <v>138</v>
      </c>
      <c r="DI872" s="25">
        <v>0.14000000000000001</v>
      </c>
      <c r="DJ872" s="24">
        <v>18</v>
      </c>
      <c r="DK872" s="25" t="s">
        <v>138</v>
      </c>
      <c r="DL872" s="24" t="s">
        <v>138</v>
      </c>
      <c r="DM872" s="25" t="s">
        <v>138</v>
      </c>
      <c r="DN872" s="24" t="s">
        <v>138</v>
      </c>
      <c r="DO872" s="25">
        <v>0.14000000000000001</v>
      </c>
      <c r="DP872" s="24">
        <v>20</v>
      </c>
      <c r="DQ872" s="24">
        <v>72</v>
      </c>
      <c r="DR872" s="26">
        <v>-31</v>
      </c>
      <c r="DS872" s="23">
        <v>-30.1</v>
      </c>
      <c r="DT872" s="24" t="s">
        <v>138</v>
      </c>
      <c r="DU872" s="26" t="s">
        <v>138</v>
      </c>
      <c r="DV872" s="23" t="s">
        <v>138</v>
      </c>
      <c r="DW872" s="24">
        <v>50</v>
      </c>
      <c r="DX872" s="27">
        <v>0</v>
      </c>
      <c r="DY872" s="23">
        <v>0</v>
      </c>
      <c r="DZ872" s="15" t="s">
        <v>178</v>
      </c>
      <c r="EA872" s="22">
        <v>43598</v>
      </c>
      <c r="EB872" s="17">
        <v>16.420000000000002</v>
      </c>
      <c r="EC872" s="22">
        <v>43425</v>
      </c>
      <c r="ED872" s="15" t="s">
        <v>173</v>
      </c>
      <c r="EE872" s="14" t="str">
        <f>HYPERLINK("https://my.pitchbook.com?c=86853-97", "View company online")</f>
        <v>View company online</v>
      </c>
    </row>
    <row r="873" spans="1:135">
      <c r="A873" s="28" t="s">
        <v>17277</v>
      </c>
      <c r="B873" s="28" t="s">
        <v>17278</v>
      </c>
      <c r="C873" s="28" t="s">
        <v>17279</v>
      </c>
      <c r="D873" s="28" t="s">
        <v>138</v>
      </c>
      <c r="E873" s="28" t="s">
        <v>17280</v>
      </c>
      <c r="F873" s="28" t="s">
        <v>17277</v>
      </c>
      <c r="G873" s="28" t="s">
        <v>17281</v>
      </c>
      <c r="H873" s="28" t="s">
        <v>183</v>
      </c>
      <c r="I873" s="28" t="s">
        <v>184</v>
      </c>
      <c r="J873" s="28" t="s">
        <v>185</v>
      </c>
      <c r="K873" s="28" t="s">
        <v>17282</v>
      </c>
      <c r="L873" s="28" t="s">
        <v>5395</v>
      </c>
      <c r="M873" s="28" t="s">
        <v>17283</v>
      </c>
      <c r="N873" s="28" t="s">
        <v>147</v>
      </c>
      <c r="O873" s="29">
        <v>77.91</v>
      </c>
      <c r="P873" s="28" t="s">
        <v>10487</v>
      </c>
      <c r="Q873" s="28" t="s">
        <v>149</v>
      </c>
      <c r="R873" s="28" t="s">
        <v>174</v>
      </c>
      <c r="S873" s="28" t="s">
        <v>17284</v>
      </c>
      <c r="T873" s="30">
        <v>25</v>
      </c>
      <c r="U873" s="28" t="s">
        <v>17285</v>
      </c>
      <c r="V873" s="28" t="s">
        <v>138</v>
      </c>
      <c r="W873" s="28" t="s">
        <v>138</v>
      </c>
      <c r="X873" s="31">
        <v>2000</v>
      </c>
      <c r="Y873" s="28" t="s">
        <v>138</v>
      </c>
      <c r="Z873" s="28" t="s">
        <v>138</v>
      </c>
      <c r="AA873" s="28" t="s">
        <v>138</v>
      </c>
      <c r="AB873" s="32" t="s">
        <v>138</v>
      </c>
      <c r="AC873" s="32" t="s">
        <v>138</v>
      </c>
      <c r="AD873" s="32" t="s">
        <v>138</v>
      </c>
      <c r="AE873" s="32" t="s">
        <v>138</v>
      </c>
      <c r="AF873" s="32" t="s">
        <v>138</v>
      </c>
      <c r="AG873" s="28" t="s">
        <v>138</v>
      </c>
      <c r="AH873" s="32" t="s">
        <v>138</v>
      </c>
      <c r="AI873" s="32" t="s">
        <v>138</v>
      </c>
      <c r="AJ873" s="32" t="s">
        <v>138</v>
      </c>
      <c r="AK873" s="28" t="s">
        <v>17286</v>
      </c>
      <c r="AL873" s="28" t="s">
        <v>17287</v>
      </c>
      <c r="AM873" s="28" t="s">
        <v>6593</v>
      </c>
      <c r="AN873" s="28" t="s">
        <v>17288</v>
      </c>
      <c r="AO873" s="28" t="s">
        <v>17289</v>
      </c>
      <c r="AP873" s="28" t="s">
        <v>12391</v>
      </c>
      <c r="AQ873" s="28" t="s">
        <v>17290</v>
      </c>
      <c r="AR873" s="28" t="s">
        <v>138</v>
      </c>
      <c r="AS873" s="28" t="s">
        <v>12394</v>
      </c>
      <c r="AT873" s="28" t="s">
        <v>200</v>
      </c>
      <c r="AU873" s="28" t="s">
        <v>12395</v>
      </c>
      <c r="AV873" s="28" t="s">
        <v>162</v>
      </c>
      <c r="AW873" s="28" t="s">
        <v>17289</v>
      </c>
      <c r="AX873" s="28" t="s">
        <v>17291</v>
      </c>
      <c r="AY873" s="28" t="s">
        <v>17292</v>
      </c>
      <c r="AZ873" s="28" t="s">
        <v>164</v>
      </c>
      <c r="BA873" s="28" t="s">
        <v>165</v>
      </c>
      <c r="BB873" s="28" t="s">
        <v>17293</v>
      </c>
      <c r="BC873" s="28" t="s">
        <v>17294</v>
      </c>
      <c r="BD873" s="33">
        <v>11</v>
      </c>
      <c r="BE873" s="28" t="s">
        <v>138</v>
      </c>
      <c r="BF873" s="28" t="s">
        <v>17295</v>
      </c>
      <c r="BG873" s="28" t="s">
        <v>138</v>
      </c>
      <c r="BH873" s="28" t="s">
        <v>17296</v>
      </c>
      <c r="BI873" s="28" t="s">
        <v>17297</v>
      </c>
      <c r="BJ873" s="28" t="s">
        <v>138</v>
      </c>
      <c r="BK873" s="28" t="s">
        <v>17298</v>
      </c>
      <c r="BL873" s="28" t="s">
        <v>17299</v>
      </c>
      <c r="BM873" s="34">
        <v>37141</v>
      </c>
      <c r="BN873" s="29">
        <v>4.58</v>
      </c>
      <c r="BO873" s="28" t="s">
        <v>172</v>
      </c>
      <c r="BP873" s="29">
        <v>10.28</v>
      </c>
      <c r="BQ873" s="28" t="s">
        <v>172</v>
      </c>
      <c r="BR873" s="28" t="s">
        <v>205</v>
      </c>
      <c r="BS873" s="28" t="s">
        <v>206</v>
      </c>
      <c r="BT873" s="28" t="s">
        <v>138</v>
      </c>
      <c r="BU873" s="28" t="s">
        <v>174</v>
      </c>
      <c r="BV873" s="28" t="s">
        <v>138</v>
      </c>
      <c r="BW873" s="28" t="s">
        <v>138</v>
      </c>
      <c r="BX873" s="28" t="s">
        <v>138</v>
      </c>
      <c r="BY873" s="28" t="s">
        <v>175</v>
      </c>
      <c r="BZ873" s="34" t="s">
        <v>138</v>
      </c>
      <c r="CA873" s="29" t="s">
        <v>138</v>
      </c>
      <c r="CB873" s="28" t="s">
        <v>138</v>
      </c>
      <c r="CC873" s="29" t="s">
        <v>138</v>
      </c>
      <c r="CD873" s="28" t="s">
        <v>138</v>
      </c>
      <c r="CE873" s="28" t="s">
        <v>379</v>
      </c>
      <c r="CF873" s="28" t="s">
        <v>138</v>
      </c>
      <c r="CG873" s="28" t="s">
        <v>138</v>
      </c>
      <c r="CH873" s="28" t="s">
        <v>138</v>
      </c>
      <c r="CI873" s="28" t="s">
        <v>138</v>
      </c>
      <c r="CJ873" s="28" t="s">
        <v>138</v>
      </c>
      <c r="CK873" s="28" t="s">
        <v>138</v>
      </c>
      <c r="CL873" s="28" t="s">
        <v>175</v>
      </c>
      <c r="CM873" s="34" t="s">
        <v>138</v>
      </c>
      <c r="CN873" s="29" t="s">
        <v>138</v>
      </c>
      <c r="CO873" s="35">
        <v>-0.66</v>
      </c>
      <c r="CP873" s="36">
        <v>14</v>
      </c>
      <c r="CQ873" s="35">
        <v>-0.04</v>
      </c>
      <c r="CR873" s="35">
        <v>-6.19</v>
      </c>
      <c r="CS873" s="35">
        <v>-1.32</v>
      </c>
      <c r="CT873" s="36">
        <v>13</v>
      </c>
      <c r="CU873" s="35">
        <v>0</v>
      </c>
      <c r="CV873" s="36">
        <v>22</v>
      </c>
      <c r="CW873" s="35">
        <v>0</v>
      </c>
      <c r="CX873" s="36">
        <v>13</v>
      </c>
      <c r="CY873" s="35">
        <v>-2.64</v>
      </c>
      <c r="CZ873" s="36">
        <v>8</v>
      </c>
      <c r="DA873" s="35">
        <v>0</v>
      </c>
      <c r="DB873" s="36">
        <v>22</v>
      </c>
      <c r="DC873" s="37">
        <v>2.8</v>
      </c>
      <c r="DD873" s="36">
        <v>74</v>
      </c>
      <c r="DE873" s="37">
        <v>-0.1</v>
      </c>
      <c r="DF873" s="35">
        <v>-3.59</v>
      </c>
      <c r="DG873" s="37">
        <v>5.37</v>
      </c>
      <c r="DH873" s="36">
        <v>83</v>
      </c>
      <c r="DI873" s="37">
        <v>0.23</v>
      </c>
      <c r="DJ873" s="36">
        <v>24</v>
      </c>
      <c r="DK873" s="37">
        <v>2.46</v>
      </c>
      <c r="DL873" s="36">
        <v>68</v>
      </c>
      <c r="DM873" s="37">
        <v>8.2799999999999994</v>
      </c>
      <c r="DN873" s="36">
        <v>87</v>
      </c>
      <c r="DO873" s="37">
        <v>0.23</v>
      </c>
      <c r="DP873" s="36">
        <v>26</v>
      </c>
      <c r="DQ873" s="36">
        <v>803</v>
      </c>
      <c r="DR873" s="38">
        <v>125</v>
      </c>
      <c r="DS873" s="35">
        <v>18.440000000000001</v>
      </c>
      <c r="DT873" s="36">
        <v>241</v>
      </c>
      <c r="DU873" s="38">
        <v>-3</v>
      </c>
      <c r="DV873" s="35">
        <v>-1.23</v>
      </c>
      <c r="DW873" s="36">
        <v>84</v>
      </c>
      <c r="DX873" s="39">
        <v>0</v>
      </c>
      <c r="DY873" s="35">
        <v>0</v>
      </c>
      <c r="DZ873" s="28" t="s">
        <v>178</v>
      </c>
      <c r="EA873" s="34">
        <v>43622</v>
      </c>
      <c r="EB873" s="29">
        <v>41.5</v>
      </c>
      <c r="EC873" s="34">
        <v>43048</v>
      </c>
      <c r="ED873" s="28" t="s">
        <v>173</v>
      </c>
      <c r="EE873" s="40" t="str">
        <f>HYPERLINK("https://my.pitchbook.com?c=42159-61", "View company online")</f>
        <v>View company online</v>
      </c>
    </row>
    <row r="874" spans="1:135">
      <c r="A874" s="15" t="s">
        <v>17300</v>
      </c>
      <c r="B874" s="15" t="s">
        <v>17301</v>
      </c>
      <c r="C874" s="15" t="s">
        <v>138</v>
      </c>
      <c r="D874" s="15" t="s">
        <v>138</v>
      </c>
      <c r="E874" s="15" t="s">
        <v>138</v>
      </c>
      <c r="F874" s="15" t="s">
        <v>17300</v>
      </c>
      <c r="G874" s="15" t="s">
        <v>17302</v>
      </c>
      <c r="H874" s="15" t="s">
        <v>322</v>
      </c>
      <c r="I874" s="15" t="s">
        <v>323</v>
      </c>
      <c r="J874" s="15" t="s">
        <v>324</v>
      </c>
      <c r="K874" s="15" t="s">
        <v>13370</v>
      </c>
      <c r="L874" s="15" t="s">
        <v>5223</v>
      </c>
      <c r="M874" s="15" t="s">
        <v>17303</v>
      </c>
      <c r="N874" s="15" t="s">
        <v>147</v>
      </c>
      <c r="O874" s="17">
        <v>6.35</v>
      </c>
      <c r="P874" s="15" t="s">
        <v>610</v>
      </c>
      <c r="Q874" s="15" t="s">
        <v>149</v>
      </c>
      <c r="R874" s="15" t="s">
        <v>174</v>
      </c>
      <c r="S874" s="15" t="s">
        <v>138</v>
      </c>
      <c r="T874" s="18">
        <v>6</v>
      </c>
      <c r="U874" s="15" t="s">
        <v>17304</v>
      </c>
      <c r="V874" s="15" t="s">
        <v>138</v>
      </c>
      <c r="W874" s="15" t="s">
        <v>138</v>
      </c>
      <c r="X874" s="19">
        <v>2014</v>
      </c>
      <c r="Y874" s="15" t="s">
        <v>138</v>
      </c>
      <c r="Z874" s="15" t="s">
        <v>138</v>
      </c>
      <c r="AA874" s="15" t="s">
        <v>17305</v>
      </c>
      <c r="AB874" s="20" t="s">
        <v>138</v>
      </c>
      <c r="AC874" s="20" t="s">
        <v>138</v>
      </c>
      <c r="AD874" s="20" t="s">
        <v>138</v>
      </c>
      <c r="AE874" s="20" t="s">
        <v>138</v>
      </c>
      <c r="AF874" s="20" t="s">
        <v>138</v>
      </c>
      <c r="AG874" s="15" t="s">
        <v>138</v>
      </c>
      <c r="AH874" s="20" t="s">
        <v>138</v>
      </c>
      <c r="AI874" s="20" t="s">
        <v>138</v>
      </c>
      <c r="AJ874" s="20" t="s">
        <v>138</v>
      </c>
      <c r="AK874" s="15" t="s">
        <v>17306</v>
      </c>
      <c r="AL874" s="15" t="s">
        <v>17307</v>
      </c>
      <c r="AM874" s="15" t="s">
        <v>17308</v>
      </c>
      <c r="AN874" s="15" t="s">
        <v>138</v>
      </c>
      <c r="AO874" s="15" t="s">
        <v>138</v>
      </c>
      <c r="AP874" s="15" t="s">
        <v>16912</v>
      </c>
      <c r="AQ874" s="15" t="s">
        <v>138</v>
      </c>
      <c r="AR874" s="15" t="s">
        <v>138</v>
      </c>
      <c r="AS874" s="15" t="s">
        <v>16915</v>
      </c>
      <c r="AT874" s="15" t="s">
        <v>7605</v>
      </c>
      <c r="AU874" s="15" t="s">
        <v>138</v>
      </c>
      <c r="AV874" s="15" t="s">
        <v>162</v>
      </c>
      <c r="AW874" s="15" t="s">
        <v>138</v>
      </c>
      <c r="AX874" s="15" t="s">
        <v>138</v>
      </c>
      <c r="AY874" s="15" t="s">
        <v>138</v>
      </c>
      <c r="AZ874" s="15" t="s">
        <v>164</v>
      </c>
      <c r="BA874" s="15" t="s">
        <v>165</v>
      </c>
      <c r="BB874" s="15" t="s">
        <v>17309</v>
      </c>
      <c r="BC874" s="15" t="s">
        <v>17310</v>
      </c>
      <c r="BD874" s="21">
        <v>6</v>
      </c>
      <c r="BE874" s="15" t="s">
        <v>138</v>
      </c>
      <c r="BF874" s="15" t="s">
        <v>138</v>
      </c>
      <c r="BG874" s="15" t="s">
        <v>138</v>
      </c>
      <c r="BH874" s="15" t="s">
        <v>17311</v>
      </c>
      <c r="BI874" s="15" t="s">
        <v>138</v>
      </c>
      <c r="BJ874" s="15" t="s">
        <v>138</v>
      </c>
      <c r="BK874" s="15" t="s">
        <v>138</v>
      </c>
      <c r="BL874" s="15" t="s">
        <v>138</v>
      </c>
      <c r="BM874" s="22">
        <v>42397</v>
      </c>
      <c r="BN874" s="17">
        <v>0.1</v>
      </c>
      <c r="BO874" s="15" t="s">
        <v>172</v>
      </c>
      <c r="BP874" s="17" t="s">
        <v>138</v>
      </c>
      <c r="BQ874" s="15" t="s">
        <v>138</v>
      </c>
      <c r="BR874" s="15" t="s">
        <v>316</v>
      </c>
      <c r="BS874" s="15" t="s">
        <v>138</v>
      </c>
      <c r="BT874" s="15" t="s">
        <v>138</v>
      </c>
      <c r="BU874" s="15" t="s">
        <v>177</v>
      </c>
      <c r="BV874" s="15" t="s">
        <v>138</v>
      </c>
      <c r="BW874" s="15" t="s">
        <v>138</v>
      </c>
      <c r="BX874" s="15" t="s">
        <v>138</v>
      </c>
      <c r="BY874" s="15" t="s">
        <v>175</v>
      </c>
      <c r="BZ874" s="22">
        <v>43598</v>
      </c>
      <c r="CA874" s="17">
        <v>6</v>
      </c>
      <c r="CB874" s="15" t="s">
        <v>172</v>
      </c>
      <c r="CC874" s="17" t="s">
        <v>138</v>
      </c>
      <c r="CD874" s="15" t="s">
        <v>138</v>
      </c>
      <c r="CE874" s="15" t="s">
        <v>205</v>
      </c>
      <c r="CF874" s="15" t="s">
        <v>206</v>
      </c>
      <c r="CG874" s="15" t="s">
        <v>138</v>
      </c>
      <c r="CH874" s="15" t="s">
        <v>174</v>
      </c>
      <c r="CI874" s="15" t="s">
        <v>138</v>
      </c>
      <c r="CJ874" s="15" t="s">
        <v>138</v>
      </c>
      <c r="CK874" s="15" t="s">
        <v>138</v>
      </c>
      <c r="CL874" s="15" t="s">
        <v>175</v>
      </c>
      <c r="CM874" s="22" t="s">
        <v>138</v>
      </c>
      <c r="CN874" s="17" t="s">
        <v>138</v>
      </c>
      <c r="CO874" s="23" t="s">
        <v>138</v>
      </c>
      <c r="CP874" s="24" t="s">
        <v>138</v>
      </c>
      <c r="CQ874" s="23" t="s">
        <v>138</v>
      </c>
      <c r="CR874" s="23" t="s">
        <v>138</v>
      </c>
      <c r="CS874" s="23" t="s">
        <v>138</v>
      </c>
      <c r="CT874" s="24" t="s">
        <v>138</v>
      </c>
      <c r="CU874" s="23" t="s">
        <v>138</v>
      </c>
      <c r="CV874" s="24" t="s">
        <v>138</v>
      </c>
      <c r="CW874" s="23" t="s">
        <v>138</v>
      </c>
      <c r="CX874" s="24" t="s">
        <v>138</v>
      </c>
      <c r="CY874" s="23" t="s">
        <v>138</v>
      </c>
      <c r="CZ874" s="24" t="s">
        <v>138</v>
      </c>
      <c r="DA874" s="23" t="s">
        <v>138</v>
      </c>
      <c r="DB874" s="24" t="s">
        <v>138</v>
      </c>
      <c r="DC874" s="25" t="s">
        <v>138</v>
      </c>
      <c r="DD874" s="24" t="s">
        <v>138</v>
      </c>
      <c r="DE874" s="25" t="s">
        <v>138</v>
      </c>
      <c r="DF874" s="23" t="s">
        <v>138</v>
      </c>
      <c r="DG874" s="25" t="s">
        <v>138</v>
      </c>
      <c r="DH874" s="24" t="s">
        <v>138</v>
      </c>
      <c r="DI874" s="25" t="s">
        <v>138</v>
      </c>
      <c r="DJ874" s="24" t="s">
        <v>138</v>
      </c>
      <c r="DK874" s="25" t="s">
        <v>138</v>
      </c>
      <c r="DL874" s="24" t="s">
        <v>138</v>
      </c>
      <c r="DM874" s="25" t="s">
        <v>138</v>
      </c>
      <c r="DN874" s="24" t="s">
        <v>138</v>
      </c>
      <c r="DO874" s="25" t="s">
        <v>138</v>
      </c>
      <c r="DP874" s="24" t="s">
        <v>138</v>
      </c>
      <c r="DQ874" s="24" t="s">
        <v>138</v>
      </c>
      <c r="DR874" s="26" t="s">
        <v>138</v>
      </c>
      <c r="DS874" s="23" t="s">
        <v>138</v>
      </c>
      <c r="DT874" s="24" t="s">
        <v>138</v>
      </c>
      <c r="DU874" s="26" t="s">
        <v>138</v>
      </c>
      <c r="DV874" s="23" t="s">
        <v>138</v>
      </c>
      <c r="DW874" s="24" t="s">
        <v>138</v>
      </c>
      <c r="DX874" s="27" t="s">
        <v>138</v>
      </c>
      <c r="DY874" s="23" t="s">
        <v>138</v>
      </c>
      <c r="DZ874" s="15" t="s">
        <v>178</v>
      </c>
      <c r="EA874" s="22">
        <v>43614</v>
      </c>
      <c r="EB874" s="17" t="s">
        <v>138</v>
      </c>
      <c r="EC874" s="22" t="s">
        <v>138</v>
      </c>
      <c r="ED874" s="15" t="s">
        <v>138</v>
      </c>
      <c r="EE874" s="14" t="str">
        <f>HYPERLINK("https://my.pitchbook.com?c=170474-41", "View company online")</f>
        <v>View company online</v>
      </c>
    </row>
    <row r="875" spans="1:135">
      <c r="A875" s="28" t="s">
        <v>17312</v>
      </c>
      <c r="B875" s="28" t="s">
        <v>17313</v>
      </c>
      <c r="C875" s="28" t="s">
        <v>138</v>
      </c>
      <c r="D875" s="28" t="s">
        <v>17314</v>
      </c>
      <c r="E875" s="28" t="s">
        <v>138</v>
      </c>
      <c r="F875" s="28" t="s">
        <v>17312</v>
      </c>
      <c r="G875" s="28" t="s">
        <v>17315</v>
      </c>
      <c r="H875" s="28" t="s">
        <v>141</v>
      </c>
      <c r="I875" s="28" t="s">
        <v>142</v>
      </c>
      <c r="J875" s="28" t="s">
        <v>143</v>
      </c>
      <c r="K875" s="28" t="s">
        <v>17316</v>
      </c>
      <c r="L875" s="28" t="s">
        <v>272</v>
      </c>
      <c r="M875" s="28" t="s">
        <v>17317</v>
      </c>
      <c r="N875" s="28" t="s">
        <v>147</v>
      </c>
      <c r="O875" s="29" t="s">
        <v>138</v>
      </c>
      <c r="P875" s="28" t="s">
        <v>148</v>
      </c>
      <c r="Q875" s="28" t="s">
        <v>149</v>
      </c>
      <c r="R875" s="28" t="s">
        <v>174</v>
      </c>
      <c r="S875" s="28" t="s">
        <v>17318</v>
      </c>
      <c r="T875" s="30" t="s">
        <v>138</v>
      </c>
      <c r="U875" s="28" t="s">
        <v>138</v>
      </c>
      <c r="V875" s="28" t="s">
        <v>138</v>
      </c>
      <c r="W875" s="28" t="s">
        <v>138</v>
      </c>
      <c r="X875" s="31">
        <v>2003</v>
      </c>
      <c r="Y875" s="28" t="s">
        <v>138</v>
      </c>
      <c r="Z875" s="28" t="s">
        <v>138</v>
      </c>
      <c r="AA875" s="28" t="s">
        <v>138</v>
      </c>
      <c r="AB875" s="32" t="s">
        <v>138</v>
      </c>
      <c r="AC875" s="32" t="s">
        <v>138</v>
      </c>
      <c r="AD875" s="32" t="s">
        <v>138</v>
      </c>
      <c r="AE875" s="32" t="s">
        <v>138</v>
      </c>
      <c r="AF875" s="32" t="s">
        <v>138</v>
      </c>
      <c r="AG875" s="28" t="s">
        <v>138</v>
      </c>
      <c r="AH875" s="32" t="s">
        <v>138</v>
      </c>
      <c r="AI875" s="32" t="s">
        <v>138</v>
      </c>
      <c r="AJ875" s="32" t="s">
        <v>138</v>
      </c>
      <c r="AK875" s="28" t="s">
        <v>17319</v>
      </c>
      <c r="AL875" s="28" t="s">
        <v>17320</v>
      </c>
      <c r="AM875" s="28" t="s">
        <v>566</v>
      </c>
      <c r="AN875" s="28" t="s">
        <v>138</v>
      </c>
      <c r="AO875" s="28" t="s">
        <v>17321</v>
      </c>
      <c r="AP875" s="28" t="s">
        <v>17322</v>
      </c>
      <c r="AQ875" s="28" t="s">
        <v>17323</v>
      </c>
      <c r="AR875" s="28" t="s">
        <v>17324</v>
      </c>
      <c r="AS875" s="28" t="s">
        <v>17325</v>
      </c>
      <c r="AT875" s="28" t="s">
        <v>138</v>
      </c>
      <c r="AU875" s="28" t="s">
        <v>17326</v>
      </c>
      <c r="AV875" s="28" t="s">
        <v>2071</v>
      </c>
      <c r="AW875" s="28" t="s">
        <v>17321</v>
      </c>
      <c r="AX875" s="28" t="s">
        <v>17327</v>
      </c>
      <c r="AY875" s="28" t="s">
        <v>17328</v>
      </c>
      <c r="AZ875" s="28" t="s">
        <v>452</v>
      </c>
      <c r="BA875" s="28" t="s">
        <v>453</v>
      </c>
      <c r="BB875" s="28" t="s">
        <v>17329</v>
      </c>
      <c r="BC875" s="28" t="s">
        <v>2075</v>
      </c>
      <c r="BD875" s="33">
        <v>1</v>
      </c>
      <c r="BE875" s="28" t="s">
        <v>138</v>
      </c>
      <c r="BF875" s="28" t="s">
        <v>138</v>
      </c>
      <c r="BG875" s="28" t="s">
        <v>138</v>
      </c>
      <c r="BH875" s="28" t="s">
        <v>2077</v>
      </c>
      <c r="BI875" s="28" t="s">
        <v>138</v>
      </c>
      <c r="BJ875" s="28" t="s">
        <v>138</v>
      </c>
      <c r="BK875" s="28" t="s">
        <v>138</v>
      </c>
      <c r="BL875" s="28" t="s">
        <v>138</v>
      </c>
      <c r="BM875" s="34" t="s">
        <v>138</v>
      </c>
      <c r="BN875" s="29" t="s">
        <v>138</v>
      </c>
      <c r="BO875" s="28" t="s">
        <v>138</v>
      </c>
      <c r="BP875" s="29" t="s">
        <v>138</v>
      </c>
      <c r="BQ875" s="28" t="s">
        <v>138</v>
      </c>
      <c r="BR875" s="28" t="s">
        <v>205</v>
      </c>
      <c r="BS875" s="28" t="s">
        <v>138</v>
      </c>
      <c r="BT875" s="28" t="s">
        <v>138</v>
      </c>
      <c r="BU875" s="28" t="s">
        <v>174</v>
      </c>
      <c r="BV875" s="28" t="s">
        <v>138</v>
      </c>
      <c r="BW875" s="28" t="s">
        <v>138</v>
      </c>
      <c r="BX875" s="28" t="s">
        <v>138</v>
      </c>
      <c r="BY875" s="28" t="s">
        <v>175</v>
      </c>
      <c r="BZ875" s="34" t="s">
        <v>138</v>
      </c>
      <c r="CA875" s="29" t="s">
        <v>138</v>
      </c>
      <c r="CB875" s="28" t="s">
        <v>138</v>
      </c>
      <c r="CC875" s="29" t="s">
        <v>138</v>
      </c>
      <c r="CD875" s="28" t="s">
        <v>138</v>
      </c>
      <c r="CE875" s="28" t="s">
        <v>205</v>
      </c>
      <c r="CF875" s="28" t="s">
        <v>138</v>
      </c>
      <c r="CG875" s="28" t="s">
        <v>138</v>
      </c>
      <c r="CH875" s="28" t="s">
        <v>174</v>
      </c>
      <c r="CI875" s="28" t="s">
        <v>138</v>
      </c>
      <c r="CJ875" s="28" t="s">
        <v>138</v>
      </c>
      <c r="CK875" s="28" t="s">
        <v>138</v>
      </c>
      <c r="CL875" s="28" t="s">
        <v>175</v>
      </c>
      <c r="CM875" s="34" t="s">
        <v>138</v>
      </c>
      <c r="CN875" s="29" t="s">
        <v>138</v>
      </c>
      <c r="CO875" s="35">
        <v>0</v>
      </c>
      <c r="CP875" s="36">
        <v>26</v>
      </c>
      <c r="CQ875" s="35">
        <v>0</v>
      </c>
      <c r="CR875" s="35">
        <v>0</v>
      </c>
      <c r="CS875" s="35">
        <v>0</v>
      </c>
      <c r="CT875" s="36">
        <v>23</v>
      </c>
      <c r="CU875" s="35" t="s">
        <v>138</v>
      </c>
      <c r="CV875" s="36" t="s">
        <v>138</v>
      </c>
      <c r="CW875" s="35" t="s">
        <v>138</v>
      </c>
      <c r="CX875" s="36" t="s">
        <v>138</v>
      </c>
      <c r="CY875" s="35">
        <v>0</v>
      </c>
      <c r="CZ875" s="36">
        <v>25</v>
      </c>
      <c r="DA875" s="35" t="s">
        <v>138</v>
      </c>
      <c r="DB875" s="36" t="s">
        <v>138</v>
      </c>
      <c r="DC875" s="37">
        <v>0.14000000000000001</v>
      </c>
      <c r="DD875" s="36">
        <v>10</v>
      </c>
      <c r="DE875" s="37">
        <v>0</v>
      </c>
      <c r="DF875" s="35">
        <v>0</v>
      </c>
      <c r="DG875" s="37">
        <v>0.14000000000000001</v>
      </c>
      <c r="DH875" s="36">
        <v>10</v>
      </c>
      <c r="DI875" s="37" t="s">
        <v>138</v>
      </c>
      <c r="DJ875" s="36" t="s">
        <v>138</v>
      </c>
      <c r="DK875" s="37" t="s">
        <v>138</v>
      </c>
      <c r="DL875" s="36" t="s">
        <v>138</v>
      </c>
      <c r="DM875" s="37">
        <v>0.14000000000000001</v>
      </c>
      <c r="DN875" s="36">
        <v>11</v>
      </c>
      <c r="DO875" s="37" t="s">
        <v>138</v>
      </c>
      <c r="DP875" s="36" t="s">
        <v>138</v>
      </c>
      <c r="DQ875" s="36" t="s">
        <v>138</v>
      </c>
      <c r="DR875" s="38" t="s">
        <v>138</v>
      </c>
      <c r="DS875" s="35" t="s">
        <v>138</v>
      </c>
      <c r="DT875" s="36">
        <v>4</v>
      </c>
      <c r="DU875" s="38">
        <v>0</v>
      </c>
      <c r="DV875" s="35">
        <v>0</v>
      </c>
      <c r="DW875" s="36" t="s">
        <v>138</v>
      </c>
      <c r="DX875" s="39" t="s">
        <v>138</v>
      </c>
      <c r="DY875" s="35" t="s">
        <v>138</v>
      </c>
      <c r="DZ875" s="28" t="s">
        <v>178</v>
      </c>
      <c r="EA875" s="34">
        <v>43444</v>
      </c>
      <c r="EB875" s="29" t="s">
        <v>138</v>
      </c>
      <c r="EC875" s="34" t="s">
        <v>138</v>
      </c>
      <c r="ED875" s="28" t="s">
        <v>138</v>
      </c>
      <c r="EE875" s="40" t="str">
        <f>HYPERLINK("https://my.pitchbook.com?c=54830-08", "View company online")</f>
        <v>View company online</v>
      </c>
    </row>
    <row r="876" spans="1:135">
      <c r="A876" s="15" t="s">
        <v>17330</v>
      </c>
      <c r="B876" s="15" t="s">
        <v>17331</v>
      </c>
      <c r="C876" s="15" t="s">
        <v>138</v>
      </c>
      <c r="D876" s="15" t="s">
        <v>138</v>
      </c>
      <c r="E876" s="15" t="s">
        <v>138</v>
      </c>
      <c r="F876" s="15" t="s">
        <v>17330</v>
      </c>
      <c r="G876" s="15" t="s">
        <v>17332</v>
      </c>
      <c r="H876" s="15" t="s">
        <v>141</v>
      </c>
      <c r="I876" s="15" t="s">
        <v>142</v>
      </c>
      <c r="J876" s="15" t="s">
        <v>1924</v>
      </c>
      <c r="K876" s="15" t="s">
        <v>4744</v>
      </c>
      <c r="L876" s="15" t="s">
        <v>138</v>
      </c>
      <c r="M876" s="15" t="s">
        <v>17333</v>
      </c>
      <c r="N876" s="15" t="s">
        <v>147</v>
      </c>
      <c r="O876" s="17">
        <v>0.2</v>
      </c>
      <c r="P876" s="15" t="s">
        <v>610</v>
      </c>
      <c r="Q876" s="15" t="s">
        <v>149</v>
      </c>
      <c r="R876" s="15" t="s">
        <v>174</v>
      </c>
      <c r="S876" s="15" t="s">
        <v>17334</v>
      </c>
      <c r="T876" s="18">
        <v>2</v>
      </c>
      <c r="U876" s="15" t="s">
        <v>12834</v>
      </c>
      <c r="V876" s="15" t="s">
        <v>138</v>
      </c>
      <c r="W876" s="15" t="s">
        <v>138</v>
      </c>
      <c r="X876" s="19">
        <v>2014</v>
      </c>
      <c r="Y876" s="15" t="s">
        <v>138</v>
      </c>
      <c r="Z876" s="15" t="s">
        <v>138</v>
      </c>
      <c r="AA876" s="15" t="s">
        <v>138</v>
      </c>
      <c r="AB876" s="20" t="s">
        <v>138</v>
      </c>
      <c r="AC876" s="20" t="s">
        <v>138</v>
      </c>
      <c r="AD876" s="20" t="s">
        <v>138</v>
      </c>
      <c r="AE876" s="20" t="s">
        <v>138</v>
      </c>
      <c r="AF876" s="20" t="s">
        <v>138</v>
      </c>
      <c r="AG876" s="15" t="s">
        <v>138</v>
      </c>
      <c r="AH876" s="20" t="s">
        <v>138</v>
      </c>
      <c r="AI876" s="20" t="s">
        <v>138</v>
      </c>
      <c r="AJ876" s="20" t="s">
        <v>138</v>
      </c>
      <c r="AK876" s="15" t="s">
        <v>17335</v>
      </c>
      <c r="AL876" s="15" t="s">
        <v>17336</v>
      </c>
      <c r="AM876" s="15" t="s">
        <v>566</v>
      </c>
      <c r="AN876" s="15" t="s">
        <v>138</v>
      </c>
      <c r="AO876" s="15" t="s">
        <v>17337</v>
      </c>
      <c r="AP876" s="15" t="s">
        <v>17338</v>
      </c>
      <c r="AQ876" s="15" t="s">
        <v>17339</v>
      </c>
      <c r="AR876" s="15" t="s">
        <v>138</v>
      </c>
      <c r="AS876" s="15" t="s">
        <v>17340</v>
      </c>
      <c r="AT876" s="15" t="s">
        <v>2031</v>
      </c>
      <c r="AU876" s="15" t="s">
        <v>17341</v>
      </c>
      <c r="AV876" s="15" t="s">
        <v>162</v>
      </c>
      <c r="AW876" s="15" t="s">
        <v>17337</v>
      </c>
      <c r="AX876" s="15" t="s">
        <v>138</v>
      </c>
      <c r="AY876" s="15" t="s">
        <v>17342</v>
      </c>
      <c r="AZ876" s="15" t="s">
        <v>164</v>
      </c>
      <c r="BA876" s="15" t="s">
        <v>165</v>
      </c>
      <c r="BB876" s="15" t="s">
        <v>17343</v>
      </c>
      <c r="BC876" s="15" t="s">
        <v>17344</v>
      </c>
      <c r="BD876" s="21">
        <v>4</v>
      </c>
      <c r="BE876" s="15" t="s">
        <v>138</v>
      </c>
      <c r="BF876" s="15" t="s">
        <v>138</v>
      </c>
      <c r="BG876" s="15" t="s">
        <v>138</v>
      </c>
      <c r="BH876" s="15" t="s">
        <v>17345</v>
      </c>
      <c r="BI876" s="15" t="s">
        <v>138</v>
      </c>
      <c r="BJ876" s="15" t="s">
        <v>138</v>
      </c>
      <c r="BK876" s="15" t="s">
        <v>138</v>
      </c>
      <c r="BL876" s="15" t="s">
        <v>138</v>
      </c>
      <c r="BM876" s="22">
        <v>42370</v>
      </c>
      <c r="BN876" s="17">
        <v>0.08</v>
      </c>
      <c r="BO876" s="15" t="s">
        <v>172</v>
      </c>
      <c r="BP876" s="17" t="s">
        <v>138</v>
      </c>
      <c r="BQ876" s="15" t="s">
        <v>138</v>
      </c>
      <c r="BR876" s="15" t="s">
        <v>205</v>
      </c>
      <c r="BS876" s="15" t="s">
        <v>138</v>
      </c>
      <c r="BT876" s="15" t="s">
        <v>138</v>
      </c>
      <c r="BU876" s="15" t="s">
        <v>174</v>
      </c>
      <c r="BV876" s="15" t="s">
        <v>138</v>
      </c>
      <c r="BW876" s="15" t="s">
        <v>138</v>
      </c>
      <c r="BX876" s="15" t="s">
        <v>138</v>
      </c>
      <c r="BY876" s="15" t="s">
        <v>175</v>
      </c>
      <c r="BZ876" s="22">
        <v>42646</v>
      </c>
      <c r="CA876" s="17">
        <v>0.12</v>
      </c>
      <c r="CB876" s="15" t="s">
        <v>172</v>
      </c>
      <c r="CC876" s="17">
        <v>0.33</v>
      </c>
      <c r="CD876" s="15" t="s">
        <v>172</v>
      </c>
      <c r="CE876" s="15" t="s">
        <v>316</v>
      </c>
      <c r="CF876" s="15" t="s">
        <v>138</v>
      </c>
      <c r="CG876" s="15" t="s">
        <v>138</v>
      </c>
      <c r="CH876" s="15" t="s">
        <v>177</v>
      </c>
      <c r="CI876" s="15" t="s">
        <v>264</v>
      </c>
      <c r="CJ876" s="15" t="s">
        <v>138</v>
      </c>
      <c r="CK876" s="15" t="s">
        <v>138</v>
      </c>
      <c r="CL876" s="15" t="s">
        <v>175</v>
      </c>
      <c r="CM876" s="22" t="s">
        <v>138</v>
      </c>
      <c r="CN876" s="17" t="s">
        <v>138</v>
      </c>
      <c r="CO876" s="23">
        <v>0</v>
      </c>
      <c r="CP876" s="24">
        <v>26</v>
      </c>
      <c r="CQ876" s="23">
        <v>0</v>
      </c>
      <c r="CR876" s="23">
        <v>0</v>
      </c>
      <c r="CS876" s="23">
        <v>0</v>
      </c>
      <c r="CT876" s="24">
        <v>23</v>
      </c>
      <c r="CU876" s="23">
        <v>0</v>
      </c>
      <c r="CV876" s="24">
        <v>22</v>
      </c>
      <c r="CW876" s="23" t="s">
        <v>138</v>
      </c>
      <c r="CX876" s="24" t="s">
        <v>138</v>
      </c>
      <c r="CY876" s="23">
        <v>0</v>
      </c>
      <c r="CZ876" s="24">
        <v>25</v>
      </c>
      <c r="DA876" s="23">
        <v>0</v>
      </c>
      <c r="DB876" s="24">
        <v>22</v>
      </c>
      <c r="DC876" s="25">
        <v>0.18</v>
      </c>
      <c r="DD876" s="24">
        <v>15</v>
      </c>
      <c r="DE876" s="25">
        <v>0</v>
      </c>
      <c r="DF876" s="23">
        <v>0.09</v>
      </c>
      <c r="DG876" s="25">
        <v>0.31</v>
      </c>
      <c r="DH876" s="24">
        <v>23</v>
      </c>
      <c r="DI876" s="25">
        <v>0.06</v>
      </c>
      <c r="DJ876" s="24">
        <v>10</v>
      </c>
      <c r="DK876" s="25" t="s">
        <v>138</v>
      </c>
      <c r="DL876" s="24" t="s">
        <v>138</v>
      </c>
      <c r="DM876" s="25">
        <v>0.31</v>
      </c>
      <c r="DN876" s="24">
        <v>24</v>
      </c>
      <c r="DO876" s="25">
        <v>0.06</v>
      </c>
      <c r="DP876" s="24">
        <v>11</v>
      </c>
      <c r="DQ876" s="24" t="s">
        <v>138</v>
      </c>
      <c r="DR876" s="26" t="s">
        <v>138</v>
      </c>
      <c r="DS876" s="23" t="s">
        <v>138</v>
      </c>
      <c r="DT876" s="24">
        <v>9</v>
      </c>
      <c r="DU876" s="26">
        <v>0</v>
      </c>
      <c r="DV876" s="23">
        <v>0</v>
      </c>
      <c r="DW876" s="24">
        <v>21</v>
      </c>
      <c r="DX876" s="27">
        <v>0</v>
      </c>
      <c r="DY876" s="23">
        <v>0</v>
      </c>
      <c r="DZ876" s="15" t="s">
        <v>178</v>
      </c>
      <c r="EA876" s="22">
        <v>43563</v>
      </c>
      <c r="EB876" s="17">
        <v>0.33</v>
      </c>
      <c r="EC876" s="22">
        <v>42646</v>
      </c>
      <c r="ED876" s="15" t="s">
        <v>316</v>
      </c>
      <c r="EE876" s="14" t="str">
        <f>HYPERLINK("https://my.pitchbook.com?c=171385-30", "View company online")</f>
        <v>View company online</v>
      </c>
    </row>
    <row r="877" spans="1:135">
      <c r="A877" s="28" t="s">
        <v>17346</v>
      </c>
      <c r="B877" s="28" t="s">
        <v>17347</v>
      </c>
      <c r="C877" s="28" t="s">
        <v>138</v>
      </c>
      <c r="D877" s="28" t="s">
        <v>138</v>
      </c>
      <c r="E877" s="28" t="s">
        <v>138</v>
      </c>
      <c r="F877" s="28" t="s">
        <v>17346</v>
      </c>
      <c r="G877" s="28" t="s">
        <v>17348</v>
      </c>
      <c r="H877" s="28" t="s">
        <v>322</v>
      </c>
      <c r="I877" s="28" t="s">
        <v>323</v>
      </c>
      <c r="J877" s="28" t="s">
        <v>413</v>
      </c>
      <c r="K877" s="28" t="s">
        <v>17349</v>
      </c>
      <c r="L877" s="28" t="s">
        <v>17350</v>
      </c>
      <c r="M877" s="28" t="s">
        <v>17351</v>
      </c>
      <c r="N877" s="28" t="s">
        <v>147</v>
      </c>
      <c r="O877" s="29">
        <v>2.4</v>
      </c>
      <c r="P877" s="28" t="s">
        <v>148</v>
      </c>
      <c r="Q877" s="28" t="s">
        <v>149</v>
      </c>
      <c r="R877" s="28" t="s">
        <v>174</v>
      </c>
      <c r="S877" s="28" t="s">
        <v>17352</v>
      </c>
      <c r="T877" s="30">
        <v>10</v>
      </c>
      <c r="U877" s="28" t="s">
        <v>6343</v>
      </c>
      <c r="V877" s="28" t="s">
        <v>138</v>
      </c>
      <c r="W877" s="28" t="s">
        <v>138</v>
      </c>
      <c r="X877" s="31">
        <v>2014</v>
      </c>
      <c r="Y877" s="28" t="s">
        <v>138</v>
      </c>
      <c r="Z877" s="28" t="s">
        <v>138</v>
      </c>
      <c r="AA877" s="28" t="s">
        <v>138</v>
      </c>
      <c r="AB877" s="32" t="s">
        <v>138</v>
      </c>
      <c r="AC877" s="32" t="s">
        <v>138</v>
      </c>
      <c r="AD877" s="32" t="s">
        <v>138</v>
      </c>
      <c r="AE877" s="32" t="s">
        <v>138</v>
      </c>
      <c r="AF877" s="32" t="s">
        <v>138</v>
      </c>
      <c r="AG877" s="28" t="s">
        <v>138</v>
      </c>
      <c r="AH877" s="32" t="s">
        <v>138</v>
      </c>
      <c r="AI877" s="32" t="s">
        <v>138</v>
      </c>
      <c r="AJ877" s="32" t="s">
        <v>138</v>
      </c>
      <c r="AK877" s="28" t="s">
        <v>17353</v>
      </c>
      <c r="AL877" s="28" t="s">
        <v>17354</v>
      </c>
      <c r="AM877" s="28" t="s">
        <v>304</v>
      </c>
      <c r="AN877" s="28" t="s">
        <v>17355</v>
      </c>
      <c r="AO877" s="28" t="s">
        <v>17356</v>
      </c>
      <c r="AP877" s="28" t="s">
        <v>3905</v>
      </c>
      <c r="AQ877" s="28" t="s">
        <v>17357</v>
      </c>
      <c r="AR877" s="28" t="s">
        <v>17358</v>
      </c>
      <c r="AS877" s="28" t="s">
        <v>3907</v>
      </c>
      <c r="AT877" s="28" t="s">
        <v>2740</v>
      </c>
      <c r="AU877" s="28" t="s">
        <v>17359</v>
      </c>
      <c r="AV877" s="28" t="s">
        <v>2742</v>
      </c>
      <c r="AW877" s="28" t="s">
        <v>17356</v>
      </c>
      <c r="AX877" s="28" t="s">
        <v>138</v>
      </c>
      <c r="AY877" s="28" t="s">
        <v>17360</v>
      </c>
      <c r="AZ877" s="28" t="s">
        <v>164</v>
      </c>
      <c r="BA877" s="28" t="s">
        <v>165</v>
      </c>
      <c r="BB877" s="28" t="s">
        <v>17361</v>
      </c>
      <c r="BC877" s="28" t="s">
        <v>17362</v>
      </c>
      <c r="BD877" s="33">
        <v>9</v>
      </c>
      <c r="BE877" s="28" t="s">
        <v>138</v>
      </c>
      <c r="BF877" s="28" t="s">
        <v>138</v>
      </c>
      <c r="BG877" s="28" t="s">
        <v>138</v>
      </c>
      <c r="BH877" s="28" t="s">
        <v>17363</v>
      </c>
      <c r="BI877" s="28" t="s">
        <v>138</v>
      </c>
      <c r="BJ877" s="28" t="s">
        <v>138</v>
      </c>
      <c r="BK877" s="28" t="s">
        <v>1251</v>
      </c>
      <c r="BL877" s="28" t="s">
        <v>1251</v>
      </c>
      <c r="BM877" s="34">
        <v>41995</v>
      </c>
      <c r="BN877" s="29">
        <v>0.03</v>
      </c>
      <c r="BO877" s="28" t="s">
        <v>172</v>
      </c>
      <c r="BP877" s="29" t="s">
        <v>138</v>
      </c>
      <c r="BQ877" s="28" t="s">
        <v>138</v>
      </c>
      <c r="BR877" s="28" t="s">
        <v>234</v>
      </c>
      <c r="BS877" s="28" t="s">
        <v>234</v>
      </c>
      <c r="BT877" s="28" t="s">
        <v>138</v>
      </c>
      <c r="BU877" s="28" t="s">
        <v>174</v>
      </c>
      <c r="BV877" s="28" t="s">
        <v>138</v>
      </c>
      <c r="BW877" s="28" t="s">
        <v>138</v>
      </c>
      <c r="BX877" s="28" t="s">
        <v>138</v>
      </c>
      <c r="BY877" s="28" t="s">
        <v>175</v>
      </c>
      <c r="BZ877" s="34" t="s">
        <v>138</v>
      </c>
      <c r="CA877" s="29" t="s">
        <v>138</v>
      </c>
      <c r="CB877" s="28" t="s">
        <v>138</v>
      </c>
      <c r="CC877" s="29" t="s">
        <v>138</v>
      </c>
      <c r="CD877" s="28" t="s">
        <v>138</v>
      </c>
      <c r="CE877" s="28" t="s">
        <v>205</v>
      </c>
      <c r="CF877" s="28" t="s">
        <v>138</v>
      </c>
      <c r="CG877" s="28" t="s">
        <v>138</v>
      </c>
      <c r="CH877" s="28" t="s">
        <v>174</v>
      </c>
      <c r="CI877" s="28" t="s">
        <v>138</v>
      </c>
      <c r="CJ877" s="28" t="s">
        <v>138</v>
      </c>
      <c r="CK877" s="28" t="s">
        <v>138</v>
      </c>
      <c r="CL877" s="28" t="s">
        <v>175</v>
      </c>
      <c r="CM877" s="34" t="s">
        <v>138</v>
      </c>
      <c r="CN877" s="29" t="s">
        <v>138</v>
      </c>
      <c r="CO877" s="35">
        <v>0.28000000000000003</v>
      </c>
      <c r="CP877" s="36">
        <v>93</v>
      </c>
      <c r="CQ877" s="35">
        <v>0.02</v>
      </c>
      <c r="CR877" s="35">
        <v>6.28</v>
      </c>
      <c r="CS877" s="35" t="s">
        <v>138</v>
      </c>
      <c r="CT877" s="36" t="s">
        <v>138</v>
      </c>
      <c r="CU877" s="35">
        <v>0.28000000000000003</v>
      </c>
      <c r="CV877" s="36">
        <v>86</v>
      </c>
      <c r="CW877" s="35" t="s">
        <v>138</v>
      </c>
      <c r="CX877" s="36" t="s">
        <v>138</v>
      </c>
      <c r="CY877" s="35" t="s">
        <v>138</v>
      </c>
      <c r="CZ877" s="36" t="s">
        <v>138</v>
      </c>
      <c r="DA877" s="35">
        <v>0.15</v>
      </c>
      <c r="DB877" s="36">
        <v>78</v>
      </c>
      <c r="DC877" s="37">
        <v>1.65</v>
      </c>
      <c r="DD877" s="36">
        <v>63</v>
      </c>
      <c r="DE877" s="37">
        <v>0.01</v>
      </c>
      <c r="DF877" s="35">
        <v>0.56999999999999995</v>
      </c>
      <c r="DG877" s="37" t="s">
        <v>138</v>
      </c>
      <c r="DH877" s="36" t="s">
        <v>138</v>
      </c>
      <c r="DI877" s="37">
        <v>1.65</v>
      </c>
      <c r="DJ877" s="36">
        <v>59</v>
      </c>
      <c r="DK877" s="37" t="s">
        <v>138</v>
      </c>
      <c r="DL877" s="36" t="s">
        <v>138</v>
      </c>
      <c r="DM877" s="37" t="s">
        <v>138</v>
      </c>
      <c r="DN877" s="36" t="s">
        <v>138</v>
      </c>
      <c r="DO877" s="37">
        <v>2.11</v>
      </c>
      <c r="DP877" s="36">
        <v>65</v>
      </c>
      <c r="DQ877" s="36" t="s">
        <v>138</v>
      </c>
      <c r="DR877" s="38" t="s">
        <v>138</v>
      </c>
      <c r="DS877" s="35" t="s">
        <v>138</v>
      </c>
      <c r="DT877" s="36" t="s">
        <v>138</v>
      </c>
      <c r="DU877" s="38" t="s">
        <v>138</v>
      </c>
      <c r="DV877" s="35" t="s">
        <v>138</v>
      </c>
      <c r="DW877" s="36">
        <v>753</v>
      </c>
      <c r="DX877" s="39">
        <v>1</v>
      </c>
      <c r="DY877" s="35">
        <v>0.13</v>
      </c>
      <c r="DZ877" s="28" t="s">
        <v>178</v>
      </c>
      <c r="EA877" s="34">
        <v>43558</v>
      </c>
      <c r="EB877" s="29">
        <v>1.71</v>
      </c>
      <c r="EC877" s="34">
        <v>43101</v>
      </c>
      <c r="ED877" s="28" t="s">
        <v>316</v>
      </c>
      <c r="EE877" s="40" t="str">
        <f>HYPERLINK("https://my.pitchbook.com?c=101883-25", "View company online")</f>
        <v>View company online</v>
      </c>
    </row>
    <row r="878" spans="1:135">
      <c r="A878" s="15" t="s">
        <v>17364</v>
      </c>
      <c r="B878" s="15" t="s">
        <v>17365</v>
      </c>
      <c r="C878" s="15" t="s">
        <v>138</v>
      </c>
      <c r="D878" s="15" t="s">
        <v>138</v>
      </c>
      <c r="E878" s="15" t="s">
        <v>138</v>
      </c>
      <c r="F878" s="15" t="s">
        <v>17364</v>
      </c>
      <c r="G878" s="15" t="s">
        <v>17366</v>
      </c>
      <c r="H878" s="15" t="s">
        <v>322</v>
      </c>
      <c r="I878" s="15" t="s">
        <v>323</v>
      </c>
      <c r="J878" s="15" t="s">
        <v>413</v>
      </c>
      <c r="K878" s="15" t="s">
        <v>2254</v>
      </c>
      <c r="L878" s="15" t="s">
        <v>17367</v>
      </c>
      <c r="M878" s="15" t="s">
        <v>17368</v>
      </c>
      <c r="N878" s="15" t="s">
        <v>147</v>
      </c>
      <c r="O878" s="17" t="s">
        <v>138</v>
      </c>
      <c r="P878" s="15" t="s">
        <v>148</v>
      </c>
      <c r="Q878" s="15" t="s">
        <v>149</v>
      </c>
      <c r="R878" s="15" t="s">
        <v>174</v>
      </c>
      <c r="S878" s="15" t="s">
        <v>17369</v>
      </c>
      <c r="T878" s="18">
        <v>51</v>
      </c>
      <c r="U878" s="15" t="s">
        <v>12556</v>
      </c>
      <c r="V878" s="15" t="s">
        <v>138</v>
      </c>
      <c r="W878" s="15" t="s">
        <v>138</v>
      </c>
      <c r="X878" s="19">
        <v>2012</v>
      </c>
      <c r="Y878" s="15" t="s">
        <v>138</v>
      </c>
      <c r="Z878" s="15" t="s">
        <v>138</v>
      </c>
      <c r="AA878" s="15" t="s">
        <v>138</v>
      </c>
      <c r="AB878" s="20" t="s">
        <v>138</v>
      </c>
      <c r="AC878" s="20" t="s">
        <v>138</v>
      </c>
      <c r="AD878" s="20" t="s">
        <v>138</v>
      </c>
      <c r="AE878" s="20" t="s">
        <v>138</v>
      </c>
      <c r="AF878" s="20" t="s">
        <v>138</v>
      </c>
      <c r="AG878" s="15" t="s">
        <v>138</v>
      </c>
      <c r="AH878" s="20" t="s">
        <v>138</v>
      </c>
      <c r="AI878" s="20" t="s">
        <v>138</v>
      </c>
      <c r="AJ878" s="20" t="s">
        <v>138</v>
      </c>
      <c r="AK878" s="15" t="s">
        <v>17370</v>
      </c>
      <c r="AL878" s="15" t="s">
        <v>17371</v>
      </c>
      <c r="AM878" s="15" t="s">
        <v>17372</v>
      </c>
      <c r="AN878" s="15" t="s">
        <v>17373</v>
      </c>
      <c r="AO878" s="15" t="s">
        <v>138</v>
      </c>
      <c r="AP878" s="15" t="s">
        <v>4601</v>
      </c>
      <c r="AQ878" s="15" t="s">
        <v>17374</v>
      </c>
      <c r="AR878" s="15" t="s">
        <v>138</v>
      </c>
      <c r="AS878" s="15" t="s">
        <v>4604</v>
      </c>
      <c r="AT878" s="15" t="s">
        <v>17375</v>
      </c>
      <c r="AU878" s="15" t="s">
        <v>17376</v>
      </c>
      <c r="AV878" s="15" t="s">
        <v>2071</v>
      </c>
      <c r="AW878" s="15" t="s">
        <v>17377</v>
      </c>
      <c r="AX878" s="15" t="s">
        <v>138</v>
      </c>
      <c r="AY878" s="15" t="s">
        <v>17378</v>
      </c>
      <c r="AZ878" s="15" t="s">
        <v>452</v>
      </c>
      <c r="BA878" s="15" t="s">
        <v>453</v>
      </c>
      <c r="BB878" s="15" t="s">
        <v>17379</v>
      </c>
      <c r="BC878" s="15" t="s">
        <v>17380</v>
      </c>
      <c r="BD878" s="21">
        <v>2</v>
      </c>
      <c r="BE878" s="15" t="s">
        <v>138</v>
      </c>
      <c r="BF878" s="15" t="s">
        <v>138</v>
      </c>
      <c r="BG878" s="15" t="s">
        <v>138</v>
      </c>
      <c r="BH878" s="15" t="s">
        <v>17381</v>
      </c>
      <c r="BI878" s="15" t="s">
        <v>138</v>
      </c>
      <c r="BJ878" s="15" t="s">
        <v>138</v>
      </c>
      <c r="BK878" s="15" t="s">
        <v>17382</v>
      </c>
      <c r="BL878" s="15" t="s">
        <v>138</v>
      </c>
      <c r="BM878" s="22">
        <v>41910</v>
      </c>
      <c r="BN878" s="17" t="s">
        <v>138</v>
      </c>
      <c r="BO878" s="15" t="s">
        <v>138</v>
      </c>
      <c r="BP878" s="17" t="s">
        <v>138</v>
      </c>
      <c r="BQ878" s="15" t="s">
        <v>138</v>
      </c>
      <c r="BR878" s="15" t="s">
        <v>205</v>
      </c>
      <c r="BS878" s="15" t="s">
        <v>138</v>
      </c>
      <c r="BT878" s="15" t="s">
        <v>138</v>
      </c>
      <c r="BU878" s="15" t="s">
        <v>174</v>
      </c>
      <c r="BV878" s="15" t="s">
        <v>138</v>
      </c>
      <c r="BW878" s="15" t="s">
        <v>138</v>
      </c>
      <c r="BX878" s="15" t="s">
        <v>138</v>
      </c>
      <c r="BY878" s="15" t="s">
        <v>175</v>
      </c>
      <c r="BZ878" s="22">
        <v>41910</v>
      </c>
      <c r="CA878" s="17" t="s">
        <v>138</v>
      </c>
      <c r="CB878" s="15" t="s">
        <v>138</v>
      </c>
      <c r="CC878" s="17" t="s">
        <v>138</v>
      </c>
      <c r="CD878" s="15" t="s">
        <v>138</v>
      </c>
      <c r="CE878" s="15" t="s">
        <v>205</v>
      </c>
      <c r="CF878" s="15" t="s">
        <v>138</v>
      </c>
      <c r="CG878" s="15" t="s">
        <v>138</v>
      </c>
      <c r="CH878" s="15" t="s">
        <v>174</v>
      </c>
      <c r="CI878" s="15" t="s">
        <v>138</v>
      </c>
      <c r="CJ878" s="15" t="s">
        <v>138</v>
      </c>
      <c r="CK878" s="15" t="s">
        <v>138</v>
      </c>
      <c r="CL878" s="15" t="s">
        <v>175</v>
      </c>
      <c r="CM878" s="22" t="s">
        <v>138</v>
      </c>
      <c r="CN878" s="17" t="s">
        <v>138</v>
      </c>
      <c r="CO878" s="23">
        <v>7.0000000000000007E-2</v>
      </c>
      <c r="CP878" s="24">
        <v>89</v>
      </c>
      <c r="CQ878" s="23">
        <v>0</v>
      </c>
      <c r="CR878" s="23">
        <v>0</v>
      </c>
      <c r="CS878" s="23">
        <v>0</v>
      </c>
      <c r="CT878" s="24">
        <v>23</v>
      </c>
      <c r="CU878" s="23">
        <v>0.14000000000000001</v>
      </c>
      <c r="CV878" s="24">
        <v>74</v>
      </c>
      <c r="CW878" s="23" t="s">
        <v>138</v>
      </c>
      <c r="CX878" s="24" t="s">
        <v>138</v>
      </c>
      <c r="CY878" s="23">
        <v>0</v>
      </c>
      <c r="CZ878" s="24">
        <v>25</v>
      </c>
      <c r="DA878" s="23">
        <v>0.14000000000000001</v>
      </c>
      <c r="DB878" s="24">
        <v>77</v>
      </c>
      <c r="DC878" s="25">
        <v>0.97</v>
      </c>
      <c r="DD878" s="24">
        <v>50</v>
      </c>
      <c r="DE878" s="25">
        <v>0</v>
      </c>
      <c r="DF878" s="23">
        <v>0.21</v>
      </c>
      <c r="DG878" s="25">
        <v>1.21</v>
      </c>
      <c r="DH878" s="24">
        <v>55</v>
      </c>
      <c r="DI878" s="25">
        <v>0.73</v>
      </c>
      <c r="DJ878" s="24">
        <v>43</v>
      </c>
      <c r="DK878" s="25" t="s">
        <v>138</v>
      </c>
      <c r="DL878" s="24" t="s">
        <v>138</v>
      </c>
      <c r="DM878" s="25">
        <v>1.21</v>
      </c>
      <c r="DN878" s="24">
        <v>54</v>
      </c>
      <c r="DO878" s="25">
        <v>0.73</v>
      </c>
      <c r="DP878" s="24">
        <v>45</v>
      </c>
      <c r="DQ878" s="24" t="s">
        <v>138</v>
      </c>
      <c r="DR878" s="26" t="s">
        <v>138</v>
      </c>
      <c r="DS878" s="23" t="s">
        <v>138</v>
      </c>
      <c r="DT878" s="24">
        <v>35</v>
      </c>
      <c r="DU878" s="26">
        <v>0</v>
      </c>
      <c r="DV878" s="23">
        <v>0</v>
      </c>
      <c r="DW878" s="24">
        <v>261</v>
      </c>
      <c r="DX878" s="27">
        <v>0</v>
      </c>
      <c r="DY878" s="23">
        <v>0</v>
      </c>
      <c r="DZ878" s="15" t="s">
        <v>178</v>
      </c>
      <c r="EA878" s="22">
        <v>43622</v>
      </c>
      <c r="EB878" s="17" t="s">
        <v>138</v>
      </c>
      <c r="EC878" s="22" t="s">
        <v>138</v>
      </c>
      <c r="ED878" s="15" t="s">
        <v>138</v>
      </c>
      <c r="EE878" s="14" t="str">
        <f>HYPERLINK("https://my.pitchbook.com?c=92732-86", "View company online")</f>
        <v>View company online</v>
      </c>
    </row>
    <row r="879" spans="1:135">
      <c r="A879" s="28" t="s">
        <v>17383</v>
      </c>
      <c r="B879" s="28" t="s">
        <v>17384</v>
      </c>
      <c r="C879" s="28" t="s">
        <v>138</v>
      </c>
      <c r="D879" s="28" t="s">
        <v>17385</v>
      </c>
      <c r="E879" s="28" t="s">
        <v>138</v>
      </c>
      <c r="F879" s="28" t="s">
        <v>17383</v>
      </c>
      <c r="G879" s="28" t="s">
        <v>17386</v>
      </c>
      <c r="H879" s="28" t="s">
        <v>322</v>
      </c>
      <c r="I879" s="28" t="s">
        <v>1503</v>
      </c>
      <c r="J879" s="28" t="s">
        <v>2377</v>
      </c>
      <c r="K879" s="28" t="s">
        <v>17387</v>
      </c>
      <c r="L879" s="28" t="s">
        <v>415</v>
      </c>
      <c r="M879" s="28" t="s">
        <v>17388</v>
      </c>
      <c r="N879" s="28" t="s">
        <v>147</v>
      </c>
      <c r="O879" s="29" t="s">
        <v>138</v>
      </c>
      <c r="P879" s="28" t="s">
        <v>610</v>
      </c>
      <c r="Q879" s="28" t="s">
        <v>149</v>
      </c>
      <c r="R879" s="28" t="s">
        <v>174</v>
      </c>
      <c r="S879" s="28" t="s">
        <v>17389</v>
      </c>
      <c r="T879" s="30" t="s">
        <v>138</v>
      </c>
      <c r="U879" s="28" t="s">
        <v>138</v>
      </c>
      <c r="V879" s="28" t="s">
        <v>138</v>
      </c>
      <c r="W879" s="28" t="s">
        <v>138</v>
      </c>
      <c r="X879" s="31">
        <v>2002</v>
      </c>
      <c r="Y879" s="28" t="s">
        <v>138</v>
      </c>
      <c r="Z879" s="28" t="s">
        <v>138</v>
      </c>
      <c r="AA879" s="28" t="s">
        <v>138</v>
      </c>
      <c r="AB879" s="32" t="s">
        <v>138</v>
      </c>
      <c r="AC879" s="32" t="s">
        <v>138</v>
      </c>
      <c r="AD879" s="32" t="s">
        <v>138</v>
      </c>
      <c r="AE879" s="32" t="s">
        <v>138</v>
      </c>
      <c r="AF879" s="32" t="s">
        <v>138</v>
      </c>
      <c r="AG879" s="28" t="s">
        <v>138</v>
      </c>
      <c r="AH879" s="32" t="s">
        <v>138</v>
      </c>
      <c r="AI879" s="32" t="s">
        <v>138</v>
      </c>
      <c r="AJ879" s="32" t="s">
        <v>138</v>
      </c>
      <c r="AK879" s="28" t="s">
        <v>17390</v>
      </c>
      <c r="AL879" s="28" t="s">
        <v>17391</v>
      </c>
      <c r="AM879" s="28" t="s">
        <v>566</v>
      </c>
      <c r="AN879" s="28" t="s">
        <v>17392</v>
      </c>
      <c r="AO879" s="28" t="s">
        <v>17393</v>
      </c>
      <c r="AP879" s="28" t="s">
        <v>17394</v>
      </c>
      <c r="AQ879" s="28" t="s">
        <v>17395</v>
      </c>
      <c r="AR879" s="28" t="s">
        <v>17396</v>
      </c>
      <c r="AS879" s="28" t="s">
        <v>17397</v>
      </c>
      <c r="AT879" s="28" t="s">
        <v>138</v>
      </c>
      <c r="AU879" s="28" t="s">
        <v>17398</v>
      </c>
      <c r="AV879" s="28" t="s">
        <v>2071</v>
      </c>
      <c r="AW879" s="28" t="s">
        <v>17393</v>
      </c>
      <c r="AX879" s="28" t="s">
        <v>17399</v>
      </c>
      <c r="AY879" s="28" t="s">
        <v>17400</v>
      </c>
      <c r="AZ879" s="28" t="s">
        <v>452</v>
      </c>
      <c r="BA879" s="28" t="s">
        <v>453</v>
      </c>
      <c r="BB879" s="28" t="s">
        <v>17329</v>
      </c>
      <c r="BC879" s="28" t="s">
        <v>2075</v>
      </c>
      <c r="BD879" s="33">
        <v>1</v>
      </c>
      <c r="BE879" s="28" t="s">
        <v>138</v>
      </c>
      <c r="BF879" s="28" t="s">
        <v>138</v>
      </c>
      <c r="BG879" s="28" t="s">
        <v>138</v>
      </c>
      <c r="BH879" s="28" t="s">
        <v>2077</v>
      </c>
      <c r="BI879" s="28" t="s">
        <v>138</v>
      </c>
      <c r="BJ879" s="28" t="s">
        <v>138</v>
      </c>
      <c r="BK879" s="28" t="s">
        <v>138</v>
      </c>
      <c r="BL879" s="28" t="s">
        <v>138</v>
      </c>
      <c r="BM879" s="34" t="s">
        <v>138</v>
      </c>
      <c r="BN879" s="29" t="s">
        <v>138</v>
      </c>
      <c r="BO879" s="28" t="s">
        <v>138</v>
      </c>
      <c r="BP879" s="29" t="s">
        <v>138</v>
      </c>
      <c r="BQ879" s="28" t="s">
        <v>138</v>
      </c>
      <c r="BR879" s="28" t="s">
        <v>205</v>
      </c>
      <c r="BS879" s="28" t="s">
        <v>138</v>
      </c>
      <c r="BT879" s="28" t="s">
        <v>138</v>
      </c>
      <c r="BU879" s="28" t="s">
        <v>174</v>
      </c>
      <c r="BV879" s="28" t="s">
        <v>138</v>
      </c>
      <c r="BW879" s="28" t="s">
        <v>138</v>
      </c>
      <c r="BX879" s="28" t="s">
        <v>138</v>
      </c>
      <c r="BY879" s="28" t="s">
        <v>175</v>
      </c>
      <c r="BZ879" s="34" t="s">
        <v>138</v>
      </c>
      <c r="CA879" s="29" t="s">
        <v>138</v>
      </c>
      <c r="CB879" s="28" t="s">
        <v>138</v>
      </c>
      <c r="CC879" s="29" t="s">
        <v>138</v>
      </c>
      <c r="CD879" s="28" t="s">
        <v>138</v>
      </c>
      <c r="CE879" s="28" t="s">
        <v>205</v>
      </c>
      <c r="CF879" s="28" t="s">
        <v>138</v>
      </c>
      <c r="CG879" s="28" t="s">
        <v>138</v>
      </c>
      <c r="CH879" s="28" t="s">
        <v>174</v>
      </c>
      <c r="CI879" s="28" t="s">
        <v>138</v>
      </c>
      <c r="CJ879" s="28" t="s">
        <v>138</v>
      </c>
      <c r="CK879" s="28" t="s">
        <v>138</v>
      </c>
      <c r="CL879" s="28" t="s">
        <v>175</v>
      </c>
      <c r="CM879" s="34" t="s">
        <v>138</v>
      </c>
      <c r="CN879" s="29" t="s">
        <v>138</v>
      </c>
      <c r="CO879" s="35">
        <v>0</v>
      </c>
      <c r="CP879" s="36">
        <v>26</v>
      </c>
      <c r="CQ879" s="35">
        <v>0</v>
      </c>
      <c r="CR879" s="35">
        <v>0</v>
      </c>
      <c r="CS879" s="35">
        <v>0</v>
      </c>
      <c r="CT879" s="36">
        <v>23</v>
      </c>
      <c r="CU879" s="35" t="s">
        <v>138</v>
      </c>
      <c r="CV879" s="36" t="s">
        <v>138</v>
      </c>
      <c r="CW879" s="35" t="s">
        <v>138</v>
      </c>
      <c r="CX879" s="36" t="s">
        <v>138</v>
      </c>
      <c r="CY879" s="35">
        <v>0</v>
      </c>
      <c r="CZ879" s="36">
        <v>25</v>
      </c>
      <c r="DA879" s="35" t="s">
        <v>138</v>
      </c>
      <c r="DB879" s="36" t="s">
        <v>138</v>
      </c>
      <c r="DC879" s="37">
        <v>0.24</v>
      </c>
      <c r="DD879" s="36">
        <v>18</v>
      </c>
      <c r="DE879" s="37">
        <v>0</v>
      </c>
      <c r="DF879" s="35">
        <v>0</v>
      </c>
      <c r="DG879" s="37">
        <v>0.24</v>
      </c>
      <c r="DH879" s="36">
        <v>18</v>
      </c>
      <c r="DI879" s="37" t="s">
        <v>138</v>
      </c>
      <c r="DJ879" s="36" t="s">
        <v>138</v>
      </c>
      <c r="DK879" s="37" t="s">
        <v>138</v>
      </c>
      <c r="DL879" s="36" t="s">
        <v>138</v>
      </c>
      <c r="DM879" s="37">
        <v>0.24</v>
      </c>
      <c r="DN879" s="36">
        <v>19</v>
      </c>
      <c r="DO879" s="37" t="s">
        <v>138</v>
      </c>
      <c r="DP879" s="36" t="s">
        <v>138</v>
      </c>
      <c r="DQ879" s="36" t="s">
        <v>138</v>
      </c>
      <c r="DR879" s="38" t="s">
        <v>138</v>
      </c>
      <c r="DS879" s="35" t="s">
        <v>138</v>
      </c>
      <c r="DT879" s="36">
        <v>7</v>
      </c>
      <c r="DU879" s="38">
        <v>0</v>
      </c>
      <c r="DV879" s="35">
        <v>0</v>
      </c>
      <c r="DW879" s="36" t="s">
        <v>138</v>
      </c>
      <c r="DX879" s="39" t="s">
        <v>138</v>
      </c>
      <c r="DY879" s="35" t="s">
        <v>138</v>
      </c>
      <c r="DZ879" s="28" t="s">
        <v>178</v>
      </c>
      <c r="EA879" s="34">
        <v>43351</v>
      </c>
      <c r="EB879" s="29" t="s">
        <v>138</v>
      </c>
      <c r="EC879" s="34" t="s">
        <v>138</v>
      </c>
      <c r="ED879" s="28" t="s">
        <v>138</v>
      </c>
      <c r="EE879" s="40" t="str">
        <f>HYPERLINK("https://my.pitchbook.com?c=54826-21", "View company online")</f>
        <v>View company online</v>
      </c>
    </row>
    <row r="880" spans="1:135">
      <c r="A880" s="15" t="s">
        <v>17401</v>
      </c>
      <c r="B880" s="15" t="s">
        <v>17402</v>
      </c>
      <c r="C880" s="15" t="s">
        <v>17403</v>
      </c>
      <c r="D880" s="15" t="s">
        <v>138</v>
      </c>
      <c r="E880" s="15" t="s">
        <v>138</v>
      </c>
      <c r="F880" s="15" t="s">
        <v>17401</v>
      </c>
      <c r="G880" s="15" t="s">
        <v>17404</v>
      </c>
      <c r="H880" s="15" t="s">
        <v>322</v>
      </c>
      <c r="I880" s="15" t="s">
        <v>1208</v>
      </c>
      <c r="J880" s="15" t="s">
        <v>1209</v>
      </c>
      <c r="K880" s="15" t="s">
        <v>1971</v>
      </c>
      <c r="L880" s="15" t="s">
        <v>2255</v>
      </c>
      <c r="M880" s="15" t="s">
        <v>17405</v>
      </c>
      <c r="N880" s="15" t="s">
        <v>147</v>
      </c>
      <c r="O880" s="17">
        <v>78.83</v>
      </c>
      <c r="P880" s="15" t="s">
        <v>148</v>
      </c>
      <c r="Q880" s="15" t="s">
        <v>149</v>
      </c>
      <c r="R880" s="15" t="s">
        <v>174</v>
      </c>
      <c r="S880" s="15" t="s">
        <v>17406</v>
      </c>
      <c r="T880" s="18">
        <v>95</v>
      </c>
      <c r="U880" s="15" t="s">
        <v>17407</v>
      </c>
      <c r="V880" s="15" t="s">
        <v>138</v>
      </c>
      <c r="W880" s="15" t="s">
        <v>138</v>
      </c>
      <c r="X880" s="19">
        <v>2012</v>
      </c>
      <c r="Y880" s="15" t="s">
        <v>138</v>
      </c>
      <c r="Z880" s="15" t="s">
        <v>138</v>
      </c>
      <c r="AA880" s="15" t="s">
        <v>138</v>
      </c>
      <c r="AB880" s="20" t="s">
        <v>138</v>
      </c>
      <c r="AC880" s="20" t="s">
        <v>138</v>
      </c>
      <c r="AD880" s="20" t="s">
        <v>138</v>
      </c>
      <c r="AE880" s="20" t="s">
        <v>138</v>
      </c>
      <c r="AF880" s="20" t="s">
        <v>138</v>
      </c>
      <c r="AG880" s="15" t="s">
        <v>138</v>
      </c>
      <c r="AH880" s="20" t="s">
        <v>138</v>
      </c>
      <c r="AI880" s="20" t="s">
        <v>138</v>
      </c>
      <c r="AJ880" s="20" t="s">
        <v>138</v>
      </c>
      <c r="AK880" s="15" t="s">
        <v>17408</v>
      </c>
      <c r="AL880" s="15" t="s">
        <v>17409</v>
      </c>
      <c r="AM880" s="15" t="s">
        <v>221</v>
      </c>
      <c r="AN880" s="15" t="s">
        <v>17410</v>
      </c>
      <c r="AO880" s="15" t="s">
        <v>138</v>
      </c>
      <c r="AP880" s="15" t="s">
        <v>307</v>
      </c>
      <c r="AQ880" s="15" t="s">
        <v>17411</v>
      </c>
      <c r="AR880" s="15" t="s">
        <v>1115</v>
      </c>
      <c r="AS880" s="15" t="s">
        <v>310</v>
      </c>
      <c r="AT880" s="15" t="s">
        <v>200</v>
      </c>
      <c r="AU880" s="15" t="s">
        <v>798</v>
      </c>
      <c r="AV880" s="15" t="s">
        <v>162</v>
      </c>
      <c r="AW880" s="15" t="s">
        <v>138</v>
      </c>
      <c r="AX880" s="15" t="s">
        <v>138</v>
      </c>
      <c r="AY880" s="15" t="s">
        <v>17412</v>
      </c>
      <c r="AZ880" s="15" t="s">
        <v>164</v>
      </c>
      <c r="BA880" s="15" t="s">
        <v>165</v>
      </c>
      <c r="BB880" s="15" t="s">
        <v>17413</v>
      </c>
      <c r="BC880" s="15" t="s">
        <v>17414</v>
      </c>
      <c r="BD880" s="21">
        <v>13</v>
      </c>
      <c r="BE880" s="15" t="s">
        <v>138</v>
      </c>
      <c r="BF880" s="15" t="s">
        <v>138</v>
      </c>
      <c r="BG880" s="15" t="s">
        <v>138</v>
      </c>
      <c r="BH880" s="15" t="s">
        <v>17415</v>
      </c>
      <c r="BI880" s="15" t="s">
        <v>138</v>
      </c>
      <c r="BJ880" s="15" t="s">
        <v>138</v>
      </c>
      <c r="BK880" s="15" t="s">
        <v>138</v>
      </c>
      <c r="BL880" s="15" t="s">
        <v>204</v>
      </c>
      <c r="BM880" s="22">
        <v>40909</v>
      </c>
      <c r="BN880" s="17">
        <v>0.15</v>
      </c>
      <c r="BO880" s="15" t="s">
        <v>172</v>
      </c>
      <c r="BP880" s="17" t="s">
        <v>138</v>
      </c>
      <c r="BQ880" s="15" t="s">
        <v>138</v>
      </c>
      <c r="BR880" s="15" t="s">
        <v>176</v>
      </c>
      <c r="BS880" s="15" t="s">
        <v>138</v>
      </c>
      <c r="BT880" s="15" t="s">
        <v>138</v>
      </c>
      <c r="BU880" s="15" t="s">
        <v>177</v>
      </c>
      <c r="BV880" s="15" t="s">
        <v>138</v>
      </c>
      <c r="BW880" s="15" t="s">
        <v>138</v>
      </c>
      <c r="BX880" s="15" t="s">
        <v>138</v>
      </c>
      <c r="BY880" s="15" t="s">
        <v>175</v>
      </c>
      <c r="BZ880" s="22">
        <v>43594</v>
      </c>
      <c r="CA880" s="17">
        <v>23.51</v>
      </c>
      <c r="CB880" s="15" t="s">
        <v>172</v>
      </c>
      <c r="CC880" s="17">
        <v>243.51</v>
      </c>
      <c r="CD880" s="15" t="s">
        <v>172</v>
      </c>
      <c r="CE880" s="15" t="s">
        <v>173</v>
      </c>
      <c r="CF880" s="15" t="s">
        <v>974</v>
      </c>
      <c r="CG880" s="15" t="s">
        <v>138</v>
      </c>
      <c r="CH880" s="15" t="s">
        <v>174</v>
      </c>
      <c r="CI880" s="15" t="s">
        <v>138</v>
      </c>
      <c r="CJ880" s="15" t="s">
        <v>138</v>
      </c>
      <c r="CK880" s="15" t="s">
        <v>138</v>
      </c>
      <c r="CL880" s="15" t="s">
        <v>175</v>
      </c>
      <c r="CM880" s="22" t="s">
        <v>138</v>
      </c>
      <c r="CN880" s="17" t="s">
        <v>138</v>
      </c>
      <c r="CO880" s="23">
        <v>1.1399999999999999</v>
      </c>
      <c r="CP880" s="24">
        <v>97</v>
      </c>
      <c r="CQ880" s="23">
        <v>0</v>
      </c>
      <c r="CR880" s="23">
        <v>-0.06</v>
      </c>
      <c r="CS880" s="23">
        <v>1.74</v>
      </c>
      <c r="CT880" s="24">
        <v>98</v>
      </c>
      <c r="CU880" s="23">
        <v>0.54</v>
      </c>
      <c r="CV880" s="24">
        <v>94</v>
      </c>
      <c r="CW880" s="23">
        <v>4.29</v>
      </c>
      <c r="CX880" s="24">
        <v>94</v>
      </c>
      <c r="CY880" s="23">
        <v>-0.81</v>
      </c>
      <c r="CZ880" s="24">
        <v>20</v>
      </c>
      <c r="DA880" s="23">
        <v>0.54</v>
      </c>
      <c r="DB880" s="24">
        <v>95</v>
      </c>
      <c r="DC880" s="25">
        <v>5.28</v>
      </c>
      <c r="DD880" s="24">
        <v>83</v>
      </c>
      <c r="DE880" s="25">
        <v>-0.35</v>
      </c>
      <c r="DF880" s="23">
        <v>-6.14</v>
      </c>
      <c r="DG880" s="25">
        <v>9.42</v>
      </c>
      <c r="DH880" s="24">
        <v>89</v>
      </c>
      <c r="DI880" s="25">
        <v>1.1399999999999999</v>
      </c>
      <c r="DJ880" s="24">
        <v>52</v>
      </c>
      <c r="DK880" s="25">
        <v>11.81</v>
      </c>
      <c r="DL880" s="24">
        <v>88</v>
      </c>
      <c r="DM880" s="25">
        <v>7.03</v>
      </c>
      <c r="DN880" s="24">
        <v>85</v>
      </c>
      <c r="DO880" s="25">
        <v>1.1399999999999999</v>
      </c>
      <c r="DP880" s="24">
        <v>53</v>
      </c>
      <c r="DQ880" s="24">
        <v>3908</v>
      </c>
      <c r="DR880" s="26">
        <v>427</v>
      </c>
      <c r="DS880" s="23">
        <v>12.27</v>
      </c>
      <c r="DT880" s="24">
        <v>202</v>
      </c>
      <c r="DU880" s="26">
        <v>3</v>
      </c>
      <c r="DV880" s="23">
        <v>1.51</v>
      </c>
      <c r="DW880" s="24">
        <v>405</v>
      </c>
      <c r="DX880" s="27">
        <v>1</v>
      </c>
      <c r="DY880" s="23">
        <v>0.25</v>
      </c>
      <c r="DZ880" s="15" t="s">
        <v>178</v>
      </c>
      <c r="EA880" s="22">
        <v>43620</v>
      </c>
      <c r="EB880" s="17">
        <v>243.51</v>
      </c>
      <c r="EC880" s="22">
        <v>43594</v>
      </c>
      <c r="ED880" s="15" t="s">
        <v>173</v>
      </c>
      <c r="EE880" s="14" t="str">
        <f>HYPERLINK("https://my.pitchbook.com?c=129650-23", "View company online")</f>
        <v>View company online</v>
      </c>
    </row>
    <row r="881" spans="1:135">
      <c r="A881" s="28" t="s">
        <v>17416</v>
      </c>
      <c r="B881" s="28" t="s">
        <v>17417</v>
      </c>
      <c r="C881" s="28" t="s">
        <v>138</v>
      </c>
      <c r="D881" s="28" t="s">
        <v>138</v>
      </c>
      <c r="E881" s="28" t="s">
        <v>17418</v>
      </c>
      <c r="F881" s="28" t="s">
        <v>17416</v>
      </c>
      <c r="G881" s="28" t="s">
        <v>17419</v>
      </c>
      <c r="H881" s="28" t="s">
        <v>322</v>
      </c>
      <c r="I881" s="28" t="s">
        <v>807</v>
      </c>
      <c r="J881" s="28" t="s">
        <v>2534</v>
      </c>
      <c r="K881" s="28" t="s">
        <v>17420</v>
      </c>
      <c r="L881" s="28" t="s">
        <v>1972</v>
      </c>
      <c r="M881" s="28" t="s">
        <v>17421</v>
      </c>
      <c r="N881" s="28" t="s">
        <v>147</v>
      </c>
      <c r="O881" s="29">
        <v>16.43</v>
      </c>
      <c r="P881" s="28" t="s">
        <v>1473</v>
      </c>
      <c r="Q881" s="28" t="s">
        <v>149</v>
      </c>
      <c r="R881" s="28" t="s">
        <v>150</v>
      </c>
      <c r="S881" s="28" t="s">
        <v>17422</v>
      </c>
      <c r="T881" s="30" t="s">
        <v>138</v>
      </c>
      <c r="U881" s="28" t="s">
        <v>138</v>
      </c>
      <c r="V881" s="28" t="s">
        <v>138</v>
      </c>
      <c r="W881" s="28" t="s">
        <v>138</v>
      </c>
      <c r="X881" s="31">
        <v>2015</v>
      </c>
      <c r="Y881" s="28" t="s">
        <v>138</v>
      </c>
      <c r="Z881" s="28" t="s">
        <v>138</v>
      </c>
      <c r="AA881" s="28" t="s">
        <v>138</v>
      </c>
      <c r="AB881" s="32">
        <v>19.5</v>
      </c>
      <c r="AC881" s="32" t="s">
        <v>138</v>
      </c>
      <c r="AD881" s="32">
        <v>-4.0999999999999996</v>
      </c>
      <c r="AE881" s="32" t="s">
        <v>138</v>
      </c>
      <c r="AF881" s="32" t="s">
        <v>138</v>
      </c>
      <c r="AG881" s="28" t="s">
        <v>514</v>
      </c>
      <c r="AH881" s="32" t="s">
        <v>138</v>
      </c>
      <c r="AI881" s="32" t="s">
        <v>138</v>
      </c>
      <c r="AJ881" s="32" t="s">
        <v>138</v>
      </c>
      <c r="AK881" s="28" t="s">
        <v>17423</v>
      </c>
      <c r="AL881" s="28" t="s">
        <v>17424</v>
      </c>
      <c r="AM881" s="28" t="s">
        <v>221</v>
      </c>
      <c r="AN881" s="28" t="s">
        <v>17425</v>
      </c>
      <c r="AO881" s="28" t="s">
        <v>17426</v>
      </c>
      <c r="AP881" s="28" t="s">
        <v>17427</v>
      </c>
      <c r="AQ881" s="28" t="s">
        <v>17428</v>
      </c>
      <c r="AR881" s="28" t="s">
        <v>138</v>
      </c>
      <c r="AS881" s="28" t="s">
        <v>17429</v>
      </c>
      <c r="AT881" s="28" t="s">
        <v>17430</v>
      </c>
      <c r="AU881" s="28" t="s">
        <v>17431</v>
      </c>
      <c r="AV881" s="28" t="s">
        <v>8999</v>
      </c>
      <c r="AW881" s="28" t="s">
        <v>17426</v>
      </c>
      <c r="AX881" s="28" t="s">
        <v>138</v>
      </c>
      <c r="AY881" s="28" t="s">
        <v>17432</v>
      </c>
      <c r="AZ881" s="28" t="s">
        <v>9001</v>
      </c>
      <c r="BA881" s="28" t="s">
        <v>9001</v>
      </c>
      <c r="BB881" s="28" t="s">
        <v>17433</v>
      </c>
      <c r="BC881" s="28" t="s">
        <v>17434</v>
      </c>
      <c r="BD881" s="33">
        <v>7</v>
      </c>
      <c r="BE881" s="28" t="s">
        <v>138</v>
      </c>
      <c r="BF881" s="28" t="s">
        <v>17435</v>
      </c>
      <c r="BG881" s="28" t="s">
        <v>138</v>
      </c>
      <c r="BH881" s="28" t="s">
        <v>17436</v>
      </c>
      <c r="BI881" s="28" t="s">
        <v>17437</v>
      </c>
      <c r="BJ881" s="28" t="s">
        <v>138</v>
      </c>
      <c r="BK881" s="28" t="s">
        <v>138</v>
      </c>
      <c r="BL881" s="28" t="s">
        <v>138</v>
      </c>
      <c r="BM881" s="34">
        <v>42005</v>
      </c>
      <c r="BN881" s="29" t="s">
        <v>138</v>
      </c>
      <c r="BO881" s="28" t="s">
        <v>138</v>
      </c>
      <c r="BP881" s="29" t="s">
        <v>138</v>
      </c>
      <c r="BQ881" s="28" t="s">
        <v>138</v>
      </c>
      <c r="BR881" s="28" t="s">
        <v>17438</v>
      </c>
      <c r="BS881" s="28" t="s">
        <v>138</v>
      </c>
      <c r="BT881" s="28" t="s">
        <v>138</v>
      </c>
      <c r="BU881" s="28" t="s">
        <v>7614</v>
      </c>
      <c r="BV881" s="28" t="s">
        <v>138</v>
      </c>
      <c r="BW881" s="28" t="s">
        <v>138</v>
      </c>
      <c r="BX881" s="28" t="s">
        <v>138</v>
      </c>
      <c r="BY881" s="28" t="s">
        <v>175</v>
      </c>
      <c r="BZ881" s="34">
        <v>43185</v>
      </c>
      <c r="CA881" s="29">
        <v>15</v>
      </c>
      <c r="CB881" s="28" t="s">
        <v>172</v>
      </c>
      <c r="CC881" s="29" t="s">
        <v>138</v>
      </c>
      <c r="CD881" s="28" t="s">
        <v>138</v>
      </c>
      <c r="CE881" s="28" t="s">
        <v>205</v>
      </c>
      <c r="CF881" s="28" t="s">
        <v>206</v>
      </c>
      <c r="CG881" s="28" t="s">
        <v>138</v>
      </c>
      <c r="CH881" s="28" t="s">
        <v>174</v>
      </c>
      <c r="CI881" s="28" t="s">
        <v>138</v>
      </c>
      <c r="CJ881" s="28" t="s">
        <v>138</v>
      </c>
      <c r="CK881" s="28" t="s">
        <v>138</v>
      </c>
      <c r="CL881" s="28" t="s">
        <v>175</v>
      </c>
      <c r="CM881" s="34" t="s">
        <v>138</v>
      </c>
      <c r="CN881" s="29" t="s">
        <v>138</v>
      </c>
      <c r="CO881" s="35">
        <v>0.43</v>
      </c>
      <c r="CP881" s="36">
        <v>95</v>
      </c>
      <c r="CQ881" s="35">
        <v>-0.03</v>
      </c>
      <c r="CR881" s="35">
        <v>-6.55</v>
      </c>
      <c r="CS881" s="35">
        <v>0</v>
      </c>
      <c r="CT881" s="36">
        <v>23</v>
      </c>
      <c r="CU881" s="35">
        <v>0.86</v>
      </c>
      <c r="CV881" s="36">
        <v>97</v>
      </c>
      <c r="CW881" s="35" t="s">
        <v>138</v>
      </c>
      <c r="CX881" s="36" t="s">
        <v>138</v>
      </c>
      <c r="CY881" s="35">
        <v>0</v>
      </c>
      <c r="CZ881" s="36">
        <v>25</v>
      </c>
      <c r="DA881" s="35">
        <v>0.86</v>
      </c>
      <c r="DB881" s="36">
        <v>97</v>
      </c>
      <c r="DC881" s="37">
        <v>1.89</v>
      </c>
      <c r="DD881" s="36">
        <v>66</v>
      </c>
      <c r="DE881" s="37">
        <v>0.02</v>
      </c>
      <c r="DF881" s="35">
        <v>0.8</v>
      </c>
      <c r="DG881" s="37">
        <v>0.86</v>
      </c>
      <c r="DH881" s="36">
        <v>47</v>
      </c>
      <c r="DI881" s="37">
        <v>2.91</v>
      </c>
      <c r="DJ881" s="36">
        <v>69</v>
      </c>
      <c r="DK881" s="37" t="s">
        <v>138</v>
      </c>
      <c r="DL881" s="36" t="s">
        <v>138</v>
      </c>
      <c r="DM881" s="37">
        <v>0.86</v>
      </c>
      <c r="DN881" s="36">
        <v>47</v>
      </c>
      <c r="DO881" s="37">
        <v>2.91</v>
      </c>
      <c r="DP881" s="36">
        <v>70</v>
      </c>
      <c r="DQ881" s="36" t="s">
        <v>138</v>
      </c>
      <c r="DR881" s="38" t="s">
        <v>138</v>
      </c>
      <c r="DS881" s="35" t="s">
        <v>138</v>
      </c>
      <c r="DT881" s="36">
        <v>25</v>
      </c>
      <c r="DU881" s="38">
        <v>1</v>
      </c>
      <c r="DV881" s="35">
        <v>4.17</v>
      </c>
      <c r="DW881" s="36">
        <v>1041</v>
      </c>
      <c r="DX881" s="39">
        <v>9</v>
      </c>
      <c r="DY881" s="35">
        <v>0.87</v>
      </c>
      <c r="DZ881" s="28" t="s">
        <v>178</v>
      </c>
      <c r="EA881" s="34">
        <v>43549</v>
      </c>
      <c r="EB881" s="29" t="s">
        <v>138</v>
      </c>
      <c r="EC881" s="34" t="s">
        <v>138</v>
      </c>
      <c r="ED881" s="28" t="s">
        <v>138</v>
      </c>
      <c r="EE881" s="40" t="str">
        <f>HYPERLINK("https://my.pitchbook.com?c=135939-52", "View company online")</f>
        <v>View company online</v>
      </c>
    </row>
    <row r="882" spans="1:135">
      <c r="A882" s="15" t="s">
        <v>17439</v>
      </c>
      <c r="B882" s="15" t="s">
        <v>17440</v>
      </c>
      <c r="C882" s="15" t="s">
        <v>138</v>
      </c>
      <c r="D882" s="15" t="s">
        <v>138</v>
      </c>
      <c r="E882" s="15" t="s">
        <v>17441</v>
      </c>
      <c r="F882" s="15" t="s">
        <v>17439</v>
      </c>
      <c r="G882" s="15" t="s">
        <v>17442</v>
      </c>
      <c r="H882" s="15" t="s">
        <v>322</v>
      </c>
      <c r="I882" s="15" t="s">
        <v>323</v>
      </c>
      <c r="J882" s="15" t="s">
        <v>954</v>
      </c>
      <c r="K882" s="15" t="s">
        <v>17443</v>
      </c>
      <c r="L882" s="15" t="s">
        <v>242</v>
      </c>
      <c r="M882" s="15" t="s">
        <v>17444</v>
      </c>
      <c r="N882" s="15" t="s">
        <v>147</v>
      </c>
      <c r="O882" s="17">
        <v>21</v>
      </c>
      <c r="P882" s="15" t="s">
        <v>148</v>
      </c>
      <c r="Q882" s="15" t="s">
        <v>149</v>
      </c>
      <c r="R882" s="15" t="s">
        <v>174</v>
      </c>
      <c r="S882" s="15" t="s">
        <v>17445</v>
      </c>
      <c r="T882" s="18">
        <v>11</v>
      </c>
      <c r="U882" s="15" t="s">
        <v>1356</v>
      </c>
      <c r="V882" s="15" t="s">
        <v>138</v>
      </c>
      <c r="W882" s="15" t="s">
        <v>138</v>
      </c>
      <c r="X882" s="19">
        <v>2013</v>
      </c>
      <c r="Y882" s="15" t="s">
        <v>138</v>
      </c>
      <c r="Z882" s="15" t="s">
        <v>138</v>
      </c>
      <c r="AA882" s="15" t="s">
        <v>138</v>
      </c>
      <c r="AB882" s="20" t="s">
        <v>138</v>
      </c>
      <c r="AC882" s="20" t="s">
        <v>138</v>
      </c>
      <c r="AD882" s="20" t="s">
        <v>138</v>
      </c>
      <c r="AE882" s="20" t="s">
        <v>138</v>
      </c>
      <c r="AF882" s="20" t="s">
        <v>138</v>
      </c>
      <c r="AG882" s="15" t="s">
        <v>138</v>
      </c>
      <c r="AH882" s="20" t="s">
        <v>138</v>
      </c>
      <c r="AI882" s="20" t="s">
        <v>138</v>
      </c>
      <c r="AJ882" s="20" t="s">
        <v>138</v>
      </c>
      <c r="AK882" s="15" t="s">
        <v>17446</v>
      </c>
      <c r="AL882" s="15" t="s">
        <v>17447</v>
      </c>
      <c r="AM882" s="15" t="s">
        <v>304</v>
      </c>
      <c r="AN882" s="15" t="s">
        <v>17448</v>
      </c>
      <c r="AO882" s="15" t="s">
        <v>138</v>
      </c>
      <c r="AP882" s="15" t="s">
        <v>4601</v>
      </c>
      <c r="AQ882" s="15" t="s">
        <v>17449</v>
      </c>
      <c r="AR882" s="15" t="s">
        <v>17450</v>
      </c>
      <c r="AS882" s="15" t="s">
        <v>4604</v>
      </c>
      <c r="AT882" s="15" t="s">
        <v>17451</v>
      </c>
      <c r="AU882" s="15" t="s">
        <v>17452</v>
      </c>
      <c r="AV882" s="15" t="s">
        <v>2071</v>
      </c>
      <c r="AW882" s="15" t="s">
        <v>138</v>
      </c>
      <c r="AX882" s="15" t="s">
        <v>138</v>
      </c>
      <c r="AY882" s="15" t="s">
        <v>138</v>
      </c>
      <c r="AZ882" s="15" t="s">
        <v>452</v>
      </c>
      <c r="BA882" s="15" t="s">
        <v>453</v>
      </c>
      <c r="BB882" s="15" t="s">
        <v>17453</v>
      </c>
      <c r="BC882" s="15" t="s">
        <v>17454</v>
      </c>
      <c r="BD882" s="21">
        <v>11</v>
      </c>
      <c r="BE882" s="15" t="s">
        <v>138</v>
      </c>
      <c r="BF882" s="15" t="s">
        <v>138</v>
      </c>
      <c r="BG882" s="15" t="s">
        <v>138</v>
      </c>
      <c r="BH882" s="15" t="s">
        <v>17455</v>
      </c>
      <c r="BI882" s="15" t="s">
        <v>138</v>
      </c>
      <c r="BJ882" s="15" t="s">
        <v>138</v>
      </c>
      <c r="BK882" s="15" t="s">
        <v>138</v>
      </c>
      <c r="BL882" s="15" t="s">
        <v>138</v>
      </c>
      <c r="BM882" s="22">
        <v>41932</v>
      </c>
      <c r="BN882" s="17" t="s">
        <v>138</v>
      </c>
      <c r="BO882" s="15" t="s">
        <v>138</v>
      </c>
      <c r="BP882" s="17" t="s">
        <v>138</v>
      </c>
      <c r="BQ882" s="15" t="s">
        <v>138</v>
      </c>
      <c r="BR882" s="15" t="s">
        <v>316</v>
      </c>
      <c r="BS882" s="15" t="s">
        <v>138</v>
      </c>
      <c r="BT882" s="15" t="s">
        <v>138</v>
      </c>
      <c r="BU882" s="15" t="s">
        <v>174</v>
      </c>
      <c r="BV882" s="15" t="s">
        <v>138</v>
      </c>
      <c r="BW882" s="15" t="s">
        <v>138</v>
      </c>
      <c r="BX882" s="15" t="s">
        <v>138</v>
      </c>
      <c r="BY882" s="15" t="s">
        <v>175</v>
      </c>
      <c r="BZ882" s="22">
        <v>43047</v>
      </c>
      <c r="CA882" s="17">
        <v>11</v>
      </c>
      <c r="CB882" s="15" t="s">
        <v>172</v>
      </c>
      <c r="CC882" s="17" t="s">
        <v>138</v>
      </c>
      <c r="CD882" s="15" t="s">
        <v>138</v>
      </c>
      <c r="CE882" s="15" t="s">
        <v>173</v>
      </c>
      <c r="CF882" s="15" t="s">
        <v>317</v>
      </c>
      <c r="CG882" s="15" t="s">
        <v>138</v>
      </c>
      <c r="CH882" s="15" t="s">
        <v>174</v>
      </c>
      <c r="CI882" s="15" t="s">
        <v>138</v>
      </c>
      <c r="CJ882" s="15" t="s">
        <v>138</v>
      </c>
      <c r="CK882" s="15" t="s">
        <v>138</v>
      </c>
      <c r="CL882" s="15" t="s">
        <v>175</v>
      </c>
      <c r="CM882" s="22" t="s">
        <v>138</v>
      </c>
      <c r="CN882" s="17" t="s">
        <v>138</v>
      </c>
      <c r="CO882" s="23">
        <v>2.4900000000000002</v>
      </c>
      <c r="CP882" s="24">
        <v>99</v>
      </c>
      <c r="CQ882" s="23">
        <v>0.06</v>
      </c>
      <c r="CR882" s="23">
        <v>2.34</v>
      </c>
      <c r="CS882" s="23">
        <v>3.83</v>
      </c>
      <c r="CT882" s="24">
        <v>100</v>
      </c>
      <c r="CU882" s="23">
        <v>1.1499999999999999</v>
      </c>
      <c r="CV882" s="24">
        <v>98</v>
      </c>
      <c r="CW882" s="23">
        <v>8.49</v>
      </c>
      <c r="CX882" s="24">
        <v>99</v>
      </c>
      <c r="CY882" s="23">
        <v>-0.82</v>
      </c>
      <c r="CZ882" s="24">
        <v>20</v>
      </c>
      <c r="DA882" s="23">
        <v>1.1499999999999999</v>
      </c>
      <c r="DB882" s="24">
        <v>98</v>
      </c>
      <c r="DC882" s="25">
        <v>122.64</v>
      </c>
      <c r="DD882" s="24">
        <v>99</v>
      </c>
      <c r="DE882" s="25">
        <v>-1.71</v>
      </c>
      <c r="DF882" s="23">
        <v>-1.37</v>
      </c>
      <c r="DG882" s="25">
        <v>52.37</v>
      </c>
      <c r="DH882" s="24">
        <v>98</v>
      </c>
      <c r="DI882" s="25">
        <v>192.91</v>
      </c>
      <c r="DJ882" s="24">
        <v>98</v>
      </c>
      <c r="DK882" s="25">
        <v>83.96</v>
      </c>
      <c r="DL882" s="24">
        <v>97</v>
      </c>
      <c r="DM882" s="25">
        <v>20.79</v>
      </c>
      <c r="DN882" s="24">
        <v>94</v>
      </c>
      <c r="DO882" s="25">
        <v>192.91</v>
      </c>
      <c r="DP882" s="24">
        <v>99</v>
      </c>
      <c r="DQ882" s="24">
        <v>27773</v>
      </c>
      <c r="DR882" s="26">
        <v>3071</v>
      </c>
      <c r="DS882" s="23">
        <v>12.43</v>
      </c>
      <c r="DT882" s="24">
        <v>599</v>
      </c>
      <c r="DU882" s="26">
        <v>9</v>
      </c>
      <c r="DV882" s="23">
        <v>1.53</v>
      </c>
      <c r="DW882" s="24">
        <v>68967</v>
      </c>
      <c r="DX882" s="27">
        <v>448</v>
      </c>
      <c r="DY882" s="23">
        <v>0.65</v>
      </c>
      <c r="DZ882" s="15" t="s">
        <v>178</v>
      </c>
      <c r="EA882" s="22">
        <v>43550</v>
      </c>
      <c r="EB882" s="17" t="s">
        <v>138</v>
      </c>
      <c r="EC882" s="22" t="s">
        <v>138</v>
      </c>
      <c r="ED882" s="15" t="s">
        <v>138</v>
      </c>
      <c r="EE882" s="14" t="str">
        <f>HYPERLINK("https://my.pitchbook.com?c=98881-48", "View company online")</f>
        <v>View company online</v>
      </c>
    </row>
    <row r="883" spans="1:135">
      <c r="A883" s="28" t="s">
        <v>17456</v>
      </c>
      <c r="B883" s="28" t="s">
        <v>15424</v>
      </c>
      <c r="C883" s="28" t="s">
        <v>17457</v>
      </c>
      <c r="D883" s="28" t="s">
        <v>138</v>
      </c>
      <c r="E883" s="28" t="s">
        <v>17458</v>
      </c>
      <c r="F883" s="28" t="s">
        <v>17456</v>
      </c>
      <c r="G883" s="28" t="s">
        <v>17459</v>
      </c>
      <c r="H883" s="28" t="s">
        <v>322</v>
      </c>
      <c r="I883" s="28" t="s">
        <v>323</v>
      </c>
      <c r="J883" s="28" t="s">
        <v>954</v>
      </c>
      <c r="K883" s="28" t="s">
        <v>17460</v>
      </c>
      <c r="L883" s="28" t="s">
        <v>17461</v>
      </c>
      <c r="M883" s="28" t="s">
        <v>17462</v>
      </c>
      <c r="N883" s="28" t="s">
        <v>147</v>
      </c>
      <c r="O883" s="29">
        <v>56</v>
      </c>
      <c r="P883" s="28" t="s">
        <v>148</v>
      </c>
      <c r="Q883" s="28" t="s">
        <v>149</v>
      </c>
      <c r="R883" s="28" t="s">
        <v>174</v>
      </c>
      <c r="S883" s="28" t="s">
        <v>17463</v>
      </c>
      <c r="T883" s="30">
        <v>430</v>
      </c>
      <c r="U883" s="28" t="s">
        <v>17464</v>
      </c>
      <c r="V883" s="28" t="s">
        <v>138</v>
      </c>
      <c r="W883" s="28" t="s">
        <v>138</v>
      </c>
      <c r="X883" s="31" t="s">
        <v>138</v>
      </c>
      <c r="Y883" s="28" t="s">
        <v>138</v>
      </c>
      <c r="Z883" s="28" t="s">
        <v>138</v>
      </c>
      <c r="AA883" s="28" t="s">
        <v>138</v>
      </c>
      <c r="AB883" s="32">
        <v>133</v>
      </c>
      <c r="AC883" s="32" t="s">
        <v>138</v>
      </c>
      <c r="AD883" s="32">
        <v>18.100000000000001</v>
      </c>
      <c r="AE883" s="32" t="s">
        <v>138</v>
      </c>
      <c r="AF883" s="32" t="s">
        <v>138</v>
      </c>
      <c r="AG883" s="28" t="s">
        <v>419</v>
      </c>
      <c r="AH883" s="32" t="s">
        <v>138</v>
      </c>
      <c r="AI883" s="32" t="s">
        <v>138</v>
      </c>
      <c r="AJ883" s="32" t="s">
        <v>138</v>
      </c>
      <c r="AK883" s="28" t="s">
        <v>17465</v>
      </c>
      <c r="AL883" s="28" t="s">
        <v>17466</v>
      </c>
      <c r="AM883" s="28" t="s">
        <v>986</v>
      </c>
      <c r="AN883" s="28" t="s">
        <v>17467</v>
      </c>
      <c r="AO883" s="28" t="s">
        <v>17468</v>
      </c>
      <c r="AP883" s="28" t="s">
        <v>17469</v>
      </c>
      <c r="AQ883" s="28" t="s">
        <v>17470</v>
      </c>
      <c r="AR883" s="28" t="s">
        <v>17471</v>
      </c>
      <c r="AS883" s="28" t="s">
        <v>17472</v>
      </c>
      <c r="AT883" s="28" t="s">
        <v>138</v>
      </c>
      <c r="AU883" s="28" t="s">
        <v>17473</v>
      </c>
      <c r="AV883" s="28" t="s">
        <v>740</v>
      </c>
      <c r="AW883" s="28" t="s">
        <v>17468</v>
      </c>
      <c r="AX883" s="28" t="s">
        <v>138</v>
      </c>
      <c r="AY883" s="28" t="s">
        <v>138</v>
      </c>
      <c r="AZ883" s="28" t="s">
        <v>742</v>
      </c>
      <c r="BA883" s="28" t="s">
        <v>742</v>
      </c>
      <c r="BB883" s="28" t="s">
        <v>17474</v>
      </c>
      <c r="BC883" s="28" t="s">
        <v>17475</v>
      </c>
      <c r="BD883" s="33">
        <v>12</v>
      </c>
      <c r="BE883" s="28" t="s">
        <v>138</v>
      </c>
      <c r="BF883" s="28" t="s">
        <v>138</v>
      </c>
      <c r="BG883" s="28" t="s">
        <v>138</v>
      </c>
      <c r="BH883" s="28" t="s">
        <v>17476</v>
      </c>
      <c r="BI883" s="28" t="s">
        <v>138</v>
      </c>
      <c r="BJ883" s="28" t="s">
        <v>138</v>
      </c>
      <c r="BK883" s="28" t="s">
        <v>17477</v>
      </c>
      <c r="BL883" s="28" t="s">
        <v>138</v>
      </c>
      <c r="BM883" s="34">
        <v>37987</v>
      </c>
      <c r="BN883" s="29">
        <v>2</v>
      </c>
      <c r="BO883" s="28" t="s">
        <v>172</v>
      </c>
      <c r="BP883" s="29" t="s">
        <v>138</v>
      </c>
      <c r="BQ883" s="28" t="s">
        <v>138</v>
      </c>
      <c r="BR883" s="28" t="s">
        <v>205</v>
      </c>
      <c r="BS883" s="28" t="s">
        <v>206</v>
      </c>
      <c r="BT883" s="28" t="s">
        <v>138</v>
      </c>
      <c r="BU883" s="28" t="s">
        <v>174</v>
      </c>
      <c r="BV883" s="28" t="s">
        <v>138</v>
      </c>
      <c r="BW883" s="28" t="s">
        <v>138</v>
      </c>
      <c r="BX883" s="28" t="s">
        <v>138</v>
      </c>
      <c r="BY883" s="28" t="s">
        <v>175</v>
      </c>
      <c r="BZ883" s="34">
        <v>41241</v>
      </c>
      <c r="CA883" s="29">
        <v>33</v>
      </c>
      <c r="CB883" s="28" t="s">
        <v>172</v>
      </c>
      <c r="CC883" s="29" t="s">
        <v>138</v>
      </c>
      <c r="CD883" s="28" t="s">
        <v>138</v>
      </c>
      <c r="CE883" s="28" t="s">
        <v>173</v>
      </c>
      <c r="CF883" s="28" t="s">
        <v>138</v>
      </c>
      <c r="CG883" s="28" t="s">
        <v>138</v>
      </c>
      <c r="CH883" s="28" t="s">
        <v>174</v>
      </c>
      <c r="CI883" s="28" t="s">
        <v>138</v>
      </c>
      <c r="CJ883" s="28" t="s">
        <v>138</v>
      </c>
      <c r="CK883" s="28" t="s">
        <v>138</v>
      </c>
      <c r="CL883" s="28" t="s">
        <v>175</v>
      </c>
      <c r="CM883" s="34" t="s">
        <v>138</v>
      </c>
      <c r="CN883" s="29" t="s">
        <v>138</v>
      </c>
      <c r="CO883" s="35">
        <v>0.34</v>
      </c>
      <c r="CP883" s="36">
        <v>94</v>
      </c>
      <c r="CQ883" s="35">
        <v>-0.01</v>
      </c>
      <c r="CR883" s="35">
        <v>-3.68</v>
      </c>
      <c r="CS883" s="35">
        <v>-0.36</v>
      </c>
      <c r="CT883" s="36">
        <v>20</v>
      </c>
      <c r="CU883" s="35">
        <v>0.14000000000000001</v>
      </c>
      <c r="CV883" s="36">
        <v>74</v>
      </c>
      <c r="CW883" s="35">
        <v>1.17</v>
      </c>
      <c r="CX883" s="36">
        <v>85</v>
      </c>
      <c r="CY883" s="35">
        <v>-1.9</v>
      </c>
      <c r="CZ883" s="36">
        <v>12</v>
      </c>
      <c r="DA883" s="35">
        <v>0.14000000000000001</v>
      </c>
      <c r="DB883" s="36">
        <v>77</v>
      </c>
      <c r="DC883" s="37">
        <v>910.65</v>
      </c>
      <c r="DD883" s="36">
        <v>100</v>
      </c>
      <c r="DE883" s="37">
        <v>-87.84</v>
      </c>
      <c r="DF883" s="35">
        <v>-8.8000000000000007</v>
      </c>
      <c r="DG883" s="37">
        <v>2380.2399999999998</v>
      </c>
      <c r="DH883" s="36">
        <v>100</v>
      </c>
      <c r="DI883" s="37">
        <v>174.27</v>
      </c>
      <c r="DJ883" s="36">
        <v>98</v>
      </c>
      <c r="DK883" s="37">
        <v>4283.01</v>
      </c>
      <c r="DL883" s="36">
        <v>100</v>
      </c>
      <c r="DM883" s="37">
        <v>477.48</v>
      </c>
      <c r="DN883" s="36">
        <v>100</v>
      </c>
      <c r="DO883" s="37">
        <v>174.27</v>
      </c>
      <c r="DP883" s="36">
        <v>99</v>
      </c>
      <c r="DQ883" s="36">
        <v>1465085</v>
      </c>
      <c r="DR883" s="38">
        <v>11959</v>
      </c>
      <c r="DS883" s="35">
        <v>0.82</v>
      </c>
      <c r="DT883" s="36">
        <v>13833</v>
      </c>
      <c r="DU883" s="38">
        <v>55</v>
      </c>
      <c r="DV883" s="35">
        <v>0.4</v>
      </c>
      <c r="DW883" s="36">
        <v>62367</v>
      </c>
      <c r="DX883" s="39">
        <v>59</v>
      </c>
      <c r="DY883" s="35">
        <v>0.09</v>
      </c>
      <c r="DZ883" s="28" t="s">
        <v>178</v>
      </c>
      <c r="EA883" s="34">
        <v>43593</v>
      </c>
      <c r="EB883" s="29" t="s">
        <v>138</v>
      </c>
      <c r="EC883" s="34" t="s">
        <v>138</v>
      </c>
      <c r="ED883" s="28" t="s">
        <v>138</v>
      </c>
      <c r="EE883" s="40" t="str">
        <f>HYPERLINK("https://my.pitchbook.com?c=52823-89", "View company online")</f>
        <v>View company online</v>
      </c>
    </row>
    <row r="884" spans="1:135">
      <c r="A884" s="15" t="s">
        <v>17478</v>
      </c>
      <c r="B884" s="15" t="s">
        <v>17479</v>
      </c>
      <c r="C884" s="15" t="s">
        <v>138</v>
      </c>
      <c r="D884" s="15" t="s">
        <v>17480</v>
      </c>
      <c r="E884" s="15" t="s">
        <v>138</v>
      </c>
      <c r="F884" s="15" t="s">
        <v>17478</v>
      </c>
      <c r="G884" s="15" t="s">
        <v>17481</v>
      </c>
      <c r="H884" s="15" t="s">
        <v>322</v>
      </c>
      <c r="I884" s="15" t="s">
        <v>323</v>
      </c>
      <c r="J884" s="15" t="s">
        <v>954</v>
      </c>
      <c r="K884" s="15" t="s">
        <v>955</v>
      </c>
      <c r="L884" s="15" t="s">
        <v>17482</v>
      </c>
      <c r="M884" s="15" t="s">
        <v>17483</v>
      </c>
      <c r="N884" s="15" t="s">
        <v>147</v>
      </c>
      <c r="O884" s="17" t="s">
        <v>138</v>
      </c>
      <c r="P884" s="15" t="s">
        <v>148</v>
      </c>
      <c r="Q884" s="15" t="s">
        <v>149</v>
      </c>
      <c r="R884" s="15" t="s">
        <v>174</v>
      </c>
      <c r="S884" s="15" t="s">
        <v>17484</v>
      </c>
      <c r="T884" s="18" t="s">
        <v>138</v>
      </c>
      <c r="U884" s="15" t="s">
        <v>138</v>
      </c>
      <c r="V884" s="15" t="s">
        <v>138</v>
      </c>
      <c r="W884" s="15" t="s">
        <v>138</v>
      </c>
      <c r="X884" s="19">
        <v>2017</v>
      </c>
      <c r="Y884" s="15" t="s">
        <v>138</v>
      </c>
      <c r="Z884" s="15" t="s">
        <v>138</v>
      </c>
      <c r="AA884" s="15" t="s">
        <v>138</v>
      </c>
      <c r="AB884" s="20" t="s">
        <v>138</v>
      </c>
      <c r="AC884" s="20" t="s">
        <v>138</v>
      </c>
      <c r="AD884" s="20" t="s">
        <v>138</v>
      </c>
      <c r="AE884" s="20" t="s">
        <v>138</v>
      </c>
      <c r="AF884" s="20" t="s">
        <v>138</v>
      </c>
      <c r="AG884" s="15" t="s">
        <v>138</v>
      </c>
      <c r="AH884" s="20" t="s">
        <v>138</v>
      </c>
      <c r="AI884" s="20" t="s">
        <v>138</v>
      </c>
      <c r="AJ884" s="20" t="s">
        <v>138</v>
      </c>
      <c r="AK884" s="15" t="s">
        <v>17485</v>
      </c>
      <c r="AL884" s="15" t="s">
        <v>17486</v>
      </c>
      <c r="AM884" s="15" t="s">
        <v>566</v>
      </c>
      <c r="AN884" s="15" t="s">
        <v>17487</v>
      </c>
      <c r="AO884" s="15" t="s">
        <v>17488</v>
      </c>
      <c r="AP884" s="15" t="s">
        <v>446</v>
      </c>
      <c r="AQ884" s="15" t="s">
        <v>138</v>
      </c>
      <c r="AR884" s="15" t="s">
        <v>138</v>
      </c>
      <c r="AS884" s="15" t="s">
        <v>449</v>
      </c>
      <c r="AT884" s="15" t="s">
        <v>138</v>
      </c>
      <c r="AU884" s="15" t="s">
        <v>138</v>
      </c>
      <c r="AV884" s="15" t="s">
        <v>450</v>
      </c>
      <c r="AW884" s="15" t="s">
        <v>17488</v>
      </c>
      <c r="AX884" s="15" t="s">
        <v>138</v>
      </c>
      <c r="AY884" s="15" t="s">
        <v>138</v>
      </c>
      <c r="AZ884" s="15" t="s">
        <v>452</v>
      </c>
      <c r="BA884" s="15" t="s">
        <v>453</v>
      </c>
      <c r="BB884" s="15" t="s">
        <v>17489</v>
      </c>
      <c r="BC884" s="15" t="s">
        <v>17490</v>
      </c>
      <c r="BD884" s="21">
        <v>4</v>
      </c>
      <c r="BE884" s="15" t="s">
        <v>138</v>
      </c>
      <c r="BF884" s="15" t="s">
        <v>138</v>
      </c>
      <c r="BG884" s="15" t="s">
        <v>138</v>
      </c>
      <c r="BH884" s="15" t="s">
        <v>17491</v>
      </c>
      <c r="BI884" s="15" t="s">
        <v>138</v>
      </c>
      <c r="BJ884" s="15" t="s">
        <v>138</v>
      </c>
      <c r="BK884" s="15" t="s">
        <v>138</v>
      </c>
      <c r="BL884" s="15" t="s">
        <v>138</v>
      </c>
      <c r="BM884" s="22">
        <v>43101</v>
      </c>
      <c r="BN884" s="17" t="s">
        <v>138</v>
      </c>
      <c r="BO884" s="15" t="s">
        <v>138</v>
      </c>
      <c r="BP884" s="17" t="s">
        <v>138</v>
      </c>
      <c r="BQ884" s="15" t="s">
        <v>138</v>
      </c>
      <c r="BR884" s="15" t="s">
        <v>205</v>
      </c>
      <c r="BS884" s="15" t="s">
        <v>138</v>
      </c>
      <c r="BT884" s="15" t="s">
        <v>138</v>
      </c>
      <c r="BU884" s="15" t="s">
        <v>174</v>
      </c>
      <c r="BV884" s="15" t="s">
        <v>138</v>
      </c>
      <c r="BW884" s="15" t="s">
        <v>138</v>
      </c>
      <c r="BX884" s="15" t="s">
        <v>138</v>
      </c>
      <c r="BY884" s="15" t="s">
        <v>175</v>
      </c>
      <c r="BZ884" s="22">
        <v>43175</v>
      </c>
      <c r="CA884" s="17" t="s">
        <v>138</v>
      </c>
      <c r="CB884" s="15" t="s">
        <v>138</v>
      </c>
      <c r="CC884" s="17" t="s">
        <v>138</v>
      </c>
      <c r="CD884" s="15" t="s">
        <v>138</v>
      </c>
      <c r="CE884" s="15" t="s">
        <v>205</v>
      </c>
      <c r="CF884" s="15" t="s">
        <v>138</v>
      </c>
      <c r="CG884" s="15" t="s">
        <v>138</v>
      </c>
      <c r="CH884" s="15" t="s">
        <v>174</v>
      </c>
      <c r="CI884" s="15" t="s">
        <v>138</v>
      </c>
      <c r="CJ884" s="15" t="s">
        <v>138</v>
      </c>
      <c r="CK884" s="15" t="s">
        <v>138</v>
      </c>
      <c r="CL884" s="15" t="s">
        <v>175</v>
      </c>
      <c r="CM884" s="22" t="s">
        <v>138</v>
      </c>
      <c r="CN884" s="17" t="s">
        <v>138</v>
      </c>
      <c r="CO884" s="23">
        <v>0</v>
      </c>
      <c r="CP884" s="24">
        <v>26</v>
      </c>
      <c r="CQ884" s="23">
        <v>0</v>
      </c>
      <c r="CR884" s="23">
        <v>0</v>
      </c>
      <c r="CS884" s="23">
        <v>0</v>
      </c>
      <c r="CT884" s="24">
        <v>23</v>
      </c>
      <c r="CU884" s="23" t="s">
        <v>138</v>
      </c>
      <c r="CV884" s="24" t="s">
        <v>138</v>
      </c>
      <c r="CW884" s="23" t="s">
        <v>138</v>
      </c>
      <c r="CX884" s="24" t="s">
        <v>138</v>
      </c>
      <c r="CY884" s="23">
        <v>0</v>
      </c>
      <c r="CZ884" s="24">
        <v>25</v>
      </c>
      <c r="DA884" s="23" t="s">
        <v>138</v>
      </c>
      <c r="DB884" s="24" t="s">
        <v>138</v>
      </c>
      <c r="DC884" s="25">
        <v>1.79</v>
      </c>
      <c r="DD884" s="24">
        <v>65</v>
      </c>
      <c r="DE884" s="25">
        <v>-0.03</v>
      </c>
      <c r="DF884" s="23">
        <v>-1.89</v>
      </c>
      <c r="DG884" s="25">
        <v>1.79</v>
      </c>
      <c r="DH884" s="24">
        <v>64</v>
      </c>
      <c r="DI884" s="25" t="s">
        <v>138</v>
      </c>
      <c r="DJ884" s="24" t="s">
        <v>138</v>
      </c>
      <c r="DK884" s="25" t="s">
        <v>138</v>
      </c>
      <c r="DL884" s="24" t="s">
        <v>138</v>
      </c>
      <c r="DM884" s="25">
        <v>1.79</v>
      </c>
      <c r="DN884" s="24">
        <v>63</v>
      </c>
      <c r="DO884" s="25" t="s">
        <v>138</v>
      </c>
      <c r="DP884" s="24" t="s">
        <v>138</v>
      </c>
      <c r="DQ884" s="24">
        <v>146</v>
      </c>
      <c r="DR884" s="26">
        <v>7</v>
      </c>
      <c r="DS884" s="23">
        <v>5.04</v>
      </c>
      <c r="DT884" s="24">
        <v>52</v>
      </c>
      <c r="DU884" s="26">
        <v>0</v>
      </c>
      <c r="DV884" s="23">
        <v>0</v>
      </c>
      <c r="DW884" s="24" t="s">
        <v>138</v>
      </c>
      <c r="DX884" s="27" t="s">
        <v>138</v>
      </c>
      <c r="DY884" s="23" t="s">
        <v>138</v>
      </c>
      <c r="DZ884" s="15" t="s">
        <v>178</v>
      </c>
      <c r="EA884" s="22">
        <v>43522</v>
      </c>
      <c r="EB884" s="17" t="s">
        <v>138</v>
      </c>
      <c r="EC884" s="22" t="s">
        <v>138</v>
      </c>
      <c r="ED884" s="15" t="s">
        <v>138</v>
      </c>
      <c r="EE884" s="14" t="str">
        <f>HYPERLINK("https://my.pitchbook.com?c=231938-83", "View company online")</f>
        <v>View company online</v>
      </c>
    </row>
    <row r="885" spans="1:135">
      <c r="A885" s="28" t="s">
        <v>17492</v>
      </c>
      <c r="B885" s="28" t="s">
        <v>17493</v>
      </c>
      <c r="C885" s="28" t="s">
        <v>138</v>
      </c>
      <c r="D885" s="28" t="s">
        <v>138</v>
      </c>
      <c r="E885" s="28" t="s">
        <v>17494</v>
      </c>
      <c r="F885" s="28" t="s">
        <v>17492</v>
      </c>
      <c r="G885" s="28" t="s">
        <v>17495</v>
      </c>
      <c r="H885" s="28" t="s">
        <v>141</v>
      </c>
      <c r="I885" s="28" t="s">
        <v>142</v>
      </c>
      <c r="J885" s="28" t="s">
        <v>1375</v>
      </c>
      <c r="K885" s="28" t="s">
        <v>17496</v>
      </c>
      <c r="L885" s="28" t="s">
        <v>17497</v>
      </c>
      <c r="M885" s="28" t="s">
        <v>17498</v>
      </c>
      <c r="N885" s="28" t="s">
        <v>147</v>
      </c>
      <c r="O885" s="29">
        <v>81.69</v>
      </c>
      <c r="P885" s="28" t="s">
        <v>148</v>
      </c>
      <c r="Q885" s="28" t="s">
        <v>149</v>
      </c>
      <c r="R885" s="28" t="s">
        <v>244</v>
      </c>
      <c r="S885" s="28" t="s">
        <v>17499</v>
      </c>
      <c r="T885" s="30">
        <v>25</v>
      </c>
      <c r="U885" s="28" t="s">
        <v>17500</v>
      </c>
      <c r="V885" s="28" t="s">
        <v>138</v>
      </c>
      <c r="W885" s="28" t="s">
        <v>138</v>
      </c>
      <c r="X885" s="31">
        <v>2013</v>
      </c>
      <c r="Y885" s="28" t="s">
        <v>138</v>
      </c>
      <c r="Z885" s="28" t="s">
        <v>138</v>
      </c>
      <c r="AA885" s="28" t="s">
        <v>138</v>
      </c>
      <c r="AB885" s="32" t="s">
        <v>138</v>
      </c>
      <c r="AC885" s="32" t="s">
        <v>138</v>
      </c>
      <c r="AD885" s="32" t="s">
        <v>138</v>
      </c>
      <c r="AE885" s="32" t="s">
        <v>138</v>
      </c>
      <c r="AF885" s="32" t="s">
        <v>138</v>
      </c>
      <c r="AG885" s="28" t="s">
        <v>138</v>
      </c>
      <c r="AH885" s="32" t="s">
        <v>138</v>
      </c>
      <c r="AI885" s="32" t="s">
        <v>138</v>
      </c>
      <c r="AJ885" s="32" t="s">
        <v>138</v>
      </c>
      <c r="AK885" s="28" t="s">
        <v>17501</v>
      </c>
      <c r="AL885" s="28" t="s">
        <v>17502</v>
      </c>
      <c r="AM885" s="28" t="s">
        <v>221</v>
      </c>
      <c r="AN885" s="28" t="s">
        <v>17503</v>
      </c>
      <c r="AO885" s="28" t="s">
        <v>17504</v>
      </c>
      <c r="AP885" s="28" t="s">
        <v>17505</v>
      </c>
      <c r="AQ885" s="28" t="s">
        <v>17506</v>
      </c>
      <c r="AR885" s="28" t="s">
        <v>11822</v>
      </c>
      <c r="AS885" s="28" t="s">
        <v>17507</v>
      </c>
      <c r="AT885" s="28" t="s">
        <v>371</v>
      </c>
      <c r="AU885" s="28" t="s">
        <v>17508</v>
      </c>
      <c r="AV885" s="28" t="s">
        <v>162</v>
      </c>
      <c r="AW885" s="28" t="s">
        <v>17504</v>
      </c>
      <c r="AX885" s="28" t="s">
        <v>138</v>
      </c>
      <c r="AY885" s="28" t="s">
        <v>138</v>
      </c>
      <c r="AZ885" s="28" t="s">
        <v>164</v>
      </c>
      <c r="BA885" s="28" t="s">
        <v>165</v>
      </c>
      <c r="BB885" s="28" t="s">
        <v>17509</v>
      </c>
      <c r="BC885" s="28" t="s">
        <v>17510</v>
      </c>
      <c r="BD885" s="33">
        <v>23</v>
      </c>
      <c r="BE885" s="28" t="s">
        <v>138</v>
      </c>
      <c r="BF885" s="28" t="s">
        <v>138</v>
      </c>
      <c r="BG885" s="28" t="s">
        <v>138</v>
      </c>
      <c r="BH885" s="28" t="s">
        <v>17511</v>
      </c>
      <c r="BI885" s="28" t="s">
        <v>138</v>
      </c>
      <c r="BJ885" s="28" t="s">
        <v>138</v>
      </c>
      <c r="BK885" s="28" t="s">
        <v>432</v>
      </c>
      <c r="BL885" s="28" t="s">
        <v>17512</v>
      </c>
      <c r="BM885" s="34">
        <v>41691</v>
      </c>
      <c r="BN885" s="29">
        <v>1.26</v>
      </c>
      <c r="BO885" s="28" t="s">
        <v>172</v>
      </c>
      <c r="BP885" s="29" t="s">
        <v>138</v>
      </c>
      <c r="BQ885" s="28" t="s">
        <v>138</v>
      </c>
      <c r="BR885" s="28" t="s">
        <v>265</v>
      </c>
      <c r="BS885" s="28" t="s">
        <v>138</v>
      </c>
      <c r="BT885" s="28" t="s">
        <v>138</v>
      </c>
      <c r="BU885" s="28" t="s">
        <v>1327</v>
      </c>
      <c r="BV885" s="28" t="s">
        <v>138</v>
      </c>
      <c r="BW885" s="28" t="s">
        <v>138</v>
      </c>
      <c r="BX885" s="28" t="s">
        <v>138</v>
      </c>
      <c r="BY885" s="28" t="s">
        <v>175</v>
      </c>
      <c r="BZ885" s="34">
        <v>43495</v>
      </c>
      <c r="CA885" s="29">
        <v>30.49</v>
      </c>
      <c r="CB885" s="28" t="s">
        <v>172</v>
      </c>
      <c r="CC885" s="29">
        <v>130.49</v>
      </c>
      <c r="CD885" s="28" t="s">
        <v>172</v>
      </c>
      <c r="CE885" s="28" t="s">
        <v>173</v>
      </c>
      <c r="CF885" s="28" t="s">
        <v>317</v>
      </c>
      <c r="CG885" s="28" t="s">
        <v>138</v>
      </c>
      <c r="CH885" s="28" t="s">
        <v>174</v>
      </c>
      <c r="CI885" s="28" t="s">
        <v>138</v>
      </c>
      <c r="CJ885" s="28" t="s">
        <v>138</v>
      </c>
      <c r="CK885" s="28" t="s">
        <v>138</v>
      </c>
      <c r="CL885" s="28" t="s">
        <v>175</v>
      </c>
      <c r="CM885" s="34">
        <v>42670</v>
      </c>
      <c r="CN885" s="29" t="s">
        <v>138</v>
      </c>
      <c r="CO885" s="35">
        <v>0.33</v>
      </c>
      <c r="CP885" s="36">
        <v>94</v>
      </c>
      <c r="CQ885" s="35">
        <v>-0.38</v>
      </c>
      <c r="CR885" s="35">
        <v>-53.59</v>
      </c>
      <c r="CS885" s="35" t="s">
        <v>138</v>
      </c>
      <c r="CT885" s="36" t="s">
        <v>138</v>
      </c>
      <c r="CU885" s="35">
        <v>0.33</v>
      </c>
      <c r="CV885" s="36">
        <v>89</v>
      </c>
      <c r="CW885" s="35" t="s">
        <v>138</v>
      </c>
      <c r="CX885" s="36" t="s">
        <v>138</v>
      </c>
      <c r="CY885" s="35" t="s">
        <v>138</v>
      </c>
      <c r="CZ885" s="36" t="s">
        <v>138</v>
      </c>
      <c r="DA885" s="35">
        <v>0.33</v>
      </c>
      <c r="DB885" s="36">
        <v>90</v>
      </c>
      <c r="DC885" s="37">
        <v>1.07</v>
      </c>
      <c r="DD885" s="36">
        <v>53</v>
      </c>
      <c r="DE885" s="37">
        <v>0.01</v>
      </c>
      <c r="DF885" s="35">
        <v>0.56000000000000005</v>
      </c>
      <c r="DG885" s="37" t="s">
        <v>138</v>
      </c>
      <c r="DH885" s="36" t="s">
        <v>138</v>
      </c>
      <c r="DI885" s="37">
        <v>1.07</v>
      </c>
      <c r="DJ885" s="36">
        <v>50</v>
      </c>
      <c r="DK885" s="37" t="s">
        <v>138</v>
      </c>
      <c r="DL885" s="36" t="s">
        <v>138</v>
      </c>
      <c r="DM885" s="37" t="s">
        <v>138</v>
      </c>
      <c r="DN885" s="36" t="s">
        <v>138</v>
      </c>
      <c r="DO885" s="37">
        <v>1.07</v>
      </c>
      <c r="DP885" s="36">
        <v>52</v>
      </c>
      <c r="DQ885" s="36" t="s">
        <v>138</v>
      </c>
      <c r="DR885" s="38" t="s">
        <v>138</v>
      </c>
      <c r="DS885" s="35" t="s">
        <v>138</v>
      </c>
      <c r="DT885" s="36" t="s">
        <v>138</v>
      </c>
      <c r="DU885" s="38" t="s">
        <v>138</v>
      </c>
      <c r="DV885" s="35" t="s">
        <v>138</v>
      </c>
      <c r="DW885" s="36">
        <v>382</v>
      </c>
      <c r="DX885" s="39">
        <v>1</v>
      </c>
      <c r="DY885" s="35">
        <v>0.26</v>
      </c>
      <c r="DZ885" s="28" t="s">
        <v>178</v>
      </c>
      <c r="EA885" s="34">
        <v>43606</v>
      </c>
      <c r="EB885" s="29">
        <v>130.49</v>
      </c>
      <c r="EC885" s="34">
        <v>43495</v>
      </c>
      <c r="ED885" s="28" t="s">
        <v>173</v>
      </c>
      <c r="EE885" s="40" t="str">
        <f>HYPERLINK("https://my.pitchbook.com?c=61568-20", "View company online")</f>
        <v>View company online</v>
      </c>
    </row>
    <row r="886" spans="1:135">
      <c r="A886" s="15" t="s">
        <v>17513</v>
      </c>
      <c r="B886" s="15" t="s">
        <v>17514</v>
      </c>
      <c r="C886" s="15" t="s">
        <v>138</v>
      </c>
      <c r="D886" s="15" t="s">
        <v>138</v>
      </c>
      <c r="E886" s="15" t="s">
        <v>138</v>
      </c>
      <c r="F886" s="15" t="s">
        <v>17513</v>
      </c>
      <c r="G886" s="15" t="s">
        <v>17515</v>
      </c>
      <c r="H886" s="15" t="s">
        <v>322</v>
      </c>
      <c r="I886" s="15" t="s">
        <v>323</v>
      </c>
      <c r="J886" s="15" t="s">
        <v>954</v>
      </c>
      <c r="K886" s="15" t="s">
        <v>17516</v>
      </c>
      <c r="L886" s="15" t="s">
        <v>5101</v>
      </c>
      <c r="M886" s="15" t="s">
        <v>17517</v>
      </c>
      <c r="N886" s="15" t="s">
        <v>147</v>
      </c>
      <c r="O886" s="17" t="s">
        <v>138</v>
      </c>
      <c r="P886" s="15" t="s">
        <v>610</v>
      </c>
      <c r="Q886" s="15" t="s">
        <v>149</v>
      </c>
      <c r="R886" s="15" t="s">
        <v>174</v>
      </c>
      <c r="S886" s="15" t="s">
        <v>17518</v>
      </c>
      <c r="T886" s="18">
        <v>7</v>
      </c>
      <c r="U886" s="15" t="s">
        <v>5655</v>
      </c>
      <c r="V886" s="15" t="s">
        <v>138</v>
      </c>
      <c r="W886" s="15" t="s">
        <v>138</v>
      </c>
      <c r="X886" s="19">
        <v>2000</v>
      </c>
      <c r="Y886" s="15" t="s">
        <v>138</v>
      </c>
      <c r="Z886" s="15" t="s">
        <v>138</v>
      </c>
      <c r="AA886" s="15" t="s">
        <v>138</v>
      </c>
      <c r="AB886" s="20" t="s">
        <v>138</v>
      </c>
      <c r="AC886" s="20" t="s">
        <v>138</v>
      </c>
      <c r="AD886" s="20" t="s">
        <v>138</v>
      </c>
      <c r="AE886" s="20" t="s">
        <v>138</v>
      </c>
      <c r="AF886" s="20" t="s">
        <v>138</v>
      </c>
      <c r="AG886" s="15" t="s">
        <v>138</v>
      </c>
      <c r="AH886" s="20" t="s">
        <v>138</v>
      </c>
      <c r="AI886" s="20" t="s">
        <v>138</v>
      </c>
      <c r="AJ886" s="20" t="s">
        <v>138</v>
      </c>
      <c r="AK886" s="15" t="s">
        <v>17519</v>
      </c>
      <c r="AL886" s="15" t="s">
        <v>17520</v>
      </c>
      <c r="AM886" s="15" t="s">
        <v>4810</v>
      </c>
      <c r="AN886" s="15" t="s">
        <v>17521</v>
      </c>
      <c r="AO886" s="15" t="s">
        <v>138</v>
      </c>
      <c r="AP886" s="15" t="s">
        <v>1195</v>
      </c>
      <c r="AQ886" s="15" t="s">
        <v>17522</v>
      </c>
      <c r="AR886" s="15" t="s">
        <v>17523</v>
      </c>
      <c r="AS886" s="15" t="s">
        <v>1198</v>
      </c>
      <c r="AT886" s="15" t="s">
        <v>17524</v>
      </c>
      <c r="AU886" s="15" t="s">
        <v>138</v>
      </c>
      <c r="AV886" s="15" t="s">
        <v>1200</v>
      </c>
      <c r="AW886" s="15" t="s">
        <v>138</v>
      </c>
      <c r="AX886" s="15" t="s">
        <v>138</v>
      </c>
      <c r="AY886" s="15" t="s">
        <v>138</v>
      </c>
      <c r="AZ886" s="15" t="s">
        <v>452</v>
      </c>
      <c r="BA886" s="15" t="s">
        <v>453</v>
      </c>
      <c r="BB886" s="15" t="s">
        <v>17525</v>
      </c>
      <c r="BC886" s="15" t="s">
        <v>17526</v>
      </c>
      <c r="BD886" s="21">
        <v>9</v>
      </c>
      <c r="BE886" s="15" t="s">
        <v>138</v>
      </c>
      <c r="BF886" s="15" t="s">
        <v>138</v>
      </c>
      <c r="BG886" s="15" t="s">
        <v>138</v>
      </c>
      <c r="BH886" s="15" t="s">
        <v>17527</v>
      </c>
      <c r="BI886" s="15" t="s">
        <v>138</v>
      </c>
      <c r="BJ886" s="15" t="s">
        <v>138</v>
      </c>
      <c r="BK886" s="15" t="s">
        <v>1791</v>
      </c>
      <c r="BL886" s="15" t="s">
        <v>138</v>
      </c>
      <c r="BM886" s="22" t="s">
        <v>138</v>
      </c>
      <c r="BN886" s="17" t="s">
        <v>138</v>
      </c>
      <c r="BO886" s="15" t="s">
        <v>138</v>
      </c>
      <c r="BP886" s="17" t="s">
        <v>138</v>
      </c>
      <c r="BQ886" s="15" t="s">
        <v>138</v>
      </c>
      <c r="BR886" s="15" t="s">
        <v>205</v>
      </c>
      <c r="BS886" s="15" t="s">
        <v>138</v>
      </c>
      <c r="BT886" s="15" t="s">
        <v>138</v>
      </c>
      <c r="BU886" s="15" t="s">
        <v>174</v>
      </c>
      <c r="BV886" s="15" t="s">
        <v>138</v>
      </c>
      <c r="BW886" s="15" t="s">
        <v>138</v>
      </c>
      <c r="BX886" s="15" t="s">
        <v>138</v>
      </c>
      <c r="BY886" s="15" t="s">
        <v>175</v>
      </c>
      <c r="BZ886" s="22" t="s">
        <v>138</v>
      </c>
      <c r="CA886" s="17" t="s">
        <v>138</v>
      </c>
      <c r="CB886" s="15" t="s">
        <v>138</v>
      </c>
      <c r="CC886" s="17" t="s">
        <v>138</v>
      </c>
      <c r="CD886" s="15" t="s">
        <v>138</v>
      </c>
      <c r="CE886" s="15" t="s">
        <v>205</v>
      </c>
      <c r="CF886" s="15" t="s">
        <v>138</v>
      </c>
      <c r="CG886" s="15" t="s">
        <v>138</v>
      </c>
      <c r="CH886" s="15" t="s">
        <v>174</v>
      </c>
      <c r="CI886" s="15" t="s">
        <v>138</v>
      </c>
      <c r="CJ886" s="15" t="s">
        <v>138</v>
      </c>
      <c r="CK886" s="15" t="s">
        <v>138</v>
      </c>
      <c r="CL886" s="15" t="s">
        <v>175</v>
      </c>
      <c r="CM886" s="22" t="s">
        <v>138</v>
      </c>
      <c r="CN886" s="17" t="s">
        <v>138</v>
      </c>
      <c r="CO886" s="23">
        <v>-2.1</v>
      </c>
      <c r="CP886" s="24">
        <v>5</v>
      </c>
      <c r="CQ886" s="23">
        <v>-0.03</v>
      </c>
      <c r="CR886" s="23">
        <v>-1.24</v>
      </c>
      <c r="CS886" s="23">
        <v>-4.21</v>
      </c>
      <c r="CT886" s="24">
        <v>3</v>
      </c>
      <c r="CU886" s="23">
        <v>0</v>
      </c>
      <c r="CV886" s="24">
        <v>22</v>
      </c>
      <c r="CW886" s="23" t="s">
        <v>138</v>
      </c>
      <c r="CX886" s="24" t="s">
        <v>138</v>
      </c>
      <c r="CY886" s="23">
        <v>-4.21</v>
      </c>
      <c r="CZ886" s="24">
        <v>4</v>
      </c>
      <c r="DA886" s="23" t="s">
        <v>138</v>
      </c>
      <c r="DB886" s="24" t="s">
        <v>138</v>
      </c>
      <c r="DC886" s="25">
        <v>16.05</v>
      </c>
      <c r="DD886" s="24">
        <v>93</v>
      </c>
      <c r="DE886" s="25">
        <v>-0.05</v>
      </c>
      <c r="DF886" s="23">
        <v>-0.33</v>
      </c>
      <c r="DG886" s="25">
        <v>28.45</v>
      </c>
      <c r="DH886" s="24">
        <v>96</v>
      </c>
      <c r="DI886" s="25">
        <v>3.64</v>
      </c>
      <c r="DJ886" s="24">
        <v>73</v>
      </c>
      <c r="DK886" s="25" t="s">
        <v>138</v>
      </c>
      <c r="DL886" s="24" t="s">
        <v>138</v>
      </c>
      <c r="DM886" s="25">
        <v>28.45</v>
      </c>
      <c r="DN886" s="24">
        <v>96</v>
      </c>
      <c r="DO886" s="25" t="s">
        <v>138</v>
      </c>
      <c r="DP886" s="24" t="s">
        <v>138</v>
      </c>
      <c r="DQ886" s="24" t="s">
        <v>138</v>
      </c>
      <c r="DR886" s="26" t="s">
        <v>138</v>
      </c>
      <c r="DS886" s="23" t="s">
        <v>138</v>
      </c>
      <c r="DT886" s="24">
        <v>826</v>
      </c>
      <c r="DU886" s="26">
        <v>-2</v>
      </c>
      <c r="DV886" s="23">
        <v>-0.24</v>
      </c>
      <c r="DW886" s="24" t="s">
        <v>138</v>
      </c>
      <c r="DX886" s="27" t="s">
        <v>138</v>
      </c>
      <c r="DY886" s="23" t="s">
        <v>138</v>
      </c>
      <c r="DZ886" s="15" t="s">
        <v>178</v>
      </c>
      <c r="EA886" s="22">
        <v>43351</v>
      </c>
      <c r="EB886" s="17" t="s">
        <v>138</v>
      </c>
      <c r="EC886" s="22" t="s">
        <v>138</v>
      </c>
      <c r="ED886" s="15" t="s">
        <v>138</v>
      </c>
      <c r="EE886" s="14" t="str">
        <f>HYPERLINK("https://my.pitchbook.com?c=65836-45", "View company online")</f>
        <v>View company online</v>
      </c>
    </row>
    <row r="887" spans="1:135">
      <c r="A887" s="28" t="s">
        <v>17528</v>
      </c>
      <c r="B887" s="28" t="s">
        <v>17529</v>
      </c>
      <c r="C887" s="28" t="s">
        <v>138</v>
      </c>
      <c r="D887" s="28" t="s">
        <v>17530</v>
      </c>
      <c r="E887" s="28" t="s">
        <v>17531</v>
      </c>
      <c r="F887" s="28" t="s">
        <v>17528</v>
      </c>
      <c r="G887" s="28" t="s">
        <v>17532</v>
      </c>
      <c r="H887" s="28" t="s">
        <v>385</v>
      </c>
      <c r="I887" s="28" t="s">
        <v>386</v>
      </c>
      <c r="J887" s="28" t="s">
        <v>387</v>
      </c>
      <c r="K887" s="28" t="s">
        <v>7621</v>
      </c>
      <c r="L887" s="28" t="s">
        <v>1994</v>
      </c>
      <c r="M887" s="28" t="s">
        <v>17533</v>
      </c>
      <c r="N887" s="28" t="s">
        <v>147</v>
      </c>
      <c r="O887" s="29">
        <v>41.98</v>
      </c>
      <c r="P887" s="28" t="s">
        <v>148</v>
      </c>
      <c r="Q887" s="28" t="s">
        <v>149</v>
      </c>
      <c r="R887" s="28" t="s">
        <v>244</v>
      </c>
      <c r="S887" s="28" t="s">
        <v>17534</v>
      </c>
      <c r="T887" s="30">
        <v>14</v>
      </c>
      <c r="U887" s="28" t="s">
        <v>17535</v>
      </c>
      <c r="V887" s="28" t="s">
        <v>138</v>
      </c>
      <c r="W887" s="28" t="s">
        <v>138</v>
      </c>
      <c r="X887" s="31" t="s">
        <v>138</v>
      </c>
      <c r="Y887" s="28" t="s">
        <v>138</v>
      </c>
      <c r="Z887" s="28" t="s">
        <v>138</v>
      </c>
      <c r="AA887" s="28" t="s">
        <v>138</v>
      </c>
      <c r="AB887" s="32" t="s">
        <v>138</v>
      </c>
      <c r="AC887" s="32" t="s">
        <v>138</v>
      </c>
      <c r="AD887" s="32" t="s">
        <v>138</v>
      </c>
      <c r="AE887" s="32" t="s">
        <v>138</v>
      </c>
      <c r="AF887" s="32" t="s">
        <v>138</v>
      </c>
      <c r="AG887" s="28" t="s">
        <v>138</v>
      </c>
      <c r="AH887" s="32" t="s">
        <v>138</v>
      </c>
      <c r="AI887" s="32" t="s">
        <v>138</v>
      </c>
      <c r="AJ887" s="32" t="s">
        <v>138</v>
      </c>
      <c r="AK887" s="28" t="s">
        <v>17536</v>
      </c>
      <c r="AL887" s="28" t="s">
        <v>17537</v>
      </c>
      <c r="AM887" s="28" t="s">
        <v>17538</v>
      </c>
      <c r="AN887" s="28" t="s">
        <v>17539</v>
      </c>
      <c r="AO887" s="28" t="s">
        <v>17540</v>
      </c>
      <c r="AP887" s="28" t="s">
        <v>639</v>
      </c>
      <c r="AQ887" s="28" t="s">
        <v>17541</v>
      </c>
      <c r="AR887" s="28" t="s">
        <v>5792</v>
      </c>
      <c r="AS887" s="28" t="s">
        <v>642</v>
      </c>
      <c r="AT887" s="28" t="s">
        <v>474</v>
      </c>
      <c r="AU887" s="28" t="s">
        <v>17542</v>
      </c>
      <c r="AV887" s="28" t="s">
        <v>162</v>
      </c>
      <c r="AW887" s="28" t="s">
        <v>17540</v>
      </c>
      <c r="AX887" s="28" t="s">
        <v>17543</v>
      </c>
      <c r="AY887" s="28" t="s">
        <v>17544</v>
      </c>
      <c r="AZ887" s="28" t="s">
        <v>164</v>
      </c>
      <c r="BA887" s="28" t="s">
        <v>165</v>
      </c>
      <c r="BB887" s="28" t="s">
        <v>17545</v>
      </c>
      <c r="BC887" s="28" t="s">
        <v>17546</v>
      </c>
      <c r="BD887" s="33">
        <v>13</v>
      </c>
      <c r="BE887" s="28" t="s">
        <v>138</v>
      </c>
      <c r="BF887" s="28" t="s">
        <v>138</v>
      </c>
      <c r="BG887" s="28" t="s">
        <v>138</v>
      </c>
      <c r="BH887" s="28" t="s">
        <v>17547</v>
      </c>
      <c r="BI887" s="28" t="s">
        <v>138</v>
      </c>
      <c r="BJ887" s="28" t="s">
        <v>138</v>
      </c>
      <c r="BK887" s="28" t="s">
        <v>138</v>
      </c>
      <c r="BL887" s="28" t="s">
        <v>204</v>
      </c>
      <c r="BM887" s="34">
        <v>39083</v>
      </c>
      <c r="BN887" s="29" t="s">
        <v>138</v>
      </c>
      <c r="BO887" s="28" t="s">
        <v>138</v>
      </c>
      <c r="BP887" s="29" t="s">
        <v>138</v>
      </c>
      <c r="BQ887" s="28" t="s">
        <v>138</v>
      </c>
      <c r="BR887" s="28" t="s">
        <v>316</v>
      </c>
      <c r="BS887" s="28" t="s">
        <v>138</v>
      </c>
      <c r="BT887" s="28" t="s">
        <v>138</v>
      </c>
      <c r="BU887" s="28" t="s">
        <v>177</v>
      </c>
      <c r="BV887" s="28" t="s">
        <v>138</v>
      </c>
      <c r="BW887" s="28" t="s">
        <v>138</v>
      </c>
      <c r="BX887" s="28" t="s">
        <v>138</v>
      </c>
      <c r="BY887" s="28" t="s">
        <v>175</v>
      </c>
      <c r="BZ887" s="34">
        <v>43367</v>
      </c>
      <c r="CA887" s="29">
        <v>17.899999999999999</v>
      </c>
      <c r="CB887" s="28" t="s">
        <v>172</v>
      </c>
      <c r="CC887" s="29">
        <v>122.9</v>
      </c>
      <c r="CD887" s="28" t="s">
        <v>172</v>
      </c>
      <c r="CE887" s="28" t="s">
        <v>173</v>
      </c>
      <c r="CF887" s="28" t="s">
        <v>317</v>
      </c>
      <c r="CG887" s="28" t="s">
        <v>138</v>
      </c>
      <c r="CH887" s="28" t="s">
        <v>174</v>
      </c>
      <c r="CI887" s="28" t="s">
        <v>138</v>
      </c>
      <c r="CJ887" s="28" t="s">
        <v>138</v>
      </c>
      <c r="CK887" s="28" t="s">
        <v>138</v>
      </c>
      <c r="CL887" s="28" t="s">
        <v>175</v>
      </c>
      <c r="CM887" s="34" t="s">
        <v>138</v>
      </c>
      <c r="CN887" s="29" t="s">
        <v>138</v>
      </c>
      <c r="CO887" s="35">
        <v>-0.62</v>
      </c>
      <c r="CP887" s="36">
        <v>15</v>
      </c>
      <c r="CQ887" s="35">
        <v>0.01</v>
      </c>
      <c r="CR887" s="35">
        <v>2.29</v>
      </c>
      <c r="CS887" s="35">
        <v>-1.25</v>
      </c>
      <c r="CT887" s="36">
        <v>13</v>
      </c>
      <c r="CU887" s="35">
        <v>0</v>
      </c>
      <c r="CV887" s="36">
        <v>22</v>
      </c>
      <c r="CW887" s="35">
        <v>0</v>
      </c>
      <c r="CX887" s="36">
        <v>13</v>
      </c>
      <c r="CY887" s="35">
        <v>-2.5</v>
      </c>
      <c r="CZ887" s="36">
        <v>9</v>
      </c>
      <c r="DA887" s="35">
        <v>0</v>
      </c>
      <c r="DB887" s="36">
        <v>22</v>
      </c>
      <c r="DC887" s="37">
        <v>1.32</v>
      </c>
      <c r="DD887" s="36">
        <v>58</v>
      </c>
      <c r="DE887" s="37">
        <v>-0.01</v>
      </c>
      <c r="DF887" s="35">
        <v>-0.49</v>
      </c>
      <c r="DG887" s="37">
        <v>2.39</v>
      </c>
      <c r="DH887" s="36">
        <v>70</v>
      </c>
      <c r="DI887" s="37">
        <v>0.25</v>
      </c>
      <c r="DJ887" s="36">
        <v>25</v>
      </c>
      <c r="DK887" s="37">
        <v>0.22</v>
      </c>
      <c r="DL887" s="36">
        <v>16</v>
      </c>
      <c r="DM887" s="37">
        <v>4.55</v>
      </c>
      <c r="DN887" s="36">
        <v>80</v>
      </c>
      <c r="DO887" s="37">
        <v>0.25</v>
      </c>
      <c r="DP887" s="36">
        <v>27</v>
      </c>
      <c r="DQ887" s="36">
        <v>75</v>
      </c>
      <c r="DR887" s="38">
        <v>4</v>
      </c>
      <c r="DS887" s="35">
        <v>5.63</v>
      </c>
      <c r="DT887" s="36">
        <v>132</v>
      </c>
      <c r="DU887" s="38">
        <v>-1</v>
      </c>
      <c r="DV887" s="35">
        <v>-0.75</v>
      </c>
      <c r="DW887" s="36">
        <v>90</v>
      </c>
      <c r="DX887" s="39">
        <v>0</v>
      </c>
      <c r="DY887" s="35">
        <v>0</v>
      </c>
      <c r="DZ887" s="28" t="s">
        <v>178</v>
      </c>
      <c r="EA887" s="34">
        <v>43425</v>
      </c>
      <c r="EB887" s="29">
        <v>122.9</v>
      </c>
      <c r="EC887" s="34">
        <v>43367</v>
      </c>
      <c r="ED887" s="28" t="s">
        <v>173</v>
      </c>
      <c r="EE887" s="40" t="str">
        <f>HYPERLINK("https://my.pitchbook.com?c=52738-39", "View company online")</f>
        <v>View company online</v>
      </c>
    </row>
    <row r="888" spans="1:135">
      <c r="A888" s="15" t="s">
        <v>17548</v>
      </c>
      <c r="B888" s="15" t="s">
        <v>17549</v>
      </c>
      <c r="C888" s="15" t="s">
        <v>138</v>
      </c>
      <c r="D888" s="15" t="s">
        <v>138</v>
      </c>
      <c r="E888" s="15" t="s">
        <v>17550</v>
      </c>
      <c r="F888" s="15" t="s">
        <v>17548</v>
      </c>
      <c r="G888" s="15" t="s">
        <v>17551</v>
      </c>
      <c r="H888" s="15" t="s">
        <v>322</v>
      </c>
      <c r="I888" s="15" t="s">
        <v>323</v>
      </c>
      <c r="J888" s="15" t="s">
        <v>954</v>
      </c>
      <c r="K888" s="15" t="s">
        <v>17552</v>
      </c>
      <c r="L888" s="15" t="s">
        <v>17553</v>
      </c>
      <c r="M888" s="15" t="s">
        <v>17554</v>
      </c>
      <c r="N888" s="15" t="s">
        <v>147</v>
      </c>
      <c r="O888" s="17">
        <v>6.8</v>
      </c>
      <c r="P888" s="15" t="s">
        <v>148</v>
      </c>
      <c r="Q888" s="15" t="s">
        <v>149</v>
      </c>
      <c r="R888" s="15" t="s">
        <v>174</v>
      </c>
      <c r="S888" s="15" t="s">
        <v>17555</v>
      </c>
      <c r="T888" s="18">
        <v>4</v>
      </c>
      <c r="U888" s="15" t="s">
        <v>4046</v>
      </c>
      <c r="V888" s="15" t="s">
        <v>138</v>
      </c>
      <c r="W888" s="15" t="s">
        <v>138</v>
      </c>
      <c r="X888" s="19">
        <v>2014</v>
      </c>
      <c r="Y888" s="15" t="s">
        <v>138</v>
      </c>
      <c r="Z888" s="15" t="s">
        <v>138</v>
      </c>
      <c r="AA888" s="15" t="s">
        <v>138</v>
      </c>
      <c r="AB888" s="20" t="s">
        <v>138</v>
      </c>
      <c r="AC888" s="20" t="s">
        <v>138</v>
      </c>
      <c r="AD888" s="20" t="s">
        <v>138</v>
      </c>
      <c r="AE888" s="20" t="s">
        <v>138</v>
      </c>
      <c r="AF888" s="20" t="s">
        <v>138</v>
      </c>
      <c r="AG888" s="15" t="s">
        <v>138</v>
      </c>
      <c r="AH888" s="20" t="s">
        <v>138</v>
      </c>
      <c r="AI888" s="20" t="s">
        <v>138</v>
      </c>
      <c r="AJ888" s="20" t="s">
        <v>138</v>
      </c>
      <c r="AK888" s="15" t="s">
        <v>17556</v>
      </c>
      <c r="AL888" s="15" t="s">
        <v>17557</v>
      </c>
      <c r="AM888" s="15" t="s">
        <v>17558</v>
      </c>
      <c r="AN888" s="15" t="s">
        <v>17559</v>
      </c>
      <c r="AO888" s="15" t="s">
        <v>17560</v>
      </c>
      <c r="AP888" s="15" t="s">
        <v>665</v>
      </c>
      <c r="AQ888" s="15" t="s">
        <v>138</v>
      </c>
      <c r="AR888" s="15" t="s">
        <v>138</v>
      </c>
      <c r="AS888" s="15" t="s">
        <v>668</v>
      </c>
      <c r="AT888" s="15" t="s">
        <v>200</v>
      </c>
      <c r="AU888" s="15" t="s">
        <v>138</v>
      </c>
      <c r="AV888" s="15" t="s">
        <v>162</v>
      </c>
      <c r="AW888" s="15" t="s">
        <v>17560</v>
      </c>
      <c r="AX888" s="15" t="s">
        <v>138</v>
      </c>
      <c r="AY888" s="15" t="s">
        <v>138</v>
      </c>
      <c r="AZ888" s="15" t="s">
        <v>164</v>
      </c>
      <c r="BA888" s="15" t="s">
        <v>165</v>
      </c>
      <c r="BB888" s="15" t="s">
        <v>17561</v>
      </c>
      <c r="BC888" s="15" t="s">
        <v>17562</v>
      </c>
      <c r="BD888" s="21">
        <v>22</v>
      </c>
      <c r="BE888" s="15" t="s">
        <v>138</v>
      </c>
      <c r="BF888" s="15" t="s">
        <v>138</v>
      </c>
      <c r="BG888" s="15" t="s">
        <v>138</v>
      </c>
      <c r="BH888" s="15" t="s">
        <v>17563</v>
      </c>
      <c r="BI888" s="15" t="s">
        <v>138</v>
      </c>
      <c r="BJ888" s="15" t="s">
        <v>138</v>
      </c>
      <c r="BK888" s="15" t="s">
        <v>17564</v>
      </c>
      <c r="BL888" s="15" t="s">
        <v>138</v>
      </c>
      <c r="BM888" s="22">
        <v>42005</v>
      </c>
      <c r="BN888" s="17">
        <v>2.5</v>
      </c>
      <c r="BO888" s="15" t="s">
        <v>1178</v>
      </c>
      <c r="BP888" s="17">
        <v>9.5</v>
      </c>
      <c r="BQ888" s="15" t="s">
        <v>172</v>
      </c>
      <c r="BR888" s="15" t="s">
        <v>234</v>
      </c>
      <c r="BS888" s="15" t="s">
        <v>234</v>
      </c>
      <c r="BT888" s="15" t="s">
        <v>138</v>
      </c>
      <c r="BU888" s="15" t="s">
        <v>174</v>
      </c>
      <c r="BV888" s="15" t="s">
        <v>138</v>
      </c>
      <c r="BW888" s="15" t="s">
        <v>138</v>
      </c>
      <c r="BX888" s="15" t="s">
        <v>138</v>
      </c>
      <c r="BY888" s="15" t="s">
        <v>175</v>
      </c>
      <c r="BZ888" s="22">
        <v>42817</v>
      </c>
      <c r="CA888" s="17">
        <v>4.18</v>
      </c>
      <c r="CB888" s="15" t="s">
        <v>172</v>
      </c>
      <c r="CC888" s="17">
        <v>24.18</v>
      </c>
      <c r="CD888" s="15" t="s">
        <v>172</v>
      </c>
      <c r="CE888" s="15" t="s">
        <v>234</v>
      </c>
      <c r="CF888" s="15" t="s">
        <v>234</v>
      </c>
      <c r="CG888" s="15" t="s">
        <v>138</v>
      </c>
      <c r="CH888" s="15" t="s">
        <v>174</v>
      </c>
      <c r="CI888" s="15" t="s">
        <v>138</v>
      </c>
      <c r="CJ888" s="15" t="s">
        <v>138</v>
      </c>
      <c r="CK888" s="15" t="s">
        <v>138</v>
      </c>
      <c r="CL888" s="15" t="s">
        <v>175</v>
      </c>
      <c r="CM888" s="22" t="s">
        <v>138</v>
      </c>
      <c r="CN888" s="17" t="s">
        <v>138</v>
      </c>
      <c r="CO888" s="23">
        <v>0.06</v>
      </c>
      <c r="CP888" s="24">
        <v>88</v>
      </c>
      <c r="CQ888" s="23">
        <v>0</v>
      </c>
      <c r="CR888" s="23">
        <v>0</v>
      </c>
      <c r="CS888" s="23">
        <v>0</v>
      </c>
      <c r="CT888" s="24">
        <v>23</v>
      </c>
      <c r="CU888" s="23">
        <v>0.12</v>
      </c>
      <c r="CV888" s="24">
        <v>71</v>
      </c>
      <c r="CW888" s="23">
        <v>0</v>
      </c>
      <c r="CX888" s="24">
        <v>13</v>
      </c>
      <c r="CY888" s="23" t="s">
        <v>138</v>
      </c>
      <c r="CZ888" s="24" t="s">
        <v>138</v>
      </c>
      <c r="DA888" s="23">
        <v>0.12</v>
      </c>
      <c r="DB888" s="24">
        <v>75</v>
      </c>
      <c r="DC888" s="25">
        <v>1.22</v>
      </c>
      <c r="DD888" s="24">
        <v>56</v>
      </c>
      <c r="DE888" s="25">
        <v>-0.08</v>
      </c>
      <c r="DF888" s="23">
        <v>-5.94</v>
      </c>
      <c r="DG888" s="25">
        <v>1.23</v>
      </c>
      <c r="DH888" s="24">
        <v>56</v>
      </c>
      <c r="DI888" s="25">
        <v>1.2</v>
      </c>
      <c r="DJ888" s="24">
        <v>53</v>
      </c>
      <c r="DK888" s="25">
        <v>1.23</v>
      </c>
      <c r="DL888" s="24">
        <v>55</v>
      </c>
      <c r="DM888" s="25" t="s">
        <v>138</v>
      </c>
      <c r="DN888" s="24" t="s">
        <v>138</v>
      </c>
      <c r="DO888" s="25">
        <v>1.2</v>
      </c>
      <c r="DP888" s="24">
        <v>54</v>
      </c>
      <c r="DQ888" s="24">
        <v>433</v>
      </c>
      <c r="DR888" s="26">
        <v>-36</v>
      </c>
      <c r="DS888" s="23">
        <v>-7.68</v>
      </c>
      <c r="DT888" s="24" t="s">
        <v>138</v>
      </c>
      <c r="DU888" s="26" t="s">
        <v>138</v>
      </c>
      <c r="DV888" s="23" t="s">
        <v>138</v>
      </c>
      <c r="DW888" s="24">
        <v>431</v>
      </c>
      <c r="DX888" s="27">
        <v>0</v>
      </c>
      <c r="DY888" s="23">
        <v>0</v>
      </c>
      <c r="DZ888" s="15" t="s">
        <v>178</v>
      </c>
      <c r="EA888" s="22">
        <v>43565</v>
      </c>
      <c r="EB888" s="17">
        <v>24.18</v>
      </c>
      <c r="EC888" s="22">
        <v>42817</v>
      </c>
      <c r="ED888" s="15" t="s">
        <v>234</v>
      </c>
      <c r="EE888" s="14" t="str">
        <f>HYPERLINK("https://my.pitchbook.com?c=119931-58", "View company online")</f>
        <v>View company online</v>
      </c>
    </row>
    <row r="889" spans="1:135">
      <c r="A889" s="28" t="s">
        <v>17565</v>
      </c>
      <c r="B889" s="28" t="s">
        <v>17566</v>
      </c>
      <c r="C889" s="28" t="s">
        <v>138</v>
      </c>
      <c r="D889" s="28" t="s">
        <v>138</v>
      </c>
      <c r="E889" s="28" t="s">
        <v>138</v>
      </c>
      <c r="F889" s="28" t="s">
        <v>17565</v>
      </c>
      <c r="G889" s="28" t="s">
        <v>17567</v>
      </c>
      <c r="H889" s="28" t="s">
        <v>322</v>
      </c>
      <c r="I889" s="28" t="s">
        <v>323</v>
      </c>
      <c r="J889" s="28" t="s">
        <v>413</v>
      </c>
      <c r="K889" s="28" t="s">
        <v>17568</v>
      </c>
      <c r="L889" s="28" t="s">
        <v>17569</v>
      </c>
      <c r="M889" s="28" t="s">
        <v>17570</v>
      </c>
      <c r="N889" s="28" t="s">
        <v>147</v>
      </c>
      <c r="O889" s="29">
        <v>3.81</v>
      </c>
      <c r="P889" s="28" t="s">
        <v>148</v>
      </c>
      <c r="Q889" s="28" t="s">
        <v>149</v>
      </c>
      <c r="R889" s="28" t="s">
        <v>174</v>
      </c>
      <c r="S889" s="28" t="s">
        <v>17571</v>
      </c>
      <c r="T889" s="30" t="s">
        <v>138</v>
      </c>
      <c r="U889" s="28" t="s">
        <v>138</v>
      </c>
      <c r="V889" s="28" t="s">
        <v>138</v>
      </c>
      <c r="W889" s="28" t="s">
        <v>138</v>
      </c>
      <c r="X889" s="31">
        <v>2015</v>
      </c>
      <c r="Y889" s="28" t="s">
        <v>138</v>
      </c>
      <c r="Z889" s="28" t="s">
        <v>138</v>
      </c>
      <c r="AA889" s="28" t="s">
        <v>138</v>
      </c>
      <c r="AB889" s="32" t="s">
        <v>138</v>
      </c>
      <c r="AC889" s="32" t="s">
        <v>138</v>
      </c>
      <c r="AD889" s="32" t="s">
        <v>138</v>
      </c>
      <c r="AE889" s="32" t="s">
        <v>138</v>
      </c>
      <c r="AF889" s="32" t="s">
        <v>138</v>
      </c>
      <c r="AG889" s="28" t="s">
        <v>138</v>
      </c>
      <c r="AH889" s="32" t="s">
        <v>138</v>
      </c>
      <c r="AI889" s="32" t="s">
        <v>138</v>
      </c>
      <c r="AJ889" s="32" t="s">
        <v>138</v>
      </c>
      <c r="AK889" s="28" t="s">
        <v>17572</v>
      </c>
      <c r="AL889" s="28" t="s">
        <v>17573</v>
      </c>
      <c r="AM889" s="28" t="s">
        <v>4011</v>
      </c>
      <c r="AN889" s="28" t="s">
        <v>138</v>
      </c>
      <c r="AO889" s="28" t="s">
        <v>138</v>
      </c>
      <c r="AP889" s="28" t="s">
        <v>1195</v>
      </c>
      <c r="AQ889" s="28" t="s">
        <v>17574</v>
      </c>
      <c r="AR889" s="28" t="s">
        <v>17575</v>
      </c>
      <c r="AS889" s="28" t="s">
        <v>1198</v>
      </c>
      <c r="AT889" s="28" t="s">
        <v>138</v>
      </c>
      <c r="AU889" s="28" t="s">
        <v>17576</v>
      </c>
      <c r="AV889" s="28" t="s">
        <v>1200</v>
      </c>
      <c r="AW889" s="28" t="s">
        <v>138</v>
      </c>
      <c r="AX889" s="28" t="s">
        <v>138</v>
      </c>
      <c r="AY889" s="28" t="s">
        <v>17577</v>
      </c>
      <c r="AZ889" s="28" t="s">
        <v>452</v>
      </c>
      <c r="BA889" s="28" t="s">
        <v>453</v>
      </c>
      <c r="BB889" s="28" t="s">
        <v>17578</v>
      </c>
      <c r="BC889" s="28" t="s">
        <v>17579</v>
      </c>
      <c r="BD889" s="33">
        <v>1</v>
      </c>
      <c r="BE889" s="28" t="s">
        <v>138</v>
      </c>
      <c r="BF889" s="28" t="s">
        <v>138</v>
      </c>
      <c r="BG889" s="28" t="s">
        <v>138</v>
      </c>
      <c r="BH889" s="28" t="s">
        <v>5116</v>
      </c>
      <c r="BI889" s="28" t="s">
        <v>138</v>
      </c>
      <c r="BJ889" s="28" t="s">
        <v>138</v>
      </c>
      <c r="BK889" s="28" t="s">
        <v>138</v>
      </c>
      <c r="BL889" s="28" t="s">
        <v>17580</v>
      </c>
      <c r="BM889" s="34">
        <v>42110</v>
      </c>
      <c r="BN889" s="29" t="s">
        <v>138</v>
      </c>
      <c r="BO889" s="28" t="s">
        <v>138</v>
      </c>
      <c r="BP889" s="29" t="s">
        <v>138</v>
      </c>
      <c r="BQ889" s="28" t="s">
        <v>138</v>
      </c>
      <c r="BR889" s="28" t="s">
        <v>262</v>
      </c>
      <c r="BS889" s="28" t="s">
        <v>262</v>
      </c>
      <c r="BT889" s="28" t="s">
        <v>138</v>
      </c>
      <c r="BU889" s="28" t="s">
        <v>263</v>
      </c>
      <c r="BV889" s="28" t="s">
        <v>138</v>
      </c>
      <c r="BW889" s="28" t="s">
        <v>138</v>
      </c>
      <c r="BX889" s="28" t="s">
        <v>138</v>
      </c>
      <c r="BY889" s="28" t="s">
        <v>175</v>
      </c>
      <c r="BZ889" s="34">
        <v>42837</v>
      </c>
      <c r="CA889" s="29">
        <v>3.81</v>
      </c>
      <c r="CB889" s="28" t="s">
        <v>172</v>
      </c>
      <c r="CC889" s="29" t="s">
        <v>138</v>
      </c>
      <c r="CD889" s="28" t="s">
        <v>138</v>
      </c>
      <c r="CE889" s="28" t="s">
        <v>205</v>
      </c>
      <c r="CF889" s="28" t="s">
        <v>138</v>
      </c>
      <c r="CG889" s="28" t="s">
        <v>138</v>
      </c>
      <c r="CH889" s="28" t="s">
        <v>174</v>
      </c>
      <c r="CI889" s="28" t="s">
        <v>138</v>
      </c>
      <c r="CJ889" s="28" t="s">
        <v>138</v>
      </c>
      <c r="CK889" s="28" t="s">
        <v>138</v>
      </c>
      <c r="CL889" s="28" t="s">
        <v>175</v>
      </c>
      <c r="CM889" s="34" t="s">
        <v>138</v>
      </c>
      <c r="CN889" s="29" t="s">
        <v>138</v>
      </c>
      <c r="CO889" s="35">
        <v>-0.06</v>
      </c>
      <c r="CP889" s="36">
        <v>22</v>
      </c>
      <c r="CQ889" s="35">
        <v>0</v>
      </c>
      <c r="CR889" s="35">
        <v>-7.74</v>
      </c>
      <c r="CS889" s="35">
        <v>0</v>
      </c>
      <c r="CT889" s="36">
        <v>23</v>
      </c>
      <c r="CU889" s="35">
        <v>-0.11</v>
      </c>
      <c r="CV889" s="36">
        <v>3</v>
      </c>
      <c r="CW889" s="35" t="s">
        <v>138</v>
      </c>
      <c r="CX889" s="36" t="s">
        <v>138</v>
      </c>
      <c r="CY889" s="35">
        <v>0</v>
      </c>
      <c r="CZ889" s="36">
        <v>25</v>
      </c>
      <c r="DA889" s="35">
        <v>-0.2</v>
      </c>
      <c r="DB889" s="36">
        <v>2</v>
      </c>
      <c r="DC889" s="37">
        <v>3.2</v>
      </c>
      <c r="DD889" s="36">
        <v>76</v>
      </c>
      <c r="DE889" s="37">
        <v>0.02</v>
      </c>
      <c r="DF889" s="35">
        <v>0.59</v>
      </c>
      <c r="DG889" s="37">
        <v>1.48</v>
      </c>
      <c r="DH889" s="36">
        <v>60</v>
      </c>
      <c r="DI889" s="37">
        <v>4.92</v>
      </c>
      <c r="DJ889" s="36">
        <v>77</v>
      </c>
      <c r="DK889" s="37" t="s">
        <v>138</v>
      </c>
      <c r="DL889" s="36" t="s">
        <v>138</v>
      </c>
      <c r="DM889" s="37">
        <v>1.48</v>
      </c>
      <c r="DN889" s="36">
        <v>59</v>
      </c>
      <c r="DO889" s="37">
        <v>2.06</v>
      </c>
      <c r="DP889" s="36">
        <v>64</v>
      </c>
      <c r="DQ889" s="36" t="s">
        <v>138</v>
      </c>
      <c r="DR889" s="38" t="s">
        <v>138</v>
      </c>
      <c r="DS889" s="35" t="s">
        <v>138</v>
      </c>
      <c r="DT889" s="36">
        <v>42</v>
      </c>
      <c r="DU889" s="38">
        <v>0</v>
      </c>
      <c r="DV889" s="35">
        <v>0</v>
      </c>
      <c r="DW889" s="36">
        <v>737</v>
      </c>
      <c r="DX889" s="39">
        <v>1</v>
      </c>
      <c r="DY889" s="35">
        <v>0.14000000000000001</v>
      </c>
      <c r="DZ889" s="28" t="s">
        <v>178</v>
      </c>
      <c r="EA889" s="34">
        <v>43497</v>
      </c>
      <c r="EB889" s="29" t="s">
        <v>138</v>
      </c>
      <c r="EC889" s="34" t="s">
        <v>138</v>
      </c>
      <c r="ED889" s="28" t="s">
        <v>138</v>
      </c>
      <c r="EE889" s="40" t="str">
        <f>HYPERLINK("https://my.pitchbook.com?c=169566-49", "View company online")</f>
        <v>View company online</v>
      </c>
    </row>
    <row r="890" spans="1:135">
      <c r="A890" s="15" t="s">
        <v>17581</v>
      </c>
      <c r="B890" s="15" t="s">
        <v>17582</v>
      </c>
      <c r="C890" s="15" t="s">
        <v>138</v>
      </c>
      <c r="D890" s="15" t="s">
        <v>138</v>
      </c>
      <c r="E890" s="15" t="s">
        <v>138</v>
      </c>
      <c r="F890" s="15" t="s">
        <v>17581</v>
      </c>
      <c r="G890" s="15" t="s">
        <v>17583</v>
      </c>
      <c r="H890" s="15" t="s">
        <v>322</v>
      </c>
      <c r="I890" s="15" t="s">
        <v>323</v>
      </c>
      <c r="J890" s="15" t="s">
        <v>324</v>
      </c>
      <c r="K890" s="15" t="s">
        <v>17584</v>
      </c>
      <c r="L890" s="15" t="s">
        <v>415</v>
      </c>
      <c r="M890" s="15" t="s">
        <v>17585</v>
      </c>
      <c r="N890" s="15" t="s">
        <v>147</v>
      </c>
      <c r="O890" s="17">
        <v>4.42</v>
      </c>
      <c r="P890" s="15" t="s">
        <v>148</v>
      </c>
      <c r="Q890" s="15" t="s">
        <v>149</v>
      </c>
      <c r="R890" s="15" t="s">
        <v>174</v>
      </c>
      <c r="S890" s="15" t="s">
        <v>17586</v>
      </c>
      <c r="T890" s="18">
        <v>65</v>
      </c>
      <c r="U890" s="15" t="s">
        <v>17587</v>
      </c>
      <c r="V890" s="15" t="s">
        <v>138</v>
      </c>
      <c r="W890" s="15" t="s">
        <v>138</v>
      </c>
      <c r="X890" s="19">
        <v>2012</v>
      </c>
      <c r="Y890" s="15" t="s">
        <v>138</v>
      </c>
      <c r="Z890" s="15" t="s">
        <v>138</v>
      </c>
      <c r="AA890" s="15" t="s">
        <v>138</v>
      </c>
      <c r="AB890" s="20" t="s">
        <v>138</v>
      </c>
      <c r="AC890" s="20" t="s">
        <v>138</v>
      </c>
      <c r="AD890" s="20" t="s">
        <v>138</v>
      </c>
      <c r="AE890" s="20" t="s">
        <v>138</v>
      </c>
      <c r="AF890" s="20" t="s">
        <v>138</v>
      </c>
      <c r="AG890" s="15" t="s">
        <v>138</v>
      </c>
      <c r="AH890" s="20" t="s">
        <v>138</v>
      </c>
      <c r="AI890" s="20" t="s">
        <v>138</v>
      </c>
      <c r="AJ890" s="20" t="s">
        <v>138</v>
      </c>
      <c r="AK890" s="15" t="s">
        <v>17588</v>
      </c>
      <c r="AL890" s="15" t="s">
        <v>17589</v>
      </c>
      <c r="AM890" s="15" t="s">
        <v>221</v>
      </c>
      <c r="AN890" s="15" t="s">
        <v>17590</v>
      </c>
      <c r="AO890" s="15" t="s">
        <v>17591</v>
      </c>
      <c r="AP890" s="15" t="s">
        <v>665</v>
      </c>
      <c r="AQ890" s="15" t="s">
        <v>17592</v>
      </c>
      <c r="AR890" s="15" t="s">
        <v>1936</v>
      </c>
      <c r="AS890" s="15" t="s">
        <v>668</v>
      </c>
      <c r="AT890" s="15" t="s">
        <v>200</v>
      </c>
      <c r="AU890" s="15" t="s">
        <v>14743</v>
      </c>
      <c r="AV890" s="15" t="s">
        <v>162</v>
      </c>
      <c r="AW890" s="15" t="s">
        <v>17591</v>
      </c>
      <c r="AX890" s="15" t="s">
        <v>138</v>
      </c>
      <c r="AY890" s="15" t="s">
        <v>17593</v>
      </c>
      <c r="AZ890" s="15" t="s">
        <v>164</v>
      </c>
      <c r="BA890" s="15" t="s">
        <v>165</v>
      </c>
      <c r="BB890" s="15" t="s">
        <v>17594</v>
      </c>
      <c r="BC890" s="15" t="s">
        <v>17595</v>
      </c>
      <c r="BD890" s="21">
        <v>19</v>
      </c>
      <c r="BE890" s="15" t="s">
        <v>138</v>
      </c>
      <c r="BF890" s="15" t="s">
        <v>138</v>
      </c>
      <c r="BG890" s="15" t="s">
        <v>138</v>
      </c>
      <c r="BH890" s="15" t="s">
        <v>17596</v>
      </c>
      <c r="BI890" s="15" t="s">
        <v>138</v>
      </c>
      <c r="BJ890" s="15" t="s">
        <v>138</v>
      </c>
      <c r="BK890" s="15" t="s">
        <v>17597</v>
      </c>
      <c r="BL890" s="15" t="s">
        <v>290</v>
      </c>
      <c r="BM890" s="22">
        <v>41816</v>
      </c>
      <c r="BN890" s="17" t="s">
        <v>138</v>
      </c>
      <c r="BO890" s="15" t="s">
        <v>138</v>
      </c>
      <c r="BP890" s="17" t="s">
        <v>138</v>
      </c>
      <c r="BQ890" s="15" t="s">
        <v>138</v>
      </c>
      <c r="BR890" s="15" t="s">
        <v>205</v>
      </c>
      <c r="BS890" s="15" t="s">
        <v>138</v>
      </c>
      <c r="BT890" s="15" t="s">
        <v>138</v>
      </c>
      <c r="BU890" s="15" t="s">
        <v>174</v>
      </c>
      <c r="BV890" s="15" t="s">
        <v>138</v>
      </c>
      <c r="BW890" s="15" t="s">
        <v>138</v>
      </c>
      <c r="BX890" s="15" t="s">
        <v>138</v>
      </c>
      <c r="BY890" s="15" t="s">
        <v>175</v>
      </c>
      <c r="BZ890" s="22">
        <v>42653</v>
      </c>
      <c r="CA890" s="17" t="s">
        <v>138</v>
      </c>
      <c r="CB890" s="15" t="s">
        <v>138</v>
      </c>
      <c r="CC890" s="17" t="s">
        <v>138</v>
      </c>
      <c r="CD890" s="15" t="s">
        <v>138</v>
      </c>
      <c r="CE890" s="15" t="s">
        <v>316</v>
      </c>
      <c r="CF890" s="15" t="s">
        <v>138</v>
      </c>
      <c r="CG890" s="15" t="s">
        <v>138</v>
      </c>
      <c r="CH890" s="15" t="s">
        <v>177</v>
      </c>
      <c r="CI890" s="15" t="s">
        <v>138</v>
      </c>
      <c r="CJ890" s="15" t="s">
        <v>138</v>
      </c>
      <c r="CK890" s="15" t="s">
        <v>138</v>
      </c>
      <c r="CL890" s="15" t="s">
        <v>175</v>
      </c>
      <c r="CM890" s="22" t="s">
        <v>138</v>
      </c>
      <c r="CN890" s="17" t="s">
        <v>138</v>
      </c>
      <c r="CO890" s="23">
        <v>0.53</v>
      </c>
      <c r="CP890" s="24">
        <v>95</v>
      </c>
      <c r="CQ890" s="23">
        <v>0.04</v>
      </c>
      <c r="CR890" s="23">
        <v>7.15</v>
      </c>
      <c r="CS890" s="23">
        <v>0.83</v>
      </c>
      <c r="CT890" s="24">
        <v>96</v>
      </c>
      <c r="CU890" s="23">
        <v>0.22</v>
      </c>
      <c r="CV890" s="24">
        <v>82</v>
      </c>
      <c r="CW890" s="23">
        <v>2.84</v>
      </c>
      <c r="CX890" s="24">
        <v>91</v>
      </c>
      <c r="CY890" s="23">
        <v>-1.18</v>
      </c>
      <c r="CZ890" s="24">
        <v>17</v>
      </c>
      <c r="DA890" s="23">
        <v>0.2</v>
      </c>
      <c r="DB890" s="24">
        <v>82</v>
      </c>
      <c r="DC890" s="25">
        <v>9.32</v>
      </c>
      <c r="DD890" s="24">
        <v>89</v>
      </c>
      <c r="DE890" s="25">
        <v>-0.66</v>
      </c>
      <c r="DF890" s="23">
        <v>-6.62</v>
      </c>
      <c r="DG890" s="25">
        <v>16.03</v>
      </c>
      <c r="DH890" s="24">
        <v>93</v>
      </c>
      <c r="DI890" s="25">
        <v>2.61</v>
      </c>
      <c r="DJ890" s="24">
        <v>67</v>
      </c>
      <c r="DK890" s="25">
        <v>20.71</v>
      </c>
      <c r="DL890" s="24">
        <v>92</v>
      </c>
      <c r="DM890" s="25">
        <v>11.34</v>
      </c>
      <c r="DN890" s="24">
        <v>90</v>
      </c>
      <c r="DO890" s="25">
        <v>3.13</v>
      </c>
      <c r="DP890" s="24">
        <v>72</v>
      </c>
      <c r="DQ890" s="24">
        <v>6901</v>
      </c>
      <c r="DR890" s="26">
        <v>606</v>
      </c>
      <c r="DS890" s="23">
        <v>9.6300000000000008</v>
      </c>
      <c r="DT890" s="24">
        <v>329</v>
      </c>
      <c r="DU890" s="26">
        <v>1</v>
      </c>
      <c r="DV890" s="23">
        <v>0.3</v>
      </c>
      <c r="DW890" s="24">
        <v>1120</v>
      </c>
      <c r="DX890" s="27">
        <v>1</v>
      </c>
      <c r="DY890" s="23">
        <v>0.09</v>
      </c>
      <c r="DZ890" s="15" t="s">
        <v>178</v>
      </c>
      <c r="EA890" s="22">
        <v>43483</v>
      </c>
      <c r="EB890" s="17">
        <v>17.68</v>
      </c>
      <c r="EC890" s="22">
        <v>42556</v>
      </c>
      <c r="ED890" s="15" t="s">
        <v>234</v>
      </c>
      <c r="EE890" s="14" t="str">
        <f>HYPERLINK("https://my.pitchbook.com?c=55470-61", "View company online")</f>
        <v>View company online</v>
      </c>
    </row>
    <row r="891" spans="1:135">
      <c r="A891" s="28" t="s">
        <v>17598</v>
      </c>
      <c r="B891" s="28" t="s">
        <v>17599</v>
      </c>
      <c r="C891" s="28" t="s">
        <v>138</v>
      </c>
      <c r="D891" s="28" t="s">
        <v>138</v>
      </c>
      <c r="E891" s="28" t="s">
        <v>138</v>
      </c>
      <c r="F891" s="28" t="s">
        <v>17598</v>
      </c>
      <c r="G891" s="28" t="s">
        <v>17600</v>
      </c>
      <c r="H891" s="28" t="s">
        <v>322</v>
      </c>
      <c r="I891" s="28" t="s">
        <v>323</v>
      </c>
      <c r="J891" s="28" t="s">
        <v>413</v>
      </c>
      <c r="K891" s="28" t="s">
        <v>17601</v>
      </c>
      <c r="L891" s="28" t="s">
        <v>1972</v>
      </c>
      <c r="M891" s="28" t="s">
        <v>17602</v>
      </c>
      <c r="N891" s="28" t="s">
        <v>147</v>
      </c>
      <c r="O891" s="29" t="s">
        <v>138</v>
      </c>
      <c r="P891" s="28" t="s">
        <v>148</v>
      </c>
      <c r="Q891" s="28" t="s">
        <v>149</v>
      </c>
      <c r="R891" s="28" t="s">
        <v>174</v>
      </c>
      <c r="S891" s="28" t="s">
        <v>17603</v>
      </c>
      <c r="T891" s="30">
        <v>20</v>
      </c>
      <c r="U891" s="28" t="s">
        <v>17604</v>
      </c>
      <c r="V891" s="28" t="s">
        <v>138</v>
      </c>
      <c r="W891" s="28" t="s">
        <v>138</v>
      </c>
      <c r="X891" s="31">
        <v>2015</v>
      </c>
      <c r="Y891" s="28" t="s">
        <v>138</v>
      </c>
      <c r="Z891" s="28" t="s">
        <v>138</v>
      </c>
      <c r="AA891" s="28" t="s">
        <v>138</v>
      </c>
      <c r="AB891" s="32" t="s">
        <v>138</v>
      </c>
      <c r="AC891" s="32" t="s">
        <v>138</v>
      </c>
      <c r="AD891" s="32" t="s">
        <v>138</v>
      </c>
      <c r="AE891" s="32" t="s">
        <v>138</v>
      </c>
      <c r="AF891" s="32" t="s">
        <v>138</v>
      </c>
      <c r="AG891" s="28" t="s">
        <v>138</v>
      </c>
      <c r="AH891" s="32" t="s">
        <v>138</v>
      </c>
      <c r="AI891" s="32" t="s">
        <v>138</v>
      </c>
      <c r="AJ891" s="32" t="s">
        <v>138</v>
      </c>
      <c r="AK891" s="28" t="s">
        <v>17605</v>
      </c>
      <c r="AL891" s="28" t="s">
        <v>17606</v>
      </c>
      <c r="AM891" s="28" t="s">
        <v>5468</v>
      </c>
      <c r="AN891" s="28" t="s">
        <v>17607</v>
      </c>
      <c r="AO891" s="28" t="s">
        <v>17608</v>
      </c>
      <c r="AP891" s="28" t="s">
        <v>5718</v>
      </c>
      <c r="AQ891" s="28" t="s">
        <v>17609</v>
      </c>
      <c r="AR891" s="28" t="s">
        <v>138</v>
      </c>
      <c r="AS891" s="28" t="s">
        <v>5720</v>
      </c>
      <c r="AT891" s="28" t="s">
        <v>138</v>
      </c>
      <c r="AU891" s="28" t="s">
        <v>10222</v>
      </c>
      <c r="AV891" s="28" t="s">
        <v>946</v>
      </c>
      <c r="AW891" s="28" t="s">
        <v>138</v>
      </c>
      <c r="AX891" s="28" t="s">
        <v>138</v>
      </c>
      <c r="AY891" s="28" t="s">
        <v>17610</v>
      </c>
      <c r="AZ891" s="28" t="s">
        <v>530</v>
      </c>
      <c r="BA891" s="28" t="s">
        <v>531</v>
      </c>
      <c r="BB891" s="28" t="s">
        <v>17611</v>
      </c>
      <c r="BC891" s="28" t="s">
        <v>17612</v>
      </c>
      <c r="BD891" s="33">
        <v>3</v>
      </c>
      <c r="BE891" s="28" t="s">
        <v>138</v>
      </c>
      <c r="BF891" s="28" t="s">
        <v>138</v>
      </c>
      <c r="BG891" s="28" t="s">
        <v>138</v>
      </c>
      <c r="BH891" s="28" t="s">
        <v>17613</v>
      </c>
      <c r="BI891" s="28" t="s">
        <v>138</v>
      </c>
      <c r="BJ891" s="28" t="s">
        <v>138</v>
      </c>
      <c r="BK891" s="28" t="s">
        <v>17614</v>
      </c>
      <c r="BL891" s="28" t="s">
        <v>138</v>
      </c>
      <c r="BM891" s="34">
        <v>42093</v>
      </c>
      <c r="BN891" s="29" t="s">
        <v>138</v>
      </c>
      <c r="BO891" s="28" t="s">
        <v>138</v>
      </c>
      <c r="BP891" s="29" t="s">
        <v>138</v>
      </c>
      <c r="BQ891" s="28" t="s">
        <v>138</v>
      </c>
      <c r="BR891" s="28" t="s">
        <v>1465</v>
      </c>
      <c r="BS891" s="28" t="s">
        <v>138</v>
      </c>
      <c r="BT891" s="28" t="s">
        <v>138</v>
      </c>
      <c r="BU891" s="28" t="s">
        <v>177</v>
      </c>
      <c r="BV891" s="28" t="s">
        <v>138</v>
      </c>
      <c r="BW891" s="28" t="s">
        <v>138</v>
      </c>
      <c r="BX891" s="28" t="s">
        <v>138</v>
      </c>
      <c r="BY891" s="28" t="s">
        <v>175</v>
      </c>
      <c r="BZ891" s="34">
        <v>42093</v>
      </c>
      <c r="CA891" s="29" t="s">
        <v>138</v>
      </c>
      <c r="CB891" s="28" t="s">
        <v>138</v>
      </c>
      <c r="CC891" s="29" t="s">
        <v>138</v>
      </c>
      <c r="CD891" s="28" t="s">
        <v>138</v>
      </c>
      <c r="CE891" s="28" t="s">
        <v>1465</v>
      </c>
      <c r="CF891" s="28" t="s">
        <v>138</v>
      </c>
      <c r="CG891" s="28" t="s">
        <v>138</v>
      </c>
      <c r="CH891" s="28" t="s">
        <v>177</v>
      </c>
      <c r="CI891" s="28" t="s">
        <v>138</v>
      </c>
      <c r="CJ891" s="28" t="s">
        <v>138</v>
      </c>
      <c r="CK891" s="28" t="s">
        <v>138</v>
      </c>
      <c r="CL891" s="28" t="s">
        <v>175</v>
      </c>
      <c r="CM891" s="34" t="s">
        <v>138</v>
      </c>
      <c r="CN891" s="29" t="s">
        <v>138</v>
      </c>
      <c r="CO891" s="35">
        <v>-0.19</v>
      </c>
      <c r="CP891" s="36">
        <v>20</v>
      </c>
      <c r="CQ891" s="35">
        <v>-0.04</v>
      </c>
      <c r="CR891" s="35">
        <v>-24.12</v>
      </c>
      <c r="CS891" s="35" t="s">
        <v>138</v>
      </c>
      <c r="CT891" s="36" t="s">
        <v>138</v>
      </c>
      <c r="CU891" s="35">
        <v>-0.19</v>
      </c>
      <c r="CV891" s="36">
        <v>2</v>
      </c>
      <c r="CW891" s="35" t="s">
        <v>138</v>
      </c>
      <c r="CX891" s="36" t="s">
        <v>138</v>
      </c>
      <c r="CY891" s="35" t="s">
        <v>138</v>
      </c>
      <c r="CZ891" s="36" t="s">
        <v>138</v>
      </c>
      <c r="DA891" s="35">
        <v>-0.19</v>
      </c>
      <c r="DB891" s="36">
        <v>2</v>
      </c>
      <c r="DC891" s="37">
        <v>5.68</v>
      </c>
      <c r="DD891" s="36">
        <v>84</v>
      </c>
      <c r="DE891" s="37">
        <v>0.04</v>
      </c>
      <c r="DF891" s="35">
        <v>0.66</v>
      </c>
      <c r="DG891" s="37" t="s">
        <v>138</v>
      </c>
      <c r="DH891" s="36" t="s">
        <v>138</v>
      </c>
      <c r="DI891" s="37">
        <v>5.68</v>
      </c>
      <c r="DJ891" s="36">
        <v>79</v>
      </c>
      <c r="DK891" s="37" t="s">
        <v>138</v>
      </c>
      <c r="DL891" s="36" t="s">
        <v>138</v>
      </c>
      <c r="DM891" s="37" t="s">
        <v>138</v>
      </c>
      <c r="DN891" s="36" t="s">
        <v>138</v>
      </c>
      <c r="DO891" s="37">
        <v>5.68</v>
      </c>
      <c r="DP891" s="36">
        <v>81</v>
      </c>
      <c r="DQ891" s="36" t="s">
        <v>138</v>
      </c>
      <c r="DR891" s="38" t="s">
        <v>138</v>
      </c>
      <c r="DS891" s="35" t="s">
        <v>138</v>
      </c>
      <c r="DT891" s="36" t="s">
        <v>138</v>
      </c>
      <c r="DU891" s="38" t="s">
        <v>138</v>
      </c>
      <c r="DV891" s="35" t="s">
        <v>138</v>
      </c>
      <c r="DW891" s="36">
        <v>2031</v>
      </c>
      <c r="DX891" s="39">
        <v>-4</v>
      </c>
      <c r="DY891" s="35">
        <v>-0.2</v>
      </c>
      <c r="DZ891" s="28" t="s">
        <v>178</v>
      </c>
      <c r="EA891" s="34">
        <v>43496</v>
      </c>
      <c r="EB891" s="29" t="s">
        <v>138</v>
      </c>
      <c r="EC891" s="34" t="s">
        <v>138</v>
      </c>
      <c r="ED891" s="28" t="s">
        <v>138</v>
      </c>
      <c r="EE891" s="40" t="str">
        <f>HYPERLINK("https://my.pitchbook.com?c=161778-25", "View company online")</f>
        <v>View company online</v>
      </c>
    </row>
    <row r="892" spans="1:135">
      <c r="A892" s="15" t="s">
        <v>17615</v>
      </c>
      <c r="B892" s="15" t="s">
        <v>17616</v>
      </c>
      <c r="C892" s="15" t="s">
        <v>17617</v>
      </c>
      <c r="D892" s="15" t="s">
        <v>138</v>
      </c>
      <c r="E892" s="15" t="s">
        <v>17618</v>
      </c>
      <c r="F892" s="15" t="s">
        <v>17615</v>
      </c>
      <c r="G892" s="15" t="s">
        <v>17619</v>
      </c>
      <c r="H892" s="15" t="s">
        <v>322</v>
      </c>
      <c r="I892" s="15" t="s">
        <v>323</v>
      </c>
      <c r="J892" s="15" t="s">
        <v>324</v>
      </c>
      <c r="K892" s="15" t="s">
        <v>325</v>
      </c>
      <c r="L892" s="15" t="s">
        <v>2274</v>
      </c>
      <c r="M892" s="15" t="s">
        <v>17620</v>
      </c>
      <c r="N892" s="15" t="s">
        <v>147</v>
      </c>
      <c r="O892" s="17">
        <v>36.950000000000003</v>
      </c>
      <c r="P892" s="15" t="s">
        <v>148</v>
      </c>
      <c r="Q892" s="15" t="s">
        <v>149</v>
      </c>
      <c r="R892" s="15" t="s">
        <v>174</v>
      </c>
      <c r="S892" s="15" t="s">
        <v>17621</v>
      </c>
      <c r="T892" s="18">
        <v>43</v>
      </c>
      <c r="U892" s="15" t="s">
        <v>17622</v>
      </c>
      <c r="V892" s="15" t="s">
        <v>138</v>
      </c>
      <c r="W892" s="15" t="s">
        <v>138</v>
      </c>
      <c r="X892" s="19">
        <v>2012</v>
      </c>
      <c r="Y892" s="15" t="s">
        <v>138</v>
      </c>
      <c r="Z892" s="15" t="s">
        <v>138</v>
      </c>
      <c r="AA892" s="15" t="s">
        <v>138</v>
      </c>
      <c r="AB892" s="20" t="s">
        <v>138</v>
      </c>
      <c r="AC892" s="20" t="s">
        <v>138</v>
      </c>
      <c r="AD892" s="20" t="s">
        <v>138</v>
      </c>
      <c r="AE892" s="20" t="s">
        <v>138</v>
      </c>
      <c r="AF892" s="20" t="s">
        <v>138</v>
      </c>
      <c r="AG892" s="15" t="s">
        <v>138</v>
      </c>
      <c r="AH892" s="20" t="s">
        <v>138</v>
      </c>
      <c r="AI892" s="20" t="s">
        <v>138</v>
      </c>
      <c r="AJ892" s="20" t="s">
        <v>138</v>
      </c>
      <c r="AK892" s="15" t="s">
        <v>17623</v>
      </c>
      <c r="AL892" s="15" t="s">
        <v>17624</v>
      </c>
      <c r="AM892" s="15" t="s">
        <v>221</v>
      </c>
      <c r="AN892" s="15" t="s">
        <v>17625</v>
      </c>
      <c r="AO892" s="15" t="s">
        <v>138</v>
      </c>
      <c r="AP892" s="15" t="s">
        <v>1635</v>
      </c>
      <c r="AQ892" s="15" t="s">
        <v>1636</v>
      </c>
      <c r="AR892" s="15" t="s">
        <v>17626</v>
      </c>
      <c r="AS892" s="15" t="s">
        <v>1638</v>
      </c>
      <c r="AT892" s="15" t="s">
        <v>200</v>
      </c>
      <c r="AU892" s="15" t="s">
        <v>1639</v>
      </c>
      <c r="AV892" s="15" t="s">
        <v>162</v>
      </c>
      <c r="AW892" s="15" t="s">
        <v>138</v>
      </c>
      <c r="AX892" s="15" t="s">
        <v>138</v>
      </c>
      <c r="AY892" s="15" t="s">
        <v>17627</v>
      </c>
      <c r="AZ892" s="15" t="s">
        <v>164</v>
      </c>
      <c r="BA892" s="15" t="s">
        <v>165</v>
      </c>
      <c r="BB892" s="15" t="s">
        <v>17628</v>
      </c>
      <c r="BC892" s="15" t="s">
        <v>17629</v>
      </c>
      <c r="BD892" s="21">
        <v>8</v>
      </c>
      <c r="BE892" s="15" t="s">
        <v>138</v>
      </c>
      <c r="BF892" s="15" t="s">
        <v>138</v>
      </c>
      <c r="BG892" s="15" t="s">
        <v>138</v>
      </c>
      <c r="BH892" s="15" t="s">
        <v>17630</v>
      </c>
      <c r="BI892" s="15" t="s">
        <v>138</v>
      </c>
      <c r="BJ892" s="15" t="s">
        <v>138</v>
      </c>
      <c r="BK892" s="15" t="s">
        <v>138</v>
      </c>
      <c r="BL892" s="15" t="s">
        <v>432</v>
      </c>
      <c r="BM892" s="22" t="s">
        <v>138</v>
      </c>
      <c r="BN892" s="17" t="s">
        <v>138</v>
      </c>
      <c r="BO892" s="15" t="s">
        <v>138</v>
      </c>
      <c r="BP892" s="17" t="s">
        <v>138</v>
      </c>
      <c r="BQ892" s="15" t="s">
        <v>138</v>
      </c>
      <c r="BR892" s="15" t="s">
        <v>316</v>
      </c>
      <c r="BS892" s="15" t="s">
        <v>138</v>
      </c>
      <c r="BT892" s="15" t="s">
        <v>138</v>
      </c>
      <c r="BU892" s="15" t="s">
        <v>177</v>
      </c>
      <c r="BV892" s="15" t="s">
        <v>138</v>
      </c>
      <c r="BW892" s="15" t="s">
        <v>138</v>
      </c>
      <c r="BX892" s="15" t="s">
        <v>138</v>
      </c>
      <c r="BY892" s="15" t="s">
        <v>175</v>
      </c>
      <c r="BZ892" s="22">
        <v>43160</v>
      </c>
      <c r="CA892" s="17" t="s">
        <v>138</v>
      </c>
      <c r="CB892" s="15" t="s">
        <v>138</v>
      </c>
      <c r="CC892" s="17" t="s">
        <v>138</v>
      </c>
      <c r="CD892" s="15" t="s">
        <v>138</v>
      </c>
      <c r="CE892" s="15" t="s">
        <v>316</v>
      </c>
      <c r="CF892" s="15" t="s">
        <v>138</v>
      </c>
      <c r="CG892" s="15" t="s">
        <v>138</v>
      </c>
      <c r="CH892" s="15" t="s">
        <v>177</v>
      </c>
      <c r="CI892" s="15" t="s">
        <v>138</v>
      </c>
      <c r="CJ892" s="15" t="s">
        <v>138</v>
      </c>
      <c r="CK892" s="15" t="s">
        <v>138</v>
      </c>
      <c r="CL892" s="15" t="s">
        <v>175</v>
      </c>
      <c r="CM892" s="22" t="s">
        <v>138</v>
      </c>
      <c r="CN892" s="17" t="s">
        <v>138</v>
      </c>
      <c r="CO892" s="23">
        <v>-0.56000000000000005</v>
      </c>
      <c r="CP892" s="24">
        <v>15</v>
      </c>
      <c r="CQ892" s="23">
        <v>0</v>
      </c>
      <c r="CR892" s="23">
        <v>0</v>
      </c>
      <c r="CS892" s="23">
        <v>-1.68</v>
      </c>
      <c r="CT892" s="24">
        <v>10</v>
      </c>
      <c r="CU892" s="23">
        <v>-0.03</v>
      </c>
      <c r="CV892" s="24">
        <v>14</v>
      </c>
      <c r="CW892" s="23">
        <v>-1.48</v>
      </c>
      <c r="CX892" s="24">
        <v>8</v>
      </c>
      <c r="CY892" s="23">
        <v>-1.87</v>
      </c>
      <c r="CZ892" s="24">
        <v>12</v>
      </c>
      <c r="DA892" s="23">
        <v>-0.02</v>
      </c>
      <c r="DB892" s="24">
        <v>19</v>
      </c>
      <c r="DC892" s="25">
        <v>40.54</v>
      </c>
      <c r="DD892" s="24">
        <v>97</v>
      </c>
      <c r="DE892" s="25">
        <v>-7.0000000000000007E-2</v>
      </c>
      <c r="DF892" s="23">
        <v>-0.17</v>
      </c>
      <c r="DG892" s="25">
        <v>12.38</v>
      </c>
      <c r="DH892" s="24">
        <v>91</v>
      </c>
      <c r="DI892" s="25">
        <v>100.08</v>
      </c>
      <c r="DJ892" s="24">
        <v>97</v>
      </c>
      <c r="DK892" s="25">
        <v>10.34</v>
      </c>
      <c r="DL892" s="24">
        <v>87</v>
      </c>
      <c r="DM892" s="25">
        <v>14.41</v>
      </c>
      <c r="DN892" s="24">
        <v>92</v>
      </c>
      <c r="DO892" s="25">
        <v>31.97</v>
      </c>
      <c r="DP892" s="24">
        <v>95</v>
      </c>
      <c r="DQ892" s="24">
        <v>3581</v>
      </c>
      <c r="DR892" s="26">
        <v>-106</v>
      </c>
      <c r="DS892" s="23">
        <v>-2.87</v>
      </c>
      <c r="DT892" s="24">
        <v>417</v>
      </c>
      <c r="DU892" s="26">
        <v>1</v>
      </c>
      <c r="DV892" s="23">
        <v>0.24</v>
      </c>
      <c r="DW892" s="24">
        <v>11450</v>
      </c>
      <c r="DX892" s="27">
        <v>-2</v>
      </c>
      <c r="DY892" s="23">
        <v>-0.02</v>
      </c>
      <c r="DZ892" s="15" t="s">
        <v>178</v>
      </c>
      <c r="EA892" s="22">
        <v>43591</v>
      </c>
      <c r="EB892" s="17">
        <v>90</v>
      </c>
      <c r="EC892" s="22">
        <v>43117</v>
      </c>
      <c r="ED892" s="15" t="s">
        <v>173</v>
      </c>
      <c r="EE892" s="14" t="str">
        <f>HYPERLINK("https://my.pitchbook.com?c=58349-35", "View company online")</f>
        <v>View company online</v>
      </c>
    </row>
    <row r="893" spans="1:135">
      <c r="A893" s="28" t="s">
        <v>17631</v>
      </c>
      <c r="B893" s="28" t="s">
        <v>17632</v>
      </c>
      <c r="C893" s="28" t="s">
        <v>17633</v>
      </c>
      <c r="D893" s="28" t="s">
        <v>138</v>
      </c>
      <c r="E893" s="28" t="s">
        <v>17634</v>
      </c>
      <c r="F893" s="28" t="s">
        <v>17631</v>
      </c>
      <c r="G893" s="28" t="s">
        <v>17635</v>
      </c>
      <c r="H893" s="28" t="s">
        <v>322</v>
      </c>
      <c r="I893" s="28" t="s">
        <v>323</v>
      </c>
      <c r="J893" s="28" t="s">
        <v>324</v>
      </c>
      <c r="K893" s="28" t="s">
        <v>17636</v>
      </c>
      <c r="L893" s="28" t="s">
        <v>2274</v>
      </c>
      <c r="M893" s="28" t="s">
        <v>17637</v>
      </c>
      <c r="N893" s="28" t="s">
        <v>147</v>
      </c>
      <c r="O893" s="29">
        <v>264.74</v>
      </c>
      <c r="P893" s="28" t="s">
        <v>148</v>
      </c>
      <c r="Q893" s="28" t="s">
        <v>149</v>
      </c>
      <c r="R893" s="28" t="s">
        <v>174</v>
      </c>
      <c r="S893" s="28" t="s">
        <v>17638</v>
      </c>
      <c r="T893" s="30">
        <v>130</v>
      </c>
      <c r="U893" s="28" t="s">
        <v>17639</v>
      </c>
      <c r="V893" s="28" t="s">
        <v>138</v>
      </c>
      <c r="W893" s="28" t="s">
        <v>138</v>
      </c>
      <c r="X893" s="31">
        <v>1999</v>
      </c>
      <c r="Y893" s="28" t="s">
        <v>138</v>
      </c>
      <c r="Z893" s="28" t="s">
        <v>138</v>
      </c>
      <c r="AA893" s="28" t="s">
        <v>138</v>
      </c>
      <c r="AB893" s="32">
        <v>53</v>
      </c>
      <c r="AC893" s="32" t="s">
        <v>138</v>
      </c>
      <c r="AD893" s="32" t="s">
        <v>138</v>
      </c>
      <c r="AE893" s="32" t="s">
        <v>138</v>
      </c>
      <c r="AF893" s="32" t="s">
        <v>138</v>
      </c>
      <c r="AG893" s="28" t="s">
        <v>17640</v>
      </c>
      <c r="AH893" s="32" t="s">
        <v>138</v>
      </c>
      <c r="AI893" s="32" t="s">
        <v>138</v>
      </c>
      <c r="AJ893" s="32" t="s">
        <v>138</v>
      </c>
      <c r="AK893" s="28" t="s">
        <v>17641</v>
      </c>
      <c r="AL893" s="28" t="s">
        <v>17642</v>
      </c>
      <c r="AM893" s="28" t="s">
        <v>249</v>
      </c>
      <c r="AN893" s="28" t="s">
        <v>17643</v>
      </c>
      <c r="AO893" s="28" t="s">
        <v>17644</v>
      </c>
      <c r="AP893" s="28" t="s">
        <v>2880</v>
      </c>
      <c r="AQ893" s="28" t="s">
        <v>17645</v>
      </c>
      <c r="AR893" s="28" t="s">
        <v>17646</v>
      </c>
      <c r="AS893" s="28" t="s">
        <v>2882</v>
      </c>
      <c r="AT893" s="28" t="s">
        <v>2883</v>
      </c>
      <c r="AU893" s="28" t="s">
        <v>17647</v>
      </c>
      <c r="AV893" s="28" t="s">
        <v>162</v>
      </c>
      <c r="AW893" s="28" t="s">
        <v>17644</v>
      </c>
      <c r="AX893" s="28" t="s">
        <v>138</v>
      </c>
      <c r="AY893" s="28" t="s">
        <v>17648</v>
      </c>
      <c r="AZ893" s="28" t="s">
        <v>164</v>
      </c>
      <c r="BA893" s="28" t="s">
        <v>165</v>
      </c>
      <c r="BB893" s="28" t="s">
        <v>17649</v>
      </c>
      <c r="BC893" s="28" t="s">
        <v>17650</v>
      </c>
      <c r="BD893" s="33">
        <v>20</v>
      </c>
      <c r="BE893" s="28" t="s">
        <v>138</v>
      </c>
      <c r="BF893" s="28" t="s">
        <v>17651</v>
      </c>
      <c r="BG893" s="28" t="s">
        <v>138</v>
      </c>
      <c r="BH893" s="28" t="s">
        <v>17652</v>
      </c>
      <c r="BI893" s="28" t="s">
        <v>17653</v>
      </c>
      <c r="BJ893" s="28" t="s">
        <v>138</v>
      </c>
      <c r="BK893" s="28" t="s">
        <v>290</v>
      </c>
      <c r="BL893" s="28" t="s">
        <v>290</v>
      </c>
      <c r="BM893" s="34">
        <v>36342</v>
      </c>
      <c r="BN893" s="29">
        <v>6.6</v>
      </c>
      <c r="BO893" s="28" t="s">
        <v>172</v>
      </c>
      <c r="BP893" s="29" t="s">
        <v>138</v>
      </c>
      <c r="BQ893" s="28" t="s">
        <v>138</v>
      </c>
      <c r="BR893" s="28" t="s">
        <v>205</v>
      </c>
      <c r="BS893" s="28" t="s">
        <v>206</v>
      </c>
      <c r="BT893" s="28" t="s">
        <v>138</v>
      </c>
      <c r="BU893" s="28" t="s">
        <v>174</v>
      </c>
      <c r="BV893" s="28" t="s">
        <v>138</v>
      </c>
      <c r="BW893" s="28" t="s">
        <v>138</v>
      </c>
      <c r="BX893" s="28" t="s">
        <v>138</v>
      </c>
      <c r="BY893" s="28" t="s">
        <v>175</v>
      </c>
      <c r="BZ893" s="34">
        <v>43544</v>
      </c>
      <c r="CA893" s="29">
        <v>45</v>
      </c>
      <c r="CB893" s="28" t="s">
        <v>172</v>
      </c>
      <c r="CC893" s="29">
        <v>185</v>
      </c>
      <c r="CD893" s="28" t="s">
        <v>172</v>
      </c>
      <c r="CE893" s="28" t="s">
        <v>173</v>
      </c>
      <c r="CF893" s="28" t="s">
        <v>433</v>
      </c>
      <c r="CG893" s="28" t="s">
        <v>138</v>
      </c>
      <c r="CH893" s="28" t="s">
        <v>174</v>
      </c>
      <c r="CI893" s="28" t="s">
        <v>138</v>
      </c>
      <c r="CJ893" s="28" t="s">
        <v>138</v>
      </c>
      <c r="CK893" s="28" t="s">
        <v>138</v>
      </c>
      <c r="CL893" s="28" t="s">
        <v>175</v>
      </c>
      <c r="CM893" s="34" t="s">
        <v>138</v>
      </c>
      <c r="CN893" s="29" t="s">
        <v>138</v>
      </c>
      <c r="CO893" s="35">
        <v>-0.45</v>
      </c>
      <c r="CP893" s="36">
        <v>17</v>
      </c>
      <c r="CQ893" s="35">
        <v>0</v>
      </c>
      <c r="CR893" s="35">
        <v>0.68</v>
      </c>
      <c r="CS893" s="35">
        <v>-1.22</v>
      </c>
      <c r="CT893" s="36">
        <v>13</v>
      </c>
      <c r="CU893" s="35">
        <v>0.16</v>
      </c>
      <c r="CV893" s="36">
        <v>76</v>
      </c>
      <c r="CW893" s="35">
        <v>0</v>
      </c>
      <c r="CX893" s="36">
        <v>13</v>
      </c>
      <c r="CY893" s="35">
        <v>-2.4500000000000002</v>
      </c>
      <c r="CZ893" s="36">
        <v>9</v>
      </c>
      <c r="DA893" s="35">
        <v>0.19</v>
      </c>
      <c r="DB893" s="36">
        <v>82</v>
      </c>
      <c r="DC893" s="37">
        <v>2.71</v>
      </c>
      <c r="DD893" s="36">
        <v>73</v>
      </c>
      <c r="DE893" s="37">
        <v>-0.04</v>
      </c>
      <c r="DF893" s="35">
        <v>-1.36</v>
      </c>
      <c r="DG893" s="37">
        <v>6.83</v>
      </c>
      <c r="DH893" s="36">
        <v>86</v>
      </c>
      <c r="DI893" s="37">
        <v>1.05</v>
      </c>
      <c r="DJ893" s="36">
        <v>50</v>
      </c>
      <c r="DK893" s="37">
        <v>1.35</v>
      </c>
      <c r="DL893" s="36">
        <v>57</v>
      </c>
      <c r="DM893" s="37">
        <v>12.31</v>
      </c>
      <c r="DN893" s="36">
        <v>91</v>
      </c>
      <c r="DO893" s="37">
        <v>1.88</v>
      </c>
      <c r="DP893" s="36">
        <v>62</v>
      </c>
      <c r="DQ893" s="36">
        <v>441</v>
      </c>
      <c r="DR893" s="38">
        <v>65</v>
      </c>
      <c r="DS893" s="35">
        <v>17.29</v>
      </c>
      <c r="DT893" s="36">
        <v>357</v>
      </c>
      <c r="DU893" s="38">
        <v>-3</v>
      </c>
      <c r="DV893" s="35">
        <v>-0.83</v>
      </c>
      <c r="DW893" s="36">
        <v>672</v>
      </c>
      <c r="DX893" s="39">
        <v>2</v>
      </c>
      <c r="DY893" s="35">
        <v>0.3</v>
      </c>
      <c r="DZ893" s="28" t="s">
        <v>178</v>
      </c>
      <c r="EA893" s="34">
        <v>43546</v>
      </c>
      <c r="EB893" s="29">
        <v>185</v>
      </c>
      <c r="EC893" s="34">
        <v>43544</v>
      </c>
      <c r="ED893" s="28" t="s">
        <v>173</v>
      </c>
      <c r="EE893" s="40" t="str">
        <f>HYPERLINK("https://my.pitchbook.com?c=42184-18", "View company online")</f>
        <v>View company online</v>
      </c>
    </row>
    <row r="894" spans="1:135">
      <c r="A894" s="15" t="s">
        <v>17654</v>
      </c>
      <c r="B894" s="15" t="s">
        <v>17655</v>
      </c>
      <c r="C894" s="15" t="s">
        <v>138</v>
      </c>
      <c r="D894" s="15" t="s">
        <v>138</v>
      </c>
      <c r="E894" s="15" t="s">
        <v>17656</v>
      </c>
      <c r="F894" s="15" t="s">
        <v>17654</v>
      </c>
      <c r="G894" s="15" t="s">
        <v>17657</v>
      </c>
      <c r="H894" s="15" t="s">
        <v>322</v>
      </c>
      <c r="I894" s="15" t="s">
        <v>323</v>
      </c>
      <c r="J894" s="15" t="s">
        <v>1132</v>
      </c>
      <c r="K894" s="15" t="s">
        <v>17658</v>
      </c>
      <c r="L894" s="15" t="s">
        <v>5101</v>
      </c>
      <c r="M894" s="15" t="s">
        <v>17659</v>
      </c>
      <c r="N894" s="15" t="s">
        <v>147</v>
      </c>
      <c r="O894" s="17">
        <v>4.7</v>
      </c>
      <c r="P894" s="15" t="s">
        <v>148</v>
      </c>
      <c r="Q894" s="15" t="s">
        <v>149</v>
      </c>
      <c r="R894" s="15" t="s">
        <v>174</v>
      </c>
      <c r="S894" s="15" t="s">
        <v>17660</v>
      </c>
      <c r="T894" s="18" t="s">
        <v>138</v>
      </c>
      <c r="U894" s="15" t="s">
        <v>138</v>
      </c>
      <c r="V894" s="15" t="s">
        <v>138</v>
      </c>
      <c r="W894" s="15" t="s">
        <v>138</v>
      </c>
      <c r="X894" s="19">
        <v>2016</v>
      </c>
      <c r="Y894" s="15" t="s">
        <v>138</v>
      </c>
      <c r="Z894" s="15" t="s">
        <v>138</v>
      </c>
      <c r="AA894" s="15" t="s">
        <v>138</v>
      </c>
      <c r="AB894" s="20" t="s">
        <v>138</v>
      </c>
      <c r="AC894" s="20" t="s">
        <v>138</v>
      </c>
      <c r="AD894" s="20" t="s">
        <v>138</v>
      </c>
      <c r="AE894" s="20" t="s">
        <v>138</v>
      </c>
      <c r="AF894" s="20" t="s">
        <v>138</v>
      </c>
      <c r="AG894" s="15" t="s">
        <v>138</v>
      </c>
      <c r="AH894" s="20" t="s">
        <v>138</v>
      </c>
      <c r="AI894" s="20" t="s">
        <v>138</v>
      </c>
      <c r="AJ894" s="20" t="s">
        <v>138</v>
      </c>
      <c r="AK894" s="15" t="s">
        <v>17661</v>
      </c>
      <c r="AL894" s="15" t="s">
        <v>17662</v>
      </c>
      <c r="AM894" s="15" t="s">
        <v>2776</v>
      </c>
      <c r="AN894" s="15" t="s">
        <v>17663</v>
      </c>
      <c r="AO894" s="15" t="s">
        <v>138</v>
      </c>
      <c r="AP894" s="15" t="s">
        <v>17664</v>
      </c>
      <c r="AQ894" s="15" t="s">
        <v>17665</v>
      </c>
      <c r="AR894" s="15" t="s">
        <v>17666</v>
      </c>
      <c r="AS894" s="15" t="s">
        <v>17667</v>
      </c>
      <c r="AT894" s="15" t="s">
        <v>339</v>
      </c>
      <c r="AU894" s="15" t="s">
        <v>17668</v>
      </c>
      <c r="AV894" s="15" t="s">
        <v>162</v>
      </c>
      <c r="AW894" s="15" t="s">
        <v>17669</v>
      </c>
      <c r="AX894" s="15" t="s">
        <v>138</v>
      </c>
      <c r="AY894" s="15" t="s">
        <v>17670</v>
      </c>
      <c r="AZ894" s="15" t="s">
        <v>164</v>
      </c>
      <c r="BA894" s="15" t="s">
        <v>165</v>
      </c>
      <c r="BB894" s="15" t="s">
        <v>17671</v>
      </c>
      <c r="BC894" s="15" t="s">
        <v>17672</v>
      </c>
      <c r="BD894" s="21">
        <v>3</v>
      </c>
      <c r="BE894" s="15" t="s">
        <v>138</v>
      </c>
      <c r="BF894" s="15" t="s">
        <v>138</v>
      </c>
      <c r="BG894" s="15" t="s">
        <v>138</v>
      </c>
      <c r="BH894" s="15" t="s">
        <v>17673</v>
      </c>
      <c r="BI894" s="15" t="s">
        <v>138</v>
      </c>
      <c r="BJ894" s="15" t="s">
        <v>138</v>
      </c>
      <c r="BK894" s="15" t="s">
        <v>138</v>
      </c>
      <c r="BL894" s="15" t="s">
        <v>138</v>
      </c>
      <c r="BM894" s="22">
        <v>43551</v>
      </c>
      <c r="BN894" s="17">
        <v>4.7</v>
      </c>
      <c r="BO894" s="15" t="s">
        <v>172</v>
      </c>
      <c r="BP894" s="17">
        <v>19.7</v>
      </c>
      <c r="BQ894" s="15" t="s">
        <v>172</v>
      </c>
      <c r="BR894" s="15" t="s">
        <v>234</v>
      </c>
      <c r="BS894" s="15" t="s">
        <v>234</v>
      </c>
      <c r="BT894" s="15" t="s">
        <v>138</v>
      </c>
      <c r="BU894" s="15" t="s">
        <v>174</v>
      </c>
      <c r="BV894" s="15" t="s">
        <v>138</v>
      </c>
      <c r="BW894" s="15" t="s">
        <v>138</v>
      </c>
      <c r="BX894" s="15" t="s">
        <v>138</v>
      </c>
      <c r="BY894" s="15" t="s">
        <v>175</v>
      </c>
      <c r="BZ894" s="22">
        <v>43551</v>
      </c>
      <c r="CA894" s="17">
        <v>4.7</v>
      </c>
      <c r="CB894" s="15" t="s">
        <v>172</v>
      </c>
      <c r="CC894" s="17">
        <v>19.7</v>
      </c>
      <c r="CD894" s="15" t="s">
        <v>172</v>
      </c>
      <c r="CE894" s="15" t="s">
        <v>234</v>
      </c>
      <c r="CF894" s="15" t="s">
        <v>234</v>
      </c>
      <c r="CG894" s="15" t="s">
        <v>138</v>
      </c>
      <c r="CH894" s="15" t="s">
        <v>174</v>
      </c>
      <c r="CI894" s="15" t="s">
        <v>138</v>
      </c>
      <c r="CJ894" s="15" t="s">
        <v>138</v>
      </c>
      <c r="CK894" s="15" t="s">
        <v>138</v>
      </c>
      <c r="CL894" s="15" t="s">
        <v>175</v>
      </c>
      <c r="CM894" s="22" t="s">
        <v>138</v>
      </c>
      <c r="CN894" s="17" t="s">
        <v>138</v>
      </c>
      <c r="CO894" s="23">
        <v>-0.28999999999999998</v>
      </c>
      <c r="CP894" s="24">
        <v>18</v>
      </c>
      <c r="CQ894" s="23">
        <v>0</v>
      </c>
      <c r="CR894" s="23">
        <v>0</v>
      </c>
      <c r="CS894" s="23">
        <v>-0.28999999999999998</v>
      </c>
      <c r="CT894" s="24">
        <v>21</v>
      </c>
      <c r="CU894" s="23" t="s">
        <v>138</v>
      </c>
      <c r="CV894" s="24" t="s">
        <v>138</v>
      </c>
      <c r="CW894" s="23">
        <v>-0.57999999999999996</v>
      </c>
      <c r="CX894" s="24">
        <v>11</v>
      </c>
      <c r="CY894" s="23">
        <v>0</v>
      </c>
      <c r="CZ894" s="24">
        <v>25</v>
      </c>
      <c r="DA894" s="23" t="s">
        <v>138</v>
      </c>
      <c r="DB894" s="24" t="s">
        <v>138</v>
      </c>
      <c r="DC894" s="25">
        <v>3.85</v>
      </c>
      <c r="DD894" s="24">
        <v>79</v>
      </c>
      <c r="DE894" s="25">
        <v>-0.46</v>
      </c>
      <c r="DF894" s="23">
        <v>-10.64</v>
      </c>
      <c r="DG894" s="25">
        <v>3.85</v>
      </c>
      <c r="DH894" s="24">
        <v>79</v>
      </c>
      <c r="DI894" s="25" t="s">
        <v>138</v>
      </c>
      <c r="DJ894" s="24" t="s">
        <v>138</v>
      </c>
      <c r="DK894" s="25">
        <v>7.15</v>
      </c>
      <c r="DL894" s="24">
        <v>83</v>
      </c>
      <c r="DM894" s="25">
        <v>0.55000000000000004</v>
      </c>
      <c r="DN894" s="24">
        <v>36</v>
      </c>
      <c r="DO894" s="25" t="s">
        <v>138</v>
      </c>
      <c r="DP894" s="24" t="s">
        <v>138</v>
      </c>
      <c r="DQ894" s="24">
        <v>2357</v>
      </c>
      <c r="DR894" s="26">
        <v>287</v>
      </c>
      <c r="DS894" s="23">
        <v>13.86</v>
      </c>
      <c r="DT894" s="24">
        <v>16</v>
      </c>
      <c r="DU894" s="26">
        <v>2</v>
      </c>
      <c r="DV894" s="23">
        <v>14.29</v>
      </c>
      <c r="DW894" s="24">
        <v>134</v>
      </c>
      <c r="DX894" s="27">
        <v>7</v>
      </c>
      <c r="DY894" s="23">
        <v>5.51</v>
      </c>
      <c r="DZ894" s="15" t="s">
        <v>178</v>
      </c>
      <c r="EA894" s="22">
        <v>43622</v>
      </c>
      <c r="EB894" s="17">
        <v>19.7</v>
      </c>
      <c r="EC894" s="22">
        <v>43551</v>
      </c>
      <c r="ED894" s="15" t="s">
        <v>234</v>
      </c>
      <c r="EE894" s="14" t="str">
        <f>HYPERLINK("https://my.pitchbook.com?c=225758-08", "View company online")</f>
        <v>View company online</v>
      </c>
    </row>
    <row r="895" spans="1:135">
      <c r="A895" s="28" t="s">
        <v>17674</v>
      </c>
      <c r="B895" s="28" t="s">
        <v>17675</v>
      </c>
      <c r="C895" s="28" t="s">
        <v>138</v>
      </c>
      <c r="D895" s="28" t="s">
        <v>138</v>
      </c>
      <c r="E895" s="28" t="s">
        <v>138</v>
      </c>
      <c r="F895" s="28" t="s">
        <v>17674</v>
      </c>
      <c r="G895" s="28" t="s">
        <v>17676</v>
      </c>
      <c r="H895" s="28" t="s">
        <v>322</v>
      </c>
      <c r="I895" s="28" t="s">
        <v>323</v>
      </c>
      <c r="J895" s="28" t="s">
        <v>1084</v>
      </c>
      <c r="K895" s="28" t="s">
        <v>1579</v>
      </c>
      <c r="L895" s="28" t="s">
        <v>2641</v>
      </c>
      <c r="M895" s="28" t="s">
        <v>17677</v>
      </c>
      <c r="N895" s="28" t="s">
        <v>147</v>
      </c>
      <c r="O895" s="29">
        <v>6.63</v>
      </c>
      <c r="P895" s="28" t="s">
        <v>148</v>
      </c>
      <c r="Q895" s="28" t="s">
        <v>149</v>
      </c>
      <c r="R895" s="28" t="s">
        <v>174</v>
      </c>
      <c r="S895" s="28" t="s">
        <v>17678</v>
      </c>
      <c r="T895" s="30" t="s">
        <v>138</v>
      </c>
      <c r="U895" s="28" t="s">
        <v>138</v>
      </c>
      <c r="V895" s="28" t="s">
        <v>138</v>
      </c>
      <c r="W895" s="28" t="s">
        <v>138</v>
      </c>
      <c r="X895" s="31">
        <v>2015</v>
      </c>
      <c r="Y895" s="28" t="s">
        <v>138</v>
      </c>
      <c r="Z895" s="28" t="s">
        <v>138</v>
      </c>
      <c r="AA895" s="28" t="s">
        <v>138</v>
      </c>
      <c r="AB895" s="32" t="s">
        <v>138</v>
      </c>
      <c r="AC895" s="32" t="s">
        <v>138</v>
      </c>
      <c r="AD895" s="32" t="s">
        <v>138</v>
      </c>
      <c r="AE895" s="32" t="s">
        <v>138</v>
      </c>
      <c r="AF895" s="32" t="s">
        <v>138</v>
      </c>
      <c r="AG895" s="28" t="s">
        <v>138</v>
      </c>
      <c r="AH895" s="32" t="s">
        <v>138</v>
      </c>
      <c r="AI895" s="32" t="s">
        <v>138</v>
      </c>
      <c r="AJ895" s="32" t="s">
        <v>138</v>
      </c>
      <c r="AK895" s="28" t="s">
        <v>17679</v>
      </c>
      <c r="AL895" s="28" t="s">
        <v>17680</v>
      </c>
      <c r="AM895" s="28" t="s">
        <v>221</v>
      </c>
      <c r="AN895" s="28" t="s">
        <v>17681</v>
      </c>
      <c r="AO895" s="28" t="s">
        <v>17682</v>
      </c>
      <c r="AP895" s="28" t="s">
        <v>1168</v>
      </c>
      <c r="AQ895" s="28" t="s">
        <v>17683</v>
      </c>
      <c r="AR895" s="28" t="s">
        <v>17684</v>
      </c>
      <c r="AS895" s="28" t="s">
        <v>1171</v>
      </c>
      <c r="AT895" s="28" t="s">
        <v>200</v>
      </c>
      <c r="AU895" s="28" t="s">
        <v>967</v>
      </c>
      <c r="AV895" s="28" t="s">
        <v>162</v>
      </c>
      <c r="AW895" s="28" t="s">
        <v>17682</v>
      </c>
      <c r="AX895" s="28" t="s">
        <v>138</v>
      </c>
      <c r="AY895" s="28" t="s">
        <v>138</v>
      </c>
      <c r="AZ895" s="28" t="s">
        <v>164</v>
      </c>
      <c r="BA895" s="28" t="s">
        <v>165</v>
      </c>
      <c r="BB895" s="28" t="s">
        <v>17685</v>
      </c>
      <c r="BC895" s="28" t="s">
        <v>17686</v>
      </c>
      <c r="BD895" s="33">
        <v>11</v>
      </c>
      <c r="BE895" s="28" t="s">
        <v>138</v>
      </c>
      <c r="BF895" s="28" t="s">
        <v>138</v>
      </c>
      <c r="BG895" s="28" t="s">
        <v>138</v>
      </c>
      <c r="BH895" s="28" t="s">
        <v>17687</v>
      </c>
      <c r="BI895" s="28" t="s">
        <v>138</v>
      </c>
      <c r="BJ895" s="28" t="s">
        <v>138</v>
      </c>
      <c r="BK895" s="28" t="s">
        <v>138</v>
      </c>
      <c r="BL895" s="28" t="s">
        <v>17688</v>
      </c>
      <c r="BM895" s="34">
        <v>42522</v>
      </c>
      <c r="BN895" s="29" t="s">
        <v>138</v>
      </c>
      <c r="BO895" s="28" t="s">
        <v>138</v>
      </c>
      <c r="BP895" s="29" t="s">
        <v>138</v>
      </c>
      <c r="BQ895" s="28" t="s">
        <v>138</v>
      </c>
      <c r="BR895" s="28" t="s">
        <v>205</v>
      </c>
      <c r="BS895" s="28" t="s">
        <v>138</v>
      </c>
      <c r="BT895" s="28" t="s">
        <v>138</v>
      </c>
      <c r="BU895" s="28" t="s">
        <v>174</v>
      </c>
      <c r="BV895" s="28" t="s">
        <v>138</v>
      </c>
      <c r="BW895" s="28" t="s">
        <v>138</v>
      </c>
      <c r="BX895" s="28" t="s">
        <v>138</v>
      </c>
      <c r="BY895" s="28" t="s">
        <v>175</v>
      </c>
      <c r="BZ895" s="34">
        <v>43423</v>
      </c>
      <c r="CA895" s="29">
        <v>6.51</v>
      </c>
      <c r="CB895" s="28" t="s">
        <v>172</v>
      </c>
      <c r="CC895" s="29">
        <v>30.01</v>
      </c>
      <c r="CD895" s="28" t="s">
        <v>172</v>
      </c>
      <c r="CE895" s="28" t="s">
        <v>205</v>
      </c>
      <c r="CF895" s="28" t="s">
        <v>206</v>
      </c>
      <c r="CG895" s="28" t="s">
        <v>138</v>
      </c>
      <c r="CH895" s="28" t="s">
        <v>174</v>
      </c>
      <c r="CI895" s="28" t="s">
        <v>138</v>
      </c>
      <c r="CJ895" s="28" t="s">
        <v>138</v>
      </c>
      <c r="CK895" s="28" t="s">
        <v>138</v>
      </c>
      <c r="CL895" s="28" t="s">
        <v>175</v>
      </c>
      <c r="CM895" s="34" t="s">
        <v>138</v>
      </c>
      <c r="CN895" s="29" t="s">
        <v>138</v>
      </c>
      <c r="CO895" s="35">
        <v>-0.03</v>
      </c>
      <c r="CP895" s="36">
        <v>23</v>
      </c>
      <c r="CQ895" s="35">
        <v>0</v>
      </c>
      <c r="CR895" s="35">
        <v>0</v>
      </c>
      <c r="CS895" s="35">
        <v>0</v>
      </c>
      <c r="CT895" s="36">
        <v>23</v>
      </c>
      <c r="CU895" s="35">
        <v>-0.06</v>
      </c>
      <c r="CV895" s="36">
        <v>8</v>
      </c>
      <c r="CW895" s="35">
        <v>0</v>
      </c>
      <c r="CX895" s="36">
        <v>13</v>
      </c>
      <c r="CY895" s="35" t="s">
        <v>138</v>
      </c>
      <c r="CZ895" s="36" t="s">
        <v>138</v>
      </c>
      <c r="DA895" s="35">
        <v>-0.06</v>
      </c>
      <c r="DB895" s="36">
        <v>11</v>
      </c>
      <c r="DC895" s="37">
        <v>0.74</v>
      </c>
      <c r="DD895" s="36">
        <v>44</v>
      </c>
      <c r="DE895" s="37">
        <v>-0.06</v>
      </c>
      <c r="DF895" s="35">
        <v>-7.3</v>
      </c>
      <c r="DG895" s="37">
        <v>0.93</v>
      </c>
      <c r="DH895" s="36">
        <v>49</v>
      </c>
      <c r="DI895" s="37">
        <v>0.55000000000000004</v>
      </c>
      <c r="DJ895" s="36">
        <v>38</v>
      </c>
      <c r="DK895" s="37">
        <v>0.93</v>
      </c>
      <c r="DL895" s="36">
        <v>49</v>
      </c>
      <c r="DM895" s="37" t="s">
        <v>138</v>
      </c>
      <c r="DN895" s="36" t="s">
        <v>138</v>
      </c>
      <c r="DO895" s="37">
        <v>0.55000000000000004</v>
      </c>
      <c r="DP895" s="36">
        <v>40</v>
      </c>
      <c r="DQ895" s="36">
        <v>312</v>
      </c>
      <c r="DR895" s="38">
        <v>23</v>
      </c>
      <c r="DS895" s="35">
        <v>7.96</v>
      </c>
      <c r="DT895" s="36" t="s">
        <v>138</v>
      </c>
      <c r="DU895" s="38" t="s">
        <v>138</v>
      </c>
      <c r="DV895" s="35" t="s">
        <v>138</v>
      </c>
      <c r="DW895" s="36">
        <v>196</v>
      </c>
      <c r="DX895" s="39">
        <v>0</v>
      </c>
      <c r="DY895" s="35">
        <v>0</v>
      </c>
      <c r="DZ895" s="28" t="s">
        <v>178</v>
      </c>
      <c r="EA895" s="34">
        <v>43493</v>
      </c>
      <c r="EB895" s="29">
        <v>30.01</v>
      </c>
      <c r="EC895" s="34">
        <v>43423</v>
      </c>
      <c r="ED895" s="28" t="s">
        <v>205</v>
      </c>
      <c r="EE895" s="40" t="str">
        <f>HYPERLINK("https://my.pitchbook.com?c=164312-02", "View company online")</f>
        <v>View company online</v>
      </c>
    </row>
    <row r="896" spans="1:135">
      <c r="A896" s="15" t="s">
        <v>17689</v>
      </c>
      <c r="B896" s="15" t="s">
        <v>17690</v>
      </c>
      <c r="C896" s="15" t="s">
        <v>138</v>
      </c>
      <c r="D896" s="15" t="s">
        <v>138</v>
      </c>
      <c r="E896" s="15" t="s">
        <v>17691</v>
      </c>
      <c r="F896" s="15" t="s">
        <v>17689</v>
      </c>
      <c r="G896" s="15" t="s">
        <v>17692</v>
      </c>
      <c r="H896" s="15" t="s">
        <v>322</v>
      </c>
      <c r="I896" s="15" t="s">
        <v>323</v>
      </c>
      <c r="J896" s="15" t="s">
        <v>324</v>
      </c>
      <c r="K896" s="15" t="s">
        <v>17693</v>
      </c>
      <c r="L896" s="15" t="s">
        <v>17694</v>
      </c>
      <c r="M896" s="15" t="s">
        <v>17695</v>
      </c>
      <c r="N896" s="15" t="s">
        <v>147</v>
      </c>
      <c r="O896" s="17">
        <v>4.5</v>
      </c>
      <c r="P896" s="15" t="s">
        <v>610</v>
      </c>
      <c r="Q896" s="15" t="s">
        <v>149</v>
      </c>
      <c r="R896" s="15" t="s">
        <v>174</v>
      </c>
      <c r="S896" s="15" t="s">
        <v>17696</v>
      </c>
      <c r="T896" s="18" t="s">
        <v>138</v>
      </c>
      <c r="U896" s="15" t="s">
        <v>138</v>
      </c>
      <c r="V896" s="15" t="s">
        <v>138</v>
      </c>
      <c r="W896" s="15" t="s">
        <v>138</v>
      </c>
      <c r="X896" s="19">
        <v>2013</v>
      </c>
      <c r="Y896" s="15" t="s">
        <v>138</v>
      </c>
      <c r="Z896" s="15" t="s">
        <v>138</v>
      </c>
      <c r="AA896" s="15" t="s">
        <v>138</v>
      </c>
      <c r="AB896" s="20" t="s">
        <v>138</v>
      </c>
      <c r="AC896" s="20" t="s">
        <v>138</v>
      </c>
      <c r="AD896" s="20" t="s">
        <v>138</v>
      </c>
      <c r="AE896" s="20" t="s">
        <v>138</v>
      </c>
      <c r="AF896" s="20" t="s">
        <v>138</v>
      </c>
      <c r="AG896" s="15" t="s">
        <v>138</v>
      </c>
      <c r="AH896" s="20" t="s">
        <v>138</v>
      </c>
      <c r="AI896" s="20" t="s">
        <v>138</v>
      </c>
      <c r="AJ896" s="20" t="s">
        <v>138</v>
      </c>
      <c r="AK896" s="15" t="s">
        <v>17697</v>
      </c>
      <c r="AL896" s="15" t="s">
        <v>17698</v>
      </c>
      <c r="AM896" s="15" t="s">
        <v>566</v>
      </c>
      <c r="AN896" s="15" t="s">
        <v>17699</v>
      </c>
      <c r="AO896" s="15" t="s">
        <v>17700</v>
      </c>
      <c r="AP896" s="15" t="s">
        <v>17701</v>
      </c>
      <c r="AQ896" s="15" t="s">
        <v>17702</v>
      </c>
      <c r="AR896" s="15" t="s">
        <v>138</v>
      </c>
      <c r="AS896" s="15" t="s">
        <v>17703</v>
      </c>
      <c r="AT896" s="15" t="s">
        <v>200</v>
      </c>
      <c r="AU896" s="15" t="s">
        <v>17156</v>
      </c>
      <c r="AV896" s="15" t="s">
        <v>162</v>
      </c>
      <c r="AW896" s="15" t="s">
        <v>17700</v>
      </c>
      <c r="AX896" s="15" t="s">
        <v>138</v>
      </c>
      <c r="AY896" s="15" t="s">
        <v>17704</v>
      </c>
      <c r="AZ896" s="15" t="s">
        <v>164</v>
      </c>
      <c r="BA896" s="15" t="s">
        <v>165</v>
      </c>
      <c r="BB896" s="15" t="s">
        <v>17705</v>
      </c>
      <c r="BC896" s="15" t="s">
        <v>17706</v>
      </c>
      <c r="BD896" s="21">
        <v>3</v>
      </c>
      <c r="BE896" s="15" t="s">
        <v>138</v>
      </c>
      <c r="BF896" s="15" t="s">
        <v>138</v>
      </c>
      <c r="BG896" s="15" t="s">
        <v>138</v>
      </c>
      <c r="BH896" s="15" t="s">
        <v>17707</v>
      </c>
      <c r="BI896" s="15" t="s">
        <v>138</v>
      </c>
      <c r="BJ896" s="15" t="s">
        <v>138</v>
      </c>
      <c r="BK896" s="15" t="s">
        <v>138</v>
      </c>
      <c r="BL896" s="15" t="s">
        <v>17708</v>
      </c>
      <c r="BM896" s="22" t="s">
        <v>138</v>
      </c>
      <c r="BN896" s="17" t="s">
        <v>138</v>
      </c>
      <c r="BO896" s="15" t="s">
        <v>138</v>
      </c>
      <c r="BP896" s="17" t="s">
        <v>138</v>
      </c>
      <c r="BQ896" s="15" t="s">
        <v>138</v>
      </c>
      <c r="BR896" s="15" t="s">
        <v>316</v>
      </c>
      <c r="BS896" s="15" t="s">
        <v>138</v>
      </c>
      <c r="BT896" s="15" t="s">
        <v>138</v>
      </c>
      <c r="BU896" s="15" t="s">
        <v>177</v>
      </c>
      <c r="BV896" s="15" t="s">
        <v>138</v>
      </c>
      <c r="BW896" s="15" t="s">
        <v>138</v>
      </c>
      <c r="BX896" s="15" t="s">
        <v>138</v>
      </c>
      <c r="BY896" s="15" t="s">
        <v>175</v>
      </c>
      <c r="BZ896" s="22">
        <v>43213</v>
      </c>
      <c r="CA896" s="17">
        <v>4.5</v>
      </c>
      <c r="CB896" s="15" t="s">
        <v>1178</v>
      </c>
      <c r="CC896" s="17">
        <v>13.5</v>
      </c>
      <c r="CD896" s="15" t="s">
        <v>172</v>
      </c>
      <c r="CE896" s="15" t="s">
        <v>205</v>
      </c>
      <c r="CF896" s="15" t="s">
        <v>206</v>
      </c>
      <c r="CG896" s="15" t="s">
        <v>138</v>
      </c>
      <c r="CH896" s="15" t="s">
        <v>174</v>
      </c>
      <c r="CI896" s="15" t="s">
        <v>138</v>
      </c>
      <c r="CJ896" s="15" t="s">
        <v>138</v>
      </c>
      <c r="CK896" s="15" t="s">
        <v>138</v>
      </c>
      <c r="CL896" s="15" t="s">
        <v>175</v>
      </c>
      <c r="CM896" s="22" t="s">
        <v>138</v>
      </c>
      <c r="CN896" s="17" t="s">
        <v>138</v>
      </c>
      <c r="CO896" s="23">
        <v>0</v>
      </c>
      <c r="CP896" s="24">
        <v>26</v>
      </c>
      <c r="CQ896" s="23">
        <v>0</v>
      </c>
      <c r="CR896" s="23">
        <v>0</v>
      </c>
      <c r="CS896" s="23">
        <v>0</v>
      </c>
      <c r="CT896" s="24">
        <v>23</v>
      </c>
      <c r="CU896" s="23" t="s">
        <v>138</v>
      </c>
      <c r="CV896" s="24" t="s">
        <v>138</v>
      </c>
      <c r="CW896" s="23" t="s">
        <v>138</v>
      </c>
      <c r="CX896" s="24" t="s">
        <v>138</v>
      </c>
      <c r="CY896" s="23">
        <v>0</v>
      </c>
      <c r="CZ896" s="24">
        <v>25</v>
      </c>
      <c r="DA896" s="23" t="s">
        <v>138</v>
      </c>
      <c r="DB896" s="24" t="s">
        <v>138</v>
      </c>
      <c r="DC896" s="25">
        <v>2</v>
      </c>
      <c r="DD896" s="24">
        <v>67</v>
      </c>
      <c r="DE896" s="25">
        <v>0</v>
      </c>
      <c r="DF896" s="23">
        <v>0</v>
      </c>
      <c r="DG896" s="25">
        <v>2</v>
      </c>
      <c r="DH896" s="24">
        <v>67</v>
      </c>
      <c r="DI896" s="25" t="s">
        <v>138</v>
      </c>
      <c r="DJ896" s="24" t="s">
        <v>138</v>
      </c>
      <c r="DK896" s="25" t="s">
        <v>138</v>
      </c>
      <c r="DL896" s="24" t="s">
        <v>138</v>
      </c>
      <c r="DM896" s="25">
        <v>2</v>
      </c>
      <c r="DN896" s="24">
        <v>66</v>
      </c>
      <c r="DO896" s="25" t="s">
        <v>138</v>
      </c>
      <c r="DP896" s="24" t="s">
        <v>138</v>
      </c>
      <c r="DQ896" s="24" t="s">
        <v>138</v>
      </c>
      <c r="DR896" s="26" t="s">
        <v>138</v>
      </c>
      <c r="DS896" s="23" t="s">
        <v>138</v>
      </c>
      <c r="DT896" s="24">
        <v>58</v>
      </c>
      <c r="DU896" s="26">
        <v>0</v>
      </c>
      <c r="DV896" s="23">
        <v>0</v>
      </c>
      <c r="DW896" s="24" t="s">
        <v>138</v>
      </c>
      <c r="DX896" s="27" t="s">
        <v>138</v>
      </c>
      <c r="DY896" s="23" t="s">
        <v>138</v>
      </c>
      <c r="DZ896" s="15" t="s">
        <v>178</v>
      </c>
      <c r="EA896" s="22">
        <v>43605</v>
      </c>
      <c r="EB896" s="17">
        <v>13.5</v>
      </c>
      <c r="EC896" s="22">
        <v>43213</v>
      </c>
      <c r="ED896" s="15" t="s">
        <v>205</v>
      </c>
      <c r="EE896" s="14" t="str">
        <f>HYPERLINK("https://my.pitchbook.com?c=156176-29", "View company online")</f>
        <v>View company online</v>
      </c>
    </row>
    <row r="897" spans="1:135">
      <c r="A897" s="28" t="s">
        <v>17709</v>
      </c>
      <c r="B897" s="28" t="s">
        <v>17710</v>
      </c>
      <c r="C897" s="28" t="s">
        <v>138</v>
      </c>
      <c r="D897" s="28" t="s">
        <v>138</v>
      </c>
      <c r="E897" s="28" t="s">
        <v>17711</v>
      </c>
      <c r="F897" s="28" t="s">
        <v>17709</v>
      </c>
      <c r="G897" s="28" t="s">
        <v>17712</v>
      </c>
      <c r="H897" s="28" t="s">
        <v>322</v>
      </c>
      <c r="I897" s="28" t="s">
        <v>323</v>
      </c>
      <c r="J897" s="28" t="s">
        <v>954</v>
      </c>
      <c r="K897" s="28" t="s">
        <v>17713</v>
      </c>
      <c r="L897" s="28" t="s">
        <v>17714</v>
      </c>
      <c r="M897" s="28" t="s">
        <v>17715</v>
      </c>
      <c r="N897" s="28" t="s">
        <v>147</v>
      </c>
      <c r="O897" s="29">
        <v>40.04</v>
      </c>
      <c r="P897" s="28" t="s">
        <v>148</v>
      </c>
      <c r="Q897" s="28" t="s">
        <v>149</v>
      </c>
      <c r="R897" s="28" t="s">
        <v>174</v>
      </c>
      <c r="S897" s="28" t="s">
        <v>17716</v>
      </c>
      <c r="T897" s="30">
        <v>25</v>
      </c>
      <c r="U897" s="28" t="s">
        <v>17717</v>
      </c>
      <c r="V897" s="28" t="s">
        <v>138</v>
      </c>
      <c r="W897" s="28" t="s">
        <v>138</v>
      </c>
      <c r="X897" s="31">
        <v>2015</v>
      </c>
      <c r="Y897" s="28" t="s">
        <v>138</v>
      </c>
      <c r="Z897" s="28" t="s">
        <v>138</v>
      </c>
      <c r="AA897" s="28" t="s">
        <v>138</v>
      </c>
      <c r="AB897" s="32" t="s">
        <v>138</v>
      </c>
      <c r="AC897" s="32" t="s">
        <v>138</v>
      </c>
      <c r="AD897" s="32" t="s">
        <v>138</v>
      </c>
      <c r="AE897" s="32" t="s">
        <v>138</v>
      </c>
      <c r="AF897" s="32" t="s">
        <v>138</v>
      </c>
      <c r="AG897" s="28" t="s">
        <v>138</v>
      </c>
      <c r="AH897" s="32" t="s">
        <v>138</v>
      </c>
      <c r="AI897" s="32" t="s">
        <v>138</v>
      </c>
      <c r="AJ897" s="32" t="s">
        <v>138</v>
      </c>
      <c r="AK897" s="28" t="s">
        <v>17718</v>
      </c>
      <c r="AL897" s="28" t="s">
        <v>17719</v>
      </c>
      <c r="AM897" s="28" t="s">
        <v>17720</v>
      </c>
      <c r="AN897" s="28" t="s">
        <v>17721</v>
      </c>
      <c r="AO897" s="28" t="s">
        <v>17722</v>
      </c>
      <c r="AP897" s="28" t="s">
        <v>16555</v>
      </c>
      <c r="AQ897" s="28" t="s">
        <v>17723</v>
      </c>
      <c r="AR897" s="28" t="s">
        <v>15607</v>
      </c>
      <c r="AS897" s="28" t="s">
        <v>16557</v>
      </c>
      <c r="AT897" s="28" t="s">
        <v>200</v>
      </c>
      <c r="AU897" s="28" t="s">
        <v>12249</v>
      </c>
      <c r="AV897" s="28" t="s">
        <v>162</v>
      </c>
      <c r="AW897" s="28" t="s">
        <v>17724</v>
      </c>
      <c r="AX897" s="28" t="s">
        <v>17725</v>
      </c>
      <c r="AY897" s="28" t="s">
        <v>17726</v>
      </c>
      <c r="AZ897" s="28" t="s">
        <v>164</v>
      </c>
      <c r="BA897" s="28" t="s">
        <v>165</v>
      </c>
      <c r="BB897" s="28" t="s">
        <v>17727</v>
      </c>
      <c r="BC897" s="28" t="s">
        <v>17728</v>
      </c>
      <c r="BD897" s="33">
        <v>5</v>
      </c>
      <c r="BE897" s="28" t="s">
        <v>138</v>
      </c>
      <c r="BF897" s="28" t="s">
        <v>138</v>
      </c>
      <c r="BG897" s="28" t="s">
        <v>138</v>
      </c>
      <c r="BH897" s="28" t="s">
        <v>17729</v>
      </c>
      <c r="BI897" s="28" t="s">
        <v>138</v>
      </c>
      <c r="BJ897" s="28" t="s">
        <v>138</v>
      </c>
      <c r="BK897" s="28" t="s">
        <v>17730</v>
      </c>
      <c r="BL897" s="28" t="s">
        <v>17730</v>
      </c>
      <c r="BM897" s="34">
        <v>42131</v>
      </c>
      <c r="BN897" s="29">
        <v>3.74</v>
      </c>
      <c r="BO897" s="28" t="s">
        <v>172</v>
      </c>
      <c r="BP897" s="29" t="s">
        <v>138</v>
      </c>
      <c r="BQ897" s="28" t="s">
        <v>138</v>
      </c>
      <c r="BR897" s="28" t="s">
        <v>205</v>
      </c>
      <c r="BS897" s="28" t="s">
        <v>206</v>
      </c>
      <c r="BT897" s="28" t="s">
        <v>138</v>
      </c>
      <c r="BU897" s="28" t="s">
        <v>174</v>
      </c>
      <c r="BV897" s="28" t="s">
        <v>264</v>
      </c>
      <c r="BW897" s="28" t="s">
        <v>138</v>
      </c>
      <c r="BX897" s="28" t="s">
        <v>138</v>
      </c>
      <c r="BY897" s="28" t="s">
        <v>175</v>
      </c>
      <c r="BZ897" s="34">
        <v>42842</v>
      </c>
      <c r="CA897" s="29">
        <v>36.299999999999997</v>
      </c>
      <c r="CB897" s="28" t="s">
        <v>172</v>
      </c>
      <c r="CC897" s="29" t="s">
        <v>138</v>
      </c>
      <c r="CD897" s="28" t="s">
        <v>138</v>
      </c>
      <c r="CE897" s="28" t="s">
        <v>205</v>
      </c>
      <c r="CF897" s="28" t="s">
        <v>720</v>
      </c>
      <c r="CG897" s="28" t="s">
        <v>138</v>
      </c>
      <c r="CH897" s="28" t="s">
        <v>174</v>
      </c>
      <c r="CI897" s="28" t="s">
        <v>138</v>
      </c>
      <c r="CJ897" s="28" t="s">
        <v>138</v>
      </c>
      <c r="CK897" s="28" t="s">
        <v>138</v>
      </c>
      <c r="CL897" s="28" t="s">
        <v>175</v>
      </c>
      <c r="CM897" s="34" t="s">
        <v>138</v>
      </c>
      <c r="CN897" s="29" t="s">
        <v>138</v>
      </c>
      <c r="CO897" s="35">
        <v>-0.12</v>
      </c>
      <c r="CP897" s="36">
        <v>21</v>
      </c>
      <c r="CQ897" s="35">
        <v>0.01</v>
      </c>
      <c r="CR897" s="35">
        <v>7.81</v>
      </c>
      <c r="CS897" s="35" t="s">
        <v>138</v>
      </c>
      <c r="CT897" s="36" t="s">
        <v>138</v>
      </c>
      <c r="CU897" s="35">
        <v>-0.12</v>
      </c>
      <c r="CV897" s="36">
        <v>3</v>
      </c>
      <c r="CW897" s="35" t="s">
        <v>138</v>
      </c>
      <c r="CX897" s="36" t="s">
        <v>138</v>
      </c>
      <c r="CY897" s="35" t="s">
        <v>138</v>
      </c>
      <c r="CZ897" s="36" t="s">
        <v>138</v>
      </c>
      <c r="DA897" s="35">
        <v>-0.24</v>
      </c>
      <c r="DB897" s="36">
        <v>2</v>
      </c>
      <c r="DC897" s="37">
        <v>9.49</v>
      </c>
      <c r="DD897" s="36">
        <v>89</v>
      </c>
      <c r="DE897" s="37">
        <v>0.02</v>
      </c>
      <c r="DF897" s="35">
        <v>0.21</v>
      </c>
      <c r="DG897" s="37" t="s">
        <v>138</v>
      </c>
      <c r="DH897" s="36" t="s">
        <v>138</v>
      </c>
      <c r="DI897" s="37">
        <v>9.49</v>
      </c>
      <c r="DJ897" s="36">
        <v>85</v>
      </c>
      <c r="DK897" s="37" t="s">
        <v>138</v>
      </c>
      <c r="DL897" s="36" t="s">
        <v>138</v>
      </c>
      <c r="DM897" s="37" t="s">
        <v>138</v>
      </c>
      <c r="DN897" s="36" t="s">
        <v>138</v>
      </c>
      <c r="DO897" s="37">
        <v>16.52</v>
      </c>
      <c r="DP897" s="36">
        <v>91</v>
      </c>
      <c r="DQ897" s="36">
        <v>374</v>
      </c>
      <c r="DR897" s="38">
        <v>-340</v>
      </c>
      <c r="DS897" s="35">
        <v>-47.62</v>
      </c>
      <c r="DT897" s="36" t="s">
        <v>138</v>
      </c>
      <c r="DU897" s="38" t="s">
        <v>138</v>
      </c>
      <c r="DV897" s="35" t="s">
        <v>138</v>
      </c>
      <c r="DW897" s="36">
        <v>5920</v>
      </c>
      <c r="DX897" s="39">
        <v>-15</v>
      </c>
      <c r="DY897" s="35">
        <v>-0.25</v>
      </c>
      <c r="DZ897" s="28" t="s">
        <v>178</v>
      </c>
      <c r="EA897" s="34">
        <v>43606</v>
      </c>
      <c r="EB897" s="29" t="s">
        <v>138</v>
      </c>
      <c r="EC897" s="34" t="s">
        <v>138</v>
      </c>
      <c r="ED897" s="28" t="s">
        <v>138</v>
      </c>
      <c r="EE897" s="40" t="str">
        <f>HYPERLINK("https://my.pitchbook.com?c=113482-36", "View company online")</f>
        <v>View company online</v>
      </c>
    </row>
    <row r="898" spans="1:135">
      <c r="A898" s="15" t="s">
        <v>17731</v>
      </c>
      <c r="B898" s="15" t="s">
        <v>17732</v>
      </c>
      <c r="C898" s="15" t="s">
        <v>138</v>
      </c>
      <c r="D898" s="15" t="s">
        <v>138</v>
      </c>
      <c r="E898" s="15" t="s">
        <v>17733</v>
      </c>
      <c r="F898" s="15" t="s">
        <v>17731</v>
      </c>
      <c r="G898" s="15" t="s">
        <v>17734</v>
      </c>
      <c r="H898" s="15" t="s">
        <v>238</v>
      </c>
      <c r="I898" s="15" t="s">
        <v>239</v>
      </c>
      <c r="J898" s="15" t="s">
        <v>2578</v>
      </c>
      <c r="K898" s="15" t="s">
        <v>17735</v>
      </c>
      <c r="L898" s="15" t="s">
        <v>1021</v>
      </c>
      <c r="M898" s="15" t="s">
        <v>17736</v>
      </c>
      <c r="N898" s="15" t="s">
        <v>147</v>
      </c>
      <c r="O898" s="17">
        <v>131.5</v>
      </c>
      <c r="P898" s="15" t="s">
        <v>148</v>
      </c>
      <c r="Q898" s="15" t="s">
        <v>149</v>
      </c>
      <c r="R898" s="15" t="s">
        <v>174</v>
      </c>
      <c r="S898" s="15" t="s">
        <v>17737</v>
      </c>
      <c r="T898" s="18">
        <v>100</v>
      </c>
      <c r="U898" s="15" t="s">
        <v>17738</v>
      </c>
      <c r="V898" s="15" t="s">
        <v>138</v>
      </c>
      <c r="W898" s="15" t="s">
        <v>138</v>
      </c>
      <c r="X898" s="19">
        <v>2012</v>
      </c>
      <c r="Y898" s="15" t="s">
        <v>138</v>
      </c>
      <c r="Z898" s="15" t="s">
        <v>138</v>
      </c>
      <c r="AA898" s="15" t="s">
        <v>138</v>
      </c>
      <c r="AB898" s="20" t="s">
        <v>138</v>
      </c>
      <c r="AC898" s="20" t="s">
        <v>138</v>
      </c>
      <c r="AD898" s="20" t="s">
        <v>138</v>
      </c>
      <c r="AE898" s="20" t="s">
        <v>138</v>
      </c>
      <c r="AF898" s="20" t="s">
        <v>138</v>
      </c>
      <c r="AG898" s="15" t="s">
        <v>138</v>
      </c>
      <c r="AH898" s="20" t="s">
        <v>138</v>
      </c>
      <c r="AI898" s="20" t="s">
        <v>138</v>
      </c>
      <c r="AJ898" s="20" t="s">
        <v>138</v>
      </c>
      <c r="AK898" s="15" t="s">
        <v>17739</v>
      </c>
      <c r="AL898" s="15" t="s">
        <v>17740</v>
      </c>
      <c r="AM898" s="15" t="s">
        <v>938</v>
      </c>
      <c r="AN898" s="15" t="s">
        <v>17741</v>
      </c>
      <c r="AO898" s="15" t="s">
        <v>17742</v>
      </c>
      <c r="AP898" s="15" t="s">
        <v>17743</v>
      </c>
      <c r="AQ898" s="15" t="s">
        <v>17744</v>
      </c>
      <c r="AR898" s="15" t="s">
        <v>138</v>
      </c>
      <c r="AS898" s="15" t="s">
        <v>17745</v>
      </c>
      <c r="AT898" s="15" t="s">
        <v>740</v>
      </c>
      <c r="AU898" s="15" t="s">
        <v>17746</v>
      </c>
      <c r="AV898" s="15" t="s">
        <v>740</v>
      </c>
      <c r="AW898" s="15" t="s">
        <v>17742</v>
      </c>
      <c r="AX898" s="15" t="s">
        <v>17747</v>
      </c>
      <c r="AY898" s="15" t="s">
        <v>17748</v>
      </c>
      <c r="AZ898" s="15" t="s">
        <v>742</v>
      </c>
      <c r="BA898" s="15" t="s">
        <v>742</v>
      </c>
      <c r="BB898" s="15" t="s">
        <v>17749</v>
      </c>
      <c r="BC898" s="15" t="s">
        <v>17750</v>
      </c>
      <c r="BD898" s="21">
        <v>15</v>
      </c>
      <c r="BE898" s="15" t="s">
        <v>138</v>
      </c>
      <c r="BF898" s="15" t="s">
        <v>138</v>
      </c>
      <c r="BG898" s="15" t="s">
        <v>138</v>
      </c>
      <c r="BH898" s="15" t="s">
        <v>17751</v>
      </c>
      <c r="BI898" s="15" t="s">
        <v>138</v>
      </c>
      <c r="BJ898" s="15" t="s">
        <v>138</v>
      </c>
      <c r="BK898" s="15" t="s">
        <v>2550</v>
      </c>
      <c r="BL898" s="15" t="s">
        <v>2550</v>
      </c>
      <c r="BM898" s="22">
        <v>41017</v>
      </c>
      <c r="BN898" s="17">
        <v>3.5</v>
      </c>
      <c r="BO898" s="15" t="s">
        <v>172</v>
      </c>
      <c r="BP898" s="17" t="s">
        <v>138</v>
      </c>
      <c r="BQ898" s="15" t="s">
        <v>138</v>
      </c>
      <c r="BR898" s="15" t="s">
        <v>205</v>
      </c>
      <c r="BS898" s="15" t="s">
        <v>206</v>
      </c>
      <c r="BT898" s="15" t="s">
        <v>138</v>
      </c>
      <c r="BU898" s="15" t="s">
        <v>174</v>
      </c>
      <c r="BV898" s="15" t="s">
        <v>138</v>
      </c>
      <c r="BW898" s="15" t="s">
        <v>138</v>
      </c>
      <c r="BX898" s="15" t="s">
        <v>138</v>
      </c>
      <c r="BY898" s="15" t="s">
        <v>175</v>
      </c>
      <c r="BZ898" s="22">
        <v>43152</v>
      </c>
      <c r="CA898" s="17">
        <v>50</v>
      </c>
      <c r="CB898" s="15" t="s">
        <v>172</v>
      </c>
      <c r="CC898" s="17" t="s">
        <v>138</v>
      </c>
      <c r="CD898" s="15" t="s">
        <v>138</v>
      </c>
      <c r="CE898" s="15" t="s">
        <v>173</v>
      </c>
      <c r="CF898" s="15" t="s">
        <v>433</v>
      </c>
      <c r="CG898" s="15" t="s">
        <v>138</v>
      </c>
      <c r="CH898" s="15" t="s">
        <v>174</v>
      </c>
      <c r="CI898" s="15" t="s">
        <v>138</v>
      </c>
      <c r="CJ898" s="15" t="s">
        <v>138</v>
      </c>
      <c r="CK898" s="15" t="s">
        <v>138</v>
      </c>
      <c r="CL898" s="15" t="s">
        <v>175</v>
      </c>
      <c r="CM898" s="22" t="s">
        <v>138</v>
      </c>
      <c r="CN898" s="17" t="s">
        <v>138</v>
      </c>
      <c r="CO898" s="23">
        <v>0.12</v>
      </c>
      <c r="CP898" s="24">
        <v>91</v>
      </c>
      <c r="CQ898" s="23">
        <v>-0.01</v>
      </c>
      <c r="CR898" s="23">
        <v>-4.9400000000000004</v>
      </c>
      <c r="CS898" s="23">
        <v>-0.51</v>
      </c>
      <c r="CT898" s="24">
        <v>19</v>
      </c>
      <c r="CU898" s="23">
        <v>0.13</v>
      </c>
      <c r="CV898" s="24">
        <v>73</v>
      </c>
      <c r="CW898" s="23">
        <v>-0.51</v>
      </c>
      <c r="CX898" s="24">
        <v>11</v>
      </c>
      <c r="CY898" s="23" t="s">
        <v>138</v>
      </c>
      <c r="CZ898" s="24" t="s">
        <v>138</v>
      </c>
      <c r="DA898" s="23">
        <v>0.24</v>
      </c>
      <c r="DB898" s="24">
        <v>85</v>
      </c>
      <c r="DC898" s="25">
        <v>350.21</v>
      </c>
      <c r="DD898" s="24">
        <v>100</v>
      </c>
      <c r="DE898" s="25">
        <v>-22.06</v>
      </c>
      <c r="DF898" s="23">
        <v>-5.93</v>
      </c>
      <c r="DG898" s="25">
        <v>578.92999999999995</v>
      </c>
      <c r="DH898" s="24">
        <v>100</v>
      </c>
      <c r="DI898" s="25">
        <v>304.42</v>
      </c>
      <c r="DJ898" s="24">
        <v>99</v>
      </c>
      <c r="DK898" s="25">
        <v>578.92999999999995</v>
      </c>
      <c r="DL898" s="24">
        <v>100</v>
      </c>
      <c r="DM898" s="25" t="s">
        <v>138</v>
      </c>
      <c r="DN898" s="24" t="s">
        <v>138</v>
      </c>
      <c r="DO898" s="25">
        <v>31.49</v>
      </c>
      <c r="DP898" s="24">
        <v>95</v>
      </c>
      <c r="DQ898" s="24">
        <v>198877</v>
      </c>
      <c r="DR898" s="26">
        <v>-909</v>
      </c>
      <c r="DS898" s="23">
        <v>-0.45</v>
      </c>
      <c r="DT898" s="24" t="s">
        <v>138</v>
      </c>
      <c r="DU898" s="26" t="s">
        <v>138</v>
      </c>
      <c r="DV898" s="23" t="s">
        <v>138</v>
      </c>
      <c r="DW898" s="24">
        <v>11267</v>
      </c>
      <c r="DX898" s="27">
        <v>26</v>
      </c>
      <c r="DY898" s="23">
        <v>0.23</v>
      </c>
      <c r="DZ898" s="15" t="s">
        <v>178</v>
      </c>
      <c r="EA898" s="22">
        <v>43622</v>
      </c>
      <c r="EB898" s="17">
        <v>450</v>
      </c>
      <c r="EC898" s="22">
        <v>41998</v>
      </c>
      <c r="ED898" s="15" t="s">
        <v>173</v>
      </c>
      <c r="EE898" s="14" t="str">
        <f>HYPERLINK("https://my.pitchbook.com?c=58718-71", "View company online")</f>
        <v>View company online</v>
      </c>
    </row>
    <row r="899" spans="1:135">
      <c r="A899" s="28" t="s">
        <v>17752</v>
      </c>
      <c r="B899" s="28" t="s">
        <v>17753</v>
      </c>
      <c r="C899" s="28" t="s">
        <v>138</v>
      </c>
      <c r="D899" s="28" t="s">
        <v>138</v>
      </c>
      <c r="E899" s="28" t="s">
        <v>17754</v>
      </c>
      <c r="F899" s="28" t="s">
        <v>17752</v>
      </c>
      <c r="G899" s="28" t="s">
        <v>17755</v>
      </c>
      <c r="H899" s="28" t="s">
        <v>322</v>
      </c>
      <c r="I899" s="28" t="s">
        <v>323</v>
      </c>
      <c r="J899" s="28" t="s">
        <v>324</v>
      </c>
      <c r="K899" s="28" t="s">
        <v>17756</v>
      </c>
      <c r="L899" s="28" t="s">
        <v>2835</v>
      </c>
      <c r="M899" s="28" t="s">
        <v>17757</v>
      </c>
      <c r="N899" s="28" t="s">
        <v>147</v>
      </c>
      <c r="O899" s="29">
        <v>94.63</v>
      </c>
      <c r="P899" s="28" t="s">
        <v>148</v>
      </c>
      <c r="Q899" s="28" t="s">
        <v>149</v>
      </c>
      <c r="R899" s="28" t="s">
        <v>174</v>
      </c>
      <c r="S899" s="28" t="s">
        <v>17758</v>
      </c>
      <c r="T899" s="30">
        <v>175</v>
      </c>
      <c r="U899" s="28" t="s">
        <v>17759</v>
      </c>
      <c r="V899" s="28" t="s">
        <v>138</v>
      </c>
      <c r="W899" s="28" t="s">
        <v>138</v>
      </c>
      <c r="X899" s="31">
        <v>2011</v>
      </c>
      <c r="Y899" s="28" t="s">
        <v>138</v>
      </c>
      <c r="Z899" s="28" t="s">
        <v>138</v>
      </c>
      <c r="AA899" s="28" t="s">
        <v>138</v>
      </c>
      <c r="AB899" s="32">
        <v>35</v>
      </c>
      <c r="AC899" s="32" t="s">
        <v>138</v>
      </c>
      <c r="AD899" s="32" t="s">
        <v>138</v>
      </c>
      <c r="AE899" s="32" t="s">
        <v>138</v>
      </c>
      <c r="AF899" s="32" t="s">
        <v>138</v>
      </c>
      <c r="AG899" s="28" t="s">
        <v>514</v>
      </c>
      <c r="AH899" s="32" t="s">
        <v>138</v>
      </c>
      <c r="AI899" s="32" t="s">
        <v>138</v>
      </c>
      <c r="AJ899" s="32" t="s">
        <v>138</v>
      </c>
      <c r="AK899" s="28" t="s">
        <v>17760</v>
      </c>
      <c r="AL899" s="28" t="s">
        <v>17761</v>
      </c>
      <c r="AM899" s="28" t="s">
        <v>2451</v>
      </c>
      <c r="AN899" s="28" t="s">
        <v>17762</v>
      </c>
      <c r="AO899" s="28" t="s">
        <v>17763</v>
      </c>
      <c r="AP899" s="28" t="s">
        <v>665</v>
      </c>
      <c r="AQ899" s="28" t="s">
        <v>17764</v>
      </c>
      <c r="AR899" s="28" t="s">
        <v>4231</v>
      </c>
      <c r="AS899" s="28" t="s">
        <v>668</v>
      </c>
      <c r="AT899" s="28" t="s">
        <v>200</v>
      </c>
      <c r="AU899" s="28" t="s">
        <v>2052</v>
      </c>
      <c r="AV899" s="28" t="s">
        <v>162</v>
      </c>
      <c r="AW899" s="28" t="s">
        <v>17763</v>
      </c>
      <c r="AX899" s="28" t="s">
        <v>138</v>
      </c>
      <c r="AY899" s="28" t="s">
        <v>17765</v>
      </c>
      <c r="AZ899" s="28" t="s">
        <v>164</v>
      </c>
      <c r="BA899" s="28" t="s">
        <v>165</v>
      </c>
      <c r="BB899" s="28" t="s">
        <v>17766</v>
      </c>
      <c r="BC899" s="28" t="s">
        <v>17767</v>
      </c>
      <c r="BD899" s="33">
        <v>15</v>
      </c>
      <c r="BE899" s="28" t="s">
        <v>138</v>
      </c>
      <c r="BF899" s="28" t="s">
        <v>138</v>
      </c>
      <c r="BG899" s="28" t="s">
        <v>138</v>
      </c>
      <c r="BH899" s="28" t="s">
        <v>17768</v>
      </c>
      <c r="BI899" s="28" t="s">
        <v>138</v>
      </c>
      <c r="BJ899" s="28" t="s">
        <v>138</v>
      </c>
      <c r="BK899" s="28" t="s">
        <v>17769</v>
      </c>
      <c r="BL899" s="28" t="s">
        <v>12137</v>
      </c>
      <c r="BM899" s="34" t="s">
        <v>138</v>
      </c>
      <c r="BN899" s="29" t="s">
        <v>138</v>
      </c>
      <c r="BO899" s="28" t="s">
        <v>138</v>
      </c>
      <c r="BP899" s="29" t="s">
        <v>138</v>
      </c>
      <c r="BQ899" s="28" t="s">
        <v>138</v>
      </c>
      <c r="BR899" s="28" t="s">
        <v>262</v>
      </c>
      <c r="BS899" s="28" t="s">
        <v>262</v>
      </c>
      <c r="BT899" s="28" t="s">
        <v>138</v>
      </c>
      <c r="BU899" s="28" t="s">
        <v>263</v>
      </c>
      <c r="BV899" s="28" t="s">
        <v>138</v>
      </c>
      <c r="BW899" s="28" t="s">
        <v>138</v>
      </c>
      <c r="BX899" s="28" t="s">
        <v>138</v>
      </c>
      <c r="BY899" s="28" t="s">
        <v>175</v>
      </c>
      <c r="BZ899" s="34">
        <v>43164</v>
      </c>
      <c r="CA899" s="29">
        <v>40</v>
      </c>
      <c r="CB899" s="28" t="s">
        <v>172</v>
      </c>
      <c r="CC899" s="29">
        <v>220</v>
      </c>
      <c r="CD899" s="28" t="s">
        <v>1178</v>
      </c>
      <c r="CE899" s="28" t="s">
        <v>173</v>
      </c>
      <c r="CF899" s="28" t="s">
        <v>433</v>
      </c>
      <c r="CG899" s="28" t="s">
        <v>138</v>
      </c>
      <c r="CH899" s="28" t="s">
        <v>174</v>
      </c>
      <c r="CI899" s="28" t="s">
        <v>138</v>
      </c>
      <c r="CJ899" s="28" t="s">
        <v>138</v>
      </c>
      <c r="CK899" s="28" t="s">
        <v>138</v>
      </c>
      <c r="CL899" s="28" t="s">
        <v>175</v>
      </c>
      <c r="CM899" s="34" t="s">
        <v>138</v>
      </c>
      <c r="CN899" s="29" t="s">
        <v>138</v>
      </c>
      <c r="CO899" s="35">
        <v>-0.46</v>
      </c>
      <c r="CP899" s="36">
        <v>16</v>
      </c>
      <c r="CQ899" s="35">
        <v>-0.04</v>
      </c>
      <c r="CR899" s="35">
        <v>-9.41</v>
      </c>
      <c r="CS899" s="35">
        <v>-1.02</v>
      </c>
      <c r="CT899" s="36">
        <v>15</v>
      </c>
      <c r="CU899" s="35">
        <v>0.11</v>
      </c>
      <c r="CV899" s="36">
        <v>70</v>
      </c>
      <c r="CW899" s="35">
        <v>-0.16</v>
      </c>
      <c r="CX899" s="36">
        <v>12</v>
      </c>
      <c r="CY899" s="35">
        <v>-1.89</v>
      </c>
      <c r="CZ899" s="36">
        <v>12</v>
      </c>
      <c r="DA899" s="35">
        <v>0.17</v>
      </c>
      <c r="DB899" s="36">
        <v>80</v>
      </c>
      <c r="DC899" s="37">
        <v>9.74</v>
      </c>
      <c r="DD899" s="36">
        <v>90</v>
      </c>
      <c r="DE899" s="37">
        <v>-0.3</v>
      </c>
      <c r="DF899" s="35">
        <v>-2.97</v>
      </c>
      <c r="DG899" s="37">
        <v>16.21</v>
      </c>
      <c r="DH899" s="36">
        <v>93</v>
      </c>
      <c r="DI899" s="37">
        <v>3.26</v>
      </c>
      <c r="DJ899" s="36">
        <v>71</v>
      </c>
      <c r="DK899" s="37">
        <v>8.8699999999999992</v>
      </c>
      <c r="DL899" s="36">
        <v>86</v>
      </c>
      <c r="DM899" s="37">
        <v>23.55</v>
      </c>
      <c r="DN899" s="36">
        <v>95</v>
      </c>
      <c r="DO899" s="37">
        <v>5.2</v>
      </c>
      <c r="DP899" s="36">
        <v>80</v>
      </c>
      <c r="DQ899" s="36">
        <v>3084</v>
      </c>
      <c r="DR899" s="38">
        <v>-130</v>
      </c>
      <c r="DS899" s="35">
        <v>-4.04</v>
      </c>
      <c r="DT899" s="36">
        <v>684</v>
      </c>
      <c r="DU899" s="38">
        <v>-3</v>
      </c>
      <c r="DV899" s="35">
        <v>-0.44</v>
      </c>
      <c r="DW899" s="36">
        <v>1859</v>
      </c>
      <c r="DX899" s="39">
        <v>4</v>
      </c>
      <c r="DY899" s="35">
        <v>0.22</v>
      </c>
      <c r="DZ899" s="28" t="s">
        <v>178</v>
      </c>
      <c r="EA899" s="34">
        <v>43622</v>
      </c>
      <c r="EB899" s="29">
        <v>220</v>
      </c>
      <c r="EC899" s="34">
        <v>43164</v>
      </c>
      <c r="ED899" s="28" t="s">
        <v>173</v>
      </c>
      <c r="EE899" s="40" t="str">
        <f>HYPERLINK("https://my.pitchbook.com?c=57247-84", "View company online")</f>
        <v>View company online</v>
      </c>
    </row>
    <row r="900" spans="1:135">
      <c r="A900" s="15" t="s">
        <v>17770</v>
      </c>
      <c r="B900" s="15" t="s">
        <v>17771</v>
      </c>
      <c r="C900" s="15" t="s">
        <v>138</v>
      </c>
      <c r="D900" s="15" t="s">
        <v>138</v>
      </c>
      <c r="E900" s="15" t="s">
        <v>17772</v>
      </c>
      <c r="F900" s="15" t="s">
        <v>17770</v>
      </c>
      <c r="G900" s="15" t="s">
        <v>17773</v>
      </c>
      <c r="H900" s="15" t="s">
        <v>238</v>
      </c>
      <c r="I900" s="15" t="s">
        <v>1351</v>
      </c>
      <c r="J900" s="15" t="s">
        <v>10301</v>
      </c>
      <c r="K900" s="15" t="s">
        <v>17774</v>
      </c>
      <c r="L900" s="15" t="s">
        <v>4703</v>
      </c>
      <c r="M900" s="15" t="s">
        <v>17775</v>
      </c>
      <c r="N900" s="15" t="s">
        <v>147</v>
      </c>
      <c r="O900" s="17">
        <v>20.36</v>
      </c>
      <c r="P900" s="15" t="s">
        <v>148</v>
      </c>
      <c r="Q900" s="15" t="s">
        <v>149</v>
      </c>
      <c r="R900" s="15" t="s">
        <v>244</v>
      </c>
      <c r="S900" s="15" t="s">
        <v>17776</v>
      </c>
      <c r="T900" s="18">
        <v>100</v>
      </c>
      <c r="U900" s="15" t="s">
        <v>17777</v>
      </c>
      <c r="V900" s="15" t="s">
        <v>138</v>
      </c>
      <c r="W900" s="15" t="s">
        <v>138</v>
      </c>
      <c r="X900" s="19">
        <v>2012</v>
      </c>
      <c r="Y900" s="15" t="s">
        <v>138</v>
      </c>
      <c r="Z900" s="15" t="s">
        <v>138</v>
      </c>
      <c r="AA900" s="15" t="s">
        <v>138</v>
      </c>
      <c r="AB900" s="20">
        <v>25.44</v>
      </c>
      <c r="AC900" s="20" t="s">
        <v>138</v>
      </c>
      <c r="AD900" s="20" t="s">
        <v>138</v>
      </c>
      <c r="AE900" s="20" t="s">
        <v>138</v>
      </c>
      <c r="AF900" s="20" t="s">
        <v>138</v>
      </c>
      <c r="AG900" s="15" t="s">
        <v>707</v>
      </c>
      <c r="AH900" s="20" t="s">
        <v>138</v>
      </c>
      <c r="AI900" s="20" t="s">
        <v>138</v>
      </c>
      <c r="AJ900" s="20" t="s">
        <v>138</v>
      </c>
      <c r="AK900" s="15" t="s">
        <v>17778</v>
      </c>
      <c r="AL900" s="15" t="s">
        <v>17779</v>
      </c>
      <c r="AM900" s="15" t="s">
        <v>938</v>
      </c>
      <c r="AN900" s="15" t="s">
        <v>138</v>
      </c>
      <c r="AO900" s="15" t="s">
        <v>17780</v>
      </c>
      <c r="AP900" s="15" t="s">
        <v>941</v>
      </c>
      <c r="AQ900" s="15" t="s">
        <v>17781</v>
      </c>
      <c r="AR900" s="15" t="s">
        <v>138</v>
      </c>
      <c r="AS900" s="15" t="s">
        <v>944</v>
      </c>
      <c r="AT900" s="15" t="s">
        <v>138</v>
      </c>
      <c r="AU900" s="15" t="s">
        <v>9116</v>
      </c>
      <c r="AV900" s="15" t="s">
        <v>946</v>
      </c>
      <c r="AW900" s="15" t="s">
        <v>17780</v>
      </c>
      <c r="AX900" s="15" t="s">
        <v>138</v>
      </c>
      <c r="AY900" s="15" t="s">
        <v>17782</v>
      </c>
      <c r="AZ900" s="15" t="s">
        <v>530</v>
      </c>
      <c r="BA900" s="15" t="s">
        <v>531</v>
      </c>
      <c r="BB900" s="15" t="s">
        <v>17783</v>
      </c>
      <c r="BC900" s="15" t="s">
        <v>17784</v>
      </c>
      <c r="BD900" s="21">
        <v>10</v>
      </c>
      <c r="BE900" s="15" t="s">
        <v>138</v>
      </c>
      <c r="BF900" s="15" t="s">
        <v>2912</v>
      </c>
      <c r="BG900" s="15" t="s">
        <v>138</v>
      </c>
      <c r="BH900" s="15" t="s">
        <v>17785</v>
      </c>
      <c r="BI900" s="15" t="s">
        <v>2914</v>
      </c>
      <c r="BJ900" s="15" t="s">
        <v>138</v>
      </c>
      <c r="BK900" s="15" t="s">
        <v>138</v>
      </c>
      <c r="BL900" s="15" t="s">
        <v>17786</v>
      </c>
      <c r="BM900" s="22">
        <v>41142</v>
      </c>
      <c r="BN900" s="17" t="s">
        <v>138</v>
      </c>
      <c r="BO900" s="15" t="s">
        <v>138</v>
      </c>
      <c r="BP900" s="17" t="s">
        <v>138</v>
      </c>
      <c r="BQ900" s="15" t="s">
        <v>138</v>
      </c>
      <c r="BR900" s="15" t="s">
        <v>205</v>
      </c>
      <c r="BS900" s="15" t="s">
        <v>138</v>
      </c>
      <c r="BT900" s="15" t="s">
        <v>138</v>
      </c>
      <c r="BU900" s="15" t="s">
        <v>174</v>
      </c>
      <c r="BV900" s="15" t="s">
        <v>138</v>
      </c>
      <c r="BW900" s="15" t="s">
        <v>138</v>
      </c>
      <c r="BX900" s="15" t="s">
        <v>138</v>
      </c>
      <c r="BY900" s="15" t="s">
        <v>175</v>
      </c>
      <c r="BZ900" s="22">
        <v>42887</v>
      </c>
      <c r="CA900" s="17">
        <v>16.829999999999998</v>
      </c>
      <c r="CB900" s="15" t="s">
        <v>172</v>
      </c>
      <c r="CC900" s="17" t="s">
        <v>138</v>
      </c>
      <c r="CD900" s="15" t="s">
        <v>138</v>
      </c>
      <c r="CE900" s="15" t="s">
        <v>173</v>
      </c>
      <c r="CF900" s="15" t="s">
        <v>317</v>
      </c>
      <c r="CG900" s="15" t="s">
        <v>138</v>
      </c>
      <c r="CH900" s="15" t="s">
        <v>174</v>
      </c>
      <c r="CI900" s="15" t="s">
        <v>138</v>
      </c>
      <c r="CJ900" s="15" t="s">
        <v>138</v>
      </c>
      <c r="CK900" s="15" t="s">
        <v>138</v>
      </c>
      <c r="CL900" s="15" t="s">
        <v>175</v>
      </c>
      <c r="CM900" s="22">
        <v>42370</v>
      </c>
      <c r="CN900" s="17">
        <v>3.53</v>
      </c>
      <c r="CO900" s="23">
        <v>-1.66</v>
      </c>
      <c r="CP900" s="24">
        <v>7</v>
      </c>
      <c r="CQ900" s="23">
        <v>0.01</v>
      </c>
      <c r="CR900" s="23">
        <v>0.5</v>
      </c>
      <c r="CS900" s="23">
        <v>-3.28</v>
      </c>
      <c r="CT900" s="24">
        <v>5</v>
      </c>
      <c r="CU900" s="23">
        <v>-0.04</v>
      </c>
      <c r="CV900" s="24">
        <v>12</v>
      </c>
      <c r="CW900" s="23">
        <v>0.32</v>
      </c>
      <c r="CX900" s="24">
        <v>82</v>
      </c>
      <c r="CY900" s="23">
        <v>-6.89</v>
      </c>
      <c r="CZ900" s="24">
        <v>1</v>
      </c>
      <c r="DA900" s="23">
        <v>-0.06</v>
      </c>
      <c r="DB900" s="24">
        <v>11</v>
      </c>
      <c r="DC900" s="25">
        <v>105.76</v>
      </c>
      <c r="DD900" s="24">
        <v>99</v>
      </c>
      <c r="DE900" s="25">
        <v>-0.19</v>
      </c>
      <c r="DF900" s="23">
        <v>-0.18</v>
      </c>
      <c r="DG900" s="25">
        <v>8.31</v>
      </c>
      <c r="DH900" s="24">
        <v>88</v>
      </c>
      <c r="DI900" s="25">
        <v>203.21</v>
      </c>
      <c r="DJ900" s="24">
        <v>98</v>
      </c>
      <c r="DK900" s="25">
        <v>3.01</v>
      </c>
      <c r="DL900" s="24">
        <v>72</v>
      </c>
      <c r="DM900" s="25">
        <v>13.62</v>
      </c>
      <c r="DN900" s="24">
        <v>91</v>
      </c>
      <c r="DO900" s="25">
        <v>11.01</v>
      </c>
      <c r="DP900" s="24">
        <v>88</v>
      </c>
      <c r="DQ900" s="24">
        <v>1026</v>
      </c>
      <c r="DR900" s="26">
        <v>18</v>
      </c>
      <c r="DS900" s="23">
        <v>1.79</v>
      </c>
      <c r="DT900" s="24">
        <v>394</v>
      </c>
      <c r="DU900" s="26">
        <v>2</v>
      </c>
      <c r="DV900" s="23">
        <v>0.51</v>
      </c>
      <c r="DW900" s="24">
        <v>3942</v>
      </c>
      <c r="DX900" s="27">
        <v>-1</v>
      </c>
      <c r="DY900" s="23">
        <v>-0.03</v>
      </c>
      <c r="DZ900" s="15" t="s">
        <v>178</v>
      </c>
      <c r="EA900" s="22">
        <v>43448</v>
      </c>
      <c r="EB900" s="17" t="s">
        <v>138</v>
      </c>
      <c r="EC900" s="22" t="s">
        <v>138</v>
      </c>
      <c r="ED900" s="15" t="s">
        <v>138</v>
      </c>
      <c r="EE900" s="14" t="str">
        <f>HYPERLINK("https://my.pitchbook.com?c=55069-39", "View company online")</f>
        <v>View company online</v>
      </c>
    </row>
    <row r="901" spans="1:135">
      <c r="A901" s="28" t="s">
        <v>17787</v>
      </c>
      <c r="B901" s="28" t="s">
        <v>17788</v>
      </c>
      <c r="C901" s="28" t="s">
        <v>138</v>
      </c>
      <c r="D901" s="28" t="s">
        <v>138</v>
      </c>
      <c r="E901" s="28" t="s">
        <v>138</v>
      </c>
      <c r="F901" s="28" t="s">
        <v>17787</v>
      </c>
      <c r="G901" s="28" t="s">
        <v>17789</v>
      </c>
      <c r="H901" s="28" t="s">
        <v>183</v>
      </c>
      <c r="I901" s="28" t="s">
        <v>725</v>
      </c>
      <c r="J901" s="28" t="s">
        <v>8492</v>
      </c>
      <c r="K901" s="28" t="s">
        <v>17790</v>
      </c>
      <c r="L901" s="28" t="s">
        <v>17791</v>
      </c>
      <c r="M901" s="28" t="s">
        <v>17792</v>
      </c>
      <c r="N901" s="28" t="s">
        <v>147</v>
      </c>
      <c r="O901" s="29" t="s">
        <v>138</v>
      </c>
      <c r="P901" s="28" t="s">
        <v>610</v>
      </c>
      <c r="Q901" s="28" t="s">
        <v>149</v>
      </c>
      <c r="R901" s="28" t="s">
        <v>174</v>
      </c>
      <c r="S901" s="28" t="s">
        <v>17793</v>
      </c>
      <c r="T901" s="30">
        <v>2</v>
      </c>
      <c r="U901" s="28" t="s">
        <v>4417</v>
      </c>
      <c r="V901" s="28" t="s">
        <v>138</v>
      </c>
      <c r="W901" s="28" t="s">
        <v>138</v>
      </c>
      <c r="X901" s="31">
        <v>2014</v>
      </c>
      <c r="Y901" s="28" t="s">
        <v>138</v>
      </c>
      <c r="Z901" s="28" t="s">
        <v>138</v>
      </c>
      <c r="AA901" s="28" t="s">
        <v>138</v>
      </c>
      <c r="AB901" s="32" t="s">
        <v>138</v>
      </c>
      <c r="AC901" s="32" t="s">
        <v>138</v>
      </c>
      <c r="AD901" s="32" t="s">
        <v>138</v>
      </c>
      <c r="AE901" s="32" t="s">
        <v>138</v>
      </c>
      <c r="AF901" s="32" t="s">
        <v>138</v>
      </c>
      <c r="AG901" s="28" t="s">
        <v>138</v>
      </c>
      <c r="AH901" s="32" t="s">
        <v>138</v>
      </c>
      <c r="AI901" s="32" t="s">
        <v>138</v>
      </c>
      <c r="AJ901" s="32" t="s">
        <v>138</v>
      </c>
      <c r="AK901" s="28" t="s">
        <v>17794</v>
      </c>
      <c r="AL901" s="28" t="s">
        <v>17795</v>
      </c>
      <c r="AM901" s="28" t="s">
        <v>636</v>
      </c>
      <c r="AN901" s="28" t="s">
        <v>17796</v>
      </c>
      <c r="AO901" s="28" t="s">
        <v>17797</v>
      </c>
      <c r="AP901" s="28" t="s">
        <v>17798</v>
      </c>
      <c r="AQ901" s="28" t="s">
        <v>17799</v>
      </c>
      <c r="AR901" s="28" t="s">
        <v>138</v>
      </c>
      <c r="AS901" s="28" t="s">
        <v>17800</v>
      </c>
      <c r="AT901" s="28" t="s">
        <v>138</v>
      </c>
      <c r="AU901" s="28" t="s">
        <v>17801</v>
      </c>
      <c r="AV901" s="28" t="s">
        <v>9686</v>
      </c>
      <c r="AW901" s="28" t="s">
        <v>138</v>
      </c>
      <c r="AX901" s="28" t="s">
        <v>138</v>
      </c>
      <c r="AY901" s="28" t="s">
        <v>138</v>
      </c>
      <c r="AZ901" s="28" t="s">
        <v>530</v>
      </c>
      <c r="BA901" s="28" t="s">
        <v>9687</v>
      </c>
      <c r="BB901" s="28" t="s">
        <v>17802</v>
      </c>
      <c r="BC901" s="28" t="s">
        <v>17803</v>
      </c>
      <c r="BD901" s="33">
        <v>5</v>
      </c>
      <c r="BE901" s="28" t="s">
        <v>138</v>
      </c>
      <c r="BF901" s="28" t="s">
        <v>138</v>
      </c>
      <c r="BG901" s="28" t="s">
        <v>138</v>
      </c>
      <c r="BH901" s="28" t="s">
        <v>17804</v>
      </c>
      <c r="BI901" s="28" t="s">
        <v>138</v>
      </c>
      <c r="BJ901" s="28" t="s">
        <v>138</v>
      </c>
      <c r="BK901" s="28" t="s">
        <v>138</v>
      </c>
      <c r="BL901" s="28" t="s">
        <v>138</v>
      </c>
      <c r="BM901" s="34" t="s">
        <v>138</v>
      </c>
      <c r="BN901" s="29" t="s">
        <v>138</v>
      </c>
      <c r="BO901" s="28" t="s">
        <v>138</v>
      </c>
      <c r="BP901" s="29" t="s">
        <v>138</v>
      </c>
      <c r="BQ901" s="28" t="s">
        <v>138</v>
      </c>
      <c r="BR901" s="28" t="s">
        <v>316</v>
      </c>
      <c r="BS901" s="28" t="s">
        <v>138</v>
      </c>
      <c r="BT901" s="28" t="s">
        <v>138</v>
      </c>
      <c r="BU901" s="28" t="s">
        <v>177</v>
      </c>
      <c r="BV901" s="28" t="s">
        <v>138</v>
      </c>
      <c r="BW901" s="28" t="s">
        <v>138</v>
      </c>
      <c r="BX901" s="28" t="s">
        <v>138</v>
      </c>
      <c r="BY901" s="28" t="s">
        <v>175</v>
      </c>
      <c r="BZ901" s="34">
        <v>42586</v>
      </c>
      <c r="CA901" s="29">
        <v>0.06</v>
      </c>
      <c r="CB901" s="28" t="s">
        <v>172</v>
      </c>
      <c r="CC901" s="29" t="s">
        <v>138</v>
      </c>
      <c r="CD901" s="28" t="s">
        <v>138</v>
      </c>
      <c r="CE901" s="28" t="s">
        <v>176</v>
      </c>
      <c r="CF901" s="28" t="s">
        <v>138</v>
      </c>
      <c r="CG901" s="28" t="s">
        <v>138</v>
      </c>
      <c r="CH901" s="28" t="s">
        <v>177</v>
      </c>
      <c r="CI901" s="28" t="s">
        <v>138</v>
      </c>
      <c r="CJ901" s="28" t="s">
        <v>138</v>
      </c>
      <c r="CK901" s="28" t="s">
        <v>138</v>
      </c>
      <c r="CL901" s="28" t="s">
        <v>175</v>
      </c>
      <c r="CM901" s="34" t="s">
        <v>138</v>
      </c>
      <c r="CN901" s="29" t="s">
        <v>138</v>
      </c>
      <c r="CO901" s="35">
        <v>0</v>
      </c>
      <c r="CP901" s="36">
        <v>26</v>
      </c>
      <c r="CQ901" s="35">
        <v>0</v>
      </c>
      <c r="CR901" s="35">
        <v>0</v>
      </c>
      <c r="CS901" s="35">
        <v>0</v>
      </c>
      <c r="CT901" s="36">
        <v>23</v>
      </c>
      <c r="CU901" s="35" t="s">
        <v>138</v>
      </c>
      <c r="CV901" s="36" t="s">
        <v>138</v>
      </c>
      <c r="CW901" s="35" t="s">
        <v>138</v>
      </c>
      <c r="CX901" s="36" t="s">
        <v>138</v>
      </c>
      <c r="CY901" s="35">
        <v>0</v>
      </c>
      <c r="CZ901" s="36">
        <v>25</v>
      </c>
      <c r="DA901" s="35" t="s">
        <v>138</v>
      </c>
      <c r="DB901" s="36" t="s">
        <v>138</v>
      </c>
      <c r="DC901" s="37">
        <v>0.24</v>
      </c>
      <c r="DD901" s="36">
        <v>18</v>
      </c>
      <c r="DE901" s="37">
        <v>0</v>
      </c>
      <c r="DF901" s="35">
        <v>0</v>
      </c>
      <c r="DG901" s="37">
        <v>0.24</v>
      </c>
      <c r="DH901" s="36">
        <v>18</v>
      </c>
      <c r="DI901" s="37" t="s">
        <v>138</v>
      </c>
      <c r="DJ901" s="36" t="s">
        <v>138</v>
      </c>
      <c r="DK901" s="37" t="s">
        <v>138</v>
      </c>
      <c r="DL901" s="36" t="s">
        <v>138</v>
      </c>
      <c r="DM901" s="37">
        <v>0.24</v>
      </c>
      <c r="DN901" s="36">
        <v>19</v>
      </c>
      <c r="DO901" s="37" t="s">
        <v>138</v>
      </c>
      <c r="DP901" s="36" t="s">
        <v>138</v>
      </c>
      <c r="DQ901" s="36" t="s">
        <v>138</v>
      </c>
      <c r="DR901" s="38" t="s">
        <v>138</v>
      </c>
      <c r="DS901" s="35" t="s">
        <v>138</v>
      </c>
      <c r="DT901" s="36">
        <v>7</v>
      </c>
      <c r="DU901" s="38">
        <v>1</v>
      </c>
      <c r="DV901" s="35">
        <v>16.670000000000002</v>
      </c>
      <c r="DW901" s="36" t="s">
        <v>138</v>
      </c>
      <c r="DX901" s="39" t="s">
        <v>138</v>
      </c>
      <c r="DY901" s="35" t="s">
        <v>138</v>
      </c>
      <c r="DZ901" s="28" t="s">
        <v>178</v>
      </c>
      <c r="EA901" s="34">
        <v>43351</v>
      </c>
      <c r="EB901" s="29" t="s">
        <v>138</v>
      </c>
      <c r="EC901" s="34" t="s">
        <v>138</v>
      </c>
      <c r="ED901" s="28" t="s">
        <v>138</v>
      </c>
      <c r="EE901" s="40" t="str">
        <f>HYPERLINK("https://my.pitchbook.com?c=153152-92", "View company online")</f>
        <v>View company online</v>
      </c>
    </row>
    <row r="902" spans="1:135">
      <c r="A902" s="15" t="s">
        <v>17805</v>
      </c>
      <c r="B902" s="15" t="s">
        <v>17806</v>
      </c>
      <c r="C902" s="15" t="s">
        <v>138</v>
      </c>
      <c r="D902" s="15" t="s">
        <v>138</v>
      </c>
      <c r="E902" s="15" t="s">
        <v>17807</v>
      </c>
      <c r="F902" s="15" t="s">
        <v>17805</v>
      </c>
      <c r="G902" s="15" t="s">
        <v>17808</v>
      </c>
      <c r="H902" s="15" t="s">
        <v>322</v>
      </c>
      <c r="I902" s="15" t="s">
        <v>323</v>
      </c>
      <c r="J902" s="15" t="s">
        <v>1132</v>
      </c>
      <c r="K902" s="15" t="s">
        <v>5613</v>
      </c>
      <c r="L902" s="15" t="s">
        <v>1134</v>
      </c>
      <c r="M902" s="15" t="s">
        <v>17809</v>
      </c>
      <c r="N902" s="15" t="s">
        <v>147</v>
      </c>
      <c r="O902" s="17">
        <v>10.45</v>
      </c>
      <c r="P902" s="15" t="s">
        <v>148</v>
      </c>
      <c r="Q902" s="15" t="s">
        <v>149</v>
      </c>
      <c r="R902" s="15" t="s">
        <v>174</v>
      </c>
      <c r="S902" s="15" t="s">
        <v>17810</v>
      </c>
      <c r="T902" s="18">
        <v>16</v>
      </c>
      <c r="U902" s="15" t="s">
        <v>17811</v>
      </c>
      <c r="V902" s="15" t="s">
        <v>138</v>
      </c>
      <c r="W902" s="15" t="s">
        <v>138</v>
      </c>
      <c r="X902" s="19">
        <v>2012</v>
      </c>
      <c r="Y902" s="15" t="s">
        <v>138</v>
      </c>
      <c r="Z902" s="15" t="s">
        <v>138</v>
      </c>
      <c r="AA902" s="15" t="s">
        <v>138</v>
      </c>
      <c r="AB902" s="20" t="s">
        <v>138</v>
      </c>
      <c r="AC902" s="20" t="s">
        <v>138</v>
      </c>
      <c r="AD902" s="20" t="s">
        <v>138</v>
      </c>
      <c r="AE902" s="20" t="s">
        <v>138</v>
      </c>
      <c r="AF902" s="20" t="s">
        <v>138</v>
      </c>
      <c r="AG902" s="15" t="s">
        <v>138</v>
      </c>
      <c r="AH902" s="20" t="s">
        <v>138</v>
      </c>
      <c r="AI902" s="20" t="s">
        <v>138</v>
      </c>
      <c r="AJ902" s="20" t="s">
        <v>138</v>
      </c>
      <c r="AK902" s="15" t="s">
        <v>17812</v>
      </c>
      <c r="AL902" s="15" t="s">
        <v>17813</v>
      </c>
      <c r="AM902" s="15" t="s">
        <v>304</v>
      </c>
      <c r="AN902" s="15" t="s">
        <v>17814</v>
      </c>
      <c r="AO902" s="15" t="s">
        <v>138</v>
      </c>
      <c r="AP902" s="15" t="s">
        <v>1195</v>
      </c>
      <c r="AQ902" s="15" t="s">
        <v>17815</v>
      </c>
      <c r="AR902" s="15" t="s">
        <v>7845</v>
      </c>
      <c r="AS902" s="15" t="s">
        <v>1198</v>
      </c>
      <c r="AT902" s="15" t="s">
        <v>138</v>
      </c>
      <c r="AU902" s="15" t="s">
        <v>7846</v>
      </c>
      <c r="AV902" s="15" t="s">
        <v>1200</v>
      </c>
      <c r="AW902" s="15" t="s">
        <v>138</v>
      </c>
      <c r="AX902" s="15" t="s">
        <v>138</v>
      </c>
      <c r="AY902" s="15" t="s">
        <v>138</v>
      </c>
      <c r="AZ902" s="15" t="s">
        <v>452</v>
      </c>
      <c r="BA902" s="15" t="s">
        <v>453</v>
      </c>
      <c r="BB902" s="15" t="s">
        <v>17816</v>
      </c>
      <c r="BC902" s="15" t="s">
        <v>17817</v>
      </c>
      <c r="BD902" s="21">
        <v>20</v>
      </c>
      <c r="BE902" s="15" t="s">
        <v>138</v>
      </c>
      <c r="BF902" s="15" t="s">
        <v>138</v>
      </c>
      <c r="BG902" s="15" t="s">
        <v>138</v>
      </c>
      <c r="BH902" s="15" t="s">
        <v>17818</v>
      </c>
      <c r="BI902" s="15" t="s">
        <v>138</v>
      </c>
      <c r="BJ902" s="15" t="s">
        <v>138</v>
      </c>
      <c r="BK902" s="15" t="s">
        <v>138</v>
      </c>
      <c r="BL902" s="15" t="s">
        <v>17819</v>
      </c>
      <c r="BM902" s="22">
        <v>41591</v>
      </c>
      <c r="BN902" s="17">
        <v>1.6</v>
      </c>
      <c r="BO902" s="15" t="s">
        <v>172</v>
      </c>
      <c r="BP902" s="17" t="s">
        <v>138</v>
      </c>
      <c r="BQ902" s="15" t="s">
        <v>138</v>
      </c>
      <c r="BR902" s="15" t="s">
        <v>234</v>
      </c>
      <c r="BS902" s="15" t="s">
        <v>234</v>
      </c>
      <c r="BT902" s="15" t="s">
        <v>138</v>
      </c>
      <c r="BU902" s="15" t="s">
        <v>174</v>
      </c>
      <c r="BV902" s="15" t="s">
        <v>138</v>
      </c>
      <c r="BW902" s="15" t="s">
        <v>138</v>
      </c>
      <c r="BX902" s="15" t="s">
        <v>138</v>
      </c>
      <c r="BY902" s="15" t="s">
        <v>175</v>
      </c>
      <c r="BZ902" s="22">
        <v>43509</v>
      </c>
      <c r="CA902" s="17" t="s">
        <v>138</v>
      </c>
      <c r="CB902" s="15" t="s">
        <v>138</v>
      </c>
      <c r="CC902" s="17" t="s">
        <v>138</v>
      </c>
      <c r="CD902" s="15" t="s">
        <v>138</v>
      </c>
      <c r="CE902" s="15" t="s">
        <v>173</v>
      </c>
      <c r="CF902" s="15" t="s">
        <v>138</v>
      </c>
      <c r="CG902" s="15" t="s">
        <v>138</v>
      </c>
      <c r="CH902" s="15" t="s">
        <v>174</v>
      </c>
      <c r="CI902" s="15" t="s">
        <v>138</v>
      </c>
      <c r="CJ902" s="15" t="s">
        <v>138</v>
      </c>
      <c r="CK902" s="15" t="s">
        <v>138</v>
      </c>
      <c r="CL902" s="15" t="s">
        <v>175</v>
      </c>
      <c r="CM902" s="22" t="s">
        <v>138</v>
      </c>
      <c r="CN902" s="17" t="s">
        <v>138</v>
      </c>
      <c r="CO902" s="23">
        <v>0.32</v>
      </c>
      <c r="CP902" s="24">
        <v>94</v>
      </c>
      <c r="CQ902" s="23">
        <v>0</v>
      </c>
      <c r="CR902" s="23">
        <v>0.42</v>
      </c>
      <c r="CS902" s="23">
        <v>0</v>
      </c>
      <c r="CT902" s="24">
        <v>23</v>
      </c>
      <c r="CU902" s="23">
        <v>0.23</v>
      </c>
      <c r="CV902" s="24">
        <v>83</v>
      </c>
      <c r="CW902" s="23">
        <v>0</v>
      </c>
      <c r="CX902" s="24">
        <v>13</v>
      </c>
      <c r="CY902" s="23">
        <v>0</v>
      </c>
      <c r="CZ902" s="24">
        <v>25</v>
      </c>
      <c r="DA902" s="23">
        <v>0.43</v>
      </c>
      <c r="DB902" s="24">
        <v>93</v>
      </c>
      <c r="DC902" s="25">
        <v>5.99</v>
      </c>
      <c r="DD902" s="24">
        <v>85</v>
      </c>
      <c r="DE902" s="25">
        <v>0.06</v>
      </c>
      <c r="DF902" s="23">
        <v>1.08</v>
      </c>
      <c r="DG902" s="25">
        <v>1.77</v>
      </c>
      <c r="DH902" s="24">
        <v>64</v>
      </c>
      <c r="DI902" s="25">
        <v>12.79</v>
      </c>
      <c r="DJ902" s="24">
        <v>87</v>
      </c>
      <c r="DK902" s="25">
        <v>1.05</v>
      </c>
      <c r="DL902" s="24">
        <v>51</v>
      </c>
      <c r="DM902" s="25">
        <v>2.48</v>
      </c>
      <c r="DN902" s="24">
        <v>70</v>
      </c>
      <c r="DO902" s="25">
        <v>17.89</v>
      </c>
      <c r="DP902" s="24">
        <v>92</v>
      </c>
      <c r="DQ902" s="24">
        <v>342</v>
      </c>
      <c r="DR902" s="26">
        <v>51</v>
      </c>
      <c r="DS902" s="23">
        <v>17.53</v>
      </c>
      <c r="DT902" s="24">
        <v>72</v>
      </c>
      <c r="DU902" s="26">
        <v>1</v>
      </c>
      <c r="DV902" s="23">
        <v>1.41</v>
      </c>
      <c r="DW902" s="24">
        <v>6397</v>
      </c>
      <c r="DX902" s="27">
        <v>19</v>
      </c>
      <c r="DY902" s="23">
        <v>0.3</v>
      </c>
      <c r="DZ902" s="15" t="s">
        <v>178</v>
      </c>
      <c r="EA902" s="22">
        <v>43622</v>
      </c>
      <c r="EB902" s="17" t="s">
        <v>138</v>
      </c>
      <c r="EC902" s="22" t="s">
        <v>138</v>
      </c>
      <c r="ED902" s="15" t="s">
        <v>138</v>
      </c>
      <c r="EE902" s="14" t="str">
        <f>HYPERLINK("https://my.pitchbook.com?c=60275-35", "View company online")</f>
        <v>View company online</v>
      </c>
    </row>
    <row r="903" spans="1:135">
      <c r="A903" s="28" t="s">
        <v>17820</v>
      </c>
      <c r="B903" s="28" t="s">
        <v>17821</v>
      </c>
      <c r="C903" s="28" t="s">
        <v>138</v>
      </c>
      <c r="D903" s="28" t="s">
        <v>138</v>
      </c>
      <c r="E903" s="28" t="s">
        <v>17822</v>
      </c>
      <c r="F903" s="28" t="s">
        <v>17820</v>
      </c>
      <c r="G903" s="28" t="s">
        <v>17823</v>
      </c>
      <c r="H903" s="28" t="s">
        <v>322</v>
      </c>
      <c r="I903" s="28" t="s">
        <v>323</v>
      </c>
      <c r="J903" s="28" t="s">
        <v>324</v>
      </c>
      <c r="K903" s="28" t="s">
        <v>1543</v>
      </c>
      <c r="L903" s="28" t="s">
        <v>10584</v>
      </c>
      <c r="M903" s="28" t="s">
        <v>17824</v>
      </c>
      <c r="N903" s="28" t="s">
        <v>147</v>
      </c>
      <c r="O903" s="29">
        <v>17.57</v>
      </c>
      <c r="P903" s="28" t="s">
        <v>148</v>
      </c>
      <c r="Q903" s="28" t="s">
        <v>149</v>
      </c>
      <c r="R903" s="28" t="s">
        <v>174</v>
      </c>
      <c r="S903" s="28" t="s">
        <v>17825</v>
      </c>
      <c r="T903" s="30">
        <v>10</v>
      </c>
      <c r="U903" s="28" t="s">
        <v>7012</v>
      </c>
      <c r="V903" s="28" t="s">
        <v>138</v>
      </c>
      <c r="W903" s="28" t="s">
        <v>138</v>
      </c>
      <c r="X903" s="31">
        <v>2013</v>
      </c>
      <c r="Y903" s="28" t="s">
        <v>138</v>
      </c>
      <c r="Z903" s="28" t="s">
        <v>138</v>
      </c>
      <c r="AA903" s="28" t="s">
        <v>138</v>
      </c>
      <c r="AB903" s="32" t="s">
        <v>138</v>
      </c>
      <c r="AC903" s="32" t="s">
        <v>138</v>
      </c>
      <c r="AD903" s="32" t="s">
        <v>138</v>
      </c>
      <c r="AE903" s="32" t="s">
        <v>138</v>
      </c>
      <c r="AF903" s="32" t="s">
        <v>138</v>
      </c>
      <c r="AG903" s="28" t="s">
        <v>138</v>
      </c>
      <c r="AH903" s="32" t="s">
        <v>138</v>
      </c>
      <c r="AI903" s="32" t="s">
        <v>138</v>
      </c>
      <c r="AJ903" s="32" t="s">
        <v>138</v>
      </c>
      <c r="AK903" s="28" t="s">
        <v>17826</v>
      </c>
      <c r="AL903" s="28" t="s">
        <v>17827</v>
      </c>
      <c r="AM903" s="28" t="s">
        <v>221</v>
      </c>
      <c r="AN903" s="28" t="s">
        <v>17828</v>
      </c>
      <c r="AO903" s="28" t="s">
        <v>17829</v>
      </c>
      <c r="AP903" s="28" t="s">
        <v>1168</v>
      </c>
      <c r="AQ903" s="28" t="s">
        <v>17830</v>
      </c>
      <c r="AR903" s="28" t="s">
        <v>6193</v>
      </c>
      <c r="AS903" s="28" t="s">
        <v>1171</v>
      </c>
      <c r="AT903" s="28" t="s">
        <v>200</v>
      </c>
      <c r="AU903" s="28" t="s">
        <v>4152</v>
      </c>
      <c r="AV903" s="28" t="s">
        <v>162</v>
      </c>
      <c r="AW903" s="28" t="s">
        <v>17829</v>
      </c>
      <c r="AX903" s="28" t="s">
        <v>138</v>
      </c>
      <c r="AY903" s="28" t="s">
        <v>17831</v>
      </c>
      <c r="AZ903" s="28" t="s">
        <v>164</v>
      </c>
      <c r="BA903" s="28" t="s">
        <v>165</v>
      </c>
      <c r="BB903" s="28" t="s">
        <v>17832</v>
      </c>
      <c r="BC903" s="28" t="s">
        <v>17833</v>
      </c>
      <c r="BD903" s="33">
        <v>6</v>
      </c>
      <c r="BE903" s="28" t="s">
        <v>138</v>
      </c>
      <c r="BF903" s="28" t="s">
        <v>138</v>
      </c>
      <c r="BG903" s="28" t="s">
        <v>138</v>
      </c>
      <c r="BH903" s="28" t="s">
        <v>17834</v>
      </c>
      <c r="BI903" s="28" t="s">
        <v>138</v>
      </c>
      <c r="BJ903" s="28" t="s">
        <v>138</v>
      </c>
      <c r="BK903" s="28" t="s">
        <v>138</v>
      </c>
      <c r="BL903" s="28" t="s">
        <v>3482</v>
      </c>
      <c r="BM903" s="34">
        <v>42565</v>
      </c>
      <c r="BN903" s="29">
        <v>6.57</v>
      </c>
      <c r="BO903" s="28" t="s">
        <v>172</v>
      </c>
      <c r="BP903" s="29">
        <v>24.69</v>
      </c>
      <c r="BQ903" s="28" t="s">
        <v>172</v>
      </c>
      <c r="BR903" s="28" t="s">
        <v>262</v>
      </c>
      <c r="BS903" s="28" t="s">
        <v>206</v>
      </c>
      <c r="BT903" s="28" t="s">
        <v>138</v>
      </c>
      <c r="BU903" s="28" t="s">
        <v>263</v>
      </c>
      <c r="BV903" s="28" t="s">
        <v>138</v>
      </c>
      <c r="BW903" s="28" t="s">
        <v>138</v>
      </c>
      <c r="BX903" s="28" t="s">
        <v>138</v>
      </c>
      <c r="BY903" s="28" t="s">
        <v>175</v>
      </c>
      <c r="BZ903" s="34">
        <v>43230</v>
      </c>
      <c r="CA903" s="29">
        <v>11</v>
      </c>
      <c r="CB903" s="28" t="s">
        <v>172</v>
      </c>
      <c r="CC903" s="29">
        <v>71</v>
      </c>
      <c r="CD903" s="28" t="s">
        <v>172</v>
      </c>
      <c r="CE903" s="28" t="s">
        <v>205</v>
      </c>
      <c r="CF903" s="28" t="s">
        <v>720</v>
      </c>
      <c r="CG903" s="28" t="s">
        <v>138</v>
      </c>
      <c r="CH903" s="28" t="s">
        <v>174</v>
      </c>
      <c r="CI903" s="28" t="s">
        <v>138</v>
      </c>
      <c r="CJ903" s="28" t="s">
        <v>138</v>
      </c>
      <c r="CK903" s="28" t="s">
        <v>138</v>
      </c>
      <c r="CL903" s="28" t="s">
        <v>175</v>
      </c>
      <c r="CM903" s="34" t="s">
        <v>138</v>
      </c>
      <c r="CN903" s="29" t="s">
        <v>138</v>
      </c>
      <c r="CO903" s="35">
        <v>0.19</v>
      </c>
      <c r="CP903" s="36">
        <v>92</v>
      </c>
      <c r="CQ903" s="35">
        <v>-0.03</v>
      </c>
      <c r="CR903" s="35">
        <v>-14.95</v>
      </c>
      <c r="CS903" s="35">
        <v>0.42</v>
      </c>
      <c r="CT903" s="36">
        <v>95</v>
      </c>
      <c r="CU903" s="35">
        <v>-0.05</v>
      </c>
      <c r="CV903" s="36">
        <v>9</v>
      </c>
      <c r="CW903" s="35">
        <v>0</v>
      </c>
      <c r="CX903" s="36">
        <v>13</v>
      </c>
      <c r="CY903" s="35">
        <v>0.84</v>
      </c>
      <c r="CZ903" s="36">
        <v>99</v>
      </c>
      <c r="DA903" s="35">
        <v>-0.05</v>
      </c>
      <c r="DB903" s="36">
        <v>13</v>
      </c>
      <c r="DC903" s="37">
        <v>7.68</v>
      </c>
      <c r="DD903" s="36">
        <v>88</v>
      </c>
      <c r="DE903" s="37">
        <v>0</v>
      </c>
      <c r="DF903" s="35">
        <v>0.02</v>
      </c>
      <c r="DG903" s="37">
        <v>13.9</v>
      </c>
      <c r="DH903" s="36">
        <v>92</v>
      </c>
      <c r="DI903" s="37">
        <v>1.46</v>
      </c>
      <c r="DJ903" s="36">
        <v>56</v>
      </c>
      <c r="DK903" s="37">
        <v>1.46</v>
      </c>
      <c r="DL903" s="36">
        <v>58</v>
      </c>
      <c r="DM903" s="37">
        <v>26.34</v>
      </c>
      <c r="DN903" s="36">
        <v>96</v>
      </c>
      <c r="DO903" s="37">
        <v>1.46</v>
      </c>
      <c r="DP903" s="36">
        <v>58</v>
      </c>
      <c r="DQ903" s="36">
        <v>498</v>
      </c>
      <c r="DR903" s="38">
        <v>6</v>
      </c>
      <c r="DS903" s="35">
        <v>1.22</v>
      </c>
      <c r="DT903" s="36">
        <v>761</v>
      </c>
      <c r="DU903" s="38">
        <v>4</v>
      </c>
      <c r="DV903" s="35">
        <v>0.53</v>
      </c>
      <c r="DW903" s="36">
        <v>520</v>
      </c>
      <c r="DX903" s="39">
        <v>0</v>
      </c>
      <c r="DY903" s="35">
        <v>0</v>
      </c>
      <c r="DZ903" s="28" t="s">
        <v>178</v>
      </c>
      <c r="EA903" s="34">
        <v>43441</v>
      </c>
      <c r="EB903" s="29">
        <v>71</v>
      </c>
      <c r="EC903" s="34">
        <v>43230</v>
      </c>
      <c r="ED903" s="28" t="s">
        <v>205</v>
      </c>
      <c r="EE903" s="40" t="str">
        <f>HYPERLINK("https://my.pitchbook.com?c=99124-84", "View company online")</f>
        <v>View company online</v>
      </c>
    </row>
    <row r="904" spans="1:135">
      <c r="A904" s="15" t="s">
        <v>17835</v>
      </c>
      <c r="B904" s="15" t="s">
        <v>17836</v>
      </c>
      <c r="C904" s="15" t="s">
        <v>138</v>
      </c>
      <c r="D904" s="15" t="s">
        <v>138</v>
      </c>
      <c r="E904" s="15" t="s">
        <v>138</v>
      </c>
      <c r="F904" s="15" t="s">
        <v>17835</v>
      </c>
      <c r="G904" s="15" t="s">
        <v>17837</v>
      </c>
      <c r="H904" s="15" t="s">
        <v>238</v>
      </c>
      <c r="I904" s="15" t="s">
        <v>1351</v>
      </c>
      <c r="J904" s="15" t="s">
        <v>10301</v>
      </c>
      <c r="K904" s="15" t="s">
        <v>17838</v>
      </c>
      <c r="L904" s="15" t="s">
        <v>138</v>
      </c>
      <c r="M904" s="15" t="s">
        <v>17839</v>
      </c>
      <c r="N904" s="15" t="s">
        <v>147</v>
      </c>
      <c r="O904" s="17" t="s">
        <v>138</v>
      </c>
      <c r="P904" s="15" t="s">
        <v>148</v>
      </c>
      <c r="Q904" s="15" t="s">
        <v>149</v>
      </c>
      <c r="R904" s="15" t="s">
        <v>174</v>
      </c>
      <c r="S904" s="15" t="s">
        <v>17840</v>
      </c>
      <c r="T904" s="18" t="s">
        <v>138</v>
      </c>
      <c r="U904" s="15" t="s">
        <v>138</v>
      </c>
      <c r="V904" s="15" t="s">
        <v>138</v>
      </c>
      <c r="W904" s="15" t="s">
        <v>138</v>
      </c>
      <c r="X904" s="19" t="s">
        <v>138</v>
      </c>
      <c r="Y904" s="15" t="s">
        <v>138</v>
      </c>
      <c r="Z904" s="15" t="s">
        <v>138</v>
      </c>
      <c r="AA904" s="15" t="s">
        <v>138</v>
      </c>
      <c r="AB904" s="20" t="s">
        <v>138</v>
      </c>
      <c r="AC904" s="20" t="s">
        <v>138</v>
      </c>
      <c r="AD904" s="20" t="s">
        <v>138</v>
      </c>
      <c r="AE904" s="20" t="s">
        <v>138</v>
      </c>
      <c r="AF904" s="20" t="s">
        <v>138</v>
      </c>
      <c r="AG904" s="15" t="s">
        <v>138</v>
      </c>
      <c r="AH904" s="20" t="s">
        <v>138</v>
      </c>
      <c r="AI904" s="20" t="s">
        <v>138</v>
      </c>
      <c r="AJ904" s="20" t="s">
        <v>138</v>
      </c>
      <c r="AK904" s="15" t="s">
        <v>138</v>
      </c>
      <c r="AL904" s="15" t="s">
        <v>138</v>
      </c>
      <c r="AM904" s="15" t="s">
        <v>138</v>
      </c>
      <c r="AN904" s="15" t="s">
        <v>138</v>
      </c>
      <c r="AO904" s="15" t="s">
        <v>138</v>
      </c>
      <c r="AP904" s="15" t="s">
        <v>4490</v>
      </c>
      <c r="AQ904" s="15" t="s">
        <v>138</v>
      </c>
      <c r="AR904" s="15" t="s">
        <v>138</v>
      </c>
      <c r="AS904" s="15" t="s">
        <v>4492</v>
      </c>
      <c r="AT904" s="15" t="s">
        <v>4493</v>
      </c>
      <c r="AU904" s="15" t="s">
        <v>138</v>
      </c>
      <c r="AV904" s="15" t="s">
        <v>162</v>
      </c>
      <c r="AW904" s="15" t="s">
        <v>138</v>
      </c>
      <c r="AX904" s="15" t="s">
        <v>138</v>
      </c>
      <c r="AY904" s="15" t="s">
        <v>17841</v>
      </c>
      <c r="AZ904" s="15" t="s">
        <v>164</v>
      </c>
      <c r="BA904" s="15" t="s">
        <v>165</v>
      </c>
      <c r="BB904" s="15" t="s">
        <v>17842</v>
      </c>
      <c r="BC904" s="15" t="s">
        <v>17212</v>
      </c>
      <c r="BD904" s="21">
        <v>1</v>
      </c>
      <c r="BE904" s="15" t="s">
        <v>138</v>
      </c>
      <c r="BF904" s="15" t="s">
        <v>138</v>
      </c>
      <c r="BG904" s="15" t="s">
        <v>138</v>
      </c>
      <c r="BH904" s="15" t="s">
        <v>138</v>
      </c>
      <c r="BI904" s="15" t="s">
        <v>138</v>
      </c>
      <c r="BJ904" s="15" t="s">
        <v>138</v>
      </c>
      <c r="BK904" s="15" t="s">
        <v>138</v>
      </c>
      <c r="BL904" s="15" t="s">
        <v>138</v>
      </c>
      <c r="BM904" s="22">
        <v>42979</v>
      </c>
      <c r="BN904" s="17" t="s">
        <v>138</v>
      </c>
      <c r="BO904" s="15" t="s">
        <v>138</v>
      </c>
      <c r="BP904" s="17" t="s">
        <v>138</v>
      </c>
      <c r="BQ904" s="15" t="s">
        <v>138</v>
      </c>
      <c r="BR904" s="15" t="s">
        <v>205</v>
      </c>
      <c r="BS904" s="15" t="s">
        <v>206</v>
      </c>
      <c r="BT904" s="15" t="s">
        <v>138</v>
      </c>
      <c r="BU904" s="15" t="s">
        <v>174</v>
      </c>
      <c r="BV904" s="15" t="s">
        <v>138</v>
      </c>
      <c r="BW904" s="15" t="s">
        <v>138</v>
      </c>
      <c r="BX904" s="15" t="s">
        <v>138</v>
      </c>
      <c r="BY904" s="15" t="s">
        <v>175</v>
      </c>
      <c r="BZ904" s="22">
        <v>42979</v>
      </c>
      <c r="CA904" s="17" t="s">
        <v>138</v>
      </c>
      <c r="CB904" s="15" t="s">
        <v>138</v>
      </c>
      <c r="CC904" s="17" t="s">
        <v>138</v>
      </c>
      <c r="CD904" s="15" t="s">
        <v>138</v>
      </c>
      <c r="CE904" s="15" t="s">
        <v>205</v>
      </c>
      <c r="CF904" s="15" t="s">
        <v>206</v>
      </c>
      <c r="CG904" s="15" t="s">
        <v>138</v>
      </c>
      <c r="CH904" s="15" t="s">
        <v>174</v>
      </c>
      <c r="CI904" s="15" t="s">
        <v>138</v>
      </c>
      <c r="CJ904" s="15" t="s">
        <v>138</v>
      </c>
      <c r="CK904" s="15" t="s">
        <v>138</v>
      </c>
      <c r="CL904" s="15" t="s">
        <v>175</v>
      </c>
      <c r="CM904" s="22" t="s">
        <v>138</v>
      </c>
      <c r="CN904" s="17" t="s">
        <v>138</v>
      </c>
      <c r="CO904" s="23">
        <v>-0.04</v>
      </c>
      <c r="CP904" s="24">
        <v>23</v>
      </c>
      <c r="CQ904" s="23">
        <v>0</v>
      </c>
      <c r="CR904" s="23">
        <v>0</v>
      </c>
      <c r="CS904" s="23">
        <v>0</v>
      </c>
      <c r="CT904" s="24">
        <v>23</v>
      </c>
      <c r="CU904" s="23">
        <v>-0.08</v>
      </c>
      <c r="CV904" s="24">
        <v>5</v>
      </c>
      <c r="CW904" s="23" t="s">
        <v>138</v>
      </c>
      <c r="CX904" s="24" t="s">
        <v>138</v>
      </c>
      <c r="CY904" s="23">
        <v>0</v>
      </c>
      <c r="CZ904" s="24">
        <v>25</v>
      </c>
      <c r="DA904" s="23" t="s">
        <v>138</v>
      </c>
      <c r="DB904" s="24" t="s">
        <v>138</v>
      </c>
      <c r="DC904" s="25">
        <v>0.17</v>
      </c>
      <c r="DD904" s="24">
        <v>13</v>
      </c>
      <c r="DE904" s="25">
        <v>0</v>
      </c>
      <c r="DF904" s="23">
        <v>-0.06</v>
      </c>
      <c r="DG904" s="25">
        <v>0.17</v>
      </c>
      <c r="DH904" s="24">
        <v>13</v>
      </c>
      <c r="DI904" s="25">
        <v>0.18</v>
      </c>
      <c r="DJ904" s="24">
        <v>21</v>
      </c>
      <c r="DK904" s="25" t="s">
        <v>138</v>
      </c>
      <c r="DL904" s="24" t="s">
        <v>138</v>
      </c>
      <c r="DM904" s="25">
        <v>0.17</v>
      </c>
      <c r="DN904" s="24">
        <v>14</v>
      </c>
      <c r="DO904" s="25" t="s">
        <v>138</v>
      </c>
      <c r="DP904" s="24" t="s">
        <v>138</v>
      </c>
      <c r="DQ904" s="24" t="s">
        <v>138</v>
      </c>
      <c r="DR904" s="26" t="s">
        <v>138</v>
      </c>
      <c r="DS904" s="23" t="s">
        <v>138</v>
      </c>
      <c r="DT904" s="24">
        <v>5</v>
      </c>
      <c r="DU904" s="26">
        <v>0</v>
      </c>
      <c r="DV904" s="23">
        <v>0</v>
      </c>
      <c r="DW904" s="24" t="s">
        <v>138</v>
      </c>
      <c r="DX904" s="27" t="s">
        <v>138</v>
      </c>
      <c r="DY904" s="23" t="s">
        <v>138</v>
      </c>
      <c r="DZ904" s="15" t="s">
        <v>178</v>
      </c>
      <c r="EA904" s="22">
        <v>43509</v>
      </c>
      <c r="EB904" s="17" t="s">
        <v>138</v>
      </c>
      <c r="EC904" s="22" t="s">
        <v>138</v>
      </c>
      <c r="ED904" s="15" t="s">
        <v>138</v>
      </c>
      <c r="EE904" s="14" t="str">
        <f>HYPERLINK("https://my.pitchbook.com?c=233549-83", "View company online")</f>
        <v>View company online</v>
      </c>
    </row>
    <row r="905" spans="1:135">
      <c r="A905" s="28" t="s">
        <v>17843</v>
      </c>
      <c r="B905" s="28" t="s">
        <v>17844</v>
      </c>
      <c r="C905" s="28" t="s">
        <v>17845</v>
      </c>
      <c r="D905" s="28" t="s">
        <v>138</v>
      </c>
      <c r="E905" s="28" t="s">
        <v>138</v>
      </c>
      <c r="F905" s="28" t="s">
        <v>17843</v>
      </c>
      <c r="G905" s="28" t="s">
        <v>17846</v>
      </c>
      <c r="H905" s="28" t="s">
        <v>322</v>
      </c>
      <c r="I905" s="28" t="s">
        <v>3488</v>
      </c>
      <c r="J905" s="28" t="s">
        <v>3488</v>
      </c>
      <c r="K905" s="28" t="s">
        <v>17847</v>
      </c>
      <c r="L905" s="28" t="s">
        <v>17848</v>
      </c>
      <c r="M905" s="28" t="s">
        <v>17849</v>
      </c>
      <c r="N905" s="28" t="s">
        <v>147</v>
      </c>
      <c r="O905" s="29">
        <v>125.9</v>
      </c>
      <c r="P905" s="28" t="s">
        <v>148</v>
      </c>
      <c r="Q905" s="28" t="s">
        <v>149</v>
      </c>
      <c r="R905" s="28" t="s">
        <v>174</v>
      </c>
      <c r="S905" s="28" t="s">
        <v>17850</v>
      </c>
      <c r="T905" s="30" t="s">
        <v>138</v>
      </c>
      <c r="U905" s="28" t="s">
        <v>138</v>
      </c>
      <c r="V905" s="28" t="s">
        <v>138</v>
      </c>
      <c r="W905" s="28" t="s">
        <v>138</v>
      </c>
      <c r="X905" s="31">
        <v>2015</v>
      </c>
      <c r="Y905" s="28" t="s">
        <v>138</v>
      </c>
      <c r="Z905" s="28" t="s">
        <v>138</v>
      </c>
      <c r="AA905" s="28" t="s">
        <v>1163</v>
      </c>
      <c r="AB905" s="32" t="s">
        <v>138</v>
      </c>
      <c r="AC905" s="32" t="s">
        <v>138</v>
      </c>
      <c r="AD905" s="32" t="s">
        <v>138</v>
      </c>
      <c r="AE905" s="32" t="s">
        <v>138</v>
      </c>
      <c r="AF905" s="32" t="s">
        <v>138</v>
      </c>
      <c r="AG905" s="28" t="s">
        <v>138</v>
      </c>
      <c r="AH905" s="32" t="s">
        <v>138</v>
      </c>
      <c r="AI905" s="32" t="s">
        <v>138</v>
      </c>
      <c r="AJ905" s="32" t="s">
        <v>138</v>
      </c>
      <c r="AK905" s="28" t="s">
        <v>17851</v>
      </c>
      <c r="AL905" s="28" t="s">
        <v>17852</v>
      </c>
      <c r="AM905" s="28" t="s">
        <v>304</v>
      </c>
      <c r="AN905" s="28" t="s">
        <v>17853</v>
      </c>
      <c r="AO905" s="28" t="s">
        <v>138</v>
      </c>
      <c r="AP905" s="28" t="s">
        <v>11389</v>
      </c>
      <c r="AQ905" s="28" t="s">
        <v>138</v>
      </c>
      <c r="AR905" s="28" t="s">
        <v>138</v>
      </c>
      <c r="AS905" s="28" t="s">
        <v>11390</v>
      </c>
      <c r="AT905" s="28" t="s">
        <v>200</v>
      </c>
      <c r="AU905" s="28" t="s">
        <v>138</v>
      </c>
      <c r="AV905" s="28" t="s">
        <v>162</v>
      </c>
      <c r="AW905" s="28" t="s">
        <v>138</v>
      </c>
      <c r="AX905" s="28" t="s">
        <v>138</v>
      </c>
      <c r="AY905" s="28" t="s">
        <v>138</v>
      </c>
      <c r="AZ905" s="28" t="s">
        <v>164</v>
      </c>
      <c r="BA905" s="28" t="s">
        <v>165</v>
      </c>
      <c r="BB905" s="28" t="s">
        <v>17854</v>
      </c>
      <c r="BC905" s="28" t="s">
        <v>17855</v>
      </c>
      <c r="BD905" s="33">
        <v>19</v>
      </c>
      <c r="BE905" s="28" t="s">
        <v>138</v>
      </c>
      <c r="BF905" s="28" t="s">
        <v>138</v>
      </c>
      <c r="BG905" s="28" t="s">
        <v>138</v>
      </c>
      <c r="BH905" s="28" t="s">
        <v>17856</v>
      </c>
      <c r="BI905" s="28" t="s">
        <v>138</v>
      </c>
      <c r="BJ905" s="28" t="s">
        <v>138</v>
      </c>
      <c r="BK905" s="28" t="s">
        <v>2936</v>
      </c>
      <c r="BL905" s="28" t="s">
        <v>2936</v>
      </c>
      <c r="BM905" s="34">
        <v>42430</v>
      </c>
      <c r="BN905" s="29" t="s">
        <v>138</v>
      </c>
      <c r="BO905" s="28" t="s">
        <v>138</v>
      </c>
      <c r="BP905" s="29" t="s">
        <v>138</v>
      </c>
      <c r="BQ905" s="28" t="s">
        <v>138</v>
      </c>
      <c r="BR905" s="28" t="s">
        <v>234</v>
      </c>
      <c r="BS905" s="28" t="s">
        <v>234</v>
      </c>
      <c r="BT905" s="28" t="s">
        <v>138</v>
      </c>
      <c r="BU905" s="28" t="s">
        <v>174</v>
      </c>
      <c r="BV905" s="28" t="s">
        <v>138</v>
      </c>
      <c r="BW905" s="28" t="s">
        <v>138</v>
      </c>
      <c r="BX905" s="28" t="s">
        <v>138</v>
      </c>
      <c r="BY905" s="28" t="s">
        <v>175</v>
      </c>
      <c r="BZ905" s="34">
        <v>43543</v>
      </c>
      <c r="CA905" s="29">
        <v>97</v>
      </c>
      <c r="CB905" s="28" t="s">
        <v>1178</v>
      </c>
      <c r="CC905" s="29">
        <v>327</v>
      </c>
      <c r="CD905" s="28" t="s">
        <v>172</v>
      </c>
      <c r="CE905" s="28" t="s">
        <v>205</v>
      </c>
      <c r="CF905" s="28" t="s">
        <v>720</v>
      </c>
      <c r="CG905" s="28" t="s">
        <v>138</v>
      </c>
      <c r="CH905" s="28" t="s">
        <v>174</v>
      </c>
      <c r="CI905" s="28" t="s">
        <v>138</v>
      </c>
      <c r="CJ905" s="28" t="s">
        <v>138</v>
      </c>
      <c r="CK905" s="28" t="s">
        <v>138</v>
      </c>
      <c r="CL905" s="28" t="s">
        <v>175</v>
      </c>
      <c r="CM905" s="34" t="s">
        <v>138</v>
      </c>
      <c r="CN905" s="29" t="s">
        <v>138</v>
      </c>
      <c r="CO905" s="35">
        <v>-0.17</v>
      </c>
      <c r="CP905" s="36">
        <v>20</v>
      </c>
      <c r="CQ905" s="35">
        <v>0</v>
      </c>
      <c r="CR905" s="35">
        <v>0</v>
      </c>
      <c r="CS905" s="35">
        <v>-0.17</v>
      </c>
      <c r="CT905" s="36">
        <v>22</v>
      </c>
      <c r="CU905" s="35" t="s">
        <v>138</v>
      </c>
      <c r="CV905" s="36" t="s">
        <v>138</v>
      </c>
      <c r="CW905" s="35">
        <v>-0.17</v>
      </c>
      <c r="CX905" s="36">
        <v>12</v>
      </c>
      <c r="CY905" s="35" t="s">
        <v>138</v>
      </c>
      <c r="CZ905" s="36" t="s">
        <v>138</v>
      </c>
      <c r="DA905" s="35" t="s">
        <v>138</v>
      </c>
      <c r="DB905" s="36" t="s">
        <v>138</v>
      </c>
      <c r="DC905" s="37">
        <v>2</v>
      </c>
      <c r="DD905" s="36">
        <v>67</v>
      </c>
      <c r="DE905" s="37">
        <v>-0.26</v>
      </c>
      <c r="DF905" s="35">
        <v>-11.37</v>
      </c>
      <c r="DG905" s="37">
        <v>2</v>
      </c>
      <c r="DH905" s="36">
        <v>67</v>
      </c>
      <c r="DI905" s="37" t="s">
        <v>138</v>
      </c>
      <c r="DJ905" s="36" t="s">
        <v>138</v>
      </c>
      <c r="DK905" s="37">
        <v>2</v>
      </c>
      <c r="DL905" s="36">
        <v>64</v>
      </c>
      <c r="DM905" s="37" t="s">
        <v>138</v>
      </c>
      <c r="DN905" s="36" t="s">
        <v>138</v>
      </c>
      <c r="DO905" s="37" t="s">
        <v>138</v>
      </c>
      <c r="DP905" s="36" t="s">
        <v>138</v>
      </c>
      <c r="DQ905" s="36">
        <v>677</v>
      </c>
      <c r="DR905" s="38">
        <v>21</v>
      </c>
      <c r="DS905" s="35">
        <v>3.2</v>
      </c>
      <c r="DT905" s="36" t="s">
        <v>138</v>
      </c>
      <c r="DU905" s="38" t="s">
        <v>138</v>
      </c>
      <c r="DV905" s="35" t="s">
        <v>138</v>
      </c>
      <c r="DW905" s="36" t="s">
        <v>138</v>
      </c>
      <c r="DX905" s="39" t="s">
        <v>138</v>
      </c>
      <c r="DY905" s="35" t="s">
        <v>138</v>
      </c>
      <c r="DZ905" s="28" t="s">
        <v>178</v>
      </c>
      <c r="EA905" s="34">
        <v>43584</v>
      </c>
      <c r="EB905" s="29">
        <v>327</v>
      </c>
      <c r="EC905" s="34">
        <v>43543</v>
      </c>
      <c r="ED905" s="28" t="s">
        <v>205</v>
      </c>
      <c r="EE905" s="40" t="str">
        <f>HYPERLINK("https://my.pitchbook.com?c=234558-01", "View company online")</f>
        <v>View company online</v>
      </c>
    </row>
    <row r="906" spans="1:135">
      <c r="A906" s="15" t="s">
        <v>17857</v>
      </c>
      <c r="B906" s="15" t="s">
        <v>17858</v>
      </c>
      <c r="C906" s="15" t="s">
        <v>17859</v>
      </c>
      <c r="D906" s="15" t="s">
        <v>138</v>
      </c>
      <c r="E906" s="15" t="s">
        <v>17860</v>
      </c>
      <c r="F906" s="15" t="s">
        <v>17857</v>
      </c>
      <c r="G906" s="15" t="s">
        <v>17861</v>
      </c>
      <c r="H906" s="15" t="s">
        <v>322</v>
      </c>
      <c r="I906" s="15" t="s">
        <v>356</v>
      </c>
      <c r="J906" s="15" t="s">
        <v>2106</v>
      </c>
      <c r="K906" s="15" t="s">
        <v>17862</v>
      </c>
      <c r="L906" s="15" t="s">
        <v>215</v>
      </c>
      <c r="M906" s="15" t="s">
        <v>17863</v>
      </c>
      <c r="N906" s="15" t="s">
        <v>147</v>
      </c>
      <c r="O906" s="17">
        <v>78.75</v>
      </c>
      <c r="P906" s="15" t="s">
        <v>148</v>
      </c>
      <c r="Q906" s="15" t="s">
        <v>149</v>
      </c>
      <c r="R906" s="15" t="s">
        <v>150</v>
      </c>
      <c r="S906" s="15" t="s">
        <v>17864</v>
      </c>
      <c r="T906" s="18">
        <v>109</v>
      </c>
      <c r="U906" s="15" t="s">
        <v>17865</v>
      </c>
      <c r="V906" s="15" t="s">
        <v>138</v>
      </c>
      <c r="W906" s="15" t="s">
        <v>138</v>
      </c>
      <c r="X906" s="19">
        <v>2002</v>
      </c>
      <c r="Y906" s="15" t="s">
        <v>138</v>
      </c>
      <c r="Z906" s="15" t="s">
        <v>138</v>
      </c>
      <c r="AA906" s="15" t="s">
        <v>138</v>
      </c>
      <c r="AB906" s="20" t="s">
        <v>138</v>
      </c>
      <c r="AC906" s="20" t="s">
        <v>138</v>
      </c>
      <c r="AD906" s="20" t="s">
        <v>138</v>
      </c>
      <c r="AE906" s="20" t="s">
        <v>138</v>
      </c>
      <c r="AF906" s="20" t="s">
        <v>138</v>
      </c>
      <c r="AG906" s="15" t="s">
        <v>138</v>
      </c>
      <c r="AH906" s="20" t="s">
        <v>138</v>
      </c>
      <c r="AI906" s="20" t="s">
        <v>138</v>
      </c>
      <c r="AJ906" s="20" t="s">
        <v>138</v>
      </c>
      <c r="AK906" s="15" t="s">
        <v>17866</v>
      </c>
      <c r="AL906" s="15" t="s">
        <v>17867</v>
      </c>
      <c r="AM906" s="15" t="s">
        <v>17868</v>
      </c>
      <c r="AN906" s="15" t="s">
        <v>17869</v>
      </c>
      <c r="AO906" s="15" t="s">
        <v>17870</v>
      </c>
      <c r="AP906" s="15" t="s">
        <v>964</v>
      </c>
      <c r="AQ906" s="15" t="s">
        <v>17871</v>
      </c>
      <c r="AR906" s="15" t="s">
        <v>1459</v>
      </c>
      <c r="AS906" s="15" t="s">
        <v>966</v>
      </c>
      <c r="AT906" s="15" t="s">
        <v>200</v>
      </c>
      <c r="AU906" s="15" t="s">
        <v>967</v>
      </c>
      <c r="AV906" s="15" t="s">
        <v>162</v>
      </c>
      <c r="AW906" s="15" t="s">
        <v>17870</v>
      </c>
      <c r="AX906" s="15" t="s">
        <v>17872</v>
      </c>
      <c r="AY906" s="15" t="s">
        <v>138</v>
      </c>
      <c r="AZ906" s="15" t="s">
        <v>164</v>
      </c>
      <c r="BA906" s="15" t="s">
        <v>165</v>
      </c>
      <c r="BB906" s="15" t="s">
        <v>17873</v>
      </c>
      <c r="BC906" s="15" t="s">
        <v>17874</v>
      </c>
      <c r="BD906" s="21">
        <v>9</v>
      </c>
      <c r="BE906" s="15" t="s">
        <v>138</v>
      </c>
      <c r="BF906" s="15" t="s">
        <v>3047</v>
      </c>
      <c r="BG906" s="15" t="s">
        <v>17875</v>
      </c>
      <c r="BH906" s="15" t="s">
        <v>17876</v>
      </c>
      <c r="BI906" s="15" t="s">
        <v>3049</v>
      </c>
      <c r="BJ906" s="15" t="s">
        <v>17877</v>
      </c>
      <c r="BK906" s="15" t="s">
        <v>290</v>
      </c>
      <c r="BL906" s="15" t="s">
        <v>17878</v>
      </c>
      <c r="BM906" s="22">
        <v>38306</v>
      </c>
      <c r="BN906" s="17">
        <v>10.25</v>
      </c>
      <c r="BO906" s="15" t="s">
        <v>172</v>
      </c>
      <c r="BP906" s="17">
        <v>17.97</v>
      </c>
      <c r="BQ906" s="15" t="s">
        <v>172</v>
      </c>
      <c r="BR906" s="15" t="s">
        <v>205</v>
      </c>
      <c r="BS906" s="15" t="s">
        <v>206</v>
      </c>
      <c r="BT906" s="15" t="s">
        <v>138</v>
      </c>
      <c r="BU906" s="15" t="s">
        <v>174</v>
      </c>
      <c r="BV906" s="15" t="s">
        <v>138</v>
      </c>
      <c r="BW906" s="15" t="s">
        <v>138</v>
      </c>
      <c r="BX906" s="15" t="s">
        <v>138</v>
      </c>
      <c r="BY906" s="15" t="s">
        <v>175</v>
      </c>
      <c r="BZ906" s="22">
        <v>43314</v>
      </c>
      <c r="CA906" s="17" t="s">
        <v>138</v>
      </c>
      <c r="CB906" s="15" t="s">
        <v>138</v>
      </c>
      <c r="CC906" s="17" t="s">
        <v>138</v>
      </c>
      <c r="CD906" s="15" t="s">
        <v>138</v>
      </c>
      <c r="CE906" s="15" t="s">
        <v>2228</v>
      </c>
      <c r="CF906" s="15" t="s">
        <v>138</v>
      </c>
      <c r="CG906" s="15" t="s">
        <v>138</v>
      </c>
      <c r="CH906" s="15" t="s">
        <v>780</v>
      </c>
      <c r="CI906" s="15" t="s">
        <v>138</v>
      </c>
      <c r="CJ906" s="15" t="s">
        <v>138</v>
      </c>
      <c r="CK906" s="15" t="s">
        <v>138</v>
      </c>
      <c r="CL906" s="15" t="s">
        <v>352</v>
      </c>
      <c r="CM906" s="22" t="s">
        <v>138</v>
      </c>
      <c r="CN906" s="17" t="s">
        <v>138</v>
      </c>
      <c r="CO906" s="23">
        <v>-2.98</v>
      </c>
      <c r="CP906" s="24">
        <v>3</v>
      </c>
      <c r="CQ906" s="23">
        <v>0</v>
      </c>
      <c r="CR906" s="23">
        <v>0</v>
      </c>
      <c r="CS906" s="23">
        <v>-2.98</v>
      </c>
      <c r="CT906" s="24">
        <v>5</v>
      </c>
      <c r="CU906" s="23" t="s">
        <v>138</v>
      </c>
      <c r="CV906" s="24" t="s">
        <v>138</v>
      </c>
      <c r="CW906" s="23">
        <v>-2.98</v>
      </c>
      <c r="CX906" s="24">
        <v>5</v>
      </c>
      <c r="CY906" s="23" t="s">
        <v>138</v>
      </c>
      <c r="CZ906" s="24" t="s">
        <v>138</v>
      </c>
      <c r="DA906" s="23" t="s">
        <v>138</v>
      </c>
      <c r="DB906" s="24" t="s">
        <v>138</v>
      </c>
      <c r="DC906" s="25">
        <v>4.8600000000000003</v>
      </c>
      <c r="DD906" s="24">
        <v>82</v>
      </c>
      <c r="DE906" s="25">
        <v>-0.62</v>
      </c>
      <c r="DF906" s="23">
        <v>-11.37</v>
      </c>
      <c r="DG906" s="25">
        <v>4.8600000000000003</v>
      </c>
      <c r="DH906" s="24">
        <v>82</v>
      </c>
      <c r="DI906" s="25" t="s">
        <v>138</v>
      </c>
      <c r="DJ906" s="24" t="s">
        <v>138</v>
      </c>
      <c r="DK906" s="25">
        <v>4.8600000000000003</v>
      </c>
      <c r="DL906" s="24">
        <v>79</v>
      </c>
      <c r="DM906" s="25" t="s">
        <v>138</v>
      </c>
      <c r="DN906" s="24" t="s">
        <v>138</v>
      </c>
      <c r="DO906" s="25" t="s">
        <v>138</v>
      </c>
      <c r="DP906" s="24" t="s">
        <v>138</v>
      </c>
      <c r="DQ906" s="24">
        <v>1688</v>
      </c>
      <c r="DR906" s="26">
        <v>-69</v>
      </c>
      <c r="DS906" s="23">
        <v>-3.93</v>
      </c>
      <c r="DT906" s="24" t="s">
        <v>138</v>
      </c>
      <c r="DU906" s="26" t="s">
        <v>138</v>
      </c>
      <c r="DV906" s="23" t="s">
        <v>138</v>
      </c>
      <c r="DW906" s="24">
        <v>1350</v>
      </c>
      <c r="DX906" s="27">
        <v>2</v>
      </c>
      <c r="DY906" s="23">
        <v>0.15</v>
      </c>
      <c r="DZ906" s="15" t="s">
        <v>178</v>
      </c>
      <c r="EA906" s="22">
        <v>43570</v>
      </c>
      <c r="EB906" s="17">
        <v>55</v>
      </c>
      <c r="EC906" s="22">
        <v>42774</v>
      </c>
      <c r="ED906" s="15" t="s">
        <v>173</v>
      </c>
      <c r="EE906" s="14" t="str">
        <f>HYPERLINK("https://my.pitchbook.com?c=13283-47", "View company online")</f>
        <v>View company online</v>
      </c>
    </row>
    <row r="907" spans="1:135">
      <c r="A907" s="28" t="s">
        <v>17879</v>
      </c>
      <c r="B907" s="28" t="s">
        <v>17880</v>
      </c>
      <c r="C907" s="28" t="s">
        <v>138</v>
      </c>
      <c r="D907" s="28" t="s">
        <v>138</v>
      </c>
      <c r="E907" s="28" t="s">
        <v>17881</v>
      </c>
      <c r="F907" s="28" t="s">
        <v>17879</v>
      </c>
      <c r="G907" s="28" t="s">
        <v>17882</v>
      </c>
      <c r="H907" s="28" t="s">
        <v>238</v>
      </c>
      <c r="I907" s="28" t="s">
        <v>269</v>
      </c>
      <c r="J907" s="28" t="s">
        <v>296</v>
      </c>
      <c r="K907" s="28" t="s">
        <v>17883</v>
      </c>
      <c r="L907" s="28" t="s">
        <v>17884</v>
      </c>
      <c r="M907" s="28" t="s">
        <v>17885</v>
      </c>
      <c r="N907" s="28" t="s">
        <v>147</v>
      </c>
      <c r="O907" s="29">
        <v>48.22</v>
      </c>
      <c r="P907" s="28" t="s">
        <v>148</v>
      </c>
      <c r="Q907" s="28" t="s">
        <v>149</v>
      </c>
      <c r="R907" s="28" t="s">
        <v>174</v>
      </c>
      <c r="S907" s="28" t="s">
        <v>17886</v>
      </c>
      <c r="T907" s="30">
        <v>100</v>
      </c>
      <c r="U907" s="28" t="s">
        <v>17887</v>
      </c>
      <c r="V907" s="28" t="s">
        <v>138</v>
      </c>
      <c r="W907" s="28" t="s">
        <v>138</v>
      </c>
      <c r="X907" s="31">
        <v>2012</v>
      </c>
      <c r="Y907" s="28" t="s">
        <v>138</v>
      </c>
      <c r="Z907" s="28" t="s">
        <v>138</v>
      </c>
      <c r="AA907" s="28" t="s">
        <v>138</v>
      </c>
      <c r="AB907" s="32" t="s">
        <v>138</v>
      </c>
      <c r="AC907" s="32" t="s">
        <v>138</v>
      </c>
      <c r="AD907" s="32" t="s">
        <v>138</v>
      </c>
      <c r="AE907" s="32" t="s">
        <v>138</v>
      </c>
      <c r="AF907" s="32" t="s">
        <v>138</v>
      </c>
      <c r="AG907" s="28" t="s">
        <v>138</v>
      </c>
      <c r="AH907" s="32" t="s">
        <v>138</v>
      </c>
      <c r="AI907" s="32" t="s">
        <v>138</v>
      </c>
      <c r="AJ907" s="32" t="s">
        <v>138</v>
      </c>
      <c r="AK907" s="28" t="s">
        <v>17888</v>
      </c>
      <c r="AL907" s="28" t="s">
        <v>17889</v>
      </c>
      <c r="AM907" s="28" t="s">
        <v>2949</v>
      </c>
      <c r="AN907" s="28" t="s">
        <v>17890</v>
      </c>
      <c r="AO907" s="28" t="s">
        <v>17891</v>
      </c>
      <c r="AP907" s="28" t="s">
        <v>3108</v>
      </c>
      <c r="AQ907" s="28" t="s">
        <v>17892</v>
      </c>
      <c r="AR907" s="28" t="s">
        <v>2245</v>
      </c>
      <c r="AS907" s="28" t="s">
        <v>3111</v>
      </c>
      <c r="AT907" s="28" t="s">
        <v>3112</v>
      </c>
      <c r="AU907" s="28" t="s">
        <v>17893</v>
      </c>
      <c r="AV907" s="28" t="s">
        <v>2742</v>
      </c>
      <c r="AW907" s="28" t="s">
        <v>17891</v>
      </c>
      <c r="AX907" s="28" t="s">
        <v>138</v>
      </c>
      <c r="AY907" s="28" t="s">
        <v>17894</v>
      </c>
      <c r="AZ907" s="28" t="s">
        <v>164</v>
      </c>
      <c r="BA907" s="28" t="s">
        <v>165</v>
      </c>
      <c r="BB907" s="28" t="s">
        <v>17895</v>
      </c>
      <c r="BC907" s="28" t="s">
        <v>17896</v>
      </c>
      <c r="BD907" s="33">
        <v>25</v>
      </c>
      <c r="BE907" s="28" t="s">
        <v>138</v>
      </c>
      <c r="BF907" s="28" t="s">
        <v>138</v>
      </c>
      <c r="BG907" s="28" t="s">
        <v>138</v>
      </c>
      <c r="BH907" s="28" t="s">
        <v>17897</v>
      </c>
      <c r="BI907" s="28" t="s">
        <v>138</v>
      </c>
      <c r="BJ907" s="28" t="s">
        <v>138</v>
      </c>
      <c r="BK907" s="28" t="s">
        <v>138</v>
      </c>
      <c r="BL907" s="28" t="s">
        <v>17898</v>
      </c>
      <c r="BM907" s="34" t="s">
        <v>138</v>
      </c>
      <c r="BN907" s="29" t="s">
        <v>138</v>
      </c>
      <c r="BO907" s="28" t="s">
        <v>138</v>
      </c>
      <c r="BP907" s="29" t="s">
        <v>138</v>
      </c>
      <c r="BQ907" s="28" t="s">
        <v>138</v>
      </c>
      <c r="BR907" s="28" t="s">
        <v>316</v>
      </c>
      <c r="BS907" s="28" t="s">
        <v>138</v>
      </c>
      <c r="BT907" s="28" t="s">
        <v>138</v>
      </c>
      <c r="BU907" s="28" t="s">
        <v>177</v>
      </c>
      <c r="BV907" s="28" t="s">
        <v>138</v>
      </c>
      <c r="BW907" s="28" t="s">
        <v>138</v>
      </c>
      <c r="BX907" s="28" t="s">
        <v>138</v>
      </c>
      <c r="BY907" s="28" t="s">
        <v>175</v>
      </c>
      <c r="BZ907" s="34">
        <v>43516</v>
      </c>
      <c r="CA907" s="29">
        <v>30.68</v>
      </c>
      <c r="CB907" s="28" t="s">
        <v>172</v>
      </c>
      <c r="CC907" s="29" t="s">
        <v>138</v>
      </c>
      <c r="CD907" s="28" t="s">
        <v>138</v>
      </c>
      <c r="CE907" s="28" t="s">
        <v>173</v>
      </c>
      <c r="CF907" s="28" t="s">
        <v>720</v>
      </c>
      <c r="CG907" s="28" t="s">
        <v>138</v>
      </c>
      <c r="CH907" s="28" t="s">
        <v>174</v>
      </c>
      <c r="CI907" s="28" t="s">
        <v>1498</v>
      </c>
      <c r="CJ907" s="28" t="s">
        <v>5777</v>
      </c>
      <c r="CK907" s="28" t="s">
        <v>138</v>
      </c>
      <c r="CL907" s="28" t="s">
        <v>175</v>
      </c>
      <c r="CM907" s="34">
        <v>43516</v>
      </c>
      <c r="CN907" s="29">
        <v>3.84</v>
      </c>
      <c r="CO907" s="35">
        <v>-0.48</v>
      </c>
      <c r="CP907" s="36">
        <v>16</v>
      </c>
      <c r="CQ907" s="35">
        <v>-0.03</v>
      </c>
      <c r="CR907" s="35">
        <v>-6.26</v>
      </c>
      <c r="CS907" s="35">
        <v>-2.3199999999999998</v>
      </c>
      <c r="CT907" s="36">
        <v>7</v>
      </c>
      <c r="CU907" s="35">
        <v>0.08</v>
      </c>
      <c r="CV907" s="36">
        <v>64</v>
      </c>
      <c r="CW907" s="35">
        <v>-4.1900000000000004</v>
      </c>
      <c r="CX907" s="36">
        <v>4</v>
      </c>
      <c r="CY907" s="35">
        <v>-0.44</v>
      </c>
      <c r="CZ907" s="36">
        <v>23</v>
      </c>
      <c r="DA907" s="35">
        <v>0.08</v>
      </c>
      <c r="DB907" s="36">
        <v>69</v>
      </c>
      <c r="DC907" s="37">
        <v>7.06</v>
      </c>
      <c r="DD907" s="36">
        <v>87</v>
      </c>
      <c r="DE907" s="37">
        <v>-0.09</v>
      </c>
      <c r="DF907" s="35">
        <v>-1.28</v>
      </c>
      <c r="DG907" s="37">
        <v>15.38</v>
      </c>
      <c r="DH907" s="36">
        <v>93</v>
      </c>
      <c r="DI907" s="37">
        <v>5.6</v>
      </c>
      <c r="DJ907" s="36">
        <v>79</v>
      </c>
      <c r="DK907" s="37">
        <v>4.7300000000000004</v>
      </c>
      <c r="DL907" s="36">
        <v>78</v>
      </c>
      <c r="DM907" s="37">
        <v>26.03</v>
      </c>
      <c r="DN907" s="36">
        <v>96</v>
      </c>
      <c r="DO907" s="37">
        <v>9.56</v>
      </c>
      <c r="DP907" s="36">
        <v>87</v>
      </c>
      <c r="DQ907" s="36">
        <v>1616</v>
      </c>
      <c r="DR907" s="38">
        <v>18</v>
      </c>
      <c r="DS907" s="35">
        <v>1.1299999999999999</v>
      </c>
      <c r="DT907" s="36">
        <v>755</v>
      </c>
      <c r="DU907" s="38">
        <v>-1</v>
      </c>
      <c r="DV907" s="35">
        <v>-0.13</v>
      </c>
      <c r="DW907" s="36">
        <v>3421</v>
      </c>
      <c r="DX907" s="39">
        <v>2</v>
      </c>
      <c r="DY907" s="35">
        <v>0.06</v>
      </c>
      <c r="DZ907" s="28" t="s">
        <v>178</v>
      </c>
      <c r="EA907" s="34">
        <v>43622</v>
      </c>
      <c r="EB907" s="29" t="s">
        <v>138</v>
      </c>
      <c r="EC907" s="34" t="s">
        <v>138</v>
      </c>
      <c r="ED907" s="28" t="s">
        <v>138</v>
      </c>
      <c r="EE907" s="40" t="str">
        <f>HYPERLINK("https://my.pitchbook.com?c=59996-35", "View company online")</f>
        <v>View company online</v>
      </c>
    </row>
    <row r="908" spans="1:135">
      <c r="A908" s="15" t="s">
        <v>17899</v>
      </c>
      <c r="B908" s="15" t="s">
        <v>17900</v>
      </c>
      <c r="C908" s="15" t="s">
        <v>138</v>
      </c>
      <c r="D908" s="15" t="s">
        <v>138</v>
      </c>
      <c r="E908" s="15" t="s">
        <v>17901</v>
      </c>
      <c r="F908" s="15" t="s">
        <v>17899</v>
      </c>
      <c r="G908" s="15" t="s">
        <v>17902</v>
      </c>
      <c r="H908" s="15" t="s">
        <v>322</v>
      </c>
      <c r="I908" s="15" t="s">
        <v>807</v>
      </c>
      <c r="J908" s="15" t="s">
        <v>808</v>
      </c>
      <c r="K908" s="15" t="s">
        <v>17903</v>
      </c>
      <c r="L908" s="15" t="s">
        <v>2274</v>
      </c>
      <c r="M908" s="15" t="s">
        <v>17904</v>
      </c>
      <c r="N908" s="15" t="s">
        <v>147</v>
      </c>
      <c r="O908" s="17" t="s">
        <v>138</v>
      </c>
      <c r="P908" s="15" t="s">
        <v>148</v>
      </c>
      <c r="Q908" s="15" t="s">
        <v>149</v>
      </c>
      <c r="R908" s="15" t="s">
        <v>174</v>
      </c>
      <c r="S908" s="15" t="s">
        <v>17905</v>
      </c>
      <c r="T908" s="18">
        <v>29</v>
      </c>
      <c r="U908" s="15" t="s">
        <v>17906</v>
      </c>
      <c r="V908" s="15" t="s">
        <v>138</v>
      </c>
      <c r="W908" s="15" t="s">
        <v>138</v>
      </c>
      <c r="X908" s="19">
        <v>2007</v>
      </c>
      <c r="Y908" s="15" t="s">
        <v>138</v>
      </c>
      <c r="Z908" s="15" t="s">
        <v>138</v>
      </c>
      <c r="AA908" s="15" t="s">
        <v>138</v>
      </c>
      <c r="AB908" s="20">
        <v>6.73</v>
      </c>
      <c r="AC908" s="20">
        <v>3.62</v>
      </c>
      <c r="AD908" s="20">
        <v>-2.0099999999999998</v>
      </c>
      <c r="AE908" s="20" t="s">
        <v>138</v>
      </c>
      <c r="AF908" s="20">
        <v>-1.99</v>
      </c>
      <c r="AG908" s="15" t="s">
        <v>419</v>
      </c>
      <c r="AH908" s="20" t="s">
        <v>138</v>
      </c>
      <c r="AI908" s="20" t="s">
        <v>138</v>
      </c>
      <c r="AJ908" s="20" t="s">
        <v>138</v>
      </c>
      <c r="AK908" s="15" t="s">
        <v>17907</v>
      </c>
      <c r="AL908" s="15" t="s">
        <v>17908</v>
      </c>
      <c r="AM908" s="15" t="s">
        <v>6209</v>
      </c>
      <c r="AN908" s="15" t="s">
        <v>17909</v>
      </c>
      <c r="AO908" s="15" t="s">
        <v>138</v>
      </c>
      <c r="AP908" s="15" t="s">
        <v>423</v>
      </c>
      <c r="AQ908" s="15" t="s">
        <v>17910</v>
      </c>
      <c r="AR908" s="15" t="s">
        <v>17911</v>
      </c>
      <c r="AS908" s="15" t="s">
        <v>426</v>
      </c>
      <c r="AT908" s="15" t="s">
        <v>426</v>
      </c>
      <c r="AU908" s="15" t="s">
        <v>2610</v>
      </c>
      <c r="AV908" s="15" t="s">
        <v>162</v>
      </c>
      <c r="AW908" s="15" t="s">
        <v>138</v>
      </c>
      <c r="AX908" s="15" t="s">
        <v>138</v>
      </c>
      <c r="AY908" s="15" t="s">
        <v>138</v>
      </c>
      <c r="AZ908" s="15" t="s">
        <v>164</v>
      </c>
      <c r="BA908" s="15" t="s">
        <v>165</v>
      </c>
      <c r="BB908" s="15" t="s">
        <v>17912</v>
      </c>
      <c r="BC908" s="15" t="s">
        <v>138</v>
      </c>
      <c r="BD908" s="21" t="s">
        <v>138</v>
      </c>
      <c r="BE908" s="15" t="s">
        <v>6083</v>
      </c>
      <c r="BF908" s="15" t="s">
        <v>138</v>
      </c>
      <c r="BG908" s="15" t="s">
        <v>138</v>
      </c>
      <c r="BH908" s="15" t="s">
        <v>138</v>
      </c>
      <c r="BI908" s="15" t="s">
        <v>138</v>
      </c>
      <c r="BJ908" s="15" t="s">
        <v>138</v>
      </c>
      <c r="BK908" s="15" t="s">
        <v>17913</v>
      </c>
      <c r="BL908" s="15" t="s">
        <v>17914</v>
      </c>
      <c r="BM908" s="22">
        <v>42166</v>
      </c>
      <c r="BN908" s="17">
        <v>349.35</v>
      </c>
      <c r="BO908" s="15" t="s">
        <v>172</v>
      </c>
      <c r="BP908" s="17">
        <v>349.35</v>
      </c>
      <c r="BQ908" s="15" t="s">
        <v>138</v>
      </c>
      <c r="BR908" s="15" t="s">
        <v>349</v>
      </c>
      <c r="BS908" s="15" t="s">
        <v>138</v>
      </c>
      <c r="BT908" s="15" t="s">
        <v>138</v>
      </c>
      <c r="BU908" s="15" t="s">
        <v>174</v>
      </c>
      <c r="BV908" s="15" t="s">
        <v>138</v>
      </c>
      <c r="BW908" s="15" t="s">
        <v>138</v>
      </c>
      <c r="BX908" s="15" t="s">
        <v>138</v>
      </c>
      <c r="BY908" s="15" t="s">
        <v>175</v>
      </c>
      <c r="BZ908" s="22">
        <v>42166</v>
      </c>
      <c r="CA908" s="17">
        <v>349.35</v>
      </c>
      <c r="CB908" s="15" t="s">
        <v>172</v>
      </c>
      <c r="CC908" s="17">
        <v>349.35</v>
      </c>
      <c r="CD908" s="15" t="s">
        <v>138</v>
      </c>
      <c r="CE908" s="15" t="s">
        <v>349</v>
      </c>
      <c r="CF908" s="15" t="s">
        <v>138</v>
      </c>
      <c r="CG908" s="15" t="s">
        <v>138</v>
      </c>
      <c r="CH908" s="15" t="s">
        <v>174</v>
      </c>
      <c r="CI908" s="15" t="s">
        <v>138</v>
      </c>
      <c r="CJ908" s="15" t="s">
        <v>138</v>
      </c>
      <c r="CK908" s="15" t="s">
        <v>138</v>
      </c>
      <c r="CL908" s="15" t="s">
        <v>175</v>
      </c>
      <c r="CM908" s="22" t="s">
        <v>138</v>
      </c>
      <c r="CN908" s="17" t="s">
        <v>138</v>
      </c>
      <c r="CO908" s="23">
        <v>-1.1100000000000001</v>
      </c>
      <c r="CP908" s="24">
        <v>10</v>
      </c>
      <c r="CQ908" s="23">
        <v>-0.02</v>
      </c>
      <c r="CR908" s="23">
        <v>-1.71</v>
      </c>
      <c r="CS908" s="23">
        <v>-2.23</v>
      </c>
      <c r="CT908" s="24">
        <v>8</v>
      </c>
      <c r="CU908" s="23">
        <v>0</v>
      </c>
      <c r="CV908" s="24">
        <v>22</v>
      </c>
      <c r="CW908" s="23">
        <v>0</v>
      </c>
      <c r="CX908" s="24">
        <v>13</v>
      </c>
      <c r="CY908" s="23">
        <v>-4.45</v>
      </c>
      <c r="CZ908" s="24">
        <v>4</v>
      </c>
      <c r="DA908" s="23">
        <v>0</v>
      </c>
      <c r="DB908" s="24">
        <v>22</v>
      </c>
      <c r="DC908" s="25">
        <v>9.69</v>
      </c>
      <c r="DD908" s="24">
        <v>90</v>
      </c>
      <c r="DE908" s="25">
        <v>-34.33</v>
      </c>
      <c r="DF908" s="23">
        <v>-77.989999999999995</v>
      </c>
      <c r="DG908" s="25">
        <v>19.2</v>
      </c>
      <c r="DH908" s="24">
        <v>94</v>
      </c>
      <c r="DI908" s="25">
        <v>0.18</v>
      </c>
      <c r="DJ908" s="24">
        <v>21</v>
      </c>
      <c r="DK908" s="25">
        <v>2.0099999999999998</v>
      </c>
      <c r="DL908" s="24">
        <v>64</v>
      </c>
      <c r="DM908" s="25">
        <v>36.380000000000003</v>
      </c>
      <c r="DN908" s="24">
        <v>97</v>
      </c>
      <c r="DO908" s="25">
        <v>0.18</v>
      </c>
      <c r="DP908" s="24">
        <v>23</v>
      </c>
      <c r="DQ908" s="24">
        <v>672</v>
      </c>
      <c r="DR908" s="26">
        <v>53</v>
      </c>
      <c r="DS908" s="23">
        <v>8.56</v>
      </c>
      <c r="DT908" s="24">
        <v>1056</v>
      </c>
      <c r="DU908" s="26">
        <v>-10</v>
      </c>
      <c r="DV908" s="23">
        <v>-0.94</v>
      </c>
      <c r="DW908" s="24">
        <v>63</v>
      </c>
      <c r="DX908" s="27">
        <v>0</v>
      </c>
      <c r="DY908" s="23">
        <v>0</v>
      </c>
      <c r="DZ908" s="15" t="s">
        <v>178</v>
      </c>
      <c r="EA908" s="22">
        <v>43351</v>
      </c>
      <c r="EB908" s="17">
        <v>349.35</v>
      </c>
      <c r="EC908" s="22">
        <v>42166</v>
      </c>
      <c r="ED908" s="15" t="s">
        <v>349</v>
      </c>
      <c r="EE908" s="14" t="str">
        <f>HYPERLINK("https://my.pitchbook.com?c=92167-30", "View company online")</f>
        <v>View company online</v>
      </c>
    </row>
    <row r="909" spans="1:135">
      <c r="A909" s="28" t="s">
        <v>17915</v>
      </c>
      <c r="B909" s="28" t="s">
        <v>17916</v>
      </c>
      <c r="C909" s="28" t="s">
        <v>138</v>
      </c>
      <c r="D909" s="28" t="s">
        <v>138</v>
      </c>
      <c r="E909" s="28" t="s">
        <v>138</v>
      </c>
      <c r="F909" s="28" t="s">
        <v>17915</v>
      </c>
      <c r="G909" s="28" t="s">
        <v>17917</v>
      </c>
      <c r="H909" s="28" t="s">
        <v>322</v>
      </c>
      <c r="I909" s="28" t="s">
        <v>323</v>
      </c>
      <c r="J909" s="28" t="s">
        <v>9497</v>
      </c>
      <c r="K909" s="28" t="s">
        <v>17918</v>
      </c>
      <c r="L909" s="28" t="s">
        <v>1796</v>
      </c>
      <c r="M909" s="28" t="s">
        <v>17919</v>
      </c>
      <c r="N909" s="28" t="s">
        <v>147</v>
      </c>
      <c r="O909" s="29">
        <v>23.08</v>
      </c>
      <c r="P909" s="28" t="s">
        <v>148</v>
      </c>
      <c r="Q909" s="28" t="s">
        <v>149</v>
      </c>
      <c r="R909" s="28" t="s">
        <v>150</v>
      </c>
      <c r="S909" s="28" t="s">
        <v>17920</v>
      </c>
      <c r="T909" s="30" t="s">
        <v>138</v>
      </c>
      <c r="U909" s="28" t="s">
        <v>138</v>
      </c>
      <c r="V909" s="28" t="s">
        <v>138</v>
      </c>
      <c r="W909" s="28" t="s">
        <v>138</v>
      </c>
      <c r="X909" s="31">
        <v>2009</v>
      </c>
      <c r="Y909" s="28" t="s">
        <v>138</v>
      </c>
      <c r="Z909" s="28" t="s">
        <v>138</v>
      </c>
      <c r="AA909" s="28" t="s">
        <v>138</v>
      </c>
      <c r="AB909" s="32" t="s">
        <v>138</v>
      </c>
      <c r="AC909" s="32" t="s">
        <v>138</v>
      </c>
      <c r="AD909" s="32" t="s">
        <v>138</v>
      </c>
      <c r="AE909" s="32" t="s">
        <v>138</v>
      </c>
      <c r="AF909" s="32" t="s">
        <v>138</v>
      </c>
      <c r="AG909" s="28" t="s">
        <v>138</v>
      </c>
      <c r="AH909" s="32" t="s">
        <v>138</v>
      </c>
      <c r="AI909" s="32" t="s">
        <v>138</v>
      </c>
      <c r="AJ909" s="32" t="s">
        <v>138</v>
      </c>
      <c r="AK909" s="28" t="s">
        <v>138</v>
      </c>
      <c r="AL909" s="28" t="s">
        <v>138</v>
      </c>
      <c r="AM909" s="28" t="s">
        <v>138</v>
      </c>
      <c r="AN909" s="28" t="s">
        <v>138</v>
      </c>
      <c r="AO909" s="28" t="s">
        <v>138</v>
      </c>
      <c r="AP909" s="28" t="s">
        <v>446</v>
      </c>
      <c r="AQ909" s="28" t="s">
        <v>138</v>
      </c>
      <c r="AR909" s="28" t="s">
        <v>138</v>
      </c>
      <c r="AS909" s="28" t="s">
        <v>449</v>
      </c>
      <c r="AT909" s="28" t="s">
        <v>138</v>
      </c>
      <c r="AU909" s="28" t="s">
        <v>138</v>
      </c>
      <c r="AV909" s="28" t="s">
        <v>450</v>
      </c>
      <c r="AW909" s="28" t="s">
        <v>17921</v>
      </c>
      <c r="AX909" s="28" t="s">
        <v>138</v>
      </c>
      <c r="AY909" s="28" t="s">
        <v>138</v>
      </c>
      <c r="AZ909" s="28" t="s">
        <v>452</v>
      </c>
      <c r="BA909" s="28" t="s">
        <v>453</v>
      </c>
      <c r="BB909" s="28" t="s">
        <v>17922</v>
      </c>
      <c r="BC909" s="28" t="s">
        <v>17923</v>
      </c>
      <c r="BD909" s="33">
        <v>3</v>
      </c>
      <c r="BE909" s="28" t="s">
        <v>138</v>
      </c>
      <c r="BF909" s="28" t="s">
        <v>138</v>
      </c>
      <c r="BG909" s="28" t="s">
        <v>138</v>
      </c>
      <c r="BH909" s="28" t="s">
        <v>17924</v>
      </c>
      <c r="BI909" s="28" t="s">
        <v>138</v>
      </c>
      <c r="BJ909" s="28" t="s">
        <v>138</v>
      </c>
      <c r="BK909" s="28" t="s">
        <v>138</v>
      </c>
      <c r="BL909" s="28" t="s">
        <v>17925</v>
      </c>
      <c r="BM909" s="34">
        <v>41365</v>
      </c>
      <c r="BN909" s="29" t="s">
        <v>138</v>
      </c>
      <c r="BO909" s="28" t="s">
        <v>138</v>
      </c>
      <c r="BP909" s="29" t="s">
        <v>138</v>
      </c>
      <c r="BQ909" s="28" t="s">
        <v>138</v>
      </c>
      <c r="BR909" s="28" t="s">
        <v>262</v>
      </c>
      <c r="BS909" s="28" t="s">
        <v>262</v>
      </c>
      <c r="BT909" s="28" t="s">
        <v>138</v>
      </c>
      <c r="BU909" s="28" t="s">
        <v>263</v>
      </c>
      <c r="BV909" s="28" t="s">
        <v>138</v>
      </c>
      <c r="BW909" s="28" t="s">
        <v>138</v>
      </c>
      <c r="BX909" s="28" t="s">
        <v>138</v>
      </c>
      <c r="BY909" s="28" t="s">
        <v>175</v>
      </c>
      <c r="BZ909" s="34">
        <v>43188</v>
      </c>
      <c r="CA909" s="29" t="s">
        <v>138</v>
      </c>
      <c r="CB909" s="28" t="s">
        <v>138</v>
      </c>
      <c r="CC909" s="29" t="s">
        <v>138</v>
      </c>
      <c r="CD909" s="28" t="s">
        <v>138</v>
      </c>
      <c r="CE909" s="28" t="s">
        <v>173</v>
      </c>
      <c r="CF909" s="28" t="s">
        <v>317</v>
      </c>
      <c r="CG909" s="28" t="s">
        <v>138</v>
      </c>
      <c r="CH909" s="28" t="s">
        <v>174</v>
      </c>
      <c r="CI909" s="28" t="s">
        <v>138</v>
      </c>
      <c r="CJ909" s="28" t="s">
        <v>138</v>
      </c>
      <c r="CK909" s="28" t="s">
        <v>138</v>
      </c>
      <c r="CL909" s="28" t="s">
        <v>175</v>
      </c>
      <c r="CM909" s="34" t="s">
        <v>138</v>
      </c>
      <c r="CN909" s="29" t="s">
        <v>138</v>
      </c>
      <c r="CO909" s="35">
        <v>-0.54</v>
      </c>
      <c r="CP909" s="36">
        <v>16</v>
      </c>
      <c r="CQ909" s="35">
        <v>0.13</v>
      </c>
      <c r="CR909" s="35">
        <v>19.100000000000001</v>
      </c>
      <c r="CS909" s="35">
        <v>-1.2</v>
      </c>
      <c r="CT909" s="36">
        <v>14</v>
      </c>
      <c r="CU909" s="35">
        <v>0.13</v>
      </c>
      <c r="CV909" s="36">
        <v>73</v>
      </c>
      <c r="CW909" s="35">
        <v>-1.4</v>
      </c>
      <c r="CX909" s="36">
        <v>9</v>
      </c>
      <c r="CY909" s="35">
        <v>-1.01</v>
      </c>
      <c r="CZ909" s="36">
        <v>19</v>
      </c>
      <c r="DA909" s="35">
        <v>0.13</v>
      </c>
      <c r="DB909" s="36">
        <v>76</v>
      </c>
      <c r="DC909" s="37">
        <v>25.14</v>
      </c>
      <c r="DD909" s="36">
        <v>96</v>
      </c>
      <c r="DE909" s="37">
        <v>-8.8800000000000008</v>
      </c>
      <c r="DF909" s="35">
        <v>-26.11</v>
      </c>
      <c r="DG909" s="37">
        <v>34.090000000000003</v>
      </c>
      <c r="DH909" s="36">
        <v>97</v>
      </c>
      <c r="DI909" s="37">
        <v>16.190000000000001</v>
      </c>
      <c r="DJ909" s="36">
        <v>89</v>
      </c>
      <c r="DK909" s="37">
        <v>33.520000000000003</v>
      </c>
      <c r="DL909" s="36">
        <v>94</v>
      </c>
      <c r="DM909" s="37">
        <v>34.659999999999997</v>
      </c>
      <c r="DN909" s="36">
        <v>97</v>
      </c>
      <c r="DO909" s="37">
        <v>16.190000000000001</v>
      </c>
      <c r="DP909" s="36">
        <v>91</v>
      </c>
      <c r="DQ909" s="36">
        <v>11673</v>
      </c>
      <c r="DR909" s="38">
        <v>-523</v>
      </c>
      <c r="DS909" s="35">
        <v>-4.29</v>
      </c>
      <c r="DT909" s="36">
        <v>1002</v>
      </c>
      <c r="DU909" s="38">
        <v>10</v>
      </c>
      <c r="DV909" s="35">
        <v>1.01</v>
      </c>
      <c r="DW909" s="36">
        <v>5789</v>
      </c>
      <c r="DX909" s="39">
        <v>13</v>
      </c>
      <c r="DY909" s="35">
        <v>0.23</v>
      </c>
      <c r="DZ909" s="28" t="s">
        <v>178</v>
      </c>
      <c r="EA909" s="34">
        <v>43351</v>
      </c>
      <c r="EB909" s="29" t="s">
        <v>138</v>
      </c>
      <c r="EC909" s="34" t="s">
        <v>138</v>
      </c>
      <c r="ED909" s="28" t="s">
        <v>138</v>
      </c>
      <c r="EE909" s="40" t="str">
        <f>HYPERLINK("https://my.pitchbook.com?c=119362-24", "View company online")</f>
        <v>View company online</v>
      </c>
    </row>
    <row r="910" spans="1:135">
      <c r="A910" s="15" t="s">
        <v>17926</v>
      </c>
      <c r="B910" s="15" t="s">
        <v>17927</v>
      </c>
      <c r="C910" s="15" t="s">
        <v>17928</v>
      </c>
      <c r="D910" s="15" t="s">
        <v>138</v>
      </c>
      <c r="E910" s="15" t="s">
        <v>138</v>
      </c>
      <c r="F910" s="15" t="s">
        <v>17926</v>
      </c>
      <c r="G910" s="15" t="s">
        <v>17929</v>
      </c>
      <c r="H910" s="15" t="s">
        <v>238</v>
      </c>
      <c r="I910" s="15" t="s">
        <v>1351</v>
      </c>
      <c r="J910" s="15" t="s">
        <v>1352</v>
      </c>
      <c r="K910" s="15" t="s">
        <v>17930</v>
      </c>
      <c r="L910" s="15" t="s">
        <v>1972</v>
      </c>
      <c r="M910" s="15" t="s">
        <v>17931</v>
      </c>
      <c r="N910" s="15" t="s">
        <v>147</v>
      </c>
      <c r="O910" s="17">
        <v>2.7</v>
      </c>
      <c r="P910" s="15" t="s">
        <v>148</v>
      </c>
      <c r="Q910" s="15" t="s">
        <v>149</v>
      </c>
      <c r="R910" s="15" t="s">
        <v>150</v>
      </c>
      <c r="S910" s="15" t="s">
        <v>17932</v>
      </c>
      <c r="T910" s="18">
        <v>30</v>
      </c>
      <c r="U910" s="15" t="s">
        <v>1431</v>
      </c>
      <c r="V910" s="15" t="s">
        <v>138</v>
      </c>
      <c r="W910" s="15" t="s">
        <v>138</v>
      </c>
      <c r="X910" s="19">
        <v>2013</v>
      </c>
      <c r="Y910" s="15" t="s">
        <v>138</v>
      </c>
      <c r="Z910" s="15" t="s">
        <v>138</v>
      </c>
      <c r="AA910" s="15" t="s">
        <v>138</v>
      </c>
      <c r="AB910" s="20" t="s">
        <v>138</v>
      </c>
      <c r="AC910" s="20" t="s">
        <v>138</v>
      </c>
      <c r="AD910" s="20" t="s">
        <v>138</v>
      </c>
      <c r="AE910" s="20" t="s">
        <v>138</v>
      </c>
      <c r="AF910" s="20" t="s">
        <v>138</v>
      </c>
      <c r="AG910" s="15" t="s">
        <v>138</v>
      </c>
      <c r="AH910" s="20" t="s">
        <v>138</v>
      </c>
      <c r="AI910" s="20" t="s">
        <v>138</v>
      </c>
      <c r="AJ910" s="20" t="s">
        <v>138</v>
      </c>
      <c r="AK910" s="15" t="s">
        <v>17933</v>
      </c>
      <c r="AL910" s="15" t="s">
        <v>17934</v>
      </c>
      <c r="AM910" s="15" t="s">
        <v>17935</v>
      </c>
      <c r="AN910" s="15" t="s">
        <v>17936</v>
      </c>
      <c r="AO910" s="15" t="s">
        <v>138</v>
      </c>
      <c r="AP910" s="15" t="s">
        <v>8993</v>
      </c>
      <c r="AQ910" s="15" t="s">
        <v>17937</v>
      </c>
      <c r="AR910" s="15" t="s">
        <v>138</v>
      </c>
      <c r="AS910" s="15" t="s">
        <v>8996</v>
      </c>
      <c r="AT910" s="15" t="s">
        <v>8997</v>
      </c>
      <c r="AU910" s="15" t="s">
        <v>17938</v>
      </c>
      <c r="AV910" s="15" t="s">
        <v>8999</v>
      </c>
      <c r="AW910" s="15" t="s">
        <v>17939</v>
      </c>
      <c r="AX910" s="15" t="s">
        <v>138</v>
      </c>
      <c r="AY910" s="15" t="s">
        <v>17940</v>
      </c>
      <c r="AZ910" s="15" t="s">
        <v>9001</v>
      </c>
      <c r="BA910" s="15" t="s">
        <v>9001</v>
      </c>
      <c r="BB910" s="15" t="s">
        <v>17941</v>
      </c>
      <c r="BC910" s="15" t="s">
        <v>17942</v>
      </c>
      <c r="BD910" s="21">
        <v>4</v>
      </c>
      <c r="BE910" s="15" t="s">
        <v>138</v>
      </c>
      <c r="BF910" s="15" t="s">
        <v>138</v>
      </c>
      <c r="BG910" s="15" t="s">
        <v>138</v>
      </c>
      <c r="BH910" s="15" t="s">
        <v>17943</v>
      </c>
      <c r="BI910" s="15" t="s">
        <v>138</v>
      </c>
      <c r="BJ910" s="15" t="s">
        <v>138</v>
      </c>
      <c r="BK910" s="15" t="s">
        <v>138</v>
      </c>
      <c r="BL910" s="15" t="s">
        <v>1829</v>
      </c>
      <c r="BM910" s="22">
        <v>42082</v>
      </c>
      <c r="BN910" s="17">
        <v>1</v>
      </c>
      <c r="BO910" s="15" t="s">
        <v>172</v>
      </c>
      <c r="BP910" s="17" t="s">
        <v>138</v>
      </c>
      <c r="BQ910" s="15" t="s">
        <v>138</v>
      </c>
      <c r="BR910" s="15" t="s">
        <v>780</v>
      </c>
      <c r="BS910" s="15" t="s">
        <v>780</v>
      </c>
      <c r="BT910" s="15" t="s">
        <v>138</v>
      </c>
      <c r="BU910" s="15" t="s">
        <v>780</v>
      </c>
      <c r="BV910" s="15" t="s">
        <v>138</v>
      </c>
      <c r="BW910" s="15" t="s">
        <v>138</v>
      </c>
      <c r="BX910" s="15" t="s">
        <v>138</v>
      </c>
      <c r="BY910" s="15" t="s">
        <v>175</v>
      </c>
      <c r="BZ910" s="22">
        <v>43053</v>
      </c>
      <c r="CA910" s="17" t="s">
        <v>138</v>
      </c>
      <c r="CB910" s="15" t="s">
        <v>138</v>
      </c>
      <c r="CC910" s="17" t="s">
        <v>138</v>
      </c>
      <c r="CD910" s="15" t="s">
        <v>138</v>
      </c>
      <c r="CE910" s="15" t="s">
        <v>316</v>
      </c>
      <c r="CF910" s="15" t="s">
        <v>138</v>
      </c>
      <c r="CG910" s="15" t="s">
        <v>138</v>
      </c>
      <c r="CH910" s="15" t="s">
        <v>177</v>
      </c>
      <c r="CI910" s="15" t="s">
        <v>138</v>
      </c>
      <c r="CJ910" s="15" t="s">
        <v>138</v>
      </c>
      <c r="CK910" s="15" t="s">
        <v>138</v>
      </c>
      <c r="CL910" s="15" t="s">
        <v>175</v>
      </c>
      <c r="CM910" s="22" t="s">
        <v>138</v>
      </c>
      <c r="CN910" s="17" t="s">
        <v>138</v>
      </c>
      <c r="CO910" s="23">
        <v>0.03</v>
      </c>
      <c r="CP910" s="24">
        <v>86</v>
      </c>
      <c r="CQ910" s="23">
        <v>0</v>
      </c>
      <c r="CR910" s="23">
        <v>-0.1</v>
      </c>
      <c r="CS910" s="23">
        <v>0</v>
      </c>
      <c r="CT910" s="24">
        <v>23</v>
      </c>
      <c r="CU910" s="23">
        <v>7.0000000000000007E-2</v>
      </c>
      <c r="CV910" s="24">
        <v>62</v>
      </c>
      <c r="CW910" s="23">
        <v>0</v>
      </c>
      <c r="CX910" s="24">
        <v>13</v>
      </c>
      <c r="CY910" s="23" t="s">
        <v>138</v>
      </c>
      <c r="CZ910" s="24" t="s">
        <v>138</v>
      </c>
      <c r="DA910" s="23">
        <v>-0.15</v>
      </c>
      <c r="DB910" s="24">
        <v>3</v>
      </c>
      <c r="DC910" s="25">
        <v>3.97</v>
      </c>
      <c r="DD910" s="24">
        <v>79</v>
      </c>
      <c r="DE910" s="25">
        <v>0</v>
      </c>
      <c r="DF910" s="23">
        <v>0.06</v>
      </c>
      <c r="DG910" s="25">
        <v>0.23</v>
      </c>
      <c r="DH910" s="24">
        <v>18</v>
      </c>
      <c r="DI910" s="25">
        <v>7.72</v>
      </c>
      <c r="DJ910" s="24">
        <v>83</v>
      </c>
      <c r="DK910" s="25">
        <v>0.23</v>
      </c>
      <c r="DL910" s="24">
        <v>19</v>
      </c>
      <c r="DM910" s="25" t="s">
        <v>138</v>
      </c>
      <c r="DN910" s="24" t="s">
        <v>138</v>
      </c>
      <c r="DO910" s="25">
        <v>15.18</v>
      </c>
      <c r="DP910" s="24">
        <v>91</v>
      </c>
      <c r="DQ910" s="24">
        <v>87</v>
      </c>
      <c r="DR910" s="26">
        <v>-28</v>
      </c>
      <c r="DS910" s="23">
        <v>-24.35</v>
      </c>
      <c r="DT910" s="24" t="s">
        <v>138</v>
      </c>
      <c r="DU910" s="26" t="s">
        <v>138</v>
      </c>
      <c r="DV910" s="23" t="s">
        <v>138</v>
      </c>
      <c r="DW910" s="24">
        <v>5438</v>
      </c>
      <c r="DX910" s="27">
        <v>-5</v>
      </c>
      <c r="DY910" s="23">
        <v>-0.09</v>
      </c>
      <c r="DZ910" s="15" t="s">
        <v>178</v>
      </c>
      <c r="EA910" s="22">
        <v>43351</v>
      </c>
      <c r="EB910" s="17" t="s">
        <v>138</v>
      </c>
      <c r="EC910" s="22" t="s">
        <v>138</v>
      </c>
      <c r="ED910" s="15" t="s">
        <v>138</v>
      </c>
      <c r="EE910" s="14" t="str">
        <f>HYPERLINK("https://my.pitchbook.com?c=114231-43", "View company online")</f>
        <v>View company online</v>
      </c>
    </row>
    <row r="911" spans="1:135">
      <c r="A911" s="28" t="s">
        <v>17944</v>
      </c>
      <c r="B911" s="28" t="s">
        <v>17945</v>
      </c>
      <c r="C911" s="28" t="s">
        <v>138</v>
      </c>
      <c r="D911" s="28" t="s">
        <v>138</v>
      </c>
      <c r="E911" s="28" t="s">
        <v>138</v>
      </c>
      <c r="F911" s="28" t="s">
        <v>17944</v>
      </c>
      <c r="G911" s="28" t="s">
        <v>17946</v>
      </c>
      <c r="H911" s="28" t="s">
        <v>5219</v>
      </c>
      <c r="I911" s="28" t="s">
        <v>17947</v>
      </c>
      <c r="J911" s="28" t="s">
        <v>17948</v>
      </c>
      <c r="K911" s="28" t="s">
        <v>17949</v>
      </c>
      <c r="L911" s="28" t="s">
        <v>17950</v>
      </c>
      <c r="M911" s="28" t="s">
        <v>17951</v>
      </c>
      <c r="N911" s="28" t="s">
        <v>147</v>
      </c>
      <c r="O911" s="29">
        <v>74.42</v>
      </c>
      <c r="P911" s="28" t="s">
        <v>148</v>
      </c>
      <c r="Q911" s="28" t="s">
        <v>149</v>
      </c>
      <c r="R911" s="28" t="s">
        <v>244</v>
      </c>
      <c r="S911" s="28" t="s">
        <v>17952</v>
      </c>
      <c r="T911" s="30">
        <v>50</v>
      </c>
      <c r="U911" s="28" t="s">
        <v>17953</v>
      </c>
      <c r="V911" s="28" t="s">
        <v>138</v>
      </c>
      <c r="W911" s="28" t="s">
        <v>138</v>
      </c>
      <c r="X911" s="31">
        <v>2006</v>
      </c>
      <c r="Y911" s="28" t="s">
        <v>138</v>
      </c>
      <c r="Z911" s="28" t="s">
        <v>138</v>
      </c>
      <c r="AA911" s="28" t="s">
        <v>138</v>
      </c>
      <c r="AB911" s="32" t="s">
        <v>138</v>
      </c>
      <c r="AC911" s="32" t="s">
        <v>138</v>
      </c>
      <c r="AD911" s="32" t="s">
        <v>138</v>
      </c>
      <c r="AE911" s="32" t="s">
        <v>138</v>
      </c>
      <c r="AF911" s="32" t="s">
        <v>138</v>
      </c>
      <c r="AG911" s="28" t="s">
        <v>138</v>
      </c>
      <c r="AH911" s="32" t="s">
        <v>138</v>
      </c>
      <c r="AI911" s="32" t="s">
        <v>138</v>
      </c>
      <c r="AJ911" s="32" t="s">
        <v>138</v>
      </c>
      <c r="AK911" s="28" t="s">
        <v>17954</v>
      </c>
      <c r="AL911" s="28" t="s">
        <v>17955</v>
      </c>
      <c r="AM911" s="28" t="s">
        <v>17956</v>
      </c>
      <c r="AN911" s="28" t="s">
        <v>17957</v>
      </c>
      <c r="AO911" s="28" t="s">
        <v>17958</v>
      </c>
      <c r="AP911" s="28" t="s">
        <v>1514</v>
      </c>
      <c r="AQ911" s="28" t="s">
        <v>17959</v>
      </c>
      <c r="AR911" s="28" t="s">
        <v>138</v>
      </c>
      <c r="AS911" s="28" t="s">
        <v>1516</v>
      </c>
      <c r="AT911" s="28" t="s">
        <v>284</v>
      </c>
      <c r="AU911" s="28" t="s">
        <v>14269</v>
      </c>
      <c r="AV911" s="28" t="s">
        <v>162</v>
      </c>
      <c r="AW911" s="28" t="s">
        <v>17958</v>
      </c>
      <c r="AX911" s="28" t="s">
        <v>17960</v>
      </c>
      <c r="AY911" s="28" t="s">
        <v>17961</v>
      </c>
      <c r="AZ911" s="28" t="s">
        <v>164</v>
      </c>
      <c r="BA911" s="28" t="s">
        <v>165</v>
      </c>
      <c r="BB911" s="28" t="s">
        <v>17962</v>
      </c>
      <c r="BC911" s="28" t="s">
        <v>17963</v>
      </c>
      <c r="BD911" s="33">
        <v>18</v>
      </c>
      <c r="BE911" s="28" t="s">
        <v>138</v>
      </c>
      <c r="BF911" s="28" t="s">
        <v>138</v>
      </c>
      <c r="BG911" s="28" t="s">
        <v>138</v>
      </c>
      <c r="BH911" s="28" t="s">
        <v>17964</v>
      </c>
      <c r="BI911" s="28" t="s">
        <v>138</v>
      </c>
      <c r="BJ911" s="28" t="s">
        <v>138</v>
      </c>
      <c r="BK911" s="28" t="s">
        <v>17965</v>
      </c>
      <c r="BL911" s="28" t="s">
        <v>17966</v>
      </c>
      <c r="BM911" s="34">
        <v>38718</v>
      </c>
      <c r="BN911" s="29" t="s">
        <v>138</v>
      </c>
      <c r="BO911" s="28" t="s">
        <v>138</v>
      </c>
      <c r="BP911" s="29" t="s">
        <v>138</v>
      </c>
      <c r="BQ911" s="28" t="s">
        <v>138</v>
      </c>
      <c r="BR911" s="28" t="s">
        <v>262</v>
      </c>
      <c r="BS911" s="28" t="s">
        <v>262</v>
      </c>
      <c r="BT911" s="28" t="s">
        <v>138</v>
      </c>
      <c r="BU911" s="28" t="s">
        <v>263</v>
      </c>
      <c r="BV911" s="28" t="s">
        <v>138</v>
      </c>
      <c r="BW911" s="28" t="s">
        <v>138</v>
      </c>
      <c r="BX911" s="28" t="s">
        <v>138</v>
      </c>
      <c r="BY911" s="28" t="s">
        <v>175</v>
      </c>
      <c r="BZ911" s="34">
        <v>43504</v>
      </c>
      <c r="CA911" s="29">
        <v>17.47</v>
      </c>
      <c r="CB911" s="28" t="s">
        <v>172</v>
      </c>
      <c r="CC911" s="29">
        <v>32.47</v>
      </c>
      <c r="CD911" s="28" t="s">
        <v>172</v>
      </c>
      <c r="CE911" s="28" t="s">
        <v>173</v>
      </c>
      <c r="CF911" s="28" t="s">
        <v>974</v>
      </c>
      <c r="CG911" s="28" t="s">
        <v>138</v>
      </c>
      <c r="CH911" s="28" t="s">
        <v>174</v>
      </c>
      <c r="CI911" s="28" t="s">
        <v>138</v>
      </c>
      <c r="CJ911" s="28" t="s">
        <v>138</v>
      </c>
      <c r="CK911" s="28" t="s">
        <v>138</v>
      </c>
      <c r="CL911" s="28" t="s">
        <v>175</v>
      </c>
      <c r="CM911" s="34">
        <v>43101</v>
      </c>
      <c r="CN911" s="29" t="s">
        <v>138</v>
      </c>
      <c r="CO911" s="35">
        <v>0.35</v>
      </c>
      <c r="CP911" s="36">
        <v>94</v>
      </c>
      <c r="CQ911" s="35">
        <v>-0.08</v>
      </c>
      <c r="CR911" s="35">
        <v>-18.75</v>
      </c>
      <c r="CS911" s="35" t="s">
        <v>138</v>
      </c>
      <c r="CT911" s="36" t="s">
        <v>138</v>
      </c>
      <c r="CU911" s="35">
        <v>0.35</v>
      </c>
      <c r="CV911" s="36">
        <v>89</v>
      </c>
      <c r="CW911" s="35" t="s">
        <v>138</v>
      </c>
      <c r="CX911" s="36" t="s">
        <v>138</v>
      </c>
      <c r="CY911" s="35" t="s">
        <v>138</v>
      </c>
      <c r="CZ911" s="36" t="s">
        <v>138</v>
      </c>
      <c r="DA911" s="35">
        <v>0.35</v>
      </c>
      <c r="DB911" s="36">
        <v>90</v>
      </c>
      <c r="DC911" s="37">
        <v>0.91</v>
      </c>
      <c r="DD911" s="36">
        <v>49</v>
      </c>
      <c r="DE911" s="37">
        <v>0.01</v>
      </c>
      <c r="DF911" s="35">
        <v>0.56000000000000005</v>
      </c>
      <c r="DG911" s="37" t="s">
        <v>138</v>
      </c>
      <c r="DH911" s="36" t="s">
        <v>138</v>
      </c>
      <c r="DI911" s="37">
        <v>0.91</v>
      </c>
      <c r="DJ911" s="36">
        <v>47</v>
      </c>
      <c r="DK911" s="37" t="s">
        <v>138</v>
      </c>
      <c r="DL911" s="36" t="s">
        <v>138</v>
      </c>
      <c r="DM911" s="37" t="s">
        <v>138</v>
      </c>
      <c r="DN911" s="36" t="s">
        <v>138</v>
      </c>
      <c r="DO911" s="37">
        <v>0.91</v>
      </c>
      <c r="DP911" s="36">
        <v>49</v>
      </c>
      <c r="DQ911" s="36">
        <v>327</v>
      </c>
      <c r="DR911" s="38">
        <v>34</v>
      </c>
      <c r="DS911" s="35">
        <v>11.6</v>
      </c>
      <c r="DT911" s="36" t="s">
        <v>138</v>
      </c>
      <c r="DU911" s="38" t="s">
        <v>138</v>
      </c>
      <c r="DV911" s="35" t="s">
        <v>138</v>
      </c>
      <c r="DW911" s="36">
        <v>325</v>
      </c>
      <c r="DX911" s="39">
        <v>1</v>
      </c>
      <c r="DY911" s="35">
        <v>0.31</v>
      </c>
      <c r="DZ911" s="28" t="s">
        <v>178</v>
      </c>
      <c r="EA911" s="34">
        <v>43510</v>
      </c>
      <c r="EB911" s="29">
        <v>32.47</v>
      </c>
      <c r="EC911" s="34">
        <v>43504</v>
      </c>
      <c r="ED911" s="28" t="s">
        <v>173</v>
      </c>
      <c r="EE911" s="40" t="str">
        <f>HYPERLINK("https://my.pitchbook.com?c=43118-92", "View company online")</f>
        <v>View company online</v>
      </c>
    </row>
    <row r="912" spans="1:135">
      <c r="A912" s="15" t="s">
        <v>17967</v>
      </c>
      <c r="B912" s="15" t="s">
        <v>17968</v>
      </c>
      <c r="C912" s="15" t="s">
        <v>138</v>
      </c>
      <c r="D912" s="15" t="s">
        <v>138</v>
      </c>
      <c r="E912" s="15" t="s">
        <v>17969</v>
      </c>
      <c r="F912" s="15" t="s">
        <v>17967</v>
      </c>
      <c r="G912" s="15" t="s">
        <v>17970</v>
      </c>
      <c r="H912" s="15" t="s">
        <v>322</v>
      </c>
      <c r="I912" s="15" t="s">
        <v>323</v>
      </c>
      <c r="J912" s="15" t="s">
        <v>539</v>
      </c>
      <c r="K912" s="15" t="s">
        <v>9529</v>
      </c>
      <c r="L912" s="15" t="s">
        <v>415</v>
      </c>
      <c r="M912" s="15" t="s">
        <v>17971</v>
      </c>
      <c r="N912" s="15" t="s">
        <v>147</v>
      </c>
      <c r="O912" s="17">
        <v>71.569999999999993</v>
      </c>
      <c r="P912" s="15" t="s">
        <v>148</v>
      </c>
      <c r="Q912" s="15" t="s">
        <v>149</v>
      </c>
      <c r="R912" s="15" t="s">
        <v>174</v>
      </c>
      <c r="S912" s="15" t="s">
        <v>17972</v>
      </c>
      <c r="T912" s="18">
        <v>100</v>
      </c>
      <c r="U912" s="15" t="s">
        <v>17973</v>
      </c>
      <c r="V912" s="15" t="s">
        <v>138</v>
      </c>
      <c r="W912" s="15" t="s">
        <v>138</v>
      </c>
      <c r="X912" s="19">
        <v>2015</v>
      </c>
      <c r="Y912" s="15" t="s">
        <v>138</v>
      </c>
      <c r="Z912" s="15" t="s">
        <v>17305</v>
      </c>
      <c r="AA912" s="15" t="s">
        <v>17305</v>
      </c>
      <c r="AB912" s="20" t="s">
        <v>138</v>
      </c>
      <c r="AC912" s="20" t="s">
        <v>138</v>
      </c>
      <c r="AD912" s="20" t="s">
        <v>138</v>
      </c>
      <c r="AE912" s="20" t="s">
        <v>138</v>
      </c>
      <c r="AF912" s="20" t="s">
        <v>138</v>
      </c>
      <c r="AG912" s="15" t="s">
        <v>138</v>
      </c>
      <c r="AH912" s="20" t="s">
        <v>138</v>
      </c>
      <c r="AI912" s="20" t="s">
        <v>138</v>
      </c>
      <c r="AJ912" s="20" t="s">
        <v>138</v>
      </c>
      <c r="AK912" s="15" t="s">
        <v>17974</v>
      </c>
      <c r="AL912" s="15" t="s">
        <v>17975</v>
      </c>
      <c r="AM912" s="15" t="s">
        <v>444</v>
      </c>
      <c r="AN912" s="15" t="s">
        <v>17976</v>
      </c>
      <c r="AO912" s="15" t="s">
        <v>17977</v>
      </c>
      <c r="AP912" s="15" t="s">
        <v>665</v>
      </c>
      <c r="AQ912" s="15" t="s">
        <v>17978</v>
      </c>
      <c r="AR912" s="15" t="s">
        <v>1959</v>
      </c>
      <c r="AS912" s="15" t="s">
        <v>668</v>
      </c>
      <c r="AT912" s="15" t="s">
        <v>200</v>
      </c>
      <c r="AU912" s="15" t="s">
        <v>669</v>
      </c>
      <c r="AV912" s="15" t="s">
        <v>162</v>
      </c>
      <c r="AW912" s="15" t="s">
        <v>17977</v>
      </c>
      <c r="AX912" s="15" t="s">
        <v>138</v>
      </c>
      <c r="AY912" s="15" t="s">
        <v>17979</v>
      </c>
      <c r="AZ912" s="15" t="s">
        <v>164</v>
      </c>
      <c r="BA912" s="15" t="s">
        <v>165</v>
      </c>
      <c r="BB912" s="15" t="s">
        <v>17980</v>
      </c>
      <c r="BC912" s="15" t="s">
        <v>17981</v>
      </c>
      <c r="BD912" s="21">
        <v>18</v>
      </c>
      <c r="BE912" s="15" t="s">
        <v>138</v>
      </c>
      <c r="BF912" s="15" t="s">
        <v>138</v>
      </c>
      <c r="BG912" s="15" t="s">
        <v>138</v>
      </c>
      <c r="BH912" s="15" t="s">
        <v>17982</v>
      </c>
      <c r="BI912" s="15" t="s">
        <v>138</v>
      </c>
      <c r="BJ912" s="15" t="s">
        <v>138</v>
      </c>
      <c r="BK912" s="15" t="s">
        <v>3460</v>
      </c>
      <c r="BL912" s="15" t="s">
        <v>17983</v>
      </c>
      <c r="BM912" s="22">
        <v>42081</v>
      </c>
      <c r="BN912" s="17">
        <v>2.75</v>
      </c>
      <c r="BO912" s="15" t="s">
        <v>172</v>
      </c>
      <c r="BP912" s="17" t="s">
        <v>138</v>
      </c>
      <c r="BQ912" s="15" t="s">
        <v>138</v>
      </c>
      <c r="BR912" s="15" t="s">
        <v>205</v>
      </c>
      <c r="BS912" s="15" t="s">
        <v>138</v>
      </c>
      <c r="BT912" s="15" t="s">
        <v>138</v>
      </c>
      <c r="BU912" s="15" t="s">
        <v>174</v>
      </c>
      <c r="BV912" s="15" t="s">
        <v>138</v>
      </c>
      <c r="BW912" s="15" t="s">
        <v>138</v>
      </c>
      <c r="BX912" s="15" t="s">
        <v>138</v>
      </c>
      <c r="BY912" s="15" t="s">
        <v>175</v>
      </c>
      <c r="BZ912" s="22">
        <v>43606</v>
      </c>
      <c r="CA912" s="17">
        <v>37</v>
      </c>
      <c r="CB912" s="15" t="s">
        <v>172</v>
      </c>
      <c r="CC912" s="17">
        <v>125</v>
      </c>
      <c r="CD912" s="15" t="s">
        <v>172</v>
      </c>
      <c r="CE912" s="15" t="s">
        <v>173</v>
      </c>
      <c r="CF912" s="15" t="s">
        <v>317</v>
      </c>
      <c r="CG912" s="15" t="s">
        <v>138</v>
      </c>
      <c r="CH912" s="15" t="s">
        <v>174</v>
      </c>
      <c r="CI912" s="15" t="s">
        <v>138</v>
      </c>
      <c r="CJ912" s="15" t="s">
        <v>138</v>
      </c>
      <c r="CK912" s="15" t="s">
        <v>138</v>
      </c>
      <c r="CL912" s="15" t="s">
        <v>175</v>
      </c>
      <c r="CM912" s="22" t="s">
        <v>138</v>
      </c>
      <c r="CN912" s="17" t="s">
        <v>138</v>
      </c>
      <c r="CO912" s="23">
        <v>-0.13</v>
      </c>
      <c r="CP912" s="24">
        <v>20</v>
      </c>
      <c r="CQ912" s="23">
        <v>-0.06</v>
      </c>
      <c r="CR912" s="23">
        <v>-77.86</v>
      </c>
      <c r="CS912" s="23">
        <v>-0.56999999999999995</v>
      </c>
      <c r="CT912" s="24">
        <v>19</v>
      </c>
      <c r="CU912" s="23">
        <v>0.32</v>
      </c>
      <c r="CV912" s="24">
        <v>88</v>
      </c>
      <c r="CW912" s="23">
        <v>-2.2200000000000002</v>
      </c>
      <c r="CX912" s="24">
        <v>7</v>
      </c>
      <c r="CY912" s="23">
        <v>1.08</v>
      </c>
      <c r="CZ912" s="24">
        <v>99</v>
      </c>
      <c r="DA912" s="23">
        <v>0.32</v>
      </c>
      <c r="DB912" s="24">
        <v>89</v>
      </c>
      <c r="DC912" s="25">
        <v>32.17</v>
      </c>
      <c r="DD912" s="24">
        <v>97</v>
      </c>
      <c r="DE912" s="25">
        <v>-2.86</v>
      </c>
      <c r="DF912" s="23">
        <v>-8.16</v>
      </c>
      <c r="DG912" s="25">
        <v>61.1</v>
      </c>
      <c r="DH912" s="24">
        <v>99</v>
      </c>
      <c r="DI912" s="25">
        <v>3.24</v>
      </c>
      <c r="DJ912" s="24">
        <v>71</v>
      </c>
      <c r="DK912" s="25">
        <v>90.55</v>
      </c>
      <c r="DL912" s="24">
        <v>97</v>
      </c>
      <c r="DM912" s="25">
        <v>31.66</v>
      </c>
      <c r="DN912" s="24">
        <v>96</v>
      </c>
      <c r="DO912" s="25">
        <v>3.24</v>
      </c>
      <c r="DP912" s="24">
        <v>72</v>
      </c>
      <c r="DQ912" s="24">
        <v>31307</v>
      </c>
      <c r="DR912" s="26">
        <v>-744</v>
      </c>
      <c r="DS912" s="23">
        <v>-2.3199999999999998</v>
      </c>
      <c r="DT912" s="24">
        <v>917</v>
      </c>
      <c r="DU912" s="26">
        <v>3</v>
      </c>
      <c r="DV912" s="23">
        <v>0.33</v>
      </c>
      <c r="DW912" s="24">
        <v>1158</v>
      </c>
      <c r="DX912" s="27">
        <v>7</v>
      </c>
      <c r="DY912" s="23">
        <v>0.61</v>
      </c>
      <c r="DZ912" s="15" t="s">
        <v>178</v>
      </c>
      <c r="EA912" s="22">
        <v>43607</v>
      </c>
      <c r="EB912" s="17">
        <v>125</v>
      </c>
      <c r="EC912" s="22">
        <v>43606</v>
      </c>
      <c r="ED912" s="15" t="s">
        <v>173</v>
      </c>
      <c r="EE912" s="14" t="str">
        <f>HYPERLINK("https://my.pitchbook.com?c=120926-26", "View company online")</f>
        <v>View company online</v>
      </c>
    </row>
    <row r="913" spans="1:135">
      <c r="A913" s="28" t="s">
        <v>17984</v>
      </c>
      <c r="B913" s="28" t="s">
        <v>17985</v>
      </c>
      <c r="C913" s="28" t="s">
        <v>17986</v>
      </c>
      <c r="D913" s="28" t="s">
        <v>138</v>
      </c>
      <c r="E913" s="28" t="s">
        <v>138</v>
      </c>
      <c r="F913" s="28" t="s">
        <v>17984</v>
      </c>
      <c r="G913" s="28" t="s">
        <v>17987</v>
      </c>
      <c r="H913" s="28" t="s">
        <v>141</v>
      </c>
      <c r="I913" s="28" t="s">
        <v>212</v>
      </c>
      <c r="J913" s="28" t="s">
        <v>213</v>
      </c>
      <c r="K913" s="28" t="s">
        <v>17988</v>
      </c>
      <c r="L913" s="28" t="s">
        <v>242</v>
      </c>
      <c r="M913" s="28" t="s">
        <v>17989</v>
      </c>
      <c r="N913" s="28" t="s">
        <v>1212</v>
      </c>
      <c r="O913" s="29">
        <v>46.59</v>
      </c>
      <c r="P913" s="28" t="s">
        <v>148</v>
      </c>
      <c r="Q913" s="28" t="s">
        <v>149</v>
      </c>
      <c r="R913" s="28" t="s">
        <v>174</v>
      </c>
      <c r="S913" s="28" t="s">
        <v>17990</v>
      </c>
      <c r="T913" s="30">
        <v>40</v>
      </c>
      <c r="U913" s="28" t="s">
        <v>17991</v>
      </c>
      <c r="V913" s="28" t="s">
        <v>138</v>
      </c>
      <c r="W913" s="28" t="s">
        <v>138</v>
      </c>
      <c r="X913" s="31">
        <v>2008</v>
      </c>
      <c r="Y913" s="28" t="s">
        <v>138</v>
      </c>
      <c r="Z913" s="28" t="s">
        <v>138</v>
      </c>
      <c r="AA913" s="28" t="s">
        <v>138</v>
      </c>
      <c r="AB913" s="32" t="s">
        <v>138</v>
      </c>
      <c r="AC913" s="32" t="s">
        <v>138</v>
      </c>
      <c r="AD913" s="32" t="s">
        <v>138</v>
      </c>
      <c r="AE913" s="32" t="s">
        <v>138</v>
      </c>
      <c r="AF913" s="32" t="s">
        <v>138</v>
      </c>
      <c r="AG913" s="28" t="s">
        <v>138</v>
      </c>
      <c r="AH913" s="32" t="s">
        <v>138</v>
      </c>
      <c r="AI913" s="32" t="s">
        <v>138</v>
      </c>
      <c r="AJ913" s="32" t="s">
        <v>138</v>
      </c>
      <c r="AK913" s="28" t="s">
        <v>138</v>
      </c>
      <c r="AL913" s="28" t="s">
        <v>138</v>
      </c>
      <c r="AM913" s="28" t="s">
        <v>138</v>
      </c>
      <c r="AN913" s="28" t="s">
        <v>138</v>
      </c>
      <c r="AO913" s="28" t="s">
        <v>138</v>
      </c>
      <c r="AP913" s="28" t="s">
        <v>423</v>
      </c>
      <c r="AQ913" s="28" t="s">
        <v>17992</v>
      </c>
      <c r="AR913" s="28" t="s">
        <v>138</v>
      </c>
      <c r="AS913" s="28" t="s">
        <v>426</v>
      </c>
      <c r="AT913" s="28" t="s">
        <v>426</v>
      </c>
      <c r="AU913" s="28" t="s">
        <v>921</v>
      </c>
      <c r="AV913" s="28" t="s">
        <v>162</v>
      </c>
      <c r="AW913" s="28" t="s">
        <v>17993</v>
      </c>
      <c r="AX913" s="28" t="s">
        <v>17994</v>
      </c>
      <c r="AY913" s="28" t="s">
        <v>17995</v>
      </c>
      <c r="AZ913" s="28" t="s">
        <v>164</v>
      </c>
      <c r="BA913" s="28" t="s">
        <v>165</v>
      </c>
      <c r="BB913" s="28" t="s">
        <v>17996</v>
      </c>
      <c r="BC913" s="28" t="s">
        <v>138</v>
      </c>
      <c r="BD913" s="33" t="s">
        <v>138</v>
      </c>
      <c r="BE913" s="28" t="s">
        <v>17997</v>
      </c>
      <c r="BF913" s="28" t="s">
        <v>17998</v>
      </c>
      <c r="BG913" s="28" t="s">
        <v>138</v>
      </c>
      <c r="BH913" s="28" t="s">
        <v>138</v>
      </c>
      <c r="BI913" s="28" t="s">
        <v>17999</v>
      </c>
      <c r="BJ913" s="28" t="s">
        <v>138</v>
      </c>
      <c r="BK913" s="28" t="s">
        <v>1854</v>
      </c>
      <c r="BL913" s="28" t="s">
        <v>18000</v>
      </c>
      <c r="BM913" s="34">
        <v>39448</v>
      </c>
      <c r="BN913" s="29">
        <v>0.3</v>
      </c>
      <c r="BO913" s="28" t="s">
        <v>172</v>
      </c>
      <c r="BP913" s="29" t="s">
        <v>138</v>
      </c>
      <c r="BQ913" s="28" t="s">
        <v>138</v>
      </c>
      <c r="BR913" s="28" t="s">
        <v>205</v>
      </c>
      <c r="BS913" s="28" t="s">
        <v>138</v>
      </c>
      <c r="BT913" s="28" t="s">
        <v>138</v>
      </c>
      <c r="BU913" s="28" t="s">
        <v>174</v>
      </c>
      <c r="BV913" s="28" t="s">
        <v>138</v>
      </c>
      <c r="BW913" s="28" t="s">
        <v>138</v>
      </c>
      <c r="BX913" s="28" t="s">
        <v>138</v>
      </c>
      <c r="BY913" s="28" t="s">
        <v>175</v>
      </c>
      <c r="BZ913" s="34">
        <v>41778</v>
      </c>
      <c r="CA913" s="29">
        <v>15.5</v>
      </c>
      <c r="CB913" s="28" t="s">
        <v>172</v>
      </c>
      <c r="CC913" s="29">
        <v>15.5</v>
      </c>
      <c r="CD913" s="28" t="s">
        <v>172</v>
      </c>
      <c r="CE913" s="28" t="s">
        <v>2228</v>
      </c>
      <c r="CF913" s="28" t="s">
        <v>138</v>
      </c>
      <c r="CG913" s="28" t="s">
        <v>138</v>
      </c>
      <c r="CH913" s="28" t="s">
        <v>780</v>
      </c>
      <c r="CI913" s="28" t="s">
        <v>138</v>
      </c>
      <c r="CJ913" s="28" t="s">
        <v>138</v>
      </c>
      <c r="CK913" s="28" t="s">
        <v>138</v>
      </c>
      <c r="CL913" s="28" t="s">
        <v>175</v>
      </c>
      <c r="CM913" s="34" t="s">
        <v>138</v>
      </c>
      <c r="CN913" s="29" t="s">
        <v>138</v>
      </c>
      <c r="CO913" s="35" t="s">
        <v>138</v>
      </c>
      <c r="CP913" s="36" t="s">
        <v>138</v>
      </c>
      <c r="CQ913" s="35" t="s">
        <v>138</v>
      </c>
      <c r="CR913" s="35" t="s">
        <v>138</v>
      </c>
      <c r="CS913" s="35" t="s">
        <v>138</v>
      </c>
      <c r="CT913" s="36" t="s">
        <v>138</v>
      </c>
      <c r="CU913" s="35" t="s">
        <v>138</v>
      </c>
      <c r="CV913" s="36" t="s">
        <v>138</v>
      </c>
      <c r="CW913" s="35" t="s">
        <v>138</v>
      </c>
      <c r="CX913" s="36" t="s">
        <v>138</v>
      </c>
      <c r="CY913" s="35" t="s">
        <v>138</v>
      </c>
      <c r="CZ913" s="36" t="s">
        <v>138</v>
      </c>
      <c r="DA913" s="35" t="s">
        <v>138</v>
      </c>
      <c r="DB913" s="36" t="s">
        <v>138</v>
      </c>
      <c r="DC913" s="37" t="s">
        <v>138</v>
      </c>
      <c r="DD913" s="36" t="s">
        <v>138</v>
      </c>
      <c r="DE913" s="37" t="s">
        <v>138</v>
      </c>
      <c r="DF913" s="35" t="s">
        <v>138</v>
      </c>
      <c r="DG913" s="37" t="s">
        <v>138</v>
      </c>
      <c r="DH913" s="36" t="s">
        <v>138</v>
      </c>
      <c r="DI913" s="37" t="s">
        <v>138</v>
      </c>
      <c r="DJ913" s="36" t="s">
        <v>138</v>
      </c>
      <c r="DK913" s="37" t="s">
        <v>138</v>
      </c>
      <c r="DL913" s="36" t="s">
        <v>138</v>
      </c>
      <c r="DM913" s="37" t="s">
        <v>138</v>
      </c>
      <c r="DN913" s="36" t="s">
        <v>138</v>
      </c>
      <c r="DO913" s="37" t="s">
        <v>138</v>
      </c>
      <c r="DP913" s="36" t="s">
        <v>138</v>
      </c>
      <c r="DQ913" s="36" t="s">
        <v>138</v>
      </c>
      <c r="DR913" s="38" t="s">
        <v>138</v>
      </c>
      <c r="DS913" s="35" t="s">
        <v>138</v>
      </c>
      <c r="DT913" s="36" t="s">
        <v>138</v>
      </c>
      <c r="DU913" s="38" t="s">
        <v>138</v>
      </c>
      <c r="DV913" s="35" t="s">
        <v>138</v>
      </c>
      <c r="DW913" s="36" t="s">
        <v>138</v>
      </c>
      <c r="DX913" s="39" t="s">
        <v>138</v>
      </c>
      <c r="DY913" s="35" t="s">
        <v>138</v>
      </c>
      <c r="DZ913" s="28" t="s">
        <v>178</v>
      </c>
      <c r="EA913" s="34">
        <v>43351</v>
      </c>
      <c r="EB913" s="29">
        <v>15.5</v>
      </c>
      <c r="EC913" s="34">
        <v>41778</v>
      </c>
      <c r="ED913" s="28" t="s">
        <v>2228</v>
      </c>
      <c r="EE913" s="40" t="str">
        <f>HYPERLINK("https://my.pitchbook.com?c=52369-39", "View company online")</f>
        <v>View company online</v>
      </c>
    </row>
    <row r="914" spans="1:135">
      <c r="A914" s="15" t="s">
        <v>18001</v>
      </c>
      <c r="B914" s="15" t="s">
        <v>18002</v>
      </c>
      <c r="C914" s="15" t="s">
        <v>138</v>
      </c>
      <c r="D914" s="15" t="s">
        <v>138</v>
      </c>
      <c r="E914" s="15" t="s">
        <v>18003</v>
      </c>
      <c r="F914" s="15" t="s">
        <v>18001</v>
      </c>
      <c r="G914" s="15" t="s">
        <v>18004</v>
      </c>
      <c r="H914" s="15" t="s">
        <v>322</v>
      </c>
      <c r="I914" s="15" t="s">
        <v>323</v>
      </c>
      <c r="J914" s="15" t="s">
        <v>461</v>
      </c>
      <c r="K914" s="15" t="s">
        <v>2209</v>
      </c>
      <c r="L914" s="15" t="s">
        <v>18005</v>
      </c>
      <c r="M914" s="15" t="s">
        <v>18006</v>
      </c>
      <c r="N914" s="15" t="s">
        <v>147</v>
      </c>
      <c r="O914" s="17">
        <v>107.42</v>
      </c>
      <c r="P914" s="15" t="s">
        <v>148</v>
      </c>
      <c r="Q914" s="15" t="s">
        <v>149</v>
      </c>
      <c r="R914" s="15" t="s">
        <v>174</v>
      </c>
      <c r="S914" s="15" t="s">
        <v>18007</v>
      </c>
      <c r="T914" s="18">
        <v>100</v>
      </c>
      <c r="U914" s="15" t="s">
        <v>18008</v>
      </c>
      <c r="V914" s="15" t="s">
        <v>138</v>
      </c>
      <c r="W914" s="15" t="s">
        <v>138</v>
      </c>
      <c r="X914" s="19">
        <v>2002</v>
      </c>
      <c r="Y914" s="15" t="s">
        <v>138</v>
      </c>
      <c r="Z914" s="15" t="s">
        <v>138</v>
      </c>
      <c r="AA914" s="15" t="s">
        <v>138</v>
      </c>
      <c r="AB914" s="20" t="s">
        <v>138</v>
      </c>
      <c r="AC914" s="20" t="s">
        <v>138</v>
      </c>
      <c r="AD914" s="20" t="s">
        <v>138</v>
      </c>
      <c r="AE914" s="20" t="s">
        <v>138</v>
      </c>
      <c r="AF914" s="20" t="s">
        <v>138</v>
      </c>
      <c r="AG914" s="15" t="s">
        <v>138</v>
      </c>
      <c r="AH914" s="20" t="s">
        <v>138</v>
      </c>
      <c r="AI914" s="20" t="s">
        <v>138</v>
      </c>
      <c r="AJ914" s="20" t="s">
        <v>138</v>
      </c>
      <c r="AK914" s="15" t="s">
        <v>18009</v>
      </c>
      <c r="AL914" s="15" t="s">
        <v>18010</v>
      </c>
      <c r="AM914" s="15" t="s">
        <v>3575</v>
      </c>
      <c r="AN914" s="15" t="s">
        <v>18011</v>
      </c>
      <c r="AO914" s="15" t="s">
        <v>18012</v>
      </c>
      <c r="AP914" s="15" t="s">
        <v>1244</v>
      </c>
      <c r="AQ914" s="15" t="s">
        <v>18013</v>
      </c>
      <c r="AR914" s="15" t="s">
        <v>3159</v>
      </c>
      <c r="AS914" s="15" t="s">
        <v>1246</v>
      </c>
      <c r="AT914" s="15" t="s">
        <v>200</v>
      </c>
      <c r="AU914" s="15" t="s">
        <v>844</v>
      </c>
      <c r="AV914" s="15" t="s">
        <v>162</v>
      </c>
      <c r="AW914" s="15" t="s">
        <v>18012</v>
      </c>
      <c r="AX914" s="15" t="s">
        <v>138</v>
      </c>
      <c r="AY914" s="15" t="s">
        <v>138</v>
      </c>
      <c r="AZ914" s="15" t="s">
        <v>164</v>
      </c>
      <c r="BA914" s="15" t="s">
        <v>165</v>
      </c>
      <c r="BB914" s="15" t="s">
        <v>18014</v>
      </c>
      <c r="BC914" s="15" t="s">
        <v>18015</v>
      </c>
      <c r="BD914" s="21">
        <v>11</v>
      </c>
      <c r="BE914" s="15" t="s">
        <v>138</v>
      </c>
      <c r="BF914" s="15" t="s">
        <v>18016</v>
      </c>
      <c r="BG914" s="15" t="s">
        <v>138</v>
      </c>
      <c r="BH914" s="15" t="s">
        <v>18017</v>
      </c>
      <c r="BI914" s="15" t="s">
        <v>18018</v>
      </c>
      <c r="BJ914" s="15" t="s">
        <v>138</v>
      </c>
      <c r="BK914" s="15" t="s">
        <v>18019</v>
      </c>
      <c r="BL914" s="15" t="s">
        <v>18020</v>
      </c>
      <c r="BM914" s="22">
        <v>39169</v>
      </c>
      <c r="BN914" s="17">
        <v>5.1100000000000003</v>
      </c>
      <c r="BO914" s="15" t="s">
        <v>172</v>
      </c>
      <c r="BP914" s="17">
        <v>18.170000000000002</v>
      </c>
      <c r="BQ914" s="15" t="s">
        <v>172</v>
      </c>
      <c r="BR914" s="15" t="s">
        <v>205</v>
      </c>
      <c r="BS914" s="15" t="s">
        <v>206</v>
      </c>
      <c r="BT914" s="15" t="s">
        <v>138</v>
      </c>
      <c r="BU914" s="15" t="s">
        <v>174</v>
      </c>
      <c r="BV914" s="15" t="s">
        <v>138</v>
      </c>
      <c r="BW914" s="15" t="s">
        <v>138</v>
      </c>
      <c r="BX914" s="15" t="s">
        <v>138</v>
      </c>
      <c r="BY914" s="15" t="s">
        <v>175</v>
      </c>
      <c r="BZ914" s="22">
        <v>43528</v>
      </c>
      <c r="CA914" s="17">
        <v>15</v>
      </c>
      <c r="CB914" s="15" t="s">
        <v>172</v>
      </c>
      <c r="CC914" s="17">
        <v>75</v>
      </c>
      <c r="CD914" s="15" t="s">
        <v>172</v>
      </c>
      <c r="CE914" s="15" t="s">
        <v>173</v>
      </c>
      <c r="CF914" s="15" t="s">
        <v>7349</v>
      </c>
      <c r="CG914" s="15" t="s">
        <v>138</v>
      </c>
      <c r="CH914" s="15" t="s">
        <v>174</v>
      </c>
      <c r="CI914" s="15" t="s">
        <v>138</v>
      </c>
      <c r="CJ914" s="15" t="s">
        <v>138</v>
      </c>
      <c r="CK914" s="15" t="s">
        <v>138</v>
      </c>
      <c r="CL914" s="15" t="s">
        <v>175</v>
      </c>
      <c r="CM914" s="22" t="s">
        <v>138</v>
      </c>
      <c r="CN914" s="17" t="s">
        <v>138</v>
      </c>
      <c r="CO914" s="23">
        <v>-1.4</v>
      </c>
      <c r="CP914" s="24">
        <v>8</v>
      </c>
      <c r="CQ914" s="23">
        <v>-0.04</v>
      </c>
      <c r="CR914" s="23">
        <v>-2.64</v>
      </c>
      <c r="CS914" s="23">
        <v>-3.02</v>
      </c>
      <c r="CT914" s="24">
        <v>5</v>
      </c>
      <c r="CU914" s="23">
        <v>0.21</v>
      </c>
      <c r="CV914" s="24">
        <v>81</v>
      </c>
      <c r="CW914" s="23">
        <v>-3.1</v>
      </c>
      <c r="CX914" s="24">
        <v>5</v>
      </c>
      <c r="CY914" s="23">
        <v>-2.93</v>
      </c>
      <c r="CZ914" s="24">
        <v>7</v>
      </c>
      <c r="DA914" s="23">
        <v>0.21</v>
      </c>
      <c r="DB914" s="24">
        <v>83</v>
      </c>
      <c r="DC914" s="25">
        <v>13.37</v>
      </c>
      <c r="DD914" s="24">
        <v>92</v>
      </c>
      <c r="DE914" s="25">
        <v>-0.13</v>
      </c>
      <c r="DF914" s="23">
        <v>-0.98</v>
      </c>
      <c r="DG914" s="25">
        <v>21.03</v>
      </c>
      <c r="DH914" s="24">
        <v>95</v>
      </c>
      <c r="DI914" s="25">
        <v>5.71</v>
      </c>
      <c r="DJ914" s="24">
        <v>79</v>
      </c>
      <c r="DK914" s="25">
        <v>3.41</v>
      </c>
      <c r="DL914" s="24">
        <v>74</v>
      </c>
      <c r="DM914" s="25">
        <v>38.659999999999997</v>
      </c>
      <c r="DN914" s="24">
        <v>97</v>
      </c>
      <c r="DO914" s="25">
        <v>5.71</v>
      </c>
      <c r="DP914" s="24">
        <v>81</v>
      </c>
      <c r="DQ914" s="24">
        <v>1146</v>
      </c>
      <c r="DR914" s="26">
        <v>74</v>
      </c>
      <c r="DS914" s="23">
        <v>6.9</v>
      </c>
      <c r="DT914" s="24">
        <v>1122</v>
      </c>
      <c r="DU914" s="26">
        <v>-4</v>
      </c>
      <c r="DV914" s="23">
        <v>-0.36</v>
      </c>
      <c r="DW914" s="24">
        <v>2043</v>
      </c>
      <c r="DX914" s="27">
        <v>-3</v>
      </c>
      <c r="DY914" s="23">
        <v>-0.15</v>
      </c>
      <c r="DZ914" s="15" t="s">
        <v>178</v>
      </c>
      <c r="EA914" s="22">
        <v>43622</v>
      </c>
      <c r="EB914" s="17">
        <v>75</v>
      </c>
      <c r="EC914" s="22">
        <v>43528</v>
      </c>
      <c r="ED914" s="15" t="s">
        <v>173</v>
      </c>
      <c r="EE914" s="14" t="str">
        <f>HYPERLINK("https://my.pitchbook.com?c=43017-31", "View company online")</f>
        <v>View company online</v>
      </c>
    </row>
    <row r="915" spans="1:135">
      <c r="A915" s="28" t="s">
        <v>18021</v>
      </c>
      <c r="B915" s="28" t="s">
        <v>18022</v>
      </c>
      <c r="C915" s="28" t="s">
        <v>138</v>
      </c>
      <c r="D915" s="28" t="s">
        <v>18023</v>
      </c>
      <c r="E915" s="28" t="s">
        <v>18024</v>
      </c>
      <c r="F915" s="28" t="s">
        <v>18021</v>
      </c>
      <c r="G915" s="28" t="s">
        <v>18025</v>
      </c>
      <c r="H915" s="28" t="s">
        <v>141</v>
      </c>
      <c r="I915" s="28" t="s">
        <v>212</v>
      </c>
      <c r="J915" s="28" t="s">
        <v>213</v>
      </c>
      <c r="K915" s="28" t="s">
        <v>1064</v>
      </c>
      <c r="L915" s="28" t="s">
        <v>1544</v>
      </c>
      <c r="M915" s="28" t="s">
        <v>18026</v>
      </c>
      <c r="N915" s="28" t="s">
        <v>147</v>
      </c>
      <c r="O915" s="29">
        <v>2.72</v>
      </c>
      <c r="P915" s="28" t="s">
        <v>148</v>
      </c>
      <c r="Q915" s="28" t="s">
        <v>149</v>
      </c>
      <c r="R915" s="28" t="s">
        <v>174</v>
      </c>
      <c r="S915" s="28" t="s">
        <v>18027</v>
      </c>
      <c r="T915" s="30">
        <v>29</v>
      </c>
      <c r="U915" s="28" t="s">
        <v>18028</v>
      </c>
      <c r="V915" s="28" t="s">
        <v>138</v>
      </c>
      <c r="W915" s="28" t="s">
        <v>138</v>
      </c>
      <c r="X915" s="31">
        <v>2009</v>
      </c>
      <c r="Y915" s="28" t="s">
        <v>138</v>
      </c>
      <c r="Z915" s="28" t="s">
        <v>138</v>
      </c>
      <c r="AA915" s="28" t="s">
        <v>138</v>
      </c>
      <c r="AB915" s="32">
        <v>1.01</v>
      </c>
      <c r="AC915" s="32" t="s">
        <v>138</v>
      </c>
      <c r="AD915" s="32" t="s">
        <v>138</v>
      </c>
      <c r="AE915" s="32" t="s">
        <v>138</v>
      </c>
      <c r="AF915" s="32" t="s">
        <v>138</v>
      </c>
      <c r="AG915" s="28" t="s">
        <v>2214</v>
      </c>
      <c r="AH915" s="32" t="s">
        <v>138</v>
      </c>
      <c r="AI915" s="32" t="s">
        <v>138</v>
      </c>
      <c r="AJ915" s="32" t="s">
        <v>138</v>
      </c>
      <c r="AK915" s="28" t="s">
        <v>18029</v>
      </c>
      <c r="AL915" s="28" t="s">
        <v>18030</v>
      </c>
      <c r="AM915" s="28" t="s">
        <v>2878</v>
      </c>
      <c r="AN915" s="28" t="s">
        <v>18031</v>
      </c>
      <c r="AO915" s="28" t="s">
        <v>18032</v>
      </c>
      <c r="AP915" s="28" t="s">
        <v>423</v>
      </c>
      <c r="AQ915" s="28" t="s">
        <v>18033</v>
      </c>
      <c r="AR915" s="28" t="s">
        <v>3062</v>
      </c>
      <c r="AS915" s="28" t="s">
        <v>426</v>
      </c>
      <c r="AT915" s="28" t="s">
        <v>426</v>
      </c>
      <c r="AU915" s="28" t="s">
        <v>9016</v>
      </c>
      <c r="AV915" s="28" t="s">
        <v>162</v>
      </c>
      <c r="AW915" s="28" t="s">
        <v>18032</v>
      </c>
      <c r="AX915" s="28" t="s">
        <v>138</v>
      </c>
      <c r="AY915" s="28" t="s">
        <v>18034</v>
      </c>
      <c r="AZ915" s="28" t="s">
        <v>164</v>
      </c>
      <c r="BA915" s="28" t="s">
        <v>165</v>
      </c>
      <c r="BB915" s="28" t="s">
        <v>18035</v>
      </c>
      <c r="BC915" s="28" t="s">
        <v>18036</v>
      </c>
      <c r="BD915" s="33">
        <v>5</v>
      </c>
      <c r="BE915" s="28" t="s">
        <v>138</v>
      </c>
      <c r="BF915" s="28" t="s">
        <v>18037</v>
      </c>
      <c r="BG915" s="28" t="s">
        <v>138</v>
      </c>
      <c r="BH915" s="28" t="s">
        <v>18038</v>
      </c>
      <c r="BI915" s="28" t="s">
        <v>18039</v>
      </c>
      <c r="BJ915" s="28" t="s">
        <v>138</v>
      </c>
      <c r="BK915" s="28" t="s">
        <v>138</v>
      </c>
      <c r="BL915" s="28" t="s">
        <v>18040</v>
      </c>
      <c r="BM915" s="34" t="s">
        <v>138</v>
      </c>
      <c r="BN915" s="29">
        <v>0.08</v>
      </c>
      <c r="BO915" s="28" t="s">
        <v>172</v>
      </c>
      <c r="BP915" s="29" t="s">
        <v>138</v>
      </c>
      <c r="BQ915" s="28" t="s">
        <v>138</v>
      </c>
      <c r="BR915" s="28" t="s">
        <v>234</v>
      </c>
      <c r="BS915" s="28" t="s">
        <v>234</v>
      </c>
      <c r="BT915" s="28" t="s">
        <v>138</v>
      </c>
      <c r="BU915" s="28" t="s">
        <v>263</v>
      </c>
      <c r="BV915" s="28" t="s">
        <v>138</v>
      </c>
      <c r="BW915" s="28" t="s">
        <v>138</v>
      </c>
      <c r="BX915" s="28" t="s">
        <v>138</v>
      </c>
      <c r="BY915" s="28" t="s">
        <v>175</v>
      </c>
      <c r="BZ915" s="34" t="s">
        <v>138</v>
      </c>
      <c r="CA915" s="29" t="s">
        <v>138</v>
      </c>
      <c r="CB915" s="28" t="s">
        <v>138</v>
      </c>
      <c r="CC915" s="29" t="s">
        <v>138</v>
      </c>
      <c r="CD915" s="28" t="s">
        <v>138</v>
      </c>
      <c r="CE915" s="28" t="s">
        <v>379</v>
      </c>
      <c r="CF915" s="28" t="s">
        <v>138</v>
      </c>
      <c r="CG915" s="28" t="s">
        <v>138</v>
      </c>
      <c r="CH915" s="28" t="s">
        <v>174</v>
      </c>
      <c r="CI915" s="28" t="s">
        <v>138</v>
      </c>
      <c r="CJ915" s="28" t="s">
        <v>138</v>
      </c>
      <c r="CK915" s="28" t="s">
        <v>138</v>
      </c>
      <c r="CL915" s="28" t="s">
        <v>175</v>
      </c>
      <c r="CM915" s="34" t="s">
        <v>138</v>
      </c>
      <c r="CN915" s="29" t="s">
        <v>138</v>
      </c>
      <c r="CO915" s="35">
        <v>-1.61</v>
      </c>
      <c r="CP915" s="36">
        <v>7</v>
      </c>
      <c r="CQ915" s="35">
        <v>0</v>
      </c>
      <c r="CR915" s="35">
        <v>-0.01</v>
      </c>
      <c r="CS915" s="35">
        <v>-3.18</v>
      </c>
      <c r="CT915" s="36">
        <v>5</v>
      </c>
      <c r="CU915" s="35">
        <v>-0.04</v>
      </c>
      <c r="CV915" s="36">
        <v>12</v>
      </c>
      <c r="CW915" s="35">
        <v>0</v>
      </c>
      <c r="CX915" s="36">
        <v>13</v>
      </c>
      <c r="CY915" s="35">
        <v>-6.36</v>
      </c>
      <c r="CZ915" s="36">
        <v>2</v>
      </c>
      <c r="DA915" s="35">
        <v>-0.04</v>
      </c>
      <c r="DB915" s="36">
        <v>15</v>
      </c>
      <c r="DC915" s="37">
        <v>7.66</v>
      </c>
      <c r="DD915" s="36">
        <v>88</v>
      </c>
      <c r="DE915" s="37">
        <v>0</v>
      </c>
      <c r="DF915" s="35">
        <v>0.01</v>
      </c>
      <c r="DG915" s="37">
        <v>8.2899999999999991</v>
      </c>
      <c r="DH915" s="36">
        <v>88</v>
      </c>
      <c r="DI915" s="37">
        <v>7.03</v>
      </c>
      <c r="DJ915" s="36">
        <v>82</v>
      </c>
      <c r="DK915" s="37">
        <v>0.81</v>
      </c>
      <c r="DL915" s="36">
        <v>46</v>
      </c>
      <c r="DM915" s="37">
        <v>15.76</v>
      </c>
      <c r="DN915" s="36">
        <v>93</v>
      </c>
      <c r="DO915" s="37">
        <v>7.03</v>
      </c>
      <c r="DP915" s="36">
        <v>84</v>
      </c>
      <c r="DQ915" s="36">
        <v>264</v>
      </c>
      <c r="DR915" s="38">
        <v>43</v>
      </c>
      <c r="DS915" s="35">
        <v>19.46</v>
      </c>
      <c r="DT915" s="36">
        <v>456</v>
      </c>
      <c r="DU915" s="38">
        <v>1</v>
      </c>
      <c r="DV915" s="35">
        <v>0.22</v>
      </c>
      <c r="DW915" s="36">
        <v>2515</v>
      </c>
      <c r="DX915" s="39">
        <v>0</v>
      </c>
      <c r="DY915" s="35">
        <v>0</v>
      </c>
      <c r="DZ915" s="28" t="s">
        <v>178</v>
      </c>
      <c r="EA915" s="34">
        <v>43440</v>
      </c>
      <c r="EB915" s="29" t="s">
        <v>138</v>
      </c>
      <c r="EC915" s="34" t="s">
        <v>138</v>
      </c>
      <c r="ED915" s="28" t="s">
        <v>138</v>
      </c>
      <c r="EE915" s="40" t="str">
        <f>HYPERLINK("https://my.pitchbook.com?c=52125-13", "View company online")</f>
        <v>View company online</v>
      </c>
    </row>
    <row r="916" spans="1:135">
      <c r="A916" s="15" t="s">
        <v>18041</v>
      </c>
      <c r="B916" s="15" t="s">
        <v>18042</v>
      </c>
      <c r="C916" s="15" t="s">
        <v>138</v>
      </c>
      <c r="D916" s="15" t="s">
        <v>138</v>
      </c>
      <c r="E916" s="15" t="s">
        <v>18043</v>
      </c>
      <c r="F916" s="15" t="s">
        <v>18041</v>
      </c>
      <c r="G916" s="15" t="s">
        <v>18044</v>
      </c>
      <c r="H916" s="15" t="s">
        <v>141</v>
      </c>
      <c r="I916" s="15" t="s">
        <v>212</v>
      </c>
      <c r="J916" s="15" t="s">
        <v>1257</v>
      </c>
      <c r="K916" s="15" t="s">
        <v>12015</v>
      </c>
      <c r="L916" s="15" t="s">
        <v>16273</v>
      </c>
      <c r="M916" s="15" t="s">
        <v>18045</v>
      </c>
      <c r="N916" s="15" t="s">
        <v>147</v>
      </c>
      <c r="O916" s="17">
        <v>1.5</v>
      </c>
      <c r="P916" s="15" t="s">
        <v>148</v>
      </c>
      <c r="Q916" s="15" t="s">
        <v>149</v>
      </c>
      <c r="R916" s="15" t="s">
        <v>174</v>
      </c>
      <c r="S916" s="15" t="s">
        <v>18046</v>
      </c>
      <c r="T916" s="18">
        <v>51</v>
      </c>
      <c r="U916" s="15" t="s">
        <v>18047</v>
      </c>
      <c r="V916" s="15" t="s">
        <v>138</v>
      </c>
      <c r="W916" s="15" t="s">
        <v>138</v>
      </c>
      <c r="X916" s="19">
        <v>2005</v>
      </c>
      <c r="Y916" s="15" t="s">
        <v>138</v>
      </c>
      <c r="Z916" s="15" t="s">
        <v>138</v>
      </c>
      <c r="AA916" s="15" t="s">
        <v>138</v>
      </c>
      <c r="AB916" s="20" t="s">
        <v>138</v>
      </c>
      <c r="AC916" s="20" t="s">
        <v>138</v>
      </c>
      <c r="AD916" s="20" t="s">
        <v>138</v>
      </c>
      <c r="AE916" s="20" t="s">
        <v>138</v>
      </c>
      <c r="AF916" s="20" t="s">
        <v>138</v>
      </c>
      <c r="AG916" s="15" t="s">
        <v>138</v>
      </c>
      <c r="AH916" s="20" t="s">
        <v>138</v>
      </c>
      <c r="AI916" s="20" t="s">
        <v>138</v>
      </c>
      <c r="AJ916" s="20" t="s">
        <v>138</v>
      </c>
      <c r="AK916" s="15" t="s">
        <v>18048</v>
      </c>
      <c r="AL916" s="15" t="s">
        <v>18049</v>
      </c>
      <c r="AM916" s="15" t="s">
        <v>5401</v>
      </c>
      <c r="AN916" s="15" t="s">
        <v>18050</v>
      </c>
      <c r="AO916" s="15" t="s">
        <v>18051</v>
      </c>
      <c r="AP916" s="15" t="s">
        <v>1457</v>
      </c>
      <c r="AQ916" s="15" t="s">
        <v>18052</v>
      </c>
      <c r="AR916" s="15" t="s">
        <v>18053</v>
      </c>
      <c r="AS916" s="15" t="s">
        <v>1460</v>
      </c>
      <c r="AT916" s="15" t="s">
        <v>474</v>
      </c>
      <c r="AU916" s="15" t="s">
        <v>16284</v>
      </c>
      <c r="AV916" s="15" t="s">
        <v>162</v>
      </c>
      <c r="AW916" s="15" t="s">
        <v>18051</v>
      </c>
      <c r="AX916" s="15" t="s">
        <v>18054</v>
      </c>
      <c r="AY916" s="15" t="s">
        <v>18055</v>
      </c>
      <c r="AZ916" s="15" t="s">
        <v>164</v>
      </c>
      <c r="BA916" s="15" t="s">
        <v>165</v>
      </c>
      <c r="BB916" s="15" t="s">
        <v>18056</v>
      </c>
      <c r="BC916" s="15" t="s">
        <v>18057</v>
      </c>
      <c r="BD916" s="21">
        <v>1</v>
      </c>
      <c r="BE916" s="15" t="s">
        <v>138</v>
      </c>
      <c r="BF916" s="15" t="s">
        <v>138</v>
      </c>
      <c r="BG916" s="15" t="s">
        <v>138</v>
      </c>
      <c r="BH916" s="15" t="s">
        <v>138</v>
      </c>
      <c r="BI916" s="15" t="s">
        <v>138</v>
      </c>
      <c r="BJ916" s="15" t="s">
        <v>138</v>
      </c>
      <c r="BK916" s="15" t="s">
        <v>18058</v>
      </c>
      <c r="BL916" s="15" t="s">
        <v>138</v>
      </c>
      <c r="BM916" s="22">
        <v>38687</v>
      </c>
      <c r="BN916" s="17">
        <v>1.5</v>
      </c>
      <c r="BO916" s="15" t="s">
        <v>172</v>
      </c>
      <c r="BP916" s="17" t="s">
        <v>138</v>
      </c>
      <c r="BQ916" s="15" t="s">
        <v>138</v>
      </c>
      <c r="BR916" s="15" t="s">
        <v>205</v>
      </c>
      <c r="BS916" s="15" t="s">
        <v>206</v>
      </c>
      <c r="BT916" s="15" t="s">
        <v>138</v>
      </c>
      <c r="BU916" s="15" t="s">
        <v>174</v>
      </c>
      <c r="BV916" s="15" t="s">
        <v>138</v>
      </c>
      <c r="BW916" s="15" t="s">
        <v>138</v>
      </c>
      <c r="BX916" s="15" t="s">
        <v>138</v>
      </c>
      <c r="BY916" s="15" t="s">
        <v>175</v>
      </c>
      <c r="BZ916" s="22">
        <v>38687</v>
      </c>
      <c r="CA916" s="17">
        <v>1.5</v>
      </c>
      <c r="CB916" s="15" t="s">
        <v>172</v>
      </c>
      <c r="CC916" s="17" t="s">
        <v>138</v>
      </c>
      <c r="CD916" s="15" t="s">
        <v>138</v>
      </c>
      <c r="CE916" s="15" t="s">
        <v>205</v>
      </c>
      <c r="CF916" s="15" t="s">
        <v>206</v>
      </c>
      <c r="CG916" s="15" t="s">
        <v>138</v>
      </c>
      <c r="CH916" s="15" t="s">
        <v>174</v>
      </c>
      <c r="CI916" s="15" t="s">
        <v>138</v>
      </c>
      <c r="CJ916" s="15" t="s">
        <v>138</v>
      </c>
      <c r="CK916" s="15" t="s">
        <v>138</v>
      </c>
      <c r="CL916" s="15" t="s">
        <v>175</v>
      </c>
      <c r="CM916" s="22" t="s">
        <v>138</v>
      </c>
      <c r="CN916" s="17" t="s">
        <v>138</v>
      </c>
      <c r="CO916" s="23">
        <v>0</v>
      </c>
      <c r="CP916" s="24">
        <v>26</v>
      </c>
      <c r="CQ916" s="23">
        <v>0</v>
      </c>
      <c r="CR916" s="23">
        <v>0</v>
      </c>
      <c r="CS916" s="23">
        <v>0</v>
      </c>
      <c r="CT916" s="24">
        <v>23</v>
      </c>
      <c r="CU916" s="23">
        <v>0</v>
      </c>
      <c r="CV916" s="24">
        <v>22</v>
      </c>
      <c r="CW916" s="23">
        <v>0</v>
      </c>
      <c r="CX916" s="24">
        <v>13</v>
      </c>
      <c r="CY916" s="23">
        <v>0</v>
      </c>
      <c r="CZ916" s="24">
        <v>25</v>
      </c>
      <c r="DA916" s="23">
        <v>0</v>
      </c>
      <c r="DB916" s="24">
        <v>22</v>
      </c>
      <c r="DC916" s="25">
        <v>0.45</v>
      </c>
      <c r="DD916" s="24">
        <v>31</v>
      </c>
      <c r="DE916" s="25">
        <v>-0.02</v>
      </c>
      <c r="DF916" s="23">
        <v>-4.62</v>
      </c>
      <c r="DG916" s="25">
        <v>0.9</v>
      </c>
      <c r="DH916" s="24">
        <v>48</v>
      </c>
      <c r="DI916" s="25">
        <v>0.01</v>
      </c>
      <c r="DJ916" s="24">
        <v>1</v>
      </c>
      <c r="DK916" s="25">
        <v>0.69</v>
      </c>
      <c r="DL916" s="24">
        <v>42</v>
      </c>
      <c r="DM916" s="25">
        <v>1.1000000000000001</v>
      </c>
      <c r="DN916" s="24">
        <v>52</v>
      </c>
      <c r="DO916" s="25">
        <v>0.01</v>
      </c>
      <c r="DP916" s="24">
        <v>1</v>
      </c>
      <c r="DQ916" s="24">
        <v>243</v>
      </c>
      <c r="DR916" s="26">
        <v>-21</v>
      </c>
      <c r="DS916" s="23">
        <v>-7.95</v>
      </c>
      <c r="DT916" s="24">
        <v>32</v>
      </c>
      <c r="DU916" s="26">
        <v>0</v>
      </c>
      <c r="DV916" s="23">
        <v>0</v>
      </c>
      <c r="DW916" s="24">
        <v>5</v>
      </c>
      <c r="DX916" s="27">
        <v>0</v>
      </c>
      <c r="DY916" s="23">
        <v>0</v>
      </c>
      <c r="DZ916" s="15" t="s">
        <v>178</v>
      </c>
      <c r="EA916" s="22">
        <v>43622</v>
      </c>
      <c r="EB916" s="17" t="s">
        <v>138</v>
      </c>
      <c r="EC916" s="22" t="s">
        <v>138</v>
      </c>
      <c r="ED916" s="15" t="s">
        <v>138</v>
      </c>
      <c r="EE916" s="14" t="str">
        <f>HYPERLINK("https://my.pitchbook.com?c=54032-14", "View company online")</f>
        <v>View company online</v>
      </c>
    </row>
    <row r="917" spans="1:135">
      <c r="A917" s="28" t="s">
        <v>18059</v>
      </c>
      <c r="B917" s="28" t="s">
        <v>18060</v>
      </c>
      <c r="C917" s="28" t="s">
        <v>138</v>
      </c>
      <c r="D917" s="28" t="s">
        <v>138</v>
      </c>
      <c r="E917" s="28" t="s">
        <v>18061</v>
      </c>
      <c r="F917" s="28" t="s">
        <v>18059</v>
      </c>
      <c r="G917" s="28" t="s">
        <v>18062</v>
      </c>
      <c r="H917" s="28" t="s">
        <v>141</v>
      </c>
      <c r="I917" s="28" t="s">
        <v>212</v>
      </c>
      <c r="J917" s="28" t="s">
        <v>213</v>
      </c>
      <c r="K917" s="28" t="s">
        <v>1064</v>
      </c>
      <c r="L917" s="28" t="s">
        <v>3701</v>
      </c>
      <c r="M917" s="28" t="s">
        <v>18063</v>
      </c>
      <c r="N917" s="28" t="s">
        <v>147</v>
      </c>
      <c r="O917" s="29" t="s">
        <v>138</v>
      </c>
      <c r="P917" s="28" t="s">
        <v>148</v>
      </c>
      <c r="Q917" s="28" t="s">
        <v>149</v>
      </c>
      <c r="R917" s="28" t="s">
        <v>174</v>
      </c>
      <c r="S917" s="28" t="s">
        <v>18064</v>
      </c>
      <c r="T917" s="30" t="s">
        <v>138</v>
      </c>
      <c r="U917" s="28" t="s">
        <v>138</v>
      </c>
      <c r="V917" s="28" t="s">
        <v>138</v>
      </c>
      <c r="W917" s="28" t="s">
        <v>138</v>
      </c>
      <c r="X917" s="31">
        <v>2014</v>
      </c>
      <c r="Y917" s="28" t="s">
        <v>138</v>
      </c>
      <c r="Z917" s="28" t="s">
        <v>138</v>
      </c>
      <c r="AA917" s="28" t="s">
        <v>138</v>
      </c>
      <c r="AB917" s="32">
        <v>15.17</v>
      </c>
      <c r="AC917" s="32">
        <v>7.17</v>
      </c>
      <c r="AD917" s="32">
        <v>2.4700000000000002</v>
      </c>
      <c r="AE917" s="32" t="s">
        <v>138</v>
      </c>
      <c r="AF917" s="32">
        <v>3.11</v>
      </c>
      <c r="AG917" s="28" t="s">
        <v>419</v>
      </c>
      <c r="AH917" s="32" t="s">
        <v>138</v>
      </c>
      <c r="AI917" s="32" t="s">
        <v>138</v>
      </c>
      <c r="AJ917" s="32" t="s">
        <v>138</v>
      </c>
      <c r="AK917" s="28" t="s">
        <v>18065</v>
      </c>
      <c r="AL917" s="28" t="s">
        <v>18066</v>
      </c>
      <c r="AM917" s="28" t="s">
        <v>938</v>
      </c>
      <c r="AN917" s="28" t="s">
        <v>18067</v>
      </c>
      <c r="AO917" s="28" t="s">
        <v>18068</v>
      </c>
      <c r="AP917" s="28" t="s">
        <v>820</v>
      </c>
      <c r="AQ917" s="28" t="s">
        <v>18069</v>
      </c>
      <c r="AR917" s="28" t="s">
        <v>138</v>
      </c>
      <c r="AS917" s="28" t="s">
        <v>823</v>
      </c>
      <c r="AT917" s="28" t="s">
        <v>824</v>
      </c>
      <c r="AU917" s="28" t="s">
        <v>18070</v>
      </c>
      <c r="AV917" s="28" t="s">
        <v>526</v>
      </c>
      <c r="AW917" s="28" t="s">
        <v>18068</v>
      </c>
      <c r="AX917" s="28" t="s">
        <v>138</v>
      </c>
      <c r="AY917" s="28" t="s">
        <v>18071</v>
      </c>
      <c r="AZ917" s="28" t="s">
        <v>530</v>
      </c>
      <c r="BA917" s="28" t="s">
        <v>531</v>
      </c>
      <c r="BB917" s="28" t="s">
        <v>18072</v>
      </c>
      <c r="BC917" s="28" t="s">
        <v>6083</v>
      </c>
      <c r="BD917" s="33">
        <v>1</v>
      </c>
      <c r="BE917" s="28" t="s">
        <v>138</v>
      </c>
      <c r="BF917" s="28" t="s">
        <v>138</v>
      </c>
      <c r="BG917" s="28" t="s">
        <v>138</v>
      </c>
      <c r="BH917" s="28" t="s">
        <v>138</v>
      </c>
      <c r="BI917" s="28" t="s">
        <v>138</v>
      </c>
      <c r="BJ917" s="28" t="s">
        <v>138</v>
      </c>
      <c r="BK917" s="28" t="s">
        <v>138</v>
      </c>
      <c r="BL917" s="28" t="s">
        <v>18073</v>
      </c>
      <c r="BM917" s="34">
        <v>42902</v>
      </c>
      <c r="BN917" s="29" t="s">
        <v>138</v>
      </c>
      <c r="BO917" s="28" t="s">
        <v>138</v>
      </c>
      <c r="BP917" s="29" t="s">
        <v>138</v>
      </c>
      <c r="BQ917" s="28" t="s">
        <v>138</v>
      </c>
      <c r="BR917" s="28" t="s">
        <v>349</v>
      </c>
      <c r="BS917" s="28" t="s">
        <v>138</v>
      </c>
      <c r="BT917" s="28" t="s">
        <v>138</v>
      </c>
      <c r="BU917" s="28" t="s">
        <v>174</v>
      </c>
      <c r="BV917" s="28" t="s">
        <v>138</v>
      </c>
      <c r="BW917" s="28" t="s">
        <v>138</v>
      </c>
      <c r="BX917" s="28" t="s">
        <v>138</v>
      </c>
      <c r="BY917" s="28" t="s">
        <v>175</v>
      </c>
      <c r="BZ917" s="34">
        <v>42902</v>
      </c>
      <c r="CA917" s="29" t="s">
        <v>138</v>
      </c>
      <c r="CB917" s="28" t="s">
        <v>138</v>
      </c>
      <c r="CC917" s="29" t="s">
        <v>138</v>
      </c>
      <c r="CD917" s="28" t="s">
        <v>138</v>
      </c>
      <c r="CE917" s="28" t="s">
        <v>349</v>
      </c>
      <c r="CF917" s="28" t="s">
        <v>138</v>
      </c>
      <c r="CG917" s="28" t="s">
        <v>138</v>
      </c>
      <c r="CH917" s="28" t="s">
        <v>174</v>
      </c>
      <c r="CI917" s="28" t="s">
        <v>138</v>
      </c>
      <c r="CJ917" s="28" t="s">
        <v>138</v>
      </c>
      <c r="CK917" s="28" t="s">
        <v>138</v>
      </c>
      <c r="CL917" s="28" t="s">
        <v>175</v>
      </c>
      <c r="CM917" s="34" t="s">
        <v>138</v>
      </c>
      <c r="CN917" s="29" t="s">
        <v>138</v>
      </c>
      <c r="CO917" s="35">
        <v>0</v>
      </c>
      <c r="CP917" s="36">
        <v>26</v>
      </c>
      <c r="CQ917" s="35">
        <v>-0.17</v>
      </c>
      <c r="CR917" s="35">
        <v>-100</v>
      </c>
      <c r="CS917" s="35">
        <v>0</v>
      </c>
      <c r="CT917" s="36">
        <v>23</v>
      </c>
      <c r="CU917" s="35" t="s">
        <v>138</v>
      </c>
      <c r="CV917" s="36" t="s">
        <v>138</v>
      </c>
      <c r="CW917" s="35" t="s">
        <v>138</v>
      </c>
      <c r="CX917" s="36" t="s">
        <v>138</v>
      </c>
      <c r="CY917" s="35">
        <v>0</v>
      </c>
      <c r="CZ917" s="36">
        <v>25</v>
      </c>
      <c r="DA917" s="35" t="s">
        <v>138</v>
      </c>
      <c r="DB917" s="36" t="s">
        <v>138</v>
      </c>
      <c r="DC917" s="37">
        <v>1.28</v>
      </c>
      <c r="DD917" s="36">
        <v>57</v>
      </c>
      <c r="DE917" s="37">
        <v>0.49</v>
      </c>
      <c r="DF917" s="35">
        <v>62.88</v>
      </c>
      <c r="DG917" s="37">
        <v>1.28</v>
      </c>
      <c r="DH917" s="36">
        <v>57</v>
      </c>
      <c r="DI917" s="37" t="s">
        <v>138</v>
      </c>
      <c r="DJ917" s="36" t="s">
        <v>138</v>
      </c>
      <c r="DK917" s="37" t="s">
        <v>138</v>
      </c>
      <c r="DL917" s="36" t="s">
        <v>138</v>
      </c>
      <c r="DM917" s="37">
        <v>1.28</v>
      </c>
      <c r="DN917" s="36">
        <v>56</v>
      </c>
      <c r="DO917" s="37" t="s">
        <v>138</v>
      </c>
      <c r="DP917" s="36" t="s">
        <v>138</v>
      </c>
      <c r="DQ917" s="36" t="s">
        <v>138</v>
      </c>
      <c r="DR917" s="38" t="s">
        <v>138</v>
      </c>
      <c r="DS917" s="35" t="s">
        <v>138</v>
      </c>
      <c r="DT917" s="36">
        <v>37</v>
      </c>
      <c r="DU917" s="38">
        <v>1</v>
      </c>
      <c r="DV917" s="35">
        <v>2.78</v>
      </c>
      <c r="DW917" s="36">
        <v>122</v>
      </c>
      <c r="DX917" s="39">
        <v>1</v>
      </c>
      <c r="DY917" s="35">
        <v>0.83</v>
      </c>
      <c r="DZ917" s="28" t="s">
        <v>178</v>
      </c>
      <c r="EA917" s="34">
        <v>43614</v>
      </c>
      <c r="EB917" s="29" t="s">
        <v>138</v>
      </c>
      <c r="EC917" s="34" t="s">
        <v>138</v>
      </c>
      <c r="ED917" s="28" t="s">
        <v>138</v>
      </c>
      <c r="EE917" s="40" t="str">
        <f>HYPERLINK("https://my.pitchbook.com?c=146716-39", "View company online")</f>
        <v>View company online</v>
      </c>
    </row>
    <row r="918" spans="1:135">
      <c r="A918" s="15" t="s">
        <v>18074</v>
      </c>
      <c r="B918" s="15" t="s">
        <v>18075</v>
      </c>
      <c r="C918" s="15" t="s">
        <v>18076</v>
      </c>
      <c r="D918" s="15" t="s">
        <v>138</v>
      </c>
      <c r="E918" s="15" t="s">
        <v>18077</v>
      </c>
      <c r="F918" s="15" t="s">
        <v>18074</v>
      </c>
      <c r="G918" s="15" t="s">
        <v>18078</v>
      </c>
      <c r="H918" s="15" t="s">
        <v>322</v>
      </c>
      <c r="I918" s="15" t="s">
        <v>323</v>
      </c>
      <c r="J918" s="15" t="s">
        <v>954</v>
      </c>
      <c r="K918" s="15" t="s">
        <v>18079</v>
      </c>
      <c r="L918" s="15" t="s">
        <v>215</v>
      </c>
      <c r="M918" s="15" t="s">
        <v>18080</v>
      </c>
      <c r="N918" s="15" t="s">
        <v>147</v>
      </c>
      <c r="O918" s="17">
        <v>179.37</v>
      </c>
      <c r="P918" s="15" t="s">
        <v>148</v>
      </c>
      <c r="Q918" s="15" t="s">
        <v>149</v>
      </c>
      <c r="R918" s="15" t="s">
        <v>1652</v>
      </c>
      <c r="S918" s="15" t="s">
        <v>18081</v>
      </c>
      <c r="T918" s="18">
        <v>276</v>
      </c>
      <c r="U918" s="15" t="s">
        <v>18082</v>
      </c>
      <c r="V918" s="15" t="s">
        <v>138</v>
      </c>
      <c r="W918" s="15" t="s">
        <v>138</v>
      </c>
      <c r="X918" s="19">
        <v>1999</v>
      </c>
      <c r="Y918" s="15" t="s">
        <v>138</v>
      </c>
      <c r="Z918" s="15" t="s">
        <v>138</v>
      </c>
      <c r="AA918" s="15" t="s">
        <v>138</v>
      </c>
      <c r="AB918" s="20">
        <v>85.1</v>
      </c>
      <c r="AC918" s="20" t="s">
        <v>138</v>
      </c>
      <c r="AD918" s="20">
        <v>-11.8</v>
      </c>
      <c r="AE918" s="20" t="s">
        <v>138</v>
      </c>
      <c r="AF918" s="20" t="s">
        <v>138</v>
      </c>
      <c r="AG918" s="15" t="s">
        <v>2900</v>
      </c>
      <c r="AH918" s="20" t="s">
        <v>138</v>
      </c>
      <c r="AI918" s="20" t="s">
        <v>138</v>
      </c>
      <c r="AJ918" s="20" t="s">
        <v>138</v>
      </c>
      <c r="AK918" s="15" t="s">
        <v>18083</v>
      </c>
      <c r="AL918" s="15" t="s">
        <v>18084</v>
      </c>
      <c r="AM918" s="15" t="s">
        <v>12471</v>
      </c>
      <c r="AN918" s="15" t="s">
        <v>18085</v>
      </c>
      <c r="AO918" s="15" t="s">
        <v>18086</v>
      </c>
      <c r="AP918" s="15" t="s">
        <v>12391</v>
      </c>
      <c r="AQ918" s="15" t="s">
        <v>18087</v>
      </c>
      <c r="AR918" s="15" t="s">
        <v>13267</v>
      </c>
      <c r="AS918" s="15" t="s">
        <v>12394</v>
      </c>
      <c r="AT918" s="15" t="s">
        <v>200</v>
      </c>
      <c r="AU918" s="15" t="s">
        <v>12395</v>
      </c>
      <c r="AV918" s="15" t="s">
        <v>162</v>
      </c>
      <c r="AW918" s="15" t="s">
        <v>18086</v>
      </c>
      <c r="AX918" s="15" t="s">
        <v>18088</v>
      </c>
      <c r="AY918" s="15" t="s">
        <v>18089</v>
      </c>
      <c r="AZ918" s="15" t="s">
        <v>164</v>
      </c>
      <c r="BA918" s="15" t="s">
        <v>165</v>
      </c>
      <c r="BB918" s="15" t="s">
        <v>18090</v>
      </c>
      <c r="BC918" s="15" t="s">
        <v>18091</v>
      </c>
      <c r="BD918" s="21">
        <v>13</v>
      </c>
      <c r="BE918" s="15" t="s">
        <v>138</v>
      </c>
      <c r="BF918" s="15" t="s">
        <v>18092</v>
      </c>
      <c r="BG918" s="15" t="s">
        <v>138</v>
      </c>
      <c r="BH918" s="15" t="s">
        <v>18093</v>
      </c>
      <c r="BI918" s="15" t="s">
        <v>18094</v>
      </c>
      <c r="BJ918" s="15" t="s">
        <v>138</v>
      </c>
      <c r="BK918" s="15" t="s">
        <v>18095</v>
      </c>
      <c r="BL918" s="15" t="s">
        <v>18096</v>
      </c>
      <c r="BM918" s="22" t="s">
        <v>138</v>
      </c>
      <c r="BN918" s="17" t="s">
        <v>138</v>
      </c>
      <c r="BO918" s="15" t="s">
        <v>138</v>
      </c>
      <c r="BP918" s="17" t="s">
        <v>138</v>
      </c>
      <c r="BQ918" s="15" t="s">
        <v>138</v>
      </c>
      <c r="BR918" s="15" t="s">
        <v>316</v>
      </c>
      <c r="BS918" s="15" t="s">
        <v>138</v>
      </c>
      <c r="BT918" s="15" t="s">
        <v>138</v>
      </c>
      <c r="BU918" s="15" t="s">
        <v>177</v>
      </c>
      <c r="BV918" s="15" t="s">
        <v>138</v>
      </c>
      <c r="BW918" s="15" t="s">
        <v>138</v>
      </c>
      <c r="BX918" s="15" t="s">
        <v>138</v>
      </c>
      <c r="BY918" s="15" t="s">
        <v>175</v>
      </c>
      <c r="BZ918" s="22">
        <v>43466</v>
      </c>
      <c r="CA918" s="17">
        <v>10</v>
      </c>
      <c r="CB918" s="15" t="s">
        <v>172</v>
      </c>
      <c r="CC918" s="17" t="s">
        <v>138</v>
      </c>
      <c r="CD918" s="15" t="s">
        <v>138</v>
      </c>
      <c r="CE918" s="15" t="s">
        <v>173</v>
      </c>
      <c r="CF918" s="15" t="s">
        <v>138</v>
      </c>
      <c r="CG918" s="15" t="s">
        <v>138</v>
      </c>
      <c r="CH918" s="15" t="s">
        <v>174</v>
      </c>
      <c r="CI918" s="15" t="s">
        <v>264</v>
      </c>
      <c r="CJ918" s="15" t="s">
        <v>138</v>
      </c>
      <c r="CK918" s="15" t="s">
        <v>138</v>
      </c>
      <c r="CL918" s="15" t="s">
        <v>175</v>
      </c>
      <c r="CM918" s="22">
        <v>39560</v>
      </c>
      <c r="CN918" s="17">
        <v>5</v>
      </c>
      <c r="CO918" s="23">
        <v>1.03</v>
      </c>
      <c r="CP918" s="24">
        <v>97</v>
      </c>
      <c r="CQ918" s="23">
        <v>0</v>
      </c>
      <c r="CR918" s="23">
        <v>0.45</v>
      </c>
      <c r="CS918" s="23">
        <v>2.0299999999999998</v>
      </c>
      <c r="CT918" s="24">
        <v>98</v>
      </c>
      <c r="CU918" s="23">
        <v>0.03</v>
      </c>
      <c r="CV918" s="24">
        <v>54</v>
      </c>
      <c r="CW918" s="23">
        <v>8.08</v>
      </c>
      <c r="CX918" s="24">
        <v>99</v>
      </c>
      <c r="CY918" s="23">
        <v>-4.0199999999999996</v>
      </c>
      <c r="CZ918" s="24">
        <v>5</v>
      </c>
      <c r="DA918" s="23">
        <v>0.03</v>
      </c>
      <c r="DB918" s="24">
        <v>60</v>
      </c>
      <c r="DC918" s="25">
        <v>12.96</v>
      </c>
      <c r="DD918" s="24">
        <v>92</v>
      </c>
      <c r="DE918" s="25">
        <v>-0.13</v>
      </c>
      <c r="DF918" s="23">
        <v>-1.02</v>
      </c>
      <c r="DG918" s="25">
        <v>21.42</v>
      </c>
      <c r="DH918" s="24">
        <v>95</v>
      </c>
      <c r="DI918" s="25">
        <v>4.49</v>
      </c>
      <c r="DJ918" s="24">
        <v>76</v>
      </c>
      <c r="DK918" s="25">
        <v>5.49</v>
      </c>
      <c r="DL918" s="24">
        <v>80</v>
      </c>
      <c r="DM918" s="25">
        <v>37.340000000000003</v>
      </c>
      <c r="DN918" s="24">
        <v>97</v>
      </c>
      <c r="DO918" s="25">
        <v>5.98</v>
      </c>
      <c r="DP918" s="24">
        <v>82</v>
      </c>
      <c r="DQ918" s="24">
        <v>1800</v>
      </c>
      <c r="DR918" s="26">
        <v>251</v>
      </c>
      <c r="DS918" s="23">
        <v>16.2</v>
      </c>
      <c r="DT918" s="24">
        <v>1081</v>
      </c>
      <c r="DU918" s="26">
        <v>2</v>
      </c>
      <c r="DV918" s="23">
        <v>0.19</v>
      </c>
      <c r="DW918" s="24">
        <v>2142</v>
      </c>
      <c r="DX918" s="27">
        <v>2</v>
      </c>
      <c r="DY918" s="23">
        <v>0.09</v>
      </c>
      <c r="DZ918" s="15" t="s">
        <v>178</v>
      </c>
      <c r="EA918" s="22">
        <v>43508</v>
      </c>
      <c r="EB918" s="17">
        <v>428.06</v>
      </c>
      <c r="EC918" s="22">
        <v>39027</v>
      </c>
      <c r="ED918" s="15" t="s">
        <v>173</v>
      </c>
      <c r="EE918" s="14" t="str">
        <f>HYPERLINK("https://my.pitchbook.com?c=52717-69", "View company online")</f>
        <v>View company online</v>
      </c>
    </row>
    <row r="919" spans="1:135">
      <c r="A919" s="28" t="s">
        <v>18097</v>
      </c>
      <c r="B919" s="28" t="s">
        <v>18098</v>
      </c>
      <c r="C919" s="28" t="s">
        <v>138</v>
      </c>
      <c r="D919" s="28" t="s">
        <v>138</v>
      </c>
      <c r="E919" s="28" t="s">
        <v>18099</v>
      </c>
      <c r="F919" s="28" t="s">
        <v>18097</v>
      </c>
      <c r="G919" s="28" t="s">
        <v>18100</v>
      </c>
      <c r="H919" s="28" t="s">
        <v>322</v>
      </c>
      <c r="I919" s="28" t="s">
        <v>323</v>
      </c>
      <c r="J919" s="28" t="s">
        <v>1184</v>
      </c>
      <c r="K919" s="28" t="s">
        <v>18101</v>
      </c>
      <c r="L919" s="28" t="s">
        <v>18102</v>
      </c>
      <c r="M919" s="28" t="s">
        <v>18103</v>
      </c>
      <c r="N919" s="28" t="s">
        <v>147</v>
      </c>
      <c r="O919" s="29">
        <v>6</v>
      </c>
      <c r="P919" s="28" t="s">
        <v>148</v>
      </c>
      <c r="Q919" s="28" t="s">
        <v>149</v>
      </c>
      <c r="R919" s="28" t="s">
        <v>174</v>
      </c>
      <c r="S919" s="28" t="s">
        <v>18104</v>
      </c>
      <c r="T919" s="30">
        <v>41</v>
      </c>
      <c r="U919" s="28" t="s">
        <v>18105</v>
      </c>
      <c r="V919" s="28" t="s">
        <v>138</v>
      </c>
      <c r="W919" s="28" t="s">
        <v>138</v>
      </c>
      <c r="X919" s="31">
        <v>2009</v>
      </c>
      <c r="Y919" s="28" t="s">
        <v>138</v>
      </c>
      <c r="Z919" s="28" t="s">
        <v>138</v>
      </c>
      <c r="AA919" s="28" t="s">
        <v>138</v>
      </c>
      <c r="AB919" s="32" t="s">
        <v>138</v>
      </c>
      <c r="AC919" s="32" t="s">
        <v>138</v>
      </c>
      <c r="AD919" s="32" t="s">
        <v>138</v>
      </c>
      <c r="AE919" s="32" t="s">
        <v>138</v>
      </c>
      <c r="AF919" s="32" t="s">
        <v>138</v>
      </c>
      <c r="AG919" s="28" t="s">
        <v>138</v>
      </c>
      <c r="AH919" s="32" t="s">
        <v>138</v>
      </c>
      <c r="AI919" s="32" t="s">
        <v>138</v>
      </c>
      <c r="AJ919" s="32" t="s">
        <v>138</v>
      </c>
      <c r="AK919" s="28" t="s">
        <v>18106</v>
      </c>
      <c r="AL919" s="28" t="s">
        <v>18107</v>
      </c>
      <c r="AM919" s="28" t="s">
        <v>18108</v>
      </c>
      <c r="AN919" s="28" t="s">
        <v>18109</v>
      </c>
      <c r="AO919" s="28" t="s">
        <v>138</v>
      </c>
      <c r="AP919" s="28" t="s">
        <v>423</v>
      </c>
      <c r="AQ919" s="28" t="s">
        <v>18110</v>
      </c>
      <c r="AR919" s="28" t="s">
        <v>5012</v>
      </c>
      <c r="AS919" s="28" t="s">
        <v>426</v>
      </c>
      <c r="AT919" s="28" t="s">
        <v>426</v>
      </c>
      <c r="AU919" s="28" t="s">
        <v>18111</v>
      </c>
      <c r="AV919" s="28" t="s">
        <v>162</v>
      </c>
      <c r="AW919" s="28" t="s">
        <v>138</v>
      </c>
      <c r="AX919" s="28" t="s">
        <v>138</v>
      </c>
      <c r="AY919" s="28" t="s">
        <v>18112</v>
      </c>
      <c r="AZ919" s="28" t="s">
        <v>164</v>
      </c>
      <c r="BA919" s="28" t="s">
        <v>165</v>
      </c>
      <c r="BB919" s="28" t="s">
        <v>18113</v>
      </c>
      <c r="BC919" s="28" t="s">
        <v>18114</v>
      </c>
      <c r="BD919" s="33">
        <v>4</v>
      </c>
      <c r="BE919" s="28" t="s">
        <v>138</v>
      </c>
      <c r="BF919" s="28" t="s">
        <v>138</v>
      </c>
      <c r="BG919" s="28" t="s">
        <v>138</v>
      </c>
      <c r="BH919" s="28" t="s">
        <v>18115</v>
      </c>
      <c r="BI919" s="28" t="s">
        <v>138</v>
      </c>
      <c r="BJ919" s="28" t="s">
        <v>138</v>
      </c>
      <c r="BK919" s="28" t="s">
        <v>4576</v>
      </c>
      <c r="BL919" s="28" t="s">
        <v>138</v>
      </c>
      <c r="BM919" s="34">
        <v>40396</v>
      </c>
      <c r="BN919" s="29">
        <v>1</v>
      </c>
      <c r="BO919" s="28" t="s">
        <v>172</v>
      </c>
      <c r="BP919" s="29">
        <v>3.03</v>
      </c>
      <c r="BQ919" s="28" t="s">
        <v>172</v>
      </c>
      <c r="BR919" s="28" t="s">
        <v>234</v>
      </c>
      <c r="BS919" s="28" t="s">
        <v>234</v>
      </c>
      <c r="BT919" s="28" t="s">
        <v>138</v>
      </c>
      <c r="BU919" s="28" t="s">
        <v>174</v>
      </c>
      <c r="BV919" s="28" t="s">
        <v>138</v>
      </c>
      <c r="BW919" s="28" t="s">
        <v>138</v>
      </c>
      <c r="BX919" s="28" t="s">
        <v>138</v>
      </c>
      <c r="BY919" s="28" t="s">
        <v>175</v>
      </c>
      <c r="BZ919" s="34">
        <v>40599</v>
      </c>
      <c r="CA919" s="29">
        <v>5</v>
      </c>
      <c r="CB919" s="28" t="s">
        <v>172</v>
      </c>
      <c r="CC919" s="29">
        <v>30.25</v>
      </c>
      <c r="CD919" s="28" t="s">
        <v>172</v>
      </c>
      <c r="CE919" s="28" t="s">
        <v>205</v>
      </c>
      <c r="CF919" s="28" t="s">
        <v>206</v>
      </c>
      <c r="CG919" s="28" t="s">
        <v>138</v>
      </c>
      <c r="CH919" s="28" t="s">
        <v>174</v>
      </c>
      <c r="CI919" s="28" t="s">
        <v>138</v>
      </c>
      <c r="CJ919" s="28" t="s">
        <v>138</v>
      </c>
      <c r="CK919" s="28" t="s">
        <v>138</v>
      </c>
      <c r="CL919" s="28" t="s">
        <v>175</v>
      </c>
      <c r="CM919" s="34" t="s">
        <v>138</v>
      </c>
      <c r="CN919" s="29" t="s">
        <v>138</v>
      </c>
      <c r="CO919" s="35">
        <v>0</v>
      </c>
      <c r="CP919" s="36">
        <v>26</v>
      </c>
      <c r="CQ919" s="35">
        <v>0</v>
      </c>
      <c r="CR919" s="35">
        <v>0</v>
      </c>
      <c r="CS919" s="35" t="s">
        <v>138</v>
      </c>
      <c r="CT919" s="36" t="s">
        <v>138</v>
      </c>
      <c r="CU919" s="35">
        <v>0</v>
      </c>
      <c r="CV919" s="36">
        <v>22</v>
      </c>
      <c r="CW919" s="35" t="s">
        <v>138</v>
      </c>
      <c r="CX919" s="36" t="s">
        <v>138</v>
      </c>
      <c r="CY919" s="35" t="s">
        <v>138</v>
      </c>
      <c r="CZ919" s="36" t="s">
        <v>138</v>
      </c>
      <c r="DA919" s="35">
        <v>0</v>
      </c>
      <c r="DB919" s="36">
        <v>22</v>
      </c>
      <c r="DC919" s="37">
        <v>0.17</v>
      </c>
      <c r="DD919" s="36">
        <v>13</v>
      </c>
      <c r="DE919" s="37">
        <v>0</v>
      </c>
      <c r="DF919" s="35">
        <v>0.32</v>
      </c>
      <c r="DG919" s="37" t="s">
        <v>138</v>
      </c>
      <c r="DH919" s="36" t="s">
        <v>138</v>
      </c>
      <c r="DI919" s="37">
        <v>0.17</v>
      </c>
      <c r="DJ919" s="36">
        <v>20</v>
      </c>
      <c r="DK919" s="37" t="s">
        <v>138</v>
      </c>
      <c r="DL919" s="36" t="s">
        <v>138</v>
      </c>
      <c r="DM919" s="37" t="s">
        <v>138</v>
      </c>
      <c r="DN919" s="36" t="s">
        <v>138</v>
      </c>
      <c r="DO919" s="37">
        <v>0.22</v>
      </c>
      <c r="DP919" s="36">
        <v>26</v>
      </c>
      <c r="DQ919" s="36" t="s">
        <v>138</v>
      </c>
      <c r="DR919" s="38" t="s">
        <v>138</v>
      </c>
      <c r="DS919" s="35" t="s">
        <v>138</v>
      </c>
      <c r="DT919" s="36" t="s">
        <v>138</v>
      </c>
      <c r="DU919" s="38" t="s">
        <v>138</v>
      </c>
      <c r="DV919" s="35" t="s">
        <v>138</v>
      </c>
      <c r="DW919" s="36">
        <v>80</v>
      </c>
      <c r="DX919" s="39">
        <v>0</v>
      </c>
      <c r="DY919" s="35">
        <v>0</v>
      </c>
      <c r="DZ919" s="28" t="s">
        <v>178</v>
      </c>
      <c r="EA919" s="34">
        <v>43427</v>
      </c>
      <c r="EB919" s="29">
        <v>30.25</v>
      </c>
      <c r="EC919" s="34">
        <v>40599</v>
      </c>
      <c r="ED919" s="28" t="s">
        <v>205</v>
      </c>
      <c r="EE919" s="40" t="str">
        <f>HYPERLINK("https://my.pitchbook.com?c=44459-56", "View company online")</f>
        <v>View company online</v>
      </c>
    </row>
    <row r="920" spans="1:135">
      <c r="A920" s="15" t="s">
        <v>18116</v>
      </c>
      <c r="B920" s="15" t="s">
        <v>18117</v>
      </c>
      <c r="C920" s="15" t="s">
        <v>138</v>
      </c>
      <c r="D920" s="15" t="s">
        <v>138</v>
      </c>
      <c r="E920" s="15" t="s">
        <v>18118</v>
      </c>
      <c r="F920" s="15" t="s">
        <v>18116</v>
      </c>
      <c r="G920" s="15" t="s">
        <v>18119</v>
      </c>
      <c r="H920" s="15" t="s">
        <v>322</v>
      </c>
      <c r="I920" s="15" t="s">
        <v>323</v>
      </c>
      <c r="J920" s="15" t="s">
        <v>1132</v>
      </c>
      <c r="K920" s="15" t="s">
        <v>18120</v>
      </c>
      <c r="L920" s="15" t="s">
        <v>18121</v>
      </c>
      <c r="M920" s="15" t="s">
        <v>18122</v>
      </c>
      <c r="N920" s="15" t="s">
        <v>147</v>
      </c>
      <c r="O920" s="17">
        <v>121.99</v>
      </c>
      <c r="P920" s="15" t="s">
        <v>1473</v>
      </c>
      <c r="Q920" s="15" t="s">
        <v>149</v>
      </c>
      <c r="R920" s="15" t="s">
        <v>328</v>
      </c>
      <c r="S920" s="15" t="s">
        <v>18123</v>
      </c>
      <c r="T920" s="18">
        <v>330</v>
      </c>
      <c r="U920" s="15" t="s">
        <v>18124</v>
      </c>
      <c r="V920" s="15" t="s">
        <v>138</v>
      </c>
      <c r="W920" s="15" t="s">
        <v>138</v>
      </c>
      <c r="X920" s="19">
        <v>2009</v>
      </c>
      <c r="Y920" s="15" t="s">
        <v>138</v>
      </c>
      <c r="Z920" s="15" t="s">
        <v>138</v>
      </c>
      <c r="AA920" s="15" t="s">
        <v>138</v>
      </c>
      <c r="AB920" s="20">
        <v>26.37</v>
      </c>
      <c r="AC920" s="20" t="s">
        <v>138</v>
      </c>
      <c r="AD920" s="20" t="s">
        <v>138</v>
      </c>
      <c r="AE920" s="20" t="s">
        <v>138</v>
      </c>
      <c r="AF920" s="20" t="s">
        <v>138</v>
      </c>
      <c r="AG920" s="15" t="s">
        <v>9066</v>
      </c>
      <c r="AH920" s="20" t="s">
        <v>138</v>
      </c>
      <c r="AI920" s="20" t="s">
        <v>138</v>
      </c>
      <c r="AJ920" s="20" t="s">
        <v>138</v>
      </c>
      <c r="AK920" s="15" t="s">
        <v>18125</v>
      </c>
      <c r="AL920" s="15" t="s">
        <v>18126</v>
      </c>
      <c r="AM920" s="15" t="s">
        <v>2413</v>
      </c>
      <c r="AN920" s="15" t="s">
        <v>18127</v>
      </c>
      <c r="AO920" s="15" t="s">
        <v>18128</v>
      </c>
      <c r="AP920" s="15" t="s">
        <v>18129</v>
      </c>
      <c r="AQ920" s="15" t="s">
        <v>18130</v>
      </c>
      <c r="AR920" s="15" t="s">
        <v>18131</v>
      </c>
      <c r="AS920" s="15" t="s">
        <v>18132</v>
      </c>
      <c r="AT920" s="15" t="s">
        <v>18133</v>
      </c>
      <c r="AU920" s="15" t="s">
        <v>18134</v>
      </c>
      <c r="AV920" s="15" t="s">
        <v>2333</v>
      </c>
      <c r="AW920" s="15" t="s">
        <v>18128</v>
      </c>
      <c r="AX920" s="15" t="s">
        <v>138</v>
      </c>
      <c r="AY920" s="15" t="s">
        <v>18135</v>
      </c>
      <c r="AZ920" s="15" t="s">
        <v>452</v>
      </c>
      <c r="BA920" s="15" t="s">
        <v>2335</v>
      </c>
      <c r="BB920" s="15" t="s">
        <v>18136</v>
      </c>
      <c r="BC920" s="15" t="s">
        <v>18137</v>
      </c>
      <c r="BD920" s="21">
        <v>10</v>
      </c>
      <c r="BE920" s="15" t="s">
        <v>138</v>
      </c>
      <c r="BF920" s="15" t="s">
        <v>138</v>
      </c>
      <c r="BG920" s="15" t="s">
        <v>138</v>
      </c>
      <c r="BH920" s="15" t="s">
        <v>18138</v>
      </c>
      <c r="BI920" s="15" t="s">
        <v>138</v>
      </c>
      <c r="BJ920" s="15" t="s">
        <v>138</v>
      </c>
      <c r="BK920" s="15" t="s">
        <v>138</v>
      </c>
      <c r="BL920" s="15" t="s">
        <v>18139</v>
      </c>
      <c r="BM920" s="22">
        <v>41579</v>
      </c>
      <c r="BN920" s="17">
        <v>5</v>
      </c>
      <c r="BO920" s="15" t="s">
        <v>172</v>
      </c>
      <c r="BP920" s="17" t="s">
        <v>138</v>
      </c>
      <c r="BQ920" s="15" t="s">
        <v>138</v>
      </c>
      <c r="BR920" s="15" t="s">
        <v>205</v>
      </c>
      <c r="BS920" s="15" t="s">
        <v>206</v>
      </c>
      <c r="BT920" s="15" t="s">
        <v>138</v>
      </c>
      <c r="BU920" s="15" t="s">
        <v>174</v>
      </c>
      <c r="BV920" s="15" t="s">
        <v>138</v>
      </c>
      <c r="BW920" s="15" t="s">
        <v>138</v>
      </c>
      <c r="BX920" s="15" t="s">
        <v>138</v>
      </c>
      <c r="BY920" s="15" t="s">
        <v>175</v>
      </c>
      <c r="BZ920" s="22" t="s">
        <v>138</v>
      </c>
      <c r="CA920" s="17">
        <v>125</v>
      </c>
      <c r="CB920" s="15" t="s">
        <v>1178</v>
      </c>
      <c r="CC920" s="17" t="s">
        <v>138</v>
      </c>
      <c r="CD920" s="15" t="s">
        <v>138</v>
      </c>
      <c r="CE920" s="15" t="s">
        <v>1673</v>
      </c>
      <c r="CF920" s="15" t="s">
        <v>138</v>
      </c>
      <c r="CG920" s="15" t="s">
        <v>138</v>
      </c>
      <c r="CH920" s="15" t="s">
        <v>351</v>
      </c>
      <c r="CI920" s="15" t="s">
        <v>138</v>
      </c>
      <c r="CJ920" s="15" t="s">
        <v>138</v>
      </c>
      <c r="CK920" s="15" t="s">
        <v>138</v>
      </c>
      <c r="CL920" s="15" t="s">
        <v>1831</v>
      </c>
      <c r="CM920" s="22">
        <v>42367</v>
      </c>
      <c r="CN920" s="17">
        <v>2</v>
      </c>
      <c r="CO920" s="23">
        <v>-0.23</v>
      </c>
      <c r="CP920" s="24">
        <v>19</v>
      </c>
      <c r="CQ920" s="23">
        <v>-7.0000000000000007E-2</v>
      </c>
      <c r="CR920" s="23">
        <v>-46.67</v>
      </c>
      <c r="CS920" s="23">
        <v>-1.82</v>
      </c>
      <c r="CT920" s="24">
        <v>10</v>
      </c>
      <c r="CU920" s="23">
        <v>0.11</v>
      </c>
      <c r="CV920" s="24">
        <v>70</v>
      </c>
      <c r="CW920" s="23">
        <v>-0.65</v>
      </c>
      <c r="CX920" s="24">
        <v>11</v>
      </c>
      <c r="CY920" s="23">
        <v>-3</v>
      </c>
      <c r="CZ920" s="24">
        <v>7</v>
      </c>
      <c r="DA920" s="23">
        <v>0.11</v>
      </c>
      <c r="DB920" s="24">
        <v>73</v>
      </c>
      <c r="DC920" s="25">
        <v>144.47</v>
      </c>
      <c r="DD920" s="24">
        <v>99</v>
      </c>
      <c r="DE920" s="25">
        <v>0.63</v>
      </c>
      <c r="DF920" s="23">
        <v>0.44</v>
      </c>
      <c r="DG920" s="25">
        <v>37.46</v>
      </c>
      <c r="DH920" s="24">
        <v>97</v>
      </c>
      <c r="DI920" s="25">
        <v>389.27</v>
      </c>
      <c r="DJ920" s="24">
        <v>99</v>
      </c>
      <c r="DK920" s="25">
        <v>9.98</v>
      </c>
      <c r="DL920" s="24">
        <v>87</v>
      </c>
      <c r="DM920" s="25">
        <v>64.930000000000007</v>
      </c>
      <c r="DN920" s="24">
        <v>99</v>
      </c>
      <c r="DO920" s="25">
        <v>389.27</v>
      </c>
      <c r="DP920" s="24">
        <v>100</v>
      </c>
      <c r="DQ920" s="24">
        <v>3441</v>
      </c>
      <c r="DR920" s="26">
        <v>-55</v>
      </c>
      <c r="DS920" s="23">
        <v>-1.57</v>
      </c>
      <c r="DT920" s="24">
        <v>1886</v>
      </c>
      <c r="DU920" s="26">
        <v>-5</v>
      </c>
      <c r="DV920" s="23">
        <v>-0.26</v>
      </c>
      <c r="DW920" s="24">
        <v>139340</v>
      </c>
      <c r="DX920" s="27">
        <v>131</v>
      </c>
      <c r="DY920" s="23">
        <v>0.09</v>
      </c>
      <c r="DZ920" s="15" t="s">
        <v>178</v>
      </c>
      <c r="EA920" s="22">
        <v>43521</v>
      </c>
      <c r="EB920" s="17">
        <v>280.57</v>
      </c>
      <c r="EC920" s="22">
        <v>43116</v>
      </c>
      <c r="ED920" s="15" t="s">
        <v>780</v>
      </c>
      <c r="EE920" s="14" t="str">
        <f>HYPERLINK("https://my.pitchbook.com?c=92161-45", "View company online")</f>
        <v>View company online</v>
      </c>
    </row>
    <row r="921" spans="1:135">
      <c r="A921" s="28" t="s">
        <v>18140</v>
      </c>
      <c r="B921" s="28" t="s">
        <v>18141</v>
      </c>
      <c r="C921" s="28" t="s">
        <v>138</v>
      </c>
      <c r="D921" s="28" t="s">
        <v>138</v>
      </c>
      <c r="E921" s="28" t="s">
        <v>18142</v>
      </c>
      <c r="F921" s="28" t="s">
        <v>18140</v>
      </c>
      <c r="G921" s="28" t="s">
        <v>18143</v>
      </c>
      <c r="H921" s="28" t="s">
        <v>322</v>
      </c>
      <c r="I921" s="28" t="s">
        <v>323</v>
      </c>
      <c r="J921" s="28" t="s">
        <v>413</v>
      </c>
      <c r="K921" s="28" t="s">
        <v>18144</v>
      </c>
      <c r="L921" s="28" t="s">
        <v>18145</v>
      </c>
      <c r="M921" s="28" t="s">
        <v>18146</v>
      </c>
      <c r="N921" s="28" t="s">
        <v>147</v>
      </c>
      <c r="O921" s="29">
        <v>23</v>
      </c>
      <c r="P921" s="28" t="s">
        <v>610</v>
      </c>
      <c r="Q921" s="28" t="s">
        <v>149</v>
      </c>
      <c r="R921" s="28" t="s">
        <v>174</v>
      </c>
      <c r="S921" s="28" t="s">
        <v>18147</v>
      </c>
      <c r="T921" s="30">
        <v>22</v>
      </c>
      <c r="U921" s="28" t="s">
        <v>18148</v>
      </c>
      <c r="V921" s="28" t="s">
        <v>138</v>
      </c>
      <c r="W921" s="28" t="s">
        <v>138</v>
      </c>
      <c r="X921" s="31">
        <v>2011</v>
      </c>
      <c r="Y921" s="28" t="s">
        <v>138</v>
      </c>
      <c r="Z921" s="28" t="s">
        <v>138</v>
      </c>
      <c r="AA921" s="28" t="s">
        <v>138</v>
      </c>
      <c r="AB921" s="32" t="s">
        <v>138</v>
      </c>
      <c r="AC921" s="32" t="s">
        <v>138</v>
      </c>
      <c r="AD921" s="32" t="s">
        <v>138</v>
      </c>
      <c r="AE921" s="32" t="s">
        <v>138</v>
      </c>
      <c r="AF921" s="32" t="s">
        <v>138</v>
      </c>
      <c r="AG921" s="28" t="s">
        <v>138</v>
      </c>
      <c r="AH921" s="32" t="s">
        <v>138</v>
      </c>
      <c r="AI921" s="32" t="s">
        <v>138</v>
      </c>
      <c r="AJ921" s="32" t="s">
        <v>138</v>
      </c>
      <c r="AK921" s="28" t="s">
        <v>18149</v>
      </c>
      <c r="AL921" s="28" t="s">
        <v>18150</v>
      </c>
      <c r="AM921" s="28" t="s">
        <v>304</v>
      </c>
      <c r="AN921" s="28" t="s">
        <v>18151</v>
      </c>
      <c r="AO921" s="28" t="s">
        <v>18152</v>
      </c>
      <c r="AP921" s="28" t="s">
        <v>14127</v>
      </c>
      <c r="AQ921" s="28" t="s">
        <v>18153</v>
      </c>
      <c r="AR921" s="28" t="s">
        <v>5874</v>
      </c>
      <c r="AS921" s="28" t="s">
        <v>14129</v>
      </c>
      <c r="AT921" s="28" t="s">
        <v>14130</v>
      </c>
      <c r="AU921" s="28" t="s">
        <v>18154</v>
      </c>
      <c r="AV921" s="28" t="s">
        <v>2742</v>
      </c>
      <c r="AW921" s="28" t="s">
        <v>18152</v>
      </c>
      <c r="AX921" s="28" t="s">
        <v>138</v>
      </c>
      <c r="AY921" s="28" t="s">
        <v>18155</v>
      </c>
      <c r="AZ921" s="28" t="s">
        <v>164</v>
      </c>
      <c r="BA921" s="28" t="s">
        <v>165</v>
      </c>
      <c r="BB921" s="28" t="s">
        <v>18156</v>
      </c>
      <c r="BC921" s="28" t="s">
        <v>18157</v>
      </c>
      <c r="BD921" s="33">
        <v>4</v>
      </c>
      <c r="BE921" s="28" t="s">
        <v>138</v>
      </c>
      <c r="BF921" s="28" t="s">
        <v>18158</v>
      </c>
      <c r="BG921" s="28" t="s">
        <v>138</v>
      </c>
      <c r="BH921" s="28" t="s">
        <v>18159</v>
      </c>
      <c r="BI921" s="28" t="s">
        <v>18160</v>
      </c>
      <c r="BJ921" s="28" t="s">
        <v>138</v>
      </c>
      <c r="BK921" s="28" t="s">
        <v>138</v>
      </c>
      <c r="BL921" s="28" t="s">
        <v>18161</v>
      </c>
      <c r="BM921" s="34">
        <v>42051</v>
      </c>
      <c r="BN921" s="29">
        <v>6.5</v>
      </c>
      <c r="BO921" s="28" t="s">
        <v>172</v>
      </c>
      <c r="BP921" s="29" t="s">
        <v>138</v>
      </c>
      <c r="BQ921" s="28" t="s">
        <v>138</v>
      </c>
      <c r="BR921" s="28" t="s">
        <v>205</v>
      </c>
      <c r="BS921" s="28" t="s">
        <v>206</v>
      </c>
      <c r="BT921" s="28" t="s">
        <v>138</v>
      </c>
      <c r="BU921" s="28" t="s">
        <v>174</v>
      </c>
      <c r="BV921" s="28" t="s">
        <v>138</v>
      </c>
      <c r="BW921" s="28" t="s">
        <v>138</v>
      </c>
      <c r="BX921" s="28" t="s">
        <v>138</v>
      </c>
      <c r="BY921" s="28" t="s">
        <v>175</v>
      </c>
      <c r="BZ921" s="34">
        <v>43405</v>
      </c>
      <c r="CA921" s="29">
        <v>16.5</v>
      </c>
      <c r="CB921" s="28" t="s">
        <v>172</v>
      </c>
      <c r="CC921" s="29" t="s">
        <v>138</v>
      </c>
      <c r="CD921" s="28" t="s">
        <v>138</v>
      </c>
      <c r="CE921" s="28" t="s">
        <v>205</v>
      </c>
      <c r="CF921" s="28" t="s">
        <v>720</v>
      </c>
      <c r="CG921" s="28" t="s">
        <v>138</v>
      </c>
      <c r="CH921" s="28" t="s">
        <v>174</v>
      </c>
      <c r="CI921" s="28" t="s">
        <v>138</v>
      </c>
      <c r="CJ921" s="28" t="s">
        <v>138</v>
      </c>
      <c r="CK921" s="28" t="s">
        <v>138</v>
      </c>
      <c r="CL921" s="28" t="s">
        <v>175</v>
      </c>
      <c r="CM921" s="34" t="s">
        <v>138</v>
      </c>
      <c r="CN921" s="29" t="s">
        <v>138</v>
      </c>
      <c r="CO921" s="35">
        <v>0.1</v>
      </c>
      <c r="CP921" s="36">
        <v>90</v>
      </c>
      <c r="CQ921" s="35">
        <v>-0.02</v>
      </c>
      <c r="CR921" s="35">
        <v>-20.34</v>
      </c>
      <c r="CS921" s="35">
        <v>0</v>
      </c>
      <c r="CT921" s="36">
        <v>23</v>
      </c>
      <c r="CU921" s="35">
        <v>0.19</v>
      </c>
      <c r="CV921" s="36">
        <v>79</v>
      </c>
      <c r="CW921" s="35" t="s">
        <v>138</v>
      </c>
      <c r="CX921" s="36" t="s">
        <v>138</v>
      </c>
      <c r="CY921" s="35">
        <v>0</v>
      </c>
      <c r="CZ921" s="36">
        <v>25</v>
      </c>
      <c r="DA921" s="35">
        <v>0.19</v>
      </c>
      <c r="DB921" s="36">
        <v>82</v>
      </c>
      <c r="DC921" s="37">
        <v>1.9</v>
      </c>
      <c r="DD921" s="36">
        <v>66</v>
      </c>
      <c r="DE921" s="37">
        <v>0.02</v>
      </c>
      <c r="DF921" s="35">
        <v>1.1399999999999999</v>
      </c>
      <c r="DG921" s="37">
        <v>2.31</v>
      </c>
      <c r="DH921" s="36">
        <v>70</v>
      </c>
      <c r="DI921" s="37">
        <v>1.48</v>
      </c>
      <c r="DJ921" s="36">
        <v>57</v>
      </c>
      <c r="DK921" s="37" t="s">
        <v>138</v>
      </c>
      <c r="DL921" s="36" t="s">
        <v>138</v>
      </c>
      <c r="DM921" s="37">
        <v>2.31</v>
      </c>
      <c r="DN921" s="36">
        <v>68</v>
      </c>
      <c r="DO921" s="37">
        <v>1.48</v>
      </c>
      <c r="DP921" s="36">
        <v>58</v>
      </c>
      <c r="DQ921" s="36" t="s">
        <v>138</v>
      </c>
      <c r="DR921" s="38" t="s">
        <v>138</v>
      </c>
      <c r="DS921" s="35" t="s">
        <v>138</v>
      </c>
      <c r="DT921" s="36">
        <v>66</v>
      </c>
      <c r="DU921" s="38">
        <v>1</v>
      </c>
      <c r="DV921" s="35">
        <v>1.54</v>
      </c>
      <c r="DW921" s="36">
        <v>530</v>
      </c>
      <c r="DX921" s="39">
        <v>1</v>
      </c>
      <c r="DY921" s="35">
        <v>0.19</v>
      </c>
      <c r="DZ921" s="28" t="s">
        <v>178</v>
      </c>
      <c r="EA921" s="34">
        <v>43621</v>
      </c>
      <c r="EB921" s="29" t="s">
        <v>138</v>
      </c>
      <c r="EC921" s="34" t="s">
        <v>138</v>
      </c>
      <c r="ED921" s="28" t="s">
        <v>138</v>
      </c>
      <c r="EE921" s="40" t="str">
        <f>HYPERLINK("https://my.pitchbook.com?c=86688-91", "View company online")</f>
        <v>View company online</v>
      </c>
    </row>
    <row r="922" spans="1:135">
      <c r="A922" s="15" t="s">
        <v>18162</v>
      </c>
      <c r="B922" s="15" t="s">
        <v>18163</v>
      </c>
      <c r="C922" s="15" t="s">
        <v>138</v>
      </c>
      <c r="D922" s="15" t="s">
        <v>138</v>
      </c>
      <c r="E922" s="15" t="s">
        <v>18164</v>
      </c>
      <c r="F922" s="15" t="s">
        <v>18162</v>
      </c>
      <c r="G922" s="15" t="s">
        <v>18165</v>
      </c>
      <c r="H922" s="15" t="s">
        <v>322</v>
      </c>
      <c r="I922" s="15" t="s">
        <v>323</v>
      </c>
      <c r="J922" s="15" t="s">
        <v>954</v>
      </c>
      <c r="K922" s="15" t="s">
        <v>18166</v>
      </c>
      <c r="L922" s="15" t="s">
        <v>18167</v>
      </c>
      <c r="M922" s="15" t="s">
        <v>18168</v>
      </c>
      <c r="N922" s="15" t="s">
        <v>147</v>
      </c>
      <c r="O922" s="17">
        <v>35.9</v>
      </c>
      <c r="P922" s="15" t="s">
        <v>148</v>
      </c>
      <c r="Q922" s="15" t="s">
        <v>149</v>
      </c>
      <c r="R922" s="15" t="s">
        <v>174</v>
      </c>
      <c r="S922" s="15" t="s">
        <v>18169</v>
      </c>
      <c r="T922" s="18">
        <v>30</v>
      </c>
      <c r="U922" s="15" t="s">
        <v>18170</v>
      </c>
      <c r="V922" s="15" t="s">
        <v>138</v>
      </c>
      <c r="W922" s="15" t="s">
        <v>138</v>
      </c>
      <c r="X922" s="19">
        <v>2014</v>
      </c>
      <c r="Y922" s="15" t="s">
        <v>138</v>
      </c>
      <c r="Z922" s="15" t="s">
        <v>138</v>
      </c>
      <c r="AA922" s="15" t="s">
        <v>138</v>
      </c>
      <c r="AB922" s="20" t="s">
        <v>138</v>
      </c>
      <c r="AC922" s="20" t="s">
        <v>138</v>
      </c>
      <c r="AD922" s="20" t="s">
        <v>138</v>
      </c>
      <c r="AE922" s="20" t="s">
        <v>138</v>
      </c>
      <c r="AF922" s="20" t="s">
        <v>138</v>
      </c>
      <c r="AG922" s="15" t="s">
        <v>138</v>
      </c>
      <c r="AH922" s="20" t="s">
        <v>138</v>
      </c>
      <c r="AI922" s="20" t="s">
        <v>138</v>
      </c>
      <c r="AJ922" s="20" t="s">
        <v>138</v>
      </c>
      <c r="AK922" s="15" t="s">
        <v>18171</v>
      </c>
      <c r="AL922" s="15" t="s">
        <v>18172</v>
      </c>
      <c r="AM922" s="15" t="s">
        <v>12280</v>
      </c>
      <c r="AN922" s="15" t="s">
        <v>18173</v>
      </c>
      <c r="AO922" s="15" t="s">
        <v>138</v>
      </c>
      <c r="AP922" s="15" t="s">
        <v>4898</v>
      </c>
      <c r="AQ922" s="15" t="s">
        <v>18174</v>
      </c>
      <c r="AR922" s="15" t="s">
        <v>1637</v>
      </c>
      <c r="AS922" s="15" t="s">
        <v>4900</v>
      </c>
      <c r="AT922" s="15" t="s">
        <v>200</v>
      </c>
      <c r="AU922" s="15" t="s">
        <v>10934</v>
      </c>
      <c r="AV922" s="15" t="s">
        <v>162</v>
      </c>
      <c r="AW922" s="15" t="s">
        <v>138</v>
      </c>
      <c r="AX922" s="15" t="s">
        <v>138</v>
      </c>
      <c r="AY922" s="15" t="s">
        <v>18175</v>
      </c>
      <c r="AZ922" s="15" t="s">
        <v>164</v>
      </c>
      <c r="BA922" s="15" t="s">
        <v>165</v>
      </c>
      <c r="BB922" s="15" t="s">
        <v>18176</v>
      </c>
      <c r="BC922" s="15" t="s">
        <v>18177</v>
      </c>
      <c r="BD922" s="21">
        <v>19</v>
      </c>
      <c r="BE922" s="15" t="s">
        <v>138</v>
      </c>
      <c r="BF922" s="15" t="s">
        <v>138</v>
      </c>
      <c r="BG922" s="15" t="s">
        <v>138</v>
      </c>
      <c r="BH922" s="15" t="s">
        <v>18178</v>
      </c>
      <c r="BI922" s="15" t="s">
        <v>138</v>
      </c>
      <c r="BJ922" s="15" t="s">
        <v>138</v>
      </c>
      <c r="BK922" s="15" t="s">
        <v>1251</v>
      </c>
      <c r="BL922" s="15" t="s">
        <v>1251</v>
      </c>
      <c r="BM922" s="22">
        <v>41936</v>
      </c>
      <c r="BN922" s="17" t="s">
        <v>138</v>
      </c>
      <c r="BO922" s="15" t="s">
        <v>138</v>
      </c>
      <c r="BP922" s="17" t="s">
        <v>138</v>
      </c>
      <c r="BQ922" s="15" t="s">
        <v>138</v>
      </c>
      <c r="BR922" s="15" t="s">
        <v>234</v>
      </c>
      <c r="BS922" s="15" t="s">
        <v>234</v>
      </c>
      <c r="BT922" s="15" t="s">
        <v>138</v>
      </c>
      <c r="BU922" s="15" t="s">
        <v>174</v>
      </c>
      <c r="BV922" s="15" t="s">
        <v>138</v>
      </c>
      <c r="BW922" s="15" t="s">
        <v>138</v>
      </c>
      <c r="BX922" s="15" t="s">
        <v>138</v>
      </c>
      <c r="BY922" s="15" t="s">
        <v>175</v>
      </c>
      <c r="BZ922" s="22">
        <v>42626</v>
      </c>
      <c r="CA922" s="17">
        <v>20</v>
      </c>
      <c r="CB922" s="15" t="s">
        <v>172</v>
      </c>
      <c r="CC922" s="17">
        <v>102.09</v>
      </c>
      <c r="CD922" s="15" t="s">
        <v>172</v>
      </c>
      <c r="CE922" s="15" t="s">
        <v>205</v>
      </c>
      <c r="CF922" s="15" t="s">
        <v>720</v>
      </c>
      <c r="CG922" s="15" t="s">
        <v>138</v>
      </c>
      <c r="CH922" s="15" t="s">
        <v>174</v>
      </c>
      <c r="CI922" s="15" t="s">
        <v>138</v>
      </c>
      <c r="CJ922" s="15" t="s">
        <v>138</v>
      </c>
      <c r="CK922" s="15" t="s">
        <v>138</v>
      </c>
      <c r="CL922" s="15" t="s">
        <v>175</v>
      </c>
      <c r="CM922" s="22" t="s">
        <v>138</v>
      </c>
      <c r="CN922" s="17" t="s">
        <v>138</v>
      </c>
      <c r="CO922" s="23">
        <v>0.35</v>
      </c>
      <c r="CP922" s="24">
        <v>94</v>
      </c>
      <c r="CQ922" s="23">
        <v>-0.02</v>
      </c>
      <c r="CR922" s="23">
        <v>-4.13</v>
      </c>
      <c r="CS922" s="23">
        <v>0.79</v>
      </c>
      <c r="CT922" s="24">
        <v>96</v>
      </c>
      <c r="CU922" s="23">
        <v>-0.1</v>
      </c>
      <c r="CV922" s="24">
        <v>4</v>
      </c>
      <c r="CW922" s="23">
        <v>1.77</v>
      </c>
      <c r="CX922" s="24">
        <v>87</v>
      </c>
      <c r="CY922" s="23">
        <v>-0.19</v>
      </c>
      <c r="CZ922" s="24">
        <v>24</v>
      </c>
      <c r="DA922" s="23">
        <v>-0.1</v>
      </c>
      <c r="DB922" s="24">
        <v>6</v>
      </c>
      <c r="DC922" s="25">
        <v>45.6</v>
      </c>
      <c r="DD922" s="24">
        <v>98</v>
      </c>
      <c r="DE922" s="25">
        <v>-0.09</v>
      </c>
      <c r="DF922" s="23">
        <v>-0.19</v>
      </c>
      <c r="DG922" s="25">
        <v>20.190000000000001</v>
      </c>
      <c r="DH922" s="24">
        <v>95</v>
      </c>
      <c r="DI922" s="25">
        <v>106.84</v>
      </c>
      <c r="DJ922" s="24">
        <v>97</v>
      </c>
      <c r="DK922" s="25">
        <v>17.96</v>
      </c>
      <c r="DL922" s="24">
        <v>91</v>
      </c>
      <c r="DM922" s="25">
        <v>22.41</v>
      </c>
      <c r="DN922" s="24">
        <v>95</v>
      </c>
      <c r="DO922" s="25">
        <v>106.84</v>
      </c>
      <c r="DP922" s="24">
        <v>98</v>
      </c>
      <c r="DQ922" s="24">
        <v>6207</v>
      </c>
      <c r="DR922" s="26">
        <v>-143</v>
      </c>
      <c r="DS922" s="23">
        <v>-2.25</v>
      </c>
      <c r="DT922" s="24">
        <v>651</v>
      </c>
      <c r="DU922" s="26">
        <v>-1</v>
      </c>
      <c r="DV922" s="23">
        <v>-0.15</v>
      </c>
      <c r="DW922" s="24">
        <v>38262</v>
      </c>
      <c r="DX922" s="27">
        <v>-35</v>
      </c>
      <c r="DY922" s="23">
        <v>-0.09</v>
      </c>
      <c r="DZ922" s="15" t="s">
        <v>178</v>
      </c>
      <c r="EA922" s="22">
        <v>43453</v>
      </c>
      <c r="EB922" s="17">
        <v>102.09</v>
      </c>
      <c r="EC922" s="22">
        <v>42626</v>
      </c>
      <c r="ED922" s="15" t="s">
        <v>205</v>
      </c>
      <c r="EE922" s="14" t="str">
        <f>HYPERLINK("https://my.pitchbook.com?c=86688-82", "View company online")</f>
        <v>View company online</v>
      </c>
    </row>
    <row r="923" spans="1:135">
      <c r="A923" s="28" t="s">
        <v>18179</v>
      </c>
      <c r="B923" s="28" t="s">
        <v>18180</v>
      </c>
      <c r="C923" s="28" t="s">
        <v>138</v>
      </c>
      <c r="D923" s="28" t="s">
        <v>18181</v>
      </c>
      <c r="E923" s="28" t="s">
        <v>18182</v>
      </c>
      <c r="F923" s="28" t="s">
        <v>18179</v>
      </c>
      <c r="G923" s="28" t="s">
        <v>18183</v>
      </c>
      <c r="H923" s="28" t="s">
        <v>238</v>
      </c>
      <c r="I923" s="28" t="s">
        <v>749</v>
      </c>
      <c r="J923" s="28" t="s">
        <v>750</v>
      </c>
      <c r="K923" s="28" t="s">
        <v>18184</v>
      </c>
      <c r="L923" s="28" t="s">
        <v>4263</v>
      </c>
      <c r="M923" s="28" t="s">
        <v>18185</v>
      </c>
      <c r="N923" s="28" t="s">
        <v>147</v>
      </c>
      <c r="O923" s="29">
        <v>8.57</v>
      </c>
      <c r="P923" s="28" t="s">
        <v>148</v>
      </c>
      <c r="Q923" s="28" t="s">
        <v>149</v>
      </c>
      <c r="R923" s="28" t="s">
        <v>174</v>
      </c>
      <c r="S923" s="28" t="s">
        <v>18186</v>
      </c>
      <c r="T923" s="30">
        <v>85</v>
      </c>
      <c r="U923" s="28" t="s">
        <v>18187</v>
      </c>
      <c r="V923" s="28" t="s">
        <v>138</v>
      </c>
      <c r="W923" s="28" t="s">
        <v>138</v>
      </c>
      <c r="X923" s="31">
        <v>2014</v>
      </c>
      <c r="Y923" s="28" t="s">
        <v>138</v>
      </c>
      <c r="Z923" s="28" t="s">
        <v>138</v>
      </c>
      <c r="AA923" s="28" t="s">
        <v>138</v>
      </c>
      <c r="AB923" s="32" t="s">
        <v>138</v>
      </c>
      <c r="AC923" s="32" t="s">
        <v>138</v>
      </c>
      <c r="AD923" s="32" t="s">
        <v>138</v>
      </c>
      <c r="AE923" s="32" t="s">
        <v>138</v>
      </c>
      <c r="AF923" s="32" t="s">
        <v>138</v>
      </c>
      <c r="AG923" s="28" t="s">
        <v>138</v>
      </c>
      <c r="AH923" s="32" t="s">
        <v>138</v>
      </c>
      <c r="AI923" s="32" t="s">
        <v>138</v>
      </c>
      <c r="AJ923" s="32" t="s">
        <v>138</v>
      </c>
      <c r="AK923" s="28" t="s">
        <v>18188</v>
      </c>
      <c r="AL923" s="28" t="s">
        <v>18189</v>
      </c>
      <c r="AM923" s="28" t="s">
        <v>18190</v>
      </c>
      <c r="AN923" s="28" t="s">
        <v>18191</v>
      </c>
      <c r="AO923" s="28" t="s">
        <v>18192</v>
      </c>
      <c r="AP923" s="28" t="s">
        <v>5336</v>
      </c>
      <c r="AQ923" s="28" t="s">
        <v>18193</v>
      </c>
      <c r="AR923" s="28" t="s">
        <v>138</v>
      </c>
      <c r="AS923" s="28" t="s">
        <v>5338</v>
      </c>
      <c r="AT923" s="28" t="s">
        <v>200</v>
      </c>
      <c r="AU923" s="28" t="s">
        <v>5339</v>
      </c>
      <c r="AV923" s="28" t="s">
        <v>162</v>
      </c>
      <c r="AW923" s="28" t="s">
        <v>18192</v>
      </c>
      <c r="AX923" s="28" t="s">
        <v>138</v>
      </c>
      <c r="AY923" s="28" t="s">
        <v>18194</v>
      </c>
      <c r="AZ923" s="28" t="s">
        <v>164</v>
      </c>
      <c r="BA923" s="28" t="s">
        <v>165</v>
      </c>
      <c r="BB923" s="28" t="s">
        <v>18195</v>
      </c>
      <c r="BC923" s="28" t="s">
        <v>18196</v>
      </c>
      <c r="BD923" s="33">
        <v>5</v>
      </c>
      <c r="BE923" s="28" t="s">
        <v>138</v>
      </c>
      <c r="BF923" s="28" t="s">
        <v>138</v>
      </c>
      <c r="BG923" s="28" t="s">
        <v>138</v>
      </c>
      <c r="BH923" s="28" t="s">
        <v>18197</v>
      </c>
      <c r="BI923" s="28" t="s">
        <v>138</v>
      </c>
      <c r="BJ923" s="28" t="s">
        <v>138</v>
      </c>
      <c r="BK923" s="28" t="s">
        <v>18198</v>
      </c>
      <c r="BL923" s="28" t="s">
        <v>18199</v>
      </c>
      <c r="BM923" s="34">
        <v>41775</v>
      </c>
      <c r="BN923" s="29">
        <v>0.83</v>
      </c>
      <c r="BO923" s="28" t="s">
        <v>172</v>
      </c>
      <c r="BP923" s="29">
        <v>5.33</v>
      </c>
      <c r="BQ923" s="28" t="s">
        <v>172</v>
      </c>
      <c r="BR923" s="28" t="s">
        <v>205</v>
      </c>
      <c r="BS923" s="28" t="s">
        <v>206</v>
      </c>
      <c r="BT923" s="28" t="s">
        <v>138</v>
      </c>
      <c r="BU923" s="28" t="s">
        <v>174</v>
      </c>
      <c r="BV923" s="28" t="s">
        <v>138</v>
      </c>
      <c r="BW923" s="28" t="s">
        <v>138</v>
      </c>
      <c r="BX923" s="28" t="s">
        <v>138</v>
      </c>
      <c r="BY923" s="28" t="s">
        <v>175</v>
      </c>
      <c r="BZ923" s="34">
        <v>42779</v>
      </c>
      <c r="CA923" s="29">
        <v>6</v>
      </c>
      <c r="CB923" s="28" t="s">
        <v>172</v>
      </c>
      <c r="CC923" s="29">
        <v>30</v>
      </c>
      <c r="CD923" s="28" t="s">
        <v>172</v>
      </c>
      <c r="CE923" s="28" t="s">
        <v>205</v>
      </c>
      <c r="CF923" s="28" t="s">
        <v>720</v>
      </c>
      <c r="CG923" s="28" t="s">
        <v>138</v>
      </c>
      <c r="CH923" s="28" t="s">
        <v>174</v>
      </c>
      <c r="CI923" s="28" t="s">
        <v>138</v>
      </c>
      <c r="CJ923" s="28" t="s">
        <v>138</v>
      </c>
      <c r="CK923" s="28" t="s">
        <v>138</v>
      </c>
      <c r="CL923" s="28" t="s">
        <v>175</v>
      </c>
      <c r="CM923" s="34" t="s">
        <v>138</v>
      </c>
      <c r="CN923" s="29" t="s">
        <v>138</v>
      </c>
      <c r="CO923" s="35">
        <v>-2.11</v>
      </c>
      <c r="CP923" s="36">
        <v>5</v>
      </c>
      <c r="CQ923" s="35">
        <v>0</v>
      </c>
      <c r="CR923" s="35">
        <v>0</v>
      </c>
      <c r="CS923" s="35">
        <v>-4.5</v>
      </c>
      <c r="CT923" s="36">
        <v>3</v>
      </c>
      <c r="CU923" s="35">
        <v>0.28000000000000003</v>
      </c>
      <c r="CV923" s="36">
        <v>86</v>
      </c>
      <c r="CW923" s="35">
        <v>-4.5</v>
      </c>
      <c r="CX923" s="36">
        <v>3</v>
      </c>
      <c r="CY923" s="35" t="s">
        <v>138</v>
      </c>
      <c r="CZ923" s="36" t="s">
        <v>138</v>
      </c>
      <c r="DA923" s="35" t="s">
        <v>138</v>
      </c>
      <c r="DB923" s="36" t="s">
        <v>138</v>
      </c>
      <c r="DC923" s="37">
        <v>45.51</v>
      </c>
      <c r="DD923" s="36">
        <v>98</v>
      </c>
      <c r="DE923" s="37">
        <v>-2.14</v>
      </c>
      <c r="DF923" s="35">
        <v>-4.5</v>
      </c>
      <c r="DG923" s="37">
        <v>32.92</v>
      </c>
      <c r="DH923" s="36">
        <v>97</v>
      </c>
      <c r="DI923" s="37">
        <v>58.11</v>
      </c>
      <c r="DJ923" s="36">
        <v>96</v>
      </c>
      <c r="DK923" s="37">
        <v>32.92</v>
      </c>
      <c r="DL923" s="36">
        <v>94</v>
      </c>
      <c r="DM923" s="37" t="s">
        <v>138</v>
      </c>
      <c r="DN923" s="36" t="s">
        <v>138</v>
      </c>
      <c r="DO923" s="37" t="s">
        <v>138</v>
      </c>
      <c r="DP923" s="36" t="s">
        <v>138</v>
      </c>
      <c r="DQ923" s="36">
        <v>11458</v>
      </c>
      <c r="DR923" s="38">
        <v>-500</v>
      </c>
      <c r="DS923" s="35">
        <v>-4.18</v>
      </c>
      <c r="DT923" s="36" t="s">
        <v>138</v>
      </c>
      <c r="DU923" s="38" t="s">
        <v>138</v>
      </c>
      <c r="DV923" s="35" t="s">
        <v>138</v>
      </c>
      <c r="DW923" s="36">
        <v>10367</v>
      </c>
      <c r="DX923" s="39">
        <v>30</v>
      </c>
      <c r="DY923" s="35">
        <v>0.28999999999999998</v>
      </c>
      <c r="DZ923" s="28" t="s">
        <v>178</v>
      </c>
      <c r="EA923" s="34">
        <v>43413</v>
      </c>
      <c r="EB923" s="29">
        <v>30</v>
      </c>
      <c r="EC923" s="34">
        <v>42779</v>
      </c>
      <c r="ED923" s="28" t="s">
        <v>205</v>
      </c>
      <c r="EE923" s="40" t="str">
        <f>HYPERLINK("https://my.pitchbook.com?c=108328-51", "View company online")</f>
        <v>View company online</v>
      </c>
    </row>
    <row r="924" spans="1:135">
      <c r="A924" s="15" t="s">
        <v>18200</v>
      </c>
      <c r="B924" s="15" t="s">
        <v>18201</v>
      </c>
      <c r="C924" s="15" t="s">
        <v>138</v>
      </c>
      <c r="D924" s="15" t="s">
        <v>138</v>
      </c>
      <c r="E924" s="15" t="s">
        <v>18202</v>
      </c>
      <c r="F924" s="15" t="s">
        <v>18200</v>
      </c>
      <c r="G924" s="15" t="s">
        <v>18203</v>
      </c>
      <c r="H924" s="15" t="s">
        <v>238</v>
      </c>
      <c r="I924" s="15" t="s">
        <v>239</v>
      </c>
      <c r="J924" s="15" t="s">
        <v>240</v>
      </c>
      <c r="K924" s="15" t="s">
        <v>18204</v>
      </c>
      <c r="L924" s="15" t="s">
        <v>415</v>
      </c>
      <c r="M924" s="15" t="s">
        <v>18205</v>
      </c>
      <c r="N924" s="15" t="s">
        <v>147</v>
      </c>
      <c r="O924" s="17">
        <v>45</v>
      </c>
      <c r="P924" s="15" t="s">
        <v>148</v>
      </c>
      <c r="Q924" s="15" t="s">
        <v>149</v>
      </c>
      <c r="R924" s="15" t="s">
        <v>174</v>
      </c>
      <c r="S924" s="15" t="s">
        <v>18206</v>
      </c>
      <c r="T924" s="18">
        <v>100</v>
      </c>
      <c r="U924" s="15" t="s">
        <v>18207</v>
      </c>
      <c r="V924" s="15" t="s">
        <v>138</v>
      </c>
      <c r="W924" s="15" t="s">
        <v>138</v>
      </c>
      <c r="X924" s="19">
        <v>2012</v>
      </c>
      <c r="Y924" s="15" t="s">
        <v>138</v>
      </c>
      <c r="Z924" s="15" t="s">
        <v>138</v>
      </c>
      <c r="AA924" s="15" t="s">
        <v>138</v>
      </c>
      <c r="AB924" s="20" t="s">
        <v>138</v>
      </c>
      <c r="AC924" s="20" t="s">
        <v>138</v>
      </c>
      <c r="AD924" s="20" t="s">
        <v>138</v>
      </c>
      <c r="AE924" s="20" t="s">
        <v>138</v>
      </c>
      <c r="AF924" s="20" t="s">
        <v>138</v>
      </c>
      <c r="AG924" s="15" t="s">
        <v>138</v>
      </c>
      <c r="AH924" s="20" t="s">
        <v>138</v>
      </c>
      <c r="AI924" s="20" t="s">
        <v>138</v>
      </c>
      <c r="AJ924" s="20" t="s">
        <v>138</v>
      </c>
      <c r="AK924" s="15" t="s">
        <v>18208</v>
      </c>
      <c r="AL924" s="15" t="s">
        <v>18209</v>
      </c>
      <c r="AM924" s="15" t="s">
        <v>4269</v>
      </c>
      <c r="AN924" s="15" t="s">
        <v>18210</v>
      </c>
      <c r="AO924" s="15" t="s">
        <v>18211</v>
      </c>
      <c r="AP924" s="15" t="s">
        <v>4898</v>
      </c>
      <c r="AQ924" s="15" t="s">
        <v>18212</v>
      </c>
      <c r="AR924" s="15" t="s">
        <v>158</v>
      </c>
      <c r="AS924" s="15" t="s">
        <v>4900</v>
      </c>
      <c r="AT924" s="15" t="s">
        <v>200</v>
      </c>
      <c r="AU924" s="15" t="s">
        <v>5813</v>
      </c>
      <c r="AV924" s="15" t="s">
        <v>162</v>
      </c>
      <c r="AW924" s="15" t="s">
        <v>18211</v>
      </c>
      <c r="AX924" s="15" t="s">
        <v>138</v>
      </c>
      <c r="AY924" s="15" t="s">
        <v>18213</v>
      </c>
      <c r="AZ924" s="15" t="s">
        <v>164</v>
      </c>
      <c r="BA924" s="15" t="s">
        <v>165</v>
      </c>
      <c r="BB924" s="15" t="s">
        <v>18214</v>
      </c>
      <c r="BC924" s="15" t="s">
        <v>18215</v>
      </c>
      <c r="BD924" s="21">
        <v>16</v>
      </c>
      <c r="BE924" s="15" t="s">
        <v>138</v>
      </c>
      <c r="BF924" s="15" t="s">
        <v>138</v>
      </c>
      <c r="BG924" s="15" t="s">
        <v>138</v>
      </c>
      <c r="BH924" s="15" t="s">
        <v>18216</v>
      </c>
      <c r="BI924" s="15" t="s">
        <v>138</v>
      </c>
      <c r="BJ924" s="15" t="s">
        <v>138</v>
      </c>
      <c r="BK924" s="15" t="s">
        <v>1251</v>
      </c>
      <c r="BL924" s="15" t="s">
        <v>18217</v>
      </c>
      <c r="BM924" s="22">
        <v>41255</v>
      </c>
      <c r="BN924" s="17">
        <v>3</v>
      </c>
      <c r="BO924" s="15" t="s">
        <v>172</v>
      </c>
      <c r="BP924" s="17">
        <v>12.2</v>
      </c>
      <c r="BQ924" s="15" t="s">
        <v>172</v>
      </c>
      <c r="BR924" s="15" t="s">
        <v>205</v>
      </c>
      <c r="BS924" s="15" t="s">
        <v>206</v>
      </c>
      <c r="BT924" s="15" t="s">
        <v>138</v>
      </c>
      <c r="BU924" s="15" t="s">
        <v>174</v>
      </c>
      <c r="BV924" s="15" t="s">
        <v>138</v>
      </c>
      <c r="BW924" s="15" t="s">
        <v>138</v>
      </c>
      <c r="BX924" s="15" t="s">
        <v>138</v>
      </c>
      <c r="BY924" s="15" t="s">
        <v>175</v>
      </c>
      <c r="BZ924" s="22">
        <v>42382</v>
      </c>
      <c r="CA924" s="17">
        <v>27</v>
      </c>
      <c r="CB924" s="15" t="s">
        <v>172</v>
      </c>
      <c r="CC924" s="17">
        <v>105.77</v>
      </c>
      <c r="CD924" s="15" t="s">
        <v>172</v>
      </c>
      <c r="CE924" s="15" t="s">
        <v>173</v>
      </c>
      <c r="CF924" s="15" t="s">
        <v>317</v>
      </c>
      <c r="CG924" s="15" t="s">
        <v>138</v>
      </c>
      <c r="CH924" s="15" t="s">
        <v>174</v>
      </c>
      <c r="CI924" s="15" t="s">
        <v>138</v>
      </c>
      <c r="CJ924" s="15" t="s">
        <v>138</v>
      </c>
      <c r="CK924" s="15" t="s">
        <v>138</v>
      </c>
      <c r="CL924" s="15" t="s">
        <v>175</v>
      </c>
      <c r="CM924" s="22" t="s">
        <v>138</v>
      </c>
      <c r="CN924" s="17" t="s">
        <v>138</v>
      </c>
      <c r="CO924" s="23">
        <v>0.14000000000000001</v>
      </c>
      <c r="CP924" s="24">
        <v>91</v>
      </c>
      <c r="CQ924" s="23">
        <v>0</v>
      </c>
      <c r="CR924" s="23">
        <v>0.98</v>
      </c>
      <c r="CS924" s="23">
        <v>0</v>
      </c>
      <c r="CT924" s="24">
        <v>23</v>
      </c>
      <c r="CU924" s="23">
        <v>0.28000000000000003</v>
      </c>
      <c r="CV924" s="24">
        <v>86</v>
      </c>
      <c r="CW924" s="23" t="s">
        <v>138</v>
      </c>
      <c r="CX924" s="24" t="s">
        <v>138</v>
      </c>
      <c r="CY924" s="23">
        <v>0</v>
      </c>
      <c r="CZ924" s="24">
        <v>25</v>
      </c>
      <c r="DA924" s="23">
        <v>0.56999999999999995</v>
      </c>
      <c r="DB924" s="24">
        <v>95</v>
      </c>
      <c r="DC924" s="25">
        <v>1143.8399999999999</v>
      </c>
      <c r="DD924" s="24">
        <v>100</v>
      </c>
      <c r="DE924" s="25">
        <v>-1.02</v>
      </c>
      <c r="DF924" s="23">
        <v>-0.09</v>
      </c>
      <c r="DG924" s="25">
        <v>1.41</v>
      </c>
      <c r="DH924" s="24">
        <v>59</v>
      </c>
      <c r="DI924" s="25">
        <v>2286.27</v>
      </c>
      <c r="DJ924" s="24">
        <v>100</v>
      </c>
      <c r="DK924" s="25" t="s">
        <v>138</v>
      </c>
      <c r="DL924" s="24" t="s">
        <v>138</v>
      </c>
      <c r="DM924" s="25">
        <v>1.41</v>
      </c>
      <c r="DN924" s="24">
        <v>58</v>
      </c>
      <c r="DO924" s="25">
        <v>93.1</v>
      </c>
      <c r="DP924" s="24">
        <v>98</v>
      </c>
      <c r="DQ924" s="24" t="s">
        <v>138</v>
      </c>
      <c r="DR924" s="26" t="s">
        <v>138</v>
      </c>
      <c r="DS924" s="23" t="s">
        <v>138</v>
      </c>
      <c r="DT924" s="24">
        <v>41</v>
      </c>
      <c r="DU924" s="26">
        <v>-1</v>
      </c>
      <c r="DV924" s="23">
        <v>-2.38</v>
      </c>
      <c r="DW924" s="24">
        <v>33263</v>
      </c>
      <c r="DX924" s="27">
        <v>160</v>
      </c>
      <c r="DY924" s="23">
        <v>0.48</v>
      </c>
      <c r="DZ924" s="15" t="s">
        <v>178</v>
      </c>
      <c r="EA924" s="22">
        <v>43531</v>
      </c>
      <c r="EB924" s="17">
        <v>105.77</v>
      </c>
      <c r="EC924" s="22">
        <v>42382</v>
      </c>
      <c r="ED924" s="15" t="s">
        <v>173</v>
      </c>
      <c r="EE924" s="14" t="str">
        <f>HYPERLINK("https://my.pitchbook.com?c=55765-90", "View company online")</f>
        <v>View company online</v>
      </c>
    </row>
    <row r="925" spans="1:135">
      <c r="A925" s="28" t="s">
        <v>18218</v>
      </c>
      <c r="B925" s="28" t="s">
        <v>18219</v>
      </c>
      <c r="C925" s="28" t="s">
        <v>138</v>
      </c>
      <c r="D925" s="28" t="s">
        <v>138</v>
      </c>
      <c r="E925" s="28" t="s">
        <v>138</v>
      </c>
      <c r="F925" s="28" t="s">
        <v>18218</v>
      </c>
      <c r="G925" s="28" t="s">
        <v>18220</v>
      </c>
      <c r="H925" s="28" t="s">
        <v>238</v>
      </c>
      <c r="I925" s="28" t="s">
        <v>1351</v>
      </c>
      <c r="J925" s="28" t="s">
        <v>5503</v>
      </c>
      <c r="K925" s="28" t="s">
        <v>18221</v>
      </c>
      <c r="L925" s="28" t="s">
        <v>18222</v>
      </c>
      <c r="M925" s="28" t="s">
        <v>18223</v>
      </c>
      <c r="N925" s="28" t="s">
        <v>147</v>
      </c>
      <c r="O925" s="29">
        <v>13.32</v>
      </c>
      <c r="P925" s="28" t="s">
        <v>610</v>
      </c>
      <c r="Q925" s="28" t="s">
        <v>149</v>
      </c>
      <c r="R925" s="28" t="s">
        <v>150</v>
      </c>
      <c r="S925" s="28" t="s">
        <v>18224</v>
      </c>
      <c r="T925" s="30">
        <v>26</v>
      </c>
      <c r="U925" s="28" t="s">
        <v>18225</v>
      </c>
      <c r="V925" s="28" t="s">
        <v>138</v>
      </c>
      <c r="W925" s="28" t="s">
        <v>138</v>
      </c>
      <c r="X925" s="31">
        <v>2015</v>
      </c>
      <c r="Y925" s="28" t="s">
        <v>138</v>
      </c>
      <c r="Z925" s="28" t="s">
        <v>138</v>
      </c>
      <c r="AA925" s="28" t="s">
        <v>138</v>
      </c>
      <c r="AB925" s="32" t="s">
        <v>138</v>
      </c>
      <c r="AC925" s="32" t="s">
        <v>138</v>
      </c>
      <c r="AD925" s="32" t="s">
        <v>138</v>
      </c>
      <c r="AE925" s="32" t="s">
        <v>138</v>
      </c>
      <c r="AF925" s="32" t="s">
        <v>138</v>
      </c>
      <c r="AG925" s="28" t="s">
        <v>138</v>
      </c>
      <c r="AH925" s="32" t="s">
        <v>138</v>
      </c>
      <c r="AI925" s="32" t="s">
        <v>138</v>
      </c>
      <c r="AJ925" s="32" t="s">
        <v>138</v>
      </c>
      <c r="AK925" s="28" t="s">
        <v>18226</v>
      </c>
      <c r="AL925" s="28" t="s">
        <v>18227</v>
      </c>
      <c r="AM925" s="28" t="s">
        <v>2605</v>
      </c>
      <c r="AN925" s="28" t="s">
        <v>18228</v>
      </c>
      <c r="AO925" s="28" t="s">
        <v>18229</v>
      </c>
      <c r="AP925" s="28" t="s">
        <v>941</v>
      </c>
      <c r="AQ925" s="28" t="s">
        <v>18230</v>
      </c>
      <c r="AR925" s="28" t="s">
        <v>138</v>
      </c>
      <c r="AS925" s="28" t="s">
        <v>944</v>
      </c>
      <c r="AT925" s="28" t="s">
        <v>138</v>
      </c>
      <c r="AU925" s="28" t="s">
        <v>9116</v>
      </c>
      <c r="AV925" s="28" t="s">
        <v>946</v>
      </c>
      <c r="AW925" s="28" t="s">
        <v>18229</v>
      </c>
      <c r="AX925" s="28" t="s">
        <v>138</v>
      </c>
      <c r="AY925" s="28" t="s">
        <v>18231</v>
      </c>
      <c r="AZ925" s="28" t="s">
        <v>530</v>
      </c>
      <c r="BA925" s="28" t="s">
        <v>531</v>
      </c>
      <c r="BB925" s="28" t="s">
        <v>18232</v>
      </c>
      <c r="BC925" s="28" t="s">
        <v>18233</v>
      </c>
      <c r="BD925" s="33">
        <v>7</v>
      </c>
      <c r="BE925" s="28" t="s">
        <v>138</v>
      </c>
      <c r="BF925" s="28" t="s">
        <v>138</v>
      </c>
      <c r="BG925" s="28" t="s">
        <v>138</v>
      </c>
      <c r="BH925" s="28" t="s">
        <v>18234</v>
      </c>
      <c r="BI925" s="28" t="s">
        <v>138</v>
      </c>
      <c r="BJ925" s="28" t="s">
        <v>138</v>
      </c>
      <c r="BK925" s="28" t="s">
        <v>138</v>
      </c>
      <c r="BL925" s="28" t="s">
        <v>18235</v>
      </c>
      <c r="BM925" s="34">
        <v>43062</v>
      </c>
      <c r="BN925" s="29">
        <v>0.35</v>
      </c>
      <c r="BO925" s="28" t="s">
        <v>172</v>
      </c>
      <c r="BP925" s="29" t="s">
        <v>138</v>
      </c>
      <c r="BQ925" s="28" t="s">
        <v>138</v>
      </c>
      <c r="BR925" s="28" t="s">
        <v>1830</v>
      </c>
      <c r="BS925" s="28" t="s">
        <v>138</v>
      </c>
      <c r="BT925" s="28" t="s">
        <v>138</v>
      </c>
      <c r="BU925" s="28" t="s">
        <v>263</v>
      </c>
      <c r="BV925" s="28" t="s">
        <v>138</v>
      </c>
      <c r="BW925" s="28" t="s">
        <v>138</v>
      </c>
      <c r="BX925" s="28" t="s">
        <v>138</v>
      </c>
      <c r="BY925" s="28" t="s">
        <v>175</v>
      </c>
      <c r="BZ925" s="34">
        <v>43341</v>
      </c>
      <c r="CA925" s="29">
        <v>10.6</v>
      </c>
      <c r="CB925" s="28" t="s">
        <v>172</v>
      </c>
      <c r="CC925" s="29" t="s">
        <v>138</v>
      </c>
      <c r="CD925" s="28" t="s">
        <v>138</v>
      </c>
      <c r="CE925" s="28" t="s">
        <v>234</v>
      </c>
      <c r="CF925" s="28" t="s">
        <v>234</v>
      </c>
      <c r="CG925" s="28" t="s">
        <v>138</v>
      </c>
      <c r="CH925" s="28" t="s">
        <v>174</v>
      </c>
      <c r="CI925" s="28" t="s">
        <v>138</v>
      </c>
      <c r="CJ925" s="28" t="s">
        <v>138</v>
      </c>
      <c r="CK925" s="28" t="s">
        <v>138</v>
      </c>
      <c r="CL925" s="28" t="s">
        <v>175</v>
      </c>
      <c r="CM925" s="34" t="s">
        <v>138</v>
      </c>
      <c r="CN925" s="29" t="s">
        <v>138</v>
      </c>
      <c r="CO925" s="35">
        <v>-0.28999999999999998</v>
      </c>
      <c r="CP925" s="36">
        <v>18</v>
      </c>
      <c r="CQ925" s="35">
        <v>0.04</v>
      </c>
      <c r="CR925" s="35">
        <v>11.48</v>
      </c>
      <c r="CS925" s="35">
        <v>-1.1499999999999999</v>
      </c>
      <c r="CT925" s="36">
        <v>14</v>
      </c>
      <c r="CU925" s="35">
        <v>0.57999999999999996</v>
      </c>
      <c r="CV925" s="36">
        <v>95</v>
      </c>
      <c r="CW925" s="35">
        <v>1.5</v>
      </c>
      <c r="CX925" s="36">
        <v>86</v>
      </c>
      <c r="CY925" s="35">
        <v>-3.81</v>
      </c>
      <c r="CZ925" s="36">
        <v>5</v>
      </c>
      <c r="DA925" s="35">
        <v>0.17</v>
      </c>
      <c r="DB925" s="36">
        <v>80</v>
      </c>
      <c r="DC925" s="37">
        <v>3.45</v>
      </c>
      <c r="DD925" s="36">
        <v>77</v>
      </c>
      <c r="DE925" s="37">
        <v>-0.14000000000000001</v>
      </c>
      <c r="DF925" s="35">
        <v>-3.85</v>
      </c>
      <c r="DG925" s="37">
        <v>2.88</v>
      </c>
      <c r="DH925" s="36">
        <v>74</v>
      </c>
      <c r="DI925" s="37">
        <v>4.01</v>
      </c>
      <c r="DJ925" s="36">
        <v>74</v>
      </c>
      <c r="DK925" s="37">
        <v>3.39</v>
      </c>
      <c r="DL925" s="36">
        <v>73</v>
      </c>
      <c r="DM925" s="37">
        <v>2.38</v>
      </c>
      <c r="DN925" s="36">
        <v>69</v>
      </c>
      <c r="DO925" s="37">
        <v>1.65</v>
      </c>
      <c r="DP925" s="36">
        <v>60</v>
      </c>
      <c r="DQ925" s="36">
        <v>1122</v>
      </c>
      <c r="DR925" s="38">
        <v>123</v>
      </c>
      <c r="DS925" s="35">
        <v>12.31</v>
      </c>
      <c r="DT925" s="36">
        <v>70</v>
      </c>
      <c r="DU925" s="38">
        <v>-5</v>
      </c>
      <c r="DV925" s="35">
        <v>-6.67</v>
      </c>
      <c r="DW925" s="36">
        <v>589</v>
      </c>
      <c r="DX925" s="39">
        <v>0</v>
      </c>
      <c r="DY925" s="35">
        <v>0</v>
      </c>
      <c r="DZ925" s="28" t="s">
        <v>178</v>
      </c>
      <c r="EA925" s="34">
        <v>43481</v>
      </c>
      <c r="EB925" s="29" t="s">
        <v>138</v>
      </c>
      <c r="EC925" s="34" t="s">
        <v>138</v>
      </c>
      <c r="ED925" s="28" t="s">
        <v>138</v>
      </c>
      <c r="EE925" s="40" t="str">
        <f>HYPERLINK("https://my.pitchbook.com?c=223571-98", "View company online")</f>
        <v>View company online</v>
      </c>
    </row>
    <row r="926" spans="1:135">
      <c r="A926" s="15" t="s">
        <v>18236</v>
      </c>
      <c r="B926" s="15" t="s">
        <v>18237</v>
      </c>
      <c r="C926" s="15" t="s">
        <v>138</v>
      </c>
      <c r="D926" s="15" t="s">
        <v>18238</v>
      </c>
      <c r="E926" s="15" t="s">
        <v>18239</v>
      </c>
      <c r="F926" s="15" t="s">
        <v>18236</v>
      </c>
      <c r="G926" s="15" t="s">
        <v>18240</v>
      </c>
      <c r="H926" s="15" t="s">
        <v>322</v>
      </c>
      <c r="I926" s="15" t="s">
        <v>323</v>
      </c>
      <c r="J926" s="15" t="s">
        <v>324</v>
      </c>
      <c r="K926" s="15" t="s">
        <v>18241</v>
      </c>
      <c r="L926" s="15" t="s">
        <v>17553</v>
      </c>
      <c r="M926" s="15" t="s">
        <v>18242</v>
      </c>
      <c r="N926" s="15" t="s">
        <v>147</v>
      </c>
      <c r="O926" s="17">
        <v>88.5</v>
      </c>
      <c r="P926" s="15" t="s">
        <v>148</v>
      </c>
      <c r="Q926" s="15" t="s">
        <v>149</v>
      </c>
      <c r="R926" s="15" t="s">
        <v>174</v>
      </c>
      <c r="S926" s="15" t="s">
        <v>18243</v>
      </c>
      <c r="T926" s="18">
        <v>150</v>
      </c>
      <c r="U926" s="15" t="s">
        <v>18244</v>
      </c>
      <c r="V926" s="15" t="s">
        <v>138</v>
      </c>
      <c r="W926" s="15" t="s">
        <v>138</v>
      </c>
      <c r="X926" s="19">
        <v>2014</v>
      </c>
      <c r="Y926" s="15" t="s">
        <v>138</v>
      </c>
      <c r="Z926" s="15" t="s">
        <v>1163</v>
      </c>
      <c r="AA926" s="15" t="s">
        <v>1163</v>
      </c>
      <c r="AB926" s="20" t="s">
        <v>138</v>
      </c>
      <c r="AC926" s="20" t="s">
        <v>138</v>
      </c>
      <c r="AD926" s="20" t="s">
        <v>138</v>
      </c>
      <c r="AE926" s="20" t="s">
        <v>138</v>
      </c>
      <c r="AF926" s="20" t="s">
        <v>138</v>
      </c>
      <c r="AG926" s="15" t="s">
        <v>138</v>
      </c>
      <c r="AH926" s="20" t="s">
        <v>138</v>
      </c>
      <c r="AI926" s="20" t="s">
        <v>138</v>
      </c>
      <c r="AJ926" s="20" t="s">
        <v>138</v>
      </c>
      <c r="AK926" s="15" t="s">
        <v>18245</v>
      </c>
      <c r="AL926" s="15" t="s">
        <v>18246</v>
      </c>
      <c r="AM926" s="15" t="s">
        <v>938</v>
      </c>
      <c r="AN926" s="15" t="s">
        <v>18247</v>
      </c>
      <c r="AO926" s="15" t="s">
        <v>18248</v>
      </c>
      <c r="AP926" s="15" t="s">
        <v>1635</v>
      </c>
      <c r="AQ926" s="15" t="s">
        <v>1636</v>
      </c>
      <c r="AR926" s="15" t="s">
        <v>18249</v>
      </c>
      <c r="AS926" s="15" t="s">
        <v>1638</v>
      </c>
      <c r="AT926" s="15" t="s">
        <v>200</v>
      </c>
      <c r="AU926" s="15" t="s">
        <v>1639</v>
      </c>
      <c r="AV926" s="15" t="s">
        <v>162</v>
      </c>
      <c r="AW926" s="15" t="s">
        <v>18248</v>
      </c>
      <c r="AX926" s="15" t="s">
        <v>138</v>
      </c>
      <c r="AY926" s="15" t="s">
        <v>18250</v>
      </c>
      <c r="AZ926" s="15" t="s">
        <v>164</v>
      </c>
      <c r="BA926" s="15" t="s">
        <v>165</v>
      </c>
      <c r="BB926" s="15" t="s">
        <v>18251</v>
      </c>
      <c r="BC926" s="15" t="s">
        <v>18252</v>
      </c>
      <c r="BD926" s="21">
        <v>7</v>
      </c>
      <c r="BE926" s="15" t="s">
        <v>138</v>
      </c>
      <c r="BF926" s="15" t="s">
        <v>138</v>
      </c>
      <c r="BG926" s="15" t="s">
        <v>18253</v>
      </c>
      <c r="BH926" s="15" t="s">
        <v>18254</v>
      </c>
      <c r="BI926" s="15" t="s">
        <v>138</v>
      </c>
      <c r="BJ926" s="15" t="s">
        <v>18255</v>
      </c>
      <c r="BK926" s="15" t="s">
        <v>18256</v>
      </c>
      <c r="BL926" s="15" t="s">
        <v>18257</v>
      </c>
      <c r="BM926" s="22">
        <v>41954</v>
      </c>
      <c r="BN926" s="17">
        <v>14.5</v>
      </c>
      <c r="BO926" s="15" t="s">
        <v>172</v>
      </c>
      <c r="BP926" s="17">
        <v>36.25</v>
      </c>
      <c r="BQ926" s="15" t="s">
        <v>1178</v>
      </c>
      <c r="BR926" s="15" t="s">
        <v>205</v>
      </c>
      <c r="BS926" s="15" t="s">
        <v>206</v>
      </c>
      <c r="BT926" s="15" t="s">
        <v>138</v>
      </c>
      <c r="BU926" s="15" t="s">
        <v>174</v>
      </c>
      <c r="BV926" s="15" t="s">
        <v>138</v>
      </c>
      <c r="BW926" s="15" t="s">
        <v>138</v>
      </c>
      <c r="BX926" s="15" t="s">
        <v>138</v>
      </c>
      <c r="BY926" s="15" t="s">
        <v>175</v>
      </c>
      <c r="BZ926" s="22">
        <v>43528</v>
      </c>
      <c r="CA926" s="17">
        <v>405</v>
      </c>
      <c r="CB926" s="15" t="s">
        <v>172</v>
      </c>
      <c r="CC926" s="17">
        <v>405</v>
      </c>
      <c r="CD926" s="15" t="s">
        <v>172</v>
      </c>
      <c r="CE926" s="15" t="s">
        <v>2228</v>
      </c>
      <c r="CF926" s="15" t="s">
        <v>138</v>
      </c>
      <c r="CG926" s="15" t="s">
        <v>138</v>
      </c>
      <c r="CH926" s="15" t="s">
        <v>780</v>
      </c>
      <c r="CI926" s="15" t="s">
        <v>138</v>
      </c>
      <c r="CJ926" s="15" t="s">
        <v>138</v>
      </c>
      <c r="CK926" s="15" t="s">
        <v>138</v>
      </c>
      <c r="CL926" s="15" t="s">
        <v>352</v>
      </c>
      <c r="CM926" s="22" t="s">
        <v>138</v>
      </c>
      <c r="CN926" s="17" t="s">
        <v>138</v>
      </c>
      <c r="CO926" s="23">
        <v>1.53</v>
      </c>
      <c r="CP926" s="24">
        <v>98</v>
      </c>
      <c r="CQ926" s="23">
        <v>-0.04</v>
      </c>
      <c r="CR926" s="23">
        <v>-2.2400000000000002</v>
      </c>
      <c r="CS926" s="23">
        <v>2.4300000000000002</v>
      </c>
      <c r="CT926" s="24">
        <v>99</v>
      </c>
      <c r="CU926" s="23">
        <v>1.39</v>
      </c>
      <c r="CV926" s="24">
        <v>99</v>
      </c>
      <c r="CW926" s="23">
        <v>4.74</v>
      </c>
      <c r="CX926" s="24">
        <v>95</v>
      </c>
      <c r="CY926" s="23">
        <v>0.13</v>
      </c>
      <c r="CZ926" s="24">
        <v>98</v>
      </c>
      <c r="DA926" s="23">
        <v>1.4</v>
      </c>
      <c r="DB926" s="24">
        <v>99</v>
      </c>
      <c r="DC926" s="25">
        <v>6.43</v>
      </c>
      <c r="DD926" s="24">
        <v>86</v>
      </c>
      <c r="DE926" s="25">
        <v>-0.38</v>
      </c>
      <c r="DF926" s="23">
        <v>-5.62</v>
      </c>
      <c r="DG926" s="25">
        <v>17.11</v>
      </c>
      <c r="DH926" s="24">
        <v>94</v>
      </c>
      <c r="DI926" s="25">
        <v>1.92</v>
      </c>
      <c r="DJ926" s="24">
        <v>62</v>
      </c>
      <c r="DK926" s="25">
        <v>18.760000000000002</v>
      </c>
      <c r="DL926" s="24">
        <v>91</v>
      </c>
      <c r="DM926" s="25">
        <v>15.45</v>
      </c>
      <c r="DN926" s="24">
        <v>92</v>
      </c>
      <c r="DO926" s="25">
        <v>3.47</v>
      </c>
      <c r="DP926" s="24">
        <v>73</v>
      </c>
      <c r="DQ926" s="24">
        <v>6212</v>
      </c>
      <c r="DR926" s="26">
        <v>672</v>
      </c>
      <c r="DS926" s="23">
        <v>12.13</v>
      </c>
      <c r="DT926" s="24">
        <v>447</v>
      </c>
      <c r="DU926" s="26">
        <v>0</v>
      </c>
      <c r="DV926" s="23">
        <v>0</v>
      </c>
      <c r="DW926" s="24">
        <v>1238</v>
      </c>
      <c r="DX926" s="27">
        <v>13</v>
      </c>
      <c r="DY926" s="23">
        <v>1.06</v>
      </c>
      <c r="DZ926" s="15" t="s">
        <v>178</v>
      </c>
      <c r="EA926" s="22">
        <v>43622</v>
      </c>
      <c r="EB926" s="17">
        <v>405</v>
      </c>
      <c r="EC926" s="22">
        <v>43528</v>
      </c>
      <c r="ED926" s="15" t="s">
        <v>2228</v>
      </c>
      <c r="EE926" s="14" t="str">
        <f>HYPERLINK("https://my.pitchbook.com?c=160940-08", "View company online")</f>
        <v>View company online</v>
      </c>
    </row>
    <row r="927" spans="1:135">
      <c r="A927" s="28" t="s">
        <v>18258</v>
      </c>
      <c r="B927" s="28" t="s">
        <v>18259</v>
      </c>
      <c r="C927" s="28" t="s">
        <v>138</v>
      </c>
      <c r="D927" s="28" t="s">
        <v>18260</v>
      </c>
      <c r="E927" s="28" t="s">
        <v>18261</v>
      </c>
      <c r="F927" s="28" t="s">
        <v>18258</v>
      </c>
      <c r="G927" s="28" t="s">
        <v>18262</v>
      </c>
      <c r="H927" s="28" t="s">
        <v>322</v>
      </c>
      <c r="I927" s="28" t="s">
        <v>323</v>
      </c>
      <c r="J927" s="28" t="s">
        <v>461</v>
      </c>
      <c r="K927" s="28" t="s">
        <v>2209</v>
      </c>
      <c r="L927" s="28" t="s">
        <v>2210</v>
      </c>
      <c r="M927" s="28" t="s">
        <v>18263</v>
      </c>
      <c r="N927" s="28" t="s">
        <v>147</v>
      </c>
      <c r="O927" s="29">
        <v>13.77</v>
      </c>
      <c r="P927" s="28" t="s">
        <v>148</v>
      </c>
      <c r="Q927" s="28" t="s">
        <v>149</v>
      </c>
      <c r="R927" s="28" t="s">
        <v>174</v>
      </c>
      <c r="S927" s="28" t="s">
        <v>18264</v>
      </c>
      <c r="T927" s="30">
        <v>11</v>
      </c>
      <c r="U927" s="28" t="s">
        <v>1356</v>
      </c>
      <c r="V927" s="28" t="s">
        <v>138</v>
      </c>
      <c r="W927" s="28" t="s">
        <v>138</v>
      </c>
      <c r="X927" s="31">
        <v>2014</v>
      </c>
      <c r="Y927" s="28" t="s">
        <v>138</v>
      </c>
      <c r="Z927" s="28" t="s">
        <v>138</v>
      </c>
      <c r="AA927" s="28" t="s">
        <v>138</v>
      </c>
      <c r="AB927" s="32" t="s">
        <v>138</v>
      </c>
      <c r="AC927" s="32" t="s">
        <v>138</v>
      </c>
      <c r="AD927" s="32" t="s">
        <v>138</v>
      </c>
      <c r="AE927" s="32" t="s">
        <v>138</v>
      </c>
      <c r="AF927" s="32" t="s">
        <v>138</v>
      </c>
      <c r="AG927" s="28" t="s">
        <v>138</v>
      </c>
      <c r="AH927" s="32" t="s">
        <v>138</v>
      </c>
      <c r="AI927" s="32" t="s">
        <v>138</v>
      </c>
      <c r="AJ927" s="32" t="s">
        <v>138</v>
      </c>
      <c r="AK927" s="28" t="s">
        <v>18265</v>
      </c>
      <c r="AL927" s="28" t="s">
        <v>18266</v>
      </c>
      <c r="AM927" s="28" t="s">
        <v>221</v>
      </c>
      <c r="AN927" s="28" t="s">
        <v>18267</v>
      </c>
      <c r="AO927" s="28" t="s">
        <v>18268</v>
      </c>
      <c r="AP927" s="28" t="s">
        <v>11278</v>
      </c>
      <c r="AQ927" s="28" t="s">
        <v>18269</v>
      </c>
      <c r="AR927" s="28" t="s">
        <v>6298</v>
      </c>
      <c r="AS927" s="28" t="s">
        <v>11280</v>
      </c>
      <c r="AT927" s="28" t="s">
        <v>339</v>
      </c>
      <c r="AU927" s="28" t="s">
        <v>11281</v>
      </c>
      <c r="AV927" s="28" t="s">
        <v>162</v>
      </c>
      <c r="AW927" s="28" t="s">
        <v>18268</v>
      </c>
      <c r="AX927" s="28" t="s">
        <v>138</v>
      </c>
      <c r="AY927" s="28" t="s">
        <v>18270</v>
      </c>
      <c r="AZ927" s="28" t="s">
        <v>164</v>
      </c>
      <c r="BA927" s="28" t="s">
        <v>165</v>
      </c>
      <c r="BB927" s="28" t="s">
        <v>18271</v>
      </c>
      <c r="BC927" s="28" t="s">
        <v>18272</v>
      </c>
      <c r="BD927" s="33">
        <v>10</v>
      </c>
      <c r="BE927" s="28" t="s">
        <v>138</v>
      </c>
      <c r="BF927" s="28" t="s">
        <v>138</v>
      </c>
      <c r="BG927" s="28" t="s">
        <v>138</v>
      </c>
      <c r="BH927" s="28" t="s">
        <v>18273</v>
      </c>
      <c r="BI927" s="28" t="s">
        <v>138</v>
      </c>
      <c r="BJ927" s="28" t="s">
        <v>138</v>
      </c>
      <c r="BK927" s="28" t="s">
        <v>3826</v>
      </c>
      <c r="BL927" s="28" t="s">
        <v>8088</v>
      </c>
      <c r="BM927" s="34">
        <v>41831</v>
      </c>
      <c r="BN927" s="29">
        <v>0.8</v>
      </c>
      <c r="BO927" s="28" t="s">
        <v>172</v>
      </c>
      <c r="BP927" s="29" t="s">
        <v>138</v>
      </c>
      <c r="BQ927" s="28" t="s">
        <v>138</v>
      </c>
      <c r="BR927" s="28" t="s">
        <v>234</v>
      </c>
      <c r="BS927" s="28" t="s">
        <v>234</v>
      </c>
      <c r="BT927" s="28" t="s">
        <v>138</v>
      </c>
      <c r="BU927" s="28" t="s">
        <v>174</v>
      </c>
      <c r="BV927" s="28" t="s">
        <v>264</v>
      </c>
      <c r="BW927" s="28" t="s">
        <v>138</v>
      </c>
      <c r="BX927" s="28" t="s">
        <v>138</v>
      </c>
      <c r="BY927" s="28" t="s">
        <v>175</v>
      </c>
      <c r="BZ927" s="34">
        <v>43383</v>
      </c>
      <c r="CA927" s="29">
        <v>8</v>
      </c>
      <c r="CB927" s="28" t="s">
        <v>172</v>
      </c>
      <c r="CC927" s="29">
        <v>32</v>
      </c>
      <c r="CD927" s="28" t="s">
        <v>172</v>
      </c>
      <c r="CE927" s="28" t="s">
        <v>205</v>
      </c>
      <c r="CF927" s="28" t="s">
        <v>206</v>
      </c>
      <c r="CG927" s="28" t="s">
        <v>138</v>
      </c>
      <c r="CH927" s="28" t="s">
        <v>174</v>
      </c>
      <c r="CI927" s="28" t="s">
        <v>138</v>
      </c>
      <c r="CJ927" s="28" t="s">
        <v>138</v>
      </c>
      <c r="CK927" s="28" t="s">
        <v>138</v>
      </c>
      <c r="CL927" s="28" t="s">
        <v>175</v>
      </c>
      <c r="CM927" s="34" t="s">
        <v>138</v>
      </c>
      <c r="CN927" s="29" t="s">
        <v>138</v>
      </c>
      <c r="CO927" s="35">
        <v>0.3</v>
      </c>
      <c r="CP927" s="36">
        <v>94</v>
      </c>
      <c r="CQ927" s="35">
        <v>-0.11</v>
      </c>
      <c r="CR927" s="35">
        <v>-26.8</v>
      </c>
      <c r="CS927" s="35">
        <v>0.61</v>
      </c>
      <c r="CT927" s="36">
        <v>96</v>
      </c>
      <c r="CU927" s="35">
        <v>0</v>
      </c>
      <c r="CV927" s="36">
        <v>22</v>
      </c>
      <c r="CW927" s="35" t="s">
        <v>138</v>
      </c>
      <c r="CX927" s="36" t="s">
        <v>138</v>
      </c>
      <c r="CY927" s="35">
        <v>0.61</v>
      </c>
      <c r="CZ927" s="36">
        <v>99</v>
      </c>
      <c r="DA927" s="35">
        <v>0</v>
      </c>
      <c r="DB927" s="36">
        <v>22</v>
      </c>
      <c r="DC927" s="37">
        <v>1.97</v>
      </c>
      <c r="DD927" s="36">
        <v>67</v>
      </c>
      <c r="DE927" s="37">
        <v>-0.02</v>
      </c>
      <c r="DF927" s="35">
        <v>-0.83</v>
      </c>
      <c r="DG927" s="37">
        <v>3.69</v>
      </c>
      <c r="DH927" s="36">
        <v>78</v>
      </c>
      <c r="DI927" s="37">
        <v>0.25</v>
      </c>
      <c r="DJ927" s="36">
        <v>25</v>
      </c>
      <c r="DK927" s="37" t="s">
        <v>138</v>
      </c>
      <c r="DL927" s="36" t="s">
        <v>138</v>
      </c>
      <c r="DM927" s="37">
        <v>3.69</v>
      </c>
      <c r="DN927" s="36">
        <v>77</v>
      </c>
      <c r="DO927" s="37">
        <v>0.25</v>
      </c>
      <c r="DP927" s="36">
        <v>27</v>
      </c>
      <c r="DQ927" s="36" t="s">
        <v>138</v>
      </c>
      <c r="DR927" s="38" t="s">
        <v>138</v>
      </c>
      <c r="DS927" s="35" t="s">
        <v>138</v>
      </c>
      <c r="DT927" s="36">
        <v>107</v>
      </c>
      <c r="DU927" s="38">
        <v>-1</v>
      </c>
      <c r="DV927" s="35">
        <v>-0.93</v>
      </c>
      <c r="DW927" s="36">
        <v>90</v>
      </c>
      <c r="DX927" s="39">
        <v>0</v>
      </c>
      <c r="DY927" s="35">
        <v>0</v>
      </c>
      <c r="DZ927" s="28" t="s">
        <v>178</v>
      </c>
      <c r="EA927" s="34">
        <v>43502</v>
      </c>
      <c r="EB927" s="29">
        <v>32</v>
      </c>
      <c r="EC927" s="34">
        <v>43383</v>
      </c>
      <c r="ED927" s="28" t="s">
        <v>205</v>
      </c>
      <c r="EE927" s="40" t="str">
        <f>HYPERLINK("https://my.pitchbook.com?c=161630-11", "View company online")</f>
        <v>View company online</v>
      </c>
    </row>
    <row r="928" spans="1:135">
      <c r="A928" s="15" t="s">
        <v>18274</v>
      </c>
      <c r="B928" s="15" t="s">
        <v>18275</v>
      </c>
      <c r="C928" s="15" t="s">
        <v>138</v>
      </c>
      <c r="D928" s="15" t="s">
        <v>138</v>
      </c>
      <c r="E928" s="15" t="s">
        <v>138</v>
      </c>
      <c r="F928" s="15" t="s">
        <v>18274</v>
      </c>
      <c r="G928" s="15" t="s">
        <v>18276</v>
      </c>
      <c r="H928" s="15" t="s">
        <v>183</v>
      </c>
      <c r="I928" s="15" t="s">
        <v>4681</v>
      </c>
      <c r="J928" s="15" t="s">
        <v>9676</v>
      </c>
      <c r="K928" s="15" t="s">
        <v>18277</v>
      </c>
      <c r="L928" s="15" t="s">
        <v>13011</v>
      </c>
      <c r="M928" s="15" t="s">
        <v>18278</v>
      </c>
      <c r="N928" s="15" t="s">
        <v>147</v>
      </c>
      <c r="O928" s="17">
        <v>16.05</v>
      </c>
      <c r="P928" s="15" t="s">
        <v>148</v>
      </c>
      <c r="Q928" s="15" t="s">
        <v>149</v>
      </c>
      <c r="R928" s="15" t="s">
        <v>174</v>
      </c>
      <c r="S928" s="15" t="s">
        <v>18279</v>
      </c>
      <c r="T928" s="18">
        <v>18</v>
      </c>
      <c r="U928" s="15" t="s">
        <v>18280</v>
      </c>
      <c r="V928" s="15" t="s">
        <v>138</v>
      </c>
      <c r="W928" s="15" t="s">
        <v>138</v>
      </c>
      <c r="X928" s="19">
        <v>2008</v>
      </c>
      <c r="Y928" s="15" t="s">
        <v>138</v>
      </c>
      <c r="Z928" s="15" t="s">
        <v>138</v>
      </c>
      <c r="AA928" s="15" t="s">
        <v>138</v>
      </c>
      <c r="AB928" s="20" t="s">
        <v>138</v>
      </c>
      <c r="AC928" s="20" t="s">
        <v>138</v>
      </c>
      <c r="AD928" s="20" t="s">
        <v>138</v>
      </c>
      <c r="AE928" s="20" t="s">
        <v>138</v>
      </c>
      <c r="AF928" s="20" t="s">
        <v>138</v>
      </c>
      <c r="AG928" s="15" t="s">
        <v>138</v>
      </c>
      <c r="AH928" s="20" t="s">
        <v>138</v>
      </c>
      <c r="AI928" s="20" t="s">
        <v>138</v>
      </c>
      <c r="AJ928" s="20" t="s">
        <v>138</v>
      </c>
      <c r="AK928" s="15" t="s">
        <v>18281</v>
      </c>
      <c r="AL928" s="15" t="s">
        <v>18282</v>
      </c>
      <c r="AM928" s="15" t="s">
        <v>18283</v>
      </c>
      <c r="AN928" s="15" t="s">
        <v>18284</v>
      </c>
      <c r="AO928" s="15" t="s">
        <v>18285</v>
      </c>
      <c r="AP928" s="15" t="s">
        <v>18286</v>
      </c>
      <c r="AQ928" s="15" t="s">
        <v>18287</v>
      </c>
      <c r="AR928" s="15" t="s">
        <v>138</v>
      </c>
      <c r="AS928" s="15" t="s">
        <v>18288</v>
      </c>
      <c r="AT928" s="15" t="s">
        <v>2740</v>
      </c>
      <c r="AU928" s="15" t="s">
        <v>18289</v>
      </c>
      <c r="AV928" s="15" t="s">
        <v>2742</v>
      </c>
      <c r="AW928" s="15" t="s">
        <v>18290</v>
      </c>
      <c r="AX928" s="15" t="s">
        <v>138</v>
      </c>
      <c r="AY928" s="15" t="s">
        <v>138</v>
      </c>
      <c r="AZ928" s="15" t="s">
        <v>164</v>
      </c>
      <c r="BA928" s="15" t="s">
        <v>165</v>
      </c>
      <c r="BB928" s="15" t="s">
        <v>18291</v>
      </c>
      <c r="BC928" s="15" t="s">
        <v>18292</v>
      </c>
      <c r="BD928" s="21">
        <v>7</v>
      </c>
      <c r="BE928" s="15" t="s">
        <v>138</v>
      </c>
      <c r="BF928" s="15" t="s">
        <v>138</v>
      </c>
      <c r="BG928" s="15" t="s">
        <v>138</v>
      </c>
      <c r="BH928" s="15" t="s">
        <v>18293</v>
      </c>
      <c r="BI928" s="15" t="s">
        <v>138</v>
      </c>
      <c r="BJ928" s="15" t="s">
        <v>138</v>
      </c>
      <c r="BK928" s="15" t="s">
        <v>18294</v>
      </c>
      <c r="BL928" s="15" t="s">
        <v>138</v>
      </c>
      <c r="BM928" s="22">
        <v>41640</v>
      </c>
      <c r="BN928" s="17">
        <v>1.17</v>
      </c>
      <c r="BO928" s="15" t="s">
        <v>172</v>
      </c>
      <c r="BP928" s="17" t="s">
        <v>138</v>
      </c>
      <c r="BQ928" s="15" t="s">
        <v>138</v>
      </c>
      <c r="BR928" s="15" t="s">
        <v>176</v>
      </c>
      <c r="BS928" s="15" t="s">
        <v>138</v>
      </c>
      <c r="BT928" s="15" t="s">
        <v>138</v>
      </c>
      <c r="BU928" s="15" t="s">
        <v>177</v>
      </c>
      <c r="BV928" s="15" t="s">
        <v>138</v>
      </c>
      <c r="BW928" s="15" t="s">
        <v>138</v>
      </c>
      <c r="BX928" s="15" t="s">
        <v>138</v>
      </c>
      <c r="BY928" s="15" t="s">
        <v>175</v>
      </c>
      <c r="BZ928" s="22">
        <v>42915</v>
      </c>
      <c r="CA928" s="17">
        <v>12</v>
      </c>
      <c r="CB928" s="15" t="s">
        <v>172</v>
      </c>
      <c r="CC928" s="17" t="s">
        <v>138</v>
      </c>
      <c r="CD928" s="15" t="s">
        <v>138</v>
      </c>
      <c r="CE928" s="15" t="s">
        <v>173</v>
      </c>
      <c r="CF928" s="15" t="s">
        <v>138</v>
      </c>
      <c r="CG928" s="15" t="s">
        <v>138</v>
      </c>
      <c r="CH928" s="15" t="s">
        <v>174</v>
      </c>
      <c r="CI928" s="15" t="s">
        <v>264</v>
      </c>
      <c r="CJ928" s="15" t="s">
        <v>138</v>
      </c>
      <c r="CK928" s="15" t="s">
        <v>138</v>
      </c>
      <c r="CL928" s="15" t="s">
        <v>175</v>
      </c>
      <c r="CM928" s="22" t="s">
        <v>138</v>
      </c>
      <c r="CN928" s="17" t="s">
        <v>138</v>
      </c>
      <c r="CO928" s="23">
        <v>0</v>
      </c>
      <c r="CP928" s="24">
        <v>26</v>
      </c>
      <c r="CQ928" s="23">
        <v>0</v>
      </c>
      <c r="CR928" s="23">
        <v>0</v>
      </c>
      <c r="CS928" s="23">
        <v>0</v>
      </c>
      <c r="CT928" s="24">
        <v>23</v>
      </c>
      <c r="CU928" s="23" t="s">
        <v>138</v>
      </c>
      <c r="CV928" s="24" t="s">
        <v>138</v>
      </c>
      <c r="CW928" s="23" t="s">
        <v>138</v>
      </c>
      <c r="CX928" s="24" t="s">
        <v>138</v>
      </c>
      <c r="CY928" s="23">
        <v>0</v>
      </c>
      <c r="CZ928" s="24">
        <v>25</v>
      </c>
      <c r="DA928" s="23" t="s">
        <v>138</v>
      </c>
      <c r="DB928" s="24" t="s">
        <v>138</v>
      </c>
      <c r="DC928" s="25">
        <v>0.34</v>
      </c>
      <c r="DD928" s="24">
        <v>25</v>
      </c>
      <c r="DE928" s="25">
        <v>0</v>
      </c>
      <c r="DF928" s="23">
        <v>0</v>
      </c>
      <c r="DG928" s="25">
        <v>0.34</v>
      </c>
      <c r="DH928" s="24">
        <v>25</v>
      </c>
      <c r="DI928" s="25" t="s">
        <v>138</v>
      </c>
      <c r="DJ928" s="24" t="s">
        <v>138</v>
      </c>
      <c r="DK928" s="25" t="s">
        <v>138</v>
      </c>
      <c r="DL928" s="24" t="s">
        <v>138</v>
      </c>
      <c r="DM928" s="25">
        <v>0.34</v>
      </c>
      <c r="DN928" s="24">
        <v>26</v>
      </c>
      <c r="DO928" s="25" t="s">
        <v>138</v>
      </c>
      <c r="DP928" s="24" t="s">
        <v>138</v>
      </c>
      <c r="DQ928" s="24" t="s">
        <v>138</v>
      </c>
      <c r="DR928" s="26" t="s">
        <v>138</v>
      </c>
      <c r="DS928" s="23" t="s">
        <v>138</v>
      </c>
      <c r="DT928" s="24">
        <v>10</v>
      </c>
      <c r="DU928" s="26">
        <v>0</v>
      </c>
      <c r="DV928" s="23">
        <v>0</v>
      </c>
      <c r="DW928" s="24" t="s">
        <v>138</v>
      </c>
      <c r="DX928" s="27" t="s">
        <v>138</v>
      </c>
      <c r="DY928" s="23" t="s">
        <v>138</v>
      </c>
      <c r="DZ928" s="15" t="s">
        <v>178</v>
      </c>
      <c r="EA928" s="22">
        <v>43622</v>
      </c>
      <c r="EB928" s="17" t="s">
        <v>138</v>
      </c>
      <c r="EC928" s="22" t="s">
        <v>138</v>
      </c>
      <c r="ED928" s="15" t="s">
        <v>138</v>
      </c>
      <c r="EE928" s="14" t="str">
        <f>HYPERLINK("https://my.pitchbook.com?c=96405-76", "View company online")</f>
        <v>View company online</v>
      </c>
    </row>
    <row r="929" spans="1:135">
      <c r="A929" s="28" t="s">
        <v>18295</v>
      </c>
      <c r="B929" s="28" t="s">
        <v>18296</v>
      </c>
      <c r="C929" s="28" t="s">
        <v>18297</v>
      </c>
      <c r="D929" s="28" t="s">
        <v>138</v>
      </c>
      <c r="E929" s="28" t="s">
        <v>18298</v>
      </c>
      <c r="F929" s="28" t="s">
        <v>18295</v>
      </c>
      <c r="G929" s="28" t="s">
        <v>18299</v>
      </c>
      <c r="H929" s="28" t="s">
        <v>322</v>
      </c>
      <c r="I929" s="28" t="s">
        <v>807</v>
      </c>
      <c r="J929" s="28" t="s">
        <v>2534</v>
      </c>
      <c r="K929" s="28" t="s">
        <v>18300</v>
      </c>
      <c r="L929" s="28" t="s">
        <v>215</v>
      </c>
      <c r="M929" s="28" t="s">
        <v>18301</v>
      </c>
      <c r="N929" s="28" t="s">
        <v>147</v>
      </c>
      <c r="O929" s="29">
        <v>254.07</v>
      </c>
      <c r="P929" s="28" t="s">
        <v>148</v>
      </c>
      <c r="Q929" s="28" t="s">
        <v>149</v>
      </c>
      <c r="R929" s="28" t="s">
        <v>174</v>
      </c>
      <c r="S929" s="28" t="s">
        <v>18302</v>
      </c>
      <c r="T929" s="30">
        <v>700</v>
      </c>
      <c r="U929" s="28" t="s">
        <v>18303</v>
      </c>
      <c r="V929" s="28" t="s">
        <v>138</v>
      </c>
      <c r="W929" s="28" t="s">
        <v>138</v>
      </c>
      <c r="X929" s="31">
        <v>2001</v>
      </c>
      <c r="Y929" s="28" t="s">
        <v>138</v>
      </c>
      <c r="Z929" s="28" t="s">
        <v>138</v>
      </c>
      <c r="AA929" s="28" t="s">
        <v>138</v>
      </c>
      <c r="AB929" s="32">
        <v>100</v>
      </c>
      <c r="AC929" s="32" t="s">
        <v>138</v>
      </c>
      <c r="AD929" s="32" t="s">
        <v>138</v>
      </c>
      <c r="AE929" s="32" t="s">
        <v>138</v>
      </c>
      <c r="AF929" s="32" t="s">
        <v>138</v>
      </c>
      <c r="AG929" s="28" t="s">
        <v>707</v>
      </c>
      <c r="AH929" s="32" t="s">
        <v>138</v>
      </c>
      <c r="AI929" s="32" t="s">
        <v>138</v>
      </c>
      <c r="AJ929" s="32" t="s">
        <v>138</v>
      </c>
      <c r="AK929" s="28" t="s">
        <v>18304</v>
      </c>
      <c r="AL929" s="28" t="s">
        <v>18305</v>
      </c>
      <c r="AM929" s="28" t="s">
        <v>2194</v>
      </c>
      <c r="AN929" s="28" t="s">
        <v>18306</v>
      </c>
      <c r="AO929" s="28" t="s">
        <v>18307</v>
      </c>
      <c r="AP929" s="28" t="s">
        <v>1244</v>
      </c>
      <c r="AQ929" s="28" t="s">
        <v>18308</v>
      </c>
      <c r="AR929" s="28" t="s">
        <v>158</v>
      </c>
      <c r="AS929" s="28" t="s">
        <v>1246</v>
      </c>
      <c r="AT929" s="28" t="s">
        <v>200</v>
      </c>
      <c r="AU929" s="28" t="s">
        <v>4589</v>
      </c>
      <c r="AV929" s="28" t="s">
        <v>162</v>
      </c>
      <c r="AW929" s="28" t="s">
        <v>18307</v>
      </c>
      <c r="AX929" s="28" t="s">
        <v>18309</v>
      </c>
      <c r="AY929" s="28" t="s">
        <v>138</v>
      </c>
      <c r="AZ929" s="28" t="s">
        <v>164</v>
      </c>
      <c r="BA929" s="28" t="s">
        <v>165</v>
      </c>
      <c r="BB929" s="28" t="s">
        <v>18310</v>
      </c>
      <c r="BC929" s="28" t="s">
        <v>18311</v>
      </c>
      <c r="BD929" s="33">
        <v>14</v>
      </c>
      <c r="BE929" s="28" t="s">
        <v>138</v>
      </c>
      <c r="BF929" s="28" t="s">
        <v>138</v>
      </c>
      <c r="BG929" s="28" t="s">
        <v>138</v>
      </c>
      <c r="BH929" s="28" t="s">
        <v>18312</v>
      </c>
      <c r="BI929" s="28" t="s">
        <v>138</v>
      </c>
      <c r="BJ929" s="28" t="s">
        <v>138</v>
      </c>
      <c r="BK929" s="28" t="s">
        <v>18313</v>
      </c>
      <c r="BL929" s="28" t="s">
        <v>3164</v>
      </c>
      <c r="BM929" s="34">
        <v>41284</v>
      </c>
      <c r="BN929" s="29">
        <v>9.11</v>
      </c>
      <c r="BO929" s="28" t="s">
        <v>172</v>
      </c>
      <c r="BP929" s="29">
        <v>28.6</v>
      </c>
      <c r="BQ929" s="28" t="s">
        <v>172</v>
      </c>
      <c r="BR929" s="28" t="s">
        <v>173</v>
      </c>
      <c r="BS929" s="28" t="s">
        <v>623</v>
      </c>
      <c r="BT929" s="28" t="s">
        <v>138</v>
      </c>
      <c r="BU929" s="28" t="s">
        <v>174</v>
      </c>
      <c r="BV929" s="28" t="s">
        <v>138</v>
      </c>
      <c r="BW929" s="28" t="s">
        <v>138</v>
      </c>
      <c r="BX929" s="28" t="s">
        <v>138</v>
      </c>
      <c r="BY929" s="28" t="s">
        <v>175</v>
      </c>
      <c r="BZ929" s="34" t="s">
        <v>138</v>
      </c>
      <c r="CA929" s="29" t="s">
        <v>138</v>
      </c>
      <c r="CB929" s="28" t="s">
        <v>138</v>
      </c>
      <c r="CC929" s="29" t="s">
        <v>138</v>
      </c>
      <c r="CD929" s="28" t="s">
        <v>138</v>
      </c>
      <c r="CE929" s="28" t="s">
        <v>173</v>
      </c>
      <c r="CF929" s="28" t="s">
        <v>138</v>
      </c>
      <c r="CG929" s="28" t="s">
        <v>138</v>
      </c>
      <c r="CH929" s="28" t="s">
        <v>174</v>
      </c>
      <c r="CI929" s="28" t="s">
        <v>138</v>
      </c>
      <c r="CJ929" s="28" t="s">
        <v>138</v>
      </c>
      <c r="CK929" s="28" t="s">
        <v>138</v>
      </c>
      <c r="CL929" s="28" t="s">
        <v>175</v>
      </c>
      <c r="CM929" s="34" t="s">
        <v>138</v>
      </c>
      <c r="CN929" s="29" t="s">
        <v>138</v>
      </c>
      <c r="CO929" s="35">
        <v>-0.81</v>
      </c>
      <c r="CP929" s="36">
        <v>13</v>
      </c>
      <c r="CQ929" s="35">
        <v>0.01</v>
      </c>
      <c r="CR929" s="35">
        <v>1.78</v>
      </c>
      <c r="CS929" s="35">
        <v>-1.63</v>
      </c>
      <c r="CT929" s="36">
        <v>11</v>
      </c>
      <c r="CU929" s="35">
        <v>0.01</v>
      </c>
      <c r="CV929" s="36">
        <v>49</v>
      </c>
      <c r="CW929" s="35">
        <v>-1.58</v>
      </c>
      <c r="CX929" s="36">
        <v>8</v>
      </c>
      <c r="CY929" s="35">
        <v>-1.67</v>
      </c>
      <c r="CZ929" s="36">
        <v>13</v>
      </c>
      <c r="DA929" s="35">
        <v>0.01</v>
      </c>
      <c r="DB929" s="36">
        <v>57</v>
      </c>
      <c r="DC929" s="37">
        <v>46.79</v>
      </c>
      <c r="DD929" s="36">
        <v>98</v>
      </c>
      <c r="DE929" s="37">
        <v>-1.1499999999999999</v>
      </c>
      <c r="DF929" s="35">
        <v>-2.41</v>
      </c>
      <c r="DG929" s="37">
        <v>57.35</v>
      </c>
      <c r="DH929" s="36">
        <v>98</v>
      </c>
      <c r="DI929" s="37">
        <v>36.229999999999997</v>
      </c>
      <c r="DJ929" s="36">
        <v>94</v>
      </c>
      <c r="DK929" s="37">
        <v>40.04</v>
      </c>
      <c r="DL929" s="36">
        <v>95</v>
      </c>
      <c r="DM929" s="37">
        <v>74.66</v>
      </c>
      <c r="DN929" s="36">
        <v>99</v>
      </c>
      <c r="DO929" s="37">
        <v>36.229999999999997</v>
      </c>
      <c r="DP929" s="36">
        <v>95</v>
      </c>
      <c r="DQ929" s="36">
        <v>13621</v>
      </c>
      <c r="DR929" s="38">
        <v>343</v>
      </c>
      <c r="DS929" s="35">
        <v>2.58</v>
      </c>
      <c r="DT929" s="36">
        <v>2163</v>
      </c>
      <c r="DU929" s="38">
        <v>18</v>
      </c>
      <c r="DV929" s="35">
        <v>0.84</v>
      </c>
      <c r="DW929" s="36">
        <v>12973</v>
      </c>
      <c r="DX929" s="39">
        <v>2</v>
      </c>
      <c r="DY929" s="35">
        <v>0.02</v>
      </c>
      <c r="DZ929" s="28" t="s">
        <v>178</v>
      </c>
      <c r="EA929" s="34">
        <v>43504</v>
      </c>
      <c r="EB929" s="29">
        <v>555.54999999999995</v>
      </c>
      <c r="EC929" s="34">
        <v>42233</v>
      </c>
      <c r="ED929" s="28" t="s">
        <v>173</v>
      </c>
      <c r="EE929" s="40" t="str">
        <f>HYPERLINK("https://my.pitchbook.com?c=55922-32", "View company online")</f>
        <v>View company online</v>
      </c>
    </row>
    <row r="930" spans="1:135">
      <c r="A930" s="15" t="s">
        <v>18314</v>
      </c>
      <c r="B930" s="15" t="s">
        <v>18315</v>
      </c>
      <c r="C930" s="15" t="s">
        <v>138</v>
      </c>
      <c r="D930" s="15" t="s">
        <v>18316</v>
      </c>
      <c r="E930" s="15" t="s">
        <v>138</v>
      </c>
      <c r="F930" s="15" t="s">
        <v>18314</v>
      </c>
      <c r="G930" s="15" t="s">
        <v>18317</v>
      </c>
      <c r="H930" s="15" t="s">
        <v>5219</v>
      </c>
      <c r="I930" s="15" t="s">
        <v>17947</v>
      </c>
      <c r="J930" s="15" t="s">
        <v>17948</v>
      </c>
      <c r="K930" s="15" t="s">
        <v>18318</v>
      </c>
      <c r="L930" s="15" t="s">
        <v>1994</v>
      </c>
      <c r="M930" s="15" t="s">
        <v>18319</v>
      </c>
      <c r="N930" s="15" t="s">
        <v>147</v>
      </c>
      <c r="O930" s="17">
        <v>73.349999999999994</v>
      </c>
      <c r="P930" s="15" t="s">
        <v>148</v>
      </c>
      <c r="Q930" s="15" t="s">
        <v>149</v>
      </c>
      <c r="R930" s="15" t="s">
        <v>174</v>
      </c>
      <c r="S930" s="15" t="s">
        <v>18320</v>
      </c>
      <c r="T930" s="18">
        <v>47</v>
      </c>
      <c r="U930" s="15" t="s">
        <v>18321</v>
      </c>
      <c r="V930" s="15" t="s">
        <v>138</v>
      </c>
      <c r="W930" s="15" t="s">
        <v>138</v>
      </c>
      <c r="X930" s="19">
        <v>2009</v>
      </c>
      <c r="Y930" s="15" t="s">
        <v>138</v>
      </c>
      <c r="Z930" s="15" t="s">
        <v>138</v>
      </c>
      <c r="AA930" s="15" t="s">
        <v>138</v>
      </c>
      <c r="AB930" s="20" t="s">
        <v>138</v>
      </c>
      <c r="AC930" s="20" t="s">
        <v>138</v>
      </c>
      <c r="AD930" s="20" t="s">
        <v>138</v>
      </c>
      <c r="AE930" s="20" t="s">
        <v>138</v>
      </c>
      <c r="AF930" s="20" t="s">
        <v>138</v>
      </c>
      <c r="AG930" s="15" t="s">
        <v>138</v>
      </c>
      <c r="AH930" s="20" t="s">
        <v>138</v>
      </c>
      <c r="AI930" s="20" t="s">
        <v>138</v>
      </c>
      <c r="AJ930" s="20" t="s">
        <v>138</v>
      </c>
      <c r="AK930" s="15" t="s">
        <v>18322</v>
      </c>
      <c r="AL930" s="15" t="s">
        <v>18323</v>
      </c>
      <c r="AM930" s="15" t="s">
        <v>249</v>
      </c>
      <c r="AN930" s="15" t="s">
        <v>18324</v>
      </c>
      <c r="AO930" s="15" t="s">
        <v>18325</v>
      </c>
      <c r="AP930" s="15" t="s">
        <v>3108</v>
      </c>
      <c r="AQ930" s="15" t="s">
        <v>158</v>
      </c>
      <c r="AR930" s="15" t="s">
        <v>18326</v>
      </c>
      <c r="AS930" s="15" t="s">
        <v>3111</v>
      </c>
      <c r="AT930" s="15" t="s">
        <v>3112</v>
      </c>
      <c r="AU930" s="15" t="s">
        <v>18327</v>
      </c>
      <c r="AV930" s="15" t="s">
        <v>2742</v>
      </c>
      <c r="AW930" s="15" t="s">
        <v>18325</v>
      </c>
      <c r="AX930" s="15" t="s">
        <v>18328</v>
      </c>
      <c r="AY930" s="15" t="s">
        <v>18329</v>
      </c>
      <c r="AZ930" s="15" t="s">
        <v>164</v>
      </c>
      <c r="BA930" s="15" t="s">
        <v>165</v>
      </c>
      <c r="BB930" s="15" t="s">
        <v>18330</v>
      </c>
      <c r="BC930" s="15" t="s">
        <v>18331</v>
      </c>
      <c r="BD930" s="21">
        <v>11</v>
      </c>
      <c r="BE930" s="15" t="s">
        <v>138</v>
      </c>
      <c r="BF930" s="15" t="s">
        <v>138</v>
      </c>
      <c r="BG930" s="15" t="s">
        <v>138</v>
      </c>
      <c r="BH930" s="15" t="s">
        <v>18332</v>
      </c>
      <c r="BI930" s="15" t="s">
        <v>138</v>
      </c>
      <c r="BJ930" s="15" t="s">
        <v>138</v>
      </c>
      <c r="BK930" s="15" t="s">
        <v>18333</v>
      </c>
      <c r="BL930" s="15" t="s">
        <v>18334</v>
      </c>
      <c r="BM930" s="22">
        <v>40809</v>
      </c>
      <c r="BN930" s="17">
        <v>0.04</v>
      </c>
      <c r="BO930" s="15" t="s">
        <v>172</v>
      </c>
      <c r="BP930" s="17" t="s">
        <v>138</v>
      </c>
      <c r="BQ930" s="15" t="s">
        <v>138</v>
      </c>
      <c r="BR930" s="15" t="s">
        <v>176</v>
      </c>
      <c r="BS930" s="15" t="s">
        <v>138</v>
      </c>
      <c r="BT930" s="15" t="s">
        <v>138</v>
      </c>
      <c r="BU930" s="15" t="s">
        <v>177</v>
      </c>
      <c r="BV930" s="15" t="s">
        <v>138</v>
      </c>
      <c r="BW930" s="15" t="s">
        <v>138</v>
      </c>
      <c r="BX930" s="15" t="s">
        <v>138</v>
      </c>
      <c r="BY930" s="15" t="s">
        <v>175</v>
      </c>
      <c r="BZ930" s="22">
        <v>43319</v>
      </c>
      <c r="CA930" s="17">
        <v>18</v>
      </c>
      <c r="CB930" s="15" t="s">
        <v>172</v>
      </c>
      <c r="CC930" s="17" t="s">
        <v>138</v>
      </c>
      <c r="CD930" s="15" t="s">
        <v>138</v>
      </c>
      <c r="CE930" s="15" t="s">
        <v>173</v>
      </c>
      <c r="CF930" s="15" t="s">
        <v>317</v>
      </c>
      <c r="CG930" s="15" t="s">
        <v>138</v>
      </c>
      <c r="CH930" s="15" t="s">
        <v>174</v>
      </c>
      <c r="CI930" s="15" t="s">
        <v>138</v>
      </c>
      <c r="CJ930" s="15" t="s">
        <v>138</v>
      </c>
      <c r="CK930" s="15" t="s">
        <v>138</v>
      </c>
      <c r="CL930" s="15" t="s">
        <v>175</v>
      </c>
      <c r="CM930" s="22">
        <v>43191</v>
      </c>
      <c r="CN930" s="17">
        <v>1.5</v>
      </c>
      <c r="CO930" s="23">
        <v>0.09</v>
      </c>
      <c r="CP930" s="24">
        <v>90</v>
      </c>
      <c r="CQ930" s="23">
        <v>0.04</v>
      </c>
      <c r="CR930" s="23">
        <v>66.38</v>
      </c>
      <c r="CS930" s="23">
        <v>0</v>
      </c>
      <c r="CT930" s="24">
        <v>23</v>
      </c>
      <c r="CU930" s="23">
        <v>0.18</v>
      </c>
      <c r="CV930" s="24">
        <v>78</v>
      </c>
      <c r="CW930" s="23" t="s">
        <v>138</v>
      </c>
      <c r="CX930" s="24" t="s">
        <v>138</v>
      </c>
      <c r="CY930" s="23">
        <v>0</v>
      </c>
      <c r="CZ930" s="24">
        <v>25</v>
      </c>
      <c r="DA930" s="23">
        <v>0.18</v>
      </c>
      <c r="DB930" s="24">
        <v>81</v>
      </c>
      <c r="DC930" s="25">
        <v>1.57</v>
      </c>
      <c r="DD930" s="24">
        <v>62</v>
      </c>
      <c r="DE930" s="25">
        <v>0.02</v>
      </c>
      <c r="DF930" s="23">
        <v>1.56</v>
      </c>
      <c r="DG930" s="25">
        <v>2.17</v>
      </c>
      <c r="DH930" s="24">
        <v>68</v>
      </c>
      <c r="DI930" s="25">
        <v>0.97</v>
      </c>
      <c r="DJ930" s="24">
        <v>49</v>
      </c>
      <c r="DK930" s="25" t="s">
        <v>138</v>
      </c>
      <c r="DL930" s="24" t="s">
        <v>138</v>
      </c>
      <c r="DM930" s="25">
        <v>2.17</v>
      </c>
      <c r="DN930" s="24">
        <v>67</v>
      </c>
      <c r="DO930" s="25">
        <v>0.97</v>
      </c>
      <c r="DP930" s="24">
        <v>50</v>
      </c>
      <c r="DQ930" s="24" t="s">
        <v>138</v>
      </c>
      <c r="DR930" s="26" t="s">
        <v>138</v>
      </c>
      <c r="DS930" s="23" t="s">
        <v>138</v>
      </c>
      <c r="DT930" s="24">
        <v>62</v>
      </c>
      <c r="DU930" s="26">
        <v>0</v>
      </c>
      <c r="DV930" s="23">
        <v>0</v>
      </c>
      <c r="DW930" s="24">
        <v>344</v>
      </c>
      <c r="DX930" s="27">
        <v>1</v>
      </c>
      <c r="DY930" s="23">
        <v>0.28999999999999998</v>
      </c>
      <c r="DZ930" s="15" t="s">
        <v>178</v>
      </c>
      <c r="EA930" s="22">
        <v>43469</v>
      </c>
      <c r="EB930" s="17" t="s">
        <v>138</v>
      </c>
      <c r="EC930" s="22" t="s">
        <v>138</v>
      </c>
      <c r="ED930" s="15" t="s">
        <v>138</v>
      </c>
      <c r="EE930" s="14" t="str">
        <f>HYPERLINK("https://my.pitchbook.com?c=56328-67", "View company online")</f>
        <v>View company online</v>
      </c>
    </row>
    <row r="931" spans="1:135">
      <c r="A931" s="28" t="s">
        <v>18335</v>
      </c>
      <c r="B931" s="28" t="s">
        <v>18336</v>
      </c>
      <c r="C931" s="28" t="s">
        <v>18337</v>
      </c>
      <c r="D931" s="28" t="s">
        <v>138</v>
      </c>
      <c r="E931" s="28" t="s">
        <v>18338</v>
      </c>
      <c r="F931" s="28" t="s">
        <v>18335</v>
      </c>
      <c r="G931" s="28" t="s">
        <v>18339</v>
      </c>
      <c r="H931" s="28" t="s">
        <v>322</v>
      </c>
      <c r="I931" s="28" t="s">
        <v>323</v>
      </c>
      <c r="J931" s="28" t="s">
        <v>437</v>
      </c>
      <c r="K931" s="28" t="s">
        <v>18340</v>
      </c>
      <c r="L931" s="28" t="s">
        <v>6111</v>
      </c>
      <c r="M931" s="28" t="s">
        <v>18341</v>
      </c>
      <c r="N931" s="28" t="s">
        <v>147</v>
      </c>
      <c r="O931" s="29">
        <v>14</v>
      </c>
      <c r="P931" s="28" t="s">
        <v>148</v>
      </c>
      <c r="Q931" s="28" t="s">
        <v>149</v>
      </c>
      <c r="R931" s="28" t="s">
        <v>174</v>
      </c>
      <c r="S931" s="28" t="s">
        <v>18342</v>
      </c>
      <c r="T931" s="30">
        <v>13</v>
      </c>
      <c r="U931" s="28" t="s">
        <v>18343</v>
      </c>
      <c r="V931" s="28" t="s">
        <v>138</v>
      </c>
      <c r="W931" s="28" t="s">
        <v>138</v>
      </c>
      <c r="X931" s="31">
        <v>2014</v>
      </c>
      <c r="Y931" s="28" t="s">
        <v>138</v>
      </c>
      <c r="Z931" s="28" t="s">
        <v>138</v>
      </c>
      <c r="AA931" s="28" t="s">
        <v>138</v>
      </c>
      <c r="AB931" s="32" t="s">
        <v>138</v>
      </c>
      <c r="AC931" s="32" t="s">
        <v>138</v>
      </c>
      <c r="AD931" s="32" t="s">
        <v>138</v>
      </c>
      <c r="AE931" s="32" t="s">
        <v>138</v>
      </c>
      <c r="AF931" s="32" t="s">
        <v>138</v>
      </c>
      <c r="AG931" s="28" t="s">
        <v>138</v>
      </c>
      <c r="AH931" s="32" t="s">
        <v>138</v>
      </c>
      <c r="AI931" s="32" t="s">
        <v>138</v>
      </c>
      <c r="AJ931" s="32" t="s">
        <v>138</v>
      </c>
      <c r="AK931" s="28" t="s">
        <v>18344</v>
      </c>
      <c r="AL931" s="28" t="s">
        <v>18345</v>
      </c>
      <c r="AM931" s="28" t="s">
        <v>18346</v>
      </c>
      <c r="AN931" s="28" t="s">
        <v>18347</v>
      </c>
      <c r="AO931" s="28" t="s">
        <v>18348</v>
      </c>
      <c r="AP931" s="28" t="s">
        <v>1870</v>
      </c>
      <c r="AQ931" s="28" t="s">
        <v>18349</v>
      </c>
      <c r="AR931" s="28" t="s">
        <v>18350</v>
      </c>
      <c r="AS931" s="28" t="s">
        <v>1872</v>
      </c>
      <c r="AT931" s="28" t="s">
        <v>200</v>
      </c>
      <c r="AU931" s="28" t="s">
        <v>18351</v>
      </c>
      <c r="AV931" s="28" t="s">
        <v>162</v>
      </c>
      <c r="AW931" s="28" t="s">
        <v>18348</v>
      </c>
      <c r="AX931" s="28" t="s">
        <v>138</v>
      </c>
      <c r="AY931" s="28" t="s">
        <v>18352</v>
      </c>
      <c r="AZ931" s="28" t="s">
        <v>164</v>
      </c>
      <c r="BA931" s="28" t="s">
        <v>165</v>
      </c>
      <c r="BB931" s="28" t="s">
        <v>18353</v>
      </c>
      <c r="BC931" s="28" t="s">
        <v>18354</v>
      </c>
      <c r="BD931" s="33">
        <v>17</v>
      </c>
      <c r="BE931" s="28" t="s">
        <v>138</v>
      </c>
      <c r="BF931" s="28" t="s">
        <v>138</v>
      </c>
      <c r="BG931" s="28" t="s">
        <v>138</v>
      </c>
      <c r="BH931" s="28" t="s">
        <v>18355</v>
      </c>
      <c r="BI931" s="28" t="s">
        <v>138</v>
      </c>
      <c r="BJ931" s="28" t="s">
        <v>138</v>
      </c>
      <c r="BK931" s="28" t="s">
        <v>1275</v>
      </c>
      <c r="BL931" s="28" t="s">
        <v>1275</v>
      </c>
      <c r="BM931" s="34" t="s">
        <v>138</v>
      </c>
      <c r="BN931" s="29" t="s">
        <v>138</v>
      </c>
      <c r="BO931" s="28" t="s">
        <v>138</v>
      </c>
      <c r="BP931" s="29" t="s">
        <v>138</v>
      </c>
      <c r="BQ931" s="28" t="s">
        <v>138</v>
      </c>
      <c r="BR931" s="28" t="s">
        <v>316</v>
      </c>
      <c r="BS931" s="28" t="s">
        <v>138</v>
      </c>
      <c r="BT931" s="28" t="s">
        <v>138</v>
      </c>
      <c r="BU931" s="28" t="s">
        <v>177</v>
      </c>
      <c r="BV931" s="28" t="s">
        <v>138</v>
      </c>
      <c r="BW931" s="28" t="s">
        <v>138</v>
      </c>
      <c r="BX931" s="28" t="s">
        <v>138</v>
      </c>
      <c r="BY931" s="28" t="s">
        <v>175</v>
      </c>
      <c r="BZ931" s="34">
        <v>42879</v>
      </c>
      <c r="CA931" s="29">
        <v>8</v>
      </c>
      <c r="CB931" s="28" t="s">
        <v>1178</v>
      </c>
      <c r="CC931" s="29">
        <v>38</v>
      </c>
      <c r="CD931" s="28" t="s">
        <v>172</v>
      </c>
      <c r="CE931" s="28" t="s">
        <v>205</v>
      </c>
      <c r="CF931" s="28" t="s">
        <v>623</v>
      </c>
      <c r="CG931" s="28" t="s">
        <v>138</v>
      </c>
      <c r="CH931" s="28" t="s">
        <v>174</v>
      </c>
      <c r="CI931" s="28" t="s">
        <v>138</v>
      </c>
      <c r="CJ931" s="28" t="s">
        <v>138</v>
      </c>
      <c r="CK931" s="28" t="s">
        <v>138</v>
      </c>
      <c r="CL931" s="28" t="s">
        <v>175</v>
      </c>
      <c r="CM931" s="34" t="s">
        <v>138</v>
      </c>
      <c r="CN931" s="29" t="s">
        <v>138</v>
      </c>
      <c r="CO931" s="35">
        <v>-3.74</v>
      </c>
      <c r="CP931" s="36">
        <v>2</v>
      </c>
      <c r="CQ931" s="35">
        <v>-0.01</v>
      </c>
      <c r="CR931" s="35">
        <v>-0.23</v>
      </c>
      <c r="CS931" s="35">
        <v>-7.54</v>
      </c>
      <c r="CT931" s="36">
        <v>1</v>
      </c>
      <c r="CU931" s="35">
        <v>0.05</v>
      </c>
      <c r="CV931" s="36">
        <v>58</v>
      </c>
      <c r="CW931" s="35">
        <v>-7.54</v>
      </c>
      <c r="CX931" s="36">
        <v>1</v>
      </c>
      <c r="CY931" s="35" t="s">
        <v>138</v>
      </c>
      <c r="CZ931" s="36" t="s">
        <v>138</v>
      </c>
      <c r="DA931" s="35">
        <v>0.15</v>
      </c>
      <c r="DB931" s="36">
        <v>78</v>
      </c>
      <c r="DC931" s="37">
        <v>6.13</v>
      </c>
      <c r="DD931" s="36">
        <v>85</v>
      </c>
      <c r="DE931" s="37">
        <v>-0.22</v>
      </c>
      <c r="DF931" s="35">
        <v>-3.46</v>
      </c>
      <c r="DG931" s="37">
        <v>3.45</v>
      </c>
      <c r="DH931" s="36">
        <v>77</v>
      </c>
      <c r="DI931" s="37">
        <v>8.81</v>
      </c>
      <c r="DJ931" s="36">
        <v>84</v>
      </c>
      <c r="DK931" s="37">
        <v>3.45</v>
      </c>
      <c r="DL931" s="36">
        <v>74</v>
      </c>
      <c r="DM931" s="37" t="s">
        <v>138</v>
      </c>
      <c r="DN931" s="36" t="s">
        <v>138</v>
      </c>
      <c r="DO931" s="37">
        <v>6.2</v>
      </c>
      <c r="DP931" s="36">
        <v>82</v>
      </c>
      <c r="DQ931" s="36">
        <v>1192</v>
      </c>
      <c r="DR931" s="38">
        <v>-24</v>
      </c>
      <c r="DS931" s="35">
        <v>-1.97</v>
      </c>
      <c r="DT931" s="36" t="s">
        <v>138</v>
      </c>
      <c r="DU931" s="38" t="s">
        <v>138</v>
      </c>
      <c r="DV931" s="35" t="s">
        <v>138</v>
      </c>
      <c r="DW931" s="36">
        <v>2222</v>
      </c>
      <c r="DX931" s="39">
        <v>-3</v>
      </c>
      <c r="DY931" s="35">
        <v>-0.13</v>
      </c>
      <c r="DZ931" s="28" t="s">
        <v>178</v>
      </c>
      <c r="EA931" s="34">
        <v>43622</v>
      </c>
      <c r="EB931" s="29">
        <v>38</v>
      </c>
      <c r="EC931" s="34">
        <v>42879</v>
      </c>
      <c r="ED931" s="28" t="s">
        <v>205</v>
      </c>
      <c r="EE931" s="40" t="str">
        <f>HYPERLINK("https://my.pitchbook.com?c=108977-41", "View company online")</f>
        <v>View company online</v>
      </c>
    </row>
    <row r="932" spans="1:135">
      <c r="A932" s="15" t="s">
        <v>18356</v>
      </c>
      <c r="B932" s="15" t="s">
        <v>18357</v>
      </c>
      <c r="C932" s="15" t="s">
        <v>18358</v>
      </c>
      <c r="D932" s="15" t="s">
        <v>18359</v>
      </c>
      <c r="E932" s="15" t="s">
        <v>138</v>
      </c>
      <c r="F932" s="15" t="s">
        <v>18356</v>
      </c>
      <c r="G932" s="15" t="s">
        <v>18360</v>
      </c>
      <c r="H932" s="15" t="s">
        <v>238</v>
      </c>
      <c r="I932" s="15" t="s">
        <v>785</v>
      </c>
      <c r="J932" s="15" t="s">
        <v>786</v>
      </c>
      <c r="K932" s="15" t="s">
        <v>1883</v>
      </c>
      <c r="L932" s="15" t="s">
        <v>4703</v>
      </c>
      <c r="M932" s="15" t="s">
        <v>18361</v>
      </c>
      <c r="N932" s="15" t="s">
        <v>1452</v>
      </c>
      <c r="O932" s="17" t="s">
        <v>138</v>
      </c>
      <c r="P932" s="15" t="s">
        <v>148</v>
      </c>
      <c r="Q932" s="15" t="s">
        <v>149</v>
      </c>
      <c r="R932" s="15" t="s">
        <v>328</v>
      </c>
      <c r="S932" s="15" t="s">
        <v>18362</v>
      </c>
      <c r="T932" s="18" t="s">
        <v>138</v>
      </c>
      <c r="U932" s="15" t="s">
        <v>138</v>
      </c>
      <c r="V932" s="15" t="s">
        <v>138</v>
      </c>
      <c r="W932" s="15" t="s">
        <v>138</v>
      </c>
      <c r="X932" s="19">
        <v>2010</v>
      </c>
      <c r="Y932" s="15" t="s">
        <v>138</v>
      </c>
      <c r="Z932" s="15" t="s">
        <v>138</v>
      </c>
      <c r="AA932" s="15" t="s">
        <v>138</v>
      </c>
      <c r="AB932" s="20" t="s">
        <v>138</v>
      </c>
      <c r="AC932" s="20" t="s">
        <v>138</v>
      </c>
      <c r="AD932" s="20" t="s">
        <v>138</v>
      </c>
      <c r="AE932" s="20" t="s">
        <v>138</v>
      </c>
      <c r="AF932" s="20" t="s">
        <v>138</v>
      </c>
      <c r="AG932" s="15" t="s">
        <v>138</v>
      </c>
      <c r="AH932" s="20" t="s">
        <v>138</v>
      </c>
      <c r="AI932" s="20" t="s">
        <v>138</v>
      </c>
      <c r="AJ932" s="20" t="s">
        <v>138</v>
      </c>
      <c r="AK932" s="15" t="s">
        <v>18363</v>
      </c>
      <c r="AL932" s="15" t="s">
        <v>18364</v>
      </c>
      <c r="AM932" s="15" t="s">
        <v>444</v>
      </c>
      <c r="AN932" s="15" t="s">
        <v>18365</v>
      </c>
      <c r="AO932" s="15" t="s">
        <v>18366</v>
      </c>
      <c r="AP932" s="15" t="s">
        <v>1195</v>
      </c>
      <c r="AQ932" s="15" t="s">
        <v>18367</v>
      </c>
      <c r="AR932" s="15" t="s">
        <v>18368</v>
      </c>
      <c r="AS932" s="15" t="s">
        <v>1198</v>
      </c>
      <c r="AT932" s="15" t="s">
        <v>138</v>
      </c>
      <c r="AU932" s="15" t="s">
        <v>18369</v>
      </c>
      <c r="AV932" s="15" t="s">
        <v>1200</v>
      </c>
      <c r="AW932" s="15" t="s">
        <v>18366</v>
      </c>
      <c r="AX932" s="15" t="s">
        <v>138</v>
      </c>
      <c r="AY932" s="15" t="s">
        <v>18370</v>
      </c>
      <c r="AZ932" s="15" t="s">
        <v>452</v>
      </c>
      <c r="BA932" s="15" t="s">
        <v>453</v>
      </c>
      <c r="BB932" s="15" t="s">
        <v>18371</v>
      </c>
      <c r="BC932" s="15" t="s">
        <v>18372</v>
      </c>
      <c r="BD932" s="21">
        <v>5</v>
      </c>
      <c r="BE932" s="15" t="s">
        <v>138</v>
      </c>
      <c r="BF932" s="15" t="s">
        <v>138</v>
      </c>
      <c r="BG932" s="15" t="s">
        <v>138</v>
      </c>
      <c r="BH932" s="15" t="s">
        <v>18373</v>
      </c>
      <c r="BI932" s="15" t="s">
        <v>138</v>
      </c>
      <c r="BJ932" s="15" t="s">
        <v>138</v>
      </c>
      <c r="BK932" s="15" t="s">
        <v>138</v>
      </c>
      <c r="BL932" s="15" t="s">
        <v>138</v>
      </c>
      <c r="BM932" s="22" t="s">
        <v>138</v>
      </c>
      <c r="BN932" s="17" t="s">
        <v>138</v>
      </c>
      <c r="BO932" s="15" t="s">
        <v>138</v>
      </c>
      <c r="BP932" s="17" t="s">
        <v>138</v>
      </c>
      <c r="BQ932" s="15" t="s">
        <v>138</v>
      </c>
      <c r="BR932" s="15" t="s">
        <v>205</v>
      </c>
      <c r="BS932" s="15" t="s">
        <v>138</v>
      </c>
      <c r="BT932" s="15" t="s">
        <v>138</v>
      </c>
      <c r="BU932" s="15" t="s">
        <v>174</v>
      </c>
      <c r="BV932" s="15" t="s">
        <v>138</v>
      </c>
      <c r="BW932" s="15" t="s">
        <v>138</v>
      </c>
      <c r="BX932" s="15" t="s">
        <v>138</v>
      </c>
      <c r="BY932" s="15" t="s">
        <v>175</v>
      </c>
      <c r="BZ932" s="22">
        <v>42083</v>
      </c>
      <c r="CA932" s="17" t="s">
        <v>138</v>
      </c>
      <c r="CB932" s="15" t="s">
        <v>138</v>
      </c>
      <c r="CC932" s="17" t="s">
        <v>138</v>
      </c>
      <c r="CD932" s="15" t="s">
        <v>138</v>
      </c>
      <c r="CE932" s="15" t="s">
        <v>1673</v>
      </c>
      <c r="CF932" s="15" t="s">
        <v>138</v>
      </c>
      <c r="CG932" s="15" t="s">
        <v>138</v>
      </c>
      <c r="CH932" s="15" t="s">
        <v>351</v>
      </c>
      <c r="CI932" s="15" t="s">
        <v>138</v>
      </c>
      <c r="CJ932" s="15" t="s">
        <v>138</v>
      </c>
      <c r="CK932" s="15" t="s">
        <v>138</v>
      </c>
      <c r="CL932" s="15" t="s">
        <v>175</v>
      </c>
      <c r="CM932" s="22" t="s">
        <v>138</v>
      </c>
      <c r="CN932" s="17" t="s">
        <v>138</v>
      </c>
      <c r="CO932" s="23">
        <v>-3.17</v>
      </c>
      <c r="CP932" s="24">
        <v>3</v>
      </c>
      <c r="CQ932" s="23">
        <v>-0.02</v>
      </c>
      <c r="CR932" s="23">
        <v>-0.63</v>
      </c>
      <c r="CS932" s="23">
        <v>-6.33</v>
      </c>
      <c r="CT932" s="24">
        <v>2</v>
      </c>
      <c r="CU932" s="23">
        <v>-0.01</v>
      </c>
      <c r="CV932" s="24">
        <v>20</v>
      </c>
      <c r="CW932" s="23" t="s">
        <v>138</v>
      </c>
      <c r="CX932" s="24" t="s">
        <v>138</v>
      </c>
      <c r="CY932" s="23">
        <v>-6.33</v>
      </c>
      <c r="CZ932" s="24">
        <v>2</v>
      </c>
      <c r="DA932" s="23">
        <v>-0.01</v>
      </c>
      <c r="DB932" s="24">
        <v>21</v>
      </c>
      <c r="DC932" s="25">
        <v>16.52</v>
      </c>
      <c r="DD932" s="24">
        <v>94</v>
      </c>
      <c r="DE932" s="25">
        <v>-0.05</v>
      </c>
      <c r="DF932" s="23">
        <v>-0.28000000000000003</v>
      </c>
      <c r="DG932" s="25">
        <v>15.24</v>
      </c>
      <c r="DH932" s="24">
        <v>93</v>
      </c>
      <c r="DI932" s="25">
        <v>17.809999999999999</v>
      </c>
      <c r="DJ932" s="24">
        <v>90</v>
      </c>
      <c r="DK932" s="25" t="s">
        <v>138</v>
      </c>
      <c r="DL932" s="24" t="s">
        <v>138</v>
      </c>
      <c r="DM932" s="25">
        <v>15.24</v>
      </c>
      <c r="DN932" s="24">
        <v>92</v>
      </c>
      <c r="DO932" s="25">
        <v>7.01</v>
      </c>
      <c r="DP932" s="24">
        <v>83</v>
      </c>
      <c r="DQ932" s="24" t="s">
        <v>138</v>
      </c>
      <c r="DR932" s="26" t="s">
        <v>138</v>
      </c>
      <c r="DS932" s="23" t="s">
        <v>138</v>
      </c>
      <c r="DT932" s="24">
        <v>443</v>
      </c>
      <c r="DU932" s="26">
        <v>-1</v>
      </c>
      <c r="DV932" s="23">
        <v>-0.23</v>
      </c>
      <c r="DW932" s="24">
        <v>2505</v>
      </c>
      <c r="DX932" s="27">
        <v>0</v>
      </c>
      <c r="DY932" s="23">
        <v>0</v>
      </c>
      <c r="DZ932" s="15" t="s">
        <v>178</v>
      </c>
      <c r="EA932" s="22">
        <v>43351</v>
      </c>
      <c r="EB932" s="17" t="s">
        <v>138</v>
      </c>
      <c r="EC932" s="22" t="s">
        <v>138</v>
      </c>
      <c r="ED932" s="15" t="s">
        <v>138</v>
      </c>
      <c r="EE932" s="14" t="str">
        <f>HYPERLINK("https://my.pitchbook.com?c=54353-26", "View company online")</f>
        <v>View company online</v>
      </c>
    </row>
    <row r="933" spans="1:135">
      <c r="A933" s="28" t="s">
        <v>18374</v>
      </c>
      <c r="B933" s="28" t="s">
        <v>18375</v>
      </c>
      <c r="C933" s="28" t="s">
        <v>138</v>
      </c>
      <c r="D933" s="28" t="s">
        <v>138</v>
      </c>
      <c r="E933" s="28" t="s">
        <v>138</v>
      </c>
      <c r="F933" s="28" t="s">
        <v>18374</v>
      </c>
      <c r="G933" s="28" t="s">
        <v>18376</v>
      </c>
      <c r="H933" s="28" t="s">
        <v>238</v>
      </c>
      <c r="I933" s="28" t="s">
        <v>1351</v>
      </c>
      <c r="J933" s="28" t="s">
        <v>1813</v>
      </c>
      <c r="K933" s="28" t="s">
        <v>18377</v>
      </c>
      <c r="L933" s="28" t="s">
        <v>18378</v>
      </c>
      <c r="M933" s="28" t="s">
        <v>18379</v>
      </c>
      <c r="N933" s="28" t="s">
        <v>147</v>
      </c>
      <c r="O933" s="29" t="s">
        <v>138</v>
      </c>
      <c r="P933" s="28" t="s">
        <v>812</v>
      </c>
      <c r="Q933" s="28" t="s">
        <v>149</v>
      </c>
      <c r="R933" s="28" t="s">
        <v>174</v>
      </c>
      <c r="S933" s="28" t="s">
        <v>18380</v>
      </c>
      <c r="T933" s="30" t="s">
        <v>138</v>
      </c>
      <c r="U933" s="28" t="s">
        <v>138</v>
      </c>
      <c r="V933" s="28" t="s">
        <v>138</v>
      </c>
      <c r="W933" s="28" t="s">
        <v>138</v>
      </c>
      <c r="X933" s="31">
        <v>2006</v>
      </c>
      <c r="Y933" s="28" t="s">
        <v>138</v>
      </c>
      <c r="Z933" s="28" t="s">
        <v>138</v>
      </c>
      <c r="AA933" s="28" t="s">
        <v>138</v>
      </c>
      <c r="AB933" s="32">
        <v>19</v>
      </c>
      <c r="AC933" s="32" t="s">
        <v>138</v>
      </c>
      <c r="AD933" s="32" t="s">
        <v>138</v>
      </c>
      <c r="AE933" s="32" t="s">
        <v>138</v>
      </c>
      <c r="AF933" s="32" t="s">
        <v>138</v>
      </c>
      <c r="AG933" s="28" t="s">
        <v>815</v>
      </c>
      <c r="AH933" s="32" t="s">
        <v>138</v>
      </c>
      <c r="AI933" s="32" t="s">
        <v>138</v>
      </c>
      <c r="AJ933" s="32" t="s">
        <v>138</v>
      </c>
      <c r="AK933" s="28" t="s">
        <v>18381</v>
      </c>
      <c r="AL933" s="28" t="s">
        <v>18382</v>
      </c>
      <c r="AM933" s="28" t="s">
        <v>18383</v>
      </c>
      <c r="AN933" s="28" t="s">
        <v>18384</v>
      </c>
      <c r="AO933" s="28" t="s">
        <v>18385</v>
      </c>
      <c r="AP933" s="28" t="s">
        <v>639</v>
      </c>
      <c r="AQ933" s="28" t="s">
        <v>18386</v>
      </c>
      <c r="AR933" s="28" t="s">
        <v>138</v>
      </c>
      <c r="AS933" s="28" t="s">
        <v>642</v>
      </c>
      <c r="AT933" s="28" t="s">
        <v>474</v>
      </c>
      <c r="AU933" s="28" t="s">
        <v>14323</v>
      </c>
      <c r="AV933" s="28" t="s">
        <v>162</v>
      </c>
      <c r="AW933" s="28" t="s">
        <v>18385</v>
      </c>
      <c r="AX933" s="28" t="s">
        <v>138</v>
      </c>
      <c r="AY933" s="28" t="s">
        <v>138</v>
      </c>
      <c r="AZ933" s="28" t="s">
        <v>164</v>
      </c>
      <c r="BA933" s="28" t="s">
        <v>165</v>
      </c>
      <c r="BB933" s="28" t="s">
        <v>18387</v>
      </c>
      <c r="BC933" s="28" t="s">
        <v>18388</v>
      </c>
      <c r="BD933" s="33">
        <v>3</v>
      </c>
      <c r="BE933" s="28" t="s">
        <v>138</v>
      </c>
      <c r="BF933" s="28" t="s">
        <v>138</v>
      </c>
      <c r="BG933" s="28" t="s">
        <v>138</v>
      </c>
      <c r="BH933" s="28" t="s">
        <v>18389</v>
      </c>
      <c r="BI933" s="28" t="s">
        <v>138</v>
      </c>
      <c r="BJ933" s="28" t="s">
        <v>138</v>
      </c>
      <c r="BK933" s="28" t="s">
        <v>138</v>
      </c>
      <c r="BL933" s="28" t="s">
        <v>138</v>
      </c>
      <c r="BM933" s="34">
        <v>43584</v>
      </c>
      <c r="BN933" s="29" t="s">
        <v>138</v>
      </c>
      <c r="BO933" s="28" t="s">
        <v>138</v>
      </c>
      <c r="BP933" s="29" t="s">
        <v>138</v>
      </c>
      <c r="BQ933" s="28" t="s">
        <v>138</v>
      </c>
      <c r="BR933" s="28" t="s">
        <v>173</v>
      </c>
      <c r="BS933" s="28" t="s">
        <v>138</v>
      </c>
      <c r="BT933" s="28" t="s">
        <v>138</v>
      </c>
      <c r="BU933" s="28" t="s">
        <v>174</v>
      </c>
      <c r="BV933" s="28" t="s">
        <v>138</v>
      </c>
      <c r="BW933" s="28" t="s">
        <v>138</v>
      </c>
      <c r="BX933" s="28" t="s">
        <v>138</v>
      </c>
      <c r="BY933" s="28" t="s">
        <v>175</v>
      </c>
      <c r="BZ933" s="34">
        <v>43584</v>
      </c>
      <c r="CA933" s="29" t="s">
        <v>138</v>
      </c>
      <c r="CB933" s="28" t="s">
        <v>138</v>
      </c>
      <c r="CC933" s="29" t="s">
        <v>138</v>
      </c>
      <c r="CD933" s="28" t="s">
        <v>138</v>
      </c>
      <c r="CE933" s="28" t="s">
        <v>173</v>
      </c>
      <c r="CF933" s="28" t="s">
        <v>138</v>
      </c>
      <c r="CG933" s="28" t="s">
        <v>138</v>
      </c>
      <c r="CH933" s="28" t="s">
        <v>174</v>
      </c>
      <c r="CI933" s="28" t="s">
        <v>138</v>
      </c>
      <c r="CJ933" s="28" t="s">
        <v>138</v>
      </c>
      <c r="CK933" s="28" t="s">
        <v>138</v>
      </c>
      <c r="CL933" s="28" t="s">
        <v>175</v>
      </c>
      <c r="CM933" s="34" t="s">
        <v>138</v>
      </c>
      <c r="CN933" s="29" t="s">
        <v>138</v>
      </c>
      <c r="CO933" s="35">
        <v>-0.18</v>
      </c>
      <c r="CP933" s="36">
        <v>20</v>
      </c>
      <c r="CQ933" s="35">
        <v>-0.27</v>
      </c>
      <c r="CR933" s="35">
        <v>-303.92</v>
      </c>
      <c r="CS933" s="35">
        <v>-0.44</v>
      </c>
      <c r="CT933" s="36">
        <v>20</v>
      </c>
      <c r="CU933" s="35">
        <v>7.0000000000000007E-2</v>
      </c>
      <c r="CV933" s="36">
        <v>62</v>
      </c>
      <c r="CW933" s="35">
        <v>1.25</v>
      </c>
      <c r="CX933" s="36">
        <v>85</v>
      </c>
      <c r="CY933" s="35">
        <v>-2.13</v>
      </c>
      <c r="CZ933" s="36">
        <v>10</v>
      </c>
      <c r="DA933" s="35">
        <v>0.01</v>
      </c>
      <c r="DB933" s="36">
        <v>57</v>
      </c>
      <c r="DC933" s="37">
        <v>17.670000000000002</v>
      </c>
      <c r="DD933" s="36">
        <v>94</v>
      </c>
      <c r="DE933" s="37">
        <v>-1.04</v>
      </c>
      <c r="DF933" s="35">
        <v>-5.58</v>
      </c>
      <c r="DG933" s="37">
        <v>17.38</v>
      </c>
      <c r="DH933" s="36">
        <v>94</v>
      </c>
      <c r="DI933" s="37">
        <v>17.96</v>
      </c>
      <c r="DJ933" s="36">
        <v>90</v>
      </c>
      <c r="DK933" s="37">
        <v>29.21</v>
      </c>
      <c r="DL933" s="36">
        <v>94</v>
      </c>
      <c r="DM933" s="37">
        <v>5.55</v>
      </c>
      <c r="DN933" s="36">
        <v>83</v>
      </c>
      <c r="DO933" s="37">
        <v>22.89</v>
      </c>
      <c r="DP933" s="36">
        <v>93</v>
      </c>
      <c r="DQ933" s="36">
        <v>10140</v>
      </c>
      <c r="DR933" s="38">
        <v>-363</v>
      </c>
      <c r="DS933" s="35">
        <v>-3.46</v>
      </c>
      <c r="DT933" s="36">
        <v>167</v>
      </c>
      <c r="DU933" s="38">
        <v>-14</v>
      </c>
      <c r="DV933" s="35">
        <v>-7.73</v>
      </c>
      <c r="DW933" s="36">
        <v>8192</v>
      </c>
      <c r="DX933" s="39">
        <v>2</v>
      </c>
      <c r="DY933" s="35">
        <v>0.02</v>
      </c>
      <c r="DZ933" s="28" t="s">
        <v>178</v>
      </c>
      <c r="EA933" s="34">
        <v>43587</v>
      </c>
      <c r="EB933" s="29" t="s">
        <v>138</v>
      </c>
      <c r="EC933" s="34" t="s">
        <v>138</v>
      </c>
      <c r="ED933" s="28" t="s">
        <v>138</v>
      </c>
      <c r="EE933" s="40" t="str">
        <f>HYPERLINK("https://my.pitchbook.com?c=128600-83", "View company online")</f>
        <v>View company online</v>
      </c>
    </row>
    <row r="934" spans="1:135">
      <c r="A934" s="15" t="s">
        <v>18390</v>
      </c>
      <c r="B934" s="15" t="s">
        <v>18391</v>
      </c>
      <c r="C934" s="15" t="s">
        <v>138</v>
      </c>
      <c r="D934" s="15" t="s">
        <v>18392</v>
      </c>
      <c r="E934" s="15" t="s">
        <v>138</v>
      </c>
      <c r="F934" s="15" t="s">
        <v>18390</v>
      </c>
      <c r="G934" s="15" t="s">
        <v>18393</v>
      </c>
      <c r="H934" s="15" t="s">
        <v>322</v>
      </c>
      <c r="I934" s="15" t="s">
        <v>323</v>
      </c>
      <c r="J934" s="15" t="s">
        <v>413</v>
      </c>
      <c r="K934" s="15" t="s">
        <v>874</v>
      </c>
      <c r="L934" s="15" t="s">
        <v>18394</v>
      </c>
      <c r="M934" s="15" t="s">
        <v>18395</v>
      </c>
      <c r="N934" s="15" t="s">
        <v>147</v>
      </c>
      <c r="O934" s="17">
        <v>6.38</v>
      </c>
      <c r="P934" s="15" t="s">
        <v>148</v>
      </c>
      <c r="Q934" s="15" t="s">
        <v>149</v>
      </c>
      <c r="R934" s="15" t="s">
        <v>174</v>
      </c>
      <c r="S934" s="15" t="s">
        <v>18396</v>
      </c>
      <c r="T934" s="18">
        <v>17</v>
      </c>
      <c r="U934" s="15" t="s">
        <v>18397</v>
      </c>
      <c r="V934" s="15" t="s">
        <v>138</v>
      </c>
      <c r="W934" s="15" t="s">
        <v>138</v>
      </c>
      <c r="X934" s="19">
        <v>2016</v>
      </c>
      <c r="Y934" s="15" t="s">
        <v>138</v>
      </c>
      <c r="Z934" s="15" t="s">
        <v>138</v>
      </c>
      <c r="AA934" s="15" t="s">
        <v>138</v>
      </c>
      <c r="AB934" s="20" t="s">
        <v>138</v>
      </c>
      <c r="AC934" s="20" t="s">
        <v>138</v>
      </c>
      <c r="AD934" s="20" t="s">
        <v>138</v>
      </c>
      <c r="AE934" s="20" t="s">
        <v>138</v>
      </c>
      <c r="AF934" s="20" t="s">
        <v>138</v>
      </c>
      <c r="AG934" s="15" t="s">
        <v>138</v>
      </c>
      <c r="AH934" s="20" t="s">
        <v>138</v>
      </c>
      <c r="AI934" s="20" t="s">
        <v>138</v>
      </c>
      <c r="AJ934" s="20" t="s">
        <v>138</v>
      </c>
      <c r="AK934" s="15" t="s">
        <v>18398</v>
      </c>
      <c r="AL934" s="15" t="s">
        <v>18399</v>
      </c>
      <c r="AM934" s="15" t="s">
        <v>304</v>
      </c>
      <c r="AN934" s="15" t="s">
        <v>18400</v>
      </c>
      <c r="AO934" s="15" t="s">
        <v>138</v>
      </c>
      <c r="AP934" s="15" t="s">
        <v>1220</v>
      </c>
      <c r="AQ934" s="15" t="s">
        <v>18401</v>
      </c>
      <c r="AR934" s="15" t="s">
        <v>138</v>
      </c>
      <c r="AS934" s="15" t="s">
        <v>1223</v>
      </c>
      <c r="AT934" s="15" t="s">
        <v>200</v>
      </c>
      <c r="AU934" s="15" t="s">
        <v>18402</v>
      </c>
      <c r="AV934" s="15" t="s">
        <v>162</v>
      </c>
      <c r="AW934" s="15" t="s">
        <v>138</v>
      </c>
      <c r="AX934" s="15" t="s">
        <v>138</v>
      </c>
      <c r="AY934" s="15" t="s">
        <v>138</v>
      </c>
      <c r="AZ934" s="15" t="s">
        <v>164</v>
      </c>
      <c r="BA934" s="15" t="s">
        <v>165</v>
      </c>
      <c r="BB934" s="15" t="s">
        <v>18403</v>
      </c>
      <c r="BC934" s="15" t="s">
        <v>18404</v>
      </c>
      <c r="BD934" s="21">
        <v>20</v>
      </c>
      <c r="BE934" s="15" t="s">
        <v>138</v>
      </c>
      <c r="BF934" s="15" t="s">
        <v>138</v>
      </c>
      <c r="BG934" s="15" t="s">
        <v>138</v>
      </c>
      <c r="BH934" s="15" t="s">
        <v>18405</v>
      </c>
      <c r="BI934" s="15" t="s">
        <v>138</v>
      </c>
      <c r="BJ934" s="15" t="s">
        <v>138</v>
      </c>
      <c r="BK934" s="15" t="s">
        <v>138</v>
      </c>
      <c r="BL934" s="15" t="s">
        <v>138</v>
      </c>
      <c r="BM934" s="22" t="s">
        <v>138</v>
      </c>
      <c r="BN934" s="17">
        <v>1.1299999999999999</v>
      </c>
      <c r="BO934" s="15" t="s">
        <v>172</v>
      </c>
      <c r="BP934" s="17" t="s">
        <v>138</v>
      </c>
      <c r="BQ934" s="15" t="s">
        <v>138</v>
      </c>
      <c r="BR934" s="15" t="s">
        <v>205</v>
      </c>
      <c r="BS934" s="15" t="s">
        <v>138</v>
      </c>
      <c r="BT934" s="15" t="s">
        <v>138</v>
      </c>
      <c r="BU934" s="15" t="s">
        <v>174</v>
      </c>
      <c r="BV934" s="15" t="s">
        <v>138</v>
      </c>
      <c r="BW934" s="15" t="s">
        <v>138</v>
      </c>
      <c r="BX934" s="15" t="s">
        <v>138</v>
      </c>
      <c r="BY934" s="15" t="s">
        <v>175</v>
      </c>
      <c r="BZ934" s="22">
        <v>43559</v>
      </c>
      <c r="CA934" s="17">
        <v>2.25</v>
      </c>
      <c r="CB934" s="15" t="s">
        <v>172</v>
      </c>
      <c r="CC934" s="17" t="s">
        <v>138</v>
      </c>
      <c r="CD934" s="15" t="s">
        <v>138</v>
      </c>
      <c r="CE934" s="15" t="s">
        <v>234</v>
      </c>
      <c r="CF934" s="15" t="s">
        <v>206</v>
      </c>
      <c r="CG934" s="15" t="s">
        <v>138</v>
      </c>
      <c r="CH934" s="15" t="s">
        <v>174</v>
      </c>
      <c r="CI934" s="15" t="s">
        <v>138</v>
      </c>
      <c r="CJ934" s="15" t="s">
        <v>138</v>
      </c>
      <c r="CK934" s="15" t="s">
        <v>138</v>
      </c>
      <c r="CL934" s="15" t="s">
        <v>175</v>
      </c>
      <c r="CM934" s="22" t="s">
        <v>138</v>
      </c>
      <c r="CN934" s="17" t="s">
        <v>138</v>
      </c>
      <c r="CO934" s="23">
        <v>0.3</v>
      </c>
      <c r="CP934" s="24">
        <v>94</v>
      </c>
      <c r="CQ934" s="23">
        <v>0.78</v>
      </c>
      <c r="CR934" s="23">
        <v>163.29</v>
      </c>
      <c r="CS934" s="23">
        <v>-3.8</v>
      </c>
      <c r="CT934" s="24">
        <v>4</v>
      </c>
      <c r="CU934" s="23">
        <v>3.38</v>
      </c>
      <c r="CV934" s="24">
        <v>100</v>
      </c>
      <c r="CW934" s="23">
        <v>-7.25</v>
      </c>
      <c r="CX934" s="24">
        <v>1</v>
      </c>
      <c r="CY934" s="23">
        <v>-0.35</v>
      </c>
      <c r="CZ934" s="24">
        <v>23</v>
      </c>
      <c r="DA934" s="23">
        <v>3.38</v>
      </c>
      <c r="DB934" s="24">
        <v>100</v>
      </c>
      <c r="DC934" s="25">
        <v>3.79</v>
      </c>
      <c r="DD934" s="24">
        <v>79</v>
      </c>
      <c r="DE934" s="25">
        <v>0.2</v>
      </c>
      <c r="DF934" s="23">
        <v>5.55</v>
      </c>
      <c r="DG934" s="25">
        <v>2.54</v>
      </c>
      <c r="DH934" s="24">
        <v>71</v>
      </c>
      <c r="DI934" s="25">
        <v>0.39</v>
      </c>
      <c r="DJ934" s="24">
        <v>32</v>
      </c>
      <c r="DK934" s="25">
        <v>0.64</v>
      </c>
      <c r="DL934" s="24">
        <v>40</v>
      </c>
      <c r="DM934" s="25">
        <v>4.45</v>
      </c>
      <c r="DN934" s="24">
        <v>80</v>
      </c>
      <c r="DO934" s="25">
        <v>0.39</v>
      </c>
      <c r="DP934" s="24">
        <v>34</v>
      </c>
      <c r="DQ934" s="24">
        <v>273</v>
      </c>
      <c r="DR934" s="26">
        <v>-163</v>
      </c>
      <c r="DS934" s="23">
        <v>-37.39</v>
      </c>
      <c r="DT934" s="24">
        <v>125</v>
      </c>
      <c r="DU934" s="26">
        <v>9</v>
      </c>
      <c r="DV934" s="23">
        <v>7.76</v>
      </c>
      <c r="DW934" s="24">
        <v>139</v>
      </c>
      <c r="DX934" s="27">
        <v>15</v>
      </c>
      <c r="DY934" s="23">
        <v>12.1</v>
      </c>
      <c r="DZ934" s="15" t="s">
        <v>178</v>
      </c>
      <c r="EA934" s="22">
        <v>43609</v>
      </c>
      <c r="EB934" s="17" t="s">
        <v>138</v>
      </c>
      <c r="EC934" s="22" t="s">
        <v>138</v>
      </c>
      <c r="ED934" s="15" t="s">
        <v>138</v>
      </c>
      <c r="EE934" s="14" t="str">
        <f>HYPERLINK("https://my.pitchbook.com?c=172443-79", "View company online")</f>
        <v>View company online</v>
      </c>
    </row>
    <row r="935" spans="1:135">
      <c r="A935" s="28" t="s">
        <v>18406</v>
      </c>
      <c r="B935" s="28" t="s">
        <v>18407</v>
      </c>
      <c r="C935" s="28" t="s">
        <v>18408</v>
      </c>
      <c r="D935" s="28" t="s">
        <v>138</v>
      </c>
      <c r="E935" s="28" t="s">
        <v>138</v>
      </c>
      <c r="F935" s="28" t="s">
        <v>18406</v>
      </c>
      <c r="G935" s="28" t="s">
        <v>18409</v>
      </c>
      <c r="H935" s="28" t="s">
        <v>322</v>
      </c>
      <c r="I935" s="28" t="s">
        <v>323</v>
      </c>
      <c r="J935" s="28" t="s">
        <v>324</v>
      </c>
      <c r="K935" s="28" t="s">
        <v>325</v>
      </c>
      <c r="L935" s="28" t="s">
        <v>875</v>
      </c>
      <c r="M935" s="28" t="s">
        <v>18410</v>
      </c>
      <c r="N935" s="28" t="s">
        <v>147</v>
      </c>
      <c r="O935" s="29">
        <v>13.61</v>
      </c>
      <c r="P935" s="28" t="s">
        <v>148</v>
      </c>
      <c r="Q935" s="28" t="s">
        <v>149</v>
      </c>
      <c r="R935" s="28" t="s">
        <v>150</v>
      </c>
      <c r="S935" s="28" t="s">
        <v>18411</v>
      </c>
      <c r="T935" s="30" t="s">
        <v>138</v>
      </c>
      <c r="U935" s="28" t="s">
        <v>138</v>
      </c>
      <c r="V935" s="28" t="s">
        <v>138</v>
      </c>
      <c r="W935" s="28" t="s">
        <v>138</v>
      </c>
      <c r="X935" s="31">
        <v>2012</v>
      </c>
      <c r="Y935" s="28" t="s">
        <v>138</v>
      </c>
      <c r="Z935" s="28" t="s">
        <v>138</v>
      </c>
      <c r="AA935" s="28" t="s">
        <v>138</v>
      </c>
      <c r="AB935" s="32" t="s">
        <v>138</v>
      </c>
      <c r="AC935" s="32" t="s">
        <v>138</v>
      </c>
      <c r="AD935" s="32" t="s">
        <v>138</v>
      </c>
      <c r="AE935" s="32" t="s">
        <v>138</v>
      </c>
      <c r="AF935" s="32" t="s">
        <v>138</v>
      </c>
      <c r="AG935" s="28" t="s">
        <v>138</v>
      </c>
      <c r="AH935" s="32" t="s">
        <v>138</v>
      </c>
      <c r="AI935" s="32" t="s">
        <v>138</v>
      </c>
      <c r="AJ935" s="32" t="s">
        <v>138</v>
      </c>
      <c r="AK935" s="28" t="s">
        <v>18412</v>
      </c>
      <c r="AL935" s="28" t="s">
        <v>18413</v>
      </c>
      <c r="AM935" s="28" t="s">
        <v>1783</v>
      </c>
      <c r="AN935" s="28" t="s">
        <v>18414</v>
      </c>
      <c r="AO935" s="28" t="s">
        <v>18415</v>
      </c>
      <c r="AP935" s="28" t="s">
        <v>4490</v>
      </c>
      <c r="AQ935" s="28" t="s">
        <v>18416</v>
      </c>
      <c r="AR935" s="28" t="s">
        <v>18417</v>
      </c>
      <c r="AS935" s="28" t="s">
        <v>4492</v>
      </c>
      <c r="AT935" s="28" t="s">
        <v>4493</v>
      </c>
      <c r="AU935" s="28" t="s">
        <v>12509</v>
      </c>
      <c r="AV935" s="28" t="s">
        <v>162</v>
      </c>
      <c r="AW935" s="28" t="s">
        <v>18415</v>
      </c>
      <c r="AX935" s="28" t="s">
        <v>18418</v>
      </c>
      <c r="AY935" s="28" t="s">
        <v>18419</v>
      </c>
      <c r="AZ935" s="28" t="s">
        <v>164</v>
      </c>
      <c r="BA935" s="28" t="s">
        <v>165</v>
      </c>
      <c r="BB935" s="28" t="s">
        <v>18420</v>
      </c>
      <c r="BC935" s="28" t="s">
        <v>18421</v>
      </c>
      <c r="BD935" s="33">
        <v>4</v>
      </c>
      <c r="BE935" s="28" t="s">
        <v>138</v>
      </c>
      <c r="BF935" s="28" t="s">
        <v>138</v>
      </c>
      <c r="BG935" s="28" t="s">
        <v>138</v>
      </c>
      <c r="BH935" s="28" t="s">
        <v>18422</v>
      </c>
      <c r="BI935" s="28" t="s">
        <v>138</v>
      </c>
      <c r="BJ935" s="28" t="s">
        <v>138</v>
      </c>
      <c r="BK935" s="28" t="s">
        <v>18423</v>
      </c>
      <c r="BL935" s="28" t="s">
        <v>927</v>
      </c>
      <c r="BM935" s="34">
        <v>41472</v>
      </c>
      <c r="BN935" s="29">
        <v>1.5</v>
      </c>
      <c r="BO935" s="28" t="s">
        <v>172</v>
      </c>
      <c r="BP935" s="29" t="s">
        <v>138</v>
      </c>
      <c r="BQ935" s="28" t="s">
        <v>138</v>
      </c>
      <c r="BR935" s="28" t="s">
        <v>234</v>
      </c>
      <c r="BS935" s="28" t="s">
        <v>234</v>
      </c>
      <c r="BT935" s="28" t="s">
        <v>138</v>
      </c>
      <c r="BU935" s="28" t="s">
        <v>263</v>
      </c>
      <c r="BV935" s="28" t="s">
        <v>138</v>
      </c>
      <c r="BW935" s="28" t="s">
        <v>138</v>
      </c>
      <c r="BX935" s="28" t="s">
        <v>138</v>
      </c>
      <c r="BY935" s="28" t="s">
        <v>175</v>
      </c>
      <c r="BZ935" s="34">
        <v>43508</v>
      </c>
      <c r="CA935" s="29">
        <v>5</v>
      </c>
      <c r="CB935" s="28" t="s">
        <v>172</v>
      </c>
      <c r="CC935" s="29" t="s">
        <v>138</v>
      </c>
      <c r="CD935" s="28" t="s">
        <v>138</v>
      </c>
      <c r="CE935" s="28" t="s">
        <v>173</v>
      </c>
      <c r="CF935" s="28" t="s">
        <v>138</v>
      </c>
      <c r="CG935" s="28" t="s">
        <v>138</v>
      </c>
      <c r="CH935" s="28" t="s">
        <v>174</v>
      </c>
      <c r="CI935" s="28" t="s">
        <v>138</v>
      </c>
      <c r="CJ935" s="28" t="s">
        <v>138</v>
      </c>
      <c r="CK935" s="28" t="s">
        <v>138</v>
      </c>
      <c r="CL935" s="28" t="s">
        <v>175</v>
      </c>
      <c r="CM935" s="34" t="s">
        <v>138</v>
      </c>
      <c r="CN935" s="29" t="s">
        <v>138</v>
      </c>
      <c r="CO935" s="35">
        <v>0.09</v>
      </c>
      <c r="CP935" s="36">
        <v>90</v>
      </c>
      <c r="CQ935" s="35">
        <v>-7.0000000000000007E-2</v>
      </c>
      <c r="CR935" s="35">
        <v>-42.04</v>
      </c>
      <c r="CS935" s="35">
        <v>0</v>
      </c>
      <c r="CT935" s="36">
        <v>23</v>
      </c>
      <c r="CU935" s="35">
        <v>0.18</v>
      </c>
      <c r="CV935" s="36">
        <v>78</v>
      </c>
      <c r="CW935" s="35" t="s">
        <v>138</v>
      </c>
      <c r="CX935" s="36" t="s">
        <v>138</v>
      </c>
      <c r="CY935" s="35">
        <v>0</v>
      </c>
      <c r="CZ935" s="36">
        <v>25</v>
      </c>
      <c r="DA935" s="35">
        <v>0.18</v>
      </c>
      <c r="DB935" s="36">
        <v>81</v>
      </c>
      <c r="DC935" s="37">
        <v>1.07</v>
      </c>
      <c r="DD935" s="36">
        <v>53</v>
      </c>
      <c r="DE935" s="37">
        <v>0.02</v>
      </c>
      <c r="DF935" s="35">
        <v>1.87</v>
      </c>
      <c r="DG935" s="37">
        <v>0.79</v>
      </c>
      <c r="DH935" s="36">
        <v>45</v>
      </c>
      <c r="DI935" s="37">
        <v>1.34</v>
      </c>
      <c r="DJ935" s="36">
        <v>55</v>
      </c>
      <c r="DK935" s="37" t="s">
        <v>138</v>
      </c>
      <c r="DL935" s="36" t="s">
        <v>138</v>
      </c>
      <c r="DM935" s="37">
        <v>0.79</v>
      </c>
      <c r="DN935" s="36">
        <v>45</v>
      </c>
      <c r="DO935" s="37">
        <v>1.34</v>
      </c>
      <c r="DP935" s="36">
        <v>56</v>
      </c>
      <c r="DQ935" s="36" t="s">
        <v>138</v>
      </c>
      <c r="DR935" s="38" t="s">
        <v>138</v>
      </c>
      <c r="DS935" s="35" t="s">
        <v>138</v>
      </c>
      <c r="DT935" s="36">
        <v>22</v>
      </c>
      <c r="DU935" s="38">
        <v>1</v>
      </c>
      <c r="DV935" s="35">
        <v>4.76</v>
      </c>
      <c r="DW935" s="36">
        <v>479</v>
      </c>
      <c r="DX935" s="39">
        <v>0</v>
      </c>
      <c r="DY935" s="35">
        <v>0</v>
      </c>
      <c r="DZ935" s="28" t="s">
        <v>178</v>
      </c>
      <c r="EA935" s="34">
        <v>43538</v>
      </c>
      <c r="EB935" s="29" t="s">
        <v>138</v>
      </c>
      <c r="EC935" s="34" t="s">
        <v>138</v>
      </c>
      <c r="ED935" s="28" t="s">
        <v>138</v>
      </c>
      <c r="EE935" s="40" t="str">
        <f>HYPERLINK("https://my.pitchbook.com?c=57997-45", "View company online")</f>
        <v>View company online</v>
      </c>
    </row>
    <row r="936" spans="1:135">
      <c r="A936" s="15" t="s">
        <v>18424</v>
      </c>
      <c r="B936" s="15" t="s">
        <v>18425</v>
      </c>
      <c r="C936" s="15" t="s">
        <v>138</v>
      </c>
      <c r="D936" s="15" t="s">
        <v>18426</v>
      </c>
      <c r="E936" s="15" t="s">
        <v>18427</v>
      </c>
      <c r="F936" s="15" t="s">
        <v>18424</v>
      </c>
      <c r="G936" s="15" t="s">
        <v>18428</v>
      </c>
      <c r="H936" s="15" t="s">
        <v>385</v>
      </c>
      <c r="I936" s="15" t="s">
        <v>1991</v>
      </c>
      <c r="J936" s="15" t="s">
        <v>4454</v>
      </c>
      <c r="K936" s="15" t="s">
        <v>8566</v>
      </c>
      <c r="L936" s="15" t="s">
        <v>560</v>
      </c>
      <c r="M936" s="15" t="s">
        <v>18429</v>
      </c>
      <c r="N936" s="15" t="s">
        <v>1452</v>
      </c>
      <c r="O936" s="17">
        <v>7.45</v>
      </c>
      <c r="P936" s="15" t="s">
        <v>812</v>
      </c>
      <c r="Q936" s="15" t="s">
        <v>149</v>
      </c>
      <c r="R936" s="15" t="s">
        <v>1652</v>
      </c>
      <c r="S936" s="15" t="s">
        <v>18430</v>
      </c>
      <c r="T936" s="18">
        <v>60</v>
      </c>
      <c r="U936" s="15" t="s">
        <v>18431</v>
      </c>
      <c r="V936" s="15" t="s">
        <v>138</v>
      </c>
      <c r="W936" s="15" t="s">
        <v>138</v>
      </c>
      <c r="X936" s="19">
        <v>2003</v>
      </c>
      <c r="Y936" s="15" t="s">
        <v>138</v>
      </c>
      <c r="Z936" s="15" t="s">
        <v>138</v>
      </c>
      <c r="AA936" s="15" t="s">
        <v>138</v>
      </c>
      <c r="AB936" s="20">
        <v>25</v>
      </c>
      <c r="AC936" s="20" t="s">
        <v>138</v>
      </c>
      <c r="AD936" s="20" t="s">
        <v>138</v>
      </c>
      <c r="AE936" s="20" t="s">
        <v>138</v>
      </c>
      <c r="AF936" s="20" t="s">
        <v>138</v>
      </c>
      <c r="AG936" s="15" t="s">
        <v>419</v>
      </c>
      <c r="AH936" s="20" t="s">
        <v>138</v>
      </c>
      <c r="AI936" s="20" t="s">
        <v>138</v>
      </c>
      <c r="AJ936" s="20" t="s">
        <v>138</v>
      </c>
      <c r="AK936" s="15" t="s">
        <v>18432</v>
      </c>
      <c r="AL936" s="15" t="s">
        <v>18433</v>
      </c>
      <c r="AM936" s="15" t="s">
        <v>2776</v>
      </c>
      <c r="AN936" s="15" t="s">
        <v>18434</v>
      </c>
      <c r="AO936" s="15" t="s">
        <v>18435</v>
      </c>
      <c r="AP936" s="15" t="s">
        <v>1457</v>
      </c>
      <c r="AQ936" s="15" t="s">
        <v>18436</v>
      </c>
      <c r="AR936" s="15" t="s">
        <v>6298</v>
      </c>
      <c r="AS936" s="15" t="s">
        <v>1460</v>
      </c>
      <c r="AT936" s="15" t="s">
        <v>474</v>
      </c>
      <c r="AU936" s="15" t="s">
        <v>18437</v>
      </c>
      <c r="AV936" s="15" t="s">
        <v>162</v>
      </c>
      <c r="AW936" s="15" t="s">
        <v>18435</v>
      </c>
      <c r="AX936" s="15" t="s">
        <v>18438</v>
      </c>
      <c r="AY936" s="15" t="s">
        <v>138</v>
      </c>
      <c r="AZ936" s="15" t="s">
        <v>164</v>
      </c>
      <c r="BA936" s="15" t="s">
        <v>165</v>
      </c>
      <c r="BB936" s="15" t="s">
        <v>18439</v>
      </c>
      <c r="BC936" s="15" t="s">
        <v>18440</v>
      </c>
      <c r="BD936" s="21">
        <v>4</v>
      </c>
      <c r="BE936" s="15" t="s">
        <v>138</v>
      </c>
      <c r="BF936" s="15" t="s">
        <v>18441</v>
      </c>
      <c r="BG936" s="15" t="s">
        <v>138</v>
      </c>
      <c r="BH936" s="15" t="s">
        <v>18442</v>
      </c>
      <c r="BI936" s="15" t="s">
        <v>18443</v>
      </c>
      <c r="BJ936" s="15" t="s">
        <v>138</v>
      </c>
      <c r="BK936" s="15" t="s">
        <v>18444</v>
      </c>
      <c r="BL936" s="15" t="s">
        <v>18445</v>
      </c>
      <c r="BM936" s="22">
        <v>37945</v>
      </c>
      <c r="BN936" s="17">
        <v>0.45</v>
      </c>
      <c r="BO936" s="15" t="s">
        <v>172</v>
      </c>
      <c r="BP936" s="17" t="s">
        <v>138</v>
      </c>
      <c r="BQ936" s="15" t="s">
        <v>138</v>
      </c>
      <c r="BR936" s="15" t="s">
        <v>205</v>
      </c>
      <c r="BS936" s="15" t="s">
        <v>206</v>
      </c>
      <c r="BT936" s="15" t="s">
        <v>138</v>
      </c>
      <c r="BU936" s="15" t="s">
        <v>174</v>
      </c>
      <c r="BV936" s="15" t="s">
        <v>138</v>
      </c>
      <c r="BW936" s="15" t="s">
        <v>138</v>
      </c>
      <c r="BX936" s="15" t="s">
        <v>138</v>
      </c>
      <c r="BY936" s="15" t="s">
        <v>175</v>
      </c>
      <c r="BZ936" s="22">
        <v>40553</v>
      </c>
      <c r="CA936" s="17">
        <v>100</v>
      </c>
      <c r="CB936" s="15" t="s">
        <v>1178</v>
      </c>
      <c r="CC936" s="17">
        <v>100</v>
      </c>
      <c r="CD936" s="15" t="s">
        <v>138</v>
      </c>
      <c r="CE936" s="15" t="s">
        <v>349</v>
      </c>
      <c r="CF936" s="15" t="s">
        <v>9447</v>
      </c>
      <c r="CG936" s="15" t="s">
        <v>138</v>
      </c>
      <c r="CH936" s="15" t="s">
        <v>351</v>
      </c>
      <c r="CI936" s="15" t="s">
        <v>138</v>
      </c>
      <c r="CJ936" s="15" t="s">
        <v>138</v>
      </c>
      <c r="CK936" s="15" t="s">
        <v>138</v>
      </c>
      <c r="CL936" s="15" t="s">
        <v>175</v>
      </c>
      <c r="CM936" s="22">
        <v>39363</v>
      </c>
      <c r="CN936" s="17">
        <v>2</v>
      </c>
      <c r="CO936" s="23">
        <v>-0.25</v>
      </c>
      <c r="CP936" s="24">
        <v>19</v>
      </c>
      <c r="CQ936" s="23">
        <v>0.05</v>
      </c>
      <c r="CR936" s="23">
        <v>16.600000000000001</v>
      </c>
      <c r="CS936" s="23">
        <v>-0.5</v>
      </c>
      <c r="CT936" s="24">
        <v>19</v>
      </c>
      <c r="CU936" s="23">
        <v>0.01</v>
      </c>
      <c r="CV936" s="24">
        <v>49</v>
      </c>
      <c r="CW936" s="23">
        <v>0</v>
      </c>
      <c r="CX936" s="24">
        <v>13</v>
      </c>
      <c r="CY936" s="23">
        <v>-1</v>
      </c>
      <c r="CZ936" s="24">
        <v>19</v>
      </c>
      <c r="DA936" s="23">
        <v>-0.01</v>
      </c>
      <c r="DB936" s="24">
        <v>21</v>
      </c>
      <c r="DC936" s="25">
        <v>2.9</v>
      </c>
      <c r="DD936" s="24">
        <v>74</v>
      </c>
      <c r="DE936" s="25">
        <v>-0.06</v>
      </c>
      <c r="DF936" s="23">
        <v>-1.87</v>
      </c>
      <c r="DG936" s="25">
        <v>3.32</v>
      </c>
      <c r="DH936" s="24">
        <v>76</v>
      </c>
      <c r="DI936" s="25">
        <v>2.48</v>
      </c>
      <c r="DJ936" s="24">
        <v>66</v>
      </c>
      <c r="DK936" s="25">
        <v>1.84</v>
      </c>
      <c r="DL936" s="24">
        <v>63</v>
      </c>
      <c r="DM936" s="25">
        <v>4.79</v>
      </c>
      <c r="DN936" s="24">
        <v>81</v>
      </c>
      <c r="DO936" s="25">
        <v>3.01</v>
      </c>
      <c r="DP936" s="24">
        <v>71</v>
      </c>
      <c r="DQ936" s="24">
        <v>613</v>
      </c>
      <c r="DR936" s="26">
        <v>53</v>
      </c>
      <c r="DS936" s="23">
        <v>9.4600000000000009</v>
      </c>
      <c r="DT936" s="24">
        <v>139</v>
      </c>
      <c r="DU936" s="26">
        <v>1</v>
      </c>
      <c r="DV936" s="23">
        <v>0.72</v>
      </c>
      <c r="DW936" s="24">
        <v>1079</v>
      </c>
      <c r="DX936" s="27">
        <v>1</v>
      </c>
      <c r="DY936" s="23">
        <v>0.09</v>
      </c>
      <c r="DZ936" s="15" t="s">
        <v>178</v>
      </c>
      <c r="EA936" s="22">
        <v>43622</v>
      </c>
      <c r="EB936" s="17">
        <v>100</v>
      </c>
      <c r="EC936" s="22">
        <v>40553</v>
      </c>
      <c r="ED936" s="15" t="s">
        <v>349</v>
      </c>
      <c r="EE936" s="14" t="str">
        <f>HYPERLINK("https://my.pitchbook.com?c=51470-20", "View company online")</f>
        <v>View company online</v>
      </c>
    </row>
    <row r="937" spans="1:135">
      <c r="A937" s="28" t="s">
        <v>18446</v>
      </c>
      <c r="B937" s="28" t="s">
        <v>18447</v>
      </c>
      <c r="C937" s="28" t="s">
        <v>18448</v>
      </c>
      <c r="D937" s="28" t="s">
        <v>138</v>
      </c>
      <c r="E937" s="28" t="s">
        <v>138</v>
      </c>
      <c r="F937" s="28" t="s">
        <v>18446</v>
      </c>
      <c r="G937" s="28" t="s">
        <v>18449</v>
      </c>
      <c r="H937" s="28" t="s">
        <v>141</v>
      </c>
      <c r="I937" s="28" t="s">
        <v>142</v>
      </c>
      <c r="J937" s="28" t="s">
        <v>143</v>
      </c>
      <c r="K937" s="28" t="s">
        <v>17238</v>
      </c>
      <c r="L937" s="28" t="s">
        <v>17694</v>
      </c>
      <c r="M937" s="28" t="s">
        <v>18450</v>
      </c>
      <c r="N937" s="28" t="s">
        <v>147</v>
      </c>
      <c r="O937" s="29">
        <v>33.909999999999997</v>
      </c>
      <c r="P937" s="28" t="s">
        <v>812</v>
      </c>
      <c r="Q937" s="28" t="s">
        <v>149</v>
      </c>
      <c r="R937" s="28" t="s">
        <v>150</v>
      </c>
      <c r="S937" s="28" t="s">
        <v>18451</v>
      </c>
      <c r="T937" s="30" t="s">
        <v>138</v>
      </c>
      <c r="U937" s="28" t="s">
        <v>138</v>
      </c>
      <c r="V937" s="28" t="s">
        <v>138</v>
      </c>
      <c r="W937" s="28" t="s">
        <v>138</v>
      </c>
      <c r="X937" s="31">
        <v>2000</v>
      </c>
      <c r="Y937" s="28" t="s">
        <v>138</v>
      </c>
      <c r="Z937" s="28" t="s">
        <v>138</v>
      </c>
      <c r="AA937" s="28" t="s">
        <v>1163</v>
      </c>
      <c r="AB937" s="32">
        <v>2.4</v>
      </c>
      <c r="AC937" s="32" t="s">
        <v>138</v>
      </c>
      <c r="AD937" s="32" t="s">
        <v>138</v>
      </c>
      <c r="AE937" s="32" t="s">
        <v>138</v>
      </c>
      <c r="AF937" s="32" t="s">
        <v>138</v>
      </c>
      <c r="AG937" s="28" t="s">
        <v>14914</v>
      </c>
      <c r="AH937" s="32" t="s">
        <v>138</v>
      </c>
      <c r="AI937" s="32" t="s">
        <v>138</v>
      </c>
      <c r="AJ937" s="32" t="s">
        <v>138</v>
      </c>
      <c r="AK937" s="28" t="s">
        <v>18452</v>
      </c>
      <c r="AL937" s="28" t="s">
        <v>18453</v>
      </c>
      <c r="AM937" s="28" t="s">
        <v>18454</v>
      </c>
      <c r="AN937" s="28" t="s">
        <v>18455</v>
      </c>
      <c r="AO937" s="28" t="s">
        <v>18456</v>
      </c>
      <c r="AP937" s="28" t="s">
        <v>18457</v>
      </c>
      <c r="AQ937" s="28" t="s">
        <v>18458</v>
      </c>
      <c r="AR937" s="28" t="s">
        <v>138</v>
      </c>
      <c r="AS937" s="28" t="s">
        <v>18459</v>
      </c>
      <c r="AT937" s="28" t="s">
        <v>200</v>
      </c>
      <c r="AU937" s="28" t="s">
        <v>18460</v>
      </c>
      <c r="AV937" s="28" t="s">
        <v>162</v>
      </c>
      <c r="AW937" s="28" t="s">
        <v>18456</v>
      </c>
      <c r="AX937" s="28" t="s">
        <v>138</v>
      </c>
      <c r="AY937" s="28" t="s">
        <v>18461</v>
      </c>
      <c r="AZ937" s="28" t="s">
        <v>164</v>
      </c>
      <c r="BA937" s="28" t="s">
        <v>165</v>
      </c>
      <c r="BB937" s="28" t="s">
        <v>18462</v>
      </c>
      <c r="BC937" s="28" t="s">
        <v>18463</v>
      </c>
      <c r="BD937" s="33">
        <v>14</v>
      </c>
      <c r="BE937" s="28" t="s">
        <v>138</v>
      </c>
      <c r="BF937" s="28" t="s">
        <v>138</v>
      </c>
      <c r="BG937" s="28" t="s">
        <v>18464</v>
      </c>
      <c r="BH937" s="28" t="s">
        <v>18465</v>
      </c>
      <c r="BI937" s="28" t="s">
        <v>138</v>
      </c>
      <c r="BJ937" s="28" t="s">
        <v>18466</v>
      </c>
      <c r="BK937" s="28" t="s">
        <v>18467</v>
      </c>
      <c r="BL937" s="28" t="s">
        <v>18468</v>
      </c>
      <c r="BM937" s="34">
        <v>36923</v>
      </c>
      <c r="BN937" s="29">
        <v>11.33</v>
      </c>
      <c r="BO937" s="28" t="s">
        <v>172</v>
      </c>
      <c r="BP937" s="29">
        <v>20.100000000000001</v>
      </c>
      <c r="BQ937" s="28" t="s">
        <v>172</v>
      </c>
      <c r="BR937" s="28" t="s">
        <v>205</v>
      </c>
      <c r="BS937" s="28" t="s">
        <v>206</v>
      </c>
      <c r="BT937" s="28" t="s">
        <v>138</v>
      </c>
      <c r="BU937" s="28" t="s">
        <v>174</v>
      </c>
      <c r="BV937" s="28" t="s">
        <v>138</v>
      </c>
      <c r="BW937" s="28" t="s">
        <v>138</v>
      </c>
      <c r="BX937" s="28" t="s">
        <v>138</v>
      </c>
      <c r="BY937" s="28" t="s">
        <v>175</v>
      </c>
      <c r="BZ937" s="34">
        <v>43573</v>
      </c>
      <c r="CA937" s="29" t="s">
        <v>138</v>
      </c>
      <c r="CB937" s="28" t="s">
        <v>138</v>
      </c>
      <c r="CC937" s="29" t="s">
        <v>138</v>
      </c>
      <c r="CD937" s="28" t="s">
        <v>138</v>
      </c>
      <c r="CE937" s="28" t="s">
        <v>2228</v>
      </c>
      <c r="CF937" s="28" t="s">
        <v>138</v>
      </c>
      <c r="CG937" s="28" t="s">
        <v>138</v>
      </c>
      <c r="CH937" s="28" t="s">
        <v>780</v>
      </c>
      <c r="CI937" s="28" t="s">
        <v>138</v>
      </c>
      <c r="CJ937" s="28" t="s">
        <v>138</v>
      </c>
      <c r="CK937" s="28" t="s">
        <v>138</v>
      </c>
      <c r="CL937" s="28" t="s">
        <v>352</v>
      </c>
      <c r="CM937" s="34" t="s">
        <v>138</v>
      </c>
      <c r="CN937" s="29" t="s">
        <v>138</v>
      </c>
      <c r="CO937" s="35">
        <v>-0.46</v>
      </c>
      <c r="CP937" s="36">
        <v>16</v>
      </c>
      <c r="CQ937" s="35">
        <v>0</v>
      </c>
      <c r="CR937" s="35">
        <v>-0.69</v>
      </c>
      <c r="CS937" s="35">
        <v>-0.92</v>
      </c>
      <c r="CT937" s="36">
        <v>16</v>
      </c>
      <c r="CU937" s="35">
        <v>0</v>
      </c>
      <c r="CV937" s="36">
        <v>22</v>
      </c>
      <c r="CW937" s="35">
        <v>0</v>
      </c>
      <c r="CX937" s="36">
        <v>13</v>
      </c>
      <c r="CY937" s="35">
        <v>-1.84</v>
      </c>
      <c r="CZ937" s="36">
        <v>12</v>
      </c>
      <c r="DA937" s="35">
        <v>0</v>
      </c>
      <c r="DB937" s="36">
        <v>22</v>
      </c>
      <c r="DC937" s="37">
        <v>1.6</v>
      </c>
      <c r="DD937" s="36">
        <v>62</v>
      </c>
      <c r="DE937" s="37">
        <v>-0.05</v>
      </c>
      <c r="DF937" s="35">
        <v>-2.98</v>
      </c>
      <c r="DG937" s="37">
        <v>3.01</v>
      </c>
      <c r="DH937" s="36">
        <v>75</v>
      </c>
      <c r="DI937" s="37">
        <v>0.19</v>
      </c>
      <c r="DJ937" s="36">
        <v>22</v>
      </c>
      <c r="DK937" s="37">
        <v>1.32</v>
      </c>
      <c r="DL937" s="36">
        <v>56</v>
      </c>
      <c r="DM937" s="37">
        <v>4.6900000000000004</v>
      </c>
      <c r="DN937" s="36">
        <v>81</v>
      </c>
      <c r="DO937" s="37">
        <v>0.19</v>
      </c>
      <c r="DP937" s="36">
        <v>24</v>
      </c>
      <c r="DQ937" s="36">
        <v>436</v>
      </c>
      <c r="DR937" s="38">
        <v>54</v>
      </c>
      <c r="DS937" s="35">
        <v>14.14</v>
      </c>
      <c r="DT937" s="36">
        <v>136</v>
      </c>
      <c r="DU937" s="38">
        <v>-1</v>
      </c>
      <c r="DV937" s="35">
        <v>-0.73</v>
      </c>
      <c r="DW937" s="36">
        <v>68</v>
      </c>
      <c r="DX937" s="39">
        <v>0</v>
      </c>
      <c r="DY937" s="35">
        <v>0</v>
      </c>
      <c r="DZ937" s="28" t="s">
        <v>178</v>
      </c>
      <c r="EA937" s="34">
        <v>43573</v>
      </c>
      <c r="EB937" s="29">
        <v>79.78</v>
      </c>
      <c r="EC937" s="34">
        <v>40896</v>
      </c>
      <c r="ED937" s="28" t="s">
        <v>173</v>
      </c>
      <c r="EE937" s="40" t="str">
        <f>HYPERLINK("https://my.pitchbook.com?c=51231-43", "View company online")</f>
        <v>View company online</v>
      </c>
    </row>
    <row r="938" spans="1:135">
      <c r="A938" s="15" t="s">
        <v>18469</v>
      </c>
      <c r="B938" s="15" t="s">
        <v>18470</v>
      </c>
      <c r="C938" s="15" t="s">
        <v>138</v>
      </c>
      <c r="D938" s="15" t="s">
        <v>18471</v>
      </c>
      <c r="E938" s="15" t="s">
        <v>138</v>
      </c>
      <c r="F938" s="15" t="s">
        <v>18469</v>
      </c>
      <c r="G938" s="15" t="s">
        <v>18472</v>
      </c>
      <c r="H938" s="15" t="s">
        <v>5219</v>
      </c>
      <c r="I938" s="15" t="s">
        <v>18473</v>
      </c>
      <c r="J938" s="15" t="s">
        <v>18474</v>
      </c>
      <c r="K938" s="15" t="s">
        <v>18475</v>
      </c>
      <c r="L938" s="15" t="s">
        <v>1994</v>
      </c>
      <c r="M938" s="15" t="s">
        <v>18476</v>
      </c>
      <c r="N938" s="15" t="s">
        <v>147</v>
      </c>
      <c r="O938" s="17">
        <v>6.63</v>
      </c>
      <c r="P938" s="15" t="s">
        <v>148</v>
      </c>
      <c r="Q938" s="15" t="s">
        <v>149</v>
      </c>
      <c r="R938" s="15" t="s">
        <v>174</v>
      </c>
      <c r="S938" s="15" t="s">
        <v>18477</v>
      </c>
      <c r="T938" s="18" t="s">
        <v>138</v>
      </c>
      <c r="U938" s="15" t="s">
        <v>138</v>
      </c>
      <c r="V938" s="15" t="s">
        <v>138</v>
      </c>
      <c r="W938" s="15" t="s">
        <v>138</v>
      </c>
      <c r="X938" s="19">
        <v>1993</v>
      </c>
      <c r="Y938" s="15" t="s">
        <v>138</v>
      </c>
      <c r="Z938" s="15" t="s">
        <v>138</v>
      </c>
      <c r="AA938" s="15" t="s">
        <v>138</v>
      </c>
      <c r="AB938" s="20" t="s">
        <v>138</v>
      </c>
      <c r="AC938" s="20" t="s">
        <v>138</v>
      </c>
      <c r="AD938" s="20" t="s">
        <v>138</v>
      </c>
      <c r="AE938" s="20" t="s">
        <v>138</v>
      </c>
      <c r="AF938" s="20" t="s">
        <v>138</v>
      </c>
      <c r="AG938" s="15" t="s">
        <v>138</v>
      </c>
      <c r="AH938" s="20" t="s">
        <v>138</v>
      </c>
      <c r="AI938" s="20" t="s">
        <v>138</v>
      </c>
      <c r="AJ938" s="20" t="s">
        <v>138</v>
      </c>
      <c r="AK938" s="15" t="s">
        <v>18478</v>
      </c>
      <c r="AL938" s="15" t="s">
        <v>18479</v>
      </c>
      <c r="AM938" s="15" t="s">
        <v>444</v>
      </c>
      <c r="AN938" s="15" t="s">
        <v>18480</v>
      </c>
      <c r="AO938" s="15" t="s">
        <v>18481</v>
      </c>
      <c r="AP938" s="15" t="s">
        <v>18482</v>
      </c>
      <c r="AQ938" s="15" t="s">
        <v>18483</v>
      </c>
      <c r="AR938" s="15" t="s">
        <v>18484</v>
      </c>
      <c r="AS938" s="15" t="s">
        <v>18485</v>
      </c>
      <c r="AT938" s="15" t="s">
        <v>138</v>
      </c>
      <c r="AU938" s="15" t="s">
        <v>18486</v>
      </c>
      <c r="AV938" s="15" t="s">
        <v>740</v>
      </c>
      <c r="AW938" s="15" t="s">
        <v>18487</v>
      </c>
      <c r="AX938" s="15" t="s">
        <v>18488</v>
      </c>
      <c r="AY938" s="15" t="s">
        <v>138</v>
      </c>
      <c r="AZ938" s="15" t="s">
        <v>742</v>
      </c>
      <c r="BA938" s="15" t="s">
        <v>742</v>
      </c>
      <c r="BB938" s="15" t="s">
        <v>18489</v>
      </c>
      <c r="BC938" s="15" t="s">
        <v>18490</v>
      </c>
      <c r="BD938" s="21">
        <v>3</v>
      </c>
      <c r="BE938" s="15" t="s">
        <v>138</v>
      </c>
      <c r="BF938" s="15" t="s">
        <v>138</v>
      </c>
      <c r="BG938" s="15" t="s">
        <v>138</v>
      </c>
      <c r="BH938" s="15" t="s">
        <v>18491</v>
      </c>
      <c r="BI938" s="15" t="s">
        <v>138</v>
      </c>
      <c r="BJ938" s="15" t="s">
        <v>138</v>
      </c>
      <c r="BK938" s="15" t="s">
        <v>138</v>
      </c>
      <c r="BL938" s="15" t="s">
        <v>138</v>
      </c>
      <c r="BM938" s="22">
        <v>39475</v>
      </c>
      <c r="BN938" s="17">
        <v>0.8</v>
      </c>
      <c r="BO938" s="15" t="s">
        <v>172</v>
      </c>
      <c r="BP938" s="17" t="s">
        <v>138</v>
      </c>
      <c r="BQ938" s="15" t="s">
        <v>138</v>
      </c>
      <c r="BR938" s="15" t="s">
        <v>173</v>
      </c>
      <c r="BS938" s="15" t="s">
        <v>138</v>
      </c>
      <c r="BT938" s="15" t="s">
        <v>138</v>
      </c>
      <c r="BU938" s="15" t="s">
        <v>174</v>
      </c>
      <c r="BV938" s="15" t="s">
        <v>138</v>
      </c>
      <c r="BW938" s="15" t="s">
        <v>138</v>
      </c>
      <c r="BX938" s="15" t="s">
        <v>138</v>
      </c>
      <c r="BY938" s="15" t="s">
        <v>175</v>
      </c>
      <c r="BZ938" s="22">
        <v>40542</v>
      </c>
      <c r="CA938" s="17">
        <v>5.83</v>
      </c>
      <c r="CB938" s="15" t="s">
        <v>172</v>
      </c>
      <c r="CC938" s="17" t="s">
        <v>138</v>
      </c>
      <c r="CD938" s="15" t="s">
        <v>138</v>
      </c>
      <c r="CE938" s="15" t="s">
        <v>173</v>
      </c>
      <c r="CF938" s="15" t="s">
        <v>138</v>
      </c>
      <c r="CG938" s="15" t="s">
        <v>138</v>
      </c>
      <c r="CH938" s="15" t="s">
        <v>174</v>
      </c>
      <c r="CI938" s="15" t="s">
        <v>138</v>
      </c>
      <c r="CJ938" s="15" t="s">
        <v>138</v>
      </c>
      <c r="CK938" s="15" t="s">
        <v>138</v>
      </c>
      <c r="CL938" s="15" t="s">
        <v>175</v>
      </c>
      <c r="CM938" s="22" t="s">
        <v>138</v>
      </c>
      <c r="CN938" s="17" t="s">
        <v>138</v>
      </c>
      <c r="CO938" s="23">
        <v>0</v>
      </c>
      <c r="CP938" s="24">
        <v>26</v>
      </c>
      <c r="CQ938" s="23">
        <v>0</v>
      </c>
      <c r="CR938" s="23">
        <v>0</v>
      </c>
      <c r="CS938" s="23">
        <v>0</v>
      </c>
      <c r="CT938" s="24">
        <v>23</v>
      </c>
      <c r="CU938" s="23" t="s">
        <v>138</v>
      </c>
      <c r="CV938" s="24" t="s">
        <v>138</v>
      </c>
      <c r="CW938" s="23" t="s">
        <v>138</v>
      </c>
      <c r="CX938" s="24" t="s">
        <v>138</v>
      </c>
      <c r="CY938" s="23">
        <v>0</v>
      </c>
      <c r="CZ938" s="24">
        <v>25</v>
      </c>
      <c r="DA938" s="23" t="s">
        <v>138</v>
      </c>
      <c r="DB938" s="24" t="s">
        <v>138</v>
      </c>
      <c r="DC938" s="25">
        <v>0.21</v>
      </c>
      <c r="DD938" s="24">
        <v>15</v>
      </c>
      <c r="DE938" s="25">
        <v>-0.03</v>
      </c>
      <c r="DF938" s="23">
        <v>-14.29</v>
      </c>
      <c r="DG938" s="25">
        <v>0.21</v>
      </c>
      <c r="DH938" s="24">
        <v>16</v>
      </c>
      <c r="DI938" s="25" t="s">
        <v>138</v>
      </c>
      <c r="DJ938" s="24" t="s">
        <v>138</v>
      </c>
      <c r="DK938" s="25" t="s">
        <v>138</v>
      </c>
      <c r="DL938" s="24" t="s">
        <v>138</v>
      </c>
      <c r="DM938" s="25">
        <v>0.21</v>
      </c>
      <c r="DN938" s="24">
        <v>16</v>
      </c>
      <c r="DO938" s="25" t="s">
        <v>138</v>
      </c>
      <c r="DP938" s="24" t="s">
        <v>138</v>
      </c>
      <c r="DQ938" s="24" t="s">
        <v>138</v>
      </c>
      <c r="DR938" s="26" t="s">
        <v>138</v>
      </c>
      <c r="DS938" s="23" t="s">
        <v>138</v>
      </c>
      <c r="DT938" s="24">
        <v>6</v>
      </c>
      <c r="DU938" s="26">
        <v>-1</v>
      </c>
      <c r="DV938" s="23">
        <v>-14.29</v>
      </c>
      <c r="DW938" s="24" t="s">
        <v>138</v>
      </c>
      <c r="DX938" s="27" t="s">
        <v>138</v>
      </c>
      <c r="DY938" s="23" t="s">
        <v>138</v>
      </c>
      <c r="DZ938" s="15" t="s">
        <v>178</v>
      </c>
      <c r="EA938" s="22">
        <v>43351</v>
      </c>
      <c r="EB938" s="17" t="s">
        <v>138</v>
      </c>
      <c r="EC938" s="22" t="s">
        <v>138</v>
      </c>
      <c r="ED938" s="15" t="s">
        <v>138</v>
      </c>
      <c r="EE938" s="14" t="str">
        <f>HYPERLINK("https://my.pitchbook.com?c=60694-57", "View company online")</f>
        <v>View company online</v>
      </c>
    </row>
    <row r="939" spans="1:135">
      <c r="A939" s="28" t="s">
        <v>18492</v>
      </c>
      <c r="B939" s="28" t="s">
        <v>18493</v>
      </c>
      <c r="C939" s="28" t="s">
        <v>138</v>
      </c>
      <c r="D939" s="28" t="s">
        <v>138</v>
      </c>
      <c r="E939" s="28" t="s">
        <v>138</v>
      </c>
      <c r="F939" s="28" t="s">
        <v>18492</v>
      </c>
      <c r="G939" s="28" t="s">
        <v>18494</v>
      </c>
      <c r="H939" s="28" t="s">
        <v>238</v>
      </c>
      <c r="I939" s="28" t="s">
        <v>749</v>
      </c>
      <c r="J939" s="28" t="s">
        <v>750</v>
      </c>
      <c r="K939" s="28" t="s">
        <v>18495</v>
      </c>
      <c r="L939" s="28" t="s">
        <v>138</v>
      </c>
      <c r="M939" s="28" t="s">
        <v>18496</v>
      </c>
      <c r="N939" s="28" t="s">
        <v>2109</v>
      </c>
      <c r="O939" s="29">
        <v>15.69</v>
      </c>
      <c r="P939" s="28" t="s">
        <v>812</v>
      </c>
      <c r="Q939" s="28" t="s">
        <v>149</v>
      </c>
      <c r="R939" s="28" t="s">
        <v>150</v>
      </c>
      <c r="S939" s="28" t="s">
        <v>18497</v>
      </c>
      <c r="T939" s="30">
        <v>112</v>
      </c>
      <c r="U939" s="28" t="s">
        <v>18498</v>
      </c>
      <c r="V939" s="28" t="s">
        <v>138</v>
      </c>
      <c r="W939" s="28" t="s">
        <v>138</v>
      </c>
      <c r="X939" s="31">
        <v>2004</v>
      </c>
      <c r="Y939" s="28" t="s">
        <v>138</v>
      </c>
      <c r="Z939" s="28" t="s">
        <v>138</v>
      </c>
      <c r="AA939" s="28" t="s">
        <v>138</v>
      </c>
      <c r="AB939" s="32">
        <v>110.61</v>
      </c>
      <c r="AC939" s="32" t="s">
        <v>138</v>
      </c>
      <c r="AD939" s="32" t="s">
        <v>138</v>
      </c>
      <c r="AE939" s="32" t="s">
        <v>138</v>
      </c>
      <c r="AF939" s="32" t="s">
        <v>138</v>
      </c>
      <c r="AG939" s="28" t="s">
        <v>707</v>
      </c>
      <c r="AH939" s="32" t="s">
        <v>138</v>
      </c>
      <c r="AI939" s="32" t="s">
        <v>138</v>
      </c>
      <c r="AJ939" s="32" t="s">
        <v>138</v>
      </c>
      <c r="AK939" s="28" t="s">
        <v>18499</v>
      </c>
      <c r="AL939" s="28" t="s">
        <v>18500</v>
      </c>
      <c r="AM939" s="28" t="s">
        <v>304</v>
      </c>
      <c r="AN939" s="28" t="s">
        <v>18501</v>
      </c>
      <c r="AO939" s="28" t="s">
        <v>138</v>
      </c>
      <c r="AP939" s="28" t="s">
        <v>2692</v>
      </c>
      <c r="AQ939" s="28" t="s">
        <v>18502</v>
      </c>
      <c r="AR939" s="28" t="s">
        <v>18503</v>
      </c>
      <c r="AS939" s="28" t="s">
        <v>2694</v>
      </c>
      <c r="AT939" s="28" t="s">
        <v>138</v>
      </c>
      <c r="AU939" s="28" t="s">
        <v>18504</v>
      </c>
      <c r="AV939" s="28" t="s">
        <v>1054</v>
      </c>
      <c r="AW939" s="28" t="s">
        <v>138</v>
      </c>
      <c r="AX939" s="28" t="s">
        <v>138</v>
      </c>
      <c r="AY939" s="28" t="s">
        <v>138</v>
      </c>
      <c r="AZ939" s="28" t="s">
        <v>530</v>
      </c>
      <c r="BA939" s="28" t="s">
        <v>531</v>
      </c>
      <c r="BB939" s="28" t="s">
        <v>18505</v>
      </c>
      <c r="BC939" s="28" t="s">
        <v>18506</v>
      </c>
      <c r="BD939" s="33">
        <v>1</v>
      </c>
      <c r="BE939" s="28" t="s">
        <v>138</v>
      </c>
      <c r="BF939" s="28" t="s">
        <v>18507</v>
      </c>
      <c r="BG939" s="28" t="s">
        <v>138</v>
      </c>
      <c r="BH939" s="28" t="s">
        <v>18508</v>
      </c>
      <c r="BI939" s="28" t="s">
        <v>18509</v>
      </c>
      <c r="BJ939" s="28" t="s">
        <v>138</v>
      </c>
      <c r="BK939" s="28" t="s">
        <v>4278</v>
      </c>
      <c r="BL939" s="28" t="s">
        <v>18510</v>
      </c>
      <c r="BM939" s="34">
        <v>39448</v>
      </c>
      <c r="BN939" s="29" t="s">
        <v>138</v>
      </c>
      <c r="BO939" s="28" t="s">
        <v>138</v>
      </c>
      <c r="BP939" s="29" t="s">
        <v>138</v>
      </c>
      <c r="BQ939" s="28" t="s">
        <v>138</v>
      </c>
      <c r="BR939" s="28" t="s">
        <v>780</v>
      </c>
      <c r="BS939" s="28" t="s">
        <v>780</v>
      </c>
      <c r="BT939" s="28" t="s">
        <v>138</v>
      </c>
      <c r="BU939" s="28" t="s">
        <v>780</v>
      </c>
      <c r="BV939" s="28" t="s">
        <v>138</v>
      </c>
      <c r="BW939" s="28" t="s">
        <v>138</v>
      </c>
      <c r="BX939" s="28" t="s">
        <v>138</v>
      </c>
      <c r="BY939" s="28" t="s">
        <v>175</v>
      </c>
      <c r="BZ939" s="34">
        <v>42549</v>
      </c>
      <c r="CA939" s="29" t="s">
        <v>138</v>
      </c>
      <c r="CB939" s="28" t="s">
        <v>138</v>
      </c>
      <c r="CC939" s="29" t="s">
        <v>138</v>
      </c>
      <c r="CD939" s="28" t="s">
        <v>138</v>
      </c>
      <c r="CE939" s="28" t="s">
        <v>379</v>
      </c>
      <c r="CF939" s="28" t="s">
        <v>138</v>
      </c>
      <c r="CG939" s="28" t="s">
        <v>138</v>
      </c>
      <c r="CH939" s="28" t="s">
        <v>780</v>
      </c>
      <c r="CI939" s="28" t="s">
        <v>138</v>
      </c>
      <c r="CJ939" s="28" t="s">
        <v>138</v>
      </c>
      <c r="CK939" s="28" t="s">
        <v>138</v>
      </c>
      <c r="CL939" s="28" t="s">
        <v>175</v>
      </c>
      <c r="CM939" s="34" t="s">
        <v>138</v>
      </c>
      <c r="CN939" s="29" t="s">
        <v>138</v>
      </c>
      <c r="CO939" s="35">
        <v>-0.71</v>
      </c>
      <c r="CP939" s="36">
        <v>14</v>
      </c>
      <c r="CQ939" s="35">
        <v>-0.01</v>
      </c>
      <c r="CR939" s="35">
        <v>-1.88</v>
      </c>
      <c r="CS939" s="35">
        <v>-1.44</v>
      </c>
      <c r="CT939" s="36">
        <v>12</v>
      </c>
      <c r="CU939" s="35">
        <v>0.03</v>
      </c>
      <c r="CV939" s="36">
        <v>54</v>
      </c>
      <c r="CW939" s="35">
        <v>0</v>
      </c>
      <c r="CX939" s="36">
        <v>13</v>
      </c>
      <c r="CY939" s="35">
        <v>-2.88</v>
      </c>
      <c r="CZ939" s="36">
        <v>7</v>
      </c>
      <c r="DA939" s="35">
        <v>-0.01</v>
      </c>
      <c r="DB939" s="36">
        <v>21</v>
      </c>
      <c r="DC939" s="37">
        <v>97.21</v>
      </c>
      <c r="DD939" s="36">
        <v>99</v>
      </c>
      <c r="DE939" s="37">
        <v>-0.05</v>
      </c>
      <c r="DF939" s="35">
        <v>-0.06</v>
      </c>
      <c r="DG939" s="37">
        <v>27.05</v>
      </c>
      <c r="DH939" s="36">
        <v>96</v>
      </c>
      <c r="DI939" s="37">
        <v>167.38</v>
      </c>
      <c r="DJ939" s="36">
        <v>98</v>
      </c>
      <c r="DK939" s="37">
        <v>2.82</v>
      </c>
      <c r="DL939" s="36">
        <v>70</v>
      </c>
      <c r="DM939" s="37">
        <v>51.28</v>
      </c>
      <c r="DN939" s="36">
        <v>98</v>
      </c>
      <c r="DO939" s="37">
        <v>103.72</v>
      </c>
      <c r="DP939" s="36">
        <v>98</v>
      </c>
      <c r="DQ939" s="36">
        <v>945</v>
      </c>
      <c r="DR939" s="38">
        <v>64</v>
      </c>
      <c r="DS939" s="35">
        <v>7.26</v>
      </c>
      <c r="DT939" s="36">
        <v>1489</v>
      </c>
      <c r="DU939" s="38">
        <v>-5</v>
      </c>
      <c r="DV939" s="35">
        <v>-0.33</v>
      </c>
      <c r="DW939" s="36">
        <v>37132</v>
      </c>
      <c r="DX939" s="39">
        <v>-1</v>
      </c>
      <c r="DY939" s="35">
        <v>0</v>
      </c>
      <c r="DZ939" s="28" t="s">
        <v>178</v>
      </c>
      <c r="EA939" s="34">
        <v>43448</v>
      </c>
      <c r="EB939" s="29" t="s">
        <v>138</v>
      </c>
      <c r="EC939" s="34" t="s">
        <v>138</v>
      </c>
      <c r="ED939" s="28" t="s">
        <v>138</v>
      </c>
      <c r="EE939" s="40" t="str">
        <f>HYPERLINK("https://my.pitchbook.com?c=162074-44", "View company online")</f>
        <v>View company online</v>
      </c>
    </row>
    <row r="940" spans="1:135">
      <c r="A940" s="15" t="s">
        <v>18511</v>
      </c>
      <c r="B940" s="15" t="s">
        <v>18512</v>
      </c>
      <c r="C940" s="15" t="s">
        <v>138</v>
      </c>
      <c r="D940" s="15" t="s">
        <v>138</v>
      </c>
      <c r="E940" s="15" t="s">
        <v>138</v>
      </c>
      <c r="F940" s="15" t="s">
        <v>18511</v>
      </c>
      <c r="G940" s="15" t="s">
        <v>18513</v>
      </c>
      <c r="H940" s="15" t="s">
        <v>385</v>
      </c>
      <c r="I940" s="15" t="s">
        <v>1448</v>
      </c>
      <c r="J940" s="15" t="s">
        <v>1449</v>
      </c>
      <c r="K940" s="15" t="s">
        <v>18514</v>
      </c>
      <c r="L940" s="15" t="s">
        <v>560</v>
      </c>
      <c r="M940" s="15" t="s">
        <v>18515</v>
      </c>
      <c r="N940" s="15" t="s">
        <v>147</v>
      </c>
      <c r="O940" s="17" t="s">
        <v>138</v>
      </c>
      <c r="P940" s="15" t="s">
        <v>610</v>
      </c>
      <c r="Q940" s="15" t="s">
        <v>149</v>
      </c>
      <c r="R940" s="15" t="s">
        <v>174</v>
      </c>
      <c r="S940" s="15" t="s">
        <v>18516</v>
      </c>
      <c r="T940" s="18">
        <v>11</v>
      </c>
      <c r="U940" s="15" t="s">
        <v>3406</v>
      </c>
      <c r="V940" s="15" t="s">
        <v>138</v>
      </c>
      <c r="W940" s="15" t="s">
        <v>138</v>
      </c>
      <c r="X940" s="19">
        <v>2007</v>
      </c>
      <c r="Y940" s="15" t="s">
        <v>138</v>
      </c>
      <c r="Z940" s="15" t="s">
        <v>138</v>
      </c>
      <c r="AA940" s="15" t="s">
        <v>138</v>
      </c>
      <c r="AB940" s="20" t="s">
        <v>138</v>
      </c>
      <c r="AC940" s="20" t="s">
        <v>138</v>
      </c>
      <c r="AD940" s="20" t="s">
        <v>138</v>
      </c>
      <c r="AE940" s="20" t="s">
        <v>138</v>
      </c>
      <c r="AF940" s="20" t="s">
        <v>138</v>
      </c>
      <c r="AG940" s="15" t="s">
        <v>138</v>
      </c>
      <c r="AH940" s="20" t="s">
        <v>138</v>
      </c>
      <c r="AI940" s="20" t="s">
        <v>138</v>
      </c>
      <c r="AJ940" s="20" t="s">
        <v>138</v>
      </c>
      <c r="AK940" s="15" t="s">
        <v>18517</v>
      </c>
      <c r="AL940" s="15" t="s">
        <v>18518</v>
      </c>
      <c r="AM940" s="15" t="s">
        <v>18519</v>
      </c>
      <c r="AN940" s="15" t="s">
        <v>18520</v>
      </c>
      <c r="AO940" s="15" t="s">
        <v>18521</v>
      </c>
      <c r="AP940" s="15" t="s">
        <v>1457</v>
      </c>
      <c r="AQ940" s="15" t="s">
        <v>18522</v>
      </c>
      <c r="AR940" s="15" t="s">
        <v>18523</v>
      </c>
      <c r="AS940" s="15" t="s">
        <v>1460</v>
      </c>
      <c r="AT940" s="15" t="s">
        <v>474</v>
      </c>
      <c r="AU940" s="15" t="s">
        <v>18524</v>
      </c>
      <c r="AV940" s="15" t="s">
        <v>162</v>
      </c>
      <c r="AW940" s="15" t="s">
        <v>18521</v>
      </c>
      <c r="AX940" s="15" t="s">
        <v>138</v>
      </c>
      <c r="AY940" s="15" t="s">
        <v>18525</v>
      </c>
      <c r="AZ940" s="15" t="s">
        <v>164</v>
      </c>
      <c r="BA940" s="15" t="s">
        <v>165</v>
      </c>
      <c r="BB940" s="15" t="s">
        <v>18526</v>
      </c>
      <c r="BC940" s="15" t="s">
        <v>18057</v>
      </c>
      <c r="BD940" s="21">
        <v>1</v>
      </c>
      <c r="BE940" s="15" t="s">
        <v>138</v>
      </c>
      <c r="BF940" s="15" t="s">
        <v>138</v>
      </c>
      <c r="BG940" s="15" t="s">
        <v>138</v>
      </c>
      <c r="BH940" s="15" t="s">
        <v>138</v>
      </c>
      <c r="BI940" s="15" t="s">
        <v>138</v>
      </c>
      <c r="BJ940" s="15" t="s">
        <v>138</v>
      </c>
      <c r="BK940" s="15" t="s">
        <v>138</v>
      </c>
      <c r="BL940" s="15" t="s">
        <v>138</v>
      </c>
      <c r="BM940" s="22" t="s">
        <v>138</v>
      </c>
      <c r="BN940" s="17" t="s">
        <v>138</v>
      </c>
      <c r="BO940" s="15" t="s">
        <v>138</v>
      </c>
      <c r="BP940" s="17" t="s">
        <v>138</v>
      </c>
      <c r="BQ940" s="15" t="s">
        <v>138</v>
      </c>
      <c r="BR940" s="15" t="s">
        <v>205</v>
      </c>
      <c r="BS940" s="15" t="s">
        <v>138</v>
      </c>
      <c r="BT940" s="15" t="s">
        <v>138</v>
      </c>
      <c r="BU940" s="15" t="s">
        <v>174</v>
      </c>
      <c r="BV940" s="15" t="s">
        <v>138</v>
      </c>
      <c r="BW940" s="15" t="s">
        <v>138</v>
      </c>
      <c r="BX940" s="15" t="s">
        <v>138</v>
      </c>
      <c r="BY940" s="15" t="s">
        <v>175</v>
      </c>
      <c r="BZ940" s="22" t="s">
        <v>138</v>
      </c>
      <c r="CA940" s="17" t="s">
        <v>138</v>
      </c>
      <c r="CB940" s="15" t="s">
        <v>138</v>
      </c>
      <c r="CC940" s="17" t="s">
        <v>138</v>
      </c>
      <c r="CD940" s="15" t="s">
        <v>138</v>
      </c>
      <c r="CE940" s="15" t="s">
        <v>205</v>
      </c>
      <c r="CF940" s="15" t="s">
        <v>138</v>
      </c>
      <c r="CG940" s="15" t="s">
        <v>138</v>
      </c>
      <c r="CH940" s="15" t="s">
        <v>174</v>
      </c>
      <c r="CI940" s="15" t="s">
        <v>138</v>
      </c>
      <c r="CJ940" s="15" t="s">
        <v>138</v>
      </c>
      <c r="CK940" s="15" t="s">
        <v>138</v>
      </c>
      <c r="CL940" s="15" t="s">
        <v>175</v>
      </c>
      <c r="CM940" s="22" t="s">
        <v>138</v>
      </c>
      <c r="CN940" s="17" t="s">
        <v>138</v>
      </c>
      <c r="CO940" s="23">
        <v>0</v>
      </c>
      <c r="CP940" s="24">
        <v>26</v>
      </c>
      <c r="CQ940" s="23">
        <v>0</v>
      </c>
      <c r="CR940" s="23">
        <v>0</v>
      </c>
      <c r="CS940" s="23">
        <v>0</v>
      </c>
      <c r="CT940" s="24">
        <v>23</v>
      </c>
      <c r="CU940" s="23" t="s">
        <v>138</v>
      </c>
      <c r="CV940" s="24" t="s">
        <v>138</v>
      </c>
      <c r="CW940" s="23" t="s">
        <v>138</v>
      </c>
      <c r="CX940" s="24" t="s">
        <v>138</v>
      </c>
      <c r="CY940" s="23">
        <v>0</v>
      </c>
      <c r="CZ940" s="24">
        <v>25</v>
      </c>
      <c r="DA940" s="23" t="s">
        <v>138</v>
      </c>
      <c r="DB940" s="24" t="s">
        <v>138</v>
      </c>
      <c r="DC940" s="25">
        <v>0.14000000000000001</v>
      </c>
      <c r="DD940" s="24">
        <v>10</v>
      </c>
      <c r="DE940" s="25">
        <v>0</v>
      </c>
      <c r="DF940" s="23">
        <v>0</v>
      </c>
      <c r="DG940" s="25">
        <v>0.14000000000000001</v>
      </c>
      <c r="DH940" s="24">
        <v>10</v>
      </c>
      <c r="DI940" s="25" t="s">
        <v>138</v>
      </c>
      <c r="DJ940" s="24" t="s">
        <v>138</v>
      </c>
      <c r="DK940" s="25" t="s">
        <v>138</v>
      </c>
      <c r="DL940" s="24" t="s">
        <v>138</v>
      </c>
      <c r="DM940" s="25">
        <v>0.14000000000000001</v>
      </c>
      <c r="DN940" s="24">
        <v>11</v>
      </c>
      <c r="DO940" s="25" t="s">
        <v>138</v>
      </c>
      <c r="DP940" s="24" t="s">
        <v>138</v>
      </c>
      <c r="DQ940" s="24" t="s">
        <v>138</v>
      </c>
      <c r="DR940" s="26" t="s">
        <v>138</v>
      </c>
      <c r="DS940" s="23" t="s">
        <v>138</v>
      </c>
      <c r="DT940" s="24">
        <v>4</v>
      </c>
      <c r="DU940" s="26">
        <v>0</v>
      </c>
      <c r="DV940" s="23">
        <v>0</v>
      </c>
      <c r="DW940" s="24" t="s">
        <v>138</v>
      </c>
      <c r="DX940" s="27" t="s">
        <v>138</v>
      </c>
      <c r="DY940" s="23" t="s">
        <v>138</v>
      </c>
      <c r="DZ940" s="15" t="s">
        <v>178</v>
      </c>
      <c r="EA940" s="22">
        <v>43354</v>
      </c>
      <c r="EB940" s="17" t="s">
        <v>138</v>
      </c>
      <c r="EC940" s="22" t="s">
        <v>138</v>
      </c>
      <c r="ED940" s="15" t="s">
        <v>138</v>
      </c>
      <c r="EE940" s="14" t="str">
        <f>HYPERLINK("https://my.pitchbook.com?c=108228-88", "View company online")</f>
        <v>View company online</v>
      </c>
    </row>
    <row r="941" spans="1:135">
      <c r="A941" s="28" t="s">
        <v>18527</v>
      </c>
      <c r="B941" s="28" t="s">
        <v>18528</v>
      </c>
      <c r="C941" s="28" t="s">
        <v>138</v>
      </c>
      <c r="D941" s="28" t="s">
        <v>138</v>
      </c>
      <c r="E941" s="28" t="s">
        <v>138</v>
      </c>
      <c r="F941" s="28" t="s">
        <v>18527</v>
      </c>
      <c r="G941" s="28" t="s">
        <v>18529</v>
      </c>
      <c r="H941" s="28" t="s">
        <v>322</v>
      </c>
      <c r="I941" s="28" t="s">
        <v>323</v>
      </c>
      <c r="J941" s="28" t="s">
        <v>413</v>
      </c>
      <c r="K941" s="28" t="s">
        <v>18530</v>
      </c>
      <c r="L941" s="28" t="s">
        <v>215</v>
      </c>
      <c r="M941" s="28" t="s">
        <v>18531</v>
      </c>
      <c r="N941" s="28" t="s">
        <v>1452</v>
      </c>
      <c r="O941" s="29" t="s">
        <v>138</v>
      </c>
      <c r="P941" s="28" t="s">
        <v>148</v>
      </c>
      <c r="Q941" s="28" t="s">
        <v>149</v>
      </c>
      <c r="R941" s="28" t="s">
        <v>328</v>
      </c>
      <c r="S941" s="28" t="s">
        <v>18532</v>
      </c>
      <c r="T941" s="30">
        <v>41</v>
      </c>
      <c r="U941" s="28" t="s">
        <v>18533</v>
      </c>
      <c r="V941" s="28" t="s">
        <v>138</v>
      </c>
      <c r="W941" s="28" t="s">
        <v>138</v>
      </c>
      <c r="X941" s="31">
        <v>2005</v>
      </c>
      <c r="Y941" s="28" t="s">
        <v>138</v>
      </c>
      <c r="Z941" s="28" t="s">
        <v>138</v>
      </c>
      <c r="AA941" s="28" t="s">
        <v>138</v>
      </c>
      <c r="AB941" s="32" t="s">
        <v>138</v>
      </c>
      <c r="AC941" s="32" t="s">
        <v>138</v>
      </c>
      <c r="AD941" s="32" t="s">
        <v>138</v>
      </c>
      <c r="AE941" s="32" t="s">
        <v>138</v>
      </c>
      <c r="AF941" s="32" t="s">
        <v>138</v>
      </c>
      <c r="AG941" s="28" t="s">
        <v>138</v>
      </c>
      <c r="AH941" s="32" t="s">
        <v>138</v>
      </c>
      <c r="AI941" s="32" t="s">
        <v>138</v>
      </c>
      <c r="AJ941" s="32" t="s">
        <v>138</v>
      </c>
      <c r="AK941" s="28" t="s">
        <v>18534</v>
      </c>
      <c r="AL941" s="28" t="s">
        <v>18535</v>
      </c>
      <c r="AM941" s="28" t="s">
        <v>249</v>
      </c>
      <c r="AN941" s="28" t="s">
        <v>138</v>
      </c>
      <c r="AO941" s="28" t="s">
        <v>18536</v>
      </c>
      <c r="AP941" s="28" t="s">
        <v>18537</v>
      </c>
      <c r="AQ941" s="28" t="s">
        <v>18538</v>
      </c>
      <c r="AR941" s="28" t="s">
        <v>138</v>
      </c>
      <c r="AS941" s="28" t="s">
        <v>18539</v>
      </c>
      <c r="AT941" s="28" t="s">
        <v>138</v>
      </c>
      <c r="AU941" s="28" t="s">
        <v>18540</v>
      </c>
      <c r="AV941" s="28" t="s">
        <v>1319</v>
      </c>
      <c r="AW941" s="28" t="s">
        <v>18536</v>
      </c>
      <c r="AX941" s="28" t="s">
        <v>138</v>
      </c>
      <c r="AY941" s="28" t="s">
        <v>18541</v>
      </c>
      <c r="AZ941" s="28" t="s">
        <v>530</v>
      </c>
      <c r="BA941" s="28" t="s">
        <v>531</v>
      </c>
      <c r="BB941" s="28" t="s">
        <v>18542</v>
      </c>
      <c r="BC941" s="28" t="s">
        <v>18543</v>
      </c>
      <c r="BD941" s="33">
        <v>2</v>
      </c>
      <c r="BE941" s="28" t="s">
        <v>138</v>
      </c>
      <c r="BF941" s="28" t="s">
        <v>138</v>
      </c>
      <c r="BG941" s="28" t="s">
        <v>138</v>
      </c>
      <c r="BH941" s="28" t="s">
        <v>18544</v>
      </c>
      <c r="BI941" s="28" t="s">
        <v>138</v>
      </c>
      <c r="BJ941" s="28" t="s">
        <v>138</v>
      </c>
      <c r="BK941" s="28" t="s">
        <v>18545</v>
      </c>
      <c r="BL941" s="28" t="s">
        <v>138</v>
      </c>
      <c r="BM941" s="34">
        <v>41522</v>
      </c>
      <c r="BN941" s="29" t="s">
        <v>138</v>
      </c>
      <c r="BO941" s="28" t="s">
        <v>138</v>
      </c>
      <c r="BP941" s="29" t="s">
        <v>138</v>
      </c>
      <c r="BQ941" s="28" t="s">
        <v>138</v>
      </c>
      <c r="BR941" s="28" t="s">
        <v>1673</v>
      </c>
      <c r="BS941" s="28" t="s">
        <v>138</v>
      </c>
      <c r="BT941" s="28" t="s">
        <v>138</v>
      </c>
      <c r="BU941" s="28" t="s">
        <v>351</v>
      </c>
      <c r="BV941" s="28" t="s">
        <v>138</v>
      </c>
      <c r="BW941" s="28" t="s">
        <v>138</v>
      </c>
      <c r="BX941" s="28" t="s">
        <v>138</v>
      </c>
      <c r="BY941" s="28" t="s">
        <v>175</v>
      </c>
      <c r="BZ941" s="34">
        <v>41522</v>
      </c>
      <c r="CA941" s="29" t="s">
        <v>138</v>
      </c>
      <c r="CB941" s="28" t="s">
        <v>138</v>
      </c>
      <c r="CC941" s="29" t="s">
        <v>138</v>
      </c>
      <c r="CD941" s="28" t="s">
        <v>138</v>
      </c>
      <c r="CE941" s="28" t="s">
        <v>1673</v>
      </c>
      <c r="CF941" s="28" t="s">
        <v>138</v>
      </c>
      <c r="CG941" s="28" t="s">
        <v>138</v>
      </c>
      <c r="CH941" s="28" t="s">
        <v>351</v>
      </c>
      <c r="CI941" s="28" t="s">
        <v>138</v>
      </c>
      <c r="CJ941" s="28" t="s">
        <v>138</v>
      </c>
      <c r="CK941" s="28" t="s">
        <v>138</v>
      </c>
      <c r="CL941" s="28" t="s">
        <v>175</v>
      </c>
      <c r="CM941" s="34" t="s">
        <v>138</v>
      </c>
      <c r="CN941" s="29" t="s">
        <v>138</v>
      </c>
      <c r="CO941" s="35">
        <v>-1.9</v>
      </c>
      <c r="CP941" s="36">
        <v>6</v>
      </c>
      <c r="CQ941" s="35">
        <v>0.15</v>
      </c>
      <c r="CR941" s="35">
        <v>7.52</v>
      </c>
      <c r="CS941" s="35">
        <v>-1.9</v>
      </c>
      <c r="CT941" s="36">
        <v>9</v>
      </c>
      <c r="CU941" s="35" t="s">
        <v>138</v>
      </c>
      <c r="CV941" s="36" t="s">
        <v>138</v>
      </c>
      <c r="CW941" s="35" t="s">
        <v>138</v>
      </c>
      <c r="CX941" s="36" t="s">
        <v>138</v>
      </c>
      <c r="CY941" s="35">
        <v>-1.9</v>
      </c>
      <c r="CZ941" s="36">
        <v>12</v>
      </c>
      <c r="DA941" s="35" t="s">
        <v>138</v>
      </c>
      <c r="DB941" s="36" t="s">
        <v>138</v>
      </c>
      <c r="DC941" s="37">
        <v>4.72</v>
      </c>
      <c r="DD941" s="36">
        <v>82</v>
      </c>
      <c r="DE941" s="37">
        <v>-0.03</v>
      </c>
      <c r="DF941" s="35">
        <v>-0.72</v>
      </c>
      <c r="DG941" s="37">
        <v>4.72</v>
      </c>
      <c r="DH941" s="36">
        <v>82</v>
      </c>
      <c r="DI941" s="37" t="s">
        <v>138</v>
      </c>
      <c r="DJ941" s="36" t="s">
        <v>138</v>
      </c>
      <c r="DK941" s="37" t="s">
        <v>138</v>
      </c>
      <c r="DL941" s="36" t="s">
        <v>138</v>
      </c>
      <c r="DM941" s="37">
        <v>4.72</v>
      </c>
      <c r="DN941" s="36">
        <v>81</v>
      </c>
      <c r="DO941" s="37" t="s">
        <v>138</v>
      </c>
      <c r="DP941" s="36" t="s">
        <v>138</v>
      </c>
      <c r="DQ941" s="36" t="s">
        <v>138</v>
      </c>
      <c r="DR941" s="38" t="s">
        <v>138</v>
      </c>
      <c r="DS941" s="35" t="s">
        <v>138</v>
      </c>
      <c r="DT941" s="36">
        <v>137</v>
      </c>
      <c r="DU941" s="38">
        <v>0</v>
      </c>
      <c r="DV941" s="35">
        <v>0</v>
      </c>
      <c r="DW941" s="36" t="s">
        <v>138</v>
      </c>
      <c r="DX941" s="39" t="s">
        <v>138</v>
      </c>
      <c r="DY941" s="35" t="s">
        <v>138</v>
      </c>
      <c r="DZ941" s="28" t="s">
        <v>178</v>
      </c>
      <c r="EA941" s="34">
        <v>43467</v>
      </c>
      <c r="EB941" s="29" t="s">
        <v>138</v>
      </c>
      <c r="EC941" s="34" t="s">
        <v>138</v>
      </c>
      <c r="ED941" s="28" t="s">
        <v>138</v>
      </c>
      <c r="EE941" s="40" t="str">
        <f>HYPERLINK("https://my.pitchbook.com?c=100050-85", "View company online")</f>
        <v>View company online</v>
      </c>
    </row>
    <row r="942" spans="1:135">
      <c r="A942" s="15" t="s">
        <v>18546</v>
      </c>
      <c r="B942" s="15" t="s">
        <v>18547</v>
      </c>
      <c r="C942" s="15" t="s">
        <v>138</v>
      </c>
      <c r="D942" s="15" t="s">
        <v>138</v>
      </c>
      <c r="E942" s="15" t="s">
        <v>18548</v>
      </c>
      <c r="F942" s="15" t="s">
        <v>18546</v>
      </c>
      <c r="G942" s="15" t="s">
        <v>18549</v>
      </c>
      <c r="H942" s="15" t="s">
        <v>141</v>
      </c>
      <c r="I942" s="15" t="s">
        <v>212</v>
      </c>
      <c r="J942" s="15" t="s">
        <v>1257</v>
      </c>
      <c r="K942" s="15" t="s">
        <v>12015</v>
      </c>
      <c r="L942" s="15" t="s">
        <v>215</v>
      </c>
      <c r="M942" s="15" t="s">
        <v>18550</v>
      </c>
      <c r="N942" s="15" t="s">
        <v>1452</v>
      </c>
      <c r="O942" s="17">
        <v>310.02</v>
      </c>
      <c r="P942" s="15" t="s">
        <v>148</v>
      </c>
      <c r="Q942" s="15" t="s">
        <v>149</v>
      </c>
      <c r="R942" s="15" t="s">
        <v>1652</v>
      </c>
      <c r="S942" s="15" t="s">
        <v>18551</v>
      </c>
      <c r="T942" s="18">
        <v>1865</v>
      </c>
      <c r="U942" s="15" t="s">
        <v>18552</v>
      </c>
      <c r="V942" s="15" t="s">
        <v>138</v>
      </c>
      <c r="W942" s="15" t="s">
        <v>138</v>
      </c>
      <c r="X942" s="19">
        <v>1999</v>
      </c>
      <c r="Y942" s="15" t="s">
        <v>138</v>
      </c>
      <c r="Z942" s="15" t="s">
        <v>138</v>
      </c>
      <c r="AA942" s="15" t="s">
        <v>138</v>
      </c>
      <c r="AB942" s="20" t="s">
        <v>138</v>
      </c>
      <c r="AC942" s="20" t="s">
        <v>138</v>
      </c>
      <c r="AD942" s="20" t="s">
        <v>138</v>
      </c>
      <c r="AE942" s="20" t="s">
        <v>138</v>
      </c>
      <c r="AF942" s="20" t="s">
        <v>138</v>
      </c>
      <c r="AG942" s="15" t="s">
        <v>138</v>
      </c>
      <c r="AH942" s="20" t="s">
        <v>138</v>
      </c>
      <c r="AI942" s="20" t="s">
        <v>138</v>
      </c>
      <c r="AJ942" s="20" t="s">
        <v>138</v>
      </c>
      <c r="AK942" s="15" t="s">
        <v>18553</v>
      </c>
      <c r="AL942" s="15" t="s">
        <v>18554</v>
      </c>
      <c r="AM942" s="15" t="s">
        <v>249</v>
      </c>
      <c r="AN942" s="15" t="s">
        <v>138</v>
      </c>
      <c r="AO942" s="15" t="s">
        <v>18555</v>
      </c>
      <c r="AP942" s="15" t="s">
        <v>1168</v>
      </c>
      <c r="AQ942" s="15" t="s">
        <v>18556</v>
      </c>
      <c r="AR942" s="15" t="s">
        <v>3630</v>
      </c>
      <c r="AS942" s="15" t="s">
        <v>1171</v>
      </c>
      <c r="AT942" s="15" t="s">
        <v>200</v>
      </c>
      <c r="AU942" s="15" t="s">
        <v>10793</v>
      </c>
      <c r="AV942" s="15" t="s">
        <v>162</v>
      </c>
      <c r="AW942" s="15" t="s">
        <v>18555</v>
      </c>
      <c r="AX942" s="15" t="s">
        <v>18557</v>
      </c>
      <c r="AY942" s="15" t="s">
        <v>18558</v>
      </c>
      <c r="AZ942" s="15" t="s">
        <v>164</v>
      </c>
      <c r="BA942" s="15" t="s">
        <v>165</v>
      </c>
      <c r="BB942" s="15" t="s">
        <v>18559</v>
      </c>
      <c r="BC942" s="15" t="s">
        <v>18560</v>
      </c>
      <c r="BD942" s="21">
        <v>31</v>
      </c>
      <c r="BE942" s="15" t="s">
        <v>138</v>
      </c>
      <c r="BF942" s="15" t="s">
        <v>18561</v>
      </c>
      <c r="BG942" s="15" t="s">
        <v>138</v>
      </c>
      <c r="BH942" s="15" t="s">
        <v>18562</v>
      </c>
      <c r="BI942" s="15" t="s">
        <v>18563</v>
      </c>
      <c r="BJ942" s="15" t="s">
        <v>138</v>
      </c>
      <c r="BK942" s="15" t="s">
        <v>18564</v>
      </c>
      <c r="BL942" s="15" t="s">
        <v>18565</v>
      </c>
      <c r="BM942" s="22" t="s">
        <v>138</v>
      </c>
      <c r="BN942" s="17" t="s">
        <v>138</v>
      </c>
      <c r="BO942" s="15" t="s">
        <v>138</v>
      </c>
      <c r="BP942" s="17" t="s">
        <v>138</v>
      </c>
      <c r="BQ942" s="15" t="s">
        <v>138</v>
      </c>
      <c r="BR942" s="15" t="s">
        <v>234</v>
      </c>
      <c r="BS942" s="15" t="s">
        <v>234</v>
      </c>
      <c r="BT942" s="15" t="s">
        <v>138</v>
      </c>
      <c r="BU942" s="15" t="s">
        <v>174</v>
      </c>
      <c r="BV942" s="15" t="s">
        <v>138</v>
      </c>
      <c r="BW942" s="15" t="s">
        <v>138</v>
      </c>
      <c r="BX942" s="15" t="s">
        <v>138</v>
      </c>
      <c r="BY942" s="15" t="s">
        <v>175</v>
      </c>
      <c r="BZ942" s="22">
        <v>43039</v>
      </c>
      <c r="CA942" s="17">
        <v>65.349999999999994</v>
      </c>
      <c r="CB942" s="15" t="s">
        <v>172</v>
      </c>
      <c r="CC942" s="17" t="s">
        <v>138</v>
      </c>
      <c r="CD942" s="15" t="s">
        <v>138</v>
      </c>
      <c r="CE942" s="15" t="s">
        <v>1673</v>
      </c>
      <c r="CF942" s="15" t="s">
        <v>138</v>
      </c>
      <c r="CG942" s="15" t="s">
        <v>138</v>
      </c>
      <c r="CH942" s="15" t="s">
        <v>351</v>
      </c>
      <c r="CI942" s="15" t="s">
        <v>138</v>
      </c>
      <c r="CJ942" s="15" t="s">
        <v>138</v>
      </c>
      <c r="CK942" s="15" t="s">
        <v>138</v>
      </c>
      <c r="CL942" s="15" t="s">
        <v>175</v>
      </c>
      <c r="CM942" s="22">
        <v>41275</v>
      </c>
      <c r="CN942" s="17" t="s">
        <v>138</v>
      </c>
      <c r="CO942" s="23">
        <v>-1.05</v>
      </c>
      <c r="CP942" s="24">
        <v>11</v>
      </c>
      <c r="CQ942" s="23">
        <v>0</v>
      </c>
      <c r="CR942" s="23">
        <v>-7.0000000000000007E-2</v>
      </c>
      <c r="CS942" s="23">
        <v>-2.1800000000000002</v>
      </c>
      <c r="CT942" s="24">
        <v>8</v>
      </c>
      <c r="CU942" s="23">
        <v>7.0000000000000007E-2</v>
      </c>
      <c r="CV942" s="24">
        <v>62</v>
      </c>
      <c r="CW942" s="23">
        <v>-0.79</v>
      </c>
      <c r="CX942" s="24">
        <v>10</v>
      </c>
      <c r="CY942" s="23">
        <v>-3.58</v>
      </c>
      <c r="CZ942" s="24">
        <v>5</v>
      </c>
      <c r="DA942" s="23">
        <v>0.09</v>
      </c>
      <c r="DB942" s="24">
        <v>70</v>
      </c>
      <c r="DC942" s="25">
        <v>19.53</v>
      </c>
      <c r="DD942" s="24">
        <v>95</v>
      </c>
      <c r="DE942" s="25">
        <v>-0.46</v>
      </c>
      <c r="DF942" s="23">
        <v>-2.31</v>
      </c>
      <c r="DG942" s="25">
        <v>31.87</v>
      </c>
      <c r="DH942" s="24">
        <v>97</v>
      </c>
      <c r="DI942" s="25">
        <v>7.19</v>
      </c>
      <c r="DJ942" s="24">
        <v>82</v>
      </c>
      <c r="DK942" s="25">
        <v>13.33</v>
      </c>
      <c r="DL942" s="24">
        <v>89</v>
      </c>
      <c r="DM942" s="25">
        <v>50.41</v>
      </c>
      <c r="DN942" s="24">
        <v>98</v>
      </c>
      <c r="DO942" s="25">
        <v>12.88</v>
      </c>
      <c r="DP942" s="24">
        <v>89</v>
      </c>
      <c r="DQ942" s="24">
        <v>4675</v>
      </c>
      <c r="DR942" s="26">
        <v>-309</v>
      </c>
      <c r="DS942" s="23">
        <v>-6.2</v>
      </c>
      <c r="DT942" s="24">
        <v>1464</v>
      </c>
      <c r="DU942" s="26">
        <v>-6</v>
      </c>
      <c r="DV942" s="23">
        <v>-0.41</v>
      </c>
      <c r="DW942" s="24">
        <v>4612</v>
      </c>
      <c r="DX942" s="27">
        <v>3</v>
      </c>
      <c r="DY942" s="23">
        <v>7.0000000000000007E-2</v>
      </c>
      <c r="DZ942" s="15" t="s">
        <v>178</v>
      </c>
      <c r="EA942" s="22">
        <v>43622</v>
      </c>
      <c r="EB942" s="17">
        <v>338.68</v>
      </c>
      <c r="EC942" s="22">
        <v>41886</v>
      </c>
      <c r="ED942" s="15" t="s">
        <v>173</v>
      </c>
      <c r="EE942" s="14" t="str">
        <f>HYPERLINK("https://my.pitchbook.com?c=42186-25", "View company online")</f>
        <v>View company online</v>
      </c>
    </row>
    <row r="943" spans="1:135">
      <c r="A943" s="28" t="s">
        <v>18566</v>
      </c>
      <c r="B943" s="28" t="s">
        <v>18567</v>
      </c>
      <c r="C943" s="28" t="s">
        <v>138</v>
      </c>
      <c r="D943" s="28" t="s">
        <v>138</v>
      </c>
      <c r="E943" s="28" t="s">
        <v>138</v>
      </c>
      <c r="F943" s="28" t="s">
        <v>18566</v>
      </c>
      <c r="G943" s="28" t="s">
        <v>18568</v>
      </c>
      <c r="H943" s="28" t="s">
        <v>322</v>
      </c>
      <c r="I943" s="28" t="s">
        <v>356</v>
      </c>
      <c r="J943" s="28" t="s">
        <v>3852</v>
      </c>
      <c r="K943" s="28" t="s">
        <v>18569</v>
      </c>
      <c r="L943" s="28" t="s">
        <v>18570</v>
      </c>
      <c r="M943" s="28" t="s">
        <v>18571</v>
      </c>
      <c r="N943" s="28" t="s">
        <v>147</v>
      </c>
      <c r="O943" s="29">
        <v>17</v>
      </c>
      <c r="P943" s="28" t="s">
        <v>148</v>
      </c>
      <c r="Q943" s="28" t="s">
        <v>149</v>
      </c>
      <c r="R943" s="28" t="s">
        <v>174</v>
      </c>
      <c r="S943" s="28" t="s">
        <v>18572</v>
      </c>
      <c r="T943" s="30">
        <v>30</v>
      </c>
      <c r="U943" s="28" t="s">
        <v>12408</v>
      </c>
      <c r="V943" s="28" t="s">
        <v>138</v>
      </c>
      <c r="W943" s="28" t="s">
        <v>138</v>
      </c>
      <c r="X943" s="31">
        <v>2017</v>
      </c>
      <c r="Y943" s="28" t="s">
        <v>138</v>
      </c>
      <c r="Z943" s="28" t="s">
        <v>138</v>
      </c>
      <c r="AA943" s="28" t="s">
        <v>138</v>
      </c>
      <c r="AB943" s="32" t="s">
        <v>138</v>
      </c>
      <c r="AC943" s="32" t="s">
        <v>138</v>
      </c>
      <c r="AD943" s="32" t="s">
        <v>138</v>
      </c>
      <c r="AE943" s="32" t="s">
        <v>138</v>
      </c>
      <c r="AF943" s="32" t="s">
        <v>138</v>
      </c>
      <c r="AG943" s="28" t="s">
        <v>138</v>
      </c>
      <c r="AH943" s="32" t="s">
        <v>138</v>
      </c>
      <c r="AI943" s="32" t="s">
        <v>138</v>
      </c>
      <c r="AJ943" s="32" t="s">
        <v>138</v>
      </c>
      <c r="AK943" s="28" t="s">
        <v>18573</v>
      </c>
      <c r="AL943" s="28" t="s">
        <v>18574</v>
      </c>
      <c r="AM943" s="28" t="s">
        <v>221</v>
      </c>
      <c r="AN943" s="28" t="s">
        <v>18575</v>
      </c>
      <c r="AO943" s="28" t="s">
        <v>138</v>
      </c>
      <c r="AP943" s="28" t="s">
        <v>18576</v>
      </c>
      <c r="AQ943" s="28" t="s">
        <v>18577</v>
      </c>
      <c r="AR943" s="28" t="s">
        <v>8976</v>
      </c>
      <c r="AS943" s="28" t="s">
        <v>18578</v>
      </c>
      <c r="AT943" s="28" t="s">
        <v>200</v>
      </c>
      <c r="AU943" s="28" t="s">
        <v>18579</v>
      </c>
      <c r="AV943" s="28" t="s">
        <v>162</v>
      </c>
      <c r="AW943" s="28" t="s">
        <v>138</v>
      </c>
      <c r="AX943" s="28" t="s">
        <v>138</v>
      </c>
      <c r="AY943" s="28" t="s">
        <v>18580</v>
      </c>
      <c r="AZ943" s="28" t="s">
        <v>164</v>
      </c>
      <c r="BA943" s="28" t="s">
        <v>165</v>
      </c>
      <c r="BB943" s="28" t="s">
        <v>18581</v>
      </c>
      <c r="BC943" s="28" t="s">
        <v>18582</v>
      </c>
      <c r="BD943" s="33">
        <v>16</v>
      </c>
      <c r="BE943" s="28" t="s">
        <v>138</v>
      </c>
      <c r="BF943" s="28" t="s">
        <v>138</v>
      </c>
      <c r="BG943" s="28" t="s">
        <v>138</v>
      </c>
      <c r="BH943" s="28" t="s">
        <v>18583</v>
      </c>
      <c r="BI943" s="28" t="s">
        <v>138</v>
      </c>
      <c r="BJ943" s="28" t="s">
        <v>138</v>
      </c>
      <c r="BK943" s="28" t="s">
        <v>1251</v>
      </c>
      <c r="BL943" s="28" t="s">
        <v>1251</v>
      </c>
      <c r="BM943" s="34">
        <v>42736</v>
      </c>
      <c r="BN943" s="29" t="s">
        <v>138</v>
      </c>
      <c r="BO943" s="28" t="s">
        <v>138</v>
      </c>
      <c r="BP943" s="29" t="s">
        <v>138</v>
      </c>
      <c r="BQ943" s="28" t="s">
        <v>138</v>
      </c>
      <c r="BR943" s="28" t="s">
        <v>316</v>
      </c>
      <c r="BS943" s="28" t="s">
        <v>138</v>
      </c>
      <c r="BT943" s="28" t="s">
        <v>138</v>
      </c>
      <c r="BU943" s="28" t="s">
        <v>177</v>
      </c>
      <c r="BV943" s="28" t="s">
        <v>138</v>
      </c>
      <c r="BW943" s="28" t="s">
        <v>138</v>
      </c>
      <c r="BX943" s="28" t="s">
        <v>138</v>
      </c>
      <c r="BY943" s="28" t="s">
        <v>175</v>
      </c>
      <c r="BZ943" s="34">
        <v>43235</v>
      </c>
      <c r="CA943" s="29">
        <v>10</v>
      </c>
      <c r="CB943" s="28" t="s">
        <v>172</v>
      </c>
      <c r="CC943" s="29">
        <v>55</v>
      </c>
      <c r="CD943" s="28" t="s">
        <v>172</v>
      </c>
      <c r="CE943" s="28" t="s">
        <v>234</v>
      </c>
      <c r="CF943" s="28" t="s">
        <v>234</v>
      </c>
      <c r="CG943" s="28" t="s">
        <v>138</v>
      </c>
      <c r="CH943" s="28" t="s">
        <v>174</v>
      </c>
      <c r="CI943" s="28" t="s">
        <v>138</v>
      </c>
      <c r="CJ943" s="28" t="s">
        <v>138</v>
      </c>
      <c r="CK943" s="28" t="s">
        <v>138</v>
      </c>
      <c r="CL943" s="28" t="s">
        <v>175</v>
      </c>
      <c r="CM943" s="34" t="s">
        <v>138</v>
      </c>
      <c r="CN943" s="29" t="s">
        <v>138</v>
      </c>
      <c r="CO943" s="35">
        <v>4.55</v>
      </c>
      <c r="CP943" s="36">
        <v>100</v>
      </c>
      <c r="CQ943" s="35">
        <v>-1.05</v>
      </c>
      <c r="CR943" s="35">
        <v>-18.760000000000002</v>
      </c>
      <c r="CS943" s="35">
        <v>-0.51</v>
      </c>
      <c r="CT943" s="36">
        <v>19</v>
      </c>
      <c r="CU943" s="35">
        <v>9.61</v>
      </c>
      <c r="CV943" s="36">
        <v>100</v>
      </c>
      <c r="CW943" s="35">
        <v>0</v>
      </c>
      <c r="CX943" s="36">
        <v>13</v>
      </c>
      <c r="CY943" s="35">
        <v>-1.01</v>
      </c>
      <c r="CZ943" s="36">
        <v>19</v>
      </c>
      <c r="DA943" s="35">
        <v>9.61</v>
      </c>
      <c r="DB943" s="36">
        <v>100</v>
      </c>
      <c r="DC943" s="37">
        <v>3.06</v>
      </c>
      <c r="DD943" s="36">
        <v>75</v>
      </c>
      <c r="DE943" s="37">
        <v>0.01</v>
      </c>
      <c r="DF943" s="35">
        <v>0.43</v>
      </c>
      <c r="DG943" s="37">
        <v>4.3499999999999996</v>
      </c>
      <c r="DH943" s="36">
        <v>80</v>
      </c>
      <c r="DI943" s="37">
        <v>1.77</v>
      </c>
      <c r="DJ943" s="36">
        <v>60</v>
      </c>
      <c r="DK943" s="37">
        <v>1.94</v>
      </c>
      <c r="DL943" s="36">
        <v>64</v>
      </c>
      <c r="DM943" s="37">
        <v>6.76</v>
      </c>
      <c r="DN943" s="36">
        <v>85</v>
      </c>
      <c r="DO943" s="37">
        <v>1.77</v>
      </c>
      <c r="DP943" s="36">
        <v>61</v>
      </c>
      <c r="DQ943" s="36">
        <v>636</v>
      </c>
      <c r="DR943" s="38">
        <v>85</v>
      </c>
      <c r="DS943" s="35">
        <v>15.43</v>
      </c>
      <c r="DT943" s="36">
        <v>195</v>
      </c>
      <c r="DU943" s="38">
        <v>2</v>
      </c>
      <c r="DV943" s="35">
        <v>1.04</v>
      </c>
      <c r="DW943" s="36">
        <v>620</v>
      </c>
      <c r="DX943" s="39">
        <v>35</v>
      </c>
      <c r="DY943" s="35">
        <v>5.98</v>
      </c>
      <c r="DZ943" s="28" t="s">
        <v>178</v>
      </c>
      <c r="EA943" s="34">
        <v>43622</v>
      </c>
      <c r="EB943" s="29">
        <v>55</v>
      </c>
      <c r="EC943" s="34">
        <v>43235</v>
      </c>
      <c r="ED943" s="28" t="s">
        <v>234</v>
      </c>
      <c r="EE943" s="40" t="str">
        <f>HYPERLINK("https://my.pitchbook.com?c=184847-14", "View company online")</f>
        <v>View company online</v>
      </c>
    </row>
    <row r="944" spans="1:135">
      <c r="A944" s="15" t="s">
        <v>18584</v>
      </c>
      <c r="B944" s="15" t="s">
        <v>18585</v>
      </c>
      <c r="C944" s="15" t="s">
        <v>138</v>
      </c>
      <c r="D944" s="15" t="s">
        <v>138</v>
      </c>
      <c r="E944" s="15" t="s">
        <v>18586</v>
      </c>
      <c r="F944" s="15" t="s">
        <v>18584</v>
      </c>
      <c r="G944" s="15" t="s">
        <v>18587</v>
      </c>
      <c r="H944" s="15" t="s">
        <v>322</v>
      </c>
      <c r="I944" s="15" t="s">
        <v>323</v>
      </c>
      <c r="J944" s="15" t="s">
        <v>413</v>
      </c>
      <c r="K944" s="15" t="s">
        <v>874</v>
      </c>
      <c r="L944" s="15" t="s">
        <v>15062</v>
      </c>
      <c r="M944" s="15" t="s">
        <v>18588</v>
      </c>
      <c r="N944" s="15" t="s">
        <v>147</v>
      </c>
      <c r="O944" s="17">
        <v>2</v>
      </c>
      <c r="P944" s="15" t="s">
        <v>610</v>
      </c>
      <c r="Q944" s="15" t="s">
        <v>149</v>
      </c>
      <c r="R944" s="15" t="s">
        <v>174</v>
      </c>
      <c r="S944" s="15" t="s">
        <v>18589</v>
      </c>
      <c r="T944" s="18" t="s">
        <v>138</v>
      </c>
      <c r="U944" s="15" t="s">
        <v>138</v>
      </c>
      <c r="V944" s="15" t="s">
        <v>138</v>
      </c>
      <c r="W944" s="15" t="s">
        <v>138</v>
      </c>
      <c r="X944" s="19">
        <v>2016</v>
      </c>
      <c r="Y944" s="15" t="s">
        <v>138</v>
      </c>
      <c r="Z944" s="15" t="s">
        <v>138</v>
      </c>
      <c r="AA944" s="15" t="s">
        <v>138</v>
      </c>
      <c r="AB944" s="20" t="s">
        <v>138</v>
      </c>
      <c r="AC944" s="20" t="s">
        <v>138</v>
      </c>
      <c r="AD944" s="20" t="s">
        <v>138</v>
      </c>
      <c r="AE944" s="20" t="s">
        <v>138</v>
      </c>
      <c r="AF944" s="20" t="s">
        <v>138</v>
      </c>
      <c r="AG944" s="15" t="s">
        <v>138</v>
      </c>
      <c r="AH944" s="20" t="s">
        <v>138</v>
      </c>
      <c r="AI944" s="20" t="s">
        <v>138</v>
      </c>
      <c r="AJ944" s="20" t="s">
        <v>138</v>
      </c>
      <c r="AK944" s="15" t="s">
        <v>18590</v>
      </c>
      <c r="AL944" s="15" t="s">
        <v>18591</v>
      </c>
      <c r="AM944" s="15" t="s">
        <v>566</v>
      </c>
      <c r="AN944" s="15" t="s">
        <v>18592</v>
      </c>
      <c r="AO944" s="15" t="s">
        <v>18593</v>
      </c>
      <c r="AP944" s="15" t="s">
        <v>307</v>
      </c>
      <c r="AQ944" s="15" t="s">
        <v>18594</v>
      </c>
      <c r="AR944" s="15" t="s">
        <v>138</v>
      </c>
      <c r="AS944" s="15" t="s">
        <v>310</v>
      </c>
      <c r="AT944" s="15" t="s">
        <v>200</v>
      </c>
      <c r="AU944" s="15" t="s">
        <v>18595</v>
      </c>
      <c r="AV944" s="15" t="s">
        <v>162</v>
      </c>
      <c r="AW944" s="15" t="s">
        <v>18593</v>
      </c>
      <c r="AX944" s="15" t="s">
        <v>138</v>
      </c>
      <c r="AY944" s="15" t="s">
        <v>138</v>
      </c>
      <c r="AZ944" s="15" t="s">
        <v>164</v>
      </c>
      <c r="BA944" s="15" t="s">
        <v>165</v>
      </c>
      <c r="BB944" s="15" t="s">
        <v>18596</v>
      </c>
      <c r="BC944" s="15" t="s">
        <v>18597</v>
      </c>
      <c r="BD944" s="21">
        <v>7</v>
      </c>
      <c r="BE944" s="15" t="s">
        <v>138</v>
      </c>
      <c r="BF944" s="15" t="s">
        <v>138</v>
      </c>
      <c r="BG944" s="15" t="s">
        <v>138</v>
      </c>
      <c r="BH944" s="15" t="s">
        <v>18598</v>
      </c>
      <c r="BI944" s="15" t="s">
        <v>138</v>
      </c>
      <c r="BJ944" s="15" t="s">
        <v>138</v>
      </c>
      <c r="BK944" s="15" t="s">
        <v>138</v>
      </c>
      <c r="BL944" s="15" t="s">
        <v>18599</v>
      </c>
      <c r="BM944" s="22">
        <v>42928</v>
      </c>
      <c r="BN944" s="17">
        <v>2</v>
      </c>
      <c r="BO944" s="15" t="s">
        <v>172</v>
      </c>
      <c r="BP944" s="17" t="s">
        <v>138</v>
      </c>
      <c r="BQ944" s="15" t="s">
        <v>138</v>
      </c>
      <c r="BR944" s="15" t="s">
        <v>234</v>
      </c>
      <c r="BS944" s="15" t="s">
        <v>234</v>
      </c>
      <c r="BT944" s="15" t="s">
        <v>138</v>
      </c>
      <c r="BU944" s="15" t="s">
        <v>174</v>
      </c>
      <c r="BV944" s="15" t="s">
        <v>138</v>
      </c>
      <c r="BW944" s="15" t="s">
        <v>138</v>
      </c>
      <c r="BX944" s="15" t="s">
        <v>138</v>
      </c>
      <c r="BY944" s="15" t="s">
        <v>175</v>
      </c>
      <c r="BZ944" s="22">
        <v>42928</v>
      </c>
      <c r="CA944" s="17">
        <v>2</v>
      </c>
      <c r="CB944" s="15" t="s">
        <v>172</v>
      </c>
      <c r="CC944" s="17" t="s">
        <v>138</v>
      </c>
      <c r="CD944" s="15" t="s">
        <v>138</v>
      </c>
      <c r="CE944" s="15" t="s">
        <v>234</v>
      </c>
      <c r="CF944" s="15" t="s">
        <v>234</v>
      </c>
      <c r="CG944" s="15" t="s">
        <v>138</v>
      </c>
      <c r="CH944" s="15" t="s">
        <v>174</v>
      </c>
      <c r="CI944" s="15" t="s">
        <v>138</v>
      </c>
      <c r="CJ944" s="15" t="s">
        <v>138</v>
      </c>
      <c r="CK944" s="15" t="s">
        <v>138</v>
      </c>
      <c r="CL944" s="15" t="s">
        <v>175</v>
      </c>
      <c r="CM944" s="22" t="s">
        <v>138</v>
      </c>
      <c r="CN944" s="17" t="s">
        <v>138</v>
      </c>
      <c r="CO944" s="23">
        <v>0.47</v>
      </c>
      <c r="CP944" s="24">
        <v>95</v>
      </c>
      <c r="CQ944" s="23">
        <v>0.06</v>
      </c>
      <c r="CR944" s="23">
        <v>13.5</v>
      </c>
      <c r="CS944" s="23">
        <v>-0.52</v>
      </c>
      <c r="CT944" s="24">
        <v>19</v>
      </c>
      <c r="CU944" s="23">
        <v>1.47</v>
      </c>
      <c r="CV944" s="24">
        <v>99</v>
      </c>
      <c r="CW944" s="23">
        <v>0</v>
      </c>
      <c r="CX944" s="24">
        <v>13</v>
      </c>
      <c r="CY944" s="23">
        <v>-1.04</v>
      </c>
      <c r="CZ944" s="24">
        <v>18</v>
      </c>
      <c r="DA944" s="23">
        <v>1.47</v>
      </c>
      <c r="DB944" s="24">
        <v>99</v>
      </c>
      <c r="DC944" s="25">
        <v>1.58</v>
      </c>
      <c r="DD944" s="24">
        <v>62</v>
      </c>
      <c r="DE944" s="25">
        <v>-0.02</v>
      </c>
      <c r="DF944" s="23">
        <v>-1.48</v>
      </c>
      <c r="DG944" s="25">
        <v>2.72</v>
      </c>
      <c r="DH944" s="24">
        <v>73</v>
      </c>
      <c r="DI944" s="25">
        <v>0.44</v>
      </c>
      <c r="DJ944" s="24">
        <v>34</v>
      </c>
      <c r="DK944" s="25">
        <v>1.59</v>
      </c>
      <c r="DL944" s="24">
        <v>60</v>
      </c>
      <c r="DM944" s="25">
        <v>3.86</v>
      </c>
      <c r="DN944" s="24">
        <v>78</v>
      </c>
      <c r="DO944" s="25">
        <v>0.44</v>
      </c>
      <c r="DP944" s="24">
        <v>36</v>
      </c>
      <c r="DQ944" s="24">
        <v>544</v>
      </c>
      <c r="DR944" s="26">
        <v>-1</v>
      </c>
      <c r="DS944" s="23">
        <v>-0.18</v>
      </c>
      <c r="DT944" s="24">
        <v>110</v>
      </c>
      <c r="DU944" s="26">
        <v>3</v>
      </c>
      <c r="DV944" s="23">
        <v>2.8</v>
      </c>
      <c r="DW944" s="24">
        <v>155</v>
      </c>
      <c r="DX944" s="27">
        <v>1</v>
      </c>
      <c r="DY944" s="23">
        <v>0.65</v>
      </c>
      <c r="DZ944" s="15" t="s">
        <v>178</v>
      </c>
      <c r="EA944" s="22">
        <v>43580</v>
      </c>
      <c r="EB944" s="17" t="s">
        <v>138</v>
      </c>
      <c r="EC944" s="22" t="s">
        <v>138</v>
      </c>
      <c r="ED944" s="15" t="s">
        <v>138</v>
      </c>
      <c r="EE944" s="14" t="str">
        <f>HYPERLINK("https://my.pitchbook.com?c=183244-42", "View company online")</f>
        <v>View company online</v>
      </c>
    </row>
    <row r="945" spans="1:135">
      <c r="A945" s="28" t="s">
        <v>18600</v>
      </c>
      <c r="B945" s="28" t="s">
        <v>18601</v>
      </c>
      <c r="C945" s="28" t="s">
        <v>138</v>
      </c>
      <c r="D945" s="28" t="s">
        <v>138</v>
      </c>
      <c r="E945" s="28" t="s">
        <v>138</v>
      </c>
      <c r="F945" s="28" t="s">
        <v>18600</v>
      </c>
      <c r="G945" s="28" t="s">
        <v>18602</v>
      </c>
      <c r="H945" s="28" t="s">
        <v>141</v>
      </c>
      <c r="I945" s="28" t="s">
        <v>18603</v>
      </c>
      <c r="J945" s="28" t="s">
        <v>18603</v>
      </c>
      <c r="K945" s="28" t="s">
        <v>18604</v>
      </c>
      <c r="L945" s="28" t="s">
        <v>138</v>
      </c>
      <c r="M945" s="28" t="s">
        <v>18605</v>
      </c>
      <c r="N945" s="28" t="s">
        <v>147</v>
      </c>
      <c r="O945" s="29" t="s">
        <v>138</v>
      </c>
      <c r="P945" s="28" t="s">
        <v>610</v>
      </c>
      <c r="Q945" s="28" t="s">
        <v>149</v>
      </c>
      <c r="R945" s="28" t="s">
        <v>174</v>
      </c>
      <c r="S945" s="28" t="s">
        <v>138</v>
      </c>
      <c r="T945" s="30" t="s">
        <v>138</v>
      </c>
      <c r="U945" s="28" t="s">
        <v>138</v>
      </c>
      <c r="V945" s="28" t="s">
        <v>138</v>
      </c>
      <c r="W945" s="28" t="s">
        <v>138</v>
      </c>
      <c r="X945" s="31" t="s">
        <v>138</v>
      </c>
      <c r="Y945" s="28" t="s">
        <v>138</v>
      </c>
      <c r="Z945" s="28" t="s">
        <v>138</v>
      </c>
      <c r="AA945" s="28" t="s">
        <v>138</v>
      </c>
      <c r="AB945" s="32" t="s">
        <v>138</v>
      </c>
      <c r="AC945" s="32" t="s">
        <v>138</v>
      </c>
      <c r="AD945" s="32" t="s">
        <v>138</v>
      </c>
      <c r="AE945" s="32" t="s">
        <v>138</v>
      </c>
      <c r="AF945" s="32" t="s">
        <v>138</v>
      </c>
      <c r="AG945" s="28" t="s">
        <v>138</v>
      </c>
      <c r="AH945" s="32" t="s">
        <v>138</v>
      </c>
      <c r="AI945" s="32" t="s">
        <v>138</v>
      </c>
      <c r="AJ945" s="32" t="s">
        <v>138</v>
      </c>
      <c r="AK945" s="28" t="s">
        <v>138</v>
      </c>
      <c r="AL945" s="28" t="s">
        <v>138</v>
      </c>
      <c r="AM945" s="28" t="s">
        <v>138</v>
      </c>
      <c r="AN945" s="28" t="s">
        <v>138</v>
      </c>
      <c r="AO945" s="28" t="s">
        <v>138</v>
      </c>
      <c r="AP945" s="28" t="s">
        <v>138</v>
      </c>
      <c r="AQ945" s="28" t="s">
        <v>138</v>
      </c>
      <c r="AR945" s="28" t="s">
        <v>138</v>
      </c>
      <c r="AS945" s="28" t="s">
        <v>138</v>
      </c>
      <c r="AT945" s="28" t="s">
        <v>138</v>
      </c>
      <c r="AU945" s="28" t="s">
        <v>138</v>
      </c>
      <c r="AV945" s="28" t="s">
        <v>138</v>
      </c>
      <c r="AW945" s="28" t="s">
        <v>138</v>
      </c>
      <c r="AX945" s="28" t="s">
        <v>138</v>
      </c>
      <c r="AY945" s="28" t="s">
        <v>138</v>
      </c>
      <c r="AZ945" s="28" t="s">
        <v>138</v>
      </c>
      <c r="BA945" s="28" t="s">
        <v>138</v>
      </c>
      <c r="BB945" s="28" t="s">
        <v>18606</v>
      </c>
      <c r="BC945" s="28" t="s">
        <v>18607</v>
      </c>
      <c r="BD945" s="33">
        <v>2</v>
      </c>
      <c r="BE945" s="28" t="s">
        <v>138</v>
      </c>
      <c r="BF945" s="28" t="s">
        <v>138</v>
      </c>
      <c r="BG945" s="28" t="s">
        <v>138</v>
      </c>
      <c r="BH945" s="28" t="s">
        <v>18608</v>
      </c>
      <c r="BI945" s="28" t="s">
        <v>138</v>
      </c>
      <c r="BJ945" s="28" t="s">
        <v>138</v>
      </c>
      <c r="BK945" s="28" t="s">
        <v>138</v>
      </c>
      <c r="BL945" s="28" t="s">
        <v>138</v>
      </c>
      <c r="BM945" s="34">
        <v>42902</v>
      </c>
      <c r="BN945" s="29" t="s">
        <v>138</v>
      </c>
      <c r="BO945" s="28" t="s">
        <v>138</v>
      </c>
      <c r="BP945" s="29" t="s">
        <v>138</v>
      </c>
      <c r="BQ945" s="28" t="s">
        <v>138</v>
      </c>
      <c r="BR945" s="28" t="s">
        <v>205</v>
      </c>
      <c r="BS945" s="28" t="s">
        <v>138</v>
      </c>
      <c r="BT945" s="28" t="s">
        <v>138</v>
      </c>
      <c r="BU945" s="28" t="s">
        <v>174</v>
      </c>
      <c r="BV945" s="28" t="s">
        <v>138</v>
      </c>
      <c r="BW945" s="28" t="s">
        <v>138</v>
      </c>
      <c r="BX945" s="28" t="s">
        <v>138</v>
      </c>
      <c r="BY945" s="28" t="s">
        <v>175</v>
      </c>
      <c r="BZ945" s="34">
        <v>42902</v>
      </c>
      <c r="CA945" s="29" t="s">
        <v>138</v>
      </c>
      <c r="CB945" s="28" t="s">
        <v>138</v>
      </c>
      <c r="CC945" s="29" t="s">
        <v>138</v>
      </c>
      <c r="CD945" s="28" t="s">
        <v>138</v>
      </c>
      <c r="CE945" s="28" t="s">
        <v>205</v>
      </c>
      <c r="CF945" s="28" t="s">
        <v>138</v>
      </c>
      <c r="CG945" s="28" t="s">
        <v>138</v>
      </c>
      <c r="CH945" s="28" t="s">
        <v>174</v>
      </c>
      <c r="CI945" s="28" t="s">
        <v>138</v>
      </c>
      <c r="CJ945" s="28" t="s">
        <v>138</v>
      </c>
      <c r="CK945" s="28" t="s">
        <v>138</v>
      </c>
      <c r="CL945" s="28" t="s">
        <v>175</v>
      </c>
      <c r="CM945" s="34" t="s">
        <v>138</v>
      </c>
      <c r="CN945" s="29" t="s">
        <v>138</v>
      </c>
      <c r="CO945" s="35" t="s">
        <v>138</v>
      </c>
      <c r="CP945" s="36" t="s">
        <v>138</v>
      </c>
      <c r="CQ945" s="35" t="s">
        <v>138</v>
      </c>
      <c r="CR945" s="35" t="s">
        <v>138</v>
      </c>
      <c r="CS945" s="35" t="s">
        <v>138</v>
      </c>
      <c r="CT945" s="36" t="s">
        <v>138</v>
      </c>
      <c r="CU945" s="35" t="s">
        <v>138</v>
      </c>
      <c r="CV945" s="36" t="s">
        <v>138</v>
      </c>
      <c r="CW945" s="35" t="s">
        <v>138</v>
      </c>
      <c r="CX945" s="36" t="s">
        <v>138</v>
      </c>
      <c r="CY945" s="35" t="s">
        <v>138</v>
      </c>
      <c r="CZ945" s="36" t="s">
        <v>138</v>
      </c>
      <c r="DA945" s="35" t="s">
        <v>138</v>
      </c>
      <c r="DB945" s="36" t="s">
        <v>138</v>
      </c>
      <c r="DC945" s="37" t="s">
        <v>138</v>
      </c>
      <c r="DD945" s="36" t="s">
        <v>138</v>
      </c>
      <c r="DE945" s="37" t="s">
        <v>138</v>
      </c>
      <c r="DF945" s="35" t="s">
        <v>138</v>
      </c>
      <c r="DG945" s="37" t="s">
        <v>138</v>
      </c>
      <c r="DH945" s="36" t="s">
        <v>138</v>
      </c>
      <c r="DI945" s="37" t="s">
        <v>138</v>
      </c>
      <c r="DJ945" s="36" t="s">
        <v>138</v>
      </c>
      <c r="DK945" s="37" t="s">
        <v>138</v>
      </c>
      <c r="DL945" s="36" t="s">
        <v>138</v>
      </c>
      <c r="DM945" s="37" t="s">
        <v>138</v>
      </c>
      <c r="DN945" s="36" t="s">
        <v>138</v>
      </c>
      <c r="DO945" s="37" t="s">
        <v>138</v>
      </c>
      <c r="DP945" s="36" t="s">
        <v>138</v>
      </c>
      <c r="DQ945" s="36" t="s">
        <v>138</v>
      </c>
      <c r="DR945" s="38" t="s">
        <v>138</v>
      </c>
      <c r="DS945" s="35" t="s">
        <v>138</v>
      </c>
      <c r="DT945" s="36" t="s">
        <v>138</v>
      </c>
      <c r="DU945" s="38" t="s">
        <v>138</v>
      </c>
      <c r="DV945" s="35" t="s">
        <v>138</v>
      </c>
      <c r="DW945" s="36" t="s">
        <v>138</v>
      </c>
      <c r="DX945" s="39" t="s">
        <v>138</v>
      </c>
      <c r="DY945" s="35" t="s">
        <v>138</v>
      </c>
      <c r="DZ945" s="28" t="s">
        <v>178</v>
      </c>
      <c r="EA945" s="34">
        <v>43351</v>
      </c>
      <c r="EB945" s="29" t="s">
        <v>138</v>
      </c>
      <c r="EC945" s="34" t="s">
        <v>138</v>
      </c>
      <c r="ED945" s="28" t="s">
        <v>138</v>
      </c>
      <c r="EE945" s="40" t="str">
        <f>HYPERLINK("https://my.pitchbook.com?c=186223-06", "View company online")</f>
        <v>View company online</v>
      </c>
    </row>
    <row r="946" spans="1:135">
      <c r="A946" s="15" t="s">
        <v>18609</v>
      </c>
      <c r="B946" s="15" t="s">
        <v>18610</v>
      </c>
      <c r="C946" s="15" t="s">
        <v>138</v>
      </c>
      <c r="D946" s="15" t="s">
        <v>138</v>
      </c>
      <c r="E946" s="15" t="s">
        <v>18611</v>
      </c>
      <c r="F946" s="15" t="s">
        <v>18609</v>
      </c>
      <c r="G946" s="15" t="s">
        <v>18612</v>
      </c>
      <c r="H946" s="15" t="s">
        <v>238</v>
      </c>
      <c r="I946" s="15" t="s">
        <v>749</v>
      </c>
      <c r="J946" s="15" t="s">
        <v>2855</v>
      </c>
      <c r="K946" s="15" t="s">
        <v>18613</v>
      </c>
      <c r="L946" s="15" t="s">
        <v>3285</v>
      </c>
      <c r="M946" s="15" t="s">
        <v>18614</v>
      </c>
      <c r="N946" s="15" t="s">
        <v>147</v>
      </c>
      <c r="O946" s="17">
        <v>5.2</v>
      </c>
      <c r="P946" s="15" t="s">
        <v>148</v>
      </c>
      <c r="Q946" s="15" t="s">
        <v>149</v>
      </c>
      <c r="R946" s="15" t="s">
        <v>174</v>
      </c>
      <c r="S946" s="15" t="s">
        <v>18615</v>
      </c>
      <c r="T946" s="18" t="s">
        <v>138</v>
      </c>
      <c r="U946" s="15" t="s">
        <v>138</v>
      </c>
      <c r="V946" s="15" t="s">
        <v>138</v>
      </c>
      <c r="W946" s="15" t="s">
        <v>138</v>
      </c>
      <c r="X946" s="19">
        <v>2015</v>
      </c>
      <c r="Y946" s="15" t="s">
        <v>138</v>
      </c>
      <c r="Z946" s="15" t="s">
        <v>138</v>
      </c>
      <c r="AA946" s="15" t="s">
        <v>138</v>
      </c>
      <c r="AB946" s="20" t="s">
        <v>138</v>
      </c>
      <c r="AC946" s="20" t="s">
        <v>138</v>
      </c>
      <c r="AD946" s="20" t="s">
        <v>138</v>
      </c>
      <c r="AE946" s="20" t="s">
        <v>138</v>
      </c>
      <c r="AF946" s="20" t="s">
        <v>138</v>
      </c>
      <c r="AG946" s="15" t="s">
        <v>138</v>
      </c>
      <c r="AH946" s="20" t="s">
        <v>138</v>
      </c>
      <c r="AI946" s="20" t="s">
        <v>138</v>
      </c>
      <c r="AJ946" s="20" t="s">
        <v>138</v>
      </c>
      <c r="AK946" s="15" t="s">
        <v>18616</v>
      </c>
      <c r="AL946" s="15" t="s">
        <v>18617</v>
      </c>
      <c r="AM946" s="15" t="s">
        <v>18618</v>
      </c>
      <c r="AN946" s="15" t="s">
        <v>18619</v>
      </c>
      <c r="AO946" s="15" t="s">
        <v>138</v>
      </c>
      <c r="AP946" s="15" t="s">
        <v>423</v>
      </c>
      <c r="AQ946" s="15" t="s">
        <v>18620</v>
      </c>
      <c r="AR946" s="15" t="s">
        <v>18621</v>
      </c>
      <c r="AS946" s="15" t="s">
        <v>426</v>
      </c>
      <c r="AT946" s="15" t="s">
        <v>426</v>
      </c>
      <c r="AU946" s="15" t="s">
        <v>3394</v>
      </c>
      <c r="AV946" s="15" t="s">
        <v>162</v>
      </c>
      <c r="AW946" s="15" t="s">
        <v>138</v>
      </c>
      <c r="AX946" s="15" t="s">
        <v>138</v>
      </c>
      <c r="AY946" s="15" t="s">
        <v>18622</v>
      </c>
      <c r="AZ946" s="15" t="s">
        <v>164</v>
      </c>
      <c r="BA946" s="15" t="s">
        <v>165</v>
      </c>
      <c r="BB946" s="15" t="s">
        <v>18623</v>
      </c>
      <c r="BC946" s="15" t="s">
        <v>18624</v>
      </c>
      <c r="BD946" s="21">
        <v>8</v>
      </c>
      <c r="BE946" s="15" t="s">
        <v>138</v>
      </c>
      <c r="BF946" s="15" t="s">
        <v>138</v>
      </c>
      <c r="BG946" s="15" t="s">
        <v>138</v>
      </c>
      <c r="BH946" s="15" t="s">
        <v>18625</v>
      </c>
      <c r="BI946" s="15" t="s">
        <v>138</v>
      </c>
      <c r="BJ946" s="15" t="s">
        <v>138</v>
      </c>
      <c r="BK946" s="15" t="s">
        <v>1251</v>
      </c>
      <c r="BL946" s="15" t="s">
        <v>1251</v>
      </c>
      <c r="BM946" s="22">
        <v>43024</v>
      </c>
      <c r="BN946" s="17">
        <v>1</v>
      </c>
      <c r="BO946" s="15" t="s">
        <v>172</v>
      </c>
      <c r="BP946" s="17" t="s">
        <v>138</v>
      </c>
      <c r="BQ946" s="15" t="s">
        <v>138</v>
      </c>
      <c r="BR946" s="15" t="s">
        <v>234</v>
      </c>
      <c r="BS946" s="15" t="s">
        <v>234</v>
      </c>
      <c r="BT946" s="15" t="s">
        <v>138</v>
      </c>
      <c r="BU946" s="15" t="s">
        <v>174</v>
      </c>
      <c r="BV946" s="15" t="s">
        <v>138</v>
      </c>
      <c r="BW946" s="15" t="s">
        <v>138</v>
      </c>
      <c r="BX946" s="15" t="s">
        <v>138</v>
      </c>
      <c r="BY946" s="15" t="s">
        <v>175</v>
      </c>
      <c r="BZ946" s="22">
        <v>43249</v>
      </c>
      <c r="CA946" s="17">
        <v>4.2</v>
      </c>
      <c r="CB946" s="15" t="s">
        <v>172</v>
      </c>
      <c r="CC946" s="17">
        <v>9.1999999999999993</v>
      </c>
      <c r="CD946" s="15" t="s">
        <v>172</v>
      </c>
      <c r="CE946" s="15" t="s">
        <v>234</v>
      </c>
      <c r="CF946" s="15" t="s">
        <v>234</v>
      </c>
      <c r="CG946" s="15" t="s">
        <v>138</v>
      </c>
      <c r="CH946" s="15" t="s">
        <v>174</v>
      </c>
      <c r="CI946" s="15" t="s">
        <v>138</v>
      </c>
      <c r="CJ946" s="15" t="s">
        <v>138</v>
      </c>
      <c r="CK946" s="15" t="s">
        <v>138</v>
      </c>
      <c r="CL946" s="15" t="s">
        <v>175</v>
      </c>
      <c r="CM946" s="22" t="s">
        <v>138</v>
      </c>
      <c r="CN946" s="17" t="s">
        <v>138</v>
      </c>
      <c r="CO946" s="23">
        <v>-0.93</v>
      </c>
      <c r="CP946" s="24">
        <v>12</v>
      </c>
      <c r="CQ946" s="23">
        <v>0</v>
      </c>
      <c r="CR946" s="23">
        <v>0.49</v>
      </c>
      <c r="CS946" s="23">
        <v>-3.33</v>
      </c>
      <c r="CT946" s="24">
        <v>4</v>
      </c>
      <c r="CU946" s="23">
        <v>1.46</v>
      </c>
      <c r="CV946" s="24">
        <v>99</v>
      </c>
      <c r="CW946" s="23">
        <v>-6.21</v>
      </c>
      <c r="CX946" s="24">
        <v>2</v>
      </c>
      <c r="CY946" s="23">
        <v>-0.46</v>
      </c>
      <c r="CZ946" s="24">
        <v>22</v>
      </c>
      <c r="DA946" s="23">
        <v>1.46</v>
      </c>
      <c r="DB946" s="24">
        <v>99</v>
      </c>
      <c r="DC946" s="25">
        <v>11.02</v>
      </c>
      <c r="DD946" s="24">
        <v>91</v>
      </c>
      <c r="DE946" s="25">
        <v>-0.48</v>
      </c>
      <c r="DF946" s="23">
        <v>-4.17</v>
      </c>
      <c r="DG946" s="25">
        <v>15.37</v>
      </c>
      <c r="DH946" s="24">
        <v>93</v>
      </c>
      <c r="DI946" s="25">
        <v>6.67</v>
      </c>
      <c r="DJ946" s="24">
        <v>81</v>
      </c>
      <c r="DK946" s="25">
        <v>16.43</v>
      </c>
      <c r="DL946" s="24">
        <v>90</v>
      </c>
      <c r="DM946" s="25">
        <v>14.31</v>
      </c>
      <c r="DN946" s="24">
        <v>92</v>
      </c>
      <c r="DO946" s="25">
        <v>6.67</v>
      </c>
      <c r="DP946" s="24">
        <v>83</v>
      </c>
      <c r="DQ946" s="24">
        <v>5909</v>
      </c>
      <c r="DR946" s="26">
        <v>-816</v>
      </c>
      <c r="DS946" s="23">
        <v>-12.13</v>
      </c>
      <c r="DT946" s="24">
        <v>414</v>
      </c>
      <c r="DU946" s="26">
        <v>3</v>
      </c>
      <c r="DV946" s="23">
        <v>0.73</v>
      </c>
      <c r="DW946" s="24">
        <v>2389</v>
      </c>
      <c r="DX946" s="27">
        <v>11</v>
      </c>
      <c r="DY946" s="23">
        <v>0.46</v>
      </c>
      <c r="DZ946" s="15" t="s">
        <v>178</v>
      </c>
      <c r="EA946" s="22">
        <v>43406</v>
      </c>
      <c r="EB946" s="17">
        <v>9.1999999999999993</v>
      </c>
      <c r="EC946" s="22">
        <v>43249</v>
      </c>
      <c r="ED946" s="15" t="s">
        <v>234</v>
      </c>
      <c r="EE946" s="14" t="str">
        <f>HYPERLINK("https://my.pitchbook.com?c=181609-75", "View company online")</f>
        <v>View company online</v>
      </c>
    </row>
    <row r="947" spans="1:135">
      <c r="A947" s="28" t="s">
        <v>18626</v>
      </c>
      <c r="B947" s="28" t="s">
        <v>18627</v>
      </c>
      <c r="C947" s="28" t="s">
        <v>138</v>
      </c>
      <c r="D947" s="28" t="s">
        <v>138</v>
      </c>
      <c r="E947" s="28" t="s">
        <v>18628</v>
      </c>
      <c r="F947" s="28" t="s">
        <v>18626</v>
      </c>
      <c r="G947" s="28" t="s">
        <v>18629</v>
      </c>
      <c r="H947" s="28" t="s">
        <v>322</v>
      </c>
      <c r="I947" s="28" t="s">
        <v>323</v>
      </c>
      <c r="J947" s="28" t="s">
        <v>461</v>
      </c>
      <c r="K947" s="28" t="s">
        <v>18630</v>
      </c>
      <c r="L947" s="28" t="s">
        <v>2210</v>
      </c>
      <c r="M947" s="28" t="s">
        <v>18631</v>
      </c>
      <c r="N947" s="28" t="s">
        <v>147</v>
      </c>
      <c r="O947" s="29">
        <v>85</v>
      </c>
      <c r="P947" s="28" t="s">
        <v>148</v>
      </c>
      <c r="Q947" s="28" t="s">
        <v>149</v>
      </c>
      <c r="R947" s="28" t="s">
        <v>174</v>
      </c>
      <c r="S947" s="28" t="s">
        <v>18632</v>
      </c>
      <c r="T947" s="30">
        <v>125</v>
      </c>
      <c r="U947" s="28" t="s">
        <v>18633</v>
      </c>
      <c r="V947" s="28" t="s">
        <v>138</v>
      </c>
      <c r="W947" s="28" t="s">
        <v>138</v>
      </c>
      <c r="X947" s="31">
        <v>2013</v>
      </c>
      <c r="Y947" s="28" t="s">
        <v>138</v>
      </c>
      <c r="Z947" s="28" t="s">
        <v>138</v>
      </c>
      <c r="AA947" s="28" t="s">
        <v>138</v>
      </c>
      <c r="AB947" s="32">
        <v>10</v>
      </c>
      <c r="AC947" s="32" t="s">
        <v>138</v>
      </c>
      <c r="AD947" s="32" t="s">
        <v>138</v>
      </c>
      <c r="AE947" s="32" t="s">
        <v>138</v>
      </c>
      <c r="AF947" s="32" t="s">
        <v>138</v>
      </c>
      <c r="AG947" s="28" t="s">
        <v>514</v>
      </c>
      <c r="AH947" s="32" t="s">
        <v>138</v>
      </c>
      <c r="AI947" s="32" t="s">
        <v>138</v>
      </c>
      <c r="AJ947" s="32" t="s">
        <v>138</v>
      </c>
      <c r="AK947" s="28" t="s">
        <v>18634</v>
      </c>
      <c r="AL947" s="28" t="s">
        <v>18635</v>
      </c>
      <c r="AM947" s="28" t="s">
        <v>818</v>
      </c>
      <c r="AN947" s="28" t="s">
        <v>138</v>
      </c>
      <c r="AO947" s="28" t="s">
        <v>18636</v>
      </c>
      <c r="AP947" s="28" t="s">
        <v>1168</v>
      </c>
      <c r="AQ947" s="28" t="s">
        <v>18637</v>
      </c>
      <c r="AR947" s="28" t="s">
        <v>18638</v>
      </c>
      <c r="AS947" s="28" t="s">
        <v>1171</v>
      </c>
      <c r="AT947" s="28" t="s">
        <v>200</v>
      </c>
      <c r="AU947" s="28" t="s">
        <v>10793</v>
      </c>
      <c r="AV947" s="28" t="s">
        <v>162</v>
      </c>
      <c r="AW947" s="28" t="s">
        <v>18636</v>
      </c>
      <c r="AX947" s="28" t="s">
        <v>138</v>
      </c>
      <c r="AY947" s="28" t="s">
        <v>18639</v>
      </c>
      <c r="AZ947" s="28" t="s">
        <v>164</v>
      </c>
      <c r="BA947" s="28" t="s">
        <v>165</v>
      </c>
      <c r="BB947" s="28" t="s">
        <v>18640</v>
      </c>
      <c r="BC947" s="28" t="s">
        <v>18641</v>
      </c>
      <c r="BD947" s="33">
        <v>9</v>
      </c>
      <c r="BE947" s="28" t="s">
        <v>138</v>
      </c>
      <c r="BF947" s="28" t="s">
        <v>138</v>
      </c>
      <c r="BG947" s="28" t="s">
        <v>138</v>
      </c>
      <c r="BH947" s="28" t="s">
        <v>18642</v>
      </c>
      <c r="BI947" s="28" t="s">
        <v>138</v>
      </c>
      <c r="BJ947" s="28" t="s">
        <v>138</v>
      </c>
      <c r="BK947" s="28" t="s">
        <v>1691</v>
      </c>
      <c r="BL947" s="28" t="s">
        <v>1691</v>
      </c>
      <c r="BM947" s="34">
        <v>41961</v>
      </c>
      <c r="BN947" s="29">
        <v>10.5</v>
      </c>
      <c r="BO947" s="28" t="s">
        <v>172</v>
      </c>
      <c r="BP947" s="29">
        <v>30</v>
      </c>
      <c r="BQ947" s="28" t="s">
        <v>172</v>
      </c>
      <c r="BR947" s="28" t="s">
        <v>205</v>
      </c>
      <c r="BS947" s="28" t="s">
        <v>206</v>
      </c>
      <c r="BT947" s="28" t="s">
        <v>138</v>
      </c>
      <c r="BU947" s="28" t="s">
        <v>174</v>
      </c>
      <c r="BV947" s="28" t="s">
        <v>138</v>
      </c>
      <c r="BW947" s="28" t="s">
        <v>138</v>
      </c>
      <c r="BX947" s="28" t="s">
        <v>138</v>
      </c>
      <c r="BY947" s="28" t="s">
        <v>175</v>
      </c>
      <c r="BZ947" s="34">
        <v>43080</v>
      </c>
      <c r="CA947" s="29">
        <v>40</v>
      </c>
      <c r="CB947" s="28" t="s">
        <v>172</v>
      </c>
      <c r="CC947" s="29">
        <v>240</v>
      </c>
      <c r="CD947" s="28" t="s">
        <v>172</v>
      </c>
      <c r="CE947" s="28" t="s">
        <v>173</v>
      </c>
      <c r="CF947" s="28" t="s">
        <v>317</v>
      </c>
      <c r="CG947" s="28" t="s">
        <v>138</v>
      </c>
      <c r="CH947" s="28" t="s">
        <v>174</v>
      </c>
      <c r="CI947" s="28" t="s">
        <v>138</v>
      </c>
      <c r="CJ947" s="28" t="s">
        <v>138</v>
      </c>
      <c r="CK947" s="28" t="s">
        <v>138</v>
      </c>
      <c r="CL947" s="28" t="s">
        <v>175</v>
      </c>
      <c r="CM947" s="34" t="s">
        <v>138</v>
      </c>
      <c r="CN947" s="29" t="s">
        <v>138</v>
      </c>
      <c r="CO947" s="35">
        <v>0.82</v>
      </c>
      <c r="CP947" s="36">
        <v>97</v>
      </c>
      <c r="CQ947" s="35">
        <v>-0.04</v>
      </c>
      <c r="CR947" s="35">
        <v>-4.46</v>
      </c>
      <c r="CS947" s="35">
        <v>1.1499999999999999</v>
      </c>
      <c r="CT947" s="36">
        <v>97</v>
      </c>
      <c r="CU947" s="35">
        <v>0.5</v>
      </c>
      <c r="CV947" s="36">
        <v>93</v>
      </c>
      <c r="CW947" s="35">
        <v>2.2599999999999998</v>
      </c>
      <c r="CX947" s="36">
        <v>89</v>
      </c>
      <c r="CY947" s="35">
        <v>0.03</v>
      </c>
      <c r="CZ947" s="36">
        <v>97</v>
      </c>
      <c r="DA947" s="35">
        <v>0.75</v>
      </c>
      <c r="DB947" s="36">
        <v>97</v>
      </c>
      <c r="DC947" s="37">
        <v>24.38</v>
      </c>
      <c r="DD947" s="36">
        <v>96</v>
      </c>
      <c r="DE947" s="37">
        <v>-0.22</v>
      </c>
      <c r="DF947" s="35">
        <v>-0.89</v>
      </c>
      <c r="DG947" s="37">
        <v>15.93</v>
      </c>
      <c r="DH947" s="36">
        <v>93</v>
      </c>
      <c r="DI947" s="37">
        <v>32.83</v>
      </c>
      <c r="DJ947" s="36">
        <v>93</v>
      </c>
      <c r="DK947" s="37">
        <v>7.93</v>
      </c>
      <c r="DL947" s="36">
        <v>84</v>
      </c>
      <c r="DM947" s="37">
        <v>23.93</v>
      </c>
      <c r="DN947" s="36">
        <v>95</v>
      </c>
      <c r="DO947" s="37">
        <v>65.08</v>
      </c>
      <c r="DP947" s="36">
        <v>97</v>
      </c>
      <c r="DQ947" s="36">
        <v>2656</v>
      </c>
      <c r="DR947" s="38">
        <v>189</v>
      </c>
      <c r="DS947" s="35">
        <v>7.66</v>
      </c>
      <c r="DT947" s="36">
        <v>693</v>
      </c>
      <c r="DU947" s="38">
        <v>0</v>
      </c>
      <c r="DV947" s="35">
        <v>0</v>
      </c>
      <c r="DW947" s="36">
        <v>23333</v>
      </c>
      <c r="DX947" s="39">
        <v>-25</v>
      </c>
      <c r="DY947" s="35">
        <v>-0.11</v>
      </c>
      <c r="DZ947" s="28" t="s">
        <v>178</v>
      </c>
      <c r="EA947" s="34">
        <v>43351</v>
      </c>
      <c r="EB947" s="29">
        <v>240</v>
      </c>
      <c r="EC947" s="34">
        <v>43080</v>
      </c>
      <c r="ED947" s="28" t="s">
        <v>173</v>
      </c>
      <c r="EE947" s="40" t="str">
        <f>HYPERLINK("https://my.pitchbook.com?c=99583-03", "View company online")</f>
        <v>View company online</v>
      </c>
    </row>
    <row r="948" spans="1:135">
      <c r="A948" s="15" t="s">
        <v>18643</v>
      </c>
      <c r="B948" s="15" t="s">
        <v>18644</v>
      </c>
      <c r="C948" s="15" t="s">
        <v>138</v>
      </c>
      <c r="D948" s="15" t="s">
        <v>138</v>
      </c>
      <c r="E948" s="15" t="s">
        <v>18645</v>
      </c>
      <c r="F948" s="15" t="s">
        <v>18643</v>
      </c>
      <c r="G948" s="15" t="s">
        <v>18646</v>
      </c>
      <c r="H948" s="15" t="s">
        <v>238</v>
      </c>
      <c r="I948" s="15" t="s">
        <v>749</v>
      </c>
      <c r="J948" s="15" t="s">
        <v>750</v>
      </c>
      <c r="K948" s="15" t="s">
        <v>18647</v>
      </c>
      <c r="L948" s="15" t="s">
        <v>18648</v>
      </c>
      <c r="M948" s="15" t="s">
        <v>18649</v>
      </c>
      <c r="N948" s="15" t="s">
        <v>147</v>
      </c>
      <c r="O948" s="17">
        <v>22</v>
      </c>
      <c r="P948" s="15" t="s">
        <v>610</v>
      </c>
      <c r="Q948" s="15" t="s">
        <v>149</v>
      </c>
      <c r="R948" s="15" t="s">
        <v>174</v>
      </c>
      <c r="S948" s="15" t="s">
        <v>18650</v>
      </c>
      <c r="T948" s="18">
        <v>20</v>
      </c>
      <c r="U948" s="15" t="s">
        <v>18651</v>
      </c>
      <c r="V948" s="15" t="s">
        <v>138</v>
      </c>
      <c r="W948" s="15" t="s">
        <v>138</v>
      </c>
      <c r="X948" s="19">
        <v>2015</v>
      </c>
      <c r="Y948" s="15" t="s">
        <v>138</v>
      </c>
      <c r="Z948" s="15" t="s">
        <v>138</v>
      </c>
      <c r="AA948" s="15" t="s">
        <v>138</v>
      </c>
      <c r="AB948" s="20" t="s">
        <v>138</v>
      </c>
      <c r="AC948" s="20" t="s">
        <v>138</v>
      </c>
      <c r="AD948" s="20" t="s">
        <v>138</v>
      </c>
      <c r="AE948" s="20" t="s">
        <v>138</v>
      </c>
      <c r="AF948" s="20" t="s">
        <v>138</v>
      </c>
      <c r="AG948" s="15" t="s">
        <v>138</v>
      </c>
      <c r="AH948" s="20" t="s">
        <v>138</v>
      </c>
      <c r="AI948" s="20" t="s">
        <v>138</v>
      </c>
      <c r="AJ948" s="20" t="s">
        <v>138</v>
      </c>
      <c r="AK948" s="15" t="s">
        <v>18652</v>
      </c>
      <c r="AL948" s="15" t="s">
        <v>18653</v>
      </c>
      <c r="AM948" s="15" t="s">
        <v>818</v>
      </c>
      <c r="AN948" s="15" t="s">
        <v>18654</v>
      </c>
      <c r="AO948" s="15" t="s">
        <v>138</v>
      </c>
      <c r="AP948" s="15" t="s">
        <v>18655</v>
      </c>
      <c r="AQ948" s="15" t="s">
        <v>18656</v>
      </c>
      <c r="AR948" s="15" t="s">
        <v>18657</v>
      </c>
      <c r="AS948" s="15" t="s">
        <v>18658</v>
      </c>
      <c r="AT948" s="15" t="s">
        <v>200</v>
      </c>
      <c r="AU948" s="15" t="s">
        <v>18659</v>
      </c>
      <c r="AV948" s="15" t="s">
        <v>162</v>
      </c>
      <c r="AW948" s="15" t="s">
        <v>138</v>
      </c>
      <c r="AX948" s="15" t="s">
        <v>138</v>
      </c>
      <c r="AY948" s="15" t="s">
        <v>138</v>
      </c>
      <c r="AZ948" s="15" t="s">
        <v>164</v>
      </c>
      <c r="BA948" s="15" t="s">
        <v>165</v>
      </c>
      <c r="BB948" s="15" t="s">
        <v>18660</v>
      </c>
      <c r="BC948" s="15" t="s">
        <v>18661</v>
      </c>
      <c r="BD948" s="21">
        <v>19</v>
      </c>
      <c r="BE948" s="15" t="s">
        <v>138</v>
      </c>
      <c r="BF948" s="15" t="s">
        <v>138</v>
      </c>
      <c r="BG948" s="15" t="s">
        <v>138</v>
      </c>
      <c r="BH948" s="15" t="s">
        <v>18662</v>
      </c>
      <c r="BI948" s="15" t="s">
        <v>138</v>
      </c>
      <c r="BJ948" s="15" t="s">
        <v>138</v>
      </c>
      <c r="BK948" s="15" t="s">
        <v>3826</v>
      </c>
      <c r="BL948" s="15" t="s">
        <v>3826</v>
      </c>
      <c r="BM948" s="22">
        <v>42370</v>
      </c>
      <c r="BN948" s="17" t="s">
        <v>138</v>
      </c>
      <c r="BO948" s="15" t="s">
        <v>138</v>
      </c>
      <c r="BP948" s="17" t="s">
        <v>138</v>
      </c>
      <c r="BQ948" s="15" t="s">
        <v>138</v>
      </c>
      <c r="BR948" s="15" t="s">
        <v>316</v>
      </c>
      <c r="BS948" s="15" t="s">
        <v>138</v>
      </c>
      <c r="BT948" s="15" t="s">
        <v>138</v>
      </c>
      <c r="BU948" s="15" t="s">
        <v>174</v>
      </c>
      <c r="BV948" s="15" t="s">
        <v>138</v>
      </c>
      <c r="BW948" s="15" t="s">
        <v>138</v>
      </c>
      <c r="BX948" s="15" t="s">
        <v>138</v>
      </c>
      <c r="BY948" s="15" t="s">
        <v>175</v>
      </c>
      <c r="BZ948" s="22">
        <v>43129</v>
      </c>
      <c r="CA948" s="17" t="s">
        <v>138</v>
      </c>
      <c r="CB948" s="15" t="s">
        <v>138</v>
      </c>
      <c r="CC948" s="17" t="s">
        <v>138</v>
      </c>
      <c r="CD948" s="15" t="s">
        <v>138</v>
      </c>
      <c r="CE948" s="15" t="s">
        <v>205</v>
      </c>
      <c r="CF948" s="15" t="s">
        <v>206</v>
      </c>
      <c r="CG948" s="15" t="s">
        <v>138</v>
      </c>
      <c r="CH948" s="15" t="s">
        <v>174</v>
      </c>
      <c r="CI948" s="15" t="s">
        <v>138</v>
      </c>
      <c r="CJ948" s="15" t="s">
        <v>138</v>
      </c>
      <c r="CK948" s="15" t="s">
        <v>138</v>
      </c>
      <c r="CL948" s="15" t="s">
        <v>175</v>
      </c>
      <c r="CM948" s="22" t="s">
        <v>138</v>
      </c>
      <c r="CN948" s="17" t="s">
        <v>138</v>
      </c>
      <c r="CO948" s="23">
        <v>0.5</v>
      </c>
      <c r="CP948" s="24">
        <v>95</v>
      </c>
      <c r="CQ948" s="23">
        <v>0</v>
      </c>
      <c r="CR948" s="23">
        <v>0.28999999999999998</v>
      </c>
      <c r="CS948" s="23">
        <v>0.81</v>
      </c>
      <c r="CT948" s="24">
        <v>96</v>
      </c>
      <c r="CU948" s="23">
        <v>0.19</v>
      </c>
      <c r="CV948" s="24">
        <v>79</v>
      </c>
      <c r="CW948" s="23">
        <v>2.2799999999999998</v>
      </c>
      <c r="CX948" s="24">
        <v>89</v>
      </c>
      <c r="CY948" s="23">
        <v>-0.66</v>
      </c>
      <c r="CZ948" s="24">
        <v>21</v>
      </c>
      <c r="DA948" s="23">
        <v>0.4</v>
      </c>
      <c r="DB948" s="24">
        <v>92</v>
      </c>
      <c r="DC948" s="25">
        <v>58.98</v>
      </c>
      <c r="DD948" s="24">
        <v>98</v>
      </c>
      <c r="DE948" s="25">
        <v>-0.48</v>
      </c>
      <c r="DF948" s="23">
        <v>-0.8</v>
      </c>
      <c r="DG948" s="25">
        <v>43.21</v>
      </c>
      <c r="DH948" s="24">
        <v>98</v>
      </c>
      <c r="DI948" s="25">
        <v>74.75</v>
      </c>
      <c r="DJ948" s="24">
        <v>96</v>
      </c>
      <c r="DK948" s="25">
        <v>15.96</v>
      </c>
      <c r="DL948" s="24">
        <v>90</v>
      </c>
      <c r="DM948" s="25">
        <v>70.45</v>
      </c>
      <c r="DN948" s="24">
        <v>99</v>
      </c>
      <c r="DO948" s="25">
        <v>37.020000000000003</v>
      </c>
      <c r="DP948" s="24">
        <v>95</v>
      </c>
      <c r="DQ948" s="24">
        <v>5514</v>
      </c>
      <c r="DR948" s="26">
        <v>-118</v>
      </c>
      <c r="DS948" s="23">
        <v>-2.1</v>
      </c>
      <c r="DT948" s="24">
        <v>2043</v>
      </c>
      <c r="DU948" s="26">
        <v>-1</v>
      </c>
      <c r="DV948" s="23">
        <v>-0.05</v>
      </c>
      <c r="DW948" s="24">
        <v>13240</v>
      </c>
      <c r="DX948" s="27">
        <v>51</v>
      </c>
      <c r="DY948" s="23">
        <v>0.39</v>
      </c>
      <c r="DZ948" s="15" t="s">
        <v>178</v>
      </c>
      <c r="EA948" s="22">
        <v>43621</v>
      </c>
      <c r="EB948" s="17">
        <v>60</v>
      </c>
      <c r="EC948" s="22">
        <v>42970</v>
      </c>
      <c r="ED948" s="15" t="s">
        <v>205</v>
      </c>
      <c r="EE948" s="14" t="str">
        <f>HYPERLINK("https://my.pitchbook.com?c=154278-46", "View company online")</f>
        <v>View company online</v>
      </c>
    </row>
    <row r="949" spans="1:135">
      <c r="A949" s="28" t="s">
        <v>18663</v>
      </c>
      <c r="B949" s="28" t="s">
        <v>18664</v>
      </c>
      <c r="C949" s="28" t="s">
        <v>138</v>
      </c>
      <c r="D949" s="28" t="s">
        <v>18665</v>
      </c>
      <c r="E949" s="28" t="s">
        <v>138</v>
      </c>
      <c r="F949" s="28" t="s">
        <v>18663</v>
      </c>
      <c r="G949" s="28" t="s">
        <v>18666</v>
      </c>
      <c r="H949" s="28" t="s">
        <v>183</v>
      </c>
      <c r="I949" s="28" t="s">
        <v>184</v>
      </c>
      <c r="J949" s="28" t="s">
        <v>2141</v>
      </c>
      <c r="K949" s="28" t="s">
        <v>3009</v>
      </c>
      <c r="L949" s="28" t="s">
        <v>18667</v>
      </c>
      <c r="M949" s="28" t="s">
        <v>18668</v>
      </c>
      <c r="N949" s="28" t="s">
        <v>147</v>
      </c>
      <c r="O949" s="29" t="s">
        <v>138</v>
      </c>
      <c r="P949" s="28" t="s">
        <v>148</v>
      </c>
      <c r="Q949" s="28" t="s">
        <v>149</v>
      </c>
      <c r="R949" s="28" t="s">
        <v>174</v>
      </c>
      <c r="S949" s="28" t="s">
        <v>18669</v>
      </c>
      <c r="T949" s="30" t="s">
        <v>138</v>
      </c>
      <c r="U949" s="28" t="s">
        <v>138</v>
      </c>
      <c r="V949" s="28" t="s">
        <v>138</v>
      </c>
      <c r="W949" s="28" t="s">
        <v>138</v>
      </c>
      <c r="X949" s="31">
        <v>2014</v>
      </c>
      <c r="Y949" s="28" t="s">
        <v>138</v>
      </c>
      <c r="Z949" s="28" t="s">
        <v>138</v>
      </c>
      <c r="AA949" s="28" t="s">
        <v>138</v>
      </c>
      <c r="AB949" s="32" t="s">
        <v>138</v>
      </c>
      <c r="AC949" s="32" t="s">
        <v>138</v>
      </c>
      <c r="AD949" s="32" t="s">
        <v>138</v>
      </c>
      <c r="AE949" s="32" t="s">
        <v>138</v>
      </c>
      <c r="AF949" s="32" t="s">
        <v>138</v>
      </c>
      <c r="AG949" s="28" t="s">
        <v>138</v>
      </c>
      <c r="AH949" s="32" t="s">
        <v>138</v>
      </c>
      <c r="AI949" s="32" t="s">
        <v>138</v>
      </c>
      <c r="AJ949" s="32" t="s">
        <v>138</v>
      </c>
      <c r="AK949" s="28" t="s">
        <v>18670</v>
      </c>
      <c r="AL949" s="28" t="s">
        <v>18671</v>
      </c>
      <c r="AM949" s="28" t="s">
        <v>18672</v>
      </c>
      <c r="AN949" s="28" t="s">
        <v>18673</v>
      </c>
      <c r="AO949" s="28" t="s">
        <v>18674</v>
      </c>
      <c r="AP949" s="28" t="s">
        <v>6573</v>
      </c>
      <c r="AQ949" s="28" t="s">
        <v>18675</v>
      </c>
      <c r="AR949" s="28" t="s">
        <v>18676</v>
      </c>
      <c r="AS949" s="28" t="s">
        <v>6575</v>
      </c>
      <c r="AT949" s="28" t="s">
        <v>6576</v>
      </c>
      <c r="AU949" s="28" t="s">
        <v>18677</v>
      </c>
      <c r="AV949" s="28" t="s">
        <v>162</v>
      </c>
      <c r="AW949" s="28" t="s">
        <v>18674</v>
      </c>
      <c r="AX949" s="28" t="s">
        <v>138</v>
      </c>
      <c r="AY949" s="28" t="s">
        <v>18678</v>
      </c>
      <c r="AZ949" s="28" t="s">
        <v>164</v>
      </c>
      <c r="BA949" s="28" t="s">
        <v>165</v>
      </c>
      <c r="BB949" s="28" t="s">
        <v>18679</v>
      </c>
      <c r="BC949" s="28" t="s">
        <v>18680</v>
      </c>
      <c r="BD949" s="33">
        <v>2</v>
      </c>
      <c r="BE949" s="28" t="s">
        <v>138</v>
      </c>
      <c r="BF949" s="28" t="s">
        <v>138</v>
      </c>
      <c r="BG949" s="28" t="s">
        <v>138</v>
      </c>
      <c r="BH949" s="28" t="s">
        <v>18681</v>
      </c>
      <c r="BI949" s="28" t="s">
        <v>138</v>
      </c>
      <c r="BJ949" s="28" t="s">
        <v>138</v>
      </c>
      <c r="BK949" s="28" t="s">
        <v>138</v>
      </c>
      <c r="BL949" s="28" t="s">
        <v>1370</v>
      </c>
      <c r="BM949" s="34">
        <v>42154</v>
      </c>
      <c r="BN949" s="29">
        <v>0.02</v>
      </c>
      <c r="BO949" s="28" t="s">
        <v>172</v>
      </c>
      <c r="BP949" s="29" t="s">
        <v>138</v>
      </c>
      <c r="BQ949" s="28" t="s">
        <v>138</v>
      </c>
      <c r="BR949" s="28" t="s">
        <v>1830</v>
      </c>
      <c r="BS949" s="28" t="s">
        <v>138</v>
      </c>
      <c r="BT949" s="28" t="s">
        <v>138</v>
      </c>
      <c r="BU949" s="28" t="s">
        <v>263</v>
      </c>
      <c r="BV949" s="28" t="s">
        <v>138</v>
      </c>
      <c r="BW949" s="28" t="s">
        <v>138</v>
      </c>
      <c r="BX949" s="28" t="s">
        <v>138</v>
      </c>
      <c r="BY949" s="28" t="s">
        <v>175</v>
      </c>
      <c r="BZ949" s="34">
        <v>42641</v>
      </c>
      <c r="CA949" s="29">
        <v>2.5</v>
      </c>
      <c r="CB949" s="28" t="s">
        <v>172</v>
      </c>
      <c r="CC949" s="29" t="s">
        <v>138</v>
      </c>
      <c r="CD949" s="28" t="s">
        <v>138</v>
      </c>
      <c r="CE949" s="28" t="s">
        <v>205</v>
      </c>
      <c r="CF949" s="28" t="s">
        <v>206</v>
      </c>
      <c r="CG949" s="28" t="s">
        <v>138</v>
      </c>
      <c r="CH949" s="28" t="s">
        <v>174</v>
      </c>
      <c r="CI949" s="28" t="s">
        <v>138</v>
      </c>
      <c r="CJ949" s="28" t="s">
        <v>138</v>
      </c>
      <c r="CK949" s="28" t="s">
        <v>138</v>
      </c>
      <c r="CL949" s="28" t="s">
        <v>1831</v>
      </c>
      <c r="CM949" s="34" t="s">
        <v>138</v>
      </c>
      <c r="CN949" s="29" t="s">
        <v>138</v>
      </c>
      <c r="CO949" s="35">
        <v>-0.04</v>
      </c>
      <c r="CP949" s="36">
        <v>23</v>
      </c>
      <c r="CQ949" s="35">
        <v>0</v>
      </c>
      <c r="CR949" s="35">
        <v>0.08</v>
      </c>
      <c r="CS949" s="35">
        <v>0</v>
      </c>
      <c r="CT949" s="36">
        <v>23</v>
      </c>
      <c r="CU949" s="35">
        <v>-7.0000000000000007E-2</v>
      </c>
      <c r="CV949" s="36">
        <v>7</v>
      </c>
      <c r="CW949" s="35" t="s">
        <v>138</v>
      </c>
      <c r="CX949" s="36" t="s">
        <v>138</v>
      </c>
      <c r="CY949" s="35">
        <v>0</v>
      </c>
      <c r="CZ949" s="36">
        <v>25</v>
      </c>
      <c r="DA949" s="35">
        <v>-0.12</v>
      </c>
      <c r="DB949" s="36">
        <v>5</v>
      </c>
      <c r="DC949" s="37">
        <v>1.22</v>
      </c>
      <c r="DD949" s="36">
        <v>56</v>
      </c>
      <c r="DE949" s="37">
        <v>0</v>
      </c>
      <c r="DF949" s="35">
        <v>0.36</v>
      </c>
      <c r="DG949" s="37">
        <v>0.34</v>
      </c>
      <c r="DH949" s="36">
        <v>25</v>
      </c>
      <c r="DI949" s="37">
        <v>2.09</v>
      </c>
      <c r="DJ949" s="36">
        <v>63</v>
      </c>
      <c r="DK949" s="37" t="s">
        <v>138</v>
      </c>
      <c r="DL949" s="36" t="s">
        <v>138</v>
      </c>
      <c r="DM949" s="37">
        <v>0.34</v>
      </c>
      <c r="DN949" s="36">
        <v>26</v>
      </c>
      <c r="DO949" s="37">
        <v>2.89</v>
      </c>
      <c r="DP949" s="36">
        <v>70</v>
      </c>
      <c r="DQ949" s="36">
        <v>65</v>
      </c>
      <c r="DR949" s="38">
        <v>-14</v>
      </c>
      <c r="DS949" s="35">
        <v>-17.72</v>
      </c>
      <c r="DT949" s="36">
        <v>10</v>
      </c>
      <c r="DU949" s="38">
        <v>0</v>
      </c>
      <c r="DV949" s="35">
        <v>0</v>
      </c>
      <c r="DW949" s="36">
        <v>1032</v>
      </c>
      <c r="DX949" s="39">
        <v>1</v>
      </c>
      <c r="DY949" s="35">
        <v>0.1</v>
      </c>
      <c r="DZ949" s="28" t="s">
        <v>178</v>
      </c>
      <c r="EA949" s="34">
        <v>43504</v>
      </c>
      <c r="EB949" s="29" t="s">
        <v>138</v>
      </c>
      <c r="EC949" s="34" t="s">
        <v>138</v>
      </c>
      <c r="ED949" s="28" t="s">
        <v>138</v>
      </c>
      <c r="EE949" s="40" t="str">
        <f>HYPERLINK("https://my.pitchbook.com?c=121034-89", "View company online")</f>
        <v>View company online</v>
      </c>
    </row>
    <row r="950" spans="1:135">
      <c r="A950" s="15" t="s">
        <v>18682</v>
      </c>
      <c r="B950" s="15" t="s">
        <v>18683</v>
      </c>
      <c r="C950" s="15" t="s">
        <v>18684</v>
      </c>
      <c r="D950" s="15" t="s">
        <v>138</v>
      </c>
      <c r="E950" s="15" t="s">
        <v>138</v>
      </c>
      <c r="F950" s="15" t="s">
        <v>18682</v>
      </c>
      <c r="G950" s="15" t="s">
        <v>18685</v>
      </c>
      <c r="H950" s="15" t="s">
        <v>183</v>
      </c>
      <c r="I950" s="15" t="s">
        <v>4681</v>
      </c>
      <c r="J950" s="15" t="s">
        <v>14475</v>
      </c>
      <c r="K950" s="15" t="s">
        <v>18686</v>
      </c>
      <c r="L950" s="15" t="s">
        <v>4684</v>
      </c>
      <c r="M950" s="15" t="s">
        <v>18687</v>
      </c>
      <c r="N950" s="15" t="s">
        <v>147</v>
      </c>
      <c r="O950" s="17">
        <v>57.28</v>
      </c>
      <c r="P950" s="15" t="s">
        <v>148</v>
      </c>
      <c r="Q950" s="15" t="s">
        <v>149</v>
      </c>
      <c r="R950" s="15" t="s">
        <v>174</v>
      </c>
      <c r="S950" s="15" t="s">
        <v>18688</v>
      </c>
      <c r="T950" s="18">
        <v>64</v>
      </c>
      <c r="U950" s="15" t="s">
        <v>18689</v>
      </c>
      <c r="V950" s="15" t="s">
        <v>138</v>
      </c>
      <c r="W950" s="15" t="s">
        <v>138</v>
      </c>
      <c r="X950" s="19">
        <v>2000</v>
      </c>
      <c r="Y950" s="15" t="s">
        <v>138</v>
      </c>
      <c r="Z950" s="15" t="s">
        <v>138</v>
      </c>
      <c r="AA950" s="15" t="s">
        <v>138</v>
      </c>
      <c r="AB950" s="20">
        <v>65.62</v>
      </c>
      <c r="AC950" s="20" t="s">
        <v>138</v>
      </c>
      <c r="AD950" s="20" t="s">
        <v>138</v>
      </c>
      <c r="AE950" s="20" t="s">
        <v>138</v>
      </c>
      <c r="AF950" s="20" t="s">
        <v>138</v>
      </c>
      <c r="AG950" s="15" t="s">
        <v>2900</v>
      </c>
      <c r="AH950" s="20" t="s">
        <v>138</v>
      </c>
      <c r="AI950" s="20" t="s">
        <v>138</v>
      </c>
      <c r="AJ950" s="20" t="s">
        <v>138</v>
      </c>
      <c r="AK950" s="15" t="s">
        <v>18690</v>
      </c>
      <c r="AL950" s="15" t="s">
        <v>18691</v>
      </c>
      <c r="AM950" s="15" t="s">
        <v>18692</v>
      </c>
      <c r="AN950" s="15" t="s">
        <v>18693</v>
      </c>
      <c r="AO950" s="15" t="s">
        <v>18694</v>
      </c>
      <c r="AP950" s="15" t="s">
        <v>2002</v>
      </c>
      <c r="AQ950" s="15" t="s">
        <v>18695</v>
      </c>
      <c r="AR950" s="15" t="s">
        <v>158</v>
      </c>
      <c r="AS950" s="15" t="s">
        <v>2005</v>
      </c>
      <c r="AT950" s="15" t="s">
        <v>200</v>
      </c>
      <c r="AU950" s="15" t="s">
        <v>2006</v>
      </c>
      <c r="AV950" s="15" t="s">
        <v>162</v>
      </c>
      <c r="AW950" s="15" t="s">
        <v>18696</v>
      </c>
      <c r="AX950" s="15" t="s">
        <v>138</v>
      </c>
      <c r="AY950" s="15" t="s">
        <v>18697</v>
      </c>
      <c r="AZ950" s="15" t="s">
        <v>164</v>
      </c>
      <c r="BA950" s="15" t="s">
        <v>165</v>
      </c>
      <c r="BB950" s="15" t="s">
        <v>18698</v>
      </c>
      <c r="BC950" s="15" t="s">
        <v>18699</v>
      </c>
      <c r="BD950" s="21">
        <v>19</v>
      </c>
      <c r="BE950" s="15" t="s">
        <v>138</v>
      </c>
      <c r="BF950" s="15" t="s">
        <v>18700</v>
      </c>
      <c r="BG950" s="15" t="s">
        <v>138</v>
      </c>
      <c r="BH950" s="15" t="s">
        <v>18701</v>
      </c>
      <c r="BI950" s="15" t="s">
        <v>18702</v>
      </c>
      <c r="BJ950" s="15" t="s">
        <v>138</v>
      </c>
      <c r="BK950" s="15" t="s">
        <v>18703</v>
      </c>
      <c r="BL950" s="15" t="s">
        <v>18704</v>
      </c>
      <c r="BM950" s="22" t="s">
        <v>138</v>
      </c>
      <c r="BN950" s="17" t="s">
        <v>138</v>
      </c>
      <c r="BO950" s="15" t="s">
        <v>138</v>
      </c>
      <c r="BP950" s="17" t="s">
        <v>138</v>
      </c>
      <c r="BQ950" s="15" t="s">
        <v>138</v>
      </c>
      <c r="BR950" s="15" t="s">
        <v>205</v>
      </c>
      <c r="BS950" s="15" t="s">
        <v>206</v>
      </c>
      <c r="BT950" s="15" t="s">
        <v>138</v>
      </c>
      <c r="BU950" s="15" t="s">
        <v>174</v>
      </c>
      <c r="BV950" s="15" t="s">
        <v>138</v>
      </c>
      <c r="BW950" s="15" t="s">
        <v>138</v>
      </c>
      <c r="BX950" s="15" t="s">
        <v>138</v>
      </c>
      <c r="BY950" s="15" t="s">
        <v>175</v>
      </c>
      <c r="BZ950" s="22">
        <v>42614</v>
      </c>
      <c r="CA950" s="17" t="s">
        <v>138</v>
      </c>
      <c r="CB950" s="15" t="s">
        <v>138</v>
      </c>
      <c r="CC950" s="17" t="s">
        <v>138</v>
      </c>
      <c r="CD950" s="15" t="s">
        <v>138</v>
      </c>
      <c r="CE950" s="15" t="s">
        <v>173</v>
      </c>
      <c r="CF950" s="15" t="s">
        <v>138</v>
      </c>
      <c r="CG950" s="15" t="s">
        <v>138</v>
      </c>
      <c r="CH950" s="15" t="s">
        <v>174</v>
      </c>
      <c r="CI950" s="15" t="s">
        <v>264</v>
      </c>
      <c r="CJ950" s="15" t="s">
        <v>138</v>
      </c>
      <c r="CK950" s="15" t="s">
        <v>138</v>
      </c>
      <c r="CL950" s="15" t="s">
        <v>175</v>
      </c>
      <c r="CM950" s="22" t="s">
        <v>138</v>
      </c>
      <c r="CN950" s="17" t="s">
        <v>138</v>
      </c>
      <c r="CO950" s="23">
        <v>-0.71</v>
      </c>
      <c r="CP950" s="24">
        <v>14</v>
      </c>
      <c r="CQ950" s="23">
        <v>0</v>
      </c>
      <c r="CR950" s="23">
        <v>0</v>
      </c>
      <c r="CS950" s="23">
        <v>-0.71</v>
      </c>
      <c r="CT950" s="24">
        <v>18</v>
      </c>
      <c r="CU950" s="23" t="s">
        <v>138</v>
      </c>
      <c r="CV950" s="24" t="s">
        <v>138</v>
      </c>
      <c r="CW950" s="23" t="s">
        <v>138</v>
      </c>
      <c r="CX950" s="24" t="s">
        <v>138</v>
      </c>
      <c r="CY950" s="23">
        <v>-0.71</v>
      </c>
      <c r="CZ950" s="24">
        <v>21</v>
      </c>
      <c r="DA950" s="23" t="s">
        <v>138</v>
      </c>
      <c r="DB950" s="24" t="s">
        <v>138</v>
      </c>
      <c r="DC950" s="25">
        <v>2.9</v>
      </c>
      <c r="DD950" s="24">
        <v>74</v>
      </c>
      <c r="DE950" s="25">
        <v>-0.03</v>
      </c>
      <c r="DF950" s="23">
        <v>-1.18</v>
      </c>
      <c r="DG950" s="25">
        <v>2.9</v>
      </c>
      <c r="DH950" s="24">
        <v>74</v>
      </c>
      <c r="DI950" s="25" t="s">
        <v>138</v>
      </c>
      <c r="DJ950" s="24" t="s">
        <v>138</v>
      </c>
      <c r="DK950" s="25" t="s">
        <v>138</v>
      </c>
      <c r="DL950" s="24" t="s">
        <v>138</v>
      </c>
      <c r="DM950" s="25">
        <v>2.9</v>
      </c>
      <c r="DN950" s="24">
        <v>73</v>
      </c>
      <c r="DO950" s="25" t="s">
        <v>138</v>
      </c>
      <c r="DP950" s="24" t="s">
        <v>138</v>
      </c>
      <c r="DQ950" s="24" t="s">
        <v>138</v>
      </c>
      <c r="DR950" s="26" t="s">
        <v>138</v>
      </c>
      <c r="DS950" s="23" t="s">
        <v>138</v>
      </c>
      <c r="DT950" s="24">
        <v>84</v>
      </c>
      <c r="DU950" s="26">
        <v>-1</v>
      </c>
      <c r="DV950" s="23">
        <v>-1.18</v>
      </c>
      <c r="DW950" s="24" t="s">
        <v>138</v>
      </c>
      <c r="DX950" s="27" t="s">
        <v>138</v>
      </c>
      <c r="DY950" s="23" t="s">
        <v>138</v>
      </c>
      <c r="DZ950" s="15" t="s">
        <v>178</v>
      </c>
      <c r="EA950" s="22">
        <v>43375</v>
      </c>
      <c r="EB950" s="17">
        <v>4.17</v>
      </c>
      <c r="EC950" s="22">
        <v>42309</v>
      </c>
      <c r="ED950" s="15" t="s">
        <v>173</v>
      </c>
      <c r="EE950" s="14" t="str">
        <f>HYPERLINK("https://my.pitchbook.com?c=51595-03", "View company online")</f>
        <v>View company online</v>
      </c>
    </row>
    <row r="951" spans="1:135">
      <c r="A951" s="28" t="s">
        <v>18705</v>
      </c>
      <c r="B951" s="28" t="s">
        <v>18706</v>
      </c>
      <c r="C951" s="28" t="s">
        <v>138</v>
      </c>
      <c r="D951" s="28" t="s">
        <v>138</v>
      </c>
      <c r="E951" s="28" t="s">
        <v>18707</v>
      </c>
      <c r="F951" s="28" t="s">
        <v>18705</v>
      </c>
      <c r="G951" s="28" t="s">
        <v>18708</v>
      </c>
      <c r="H951" s="28" t="s">
        <v>183</v>
      </c>
      <c r="I951" s="28" t="s">
        <v>725</v>
      </c>
      <c r="J951" s="28" t="s">
        <v>8492</v>
      </c>
      <c r="K951" s="28" t="s">
        <v>18709</v>
      </c>
      <c r="L951" s="28" t="s">
        <v>17791</v>
      </c>
      <c r="M951" s="28" t="s">
        <v>18710</v>
      </c>
      <c r="N951" s="28" t="s">
        <v>147</v>
      </c>
      <c r="O951" s="29">
        <v>2.89</v>
      </c>
      <c r="P951" s="28" t="s">
        <v>148</v>
      </c>
      <c r="Q951" s="28" t="s">
        <v>149</v>
      </c>
      <c r="R951" s="28" t="s">
        <v>174</v>
      </c>
      <c r="S951" s="28" t="s">
        <v>18711</v>
      </c>
      <c r="T951" s="30">
        <v>5</v>
      </c>
      <c r="U951" s="28" t="s">
        <v>18712</v>
      </c>
      <c r="V951" s="28" t="s">
        <v>138</v>
      </c>
      <c r="W951" s="28" t="s">
        <v>138</v>
      </c>
      <c r="X951" s="31">
        <v>2015</v>
      </c>
      <c r="Y951" s="28" t="s">
        <v>138</v>
      </c>
      <c r="Z951" s="28" t="s">
        <v>138</v>
      </c>
      <c r="AA951" s="28" t="s">
        <v>138</v>
      </c>
      <c r="AB951" s="32" t="s">
        <v>138</v>
      </c>
      <c r="AC951" s="32" t="s">
        <v>138</v>
      </c>
      <c r="AD951" s="32" t="s">
        <v>138</v>
      </c>
      <c r="AE951" s="32" t="s">
        <v>138</v>
      </c>
      <c r="AF951" s="32" t="s">
        <v>138</v>
      </c>
      <c r="AG951" s="28" t="s">
        <v>138</v>
      </c>
      <c r="AH951" s="32" t="s">
        <v>138</v>
      </c>
      <c r="AI951" s="32" t="s">
        <v>138</v>
      </c>
      <c r="AJ951" s="32" t="s">
        <v>138</v>
      </c>
      <c r="AK951" s="28" t="s">
        <v>18713</v>
      </c>
      <c r="AL951" s="28" t="s">
        <v>18714</v>
      </c>
      <c r="AM951" s="28" t="s">
        <v>304</v>
      </c>
      <c r="AN951" s="28" t="s">
        <v>18715</v>
      </c>
      <c r="AO951" s="28" t="s">
        <v>18716</v>
      </c>
      <c r="AP951" s="28" t="s">
        <v>3905</v>
      </c>
      <c r="AQ951" s="28" t="s">
        <v>18717</v>
      </c>
      <c r="AR951" s="28" t="s">
        <v>226</v>
      </c>
      <c r="AS951" s="28" t="s">
        <v>3907</v>
      </c>
      <c r="AT951" s="28" t="s">
        <v>2740</v>
      </c>
      <c r="AU951" s="28" t="s">
        <v>18718</v>
      </c>
      <c r="AV951" s="28" t="s">
        <v>2742</v>
      </c>
      <c r="AW951" s="28" t="s">
        <v>18716</v>
      </c>
      <c r="AX951" s="28" t="s">
        <v>138</v>
      </c>
      <c r="AY951" s="28" t="s">
        <v>18719</v>
      </c>
      <c r="AZ951" s="28" t="s">
        <v>164</v>
      </c>
      <c r="BA951" s="28" t="s">
        <v>165</v>
      </c>
      <c r="BB951" s="28" t="s">
        <v>18720</v>
      </c>
      <c r="BC951" s="28" t="s">
        <v>18721</v>
      </c>
      <c r="BD951" s="33">
        <v>12</v>
      </c>
      <c r="BE951" s="28" t="s">
        <v>138</v>
      </c>
      <c r="BF951" s="28" t="s">
        <v>138</v>
      </c>
      <c r="BG951" s="28" t="s">
        <v>138</v>
      </c>
      <c r="BH951" s="28" t="s">
        <v>18722</v>
      </c>
      <c r="BI951" s="28" t="s">
        <v>138</v>
      </c>
      <c r="BJ951" s="28" t="s">
        <v>138</v>
      </c>
      <c r="BK951" s="28" t="s">
        <v>18723</v>
      </c>
      <c r="BL951" s="28" t="s">
        <v>138</v>
      </c>
      <c r="BM951" s="34" t="s">
        <v>138</v>
      </c>
      <c r="BN951" s="29" t="s">
        <v>138</v>
      </c>
      <c r="BO951" s="28" t="s">
        <v>138</v>
      </c>
      <c r="BP951" s="29" t="s">
        <v>138</v>
      </c>
      <c r="BQ951" s="28" t="s">
        <v>138</v>
      </c>
      <c r="BR951" s="28" t="s">
        <v>316</v>
      </c>
      <c r="BS951" s="28" t="s">
        <v>138</v>
      </c>
      <c r="BT951" s="28" t="s">
        <v>138</v>
      </c>
      <c r="BU951" s="28" t="s">
        <v>177</v>
      </c>
      <c r="BV951" s="28" t="s">
        <v>138</v>
      </c>
      <c r="BW951" s="28" t="s">
        <v>138</v>
      </c>
      <c r="BX951" s="28" t="s">
        <v>138</v>
      </c>
      <c r="BY951" s="28" t="s">
        <v>175</v>
      </c>
      <c r="BZ951" s="34">
        <v>43522</v>
      </c>
      <c r="CA951" s="29">
        <v>2.4</v>
      </c>
      <c r="CB951" s="28" t="s">
        <v>172</v>
      </c>
      <c r="CC951" s="29" t="s">
        <v>138</v>
      </c>
      <c r="CD951" s="28" t="s">
        <v>138</v>
      </c>
      <c r="CE951" s="28" t="s">
        <v>234</v>
      </c>
      <c r="CF951" s="28" t="s">
        <v>234</v>
      </c>
      <c r="CG951" s="28" t="s">
        <v>138</v>
      </c>
      <c r="CH951" s="28" t="s">
        <v>174</v>
      </c>
      <c r="CI951" s="28" t="s">
        <v>138</v>
      </c>
      <c r="CJ951" s="28" t="s">
        <v>138</v>
      </c>
      <c r="CK951" s="28" t="s">
        <v>138</v>
      </c>
      <c r="CL951" s="28" t="s">
        <v>175</v>
      </c>
      <c r="CM951" s="34" t="s">
        <v>138</v>
      </c>
      <c r="CN951" s="29" t="s">
        <v>138</v>
      </c>
      <c r="CO951" s="35">
        <v>0.27</v>
      </c>
      <c r="CP951" s="36">
        <v>93</v>
      </c>
      <c r="CQ951" s="35">
        <v>0.04</v>
      </c>
      <c r="CR951" s="35">
        <v>17.46</v>
      </c>
      <c r="CS951" s="35">
        <v>0</v>
      </c>
      <c r="CT951" s="36">
        <v>23</v>
      </c>
      <c r="CU951" s="35">
        <v>0.55000000000000004</v>
      </c>
      <c r="CV951" s="36">
        <v>94</v>
      </c>
      <c r="CW951" s="35" t="s">
        <v>138</v>
      </c>
      <c r="CX951" s="36" t="s">
        <v>138</v>
      </c>
      <c r="CY951" s="35">
        <v>0</v>
      </c>
      <c r="CZ951" s="36">
        <v>25</v>
      </c>
      <c r="DA951" s="35">
        <v>1.1000000000000001</v>
      </c>
      <c r="DB951" s="36">
        <v>98</v>
      </c>
      <c r="DC951" s="37">
        <v>1.41</v>
      </c>
      <c r="DD951" s="36">
        <v>59</v>
      </c>
      <c r="DE951" s="37">
        <v>0.01</v>
      </c>
      <c r="DF951" s="35">
        <v>0.73</v>
      </c>
      <c r="DG951" s="37">
        <v>1.62</v>
      </c>
      <c r="DH951" s="36">
        <v>62</v>
      </c>
      <c r="DI951" s="37">
        <v>1.2</v>
      </c>
      <c r="DJ951" s="36">
        <v>53</v>
      </c>
      <c r="DK951" s="37" t="s">
        <v>138</v>
      </c>
      <c r="DL951" s="36" t="s">
        <v>138</v>
      </c>
      <c r="DM951" s="37">
        <v>1.62</v>
      </c>
      <c r="DN951" s="36">
        <v>61</v>
      </c>
      <c r="DO951" s="37">
        <v>2.36</v>
      </c>
      <c r="DP951" s="36">
        <v>67</v>
      </c>
      <c r="DQ951" s="36" t="s">
        <v>138</v>
      </c>
      <c r="DR951" s="38" t="s">
        <v>138</v>
      </c>
      <c r="DS951" s="35" t="s">
        <v>138</v>
      </c>
      <c r="DT951" s="36">
        <v>47</v>
      </c>
      <c r="DU951" s="38">
        <v>0</v>
      </c>
      <c r="DV951" s="35">
        <v>0</v>
      </c>
      <c r="DW951" s="36">
        <v>838</v>
      </c>
      <c r="DX951" s="39">
        <v>14</v>
      </c>
      <c r="DY951" s="35">
        <v>1.7</v>
      </c>
      <c r="DZ951" s="28" t="s">
        <v>178</v>
      </c>
      <c r="EA951" s="34">
        <v>43598</v>
      </c>
      <c r="EB951" s="29">
        <v>2.35</v>
      </c>
      <c r="EC951" s="34">
        <v>42879</v>
      </c>
      <c r="ED951" s="28" t="s">
        <v>316</v>
      </c>
      <c r="EE951" s="40" t="str">
        <f>HYPERLINK("https://my.pitchbook.com?c=157564-54", "View company online")</f>
        <v>View company online</v>
      </c>
    </row>
    <row r="952" spans="1:135">
      <c r="A952" s="15" t="s">
        <v>18724</v>
      </c>
      <c r="B952" s="15" t="s">
        <v>18725</v>
      </c>
      <c r="C952" s="15" t="s">
        <v>138</v>
      </c>
      <c r="D952" s="15" t="s">
        <v>138</v>
      </c>
      <c r="E952" s="15" t="s">
        <v>138</v>
      </c>
      <c r="F952" s="15" t="s">
        <v>18724</v>
      </c>
      <c r="G952" s="15" t="s">
        <v>18726</v>
      </c>
      <c r="H952" s="15" t="s">
        <v>238</v>
      </c>
      <c r="I952" s="15" t="s">
        <v>239</v>
      </c>
      <c r="J952" s="15" t="s">
        <v>2578</v>
      </c>
      <c r="K952" s="15" t="s">
        <v>18727</v>
      </c>
      <c r="L952" s="15" t="s">
        <v>415</v>
      </c>
      <c r="M952" s="15" t="s">
        <v>18728</v>
      </c>
      <c r="N952" s="15" t="s">
        <v>1212</v>
      </c>
      <c r="O952" s="17">
        <v>65</v>
      </c>
      <c r="P952" s="15" t="s">
        <v>148</v>
      </c>
      <c r="Q952" s="15" t="s">
        <v>149</v>
      </c>
      <c r="R952" s="15" t="s">
        <v>2380</v>
      </c>
      <c r="S952" s="15" t="s">
        <v>18729</v>
      </c>
      <c r="T952" s="18">
        <v>242</v>
      </c>
      <c r="U952" s="15" t="s">
        <v>18730</v>
      </c>
      <c r="V952" s="15" t="s">
        <v>138</v>
      </c>
      <c r="W952" s="15" t="s">
        <v>138</v>
      </c>
      <c r="X952" s="19">
        <v>1995</v>
      </c>
      <c r="Y952" s="15" t="s">
        <v>18731</v>
      </c>
      <c r="Z952" s="15" t="s">
        <v>138</v>
      </c>
      <c r="AA952" s="15" t="s">
        <v>138</v>
      </c>
      <c r="AB952" s="20" t="s">
        <v>138</v>
      </c>
      <c r="AC952" s="20" t="s">
        <v>138</v>
      </c>
      <c r="AD952" s="20" t="s">
        <v>138</v>
      </c>
      <c r="AE952" s="20" t="s">
        <v>138</v>
      </c>
      <c r="AF952" s="20" t="s">
        <v>138</v>
      </c>
      <c r="AG952" s="15" t="s">
        <v>138</v>
      </c>
      <c r="AH952" s="20" t="s">
        <v>138</v>
      </c>
      <c r="AI952" s="20" t="s">
        <v>138</v>
      </c>
      <c r="AJ952" s="20" t="s">
        <v>138</v>
      </c>
      <c r="AK952" s="15" t="s">
        <v>18732</v>
      </c>
      <c r="AL952" s="15" t="s">
        <v>18733</v>
      </c>
      <c r="AM952" s="15" t="s">
        <v>18734</v>
      </c>
      <c r="AN952" s="15" t="s">
        <v>138</v>
      </c>
      <c r="AO952" s="15" t="s">
        <v>18735</v>
      </c>
      <c r="AP952" s="15" t="s">
        <v>423</v>
      </c>
      <c r="AQ952" s="15" t="s">
        <v>18736</v>
      </c>
      <c r="AR952" s="15" t="s">
        <v>3084</v>
      </c>
      <c r="AS952" s="15" t="s">
        <v>426</v>
      </c>
      <c r="AT952" s="15" t="s">
        <v>426</v>
      </c>
      <c r="AU952" s="15" t="s">
        <v>18111</v>
      </c>
      <c r="AV952" s="15" t="s">
        <v>162</v>
      </c>
      <c r="AW952" s="15" t="s">
        <v>18735</v>
      </c>
      <c r="AX952" s="15" t="s">
        <v>138</v>
      </c>
      <c r="AY952" s="15" t="s">
        <v>138</v>
      </c>
      <c r="AZ952" s="15" t="s">
        <v>164</v>
      </c>
      <c r="BA952" s="15" t="s">
        <v>165</v>
      </c>
      <c r="BB952" s="15" t="s">
        <v>18737</v>
      </c>
      <c r="BC952" s="15" t="s">
        <v>138</v>
      </c>
      <c r="BD952" s="21" t="s">
        <v>138</v>
      </c>
      <c r="BE952" s="15" t="s">
        <v>18731</v>
      </c>
      <c r="BF952" s="15" t="s">
        <v>18738</v>
      </c>
      <c r="BG952" s="15" t="s">
        <v>138</v>
      </c>
      <c r="BH952" s="15" t="s">
        <v>138</v>
      </c>
      <c r="BI952" s="15" t="s">
        <v>18739</v>
      </c>
      <c r="BJ952" s="15" t="s">
        <v>138</v>
      </c>
      <c r="BK952" s="15" t="s">
        <v>138</v>
      </c>
      <c r="BL952" s="15" t="s">
        <v>18740</v>
      </c>
      <c r="BM952" s="22">
        <v>35735</v>
      </c>
      <c r="BN952" s="17">
        <v>7</v>
      </c>
      <c r="BO952" s="15" t="s">
        <v>172</v>
      </c>
      <c r="BP952" s="17" t="s">
        <v>138</v>
      </c>
      <c r="BQ952" s="15" t="s">
        <v>138</v>
      </c>
      <c r="BR952" s="15" t="s">
        <v>205</v>
      </c>
      <c r="BS952" s="15" t="s">
        <v>138</v>
      </c>
      <c r="BT952" s="15" t="s">
        <v>138</v>
      </c>
      <c r="BU952" s="15" t="s">
        <v>174</v>
      </c>
      <c r="BV952" s="15" t="s">
        <v>138</v>
      </c>
      <c r="BW952" s="15" t="s">
        <v>138</v>
      </c>
      <c r="BX952" s="15" t="s">
        <v>138</v>
      </c>
      <c r="BY952" s="15" t="s">
        <v>175</v>
      </c>
      <c r="BZ952" s="22">
        <v>37251</v>
      </c>
      <c r="CA952" s="17">
        <v>10</v>
      </c>
      <c r="CB952" s="15" t="s">
        <v>172</v>
      </c>
      <c r="CC952" s="17">
        <v>10</v>
      </c>
      <c r="CD952" s="15" t="s">
        <v>172</v>
      </c>
      <c r="CE952" s="15" t="s">
        <v>2228</v>
      </c>
      <c r="CF952" s="15" t="s">
        <v>3785</v>
      </c>
      <c r="CG952" s="15" t="s">
        <v>138</v>
      </c>
      <c r="CH952" s="15" t="s">
        <v>780</v>
      </c>
      <c r="CI952" s="15" t="s">
        <v>138</v>
      </c>
      <c r="CJ952" s="15" t="s">
        <v>138</v>
      </c>
      <c r="CK952" s="15" t="s">
        <v>138</v>
      </c>
      <c r="CL952" s="15" t="s">
        <v>175</v>
      </c>
      <c r="CM952" s="22" t="s">
        <v>138</v>
      </c>
      <c r="CN952" s="17" t="s">
        <v>138</v>
      </c>
      <c r="CO952" s="23" t="s">
        <v>138</v>
      </c>
      <c r="CP952" s="24" t="s">
        <v>138</v>
      </c>
      <c r="CQ952" s="23" t="s">
        <v>138</v>
      </c>
      <c r="CR952" s="23" t="s">
        <v>138</v>
      </c>
      <c r="CS952" s="23" t="s">
        <v>138</v>
      </c>
      <c r="CT952" s="24" t="s">
        <v>138</v>
      </c>
      <c r="CU952" s="23" t="s">
        <v>138</v>
      </c>
      <c r="CV952" s="24" t="s">
        <v>138</v>
      </c>
      <c r="CW952" s="23" t="s">
        <v>138</v>
      </c>
      <c r="CX952" s="24" t="s">
        <v>138</v>
      </c>
      <c r="CY952" s="23" t="s">
        <v>138</v>
      </c>
      <c r="CZ952" s="24" t="s">
        <v>138</v>
      </c>
      <c r="DA952" s="23" t="s">
        <v>138</v>
      </c>
      <c r="DB952" s="24" t="s">
        <v>138</v>
      </c>
      <c r="DC952" s="25" t="s">
        <v>138</v>
      </c>
      <c r="DD952" s="24" t="s">
        <v>138</v>
      </c>
      <c r="DE952" s="25" t="s">
        <v>138</v>
      </c>
      <c r="DF952" s="23" t="s">
        <v>138</v>
      </c>
      <c r="DG952" s="25" t="s">
        <v>138</v>
      </c>
      <c r="DH952" s="24" t="s">
        <v>138</v>
      </c>
      <c r="DI952" s="25" t="s">
        <v>138</v>
      </c>
      <c r="DJ952" s="24" t="s">
        <v>138</v>
      </c>
      <c r="DK952" s="25" t="s">
        <v>138</v>
      </c>
      <c r="DL952" s="24" t="s">
        <v>138</v>
      </c>
      <c r="DM952" s="25" t="s">
        <v>138</v>
      </c>
      <c r="DN952" s="24" t="s">
        <v>138</v>
      </c>
      <c r="DO952" s="25" t="s">
        <v>138</v>
      </c>
      <c r="DP952" s="24" t="s">
        <v>138</v>
      </c>
      <c r="DQ952" s="24" t="s">
        <v>138</v>
      </c>
      <c r="DR952" s="26" t="s">
        <v>138</v>
      </c>
      <c r="DS952" s="23" t="s">
        <v>138</v>
      </c>
      <c r="DT952" s="24" t="s">
        <v>138</v>
      </c>
      <c r="DU952" s="26" t="s">
        <v>138</v>
      </c>
      <c r="DV952" s="23" t="s">
        <v>138</v>
      </c>
      <c r="DW952" s="24" t="s">
        <v>138</v>
      </c>
      <c r="DX952" s="27" t="s">
        <v>138</v>
      </c>
      <c r="DY952" s="23" t="s">
        <v>138</v>
      </c>
      <c r="DZ952" s="15" t="s">
        <v>178</v>
      </c>
      <c r="EA952" s="22">
        <v>43622</v>
      </c>
      <c r="EB952" s="17">
        <v>10</v>
      </c>
      <c r="EC952" s="22">
        <v>37251</v>
      </c>
      <c r="ED952" s="15" t="s">
        <v>2228</v>
      </c>
      <c r="EE952" s="14" t="str">
        <f>HYPERLINK("https://my.pitchbook.com?c=92090-17", "View company online")</f>
        <v>View company online</v>
      </c>
    </row>
    <row r="953" spans="1:135">
      <c r="A953" s="28" t="s">
        <v>18741</v>
      </c>
      <c r="B953" s="28" t="s">
        <v>18742</v>
      </c>
      <c r="C953" s="28" t="s">
        <v>138</v>
      </c>
      <c r="D953" s="28" t="s">
        <v>138</v>
      </c>
      <c r="E953" s="28" t="s">
        <v>138</v>
      </c>
      <c r="F953" s="28" t="s">
        <v>18741</v>
      </c>
      <c r="G953" s="28" t="s">
        <v>18743</v>
      </c>
      <c r="H953" s="28" t="s">
        <v>183</v>
      </c>
      <c r="I953" s="28" t="s">
        <v>725</v>
      </c>
      <c r="J953" s="28" t="s">
        <v>726</v>
      </c>
      <c r="K953" s="28" t="s">
        <v>727</v>
      </c>
      <c r="L953" s="28" t="s">
        <v>4186</v>
      </c>
      <c r="M953" s="28" t="s">
        <v>18744</v>
      </c>
      <c r="N953" s="28" t="s">
        <v>147</v>
      </c>
      <c r="O953" s="29" t="s">
        <v>138</v>
      </c>
      <c r="P953" s="28" t="s">
        <v>148</v>
      </c>
      <c r="Q953" s="28" t="s">
        <v>149</v>
      </c>
      <c r="R953" s="28" t="s">
        <v>174</v>
      </c>
      <c r="S953" s="28" t="s">
        <v>18745</v>
      </c>
      <c r="T953" s="30" t="s">
        <v>138</v>
      </c>
      <c r="U953" s="28" t="s">
        <v>138</v>
      </c>
      <c r="V953" s="28" t="s">
        <v>138</v>
      </c>
      <c r="W953" s="28" t="s">
        <v>138</v>
      </c>
      <c r="X953" s="31">
        <v>2007</v>
      </c>
      <c r="Y953" s="28" t="s">
        <v>138</v>
      </c>
      <c r="Z953" s="28" t="s">
        <v>138</v>
      </c>
      <c r="AA953" s="28" t="s">
        <v>138</v>
      </c>
      <c r="AB953" s="32" t="s">
        <v>138</v>
      </c>
      <c r="AC953" s="32" t="s">
        <v>138</v>
      </c>
      <c r="AD953" s="32" t="s">
        <v>138</v>
      </c>
      <c r="AE953" s="32" t="s">
        <v>138</v>
      </c>
      <c r="AF953" s="32" t="s">
        <v>138</v>
      </c>
      <c r="AG953" s="28" t="s">
        <v>138</v>
      </c>
      <c r="AH953" s="32" t="s">
        <v>138</v>
      </c>
      <c r="AI953" s="32" t="s">
        <v>138</v>
      </c>
      <c r="AJ953" s="32" t="s">
        <v>138</v>
      </c>
      <c r="AK953" s="28" t="s">
        <v>18746</v>
      </c>
      <c r="AL953" s="28" t="s">
        <v>18747</v>
      </c>
      <c r="AM953" s="28" t="s">
        <v>18748</v>
      </c>
      <c r="AN953" s="28" t="s">
        <v>18749</v>
      </c>
      <c r="AO953" s="28" t="s">
        <v>18750</v>
      </c>
      <c r="AP953" s="28" t="s">
        <v>1195</v>
      </c>
      <c r="AQ953" s="28" t="s">
        <v>18751</v>
      </c>
      <c r="AR953" s="28" t="s">
        <v>18752</v>
      </c>
      <c r="AS953" s="28" t="s">
        <v>1198</v>
      </c>
      <c r="AT953" s="28" t="s">
        <v>138</v>
      </c>
      <c r="AU953" s="28" t="s">
        <v>4513</v>
      </c>
      <c r="AV953" s="28" t="s">
        <v>1200</v>
      </c>
      <c r="AW953" s="28" t="s">
        <v>18750</v>
      </c>
      <c r="AX953" s="28" t="s">
        <v>18753</v>
      </c>
      <c r="AY953" s="28" t="s">
        <v>18754</v>
      </c>
      <c r="AZ953" s="28" t="s">
        <v>452</v>
      </c>
      <c r="BA953" s="28" t="s">
        <v>453</v>
      </c>
      <c r="BB953" s="28" t="s">
        <v>18755</v>
      </c>
      <c r="BC953" s="28" t="s">
        <v>8373</v>
      </c>
      <c r="BD953" s="33">
        <v>1</v>
      </c>
      <c r="BE953" s="28" t="s">
        <v>138</v>
      </c>
      <c r="BF953" s="28" t="s">
        <v>138</v>
      </c>
      <c r="BG953" s="28" t="s">
        <v>138</v>
      </c>
      <c r="BH953" s="28" t="s">
        <v>8374</v>
      </c>
      <c r="BI953" s="28" t="s">
        <v>138</v>
      </c>
      <c r="BJ953" s="28" t="s">
        <v>138</v>
      </c>
      <c r="BK953" s="28" t="s">
        <v>138</v>
      </c>
      <c r="BL953" s="28" t="s">
        <v>138</v>
      </c>
      <c r="BM953" s="34" t="s">
        <v>138</v>
      </c>
      <c r="BN953" s="29" t="s">
        <v>138</v>
      </c>
      <c r="BO953" s="28" t="s">
        <v>138</v>
      </c>
      <c r="BP953" s="29" t="s">
        <v>138</v>
      </c>
      <c r="BQ953" s="28" t="s">
        <v>138</v>
      </c>
      <c r="BR953" s="28" t="s">
        <v>205</v>
      </c>
      <c r="BS953" s="28" t="s">
        <v>138</v>
      </c>
      <c r="BT953" s="28" t="s">
        <v>138</v>
      </c>
      <c r="BU953" s="28" t="s">
        <v>174</v>
      </c>
      <c r="BV953" s="28" t="s">
        <v>138</v>
      </c>
      <c r="BW953" s="28" t="s">
        <v>138</v>
      </c>
      <c r="BX953" s="28" t="s">
        <v>138</v>
      </c>
      <c r="BY953" s="28" t="s">
        <v>175</v>
      </c>
      <c r="BZ953" s="34" t="s">
        <v>138</v>
      </c>
      <c r="CA953" s="29" t="s">
        <v>138</v>
      </c>
      <c r="CB953" s="28" t="s">
        <v>138</v>
      </c>
      <c r="CC953" s="29" t="s">
        <v>138</v>
      </c>
      <c r="CD953" s="28" t="s">
        <v>138</v>
      </c>
      <c r="CE953" s="28" t="s">
        <v>205</v>
      </c>
      <c r="CF953" s="28" t="s">
        <v>138</v>
      </c>
      <c r="CG953" s="28" t="s">
        <v>138</v>
      </c>
      <c r="CH953" s="28" t="s">
        <v>174</v>
      </c>
      <c r="CI953" s="28" t="s">
        <v>138</v>
      </c>
      <c r="CJ953" s="28" t="s">
        <v>138</v>
      </c>
      <c r="CK953" s="28" t="s">
        <v>138</v>
      </c>
      <c r="CL953" s="28" t="s">
        <v>175</v>
      </c>
      <c r="CM953" s="34" t="s">
        <v>138</v>
      </c>
      <c r="CN953" s="29" t="s">
        <v>138</v>
      </c>
      <c r="CO953" s="35">
        <v>-0.01</v>
      </c>
      <c r="CP953" s="36">
        <v>25</v>
      </c>
      <c r="CQ953" s="35">
        <v>0</v>
      </c>
      <c r="CR953" s="35">
        <v>0</v>
      </c>
      <c r="CS953" s="35">
        <v>0</v>
      </c>
      <c r="CT953" s="36">
        <v>23</v>
      </c>
      <c r="CU953" s="35">
        <v>-0.03</v>
      </c>
      <c r="CV953" s="36">
        <v>14</v>
      </c>
      <c r="CW953" s="35" t="s">
        <v>138</v>
      </c>
      <c r="CX953" s="36" t="s">
        <v>138</v>
      </c>
      <c r="CY953" s="35">
        <v>0</v>
      </c>
      <c r="CZ953" s="36">
        <v>25</v>
      </c>
      <c r="DA953" s="35">
        <v>0</v>
      </c>
      <c r="DB953" s="36">
        <v>22</v>
      </c>
      <c r="DC953" s="37">
        <v>1.17</v>
      </c>
      <c r="DD953" s="36">
        <v>55</v>
      </c>
      <c r="DE953" s="37">
        <v>0</v>
      </c>
      <c r="DF953" s="35">
        <v>-0.01</v>
      </c>
      <c r="DG953" s="37">
        <v>2.21</v>
      </c>
      <c r="DH953" s="36">
        <v>69</v>
      </c>
      <c r="DI953" s="37">
        <v>0.12</v>
      </c>
      <c r="DJ953" s="36">
        <v>16</v>
      </c>
      <c r="DK953" s="37" t="s">
        <v>138</v>
      </c>
      <c r="DL953" s="36" t="s">
        <v>138</v>
      </c>
      <c r="DM953" s="37">
        <v>2.21</v>
      </c>
      <c r="DN953" s="36">
        <v>68</v>
      </c>
      <c r="DO953" s="37">
        <v>0</v>
      </c>
      <c r="DP953" s="36">
        <v>1</v>
      </c>
      <c r="DQ953" s="36" t="s">
        <v>138</v>
      </c>
      <c r="DR953" s="38" t="s">
        <v>138</v>
      </c>
      <c r="DS953" s="35" t="s">
        <v>138</v>
      </c>
      <c r="DT953" s="36">
        <v>64</v>
      </c>
      <c r="DU953" s="38">
        <v>0</v>
      </c>
      <c r="DV953" s="35">
        <v>0</v>
      </c>
      <c r="DW953" s="36">
        <v>1</v>
      </c>
      <c r="DX953" s="39">
        <v>0</v>
      </c>
      <c r="DY953" s="35">
        <v>0</v>
      </c>
      <c r="DZ953" s="28" t="s">
        <v>178</v>
      </c>
      <c r="EA953" s="34">
        <v>43622</v>
      </c>
      <c r="EB953" s="29" t="s">
        <v>138</v>
      </c>
      <c r="EC953" s="34" t="s">
        <v>138</v>
      </c>
      <c r="ED953" s="28" t="s">
        <v>138</v>
      </c>
      <c r="EE953" s="40" t="str">
        <f>HYPERLINK("https://my.pitchbook.com?c=107198-38", "View company online")</f>
        <v>View company online</v>
      </c>
    </row>
    <row r="954" spans="1:135">
      <c r="A954" s="15" t="s">
        <v>18756</v>
      </c>
      <c r="B954" s="15" t="s">
        <v>18757</v>
      </c>
      <c r="C954" s="15" t="s">
        <v>138</v>
      </c>
      <c r="D954" s="15" t="s">
        <v>138</v>
      </c>
      <c r="E954" s="15" t="s">
        <v>18758</v>
      </c>
      <c r="F954" s="15" t="s">
        <v>18756</v>
      </c>
      <c r="G954" s="15" t="s">
        <v>18759</v>
      </c>
      <c r="H954" s="15" t="s">
        <v>238</v>
      </c>
      <c r="I954" s="15" t="s">
        <v>239</v>
      </c>
      <c r="J954" s="15" t="s">
        <v>1756</v>
      </c>
      <c r="K954" s="15" t="s">
        <v>18760</v>
      </c>
      <c r="L954" s="15" t="s">
        <v>138</v>
      </c>
      <c r="M954" s="15" t="s">
        <v>18761</v>
      </c>
      <c r="N954" s="15" t="s">
        <v>147</v>
      </c>
      <c r="O954" s="17">
        <v>148.5</v>
      </c>
      <c r="P954" s="15" t="s">
        <v>148</v>
      </c>
      <c r="Q954" s="15" t="s">
        <v>149</v>
      </c>
      <c r="R954" s="15" t="s">
        <v>174</v>
      </c>
      <c r="S954" s="15" t="s">
        <v>18762</v>
      </c>
      <c r="T954" s="18">
        <v>100</v>
      </c>
      <c r="U954" s="15" t="s">
        <v>18763</v>
      </c>
      <c r="V954" s="15" t="s">
        <v>138</v>
      </c>
      <c r="W954" s="15" t="s">
        <v>138</v>
      </c>
      <c r="X954" s="19">
        <v>2012</v>
      </c>
      <c r="Y954" s="15" t="s">
        <v>138</v>
      </c>
      <c r="Z954" s="15" t="s">
        <v>138</v>
      </c>
      <c r="AA954" s="15" t="s">
        <v>138</v>
      </c>
      <c r="AB954" s="20" t="s">
        <v>138</v>
      </c>
      <c r="AC954" s="20" t="s">
        <v>138</v>
      </c>
      <c r="AD954" s="20" t="s">
        <v>138</v>
      </c>
      <c r="AE954" s="20" t="s">
        <v>138</v>
      </c>
      <c r="AF954" s="20" t="s">
        <v>138</v>
      </c>
      <c r="AG954" s="15" t="s">
        <v>138</v>
      </c>
      <c r="AH954" s="20" t="s">
        <v>138</v>
      </c>
      <c r="AI954" s="20" t="s">
        <v>138</v>
      </c>
      <c r="AJ954" s="20" t="s">
        <v>138</v>
      </c>
      <c r="AK954" s="15" t="s">
        <v>18764</v>
      </c>
      <c r="AL954" s="15" t="s">
        <v>18765</v>
      </c>
      <c r="AM954" s="15" t="s">
        <v>422</v>
      </c>
      <c r="AN954" s="15" t="s">
        <v>18766</v>
      </c>
      <c r="AO954" s="15" t="s">
        <v>138</v>
      </c>
      <c r="AP954" s="15" t="s">
        <v>665</v>
      </c>
      <c r="AQ954" s="15" t="s">
        <v>13486</v>
      </c>
      <c r="AR954" s="15" t="s">
        <v>618</v>
      </c>
      <c r="AS954" s="15" t="s">
        <v>668</v>
      </c>
      <c r="AT954" s="15" t="s">
        <v>200</v>
      </c>
      <c r="AU954" s="15" t="s">
        <v>691</v>
      </c>
      <c r="AV954" s="15" t="s">
        <v>162</v>
      </c>
      <c r="AW954" s="15" t="s">
        <v>138</v>
      </c>
      <c r="AX954" s="15" t="s">
        <v>138</v>
      </c>
      <c r="AY954" s="15" t="s">
        <v>18767</v>
      </c>
      <c r="AZ954" s="15" t="s">
        <v>164</v>
      </c>
      <c r="BA954" s="15" t="s">
        <v>165</v>
      </c>
      <c r="BB954" s="15" t="s">
        <v>18768</v>
      </c>
      <c r="BC954" s="15" t="s">
        <v>18769</v>
      </c>
      <c r="BD954" s="21">
        <v>26</v>
      </c>
      <c r="BE954" s="15" t="s">
        <v>138</v>
      </c>
      <c r="BF954" s="15" t="s">
        <v>138</v>
      </c>
      <c r="BG954" s="15" t="s">
        <v>138</v>
      </c>
      <c r="BH954" s="15" t="s">
        <v>18770</v>
      </c>
      <c r="BI954" s="15" t="s">
        <v>138</v>
      </c>
      <c r="BJ954" s="15" t="s">
        <v>138</v>
      </c>
      <c r="BK954" s="15" t="s">
        <v>2936</v>
      </c>
      <c r="BL954" s="15" t="s">
        <v>2936</v>
      </c>
      <c r="BM954" s="22" t="s">
        <v>138</v>
      </c>
      <c r="BN954" s="17">
        <v>9.5</v>
      </c>
      <c r="BO954" s="15" t="s">
        <v>172</v>
      </c>
      <c r="BP954" s="17">
        <v>21.75</v>
      </c>
      <c r="BQ954" s="15" t="s">
        <v>172</v>
      </c>
      <c r="BR954" s="15" t="s">
        <v>234</v>
      </c>
      <c r="BS954" s="15" t="s">
        <v>234</v>
      </c>
      <c r="BT954" s="15" t="s">
        <v>138</v>
      </c>
      <c r="BU954" s="15" t="s">
        <v>174</v>
      </c>
      <c r="BV954" s="15" t="s">
        <v>138</v>
      </c>
      <c r="BW954" s="15" t="s">
        <v>138</v>
      </c>
      <c r="BX954" s="15" t="s">
        <v>138</v>
      </c>
      <c r="BY954" s="15" t="s">
        <v>175</v>
      </c>
      <c r="BZ954" s="22">
        <v>42481</v>
      </c>
      <c r="CA954" s="17">
        <v>50</v>
      </c>
      <c r="CB954" s="15" t="s">
        <v>172</v>
      </c>
      <c r="CC954" s="17">
        <v>600</v>
      </c>
      <c r="CD954" s="15" t="s">
        <v>172</v>
      </c>
      <c r="CE954" s="15" t="s">
        <v>173</v>
      </c>
      <c r="CF954" s="15" t="s">
        <v>317</v>
      </c>
      <c r="CG954" s="15" t="s">
        <v>138</v>
      </c>
      <c r="CH954" s="15" t="s">
        <v>174</v>
      </c>
      <c r="CI954" s="15" t="s">
        <v>138</v>
      </c>
      <c r="CJ954" s="15" t="s">
        <v>138</v>
      </c>
      <c r="CK954" s="15" t="s">
        <v>138</v>
      </c>
      <c r="CL954" s="15" t="s">
        <v>175</v>
      </c>
      <c r="CM954" s="22" t="s">
        <v>138</v>
      </c>
      <c r="CN954" s="17" t="s">
        <v>138</v>
      </c>
      <c r="CO954" s="23">
        <v>0.01</v>
      </c>
      <c r="CP954" s="24">
        <v>84</v>
      </c>
      <c r="CQ954" s="23">
        <v>0</v>
      </c>
      <c r="CR954" s="23">
        <v>-8.02</v>
      </c>
      <c r="CS954" s="23">
        <v>-0.11</v>
      </c>
      <c r="CT954" s="24">
        <v>22</v>
      </c>
      <c r="CU954" s="23">
        <v>0.14000000000000001</v>
      </c>
      <c r="CV954" s="24">
        <v>74</v>
      </c>
      <c r="CW954" s="23">
        <v>0.66</v>
      </c>
      <c r="CX954" s="24">
        <v>83</v>
      </c>
      <c r="CY954" s="23">
        <v>-0.89</v>
      </c>
      <c r="CZ954" s="24">
        <v>20</v>
      </c>
      <c r="DA954" s="23">
        <v>0.02</v>
      </c>
      <c r="DB954" s="24">
        <v>58</v>
      </c>
      <c r="DC954" s="25">
        <v>11095.22</v>
      </c>
      <c r="DD954" s="24">
        <v>100</v>
      </c>
      <c r="DE954" s="25">
        <v>-1183.32</v>
      </c>
      <c r="DF954" s="23">
        <v>-9.64</v>
      </c>
      <c r="DG954" s="25">
        <v>18759.43</v>
      </c>
      <c r="DH954" s="24">
        <v>100</v>
      </c>
      <c r="DI954" s="25">
        <v>3431.02</v>
      </c>
      <c r="DJ954" s="24">
        <v>100</v>
      </c>
      <c r="DK954" s="25">
        <v>37194.17</v>
      </c>
      <c r="DL954" s="24">
        <v>100</v>
      </c>
      <c r="DM954" s="25">
        <v>324.69</v>
      </c>
      <c r="DN954" s="24">
        <v>100</v>
      </c>
      <c r="DO954" s="25">
        <v>6427.51</v>
      </c>
      <c r="DP954" s="24">
        <v>100</v>
      </c>
      <c r="DQ954" s="24">
        <v>12689884</v>
      </c>
      <c r="DR954" s="26">
        <v>203151</v>
      </c>
      <c r="DS954" s="23">
        <v>1.63</v>
      </c>
      <c r="DT954" s="24">
        <v>9387</v>
      </c>
      <c r="DU954" s="26">
        <v>41</v>
      </c>
      <c r="DV954" s="23">
        <v>0.44</v>
      </c>
      <c r="DW954" s="24">
        <v>2300933</v>
      </c>
      <c r="DX954" s="27">
        <v>428</v>
      </c>
      <c r="DY954" s="23">
        <v>0.02</v>
      </c>
      <c r="DZ954" s="15" t="s">
        <v>178</v>
      </c>
      <c r="EA954" s="22">
        <v>43572</v>
      </c>
      <c r="EB954" s="17">
        <v>600</v>
      </c>
      <c r="EC954" s="22">
        <v>42481</v>
      </c>
      <c r="ED954" s="15" t="s">
        <v>173</v>
      </c>
      <c r="EE954" s="14" t="str">
        <f>HYPERLINK("https://my.pitchbook.com?c=97833-25", "View company online")</f>
        <v>View company online</v>
      </c>
    </row>
    <row r="955" spans="1:135">
      <c r="A955" s="28" t="s">
        <v>18771</v>
      </c>
      <c r="B955" s="28" t="s">
        <v>18772</v>
      </c>
      <c r="C955" s="28" t="s">
        <v>138</v>
      </c>
      <c r="D955" s="28" t="s">
        <v>138</v>
      </c>
      <c r="E955" s="28" t="s">
        <v>138</v>
      </c>
      <c r="F955" s="28" t="s">
        <v>18771</v>
      </c>
      <c r="G955" s="28" t="s">
        <v>18773</v>
      </c>
      <c r="H955" s="28" t="s">
        <v>183</v>
      </c>
      <c r="I955" s="28" t="s">
        <v>3466</v>
      </c>
      <c r="J955" s="28" t="s">
        <v>3467</v>
      </c>
      <c r="K955" s="28" t="s">
        <v>18774</v>
      </c>
      <c r="L955" s="28" t="s">
        <v>17569</v>
      </c>
      <c r="M955" s="28" t="s">
        <v>18775</v>
      </c>
      <c r="N955" s="28" t="s">
        <v>147</v>
      </c>
      <c r="O955" s="29">
        <v>2.0099999999999998</v>
      </c>
      <c r="P955" s="28" t="s">
        <v>148</v>
      </c>
      <c r="Q955" s="28" t="s">
        <v>149</v>
      </c>
      <c r="R955" s="28" t="s">
        <v>174</v>
      </c>
      <c r="S955" s="28" t="s">
        <v>18776</v>
      </c>
      <c r="T955" s="30">
        <v>60</v>
      </c>
      <c r="U955" s="28" t="s">
        <v>15040</v>
      </c>
      <c r="V955" s="28" t="s">
        <v>138</v>
      </c>
      <c r="W955" s="28" t="s">
        <v>138</v>
      </c>
      <c r="X955" s="31">
        <v>2014</v>
      </c>
      <c r="Y955" s="28" t="s">
        <v>138</v>
      </c>
      <c r="Z955" s="28" t="s">
        <v>138</v>
      </c>
      <c r="AA955" s="28" t="s">
        <v>138</v>
      </c>
      <c r="AB955" s="32" t="s">
        <v>138</v>
      </c>
      <c r="AC955" s="32" t="s">
        <v>138</v>
      </c>
      <c r="AD955" s="32" t="s">
        <v>138</v>
      </c>
      <c r="AE955" s="32" t="s">
        <v>138</v>
      </c>
      <c r="AF955" s="32" t="s">
        <v>138</v>
      </c>
      <c r="AG955" s="28" t="s">
        <v>138</v>
      </c>
      <c r="AH955" s="32" t="s">
        <v>138</v>
      </c>
      <c r="AI955" s="32" t="s">
        <v>138</v>
      </c>
      <c r="AJ955" s="32" t="s">
        <v>138</v>
      </c>
      <c r="AK955" s="28" t="s">
        <v>18777</v>
      </c>
      <c r="AL955" s="28" t="s">
        <v>18778</v>
      </c>
      <c r="AM955" s="28" t="s">
        <v>18779</v>
      </c>
      <c r="AN955" s="28" t="s">
        <v>18780</v>
      </c>
      <c r="AO955" s="28" t="s">
        <v>138</v>
      </c>
      <c r="AP955" s="28" t="s">
        <v>1195</v>
      </c>
      <c r="AQ955" s="28" t="s">
        <v>18781</v>
      </c>
      <c r="AR955" s="28" t="s">
        <v>18782</v>
      </c>
      <c r="AS955" s="28" t="s">
        <v>1198</v>
      </c>
      <c r="AT955" s="28" t="s">
        <v>138</v>
      </c>
      <c r="AU955" s="28" t="s">
        <v>18783</v>
      </c>
      <c r="AV955" s="28" t="s">
        <v>1200</v>
      </c>
      <c r="AW955" s="28" t="s">
        <v>138</v>
      </c>
      <c r="AX955" s="28" t="s">
        <v>138</v>
      </c>
      <c r="AY955" s="28" t="s">
        <v>18784</v>
      </c>
      <c r="AZ955" s="28" t="s">
        <v>452</v>
      </c>
      <c r="BA955" s="28" t="s">
        <v>453</v>
      </c>
      <c r="BB955" s="28" t="s">
        <v>18785</v>
      </c>
      <c r="BC955" s="28" t="s">
        <v>18786</v>
      </c>
      <c r="BD955" s="33">
        <v>2</v>
      </c>
      <c r="BE955" s="28" t="s">
        <v>138</v>
      </c>
      <c r="BF955" s="28" t="s">
        <v>138</v>
      </c>
      <c r="BG955" s="28" t="s">
        <v>138</v>
      </c>
      <c r="BH955" s="28" t="s">
        <v>18787</v>
      </c>
      <c r="BI955" s="28" t="s">
        <v>138</v>
      </c>
      <c r="BJ955" s="28" t="s">
        <v>138</v>
      </c>
      <c r="BK955" s="28" t="s">
        <v>138</v>
      </c>
      <c r="BL955" s="28" t="s">
        <v>138</v>
      </c>
      <c r="BM955" s="34">
        <v>42212</v>
      </c>
      <c r="BN955" s="29">
        <v>2.0099999999999998</v>
      </c>
      <c r="BO955" s="28" t="s">
        <v>172</v>
      </c>
      <c r="BP955" s="29" t="s">
        <v>138</v>
      </c>
      <c r="BQ955" s="28" t="s">
        <v>138</v>
      </c>
      <c r="BR955" s="28" t="s">
        <v>205</v>
      </c>
      <c r="BS955" s="28" t="s">
        <v>138</v>
      </c>
      <c r="BT955" s="28" t="s">
        <v>138</v>
      </c>
      <c r="BU955" s="28" t="s">
        <v>174</v>
      </c>
      <c r="BV955" s="28" t="s">
        <v>138</v>
      </c>
      <c r="BW955" s="28" t="s">
        <v>138</v>
      </c>
      <c r="BX955" s="28" t="s">
        <v>138</v>
      </c>
      <c r="BY955" s="28" t="s">
        <v>175</v>
      </c>
      <c r="BZ955" s="34">
        <v>42856</v>
      </c>
      <c r="CA955" s="29" t="s">
        <v>138</v>
      </c>
      <c r="CB955" s="28" t="s">
        <v>138</v>
      </c>
      <c r="CC955" s="29" t="s">
        <v>138</v>
      </c>
      <c r="CD955" s="28" t="s">
        <v>138</v>
      </c>
      <c r="CE955" s="28" t="s">
        <v>173</v>
      </c>
      <c r="CF955" s="28" t="s">
        <v>317</v>
      </c>
      <c r="CG955" s="28" t="s">
        <v>138</v>
      </c>
      <c r="CH955" s="28" t="s">
        <v>174</v>
      </c>
      <c r="CI955" s="28" t="s">
        <v>138</v>
      </c>
      <c r="CJ955" s="28" t="s">
        <v>138</v>
      </c>
      <c r="CK955" s="28" t="s">
        <v>138</v>
      </c>
      <c r="CL955" s="28" t="s">
        <v>175</v>
      </c>
      <c r="CM955" s="34" t="s">
        <v>138</v>
      </c>
      <c r="CN955" s="29" t="s">
        <v>138</v>
      </c>
      <c r="CO955" s="35">
        <v>2.74</v>
      </c>
      <c r="CP955" s="36">
        <v>99</v>
      </c>
      <c r="CQ955" s="35">
        <v>0</v>
      </c>
      <c r="CR955" s="35">
        <v>7.0000000000000007E-2</v>
      </c>
      <c r="CS955" s="35">
        <v>5.26</v>
      </c>
      <c r="CT955" s="36">
        <v>100</v>
      </c>
      <c r="CU955" s="35">
        <v>0.21</v>
      </c>
      <c r="CV955" s="36">
        <v>81</v>
      </c>
      <c r="CW955" s="35">
        <v>5.26</v>
      </c>
      <c r="CX955" s="36">
        <v>96</v>
      </c>
      <c r="CY955" s="35" t="s">
        <v>138</v>
      </c>
      <c r="CZ955" s="36" t="s">
        <v>138</v>
      </c>
      <c r="DA955" s="35">
        <v>0.43</v>
      </c>
      <c r="DB955" s="36">
        <v>93</v>
      </c>
      <c r="DC955" s="37">
        <v>37.28</v>
      </c>
      <c r="DD955" s="36">
        <v>97</v>
      </c>
      <c r="DE955" s="37">
        <v>-2.79</v>
      </c>
      <c r="DF955" s="35">
        <v>-6.96</v>
      </c>
      <c r="DG955" s="37">
        <v>43.63</v>
      </c>
      <c r="DH955" s="36">
        <v>98</v>
      </c>
      <c r="DI955" s="37">
        <v>30.92</v>
      </c>
      <c r="DJ955" s="36">
        <v>93</v>
      </c>
      <c r="DK955" s="37">
        <v>43.63</v>
      </c>
      <c r="DL955" s="36">
        <v>95</v>
      </c>
      <c r="DM955" s="37" t="s">
        <v>138</v>
      </c>
      <c r="DN955" s="36" t="s">
        <v>138</v>
      </c>
      <c r="DO955" s="37">
        <v>11.14</v>
      </c>
      <c r="DP955" s="36">
        <v>88</v>
      </c>
      <c r="DQ955" s="36">
        <v>14509</v>
      </c>
      <c r="DR955" s="38">
        <v>1366</v>
      </c>
      <c r="DS955" s="35">
        <v>10.39</v>
      </c>
      <c r="DT955" s="36" t="s">
        <v>138</v>
      </c>
      <c r="DU955" s="38" t="s">
        <v>138</v>
      </c>
      <c r="DV955" s="35" t="s">
        <v>138</v>
      </c>
      <c r="DW955" s="36">
        <v>3982</v>
      </c>
      <c r="DX955" s="39">
        <v>18</v>
      </c>
      <c r="DY955" s="35">
        <v>0.45</v>
      </c>
      <c r="DZ955" s="28" t="s">
        <v>178</v>
      </c>
      <c r="EA955" s="34">
        <v>43351</v>
      </c>
      <c r="EB955" s="29" t="s">
        <v>138</v>
      </c>
      <c r="EC955" s="34" t="s">
        <v>138</v>
      </c>
      <c r="ED955" s="28" t="s">
        <v>138</v>
      </c>
      <c r="EE955" s="40" t="str">
        <f>HYPERLINK("https://my.pitchbook.com?c=121684-15", "View company online")</f>
        <v>View company online</v>
      </c>
    </row>
    <row r="956" spans="1:135">
      <c r="A956" s="15" t="s">
        <v>18788</v>
      </c>
      <c r="B956" s="15" t="s">
        <v>18789</v>
      </c>
      <c r="C956" s="15" t="s">
        <v>138</v>
      </c>
      <c r="D956" s="15" t="s">
        <v>138</v>
      </c>
      <c r="E956" s="15" t="s">
        <v>18790</v>
      </c>
      <c r="F956" s="15" t="s">
        <v>18788</v>
      </c>
      <c r="G956" s="15" t="s">
        <v>18791</v>
      </c>
      <c r="H956" s="15" t="s">
        <v>141</v>
      </c>
      <c r="I956" s="15" t="s">
        <v>212</v>
      </c>
      <c r="J956" s="15" t="s">
        <v>213</v>
      </c>
      <c r="K956" s="15" t="s">
        <v>3073</v>
      </c>
      <c r="L956" s="15" t="s">
        <v>215</v>
      </c>
      <c r="M956" s="15" t="s">
        <v>18792</v>
      </c>
      <c r="N956" s="15" t="s">
        <v>147</v>
      </c>
      <c r="O956" s="17">
        <v>43.53</v>
      </c>
      <c r="P956" s="15" t="s">
        <v>148</v>
      </c>
      <c r="Q956" s="15" t="s">
        <v>149</v>
      </c>
      <c r="R956" s="15" t="s">
        <v>174</v>
      </c>
      <c r="S956" s="15" t="s">
        <v>18793</v>
      </c>
      <c r="T956" s="18">
        <v>89</v>
      </c>
      <c r="U956" s="15" t="s">
        <v>18794</v>
      </c>
      <c r="V956" s="15" t="s">
        <v>138</v>
      </c>
      <c r="W956" s="15" t="s">
        <v>138</v>
      </c>
      <c r="X956" s="19">
        <v>2007</v>
      </c>
      <c r="Y956" s="15" t="s">
        <v>138</v>
      </c>
      <c r="Z956" s="15" t="s">
        <v>138</v>
      </c>
      <c r="AA956" s="15" t="s">
        <v>138</v>
      </c>
      <c r="AB956" s="20" t="s">
        <v>138</v>
      </c>
      <c r="AC956" s="20" t="s">
        <v>138</v>
      </c>
      <c r="AD956" s="20" t="s">
        <v>138</v>
      </c>
      <c r="AE956" s="20" t="s">
        <v>138</v>
      </c>
      <c r="AF956" s="20" t="s">
        <v>138</v>
      </c>
      <c r="AG956" s="15" t="s">
        <v>138</v>
      </c>
      <c r="AH956" s="20" t="s">
        <v>138</v>
      </c>
      <c r="AI956" s="20" t="s">
        <v>138</v>
      </c>
      <c r="AJ956" s="20" t="s">
        <v>138</v>
      </c>
      <c r="AK956" s="15" t="s">
        <v>18795</v>
      </c>
      <c r="AL956" s="15" t="s">
        <v>18796</v>
      </c>
      <c r="AM956" s="15" t="s">
        <v>6526</v>
      </c>
      <c r="AN956" s="15" t="s">
        <v>18797</v>
      </c>
      <c r="AO956" s="15" t="s">
        <v>18798</v>
      </c>
      <c r="AP956" s="15" t="s">
        <v>423</v>
      </c>
      <c r="AQ956" s="15" t="s">
        <v>18799</v>
      </c>
      <c r="AR956" s="15" t="s">
        <v>5012</v>
      </c>
      <c r="AS956" s="15" t="s">
        <v>426</v>
      </c>
      <c r="AT956" s="15" t="s">
        <v>426</v>
      </c>
      <c r="AU956" s="15" t="s">
        <v>619</v>
      </c>
      <c r="AV956" s="15" t="s">
        <v>162</v>
      </c>
      <c r="AW956" s="15" t="s">
        <v>18798</v>
      </c>
      <c r="AX956" s="15" t="s">
        <v>138</v>
      </c>
      <c r="AY956" s="15" t="s">
        <v>18800</v>
      </c>
      <c r="AZ956" s="15" t="s">
        <v>164</v>
      </c>
      <c r="BA956" s="15" t="s">
        <v>165</v>
      </c>
      <c r="BB956" s="15" t="s">
        <v>18801</v>
      </c>
      <c r="BC956" s="15" t="s">
        <v>18802</v>
      </c>
      <c r="BD956" s="21">
        <v>8</v>
      </c>
      <c r="BE956" s="15" t="s">
        <v>138</v>
      </c>
      <c r="BF956" s="15" t="s">
        <v>138</v>
      </c>
      <c r="BG956" s="15" t="s">
        <v>138</v>
      </c>
      <c r="BH956" s="15" t="s">
        <v>18803</v>
      </c>
      <c r="BI956" s="15" t="s">
        <v>138</v>
      </c>
      <c r="BJ956" s="15" t="s">
        <v>138</v>
      </c>
      <c r="BK956" s="15" t="s">
        <v>18804</v>
      </c>
      <c r="BL956" s="15" t="s">
        <v>18805</v>
      </c>
      <c r="BM956" s="22">
        <v>39647</v>
      </c>
      <c r="BN956" s="17" t="s">
        <v>138</v>
      </c>
      <c r="BO956" s="15" t="s">
        <v>138</v>
      </c>
      <c r="BP956" s="17" t="s">
        <v>138</v>
      </c>
      <c r="BQ956" s="15" t="s">
        <v>138</v>
      </c>
      <c r="BR956" s="15" t="s">
        <v>7613</v>
      </c>
      <c r="BS956" s="15" t="s">
        <v>138</v>
      </c>
      <c r="BT956" s="15" t="s">
        <v>138</v>
      </c>
      <c r="BU956" s="15" t="s">
        <v>7614</v>
      </c>
      <c r="BV956" s="15" t="s">
        <v>138</v>
      </c>
      <c r="BW956" s="15" t="s">
        <v>138</v>
      </c>
      <c r="BX956" s="15" t="s">
        <v>138</v>
      </c>
      <c r="BY956" s="15" t="s">
        <v>1831</v>
      </c>
      <c r="BZ956" s="22">
        <v>43374</v>
      </c>
      <c r="CA956" s="17">
        <v>7.9</v>
      </c>
      <c r="CB956" s="15" t="s">
        <v>172</v>
      </c>
      <c r="CC956" s="17" t="s">
        <v>138</v>
      </c>
      <c r="CD956" s="15" t="s">
        <v>138</v>
      </c>
      <c r="CE956" s="15" t="s">
        <v>173</v>
      </c>
      <c r="CF956" s="15" t="s">
        <v>138</v>
      </c>
      <c r="CG956" s="15" t="s">
        <v>138</v>
      </c>
      <c r="CH956" s="15" t="s">
        <v>174</v>
      </c>
      <c r="CI956" s="15" t="s">
        <v>138</v>
      </c>
      <c r="CJ956" s="15" t="s">
        <v>138</v>
      </c>
      <c r="CK956" s="15" t="s">
        <v>138</v>
      </c>
      <c r="CL956" s="15" t="s">
        <v>175</v>
      </c>
      <c r="CM956" s="22" t="s">
        <v>138</v>
      </c>
      <c r="CN956" s="17" t="s">
        <v>138</v>
      </c>
      <c r="CO956" s="23">
        <v>-0.45</v>
      </c>
      <c r="CP956" s="24">
        <v>17</v>
      </c>
      <c r="CQ956" s="23">
        <v>0.04</v>
      </c>
      <c r="CR956" s="23">
        <v>7.7</v>
      </c>
      <c r="CS956" s="23">
        <v>-0.86</v>
      </c>
      <c r="CT956" s="24">
        <v>16</v>
      </c>
      <c r="CU956" s="23">
        <v>-0.04</v>
      </c>
      <c r="CV956" s="24">
        <v>12</v>
      </c>
      <c r="CW956" s="23">
        <v>0.14000000000000001</v>
      </c>
      <c r="CX956" s="24">
        <v>81</v>
      </c>
      <c r="CY956" s="23">
        <v>-1.86</v>
      </c>
      <c r="CZ956" s="24">
        <v>12</v>
      </c>
      <c r="DA956" s="23">
        <v>-0.04</v>
      </c>
      <c r="DB956" s="24">
        <v>15</v>
      </c>
      <c r="DC956" s="25">
        <v>2.2999999999999998</v>
      </c>
      <c r="DD956" s="24">
        <v>70</v>
      </c>
      <c r="DE956" s="25">
        <v>-0.1</v>
      </c>
      <c r="DF956" s="23">
        <v>-4.24</v>
      </c>
      <c r="DG956" s="25">
        <v>3.72</v>
      </c>
      <c r="DH956" s="24">
        <v>78</v>
      </c>
      <c r="DI956" s="25">
        <v>0.89</v>
      </c>
      <c r="DJ956" s="24">
        <v>47</v>
      </c>
      <c r="DK956" s="25">
        <v>3.03</v>
      </c>
      <c r="DL956" s="24">
        <v>72</v>
      </c>
      <c r="DM956" s="25">
        <v>4.41</v>
      </c>
      <c r="DN956" s="24">
        <v>80</v>
      </c>
      <c r="DO956" s="25">
        <v>0.89</v>
      </c>
      <c r="DP956" s="24">
        <v>48</v>
      </c>
      <c r="DQ956" s="24">
        <v>990</v>
      </c>
      <c r="DR956" s="26">
        <v>150</v>
      </c>
      <c r="DS956" s="23">
        <v>17.86</v>
      </c>
      <c r="DT956" s="24">
        <v>128</v>
      </c>
      <c r="DU956" s="26">
        <v>0</v>
      </c>
      <c r="DV956" s="23">
        <v>0</v>
      </c>
      <c r="DW956" s="24">
        <v>316</v>
      </c>
      <c r="DX956" s="27">
        <v>0</v>
      </c>
      <c r="DY956" s="23">
        <v>0</v>
      </c>
      <c r="DZ956" s="15" t="s">
        <v>178</v>
      </c>
      <c r="EA956" s="22">
        <v>43622</v>
      </c>
      <c r="EB956" s="17">
        <v>30.7</v>
      </c>
      <c r="EC956" s="22">
        <v>41893</v>
      </c>
      <c r="ED956" s="15" t="s">
        <v>173</v>
      </c>
      <c r="EE956" s="14" t="str">
        <f>HYPERLINK("https://my.pitchbook.com?c=41647-06", "View company online")</f>
        <v>View company online</v>
      </c>
    </row>
    <row r="957" spans="1:135">
      <c r="A957" s="28" t="s">
        <v>18806</v>
      </c>
      <c r="B957" s="28" t="s">
        <v>18807</v>
      </c>
      <c r="C957" s="28" t="s">
        <v>138</v>
      </c>
      <c r="D957" s="28" t="s">
        <v>138</v>
      </c>
      <c r="E957" s="28" t="s">
        <v>18808</v>
      </c>
      <c r="F957" s="28" t="s">
        <v>18806</v>
      </c>
      <c r="G957" s="28" t="s">
        <v>18809</v>
      </c>
      <c r="H957" s="28" t="s">
        <v>141</v>
      </c>
      <c r="I957" s="28" t="s">
        <v>212</v>
      </c>
      <c r="J957" s="28" t="s">
        <v>213</v>
      </c>
      <c r="K957" s="28" t="s">
        <v>1064</v>
      </c>
      <c r="L957" s="28" t="s">
        <v>18810</v>
      </c>
      <c r="M957" s="28" t="s">
        <v>18811</v>
      </c>
      <c r="N957" s="28" t="s">
        <v>1452</v>
      </c>
      <c r="O957" s="29">
        <v>447.92</v>
      </c>
      <c r="P957" s="28" t="s">
        <v>812</v>
      </c>
      <c r="Q957" s="28" t="s">
        <v>149</v>
      </c>
      <c r="R957" s="28" t="s">
        <v>1652</v>
      </c>
      <c r="S957" s="28" t="s">
        <v>18812</v>
      </c>
      <c r="T957" s="30">
        <v>750</v>
      </c>
      <c r="U957" s="28" t="s">
        <v>18813</v>
      </c>
      <c r="V957" s="28" t="s">
        <v>138</v>
      </c>
      <c r="W957" s="28" t="s">
        <v>138</v>
      </c>
      <c r="X957" s="31">
        <v>2007</v>
      </c>
      <c r="Y957" s="28" t="s">
        <v>138</v>
      </c>
      <c r="Z957" s="28" t="s">
        <v>138</v>
      </c>
      <c r="AA957" s="28" t="s">
        <v>138</v>
      </c>
      <c r="AB957" s="32">
        <v>600</v>
      </c>
      <c r="AC957" s="32" t="s">
        <v>138</v>
      </c>
      <c r="AD957" s="32" t="s">
        <v>138</v>
      </c>
      <c r="AE957" s="32" t="s">
        <v>138</v>
      </c>
      <c r="AF957" s="32" t="s">
        <v>138</v>
      </c>
      <c r="AG957" s="28" t="s">
        <v>419</v>
      </c>
      <c r="AH957" s="32" t="s">
        <v>138</v>
      </c>
      <c r="AI957" s="32" t="s">
        <v>138</v>
      </c>
      <c r="AJ957" s="32" t="s">
        <v>138</v>
      </c>
      <c r="AK957" s="28" t="s">
        <v>18814</v>
      </c>
      <c r="AL957" s="28" t="s">
        <v>18815</v>
      </c>
      <c r="AM957" s="28" t="s">
        <v>18816</v>
      </c>
      <c r="AN957" s="28" t="s">
        <v>18817</v>
      </c>
      <c r="AO957" s="28" t="s">
        <v>18818</v>
      </c>
      <c r="AP957" s="28" t="s">
        <v>423</v>
      </c>
      <c r="AQ957" s="28" t="s">
        <v>18819</v>
      </c>
      <c r="AR957" s="28" t="s">
        <v>18820</v>
      </c>
      <c r="AS957" s="28" t="s">
        <v>426</v>
      </c>
      <c r="AT957" s="28" t="s">
        <v>426</v>
      </c>
      <c r="AU957" s="28" t="s">
        <v>12267</v>
      </c>
      <c r="AV957" s="28" t="s">
        <v>162</v>
      </c>
      <c r="AW957" s="28" t="s">
        <v>18818</v>
      </c>
      <c r="AX957" s="28" t="s">
        <v>138</v>
      </c>
      <c r="AY957" s="28" t="s">
        <v>18821</v>
      </c>
      <c r="AZ957" s="28" t="s">
        <v>164</v>
      </c>
      <c r="BA957" s="28" t="s">
        <v>165</v>
      </c>
      <c r="BB957" s="28" t="s">
        <v>18822</v>
      </c>
      <c r="BC957" s="28" t="s">
        <v>18823</v>
      </c>
      <c r="BD957" s="33">
        <v>19</v>
      </c>
      <c r="BE957" s="28" t="s">
        <v>138</v>
      </c>
      <c r="BF957" s="28" t="s">
        <v>138</v>
      </c>
      <c r="BG957" s="28" t="s">
        <v>138</v>
      </c>
      <c r="BH957" s="28" t="s">
        <v>18824</v>
      </c>
      <c r="BI957" s="28" t="s">
        <v>138</v>
      </c>
      <c r="BJ957" s="28" t="s">
        <v>138</v>
      </c>
      <c r="BK957" s="28" t="s">
        <v>18825</v>
      </c>
      <c r="BL957" s="28" t="s">
        <v>18826</v>
      </c>
      <c r="BM957" s="34">
        <v>39508</v>
      </c>
      <c r="BN957" s="29">
        <v>1.94</v>
      </c>
      <c r="BO957" s="28" t="s">
        <v>172</v>
      </c>
      <c r="BP957" s="29" t="s">
        <v>138</v>
      </c>
      <c r="BQ957" s="28" t="s">
        <v>138</v>
      </c>
      <c r="BR957" s="28" t="s">
        <v>205</v>
      </c>
      <c r="BS957" s="28" t="s">
        <v>206</v>
      </c>
      <c r="BT957" s="28" t="s">
        <v>138</v>
      </c>
      <c r="BU957" s="28" t="s">
        <v>174</v>
      </c>
      <c r="BV957" s="28" t="s">
        <v>138</v>
      </c>
      <c r="BW957" s="28" t="s">
        <v>138</v>
      </c>
      <c r="BX957" s="28" t="s">
        <v>138</v>
      </c>
      <c r="BY957" s="28" t="s">
        <v>175</v>
      </c>
      <c r="BZ957" s="34">
        <v>43291</v>
      </c>
      <c r="CA957" s="29">
        <v>225</v>
      </c>
      <c r="CB957" s="28" t="s">
        <v>172</v>
      </c>
      <c r="CC957" s="29">
        <v>1000</v>
      </c>
      <c r="CD957" s="28" t="s">
        <v>1178</v>
      </c>
      <c r="CE957" s="28" t="s">
        <v>1673</v>
      </c>
      <c r="CF957" s="28" t="s">
        <v>7167</v>
      </c>
      <c r="CG957" s="28" t="s">
        <v>138</v>
      </c>
      <c r="CH957" s="28" t="s">
        <v>351</v>
      </c>
      <c r="CI957" s="28" t="s">
        <v>1328</v>
      </c>
      <c r="CJ957" s="28" t="s">
        <v>138</v>
      </c>
      <c r="CK957" s="28" t="s">
        <v>138</v>
      </c>
      <c r="CL957" s="28" t="s">
        <v>175</v>
      </c>
      <c r="CM957" s="34">
        <v>43291</v>
      </c>
      <c r="CN957" s="29" t="s">
        <v>138</v>
      </c>
      <c r="CO957" s="35">
        <v>0.02</v>
      </c>
      <c r="CP957" s="36">
        <v>85</v>
      </c>
      <c r="CQ957" s="35">
        <v>0</v>
      </c>
      <c r="CR957" s="35">
        <v>-20.11</v>
      </c>
      <c r="CS957" s="35">
        <v>0.05</v>
      </c>
      <c r="CT957" s="36">
        <v>94</v>
      </c>
      <c r="CU957" s="35">
        <v>0.01</v>
      </c>
      <c r="CV957" s="36">
        <v>49</v>
      </c>
      <c r="CW957" s="35">
        <v>1.57</v>
      </c>
      <c r="CX957" s="36">
        <v>87</v>
      </c>
      <c r="CY957" s="35">
        <v>-1.47</v>
      </c>
      <c r="CZ957" s="36">
        <v>15</v>
      </c>
      <c r="DA957" s="35">
        <v>0.03</v>
      </c>
      <c r="DB957" s="36">
        <v>60</v>
      </c>
      <c r="DC957" s="37">
        <v>58.49</v>
      </c>
      <c r="DD957" s="36">
        <v>98</v>
      </c>
      <c r="DE957" s="37">
        <v>-0.64</v>
      </c>
      <c r="DF957" s="35">
        <v>-1.08</v>
      </c>
      <c r="DG957" s="37">
        <v>122.34</v>
      </c>
      <c r="DH957" s="36">
        <v>100</v>
      </c>
      <c r="DI957" s="37">
        <v>51.72</v>
      </c>
      <c r="DJ957" s="36">
        <v>95</v>
      </c>
      <c r="DK957" s="37">
        <v>36.549999999999997</v>
      </c>
      <c r="DL957" s="36">
        <v>95</v>
      </c>
      <c r="DM957" s="37">
        <v>208.14</v>
      </c>
      <c r="DN957" s="36">
        <v>100</v>
      </c>
      <c r="DO957" s="37">
        <v>89.09</v>
      </c>
      <c r="DP957" s="36">
        <v>98</v>
      </c>
      <c r="DQ957" s="36">
        <v>12288</v>
      </c>
      <c r="DR957" s="38">
        <v>740</v>
      </c>
      <c r="DS957" s="35">
        <v>6.41</v>
      </c>
      <c r="DT957" s="36">
        <v>6031</v>
      </c>
      <c r="DU957" s="38">
        <v>9</v>
      </c>
      <c r="DV957" s="35">
        <v>0.15</v>
      </c>
      <c r="DW957" s="36">
        <v>31888</v>
      </c>
      <c r="DX957" s="39">
        <v>8</v>
      </c>
      <c r="DY957" s="35">
        <v>0.03</v>
      </c>
      <c r="DZ957" s="28" t="s">
        <v>178</v>
      </c>
      <c r="EA957" s="34">
        <v>43622</v>
      </c>
      <c r="EB957" s="29">
        <v>1000</v>
      </c>
      <c r="EC957" s="34">
        <v>43291</v>
      </c>
      <c r="ED957" s="28" t="s">
        <v>1673</v>
      </c>
      <c r="EE957" s="40" t="str">
        <f>HYPERLINK("https://my.pitchbook.com?c=51639-31", "View company online")</f>
        <v>View company online</v>
      </c>
    </row>
    <row r="958" spans="1:135">
      <c r="A958" s="15" t="s">
        <v>18827</v>
      </c>
      <c r="B958" s="15" t="s">
        <v>18828</v>
      </c>
      <c r="C958" s="15" t="s">
        <v>138</v>
      </c>
      <c r="D958" s="15" t="s">
        <v>138</v>
      </c>
      <c r="E958" s="15" t="s">
        <v>18829</v>
      </c>
      <c r="F958" s="15" t="s">
        <v>18827</v>
      </c>
      <c r="G958" s="15" t="s">
        <v>18830</v>
      </c>
      <c r="H958" s="15" t="s">
        <v>322</v>
      </c>
      <c r="I958" s="15" t="s">
        <v>323</v>
      </c>
      <c r="J958" s="15" t="s">
        <v>2084</v>
      </c>
      <c r="K958" s="15" t="s">
        <v>18831</v>
      </c>
      <c r="L958" s="15" t="s">
        <v>242</v>
      </c>
      <c r="M958" s="15" t="s">
        <v>18832</v>
      </c>
      <c r="N958" s="15" t="s">
        <v>147</v>
      </c>
      <c r="O958" s="17" t="s">
        <v>138</v>
      </c>
      <c r="P958" s="15" t="s">
        <v>148</v>
      </c>
      <c r="Q958" s="15" t="s">
        <v>149</v>
      </c>
      <c r="R958" s="15" t="s">
        <v>244</v>
      </c>
      <c r="S958" s="15" t="s">
        <v>18833</v>
      </c>
      <c r="T958" s="18">
        <v>90</v>
      </c>
      <c r="U958" s="15" t="s">
        <v>18834</v>
      </c>
      <c r="V958" s="15" t="s">
        <v>138</v>
      </c>
      <c r="W958" s="15" t="s">
        <v>138</v>
      </c>
      <c r="X958" s="19">
        <v>1992</v>
      </c>
      <c r="Y958" s="15" t="s">
        <v>138</v>
      </c>
      <c r="Z958" s="15" t="s">
        <v>138</v>
      </c>
      <c r="AA958" s="15" t="s">
        <v>138</v>
      </c>
      <c r="AB958" s="20" t="s">
        <v>138</v>
      </c>
      <c r="AC958" s="20" t="s">
        <v>138</v>
      </c>
      <c r="AD958" s="20" t="s">
        <v>138</v>
      </c>
      <c r="AE958" s="20" t="s">
        <v>138</v>
      </c>
      <c r="AF958" s="20" t="s">
        <v>138</v>
      </c>
      <c r="AG958" s="15" t="s">
        <v>138</v>
      </c>
      <c r="AH958" s="20" t="s">
        <v>138</v>
      </c>
      <c r="AI958" s="20" t="s">
        <v>138</v>
      </c>
      <c r="AJ958" s="20" t="s">
        <v>138</v>
      </c>
      <c r="AK958" s="15" t="s">
        <v>18835</v>
      </c>
      <c r="AL958" s="15" t="s">
        <v>18836</v>
      </c>
      <c r="AM958" s="15" t="s">
        <v>18837</v>
      </c>
      <c r="AN958" s="15" t="s">
        <v>18838</v>
      </c>
      <c r="AO958" s="15" t="s">
        <v>18839</v>
      </c>
      <c r="AP958" s="15" t="s">
        <v>18840</v>
      </c>
      <c r="AQ958" s="15" t="s">
        <v>18841</v>
      </c>
      <c r="AR958" s="15" t="s">
        <v>138</v>
      </c>
      <c r="AS958" s="15" t="s">
        <v>18842</v>
      </c>
      <c r="AT958" s="15" t="s">
        <v>14130</v>
      </c>
      <c r="AU958" s="15" t="s">
        <v>18843</v>
      </c>
      <c r="AV958" s="15" t="s">
        <v>2742</v>
      </c>
      <c r="AW958" s="15" t="s">
        <v>18839</v>
      </c>
      <c r="AX958" s="15" t="s">
        <v>18844</v>
      </c>
      <c r="AY958" s="15" t="s">
        <v>138</v>
      </c>
      <c r="AZ958" s="15" t="s">
        <v>164</v>
      </c>
      <c r="BA958" s="15" t="s">
        <v>165</v>
      </c>
      <c r="BB958" s="15" t="s">
        <v>18845</v>
      </c>
      <c r="BC958" s="15" t="s">
        <v>18846</v>
      </c>
      <c r="BD958" s="21">
        <v>2</v>
      </c>
      <c r="BE958" s="15" t="s">
        <v>138</v>
      </c>
      <c r="BF958" s="15" t="s">
        <v>3047</v>
      </c>
      <c r="BG958" s="15" t="s">
        <v>138</v>
      </c>
      <c r="BH958" s="15" t="s">
        <v>18847</v>
      </c>
      <c r="BI958" s="15" t="s">
        <v>3049</v>
      </c>
      <c r="BJ958" s="15" t="s">
        <v>138</v>
      </c>
      <c r="BK958" s="15" t="s">
        <v>18848</v>
      </c>
      <c r="BL958" s="15" t="s">
        <v>18848</v>
      </c>
      <c r="BM958" s="22" t="s">
        <v>138</v>
      </c>
      <c r="BN958" s="17" t="s">
        <v>138</v>
      </c>
      <c r="BO958" s="15" t="s">
        <v>138</v>
      </c>
      <c r="BP958" s="17" t="s">
        <v>138</v>
      </c>
      <c r="BQ958" s="15" t="s">
        <v>138</v>
      </c>
      <c r="BR958" s="15" t="s">
        <v>205</v>
      </c>
      <c r="BS958" s="15" t="s">
        <v>138</v>
      </c>
      <c r="BT958" s="15" t="s">
        <v>138</v>
      </c>
      <c r="BU958" s="15" t="s">
        <v>174</v>
      </c>
      <c r="BV958" s="15" t="s">
        <v>138</v>
      </c>
      <c r="BW958" s="15" t="s">
        <v>138</v>
      </c>
      <c r="BX958" s="15" t="s">
        <v>138</v>
      </c>
      <c r="BY958" s="15" t="s">
        <v>175</v>
      </c>
      <c r="BZ958" s="22">
        <v>41743</v>
      </c>
      <c r="CA958" s="17" t="s">
        <v>138</v>
      </c>
      <c r="CB958" s="15" t="s">
        <v>138</v>
      </c>
      <c r="CC958" s="17" t="s">
        <v>138</v>
      </c>
      <c r="CD958" s="15" t="s">
        <v>138</v>
      </c>
      <c r="CE958" s="15" t="s">
        <v>1326</v>
      </c>
      <c r="CF958" s="15" t="s">
        <v>138</v>
      </c>
      <c r="CG958" s="15" t="s">
        <v>138</v>
      </c>
      <c r="CH958" s="15" t="s">
        <v>1327</v>
      </c>
      <c r="CI958" s="15" t="s">
        <v>1328</v>
      </c>
      <c r="CJ958" s="15" t="s">
        <v>138</v>
      </c>
      <c r="CK958" s="15" t="s">
        <v>138</v>
      </c>
      <c r="CL958" s="15" t="s">
        <v>175</v>
      </c>
      <c r="CM958" s="22">
        <v>41743</v>
      </c>
      <c r="CN958" s="17" t="s">
        <v>138</v>
      </c>
      <c r="CO958" s="23">
        <v>-2.46</v>
      </c>
      <c r="CP958" s="24">
        <v>4</v>
      </c>
      <c r="CQ958" s="23">
        <v>0.03</v>
      </c>
      <c r="CR958" s="23">
        <v>1.22</v>
      </c>
      <c r="CS958" s="23">
        <v>-4.9000000000000004</v>
      </c>
      <c r="CT958" s="24">
        <v>2</v>
      </c>
      <c r="CU958" s="23">
        <v>-0.02</v>
      </c>
      <c r="CV958" s="24">
        <v>17</v>
      </c>
      <c r="CW958" s="23">
        <v>0</v>
      </c>
      <c r="CX958" s="24">
        <v>13</v>
      </c>
      <c r="CY958" s="23">
        <v>-9.8000000000000007</v>
      </c>
      <c r="CZ958" s="24">
        <v>1</v>
      </c>
      <c r="DA958" s="23">
        <v>-0.02</v>
      </c>
      <c r="DB958" s="24">
        <v>19</v>
      </c>
      <c r="DC958" s="25">
        <v>4.07</v>
      </c>
      <c r="DD958" s="24">
        <v>80</v>
      </c>
      <c r="DE958" s="25">
        <v>0.01</v>
      </c>
      <c r="DF958" s="23">
        <v>0.26</v>
      </c>
      <c r="DG958" s="25">
        <v>6.41</v>
      </c>
      <c r="DH958" s="24">
        <v>85</v>
      </c>
      <c r="DI958" s="25">
        <v>1.74</v>
      </c>
      <c r="DJ958" s="24">
        <v>60</v>
      </c>
      <c r="DK958" s="25">
        <v>0.68</v>
      </c>
      <c r="DL958" s="24">
        <v>42</v>
      </c>
      <c r="DM958" s="25">
        <v>12.14</v>
      </c>
      <c r="DN958" s="24">
        <v>90</v>
      </c>
      <c r="DO958" s="25">
        <v>1.74</v>
      </c>
      <c r="DP958" s="24">
        <v>61</v>
      </c>
      <c r="DQ958" s="24">
        <v>228</v>
      </c>
      <c r="DR958" s="26">
        <v>11</v>
      </c>
      <c r="DS958" s="23">
        <v>5.07</v>
      </c>
      <c r="DT958" s="24">
        <v>350</v>
      </c>
      <c r="DU958" s="26">
        <v>0</v>
      </c>
      <c r="DV958" s="23">
        <v>0</v>
      </c>
      <c r="DW958" s="24">
        <v>622</v>
      </c>
      <c r="DX958" s="27">
        <v>0</v>
      </c>
      <c r="DY958" s="23">
        <v>0</v>
      </c>
      <c r="DZ958" s="15" t="s">
        <v>178</v>
      </c>
      <c r="EA958" s="22">
        <v>43579</v>
      </c>
      <c r="EB958" s="17" t="s">
        <v>138</v>
      </c>
      <c r="EC958" s="22" t="s">
        <v>138</v>
      </c>
      <c r="ED958" s="15" t="s">
        <v>138</v>
      </c>
      <c r="EE958" s="14" t="str">
        <f>HYPERLINK("https://my.pitchbook.com?c=59959-72", "View company online")</f>
        <v>View company online</v>
      </c>
    </row>
    <row r="959" spans="1:135">
      <c r="A959" s="28" t="s">
        <v>18849</v>
      </c>
      <c r="B959" s="28" t="s">
        <v>18850</v>
      </c>
      <c r="C959" s="28" t="s">
        <v>138</v>
      </c>
      <c r="D959" s="28" t="s">
        <v>18851</v>
      </c>
      <c r="E959" s="28" t="s">
        <v>18852</v>
      </c>
      <c r="F959" s="28" t="s">
        <v>18849</v>
      </c>
      <c r="G959" s="28" t="s">
        <v>18853</v>
      </c>
      <c r="H959" s="28" t="s">
        <v>322</v>
      </c>
      <c r="I959" s="28" t="s">
        <v>323</v>
      </c>
      <c r="J959" s="28" t="s">
        <v>413</v>
      </c>
      <c r="K959" s="28" t="s">
        <v>874</v>
      </c>
      <c r="L959" s="28" t="s">
        <v>215</v>
      </c>
      <c r="M959" s="28" t="s">
        <v>18854</v>
      </c>
      <c r="N959" s="28" t="s">
        <v>147</v>
      </c>
      <c r="O959" s="29">
        <v>12.62</v>
      </c>
      <c r="P959" s="28" t="s">
        <v>148</v>
      </c>
      <c r="Q959" s="28" t="s">
        <v>149</v>
      </c>
      <c r="R959" s="28" t="s">
        <v>174</v>
      </c>
      <c r="S959" s="28" t="s">
        <v>18855</v>
      </c>
      <c r="T959" s="30">
        <v>22</v>
      </c>
      <c r="U959" s="28" t="s">
        <v>18856</v>
      </c>
      <c r="V959" s="28" t="s">
        <v>138</v>
      </c>
      <c r="W959" s="28" t="s">
        <v>138</v>
      </c>
      <c r="X959" s="31">
        <v>2011</v>
      </c>
      <c r="Y959" s="28" t="s">
        <v>138</v>
      </c>
      <c r="Z959" s="28" t="s">
        <v>138</v>
      </c>
      <c r="AA959" s="28" t="s">
        <v>138</v>
      </c>
      <c r="AB959" s="32" t="s">
        <v>138</v>
      </c>
      <c r="AC959" s="32" t="s">
        <v>138</v>
      </c>
      <c r="AD959" s="32" t="s">
        <v>138</v>
      </c>
      <c r="AE959" s="32" t="s">
        <v>138</v>
      </c>
      <c r="AF959" s="32" t="s">
        <v>138</v>
      </c>
      <c r="AG959" s="28" t="s">
        <v>138</v>
      </c>
      <c r="AH959" s="32" t="s">
        <v>138</v>
      </c>
      <c r="AI959" s="32" t="s">
        <v>138</v>
      </c>
      <c r="AJ959" s="32" t="s">
        <v>138</v>
      </c>
      <c r="AK959" s="28" t="s">
        <v>18857</v>
      </c>
      <c r="AL959" s="28" t="s">
        <v>18858</v>
      </c>
      <c r="AM959" s="28" t="s">
        <v>13208</v>
      </c>
      <c r="AN959" s="28" t="s">
        <v>18859</v>
      </c>
      <c r="AO959" s="28" t="s">
        <v>18860</v>
      </c>
      <c r="AP959" s="28" t="s">
        <v>1870</v>
      </c>
      <c r="AQ959" s="28" t="s">
        <v>18861</v>
      </c>
      <c r="AR959" s="28" t="s">
        <v>138</v>
      </c>
      <c r="AS959" s="28" t="s">
        <v>1872</v>
      </c>
      <c r="AT959" s="28" t="s">
        <v>200</v>
      </c>
      <c r="AU959" s="28" t="s">
        <v>6318</v>
      </c>
      <c r="AV959" s="28" t="s">
        <v>162</v>
      </c>
      <c r="AW959" s="28" t="s">
        <v>18860</v>
      </c>
      <c r="AX959" s="28" t="s">
        <v>138</v>
      </c>
      <c r="AY959" s="28" t="s">
        <v>138</v>
      </c>
      <c r="AZ959" s="28" t="s">
        <v>164</v>
      </c>
      <c r="BA959" s="28" t="s">
        <v>165</v>
      </c>
      <c r="BB959" s="28" t="s">
        <v>18862</v>
      </c>
      <c r="BC959" s="28" t="s">
        <v>18863</v>
      </c>
      <c r="BD959" s="33">
        <v>24</v>
      </c>
      <c r="BE959" s="28" t="s">
        <v>138</v>
      </c>
      <c r="BF959" s="28" t="s">
        <v>138</v>
      </c>
      <c r="BG959" s="28" t="s">
        <v>138</v>
      </c>
      <c r="BH959" s="28" t="s">
        <v>18864</v>
      </c>
      <c r="BI959" s="28" t="s">
        <v>138</v>
      </c>
      <c r="BJ959" s="28" t="s">
        <v>138</v>
      </c>
      <c r="BK959" s="28" t="s">
        <v>5213</v>
      </c>
      <c r="BL959" s="28" t="s">
        <v>5213</v>
      </c>
      <c r="BM959" s="34">
        <v>40544</v>
      </c>
      <c r="BN959" s="29">
        <v>1.37</v>
      </c>
      <c r="BO959" s="28" t="s">
        <v>172</v>
      </c>
      <c r="BP959" s="29">
        <v>3.61</v>
      </c>
      <c r="BQ959" s="28" t="s">
        <v>172</v>
      </c>
      <c r="BR959" s="28" t="s">
        <v>262</v>
      </c>
      <c r="BS959" s="28" t="s">
        <v>262</v>
      </c>
      <c r="BT959" s="28" t="s">
        <v>138</v>
      </c>
      <c r="BU959" s="28" t="s">
        <v>263</v>
      </c>
      <c r="BV959" s="28" t="s">
        <v>138</v>
      </c>
      <c r="BW959" s="28" t="s">
        <v>138</v>
      </c>
      <c r="BX959" s="28" t="s">
        <v>138</v>
      </c>
      <c r="BY959" s="28" t="s">
        <v>175</v>
      </c>
      <c r="BZ959" s="34">
        <v>42027</v>
      </c>
      <c r="CA959" s="29">
        <v>4</v>
      </c>
      <c r="CB959" s="28" t="s">
        <v>172</v>
      </c>
      <c r="CC959" s="29" t="s">
        <v>138</v>
      </c>
      <c r="CD959" s="28" t="s">
        <v>138</v>
      </c>
      <c r="CE959" s="28" t="s">
        <v>205</v>
      </c>
      <c r="CF959" s="28" t="s">
        <v>138</v>
      </c>
      <c r="CG959" s="28" t="s">
        <v>138</v>
      </c>
      <c r="CH959" s="28" t="s">
        <v>174</v>
      </c>
      <c r="CI959" s="28" t="s">
        <v>264</v>
      </c>
      <c r="CJ959" s="28" t="s">
        <v>138</v>
      </c>
      <c r="CK959" s="28" t="s">
        <v>138</v>
      </c>
      <c r="CL959" s="28" t="s">
        <v>175</v>
      </c>
      <c r="CM959" s="34" t="s">
        <v>138</v>
      </c>
      <c r="CN959" s="29" t="s">
        <v>138</v>
      </c>
      <c r="CO959" s="35">
        <v>0.22</v>
      </c>
      <c r="CP959" s="36">
        <v>93</v>
      </c>
      <c r="CQ959" s="35">
        <v>0.01</v>
      </c>
      <c r="CR959" s="35">
        <v>4.76</v>
      </c>
      <c r="CS959" s="35">
        <v>0.28000000000000003</v>
      </c>
      <c r="CT959" s="36">
        <v>95</v>
      </c>
      <c r="CU959" s="35">
        <v>0.16</v>
      </c>
      <c r="CV959" s="36">
        <v>76</v>
      </c>
      <c r="CW959" s="35">
        <v>4.8600000000000003</v>
      </c>
      <c r="CX959" s="36">
        <v>95</v>
      </c>
      <c r="CY959" s="35">
        <v>-4.29</v>
      </c>
      <c r="CZ959" s="36">
        <v>4</v>
      </c>
      <c r="DA959" s="35">
        <v>-0.03</v>
      </c>
      <c r="DB959" s="36">
        <v>17</v>
      </c>
      <c r="DC959" s="37">
        <v>26.78</v>
      </c>
      <c r="DD959" s="36">
        <v>96</v>
      </c>
      <c r="DE959" s="37">
        <v>-1.38</v>
      </c>
      <c r="DF959" s="35">
        <v>-4.9000000000000004</v>
      </c>
      <c r="DG959" s="37">
        <v>34.53</v>
      </c>
      <c r="DH959" s="36">
        <v>97</v>
      </c>
      <c r="DI959" s="37">
        <v>19.03</v>
      </c>
      <c r="DJ959" s="36">
        <v>90</v>
      </c>
      <c r="DK959" s="37">
        <v>42.66</v>
      </c>
      <c r="DL959" s="36">
        <v>95</v>
      </c>
      <c r="DM959" s="37">
        <v>26.41</v>
      </c>
      <c r="DN959" s="36">
        <v>96</v>
      </c>
      <c r="DO959" s="37">
        <v>14.94</v>
      </c>
      <c r="DP959" s="36">
        <v>91</v>
      </c>
      <c r="DQ959" s="36">
        <v>14367</v>
      </c>
      <c r="DR959" s="38">
        <v>790</v>
      </c>
      <c r="DS959" s="35">
        <v>5.82</v>
      </c>
      <c r="DT959" s="36">
        <v>767</v>
      </c>
      <c r="DU959" s="38">
        <v>-1</v>
      </c>
      <c r="DV959" s="35">
        <v>-0.13</v>
      </c>
      <c r="DW959" s="36">
        <v>5348</v>
      </c>
      <c r="DX959" s="39">
        <v>0</v>
      </c>
      <c r="DY959" s="35">
        <v>0</v>
      </c>
      <c r="DZ959" s="28" t="s">
        <v>178</v>
      </c>
      <c r="EA959" s="34">
        <v>43622</v>
      </c>
      <c r="EB959" s="29">
        <v>10.33</v>
      </c>
      <c r="EC959" s="34">
        <v>41641</v>
      </c>
      <c r="ED959" s="28" t="s">
        <v>205</v>
      </c>
      <c r="EE959" s="40" t="str">
        <f>HYPERLINK("https://my.pitchbook.com?c=53860-69", "View company online")</f>
        <v>View company online</v>
      </c>
    </row>
    <row r="960" spans="1:135">
      <c r="A960" s="15" t="s">
        <v>18865</v>
      </c>
      <c r="B960" s="15" t="s">
        <v>18866</v>
      </c>
      <c r="C960" s="15" t="s">
        <v>18867</v>
      </c>
      <c r="D960" s="15" t="s">
        <v>138</v>
      </c>
      <c r="E960" s="15" t="s">
        <v>18868</v>
      </c>
      <c r="F960" s="15" t="s">
        <v>18865</v>
      </c>
      <c r="G960" s="15" t="s">
        <v>18869</v>
      </c>
      <c r="H960" s="15" t="s">
        <v>322</v>
      </c>
      <c r="I960" s="15" t="s">
        <v>323</v>
      </c>
      <c r="J960" s="15" t="s">
        <v>324</v>
      </c>
      <c r="K960" s="15" t="s">
        <v>325</v>
      </c>
      <c r="L960" s="15" t="s">
        <v>215</v>
      </c>
      <c r="M960" s="15" t="s">
        <v>18870</v>
      </c>
      <c r="N960" s="15" t="s">
        <v>147</v>
      </c>
      <c r="O960" s="17">
        <v>27.76</v>
      </c>
      <c r="P960" s="15" t="s">
        <v>148</v>
      </c>
      <c r="Q960" s="15" t="s">
        <v>149</v>
      </c>
      <c r="R960" s="15" t="s">
        <v>174</v>
      </c>
      <c r="S960" s="15" t="s">
        <v>18871</v>
      </c>
      <c r="T960" s="18">
        <v>52</v>
      </c>
      <c r="U960" s="15" t="s">
        <v>18872</v>
      </c>
      <c r="V960" s="15" t="s">
        <v>138</v>
      </c>
      <c r="W960" s="15" t="s">
        <v>138</v>
      </c>
      <c r="X960" s="19">
        <v>2013</v>
      </c>
      <c r="Y960" s="15" t="s">
        <v>138</v>
      </c>
      <c r="Z960" s="15" t="s">
        <v>138</v>
      </c>
      <c r="AA960" s="15" t="s">
        <v>138</v>
      </c>
      <c r="AB960" s="20" t="s">
        <v>138</v>
      </c>
      <c r="AC960" s="20" t="s">
        <v>138</v>
      </c>
      <c r="AD960" s="20" t="s">
        <v>138</v>
      </c>
      <c r="AE960" s="20" t="s">
        <v>138</v>
      </c>
      <c r="AF960" s="20" t="s">
        <v>138</v>
      </c>
      <c r="AG960" s="15" t="s">
        <v>138</v>
      </c>
      <c r="AH960" s="20" t="s">
        <v>138</v>
      </c>
      <c r="AI960" s="20" t="s">
        <v>138</v>
      </c>
      <c r="AJ960" s="20" t="s">
        <v>138</v>
      </c>
      <c r="AK960" s="15" t="s">
        <v>18873</v>
      </c>
      <c r="AL960" s="15" t="s">
        <v>18874</v>
      </c>
      <c r="AM960" s="15" t="s">
        <v>5401</v>
      </c>
      <c r="AN960" s="15" t="s">
        <v>18875</v>
      </c>
      <c r="AO960" s="15" t="s">
        <v>18876</v>
      </c>
      <c r="AP960" s="15" t="s">
        <v>2002</v>
      </c>
      <c r="AQ960" s="15" t="s">
        <v>18877</v>
      </c>
      <c r="AR960" s="15" t="s">
        <v>13672</v>
      </c>
      <c r="AS960" s="15" t="s">
        <v>2005</v>
      </c>
      <c r="AT960" s="15" t="s">
        <v>200</v>
      </c>
      <c r="AU960" s="15" t="s">
        <v>18878</v>
      </c>
      <c r="AV960" s="15" t="s">
        <v>162</v>
      </c>
      <c r="AW960" s="15" t="s">
        <v>18876</v>
      </c>
      <c r="AX960" s="15" t="s">
        <v>138</v>
      </c>
      <c r="AY960" s="15" t="s">
        <v>18879</v>
      </c>
      <c r="AZ960" s="15" t="s">
        <v>164</v>
      </c>
      <c r="BA960" s="15" t="s">
        <v>165</v>
      </c>
      <c r="BB960" s="15" t="s">
        <v>18880</v>
      </c>
      <c r="BC960" s="15" t="s">
        <v>18881</v>
      </c>
      <c r="BD960" s="21">
        <v>14</v>
      </c>
      <c r="BE960" s="15" t="s">
        <v>138</v>
      </c>
      <c r="BF960" s="15" t="s">
        <v>138</v>
      </c>
      <c r="BG960" s="15" t="s">
        <v>138</v>
      </c>
      <c r="BH960" s="15" t="s">
        <v>18882</v>
      </c>
      <c r="BI960" s="15" t="s">
        <v>138</v>
      </c>
      <c r="BJ960" s="15" t="s">
        <v>138</v>
      </c>
      <c r="BK960" s="15" t="s">
        <v>1275</v>
      </c>
      <c r="BL960" s="15" t="s">
        <v>1275</v>
      </c>
      <c r="BM960" s="22">
        <v>41878</v>
      </c>
      <c r="BN960" s="17">
        <v>2.0499999999999998</v>
      </c>
      <c r="BO960" s="15" t="s">
        <v>172</v>
      </c>
      <c r="BP960" s="17">
        <v>6.06</v>
      </c>
      <c r="BQ960" s="15" t="s">
        <v>172</v>
      </c>
      <c r="BR960" s="15" t="s">
        <v>234</v>
      </c>
      <c r="BS960" s="15" t="s">
        <v>234</v>
      </c>
      <c r="BT960" s="15" t="s">
        <v>138</v>
      </c>
      <c r="BU960" s="15" t="s">
        <v>174</v>
      </c>
      <c r="BV960" s="15" t="s">
        <v>138</v>
      </c>
      <c r="BW960" s="15" t="s">
        <v>138</v>
      </c>
      <c r="BX960" s="15" t="s">
        <v>138</v>
      </c>
      <c r="BY960" s="15" t="s">
        <v>175</v>
      </c>
      <c r="BZ960" s="22">
        <v>43481</v>
      </c>
      <c r="CA960" s="17">
        <v>18.29</v>
      </c>
      <c r="CB960" s="15" t="s">
        <v>172</v>
      </c>
      <c r="CC960" s="17">
        <v>60.29</v>
      </c>
      <c r="CD960" s="15" t="s">
        <v>172</v>
      </c>
      <c r="CE960" s="15" t="s">
        <v>173</v>
      </c>
      <c r="CF960" s="15" t="s">
        <v>720</v>
      </c>
      <c r="CG960" s="15" t="s">
        <v>138</v>
      </c>
      <c r="CH960" s="15" t="s">
        <v>174</v>
      </c>
      <c r="CI960" s="15" t="s">
        <v>138</v>
      </c>
      <c r="CJ960" s="15" t="s">
        <v>138</v>
      </c>
      <c r="CK960" s="15" t="s">
        <v>138</v>
      </c>
      <c r="CL960" s="15" t="s">
        <v>175</v>
      </c>
      <c r="CM960" s="22" t="s">
        <v>138</v>
      </c>
      <c r="CN960" s="17" t="s">
        <v>138</v>
      </c>
      <c r="CO960" s="23">
        <v>1.85</v>
      </c>
      <c r="CP960" s="24">
        <v>99</v>
      </c>
      <c r="CQ960" s="23">
        <v>0.02</v>
      </c>
      <c r="CR960" s="23">
        <v>0.85</v>
      </c>
      <c r="CS960" s="23">
        <v>3.88</v>
      </c>
      <c r="CT960" s="24">
        <v>100</v>
      </c>
      <c r="CU960" s="23">
        <v>0.4</v>
      </c>
      <c r="CV960" s="24">
        <v>91</v>
      </c>
      <c r="CW960" s="23">
        <v>6.81</v>
      </c>
      <c r="CX960" s="24">
        <v>98</v>
      </c>
      <c r="CY960" s="23">
        <v>0.94</v>
      </c>
      <c r="CZ960" s="24">
        <v>99</v>
      </c>
      <c r="DA960" s="23">
        <v>0.4</v>
      </c>
      <c r="DB960" s="24">
        <v>92</v>
      </c>
      <c r="DC960" s="25">
        <v>3.2</v>
      </c>
      <c r="DD960" s="24">
        <v>76</v>
      </c>
      <c r="DE960" s="25">
        <v>0.35</v>
      </c>
      <c r="DF960" s="23">
        <v>12.23</v>
      </c>
      <c r="DG960" s="25">
        <v>6.46</v>
      </c>
      <c r="DH960" s="24">
        <v>85</v>
      </c>
      <c r="DI960" s="25">
        <v>3.04</v>
      </c>
      <c r="DJ960" s="24">
        <v>70</v>
      </c>
      <c r="DK960" s="25">
        <v>5.0199999999999996</v>
      </c>
      <c r="DL960" s="24">
        <v>79</v>
      </c>
      <c r="DM960" s="25">
        <v>7.9</v>
      </c>
      <c r="DN960" s="24">
        <v>87</v>
      </c>
      <c r="DO960" s="25">
        <v>3.04</v>
      </c>
      <c r="DP960" s="24">
        <v>71</v>
      </c>
      <c r="DQ960" s="24">
        <v>1663</v>
      </c>
      <c r="DR960" s="26">
        <v>174</v>
      </c>
      <c r="DS960" s="23">
        <v>11.69</v>
      </c>
      <c r="DT960" s="24">
        <v>228</v>
      </c>
      <c r="DU960" s="26">
        <v>0</v>
      </c>
      <c r="DV960" s="23">
        <v>0</v>
      </c>
      <c r="DW960" s="24">
        <v>1090</v>
      </c>
      <c r="DX960" s="27">
        <v>4</v>
      </c>
      <c r="DY960" s="23">
        <v>0.37</v>
      </c>
      <c r="DZ960" s="15" t="s">
        <v>178</v>
      </c>
      <c r="EA960" s="22">
        <v>43483</v>
      </c>
      <c r="EB960" s="17">
        <v>60.29</v>
      </c>
      <c r="EC960" s="22">
        <v>43481</v>
      </c>
      <c r="ED960" s="15" t="s">
        <v>173</v>
      </c>
      <c r="EE960" s="14" t="str">
        <f>HYPERLINK("https://my.pitchbook.com?c=92083-06", "View company online")</f>
        <v>View company online</v>
      </c>
    </row>
    <row r="961" spans="1:135">
      <c r="A961" s="28" t="s">
        <v>18883</v>
      </c>
      <c r="B961" s="28" t="s">
        <v>18884</v>
      </c>
      <c r="C961" s="28" t="s">
        <v>18885</v>
      </c>
      <c r="D961" s="28" t="s">
        <v>138</v>
      </c>
      <c r="E961" s="28" t="s">
        <v>18886</v>
      </c>
      <c r="F961" s="28" t="s">
        <v>18883</v>
      </c>
      <c r="G961" s="28" t="s">
        <v>18887</v>
      </c>
      <c r="H961" s="28" t="s">
        <v>322</v>
      </c>
      <c r="I961" s="28" t="s">
        <v>323</v>
      </c>
      <c r="J961" s="28" t="s">
        <v>413</v>
      </c>
      <c r="K961" s="28" t="s">
        <v>18888</v>
      </c>
      <c r="L961" s="28" t="s">
        <v>18889</v>
      </c>
      <c r="M961" s="28" t="s">
        <v>18890</v>
      </c>
      <c r="N961" s="28" t="s">
        <v>147</v>
      </c>
      <c r="O961" s="29">
        <v>35</v>
      </c>
      <c r="P961" s="28" t="s">
        <v>148</v>
      </c>
      <c r="Q961" s="28" t="s">
        <v>149</v>
      </c>
      <c r="R961" s="28" t="s">
        <v>174</v>
      </c>
      <c r="S961" s="28" t="s">
        <v>18891</v>
      </c>
      <c r="T961" s="30">
        <v>60</v>
      </c>
      <c r="U961" s="28" t="s">
        <v>18892</v>
      </c>
      <c r="V961" s="28" t="s">
        <v>138</v>
      </c>
      <c r="W961" s="28" t="s">
        <v>138</v>
      </c>
      <c r="X961" s="31">
        <v>2016</v>
      </c>
      <c r="Y961" s="28" t="s">
        <v>138</v>
      </c>
      <c r="Z961" s="28" t="s">
        <v>138</v>
      </c>
      <c r="AA961" s="28" t="s">
        <v>138</v>
      </c>
      <c r="AB961" s="32" t="s">
        <v>138</v>
      </c>
      <c r="AC961" s="32" t="s">
        <v>138</v>
      </c>
      <c r="AD961" s="32" t="s">
        <v>138</v>
      </c>
      <c r="AE961" s="32" t="s">
        <v>138</v>
      </c>
      <c r="AF961" s="32" t="s">
        <v>138</v>
      </c>
      <c r="AG961" s="28" t="s">
        <v>138</v>
      </c>
      <c r="AH961" s="32" t="s">
        <v>138</v>
      </c>
      <c r="AI961" s="32" t="s">
        <v>138</v>
      </c>
      <c r="AJ961" s="32" t="s">
        <v>138</v>
      </c>
      <c r="AK961" s="28" t="s">
        <v>18893</v>
      </c>
      <c r="AL961" s="28" t="s">
        <v>18894</v>
      </c>
      <c r="AM961" s="28" t="s">
        <v>1738</v>
      </c>
      <c r="AN961" s="28" t="s">
        <v>18895</v>
      </c>
      <c r="AO961" s="28" t="s">
        <v>138</v>
      </c>
      <c r="AP961" s="28" t="s">
        <v>423</v>
      </c>
      <c r="AQ961" s="28" t="s">
        <v>18896</v>
      </c>
      <c r="AR961" s="28" t="s">
        <v>3084</v>
      </c>
      <c r="AS961" s="28" t="s">
        <v>426</v>
      </c>
      <c r="AT961" s="28" t="s">
        <v>426</v>
      </c>
      <c r="AU961" s="28" t="s">
        <v>2610</v>
      </c>
      <c r="AV961" s="28" t="s">
        <v>162</v>
      </c>
      <c r="AW961" s="28" t="s">
        <v>138</v>
      </c>
      <c r="AX961" s="28" t="s">
        <v>138</v>
      </c>
      <c r="AY961" s="28" t="s">
        <v>18897</v>
      </c>
      <c r="AZ961" s="28" t="s">
        <v>164</v>
      </c>
      <c r="BA961" s="28" t="s">
        <v>165</v>
      </c>
      <c r="BB961" s="28" t="s">
        <v>18898</v>
      </c>
      <c r="BC961" s="28" t="s">
        <v>18899</v>
      </c>
      <c r="BD961" s="33">
        <v>6</v>
      </c>
      <c r="BE961" s="28" t="s">
        <v>138</v>
      </c>
      <c r="BF961" s="28" t="s">
        <v>138</v>
      </c>
      <c r="BG961" s="28" t="s">
        <v>138</v>
      </c>
      <c r="BH961" s="28" t="s">
        <v>18900</v>
      </c>
      <c r="BI961" s="28" t="s">
        <v>138</v>
      </c>
      <c r="BJ961" s="28" t="s">
        <v>138</v>
      </c>
      <c r="BK961" s="28" t="s">
        <v>18901</v>
      </c>
      <c r="BL961" s="28" t="s">
        <v>1251</v>
      </c>
      <c r="BM961" s="34">
        <v>42370</v>
      </c>
      <c r="BN961" s="29" t="s">
        <v>138</v>
      </c>
      <c r="BO961" s="28" t="s">
        <v>138</v>
      </c>
      <c r="BP961" s="29" t="s">
        <v>138</v>
      </c>
      <c r="BQ961" s="28" t="s">
        <v>138</v>
      </c>
      <c r="BR961" s="28" t="s">
        <v>205</v>
      </c>
      <c r="BS961" s="28" t="s">
        <v>138</v>
      </c>
      <c r="BT961" s="28" t="s">
        <v>138</v>
      </c>
      <c r="BU961" s="28" t="s">
        <v>174</v>
      </c>
      <c r="BV961" s="28" t="s">
        <v>138</v>
      </c>
      <c r="BW961" s="28" t="s">
        <v>138</v>
      </c>
      <c r="BX961" s="28" t="s">
        <v>138</v>
      </c>
      <c r="BY961" s="28" t="s">
        <v>175</v>
      </c>
      <c r="BZ961" s="34">
        <v>42970</v>
      </c>
      <c r="CA961" s="29">
        <v>20</v>
      </c>
      <c r="CB961" s="28" t="s">
        <v>172</v>
      </c>
      <c r="CC961" s="29" t="s">
        <v>138</v>
      </c>
      <c r="CD961" s="28" t="s">
        <v>138</v>
      </c>
      <c r="CE961" s="28" t="s">
        <v>205</v>
      </c>
      <c r="CF961" s="28" t="s">
        <v>720</v>
      </c>
      <c r="CG961" s="28" t="s">
        <v>138</v>
      </c>
      <c r="CH961" s="28" t="s">
        <v>174</v>
      </c>
      <c r="CI961" s="28" t="s">
        <v>138</v>
      </c>
      <c r="CJ961" s="28" t="s">
        <v>138</v>
      </c>
      <c r="CK961" s="28" t="s">
        <v>138</v>
      </c>
      <c r="CL961" s="28" t="s">
        <v>175</v>
      </c>
      <c r="CM961" s="34" t="s">
        <v>138</v>
      </c>
      <c r="CN961" s="29" t="s">
        <v>138</v>
      </c>
      <c r="CO961" s="35">
        <v>2.14</v>
      </c>
      <c r="CP961" s="36">
        <v>99</v>
      </c>
      <c r="CQ961" s="35">
        <v>-0.06</v>
      </c>
      <c r="CR961" s="35">
        <v>-2.9</v>
      </c>
      <c r="CS961" s="35">
        <v>2.57</v>
      </c>
      <c r="CT961" s="36">
        <v>99</v>
      </c>
      <c r="CU961" s="35">
        <v>0.1</v>
      </c>
      <c r="CV961" s="36">
        <v>68</v>
      </c>
      <c r="CW961" s="35">
        <v>2.57</v>
      </c>
      <c r="CX961" s="36">
        <v>90</v>
      </c>
      <c r="CY961" s="35" t="s">
        <v>138</v>
      </c>
      <c r="CZ961" s="36" t="s">
        <v>138</v>
      </c>
      <c r="DA961" s="35">
        <v>0.1</v>
      </c>
      <c r="DB961" s="36">
        <v>72</v>
      </c>
      <c r="DC961" s="37">
        <v>167.92</v>
      </c>
      <c r="DD961" s="36">
        <v>100</v>
      </c>
      <c r="DE961" s="37">
        <v>-5.18</v>
      </c>
      <c r="DF961" s="35">
        <v>-2.99</v>
      </c>
      <c r="DG961" s="37">
        <v>231.52</v>
      </c>
      <c r="DH961" s="36">
        <v>100</v>
      </c>
      <c r="DI961" s="37">
        <v>47.59</v>
      </c>
      <c r="DJ961" s="36">
        <v>95</v>
      </c>
      <c r="DK961" s="37">
        <v>231.52</v>
      </c>
      <c r="DL961" s="36">
        <v>99</v>
      </c>
      <c r="DM961" s="37" t="s">
        <v>138</v>
      </c>
      <c r="DN961" s="36" t="s">
        <v>138</v>
      </c>
      <c r="DO961" s="37">
        <v>30.32</v>
      </c>
      <c r="DP961" s="36">
        <v>95</v>
      </c>
      <c r="DQ961" s="36">
        <v>78081</v>
      </c>
      <c r="DR961" s="38">
        <v>3993</v>
      </c>
      <c r="DS961" s="35">
        <v>5.39</v>
      </c>
      <c r="DT961" s="36" t="s">
        <v>138</v>
      </c>
      <c r="DU961" s="38" t="s">
        <v>138</v>
      </c>
      <c r="DV961" s="35" t="s">
        <v>138</v>
      </c>
      <c r="DW961" s="36">
        <v>10855</v>
      </c>
      <c r="DX961" s="39">
        <v>14</v>
      </c>
      <c r="DY961" s="35">
        <v>0.13</v>
      </c>
      <c r="DZ961" s="28" t="s">
        <v>178</v>
      </c>
      <c r="EA961" s="34">
        <v>43451</v>
      </c>
      <c r="EB961" s="29" t="s">
        <v>138</v>
      </c>
      <c r="EC961" s="34" t="s">
        <v>138</v>
      </c>
      <c r="ED961" s="28" t="s">
        <v>138</v>
      </c>
      <c r="EE961" s="40" t="str">
        <f>HYPERLINK("https://my.pitchbook.com?c=156382-03", "View company online")</f>
        <v>View company online</v>
      </c>
    </row>
    <row r="962" spans="1:135">
      <c r="A962" s="15" t="s">
        <v>18902</v>
      </c>
      <c r="B962" s="15" t="s">
        <v>18903</v>
      </c>
      <c r="C962" s="15" t="s">
        <v>18904</v>
      </c>
      <c r="D962" s="15" t="s">
        <v>138</v>
      </c>
      <c r="E962" s="15" t="s">
        <v>18905</v>
      </c>
      <c r="F962" s="15" t="s">
        <v>18902</v>
      </c>
      <c r="G962" s="15" t="s">
        <v>18906</v>
      </c>
      <c r="H962" s="15" t="s">
        <v>322</v>
      </c>
      <c r="I962" s="15" t="s">
        <v>3488</v>
      </c>
      <c r="J962" s="15" t="s">
        <v>3488</v>
      </c>
      <c r="K962" s="15" t="s">
        <v>18907</v>
      </c>
      <c r="L962" s="15" t="s">
        <v>3343</v>
      </c>
      <c r="M962" s="15" t="s">
        <v>18908</v>
      </c>
      <c r="N962" s="15" t="s">
        <v>1452</v>
      </c>
      <c r="O962" s="17">
        <v>1.1399999999999999</v>
      </c>
      <c r="P962" s="15" t="s">
        <v>812</v>
      </c>
      <c r="Q962" s="15" t="s">
        <v>149</v>
      </c>
      <c r="R962" s="15" t="s">
        <v>328</v>
      </c>
      <c r="S962" s="15" t="s">
        <v>18909</v>
      </c>
      <c r="T962" s="18">
        <v>125</v>
      </c>
      <c r="U962" s="15" t="s">
        <v>18910</v>
      </c>
      <c r="V962" s="15" t="s">
        <v>138</v>
      </c>
      <c r="W962" s="15" t="s">
        <v>138</v>
      </c>
      <c r="X962" s="19">
        <v>1999</v>
      </c>
      <c r="Y962" s="15" t="s">
        <v>138</v>
      </c>
      <c r="Z962" s="15" t="s">
        <v>138</v>
      </c>
      <c r="AA962" s="15" t="s">
        <v>138</v>
      </c>
      <c r="AB962" s="20">
        <v>30.72</v>
      </c>
      <c r="AC962" s="20" t="s">
        <v>138</v>
      </c>
      <c r="AD962" s="20">
        <v>0.64</v>
      </c>
      <c r="AE962" s="20" t="s">
        <v>138</v>
      </c>
      <c r="AF962" s="20">
        <v>2.3199999999999998</v>
      </c>
      <c r="AG962" s="15" t="s">
        <v>419</v>
      </c>
      <c r="AH962" s="20">
        <v>3.39</v>
      </c>
      <c r="AI962" s="20" t="s">
        <v>138</v>
      </c>
      <c r="AJ962" s="20">
        <v>0</v>
      </c>
      <c r="AK962" s="15" t="s">
        <v>18911</v>
      </c>
      <c r="AL962" s="15" t="s">
        <v>18912</v>
      </c>
      <c r="AM962" s="15" t="s">
        <v>249</v>
      </c>
      <c r="AN962" s="15" t="s">
        <v>18913</v>
      </c>
      <c r="AO962" s="15" t="s">
        <v>18914</v>
      </c>
      <c r="AP962" s="15" t="s">
        <v>18915</v>
      </c>
      <c r="AQ962" s="15" t="s">
        <v>18916</v>
      </c>
      <c r="AR962" s="15" t="s">
        <v>18917</v>
      </c>
      <c r="AS962" s="15" t="s">
        <v>18918</v>
      </c>
      <c r="AT962" s="15" t="s">
        <v>824</v>
      </c>
      <c r="AU962" s="15" t="s">
        <v>18919</v>
      </c>
      <c r="AV962" s="15" t="s">
        <v>526</v>
      </c>
      <c r="AW962" s="15" t="s">
        <v>18914</v>
      </c>
      <c r="AX962" s="15" t="s">
        <v>138</v>
      </c>
      <c r="AY962" s="15" t="s">
        <v>18920</v>
      </c>
      <c r="AZ962" s="15" t="s">
        <v>530</v>
      </c>
      <c r="BA962" s="15" t="s">
        <v>531</v>
      </c>
      <c r="BB962" s="15" t="s">
        <v>18921</v>
      </c>
      <c r="BC962" s="15" t="s">
        <v>18922</v>
      </c>
      <c r="BD962" s="21">
        <v>4</v>
      </c>
      <c r="BE962" s="15" t="s">
        <v>138</v>
      </c>
      <c r="BF962" s="15" t="s">
        <v>18923</v>
      </c>
      <c r="BG962" s="15" t="s">
        <v>138</v>
      </c>
      <c r="BH962" s="15" t="s">
        <v>18924</v>
      </c>
      <c r="BI962" s="15" t="s">
        <v>18925</v>
      </c>
      <c r="BJ962" s="15" t="s">
        <v>138</v>
      </c>
      <c r="BK962" s="15" t="s">
        <v>18926</v>
      </c>
      <c r="BL962" s="15" t="s">
        <v>138</v>
      </c>
      <c r="BM962" s="22">
        <v>37477</v>
      </c>
      <c r="BN962" s="17" t="s">
        <v>138</v>
      </c>
      <c r="BO962" s="15" t="s">
        <v>138</v>
      </c>
      <c r="BP962" s="17" t="s">
        <v>138</v>
      </c>
      <c r="BQ962" s="15" t="s">
        <v>138</v>
      </c>
      <c r="BR962" s="15" t="s">
        <v>205</v>
      </c>
      <c r="BS962" s="15" t="s">
        <v>138</v>
      </c>
      <c r="BT962" s="15" t="s">
        <v>138</v>
      </c>
      <c r="BU962" s="15" t="s">
        <v>174</v>
      </c>
      <c r="BV962" s="15" t="s">
        <v>138</v>
      </c>
      <c r="BW962" s="15" t="s">
        <v>138</v>
      </c>
      <c r="BX962" s="15" t="s">
        <v>138</v>
      </c>
      <c r="BY962" s="15" t="s">
        <v>175</v>
      </c>
      <c r="BZ962" s="22">
        <v>40544</v>
      </c>
      <c r="CA962" s="17" t="s">
        <v>138</v>
      </c>
      <c r="CB962" s="15" t="s">
        <v>138</v>
      </c>
      <c r="CC962" s="17" t="s">
        <v>138</v>
      </c>
      <c r="CD962" s="15" t="s">
        <v>138</v>
      </c>
      <c r="CE962" s="15" t="s">
        <v>2079</v>
      </c>
      <c r="CF962" s="15" t="s">
        <v>138</v>
      </c>
      <c r="CG962" s="15" t="s">
        <v>138</v>
      </c>
      <c r="CH962" s="15" t="s">
        <v>177</v>
      </c>
      <c r="CI962" s="15" t="s">
        <v>138</v>
      </c>
      <c r="CJ962" s="15" t="s">
        <v>138</v>
      </c>
      <c r="CK962" s="15" t="s">
        <v>138</v>
      </c>
      <c r="CL962" s="15" t="s">
        <v>175</v>
      </c>
      <c r="CM962" s="22" t="s">
        <v>138</v>
      </c>
      <c r="CN962" s="17" t="s">
        <v>138</v>
      </c>
      <c r="CO962" s="23">
        <v>0.26</v>
      </c>
      <c r="CP962" s="24">
        <v>93</v>
      </c>
      <c r="CQ962" s="23">
        <v>-0.06</v>
      </c>
      <c r="CR962" s="23">
        <v>-20.04</v>
      </c>
      <c r="CS962" s="23" t="s">
        <v>138</v>
      </c>
      <c r="CT962" s="24" t="s">
        <v>138</v>
      </c>
      <c r="CU962" s="23">
        <v>0.26</v>
      </c>
      <c r="CV962" s="24">
        <v>85</v>
      </c>
      <c r="CW962" s="23" t="s">
        <v>138</v>
      </c>
      <c r="CX962" s="24" t="s">
        <v>138</v>
      </c>
      <c r="CY962" s="23" t="s">
        <v>138</v>
      </c>
      <c r="CZ962" s="24" t="s">
        <v>138</v>
      </c>
      <c r="DA962" s="23">
        <v>0.26</v>
      </c>
      <c r="DB962" s="24">
        <v>87</v>
      </c>
      <c r="DC962" s="25">
        <v>1.65</v>
      </c>
      <c r="DD962" s="24">
        <v>63</v>
      </c>
      <c r="DE962" s="25">
        <v>0.01</v>
      </c>
      <c r="DF962" s="23">
        <v>0.39</v>
      </c>
      <c r="DG962" s="25" t="s">
        <v>138</v>
      </c>
      <c r="DH962" s="24" t="s">
        <v>138</v>
      </c>
      <c r="DI962" s="25">
        <v>1.65</v>
      </c>
      <c r="DJ962" s="24">
        <v>59</v>
      </c>
      <c r="DK962" s="25" t="s">
        <v>138</v>
      </c>
      <c r="DL962" s="24" t="s">
        <v>138</v>
      </c>
      <c r="DM962" s="25" t="s">
        <v>138</v>
      </c>
      <c r="DN962" s="24" t="s">
        <v>138</v>
      </c>
      <c r="DO962" s="25">
        <v>1.65</v>
      </c>
      <c r="DP962" s="24">
        <v>60</v>
      </c>
      <c r="DQ962" s="24">
        <v>59</v>
      </c>
      <c r="DR962" s="26">
        <v>-2</v>
      </c>
      <c r="DS962" s="23">
        <v>-3.28</v>
      </c>
      <c r="DT962" s="24" t="s">
        <v>138</v>
      </c>
      <c r="DU962" s="26" t="s">
        <v>138</v>
      </c>
      <c r="DV962" s="23" t="s">
        <v>138</v>
      </c>
      <c r="DW962" s="24">
        <v>590</v>
      </c>
      <c r="DX962" s="27">
        <v>-1</v>
      </c>
      <c r="DY962" s="23">
        <v>-0.17</v>
      </c>
      <c r="DZ962" s="15" t="s">
        <v>178</v>
      </c>
      <c r="EA962" s="22">
        <v>43351</v>
      </c>
      <c r="EB962" s="17" t="s">
        <v>138</v>
      </c>
      <c r="EC962" s="22" t="s">
        <v>138</v>
      </c>
      <c r="ED962" s="15" t="s">
        <v>138</v>
      </c>
      <c r="EE962" s="14" t="str">
        <f>HYPERLINK("https://my.pitchbook.com?c=53287-84", "View company online")</f>
        <v>View company online</v>
      </c>
    </row>
    <row r="963" spans="1:135">
      <c r="A963" s="28" t="s">
        <v>18927</v>
      </c>
      <c r="B963" s="28" t="s">
        <v>18928</v>
      </c>
      <c r="C963" s="28" t="s">
        <v>138</v>
      </c>
      <c r="D963" s="28" t="s">
        <v>138</v>
      </c>
      <c r="E963" s="28" t="s">
        <v>18929</v>
      </c>
      <c r="F963" s="28" t="s">
        <v>18927</v>
      </c>
      <c r="G963" s="28" t="s">
        <v>18930</v>
      </c>
      <c r="H963" s="28" t="s">
        <v>322</v>
      </c>
      <c r="I963" s="28" t="s">
        <v>1208</v>
      </c>
      <c r="J963" s="28" t="s">
        <v>5371</v>
      </c>
      <c r="K963" s="28" t="s">
        <v>5372</v>
      </c>
      <c r="L963" s="28" t="s">
        <v>18931</v>
      </c>
      <c r="M963" s="28" t="s">
        <v>18932</v>
      </c>
      <c r="N963" s="28" t="s">
        <v>147</v>
      </c>
      <c r="O963" s="29">
        <v>140.44999999999999</v>
      </c>
      <c r="P963" s="28" t="s">
        <v>148</v>
      </c>
      <c r="Q963" s="28" t="s">
        <v>149</v>
      </c>
      <c r="R963" s="28" t="s">
        <v>174</v>
      </c>
      <c r="S963" s="28" t="s">
        <v>18933</v>
      </c>
      <c r="T963" s="30">
        <v>55</v>
      </c>
      <c r="U963" s="28" t="s">
        <v>18934</v>
      </c>
      <c r="V963" s="28" t="s">
        <v>138</v>
      </c>
      <c r="W963" s="28" t="s">
        <v>138</v>
      </c>
      <c r="X963" s="31">
        <v>2009</v>
      </c>
      <c r="Y963" s="28" t="s">
        <v>138</v>
      </c>
      <c r="Z963" s="28" t="s">
        <v>138</v>
      </c>
      <c r="AA963" s="28" t="s">
        <v>138</v>
      </c>
      <c r="AB963" s="32" t="s">
        <v>138</v>
      </c>
      <c r="AC963" s="32" t="s">
        <v>138</v>
      </c>
      <c r="AD963" s="32" t="s">
        <v>138</v>
      </c>
      <c r="AE963" s="32" t="s">
        <v>138</v>
      </c>
      <c r="AF963" s="32" t="s">
        <v>138</v>
      </c>
      <c r="AG963" s="28" t="s">
        <v>138</v>
      </c>
      <c r="AH963" s="32" t="s">
        <v>138</v>
      </c>
      <c r="AI963" s="32" t="s">
        <v>138</v>
      </c>
      <c r="AJ963" s="32" t="s">
        <v>138</v>
      </c>
      <c r="AK963" s="28" t="s">
        <v>18935</v>
      </c>
      <c r="AL963" s="28" t="s">
        <v>18936</v>
      </c>
      <c r="AM963" s="28" t="s">
        <v>2878</v>
      </c>
      <c r="AN963" s="28" t="s">
        <v>18937</v>
      </c>
      <c r="AO963" s="28" t="s">
        <v>18938</v>
      </c>
      <c r="AP963" s="28" t="s">
        <v>1220</v>
      </c>
      <c r="AQ963" s="28" t="s">
        <v>8792</v>
      </c>
      <c r="AR963" s="28" t="s">
        <v>1170</v>
      </c>
      <c r="AS963" s="28" t="s">
        <v>1223</v>
      </c>
      <c r="AT963" s="28" t="s">
        <v>200</v>
      </c>
      <c r="AU963" s="28" t="s">
        <v>5087</v>
      </c>
      <c r="AV963" s="28" t="s">
        <v>162</v>
      </c>
      <c r="AW963" s="28" t="s">
        <v>18938</v>
      </c>
      <c r="AX963" s="28" t="s">
        <v>138</v>
      </c>
      <c r="AY963" s="28" t="s">
        <v>18939</v>
      </c>
      <c r="AZ963" s="28" t="s">
        <v>164</v>
      </c>
      <c r="BA963" s="28" t="s">
        <v>165</v>
      </c>
      <c r="BB963" s="28" t="s">
        <v>18940</v>
      </c>
      <c r="BC963" s="28" t="s">
        <v>18941</v>
      </c>
      <c r="BD963" s="33">
        <v>12</v>
      </c>
      <c r="BE963" s="28" t="s">
        <v>138</v>
      </c>
      <c r="BF963" s="28" t="s">
        <v>138</v>
      </c>
      <c r="BG963" s="28" t="s">
        <v>138</v>
      </c>
      <c r="BH963" s="28" t="s">
        <v>18942</v>
      </c>
      <c r="BI963" s="28" t="s">
        <v>138</v>
      </c>
      <c r="BJ963" s="28" t="s">
        <v>138</v>
      </c>
      <c r="BK963" s="28" t="s">
        <v>2936</v>
      </c>
      <c r="BL963" s="28" t="s">
        <v>18943</v>
      </c>
      <c r="BM963" s="34">
        <v>40053</v>
      </c>
      <c r="BN963" s="29">
        <v>10</v>
      </c>
      <c r="BO963" s="28" t="s">
        <v>172</v>
      </c>
      <c r="BP963" s="29">
        <v>22.5</v>
      </c>
      <c r="BQ963" s="28" t="s">
        <v>172</v>
      </c>
      <c r="BR963" s="28" t="s">
        <v>205</v>
      </c>
      <c r="BS963" s="28" t="s">
        <v>206</v>
      </c>
      <c r="BT963" s="28" t="s">
        <v>138</v>
      </c>
      <c r="BU963" s="28" t="s">
        <v>174</v>
      </c>
      <c r="BV963" s="28" t="s">
        <v>138</v>
      </c>
      <c r="BW963" s="28" t="s">
        <v>138</v>
      </c>
      <c r="BX963" s="28" t="s">
        <v>138</v>
      </c>
      <c r="BY963" s="28" t="s">
        <v>175</v>
      </c>
      <c r="BZ963" s="34">
        <v>43006</v>
      </c>
      <c r="CA963" s="29">
        <v>30</v>
      </c>
      <c r="CB963" s="28" t="s">
        <v>172</v>
      </c>
      <c r="CC963" s="29">
        <v>305</v>
      </c>
      <c r="CD963" s="28" t="s">
        <v>172</v>
      </c>
      <c r="CE963" s="28" t="s">
        <v>173</v>
      </c>
      <c r="CF963" s="28" t="s">
        <v>9579</v>
      </c>
      <c r="CG963" s="28" t="s">
        <v>138</v>
      </c>
      <c r="CH963" s="28" t="s">
        <v>174</v>
      </c>
      <c r="CI963" s="28" t="s">
        <v>138</v>
      </c>
      <c r="CJ963" s="28" t="s">
        <v>138</v>
      </c>
      <c r="CK963" s="28" t="s">
        <v>138</v>
      </c>
      <c r="CL963" s="28" t="s">
        <v>175</v>
      </c>
      <c r="CM963" s="34" t="s">
        <v>138</v>
      </c>
      <c r="CN963" s="29" t="s">
        <v>138</v>
      </c>
      <c r="CO963" s="35">
        <v>0.1</v>
      </c>
      <c r="CP963" s="36">
        <v>90</v>
      </c>
      <c r="CQ963" s="35">
        <v>0</v>
      </c>
      <c r="CR963" s="35">
        <v>0</v>
      </c>
      <c r="CS963" s="35">
        <v>0</v>
      </c>
      <c r="CT963" s="36">
        <v>23</v>
      </c>
      <c r="CU963" s="35">
        <v>0.2</v>
      </c>
      <c r="CV963" s="36">
        <v>80</v>
      </c>
      <c r="CW963" s="35">
        <v>0</v>
      </c>
      <c r="CX963" s="36">
        <v>13</v>
      </c>
      <c r="CY963" s="35" t="s">
        <v>138</v>
      </c>
      <c r="CZ963" s="36" t="s">
        <v>138</v>
      </c>
      <c r="DA963" s="35">
        <v>0.2</v>
      </c>
      <c r="DB963" s="36">
        <v>82</v>
      </c>
      <c r="DC963" s="37">
        <v>1.76</v>
      </c>
      <c r="DD963" s="36">
        <v>64</v>
      </c>
      <c r="DE963" s="37">
        <v>-0.17</v>
      </c>
      <c r="DF963" s="35">
        <v>-8.68</v>
      </c>
      <c r="DG963" s="37">
        <v>2.65</v>
      </c>
      <c r="DH963" s="36">
        <v>72</v>
      </c>
      <c r="DI963" s="37">
        <v>0.87</v>
      </c>
      <c r="DJ963" s="36">
        <v>46</v>
      </c>
      <c r="DK963" s="37">
        <v>2.65</v>
      </c>
      <c r="DL963" s="36">
        <v>69</v>
      </c>
      <c r="DM963" s="37" t="s">
        <v>138</v>
      </c>
      <c r="DN963" s="36" t="s">
        <v>138</v>
      </c>
      <c r="DO963" s="37">
        <v>0.87</v>
      </c>
      <c r="DP963" s="36">
        <v>48</v>
      </c>
      <c r="DQ963" s="36">
        <v>902</v>
      </c>
      <c r="DR963" s="38">
        <v>17</v>
      </c>
      <c r="DS963" s="35">
        <v>1.92</v>
      </c>
      <c r="DT963" s="36" t="s">
        <v>138</v>
      </c>
      <c r="DU963" s="38" t="s">
        <v>138</v>
      </c>
      <c r="DV963" s="35" t="s">
        <v>138</v>
      </c>
      <c r="DW963" s="36">
        <v>313</v>
      </c>
      <c r="DX963" s="39">
        <v>0</v>
      </c>
      <c r="DY963" s="35">
        <v>0</v>
      </c>
      <c r="DZ963" s="28" t="s">
        <v>178</v>
      </c>
      <c r="EA963" s="34">
        <v>43622</v>
      </c>
      <c r="EB963" s="29">
        <v>305</v>
      </c>
      <c r="EC963" s="34">
        <v>43006</v>
      </c>
      <c r="ED963" s="28" t="s">
        <v>173</v>
      </c>
      <c r="EE963" s="40" t="str">
        <f>HYPERLINK("https://my.pitchbook.com?c=52812-91", "View company online")</f>
        <v>View company online</v>
      </c>
    </row>
    <row r="964" spans="1:135">
      <c r="A964" s="15" t="s">
        <v>18944</v>
      </c>
      <c r="B964" s="15" t="s">
        <v>18945</v>
      </c>
      <c r="C964" s="15" t="s">
        <v>138</v>
      </c>
      <c r="D964" s="15" t="s">
        <v>138</v>
      </c>
      <c r="E964" s="15" t="s">
        <v>18946</v>
      </c>
      <c r="F964" s="15" t="s">
        <v>18944</v>
      </c>
      <c r="G964" s="15" t="s">
        <v>18947</v>
      </c>
      <c r="H964" s="15" t="s">
        <v>238</v>
      </c>
      <c r="I964" s="15" t="s">
        <v>269</v>
      </c>
      <c r="J964" s="15" t="s">
        <v>296</v>
      </c>
      <c r="K964" s="15" t="s">
        <v>297</v>
      </c>
      <c r="L964" s="15" t="s">
        <v>15062</v>
      </c>
      <c r="M964" s="15" t="s">
        <v>18948</v>
      </c>
      <c r="N964" s="15" t="s">
        <v>147</v>
      </c>
      <c r="O964" s="17">
        <v>37.119999999999997</v>
      </c>
      <c r="P964" s="15" t="s">
        <v>148</v>
      </c>
      <c r="Q964" s="15" t="s">
        <v>149</v>
      </c>
      <c r="R964" s="15" t="s">
        <v>174</v>
      </c>
      <c r="S964" s="15" t="s">
        <v>18949</v>
      </c>
      <c r="T964" s="18">
        <v>50</v>
      </c>
      <c r="U964" s="15" t="s">
        <v>18950</v>
      </c>
      <c r="V964" s="15" t="s">
        <v>138</v>
      </c>
      <c r="W964" s="15" t="s">
        <v>138</v>
      </c>
      <c r="X964" s="19">
        <v>2017</v>
      </c>
      <c r="Y964" s="15" t="s">
        <v>138</v>
      </c>
      <c r="Z964" s="15" t="s">
        <v>138</v>
      </c>
      <c r="AA964" s="15" t="s">
        <v>138</v>
      </c>
      <c r="AB964" s="20" t="s">
        <v>138</v>
      </c>
      <c r="AC964" s="20" t="s">
        <v>138</v>
      </c>
      <c r="AD964" s="20" t="s">
        <v>138</v>
      </c>
      <c r="AE964" s="20" t="s">
        <v>138</v>
      </c>
      <c r="AF964" s="20" t="s">
        <v>138</v>
      </c>
      <c r="AG964" s="15" t="s">
        <v>138</v>
      </c>
      <c r="AH964" s="20" t="s">
        <v>138</v>
      </c>
      <c r="AI964" s="20" t="s">
        <v>138</v>
      </c>
      <c r="AJ964" s="20" t="s">
        <v>138</v>
      </c>
      <c r="AK964" s="15" t="s">
        <v>18951</v>
      </c>
      <c r="AL964" s="15" t="s">
        <v>18952</v>
      </c>
      <c r="AM964" s="15" t="s">
        <v>304</v>
      </c>
      <c r="AN964" s="15" t="s">
        <v>18953</v>
      </c>
      <c r="AO964" s="15" t="s">
        <v>18954</v>
      </c>
      <c r="AP964" s="15" t="s">
        <v>9336</v>
      </c>
      <c r="AQ964" s="15" t="s">
        <v>18955</v>
      </c>
      <c r="AR964" s="15" t="s">
        <v>138</v>
      </c>
      <c r="AS964" s="15" t="s">
        <v>9338</v>
      </c>
      <c r="AT964" s="15" t="s">
        <v>1389</v>
      </c>
      <c r="AU964" s="15" t="s">
        <v>18956</v>
      </c>
      <c r="AV964" s="15" t="s">
        <v>162</v>
      </c>
      <c r="AW964" s="15" t="s">
        <v>18954</v>
      </c>
      <c r="AX964" s="15" t="s">
        <v>138</v>
      </c>
      <c r="AY964" s="15" t="s">
        <v>18957</v>
      </c>
      <c r="AZ964" s="15" t="s">
        <v>164</v>
      </c>
      <c r="BA964" s="15" t="s">
        <v>165</v>
      </c>
      <c r="BB964" s="15" t="s">
        <v>18958</v>
      </c>
      <c r="BC964" s="15" t="s">
        <v>18959</v>
      </c>
      <c r="BD964" s="21">
        <v>17</v>
      </c>
      <c r="BE964" s="15" t="s">
        <v>138</v>
      </c>
      <c r="BF964" s="15" t="s">
        <v>138</v>
      </c>
      <c r="BG964" s="15" t="s">
        <v>138</v>
      </c>
      <c r="BH964" s="15" t="s">
        <v>18960</v>
      </c>
      <c r="BI964" s="15" t="s">
        <v>138</v>
      </c>
      <c r="BJ964" s="15" t="s">
        <v>138</v>
      </c>
      <c r="BK964" s="15" t="s">
        <v>1251</v>
      </c>
      <c r="BL964" s="15" t="s">
        <v>1251</v>
      </c>
      <c r="BM964" s="22">
        <v>42968</v>
      </c>
      <c r="BN964" s="17">
        <v>0.12</v>
      </c>
      <c r="BO964" s="15" t="s">
        <v>172</v>
      </c>
      <c r="BP964" s="17">
        <v>1.71</v>
      </c>
      <c r="BQ964" s="15" t="s">
        <v>172</v>
      </c>
      <c r="BR964" s="15" t="s">
        <v>316</v>
      </c>
      <c r="BS964" s="15" t="s">
        <v>138</v>
      </c>
      <c r="BT964" s="15" t="s">
        <v>138</v>
      </c>
      <c r="BU964" s="15" t="s">
        <v>177</v>
      </c>
      <c r="BV964" s="15" t="s">
        <v>138</v>
      </c>
      <c r="BW964" s="15" t="s">
        <v>138</v>
      </c>
      <c r="BX964" s="15" t="s">
        <v>138</v>
      </c>
      <c r="BY964" s="15" t="s">
        <v>175</v>
      </c>
      <c r="BZ964" s="22">
        <v>43508</v>
      </c>
      <c r="CA964" s="17">
        <v>22</v>
      </c>
      <c r="CB964" s="15" t="s">
        <v>172</v>
      </c>
      <c r="CC964" s="17">
        <v>61.9</v>
      </c>
      <c r="CD964" s="15" t="s">
        <v>172</v>
      </c>
      <c r="CE964" s="15" t="s">
        <v>205</v>
      </c>
      <c r="CF964" s="15" t="s">
        <v>206</v>
      </c>
      <c r="CG964" s="15" t="s">
        <v>138</v>
      </c>
      <c r="CH964" s="15" t="s">
        <v>174</v>
      </c>
      <c r="CI964" s="15" t="s">
        <v>177</v>
      </c>
      <c r="CJ964" s="15" t="s">
        <v>138</v>
      </c>
      <c r="CK964" s="15" t="s">
        <v>138</v>
      </c>
      <c r="CL964" s="15" t="s">
        <v>175</v>
      </c>
      <c r="CM964" s="22" t="s">
        <v>138</v>
      </c>
      <c r="CN964" s="17" t="s">
        <v>138</v>
      </c>
      <c r="CO964" s="23">
        <v>1.22</v>
      </c>
      <c r="CP964" s="24">
        <v>98</v>
      </c>
      <c r="CQ964" s="23">
        <v>0.16</v>
      </c>
      <c r="CR964" s="23">
        <v>15.65</v>
      </c>
      <c r="CS964" s="23" t="s">
        <v>138</v>
      </c>
      <c r="CT964" s="24" t="s">
        <v>138</v>
      </c>
      <c r="CU964" s="23">
        <v>1.38</v>
      </c>
      <c r="CV964" s="24">
        <v>99</v>
      </c>
      <c r="CW964" s="23" t="s">
        <v>138</v>
      </c>
      <c r="CX964" s="24" t="s">
        <v>138</v>
      </c>
      <c r="CY964" s="23" t="s">
        <v>138</v>
      </c>
      <c r="CZ964" s="24" t="s">
        <v>138</v>
      </c>
      <c r="DA964" s="23">
        <v>1.38</v>
      </c>
      <c r="DB964" s="24">
        <v>99</v>
      </c>
      <c r="DC964" s="25">
        <v>1.66</v>
      </c>
      <c r="DD964" s="24">
        <v>63</v>
      </c>
      <c r="DE964" s="25">
        <v>1.56</v>
      </c>
      <c r="DF964" s="23">
        <v>1686.04</v>
      </c>
      <c r="DG964" s="25" t="s">
        <v>138</v>
      </c>
      <c r="DH964" s="24" t="s">
        <v>138</v>
      </c>
      <c r="DI964" s="25">
        <v>3.22</v>
      </c>
      <c r="DJ964" s="24">
        <v>71</v>
      </c>
      <c r="DK964" s="25" t="s">
        <v>138</v>
      </c>
      <c r="DL964" s="24" t="s">
        <v>138</v>
      </c>
      <c r="DM964" s="25" t="s">
        <v>138</v>
      </c>
      <c r="DN964" s="24" t="s">
        <v>138</v>
      </c>
      <c r="DO964" s="25">
        <v>3.22</v>
      </c>
      <c r="DP964" s="24">
        <v>72</v>
      </c>
      <c r="DQ964" s="24" t="s">
        <v>138</v>
      </c>
      <c r="DR964" s="26" t="s">
        <v>138</v>
      </c>
      <c r="DS964" s="23" t="s">
        <v>138</v>
      </c>
      <c r="DT964" s="24" t="s">
        <v>138</v>
      </c>
      <c r="DU964" s="26" t="s">
        <v>138</v>
      </c>
      <c r="DV964" s="23" t="s">
        <v>138</v>
      </c>
      <c r="DW964" s="24">
        <v>1145</v>
      </c>
      <c r="DX964" s="27">
        <v>10</v>
      </c>
      <c r="DY964" s="23">
        <v>0.88</v>
      </c>
      <c r="DZ964" s="15" t="s">
        <v>178</v>
      </c>
      <c r="EA964" s="22">
        <v>43578</v>
      </c>
      <c r="EB964" s="17">
        <v>61.9</v>
      </c>
      <c r="EC964" s="22">
        <v>43508</v>
      </c>
      <c r="ED964" s="15" t="s">
        <v>205</v>
      </c>
      <c r="EE964" s="14" t="str">
        <f>HYPERLINK("https://my.pitchbook.com?c=180189-19", "View company online")</f>
        <v>View company online</v>
      </c>
    </row>
    <row r="965" spans="1:135">
      <c r="A965" s="28" t="s">
        <v>18961</v>
      </c>
      <c r="B965" s="28" t="s">
        <v>18962</v>
      </c>
      <c r="C965" s="28" t="s">
        <v>138</v>
      </c>
      <c r="D965" s="28" t="s">
        <v>138</v>
      </c>
      <c r="E965" s="28" t="s">
        <v>138</v>
      </c>
      <c r="F965" s="28" t="s">
        <v>18961</v>
      </c>
      <c r="G965" s="28" t="s">
        <v>18963</v>
      </c>
      <c r="H965" s="28" t="s">
        <v>141</v>
      </c>
      <c r="I965" s="28" t="s">
        <v>142</v>
      </c>
      <c r="J965" s="28" t="s">
        <v>8805</v>
      </c>
      <c r="K965" s="28" t="s">
        <v>18964</v>
      </c>
      <c r="L965" s="28" t="s">
        <v>1284</v>
      </c>
      <c r="M965" s="28" t="s">
        <v>18965</v>
      </c>
      <c r="N965" s="28" t="s">
        <v>2109</v>
      </c>
      <c r="O965" s="29">
        <v>12.81</v>
      </c>
      <c r="P965" s="28" t="s">
        <v>148</v>
      </c>
      <c r="Q965" s="28" t="s">
        <v>149</v>
      </c>
      <c r="R965" s="28" t="s">
        <v>150</v>
      </c>
      <c r="S965" s="28" t="s">
        <v>18966</v>
      </c>
      <c r="T965" s="30">
        <v>2</v>
      </c>
      <c r="U965" s="28" t="s">
        <v>3551</v>
      </c>
      <c r="V965" s="28" t="s">
        <v>138</v>
      </c>
      <c r="W965" s="28" t="s">
        <v>138</v>
      </c>
      <c r="X965" s="31">
        <v>1996</v>
      </c>
      <c r="Y965" s="28" t="s">
        <v>138</v>
      </c>
      <c r="Z965" s="28" t="s">
        <v>138</v>
      </c>
      <c r="AA965" s="28" t="s">
        <v>138</v>
      </c>
      <c r="AB965" s="32">
        <v>43.88</v>
      </c>
      <c r="AC965" s="32" t="s">
        <v>138</v>
      </c>
      <c r="AD965" s="32" t="s">
        <v>138</v>
      </c>
      <c r="AE965" s="32" t="s">
        <v>138</v>
      </c>
      <c r="AF965" s="32" t="s">
        <v>138</v>
      </c>
      <c r="AG965" s="28" t="s">
        <v>18967</v>
      </c>
      <c r="AH965" s="32" t="s">
        <v>138</v>
      </c>
      <c r="AI965" s="32" t="s">
        <v>138</v>
      </c>
      <c r="AJ965" s="32" t="s">
        <v>138</v>
      </c>
      <c r="AK965" s="28" t="s">
        <v>18968</v>
      </c>
      <c r="AL965" s="28" t="s">
        <v>18969</v>
      </c>
      <c r="AM965" s="28" t="s">
        <v>18970</v>
      </c>
      <c r="AN965" s="28" t="s">
        <v>18971</v>
      </c>
      <c r="AO965" s="28" t="s">
        <v>18972</v>
      </c>
      <c r="AP965" s="28" t="s">
        <v>18973</v>
      </c>
      <c r="AQ965" s="28" t="s">
        <v>18974</v>
      </c>
      <c r="AR965" s="28" t="s">
        <v>138</v>
      </c>
      <c r="AS965" s="28" t="s">
        <v>18975</v>
      </c>
      <c r="AT965" s="28" t="s">
        <v>138</v>
      </c>
      <c r="AU965" s="28" t="s">
        <v>18976</v>
      </c>
      <c r="AV965" s="28" t="s">
        <v>946</v>
      </c>
      <c r="AW965" s="28" t="s">
        <v>18972</v>
      </c>
      <c r="AX965" s="28" t="s">
        <v>18977</v>
      </c>
      <c r="AY965" s="28" t="s">
        <v>18978</v>
      </c>
      <c r="AZ965" s="28" t="s">
        <v>530</v>
      </c>
      <c r="BA965" s="28" t="s">
        <v>531</v>
      </c>
      <c r="BB965" s="28" t="s">
        <v>18979</v>
      </c>
      <c r="BC965" s="28" t="s">
        <v>138</v>
      </c>
      <c r="BD965" s="33" t="s">
        <v>138</v>
      </c>
      <c r="BE965" s="28" t="s">
        <v>18980</v>
      </c>
      <c r="BF965" s="28" t="s">
        <v>3047</v>
      </c>
      <c r="BG965" s="28" t="s">
        <v>138</v>
      </c>
      <c r="BH965" s="28" t="s">
        <v>138</v>
      </c>
      <c r="BI965" s="28" t="s">
        <v>3049</v>
      </c>
      <c r="BJ965" s="28" t="s">
        <v>138</v>
      </c>
      <c r="BK965" s="28" t="s">
        <v>138</v>
      </c>
      <c r="BL965" s="28" t="s">
        <v>18981</v>
      </c>
      <c r="BM965" s="34">
        <v>39846</v>
      </c>
      <c r="BN965" s="29">
        <v>12.81</v>
      </c>
      <c r="BO965" s="28" t="s">
        <v>172</v>
      </c>
      <c r="BP965" s="29" t="s">
        <v>138</v>
      </c>
      <c r="BQ965" s="28" t="s">
        <v>138</v>
      </c>
      <c r="BR965" s="28" t="s">
        <v>173</v>
      </c>
      <c r="BS965" s="28" t="s">
        <v>138</v>
      </c>
      <c r="BT965" s="28" t="s">
        <v>138</v>
      </c>
      <c r="BU965" s="28" t="s">
        <v>174</v>
      </c>
      <c r="BV965" s="28" t="s">
        <v>138</v>
      </c>
      <c r="BW965" s="28" t="s">
        <v>138</v>
      </c>
      <c r="BX965" s="28" t="s">
        <v>138</v>
      </c>
      <c r="BY965" s="28" t="s">
        <v>175</v>
      </c>
      <c r="BZ965" s="34" t="s">
        <v>138</v>
      </c>
      <c r="CA965" s="29" t="s">
        <v>138</v>
      </c>
      <c r="CB965" s="28" t="s">
        <v>138</v>
      </c>
      <c r="CC965" s="29" t="s">
        <v>138</v>
      </c>
      <c r="CD965" s="28" t="s">
        <v>138</v>
      </c>
      <c r="CE965" s="28" t="s">
        <v>2228</v>
      </c>
      <c r="CF965" s="28" t="s">
        <v>138</v>
      </c>
      <c r="CG965" s="28" t="s">
        <v>138</v>
      </c>
      <c r="CH965" s="28" t="s">
        <v>780</v>
      </c>
      <c r="CI965" s="28" t="s">
        <v>138</v>
      </c>
      <c r="CJ965" s="28" t="s">
        <v>138</v>
      </c>
      <c r="CK965" s="28" t="s">
        <v>138</v>
      </c>
      <c r="CL965" s="28" t="s">
        <v>175</v>
      </c>
      <c r="CM965" s="34" t="s">
        <v>138</v>
      </c>
      <c r="CN965" s="29" t="s">
        <v>138</v>
      </c>
      <c r="CO965" s="35">
        <v>-0.93</v>
      </c>
      <c r="CP965" s="36">
        <v>12</v>
      </c>
      <c r="CQ965" s="35">
        <v>-0.01</v>
      </c>
      <c r="CR965" s="35">
        <v>-0.79</v>
      </c>
      <c r="CS965" s="35">
        <v>-1.87</v>
      </c>
      <c r="CT965" s="36">
        <v>9</v>
      </c>
      <c r="CU965" s="35">
        <v>0</v>
      </c>
      <c r="CV965" s="36">
        <v>22</v>
      </c>
      <c r="CW965" s="35" t="s">
        <v>138</v>
      </c>
      <c r="CX965" s="36" t="s">
        <v>138</v>
      </c>
      <c r="CY965" s="35">
        <v>-1.87</v>
      </c>
      <c r="CZ965" s="36">
        <v>12</v>
      </c>
      <c r="DA965" s="35" t="s">
        <v>138</v>
      </c>
      <c r="DB965" s="36" t="s">
        <v>138</v>
      </c>
      <c r="DC965" s="37">
        <v>2.1</v>
      </c>
      <c r="DD965" s="36">
        <v>68</v>
      </c>
      <c r="DE965" s="37">
        <v>0.02</v>
      </c>
      <c r="DF965" s="35">
        <v>0.83</v>
      </c>
      <c r="DG965" s="37">
        <v>4.17</v>
      </c>
      <c r="DH965" s="36">
        <v>80</v>
      </c>
      <c r="DI965" s="37">
        <v>0.02</v>
      </c>
      <c r="DJ965" s="36">
        <v>4</v>
      </c>
      <c r="DK965" s="37" t="s">
        <v>138</v>
      </c>
      <c r="DL965" s="36" t="s">
        <v>138</v>
      </c>
      <c r="DM965" s="37">
        <v>4.17</v>
      </c>
      <c r="DN965" s="36">
        <v>79</v>
      </c>
      <c r="DO965" s="37" t="s">
        <v>138</v>
      </c>
      <c r="DP965" s="36" t="s">
        <v>138</v>
      </c>
      <c r="DQ965" s="36" t="s">
        <v>138</v>
      </c>
      <c r="DR965" s="38" t="s">
        <v>138</v>
      </c>
      <c r="DS965" s="35" t="s">
        <v>138</v>
      </c>
      <c r="DT965" s="36">
        <v>120</v>
      </c>
      <c r="DU965" s="38">
        <v>-1</v>
      </c>
      <c r="DV965" s="35">
        <v>-0.83</v>
      </c>
      <c r="DW965" s="36" t="s">
        <v>138</v>
      </c>
      <c r="DX965" s="39" t="s">
        <v>138</v>
      </c>
      <c r="DY965" s="35" t="s">
        <v>138</v>
      </c>
      <c r="DZ965" s="28" t="s">
        <v>178</v>
      </c>
      <c r="EA965" s="34">
        <v>43588</v>
      </c>
      <c r="EB965" s="29" t="s">
        <v>138</v>
      </c>
      <c r="EC965" s="34" t="s">
        <v>138</v>
      </c>
      <c r="ED965" s="28" t="s">
        <v>138</v>
      </c>
      <c r="EE965" s="40" t="str">
        <f>HYPERLINK("https://my.pitchbook.com?c=40312-99", "View company online")</f>
        <v>View company online</v>
      </c>
    </row>
    <row r="966" spans="1:135">
      <c r="A966" s="15" t="s">
        <v>18982</v>
      </c>
      <c r="B966" s="15" t="s">
        <v>18983</v>
      </c>
      <c r="C966" s="15" t="s">
        <v>138</v>
      </c>
      <c r="D966" s="15" t="s">
        <v>18984</v>
      </c>
      <c r="E966" s="15" t="s">
        <v>18985</v>
      </c>
      <c r="F966" s="15" t="s">
        <v>18982</v>
      </c>
      <c r="G966" s="15" t="s">
        <v>18986</v>
      </c>
      <c r="H966" s="15" t="s">
        <v>890</v>
      </c>
      <c r="I966" s="15" t="s">
        <v>891</v>
      </c>
      <c r="J966" s="15" t="s">
        <v>891</v>
      </c>
      <c r="K966" s="15" t="s">
        <v>15735</v>
      </c>
      <c r="L966" s="15" t="s">
        <v>18987</v>
      </c>
      <c r="M966" s="15" t="s">
        <v>18988</v>
      </c>
      <c r="N966" s="15" t="s">
        <v>147</v>
      </c>
      <c r="O966" s="17">
        <v>5.62</v>
      </c>
      <c r="P966" s="15" t="s">
        <v>148</v>
      </c>
      <c r="Q966" s="15" t="s">
        <v>149</v>
      </c>
      <c r="R966" s="15" t="s">
        <v>174</v>
      </c>
      <c r="S966" s="15" t="s">
        <v>18989</v>
      </c>
      <c r="T966" s="18">
        <v>11</v>
      </c>
      <c r="U966" s="15" t="s">
        <v>18990</v>
      </c>
      <c r="V966" s="15" t="s">
        <v>138</v>
      </c>
      <c r="W966" s="15" t="s">
        <v>138</v>
      </c>
      <c r="X966" s="19">
        <v>2015</v>
      </c>
      <c r="Y966" s="15" t="s">
        <v>138</v>
      </c>
      <c r="Z966" s="15" t="s">
        <v>138</v>
      </c>
      <c r="AA966" s="15" t="s">
        <v>138</v>
      </c>
      <c r="AB966" s="20" t="s">
        <v>138</v>
      </c>
      <c r="AC966" s="20" t="s">
        <v>138</v>
      </c>
      <c r="AD966" s="20" t="s">
        <v>138</v>
      </c>
      <c r="AE966" s="20" t="s">
        <v>138</v>
      </c>
      <c r="AF966" s="20" t="s">
        <v>138</v>
      </c>
      <c r="AG966" s="15" t="s">
        <v>138</v>
      </c>
      <c r="AH966" s="20" t="s">
        <v>138</v>
      </c>
      <c r="AI966" s="20" t="s">
        <v>138</v>
      </c>
      <c r="AJ966" s="20" t="s">
        <v>138</v>
      </c>
      <c r="AK966" s="15" t="s">
        <v>18991</v>
      </c>
      <c r="AL966" s="15" t="s">
        <v>18992</v>
      </c>
      <c r="AM966" s="15" t="s">
        <v>221</v>
      </c>
      <c r="AN966" s="15" t="s">
        <v>18993</v>
      </c>
      <c r="AO966" s="15" t="s">
        <v>18994</v>
      </c>
      <c r="AP966" s="15" t="s">
        <v>2490</v>
      </c>
      <c r="AQ966" s="15" t="s">
        <v>18995</v>
      </c>
      <c r="AR966" s="15" t="s">
        <v>18996</v>
      </c>
      <c r="AS966" s="15" t="s">
        <v>2493</v>
      </c>
      <c r="AT966" s="15" t="s">
        <v>371</v>
      </c>
      <c r="AU966" s="15" t="s">
        <v>2494</v>
      </c>
      <c r="AV966" s="15" t="s">
        <v>162</v>
      </c>
      <c r="AW966" s="15" t="s">
        <v>18994</v>
      </c>
      <c r="AX966" s="15" t="s">
        <v>138</v>
      </c>
      <c r="AY966" s="15" t="s">
        <v>18997</v>
      </c>
      <c r="AZ966" s="15" t="s">
        <v>164</v>
      </c>
      <c r="BA966" s="15" t="s">
        <v>165</v>
      </c>
      <c r="BB966" s="15" t="s">
        <v>18998</v>
      </c>
      <c r="BC966" s="15" t="s">
        <v>18999</v>
      </c>
      <c r="BD966" s="21">
        <v>21</v>
      </c>
      <c r="BE966" s="15" t="s">
        <v>138</v>
      </c>
      <c r="BF966" s="15" t="s">
        <v>138</v>
      </c>
      <c r="BG966" s="15" t="s">
        <v>138</v>
      </c>
      <c r="BH966" s="15" t="s">
        <v>19000</v>
      </c>
      <c r="BI966" s="15" t="s">
        <v>138</v>
      </c>
      <c r="BJ966" s="15" t="s">
        <v>138</v>
      </c>
      <c r="BK966" s="15" t="s">
        <v>19001</v>
      </c>
      <c r="BL966" s="15" t="s">
        <v>1691</v>
      </c>
      <c r="BM966" s="22">
        <v>42261</v>
      </c>
      <c r="BN966" s="17" t="s">
        <v>138</v>
      </c>
      <c r="BO966" s="15" t="s">
        <v>138</v>
      </c>
      <c r="BP966" s="17" t="s">
        <v>138</v>
      </c>
      <c r="BQ966" s="15" t="s">
        <v>138</v>
      </c>
      <c r="BR966" s="15" t="s">
        <v>316</v>
      </c>
      <c r="BS966" s="15" t="s">
        <v>138</v>
      </c>
      <c r="BT966" s="15" t="s">
        <v>138</v>
      </c>
      <c r="BU966" s="15" t="s">
        <v>177</v>
      </c>
      <c r="BV966" s="15" t="s">
        <v>138</v>
      </c>
      <c r="BW966" s="15" t="s">
        <v>138</v>
      </c>
      <c r="BX966" s="15" t="s">
        <v>138</v>
      </c>
      <c r="BY966" s="15" t="s">
        <v>175</v>
      </c>
      <c r="BZ966" s="22">
        <v>43075</v>
      </c>
      <c r="CA966" s="17">
        <v>3</v>
      </c>
      <c r="CB966" s="15" t="s">
        <v>172</v>
      </c>
      <c r="CC966" s="17">
        <v>15</v>
      </c>
      <c r="CD966" s="15" t="s">
        <v>172</v>
      </c>
      <c r="CE966" s="15" t="s">
        <v>234</v>
      </c>
      <c r="CF966" s="15" t="s">
        <v>234</v>
      </c>
      <c r="CG966" s="15" t="s">
        <v>138</v>
      </c>
      <c r="CH966" s="15" t="s">
        <v>174</v>
      </c>
      <c r="CI966" s="15" t="s">
        <v>138</v>
      </c>
      <c r="CJ966" s="15" t="s">
        <v>138</v>
      </c>
      <c r="CK966" s="15" t="s">
        <v>138</v>
      </c>
      <c r="CL966" s="15" t="s">
        <v>175</v>
      </c>
      <c r="CM966" s="22" t="s">
        <v>138</v>
      </c>
      <c r="CN966" s="17" t="s">
        <v>138</v>
      </c>
      <c r="CO966" s="23">
        <v>2.1</v>
      </c>
      <c r="CP966" s="24">
        <v>99</v>
      </c>
      <c r="CQ966" s="23">
        <v>7.0000000000000007E-2</v>
      </c>
      <c r="CR966" s="23">
        <v>3.34</v>
      </c>
      <c r="CS966" s="23">
        <v>3.84</v>
      </c>
      <c r="CT966" s="24">
        <v>100</v>
      </c>
      <c r="CU966" s="23">
        <v>0.36</v>
      </c>
      <c r="CV966" s="24">
        <v>90</v>
      </c>
      <c r="CW966" s="23">
        <v>9.1999999999999993</v>
      </c>
      <c r="CX966" s="24">
        <v>99</v>
      </c>
      <c r="CY966" s="23">
        <v>-1.53</v>
      </c>
      <c r="CZ966" s="24">
        <v>15</v>
      </c>
      <c r="DA966" s="23">
        <v>0.36</v>
      </c>
      <c r="DB966" s="24">
        <v>91</v>
      </c>
      <c r="DC966" s="25">
        <v>3.33</v>
      </c>
      <c r="DD966" s="24">
        <v>77</v>
      </c>
      <c r="DE966" s="25">
        <v>-0.27</v>
      </c>
      <c r="DF966" s="23">
        <v>-7.48</v>
      </c>
      <c r="DG966" s="25">
        <v>5.98</v>
      </c>
      <c r="DH966" s="24">
        <v>84</v>
      </c>
      <c r="DI966" s="25">
        <v>0.69</v>
      </c>
      <c r="DJ966" s="24">
        <v>42</v>
      </c>
      <c r="DK966" s="25">
        <v>7.78</v>
      </c>
      <c r="DL966" s="24">
        <v>84</v>
      </c>
      <c r="DM966" s="25">
        <v>4.17</v>
      </c>
      <c r="DN966" s="24">
        <v>79</v>
      </c>
      <c r="DO966" s="25">
        <v>0.69</v>
      </c>
      <c r="DP966" s="24">
        <v>44</v>
      </c>
      <c r="DQ966" s="24">
        <v>2645</v>
      </c>
      <c r="DR966" s="26">
        <v>68</v>
      </c>
      <c r="DS966" s="23">
        <v>2.64</v>
      </c>
      <c r="DT966" s="24">
        <v>121</v>
      </c>
      <c r="DU966" s="26">
        <v>-1</v>
      </c>
      <c r="DV966" s="23">
        <v>-0.82</v>
      </c>
      <c r="DW966" s="24">
        <v>248</v>
      </c>
      <c r="DX966" s="27">
        <v>1</v>
      </c>
      <c r="DY966" s="23">
        <v>0.4</v>
      </c>
      <c r="DZ966" s="15" t="s">
        <v>178</v>
      </c>
      <c r="EA966" s="22">
        <v>43607</v>
      </c>
      <c r="EB966" s="17">
        <v>15</v>
      </c>
      <c r="EC966" s="22">
        <v>43075</v>
      </c>
      <c r="ED966" s="15" t="s">
        <v>234</v>
      </c>
      <c r="EE966" s="14" t="str">
        <f>HYPERLINK("https://my.pitchbook.com?c=152034-22", "View company online")</f>
        <v>View company online</v>
      </c>
    </row>
    <row r="967" spans="1:135">
      <c r="A967" s="28" t="s">
        <v>19002</v>
      </c>
      <c r="B967" s="28" t="s">
        <v>19003</v>
      </c>
      <c r="C967" s="28" t="s">
        <v>138</v>
      </c>
      <c r="D967" s="28" t="s">
        <v>138</v>
      </c>
      <c r="E967" s="28" t="s">
        <v>19004</v>
      </c>
      <c r="F967" s="28" t="s">
        <v>19002</v>
      </c>
      <c r="G967" s="28" t="s">
        <v>19005</v>
      </c>
      <c r="H967" s="28" t="s">
        <v>322</v>
      </c>
      <c r="I967" s="28" t="s">
        <v>323</v>
      </c>
      <c r="J967" s="28" t="s">
        <v>324</v>
      </c>
      <c r="K967" s="28" t="s">
        <v>1649</v>
      </c>
      <c r="L967" s="28" t="s">
        <v>215</v>
      </c>
      <c r="M967" s="28" t="s">
        <v>19006</v>
      </c>
      <c r="N967" s="28" t="s">
        <v>147</v>
      </c>
      <c r="O967" s="29">
        <v>120.53</v>
      </c>
      <c r="P967" s="28" t="s">
        <v>148</v>
      </c>
      <c r="Q967" s="28" t="s">
        <v>149</v>
      </c>
      <c r="R967" s="28" t="s">
        <v>174</v>
      </c>
      <c r="S967" s="28" t="s">
        <v>19007</v>
      </c>
      <c r="T967" s="30">
        <v>250</v>
      </c>
      <c r="U967" s="28" t="s">
        <v>19008</v>
      </c>
      <c r="V967" s="28" t="s">
        <v>138</v>
      </c>
      <c r="W967" s="28" t="s">
        <v>138</v>
      </c>
      <c r="X967" s="31">
        <v>2008</v>
      </c>
      <c r="Y967" s="28" t="s">
        <v>138</v>
      </c>
      <c r="Z967" s="28" t="s">
        <v>138</v>
      </c>
      <c r="AA967" s="28" t="s">
        <v>138</v>
      </c>
      <c r="AB967" s="32" t="s">
        <v>138</v>
      </c>
      <c r="AC967" s="32" t="s">
        <v>138</v>
      </c>
      <c r="AD967" s="32" t="s">
        <v>138</v>
      </c>
      <c r="AE967" s="32" t="s">
        <v>138</v>
      </c>
      <c r="AF967" s="32" t="s">
        <v>138</v>
      </c>
      <c r="AG967" s="28" t="s">
        <v>138</v>
      </c>
      <c r="AH967" s="32" t="s">
        <v>138</v>
      </c>
      <c r="AI967" s="32" t="s">
        <v>138</v>
      </c>
      <c r="AJ967" s="32" t="s">
        <v>138</v>
      </c>
      <c r="AK967" s="28" t="s">
        <v>19009</v>
      </c>
      <c r="AL967" s="28" t="s">
        <v>19010</v>
      </c>
      <c r="AM967" s="28" t="s">
        <v>2024</v>
      </c>
      <c r="AN967" s="28" t="s">
        <v>19011</v>
      </c>
      <c r="AO967" s="28" t="s">
        <v>19012</v>
      </c>
      <c r="AP967" s="28" t="s">
        <v>6402</v>
      </c>
      <c r="AQ967" s="28" t="s">
        <v>19013</v>
      </c>
      <c r="AR967" s="28" t="s">
        <v>2095</v>
      </c>
      <c r="AS967" s="28" t="s">
        <v>6404</v>
      </c>
      <c r="AT967" s="28" t="s">
        <v>200</v>
      </c>
      <c r="AU967" s="28" t="s">
        <v>6405</v>
      </c>
      <c r="AV967" s="28" t="s">
        <v>162</v>
      </c>
      <c r="AW967" s="28" t="s">
        <v>19012</v>
      </c>
      <c r="AX967" s="28" t="s">
        <v>138</v>
      </c>
      <c r="AY967" s="28" t="s">
        <v>19014</v>
      </c>
      <c r="AZ967" s="28" t="s">
        <v>164</v>
      </c>
      <c r="BA967" s="28" t="s">
        <v>165</v>
      </c>
      <c r="BB967" s="28" t="s">
        <v>19015</v>
      </c>
      <c r="BC967" s="28" t="s">
        <v>19016</v>
      </c>
      <c r="BD967" s="33">
        <v>7</v>
      </c>
      <c r="BE967" s="28" t="s">
        <v>138</v>
      </c>
      <c r="BF967" s="28" t="s">
        <v>138</v>
      </c>
      <c r="BG967" s="28" t="s">
        <v>138</v>
      </c>
      <c r="BH967" s="28" t="s">
        <v>19017</v>
      </c>
      <c r="BI967" s="28" t="s">
        <v>138</v>
      </c>
      <c r="BJ967" s="28" t="s">
        <v>138</v>
      </c>
      <c r="BK967" s="28" t="s">
        <v>19018</v>
      </c>
      <c r="BL967" s="28" t="s">
        <v>19019</v>
      </c>
      <c r="BM967" s="34" t="s">
        <v>138</v>
      </c>
      <c r="BN967" s="29">
        <v>1.6</v>
      </c>
      <c r="BO967" s="28" t="s">
        <v>172</v>
      </c>
      <c r="BP967" s="29" t="s">
        <v>138</v>
      </c>
      <c r="BQ967" s="28" t="s">
        <v>138</v>
      </c>
      <c r="BR967" s="28" t="s">
        <v>205</v>
      </c>
      <c r="BS967" s="28" t="s">
        <v>138</v>
      </c>
      <c r="BT967" s="28" t="s">
        <v>138</v>
      </c>
      <c r="BU967" s="28" t="s">
        <v>174</v>
      </c>
      <c r="BV967" s="28" t="s">
        <v>138</v>
      </c>
      <c r="BW967" s="28" t="s">
        <v>138</v>
      </c>
      <c r="BX967" s="28" t="s">
        <v>138</v>
      </c>
      <c r="BY967" s="28" t="s">
        <v>175</v>
      </c>
      <c r="BZ967" s="34">
        <v>43566</v>
      </c>
      <c r="CA967" s="29">
        <v>48</v>
      </c>
      <c r="CB967" s="28" t="s">
        <v>172</v>
      </c>
      <c r="CC967" s="29">
        <v>235</v>
      </c>
      <c r="CD967" s="28" t="s">
        <v>172</v>
      </c>
      <c r="CE967" s="28" t="s">
        <v>173</v>
      </c>
      <c r="CF967" s="28" t="s">
        <v>482</v>
      </c>
      <c r="CG967" s="28" t="s">
        <v>138</v>
      </c>
      <c r="CH967" s="28" t="s">
        <v>174</v>
      </c>
      <c r="CI967" s="28" t="s">
        <v>138</v>
      </c>
      <c r="CJ967" s="28" t="s">
        <v>138</v>
      </c>
      <c r="CK967" s="28" t="s">
        <v>138</v>
      </c>
      <c r="CL967" s="28" t="s">
        <v>175</v>
      </c>
      <c r="CM967" s="34">
        <v>42048</v>
      </c>
      <c r="CN967" s="29">
        <v>4</v>
      </c>
      <c r="CO967" s="35">
        <v>0.41</v>
      </c>
      <c r="CP967" s="36">
        <v>95</v>
      </c>
      <c r="CQ967" s="35">
        <v>-0.02</v>
      </c>
      <c r="CR967" s="35">
        <v>-4.33</v>
      </c>
      <c r="CS967" s="35">
        <v>0.82</v>
      </c>
      <c r="CT967" s="36">
        <v>96</v>
      </c>
      <c r="CU967" s="35">
        <v>0</v>
      </c>
      <c r="CV967" s="36">
        <v>22</v>
      </c>
      <c r="CW967" s="35">
        <v>4.49</v>
      </c>
      <c r="CX967" s="36">
        <v>95</v>
      </c>
      <c r="CY967" s="35">
        <v>-2.85</v>
      </c>
      <c r="CZ967" s="36">
        <v>7</v>
      </c>
      <c r="DA967" s="35">
        <v>0.02</v>
      </c>
      <c r="DB967" s="36">
        <v>58</v>
      </c>
      <c r="DC967" s="37">
        <v>35.229999999999997</v>
      </c>
      <c r="DD967" s="36">
        <v>97</v>
      </c>
      <c r="DE967" s="37">
        <v>-1.5</v>
      </c>
      <c r="DF967" s="35">
        <v>-4.08</v>
      </c>
      <c r="DG967" s="37">
        <v>49.66</v>
      </c>
      <c r="DH967" s="36">
        <v>98</v>
      </c>
      <c r="DI967" s="37">
        <v>20.81</v>
      </c>
      <c r="DJ967" s="36">
        <v>91</v>
      </c>
      <c r="DK967" s="37">
        <v>46.55</v>
      </c>
      <c r="DL967" s="36">
        <v>96</v>
      </c>
      <c r="DM967" s="37">
        <v>52.76</v>
      </c>
      <c r="DN967" s="36">
        <v>98</v>
      </c>
      <c r="DO967" s="37">
        <v>21.03</v>
      </c>
      <c r="DP967" s="36">
        <v>93</v>
      </c>
      <c r="DQ967" s="36">
        <v>15866</v>
      </c>
      <c r="DR967" s="38">
        <v>303</v>
      </c>
      <c r="DS967" s="35">
        <v>1.95</v>
      </c>
      <c r="DT967" s="36">
        <v>1531</v>
      </c>
      <c r="DU967" s="38">
        <v>-2</v>
      </c>
      <c r="DV967" s="35">
        <v>-0.13</v>
      </c>
      <c r="DW967" s="36">
        <v>7524</v>
      </c>
      <c r="DX967" s="39">
        <v>5</v>
      </c>
      <c r="DY967" s="35">
        <v>7.0000000000000007E-2</v>
      </c>
      <c r="DZ967" s="28" t="s">
        <v>178</v>
      </c>
      <c r="EA967" s="34">
        <v>43571</v>
      </c>
      <c r="EB967" s="29">
        <v>235</v>
      </c>
      <c r="EC967" s="34">
        <v>43566</v>
      </c>
      <c r="ED967" s="28" t="s">
        <v>173</v>
      </c>
      <c r="EE967" s="40" t="str">
        <f>HYPERLINK("https://my.pitchbook.com?c=53351-83", "View company online")</f>
        <v>View company online</v>
      </c>
    </row>
    <row r="968" spans="1:135">
      <c r="A968" s="15" t="s">
        <v>19020</v>
      </c>
      <c r="B968" s="15" t="s">
        <v>19021</v>
      </c>
      <c r="C968" s="15" t="s">
        <v>19022</v>
      </c>
      <c r="D968" s="15" t="s">
        <v>19023</v>
      </c>
      <c r="E968" s="15" t="s">
        <v>138</v>
      </c>
      <c r="F968" s="15" t="s">
        <v>19020</v>
      </c>
      <c r="G968" s="15" t="s">
        <v>19024</v>
      </c>
      <c r="H968" s="15" t="s">
        <v>141</v>
      </c>
      <c r="I968" s="15" t="s">
        <v>142</v>
      </c>
      <c r="J968" s="15" t="s">
        <v>4042</v>
      </c>
      <c r="K968" s="15" t="s">
        <v>6541</v>
      </c>
      <c r="L968" s="15" t="s">
        <v>7679</v>
      </c>
      <c r="M968" s="15" t="s">
        <v>19025</v>
      </c>
      <c r="N968" s="15" t="s">
        <v>147</v>
      </c>
      <c r="O968" s="17">
        <v>3</v>
      </c>
      <c r="P968" s="15" t="s">
        <v>610</v>
      </c>
      <c r="Q968" s="15" t="s">
        <v>149</v>
      </c>
      <c r="R968" s="15" t="s">
        <v>174</v>
      </c>
      <c r="S968" s="15" t="s">
        <v>19026</v>
      </c>
      <c r="T968" s="18">
        <v>10</v>
      </c>
      <c r="U968" s="15" t="s">
        <v>8007</v>
      </c>
      <c r="V968" s="15" t="s">
        <v>138</v>
      </c>
      <c r="W968" s="15" t="s">
        <v>138</v>
      </c>
      <c r="X968" s="19">
        <v>2010</v>
      </c>
      <c r="Y968" s="15" t="s">
        <v>138</v>
      </c>
      <c r="Z968" s="15" t="s">
        <v>138</v>
      </c>
      <c r="AA968" s="15" t="s">
        <v>138</v>
      </c>
      <c r="AB968" s="20" t="s">
        <v>138</v>
      </c>
      <c r="AC968" s="20" t="s">
        <v>138</v>
      </c>
      <c r="AD968" s="20" t="s">
        <v>138</v>
      </c>
      <c r="AE968" s="20" t="s">
        <v>138</v>
      </c>
      <c r="AF968" s="20" t="s">
        <v>138</v>
      </c>
      <c r="AG968" s="15" t="s">
        <v>138</v>
      </c>
      <c r="AH968" s="20" t="s">
        <v>138</v>
      </c>
      <c r="AI968" s="20" t="s">
        <v>138</v>
      </c>
      <c r="AJ968" s="20" t="s">
        <v>138</v>
      </c>
      <c r="AK968" s="15" t="s">
        <v>19027</v>
      </c>
      <c r="AL968" s="15" t="s">
        <v>19028</v>
      </c>
      <c r="AM968" s="15" t="s">
        <v>7338</v>
      </c>
      <c r="AN968" s="15" t="s">
        <v>19029</v>
      </c>
      <c r="AO968" s="15" t="s">
        <v>19030</v>
      </c>
      <c r="AP968" s="15" t="s">
        <v>19031</v>
      </c>
      <c r="AQ968" s="15" t="s">
        <v>19032</v>
      </c>
      <c r="AR968" s="15" t="s">
        <v>19033</v>
      </c>
      <c r="AS968" s="15" t="s">
        <v>19034</v>
      </c>
      <c r="AT968" s="15" t="s">
        <v>1146</v>
      </c>
      <c r="AU968" s="15" t="s">
        <v>19035</v>
      </c>
      <c r="AV968" s="15" t="s">
        <v>162</v>
      </c>
      <c r="AW968" s="15" t="s">
        <v>19030</v>
      </c>
      <c r="AX968" s="15" t="s">
        <v>138</v>
      </c>
      <c r="AY968" s="15" t="s">
        <v>19036</v>
      </c>
      <c r="AZ968" s="15" t="s">
        <v>164</v>
      </c>
      <c r="BA968" s="15" t="s">
        <v>165</v>
      </c>
      <c r="BB968" s="15" t="s">
        <v>19037</v>
      </c>
      <c r="BC968" s="15" t="s">
        <v>19038</v>
      </c>
      <c r="BD968" s="21">
        <v>2</v>
      </c>
      <c r="BE968" s="15" t="s">
        <v>138</v>
      </c>
      <c r="BF968" s="15" t="s">
        <v>138</v>
      </c>
      <c r="BG968" s="15" t="s">
        <v>138</v>
      </c>
      <c r="BH968" s="15" t="s">
        <v>19039</v>
      </c>
      <c r="BI968" s="15" t="s">
        <v>138</v>
      </c>
      <c r="BJ968" s="15" t="s">
        <v>138</v>
      </c>
      <c r="BK968" s="15" t="s">
        <v>19040</v>
      </c>
      <c r="BL968" s="15" t="s">
        <v>19041</v>
      </c>
      <c r="BM968" s="22">
        <v>43589</v>
      </c>
      <c r="BN968" s="17">
        <v>3</v>
      </c>
      <c r="BO968" s="15" t="s">
        <v>172</v>
      </c>
      <c r="BP968" s="17">
        <v>15</v>
      </c>
      <c r="BQ968" s="15" t="s">
        <v>172</v>
      </c>
      <c r="BR968" s="15" t="s">
        <v>173</v>
      </c>
      <c r="BS968" s="15" t="s">
        <v>206</v>
      </c>
      <c r="BT968" s="15" t="s">
        <v>138</v>
      </c>
      <c r="BU968" s="15" t="s">
        <v>174</v>
      </c>
      <c r="BV968" s="15" t="s">
        <v>138</v>
      </c>
      <c r="BW968" s="15" t="s">
        <v>138</v>
      </c>
      <c r="BX968" s="15" t="s">
        <v>138</v>
      </c>
      <c r="BY968" s="15" t="s">
        <v>175</v>
      </c>
      <c r="BZ968" s="22">
        <v>43589</v>
      </c>
      <c r="CA968" s="17">
        <v>3</v>
      </c>
      <c r="CB968" s="15" t="s">
        <v>172</v>
      </c>
      <c r="CC968" s="17">
        <v>15</v>
      </c>
      <c r="CD968" s="15" t="s">
        <v>172</v>
      </c>
      <c r="CE968" s="15" t="s">
        <v>173</v>
      </c>
      <c r="CF968" s="15" t="s">
        <v>206</v>
      </c>
      <c r="CG968" s="15" t="s">
        <v>138</v>
      </c>
      <c r="CH968" s="15" t="s">
        <v>174</v>
      </c>
      <c r="CI968" s="15" t="s">
        <v>138</v>
      </c>
      <c r="CJ968" s="15" t="s">
        <v>138</v>
      </c>
      <c r="CK968" s="15" t="s">
        <v>138</v>
      </c>
      <c r="CL968" s="15" t="s">
        <v>175</v>
      </c>
      <c r="CM968" s="22" t="s">
        <v>138</v>
      </c>
      <c r="CN968" s="17" t="s">
        <v>138</v>
      </c>
      <c r="CO968" s="23">
        <v>0</v>
      </c>
      <c r="CP968" s="24">
        <v>26</v>
      </c>
      <c r="CQ968" s="23">
        <v>0</v>
      </c>
      <c r="CR968" s="23">
        <v>0</v>
      </c>
      <c r="CS968" s="23">
        <v>0</v>
      </c>
      <c r="CT968" s="24">
        <v>23</v>
      </c>
      <c r="CU968" s="23" t="s">
        <v>138</v>
      </c>
      <c r="CV968" s="24" t="s">
        <v>138</v>
      </c>
      <c r="CW968" s="23" t="s">
        <v>138</v>
      </c>
      <c r="CX968" s="24" t="s">
        <v>138</v>
      </c>
      <c r="CY968" s="23">
        <v>0</v>
      </c>
      <c r="CZ968" s="24">
        <v>25</v>
      </c>
      <c r="DA968" s="23" t="s">
        <v>138</v>
      </c>
      <c r="DB968" s="24" t="s">
        <v>138</v>
      </c>
      <c r="DC968" s="25">
        <v>0.03</v>
      </c>
      <c r="DD968" s="24">
        <v>1</v>
      </c>
      <c r="DE968" s="25">
        <v>0</v>
      </c>
      <c r="DF968" s="23">
        <v>0</v>
      </c>
      <c r="DG968" s="25">
        <v>0.03</v>
      </c>
      <c r="DH968" s="24">
        <v>1</v>
      </c>
      <c r="DI968" s="25" t="s">
        <v>138</v>
      </c>
      <c r="DJ968" s="24" t="s">
        <v>138</v>
      </c>
      <c r="DK968" s="25" t="s">
        <v>138</v>
      </c>
      <c r="DL968" s="24" t="s">
        <v>138</v>
      </c>
      <c r="DM968" s="25">
        <v>0.03</v>
      </c>
      <c r="DN968" s="24">
        <v>1</v>
      </c>
      <c r="DO968" s="25" t="s">
        <v>138</v>
      </c>
      <c r="DP968" s="24" t="s">
        <v>138</v>
      </c>
      <c r="DQ968" s="24" t="s">
        <v>138</v>
      </c>
      <c r="DR968" s="26" t="s">
        <v>138</v>
      </c>
      <c r="DS968" s="23" t="s">
        <v>138</v>
      </c>
      <c r="DT968" s="24">
        <v>1</v>
      </c>
      <c r="DU968" s="26">
        <v>0</v>
      </c>
      <c r="DV968" s="23">
        <v>0</v>
      </c>
      <c r="DW968" s="24" t="s">
        <v>138</v>
      </c>
      <c r="DX968" s="27" t="s">
        <v>138</v>
      </c>
      <c r="DY968" s="23" t="s">
        <v>138</v>
      </c>
      <c r="DZ968" s="15" t="s">
        <v>178</v>
      </c>
      <c r="EA968" s="22">
        <v>43608</v>
      </c>
      <c r="EB968" s="17">
        <v>15</v>
      </c>
      <c r="EC968" s="22">
        <v>43589</v>
      </c>
      <c r="ED968" s="15" t="s">
        <v>173</v>
      </c>
      <c r="EE968" s="14" t="str">
        <f>HYPERLINK("https://my.pitchbook.com?c=170032-42", "View company online")</f>
        <v>View company online</v>
      </c>
    </row>
    <row r="969" spans="1:135">
      <c r="A969" s="28" t="s">
        <v>19042</v>
      </c>
      <c r="B969" s="28" t="s">
        <v>19043</v>
      </c>
      <c r="C969" s="28" t="s">
        <v>138</v>
      </c>
      <c r="D969" s="28" t="s">
        <v>138</v>
      </c>
      <c r="E969" s="28" t="s">
        <v>19044</v>
      </c>
      <c r="F969" s="28" t="s">
        <v>19042</v>
      </c>
      <c r="G969" s="28" t="s">
        <v>19045</v>
      </c>
      <c r="H969" s="28" t="s">
        <v>322</v>
      </c>
      <c r="I969" s="28" t="s">
        <v>323</v>
      </c>
      <c r="J969" s="28" t="s">
        <v>539</v>
      </c>
      <c r="K969" s="28" t="s">
        <v>9529</v>
      </c>
      <c r="L969" s="28" t="s">
        <v>19046</v>
      </c>
      <c r="M969" s="28" t="s">
        <v>19047</v>
      </c>
      <c r="N969" s="28" t="s">
        <v>147</v>
      </c>
      <c r="O969" s="29">
        <v>105.66</v>
      </c>
      <c r="P969" s="28" t="s">
        <v>148</v>
      </c>
      <c r="Q969" s="28" t="s">
        <v>149</v>
      </c>
      <c r="R969" s="28" t="s">
        <v>174</v>
      </c>
      <c r="S969" s="28" t="s">
        <v>19048</v>
      </c>
      <c r="T969" s="30">
        <v>80</v>
      </c>
      <c r="U969" s="28" t="s">
        <v>19049</v>
      </c>
      <c r="V969" s="28" t="s">
        <v>138</v>
      </c>
      <c r="W969" s="28" t="s">
        <v>138</v>
      </c>
      <c r="X969" s="31">
        <v>2011</v>
      </c>
      <c r="Y969" s="28" t="s">
        <v>138</v>
      </c>
      <c r="Z969" s="28" t="s">
        <v>138</v>
      </c>
      <c r="AA969" s="28" t="s">
        <v>138</v>
      </c>
      <c r="AB969" s="32">
        <v>33</v>
      </c>
      <c r="AC969" s="32" t="s">
        <v>138</v>
      </c>
      <c r="AD969" s="32" t="s">
        <v>138</v>
      </c>
      <c r="AE969" s="32" t="s">
        <v>138</v>
      </c>
      <c r="AF969" s="32" t="s">
        <v>138</v>
      </c>
      <c r="AG969" s="28" t="s">
        <v>419</v>
      </c>
      <c r="AH969" s="32" t="s">
        <v>138</v>
      </c>
      <c r="AI969" s="32" t="s">
        <v>138</v>
      </c>
      <c r="AJ969" s="32" t="s">
        <v>138</v>
      </c>
      <c r="AK969" s="28" t="s">
        <v>19050</v>
      </c>
      <c r="AL969" s="28" t="s">
        <v>19051</v>
      </c>
      <c r="AM969" s="28" t="s">
        <v>249</v>
      </c>
      <c r="AN969" s="28" t="s">
        <v>19052</v>
      </c>
      <c r="AO969" s="28" t="s">
        <v>19053</v>
      </c>
      <c r="AP969" s="28" t="s">
        <v>1244</v>
      </c>
      <c r="AQ969" s="28" t="s">
        <v>19054</v>
      </c>
      <c r="AR969" s="28" t="s">
        <v>138</v>
      </c>
      <c r="AS969" s="28" t="s">
        <v>1246</v>
      </c>
      <c r="AT969" s="28" t="s">
        <v>200</v>
      </c>
      <c r="AU969" s="28" t="s">
        <v>2437</v>
      </c>
      <c r="AV969" s="28" t="s">
        <v>162</v>
      </c>
      <c r="AW969" s="28" t="s">
        <v>19055</v>
      </c>
      <c r="AX969" s="28" t="s">
        <v>138</v>
      </c>
      <c r="AY969" s="28" t="s">
        <v>19056</v>
      </c>
      <c r="AZ969" s="28" t="s">
        <v>164</v>
      </c>
      <c r="BA969" s="28" t="s">
        <v>165</v>
      </c>
      <c r="BB969" s="28" t="s">
        <v>19057</v>
      </c>
      <c r="BC969" s="28" t="s">
        <v>19058</v>
      </c>
      <c r="BD969" s="33">
        <v>34</v>
      </c>
      <c r="BE969" s="28" t="s">
        <v>138</v>
      </c>
      <c r="BF969" s="28" t="s">
        <v>19059</v>
      </c>
      <c r="BG969" s="28" t="s">
        <v>138</v>
      </c>
      <c r="BH969" s="28" t="s">
        <v>19060</v>
      </c>
      <c r="BI969" s="28" t="s">
        <v>19061</v>
      </c>
      <c r="BJ969" s="28" t="s">
        <v>138</v>
      </c>
      <c r="BK969" s="28" t="s">
        <v>19062</v>
      </c>
      <c r="BL969" s="28" t="s">
        <v>19063</v>
      </c>
      <c r="BM969" s="34">
        <v>40909</v>
      </c>
      <c r="BN969" s="29">
        <v>1.6</v>
      </c>
      <c r="BO969" s="28" t="s">
        <v>172</v>
      </c>
      <c r="BP969" s="29" t="s">
        <v>138</v>
      </c>
      <c r="BQ969" s="28" t="s">
        <v>138</v>
      </c>
      <c r="BR969" s="28" t="s">
        <v>234</v>
      </c>
      <c r="BS969" s="28" t="s">
        <v>234</v>
      </c>
      <c r="BT969" s="28" t="s">
        <v>138</v>
      </c>
      <c r="BU969" s="28" t="s">
        <v>174</v>
      </c>
      <c r="BV969" s="28" t="s">
        <v>138</v>
      </c>
      <c r="BW969" s="28" t="s">
        <v>138</v>
      </c>
      <c r="BX969" s="28" t="s">
        <v>138</v>
      </c>
      <c r="BY969" s="28" t="s">
        <v>175</v>
      </c>
      <c r="BZ969" s="34" t="s">
        <v>138</v>
      </c>
      <c r="CA969" s="29" t="s">
        <v>138</v>
      </c>
      <c r="CB969" s="28" t="s">
        <v>138</v>
      </c>
      <c r="CC969" s="29" t="s">
        <v>138</v>
      </c>
      <c r="CD969" s="28" t="s">
        <v>138</v>
      </c>
      <c r="CE969" s="28" t="s">
        <v>379</v>
      </c>
      <c r="CF969" s="28" t="s">
        <v>138</v>
      </c>
      <c r="CG969" s="28" t="s">
        <v>138</v>
      </c>
      <c r="CH969" s="28" t="s">
        <v>138</v>
      </c>
      <c r="CI969" s="28" t="s">
        <v>138</v>
      </c>
      <c r="CJ969" s="28" t="s">
        <v>138</v>
      </c>
      <c r="CK969" s="28" t="s">
        <v>138</v>
      </c>
      <c r="CL969" s="28" t="s">
        <v>175</v>
      </c>
      <c r="CM969" s="34" t="s">
        <v>138</v>
      </c>
      <c r="CN969" s="29" t="s">
        <v>138</v>
      </c>
      <c r="CO969" s="35">
        <v>1.35</v>
      </c>
      <c r="CP969" s="36">
        <v>98</v>
      </c>
      <c r="CQ969" s="35">
        <v>0.03</v>
      </c>
      <c r="CR969" s="35">
        <v>2.5</v>
      </c>
      <c r="CS969" s="35">
        <v>2.29</v>
      </c>
      <c r="CT969" s="36">
        <v>99</v>
      </c>
      <c r="CU969" s="35">
        <v>0.31</v>
      </c>
      <c r="CV969" s="36">
        <v>88</v>
      </c>
      <c r="CW969" s="35">
        <v>4.38</v>
      </c>
      <c r="CX969" s="36">
        <v>94</v>
      </c>
      <c r="CY969" s="35">
        <v>0.2</v>
      </c>
      <c r="CZ969" s="36">
        <v>98</v>
      </c>
      <c r="DA969" s="35">
        <v>0.32</v>
      </c>
      <c r="DB969" s="36">
        <v>89</v>
      </c>
      <c r="DC969" s="37">
        <v>37.78</v>
      </c>
      <c r="DD969" s="36">
        <v>97</v>
      </c>
      <c r="DE969" s="37">
        <v>-2.08</v>
      </c>
      <c r="DF969" s="35">
        <v>-5.22</v>
      </c>
      <c r="DG969" s="37">
        <v>56.84</v>
      </c>
      <c r="DH969" s="36">
        <v>98</v>
      </c>
      <c r="DI969" s="37">
        <v>56.05</v>
      </c>
      <c r="DJ969" s="36">
        <v>95</v>
      </c>
      <c r="DK969" s="37">
        <v>98.96</v>
      </c>
      <c r="DL969" s="36">
        <v>98</v>
      </c>
      <c r="DM969" s="37">
        <v>14.72</v>
      </c>
      <c r="DN969" s="36">
        <v>92</v>
      </c>
      <c r="DO969" s="37">
        <v>22.94</v>
      </c>
      <c r="DP969" s="36">
        <v>93</v>
      </c>
      <c r="DQ969" s="36">
        <v>33135</v>
      </c>
      <c r="DR969" s="38">
        <v>2422</v>
      </c>
      <c r="DS969" s="35">
        <v>7.89</v>
      </c>
      <c r="DT969" s="36">
        <v>427</v>
      </c>
      <c r="DU969" s="38">
        <v>-2</v>
      </c>
      <c r="DV969" s="35">
        <v>-0.47</v>
      </c>
      <c r="DW969" s="36">
        <v>8205</v>
      </c>
      <c r="DX969" s="39">
        <v>21</v>
      </c>
      <c r="DY969" s="35">
        <v>0.26</v>
      </c>
      <c r="DZ969" s="28" t="s">
        <v>178</v>
      </c>
      <c r="EA969" s="34">
        <v>43621</v>
      </c>
      <c r="EB969" s="29">
        <v>355</v>
      </c>
      <c r="EC969" s="34">
        <v>43529</v>
      </c>
      <c r="ED969" s="28" t="s">
        <v>173</v>
      </c>
      <c r="EE969" s="40" t="str">
        <f>HYPERLINK("https://my.pitchbook.com?c=55234-54", "View company online")</f>
        <v>View company online</v>
      </c>
    </row>
    <row r="970" spans="1:135">
      <c r="A970" s="15" t="s">
        <v>19064</v>
      </c>
      <c r="B970" s="15" t="s">
        <v>19065</v>
      </c>
      <c r="C970" s="15" t="s">
        <v>138</v>
      </c>
      <c r="D970" s="15" t="s">
        <v>138</v>
      </c>
      <c r="E970" s="15" t="s">
        <v>19066</v>
      </c>
      <c r="F970" s="15" t="s">
        <v>19064</v>
      </c>
      <c r="G970" s="15" t="s">
        <v>19067</v>
      </c>
      <c r="H970" s="15" t="s">
        <v>141</v>
      </c>
      <c r="I970" s="15" t="s">
        <v>142</v>
      </c>
      <c r="J970" s="15" t="s">
        <v>4042</v>
      </c>
      <c r="K970" s="15" t="s">
        <v>19068</v>
      </c>
      <c r="L970" s="15" t="s">
        <v>4912</v>
      </c>
      <c r="M970" s="15" t="s">
        <v>19069</v>
      </c>
      <c r="N970" s="15" t="s">
        <v>147</v>
      </c>
      <c r="O970" s="17">
        <v>25.5</v>
      </c>
      <c r="P970" s="15" t="s">
        <v>148</v>
      </c>
      <c r="Q970" s="15" t="s">
        <v>149</v>
      </c>
      <c r="R970" s="15" t="s">
        <v>174</v>
      </c>
      <c r="S970" s="15" t="s">
        <v>19070</v>
      </c>
      <c r="T970" s="18">
        <v>35</v>
      </c>
      <c r="U970" s="15" t="s">
        <v>19071</v>
      </c>
      <c r="V970" s="15" t="s">
        <v>138</v>
      </c>
      <c r="W970" s="15" t="s">
        <v>138</v>
      </c>
      <c r="X970" s="19">
        <v>2011</v>
      </c>
      <c r="Y970" s="15" t="s">
        <v>138</v>
      </c>
      <c r="Z970" s="15" t="s">
        <v>138</v>
      </c>
      <c r="AA970" s="15" t="s">
        <v>138</v>
      </c>
      <c r="AB970" s="20" t="s">
        <v>138</v>
      </c>
      <c r="AC970" s="20" t="s">
        <v>138</v>
      </c>
      <c r="AD970" s="20" t="s">
        <v>138</v>
      </c>
      <c r="AE970" s="20" t="s">
        <v>138</v>
      </c>
      <c r="AF970" s="20" t="s">
        <v>138</v>
      </c>
      <c r="AG970" s="15" t="s">
        <v>138</v>
      </c>
      <c r="AH970" s="20" t="s">
        <v>138</v>
      </c>
      <c r="AI970" s="20" t="s">
        <v>138</v>
      </c>
      <c r="AJ970" s="20" t="s">
        <v>138</v>
      </c>
      <c r="AK970" s="15" t="s">
        <v>19072</v>
      </c>
      <c r="AL970" s="15" t="s">
        <v>19073</v>
      </c>
      <c r="AM970" s="15" t="s">
        <v>19074</v>
      </c>
      <c r="AN970" s="15" t="s">
        <v>19075</v>
      </c>
      <c r="AO970" s="15" t="s">
        <v>19076</v>
      </c>
      <c r="AP970" s="15" t="s">
        <v>2928</v>
      </c>
      <c r="AQ970" s="15" t="s">
        <v>19077</v>
      </c>
      <c r="AR970" s="15" t="s">
        <v>138</v>
      </c>
      <c r="AS970" s="15" t="s">
        <v>2931</v>
      </c>
      <c r="AT970" s="15" t="s">
        <v>200</v>
      </c>
      <c r="AU970" s="15" t="s">
        <v>2932</v>
      </c>
      <c r="AV970" s="15" t="s">
        <v>162</v>
      </c>
      <c r="AW970" s="15" t="s">
        <v>19076</v>
      </c>
      <c r="AX970" s="15" t="s">
        <v>138</v>
      </c>
      <c r="AY970" s="15" t="s">
        <v>19078</v>
      </c>
      <c r="AZ970" s="15" t="s">
        <v>164</v>
      </c>
      <c r="BA970" s="15" t="s">
        <v>165</v>
      </c>
      <c r="BB970" s="15" t="s">
        <v>19079</v>
      </c>
      <c r="BC970" s="15" t="s">
        <v>19080</v>
      </c>
      <c r="BD970" s="21">
        <v>41</v>
      </c>
      <c r="BE970" s="15" t="s">
        <v>138</v>
      </c>
      <c r="BF970" s="15" t="s">
        <v>138</v>
      </c>
      <c r="BG970" s="15" t="s">
        <v>138</v>
      </c>
      <c r="BH970" s="15" t="s">
        <v>19081</v>
      </c>
      <c r="BI970" s="15" t="s">
        <v>138</v>
      </c>
      <c r="BJ970" s="15" t="s">
        <v>138</v>
      </c>
      <c r="BK970" s="15" t="s">
        <v>19082</v>
      </c>
      <c r="BL970" s="15" t="s">
        <v>19082</v>
      </c>
      <c r="BM970" s="22">
        <v>41579</v>
      </c>
      <c r="BN970" s="17" t="s">
        <v>138</v>
      </c>
      <c r="BO970" s="15" t="s">
        <v>138</v>
      </c>
      <c r="BP970" s="17" t="s">
        <v>138</v>
      </c>
      <c r="BQ970" s="15" t="s">
        <v>138</v>
      </c>
      <c r="BR970" s="15" t="s">
        <v>205</v>
      </c>
      <c r="BS970" s="15" t="s">
        <v>138</v>
      </c>
      <c r="BT970" s="15" t="s">
        <v>138</v>
      </c>
      <c r="BU970" s="15" t="s">
        <v>174</v>
      </c>
      <c r="BV970" s="15" t="s">
        <v>138</v>
      </c>
      <c r="BW970" s="15" t="s">
        <v>138</v>
      </c>
      <c r="BX970" s="15" t="s">
        <v>138</v>
      </c>
      <c r="BY970" s="15" t="s">
        <v>175</v>
      </c>
      <c r="BZ970" s="22">
        <v>43277</v>
      </c>
      <c r="CA970" s="17">
        <v>16</v>
      </c>
      <c r="CB970" s="15" t="s">
        <v>172</v>
      </c>
      <c r="CC970" s="17">
        <v>56</v>
      </c>
      <c r="CD970" s="15" t="s">
        <v>172</v>
      </c>
      <c r="CE970" s="15" t="s">
        <v>205</v>
      </c>
      <c r="CF970" s="15" t="s">
        <v>206</v>
      </c>
      <c r="CG970" s="15" t="s">
        <v>138</v>
      </c>
      <c r="CH970" s="15" t="s">
        <v>174</v>
      </c>
      <c r="CI970" s="15" t="s">
        <v>138</v>
      </c>
      <c r="CJ970" s="15" t="s">
        <v>138</v>
      </c>
      <c r="CK970" s="15" t="s">
        <v>138</v>
      </c>
      <c r="CL970" s="15" t="s">
        <v>175</v>
      </c>
      <c r="CM970" s="22" t="s">
        <v>138</v>
      </c>
      <c r="CN970" s="17" t="s">
        <v>138</v>
      </c>
      <c r="CO970" s="23">
        <v>0.71</v>
      </c>
      <c r="CP970" s="24">
        <v>96</v>
      </c>
      <c r="CQ970" s="23">
        <v>0.01</v>
      </c>
      <c r="CR970" s="23">
        <v>0.78</v>
      </c>
      <c r="CS970" s="23">
        <v>1.31</v>
      </c>
      <c r="CT970" s="24">
        <v>97</v>
      </c>
      <c r="CU970" s="23">
        <v>0.11</v>
      </c>
      <c r="CV970" s="24">
        <v>70</v>
      </c>
      <c r="CW970" s="23">
        <v>2.63</v>
      </c>
      <c r="CX970" s="24">
        <v>90</v>
      </c>
      <c r="CY970" s="23">
        <v>0</v>
      </c>
      <c r="CZ970" s="24">
        <v>25</v>
      </c>
      <c r="DA970" s="23">
        <v>0.21</v>
      </c>
      <c r="DB970" s="24">
        <v>83</v>
      </c>
      <c r="DC970" s="25">
        <v>7.28</v>
      </c>
      <c r="DD970" s="24">
        <v>87</v>
      </c>
      <c r="DE970" s="25">
        <v>-0.17</v>
      </c>
      <c r="DF970" s="23">
        <v>-2.31</v>
      </c>
      <c r="DG970" s="25">
        <v>4.3099999999999996</v>
      </c>
      <c r="DH970" s="24">
        <v>80</v>
      </c>
      <c r="DI970" s="25">
        <v>10.26</v>
      </c>
      <c r="DJ970" s="24">
        <v>85</v>
      </c>
      <c r="DK970" s="25">
        <v>5.89</v>
      </c>
      <c r="DL970" s="24">
        <v>81</v>
      </c>
      <c r="DM970" s="25">
        <v>2.72</v>
      </c>
      <c r="DN970" s="24">
        <v>72</v>
      </c>
      <c r="DO970" s="25">
        <v>15.79</v>
      </c>
      <c r="DP970" s="24">
        <v>91</v>
      </c>
      <c r="DQ970" s="24">
        <v>1996</v>
      </c>
      <c r="DR970" s="26">
        <v>74</v>
      </c>
      <c r="DS970" s="23">
        <v>3.85</v>
      </c>
      <c r="DT970" s="24">
        <v>79</v>
      </c>
      <c r="DU970" s="26">
        <v>1</v>
      </c>
      <c r="DV970" s="23">
        <v>1.28</v>
      </c>
      <c r="DW970" s="24">
        <v>5652</v>
      </c>
      <c r="DX970" s="27">
        <v>11</v>
      </c>
      <c r="DY970" s="23">
        <v>0.2</v>
      </c>
      <c r="DZ970" s="15" t="s">
        <v>178</v>
      </c>
      <c r="EA970" s="22">
        <v>43475</v>
      </c>
      <c r="EB970" s="17">
        <v>56</v>
      </c>
      <c r="EC970" s="22">
        <v>43277</v>
      </c>
      <c r="ED970" s="15" t="s">
        <v>205</v>
      </c>
      <c r="EE970" s="14" t="str">
        <f>HYPERLINK("https://my.pitchbook.com?c=58370-32", "View company online")</f>
        <v>View company online</v>
      </c>
    </row>
    <row r="971" spans="1:135">
      <c r="A971" s="28" t="s">
        <v>19083</v>
      </c>
      <c r="B971" s="28" t="s">
        <v>19084</v>
      </c>
      <c r="C971" s="28" t="s">
        <v>138</v>
      </c>
      <c r="D971" s="28" t="s">
        <v>138</v>
      </c>
      <c r="E971" s="28" t="s">
        <v>19085</v>
      </c>
      <c r="F971" s="28" t="s">
        <v>19083</v>
      </c>
      <c r="G971" s="28" t="s">
        <v>19086</v>
      </c>
      <c r="H971" s="28" t="s">
        <v>322</v>
      </c>
      <c r="I971" s="28" t="s">
        <v>323</v>
      </c>
      <c r="J971" s="28" t="s">
        <v>9497</v>
      </c>
      <c r="K971" s="28" t="s">
        <v>19087</v>
      </c>
      <c r="L971" s="28" t="s">
        <v>1796</v>
      </c>
      <c r="M971" s="28" t="s">
        <v>19088</v>
      </c>
      <c r="N971" s="28" t="s">
        <v>147</v>
      </c>
      <c r="O971" s="29">
        <v>141</v>
      </c>
      <c r="P971" s="28" t="s">
        <v>148</v>
      </c>
      <c r="Q971" s="28" t="s">
        <v>149</v>
      </c>
      <c r="R971" s="28" t="s">
        <v>174</v>
      </c>
      <c r="S971" s="28" t="s">
        <v>19089</v>
      </c>
      <c r="T971" s="30">
        <v>100</v>
      </c>
      <c r="U971" s="28" t="s">
        <v>19090</v>
      </c>
      <c r="V971" s="28" t="s">
        <v>138</v>
      </c>
      <c r="W971" s="28" t="s">
        <v>138</v>
      </c>
      <c r="X971" s="31" t="s">
        <v>138</v>
      </c>
      <c r="Y971" s="28" t="s">
        <v>138</v>
      </c>
      <c r="Z971" s="28" t="s">
        <v>19091</v>
      </c>
      <c r="AA971" s="28" t="s">
        <v>19092</v>
      </c>
      <c r="AB971" s="32" t="s">
        <v>138</v>
      </c>
      <c r="AC971" s="32" t="s">
        <v>138</v>
      </c>
      <c r="AD971" s="32" t="s">
        <v>138</v>
      </c>
      <c r="AE971" s="32" t="s">
        <v>138</v>
      </c>
      <c r="AF971" s="32" t="s">
        <v>138</v>
      </c>
      <c r="AG971" s="28" t="s">
        <v>138</v>
      </c>
      <c r="AH971" s="32" t="s">
        <v>138</v>
      </c>
      <c r="AI971" s="32" t="s">
        <v>138</v>
      </c>
      <c r="AJ971" s="32" t="s">
        <v>138</v>
      </c>
      <c r="AK971" s="28" t="s">
        <v>19093</v>
      </c>
      <c r="AL971" s="28" t="s">
        <v>19094</v>
      </c>
      <c r="AM971" s="28" t="s">
        <v>304</v>
      </c>
      <c r="AN971" s="28" t="s">
        <v>19095</v>
      </c>
      <c r="AO971" s="28" t="s">
        <v>19096</v>
      </c>
      <c r="AP971" s="28" t="s">
        <v>665</v>
      </c>
      <c r="AQ971" s="28" t="s">
        <v>19097</v>
      </c>
      <c r="AR971" s="28" t="s">
        <v>19098</v>
      </c>
      <c r="AS971" s="28" t="s">
        <v>668</v>
      </c>
      <c r="AT971" s="28" t="s">
        <v>200</v>
      </c>
      <c r="AU971" s="28" t="s">
        <v>3557</v>
      </c>
      <c r="AV971" s="28" t="s">
        <v>162</v>
      </c>
      <c r="AW971" s="28" t="s">
        <v>19096</v>
      </c>
      <c r="AX971" s="28" t="s">
        <v>138</v>
      </c>
      <c r="AY971" s="28" t="s">
        <v>19099</v>
      </c>
      <c r="AZ971" s="28" t="s">
        <v>164</v>
      </c>
      <c r="BA971" s="28" t="s">
        <v>165</v>
      </c>
      <c r="BB971" s="28" t="s">
        <v>19100</v>
      </c>
      <c r="BC971" s="28" t="s">
        <v>19101</v>
      </c>
      <c r="BD971" s="33">
        <v>24</v>
      </c>
      <c r="BE971" s="28" t="s">
        <v>138</v>
      </c>
      <c r="BF971" s="28" t="s">
        <v>138</v>
      </c>
      <c r="BG971" s="28" t="s">
        <v>138</v>
      </c>
      <c r="BH971" s="28" t="s">
        <v>19102</v>
      </c>
      <c r="BI971" s="28" t="s">
        <v>138</v>
      </c>
      <c r="BJ971" s="28" t="s">
        <v>138</v>
      </c>
      <c r="BK971" s="28" t="s">
        <v>1691</v>
      </c>
      <c r="BL971" s="28" t="s">
        <v>1691</v>
      </c>
      <c r="BM971" s="34">
        <v>41540</v>
      </c>
      <c r="BN971" s="29">
        <v>1.5</v>
      </c>
      <c r="BO971" s="28" t="s">
        <v>172</v>
      </c>
      <c r="BP971" s="29">
        <v>8.6199999999999992</v>
      </c>
      <c r="BQ971" s="28" t="s">
        <v>172</v>
      </c>
      <c r="BR971" s="28" t="s">
        <v>234</v>
      </c>
      <c r="BS971" s="28" t="s">
        <v>234</v>
      </c>
      <c r="BT971" s="28" t="s">
        <v>138</v>
      </c>
      <c r="BU971" s="28" t="s">
        <v>174</v>
      </c>
      <c r="BV971" s="28" t="s">
        <v>138</v>
      </c>
      <c r="BW971" s="28" t="s">
        <v>138</v>
      </c>
      <c r="BX971" s="28" t="s">
        <v>138</v>
      </c>
      <c r="BY971" s="28" t="s">
        <v>175</v>
      </c>
      <c r="BZ971" s="34">
        <v>43349</v>
      </c>
      <c r="CA971" s="29">
        <v>85</v>
      </c>
      <c r="CB971" s="28" t="s">
        <v>172</v>
      </c>
      <c r="CC971" s="29">
        <v>410</v>
      </c>
      <c r="CD971" s="28" t="s">
        <v>172</v>
      </c>
      <c r="CE971" s="28" t="s">
        <v>173</v>
      </c>
      <c r="CF971" s="28" t="s">
        <v>433</v>
      </c>
      <c r="CG971" s="28" t="s">
        <v>138</v>
      </c>
      <c r="CH971" s="28" t="s">
        <v>174</v>
      </c>
      <c r="CI971" s="28" t="s">
        <v>138</v>
      </c>
      <c r="CJ971" s="28" t="s">
        <v>138</v>
      </c>
      <c r="CK971" s="28" t="s">
        <v>138</v>
      </c>
      <c r="CL971" s="28" t="s">
        <v>175</v>
      </c>
      <c r="CM971" s="34" t="s">
        <v>138</v>
      </c>
      <c r="CN971" s="29" t="s">
        <v>138</v>
      </c>
      <c r="CO971" s="35">
        <v>0.78</v>
      </c>
      <c r="CP971" s="36">
        <v>96</v>
      </c>
      <c r="CQ971" s="35">
        <v>-0.02</v>
      </c>
      <c r="CR971" s="35">
        <v>-2.84</v>
      </c>
      <c r="CS971" s="35">
        <v>1.22</v>
      </c>
      <c r="CT971" s="36">
        <v>97</v>
      </c>
      <c r="CU971" s="35">
        <v>0.35</v>
      </c>
      <c r="CV971" s="36">
        <v>89</v>
      </c>
      <c r="CW971" s="35">
        <v>2.57</v>
      </c>
      <c r="CX971" s="36">
        <v>90</v>
      </c>
      <c r="CY971" s="35">
        <v>-0.13</v>
      </c>
      <c r="CZ971" s="36">
        <v>24</v>
      </c>
      <c r="DA971" s="35">
        <v>0.59</v>
      </c>
      <c r="DB971" s="36">
        <v>95</v>
      </c>
      <c r="DC971" s="37">
        <v>1035.92</v>
      </c>
      <c r="DD971" s="36">
        <v>100</v>
      </c>
      <c r="DE971" s="37">
        <v>-40.590000000000003</v>
      </c>
      <c r="DF971" s="35">
        <v>-3.77</v>
      </c>
      <c r="DG971" s="37">
        <v>719.82</v>
      </c>
      <c r="DH971" s="36">
        <v>100</v>
      </c>
      <c r="DI971" s="37">
        <v>1352.02</v>
      </c>
      <c r="DJ971" s="36">
        <v>100</v>
      </c>
      <c r="DK971" s="37">
        <v>1267.54</v>
      </c>
      <c r="DL971" s="36">
        <v>100</v>
      </c>
      <c r="DM971" s="37">
        <v>172.1</v>
      </c>
      <c r="DN971" s="36">
        <v>100</v>
      </c>
      <c r="DO971" s="37">
        <v>119.24</v>
      </c>
      <c r="DP971" s="36">
        <v>98</v>
      </c>
      <c r="DQ971" s="36">
        <v>441782</v>
      </c>
      <c r="DR971" s="38">
        <v>-21049</v>
      </c>
      <c r="DS971" s="35">
        <v>-4.55</v>
      </c>
      <c r="DT971" s="36">
        <v>4983</v>
      </c>
      <c r="DU971" s="38">
        <v>20</v>
      </c>
      <c r="DV971" s="35">
        <v>0.4</v>
      </c>
      <c r="DW971" s="36">
        <v>42643</v>
      </c>
      <c r="DX971" s="39">
        <v>71</v>
      </c>
      <c r="DY971" s="35">
        <v>0.17</v>
      </c>
      <c r="DZ971" s="28" t="s">
        <v>178</v>
      </c>
      <c r="EA971" s="34">
        <v>43592</v>
      </c>
      <c r="EB971" s="29">
        <v>410</v>
      </c>
      <c r="EC971" s="34">
        <v>43349</v>
      </c>
      <c r="ED971" s="28" t="s">
        <v>173</v>
      </c>
      <c r="EE971" s="40" t="str">
        <f>HYPERLINK("https://my.pitchbook.com?c=97355-26", "View company online")</f>
        <v>View company online</v>
      </c>
    </row>
    <row r="972" spans="1:135">
      <c r="A972" s="15" t="s">
        <v>19103</v>
      </c>
      <c r="B972" s="15" t="s">
        <v>19104</v>
      </c>
      <c r="C972" s="15" t="s">
        <v>138</v>
      </c>
      <c r="D972" s="15" t="s">
        <v>138</v>
      </c>
      <c r="E972" s="15" t="s">
        <v>138</v>
      </c>
      <c r="F972" s="15" t="s">
        <v>19103</v>
      </c>
      <c r="G972" s="15" t="s">
        <v>19105</v>
      </c>
      <c r="H972" s="15" t="s">
        <v>183</v>
      </c>
      <c r="I972" s="15" t="s">
        <v>3466</v>
      </c>
      <c r="J972" s="15" t="s">
        <v>19106</v>
      </c>
      <c r="K972" s="15" t="s">
        <v>19107</v>
      </c>
      <c r="L972" s="15" t="s">
        <v>19108</v>
      </c>
      <c r="M972" s="15" t="s">
        <v>19109</v>
      </c>
      <c r="N972" s="15" t="s">
        <v>147</v>
      </c>
      <c r="O972" s="17">
        <v>2.5299999999999998</v>
      </c>
      <c r="P972" s="15" t="s">
        <v>148</v>
      </c>
      <c r="Q972" s="15" t="s">
        <v>149</v>
      </c>
      <c r="R972" s="15" t="s">
        <v>174</v>
      </c>
      <c r="S972" s="15" t="s">
        <v>19110</v>
      </c>
      <c r="T972" s="18" t="s">
        <v>138</v>
      </c>
      <c r="U972" s="15" t="s">
        <v>138</v>
      </c>
      <c r="V972" s="15" t="s">
        <v>138</v>
      </c>
      <c r="W972" s="15" t="s">
        <v>138</v>
      </c>
      <c r="X972" s="19">
        <v>2014</v>
      </c>
      <c r="Y972" s="15" t="s">
        <v>138</v>
      </c>
      <c r="Z972" s="15" t="s">
        <v>138</v>
      </c>
      <c r="AA972" s="15" t="s">
        <v>138</v>
      </c>
      <c r="AB972" s="20" t="s">
        <v>138</v>
      </c>
      <c r="AC972" s="20" t="s">
        <v>138</v>
      </c>
      <c r="AD972" s="20" t="s">
        <v>138</v>
      </c>
      <c r="AE972" s="20" t="s">
        <v>138</v>
      </c>
      <c r="AF972" s="20" t="s">
        <v>138</v>
      </c>
      <c r="AG972" s="15" t="s">
        <v>138</v>
      </c>
      <c r="AH972" s="20" t="s">
        <v>138</v>
      </c>
      <c r="AI972" s="20" t="s">
        <v>138</v>
      </c>
      <c r="AJ972" s="20" t="s">
        <v>138</v>
      </c>
      <c r="AK972" s="15" t="s">
        <v>19111</v>
      </c>
      <c r="AL972" s="15" t="s">
        <v>19112</v>
      </c>
      <c r="AM972" s="15" t="s">
        <v>19113</v>
      </c>
      <c r="AN972" s="15" t="s">
        <v>19114</v>
      </c>
      <c r="AO972" s="15" t="s">
        <v>19115</v>
      </c>
      <c r="AP972" s="15" t="s">
        <v>423</v>
      </c>
      <c r="AQ972" s="15" t="s">
        <v>19116</v>
      </c>
      <c r="AR972" s="15" t="s">
        <v>19117</v>
      </c>
      <c r="AS972" s="15" t="s">
        <v>426</v>
      </c>
      <c r="AT972" s="15" t="s">
        <v>426</v>
      </c>
      <c r="AU972" s="15" t="s">
        <v>19118</v>
      </c>
      <c r="AV972" s="15" t="s">
        <v>162</v>
      </c>
      <c r="AW972" s="15" t="s">
        <v>19119</v>
      </c>
      <c r="AX972" s="15" t="s">
        <v>138</v>
      </c>
      <c r="AY972" s="15" t="s">
        <v>138</v>
      </c>
      <c r="AZ972" s="15" t="s">
        <v>164</v>
      </c>
      <c r="BA972" s="15" t="s">
        <v>165</v>
      </c>
      <c r="BB972" s="15" t="s">
        <v>19120</v>
      </c>
      <c r="BC972" s="15" t="s">
        <v>19121</v>
      </c>
      <c r="BD972" s="21">
        <v>2</v>
      </c>
      <c r="BE972" s="15" t="s">
        <v>138</v>
      </c>
      <c r="BF972" s="15" t="s">
        <v>138</v>
      </c>
      <c r="BG972" s="15" t="s">
        <v>138</v>
      </c>
      <c r="BH972" s="15" t="s">
        <v>19122</v>
      </c>
      <c r="BI972" s="15" t="s">
        <v>138</v>
      </c>
      <c r="BJ972" s="15" t="s">
        <v>138</v>
      </c>
      <c r="BK972" s="15" t="s">
        <v>19123</v>
      </c>
      <c r="BL972" s="15" t="s">
        <v>138</v>
      </c>
      <c r="BM972" s="22">
        <v>42354</v>
      </c>
      <c r="BN972" s="17" t="s">
        <v>138</v>
      </c>
      <c r="BO972" s="15" t="s">
        <v>138</v>
      </c>
      <c r="BP972" s="17" t="s">
        <v>138</v>
      </c>
      <c r="BQ972" s="15" t="s">
        <v>138</v>
      </c>
      <c r="BR972" s="15" t="s">
        <v>262</v>
      </c>
      <c r="BS972" s="15" t="s">
        <v>206</v>
      </c>
      <c r="BT972" s="15" t="s">
        <v>138</v>
      </c>
      <c r="BU972" s="15" t="s">
        <v>263</v>
      </c>
      <c r="BV972" s="15" t="s">
        <v>138</v>
      </c>
      <c r="BW972" s="15" t="s">
        <v>138</v>
      </c>
      <c r="BX972" s="15" t="s">
        <v>138</v>
      </c>
      <c r="BY972" s="15" t="s">
        <v>1831</v>
      </c>
      <c r="BZ972" s="22">
        <v>43587</v>
      </c>
      <c r="CA972" s="17">
        <v>2.5299999999999998</v>
      </c>
      <c r="CB972" s="15" t="s">
        <v>172</v>
      </c>
      <c r="CC972" s="17">
        <v>27.53</v>
      </c>
      <c r="CD972" s="15" t="s">
        <v>172</v>
      </c>
      <c r="CE972" s="15" t="s">
        <v>205</v>
      </c>
      <c r="CF972" s="15" t="s">
        <v>206</v>
      </c>
      <c r="CG972" s="15" t="s">
        <v>138</v>
      </c>
      <c r="CH972" s="15" t="s">
        <v>174</v>
      </c>
      <c r="CI972" s="15" t="s">
        <v>138</v>
      </c>
      <c r="CJ972" s="15" t="s">
        <v>138</v>
      </c>
      <c r="CK972" s="15" t="s">
        <v>138</v>
      </c>
      <c r="CL972" s="15" t="s">
        <v>175</v>
      </c>
      <c r="CM972" s="22" t="s">
        <v>138</v>
      </c>
      <c r="CN972" s="17" t="s">
        <v>138</v>
      </c>
      <c r="CO972" s="23">
        <v>0.11</v>
      </c>
      <c r="CP972" s="24">
        <v>90</v>
      </c>
      <c r="CQ972" s="23">
        <v>-0.04</v>
      </c>
      <c r="CR972" s="23">
        <v>-24</v>
      </c>
      <c r="CS972" s="23">
        <v>0</v>
      </c>
      <c r="CT972" s="24">
        <v>23</v>
      </c>
      <c r="CU972" s="23">
        <v>0.22</v>
      </c>
      <c r="CV972" s="24">
        <v>82</v>
      </c>
      <c r="CW972" s="23">
        <v>0</v>
      </c>
      <c r="CX972" s="24">
        <v>13</v>
      </c>
      <c r="CY972" s="23" t="s">
        <v>138</v>
      </c>
      <c r="CZ972" s="24" t="s">
        <v>138</v>
      </c>
      <c r="DA972" s="23">
        <v>0.22</v>
      </c>
      <c r="DB972" s="24">
        <v>84</v>
      </c>
      <c r="DC972" s="25">
        <v>1.99</v>
      </c>
      <c r="DD972" s="24">
        <v>67</v>
      </c>
      <c r="DE972" s="25">
        <v>-0.11</v>
      </c>
      <c r="DF972" s="23">
        <v>-5.47</v>
      </c>
      <c r="DG972" s="25">
        <v>1.9</v>
      </c>
      <c r="DH972" s="24">
        <v>66</v>
      </c>
      <c r="DI972" s="25">
        <v>2.0699999999999998</v>
      </c>
      <c r="DJ972" s="24">
        <v>63</v>
      </c>
      <c r="DK972" s="25">
        <v>1.9</v>
      </c>
      <c r="DL972" s="24">
        <v>63</v>
      </c>
      <c r="DM972" s="25" t="s">
        <v>138</v>
      </c>
      <c r="DN972" s="24" t="s">
        <v>138</v>
      </c>
      <c r="DO972" s="25">
        <v>2.0699999999999998</v>
      </c>
      <c r="DP972" s="24">
        <v>64</v>
      </c>
      <c r="DQ972" s="24">
        <v>620</v>
      </c>
      <c r="DR972" s="26">
        <v>96</v>
      </c>
      <c r="DS972" s="23">
        <v>18.32</v>
      </c>
      <c r="DT972" s="24" t="s">
        <v>138</v>
      </c>
      <c r="DU972" s="26" t="s">
        <v>138</v>
      </c>
      <c r="DV972" s="23" t="s">
        <v>138</v>
      </c>
      <c r="DW972" s="24">
        <v>739</v>
      </c>
      <c r="DX972" s="27">
        <v>2</v>
      </c>
      <c r="DY972" s="23">
        <v>0.27</v>
      </c>
      <c r="DZ972" s="15" t="s">
        <v>178</v>
      </c>
      <c r="EA972" s="22">
        <v>43613</v>
      </c>
      <c r="EB972" s="17">
        <v>27.53</v>
      </c>
      <c r="EC972" s="22">
        <v>43587</v>
      </c>
      <c r="ED972" s="15" t="s">
        <v>205</v>
      </c>
      <c r="EE972" s="14" t="str">
        <f>HYPERLINK("https://my.pitchbook.com?c=117421-21", "View company online")</f>
        <v>View company online</v>
      </c>
    </row>
    <row r="973" spans="1:135">
      <c r="A973" s="28" t="s">
        <v>19124</v>
      </c>
      <c r="B973" s="28" t="s">
        <v>19125</v>
      </c>
      <c r="C973" s="28" t="s">
        <v>138</v>
      </c>
      <c r="D973" s="28" t="s">
        <v>138</v>
      </c>
      <c r="E973" s="28" t="s">
        <v>19126</v>
      </c>
      <c r="F973" s="28" t="s">
        <v>19124</v>
      </c>
      <c r="G973" s="28" t="s">
        <v>19127</v>
      </c>
      <c r="H973" s="28" t="s">
        <v>322</v>
      </c>
      <c r="I973" s="28" t="s">
        <v>323</v>
      </c>
      <c r="J973" s="28" t="s">
        <v>324</v>
      </c>
      <c r="K973" s="28" t="s">
        <v>1543</v>
      </c>
      <c r="L973" s="28" t="s">
        <v>1544</v>
      </c>
      <c r="M973" s="28" t="s">
        <v>19128</v>
      </c>
      <c r="N973" s="28" t="s">
        <v>147</v>
      </c>
      <c r="O973" s="29" t="s">
        <v>138</v>
      </c>
      <c r="P973" s="28" t="s">
        <v>148</v>
      </c>
      <c r="Q973" s="28" t="s">
        <v>149</v>
      </c>
      <c r="R973" s="28" t="s">
        <v>174</v>
      </c>
      <c r="S973" s="28" t="s">
        <v>19129</v>
      </c>
      <c r="T973" s="30" t="s">
        <v>138</v>
      </c>
      <c r="U973" s="28" t="s">
        <v>138</v>
      </c>
      <c r="V973" s="28" t="s">
        <v>138</v>
      </c>
      <c r="W973" s="28" t="s">
        <v>138</v>
      </c>
      <c r="X973" s="31">
        <v>2010</v>
      </c>
      <c r="Y973" s="28" t="s">
        <v>138</v>
      </c>
      <c r="Z973" s="28" t="s">
        <v>138</v>
      </c>
      <c r="AA973" s="28" t="s">
        <v>138</v>
      </c>
      <c r="AB973" s="32" t="s">
        <v>138</v>
      </c>
      <c r="AC973" s="32" t="s">
        <v>138</v>
      </c>
      <c r="AD973" s="32" t="s">
        <v>138</v>
      </c>
      <c r="AE973" s="32" t="s">
        <v>138</v>
      </c>
      <c r="AF973" s="32" t="s">
        <v>138</v>
      </c>
      <c r="AG973" s="28" t="s">
        <v>138</v>
      </c>
      <c r="AH973" s="32" t="s">
        <v>138</v>
      </c>
      <c r="AI973" s="32" t="s">
        <v>138</v>
      </c>
      <c r="AJ973" s="32" t="s">
        <v>138</v>
      </c>
      <c r="AK973" s="28" t="s">
        <v>19130</v>
      </c>
      <c r="AL973" s="28" t="s">
        <v>19131</v>
      </c>
      <c r="AM973" s="28" t="s">
        <v>2949</v>
      </c>
      <c r="AN973" s="28" t="s">
        <v>19132</v>
      </c>
      <c r="AO973" s="28" t="s">
        <v>19133</v>
      </c>
      <c r="AP973" s="28" t="s">
        <v>423</v>
      </c>
      <c r="AQ973" s="28" t="s">
        <v>19134</v>
      </c>
      <c r="AR973" s="28" t="s">
        <v>19135</v>
      </c>
      <c r="AS973" s="28" t="s">
        <v>426</v>
      </c>
      <c r="AT973" s="28" t="s">
        <v>426</v>
      </c>
      <c r="AU973" s="28" t="s">
        <v>8757</v>
      </c>
      <c r="AV973" s="28" t="s">
        <v>162</v>
      </c>
      <c r="AW973" s="28" t="s">
        <v>19133</v>
      </c>
      <c r="AX973" s="28" t="s">
        <v>138</v>
      </c>
      <c r="AY973" s="28" t="s">
        <v>19136</v>
      </c>
      <c r="AZ973" s="28" t="s">
        <v>164</v>
      </c>
      <c r="BA973" s="28" t="s">
        <v>165</v>
      </c>
      <c r="BB973" s="28" t="s">
        <v>19137</v>
      </c>
      <c r="BC973" s="28" t="s">
        <v>19138</v>
      </c>
      <c r="BD973" s="33">
        <v>2</v>
      </c>
      <c r="BE973" s="28" t="s">
        <v>138</v>
      </c>
      <c r="BF973" s="28" t="s">
        <v>138</v>
      </c>
      <c r="BG973" s="28" t="s">
        <v>138</v>
      </c>
      <c r="BH973" s="28" t="s">
        <v>19139</v>
      </c>
      <c r="BI973" s="28" t="s">
        <v>138</v>
      </c>
      <c r="BJ973" s="28" t="s">
        <v>138</v>
      </c>
      <c r="BK973" s="28" t="s">
        <v>138</v>
      </c>
      <c r="BL973" s="28" t="s">
        <v>138</v>
      </c>
      <c r="BM973" s="34" t="s">
        <v>138</v>
      </c>
      <c r="BN973" s="29" t="s">
        <v>138</v>
      </c>
      <c r="BO973" s="28" t="s">
        <v>138</v>
      </c>
      <c r="BP973" s="29" t="s">
        <v>138</v>
      </c>
      <c r="BQ973" s="28" t="s">
        <v>138</v>
      </c>
      <c r="BR973" s="28" t="s">
        <v>205</v>
      </c>
      <c r="BS973" s="28" t="s">
        <v>138</v>
      </c>
      <c r="BT973" s="28" t="s">
        <v>138</v>
      </c>
      <c r="BU973" s="28" t="s">
        <v>174</v>
      </c>
      <c r="BV973" s="28" t="s">
        <v>138</v>
      </c>
      <c r="BW973" s="28" t="s">
        <v>138</v>
      </c>
      <c r="BX973" s="28" t="s">
        <v>138</v>
      </c>
      <c r="BY973" s="28" t="s">
        <v>175</v>
      </c>
      <c r="BZ973" s="34" t="s">
        <v>138</v>
      </c>
      <c r="CA973" s="29" t="s">
        <v>138</v>
      </c>
      <c r="CB973" s="28" t="s">
        <v>138</v>
      </c>
      <c r="CC973" s="29" t="s">
        <v>138</v>
      </c>
      <c r="CD973" s="28" t="s">
        <v>138</v>
      </c>
      <c r="CE973" s="28" t="s">
        <v>205</v>
      </c>
      <c r="CF973" s="28" t="s">
        <v>138</v>
      </c>
      <c r="CG973" s="28" t="s">
        <v>138</v>
      </c>
      <c r="CH973" s="28" t="s">
        <v>174</v>
      </c>
      <c r="CI973" s="28" t="s">
        <v>138</v>
      </c>
      <c r="CJ973" s="28" t="s">
        <v>138</v>
      </c>
      <c r="CK973" s="28" t="s">
        <v>138</v>
      </c>
      <c r="CL973" s="28" t="s">
        <v>175</v>
      </c>
      <c r="CM973" s="34" t="s">
        <v>138</v>
      </c>
      <c r="CN973" s="29" t="s">
        <v>138</v>
      </c>
      <c r="CO973" s="35">
        <v>-0.08</v>
      </c>
      <c r="CP973" s="36">
        <v>21</v>
      </c>
      <c r="CQ973" s="35">
        <v>0</v>
      </c>
      <c r="CR973" s="35">
        <v>0</v>
      </c>
      <c r="CS973" s="35">
        <v>0</v>
      </c>
      <c r="CT973" s="36">
        <v>23</v>
      </c>
      <c r="CU973" s="35">
        <v>-0.15</v>
      </c>
      <c r="CV973" s="36">
        <v>2</v>
      </c>
      <c r="CW973" s="35" t="s">
        <v>138</v>
      </c>
      <c r="CX973" s="36" t="s">
        <v>138</v>
      </c>
      <c r="CY973" s="35">
        <v>0</v>
      </c>
      <c r="CZ973" s="36">
        <v>25</v>
      </c>
      <c r="DA973" s="35">
        <v>-0.31</v>
      </c>
      <c r="DB973" s="36">
        <v>1</v>
      </c>
      <c r="DC973" s="37">
        <v>0.31</v>
      </c>
      <c r="DD973" s="36">
        <v>23</v>
      </c>
      <c r="DE973" s="37">
        <v>0</v>
      </c>
      <c r="DF973" s="35">
        <v>0.19</v>
      </c>
      <c r="DG973" s="37">
        <v>0.38</v>
      </c>
      <c r="DH973" s="36">
        <v>27</v>
      </c>
      <c r="DI973" s="37">
        <v>0.25</v>
      </c>
      <c r="DJ973" s="36">
        <v>25</v>
      </c>
      <c r="DK973" s="37" t="s">
        <v>138</v>
      </c>
      <c r="DL973" s="36" t="s">
        <v>138</v>
      </c>
      <c r="DM973" s="37">
        <v>0.38</v>
      </c>
      <c r="DN973" s="36">
        <v>28</v>
      </c>
      <c r="DO973" s="37">
        <v>0.44</v>
      </c>
      <c r="DP973" s="36">
        <v>36</v>
      </c>
      <c r="DQ973" s="36">
        <v>66</v>
      </c>
      <c r="DR973" s="38">
        <v>-2</v>
      </c>
      <c r="DS973" s="35">
        <v>-2.94</v>
      </c>
      <c r="DT973" s="36">
        <v>11</v>
      </c>
      <c r="DU973" s="38">
        <v>0</v>
      </c>
      <c r="DV973" s="35">
        <v>0</v>
      </c>
      <c r="DW973" s="36">
        <v>159</v>
      </c>
      <c r="DX973" s="39">
        <v>0</v>
      </c>
      <c r="DY973" s="35">
        <v>0</v>
      </c>
      <c r="DZ973" s="28" t="s">
        <v>178</v>
      </c>
      <c r="EA973" s="34">
        <v>43622</v>
      </c>
      <c r="EB973" s="29" t="s">
        <v>138</v>
      </c>
      <c r="EC973" s="34" t="s">
        <v>138</v>
      </c>
      <c r="ED973" s="28" t="s">
        <v>138</v>
      </c>
      <c r="EE973" s="40" t="str">
        <f>HYPERLINK("https://my.pitchbook.com?c=113292-82", "View company online")</f>
        <v>View company online</v>
      </c>
    </row>
    <row r="974" spans="1:135">
      <c r="A974" s="15" t="s">
        <v>19140</v>
      </c>
      <c r="B974" s="15" t="s">
        <v>19141</v>
      </c>
      <c r="C974" s="15" t="s">
        <v>138</v>
      </c>
      <c r="D974" s="15" t="s">
        <v>138</v>
      </c>
      <c r="E974" s="15" t="s">
        <v>19142</v>
      </c>
      <c r="F974" s="15" t="s">
        <v>19140</v>
      </c>
      <c r="G974" s="15" t="s">
        <v>19143</v>
      </c>
      <c r="H974" s="15" t="s">
        <v>322</v>
      </c>
      <c r="I974" s="15" t="s">
        <v>323</v>
      </c>
      <c r="J974" s="15" t="s">
        <v>1132</v>
      </c>
      <c r="K974" s="15" t="s">
        <v>3918</v>
      </c>
      <c r="L974" s="15" t="s">
        <v>19144</v>
      </c>
      <c r="M974" s="15" t="s">
        <v>19145</v>
      </c>
      <c r="N974" s="15" t="s">
        <v>147</v>
      </c>
      <c r="O974" s="17">
        <v>375.73</v>
      </c>
      <c r="P974" s="15" t="s">
        <v>1473</v>
      </c>
      <c r="Q974" s="15" t="s">
        <v>149</v>
      </c>
      <c r="R974" s="15" t="s">
        <v>174</v>
      </c>
      <c r="S974" s="15" t="s">
        <v>19146</v>
      </c>
      <c r="T974" s="18">
        <v>300</v>
      </c>
      <c r="U974" s="15" t="s">
        <v>19147</v>
      </c>
      <c r="V974" s="15" t="s">
        <v>138</v>
      </c>
      <c r="W974" s="15" t="s">
        <v>138</v>
      </c>
      <c r="X974" s="19">
        <v>2010</v>
      </c>
      <c r="Y974" s="15" t="s">
        <v>138</v>
      </c>
      <c r="Z974" s="15" t="s">
        <v>138</v>
      </c>
      <c r="AA974" s="15" t="s">
        <v>1163</v>
      </c>
      <c r="AB974" s="20" t="s">
        <v>138</v>
      </c>
      <c r="AC974" s="20" t="s">
        <v>138</v>
      </c>
      <c r="AD974" s="20" t="s">
        <v>138</v>
      </c>
      <c r="AE974" s="20" t="s">
        <v>138</v>
      </c>
      <c r="AF974" s="20" t="s">
        <v>138</v>
      </c>
      <c r="AG974" s="15" t="s">
        <v>138</v>
      </c>
      <c r="AH974" s="20" t="s">
        <v>138</v>
      </c>
      <c r="AI974" s="20" t="s">
        <v>138</v>
      </c>
      <c r="AJ974" s="20" t="s">
        <v>138</v>
      </c>
      <c r="AK974" s="15" t="s">
        <v>19148</v>
      </c>
      <c r="AL974" s="15" t="s">
        <v>19149</v>
      </c>
      <c r="AM974" s="15" t="s">
        <v>444</v>
      </c>
      <c r="AN974" s="15" t="s">
        <v>19150</v>
      </c>
      <c r="AO974" s="15" t="s">
        <v>138</v>
      </c>
      <c r="AP974" s="15" t="s">
        <v>3328</v>
      </c>
      <c r="AQ974" s="15" t="s">
        <v>19151</v>
      </c>
      <c r="AR974" s="15" t="s">
        <v>618</v>
      </c>
      <c r="AS974" s="15" t="s">
        <v>3330</v>
      </c>
      <c r="AT974" s="15" t="s">
        <v>200</v>
      </c>
      <c r="AU974" s="15" t="s">
        <v>3331</v>
      </c>
      <c r="AV974" s="15" t="s">
        <v>162</v>
      </c>
      <c r="AW974" s="15" t="s">
        <v>138</v>
      </c>
      <c r="AX974" s="15" t="s">
        <v>19152</v>
      </c>
      <c r="AY974" s="15" t="s">
        <v>138</v>
      </c>
      <c r="AZ974" s="15" t="s">
        <v>164</v>
      </c>
      <c r="BA974" s="15" t="s">
        <v>165</v>
      </c>
      <c r="BB974" s="15" t="s">
        <v>19153</v>
      </c>
      <c r="BC974" s="15" t="s">
        <v>19154</v>
      </c>
      <c r="BD974" s="21">
        <v>22</v>
      </c>
      <c r="BE974" s="15" t="s">
        <v>138</v>
      </c>
      <c r="BF974" s="15" t="s">
        <v>19155</v>
      </c>
      <c r="BG974" s="15" t="s">
        <v>138</v>
      </c>
      <c r="BH974" s="15" t="s">
        <v>19156</v>
      </c>
      <c r="BI974" s="15" t="s">
        <v>19157</v>
      </c>
      <c r="BJ974" s="15" t="s">
        <v>138</v>
      </c>
      <c r="BK974" s="15" t="s">
        <v>19158</v>
      </c>
      <c r="BL974" s="15" t="s">
        <v>19159</v>
      </c>
      <c r="BM974" s="22">
        <v>40695</v>
      </c>
      <c r="BN974" s="17">
        <v>5.78</v>
      </c>
      <c r="BO974" s="15" t="s">
        <v>172</v>
      </c>
      <c r="BP974" s="17">
        <v>15.44</v>
      </c>
      <c r="BQ974" s="15" t="s">
        <v>172</v>
      </c>
      <c r="BR974" s="15" t="s">
        <v>205</v>
      </c>
      <c r="BS974" s="15" t="s">
        <v>206</v>
      </c>
      <c r="BT974" s="15" t="s">
        <v>138</v>
      </c>
      <c r="BU974" s="15" t="s">
        <v>174</v>
      </c>
      <c r="BV974" s="15" t="s">
        <v>138</v>
      </c>
      <c r="BW974" s="15" t="s">
        <v>138</v>
      </c>
      <c r="BX974" s="15" t="s">
        <v>138</v>
      </c>
      <c r="BY974" s="15" t="s">
        <v>175</v>
      </c>
      <c r="BZ974" s="22">
        <v>43606</v>
      </c>
      <c r="CA974" s="17">
        <v>260</v>
      </c>
      <c r="CB974" s="15" t="s">
        <v>172</v>
      </c>
      <c r="CC974" s="17">
        <v>1885</v>
      </c>
      <c r="CD974" s="15" t="s">
        <v>172</v>
      </c>
      <c r="CE974" s="15" t="s">
        <v>173</v>
      </c>
      <c r="CF974" s="15" t="s">
        <v>482</v>
      </c>
      <c r="CG974" s="15" t="s">
        <v>138</v>
      </c>
      <c r="CH974" s="15" t="s">
        <v>174</v>
      </c>
      <c r="CI974" s="15" t="s">
        <v>138</v>
      </c>
      <c r="CJ974" s="15" t="s">
        <v>138</v>
      </c>
      <c r="CK974" s="15" t="s">
        <v>138</v>
      </c>
      <c r="CL974" s="15" t="s">
        <v>175</v>
      </c>
      <c r="CM974" s="22" t="s">
        <v>138</v>
      </c>
      <c r="CN974" s="17" t="s">
        <v>138</v>
      </c>
      <c r="CO974" s="23">
        <v>-0.01</v>
      </c>
      <c r="CP974" s="24">
        <v>25</v>
      </c>
      <c r="CQ974" s="23">
        <v>0.02</v>
      </c>
      <c r="CR974" s="23">
        <v>72.930000000000007</v>
      </c>
      <c r="CS974" s="23">
        <v>-0.82</v>
      </c>
      <c r="CT974" s="24">
        <v>17</v>
      </c>
      <c r="CU974" s="23">
        <v>0.08</v>
      </c>
      <c r="CV974" s="24">
        <v>64</v>
      </c>
      <c r="CW974" s="23">
        <v>2.84</v>
      </c>
      <c r="CX974" s="24">
        <v>91</v>
      </c>
      <c r="CY974" s="23">
        <v>-4.49</v>
      </c>
      <c r="CZ974" s="24">
        <v>4</v>
      </c>
      <c r="DA974" s="23">
        <v>0.12</v>
      </c>
      <c r="DB974" s="24">
        <v>75</v>
      </c>
      <c r="DC974" s="25">
        <v>14.22</v>
      </c>
      <c r="DD974" s="24">
        <v>93</v>
      </c>
      <c r="DE974" s="25">
        <v>-0.55000000000000004</v>
      </c>
      <c r="DF974" s="23">
        <v>-3.73</v>
      </c>
      <c r="DG974" s="25">
        <v>24.31</v>
      </c>
      <c r="DH974" s="24">
        <v>96</v>
      </c>
      <c r="DI974" s="25">
        <v>17.89</v>
      </c>
      <c r="DJ974" s="24">
        <v>90</v>
      </c>
      <c r="DK974" s="25">
        <v>27.93</v>
      </c>
      <c r="DL974" s="24">
        <v>93</v>
      </c>
      <c r="DM974" s="25">
        <v>20.69</v>
      </c>
      <c r="DN974" s="24">
        <v>94</v>
      </c>
      <c r="DO974" s="25">
        <v>30.13</v>
      </c>
      <c r="DP974" s="24">
        <v>95</v>
      </c>
      <c r="DQ974" s="24">
        <v>9523</v>
      </c>
      <c r="DR974" s="26">
        <v>171</v>
      </c>
      <c r="DS974" s="23">
        <v>1.83</v>
      </c>
      <c r="DT974" s="24">
        <v>600</v>
      </c>
      <c r="DU974" s="26">
        <v>3</v>
      </c>
      <c r="DV974" s="23">
        <v>0.5</v>
      </c>
      <c r="DW974" s="24">
        <v>10755</v>
      </c>
      <c r="DX974" s="27">
        <v>28</v>
      </c>
      <c r="DY974" s="23">
        <v>0.26</v>
      </c>
      <c r="DZ974" s="15" t="s">
        <v>178</v>
      </c>
      <c r="EA974" s="22">
        <v>43621</v>
      </c>
      <c r="EB974" s="17">
        <v>1885</v>
      </c>
      <c r="EC974" s="22">
        <v>43606</v>
      </c>
      <c r="ED974" s="15" t="s">
        <v>173</v>
      </c>
      <c r="EE974" s="14" t="str">
        <f>HYPERLINK("https://my.pitchbook.com?c=54330-13", "View company online")</f>
        <v>View company online</v>
      </c>
    </row>
    <row r="975" spans="1:135">
      <c r="A975" s="28" t="s">
        <v>19160</v>
      </c>
      <c r="B975" s="28" t="s">
        <v>19161</v>
      </c>
      <c r="C975" s="28" t="s">
        <v>138</v>
      </c>
      <c r="D975" s="28" t="s">
        <v>138</v>
      </c>
      <c r="E975" s="28" t="s">
        <v>19162</v>
      </c>
      <c r="F975" s="28" t="s">
        <v>19160</v>
      </c>
      <c r="G975" s="28" t="s">
        <v>19163</v>
      </c>
      <c r="H975" s="28" t="s">
        <v>322</v>
      </c>
      <c r="I975" s="28" t="s">
        <v>1503</v>
      </c>
      <c r="J975" s="28" t="s">
        <v>3659</v>
      </c>
      <c r="K975" s="28" t="s">
        <v>19164</v>
      </c>
      <c r="L975" s="28" t="s">
        <v>19165</v>
      </c>
      <c r="M975" s="28" t="s">
        <v>19166</v>
      </c>
      <c r="N975" s="28" t="s">
        <v>147</v>
      </c>
      <c r="O975" s="29">
        <v>139</v>
      </c>
      <c r="P975" s="28" t="s">
        <v>812</v>
      </c>
      <c r="Q975" s="28" t="s">
        <v>149</v>
      </c>
      <c r="R975" s="28" t="s">
        <v>174</v>
      </c>
      <c r="S975" s="28" t="s">
        <v>19167</v>
      </c>
      <c r="T975" s="30">
        <v>250</v>
      </c>
      <c r="U975" s="28" t="s">
        <v>19168</v>
      </c>
      <c r="V975" s="28" t="s">
        <v>138</v>
      </c>
      <c r="W975" s="28" t="s">
        <v>138</v>
      </c>
      <c r="X975" s="31">
        <v>2013</v>
      </c>
      <c r="Y975" s="28" t="s">
        <v>138</v>
      </c>
      <c r="Z975" s="28" t="s">
        <v>138</v>
      </c>
      <c r="AA975" s="28" t="s">
        <v>138</v>
      </c>
      <c r="AB975" s="32">
        <v>70</v>
      </c>
      <c r="AC975" s="32" t="s">
        <v>138</v>
      </c>
      <c r="AD975" s="32" t="s">
        <v>138</v>
      </c>
      <c r="AE975" s="32" t="s">
        <v>138</v>
      </c>
      <c r="AF975" s="32" t="s">
        <v>138</v>
      </c>
      <c r="AG975" s="28" t="s">
        <v>815</v>
      </c>
      <c r="AH975" s="32" t="s">
        <v>138</v>
      </c>
      <c r="AI975" s="32" t="s">
        <v>138</v>
      </c>
      <c r="AJ975" s="32" t="s">
        <v>138</v>
      </c>
      <c r="AK975" s="28" t="s">
        <v>19169</v>
      </c>
      <c r="AL975" s="28" t="s">
        <v>19170</v>
      </c>
      <c r="AM975" s="28" t="s">
        <v>304</v>
      </c>
      <c r="AN975" s="28" t="s">
        <v>19171</v>
      </c>
      <c r="AO975" s="28" t="s">
        <v>19172</v>
      </c>
      <c r="AP975" s="28" t="s">
        <v>1845</v>
      </c>
      <c r="AQ975" s="28" t="s">
        <v>19173</v>
      </c>
      <c r="AR975" s="28" t="s">
        <v>138</v>
      </c>
      <c r="AS975" s="28" t="s">
        <v>1847</v>
      </c>
      <c r="AT975" s="28" t="s">
        <v>864</v>
      </c>
      <c r="AU975" s="28" t="s">
        <v>1848</v>
      </c>
      <c r="AV975" s="28" t="s">
        <v>162</v>
      </c>
      <c r="AW975" s="28" t="s">
        <v>19172</v>
      </c>
      <c r="AX975" s="28" t="s">
        <v>138</v>
      </c>
      <c r="AY975" s="28" t="s">
        <v>138</v>
      </c>
      <c r="AZ975" s="28" t="s">
        <v>164</v>
      </c>
      <c r="BA975" s="28" t="s">
        <v>165</v>
      </c>
      <c r="BB975" s="28" t="s">
        <v>19174</v>
      </c>
      <c r="BC975" s="28" t="s">
        <v>19175</v>
      </c>
      <c r="BD975" s="33">
        <v>9</v>
      </c>
      <c r="BE975" s="28" t="s">
        <v>138</v>
      </c>
      <c r="BF975" s="28" t="s">
        <v>138</v>
      </c>
      <c r="BG975" s="28" t="s">
        <v>138</v>
      </c>
      <c r="BH975" s="28" t="s">
        <v>19176</v>
      </c>
      <c r="BI975" s="28" t="s">
        <v>138</v>
      </c>
      <c r="BJ975" s="28" t="s">
        <v>138</v>
      </c>
      <c r="BK975" s="28" t="s">
        <v>19177</v>
      </c>
      <c r="BL975" s="28" t="s">
        <v>1691</v>
      </c>
      <c r="BM975" s="34">
        <v>41640</v>
      </c>
      <c r="BN975" s="29">
        <v>1.1000000000000001</v>
      </c>
      <c r="BO975" s="28" t="s">
        <v>172</v>
      </c>
      <c r="BP975" s="29">
        <v>3.09</v>
      </c>
      <c r="BQ975" s="28" t="s">
        <v>172</v>
      </c>
      <c r="BR975" s="28" t="s">
        <v>234</v>
      </c>
      <c r="BS975" s="28" t="s">
        <v>234</v>
      </c>
      <c r="BT975" s="28" t="s">
        <v>138</v>
      </c>
      <c r="BU975" s="28" t="s">
        <v>174</v>
      </c>
      <c r="BV975" s="28" t="s">
        <v>138</v>
      </c>
      <c r="BW975" s="28" t="s">
        <v>138</v>
      </c>
      <c r="BX975" s="28" t="s">
        <v>138</v>
      </c>
      <c r="BY975" s="28" t="s">
        <v>175</v>
      </c>
      <c r="BZ975" s="34">
        <v>43544</v>
      </c>
      <c r="CA975" s="29">
        <v>82</v>
      </c>
      <c r="CB975" s="28" t="s">
        <v>172</v>
      </c>
      <c r="CC975" s="29">
        <v>820</v>
      </c>
      <c r="CD975" s="28" t="s">
        <v>172</v>
      </c>
      <c r="CE975" s="28" t="s">
        <v>173</v>
      </c>
      <c r="CF975" s="28" t="s">
        <v>433</v>
      </c>
      <c r="CG975" s="28" t="s">
        <v>138</v>
      </c>
      <c r="CH975" s="28" t="s">
        <v>174</v>
      </c>
      <c r="CI975" s="28" t="s">
        <v>138</v>
      </c>
      <c r="CJ975" s="28" t="s">
        <v>138</v>
      </c>
      <c r="CK975" s="28" t="s">
        <v>138</v>
      </c>
      <c r="CL975" s="28" t="s">
        <v>175</v>
      </c>
      <c r="CM975" s="34" t="s">
        <v>138</v>
      </c>
      <c r="CN975" s="29" t="s">
        <v>138</v>
      </c>
      <c r="CO975" s="35">
        <v>1.77</v>
      </c>
      <c r="CP975" s="36">
        <v>99</v>
      </c>
      <c r="CQ975" s="35">
        <v>0.3</v>
      </c>
      <c r="CR975" s="35">
        <v>20.3</v>
      </c>
      <c r="CS975" s="35">
        <v>4.22</v>
      </c>
      <c r="CT975" s="36">
        <v>100</v>
      </c>
      <c r="CU975" s="35">
        <v>0.27</v>
      </c>
      <c r="CV975" s="36">
        <v>86</v>
      </c>
      <c r="CW975" s="35">
        <v>1.71</v>
      </c>
      <c r="CX975" s="36">
        <v>87</v>
      </c>
      <c r="CY975" s="35">
        <v>6.73</v>
      </c>
      <c r="CZ975" s="36">
        <v>100</v>
      </c>
      <c r="DA975" s="35">
        <v>0.48</v>
      </c>
      <c r="DB975" s="36">
        <v>94</v>
      </c>
      <c r="DC975" s="37">
        <v>20.58</v>
      </c>
      <c r="DD975" s="36">
        <v>95</v>
      </c>
      <c r="DE975" s="37">
        <v>-1.43</v>
      </c>
      <c r="DF975" s="35">
        <v>-6.49</v>
      </c>
      <c r="DG975" s="37">
        <v>41.34</v>
      </c>
      <c r="DH975" s="36">
        <v>98</v>
      </c>
      <c r="DI975" s="37">
        <v>19.940000000000001</v>
      </c>
      <c r="DJ975" s="36">
        <v>91</v>
      </c>
      <c r="DK975" s="37">
        <v>71.400000000000006</v>
      </c>
      <c r="DL975" s="36">
        <v>97</v>
      </c>
      <c r="DM975" s="37">
        <v>11.28</v>
      </c>
      <c r="DN975" s="36">
        <v>90</v>
      </c>
      <c r="DO975" s="37">
        <v>14.03</v>
      </c>
      <c r="DP975" s="36">
        <v>90</v>
      </c>
      <c r="DQ975" s="36">
        <v>24049</v>
      </c>
      <c r="DR975" s="38">
        <v>1327</v>
      </c>
      <c r="DS975" s="35">
        <v>5.84</v>
      </c>
      <c r="DT975" s="36">
        <v>321</v>
      </c>
      <c r="DU975" s="38">
        <v>39</v>
      </c>
      <c r="DV975" s="35">
        <v>13.83</v>
      </c>
      <c r="DW975" s="36">
        <v>5009</v>
      </c>
      <c r="DX975" s="39">
        <v>39</v>
      </c>
      <c r="DY975" s="35">
        <v>0.78</v>
      </c>
      <c r="DZ975" s="28" t="s">
        <v>178</v>
      </c>
      <c r="EA975" s="34">
        <v>43622</v>
      </c>
      <c r="EB975" s="29">
        <v>820</v>
      </c>
      <c r="EC975" s="34">
        <v>43544</v>
      </c>
      <c r="ED975" s="28" t="s">
        <v>173</v>
      </c>
      <c r="EE975" s="40" t="str">
        <f>HYPERLINK("https://my.pitchbook.com?c=86974-03", "View company online")</f>
        <v>View company online</v>
      </c>
    </row>
    <row r="976" spans="1:135">
      <c r="A976" s="15" t="s">
        <v>19178</v>
      </c>
      <c r="B976" s="15" t="s">
        <v>19179</v>
      </c>
      <c r="C976" s="15" t="s">
        <v>138</v>
      </c>
      <c r="D976" s="15" t="s">
        <v>138</v>
      </c>
      <c r="E976" s="15" t="s">
        <v>19180</v>
      </c>
      <c r="F976" s="15" t="s">
        <v>19178</v>
      </c>
      <c r="G976" s="15" t="s">
        <v>19181</v>
      </c>
      <c r="H976" s="15" t="s">
        <v>322</v>
      </c>
      <c r="I976" s="15" t="s">
        <v>323</v>
      </c>
      <c r="J976" s="15" t="s">
        <v>324</v>
      </c>
      <c r="K976" s="15" t="s">
        <v>1543</v>
      </c>
      <c r="L976" s="15" t="s">
        <v>4433</v>
      </c>
      <c r="M976" s="15" t="s">
        <v>19182</v>
      </c>
      <c r="N976" s="15" t="s">
        <v>147</v>
      </c>
      <c r="O976" s="17">
        <v>50.78</v>
      </c>
      <c r="P976" s="15" t="s">
        <v>812</v>
      </c>
      <c r="Q976" s="15" t="s">
        <v>149</v>
      </c>
      <c r="R976" s="15" t="s">
        <v>244</v>
      </c>
      <c r="S976" s="15" t="s">
        <v>19183</v>
      </c>
      <c r="T976" s="18">
        <v>136</v>
      </c>
      <c r="U976" s="15" t="s">
        <v>19184</v>
      </c>
      <c r="V976" s="15" t="s">
        <v>138</v>
      </c>
      <c r="W976" s="15" t="s">
        <v>138</v>
      </c>
      <c r="X976" s="19">
        <v>2000</v>
      </c>
      <c r="Y976" s="15" t="s">
        <v>138</v>
      </c>
      <c r="Z976" s="15" t="s">
        <v>138</v>
      </c>
      <c r="AA976" s="15" t="s">
        <v>138</v>
      </c>
      <c r="AB976" s="20">
        <v>16.18</v>
      </c>
      <c r="AC976" s="20" t="s">
        <v>138</v>
      </c>
      <c r="AD976" s="20" t="s">
        <v>138</v>
      </c>
      <c r="AE976" s="20" t="s">
        <v>138</v>
      </c>
      <c r="AF976" s="20" t="s">
        <v>138</v>
      </c>
      <c r="AG976" s="15" t="s">
        <v>2900</v>
      </c>
      <c r="AH976" s="20" t="s">
        <v>138</v>
      </c>
      <c r="AI976" s="20" t="s">
        <v>138</v>
      </c>
      <c r="AJ976" s="20" t="s">
        <v>138</v>
      </c>
      <c r="AK976" s="15" t="s">
        <v>19185</v>
      </c>
      <c r="AL976" s="15" t="s">
        <v>19186</v>
      </c>
      <c r="AM976" s="15" t="s">
        <v>221</v>
      </c>
      <c r="AN976" s="15" t="s">
        <v>19187</v>
      </c>
      <c r="AO976" s="15" t="s">
        <v>19188</v>
      </c>
      <c r="AP976" s="15" t="s">
        <v>423</v>
      </c>
      <c r="AQ976" s="15" t="s">
        <v>19189</v>
      </c>
      <c r="AR976" s="15" t="s">
        <v>19190</v>
      </c>
      <c r="AS976" s="15" t="s">
        <v>426</v>
      </c>
      <c r="AT976" s="15" t="s">
        <v>426</v>
      </c>
      <c r="AU976" s="15" t="s">
        <v>19191</v>
      </c>
      <c r="AV976" s="15" t="s">
        <v>162</v>
      </c>
      <c r="AW976" s="15" t="s">
        <v>19192</v>
      </c>
      <c r="AX976" s="15" t="s">
        <v>138</v>
      </c>
      <c r="AY976" s="15" t="s">
        <v>19193</v>
      </c>
      <c r="AZ976" s="15" t="s">
        <v>164</v>
      </c>
      <c r="BA976" s="15" t="s">
        <v>165</v>
      </c>
      <c r="BB976" s="15" t="s">
        <v>19194</v>
      </c>
      <c r="BC976" s="15" t="s">
        <v>19195</v>
      </c>
      <c r="BD976" s="21">
        <v>3</v>
      </c>
      <c r="BE976" s="15" t="s">
        <v>138</v>
      </c>
      <c r="BF976" s="15" t="s">
        <v>138</v>
      </c>
      <c r="BG976" s="15" t="s">
        <v>138</v>
      </c>
      <c r="BH976" s="15" t="s">
        <v>19196</v>
      </c>
      <c r="BI976" s="15" t="s">
        <v>138</v>
      </c>
      <c r="BJ976" s="15" t="s">
        <v>138</v>
      </c>
      <c r="BK976" s="15" t="s">
        <v>1854</v>
      </c>
      <c r="BL976" s="15" t="s">
        <v>19197</v>
      </c>
      <c r="BM976" s="22">
        <v>42723</v>
      </c>
      <c r="BN976" s="17" t="s">
        <v>138</v>
      </c>
      <c r="BO976" s="15" t="s">
        <v>138</v>
      </c>
      <c r="BP976" s="17" t="s">
        <v>138</v>
      </c>
      <c r="BQ976" s="15" t="s">
        <v>138</v>
      </c>
      <c r="BR976" s="15" t="s">
        <v>1498</v>
      </c>
      <c r="BS976" s="15" t="s">
        <v>138</v>
      </c>
      <c r="BT976" s="15" t="s">
        <v>138</v>
      </c>
      <c r="BU976" s="15" t="s">
        <v>1327</v>
      </c>
      <c r="BV976" s="15" t="s">
        <v>1498</v>
      </c>
      <c r="BW976" s="15" t="s">
        <v>138</v>
      </c>
      <c r="BX976" s="15" t="s">
        <v>138</v>
      </c>
      <c r="BY976" s="15" t="s">
        <v>175</v>
      </c>
      <c r="BZ976" s="22">
        <v>43543</v>
      </c>
      <c r="CA976" s="17">
        <v>26.1</v>
      </c>
      <c r="CB976" s="15" t="s">
        <v>172</v>
      </c>
      <c r="CC976" s="17">
        <v>116.78</v>
      </c>
      <c r="CD976" s="15" t="s">
        <v>172</v>
      </c>
      <c r="CE976" s="15" t="s">
        <v>173</v>
      </c>
      <c r="CF976" s="15" t="s">
        <v>720</v>
      </c>
      <c r="CG976" s="15" t="s">
        <v>138</v>
      </c>
      <c r="CH976" s="15" t="s">
        <v>174</v>
      </c>
      <c r="CI976" s="15" t="s">
        <v>138</v>
      </c>
      <c r="CJ976" s="15" t="s">
        <v>138</v>
      </c>
      <c r="CK976" s="15" t="s">
        <v>138</v>
      </c>
      <c r="CL976" s="15" t="s">
        <v>175</v>
      </c>
      <c r="CM976" s="22">
        <v>42723</v>
      </c>
      <c r="CN976" s="17">
        <v>4</v>
      </c>
      <c r="CO976" s="23">
        <v>2.08</v>
      </c>
      <c r="CP976" s="24">
        <v>99</v>
      </c>
      <c r="CQ976" s="23">
        <v>0.04</v>
      </c>
      <c r="CR976" s="23">
        <v>2.08</v>
      </c>
      <c r="CS976" s="23">
        <v>4.04</v>
      </c>
      <c r="CT976" s="24">
        <v>100</v>
      </c>
      <c r="CU976" s="23">
        <v>0.11</v>
      </c>
      <c r="CV976" s="24">
        <v>70</v>
      </c>
      <c r="CW976" s="23">
        <v>7.64</v>
      </c>
      <c r="CX976" s="24">
        <v>98</v>
      </c>
      <c r="CY976" s="23">
        <v>0.45</v>
      </c>
      <c r="CZ976" s="24">
        <v>98</v>
      </c>
      <c r="DA976" s="23">
        <v>0.26</v>
      </c>
      <c r="DB976" s="24">
        <v>87</v>
      </c>
      <c r="DC976" s="25">
        <v>5.24</v>
      </c>
      <c r="DD976" s="24">
        <v>83</v>
      </c>
      <c r="DE976" s="25">
        <v>-0.17</v>
      </c>
      <c r="DF976" s="23">
        <v>-3.19</v>
      </c>
      <c r="DG976" s="25">
        <v>8.7200000000000006</v>
      </c>
      <c r="DH976" s="24">
        <v>88</v>
      </c>
      <c r="DI976" s="25">
        <v>1.76</v>
      </c>
      <c r="DJ976" s="24">
        <v>60</v>
      </c>
      <c r="DK976" s="25">
        <v>6.34</v>
      </c>
      <c r="DL976" s="24">
        <v>82</v>
      </c>
      <c r="DM976" s="25">
        <v>11.1</v>
      </c>
      <c r="DN976" s="24">
        <v>90</v>
      </c>
      <c r="DO976" s="25">
        <v>2.77</v>
      </c>
      <c r="DP976" s="24">
        <v>69</v>
      </c>
      <c r="DQ976" s="24">
        <v>2100</v>
      </c>
      <c r="DR976" s="26">
        <v>221</v>
      </c>
      <c r="DS976" s="23">
        <v>11.76</v>
      </c>
      <c r="DT976" s="24">
        <v>320</v>
      </c>
      <c r="DU976" s="26">
        <v>3</v>
      </c>
      <c r="DV976" s="23">
        <v>0.95</v>
      </c>
      <c r="DW976" s="24">
        <v>991</v>
      </c>
      <c r="DX976" s="27">
        <v>4</v>
      </c>
      <c r="DY976" s="23">
        <v>0.41</v>
      </c>
      <c r="DZ976" s="15" t="s">
        <v>178</v>
      </c>
      <c r="EA976" s="22">
        <v>43622</v>
      </c>
      <c r="EB976" s="17">
        <v>116.78</v>
      </c>
      <c r="EC976" s="22">
        <v>43543</v>
      </c>
      <c r="ED976" s="15" t="s">
        <v>173</v>
      </c>
      <c r="EE976" s="14" t="str">
        <f>HYPERLINK("https://my.pitchbook.com?c=91695-79", "View company online")</f>
        <v>View company online</v>
      </c>
    </row>
    <row r="977" spans="1:135">
      <c r="A977" s="28" t="s">
        <v>19198</v>
      </c>
      <c r="B977" s="28" t="s">
        <v>19199</v>
      </c>
      <c r="C977" s="28" t="s">
        <v>138</v>
      </c>
      <c r="D977" s="28" t="s">
        <v>19200</v>
      </c>
      <c r="E977" s="28" t="s">
        <v>19201</v>
      </c>
      <c r="F977" s="28" t="s">
        <v>19198</v>
      </c>
      <c r="G977" s="28" t="s">
        <v>19202</v>
      </c>
      <c r="H977" s="28" t="s">
        <v>322</v>
      </c>
      <c r="I977" s="28" t="s">
        <v>323</v>
      </c>
      <c r="J977" s="28" t="s">
        <v>539</v>
      </c>
      <c r="K977" s="28" t="s">
        <v>19203</v>
      </c>
      <c r="L977" s="28" t="s">
        <v>2620</v>
      </c>
      <c r="M977" s="28" t="s">
        <v>19204</v>
      </c>
      <c r="N977" s="28" t="s">
        <v>147</v>
      </c>
      <c r="O977" s="29">
        <v>5.68</v>
      </c>
      <c r="P977" s="28" t="s">
        <v>610</v>
      </c>
      <c r="Q977" s="28" t="s">
        <v>149</v>
      </c>
      <c r="R977" s="28" t="s">
        <v>174</v>
      </c>
      <c r="S977" s="28" t="s">
        <v>19205</v>
      </c>
      <c r="T977" s="30">
        <v>200</v>
      </c>
      <c r="U977" s="28" t="s">
        <v>19206</v>
      </c>
      <c r="V977" s="28" t="s">
        <v>138</v>
      </c>
      <c r="W977" s="28" t="s">
        <v>138</v>
      </c>
      <c r="X977" s="31">
        <v>2011</v>
      </c>
      <c r="Y977" s="28" t="s">
        <v>138</v>
      </c>
      <c r="Z977" s="28" t="s">
        <v>138</v>
      </c>
      <c r="AA977" s="28" t="s">
        <v>138</v>
      </c>
      <c r="AB977" s="32" t="s">
        <v>138</v>
      </c>
      <c r="AC977" s="32" t="s">
        <v>138</v>
      </c>
      <c r="AD977" s="32" t="s">
        <v>138</v>
      </c>
      <c r="AE977" s="32" t="s">
        <v>138</v>
      </c>
      <c r="AF977" s="32" t="s">
        <v>138</v>
      </c>
      <c r="AG977" s="28" t="s">
        <v>138</v>
      </c>
      <c r="AH977" s="32" t="s">
        <v>138</v>
      </c>
      <c r="AI977" s="32" t="s">
        <v>138</v>
      </c>
      <c r="AJ977" s="32" t="s">
        <v>138</v>
      </c>
      <c r="AK977" s="28" t="s">
        <v>19207</v>
      </c>
      <c r="AL977" s="28" t="s">
        <v>19208</v>
      </c>
      <c r="AM977" s="28" t="s">
        <v>249</v>
      </c>
      <c r="AN977" s="28" t="s">
        <v>138</v>
      </c>
      <c r="AO977" s="28" t="s">
        <v>19209</v>
      </c>
      <c r="AP977" s="28" t="s">
        <v>1610</v>
      </c>
      <c r="AQ977" s="28" t="s">
        <v>19210</v>
      </c>
      <c r="AR977" s="28" t="s">
        <v>6874</v>
      </c>
      <c r="AS977" s="28" t="s">
        <v>1612</v>
      </c>
      <c r="AT977" s="28" t="s">
        <v>138</v>
      </c>
      <c r="AU977" s="28" t="s">
        <v>19211</v>
      </c>
      <c r="AV977" s="28" t="s">
        <v>1614</v>
      </c>
      <c r="AW977" s="28" t="s">
        <v>19209</v>
      </c>
      <c r="AX977" s="28" t="s">
        <v>138</v>
      </c>
      <c r="AY977" s="28" t="s">
        <v>19212</v>
      </c>
      <c r="AZ977" s="28" t="s">
        <v>530</v>
      </c>
      <c r="BA977" s="28" t="s">
        <v>1616</v>
      </c>
      <c r="BB977" s="28" t="s">
        <v>19213</v>
      </c>
      <c r="BC977" s="28" t="s">
        <v>19214</v>
      </c>
      <c r="BD977" s="33">
        <v>5</v>
      </c>
      <c r="BE977" s="28" t="s">
        <v>138</v>
      </c>
      <c r="BF977" s="28" t="s">
        <v>19215</v>
      </c>
      <c r="BG977" s="28" t="s">
        <v>138</v>
      </c>
      <c r="BH977" s="28" t="s">
        <v>19216</v>
      </c>
      <c r="BI977" s="28" t="s">
        <v>19217</v>
      </c>
      <c r="BJ977" s="28" t="s">
        <v>138</v>
      </c>
      <c r="BK977" s="28" t="s">
        <v>138</v>
      </c>
      <c r="BL977" s="28" t="s">
        <v>138</v>
      </c>
      <c r="BM977" s="34">
        <v>41183</v>
      </c>
      <c r="BN977" s="29">
        <v>0.1</v>
      </c>
      <c r="BO977" s="28" t="s">
        <v>172</v>
      </c>
      <c r="BP977" s="29" t="s">
        <v>138</v>
      </c>
      <c r="BQ977" s="28" t="s">
        <v>138</v>
      </c>
      <c r="BR977" s="28" t="s">
        <v>205</v>
      </c>
      <c r="BS977" s="28" t="s">
        <v>138</v>
      </c>
      <c r="BT977" s="28" t="s">
        <v>138</v>
      </c>
      <c r="BU977" s="28" t="s">
        <v>174</v>
      </c>
      <c r="BV977" s="28" t="s">
        <v>138</v>
      </c>
      <c r="BW977" s="28" t="s">
        <v>138</v>
      </c>
      <c r="BX977" s="28" t="s">
        <v>138</v>
      </c>
      <c r="BY977" s="28" t="s">
        <v>175</v>
      </c>
      <c r="BZ977" s="34">
        <v>42290</v>
      </c>
      <c r="CA977" s="29">
        <v>3.5</v>
      </c>
      <c r="CB977" s="28" t="s">
        <v>172</v>
      </c>
      <c r="CC977" s="29" t="s">
        <v>138</v>
      </c>
      <c r="CD977" s="28" t="s">
        <v>138</v>
      </c>
      <c r="CE977" s="28" t="s">
        <v>205</v>
      </c>
      <c r="CF977" s="28" t="s">
        <v>720</v>
      </c>
      <c r="CG977" s="28" t="s">
        <v>138</v>
      </c>
      <c r="CH977" s="28" t="s">
        <v>174</v>
      </c>
      <c r="CI977" s="28" t="s">
        <v>138</v>
      </c>
      <c r="CJ977" s="28" t="s">
        <v>138</v>
      </c>
      <c r="CK977" s="28" t="s">
        <v>138</v>
      </c>
      <c r="CL977" s="28" t="s">
        <v>175</v>
      </c>
      <c r="CM977" s="34" t="s">
        <v>138</v>
      </c>
      <c r="CN977" s="29" t="s">
        <v>138</v>
      </c>
      <c r="CO977" s="35">
        <v>0.28000000000000003</v>
      </c>
      <c r="CP977" s="36">
        <v>93</v>
      </c>
      <c r="CQ977" s="35">
        <v>-0.15</v>
      </c>
      <c r="CR977" s="35">
        <v>-34.44</v>
      </c>
      <c r="CS977" s="35">
        <v>0.51</v>
      </c>
      <c r="CT977" s="36">
        <v>95</v>
      </c>
      <c r="CU977" s="35">
        <v>0.05</v>
      </c>
      <c r="CV977" s="36">
        <v>58</v>
      </c>
      <c r="CW977" s="35" t="s">
        <v>138</v>
      </c>
      <c r="CX977" s="36" t="s">
        <v>138</v>
      </c>
      <c r="CY977" s="35">
        <v>0.51</v>
      </c>
      <c r="CZ977" s="36">
        <v>98</v>
      </c>
      <c r="DA977" s="35">
        <v>0.05</v>
      </c>
      <c r="DB977" s="36">
        <v>64</v>
      </c>
      <c r="DC977" s="37">
        <v>33.19</v>
      </c>
      <c r="DD977" s="36">
        <v>97</v>
      </c>
      <c r="DE977" s="37">
        <v>3.99</v>
      </c>
      <c r="DF977" s="35">
        <v>13.68</v>
      </c>
      <c r="DG977" s="37">
        <v>49.03</v>
      </c>
      <c r="DH977" s="36">
        <v>98</v>
      </c>
      <c r="DI977" s="37">
        <v>17.34</v>
      </c>
      <c r="DJ977" s="36">
        <v>90</v>
      </c>
      <c r="DK977" s="37" t="s">
        <v>138</v>
      </c>
      <c r="DL977" s="36" t="s">
        <v>138</v>
      </c>
      <c r="DM977" s="37">
        <v>49.03</v>
      </c>
      <c r="DN977" s="36">
        <v>98</v>
      </c>
      <c r="DO977" s="37">
        <v>17.34</v>
      </c>
      <c r="DP977" s="36">
        <v>92</v>
      </c>
      <c r="DQ977" s="36" t="s">
        <v>138</v>
      </c>
      <c r="DR977" s="38" t="s">
        <v>138</v>
      </c>
      <c r="DS977" s="35" t="s">
        <v>138</v>
      </c>
      <c r="DT977" s="36">
        <v>1420</v>
      </c>
      <c r="DU977" s="38">
        <v>4</v>
      </c>
      <c r="DV977" s="35">
        <v>0.28000000000000003</v>
      </c>
      <c r="DW977" s="36">
        <v>6208</v>
      </c>
      <c r="DX977" s="39">
        <v>0</v>
      </c>
      <c r="DY977" s="35">
        <v>0</v>
      </c>
      <c r="DZ977" s="28" t="s">
        <v>178</v>
      </c>
      <c r="EA977" s="34">
        <v>43612</v>
      </c>
      <c r="EB977" s="29" t="s">
        <v>138</v>
      </c>
      <c r="EC977" s="34" t="s">
        <v>138</v>
      </c>
      <c r="ED977" s="28" t="s">
        <v>138</v>
      </c>
      <c r="EE977" s="40" t="str">
        <f>HYPERLINK("https://my.pitchbook.com?c=56598-40", "View company online")</f>
        <v>View company online</v>
      </c>
    </row>
    <row r="978" spans="1:135">
      <c r="A978" s="15" t="s">
        <v>19218</v>
      </c>
      <c r="B978" s="15" t="s">
        <v>19219</v>
      </c>
      <c r="C978" s="15" t="s">
        <v>138</v>
      </c>
      <c r="D978" s="15" t="s">
        <v>138</v>
      </c>
      <c r="E978" s="15" t="s">
        <v>19220</v>
      </c>
      <c r="F978" s="15" t="s">
        <v>19218</v>
      </c>
      <c r="G978" s="15" t="s">
        <v>19221</v>
      </c>
      <c r="H978" s="15" t="s">
        <v>322</v>
      </c>
      <c r="I978" s="15" t="s">
        <v>323</v>
      </c>
      <c r="J978" s="15" t="s">
        <v>324</v>
      </c>
      <c r="K978" s="15" t="s">
        <v>1159</v>
      </c>
      <c r="L978" s="15" t="s">
        <v>326</v>
      </c>
      <c r="M978" s="15" t="s">
        <v>19222</v>
      </c>
      <c r="N978" s="15" t="s">
        <v>147</v>
      </c>
      <c r="O978" s="17">
        <v>380.34</v>
      </c>
      <c r="P978" s="15" t="s">
        <v>148</v>
      </c>
      <c r="Q978" s="15" t="s">
        <v>149</v>
      </c>
      <c r="R978" s="15" t="s">
        <v>244</v>
      </c>
      <c r="S978" s="15" t="s">
        <v>19223</v>
      </c>
      <c r="T978" s="18">
        <v>500</v>
      </c>
      <c r="U978" s="15" t="s">
        <v>19224</v>
      </c>
      <c r="V978" s="15" t="s">
        <v>138</v>
      </c>
      <c r="W978" s="15" t="s">
        <v>138</v>
      </c>
      <c r="X978" s="19">
        <v>2009</v>
      </c>
      <c r="Y978" s="15" t="s">
        <v>138</v>
      </c>
      <c r="Z978" s="15" t="s">
        <v>138</v>
      </c>
      <c r="AA978" s="15" t="s">
        <v>138</v>
      </c>
      <c r="AB978" s="20">
        <v>200</v>
      </c>
      <c r="AC978" s="20" t="s">
        <v>138</v>
      </c>
      <c r="AD978" s="20" t="s">
        <v>138</v>
      </c>
      <c r="AE978" s="20" t="s">
        <v>138</v>
      </c>
      <c r="AF978" s="20" t="s">
        <v>138</v>
      </c>
      <c r="AG978" s="15" t="s">
        <v>514</v>
      </c>
      <c r="AH978" s="20" t="s">
        <v>138</v>
      </c>
      <c r="AI978" s="20" t="s">
        <v>138</v>
      </c>
      <c r="AJ978" s="20" t="s">
        <v>138</v>
      </c>
      <c r="AK978" s="15" t="s">
        <v>19225</v>
      </c>
      <c r="AL978" s="15" t="s">
        <v>19226</v>
      </c>
      <c r="AM978" s="15" t="s">
        <v>249</v>
      </c>
      <c r="AN978" s="15" t="s">
        <v>19227</v>
      </c>
      <c r="AO978" s="15" t="s">
        <v>19228</v>
      </c>
      <c r="AP978" s="15" t="s">
        <v>3839</v>
      </c>
      <c r="AQ978" s="15" t="s">
        <v>19229</v>
      </c>
      <c r="AR978" s="15" t="s">
        <v>282</v>
      </c>
      <c r="AS978" s="15" t="s">
        <v>3841</v>
      </c>
      <c r="AT978" s="15" t="s">
        <v>200</v>
      </c>
      <c r="AU978" s="15" t="s">
        <v>3842</v>
      </c>
      <c r="AV978" s="15" t="s">
        <v>162</v>
      </c>
      <c r="AW978" s="15" t="s">
        <v>19228</v>
      </c>
      <c r="AX978" s="15" t="s">
        <v>138</v>
      </c>
      <c r="AY978" s="15" t="s">
        <v>19230</v>
      </c>
      <c r="AZ978" s="15" t="s">
        <v>164</v>
      </c>
      <c r="BA978" s="15" t="s">
        <v>165</v>
      </c>
      <c r="BB978" s="15" t="s">
        <v>19231</v>
      </c>
      <c r="BC978" s="15" t="s">
        <v>19232</v>
      </c>
      <c r="BD978" s="21">
        <v>14</v>
      </c>
      <c r="BE978" s="15" t="s">
        <v>138</v>
      </c>
      <c r="BF978" s="15" t="s">
        <v>138</v>
      </c>
      <c r="BG978" s="15" t="s">
        <v>138</v>
      </c>
      <c r="BH978" s="15" t="s">
        <v>19233</v>
      </c>
      <c r="BI978" s="15" t="s">
        <v>138</v>
      </c>
      <c r="BJ978" s="15" t="s">
        <v>138</v>
      </c>
      <c r="BK978" s="15" t="s">
        <v>19234</v>
      </c>
      <c r="BL978" s="15" t="s">
        <v>19235</v>
      </c>
      <c r="BM978" s="22">
        <v>40016</v>
      </c>
      <c r="BN978" s="17">
        <v>9.07</v>
      </c>
      <c r="BO978" s="15" t="s">
        <v>172</v>
      </c>
      <c r="BP978" s="17">
        <v>19.52</v>
      </c>
      <c r="BQ978" s="15" t="s">
        <v>172</v>
      </c>
      <c r="BR978" s="15" t="s">
        <v>205</v>
      </c>
      <c r="BS978" s="15" t="s">
        <v>206</v>
      </c>
      <c r="BT978" s="15" t="s">
        <v>138</v>
      </c>
      <c r="BU978" s="15" t="s">
        <v>174</v>
      </c>
      <c r="BV978" s="15" t="s">
        <v>138</v>
      </c>
      <c r="BW978" s="15" t="s">
        <v>138</v>
      </c>
      <c r="BX978" s="15" t="s">
        <v>138</v>
      </c>
      <c r="BY978" s="15" t="s">
        <v>175</v>
      </c>
      <c r="BZ978" s="22">
        <v>43329</v>
      </c>
      <c r="CA978" s="17">
        <v>152.94</v>
      </c>
      <c r="CB978" s="15" t="s">
        <v>172</v>
      </c>
      <c r="CC978" s="17">
        <v>652.94000000000005</v>
      </c>
      <c r="CD978" s="15" t="s">
        <v>172</v>
      </c>
      <c r="CE978" s="15" t="s">
        <v>173</v>
      </c>
      <c r="CF978" s="15" t="s">
        <v>482</v>
      </c>
      <c r="CG978" s="15" t="s">
        <v>138</v>
      </c>
      <c r="CH978" s="15" t="s">
        <v>174</v>
      </c>
      <c r="CI978" s="15" t="s">
        <v>138</v>
      </c>
      <c r="CJ978" s="15" t="s">
        <v>138</v>
      </c>
      <c r="CK978" s="15" t="s">
        <v>138</v>
      </c>
      <c r="CL978" s="15" t="s">
        <v>175</v>
      </c>
      <c r="CM978" s="22">
        <v>43100</v>
      </c>
      <c r="CN978" s="17">
        <v>1.21</v>
      </c>
      <c r="CO978" s="23">
        <v>0.04</v>
      </c>
      <c r="CP978" s="24">
        <v>87</v>
      </c>
      <c r="CQ978" s="23">
        <v>0</v>
      </c>
      <c r="CR978" s="23">
        <v>4.84</v>
      </c>
      <c r="CS978" s="23">
        <v>0.01</v>
      </c>
      <c r="CT978" s="24">
        <v>93</v>
      </c>
      <c r="CU978" s="23">
        <v>0.06</v>
      </c>
      <c r="CV978" s="24">
        <v>60</v>
      </c>
      <c r="CW978" s="23">
        <v>2.02</v>
      </c>
      <c r="CX978" s="24">
        <v>88</v>
      </c>
      <c r="CY978" s="23">
        <v>-2</v>
      </c>
      <c r="CZ978" s="24">
        <v>11</v>
      </c>
      <c r="DA978" s="23">
        <v>0.06</v>
      </c>
      <c r="DB978" s="24">
        <v>65</v>
      </c>
      <c r="DC978" s="25">
        <v>141</v>
      </c>
      <c r="DD978" s="24">
        <v>99</v>
      </c>
      <c r="DE978" s="25">
        <v>-5.19</v>
      </c>
      <c r="DF978" s="23">
        <v>-3.55</v>
      </c>
      <c r="DG978" s="25">
        <v>139.96</v>
      </c>
      <c r="DH978" s="24">
        <v>100</v>
      </c>
      <c r="DI978" s="25">
        <v>142.03</v>
      </c>
      <c r="DJ978" s="24">
        <v>98</v>
      </c>
      <c r="DK978" s="25">
        <v>177.86</v>
      </c>
      <c r="DL978" s="24">
        <v>99</v>
      </c>
      <c r="DM978" s="25">
        <v>102.07</v>
      </c>
      <c r="DN978" s="24">
        <v>99</v>
      </c>
      <c r="DO978" s="25">
        <v>142.03</v>
      </c>
      <c r="DP978" s="24">
        <v>99</v>
      </c>
      <c r="DQ978" s="24">
        <v>60075</v>
      </c>
      <c r="DR978" s="26">
        <v>2787</v>
      </c>
      <c r="DS978" s="23">
        <v>4.8600000000000003</v>
      </c>
      <c r="DT978" s="24">
        <v>2957</v>
      </c>
      <c r="DU978" s="26">
        <v>9</v>
      </c>
      <c r="DV978" s="23">
        <v>0.31</v>
      </c>
      <c r="DW978" s="24">
        <v>50832</v>
      </c>
      <c r="DX978" s="27">
        <v>54</v>
      </c>
      <c r="DY978" s="23">
        <v>0.11</v>
      </c>
      <c r="DZ978" s="15" t="s">
        <v>178</v>
      </c>
      <c r="EA978" s="22">
        <v>43622</v>
      </c>
      <c r="EB978" s="17">
        <v>652.94000000000005</v>
      </c>
      <c r="EC978" s="22">
        <v>43329</v>
      </c>
      <c r="ED978" s="15" t="s">
        <v>173</v>
      </c>
      <c r="EE978" s="14" t="str">
        <f>HYPERLINK("https://my.pitchbook.com?c=52711-39", "View company online")</f>
        <v>View company online</v>
      </c>
    </row>
    <row r="979" spans="1:135">
      <c r="A979" s="28" t="s">
        <v>19236</v>
      </c>
      <c r="B979" s="28" t="s">
        <v>19237</v>
      </c>
      <c r="C979" s="28" t="s">
        <v>19238</v>
      </c>
      <c r="D979" s="28" t="s">
        <v>138</v>
      </c>
      <c r="E979" s="28" t="s">
        <v>19239</v>
      </c>
      <c r="F979" s="28" t="s">
        <v>19236</v>
      </c>
      <c r="G979" s="28" t="s">
        <v>19240</v>
      </c>
      <c r="H979" s="28" t="s">
        <v>322</v>
      </c>
      <c r="I979" s="28" t="s">
        <v>323</v>
      </c>
      <c r="J979" s="28" t="s">
        <v>413</v>
      </c>
      <c r="K979" s="28" t="s">
        <v>14714</v>
      </c>
      <c r="L979" s="28" t="s">
        <v>215</v>
      </c>
      <c r="M979" s="28" t="s">
        <v>19241</v>
      </c>
      <c r="N979" s="28" t="s">
        <v>147</v>
      </c>
      <c r="O979" s="29">
        <v>1</v>
      </c>
      <c r="P979" s="28" t="s">
        <v>148</v>
      </c>
      <c r="Q979" s="28" t="s">
        <v>149</v>
      </c>
      <c r="R979" s="28" t="s">
        <v>174</v>
      </c>
      <c r="S979" s="28" t="s">
        <v>19242</v>
      </c>
      <c r="T979" s="30">
        <v>6</v>
      </c>
      <c r="U979" s="28" t="s">
        <v>6114</v>
      </c>
      <c r="V979" s="28" t="s">
        <v>138</v>
      </c>
      <c r="W979" s="28" t="s">
        <v>138</v>
      </c>
      <c r="X979" s="31">
        <v>2014</v>
      </c>
      <c r="Y979" s="28" t="s">
        <v>138</v>
      </c>
      <c r="Z979" s="28" t="s">
        <v>138</v>
      </c>
      <c r="AA979" s="28" t="s">
        <v>138</v>
      </c>
      <c r="AB979" s="32" t="s">
        <v>138</v>
      </c>
      <c r="AC979" s="32" t="s">
        <v>138</v>
      </c>
      <c r="AD979" s="32" t="s">
        <v>138</v>
      </c>
      <c r="AE979" s="32" t="s">
        <v>138</v>
      </c>
      <c r="AF979" s="32" t="s">
        <v>138</v>
      </c>
      <c r="AG979" s="28" t="s">
        <v>138</v>
      </c>
      <c r="AH979" s="32" t="s">
        <v>138</v>
      </c>
      <c r="AI979" s="32" t="s">
        <v>138</v>
      </c>
      <c r="AJ979" s="32" t="s">
        <v>138</v>
      </c>
      <c r="AK979" s="28" t="s">
        <v>19243</v>
      </c>
      <c r="AL979" s="28" t="s">
        <v>19244</v>
      </c>
      <c r="AM979" s="28" t="s">
        <v>4214</v>
      </c>
      <c r="AN979" s="28" t="s">
        <v>138</v>
      </c>
      <c r="AO979" s="28" t="s">
        <v>138</v>
      </c>
      <c r="AP979" s="28" t="s">
        <v>10913</v>
      </c>
      <c r="AQ979" s="28" t="s">
        <v>19245</v>
      </c>
      <c r="AR979" s="28" t="s">
        <v>138</v>
      </c>
      <c r="AS979" s="28" t="s">
        <v>10916</v>
      </c>
      <c r="AT979" s="28" t="s">
        <v>138</v>
      </c>
      <c r="AU979" s="28" t="s">
        <v>138</v>
      </c>
      <c r="AV979" s="28" t="s">
        <v>740</v>
      </c>
      <c r="AW979" s="28" t="s">
        <v>138</v>
      </c>
      <c r="AX979" s="28" t="s">
        <v>138</v>
      </c>
      <c r="AY979" s="28" t="s">
        <v>19246</v>
      </c>
      <c r="AZ979" s="28" t="s">
        <v>742</v>
      </c>
      <c r="BA979" s="28" t="s">
        <v>742</v>
      </c>
      <c r="BB979" s="28" t="s">
        <v>19247</v>
      </c>
      <c r="BC979" s="28" t="s">
        <v>19248</v>
      </c>
      <c r="BD979" s="33">
        <v>5</v>
      </c>
      <c r="BE979" s="28" t="s">
        <v>138</v>
      </c>
      <c r="BF979" s="28" t="s">
        <v>138</v>
      </c>
      <c r="BG979" s="28" t="s">
        <v>138</v>
      </c>
      <c r="BH979" s="28" t="s">
        <v>19249</v>
      </c>
      <c r="BI979" s="28" t="s">
        <v>138</v>
      </c>
      <c r="BJ979" s="28" t="s">
        <v>138</v>
      </c>
      <c r="BK979" s="28" t="s">
        <v>138</v>
      </c>
      <c r="BL979" s="28" t="s">
        <v>138</v>
      </c>
      <c r="BM979" s="34">
        <v>42178</v>
      </c>
      <c r="BN979" s="29">
        <v>1</v>
      </c>
      <c r="BO979" s="28" t="s">
        <v>172</v>
      </c>
      <c r="BP979" s="29" t="s">
        <v>138</v>
      </c>
      <c r="BQ979" s="28" t="s">
        <v>138</v>
      </c>
      <c r="BR979" s="28" t="s">
        <v>234</v>
      </c>
      <c r="BS979" s="28" t="s">
        <v>234</v>
      </c>
      <c r="BT979" s="28" t="s">
        <v>138</v>
      </c>
      <c r="BU979" s="28" t="s">
        <v>174</v>
      </c>
      <c r="BV979" s="28" t="s">
        <v>138</v>
      </c>
      <c r="BW979" s="28" t="s">
        <v>138</v>
      </c>
      <c r="BX979" s="28" t="s">
        <v>138</v>
      </c>
      <c r="BY979" s="28" t="s">
        <v>175</v>
      </c>
      <c r="BZ979" s="34">
        <v>42178</v>
      </c>
      <c r="CA979" s="29">
        <v>1</v>
      </c>
      <c r="CB979" s="28" t="s">
        <v>172</v>
      </c>
      <c r="CC979" s="29" t="s">
        <v>138</v>
      </c>
      <c r="CD979" s="28" t="s">
        <v>138</v>
      </c>
      <c r="CE979" s="28" t="s">
        <v>234</v>
      </c>
      <c r="CF979" s="28" t="s">
        <v>234</v>
      </c>
      <c r="CG979" s="28" t="s">
        <v>138</v>
      </c>
      <c r="CH979" s="28" t="s">
        <v>174</v>
      </c>
      <c r="CI979" s="28" t="s">
        <v>138</v>
      </c>
      <c r="CJ979" s="28" t="s">
        <v>138</v>
      </c>
      <c r="CK979" s="28" t="s">
        <v>138</v>
      </c>
      <c r="CL979" s="28" t="s">
        <v>175</v>
      </c>
      <c r="CM979" s="34" t="s">
        <v>138</v>
      </c>
      <c r="CN979" s="29" t="s">
        <v>138</v>
      </c>
      <c r="CO979" s="35">
        <v>-1.0900000000000001</v>
      </c>
      <c r="CP979" s="36">
        <v>10</v>
      </c>
      <c r="CQ979" s="35">
        <v>0</v>
      </c>
      <c r="CR979" s="35">
        <v>-0.34</v>
      </c>
      <c r="CS979" s="35">
        <v>-2.15</v>
      </c>
      <c r="CT979" s="36">
        <v>8</v>
      </c>
      <c r="CU979" s="35">
        <v>-0.02</v>
      </c>
      <c r="CV979" s="36">
        <v>17</v>
      </c>
      <c r="CW979" s="35">
        <v>1.1599999999999999</v>
      </c>
      <c r="CX979" s="36">
        <v>85</v>
      </c>
      <c r="CY979" s="35">
        <v>-5.47</v>
      </c>
      <c r="CZ979" s="36">
        <v>3</v>
      </c>
      <c r="DA979" s="35">
        <v>-0.05</v>
      </c>
      <c r="DB979" s="36">
        <v>13</v>
      </c>
      <c r="DC979" s="37">
        <v>10.37</v>
      </c>
      <c r="DD979" s="36">
        <v>90</v>
      </c>
      <c r="DE979" s="37">
        <v>-0.55000000000000004</v>
      </c>
      <c r="DF979" s="35">
        <v>-5.07</v>
      </c>
      <c r="DG979" s="37">
        <v>19.03</v>
      </c>
      <c r="DH979" s="36">
        <v>94</v>
      </c>
      <c r="DI979" s="37">
        <v>1.71</v>
      </c>
      <c r="DJ979" s="36">
        <v>59</v>
      </c>
      <c r="DK979" s="37">
        <v>16.54</v>
      </c>
      <c r="DL979" s="36">
        <v>91</v>
      </c>
      <c r="DM979" s="37">
        <v>21.52</v>
      </c>
      <c r="DN979" s="36">
        <v>95</v>
      </c>
      <c r="DO979" s="37">
        <v>1.38</v>
      </c>
      <c r="DP979" s="36">
        <v>57</v>
      </c>
      <c r="DQ979" s="36">
        <v>5588</v>
      </c>
      <c r="DR979" s="38">
        <v>254</v>
      </c>
      <c r="DS979" s="35">
        <v>4.76</v>
      </c>
      <c r="DT979" s="36">
        <v>625</v>
      </c>
      <c r="DU979" s="38">
        <v>-2</v>
      </c>
      <c r="DV979" s="35">
        <v>-0.32</v>
      </c>
      <c r="DW979" s="36">
        <v>493</v>
      </c>
      <c r="DX979" s="39">
        <v>0</v>
      </c>
      <c r="DY979" s="35">
        <v>0</v>
      </c>
      <c r="DZ979" s="28" t="s">
        <v>178</v>
      </c>
      <c r="EA979" s="34">
        <v>43622</v>
      </c>
      <c r="EB979" s="29" t="s">
        <v>138</v>
      </c>
      <c r="EC979" s="34" t="s">
        <v>138</v>
      </c>
      <c r="ED979" s="28" t="s">
        <v>138</v>
      </c>
      <c r="EE979" s="40" t="str">
        <f>HYPERLINK("https://my.pitchbook.com?c=114388-75", "View company online")</f>
        <v>View company online</v>
      </c>
    </row>
    <row r="980" spans="1:135">
      <c r="A980" s="15" t="s">
        <v>19250</v>
      </c>
      <c r="B980" s="15" t="s">
        <v>19251</v>
      </c>
      <c r="C980" s="15" t="s">
        <v>138</v>
      </c>
      <c r="D980" s="15" t="s">
        <v>138</v>
      </c>
      <c r="E980" s="15" t="s">
        <v>19252</v>
      </c>
      <c r="F980" s="15" t="s">
        <v>19250</v>
      </c>
      <c r="G980" s="15" t="s">
        <v>19253</v>
      </c>
      <c r="H980" s="15" t="s">
        <v>322</v>
      </c>
      <c r="I980" s="15" t="s">
        <v>323</v>
      </c>
      <c r="J980" s="15" t="s">
        <v>539</v>
      </c>
      <c r="K980" s="15" t="s">
        <v>16217</v>
      </c>
      <c r="L980" s="15" t="s">
        <v>242</v>
      </c>
      <c r="M980" s="15" t="s">
        <v>19254</v>
      </c>
      <c r="N980" s="15" t="s">
        <v>147</v>
      </c>
      <c r="O980" s="17">
        <v>24.5</v>
      </c>
      <c r="P980" s="15" t="s">
        <v>148</v>
      </c>
      <c r="Q980" s="15" t="s">
        <v>149</v>
      </c>
      <c r="R980" s="15" t="s">
        <v>174</v>
      </c>
      <c r="S980" s="15" t="s">
        <v>19255</v>
      </c>
      <c r="T980" s="18">
        <v>33</v>
      </c>
      <c r="U980" s="15" t="s">
        <v>19256</v>
      </c>
      <c r="V980" s="15" t="s">
        <v>138</v>
      </c>
      <c r="W980" s="15" t="s">
        <v>138</v>
      </c>
      <c r="X980" s="19">
        <v>2013</v>
      </c>
      <c r="Y980" s="15" t="s">
        <v>138</v>
      </c>
      <c r="Z980" s="15" t="s">
        <v>138</v>
      </c>
      <c r="AA980" s="15" t="s">
        <v>138</v>
      </c>
      <c r="AB980" s="20">
        <v>1.06</v>
      </c>
      <c r="AC980" s="20" t="s">
        <v>138</v>
      </c>
      <c r="AD980" s="20" t="s">
        <v>138</v>
      </c>
      <c r="AE980" s="20" t="s">
        <v>138</v>
      </c>
      <c r="AF980" s="20" t="s">
        <v>138</v>
      </c>
      <c r="AG980" s="15" t="s">
        <v>419</v>
      </c>
      <c r="AH980" s="20" t="s">
        <v>138</v>
      </c>
      <c r="AI980" s="20" t="s">
        <v>138</v>
      </c>
      <c r="AJ980" s="20" t="s">
        <v>138</v>
      </c>
      <c r="AK980" s="15" t="s">
        <v>19257</v>
      </c>
      <c r="AL980" s="15" t="s">
        <v>19258</v>
      </c>
      <c r="AM980" s="15" t="s">
        <v>938</v>
      </c>
      <c r="AN980" s="15" t="s">
        <v>19259</v>
      </c>
      <c r="AO980" s="15" t="s">
        <v>19260</v>
      </c>
      <c r="AP980" s="15" t="s">
        <v>19261</v>
      </c>
      <c r="AQ980" s="15" t="s">
        <v>19262</v>
      </c>
      <c r="AR980" s="15" t="s">
        <v>138</v>
      </c>
      <c r="AS980" s="15" t="s">
        <v>19263</v>
      </c>
      <c r="AT980" s="15" t="s">
        <v>138</v>
      </c>
      <c r="AU980" s="15" t="s">
        <v>19264</v>
      </c>
      <c r="AV980" s="15" t="s">
        <v>4444</v>
      </c>
      <c r="AW980" s="15" t="s">
        <v>19260</v>
      </c>
      <c r="AX980" s="15" t="s">
        <v>138</v>
      </c>
      <c r="AY980" s="15" t="s">
        <v>19265</v>
      </c>
      <c r="AZ980" s="15" t="s">
        <v>530</v>
      </c>
      <c r="BA980" s="15" t="s">
        <v>577</v>
      </c>
      <c r="BB980" s="15" t="s">
        <v>19266</v>
      </c>
      <c r="BC980" s="15" t="s">
        <v>19267</v>
      </c>
      <c r="BD980" s="21">
        <v>12</v>
      </c>
      <c r="BE980" s="15" t="s">
        <v>138</v>
      </c>
      <c r="BF980" s="15" t="s">
        <v>138</v>
      </c>
      <c r="BG980" s="15" t="s">
        <v>138</v>
      </c>
      <c r="BH980" s="15" t="s">
        <v>19268</v>
      </c>
      <c r="BI980" s="15" t="s">
        <v>138</v>
      </c>
      <c r="BJ980" s="15" t="s">
        <v>138</v>
      </c>
      <c r="BK980" s="15" t="s">
        <v>138</v>
      </c>
      <c r="BL980" s="15" t="s">
        <v>19269</v>
      </c>
      <c r="BM980" s="22">
        <v>41548</v>
      </c>
      <c r="BN980" s="17" t="s">
        <v>138</v>
      </c>
      <c r="BO980" s="15" t="s">
        <v>138</v>
      </c>
      <c r="BP980" s="17" t="s">
        <v>138</v>
      </c>
      <c r="BQ980" s="15" t="s">
        <v>138</v>
      </c>
      <c r="BR980" s="15" t="s">
        <v>262</v>
      </c>
      <c r="BS980" s="15" t="s">
        <v>262</v>
      </c>
      <c r="BT980" s="15" t="s">
        <v>138</v>
      </c>
      <c r="BU980" s="15" t="s">
        <v>263</v>
      </c>
      <c r="BV980" s="15" t="s">
        <v>138</v>
      </c>
      <c r="BW980" s="15" t="s">
        <v>138</v>
      </c>
      <c r="BX980" s="15" t="s">
        <v>138</v>
      </c>
      <c r="BY980" s="15" t="s">
        <v>175</v>
      </c>
      <c r="BZ980" s="22">
        <v>43178</v>
      </c>
      <c r="CA980" s="17">
        <v>15</v>
      </c>
      <c r="CB980" s="15" t="s">
        <v>172</v>
      </c>
      <c r="CC980" s="17" t="s">
        <v>138</v>
      </c>
      <c r="CD980" s="15" t="s">
        <v>138</v>
      </c>
      <c r="CE980" s="15" t="s">
        <v>205</v>
      </c>
      <c r="CF980" s="15" t="s">
        <v>720</v>
      </c>
      <c r="CG980" s="15" t="s">
        <v>138</v>
      </c>
      <c r="CH980" s="15" t="s">
        <v>174</v>
      </c>
      <c r="CI980" s="15" t="s">
        <v>138</v>
      </c>
      <c r="CJ980" s="15" t="s">
        <v>138</v>
      </c>
      <c r="CK980" s="15" t="s">
        <v>138</v>
      </c>
      <c r="CL980" s="15" t="s">
        <v>175</v>
      </c>
      <c r="CM980" s="22" t="s">
        <v>138</v>
      </c>
      <c r="CN980" s="17" t="s">
        <v>138</v>
      </c>
      <c r="CO980" s="23">
        <v>-0.23</v>
      </c>
      <c r="CP980" s="24">
        <v>19</v>
      </c>
      <c r="CQ980" s="23">
        <v>0</v>
      </c>
      <c r="CR980" s="23">
        <v>-7.0000000000000007E-2</v>
      </c>
      <c r="CS980" s="23">
        <v>-1.74</v>
      </c>
      <c r="CT980" s="24">
        <v>10</v>
      </c>
      <c r="CU980" s="23">
        <v>0.39</v>
      </c>
      <c r="CV980" s="24">
        <v>91</v>
      </c>
      <c r="CW980" s="23">
        <v>-3.1</v>
      </c>
      <c r="CX980" s="24">
        <v>5</v>
      </c>
      <c r="CY980" s="23">
        <v>-0.38</v>
      </c>
      <c r="CZ980" s="24">
        <v>23</v>
      </c>
      <c r="DA980" s="23">
        <v>0.37</v>
      </c>
      <c r="DB980" s="24">
        <v>91</v>
      </c>
      <c r="DC980" s="25">
        <v>15.28</v>
      </c>
      <c r="DD980" s="24">
        <v>93</v>
      </c>
      <c r="DE980" s="25">
        <v>-0.2</v>
      </c>
      <c r="DF980" s="23">
        <v>-1.3</v>
      </c>
      <c r="DG980" s="25">
        <v>33.47</v>
      </c>
      <c r="DH980" s="24">
        <v>97</v>
      </c>
      <c r="DI980" s="25">
        <v>12.04</v>
      </c>
      <c r="DJ980" s="24">
        <v>87</v>
      </c>
      <c r="DK980" s="25">
        <v>12.6</v>
      </c>
      <c r="DL980" s="24">
        <v>89</v>
      </c>
      <c r="DM980" s="25">
        <v>54.34</v>
      </c>
      <c r="DN980" s="24">
        <v>98</v>
      </c>
      <c r="DO980" s="25">
        <v>20.96</v>
      </c>
      <c r="DP980" s="24">
        <v>93</v>
      </c>
      <c r="DQ980" s="24">
        <v>4354</v>
      </c>
      <c r="DR980" s="26">
        <v>-93</v>
      </c>
      <c r="DS980" s="23">
        <v>-2.09</v>
      </c>
      <c r="DT980" s="24">
        <v>1573</v>
      </c>
      <c r="DU980" s="26">
        <v>5</v>
      </c>
      <c r="DV980" s="23">
        <v>0.32</v>
      </c>
      <c r="DW980" s="24">
        <v>7496</v>
      </c>
      <c r="DX980" s="27">
        <v>28</v>
      </c>
      <c r="DY980" s="23">
        <v>0.37</v>
      </c>
      <c r="DZ980" s="15" t="s">
        <v>178</v>
      </c>
      <c r="EA980" s="22">
        <v>43567</v>
      </c>
      <c r="EB980" s="17" t="s">
        <v>138</v>
      </c>
      <c r="EC980" s="22" t="s">
        <v>138</v>
      </c>
      <c r="ED980" s="15" t="s">
        <v>138</v>
      </c>
      <c r="EE980" s="14" t="str">
        <f>HYPERLINK("https://my.pitchbook.com?c=86971-96", "View company online")</f>
        <v>View company online</v>
      </c>
    </row>
    <row r="981" spans="1:135">
      <c r="A981" s="28" t="s">
        <v>19270</v>
      </c>
      <c r="B981" s="28" t="s">
        <v>19271</v>
      </c>
      <c r="C981" s="28" t="s">
        <v>19272</v>
      </c>
      <c r="D981" s="28" t="s">
        <v>19273</v>
      </c>
      <c r="E981" s="28" t="s">
        <v>19274</v>
      </c>
      <c r="F981" s="28" t="s">
        <v>19270</v>
      </c>
      <c r="G981" s="28" t="s">
        <v>19275</v>
      </c>
      <c r="H981" s="28" t="s">
        <v>322</v>
      </c>
      <c r="I981" s="28" t="s">
        <v>323</v>
      </c>
      <c r="J981" s="28" t="s">
        <v>324</v>
      </c>
      <c r="K981" s="28" t="s">
        <v>325</v>
      </c>
      <c r="L981" s="28" t="s">
        <v>1186</v>
      </c>
      <c r="M981" s="28" t="s">
        <v>19276</v>
      </c>
      <c r="N981" s="28" t="s">
        <v>147</v>
      </c>
      <c r="O981" s="29">
        <v>84.26</v>
      </c>
      <c r="P981" s="28" t="s">
        <v>148</v>
      </c>
      <c r="Q981" s="28" t="s">
        <v>149</v>
      </c>
      <c r="R981" s="28" t="s">
        <v>8692</v>
      </c>
      <c r="S981" s="28" t="s">
        <v>19277</v>
      </c>
      <c r="T981" s="30">
        <v>150</v>
      </c>
      <c r="U981" s="28" t="s">
        <v>19278</v>
      </c>
      <c r="V981" s="28" t="s">
        <v>138</v>
      </c>
      <c r="W981" s="28" t="s">
        <v>138</v>
      </c>
      <c r="X981" s="31">
        <v>2009</v>
      </c>
      <c r="Y981" s="28" t="s">
        <v>138</v>
      </c>
      <c r="Z981" s="28" t="s">
        <v>138</v>
      </c>
      <c r="AA981" s="28" t="s">
        <v>138</v>
      </c>
      <c r="AB981" s="32">
        <v>4.0999999999999996</v>
      </c>
      <c r="AC981" s="32" t="s">
        <v>138</v>
      </c>
      <c r="AD981" s="32" t="s">
        <v>138</v>
      </c>
      <c r="AE981" s="32" t="s">
        <v>138</v>
      </c>
      <c r="AF981" s="32" t="s">
        <v>138</v>
      </c>
      <c r="AG981" s="28" t="s">
        <v>633</v>
      </c>
      <c r="AH981" s="32" t="s">
        <v>138</v>
      </c>
      <c r="AI981" s="32" t="s">
        <v>138</v>
      </c>
      <c r="AJ981" s="32" t="s">
        <v>138</v>
      </c>
      <c r="AK981" s="28" t="s">
        <v>19279</v>
      </c>
      <c r="AL981" s="28" t="s">
        <v>19280</v>
      </c>
      <c r="AM981" s="28" t="s">
        <v>3016</v>
      </c>
      <c r="AN981" s="28" t="s">
        <v>19281</v>
      </c>
      <c r="AO981" s="28" t="s">
        <v>138</v>
      </c>
      <c r="AP981" s="28" t="s">
        <v>13607</v>
      </c>
      <c r="AQ981" s="28" t="s">
        <v>19282</v>
      </c>
      <c r="AR981" s="28" t="s">
        <v>6688</v>
      </c>
      <c r="AS981" s="28" t="s">
        <v>13609</v>
      </c>
      <c r="AT981" s="28" t="s">
        <v>5271</v>
      </c>
      <c r="AU981" s="28" t="s">
        <v>19283</v>
      </c>
      <c r="AV981" s="28" t="s">
        <v>162</v>
      </c>
      <c r="AW981" s="28" t="s">
        <v>138</v>
      </c>
      <c r="AX981" s="28" t="s">
        <v>138</v>
      </c>
      <c r="AY981" s="28" t="s">
        <v>138</v>
      </c>
      <c r="AZ981" s="28" t="s">
        <v>164</v>
      </c>
      <c r="BA981" s="28" t="s">
        <v>165</v>
      </c>
      <c r="BB981" s="28" t="s">
        <v>19284</v>
      </c>
      <c r="BC981" s="28" t="s">
        <v>19285</v>
      </c>
      <c r="BD981" s="33">
        <v>10</v>
      </c>
      <c r="BE981" s="28" t="s">
        <v>138</v>
      </c>
      <c r="BF981" s="28" t="s">
        <v>138</v>
      </c>
      <c r="BG981" s="28" t="s">
        <v>19286</v>
      </c>
      <c r="BH981" s="28" t="s">
        <v>19287</v>
      </c>
      <c r="BI981" s="28" t="s">
        <v>138</v>
      </c>
      <c r="BJ981" s="28" t="s">
        <v>19288</v>
      </c>
      <c r="BK981" s="28" t="s">
        <v>3825</v>
      </c>
      <c r="BL981" s="28" t="s">
        <v>19289</v>
      </c>
      <c r="BM981" s="34">
        <v>41256</v>
      </c>
      <c r="BN981" s="29">
        <v>0.25</v>
      </c>
      <c r="BO981" s="28" t="s">
        <v>172</v>
      </c>
      <c r="BP981" s="29" t="s">
        <v>138</v>
      </c>
      <c r="BQ981" s="28" t="s">
        <v>138</v>
      </c>
      <c r="BR981" s="28" t="s">
        <v>1326</v>
      </c>
      <c r="BS981" s="28" t="s">
        <v>138</v>
      </c>
      <c r="BT981" s="28" t="s">
        <v>138</v>
      </c>
      <c r="BU981" s="28" t="s">
        <v>1327</v>
      </c>
      <c r="BV981" s="28" t="s">
        <v>1328</v>
      </c>
      <c r="BW981" s="28" t="s">
        <v>138</v>
      </c>
      <c r="BX981" s="28" t="s">
        <v>138</v>
      </c>
      <c r="BY981" s="28" t="s">
        <v>175</v>
      </c>
      <c r="BZ981" s="34">
        <v>43574</v>
      </c>
      <c r="CA981" s="29" t="s">
        <v>138</v>
      </c>
      <c r="CB981" s="28" t="s">
        <v>138</v>
      </c>
      <c r="CC981" s="29" t="s">
        <v>138</v>
      </c>
      <c r="CD981" s="28" t="s">
        <v>138</v>
      </c>
      <c r="CE981" s="28" t="s">
        <v>2228</v>
      </c>
      <c r="CF981" s="28" t="s">
        <v>138</v>
      </c>
      <c r="CG981" s="28" t="s">
        <v>138</v>
      </c>
      <c r="CH981" s="28" t="s">
        <v>780</v>
      </c>
      <c r="CI981" s="28" t="s">
        <v>138</v>
      </c>
      <c r="CJ981" s="28" t="s">
        <v>138</v>
      </c>
      <c r="CK981" s="28" t="s">
        <v>138</v>
      </c>
      <c r="CL981" s="28" t="s">
        <v>352</v>
      </c>
      <c r="CM981" s="34">
        <v>43005</v>
      </c>
      <c r="CN981" s="29">
        <v>6</v>
      </c>
      <c r="CO981" s="35">
        <v>1.06</v>
      </c>
      <c r="CP981" s="36">
        <v>97</v>
      </c>
      <c r="CQ981" s="35">
        <v>0.01</v>
      </c>
      <c r="CR981" s="35">
        <v>1.1299999999999999</v>
      </c>
      <c r="CS981" s="35">
        <v>2.97</v>
      </c>
      <c r="CT981" s="36">
        <v>99</v>
      </c>
      <c r="CU981" s="35">
        <v>0.2</v>
      </c>
      <c r="CV981" s="36">
        <v>80</v>
      </c>
      <c r="CW981" s="35">
        <v>2.97</v>
      </c>
      <c r="CX981" s="36">
        <v>91</v>
      </c>
      <c r="CY981" s="35" t="s">
        <v>138</v>
      </c>
      <c r="CZ981" s="36" t="s">
        <v>138</v>
      </c>
      <c r="DA981" s="35">
        <v>0.2</v>
      </c>
      <c r="DB981" s="36">
        <v>82</v>
      </c>
      <c r="DC981" s="37">
        <v>3.59</v>
      </c>
      <c r="DD981" s="36">
        <v>78</v>
      </c>
      <c r="DE981" s="37">
        <v>-0.31</v>
      </c>
      <c r="DF981" s="35">
        <v>-7.87</v>
      </c>
      <c r="DG981" s="37">
        <v>7.47</v>
      </c>
      <c r="DH981" s="36">
        <v>87</v>
      </c>
      <c r="DI981" s="37">
        <v>3.16</v>
      </c>
      <c r="DJ981" s="36">
        <v>70</v>
      </c>
      <c r="DK981" s="37">
        <v>7.47</v>
      </c>
      <c r="DL981" s="36">
        <v>84</v>
      </c>
      <c r="DM981" s="37" t="s">
        <v>138</v>
      </c>
      <c r="DN981" s="36" t="s">
        <v>138</v>
      </c>
      <c r="DO981" s="37">
        <v>5.92</v>
      </c>
      <c r="DP981" s="36">
        <v>81</v>
      </c>
      <c r="DQ981" s="36">
        <v>2628</v>
      </c>
      <c r="DR981" s="38">
        <v>-196</v>
      </c>
      <c r="DS981" s="35">
        <v>-6.94</v>
      </c>
      <c r="DT981" s="36" t="s">
        <v>138</v>
      </c>
      <c r="DU981" s="38" t="s">
        <v>138</v>
      </c>
      <c r="DV981" s="35" t="s">
        <v>138</v>
      </c>
      <c r="DW981" s="36">
        <v>2115</v>
      </c>
      <c r="DX981" s="39">
        <v>15</v>
      </c>
      <c r="DY981" s="35">
        <v>0.71</v>
      </c>
      <c r="DZ981" s="28" t="s">
        <v>178</v>
      </c>
      <c r="EA981" s="34">
        <v>43622</v>
      </c>
      <c r="EB981" s="29">
        <v>262.5</v>
      </c>
      <c r="EC981" s="34">
        <v>43420</v>
      </c>
      <c r="ED981" s="28" t="s">
        <v>173</v>
      </c>
      <c r="EE981" s="40" t="str">
        <f>HYPERLINK("https://my.pitchbook.com?c=61886-53", "View company online")</f>
        <v>View company online</v>
      </c>
    </row>
    <row r="982" spans="1:135">
      <c r="A982" s="15" t="s">
        <v>19290</v>
      </c>
      <c r="B982" s="15" t="s">
        <v>19291</v>
      </c>
      <c r="C982" s="15" t="s">
        <v>138</v>
      </c>
      <c r="D982" s="15" t="s">
        <v>138</v>
      </c>
      <c r="E982" s="15" t="s">
        <v>138</v>
      </c>
      <c r="F982" s="15" t="s">
        <v>19290</v>
      </c>
      <c r="G982" s="15" t="s">
        <v>19292</v>
      </c>
      <c r="H982" s="15" t="s">
        <v>238</v>
      </c>
      <c r="I982" s="15" t="s">
        <v>1351</v>
      </c>
      <c r="J982" s="15" t="s">
        <v>1352</v>
      </c>
      <c r="K982" s="15" t="s">
        <v>19293</v>
      </c>
      <c r="L982" s="15" t="s">
        <v>6111</v>
      </c>
      <c r="M982" s="15" t="s">
        <v>19294</v>
      </c>
      <c r="N982" s="15" t="s">
        <v>147</v>
      </c>
      <c r="O982" s="17">
        <v>89.7</v>
      </c>
      <c r="P982" s="15" t="s">
        <v>148</v>
      </c>
      <c r="Q982" s="15" t="s">
        <v>149</v>
      </c>
      <c r="R982" s="15" t="s">
        <v>174</v>
      </c>
      <c r="S982" s="15" t="s">
        <v>19295</v>
      </c>
      <c r="T982" s="18">
        <v>160</v>
      </c>
      <c r="U982" s="15" t="s">
        <v>19296</v>
      </c>
      <c r="V982" s="15" t="s">
        <v>138</v>
      </c>
      <c r="W982" s="15" t="s">
        <v>138</v>
      </c>
      <c r="X982" s="19">
        <v>2005</v>
      </c>
      <c r="Y982" s="15" t="s">
        <v>138</v>
      </c>
      <c r="Z982" s="15" t="s">
        <v>138</v>
      </c>
      <c r="AA982" s="15" t="s">
        <v>138</v>
      </c>
      <c r="AB982" s="20" t="s">
        <v>138</v>
      </c>
      <c r="AC982" s="20" t="s">
        <v>138</v>
      </c>
      <c r="AD982" s="20" t="s">
        <v>138</v>
      </c>
      <c r="AE982" s="20" t="s">
        <v>138</v>
      </c>
      <c r="AF982" s="20" t="s">
        <v>138</v>
      </c>
      <c r="AG982" s="15" t="s">
        <v>138</v>
      </c>
      <c r="AH982" s="20" t="s">
        <v>138</v>
      </c>
      <c r="AI982" s="20" t="s">
        <v>138</v>
      </c>
      <c r="AJ982" s="20" t="s">
        <v>138</v>
      </c>
      <c r="AK982" s="15" t="s">
        <v>19297</v>
      </c>
      <c r="AL982" s="15" t="s">
        <v>19298</v>
      </c>
      <c r="AM982" s="15" t="s">
        <v>249</v>
      </c>
      <c r="AN982" s="15" t="s">
        <v>138</v>
      </c>
      <c r="AO982" s="15" t="s">
        <v>19299</v>
      </c>
      <c r="AP982" s="15" t="s">
        <v>19300</v>
      </c>
      <c r="AQ982" s="15" t="s">
        <v>19301</v>
      </c>
      <c r="AR982" s="15" t="s">
        <v>138</v>
      </c>
      <c r="AS982" s="15" t="s">
        <v>19302</v>
      </c>
      <c r="AT982" s="15" t="s">
        <v>138</v>
      </c>
      <c r="AU982" s="15" t="s">
        <v>19303</v>
      </c>
      <c r="AV982" s="15" t="s">
        <v>740</v>
      </c>
      <c r="AW982" s="15" t="s">
        <v>19299</v>
      </c>
      <c r="AX982" s="15" t="s">
        <v>19304</v>
      </c>
      <c r="AY982" s="15" t="s">
        <v>19305</v>
      </c>
      <c r="AZ982" s="15" t="s">
        <v>742</v>
      </c>
      <c r="BA982" s="15" t="s">
        <v>742</v>
      </c>
      <c r="BB982" s="15" t="s">
        <v>19306</v>
      </c>
      <c r="BC982" s="15" t="s">
        <v>19307</v>
      </c>
      <c r="BD982" s="21">
        <v>12</v>
      </c>
      <c r="BE982" s="15" t="s">
        <v>138</v>
      </c>
      <c r="BF982" s="15" t="s">
        <v>138</v>
      </c>
      <c r="BG982" s="15" t="s">
        <v>138</v>
      </c>
      <c r="BH982" s="15" t="s">
        <v>19308</v>
      </c>
      <c r="BI982" s="15" t="s">
        <v>138</v>
      </c>
      <c r="BJ982" s="15" t="s">
        <v>138</v>
      </c>
      <c r="BK982" s="15" t="s">
        <v>138</v>
      </c>
      <c r="BL982" s="15" t="s">
        <v>138</v>
      </c>
      <c r="BM982" s="22">
        <v>41640</v>
      </c>
      <c r="BN982" s="17">
        <v>10</v>
      </c>
      <c r="BO982" s="15" t="s">
        <v>172</v>
      </c>
      <c r="BP982" s="17" t="s">
        <v>138</v>
      </c>
      <c r="BQ982" s="15" t="s">
        <v>138</v>
      </c>
      <c r="BR982" s="15" t="s">
        <v>173</v>
      </c>
      <c r="BS982" s="15" t="s">
        <v>720</v>
      </c>
      <c r="BT982" s="15" t="s">
        <v>138</v>
      </c>
      <c r="BU982" s="15" t="s">
        <v>174</v>
      </c>
      <c r="BV982" s="15" t="s">
        <v>138</v>
      </c>
      <c r="BW982" s="15" t="s">
        <v>138</v>
      </c>
      <c r="BX982" s="15" t="s">
        <v>138</v>
      </c>
      <c r="BY982" s="15" t="s">
        <v>175</v>
      </c>
      <c r="BZ982" s="22">
        <v>43292</v>
      </c>
      <c r="CA982" s="17">
        <v>55</v>
      </c>
      <c r="CB982" s="15" t="s">
        <v>172</v>
      </c>
      <c r="CC982" s="17" t="s">
        <v>138</v>
      </c>
      <c r="CD982" s="15" t="s">
        <v>138</v>
      </c>
      <c r="CE982" s="15" t="s">
        <v>173</v>
      </c>
      <c r="CF982" s="15" t="s">
        <v>433</v>
      </c>
      <c r="CG982" s="15" t="s">
        <v>138</v>
      </c>
      <c r="CH982" s="15" t="s">
        <v>174</v>
      </c>
      <c r="CI982" s="15" t="s">
        <v>138</v>
      </c>
      <c r="CJ982" s="15" t="s">
        <v>138</v>
      </c>
      <c r="CK982" s="15" t="s">
        <v>138</v>
      </c>
      <c r="CL982" s="15" t="s">
        <v>175</v>
      </c>
      <c r="CM982" s="22" t="s">
        <v>138</v>
      </c>
      <c r="CN982" s="17" t="s">
        <v>138</v>
      </c>
      <c r="CO982" s="23">
        <v>-0.51</v>
      </c>
      <c r="CP982" s="24">
        <v>16</v>
      </c>
      <c r="CQ982" s="23">
        <v>0.04</v>
      </c>
      <c r="CR982" s="23">
        <v>6.59</v>
      </c>
      <c r="CS982" s="23">
        <v>-1.45</v>
      </c>
      <c r="CT982" s="24">
        <v>12</v>
      </c>
      <c r="CU982" s="23">
        <v>0.43</v>
      </c>
      <c r="CV982" s="24">
        <v>92</v>
      </c>
      <c r="CW982" s="23">
        <v>0</v>
      </c>
      <c r="CX982" s="24">
        <v>13</v>
      </c>
      <c r="CY982" s="23">
        <v>-2.91</v>
      </c>
      <c r="CZ982" s="24">
        <v>7</v>
      </c>
      <c r="DA982" s="23">
        <v>0.43</v>
      </c>
      <c r="DB982" s="24">
        <v>93</v>
      </c>
      <c r="DC982" s="25">
        <v>3.21</v>
      </c>
      <c r="DD982" s="24">
        <v>76</v>
      </c>
      <c r="DE982" s="25">
        <v>-0.08</v>
      </c>
      <c r="DF982" s="23">
        <v>-2.4</v>
      </c>
      <c r="DG982" s="25">
        <v>5</v>
      </c>
      <c r="DH982" s="24">
        <v>82</v>
      </c>
      <c r="DI982" s="25">
        <v>1.41</v>
      </c>
      <c r="DJ982" s="24">
        <v>56</v>
      </c>
      <c r="DK982" s="25">
        <v>1.55</v>
      </c>
      <c r="DL982" s="24">
        <v>59</v>
      </c>
      <c r="DM982" s="25">
        <v>8.4499999999999993</v>
      </c>
      <c r="DN982" s="24">
        <v>87</v>
      </c>
      <c r="DO982" s="25">
        <v>1.41</v>
      </c>
      <c r="DP982" s="24">
        <v>57</v>
      </c>
      <c r="DQ982" s="24">
        <v>528</v>
      </c>
      <c r="DR982" s="26">
        <v>3</v>
      </c>
      <c r="DS982" s="23">
        <v>0.56999999999999995</v>
      </c>
      <c r="DT982" s="24">
        <v>246</v>
      </c>
      <c r="DU982" s="26">
        <v>-3</v>
      </c>
      <c r="DV982" s="23">
        <v>-1.2</v>
      </c>
      <c r="DW982" s="24">
        <v>505</v>
      </c>
      <c r="DX982" s="27">
        <v>3</v>
      </c>
      <c r="DY982" s="23">
        <v>0.6</v>
      </c>
      <c r="DZ982" s="15" t="s">
        <v>178</v>
      </c>
      <c r="EA982" s="22">
        <v>43370</v>
      </c>
      <c r="EB982" s="17" t="s">
        <v>138</v>
      </c>
      <c r="EC982" s="22" t="s">
        <v>138</v>
      </c>
      <c r="ED982" s="15" t="s">
        <v>138</v>
      </c>
      <c r="EE982" s="14" t="str">
        <f>HYPERLINK("https://my.pitchbook.com?c=63825-94", "View company online")</f>
        <v>View company online</v>
      </c>
    </row>
    <row r="983" spans="1:135">
      <c r="A983" s="28" t="s">
        <v>19309</v>
      </c>
      <c r="B983" s="28" t="s">
        <v>19310</v>
      </c>
      <c r="C983" s="28" t="s">
        <v>138</v>
      </c>
      <c r="D983" s="28" t="s">
        <v>138</v>
      </c>
      <c r="E983" s="28" t="s">
        <v>19311</v>
      </c>
      <c r="F983" s="28" t="s">
        <v>19309</v>
      </c>
      <c r="G983" s="28" t="s">
        <v>19312</v>
      </c>
      <c r="H983" s="28" t="s">
        <v>322</v>
      </c>
      <c r="I983" s="28" t="s">
        <v>323</v>
      </c>
      <c r="J983" s="28" t="s">
        <v>413</v>
      </c>
      <c r="K983" s="28" t="s">
        <v>15596</v>
      </c>
      <c r="L983" s="28" t="s">
        <v>7452</v>
      </c>
      <c r="M983" s="28" t="s">
        <v>19313</v>
      </c>
      <c r="N983" s="28" t="s">
        <v>147</v>
      </c>
      <c r="O983" s="29">
        <v>11.3</v>
      </c>
      <c r="P983" s="28" t="s">
        <v>148</v>
      </c>
      <c r="Q983" s="28" t="s">
        <v>149</v>
      </c>
      <c r="R983" s="28" t="s">
        <v>174</v>
      </c>
      <c r="S983" s="28" t="s">
        <v>19314</v>
      </c>
      <c r="T983" s="30">
        <v>51</v>
      </c>
      <c r="U983" s="28" t="s">
        <v>19315</v>
      </c>
      <c r="V983" s="28" t="s">
        <v>138</v>
      </c>
      <c r="W983" s="28" t="s">
        <v>138</v>
      </c>
      <c r="X983" s="31">
        <v>2013</v>
      </c>
      <c r="Y983" s="28" t="s">
        <v>138</v>
      </c>
      <c r="Z983" s="28" t="s">
        <v>138</v>
      </c>
      <c r="AA983" s="28" t="s">
        <v>138</v>
      </c>
      <c r="AB983" s="32" t="s">
        <v>138</v>
      </c>
      <c r="AC983" s="32" t="s">
        <v>138</v>
      </c>
      <c r="AD983" s="32" t="s">
        <v>138</v>
      </c>
      <c r="AE983" s="32" t="s">
        <v>138</v>
      </c>
      <c r="AF983" s="32" t="s">
        <v>138</v>
      </c>
      <c r="AG983" s="28" t="s">
        <v>138</v>
      </c>
      <c r="AH983" s="32" t="s">
        <v>138</v>
      </c>
      <c r="AI983" s="32" t="s">
        <v>138</v>
      </c>
      <c r="AJ983" s="32" t="s">
        <v>138</v>
      </c>
      <c r="AK983" s="28" t="s">
        <v>19316</v>
      </c>
      <c r="AL983" s="28" t="s">
        <v>19317</v>
      </c>
      <c r="AM983" s="28" t="s">
        <v>221</v>
      </c>
      <c r="AN983" s="28" t="s">
        <v>19318</v>
      </c>
      <c r="AO983" s="28" t="s">
        <v>19319</v>
      </c>
      <c r="AP983" s="28" t="s">
        <v>2778</v>
      </c>
      <c r="AQ983" s="28" t="s">
        <v>19320</v>
      </c>
      <c r="AR983" s="28" t="s">
        <v>19321</v>
      </c>
      <c r="AS983" s="28" t="s">
        <v>2779</v>
      </c>
      <c r="AT983" s="28" t="s">
        <v>138</v>
      </c>
      <c r="AU983" s="28" t="s">
        <v>19322</v>
      </c>
      <c r="AV983" s="28" t="s">
        <v>2780</v>
      </c>
      <c r="AW983" s="28" t="s">
        <v>19319</v>
      </c>
      <c r="AX983" s="28" t="s">
        <v>138</v>
      </c>
      <c r="AY983" s="28" t="s">
        <v>19323</v>
      </c>
      <c r="AZ983" s="28" t="s">
        <v>164</v>
      </c>
      <c r="BA983" s="28" t="s">
        <v>2781</v>
      </c>
      <c r="BB983" s="28" t="s">
        <v>19324</v>
      </c>
      <c r="BC983" s="28" t="s">
        <v>19325</v>
      </c>
      <c r="BD983" s="33">
        <v>12</v>
      </c>
      <c r="BE983" s="28" t="s">
        <v>138</v>
      </c>
      <c r="BF983" s="28" t="s">
        <v>138</v>
      </c>
      <c r="BG983" s="28" t="s">
        <v>138</v>
      </c>
      <c r="BH983" s="28" t="s">
        <v>19326</v>
      </c>
      <c r="BI983" s="28" t="s">
        <v>138</v>
      </c>
      <c r="BJ983" s="28" t="s">
        <v>138</v>
      </c>
      <c r="BK983" s="28" t="s">
        <v>138</v>
      </c>
      <c r="BL983" s="28" t="s">
        <v>138</v>
      </c>
      <c r="BM983" s="34">
        <v>41722</v>
      </c>
      <c r="BN983" s="29">
        <v>0.2</v>
      </c>
      <c r="BO983" s="28" t="s">
        <v>172</v>
      </c>
      <c r="BP983" s="29" t="s">
        <v>138</v>
      </c>
      <c r="BQ983" s="28" t="s">
        <v>138</v>
      </c>
      <c r="BR983" s="28" t="s">
        <v>234</v>
      </c>
      <c r="BS983" s="28" t="s">
        <v>234</v>
      </c>
      <c r="BT983" s="28" t="s">
        <v>138</v>
      </c>
      <c r="BU983" s="28" t="s">
        <v>174</v>
      </c>
      <c r="BV983" s="28" t="s">
        <v>138</v>
      </c>
      <c r="BW983" s="28" t="s">
        <v>138</v>
      </c>
      <c r="BX983" s="28" t="s">
        <v>138</v>
      </c>
      <c r="BY983" s="28" t="s">
        <v>175</v>
      </c>
      <c r="BZ983" s="34">
        <v>43222</v>
      </c>
      <c r="CA983" s="29">
        <v>7.1</v>
      </c>
      <c r="CB983" s="28" t="s">
        <v>172</v>
      </c>
      <c r="CC983" s="29" t="s">
        <v>138</v>
      </c>
      <c r="CD983" s="28" t="s">
        <v>138</v>
      </c>
      <c r="CE983" s="28" t="s">
        <v>205</v>
      </c>
      <c r="CF983" s="28" t="s">
        <v>720</v>
      </c>
      <c r="CG983" s="28" t="s">
        <v>138</v>
      </c>
      <c r="CH983" s="28" t="s">
        <v>174</v>
      </c>
      <c r="CI983" s="28" t="s">
        <v>138</v>
      </c>
      <c r="CJ983" s="28" t="s">
        <v>138</v>
      </c>
      <c r="CK983" s="28" t="s">
        <v>138</v>
      </c>
      <c r="CL983" s="28" t="s">
        <v>175</v>
      </c>
      <c r="CM983" s="34" t="s">
        <v>138</v>
      </c>
      <c r="CN983" s="29" t="s">
        <v>138</v>
      </c>
      <c r="CO983" s="35">
        <v>0.02</v>
      </c>
      <c r="CP983" s="36">
        <v>85</v>
      </c>
      <c r="CQ983" s="35">
        <v>-0.01</v>
      </c>
      <c r="CR983" s="35">
        <v>-47.41</v>
      </c>
      <c r="CS983" s="35">
        <v>0.01</v>
      </c>
      <c r="CT983" s="36">
        <v>93</v>
      </c>
      <c r="CU983" s="35">
        <v>0.02</v>
      </c>
      <c r="CV983" s="36">
        <v>51</v>
      </c>
      <c r="CW983" s="35" t="s">
        <v>138</v>
      </c>
      <c r="CX983" s="36" t="s">
        <v>138</v>
      </c>
      <c r="CY983" s="35">
        <v>0.01</v>
      </c>
      <c r="CZ983" s="36">
        <v>97</v>
      </c>
      <c r="DA983" s="35">
        <v>0.02</v>
      </c>
      <c r="DB983" s="36">
        <v>58</v>
      </c>
      <c r="DC983" s="37">
        <v>9.01</v>
      </c>
      <c r="DD983" s="36">
        <v>89</v>
      </c>
      <c r="DE983" s="37">
        <v>-0.05</v>
      </c>
      <c r="DF983" s="35">
        <v>-0.52</v>
      </c>
      <c r="DG983" s="37">
        <v>15.9</v>
      </c>
      <c r="DH983" s="36">
        <v>93</v>
      </c>
      <c r="DI983" s="37">
        <v>2.12</v>
      </c>
      <c r="DJ983" s="36">
        <v>63</v>
      </c>
      <c r="DK983" s="37" t="s">
        <v>138</v>
      </c>
      <c r="DL983" s="36" t="s">
        <v>138</v>
      </c>
      <c r="DM983" s="37">
        <v>15.9</v>
      </c>
      <c r="DN983" s="36">
        <v>93</v>
      </c>
      <c r="DO983" s="37">
        <v>2.12</v>
      </c>
      <c r="DP983" s="36">
        <v>65</v>
      </c>
      <c r="DQ983" s="36" t="s">
        <v>138</v>
      </c>
      <c r="DR983" s="38" t="s">
        <v>138</v>
      </c>
      <c r="DS983" s="35" t="s">
        <v>138</v>
      </c>
      <c r="DT983" s="36">
        <v>462</v>
      </c>
      <c r="DU983" s="38">
        <v>1</v>
      </c>
      <c r="DV983" s="35">
        <v>0.22</v>
      </c>
      <c r="DW983" s="36">
        <v>760</v>
      </c>
      <c r="DX983" s="39">
        <v>0</v>
      </c>
      <c r="DY983" s="35">
        <v>0</v>
      </c>
      <c r="DZ983" s="28" t="s">
        <v>178</v>
      </c>
      <c r="EA983" s="34">
        <v>43351</v>
      </c>
      <c r="EB983" s="29" t="s">
        <v>138</v>
      </c>
      <c r="EC983" s="34" t="s">
        <v>138</v>
      </c>
      <c r="ED983" s="28" t="s">
        <v>138</v>
      </c>
      <c r="EE983" s="40" t="str">
        <f>HYPERLINK("https://my.pitchbook.com?c=63995-95", "View company online")</f>
        <v>View company online</v>
      </c>
    </row>
    <row r="984" spans="1:135">
      <c r="A984" s="15" t="s">
        <v>19327</v>
      </c>
      <c r="B984" s="15" t="s">
        <v>19328</v>
      </c>
      <c r="C984" s="15" t="s">
        <v>138</v>
      </c>
      <c r="D984" s="15" t="s">
        <v>19329</v>
      </c>
      <c r="E984" s="15" t="s">
        <v>138</v>
      </c>
      <c r="F984" s="15" t="s">
        <v>19327</v>
      </c>
      <c r="G984" s="15" t="s">
        <v>19330</v>
      </c>
      <c r="H984" s="15" t="s">
        <v>141</v>
      </c>
      <c r="I984" s="15" t="s">
        <v>212</v>
      </c>
      <c r="J984" s="15" t="s">
        <v>486</v>
      </c>
      <c r="K984" s="15" t="s">
        <v>19331</v>
      </c>
      <c r="L984" s="15" t="s">
        <v>1021</v>
      </c>
      <c r="M984" s="15" t="s">
        <v>19332</v>
      </c>
      <c r="N984" s="15" t="s">
        <v>147</v>
      </c>
      <c r="O984" s="17">
        <v>1900</v>
      </c>
      <c r="P984" s="15" t="s">
        <v>148</v>
      </c>
      <c r="Q984" s="15" t="s">
        <v>149</v>
      </c>
      <c r="R984" s="15" t="s">
        <v>174</v>
      </c>
      <c r="S984" s="15" t="s">
        <v>138</v>
      </c>
      <c r="T984" s="18" t="s">
        <v>138</v>
      </c>
      <c r="U984" s="15" t="s">
        <v>138</v>
      </c>
      <c r="V984" s="15" t="s">
        <v>138</v>
      </c>
      <c r="W984" s="15" t="s">
        <v>138</v>
      </c>
      <c r="X984" s="19">
        <v>2017</v>
      </c>
      <c r="Y984" s="15" t="s">
        <v>138</v>
      </c>
      <c r="Z984" s="15" t="s">
        <v>138</v>
      </c>
      <c r="AA984" s="15" t="s">
        <v>138</v>
      </c>
      <c r="AB984" s="20" t="s">
        <v>138</v>
      </c>
      <c r="AC984" s="20" t="s">
        <v>138</v>
      </c>
      <c r="AD984" s="20" t="s">
        <v>138</v>
      </c>
      <c r="AE984" s="20" t="s">
        <v>138</v>
      </c>
      <c r="AF984" s="20" t="s">
        <v>138</v>
      </c>
      <c r="AG984" s="15" t="s">
        <v>138</v>
      </c>
      <c r="AH984" s="20" t="s">
        <v>138</v>
      </c>
      <c r="AI984" s="20" t="s">
        <v>138</v>
      </c>
      <c r="AJ984" s="20" t="s">
        <v>138</v>
      </c>
      <c r="AK984" s="15" t="s">
        <v>19333</v>
      </c>
      <c r="AL984" s="15" t="s">
        <v>19334</v>
      </c>
      <c r="AM984" s="15" t="s">
        <v>19335</v>
      </c>
      <c r="AN984" s="15" t="s">
        <v>138</v>
      </c>
      <c r="AO984" s="15" t="s">
        <v>138</v>
      </c>
      <c r="AP984" s="15" t="s">
        <v>446</v>
      </c>
      <c r="AQ984" s="15" t="s">
        <v>138</v>
      </c>
      <c r="AR984" s="15" t="s">
        <v>138</v>
      </c>
      <c r="AS984" s="15" t="s">
        <v>449</v>
      </c>
      <c r="AT984" s="15" t="s">
        <v>138</v>
      </c>
      <c r="AU984" s="15" t="s">
        <v>138</v>
      </c>
      <c r="AV984" s="15" t="s">
        <v>450</v>
      </c>
      <c r="AW984" s="15" t="s">
        <v>138</v>
      </c>
      <c r="AX984" s="15" t="s">
        <v>138</v>
      </c>
      <c r="AY984" s="15" t="s">
        <v>138</v>
      </c>
      <c r="AZ984" s="15" t="s">
        <v>452</v>
      </c>
      <c r="BA984" s="15" t="s">
        <v>453</v>
      </c>
      <c r="BB984" s="15" t="s">
        <v>19336</v>
      </c>
      <c r="BC984" s="15" t="s">
        <v>19337</v>
      </c>
      <c r="BD984" s="21">
        <v>25</v>
      </c>
      <c r="BE984" s="15" t="s">
        <v>138</v>
      </c>
      <c r="BF984" s="15" t="s">
        <v>138</v>
      </c>
      <c r="BG984" s="15" t="s">
        <v>138</v>
      </c>
      <c r="BH984" s="15" t="s">
        <v>19338</v>
      </c>
      <c r="BI984" s="15" t="s">
        <v>138</v>
      </c>
      <c r="BJ984" s="15" t="s">
        <v>138</v>
      </c>
      <c r="BK984" s="15" t="s">
        <v>138</v>
      </c>
      <c r="BL984" s="15" t="s">
        <v>138</v>
      </c>
      <c r="BM984" s="22">
        <v>43070</v>
      </c>
      <c r="BN984" s="17" t="s">
        <v>138</v>
      </c>
      <c r="BO984" s="15" t="s">
        <v>138</v>
      </c>
      <c r="BP984" s="17" t="s">
        <v>138</v>
      </c>
      <c r="BQ984" s="15" t="s">
        <v>138</v>
      </c>
      <c r="BR984" s="15" t="s">
        <v>1423</v>
      </c>
      <c r="BS984" s="15" t="s">
        <v>138</v>
      </c>
      <c r="BT984" s="15" t="s">
        <v>138</v>
      </c>
      <c r="BU984" s="15" t="s">
        <v>174</v>
      </c>
      <c r="BV984" s="15" t="s">
        <v>138</v>
      </c>
      <c r="BW984" s="15" t="s">
        <v>138</v>
      </c>
      <c r="BX984" s="15" t="s">
        <v>138</v>
      </c>
      <c r="BY984" s="15" t="s">
        <v>175</v>
      </c>
      <c r="BZ984" s="22" t="s">
        <v>138</v>
      </c>
      <c r="CA984" s="17">
        <v>1000</v>
      </c>
      <c r="CB984" s="15" t="s">
        <v>172</v>
      </c>
      <c r="CC984" s="17">
        <v>10000</v>
      </c>
      <c r="CD984" s="15" t="s">
        <v>172</v>
      </c>
      <c r="CE984" s="15" t="s">
        <v>205</v>
      </c>
      <c r="CF984" s="15" t="s">
        <v>138</v>
      </c>
      <c r="CG984" s="15" t="s">
        <v>138</v>
      </c>
      <c r="CH984" s="15" t="s">
        <v>174</v>
      </c>
      <c r="CI984" s="15" t="s">
        <v>138</v>
      </c>
      <c r="CJ984" s="15" t="s">
        <v>138</v>
      </c>
      <c r="CK984" s="15" t="s">
        <v>138</v>
      </c>
      <c r="CL984" s="15" t="s">
        <v>3093</v>
      </c>
      <c r="CM984" s="22" t="s">
        <v>138</v>
      </c>
      <c r="CN984" s="17" t="s">
        <v>138</v>
      </c>
      <c r="CO984" s="23" t="s">
        <v>138</v>
      </c>
      <c r="CP984" s="24" t="s">
        <v>138</v>
      </c>
      <c r="CQ984" s="23" t="s">
        <v>138</v>
      </c>
      <c r="CR984" s="23" t="s">
        <v>138</v>
      </c>
      <c r="CS984" s="23" t="s">
        <v>138</v>
      </c>
      <c r="CT984" s="24" t="s">
        <v>138</v>
      </c>
      <c r="CU984" s="23" t="s">
        <v>138</v>
      </c>
      <c r="CV984" s="24" t="s">
        <v>138</v>
      </c>
      <c r="CW984" s="23" t="s">
        <v>138</v>
      </c>
      <c r="CX984" s="24" t="s">
        <v>138</v>
      </c>
      <c r="CY984" s="23" t="s">
        <v>138</v>
      </c>
      <c r="CZ984" s="24" t="s">
        <v>138</v>
      </c>
      <c r="DA984" s="23" t="s">
        <v>138</v>
      </c>
      <c r="DB984" s="24" t="s">
        <v>138</v>
      </c>
      <c r="DC984" s="25" t="s">
        <v>138</v>
      </c>
      <c r="DD984" s="24" t="s">
        <v>138</v>
      </c>
      <c r="DE984" s="25" t="s">
        <v>138</v>
      </c>
      <c r="DF984" s="23" t="s">
        <v>138</v>
      </c>
      <c r="DG984" s="25" t="s">
        <v>138</v>
      </c>
      <c r="DH984" s="24" t="s">
        <v>138</v>
      </c>
      <c r="DI984" s="25" t="s">
        <v>138</v>
      </c>
      <c r="DJ984" s="24" t="s">
        <v>138</v>
      </c>
      <c r="DK984" s="25" t="s">
        <v>138</v>
      </c>
      <c r="DL984" s="24" t="s">
        <v>138</v>
      </c>
      <c r="DM984" s="25" t="s">
        <v>138</v>
      </c>
      <c r="DN984" s="24" t="s">
        <v>138</v>
      </c>
      <c r="DO984" s="25" t="s">
        <v>138</v>
      </c>
      <c r="DP984" s="24" t="s">
        <v>138</v>
      </c>
      <c r="DQ984" s="24" t="s">
        <v>138</v>
      </c>
      <c r="DR984" s="26" t="s">
        <v>138</v>
      </c>
      <c r="DS984" s="23" t="s">
        <v>138</v>
      </c>
      <c r="DT984" s="24" t="s">
        <v>138</v>
      </c>
      <c r="DU984" s="26" t="s">
        <v>138</v>
      </c>
      <c r="DV984" s="23" t="s">
        <v>138</v>
      </c>
      <c r="DW984" s="24" t="s">
        <v>138</v>
      </c>
      <c r="DX984" s="27" t="s">
        <v>138</v>
      </c>
      <c r="DY984" s="23" t="s">
        <v>138</v>
      </c>
      <c r="DZ984" s="15" t="s">
        <v>178</v>
      </c>
      <c r="EA984" s="22">
        <v>43535</v>
      </c>
      <c r="EB984" s="17">
        <v>6500</v>
      </c>
      <c r="EC984" s="22">
        <v>43214</v>
      </c>
      <c r="ED984" s="15" t="s">
        <v>205</v>
      </c>
      <c r="EE984" s="14" t="str">
        <f>HYPERLINK("https://my.pitchbook.com?c=227056-78", "View company online")</f>
        <v>View company online</v>
      </c>
    </row>
    <row r="985" spans="1:135">
      <c r="A985" s="28" t="s">
        <v>19339</v>
      </c>
      <c r="B985" s="28" t="s">
        <v>19340</v>
      </c>
      <c r="C985" s="28" t="s">
        <v>138</v>
      </c>
      <c r="D985" s="28" t="s">
        <v>138</v>
      </c>
      <c r="E985" s="28" t="s">
        <v>138</v>
      </c>
      <c r="F985" s="28" t="s">
        <v>19339</v>
      </c>
      <c r="G985" s="28" t="s">
        <v>19341</v>
      </c>
      <c r="H985" s="28" t="s">
        <v>322</v>
      </c>
      <c r="I985" s="28" t="s">
        <v>323</v>
      </c>
      <c r="J985" s="28" t="s">
        <v>324</v>
      </c>
      <c r="K985" s="28" t="s">
        <v>17584</v>
      </c>
      <c r="L985" s="28" t="s">
        <v>415</v>
      </c>
      <c r="M985" s="28" t="s">
        <v>19342</v>
      </c>
      <c r="N985" s="28" t="s">
        <v>147</v>
      </c>
      <c r="O985" s="29">
        <v>1</v>
      </c>
      <c r="P985" s="28" t="s">
        <v>148</v>
      </c>
      <c r="Q985" s="28" t="s">
        <v>149</v>
      </c>
      <c r="R985" s="28" t="s">
        <v>174</v>
      </c>
      <c r="S985" s="28" t="s">
        <v>19343</v>
      </c>
      <c r="T985" s="30">
        <v>22</v>
      </c>
      <c r="U985" s="28" t="s">
        <v>19344</v>
      </c>
      <c r="V985" s="28" t="s">
        <v>138</v>
      </c>
      <c r="W985" s="28" t="s">
        <v>138</v>
      </c>
      <c r="X985" s="31">
        <v>2012</v>
      </c>
      <c r="Y985" s="28" t="s">
        <v>138</v>
      </c>
      <c r="Z985" s="28" t="s">
        <v>138</v>
      </c>
      <c r="AA985" s="28" t="s">
        <v>138</v>
      </c>
      <c r="AB985" s="32" t="s">
        <v>138</v>
      </c>
      <c r="AC985" s="32" t="s">
        <v>138</v>
      </c>
      <c r="AD985" s="32" t="s">
        <v>138</v>
      </c>
      <c r="AE985" s="32" t="s">
        <v>138</v>
      </c>
      <c r="AF985" s="32" t="s">
        <v>138</v>
      </c>
      <c r="AG985" s="28" t="s">
        <v>138</v>
      </c>
      <c r="AH985" s="32" t="s">
        <v>138</v>
      </c>
      <c r="AI985" s="32" t="s">
        <v>138</v>
      </c>
      <c r="AJ985" s="32" t="s">
        <v>138</v>
      </c>
      <c r="AK985" s="28" t="s">
        <v>19345</v>
      </c>
      <c r="AL985" s="28" t="s">
        <v>19346</v>
      </c>
      <c r="AM985" s="28" t="s">
        <v>304</v>
      </c>
      <c r="AN985" s="28" t="s">
        <v>19347</v>
      </c>
      <c r="AO985" s="28" t="s">
        <v>19348</v>
      </c>
      <c r="AP985" s="28" t="s">
        <v>4463</v>
      </c>
      <c r="AQ985" s="28" t="s">
        <v>4464</v>
      </c>
      <c r="AR985" s="28" t="s">
        <v>19349</v>
      </c>
      <c r="AS985" s="28" t="s">
        <v>4466</v>
      </c>
      <c r="AT985" s="28" t="s">
        <v>426</v>
      </c>
      <c r="AU985" s="28" t="s">
        <v>4467</v>
      </c>
      <c r="AV985" s="28" t="s">
        <v>162</v>
      </c>
      <c r="AW985" s="28" t="s">
        <v>19348</v>
      </c>
      <c r="AX985" s="28" t="s">
        <v>138</v>
      </c>
      <c r="AY985" s="28" t="s">
        <v>19350</v>
      </c>
      <c r="AZ985" s="28" t="s">
        <v>164</v>
      </c>
      <c r="BA985" s="28" t="s">
        <v>165</v>
      </c>
      <c r="BB985" s="28" t="s">
        <v>19351</v>
      </c>
      <c r="BC985" s="28" t="s">
        <v>19352</v>
      </c>
      <c r="BD985" s="33">
        <v>17</v>
      </c>
      <c r="BE985" s="28" t="s">
        <v>138</v>
      </c>
      <c r="BF985" s="28" t="s">
        <v>138</v>
      </c>
      <c r="BG985" s="28" t="s">
        <v>138</v>
      </c>
      <c r="BH985" s="28" t="s">
        <v>19353</v>
      </c>
      <c r="BI985" s="28" t="s">
        <v>138</v>
      </c>
      <c r="BJ985" s="28" t="s">
        <v>138</v>
      </c>
      <c r="BK985" s="28" t="s">
        <v>138</v>
      </c>
      <c r="BL985" s="28" t="s">
        <v>138</v>
      </c>
      <c r="BM985" s="34" t="s">
        <v>138</v>
      </c>
      <c r="BN985" s="29" t="s">
        <v>138</v>
      </c>
      <c r="BO985" s="28" t="s">
        <v>138</v>
      </c>
      <c r="BP985" s="29" t="s">
        <v>138</v>
      </c>
      <c r="BQ985" s="28" t="s">
        <v>138</v>
      </c>
      <c r="BR985" s="28" t="s">
        <v>316</v>
      </c>
      <c r="BS985" s="28" t="s">
        <v>138</v>
      </c>
      <c r="BT985" s="28" t="s">
        <v>138</v>
      </c>
      <c r="BU985" s="28" t="s">
        <v>177</v>
      </c>
      <c r="BV985" s="28" t="s">
        <v>138</v>
      </c>
      <c r="BW985" s="28" t="s">
        <v>138</v>
      </c>
      <c r="BX985" s="28" t="s">
        <v>138</v>
      </c>
      <c r="BY985" s="28" t="s">
        <v>175</v>
      </c>
      <c r="BZ985" s="34">
        <v>42072</v>
      </c>
      <c r="CA985" s="29" t="s">
        <v>138</v>
      </c>
      <c r="CB985" s="28" t="s">
        <v>138</v>
      </c>
      <c r="CC985" s="29" t="s">
        <v>138</v>
      </c>
      <c r="CD985" s="28" t="s">
        <v>138</v>
      </c>
      <c r="CE985" s="28" t="s">
        <v>205</v>
      </c>
      <c r="CF985" s="28" t="s">
        <v>138</v>
      </c>
      <c r="CG985" s="28" t="s">
        <v>138</v>
      </c>
      <c r="CH985" s="28" t="s">
        <v>174</v>
      </c>
      <c r="CI985" s="28" t="s">
        <v>264</v>
      </c>
      <c r="CJ985" s="28" t="s">
        <v>138</v>
      </c>
      <c r="CK985" s="28" t="s">
        <v>138</v>
      </c>
      <c r="CL985" s="28" t="s">
        <v>175</v>
      </c>
      <c r="CM985" s="34" t="s">
        <v>138</v>
      </c>
      <c r="CN985" s="29" t="s">
        <v>138</v>
      </c>
      <c r="CO985" s="35">
        <v>-0.25</v>
      </c>
      <c r="CP985" s="36">
        <v>19</v>
      </c>
      <c r="CQ985" s="35">
        <v>-0.02</v>
      </c>
      <c r="CR985" s="35">
        <v>-8.64</v>
      </c>
      <c r="CS985" s="35">
        <v>-0.5</v>
      </c>
      <c r="CT985" s="36">
        <v>19</v>
      </c>
      <c r="CU985" s="35">
        <v>-0.01</v>
      </c>
      <c r="CV985" s="36">
        <v>20</v>
      </c>
      <c r="CW985" s="35">
        <v>0.53</v>
      </c>
      <c r="CX985" s="36">
        <v>83</v>
      </c>
      <c r="CY985" s="35">
        <v>-1.54</v>
      </c>
      <c r="CZ985" s="36">
        <v>14</v>
      </c>
      <c r="DA985" s="35">
        <v>-0.01</v>
      </c>
      <c r="DB985" s="36">
        <v>21</v>
      </c>
      <c r="DC985" s="37">
        <v>35.299999999999997</v>
      </c>
      <c r="DD985" s="36">
        <v>97</v>
      </c>
      <c r="DE985" s="37">
        <v>-2.17</v>
      </c>
      <c r="DF985" s="35">
        <v>-5.79</v>
      </c>
      <c r="DG985" s="37">
        <v>37.450000000000003</v>
      </c>
      <c r="DH985" s="36">
        <v>97</v>
      </c>
      <c r="DI985" s="37">
        <v>33.15</v>
      </c>
      <c r="DJ985" s="36">
        <v>93</v>
      </c>
      <c r="DK985" s="37">
        <v>69.73</v>
      </c>
      <c r="DL985" s="36">
        <v>97</v>
      </c>
      <c r="DM985" s="37">
        <v>5.17</v>
      </c>
      <c r="DN985" s="36">
        <v>82</v>
      </c>
      <c r="DO985" s="37">
        <v>33.15</v>
      </c>
      <c r="DP985" s="36">
        <v>95</v>
      </c>
      <c r="DQ985" s="36">
        <v>23790</v>
      </c>
      <c r="DR985" s="38">
        <v>375</v>
      </c>
      <c r="DS985" s="35">
        <v>1.6</v>
      </c>
      <c r="DT985" s="36">
        <v>150</v>
      </c>
      <c r="DU985" s="38">
        <v>-2</v>
      </c>
      <c r="DV985" s="35">
        <v>-1.32</v>
      </c>
      <c r="DW985" s="36">
        <v>11870</v>
      </c>
      <c r="DX985" s="39">
        <v>-3</v>
      </c>
      <c r="DY985" s="35">
        <v>-0.03</v>
      </c>
      <c r="DZ985" s="28" t="s">
        <v>178</v>
      </c>
      <c r="EA985" s="34">
        <v>43381</v>
      </c>
      <c r="EB985" s="29" t="s">
        <v>138</v>
      </c>
      <c r="EC985" s="34" t="s">
        <v>138</v>
      </c>
      <c r="ED985" s="28" t="s">
        <v>138</v>
      </c>
      <c r="EE985" s="40" t="str">
        <f>HYPERLINK("https://my.pitchbook.com?c=58047-04", "View company online")</f>
        <v>View company online</v>
      </c>
    </row>
    <row r="986" spans="1:135">
      <c r="A986" s="15" t="s">
        <v>19354</v>
      </c>
      <c r="B986" s="15" t="s">
        <v>19355</v>
      </c>
      <c r="C986" s="15" t="s">
        <v>138</v>
      </c>
      <c r="D986" s="15" t="s">
        <v>138</v>
      </c>
      <c r="E986" s="15" t="s">
        <v>19356</v>
      </c>
      <c r="F986" s="15" t="s">
        <v>19354</v>
      </c>
      <c r="G986" s="15" t="s">
        <v>19357</v>
      </c>
      <c r="H986" s="15" t="s">
        <v>322</v>
      </c>
      <c r="I986" s="15" t="s">
        <v>323</v>
      </c>
      <c r="J986" s="15" t="s">
        <v>1184</v>
      </c>
      <c r="K986" s="15" t="s">
        <v>6678</v>
      </c>
      <c r="L986" s="15" t="s">
        <v>415</v>
      </c>
      <c r="M986" s="15" t="s">
        <v>19358</v>
      </c>
      <c r="N986" s="15" t="s">
        <v>1452</v>
      </c>
      <c r="O986" s="17">
        <v>1.22</v>
      </c>
      <c r="P986" s="15" t="s">
        <v>812</v>
      </c>
      <c r="Q986" s="15" t="s">
        <v>149</v>
      </c>
      <c r="R986" s="15" t="s">
        <v>328</v>
      </c>
      <c r="S986" s="15" t="s">
        <v>19359</v>
      </c>
      <c r="T986" s="18">
        <v>70</v>
      </c>
      <c r="U986" s="15" t="s">
        <v>19360</v>
      </c>
      <c r="V986" s="15" t="s">
        <v>138</v>
      </c>
      <c r="W986" s="15" t="s">
        <v>138</v>
      </c>
      <c r="X986" s="19">
        <v>2010</v>
      </c>
      <c r="Y986" s="15" t="s">
        <v>138</v>
      </c>
      <c r="Z986" s="15" t="s">
        <v>138</v>
      </c>
      <c r="AA986" s="15" t="s">
        <v>19361</v>
      </c>
      <c r="AB986" s="20" t="s">
        <v>138</v>
      </c>
      <c r="AC986" s="20" t="s">
        <v>138</v>
      </c>
      <c r="AD986" s="20" t="s">
        <v>138</v>
      </c>
      <c r="AE986" s="20" t="s">
        <v>138</v>
      </c>
      <c r="AF986" s="20" t="s">
        <v>138</v>
      </c>
      <c r="AG986" s="15" t="s">
        <v>138</v>
      </c>
      <c r="AH986" s="20" t="s">
        <v>138</v>
      </c>
      <c r="AI986" s="20" t="s">
        <v>138</v>
      </c>
      <c r="AJ986" s="20" t="s">
        <v>138</v>
      </c>
      <c r="AK986" s="15" t="s">
        <v>19362</v>
      </c>
      <c r="AL986" s="15" t="s">
        <v>19363</v>
      </c>
      <c r="AM986" s="15" t="s">
        <v>19364</v>
      </c>
      <c r="AN986" s="15" t="s">
        <v>19365</v>
      </c>
      <c r="AO986" s="15" t="s">
        <v>138</v>
      </c>
      <c r="AP986" s="15" t="s">
        <v>19366</v>
      </c>
      <c r="AQ986" s="15" t="s">
        <v>19367</v>
      </c>
      <c r="AR986" s="15" t="s">
        <v>19368</v>
      </c>
      <c r="AS986" s="15" t="s">
        <v>19369</v>
      </c>
      <c r="AT986" s="15" t="s">
        <v>474</v>
      </c>
      <c r="AU986" s="15" t="s">
        <v>19370</v>
      </c>
      <c r="AV986" s="15" t="s">
        <v>162</v>
      </c>
      <c r="AW986" s="15" t="s">
        <v>138</v>
      </c>
      <c r="AX986" s="15" t="s">
        <v>138</v>
      </c>
      <c r="AY986" s="15" t="s">
        <v>138</v>
      </c>
      <c r="AZ986" s="15" t="s">
        <v>164</v>
      </c>
      <c r="BA986" s="15" t="s">
        <v>165</v>
      </c>
      <c r="BB986" s="15" t="s">
        <v>19371</v>
      </c>
      <c r="BC986" s="15" t="s">
        <v>19372</v>
      </c>
      <c r="BD986" s="21">
        <v>3</v>
      </c>
      <c r="BE986" s="15" t="s">
        <v>138</v>
      </c>
      <c r="BF986" s="15" t="s">
        <v>19373</v>
      </c>
      <c r="BG986" s="15" t="s">
        <v>138</v>
      </c>
      <c r="BH986" s="15" t="s">
        <v>19374</v>
      </c>
      <c r="BI986" s="15" t="s">
        <v>19375</v>
      </c>
      <c r="BJ986" s="15" t="s">
        <v>138</v>
      </c>
      <c r="BK986" s="15" t="s">
        <v>138</v>
      </c>
      <c r="BL986" s="15" t="s">
        <v>19376</v>
      </c>
      <c r="BM986" s="22">
        <v>40210</v>
      </c>
      <c r="BN986" s="17" t="s">
        <v>138</v>
      </c>
      <c r="BO986" s="15" t="s">
        <v>138</v>
      </c>
      <c r="BP986" s="17" t="s">
        <v>138</v>
      </c>
      <c r="BQ986" s="15" t="s">
        <v>138</v>
      </c>
      <c r="BR986" s="15" t="s">
        <v>234</v>
      </c>
      <c r="BS986" s="15" t="s">
        <v>234</v>
      </c>
      <c r="BT986" s="15" t="s">
        <v>138</v>
      </c>
      <c r="BU986" s="15" t="s">
        <v>174</v>
      </c>
      <c r="BV986" s="15" t="s">
        <v>138</v>
      </c>
      <c r="BW986" s="15" t="s">
        <v>138</v>
      </c>
      <c r="BX986" s="15" t="s">
        <v>138</v>
      </c>
      <c r="BY986" s="15" t="s">
        <v>175</v>
      </c>
      <c r="BZ986" s="22">
        <v>43550</v>
      </c>
      <c r="CA986" s="17" t="s">
        <v>138</v>
      </c>
      <c r="CB986" s="15" t="s">
        <v>138</v>
      </c>
      <c r="CC986" s="17" t="s">
        <v>138</v>
      </c>
      <c r="CD986" s="15" t="s">
        <v>138</v>
      </c>
      <c r="CE986" s="15" t="s">
        <v>349</v>
      </c>
      <c r="CF986" s="15" t="s">
        <v>1495</v>
      </c>
      <c r="CG986" s="15" t="s">
        <v>138</v>
      </c>
      <c r="CH986" s="15" t="s">
        <v>351</v>
      </c>
      <c r="CI986" s="15" t="s">
        <v>1497</v>
      </c>
      <c r="CJ986" s="15" t="s">
        <v>1498</v>
      </c>
      <c r="CK986" s="15" t="s">
        <v>138</v>
      </c>
      <c r="CL986" s="15" t="s">
        <v>175</v>
      </c>
      <c r="CM986" s="22">
        <v>43550</v>
      </c>
      <c r="CN986" s="17">
        <v>19.22</v>
      </c>
      <c r="CO986" s="23">
        <v>0.08</v>
      </c>
      <c r="CP986" s="24">
        <v>89</v>
      </c>
      <c r="CQ986" s="23">
        <v>0</v>
      </c>
      <c r="CR986" s="23">
        <v>3.69</v>
      </c>
      <c r="CS986" s="23">
        <v>0.08</v>
      </c>
      <c r="CT986" s="24">
        <v>94</v>
      </c>
      <c r="CU986" s="23">
        <v>0.08</v>
      </c>
      <c r="CV986" s="24">
        <v>64</v>
      </c>
      <c r="CW986" s="23">
        <v>0.08</v>
      </c>
      <c r="CX986" s="24">
        <v>80</v>
      </c>
      <c r="CY986" s="23" t="s">
        <v>138</v>
      </c>
      <c r="CZ986" s="24" t="s">
        <v>138</v>
      </c>
      <c r="DA986" s="23">
        <v>0.16</v>
      </c>
      <c r="DB986" s="24">
        <v>79</v>
      </c>
      <c r="DC986" s="25">
        <v>95.54</v>
      </c>
      <c r="DD986" s="24">
        <v>99</v>
      </c>
      <c r="DE986" s="25">
        <v>-11.56</v>
      </c>
      <c r="DF986" s="23">
        <v>-10.79</v>
      </c>
      <c r="DG986" s="25">
        <v>180.52</v>
      </c>
      <c r="DH986" s="24">
        <v>100</v>
      </c>
      <c r="DI986" s="25">
        <v>10.57</v>
      </c>
      <c r="DJ986" s="24">
        <v>86</v>
      </c>
      <c r="DK986" s="25">
        <v>180.52</v>
      </c>
      <c r="DL986" s="24">
        <v>99</v>
      </c>
      <c r="DM986" s="25" t="s">
        <v>138</v>
      </c>
      <c r="DN986" s="24" t="s">
        <v>138</v>
      </c>
      <c r="DO986" s="25">
        <v>12.5</v>
      </c>
      <c r="DP986" s="24">
        <v>89</v>
      </c>
      <c r="DQ986" s="24">
        <v>61893</v>
      </c>
      <c r="DR986" s="26">
        <v>70</v>
      </c>
      <c r="DS986" s="23">
        <v>0.11</v>
      </c>
      <c r="DT986" s="24" t="s">
        <v>138</v>
      </c>
      <c r="DU986" s="26" t="s">
        <v>138</v>
      </c>
      <c r="DV986" s="23" t="s">
        <v>138</v>
      </c>
      <c r="DW986" s="24">
        <v>4471</v>
      </c>
      <c r="DX986" s="27">
        <v>10</v>
      </c>
      <c r="DY986" s="23">
        <v>0.22</v>
      </c>
      <c r="DZ986" s="15" t="s">
        <v>178</v>
      </c>
      <c r="EA986" s="22">
        <v>43614</v>
      </c>
      <c r="EB986" s="17">
        <v>50</v>
      </c>
      <c r="EC986" s="22">
        <v>42788</v>
      </c>
      <c r="ED986" s="15" t="s">
        <v>349</v>
      </c>
      <c r="EE986" s="14" t="str">
        <f>HYPERLINK("https://my.pitchbook.com?c=55090-18", "View company online")</f>
        <v>View company online</v>
      </c>
    </row>
    <row r="987" spans="1:135">
      <c r="A987" s="28" t="s">
        <v>19377</v>
      </c>
      <c r="B987" s="28" t="s">
        <v>19378</v>
      </c>
      <c r="C987" s="28" t="s">
        <v>138</v>
      </c>
      <c r="D987" s="28" t="s">
        <v>138</v>
      </c>
      <c r="E987" s="28" t="s">
        <v>138</v>
      </c>
      <c r="F987" s="28" t="s">
        <v>19377</v>
      </c>
      <c r="G987" s="28" t="s">
        <v>19379</v>
      </c>
      <c r="H987" s="28" t="s">
        <v>183</v>
      </c>
      <c r="I987" s="28" t="s">
        <v>184</v>
      </c>
      <c r="J987" s="28" t="s">
        <v>185</v>
      </c>
      <c r="K987" s="28" t="s">
        <v>19380</v>
      </c>
      <c r="L987" s="28" t="s">
        <v>4684</v>
      </c>
      <c r="M987" s="28" t="s">
        <v>19381</v>
      </c>
      <c r="N987" s="28" t="s">
        <v>147</v>
      </c>
      <c r="O987" s="29">
        <v>25.15</v>
      </c>
      <c r="P987" s="28" t="s">
        <v>610</v>
      </c>
      <c r="Q987" s="28" t="s">
        <v>149</v>
      </c>
      <c r="R987" s="28" t="s">
        <v>174</v>
      </c>
      <c r="S987" s="28" t="s">
        <v>19382</v>
      </c>
      <c r="T987" s="30">
        <v>8</v>
      </c>
      <c r="U987" s="28" t="s">
        <v>19383</v>
      </c>
      <c r="V987" s="28" t="s">
        <v>138</v>
      </c>
      <c r="W987" s="28" t="s">
        <v>138</v>
      </c>
      <c r="X987" s="31">
        <v>2014</v>
      </c>
      <c r="Y987" s="28" t="s">
        <v>138</v>
      </c>
      <c r="Z987" s="28" t="s">
        <v>138</v>
      </c>
      <c r="AA987" s="28" t="s">
        <v>138</v>
      </c>
      <c r="AB987" s="32" t="s">
        <v>138</v>
      </c>
      <c r="AC987" s="32" t="s">
        <v>138</v>
      </c>
      <c r="AD987" s="32" t="s">
        <v>138</v>
      </c>
      <c r="AE987" s="32" t="s">
        <v>138</v>
      </c>
      <c r="AF987" s="32" t="s">
        <v>138</v>
      </c>
      <c r="AG987" s="28" t="s">
        <v>138</v>
      </c>
      <c r="AH987" s="32" t="s">
        <v>138</v>
      </c>
      <c r="AI987" s="32" t="s">
        <v>138</v>
      </c>
      <c r="AJ987" s="32" t="s">
        <v>138</v>
      </c>
      <c r="AK987" s="28" t="s">
        <v>19384</v>
      </c>
      <c r="AL987" s="28" t="s">
        <v>19385</v>
      </c>
      <c r="AM987" s="28" t="s">
        <v>221</v>
      </c>
      <c r="AN987" s="28" t="s">
        <v>19386</v>
      </c>
      <c r="AO987" s="28" t="s">
        <v>19387</v>
      </c>
      <c r="AP987" s="28" t="s">
        <v>9761</v>
      </c>
      <c r="AQ987" s="28" t="s">
        <v>19388</v>
      </c>
      <c r="AR987" s="28" t="s">
        <v>1115</v>
      </c>
      <c r="AS987" s="28" t="s">
        <v>9763</v>
      </c>
      <c r="AT987" s="28" t="s">
        <v>200</v>
      </c>
      <c r="AU987" s="28" t="s">
        <v>9764</v>
      </c>
      <c r="AV987" s="28" t="s">
        <v>162</v>
      </c>
      <c r="AW987" s="28" t="s">
        <v>19389</v>
      </c>
      <c r="AX987" s="28" t="s">
        <v>138</v>
      </c>
      <c r="AY987" s="28" t="s">
        <v>19390</v>
      </c>
      <c r="AZ987" s="28" t="s">
        <v>164</v>
      </c>
      <c r="BA987" s="28" t="s">
        <v>165</v>
      </c>
      <c r="BB987" s="28" t="s">
        <v>19391</v>
      </c>
      <c r="BC987" s="28" t="s">
        <v>19392</v>
      </c>
      <c r="BD987" s="33">
        <v>20</v>
      </c>
      <c r="BE987" s="28" t="s">
        <v>138</v>
      </c>
      <c r="BF987" s="28" t="s">
        <v>138</v>
      </c>
      <c r="BG987" s="28" t="s">
        <v>138</v>
      </c>
      <c r="BH987" s="28" t="s">
        <v>19393</v>
      </c>
      <c r="BI987" s="28" t="s">
        <v>138</v>
      </c>
      <c r="BJ987" s="28" t="s">
        <v>138</v>
      </c>
      <c r="BK987" s="28" t="s">
        <v>290</v>
      </c>
      <c r="BL987" s="28" t="s">
        <v>290</v>
      </c>
      <c r="BM987" s="34" t="s">
        <v>138</v>
      </c>
      <c r="BN987" s="29">
        <v>12</v>
      </c>
      <c r="BO987" s="28" t="s">
        <v>1178</v>
      </c>
      <c r="BP987" s="29" t="s">
        <v>138</v>
      </c>
      <c r="BQ987" s="28" t="s">
        <v>138</v>
      </c>
      <c r="BR987" s="28" t="s">
        <v>176</v>
      </c>
      <c r="BS987" s="28" t="s">
        <v>138</v>
      </c>
      <c r="BT987" s="28" t="s">
        <v>138</v>
      </c>
      <c r="BU987" s="28" t="s">
        <v>177</v>
      </c>
      <c r="BV987" s="28" t="s">
        <v>138</v>
      </c>
      <c r="BW987" s="28" t="s">
        <v>138</v>
      </c>
      <c r="BX987" s="28" t="s">
        <v>138</v>
      </c>
      <c r="BY987" s="28" t="s">
        <v>175</v>
      </c>
      <c r="BZ987" s="34">
        <v>43445</v>
      </c>
      <c r="CA987" s="29">
        <v>21</v>
      </c>
      <c r="CB987" s="28" t="s">
        <v>1178</v>
      </c>
      <c r="CC987" s="29">
        <v>50</v>
      </c>
      <c r="CD987" s="28" t="s">
        <v>172</v>
      </c>
      <c r="CE987" s="28" t="s">
        <v>205</v>
      </c>
      <c r="CF987" s="28" t="s">
        <v>206</v>
      </c>
      <c r="CG987" s="28" t="s">
        <v>138</v>
      </c>
      <c r="CH987" s="28" t="s">
        <v>174</v>
      </c>
      <c r="CI987" s="28" t="s">
        <v>138</v>
      </c>
      <c r="CJ987" s="28" t="s">
        <v>138</v>
      </c>
      <c r="CK987" s="28" t="s">
        <v>138</v>
      </c>
      <c r="CL987" s="28" t="s">
        <v>175</v>
      </c>
      <c r="CM987" s="34" t="s">
        <v>138</v>
      </c>
      <c r="CN987" s="29" t="s">
        <v>138</v>
      </c>
      <c r="CO987" s="35">
        <v>0.18</v>
      </c>
      <c r="CP987" s="36">
        <v>92</v>
      </c>
      <c r="CQ987" s="35">
        <v>-0.02</v>
      </c>
      <c r="CR987" s="35">
        <v>-10.51</v>
      </c>
      <c r="CS987" s="35">
        <v>0</v>
      </c>
      <c r="CT987" s="36">
        <v>23</v>
      </c>
      <c r="CU987" s="35">
        <v>0.37</v>
      </c>
      <c r="CV987" s="36">
        <v>90</v>
      </c>
      <c r="CW987" s="35">
        <v>0</v>
      </c>
      <c r="CX987" s="36">
        <v>13</v>
      </c>
      <c r="CY987" s="35">
        <v>0</v>
      </c>
      <c r="CZ987" s="36">
        <v>25</v>
      </c>
      <c r="DA987" s="35">
        <v>0.74</v>
      </c>
      <c r="DB987" s="36">
        <v>97</v>
      </c>
      <c r="DC987" s="37">
        <v>1.52</v>
      </c>
      <c r="DD987" s="36">
        <v>61</v>
      </c>
      <c r="DE987" s="37">
        <v>-0.06</v>
      </c>
      <c r="DF987" s="35">
        <v>-4.01</v>
      </c>
      <c r="DG987" s="37">
        <v>2.77</v>
      </c>
      <c r="DH987" s="36">
        <v>73</v>
      </c>
      <c r="DI987" s="37">
        <v>0.27</v>
      </c>
      <c r="DJ987" s="36">
        <v>26</v>
      </c>
      <c r="DK987" s="37">
        <v>2.6</v>
      </c>
      <c r="DL987" s="36">
        <v>69</v>
      </c>
      <c r="DM987" s="37">
        <v>2.93</v>
      </c>
      <c r="DN987" s="36">
        <v>73</v>
      </c>
      <c r="DO987" s="37">
        <v>0.5</v>
      </c>
      <c r="DP987" s="36">
        <v>38</v>
      </c>
      <c r="DQ987" s="36">
        <v>860</v>
      </c>
      <c r="DR987" s="38">
        <v>93</v>
      </c>
      <c r="DS987" s="35">
        <v>12.13</v>
      </c>
      <c r="DT987" s="36">
        <v>84</v>
      </c>
      <c r="DU987" s="38">
        <v>1</v>
      </c>
      <c r="DV987" s="35">
        <v>1.2</v>
      </c>
      <c r="DW987" s="36">
        <v>176</v>
      </c>
      <c r="DX987" s="39">
        <v>2</v>
      </c>
      <c r="DY987" s="35">
        <v>1.1499999999999999</v>
      </c>
      <c r="DZ987" s="28" t="s">
        <v>178</v>
      </c>
      <c r="EA987" s="34">
        <v>43599</v>
      </c>
      <c r="EB987" s="29">
        <v>50</v>
      </c>
      <c r="EC987" s="34">
        <v>43445</v>
      </c>
      <c r="ED987" s="28" t="s">
        <v>205</v>
      </c>
      <c r="EE987" s="40" t="str">
        <f>HYPERLINK("https://my.pitchbook.com?c=102012-31", "View company online")</f>
        <v>View company online</v>
      </c>
    </row>
    <row r="988" spans="1:135">
      <c r="A988" s="15" t="s">
        <v>19394</v>
      </c>
      <c r="B988" s="15" t="s">
        <v>19395</v>
      </c>
      <c r="C988" s="15" t="s">
        <v>19396</v>
      </c>
      <c r="D988" s="15" t="s">
        <v>138</v>
      </c>
      <c r="E988" s="15" t="s">
        <v>19397</v>
      </c>
      <c r="F988" s="15" t="s">
        <v>19394</v>
      </c>
      <c r="G988" s="15" t="s">
        <v>19398</v>
      </c>
      <c r="H988" s="15" t="s">
        <v>322</v>
      </c>
      <c r="I988" s="15" t="s">
        <v>323</v>
      </c>
      <c r="J988" s="15" t="s">
        <v>539</v>
      </c>
      <c r="K988" s="15" t="s">
        <v>19399</v>
      </c>
      <c r="L988" s="15" t="s">
        <v>242</v>
      </c>
      <c r="M988" s="15" t="s">
        <v>19400</v>
      </c>
      <c r="N988" s="15" t="s">
        <v>147</v>
      </c>
      <c r="O988" s="17">
        <v>23</v>
      </c>
      <c r="P988" s="15" t="s">
        <v>148</v>
      </c>
      <c r="Q988" s="15" t="s">
        <v>149</v>
      </c>
      <c r="R988" s="15" t="s">
        <v>150</v>
      </c>
      <c r="S988" s="15" t="s">
        <v>19401</v>
      </c>
      <c r="T988" s="18">
        <v>75</v>
      </c>
      <c r="U988" s="15" t="s">
        <v>19402</v>
      </c>
      <c r="V988" s="15" t="s">
        <v>138</v>
      </c>
      <c r="W988" s="15" t="s">
        <v>138</v>
      </c>
      <c r="X988" s="19">
        <v>2009</v>
      </c>
      <c r="Y988" s="15" t="s">
        <v>138</v>
      </c>
      <c r="Z988" s="15" t="s">
        <v>138</v>
      </c>
      <c r="AA988" s="15" t="s">
        <v>138</v>
      </c>
      <c r="AB988" s="20" t="s">
        <v>138</v>
      </c>
      <c r="AC988" s="20" t="s">
        <v>138</v>
      </c>
      <c r="AD988" s="20" t="s">
        <v>138</v>
      </c>
      <c r="AE988" s="20" t="s">
        <v>138</v>
      </c>
      <c r="AF988" s="20" t="s">
        <v>138</v>
      </c>
      <c r="AG988" s="15" t="s">
        <v>138</v>
      </c>
      <c r="AH988" s="20" t="s">
        <v>138</v>
      </c>
      <c r="AI988" s="20" t="s">
        <v>138</v>
      </c>
      <c r="AJ988" s="20" t="s">
        <v>138</v>
      </c>
      <c r="AK988" s="15" t="s">
        <v>19403</v>
      </c>
      <c r="AL988" s="15" t="s">
        <v>19404</v>
      </c>
      <c r="AM988" s="15" t="s">
        <v>304</v>
      </c>
      <c r="AN988" s="15" t="s">
        <v>19405</v>
      </c>
      <c r="AO988" s="15" t="s">
        <v>19406</v>
      </c>
      <c r="AP988" s="15" t="s">
        <v>19407</v>
      </c>
      <c r="AQ988" s="15" t="s">
        <v>19408</v>
      </c>
      <c r="AR988" s="15" t="s">
        <v>19409</v>
      </c>
      <c r="AS988" s="15" t="s">
        <v>19410</v>
      </c>
      <c r="AT988" s="15" t="s">
        <v>138</v>
      </c>
      <c r="AU988" s="15" t="s">
        <v>19411</v>
      </c>
      <c r="AV988" s="15" t="s">
        <v>740</v>
      </c>
      <c r="AW988" s="15" t="s">
        <v>19406</v>
      </c>
      <c r="AX988" s="15" t="s">
        <v>19412</v>
      </c>
      <c r="AY988" s="15" t="s">
        <v>138</v>
      </c>
      <c r="AZ988" s="15" t="s">
        <v>742</v>
      </c>
      <c r="BA988" s="15" t="s">
        <v>742</v>
      </c>
      <c r="BB988" s="15" t="s">
        <v>19413</v>
      </c>
      <c r="BC988" s="15" t="s">
        <v>19414</v>
      </c>
      <c r="BD988" s="21">
        <v>10</v>
      </c>
      <c r="BE988" s="15" t="s">
        <v>138</v>
      </c>
      <c r="BF988" s="15" t="s">
        <v>138</v>
      </c>
      <c r="BG988" s="15" t="s">
        <v>138</v>
      </c>
      <c r="BH988" s="15" t="s">
        <v>19415</v>
      </c>
      <c r="BI988" s="15" t="s">
        <v>138</v>
      </c>
      <c r="BJ988" s="15" t="s">
        <v>138</v>
      </c>
      <c r="BK988" s="15" t="s">
        <v>138</v>
      </c>
      <c r="BL988" s="15" t="s">
        <v>138</v>
      </c>
      <c r="BM988" s="22">
        <v>40179</v>
      </c>
      <c r="BN988" s="17">
        <v>1</v>
      </c>
      <c r="BO988" s="15" t="s">
        <v>172</v>
      </c>
      <c r="BP988" s="17" t="s">
        <v>138</v>
      </c>
      <c r="BQ988" s="15" t="s">
        <v>138</v>
      </c>
      <c r="BR988" s="15" t="s">
        <v>205</v>
      </c>
      <c r="BS988" s="15" t="s">
        <v>206</v>
      </c>
      <c r="BT988" s="15" t="s">
        <v>138</v>
      </c>
      <c r="BU988" s="15" t="s">
        <v>174</v>
      </c>
      <c r="BV988" s="15" t="s">
        <v>138</v>
      </c>
      <c r="BW988" s="15" t="s">
        <v>138</v>
      </c>
      <c r="BX988" s="15" t="s">
        <v>138</v>
      </c>
      <c r="BY988" s="15" t="s">
        <v>175</v>
      </c>
      <c r="BZ988" s="22">
        <v>43570</v>
      </c>
      <c r="CA988" s="17">
        <v>200</v>
      </c>
      <c r="CB988" s="15" t="s">
        <v>172</v>
      </c>
      <c r="CC988" s="17">
        <v>200</v>
      </c>
      <c r="CD988" s="15" t="s">
        <v>1178</v>
      </c>
      <c r="CE988" s="15" t="s">
        <v>2228</v>
      </c>
      <c r="CF988" s="15" t="s">
        <v>138</v>
      </c>
      <c r="CG988" s="15" t="s">
        <v>138</v>
      </c>
      <c r="CH988" s="15" t="s">
        <v>780</v>
      </c>
      <c r="CI988" s="15" t="s">
        <v>138</v>
      </c>
      <c r="CJ988" s="15" t="s">
        <v>138</v>
      </c>
      <c r="CK988" s="15" t="s">
        <v>138</v>
      </c>
      <c r="CL988" s="15" t="s">
        <v>352</v>
      </c>
      <c r="CM988" s="22" t="s">
        <v>138</v>
      </c>
      <c r="CN988" s="17" t="s">
        <v>138</v>
      </c>
      <c r="CO988" s="23">
        <v>-0.39</v>
      </c>
      <c r="CP988" s="24">
        <v>17</v>
      </c>
      <c r="CQ988" s="23">
        <v>-0.03</v>
      </c>
      <c r="CR988" s="23">
        <v>-8.91</v>
      </c>
      <c r="CS988" s="23">
        <v>-1.61</v>
      </c>
      <c r="CT988" s="24">
        <v>11</v>
      </c>
      <c r="CU988" s="23">
        <v>-0.02</v>
      </c>
      <c r="CV988" s="24">
        <v>17</v>
      </c>
      <c r="CW988" s="23">
        <v>-1.76</v>
      </c>
      <c r="CX988" s="24">
        <v>8</v>
      </c>
      <c r="CY988" s="23">
        <v>-1.46</v>
      </c>
      <c r="CZ988" s="24">
        <v>15</v>
      </c>
      <c r="DA988" s="23">
        <v>-0.02</v>
      </c>
      <c r="DB988" s="24">
        <v>19</v>
      </c>
      <c r="DC988" s="25">
        <v>625.02</v>
      </c>
      <c r="DD988" s="24">
        <v>100</v>
      </c>
      <c r="DE988" s="25">
        <v>20.74</v>
      </c>
      <c r="DF988" s="23">
        <v>3.43</v>
      </c>
      <c r="DG988" s="25">
        <v>249.62</v>
      </c>
      <c r="DH988" s="24">
        <v>100</v>
      </c>
      <c r="DI988" s="25">
        <v>80.75</v>
      </c>
      <c r="DJ988" s="24">
        <v>97</v>
      </c>
      <c r="DK988" s="25">
        <v>182.2</v>
      </c>
      <c r="DL988" s="24">
        <v>99</v>
      </c>
      <c r="DM988" s="25">
        <v>317.02999999999997</v>
      </c>
      <c r="DN988" s="24">
        <v>100</v>
      </c>
      <c r="DO988" s="25">
        <v>80.75</v>
      </c>
      <c r="DP988" s="24">
        <v>98</v>
      </c>
      <c r="DQ988" s="24">
        <v>63749</v>
      </c>
      <c r="DR988" s="26">
        <v>-3761</v>
      </c>
      <c r="DS988" s="23">
        <v>-5.57</v>
      </c>
      <c r="DT988" s="24">
        <v>9185</v>
      </c>
      <c r="DU988" s="26">
        <v>24</v>
      </c>
      <c r="DV988" s="23">
        <v>0.26</v>
      </c>
      <c r="DW988" s="24">
        <v>28912</v>
      </c>
      <c r="DX988" s="27">
        <v>-6</v>
      </c>
      <c r="DY988" s="23">
        <v>-0.02</v>
      </c>
      <c r="DZ988" s="15" t="s">
        <v>178</v>
      </c>
      <c r="EA988" s="22">
        <v>43573</v>
      </c>
      <c r="EB988" s="17">
        <v>200</v>
      </c>
      <c r="EC988" s="22">
        <v>43570</v>
      </c>
      <c r="ED988" s="15" t="s">
        <v>2228</v>
      </c>
      <c r="EE988" s="14" t="str">
        <f>HYPERLINK("https://my.pitchbook.com?c=52821-73", "View company online")</f>
        <v>View company online</v>
      </c>
    </row>
    <row r="989" spans="1:135">
      <c r="A989" s="28" t="s">
        <v>19416</v>
      </c>
      <c r="B989" s="28" t="s">
        <v>19417</v>
      </c>
      <c r="C989" s="28" t="s">
        <v>138</v>
      </c>
      <c r="D989" s="28" t="s">
        <v>138</v>
      </c>
      <c r="E989" s="28" t="s">
        <v>19418</v>
      </c>
      <c r="F989" s="28" t="s">
        <v>19416</v>
      </c>
      <c r="G989" s="28" t="s">
        <v>19419</v>
      </c>
      <c r="H989" s="28" t="s">
        <v>322</v>
      </c>
      <c r="I989" s="28" t="s">
        <v>323</v>
      </c>
      <c r="J989" s="28" t="s">
        <v>461</v>
      </c>
      <c r="K989" s="28" t="s">
        <v>462</v>
      </c>
      <c r="L989" s="28" t="s">
        <v>2210</v>
      </c>
      <c r="M989" s="28" t="s">
        <v>19420</v>
      </c>
      <c r="N989" s="28" t="s">
        <v>147</v>
      </c>
      <c r="O989" s="29">
        <v>9.9</v>
      </c>
      <c r="P989" s="28" t="s">
        <v>148</v>
      </c>
      <c r="Q989" s="28" t="s">
        <v>149</v>
      </c>
      <c r="R989" s="28" t="s">
        <v>174</v>
      </c>
      <c r="S989" s="28" t="s">
        <v>19421</v>
      </c>
      <c r="T989" s="30">
        <v>7</v>
      </c>
      <c r="U989" s="28" t="s">
        <v>5655</v>
      </c>
      <c r="V989" s="28" t="s">
        <v>138</v>
      </c>
      <c r="W989" s="28" t="s">
        <v>138</v>
      </c>
      <c r="X989" s="31">
        <v>2014</v>
      </c>
      <c r="Y989" s="28" t="s">
        <v>138</v>
      </c>
      <c r="Z989" s="28" t="s">
        <v>1163</v>
      </c>
      <c r="AA989" s="28" t="s">
        <v>1163</v>
      </c>
      <c r="AB989" s="32" t="s">
        <v>138</v>
      </c>
      <c r="AC989" s="32" t="s">
        <v>138</v>
      </c>
      <c r="AD989" s="32" t="s">
        <v>138</v>
      </c>
      <c r="AE989" s="32" t="s">
        <v>138</v>
      </c>
      <c r="AF989" s="32" t="s">
        <v>138</v>
      </c>
      <c r="AG989" s="28" t="s">
        <v>138</v>
      </c>
      <c r="AH989" s="32" t="s">
        <v>138</v>
      </c>
      <c r="AI989" s="32" t="s">
        <v>138</v>
      </c>
      <c r="AJ989" s="32" t="s">
        <v>138</v>
      </c>
      <c r="AK989" s="28" t="s">
        <v>19422</v>
      </c>
      <c r="AL989" s="28" t="s">
        <v>19423</v>
      </c>
      <c r="AM989" s="28" t="s">
        <v>304</v>
      </c>
      <c r="AN989" s="28" t="s">
        <v>19424</v>
      </c>
      <c r="AO989" s="28" t="s">
        <v>138</v>
      </c>
      <c r="AP989" s="28" t="s">
        <v>1244</v>
      </c>
      <c r="AQ989" s="28" t="s">
        <v>138</v>
      </c>
      <c r="AR989" s="28" t="s">
        <v>138</v>
      </c>
      <c r="AS989" s="28" t="s">
        <v>1246</v>
      </c>
      <c r="AT989" s="28" t="s">
        <v>200</v>
      </c>
      <c r="AU989" s="28" t="s">
        <v>844</v>
      </c>
      <c r="AV989" s="28" t="s">
        <v>162</v>
      </c>
      <c r="AW989" s="28" t="s">
        <v>138</v>
      </c>
      <c r="AX989" s="28" t="s">
        <v>138</v>
      </c>
      <c r="AY989" s="28" t="s">
        <v>19425</v>
      </c>
      <c r="AZ989" s="28" t="s">
        <v>164</v>
      </c>
      <c r="BA989" s="28" t="s">
        <v>165</v>
      </c>
      <c r="BB989" s="28" t="s">
        <v>19426</v>
      </c>
      <c r="BC989" s="28" t="s">
        <v>19427</v>
      </c>
      <c r="BD989" s="33">
        <v>11</v>
      </c>
      <c r="BE989" s="28" t="s">
        <v>138</v>
      </c>
      <c r="BF989" s="28" t="s">
        <v>138</v>
      </c>
      <c r="BG989" s="28" t="s">
        <v>138</v>
      </c>
      <c r="BH989" s="28" t="s">
        <v>19428</v>
      </c>
      <c r="BI989" s="28" t="s">
        <v>138</v>
      </c>
      <c r="BJ989" s="28" t="s">
        <v>138</v>
      </c>
      <c r="BK989" s="28" t="s">
        <v>1691</v>
      </c>
      <c r="BL989" s="28" t="s">
        <v>1691</v>
      </c>
      <c r="BM989" s="34">
        <v>42801</v>
      </c>
      <c r="BN989" s="29">
        <v>9.9</v>
      </c>
      <c r="BO989" s="28" t="s">
        <v>1178</v>
      </c>
      <c r="BP989" s="29">
        <v>24.75</v>
      </c>
      <c r="BQ989" s="28" t="s">
        <v>172</v>
      </c>
      <c r="BR989" s="28" t="s">
        <v>205</v>
      </c>
      <c r="BS989" s="28" t="s">
        <v>206</v>
      </c>
      <c r="BT989" s="28" t="s">
        <v>138</v>
      </c>
      <c r="BU989" s="28" t="s">
        <v>174</v>
      </c>
      <c r="BV989" s="28" t="s">
        <v>138</v>
      </c>
      <c r="BW989" s="28" t="s">
        <v>138</v>
      </c>
      <c r="BX989" s="28" t="s">
        <v>138</v>
      </c>
      <c r="BY989" s="28" t="s">
        <v>175</v>
      </c>
      <c r="BZ989" s="34">
        <v>42801</v>
      </c>
      <c r="CA989" s="29">
        <v>9.9</v>
      </c>
      <c r="CB989" s="28" t="s">
        <v>1178</v>
      </c>
      <c r="CC989" s="29">
        <v>24.75</v>
      </c>
      <c r="CD989" s="28" t="s">
        <v>172</v>
      </c>
      <c r="CE989" s="28" t="s">
        <v>205</v>
      </c>
      <c r="CF989" s="28" t="s">
        <v>206</v>
      </c>
      <c r="CG989" s="28" t="s">
        <v>138</v>
      </c>
      <c r="CH989" s="28" t="s">
        <v>174</v>
      </c>
      <c r="CI989" s="28" t="s">
        <v>138</v>
      </c>
      <c r="CJ989" s="28" t="s">
        <v>138</v>
      </c>
      <c r="CK989" s="28" t="s">
        <v>138</v>
      </c>
      <c r="CL989" s="28" t="s">
        <v>175</v>
      </c>
      <c r="CM989" s="34" t="s">
        <v>138</v>
      </c>
      <c r="CN989" s="29" t="s">
        <v>138</v>
      </c>
      <c r="CO989" s="35">
        <v>0.1</v>
      </c>
      <c r="CP989" s="36">
        <v>90</v>
      </c>
      <c r="CQ989" s="35">
        <v>-0.03</v>
      </c>
      <c r="CR989" s="35">
        <v>-26.13</v>
      </c>
      <c r="CS989" s="35">
        <v>0.25</v>
      </c>
      <c r="CT989" s="36">
        <v>95</v>
      </c>
      <c r="CU989" s="35">
        <v>-0.06</v>
      </c>
      <c r="CV989" s="36">
        <v>8</v>
      </c>
      <c r="CW989" s="35">
        <v>0</v>
      </c>
      <c r="CX989" s="36">
        <v>13</v>
      </c>
      <c r="CY989" s="35">
        <v>0.5</v>
      </c>
      <c r="CZ989" s="36">
        <v>98</v>
      </c>
      <c r="DA989" s="35">
        <v>-0.06</v>
      </c>
      <c r="DB989" s="36">
        <v>11</v>
      </c>
      <c r="DC989" s="37">
        <v>5.17</v>
      </c>
      <c r="DD989" s="36">
        <v>83</v>
      </c>
      <c r="DE989" s="37">
        <v>-0.03</v>
      </c>
      <c r="DF989" s="35">
        <v>-0.52</v>
      </c>
      <c r="DG989" s="37">
        <v>2.4</v>
      </c>
      <c r="DH989" s="36">
        <v>70</v>
      </c>
      <c r="DI989" s="37">
        <v>7.94</v>
      </c>
      <c r="DJ989" s="36">
        <v>83</v>
      </c>
      <c r="DK989" s="37">
        <v>1.22</v>
      </c>
      <c r="DL989" s="36">
        <v>54</v>
      </c>
      <c r="DM989" s="37">
        <v>3.59</v>
      </c>
      <c r="DN989" s="36">
        <v>76</v>
      </c>
      <c r="DO989" s="37">
        <v>7.94</v>
      </c>
      <c r="DP989" s="36">
        <v>85</v>
      </c>
      <c r="DQ989" s="36">
        <v>432</v>
      </c>
      <c r="DR989" s="38">
        <v>-46</v>
      </c>
      <c r="DS989" s="35">
        <v>-9.6199999999999992</v>
      </c>
      <c r="DT989" s="36">
        <v>104</v>
      </c>
      <c r="DU989" s="38">
        <v>-1</v>
      </c>
      <c r="DV989" s="35">
        <v>-0.95</v>
      </c>
      <c r="DW989" s="36">
        <v>2842</v>
      </c>
      <c r="DX989" s="39">
        <v>-1</v>
      </c>
      <c r="DY989" s="35">
        <v>-0.04</v>
      </c>
      <c r="DZ989" s="28" t="s">
        <v>178</v>
      </c>
      <c r="EA989" s="34">
        <v>43417</v>
      </c>
      <c r="EB989" s="29">
        <v>24.75</v>
      </c>
      <c r="EC989" s="34">
        <v>42801</v>
      </c>
      <c r="ED989" s="28" t="s">
        <v>205</v>
      </c>
      <c r="EE989" s="40" t="str">
        <f>HYPERLINK("https://my.pitchbook.com?c=122849-65", "View company online")</f>
        <v>View company online</v>
      </c>
    </row>
    <row r="990" spans="1:135">
      <c r="A990" s="15" t="s">
        <v>19429</v>
      </c>
      <c r="B990" s="15" t="s">
        <v>19430</v>
      </c>
      <c r="C990" s="15" t="s">
        <v>138</v>
      </c>
      <c r="D990" s="15" t="s">
        <v>138</v>
      </c>
      <c r="E990" s="15" t="s">
        <v>19431</v>
      </c>
      <c r="F990" s="15" t="s">
        <v>19429</v>
      </c>
      <c r="G990" s="15" t="s">
        <v>19432</v>
      </c>
      <c r="H990" s="15" t="s">
        <v>141</v>
      </c>
      <c r="I990" s="15" t="s">
        <v>142</v>
      </c>
      <c r="J990" s="15" t="s">
        <v>508</v>
      </c>
      <c r="K990" s="15" t="s">
        <v>19433</v>
      </c>
      <c r="L990" s="15" t="s">
        <v>16235</v>
      </c>
      <c r="M990" s="15" t="s">
        <v>19434</v>
      </c>
      <c r="N990" s="15" t="s">
        <v>1212</v>
      </c>
      <c r="O990" s="17">
        <v>24.84</v>
      </c>
      <c r="P990" s="15" t="s">
        <v>148</v>
      </c>
      <c r="Q990" s="15" t="s">
        <v>149</v>
      </c>
      <c r="R990" s="15" t="s">
        <v>174</v>
      </c>
      <c r="S990" s="15" t="s">
        <v>19435</v>
      </c>
      <c r="T990" s="18">
        <v>80</v>
      </c>
      <c r="U990" s="15" t="s">
        <v>19436</v>
      </c>
      <c r="V990" s="15" t="s">
        <v>138</v>
      </c>
      <c r="W990" s="15" t="s">
        <v>138</v>
      </c>
      <c r="X990" s="19">
        <v>2013</v>
      </c>
      <c r="Y990" s="15" t="s">
        <v>138</v>
      </c>
      <c r="Z990" s="15" t="s">
        <v>138</v>
      </c>
      <c r="AA990" s="15" t="s">
        <v>138</v>
      </c>
      <c r="AB990" s="20" t="s">
        <v>138</v>
      </c>
      <c r="AC990" s="20" t="s">
        <v>138</v>
      </c>
      <c r="AD990" s="20" t="s">
        <v>138</v>
      </c>
      <c r="AE990" s="20" t="s">
        <v>138</v>
      </c>
      <c r="AF990" s="20" t="s">
        <v>138</v>
      </c>
      <c r="AG990" s="15" t="s">
        <v>138</v>
      </c>
      <c r="AH990" s="20" t="s">
        <v>138</v>
      </c>
      <c r="AI990" s="20" t="s">
        <v>138</v>
      </c>
      <c r="AJ990" s="20" t="s">
        <v>138</v>
      </c>
      <c r="AK990" s="15" t="s">
        <v>19437</v>
      </c>
      <c r="AL990" s="15" t="s">
        <v>19438</v>
      </c>
      <c r="AM990" s="15" t="s">
        <v>1738</v>
      </c>
      <c r="AN990" s="15" t="s">
        <v>19439</v>
      </c>
      <c r="AO990" s="15" t="s">
        <v>19440</v>
      </c>
      <c r="AP990" s="15" t="s">
        <v>5718</v>
      </c>
      <c r="AQ990" s="15" t="s">
        <v>19441</v>
      </c>
      <c r="AR990" s="15" t="s">
        <v>138</v>
      </c>
      <c r="AS990" s="15" t="s">
        <v>5720</v>
      </c>
      <c r="AT990" s="15" t="s">
        <v>138</v>
      </c>
      <c r="AU990" s="15" t="s">
        <v>19442</v>
      </c>
      <c r="AV990" s="15" t="s">
        <v>946</v>
      </c>
      <c r="AW990" s="15" t="s">
        <v>19440</v>
      </c>
      <c r="AX990" s="15" t="s">
        <v>138</v>
      </c>
      <c r="AY990" s="15" t="s">
        <v>19443</v>
      </c>
      <c r="AZ990" s="15" t="s">
        <v>530</v>
      </c>
      <c r="BA990" s="15" t="s">
        <v>531</v>
      </c>
      <c r="BB990" s="15" t="s">
        <v>19444</v>
      </c>
      <c r="BC990" s="15" t="s">
        <v>19445</v>
      </c>
      <c r="BD990" s="21">
        <v>6</v>
      </c>
      <c r="BE990" s="15" t="s">
        <v>138</v>
      </c>
      <c r="BF990" s="15" t="s">
        <v>5725</v>
      </c>
      <c r="BG990" s="15" t="s">
        <v>138</v>
      </c>
      <c r="BH990" s="15" t="s">
        <v>19446</v>
      </c>
      <c r="BI990" s="15" t="s">
        <v>5727</v>
      </c>
      <c r="BJ990" s="15" t="s">
        <v>138</v>
      </c>
      <c r="BK990" s="15" t="s">
        <v>138</v>
      </c>
      <c r="BL990" s="15" t="s">
        <v>19447</v>
      </c>
      <c r="BM990" s="22">
        <v>41785</v>
      </c>
      <c r="BN990" s="17" t="s">
        <v>138</v>
      </c>
      <c r="BO990" s="15" t="s">
        <v>138</v>
      </c>
      <c r="BP990" s="17" t="s">
        <v>138</v>
      </c>
      <c r="BQ990" s="15" t="s">
        <v>138</v>
      </c>
      <c r="BR990" s="15" t="s">
        <v>234</v>
      </c>
      <c r="BS990" s="15" t="s">
        <v>234</v>
      </c>
      <c r="BT990" s="15" t="s">
        <v>138</v>
      </c>
      <c r="BU990" s="15" t="s">
        <v>174</v>
      </c>
      <c r="BV990" s="15" t="s">
        <v>138</v>
      </c>
      <c r="BW990" s="15" t="s">
        <v>138</v>
      </c>
      <c r="BX990" s="15" t="s">
        <v>138</v>
      </c>
      <c r="BY990" s="15" t="s">
        <v>175</v>
      </c>
      <c r="BZ990" s="22">
        <v>43158</v>
      </c>
      <c r="CA990" s="17">
        <v>24.84</v>
      </c>
      <c r="CB990" s="15" t="s">
        <v>172</v>
      </c>
      <c r="CC990" s="17" t="s">
        <v>138</v>
      </c>
      <c r="CD990" s="15" t="s">
        <v>138</v>
      </c>
      <c r="CE990" s="15" t="s">
        <v>780</v>
      </c>
      <c r="CF990" s="15" t="s">
        <v>780</v>
      </c>
      <c r="CG990" s="15" t="s">
        <v>138</v>
      </c>
      <c r="CH990" s="15" t="s">
        <v>780</v>
      </c>
      <c r="CI990" s="15" t="s">
        <v>138</v>
      </c>
      <c r="CJ990" s="15" t="s">
        <v>138</v>
      </c>
      <c r="CK990" s="15" t="s">
        <v>138</v>
      </c>
      <c r="CL990" s="15" t="s">
        <v>175</v>
      </c>
      <c r="CM990" s="22" t="s">
        <v>138</v>
      </c>
      <c r="CN990" s="17" t="s">
        <v>138</v>
      </c>
      <c r="CO990" s="23" t="s">
        <v>138</v>
      </c>
      <c r="CP990" s="24" t="s">
        <v>138</v>
      </c>
      <c r="CQ990" s="23" t="s">
        <v>138</v>
      </c>
      <c r="CR990" s="23" t="s">
        <v>138</v>
      </c>
      <c r="CS990" s="23" t="s">
        <v>138</v>
      </c>
      <c r="CT990" s="24" t="s">
        <v>138</v>
      </c>
      <c r="CU990" s="23" t="s">
        <v>138</v>
      </c>
      <c r="CV990" s="24" t="s">
        <v>138</v>
      </c>
      <c r="CW990" s="23" t="s">
        <v>138</v>
      </c>
      <c r="CX990" s="24" t="s">
        <v>138</v>
      </c>
      <c r="CY990" s="23" t="s">
        <v>138</v>
      </c>
      <c r="CZ990" s="24" t="s">
        <v>138</v>
      </c>
      <c r="DA990" s="23" t="s">
        <v>138</v>
      </c>
      <c r="DB990" s="24" t="s">
        <v>138</v>
      </c>
      <c r="DC990" s="25" t="s">
        <v>138</v>
      </c>
      <c r="DD990" s="24" t="s">
        <v>138</v>
      </c>
      <c r="DE990" s="25" t="s">
        <v>138</v>
      </c>
      <c r="DF990" s="23" t="s">
        <v>138</v>
      </c>
      <c r="DG990" s="25" t="s">
        <v>138</v>
      </c>
      <c r="DH990" s="24" t="s">
        <v>138</v>
      </c>
      <c r="DI990" s="25" t="s">
        <v>138</v>
      </c>
      <c r="DJ990" s="24" t="s">
        <v>138</v>
      </c>
      <c r="DK990" s="25" t="s">
        <v>138</v>
      </c>
      <c r="DL990" s="24" t="s">
        <v>138</v>
      </c>
      <c r="DM990" s="25" t="s">
        <v>138</v>
      </c>
      <c r="DN990" s="24" t="s">
        <v>138</v>
      </c>
      <c r="DO990" s="25" t="s">
        <v>138</v>
      </c>
      <c r="DP990" s="24" t="s">
        <v>138</v>
      </c>
      <c r="DQ990" s="24" t="s">
        <v>138</v>
      </c>
      <c r="DR990" s="26" t="s">
        <v>138</v>
      </c>
      <c r="DS990" s="23" t="s">
        <v>138</v>
      </c>
      <c r="DT990" s="24" t="s">
        <v>138</v>
      </c>
      <c r="DU990" s="26" t="s">
        <v>138</v>
      </c>
      <c r="DV990" s="23" t="s">
        <v>138</v>
      </c>
      <c r="DW990" s="24" t="s">
        <v>138</v>
      </c>
      <c r="DX990" s="27" t="s">
        <v>138</v>
      </c>
      <c r="DY990" s="23" t="s">
        <v>138</v>
      </c>
      <c r="DZ990" s="15" t="s">
        <v>178</v>
      </c>
      <c r="EA990" s="22">
        <v>43543</v>
      </c>
      <c r="EB990" s="17" t="s">
        <v>138</v>
      </c>
      <c r="EC990" s="22" t="s">
        <v>138</v>
      </c>
      <c r="ED990" s="15" t="s">
        <v>138</v>
      </c>
      <c r="EE990" s="14" t="str">
        <f>HYPERLINK("https://my.pitchbook.com?c=63482-95", "View company online")</f>
        <v>View company online</v>
      </c>
    </row>
    <row r="991" spans="1:135">
      <c r="A991" s="28" t="s">
        <v>19448</v>
      </c>
      <c r="B991" s="28" t="s">
        <v>19449</v>
      </c>
      <c r="C991" s="28" t="s">
        <v>19450</v>
      </c>
      <c r="D991" s="28" t="s">
        <v>138</v>
      </c>
      <c r="E991" s="28" t="s">
        <v>19451</v>
      </c>
      <c r="F991" s="28" t="s">
        <v>19448</v>
      </c>
      <c r="G991" s="28" t="s">
        <v>19452</v>
      </c>
      <c r="H991" s="28" t="s">
        <v>238</v>
      </c>
      <c r="I991" s="28" t="s">
        <v>749</v>
      </c>
      <c r="J991" s="28" t="s">
        <v>2855</v>
      </c>
      <c r="K991" s="28" t="s">
        <v>18613</v>
      </c>
      <c r="L991" s="28" t="s">
        <v>3285</v>
      </c>
      <c r="M991" s="28" t="s">
        <v>19453</v>
      </c>
      <c r="N991" s="28" t="s">
        <v>147</v>
      </c>
      <c r="O991" s="29">
        <v>128.32</v>
      </c>
      <c r="P991" s="28" t="s">
        <v>148</v>
      </c>
      <c r="Q991" s="28" t="s">
        <v>149</v>
      </c>
      <c r="R991" s="28" t="s">
        <v>244</v>
      </c>
      <c r="S991" s="28" t="s">
        <v>19454</v>
      </c>
      <c r="T991" s="30">
        <v>190</v>
      </c>
      <c r="U991" s="28" t="s">
        <v>19455</v>
      </c>
      <c r="V991" s="28" t="s">
        <v>138</v>
      </c>
      <c r="W991" s="28" t="s">
        <v>138</v>
      </c>
      <c r="X991" s="31">
        <v>2013</v>
      </c>
      <c r="Y991" s="28" t="s">
        <v>138</v>
      </c>
      <c r="Z991" s="28" t="s">
        <v>138</v>
      </c>
      <c r="AA991" s="28" t="s">
        <v>138</v>
      </c>
      <c r="AB991" s="32">
        <v>50</v>
      </c>
      <c r="AC991" s="32" t="s">
        <v>138</v>
      </c>
      <c r="AD991" s="32" t="s">
        <v>138</v>
      </c>
      <c r="AE991" s="32" t="s">
        <v>138</v>
      </c>
      <c r="AF991" s="32" t="s">
        <v>138</v>
      </c>
      <c r="AG991" s="28" t="s">
        <v>815</v>
      </c>
      <c r="AH991" s="32" t="s">
        <v>138</v>
      </c>
      <c r="AI991" s="32" t="s">
        <v>138</v>
      </c>
      <c r="AJ991" s="32" t="s">
        <v>138</v>
      </c>
      <c r="AK991" s="28" t="s">
        <v>19456</v>
      </c>
      <c r="AL991" s="28" t="s">
        <v>19457</v>
      </c>
      <c r="AM991" s="28" t="s">
        <v>5658</v>
      </c>
      <c r="AN991" s="28" t="s">
        <v>19458</v>
      </c>
      <c r="AO991" s="28" t="s">
        <v>19459</v>
      </c>
      <c r="AP991" s="28" t="s">
        <v>665</v>
      </c>
      <c r="AQ991" s="28" t="s">
        <v>19460</v>
      </c>
      <c r="AR991" s="28" t="s">
        <v>138</v>
      </c>
      <c r="AS991" s="28" t="s">
        <v>668</v>
      </c>
      <c r="AT991" s="28" t="s">
        <v>200</v>
      </c>
      <c r="AU991" s="28" t="s">
        <v>1723</v>
      </c>
      <c r="AV991" s="28" t="s">
        <v>162</v>
      </c>
      <c r="AW991" s="28" t="s">
        <v>19459</v>
      </c>
      <c r="AX991" s="28" t="s">
        <v>138</v>
      </c>
      <c r="AY991" s="28" t="s">
        <v>19461</v>
      </c>
      <c r="AZ991" s="28" t="s">
        <v>164</v>
      </c>
      <c r="BA991" s="28" t="s">
        <v>165</v>
      </c>
      <c r="BB991" s="28" t="s">
        <v>19462</v>
      </c>
      <c r="BC991" s="28" t="s">
        <v>19463</v>
      </c>
      <c r="BD991" s="33">
        <v>19</v>
      </c>
      <c r="BE991" s="28" t="s">
        <v>138</v>
      </c>
      <c r="BF991" s="28" t="s">
        <v>138</v>
      </c>
      <c r="BG991" s="28" t="s">
        <v>138</v>
      </c>
      <c r="BH991" s="28" t="s">
        <v>19464</v>
      </c>
      <c r="BI991" s="28" t="s">
        <v>138</v>
      </c>
      <c r="BJ991" s="28" t="s">
        <v>138</v>
      </c>
      <c r="BK991" s="28" t="s">
        <v>19465</v>
      </c>
      <c r="BL991" s="28" t="s">
        <v>19466</v>
      </c>
      <c r="BM991" s="34">
        <v>41498</v>
      </c>
      <c r="BN991" s="29">
        <v>4</v>
      </c>
      <c r="BO991" s="28" t="s">
        <v>172</v>
      </c>
      <c r="BP991" s="29">
        <v>12</v>
      </c>
      <c r="BQ991" s="28" t="s">
        <v>172</v>
      </c>
      <c r="BR991" s="28" t="s">
        <v>205</v>
      </c>
      <c r="BS991" s="28" t="s">
        <v>206</v>
      </c>
      <c r="BT991" s="28" t="s">
        <v>138</v>
      </c>
      <c r="BU991" s="28" t="s">
        <v>174</v>
      </c>
      <c r="BV991" s="28" t="s">
        <v>138</v>
      </c>
      <c r="BW991" s="28" t="s">
        <v>138</v>
      </c>
      <c r="BX991" s="28" t="s">
        <v>138</v>
      </c>
      <c r="BY991" s="28" t="s">
        <v>175</v>
      </c>
      <c r="BZ991" s="34">
        <v>43494</v>
      </c>
      <c r="CA991" s="29">
        <v>50.73</v>
      </c>
      <c r="CB991" s="28" t="s">
        <v>172</v>
      </c>
      <c r="CC991" s="29">
        <v>190.73</v>
      </c>
      <c r="CD991" s="28" t="s">
        <v>172</v>
      </c>
      <c r="CE991" s="28" t="s">
        <v>173</v>
      </c>
      <c r="CF991" s="28" t="s">
        <v>433</v>
      </c>
      <c r="CG991" s="28" t="s">
        <v>138</v>
      </c>
      <c r="CH991" s="28" t="s">
        <v>174</v>
      </c>
      <c r="CI991" s="28" t="s">
        <v>138</v>
      </c>
      <c r="CJ991" s="28" t="s">
        <v>138</v>
      </c>
      <c r="CK991" s="28" t="s">
        <v>138</v>
      </c>
      <c r="CL991" s="28" t="s">
        <v>175</v>
      </c>
      <c r="CM991" s="34">
        <v>42817</v>
      </c>
      <c r="CN991" s="29">
        <v>10</v>
      </c>
      <c r="CO991" s="35">
        <v>1.19</v>
      </c>
      <c r="CP991" s="36">
        <v>98</v>
      </c>
      <c r="CQ991" s="35">
        <v>0.02</v>
      </c>
      <c r="CR991" s="35">
        <v>1.34</v>
      </c>
      <c r="CS991" s="35">
        <v>1.47</v>
      </c>
      <c r="CT991" s="36">
        <v>97</v>
      </c>
      <c r="CU991" s="35">
        <v>7.0000000000000007E-2</v>
      </c>
      <c r="CV991" s="36">
        <v>62</v>
      </c>
      <c r="CW991" s="35">
        <v>1.47</v>
      </c>
      <c r="CX991" s="36">
        <v>86</v>
      </c>
      <c r="CY991" s="35" t="s">
        <v>138</v>
      </c>
      <c r="CZ991" s="36" t="s">
        <v>138</v>
      </c>
      <c r="DA991" s="35">
        <v>7.0000000000000007E-2</v>
      </c>
      <c r="DB991" s="36">
        <v>67</v>
      </c>
      <c r="DC991" s="37">
        <v>67.92</v>
      </c>
      <c r="DD991" s="36">
        <v>99</v>
      </c>
      <c r="DE991" s="37">
        <v>-8.1199999999999992</v>
      </c>
      <c r="DF991" s="35">
        <v>-10.68</v>
      </c>
      <c r="DG991" s="37">
        <v>255.45</v>
      </c>
      <c r="DH991" s="36">
        <v>100</v>
      </c>
      <c r="DI991" s="37">
        <v>11.81</v>
      </c>
      <c r="DJ991" s="36">
        <v>87</v>
      </c>
      <c r="DK991" s="37">
        <v>255.45</v>
      </c>
      <c r="DL991" s="36">
        <v>99</v>
      </c>
      <c r="DM991" s="37" t="s">
        <v>138</v>
      </c>
      <c r="DN991" s="36" t="s">
        <v>138</v>
      </c>
      <c r="DO991" s="37">
        <v>11.81</v>
      </c>
      <c r="DP991" s="36">
        <v>89</v>
      </c>
      <c r="DQ991" s="36">
        <v>85914</v>
      </c>
      <c r="DR991" s="38">
        <v>5118</v>
      </c>
      <c r="DS991" s="35">
        <v>6.33</v>
      </c>
      <c r="DT991" s="36" t="s">
        <v>138</v>
      </c>
      <c r="DU991" s="38" t="s">
        <v>138</v>
      </c>
      <c r="DV991" s="35" t="s">
        <v>138</v>
      </c>
      <c r="DW991" s="36">
        <v>4229</v>
      </c>
      <c r="DX991" s="39">
        <v>-1</v>
      </c>
      <c r="DY991" s="35">
        <v>-0.02</v>
      </c>
      <c r="DZ991" s="28" t="s">
        <v>178</v>
      </c>
      <c r="EA991" s="34">
        <v>43571</v>
      </c>
      <c r="EB991" s="29">
        <v>190.73</v>
      </c>
      <c r="EC991" s="34">
        <v>43494</v>
      </c>
      <c r="ED991" s="28" t="s">
        <v>173</v>
      </c>
      <c r="EE991" s="40" t="str">
        <f>HYPERLINK("https://my.pitchbook.com?c=56779-12", "View company online")</f>
        <v>View company online</v>
      </c>
    </row>
    <row r="992" spans="1:135">
      <c r="A992" s="15" t="s">
        <v>19467</v>
      </c>
      <c r="B992" s="15" t="s">
        <v>19468</v>
      </c>
      <c r="C992" s="15" t="s">
        <v>138</v>
      </c>
      <c r="D992" s="15" t="s">
        <v>138</v>
      </c>
      <c r="E992" s="15" t="s">
        <v>19469</v>
      </c>
      <c r="F992" s="15" t="s">
        <v>19467</v>
      </c>
      <c r="G992" s="15" t="s">
        <v>19470</v>
      </c>
      <c r="H992" s="15" t="s">
        <v>183</v>
      </c>
      <c r="I992" s="15" t="s">
        <v>725</v>
      </c>
      <c r="J992" s="15" t="s">
        <v>726</v>
      </c>
      <c r="K992" s="15" t="s">
        <v>19471</v>
      </c>
      <c r="L992" s="15" t="s">
        <v>19472</v>
      </c>
      <c r="M992" s="15" t="s">
        <v>19473</v>
      </c>
      <c r="N992" s="15" t="s">
        <v>147</v>
      </c>
      <c r="O992" s="17">
        <v>19.7</v>
      </c>
      <c r="P992" s="15" t="s">
        <v>148</v>
      </c>
      <c r="Q992" s="15" t="s">
        <v>149</v>
      </c>
      <c r="R992" s="15" t="s">
        <v>174</v>
      </c>
      <c r="S992" s="15" t="s">
        <v>19474</v>
      </c>
      <c r="T992" s="18">
        <v>17</v>
      </c>
      <c r="U992" s="15" t="s">
        <v>19475</v>
      </c>
      <c r="V992" s="15" t="s">
        <v>138</v>
      </c>
      <c r="W992" s="15" t="s">
        <v>138</v>
      </c>
      <c r="X992" s="19">
        <v>2012</v>
      </c>
      <c r="Y992" s="15" t="s">
        <v>138</v>
      </c>
      <c r="Z992" s="15" t="s">
        <v>138</v>
      </c>
      <c r="AA992" s="15" t="s">
        <v>138</v>
      </c>
      <c r="AB992" s="20" t="s">
        <v>138</v>
      </c>
      <c r="AC992" s="20" t="s">
        <v>138</v>
      </c>
      <c r="AD992" s="20" t="s">
        <v>138</v>
      </c>
      <c r="AE992" s="20" t="s">
        <v>138</v>
      </c>
      <c r="AF992" s="20" t="s">
        <v>138</v>
      </c>
      <c r="AG992" s="15" t="s">
        <v>138</v>
      </c>
      <c r="AH992" s="20" t="s">
        <v>138</v>
      </c>
      <c r="AI992" s="20" t="s">
        <v>138</v>
      </c>
      <c r="AJ992" s="20" t="s">
        <v>138</v>
      </c>
      <c r="AK992" s="15" t="s">
        <v>19476</v>
      </c>
      <c r="AL992" s="15" t="s">
        <v>19477</v>
      </c>
      <c r="AM992" s="15" t="s">
        <v>818</v>
      </c>
      <c r="AN992" s="15" t="s">
        <v>19478</v>
      </c>
      <c r="AO992" s="15" t="s">
        <v>19479</v>
      </c>
      <c r="AP992" s="15" t="s">
        <v>861</v>
      </c>
      <c r="AQ992" s="15" t="s">
        <v>19480</v>
      </c>
      <c r="AR992" s="15" t="s">
        <v>713</v>
      </c>
      <c r="AS992" s="15" t="s">
        <v>863</v>
      </c>
      <c r="AT992" s="15" t="s">
        <v>864</v>
      </c>
      <c r="AU992" s="15" t="s">
        <v>6944</v>
      </c>
      <c r="AV992" s="15" t="s">
        <v>162</v>
      </c>
      <c r="AW992" s="15" t="s">
        <v>19479</v>
      </c>
      <c r="AX992" s="15" t="s">
        <v>138</v>
      </c>
      <c r="AY992" s="15" t="s">
        <v>19481</v>
      </c>
      <c r="AZ992" s="15" t="s">
        <v>164</v>
      </c>
      <c r="BA992" s="15" t="s">
        <v>165</v>
      </c>
      <c r="BB992" s="15" t="s">
        <v>19482</v>
      </c>
      <c r="BC992" s="15" t="s">
        <v>19483</v>
      </c>
      <c r="BD992" s="21">
        <v>14</v>
      </c>
      <c r="BE992" s="15" t="s">
        <v>138</v>
      </c>
      <c r="BF992" s="15" t="s">
        <v>138</v>
      </c>
      <c r="BG992" s="15" t="s">
        <v>138</v>
      </c>
      <c r="BH992" s="15" t="s">
        <v>19484</v>
      </c>
      <c r="BI992" s="15" t="s">
        <v>138</v>
      </c>
      <c r="BJ992" s="15" t="s">
        <v>138</v>
      </c>
      <c r="BK992" s="15" t="s">
        <v>1691</v>
      </c>
      <c r="BL992" s="15" t="s">
        <v>1691</v>
      </c>
      <c r="BM992" s="22">
        <v>41387</v>
      </c>
      <c r="BN992" s="17">
        <v>1.5</v>
      </c>
      <c r="BO992" s="15" t="s">
        <v>172</v>
      </c>
      <c r="BP992" s="17">
        <v>7.5</v>
      </c>
      <c r="BQ992" s="15" t="s">
        <v>172</v>
      </c>
      <c r="BR992" s="15" t="s">
        <v>234</v>
      </c>
      <c r="BS992" s="15" t="s">
        <v>234</v>
      </c>
      <c r="BT992" s="15" t="s">
        <v>138</v>
      </c>
      <c r="BU992" s="15" t="s">
        <v>174</v>
      </c>
      <c r="BV992" s="15" t="s">
        <v>138</v>
      </c>
      <c r="BW992" s="15" t="s">
        <v>138</v>
      </c>
      <c r="BX992" s="15" t="s">
        <v>138</v>
      </c>
      <c r="BY992" s="15" t="s">
        <v>175</v>
      </c>
      <c r="BZ992" s="22">
        <v>43304</v>
      </c>
      <c r="CA992" s="17">
        <v>10</v>
      </c>
      <c r="CB992" s="15" t="s">
        <v>172</v>
      </c>
      <c r="CC992" s="17">
        <v>45</v>
      </c>
      <c r="CD992" s="15" t="s">
        <v>172</v>
      </c>
      <c r="CE992" s="15" t="s">
        <v>173</v>
      </c>
      <c r="CF992" s="15" t="s">
        <v>720</v>
      </c>
      <c r="CG992" s="15" t="s">
        <v>138</v>
      </c>
      <c r="CH992" s="15" t="s">
        <v>174</v>
      </c>
      <c r="CI992" s="15" t="s">
        <v>138</v>
      </c>
      <c r="CJ992" s="15" t="s">
        <v>138</v>
      </c>
      <c r="CK992" s="15" t="s">
        <v>138</v>
      </c>
      <c r="CL992" s="15" t="s">
        <v>175</v>
      </c>
      <c r="CM992" s="22" t="s">
        <v>138</v>
      </c>
      <c r="CN992" s="17" t="s">
        <v>138</v>
      </c>
      <c r="CO992" s="23">
        <v>0</v>
      </c>
      <c r="CP992" s="24">
        <v>26</v>
      </c>
      <c r="CQ992" s="23">
        <v>0</v>
      </c>
      <c r="CR992" s="23">
        <v>0</v>
      </c>
      <c r="CS992" s="23">
        <v>0</v>
      </c>
      <c r="CT992" s="24">
        <v>23</v>
      </c>
      <c r="CU992" s="23">
        <v>0</v>
      </c>
      <c r="CV992" s="24">
        <v>22</v>
      </c>
      <c r="CW992" s="23" t="s">
        <v>138</v>
      </c>
      <c r="CX992" s="24" t="s">
        <v>138</v>
      </c>
      <c r="CY992" s="23">
        <v>0</v>
      </c>
      <c r="CZ992" s="24">
        <v>25</v>
      </c>
      <c r="DA992" s="23">
        <v>0</v>
      </c>
      <c r="DB992" s="24">
        <v>22</v>
      </c>
      <c r="DC992" s="25">
        <v>0.74</v>
      </c>
      <c r="DD992" s="24">
        <v>44</v>
      </c>
      <c r="DE992" s="25">
        <v>-0.05</v>
      </c>
      <c r="DF992" s="23">
        <v>-6.42</v>
      </c>
      <c r="DG992" s="25">
        <v>1.24</v>
      </c>
      <c r="DH992" s="24">
        <v>56</v>
      </c>
      <c r="DI992" s="25">
        <v>0.25</v>
      </c>
      <c r="DJ992" s="24">
        <v>25</v>
      </c>
      <c r="DK992" s="25" t="s">
        <v>138</v>
      </c>
      <c r="DL992" s="24" t="s">
        <v>138</v>
      </c>
      <c r="DM992" s="25">
        <v>1.24</v>
      </c>
      <c r="DN992" s="24">
        <v>55</v>
      </c>
      <c r="DO992" s="25">
        <v>0.25</v>
      </c>
      <c r="DP992" s="24">
        <v>27</v>
      </c>
      <c r="DQ992" s="24" t="s">
        <v>138</v>
      </c>
      <c r="DR992" s="26" t="s">
        <v>138</v>
      </c>
      <c r="DS992" s="23" t="s">
        <v>138</v>
      </c>
      <c r="DT992" s="24">
        <v>37</v>
      </c>
      <c r="DU992" s="26">
        <v>-2</v>
      </c>
      <c r="DV992" s="23">
        <v>-5.13</v>
      </c>
      <c r="DW992" s="24">
        <v>88</v>
      </c>
      <c r="DX992" s="27">
        <v>0</v>
      </c>
      <c r="DY992" s="23">
        <v>0</v>
      </c>
      <c r="DZ992" s="15" t="s">
        <v>178</v>
      </c>
      <c r="EA992" s="22">
        <v>43581</v>
      </c>
      <c r="EB992" s="17">
        <v>45</v>
      </c>
      <c r="EC992" s="22">
        <v>43304</v>
      </c>
      <c r="ED992" s="15" t="s">
        <v>173</v>
      </c>
      <c r="EE992" s="14" t="str">
        <f>HYPERLINK("https://my.pitchbook.com?c=111812-23", "View company online")</f>
        <v>View company online</v>
      </c>
    </row>
    <row r="993" spans="1:135">
      <c r="A993" s="28" t="s">
        <v>19485</v>
      </c>
      <c r="B993" s="28" t="s">
        <v>19486</v>
      </c>
      <c r="C993" s="28" t="s">
        <v>138</v>
      </c>
      <c r="D993" s="28" t="s">
        <v>138</v>
      </c>
      <c r="E993" s="28" t="s">
        <v>19487</v>
      </c>
      <c r="F993" s="28" t="s">
        <v>19485</v>
      </c>
      <c r="G993" s="28" t="s">
        <v>19488</v>
      </c>
      <c r="H993" s="28" t="s">
        <v>322</v>
      </c>
      <c r="I993" s="28" t="s">
        <v>807</v>
      </c>
      <c r="J993" s="28" t="s">
        <v>2534</v>
      </c>
      <c r="K993" s="28" t="s">
        <v>2535</v>
      </c>
      <c r="L993" s="28" t="s">
        <v>10668</v>
      </c>
      <c r="M993" s="28" t="s">
        <v>19489</v>
      </c>
      <c r="N993" s="28" t="s">
        <v>147</v>
      </c>
      <c r="O993" s="29">
        <v>73.260000000000005</v>
      </c>
      <c r="P993" s="28" t="s">
        <v>148</v>
      </c>
      <c r="Q993" s="28" t="s">
        <v>149</v>
      </c>
      <c r="R993" s="28" t="s">
        <v>174</v>
      </c>
      <c r="S993" s="28" t="s">
        <v>19490</v>
      </c>
      <c r="T993" s="30">
        <v>110</v>
      </c>
      <c r="U993" s="28" t="s">
        <v>19491</v>
      </c>
      <c r="V993" s="28" t="s">
        <v>138</v>
      </c>
      <c r="W993" s="28" t="s">
        <v>138</v>
      </c>
      <c r="X993" s="31">
        <v>2012</v>
      </c>
      <c r="Y993" s="28" t="s">
        <v>138</v>
      </c>
      <c r="Z993" s="28" t="s">
        <v>1163</v>
      </c>
      <c r="AA993" s="28" t="s">
        <v>1163</v>
      </c>
      <c r="AB993" s="32" t="s">
        <v>138</v>
      </c>
      <c r="AC993" s="32" t="s">
        <v>138</v>
      </c>
      <c r="AD993" s="32" t="s">
        <v>138</v>
      </c>
      <c r="AE993" s="32" t="s">
        <v>138</v>
      </c>
      <c r="AF993" s="32" t="s">
        <v>138</v>
      </c>
      <c r="AG993" s="28" t="s">
        <v>138</v>
      </c>
      <c r="AH993" s="32" t="s">
        <v>138</v>
      </c>
      <c r="AI993" s="32" t="s">
        <v>138</v>
      </c>
      <c r="AJ993" s="32" t="s">
        <v>138</v>
      </c>
      <c r="AK993" s="28" t="s">
        <v>19492</v>
      </c>
      <c r="AL993" s="28" t="s">
        <v>19493</v>
      </c>
      <c r="AM993" s="28" t="s">
        <v>221</v>
      </c>
      <c r="AN993" s="28" t="s">
        <v>19494</v>
      </c>
      <c r="AO993" s="28" t="s">
        <v>19495</v>
      </c>
      <c r="AP993" s="28" t="s">
        <v>1168</v>
      </c>
      <c r="AQ993" s="28" t="s">
        <v>19496</v>
      </c>
      <c r="AR993" s="28" t="s">
        <v>282</v>
      </c>
      <c r="AS993" s="28" t="s">
        <v>1171</v>
      </c>
      <c r="AT993" s="28" t="s">
        <v>200</v>
      </c>
      <c r="AU993" s="28" t="s">
        <v>4152</v>
      </c>
      <c r="AV993" s="28" t="s">
        <v>162</v>
      </c>
      <c r="AW993" s="28" t="s">
        <v>19495</v>
      </c>
      <c r="AX993" s="28" t="s">
        <v>138</v>
      </c>
      <c r="AY993" s="28" t="s">
        <v>19497</v>
      </c>
      <c r="AZ993" s="28" t="s">
        <v>164</v>
      </c>
      <c r="BA993" s="28" t="s">
        <v>165</v>
      </c>
      <c r="BB993" s="28" t="s">
        <v>19498</v>
      </c>
      <c r="BC993" s="28" t="s">
        <v>19499</v>
      </c>
      <c r="BD993" s="33">
        <v>11</v>
      </c>
      <c r="BE993" s="28" t="s">
        <v>138</v>
      </c>
      <c r="BF993" s="28" t="s">
        <v>138</v>
      </c>
      <c r="BG993" s="28" t="s">
        <v>138</v>
      </c>
      <c r="BH993" s="28" t="s">
        <v>19500</v>
      </c>
      <c r="BI993" s="28" t="s">
        <v>138</v>
      </c>
      <c r="BJ993" s="28" t="s">
        <v>138</v>
      </c>
      <c r="BK993" s="28" t="s">
        <v>204</v>
      </c>
      <c r="BL993" s="28" t="s">
        <v>204</v>
      </c>
      <c r="BM993" s="34">
        <v>41305</v>
      </c>
      <c r="BN993" s="29">
        <v>0.59</v>
      </c>
      <c r="BO993" s="28" t="s">
        <v>172</v>
      </c>
      <c r="BP993" s="29">
        <v>3.9</v>
      </c>
      <c r="BQ993" s="28" t="s">
        <v>172</v>
      </c>
      <c r="BR993" s="28" t="s">
        <v>234</v>
      </c>
      <c r="BS993" s="28" t="s">
        <v>234</v>
      </c>
      <c r="BT993" s="28" t="s">
        <v>138</v>
      </c>
      <c r="BU993" s="28" t="s">
        <v>174</v>
      </c>
      <c r="BV993" s="28" t="s">
        <v>138</v>
      </c>
      <c r="BW993" s="28" t="s">
        <v>138</v>
      </c>
      <c r="BX993" s="28" t="s">
        <v>138</v>
      </c>
      <c r="BY993" s="28" t="s">
        <v>175</v>
      </c>
      <c r="BZ993" s="34">
        <v>43158</v>
      </c>
      <c r="CA993" s="29">
        <v>33.25</v>
      </c>
      <c r="CB993" s="28" t="s">
        <v>172</v>
      </c>
      <c r="CC993" s="29">
        <v>193.25</v>
      </c>
      <c r="CD993" s="28" t="s">
        <v>172</v>
      </c>
      <c r="CE993" s="28" t="s">
        <v>173</v>
      </c>
      <c r="CF993" s="28" t="s">
        <v>317</v>
      </c>
      <c r="CG993" s="28" t="s">
        <v>138</v>
      </c>
      <c r="CH993" s="28" t="s">
        <v>174</v>
      </c>
      <c r="CI993" s="28" t="s">
        <v>138</v>
      </c>
      <c r="CJ993" s="28" t="s">
        <v>138</v>
      </c>
      <c r="CK993" s="28" t="s">
        <v>138</v>
      </c>
      <c r="CL993" s="28" t="s">
        <v>175</v>
      </c>
      <c r="CM993" s="34" t="s">
        <v>138</v>
      </c>
      <c r="CN993" s="29" t="s">
        <v>138</v>
      </c>
      <c r="CO993" s="35">
        <v>-1.44</v>
      </c>
      <c r="CP993" s="36">
        <v>8</v>
      </c>
      <c r="CQ993" s="35">
        <v>-0.09</v>
      </c>
      <c r="CR993" s="35">
        <v>-6.85</v>
      </c>
      <c r="CS993" s="35">
        <v>-3.01</v>
      </c>
      <c r="CT993" s="36">
        <v>5</v>
      </c>
      <c r="CU993" s="35">
        <v>0.13</v>
      </c>
      <c r="CV993" s="36">
        <v>73</v>
      </c>
      <c r="CW993" s="35">
        <v>-5.97</v>
      </c>
      <c r="CX993" s="36">
        <v>2</v>
      </c>
      <c r="CY993" s="35">
        <v>-0.04</v>
      </c>
      <c r="CZ993" s="36">
        <v>24</v>
      </c>
      <c r="DA993" s="35">
        <v>0.4</v>
      </c>
      <c r="DB993" s="36">
        <v>92</v>
      </c>
      <c r="DC993" s="37">
        <v>3.29</v>
      </c>
      <c r="DD993" s="36">
        <v>77</v>
      </c>
      <c r="DE993" s="37">
        <v>-0.08</v>
      </c>
      <c r="DF993" s="35">
        <v>-2.4900000000000002</v>
      </c>
      <c r="DG993" s="37">
        <v>5.37</v>
      </c>
      <c r="DH993" s="36">
        <v>83</v>
      </c>
      <c r="DI993" s="37">
        <v>1.21</v>
      </c>
      <c r="DJ993" s="36">
        <v>53</v>
      </c>
      <c r="DK993" s="37">
        <v>2.2000000000000002</v>
      </c>
      <c r="DL993" s="36">
        <v>66</v>
      </c>
      <c r="DM993" s="37">
        <v>8.5500000000000007</v>
      </c>
      <c r="DN993" s="36">
        <v>87</v>
      </c>
      <c r="DO993" s="37">
        <v>2.23</v>
      </c>
      <c r="DP993" s="36">
        <v>66</v>
      </c>
      <c r="DQ993" s="36">
        <v>772</v>
      </c>
      <c r="DR993" s="38">
        <v>-58</v>
      </c>
      <c r="DS993" s="35">
        <v>-6.99</v>
      </c>
      <c r="DT993" s="36">
        <v>248</v>
      </c>
      <c r="DU993" s="38">
        <v>-2</v>
      </c>
      <c r="DV993" s="35">
        <v>-0.8</v>
      </c>
      <c r="DW993" s="36">
        <v>798</v>
      </c>
      <c r="DX993" s="39">
        <v>0</v>
      </c>
      <c r="DY993" s="35">
        <v>0</v>
      </c>
      <c r="DZ993" s="28" t="s">
        <v>178</v>
      </c>
      <c r="EA993" s="34">
        <v>43622</v>
      </c>
      <c r="EB993" s="29">
        <v>193.25</v>
      </c>
      <c r="EC993" s="34">
        <v>43158</v>
      </c>
      <c r="ED993" s="28" t="s">
        <v>173</v>
      </c>
      <c r="EE993" s="40" t="str">
        <f>HYPERLINK("https://my.pitchbook.com?c=56108-08", "View company online")</f>
        <v>View company online</v>
      </c>
    </row>
    <row r="994" spans="1:135">
      <c r="A994" s="15" t="s">
        <v>19501</v>
      </c>
      <c r="B994" s="15" t="s">
        <v>19502</v>
      </c>
      <c r="C994" s="15" t="s">
        <v>138</v>
      </c>
      <c r="D994" s="15" t="s">
        <v>138</v>
      </c>
      <c r="E994" s="15" t="s">
        <v>138</v>
      </c>
      <c r="F994" s="15" t="s">
        <v>19501</v>
      </c>
      <c r="G994" s="15" t="s">
        <v>19503</v>
      </c>
      <c r="H994" s="15" t="s">
        <v>322</v>
      </c>
      <c r="I994" s="15" t="s">
        <v>323</v>
      </c>
      <c r="J994" s="15" t="s">
        <v>324</v>
      </c>
      <c r="K994" s="15" t="s">
        <v>19504</v>
      </c>
      <c r="L994" s="15" t="s">
        <v>855</v>
      </c>
      <c r="M994" s="15" t="s">
        <v>19505</v>
      </c>
      <c r="N994" s="15" t="s">
        <v>147</v>
      </c>
      <c r="O994" s="17">
        <v>59.68</v>
      </c>
      <c r="P994" s="15" t="s">
        <v>148</v>
      </c>
      <c r="Q994" s="15" t="s">
        <v>149</v>
      </c>
      <c r="R994" s="15" t="s">
        <v>174</v>
      </c>
      <c r="S994" s="15" t="s">
        <v>19506</v>
      </c>
      <c r="T994" s="18">
        <v>100</v>
      </c>
      <c r="U994" s="15" t="s">
        <v>19507</v>
      </c>
      <c r="V994" s="15" t="s">
        <v>138</v>
      </c>
      <c r="W994" s="15" t="s">
        <v>138</v>
      </c>
      <c r="X994" s="19">
        <v>2012</v>
      </c>
      <c r="Y994" s="15" t="s">
        <v>138</v>
      </c>
      <c r="Z994" s="15" t="s">
        <v>138</v>
      </c>
      <c r="AA994" s="15" t="s">
        <v>138</v>
      </c>
      <c r="AB994" s="20" t="s">
        <v>138</v>
      </c>
      <c r="AC994" s="20" t="s">
        <v>138</v>
      </c>
      <c r="AD994" s="20" t="s">
        <v>138</v>
      </c>
      <c r="AE994" s="20" t="s">
        <v>138</v>
      </c>
      <c r="AF994" s="20" t="s">
        <v>138</v>
      </c>
      <c r="AG994" s="15" t="s">
        <v>138</v>
      </c>
      <c r="AH994" s="20" t="s">
        <v>138</v>
      </c>
      <c r="AI994" s="20" t="s">
        <v>138</v>
      </c>
      <c r="AJ994" s="20" t="s">
        <v>138</v>
      </c>
      <c r="AK994" s="15" t="s">
        <v>19508</v>
      </c>
      <c r="AL994" s="15" t="s">
        <v>19509</v>
      </c>
      <c r="AM994" s="15" t="s">
        <v>4622</v>
      </c>
      <c r="AN994" s="15" t="s">
        <v>19510</v>
      </c>
      <c r="AO994" s="15" t="s">
        <v>138</v>
      </c>
      <c r="AP994" s="15" t="s">
        <v>2027</v>
      </c>
      <c r="AQ994" s="15" t="s">
        <v>19511</v>
      </c>
      <c r="AR994" s="15" t="s">
        <v>3138</v>
      </c>
      <c r="AS994" s="15" t="s">
        <v>2030</v>
      </c>
      <c r="AT994" s="15" t="s">
        <v>2031</v>
      </c>
      <c r="AU994" s="15" t="s">
        <v>13268</v>
      </c>
      <c r="AV994" s="15" t="s">
        <v>162</v>
      </c>
      <c r="AW994" s="15" t="s">
        <v>138</v>
      </c>
      <c r="AX994" s="15" t="s">
        <v>138</v>
      </c>
      <c r="AY994" s="15" t="s">
        <v>19512</v>
      </c>
      <c r="AZ994" s="15" t="s">
        <v>164</v>
      </c>
      <c r="BA994" s="15" t="s">
        <v>165</v>
      </c>
      <c r="BB994" s="15" t="s">
        <v>19513</v>
      </c>
      <c r="BC994" s="15" t="s">
        <v>19514</v>
      </c>
      <c r="BD994" s="21">
        <v>12</v>
      </c>
      <c r="BE994" s="15" t="s">
        <v>138</v>
      </c>
      <c r="BF994" s="15" t="s">
        <v>138</v>
      </c>
      <c r="BG994" s="15" t="s">
        <v>138</v>
      </c>
      <c r="BH994" s="15" t="s">
        <v>19515</v>
      </c>
      <c r="BI994" s="15" t="s">
        <v>138</v>
      </c>
      <c r="BJ994" s="15" t="s">
        <v>138</v>
      </c>
      <c r="BK994" s="15" t="s">
        <v>9857</v>
      </c>
      <c r="BL994" s="15" t="s">
        <v>1275</v>
      </c>
      <c r="BM994" s="22">
        <v>41187</v>
      </c>
      <c r="BN994" s="17" t="s">
        <v>138</v>
      </c>
      <c r="BO994" s="15" t="s">
        <v>138</v>
      </c>
      <c r="BP994" s="17" t="s">
        <v>138</v>
      </c>
      <c r="BQ994" s="15" t="s">
        <v>138</v>
      </c>
      <c r="BR994" s="15" t="s">
        <v>316</v>
      </c>
      <c r="BS994" s="15" t="s">
        <v>138</v>
      </c>
      <c r="BT994" s="15" t="s">
        <v>138</v>
      </c>
      <c r="BU994" s="15" t="s">
        <v>177</v>
      </c>
      <c r="BV994" s="15" t="s">
        <v>138</v>
      </c>
      <c r="BW994" s="15" t="s">
        <v>138</v>
      </c>
      <c r="BX994" s="15" t="s">
        <v>138</v>
      </c>
      <c r="BY994" s="15" t="s">
        <v>175</v>
      </c>
      <c r="BZ994" s="22">
        <v>43517</v>
      </c>
      <c r="CA994" s="17">
        <v>35</v>
      </c>
      <c r="CB994" s="15" t="s">
        <v>172</v>
      </c>
      <c r="CC994" s="17">
        <v>140</v>
      </c>
      <c r="CD994" s="15" t="s">
        <v>172</v>
      </c>
      <c r="CE994" s="15" t="s">
        <v>173</v>
      </c>
      <c r="CF994" s="15" t="s">
        <v>317</v>
      </c>
      <c r="CG994" s="15" t="s">
        <v>138</v>
      </c>
      <c r="CH994" s="15" t="s">
        <v>174</v>
      </c>
      <c r="CI994" s="15" t="s">
        <v>138</v>
      </c>
      <c r="CJ994" s="15" t="s">
        <v>138</v>
      </c>
      <c r="CK994" s="15" t="s">
        <v>138</v>
      </c>
      <c r="CL994" s="15" t="s">
        <v>175</v>
      </c>
      <c r="CM994" s="22" t="s">
        <v>138</v>
      </c>
      <c r="CN994" s="17" t="s">
        <v>138</v>
      </c>
      <c r="CO994" s="23">
        <v>0.52</v>
      </c>
      <c r="CP994" s="24">
        <v>95</v>
      </c>
      <c r="CQ994" s="23">
        <v>0</v>
      </c>
      <c r="CR994" s="23">
        <v>0</v>
      </c>
      <c r="CS994" s="23">
        <v>0.8</v>
      </c>
      <c r="CT994" s="24">
        <v>96</v>
      </c>
      <c r="CU994" s="23">
        <v>0</v>
      </c>
      <c r="CV994" s="24">
        <v>22</v>
      </c>
      <c r="CW994" s="23">
        <v>0.8</v>
      </c>
      <c r="CX994" s="24">
        <v>84</v>
      </c>
      <c r="CY994" s="23" t="s">
        <v>138</v>
      </c>
      <c r="CZ994" s="24" t="s">
        <v>138</v>
      </c>
      <c r="DA994" s="23">
        <v>0</v>
      </c>
      <c r="DB994" s="24">
        <v>22</v>
      </c>
      <c r="DC994" s="25">
        <v>2.7</v>
      </c>
      <c r="DD994" s="24">
        <v>73</v>
      </c>
      <c r="DE994" s="25">
        <v>-0.34</v>
      </c>
      <c r="DF994" s="23">
        <v>-11.1</v>
      </c>
      <c r="DG994" s="25">
        <v>7.87</v>
      </c>
      <c r="DH994" s="24">
        <v>87</v>
      </c>
      <c r="DI994" s="25">
        <v>0.03</v>
      </c>
      <c r="DJ994" s="24">
        <v>5</v>
      </c>
      <c r="DK994" s="25">
        <v>7.87</v>
      </c>
      <c r="DL994" s="24">
        <v>84</v>
      </c>
      <c r="DM994" s="25" t="s">
        <v>138</v>
      </c>
      <c r="DN994" s="24" t="s">
        <v>138</v>
      </c>
      <c r="DO994" s="25">
        <v>0.03</v>
      </c>
      <c r="DP994" s="24">
        <v>6</v>
      </c>
      <c r="DQ994" s="24">
        <v>2639</v>
      </c>
      <c r="DR994" s="26">
        <v>180</v>
      </c>
      <c r="DS994" s="23">
        <v>7.32</v>
      </c>
      <c r="DT994" s="24" t="s">
        <v>138</v>
      </c>
      <c r="DU994" s="26" t="s">
        <v>138</v>
      </c>
      <c r="DV994" s="23" t="s">
        <v>138</v>
      </c>
      <c r="DW994" s="24">
        <v>10</v>
      </c>
      <c r="DX994" s="27">
        <v>0</v>
      </c>
      <c r="DY994" s="23">
        <v>0</v>
      </c>
      <c r="DZ994" s="15" t="s">
        <v>178</v>
      </c>
      <c r="EA994" s="22">
        <v>43622</v>
      </c>
      <c r="EB994" s="17">
        <v>140</v>
      </c>
      <c r="EC994" s="22">
        <v>43517</v>
      </c>
      <c r="ED994" s="15" t="s">
        <v>173</v>
      </c>
      <c r="EE994" s="14" t="str">
        <f>HYPERLINK("https://my.pitchbook.com?c=55381-78", "View company online")</f>
        <v>View company online</v>
      </c>
    </row>
    <row r="995" spans="1:135">
      <c r="A995" s="28" t="s">
        <v>19516</v>
      </c>
      <c r="B995" s="28" t="s">
        <v>19517</v>
      </c>
      <c r="C995" s="28" t="s">
        <v>138</v>
      </c>
      <c r="D995" s="28" t="s">
        <v>138</v>
      </c>
      <c r="E995" s="28" t="s">
        <v>19518</v>
      </c>
      <c r="F995" s="28" t="s">
        <v>19516</v>
      </c>
      <c r="G995" s="28" t="s">
        <v>19519</v>
      </c>
      <c r="H995" s="28" t="s">
        <v>141</v>
      </c>
      <c r="I995" s="28" t="s">
        <v>142</v>
      </c>
      <c r="J995" s="28" t="s">
        <v>1924</v>
      </c>
      <c r="K995" s="28" t="s">
        <v>19520</v>
      </c>
      <c r="L995" s="28" t="s">
        <v>7679</v>
      </c>
      <c r="M995" s="28" t="s">
        <v>19521</v>
      </c>
      <c r="N995" s="28" t="s">
        <v>147</v>
      </c>
      <c r="O995" s="29">
        <v>28.16</v>
      </c>
      <c r="P995" s="28" t="s">
        <v>148</v>
      </c>
      <c r="Q995" s="28" t="s">
        <v>149</v>
      </c>
      <c r="R995" s="28" t="s">
        <v>244</v>
      </c>
      <c r="S995" s="28" t="s">
        <v>19522</v>
      </c>
      <c r="T995" s="30">
        <v>14</v>
      </c>
      <c r="U995" s="28" t="s">
        <v>19523</v>
      </c>
      <c r="V995" s="28" t="s">
        <v>138</v>
      </c>
      <c r="W995" s="28" t="s">
        <v>138</v>
      </c>
      <c r="X995" s="31">
        <v>2001</v>
      </c>
      <c r="Y995" s="28" t="s">
        <v>138</v>
      </c>
      <c r="Z995" s="28" t="s">
        <v>138</v>
      </c>
      <c r="AA995" s="28" t="s">
        <v>138</v>
      </c>
      <c r="AB995" s="32" t="s">
        <v>138</v>
      </c>
      <c r="AC995" s="32" t="s">
        <v>138</v>
      </c>
      <c r="AD995" s="32" t="s">
        <v>138</v>
      </c>
      <c r="AE995" s="32" t="s">
        <v>138</v>
      </c>
      <c r="AF995" s="32" t="s">
        <v>138</v>
      </c>
      <c r="AG995" s="28" t="s">
        <v>138</v>
      </c>
      <c r="AH995" s="32" t="s">
        <v>138</v>
      </c>
      <c r="AI995" s="32" t="s">
        <v>138</v>
      </c>
      <c r="AJ995" s="32" t="s">
        <v>138</v>
      </c>
      <c r="AK995" s="28" t="s">
        <v>19524</v>
      </c>
      <c r="AL995" s="28" t="s">
        <v>19525</v>
      </c>
      <c r="AM995" s="28" t="s">
        <v>2949</v>
      </c>
      <c r="AN995" s="28" t="s">
        <v>19526</v>
      </c>
      <c r="AO995" s="28" t="s">
        <v>19527</v>
      </c>
      <c r="AP995" s="28" t="s">
        <v>5380</v>
      </c>
      <c r="AQ995" s="28" t="s">
        <v>19528</v>
      </c>
      <c r="AR995" s="28" t="s">
        <v>2390</v>
      </c>
      <c r="AS995" s="28" t="s">
        <v>5382</v>
      </c>
      <c r="AT995" s="28" t="s">
        <v>200</v>
      </c>
      <c r="AU995" s="28" t="s">
        <v>5383</v>
      </c>
      <c r="AV995" s="28" t="s">
        <v>162</v>
      </c>
      <c r="AW995" s="28" t="s">
        <v>19527</v>
      </c>
      <c r="AX995" s="28" t="s">
        <v>19529</v>
      </c>
      <c r="AY995" s="28" t="s">
        <v>19530</v>
      </c>
      <c r="AZ995" s="28" t="s">
        <v>164</v>
      </c>
      <c r="BA995" s="28" t="s">
        <v>165</v>
      </c>
      <c r="BB995" s="28" t="s">
        <v>19531</v>
      </c>
      <c r="BC995" s="28" t="s">
        <v>19532</v>
      </c>
      <c r="BD995" s="33">
        <v>8</v>
      </c>
      <c r="BE995" s="28" t="s">
        <v>138</v>
      </c>
      <c r="BF995" s="28" t="s">
        <v>138</v>
      </c>
      <c r="BG995" s="28" t="s">
        <v>138</v>
      </c>
      <c r="BH995" s="28" t="s">
        <v>19533</v>
      </c>
      <c r="BI995" s="28" t="s">
        <v>138</v>
      </c>
      <c r="BJ995" s="28" t="s">
        <v>138</v>
      </c>
      <c r="BK995" s="28" t="s">
        <v>19534</v>
      </c>
      <c r="BL995" s="28" t="s">
        <v>19535</v>
      </c>
      <c r="BM995" s="34">
        <v>37469</v>
      </c>
      <c r="BN995" s="29">
        <v>9.6</v>
      </c>
      <c r="BO995" s="28" t="s">
        <v>172</v>
      </c>
      <c r="BP995" s="29" t="s">
        <v>138</v>
      </c>
      <c r="BQ995" s="28" t="s">
        <v>138</v>
      </c>
      <c r="BR995" s="28" t="s">
        <v>176</v>
      </c>
      <c r="BS995" s="28" t="s">
        <v>138</v>
      </c>
      <c r="BT995" s="28" t="s">
        <v>138</v>
      </c>
      <c r="BU995" s="28" t="s">
        <v>177</v>
      </c>
      <c r="BV995" s="28" t="s">
        <v>138</v>
      </c>
      <c r="BW995" s="28" t="s">
        <v>138</v>
      </c>
      <c r="BX995" s="28" t="s">
        <v>138</v>
      </c>
      <c r="BY995" s="28" t="s">
        <v>175</v>
      </c>
      <c r="BZ995" s="34">
        <v>43299</v>
      </c>
      <c r="CA995" s="29">
        <v>21.26</v>
      </c>
      <c r="CB995" s="28" t="s">
        <v>172</v>
      </c>
      <c r="CC995" s="29">
        <v>56.26</v>
      </c>
      <c r="CD995" s="28" t="s">
        <v>172</v>
      </c>
      <c r="CE995" s="28" t="s">
        <v>173</v>
      </c>
      <c r="CF995" s="28" t="s">
        <v>720</v>
      </c>
      <c r="CG995" s="28" t="s">
        <v>138</v>
      </c>
      <c r="CH995" s="28" t="s">
        <v>174</v>
      </c>
      <c r="CI995" s="28" t="s">
        <v>138</v>
      </c>
      <c r="CJ995" s="28" t="s">
        <v>138</v>
      </c>
      <c r="CK995" s="28" t="s">
        <v>138</v>
      </c>
      <c r="CL995" s="28" t="s">
        <v>175</v>
      </c>
      <c r="CM995" s="34" t="s">
        <v>138</v>
      </c>
      <c r="CN995" s="29" t="s">
        <v>138</v>
      </c>
      <c r="CO995" s="35">
        <v>0</v>
      </c>
      <c r="CP995" s="36">
        <v>26</v>
      </c>
      <c r="CQ995" s="35">
        <v>0</v>
      </c>
      <c r="CR995" s="35">
        <v>0</v>
      </c>
      <c r="CS995" s="35">
        <v>0</v>
      </c>
      <c r="CT995" s="36">
        <v>23</v>
      </c>
      <c r="CU995" s="35">
        <v>0</v>
      </c>
      <c r="CV995" s="36">
        <v>22</v>
      </c>
      <c r="CW995" s="35" t="s">
        <v>138</v>
      </c>
      <c r="CX995" s="36" t="s">
        <v>138</v>
      </c>
      <c r="CY995" s="35">
        <v>0</v>
      </c>
      <c r="CZ995" s="36">
        <v>25</v>
      </c>
      <c r="DA995" s="35" t="s">
        <v>138</v>
      </c>
      <c r="DB995" s="36" t="s">
        <v>138</v>
      </c>
      <c r="DC995" s="37">
        <v>1.44</v>
      </c>
      <c r="DD995" s="36">
        <v>60</v>
      </c>
      <c r="DE995" s="37">
        <v>0</v>
      </c>
      <c r="DF995" s="35">
        <v>0</v>
      </c>
      <c r="DG995" s="37">
        <v>2.86</v>
      </c>
      <c r="DH995" s="36">
        <v>74</v>
      </c>
      <c r="DI995" s="37">
        <v>0.01</v>
      </c>
      <c r="DJ995" s="36">
        <v>1</v>
      </c>
      <c r="DK995" s="37" t="s">
        <v>138</v>
      </c>
      <c r="DL995" s="36" t="s">
        <v>138</v>
      </c>
      <c r="DM995" s="37">
        <v>2.86</v>
      </c>
      <c r="DN995" s="36">
        <v>73</v>
      </c>
      <c r="DO995" s="37" t="s">
        <v>138</v>
      </c>
      <c r="DP995" s="36" t="s">
        <v>138</v>
      </c>
      <c r="DQ995" s="36" t="s">
        <v>138</v>
      </c>
      <c r="DR995" s="38" t="s">
        <v>138</v>
      </c>
      <c r="DS995" s="35" t="s">
        <v>138</v>
      </c>
      <c r="DT995" s="36">
        <v>83</v>
      </c>
      <c r="DU995" s="38">
        <v>1</v>
      </c>
      <c r="DV995" s="35">
        <v>1.22</v>
      </c>
      <c r="DW995" s="36" t="s">
        <v>138</v>
      </c>
      <c r="DX995" s="39" t="s">
        <v>138</v>
      </c>
      <c r="DY995" s="35" t="s">
        <v>138</v>
      </c>
      <c r="DZ995" s="28" t="s">
        <v>178</v>
      </c>
      <c r="EA995" s="34">
        <v>43416</v>
      </c>
      <c r="EB995" s="29">
        <v>56.26</v>
      </c>
      <c r="EC995" s="34">
        <v>43299</v>
      </c>
      <c r="ED995" s="28" t="s">
        <v>173</v>
      </c>
      <c r="EE995" s="40" t="str">
        <f>HYPERLINK("https://my.pitchbook.com?c=92966-32", "View company online")</f>
        <v>View company online</v>
      </c>
    </row>
    <row r="996" spans="1:135">
      <c r="A996" s="15" t="s">
        <v>19536</v>
      </c>
      <c r="B996" s="15" t="s">
        <v>19537</v>
      </c>
      <c r="C996" s="15" t="s">
        <v>19538</v>
      </c>
      <c r="D996" s="15" t="s">
        <v>138</v>
      </c>
      <c r="E996" s="15" t="s">
        <v>19539</v>
      </c>
      <c r="F996" s="15" t="s">
        <v>19536</v>
      </c>
      <c r="G996" s="15" t="s">
        <v>19540</v>
      </c>
      <c r="H996" s="15" t="s">
        <v>183</v>
      </c>
      <c r="I996" s="15" t="s">
        <v>4681</v>
      </c>
      <c r="J996" s="15" t="s">
        <v>9676</v>
      </c>
      <c r="K996" s="15" t="s">
        <v>19541</v>
      </c>
      <c r="L996" s="15" t="s">
        <v>19542</v>
      </c>
      <c r="M996" s="15" t="s">
        <v>19543</v>
      </c>
      <c r="N996" s="15" t="s">
        <v>147</v>
      </c>
      <c r="O996" s="17">
        <v>44.69</v>
      </c>
      <c r="P996" s="15" t="s">
        <v>148</v>
      </c>
      <c r="Q996" s="15" t="s">
        <v>149</v>
      </c>
      <c r="R996" s="15" t="s">
        <v>174</v>
      </c>
      <c r="S996" s="15" t="s">
        <v>19544</v>
      </c>
      <c r="T996" s="18">
        <v>34</v>
      </c>
      <c r="U996" s="15" t="s">
        <v>19545</v>
      </c>
      <c r="V996" s="15" t="s">
        <v>138</v>
      </c>
      <c r="W996" s="15" t="s">
        <v>138</v>
      </c>
      <c r="X996" s="19">
        <v>2010</v>
      </c>
      <c r="Y996" s="15" t="s">
        <v>138</v>
      </c>
      <c r="Z996" s="15" t="s">
        <v>19546</v>
      </c>
      <c r="AA996" s="15" t="s">
        <v>19547</v>
      </c>
      <c r="AB996" s="20" t="s">
        <v>138</v>
      </c>
      <c r="AC996" s="20" t="s">
        <v>138</v>
      </c>
      <c r="AD996" s="20" t="s">
        <v>138</v>
      </c>
      <c r="AE996" s="20" t="s">
        <v>138</v>
      </c>
      <c r="AF996" s="20" t="s">
        <v>138</v>
      </c>
      <c r="AG996" s="15" t="s">
        <v>138</v>
      </c>
      <c r="AH996" s="20" t="s">
        <v>138</v>
      </c>
      <c r="AI996" s="20" t="s">
        <v>138</v>
      </c>
      <c r="AJ996" s="20" t="s">
        <v>138</v>
      </c>
      <c r="AK996" s="15" t="s">
        <v>19548</v>
      </c>
      <c r="AL996" s="15" t="s">
        <v>19549</v>
      </c>
      <c r="AM996" s="15" t="s">
        <v>221</v>
      </c>
      <c r="AN996" s="15" t="s">
        <v>19550</v>
      </c>
      <c r="AO996" s="15" t="s">
        <v>19551</v>
      </c>
      <c r="AP996" s="15" t="s">
        <v>2842</v>
      </c>
      <c r="AQ996" s="15" t="s">
        <v>19552</v>
      </c>
      <c r="AR996" s="15" t="s">
        <v>138</v>
      </c>
      <c r="AS996" s="15" t="s">
        <v>2845</v>
      </c>
      <c r="AT996" s="15" t="s">
        <v>200</v>
      </c>
      <c r="AU996" s="15" t="s">
        <v>10437</v>
      </c>
      <c r="AV996" s="15" t="s">
        <v>162</v>
      </c>
      <c r="AW996" s="15" t="s">
        <v>19551</v>
      </c>
      <c r="AX996" s="15" t="s">
        <v>138</v>
      </c>
      <c r="AY996" s="15" t="s">
        <v>138</v>
      </c>
      <c r="AZ996" s="15" t="s">
        <v>164</v>
      </c>
      <c r="BA996" s="15" t="s">
        <v>165</v>
      </c>
      <c r="BB996" s="15" t="s">
        <v>19553</v>
      </c>
      <c r="BC996" s="15" t="s">
        <v>19554</v>
      </c>
      <c r="BD996" s="21">
        <v>12</v>
      </c>
      <c r="BE996" s="15" t="s">
        <v>138</v>
      </c>
      <c r="BF996" s="15" t="s">
        <v>138</v>
      </c>
      <c r="BG996" s="15" t="s">
        <v>138</v>
      </c>
      <c r="BH996" s="15" t="s">
        <v>19555</v>
      </c>
      <c r="BI996" s="15" t="s">
        <v>138</v>
      </c>
      <c r="BJ996" s="15" t="s">
        <v>138</v>
      </c>
      <c r="BK996" s="15" t="s">
        <v>1275</v>
      </c>
      <c r="BL996" s="15" t="s">
        <v>1275</v>
      </c>
      <c r="BM996" s="22">
        <v>40653</v>
      </c>
      <c r="BN996" s="17">
        <v>0.01</v>
      </c>
      <c r="BO996" s="15" t="s">
        <v>172</v>
      </c>
      <c r="BP996" s="17" t="s">
        <v>138</v>
      </c>
      <c r="BQ996" s="15" t="s">
        <v>138</v>
      </c>
      <c r="BR996" s="15" t="s">
        <v>262</v>
      </c>
      <c r="BS996" s="15" t="s">
        <v>262</v>
      </c>
      <c r="BT996" s="15" t="s">
        <v>138</v>
      </c>
      <c r="BU996" s="15" t="s">
        <v>263</v>
      </c>
      <c r="BV996" s="15" t="s">
        <v>138</v>
      </c>
      <c r="BW996" s="15" t="s">
        <v>138</v>
      </c>
      <c r="BX996" s="15" t="s">
        <v>138</v>
      </c>
      <c r="BY996" s="15" t="s">
        <v>175</v>
      </c>
      <c r="BZ996" s="22">
        <v>43619</v>
      </c>
      <c r="CA996" s="17">
        <v>2</v>
      </c>
      <c r="CB996" s="15" t="s">
        <v>172</v>
      </c>
      <c r="CC996" s="17" t="s">
        <v>138</v>
      </c>
      <c r="CD996" s="15" t="s">
        <v>138</v>
      </c>
      <c r="CE996" s="15" t="s">
        <v>176</v>
      </c>
      <c r="CF996" s="15" t="s">
        <v>138</v>
      </c>
      <c r="CG996" s="15" t="s">
        <v>138</v>
      </c>
      <c r="CH996" s="15" t="s">
        <v>177</v>
      </c>
      <c r="CI996" s="15" t="s">
        <v>138</v>
      </c>
      <c r="CJ996" s="15" t="s">
        <v>138</v>
      </c>
      <c r="CK996" s="15" t="s">
        <v>138</v>
      </c>
      <c r="CL996" s="15" t="s">
        <v>175</v>
      </c>
      <c r="CM996" s="22" t="s">
        <v>138</v>
      </c>
      <c r="CN996" s="17" t="s">
        <v>138</v>
      </c>
      <c r="CO996" s="23">
        <v>0.16</v>
      </c>
      <c r="CP996" s="24">
        <v>92</v>
      </c>
      <c r="CQ996" s="23">
        <v>-0.01</v>
      </c>
      <c r="CR996" s="23">
        <v>-3.55</v>
      </c>
      <c r="CS996" s="23">
        <v>0</v>
      </c>
      <c r="CT996" s="24">
        <v>23</v>
      </c>
      <c r="CU996" s="23">
        <v>0.32</v>
      </c>
      <c r="CV996" s="24">
        <v>88</v>
      </c>
      <c r="CW996" s="23">
        <v>0</v>
      </c>
      <c r="CX996" s="24">
        <v>13</v>
      </c>
      <c r="CY996" s="23">
        <v>0</v>
      </c>
      <c r="CZ996" s="24">
        <v>25</v>
      </c>
      <c r="DA996" s="23">
        <v>0.32</v>
      </c>
      <c r="DB996" s="24">
        <v>89</v>
      </c>
      <c r="DC996" s="25">
        <v>2.57</v>
      </c>
      <c r="DD996" s="24">
        <v>72</v>
      </c>
      <c r="DE996" s="25">
        <v>-7.0000000000000007E-2</v>
      </c>
      <c r="DF996" s="23">
        <v>-2.5</v>
      </c>
      <c r="DG996" s="25">
        <v>1.9</v>
      </c>
      <c r="DH996" s="24">
        <v>66</v>
      </c>
      <c r="DI996" s="25">
        <v>3.24</v>
      </c>
      <c r="DJ996" s="24">
        <v>71</v>
      </c>
      <c r="DK996" s="25">
        <v>2.42</v>
      </c>
      <c r="DL996" s="24">
        <v>68</v>
      </c>
      <c r="DM996" s="25">
        <v>1.38</v>
      </c>
      <c r="DN996" s="24">
        <v>58</v>
      </c>
      <c r="DO996" s="25">
        <v>3.24</v>
      </c>
      <c r="DP996" s="24">
        <v>72</v>
      </c>
      <c r="DQ996" s="24">
        <v>801</v>
      </c>
      <c r="DR996" s="26">
        <v>87</v>
      </c>
      <c r="DS996" s="23">
        <v>12.18</v>
      </c>
      <c r="DT996" s="24">
        <v>40</v>
      </c>
      <c r="DU996" s="26">
        <v>0</v>
      </c>
      <c r="DV996" s="23">
        <v>0</v>
      </c>
      <c r="DW996" s="24">
        <v>1157</v>
      </c>
      <c r="DX996" s="27">
        <v>2</v>
      </c>
      <c r="DY996" s="23">
        <v>0.17</v>
      </c>
      <c r="DZ996" s="15" t="s">
        <v>178</v>
      </c>
      <c r="EA996" s="22">
        <v>43621</v>
      </c>
      <c r="EB996" s="17">
        <v>95</v>
      </c>
      <c r="EC996" s="22">
        <v>43488</v>
      </c>
      <c r="ED996" s="15" t="s">
        <v>173</v>
      </c>
      <c r="EE996" s="14" t="str">
        <f>HYPERLINK("https://my.pitchbook.com?c=93911-14", "View company online")</f>
        <v>View company online</v>
      </c>
    </row>
    <row r="997" spans="1:135">
      <c r="A997" s="28" t="s">
        <v>19556</v>
      </c>
      <c r="B997" s="28" t="s">
        <v>19557</v>
      </c>
      <c r="C997" s="28" t="s">
        <v>19558</v>
      </c>
      <c r="D997" s="28" t="s">
        <v>19559</v>
      </c>
      <c r="E997" s="28" t="s">
        <v>138</v>
      </c>
      <c r="F997" s="28" t="s">
        <v>19556</v>
      </c>
      <c r="G997" s="28" t="s">
        <v>19560</v>
      </c>
      <c r="H997" s="28" t="s">
        <v>238</v>
      </c>
      <c r="I997" s="28" t="s">
        <v>1351</v>
      </c>
      <c r="J997" s="28" t="s">
        <v>5633</v>
      </c>
      <c r="K997" s="28" t="s">
        <v>19561</v>
      </c>
      <c r="L997" s="28" t="s">
        <v>16293</v>
      </c>
      <c r="M997" s="28" t="s">
        <v>19562</v>
      </c>
      <c r="N997" s="28" t="s">
        <v>147</v>
      </c>
      <c r="O997" s="29">
        <v>7.25</v>
      </c>
      <c r="P997" s="28" t="s">
        <v>148</v>
      </c>
      <c r="Q997" s="28" t="s">
        <v>149</v>
      </c>
      <c r="R997" s="28" t="s">
        <v>174</v>
      </c>
      <c r="S997" s="28" t="s">
        <v>19563</v>
      </c>
      <c r="T997" s="30">
        <v>11</v>
      </c>
      <c r="U997" s="28" t="s">
        <v>1356</v>
      </c>
      <c r="V997" s="28" t="s">
        <v>138</v>
      </c>
      <c r="W997" s="28" t="s">
        <v>138</v>
      </c>
      <c r="X997" s="31">
        <v>2012</v>
      </c>
      <c r="Y997" s="28" t="s">
        <v>138</v>
      </c>
      <c r="Z997" s="28" t="s">
        <v>138</v>
      </c>
      <c r="AA997" s="28" t="s">
        <v>138</v>
      </c>
      <c r="AB997" s="32" t="s">
        <v>138</v>
      </c>
      <c r="AC997" s="32" t="s">
        <v>138</v>
      </c>
      <c r="AD997" s="32" t="s">
        <v>138</v>
      </c>
      <c r="AE997" s="32" t="s">
        <v>138</v>
      </c>
      <c r="AF997" s="32" t="s">
        <v>138</v>
      </c>
      <c r="AG997" s="28" t="s">
        <v>138</v>
      </c>
      <c r="AH997" s="32" t="s">
        <v>138</v>
      </c>
      <c r="AI997" s="32" t="s">
        <v>138</v>
      </c>
      <c r="AJ997" s="32" t="s">
        <v>138</v>
      </c>
      <c r="AK997" s="28" t="s">
        <v>19564</v>
      </c>
      <c r="AL997" s="28" t="s">
        <v>19565</v>
      </c>
      <c r="AM997" s="28" t="s">
        <v>19566</v>
      </c>
      <c r="AN997" s="28" t="s">
        <v>19567</v>
      </c>
      <c r="AO997" s="28" t="s">
        <v>19568</v>
      </c>
      <c r="AP997" s="28" t="s">
        <v>639</v>
      </c>
      <c r="AQ997" s="28" t="s">
        <v>19569</v>
      </c>
      <c r="AR997" s="28" t="s">
        <v>5490</v>
      </c>
      <c r="AS997" s="28" t="s">
        <v>642</v>
      </c>
      <c r="AT997" s="28" t="s">
        <v>474</v>
      </c>
      <c r="AU997" s="28" t="s">
        <v>19570</v>
      </c>
      <c r="AV997" s="28" t="s">
        <v>162</v>
      </c>
      <c r="AW997" s="28" t="s">
        <v>19571</v>
      </c>
      <c r="AX997" s="28" t="s">
        <v>138</v>
      </c>
      <c r="AY997" s="28" t="s">
        <v>19572</v>
      </c>
      <c r="AZ997" s="28" t="s">
        <v>164</v>
      </c>
      <c r="BA997" s="28" t="s">
        <v>165</v>
      </c>
      <c r="BB997" s="28" t="s">
        <v>19573</v>
      </c>
      <c r="BC997" s="28" t="s">
        <v>19574</v>
      </c>
      <c r="BD997" s="33">
        <v>5</v>
      </c>
      <c r="BE997" s="28" t="s">
        <v>138</v>
      </c>
      <c r="BF997" s="28" t="s">
        <v>138</v>
      </c>
      <c r="BG997" s="28" t="s">
        <v>138</v>
      </c>
      <c r="BH997" s="28" t="s">
        <v>19575</v>
      </c>
      <c r="BI997" s="28" t="s">
        <v>138</v>
      </c>
      <c r="BJ997" s="28" t="s">
        <v>138</v>
      </c>
      <c r="BK997" s="28" t="s">
        <v>204</v>
      </c>
      <c r="BL997" s="28" t="s">
        <v>19576</v>
      </c>
      <c r="BM997" s="34">
        <v>41741</v>
      </c>
      <c r="BN997" s="29">
        <v>0.21</v>
      </c>
      <c r="BO997" s="28" t="s">
        <v>172</v>
      </c>
      <c r="BP997" s="29" t="s">
        <v>138</v>
      </c>
      <c r="BQ997" s="28" t="s">
        <v>138</v>
      </c>
      <c r="BR997" s="28" t="s">
        <v>1830</v>
      </c>
      <c r="BS997" s="28" t="s">
        <v>138</v>
      </c>
      <c r="BT997" s="28" t="s">
        <v>138</v>
      </c>
      <c r="BU997" s="28" t="s">
        <v>263</v>
      </c>
      <c r="BV997" s="28" t="s">
        <v>138</v>
      </c>
      <c r="BW997" s="28" t="s">
        <v>138</v>
      </c>
      <c r="BX997" s="28" t="s">
        <v>138</v>
      </c>
      <c r="BY997" s="28" t="s">
        <v>175</v>
      </c>
      <c r="BZ997" s="34" t="s">
        <v>138</v>
      </c>
      <c r="CA997" s="29" t="s">
        <v>138</v>
      </c>
      <c r="CB997" s="28" t="s">
        <v>138</v>
      </c>
      <c r="CC997" s="29" t="s">
        <v>138</v>
      </c>
      <c r="CD997" s="28" t="s">
        <v>138</v>
      </c>
      <c r="CE997" s="28" t="s">
        <v>205</v>
      </c>
      <c r="CF997" s="28" t="s">
        <v>138</v>
      </c>
      <c r="CG997" s="28" t="s">
        <v>138</v>
      </c>
      <c r="CH997" s="28" t="s">
        <v>174</v>
      </c>
      <c r="CI997" s="28" t="s">
        <v>138</v>
      </c>
      <c r="CJ997" s="28" t="s">
        <v>138</v>
      </c>
      <c r="CK997" s="28" t="s">
        <v>138</v>
      </c>
      <c r="CL997" s="28" t="s">
        <v>175</v>
      </c>
      <c r="CM997" s="34" t="s">
        <v>138</v>
      </c>
      <c r="CN997" s="29" t="s">
        <v>138</v>
      </c>
      <c r="CO997" s="35">
        <v>1.49</v>
      </c>
      <c r="CP997" s="36">
        <v>98</v>
      </c>
      <c r="CQ997" s="35">
        <v>0.11</v>
      </c>
      <c r="CR997" s="35">
        <v>7.59</v>
      </c>
      <c r="CS997" s="35">
        <v>1.49</v>
      </c>
      <c r="CT997" s="36">
        <v>98</v>
      </c>
      <c r="CU997" s="35" t="s">
        <v>138</v>
      </c>
      <c r="CV997" s="36" t="s">
        <v>138</v>
      </c>
      <c r="CW997" s="35">
        <v>3.96</v>
      </c>
      <c r="CX997" s="36">
        <v>93</v>
      </c>
      <c r="CY997" s="35">
        <v>-0.98</v>
      </c>
      <c r="CZ997" s="36">
        <v>19</v>
      </c>
      <c r="DA997" s="35" t="s">
        <v>138</v>
      </c>
      <c r="DB997" s="36" t="s">
        <v>138</v>
      </c>
      <c r="DC997" s="37">
        <v>3.98</v>
      </c>
      <c r="DD997" s="36">
        <v>80</v>
      </c>
      <c r="DE997" s="37">
        <v>-0.26</v>
      </c>
      <c r="DF997" s="35">
        <v>-6.1</v>
      </c>
      <c r="DG997" s="37">
        <v>3.98</v>
      </c>
      <c r="DH997" s="36">
        <v>79</v>
      </c>
      <c r="DI997" s="37" t="s">
        <v>138</v>
      </c>
      <c r="DJ997" s="36" t="s">
        <v>138</v>
      </c>
      <c r="DK997" s="37">
        <v>4.03</v>
      </c>
      <c r="DL997" s="36">
        <v>76</v>
      </c>
      <c r="DM997" s="37">
        <v>3.93</v>
      </c>
      <c r="DN997" s="36">
        <v>78</v>
      </c>
      <c r="DO997" s="37" t="s">
        <v>138</v>
      </c>
      <c r="DP997" s="36" t="s">
        <v>138</v>
      </c>
      <c r="DQ997" s="36">
        <v>1360</v>
      </c>
      <c r="DR997" s="38">
        <v>64</v>
      </c>
      <c r="DS997" s="35">
        <v>4.9400000000000004</v>
      </c>
      <c r="DT997" s="36">
        <v>114</v>
      </c>
      <c r="DU997" s="38">
        <v>1</v>
      </c>
      <c r="DV997" s="35">
        <v>0.88</v>
      </c>
      <c r="DW997" s="36" t="s">
        <v>138</v>
      </c>
      <c r="DX997" s="39" t="s">
        <v>138</v>
      </c>
      <c r="DY997" s="35" t="s">
        <v>138</v>
      </c>
      <c r="DZ997" s="28" t="s">
        <v>178</v>
      </c>
      <c r="EA997" s="34">
        <v>43592</v>
      </c>
      <c r="EB997" s="29">
        <v>22.25</v>
      </c>
      <c r="EC997" s="34">
        <v>42958</v>
      </c>
      <c r="ED997" s="28" t="s">
        <v>205</v>
      </c>
      <c r="EE997" s="40" t="str">
        <f>HYPERLINK("https://my.pitchbook.com?c=82824-85", "View company online")</f>
        <v>View company online</v>
      </c>
    </row>
    <row r="998" spans="1:135">
      <c r="A998" s="15" t="s">
        <v>19577</v>
      </c>
      <c r="B998" s="15" t="s">
        <v>19578</v>
      </c>
      <c r="C998" s="15" t="s">
        <v>19579</v>
      </c>
      <c r="D998" s="15" t="s">
        <v>138</v>
      </c>
      <c r="E998" s="15" t="s">
        <v>19580</v>
      </c>
      <c r="F998" s="15" t="s">
        <v>19577</v>
      </c>
      <c r="G998" s="15" t="s">
        <v>19581</v>
      </c>
      <c r="H998" s="15" t="s">
        <v>385</v>
      </c>
      <c r="I998" s="15" t="s">
        <v>1991</v>
      </c>
      <c r="J998" s="15" t="s">
        <v>4454</v>
      </c>
      <c r="K998" s="15" t="s">
        <v>19582</v>
      </c>
      <c r="L998" s="15" t="s">
        <v>560</v>
      </c>
      <c r="M998" s="15" t="s">
        <v>19583</v>
      </c>
      <c r="N998" s="15" t="s">
        <v>147</v>
      </c>
      <c r="O998" s="17">
        <v>9.74</v>
      </c>
      <c r="P998" s="15" t="s">
        <v>148</v>
      </c>
      <c r="Q998" s="15" t="s">
        <v>149</v>
      </c>
      <c r="R998" s="15" t="s">
        <v>174</v>
      </c>
      <c r="S998" s="15" t="s">
        <v>19584</v>
      </c>
      <c r="T998" s="18">
        <v>15</v>
      </c>
      <c r="U998" s="15" t="s">
        <v>19585</v>
      </c>
      <c r="V998" s="15" t="s">
        <v>138</v>
      </c>
      <c r="W998" s="15" t="s">
        <v>138</v>
      </c>
      <c r="X998" s="19">
        <v>2001</v>
      </c>
      <c r="Y998" s="15" t="s">
        <v>138</v>
      </c>
      <c r="Z998" s="15" t="s">
        <v>138</v>
      </c>
      <c r="AA998" s="15" t="s">
        <v>138</v>
      </c>
      <c r="AB998" s="20">
        <v>0.16</v>
      </c>
      <c r="AC998" s="20" t="s">
        <v>138</v>
      </c>
      <c r="AD998" s="20" t="s">
        <v>138</v>
      </c>
      <c r="AE998" s="20" t="s">
        <v>138</v>
      </c>
      <c r="AF998" s="20" t="s">
        <v>138</v>
      </c>
      <c r="AG998" s="15" t="s">
        <v>2214</v>
      </c>
      <c r="AH998" s="20" t="s">
        <v>138</v>
      </c>
      <c r="AI998" s="20" t="s">
        <v>138</v>
      </c>
      <c r="AJ998" s="20" t="s">
        <v>138</v>
      </c>
      <c r="AK998" s="15" t="s">
        <v>19586</v>
      </c>
      <c r="AL998" s="15" t="s">
        <v>19587</v>
      </c>
      <c r="AM998" s="15" t="s">
        <v>249</v>
      </c>
      <c r="AN998" s="15" t="s">
        <v>19588</v>
      </c>
      <c r="AO998" s="15" t="s">
        <v>19589</v>
      </c>
      <c r="AP998" s="15" t="s">
        <v>19590</v>
      </c>
      <c r="AQ998" s="15" t="s">
        <v>19591</v>
      </c>
      <c r="AR998" s="15" t="s">
        <v>19592</v>
      </c>
      <c r="AS998" s="15" t="s">
        <v>19593</v>
      </c>
      <c r="AT998" s="15" t="s">
        <v>524</v>
      </c>
      <c r="AU998" s="15" t="s">
        <v>19594</v>
      </c>
      <c r="AV998" s="15" t="s">
        <v>526</v>
      </c>
      <c r="AW998" s="15" t="s">
        <v>19589</v>
      </c>
      <c r="AX998" s="15" t="s">
        <v>19595</v>
      </c>
      <c r="AY998" s="15" t="s">
        <v>19596</v>
      </c>
      <c r="AZ998" s="15" t="s">
        <v>530</v>
      </c>
      <c r="BA998" s="15" t="s">
        <v>531</v>
      </c>
      <c r="BB998" s="15" t="s">
        <v>19597</v>
      </c>
      <c r="BC998" s="15" t="s">
        <v>19598</v>
      </c>
      <c r="BD998" s="21">
        <v>5</v>
      </c>
      <c r="BE998" s="15" t="s">
        <v>138</v>
      </c>
      <c r="BF998" s="15" t="s">
        <v>138</v>
      </c>
      <c r="BG998" s="15" t="s">
        <v>138</v>
      </c>
      <c r="BH998" s="15" t="s">
        <v>19599</v>
      </c>
      <c r="BI998" s="15" t="s">
        <v>138</v>
      </c>
      <c r="BJ998" s="15" t="s">
        <v>138</v>
      </c>
      <c r="BK998" s="15" t="s">
        <v>138</v>
      </c>
      <c r="BL998" s="15" t="s">
        <v>138</v>
      </c>
      <c r="BM998" s="22">
        <v>40422</v>
      </c>
      <c r="BN998" s="17">
        <v>0.62</v>
      </c>
      <c r="BO998" s="15" t="s">
        <v>172</v>
      </c>
      <c r="BP998" s="17">
        <v>16.559999999999999</v>
      </c>
      <c r="BQ998" s="15" t="s">
        <v>172</v>
      </c>
      <c r="BR998" s="15" t="s">
        <v>173</v>
      </c>
      <c r="BS998" s="15" t="s">
        <v>138</v>
      </c>
      <c r="BT998" s="15" t="s">
        <v>138</v>
      </c>
      <c r="BU998" s="15" t="s">
        <v>174</v>
      </c>
      <c r="BV998" s="15" t="s">
        <v>138</v>
      </c>
      <c r="BW998" s="15" t="s">
        <v>138</v>
      </c>
      <c r="BX998" s="15" t="s">
        <v>138</v>
      </c>
      <c r="BY998" s="15" t="s">
        <v>175</v>
      </c>
      <c r="BZ998" s="22">
        <v>42545</v>
      </c>
      <c r="CA998" s="17">
        <v>3.42</v>
      </c>
      <c r="CB998" s="15" t="s">
        <v>172</v>
      </c>
      <c r="CC998" s="17">
        <v>10.57</v>
      </c>
      <c r="CD998" s="15" t="s">
        <v>172</v>
      </c>
      <c r="CE998" s="15" t="s">
        <v>173</v>
      </c>
      <c r="CF998" s="15" t="s">
        <v>138</v>
      </c>
      <c r="CG998" s="15" t="s">
        <v>138</v>
      </c>
      <c r="CH998" s="15" t="s">
        <v>174</v>
      </c>
      <c r="CI998" s="15" t="s">
        <v>138</v>
      </c>
      <c r="CJ998" s="15" t="s">
        <v>138</v>
      </c>
      <c r="CK998" s="15" t="s">
        <v>138</v>
      </c>
      <c r="CL998" s="15" t="s">
        <v>175</v>
      </c>
      <c r="CM998" s="22" t="s">
        <v>138</v>
      </c>
      <c r="CN998" s="17" t="s">
        <v>138</v>
      </c>
      <c r="CO998" s="23">
        <v>0.02</v>
      </c>
      <c r="CP998" s="24">
        <v>85</v>
      </c>
      <c r="CQ998" s="23">
        <v>0</v>
      </c>
      <c r="CR998" s="23">
        <v>-0.31</v>
      </c>
      <c r="CS998" s="23">
        <v>0</v>
      </c>
      <c r="CT998" s="24">
        <v>23</v>
      </c>
      <c r="CU998" s="23">
        <v>0.04</v>
      </c>
      <c r="CV998" s="24">
        <v>56</v>
      </c>
      <c r="CW998" s="23" t="s">
        <v>138</v>
      </c>
      <c r="CX998" s="24" t="s">
        <v>138</v>
      </c>
      <c r="CY998" s="23">
        <v>0</v>
      </c>
      <c r="CZ998" s="24">
        <v>25</v>
      </c>
      <c r="DA998" s="23">
        <v>0.04</v>
      </c>
      <c r="DB998" s="24">
        <v>62</v>
      </c>
      <c r="DC998" s="25">
        <v>1.08</v>
      </c>
      <c r="DD998" s="24">
        <v>53</v>
      </c>
      <c r="DE998" s="25">
        <v>0</v>
      </c>
      <c r="DF998" s="23">
        <v>0.24</v>
      </c>
      <c r="DG998" s="25">
        <v>1.24</v>
      </c>
      <c r="DH998" s="24">
        <v>56</v>
      </c>
      <c r="DI998" s="25">
        <v>0.91</v>
      </c>
      <c r="DJ998" s="24">
        <v>47</v>
      </c>
      <c r="DK998" s="25" t="s">
        <v>138</v>
      </c>
      <c r="DL998" s="24" t="s">
        <v>138</v>
      </c>
      <c r="DM998" s="25">
        <v>1.24</v>
      </c>
      <c r="DN998" s="24">
        <v>55</v>
      </c>
      <c r="DO998" s="25">
        <v>0.91</v>
      </c>
      <c r="DP998" s="24">
        <v>49</v>
      </c>
      <c r="DQ998" s="24" t="s">
        <v>138</v>
      </c>
      <c r="DR998" s="26" t="s">
        <v>138</v>
      </c>
      <c r="DS998" s="23" t="s">
        <v>138</v>
      </c>
      <c r="DT998" s="24">
        <v>36</v>
      </c>
      <c r="DU998" s="26">
        <v>0</v>
      </c>
      <c r="DV998" s="23">
        <v>0</v>
      </c>
      <c r="DW998" s="24">
        <v>326</v>
      </c>
      <c r="DX998" s="27">
        <v>1</v>
      </c>
      <c r="DY998" s="23">
        <v>0.31</v>
      </c>
      <c r="DZ998" s="15" t="s">
        <v>178</v>
      </c>
      <c r="EA998" s="22">
        <v>43448</v>
      </c>
      <c r="EB998" s="17">
        <v>10.57</v>
      </c>
      <c r="EC998" s="22">
        <v>42545</v>
      </c>
      <c r="ED998" s="15" t="s">
        <v>173</v>
      </c>
      <c r="EE998" s="14" t="str">
        <f>HYPERLINK("https://my.pitchbook.com?c=56119-96", "View company online")</f>
        <v>View company online</v>
      </c>
    </row>
    <row r="999" spans="1:135">
      <c r="A999" s="28" t="s">
        <v>19600</v>
      </c>
      <c r="B999" s="28" t="s">
        <v>19601</v>
      </c>
      <c r="C999" s="28" t="s">
        <v>19602</v>
      </c>
      <c r="D999" s="28" t="s">
        <v>138</v>
      </c>
      <c r="E999" s="28" t="s">
        <v>19603</v>
      </c>
      <c r="F999" s="28" t="s">
        <v>19600</v>
      </c>
      <c r="G999" s="28" t="s">
        <v>19604</v>
      </c>
      <c r="H999" s="28" t="s">
        <v>238</v>
      </c>
      <c r="I999" s="28" t="s">
        <v>749</v>
      </c>
      <c r="J999" s="28" t="s">
        <v>2855</v>
      </c>
      <c r="K999" s="28" t="s">
        <v>19605</v>
      </c>
      <c r="L999" s="28" t="s">
        <v>138</v>
      </c>
      <c r="M999" s="28" t="s">
        <v>19606</v>
      </c>
      <c r="N999" s="28" t="s">
        <v>147</v>
      </c>
      <c r="O999" s="29" t="s">
        <v>138</v>
      </c>
      <c r="P999" s="28" t="s">
        <v>148</v>
      </c>
      <c r="Q999" s="28" t="s">
        <v>149</v>
      </c>
      <c r="R999" s="28" t="s">
        <v>174</v>
      </c>
      <c r="S999" s="28" t="s">
        <v>19607</v>
      </c>
      <c r="T999" s="30">
        <v>17</v>
      </c>
      <c r="U999" s="28" t="s">
        <v>18397</v>
      </c>
      <c r="V999" s="28" t="s">
        <v>138</v>
      </c>
      <c r="W999" s="28" t="s">
        <v>138</v>
      </c>
      <c r="X999" s="31">
        <v>2016</v>
      </c>
      <c r="Y999" s="28" t="s">
        <v>138</v>
      </c>
      <c r="Z999" s="28" t="s">
        <v>138</v>
      </c>
      <c r="AA999" s="28" t="s">
        <v>19608</v>
      </c>
      <c r="AB999" s="32" t="s">
        <v>138</v>
      </c>
      <c r="AC999" s="32" t="s">
        <v>138</v>
      </c>
      <c r="AD999" s="32" t="s">
        <v>138</v>
      </c>
      <c r="AE999" s="32" t="s">
        <v>138</v>
      </c>
      <c r="AF999" s="32" t="s">
        <v>138</v>
      </c>
      <c r="AG999" s="28" t="s">
        <v>138</v>
      </c>
      <c r="AH999" s="32" t="s">
        <v>138</v>
      </c>
      <c r="AI999" s="32" t="s">
        <v>138</v>
      </c>
      <c r="AJ999" s="32" t="s">
        <v>138</v>
      </c>
      <c r="AK999" s="28" t="s">
        <v>19609</v>
      </c>
      <c r="AL999" s="28" t="s">
        <v>19610</v>
      </c>
      <c r="AM999" s="28" t="s">
        <v>5401</v>
      </c>
      <c r="AN999" s="28" t="s">
        <v>19611</v>
      </c>
      <c r="AO999" s="28" t="s">
        <v>138</v>
      </c>
      <c r="AP999" s="28" t="s">
        <v>3905</v>
      </c>
      <c r="AQ999" s="28" t="s">
        <v>19612</v>
      </c>
      <c r="AR999" s="28" t="s">
        <v>19613</v>
      </c>
      <c r="AS999" s="28" t="s">
        <v>3907</v>
      </c>
      <c r="AT999" s="28" t="s">
        <v>2740</v>
      </c>
      <c r="AU999" s="28" t="s">
        <v>19614</v>
      </c>
      <c r="AV999" s="28" t="s">
        <v>2742</v>
      </c>
      <c r="AW999" s="28" t="s">
        <v>138</v>
      </c>
      <c r="AX999" s="28" t="s">
        <v>138</v>
      </c>
      <c r="AY999" s="28" t="s">
        <v>19615</v>
      </c>
      <c r="AZ999" s="28" t="s">
        <v>164</v>
      </c>
      <c r="BA999" s="28" t="s">
        <v>165</v>
      </c>
      <c r="BB999" s="28" t="s">
        <v>19616</v>
      </c>
      <c r="BC999" s="28" t="s">
        <v>19617</v>
      </c>
      <c r="BD999" s="33">
        <v>4</v>
      </c>
      <c r="BE999" s="28" t="s">
        <v>138</v>
      </c>
      <c r="BF999" s="28" t="s">
        <v>138</v>
      </c>
      <c r="BG999" s="28" t="s">
        <v>138</v>
      </c>
      <c r="BH999" s="28" t="s">
        <v>19618</v>
      </c>
      <c r="BI999" s="28" t="s">
        <v>138</v>
      </c>
      <c r="BJ999" s="28" t="s">
        <v>138</v>
      </c>
      <c r="BK999" s="28" t="s">
        <v>19619</v>
      </c>
      <c r="BL999" s="28" t="s">
        <v>19620</v>
      </c>
      <c r="BM999" s="34">
        <v>43179</v>
      </c>
      <c r="BN999" s="29" t="s">
        <v>138</v>
      </c>
      <c r="BO999" s="28" t="s">
        <v>138</v>
      </c>
      <c r="BP999" s="29" t="s">
        <v>138</v>
      </c>
      <c r="BQ999" s="28" t="s">
        <v>138</v>
      </c>
      <c r="BR999" s="28" t="s">
        <v>316</v>
      </c>
      <c r="BS999" s="28" t="s">
        <v>138</v>
      </c>
      <c r="BT999" s="28" t="s">
        <v>138</v>
      </c>
      <c r="BU999" s="28" t="s">
        <v>177</v>
      </c>
      <c r="BV999" s="28" t="s">
        <v>138</v>
      </c>
      <c r="BW999" s="28" t="s">
        <v>138</v>
      </c>
      <c r="BX999" s="28" t="s">
        <v>138</v>
      </c>
      <c r="BY999" s="28" t="s">
        <v>175</v>
      </c>
      <c r="BZ999" s="34" t="s">
        <v>138</v>
      </c>
      <c r="CA999" s="29" t="s">
        <v>138</v>
      </c>
      <c r="CB999" s="28" t="s">
        <v>138</v>
      </c>
      <c r="CC999" s="29" t="s">
        <v>138</v>
      </c>
      <c r="CD999" s="28" t="s">
        <v>138</v>
      </c>
      <c r="CE999" s="28" t="s">
        <v>234</v>
      </c>
      <c r="CF999" s="28" t="s">
        <v>234</v>
      </c>
      <c r="CG999" s="28" t="s">
        <v>138</v>
      </c>
      <c r="CH999" s="28" t="s">
        <v>174</v>
      </c>
      <c r="CI999" s="28" t="s">
        <v>138</v>
      </c>
      <c r="CJ999" s="28" t="s">
        <v>138</v>
      </c>
      <c r="CK999" s="28" t="s">
        <v>138</v>
      </c>
      <c r="CL999" s="28" t="s">
        <v>175</v>
      </c>
      <c r="CM999" s="34" t="s">
        <v>138</v>
      </c>
      <c r="CN999" s="29" t="s">
        <v>138</v>
      </c>
      <c r="CO999" s="35">
        <v>3.43</v>
      </c>
      <c r="CP999" s="36">
        <v>100</v>
      </c>
      <c r="CQ999" s="35">
        <v>-0.03</v>
      </c>
      <c r="CR999" s="35">
        <v>-0.77</v>
      </c>
      <c r="CS999" s="35">
        <v>4.99</v>
      </c>
      <c r="CT999" s="36">
        <v>100</v>
      </c>
      <c r="CU999" s="35">
        <v>1.86</v>
      </c>
      <c r="CV999" s="36">
        <v>100</v>
      </c>
      <c r="CW999" s="35">
        <v>4.99</v>
      </c>
      <c r="CX999" s="36">
        <v>95</v>
      </c>
      <c r="CY999" s="35" t="s">
        <v>138</v>
      </c>
      <c r="CZ999" s="36" t="s">
        <v>138</v>
      </c>
      <c r="DA999" s="35">
        <v>2.1800000000000002</v>
      </c>
      <c r="DB999" s="36">
        <v>100</v>
      </c>
      <c r="DC999" s="37">
        <v>57.56</v>
      </c>
      <c r="DD999" s="36">
        <v>98</v>
      </c>
      <c r="DE999" s="37">
        <v>-2.83</v>
      </c>
      <c r="DF999" s="35">
        <v>-4.68</v>
      </c>
      <c r="DG999" s="37">
        <v>45.85</v>
      </c>
      <c r="DH999" s="36">
        <v>98</v>
      </c>
      <c r="DI999" s="37">
        <v>69.27</v>
      </c>
      <c r="DJ999" s="36">
        <v>96</v>
      </c>
      <c r="DK999" s="37">
        <v>45.85</v>
      </c>
      <c r="DL999" s="36">
        <v>96</v>
      </c>
      <c r="DM999" s="37" t="s">
        <v>138</v>
      </c>
      <c r="DN999" s="36" t="s">
        <v>138</v>
      </c>
      <c r="DO999" s="37">
        <v>2.06</v>
      </c>
      <c r="DP999" s="36">
        <v>64</v>
      </c>
      <c r="DQ999" s="36">
        <v>15412</v>
      </c>
      <c r="DR999" s="38">
        <v>938</v>
      </c>
      <c r="DS999" s="35">
        <v>6.48</v>
      </c>
      <c r="DT999" s="36" t="s">
        <v>138</v>
      </c>
      <c r="DU999" s="38" t="s">
        <v>138</v>
      </c>
      <c r="DV999" s="35" t="s">
        <v>138</v>
      </c>
      <c r="DW999" s="36">
        <v>734</v>
      </c>
      <c r="DX999" s="39">
        <v>4</v>
      </c>
      <c r="DY999" s="35">
        <v>0.55000000000000004</v>
      </c>
      <c r="DZ999" s="28" t="s">
        <v>178</v>
      </c>
      <c r="EA999" s="34">
        <v>43619</v>
      </c>
      <c r="EB999" s="29" t="s">
        <v>138</v>
      </c>
      <c r="EC999" s="34" t="s">
        <v>138</v>
      </c>
      <c r="ED999" s="28" t="s">
        <v>138</v>
      </c>
      <c r="EE999" s="40" t="str">
        <f>HYPERLINK("https://my.pitchbook.com?c=226726-48", "View company online")</f>
        <v>View company online</v>
      </c>
    </row>
    <row r="1000" spans="1:135">
      <c r="A1000" s="15" t="s">
        <v>19621</v>
      </c>
      <c r="B1000" s="15" t="s">
        <v>19622</v>
      </c>
      <c r="C1000" s="15" t="s">
        <v>19623</v>
      </c>
      <c r="D1000" s="15" t="s">
        <v>138</v>
      </c>
      <c r="E1000" s="15" t="s">
        <v>19624</v>
      </c>
      <c r="F1000" s="15" t="s">
        <v>19621</v>
      </c>
      <c r="G1000" s="15" t="s">
        <v>19625</v>
      </c>
      <c r="H1000" s="15" t="s">
        <v>322</v>
      </c>
      <c r="I1000" s="15" t="s">
        <v>1503</v>
      </c>
      <c r="J1000" s="15" t="s">
        <v>1504</v>
      </c>
      <c r="K1000" s="15" t="s">
        <v>10428</v>
      </c>
      <c r="L1000" s="15" t="s">
        <v>19626</v>
      </c>
      <c r="M1000" s="15" t="s">
        <v>19627</v>
      </c>
      <c r="N1000" s="15" t="s">
        <v>147</v>
      </c>
      <c r="O1000" s="17">
        <v>5.0999999999999996</v>
      </c>
      <c r="P1000" s="15" t="s">
        <v>148</v>
      </c>
      <c r="Q1000" s="15" t="s">
        <v>149</v>
      </c>
      <c r="R1000" s="15" t="s">
        <v>174</v>
      </c>
      <c r="S1000" s="15" t="s">
        <v>19628</v>
      </c>
      <c r="T1000" s="18">
        <v>15</v>
      </c>
      <c r="U1000" s="15" t="s">
        <v>19629</v>
      </c>
      <c r="V1000" s="15" t="s">
        <v>138</v>
      </c>
      <c r="W1000" s="15" t="s">
        <v>138</v>
      </c>
      <c r="X1000" s="19">
        <v>2017</v>
      </c>
      <c r="Y1000" s="15" t="s">
        <v>138</v>
      </c>
      <c r="Z1000" s="15" t="s">
        <v>138</v>
      </c>
      <c r="AA1000" s="15" t="s">
        <v>19630</v>
      </c>
      <c r="AB1000" s="20" t="s">
        <v>138</v>
      </c>
      <c r="AC1000" s="20" t="s">
        <v>138</v>
      </c>
      <c r="AD1000" s="20" t="s">
        <v>138</v>
      </c>
      <c r="AE1000" s="20" t="s">
        <v>138</v>
      </c>
      <c r="AF1000" s="20" t="s">
        <v>138</v>
      </c>
      <c r="AG1000" s="15" t="s">
        <v>138</v>
      </c>
      <c r="AH1000" s="20" t="s">
        <v>138</v>
      </c>
      <c r="AI1000" s="20" t="s">
        <v>138</v>
      </c>
      <c r="AJ1000" s="20" t="s">
        <v>138</v>
      </c>
      <c r="AK1000" s="15" t="s">
        <v>19631</v>
      </c>
      <c r="AL1000" s="15" t="s">
        <v>19632</v>
      </c>
      <c r="AM1000" s="15" t="s">
        <v>304</v>
      </c>
      <c r="AN1000" s="15" t="s">
        <v>19633</v>
      </c>
      <c r="AO1000" s="15" t="s">
        <v>138</v>
      </c>
      <c r="AP1000" s="15" t="s">
        <v>19634</v>
      </c>
      <c r="AQ1000" s="15" t="s">
        <v>19635</v>
      </c>
      <c r="AR1000" s="15" t="s">
        <v>138</v>
      </c>
      <c r="AS1000" s="15" t="s">
        <v>19636</v>
      </c>
      <c r="AT1000" s="15" t="s">
        <v>10615</v>
      </c>
      <c r="AU1000" s="15" t="s">
        <v>19637</v>
      </c>
      <c r="AV1000" s="15" t="s">
        <v>162</v>
      </c>
      <c r="AW1000" s="15" t="s">
        <v>138</v>
      </c>
      <c r="AX1000" s="15" t="s">
        <v>138</v>
      </c>
      <c r="AY1000" s="15" t="s">
        <v>138</v>
      </c>
      <c r="AZ1000" s="15" t="s">
        <v>164</v>
      </c>
      <c r="BA1000" s="15" t="s">
        <v>165</v>
      </c>
      <c r="BB1000" s="15" t="s">
        <v>19638</v>
      </c>
      <c r="BC1000" s="15" t="s">
        <v>19639</v>
      </c>
      <c r="BD1000" s="21">
        <v>9</v>
      </c>
      <c r="BE1000" s="15" t="s">
        <v>138</v>
      </c>
      <c r="BF1000" s="15" t="s">
        <v>138</v>
      </c>
      <c r="BG1000" s="15" t="s">
        <v>138</v>
      </c>
      <c r="BH1000" s="15" t="s">
        <v>19640</v>
      </c>
      <c r="BI1000" s="15" t="s">
        <v>138</v>
      </c>
      <c r="BJ1000" s="15" t="s">
        <v>138</v>
      </c>
      <c r="BK1000" s="15" t="s">
        <v>138</v>
      </c>
      <c r="BL1000" s="15" t="s">
        <v>138</v>
      </c>
      <c r="BM1000" s="22">
        <v>42736</v>
      </c>
      <c r="BN1000" s="17">
        <v>0.22</v>
      </c>
      <c r="BO1000" s="15" t="s">
        <v>172</v>
      </c>
      <c r="BP1000" s="17" t="s">
        <v>138</v>
      </c>
      <c r="BQ1000" s="15" t="s">
        <v>138</v>
      </c>
      <c r="BR1000" s="15" t="s">
        <v>176</v>
      </c>
      <c r="BS1000" s="15" t="s">
        <v>138</v>
      </c>
      <c r="BT1000" s="15" t="s">
        <v>138</v>
      </c>
      <c r="BU1000" s="15" t="s">
        <v>177</v>
      </c>
      <c r="BV1000" s="15" t="s">
        <v>138</v>
      </c>
      <c r="BW1000" s="15" t="s">
        <v>138</v>
      </c>
      <c r="BX1000" s="15" t="s">
        <v>138</v>
      </c>
      <c r="BY1000" s="15" t="s">
        <v>175</v>
      </c>
      <c r="BZ1000" s="22">
        <v>43363</v>
      </c>
      <c r="CA1000" s="17">
        <v>5</v>
      </c>
      <c r="CB1000" s="15" t="s">
        <v>172</v>
      </c>
      <c r="CC1000" s="17">
        <v>14</v>
      </c>
      <c r="CD1000" s="15" t="s">
        <v>172</v>
      </c>
      <c r="CE1000" s="15" t="s">
        <v>234</v>
      </c>
      <c r="CF1000" s="15" t="s">
        <v>234</v>
      </c>
      <c r="CG1000" s="15" t="s">
        <v>138</v>
      </c>
      <c r="CH1000" s="15" t="s">
        <v>174</v>
      </c>
      <c r="CI1000" s="15" t="s">
        <v>177</v>
      </c>
      <c r="CJ1000" s="15" t="s">
        <v>138</v>
      </c>
      <c r="CK1000" s="15" t="s">
        <v>138</v>
      </c>
      <c r="CL1000" s="15" t="s">
        <v>175</v>
      </c>
      <c r="CM1000" s="22" t="s">
        <v>138</v>
      </c>
      <c r="CN1000" s="17" t="s">
        <v>138</v>
      </c>
      <c r="CO1000" s="23">
        <v>0</v>
      </c>
      <c r="CP1000" s="24">
        <v>26</v>
      </c>
      <c r="CQ1000" s="23">
        <v>0</v>
      </c>
      <c r="CR1000" s="23">
        <v>0</v>
      </c>
      <c r="CS1000" s="23" t="s">
        <v>138</v>
      </c>
      <c r="CT1000" s="24" t="s">
        <v>138</v>
      </c>
      <c r="CU1000" s="23">
        <v>0</v>
      </c>
      <c r="CV1000" s="24">
        <v>22</v>
      </c>
      <c r="CW1000" s="23" t="s">
        <v>138</v>
      </c>
      <c r="CX1000" s="24" t="s">
        <v>138</v>
      </c>
      <c r="CY1000" s="23" t="s">
        <v>138</v>
      </c>
      <c r="CZ1000" s="24" t="s">
        <v>138</v>
      </c>
      <c r="DA1000" s="23">
        <v>0</v>
      </c>
      <c r="DB1000" s="24">
        <v>22</v>
      </c>
      <c r="DC1000" s="25">
        <v>0.14000000000000001</v>
      </c>
      <c r="DD1000" s="24">
        <v>10</v>
      </c>
      <c r="DE1000" s="25">
        <v>0.01</v>
      </c>
      <c r="DF1000" s="23">
        <v>4.84</v>
      </c>
      <c r="DG1000" s="25" t="s">
        <v>138</v>
      </c>
      <c r="DH1000" s="24" t="s">
        <v>138</v>
      </c>
      <c r="DI1000" s="25">
        <v>0.14000000000000001</v>
      </c>
      <c r="DJ1000" s="24">
        <v>18</v>
      </c>
      <c r="DK1000" s="25" t="s">
        <v>138</v>
      </c>
      <c r="DL1000" s="24" t="s">
        <v>138</v>
      </c>
      <c r="DM1000" s="25" t="s">
        <v>138</v>
      </c>
      <c r="DN1000" s="24" t="s">
        <v>138</v>
      </c>
      <c r="DO1000" s="25">
        <v>0.14000000000000001</v>
      </c>
      <c r="DP1000" s="24">
        <v>20</v>
      </c>
      <c r="DQ1000" s="24" t="s">
        <v>138</v>
      </c>
      <c r="DR1000" s="26" t="s">
        <v>138</v>
      </c>
      <c r="DS1000" s="23" t="s">
        <v>138</v>
      </c>
      <c r="DT1000" s="24" t="s">
        <v>138</v>
      </c>
      <c r="DU1000" s="26" t="s">
        <v>138</v>
      </c>
      <c r="DV1000" s="23" t="s">
        <v>138</v>
      </c>
      <c r="DW1000" s="24">
        <v>48</v>
      </c>
      <c r="DX1000" s="27">
        <v>1</v>
      </c>
      <c r="DY1000" s="23">
        <v>2.13</v>
      </c>
      <c r="DZ1000" s="15" t="s">
        <v>178</v>
      </c>
      <c r="EA1000" s="22">
        <v>43622</v>
      </c>
      <c r="EB1000" s="17">
        <v>14</v>
      </c>
      <c r="EC1000" s="22">
        <v>43363</v>
      </c>
      <c r="ED1000" s="15" t="s">
        <v>234</v>
      </c>
      <c r="EE1000" s="14" t="str">
        <f>HYPERLINK("https://my.pitchbook.com?c=182041-30", "View company online")</f>
        <v>View company online</v>
      </c>
    </row>
    <row r="1001" spans="1:135">
      <c r="A1001" s="28" t="s">
        <v>19641</v>
      </c>
      <c r="B1001" s="28" t="s">
        <v>19642</v>
      </c>
      <c r="C1001" s="28" t="s">
        <v>19643</v>
      </c>
      <c r="D1001" s="28" t="s">
        <v>138</v>
      </c>
      <c r="E1001" s="28" t="s">
        <v>138</v>
      </c>
      <c r="F1001" s="28" t="s">
        <v>19641</v>
      </c>
      <c r="G1001" s="28" t="s">
        <v>19644</v>
      </c>
      <c r="H1001" s="28" t="s">
        <v>322</v>
      </c>
      <c r="I1001" s="28" t="s">
        <v>323</v>
      </c>
      <c r="J1001" s="28" t="s">
        <v>413</v>
      </c>
      <c r="K1001" s="28" t="s">
        <v>19645</v>
      </c>
      <c r="L1001" s="28" t="s">
        <v>2274</v>
      </c>
      <c r="M1001" s="28" t="s">
        <v>19646</v>
      </c>
      <c r="N1001" s="28" t="s">
        <v>147</v>
      </c>
      <c r="O1001" s="29">
        <v>5.08</v>
      </c>
      <c r="P1001" s="28" t="s">
        <v>148</v>
      </c>
      <c r="Q1001" s="28" t="s">
        <v>149</v>
      </c>
      <c r="R1001" s="28" t="s">
        <v>174</v>
      </c>
      <c r="S1001" s="28" t="s">
        <v>19647</v>
      </c>
      <c r="T1001" s="30">
        <v>7</v>
      </c>
      <c r="U1001" s="28" t="s">
        <v>19648</v>
      </c>
      <c r="V1001" s="28" t="s">
        <v>138</v>
      </c>
      <c r="W1001" s="28" t="s">
        <v>138</v>
      </c>
      <c r="X1001" s="31">
        <v>2015</v>
      </c>
      <c r="Y1001" s="28" t="s">
        <v>138</v>
      </c>
      <c r="Z1001" s="28" t="s">
        <v>138</v>
      </c>
      <c r="AA1001" s="28" t="s">
        <v>138</v>
      </c>
      <c r="AB1001" s="32" t="s">
        <v>138</v>
      </c>
      <c r="AC1001" s="32" t="s">
        <v>138</v>
      </c>
      <c r="AD1001" s="32" t="s">
        <v>138</v>
      </c>
      <c r="AE1001" s="32" t="s">
        <v>138</v>
      </c>
      <c r="AF1001" s="32" t="s">
        <v>138</v>
      </c>
      <c r="AG1001" s="28" t="s">
        <v>138</v>
      </c>
      <c r="AH1001" s="32" t="s">
        <v>138</v>
      </c>
      <c r="AI1001" s="32" t="s">
        <v>138</v>
      </c>
      <c r="AJ1001" s="32" t="s">
        <v>138</v>
      </c>
      <c r="AK1001" s="28" t="s">
        <v>19649</v>
      </c>
      <c r="AL1001" s="28" t="s">
        <v>19650</v>
      </c>
      <c r="AM1001" s="28" t="s">
        <v>1632</v>
      </c>
      <c r="AN1001" s="28" t="s">
        <v>19651</v>
      </c>
      <c r="AO1001" s="28" t="s">
        <v>138</v>
      </c>
      <c r="AP1001" s="28" t="s">
        <v>19652</v>
      </c>
      <c r="AQ1001" s="28" t="s">
        <v>19653</v>
      </c>
      <c r="AR1001" s="28" t="s">
        <v>19654</v>
      </c>
      <c r="AS1001" s="28" t="s">
        <v>19655</v>
      </c>
      <c r="AT1001" s="28" t="s">
        <v>1389</v>
      </c>
      <c r="AU1001" s="28" t="s">
        <v>19656</v>
      </c>
      <c r="AV1001" s="28" t="s">
        <v>162</v>
      </c>
      <c r="AW1001" s="28" t="s">
        <v>138</v>
      </c>
      <c r="AX1001" s="28" t="s">
        <v>138</v>
      </c>
      <c r="AY1001" s="28" t="s">
        <v>19657</v>
      </c>
      <c r="AZ1001" s="28" t="s">
        <v>164</v>
      </c>
      <c r="BA1001" s="28" t="s">
        <v>165</v>
      </c>
      <c r="BB1001" s="28" t="s">
        <v>19658</v>
      </c>
      <c r="BC1001" s="28" t="s">
        <v>19659</v>
      </c>
      <c r="BD1001" s="33">
        <v>17</v>
      </c>
      <c r="BE1001" s="28" t="s">
        <v>138</v>
      </c>
      <c r="BF1001" s="28" t="s">
        <v>138</v>
      </c>
      <c r="BG1001" s="28" t="s">
        <v>138</v>
      </c>
      <c r="BH1001" s="28" t="s">
        <v>19660</v>
      </c>
      <c r="BI1001" s="28" t="s">
        <v>138</v>
      </c>
      <c r="BJ1001" s="28" t="s">
        <v>138</v>
      </c>
      <c r="BK1001" s="28" t="s">
        <v>138</v>
      </c>
      <c r="BL1001" s="28" t="s">
        <v>138</v>
      </c>
      <c r="BM1001" s="34">
        <v>42159</v>
      </c>
      <c r="BN1001" s="29">
        <v>0.13</v>
      </c>
      <c r="BO1001" s="28" t="s">
        <v>172</v>
      </c>
      <c r="BP1001" s="29">
        <v>2.83</v>
      </c>
      <c r="BQ1001" s="28" t="s">
        <v>172</v>
      </c>
      <c r="BR1001" s="28" t="s">
        <v>316</v>
      </c>
      <c r="BS1001" s="28" t="s">
        <v>138</v>
      </c>
      <c r="BT1001" s="28" t="s">
        <v>138</v>
      </c>
      <c r="BU1001" s="28" t="s">
        <v>177</v>
      </c>
      <c r="BV1001" s="28" t="s">
        <v>138</v>
      </c>
      <c r="BW1001" s="28" t="s">
        <v>138</v>
      </c>
      <c r="BX1001" s="28" t="s">
        <v>138</v>
      </c>
      <c r="BY1001" s="28" t="s">
        <v>175</v>
      </c>
      <c r="BZ1001" s="34" t="s">
        <v>138</v>
      </c>
      <c r="CA1001" s="29" t="s">
        <v>138</v>
      </c>
      <c r="CB1001" s="28" t="s">
        <v>138</v>
      </c>
      <c r="CC1001" s="29" t="s">
        <v>138</v>
      </c>
      <c r="CD1001" s="28" t="s">
        <v>138</v>
      </c>
      <c r="CE1001" s="28" t="s">
        <v>205</v>
      </c>
      <c r="CF1001" s="28" t="s">
        <v>138</v>
      </c>
      <c r="CG1001" s="28" t="s">
        <v>138</v>
      </c>
      <c r="CH1001" s="28" t="s">
        <v>174</v>
      </c>
      <c r="CI1001" s="28" t="s">
        <v>138</v>
      </c>
      <c r="CJ1001" s="28" t="s">
        <v>138</v>
      </c>
      <c r="CK1001" s="28" t="s">
        <v>138</v>
      </c>
      <c r="CL1001" s="28" t="s">
        <v>175</v>
      </c>
      <c r="CM1001" s="34" t="s">
        <v>138</v>
      </c>
      <c r="CN1001" s="29" t="s">
        <v>138</v>
      </c>
      <c r="CO1001" s="35">
        <v>0</v>
      </c>
      <c r="CP1001" s="36">
        <v>26</v>
      </c>
      <c r="CQ1001" s="35">
        <v>0</v>
      </c>
      <c r="CR1001" s="35">
        <v>0</v>
      </c>
      <c r="CS1001" s="35">
        <v>0</v>
      </c>
      <c r="CT1001" s="36">
        <v>23</v>
      </c>
      <c r="CU1001" s="35" t="s">
        <v>138</v>
      </c>
      <c r="CV1001" s="36" t="s">
        <v>138</v>
      </c>
      <c r="CW1001" s="35">
        <v>0</v>
      </c>
      <c r="CX1001" s="36">
        <v>13</v>
      </c>
      <c r="CY1001" s="35">
        <v>0</v>
      </c>
      <c r="CZ1001" s="36">
        <v>25</v>
      </c>
      <c r="DA1001" s="35" t="s">
        <v>138</v>
      </c>
      <c r="DB1001" s="36" t="s">
        <v>138</v>
      </c>
      <c r="DC1001" s="37">
        <v>1.38</v>
      </c>
      <c r="DD1001" s="36">
        <v>59</v>
      </c>
      <c r="DE1001" s="37">
        <v>-0.17</v>
      </c>
      <c r="DF1001" s="35">
        <v>-10.74</v>
      </c>
      <c r="DG1001" s="37">
        <v>1.38</v>
      </c>
      <c r="DH1001" s="36">
        <v>58</v>
      </c>
      <c r="DI1001" s="37" t="s">
        <v>138</v>
      </c>
      <c r="DJ1001" s="36" t="s">
        <v>138</v>
      </c>
      <c r="DK1001" s="37">
        <v>2.59</v>
      </c>
      <c r="DL1001" s="36">
        <v>69</v>
      </c>
      <c r="DM1001" s="37">
        <v>0.17</v>
      </c>
      <c r="DN1001" s="36">
        <v>14</v>
      </c>
      <c r="DO1001" s="37" t="s">
        <v>138</v>
      </c>
      <c r="DP1001" s="36" t="s">
        <v>138</v>
      </c>
      <c r="DQ1001" s="36">
        <v>886</v>
      </c>
      <c r="DR1001" s="38">
        <v>11</v>
      </c>
      <c r="DS1001" s="35">
        <v>1.26</v>
      </c>
      <c r="DT1001" s="36">
        <v>5</v>
      </c>
      <c r="DU1001" s="38">
        <v>0</v>
      </c>
      <c r="DV1001" s="35">
        <v>0</v>
      </c>
      <c r="DW1001" s="36" t="s">
        <v>138</v>
      </c>
      <c r="DX1001" s="39" t="s">
        <v>138</v>
      </c>
      <c r="DY1001" s="35" t="s">
        <v>138</v>
      </c>
      <c r="DZ1001" s="28" t="s">
        <v>178</v>
      </c>
      <c r="EA1001" s="34">
        <v>43364</v>
      </c>
      <c r="EB1001" s="29">
        <v>6.85</v>
      </c>
      <c r="EC1001" s="34">
        <v>42326</v>
      </c>
      <c r="ED1001" s="28" t="s">
        <v>234</v>
      </c>
      <c r="EE1001" s="40" t="str">
        <f>HYPERLINK("https://my.pitchbook.com?c=148762-18", "View company online")</f>
        <v>View company online</v>
      </c>
    </row>
    <row r="1002" spans="1:135">
      <c r="A1002" s="15" t="s">
        <v>19661</v>
      </c>
      <c r="B1002" s="15" t="s">
        <v>19662</v>
      </c>
      <c r="C1002" s="15" t="s">
        <v>19663</v>
      </c>
      <c r="D1002" s="15" t="s">
        <v>138</v>
      </c>
      <c r="E1002" s="15" t="s">
        <v>19664</v>
      </c>
      <c r="F1002" s="15" t="s">
        <v>19661</v>
      </c>
      <c r="G1002" s="15" t="s">
        <v>19665</v>
      </c>
      <c r="H1002" s="15" t="s">
        <v>322</v>
      </c>
      <c r="I1002" s="15" t="s">
        <v>323</v>
      </c>
      <c r="J1002" s="15" t="s">
        <v>413</v>
      </c>
      <c r="K1002" s="15" t="s">
        <v>874</v>
      </c>
      <c r="L1002" s="15" t="s">
        <v>4762</v>
      </c>
      <c r="M1002" s="15" t="s">
        <v>19666</v>
      </c>
      <c r="N1002" s="15" t="s">
        <v>147</v>
      </c>
      <c r="O1002" s="17">
        <v>3.07</v>
      </c>
      <c r="P1002" s="15" t="s">
        <v>610</v>
      </c>
      <c r="Q1002" s="15" t="s">
        <v>149</v>
      </c>
      <c r="R1002" s="15" t="s">
        <v>174</v>
      </c>
      <c r="S1002" s="15" t="s">
        <v>19667</v>
      </c>
      <c r="T1002" s="18">
        <v>12</v>
      </c>
      <c r="U1002" s="15" t="s">
        <v>12576</v>
      </c>
      <c r="V1002" s="15" t="s">
        <v>138</v>
      </c>
      <c r="W1002" s="15" t="s">
        <v>138</v>
      </c>
      <c r="X1002" s="19">
        <v>2015</v>
      </c>
      <c r="Y1002" s="15" t="s">
        <v>138</v>
      </c>
      <c r="Z1002" s="15" t="s">
        <v>138</v>
      </c>
      <c r="AA1002" s="15" t="s">
        <v>138</v>
      </c>
      <c r="AB1002" s="20" t="s">
        <v>138</v>
      </c>
      <c r="AC1002" s="20" t="s">
        <v>138</v>
      </c>
      <c r="AD1002" s="20" t="s">
        <v>138</v>
      </c>
      <c r="AE1002" s="20" t="s">
        <v>138</v>
      </c>
      <c r="AF1002" s="20" t="s">
        <v>138</v>
      </c>
      <c r="AG1002" s="15" t="s">
        <v>138</v>
      </c>
      <c r="AH1002" s="20" t="s">
        <v>138</v>
      </c>
      <c r="AI1002" s="20" t="s">
        <v>138</v>
      </c>
      <c r="AJ1002" s="20" t="s">
        <v>138</v>
      </c>
      <c r="AK1002" s="15" t="s">
        <v>19668</v>
      </c>
      <c r="AL1002" s="15" t="s">
        <v>19669</v>
      </c>
      <c r="AM1002" s="15" t="s">
        <v>19670</v>
      </c>
      <c r="AN1002" s="15" t="s">
        <v>19671</v>
      </c>
      <c r="AO1002" s="15" t="s">
        <v>19672</v>
      </c>
      <c r="AP1002" s="15" t="s">
        <v>19673</v>
      </c>
      <c r="AQ1002" s="15" t="s">
        <v>19674</v>
      </c>
      <c r="AR1002" s="15" t="s">
        <v>138</v>
      </c>
      <c r="AS1002" s="15" t="s">
        <v>19675</v>
      </c>
      <c r="AT1002" s="15" t="s">
        <v>864</v>
      </c>
      <c r="AU1002" s="15" t="s">
        <v>19676</v>
      </c>
      <c r="AV1002" s="15" t="s">
        <v>162</v>
      </c>
      <c r="AW1002" s="15" t="s">
        <v>19672</v>
      </c>
      <c r="AX1002" s="15" t="s">
        <v>138</v>
      </c>
      <c r="AY1002" s="15" t="s">
        <v>19677</v>
      </c>
      <c r="AZ1002" s="15" t="s">
        <v>164</v>
      </c>
      <c r="BA1002" s="15" t="s">
        <v>165</v>
      </c>
      <c r="BB1002" s="15" t="s">
        <v>19678</v>
      </c>
      <c r="BC1002" s="15" t="s">
        <v>19679</v>
      </c>
      <c r="BD1002" s="21">
        <v>4</v>
      </c>
      <c r="BE1002" s="15" t="s">
        <v>138</v>
      </c>
      <c r="BF1002" s="15" t="s">
        <v>138</v>
      </c>
      <c r="BG1002" s="15" t="s">
        <v>138</v>
      </c>
      <c r="BH1002" s="15" t="s">
        <v>19680</v>
      </c>
      <c r="BI1002" s="15" t="s">
        <v>138</v>
      </c>
      <c r="BJ1002" s="15" t="s">
        <v>138</v>
      </c>
      <c r="BK1002" s="15" t="s">
        <v>138</v>
      </c>
      <c r="BL1002" s="15" t="s">
        <v>138</v>
      </c>
      <c r="BM1002" s="22">
        <v>42370</v>
      </c>
      <c r="BN1002" s="17">
        <v>1.74</v>
      </c>
      <c r="BO1002" s="15" t="s">
        <v>172</v>
      </c>
      <c r="BP1002" s="17" t="s">
        <v>138</v>
      </c>
      <c r="BQ1002" s="15" t="s">
        <v>138</v>
      </c>
      <c r="BR1002" s="15" t="s">
        <v>176</v>
      </c>
      <c r="BS1002" s="15" t="s">
        <v>138</v>
      </c>
      <c r="BT1002" s="15" t="s">
        <v>138</v>
      </c>
      <c r="BU1002" s="15" t="s">
        <v>177</v>
      </c>
      <c r="BV1002" s="15" t="s">
        <v>138</v>
      </c>
      <c r="BW1002" s="15" t="s">
        <v>138</v>
      </c>
      <c r="BX1002" s="15" t="s">
        <v>138</v>
      </c>
      <c r="BY1002" s="15" t="s">
        <v>175</v>
      </c>
      <c r="BZ1002" s="22">
        <v>43551</v>
      </c>
      <c r="CA1002" s="17">
        <v>0.73</v>
      </c>
      <c r="CB1002" s="15" t="s">
        <v>172</v>
      </c>
      <c r="CC1002" s="17" t="s">
        <v>138</v>
      </c>
      <c r="CD1002" s="15" t="s">
        <v>138</v>
      </c>
      <c r="CE1002" s="15" t="s">
        <v>234</v>
      </c>
      <c r="CF1002" s="15" t="s">
        <v>234</v>
      </c>
      <c r="CG1002" s="15" t="s">
        <v>138</v>
      </c>
      <c r="CH1002" s="15" t="s">
        <v>174</v>
      </c>
      <c r="CI1002" s="15" t="s">
        <v>264</v>
      </c>
      <c r="CJ1002" s="15" t="s">
        <v>138</v>
      </c>
      <c r="CK1002" s="15" t="s">
        <v>138</v>
      </c>
      <c r="CL1002" s="15" t="s">
        <v>175</v>
      </c>
      <c r="CM1002" s="22" t="s">
        <v>138</v>
      </c>
      <c r="CN1002" s="17" t="s">
        <v>138</v>
      </c>
      <c r="CO1002" s="23">
        <v>0.28999999999999998</v>
      </c>
      <c r="CP1002" s="24">
        <v>93</v>
      </c>
      <c r="CQ1002" s="23">
        <v>0.03</v>
      </c>
      <c r="CR1002" s="23">
        <v>13.31</v>
      </c>
      <c r="CS1002" s="23">
        <v>0</v>
      </c>
      <c r="CT1002" s="24">
        <v>23</v>
      </c>
      <c r="CU1002" s="23">
        <v>0.56999999999999995</v>
      </c>
      <c r="CV1002" s="24">
        <v>95</v>
      </c>
      <c r="CW1002" s="23">
        <v>0</v>
      </c>
      <c r="CX1002" s="24">
        <v>13</v>
      </c>
      <c r="CY1002" s="23">
        <v>0</v>
      </c>
      <c r="CZ1002" s="24">
        <v>25</v>
      </c>
      <c r="DA1002" s="23">
        <v>0.56999999999999995</v>
      </c>
      <c r="DB1002" s="24">
        <v>95</v>
      </c>
      <c r="DC1002" s="25">
        <v>0.78</v>
      </c>
      <c r="DD1002" s="24">
        <v>45</v>
      </c>
      <c r="DE1002" s="25">
        <v>-0.05</v>
      </c>
      <c r="DF1002" s="23">
        <v>-6.58</v>
      </c>
      <c r="DG1002" s="25">
        <v>1.05</v>
      </c>
      <c r="DH1002" s="24">
        <v>52</v>
      </c>
      <c r="DI1002" s="25">
        <v>0.51</v>
      </c>
      <c r="DJ1002" s="24">
        <v>37</v>
      </c>
      <c r="DK1002" s="25">
        <v>1.75</v>
      </c>
      <c r="DL1002" s="24">
        <v>62</v>
      </c>
      <c r="DM1002" s="25">
        <v>0.34</v>
      </c>
      <c r="DN1002" s="24">
        <v>26</v>
      </c>
      <c r="DO1002" s="25">
        <v>0.51</v>
      </c>
      <c r="DP1002" s="24">
        <v>38</v>
      </c>
      <c r="DQ1002" s="24">
        <v>565</v>
      </c>
      <c r="DR1002" s="26">
        <v>104</v>
      </c>
      <c r="DS1002" s="23">
        <v>22.56</v>
      </c>
      <c r="DT1002" s="24">
        <v>10</v>
      </c>
      <c r="DU1002" s="26">
        <v>-12</v>
      </c>
      <c r="DV1002" s="23">
        <v>-54.55</v>
      </c>
      <c r="DW1002" s="24">
        <v>181</v>
      </c>
      <c r="DX1002" s="27">
        <v>2</v>
      </c>
      <c r="DY1002" s="23">
        <v>1.1200000000000001</v>
      </c>
      <c r="DZ1002" s="15" t="s">
        <v>178</v>
      </c>
      <c r="EA1002" s="22">
        <v>43588</v>
      </c>
      <c r="EB1002" s="17">
        <v>5.8</v>
      </c>
      <c r="EC1002" s="22">
        <v>43206</v>
      </c>
      <c r="ED1002" s="15" t="s">
        <v>234</v>
      </c>
      <c r="EE1002" s="14" t="str">
        <f>HYPERLINK("https://my.pitchbook.com?c=224546-32", "View company online")</f>
        <v>View company online</v>
      </c>
    </row>
    <row r="1003" spans="1:135">
      <c r="A1003" s="28" t="s">
        <v>19681</v>
      </c>
      <c r="B1003" s="28" t="s">
        <v>19682</v>
      </c>
      <c r="C1003" s="28" t="s">
        <v>138</v>
      </c>
      <c r="D1003" s="28" t="s">
        <v>138</v>
      </c>
      <c r="E1003" s="28" t="s">
        <v>138</v>
      </c>
      <c r="F1003" s="28" t="s">
        <v>19681</v>
      </c>
      <c r="G1003" s="28" t="s">
        <v>19683</v>
      </c>
      <c r="H1003" s="28" t="s">
        <v>322</v>
      </c>
      <c r="I1003" s="28" t="s">
        <v>1208</v>
      </c>
      <c r="J1003" s="28" t="s">
        <v>1209</v>
      </c>
      <c r="K1003" s="28" t="s">
        <v>19684</v>
      </c>
      <c r="L1003" s="28" t="s">
        <v>1104</v>
      </c>
      <c r="M1003" s="28" t="s">
        <v>19685</v>
      </c>
      <c r="N1003" s="28" t="s">
        <v>147</v>
      </c>
      <c r="O1003" s="29">
        <v>8.9700000000000006</v>
      </c>
      <c r="P1003" s="28" t="s">
        <v>148</v>
      </c>
      <c r="Q1003" s="28" t="s">
        <v>149</v>
      </c>
      <c r="R1003" s="28" t="s">
        <v>174</v>
      </c>
      <c r="S1003" s="28" t="s">
        <v>19686</v>
      </c>
      <c r="T1003" s="30">
        <v>3</v>
      </c>
      <c r="U1003" s="28" t="s">
        <v>19687</v>
      </c>
      <c r="V1003" s="28" t="s">
        <v>138</v>
      </c>
      <c r="W1003" s="28" t="s">
        <v>138</v>
      </c>
      <c r="X1003" s="31">
        <v>2012</v>
      </c>
      <c r="Y1003" s="28" t="s">
        <v>138</v>
      </c>
      <c r="Z1003" s="28" t="s">
        <v>138</v>
      </c>
      <c r="AA1003" s="28" t="s">
        <v>138</v>
      </c>
      <c r="AB1003" s="32" t="s">
        <v>138</v>
      </c>
      <c r="AC1003" s="32" t="s">
        <v>138</v>
      </c>
      <c r="AD1003" s="32" t="s">
        <v>138</v>
      </c>
      <c r="AE1003" s="32" t="s">
        <v>138</v>
      </c>
      <c r="AF1003" s="32" t="s">
        <v>138</v>
      </c>
      <c r="AG1003" s="28" t="s">
        <v>138</v>
      </c>
      <c r="AH1003" s="32" t="s">
        <v>138</v>
      </c>
      <c r="AI1003" s="32" t="s">
        <v>138</v>
      </c>
      <c r="AJ1003" s="32" t="s">
        <v>138</v>
      </c>
      <c r="AK1003" s="28" t="s">
        <v>19688</v>
      </c>
      <c r="AL1003" s="28" t="s">
        <v>19689</v>
      </c>
      <c r="AM1003" s="28" t="s">
        <v>2794</v>
      </c>
      <c r="AN1003" s="28" t="s">
        <v>19690</v>
      </c>
      <c r="AO1003" s="28" t="s">
        <v>19691</v>
      </c>
      <c r="AP1003" s="28" t="s">
        <v>423</v>
      </c>
      <c r="AQ1003" s="28" t="s">
        <v>19692</v>
      </c>
      <c r="AR1003" s="28" t="s">
        <v>12434</v>
      </c>
      <c r="AS1003" s="28" t="s">
        <v>426</v>
      </c>
      <c r="AT1003" s="28" t="s">
        <v>426</v>
      </c>
      <c r="AU1003" s="28" t="s">
        <v>3394</v>
      </c>
      <c r="AV1003" s="28" t="s">
        <v>162</v>
      </c>
      <c r="AW1003" s="28" t="s">
        <v>19693</v>
      </c>
      <c r="AX1003" s="28" t="s">
        <v>138</v>
      </c>
      <c r="AY1003" s="28" t="s">
        <v>19694</v>
      </c>
      <c r="AZ1003" s="28" t="s">
        <v>164</v>
      </c>
      <c r="BA1003" s="28" t="s">
        <v>165</v>
      </c>
      <c r="BB1003" s="28" t="s">
        <v>19695</v>
      </c>
      <c r="BC1003" s="28" t="s">
        <v>19696</v>
      </c>
      <c r="BD1003" s="33">
        <v>8</v>
      </c>
      <c r="BE1003" s="28" t="s">
        <v>138</v>
      </c>
      <c r="BF1003" s="28" t="s">
        <v>138</v>
      </c>
      <c r="BG1003" s="28" t="s">
        <v>138</v>
      </c>
      <c r="BH1003" s="28" t="s">
        <v>19697</v>
      </c>
      <c r="BI1003" s="28" t="s">
        <v>138</v>
      </c>
      <c r="BJ1003" s="28" t="s">
        <v>138</v>
      </c>
      <c r="BK1003" s="28" t="s">
        <v>138</v>
      </c>
      <c r="BL1003" s="28" t="s">
        <v>138</v>
      </c>
      <c r="BM1003" s="34" t="s">
        <v>138</v>
      </c>
      <c r="BN1003" s="29" t="s">
        <v>138</v>
      </c>
      <c r="BO1003" s="28" t="s">
        <v>138</v>
      </c>
      <c r="BP1003" s="29" t="s">
        <v>138</v>
      </c>
      <c r="BQ1003" s="28" t="s">
        <v>138</v>
      </c>
      <c r="BR1003" s="28" t="s">
        <v>316</v>
      </c>
      <c r="BS1003" s="28" t="s">
        <v>138</v>
      </c>
      <c r="BT1003" s="28" t="s">
        <v>138</v>
      </c>
      <c r="BU1003" s="28" t="s">
        <v>177</v>
      </c>
      <c r="BV1003" s="28" t="s">
        <v>138</v>
      </c>
      <c r="BW1003" s="28" t="s">
        <v>138</v>
      </c>
      <c r="BX1003" s="28" t="s">
        <v>138</v>
      </c>
      <c r="BY1003" s="28" t="s">
        <v>175</v>
      </c>
      <c r="BZ1003" s="34">
        <v>43231</v>
      </c>
      <c r="CA1003" s="29">
        <v>7.97</v>
      </c>
      <c r="CB1003" s="28" t="s">
        <v>172</v>
      </c>
      <c r="CC1003" s="29">
        <v>22.7</v>
      </c>
      <c r="CD1003" s="28" t="s">
        <v>172</v>
      </c>
      <c r="CE1003" s="28" t="s">
        <v>173</v>
      </c>
      <c r="CF1003" s="28" t="s">
        <v>206</v>
      </c>
      <c r="CG1003" s="28" t="s">
        <v>138</v>
      </c>
      <c r="CH1003" s="28" t="s">
        <v>174</v>
      </c>
      <c r="CI1003" s="28" t="s">
        <v>177</v>
      </c>
      <c r="CJ1003" s="28" t="s">
        <v>138</v>
      </c>
      <c r="CK1003" s="28" t="s">
        <v>138</v>
      </c>
      <c r="CL1003" s="28" t="s">
        <v>175</v>
      </c>
      <c r="CM1003" s="34" t="s">
        <v>138</v>
      </c>
      <c r="CN1003" s="29" t="s">
        <v>138</v>
      </c>
      <c r="CO1003" s="35">
        <v>0</v>
      </c>
      <c r="CP1003" s="36">
        <v>26</v>
      </c>
      <c r="CQ1003" s="35">
        <v>0</v>
      </c>
      <c r="CR1003" s="35">
        <v>0</v>
      </c>
      <c r="CS1003" s="35">
        <v>0</v>
      </c>
      <c r="CT1003" s="36">
        <v>23</v>
      </c>
      <c r="CU1003" s="35">
        <v>0</v>
      </c>
      <c r="CV1003" s="36">
        <v>22</v>
      </c>
      <c r="CW1003" s="35" t="s">
        <v>138</v>
      </c>
      <c r="CX1003" s="36" t="s">
        <v>138</v>
      </c>
      <c r="CY1003" s="35">
        <v>0</v>
      </c>
      <c r="CZ1003" s="36">
        <v>25</v>
      </c>
      <c r="DA1003" s="35">
        <v>0</v>
      </c>
      <c r="DB1003" s="36">
        <v>22</v>
      </c>
      <c r="DC1003" s="37">
        <v>0.88</v>
      </c>
      <c r="DD1003" s="36">
        <v>48</v>
      </c>
      <c r="DE1003" s="37">
        <v>-0.02</v>
      </c>
      <c r="DF1003" s="35">
        <v>-1.89</v>
      </c>
      <c r="DG1003" s="37">
        <v>1.66</v>
      </c>
      <c r="DH1003" s="36">
        <v>63</v>
      </c>
      <c r="DI1003" s="37">
        <v>0.11</v>
      </c>
      <c r="DJ1003" s="36">
        <v>15</v>
      </c>
      <c r="DK1003" s="37" t="s">
        <v>138</v>
      </c>
      <c r="DL1003" s="36" t="s">
        <v>138</v>
      </c>
      <c r="DM1003" s="37">
        <v>1.66</v>
      </c>
      <c r="DN1003" s="36">
        <v>62</v>
      </c>
      <c r="DO1003" s="37">
        <v>0.18</v>
      </c>
      <c r="DP1003" s="36">
        <v>23</v>
      </c>
      <c r="DQ1003" s="36" t="s">
        <v>138</v>
      </c>
      <c r="DR1003" s="38" t="s">
        <v>138</v>
      </c>
      <c r="DS1003" s="35" t="s">
        <v>138</v>
      </c>
      <c r="DT1003" s="36">
        <v>48</v>
      </c>
      <c r="DU1003" s="38">
        <v>-1</v>
      </c>
      <c r="DV1003" s="35">
        <v>-2.04</v>
      </c>
      <c r="DW1003" s="36">
        <v>63</v>
      </c>
      <c r="DX1003" s="39">
        <v>0</v>
      </c>
      <c r="DY1003" s="35">
        <v>0</v>
      </c>
      <c r="DZ1003" s="28" t="s">
        <v>178</v>
      </c>
      <c r="EA1003" s="34">
        <v>43580</v>
      </c>
      <c r="EB1003" s="29">
        <v>22.7</v>
      </c>
      <c r="EC1003" s="34">
        <v>43231</v>
      </c>
      <c r="ED1003" s="28" t="s">
        <v>173</v>
      </c>
      <c r="EE1003" s="40" t="str">
        <f>HYPERLINK("https://my.pitchbook.com?c=99115-57", "View company online")</f>
        <v>View company online</v>
      </c>
    </row>
    <row r="1004" spans="1:135">
      <c r="A1004" s="15" t="s">
        <v>19698</v>
      </c>
      <c r="B1004" s="15" t="s">
        <v>19699</v>
      </c>
      <c r="C1004" s="15" t="s">
        <v>19700</v>
      </c>
      <c r="D1004" s="15" t="s">
        <v>138</v>
      </c>
      <c r="E1004" s="15" t="s">
        <v>19701</v>
      </c>
      <c r="F1004" s="15" t="s">
        <v>19698</v>
      </c>
      <c r="G1004" s="15" t="s">
        <v>19702</v>
      </c>
      <c r="H1004" s="15" t="s">
        <v>322</v>
      </c>
      <c r="I1004" s="15" t="s">
        <v>323</v>
      </c>
      <c r="J1004" s="15" t="s">
        <v>324</v>
      </c>
      <c r="K1004" s="15" t="s">
        <v>5902</v>
      </c>
      <c r="L1004" s="15" t="s">
        <v>2835</v>
      </c>
      <c r="M1004" s="15" t="s">
        <v>19703</v>
      </c>
      <c r="N1004" s="15" t="s">
        <v>147</v>
      </c>
      <c r="O1004" s="17">
        <v>31.3</v>
      </c>
      <c r="P1004" s="15" t="s">
        <v>148</v>
      </c>
      <c r="Q1004" s="15" t="s">
        <v>149</v>
      </c>
      <c r="R1004" s="15" t="s">
        <v>174</v>
      </c>
      <c r="S1004" s="15" t="s">
        <v>19704</v>
      </c>
      <c r="T1004" s="18">
        <v>41</v>
      </c>
      <c r="U1004" s="15" t="s">
        <v>19705</v>
      </c>
      <c r="V1004" s="15" t="s">
        <v>138</v>
      </c>
      <c r="W1004" s="15" t="s">
        <v>138</v>
      </c>
      <c r="X1004" s="19">
        <v>2010</v>
      </c>
      <c r="Y1004" s="15" t="s">
        <v>138</v>
      </c>
      <c r="Z1004" s="15" t="s">
        <v>138</v>
      </c>
      <c r="AA1004" s="15" t="s">
        <v>138</v>
      </c>
      <c r="AB1004" s="20" t="s">
        <v>138</v>
      </c>
      <c r="AC1004" s="20" t="s">
        <v>138</v>
      </c>
      <c r="AD1004" s="20" t="s">
        <v>138</v>
      </c>
      <c r="AE1004" s="20" t="s">
        <v>138</v>
      </c>
      <c r="AF1004" s="20" t="s">
        <v>138</v>
      </c>
      <c r="AG1004" s="15" t="s">
        <v>138</v>
      </c>
      <c r="AH1004" s="20" t="s">
        <v>138</v>
      </c>
      <c r="AI1004" s="20" t="s">
        <v>138</v>
      </c>
      <c r="AJ1004" s="20" t="s">
        <v>138</v>
      </c>
      <c r="AK1004" s="15" t="s">
        <v>19706</v>
      </c>
      <c r="AL1004" s="15" t="s">
        <v>19707</v>
      </c>
      <c r="AM1004" s="15" t="s">
        <v>2605</v>
      </c>
      <c r="AN1004" s="15" t="s">
        <v>19708</v>
      </c>
      <c r="AO1004" s="15" t="s">
        <v>19709</v>
      </c>
      <c r="AP1004" s="15" t="s">
        <v>861</v>
      </c>
      <c r="AQ1004" s="15" t="s">
        <v>19710</v>
      </c>
      <c r="AR1004" s="15" t="s">
        <v>6874</v>
      </c>
      <c r="AS1004" s="15" t="s">
        <v>863</v>
      </c>
      <c r="AT1004" s="15" t="s">
        <v>864</v>
      </c>
      <c r="AU1004" s="15" t="s">
        <v>865</v>
      </c>
      <c r="AV1004" s="15" t="s">
        <v>162</v>
      </c>
      <c r="AW1004" s="15" t="s">
        <v>19709</v>
      </c>
      <c r="AX1004" s="15" t="s">
        <v>138</v>
      </c>
      <c r="AY1004" s="15" t="s">
        <v>19711</v>
      </c>
      <c r="AZ1004" s="15" t="s">
        <v>164</v>
      </c>
      <c r="BA1004" s="15" t="s">
        <v>165</v>
      </c>
      <c r="BB1004" s="15" t="s">
        <v>19712</v>
      </c>
      <c r="BC1004" s="15" t="s">
        <v>19713</v>
      </c>
      <c r="BD1004" s="21">
        <v>15</v>
      </c>
      <c r="BE1004" s="15" t="s">
        <v>138</v>
      </c>
      <c r="BF1004" s="15" t="s">
        <v>138</v>
      </c>
      <c r="BG1004" s="15" t="s">
        <v>138</v>
      </c>
      <c r="BH1004" s="15" t="s">
        <v>19714</v>
      </c>
      <c r="BI1004" s="15" t="s">
        <v>138</v>
      </c>
      <c r="BJ1004" s="15" t="s">
        <v>138</v>
      </c>
      <c r="BK1004" s="15" t="s">
        <v>19715</v>
      </c>
      <c r="BL1004" s="15" t="s">
        <v>19716</v>
      </c>
      <c r="BM1004" s="22">
        <v>40909</v>
      </c>
      <c r="BN1004" s="17">
        <v>1.5</v>
      </c>
      <c r="BO1004" s="15" t="s">
        <v>172</v>
      </c>
      <c r="BP1004" s="17">
        <v>7.56</v>
      </c>
      <c r="BQ1004" s="15" t="s">
        <v>172</v>
      </c>
      <c r="BR1004" s="15" t="s">
        <v>234</v>
      </c>
      <c r="BS1004" s="15" t="s">
        <v>234</v>
      </c>
      <c r="BT1004" s="15" t="s">
        <v>138</v>
      </c>
      <c r="BU1004" s="15" t="s">
        <v>263</v>
      </c>
      <c r="BV1004" s="15" t="s">
        <v>138</v>
      </c>
      <c r="BW1004" s="15" t="s">
        <v>138</v>
      </c>
      <c r="BX1004" s="15" t="s">
        <v>138</v>
      </c>
      <c r="BY1004" s="15" t="s">
        <v>175</v>
      </c>
      <c r="BZ1004" s="22">
        <v>43440</v>
      </c>
      <c r="CA1004" s="17">
        <v>9.4</v>
      </c>
      <c r="CB1004" s="15" t="s">
        <v>172</v>
      </c>
      <c r="CC1004" s="17">
        <v>54.4</v>
      </c>
      <c r="CD1004" s="15" t="s">
        <v>172</v>
      </c>
      <c r="CE1004" s="15" t="s">
        <v>173</v>
      </c>
      <c r="CF1004" s="15" t="s">
        <v>720</v>
      </c>
      <c r="CG1004" s="15" t="s">
        <v>138</v>
      </c>
      <c r="CH1004" s="15" t="s">
        <v>174</v>
      </c>
      <c r="CI1004" s="15" t="s">
        <v>138</v>
      </c>
      <c r="CJ1004" s="15" t="s">
        <v>138</v>
      </c>
      <c r="CK1004" s="15" t="s">
        <v>138</v>
      </c>
      <c r="CL1004" s="15" t="s">
        <v>175</v>
      </c>
      <c r="CM1004" s="22" t="s">
        <v>138</v>
      </c>
      <c r="CN1004" s="17" t="s">
        <v>138</v>
      </c>
      <c r="CO1004" s="23">
        <v>-0.48</v>
      </c>
      <c r="CP1004" s="24">
        <v>16</v>
      </c>
      <c r="CQ1004" s="23">
        <v>0.03</v>
      </c>
      <c r="CR1004" s="23">
        <v>5.62</v>
      </c>
      <c r="CS1004" s="23">
        <v>-1.03</v>
      </c>
      <c r="CT1004" s="24">
        <v>15</v>
      </c>
      <c r="CU1004" s="23">
        <v>0.06</v>
      </c>
      <c r="CV1004" s="24">
        <v>60</v>
      </c>
      <c r="CW1004" s="23">
        <v>0.36</v>
      </c>
      <c r="CX1004" s="24">
        <v>82</v>
      </c>
      <c r="CY1004" s="23">
        <v>-2.42</v>
      </c>
      <c r="CZ1004" s="24">
        <v>9</v>
      </c>
      <c r="DA1004" s="23">
        <v>0.12</v>
      </c>
      <c r="DB1004" s="24">
        <v>75</v>
      </c>
      <c r="DC1004" s="25">
        <v>4.99</v>
      </c>
      <c r="DD1004" s="24">
        <v>83</v>
      </c>
      <c r="DE1004" s="25">
        <v>-0.18</v>
      </c>
      <c r="DF1004" s="23">
        <v>-3.48</v>
      </c>
      <c r="DG1004" s="25">
        <v>7.3</v>
      </c>
      <c r="DH1004" s="24">
        <v>87</v>
      </c>
      <c r="DI1004" s="25">
        <v>2.68</v>
      </c>
      <c r="DJ1004" s="24">
        <v>68</v>
      </c>
      <c r="DK1004" s="25">
        <v>5.43</v>
      </c>
      <c r="DL1004" s="24">
        <v>80</v>
      </c>
      <c r="DM1004" s="25">
        <v>9.17</v>
      </c>
      <c r="DN1004" s="24">
        <v>88</v>
      </c>
      <c r="DO1004" s="25">
        <v>5.35</v>
      </c>
      <c r="DP1004" s="24">
        <v>80</v>
      </c>
      <c r="DQ1004" s="24">
        <v>1832</v>
      </c>
      <c r="DR1004" s="26">
        <v>97</v>
      </c>
      <c r="DS1004" s="23">
        <v>5.59</v>
      </c>
      <c r="DT1004" s="24">
        <v>266</v>
      </c>
      <c r="DU1004" s="26">
        <v>-3</v>
      </c>
      <c r="DV1004" s="23">
        <v>-1.1200000000000001</v>
      </c>
      <c r="DW1004" s="24">
        <v>1913</v>
      </c>
      <c r="DX1004" s="27">
        <v>2</v>
      </c>
      <c r="DY1004" s="23">
        <v>0.1</v>
      </c>
      <c r="DZ1004" s="15" t="s">
        <v>178</v>
      </c>
      <c r="EA1004" s="22">
        <v>43551</v>
      </c>
      <c r="EB1004" s="17">
        <v>54.4</v>
      </c>
      <c r="EC1004" s="22">
        <v>43440</v>
      </c>
      <c r="ED1004" s="15" t="s">
        <v>173</v>
      </c>
      <c r="EE1004" s="14" t="str">
        <f>HYPERLINK("https://my.pitchbook.com?c=56969-20", "View company online")</f>
        <v>View company online</v>
      </c>
    </row>
    <row r="1005" spans="1:135">
      <c r="A1005" s="28" t="s">
        <v>19717</v>
      </c>
      <c r="B1005" s="28" t="s">
        <v>19718</v>
      </c>
      <c r="C1005" s="28" t="s">
        <v>138</v>
      </c>
      <c r="D1005" s="28" t="s">
        <v>138</v>
      </c>
      <c r="E1005" s="28" t="s">
        <v>19719</v>
      </c>
      <c r="F1005" s="28" t="s">
        <v>19717</v>
      </c>
      <c r="G1005" s="28" t="s">
        <v>19720</v>
      </c>
      <c r="H1005" s="28" t="s">
        <v>322</v>
      </c>
      <c r="I1005" s="28" t="s">
        <v>323</v>
      </c>
      <c r="J1005" s="28" t="s">
        <v>413</v>
      </c>
      <c r="K1005" s="28" t="s">
        <v>15050</v>
      </c>
      <c r="L1005" s="28" t="s">
        <v>1796</v>
      </c>
      <c r="M1005" s="28" t="s">
        <v>19721</v>
      </c>
      <c r="N1005" s="28" t="s">
        <v>147</v>
      </c>
      <c r="O1005" s="29">
        <v>10</v>
      </c>
      <c r="P1005" s="28" t="s">
        <v>148</v>
      </c>
      <c r="Q1005" s="28" t="s">
        <v>149</v>
      </c>
      <c r="R1005" s="28" t="s">
        <v>174</v>
      </c>
      <c r="S1005" s="28" t="s">
        <v>19722</v>
      </c>
      <c r="T1005" s="30">
        <v>75</v>
      </c>
      <c r="U1005" s="28" t="s">
        <v>19723</v>
      </c>
      <c r="V1005" s="28" t="s">
        <v>138</v>
      </c>
      <c r="W1005" s="28" t="s">
        <v>138</v>
      </c>
      <c r="X1005" s="31">
        <v>2017</v>
      </c>
      <c r="Y1005" s="28" t="s">
        <v>138</v>
      </c>
      <c r="Z1005" s="28" t="s">
        <v>138</v>
      </c>
      <c r="AA1005" s="28" t="s">
        <v>138</v>
      </c>
      <c r="AB1005" s="32" t="s">
        <v>138</v>
      </c>
      <c r="AC1005" s="32" t="s">
        <v>138</v>
      </c>
      <c r="AD1005" s="32" t="s">
        <v>138</v>
      </c>
      <c r="AE1005" s="32" t="s">
        <v>138</v>
      </c>
      <c r="AF1005" s="32" t="s">
        <v>138</v>
      </c>
      <c r="AG1005" s="28" t="s">
        <v>138</v>
      </c>
      <c r="AH1005" s="32" t="s">
        <v>138</v>
      </c>
      <c r="AI1005" s="32" t="s">
        <v>138</v>
      </c>
      <c r="AJ1005" s="32" t="s">
        <v>138</v>
      </c>
      <c r="AK1005" s="28" t="s">
        <v>19724</v>
      </c>
      <c r="AL1005" s="28" t="s">
        <v>19725</v>
      </c>
      <c r="AM1005" s="28" t="s">
        <v>444</v>
      </c>
      <c r="AN1005" s="28" t="s">
        <v>19726</v>
      </c>
      <c r="AO1005" s="28" t="s">
        <v>19727</v>
      </c>
      <c r="AP1005" s="28" t="s">
        <v>1220</v>
      </c>
      <c r="AQ1005" s="28" t="s">
        <v>19728</v>
      </c>
      <c r="AR1005" s="28" t="s">
        <v>6298</v>
      </c>
      <c r="AS1005" s="28" t="s">
        <v>1223</v>
      </c>
      <c r="AT1005" s="28" t="s">
        <v>200</v>
      </c>
      <c r="AU1005" s="28" t="s">
        <v>1484</v>
      </c>
      <c r="AV1005" s="28" t="s">
        <v>162</v>
      </c>
      <c r="AW1005" s="28" t="s">
        <v>19727</v>
      </c>
      <c r="AX1005" s="28" t="s">
        <v>138</v>
      </c>
      <c r="AY1005" s="28" t="s">
        <v>19729</v>
      </c>
      <c r="AZ1005" s="28" t="s">
        <v>164</v>
      </c>
      <c r="BA1005" s="28" t="s">
        <v>165</v>
      </c>
      <c r="BB1005" s="28" t="s">
        <v>19730</v>
      </c>
      <c r="BC1005" s="28" t="s">
        <v>19731</v>
      </c>
      <c r="BD1005" s="33">
        <v>3</v>
      </c>
      <c r="BE1005" s="28" t="s">
        <v>138</v>
      </c>
      <c r="BF1005" s="28" t="s">
        <v>138</v>
      </c>
      <c r="BG1005" s="28" t="s">
        <v>138</v>
      </c>
      <c r="BH1005" s="28" t="s">
        <v>19732</v>
      </c>
      <c r="BI1005" s="28" t="s">
        <v>138</v>
      </c>
      <c r="BJ1005" s="28" t="s">
        <v>138</v>
      </c>
      <c r="BK1005" s="28" t="s">
        <v>138</v>
      </c>
      <c r="BL1005" s="28" t="s">
        <v>204</v>
      </c>
      <c r="BM1005" s="34">
        <v>43244</v>
      </c>
      <c r="BN1005" s="29">
        <v>10</v>
      </c>
      <c r="BO1005" s="28" t="s">
        <v>172</v>
      </c>
      <c r="BP1005" s="29">
        <v>45</v>
      </c>
      <c r="BQ1005" s="28" t="s">
        <v>172</v>
      </c>
      <c r="BR1005" s="28" t="s">
        <v>205</v>
      </c>
      <c r="BS1005" s="28" t="s">
        <v>206</v>
      </c>
      <c r="BT1005" s="28" t="s">
        <v>138</v>
      </c>
      <c r="BU1005" s="28" t="s">
        <v>174</v>
      </c>
      <c r="BV1005" s="28" t="s">
        <v>138</v>
      </c>
      <c r="BW1005" s="28" t="s">
        <v>138</v>
      </c>
      <c r="BX1005" s="28" t="s">
        <v>138</v>
      </c>
      <c r="BY1005" s="28" t="s">
        <v>175</v>
      </c>
      <c r="BZ1005" s="34">
        <v>43244</v>
      </c>
      <c r="CA1005" s="29">
        <v>10</v>
      </c>
      <c r="CB1005" s="28" t="s">
        <v>172</v>
      </c>
      <c r="CC1005" s="29">
        <v>45</v>
      </c>
      <c r="CD1005" s="28" t="s">
        <v>172</v>
      </c>
      <c r="CE1005" s="28" t="s">
        <v>205</v>
      </c>
      <c r="CF1005" s="28" t="s">
        <v>206</v>
      </c>
      <c r="CG1005" s="28" t="s">
        <v>138</v>
      </c>
      <c r="CH1005" s="28" t="s">
        <v>174</v>
      </c>
      <c r="CI1005" s="28" t="s">
        <v>138</v>
      </c>
      <c r="CJ1005" s="28" t="s">
        <v>138</v>
      </c>
      <c r="CK1005" s="28" t="s">
        <v>138</v>
      </c>
      <c r="CL1005" s="28" t="s">
        <v>175</v>
      </c>
      <c r="CM1005" s="34" t="s">
        <v>138</v>
      </c>
      <c r="CN1005" s="29" t="s">
        <v>138</v>
      </c>
      <c r="CO1005" s="35">
        <v>4.84</v>
      </c>
      <c r="CP1005" s="36">
        <v>100</v>
      </c>
      <c r="CQ1005" s="35">
        <v>-0.04</v>
      </c>
      <c r="CR1005" s="35">
        <v>-0.89</v>
      </c>
      <c r="CS1005" s="35">
        <v>3.09</v>
      </c>
      <c r="CT1005" s="36">
        <v>99</v>
      </c>
      <c r="CU1005" s="35">
        <v>6.58</v>
      </c>
      <c r="CV1005" s="36">
        <v>100</v>
      </c>
      <c r="CW1005" s="35">
        <v>6.56</v>
      </c>
      <c r="CX1005" s="36">
        <v>97</v>
      </c>
      <c r="CY1005" s="35">
        <v>-0.38</v>
      </c>
      <c r="CZ1005" s="36">
        <v>23</v>
      </c>
      <c r="DA1005" s="35">
        <v>13.17</v>
      </c>
      <c r="DB1005" s="36">
        <v>100</v>
      </c>
      <c r="DC1005" s="37">
        <v>4.4000000000000004</v>
      </c>
      <c r="DD1005" s="36">
        <v>81</v>
      </c>
      <c r="DE1005" s="37">
        <v>-0.28999999999999998</v>
      </c>
      <c r="DF1005" s="35">
        <v>-6.19</v>
      </c>
      <c r="DG1005" s="37">
        <v>7.37</v>
      </c>
      <c r="DH1005" s="36">
        <v>87</v>
      </c>
      <c r="DI1005" s="37">
        <v>1.42</v>
      </c>
      <c r="DJ1005" s="36">
        <v>56</v>
      </c>
      <c r="DK1005" s="37">
        <v>9.3699999999999992</v>
      </c>
      <c r="DL1005" s="36">
        <v>86</v>
      </c>
      <c r="DM1005" s="37">
        <v>5.38</v>
      </c>
      <c r="DN1005" s="36">
        <v>82</v>
      </c>
      <c r="DO1005" s="37">
        <v>2.79</v>
      </c>
      <c r="DP1005" s="36">
        <v>70</v>
      </c>
      <c r="DQ1005" s="36">
        <v>3109</v>
      </c>
      <c r="DR1005" s="38">
        <v>309</v>
      </c>
      <c r="DS1005" s="35">
        <v>11.04</v>
      </c>
      <c r="DT1005" s="36">
        <v>155</v>
      </c>
      <c r="DU1005" s="38">
        <v>0</v>
      </c>
      <c r="DV1005" s="35">
        <v>0</v>
      </c>
      <c r="DW1005" s="36">
        <v>1000</v>
      </c>
      <c r="DX1005" s="39">
        <v>3</v>
      </c>
      <c r="DY1005" s="35">
        <v>0.3</v>
      </c>
      <c r="DZ1005" s="28" t="s">
        <v>178</v>
      </c>
      <c r="EA1005" s="34">
        <v>43431</v>
      </c>
      <c r="EB1005" s="29">
        <v>45</v>
      </c>
      <c r="EC1005" s="34">
        <v>43244</v>
      </c>
      <c r="ED1005" s="28" t="s">
        <v>205</v>
      </c>
      <c r="EE1005" s="40" t="str">
        <f>HYPERLINK("https://my.pitchbook.com?c=184941-91", "View company online")</f>
        <v>View company online</v>
      </c>
    </row>
    <row r="1006" spans="1:135">
      <c r="A1006" s="15" t="s">
        <v>19733</v>
      </c>
      <c r="B1006" s="15" t="s">
        <v>19734</v>
      </c>
      <c r="C1006" s="15" t="s">
        <v>138</v>
      </c>
      <c r="D1006" s="15" t="s">
        <v>138</v>
      </c>
      <c r="E1006" s="15" t="s">
        <v>19735</v>
      </c>
      <c r="F1006" s="15" t="s">
        <v>19733</v>
      </c>
      <c r="G1006" s="15" t="s">
        <v>19736</v>
      </c>
      <c r="H1006" s="15" t="s">
        <v>238</v>
      </c>
      <c r="I1006" s="15" t="s">
        <v>12703</v>
      </c>
      <c r="J1006" s="15" t="s">
        <v>12703</v>
      </c>
      <c r="K1006" s="15" t="s">
        <v>19737</v>
      </c>
      <c r="L1006" s="15" t="s">
        <v>242</v>
      </c>
      <c r="M1006" s="15" t="s">
        <v>19738</v>
      </c>
      <c r="N1006" s="15" t="s">
        <v>147</v>
      </c>
      <c r="O1006" s="17">
        <v>7.46</v>
      </c>
      <c r="P1006" s="15" t="s">
        <v>148</v>
      </c>
      <c r="Q1006" s="15" t="s">
        <v>149</v>
      </c>
      <c r="R1006" s="15" t="s">
        <v>244</v>
      </c>
      <c r="S1006" s="15" t="s">
        <v>19739</v>
      </c>
      <c r="T1006" s="18">
        <v>27</v>
      </c>
      <c r="U1006" s="15" t="s">
        <v>19740</v>
      </c>
      <c r="V1006" s="15" t="s">
        <v>138</v>
      </c>
      <c r="W1006" s="15" t="s">
        <v>138</v>
      </c>
      <c r="X1006" s="19">
        <v>2010</v>
      </c>
      <c r="Y1006" s="15" t="s">
        <v>138</v>
      </c>
      <c r="Z1006" s="15" t="s">
        <v>138</v>
      </c>
      <c r="AA1006" s="15" t="s">
        <v>138</v>
      </c>
      <c r="AB1006" s="20" t="s">
        <v>138</v>
      </c>
      <c r="AC1006" s="20" t="s">
        <v>138</v>
      </c>
      <c r="AD1006" s="20" t="s">
        <v>138</v>
      </c>
      <c r="AE1006" s="20" t="s">
        <v>138</v>
      </c>
      <c r="AF1006" s="20" t="s">
        <v>138</v>
      </c>
      <c r="AG1006" s="15" t="s">
        <v>138</v>
      </c>
      <c r="AH1006" s="20" t="s">
        <v>138</v>
      </c>
      <c r="AI1006" s="20" t="s">
        <v>138</v>
      </c>
      <c r="AJ1006" s="20" t="s">
        <v>138</v>
      </c>
      <c r="AK1006" s="15" t="s">
        <v>19741</v>
      </c>
      <c r="AL1006" s="15" t="s">
        <v>19742</v>
      </c>
      <c r="AM1006" s="15" t="s">
        <v>5401</v>
      </c>
      <c r="AN1006" s="15" t="s">
        <v>19743</v>
      </c>
      <c r="AO1006" s="15" t="s">
        <v>19744</v>
      </c>
      <c r="AP1006" s="15" t="s">
        <v>423</v>
      </c>
      <c r="AQ1006" s="15" t="s">
        <v>19745</v>
      </c>
      <c r="AR1006" s="15" t="s">
        <v>3084</v>
      </c>
      <c r="AS1006" s="15" t="s">
        <v>426</v>
      </c>
      <c r="AT1006" s="15" t="s">
        <v>426</v>
      </c>
      <c r="AU1006" s="15" t="s">
        <v>1074</v>
      </c>
      <c r="AV1006" s="15" t="s">
        <v>162</v>
      </c>
      <c r="AW1006" s="15" t="s">
        <v>19744</v>
      </c>
      <c r="AX1006" s="15" t="s">
        <v>138</v>
      </c>
      <c r="AY1006" s="15" t="s">
        <v>19746</v>
      </c>
      <c r="AZ1006" s="15" t="s">
        <v>164</v>
      </c>
      <c r="BA1006" s="15" t="s">
        <v>165</v>
      </c>
      <c r="BB1006" s="15" t="s">
        <v>19747</v>
      </c>
      <c r="BC1006" s="15" t="s">
        <v>19748</v>
      </c>
      <c r="BD1006" s="21">
        <v>26</v>
      </c>
      <c r="BE1006" s="15" t="s">
        <v>138</v>
      </c>
      <c r="BF1006" s="15" t="s">
        <v>19749</v>
      </c>
      <c r="BG1006" s="15" t="s">
        <v>138</v>
      </c>
      <c r="BH1006" s="15" t="s">
        <v>19750</v>
      </c>
      <c r="BI1006" s="15" t="s">
        <v>19751</v>
      </c>
      <c r="BJ1006" s="15" t="s">
        <v>138</v>
      </c>
      <c r="BK1006" s="15" t="s">
        <v>138</v>
      </c>
      <c r="BL1006" s="15" t="s">
        <v>138</v>
      </c>
      <c r="BM1006" s="22">
        <v>40709</v>
      </c>
      <c r="BN1006" s="17">
        <v>0.49</v>
      </c>
      <c r="BO1006" s="15" t="s">
        <v>172</v>
      </c>
      <c r="BP1006" s="17">
        <v>2.82</v>
      </c>
      <c r="BQ1006" s="15" t="s">
        <v>172</v>
      </c>
      <c r="BR1006" s="15" t="s">
        <v>234</v>
      </c>
      <c r="BS1006" s="15" t="s">
        <v>8444</v>
      </c>
      <c r="BT1006" s="15" t="s">
        <v>138</v>
      </c>
      <c r="BU1006" s="15" t="s">
        <v>263</v>
      </c>
      <c r="BV1006" s="15" t="s">
        <v>138</v>
      </c>
      <c r="BW1006" s="15" t="s">
        <v>138</v>
      </c>
      <c r="BX1006" s="15" t="s">
        <v>138</v>
      </c>
      <c r="BY1006" s="15" t="s">
        <v>175</v>
      </c>
      <c r="BZ1006" s="22">
        <v>42451</v>
      </c>
      <c r="CA1006" s="17">
        <v>2</v>
      </c>
      <c r="CB1006" s="15" t="s">
        <v>172</v>
      </c>
      <c r="CC1006" s="17" t="s">
        <v>138</v>
      </c>
      <c r="CD1006" s="15" t="s">
        <v>138</v>
      </c>
      <c r="CE1006" s="15" t="s">
        <v>173</v>
      </c>
      <c r="CF1006" s="15" t="s">
        <v>720</v>
      </c>
      <c r="CG1006" s="15" t="s">
        <v>138</v>
      </c>
      <c r="CH1006" s="15" t="s">
        <v>174</v>
      </c>
      <c r="CI1006" s="15" t="s">
        <v>138</v>
      </c>
      <c r="CJ1006" s="15" t="s">
        <v>138</v>
      </c>
      <c r="CK1006" s="15" t="s">
        <v>138</v>
      </c>
      <c r="CL1006" s="15" t="s">
        <v>175</v>
      </c>
      <c r="CM1006" s="22" t="s">
        <v>138</v>
      </c>
      <c r="CN1006" s="17" t="s">
        <v>138</v>
      </c>
      <c r="CO1006" s="23">
        <v>-7.0000000000000007E-2</v>
      </c>
      <c r="CP1006" s="24">
        <v>21</v>
      </c>
      <c r="CQ1006" s="23">
        <v>-0.01</v>
      </c>
      <c r="CR1006" s="23">
        <v>-16.12</v>
      </c>
      <c r="CS1006" s="23">
        <v>-0.12</v>
      </c>
      <c r="CT1006" s="24">
        <v>22</v>
      </c>
      <c r="CU1006" s="23">
        <v>-0.02</v>
      </c>
      <c r="CV1006" s="24">
        <v>17</v>
      </c>
      <c r="CW1006" s="23">
        <v>6.11</v>
      </c>
      <c r="CX1006" s="24">
        <v>97</v>
      </c>
      <c r="CY1006" s="23">
        <v>-6.34</v>
      </c>
      <c r="CZ1006" s="24">
        <v>2</v>
      </c>
      <c r="DA1006" s="23">
        <v>0</v>
      </c>
      <c r="DB1006" s="24">
        <v>22</v>
      </c>
      <c r="DC1006" s="25">
        <v>208.19</v>
      </c>
      <c r="DD1006" s="24">
        <v>100</v>
      </c>
      <c r="DE1006" s="25">
        <v>-1.97</v>
      </c>
      <c r="DF1006" s="23">
        <v>-0.94</v>
      </c>
      <c r="DG1006" s="25">
        <v>38.17</v>
      </c>
      <c r="DH1006" s="24">
        <v>97</v>
      </c>
      <c r="DI1006" s="25">
        <v>378.22</v>
      </c>
      <c r="DJ1006" s="24">
        <v>99</v>
      </c>
      <c r="DK1006" s="25">
        <v>61.07</v>
      </c>
      <c r="DL1006" s="24">
        <v>96</v>
      </c>
      <c r="DM1006" s="25">
        <v>15.28</v>
      </c>
      <c r="DN1006" s="24">
        <v>92</v>
      </c>
      <c r="DO1006" s="25">
        <v>134.76</v>
      </c>
      <c r="DP1006" s="24">
        <v>99</v>
      </c>
      <c r="DQ1006" s="24">
        <v>20494</v>
      </c>
      <c r="DR1006" s="26">
        <v>1355</v>
      </c>
      <c r="DS1006" s="23">
        <v>7.08</v>
      </c>
      <c r="DT1006" s="24">
        <v>444</v>
      </c>
      <c r="DU1006" s="26">
        <v>-1</v>
      </c>
      <c r="DV1006" s="23">
        <v>-0.22</v>
      </c>
      <c r="DW1006" s="24">
        <v>48245</v>
      </c>
      <c r="DX1006" s="27">
        <v>2</v>
      </c>
      <c r="DY1006" s="23">
        <v>0</v>
      </c>
      <c r="DZ1006" s="15" t="s">
        <v>178</v>
      </c>
      <c r="EA1006" s="22">
        <v>43382</v>
      </c>
      <c r="EB1006" s="17">
        <v>15</v>
      </c>
      <c r="EC1006" s="22">
        <v>41956</v>
      </c>
      <c r="ED1006" s="15" t="s">
        <v>205</v>
      </c>
      <c r="EE1006" s="14" t="str">
        <f>HYPERLINK("https://my.pitchbook.com?c=53840-44", "View company online")</f>
        <v>View company online</v>
      </c>
    </row>
    <row r="1007" spans="1:135">
      <c r="A1007" s="28" t="s">
        <v>19752</v>
      </c>
      <c r="B1007" s="28" t="s">
        <v>19753</v>
      </c>
      <c r="C1007" s="28" t="s">
        <v>138</v>
      </c>
      <c r="D1007" s="28" t="s">
        <v>138</v>
      </c>
      <c r="E1007" s="28" t="s">
        <v>138</v>
      </c>
      <c r="F1007" s="28" t="s">
        <v>19752</v>
      </c>
      <c r="G1007" s="28" t="s">
        <v>19754</v>
      </c>
      <c r="H1007" s="28" t="s">
        <v>385</v>
      </c>
      <c r="I1007" s="28" t="s">
        <v>1991</v>
      </c>
      <c r="J1007" s="28" t="s">
        <v>13681</v>
      </c>
      <c r="K1007" s="28" t="s">
        <v>19755</v>
      </c>
      <c r="L1007" s="28" t="s">
        <v>560</v>
      </c>
      <c r="M1007" s="28" t="s">
        <v>19756</v>
      </c>
      <c r="N1007" s="28" t="s">
        <v>147</v>
      </c>
      <c r="O1007" s="29">
        <v>0.02</v>
      </c>
      <c r="P1007" s="28" t="s">
        <v>148</v>
      </c>
      <c r="Q1007" s="28" t="s">
        <v>149</v>
      </c>
      <c r="R1007" s="28" t="s">
        <v>174</v>
      </c>
      <c r="S1007" s="28" t="s">
        <v>19757</v>
      </c>
      <c r="T1007" s="30" t="s">
        <v>138</v>
      </c>
      <c r="U1007" s="28" t="s">
        <v>138</v>
      </c>
      <c r="V1007" s="28" t="s">
        <v>138</v>
      </c>
      <c r="W1007" s="28" t="s">
        <v>138</v>
      </c>
      <c r="X1007" s="31">
        <v>2015</v>
      </c>
      <c r="Y1007" s="28" t="s">
        <v>138</v>
      </c>
      <c r="Z1007" s="28" t="s">
        <v>138</v>
      </c>
      <c r="AA1007" s="28" t="s">
        <v>138</v>
      </c>
      <c r="AB1007" s="32" t="s">
        <v>138</v>
      </c>
      <c r="AC1007" s="32" t="s">
        <v>138</v>
      </c>
      <c r="AD1007" s="32" t="s">
        <v>138</v>
      </c>
      <c r="AE1007" s="32" t="s">
        <v>138</v>
      </c>
      <c r="AF1007" s="32" t="s">
        <v>138</v>
      </c>
      <c r="AG1007" s="28" t="s">
        <v>138</v>
      </c>
      <c r="AH1007" s="32" t="s">
        <v>138</v>
      </c>
      <c r="AI1007" s="32" t="s">
        <v>138</v>
      </c>
      <c r="AJ1007" s="32" t="s">
        <v>138</v>
      </c>
      <c r="AK1007" s="28" t="s">
        <v>19758</v>
      </c>
      <c r="AL1007" s="28" t="s">
        <v>19759</v>
      </c>
      <c r="AM1007" s="28" t="s">
        <v>566</v>
      </c>
      <c r="AN1007" s="28" t="s">
        <v>19760</v>
      </c>
      <c r="AO1007" s="28" t="s">
        <v>19761</v>
      </c>
      <c r="AP1007" s="28" t="s">
        <v>19762</v>
      </c>
      <c r="AQ1007" s="28" t="s">
        <v>19763</v>
      </c>
      <c r="AR1007" s="28" t="s">
        <v>138</v>
      </c>
      <c r="AS1007" s="28" t="s">
        <v>19764</v>
      </c>
      <c r="AT1007" s="28" t="s">
        <v>13868</v>
      </c>
      <c r="AU1007" s="28" t="s">
        <v>19765</v>
      </c>
      <c r="AV1007" s="28" t="s">
        <v>162</v>
      </c>
      <c r="AW1007" s="28" t="s">
        <v>19761</v>
      </c>
      <c r="AX1007" s="28" t="s">
        <v>138</v>
      </c>
      <c r="AY1007" s="28" t="s">
        <v>138</v>
      </c>
      <c r="AZ1007" s="28" t="s">
        <v>164</v>
      </c>
      <c r="BA1007" s="28" t="s">
        <v>165</v>
      </c>
      <c r="BB1007" s="28" t="s">
        <v>19766</v>
      </c>
      <c r="BC1007" s="28" t="s">
        <v>19767</v>
      </c>
      <c r="BD1007" s="33">
        <v>3</v>
      </c>
      <c r="BE1007" s="28" t="s">
        <v>138</v>
      </c>
      <c r="BF1007" s="28" t="s">
        <v>138</v>
      </c>
      <c r="BG1007" s="28" t="s">
        <v>138</v>
      </c>
      <c r="BH1007" s="28" t="s">
        <v>19768</v>
      </c>
      <c r="BI1007" s="28" t="s">
        <v>138</v>
      </c>
      <c r="BJ1007" s="28" t="s">
        <v>138</v>
      </c>
      <c r="BK1007" s="28" t="s">
        <v>138</v>
      </c>
      <c r="BL1007" s="28" t="s">
        <v>138</v>
      </c>
      <c r="BM1007" s="34">
        <v>42005</v>
      </c>
      <c r="BN1007" s="29" t="s">
        <v>138</v>
      </c>
      <c r="BO1007" s="28" t="s">
        <v>138</v>
      </c>
      <c r="BP1007" s="29" t="s">
        <v>138</v>
      </c>
      <c r="BQ1007" s="28" t="s">
        <v>138</v>
      </c>
      <c r="BR1007" s="28" t="s">
        <v>316</v>
      </c>
      <c r="BS1007" s="28" t="s">
        <v>138</v>
      </c>
      <c r="BT1007" s="28" t="s">
        <v>138</v>
      </c>
      <c r="BU1007" s="28" t="s">
        <v>177</v>
      </c>
      <c r="BV1007" s="28" t="s">
        <v>138</v>
      </c>
      <c r="BW1007" s="28" t="s">
        <v>138</v>
      </c>
      <c r="BX1007" s="28" t="s">
        <v>138</v>
      </c>
      <c r="BY1007" s="28" t="s">
        <v>175</v>
      </c>
      <c r="BZ1007" s="34" t="s">
        <v>138</v>
      </c>
      <c r="CA1007" s="29">
        <v>0.02</v>
      </c>
      <c r="CB1007" s="28" t="s">
        <v>172</v>
      </c>
      <c r="CC1007" s="29" t="s">
        <v>138</v>
      </c>
      <c r="CD1007" s="28" t="s">
        <v>138</v>
      </c>
      <c r="CE1007" s="28" t="s">
        <v>205</v>
      </c>
      <c r="CF1007" s="28" t="s">
        <v>138</v>
      </c>
      <c r="CG1007" s="28" t="s">
        <v>138</v>
      </c>
      <c r="CH1007" s="28" t="s">
        <v>174</v>
      </c>
      <c r="CI1007" s="28" t="s">
        <v>138</v>
      </c>
      <c r="CJ1007" s="28" t="s">
        <v>138</v>
      </c>
      <c r="CK1007" s="28" t="s">
        <v>138</v>
      </c>
      <c r="CL1007" s="28" t="s">
        <v>175</v>
      </c>
      <c r="CM1007" s="34" t="s">
        <v>138</v>
      </c>
      <c r="CN1007" s="29" t="s">
        <v>138</v>
      </c>
      <c r="CO1007" s="35">
        <v>0</v>
      </c>
      <c r="CP1007" s="36">
        <v>26</v>
      </c>
      <c r="CQ1007" s="35">
        <v>0</v>
      </c>
      <c r="CR1007" s="35">
        <v>0</v>
      </c>
      <c r="CS1007" s="35">
        <v>0</v>
      </c>
      <c r="CT1007" s="36">
        <v>23</v>
      </c>
      <c r="CU1007" s="35" t="s">
        <v>138</v>
      </c>
      <c r="CV1007" s="36" t="s">
        <v>138</v>
      </c>
      <c r="CW1007" s="35" t="s">
        <v>138</v>
      </c>
      <c r="CX1007" s="36" t="s">
        <v>138</v>
      </c>
      <c r="CY1007" s="35">
        <v>0</v>
      </c>
      <c r="CZ1007" s="36">
        <v>25</v>
      </c>
      <c r="DA1007" s="35" t="s">
        <v>138</v>
      </c>
      <c r="DB1007" s="36" t="s">
        <v>138</v>
      </c>
      <c r="DC1007" s="37">
        <v>0.21</v>
      </c>
      <c r="DD1007" s="36">
        <v>15</v>
      </c>
      <c r="DE1007" s="37">
        <v>0</v>
      </c>
      <c r="DF1007" s="35">
        <v>0</v>
      </c>
      <c r="DG1007" s="37">
        <v>0.21</v>
      </c>
      <c r="DH1007" s="36">
        <v>16</v>
      </c>
      <c r="DI1007" s="37" t="s">
        <v>138</v>
      </c>
      <c r="DJ1007" s="36" t="s">
        <v>138</v>
      </c>
      <c r="DK1007" s="37" t="s">
        <v>138</v>
      </c>
      <c r="DL1007" s="36" t="s">
        <v>138</v>
      </c>
      <c r="DM1007" s="37">
        <v>0.21</v>
      </c>
      <c r="DN1007" s="36">
        <v>16</v>
      </c>
      <c r="DO1007" s="37" t="s">
        <v>138</v>
      </c>
      <c r="DP1007" s="36" t="s">
        <v>138</v>
      </c>
      <c r="DQ1007" s="36" t="s">
        <v>138</v>
      </c>
      <c r="DR1007" s="38" t="s">
        <v>138</v>
      </c>
      <c r="DS1007" s="35" t="s">
        <v>138</v>
      </c>
      <c r="DT1007" s="36">
        <v>6</v>
      </c>
      <c r="DU1007" s="38">
        <v>0</v>
      </c>
      <c r="DV1007" s="35">
        <v>0</v>
      </c>
      <c r="DW1007" s="36" t="s">
        <v>138</v>
      </c>
      <c r="DX1007" s="39" t="s">
        <v>138</v>
      </c>
      <c r="DY1007" s="35" t="s">
        <v>138</v>
      </c>
      <c r="DZ1007" s="28" t="s">
        <v>178</v>
      </c>
      <c r="EA1007" s="34">
        <v>43357</v>
      </c>
      <c r="EB1007" s="29" t="s">
        <v>138</v>
      </c>
      <c r="EC1007" s="34" t="s">
        <v>138</v>
      </c>
      <c r="ED1007" s="28" t="s">
        <v>138</v>
      </c>
      <c r="EE1007" s="40" t="str">
        <f>HYPERLINK("https://my.pitchbook.com?c=185652-64", "View company online")</f>
        <v>View company online</v>
      </c>
    </row>
    <row r="1008" spans="1:135">
      <c r="A1008" s="15" t="s">
        <v>19769</v>
      </c>
      <c r="B1008" s="15" t="s">
        <v>19770</v>
      </c>
      <c r="C1008" s="15" t="s">
        <v>19771</v>
      </c>
      <c r="D1008" s="15" t="s">
        <v>138</v>
      </c>
      <c r="E1008" s="15" t="s">
        <v>138</v>
      </c>
      <c r="F1008" s="15" t="s">
        <v>19769</v>
      </c>
      <c r="G1008" s="15" t="s">
        <v>19772</v>
      </c>
      <c r="H1008" s="15" t="s">
        <v>238</v>
      </c>
      <c r="I1008" s="15" t="s">
        <v>1351</v>
      </c>
      <c r="J1008" s="15" t="s">
        <v>1352</v>
      </c>
      <c r="K1008" s="15" t="s">
        <v>9200</v>
      </c>
      <c r="L1008" s="15" t="s">
        <v>1972</v>
      </c>
      <c r="M1008" s="15" t="s">
        <v>19773</v>
      </c>
      <c r="N1008" s="15" t="s">
        <v>147</v>
      </c>
      <c r="O1008" s="17" t="s">
        <v>138</v>
      </c>
      <c r="P1008" s="15" t="s">
        <v>610</v>
      </c>
      <c r="Q1008" s="15" t="s">
        <v>149</v>
      </c>
      <c r="R1008" s="15" t="s">
        <v>174</v>
      </c>
      <c r="S1008" s="15" t="s">
        <v>19774</v>
      </c>
      <c r="T1008" s="18">
        <v>8</v>
      </c>
      <c r="U1008" s="15" t="s">
        <v>19775</v>
      </c>
      <c r="V1008" s="15" t="s">
        <v>138</v>
      </c>
      <c r="W1008" s="15" t="s">
        <v>138</v>
      </c>
      <c r="X1008" s="19">
        <v>2015</v>
      </c>
      <c r="Y1008" s="15" t="s">
        <v>138</v>
      </c>
      <c r="Z1008" s="15" t="s">
        <v>138</v>
      </c>
      <c r="AA1008" s="15" t="s">
        <v>138</v>
      </c>
      <c r="AB1008" s="20" t="s">
        <v>138</v>
      </c>
      <c r="AC1008" s="20" t="s">
        <v>138</v>
      </c>
      <c r="AD1008" s="20" t="s">
        <v>138</v>
      </c>
      <c r="AE1008" s="20" t="s">
        <v>138</v>
      </c>
      <c r="AF1008" s="20" t="s">
        <v>138</v>
      </c>
      <c r="AG1008" s="15" t="s">
        <v>138</v>
      </c>
      <c r="AH1008" s="20" t="s">
        <v>138</v>
      </c>
      <c r="AI1008" s="20" t="s">
        <v>138</v>
      </c>
      <c r="AJ1008" s="20" t="s">
        <v>138</v>
      </c>
      <c r="AK1008" s="15" t="s">
        <v>19776</v>
      </c>
      <c r="AL1008" s="15" t="s">
        <v>19777</v>
      </c>
      <c r="AM1008" s="15" t="s">
        <v>2605</v>
      </c>
      <c r="AN1008" s="15" t="s">
        <v>19778</v>
      </c>
      <c r="AO1008" s="15" t="s">
        <v>19779</v>
      </c>
      <c r="AP1008" s="15" t="s">
        <v>423</v>
      </c>
      <c r="AQ1008" s="15" t="s">
        <v>8280</v>
      </c>
      <c r="AR1008" s="15" t="s">
        <v>19780</v>
      </c>
      <c r="AS1008" s="15" t="s">
        <v>426</v>
      </c>
      <c r="AT1008" s="15" t="s">
        <v>426</v>
      </c>
      <c r="AU1008" s="15" t="s">
        <v>19781</v>
      </c>
      <c r="AV1008" s="15" t="s">
        <v>162</v>
      </c>
      <c r="AW1008" s="15" t="s">
        <v>19779</v>
      </c>
      <c r="AX1008" s="15" t="s">
        <v>138</v>
      </c>
      <c r="AY1008" s="15" t="s">
        <v>19782</v>
      </c>
      <c r="AZ1008" s="15" t="s">
        <v>164</v>
      </c>
      <c r="BA1008" s="15" t="s">
        <v>165</v>
      </c>
      <c r="BB1008" s="15" t="s">
        <v>19783</v>
      </c>
      <c r="BC1008" s="15" t="s">
        <v>19784</v>
      </c>
      <c r="BD1008" s="21">
        <v>3</v>
      </c>
      <c r="BE1008" s="15" t="s">
        <v>138</v>
      </c>
      <c r="BF1008" s="15" t="s">
        <v>138</v>
      </c>
      <c r="BG1008" s="15" t="s">
        <v>138</v>
      </c>
      <c r="BH1008" s="15" t="s">
        <v>19785</v>
      </c>
      <c r="BI1008" s="15" t="s">
        <v>138</v>
      </c>
      <c r="BJ1008" s="15" t="s">
        <v>138</v>
      </c>
      <c r="BK1008" s="15" t="s">
        <v>138</v>
      </c>
      <c r="BL1008" s="15" t="s">
        <v>138</v>
      </c>
      <c r="BM1008" s="22" t="s">
        <v>138</v>
      </c>
      <c r="BN1008" s="17" t="s">
        <v>138</v>
      </c>
      <c r="BO1008" s="15" t="s">
        <v>138</v>
      </c>
      <c r="BP1008" s="17" t="s">
        <v>138</v>
      </c>
      <c r="BQ1008" s="15" t="s">
        <v>138</v>
      </c>
      <c r="BR1008" s="15" t="s">
        <v>316</v>
      </c>
      <c r="BS1008" s="15" t="s">
        <v>138</v>
      </c>
      <c r="BT1008" s="15" t="s">
        <v>138</v>
      </c>
      <c r="BU1008" s="15" t="s">
        <v>177</v>
      </c>
      <c r="BV1008" s="15" t="s">
        <v>138</v>
      </c>
      <c r="BW1008" s="15" t="s">
        <v>138</v>
      </c>
      <c r="BX1008" s="15" t="s">
        <v>138</v>
      </c>
      <c r="BY1008" s="15" t="s">
        <v>175</v>
      </c>
      <c r="BZ1008" s="22">
        <v>42991</v>
      </c>
      <c r="CA1008" s="17" t="s">
        <v>138</v>
      </c>
      <c r="CB1008" s="15" t="s">
        <v>138</v>
      </c>
      <c r="CC1008" s="17" t="s">
        <v>138</v>
      </c>
      <c r="CD1008" s="15" t="s">
        <v>138</v>
      </c>
      <c r="CE1008" s="15" t="s">
        <v>316</v>
      </c>
      <c r="CF1008" s="15" t="s">
        <v>138</v>
      </c>
      <c r="CG1008" s="15" t="s">
        <v>138</v>
      </c>
      <c r="CH1008" s="15" t="s">
        <v>177</v>
      </c>
      <c r="CI1008" s="15" t="s">
        <v>138</v>
      </c>
      <c r="CJ1008" s="15" t="s">
        <v>138</v>
      </c>
      <c r="CK1008" s="15" t="s">
        <v>138</v>
      </c>
      <c r="CL1008" s="15" t="s">
        <v>175</v>
      </c>
      <c r="CM1008" s="22" t="s">
        <v>138</v>
      </c>
      <c r="CN1008" s="17" t="s">
        <v>138</v>
      </c>
      <c r="CO1008" s="23">
        <v>0</v>
      </c>
      <c r="CP1008" s="24">
        <v>26</v>
      </c>
      <c r="CQ1008" s="23">
        <v>0</v>
      </c>
      <c r="CR1008" s="23">
        <v>0</v>
      </c>
      <c r="CS1008" s="23">
        <v>0</v>
      </c>
      <c r="CT1008" s="24">
        <v>23</v>
      </c>
      <c r="CU1008" s="23">
        <v>0</v>
      </c>
      <c r="CV1008" s="24">
        <v>22</v>
      </c>
      <c r="CW1008" s="23">
        <v>0</v>
      </c>
      <c r="CX1008" s="24">
        <v>13</v>
      </c>
      <c r="CY1008" s="23" t="s">
        <v>138</v>
      </c>
      <c r="CZ1008" s="24" t="s">
        <v>138</v>
      </c>
      <c r="DA1008" s="23">
        <v>0</v>
      </c>
      <c r="DB1008" s="24">
        <v>22</v>
      </c>
      <c r="DC1008" s="25">
        <v>0.45</v>
      </c>
      <c r="DD1008" s="24">
        <v>31</v>
      </c>
      <c r="DE1008" s="25">
        <v>-0.04</v>
      </c>
      <c r="DF1008" s="23">
        <v>-7.99</v>
      </c>
      <c r="DG1008" s="25">
        <v>0.62</v>
      </c>
      <c r="DH1008" s="24">
        <v>39</v>
      </c>
      <c r="DI1008" s="25">
        <v>0.28000000000000003</v>
      </c>
      <c r="DJ1008" s="24">
        <v>27</v>
      </c>
      <c r="DK1008" s="25">
        <v>0.62</v>
      </c>
      <c r="DL1008" s="24">
        <v>39</v>
      </c>
      <c r="DM1008" s="25" t="s">
        <v>138</v>
      </c>
      <c r="DN1008" s="24" t="s">
        <v>138</v>
      </c>
      <c r="DO1008" s="25">
        <v>0.28000000000000003</v>
      </c>
      <c r="DP1008" s="24">
        <v>29</v>
      </c>
      <c r="DQ1008" s="24">
        <v>230</v>
      </c>
      <c r="DR1008" s="26">
        <v>-47</v>
      </c>
      <c r="DS1008" s="23">
        <v>-16.97</v>
      </c>
      <c r="DT1008" s="24" t="s">
        <v>138</v>
      </c>
      <c r="DU1008" s="26" t="s">
        <v>138</v>
      </c>
      <c r="DV1008" s="23" t="s">
        <v>138</v>
      </c>
      <c r="DW1008" s="24">
        <v>100</v>
      </c>
      <c r="DX1008" s="27">
        <v>2</v>
      </c>
      <c r="DY1008" s="23">
        <v>2.04</v>
      </c>
      <c r="DZ1008" s="15" t="s">
        <v>178</v>
      </c>
      <c r="EA1008" s="22">
        <v>43351</v>
      </c>
      <c r="EB1008" s="17" t="s">
        <v>138</v>
      </c>
      <c r="EC1008" s="22" t="s">
        <v>138</v>
      </c>
      <c r="ED1008" s="15" t="s">
        <v>138</v>
      </c>
      <c r="EE1008" s="14" t="str">
        <f>HYPERLINK("https://my.pitchbook.com?c=168946-66", "View company online")</f>
        <v>View company online</v>
      </c>
    </row>
    <row r="1009" spans="1:135">
      <c r="A1009" s="28" t="s">
        <v>19786</v>
      </c>
      <c r="B1009" s="28" t="s">
        <v>19787</v>
      </c>
      <c r="C1009" s="28" t="s">
        <v>138</v>
      </c>
      <c r="D1009" s="28" t="s">
        <v>138</v>
      </c>
      <c r="E1009" s="28" t="s">
        <v>138</v>
      </c>
      <c r="F1009" s="28" t="s">
        <v>19786</v>
      </c>
      <c r="G1009" s="28" t="s">
        <v>19788</v>
      </c>
      <c r="H1009" s="28" t="s">
        <v>141</v>
      </c>
      <c r="I1009" s="28" t="s">
        <v>142</v>
      </c>
      <c r="J1009" s="28" t="s">
        <v>4042</v>
      </c>
      <c r="K1009" s="28" t="s">
        <v>19789</v>
      </c>
      <c r="L1009" s="28" t="s">
        <v>19790</v>
      </c>
      <c r="M1009" s="28" t="s">
        <v>19791</v>
      </c>
      <c r="N1009" s="28" t="s">
        <v>147</v>
      </c>
      <c r="O1009" s="29">
        <v>4</v>
      </c>
      <c r="P1009" s="28" t="s">
        <v>148</v>
      </c>
      <c r="Q1009" s="28" t="s">
        <v>149</v>
      </c>
      <c r="R1009" s="28" t="s">
        <v>174</v>
      </c>
      <c r="S1009" s="28" t="s">
        <v>19792</v>
      </c>
      <c r="T1009" s="30" t="s">
        <v>138</v>
      </c>
      <c r="U1009" s="28" t="s">
        <v>138</v>
      </c>
      <c r="V1009" s="28" t="s">
        <v>138</v>
      </c>
      <c r="W1009" s="28" t="s">
        <v>138</v>
      </c>
      <c r="X1009" s="31">
        <v>2015</v>
      </c>
      <c r="Y1009" s="28" t="s">
        <v>138</v>
      </c>
      <c r="Z1009" s="28" t="s">
        <v>138</v>
      </c>
      <c r="AA1009" s="28" t="s">
        <v>138</v>
      </c>
      <c r="AB1009" s="32" t="s">
        <v>138</v>
      </c>
      <c r="AC1009" s="32" t="s">
        <v>138</v>
      </c>
      <c r="AD1009" s="32" t="s">
        <v>138</v>
      </c>
      <c r="AE1009" s="32" t="s">
        <v>138</v>
      </c>
      <c r="AF1009" s="32" t="s">
        <v>138</v>
      </c>
      <c r="AG1009" s="28" t="s">
        <v>138</v>
      </c>
      <c r="AH1009" s="32" t="s">
        <v>138</v>
      </c>
      <c r="AI1009" s="32" t="s">
        <v>138</v>
      </c>
      <c r="AJ1009" s="32" t="s">
        <v>138</v>
      </c>
      <c r="AK1009" s="28" t="s">
        <v>19793</v>
      </c>
      <c r="AL1009" s="28" t="s">
        <v>19794</v>
      </c>
      <c r="AM1009" s="28" t="s">
        <v>938</v>
      </c>
      <c r="AN1009" s="28" t="s">
        <v>19795</v>
      </c>
      <c r="AO1009" s="28" t="s">
        <v>138</v>
      </c>
      <c r="AP1009" s="28" t="s">
        <v>4601</v>
      </c>
      <c r="AQ1009" s="28" t="s">
        <v>19796</v>
      </c>
      <c r="AR1009" s="28" t="s">
        <v>17451</v>
      </c>
      <c r="AS1009" s="28" t="s">
        <v>4604</v>
      </c>
      <c r="AT1009" s="28" t="s">
        <v>138</v>
      </c>
      <c r="AU1009" s="28" t="s">
        <v>19797</v>
      </c>
      <c r="AV1009" s="28" t="s">
        <v>2071</v>
      </c>
      <c r="AW1009" s="28" t="s">
        <v>138</v>
      </c>
      <c r="AX1009" s="28" t="s">
        <v>138</v>
      </c>
      <c r="AY1009" s="28" t="s">
        <v>19798</v>
      </c>
      <c r="AZ1009" s="28" t="s">
        <v>452</v>
      </c>
      <c r="BA1009" s="28" t="s">
        <v>453</v>
      </c>
      <c r="BB1009" s="28" t="s">
        <v>19799</v>
      </c>
      <c r="BC1009" s="28" t="s">
        <v>19800</v>
      </c>
      <c r="BD1009" s="33">
        <v>9</v>
      </c>
      <c r="BE1009" s="28" t="s">
        <v>138</v>
      </c>
      <c r="BF1009" s="28" t="s">
        <v>138</v>
      </c>
      <c r="BG1009" s="28" t="s">
        <v>138</v>
      </c>
      <c r="BH1009" s="28" t="s">
        <v>19801</v>
      </c>
      <c r="BI1009" s="28" t="s">
        <v>138</v>
      </c>
      <c r="BJ1009" s="28" t="s">
        <v>138</v>
      </c>
      <c r="BK1009" s="28" t="s">
        <v>138</v>
      </c>
      <c r="BL1009" s="28" t="s">
        <v>138</v>
      </c>
      <c r="BM1009" s="34">
        <v>42005</v>
      </c>
      <c r="BN1009" s="29" t="s">
        <v>138</v>
      </c>
      <c r="BO1009" s="28" t="s">
        <v>138</v>
      </c>
      <c r="BP1009" s="29" t="s">
        <v>138</v>
      </c>
      <c r="BQ1009" s="28" t="s">
        <v>138</v>
      </c>
      <c r="BR1009" s="28" t="s">
        <v>234</v>
      </c>
      <c r="BS1009" s="28" t="s">
        <v>234</v>
      </c>
      <c r="BT1009" s="28" t="s">
        <v>138</v>
      </c>
      <c r="BU1009" s="28" t="s">
        <v>174</v>
      </c>
      <c r="BV1009" s="28" t="s">
        <v>138</v>
      </c>
      <c r="BW1009" s="28" t="s">
        <v>138</v>
      </c>
      <c r="BX1009" s="28" t="s">
        <v>138</v>
      </c>
      <c r="BY1009" s="28" t="s">
        <v>175</v>
      </c>
      <c r="BZ1009" s="34">
        <v>43417</v>
      </c>
      <c r="CA1009" s="29">
        <v>4</v>
      </c>
      <c r="CB1009" s="28" t="s">
        <v>172</v>
      </c>
      <c r="CC1009" s="29" t="s">
        <v>138</v>
      </c>
      <c r="CD1009" s="28" t="s">
        <v>138</v>
      </c>
      <c r="CE1009" s="28" t="s">
        <v>205</v>
      </c>
      <c r="CF1009" s="28" t="s">
        <v>206</v>
      </c>
      <c r="CG1009" s="28" t="s">
        <v>138</v>
      </c>
      <c r="CH1009" s="28" t="s">
        <v>174</v>
      </c>
      <c r="CI1009" s="28" t="s">
        <v>138</v>
      </c>
      <c r="CJ1009" s="28" t="s">
        <v>138</v>
      </c>
      <c r="CK1009" s="28" t="s">
        <v>138</v>
      </c>
      <c r="CL1009" s="28" t="s">
        <v>175</v>
      </c>
      <c r="CM1009" s="34" t="s">
        <v>138</v>
      </c>
      <c r="CN1009" s="29" t="s">
        <v>138</v>
      </c>
      <c r="CO1009" s="35">
        <v>0.22</v>
      </c>
      <c r="CP1009" s="36">
        <v>93</v>
      </c>
      <c r="CQ1009" s="35">
        <v>-0.09</v>
      </c>
      <c r="CR1009" s="35">
        <v>-29.19</v>
      </c>
      <c r="CS1009" s="35">
        <v>0</v>
      </c>
      <c r="CT1009" s="36">
        <v>23</v>
      </c>
      <c r="CU1009" s="35">
        <v>0.44</v>
      </c>
      <c r="CV1009" s="36">
        <v>92</v>
      </c>
      <c r="CW1009" s="35" t="s">
        <v>138</v>
      </c>
      <c r="CX1009" s="36" t="s">
        <v>138</v>
      </c>
      <c r="CY1009" s="35">
        <v>0</v>
      </c>
      <c r="CZ1009" s="36">
        <v>25</v>
      </c>
      <c r="DA1009" s="35">
        <v>0.53</v>
      </c>
      <c r="DB1009" s="36">
        <v>94</v>
      </c>
      <c r="DC1009" s="37">
        <v>0.85</v>
      </c>
      <c r="DD1009" s="36">
        <v>47</v>
      </c>
      <c r="DE1009" s="37">
        <v>0.02</v>
      </c>
      <c r="DF1009" s="35">
        <v>2.04</v>
      </c>
      <c r="DG1009" s="37">
        <v>1.38</v>
      </c>
      <c r="DH1009" s="36">
        <v>58</v>
      </c>
      <c r="DI1009" s="37">
        <v>0.32</v>
      </c>
      <c r="DJ1009" s="36">
        <v>29</v>
      </c>
      <c r="DK1009" s="37" t="s">
        <v>138</v>
      </c>
      <c r="DL1009" s="36" t="s">
        <v>138</v>
      </c>
      <c r="DM1009" s="37">
        <v>1.38</v>
      </c>
      <c r="DN1009" s="36">
        <v>58</v>
      </c>
      <c r="DO1009" s="37">
        <v>0.41</v>
      </c>
      <c r="DP1009" s="36">
        <v>35</v>
      </c>
      <c r="DQ1009" s="36" t="s">
        <v>138</v>
      </c>
      <c r="DR1009" s="38" t="s">
        <v>138</v>
      </c>
      <c r="DS1009" s="35" t="s">
        <v>138</v>
      </c>
      <c r="DT1009" s="36">
        <v>39</v>
      </c>
      <c r="DU1009" s="38">
        <v>1</v>
      </c>
      <c r="DV1009" s="35">
        <v>2.63</v>
      </c>
      <c r="DW1009" s="36">
        <v>145</v>
      </c>
      <c r="DX1009" s="39">
        <v>-1</v>
      </c>
      <c r="DY1009" s="35">
        <v>-0.68</v>
      </c>
      <c r="DZ1009" s="28" t="s">
        <v>178</v>
      </c>
      <c r="EA1009" s="34">
        <v>43622</v>
      </c>
      <c r="EB1009" s="29" t="s">
        <v>138</v>
      </c>
      <c r="EC1009" s="34" t="s">
        <v>138</v>
      </c>
      <c r="ED1009" s="28" t="s">
        <v>138</v>
      </c>
      <c r="EE1009" s="40" t="str">
        <f>HYPERLINK("https://my.pitchbook.com?c=174119-50", "View company online")</f>
        <v>View company online</v>
      </c>
    </row>
    <row r="1010" spans="1:135">
      <c r="A1010" s="15" t="s">
        <v>19802</v>
      </c>
      <c r="B1010" s="15" t="s">
        <v>19803</v>
      </c>
      <c r="C1010" s="15" t="s">
        <v>138</v>
      </c>
      <c r="D1010" s="15" t="s">
        <v>138</v>
      </c>
      <c r="E1010" s="15" t="s">
        <v>138</v>
      </c>
      <c r="F1010" s="15" t="s">
        <v>19802</v>
      </c>
      <c r="G1010" s="15" t="s">
        <v>19804</v>
      </c>
      <c r="H1010" s="15" t="s">
        <v>141</v>
      </c>
      <c r="I1010" s="15" t="s">
        <v>212</v>
      </c>
      <c r="J1010" s="15" t="s">
        <v>1257</v>
      </c>
      <c r="K1010" s="15" t="s">
        <v>19805</v>
      </c>
      <c r="L1010" s="15" t="s">
        <v>788</v>
      </c>
      <c r="M1010" s="15" t="s">
        <v>19806</v>
      </c>
      <c r="N1010" s="15" t="s">
        <v>147</v>
      </c>
      <c r="O1010" s="17">
        <v>3.63</v>
      </c>
      <c r="P1010" s="15" t="s">
        <v>148</v>
      </c>
      <c r="Q1010" s="15" t="s">
        <v>149</v>
      </c>
      <c r="R1010" s="15" t="s">
        <v>174</v>
      </c>
      <c r="S1010" s="15" t="s">
        <v>19807</v>
      </c>
      <c r="T1010" s="18">
        <v>11</v>
      </c>
      <c r="U1010" s="15" t="s">
        <v>14538</v>
      </c>
      <c r="V1010" s="15" t="s">
        <v>138</v>
      </c>
      <c r="W1010" s="15" t="s">
        <v>138</v>
      </c>
      <c r="X1010" s="19">
        <v>2011</v>
      </c>
      <c r="Y1010" s="15" t="s">
        <v>138</v>
      </c>
      <c r="Z1010" s="15" t="s">
        <v>138</v>
      </c>
      <c r="AA1010" s="15" t="s">
        <v>138</v>
      </c>
      <c r="AB1010" s="20" t="s">
        <v>138</v>
      </c>
      <c r="AC1010" s="20" t="s">
        <v>138</v>
      </c>
      <c r="AD1010" s="20" t="s">
        <v>138</v>
      </c>
      <c r="AE1010" s="20" t="s">
        <v>138</v>
      </c>
      <c r="AF1010" s="20" t="s">
        <v>138</v>
      </c>
      <c r="AG1010" s="15" t="s">
        <v>138</v>
      </c>
      <c r="AH1010" s="20" t="s">
        <v>138</v>
      </c>
      <c r="AI1010" s="20" t="s">
        <v>138</v>
      </c>
      <c r="AJ1010" s="20" t="s">
        <v>138</v>
      </c>
      <c r="AK1010" s="15" t="s">
        <v>19808</v>
      </c>
      <c r="AL1010" s="15" t="s">
        <v>19809</v>
      </c>
      <c r="AM1010" s="15" t="s">
        <v>986</v>
      </c>
      <c r="AN1010" s="15" t="s">
        <v>19810</v>
      </c>
      <c r="AO1010" s="15" t="s">
        <v>19811</v>
      </c>
      <c r="AP1010" s="15" t="s">
        <v>639</v>
      </c>
      <c r="AQ1010" s="15" t="s">
        <v>19812</v>
      </c>
      <c r="AR1010" s="15" t="s">
        <v>8265</v>
      </c>
      <c r="AS1010" s="15" t="s">
        <v>642</v>
      </c>
      <c r="AT1010" s="15" t="s">
        <v>474</v>
      </c>
      <c r="AU1010" s="15" t="s">
        <v>14323</v>
      </c>
      <c r="AV1010" s="15" t="s">
        <v>162</v>
      </c>
      <c r="AW1010" s="15" t="s">
        <v>19813</v>
      </c>
      <c r="AX1010" s="15" t="s">
        <v>138</v>
      </c>
      <c r="AY1010" s="15" t="s">
        <v>19814</v>
      </c>
      <c r="AZ1010" s="15" t="s">
        <v>164</v>
      </c>
      <c r="BA1010" s="15" t="s">
        <v>165</v>
      </c>
      <c r="BB1010" s="15" t="s">
        <v>19815</v>
      </c>
      <c r="BC1010" s="15" t="s">
        <v>19816</v>
      </c>
      <c r="BD1010" s="21">
        <v>10</v>
      </c>
      <c r="BE1010" s="15" t="s">
        <v>138</v>
      </c>
      <c r="BF1010" s="15" t="s">
        <v>19817</v>
      </c>
      <c r="BG1010" s="15" t="s">
        <v>138</v>
      </c>
      <c r="BH1010" s="15" t="s">
        <v>19818</v>
      </c>
      <c r="BI1010" s="15" t="s">
        <v>138</v>
      </c>
      <c r="BJ1010" s="15" t="s">
        <v>138</v>
      </c>
      <c r="BK1010" s="15" t="s">
        <v>19819</v>
      </c>
      <c r="BL1010" s="15" t="s">
        <v>290</v>
      </c>
      <c r="BM1010" s="22">
        <v>41306</v>
      </c>
      <c r="BN1010" s="17">
        <v>0.6</v>
      </c>
      <c r="BO1010" s="15" t="s">
        <v>172</v>
      </c>
      <c r="BP1010" s="17" t="s">
        <v>138</v>
      </c>
      <c r="BQ1010" s="15" t="s">
        <v>138</v>
      </c>
      <c r="BR1010" s="15" t="s">
        <v>262</v>
      </c>
      <c r="BS1010" s="15" t="s">
        <v>262</v>
      </c>
      <c r="BT1010" s="15" t="s">
        <v>138</v>
      </c>
      <c r="BU1010" s="15" t="s">
        <v>263</v>
      </c>
      <c r="BV1010" s="15" t="s">
        <v>138</v>
      </c>
      <c r="BW1010" s="15" t="s">
        <v>138</v>
      </c>
      <c r="BX1010" s="15" t="s">
        <v>138</v>
      </c>
      <c r="BY1010" s="15" t="s">
        <v>175</v>
      </c>
      <c r="BZ1010" s="22">
        <v>43473</v>
      </c>
      <c r="CA1010" s="17">
        <v>0.25</v>
      </c>
      <c r="CB1010" s="15" t="s">
        <v>172</v>
      </c>
      <c r="CC1010" s="17" t="s">
        <v>138</v>
      </c>
      <c r="CD1010" s="15" t="s">
        <v>138</v>
      </c>
      <c r="CE1010" s="15" t="s">
        <v>205</v>
      </c>
      <c r="CF1010" s="15" t="s">
        <v>138</v>
      </c>
      <c r="CG1010" s="15" t="s">
        <v>138</v>
      </c>
      <c r="CH1010" s="15" t="s">
        <v>174</v>
      </c>
      <c r="CI1010" s="15" t="s">
        <v>138</v>
      </c>
      <c r="CJ1010" s="15" t="s">
        <v>138</v>
      </c>
      <c r="CK1010" s="15" t="s">
        <v>138</v>
      </c>
      <c r="CL1010" s="15" t="s">
        <v>175</v>
      </c>
      <c r="CM1010" s="22" t="s">
        <v>138</v>
      </c>
      <c r="CN1010" s="17" t="s">
        <v>138</v>
      </c>
      <c r="CO1010" s="23">
        <v>-0.74</v>
      </c>
      <c r="CP1010" s="24">
        <v>13</v>
      </c>
      <c r="CQ1010" s="23">
        <v>0.01</v>
      </c>
      <c r="CR1010" s="23">
        <v>1.24</v>
      </c>
      <c r="CS1010" s="23">
        <v>-1.37</v>
      </c>
      <c r="CT1010" s="24">
        <v>12</v>
      </c>
      <c r="CU1010" s="23">
        <v>-0.1</v>
      </c>
      <c r="CV1010" s="24">
        <v>4</v>
      </c>
      <c r="CW1010" s="23">
        <v>-1.37</v>
      </c>
      <c r="CX1010" s="24">
        <v>9</v>
      </c>
      <c r="CY1010" s="23" t="s">
        <v>138</v>
      </c>
      <c r="CZ1010" s="24" t="s">
        <v>138</v>
      </c>
      <c r="DA1010" s="23">
        <v>-0.2</v>
      </c>
      <c r="DB1010" s="24">
        <v>2</v>
      </c>
      <c r="DC1010" s="25">
        <v>6.88</v>
      </c>
      <c r="DD1010" s="24">
        <v>86</v>
      </c>
      <c r="DE1010" s="25">
        <v>-0.43</v>
      </c>
      <c r="DF1010" s="23">
        <v>-5.91</v>
      </c>
      <c r="DG1010" s="25">
        <v>6.87</v>
      </c>
      <c r="DH1010" s="24">
        <v>86</v>
      </c>
      <c r="DI1010" s="25">
        <v>6.89</v>
      </c>
      <c r="DJ1010" s="24">
        <v>81</v>
      </c>
      <c r="DK1010" s="25">
        <v>6.87</v>
      </c>
      <c r="DL1010" s="24">
        <v>83</v>
      </c>
      <c r="DM1010" s="25" t="s">
        <v>138</v>
      </c>
      <c r="DN1010" s="24" t="s">
        <v>138</v>
      </c>
      <c r="DO1010" s="25">
        <v>10.119999999999999</v>
      </c>
      <c r="DP1010" s="24">
        <v>87</v>
      </c>
      <c r="DQ1010" s="24">
        <v>2768</v>
      </c>
      <c r="DR1010" s="26">
        <v>-1230</v>
      </c>
      <c r="DS1010" s="23">
        <v>-30.77</v>
      </c>
      <c r="DT1010" s="24" t="s">
        <v>138</v>
      </c>
      <c r="DU1010" s="26" t="s">
        <v>138</v>
      </c>
      <c r="DV1010" s="23" t="s">
        <v>138</v>
      </c>
      <c r="DW1010" s="24">
        <v>3627</v>
      </c>
      <c r="DX1010" s="27">
        <v>-1</v>
      </c>
      <c r="DY1010" s="23">
        <v>-0.03</v>
      </c>
      <c r="DZ1010" s="15" t="s">
        <v>178</v>
      </c>
      <c r="EA1010" s="22">
        <v>43591</v>
      </c>
      <c r="EB1010" s="17">
        <v>7.6</v>
      </c>
      <c r="EC1010" s="22">
        <v>42167</v>
      </c>
      <c r="ED1010" s="15" t="s">
        <v>234</v>
      </c>
      <c r="EE1010" s="14" t="str">
        <f>HYPERLINK("https://my.pitchbook.com?c=56049-67", "View company online")</f>
        <v>View company online</v>
      </c>
    </row>
    <row r="1011" spans="1:135">
      <c r="A1011" s="28" t="s">
        <v>19820</v>
      </c>
      <c r="B1011" s="28" t="s">
        <v>19821</v>
      </c>
      <c r="C1011" s="28" t="s">
        <v>138</v>
      </c>
      <c r="D1011" s="28" t="s">
        <v>138</v>
      </c>
      <c r="E1011" s="28" t="s">
        <v>19822</v>
      </c>
      <c r="F1011" s="28" t="s">
        <v>19820</v>
      </c>
      <c r="G1011" s="28" t="s">
        <v>19823</v>
      </c>
      <c r="H1011" s="28" t="s">
        <v>322</v>
      </c>
      <c r="I1011" s="28" t="s">
        <v>323</v>
      </c>
      <c r="J1011" s="28" t="s">
        <v>539</v>
      </c>
      <c r="K1011" s="28" t="s">
        <v>19824</v>
      </c>
      <c r="L1011" s="28" t="s">
        <v>19825</v>
      </c>
      <c r="M1011" s="28" t="s">
        <v>19826</v>
      </c>
      <c r="N1011" s="28" t="s">
        <v>147</v>
      </c>
      <c r="O1011" s="29">
        <v>4.37</v>
      </c>
      <c r="P1011" s="28" t="s">
        <v>148</v>
      </c>
      <c r="Q1011" s="28" t="s">
        <v>149</v>
      </c>
      <c r="R1011" s="28" t="s">
        <v>174</v>
      </c>
      <c r="S1011" s="28" t="s">
        <v>19827</v>
      </c>
      <c r="T1011" s="30" t="s">
        <v>138</v>
      </c>
      <c r="U1011" s="28" t="s">
        <v>138</v>
      </c>
      <c r="V1011" s="28" t="s">
        <v>138</v>
      </c>
      <c r="W1011" s="28" t="s">
        <v>138</v>
      </c>
      <c r="X1011" s="31">
        <v>2016</v>
      </c>
      <c r="Y1011" s="28" t="s">
        <v>138</v>
      </c>
      <c r="Z1011" s="28" t="s">
        <v>138</v>
      </c>
      <c r="AA1011" s="28" t="s">
        <v>138</v>
      </c>
      <c r="AB1011" s="32" t="s">
        <v>138</v>
      </c>
      <c r="AC1011" s="32" t="s">
        <v>138</v>
      </c>
      <c r="AD1011" s="32" t="s">
        <v>138</v>
      </c>
      <c r="AE1011" s="32" t="s">
        <v>138</v>
      </c>
      <c r="AF1011" s="32" t="s">
        <v>138</v>
      </c>
      <c r="AG1011" s="28" t="s">
        <v>138</v>
      </c>
      <c r="AH1011" s="32" t="s">
        <v>138</v>
      </c>
      <c r="AI1011" s="32" t="s">
        <v>138</v>
      </c>
      <c r="AJ1011" s="32" t="s">
        <v>138</v>
      </c>
      <c r="AK1011" s="28" t="s">
        <v>19828</v>
      </c>
      <c r="AL1011" s="28" t="s">
        <v>19829</v>
      </c>
      <c r="AM1011" s="28" t="s">
        <v>304</v>
      </c>
      <c r="AN1011" s="28" t="s">
        <v>19830</v>
      </c>
      <c r="AO1011" s="28" t="s">
        <v>138</v>
      </c>
      <c r="AP1011" s="28" t="s">
        <v>665</v>
      </c>
      <c r="AQ1011" s="28" t="s">
        <v>138</v>
      </c>
      <c r="AR1011" s="28" t="s">
        <v>138</v>
      </c>
      <c r="AS1011" s="28" t="s">
        <v>668</v>
      </c>
      <c r="AT1011" s="28" t="s">
        <v>200</v>
      </c>
      <c r="AU1011" s="28" t="s">
        <v>691</v>
      </c>
      <c r="AV1011" s="28" t="s">
        <v>162</v>
      </c>
      <c r="AW1011" s="28" t="s">
        <v>138</v>
      </c>
      <c r="AX1011" s="28" t="s">
        <v>138</v>
      </c>
      <c r="AY1011" s="28" t="s">
        <v>19831</v>
      </c>
      <c r="AZ1011" s="28" t="s">
        <v>164</v>
      </c>
      <c r="BA1011" s="28" t="s">
        <v>165</v>
      </c>
      <c r="BB1011" s="28" t="s">
        <v>19832</v>
      </c>
      <c r="BC1011" s="28" t="s">
        <v>19833</v>
      </c>
      <c r="BD1011" s="33">
        <v>12</v>
      </c>
      <c r="BE1011" s="28" t="s">
        <v>138</v>
      </c>
      <c r="BF1011" s="28" t="s">
        <v>138</v>
      </c>
      <c r="BG1011" s="28" t="s">
        <v>138</v>
      </c>
      <c r="BH1011" s="28" t="s">
        <v>19834</v>
      </c>
      <c r="BI1011" s="28" t="s">
        <v>138</v>
      </c>
      <c r="BJ1011" s="28" t="s">
        <v>138</v>
      </c>
      <c r="BK1011" s="28" t="s">
        <v>19835</v>
      </c>
      <c r="BL1011" s="28" t="s">
        <v>19835</v>
      </c>
      <c r="BM1011" s="34" t="s">
        <v>138</v>
      </c>
      <c r="BN1011" s="29">
        <v>0.02</v>
      </c>
      <c r="BO1011" s="28" t="s">
        <v>172</v>
      </c>
      <c r="BP1011" s="29">
        <v>1.33</v>
      </c>
      <c r="BQ1011" s="28" t="s">
        <v>172</v>
      </c>
      <c r="BR1011" s="28" t="s">
        <v>316</v>
      </c>
      <c r="BS1011" s="28" t="s">
        <v>138</v>
      </c>
      <c r="BT1011" s="28" t="s">
        <v>138</v>
      </c>
      <c r="BU1011" s="28" t="s">
        <v>177</v>
      </c>
      <c r="BV1011" s="28" t="s">
        <v>138</v>
      </c>
      <c r="BW1011" s="28" t="s">
        <v>138</v>
      </c>
      <c r="BX1011" s="28" t="s">
        <v>138</v>
      </c>
      <c r="BY1011" s="28" t="s">
        <v>175</v>
      </c>
      <c r="BZ1011" s="34">
        <v>43223</v>
      </c>
      <c r="CA1011" s="29">
        <v>3</v>
      </c>
      <c r="CB1011" s="28" t="s">
        <v>172</v>
      </c>
      <c r="CC1011" s="29" t="s">
        <v>138</v>
      </c>
      <c r="CD1011" s="28" t="s">
        <v>138</v>
      </c>
      <c r="CE1011" s="28" t="s">
        <v>234</v>
      </c>
      <c r="CF1011" s="28" t="s">
        <v>234</v>
      </c>
      <c r="CG1011" s="28" t="s">
        <v>138</v>
      </c>
      <c r="CH1011" s="28" t="s">
        <v>174</v>
      </c>
      <c r="CI1011" s="28" t="s">
        <v>138</v>
      </c>
      <c r="CJ1011" s="28" t="s">
        <v>138</v>
      </c>
      <c r="CK1011" s="28" t="s">
        <v>138</v>
      </c>
      <c r="CL1011" s="28" t="s">
        <v>175</v>
      </c>
      <c r="CM1011" s="34" t="s">
        <v>138</v>
      </c>
      <c r="CN1011" s="29" t="s">
        <v>138</v>
      </c>
      <c r="CO1011" s="35">
        <v>0.04</v>
      </c>
      <c r="CP1011" s="36">
        <v>87</v>
      </c>
      <c r="CQ1011" s="35">
        <v>-0.56000000000000005</v>
      </c>
      <c r="CR1011" s="35">
        <v>-92.88</v>
      </c>
      <c r="CS1011" s="35">
        <v>-0.16</v>
      </c>
      <c r="CT1011" s="36">
        <v>22</v>
      </c>
      <c r="CU1011" s="35">
        <v>0.24</v>
      </c>
      <c r="CV1011" s="36">
        <v>84</v>
      </c>
      <c r="CW1011" s="35">
        <v>0</v>
      </c>
      <c r="CX1011" s="36">
        <v>13</v>
      </c>
      <c r="CY1011" s="35">
        <v>-0.32</v>
      </c>
      <c r="CZ1011" s="36">
        <v>23</v>
      </c>
      <c r="DA1011" s="35">
        <v>0.44</v>
      </c>
      <c r="DB1011" s="36">
        <v>93</v>
      </c>
      <c r="DC1011" s="37">
        <v>2.81</v>
      </c>
      <c r="DD1011" s="36">
        <v>74</v>
      </c>
      <c r="DE1011" s="37">
        <v>-0.08</v>
      </c>
      <c r="DF1011" s="35">
        <v>-2.67</v>
      </c>
      <c r="DG1011" s="37">
        <v>4.51</v>
      </c>
      <c r="DH1011" s="36">
        <v>81</v>
      </c>
      <c r="DI1011" s="37">
        <v>1.1100000000000001</v>
      </c>
      <c r="DJ1011" s="36">
        <v>51</v>
      </c>
      <c r="DK1011" s="37">
        <v>1.1299999999999999</v>
      </c>
      <c r="DL1011" s="36">
        <v>53</v>
      </c>
      <c r="DM1011" s="37">
        <v>7.9</v>
      </c>
      <c r="DN1011" s="36">
        <v>87</v>
      </c>
      <c r="DO1011" s="37">
        <v>1.39</v>
      </c>
      <c r="DP1011" s="36">
        <v>57</v>
      </c>
      <c r="DQ1011" s="36">
        <v>377</v>
      </c>
      <c r="DR1011" s="38">
        <v>31</v>
      </c>
      <c r="DS1011" s="35">
        <v>8.9600000000000009</v>
      </c>
      <c r="DT1011" s="36">
        <v>231</v>
      </c>
      <c r="DU1011" s="38">
        <v>-3</v>
      </c>
      <c r="DV1011" s="35">
        <v>-1.28</v>
      </c>
      <c r="DW1011" s="36">
        <v>496</v>
      </c>
      <c r="DX1011" s="39">
        <v>1</v>
      </c>
      <c r="DY1011" s="35">
        <v>0.2</v>
      </c>
      <c r="DZ1011" s="28" t="s">
        <v>178</v>
      </c>
      <c r="EA1011" s="34">
        <v>43376</v>
      </c>
      <c r="EB1011" s="29">
        <v>1.33</v>
      </c>
      <c r="EC1011" s="34" t="s">
        <v>138</v>
      </c>
      <c r="ED1011" s="28" t="s">
        <v>316</v>
      </c>
      <c r="EE1011" s="40" t="str">
        <f>HYPERLINK("https://my.pitchbook.com?c=161871-67", "View company online")</f>
        <v>View company online</v>
      </c>
    </row>
    <row r="1012" spans="1:135">
      <c r="A1012" s="15" t="s">
        <v>19836</v>
      </c>
      <c r="B1012" s="15" t="s">
        <v>19837</v>
      </c>
      <c r="C1012" s="15" t="s">
        <v>19838</v>
      </c>
      <c r="D1012" s="15" t="s">
        <v>138</v>
      </c>
      <c r="E1012" s="15" t="s">
        <v>19839</v>
      </c>
      <c r="F1012" s="15" t="s">
        <v>19836</v>
      </c>
      <c r="G1012" s="15" t="s">
        <v>19840</v>
      </c>
      <c r="H1012" s="15" t="s">
        <v>238</v>
      </c>
      <c r="I1012" s="15" t="s">
        <v>785</v>
      </c>
      <c r="J1012" s="15" t="s">
        <v>786</v>
      </c>
      <c r="K1012" s="15" t="s">
        <v>19841</v>
      </c>
      <c r="L1012" s="15" t="s">
        <v>4703</v>
      </c>
      <c r="M1012" s="15" t="s">
        <v>19842</v>
      </c>
      <c r="N1012" s="15" t="s">
        <v>147</v>
      </c>
      <c r="O1012" s="17">
        <v>3.37</v>
      </c>
      <c r="P1012" s="15" t="s">
        <v>148</v>
      </c>
      <c r="Q1012" s="15" t="s">
        <v>149</v>
      </c>
      <c r="R1012" s="15" t="s">
        <v>174</v>
      </c>
      <c r="S1012" s="15" t="s">
        <v>19843</v>
      </c>
      <c r="T1012" s="18" t="s">
        <v>138</v>
      </c>
      <c r="U1012" s="15" t="s">
        <v>138</v>
      </c>
      <c r="V1012" s="15" t="s">
        <v>138</v>
      </c>
      <c r="W1012" s="15" t="s">
        <v>138</v>
      </c>
      <c r="X1012" s="19">
        <v>2013</v>
      </c>
      <c r="Y1012" s="15" t="s">
        <v>138</v>
      </c>
      <c r="Z1012" s="15" t="s">
        <v>138</v>
      </c>
      <c r="AA1012" s="15" t="s">
        <v>138</v>
      </c>
      <c r="AB1012" s="20" t="s">
        <v>138</v>
      </c>
      <c r="AC1012" s="20" t="s">
        <v>138</v>
      </c>
      <c r="AD1012" s="20" t="s">
        <v>138</v>
      </c>
      <c r="AE1012" s="20" t="s">
        <v>138</v>
      </c>
      <c r="AF1012" s="20" t="s">
        <v>138</v>
      </c>
      <c r="AG1012" s="15" t="s">
        <v>138</v>
      </c>
      <c r="AH1012" s="20" t="s">
        <v>138</v>
      </c>
      <c r="AI1012" s="20" t="s">
        <v>138</v>
      </c>
      <c r="AJ1012" s="20" t="s">
        <v>138</v>
      </c>
      <c r="AK1012" s="15" t="s">
        <v>19844</v>
      </c>
      <c r="AL1012" s="15" t="s">
        <v>19845</v>
      </c>
      <c r="AM1012" s="15" t="s">
        <v>916</v>
      </c>
      <c r="AN1012" s="15" t="s">
        <v>19846</v>
      </c>
      <c r="AO1012" s="15" t="s">
        <v>138</v>
      </c>
      <c r="AP1012" s="15" t="s">
        <v>2880</v>
      </c>
      <c r="AQ1012" s="15" t="s">
        <v>19847</v>
      </c>
      <c r="AR1012" s="15" t="s">
        <v>138</v>
      </c>
      <c r="AS1012" s="15" t="s">
        <v>2882</v>
      </c>
      <c r="AT1012" s="15" t="s">
        <v>2883</v>
      </c>
      <c r="AU1012" s="15" t="s">
        <v>7769</v>
      </c>
      <c r="AV1012" s="15" t="s">
        <v>162</v>
      </c>
      <c r="AW1012" s="15" t="s">
        <v>138</v>
      </c>
      <c r="AX1012" s="15" t="s">
        <v>138</v>
      </c>
      <c r="AY1012" s="15" t="s">
        <v>19848</v>
      </c>
      <c r="AZ1012" s="15" t="s">
        <v>164</v>
      </c>
      <c r="BA1012" s="15" t="s">
        <v>165</v>
      </c>
      <c r="BB1012" s="15" t="s">
        <v>19849</v>
      </c>
      <c r="BC1012" s="15" t="s">
        <v>19850</v>
      </c>
      <c r="BD1012" s="21">
        <v>4</v>
      </c>
      <c r="BE1012" s="15" t="s">
        <v>138</v>
      </c>
      <c r="BF1012" s="15" t="s">
        <v>138</v>
      </c>
      <c r="BG1012" s="15" t="s">
        <v>138</v>
      </c>
      <c r="BH1012" s="15" t="s">
        <v>19851</v>
      </c>
      <c r="BI1012" s="15" t="s">
        <v>138</v>
      </c>
      <c r="BJ1012" s="15" t="s">
        <v>138</v>
      </c>
      <c r="BK1012" s="15" t="s">
        <v>138</v>
      </c>
      <c r="BL1012" s="15" t="s">
        <v>138</v>
      </c>
      <c r="BM1012" s="22">
        <v>42254</v>
      </c>
      <c r="BN1012" s="17">
        <v>2.25</v>
      </c>
      <c r="BO1012" s="15" t="s">
        <v>172</v>
      </c>
      <c r="BP1012" s="17" t="s">
        <v>138</v>
      </c>
      <c r="BQ1012" s="15" t="s">
        <v>138</v>
      </c>
      <c r="BR1012" s="15" t="s">
        <v>205</v>
      </c>
      <c r="BS1012" s="15" t="s">
        <v>206</v>
      </c>
      <c r="BT1012" s="15" t="s">
        <v>138</v>
      </c>
      <c r="BU1012" s="15" t="s">
        <v>174</v>
      </c>
      <c r="BV1012" s="15" t="s">
        <v>138</v>
      </c>
      <c r="BW1012" s="15" t="s">
        <v>138</v>
      </c>
      <c r="BX1012" s="15" t="s">
        <v>138</v>
      </c>
      <c r="BY1012" s="15" t="s">
        <v>175</v>
      </c>
      <c r="BZ1012" s="22">
        <v>42604</v>
      </c>
      <c r="CA1012" s="17">
        <v>0.12</v>
      </c>
      <c r="CB1012" s="15" t="s">
        <v>172</v>
      </c>
      <c r="CC1012" s="17">
        <v>1.71</v>
      </c>
      <c r="CD1012" s="15" t="s">
        <v>172</v>
      </c>
      <c r="CE1012" s="15" t="s">
        <v>316</v>
      </c>
      <c r="CF1012" s="15" t="s">
        <v>138</v>
      </c>
      <c r="CG1012" s="15" t="s">
        <v>138</v>
      </c>
      <c r="CH1012" s="15" t="s">
        <v>174</v>
      </c>
      <c r="CI1012" s="15" t="s">
        <v>138</v>
      </c>
      <c r="CJ1012" s="15" t="s">
        <v>138</v>
      </c>
      <c r="CK1012" s="15" t="s">
        <v>138</v>
      </c>
      <c r="CL1012" s="15" t="s">
        <v>175</v>
      </c>
      <c r="CM1012" s="22" t="s">
        <v>138</v>
      </c>
      <c r="CN1012" s="17" t="s">
        <v>138</v>
      </c>
      <c r="CO1012" s="23">
        <v>-1.07</v>
      </c>
      <c r="CP1012" s="24">
        <v>10</v>
      </c>
      <c r="CQ1012" s="23">
        <v>0.04</v>
      </c>
      <c r="CR1012" s="23">
        <v>3.68</v>
      </c>
      <c r="CS1012" s="23">
        <v>-2.5299999999999998</v>
      </c>
      <c r="CT1012" s="24">
        <v>7</v>
      </c>
      <c r="CU1012" s="23">
        <v>0.4</v>
      </c>
      <c r="CV1012" s="24">
        <v>91</v>
      </c>
      <c r="CW1012" s="23">
        <v>-3.48</v>
      </c>
      <c r="CX1012" s="24">
        <v>5</v>
      </c>
      <c r="CY1012" s="23">
        <v>-1.58</v>
      </c>
      <c r="CZ1012" s="24">
        <v>14</v>
      </c>
      <c r="DA1012" s="23">
        <v>0.85</v>
      </c>
      <c r="DB1012" s="24">
        <v>97</v>
      </c>
      <c r="DC1012" s="25">
        <v>19.84</v>
      </c>
      <c r="DD1012" s="24">
        <v>95</v>
      </c>
      <c r="DE1012" s="25">
        <v>-1.29</v>
      </c>
      <c r="DF1012" s="23">
        <v>-6.12</v>
      </c>
      <c r="DG1012" s="25">
        <v>28.6</v>
      </c>
      <c r="DH1012" s="24">
        <v>96</v>
      </c>
      <c r="DI1012" s="25">
        <v>11.09</v>
      </c>
      <c r="DJ1012" s="24">
        <v>86</v>
      </c>
      <c r="DK1012" s="25">
        <v>41.4</v>
      </c>
      <c r="DL1012" s="24">
        <v>95</v>
      </c>
      <c r="DM1012" s="25">
        <v>15.79</v>
      </c>
      <c r="DN1012" s="24">
        <v>93</v>
      </c>
      <c r="DO1012" s="25">
        <v>17.16</v>
      </c>
      <c r="DP1012" s="24">
        <v>91</v>
      </c>
      <c r="DQ1012" s="24">
        <v>14270</v>
      </c>
      <c r="DR1012" s="26">
        <v>-210</v>
      </c>
      <c r="DS1012" s="23">
        <v>-1.45</v>
      </c>
      <c r="DT1012" s="24">
        <v>458</v>
      </c>
      <c r="DU1012" s="26">
        <v>-2</v>
      </c>
      <c r="DV1012" s="23">
        <v>-0.43</v>
      </c>
      <c r="DW1012" s="24">
        <v>6138</v>
      </c>
      <c r="DX1012" s="27">
        <v>101</v>
      </c>
      <c r="DY1012" s="23">
        <v>1.67</v>
      </c>
      <c r="DZ1012" s="15" t="s">
        <v>178</v>
      </c>
      <c r="EA1012" s="22">
        <v>43351</v>
      </c>
      <c r="EB1012" s="17">
        <v>1.71</v>
      </c>
      <c r="EC1012" s="22">
        <v>42604</v>
      </c>
      <c r="ED1012" s="15" t="s">
        <v>316</v>
      </c>
      <c r="EE1012" s="14" t="str">
        <f>HYPERLINK("https://my.pitchbook.com?c=164239-48", "View company online")</f>
        <v>View company online</v>
      </c>
    </row>
    <row r="1013" spans="1:135">
      <c r="A1013" s="28" t="s">
        <v>19852</v>
      </c>
      <c r="B1013" s="28" t="s">
        <v>19853</v>
      </c>
      <c r="C1013" s="28" t="s">
        <v>138</v>
      </c>
      <c r="D1013" s="28" t="s">
        <v>138</v>
      </c>
      <c r="E1013" s="28" t="s">
        <v>138</v>
      </c>
      <c r="F1013" s="28" t="s">
        <v>19852</v>
      </c>
      <c r="G1013" s="28" t="s">
        <v>19854</v>
      </c>
      <c r="H1013" s="28" t="s">
        <v>238</v>
      </c>
      <c r="I1013" s="28" t="s">
        <v>1351</v>
      </c>
      <c r="J1013" s="28" t="s">
        <v>1352</v>
      </c>
      <c r="K1013" s="28" t="s">
        <v>1353</v>
      </c>
      <c r="L1013" s="28" t="s">
        <v>11919</v>
      </c>
      <c r="M1013" s="28" t="s">
        <v>19855</v>
      </c>
      <c r="N1013" s="28" t="s">
        <v>147</v>
      </c>
      <c r="O1013" s="29">
        <v>153.54</v>
      </c>
      <c r="P1013" s="28" t="s">
        <v>148</v>
      </c>
      <c r="Q1013" s="28" t="s">
        <v>149</v>
      </c>
      <c r="R1013" s="28" t="s">
        <v>174</v>
      </c>
      <c r="S1013" s="28" t="s">
        <v>19856</v>
      </c>
      <c r="T1013" s="30">
        <v>62</v>
      </c>
      <c r="U1013" s="28" t="s">
        <v>19857</v>
      </c>
      <c r="V1013" s="28" t="s">
        <v>138</v>
      </c>
      <c r="W1013" s="28" t="s">
        <v>138</v>
      </c>
      <c r="X1013" s="31" t="s">
        <v>138</v>
      </c>
      <c r="Y1013" s="28" t="s">
        <v>138</v>
      </c>
      <c r="Z1013" s="28" t="s">
        <v>138</v>
      </c>
      <c r="AA1013" s="28" t="s">
        <v>138</v>
      </c>
      <c r="AB1013" s="32" t="s">
        <v>138</v>
      </c>
      <c r="AC1013" s="32" t="s">
        <v>138</v>
      </c>
      <c r="AD1013" s="32" t="s">
        <v>138</v>
      </c>
      <c r="AE1013" s="32" t="s">
        <v>138</v>
      </c>
      <c r="AF1013" s="32" t="s">
        <v>138</v>
      </c>
      <c r="AG1013" s="28" t="s">
        <v>138</v>
      </c>
      <c r="AH1013" s="32" t="s">
        <v>138</v>
      </c>
      <c r="AI1013" s="32" t="s">
        <v>138</v>
      </c>
      <c r="AJ1013" s="32" t="s">
        <v>138</v>
      </c>
      <c r="AK1013" s="28" t="s">
        <v>19858</v>
      </c>
      <c r="AL1013" s="28" t="s">
        <v>19859</v>
      </c>
      <c r="AM1013" s="28" t="s">
        <v>444</v>
      </c>
      <c r="AN1013" s="28" t="s">
        <v>19860</v>
      </c>
      <c r="AO1013" s="28" t="s">
        <v>19861</v>
      </c>
      <c r="AP1013" s="28" t="s">
        <v>446</v>
      </c>
      <c r="AQ1013" s="28" t="s">
        <v>19862</v>
      </c>
      <c r="AR1013" s="28" t="s">
        <v>19863</v>
      </c>
      <c r="AS1013" s="28" t="s">
        <v>449</v>
      </c>
      <c r="AT1013" s="28" t="s">
        <v>138</v>
      </c>
      <c r="AU1013" s="28" t="s">
        <v>19864</v>
      </c>
      <c r="AV1013" s="28" t="s">
        <v>450</v>
      </c>
      <c r="AW1013" s="28" t="s">
        <v>19861</v>
      </c>
      <c r="AX1013" s="28" t="s">
        <v>138</v>
      </c>
      <c r="AY1013" s="28" t="s">
        <v>138</v>
      </c>
      <c r="AZ1013" s="28" t="s">
        <v>452</v>
      </c>
      <c r="BA1013" s="28" t="s">
        <v>453</v>
      </c>
      <c r="BB1013" s="28" t="s">
        <v>19865</v>
      </c>
      <c r="BC1013" s="28" t="s">
        <v>19866</v>
      </c>
      <c r="BD1013" s="33">
        <v>15</v>
      </c>
      <c r="BE1013" s="28" t="s">
        <v>138</v>
      </c>
      <c r="BF1013" s="28" t="s">
        <v>138</v>
      </c>
      <c r="BG1013" s="28" t="s">
        <v>138</v>
      </c>
      <c r="BH1013" s="28" t="s">
        <v>19867</v>
      </c>
      <c r="BI1013" s="28" t="s">
        <v>138</v>
      </c>
      <c r="BJ1013" s="28" t="s">
        <v>138</v>
      </c>
      <c r="BK1013" s="28" t="s">
        <v>138</v>
      </c>
      <c r="BL1013" s="28" t="s">
        <v>138</v>
      </c>
      <c r="BM1013" s="34">
        <v>41760</v>
      </c>
      <c r="BN1013" s="29">
        <v>0.7</v>
      </c>
      <c r="BO1013" s="28" t="s">
        <v>172</v>
      </c>
      <c r="BP1013" s="29" t="s">
        <v>138</v>
      </c>
      <c r="BQ1013" s="28" t="s">
        <v>138</v>
      </c>
      <c r="BR1013" s="28" t="s">
        <v>234</v>
      </c>
      <c r="BS1013" s="28" t="s">
        <v>234</v>
      </c>
      <c r="BT1013" s="28" t="s">
        <v>138</v>
      </c>
      <c r="BU1013" s="28" t="s">
        <v>174</v>
      </c>
      <c r="BV1013" s="28" t="s">
        <v>138</v>
      </c>
      <c r="BW1013" s="28" t="s">
        <v>138</v>
      </c>
      <c r="BX1013" s="28" t="s">
        <v>138</v>
      </c>
      <c r="BY1013" s="28" t="s">
        <v>175</v>
      </c>
      <c r="BZ1013" s="34">
        <v>43452</v>
      </c>
      <c r="CA1013" s="29">
        <v>87.55</v>
      </c>
      <c r="CB1013" s="28" t="s">
        <v>172</v>
      </c>
      <c r="CC1013" s="29" t="s">
        <v>138</v>
      </c>
      <c r="CD1013" s="28" t="s">
        <v>138</v>
      </c>
      <c r="CE1013" s="28" t="s">
        <v>173</v>
      </c>
      <c r="CF1013" s="28" t="s">
        <v>433</v>
      </c>
      <c r="CG1013" s="28" t="s">
        <v>138</v>
      </c>
      <c r="CH1013" s="28" t="s">
        <v>174</v>
      </c>
      <c r="CI1013" s="28" t="s">
        <v>138</v>
      </c>
      <c r="CJ1013" s="28" t="s">
        <v>138</v>
      </c>
      <c r="CK1013" s="28" t="s">
        <v>138</v>
      </c>
      <c r="CL1013" s="28" t="s">
        <v>175</v>
      </c>
      <c r="CM1013" s="34" t="s">
        <v>138</v>
      </c>
      <c r="CN1013" s="29" t="s">
        <v>138</v>
      </c>
      <c r="CO1013" s="35">
        <v>0</v>
      </c>
      <c r="CP1013" s="36">
        <v>26</v>
      </c>
      <c r="CQ1013" s="35">
        <v>0</v>
      </c>
      <c r="CR1013" s="35">
        <v>0</v>
      </c>
      <c r="CS1013" s="35">
        <v>0</v>
      </c>
      <c r="CT1013" s="36">
        <v>23</v>
      </c>
      <c r="CU1013" s="35" t="s">
        <v>138</v>
      </c>
      <c r="CV1013" s="36" t="s">
        <v>138</v>
      </c>
      <c r="CW1013" s="35">
        <v>0</v>
      </c>
      <c r="CX1013" s="36">
        <v>13</v>
      </c>
      <c r="CY1013" s="35">
        <v>0</v>
      </c>
      <c r="CZ1013" s="36">
        <v>25</v>
      </c>
      <c r="DA1013" s="35" t="s">
        <v>138</v>
      </c>
      <c r="DB1013" s="36" t="s">
        <v>138</v>
      </c>
      <c r="DC1013" s="37">
        <v>2.27</v>
      </c>
      <c r="DD1013" s="36">
        <v>70</v>
      </c>
      <c r="DE1013" s="37">
        <v>-7.0000000000000007E-2</v>
      </c>
      <c r="DF1013" s="35">
        <v>-3.09</v>
      </c>
      <c r="DG1013" s="37">
        <v>2.27</v>
      </c>
      <c r="DH1013" s="36">
        <v>69</v>
      </c>
      <c r="DI1013" s="37" t="s">
        <v>138</v>
      </c>
      <c r="DJ1013" s="36" t="s">
        <v>138</v>
      </c>
      <c r="DK1013" s="37">
        <v>2.2000000000000002</v>
      </c>
      <c r="DL1013" s="36">
        <v>66</v>
      </c>
      <c r="DM1013" s="37">
        <v>2.34</v>
      </c>
      <c r="DN1013" s="36">
        <v>69</v>
      </c>
      <c r="DO1013" s="37" t="s">
        <v>138</v>
      </c>
      <c r="DP1013" s="36" t="s">
        <v>138</v>
      </c>
      <c r="DQ1013" s="36">
        <v>723</v>
      </c>
      <c r="DR1013" s="38">
        <v>98</v>
      </c>
      <c r="DS1013" s="35">
        <v>15.68</v>
      </c>
      <c r="DT1013" s="36">
        <v>66</v>
      </c>
      <c r="DU1013" s="38">
        <v>4</v>
      </c>
      <c r="DV1013" s="35">
        <v>6.45</v>
      </c>
      <c r="DW1013" s="36" t="s">
        <v>138</v>
      </c>
      <c r="DX1013" s="39" t="s">
        <v>138</v>
      </c>
      <c r="DY1013" s="35" t="s">
        <v>138</v>
      </c>
      <c r="DZ1013" s="28" t="s">
        <v>178</v>
      </c>
      <c r="EA1013" s="34">
        <v>43609</v>
      </c>
      <c r="EB1013" s="29" t="s">
        <v>138</v>
      </c>
      <c r="EC1013" s="34" t="s">
        <v>138</v>
      </c>
      <c r="ED1013" s="28" t="s">
        <v>138</v>
      </c>
      <c r="EE1013" s="40" t="str">
        <f>HYPERLINK("https://my.pitchbook.com?c=223358-86", "View company online")</f>
        <v>View company online</v>
      </c>
    </row>
    <row r="1014" spans="1:135">
      <c r="A1014" s="15" t="s">
        <v>19868</v>
      </c>
      <c r="B1014" s="15" t="s">
        <v>19869</v>
      </c>
      <c r="C1014" s="15" t="s">
        <v>19870</v>
      </c>
      <c r="D1014" s="15" t="s">
        <v>138</v>
      </c>
      <c r="E1014" s="15" t="s">
        <v>19871</v>
      </c>
      <c r="F1014" s="15" t="s">
        <v>19868</v>
      </c>
      <c r="G1014" s="15" t="s">
        <v>19872</v>
      </c>
      <c r="H1014" s="15" t="s">
        <v>322</v>
      </c>
      <c r="I1014" s="15" t="s">
        <v>323</v>
      </c>
      <c r="J1014" s="15" t="s">
        <v>461</v>
      </c>
      <c r="K1014" s="15" t="s">
        <v>16394</v>
      </c>
      <c r="L1014" s="15" t="s">
        <v>2210</v>
      </c>
      <c r="M1014" s="15" t="s">
        <v>19873</v>
      </c>
      <c r="N1014" s="15" t="s">
        <v>1452</v>
      </c>
      <c r="O1014" s="17">
        <v>121.54</v>
      </c>
      <c r="P1014" s="15" t="s">
        <v>148</v>
      </c>
      <c r="Q1014" s="15" t="s">
        <v>149</v>
      </c>
      <c r="R1014" s="15" t="s">
        <v>1652</v>
      </c>
      <c r="S1014" s="15" t="s">
        <v>19874</v>
      </c>
      <c r="T1014" s="18">
        <v>600</v>
      </c>
      <c r="U1014" s="15" t="s">
        <v>19875</v>
      </c>
      <c r="V1014" s="15" t="s">
        <v>138</v>
      </c>
      <c r="W1014" s="15" t="s">
        <v>138</v>
      </c>
      <c r="X1014" s="19">
        <v>2003</v>
      </c>
      <c r="Y1014" s="15" t="s">
        <v>138</v>
      </c>
      <c r="Z1014" s="15" t="s">
        <v>138</v>
      </c>
      <c r="AA1014" s="15" t="s">
        <v>138</v>
      </c>
      <c r="AB1014" s="20" t="s">
        <v>138</v>
      </c>
      <c r="AC1014" s="20" t="s">
        <v>138</v>
      </c>
      <c r="AD1014" s="20" t="s">
        <v>138</v>
      </c>
      <c r="AE1014" s="20" t="s">
        <v>138</v>
      </c>
      <c r="AF1014" s="20" t="s">
        <v>138</v>
      </c>
      <c r="AG1014" s="15" t="s">
        <v>138</v>
      </c>
      <c r="AH1014" s="20" t="s">
        <v>138</v>
      </c>
      <c r="AI1014" s="20" t="s">
        <v>138</v>
      </c>
      <c r="AJ1014" s="20" t="s">
        <v>138</v>
      </c>
      <c r="AK1014" s="15" t="s">
        <v>19876</v>
      </c>
      <c r="AL1014" s="15" t="s">
        <v>19877</v>
      </c>
      <c r="AM1014" s="15" t="s">
        <v>249</v>
      </c>
      <c r="AN1014" s="15" t="s">
        <v>19878</v>
      </c>
      <c r="AO1014" s="15" t="s">
        <v>19879</v>
      </c>
      <c r="AP1014" s="15" t="s">
        <v>6230</v>
      </c>
      <c r="AQ1014" s="15" t="s">
        <v>19880</v>
      </c>
      <c r="AR1014" s="15" t="s">
        <v>138</v>
      </c>
      <c r="AS1014" s="15" t="s">
        <v>6232</v>
      </c>
      <c r="AT1014" s="15" t="s">
        <v>371</v>
      </c>
      <c r="AU1014" s="15" t="s">
        <v>6551</v>
      </c>
      <c r="AV1014" s="15" t="s">
        <v>162</v>
      </c>
      <c r="AW1014" s="15" t="s">
        <v>19879</v>
      </c>
      <c r="AX1014" s="15" t="s">
        <v>19881</v>
      </c>
      <c r="AY1014" s="15" t="s">
        <v>19882</v>
      </c>
      <c r="AZ1014" s="15" t="s">
        <v>164</v>
      </c>
      <c r="BA1014" s="15" t="s">
        <v>165</v>
      </c>
      <c r="BB1014" s="15" t="s">
        <v>19883</v>
      </c>
      <c r="BC1014" s="15" t="s">
        <v>3779</v>
      </c>
      <c r="BD1014" s="21">
        <v>1</v>
      </c>
      <c r="BE1014" s="15" t="s">
        <v>138</v>
      </c>
      <c r="BF1014" s="15" t="s">
        <v>19884</v>
      </c>
      <c r="BG1014" s="15" t="s">
        <v>138</v>
      </c>
      <c r="BH1014" s="15" t="s">
        <v>3781</v>
      </c>
      <c r="BI1014" s="15" t="s">
        <v>19885</v>
      </c>
      <c r="BJ1014" s="15" t="s">
        <v>138</v>
      </c>
      <c r="BK1014" s="15" t="s">
        <v>19886</v>
      </c>
      <c r="BL1014" s="15" t="s">
        <v>19887</v>
      </c>
      <c r="BM1014" s="22">
        <v>39246</v>
      </c>
      <c r="BN1014" s="17" t="s">
        <v>138</v>
      </c>
      <c r="BO1014" s="15" t="s">
        <v>138</v>
      </c>
      <c r="BP1014" s="17" t="s">
        <v>138</v>
      </c>
      <c r="BQ1014" s="15" t="s">
        <v>138</v>
      </c>
      <c r="BR1014" s="15" t="s">
        <v>1326</v>
      </c>
      <c r="BS1014" s="15" t="s">
        <v>138</v>
      </c>
      <c r="BT1014" s="15" t="s">
        <v>138</v>
      </c>
      <c r="BU1014" s="15" t="s">
        <v>1327</v>
      </c>
      <c r="BV1014" s="15" t="s">
        <v>2528</v>
      </c>
      <c r="BW1014" s="15" t="s">
        <v>138</v>
      </c>
      <c r="BX1014" s="15" t="s">
        <v>138</v>
      </c>
      <c r="BY1014" s="15" t="s">
        <v>175</v>
      </c>
      <c r="BZ1014" s="22">
        <v>43283</v>
      </c>
      <c r="CA1014" s="17" t="s">
        <v>138</v>
      </c>
      <c r="CB1014" s="15" t="s">
        <v>138</v>
      </c>
      <c r="CC1014" s="17" t="s">
        <v>138</v>
      </c>
      <c r="CD1014" s="15" t="s">
        <v>138</v>
      </c>
      <c r="CE1014" s="15" t="s">
        <v>349</v>
      </c>
      <c r="CF1014" s="15" t="s">
        <v>138</v>
      </c>
      <c r="CG1014" s="15" t="s">
        <v>138</v>
      </c>
      <c r="CH1014" s="15" t="s">
        <v>351</v>
      </c>
      <c r="CI1014" s="15" t="s">
        <v>138</v>
      </c>
      <c r="CJ1014" s="15" t="s">
        <v>138</v>
      </c>
      <c r="CK1014" s="15" t="s">
        <v>138</v>
      </c>
      <c r="CL1014" s="15" t="s">
        <v>175</v>
      </c>
      <c r="CM1014" s="22">
        <v>41012</v>
      </c>
      <c r="CN1014" s="17" t="s">
        <v>138</v>
      </c>
      <c r="CO1014" s="23">
        <v>-1</v>
      </c>
      <c r="CP1014" s="24">
        <v>11</v>
      </c>
      <c r="CQ1014" s="23">
        <v>0.01</v>
      </c>
      <c r="CR1014" s="23">
        <v>0.68</v>
      </c>
      <c r="CS1014" s="23">
        <v>-2.14</v>
      </c>
      <c r="CT1014" s="24">
        <v>8</v>
      </c>
      <c r="CU1014" s="23">
        <v>0.15</v>
      </c>
      <c r="CV1014" s="24">
        <v>75</v>
      </c>
      <c r="CW1014" s="23">
        <v>-0.61</v>
      </c>
      <c r="CX1014" s="24">
        <v>11</v>
      </c>
      <c r="CY1014" s="23">
        <v>-3.68</v>
      </c>
      <c r="CZ1014" s="24">
        <v>5</v>
      </c>
      <c r="DA1014" s="23">
        <v>0.15</v>
      </c>
      <c r="DB1014" s="24">
        <v>78</v>
      </c>
      <c r="DC1014" s="25">
        <v>24.11</v>
      </c>
      <c r="DD1014" s="24">
        <v>96</v>
      </c>
      <c r="DE1014" s="25">
        <v>-1.24</v>
      </c>
      <c r="DF1014" s="23">
        <v>-4.88</v>
      </c>
      <c r="DG1014" s="25">
        <v>37.950000000000003</v>
      </c>
      <c r="DH1014" s="24">
        <v>97</v>
      </c>
      <c r="DI1014" s="25">
        <v>10.28</v>
      </c>
      <c r="DJ1014" s="24">
        <v>85</v>
      </c>
      <c r="DK1014" s="25">
        <v>39.6</v>
      </c>
      <c r="DL1014" s="24">
        <v>95</v>
      </c>
      <c r="DM1014" s="25">
        <v>36.31</v>
      </c>
      <c r="DN1014" s="24">
        <v>97</v>
      </c>
      <c r="DO1014" s="25">
        <v>18.7</v>
      </c>
      <c r="DP1014" s="24">
        <v>92</v>
      </c>
      <c r="DQ1014" s="24">
        <v>13512</v>
      </c>
      <c r="DR1014" s="26">
        <v>207</v>
      </c>
      <c r="DS1014" s="23">
        <v>1.56</v>
      </c>
      <c r="DT1014" s="24">
        <v>1052</v>
      </c>
      <c r="DU1014" s="26">
        <v>1</v>
      </c>
      <c r="DV1014" s="23">
        <v>0.1</v>
      </c>
      <c r="DW1014" s="24">
        <v>6696</v>
      </c>
      <c r="DX1014" s="27">
        <v>3</v>
      </c>
      <c r="DY1014" s="23">
        <v>0.04</v>
      </c>
      <c r="DZ1014" s="15" t="s">
        <v>178</v>
      </c>
      <c r="EA1014" s="22">
        <v>43524</v>
      </c>
      <c r="EB1014" s="17">
        <v>247.69</v>
      </c>
      <c r="EC1014" s="22">
        <v>42600</v>
      </c>
      <c r="ED1014" s="15" t="s">
        <v>173</v>
      </c>
      <c r="EE1014" s="14" t="str">
        <f>HYPERLINK("https://my.pitchbook.com?c=51731-02", "View company online")</f>
        <v>View company online</v>
      </c>
    </row>
    <row r="1015" spans="1:135">
      <c r="A1015" s="28" t="s">
        <v>19888</v>
      </c>
      <c r="B1015" s="28" t="s">
        <v>19889</v>
      </c>
      <c r="C1015" s="28" t="s">
        <v>138</v>
      </c>
      <c r="D1015" s="28" t="s">
        <v>19890</v>
      </c>
      <c r="E1015" s="28" t="s">
        <v>19891</v>
      </c>
      <c r="F1015" s="28" t="s">
        <v>19888</v>
      </c>
      <c r="G1015" s="28" t="s">
        <v>19892</v>
      </c>
      <c r="H1015" s="28" t="s">
        <v>322</v>
      </c>
      <c r="I1015" s="28" t="s">
        <v>323</v>
      </c>
      <c r="J1015" s="28" t="s">
        <v>324</v>
      </c>
      <c r="K1015" s="28" t="s">
        <v>15884</v>
      </c>
      <c r="L1015" s="28" t="s">
        <v>1104</v>
      </c>
      <c r="M1015" s="28" t="s">
        <v>19893</v>
      </c>
      <c r="N1015" s="28" t="s">
        <v>147</v>
      </c>
      <c r="O1015" s="29">
        <v>32.53</v>
      </c>
      <c r="P1015" s="28" t="s">
        <v>148</v>
      </c>
      <c r="Q1015" s="28" t="s">
        <v>149</v>
      </c>
      <c r="R1015" s="28" t="s">
        <v>174</v>
      </c>
      <c r="S1015" s="28" t="s">
        <v>19894</v>
      </c>
      <c r="T1015" s="30">
        <v>30</v>
      </c>
      <c r="U1015" s="28" t="s">
        <v>1431</v>
      </c>
      <c r="V1015" s="28" t="s">
        <v>138</v>
      </c>
      <c r="W1015" s="28" t="s">
        <v>138</v>
      </c>
      <c r="X1015" s="31">
        <v>2015</v>
      </c>
      <c r="Y1015" s="28" t="s">
        <v>138</v>
      </c>
      <c r="Z1015" s="28" t="s">
        <v>138</v>
      </c>
      <c r="AA1015" s="28" t="s">
        <v>138</v>
      </c>
      <c r="AB1015" s="32" t="s">
        <v>138</v>
      </c>
      <c r="AC1015" s="32" t="s">
        <v>138</v>
      </c>
      <c r="AD1015" s="32" t="s">
        <v>138</v>
      </c>
      <c r="AE1015" s="32" t="s">
        <v>138</v>
      </c>
      <c r="AF1015" s="32" t="s">
        <v>138</v>
      </c>
      <c r="AG1015" s="28" t="s">
        <v>138</v>
      </c>
      <c r="AH1015" s="32" t="s">
        <v>138</v>
      </c>
      <c r="AI1015" s="32" t="s">
        <v>138</v>
      </c>
      <c r="AJ1015" s="32" t="s">
        <v>138</v>
      </c>
      <c r="AK1015" s="28" t="s">
        <v>19895</v>
      </c>
      <c r="AL1015" s="28" t="s">
        <v>19896</v>
      </c>
      <c r="AM1015" s="28" t="s">
        <v>19897</v>
      </c>
      <c r="AN1015" s="28" t="s">
        <v>19898</v>
      </c>
      <c r="AO1015" s="28" t="s">
        <v>19899</v>
      </c>
      <c r="AP1015" s="28" t="s">
        <v>2327</v>
      </c>
      <c r="AQ1015" s="28" t="s">
        <v>19900</v>
      </c>
      <c r="AR1015" s="28" t="s">
        <v>19901</v>
      </c>
      <c r="AS1015" s="28" t="s">
        <v>2330</v>
      </c>
      <c r="AT1015" s="28" t="s">
        <v>2331</v>
      </c>
      <c r="AU1015" s="28" t="s">
        <v>138</v>
      </c>
      <c r="AV1015" s="28" t="s">
        <v>2333</v>
      </c>
      <c r="AW1015" s="28" t="s">
        <v>19899</v>
      </c>
      <c r="AX1015" s="28" t="s">
        <v>138</v>
      </c>
      <c r="AY1015" s="28" t="s">
        <v>19902</v>
      </c>
      <c r="AZ1015" s="28" t="s">
        <v>452</v>
      </c>
      <c r="BA1015" s="28" t="s">
        <v>2335</v>
      </c>
      <c r="BB1015" s="28" t="s">
        <v>19903</v>
      </c>
      <c r="BC1015" s="28" t="s">
        <v>19904</v>
      </c>
      <c r="BD1015" s="33">
        <v>22</v>
      </c>
      <c r="BE1015" s="28" t="s">
        <v>138</v>
      </c>
      <c r="BF1015" s="28" t="s">
        <v>138</v>
      </c>
      <c r="BG1015" s="28" t="s">
        <v>138</v>
      </c>
      <c r="BH1015" s="28" t="s">
        <v>19905</v>
      </c>
      <c r="BI1015" s="28" t="s">
        <v>138</v>
      </c>
      <c r="BJ1015" s="28" t="s">
        <v>138</v>
      </c>
      <c r="BK1015" s="28" t="s">
        <v>138</v>
      </c>
      <c r="BL1015" s="28" t="s">
        <v>138</v>
      </c>
      <c r="BM1015" s="34">
        <v>42212</v>
      </c>
      <c r="BN1015" s="29" t="s">
        <v>138</v>
      </c>
      <c r="BO1015" s="28" t="s">
        <v>138</v>
      </c>
      <c r="BP1015" s="29" t="s">
        <v>138</v>
      </c>
      <c r="BQ1015" s="28" t="s">
        <v>138</v>
      </c>
      <c r="BR1015" s="28" t="s">
        <v>234</v>
      </c>
      <c r="BS1015" s="28" t="s">
        <v>234</v>
      </c>
      <c r="BT1015" s="28" t="s">
        <v>138</v>
      </c>
      <c r="BU1015" s="28" t="s">
        <v>174</v>
      </c>
      <c r="BV1015" s="28" t="s">
        <v>138</v>
      </c>
      <c r="BW1015" s="28" t="s">
        <v>138</v>
      </c>
      <c r="BX1015" s="28" t="s">
        <v>138</v>
      </c>
      <c r="BY1015" s="28" t="s">
        <v>175</v>
      </c>
      <c r="BZ1015" s="34">
        <v>43598</v>
      </c>
      <c r="CA1015" s="29">
        <v>25.78</v>
      </c>
      <c r="CB1015" s="28" t="s">
        <v>172</v>
      </c>
      <c r="CC1015" s="29" t="s">
        <v>138</v>
      </c>
      <c r="CD1015" s="28" t="s">
        <v>138</v>
      </c>
      <c r="CE1015" s="28" t="s">
        <v>205</v>
      </c>
      <c r="CF1015" s="28" t="s">
        <v>720</v>
      </c>
      <c r="CG1015" s="28" t="s">
        <v>138</v>
      </c>
      <c r="CH1015" s="28" t="s">
        <v>174</v>
      </c>
      <c r="CI1015" s="28" t="s">
        <v>138</v>
      </c>
      <c r="CJ1015" s="28" t="s">
        <v>138</v>
      </c>
      <c r="CK1015" s="28" t="s">
        <v>138</v>
      </c>
      <c r="CL1015" s="28" t="s">
        <v>175</v>
      </c>
      <c r="CM1015" s="34" t="s">
        <v>138</v>
      </c>
      <c r="CN1015" s="29" t="s">
        <v>138</v>
      </c>
      <c r="CO1015" s="35">
        <v>0.2</v>
      </c>
      <c r="CP1015" s="36">
        <v>92</v>
      </c>
      <c r="CQ1015" s="35">
        <v>0.01</v>
      </c>
      <c r="CR1015" s="35">
        <v>5.24</v>
      </c>
      <c r="CS1015" s="35">
        <v>0</v>
      </c>
      <c r="CT1015" s="36">
        <v>23</v>
      </c>
      <c r="CU1015" s="35">
        <v>0.4</v>
      </c>
      <c r="CV1015" s="36">
        <v>91</v>
      </c>
      <c r="CW1015" s="35" t="s">
        <v>138</v>
      </c>
      <c r="CX1015" s="36" t="s">
        <v>138</v>
      </c>
      <c r="CY1015" s="35">
        <v>0</v>
      </c>
      <c r="CZ1015" s="36">
        <v>25</v>
      </c>
      <c r="DA1015" s="35">
        <v>0.4</v>
      </c>
      <c r="DB1015" s="36">
        <v>92</v>
      </c>
      <c r="DC1015" s="37">
        <v>1.67</v>
      </c>
      <c r="DD1015" s="36">
        <v>63</v>
      </c>
      <c r="DE1015" s="37">
        <v>0.01</v>
      </c>
      <c r="DF1015" s="35">
        <v>0.77</v>
      </c>
      <c r="DG1015" s="37">
        <v>1.72</v>
      </c>
      <c r="DH1015" s="36">
        <v>63</v>
      </c>
      <c r="DI1015" s="37">
        <v>1.61</v>
      </c>
      <c r="DJ1015" s="36">
        <v>58</v>
      </c>
      <c r="DK1015" s="37" t="s">
        <v>138</v>
      </c>
      <c r="DL1015" s="36" t="s">
        <v>138</v>
      </c>
      <c r="DM1015" s="37">
        <v>1.72</v>
      </c>
      <c r="DN1015" s="36">
        <v>62</v>
      </c>
      <c r="DO1015" s="37">
        <v>1.61</v>
      </c>
      <c r="DP1015" s="36">
        <v>59</v>
      </c>
      <c r="DQ1015" s="36" t="s">
        <v>138</v>
      </c>
      <c r="DR1015" s="38" t="s">
        <v>138</v>
      </c>
      <c r="DS1015" s="35" t="s">
        <v>138</v>
      </c>
      <c r="DT1015" s="36">
        <v>50</v>
      </c>
      <c r="DU1015" s="38">
        <v>0</v>
      </c>
      <c r="DV1015" s="35">
        <v>0</v>
      </c>
      <c r="DW1015" s="36">
        <v>575</v>
      </c>
      <c r="DX1015" s="39">
        <v>4</v>
      </c>
      <c r="DY1015" s="35">
        <v>0.7</v>
      </c>
      <c r="DZ1015" s="28" t="s">
        <v>178</v>
      </c>
      <c r="EA1015" s="34">
        <v>43608</v>
      </c>
      <c r="EB1015" s="29" t="s">
        <v>138</v>
      </c>
      <c r="EC1015" s="34" t="s">
        <v>138</v>
      </c>
      <c r="ED1015" s="28" t="s">
        <v>138</v>
      </c>
      <c r="EE1015" s="40" t="str">
        <f>HYPERLINK("https://my.pitchbook.com?c=120784-33", "View company online")</f>
        <v>View company online</v>
      </c>
    </row>
    <row r="1016" spans="1:135">
      <c r="A1016" s="15" t="s">
        <v>19906</v>
      </c>
      <c r="B1016" s="15" t="s">
        <v>19907</v>
      </c>
      <c r="C1016" s="15" t="s">
        <v>138</v>
      </c>
      <c r="D1016" s="15" t="s">
        <v>138</v>
      </c>
      <c r="E1016" s="15" t="s">
        <v>19908</v>
      </c>
      <c r="F1016" s="15" t="s">
        <v>19906</v>
      </c>
      <c r="G1016" s="15" t="s">
        <v>19909</v>
      </c>
      <c r="H1016" s="15" t="s">
        <v>238</v>
      </c>
      <c r="I1016" s="15" t="s">
        <v>269</v>
      </c>
      <c r="J1016" s="15" t="s">
        <v>296</v>
      </c>
      <c r="K1016" s="15" t="s">
        <v>2187</v>
      </c>
      <c r="L1016" s="15" t="s">
        <v>2427</v>
      </c>
      <c r="M1016" s="15" t="s">
        <v>19910</v>
      </c>
      <c r="N1016" s="15" t="s">
        <v>147</v>
      </c>
      <c r="O1016" s="17">
        <v>76.14</v>
      </c>
      <c r="P1016" s="15" t="s">
        <v>148</v>
      </c>
      <c r="Q1016" s="15" t="s">
        <v>149</v>
      </c>
      <c r="R1016" s="15" t="s">
        <v>174</v>
      </c>
      <c r="S1016" s="15" t="s">
        <v>19911</v>
      </c>
      <c r="T1016" s="18">
        <v>58</v>
      </c>
      <c r="U1016" s="15" t="s">
        <v>19912</v>
      </c>
      <c r="V1016" s="15" t="s">
        <v>138</v>
      </c>
      <c r="W1016" s="15" t="s">
        <v>138</v>
      </c>
      <c r="X1016" s="19">
        <v>2007</v>
      </c>
      <c r="Y1016" s="15" t="s">
        <v>138</v>
      </c>
      <c r="Z1016" s="15" t="s">
        <v>138</v>
      </c>
      <c r="AA1016" s="15" t="s">
        <v>138</v>
      </c>
      <c r="AB1016" s="20" t="s">
        <v>138</v>
      </c>
      <c r="AC1016" s="20" t="s">
        <v>138</v>
      </c>
      <c r="AD1016" s="20" t="s">
        <v>138</v>
      </c>
      <c r="AE1016" s="20" t="s">
        <v>138</v>
      </c>
      <c r="AF1016" s="20" t="s">
        <v>138</v>
      </c>
      <c r="AG1016" s="15" t="s">
        <v>138</v>
      </c>
      <c r="AH1016" s="20" t="s">
        <v>138</v>
      </c>
      <c r="AI1016" s="20" t="s">
        <v>138</v>
      </c>
      <c r="AJ1016" s="20" t="s">
        <v>138</v>
      </c>
      <c r="AK1016" s="15" t="s">
        <v>19913</v>
      </c>
      <c r="AL1016" s="15" t="s">
        <v>19914</v>
      </c>
      <c r="AM1016" s="15" t="s">
        <v>304</v>
      </c>
      <c r="AN1016" s="15" t="s">
        <v>19915</v>
      </c>
      <c r="AO1016" s="15" t="s">
        <v>19916</v>
      </c>
      <c r="AP1016" s="15" t="s">
        <v>19917</v>
      </c>
      <c r="AQ1016" s="15" t="s">
        <v>19918</v>
      </c>
      <c r="AR1016" s="15" t="s">
        <v>138</v>
      </c>
      <c r="AS1016" s="15" t="s">
        <v>19919</v>
      </c>
      <c r="AT1016" s="15" t="s">
        <v>10615</v>
      </c>
      <c r="AU1016" s="15" t="s">
        <v>19920</v>
      </c>
      <c r="AV1016" s="15" t="s">
        <v>162</v>
      </c>
      <c r="AW1016" s="15" t="s">
        <v>19921</v>
      </c>
      <c r="AX1016" s="15" t="s">
        <v>138</v>
      </c>
      <c r="AY1016" s="15" t="s">
        <v>19922</v>
      </c>
      <c r="AZ1016" s="15" t="s">
        <v>164</v>
      </c>
      <c r="BA1016" s="15" t="s">
        <v>165</v>
      </c>
      <c r="BB1016" s="15" t="s">
        <v>19923</v>
      </c>
      <c r="BC1016" s="15" t="s">
        <v>19924</v>
      </c>
      <c r="BD1016" s="21">
        <v>11</v>
      </c>
      <c r="BE1016" s="15" t="s">
        <v>138</v>
      </c>
      <c r="BF1016" s="15" t="s">
        <v>138</v>
      </c>
      <c r="BG1016" s="15" t="s">
        <v>138</v>
      </c>
      <c r="BH1016" s="15" t="s">
        <v>19925</v>
      </c>
      <c r="BI1016" s="15" t="s">
        <v>138</v>
      </c>
      <c r="BJ1016" s="15" t="s">
        <v>138</v>
      </c>
      <c r="BK1016" s="15" t="s">
        <v>19926</v>
      </c>
      <c r="BL1016" s="15" t="s">
        <v>3541</v>
      </c>
      <c r="BM1016" s="22">
        <v>39374</v>
      </c>
      <c r="BN1016" s="17">
        <v>2.7</v>
      </c>
      <c r="BO1016" s="15" t="s">
        <v>172</v>
      </c>
      <c r="BP1016" s="17">
        <v>11.7</v>
      </c>
      <c r="BQ1016" s="15" t="s">
        <v>172</v>
      </c>
      <c r="BR1016" s="15" t="s">
        <v>205</v>
      </c>
      <c r="BS1016" s="15" t="s">
        <v>206</v>
      </c>
      <c r="BT1016" s="15" t="s">
        <v>138</v>
      </c>
      <c r="BU1016" s="15" t="s">
        <v>174</v>
      </c>
      <c r="BV1016" s="15" t="s">
        <v>138</v>
      </c>
      <c r="BW1016" s="15" t="s">
        <v>138</v>
      </c>
      <c r="BX1016" s="15" t="s">
        <v>138</v>
      </c>
      <c r="BY1016" s="15" t="s">
        <v>175</v>
      </c>
      <c r="BZ1016" s="22">
        <v>42339</v>
      </c>
      <c r="CA1016" s="17">
        <v>31.44</v>
      </c>
      <c r="CB1016" s="15" t="s">
        <v>172</v>
      </c>
      <c r="CC1016" s="17">
        <v>160.4</v>
      </c>
      <c r="CD1016" s="15" t="s">
        <v>172</v>
      </c>
      <c r="CE1016" s="15" t="s">
        <v>173</v>
      </c>
      <c r="CF1016" s="15" t="s">
        <v>974</v>
      </c>
      <c r="CG1016" s="15" t="s">
        <v>138</v>
      </c>
      <c r="CH1016" s="15" t="s">
        <v>174</v>
      </c>
      <c r="CI1016" s="15" t="s">
        <v>138</v>
      </c>
      <c r="CJ1016" s="15" t="s">
        <v>138</v>
      </c>
      <c r="CK1016" s="15" t="s">
        <v>138</v>
      </c>
      <c r="CL1016" s="15" t="s">
        <v>175</v>
      </c>
      <c r="CM1016" s="22" t="s">
        <v>138</v>
      </c>
      <c r="CN1016" s="17" t="s">
        <v>138</v>
      </c>
      <c r="CO1016" s="23">
        <v>0.14000000000000001</v>
      </c>
      <c r="CP1016" s="24">
        <v>91</v>
      </c>
      <c r="CQ1016" s="23">
        <v>0</v>
      </c>
      <c r="CR1016" s="23">
        <v>-0.33</v>
      </c>
      <c r="CS1016" s="23">
        <v>0.17</v>
      </c>
      <c r="CT1016" s="24">
        <v>94</v>
      </c>
      <c r="CU1016" s="23">
        <v>0.1</v>
      </c>
      <c r="CV1016" s="24">
        <v>68</v>
      </c>
      <c r="CW1016" s="23">
        <v>4.99</v>
      </c>
      <c r="CX1016" s="24">
        <v>95</v>
      </c>
      <c r="CY1016" s="23">
        <v>-4.6500000000000004</v>
      </c>
      <c r="CZ1016" s="24">
        <v>4</v>
      </c>
      <c r="DA1016" s="23">
        <v>0.1</v>
      </c>
      <c r="DB1016" s="24">
        <v>72</v>
      </c>
      <c r="DC1016" s="25">
        <v>31.17</v>
      </c>
      <c r="DD1016" s="24">
        <v>97</v>
      </c>
      <c r="DE1016" s="25">
        <v>-0.41</v>
      </c>
      <c r="DF1016" s="23">
        <v>-1.3</v>
      </c>
      <c r="DG1016" s="25">
        <v>21.29</v>
      </c>
      <c r="DH1016" s="24">
        <v>95</v>
      </c>
      <c r="DI1016" s="25">
        <v>41.04</v>
      </c>
      <c r="DJ1016" s="24">
        <v>94</v>
      </c>
      <c r="DK1016" s="25">
        <v>16.52</v>
      </c>
      <c r="DL1016" s="24">
        <v>91</v>
      </c>
      <c r="DM1016" s="25">
        <v>26.07</v>
      </c>
      <c r="DN1016" s="24">
        <v>96</v>
      </c>
      <c r="DO1016" s="25">
        <v>41.04</v>
      </c>
      <c r="DP1016" s="24">
        <v>96</v>
      </c>
      <c r="DQ1016" s="24">
        <v>5568</v>
      </c>
      <c r="DR1016" s="26">
        <v>295</v>
      </c>
      <c r="DS1016" s="23">
        <v>5.59</v>
      </c>
      <c r="DT1016" s="24">
        <v>756</v>
      </c>
      <c r="DU1016" s="26">
        <v>0</v>
      </c>
      <c r="DV1016" s="23">
        <v>0</v>
      </c>
      <c r="DW1016" s="24">
        <v>14689</v>
      </c>
      <c r="DX1016" s="27">
        <v>7</v>
      </c>
      <c r="DY1016" s="23">
        <v>0.05</v>
      </c>
      <c r="DZ1016" s="15" t="s">
        <v>178</v>
      </c>
      <c r="EA1016" s="22">
        <v>43351</v>
      </c>
      <c r="EB1016" s="17">
        <v>160.4</v>
      </c>
      <c r="EC1016" s="22">
        <v>42339</v>
      </c>
      <c r="ED1016" s="15" t="s">
        <v>173</v>
      </c>
      <c r="EE1016" s="14" t="str">
        <f>HYPERLINK("https://my.pitchbook.com?c=56921-32", "View company online")</f>
        <v>View company online</v>
      </c>
    </row>
    <row r="1017" spans="1:135">
      <c r="A1017" s="28" t="s">
        <v>19927</v>
      </c>
      <c r="B1017" s="28" t="s">
        <v>19928</v>
      </c>
      <c r="C1017" s="28" t="s">
        <v>138</v>
      </c>
      <c r="D1017" s="28" t="s">
        <v>19929</v>
      </c>
      <c r="E1017" s="28" t="s">
        <v>138</v>
      </c>
      <c r="F1017" s="28" t="s">
        <v>19927</v>
      </c>
      <c r="G1017" s="28" t="s">
        <v>19930</v>
      </c>
      <c r="H1017" s="28" t="s">
        <v>385</v>
      </c>
      <c r="I1017" s="28" t="s">
        <v>1991</v>
      </c>
      <c r="J1017" s="28" t="s">
        <v>4454</v>
      </c>
      <c r="K1017" s="28" t="s">
        <v>19931</v>
      </c>
      <c r="L1017" s="28" t="s">
        <v>19932</v>
      </c>
      <c r="M1017" s="28" t="s">
        <v>19933</v>
      </c>
      <c r="N1017" s="28" t="s">
        <v>147</v>
      </c>
      <c r="O1017" s="29">
        <v>5.76</v>
      </c>
      <c r="P1017" s="28" t="s">
        <v>148</v>
      </c>
      <c r="Q1017" s="28" t="s">
        <v>149</v>
      </c>
      <c r="R1017" s="28" t="s">
        <v>174</v>
      </c>
      <c r="S1017" s="28" t="s">
        <v>19934</v>
      </c>
      <c r="T1017" s="30">
        <v>2</v>
      </c>
      <c r="U1017" s="28" t="s">
        <v>19935</v>
      </c>
      <c r="V1017" s="28" t="s">
        <v>138</v>
      </c>
      <c r="W1017" s="28" t="s">
        <v>138</v>
      </c>
      <c r="X1017" s="31">
        <v>2012</v>
      </c>
      <c r="Y1017" s="28" t="s">
        <v>138</v>
      </c>
      <c r="Z1017" s="28" t="s">
        <v>138</v>
      </c>
      <c r="AA1017" s="28" t="s">
        <v>138</v>
      </c>
      <c r="AB1017" s="32" t="s">
        <v>138</v>
      </c>
      <c r="AC1017" s="32" t="s">
        <v>138</v>
      </c>
      <c r="AD1017" s="32" t="s">
        <v>138</v>
      </c>
      <c r="AE1017" s="32" t="s">
        <v>138</v>
      </c>
      <c r="AF1017" s="32" t="s">
        <v>138</v>
      </c>
      <c r="AG1017" s="28" t="s">
        <v>138</v>
      </c>
      <c r="AH1017" s="32" t="s">
        <v>138</v>
      </c>
      <c r="AI1017" s="32" t="s">
        <v>138</v>
      </c>
      <c r="AJ1017" s="32" t="s">
        <v>138</v>
      </c>
      <c r="AK1017" s="28" t="s">
        <v>19936</v>
      </c>
      <c r="AL1017" s="28" t="s">
        <v>19937</v>
      </c>
      <c r="AM1017" s="28" t="s">
        <v>221</v>
      </c>
      <c r="AN1017" s="28" t="s">
        <v>19938</v>
      </c>
      <c r="AO1017" s="28" t="s">
        <v>138</v>
      </c>
      <c r="AP1017" s="28" t="s">
        <v>4463</v>
      </c>
      <c r="AQ1017" s="28" t="s">
        <v>19939</v>
      </c>
      <c r="AR1017" s="28" t="s">
        <v>138</v>
      </c>
      <c r="AS1017" s="28" t="s">
        <v>4466</v>
      </c>
      <c r="AT1017" s="28" t="s">
        <v>426</v>
      </c>
      <c r="AU1017" s="28" t="s">
        <v>19940</v>
      </c>
      <c r="AV1017" s="28" t="s">
        <v>162</v>
      </c>
      <c r="AW1017" s="28" t="s">
        <v>138</v>
      </c>
      <c r="AX1017" s="28" t="s">
        <v>138</v>
      </c>
      <c r="AY1017" s="28" t="s">
        <v>19941</v>
      </c>
      <c r="AZ1017" s="28" t="s">
        <v>164</v>
      </c>
      <c r="BA1017" s="28" t="s">
        <v>165</v>
      </c>
      <c r="BB1017" s="28" t="s">
        <v>19942</v>
      </c>
      <c r="BC1017" s="28" t="s">
        <v>19943</v>
      </c>
      <c r="BD1017" s="33">
        <v>5</v>
      </c>
      <c r="BE1017" s="28" t="s">
        <v>138</v>
      </c>
      <c r="BF1017" s="28" t="s">
        <v>138</v>
      </c>
      <c r="BG1017" s="28" t="s">
        <v>138</v>
      </c>
      <c r="BH1017" s="28" t="s">
        <v>19944</v>
      </c>
      <c r="BI1017" s="28" t="s">
        <v>138</v>
      </c>
      <c r="BJ1017" s="28" t="s">
        <v>138</v>
      </c>
      <c r="BK1017" s="28" t="s">
        <v>19945</v>
      </c>
      <c r="BL1017" s="28" t="s">
        <v>19946</v>
      </c>
      <c r="BM1017" s="34">
        <v>42912</v>
      </c>
      <c r="BN1017" s="29" t="s">
        <v>138</v>
      </c>
      <c r="BO1017" s="28" t="s">
        <v>138</v>
      </c>
      <c r="BP1017" s="29" t="s">
        <v>138</v>
      </c>
      <c r="BQ1017" s="28" t="s">
        <v>138</v>
      </c>
      <c r="BR1017" s="28" t="s">
        <v>316</v>
      </c>
      <c r="BS1017" s="28" t="s">
        <v>138</v>
      </c>
      <c r="BT1017" s="28" t="s">
        <v>138</v>
      </c>
      <c r="BU1017" s="28" t="s">
        <v>177</v>
      </c>
      <c r="BV1017" s="28" t="s">
        <v>138</v>
      </c>
      <c r="BW1017" s="28" t="s">
        <v>138</v>
      </c>
      <c r="BX1017" s="28" t="s">
        <v>138</v>
      </c>
      <c r="BY1017" s="28" t="s">
        <v>175</v>
      </c>
      <c r="BZ1017" s="34">
        <v>43045</v>
      </c>
      <c r="CA1017" s="29">
        <v>5.76</v>
      </c>
      <c r="CB1017" s="28" t="s">
        <v>172</v>
      </c>
      <c r="CC1017" s="29">
        <v>23.04</v>
      </c>
      <c r="CD1017" s="28" t="s">
        <v>172</v>
      </c>
      <c r="CE1017" s="28" t="s">
        <v>205</v>
      </c>
      <c r="CF1017" s="28" t="s">
        <v>206</v>
      </c>
      <c r="CG1017" s="28" t="s">
        <v>138</v>
      </c>
      <c r="CH1017" s="28" t="s">
        <v>174</v>
      </c>
      <c r="CI1017" s="28" t="s">
        <v>138</v>
      </c>
      <c r="CJ1017" s="28" t="s">
        <v>138</v>
      </c>
      <c r="CK1017" s="28" t="s">
        <v>138</v>
      </c>
      <c r="CL1017" s="28" t="s">
        <v>175</v>
      </c>
      <c r="CM1017" s="34" t="s">
        <v>138</v>
      </c>
      <c r="CN1017" s="29" t="s">
        <v>138</v>
      </c>
      <c r="CO1017" s="35">
        <v>-0.84</v>
      </c>
      <c r="CP1017" s="36">
        <v>12</v>
      </c>
      <c r="CQ1017" s="35">
        <v>-0.01</v>
      </c>
      <c r="CR1017" s="35">
        <v>-0.89</v>
      </c>
      <c r="CS1017" s="35">
        <v>-2.9</v>
      </c>
      <c r="CT1017" s="36">
        <v>5</v>
      </c>
      <c r="CU1017" s="35">
        <v>0.38</v>
      </c>
      <c r="CV1017" s="36">
        <v>91</v>
      </c>
      <c r="CW1017" s="35">
        <v>-5.79</v>
      </c>
      <c r="CX1017" s="36">
        <v>2</v>
      </c>
      <c r="CY1017" s="35">
        <v>0</v>
      </c>
      <c r="CZ1017" s="36">
        <v>25</v>
      </c>
      <c r="DA1017" s="35">
        <v>0.38</v>
      </c>
      <c r="DB1017" s="36">
        <v>91</v>
      </c>
      <c r="DC1017" s="37">
        <v>3.67</v>
      </c>
      <c r="DD1017" s="36">
        <v>78</v>
      </c>
      <c r="DE1017" s="37">
        <v>-0.01</v>
      </c>
      <c r="DF1017" s="35">
        <v>-0.24</v>
      </c>
      <c r="DG1017" s="37">
        <v>3.12</v>
      </c>
      <c r="DH1017" s="36">
        <v>75</v>
      </c>
      <c r="DI1017" s="37">
        <v>7.19</v>
      </c>
      <c r="DJ1017" s="36">
        <v>82</v>
      </c>
      <c r="DK1017" s="37">
        <v>3.66</v>
      </c>
      <c r="DL1017" s="36">
        <v>75</v>
      </c>
      <c r="DM1017" s="37">
        <v>2.59</v>
      </c>
      <c r="DN1017" s="36">
        <v>71</v>
      </c>
      <c r="DO1017" s="37">
        <v>7.19</v>
      </c>
      <c r="DP1017" s="36">
        <v>84</v>
      </c>
      <c r="DQ1017" s="36">
        <v>1229</v>
      </c>
      <c r="DR1017" s="38">
        <v>74</v>
      </c>
      <c r="DS1017" s="35">
        <v>6.41</v>
      </c>
      <c r="DT1017" s="36">
        <v>72</v>
      </c>
      <c r="DU1017" s="38">
        <v>4</v>
      </c>
      <c r="DV1017" s="35">
        <v>5.88</v>
      </c>
      <c r="DW1017" s="36">
        <v>2568</v>
      </c>
      <c r="DX1017" s="39">
        <v>13</v>
      </c>
      <c r="DY1017" s="35">
        <v>0.51</v>
      </c>
      <c r="DZ1017" s="28" t="s">
        <v>178</v>
      </c>
      <c r="EA1017" s="34">
        <v>43454</v>
      </c>
      <c r="EB1017" s="29">
        <v>23.04</v>
      </c>
      <c r="EC1017" s="34">
        <v>43045</v>
      </c>
      <c r="ED1017" s="28" t="s">
        <v>205</v>
      </c>
      <c r="EE1017" s="40" t="str">
        <f>HYPERLINK("https://my.pitchbook.com?c=157409-83", "View company online")</f>
        <v>View company online</v>
      </c>
    </row>
    <row r="1018" spans="1:135">
      <c r="A1018" s="15" t="s">
        <v>19947</v>
      </c>
      <c r="B1018" s="15" t="s">
        <v>19948</v>
      </c>
      <c r="C1018" s="15" t="s">
        <v>138</v>
      </c>
      <c r="D1018" s="15" t="s">
        <v>138</v>
      </c>
      <c r="E1018" s="15" t="s">
        <v>19949</v>
      </c>
      <c r="F1018" s="15" t="s">
        <v>19947</v>
      </c>
      <c r="G1018" s="15" t="s">
        <v>19950</v>
      </c>
      <c r="H1018" s="15" t="s">
        <v>322</v>
      </c>
      <c r="I1018" s="15" t="s">
        <v>323</v>
      </c>
      <c r="J1018" s="15" t="s">
        <v>1084</v>
      </c>
      <c r="K1018" s="15" t="s">
        <v>19951</v>
      </c>
      <c r="L1018" s="15" t="s">
        <v>19952</v>
      </c>
      <c r="M1018" s="15" t="s">
        <v>19953</v>
      </c>
      <c r="N1018" s="15" t="s">
        <v>147</v>
      </c>
      <c r="O1018" s="17">
        <v>28.81</v>
      </c>
      <c r="P1018" s="15" t="s">
        <v>148</v>
      </c>
      <c r="Q1018" s="15" t="s">
        <v>149</v>
      </c>
      <c r="R1018" s="15" t="s">
        <v>244</v>
      </c>
      <c r="S1018" s="15" t="s">
        <v>19954</v>
      </c>
      <c r="T1018" s="18">
        <v>54</v>
      </c>
      <c r="U1018" s="15" t="s">
        <v>19955</v>
      </c>
      <c r="V1018" s="15" t="s">
        <v>138</v>
      </c>
      <c r="W1018" s="15" t="s">
        <v>138</v>
      </c>
      <c r="X1018" s="19">
        <v>2012</v>
      </c>
      <c r="Y1018" s="15" t="s">
        <v>138</v>
      </c>
      <c r="Z1018" s="15" t="s">
        <v>138</v>
      </c>
      <c r="AA1018" s="15" t="s">
        <v>138</v>
      </c>
      <c r="AB1018" s="20" t="s">
        <v>138</v>
      </c>
      <c r="AC1018" s="20" t="s">
        <v>138</v>
      </c>
      <c r="AD1018" s="20" t="s">
        <v>138</v>
      </c>
      <c r="AE1018" s="20" t="s">
        <v>138</v>
      </c>
      <c r="AF1018" s="20" t="s">
        <v>138</v>
      </c>
      <c r="AG1018" s="15" t="s">
        <v>138</v>
      </c>
      <c r="AH1018" s="20" t="s">
        <v>138</v>
      </c>
      <c r="AI1018" s="20" t="s">
        <v>138</v>
      </c>
      <c r="AJ1018" s="20" t="s">
        <v>138</v>
      </c>
      <c r="AK1018" s="15" t="s">
        <v>19956</v>
      </c>
      <c r="AL1018" s="15" t="s">
        <v>19957</v>
      </c>
      <c r="AM1018" s="15" t="s">
        <v>365</v>
      </c>
      <c r="AN1018" s="15" t="s">
        <v>19958</v>
      </c>
      <c r="AO1018" s="15" t="s">
        <v>19959</v>
      </c>
      <c r="AP1018" s="15" t="s">
        <v>17664</v>
      </c>
      <c r="AQ1018" s="15" t="s">
        <v>19960</v>
      </c>
      <c r="AR1018" s="15" t="s">
        <v>158</v>
      </c>
      <c r="AS1018" s="15" t="s">
        <v>17667</v>
      </c>
      <c r="AT1018" s="15" t="s">
        <v>339</v>
      </c>
      <c r="AU1018" s="15" t="s">
        <v>19961</v>
      </c>
      <c r="AV1018" s="15" t="s">
        <v>162</v>
      </c>
      <c r="AW1018" s="15" t="s">
        <v>19959</v>
      </c>
      <c r="AX1018" s="15" t="s">
        <v>138</v>
      </c>
      <c r="AY1018" s="15" t="s">
        <v>19962</v>
      </c>
      <c r="AZ1018" s="15" t="s">
        <v>164</v>
      </c>
      <c r="BA1018" s="15" t="s">
        <v>165</v>
      </c>
      <c r="BB1018" s="15" t="s">
        <v>19963</v>
      </c>
      <c r="BC1018" s="15" t="s">
        <v>19964</v>
      </c>
      <c r="BD1018" s="21">
        <v>10</v>
      </c>
      <c r="BE1018" s="15" t="s">
        <v>138</v>
      </c>
      <c r="BF1018" s="15" t="s">
        <v>138</v>
      </c>
      <c r="BG1018" s="15" t="s">
        <v>138</v>
      </c>
      <c r="BH1018" s="15" t="s">
        <v>19965</v>
      </c>
      <c r="BI1018" s="15" t="s">
        <v>138</v>
      </c>
      <c r="BJ1018" s="15" t="s">
        <v>138</v>
      </c>
      <c r="BK1018" s="15" t="s">
        <v>19966</v>
      </c>
      <c r="BL1018" s="15" t="s">
        <v>19967</v>
      </c>
      <c r="BM1018" s="22">
        <v>41723</v>
      </c>
      <c r="BN1018" s="17">
        <v>6.26</v>
      </c>
      <c r="BO1018" s="15" t="s">
        <v>172</v>
      </c>
      <c r="BP1018" s="17">
        <v>20.04</v>
      </c>
      <c r="BQ1018" s="15" t="s">
        <v>172</v>
      </c>
      <c r="BR1018" s="15" t="s">
        <v>780</v>
      </c>
      <c r="BS1018" s="15" t="s">
        <v>206</v>
      </c>
      <c r="BT1018" s="15" t="s">
        <v>138</v>
      </c>
      <c r="BU1018" s="15" t="s">
        <v>780</v>
      </c>
      <c r="BV1018" s="15" t="s">
        <v>138</v>
      </c>
      <c r="BW1018" s="15" t="s">
        <v>138</v>
      </c>
      <c r="BX1018" s="15" t="s">
        <v>138</v>
      </c>
      <c r="BY1018" s="15" t="s">
        <v>175</v>
      </c>
      <c r="BZ1018" s="22">
        <v>43370</v>
      </c>
      <c r="CA1018" s="17">
        <v>13.3</v>
      </c>
      <c r="CB1018" s="15" t="s">
        <v>172</v>
      </c>
      <c r="CC1018" s="17">
        <v>81.150000000000006</v>
      </c>
      <c r="CD1018" s="15" t="s">
        <v>172</v>
      </c>
      <c r="CE1018" s="15" t="s">
        <v>173</v>
      </c>
      <c r="CF1018" s="15" t="s">
        <v>974</v>
      </c>
      <c r="CG1018" s="15" t="s">
        <v>138</v>
      </c>
      <c r="CH1018" s="15" t="s">
        <v>174</v>
      </c>
      <c r="CI1018" s="15" t="s">
        <v>177</v>
      </c>
      <c r="CJ1018" s="15" t="s">
        <v>138</v>
      </c>
      <c r="CK1018" s="15" t="s">
        <v>138</v>
      </c>
      <c r="CL1018" s="15" t="s">
        <v>175</v>
      </c>
      <c r="CM1018" s="22">
        <v>42913</v>
      </c>
      <c r="CN1018" s="17" t="s">
        <v>138</v>
      </c>
      <c r="CO1018" s="23">
        <v>-0.77</v>
      </c>
      <c r="CP1018" s="24">
        <v>13</v>
      </c>
      <c r="CQ1018" s="23">
        <v>-0.02</v>
      </c>
      <c r="CR1018" s="23">
        <v>-3.16</v>
      </c>
      <c r="CS1018" s="23">
        <v>-2.79</v>
      </c>
      <c r="CT1018" s="24">
        <v>6</v>
      </c>
      <c r="CU1018" s="23">
        <v>0.13</v>
      </c>
      <c r="CV1018" s="24">
        <v>73</v>
      </c>
      <c r="CW1018" s="23">
        <v>-3.56</v>
      </c>
      <c r="CX1018" s="24">
        <v>4</v>
      </c>
      <c r="CY1018" s="23">
        <v>-2.0099999999999998</v>
      </c>
      <c r="CZ1018" s="24">
        <v>11</v>
      </c>
      <c r="DA1018" s="23">
        <v>0.18</v>
      </c>
      <c r="DB1018" s="24">
        <v>81</v>
      </c>
      <c r="DC1018" s="25">
        <v>5.35</v>
      </c>
      <c r="DD1018" s="24">
        <v>83</v>
      </c>
      <c r="DE1018" s="25">
        <v>-0.01</v>
      </c>
      <c r="DF1018" s="23">
        <v>-0.26</v>
      </c>
      <c r="DG1018" s="25">
        <v>9.82</v>
      </c>
      <c r="DH1018" s="24">
        <v>89</v>
      </c>
      <c r="DI1018" s="25">
        <v>3.43</v>
      </c>
      <c r="DJ1018" s="24">
        <v>72</v>
      </c>
      <c r="DK1018" s="25">
        <v>3.4</v>
      </c>
      <c r="DL1018" s="24">
        <v>74</v>
      </c>
      <c r="DM1018" s="25">
        <v>16.239999999999998</v>
      </c>
      <c r="DN1018" s="24">
        <v>93</v>
      </c>
      <c r="DO1018" s="25">
        <v>5.39</v>
      </c>
      <c r="DP1018" s="24">
        <v>80</v>
      </c>
      <c r="DQ1018" s="24">
        <v>1147</v>
      </c>
      <c r="DR1018" s="26">
        <v>53</v>
      </c>
      <c r="DS1018" s="23">
        <v>4.84</v>
      </c>
      <c r="DT1018" s="24">
        <v>470</v>
      </c>
      <c r="DU1018" s="26">
        <v>0</v>
      </c>
      <c r="DV1018" s="23">
        <v>0</v>
      </c>
      <c r="DW1018" s="24">
        <v>1930</v>
      </c>
      <c r="DX1018" s="27">
        <v>0</v>
      </c>
      <c r="DY1018" s="23">
        <v>0</v>
      </c>
      <c r="DZ1018" s="15" t="s">
        <v>178</v>
      </c>
      <c r="EA1018" s="22">
        <v>43622</v>
      </c>
      <c r="EB1018" s="17">
        <v>81.150000000000006</v>
      </c>
      <c r="EC1018" s="22">
        <v>43370</v>
      </c>
      <c r="ED1018" s="15" t="s">
        <v>173</v>
      </c>
      <c r="EE1018" s="14" t="str">
        <f>HYPERLINK("https://my.pitchbook.com?c=60474-43", "View company online")</f>
        <v>View company online</v>
      </c>
    </row>
    <row r="1019" spans="1:135">
      <c r="A1019" s="28" t="s">
        <v>19968</v>
      </c>
      <c r="B1019" s="28" t="s">
        <v>19969</v>
      </c>
      <c r="C1019" s="28" t="s">
        <v>138</v>
      </c>
      <c r="D1019" s="28" t="s">
        <v>138</v>
      </c>
      <c r="E1019" s="28" t="s">
        <v>19970</v>
      </c>
      <c r="F1019" s="28" t="s">
        <v>19968</v>
      </c>
      <c r="G1019" s="28" t="s">
        <v>19971</v>
      </c>
      <c r="H1019" s="28" t="s">
        <v>238</v>
      </c>
      <c r="I1019" s="28" t="s">
        <v>239</v>
      </c>
      <c r="J1019" s="28" t="s">
        <v>2578</v>
      </c>
      <c r="K1019" s="28" t="s">
        <v>19972</v>
      </c>
      <c r="L1019" s="28" t="s">
        <v>19973</v>
      </c>
      <c r="M1019" s="28" t="s">
        <v>19974</v>
      </c>
      <c r="N1019" s="28" t="s">
        <v>147</v>
      </c>
      <c r="O1019" s="29" t="s">
        <v>138</v>
      </c>
      <c r="P1019" s="28" t="s">
        <v>148</v>
      </c>
      <c r="Q1019" s="28" t="s">
        <v>149</v>
      </c>
      <c r="R1019" s="28" t="s">
        <v>174</v>
      </c>
      <c r="S1019" s="28" t="s">
        <v>19975</v>
      </c>
      <c r="T1019" s="30">
        <v>201</v>
      </c>
      <c r="U1019" s="28" t="s">
        <v>19976</v>
      </c>
      <c r="V1019" s="28" t="s">
        <v>138</v>
      </c>
      <c r="W1019" s="28" t="s">
        <v>138</v>
      </c>
      <c r="X1019" s="31">
        <v>2006</v>
      </c>
      <c r="Y1019" s="28" t="s">
        <v>138</v>
      </c>
      <c r="Z1019" s="28" t="s">
        <v>138</v>
      </c>
      <c r="AA1019" s="28" t="s">
        <v>138</v>
      </c>
      <c r="AB1019" s="32" t="s">
        <v>138</v>
      </c>
      <c r="AC1019" s="32" t="s">
        <v>138</v>
      </c>
      <c r="AD1019" s="32" t="s">
        <v>138</v>
      </c>
      <c r="AE1019" s="32" t="s">
        <v>138</v>
      </c>
      <c r="AF1019" s="32" t="s">
        <v>138</v>
      </c>
      <c r="AG1019" s="28" t="s">
        <v>138</v>
      </c>
      <c r="AH1019" s="32" t="s">
        <v>138</v>
      </c>
      <c r="AI1019" s="32" t="s">
        <v>138</v>
      </c>
      <c r="AJ1019" s="32" t="s">
        <v>138</v>
      </c>
      <c r="AK1019" s="28" t="s">
        <v>19977</v>
      </c>
      <c r="AL1019" s="28" t="s">
        <v>19978</v>
      </c>
      <c r="AM1019" s="28" t="s">
        <v>444</v>
      </c>
      <c r="AN1019" s="28" t="s">
        <v>19979</v>
      </c>
      <c r="AO1019" s="28" t="s">
        <v>19980</v>
      </c>
      <c r="AP1019" s="28" t="s">
        <v>9070</v>
      </c>
      <c r="AQ1019" s="28" t="s">
        <v>19981</v>
      </c>
      <c r="AR1019" s="28" t="s">
        <v>19982</v>
      </c>
      <c r="AS1019" s="28" t="s">
        <v>9073</v>
      </c>
      <c r="AT1019" s="28" t="s">
        <v>9074</v>
      </c>
      <c r="AU1019" s="28" t="s">
        <v>19983</v>
      </c>
      <c r="AV1019" s="28" t="s">
        <v>2333</v>
      </c>
      <c r="AW1019" s="28" t="s">
        <v>19980</v>
      </c>
      <c r="AX1019" s="28" t="s">
        <v>19984</v>
      </c>
      <c r="AY1019" s="28" t="s">
        <v>19985</v>
      </c>
      <c r="AZ1019" s="28" t="s">
        <v>452</v>
      </c>
      <c r="BA1019" s="28" t="s">
        <v>2335</v>
      </c>
      <c r="BB1019" s="28" t="s">
        <v>19986</v>
      </c>
      <c r="BC1019" s="28" t="s">
        <v>19987</v>
      </c>
      <c r="BD1019" s="33">
        <v>3</v>
      </c>
      <c r="BE1019" s="28" t="s">
        <v>138</v>
      </c>
      <c r="BF1019" s="28" t="s">
        <v>138</v>
      </c>
      <c r="BG1019" s="28" t="s">
        <v>138</v>
      </c>
      <c r="BH1019" s="28" t="s">
        <v>19988</v>
      </c>
      <c r="BI1019" s="28" t="s">
        <v>138</v>
      </c>
      <c r="BJ1019" s="28" t="s">
        <v>138</v>
      </c>
      <c r="BK1019" s="28" t="s">
        <v>138</v>
      </c>
      <c r="BL1019" s="28" t="s">
        <v>138</v>
      </c>
      <c r="BM1019" s="34">
        <v>39380</v>
      </c>
      <c r="BN1019" s="29" t="s">
        <v>138</v>
      </c>
      <c r="BO1019" s="28" t="s">
        <v>138</v>
      </c>
      <c r="BP1019" s="29" t="s">
        <v>138</v>
      </c>
      <c r="BQ1019" s="28" t="s">
        <v>138</v>
      </c>
      <c r="BR1019" s="28" t="s">
        <v>205</v>
      </c>
      <c r="BS1019" s="28" t="s">
        <v>138</v>
      </c>
      <c r="BT1019" s="28" t="s">
        <v>138</v>
      </c>
      <c r="BU1019" s="28" t="s">
        <v>174</v>
      </c>
      <c r="BV1019" s="28" t="s">
        <v>138</v>
      </c>
      <c r="BW1019" s="28" t="s">
        <v>138</v>
      </c>
      <c r="BX1019" s="28" t="s">
        <v>138</v>
      </c>
      <c r="BY1019" s="28" t="s">
        <v>175</v>
      </c>
      <c r="BZ1019" s="34">
        <v>39380</v>
      </c>
      <c r="CA1019" s="29" t="s">
        <v>138</v>
      </c>
      <c r="CB1019" s="28" t="s">
        <v>138</v>
      </c>
      <c r="CC1019" s="29" t="s">
        <v>138</v>
      </c>
      <c r="CD1019" s="28" t="s">
        <v>138</v>
      </c>
      <c r="CE1019" s="28" t="s">
        <v>205</v>
      </c>
      <c r="CF1019" s="28" t="s">
        <v>138</v>
      </c>
      <c r="CG1019" s="28" t="s">
        <v>138</v>
      </c>
      <c r="CH1019" s="28" t="s">
        <v>174</v>
      </c>
      <c r="CI1019" s="28" t="s">
        <v>138</v>
      </c>
      <c r="CJ1019" s="28" t="s">
        <v>138</v>
      </c>
      <c r="CK1019" s="28" t="s">
        <v>138</v>
      </c>
      <c r="CL1019" s="28" t="s">
        <v>175</v>
      </c>
      <c r="CM1019" s="34" t="s">
        <v>138</v>
      </c>
      <c r="CN1019" s="29" t="s">
        <v>138</v>
      </c>
      <c r="CO1019" s="35">
        <v>0</v>
      </c>
      <c r="CP1019" s="36">
        <v>26</v>
      </c>
      <c r="CQ1019" s="35">
        <v>0</v>
      </c>
      <c r="CR1019" s="35">
        <v>0</v>
      </c>
      <c r="CS1019" s="35">
        <v>0</v>
      </c>
      <c r="CT1019" s="36">
        <v>23</v>
      </c>
      <c r="CU1019" s="35" t="s">
        <v>138</v>
      </c>
      <c r="CV1019" s="36" t="s">
        <v>138</v>
      </c>
      <c r="CW1019" s="35" t="s">
        <v>138</v>
      </c>
      <c r="CX1019" s="36" t="s">
        <v>138</v>
      </c>
      <c r="CY1019" s="35">
        <v>0</v>
      </c>
      <c r="CZ1019" s="36">
        <v>25</v>
      </c>
      <c r="DA1019" s="35" t="s">
        <v>138</v>
      </c>
      <c r="DB1019" s="36" t="s">
        <v>138</v>
      </c>
      <c r="DC1019" s="37">
        <v>0.45</v>
      </c>
      <c r="DD1019" s="36">
        <v>31</v>
      </c>
      <c r="DE1019" s="37">
        <v>0</v>
      </c>
      <c r="DF1019" s="35">
        <v>0</v>
      </c>
      <c r="DG1019" s="37">
        <v>0.45</v>
      </c>
      <c r="DH1019" s="36">
        <v>31</v>
      </c>
      <c r="DI1019" s="37" t="s">
        <v>138</v>
      </c>
      <c r="DJ1019" s="36" t="s">
        <v>138</v>
      </c>
      <c r="DK1019" s="37" t="s">
        <v>138</v>
      </c>
      <c r="DL1019" s="36" t="s">
        <v>138</v>
      </c>
      <c r="DM1019" s="37">
        <v>0.45</v>
      </c>
      <c r="DN1019" s="36">
        <v>31</v>
      </c>
      <c r="DO1019" s="37" t="s">
        <v>138</v>
      </c>
      <c r="DP1019" s="36" t="s">
        <v>138</v>
      </c>
      <c r="DQ1019" s="36" t="s">
        <v>138</v>
      </c>
      <c r="DR1019" s="38" t="s">
        <v>138</v>
      </c>
      <c r="DS1019" s="35" t="s">
        <v>138</v>
      </c>
      <c r="DT1019" s="36">
        <v>13</v>
      </c>
      <c r="DU1019" s="38">
        <v>0</v>
      </c>
      <c r="DV1019" s="35">
        <v>0</v>
      </c>
      <c r="DW1019" s="36" t="s">
        <v>138</v>
      </c>
      <c r="DX1019" s="39" t="s">
        <v>138</v>
      </c>
      <c r="DY1019" s="35" t="s">
        <v>138</v>
      </c>
      <c r="DZ1019" s="28" t="s">
        <v>178</v>
      </c>
      <c r="EA1019" s="34">
        <v>43351</v>
      </c>
      <c r="EB1019" s="29" t="s">
        <v>138</v>
      </c>
      <c r="EC1019" s="34" t="s">
        <v>138</v>
      </c>
      <c r="ED1019" s="28" t="s">
        <v>138</v>
      </c>
      <c r="EE1019" s="40" t="str">
        <f>HYPERLINK("https://my.pitchbook.com?c=52840-27", "View company online")</f>
        <v>View company online</v>
      </c>
    </row>
    <row r="1020" spans="1:135">
      <c r="A1020" s="15" t="s">
        <v>19989</v>
      </c>
      <c r="B1020" s="15" t="s">
        <v>19990</v>
      </c>
      <c r="C1020" s="15" t="s">
        <v>138</v>
      </c>
      <c r="D1020" s="15" t="s">
        <v>138</v>
      </c>
      <c r="E1020" s="15" t="s">
        <v>19991</v>
      </c>
      <c r="F1020" s="15" t="s">
        <v>19989</v>
      </c>
      <c r="G1020" s="15" t="s">
        <v>19992</v>
      </c>
      <c r="H1020" s="15" t="s">
        <v>238</v>
      </c>
      <c r="I1020" s="15" t="s">
        <v>239</v>
      </c>
      <c r="J1020" s="15" t="s">
        <v>2234</v>
      </c>
      <c r="K1020" s="15" t="s">
        <v>19993</v>
      </c>
      <c r="L1020" s="15" t="s">
        <v>14259</v>
      </c>
      <c r="M1020" s="15" t="s">
        <v>19994</v>
      </c>
      <c r="N1020" s="15" t="s">
        <v>147</v>
      </c>
      <c r="O1020" s="17">
        <v>14.73</v>
      </c>
      <c r="P1020" s="15" t="s">
        <v>148</v>
      </c>
      <c r="Q1020" s="15" t="s">
        <v>149</v>
      </c>
      <c r="R1020" s="15" t="s">
        <v>174</v>
      </c>
      <c r="S1020" s="15" t="s">
        <v>19995</v>
      </c>
      <c r="T1020" s="18">
        <v>12</v>
      </c>
      <c r="U1020" s="15" t="s">
        <v>4523</v>
      </c>
      <c r="V1020" s="15" t="s">
        <v>138</v>
      </c>
      <c r="W1020" s="15" t="s">
        <v>138</v>
      </c>
      <c r="X1020" s="19">
        <v>2015</v>
      </c>
      <c r="Y1020" s="15" t="s">
        <v>138</v>
      </c>
      <c r="Z1020" s="15" t="s">
        <v>138</v>
      </c>
      <c r="AA1020" s="15" t="s">
        <v>138</v>
      </c>
      <c r="AB1020" s="20" t="s">
        <v>138</v>
      </c>
      <c r="AC1020" s="20" t="s">
        <v>138</v>
      </c>
      <c r="AD1020" s="20" t="s">
        <v>138</v>
      </c>
      <c r="AE1020" s="20" t="s">
        <v>138</v>
      </c>
      <c r="AF1020" s="20" t="s">
        <v>138</v>
      </c>
      <c r="AG1020" s="15" t="s">
        <v>138</v>
      </c>
      <c r="AH1020" s="20" t="s">
        <v>138</v>
      </c>
      <c r="AI1020" s="20" t="s">
        <v>138</v>
      </c>
      <c r="AJ1020" s="20" t="s">
        <v>138</v>
      </c>
      <c r="AK1020" s="15" t="s">
        <v>19996</v>
      </c>
      <c r="AL1020" s="15" t="s">
        <v>19997</v>
      </c>
      <c r="AM1020" s="15" t="s">
        <v>304</v>
      </c>
      <c r="AN1020" s="15" t="s">
        <v>19998</v>
      </c>
      <c r="AO1020" s="15" t="s">
        <v>138</v>
      </c>
      <c r="AP1020" s="15" t="s">
        <v>423</v>
      </c>
      <c r="AQ1020" s="15" t="s">
        <v>19999</v>
      </c>
      <c r="AR1020" s="15" t="s">
        <v>8943</v>
      </c>
      <c r="AS1020" s="15" t="s">
        <v>426</v>
      </c>
      <c r="AT1020" s="15" t="s">
        <v>426</v>
      </c>
      <c r="AU1020" s="15" t="s">
        <v>2610</v>
      </c>
      <c r="AV1020" s="15" t="s">
        <v>162</v>
      </c>
      <c r="AW1020" s="15" t="s">
        <v>138</v>
      </c>
      <c r="AX1020" s="15" t="s">
        <v>138</v>
      </c>
      <c r="AY1020" s="15" t="s">
        <v>20000</v>
      </c>
      <c r="AZ1020" s="15" t="s">
        <v>164</v>
      </c>
      <c r="BA1020" s="15" t="s">
        <v>165</v>
      </c>
      <c r="BB1020" s="15" t="s">
        <v>20001</v>
      </c>
      <c r="BC1020" s="15" t="s">
        <v>20002</v>
      </c>
      <c r="BD1020" s="21">
        <v>17</v>
      </c>
      <c r="BE1020" s="15" t="s">
        <v>138</v>
      </c>
      <c r="BF1020" s="15" t="s">
        <v>138</v>
      </c>
      <c r="BG1020" s="15" t="s">
        <v>138</v>
      </c>
      <c r="BH1020" s="15" t="s">
        <v>20003</v>
      </c>
      <c r="BI1020" s="15" t="s">
        <v>138</v>
      </c>
      <c r="BJ1020" s="15" t="s">
        <v>138</v>
      </c>
      <c r="BK1020" s="15" t="s">
        <v>138</v>
      </c>
      <c r="BL1020" s="15" t="s">
        <v>138</v>
      </c>
      <c r="BM1020" s="22">
        <v>42271</v>
      </c>
      <c r="BN1020" s="17">
        <v>0.12</v>
      </c>
      <c r="BO1020" s="15" t="s">
        <v>172</v>
      </c>
      <c r="BP1020" s="17" t="s">
        <v>138</v>
      </c>
      <c r="BQ1020" s="15" t="s">
        <v>138</v>
      </c>
      <c r="BR1020" s="15" t="s">
        <v>316</v>
      </c>
      <c r="BS1020" s="15" t="s">
        <v>138</v>
      </c>
      <c r="BT1020" s="15" t="s">
        <v>138</v>
      </c>
      <c r="BU1020" s="15" t="s">
        <v>177</v>
      </c>
      <c r="BV1020" s="15" t="s">
        <v>138</v>
      </c>
      <c r="BW1020" s="15" t="s">
        <v>138</v>
      </c>
      <c r="BX1020" s="15" t="s">
        <v>138</v>
      </c>
      <c r="BY1020" s="15" t="s">
        <v>175</v>
      </c>
      <c r="BZ1020" s="22">
        <v>43146</v>
      </c>
      <c r="CA1020" s="17">
        <v>9.6</v>
      </c>
      <c r="CB1020" s="15" t="s">
        <v>172</v>
      </c>
      <c r="CC1020" s="17">
        <v>27.56</v>
      </c>
      <c r="CD1020" s="15" t="s">
        <v>172</v>
      </c>
      <c r="CE1020" s="15" t="s">
        <v>205</v>
      </c>
      <c r="CF1020" s="15" t="s">
        <v>720</v>
      </c>
      <c r="CG1020" s="15" t="s">
        <v>138</v>
      </c>
      <c r="CH1020" s="15" t="s">
        <v>174</v>
      </c>
      <c r="CI1020" s="15" t="s">
        <v>177</v>
      </c>
      <c r="CJ1020" s="15" t="s">
        <v>138</v>
      </c>
      <c r="CK1020" s="15" t="s">
        <v>138</v>
      </c>
      <c r="CL1020" s="15" t="s">
        <v>175</v>
      </c>
      <c r="CM1020" s="22" t="s">
        <v>138</v>
      </c>
      <c r="CN1020" s="17" t="s">
        <v>138</v>
      </c>
      <c r="CO1020" s="23">
        <v>-0.31</v>
      </c>
      <c r="CP1020" s="24">
        <v>18</v>
      </c>
      <c r="CQ1020" s="23">
        <v>-0.02</v>
      </c>
      <c r="CR1020" s="23">
        <v>-8.1</v>
      </c>
      <c r="CS1020" s="23">
        <v>-0.83</v>
      </c>
      <c r="CT1020" s="24">
        <v>16</v>
      </c>
      <c r="CU1020" s="23">
        <v>0.2</v>
      </c>
      <c r="CV1020" s="24">
        <v>80</v>
      </c>
      <c r="CW1020" s="23">
        <v>0.04</v>
      </c>
      <c r="CX1020" s="24">
        <v>80</v>
      </c>
      <c r="CY1020" s="23">
        <v>-1.69</v>
      </c>
      <c r="CZ1020" s="24">
        <v>13</v>
      </c>
      <c r="DA1020" s="23">
        <v>0.2</v>
      </c>
      <c r="DB1020" s="24">
        <v>82</v>
      </c>
      <c r="DC1020" s="25">
        <v>6.49</v>
      </c>
      <c r="DD1020" s="24">
        <v>86</v>
      </c>
      <c r="DE1020" s="25">
        <v>-0.09</v>
      </c>
      <c r="DF1020" s="23">
        <v>-1.44</v>
      </c>
      <c r="DG1020" s="25">
        <v>8.14</v>
      </c>
      <c r="DH1020" s="24">
        <v>88</v>
      </c>
      <c r="DI1020" s="25">
        <v>4.84</v>
      </c>
      <c r="DJ1020" s="24">
        <v>77</v>
      </c>
      <c r="DK1020" s="25">
        <v>2.97</v>
      </c>
      <c r="DL1020" s="24">
        <v>71</v>
      </c>
      <c r="DM1020" s="25">
        <v>13.31</v>
      </c>
      <c r="DN1020" s="24">
        <v>91</v>
      </c>
      <c r="DO1020" s="25">
        <v>4.84</v>
      </c>
      <c r="DP1020" s="24">
        <v>79</v>
      </c>
      <c r="DQ1020" s="24">
        <v>972</v>
      </c>
      <c r="DR1020" s="26">
        <v>133</v>
      </c>
      <c r="DS1020" s="23">
        <v>15.85</v>
      </c>
      <c r="DT1020" s="24">
        <v>386</v>
      </c>
      <c r="DU1020" s="26">
        <v>-2</v>
      </c>
      <c r="DV1020" s="23">
        <v>-0.52</v>
      </c>
      <c r="DW1020" s="24">
        <v>1732</v>
      </c>
      <c r="DX1020" s="27">
        <v>2</v>
      </c>
      <c r="DY1020" s="23">
        <v>0.12</v>
      </c>
      <c r="DZ1020" s="15" t="s">
        <v>178</v>
      </c>
      <c r="EA1020" s="22">
        <v>43598</v>
      </c>
      <c r="EB1020" s="17">
        <v>27.56</v>
      </c>
      <c r="EC1020" s="22">
        <v>43146</v>
      </c>
      <c r="ED1020" s="15" t="s">
        <v>205</v>
      </c>
      <c r="EE1020" s="14" t="str">
        <f>HYPERLINK("https://my.pitchbook.com?c=118154-71", "View company online")</f>
        <v>View company online</v>
      </c>
    </row>
    <row r="1021" spans="1:135">
      <c r="A1021" s="28" t="s">
        <v>20004</v>
      </c>
      <c r="B1021" s="28" t="s">
        <v>20005</v>
      </c>
      <c r="C1021" s="28" t="s">
        <v>20006</v>
      </c>
      <c r="D1021" s="28" t="s">
        <v>138</v>
      </c>
      <c r="E1021" s="28" t="s">
        <v>20007</v>
      </c>
      <c r="F1021" s="28" t="s">
        <v>20004</v>
      </c>
      <c r="G1021" s="28" t="s">
        <v>20008</v>
      </c>
      <c r="H1021" s="28" t="s">
        <v>322</v>
      </c>
      <c r="I1021" s="28" t="s">
        <v>323</v>
      </c>
      <c r="J1021" s="28" t="s">
        <v>461</v>
      </c>
      <c r="K1021" s="28" t="s">
        <v>10119</v>
      </c>
      <c r="L1021" s="28" t="s">
        <v>326</v>
      </c>
      <c r="M1021" s="28" t="s">
        <v>20009</v>
      </c>
      <c r="N1021" s="28" t="s">
        <v>147</v>
      </c>
      <c r="O1021" s="29">
        <v>41.9</v>
      </c>
      <c r="P1021" s="28" t="s">
        <v>148</v>
      </c>
      <c r="Q1021" s="28" t="s">
        <v>149</v>
      </c>
      <c r="R1021" s="28" t="s">
        <v>174</v>
      </c>
      <c r="S1021" s="28" t="s">
        <v>20010</v>
      </c>
      <c r="T1021" s="30">
        <v>52</v>
      </c>
      <c r="U1021" s="28" t="s">
        <v>20011</v>
      </c>
      <c r="V1021" s="28" t="s">
        <v>138</v>
      </c>
      <c r="W1021" s="28" t="s">
        <v>138</v>
      </c>
      <c r="X1021" s="31">
        <v>2007</v>
      </c>
      <c r="Y1021" s="28" t="s">
        <v>138</v>
      </c>
      <c r="Z1021" s="28" t="s">
        <v>138</v>
      </c>
      <c r="AA1021" s="28" t="s">
        <v>138</v>
      </c>
      <c r="AB1021" s="32" t="s">
        <v>138</v>
      </c>
      <c r="AC1021" s="32" t="s">
        <v>138</v>
      </c>
      <c r="AD1021" s="32" t="s">
        <v>138</v>
      </c>
      <c r="AE1021" s="32" t="s">
        <v>138</v>
      </c>
      <c r="AF1021" s="32" t="s">
        <v>138</v>
      </c>
      <c r="AG1021" s="28" t="s">
        <v>138</v>
      </c>
      <c r="AH1021" s="32" t="s">
        <v>138</v>
      </c>
      <c r="AI1021" s="32" t="s">
        <v>138</v>
      </c>
      <c r="AJ1021" s="32" t="s">
        <v>138</v>
      </c>
      <c r="AK1021" s="28" t="s">
        <v>20012</v>
      </c>
      <c r="AL1021" s="28" t="s">
        <v>20013</v>
      </c>
      <c r="AM1021" s="28" t="s">
        <v>20014</v>
      </c>
      <c r="AN1021" s="28" t="s">
        <v>138</v>
      </c>
      <c r="AO1021" s="28" t="s">
        <v>138</v>
      </c>
      <c r="AP1021" s="28" t="s">
        <v>1168</v>
      </c>
      <c r="AQ1021" s="28" t="s">
        <v>20015</v>
      </c>
      <c r="AR1021" s="28" t="s">
        <v>138</v>
      </c>
      <c r="AS1021" s="28" t="s">
        <v>1171</v>
      </c>
      <c r="AT1021" s="28" t="s">
        <v>200</v>
      </c>
      <c r="AU1021" s="28" t="s">
        <v>10793</v>
      </c>
      <c r="AV1021" s="28" t="s">
        <v>162</v>
      </c>
      <c r="AW1021" s="28" t="s">
        <v>20016</v>
      </c>
      <c r="AX1021" s="28" t="s">
        <v>20016</v>
      </c>
      <c r="AY1021" s="28" t="s">
        <v>20017</v>
      </c>
      <c r="AZ1021" s="28" t="s">
        <v>164</v>
      </c>
      <c r="BA1021" s="28" t="s">
        <v>165</v>
      </c>
      <c r="BB1021" s="28" t="s">
        <v>20018</v>
      </c>
      <c r="BC1021" s="28" t="s">
        <v>20019</v>
      </c>
      <c r="BD1021" s="33">
        <v>5</v>
      </c>
      <c r="BE1021" s="28" t="s">
        <v>138</v>
      </c>
      <c r="BF1021" s="28" t="s">
        <v>138</v>
      </c>
      <c r="BG1021" s="28" t="s">
        <v>138</v>
      </c>
      <c r="BH1021" s="28" t="s">
        <v>20020</v>
      </c>
      <c r="BI1021" s="28" t="s">
        <v>138</v>
      </c>
      <c r="BJ1021" s="28" t="s">
        <v>138</v>
      </c>
      <c r="BK1021" s="28" t="s">
        <v>290</v>
      </c>
      <c r="BL1021" s="28" t="s">
        <v>290</v>
      </c>
      <c r="BM1021" s="34">
        <v>41765</v>
      </c>
      <c r="BN1021" s="29">
        <v>0.55000000000000004</v>
      </c>
      <c r="BO1021" s="28" t="s">
        <v>172</v>
      </c>
      <c r="BP1021" s="29">
        <v>3.85</v>
      </c>
      <c r="BQ1021" s="28" t="s">
        <v>172</v>
      </c>
      <c r="BR1021" s="28" t="s">
        <v>173</v>
      </c>
      <c r="BS1021" s="28" t="s">
        <v>206</v>
      </c>
      <c r="BT1021" s="28" t="s">
        <v>138</v>
      </c>
      <c r="BU1021" s="28" t="s">
        <v>174</v>
      </c>
      <c r="BV1021" s="28" t="s">
        <v>138</v>
      </c>
      <c r="BW1021" s="28" t="s">
        <v>138</v>
      </c>
      <c r="BX1021" s="28" t="s">
        <v>138</v>
      </c>
      <c r="BY1021" s="28" t="s">
        <v>175</v>
      </c>
      <c r="BZ1021" s="34">
        <v>42416</v>
      </c>
      <c r="CA1021" s="29">
        <v>36</v>
      </c>
      <c r="CB1021" s="28" t="s">
        <v>172</v>
      </c>
      <c r="CC1021" s="29">
        <v>74.97</v>
      </c>
      <c r="CD1021" s="28" t="s">
        <v>172</v>
      </c>
      <c r="CE1021" s="28" t="s">
        <v>173</v>
      </c>
      <c r="CF1021" s="28" t="s">
        <v>720</v>
      </c>
      <c r="CG1021" s="28" t="s">
        <v>138</v>
      </c>
      <c r="CH1021" s="28" t="s">
        <v>174</v>
      </c>
      <c r="CI1021" s="28" t="s">
        <v>138</v>
      </c>
      <c r="CJ1021" s="28" t="s">
        <v>138</v>
      </c>
      <c r="CK1021" s="28" t="s">
        <v>138</v>
      </c>
      <c r="CL1021" s="28" t="s">
        <v>175</v>
      </c>
      <c r="CM1021" s="34" t="s">
        <v>138</v>
      </c>
      <c r="CN1021" s="29" t="s">
        <v>138</v>
      </c>
      <c r="CO1021" s="35">
        <v>0.55000000000000004</v>
      </c>
      <c r="CP1021" s="36">
        <v>95</v>
      </c>
      <c r="CQ1021" s="35">
        <v>-0.09</v>
      </c>
      <c r="CR1021" s="35">
        <v>-13.52</v>
      </c>
      <c r="CS1021" s="35">
        <v>1.1100000000000001</v>
      </c>
      <c r="CT1021" s="36">
        <v>97</v>
      </c>
      <c r="CU1021" s="35">
        <v>-0.01</v>
      </c>
      <c r="CV1021" s="36">
        <v>20</v>
      </c>
      <c r="CW1021" s="35">
        <v>-1.89</v>
      </c>
      <c r="CX1021" s="36">
        <v>7</v>
      </c>
      <c r="CY1021" s="35">
        <v>4.12</v>
      </c>
      <c r="CZ1021" s="36">
        <v>100</v>
      </c>
      <c r="DA1021" s="35">
        <v>-7.0000000000000007E-2</v>
      </c>
      <c r="DB1021" s="36">
        <v>9</v>
      </c>
      <c r="DC1021" s="37">
        <v>7.09</v>
      </c>
      <c r="DD1021" s="36">
        <v>87</v>
      </c>
      <c r="DE1021" s="37">
        <v>-0.18</v>
      </c>
      <c r="DF1021" s="35">
        <v>-2.4900000000000002</v>
      </c>
      <c r="DG1021" s="37">
        <v>11.34</v>
      </c>
      <c r="DH1021" s="36">
        <v>91</v>
      </c>
      <c r="DI1021" s="37">
        <v>2.85</v>
      </c>
      <c r="DJ1021" s="36">
        <v>69</v>
      </c>
      <c r="DK1021" s="37">
        <v>6.64</v>
      </c>
      <c r="DL1021" s="36">
        <v>83</v>
      </c>
      <c r="DM1021" s="37">
        <v>16.03</v>
      </c>
      <c r="DN1021" s="36">
        <v>93</v>
      </c>
      <c r="DO1021" s="37">
        <v>5.14</v>
      </c>
      <c r="DP1021" s="36">
        <v>80</v>
      </c>
      <c r="DQ1021" s="36">
        <v>2301</v>
      </c>
      <c r="DR1021" s="38">
        <v>-76</v>
      </c>
      <c r="DS1021" s="35">
        <v>-3.2</v>
      </c>
      <c r="DT1021" s="36">
        <v>464</v>
      </c>
      <c r="DU1021" s="38">
        <v>20</v>
      </c>
      <c r="DV1021" s="35">
        <v>4.5</v>
      </c>
      <c r="DW1021" s="36">
        <v>1839</v>
      </c>
      <c r="DX1021" s="39">
        <v>-5</v>
      </c>
      <c r="DY1021" s="35">
        <v>-0.27</v>
      </c>
      <c r="DZ1021" s="28" t="s">
        <v>178</v>
      </c>
      <c r="EA1021" s="34">
        <v>43622</v>
      </c>
      <c r="EB1021" s="29">
        <v>74.97</v>
      </c>
      <c r="EC1021" s="34">
        <v>42416</v>
      </c>
      <c r="ED1021" s="28" t="s">
        <v>173</v>
      </c>
      <c r="EE1021" s="40" t="str">
        <f>HYPERLINK("https://my.pitchbook.com?c=60763-33", "View company online")</f>
        <v>View company online</v>
      </c>
    </row>
    <row r="1022" spans="1:135">
      <c r="A1022" s="15" t="s">
        <v>20021</v>
      </c>
      <c r="B1022" s="15" t="s">
        <v>20022</v>
      </c>
      <c r="C1022" s="15" t="s">
        <v>138</v>
      </c>
      <c r="D1022" s="15" t="s">
        <v>20023</v>
      </c>
      <c r="E1022" s="15" t="s">
        <v>20024</v>
      </c>
      <c r="F1022" s="15" t="s">
        <v>20021</v>
      </c>
      <c r="G1022" s="15" t="s">
        <v>20025</v>
      </c>
      <c r="H1022" s="15" t="s">
        <v>238</v>
      </c>
      <c r="I1022" s="15" t="s">
        <v>749</v>
      </c>
      <c r="J1022" s="15" t="s">
        <v>4261</v>
      </c>
      <c r="K1022" s="15" t="s">
        <v>7738</v>
      </c>
      <c r="L1022" s="15" t="s">
        <v>272</v>
      </c>
      <c r="M1022" s="15" t="s">
        <v>20026</v>
      </c>
      <c r="N1022" s="15" t="s">
        <v>2487</v>
      </c>
      <c r="O1022" s="17">
        <v>2</v>
      </c>
      <c r="P1022" s="15" t="s">
        <v>610</v>
      </c>
      <c r="Q1022" s="15" t="s">
        <v>149</v>
      </c>
      <c r="R1022" s="15" t="s">
        <v>174</v>
      </c>
      <c r="S1022" s="15" t="s">
        <v>20027</v>
      </c>
      <c r="T1022" s="18">
        <v>12</v>
      </c>
      <c r="U1022" s="15" t="s">
        <v>4523</v>
      </c>
      <c r="V1022" s="15" t="s">
        <v>138</v>
      </c>
      <c r="W1022" s="15" t="s">
        <v>138</v>
      </c>
      <c r="X1022" s="19">
        <v>2012</v>
      </c>
      <c r="Y1022" s="15" t="s">
        <v>138</v>
      </c>
      <c r="Z1022" s="15" t="s">
        <v>138</v>
      </c>
      <c r="AA1022" s="15" t="s">
        <v>138</v>
      </c>
      <c r="AB1022" s="20">
        <v>5.68</v>
      </c>
      <c r="AC1022" s="20" t="s">
        <v>138</v>
      </c>
      <c r="AD1022" s="20" t="s">
        <v>138</v>
      </c>
      <c r="AE1022" s="20" t="s">
        <v>138</v>
      </c>
      <c r="AF1022" s="20" t="s">
        <v>138</v>
      </c>
      <c r="AG1022" s="15" t="s">
        <v>707</v>
      </c>
      <c r="AH1022" s="20" t="s">
        <v>138</v>
      </c>
      <c r="AI1022" s="20" t="s">
        <v>138</v>
      </c>
      <c r="AJ1022" s="20" t="s">
        <v>138</v>
      </c>
      <c r="AK1022" s="15" t="s">
        <v>20028</v>
      </c>
      <c r="AL1022" s="15" t="s">
        <v>20029</v>
      </c>
      <c r="AM1022" s="15" t="s">
        <v>249</v>
      </c>
      <c r="AN1022" s="15" t="s">
        <v>20030</v>
      </c>
      <c r="AO1022" s="15" t="s">
        <v>20031</v>
      </c>
      <c r="AP1022" s="15" t="s">
        <v>639</v>
      </c>
      <c r="AQ1022" s="15" t="s">
        <v>20032</v>
      </c>
      <c r="AR1022" s="15" t="s">
        <v>20033</v>
      </c>
      <c r="AS1022" s="15" t="s">
        <v>642</v>
      </c>
      <c r="AT1022" s="15" t="s">
        <v>474</v>
      </c>
      <c r="AU1022" s="15" t="s">
        <v>20034</v>
      </c>
      <c r="AV1022" s="15" t="s">
        <v>162</v>
      </c>
      <c r="AW1022" s="15" t="s">
        <v>20031</v>
      </c>
      <c r="AX1022" s="15" t="s">
        <v>138</v>
      </c>
      <c r="AY1022" s="15" t="s">
        <v>20035</v>
      </c>
      <c r="AZ1022" s="15" t="s">
        <v>164</v>
      </c>
      <c r="BA1022" s="15" t="s">
        <v>165</v>
      </c>
      <c r="BB1022" s="15" t="s">
        <v>20036</v>
      </c>
      <c r="BC1022" s="15" t="s">
        <v>12498</v>
      </c>
      <c r="BD1022" s="21">
        <v>1</v>
      </c>
      <c r="BE1022" s="15" t="s">
        <v>138</v>
      </c>
      <c r="BF1022" s="15" t="s">
        <v>138</v>
      </c>
      <c r="BG1022" s="15" t="s">
        <v>138</v>
      </c>
      <c r="BH1022" s="15" t="s">
        <v>12499</v>
      </c>
      <c r="BI1022" s="15" t="s">
        <v>138</v>
      </c>
      <c r="BJ1022" s="15" t="s">
        <v>138</v>
      </c>
      <c r="BK1022" s="15" t="s">
        <v>138</v>
      </c>
      <c r="BL1022" s="15" t="s">
        <v>138</v>
      </c>
      <c r="BM1022" s="22">
        <v>42395</v>
      </c>
      <c r="BN1022" s="17">
        <v>2</v>
      </c>
      <c r="BO1022" s="15" t="s">
        <v>172</v>
      </c>
      <c r="BP1022" s="17" t="s">
        <v>138</v>
      </c>
      <c r="BQ1022" s="15" t="s">
        <v>138</v>
      </c>
      <c r="BR1022" s="15" t="s">
        <v>262</v>
      </c>
      <c r="BS1022" s="15" t="s">
        <v>262</v>
      </c>
      <c r="BT1022" s="15" t="s">
        <v>138</v>
      </c>
      <c r="BU1022" s="15" t="s">
        <v>263</v>
      </c>
      <c r="BV1022" s="15" t="s">
        <v>138</v>
      </c>
      <c r="BW1022" s="15" t="s">
        <v>138</v>
      </c>
      <c r="BX1022" s="15" t="s">
        <v>138</v>
      </c>
      <c r="BY1022" s="15" t="s">
        <v>175</v>
      </c>
      <c r="BZ1022" s="22">
        <v>42395</v>
      </c>
      <c r="CA1022" s="17">
        <v>2</v>
      </c>
      <c r="CB1022" s="15" t="s">
        <v>172</v>
      </c>
      <c r="CC1022" s="17" t="s">
        <v>138</v>
      </c>
      <c r="CD1022" s="15" t="s">
        <v>138</v>
      </c>
      <c r="CE1022" s="15" t="s">
        <v>262</v>
      </c>
      <c r="CF1022" s="15" t="s">
        <v>262</v>
      </c>
      <c r="CG1022" s="15" t="s">
        <v>138</v>
      </c>
      <c r="CH1022" s="15" t="s">
        <v>263</v>
      </c>
      <c r="CI1022" s="15" t="s">
        <v>138</v>
      </c>
      <c r="CJ1022" s="15" t="s">
        <v>138</v>
      </c>
      <c r="CK1022" s="15" t="s">
        <v>138</v>
      </c>
      <c r="CL1022" s="15" t="s">
        <v>175</v>
      </c>
      <c r="CM1022" s="22" t="s">
        <v>138</v>
      </c>
      <c r="CN1022" s="17" t="s">
        <v>138</v>
      </c>
      <c r="CO1022" s="23">
        <v>3.27</v>
      </c>
      <c r="CP1022" s="24">
        <v>100</v>
      </c>
      <c r="CQ1022" s="23">
        <v>-0.01</v>
      </c>
      <c r="CR1022" s="23">
        <v>-0.27</v>
      </c>
      <c r="CS1022" s="23">
        <v>6.55</v>
      </c>
      <c r="CT1022" s="24">
        <v>100</v>
      </c>
      <c r="CU1022" s="23">
        <v>-0.01</v>
      </c>
      <c r="CV1022" s="24">
        <v>20</v>
      </c>
      <c r="CW1022" s="23">
        <v>6.55</v>
      </c>
      <c r="CX1022" s="24">
        <v>97</v>
      </c>
      <c r="CY1022" s="23" t="s">
        <v>138</v>
      </c>
      <c r="CZ1022" s="24" t="s">
        <v>138</v>
      </c>
      <c r="DA1022" s="23" t="s">
        <v>138</v>
      </c>
      <c r="DB1022" s="24" t="s">
        <v>138</v>
      </c>
      <c r="DC1022" s="25">
        <v>64.290000000000006</v>
      </c>
      <c r="DD1022" s="24">
        <v>98</v>
      </c>
      <c r="DE1022" s="25">
        <v>-0.4</v>
      </c>
      <c r="DF1022" s="23">
        <v>-0.62</v>
      </c>
      <c r="DG1022" s="25">
        <v>4.9400000000000004</v>
      </c>
      <c r="DH1022" s="24">
        <v>82</v>
      </c>
      <c r="DI1022" s="25">
        <v>123.65</v>
      </c>
      <c r="DJ1022" s="24">
        <v>98</v>
      </c>
      <c r="DK1022" s="25">
        <v>4.9400000000000004</v>
      </c>
      <c r="DL1022" s="24">
        <v>79</v>
      </c>
      <c r="DM1022" s="25" t="s">
        <v>138</v>
      </c>
      <c r="DN1022" s="24" t="s">
        <v>138</v>
      </c>
      <c r="DO1022" s="25" t="s">
        <v>138</v>
      </c>
      <c r="DP1022" s="24" t="s">
        <v>138</v>
      </c>
      <c r="DQ1022" s="24">
        <v>1616</v>
      </c>
      <c r="DR1022" s="26">
        <v>231</v>
      </c>
      <c r="DS1022" s="23">
        <v>16.68</v>
      </c>
      <c r="DT1022" s="24" t="s">
        <v>138</v>
      </c>
      <c r="DU1022" s="26" t="s">
        <v>138</v>
      </c>
      <c r="DV1022" s="23" t="s">
        <v>138</v>
      </c>
      <c r="DW1022" s="24" t="s">
        <v>138</v>
      </c>
      <c r="DX1022" s="27" t="s">
        <v>138</v>
      </c>
      <c r="DY1022" s="23" t="s">
        <v>138</v>
      </c>
      <c r="DZ1022" s="15" t="s">
        <v>178</v>
      </c>
      <c r="EA1022" s="22">
        <v>43351</v>
      </c>
      <c r="EB1022" s="17" t="s">
        <v>138</v>
      </c>
      <c r="EC1022" s="22" t="s">
        <v>138</v>
      </c>
      <c r="ED1022" s="15" t="s">
        <v>138</v>
      </c>
      <c r="EE1022" s="14" t="str">
        <f>HYPERLINK("https://my.pitchbook.com?c=152590-96", "View company online")</f>
        <v>View company online</v>
      </c>
    </row>
    <row r="1023" spans="1:135">
      <c r="A1023" s="28" t="s">
        <v>20037</v>
      </c>
      <c r="B1023" s="28" t="s">
        <v>20038</v>
      </c>
      <c r="C1023" s="28" t="s">
        <v>138</v>
      </c>
      <c r="D1023" s="28" t="s">
        <v>138</v>
      </c>
      <c r="E1023" s="28" t="s">
        <v>138</v>
      </c>
      <c r="F1023" s="28" t="s">
        <v>20037</v>
      </c>
      <c r="G1023" s="28" t="s">
        <v>20039</v>
      </c>
      <c r="H1023" s="28" t="s">
        <v>322</v>
      </c>
      <c r="I1023" s="28" t="s">
        <v>323</v>
      </c>
      <c r="J1023" s="28" t="s">
        <v>437</v>
      </c>
      <c r="K1023" s="28" t="s">
        <v>12783</v>
      </c>
      <c r="L1023" s="28" t="s">
        <v>7952</v>
      </c>
      <c r="M1023" s="28" t="s">
        <v>20040</v>
      </c>
      <c r="N1023" s="28" t="s">
        <v>147</v>
      </c>
      <c r="O1023" s="29">
        <v>3.95</v>
      </c>
      <c r="P1023" s="28" t="s">
        <v>148</v>
      </c>
      <c r="Q1023" s="28" t="s">
        <v>149</v>
      </c>
      <c r="R1023" s="28" t="s">
        <v>174</v>
      </c>
      <c r="S1023" s="28" t="s">
        <v>20041</v>
      </c>
      <c r="T1023" s="30">
        <v>35</v>
      </c>
      <c r="U1023" s="28" t="s">
        <v>20042</v>
      </c>
      <c r="V1023" s="28" t="s">
        <v>138</v>
      </c>
      <c r="W1023" s="28" t="s">
        <v>138</v>
      </c>
      <c r="X1023" s="31">
        <v>2014</v>
      </c>
      <c r="Y1023" s="28" t="s">
        <v>138</v>
      </c>
      <c r="Z1023" s="28" t="s">
        <v>138</v>
      </c>
      <c r="AA1023" s="28" t="s">
        <v>138</v>
      </c>
      <c r="AB1023" s="32" t="s">
        <v>138</v>
      </c>
      <c r="AC1023" s="32" t="s">
        <v>138</v>
      </c>
      <c r="AD1023" s="32" t="s">
        <v>138</v>
      </c>
      <c r="AE1023" s="32" t="s">
        <v>138</v>
      </c>
      <c r="AF1023" s="32" t="s">
        <v>138</v>
      </c>
      <c r="AG1023" s="28" t="s">
        <v>138</v>
      </c>
      <c r="AH1023" s="32" t="s">
        <v>138</v>
      </c>
      <c r="AI1023" s="32" t="s">
        <v>138</v>
      </c>
      <c r="AJ1023" s="32" t="s">
        <v>138</v>
      </c>
      <c r="AK1023" s="28" t="s">
        <v>20043</v>
      </c>
      <c r="AL1023" s="28" t="s">
        <v>20044</v>
      </c>
      <c r="AM1023" s="28" t="s">
        <v>2794</v>
      </c>
      <c r="AN1023" s="28" t="s">
        <v>20045</v>
      </c>
      <c r="AO1023" s="28" t="s">
        <v>20046</v>
      </c>
      <c r="AP1023" s="28" t="s">
        <v>423</v>
      </c>
      <c r="AQ1023" s="28" t="s">
        <v>20047</v>
      </c>
      <c r="AR1023" s="28" t="s">
        <v>138</v>
      </c>
      <c r="AS1023" s="28" t="s">
        <v>426</v>
      </c>
      <c r="AT1023" s="28" t="s">
        <v>426</v>
      </c>
      <c r="AU1023" s="28" t="s">
        <v>2610</v>
      </c>
      <c r="AV1023" s="28" t="s">
        <v>162</v>
      </c>
      <c r="AW1023" s="28" t="s">
        <v>20046</v>
      </c>
      <c r="AX1023" s="28" t="s">
        <v>138</v>
      </c>
      <c r="AY1023" s="28" t="s">
        <v>20048</v>
      </c>
      <c r="AZ1023" s="28" t="s">
        <v>164</v>
      </c>
      <c r="BA1023" s="28" t="s">
        <v>165</v>
      </c>
      <c r="BB1023" s="28" t="s">
        <v>20049</v>
      </c>
      <c r="BC1023" s="28" t="s">
        <v>20050</v>
      </c>
      <c r="BD1023" s="33">
        <v>3</v>
      </c>
      <c r="BE1023" s="28" t="s">
        <v>138</v>
      </c>
      <c r="BF1023" s="28" t="s">
        <v>138</v>
      </c>
      <c r="BG1023" s="28" t="s">
        <v>138</v>
      </c>
      <c r="BH1023" s="28" t="s">
        <v>20051</v>
      </c>
      <c r="BI1023" s="28" t="s">
        <v>138</v>
      </c>
      <c r="BJ1023" s="28" t="s">
        <v>138</v>
      </c>
      <c r="BK1023" s="28" t="s">
        <v>138</v>
      </c>
      <c r="BL1023" s="28" t="s">
        <v>138</v>
      </c>
      <c r="BM1023" s="34">
        <v>41927</v>
      </c>
      <c r="BN1023" s="29">
        <v>0.45</v>
      </c>
      <c r="BO1023" s="28" t="s">
        <v>172</v>
      </c>
      <c r="BP1023" s="29">
        <v>4.5</v>
      </c>
      <c r="BQ1023" s="28" t="s">
        <v>172</v>
      </c>
      <c r="BR1023" s="28" t="s">
        <v>234</v>
      </c>
      <c r="BS1023" s="28" t="s">
        <v>234</v>
      </c>
      <c r="BT1023" s="28" t="s">
        <v>138</v>
      </c>
      <c r="BU1023" s="28" t="s">
        <v>174</v>
      </c>
      <c r="BV1023" s="28" t="s">
        <v>138</v>
      </c>
      <c r="BW1023" s="28" t="s">
        <v>138</v>
      </c>
      <c r="BX1023" s="28" t="s">
        <v>138</v>
      </c>
      <c r="BY1023" s="28" t="s">
        <v>175</v>
      </c>
      <c r="BZ1023" s="34">
        <v>42640</v>
      </c>
      <c r="CA1023" s="29">
        <v>3.5</v>
      </c>
      <c r="CB1023" s="28" t="s">
        <v>172</v>
      </c>
      <c r="CC1023" s="29">
        <v>14.5</v>
      </c>
      <c r="CD1023" s="28" t="s">
        <v>172</v>
      </c>
      <c r="CE1023" s="28" t="s">
        <v>234</v>
      </c>
      <c r="CF1023" s="28" t="s">
        <v>234</v>
      </c>
      <c r="CG1023" s="28" t="s">
        <v>138</v>
      </c>
      <c r="CH1023" s="28" t="s">
        <v>174</v>
      </c>
      <c r="CI1023" s="28" t="s">
        <v>177</v>
      </c>
      <c r="CJ1023" s="28" t="s">
        <v>138</v>
      </c>
      <c r="CK1023" s="28" t="s">
        <v>138</v>
      </c>
      <c r="CL1023" s="28" t="s">
        <v>175</v>
      </c>
      <c r="CM1023" s="34" t="s">
        <v>138</v>
      </c>
      <c r="CN1023" s="29" t="s">
        <v>138</v>
      </c>
      <c r="CO1023" s="35">
        <v>0.17</v>
      </c>
      <c r="CP1023" s="36">
        <v>92</v>
      </c>
      <c r="CQ1023" s="35">
        <v>0</v>
      </c>
      <c r="CR1023" s="35">
        <v>2.88</v>
      </c>
      <c r="CS1023" s="35">
        <v>0.44</v>
      </c>
      <c r="CT1023" s="36">
        <v>95</v>
      </c>
      <c r="CU1023" s="35">
        <v>-0.1</v>
      </c>
      <c r="CV1023" s="36">
        <v>4</v>
      </c>
      <c r="CW1023" s="35">
        <v>0.44</v>
      </c>
      <c r="CX1023" s="36">
        <v>82</v>
      </c>
      <c r="CY1023" s="35" t="s">
        <v>138</v>
      </c>
      <c r="CZ1023" s="36" t="s">
        <v>138</v>
      </c>
      <c r="DA1023" s="35">
        <v>-0.14000000000000001</v>
      </c>
      <c r="DB1023" s="36">
        <v>4</v>
      </c>
      <c r="DC1023" s="37">
        <v>32.409999999999997</v>
      </c>
      <c r="DD1023" s="36">
        <v>97</v>
      </c>
      <c r="DE1023" s="37">
        <v>-1.84</v>
      </c>
      <c r="DF1023" s="35">
        <v>-5.37</v>
      </c>
      <c r="DG1023" s="37">
        <v>29.06</v>
      </c>
      <c r="DH1023" s="36">
        <v>96</v>
      </c>
      <c r="DI1023" s="37">
        <v>35.76</v>
      </c>
      <c r="DJ1023" s="36">
        <v>94</v>
      </c>
      <c r="DK1023" s="37">
        <v>29.06</v>
      </c>
      <c r="DL1023" s="36">
        <v>94</v>
      </c>
      <c r="DM1023" s="37" t="s">
        <v>138</v>
      </c>
      <c r="DN1023" s="36" t="s">
        <v>138</v>
      </c>
      <c r="DO1023" s="37">
        <v>34.32</v>
      </c>
      <c r="DP1023" s="36">
        <v>95</v>
      </c>
      <c r="DQ1023" s="36">
        <v>9981</v>
      </c>
      <c r="DR1023" s="38">
        <v>-41</v>
      </c>
      <c r="DS1023" s="35">
        <v>-0.41</v>
      </c>
      <c r="DT1023" s="36" t="s">
        <v>138</v>
      </c>
      <c r="DU1023" s="38" t="s">
        <v>138</v>
      </c>
      <c r="DV1023" s="35" t="s">
        <v>138</v>
      </c>
      <c r="DW1023" s="36">
        <v>12296</v>
      </c>
      <c r="DX1023" s="39">
        <v>-13</v>
      </c>
      <c r="DY1023" s="35">
        <v>-0.11</v>
      </c>
      <c r="DZ1023" s="28" t="s">
        <v>178</v>
      </c>
      <c r="EA1023" s="34">
        <v>43412</v>
      </c>
      <c r="EB1023" s="29">
        <v>14.5</v>
      </c>
      <c r="EC1023" s="34">
        <v>42640</v>
      </c>
      <c r="ED1023" s="28" t="s">
        <v>234</v>
      </c>
      <c r="EE1023" s="40" t="str">
        <f>HYPERLINK("https://my.pitchbook.com?c=119164-24", "View company online")</f>
        <v>View company online</v>
      </c>
    </row>
    <row r="1024" spans="1:135">
      <c r="A1024" s="15" t="s">
        <v>20052</v>
      </c>
      <c r="B1024" s="15" t="s">
        <v>20053</v>
      </c>
      <c r="C1024" s="15" t="s">
        <v>138</v>
      </c>
      <c r="D1024" s="15" t="s">
        <v>138</v>
      </c>
      <c r="E1024" s="15" t="s">
        <v>20054</v>
      </c>
      <c r="F1024" s="15" t="s">
        <v>20052</v>
      </c>
      <c r="G1024" s="15" t="s">
        <v>20055</v>
      </c>
      <c r="H1024" s="15" t="s">
        <v>238</v>
      </c>
      <c r="I1024" s="15" t="s">
        <v>749</v>
      </c>
      <c r="J1024" s="15" t="s">
        <v>750</v>
      </c>
      <c r="K1024" s="15" t="s">
        <v>5196</v>
      </c>
      <c r="L1024" s="15" t="s">
        <v>138</v>
      </c>
      <c r="M1024" s="15" t="s">
        <v>20056</v>
      </c>
      <c r="N1024" s="15" t="s">
        <v>147</v>
      </c>
      <c r="O1024" s="17">
        <v>8.3800000000000008</v>
      </c>
      <c r="P1024" s="15" t="s">
        <v>148</v>
      </c>
      <c r="Q1024" s="15" t="s">
        <v>149</v>
      </c>
      <c r="R1024" s="15" t="s">
        <v>174</v>
      </c>
      <c r="S1024" s="15" t="s">
        <v>20057</v>
      </c>
      <c r="T1024" s="18">
        <v>20</v>
      </c>
      <c r="U1024" s="15" t="s">
        <v>20058</v>
      </c>
      <c r="V1024" s="15" t="s">
        <v>138</v>
      </c>
      <c r="W1024" s="15" t="s">
        <v>138</v>
      </c>
      <c r="X1024" s="19">
        <v>2012</v>
      </c>
      <c r="Y1024" s="15" t="s">
        <v>138</v>
      </c>
      <c r="Z1024" s="15" t="s">
        <v>138</v>
      </c>
      <c r="AA1024" s="15" t="s">
        <v>138</v>
      </c>
      <c r="AB1024" s="20" t="s">
        <v>138</v>
      </c>
      <c r="AC1024" s="20" t="s">
        <v>138</v>
      </c>
      <c r="AD1024" s="20" t="s">
        <v>138</v>
      </c>
      <c r="AE1024" s="20" t="s">
        <v>138</v>
      </c>
      <c r="AF1024" s="20" t="s">
        <v>138</v>
      </c>
      <c r="AG1024" s="15" t="s">
        <v>138</v>
      </c>
      <c r="AH1024" s="20" t="s">
        <v>138</v>
      </c>
      <c r="AI1024" s="20" t="s">
        <v>138</v>
      </c>
      <c r="AJ1024" s="20" t="s">
        <v>138</v>
      </c>
      <c r="AK1024" s="15" t="s">
        <v>20059</v>
      </c>
      <c r="AL1024" s="15" t="s">
        <v>20060</v>
      </c>
      <c r="AM1024" s="15" t="s">
        <v>818</v>
      </c>
      <c r="AN1024" s="15" t="s">
        <v>20061</v>
      </c>
      <c r="AO1024" s="15" t="s">
        <v>20062</v>
      </c>
      <c r="AP1024" s="15" t="s">
        <v>9156</v>
      </c>
      <c r="AQ1024" s="15" t="s">
        <v>20063</v>
      </c>
      <c r="AR1024" s="15" t="s">
        <v>138</v>
      </c>
      <c r="AS1024" s="15" t="s">
        <v>9158</v>
      </c>
      <c r="AT1024" s="15" t="s">
        <v>200</v>
      </c>
      <c r="AU1024" s="15" t="s">
        <v>9159</v>
      </c>
      <c r="AV1024" s="15" t="s">
        <v>162</v>
      </c>
      <c r="AW1024" s="15" t="s">
        <v>20064</v>
      </c>
      <c r="AX1024" s="15" t="s">
        <v>138</v>
      </c>
      <c r="AY1024" s="15" t="s">
        <v>20065</v>
      </c>
      <c r="AZ1024" s="15" t="s">
        <v>164</v>
      </c>
      <c r="BA1024" s="15" t="s">
        <v>165</v>
      </c>
      <c r="BB1024" s="15" t="s">
        <v>20066</v>
      </c>
      <c r="BC1024" s="15" t="s">
        <v>20067</v>
      </c>
      <c r="BD1024" s="21">
        <v>6</v>
      </c>
      <c r="BE1024" s="15" t="s">
        <v>138</v>
      </c>
      <c r="BF1024" s="15" t="s">
        <v>138</v>
      </c>
      <c r="BG1024" s="15" t="s">
        <v>138</v>
      </c>
      <c r="BH1024" s="15" t="s">
        <v>20068</v>
      </c>
      <c r="BI1024" s="15" t="s">
        <v>138</v>
      </c>
      <c r="BJ1024" s="15" t="s">
        <v>138</v>
      </c>
      <c r="BK1024" s="15" t="s">
        <v>138</v>
      </c>
      <c r="BL1024" s="15" t="s">
        <v>138</v>
      </c>
      <c r="BM1024" s="22">
        <v>41275</v>
      </c>
      <c r="BN1024" s="17" t="s">
        <v>138</v>
      </c>
      <c r="BO1024" s="15" t="s">
        <v>138</v>
      </c>
      <c r="BP1024" s="17" t="s">
        <v>138</v>
      </c>
      <c r="BQ1024" s="15" t="s">
        <v>138</v>
      </c>
      <c r="BR1024" s="15" t="s">
        <v>316</v>
      </c>
      <c r="BS1024" s="15" t="s">
        <v>138</v>
      </c>
      <c r="BT1024" s="15" t="s">
        <v>138</v>
      </c>
      <c r="BU1024" s="15" t="s">
        <v>177</v>
      </c>
      <c r="BV1024" s="15" t="s">
        <v>138</v>
      </c>
      <c r="BW1024" s="15" t="s">
        <v>138</v>
      </c>
      <c r="BX1024" s="15" t="s">
        <v>138</v>
      </c>
      <c r="BY1024" s="15" t="s">
        <v>175</v>
      </c>
      <c r="BZ1024" s="22">
        <v>43340</v>
      </c>
      <c r="CA1024" s="17">
        <v>5</v>
      </c>
      <c r="CB1024" s="15" t="s">
        <v>172</v>
      </c>
      <c r="CC1024" s="17">
        <v>25</v>
      </c>
      <c r="CD1024" s="15" t="s">
        <v>172</v>
      </c>
      <c r="CE1024" s="15" t="s">
        <v>205</v>
      </c>
      <c r="CF1024" s="15" t="s">
        <v>720</v>
      </c>
      <c r="CG1024" s="15" t="s">
        <v>138</v>
      </c>
      <c r="CH1024" s="15" t="s">
        <v>174</v>
      </c>
      <c r="CI1024" s="15" t="s">
        <v>138</v>
      </c>
      <c r="CJ1024" s="15" t="s">
        <v>138</v>
      </c>
      <c r="CK1024" s="15" t="s">
        <v>138</v>
      </c>
      <c r="CL1024" s="15" t="s">
        <v>175</v>
      </c>
      <c r="CM1024" s="22" t="s">
        <v>138</v>
      </c>
      <c r="CN1024" s="17" t="s">
        <v>138</v>
      </c>
      <c r="CO1024" s="23">
        <v>2.0099999999999998</v>
      </c>
      <c r="CP1024" s="24">
        <v>99</v>
      </c>
      <c r="CQ1024" s="23">
        <v>0.03</v>
      </c>
      <c r="CR1024" s="23">
        <v>1.41</v>
      </c>
      <c r="CS1024" s="23">
        <v>3.31</v>
      </c>
      <c r="CT1024" s="24">
        <v>99</v>
      </c>
      <c r="CU1024" s="23">
        <v>0.71</v>
      </c>
      <c r="CV1024" s="24">
        <v>96</v>
      </c>
      <c r="CW1024" s="23">
        <v>6.63</v>
      </c>
      <c r="CX1024" s="24">
        <v>98</v>
      </c>
      <c r="CY1024" s="23">
        <v>0</v>
      </c>
      <c r="CZ1024" s="24">
        <v>25</v>
      </c>
      <c r="DA1024" s="23">
        <v>0.71</v>
      </c>
      <c r="DB1024" s="24">
        <v>96</v>
      </c>
      <c r="DC1024" s="25">
        <v>12.08</v>
      </c>
      <c r="DD1024" s="24">
        <v>91</v>
      </c>
      <c r="DE1024" s="25">
        <v>-1.19</v>
      </c>
      <c r="DF1024" s="23">
        <v>-8.98</v>
      </c>
      <c r="DG1024" s="25">
        <v>20.48</v>
      </c>
      <c r="DH1024" s="24">
        <v>95</v>
      </c>
      <c r="DI1024" s="25">
        <v>3.68</v>
      </c>
      <c r="DJ1024" s="24">
        <v>73</v>
      </c>
      <c r="DK1024" s="25">
        <v>37.76</v>
      </c>
      <c r="DL1024" s="24">
        <v>95</v>
      </c>
      <c r="DM1024" s="25">
        <v>3.21</v>
      </c>
      <c r="DN1024" s="24">
        <v>75</v>
      </c>
      <c r="DO1024" s="25">
        <v>3.68</v>
      </c>
      <c r="DP1024" s="24">
        <v>74</v>
      </c>
      <c r="DQ1024" s="24">
        <v>12783</v>
      </c>
      <c r="DR1024" s="26">
        <v>507</v>
      </c>
      <c r="DS1024" s="23">
        <v>4.13</v>
      </c>
      <c r="DT1024" s="24">
        <v>93</v>
      </c>
      <c r="DU1024" s="26">
        <v>1</v>
      </c>
      <c r="DV1024" s="23">
        <v>1.0900000000000001</v>
      </c>
      <c r="DW1024" s="24">
        <v>1314</v>
      </c>
      <c r="DX1024" s="27">
        <v>9</v>
      </c>
      <c r="DY1024" s="23">
        <v>0.69</v>
      </c>
      <c r="DZ1024" s="15" t="s">
        <v>178</v>
      </c>
      <c r="EA1024" s="22">
        <v>43368</v>
      </c>
      <c r="EB1024" s="17">
        <v>25</v>
      </c>
      <c r="EC1024" s="22">
        <v>43340</v>
      </c>
      <c r="ED1024" s="15" t="s">
        <v>205</v>
      </c>
      <c r="EE1024" s="14" t="str">
        <f>HYPERLINK("https://my.pitchbook.com?c=112924-99", "View company online")</f>
        <v>View company online</v>
      </c>
    </row>
    <row r="1025" spans="1:135">
      <c r="A1025" s="28" t="s">
        <v>20069</v>
      </c>
      <c r="B1025" s="28" t="s">
        <v>20070</v>
      </c>
      <c r="C1025" s="28" t="s">
        <v>138</v>
      </c>
      <c r="D1025" s="28" t="s">
        <v>138</v>
      </c>
      <c r="E1025" s="28" t="s">
        <v>138</v>
      </c>
      <c r="F1025" s="28" t="s">
        <v>20069</v>
      </c>
      <c r="G1025" s="28" t="s">
        <v>20071</v>
      </c>
      <c r="H1025" s="28" t="s">
        <v>322</v>
      </c>
      <c r="I1025" s="28" t="s">
        <v>323</v>
      </c>
      <c r="J1025" s="28" t="s">
        <v>1184</v>
      </c>
      <c r="K1025" s="28" t="s">
        <v>1697</v>
      </c>
      <c r="L1025" s="28" t="s">
        <v>326</v>
      </c>
      <c r="M1025" s="28" t="s">
        <v>20072</v>
      </c>
      <c r="N1025" s="28" t="s">
        <v>147</v>
      </c>
      <c r="O1025" s="29">
        <v>16.68</v>
      </c>
      <c r="P1025" s="28" t="s">
        <v>148</v>
      </c>
      <c r="Q1025" s="28" t="s">
        <v>149</v>
      </c>
      <c r="R1025" s="28" t="s">
        <v>174</v>
      </c>
      <c r="S1025" s="28" t="s">
        <v>20073</v>
      </c>
      <c r="T1025" s="30" t="s">
        <v>138</v>
      </c>
      <c r="U1025" s="28" t="s">
        <v>138</v>
      </c>
      <c r="V1025" s="28" t="s">
        <v>138</v>
      </c>
      <c r="W1025" s="28" t="s">
        <v>138</v>
      </c>
      <c r="X1025" s="31">
        <v>2015</v>
      </c>
      <c r="Y1025" s="28" t="s">
        <v>138</v>
      </c>
      <c r="Z1025" s="28" t="s">
        <v>138</v>
      </c>
      <c r="AA1025" s="28" t="s">
        <v>138</v>
      </c>
      <c r="AB1025" s="32" t="s">
        <v>138</v>
      </c>
      <c r="AC1025" s="32" t="s">
        <v>138</v>
      </c>
      <c r="AD1025" s="32" t="s">
        <v>138</v>
      </c>
      <c r="AE1025" s="32" t="s">
        <v>138</v>
      </c>
      <c r="AF1025" s="32" t="s">
        <v>138</v>
      </c>
      <c r="AG1025" s="28" t="s">
        <v>138</v>
      </c>
      <c r="AH1025" s="32" t="s">
        <v>138</v>
      </c>
      <c r="AI1025" s="32" t="s">
        <v>138</v>
      </c>
      <c r="AJ1025" s="32" t="s">
        <v>138</v>
      </c>
      <c r="AK1025" s="28" t="s">
        <v>138</v>
      </c>
      <c r="AL1025" s="28" t="s">
        <v>138</v>
      </c>
      <c r="AM1025" s="28" t="s">
        <v>138</v>
      </c>
      <c r="AN1025" s="28" t="s">
        <v>138</v>
      </c>
      <c r="AO1025" s="28" t="s">
        <v>138</v>
      </c>
      <c r="AP1025" s="28" t="s">
        <v>446</v>
      </c>
      <c r="AQ1025" s="28" t="s">
        <v>20074</v>
      </c>
      <c r="AR1025" s="28" t="s">
        <v>448</v>
      </c>
      <c r="AS1025" s="28" t="s">
        <v>449</v>
      </c>
      <c r="AT1025" s="28" t="s">
        <v>138</v>
      </c>
      <c r="AU1025" s="28" t="s">
        <v>138</v>
      </c>
      <c r="AV1025" s="28" t="s">
        <v>450</v>
      </c>
      <c r="AW1025" s="28" t="s">
        <v>20075</v>
      </c>
      <c r="AX1025" s="28" t="s">
        <v>138</v>
      </c>
      <c r="AY1025" s="28" t="s">
        <v>138</v>
      </c>
      <c r="AZ1025" s="28" t="s">
        <v>452</v>
      </c>
      <c r="BA1025" s="28" t="s">
        <v>453</v>
      </c>
      <c r="BB1025" s="28" t="s">
        <v>20076</v>
      </c>
      <c r="BC1025" s="28" t="s">
        <v>20077</v>
      </c>
      <c r="BD1025" s="33">
        <v>6</v>
      </c>
      <c r="BE1025" s="28" t="s">
        <v>138</v>
      </c>
      <c r="BF1025" s="28" t="s">
        <v>138</v>
      </c>
      <c r="BG1025" s="28" t="s">
        <v>138</v>
      </c>
      <c r="BH1025" s="28" t="s">
        <v>20078</v>
      </c>
      <c r="BI1025" s="28" t="s">
        <v>138</v>
      </c>
      <c r="BJ1025" s="28" t="s">
        <v>138</v>
      </c>
      <c r="BK1025" s="28" t="s">
        <v>138</v>
      </c>
      <c r="BL1025" s="28" t="s">
        <v>20079</v>
      </c>
      <c r="BM1025" s="34">
        <v>42339</v>
      </c>
      <c r="BN1025" s="29">
        <v>1.55</v>
      </c>
      <c r="BO1025" s="28" t="s">
        <v>172</v>
      </c>
      <c r="BP1025" s="29" t="s">
        <v>138</v>
      </c>
      <c r="BQ1025" s="28" t="s">
        <v>138</v>
      </c>
      <c r="BR1025" s="28" t="s">
        <v>262</v>
      </c>
      <c r="BS1025" s="28" t="s">
        <v>262</v>
      </c>
      <c r="BT1025" s="28" t="s">
        <v>138</v>
      </c>
      <c r="BU1025" s="28" t="s">
        <v>263</v>
      </c>
      <c r="BV1025" s="28" t="s">
        <v>138</v>
      </c>
      <c r="BW1025" s="28" t="s">
        <v>138</v>
      </c>
      <c r="BX1025" s="28" t="s">
        <v>138</v>
      </c>
      <c r="BY1025" s="28" t="s">
        <v>175</v>
      </c>
      <c r="BZ1025" s="34">
        <v>43137</v>
      </c>
      <c r="CA1025" s="29">
        <v>7.91</v>
      </c>
      <c r="CB1025" s="28" t="s">
        <v>172</v>
      </c>
      <c r="CC1025" s="29" t="s">
        <v>138</v>
      </c>
      <c r="CD1025" s="28" t="s">
        <v>138</v>
      </c>
      <c r="CE1025" s="28" t="s">
        <v>205</v>
      </c>
      <c r="CF1025" s="28" t="s">
        <v>206</v>
      </c>
      <c r="CG1025" s="28" t="s">
        <v>138</v>
      </c>
      <c r="CH1025" s="28" t="s">
        <v>174</v>
      </c>
      <c r="CI1025" s="28" t="s">
        <v>138</v>
      </c>
      <c r="CJ1025" s="28" t="s">
        <v>138</v>
      </c>
      <c r="CK1025" s="28" t="s">
        <v>138</v>
      </c>
      <c r="CL1025" s="28" t="s">
        <v>175</v>
      </c>
      <c r="CM1025" s="34" t="s">
        <v>138</v>
      </c>
      <c r="CN1025" s="29" t="s">
        <v>138</v>
      </c>
      <c r="CO1025" s="35">
        <v>0</v>
      </c>
      <c r="CP1025" s="36">
        <v>26</v>
      </c>
      <c r="CQ1025" s="35">
        <v>0</v>
      </c>
      <c r="CR1025" s="35">
        <v>0</v>
      </c>
      <c r="CS1025" s="35">
        <v>0</v>
      </c>
      <c r="CT1025" s="36">
        <v>23</v>
      </c>
      <c r="CU1025" s="35" t="s">
        <v>138</v>
      </c>
      <c r="CV1025" s="36" t="s">
        <v>138</v>
      </c>
      <c r="CW1025" s="35" t="s">
        <v>138</v>
      </c>
      <c r="CX1025" s="36" t="s">
        <v>138</v>
      </c>
      <c r="CY1025" s="35">
        <v>0</v>
      </c>
      <c r="CZ1025" s="36">
        <v>25</v>
      </c>
      <c r="DA1025" s="35" t="s">
        <v>138</v>
      </c>
      <c r="DB1025" s="36" t="s">
        <v>138</v>
      </c>
      <c r="DC1025" s="37">
        <v>2.0299999999999998</v>
      </c>
      <c r="DD1025" s="36">
        <v>67</v>
      </c>
      <c r="DE1025" s="37">
        <v>7.0000000000000007E-2</v>
      </c>
      <c r="DF1025" s="35">
        <v>3.51</v>
      </c>
      <c r="DG1025" s="37">
        <v>2.0299999999999998</v>
      </c>
      <c r="DH1025" s="36">
        <v>67</v>
      </c>
      <c r="DI1025" s="37" t="s">
        <v>138</v>
      </c>
      <c r="DJ1025" s="36" t="s">
        <v>138</v>
      </c>
      <c r="DK1025" s="37" t="s">
        <v>138</v>
      </c>
      <c r="DL1025" s="36" t="s">
        <v>138</v>
      </c>
      <c r="DM1025" s="37">
        <v>2.0299999999999998</v>
      </c>
      <c r="DN1025" s="36">
        <v>66</v>
      </c>
      <c r="DO1025" s="37" t="s">
        <v>138</v>
      </c>
      <c r="DP1025" s="36" t="s">
        <v>138</v>
      </c>
      <c r="DQ1025" s="36" t="s">
        <v>138</v>
      </c>
      <c r="DR1025" s="38" t="s">
        <v>138</v>
      </c>
      <c r="DS1025" s="35" t="s">
        <v>138</v>
      </c>
      <c r="DT1025" s="36">
        <v>58</v>
      </c>
      <c r="DU1025" s="38">
        <v>2</v>
      </c>
      <c r="DV1025" s="35">
        <v>3.57</v>
      </c>
      <c r="DW1025" s="36" t="s">
        <v>138</v>
      </c>
      <c r="DX1025" s="39" t="s">
        <v>138</v>
      </c>
      <c r="DY1025" s="35" t="s">
        <v>138</v>
      </c>
      <c r="DZ1025" s="28" t="s">
        <v>178</v>
      </c>
      <c r="EA1025" s="34">
        <v>43616</v>
      </c>
      <c r="EB1025" s="29" t="s">
        <v>138</v>
      </c>
      <c r="EC1025" s="34" t="s">
        <v>138</v>
      </c>
      <c r="ED1025" s="28" t="s">
        <v>138</v>
      </c>
      <c r="EE1025" s="40" t="str">
        <f>HYPERLINK("https://my.pitchbook.com?c=168862-96", "View company online")</f>
        <v>View company online</v>
      </c>
    </row>
    <row r="1026" spans="1:135">
      <c r="A1026" s="15" t="s">
        <v>20080</v>
      </c>
      <c r="B1026" s="15" t="s">
        <v>20081</v>
      </c>
      <c r="C1026" s="15" t="s">
        <v>138</v>
      </c>
      <c r="D1026" s="15" t="s">
        <v>20082</v>
      </c>
      <c r="E1026" s="15" t="s">
        <v>138</v>
      </c>
      <c r="F1026" s="15" t="s">
        <v>20080</v>
      </c>
      <c r="G1026" s="15" t="s">
        <v>20083</v>
      </c>
      <c r="H1026" s="15" t="s">
        <v>322</v>
      </c>
      <c r="I1026" s="15" t="s">
        <v>323</v>
      </c>
      <c r="J1026" s="15" t="s">
        <v>324</v>
      </c>
      <c r="K1026" s="15" t="s">
        <v>20084</v>
      </c>
      <c r="L1026" s="15" t="s">
        <v>4616</v>
      </c>
      <c r="M1026" s="15" t="s">
        <v>20085</v>
      </c>
      <c r="N1026" s="15" t="s">
        <v>147</v>
      </c>
      <c r="O1026" s="17">
        <v>1.85</v>
      </c>
      <c r="P1026" s="15" t="s">
        <v>148</v>
      </c>
      <c r="Q1026" s="15" t="s">
        <v>149</v>
      </c>
      <c r="R1026" s="15" t="s">
        <v>174</v>
      </c>
      <c r="S1026" s="15" t="s">
        <v>20086</v>
      </c>
      <c r="T1026" s="18" t="s">
        <v>138</v>
      </c>
      <c r="U1026" s="15" t="s">
        <v>138</v>
      </c>
      <c r="V1026" s="15" t="s">
        <v>138</v>
      </c>
      <c r="W1026" s="15" t="s">
        <v>138</v>
      </c>
      <c r="X1026" s="19" t="s">
        <v>138</v>
      </c>
      <c r="Y1026" s="15" t="s">
        <v>138</v>
      </c>
      <c r="Z1026" s="15" t="s">
        <v>138</v>
      </c>
      <c r="AA1026" s="15" t="s">
        <v>138</v>
      </c>
      <c r="AB1026" s="20" t="s">
        <v>138</v>
      </c>
      <c r="AC1026" s="20" t="s">
        <v>138</v>
      </c>
      <c r="AD1026" s="20" t="s">
        <v>138</v>
      </c>
      <c r="AE1026" s="20" t="s">
        <v>138</v>
      </c>
      <c r="AF1026" s="20" t="s">
        <v>138</v>
      </c>
      <c r="AG1026" s="15" t="s">
        <v>138</v>
      </c>
      <c r="AH1026" s="20" t="s">
        <v>138</v>
      </c>
      <c r="AI1026" s="20" t="s">
        <v>138</v>
      </c>
      <c r="AJ1026" s="20" t="s">
        <v>138</v>
      </c>
      <c r="AK1026" s="15" t="s">
        <v>20087</v>
      </c>
      <c r="AL1026" s="15" t="s">
        <v>20088</v>
      </c>
      <c r="AM1026" s="15" t="s">
        <v>20089</v>
      </c>
      <c r="AN1026" s="15" t="s">
        <v>20090</v>
      </c>
      <c r="AO1026" s="15" t="s">
        <v>20091</v>
      </c>
      <c r="AP1026" s="15" t="s">
        <v>496</v>
      </c>
      <c r="AQ1026" s="15" t="s">
        <v>20092</v>
      </c>
      <c r="AR1026" s="15" t="s">
        <v>20093</v>
      </c>
      <c r="AS1026" s="15" t="s">
        <v>499</v>
      </c>
      <c r="AT1026" s="15" t="s">
        <v>138</v>
      </c>
      <c r="AU1026" s="15" t="s">
        <v>20094</v>
      </c>
      <c r="AV1026" s="15" t="s">
        <v>450</v>
      </c>
      <c r="AW1026" s="15" t="s">
        <v>20091</v>
      </c>
      <c r="AX1026" s="15" t="s">
        <v>138</v>
      </c>
      <c r="AY1026" s="15" t="s">
        <v>138</v>
      </c>
      <c r="AZ1026" s="15" t="s">
        <v>452</v>
      </c>
      <c r="BA1026" s="15" t="s">
        <v>453</v>
      </c>
      <c r="BB1026" s="15" t="s">
        <v>138</v>
      </c>
      <c r="BC1026" s="15" t="s">
        <v>20095</v>
      </c>
      <c r="BD1026" s="21">
        <v>4</v>
      </c>
      <c r="BE1026" s="15" t="s">
        <v>138</v>
      </c>
      <c r="BF1026" s="15" t="s">
        <v>138</v>
      </c>
      <c r="BG1026" s="15" t="s">
        <v>138</v>
      </c>
      <c r="BH1026" s="15" t="s">
        <v>20096</v>
      </c>
      <c r="BI1026" s="15" t="s">
        <v>138</v>
      </c>
      <c r="BJ1026" s="15" t="s">
        <v>138</v>
      </c>
      <c r="BK1026" s="15" t="s">
        <v>138</v>
      </c>
      <c r="BL1026" s="15" t="s">
        <v>138</v>
      </c>
      <c r="BM1026" s="22">
        <v>42915</v>
      </c>
      <c r="BN1026" s="17">
        <v>1.47</v>
      </c>
      <c r="BO1026" s="15" t="s">
        <v>172</v>
      </c>
      <c r="BP1026" s="17" t="s">
        <v>138</v>
      </c>
      <c r="BQ1026" s="15" t="s">
        <v>138</v>
      </c>
      <c r="BR1026" s="15" t="s">
        <v>234</v>
      </c>
      <c r="BS1026" s="15" t="s">
        <v>234</v>
      </c>
      <c r="BT1026" s="15" t="s">
        <v>138</v>
      </c>
      <c r="BU1026" s="15" t="s">
        <v>174</v>
      </c>
      <c r="BV1026" s="15" t="s">
        <v>138</v>
      </c>
      <c r="BW1026" s="15" t="s">
        <v>138</v>
      </c>
      <c r="BX1026" s="15" t="s">
        <v>138</v>
      </c>
      <c r="BY1026" s="15" t="s">
        <v>175</v>
      </c>
      <c r="BZ1026" s="22">
        <v>43577</v>
      </c>
      <c r="CA1026" s="17" t="s">
        <v>138</v>
      </c>
      <c r="CB1026" s="15" t="s">
        <v>138</v>
      </c>
      <c r="CC1026" s="17" t="s">
        <v>138</v>
      </c>
      <c r="CD1026" s="15" t="s">
        <v>138</v>
      </c>
      <c r="CE1026" s="15" t="s">
        <v>205</v>
      </c>
      <c r="CF1026" s="15" t="s">
        <v>720</v>
      </c>
      <c r="CG1026" s="15" t="s">
        <v>138</v>
      </c>
      <c r="CH1026" s="15" t="s">
        <v>174</v>
      </c>
      <c r="CI1026" s="15" t="s">
        <v>138</v>
      </c>
      <c r="CJ1026" s="15" t="s">
        <v>138</v>
      </c>
      <c r="CK1026" s="15" t="s">
        <v>138</v>
      </c>
      <c r="CL1026" s="15" t="s">
        <v>175</v>
      </c>
      <c r="CM1026" s="22" t="s">
        <v>138</v>
      </c>
      <c r="CN1026" s="17" t="s">
        <v>138</v>
      </c>
      <c r="CO1026" s="23" t="s">
        <v>138</v>
      </c>
      <c r="CP1026" s="24" t="s">
        <v>138</v>
      </c>
      <c r="CQ1026" s="23" t="s">
        <v>138</v>
      </c>
      <c r="CR1026" s="23" t="s">
        <v>138</v>
      </c>
      <c r="CS1026" s="23" t="s">
        <v>138</v>
      </c>
      <c r="CT1026" s="24" t="s">
        <v>138</v>
      </c>
      <c r="CU1026" s="23" t="s">
        <v>138</v>
      </c>
      <c r="CV1026" s="24" t="s">
        <v>138</v>
      </c>
      <c r="CW1026" s="23" t="s">
        <v>138</v>
      </c>
      <c r="CX1026" s="24" t="s">
        <v>138</v>
      </c>
      <c r="CY1026" s="23" t="s">
        <v>138</v>
      </c>
      <c r="CZ1026" s="24" t="s">
        <v>138</v>
      </c>
      <c r="DA1026" s="23" t="s">
        <v>138</v>
      </c>
      <c r="DB1026" s="24" t="s">
        <v>138</v>
      </c>
      <c r="DC1026" s="25" t="s">
        <v>138</v>
      </c>
      <c r="DD1026" s="24" t="s">
        <v>138</v>
      </c>
      <c r="DE1026" s="25" t="s">
        <v>138</v>
      </c>
      <c r="DF1026" s="23" t="s">
        <v>138</v>
      </c>
      <c r="DG1026" s="25" t="s">
        <v>138</v>
      </c>
      <c r="DH1026" s="24" t="s">
        <v>138</v>
      </c>
      <c r="DI1026" s="25" t="s">
        <v>138</v>
      </c>
      <c r="DJ1026" s="24" t="s">
        <v>138</v>
      </c>
      <c r="DK1026" s="25" t="s">
        <v>138</v>
      </c>
      <c r="DL1026" s="24" t="s">
        <v>138</v>
      </c>
      <c r="DM1026" s="25" t="s">
        <v>138</v>
      </c>
      <c r="DN1026" s="24" t="s">
        <v>138</v>
      </c>
      <c r="DO1026" s="25" t="s">
        <v>138</v>
      </c>
      <c r="DP1026" s="24" t="s">
        <v>138</v>
      </c>
      <c r="DQ1026" s="24" t="s">
        <v>138</v>
      </c>
      <c r="DR1026" s="26" t="s">
        <v>138</v>
      </c>
      <c r="DS1026" s="23" t="s">
        <v>138</v>
      </c>
      <c r="DT1026" s="24" t="s">
        <v>138</v>
      </c>
      <c r="DU1026" s="26" t="s">
        <v>138</v>
      </c>
      <c r="DV1026" s="23" t="s">
        <v>138</v>
      </c>
      <c r="DW1026" s="24" t="s">
        <v>138</v>
      </c>
      <c r="DX1026" s="27" t="s">
        <v>138</v>
      </c>
      <c r="DY1026" s="23" t="s">
        <v>138</v>
      </c>
      <c r="DZ1026" s="15" t="s">
        <v>178</v>
      </c>
      <c r="EA1026" s="22">
        <v>43600</v>
      </c>
      <c r="EB1026" s="17" t="s">
        <v>138</v>
      </c>
      <c r="EC1026" s="22" t="s">
        <v>138</v>
      </c>
      <c r="ED1026" s="15" t="s">
        <v>138</v>
      </c>
      <c r="EE1026" s="14" t="str">
        <f>HYPERLINK("https://my.pitchbook.com?c=267108-58", "View company online")</f>
        <v>View company online</v>
      </c>
    </row>
    <row r="1027" spans="1:135">
      <c r="A1027" s="28" t="s">
        <v>20097</v>
      </c>
      <c r="B1027" s="28" t="s">
        <v>20098</v>
      </c>
      <c r="C1027" s="28" t="s">
        <v>138</v>
      </c>
      <c r="D1027" s="28" t="s">
        <v>20099</v>
      </c>
      <c r="E1027" s="28" t="s">
        <v>20100</v>
      </c>
      <c r="F1027" s="28" t="s">
        <v>20097</v>
      </c>
      <c r="G1027" s="28" t="s">
        <v>20101</v>
      </c>
      <c r="H1027" s="28" t="s">
        <v>322</v>
      </c>
      <c r="I1027" s="28" t="s">
        <v>323</v>
      </c>
      <c r="J1027" s="28" t="s">
        <v>324</v>
      </c>
      <c r="K1027" s="28" t="s">
        <v>3226</v>
      </c>
      <c r="L1027" s="28" t="s">
        <v>20102</v>
      </c>
      <c r="M1027" s="28" t="s">
        <v>20103</v>
      </c>
      <c r="N1027" s="28" t="s">
        <v>147</v>
      </c>
      <c r="O1027" s="29">
        <v>44.45</v>
      </c>
      <c r="P1027" s="28" t="s">
        <v>148</v>
      </c>
      <c r="Q1027" s="28" t="s">
        <v>149</v>
      </c>
      <c r="R1027" s="28" t="s">
        <v>174</v>
      </c>
      <c r="S1027" s="28" t="s">
        <v>20104</v>
      </c>
      <c r="T1027" s="30">
        <v>110</v>
      </c>
      <c r="U1027" s="28" t="s">
        <v>20105</v>
      </c>
      <c r="V1027" s="28" t="s">
        <v>138</v>
      </c>
      <c r="W1027" s="28" t="s">
        <v>138</v>
      </c>
      <c r="X1027" s="31">
        <v>2014</v>
      </c>
      <c r="Y1027" s="28" t="s">
        <v>138</v>
      </c>
      <c r="Z1027" s="28" t="s">
        <v>138</v>
      </c>
      <c r="AA1027" s="28" t="s">
        <v>138</v>
      </c>
      <c r="AB1027" s="32" t="s">
        <v>138</v>
      </c>
      <c r="AC1027" s="32" t="s">
        <v>138</v>
      </c>
      <c r="AD1027" s="32" t="s">
        <v>138</v>
      </c>
      <c r="AE1027" s="32" t="s">
        <v>138</v>
      </c>
      <c r="AF1027" s="32" t="s">
        <v>138</v>
      </c>
      <c r="AG1027" s="28" t="s">
        <v>138</v>
      </c>
      <c r="AH1027" s="32" t="s">
        <v>138</v>
      </c>
      <c r="AI1027" s="32" t="s">
        <v>138</v>
      </c>
      <c r="AJ1027" s="32" t="s">
        <v>138</v>
      </c>
      <c r="AK1027" s="28" t="s">
        <v>20106</v>
      </c>
      <c r="AL1027" s="28" t="s">
        <v>20107</v>
      </c>
      <c r="AM1027" s="28" t="s">
        <v>2794</v>
      </c>
      <c r="AN1027" s="28" t="s">
        <v>20108</v>
      </c>
      <c r="AO1027" s="28" t="s">
        <v>20109</v>
      </c>
      <c r="AP1027" s="28" t="s">
        <v>665</v>
      </c>
      <c r="AQ1027" s="28" t="s">
        <v>20110</v>
      </c>
      <c r="AR1027" s="28" t="s">
        <v>138</v>
      </c>
      <c r="AS1027" s="28" t="s">
        <v>668</v>
      </c>
      <c r="AT1027" s="28" t="s">
        <v>200</v>
      </c>
      <c r="AU1027" s="28" t="s">
        <v>691</v>
      </c>
      <c r="AV1027" s="28" t="s">
        <v>162</v>
      </c>
      <c r="AW1027" s="28" t="s">
        <v>20109</v>
      </c>
      <c r="AX1027" s="28" t="s">
        <v>138</v>
      </c>
      <c r="AY1027" s="28" t="s">
        <v>20111</v>
      </c>
      <c r="AZ1027" s="28" t="s">
        <v>164</v>
      </c>
      <c r="BA1027" s="28" t="s">
        <v>165</v>
      </c>
      <c r="BB1027" s="28" t="s">
        <v>20112</v>
      </c>
      <c r="BC1027" s="28" t="s">
        <v>20113</v>
      </c>
      <c r="BD1027" s="33">
        <v>12</v>
      </c>
      <c r="BE1027" s="28" t="s">
        <v>138</v>
      </c>
      <c r="BF1027" s="28" t="s">
        <v>138</v>
      </c>
      <c r="BG1027" s="28" t="s">
        <v>138</v>
      </c>
      <c r="BH1027" s="28" t="s">
        <v>20114</v>
      </c>
      <c r="BI1027" s="28" t="s">
        <v>138</v>
      </c>
      <c r="BJ1027" s="28" t="s">
        <v>138</v>
      </c>
      <c r="BK1027" s="28" t="s">
        <v>138</v>
      </c>
      <c r="BL1027" s="28" t="s">
        <v>20115</v>
      </c>
      <c r="BM1027" s="34">
        <v>41928</v>
      </c>
      <c r="BN1027" s="29">
        <v>0.45</v>
      </c>
      <c r="BO1027" s="28" t="s">
        <v>172</v>
      </c>
      <c r="BP1027" s="29">
        <v>3.32</v>
      </c>
      <c r="BQ1027" s="28" t="s">
        <v>172</v>
      </c>
      <c r="BR1027" s="28" t="s">
        <v>234</v>
      </c>
      <c r="BS1027" s="28" t="s">
        <v>234</v>
      </c>
      <c r="BT1027" s="28" t="s">
        <v>138</v>
      </c>
      <c r="BU1027" s="28" t="s">
        <v>174</v>
      </c>
      <c r="BV1027" s="28" t="s">
        <v>138</v>
      </c>
      <c r="BW1027" s="28" t="s">
        <v>138</v>
      </c>
      <c r="BX1027" s="28" t="s">
        <v>138</v>
      </c>
      <c r="BY1027" s="28" t="s">
        <v>175</v>
      </c>
      <c r="BZ1027" s="34">
        <v>43482</v>
      </c>
      <c r="CA1027" s="29">
        <v>33.5</v>
      </c>
      <c r="CB1027" s="28" t="s">
        <v>172</v>
      </c>
      <c r="CC1027" s="29">
        <v>83.5</v>
      </c>
      <c r="CD1027" s="28" t="s">
        <v>172</v>
      </c>
      <c r="CE1027" s="28" t="s">
        <v>173</v>
      </c>
      <c r="CF1027" s="28" t="s">
        <v>317</v>
      </c>
      <c r="CG1027" s="28" t="s">
        <v>138</v>
      </c>
      <c r="CH1027" s="28" t="s">
        <v>174</v>
      </c>
      <c r="CI1027" s="28" t="s">
        <v>138</v>
      </c>
      <c r="CJ1027" s="28" t="s">
        <v>138</v>
      </c>
      <c r="CK1027" s="28" t="s">
        <v>138</v>
      </c>
      <c r="CL1027" s="28" t="s">
        <v>175</v>
      </c>
      <c r="CM1027" s="34" t="s">
        <v>138</v>
      </c>
      <c r="CN1027" s="29" t="s">
        <v>138</v>
      </c>
      <c r="CO1027" s="35">
        <v>0.2</v>
      </c>
      <c r="CP1027" s="36">
        <v>92</v>
      </c>
      <c r="CQ1027" s="35">
        <v>0.02</v>
      </c>
      <c r="CR1027" s="35">
        <v>11.97</v>
      </c>
      <c r="CS1027" s="35">
        <v>-0.56000000000000005</v>
      </c>
      <c r="CT1027" s="36">
        <v>19</v>
      </c>
      <c r="CU1027" s="35">
        <v>0.19</v>
      </c>
      <c r="CV1027" s="36">
        <v>79</v>
      </c>
      <c r="CW1027" s="35">
        <v>0.35</v>
      </c>
      <c r="CX1027" s="36">
        <v>82</v>
      </c>
      <c r="CY1027" s="35">
        <v>-1.46</v>
      </c>
      <c r="CZ1027" s="36">
        <v>15</v>
      </c>
      <c r="DA1027" s="35">
        <v>0.13</v>
      </c>
      <c r="DB1027" s="36">
        <v>76</v>
      </c>
      <c r="DC1027" s="37">
        <v>1.5</v>
      </c>
      <c r="DD1027" s="36">
        <v>61</v>
      </c>
      <c r="DE1027" s="37">
        <v>-0.05</v>
      </c>
      <c r="DF1027" s="35">
        <v>-3.53</v>
      </c>
      <c r="DG1027" s="37">
        <v>3.25</v>
      </c>
      <c r="DH1027" s="36">
        <v>76</v>
      </c>
      <c r="DI1027" s="37">
        <v>1.03</v>
      </c>
      <c r="DJ1027" s="36">
        <v>50</v>
      </c>
      <c r="DK1027" s="37">
        <v>2.96</v>
      </c>
      <c r="DL1027" s="36">
        <v>71</v>
      </c>
      <c r="DM1027" s="37">
        <v>3.55</v>
      </c>
      <c r="DN1027" s="36">
        <v>76</v>
      </c>
      <c r="DO1027" s="37">
        <v>1.9</v>
      </c>
      <c r="DP1027" s="36">
        <v>63</v>
      </c>
      <c r="DQ1027" s="36">
        <v>1022</v>
      </c>
      <c r="DR1027" s="38">
        <v>-26</v>
      </c>
      <c r="DS1027" s="35">
        <v>-2.48</v>
      </c>
      <c r="DT1027" s="36">
        <v>102</v>
      </c>
      <c r="DU1027" s="38">
        <v>0</v>
      </c>
      <c r="DV1027" s="35">
        <v>0</v>
      </c>
      <c r="DW1027" s="36">
        <v>678</v>
      </c>
      <c r="DX1027" s="39">
        <v>3</v>
      </c>
      <c r="DY1027" s="35">
        <v>0.44</v>
      </c>
      <c r="DZ1027" s="28" t="s">
        <v>178</v>
      </c>
      <c r="EA1027" s="34">
        <v>43622</v>
      </c>
      <c r="EB1027" s="29">
        <v>83.5</v>
      </c>
      <c r="EC1027" s="34">
        <v>43482</v>
      </c>
      <c r="ED1027" s="28" t="s">
        <v>173</v>
      </c>
      <c r="EE1027" s="40" t="str">
        <f>HYPERLINK("https://my.pitchbook.com?c=66208-60", "View company online")</f>
        <v>View company online</v>
      </c>
    </row>
    <row r="1028" spans="1:135">
      <c r="A1028" s="15" t="s">
        <v>20116</v>
      </c>
      <c r="B1028" s="15" t="s">
        <v>20117</v>
      </c>
      <c r="C1028" s="15" t="s">
        <v>20118</v>
      </c>
      <c r="D1028" s="15" t="s">
        <v>138</v>
      </c>
      <c r="E1028" s="15" t="s">
        <v>20119</v>
      </c>
      <c r="F1028" s="15" t="s">
        <v>20116</v>
      </c>
      <c r="G1028" s="15" t="s">
        <v>20120</v>
      </c>
      <c r="H1028" s="15" t="s">
        <v>238</v>
      </c>
      <c r="I1028" s="15" t="s">
        <v>269</v>
      </c>
      <c r="J1028" s="15" t="s">
        <v>296</v>
      </c>
      <c r="K1028" s="15" t="s">
        <v>297</v>
      </c>
      <c r="L1028" s="15" t="s">
        <v>20121</v>
      </c>
      <c r="M1028" s="15" t="s">
        <v>20122</v>
      </c>
      <c r="N1028" s="15" t="s">
        <v>147</v>
      </c>
      <c r="O1028" s="17">
        <v>776.8</v>
      </c>
      <c r="P1028" s="15" t="s">
        <v>148</v>
      </c>
      <c r="Q1028" s="15" t="s">
        <v>149</v>
      </c>
      <c r="R1028" s="15" t="s">
        <v>174</v>
      </c>
      <c r="S1028" s="15" t="s">
        <v>20123</v>
      </c>
      <c r="T1028" s="18">
        <v>500</v>
      </c>
      <c r="U1028" s="15" t="s">
        <v>20124</v>
      </c>
      <c r="V1028" s="15" t="s">
        <v>138</v>
      </c>
      <c r="W1028" s="15" t="s">
        <v>138</v>
      </c>
      <c r="X1028" s="19">
        <v>2017</v>
      </c>
      <c r="Y1028" s="15" t="s">
        <v>138</v>
      </c>
      <c r="Z1028" s="15" t="s">
        <v>138</v>
      </c>
      <c r="AA1028" s="15" t="s">
        <v>1163</v>
      </c>
      <c r="AB1028" s="20" t="s">
        <v>138</v>
      </c>
      <c r="AC1028" s="20" t="s">
        <v>138</v>
      </c>
      <c r="AD1028" s="20" t="s">
        <v>138</v>
      </c>
      <c r="AE1028" s="20" t="s">
        <v>138</v>
      </c>
      <c r="AF1028" s="20" t="s">
        <v>138</v>
      </c>
      <c r="AG1028" s="15" t="s">
        <v>138</v>
      </c>
      <c r="AH1028" s="20" t="s">
        <v>138</v>
      </c>
      <c r="AI1028" s="20" t="s">
        <v>138</v>
      </c>
      <c r="AJ1028" s="20" t="s">
        <v>138</v>
      </c>
      <c r="AK1028" s="15" t="s">
        <v>20125</v>
      </c>
      <c r="AL1028" s="15" t="s">
        <v>20126</v>
      </c>
      <c r="AM1028" s="15" t="s">
        <v>221</v>
      </c>
      <c r="AN1028" s="15" t="s">
        <v>20127</v>
      </c>
      <c r="AO1028" s="15" t="s">
        <v>20128</v>
      </c>
      <c r="AP1028" s="15" t="s">
        <v>3668</v>
      </c>
      <c r="AQ1028" s="15" t="s">
        <v>20129</v>
      </c>
      <c r="AR1028" s="15" t="s">
        <v>17684</v>
      </c>
      <c r="AS1028" s="15" t="s">
        <v>3670</v>
      </c>
      <c r="AT1028" s="15" t="s">
        <v>200</v>
      </c>
      <c r="AU1028" s="15" t="s">
        <v>20130</v>
      </c>
      <c r="AV1028" s="15" t="s">
        <v>162</v>
      </c>
      <c r="AW1028" s="15" t="s">
        <v>20128</v>
      </c>
      <c r="AX1028" s="15" t="s">
        <v>138</v>
      </c>
      <c r="AY1028" s="15" t="s">
        <v>20131</v>
      </c>
      <c r="AZ1028" s="15" t="s">
        <v>164</v>
      </c>
      <c r="BA1028" s="15" t="s">
        <v>165</v>
      </c>
      <c r="BB1028" s="15" t="s">
        <v>20132</v>
      </c>
      <c r="BC1028" s="15" t="s">
        <v>20133</v>
      </c>
      <c r="BD1028" s="21">
        <v>47</v>
      </c>
      <c r="BE1028" s="15" t="s">
        <v>138</v>
      </c>
      <c r="BF1028" s="15" t="s">
        <v>138</v>
      </c>
      <c r="BG1028" s="15" t="s">
        <v>138</v>
      </c>
      <c r="BH1028" s="15" t="s">
        <v>20134</v>
      </c>
      <c r="BI1028" s="15" t="s">
        <v>138</v>
      </c>
      <c r="BJ1028" s="15" t="s">
        <v>138</v>
      </c>
      <c r="BK1028" s="15" t="s">
        <v>20135</v>
      </c>
      <c r="BL1028" s="15" t="s">
        <v>138</v>
      </c>
      <c r="BM1028" s="22">
        <v>42826</v>
      </c>
      <c r="BN1028" s="17">
        <v>12</v>
      </c>
      <c r="BO1028" s="15" t="s">
        <v>172</v>
      </c>
      <c r="BP1028" s="17">
        <v>42</v>
      </c>
      <c r="BQ1028" s="15" t="s">
        <v>172</v>
      </c>
      <c r="BR1028" s="15" t="s">
        <v>205</v>
      </c>
      <c r="BS1028" s="15" t="s">
        <v>206</v>
      </c>
      <c r="BT1028" s="15" t="s">
        <v>138</v>
      </c>
      <c r="BU1028" s="15" t="s">
        <v>174</v>
      </c>
      <c r="BV1028" s="15" t="s">
        <v>138</v>
      </c>
      <c r="BW1028" s="15" t="s">
        <v>138</v>
      </c>
      <c r="BX1028" s="15" t="s">
        <v>138</v>
      </c>
      <c r="BY1028" s="15" t="s">
        <v>175</v>
      </c>
      <c r="BZ1028" s="22" t="s">
        <v>138</v>
      </c>
      <c r="CA1028" s="17" t="s">
        <v>138</v>
      </c>
      <c r="CB1028" s="15" t="s">
        <v>138</v>
      </c>
      <c r="CC1028" s="17" t="s">
        <v>138</v>
      </c>
      <c r="CD1028" s="15" t="s">
        <v>138</v>
      </c>
      <c r="CE1028" s="15" t="s">
        <v>2228</v>
      </c>
      <c r="CF1028" s="15" t="s">
        <v>138</v>
      </c>
      <c r="CG1028" s="15" t="s">
        <v>138</v>
      </c>
      <c r="CH1028" s="15" t="s">
        <v>780</v>
      </c>
      <c r="CI1028" s="15" t="s">
        <v>138</v>
      </c>
      <c r="CJ1028" s="15" t="s">
        <v>138</v>
      </c>
      <c r="CK1028" s="15" t="s">
        <v>138</v>
      </c>
      <c r="CL1028" s="15" t="s">
        <v>3093</v>
      </c>
      <c r="CM1028" s="22" t="s">
        <v>138</v>
      </c>
      <c r="CN1028" s="17" t="s">
        <v>138</v>
      </c>
      <c r="CO1028" s="23">
        <v>-1.05</v>
      </c>
      <c r="CP1028" s="24">
        <v>11</v>
      </c>
      <c r="CQ1028" s="23">
        <v>0.01</v>
      </c>
      <c r="CR1028" s="23">
        <v>0.81</v>
      </c>
      <c r="CS1028" s="23">
        <v>-6.99</v>
      </c>
      <c r="CT1028" s="24">
        <v>1</v>
      </c>
      <c r="CU1028" s="23">
        <v>1.61</v>
      </c>
      <c r="CV1028" s="24">
        <v>99</v>
      </c>
      <c r="CW1028" s="23">
        <v>-6.99</v>
      </c>
      <c r="CX1028" s="24">
        <v>2</v>
      </c>
      <c r="CY1028" s="23" t="s">
        <v>138</v>
      </c>
      <c r="CZ1028" s="24" t="s">
        <v>138</v>
      </c>
      <c r="DA1028" s="23">
        <v>1.17</v>
      </c>
      <c r="DB1028" s="24">
        <v>99</v>
      </c>
      <c r="DC1028" s="25">
        <v>4357.79</v>
      </c>
      <c r="DD1028" s="24">
        <v>100</v>
      </c>
      <c r="DE1028" s="25">
        <v>237.61</v>
      </c>
      <c r="DF1028" s="23">
        <v>5.77</v>
      </c>
      <c r="DG1028" s="25">
        <v>232.66</v>
      </c>
      <c r="DH1028" s="24">
        <v>100</v>
      </c>
      <c r="DI1028" s="25">
        <v>47.86</v>
      </c>
      <c r="DJ1028" s="24">
        <v>95</v>
      </c>
      <c r="DK1028" s="25">
        <v>232.66</v>
      </c>
      <c r="DL1028" s="24">
        <v>99</v>
      </c>
      <c r="DM1028" s="25" t="s">
        <v>138</v>
      </c>
      <c r="DN1028" s="24" t="s">
        <v>138</v>
      </c>
      <c r="DO1028" s="25">
        <v>55.57</v>
      </c>
      <c r="DP1028" s="24">
        <v>97</v>
      </c>
      <c r="DQ1028" s="24">
        <v>79541</v>
      </c>
      <c r="DR1028" s="26">
        <v>788</v>
      </c>
      <c r="DS1028" s="23">
        <v>1</v>
      </c>
      <c r="DT1028" s="24" t="s">
        <v>138</v>
      </c>
      <c r="DU1028" s="26" t="s">
        <v>138</v>
      </c>
      <c r="DV1028" s="23" t="s">
        <v>138</v>
      </c>
      <c r="DW1028" s="24">
        <v>19787</v>
      </c>
      <c r="DX1028" s="27">
        <v>233</v>
      </c>
      <c r="DY1028" s="23">
        <v>1.19</v>
      </c>
      <c r="DZ1028" s="15" t="s">
        <v>178</v>
      </c>
      <c r="EA1028" s="22">
        <v>43622</v>
      </c>
      <c r="EB1028" s="17">
        <v>2400</v>
      </c>
      <c r="EC1028" s="22">
        <v>43502</v>
      </c>
      <c r="ED1028" s="15" t="s">
        <v>173</v>
      </c>
      <c r="EE1028" s="14" t="str">
        <f>HYPERLINK("https://my.pitchbook.com?c=178355-08", "View company online")</f>
        <v>View company online</v>
      </c>
    </row>
    <row r="1029" spans="1:135">
      <c r="A1029" s="28" t="s">
        <v>20136</v>
      </c>
      <c r="B1029" s="28" t="s">
        <v>20137</v>
      </c>
      <c r="C1029" s="28" t="s">
        <v>138</v>
      </c>
      <c r="D1029" s="28" t="s">
        <v>138</v>
      </c>
      <c r="E1029" s="28" t="s">
        <v>20138</v>
      </c>
      <c r="F1029" s="28" t="s">
        <v>20136</v>
      </c>
      <c r="G1029" s="28" t="s">
        <v>20139</v>
      </c>
      <c r="H1029" s="28" t="s">
        <v>385</v>
      </c>
      <c r="I1029" s="28" t="s">
        <v>1991</v>
      </c>
      <c r="J1029" s="28" t="s">
        <v>1992</v>
      </c>
      <c r="K1029" s="28" t="s">
        <v>20140</v>
      </c>
      <c r="L1029" s="28" t="s">
        <v>1994</v>
      </c>
      <c r="M1029" s="28" t="s">
        <v>20141</v>
      </c>
      <c r="N1029" s="28" t="s">
        <v>147</v>
      </c>
      <c r="O1029" s="29">
        <v>70</v>
      </c>
      <c r="P1029" s="28" t="s">
        <v>148</v>
      </c>
      <c r="Q1029" s="28" t="s">
        <v>149</v>
      </c>
      <c r="R1029" s="28" t="s">
        <v>174</v>
      </c>
      <c r="S1029" s="28" t="s">
        <v>20142</v>
      </c>
      <c r="T1029" s="30">
        <v>27</v>
      </c>
      <c r="U1029" s="28" t="s">
        <v>20143</v>
      </c>
      <c r="V1029" s="28" t="s">
        <v>138</v>
      </c>
      <c r="W1029" s="28" t="s">
        <v>138</v>
      </c>
      <c r="X1029" s="31">
        <v>2009</v>
      </c>
      <c r="Y1029" s="28" t="s">
        <v>138</v>
      </c>
      <c r="Z1029" s="28" t="s">
        <v>138</v>
      </c>
      <c r="AA1029" s="28" t="s">
        <v>138</v>
      </c>
      <c r="AB1029" s="32">
        <v>25</v>
      </c>
      <c r="AC1029" s="32" t="s">
        <v>138</v>
      </c>
      <c r="AD1029" s="32" t="s">
        <v>138</v>
      </c>
      <c r="AE1029" s="32" t="s">
        <v>138</v>
      </c>
      <c r="AF1029" s="32" t="s">
        <v>138</v>
      </c>
      <c r="AG1029" s="28" t="s">
        <v>514</v>
      </c>
      <c r="AH1029" s="32" t="s">
        <v>138</v>
      </c>
      <c r="AI1029" s="32" t="s">
        <v>138</v>
      </c>
      <c r="AJ1029" s="32" t="s">
        <v>138</v>
      </c>
      <c r="AK1029" s="28" t="s">
        <v>20144</v>
      </c>
      <c r="AL1029" s="28" t="s">
        <v>20145</v>
      </c>
      <c r="AM1029" s="28" t="s">
        <v>938</v>
      </c>
      <c r="AN1029" s="28" t="s">
        <v>20146</v>
      </c>
      <c r="AO1029" s="28" t="s">
        <v>20147</v>
      </c>
      <c r="AP1029" s="28" t="s">
        <v>2842</v>
      </c>
      <c r="AQ1029" s="28" t="s">
        <v>20148</v>
      </c>
      <c r="AR1029" s="28" t="s">
        <v>138</v>
      </c>
      <c r="AS1029" s="28" t="s">
        <v>2845</v>
      </c>
      <c r="AT1029" s="28" t="s">
        <v>200</v>
      </c>
      <c r="AU1029" s="28" t="s">
        <v>10437</v>
      </c>
      <c r="AV1029" s="28" t="s">
        <v>162</v>
      </c>
      <c r="AW1029" s="28" t="s">
        <v>20147</v>
      </c>
      <c r="AX1029" s="28" t="s">
        <v>20149</v>
      </c>
      <c r="AY1029" s="28" t="s">
        <v>20150</v>
      </c>
      <c r="AZ1029" s="28" t="s">
        <v>164</v>
      </c>
      <c r="BA1029" s="28" t="s">
        <v>165</v>
      </c>
      <c r="BB1029" s="28" t="s">
        <v>20151</v>
      </c>
      <c r="BC1029" s="28" t="s">
        <v>20152</v>
      </c>
      <c r="BD1029" s="33">
        <v>9</v>
      </c>
      <c r="BE1029" s="28" t="s">
        <v>138</v>
      </c>
      <c r="BF1029" s="28" t="s">
        <v>138</v>
      </c>
      <c r="BG1029" s="28" t="s">
        <v>138</v>
      </c>
      <c r="BH1029" s="28" t="s">
        <v>20153</v>
      </c>
      <c r="BI1029" s="28" t="s">
        <v>138</v>
      </c>
      <c r="BJ1029" s="28" t="s">
        <v>138</v>
      </c>
      <c r="BK1029" s="28" t="s">
        <v>20154</v>
      </c>
      <c r="BL1029" s="28" t="s">
        <v>1251</v>
      </c>
      <c r="BM1029" s="34">
        <v>39995</v>
      </c>
      <c r="BN1029" s="29">
        <v>7.62</v>
      </c>
      <c r="BO1029" s="28" t="s">
        <v>172</v>
      </c>
      <c r="BP1029" s="29" t="s">
        <v>138</v>
      </c>
      <c r="BQ1029" s="28" t="s">
        <v>138</v>
      </c>
      <c r="BR1029" s="28" t="s">
        <v>205</v>
      </c>
      <c r="BS1029" s="28" t="s">
        <v>138</v>
      </c>
      <c r="BT1029" s="28" t="s">
        <v>138</v>
      </c>
      <c r="BU1029" s="28" t="s">
        <v>174</v>
      </c>
      <c r="BV1029" s="28" t="s">
        <v>138</v>
      </c>
      <c r="BW1029" s="28" t="s">
        <v>138</v>
      </c>
      <c r="BX1029" s="28" t="s">
        <v>138</v>
      </c>
      <c r="BY1029" s="28" t="s">
        <v>175</v>
      </c>
      <c r="BZ1029" s="34" t="s">
        <v>138</v>
      </c>
      <c r="CA1029" s="29">
        <v>9.61</v>
      </c>
      <c r="CB1029" s="28" t="s">
        <v>172</v>
      </c>
      <c r="CC1029" s="29" t="s">
        <v>138</v>
      </c>
      <c r="CD1029" s="28" t="s">
        <v>138</v>
      </c>
      <c r="CE1029" s="28" t="s">
        <v>173</v>
      </c>
      <c r="CF1029" s="28" t="s">
        <v>138</v>
      </c>
      <c r="CG1029" s="28" t="s">
        <v>138</v>
      </c>
      <c r="CH1029" s="28" t="s">
        <v>174</v>
      </c>
      <c r="CI1029" s="28" t="s">
        <v>138</v>
      </c>
      <c r="CJ1029" s="28" t="s">
        <v>138</v>
      </c>
      <c r="CK1029" s="28" t="s">
        <v>138</v>
      </c>
      <c r="CL1029" s="28" t="s">
        <v>175</v>
      </c>
      <c r="CM1029" s="34" t="s">
        <v>138</v>
      </c>
      <c r="CN1029" s="29" t="s">
        <v>138</v>
      </c>
      <c r="CO1029" s="35">
        <v>0.01</v>
      </c>
      <c r="CP1029" s="36">
        <v>84</v>
      </c>
      <c r="CQ1029" s="35">
        <v>0</v>
      </c>
      <c r="CR1029" s="35">
        <v>33.270000000000003</v>
      </c>
      <c r="CS1029" s="35">
        <v>0</v>
      </c>
      <c r="CT1029" s="36">
        <v>23</v>
      </c>
      <c r="CU1029" s="35">
        <v>0.02</v>
      </c>
      <c r="CV1029" s="36">
        <v>51</v>
      </c>
      <c r="CW1029" s="35" t="s">
        <v>138</v>
      </c>
      <c r="CX1029" s="36" t="s">
        <v>138</v>
      </c>
      <c r="CY1029" s="35">
        <v>0</v>
      </c>
      <c r="CZ1029" s="36">
        <v>25</v>
      </c>
      <c r="DA1029" s="35">
        <v>-0.01</v>
      </c>
      <c r="DB1029" s="36">
        <v>21</v>
      </c>
      <c r="DC1029" s="37">
        <v>1.85</v>
      </c>
      <c r="DD1029" s="36">
        <v>65</v>
      </c>
      <c r="DE1029" s="37">
        <v>0</v>
      </c>
      <c r="DF1029" s="35">
        <v>0.22</v>
      </c>
      <c r="DG1029" s="37">
        <v>1.1399999999999999</v>
      </c>
      <c r="DH1029" s="36">
        <v>54</v>
      </c>
      <c r="DI1029" s="37">
        <v>2.56</v>
      </c>
      <c r="DJ1029" s="36">
        <v>67</v>
      </c>
      <c r="DK1029" s="37" t="s">
        <v>138</v>
      </c>
      <c r="DL1029" s="36" t="s">
        <v>138</v>
      </c>
      <c r="DM1029" s="37">
        <v>1.1399999999999999</v>
      </c>
      <c r="DN1029" s="36">
        <v>53</v>
      </c>
      <c r="DO1029" s="37">
        <v>4.13</v>
      </c>
      <c r="DP1029" s="36">
        <v>76</v>
      </c>
      <c r="DQ1029" s="36" t="s">
        <v>138</v>
      </c>
      <c r="DR1029" s="38" t="s">
        <v>138</v>
      </c>
      <c r="DS1029" s="35" t="s">
        <v>138</v>
      </c>
      <c r="DT1029" s="36">
        <v>33</v>
      </c>
      <c r="DU1029" s="38">
        <v>0</v>
      </c>
      <c r="DV1029" s="35">
        <v>0</v>
      </c>
      <c r="DW1029" s="36">
        <v>1481</v>
      </c>
      <c r="DX1029" s="39">
        <v>0</v>
      </c>
      <c r="DY1029" s="35">
        <v>0</v>
      </c>
      <c r="DZ1029" s="28" t="s">
        <v>178</v>
      </c>
      <c r="EA1029" s="34">
        <v>43469</v>
      </c>
      <c r="EB1029" s="29">
        <v>134.86000000000001</v>
      </c>
      <c r="EC1029" s="34">
        <v>41324</v>
      </c>
      <c r="ED1029" s="28" t="s">
        <v>173</v>
      </c>
      <c r="EE1029" s="40" t="str">
        <f>HYPERLINK("https://my.pitchbook.com?c=53914-60", "View company online")</f>
        <v>View company online</v>
      </c>
    </row>
    <row r="1030" spans="1:135">
      <c r="A1030" s="15" t="s">
        <v>20155</v>
      </c>
      <c r="B1030" s="15" t="s">
        <v>20156</v>
      </c>
      <c r="C1030" s="15" t="s">
        <v>138</v>
      </c>
      <c r="D1030" s="15" t="s">
        <v>20157</v>
      </c>
      <c r="E1030" s="15" t="s">
        <v>20158</v>
      </c>
      <c r="F1030" s="15" t="s">
        <v>20155</v>
      </c>
      <c r="G1030" s="15" t="s">
        <v>20159</v>
      </c>
      <c r="H1030" s="15" t="s">
        <v>322</v>
      </c>
      <c r="I1030" s="15" t="s">
        <v>356</v>
      </c>
      <c r="J1030" s="15" t="s">
        <v>3852</v>
      </c>
      <c r="K1030" s="15" t="s">
        <v>5258</v>
      </c>
      <c r="L1030" s="15" t="s">
        <v>415</v>
      </c>
      <c r="M1030" s="15" t="s">
        <v>20160</v>
      </c>
      <c r="N1030" s="15" t="s">
        <v>147</v>
      </c>
      <c r="O1030" s="17">
        <v>34.82</v>
      </c>
      <c r="P1030" s="15" t="s">
        <v>15478</v>
      </c>
      <c r="Q1030" s="15" t="s">
        <v>149</v>
      </c>
      <c r="R1030" s="15" t="s">
        <v>244</v>
      </c>
      <c r="S1030" s="15" t="s">
        <v>20161</v>
      </c>
      <c r="T1030" s="18" t="s">
        <v>138</v>
      </c>
      <c r="U1030" s="15" t="s">
        <v>138</v>
      </c>
      <c r="V1030" s="15" t="s">
        <v>138</v>
      </c>
      <c r="W1030" s="15" t="s">
        <v>138</v>
      </c>
      <c r="X1030" s="19">
        <v>1998</v>
      </c>
      <c r="Y1030" s="15" t="s">
        <v>138</v>
      </c>
      <c r="Z1030" s="15" t="s">
        <v>138</v>
      </c>
      <c r="AA1030" s="15" t="s">
        <v>138</v>
      </c>
      <c r="AB1030" s="20" t="s">
        <v>138</v>
      </c>
      <c r="AC1030" s="20" t="s">
        <v>138</v>
      </c>
      <c r="AD1030" s="20" t="s">
        <v>138</v>
      </c>
      <c r="AE1030" s="20" t="s">
        <v>138</v>
      </c>
      <c r="AF1030" s="20" t="s">
        <v>138</v>
      </c>
      <c r="AG1030" s="15" t="s">
        <v>138</v>
      </c>
      <c r="AH1030" s="20" t="s">
        <v>138</v>
      </c>
      <c r="AI1030" s="20" t="s">
        <v>138</v>
      </c>
      <c r="AJ1030" s="20" t="s">
        <v>138</v>
      </c>
      <c r="AK1030" s="15" t="s">
        <v>20162</v>
      </c>
      <c r="AL1030" s="15" t="s">
        <v>20163</v>
      </c>
      <c r="AM1030" s="15" t="s">
        <v>6593</v>
      </c>
      <c r="AN1030" s="15" t="s">
        <v>20164</v>
      </c>
      <c r="AO1030" s="15" t="s">
        <v>20165</v>
      </c>
      <c r="AP1030" s="15" t="s">
        <v>2002</v>
      </c>
      <c r="AQ1030" s="15" t="s">
        <v>20166</v>
      </c>
      <c r="AR1030" s="15" t="s">
        <v>8976</v>
      </c>
      <c r="AS1030" s="15" t="s">
        <v>2005</v>
      </c>
      <c r="AT1030" s="15" t="s">
        <v>200</v>
      </c>
      <c r="AU1030" s="15" t="s">
        <v>2006</v>
      </c>
      <c r="AV1030" s="15" t="s">
        <v>162</v>
      </c>
      <c r="AW1030" s="15" t="s">
        <v>20165</v>
      </c>
      <c r="AX1030" s="15" t="s">
        <v>20167</v>
      </c>
      <c r="AY1030" s="15" t="s">
        <v>138</v>
      </c>
      <c r="AZ1030" s="15" t="s">
        <v>164</v>
      </c>
      <c r="BA1030" s="15" t="s">
        <v>165</v>
      </c>
      <c r="BB1030" s="15" t="s">
        <v>20168</v>
      </c>
      <c r="BC1030" s="15" t="s">
        <v>20169</v>
      </c>
      <c r="BD1030" s="21">
        <v>1</v>
      </c>
      <c r="BE1030" s="15" t="s">
        <v>138</v>
      </c>
      <c r="BF1030" s="15" t="s">
        <v>20170</v>
      </c>
      <c r="BG1030" s="15" t="s">
        <v>138</v>
      </c>
      <c r="BH1030" s="15" t="s">
        <v>138</v>
      </c>
      <c r="BI1030" s="15" t="s">
        <v>20171</v>
      </c>
      <c r="BJ1030" s="15" t="s">
        <v>138</v>
      </c>
      <c r="BK1030" s="15" t="s">
        <v>138</v>
      </c>
      <c r="BL1030" s="15" t="s">
        <v>20172</v>
      </c>
      <c r="BM1030" s="22">
        <v>36795</v>
      </c>
      <c r="BN1030" s="17">
        <v>11.33</v>
      </c>
      <c r="BO1030" s="15" t="s">
        <v>172</v>
      </c>
      <c r="BP1030" s="17">
        <v>20.16</v>
      </c>
      <c r="BQ1030" s="15" t="s">
        <v>172</v>
      </c>
      <c r="BR1030" s="15" t="s">
        <v>205</v>
      </c>
      <c r="BS1030" s="15" t="s">
        <v>4410</v>
      </c>
      <c r="BT1030" s="15" t="s">
        <v>138</v>
      </c>
      <c r="BU1030" s="15" t="s">
        <v>174</v>
      </c>
      <c r="BV1030" s="15" t="s">
        <v>138</v>
      </c>
      <c r="BW1030" s="15" t="s">
        <v>138</v>
      </c>
      <c r="BX1030" s="15" t="s">
        <v>138</v>
      </c>
      <c r="BY1030" s="15" t="s">
        <v>175</v>
      </c>
      <c r="BZ1030" s="22">
        <v>39569</v>
      </c>
      <c r="CA1030" s="17" t="s">
        <v>138</v>
      </c>
      <c r="CB1030" s="15" t="s">
        <v>138</v>
      </c>
      <c r="CC1030" s="17" t="s">
        <v>138</v>
      </c>
      <c r="CD1030" s="15" t="s">
        <v>138</v>
      </c>
      <c r="CE1030" s="15" t="s">
        <v>15478</v>
      </c>
      <c r="CF1030" s="15" t="s">
        <v>138</v>
      </c>
      <c r="CG1030" s="15" t="s">
        <v>138</v>
      </c>
      <c r="CH1030" s="15" t="s">
        <v>1230</v>
      </c>
      <c r="CI1030" s="15" t="s">
        <v>138</v>
      </c>
      <c r="CJ1030" s="15" t="s">
        <v>138</v>
      </c>
      <c r="CK1030" s="15" t="s">
        <v>138</v>
      </c>
      <c r="CL1030" s="15" t="s">
        <v>175</v>
      </c>
      <c r="CM1030" s="22">
        <v>36900</v>
      </c>
      <c r="CN1030" s="17" t="s">
        <v>138</v>
      </c>
      <c r="CO1030" s="23">
        <v>-0.5</v>
      </c>
      <c r="CP1030" s="24">
        <v>16</v>
      </c>
      <c r="CQ1030" s="23">
        <v>0.05</v>
      </c>
      <c r="CR1030" s="23">
        <v>8.44</v>
      </c>
      <c r="CS1030" s="23">
        <v>-1.1599999999999999</v>
      </c>
      <c r="CT1030" s="24">
        <v>14</v>
      </c>
      <c r="CU1030" s="23">
        <v>0.17</v>
      </c>
      <c r="CV1030" s="24">
        <v>77</v>
      </c>
      <c r="CW1030" s="23">
        <v>0</v>
      </c>
      <c r="CX1030" s="24">
        <v>13</v>
      </c>
      <c r="CY1030" s="23">
        <v>-2.33</v>
      </c>
      <c r="CZ1030" s="24">
        <v>9</v>
      </c>
      <c r="DA1030" s="23">
        <v>0.01</v>
      </c>
      <c r="DB1030" s="24">
        <v>57</v>
      </c>
      <c r="DC1030" s="25">
        <v>3.66</v>
      </c>
      <c r="DD1030" s="24">
        <v>78</v>
      </c>
      <c r="DE1030" s="25">
        <v>-0.02</v>
      </c>
      <c r="DF1030" s="23">
        <v>-0.54</v>
      </c>
      <c r="DG1030" s="25">
        <v>5.91</v>
      </c>
      <c r="DH1030" s="24">
        <v>84</v>
      </c>
      <c r="DI1030" s="25">
        <v>1.41</v>
      </c>
      <c r="DJ1030" s="24">
        <v>56</v>
      </c>
      <c r="DK1030" s="25">
        <v>0.71</v>
      </c>
      <c r="DL1030" s="24">
        <v>43</v>
      </c>
      <c r="DM1030" s="25">
        <v>11.1</v>
      </c>
      <c r="DN1030" s="24">
        <v>90</v>
      </c>
      <c r="DO1030" s="25">
        <v>2.69</v>
      </c>
      <c r="DP1030" s="24">
        <v>69</v>
      </c>
      <c r="DQ1030" s="24">
        <v>255</v>
      </c>
      <c r="DR1030" s="26">
        <v>-37</v>
      </c>
      <c r="DS1030" s="23">
        <v>-12.67</v>
      </c>
      <c r="DT1030" s="24">
        <v>322</v>
      </c>
      <c r="DU1030" s="26">
        <v>1</v>
      </c>
      <c r="DV1030" s="23">
        <v>0.31</v>
      </c>
      <c r="DW1030" s="24">
        <v>963</v>
      </c>
      <c r="DX1030" s="27">
        <v>-1</v>
      </c>
      <c r="DY1030" s="23">
        <v>-0.1</v>
      </c>
      <c r="DZ1030" s="15" t="s">
        <v>178</v>
      </c>
      <c r="EA1030" s="22">
        <v>43409</v>
      </c>
      <c r="EB1030" s="17" t="s">
        <v>138</v>
      </c>
      <c r="EC1030" s="22" t="s">
        <v>138</v>
      </c>
      <c r="ED1030" s="15" t="s">
        <v>138</v>
      </c>
      <c r="EE1030" s="14" t="str">
        <f>HYPERLINK("https://my.pitchbook.com?c=56551-24", "View company online")</f>
        <v>View company online</v>
      </c>
    </row>
    <row r="1031" spans="1:135">
      <c r="A1031" s="28" t="s">
        <v>20173</v>
      </c>
      <c r="B1031" s="28" t="s">
        <v>20174</v>
      </c>
      <c r="C1031" s="28" t="s">
        <v>138</v>
      </c>
      <c r="D1031" s="28" t="s">
        <v>138</v>
      </c>
      <c r="E1031" s="28" t="s">
        <v>138</v>
      </c>
      <c r="F1031" s="28" t="s">
        <v>20173</v>
      </c>
      <c r="G1031" s="28" t="s">
        <v>20175</v>
      </c>
      <c r="H1031" s="28" t="s">
        <v>322</v>
      </c>
      <c r="I1031" s="28" t="s">
        <v>356</v>
      </c>
      <c r="J1031" s="28" t="s">
        <v>3030</v>
      </c>
      <c r="K1031" s="28" t="s">
        <v>20176</v>
      </c>
      <c r="L1031" s="28" t="s">
        <v>855</v>
      </c>
      <c r="M1031" s="28" t="s">
        <v>20177</v>
      </c>
      <c r="N1031" s="28" t="s">
        <v>147</v>
      </c>
      <c r="O1031" s="29">
        <v>10.7</v>
      </c>
      <c r="P1031" s="28" t="s">
        <v>610</v>
      </c>
      <c r="Q1031" s="28" t="s">
        <v>149</v>
      </c>
      <c r="R1031" s="28" t="s">
        <v>174</v>
      </c>
      <c r="S1031" s="28" t="s">
        <v>20178</v>
      </c>
      <c r="T1031" s="30">
        <v>20</v>
      </c>
      <c r="U1031" s="28" t="s">
        <v>20179</v>
      </c>
      <c r="V1031" s="28" t="s">
        <v>138</v>
      </c>
      <c r="W1031" s="28" t="s">
        <v>138</v>
      </c>
      <c r="X1031" s="31">
        <v>2017</v>
      </c>
      <c r="Y1031" s="28" t="s">
        <v>138</v>
      </c>
      <c r="Z1031" s="28" t="s">
        <v>138</v>
      </c>
      <c r="AA1031" s="28" t="s">
        <v>138</v>
      </c>
      <c r="AB1031" s="32" t="s">
        <v>138</v>
      </c>
      <c r="AC1031" s="32" t="s">
        <v>138</v>
      </c>
      <c r="AD1031" s="32" t="s">
        <v>138</v>
      </c>
      <c r="AE1031" s="32" t="s">
        <v>138</v>
      </c>
      <c r="AF1031" s="32" t="s">
        <v>138</v>
      </c>
      <c r="AG1031" s="28" t="s">
        <v>138</v>
      </c>
      <c r="AH1031" s="32" t="s">
        <v>138</v>
      </c>
      <c r="AI1031" s="32" t="s">
        <v>138</v>
      </c>
      <c r="AJ1031" s="32" t="s">
        <v>138</v>
      </c>
      <c r="AK1031" s="28" t="s">
        <v>20180</v>
      </c>
      <c r="AL1031" s="28" t="s">
        <v>20181</v>
      </c>
      <c r="AM1031" s="28" t="s">
        <v>916</v>
      </c>
      <c r="AN1031" s="28" t="s">
        <v>20182</v>
      </c>
      <c r="AO1031" s="28" t="s">
        <v>138</v>
      </c>
      <c r="AP1031" s="28" t="s">
        <v>1292</v>
      </c>
      <c r="AQ1031" s="28" t="s">
        <v>20183</v>
      </c>
      <c r="AR1031" s="28" t="s">
        <v>138</v>
      </c>
      <c r="AS1031" s="28" t="s">
        <v>1294</v>
      </c>
      <c r="AT1031" s="28" t="s">
        <v>864</v>
      </c>
      <c r="AU1031" s="28" t="s">
        <v>8420</v>
      </c>
      <c r="AV1031" s="28" t="s">
        <v>162</v>
      </c>
      <c r="AW1031" s="28" t="s">
        <v>138</v>
      </c>
      <c r="AX1031" s="28" t="s">
        <v>138</v>
      </c>
      <c r="AY1031" s="28" t="s">
        <v>20184</v>
      </c>
      <c r="AZ1031" s="28" t="s">
        <v>164</v>
      </c>
      <c r="BA1031" s="28" t="s">
        <v>165</v>
      </c>
      <c r="BB1031" s="28" t="s">
        <v>20185</v>
      </c>
      <c r="BC1031" s="28" t="s">
        <v>20186</v>
      </c>
      <c r="BD1031" s="33">
        <v>3</v>
      </c>
      <c r="BE1031" s="28" t="s">
        <v>138</v>
      </c>
      <c r="BF1031" s="28" t="s">
        <v>138</v>
      </c>
      <c r="BG1031" s="28" t="s">
        <v>138</v>
      </c>
      <c r="BH1031" s="28" t="s">
        <v>20187</v>
      </c>
      <c r="BI1031" s="28" t="s">
        <v>138</v>
      </c>
      <c r="BJ1031" s="28" t="s">
        <v>138</v>
      </c>
      <c r="BK1031" s="28" t="s">
        <v>20188</v>
      </c>
      <c r="BL1031" s="28" t="s">
        <v>3826</v>
      </c>
      <c r="BM1031" s="34">
        <v>43133</v>
      </c>
      <c r="BN1031" s="29">
        <v>10.7</v>
      </c>
      <c r="BO1031" s="28" t="s">
        <v>172</v>
      </c>
      <c r="BP1031" s="29" t="s">
        <v>138</v>
      </c>
      <c r="BQ1031" s="28" t="s">
        <v>138</v>
      </c>
      <c r="BR1031" s="28" t="s">
        <v>205</v>
      </c>
      <c r="BS1031" s="28" t="s">
        <v>206</v>
      </c>
      <c r="BT1031" s="28" t="s">
        <v>138</v>
      </c>
      <c r="BU1031" s="28" t="s">
        <v>174</v>
      </c>
      <c r="BV1031" s="28" t="s">
        <v>138</v>
      </c>
      <c r="BW1031" s="28" t="s">
        <v>138</v>
      </c>
      <c r="BX1031" s="28" t="s">
        <v>138</v>
      </c>
      <c r="BY1031" s="28" t="s">
        <v>175</v>
      </c>
      <c r="BZ1031" s="34">
        <v>43133</v>
      </c>
      <c r="CA1031" s="29">
        <v>10.7</v>
      </c>
      <c r="CB1031" s="28" t="s">
        <v>172</v>
      </c>
      <c r="CC1031" s="29" t="s">
        <v>138</v>
      </c>
      <c r="CD1031" s="28" t="s">
        <v>138</v>
      </c>
      <c r="CE1031" s="28" t="s">
        <v>205</v>
      </c>
      <c r="CF1031" s="28" t="s">
        <v>206</v>
      </c>
      <c r="CG1031" s="28" t="s">
        <v>138</v>
      </c>
      <c r="CH1031" s="28" t="s">
        <v>174</v>
      </c>
      <c r="CI1031" s="28" t="s">
        <v>138</v>
      </c>
      <c r="CJ1031" s="28" t="s">
        <v>138</v>
      </c>
      <c r="CK1031" s="28" t="s">
        <v>138</v>
      </c>
      <c r="CL1031" s="28" t="s">
        <v>175</v>
      </c>
      <c r="CM1031" s="34" t="s">
        <v>138</v>
      </c>
      <c r="CN1031" s="29" t="s">
        <v>138</v>
      </c>
      <c r="CO1031" s="35">
        <v>0</v>
      </c>
      <c r="CP1031" s="36">
        <v>26</v>
      </c>
      <c r="CQ1031" s="35">
        <v>0</v>
      </c>
      <c r="CR1031" s="35">
        <v>0</v>
      </c>
      <c r="CS1031" s="35">
        <v>0</v>
      </c>
      <c r="CT1031" s="36">
        <v>23</v>
      </c>
      <c r="CU1031" s="35" t="s">
        <v>138</v>
      </c>
      <c r="CV1031" s="36" t="s">
        <v>138</v>
      </c>
      <c r="CW1031" s="35">
        <v>0</v>
      </c>
      <c r="CX1031" s="36">
        <v>13</v>
      </c>
      <c r="CY1031" s="35">
        <v>0</v>
      </c>
      <c r="CZ1031" s="36">
        <v>25</v>
      </c>
      <c r="DA1031" s="35" t="s">
        <v>138</v>
      </c>
      <c r="DB1031" s="36" t="s">
        <v>138</v>
      </c>
      <c r="DC1031" s="37">
        <v>1.4</v>
      </c>
      <c r="DD1031" s="36">
        <v>59</v>
      </c>
      <c r="DE1031" s="37">
        <v>-0.08</v>
      </c>
      <c r="DF1031" s="35">
        <v>-5.12</v>
      </c>
      <c r="DG1031" s="37">
        <v>1.4</v>
      </c>
      <c r="DH1031" s="36">
        <v>59</v>
      </c>
      <c r="DI1031" s="37" t="s">
        <v>138</v>
      </c>
      <c r="DJ1031" s="36" t="s">
        <v>138</v>
      </c>
      <c r="DK1031" s="37">
        <v>1.17</v>
      </c>
      <c r="DL1031" s="36">
        <v>53</v>
      </c>
      <c r="DM1031" s="37">
        <v>1.62</v>
      </c>
      <c r="DN1031" s="36">
        <v>61</v>
      </c>
      <c r="DO1031" s="37" t="s">
        <v>138</v>
      </c>
      <c r="DP1031" s="36" t="s">
        <v>138</v>
      </c>
      <c r="DQ1031" s="36">
        <v>406</v>
      </c>
      <c r="DR1031" s="38">
        <v>-11</v>
      </c>
      <c r="DS1031" s="35">
        <v>-2.64</v>
      </c>
      <c r="DT1031" s="36">
        <v>47</v>
      </c>
      <c r="DU1031" s="38">
        <v>0</v>
      </c>
      <c r="DV1031" s="35">
        <v>0</v>
      </c>
      <c r="DW1031" s="36" t="s">
        <v>138</v>
      </c>
      <c r="DX1031" s="39" t="s">
        <v>138</v>
      </c>
      <c r="DY1031" s="35" t="s">
        <v>138</v>
      </c>
      <c r="DZ1031" s="28" t="s">
        <v>178</v>
      </c>
      <c r="EA1031" s="34">
        <v>43572</v>
      </c>
      <c r="EB1031" s="29" t="s">
        <v>138</v>
      </c>
      <c r="EC1031" s="34" t="s">
        <v>138</v>
      </c>
      <c r="ED1031" s="28" t="s">
        <v>138</v>
      </c>
      <c r="EE1031" s="40" t="str">
        <f>HYPERLINK("https://my.pitchbook.com?c=225236-89", "View company online")</f>
        <v>View company online</v>
      </c>
    </row>
    <row r="1032" spans="1:135">
      <c r="A1032" s="15" t="s">
        <v>20189</v>
      </c>
      <c r="B1032" s="15" t="s">
        <v>20190</v>
      </c>
      <c r="C1032" s="15" t="s">
        <v>138</v>
      </c>
      <c r="D1032" s="15" t="s">
        <v>138</v>
      </c>
      <c r="E1032" s="15" t="s">
        <v>20191</v>
      </c>
      <c r="F1032" s="15" t="s">
        <v>20189</v>
      </c>
      <c r="G1032" s="15" t="s">
        <v>20192</v>
      </c>
      <c r="H1032" s="15" t="s">
        <v>322</v>
      </c>
      <c r="I1032" s="15" t="s">
        <v>323</v>
      </c>
      <c r="J1032" s="15" t="s">
        <v>2984</v>
      </c>
      <c r="K1032" s="15" t="s">
        <v>10784</v>
      </c>
      <c r="L1032" s="15" t="s">
        <v>138</v>
      </c>
      <c r="M1032" s="15" t="s">
        <v>20193</v>
      </c>
      <c r="N1032" s="15" t="s">
        <v>147</v>
      </c>
      <c r="O1032" s="17">
        <v>60</v>
      </c>
      <c r="P1032" s="15" t="s">
        <v>148</v>
      </c>
      <c r="Q1032" s="15" t="s">
        <v>149</v>
      </c>
      <c r="R1032" s="15" t="s">
        <v>174</v>
      </c>
      <c r="S1032" s="15" t="s">
        <v>20194</v>
      </c>
      <c r="T1032" s="18">
        <v>70</v>
      </c>
      <c r="U1032" s="15" t="s">
        <v>20195</v>
      </c>
      <c r="V1032" s="15" t="s">
        <v>138</v>
      </c>
      <c r="W1032" s="15" t="s">
        <v>138</v>
      </c>
      <c r="X1032" s="19">
        <v>2016</v>
      </c>
      <c r="Y1032" s="15" t="s">
        <v>138</v>
      </c>
      <c r="Z1032" s="15" t="s">
        <v>138</v>
      </c>
      <c r="AA1032" s="15" t="s">
        <v>1163</v>
      </c>
      <c r="AB1032" s="20" t="s">
        <v>138</v>
      </c>
      <c r="AC1032" s="20" t="s">
        <v>138</v>
      </c>
      <c r="AD1032" s="20" t="s">
        <v>138</v>
      </c>
      <c r="AE1032" s="20" t="s">
        <v>138</v>
      </c>
      <c r="AF1032" s="20" t="s">
        <v>138</v>
      </c>
      <c r="AG1032" s="15" t="s">
        <v>138</v>
      </c>
      <c r="AH1032" s="20" t="s">
        <v>138</v>
      </c>
      <c r="AI1032" s="20" t="s">
        <v>138</v>
      </c>
      <c r="AJ1032" s="20" t="s">
        <v>138</v>
      </c>
      <c r="AK1032" s="15" t="s">
        <v>20196</v>
      </c>
      <c r="AL1032" s="15" t="s">
        <v>20197</v>
      </c>
      <c r="AM1032" s="15" t="s">
        <v>249</v>
      </c>
      <c r="AN1032" s="15" t="s">
        <v>20198</v>
      </c>
      <c r="AO1032" s="15" t="s">
        <v>138</v>
      </c>
      <c r="AP1032" s="15" t="s">
        <v>1220</v>
      </c>
      <c r="AQ1032" s="15" t="s">
        <v>20199</v>
      </c>
      <c r="AR1032" s="15" t="s">
        <v>138</v>
      </c>
      <c r="AS1032" s="15" t="s">
        <v>1223</v>
      </c>
      <c r="AT1032" s="15" t="s">
        <v>200</v>
      </c>
      <c r="AU1032" s="15" t="s">
        <v>20200</v>
      </c>
      <c r="AV1032" s="15" t="s">
        <v>162</v>
      </c>
      <c r="AW1032" s="15" t="s">
        <v>138</v>
      </c>
      <c r="AX1032" s="15" t="s">
        <v>138</v>
      </c>
      <c r="AY1032" s="15" t="s">
        <v>20201</v>
      </c>
      <c r="AZ1032" s="15" t="s">
        <v>164</v>
      </c>
      <c r="BA1032" s="15" t="s">
        <v>165</v>
      </c>
      <c r="BB1032" s="15" t="s">
        <v>20202</v>
      </c>
      <c r="BC1032" s="15" t="s">
        <v>20203</v>
      </c>
      <c r="BD1032" s="21">
        <v>6</v>
      </c>
      <c r="BE1032" s="15" t="s">
        <v>138</v>
      </c>
      <c r="BF1032" s="15" t="s">
        <v>138</v>
      </c>
      <c r="BG1032" s="15" t="s">
        <v>138</v>
      </c>
      <c r="BH1032" s="15" t="s">
        <v>20204</v>
      </c>
      <c r="BI1032" s="15" t="s">
        <v>138</v>
      </c>
      <c r="BJ1032" s="15" t="s">
        <v>138</v>
      </c>
      <c r="BK1032" s="15" t="s">
        <v>138</v>
      </c>
      <c r="BL1032" s="15" t="s">
        <v>138</v>
      </c>
      <c r="BM1032" s="22">
        <v>42370</v>
      </c>
      <c r="BN1032" s="17" t="s">
        <v>138</v>
      </c>
      <c r="BO1032" s="15" t="s">
        <v>138</v>
      </c>
      <c r="BP1032" s="17" t="s">
        <v>138</v>
      </c>
      <c r="BQ1032" s="15" t="s">
        <v>138</v>
      </c>
      <c r="BR1032" s="15" t="s">
        <v>234</v>
      </c>
      <c r="BS1032" s="15" t="s">
        <v>234</v>
      </c>
      <c r="BT1032" s="15" t="s">
        <v>138</v>
      </c>
      <c r="BU1032" s="15" t="s">
        <v>174</v>
      </c>
      <c r="BV1032" s="15" t="s">
        <v>138</v>
      </c>
      <c r="BW1032" s="15" t="s">
        <v>138</v>
      </c>
      <c r="BX1032" s="15" t="s">
        <v>138</v>
      </c>
      <c r="BY1032" s="15" t="s">
        <v>175</v>
      </c>
      <c r="BZ1032" s="22">
        <v>43536</v>
      </c>
      <c r="CA1032" s="17">
        <v>50</v>
      </c>
      <c r="CB1032" s="15" t="s">
        <v>172</v>
      </c>
      <c r="CC1032" s="17" t="s">
        <v>138</v>
      </c>
      <c r="CD1032" s="15" t="s">
        <v>138</v>
      </c>
      <c r="CE1032" s="15" t="s">
        <v>205</v>
      </c>
      <c r="CF1032" s="15" t="s">
        <v>206</v>
      </c>
      <c r="CG1032" s="15" t="s">
        <v>138</v>
      </c>
      <c r="CH1032" s="15" t="s">
        <v>174</v>
      </c>
      <c r="CI1032" s="15" t="s">
        <v>138</v>
      </c>
      <c r="CJ1032" s="15" t="s">
        <v>138</v>
      </c>
      <c r="CK1032" s="15" t="s">
        <v>138</v>
      </c>
      <c r="CL1032" s="15" t="s">
        <v>175</v>
      </c>
      <c r="CM1032" s="22" t="s">
        <v>138</v>
      </c>
      <c r="CN1032" s="17" t="s">
        <v>138</v>
      </c>
      <c r="CO1032" s="23">
        <v>0</v>
      </c>
      <c r="CP1032" s="24">
        <v>26</v>
      </c>
      <c r="CQ1032" s="23">
        <v>0</v>
      </c>
      <c r="CR1032" s="23">
        <v>0</v>
      </c>
      <c r="CS1032" s="23">
        <v>0</v>
      </c>
      <c r="CT1032" s="24">
        <v>23</v>
      </c>
      <c r="CU1032" s="23" t="s">
        <v>138</v>
      </c>
      <c r="CV1032" s="24" t="s">
        <v>138</v>
      </c>
      <c r="CW1032" s="23">
        <v>0</v>
      </c>
      <c r="CX1032" s="24">
        <v>13</v>
      </c>
      <c r="CY1032" s="23">
        <v>0</v>
      </c>
      <c r="CZ1032" s="24">
        <v>25</v>
      </c>
      <c r="DA1032" s="23" t="s">
        <v>138</v>
      </c>
      <c r="DB1032" s="24" t="s">
        <v>138</v>
      </c>
      <c r="DC1032" s="25">
        <v>1.6</v>
      </c>
      <c r="DD1032" s="24">
        <v>62</v>
      </c>
      <c r="DE1032" s="25">
        <v>-0.1</v>
      </c>
      <c r="DF1032" s="23">
        <v>-5.87</v>
      </c>
      <c r="DG1032" s="25">
        <v>1.6</v>
      </c>
      <c r="DH1032" s="24">
        <v>62</v>
      </c>
      <c r="DI1032" s="25" t="s">
        <v>138</v>
      </c>
      <c r="DJ1032" s="24" t="s">
        <v>138</v>
      </c>
      <c r="DK1032" s="25">
        <v>1.83</v>
      </c>
      <c r="DL1032" s="24">
        <v>63</v>
      </c>
      <c r="DM1032" s="25">
        <v>1.38</v>
      </c>
      <c r="DN1032" s="24">
        <v>58</v>
      </c>
      <c r="DO1032" s="25" t="s">
        <v>138</v>
      </c>
      <c r="DP1032" s="24" t="s">
        <v>138</v>
      </c>
      <c r="DQ1032" s="24">
        <v>590</v>
      </c>
      <c r="DR1032" s="26">
        <v>108</v>
      </c>
      <c r="DS1032" s="23">
        <v>22.41</v>
      </c>
      <c r="DT1032" s="24">
        <v>39</v>
      </c>
      <c r="DU1032" s="26">
        <v>1</v>
      </c>
      <c r="DV1032" s="23">
        <v>2.63</v>
      </c>
      <c r="DW1032" s="24">
        <v>61</v>
      </c>
      <c r="DX1032" s="27">
        <v>1</v>
      </c>
      <c r="DY1032" s="23">
        <v>1.67</v>
      </c>
      <c r="DZ1032" s="15" t="s">
        <v>178</v>
      </c>
      <c r="EA1032" s="22">
        <v>43586</v>
      </c>
      <c r="EB1032" s="17" t="s">
        <v>138</v>
      </c>
      <c r="EC1032" s="22" t="s">
        <v>138</v>
      </c>
      <c r="ED1032" s="15" t="s">
        <v>138</v>
      </c>
      <c r="EE1032" s="14" t="str">
        <f>HYPERLINK("https://my.pitchbook.com?c=233868-25", "View company online")</f>
        <v>View company online</v>
      </c>
    </row>
    <row r="1033" spans="1:135">
      <c r="A1033" s="28" t="s">
        <v>20205</v>
      </c>
      <c r="B1033" s="28" t="s">
        <v>20206</v>
      </c>
      <c r="C1033" s="28" t="s">
        <v>138</v>
      </c>
      <c r="D1033" s="28" t="s">
        <v>138</v>
      </c>
      <c r="E1033" s="28" t="s">
        <v>138</v>
      </c>
      <c r="F1033" s="28" t="s">
        <v>20205</v>
      </c>
      <c r="G1033" s="28" t="s">
        <v>20207</v>
      </c>
      <c r="H1033" s="28" t="s">
        <v>322</v>
      </c>
      <c r="I1033" s="28" t="s">
        <v>323</v>
      </c>
      <c r="J1033" s="28" t="s">
        <v>1235</v>
      </c>
      <c r="K1033" s="28" t="s">
        <v>5304</v>
      </c>
      <c r="L1033" s="28" t="s">
        <v>415</v>
      </c>
      <c r="M1033" s="28" t="s">
        <v>20208</v>
      </c>
      <c r="N1033" s="28" t="s">
        <v>147</v>
      </c>
      <c r="O1033" s="29">
        <v>2.2999999999999998</v>
      </c>
      <c r="P1033" s="28" t="s">
        <v>148</v>
      </c>
      <c r="Q1033" s="28" t="s">
        <v>149</v>
      </c>
      <c r="R1033" s="28" t="s">
        <v>174</v>
      </c>
      <c r="S1033" s="28" t="s">
        <v>20209</v>
      </c>
      <c r="T1033" s="30" t="s">
        <v>138</v>
      </c>
      <c r="U1033" s="28" t="s">
        <v>138</v>
      </c>
      <c r="V1033" s="28" t="s">
        <v>138</v>
      </c>
      <c r="W1033" s="28" t="s">
        <v>138</v>
      </c>
      <c r="X1033" s="31">
        <v>2012</v>
      </c>
      <c r="Y1033" s="28" t="s">
        <v>138</v>
      </c>
      <c r="Z1033" s="28" t="s">
        <v>138</v>
      </c>
      <c r="AA1033" s="28" t="s">
        <v>138</v>
      </c>
      <c r="AB1033" s="32" t="s">
        <v>138</v>
      </c>
      <c r="AC1033" s="32" t="s">
        <v>138</v>
      </c>
      <c r="AD1033" s="32" t="s">
        <v>138</v>
      </c>
      <c r="AE1033" s="32" t="s">
        <v>138</v>
      </c>
      <c r="AF1033" s="32" t="s">
        <v>138</v>
      </c>
      <c r="AG1033" s="28" t="s">
        <v>138</v>
      </c>
      <c r="AH1033" s="32" t="s">
        <v>138</v>
      </c>
      <c r="AI1033" s="32" t="s">
        <v>138</v>
      </c>
      <c r="AJ1033" s="32" t="s">
        <v>138</v>
      </c>
      <c r="AK1033" s="28" t="s">
        <v>20210</v>
      </c>
      <c r="AL1033" s="28" t="s">
        <v>20211</v>
      </c>
      <c r="AM1033" s="28" t="s">
        <v>916</v>
      </c>
      <c r="AN1033" s="28" t="s">
        <v>20212</v>
      </c>
      <c r="AO1033" s="28" t="s">
        <v>138</v>
      </c>
      <c r="AP1033" s="28" t="s">
        <v>665</v>
      </c>
      <c r="AQ1033" s="28" t="s">
        <v>138</v>
      </c>
      <c r="AR1033" s="28" t="s">
        <v>138</v>
      </c>
      <c r="AS1033" s="28" t="s">
        <v>668</v>
      </c>
      <c r="AT1033" s="28" t="s">
        <v>200</v>
      </c>
      <c r="AU1033" s="28" t="s">
        <v>138</v>
      </c>
      <c r="AV1033" s="28" t="s">
        <v>162</v>
      </c>
      <c r="AW1033" s="28" t="s">
        <v>138</v>
      </c>
      <c r="AX1033" s="28" t="s">
        <v>138</v>
      </c>
      <c r="AY1033" s="28" t="s">
        <v>20213</v>
      </c>
      <c r="AZ1033" s="28" t="s">
        <v>164</v>
      </c>
      <c r="BA1033" s="28" t="s">
        <v>165</v>
      </c>
      <c r="BB1033" s="28" t="s">
        <v>20214</v>
      </c>
      <c r="BC1033" s="28" t="s">
        <v>20215</v>
      </c>
      <c r="BD1033" s="33">
        <v>9</v>
      </c>
      <c r="BE1033" s="28" t="s">
        <v>138</v>
      </c>
      <c r="BF1033" s="28" t="s">
        <v>138</v>
      </c>
      <c r="BG1033" s="28" t="s">
        <v>138</v>
      </c>
      <c r="BH1033" s="28" t="s">
        <v>20216</v>
      </c>
      <c r="BI1033" s="28" t="s">
        <v>138</v>
      </c>
      <c r="BJ1033" s="28" t="s">
        <v>138</v>
      </c>
      <c r="BK1033" s="28" t="s">
        <v>138</v>
      </c>
      <c r="BL1033" s="28" t="s">
        <v>1829</v>
      </c>
      <c r="BM1033" s="34">
        <v>41062</v>
      </c>
      <c r="BN1033" s="29">
        <v>0.32</v>
      </c>
      <c r="BO1033" s="28" t="s">
        <v>172</v>
      </c>
      <c r="BP1033" s="29" t="s">
        <v>138</v>
      </c>
      <c r="BQ1033" s="28" t="s">
        <v>138</v>
      </c>
      <c r="BR1033" s="28" t="s">
        <v>1830</v>
      </c>
      <c r="BS1033" s="28" t="s">
        <v>138</v>
      </c>
      <c r="BT1033" s="28" t="s">
        <v>138</v>
      </c>
      <c r="BU1033" s="28" t="s">
        <v>263</v>
      </c>
      <c r="BV1033" s="28" t="s">
        <v>138</v>
      </c>
      <c r="BW1033" s="28" t="s">
        <v>138</v>
      </c>
      <c r="BX1033" s="28" t="s">
        <v>138</v>
      </c>
      <c r="BY1033" s="28" t="s">
        <v>175</v>
      </c>
      <c r="BZ1033" s="34">
        <v>41914</v>
      </c>
      <c r="CA1033" s="29">
        <v>2.2999999999999998</v>
      </c>
      <c r="CB1033" s="28" t="s">
        <v>172</v>
      </c>
      <c r="CC1033" s="29">
        <v>12.3</v>
      </c>
      <c r="CD1033" s="28" t="s">
        <v>172</v>
      </c>
      <c r="CE1033" s="28" t="s">
        <v>234</v>
      </c>
      <c r="CF1033" s="28" t="s">
        <v>234</v>
      </c>
      <c r="CG1033" s="28" t="s">
        <v>138</v>
      </c>
      <c r="CH1033" s="28" t="s">
        <v>174</v>
      </c>
      <c r="CI1033" s="28" t="s">
        <v>138</v>
      </c>
      <c r="CJ1033" s="28" t="s">
        <v>138</v>
      </c>
      <c r="CK1033" s="28" t="s">
        <v>138</v>
      </c>
      <c r="CL1033" s="28" t="s">
        <v>175</v>
      </c>
      <c r="CM1033" s="34" t="s">
        <v>138</v>
      </c>
      <c r="CN1033" s="29" t="s">
        <v>138</v>
      </c>
      <c r="CO1033" s="35">
        <v>-0.42</v>
      </c>
      <c r="CP1033" s="36">
        <v>17</v>
      </c>
      <c r="CQ1033" s="35">
        <v>0.01</v>
      </c>
      <c r="CR1033" s="35">
        <v>1.21</v>
      </c>
      <c r="CS1033" s="35">
        <v>-0.84</v>
      </c>
      <c r="CT1033" s="36">
        <v>16</v>
      </c>
      <c r="CU1033" s="35">
        <v>0</v>
      </c>
      <c r="CV1033" s="36">
        <v>22</v>
      </c>
      <c r="CW1033" s="35">
        <v>-1.78</v>
      </c>
      <c r="CX1033" s="36">
        <v>8</v>
      </c>
      <c r="CY1033" s="35">
        <v>0.1</v>
      </c>
      <c r="CZ1033" s="36">
        <v>98</v>
      </c>
      <c r="DA1033" s="35">
        <v>0.03</v>
      </c>
      <c r="DB1033" s="36">
        <v>60</v>
      </c>
      <c r="DC1033" s="37">
        <v>13.46</v>
      </c>
      <c r="DD1033" s="36">
        <v>92</v>
      </c>
      <c r="DE1033" s="37">
        <v>-0.21</v>
      </c>
      <c r="DF1033" s="35">
        <v>-1.54</v>
      </c>
      <c r="DG1033" s="37">
        <v>24.88</v>
      </c>
      <c r="DH1033" s="36">
        <v>96</v>
      </c>
      <c r="DI1033" s="37">
        <v>2.0499999999999998</v>
      </c>
      <c r="DJ1033" s="36">
        <v>63</v>
      </c>
      <c r="DK1033" s="37">
        <v>9.1300000000000008</v>
      </c>
      <c r="DL1033" s="36">
        <v>86</v>
      </c>
      <c r="DM1033" s="37">
        <v>40.619999999999997</v>
      </c>
      <c r="DN1033" s="36">
        <v>97</v>
      </c>
      <c r="DO1033" s="37">
        <v>3.14</v>
      </c>
      <c r="DP1033" s="36">
        <v>72</v>
      </c>
      <c r="DQ1033" s="36">
        <v>3154</v>
      </c>
      <c r="DR1033" s="38">
        <v>-67</v>
      </c>
      <c r="DS1033" s="35">
        <v>-2.08</v>
      </c>
      <c r="DT1033" s="36">
        <v>1174</v>
      </c>
      <c r="DU1033" s="38">
        <v>10</v>
      </c>
      <c r="DV1033" s="35">
        <v>0.86</v>
      </c>
      <c r="DW1033" s="36">
        <v>1123</v>
      </c>
      <c r="DX1033" s="39">
        <v>0</v>
      </c>
      <c r="DY1033" s="35">
        <v>0</v>
      </c>
      <c r="DZ1033" s="28" t="s">
        <v>178</v>
      </c>
      <c r="EA1033" s="34">
        <v>43480</v>
      </c>
      <c r="EB1033" s="29">
        <v>12.3</v>
      </c>
      <c r="EC1033" s="34">
        <v>41914</v>
      </c>
      <c r="ED1033" s="28" t="s">
        <v>234</v>
      </c>
      <c r="EE1033" s="40" t="str">
        <f>HYPERLINK("https://my.pitchbook.com?c=61699-06", "View company online")</f>
        <v>View company online</v>
      </c>
    </row>
    <row r="1034" spans="1:135">
      <c r="A1034" s="15" t="s">
        <v>20217</v>
      </c>
      <c r="B1034" s="15" t="s">
        <v>20218</v>
      </c>
      <c r="C1034" s="15" t="s">
        <v>138</v>
      </c>
      <c r="D1034" s="15" t="s">
        <v>138</v>
      </c>
      <c r="E1034" s="15" t="s">
        <v>138</v>
      </c>
      <c r="F1034" s="15" t="s">
        <v>20217</v>
      </c>
      <c r="G1034" s="15" t="s">
        <v>20219</v>
      </c>
      <c r="H1034" s="15" t="s">
        <v>238</v>
      </c>
      <c r="I1034" s="15" t="s">
        <v>1018</v>
      </c>
      <c r="J1034" s="15" t="s">
        <v>4780</v>
      </c>
      <c r="K1034" s="15" t="s">
        <v>4781</v>
      </c>
      <c r="L1034" s="15" t="s">
        <v>1796</v>
      </c>
      <c r="M1034" s="15" t="s">
        <v>20220</v>
      </c>
      <c r="N1034" s="15" t="s">
        <v>147</v>
      </c>
      <c r="O1034" s="17">
        <v>3</v>
      </c>
      <c r="P1034" s="15" t="s">
        <v>148</v>
      </c>
      <c r="Q1034" s="15" t="s">
        <v>149</v>
      </c>
      <c r="R1034" s="15" t="s">
        <v>174</v>
      </c>
      <c r="S1034" s="15" t="s">
        <v>20221</v>
      </c>
      <c r="T1034" s="18">
        <v>24</v>
      </c>
      <c r="U1034" s="15" t="s">
        <v>20222</v>
      </c>
      <c r="V1034" s="15" t="s">
        <v>138</v>
      </c>
      <c r="W1034" s="15" t="s">
        <v>138</v>
      </c>
      <c r="X1034" s="19">
        <v>2010</v>
      </c>
      <c r="Y1034" s="15" t="s">
        <v>138</v>
      </c>
      <c r="Z1034" s="15" t="s">
        <v>138</v>
      </c>
      <c r="AA1034" s="15" t="s">
        <v>138</v>
      </c>
      <c r="AB1034" s="20" t="s">
        <v>138</v>
      </c>
      <c r="AC1034" s="20" t="s">
        <v>138</v>
      </c>
      <c r="AD1034" s="20" t="s">
        <v>138</v>
      </c>
      <c r="AE1034" s="20" t="s">
        <v>138</v>
      </c>
      <c r="AF1034" s="20" t="s">
        <v>138</v>
      </c>
      <c r="AG1034" s="15" t="s">
        <v>138</v>
      </c>
      <c r="AH1034" s="20" t="s">
        <v>138</v>
      </c>
      <c r="AI1034" s="20" t="s">
        <v>138</v>
      </c>
      <c r="AJ1034" s="20" t="s">
        <v>138</v>
      </c>
      <c r="AK1034" s="15" t="s">
        <v>20223</v>
      </c>
      <c r="AL1034" s="15" t="s">
        <v>20224</v>
      </c>
      <c r="AM1034" s="15" t="s">
        <v>20225</v>
      </c>
      <c r="AN1034" s="15" t="s">
        <v>20226</v>
      </c>
      <c r="AO1034" s="15" t="s">
        <v>138</v>
      </c>
      <c r="AP1034" s="15" t="s">
        <v>1195</v>
      </c>
      <c r="AQ1034" s="15" t="s">
        <v>20227</v>
      </c>
      <c r="AR1034" s="15" t="s">
        <v>20228</v>
      </c>
      <c r="AS1034" s="15" t="s">
        <v>1198</v>
      </c>
      <c r="AT1034" s="15" t="s">
        <v>138</v>
      </c>
      <c r="AU1034" s="15" t="s">
        <v>20229</v>
      </c>
      <c r="AV1034" s="15" t="s">
        <v>1200</v>
      </c>
      <c r="AW1034" s="15" t="s">
        <v>138</v>
      </c>
      <c r="AX1034" s="15" t="s">
        <v>138</v>
      </c>
      <c r="AY1034" s="15" t="s">
        <v>20230</v>
      </c>
      <c r="AZ1034" s="15" t="s">
        <v>452</v>
      </c>
      <c r="BA1034" s="15" t="s">
        <v>453</v>
      </c>
      <c r="BB1034" s="15" t="s">
        <v>20231</v>
      </c>
      <c r="BC1034" s="15" t="s">
        <v>20232</v>
      </c>
      <c r="BD1034" s="21">
        <v>9</v>
      </c>
      <c r="BE1034" s="15" t="s">
        <v>138</v>
      </c>
      <c r="BF1034" s="15" t="s">
        <v>138</v>
      </c>
      <c r="BG1034" s="15" t="s">
        <v>138</v>
      </c>
      <c r="BH1034" s="15" t="s">
        <v>20233</v>
      </c>
      <c r="BI1034" s="15" t="s">
        <v>138</v>
      </c>
      <c r="BJ1034" s="15" t="s">
        <v>138</v>
      </c>
      <c r="BK1034" s="15" t="s">
        <v>138</v>
      </c>
      <c r="BL1034" s="15" t="s">
        <v>138</v>
      </c>
      <c r="BM1034" s="22" t="s">
        <v>138</v>
      </c>
      <c r="BN1034" s="17" t="s">
        <v>138</v>
      </c>
      <c r="BO1034" s="15" t="s">
        <v>138</v>
      </c>
      <c r="BP1034" s="17" t="s">
        <v>138</v>
      </c>
      <c r="BQ1034" s="15" t="s">
        <v>138</v>
      </c>
      <c r="BR1034" s="15" t="s">
        <v>205</v>
      </c>
      <c r="BS1034" s="15" t="s">
        <v>138</v>
      </c>
      <c r="BT1034" s="15" t="s">
        <v>138</v>
      </c>
      <c r="BU1034" s="15" t="s">
        <v>174</v>
      </c>
      <c r="BV1034" s="15" t="s">
        <v>138</v>
      </c>
      <c r="BW1034" s="15" t="s">
        <v>138</v>
      </c>
      <c r="BX1034" s="15" t="s">
        <v>138</v>
      </c>
      <c r="BY1034" s="15" t="s">
        <v>175</v>
      </c>
      <c r="BZ1034" s="22" t="s">
        <v>138</v>
      </c>
      <c r="CA1034" s="17" t="s">
        <v>138</v>
      </c>
      <c r="CB1034" s="15" t="s">
        <v>138</v>
      </c>
      <c r="CC1034" s="17" t="s">
        <v>138</v>
      </c>
      <c r="CD1034" s="15" t="s">
        <v>138</v>
      </c>
      <c r="CE1034" s="15" t="s">
        <v>173</v>
      </c>
      <c r="CF1034" s="15" t="s">
        <v>138</v>
      </c>
      <c r="CG1034" s="15" t="s">
        <v>138</v>
      </c>
      <c r="CH1034" s="15" t="s">
        <v>174</v>
      </c>
      <c r="CI1034" s="15" t="s">
        <v>138</v>
      </c>
      <c r="CJ1034" s="15" t="s">
        <v>138</v>
      </c>
      <c r="CK1034" s="15" t="s">
        <v>138</v>
      </c>
      <c r="CL1034" s="15" t="s">
        <v>175</v>
      </c>
      <c r="CM1034" s="22" t="s">
        <v>138</v>
      </c>
      <c r="CN1034" s="17" t="s">
        <v>138</v>
      </c>
      <c r="CO1034" s="23">
        <v>7.0000000000000007E-2</v>
      </c>
      <c r="CP1034" s="24">
        <v>89</v>
      </c>
      <c r="CQ1034" s="23">
        <v>0</v>
      </c>
      <c r="CR1034" s="23">
        <v>4.2300000000000004</v>
      </c>
      <c r="CS1034" s="23" t="s">
        <v>138</v>
      </c>
      <c r="CT1034" s="24" t="s">
        <v>138</v>
      </c>
      <c r="CU1034" s="23">
        <v>7.0000000000000007E-2</v>
      </c>
      <c r="CV1034" s="24">
        <v>62</v>
      </c>
      <c r="CW1034" s="23" t="s">
        <v>138</v>
      </c>
      <c r="CX1034" s="24" t="s">
        <v>138</v>
      </c>
      <c r="CY1034" s="23" t="s">
        <v>138</v>
      </c>
      <c r="CZ1034" s="24" t="s">
        <v>138</v>
      </c>
      <c r="DA1034" s="23">
        <v>0.12</v>
      </c>
      <c r="DB1034" s="24">
        <v>75</v>
      </c>
      <c r="DC1034" s="25">
        <v>13.32</v>
      </c>
      <c r="DD1034" s="24">
        <v>92</v>
      </c>
      <c r="DE1034" s="25">
        <v>0.02</v>
      </c>
      <c r="DF1034" s="23">
        <v>0.17</v>
      </c>
      <c r="DG1034" s="25" t="s">
        <v>138</v>
      </c>
      <c r="DH1034" s="24" t="s">
        <v>138</v>
      </c>
      <c r="DI1034" s="25">
        <v>13.32</v>
      </c>
      <c r="DJ1034" s="24">
        <v>88</v>
      </c>
      <c r="DK1034" s="25" t="s">
        <v>138</v>
      </c>
      <c r="DL1034" s="24" t="s">
        <v>138</v>
      </c>
      <c r="DM1034" s="25" t="s">
        <v>138</v>
      </c>
      <c r="DN1034" s="24" t="s">
        <v>138</v>
      </c>
      <c r="DO1034" s="25">
        <v>11.28</v>
      </c>
      <c r="DP1034" s="24">
        <v>88</v>
      </c>
      <c r="DQ1034" s="24" t="s">
        <v>138</v>
      </c>
      <c r="DR1034" s="26" t="s">
        <v>138</v>
      </c>
      <c r="DS1034" s="23" t="s">
        <v>138</v>
      </c>
      <c r="DT1034" s="24" t="s">
        <v>138</v>
      </c>
      <c r="DU1034" s="26" t="s">
        <v>138</v>
      </c>
      <c r="DV1034" s="23" t="s">
        <v>138</v>
      </c>
      <c r="DW1034" s="24">
        <v>4038</v>
      </c>
      <c r="DX1034" s="27">
        <v>9</v>
      </c>
      <c r="DY1034" s="23">
        <v>0.22</v>
      </c>
      <c r="DZ1034" s="15" t="s">
        <v>178</v>
      </c>
      <c r="EA1034" s="22">
        <v>43622</v>
      </c>
      <c r="EB1034" s="17" t="s">
        <v>138</v>
      </c>
      <c r="EC1034" s="22" t="s">
        <v>138</v>
      </c>
      <c r="ED1034" s="15" t="s">
        <v>138</v>
      </c>
      <c r="EE1034" s="14" t="str">
        <f>HYPERLINK("https://my.pitchbook.com?c=65647-18", "View company online")</f>
        <v>View company online</v>
      </c>
    </row>
    <row r="1035" spans="1:135">
      <c r="A1035" s="28" t="s">
        <v>20234</v>
      </c>
      <c r="B1035" s="28" t="s">
        <v>20235</v>
      </c>
      <c r="C1035" s="28" t="s">
        <v>138</v>
      </c>
      <c r="D1035" s="28" t="s">
        <v>138</v>
      </c>
      <c r="E1035" s="28" t="s">
        <v>138</v>
      </c>
      <c r="F1035" s="28" t="s">
        <v>20234</v>
      </c>
      <c r="G1035" s="28" t="s">
        <v>20236</v>
      </c>
      <c r="H1035" s="28" t="s">
        <v>238</v>
      </c>
      <c r="I1035" s="28" t="s">
        <v>997</v>
      </c>
      <c r="J1035" s="28" t="s">
        <v>20237</v>
      </c>
      <c r="K1035" s="28" t="s">
        <v>20238</v>
      </c>
      <c r="L1035" s="28" t="s">
        <v>1884</v>
      </c>
      <c r="M1035" s="28" t="s">
        <v>20239</v>
      </c>
      <c r="N1035" s="28" t="s">
        <v>147</v>
      </c>
      <c r="O1035" s="29">
        <v>70</v>
      </c>
      <c r="P1035" s="28" t="s">
        <v>148</v>
      </c>
      <c r="Q1035" s="28" t="s">
        <v>149</v>
      </c>
      <c r="R1035" s="28" t="s">
        <v>174</v>
      </c>
      <c r="S1035" s="28" t="s">
        <v>20240</v>
      </c>
      <c r="T1035" s="30" t="s">
        <v>138</v>
      </c>
      <c r="U1035" s="28" t="s">
        <v>138</v>
      </c>
      <c r="V1035" s="28" t="s">
        <v>138</v>
      </c>
      <c r="W1035" s="28" t="s">
        <v>138</v>
      </c>
      <c r="X1035" s="31">
        <v>2017</v>
      </c>
      <c r="Y1035" s="28" t="s">
        <v>138</v>
      </c>
      <c r="Z1035" s="28" t="s">
        <v>138</v>
      </c>
      <c r="AA1035" s="28" t="s">
        <v>138</v>
      </c>
      <c r="AB1035" s="32" t="s">
        <v>138</v>
      </c>
      <c r="AC1035" s="32" t="s">
        <v>138</v>
      </c>
      <c r="AD1035" s="32" t="s">
        <v>138</v>
      </c>
      <c r="AE1035" s="32" t="s">
        <v>138</v>
      </c>
      <c r="AF1035" s="32" t="s">
        <v>138</v>
      </c>
      <c r="AG1035" s="28" t="s">
        <v>138</v>
      </c>
      <c r="AH1035" s="32" t="s">
        <v>138</v>
      </c>
      <c r="AI1035" s="32" t="s">
        <v>138</v>
      </c>
      <c r="AJ1035" s="32" t="s">
        <v>138</v>
      </c>
      <c r="AK1035" s="28" t="s">
        <v>20241</v>
      </c>
      <c r="AL1035" s="28" t="s">
        <v>20242</v>
      </c>
      <c r="AM1035" s="28" t="s">
        <v>221</v>
      </c>
      <c r="AN1035" s="28" t="s">
        <v>20243</v>
      </c>
      <c r="AO1035" s="28" t="s">
        <v>138</v>
      </c>
      <c r="AP1035" s="28" t="s">
        <v>423</v>
      </c>
      <c r="AQ1035" s="28" t="s">
        <v>20244</v>
      </c>
      <c r="AR1035" s="28" t="s">
        <v>9961</v>
      </c>
      <c r="AS1035" s="28" t="s">
        <v>426</v>
      </c>
      <c r="AT1035" s="28" t="s">
        <v>426</v>
      </c>
      <c r="AU1035" s="28" t="s">
        <v>427</v>
      </c>
      <c r="AV1035" s="28" t="s">
        <v>162</v>
      </c>
      <c r="AW1035" s="28" t="s">
        <v>138</v>
      </c>
      <c r="AX1035" s="28" t="s">
        <v>138</v>
      </c>
      <c r="AY1035" s="28" t="s">
        <v>20245</v>
      </c>
      <c r="AZ1035" s="28" t="s">
        <v>164</v>
      </c>
      <c r="BA1035" s="28" t="s">
        <v>165</v>
      </c>
      <c r="BB1035" s="28" t="s">
        <v>20246</v>
      </c>
      <c r="BC1035" s="28" t="s">
        <v>20247</v>
      </c>
      <c r="BD1035" s="33">
        <v>4</v>
      </c>
      <c r="BE1035" s="28" t="s">
        <v>138</v>
      </c>
      <c r="BF1035" s="28" t="s">
        <v>138</v>
      </c>
      <c r="BG1035" s="28" t="s">
        <v>138</v>
      </c>
      <c r="BH1035" s="28" t="s">
        <v>20248</v>
      </c>
      <c r="BI1035" s="28" t="s">
        <v>138</v>
      </c>
      <c r="BJ1035" s="28" t="s">
        <v>138</v>
      </c>
      <c r="BK1035" s="28" t="s">
        <v>138</v>
      </c>
      <c r="BL1035" s="28" t="s">
        <v>20249</v>
      </c>
      <c r="BM1035" s="34">
        <v>42979</v>
      </c>
      <c r="BN1035" s="29">
        <v>2.2999999999999998</v>
      </c>
      <c r="BO1035" s="28" t="s">
        <v>1178</v>
      </c>
      <c r="BP1035" s="29">
        <v>6.8</v>
      </c>
      <c r="BQ1035" s="28" t="s">
        <v>172</v>
      </c>
      <c r="BR1035" s="28" t="s">
        <v>234</v>
      </c>
      <c r="BS1035" s="28" t="s">
        <v>234</v>
      </c>
      <c r="BT1035" s="28" t="s">
        <v>138</v>
      </c>
      <c r="BU1035" s="28" t="s">
        <v>174</v>
      </c>
      <c r="BV1035" s="28" t="s">
        <v>138</v>
      </c>
      <c r="BW1035" s="28" t="s">
        <v>138</v>
      </c>
      <c r="BX1035" s="28" t="s">
        <v>138</v>
      </c>
      <c r="BY1035" s="28" t="s">
        <v>175</v>
      </c>
      <c r="BZ1035" s="34" t="s">
        <v>138</v>
      </c>
      <c r="CA1035" s="29">
        <v>30.5</v>
      </c>
      <c r="CB1035" s="28" t="s">
        <v>1178</v>
      </c>
      <c r="CC1035" s="29" t="s">
        <v>138</v>
      </c>
      <c r="CD1035" s="28" t="s">
        <v>138</v>
      </c>
      <c r="CE1035" s="28" t="s">
        <v>205</v>
      </c>
      <c r="CF1035" s="28" t="s">
        <v>138</v>
      </c>
      <c r="CG1035" s="28" t="s">
        <v>138</v>
      </c>
      <c r="CH1035" s="28" t="s">
        <v>174</v>
      </c>
      <c r="CI1035" s="28" t="s">
        <v>138</v>
      </c>
      <c r="CJ1035" s="28" t="s">
        <v>138</v>
      </c>
      <c r="CK1035" s="28" t="s">
        <v>138</v>
      </c>
      <c r="CL1035" s="28" t="s">
        <v>175</v>
      </c>
      <c r="CM1035" s="34">
        <v>43132</v>
      </c>
      <c r="CN1035" s="29">
        <v>30</v>
      </c>
      <c r="CO1035" s="35">
        <v>2.29</v>
      </c>
      <c r="CP1035" s="36">
        <v>99</v>
      </c>
      <c r="CQ1035" s="35">
        <v>0</v>
      </c>
      <c r="CR1035" s="35">
        <v>0</v>
      </c>
      <c r="CS1035" s="35">
        <v>2.29</v>
      </c>
      <c r="CT1035" s="36">
        <v>99</v>
      </c>
      <c r="CU1035" s="35" t="s">
        <v>138</v>
      </c>
      <c r="CV1035" s="36" t="s">
        <v>138</v>
      </c>
      <c r="CW1035" s="35">
        <v>2.29</v>
      </c>
      <c r="CX1035" s="36">
        <v>89</v>
      </c>
      <c r="CY1035" s="35" t="s">
        <v>138</v>
      </c>
      <c r="CZ1035" s="36" t="s">
        <v>138</v>
      </c>
      <c r="DA1035" s="35" t="s">
        <v>138</v>
      </c>
      <c r="DB1035" s="36" t="s">
        <v>138</v>
      </c>
      <c r="DC1035" s="37">
        <v>8.67</v>
      </c>
      <c r="DD1035" s="36">
        <v>89</v>
      </c>
      <c r="DE1035" s="37">
        <v>-1.1100000000000001</v>
      </c>
      <c r="DF1035" s="35">
        <v>-11.37</v>
      </c>
      <c r="DG1035" s="37">
        <v>8.67</v>
      </c>
      <c r="DH1035" s="36">
        <v>88</v>
      </c>
      <c r="DI1035" s="37" t="s">
        <v>138</v>
      </c>
      <c r="DJ1035" s="36" t="s">
        <v>138</v>
      </c>
      <c r="DK1035" s="37">
        <v>8.67</v>
      </c>
      <c r="DL1035" s="36">
        <v>85</v>
      </c>
      <c r="DM1035" s="37" t="s">
        <v>138</v>
      </c>
      <c r="DN1035" s="36" t="s">
        <v>138</v>
      </c>
      <c r="DO1035" s="37" t="s">
        <v>138</v>
      </c>
      <c r="DP1035" s="36" t="s">
        <v>138</v>
      </c>
      <c r="DQ1035" s="36">
        <v>2944</v>
      </c>
      <c r="DR1035" s="38">
        <v>85</v>
      </c>
      <c r="DS1035" s="35">
        <v>2.97</v>
      </c>
      <c r="DT1035" s="36" t="s">
        <v>138</v>
      </c>
      <c r="DU1035" s="38" t="s">
        <v>138</v>
      </c>
      <c r="DV1035" s="35" t="s">
        <v>138</v>
      </c>
      <c r="DW1035" s="36" t="s">
        <v>138</v>
      </c>
      <c r="DX1035" s="39" t="s">
        <v>138</v>
      </c>
      <c r="DY1035" s="35" t="s">
        <v>138</v>
      </c>
      <c r="DZ1035" s="28" t="s">
        <v>178</v>
      </c>
      <c r="EA1035" s="34">
        <v>43437</v>
      </c>
      <c r="EB1035" s="29">
        <v>30</v>
      </c>
      <c r="EC1035" s="34">
        <v>43132</v>
      </c>
      <c r="ED1035" s="28" t="s">
        <v>205</v>
      </c>
      <c r="EE1035" s="40" t="str">
        <f>HYPERLINK("https://my.pitchbook.com?c=228505-15", "View company online")</f>
        <v>View company online</v>
      </c>
    </row>
    <row r="1036" spans="1:135">
      <c r="A1036" s="15" t="s">
        <v>20250</v>
      </c>
      <c r="B1036" s="15" t="s">
        <v>20251</v>
      </c>
      <c r="C1036" s="15" t="s">
        <v>138</v>
      </c>
      <c r="D1036" s="15" t="s">
        <v>20252</v>
      </c>
      <c r="E1036" s="15" t="s">
        <v>20253</v>
      </c>
      <c r="F1036" s="15" t="s">
        <v>20250</v>
      </c>
      <c r="G1036" s="15" t="s">
        <v>20254</v>
      </c>
      <c r="H1036" s="15" t="s">
        <v>385</v>
      </c>
      <c r="I1036" s="15" t="s">
        <v>1991</v>
      </c>
      <c r="J1036" s="15" t="s">
        <v>20255</v>
      </c>
      <c r="K1036" s="15" t="s">
        <v>20256</v>
      </c>
      <c r="L1036" s="15" t="s">
        <v>1994</v>
      </c>
      <c r="M1036" s="15" t="s">
        <v>20257</v>
      </c>
      <c r="N1036" s="15" t="s">
        <v>147</v>
      </c>
      <c r="O1036" s="17">
        <v>27.41</v>
      </c>
      <c r="P1036" s="15" t="s">
        <v>148</v>
      </c>
      <c r="Q1036" s="15" t="s">
        <v>149</v>
      </c>
      <c r="R1036" s="15" t="s">
        <v>174</v>
      </c>
      <c r="S1036" s="15" t="s">
        <v>20258</v>
      </c>
      <c r="T1036" s="18">
        <v>10</v>
      </c>
      <c r="U1036" s="15" t="s">
        <v>6343</v>
      </c>
      <c r="V1036" s="15" t="s">
        <v>138</v>
      </c>
      <c r="W1036" s="15" t="s">
        <v>138</v>
      </c>
      <c r="X1036" s="19">
        <v>2016</v>
      </c>
      <c r="Y1036" s="15" t="s">
        <v>138</v>
      </c>
      <c r="Z1036" s="15" t="s">
        <v>6771</v>
      </c>
      <c r="AA1036" s="15" t="s">
        <v>20259</v>
      </c>
      <c r="AB1036" s="20" t="s">
        <v>138</v>
      </c>
      <c r="AC1036" s="20" t="s">
        <v>138</v>
      </c>
      <c r="AD1036" s="20" t="s">
        <v>138</v>
      </c>
      <c r="AE1036" s="20" t="s">
        <v>138</v>
      </c>
      <c r="AF1036" s="20" t="s">
        <v>138</v>
      </c>
      <c r="AG1036" s="15" t="s">
        <v>138</v>
      </c>
      <c r="AH1036" s="20" t="s">
        <v>138</v>
      </c>
      <c r="AI1036" s="20" t="s">
        <v>138</v>
      </c>
      <c r="AJ1036" s="20" t="s">
        <v>138</v>
      </c>
      <c r="AK1036" s="15" t="s">
        <v>20260</v>
      </c>
      <c r="AL1036" s="15" t="s">
        <v>20261</v>
      </c>
      <c r="AM1036" s="15" t="s">
        <v>5401</v>
      </c>
      <c r="AN1036" s="15" t="s">
        <v>20262</v>
      </c>
      <c r="AO1036" s="15" t="s">
        <v>20263</v>
      </c>
      <c r="AP1036" s="15" t="s">
        <v>1514</v>
      </c>
      <c r="AQ1036" s="15" t="s">
        <v>20264</v>
      </c>
      <c r="AR1036" s="15" t="s">
        <v>1170</v>
      </c>
      <c r="AS1036" s="15" t="s">
        <v>1516</v>
      </c>
      <c r="AT1036" s="15" t="s">
        <v>284</v>
      </c>
      <c r="AU1036" s="15" t="s">
        <v>14269</v>
      </c>
      <c r="AV1036" s="15" t="s">
        <v>162</v>
      </c>
      <c r="AW1036" s="15" t="s">
        <v>20263</v>
      </c>
      <c r="AX1036" s="15" t="s">
        <v>138</v>
      </c>
      <c r="AY1036" s="15" t="s">
        <v>20265</v>
      </c>
      <c r="AZ1036" s="15" t="s">
        <v>164</v>
      </c>
      <c r="BA1036" s="15" t="s">
        <v>165</v>
      </c>
      <c r="BB1036" s="15" t="s">
        <v>20266</v>
      </c>
      <c r="BC1036" s="15" t="s">
        <v>20267</v>
      </c>
      <c r="BD1036" s="21">
        <v>9</v>
      </c>
      <c r="BE1036" s="15" t="s">
        <v>138</v>
      </c>
      <c r="BF1036" s="15" t="s">
        <v>138</v>
      </c>
      <c r="BG1036" s="15" t="s">
        <v>138</v>
      </c>
      <c r="BH1036" s="15" t="s">
        <v>20268</v>
      </c>
      <c r="BI1036" s="15" t="s">
        <v>138</v>
      </c>
      <c r="BJ1036" s="15" t="s">
        <v>138</v>
      </c>
      <c r="BK1036" s="15" t="s">
        <v>138</v>
      </c>
      <c r="BL1036" s="15" t="s">
        <v>138</v>
      </c>
      <c r="BM1036" s="22">
        <v>42761</v>
      </c>
      <c r="BN1036" s="17">
        <v>0.12</v>
      </c>
      <c r="BO1036" s="15" t="s">
        <v>172</v>
      </c>
      <c r="BP1036" s="17">
        <v>0.33</v>
      </c>
      <c r="BQ1036" s="15" t="s">
        <v>172</v>
      </c>
      <c r="BR1036" s="15" t="s">
        <v>316</v>
      </c>
      <c r="BS1036" s="15" t="s">
        <v>138</v>
      </c>
      <c r="BT1036" s="15" t="s">
        <v>138</v>
      </c>
      <c r="BU1036" s="15" t="s">
        <v>177</v>
      </c>
      <c r="BV1036" s="15" t="s">
        <v>264</v>
      </c>
      <c r="BW1036" s="15" t="s">
        <v>138</v>
      </c>
      <c r="BX1036" s="15" t="s">
        <v>138</v>
      </c>
      <c r="BY1036" s="15" t="s">
        <v>175</v>
      </c>
      <c r="BZ1036" s="22">
        <v>43619</v>
      </c>
      <c r="CA1036" s="17">
        <v>20.5</v>
      </c>
      <c r="CB1036" s="15" t="s">
        <v>172</v>
      </c>
      <c r="CC1036" s="17">
        <v>125.5</v>
      </c>
      <c r="CD1036" s="15" t="s">
        <v>172</v>
      </c>
      <c r="CE1036" s="15" t="s">
        <v>205</v>
      </c>
      <c r="CF1036" s="15" t="s">
        <v>720</v>
      </c>
      <c r="CG1036" s="15" t="s">
        <v>138</v>
      </c>
      <c r="CH1036" s="15" t="s">
        <v>174</v>
      </c>
      <c r="CI1036" s="15" t="s">
        <v>138</v>
      </c>
      <c r="CJ1036" s="15" t="s">
        <v>138</v>
      </c>
      <c r="CK1036" s="15" t="s">
        <v>138</v>
      </c>
      <c r="CL1036" s="15" t="s">
        <v>175</v>
      </c>
      <c r="CM1036" s="22" t="s">
        <v>138</v>
      </c>
      <c r="CN1036" s="17" t="s">
        <v>138</v>
      </c>
      <c r="CO1036" s="23">
        <v>1.04</v>
      </c>
      <c r="CP1036" s="24">
        <v>97</v>
      </c>
      <c r="CQ1036" s="23">
        <v>-0.05</v>
      </c>
      <c r="CR1036" s="23">
        <v>-4.68</v>
      </c>
      <c r="CS1036" s="23">
        <v>0.06</v>
      </c>
      <c r="CT1036" s="24">
        <v>94</v>
      </c>
      <c r="CU1036" s="23">
        <v>2.0299999999999998</v>
      </c>
      <c r="CV1036" s="24">
        <v>100</v>
      </c>
      <c r="CW1036" s="23">
        <v>0.12</v>
      </c>
      <c r="CX1036" s="24">
        <v>81</v>
      </c>
      <c r="CY1036" s="23">
        <v>0</v>
      </c>
      <c r="CZ1036" s="24">
        <v>25</v>
      </c>
      <c r="DA1036" s="23">
        <v>2.0299999999999998</v>
      </c>
      <c r="DB1036" s="24">
        <v>100</v>
      </c>
      <c r="DC1036" s="25">
        <v>1.39</v>
      </c>
      <c r="DD1036" s="24">
        <v>59</v>
      </c>
      <c r="DE1036" s="25">
        <v>-0.09</v>
      </c>
      <c r="DF1036" s="23">
        <v>-6.09</v>
      </c>
      <c r="DG1036" s="25">
        <v>1.86</v>
      </c>
      <c r="DH1036" s="24">
        <v>65</v>
      </c>
      <c r="DI1036" s="25">
        <v>0.93</v>
      </c>
      <c r="DJ1036" s="24">
        <v>48</v>
      </c>
      <c r="DK1036" s="25">
        <v>3.02</v>
      </c>
      <c r="DL1036" s="24">
        <v>72</v>
      </c>
      <c r="DM1036" s="25">
        <v>0.69</v>
      </c>
      <c r="DN1036" s="24">
        <v>41</v>
      </c>
      <c r="DO1036" s="25">
        <v>0.93</v>
      </c>
      <c r="DP1036" s="24">
        <v>49</v>
      </c>
      <c r="DQ1036" s="24">
        <v>983</v>
      </c>
      <c r="DR1036" s="26">
        <v>161</v>
      </c>
      <c r="DS1036" s="23">
        <v>19.59</v>
      </c>
      <c r="DT1036" s="24">
        <v>20</v>
      </c>
      <c r="DU1036" s="26">
        <v>0</v>
      </c>
      <c r="DV1036" s="23">
        <v>0</v>
      </c>
      <c r="DW1036" s="24">
        <v>331</v>
      </c>
      <c r="DX1036" s="27">
        <v>8</v>
      </c>
      <c r="DY1036" s="23">
        <v>2.48</v>
      </c>
      <c r="DZ1036" s="15" t="s">
        <v>178</v>
      </c>
      <c r="EA1036" s="22">
        <v>43622</v>
      </c>
      <c r="EB1036" s="17">
        <v>125.5</v>
      </c>
      <c r="EC1036" s="22">
        <v>43619</v>
      </c>
      <c r="ED1036" s="15" t="s">
        <v>205</v>
      </c>
      <c r="EE1036" s="14" t="str">
        <f>HYPERLINK("https://my.pitchbook.com?c=169931-17", "View company online")</f>
        <v>View company online</v>
      </c>
    </row>
    <row r="1037" spans="1:135">
      <c r="A1037" s="28" t="s">
        <v>20269</v>
      </c>
      <c r="B1037" s="28" t="s">
        <v>20270</v>
      </c>
      <c r="C1037" s="28" t="s">
        <v>138</v>
      </c>
      <c r="D1037" s="28" t="s">
        <v>138</v>
      </c>
      <c r="E1037" s="28" t="s">
        <v>20271</v>
      </c>
      <c r="F1037" s="28" t="s">
        <v>20269</v>
      </c>
      <c r="G1037" s="28" t="s">
        <v>20272</v>
      </c>
      <c r="H1037" s="28" t="s">
        <v>322</v>
      </c>
      <c r="I1037" s="28" t="s">
        <v>323</v>
      </c>
      <c r="J1037" s="28" t="s">
        <v>324</v>
      </c>
      <c r="K1037" s="28" t="s">
        <v>2464</v>
      </c>
      <c r="L1037" s="28" t="s">
        <v>415</v>
      </c>
      <c r="M1037" s="28" t="s">
        <v>20273</v>
      </c>
      <c r="N1037" s="28" t="s">
        <v>1452</v>
      </c>
      <c r="O1037" s="29">
        <v>9.51</v>
      </c>
      <c r="P1037" s="28" t="s">
        <v>812</v>
      </c>
      <c r="Q1037" s="28" t="s">
        <v>149</v>
      </c>
      <c r="R1037" s="28" t="s">
        <v>328</v>
      </c>
      <c r="S1037" s="28" t="s">
        <v>20274</v>
      </c>
      <c r="T1037" s="30">
        <v>54</v>
      </c>
      <c r="U1037" s="28" t="s">
        <v>20275</v>
      </c>
      <c r="V1037" s="28" t="s">
        <v>138</v>
      </c>
      <c r="W1037" s="28" t="s">
        <v>138</v>
      </c>
      <c r="X1037" s="31">
        <v>2012</v>
      </c>
      <c r="Y1037" s="28" t="s">
        <v>138</v>
      </c>
      <c r="Z1037" s="28" t="s">
        <v>138</v>
      </c>
      <c r="AA1037" s="28" t="s">
        <v>138</v>
      </c>
      <c r="AB1037" s="32">
        <v>2.12</v>
      </c>
      <c r="AC1037" s="32" t="s">
        <v>138</v>
      </c>
      <c r="AD1037" s="32" t="s">
        <v>138</v>
      </c>
      <c r="AE1037" s="32" t="s">
        <v>138</v>
      </c>
      <c r="AF1037" s="32" t="s">
        <v>138</v>
      </c>
      <c r="AG1037" s="28" t="s">
        <v>514</v>
      </c>
      <c r="AH1037" s="32" t="s">
        <v>138</v>
      </c>
      <c r="AI1037" s="32" t="s">
        <v>138</v>
      </c>
      <c r="AJ1037" s="32" t="s">
        <v>138</v>
      </c>
      <c r="AK1037" s="28" t="s">
        <v>20276</v>
      </c>
      <c r="AL1037" s="28" t="s">
        <v>20277</v>
      </c>
      <c r="AM1037" s="28" t="s">
        <v>20278</v>
      </c>
      <c r="AN1037" s="28" t="s">
        <v>20279</v>
      </c>
      <c r="AO1037" s="28" t="s">
        <v>20280</v>
      </c>
      <c r="AP1037" s="28" t="s">
        <v>19652</v>
      </c>
      <c r="AQ1037" s="28" t="s">
        <v>20281</v>
      </c>
      <c r="AR1037" s="28" t="s">
        <v>3084</v>
      </c>
      <c r="AS1037" s="28" t="s">
        <v>19655</v>
      </c>
      <c r="AT1037" s="28" t="s">
        <v>1389</v>
      </c>
      <c r="AU1037" s="28" t="s">
        <v>20282</v>
      </c>
      <c r="AV1037" s="28" t="s">
        <v>162</v>
      </c>
      <c r="AW1037" s="28" t="s">
        <v>20280</v>
      </c>
      <c r="AX1037" s="28" t="s">
        <v>138</v>
      </c>
      <c r="AY1037" s="28" t="s">
        <v>138</v>
      </c>
      <c r="AZ1037" s="28" t="s">
        <v>164</v>
      </c>
      <c r="BA1037" s="28" t="s">
        <v>165</v>
      </c>
      <c r="BB1037" s="28" t="s">
        <v>20283</v>
      </c>
      <c r="BC1037" s="28" t="s">
        <v>20284</v>
      </c>
      <c r="BD1037" s="33">
        <v>17</v>
      </c>
      <c r="BE1037" s="28" t="s">
        <v>138</v>
      </c>
      <c r="BF1037" s="28" t="s">
        <v>20285</v>
      </c>
      <c r="BG1037" s="28" t="s">
        <v>138</v>
      </c>
      <c r="BH1037" s="28" t="s">
        <v>20286</v>
      </c>
      <c r="BI1037" s="28" t="s">
        <v>20287</v>
      </c>
      <c r="BJ1037" s="28" t="s">
        <v>138</v>
      </c>
      <c r="BK1037" s="28" t="s">
        <v>13766</v>
      </c>
      <c r="BL1037" s="28" t="s">
        <v>138</v>
      </c>
      <c r="BM1037" s="34">
        <v>41369</v>
      </c>
      <c r="BN1037" s="29">
        <v>1.5</v>
      </c>
      <c r="BO1037" s="28" t="s">
        <v>172</v>
      </c>
      <c r="BP1037" s="29">
        <v>2.85</v>
      </c>
      <c r="BQ1037" s="28" t="s">
        <v>172</v>
      </c>
      <c r="BR1037" s="28" t="s">
        <v>234</v>
      </c>
      <c r="BS1037" s="28" t="s">
        <v>234</v>
      </c>
      <c r="BT1037" s="28" t="s">
        <v>138</v>
      </c>
      <c r="BU1037" s="28" t="s">
        <v>174</v>
      </c>
      <c r="BV1037" s="28" t="s">
        <v>138</v>
      </c>
      <c r="BW1037" s="28" t="s">
        <v>138</v>
      </c>
      <c r="BX1037" s="28" t="s">
        <v>138</v>
      </c>
      <c r="BY1037" s="28" t="s">
        <v>175</v>
      </c>
      <c r="BZ1037" s="34">
        <v>42604</v>
      </c>
      <c r="CA1037" s="29" t="s">
        <v>138</v>
      </c>
      <c r="CB1037" s="28" t="s">
        <v>138</v>
      </c>
      <c r="CC1037" s="29" t="s">
        <v>138</v>
      </c>
      <c r="CD1037" s="28" t="s">
        <v>138</v>
      </c>
      <c r="CE1037" s="28" t="s">
        <v>1673</v>
      </c>
      <c r="CF1037" s="28" t="s">
        <v>138</v>
      </c>
      <c r="CG1037" s="28" t="s">
        <v>138</v>
      </c>
      <c r="CH1037" s="28" t="s">
        <v>351</v>
      </c>
      <c r="CI1037" s="28" t="s">
        <v>138</v>
      </c>
      <c r="CJ1037" s="28" t="s">
        <v>138</v>
      </c>
      <c r="CK1037" s="28" t="s">
        <v>138</v>
      </c>
      <c r="CL1037" s="28" t="s">
        <v>175</v>
      </c>
      <c r="CM1037" s="34" t="s">
        <v>138</v>
      </c>
      <c r="CN1037" s="29" t="s">
        <v>138</v>
      </c>
      <c r="CO1037" s="35">
        <v>0</v>
      </c>
      <c r="CP1037" s="36">
        <v>26</v>
      </c>
      <c r="CQ1037" s="35">
        <v>0.01</v>
      </c>
      <c r="CR1037" s="35">
        <v>189.13</v>
      </c>
      <c r="CS1037" s="35">
        <v>0.02</v>
      </c>
      <c r="CT1037" s="36">
        <v>93</v>
      </c>
      <c r="CU1037" s="35">
        <v>-0.01</v>
      </c>
      <c r="CV1037" s="36">
        <v>20</v>
      </c>
      <c r="CW1037" s="35">
        <v>0.04</v>
      </c>
      <c r="CX1037" s="36">
        <v>80</v>
      </c>
      <c r="CY1037" s="35">
        <v>0</v>
      </c>
      <c r="CZ1037" s="36">
        <v>25</v>
      </c>
      <c r="DA1037" s="35">
        <v>-0.01</v>
      </c>
      <c r="DB1037" s="36">
        <v>21</v>
      </c>
      <c r="DC1037" s="37">
        <v>9.5500000000000007</v>
      </c>
      <c r="DD1037" s="36">
        <v>90</v>
      </c>
      <c r="DE1037" s="37">
        <v>-0.3</v>
      </c>
      <c r="DF1037" s="35">
        <v>-3.01</v>
      </c>
      <c r="DG1037" s="37">
        <v>5.97</v>
      </c>
      <c r="DH1037" s="36">
        <v>84</v>
      </c>
      <c r="DI1037" s="37">
        <v>13.14</v>
      </c>
      <c r="DJ1037" s="36">
        <v>88</v>
      </c>
      <c r="DK1037" s="37">
        <v>10.210000000000001</v>
      </c>
      <c r="DL1037" s="36">
        <v>87</v>
      </c>
      <c r="DM1037" s="37">
        <v>1.72</v>
      </c>
      <c r="DN1037" s="36">
        <v>62</v>
      </c>
      <c r="DO1037" s="37">
        <v>13.14</v>
      </c>
      <c r="DP1037" s="36">
        <v>90</v>
      </c>
      <c r="DQ1037" s="36">
        <v>3464</v>
      </c>
      <c r="DR1037" s="38">
        <v>116</v>
      </c>
      <c r="DS1037" s="35">
        <v>3.46</v>
      </c>
      <c r="DT1037" s="36">
        <v>50</v>
      </c>
      <c r="DU1037" s="38">
        <v>-2</v>
      </c>
      <c r="DV1037" s="35">
        <v>-3.85</v>
      </c>
      <c r="DW1037" s="36">
        <v>4703</v>
      </c>
      <c r="DX1037" s="39">
        <v>2</v>
      </c>
      <c r="DY1037" s="35">
        <v>0.04</v>
      </c>
      <c r="DZ1037" s="28" t="s">
        <v>178</v>
      </c>
      <c r="EA1037" s="34">
        <v>43601</v>
      </c>
      <c r="EB1037" s="29">
        <v>9.3000000000000007</v>
      </c>
      <c r="EC1037" s="34">
        <v>42172</v>
      </c>
      <c r="ED1037" s="28" t="s">
        <v>205</v>
      </c>
      <c r="EE1037" s="40" t="str">
        <f>HYPERLINK("https://my.pitchbook.com?c=55499-68", "View company online")</f>
        <v>View company online</v>
      </c>
    </row>
    <row r="1038" spans="1:135">
      <c r="A1038" s="15" t="s">
        <v>20288</v>
      </c>
      <c r="B1038" s="15" t="s">
        <v>20289</v>
      </c>
      <c r="C1038" s="15" t="s">
        <v>138</v>
      </c>
      <c r="D1038" s="15" t="s">
        <v>20290</v>
      </c>
      <c r="E1038" s="15" t="s">
        <v>138</v>
      </c>
      <c r="F1038" s="15" t="s">
        <v>20288</v>
      </c>
      <c r="G1038" s="15" t="s">
        <v>20291</v>
      </c>
      <c r="H1038" s="15" t="s">
        <v>141</v>
      </c>
      <c r="I1038" s="15" t="s">
        <v>212</v>
      </c>
      <c r="J1038" s="15" t="s">
        <v>1257</v>
      </c>
      <c r="K1038" s="15" t="s">
        <v>20292</v>
      </c>
      <c r="L1038" s="15" t="s">
        <v>20293</v>
      </c>
      <c r="M1038" s="15" t="s">
        <v>20294</v>
      </c>
      <c r="N1038" s="15" t="s">
        <v>147</v>
      </c>
      <c r="O1038" s="17">
        <v>16.95</v>
      </c>
      <c r="P1038" s="15" t="s">
        <v>148</v>
      </c>
      <c r="Q1038" s="15" t="s">
        <v>149</v>
      </c>
      <c r="R1038" s="15" t="s">
        <v>174</v>
      </c>
      <c r="S1038" s="15" t="s">
        <v>20295</v>
      </c>
      <c r="T1038" s="18">
        <v>15</v>
      </c>
      <c r="U1038" s="15" t="s">
        <v>20296</v>
      </c>
      <c r="V1038" s="15" t="s">
        <v>138</v>
      </c>
      <c r="W1038" s="15" t="s">
        <v>138</v>
      </c>
      <c r="X1038" s="19">
        <v>2016</v>
      </c>
      <c r="Y1038" s="15" t="s">
        <v>138</v>
      </c>
      <c r="Z1038" s="15" t="s">
        <v>138</v>
      </c>
      <c r="AA1038" s="15" t="s">
        <v>138</v>
      </c>
      <c r="AB1038" s="20" t="s">
        <v>138</v>
      </c>
      <c r="AC1038" s="20" t="s">
        <v>138</v>
      </c>
      <c r="AD1038" s="20" t="s">
        <v>138</v>
      </c>
      <c r="AE1038" s="20" t="s">
        <v>138</v>
      </c>
      <c r="AF1038" s="20" t="s">
        <v>138</v>
      </c>
      <c r="AG1038" s="15" t="s">
        <v>138</v>
      </c>
      <c r="AH1038" s="20" t="s">
        <v>138</v>
      </c>
      <c r="AI1038" s="20" t="s">
        <v>138</v>
      </c>
      <c r="AJ1038" s="20" t="s">
        <v>138</v>
      </c>
      <c r="AK1038" s="15" t="s">
        <v>20297</v>
      </c>
      <c r="AL1038" s="15" t="s">
        <v>20298</v>
      </c>
      <c r="AM1038" s="15" t="s">
        <v>304</v>
      </c>
      <c r="AN1038" s="15" t="s">
        <v>20299</v>
      </c>
      <c r="AO1038" s="15" t="s">
        <v>138</v>
      </c>
      <c r="AP1038" s="15" t="s">
        <v>2928</v>
      </c>
      <c r="AQ1038" s="15" t="s">
        <v>20300</v>
      </c>
      <c r="AR1038" s="15" t="s">
        <v>138</v>
      </c>
      <c r="AS1038" s="15" t="s">
        <v>2931</v>
      </c>
      <c r="AT1038" s="15" t="s">
        <v>200</v>
      </c>
      <c r="AU1038" s="15" t="s">
        <v>20301</v>
      </c>
      <c r="AV1038" s="15" t="s">
        <v>162</v>
      </c>
      <c r="AW1038" s="15" t="s">
        <v>138</v>
      </c>
      <c r="AX1038" s="15" t="s">
        <v>138</v>
      </c>
      <c r="AY1038" s="15" t="s">
        <v>20302</v>
      </c>
      <c r="AZ1038" s="15" t="s">
        <v>164</v>
      </c>
      <c r="BA1038" s="15" t="s">
        <v>165</v>
      </c>
      <c r="BB1038" s="15" t="s">
        <v>20303</v>
      </c>
      <c r="BC1038" s="15" t="s">
        <v>20304</v>
      </c>
      <c r="BD1038" s="21">
        <v>9</v>
      </c>
      <c r="BE1038" s="15" t="s">
        <v>138</v>
      </c>
      <c r="BF1038" s="15" t="s">
        <v>138</v>
      </c>
      <c r="BG1038" s="15" t="s">
        <v>138</v>
      </c>
      <c r="BH1038" s="15" t="s">
        <v>20305</v>
      </c>
      <c r="BI1038" s="15" t="s">
        <v>138</v>
      </c>
      <c r="BJ1038" s="15" t="s">
        <v>138</v>
      </c>
      <c r="BK1038" s="15" t="s">
        <v>1251</v>
      </c>
      <c r="BL1038" s="15" t="s">
        <v>1251</v>
      </c>
      <c r="BM1038" s="22">
        <v>42793</v>
      </c>
      <c r="BN1038" s="17">
        <v>3.95</v>
      </c>
      <c r="BO1038" s="15" t="s">
        <v>172</v>
      </c>
      <c r="BP1038" s="17">
        <v>10.5</v>
      </c>
      <c r="BQ1038" s="15" t="s">
        <v>172</v>
      </c>
      <c r="BR1038" s="15" t="s">
        <v>234</v>
      </c>
      <c r="BS1038" s="15" t="s">
        <v>234</v>
      </c>
      <c r="BT1038" s="15" t="s">
        <v>138</v>
      </c>
      <c r="BU1038" s="15" t="s">
        <v>174</v>
      </c>
      <c r="BV1038" s="15" t="s">
        <v>138</v>
      </c>
      <c r="BW1038" s="15" t="s">
        <v>138</v>
      </c>
      <c r="BX1038" s="15" t="s">
        <v>138</v>
      </c>
      <c r="BY1038" s="15" t="s">
        <v>175</v>
      </c>
      <c r="BZ1038" s="22">
        <v>43307</v>
      </c>
      <c r="CA1038" s="17">
        <v>13</v>
      </c>
      <c r="CB1038" s="15" t="s">
        <v>172</v>
      </c>
      <c r="CC1038" s="17">
        <v>33</v>
      </c>
      <c r="CD1038" s="15" t="s">
        <v>172</v>
      </c>
      <c r="CE1038" s="15" t="s">
        <v>205</v>
      </c>
      <c r="CF1038" s="15" t="s">
        <v>206</v>
      </c>
      <c r="CG1038" s="15" t="s">
        <v>138</v>
      </c>
      <c r="CH1038" s="15" t="s">
        <v>174</v>
      </c>
      <c r="CI1038" s="15" t="s">
        <v>138</v>
      </c>
      <c r="CJ1038" s="15" t="s">
        <v>138</v>
      </c>
      <c r="CK1038" s="15" t="s">
        <v>138</v>
      </c>
      <c r="CL1038" s="15" t="s">
        <v>175</v>
      </c>
      <c r="CM1038" s="22" t="s">
        <v>138</v>
      </c>
      <c r="CN1038" s="17" t="s">
        <v>138</v>
      </c>
      <c r="CO1038" s="23">
        <v>0.57999999999999996</v>
      </c>
      <c r="CP1038" s="24">
        <v>96</v>
      </c>
      <c r="CQ1038" s="23">
        <v>0.04</v>
      </c>
      <c r="CR1038" s="23">
        <v>7.5</v>
      </c>
      <c r="CS1038" s="23">
        <v>-0.44</v>
      </c>
      <c r="CT1038" s="24">
        <v>20</v>
      </c>
      <c r="CU1038" s="23">
        <v>1.59</v>
      </c>
      <c r="CV1038" s="24">
        <v>99</v>
      </c>
      <c r="CW1038" s="23">
        <v>0</v>
      </c>
      <c r="CX1038" s="24">
        <v>13</v>
      </c>
      <c r="CY1038" s="23">
        <v>-0.88</v>
      </c>
      <c r="CZ1038" s="24">
        <v>20</v>
      </c>
      <c r="DA1038" s="23">
        <v>1.59</v>
      </c>
      <c r="DB1038" s="24">
        <v>99</v>
      </c>
      <c r="DC1038" s="25">
        <v>2.16</v>
      </c>
      <c r="DD1038" s="24">
        <v>69</v>
      </c>
      <c r="DE1038" s="25">
        <v>-0.02</v>
      </c>
      <c r="DF1038" s="23">
        <v>-1.1000000000000001</v>
      </c>
      <c r="DG1038" s="25">
        <v>2.36</v>
      </c>
      <c r="DH1038" s="24">
        <v>70</v>
      </c>
      <c r="DI1038" s="25">
        <v>1.96</v>
      </c>
      <c r="DJ1038" s="24">
        <v>62</v>
      </c>
      <c r="DK1038" s="25">
        <v>1</v>
      </c>
      <c r="DL1038" s="24">
        <v>50</v>
      </c>
      <c r="DM1038" s="25">
        <v>3.72</v>
      </c>
      <c r="DN1038" s="24">
        <v>77</v>
      </c>
      <c r="DO1038" s="25">
        <v>1.96</v>
      </c>
      <c r="DP1038" s="24">
        <v>63</v>
      </c>
      <c r="DQ1038" s="24">
        <v>352</v>
      </c>
      <c r="DR1038" s="26">
        <v>-32</v>
      </c>
      <c r="DS1038" s="23">
        <v>-8.33</v>
      </c>
      <c r="DT1038" s="24">
        <v>108</v>
      </c>
      <c r="DU1038" s="26">
        <v>-1</v>
      </c>
      <c r="DV1038" s="23">
        <v>-0.92</v>
      </c>
      <c r="DW1038" s="24">
        <v>699</v>
      </c>
      <c r="DX1038" s="27">
        <v>8</v>
      </c>
      <c r="DY1038" s="23">
        <v>1.1599999999999999</v>
      </c>
      <c r="DZ1038" s="15" t="s">
        <v>178</v>
      </c>
      <c r="EA1038" s="22">
        <v>43607</v>
      </c>
      <c r="EB1038" s="17">
        <v>33</v>
      </c>
      <c r="EC1038" s="22">
        <v>43307</v>
      </c>
      <c r="ED1038" s="15" t="s">
        <v>205</v>
      </c>
      <c r="EE1038" s="14" t="str">
        <f>HYPERLINK("https://my.pitchbook.com?c=170948-80", "View company online")</f>
        <v>View company online</v>
      </c>
    </row>
    <row r="1039" spans="1:135">
      <c r="A1039" s="28" t="s">
        <v>20306</v>
      </c>
      <c r="B1039" s="28" t="s">
        <v>20307</v>
      </c>
      <c r="C1039" s="28" t="s">
        <v>138</v>
      </c>
      <c r="D1039" s="28" t="s">
        <v>138</v>
      </c>
      <c r="E1039" s="28" t="s">
        <v>138</v>
      </c>
      <c r="F1039" s="28" t="s">
        <v>20306</v>
      </c>
      <c r="G1039" s="28" t="s">
        <v>20308</v>
      </c>
      <c r="H1039" s="28" t="s">
        <v>238</v>
      </c>
      <c r="I1039" s="28" t="s">
        <v>1351</v>
      </c>
      <c r="J1039" s="28" t="s">
        <v>1352</v>
      </c>
      <c r="K1039" s="28" t="s">
        <v>20309</v>
      </c>
      <c r="L1039" s="28" t="s">
        <v>242</v>
      </c>
      <c r="M1039" s="28" t="s">
        <v>20310</v>
      </c>
      <c r="N1039" s="28" t="s">
        <v>147</v>
      </c>
      <c r="O1039" s="29">
        <v>38.630000000000003</v>
      </c>
      <c r="P1039" s="28" t="s">
        <v>148</v>
      </c>
      <c r="Q1039" s="28" t="s">
        <v>149</v>
      </c>
      <c r="R1039" s="28" t="s">
        <v>1652</v>
      </c>
      <c r="S1039" s="28" t="s">
        <v>20311</v>
      </c>
      <c r="T1039" s="30">
        <v>51</v>
      </c>
      <c r="U1039" s="28" t="s">
        <v>20312</v>
      </c>
      <c r="V1039" s="28" t="s">
        <v>138</v>
      </c>
      <c r="W1039" s="28" t="s">
        <v>138</v>
      </c>
      <c r="X1039" s="31">
        <v>2006</v>
      </c>
      <c r="Y1039" s="28" t="s">
        <v>138</v>
      </c>
      <c r="Z1039" s="28" t="s">
        <v>138</v>
      </c>
      <c r="AA1039" s="28" t="s">
        <v>138</v>
      </c>
      <c r="AB1039" s="32" t="s">
        <v>138</v>
      </c>
      <c r="AC1039" s="32" t="s">
        <v>138</v>
      </c>
      <c r="AD1039" s="32" t="s">
        <v>138</v>
      </c>
      <c r="AE1039" s="32" t="s">
        <v>138</v>
      </c>
      <c r="AF1039" s="32" t="s">
        <v>138</v>
      </c>
      <c r="AG1039" s="28" t="s">
        <v>138</v>
      </c>
      <c r="AH1039" s="32" t="s">
        <v>138</v>
      </c>
      <c r="AI1039" s="32" t="s">
        <v>138</v>
      </c>
      <c r="AJ1039" s="32" t="s">
        <v>138</v>
      </c>
      <c r="AK1039" s="28" t="s">
        <v>20313</v>
      </c>
      <c r="AL1039" s="28" t="s">
        <v>20314</v>
      </c>
      <c r="AM1039" s="28" t="s">
        <v>2776</v>
      </c>
      <c r="AN1039" s="28" t="s">
        <v>20315</v>
      </c>
      <c r="AO1039" s="28" t="s">
        <v>20316</v>
      </c>
      <c r="AP1039" s="28" t="s">
        <v>1220</v>
      </c>
      <c r="AQ1039" s="28" t="s">
        <v>20317</v>
      </c>
      <c r="AR1039" s="28" t="s">
        <v>20318</v>
      </c>
      <c r="AS1039" s="28" t="s">
        <v>1223</v>
      </c>
      <c r="AT1039" s="28" t="s">
        <v>200</v>
      </c>
      <c r="AU1039" s="28" t="s">
        <v>138</v>
      </c>
      <c r="AV1039" s="28" t="s">
        <v>162</v>
      </c>
      <c r="AW1039" s="28" t="s">
        <v>20319</v>
      </c>
      <c r="AX1039" s="28" t="s">
        <v>138</v>
      </c>
      <c r="AY1039" s="28" t="s">
        <v>20320</v>
      </c>
      <c r="AZ1039" s="28" t="s">
        <v>164</v>
      </c>
      <c r="BA1039" s="28" t="s">
        <v>165</v>
      </c>
      <c r="BB1039" s="28" t="s">
        <v>20321</v>
      </c>
      <c r="BC1039" s="28" t="s">
        <v>20322</v>
      </c>
      <c r="BD1039" s="33">
        <v>1</v>
      </c>
      <c r="BE1039" s="28" t="s">
        <v>138</v>
      </c>
      <c r="BF1039" s="28" t="s">
        <v>20323</v>
      </c>
      <c r="BG1039" s="28" t="s">
        <v>138</v>
      </c>
      <c r="BH1039" s="28" t="s">
        <v>20324</v>
      </c>
      <c r="BI1039" s="28" t="s">
        <v>20325</v>
      </c>
      <c r="BJ1039" s="28" t="s">
        <v>138</v>
      </c>
      <c r="BK1039" s="28" t="s">
        <v>20326</v>
      </c>
      <c r="BL1039" s="28" t="s">
        <v>20327</v>
      </c>
      <c r="BM1039" s="34">
        <v>39034</v>
      </c>
      <c r="BN1039" s="29">
        <v>4.2300000000000004</v>
      </c>
      <c r="BO1039" s="28" t="s">
        <v>172</v>
      </c>
      <c r="BP1039" s="29">
        <v>13.12</v>
      </c>
      <c r="BQ1039" s="28" t="s">
        <v>172</v>
      </c>
      <c r="BR1039" s="28" t="s">
        <v>205</v>
      </c>
      <c r="BS1039" s="28" t="s">
        <v>206</v>
      </c>
      <c r="BT1039" s="28" t="s">
        <v>138</v>
      </c>
      <c r="BU1039" s="28" t="s">
        <v>174</v>
      </c>
      <c r="BV1039" s="28" t="s">
        <v>138</v>
      </c>
      <c r="BW1039" s="28" t="s">
        <v>138</v>
      </c>
      <c r="BX1039" s="28" t="s">
        <v>138</v>
      </c>
      <c r="BY1039" s="28" t="s">
        <v>175</v>
      </c>
      <c r="BZ1039" s="34">
        <v>42349</v>
      </c>
      <c r="CA1039" s="29">
        <v>0.5</v>
      </c>
      <c r="CB1039" s="28" t="s">
        <v>172</v>
      </c>
      <c r="CC1039" s="29" t="s">
        <v>138</v>
      </c>
      <c r="CD1039" s="28" t="s">
        <v>138</v>
      </c>
      <c r="CE1039" s="28" t="s">
        <v>265</v>
      </c>
      <c r="CF1039" s="28" t="s">
        <v>138</v>
      </c>
      <c r="CG1039" s="28" t="s">
        <v>138</v>
      </c>
      <c r="CH1039" s="28" t="s">
        <v>1327</v>
      </c>
      <c r="CI1039" s="28" t="s">
        <v>264</v>
      </c>
      <c r="CJ1039" s="28" t="s">
        <v>138</v>
      </c>
      <c r="CK1039" s="28" t="s">
        <v>138</v>
      </c>
      <c r="CL1039" s="28" t="s">
        <v>175</v>
      </c>
      <c r="CM1039" s="34">
        <v>41689</v>
      </c>
      <c r="CN1039" s="29">
        <v>2.2000000000000002</v>
      </c>
      <c r="CO1039" s="35">
        <v>-1.58</v>
      </c>
      <c r="CP1039" s="36">
        <v>7</v>
      </c>
      <c r="CQ1039" s="35">
        <v>0</v>
      </c>
      <c r="CR1039" s="35">
        <v>0</v>
      </c>
      <c r="CS1039" s="35">
        <v>-1.58</v>
      </c>
      <c r="CT1039" s="36">
        <v>11</v>
      </c>
      <c r="CU1039" s="35" t="s">
        <v>138</v>
      </c>
      <c r="CV1039" s="36" t="s">
        <v>138</v>
      </c>
      <c r="CW1039" s="35" t="s">
        <v>138</v>
      </c>
      <c r="CX1039" s="36" t="s">
        <v>138</v>
      </c>
      <c r="CY1039" s="35">
        <v>-1.58</v>
      </c>
      <c r="CZ1039" s="36">
        <v>14</v>
      </c>
      <c r="DA1039" s="35" t="s">
        <v>138</v>
      </c>
      <c r="DB1039" s="36" t="s">
        <v>138</v>
      </c>
      <c r="DC1039" s="37">
        <v>2.41</v>
      </c>
      <c r="DD1039" s="36">
        <v>71</v>
      </c>
      <c r="DE1039" s="37">
        <v>0</v>
      </c>
      <c r="DF1039" s="35">
        <v>0</v>
      </c>
      <c r="DG1039" s="37">
        <v>2.41</v>
      </c>
      <c r="DH1039" s="36">
        <v>70</v>
      </c>
      <c r="DI1039" s="37" t="s">
        <v>138</v>
      </c>
      <c r="DJ1039" s="36" t="s">
        <v>138</v>
      </c>
      <c r="DK1039" s="37" t="s">
        <v>138</v>
      </c>
      <c r="DL1039" s="36" t="s">
        <v>138</v>
      </c>
      <c r="DM1039" s="37">
        <v>2.41</v>
      </c>
      <c r="DN1039" s="36">
        <v>69</v>
      </c>
      <c r="DO1039" s="37" t="s">
        <v>138</v>
      </c>
      <c r="DP1039" s="36" t="s">
        <v>138</v>
      </c>
      <c r="DQ1039" s="36" t="s">
        <v>138</v>
      </c>
      <c r="DR1039" s="38" t="s">
        <v>138</v>
      </c>
      <c r="DS1039" s="35" t="s">
        <v>138</v>
      </c>
      <c r="DT1039" s="36">
        <v>70</v>
      </c>
      <c r="DU1039" s="38">
        <v>0</v>
      </c>
      <c r="DV1039" s="35">
        <v>0</v>
      </c>
      <c r="DW1039" s="36" t="s">
        <v>138</v>
      </c>
      <c r="DX1039" s="39" t="s">
        <v>138</v>
      </c>
      <c r="DY1039" s="35" t="s">
        <v>138</v>
      </c>
      <c r="DZ1039" s="28" t="s">
        <v>178</v>
      </c>
      <c r="EA1039" s="34">
        <v>43622</v>
      </c>
      <c r="EB1039" s="29">
        <v>65.319999999999993</v>
      </c>
      <c r="EC1039" s="34">
        <v>42201</v>
      </c>
      <c r="ED1039" s="28" t="s">
        <v>173</v>
      </c>
      <c r="EE1039" s="40" t="str">
        <f>HYPERLINK("https://my.pitchbook.com?c=51413-68", "View company online")</f>
        <v>View company online</v>
      </c>
    </row>
    <row r="1040" spans="1:135">
      <c r="A1040" s="15" t="s">
        <v>20328</v>
      </c>
      <c r="B1040" s="15" t="s">
        <v>20329</v>
      </c>
      <c r="C1040" s="15" t="s">
        <v>20330</v>
      </c>
      <c r="D1040" s="15" t="s">
        <v>138</v>
      </c>
      <c r="E1040" s="15" t="s">
        <v>20331</v>
      </c>
      <c r="F1040" s="15" t="s">
        <v>20328</v>
      </c>
      <c r="G1040" s="15" t="s">
        <v>20332</v>
      </c>
      <c r="H1040" s="15" t="s">
        <v>890</v>
      </c>
      <c r="I1040" s="15" t="s">
        <v>891</v>
      </c>
      <c r="J1040" s="15" t="s">
        <v>8932</v>
      </c>
      <c r="K1040" s="15" t="s">
        <v>20333</v>
      </c>
      <c r="L1040" s="15" t="s">
        <v>4025</v>
      </c>
      <c r="M1040" s="15" t="s">
        <v>20334</v>
      </c>
      <c r="N1040" s="15" t="s">
        <v>147</v>
      </c>
      <c r="O1040" s="17">
        <v>51.5</v>
      </c>
      <c r="P1040" s="15" t="s">
        <v>812</v>
      </c>
      <c r="Q1040" s="15" t="s">
        <v>149</v>
      </c>
      <c r="R1040" s="15" t="s">
        <v>174</v>
      </c>
      <c r="S1040" s="15" t="s">
        <v>20335</v>
      </c>
      <c r="T1040" s="18">
        <v>125</v>
      </c>
      <c r="U1040" s="15" t="s">
        <v>20336</v>
      </c>
      <c r="V1040" s="15" t="s">
        <v>138</v>
      </c>
      <c r="W1040" s="15" t="s">
        <v>138</v>
      </c>
      <c r="X1040" s="19">
        <v>2011</v>
      </c>
      <c r="Y1040" s="15" t="s">
        <v>138</v>
      </c>
      <c r="Z1040" s="15" t="s">
        <v>1163</v>
      </c>
      <c r="AA1040" s="15" t="s">
        <v>1163</v>
      </c>
      <c r="AB1040" s="20">
        <v>8.56</v>
      </c>
      <c r="AC1040" s="20" t="s">
        <v>138</v>
      </c>
      <c r="AD1040" s="20" t="s">
        <v>138</v>
      </c>
      <c r="AE1040" s="20" t="s">
        <v>138</v>
      </c>
      <c r="AF1040" s="20" t="s">
        <v>138</v>
      </c>
      <c r="AG1040" s="15" t="s">
        <v>3077</v>
      </c>
      <c r="AH1040" s="20" t="s">
        <v>138</v>
      </c>
      <c r="AI1040" s="20" t="s">
        <v>138</v>
      </c>
      <c r="AJ1040" s="20" t="s">
        <v>138</v>
      </c>
      <c r="AK1040" s="15" t="s">
        <v>20337</v>
      </c>
      <c r="AL1040" s="15" t="s">
        <v>20338</v>
      </c>
      <c r="AM1040" s="15" t="s">
        <v>3199</v>
      </c>
      <c r="AN1040" s="15" t="s">
        <v>20339</v>
      </c>
      <c r="AO1040" s="15" t="s">
        <v>20340</v>
      </c>
      <c r="AP1040" s="15" t="s">
        <v>20341</v>
      </c>
      <c r="AQ1040" s="15" t="s">
        <v>20342</v>
      </c>
      <c r="AR1040" s="15" t="s">
        <v>11071</v>
      </c>
      <c r="AS1040" s="15" t="s">
        <v>20343</v>
      </c>
      <c r="AT1040" s="15" t="s">
        <v>3883</v>
      </c>
      <c r="AU1040" s="15" t="s">
        <v>20344</v>
      </c>
      <c r="AV1040" s="15" t="s">
        <v>162</v>
      </c>
      <c r="AW1040" s="15" t="s">
        <v>20340</v>
      </c>
      <c r="AX1040" s="15" t="s">
        <v>138</v>
      </c>
      <c r="AY1040" s="15" t="s">
        <v>20345</v>
      </c>
      <c r="AZ1040" s="15" t="s">
        <v>164</v>
      </c>
      <c r="BA1040" s="15" t="s">
        <v>165</v>
      </c>
      <c r="BB1040" s="15" t="s">
        <v>20346</v>
      </c>
      <c r="BC1040" s="15" t="s">
        <v>20347</v>
      </c>
      <c r="BD1040" s="21">
        <v>20</v>
      </c>
      <c r="BE1040" s="15" t="s">
        <v>138</v>
      </c>
      <c r="BF1040" s="15" t="s">
        <v>138</v>
      </c>
      <c r="BG1040" s="15" t="s">
        <v>138</v>
      </c>
      <c r="BH1040" s="15" t="s">
        <v>20348</v>
      </c>
      <c r="BI1040" s="15" t="s">
        <v>138</v>
      </c>
      <c r="BJ1040" s="15" t="s">
        <v>138</v>
      </c>
      <c r="BK1040" s="15" t="s">
        <v>1251</v>
      </c>
      <c r="BL1040" s="15" t="s">
        <v>20349</v>
      </c>
      <c r="BM1040" s="22">
        <v>40592</v>
      </c>
      <c r="BN1040" s="17">
        <v>6</v>
      </c>
      <c r="BO1040" s="15" t="s">
        <v>172</v>
      </c>
      <c r="BP1040" s="17">
        <v>24.32</v>
      </c>
      <c r="BQ1040" s="15" t="s">
        <v>172</v>
      </c>
      <c r="BR1040" s="15" t="s">
        <v>205</v>
      </c>
      <c r="BS1040" s="15" t="s">
        <v>206</v>
      </c>
      <c r="BT1040" s="15" t="s">
        <v>138</v>
      </c>
      <c r="BU1040" s="15" t="s">
        <v>174</v>
      </c>
      <c r="BV1040" s="15" t="s">
        <v>1397</v>
      </c>
      <c r="BW1040" s="15" t="s">
        <v>138</v>
      </c>
      <c r="BX1040" s="15" t="s">
        <v>138</v>
      </c>
      <c r="BY1040" s="15" t="s">
        <v>175</v>
      </c>
      <c r="BZ1040" s="22">
        <v>42705</v>
      </c>
      <c r="CA1040" s="17">
        <v>19</v>
      </c>
      <c r="CB1040" s="15" t="s">
        <v>172</v>
      </c>
      <c r="CC1040" s="17">
        <v>85.6</v>
      </c>
      <c r="CD1040" s="15" t="s">
        <v>172</v>
      </c>
      <c r="CE1040" s="15" t="s">
        <v>173</v>
      </c>
      <c r="CF1040" s="15" t="s">
        <v>433</v>
      </c>
      <c r="CG1040" s="15" t="s">
        <v>138</v>
      </c>
      <c r="CH1040" s="15" t="s">
        <v>174</v>
      </c>
      <c r="CI1040" s="15" t="s">
        <v>138</v>
      </c>
      <c r="CJ1040" s="15" t="s">
        <v>138</v>
      </c>
      <c r="CK1040" s="15" t="s">
        <v>138</v>
      </c>
      <c r="CL1040" s="15" t="s">
        <v>175</v>
      </c>
      <c r="CM1040" s="22">
        <v>40592</v>
      </c>
      <c r="CN1040" s="17">
        <v>2</v>
      </c>
      <c r="CO1040" s="23">
        <v>-0.2</v>
      </c>
      <c r="CP1040" s="24">
        <v>20</v>
      </c>
      <c r="CQ1040" s="23">
        <v>0.28999999999999998</v>
      </c>
      <c r="CR1040" s="23">
        <v>58.87</v>
      </c>
      <c r="CS1040" s="23">
        <v>-0.41</v>
      </c>
      <c r="CT1040" s="24">
        <v>20</v>
      </c>
      <c r="CU1040" s="23">
        <v>0</v>
      </c>
      <c r="CV1040" s="24">
        <v>22</v>
      </c>
      <c r="CW1040" s="23">
        <v>0.84</v>
      </c>
      <c r="CX1040" s="24">
        <v>84</v>
      </c>
      <c r="CY1040" s="23">
        <v>-1.66</v>
      </c>
      <c r="CZ1040" s="24">
        <v>14</v>
      </c>
      <c r="DA1040" s="23">
        <v>0.01</v>
      </c>
      <c r="DB1040" s="24">
        <v>57</v>
      </c>
      <c r="DC1040" s="25">
        <v>48.95</v>
      </c>
      <c r="DD1040" s="24">
        <v>98</v>
      </c>
      <c r="DE1040" s="25">
        <v>-0.17</v>
      </c>
      <c r="DF1040" s="23">
        <v>-0.35</v>
      </c>
      <c r="DG1040" s="25">
        <v>61.66</v>
      </c>
      <c r="DH1040" s="24">
        <v>99</v>
      </c>
      <c r="DI1040" s="25">
        <v>36.24</v>
      </c>
      <c r="DJ1040" s="24">
        <v>94</v>
      </c>
      <c r="DK1040" s="25">
        <v>50.66</v>
      </c>
      <c r="DL1040" s="24">
        <v>96</v>
      </c>
      <c r="DM1040" s="25">
        <v>72.66</v>
      </c>
      <c r="DN1040" s="24">
        <v>99</v>
      </c>
      <c r="DO1040" s="25">
        <v>30.84</v>
      </c>
      <c r="DP1040" s="24">
        <v>95</v>
      </c>
      <c r="DQ1040" s="24">
        <v>17113</v>
      </c>
      <c r="DR1040" s="26">
        <v>788</v>
      </c>
      <c r="DS1040" s="23">
        <v>4.83</v>
      </c>
      <c r="DT1040" s="24">
        <v>2038</v>
      </c>
      <c r="DU1040" s="26">
        <v>127</v>
      </c>
      <c r="DV1040" s="23">
        <v>6.65</v>
      </c>
      <c r="DW1040" s="24">
        <v>11038</v>
      </c>
      <c r="DX1040" s="27">
        <v>1</v>
      </c>
      <c r="DY1040" s="23">
        <v>0.01</v>
      </c>
      <c r="DZ1040" s="15" t="s">
        <v>178</v>
      </c>
      <c r="EA1040" s="22">
        <v>43524</v>
      </c>
      <c r="EB1040" s="17">
        <v>85.6</v>
      </c>
      <c r="EC1040" s="22">
        <v>42705</v>
      </c>
      <c r="ED1040" s="15" t="s">
        <v>173</v>
      </c>
      <c r="EE1040" s="14" t="str">
        <f>HYPERLINK("https://my.pitchbook.com?c=51606-64", "View company online")</f>
        <v>View company online</v>
      </c>
    </row>
    <row r="1041" spans="1:135">
      <c r="A1041" s="28" t="s">
        <v>20350</v>
      </c>
      <c r="B1041" s="28" t="s">
        <v>20351</v>
      </c>
      <c r="C1041" s="28" t="s">
        <v>138</v>
      </c>
      <c r="D1041" s="28" t="s">
        <v>20352</v>
      </c>
      <c r="E1041" s="28" t="s">
        <v>138</v>
      </c>
      <c r="F1041" s="28" t="s">
        <v>20350</v>
      </c>
      <c r="G1041" s="28" t="s">
        <v>20353</v>
      </c>
      <c r="H1041" s="28" t="s">
        <v>183</v>
      </c>
      <c r="I1041" s="28" t="s">
        <v>184</v>
      </c>
      <c r="J1041" s="28" t="s">
        <v>2141</v>
      </c>
      <c r="K1041" s="28" t="s">
        <v>3009</v>
      </c>
      <c r="L1041" s="28" t="s">
        <v>4186</v>
      </c>
      <c r="M1041" s="28" t="s">
        <v>20354</v>
      </c>
      <c r="N1041" s="28" t="s">
        <v>147</v>
      </c>
      <c r="O1041" s="29" t="s">
        <v>138</v>
      </c>
      <c r="P1041" s="28" t="s">
        <v>148</v>
      </c>
      <c r="Q1041" s="28" t="s">
        <v>149</v>
      </c>
      <c r="R1041" s="28" t="s">
        <v>174</v>
      </c>
      <c r="S1041" s="28" t="s">
        <v>20355</v>
      </c>
      <c r="T1041" s="30" t="s">
        <v>138</v>
      </c>
      <c r="U1041" s="28" t="s">
        <v>138</v>
      </c>
      <c r="V1041" s="28" t="s">
        <v>138</v>
      </c>
      <c r="W1041" s="28" t="s">
        <v>138</v>
      </c>
      <c r="X1041" s="31">
        <v>2010</v>
      </c>
      <c r="Y1041" s="28" t="s">
        <v>138</v>
      </c>
      <c r="Z1041" s="28" t="s">
        <v>138</v>
      </c>
      <c r="AA1041" s="28" t="s">
        <v>138</v>
      </c>
      <c r="AB1041" s="32" t="s">
        <v>138</v>
      </c>
      <c r="AC1041" s="32" t="s">
        <v>138</v>
      </c>
      <c r="AD1041" s="32" t="s">
        <v>138</v>
      </c>
      <c r="AE1041" s="32" t="s">
        <v>138</v>
      </c>
      <c r="AF1041" s="32" t="s">
        <v>138</v>
      </c>
      <c r="AG1041" s="28" t="s">
        <v>138</v>
      </c>
      <c r="AH1041" s="32" t="s">
        <v>138</v>
      </c>
      <c r="AI1041" s="32" t="s">
        <v>138</v>
      </c>
      <c r="AJ1041" s="32" t="s">
        <v>138</v>
      </c>
      <c r="AK1041" s="28" t="s">
        <v>20356</v>
      </c>
      <c r="AL1041" s="28" t="s">
        <v>20357</v>
      </c>
      <c r="AM1041" s="28" t="s">
        <v>444</v>
      </c>
      <c r="AN1041" s="28" t="s">
        <v>20358</v>
      </c>
      <c r="AO1041" s="28" t="s">
        <v>138</v>
      </c>
      <c r="AP1041" s="28" t="s">
        <v>20359</v>
      </c>
      <c r="AQ1041" s="28" t="s">
        <v>20360</v>
      </c>
      <c r="AR1041" s="28" t="s">
        <v>20361</v>
      </c>
      <c r="AS1041" s="28" t="s">
        <v>20362</v>
      </c>
      <c r="AT1041" s="28" t="s">
        <v>138</v>
      </c>
      <c r="AU1041" s="28" t="s">
        <v>20363</v>
      </c>
      <c r="AV1041" s="28" t="s">
        <v>3693</v>
      </c>
      <c r="AW1041" s="28" t="s">
        <v>138</v>
      </c>
      <c r="AX1041" s="28" t="s">
        <v>138</v>
      </c>
      <c r="AY1041" s="28" t="s">
        <v>138</v>
      </c>
      <c r="AZ1041" s="28" t="s">
        <v>530</v>
      </c>
      <c r="BA1041" s="28" t="s">
        <v>531</v>
      </c>
      <c r="BB1041" s="28" t="s">
        <v>20364</v>
      </c>
      <c r="BC1041" s="28" t="s">
        <v>20365</v>
      </c>
      <c r="BD1041" s="33">
        <v>7</v>
      </c>
      <c r="BE1041" s="28" t="s">
        <v>138</v>
      </c>
      <c r="BF1041" s="28" t="s">
        <v>138</v>
      </c>
      <c r="BG1041" s="28" t="s">
        <v>138</v>
      </c>
      <c r="BH1041" s="28" t="s">
        <v>20366</v>
      </c>
      <c r="BI1041" s="28" t="s">
        <v>138</v>
      </c>
      <c r="BJ1041" s="28" t="s">
        <v>138</v>
      </c>
      <c r="BK1041" s="28" t="s">
        <v>138</v>
      </c>
      <c r="BL1041" s="28" t="s">
        <v>138</v>
      </c>
      <c r="BM1041" s="34" t="s">
        <v>138</v>
      </c>
      <c r="BN1041" s="29" t="s">
        <v>138</v>
      </c>
      <c r="BO1041" s="28" t="s">
        <v>138</v>
      </c>
      <c r="BP1041" s="29" t="s">
        <v>138</v>
      </c>
      <c r="BQ1041" s="28" t="s">
        <v>138</v>
      </c>
      <c r="BR1041" s="28" t="s">
        <v>316</v>
      </c>
      <c r="BS1041" s="28" t="s">
        <v>138</v>
      </c>
      <c r="BT1041" s="28" t="s">
        <v>138</v>
      </c>
      <c r="BU1041" s="28" t="s">
        <v>177</v>
      </c>
      <c r="BV1041" s="28" t="s">
        <v>138</v>
      </c>
      <c r="BW1041" s="28" t="s">
        <v>138</v>
      </c>
      <c r="BX1041" s="28" t="s">
        <v>138</v>
      </c>
      <c r="BY1041" s="28" t="s">
        <v>175</v>
      </c>
      <c r="BZ1041" s="34">
        <v>41647</v>
      </c>
      <c r="CA1041" s="29" t="s">
        <v>138</v>
      </c>
      <c r="CB1041" s="28" t="s">
        <v>138</v>
      </c>
      <c r="CC1041" s="29" t="s">
        <v>138</v>
      </c>
      <c r="CD1041" s="28" t="s">
        <v>138</v>
      </c>
      <c r="CE1041" s="28" t="s">
        <v>205</v>
      </c>
      <c r="CF1041" s="28" t="s">
        <v>720</v>
      </c>
      <c r="CG1041" s="28" t="s">
        <v>138</v>
      </c>
      <c r="CH1041" s="28" t="s">
        <v>174</v>
      </c>
      <c r="CI1041" s="28" t="s">
        <v>138</v>
      </c>
      <c r="CJ1041" s="28" t="s">
        <v>138</v>
      </c>
      <c r="CK1041" s="28" t="s">
        <v>138</v>
      </c>
      <c r="CL1041" s="28" t="s">
        <v>175</v>
      </c>
      <c r="CM1041" s="34" t="s">
        <v>138</v>
      </c>
      <c r="CN1041" s="29" t="s">
        <v>138</v>
      </c>
      <c r="CO1041" s="35">
        <v>0.62</v>
      </c>
      <c r="CP1041" s="36">
        <v>96</v>
      </c>
      <c r="CQ1041" s="35">
        <v>0.26</v>
      </c>
      <c r="CR1041" s="35">
        <v>71.459999999999994</v>
      </c>
      <c r="CS1041" s="35">
        <v>0.62</v>
      </c>
      <c r="CT1041" s="36">
        <v>96</v>
      </c>
      <c r="CU1041" s="35" t="s">
        <v>138</v>
      </c>
      <c r="CV1041" s="36" t="s">
        <v>138</v>
      </c>
      <c r="CW1041" s="35" t="s">
        <v>138</v>
      </c>
      <c r="CX1041" s="36" t="s">
        <v>138</v>
      </c>
      <c r="CY1041" s="35">
        <v>0.62</v>
      </c>
      <c r="CZ1041" s="36">
        <v>99</v>
      </c>
      <c r="DA1041" s="35" t="s">
        <v>138</v>
      </c>
      <c r="DB1041" s="36" t="s">
        <v>138</v>
      </c>
      <c r="DC1041" s="37">
        <v>6.83</v>
      </c>
      <c r="DD1041" s="36">
        <v>86</v>
      </c>
      <c r="DE1041" s="37">
        <v>0</v>
      </c>
      <c r="DF1041" s="35">
        <v>0</v>
      </c>
      <c r="DG1041" s="37">
        <v>6.83</v>
      </c>
      <c r="DH1041" s="36">
        <v>86</v>
      </c>
      <c r="DI1041" s="37" t="s">
        <v>138</v>
      </c>
      <c r="DJ1041" s="36" t="s">
        <v>138</v>
      </c>
      <c r="DK1041" s="37" t="s">
        <v>138</v>
      </c>
      <c r="DL1041" s="36" t="s">
        <v>138</v>
      </c>
      <c r="DM1041" s="37">
        <v>6.83</v>
      </c>
      <c r="DN1041" s="36">
        <v>85</v>
      </c>
      <c r="DO1041" s="37" t="s">
        <v>138</v>
      </c>
      <c r="DP1041" s="36" t="s">
        <v>138</v>
      </c>
      <c r="DQ1041" s="36" t="s">
        <v>138</v>
      </c>
      <c r="DR1041" s="38" t="s">
        <v>138</v>
      </c>
      <c r="DS1041" s="35" t="s">
        <v>138</v>
      </c>
      <c r="DT1041" s="36">
        <v>198</v>
      </c>
      <c r="DU1041" s="38">
        <v>0</v>
      </c>
      <c r="DV1041" s="35">
        <v>0</v>
      </c>
      <c r="DW1041" s="36" t="s">
        <v>138</v>
      </c>
      <c r="DX1041" s="39" t="s">
        <v>138</v>
      </c>
      <c r="DY1041" s="35" t="s">
        <v>138</v>
      </c>
      <c r="DZ1041" s="28" t="s">
        <v>178</v>
      </c>
      <c r="EA1041" s="34">
        <v>43570</v>
      </c>
      <c r="EB1041" s="29" t="s">
        <v>138</v>
      </c>
      <c r="EC1041" s="34" t="s">
        <v>138</v>
      </c>
      <c r="ED1041" s="28" t="s">
        <v>138</v>
      </c>
      <c r="EE1041" s="40" t="str">
        <f>HYPERLINK("https://my.pitchbook.com?c=65294-56", "View company online")</f>
        <v>View company online</v>
      </c>
    </row>
    <row r="1042" spans="1:135">
      <c r="A1042" s="15" t="s">
        <v>20367</v>
      </c>
      <c r="B1042" s="15" t="s">
        <v>20368</v>
      </c>
      <c r="C1042" s="15" t="s">
        <v>138</v>
      </c>
      <c r="D1042" s="15" t="s">
        <v>20369</v>
      </c>
      <c r="E1042" s="15" t="s">
        <v>138</v>
      </c>
      <c r="F1042" s="15" t="s">
        <v>20367</v>
      </c>
      <c r="G1042" s="15" t="s">
        <v>20370</v>
      </c>
      <c r="H1042" s="15" t="s">
        <v>322</v>
      </c>
      <c r="I1042" s="15" t="s">
        <v>323</v>
      </c>
      <c r="J1042" s="15" t="s">
        <v>1084</v>
      </c>
      <c r="K1042" s="15" t="s">
        <v>12075</v>
      </c>
      <c r="L1042" s="15" t="s">
        <v>2255</v>
      </c>
      <c r="M1042" s="15" t="s">
        <v>20371</v>
      </c>
      <c r="N1042" s="15" t="s">
        <v>147</v>
      </c>
      <c r="O1042" s="17">
        <v>3.47</v>
      </c>
      <c r="P1042" s="15" t="s">
        <v>148</v>
      </c>
      <c r="Q1042" s="15" t="s">
        <v>149</v>
      </c>
      <c r="R1042" s="15" t="s">
        <v>174</v>
      </c>
      <c r="S1042" s="15" t="s">
        <v>20372</v>
      </c>
      <c r="T1042" s="18" t="s">
        <v>138</v>
      </c>
      <c r="U1042" s="15" t="s">
        <v>138</v>
      </c>
      <c r="V1042" s="15" t="s">
        <v>138</v>
      </c>
      <c r="W1042" s="15" t="s">
        <v>138</v>
      </c>
      <c r="X1042" s="19">
        <v>2016</v>
      </c>
      <c r="Y1042" s="15" t="s">
        <v>138</v>
      </c>
      <c r="Z1042" s="15" t="s">
        <v>17305</v>
      </c>
      <c r="AA1042" s="15" t="s">
        <v>17305</v>
      </c>
      <c r="AB1042" s="20" t="s">
        <v>138</v>
      </c>
      <c r="AC1042" s="20" t="s">
        <v>138</v>
      </c>
      <c r="AD1042" s="20" t="s">
        <v>138</v>
      </c>
      <c r="AE1042" s="20" t="s">
        <v>138</v>
      </c>
      <c r="AF1042" s="20" t="s">
        <v>138</v>
      </c>
      <c r="AG1042" s="15" t="s">
        <v>138</v>
      </c>
      <c r="AH1042" s="20" t="s">
        <v>138</v>
      </c>
      <c r="AI1042" s="20" t="s">
        <v>138</v>
      </c>
      <c r="AJ1042" s="20" t="s">
        <v>138</v>
      </c>
      <c r="AK1042" s="15" t="s">
        <v>20373</v>
      </c>
      <c r="AL1042" s="15" t="s">
        <v>20374</v>
      </c>
      <c r="AM1042" s="15" t="s">
        <v>221</v>
      </c>
      <c r="AN1042" s="15" t="s">
        <v>138</v>
      </c>
      <c r="AO1042" s="15" t="s">
        <v>20375</v>
      </c>
      <c r="AP1042" s="15" t="s">
        <v>6402</v>
      </c>
      <c r="AQ1042" s="15" t="s">
        <v>20376</v>
      </c>
      <c r="AR1042" s="15" t="s">
        <v>20377</v>
      </c>
      <c r="AS1042" s="15" t="s">
        <v>6404</v>
      </c>
      <c r="AT1042" s="15" t="s">
        <v>200</v>
      </c>
      <c r="AU1042" s="15" t="s">
        <v>20378</v>
      </c>
      <c r="AV1042" s="15" t="s">
        <v>162</v>
      </c>
      <c r="AW1042" s="15" t="s">
        <v>20375</v>
      </c>
      <c r="AX1042" s="15" t="s">
        <v>138</v>
      </c>
      <c r="AY1042" s="15" t="s">
        <v>20379</v>
      </c>
      <c r="AZ1042" s="15" t="s">
        <v>164</v>
      </c>
      <c r="BA1042" s="15" t="s">
        <v>165</v>
      </c>
      <c r="BB1042" s="15" t="s">
        <v>20380</v>
      </c>
      <c r="BC1042" s="15" t="s">
        <v>20381</v>
      </c>
      <c r="BD1042" s="21">
        <v>1</v>
      </c>
      <c r="BE1042" s="15" t="s">
        <v>138</v>
      </c>
      <c r="BF1042" s="15" t="s">
        <v>138</v>
      </c>
      <c r="BG1042" s="15" t="s">
        <v>138</v>
      </c>
      <c r="BH1042" s="15" t="s">
        <v>20382</v>
      </c>
      <c r="BI1042" s="15" t="s">
        <v>138</v>
      </c>
      <c r="BJ1042" s="15" t="s">
        <v>138</v>
      </c>
      <c r="BK1042" s="15" t="s">
        <v>138</v>
      </c>
      <c r="BL1042" s="15" t="s">
        <v>138</v>
      </c>
      <c r="BM1042" s="22">
        <v>43399</v>
      </c>
      <c r="BN1042" s="17">
        <v>3.47</v>
      </c>
      <c r="BO1042" s="15" t="s">
        <v>172</v>
      </c>
      <c r="BP1042" s="17" t="s">
        <v>138</v>
      </c>
      <c r="BQ1042" s="15" t="s">
        <v>138</v>
      </c>
      <c r="BR1042" s="15" t="s">
        <v>205</v>
      </c>
      <c r="BS1042" s="15" t="s">
        <v>138</v>
      </c>
      <c r="BT1042" s="15" t="s">
        <v>138</v>
      </c>
      <c r="BU1042" s="15" t="s">
        <v>174</v>
      </c>
      <c r="BV1042" s="15" t="s">
        <v>138</v>
      </c>
      <c r="BW1042" s="15" t="s">
        <v>138</v>
      </c>
      <c r="BX1042" s="15" t="s">
        <v>138</v>
      </c>
      <c r="BY1042" s="15" t="s">
        <v>175</v>
      </c>
      <c r="BZ1042" s="22">
        <v>43399</v>
      </c>
      <c r="CA1042" s="17">
        <v>3.47</v>
      </c>
      <c r="CB1042" s="15" t="s">
        <v>172</v>
      </c>
      <c r="CC1042" s="17" t="s">
        <v>138</v>
      </c>
      <c r="CD1042" s="15" t="s">
        <v>138</v>
      </c>
      <c r="CE1042" s="15" t="s">
        <v>205</v>
      </c>
      <c r="CF1042" s="15" t="s">
        <v>138</v>
      </c>
      <c r="CG1042" s="15" t="s">
        <v>138</v>
      </c>
      <c r="CH1042" s="15" t="s">
        <v>174</v>
      </c>
      <c r="CI1042" s="15" t="s">
        <v>138</v>
      </c>
      <c r="CJ1042" s="15" t="s">
        <v>138</v>
      </c>
      <c r="CK1042" s="15" t="s">
        <v>138</v>
      </c>
      <c r="CL1042" s="15" t="s">
        <v>175</v>
      </c>
      <c r="CM1042" s="22" t="s">
        <v>138</v>
      </c>
      <c r="CN1042" s="17" t="s">
        <v>138</v>
      </c>
      <c r="CO1042" s="23">
        <v>1.22</v>
      </c>
      <c r="CP1042" s="24">
        <v>98</v>
      </c>
      <c r="CQ1042" s="23">
        <v>-0.18</v>
      </c>
      <c r="CR1042" s="23">
        <v>-12.87</v>
      </c>
      <c r="CS1042" s="23">
        <v>0</v>
      </c>
      <c r="CT1042" s="24">
        <v>23</v>
      </c>
      <c r="CU1042" s="23">
        <v>2.4300000000000002</v>
      </c>
      <c r="CV1042" s="24">
        <v>100</v>
      </c>
      <c r="CW1042" s="23">
        <v>0</v>
      </c>
      <c r="CX1042" s="24">
        <v>13</v>
      </c>
      <c r="CY1042" s="23">
        <v>0</v>
      </c>
      <c r="CZ1042" s="24">
        <v>25</v>
      </c>
      <c r="DA1042" s="23">
        <v>2.4300000000000002</v>
      </c>
      <c r="DB1042" s="24">
        <v>100</v>
      </c>
      <c r="DC1042" s="25">
        <v>1.2</v>
      </c>
      <c r="DD1042" s="24">
        <v>55</v>
      </c>
      <c r="DE1042" s="25">
        <v>-0.05</v>
      </c>
      <c r="DF1042" s="23">
        <v>-3.71</v>
      </c>
      <c r="DG1042" s="25">
        <v>1.7</v>
      </c>
      <c r="DH1042" s="24">
        <v>63</v>
      </c>
      <c r="DI1042" s="25">
        <v>0.7</v>
      </c>
      <c r="DJ1042" s="24">
        <v>42</v>
      </c>
      <c r="DK1042" s="25">
        <v>1.77</v>
      </c>
      <c r="DL1042" s="24">
        <v>62</v>
      </c>
      <c r="DM1042" s="25">
        <v>1.62</v>
      </c>
      <c r="DN1042" s="24">
        <v>61</v>
      </c>
      <c r="DO1042" s="25">
        <v>0.7</v>
      </c>
      <c r="DP1042" s="24">
        <v>44</v>
      </c>
      <c r="DQ1042" s="24">
        <v>577</v>
      </c>
      <c r="DR1042" s="26">
        <v>90</v>
      </c>
      <c r="DS1042" s="23">
        <v>18.48</v>
      </c>
      <c r="DT1042" s="24">
        <v>46</v>
      </c>
      <c r="DU1042" s="26">
        <v>0</v>
      </c>
      <c r="DV1042" s="23">
        <v>0</v>
      </c>
      <c r="DW1042" s="24">
        <v>250</v>
      </c>
      <c r="DX1042" s="27">
        <v>-1</v>
      </c>
      <c r="DY1042" s="23">
        <v>-0.4</v>
      </c>
      <c r="DZ1042" s="15" t="s">
        <v>178</v>
      </c>
      <c r="EA1042" s="22">
        <v>43622</v>
      </c>
      <c r="EB1042" s="17" t="s">
        <v>138</v>
      </c>
      <c r="EC1042" s="22" t="s">
        <v>138</v>
      </c>
      <c r="ED1042" s="15" t="s">
        <v>138</v>
      </c>
      <c r="EE1042" s="14" t="str">
        <f>HYPERLINK("https://my.pitchbook.com?c=234109-27", "View company online")</f>
        <v>View company online</v>
      </c>
    </row>
    <row r="1043" spans="1:135">
      <c r="A1043" s="28" t="s">
        <v>20383</v>
      </c>
      <c r="B1043" s="28" t="s">
        <v>20384</v>
      </c>
      <c r="C1043" s="28" t="s">
        <v>138</v>
      </c>
      <c r="D1043" s="28" t="s">
        <v>138</v>
      </c>
      <c r="E1043" s="28" t="s">
        <v>20385</v>
      </c>
      <c r="F1043" s="28" t="s">
        <v>20383</v>
      </c>
      <c r="G1043" s="28" t="s">
        <v>20386</v>
      </c>
      <c r="H1043" s="28" t="s">
        <v>322</v>
      </c>
      <c r="I1043" s="28" t="s">
        <v>1503</v>
      </c>
      <c r="J1043" s="28" t="s">
        <v>1504</v>
      </c>
      <c r="K1043" s="28" t="s">
        <v>20387</v>
      </c>
      <c r="L1043" s="28" t="s">
        <v>20388</v>
      </c>
      <c r="M1043" s="28" t="s">
        <v>20389</v>
      </c>
      <c r="N1043" s="28" t="s">
        <v>147</v>
      </c>
      <c r="O1043" s="29">
        <v>88.66</v>
      </c>
      <c r="P1043" s="28" t="s">
        <v>610</v>
      </c>
      <c r="Q1043" s="28" t="s">
        <v>149</v>
      </c>
      <c r="R1043" s="28" t="s">
        <v>174</v>
      </c>
      <c r="S1043" s="28" t="s">
        <v>20390</v>
      </c>
      <c r="T1043" s="30">
        <v>200</v>
      </c>
      <c r="U1043" s="28" t="s">
        <v>20391</v>
      </c>
      <c r="V1043" s="28" t="s">
        <v>138</v>
      </c>
      <c r="W1043" s="28" t="s">
        <v>138</v>
      </c>
      <c r="X1043" s="31">
        <v>2014</v>
      </c>
      <c r="Y1043" s="28" t="s">
        <v>138</v>
      </c>
      <c r="Z1043" s="28" t="s">
        <v>138</v>
      </c>
      <c r="AA1043" s="28" t="s">
        <v>138</v>
      </c>
      <c r="AB1043" s="32">
        <v>75</v>
      </c>
      <c r="AC1043" s="32" t="s">
        <v>138</v>
      </c>
      <c r="AD1043" s="32">
        <v>29</v>
      </c>
      <c r="AE1043" s="32" t="s">
        <v>138</v>
      </c>
      <c r="AF1043" s="32">
        <v>29.4</v>
      </c>
      <c r="AG1043" s="28" t="s">
        <v>419</v>
      </c>
      <c r="AH1043" s="32" t="s">
        <v>138</v>
      </c>
      <c r="AI1043" s="32" t="s">
        <v>138</v>
      </c>
      <c r="AJ1043" s="32" t="s">
        <v>138</v>
      </c>
      <c r="AK1043" s="28" t="s">
        <v>20392</v>
      </c>
      <c r="AL1043" s="28" t="s">
        <v>20393</v>
      </c>
      <c r="AM1043" s="28" t="s">
        <v>20394</v>
      </c>
      <c r="AN1043" s="28" t="s">
        <v>20395</v>
      </c>
      <c r="AO1043" s="28" t="s">
        <v>20396</v>
      </c>
      <c r="AP1043" s="28" t="s">
        <v>2692</v>
      </c>
      <c r="AQ1043" s="28" t="s">
        <v>20397</v>
      </c>
      <c r="AR1043" s="28" t="s">
        <v>138</v>
      </c>
      <c r="AS1043" s="28" t="s">
        <v>2694</v>
      </c>
      <c r="AT1043" s="28" t="s">
        <v>138</v>
      </c>
      <c r="AU1043" s="28" t="s">
        <v>20398</v>
      </c>
      <c r="AV1043" s="28" t="s">
        <v>1054</v>
      </c>
      <c r="AW1043" s="28" t="s">
        <v>20399</v>
      </c>
      <c r="AX1043" s="28" t="s">
        <v>138</v>
      </c>
      <c r="AY1043" s="28" t="s">
        <v>138</v>
      </c>
      <c r="AZ1043" s="28" t="s">
        <v>530</v>
      </c>
      <c r="BA1043" s="28" t="s">
        <v>531</v>
      </c>
      <c r="BB1043" s="28" t="s">
        <v>20400</v>
      </c>
      <c r="BC1043" s="28" t="s">
        <v>20401</v>
      </c>
      <c r="BD1043" s="33">
        <v>27</v>
      </c>
      <c r="BE1043" s="28" t="s">
        <v>138</v>
      </c>
      <c r="BF1043" s="28" t="s">
        <v>138</v>
      </c>
      <c r="BG1043" s="28" t="s">
        <v>138</v>
      </c>
      <c r="BH1043" s="28" t="s">
        <v>20402</v>
      </c>
      <c r="BI1043" s="28" t="s">
        <v>138</v>
      </c>
      <c r="BJ1043" s="28" t="s">
        <v>138</v>
      </c>
      <c r="BK1043" s="28" t="s">
        <v>138</v>
      </c>
      <c r="BL1043" s="28" t="s">
        <v>138</v>
      </c>
      <c r="BM1043" s="34">
        <v>42006</v>
      </c>
      <c r="BN1043" s="29" t="s">
        <v>138</v>
      </c>
      <c r="BO1043" s="28" t="s">
        <v>138</v>
      </c>
      <c r="BP1043" s="29" t="s">
        <v>138</v>
      </c>
      <c r="BQ1043" s="28" t="s">
        <v>138</v>
      </c>
      <c r="BR1043" s="28" t="s">
        <v>1465</v>
      </c>
      <c r="BS1043" s="28" t="s">
        <v>138</v>
      </c>
      <c r="BT1043" s="28" t="s">
        <v>138</v>
      </c>
      <c r="BU1043" s="28" t="s">
        <v>177</v>
      </c>
      <c r="BV1043" s="28" t="s">
        <v>138</v>
      </c>
      <c r="BW1043" s="28" t="s">
        <v>138</v>
      </c>
      <c r="BX1043" s="28" t="s">
        <v>138</v>
      </c>
      <c r="BY1043" s="28" t="s">
        <v>175</v>
      </c>
      <c r="BZ1043" s="34">
        <v>43580</v>
      </c>
      <c r="CA1043" s="29">
        <v>3.03</v>
      </c>
      <c r="CB1043" s="28" t="s">
        <v>172</v>
      </c>
      <c r="CC1043" s="29" t="s">
        <v>138</v>
      </c>
      <c r="CD1043" s="28" t="s">
        <v>138</v>
      </c>
      <c r="CE1043" s="28" t="s">
        <v>205</v>
      </c>
      <c r="CF1043" s="28" t="s">
        <v>138</v>
      </c>
      <c r="CG1043" s="28" t="s">
        <v>138</v>
      </c>
      <c r="CH1043" s="28" t="s">
        <v>174</v>
      </c>
      <c r="CI1043" s="28" t="s">
        <v>138</v>
      </c>
      <c r="CJ1043" s="28" t="s">
        <v>138</v>
      </c>
      <c r="CK1043" s="28" t="s">
        <v>138</v>
      </c>
      <c r="CL1043" s="28" t="s">
        <v>175</v>
      </c>
      <c r="CM1043" s="34" t="s">
        <v>138</v>
      </c>
      <c r="CN1043" s="29" t="s">
        <v>138</v>
      </c>
      <c r="CO1043" s="35">
        <v>-8.14</v>
      </c>
      <c r="CP1043" s="36">
        <v>1</v>
      </c>
      <c r="CQ1043" s="35">
        <v>0.27</v>
      </c>
      <c r="CR1043" s="35">
        <v>3.24</v>
      </c>
      <c r="CS1043" s="35">
        <v>-1.88</v>
      </c>
      <c r="CT1043" s="36">
        <v>9</v>
      </c>
      <c r="CU1043" s="35">
        <v>-14.39</v>
      </c>
      <c r="CV1043" s="36">
        <v>1</v>
      </c>
      <c r="CW1043" s="35">
        <v>-1.88</v>
      </c>
      <c r="CX1043" s="36">
        <v>7</v>
      </c>
      <c r="CY1043" s="35" t="s">
        <v>138</v>
      </c>
      <c r="CZ1043" s="36" t="s">
        <v>138</v>
      </c>
      <c r="DA1043" s="35">
        <v>-14.39</v>
      </c>
      <c r="DB1043" s="36">
        <v>1</v>
      </c>
      <c r="DC1043" s="37">
        <v>107.69</v>
      </c>
      <c r="DD1043" s="36">
        <v>99</v>
      </c>
      <c r="DE1043" s="37">
        <v>-13.78</v>
      </c>
      <c r="DF1043" s="35">
        <v>-11.34</v>
      </c>
      <c r="DG1043" s="37">
        <v>214.92</v>
      </c>
      <c r="DH1043" s="36">
        <v>100</v>
      </c>
      <c r="DI1043" s="37">
        <v>0.47</v>
      </c>
      <c r="DJ1043" s="36">
        <v>35</v>
      </c>
      <c r="DK1043" s="37">
        <v>214.92</v>
      </c>
      <c r="DL1043" s="36">
        <v>99</v>
      </c>
      <c r="DM1043" s="37" t="s">
        <v>138</v>
      </c>
      <c r="DN1043" s="36" t="s">
        <v>138</v>
      </c>
      <c r="DO1043" s="37">
        <v>0.47</v>
      </c>
      <c r="DP1043" s="36">
        <v>37</v>
      </c>
      <c r="DQ1043" s="36">
        <v>73370</v>
      </c>
      <c r="DR1043" s="38">
        <v>1039</v>
      </c>
      <c r="DS1043" s="35">
        <v>1.44</v>
      </c>
      <c r="DT1043" s="36" t="s">
        <v>138</v>
      </c>
      <c r="DU1043" s="38" t="s">
        <v>138</v>
      </c>
      <c r="DV1043" s="35" t="s">
        <v>138</v>
      </c>
      <c r="DW1043" s="36">
        <v>165</v>
      </c>
      <c r="DX1043" s="39">
        <v>7</v>
      </c>
      <c r="DY1043" s="35">
        <v>4.43</v>
      </c>
      <c r="DZ1043" s="28" t="s">
        <v>178</v>
      </c>
      <c r="EA1043" s="34">
        <v>43622</v>
      </c>
      <c r="EB1043" s="29">
        <v>6.13</v>
      </c>
      <c r="EC1043" s="34">
        <v>42054</v>
      </c>
      <c r="ED1043" s="28" t="s">
        <v>234</v>
      </c>
      <c r="EE1043" s="40" t="str">
        <f>HYPERLINK("https://my.pitchbook.com?c=109108-81", "View company online")</f>
        <v>View company online</v>
      </c>
    </row>
    <row r="1044" spans="1:135">
      <c r="A1044" s="15" t="s">
        <v>20403</v>
      </c>
      <c r="B1044" s="15" t="s">
        <v>20404</v>
      </c>
      <c r="C1044" s="15" t="s">
        <v>138</v>
      </c>
      <c r="D1044" s="15" t="s">
        <v>138</v>
      </c>
      <c r="E1044" s="15" t="s">
        <v>20405</v>
      </c>
      <c r="F1044" s="15" t="s">
        <v>20403</v>
      </c>
      <c r="G1044" s="15" t="s">
        <v>20406</v>
      </c>
      <c r="H1044" s="15" t="s">
        <v>141</v>
      </c>
      <c r="I1044" s="15" t="s">
        <v>212</v>
      </c>
      <c r="J1044" s="15" t="s">
        <v>3547</v>
      </c>
      <c r="K1044" s="15" t="s">
        <v>20407</v>
      </c>
      <c r="L1044" s="15" t="s">
        <v>20408</v>
      </c>
      <c r="M1044" s="15" t="s">
        <v>20409</v>
      </c>
      <c r="N1044" s="15" t="s">
        <v>1452</v>
      </c>
      <c r="O1044" s="17" t="s">
        <v>138</v>
      </c>
      <c r="P1044" s="15" t="s">
        <v>812</v>
      </c>
      <c r="Q1044" s="15" t="s">
        <v>149</v>
      </c>
      <c r="R1044" s="15" t="s">
        <v>328</v>
      </c>
      <c r="S1044" s="15" t="s">
        <v>20410</v>
      </c>
      <c r="T1044" s="18">
        <v>200</v>
      </c>
      <c r="U1044" s="15" t="s">
        <v>20411</v>
      </c>
      <c r="V1044" s="15" t="s">
        <v>138</v>
      </c>
      <c r="W1044" s="15" t="s">
        <v>138</v>
      </c>
      <c r="X1044" s="19">
        <v>2008</v>
      </c>
      <c r="Y1044" s="15" t="s">
        <v>138</v>
      </c>
      <c r="Z1044" s="15" t="s">
        <v>138</v>
      </c>
      <c r="AA1044" s="15" t="s">
        <v>138</v>
      </c>
      <c r="AB1044" s="20">
        <v>3.88</v>
      </c>
      <c r="AC1044" s="20" t="s">
        <v>138</v>
      </c>
      <c r="AD1044" s="20" t="s">
        <v>138</v>
      </c>
      <c r="AE1044" s="20" t="s">
        <v>138</v>
      </c>
      <c r="AF1044" s="20" t="s">
        <v>138</v>
      </c>
      <c r="AG1044" s="15" t="s">
        <v>514</v>
      </c>
      <c r="AH1044" s="20" t="s">
        <v>138</v>
      </c>
      <c r="AI1044" s="20" t="s">
        <v>138</v>
      </c>
      <c r="AJ1044" s="20" t="s">
        <v>138</v>
      </c>
      <c r="AK1044" s="15" t="s">
        <v>20412</v>
      </c>
      <c r="AL1044" s="15" t="s">
        <v>20413</v>
      </c>
      <c r="AM1044" s="15" t="s">
        <v>304</v>
      </c>
      <c r="AN1044" s="15" t="s">
        <v>20414</v>
      </c>
      <c r="AO1044" s="15" t="s">
        <v>20415</v>
      </c>
      <c r="AP1044" s="15" t="s">
        <v>20416</v>
      </c>
      <c r="AQ1044" s="15" t="s">
        <v>20417</v>
      </c>
      <c r="AR1044" s="15" t="s">
        <v>138</v>
      </c>
      <c r="AS1044" s="15" t="s">
        <v>20418</v>
      </c>
      <c r="AT1044" s="15" t="s">
        <v>138</v>
      </c>
      <c r="AU1044" s="15" t="s">
        <v>20419</v>
      </c>
      <c r="AV1044" s="15" t="s">
        <v>946</v>
      </c>
      <c r="AW1044" s="15" t="s">
        <v>20415</v>
      </c>
      <c r="AX1044" s="15" t="s">
        <v>138</v>
      </c>
      <c r="AY1044" s="15" t="s">
        <v>20420</v>
      </c>
      <c r="AZ1044" s="15" t="s">
        <v>530</v>
      </c>
      <c r="BA1044" s="15" t="s">
        <v>531</v>
      </c>
      <c r="BB1044" s="15" t="s">
        <v>20421</v>
      </c>
      <c r="BC1044" s="15" t="s">
        <v>20422</v>
      </c>
      <c r="BD1044" s="21">
        <v>2</v>
      </c>
      <c r="BE1044" s="15" t="s">
        <v>138</v>
      </c>
      <c r="BF1044" s="15" t="s">
        <v>20423</v>
      </c>
      <c r="BG1044" s="15" t="s">
        <v>138</v>
      </c>
      <c r="BH1044" s="15" t="s">
        <v>20424</v>
      </c>
      <c r="BI1044" s="15" t="s">
        <v>20425</v>
      </c>
      <c r="BJ1044" s="15" t="s">
        <v>138</v>
      </c>
      <c r="BK1044" s="15" t="s">
        <v>20426</v>
      </c>
      <c r="BL1044" s="15" t="s">
        <v>20427</v>
      </c>
      <c r="BM1044" s="22">
        <v>40360</v>
      </c>
      <c r="BN1044" s="17" t="s">
        <v>138</v>
      </c>
      <c r="BO1044" s="15" t="s">
        <v>138</v>
      </c>
      <c r="BP1044" s="17" t="s">
        <v>138</v>
      </c>
      <c r="BQ1044" s="15" t="s">
        <v>138</v>
      </c>
      <c r="BR1044" s="15" t="s">
        <v>205</v>
      </c>
      <c r="BS1044" s="15" t="s">
        <v>138</v>
      </c>
      <c r="BT1044" s="15" t="s">
        <v>138</v>
      </c>
      <c r="BU1044" s="15" t="s">
        <v>174</v>
      </c>
      <c r="BV1044" s="15" t="s">
        <v>138</v>
      </c>
      <c r="BW1044" s="15" t="s">
        <v>138</v>
      </c>
      <c r="BX1044" s="15" t="s">
        <v>138</v>
      </c>
      <c r="BY1044" s="15" t="s">
        <v>175</v>
      </c>
      <c r="BZ1044" s="22">
        <v>43118</v>
      </c>
      <c r="CA1044" s="17">
        <v>12.18</v>
      </c>
      <c r="CB1044" s="15" t="s">
        <v>172</v>
      </c>
      <c r="CC1044" s="17">
        <v>12.18</v>
      </c>
      <c r="CD1044" s="15" t="s">
        <v>138</v>
      </c>
      <c r="CE1044" s="15" t="s">
        <v>349</v>
      </c>
      <c r="CF1044" s="15" t="s">
        <v>138</v>
      </c>
      <c r="CG1044" s="15" t="s">
        <v>138</v>
      </c>
      <c r="CH1044" s="15" t="s">
        <v>351</v>
      </c>
      <c r="CI1044" s="15" t="s">
        <v>138</v>
      </c>
      <c r="CJ1044" s="15" t="s">
        <v>138</v>
      </c>
      <c r="CK1044" s="15" t="s">
        <v>138</v>
      </c>
      <c r="CL1044" s="15" t="s">
        <v>175</v>
      </c>
      <c r="CM1044" s="22" t="s">
        <v>138</v>
      </c>
      <c r="CN1044" s="17" t="s">
        <v>138</v>
      </c>
      <c r="CO1044" s="23">
        <v>-3.03</v>
      </c>
      <c r="CP1044" s="24">
        <v>3</v>
      </c>
      <c r="CQ1044" s="23">
        <v>0.02</v>
      </c>
      <c r="CR1044" s="23">
        <v>0.7</v>
      </c>
      <c r="CS1044" s="23">
        <v>-6.94</v>
      </c>
      <c r="CT1044" s="24">
        <v>1</v>
      </c>
      <c r="CU1044" s="23">
        <v>0.88</v>
      </c>
      <c r="CV1044" s="24">
        <v>97</v>
      </c>
      <c r="CW1044" s="23">
        <v>-8.1999999999999993</v>
      </c>
      <c r="CX1044" s="24">
        <v>1</v>
      </c>
      <c r="CY1044" s="23">
        <v>-5.67</v>
      </c>
      <c r="CZ1044" s="24">
        <v>2</v>
      </c>
      <c r="DA1044" s="23">
        <v>0.92</v>
      </c>
      <c r="DB1044" s="24">
        <v>98</v>
      </c>
      <c r="DC1044" s="25">
        <v>5.68</v>
      </c>
      <c r="DD1044" s="24">
        <v>84</v>
      </c>
      <c r="DE1044" s="25">
        <v>-0.1</v>
      </c>
      <c r="DF1044" s="23">
        <v>-1.69</v>
      </c>
      <c r="DG1044" s="25">
        <v>10.57</v>
      </c>
      <c r="DH1044" s="24">
        <v>90</v>
      </c>
      <c r="DI1044" s="25">
        <v>0.8</v>
      </c>
      <c r="DJ1044" s="24">
        <v>45</v>
      </c>
      <c r="DK1044" s="25">
        <v>3.62</v>
      </c>
      <c r="DL1044" s="24">
        <v>75</v>
      </c>
      <c r="DM1044" s="25">
        <v>17.52</v>
      </c>
      <c r="DN1044" s="24">
        <v>93</v>
      </c>
      <c r="DO1044" s="25">
        <v>0.44</v>
      </c>
      <c r="DP1044" s="24">
        <v>36</v>
      </c>
      <c r="DQ1044" s="24">
        <v>1193</v>
      </c>
      <c r="DR1044" s="26">
        <v>140</v>
      </c>
      <c r="DS1044" s="23">
        <v>13.3</v>
      </c>
      <c r="DT1044" s="24">
        <v>507</v>
      </c>
      <c r="DU1044" s="26">
        <v>1</v>
      </c>
      <c r="DV1044" s="23">
        <v>0.2</v>
      </c>
      <c r="DW1044" s="24">
        <v>156</v>
      </c>
      <c r="DX1044" s="27">
        <v>2</v>
      </c>
      <c r="DY1044" s="23">
        <v>1.3</v>
      </c>
      <c r="DZ1044" s="15" t="s">
        <v>178</v>
      </c>
      <c r="EA1044" s="22">
        <v>43622</v>
      </c>
      <c r="EB1044" s="17">
        <v>12.18</v>
      </c>
      <c r="EC1044" s="22">
        <v>43118</v>
      </c>
      <c r="ED1044" s="15" t="s">
        <v>349</v>
      </c>
      <c r="EE1044" s="14" t="str">
        <f>HYPERLINK("https://my.pitchbook.com?c=56377-18", "View company online")</f>
        <v>View company online</v>
      </c>
    </row>
    <row r="1045" spans="1:135">
      <c r="A1045" s="28" t="s">
        <v>20428</v>
      </c>
      <c r="B1045" s="28" t="s">
        <v>20429</v>
      </c>
      <c r="C1045" s="28" t="s">
        <v>138</v>
      </c>
      <c r="D1045" s="28" t="s">
        <v>138</v>
      </c>
      <c r="E1045" s="28" t="s">
        <v>20430</v>
      </c>
      <c r="F1045" s="28" t="s">
        <v>20428</v>
      </c>
      <c r="G1045" s="28" t="s">
        <v>20431</v>
      </c>
      <c r="H1045" s="28" t="s">
        <v>322</v>
      </c>
      <c r="I1045" s="28" t="s">
        <v>323</v>
      </c>
      <c r="J1045" s="28" t="s">
        <v>413</v>
      </c>
      <c r="K1045" s="28" t="s">
        <v>20432</v>
      </c>
      <c r="L1045" s="28" t="s">
        <v>20433</v>
      </c>
      <c r="M1045" s="28" t="s">
        <v>20434</v>
      </c>
      <c r="N1045" s="28" t="s">
        <v>147</v>
      </c>
      <c r="O1045" s="29">
        <v>76.2</v>
      </c>
      <c r="P1045" s="28" t="s">
        <v>148</v>
      </c>
      <c r="Q1045" s="28" t="s">
        <v>149</v>
      </c>
      <c r="R1045" s="28" t="s">
        <v>174</v>
      </c>
      <c r="S1045" s="28" t="s">
        <v>20435</v>
      </c>
      <c r="T1045" s="30">
        <v>130</v>
      </c>
      <c r="U1045" s="28" t="s">
        <v>20436</v>
      </c>
      <c r="V1045" s="28" t="s">
        <v>138</v>
      </c>
      <c r="W1045" s="28" t="s">
        <v>138</v>
      </c>
      <c r="X1045" s="31">
        <v>2014</v>
      </c>
      <c r="Y1045" s="28" t="s">
        <v>138</v>
      </c>
      <c r="Z1045" s="28" t="s">
        <v>138</v>
      </c>
      <c r="AA1045" s="28" t="s">
        <v>138</v>
      </c>
      <c r="AB1045" s="32" t="s">
        <v>138</v>
      </c>
      <c r="AC1045" s="32" t="s">
        <v>138</v>
      </c>
      <c r="AD1045" s="32" t="s">
        <v>138</v>
      </c>
      <c r="AE1045" s="32" t="s">
        <v>138</v>
      </c>
      <c r="AF1045" s="32" t="s">
        <v>138</v>
      </c>
      <c r="AG1045" s="28" t="s">
        <v>138</v>
      </c>
      <c r="AH1045" s="32" t="s">
        <v>138</v>
      </c>
      <c r="AI1045" s="32" t="s">
        <v>138</v>
      </c>
      <c r="AJ1045" s="32" t="s">
        <v>138</v>
      </c>
      <c r="AK1045" s="28" t="s">
        <v>20437</v>
      </c>
      <c r="AL1045" s="28" t="s">
        <v>20438</v>
      </c>
      <c r="AM1045" s="28" t="s">
        <v>221</v>
      </c>
      <c r="AN1045" s="28" t="s">
        <v>20439</v>
      </c>
      <c r="AO1045" s="28" t="s">
        <v>20440</v>
      </c>
      <c r="AP1045" s="28" t="s">
        <v>3905</v>
      </c>
      <c r="AQ1045" s="28" t="s">
        <v>20441</v>
      </c>
      <c r="AR1045" s="28" t="s">
        <v>20442</v>
      </c>
      <c r="AS1045" s="28" t="s">
        <v>3907</v>
      </c>
      <c r="AT1045" s="28" t="s">
        <v>2740</v>
      </c>
      <c r="AU1045" s="28" t="s">
        <v>20443</v>
      </c>
      <c r="AV1045" s="28" t="s">
        <v>2742</v>
      </c>
      <c r="AW1045" s="28" t="s">
        <v>20440</v>
      </c>
      <c r="AX1045" s="28" t="s">
        <v>138</v>
      </c>
      <c r="AY1045" s="28" t="s">
        <v>20444</v>
      </c>
      <c r="AZ1045" s="28" t="s">
        <v>164</v>
      </c>
      <c r="BA1045" s="28" t="s">
        <v>165</v>
      </c>
      <c r="BB1045" s="28" t="s">
        <v>20445</v>
      </c>
      <c r="BC1045" s="28" t="s">
        <v>20446</v>
      </c>
      <c r="BD1045" s="33">
        <v>16</v>
      </c>
      <c r="BE1045" s="28" t="s">
        <v>138</v>
      </c>
      <c r="BF1045" s="28" t="s">
        <v>138</v>
      </c>
      <c r="BG1045" s="28" t="s">
        <v>138</v>
      </c>
      <c r="BH1045" s="28" t="s">
        <v>20447</v>
      </c>
      <c r="BI1045" s="28" t="s">
        <v>138</v>
      </c>
      <c r="BJ1045" s="28" t="s">
        <v>138</v>
      </c>
      <c r="BK1045" s="28" t="s">
        <v>20448</v>
      </c>
      <c r="BL1045" s="28" t="s">
        <v>20449</v>
      </c>
      <c r="BM1045" s="34">
        <v>41955</v>
      </c>
      <c r="BN1045" s="29">
        <v>4</v>
      </c>
      <c r="BO1045" s="28" t="s">
        <v>172</v>
      </c>
      <c r="BP1045" s="29" t="s">
        <v>138</v>
      </c>
      <c r="BQ1045" s="28" t="s">
        <v>138</v>
      </c>
      <c r="BR1045" s="28" t="s">
        <v>234</v>
      </c>
      <c r="BS1045" s="28" t="s">
        <v>234</v>
      </c>
      <c r="BT1045" s="28" t="s">
        <v>138</v>
      </c>
      <c r="BU1045" s="28" t="s">
        <v>174</v>
      </c>
      <c r="BV1045" s="28" t="s">
        <v>138</v>
      </c>
      <c r="BW1045" s="28" t="s">
        <v>138</v>
      </c>
      <c r="BX1045" s="28" t="s">
        <v>138</v>
      </c>
      <c r="BY1045" s="28" t="s">
        <v>175</v>
      </c>
      <c r="BZ1045" s="34">
        <v>43305</v>
      </c>
      <c r="CA1045" s="29">
        <v>47.2</v>
      </c>
      <c r="CB1045" s="28" t="s">
        <v>172</v>
      </c>
      <c r="CC1045" s="29" t="s">
        <v>138</v>
      </c>
      <c r="CD1045" s="28" t="s">
        <v>138</v>
      </c>
      <c r="CE1045" s="28" t="s">
        <v>205</v>
      </c>
      <c r="CF1045" s="28" t="s">
        <v>720</v>
      </c>
      <c r="CG1045" s="28" t="s">
        <v>138</v>
      </c>
      <c r="CH1045" s="28" t="s">
        <v>174</v>
      </c>
      <c r="CI1045" s="28" t="s">
        <v>138</v>
      </c>
      <c r="CJ1045" s="28" t="s">
        <v>138</v>
      </c>
      <c r="CK1045" s="28" t="s">
        <v>138</v>
      </c>
      <c r="CL1045" s="28" t="s">
        <v>175</v>
      </c>
      <c r="CM1045" s="34" t="s">
        <v>138</v>
      </c>
      <c r="CN1045" s="29" t="s">
        <v>138</v>
      </c>
      <c r="CO1045" s="35">
        <v>0.82</v>
      </c>
      <c r="CP1045" s="36">
        <v>97</v>
      </c>
      <c r="CQ1045" s="35">
        <v>0</v>
      </c>
      <c r="CR1045" s="35">
        <v>0.33</v>
      </c>
      <c r="CS1045" s="35">
        <v>0.76</v>
      </c>
      <c r="CT1045" s="36">
        <v>96</v>
      </c>
      <c r="CU1045" s="35">
        <v>0.08</v>
      </c>
      <c r="CV1045" s="36">
        <v>64</v>
      </c>
      <c r="CW1045" s="35">
        <v>2.35</v>
      </c>
      <c r="CX1045" s="36">
        <v>89</v>
      </c>
      <c r="CY1045" s="35">
        <v>-0.84</v>
      </c>
      <c r="CZ1045" s="36">
        <v>20</v>
      </c>
      <c r="DA1045" s="35">
        <v>0.05</v>
      </c>
      <c r="DB1045" s="36">
        <v>64</v>
      </c>
      <c r="DC1045" s="37">
        <v>3.9</v>
      </c>
      <c r="DD1045" s="36">
        <v>79</v>
      </c>
      <c r="DE1045" s="37">
        <v>-7.0000000000000007E-2</v>
      </c>
      <c r="DF1045" s="35">
        <v>-1.72</v>
      </c>
      <c r="DG1045" s="37">
        <v>3.87</v>
      </c>
      <c r="DH1045" s="36">
        <v>79</v>
      </c>
      <c r="DI1045" s="37">
        <v>7.56</v>
      </c>
      <c r="DJ1045" s="36">
        <v>82</v>
      </c>
      <c r="DK1045" s="37">
        <v>4.29</v>
      </c>
      <c r="DL1045" s="36">
        <v>77</v>
      </c>
      <c r="DM1045" s="37">
        <v>3.45</v>
      </c>
      <c r="DN1045" s="36">
        <v>76</v>
      </c>
      <c r="DO1045" s="37">
        <v>13.01</v>
      </c>
      <c r="DP1045" s="36">
        <v>89</v>
      </c>
      <c r="DQ1045" s="36">
        <v>1445</v>
      </c>
      <c r="DR1045" s="38">
        <v>80</v>
      </c>
      <c r="DS1045" s="35">
        <v>5.86</v>
      </c>
      <c r="DT1045" s="36">
        <v>99</v>
      </c>
      <c r="DU1045" s="38">
        <v>1</v>
      </c>
      <c r="DV1045" s="35">
        <v>1.02</v>
      </c>
      <c r="DW1045" s="36">
        <v>4656</v>
      </c>
      <c r="DX1045" s="39">
        <v>6</v>
      </c>
      <c r="DY1045" s="35">
        <v>0.13</v>
      </c>
      <c r="DZ1045" s="28" t="s">
        <v>178</v>
      </c>
      <c r="EA1045" s="34">
        <v>43615</v>
      </c>
      <c r="EB1045" s="29" t="s">
        <v>138</v>
      </c>
      <c r="EC1045" s="34" t="s">
        <v>138</v>
      </c>
      <c r="ED1045" s="28" t="s">
        <v>138</v>
      </c>
      <c r="EE1045" s="40" t="str">
        <f>HYPERLINK("https://my.pitchbook.com?c=99423-28", "View company online")</f>
        <v>View company online</v>
      </c>
    </row>
    <row r="1046" spans="1:135">
      <c r="A1046" s="15" t="s">
        <v>20450</v>
      </c>
      <c r="B1046" s="15" t="s">
        <v>20451</v>
      </c>
      <c r="C1046" s="15" t="s">
        <v>138</v>
      </c>
      <c r="D1046" s="15" t="s">
        <v>138</v>
      </c>
      <c r="E1046" s="15" t="s">
        <v>20452</v>
      </c>
      <c r="F1046" s="15" t="s">
        <v>20450</v>
      </c>
      <c r="G1046" s="15" t="s">
        <v>20453</v>
      </c>
      <c r="H1046" s="15" t="s">
        <v>141</v>
      </c>
      <c r="I1046" s="15" t="s">
        <v>212</v>
      </c>
      <c r="J1046" s="15" t="s">
        <v>213</v>
      </c>
      <c r="K1046" s="15" t="s">
        <v>1064</v>
      </c>
      <c r="L1046" s="15" t="s">
        <v>20454</v>
      </c>
      <c r="M1046" s="15" t="s">
        <v>20455</v>
      </c>
      <c r="N1046" s="15" t="s">
        <v>147</v>
      </c>
      <c r="O1046" s="17">
        <v>1.39</v>
      </c>
      <c r="P1046" s="15" t="s">
        <v>148</v>
      </c>
      <c r="Q1046" s="15" t="s">
        <v>149</v>
      </c>
      <c r="R1046" s="15" t="s">
        <v>174</v>
      </c>
      <c r="S1046" s="15" t="s">
        <v>20456</v>
      </c>
      <c r="T1046" s="18">
        <v>14</v>
      </c>
      <c r="U1046" s="15" t="s">
        <v>20457</v>
      </c>
      <c r="V1046" s="15" t="s">
        <v>138</v>
      </c>
      <c r="W1046" s="15" t="s">
        <v>138</v>
      </c>
      <c r="X1046" s="19">
        <v>2011</v>
      </c>
      <c r="Y1046" s="15" t="s">
        <v>138</v>
      </c>
      <c r="Z1046" s="15" t="s">
        <v>138</v>
      </c>
      <c r="AA1046" s="15" t="s">
        <v>138</v>
      </c>
      <c r="AB1046" s="20" t="s">
        <v>138</v>
      </c>
      <c r="AC1046" s="20" t="s">
        <v>138</v>
      </c>
      <c r="AD1046" s="20" t="s">
        <v>138</v>
      </c>
      <c r="AE1046" s="20" t="s">
        <v>138</v>
      </c>
      <c r="AF1046" s="20" t="s">
        <v>138</v>
      </c>
      <c r="AG1046" s="15" t="s">
        <v>138</v>
      </c>
      <c r="AH1046" s="20" t="s">
        <v>138</v>
      </c>
      <c r="AI1046" s="20" t="s">
        <v>138</v>
      </c>
      <c r="AJ1046" s="20" t="s">
        <v>138</v>
      </c>
      <c r="AK1046" s="15" t="s">
        <v>20458</v>
      </c>
      <c r="AL1046" s="15" t="s">
        <v>20459</v>
      </c>
      <c r="AM1046" s="15" t="s">
        <v>304</v>
      </c>
      <c r="AN1046" s="15" t="s">
        <v>20460</v>
      </c>
      <c r="AO1046" s="15" t="s">
        <v>20461</v>
      </c>
      <c r="AP1046" s="15" t="s">
        <v>13061</v>
      </c>
      <c r="AQ1046" s="15" t="s">
        <v>20462</v>
      </c>
      <c r="AR1046" s="15" t="s">
        <v>1030</v>
      </c>
      <c r="AS1046" s="15" t="s">
        <v>13063</v>
      </c>
      <c r="AT1046" s="15" t="s">
        <v>13064</v>
      </c>
      <c r="AU1046" s="15" t="s">
        <v>20463</v>
      </c>
      <c r="AV1046" s="15" t="s">
        <v>2742</v>
      </c>
      <c r="AW1046" s="15" t="s">
        <v>20461</v>
      </c>
      <c r="AX1046" s="15" t="s">
        <v>138</v>
      </c>
      <c r="AY1046" s="15" t="s">
        <v>20464</v>
      </c>
      <c r="AZ1046" s="15" t="s">
        <v>164</v>
      </c>
      <c r="BA1046" s="15" t="s">
        <v>165</v>
      </c>
      <c r="BB1046" s="15" t="s">
        <v>20465</v>
      </c>
      <c r="BC1046" s="15" t="s">
        <v>20466</v>
      </c>
      <c r="BD1046" s="21">
        <v>12</v>
      </c>
      <c r="BE1046" s="15" t="s">
        <v>138</v>
      </c>
      <c r="BF1046" s="15" t="s">
        <v>138</v>
      </c>
      <c r="BG1046" s="15" t="s">
        <v>138</v>
      </c>
      <c r="BH1046" s="15" t="s">
        <v>20467</v>
      </c>
      <c r="BI1046" s="15" t="s">
        <v>138</v>
      </c>
      <c r="BJ1046" s="15" t="s">
        <v>138</v>
      </c>
      <c r="BK1046" s="15" t="s">
        <v>138</v>
      </c>
      <c r="BL1046" s="15" t="s">
        <v>138</v>
      </c>
      <c r="BM1046" s="22" t="s">
        <v>138</v>
      </c>
      <c r="BN1046" s="17" t="s">
        <v>138</v>
      </c>
      <c r="BO1046" s="15" t="s">
        <v>138</v>
      </c>
      <c r="BP1046" s="17" t="s">
        <v>138</v>
      </c>
      <c r="BQ1046" s="15" t="s">
        <v>138</v>
      </c>
      <c r="BR1046" s="15" t="s">
        <v>316</v>
      </c>
      <c r="BS1046" s="15" t="s">
        <v>138</v>
      </c>
      <c r="BT1046" s="15" t="s">
        <v>138</v>
      </c>
      <c r="BU1046" s="15" t="s">
        <v>177</v>
      </c>
      <c r="BV1046" s="15" t="s">
        <v>138</v>
      </c>
      <c r="BW1046" s="15" t="s">
        <v>138</v>
      </c>
      <c r="BX1046" s="15" t="s">
        <v>138</v>
      </c>
      <c r="BY1046" s="15" t="s">
        <v>175</v>
      </c>
      <c r="BZ1046" s="22">
        <v>42171</v>
      </c>
      <c r="CA1046" s="17" t="s">
        <v>138</v>
      </c>
      <c r="CB1046" s="15" t="s">
        <v>138</v>
      </c>
      <c r="CC1046" s="17" t="s">
        <v>138</v>
      </c>
      <c r="CD1046" s="15" t="s">
        <v>138</v>
      </c>
      <c r="CE1046" s="15" t="s">
        <v>205</v>
      </c>
      <c r="CF1046" s="15" t="s">
        <v>138</v>
      </c>
      <c r="CG1046" s="15" t="s">
        <v>138</v>
      </c>
      <c r="CH1046" s="15" t="s">
        <v>174</v>
      </c>
      <c r="CI1046" s="15" t="s">
        <v>138</v>
      </c>
      <c r="CJ1046" s="15" t="s">
        <v>138</v>
      </c>
      <c r="CK1046" s="15" t="s">
        <v>138</v>
      </c>
      <c r="CL1046" s="15" t="s">
        <v>175</v>
      </c>
      <c r="CM1046" s="22" t="s">
        <v>138</v>
      </c>
      <c r="CN1046" s="17" t="s">
        <v>138</v>
      </c>
      <c r="CO1046" s="23">
        <v>0.05</v>
      </c>
      <c r="CP1046" s="24">
        <v>88</v>
      </c>
      <c r="CQ1046" s="23">
        <v>0.01</v>
      </c>
      <c r="CR1046" s="23">
        <v>12.33</v>
      </c>
      <c r="CS1046" s="23">
        <v>0</v>
      </c>
      <c r="CT1046" s="24">
        <v>23</v>
      </c>
      <c r="CU1046" s="23">
        <v>0.1</v>
      </c>
      <c r="CV1046" s="24">
        <v>68</v>
      </c>
      <c r="CW1046" s="23">
        <v>0</v>
      </c>
      <c r="CX1046" s="24">
        <v>13</v>
      </c>
      <c r="CY1046" s="23" t="s">
        <v>138</v>
      </c>
      <c r="CZ1046" s="24" t="s">
        <v>138</v>
      </c>
      <c r="DA1046" s="23">
        <v>0.1</v>
      </c>
      <c r="DB1046" s="24">
        <v>72</v>
      </c>
      <c r="DC1046" s="25">
        <v>4.21</v>
      </c>
      <c r="DD1046" s="24">
        <v>80</v>
      </c>
      <c r="DE1046" s="25">
        <v>-0.12</v>
      </c>
      <c r="DF1046" s="23">
        <v>-2.81</v>
      </c>
      <c r="DG1046" s="25">
        <v>2.19</v>
      </c>
      <c r="DH1046" s="24">
        <v>69</v>
      </c>
      <c r="DI1046" s="25">
        <v>6.24</v>
      </c>
      <c r="DJ1046" s="24">
        <v>80</v>
      </c>
      <c r="DK1046" s="25">
        <v>2.19</v>
      </c>
      <c r="DL1046" s="24">
        <v>66</v>
      </c>
      <c r="DM1046" s="25" t="s">
        <v>138</v>
      </c>
      <c r="DN1046" s="24" t="s">
        <v>138</v>
      </c>
      <c r="DO1046" s="25">
        <v>6.24</v>
      </c>
      <c r="DP1046" s="24">
        <v>82</v>
      </c>
      <c r="DQ1046" s="24">
        <v>724</v>
      </c>
      <c r="DR1046" s="26">
        <v>81</v>
      </c>
      <c r="DS1046" s="23">
        <v>12.6</v>
      </c>
      <c r="DT1046" s="24" t="s">
        <v>138</v>
      </c>
      <c r="DU1046" s="26" t="s">
        <v>138</v>
      </c>
      <c r="DV1046" s="23" t="s">
        <v>138</v>
      </c>
      <c r="DW1046" s="24">
        <v>2232</v>
      </c>
      <c r="DX1046" s="27">
        <v>4</v>
      </c>
      <c r="DY1046" s="23">
        <v>0.18</v>
      </c>
      <c r="DZ1046" s="15" t="s">
        <v>178</v>
      </c>
      <c r="EA1046" s="22">
        <v>43351</v>
      </c>
      <c r="EB1046" s="17" t="s">
        <v>138</v>
      </c>
      <c r="EC1046" s="22" t="s">
        <v>138</v>
      </c>
      <c r="ED1046" s="15" t="s">
        <v>138</v>
      </c>
      <c r="EE1046" s="14" t="str">
        <f>HYPERLINK("https://my.pitchbook.com?c=55483-48", "View company online")</f>
        <v>View company online</v>
      </c>
    </row>
    <row r="1047" spans="1:135">
      <c r="A1047" s="28" t="s">
        <v>20468</v>
      </c>
      <c r="B1047" s="28" t="s">
        <v>20469</v>
      </c>
      <c r="C1047" s="28" t="s">
        <v>20470</v>
      </c>
      <c r="D1047" s="28" t="s">
        <v>138</v>
      </c>
      <c r="E1047" s="28" t="s">
        <v>20471</v>
      </c>
      <c r="F1047" s="28" t="s">
        <v>20468</v>
      </c>
      <c r="G1047" s="28" t="s">
        <v>20472</v>
      </c>
      <c r="H1047" s="28" t="s">
        <v>322</v>
      </c>
      <c r="I1047" s="28" t="s">
        <v>323</v>
      </c>
      <c r="J1047" s="28" t="s">
        <v>324</v>
      </c>
      <c r="K1047" s="28" t="s">
        <v>3226</v>
      </c>
      <c r="L1047" s="28" t="s">
        <v>20473</v>
      </c>
      <c r="M1047" s="28" t="s">
        <v>20474</v>
      </c>
      <c r="N1047" s="28" t="s">
        <v>147</v>
      </c>
      <c r="O1047" s="29">
        <v>26.2</v>
      </c>
      <c r="P1047" s="28" t="s">
        <v>148</v>
      </c>
      <c r="Q1047" s="28" t="s">
        <v>149</v>
      </c>
      <c r="R1047" s="28" t="s">
        <v>244</v>
      </c>
      <c r="S1047" s="28" t="s">
        <v>20475</v>
      </c>
      <c r="T1047" s="30" t="s">
        <v>138</v>
      </c>
      <c r="U1047" s="28" t="s">
        <v>138</v>
      </c>
      <c r="V1047" s="28" t="s">
        <v>138</v>
      </c>
      <c r="W1047" s="28" t="s">
        <v>138</v>
      </c>
      <c r="X1047" s="31">
        <v>2011</v>
      </c>
      <c r="Y1047" s="28" t="s">
        <v>138</v>
      </c>
      <c r="Z1047" s="28" t="s">
        <v>138</v>
      </c>
      <c r="AA1047" s="28" t="s">
        <v>138</v>
      </c>
      <c r="AB1047" s="32" t="s">
        <v>138</v>
      </c>
      <c r="AC1047" s="32" t="s">
        <v>138</v>
      </c>
      <c r="AD1047" s="32" t="s">
        <v>138</v>
      </c>
      <c r="AE1047" s="32" t="s">
        <v>138</v>
      </c>
      <c r="AF1047" s="32" t="s">
        <v>138</v>
      </c>
      <c r="AG1047" s="28" t="s">
        <v>138</v>
      </c>
      <c r="AH1047" s="32" t="s">
        <v>138</v>
      </c>
      <c r="AI1047" s="32" t="s">
        <v>138</v>
      </c>
      <c r="AJ1047" s="32" t="s">
        <v>138</v>
      </c>
      <c r="AK1047" s="28" t="s">
        <v>20476</v>
      </c>
      <c r="AL1047" s="28" t="s">
        <v>20477</v>
      </c>
      <c r="AM1047" s="28" t="s">
        <v>566</v>
      </c>
      <c r="AN1047" s="28" t="s">
        <v>20478</v>
      </c>
      <c r="AO1047" s="28" t="s">
        <v>20479</v>
      </c>
      <c r="AP1047" s="28" t="s">
        <v>2842</v>
      </c>
      <c r="AQ1047" s="28" t="s">
        <v>20480</v>
      </c>
      <c r="AR1047" s="28" t="s">
        <v>6688</v>
      </c>
      <c r="AS1047" s="28" t="s">
        <v>2845</v>
      </c>
      <c r="AT1047" s="28" t="s">
        <v>200</v>
      </c>
      <c r="AU1047" s="28" t="s">
        <v>2846</v>
      </c>
      <c r="AV1047" s="28" t="s">
        <v>162</v>
      </c>
      <c r="AW1047" s="28" t="s">
        <v>20479</v>
      </c>
      <c r="AX1047" s="28" t="s">
        <v>138</v>
      </c>
      <c r="AY1047" s="28" t="s">
        <v>20481</v>
      </c>
      <c r="AZ1047" s="28" t="s">
        <v>164</v>
      </c>
      <c r="BA1047" s="28" t="s">
        <v>165</v>
      </c>
      <c r="BB1047" s="28" t="s">
        <v>20482</v>
      </c>
      <c r="BC1047" s="28" t="s">
        <v>20483</v>
      </c>
      <c r="BD1047" s="33">
        <v>43</v>
      </c>
      <c r="BE1047" s="28" t="s">
        <v>138</v>
      </c>
      <c r="BF1047" s="28" t="s">
        <v>138</v>
      </c>
      <c r="BG1047" s="28" t="s">
        <v>138</v>
      </c>
      <c r="BH1047" s="28" t="s">
        <v>20484</v>
      </c>
      <c r="BI1047" s="28" t="s">
        <v>138</v>
      </c>
      <c r="BJ1047" s="28" t="s">
        <v>138</v>
      </c>
      <c r="BK1047" s="28" t="s">
        <v>20485</v>
      </c>
      <c r="BL1047" s="28" t="s">
        <v>20486</v>
      </c>
      <c r="BM1047" s="34">
        <v>40725</v>
      </c>
      <c r="BN1047" s="29" t="s">
        <v>138</v>
      </c>
      <c r="BO1047" s="28" t="s">
        <v>138</v>
      </c>
      <c r="BP1047" s="29" t="s">
        <v>138</v>
      </c>
      <c r="BQ1047" s="28" t="s">
        <v>138</v>
      </c>
      <c r="BR1047" s="28" t="s">
        <v>316</v>
      </c>
      <c r="BS1047" s="28" t="s">
        <v>138</v>
      </c>
      <c r="BT1047" s="28" t="s">
        <v>138</v>
      </c>
      <c r="BU1047" s="28" t="s">
        <v>177</v>
      </c>
      <c r="BV1047" s="28" t="s">
        <v>138</v>
      </c>
      <c r="BW1047" s="28" t="s">
        <v>138</v>
      </c>
      <c r="BX1047" s="28" t="s">
        <v>138</v>
      </c>
      <c r="BY1047" s="28" t="s">
        <v>175</v>
      </c>
      <c r="BZ1047" s="34">
        <v>43332</v>
      </c>
      <c r="CA1047" s="29">
        <v>4</v>
      </c>
      <c r="CB1047" s="28" t="s">
        <v>172</v>
      </c>
      <c r="CC1047" s="29" t="s">
        <v>138</v>
      </c>
      <c r="CD1047" s="28" t="s">
        <v>138</v>
      </c>
      <c r="CE1047" s="28" t="s">
        <v>1326</v>
      </c>
      <c r="CF1047" s="28" t="s">
        <v>138</v>
      </c>
      <c r="CG1047" s="28" t="s">
        <v>138</v>
      </c>
      <c r="CH1047" s="28" t="s">
        <v>1327</v>
      </c>
      <c r="CI1047" s="28" t="s">
        <v>1397</v>
      </c>
      <c r="CJ1047" s="28" t="s">
        <v>138</v>
      </c>
      <c r="CK1047" s="28" t="s">
        <v>138</v>
      </c>
      <c r="CL1047" s="28" t="s">
        <v>175</v>
      </c>
      <c r="CM1047" s="34">
        <v>43332</v>
      </c>
      <c r="CN1047" s="29">
        <v>4</v>
      </c>
      <c r="CO1047" s="35">
        <v>-1.28</v>
      </c>
      <c r="CP1047" s="36">
        <v>9</v>
      </c>
      <c r="CQ1047" s="35">
        <v>-0.02</v>
      </c>
      <c r="CR1047" s="35">
        <v>-1.65</v>
      </c>
      <c r="CS1047" s="35">
        <v>-2.56</v>
      </c>
      <c r="CT1047" s="36">
        <v>7</v>
      </c>
      <c r="CU1047" s="35">
        <v>0</v>
      </c>
      <c r="CV1047" s="36">
        <v>22</v>
      </c>
      <c r="CW1047" s="35">
        <v>-1.67</v>
      </c>
      <c r="CX1047" s="36">
        <v>8</v>
      </c>
      <c r="CY1047" s="35">
        <v>-3.46</v>
      </c>
      <c r="CZ1047" s="36">
        <v>6</v>
      </c>
      <c r="DA1047" s="35">
        <v>-0.06</v>
      </c>
      <c r="DB1047" s="36">
        <v>11</v>
      </c>
      <c r="DC1047" s="37">
        <v>12.47</v>
      </c>
      <c r="DD1047" s="36">
        <v>92</v>
      </c>
      <c r="DE1047" s="37">
        <v>-0.23</v>
      </c>
      <c r="DF1047" s="35">
        <v>-1.79</v>
      </c>
      <c r="DG1047" s="37">
        <v>19.55</v>
      </c>
      <c r="DH1047" s="36">
        <v>95</v>
      </c>
      <c r="DI1047" s="37">
        <v>5.4</v>
      </c>
      <c r="DJ1047" s="36">
        <v>78</v>
      </c>
      <c r="DK1047" s="37">
        <v>7.13</v>
      </c>
      <c r="DL1047" s="36">
        <v>83</v>
      </c>
      <c r="DM1047" s="37">
        <v>31.97</v>
      </c>
      <c r="DN1047" s="36">
        <v>96</v>
      </c>
      <c r="DO1047" s="37">
        <v>7.22</v>
      </c>
      <c r="DP1047" s="36">
        <v>84</v>
      </c>
      <c r="DQ1047" s="36">
        <v>2440</v>
      </c>
      <c r="DR1047" s="38">
        <v>18</v>
      </c>
      <c r="DS1047" s="35">
        <v>0.74</v>
      </c>
      <c r="DT1047" s="36">
        <v>927</v>
      </c>
      <c r="DU1047" s="38">
        <v>-1</v>
      </c>
      <c r="DV1047" s="35">
        <v>-0.11</v>
      </c>
      <c r="DW1047" s="36">
        <v>2585</v>
      </c>
      <c r="DX1047" s="39">
        <v>-1</v>
      </c>
      <c r="DY1047" s="35">
        <v>-0.04</v>
      </c>
      <c r="DZ1047" s="28" t="s">
        <v>178</v>
      </c>
      <c r="EA1047" s="34">
        <v>43412</v>
      </c>
      <c r="EB1047" s="29">
        <v>43</v>
      </c>
      <c r="EC1047" s="34">
        <v>42709</v>
      </c>
      <c r="ED1047" s="28" t="s">
        <v>173</v>
      </c>
      <c r="EE1047" s="40" t="str">
        <f>HYPERLINK("https://my.pitchbook.com?c=54998-56", "View company online")</f>
        <v>View company online</v>
      </c>
    </row>
    <row r="1048" spans="1:135">
      <c r="A1048" s="15" t="s">
        <v>20487</v>
      </c>
      <c r="B1048" s="15" t="s">
        <v>20488</v>
      </c>
      <c r="C1048" s="15" t="s">
        <v>20489</v>
      </c>
      <c r="D1048" s="15" t="s">
        <v>138</v>
      </c>
      <c r="E1048" s="15" t="s">
        <v>20490</v>
      </c>
      <c r="F1048" s="15" t="s">
        <v>20487</v>
      </c>
      <c r="G1048" s="15" t="s">
        <v>20491</v>
      </c>
      <c r="H1048" s="15" t="s">
        <v>322</v>
      </c>
      <c r="I1048" s="15" t="s">
        <v>323</v>
      </c>
      <c r="J1048" s="15" t="s">
        <v>324</v>
      </c>
      <c r="K1048" s="15" t="s">
        <v>6969</v>
      </c>
      <c r="L1048" s="15" t="s">
        <v>20492</v>
      </c>
      <c r="M1048" s="15" t="s">
        <v>20493</v>
      </c>
      <c r="N1048" s="15" t="s">
        <v>147</v>
      </c>
      <c r="O1048" s="17">
        <v>37</v>
      </c>
      <c r="P1048" s="15" t="s">
        <v>148</v>
      </c>
      <c r="Q1048" s="15" t="s">
        <v>149</v>
      </c>
      <c r="R1048" s="15" t="s">
        <v>174</v>
      </c>
      <c r="S1048" s="15" t="s">
        <v>20494</v>
      </c>
      <c r="T1048" s="18">
        <v>50</v>
      </c>
      <c r="U1048" s="15" t="s">
        <v>20495</v>
      </c>
      <c r="V1048" s="15" t="s">
        <v>138</v>
      </c>
      <c r="W1048" s="15" t="s">
        <v>138</v>
      </c>
      <c r="X1048" s="19">
        <v>2013</v>
      </c>
      <c r="Y1048" s="15" t="s">
        <v>138</v>
      </c>
      <c r="Z1048" s="15" t="s">
        <v>138</v>
      </c>
      <c r="AA1048" s="15" t="s">
        <v>138</v>
      </c>
      <c r="AB1048" s="20" t="s">
        <v>138</v>
      </c>
      <c r="AC1048" s="20" t="s">
        <v>138</v>
      </c>
      <c r="AD1048" s="20" t="s">
        <v>138</v>
      </c>
      <c r="AE1048" s="20" t="s">
        <v>138</v>
      </c>
      <c r="AF1048" s="20" t="s">
        <v>138</v>
      </c>
      <c r="AG1048" s="15" t="s">
        <v>138</v>
      </c>
      <c r="AH1048" s="20" t="s">
        <v>138</v>
      </c>
      <c r="AI1048" s="20" t="s">
        <v>138</v>
      </c>
      <c r="AJ1048" s="20" t="s">
        <v>138</v>
      </c>
      <c r="AK1048" s="15" t="s">
        <v>20496</v>
      </c>
      <c r="AL1048" s="15" t="s">
        <v>20497</v>
      </c>
      <c r="AM1048" s="15" t="s">
        <v>304</v>
      </c>
      <c r="AN1048" s="15" t="s">
        <v>20498</v>
      </c>
      <c r="AO1048" s="15" t="s">
        <v>138</v>
      </c>
      <c r="AP1048" s="15" t="s">
        <v>665</v>
      </c>
      <c r="AQ1048" s="15" t="s">
        <v>14824</v>
      </c>
      <c r="AR1048" s="15" t="s">
        <v>713</v>
      </c>
      <c r="AS1048" s="15" t="s">
        <v>668</v>
      </c>
      <c r="AT1048" s="15" t="s">
        <v>200</v>
      </c>
      <c r="AU1048" s="15" t="s">
        <v>3557</v>
      </c>
      <c r="AV1048" s="15" t="s">
        <v>162</v>
      </c>
      <c r="AW1048" s="15" t="s">
        <v>138</v>
      </c>
      <c r="AX1048" s="15" t="s">
        <v>138</v>
      </c>
      <c r="AY1048" s="15" t="s">
        <v>20499</v>
      </c>
      <c r="AZ1048" s="15" t="s">
        <v>164</v>
      </c>
      <c r="BA1048" s="15" t="s">
        <v>165</v>
      </c>
      <c r="BB1048" s="15" t="s">
        <v>20500</v>
      </c>
      <c r="BC1048" s="15" t="s">
        <v>20501</v>
      </c>
      <c r="BD1048" s="21">
        <v>31</v>
      </c>
      <c r="BE1048" s="15" t="s">
        <v>138</v>
      </c>
      <c r="BF1048" s="15" t="s">
        <v>138</v>
      </c>
      <c r="BG1048" s="15" t="s">
        <v>138</v>
      </c>
      <c r="BH1048" s="15" t="s">
        <v>20502</v>
      </c>
      <c r="BI1048" s="15" t="s">
        <v>138</v>
      </c>
      <c r="BJ1048" s="15" t="s">
        <v>138</v>
      </c>
      <c r="BK1048" s="15" t="s">
        <v>4576</v>
      </c>
      <c r="BL1048" s="15" t="s">
        <v>1251</v>
      </c>
      <c r="BM1048" s="22">
        <v>41528</v>
      </c>
      <c r="BN1048" s="17">
        <v>0.05</v>
      </c>
      <c r="BO1048" s="15" t="s">
        <v>138</v>
      </c>
      <c r="BP1048" s="17" t="s">
        <v>138</v>
      </c>
      <c r="BQ1048" s="15" t="s">
        <v>138</v>
      </c>
      <c r="BR1048" s="15" t="s">
        <v>176</v>
      </c>
      <c r="BS1048" s="15" t="s">
        <v>138</v>
      </c>
      <c r="BT1048" s="15" t="s">
        <v>138</v>
      </c>
      <c r="BU1048" s="15" t="s">
        <v>177</v>
      </c>
      <c r="BV1048" s="15" t="s">
        <v>138</v>
      </c>
      <c r="BW1048" s="15" t="s">
        <v>138</v>
      </c>
      <c r="BX1048" s="15" t="s">
        <v>138</v>
      </c>
      <c r="BY1048" s="15" t="s">
        <v>175</v>
      </c>
      <c r="BZ1048" s="22">
        <v>42705</v>
      </c>
      <c r="CA1048" s="17">
        <v>15</v>
      </c>
      <c r="CB1048" s="15" t="s">
        <v>172</v>
      </c>
      <c r="CC1048" s="17">
        <v>45</v>
      </c>
      <c r="CD1048" s="15" t="s">
        <v>172</v>
      </c>
      <c r="CE1048" s="15" t="s">
        <v>205</v>
      </c>
      <c r="CF1048" s="15" t="s">
        <v>720</v>
      </c>
      <c r="CG1048" s="15" t="s">
        <v>138</v>
      </c>
      <c r="CH1048" s="15" t="s">
        <v>174</v>
      </c>
      <c r="CI1048" s="15" t="s">
        <v>138</v>
      </c>
      <c r="CJ1048" s="15" t="s">
        <v>138</v>
      </c>
      <c r="CK1048" s="15" t="s">
        <v>138</v>
      </c>
      <c r="CL1048" s="15" t="s">
        <v>175</v>
      </c>
      <c r="CM1048" s="22" t="s">
        <v>138</v>
      </c>
      <c r="CN1048" s="17" t="s">
        <v>138</v>
      </c>
      <c r="CO1048" s="23">
        <v>-0.28000000000000003</v>
      </c>
      <c r="CP1048" s="24">
        <v>19</v>
      </c>
      <c r="CQ1048" s="23">
        <v>0</v>
      </c>
      <c r="CR1048" s="23">
        <v>0.96</v>
      </c>
      <c r="CS1048" s="23">
        <v>-0.26</v>
      </c>
      <c r="CT1048" s="24">
        <v>21</v>
      </c>
      <c r="CU1048" s="23">
        <v>-0.08</v>
      </c>
      <c r="CV1048" s="24">
        <v>5</v>
      </c>
      <c r="CW1048" s="23">
        <v>-0.53</v>
      </c>
      <c r="CX1048" s="24">
        <v>11</v>
      </c>
      <c r="CY1048" s="23">
        <v>0</v>
      </c>
      <c r="CZ1048" s="24">
        <v>25</v>
      </c>
      <c r="DA1048" s="23">
        <v>-0.08</v>
      </c>
      <c r="DB1048" s="24">
        <v>8</v>
      </c>
      <c r="DC1048" s="25">
        <v>3.87</v>
      </c>
      <c r="DD1048" s="24">
        <v>79</v>
      </c>
      <c r="DE1048" s="25">
        <v>-0.06</v>
      </c>
      <c r="DF1048" s="23">
        <v>-1.54</v>
      </c>
      <c r="DG1048" s="25">
        <v>2.9</v>
      </c>
      <c r="DH1048" s="24">
        <v>74</v>
      </c>
      <c r="DI1048" s="25">
        <v>8.61</v>
      </c>
      <c r="DJ1048" s="24">
        <v>84</v>
      </c>
      <c r="DK1048" s="25">
        <v>3.21</v>
      </c>
      <c r="DL1048" s="24">
        <v>73</v>
      </c>
      <c r="DM1048" s="25">
        <v>2.59</v>
      </c>
      <c r="DN1048" s="24">
        <v>71</v>
      </c>
      <c r="DO1048" s="25">
        <v>8.61</v>
      </c>
      <c r="DP1048" s="24">
        <v>86</v>
      </c>
      <c r="DQ1048" s="24">
        <v>1100</v>
      </c>
      <c r="DR1048" s="26">
        <v>6</v>
      </c>
      <c r="DS1048" s="23">
        <v>0.55000000000000004</v>
      </c>
      <c r="DT1048" s="24">
        <v>75</v>
      </c>
      <c r="DU1048" s="26">
        <v>-1</v>
      </c>
      <c r="DV1048" s="23">
        <v>-1.32</v>
      </c>
      <c r="DW1048" s="24">
        <v>3083</v>
      </c>
      <c r="DX1048" s="27">
        <v>-1</v>
      </c>
      <c r="DY1048" s="23">
        <v>-0.03</v>
      </c>
      <c r="DZ1048" s="15" t="s">
        <v>178</v>
      </c>
      <c r="EA1048" s="22">
        <v>43511</v>
      </c>
      <c r="EB1048" s="17">
        <v>45</v>
      </c>
      <c r="EC1048" s="22">
        <v>42705</v>
      </c>
      <c r="ED1048" s="15" t="s">
        <v>205</v>
      </c>
      <c r="EE1048" s="14" t="str">
        <f>HYPERLINK("https://my.pitchbook.com?c=59019-58", "View company online")</f>
        <v>View company online</v>
      </c>
    </row>
    <row r="1049" spans="1:135">
      <c r="A1049" s="28" t="s">
        <v>20503</v>
      </c>
      <c r="B1049" s="28" t="s">
        <v>20504</v>
      </c>
      <c r="C1049" s="28" t="s">
        <v>138</v>
      </c>
      <c r="D1049" s="28" t="s">
        <v>138</v>
      </c>
      <c r="E1049" s="28" t="s">
        <v>20505</v>
      </c>
      <c r="F1049" s="28" t="s">
        <v>20503</v>
      </c>
      <c r="G1049" s="28" t="s">
        <v>20506</v>
      </c>
      <c r="H1049" s="28" t="s">
        <v>322</v>
      </c>
      <c r="I1049" s="28" t="s">
        <v>323</v>
      </c>
      <c r="J1049" s="28" t="s">
        <v>461</v>
      </c>
      <c r="K1049" s="28" t="s">
        <v>462</v>
      </c>
      <c r="L1049" s="28" t="s">
        <v>2210</v>
      </c>
      <c r="M1049" s="28" t="s">
        <v>20507</v>
      </c>
      <c r="N1049" s="28" t="s">
        <v>147</v>
      </c>
      <c r="O1049" s="29">
        <v>55.37</v>
      </c>
      <c r="P1049" s="28" t="s">
        <v>148</v>
      </c>
      <c r="Q1049" s="28" t="s">
        <v>149</v>
      </c>
      <c r="R1049" s="28" t="s">
        <v>244</v>
      </c>
      <c r="S1049" s="28" t="s">
        <v>20508</v>
      </c>
      <c r="T1049" s="30">
        <v>55</v>
      </c>
      <c r="U1049" s="28" t="s">
        <v>20509</v>
      </c>
      <c r="V1049" s="28" t="s">
        <v>138</v>
      </c>
      <c r="W1049" s="28" t="s">
        <v>138</v>
      </c>
      <c r="X1049" s="31">
        <v>2011</v>
      </c>
      <c r="Y1049" s="28" t="s">
        <v>138</v>
      </c>
      <c r="Z1049" s="28" t="s">
        <v>138</v>
      </c>
      <c r="AA1049" s="28" t="s">
        <v>138</v>
      </c>
      <c r="AB1049" s="32" t="s">
        <v>138</v>
      </c>
      <c r="AC1049" s="32" t="s">
        <v>138</v>
      </c>
      <c r="AD1049" s="32" t="s">
        <v>138</v>
      </c>
      <c r="AE1049" s="32" t="s">
        <v>138</v>
      </c>
      <c r="AF1049" s="32" t="s">
        <v>138</v>
      </c>
      <c r="AG1049" s="28" t="s">
        <v>138</v>
      </c>
      <c r="AH1049" s="32" t="s">
        <v>138</v>
      </c>
      <c r="AI1049" s="32" t="s">
        <v>138</v>
      </c>
      <c r="AJ1049" s="32" t="s">
        <v>138</v>
      </c>
      <c r="AK1049" s="28" t="s">
        <v>20510</v>
      </c>
      <c r="AL1049" s="28" t="s">
        <v>20511</v>
      </c>
      <c r="AM1049" s="28" t="s">
        <v>4399</v>
      </c>
      <c r="AN1049" s="28" t="s">
        <v>20512</v>
      </c>
      <c r="AO1049" s="28" t="s">
        <v>20513</v>
      </c>
      <c r="AP1049" s="28" t="s">
        <v>307</v>
      </c>
      <c r="AQ1049" s="28" t="s">
        <v>20514</v>
      </c>
      <c r="AR1049" s="28" t="s">
        <v>20515</v>
      </c>
      <c r="AS1049" s="28" t="s">
        <v>310</v>
      </c>
      <c r="AT1049" s="28" t="s">
        <v>200</v>
      </c>
      <c r="AU1049" s="28" t="s">
        <v>311</v>
      </c>
      <c r="AV1049" s="28" t="s">
        <v>162</v>
      </c>
      <c r="AW1049" s="28" t="s">
        <v>20513</v>
      </c>
      <c r="AX1049" s="28" t="s">
        <v>138</v>
      </c>
      <c r="AY1049" s="28" t="s">
        <v>20516</v>
      </c>
      <c r="AZ1049" s="28" t="s">
        <v>164</v>
      </c>
      <c r="BA1049" s="28" t="s">
        <v>165</v>
      </c>
      <c r="BB1049" s="28" t="s">
        <v>20517</v>
      </c>
      <c r="BC1049" s="28" t="s">
        <v>20518</v>
      </c>
      <c r="BD1049" s="33">
        <v>13</v>
      </c>
      <c r="BE1049" s="28" t="s">
        <v>138</v>
      </c>
      <c r="BF1049" s="28" t="s">
        <v>138</v>
      </c>
      <c r="BG1049" s="28" t="s">
        <v>138</v>
      </c>
      <c r="BH1049" s="28" t="s">
        <v>20519</v>
      </c>
      <c r="BI1049" s="28" t="s">
        <v>138</v>
      </c>
      <c r="BJ1049" s="28" t="s">
        <v>138</v>
      </c>
      <c r="BK1049" s="28" t="s">
        <v>20520</v>
      </c>
      <c r="BL1049" s="28" t="s">
        <v>1275</v>
      </c>
      <c r="BM1049" s="34">
        <v>40752</v>
      </c>
      <c r="BN1049" s="29">
        <v>0.9</v>
      </c>
      <c r="BO1049" s="28" t="s">
        <v>172</v>
      </c>
      <c r="BP1049" s="29">
        <v>3.75</v>
      </c>
      <c r="BQ1049" s="28" t="s">
        <v>172</v>
      </c>
      <c r="BR1049" s="28" t="s">
        <v>205</v>
      </c>
      <c r="BS1049" s="28" t="s">
        <v>206</v>
      </c>
      <c r="BT1049" s="28" t="s">
        <v>138</v>
      </c>
      <c r="BU1049" s="28" t="s">
        <v>174</v>
      </c>
      <c r="BV1049" s="28" t="s">
        <v>138</v>
      </c>
      <c r="BW1049" s="28" t="s">
        <v>138</v>
      </c>
      <c r="BX1049" s="28" t="s">
        <v>138</v>
      </c>
      <c r="BY1049" s="28" t="s">
        <v>175</v>
      </c>
      <c r="BZ1049" s="34">
        <v>42927</v>
      </c>
      <c r="CA1049" s="29">
        <v>28.5</v>
      </c>
      <c r="CB1049" s="28" t="s">
        <v>172</v>
      </c>
      <c r="CC1049" s="29">
        <v>114</v>
      </c>
      <c r="CD1049" s="28" t="s">
        <v>172</v>
      </c>
      <c r="CE1049" s="28" t="s">
        <v>173</v>
      </c>
      <c r="CF1049" s="28" t="s">
        <v>317</v>
      </c>
      <c r="CG1049" s="28" t="s">
        <v>138</v>
      </c>
      <c r="CH1049" s="28" t="s">
        <v>174</v>
      </c>
      <c r="CI1049" s="28" t="s">
        <v>138</v>
      </c>
      <c r="CJ1049" s="28" t="s">
        <v>138</v>
      </c>
      <c r="CK1049" s="28" t="s">
        <v>138</v>
      </c>
      <c r="CL1049" s="28" t="s">
        <v>175</v>
      </c>
      <c r="CM1049" s="34" t="s">
        <v>138</v>
      </c>
      <c r="CN1049" s="29" t="s">
        <v>138</v>
      </c>
      <c r="CO1049" s="35">
        <v>0.57999999999999996</v>
      </c>
      <c r="CP1049" s="36">
        <v>96</v>
      </c>
      <c r="CQ1049" s="35">
        <v>0.03</v>
      </c>
      <c r="CR1049" s="35">
        <v>5.75</v>
      </c>
      <c r="CS1049" s="35">
        <v>0.84</v>
      </c>
      <c r="CT1049" s="36">
        <v>96</v>
      </c>
      <c r="CU1049" s="35">
        <v>0.31</v>
      </c>
      <c r="CV1049" s="36">
        <v>88</v>
      </c>
      <c r="CW1049" s="35">
        <v>3.16</v>
      </c>
      <c r="CX1049" s="36">
        <v>92</v>
      </c>
      <c r="CY1049" s="35">
        <v>-1.48</v>
      </c>
      <c r="CZ1049" s="36">
        <v>15</v>
      </c>
      <c r="DA1049" s="35">
        <v>0.33</v>
      </c>
      <c r="DB1049" s="36">
        <v>90</v>
      </c>
      <c r="DC1049" s="37">
        <v>14.35</v>
      </c>
      <c r="DD1049" s="36">
        <v>93</v>
      </c>
      <c r="DE1049" s="37">
        <v>-0.36</v>
      </c>
      <c r="DF1049" s="35">
        <v>-2.4500000000000002</v>
      </c>
      <c r="DG1049" s="37">
        <v>23.71</v>
      </c>
      <c r="DH1049" s="36">
        <v>96</v>
      </c>
      <c r="DI1049" s="37">
        <v>4.99</v>
      </c>
      <c r="DJ1049" s="36">
        <v>77</v>
      </c>
      <c r="DK1049" s="37">
        <v>13.7</v>
      </c>
      <c r="DL1049" s="36">
        <v>89</v>
      </c>
      <c r="DM1049" s="37">
        <v>33.72</v>
      </c>
      <c r="DN1049" s="36">
        <v>97</v>
      </c>
      <c r="DO1049" s="37">
        <v>9.0500000000000007</v>
      </c>
      <c r="DP1049" s="36">
        <v>86</v>
      </c>
      <c r="DQ1049" s="36">
        <v>4577</v>
      </c>
      <c r="DR1049" s="38">
        <v>362</v>
      </c>
      <c r="DS1049" s="35">
        <v>8.59</v>
      </c>
      <c r="DT1049" s="36">
        <v>975</v>
      </c>
      <c r="DU1049" s="38">
        <v>7</v>
      </c>
      <c r="DV1049" s="35">
        <v>0.72</v>
      </c>
      <c r="DW1049" s="36">
        <v>3235</v>
      </c>
      <c r="DX1049" s="39">
        <v>10</v>
      </c>
      <c r="DY1049" s="35">
        <v>0.31</v>
      </c>
      <c r="DZ1049" s="28" t="s">
        <v>178</v>
      </c>
      <c r="EA1049" s="34">
        <v>43622</v>
      </c>
      <c r="EB1049" s="29">
        <v>114</v>
      </c>
      <c r="EC1049" s="34">
        <v>42927</v>
      </c>
      <c r="ED1049" s="28" t="s">
        <v>173</v>
      </c>
      <c r="EE1049" s="40" t="str">
        <f>HYPERLINK("https://my.pitchbook.com?c=55167-40", "View company online")</f>
        <v>View company online</v>
      </c>
    </row>
    <row r="1050" spans="1:135">
      <c r="A1050" s="15" t="s">
        <v>20521</v>
      </c>
      <c r="B1050" s="15" t="s">
        <v>20522</v>
      </c>
      <c r="C1050" s="15" t="s">
        <v>138</v>
      </c>
      <c r="D1050" s="15" t="s">
        <v>138</v>
      </c>
      <c r="E1050" s="15" t="s">
        <v>138</v>
      </c>
      <c r="F1050" s="15" t="s">
        <v>20521</v>
      </c>
      <c r="G1050" s="15" t="s">
        <v>20523</v>
      </c>
      <c r="H1050" s="15" t="s">
        <v>238</v>
      </c>
      <c r="I1050" s="15" t="s">
        <v>1018</v>
      </c>
      <c r="J1050" s="15" t="s">
        <v>4780</v>
      </c>
      <c r="K1050" s="15" t="s">
        <v>20524</v>
      </c>
      <c r="L1050" s="15" t="s">
        <v>415</v>
      </c>
      <c r="M1050" s="15" t="s">
        <v>20525</v>
      </c>
      <c r="N1050" s="15" t="s">
        <v>147</v>
      </c>
      <c r="O1050" s="17">
        <v>20</v>
      </c>
      <c r="P1050" s="15" t="s">
        <v>148</v>
      </c>
      <c r="Q1050" s="15" t="s">
        <v>149</v>
      </c>
      <c r="R1050" s="15" t="s">
        <v>174</v>
      </c>
      <c r="S1050" s="15" t="s">
        <v>20526</v>
      </c>
      <c r="T1050" s="18" t="s">
        <v>138</v>
      </c>
      <c r="U1050" s="15" t="s">
        <v>138</v>
      </c>
      <c r="V1050" s="15" t="s">
        <v>138</v>
      </c>
      <c r="W1050" s="15" t="s">
        <v>138</v>
      </c>
      <c r="X1050" s="19">
        <v>2014</v>
      </c>
      <c r="Y1050" s="15" t="s">
        <v>138</v>
      </c>
      <c r="Z1050" s="15" t="s">
        <v>138</v>
      </c>
      <c r="AA1050" s="15" t="s">
        <v>138</v>
      </c>
      <c r="AB1050" s="20" t="s">
        <v>138</v>
      </c>
      <c r="AC1050" s="20" t="s">
        <v>138</v>
      </c>
      <c r="AD1050" s="20" t="s">
        <v>138</v>
      </c>
      <c r="AE1050" s="20" t="s">
        <v>138</v>
      </c>
      <c r="AF1050" s="20" t="s">
        <v>138</v>
      </c>
      <c r="AG1050" s="15" t="s">
        <v>138</v>
      </c>
      <c r="AH1050" s="20" t="s">
        <v>138</v>
      </c>
      <c r="AI1050" s="20" t="s">
        <v>138</v>
      </c>
      <c r="AJ1050" s="20" t="s">
        <v>138</v>
      </c>
      <c r="AK1050" s="15" t="s">
        <v>20527</v>
      </c>
      <c r="AL1050" s="15" t="s">
        <v>20528</v>
      </c>
      <c r="AM1050" s="15" t="s">
        <v>20529</v>
      </c>
      <c r="AN1050" s="15" t="s">
        <v>20530</v>
      </c>
      <c r="AO1050" s="15" t="s">
        <v>20531</v>
      </c>
      <c r="AP1050" s="15" t="s">
        <v>423</v>
      </c>
      <c r="AQ1050" s="15" t="s">
        <v>7418</v>
      </c>
      <c r="AR1050" s="15" t="s">
        <v>138</v>
      </c>
      <c r="AS1050" s="15" t="s">
        <v>426</v>
      </c>
      <c r="AT1050" s="15" t="s">
        <v>426</v>
      </c>
      <c r="AU1050" s="15" t="s">
        <v>714</v>
      </c>
      <c r="AV1050" s="15" t="s">
        <v>162</v>
      </c>
      <c r="AW1050" s="15" t="s">
        <v>138</v>
      </c>
      <c r="AX1050" s="15" t="s">
        <v>138</v>
      </c>
      <c r="AY1050" s="15" t="s">
        <v>20532</v>
      </c>
      <c r="AZ1050" s="15" t="s">
        <v>164</v>
      </c>
      <c r="BA1050" s="15" t="s">
        <v>165</v>
      </c>
      <c r="BB1050" s="15" t="s">
        <v>20533</v>
      </c>
      <c r="BC1050" s="15" t="s">
        <v>20534</v>
      </c>
      <c r="BD1050" s="21">
        <v>18</v>
      </c>
      <c r="BE1050" s="15" t="s">
        <v>138</v>
      </c>
      <c r="BF1050" s="15" t="s">
        <v>138</v>
      </c>
      <c r="BG1050" s="15" t="s">
        <v>138</v>
      </c>
      <c r="BH1050" s="15" t="s">
        <v>20535</v>
      </c>
      <c r="BI1050" s="15" t="s">
        <v>138</v>
      </c>
      <c r="BJ1050" s="15" t="s">
        <v>138</v>
      </c>
      <c r="BK1050" s="15" t="s">
        <v>138</v>
      </c>
      <c r="BL1050" s="15" t="s">
        <v>3826</v>
      </c>
      <c r="BM1050" s="22">
        <v>42431</v>
      </c>
      <c r="BN1050" s="17">
        <v>2</v>
      </c>
      <c r="BO1050" s="15" t="s">
        <v>172</v>
      </c>
      <c r="BP1050" s="17">
        <v>12</v>
      </c>
      <c r="BQ1050" s="15" t="s">
        <v>172</v>
      </c>
      <c r="BR1050" s="15" t="s">
        <v>234</v>
      </c>
      <c r="BS1050" s="15" t="s">
        <v>234</v>
      </c>
      <c r="BT1050" s="15" t="s">
        <v>138</v>
      </c>
      <c r="BU1050" s="15" t="s">
        <v>174</v>
      </c>
      <c r="BV1050" s="15" t="s">
        <v>138</v>
      </c>
      <c r="BW1050" s="15" t="s">
        <v>138</v>
      </c>
      <c r="BX1050" s="15" t="s">
        <v>138</v>
      </c>
      <c r="BY1050" s="15" t="s">
        <v>175</v>
      </c>
      <c r="BZ1050" s="22">
        <v>43522</v>
      </c>
      <c r="CA1050" s="17">
        <v>13</v>
      </c>
      <c r="CB1050" s="15" t="s">
        <v>172</v>
      </c>
      <c r="CC1050" s="17">
        <v>39</v>
      </c>
      <c r="CD1050" s="15" t="s">
        <v>172</v>
      </c>
      <c r="CE1050" s="15" t="s">
        <v>205</v>
      </c>
      <c r="CF1050" s="15" t="s">
        <v>206</v>
      </c>
      <c r="CG1050" s="15" t="s">
        <v>138</v>
      </c>
      <c r="CH1050" s="15" t="s">
        <v>174</v>
      </c>
      <c r="CI1050" s="15" t="s">
        <v>138</v>
      </c>
      <c r="CJ1050" s="15" t="s">
        <v>138</v>
      </c>
      <c r="CK1050" s="15" t="s">
        <v>138</v>
      </c>
      <c r="CL1050" s="15" t="s">
        <v>175</v>
      </c>
      <c r="CM1050" s="22" t="s">
        <v>138</v>
      </c>
      <c r="CN1050" s="17" t="s">
        <v>138</v>
      </c>
      <c r="CO1050" s="23">
        <v>0.44</v>
      </c>
      <c r="CP1050" s="24">
        <v>95</v>
      </c>
      <c r="CQ1050" s="23">
        <v>0</v>
      </c>
      <c r="CR1050" s="23">
        <v>-0.43</v>
      </c>
      <c r="CS1050" s="23">
        <v>0.52</v>
      </c>
      <c r="CT1050" s="24">
        <v>95</v>
      </c>
      <c r="CU1050" s="23">
        <v>0.36</v>
      </c>
      <c r="CV1050" s="24">
        <v>90</v>
      </c>
      <c r="CW1050" s="23">
        <v>1.04</v>
      </c>
      <c r="CX1050" s="24">
        <v>85</v>
      </c>
      <c r="CY1050" s="23">
        <v>0</v>
      </c>
      <c r="CZ1050" s="24">
        <v>25</v>
      </c>
      <c r="DA1050" s="23">
        <v>0.36</v>
      </c>
      <c r="DB1050" s="24">
        <v>91</v>
      </c>
      <c r="DC1050" s="25">
        <v>6.28</v>
      </c>
      <c r="DD1050" s="24">
        <v>85</v>
      </c>
      <c r="DE1050" s="25">
        <v>2.25</v>
      </c>
      <c r="DF1050" s="23">
        <v>55.88</v>
      </c>
      <c r="DG1050" s="25">
        <v>2.5299999999999998</v>
      </c>
      <c r="DH1050" s="24">
        <v>71</v>
      </c>
      <c r="DI1050" s="25">
        <v>10.029999999999999</v>
      </c>
      <c r="DJ1050" s="24">
        <v>85</v>
      </c>
      <c r="DK1050" s="25">
        <v>3.89</v>
      </c>
      <c r="DL1050" s="24">
        <v>76</v>
      </c>
      <c r="DM1050" s="25">
        <v>1.17</v>
      </c>
      <c r="DN1050" s="24">
        <v>54</v>
      </c>
      <c r="DO1050" s="25">
        <v>10.029999999999999</v>
      </c>
      <c r="DP1050" s="24">
        <v>87</v>
      </c>
      <c r="DQ1050" s="24">
        <v>1292</v>
      </c>
      <c r="DR1050" s="26">
        <v>124</v>
      </c>
      <c r="DS1050" s="23">
        <v>10.62</v>
      </c>
      <c r="DT1050" s="24">
        <v>34</v>
      </c>
      <c r="DU1050" s="26">
        <v>1</v>
      </c>
      <c r="DV1050" s="23">
        <v>3.03</v>
      </c>
      <c r="DW1050" s="24">
        <v>3588</v>
      </c>
      <c r="DX1050" s="27">
        <v>6</v>
      </c>
      <c r="DY1050" s="23">
        <v>0.17</v>
      </c>
      <c r="DZ1050" s="15" t="s">
        <v>178</v>
      </c>
      <c r="EA1050" s="22">
        <v>43584</v>
      </c>
      <c r="EB1050" s="17">
        <v>39</v>
      </c>
      <c r="EC1050" s="22">
        <v>43522</v>
      </c>
      <c r="ED1050" s="15" t="s">
        <v>205</v>
      </c>
      <c r="EE1050" s="14" t="str">
        <f>HYPERLINK("https://my.pitchbook.com?c=127621-54", "View company online")</f>
        <v>View company online</v>
      </c>
    </row>
    <row r="1051" spans="1:135">
      <c r="A1051" s="28" t="s">
        <v>20536</v>
      </c>
      <c r="B1051" s="28" t="s">
        <v>20537</v>
      </c>
      <c r="C1051" s="28" t="s">
        <v>138</v>
      </c>
      <c r="D1051" s="28" t="s">
        <v>138</v>
      </c>
      <c r="E1051" s="28" t="s">
        <v>138</v>
      </c>
      <c r="F1051" s="28" t="s">
        <v>20536</v>
      </c>
      <c r="G1051" s="28" t="s">
        <v>20538</v>
      </c>
      <c r="H1051" s="28" t="s">
        <v>322</v>
      </c>
      <c r="I1051" s="28" t="s">
        <v>807</v>
      </c>
      <c r="J1051" s="28" t="s">
        <v>808</v>
      </c>
      <c r="K1051" s="28" t="s">
        <v>20539</v>
      </c>
      <c r="L1051" s="28" t="s">
        <v>855</v>
      </c>
      <c r="M1051" s="28" t="s">
        <v>20540</v>
      </c>
      <c r="N1051" s="28" t="s">
        <v>147</v>
      </c>
      <c r="O1051" s="29" t="s">
        <v>138</v>
      </c>
      <c r="P1051" s="28" t="s">
        <v>148</v>
      </c>
      <c r="Q1051" s="28" t="s">
        <v>149</v>
      </c>
      <c r="R1051" s="28" t="s">
        <v>174</v>
      </c>
      <c r="S1051" s="28" t="s">
        <v>20541</v>
      </c>
      <c r="T1051" s="30">
        <v>50</v>
      </c>
      <c r="U1051" s="28" t="s">
        <v>20542</v>
      </c>
      <c r="V1051" s="28" t="s">
        <v>138</v>
      </c>
      <c r="W1051" s="28" t="s">
        <v>138</v>
      </c>
      <c r="X1051" s="31">
        <v>2017</v>
      </c>
      <c r="Y1051" s="28" t="s">
        <v>138</v>
      </c>
      <c r="Z1051" s="28" t="s">
        <v>138</v>
      </c>
      <c r="AA1051" s="28" t="s">
        <v>138</v>
      </c>
      <c r="AB1051" s="32" t="s">
        <v>138</v>
      </c>
      <c r="AC1051" s="32" t="s">
        <v>138</v>
      </c>
      <c r="AD1051" s="32" t="s">
        <v>138</v>
      </c>
      <c r="AE1051" s="32" t="s">
        <v>138</v>
      </c>
      <c r="AF1051" s="32" t="s">
        <v>138</v>
      </c>
      <c r="AG1051" s="28" t="s">
        <v>138</v>
      </c>
      <c r="AH1051" s="32" t="s">
        <v>138</v>
      </c>
      <c r="AI1051" s="32" t="s">
        <v>138</v>
      </c>
      <c r="AJ1051" s="32" t="s">
        <v>138</v>
      </c>
      <c r="AK1051" s="28" t="s">
        <v>20543</v>
      </c>
      <c r="AL1051" s="28" t="s">
        <v>20544</v>
      </c>
      <c r="AM1051" s="28" t="s">
        <v>986</v>
      </c>
      <c r="AN1051" s="28" t="s">
        <v>20545</v>
      </c>
      <c r="AO1051" s="28" t="s">
        <v>138</v>
      </c>
      <c r="AP1051" s="28" t="s">
        <v>1168</v>
      </c>
      <c r="AQ1051" s="28" t="s">
        <v>20546</v>
      </c>
      <c r="AR1051" s="28" t="s">
        <v>1459</v>
      </c>
      <c r="AS1051" s="28" t="s">
        <v>1171</v>
      </c>
      <c r="AT1051" s="28" t="s">
        <v>200</v>
      </c>
      <c r="AU1051" s="28" t="s">
        <v>10793</v>
      </c>
      <c r="AV1051" s="28" t="s">
        <v>162</v>
      </c>
      <c r="AW1051" s="28" t="s">
        <v>138</v>
      </c>
      <c r="AX1051" s="28" t="s">
        <v>138</v>
      </c>
      <c r="AY1051" s="28" t="s">
        <v>20547</v>
      </c>
      <c r="AZ1051" s="28" t="s">
        <v>164</v>
      </c>
      <c r="BA1051" s="28" t="s">
        <v>165</v>
      </c>
      <c r="BB1051" s="28" t="s">
        <v>20548</v>
      </c>
      <c r="BC1051" s="28" t="s">
        <v>20549</v>
      </c>
      <c r="BD1051" s="33">
        <v>3</v>
      </c>
      <c r="BE1051" s="28" t="s">
        <v>138</v>
      </c>
      <c r="BF1051" s="28" t="s">
        <v>138</v>
      </c>
      <c r="BG1051" s="28" t="s">
        <v>138</v>
      </c>
      <c r="BH1051" s="28" t="s">
        <v>20550</v>
      </c>
      <c r="BI1051" s="28" t="s">
        <v>138</v>
      </c>
      <c r="BJ1051" s="28" t="s">
        <v>138</v>
      </c>
      <c r="BK1051" s="28" t="s">
        <v>138</v>
      </c>
      <c r="BL1051" s="28" t="s">
        <v>2936</v>
      </c>
      <c r="BM1051" s="34">
        <v>43130</v>
      </c>
      <c r="BN1051" s="29" t="s">
        <v>138</v>
      </c>
      <c r="BO1051" s="28" t="s">
        <v>138</v>
      </c>
      <c r="BP1051" s="29" t="s">
        <v>138</v>
      </c>
      <c r="BQ1051" s="28" t="s">
        <v>138</v>
      </c>
      <c r="BR1051" s="28" t="s">
        <v>205</v>
      </c>
      <c r="BS1051" s="28" t="s">
        <v>138</v>
      </c>
      <c r="BT1051" s="28" t="s">
        <v>138</v>
      </c>
      <c r="BU1051" s="28" t="s">
        <v>174</v>
      </c>
      <c r="BV1051" s="28" t="s">
        <v>138</v>
      </c>
      <c r="BW1051" s="28" t="s">
        <v>138</v>
      </c>
      <c r="BX1051" s="28" t="s">
        <v>138</v>
      </c>
      <c r="BY1051" s="28" t="s">
        <v>175</v>
      </c>
      <c r="BZ1051" s="34">
        <v>43556</v>
      </c>
      <c r="CA1051" s="29" t="s">
        <v>138</v>
      </c>
      <c r="CB1051" s="28" t="s">
        <v>138</v>
      </c>
      <c r="CC1051" s="29" t="s">
        <v>138</v>
      </c>
      <c r="CD1051" s="28" t="s">
        <v>138</v>
      </c>
      <c r="CE1051" s="28" t="s">
        <v>205</v>
      </c>
      <c r="CF1051" s="28" t="s">
        <v>138</v>
      </c>
      <c r="CG1051" s="28" t="s">
        <v>138</v>
      </c>
      <c r="CH1051" s="28" t="s">
        <v>174</v>
      </c>
      <c r="CI1051" s="28" t="s">
        <v>138</v>
      </c>
      <c r="CJ1051" s="28" t="s">
        <v>138</v>
      </c>
      <c r="CK1051" s="28" t="s">
        <v>138</v>
      </c>
      <c r="CL1051" s="28" t="s">
        <v>175</v>
      </c>
      <c r="CM1051" s="34" t="s">
        <v>138</v>
      </c>
      <c r="CN1051" s="29" t="s">
        <v>138</v>
      </c>
      <c r="CO1051" s="35">
        <v>1.43</v>
      </c>
      <c r="CP1051" s="36">
        <v>98</v>
      </c>
      <c r="CQ1051" s="35">
        <v>-0.15</v>
      </c>
      <c r="CR1051" s="35">
        <v>-9.33</v>
      </c>
      <c r="CS1051" s="35">
        <v>1.73</v>
      </c>
      <c r="CT1051" s="36">
        <v>98</v>
      </c>
      <c r="CU1051" s="35">
        <v>1.1200000000000001</v>
      </c>
      <c r="CV1051" s="36">
        <v>98</v>
      </c>
      <c r="CW1051" s="35">
        <v>3.22</v>
      </c>
      <c r="CX1051" s="36">
        <v>92</v>
      </c>
      <c r="CY1051" s="35">
        <v>0.24</v>
      </c>
      <c r="CZ1051" s="36">
        <v>98</v>
      </c>
      <c r="DA1051" s="35">
        <v>1.1200000000000001</v>
      </c>
      <c r="DB1051" s="36">
        <v>98</v>
      </c>
      <c r="DC1051" s="37">
        <v>10.73</v>
      </c>
      <c r="DD1051" s="36">
        <v>91</v>
      </c>
      <c r="DE1051" s="37">
        <v>-1.02</v>
      </c>
      <c r="DF1051" s="35">
        <v>-8.6999999999999993</v>
      </c>
      <c r="DG1051" s="37">
        <v>19.52</v>
      </c>
      <c r="DH1051" s="36">
        <v>95</v>
      </c>
      <c r="DI1051" s="37">
        <v>1.94</v>
      </c>
      <c r="DJ1051" s="36">
        <v>62</v>
      </c>
      <c r="DK1051" s="37">
        <v>32.799999999999997</v>
      </c>
      <c r="DL1051" s="36">
        <v>94</v>
      </c>
      <c r="DM1051" s="37">
        <v>6.24</v>
      </c>
      <c r="DN1051" s="36">
        <v>84</v>
      </c>
      <c r="DO1051" s="37">
        <v>1.94</v>
      </c>
      <c r="DP1051" s="36">
        <v>63</v>
      </c>
      <c r="DQ1051" s="36">
        <v>13633</v>
      </c>
      <c r="DR1051" s="38">
        <v>-7154</v>
      </c>
      <c r="DS1051" s="35">
        <v>-34.42</v>
      </c>
      <c r="DT1051" s="36">
        <v>180</v>
      </c>
      <c r="DU1051" s="38">
        <v>4</v>
      </c>
      <c r="DV1051" s="35">
        <v>2.27</v>
      </c>
      <c r="DW1051" s="36">
        <v>692</v>
      </c>
      <c r="DX1051" s="39">
        <v>9</v>
      </c>
      <c r="DY1051" s="35">
        <v>1.32</v>
      </c>
      <c r="DZ1051" s="28" t="s">
        <v>178</v>
      </c>
      <c r="EA1051" s="34">
        <v>43559</v>
      </c>
      <c r="EB1051" s="29" t="s">
        <v>138</v>
      </c>
      <c r="EC1051" s="34" t="s">
        <v>138</v>
      </c>
      <c r="ED1051" s="28" t="s">
        <v>138</v>
      </c>
      <c r="EE1051" s="40" t="str">
        <f>HYPERLINK("https://my.pitchbook.com?c=224101-18", "View company online")</f>
        <v>View company online</v>
      </c>
    </row>
    <row r="1052" spans="1:135">
      <c r="A1052" s="15" t="s">
        <v>20551</v>
      </c>
      <c r="B1052" s="15" t="s">
        <v>20552</v>
      </c>
      <c r="C1052" s="15" t="s">
        <v>138</v>
      </c>
      <c r="D1052" s="15" t="s">
        <v>138</v>
      </c>
      <c r="E1052" s="15" t="s">
        <v>20553</v>
      </c>
      <c r="F1052" s="15" t="s">
        <v>20551</v>
      </c>
      <c r="G1052" s="15" t="s">
        <v>20554</v>
      </c>
      <c r="H1052" s="15" t="s">
        <v>890</v>
      </c>
      <c r="I1052" s="15" t="s">
        <v>891</v>
      </c>
      <c r="J1052" s="15" t="s">
        <v>8932</v>
      </c>
      <c r="K1052" s="15" t="s">
        <v>14816</v>
      </c>
      <c r="L1052" s="15" t="s">
        <v>3054</v>
      </c>
      <c r="M1052" s="15" t="s">
        <v>20555</v>
      </c>
      <c r="N1052" s="15" t="s">
        <v>147</v>
      </c>
      <c r="O1052" s="17">
        <v>7.62</v>
      </c>
      <c r="P1052" s="15" t="s">
        <v>148</v>
      </c>
      <c r="Q1052" s="15" t="s">
        <v>149</v>
      </c>
      <c r="R1052" s="15" t="s">
        <v>244</v>
      </c>
      <c r="S1052" s="15" t="s">
        <v>20556</v>
      </c>
      <c r="T1052" s="18">
        <v>20</v>
      </c>
      <c r="U1052" s="15" t="s">
        <v>20557</v>
      </c>
      <c r="V1052" s="15" t="s">
        <v>138</v>
      </c>
      <c r="W1052" s="15" t="s">
        <v>138</v>
      </c>
      <c r="X1052" s="19">
        <v>2015</v>
      </c>
      <c r="Y1052" s="15" t="s">
        <v>138</v>
      </c>
      <c r="Z1052" s="15" t="s">
        <v>138</v>
      </c>
      <c r="AA1052" s="15" t="s">
        <v>138</v>
      </c>
      <c r="AB1052" s="20" t="s">
        <v>138</v>
      </c>
      <c r="AC1052" s="20" t="s">
        <v>138</v>
      </c>
      <c r="AD1052" s="20" t="s">
        <v>138</v>
      </c>
      <c r="AE1052" s="20" t="s">
        <v>138</v>
      </c>
      <c r="AF1052" s="20" t="s">
        <v>138</v>
      </c>
      <c r="AG1052" s="15" t="s">
        <v>138</v>
      </c>
      <c r="AH1052" s="20" t="s">
        <v>138</v>
      </c>
      <c r="AI1052" s="20" t="s">
        <v>138</v>
      </c>
      <c r="AJ1052" s="20" t="s">
        <v>138</v>
      </c>
      <c r="AK1052" s="15" t="s">
        <v>20558</v>
      </c>
      <c r="AL1052" s="15" t="s">
        <v>20559</v>
      </c>
      <c r="AM1052" s="15" t="s">
        <v>20560</v>
      </c>
      <c r="AN1052" s="15" t="s">
        <v>20561</v>
      </c>
      <c r="AO1052" s="15" t="s">
        <v>138</v>
      </c>
      <c r="AP1052" s="15" t="s">
        <v>665</v>
      </c>
      <c r="AQ1052" s="15" t="s">
        <v>842</v>
      </c>
      <c r="AR1052" s="15" t="s">
        <v>20562</v>
      </c>
      <c r="AS1052" s="15" t="s">
        <v>668</v>
      </c>
      <c r="AT1052" s="15" t="s">
        <v>200</v>
      </c>
      <c r="AU1052" s="15" t="s">
        <v>1893</v>
      </c>
      <c r="AV1052" s="15" t="s">
        <v>162</v>
      </c>
      <c r="AW1052" s="15" t="s">
        <v>138</v>
      </c>
      <c r="AX1052" s="15" t="s">
        <v>138</v>
      </c>
      <c r="AY1052" s="15" t="s">
        <v>20563</v>
      </c>
      <c r="AZ1052" s="15" t="s">
        <v>164</v>
      </c>
      <c r="BA1052" s="15" t="s">
        <v>165</v>
      </c>
      <c r="BB1052" s="15" t="s">
        <v>20564</v>
      </c>
      <c r="BC1052" s="15" t="s">
        <v>20565</v>
      </c>
      <c r="BD1052" s="21">
        <v>12</v>
      </c>
      <c r="BE1052" s="15" t="s">
        <v>138</v>
      </c>
      <c r="BF1052" s="15" t="s">
        <v>138</v>
      </c>
      <c r="BG1052" s="15" t="s">
        <v>138</v>
      </c>
      <c r="BH1052" s="15" t="s">
        <v>20566</v>
      </c>
      <c r="BI1052" s="15" t="s">
        <v>138</v>
      </c>
      <c r="BJ1052" s="15" t="s">
        <v>138</v>
      </c>
      <c r="BK1052" s="15" t="s">
        <v>138</v>
      </c>
      <c r="BL1052" s="15" t="s">
        <v>13974</v>
      </c>
      <c r="BM1052" s="22">
        <v>42451</v>
      </c>
      <c r="BN1052" s="17">
        <v>0.12</v>
      </c>
      <c r="BO1052" s="15" t="s">
        <v>172</v>
      </c>
      <c r="BP1052" s="17">
        <v>1.71</v>
      </c>
      <c r="BQ1052" s="15" t="s">
        <v>172</v>
      </c>
      <c r="BR1052" s="15" t="s">
        <v>316</v>
      </c>
      <c r="BS1052" s="15" t="s">
        <v>138</v>
      </c>
      <c r="BT1052" s="15" t="s">
        <v>138</v>
      </c>
      <c r="BU1052" s="15" t="s">
        <v>177</v>
      </c>
      <c r="BV1052" s="15" t="s">
        <v>138</v>
      </c>
      <c r="BW1052" s="15" t="s">
        <v>138</v>
      </c>
      <c r="BX1052" s="15" t="s">
        <v>138</v>
      </c>
      <c r="BY1052" s="15" t="s">
        <v>175</v>
      </c>
      <c r="BZ1052" s="22">
        <v>43560</v>
      </c>
      <c r="CA1052" s="17">
        <v>7.5</v>
      </c>
      <c r="CB1052" s="15" t="s">
        <v>172</v>
      </c>
      <c r="CC1052" s="17">
        <v>22</v>
      </c>
      <c r="CD1052" s="15" t="s">
        <v>172</v>
      </c>
      <c r="CE1052" s="15" t="s">
        <v>205</v>
      </c>
      <c r="CF1052" s="15" t="s">
        <v>206</v>
      </c>
      <c r="CG1052" s="15" t="s">
        <v>138</v>
      </c>
      <c r="CH1052" s="15" t="s">
        <v>174</v>
      </c>
      <c r="CI1052" s="15" t="s">
        <v>138</v>
      </c>
      <c r="CJ1052" s="15" t="s">
        <v>138</v>
      </c>
      <c r="CK1052" s="15" t="s">
        <v>138</v>
      </c>
      <c r="CL1052" s="15" t="s">
        <v>175</v>
      </c>
      <c r="CM1052" s="22" t="s">
        <v>138</v>
      </c>
      <c r="CN1052" s="17" t="s">
        <v>138</v>
      </c>
      <c r="CO1052" s="23">
        <v>3.73</v>
      </c>
      <c r="CP1052" s="24">
        <v>100</v>
      </c>
      <c r="CQ1052" s="23">
        <v>1.32</v>
      </c>
      <c r="CR1052" s="23">
        <v>54.66</v>
      </c>
      <c r="CS1052" s="23">
        <v>4.32</v>
      </c>
      <c r="CT1052" s="24">
        <v>100</v>
      </c>
      <c r="CU1052" s="23">
        <v>3.14</v>
      </c>
      <c r="CV1052" s="24">
        <v>100</v>
      </c>
      <c r="CW1052" s="23">
        <v>2.99</v>
      </c>
      <c r="CX1052" s="24">
        <v>91</v>
      </c>
      <c r="CY1052" s="23">
        <v>5.65</v>
      </c>
      <c r="CZ1052" s="24">
        <v>100</v>
      </c>
      <c r="DA1052" s="23">
        <v>5.78</v>
      </c>
      <c r="DB1052" s="24">
        <v>100</v>
      </c>
      <c r="DC1052" s="25">
        <v>5.57</v>
      </c>
      <c r="DD1052" s="24">
        <v>84</v>
      </c>
      <c r="DE1052" s="25">
        <v>0.33</v>
      </c>
      <c r="DF1052" s="23">
        <v>6.27</v>
      </c>
      <c r="DG1052" s="25">
        <v>8.98</v>
      </c>
      <c r="DH1052" s="24">
        <v>89</v>
      </c>
      <c r="DI1052" s="25">
        <v>2.16</v>
      </c>
      <c r="DJ1052" s="24">
        <v>64</v>
      </c>
      <c r="DK1052" s="25">
        <v>6.9</v>
      </c>
      <c r="DL1052" s="24">
        <v>83</v>
      </c>
      <c r="DM1052" s="25">
        <v>11.07</v>
      </c>
      <c r="DN1052" s="24">
        <v>90</v>
      </c>
      <c r="DO1052" s="25">
        <v>2.46</v>
      </c>
      <c r="DP1052" s="24">
        <v>67</v>
      </c>
      <c r="DQ1052" s="24">
        <v>2327</v>
      </c>
      <c r="DR1052" s="26">
        <v>121</v>
      </c>
      <c r="DS1052" s="23">
        <v>5.49</v>
      </c>
      <c r="DT1052" s="24">
        <v>298</v>
      </c>
      <c r="DU1052" s="26">
        <v>40</v>
      </c>
      <c r="DV1052" s="23">
        <v>15.5</v>
      </c>
      <c r="DW1052" s="24">
        <v>851</v>
      </c>
      <c r="DX1052" s="27">
        <v>192</v>
      </c>
      <c r="DY1052" s="23">
        <v>29.14</v>
      </c>
      <c r="DZ1052" s="15" t="s">
        <v>178</v>
      </c>
      <c r="EA1052" s="22">
        <v>43580</v>
      </c>
      <c r="EB1052" s="17">
        <v>22</v>
      </c>
      <c r="EC1052" s="22">
        <v>43560</v>
      </c>
      <c r="ED1052" s="15" t="s">
        <v>205</v>
      </c>
      <c r="EE1052" s="14" t="str">
        <f>HYPERLINK("https://my.pitchbook.com?c=155878-48", "View company online")</f>
        <v>View company online</v>
      </c>
    </row>
    <row r="1053" spans="1:135">
      <c r="A1053" s="28" t="s">
        <v>20567</v>
      </c>
      <c r="B1053" s="28" t="s">
        <v>20568</v>
      </c>
      <c r="C1053" s="28" t="s">
        <v>138</v>
      </c>
      <c r="D1053" s="28" t="s">
        <v>20569</v>
      </c>
      <c r="E1053" s="28" t="s">
        <v>20570</v>
      </c>
      <c r="F1053" s="28" t="s">
        <v>20567</v>
      </c>
      <c r="G1053" s="28" t="s">
        <v>20571</v>
      </c>
      <c r="H1053" s="28" t="s">
        <v>322</v>
      </c>
      <c r="I1053" s="28" t="s">
        <v>323</v>
      </c>
      <c r="J1053" s="28" t="s">
        <v>461</v>
      </c>
      <c r="K1053" s="28" t="s">
        <v>16394</v>
      </c>
      <c r="L1053" s="28" t="s">
        <v>20572</v>
      </c>
      <c r="M1053" s="28" t="s">
        <v>20573</v>
      </c>
      <c r="N1053" s="28" t="s">
        <v>147</v>
      </c>
      <c r="O1053" s="29">
        <v>32.4</v>
      </c>
      <c r="P1053" s="28" t="s">
        <v>148</v>
      </c>
      <c r="Q1053" s="28" t="s">
        <v>149</v>
      </c>
      <c r="R1053" s="28" t="s">
        <v>174</v>
      </c>
      <c r="S1053" s="28" t="s">
        <v>20574</v>
      </c>
      <c r="T1053" s="30">
        <v>50</v>
      </c>
      <c r="U1053" s="28" t="s">
        <v>20575</v>
      </c>
      <c r="V1053" s="28" t="s">
        <v>138</v>
      </c>
      <c r="W1053" s="28" t="s">
        <v>138</v>
      </c>
      <c r="X1053" s="31">
        <v>2015</v>
      </c>
      <c r="Y1053" s="28" t="s">
        <v>138</v>
      </c>
      <c r="Z1053" s="28" t="s">
        <v>138</v>
      </c>
      <c r="AA1053" s="28" t="s">
        <v>138</v>
      </c>
      <c r="AB1053" s="32" t="s">
        <v>138</v>
      </c>
      <c r="AC1053" s="32" t="s">
        <v>138</v>
      </c>
      <c r="AD1053" s="32" t="s">
        <v>138</v>
      </c>
      <c r="AE1053" s="32" t="s">
        <v>138</v>
      </c>
      <c r="AF1053" s="32" t="s">
        <v>138</v>
      </c>
      <c r="AG1053" s="28" t="s">
        <v>138</v>
      </c>
      <c r="AH1053" s="32" t="s">
        <v>138</v>
      </c>
      <c r="AI1053" s="32" t="s">
        <v>138</v>
      </c>
      <c r="AJ1053" s="32" t="s">
        <v>138</v>
      </c>
      <c r="AK1053" s="28" t="s">
        <v>20576</v>
      </c>
      <c r="AL1053" s="28" t="s">
        <v>20577</v>
      </c>
      <c r="AM1053" s="28" t="s">
        <v>4689</v>
      </c>
      <c r="AN1053" s="28" t="s">
        <v>20578</v>
      </c>
      <c r="AO1053" s="28" t="s">
        <v>20579</v>
      </c>
      <c r="AP1053" s="28" t="s">
        <v>964</v>
      </c>
      <c r="AQ1053" s="28" t="s">
        <v>20580</v>
      </c>
      <c r="AR1053" s="28" t="s">
        <v>9538</v>
      </c>
      <c r="AS1053" s="28" t="s">
        <v>966</v>
      </c>
      <c r="AT1053" s="28" t="s">
        <v>200</v>
      </c>
      <c r="AU1053" s="28" t="s">
        <v>1590</v>
      </c>
      <c r="AV1053" s="28" t="s">
        <v>162</v>
      </c>
      <c r="AW1053" s="28" t="s">
        <v>20579</v>
      </c>
      <c r="AX1053" s="28" t="s">
        <v>138</v>
      </c>
      <c r="AY1053" s="28" t="s">
        <v>20581</v>
      </c>
      <c r="AZ1053" s="28" t="s">
        <v>164</v>
      </c>
      <c r="BA1053" s="28" t="s">
        <v>165</v>
      </c>
      <c r="BB1053" s="28" t="s">
        <v>20582</v>
      </c>
      <c r="BC1053" s="28" t="s">
        <v>20583</v>
      </c>
      <c r="BD1053" s="33">
        <v>8</v>
      </c>
      <c r="BE1053" s="28" t="s">
        <v>138</v>
      </c>
      <c r="BF1053" s="28" t="s">
        <v>138</v>
      </c>
      <c r="BG1053" s="28" t="s">
        <v>138</v>
      </c>
      <c r="BH1053" s="28" t="s">
        <v>20584</v>
      </c>
      <c r="BI1053" s="28" t="s">
        <v>138</v>
      </c>
      <c r="BJ1053" s="28" t="s">
        <v>138</v>
      </c>
      <c r="BK1053" s="28" t="s">
        <v>20585</v>
      </c>
      <c r="BL1053" s="28" t="s">
        <v>1275</v>
      </c>
      <c r="BM1053" s="34">
        <v>42145</v>
      </c>
      <c r="BN1053" s="29">
        <v>5</v>
      </c>
      <c r="BO1053" s="28" t="s">
        <v>172</v>
      </c>
      <c r="BP1053" s="29">
        <v>17.5</v>
      </c>
      <c r="BQ1053" s="28" t="s">
        <v>172</v>
      </c>
      <c r="BR1053" s="28" t="s">
        <v>205</v>
      </c>
      <c r="BS1053" s="28" t="s">
        <v>206</v>
      </c>
      <c r="BT1053" s="28" t="s">
        <v>138</v>
      </c>
      <c r="BU1053" s="28" t="s">
        <v>174</v>
      </c>
      <c r="BV1053" s="28" t="s">
        <v>138</v>
      </c>
      <c r="BW1053" s="28" t="s">
        <v>138</v>
      </c>
      <c r="BX1053" s="28" t="s">
        <v>138</v>
      </c>
      <c r="BY1053" s="28" t="s">
        <v>175</v>
      </c>
      <c r="BZ1053" s="34">
        <v>43340</v>
      </c>
      <c r="CA1053" s="29">
        <v>24</v>
      </c>
      <c r="CB1053" s="28" t="s">
        <v>172</v>
      </c>
      <c r="CC1053" s="29">
        <v>64</v>
      </c>
      <c r="CD1053" s="28" t="s">
        <v>172</v>
      </c>
      <c r="CE1053" s="28" t="s">
        <v>205</v>
      </c>
      <c r="CF1053" s="28" t="s">
        <v>720</v>
      </c>
      <c r="CG1053" s="28" t="s">
        <v>138</v>
      </c>
      <c r="CH1053" s="28" t="s">
        <v>174</v>
      </c>
      <c r="CI1053" s="28" t="s">
        <v>138</v>
      </c>
      <c r="CJ1053" s="28" t="s">
        <v>138</v>
      </c>
      <c r="CK1053" s="28" t="s">
        <v>138</v>
      </c>
      <c r="CL1053" s="28" t="s">
        <v>175</v>
      </c>
      <c r="CM1053" s="34" t="s">
        <v>138</v>
      </c>
      <c r="CN1053" s="29" t="s">
        <v>138</v>
      </c>
      <c r="CO1053" s="35">
        <v>4.05</v>
      </c>
      <c r="CP1053" s="36">
        <v>100</v>
      </c>
      <c r="CQ1053" s="35">
        <v>-0.02</v>
      </c>
      <c r="CR1053" s="35">
        <v>-0.52</v>
      </c>
      <c r="CS1053" s="35">
        <v>9.0399999999999991</v>
      </c>
      <c r="CT1053" s="36">
        <v>100</v>
      </c>
      <c r="CU1053" s="35">
        <v>0.28000000000000003</v>
      </c>
      <c r="CV1053" s="36">
        <v>86</v>
      </c>
      <c r="CW1053" s="35">
        <v>9.0399999999999991</v>
      </c>
      <c r="CX1053" s="36">
        <v>99</v>
      </c>
      <c r="CY1053" s="35" t="s">
        <v>138</v>
      </c>
      <c r="CZ1053" s="36" t="s">
        <v>138</v>
      </c>
      <c r="DA1053" s="35">
        <v>0.28000000000000003</v>
      </c>
      <c r="DB1053" s="36">
        <v>88</v>
      </c>
      <c r="DC1053" s="37">
        <v>3.98</v>
      </c>
      <c r="DD1053" s="36">
        <v>80</v>
      </c>
      <c r="DE1053" s="37">
        <v>-0.43</v>
      </c>
      <c r="DF1053" s="35">
        <v>-9.73</v>
      </c>
      <c r="DG1053" s="37">
        <v>10.15</v>
      </c>
      <c r="DH1053" s="36">
        <v>90</v>
      </c>
      <c r="DI1053" s="37">
        <v>1.7</v>
      </c>
      <c r="DJ1053" s="36">
        <v>59</v>
      </c>
      <c r="DK1053" s="37">
        <v>10.15</v>
      </c>
      <c r="DL1053" s="36">
        <v>87</v>
      </c>
      <c r="DM1053" s="37" t="s">
        <v>138</v>
      </c>
      <c r="DN1053" s="36" t="s">
        <v>138</v>
      </c>
      <c r="DO1053" s="37">
        <v>1.7</v>
      </c>
      <c r="DP1053" s="36">
        <v>61</v>
      </c>
      <c r="DQ1053" s="36">
        <v>3315</v>
      </c>
      <c r="DR1053" s="38">
        <v>495</v>
      </c>
      <c r="DS1053" s="35">
        <v>17.55</v>
      </c>
      <c r="DT1053" s="36" t="s">
        <v>138</v>
      </c>
      <c r="DU1053" s="38" t="s">
        <v>138</v>
      </c>
      <c r="DV1053" s="35" t="s">
        <v>138</v>
      </c>
      <c r="DW1053" s="36">
        <v>604</v>
      </c>
      <c r="DX1053" s="39">
        <v>0</v>
      </c>
      <c r="DY1053" s="35">
        <v>0</v>
      </c>
      <c r="DZ1053" s="28" t="s">
        <v>178</v>
      </c>
      <c r="EA1053" s="34">
        <v>43622</v>
      </c>
      <c r="EB1053" s="29">
        <v>64</v>
      </c>
      <c r="EC1053" s="34">
        <v>43340</v>
      </c>
      <c r="ED1053" s="28" t="s">
        <v>205</v>
      </c>
      <c r="EE1053" s="40" t="str">
        <f>HYPERLINK("https://my.pitchbook.com?c=155402-02", "View company online")</f>
        <v>View company online</v>
      </c>
    </row>
    <row r="1054" spans="1:135">
      <c r="A1054" s="15" t="s">
        <v>20586</v>
      </c>
      <c r="B1054" s="15" t="s">
        <v>20587</v>
      </c>
      <c r="C1054" s="15" t="s">
        <v>20588</v>
      </c>
      <c r="D1054" s="15" t="s">
        <v>138</v>
      </c>
      <c r="E1054" s="15" t="s">
        <v>20589</v>
      </c>
      <c r="F1054" s="15" t="s">
        <v>20586</v>
      </c>
      <c r="G1054" s="15" t="s">
        <v>20590</v>
      </c>
      <c r="H1054" s="15" t="s">
        <v>141</v>
      </c>
      <c r="I1054" s="15" t="s">
        <v>212</v>
      </c>
      <c r="J1054" s="15" t="s">
        <v>213</v>
      </c>
      <c r="K1054" s="15" t="s">
        <v>17988</v>
      </c>
      <c r="L1054" s="15" t="s">
        <v>326</v>
      </c>
      <c r="M1054" s="15" t="s">
        <v>20591</v>
      </c>
      <c r="N1054" s="15" t="s">
        <v>147</v>
      </c>
      <c r="O1054" s="17">
        <v>34.57</v>
      </c>
      <c r="P1054" s="15" t="s">
        <v>148</v>
      </c>
      <c r="Q1054" s="15" t="s">
        <v>149</v>
      </c>
      <c r="R1054" s="15" t="s">
        <v>174</v>
      </c>
      <c r="S1054" s="15" t="s">
        <v>20592</v>
      </c>
      <c r="T1054" s="18">
        <v>130</v>
      </c>
      <c r="U1054" s="15" t="s">
        <v>20593</v>
      </c>
      <c r="V1054" s="15" t="s">
        <v>138</v>
      </c>
      <c r="W1054" s="15" t="s">
        <v>138</v>
      </c>
      <c r="X1054" s="19">
        <v>2008</v>
      </c>
      <c r="Y1054" s="15" t="s">
        <v>138</v>
      </c>
      <c r="Z1054" s="15" t="s">
        <v>138</v>
      </c>
      <c r="AA1054" s="15" t="s">
        <v>138</v>
      </c>
      <c r="AB1054" s="20" t="s">
        <v>138</v>
      </c>
      <c r="AC1054" s="20" t="s">
        <v>138</v>
      </c>
      <c r="AD1054" s="20" t="s">
        <v>138</v>
      </c>
      <c r="AE1054" s="20" t="s">
        <v>138</v>
      </c>
      <c r="AF1054" s="20" t="s">
        <v>138</v>
      </c>
      <c r="AG1054" s="15" t="s">
        <v>138</v>
      </c>
      <c r="AH1054" s="20" t="s">
        <v>138</v>
      </c>
      <c r="AI1054" s="20" t="s">
        <v>138</v>
      </c>
      <c r="AJ1054" s="20" t="s">
        <v>138</v>
      </c>
      <c r="AK1054" s="15" t="s">
        <v>20594</v>
      </c>
      <c r="AL1054" s="15" t="s">
        <v>20595</v>
      </c>
      <c r="AM1054" s="15" t="s">
        <v>20596</v>
      </c>
      <c r="AN1054" s="15" t="s">
        <v>20597</v>
      </c>
      <c r="AO1054" s="15" t="s">
        <v>20598</v>
      </c>
      <c r="AP1054" s="15" t="s">
        <v>3136</v>
      </c>
      <c r="AQ1054" s="15" t="s">
        <v>20599</v>
      </c>
      <c r="AR1054" s="15" t="s">
        <v>20600</v>
      </c>
      <c r="AS1054" s="15" t="s">
        <v>3139</v>
      </c>
      <c r="AT1054" s="15" t="s">
        <v>3140</v>
      </c>
      <c r="AU1054" s="15" t="s">
        <v>9962</v>
      </c>
      <c r="AV1054" s="15" t="s">
        <v>162</v>
      </c>
      <c r="AW1054" s="15" t="s">
        <v>20598</v>
      </c>
      <c r="AX1054" s="15" t="s">
        <v>138</v>
      </c>
      <c r="AY1054" s="15" t="s">
        <v>20601</v>
      </c>
      <c r="AZ1054" s="15" t="s">
        <v>164</v>
      </c>
      <c r="BA1054" s="15" t="s">
        <v>165</v>
      </c>
      <c r="BB1054" s="15" t="s">
        <v>20602</v>
      </c>
      <c r="BC1054" s="15" t="s">
        <v>20603</v>
      </c>
      <c r="BD1054" s="21">
        <v>15</v>
      </c>
      <c r="BE1054" s="15" t="s">
        <v>138</v>
      </c>
      <c r="BF1054" s="15" t="s">
        <v>138</v>
      </c>
      <c r="BG1054" s="15" t="s">
        <v>138</v>
      </c>
      <c r="BH1054" s="15" t="s">
        <v>20604</v>
      </c>
      <c r="BI1054" s="15" t="s">
        <v>138</v>
      </c>
      <c r="BJ1054" s="15" t="s">
        <v>138</v>
      </c>
      <c r="BK1054" s="15" t="s">
        <v>20605</v>
      </c>
      <c r="BL1054" s="15" t="s">
        <v>20606</v>
      </c>
      <c r="BM1054" s="22">
        <v>41153</v>
      </c>
      <c r="BN1054" s="17">
        <v>0.05</v>
      </c>
      <c r="BO1054" s="15" t="s">
        <v>172</v>
      </c>
      <c r="BP1054" s="17">
        <v>2.16</v>
      </c>
      <c r="BQ1054" s="15" t="s">
        <v>172</v>
      </c>
      <c r="BR1054" s="15" t="s">
        <v>205</v>
      </c>
      <c r="BS1054" s="15" t="s">
        <v>206</v>
      </c>
      <c r="BT1054" s="15" t="s">
        <v>138</v>
      </c>
      <c r="BU1054" s="15" t="s">
        <v>174</v>
      </c>
      <c r="BV1054" s="15" t="s">
        <v>138</v>
      </c>
      <c r="BW1054" s="15" t="s">
        <v>138</v>
      </c>
      <c r="BX1054" s="15" t="s">
        <v>138</v>
      </c>
      <c r="BY1054" s="15" t="s">
        <v>175</v>
      </c>
      <c r="BZ1054" s="22">
        <v>43088</v>
      </c>
      <c r="CA1054" s="17">
        <v>21</v>
      </c>
      <c r="CB1054" s="15" t="s">
        <v>172</v>
      </c>
      <c r="CC1054" s="17">
        <v>70</v>
      </c>
      <c r="CD1054" s="15" t="s">
        <v>172</v>
      </c>
      <c r="CE1054" s="15" t="s">
        <v>173</v>
      </c>
      <c r="CF1054" s="15" t="s">
        <v>317</v>
      </c>
      <c r="CG1054" s="15" t="s">
        <v>138</v>
      </c>
      <c r="CH1054" s="15" t="s">
        <v>174</v>
      </c>
      <c r="CI1054" s="15" t="s">
        <v>138</v>
      </c>
      <c r="CJ1054" s="15" t="s">
        <v>138</v>
      </c>
      <c r="CK1054" s="15" t="s">
        <v>138</v>
      </c>
      <c r="CL1054" s="15" t="s">
        <v>175</v>
      </c>
      <c r="CM1054" s="22" t="s">
        <v>138</v>
      </c>
      <c r="CN1054" s="17" t="s">
        <v>138</v>
      </c>
      <c r="CO1054" s="23">
        <v>2.14</v>
      </c>
      <c r="CP1054" s="24">
        <v>99</v>
      </c>
      <c r="CQ1054" s="23">
        <v>0.01</v>
      </c>
      <c r="CR1054" s="23">
        <v>0.25</v>
      </c>
      <c r="CS1054" s="23">
        <v>4.34</v>
      </c>
      <c r="CT1054" s="24">
        <v>100</v>
      </c>
      <c r="CU1054" s="23">
        <v>-0.05</v>
      </c>
      <c r="CV1054" s="24">
        <v>9</v>
      </c>
      <c r="CW1054" s="23">
        <v>4.34</v>
      </c>
      <c r="CX1054" s="24">
        <v>94</v>
      </c>
      <c r="CY1054" s="23" t="s">
        <v>138</v>
      </c>
      <c r="CZ1054" s="24" t="s">
        <v>138</v>
      </c>
      <c r="DA1054" s="23">
        <v>-0.08</v>
      </c>
      <c r="DB1054" s="24">
        <v>8</v>
      </c>
      <c r="DC1054" s="25">
        <v>5.1100000000000003</v>
      </c>
      <c r="DD1054" s="24">
        <v>83</v>
      </c>
      <c r="DE1054" s="25">
        <v>-0.51</v>
      </c>
      <c r="DF1054" s="23">
        <v>-9.09</v>
      </c>
      <c r="DG1054" s="25">
        <v>8.0299999999999994</v>
      </c>
      <c r="DH1054" s="24">
        <v>88</v>
      </c>
      <c r="DI1054" s="25">
        <v>2.1800000000000002</v>
      </c>
      <c r="DJ1054" s="24">
        <v>64</v>
      </c>
      <c r="DK1054" s="25">
        <v>8.0299999999999994</v>
      </c>
      <c r="DL1054" s="24">
        <v>85</v>
      </c>
      <c r="DM1054" s="25" t="s">
        <v>138</v>
      </c>
      <c r="DN1054" s="24" t="s">
        <v>138</v>
      </c>
      <c r="DO1054" s="25">
        <v>3.22</v>
      </c>
      <c r="DP1054" s="24">
        <v>72</v>
      </c>
      <c r="DQ1054" s="24">
        <v>2681</v>
      </c>
      <c r="DR1054" s="26">
        <v>213</v>
      </c>
      <c r="DS1054" s="23">
        <v>8.6300000000000008</v>
      </c>
      <c r="DT1054" s="24" t="s">
        <v>138</v>
      </c>
      <c r="DU1054" s="26" t="s">
        <v>138</v>
      </c>
      <c r="DV1054" s="23" t="s">
        <v>138</v>
      </c>
      <c r="DW1054" s="24">
        <v>1153</v>
      </c>
      <c r="DX1054" s="27">
        <v>1</v>
      </c>
      <c r="DY1054" s="23">
        <v>0.09</v>
      </c>
      <c r="DZ1054" s="15" t="s">
        <v>178</v>
      </c>
      <c r="EA1054" s="22">
        <v>43622</v>
      </c>
      <c r="EB1054" s="17">
        <v>70</v>
      </c>
      <c r="EC1054" s="22">
        <v>43088</v>
      </c>
      <c r="ED1054" s="15" t="s">
        <v>173</v>
      </c>
      <c r="EE1054" s="14" t="str">
        <f>HYPERLINK("https://my.pitchbook.com?c=55284-22", "View company online")</f>
        <v>View company online</v>
      </c>
    </row>
    <row r="1055" spans="1:135">
      <c r="A1055" s="28" t="s">
        <v>20607</v>
      </c>
      <c r="B1055" s="28" t="s">
        <v>20608</v>
      </c>
      <c r="C1055" s="28" t="s">
        <v>138</v>
      </c>
      <c r="D1055" s="28" t="s">
        <v>138</v>
      </c>
      <c r="E1055" s="28" t="s">
        <v>20609</v>
      </c>
      <c r="F1055" s="28" t="s">
        <v>20607</v>
      </c>
      <c r="G1055" s="28" t="s">
        <v>20610</v>
      </c>
      <c r="H1055" s="28" t="s">
        <v>322</v>
      </c>
      <c r="I1055" s="28" t="s">
        <v>323</v>
      </c>
      <c r="J1055" s="28" t="s">
        <v>1132</v>
      </c>
      <c r="K1055" s="28" t="s">
        <v>1777</v>
      </c>
      <c r="L1055" s="28" t="s">
        <v>20611</v>
      </c>
      <c r="M1055" s="28" t="s">
        <v>20612</v>
      </c>
      <c r="N1055" s="28" t="s">
        <v>147</v>
      </c>
      <c r="O1055" s="29">
        <v>4</v>
      </c>
      <c r="P1055" s="28" t="s">
        <v>934</v>
      </c>
      <c r="Q1055" s="28" t="s">
        <v>149</v>
      </c>
      <c r="R1055" s="28" t="s">
        <v>174</v>
      </c>
      <c r="S1055" s="28" t="s">
        <v>20613</v>
      </c>
      <c r="T1055" s="30" t="s">
        <v>138</v>
      </c>
      <c r="U1055" s="28" t="s">
        <v>138</v>
      </c>
      <c r="V1055" s="28" t="s">
        <v>138</v>
      </c>
      <c r="W1055" s="28" t="s">
        <v>138</v>
      </c>
      <c r="X1055" s="31">
        <v>2017</v>
      </c>
      <c r="Y1055" s="28" t="s">
        <v>138</v>
      </c>
      <c r="Z1055" s="28" t="s">
        <v>138</v>
      </c>
      <c r="AA1055" s="28" t="s">
        <v>138</v>
      </c>
      <c r="AB1055" s="32" t="s">
        <v>138</v>
      </c>
      <c r="AC1055" s="32" t="s">
        <v>138</v>
      </c>
      <c r="AD1055" s="32" t="s">
        <v>138</v>
      </c>
      <c r="AE1055" s="32" t="s">
        <v>138</v>
      </c>
      <c r="AF1055" s="32" t="s">
        <v>138</v>
      </c>
      <c r="AG1055" s="28" t="s">
        <v>138</v>
      </c>
      <c r="AH1055" s="32" t="s">
        <v>138</v>
      </c>
      <c r="AI1055" s="32" t="s">
        <v>138</v>
      </c>
      <c r="AJ1055" s="32" t="s">
        <v>138</v>
      </c>
      <c r="AK1055" s="28" t="s">
        <v>20614</v>
      </c>
      <c r="AL1055" s="28" t="s">
        <v>20615</v>
      </c>
      <c r="AM1055" s="28" t="s">
        <v>938</v>
      </c>
      <c r="AN1055" s="28" t="s">
        <v>20616</v>
      </c>
      <c r="AO1055" s="28" t="s">
        <v>138</v>
      </c>
      <c r="AP1055" s="28" t="s">
        <v>5697</v>
      </c>
      <c r="AQ1055" s="28" t="s">
        <v>20617</v>
      </c>
      <c r="AR1055" s="28" t="s">
        <v>138</v>
      </c>
      <c r="AS1055" s="28" t="s">
        <v>5700</v>
      </c>
      <c r="AT1055" s="28" t="s">
        <v>138</v>
      </c>
      <c r="AU1055" s="28" t="s">
        <v>20618</v>
      </c>
      <c r="AV1055" s="28" t="s">
        <v>740</v>
      </c>
      <c r="AW1055" s="28" t="s">
        <v>138</v>
      </c>
      <c r="AX1055" s="28" t="s">
        <v>138</v>
      </c>
      <c r="AY1055" s="28" t="s">
        <v>20619</v>
      </c>
      <c r="AZ1055" s="28" t="s">
        <v>742</v>
      </c>
      <c r="BA1055" s="28" t="s">
        <v>742</v>
      </c>
      <c r="BB1055" s="28" t="s">
        <v>20620</v>
      </c>
      <c r="BC1055" s="28" t="s">
        <v>20621</v>
      </c>
      <c r="BD1055" s="33">
        <v>11</v>
      </c>
      <c r="BE1055" s="28" t="s">
        <v>138</v>
      </c>
      <c r="BF1055" s="28" t="s">
        <v>138</v>
      </c>
      <c r="BG1055" s="28" t="s">
        <v>138</v>
      </c>
      <c r="BH1055" s="28" t="s">
        <v>20622</v>
      </c>
      <c r="BI1055" s="28" t="s">
        <v>138</v>
      </c>
      <c r="BJ1055" s="28" t="s">
        <v>138</v>
      </c>
      <c r="BK1055" s="28" t="s">
        <v>138</v>
      </c>
      <c r="BL1055" s="28" t="s">
        <v>2550</v>
      </c>
      <c r="BM1055" s="34">
        <v>43375</v>
      </c>
      <c r="BN1055" s="29">
        <v>4</v>
      </c>
      <c r="BO1055" s="28" t="s">
        <v>172</v>
      </c>
      <c r="BP1055" s="29" t="s">
        <v>138</v>
      </c>
      <c r="BQ1055" s="28" t="s">
        <v>138</v>
      </c>
      <c r="BR1055" s="28" t="s">
        <v>234</v>
      </c>
      <c r="BS1055" s="28" t="s">
        <v>234</v>
      </c>
      <c r="BT1055" s="28" t="s">
        <v>138</v>
      </c>
      <c r="BU1055" s="28" t="s">
        <v>174</v>
      </c>
      <c r="BV1055" s="28" t="s">
        <v>138</v>
      </c>
      <c r="BW1055" s="28" t="s">
        <v>138</v>
      </c>
      <c r="BX1055" s="28" t="s">
        <v>138</v>
      </c>
      <c r="BY1055" s="28" t="s">
        <v>175</v>
      </c>
      <c r="BZ1055" s="34">
        <v>43375</v>
      </c>
      <c r="CA1055" s="29">
        <v>4</v>
      </c>
      <c r="CB1055" s="28" t="s">
        <v>172</v>
      </c>
      <c r="CC1055" s="29" t="s">
        <v>138</v>
      </c>
      <c r="CD1055" s="28" t="s">
        <v>138</v>
      </c>
      <c r="CE1055" s="28" t="s">
        <v>234</v>
      </c>
      <c r="CF1055" s="28" t="s">
        <v>234</v>
      </c>
      <c r="CG1055" s="28" t="s">
        <v>138</v>
      </c>
      <c r="CH1055" s="28" t="s">
        <v>174</v>
      </c>
      <c r="CI1055" s="28" t="s">
        <v>138</v>
      </c>
      <c r="CJ1055" s="28" t="s">
        <v>138</v>
      </c>
      <c r="CK1055" s="28" t="s">
        <v>138</v>
      </c>
      <c r="CL1055" s="28" t="s">
        <v>175</v>
      </c>
      <c r="CM1055" s="34" t="s">
        <v>138</v>
      </c>
      <c r="CN1055" s="29" t="s">
        <v>138</v>
      </c>
      <c r="CO1055" s="35">
        <v>-0.74</v>
      </c>
      <c r="CP1055" s="36">
        <v>13</v>
      </c>
      <c r="CQ1055" s="35">
        <v>-0.53</v>
      </c>
      <c r="CR1055" s="35">
        <v>-254.54</v>
      </c>
      <c r="CS1055" s="35">
        <v>0</v>
      </c>
      <c r="CT1055" s="36">
        <v>23</v>
      </c>
      <c r="CU1055" s="35">
        <v>-1.49</v>
      </c>
      <c r="CV1055" s="36">
        <v>1</v>
      </c>
      <c r="CW1055" s="35">
        <v>0</v>
      </c>
      <c r="CX1055" s="36">
        <v>13</v>
      </c>
      <c r="CY1055" s="35">
        <v>0</v>
      </c>
      <c r="CZ1055" s="36">
        <v>25</v>
      </c>
      <c r="DA1055" s="35">
        <v>-1.49</v>
      </c>
      <c r="DB1055" s="36">
        <v>1</v>
      </c>
      <c r="DC1055" s="37">
        <v>1.25</v>
      </c>
      <c r="DD1055" s="36">
        <v>57</v>
      </c>
      <c r="DE1055" s="37">
        <v>-0.03</v>
      </c>
      <c r="DF1055" s="35">
        <v>-2.4</v>
      </c>
      <c r="DG1055" s="37">
        <v>1.79</v>
      </c>
      <c r="DH1055" s="36">
        <v>64</v>
      </c>
      <c r="DI1055" s="37">
        <v>0.71</v>
      </c>
      <c r="DJ1055" s="36">
        <v>43</v>
      </c>
      <c r="DK1055" s="37">
        <v>0.8</v>
      </c>
      <c r="DL1055" s="36">
        <v>45</v>
      </c>
      <c r="DM1055" s="37">
        <v>2.79</v>
      </c>
      <c r="DN1055" s="36">
        <v>72</v>
      </c>
      <c r="DO1055" s="37">
        <v>0.71</v>
      </c>
      <c r="DP1055" s="36">
        <v>44</v>
      </c>
      <c r="DQ1055" s="36">
        <v>259</v>
      </c>
      <c r="DR1055" s="38">
        <v>39</v>
      </c>
      <c r="DS1055" s="35">
        <v>17.73</v>
      </c>
      <c r="DT1055" s="36">
        <v>81</v>
      </c>
      <c r="DU1055" s="38">
        <v>1</v>
      </c>
      <c r="DV1055" s="35">
        <v>1.25</v>
      </c>
      <c r="DW1055" s="36">
        <v>252</v>
      </c>
      <c r="DX1055" s="39">
        <v>0</v>
      </c>
      <c r="DY1055" s="35">
        <v>0</v>
      </c>
      <c r="DZ1055" s="28" t="s">
        <v>178</v>
      </c>
      <c r="EA1055" s="34">
        <v>43595</v>
      </c>
      <c r="EB1055" s="29" t="s">
        <v>138</v>
      </c>
      <c r="EC1055" s="34" t="s">
        <v>138</v>
      </c>
      <c r="ED1055" s="28" t="s">
        <v>138</v>
      </c>
      <c r="EE1055" s="40" t="str">
        <f>HYPERLINK("https://my.pitchbook.com?c=233462-53", "View company online")</f>
        <v>View company online</v>
      </c>
    </row>
    <row r="1056" spans="1:135">
      <c r="A1056" s="15" t="s">
        <v>20623</v>
      </c>
      <c r="B1056" s="15" t="s">
        <v>20624</v>
      </c>
      <c r="C1056" s="15" t="s">
        <v>138</v>
      </c>
      <c r="D1056" s="15" t="s">
        <v>138</v>
      </c>
      <c r="E1056" s="15" t="s">
        <v>138</v>
      </c>
      <c r="F1056" s="15" t="s">
        <v>20623</v>
      </c>
      <c r="G1056" s="15" t="s">
        <v>20625</v>
      </c>
      <c r="H1056" s="15" t="s">
        <v>322</v>
      </c>
      <c r="I1056" s="15" t="s">
        <v>356</v>
      </c>
      <c r="J1056" s="15" t="s">
        <v>357</v>
      </c>
      <c r="K1056" s="15" t="s">
        <v>20626</v>
      </c>
      <c r="L1056" s="15" t="s">
        <v>359</v>
      </c>
      <c r="M1056" s="15" t="s">
        <v>20627</v>
      </c>
      <c r="N1056" s="15" t="s">
        <v>147</v>
      </c>
      <c r="O1056" s="17">
        <v>13.5</v>
      </c>
      <c r="P1056" s="15" t="s">
        <v>148</v>
      </c>
      <c r="Q1056" s="15" t="s">
        <v>149</v>
      </c>
      <c r="R1056" s="15" t="s">
        <v>174</v>
      </c>
      <c r="S1056" s="15" t="s">
        <v>20628</v>
      </c>
      <c r="T1056" s="18">
        <v>4</v>
      </c>
      <c r="U1056" s="15" t="s">
        <v>4046</v>
      </c>
      <c r="V1056" s="15" t="s">
        <v>138</v>
      </c>
      <c r="W1056" s="15" t="s">
        <v>138</v>
      </c>
      <c r="X1056" s="19">
        <v>2015</v>
      </c>
      <c r="Y1056" s="15" t="s">
        <v>138</v>
      </c>
      <c r="Z1056" s="15" t="s">
        <v>138</v>
      </c>
      <c r="AA1056" s="15" t="s">
        <v>138</v>
      </c>
      <c r="AB1056" s="20" t="s">
        <v>138</v>
      </c>
      <c r="AC1056" s="20" t="s">
        <v>138</v>
      </c>
      <c r="AD1056" s="20" t="s">
        <v>138</v>
      </c>
      <c r="AE1056" s="20" t="s">
        <v>138</v>
      </c>
      <c r="AF1056" s="20" t="s">
        <v>138</v>
      </c>
      <c r="AG1056" s="15" t="s">
        <v>138</v>
      </c>
      <c r="AH1056" s="20" t="s">
        <v>138</v>
      </c>
      <c r="AI1056" s="20" t="s">
        <v>138</v>
      </c>
      <c r="AJ1056" s="20" t="s">
        <v>138</v>
      </c>
      <c r="AK1056" s="15" t="s">
        <v>20629</v>
      </c>
      <c r="AL1056" s="15" t="s">
        <v>20630</v>
      </c>
      <c r="AM1056" s="15" t="s">
        <v>4326</v>
      </c>
      <c r="AN1056" s="15" t="s">
        <v>20631</v>
      </c>
      <c r="AO1056" s="15" t="s">
        <v>20632</v>
      </c>
      <c r="AP1056" s="15" t="s">
        <v>20633</v>
      </c>
      <c r="AQ1056" s="15" t="s">
        <v>20634</v>
      </c>
      <c r="AR1056" s="15" t="s">
        <v>20635</v>
      </c>
      <c r="AS1056" s="15" t="s">
        <v>20636</v>
      </c>
      <c r="AT1056" s="15" t="s">
        <v>138</v>
      </c>
      <c r="AU1056" s="15" t="s">
        <v>20637</v>
      </c>
      <c r="AV1056" s="15" t="s">
        <v>1200</v>
      </c>
      <c r="AW1056" s="15" t="s">
        <v>20632</v>
      </c>
      <c r="AX1056" s="15" t="s">
        <v>138</v>
      </c>
      <c r="AY1056" s="15" t="s">
        <v>138</v>
      </c>
      <c r="AZ1056" s="15" t="s">
        <v>452</v>
      </c>
      <c r="BA1056" s="15" t="s">
        <v>453</v>
      </c>
      <c r="BB1056" s="15" t="s">
        <v>20638</v>
      </c>
      <c r="BC1056" s="15" t="s">
        <v>20639</v>
      </c>
      <c r="BD1056" s="21">
        <v>12</v>
      </c>
      <c r="BE1056" s="15" t="s">
        <v>138</v>
      </c>
      <c r="BF1056" s="15" t="s">
        <v>138</v>
      </c>
      <c r="BG1056" s="15" t="s">
        <v>138</v>
      </c>
      <c r="BH1056" s="15" t="s">
        <v>20640</v>
      </c>
      <c r="BI1056" s="15" t="s">
        <v>138</v>
      </c>
      <c r="BJ1056" s="15" t="s">
        <v>138</v>
      </c>
      <c r="BK1056" s="15" t="s">
        <v>138</v>
      </c>
      <c r="BL1056" s="15" t="s">
        <v>138</v>
      </c>
      <c r="BM1056" s="22">
        <v>42425</v>
      </c>
      <c r="BN1056" s="17">
        <v>13.5</v>
      </c>
      <c r="BO1056" s="15" t="s">
        <v>172</v>
      </c>
      <c r="BP1056" s="17" t="s">
        <v>138</v>
      </c>
      <c r="BQ1056" s="15" t="s">
        <v>138</v>
      </c>
      <c r="BR1056" s="15" t="s">
        <v>205</v>
      </c>
      <c r="BS1056" s="15" t="s">
        <v>206</v>
      </c>
      <c r="BT1056" s="15" t="s">
        <v>138</v>
      </c>
      <c r="BU1056" s="15" t="s">
        <v>174</v>
      </c>
      <c r="BV1056" s="15" t="s">
        <v>138</v>
      </c>
      <c r="BW1056" s="15" t="s">
        <v>138</v>
      </c>
      <c r="BX1056" s="15" t="s">
        <v>138</v>
      </c>
      <c r="BY1056" s="15" t="s">
        <v>175</v>
      </c>
      <c r="BZ1056" s="22">
        <v>42425</v>
      </c>
      <c r="CA1056" s="17">
        <v>13.5</v>
      </c>
      <c r="CB1056" s="15" t="s">
        <v>172</v>
      </c>
      <c r="CC1056" s="17" t="s">
        <v>138</v>
      </c>
      <c r="CD1056" s="15" t="s">
        <v>138</v>
      </c>
      <c r="CE1056" s="15" t="s">
        <v>205</v>
      </c>
      <c r="CF1056" s="15" t="s">
        <v>206</v>
      </c>
      <c r="CG1056" s="15" t="s">
        <v>138</v>
      </c>
      <c r="CH1056" s="15" t="s">
        <v>174</v>
      </c>
      <c r="CI1056" s="15" t="s">
        <v>138</v>
      </c>
      <c r="CJ1056" s="15" t="s">
        <v>138</v>
      </c>
      <c r="CK1056" s="15" t="s">
        <v>138</v>
      </c>
      <c r="CL1056" s="15" t="s">
        <v>175</v>
      </c>
      <c r="CM1056" s="22" t="s">
        <v>138</v>
      </c>
      <c r="CN1056" s="17" t="s">
        <v>138</v>
      </c>
      <c r="CO1056" s="23">
        <v>0.56999999999999995</v>
      </c>
      <c r="CP1056" s="24">
        <v>95</v>
      </c>
      <c r="CQ1056" s="23">
        <v>-0.87</v>
      </c>
      <c r="CR1056" s="23">
        <v>-60.53</v>
      </c>
      <c r="CS1056" s="23">
        <v>-1.37</v>
      </c>
      <c r="CT1056" s="24">
        <v>12</v>
      </c>
      <c r="CU1056" s="23">
        <v>2.5099999999999998</v>
      </c>
      <c r="CV1056" s="24">
        <v>100</v>
      </c>
      <c r="CW1056" s="23" t="s">
        <v>138</v>
      </c>
      <c r="CX1056" s="24" t="s">
        <v>138</v>
      </c>
      <c r="CY1056" s="23">
        <v>-1.37</v>
      </c>
      <c r="CZ1056" s="24">
        <v>16</v>
      </c>
      <c r="DA1056" s="23">
        <v>2.5099999999999998</v>
      </c>
      <c r="DB1056" s="24">
        <v>100</v>
      </c>
      <c r="DC1056" s="25">
        <v>2.06</v>
      </c>
      <c r="DD1056" s="24">
        <v>68</v>
      </c>
      <c r="DE1056" s="25">
        <v>0.03</v>
      </c>
      <c r="DF1056" s="23">
        <v>1.72</v>
      </c>
      <c r="DG1056" s="25">
        <v>3.48</v>
      </c>
      <c r="DH1056" s="24">
        <v>77</v>
      </c>
      <c r="DI1056" s="25">
        <v>0.64</v>
      </c>
      <c r="DJ1056" s="24">
        <v>41</v>
      </c>
      <c r="DK1056" s="25" t="s">
        <v>138</v>
      </c>
      <c r="DL1056" s="24" t="s">
        <v>138</v>
      </c>
      <c r="DM1056" s="25">
        <v>3.48</v>
      </c>
      <c r="DN1056" s="24">
        <v>76</v>
      </c>
      <c r="DO1056" s="25">
        <v>0.64</v>
      </c>
      <c r="DP1056" s="24">
        <v>42</v>
      </c>
      <c r="DQ1056" s="24" t="s">
        <v>138</v>
      </c>
      <c r="DR1056" s="26" t="s">
        <v>138</v>
      </c>
      <c r="DS1056" s="23" t="s">
        <v>138</v>
      </c>
      <c r="DT1056" s="24">
        <v>100</v>
      </c>
      <c r="DU1056" s="26">
        <v>2</v>
      </c>
      <c r="DV1056" s="23">
        <v>2.04</v>
      </c>
      <c r="DW1056" s="24">
        <v>227</v>
      </c>
      <c r="DX1056" s="27">
        <v>-1</v>
      </c>
      <c r="DY1056" s="23">
        <v>-0.44</v>
      </c>
      <c r="DZ1056" s="15" t="s">
        <v>178</v>
      </c>
      <c r="EA1056" s="22">
        <v>43572</v>
      </c>
      <c r="EB1056" s="17" t="s">
        <v>138</v>
      </c>
      <c r="EC1056" s="22" t="s">
        <v>138</v>
      </c>
      <c r="ED1056" s="15" t="s">
        <v>138</v>
      </c>
      <c r="EE1056" s="14" t="str">
        <f>HYPERLINK("https://my.pitchbook.com?c=156665-71", "View company online")</f>
        <v>View company online</v>
      </c>
    </row>
    <row r="1057" spans="1:135">
      <c r="A1057" s="28" t="s">
        <v>20641</v>
      </c>
      <c r="B1057" s="28" t="s">
        <v>20642</v>
      </c>
      <c r="C1057" s="28" t="s">
        <v>138</v>
      </c>
      <c r="D1057" s="28" t="s">
        <v>138</v>
      </c>
      <c r="E1057" s="28" t="s">
        <v>20643</v>
      </c>
      <c r="F1057" s="28" t="s">
        <v>20641</v>
      </c>
      <c r="G1057" s="28" t="s">
        <v>20644</v>
      </c>
      <c r="H1057" s="28" t="s">
        <v>238</v>
      </c>
      <c r="I1057" s="28" t="s">
        <v>239</v>
      </c>
      <c r="J1057" s="28" t="s">
        <v>2578</v>
      </c>
      <c r="K1057" s="28" t="s">
        <v>20645</v>
      </c>
      <c r="L1057" s="28" t="s">
        <v>17714</v>
      </c>
      <c r="M1057" s="28" t="s">
        <v>20646</v>
      </c>
      <c r="N1057" s="28" t="s">
        <v>147</v>
      </c>
      <c r="O1057" s="29">
        <v>83.5</v>
      </c>
      <c r="P1057" s="28" t="s">
        <v>148</v>
      </c>
      <c r="Q1057" s="28" t="s">
        <v>149</v>
      </c>
      <c r="R1057" s="28" t="s">
        <v>174</v>
      </c>
      <c r="S1057" s="28" t="s">
        <v>20647</v>
      </c>
      <c r="T1057" s="30">
        <v>140</v>
      </c>
      <c r="U1057" s="28" t="s">
        <v>20648</v>
      </c>
      <c r="V1057" s="28" t="s">
        <v>138</v>
      </c>
      <c r="W1057" s="28" t="s">
        <v>138</v>
      </c>
      <c r="X1057" s="31">
        <v>2010</v>
      </c>
      <c r="Y1057" s="28" t="s">
        <v>138</v>
      </c>
      <c r="Z1057" s="28" t="s">
        <v>1163</v>
      </c>
      <c r="AA1057" s="28" t="s">
        <v>1163</v>
      </c>
      <c r="AB1057" s="32" t="s">
        <v>138</v>
      </c>
      <c r="AC1057" s="32" t="s">
        <v>138</v>
      </c>
      <c r="AD1057" s="32" t="s">
        <v>138</v>
      </c>
      <c r="AE1057" s="32" t="s">
        <v>138</v>
      </c>
      <c r="AF1057" s="32" t="s">
        <v>138</v>
      </c>
      <c r="AG1057" s="28" t="s">
        <v>138</v>
      </c>
      <c r="AH1057" s="32" t="s">
        <v>138</v>
      </c>
      <c r="AI1057" s="32" t="s">
        <v>138</v>
      </c>
      <c r="AJ1057" s="32" t="s">
        <v>138</v>
      </c>
      <c r="AK1057" s="28" t="s">
        <v>20649</v>
      </c>
      <c r="AL1057" s="28" t="s">
        <v>20650</v>
      </c>
      <c r="AM1057" s="28" t="s">
        <v>221</v>
      </c>
      <c r="AN1057" s="28" t="s">
        <v>20651</v>
      </c>
      <c r="AO1057" s="28" t="s">
        <v>20652</v>
      </c>
      <c r="AP1057" s="28" t="s">
        <v>1292</v>
      </c>
      <c r="AQ1057" s="28" t="s">
        <v>20653</v>
      </c>
      <c r="AR1057" s="28" t="s">
        <v>5012</v>
      </c>
      <c r="AS1057" s="28" t="s">
        <v>1294</v>
      </c>
      <c r="AT1057" s="28" t="s">
        <v>864</v>
      </c>
      <c r="AU1057" s="28" t="s">
        <v>4404</v>
      </c>
      <c r="AV1057" s="28" t="s">
        <v>162</v>
      </c>
      <c r="AW1057" s="28" t="s">
        <v>20652</v>
      </c>
      <c r="AX1057" s="28" t="s">
        <v>138</v>
      </c>
      <c r="AY1057" s="28" t="s">
        <v>20654</v>
      </c>
      <c r="AZ1057" s="28" t="s">
        <v>164</v>
      </c>
      <c r="BA1057" s="28" t="s">
        <v>165</v>
      </c>
      <c r="BB1057" s="28" t="s">
        <v>20655</v>
      </c>
      <c r="BC1057" s="28" t="s">
        <v>20656</v>
      </c>
      <c r="BD1057" s="33">
        <v>15</v>
      </c>
      <c r="BE1057" s="28" t="s">
        <v>138</v>
      </c>
      <c r="BF1057" s="28" t="s">
        <v>138</v>
      </c>
      <c r="BG1057" s="28" t="s">
        <v>138</v>
      </c>
      <c r="BH1057" s="28" t="s">
        <v>20657</v>
      </c>
      <c r="BI1057" s="28" t="s">
        <v>138</v>
      </c>
      <c r="BJ1057" s="28" t="s">
        <v>138</v>
      </c>
      <c r="BK1057" s="28" t="s">
        <v>20658</v>
      </c>
      <c r="BL1057" s="28" t="s">
        <v>138</v>
      </c>
      <c r="BM1057" s="34">
        <v>40715</v>
      </c>
      <c r="BN1057" s="29">
        <v>5.5</v>
      </c>
      <c r="BO1057" s="28" t="s">
        <v>172</v>
      </c>
      <c r="BP1057" s="29">
        <v>10.71</v>
      </c>
      <c r="BQ1057" s="28" t="s">
        <v>172</v>
      </c>
      <c r="BR1057" s="28" t="s">
        <v>205</v>
      </c>
      <c r="BS1057" s="28" t="s">
        <v>206</v>
      </c>
      <c r="BT1057" s="28" t="s">
        <v>138</v>
      </c>
      <c r="BU1057" s="28" t="s">
        <v>174</v>
      </c>
      <c r="BV1057" s="28" t="s">
        <v>138</v>
      </c>
      <c r="BW1057" s="28" t="s">
        <v>138</v>
      </c>
      <c r="BX1057" s="28" t="s">
        <v>138</v>
      </c>
      <c r="BY1057" s="28" t="s">
        <v>175</v>
      </c>
      <c r="BZ1057" s="34">
        <v>43539</v>
      </c>
      <c r="CA1057" s="29">
        <v>16.989999999999998</v>
      </c>
      <c r="CB1057" s="28" t="s">
        <v>172</v>
      </c>
      <c r="CC1057" s="29">
        <v>126.99</v>
      </c>
      <c r="CD1057" s="28" t="s">
        <v>172</v>
      </c>
      <c r="CE1057" s="28" t="s">
        <v>173</v>
      </c>
      <c r="CF1057" s="28" t="s">
        <v>317</v>
      </c>
      <c r="CG1057" s="28" t="s">
        <v>138</v>
      </c>
      <c r="CH1057" s="28" t="s">
        <v>174</v>
      </c>
      <c r="CI1057" s="28" t="s">
        <v>138</v>
      </c>
      <c r="CJ1057" s="28" t="s">
        <v>138</v>
      </c>
      <c r="CK1057" s="28" t="s">
        <v>138</v>
      </c>
      <c r="CL1057" s="28" t="s">
        <v>175</v>
      </c>
      <c r="CM1057" s="34" t="s">
        <v>138</v>
      </c>
      <c r="CN1057" s="29" t="s">
        <v>138</v>
      </c>
      <c r="CO1057" s="35">
        <v>0.64</v>
      </c>
      <c r="CP1057" s="36">
        <v>96</v>
      </c>
      <c r="CQ1057" s="35">
        <v>0.01</v>
      </c>
      <c r="CR1057" s="35">
        <v>1.37</v>
      </c>
      <c r="CS1057" s="35">
        <v>1.1200000000000001</v>
      </c>
      <c r="CT1057" s="36">
        <v>97</v>
      </c>
      <c r="CU1057" s="35">
        <v>0.16</v>
      </c>
      <c r="CV1057" s="36">
        <v>76</v>
      </c>
      <c r="CW1057" s="35">
        <v>2.35</v>
      </c>
      <c r="CX1057" s="36">
        <v>89</v>
      </c>
      <c r="CY1057" s="35">
        <v>-0.1</v>
      </c>
      <c r="CZ1057" s="36">
        <v>24</v>
      </c>
      <c r="DA1057" s="35">
        <v>0.1</v>
      </c>
      <c r="DB1057" s="36">
        <v>72</v>
      </c>
      <c r="DC1057" s="37">
        <v>7.27</v>
      </c>
      <c r="DD1057" s="36">
        <v>87</v>
      </c>
      <c r="DE1057" s="37">
        <v>-0.3</v>
      </c>
      <c r="DF1057" s="35">
        <v>-3.98</v>
      </c>
      <c r="DG1057" s="37">
        <v>12.36</v>
      </c>
      <c r="DH1057" s="36">
        <v>91</v>
      </c>
      <c r="DI1057" s="37">
        <v>2.17</v>
      </c>
      <c r="DJ1057" s="36">
        <v>64</v>
      </c>
      <c r="DK1057" s="37">
        <v>8.85</v>
      </c>
      <c r="DL1057" s="36">
        <v>86</v>
      </c>
      <c r="DM1057" s="37">
        <v>15.86</v>
      </c>
      <c r="DN1057" s="36">
        <v>93</v>
      </c>
      <c r="DO1057" s="37">
        <v>4.05</v>
      </c>
      <c r="DP1057" s="36">
        <v>76</v>
      </c>
      <c r="DQ1057" s="36">
        <v>3051</v>
      </c>
      <c r="DR1057" s="38">
        <v>-45</v>
      </c>
      <c r="DS1057" s="35">
        <v>-1.45</v>
      </c>
      <c r="DT1057" s="36">
        <v>461</v>
      </c>
      <c r="DU1057" s="38">
        <v>-2</v>
      </c>
      <c r="DV1057" s="35">
        <v>-0.43</v>
      </c>
      <c r="DW1057" s="36">
        <v>1447</v>
      </c>
      <c r="DX1057" s="39">
        <v>1</v>
      </c>
      <c r="DY1057" s="35">
        <v>7.0000000000000007E-2</v>
      </c>
      <c r="DZ1057" s="28" t="s">
        <v>178</v>
      </c>
      <c r="EA1057" s="34">
        <v>43622</v>
      </c>
      <c r="EB1057" s="29">
        <v>126.99</v>
      </c>
      <c r="EC1057" s="34">
        <v>43539</v>
      </c>
      <c r="ED1057" s="28" t="s">
        <v>173</v>
      </c>
      <c r="EE1057" s="40" t="str">
        <f>HYPERLINK("https://my.pitchbook.com?c=52304-14", "View company online")</f>
        <v>View company online</v>
      </c>
    </row>
    <row r="1058" spans="1:135">
      <c r="A1058" s="15" t="s">
        <v>20659</v>
      </c>
      <c r="B1058" s="15" t="s">
        <v>20660</v>
      </c>
      <c r="C1058" s="15" t="s">
        <v>138</v>
      </c>
      <c r="D1058" s="15" t="s">
        <v>138</v>
      </c>
      <c r="E1058" s="15" t="s">
        <v>20661</v>
      </c>
      <c r="F1058" s="15" t="s">
        <v>20659</v>
      </c>
      <c r="G1058" s="15" t="s">
        <v>20662</v>
      </c>
      <c r="H1058" s="15" t="s">
        <v>322</v>
      </c>
      <c r="I1058" s="15" t="s">
        <v>323</v>
      </c>
      <c r="J1058" s="15" t="s">
        <v>1132</v>
      </c>
      <c r="K1058" s="15" t="s">
        <v>1777</v>
      </c>
      <c r="L1058" s="15" t="s">
        <v>6788</v>
      </c>
      <c r="M1058" s="15" t="s">
        <v>20663</v>
      </c>
      <c r="N1058" s="15" t="s">
        <v>1452</v>
      </c>
      <c r="O1058" s="17">
        <v>154.31</v>
      </c>
      <c r="P1058" s="15" t="s">
        <v>148</v>
      </c>
      <c r="Q1058" s="15" t="s">
        <v>149</v>
      </c>
      <c r="R1058" s="15" t="s">
        <v>328</v>
      </c>
      <c r="S1058" s="15" t="s">
        <v>20664</v>
      </c>
      <c r="T1058" s="18">
        <v>600</v>
      </c>
      <c r="U1058" s="15" t="s">
        <v>20665</v>
      </c>
      <c r="V1058" s="15" t="s">
        <v>138</v>
      </c>
      <c r="W1058" s="15" t="s">
        <v>138</v>
      </c>
      <c r="X1058" s="19">
        <v>2000</v>
      </c>
      <c r="Y1058" s="15" t="s">
        <v>138</v>
      </c>
      <c r="Z1058" s="15" t="s">
        <v>1163</v>
      </c>
      <c r="AA1058" s="15" t="s">
        <v>1163</v>
      </c>
      <c r="AB1058" s="20">
        <v>110</v>
      </c>
      <c r="AC1058" s="20" t="s">
        <v>138</v>
      </c>
      <c r="AD1058" s="20" t="s">
        <v>138</v>
      </c>
      <c r="AE1058" s="20" t="s">
        <v>138</v>
      </c>
      <c r="AF1058" s="20" t="s">
        <v>138</v>
      </c>
      <c r="AG1058" s="15" t="s">
        <v>815</v>
      </c>
      <c r="AH1058" s="20" t="s">
        <v>138</v>
      </c>
      <c r="AI1058" s="20" t="s">
        <v>138</v>
      </c>
      <c r="AJ1058" s="20" t="s">
        <v>138</v>
      </c>
      <c r="AK1058" s="15" t="s">
        <v>20666</v>
      </c>
      <c r="AL1058" s="15" t="s">
        <v>20667</v>
      </c>
      <c r="AM1058" s="15" t="s">
        <v>249</v>
      </c>
      <c r="AN1058" s="15" t="s">
        <v>20668</v>
      </c>
      <c r="AO1058" s="15" t="s">
        <v>20669</v>
      </c>
      <c r="AP1058" s="15" t="s">
        <v>2002</v>
      </c>
      <c r="AQ1058" s="15" t="s">
        <v>20670</v>
      </c>
      <c r="AR1058" s="15" t="s">
        <v>2095</v>
      </c>
      <c r="AS1058" s="15" t="s">
        <v>2005</v>
      </c>
      <c r="AT1058" s="15" t="s">
        <v>200</v>
      </c>
      <c r="AU1058" s="15" t="s">
        <v>2006</v>
      </c>
      <c r="AV1058" s="15" t="s">
        <v>162</v>
      </c>
      <c r="AW1058" s="15" t="s">
        <v>20671</v>
      </c>
      <c r="AX1058" s="15" t="s">
        <v>138</v>
      </c>
      <c r="AY1058" s="15" t="s">
        <v>20672</v>
      </c>
      <c r="AZ1058" s="15" t="s">
        <v>164</v>
      </c>
      <c r="BA1058" s="15" t="s">
        <v>165</v>
      </c>
      <c r="BB1058" s="15" t="s">
        <v>20673</v>
      </c>
      <c r="BC1058" s="15" t="s">
        <v>20674</v>
      </c>
      <c r="BD1058" s="21">
        <v>3</v>
      </c>
      <c r="BE1058" s="15" t="s">
        <v>138</v>
      </c>
      <c r="BF1058" s="15" t="s">
        <v>20675</v>
      </c>
      <c r="BG1058" s="15" t="s">
        <v>138</v>
      </c>
      <c r="BH1058" s="15" t="s">
        <v>20676</v>
      </c>
      <c r="BI1058" s="15" t="s">
        <v>20677</v>
      </c>
      <c r="BJ1058" s="15" t="s">
        <v>138</v>
      </c>
      <c r="BK1058" s="15" t="s">
        <v>20678</v>
      </c>
      <c r="BL1058" s="15" t="s">
        <v>1275</v>
      </c>
      <c r="BM1058" s="22">
        <v>37012</v>
      </c>
      <c r="BN1058" s="17">
        <v>10.3</v>
      </c>
      <c r="BO1058" s="15" t="s">
        <v>172</v>
      </c>
      <c r="BP1058" s="17" t="s">
        <v>138</v>
      </c>
      <c r="BQ1058" s="15" t="s">
        <v>138</v>
      </c>
      <c r="BR1058" s="15" t="s">
        <v>205</v>
      </c>
      <c r="BS1058" s="15" t="s">
        <v>138</v>
      </c>
      <c r="BT1058" s="15" t="s">
        <v>138</v>
      </c>
      <c r="BU1058" s="15" t="s">
        <v>174</v>
      </c>
      <c r="BV1058" s="15" t="s">
        <v>138</v>
      </c>
      <c r="BW1058" s="15" t="s">
        <v>138</v>
      </c>
      <c r="BX1058" s="15" t="s">
        <v>138</v>
      </c>
      <c r="BY1058" s="15" t="s">
        <v>175</v>
      </c>
      <c r="BZ1058" s="22">
        <v>43566</v>
      </c>
      <c r="CA1058" s="17">
        <v>160</v>
      </c>
      <c r="CB1058" s="15" t="s">
        <v>172</v>
      </c>
      <c r="CC1058" s="17">
        <v>1200</v>
      </c>
      <c r="CD1058" s="15" t="s">
        <v>1178</v>
      </c>
      <c r="CE1058" s="15" t="s">
        <v>349</v>
      </c>
      <c r="CF1058" s="15" t="s">
        <v>138</v>
      </c>
      <c r="CG1058" s="15" t="s">
        <v>138</v>
      </c>
      <c r="CH1058" s="15" t="s">
        <v>351</v>
      </c>
      <c r="CI1058" s="15" t="s">
        <v>138</v>
      </c>
      <c r="CJ1058" s="15" t="s">
        <v>138</v>
      </c>
      <c r="CK1058" s="15" t="s">
        <v>138</v>
      </c>
      <c r="CL1058" s="15" t="s">
        <v>175</v>
      </c>
      <c r="CM1058" s="22" t="s">
        <v>138</v>
      </c>
      <c r="CN1058" s="17" t="s">
        <v>138</v>
      </c>
      <c r="CO1058" s="23">
        <v>2.57</v>
      </c>
      <c r="CP1058" s="24">
        <v>99</v>
      </c>
      <c r="CQ1058" s="23">
        <v>-0.02</v>
      </c>
      <c r="CR1058" s="23">
        <v>-0.59</v>
      </c>
      <c r="CS1058" s="23">
        <v>4.97</v>
      </c>
      <c r="CT1058" s="24">
        <v>100</v>
      </c>
      <c r="CU1058" s="23">
        <v>0.18</v>
      </c>
      <c r="CV1058" s="24">
        <v>78</v>
      </c>
      <c r="CW1058" s="23">
        <v>13.57</v>
      </c>
      <c r="CX1058" s="24">
        <v>100</v>
      </c>
      <c r="CY1058" s="23">
        <v>-3.63</v>
      </c>
      <c r="CZ1058" s="24">
        <v>5</v>
      </c>
      <c r="DA1058" s="23">
        <v>0.18</v>
      </c>
      <c r="DB1058" s="24">
        <v>81</v>
      </c>
      <c r="DC1058" s="25">
        <v>18.41</v>
      </c>
      <c r="DD1058" s="24">
        <v>94</v>
      </c>
      <c r="DE1058" s="25">
        <v>-0.45</v>
      </c>
      <c r="DF1058" s="23">
        <v>-2.4</v>
      </c>
      <c r="DG1058" s="25">
        <v>23.47</v>
      </c>
      <c r="DH1058" s="24">
        <v>96</v>
      </c>
      <c r="DI1058" s="25">
        <v>13.35</v>
      </c>
      <c r="DJ1058" s="24">
        <v>88</v>
      </c>
      <c r="DK1058" s="25">
        <v>14.67</v>
      </c>
      <c r="DL1058" s="24">
        <v>90</v>
      </c>
      <c r="DM1058" s="25">
        <v>32.28</v>
      </c>
      <c r="DN1058" s="24">
        <v>97</v>
      </c>
      <c r="DO1058" s="25">
        <v>13.35</v>
      </c>
      <c r="DP1058" s="24">
        <v>90</v>
      </c>
      <c r="DQ1058" s="24">
        <v>4826</v>
      </c>
      <c r="DR1058" s="26">
        <v>614</v>
      </c>
      <c r="DS1058" s="23">
        <v>14.58</v>
      </c>
      <c r="DT1058" s="24">
        <v>937</v>
      </c>
      <c r="DU1058" s="26">
        <v>-4</v>
      </c>
      <c r="DV1058" s="23">
        <v>-0.43</v>
      </c>
      <c r="DW1058" s="24">
        <v>4775</v>
      </c>
      <c r="DX1058" s="27">
        <v>6</v>
      </c>
      <c r="DY1058" s="23">
        <v>0.13</v>
      </c>
      <c r="DZ1058" s="15" t="s">
        <v>178</v>
      </c>
      <c r="EA1058" s="22">
        <v>43622</v>
      </c>
      <c r="EB1058" s="17">
        <v>1200</v>
      </c>
      <c r="EC1058" s="22">
        <v>43566</v>
      </c>
      <c r="ED1058" s="15" t="s">
        <v>349</v>
      </c>
      <c r="EE1058" s="14" t="str">
        <f>HYPERLINK("https://my.pitchbook.com?c=51081-58", "View company online")</f>
        <v>View company online</v>
      </c>
    </row>
    <row r="1059" spans="1:135">
      <c r="A1059" s="28" t="s">
        <v>20679</v>
      </c>
      <c r="B1059" s="28" t="s">
        <v>20680</v>
      </c>
      <c r="C1059" s="28" t="s">
        <v>138</v>
      </c>
      <c r="D1059" s="28" t="s">
        <v>138</v>
      </c>
      <c r="E1059" s="28" t="s">
        <v>20681</v>
      </c>
      <c r="F1059" s="28" t="s">
        <v>20679</v>
      </c>
      <c r="G1059" s="28" t="s">
        <v>20682</v>
      </c>
      <c r="H1059" s="28" t="s">
        <v>322</v>
      </c>
      <c r="I1059" s="28" t="s">
        <v>356</v>
      </c>
      <c r="J1059" s="28" t="s">
        <v>3852</v>
      </c>
      <c r="K1059" s="28" t="s">
        <v>20683</v>
      </c>
      <c r="L1059" s="28" t="s">
        <v>12517</v>
      </c>
      <c r="M1059" s="28" t="s">
        <v>20684</v>
      </c>
      <c r="N1059" s="28" t="s">
        <v>147</v>
      </c>
      <c r="O1059" s="29">
        <v>197.58</v>
      </c>
      <c r="P1059" s="28" t="s">
        <v>148</v>
      </c>
      <c r="Q1059" s="28" t="s">
        <v>149</v>
      </c>
      <c r="R1059" s="28" t="s">
        <v>150</v>
      </c>
      <c r="S1059" s="28" t="s">
        <v>20685</v>
      </c>
      <c r="T1059" s="30">
        <v>110</v>
      </c>
      <c r="U1059" s="28" t="s">
        <v>20686</v>
      </c>
      <c r="V1059" s="28" t="s">
        <v>138</v>
      </c>
      <c r="W1059" s="28" t="s">
        <v>138</v>
      </c>
      <c r="X1059" s="31">
        <v>2012</v>
      </c>
      <c r="Y1059" s="28" t="s">
        <v>138</v>
      </c>
      <c r="Z1059" s="28" t="s">
        <v>138</v>
      </c>
      <c r="AA1059" s="28" t="s">
        <v>138</v>
      </c>
      <c r="AB1059" s="32" t="s">
        <v>138</v>
      </c>
      <c r="AC1059" s="32" t="s">
        <v>138</v>
      </c>
      <c r="AD1059" s="32" t="s">
        <v>138</v>
      </c>
      <c r="AE1059" s="32" t="s">
        <v>138</v>
      </c>
      <c r="AF1059" s="32" t="s">
        <v>138</v>
      </c>
      <c r="AG1059" s="28" t="s">
        <v>138</v>
      </c>
      <c r="AH1059" s="32" t="s">
        <v>138</v>
      </c>
      <c r="AI1059" s="32" t="s">
        <v>138</v>
      </c>
      <c r="AJ1059" s="32" t="s">
        <v>138</v>
      </c>
      <c r="AK1059" s="28" t="s">
        <v>20687</v>
      </c>
      <c r="AL1059" s="28" t="s">
        <v>20688</v>
      </c>
      <c r="AM1059" s="28" t="s">
        <v>20689</v>
      </c>
      <c r="AN1059" s="28" t="s">
        <v>20690</v>
      </c>
      <c r="AO1059" s="28" t="s">
        <v>20691</v>
      </c>
      <c r="AP1059" s="28" t="s">
        <v>12525</v>
      </c>
      <c r="AQ1059" s="28" t="s">
        <v>20692</v>
      </c>
      <c r="AR1059" s="28" t="s">
        <v>158</v>
      </c>
      <c r="AS1059" s="28" t="s">
        <v>12527</v>
      </c>
      <c r="AT1059" s="28" t="s">
        <v>284</v>
      </c>
      <c r="AU1059" s="28" t="s">
        <v>12528</v>
      </c>
      <c r="AV1059" s="28" t="s">
        <v>162</v>
      </c>
      <c r="AW1059" s="28" t="s">
        <v>20691</v>
      </c>
      <c r="AX1059" s="28" t="s">
        <v>20693</v>
      </c>
      <c r="AY1059" s="28" t="s">
        <v>20694</v>
      </c>
      <c r="AZ1059" s="28" t="s">
        <v>164</v>
      </c>
      <c r="BA1059" s="28" t="s">
        <v>165</v>
      </c>
      <c r="BB1059" s="28" t="s">
        <v>20695</v>
      </c>
      <c r="BC1059" s="28" t="s">
        <v>20696</v>
      </c>
      <c r="BD1059" s="33">
        <v>11</v>
      </c>
      <c r="BE1059" s="28" t="s">
        <v>138</v>
      </c>
      <c r="BF1059" s="28" t="s">
        <v>138</v>
      </c>
      <c r="BG1059" s="28" t="s">
        <v>138</v>
      </c>
      <c r="BH1059" s="28" t="s">
        <v>20697</v>
      </c>
      <c r="BI1059" s="28" t="s">
        <v>138</v>
      </c>
      <c r="BJ1059" s="28" t="s">
        <v>138</v>
      </c>
      <c r="BK1059" s="28" t="s">
        <v>5213</v>
      </c>
      <c r="BL1059" s="28" t="s">
        <v>20698</v>
      </c>
      <c r="BM1059" s="34">
        <v>41122</v>
      </c>
      <c r="BN1059" s="29" t="s">
        <v>138</v>
      </c>
      <c r="BO1059" s="28" t="s">
        <v>138</v>
      </c>
      <c r="BP1059" s="29" t="s">
        <v>138</v>
      </c>
      <c r="BQ1059" s="28" t="s">
        <v>138</v>
      </c>
      <c r="BR1059" s="28" t="s">
        <v>1423</v>
      </c>
      <c r="BS1059" s="28" t="s">
        <v>138</v>
      </c>
      <c r="BT1059" s="28" t="s">
        <v>138</v>
      </c>
      <c r="BU1059" s="28" t="s">
        <v>174</v>
      </c>
      <c r="BV1059" s="28" t="s">
        <v>138</v>
      </c>
      <c r="BW1059" s="28" t="s">
        <v>138</v>
      </c>
      <c r="BX1059" s="28" t="s">
        <v>138</v>
      </c>
      <c r="BY1059" s="28" t="s">
        <v>175</v>
      </c>
      <c r="BZ1059" s="34">
        <v>42823</v>
      </c>
      <c r="CA1059" s="29">
        <v>73.58</v>
      </c>
      <c r="CB1059" s="28" t="s">
        <v>172</v>
      </c>
      <c r="CC1059" s="29">
        <v>423.58</v>
      </c>
      <c r="CD1059" s="28" t="s">
        <v>172</v>
      </c>
      <c r="CE1059" s="28" t="s">
        <v>780</v>
      </c>
      <c r="CF1059" s="28" t="s">
        <v>482</v>
      </c>
      <c r="CG1059" s="28" t="s">
        <v>138</v>
      </c>
      <c r="CH1059" s="28" t="s">
        <v>780</v>
      </c>
      <c r="CI1059" s="28" t="s">
        <v>138</v>
      </c>
      <c r="CJ1059" s="28" t="s">
        <v>138</v>
      </c>
      <c r="CK1059" s="28" t="s">
        <v>138</v>
      </c>
      <c r="CL1059" s="28" t="s">
        <v>175</v>
      </c>
      <c r="CM1059" s="34" t="s">
        <v>138</v>
      </c>
      <c r="CN1059" s="29" t="s">
        <v>138</v>
      </c>
      <c r="CO1059" s="35">
        <v>-0.14000000000000001</v>
      </c>
      <c r="CP1059" s="36">
        <v>20</v>
      </c>
      <c r="CQ1059" s="35">
        <v>0.02</v>
      </c>
      <c r="CR1059" s="35">
        <v>13.66</v>
      </c>
      <c r="CS1059" s="35">
        <v>-0.71</v>
      </c>
      <c r="CT1059" s="36">
        <v>18</v>
      </c>
      <c r="CU1059" s="35">
        <v>0.43</v>
      </c>
      <c r="CV1059" s="36">
        <v>92</v>
      </c>
      <c r="CW1059" s="35">
        <v>2.5299999999999998</v>
      </c>
      <c r="CX1059" s="36">
        <v>90</v>
      </c>
      <c r="CY1059" s="35">
        <v>-3.96</v>
      </c>
      <c r="CZ1059" s="36">
        <v>5</v>
      </c>
      <c r="DA1059" s="35">
        <v>0.43</v>
      </c>
      <c r="DB1059" s="36">
        <v>93</v>
      </c>
      <c r="DC1059" s="37">
        <v>9.4499999999999993</v>
      </c>
      <c r="DD1059" s="36">
        <v>89</v>
      </c>
      <c r="DE1059" s="37">
        <v>-0.13</v>
      </c>
      <c r="DF1059" s="35">
        <v>-1.39</v>
      </c>
      <c r="DG1059" s="37">
        <v>12.72</v>
      </c>
      <c r="DH1059" s="36">
        <v>92</v>
      </c>
      <c r="DI1059" s="37">
        <v>6.17</v>
      </c>
      <c r="DJ1059" s="36">
        <v>80</v>
      </c>
      <c r="DK1059" s="37">
        <v>3.78</v>
      </c>
      <c r="DL1059" s="36">
        <v>75</v>
      </c>
      <c r="DM1059" s="37">
        <v>21.66</v>
      </c>
      <c r="DN1059" s="36">
        <v>95</v>
      </c>
      <c r="DO1059" s="37">
        <v>6.17</v>
      </c>
      <c r="DP1059" s="36">
        <v>82</v>
      </c>
      <c r="DQ1059" s="36">
        <v>1252</v>
      </c>
      <c r="DR1059" s="38">
        <v>139</v>
      </c>
      <c r="DS1059" s="35">
        <v>12.49</v>
      </c>
      <c r="DT1059" s="36">
        <v>632</v>
      </c>
      <c r="DU1059" s="38">
        <v>-10</v>
      </c>
      <c r="DV1059" s="35">
        <v>-1.56</v>
      </c>
      <c r="DW1059" s="36">
        <v>2198</v>
      </c>
      <c r="DX1059" s="39">
        <v>24</v>
      </c>
      <c r="DY1059" s="35">
        <v>1.1000000000000001</v>
      </c>
      <c r="DZ1059" s="28" t="s">
        <v>178</v>
      </c>
      <c r="EA1059" s="34">
        <v>43622</v>
      </c>
      <c r="EB1059" s="29">
        <v>423.58</v>
      </c>
      <c r="EC1059" s="34">
        <v>42823</v>
      </c>
      <c r="ED1059" s="28" t="s">
        <v>780</v>
      </c>
      <c r="EE1059" s="40" t="str">
        <f>HYPERLINK("https://my.pitchbook.com?c=55057-87", "View company online")</f>
        <v>View company online</v>
      </c>
    </row>
    <row r="1060" spans="1:135">
      <c r="A1060" s="15" t="s">
        <v>20699</v>
      </c>
      <c r="B1060" s="15" t="s">
        <v>20700</v>
      </c>
      <c r="C1060" s="15" t="s">
        <v>20701</v>
      </c>
      <c r="D1060" s="15" t="s">
        <v>20702</v>
      </c>
      <c r="E1060" s="15" t="s">
        <v>20703</v>
      </c>
      <c r="F1060" s="15" t="s">
        <v>20699</v>
      </c>
      <c r="G1060" s="15" t="s">
        <v>20704</v>
      </c>
      <c r="H1060" s="15" t="s">
        <v>322</v>
      </c>
      <c r="I1060" s="15" t="s">
        <v>1208</v>
      </c>
      <c r="J1060" s="15" t="s">
        <v>1209</v>
      </c>
      <c r="K1060" s="15" t="s">
        <v>12404</v>
      </c>
      <c r="L1060" s="15" t="s">
        <v>415</v>
      </c>
      <c r="M1060" s="15" t="s">
        <v>20705</v>
      </c>
      <c r="N1060" s="15" t="s">
        <v>147</v>
      </c>
      <c r="O1060" s="17">
        <v>8.1</v>
      </c>
      <c r="P1060" s="15" t="s">
        <v>148</v>
      </c>
      <c r="Q1060" s="15" t="s">
        <v>149</v>
      </c>
      <c r="R1060" s="15" t="s">
        <v>244</v>
      </c>
      <c r="S1060" s="15" t="s">
        <v>20706</v>
      </c>
      <c r="T1060" s="18">
        <v>12</v>
      </c>
      <c r="U1060" s="15" t="s">
        <v>20707</v>
      </c>
      <c r="V1060" s="15" t="s">
        <v>138</v>
      </c>
      <c r="W1060" s="15" t="s">
        <v>138</v>
      </c>
      <c r="X1060" s="19">
        <v>1998</v>
      </c>
      <c r="Y1060" s="15" t="s">
        <v>138</v>
      </c>
      <c r="Z1060" s="15" t="s">
        <v>138</v>
      </c>
      <c r="AA1060" s="15" t="s">
        <v>138</v>
      </c>
      <c r="AB1060" s="20" t="s">
        <v>138</v>
      </c>
      <c r="AC1060" s="20" t="s">
        <v>138</v>
      </c>
      <c r="AD1060" s="20" t="s">
        <v>138</v>
      </c>
      <c r="AE1060" s="20" t="s">
        <v>138</v>
      </c>
      <c r="AF1060" s="20" t="s">
        <v>138</v>
      </c>
      <c r="AG1060" s="15" t="s">
        <v>138</v>
      </c>
      <c r="AH1060" s="20" t="s">
        <v>138</v>
      </c>
      <c r="AI1060" s="20" t="s">
        <v>138</v>
      </c>
      <c r="AJ1060" s="20" t="s">
        <v>138</v>
      </c>
      <c r="AK1060" s="15" t="s">
        <v>20708</v>
      </c>
      <c r="AL1060" s="15" t="s">
        <v>20709</v>
      </c>
      <c r="AM1060" s="15" t="s">
        <v>15192</v>
      </c>
      <c r="AN1060" s="15" t="s">
        <v>20710</v>
      </c>
      <c r="AO1060" s="15" t="s">
        <v>20711</v>
      </c>
      <c r="AP1060" s="15" t="s">
        <v>13630</v>
      </c>
      <c r="AQ1060" s="15" t="s">
        <v>20712</v>
      </c>
      <c r="AR1060" s="15" t="s">
        <v>138</v>
      </c>
      <c r="AS1060" s="15" t="s">
        <v>13632</v>
      </c>
      <c r="AT1060" s="15" t="s">
        <v>5271</v>
      </c>
      <c r="AU1060" s="15" t="s">
        <v>13633</v>
      </c>
      <c r="AV1060" s="15" t="s">
        <v>162</v>
      </c>
      <c r="AW1060" s="15" t="s">
        <v>20711</v>
      </c>
      <c r="AX1060" s="15" t="s">
        <v>20713</v>
      </c>
      <c r="AY1060" s="15" t="s">
        <v>20714</v>
      </c>
      <c r="AZ1060" s="15" t="s">
        <v>164</v>
      </c>
      <c r="BA1060" s="15" t="s">
        <v>165</v>
      </c>
      <c r="BB1060" s="15" t="s">
        <v>20715</v>
      </c>
      <c r="BC1060" s="15" t="s">
        <v>20716</v>
      </c>
      <c r="BD1060" s="21">
        <v>5</v>
      </c>
      <c r="BE1060" s="15" t="s">
        <v>138</v>
      </c>
      <c r="BF1060" s="15" t="s">
        <v>138</v>
      </c>
      <c r="BG1060" s="15" t="s">
        <v>138</v>
      </c>
      <c r="BH1060" s="15" t="s">
        <v>20717</v>
      </c>
      <c r="BI1060" s="15" t="s">
        <v>138</v>
      </c>
      <c r="BJ1060" s="15" t="s">
        <v>138</v>
      </c>
      <c r="BK1060" s="15" t="s">
        <v>138</v>
      </c>
      <c r="BL1060" s="15" t="s">
        <v>20718</v>
      </c>
      <c r="BM1060" s="22">
        <v>37104</v>
      </c>
      <c r="BN1060" s="17">
        <v>2.6</v>
      </c>
      <c r="BO1060" s="15" t="s">
        <v>172</v>
      </c>
      <c r="BP1060" s="17" t="s">
        <v>138</v>
      </c>
      <c r="BQ1060" s="15" t="s">
        <v>138</v>
      </c>
      <c r="BR1060" s="15" t="s">
        <v>262</v>
      </c>
      <c r="BS1060" s="15" t="s">
        <v>206</v>
      </c>
      <c r="BT1060" s="15" t="s">
        <v>138</v>
      </c>
      <c r="BU1060" s="15" t="s">
        <v>263</v>
      </c>
      <c r="BV1060" s="15" t="s">
        <v>138</v>
      </c>
      <c r="BW1060" s="15" t="s">
        <v>138</v>
      </c>
      <c r="BX1060" s="15" t="s">
        <v>138</v>
      </c>
      <c r="BY1060" s="15" t="s">
        <v>175</v>
      </c>
      <c r="BZ1060" s="22">
        <v>42678</v>
      </c>
      <c r="CA1060" s="17" t="s">
        <v>138</v>
      </c>
      <c r="CB1060" s="15" t="s">
        <v>138</v>
      </c>
      <c r="CC1060" s="17" t="s">
        <v>138</v>
      </c>
      <c r="CD1060" s="15" t="s">
        <v>138</v>
      </c>
      <c r="CE1060" s="15" t="s">
        <v>1326</v>
      </c>
      <c r="CF1060" s="15" t="s">
        <v>138</v>
      </c>
      <c r="CG1060" s="15" t="s">
        <v>138</v>
      </c>
      <c r="CH1060" s="15" t="s">
        <v>1327</v>
      </c>
      <c r="CI1060" s="15" t="s">
        <v>2528</v>
      </c>
      <c r="CJ1060" s="15" t="s">
        <v>138</v>
      </c>
      <c r="CK1060" s="15" t="s">
        <v>138</v>
      </c>
      <c r="CL1060" s="15" t="s">
        <v>175</v>
      </c>
      <c r="CM1060" s="22">
        <v>42678</v>
      </c>
      <c r="CN1060" s="17" t="s">
        <v>138</v>
      </c>
      <c r="CO1060" s="23">
        <v>0.93</v>
      </c>
      <c r="CP1060" s="24">
        <v>97</v>
      </c>
      <c r="CQ1060" s="23">
        <v>-0.24</v>
      </c>
      <c r="CR1060" s="23">
        <v>-20.32</v>
      </c>
      <c r="CS1060" s="23">
        <v>1.66</v>
      </c>
      <c r="CT1060" s="24">
        <v>98</v>
      </c>
      <c r="CU1060" s="23">
        <v>0.19</v>
      </c>
      <c r="CV1060" s="24">
        <v>79</v>
      </c>
      <c r="CW1060" s="23" t="s">
        <v>138</v>
      </c>
      <c r="CX1060" s="24" t="s">
        <v>138</v>
      </c>
      <c r="CY1060" s="23">
        <v>1.66</v>
      </c>
      <c r="CZ1060" s="24">
        <v>100</v>
      </c>
      <c r="DA1060" s="23">
        <v>0.19</v>
      </c>
      <c r="DB1060" s="24">
        <v>82</v>
      </c>
      <c r="DC1060" s="25">
        <v>2.2200000000000002</v>
      </c>
      <c r="DD1060" s="24">
        <v>69</v>
      </c>
      <c r="DE1060" s="25">
        <v>0</v>
      </c>
      <c r="DF1060" s="23">
        <v>0.05</v>
      </c>
      <c r="DG1060" s="25">
        <v>4.07</v>
      </c>
      <c r="DH1060" s="24">
        <v>79</v>
      </c>
      <c r="DI1060" s="25">
        <v>0.38</v>
      </c>
      <c r="DJ1060" s="24">
        <v>32</v>
      </c>
      <c r="DK1060" s="25" t="s">
        <v>138</v>
      </c>
      <c r="DL1060" s="24" t="s">
        <v>138</v>
      </c>
      <c r="DM1060" s="25">
        <v>4.07</v>
      </c>
      <c r="DN1060" s="24">
        <v>78</v>
      </c>
      <c r="DO1060" s="25">
        <v>0.38</v>
      </c>
      <c r="DP1060" s="24">
        <v>34</v>
      </c>
      <c r="DQ1060" s="24" t="s">
        <v>138</v>
      </c>
      <c r="DR1060" s="26" t="s">
        <v>138</v>
      </c>
      <c r="DS1060" s="23" t="s">
        <v>138</v>
      </c>
      <c r="DT1060" s="24">
        <v>118</v>
      </c>
      <c r="DU1060" s="26">
        <v>1</v>
      </c>
      <c r="DV1060" s="23">
        <v>0.85</v>
      </c>
      <c r="DW1060" s="24">
        <v>135</v>
      </c>
      <c r="DX1060" s="27">
        <v>1</v>
      </c>
      <c r="DY1060" s="23">
        <v>0.75</v>
      </c>
      <c r="DZ1060" s="15" t="s">
        <v>178</v>
      </c>
      <c r="EA1060" s="22">
        <v>43451</v>
      </c>
      <c r="EB1060" s="17" t="s">
        <v>138</v>
      </c>
      <c r="EC1060" s="22" t="s">
        <v>138</v>
      </c>
      <c r="ED1060" s="15" t="s">
        <v>138</v>
      </c>
      <c r="EE1060" s="14" t="str">
        <f>HYPERLINK("https://my.pitchbook.com?c=55099-63", "View company online")</f>
        <v>View company online</v>
      </c>
    </row>
    <row r="1061" spans="1:135">
      <c r="A1061" s="28" t="s">
        <v>20719</v>
      </c>
      <c r="B1061" s="28" t="s">
        <v>20720</v>
      </c>
      <c r="C1061" s="28" t="s">
        <v>138</v>
      </c>
      <c r="D1061" s="28" t="s">
        <v>138</v>
      </c>
      <c r="E1061" s="28" t="s">
        <v>138</v>
      </c>
      <c r="F1061" s="28" t="s">
        <v>20719</v>
      </c>
      <c r="G1061" s="28" t="s">
        <v>20721</v>
      </c>
      <c r="H1061" s="28" t="s">
        <v>322</v>
      </c>
      <c r="I1061" s="28" t="s">
        <v>323</v>
      </c>
      <c r="J1061" s="28" t="s">
        <v>539</v>
      </c>
      <c r="K1061" s="28" t="s">
        <v>20722</v>
      </c>
      <c r="L1061" s="28" t="s">
        <v>20723</v>
      </c>
      <c r="M1061" s="28" t="s">
        <v>20724</v>
      </c>
      <c r="N1061" s="28" t="s">
        <v>147</v>
      </c>
      <c r="O1061" s="29">
        <v>1.39</v>
      </c>
      <c r="P1061" s="28" t="s">
        <v>812</v>
      </c>
      <c r="Q1061" s="28" t="s">
        <v>149</v>
      </c>
      <c r="R1061" s="28" t="s">
        <v>174</v>
      </c>
      <c r="S1061" s="28" t="s">
        <v>20725</v>
      </c>
      <c r="T1061" s="30">
        <v>8</v>
      </c>
      <c r="U1061" s="28" t="s">
        <v>20726</v>
      </c>
      <c r="V1061" s="28" t="s">
        <v>138</v>
      </c>
      <c r="W1061" s="28" t="s">
        <v>138</v>
      </c>
      <c r="X1061" s="31">
        <v>2013</v>
      </c>
      <c r="Y1061" s="28" t="s">
        <v>138</v>
      </c>
      <c r="Z1061" s="28" t="s">
        <v>138</v>
      </c>
      <c r="AA1061" s="28" t="s">
        <v>138</v>
      </c>
      <c r="AB1061" s="32" t="s">
        <v>138</v>
      </c>
      <c r="AC1061" s="32" t="s">
        <v>138</v>
      </c>
      <c r="AD1061" s="32" t="s">
        <v>138</v>
      </c>
      <c r="AE1061" s="32" t="s">
        <v>138</v>
      </c>
      <c r="AF1061" s="32" t="s">
        <v>138</v>
      </c>
      <c r="AG1061" s="28" t="s">
        <v>138</v>
      </c>
      <c r="AH1061" s="32" t="s">
        <v>138</v>
      </c>
      <c r="AI1061" s="32" t="s">
        <v>138</v>
      </c>
      <c r="AJ1061" s="32" t="s">
        <v>138</v>
      </c>
      <c r="AK1061" s="28" t="s">
        <v>20727</v>
      </c>
      <c r="AL1061" s="28" t="s">
        <v>20728</v>
      </c>
      <c r="AM1061" s="28" t="s">
        <v>304</v>
      </c>
      <c r="AN1061" s="28" t="s">
        <v>20729</v>
      </c>
      <c r="AO1061" s="28" t="s">
        <v>138</v>
      </c>
      <c r="AP1061" s="28" t="s">
        <v>423</v>
      </c>
      <c r="AQ1061" s="28" t="s">
        <v>138</v>
      </c>
      <c r="AR1061" s="28" t="s">
        <v>138</v>
      </c>
      <c r="AS1061" s="28" t="s">
        <v>426</v>
      </c>
      <c r="AT1061" s="28" t="s">
        <v>426</v>
      </c>
      <c r="AU1061" s="28" t="s">
        <v>138</v>
      </c>
      <c r="AV1061" s="28" t="s">
        <v>162</v>
      </c>
      <c r="AW1061" s="28" t="s">
        <v>138</v>
      </c>
      <c r="AX1061" s="28" t="s">
        <v>138</v>
      </c>
      <c r="AY1061" s="28" t="s">
        <v>20730</v>
      </c>
      <c r="AZ1061" s="28" t="s">
        <v>164</v>
      </c>
      <c r="BA1061" s="28" t="s">
        <v>165</v>
      </c>
      <c r="BB1061" s="28" t="s">
        <v>20731</v>
      </c>
      <c r="BC1061" s="28" t="s">
        <v>20732</v>
      </c>
      <c r="BD1061" s="33">
        <v>9</v>
      </c>
      <c r="BE1061" s="28" t="s">
        <v>138</v>
      </c>
      <c r="BF1061" s="28" t="s">
        <v>138</v>
      </c>
      <c r="BG1061" s="28" t="s">
        <v>138</v>
      </c>
      <c r="BH1061" s="28" t="s">
        <v>20733</v>
      </c>
      <c r="BI1061" s="28" t="s">
        <v>138</v>
      </c>
      <c r="BJ1061" s="28" t="s">
        <v>138</v>
      </c>
      <c r="BK1061" s="28" t="s">
        <v>138</v>
      </c>
      <c r="BL1061" s="28" t="s">
        <v>138</v>
      </c>
      <c r="BM1061" s="34">
        <v>42159</v>
      </c>
      <c r="BN1061" s="29">
        <v>0.12</v>
      </c>
      <c r="BO1061" s="28" t="s">
        <v>172</v>
      </c>
      <c r="BP1061" s="29" t="s">
        <v>138</v>
      </c>
      <c r="BQ1061" s="28" t="s">
        <v>138</v>
      </c>
      <c r="BR1061" s="28" t="s">
        <v>316</v>
      </c>
      <c r="BS1061" s="28" t="s">
        <v>138</v>
      </c>
      <c r="BT1061" s="28" t="s">
        <v>138</v>
      </c>
      <c r="BU1061" s="28" t="s">
        <v>174</v>
      </c>
      <c r="BV1061" s="28" t="s">
        <v>138</v>
      </c>
      <c r="BW1061" s="28" t="s">
        <v>138</v>
      </c>
      <c r="BX1061" s="28" t="s">
        <v>138</v>
      </c>
      <c r="BY1061" s="28" t="s">
        <v>175</v>
      </c>
      <c r="BZ1061" s="34">
        <v>43455</v>
      </c>
      <c r="CA1061" s="29" t="s">
        <v>138</v>
      </c>
      <c r="CB1061" s="28" t="s">
        <v>138</v>
      </c>
      <c r="CC1061" s="29" t="s">
        <v>138</v>
      </c>
      <c r="CD1061" s="28" t="s">
        <v>138</v>
      </c>
      <c r="CE1061" s="28" t="s">
        <v>205</v>
      </c>
      <c r="CF1061" s="28" t="s">
        <v>138</v>
      </c>
      <c r="CG1061" s="28" t="s">
        <v>138</v>
      </c>
      <c r="CH1061" s="28" t="s">
        <v>174</v>
      </c>
      <c r="CI1061" s="28" t="s">
        <v>138</v>
      </c>
      <c r="CJ1061" s="28" t="s">
        <v>138</v>
      </c>
      <c r="CK1061" s="28" t="s">
        <v>138</v>
      </c>
      <c r="CL1061" s="28" t="s">
        <v>175</v>
      </c>
      <c r="CM1061" s="34" t="s">
        <v>138</v>
      </c>
      <c r="CN1061" s="29" t="s">
        <v>138</v>
      </c>
      <c r="CO1061" s="35">
        <v>7.0000000000000007E-2</v>
      </c>
      <c r="CP1061" s="36">
        <v>89</v>
      </c>
      <c r="CQ1061" s="35">
        <v>0</v>
      </c>
      <c r="CR1061" s="35">
        <v>0</v>
      </c>
      <c r="CS1061" s="35">
        <v>0</v>
      </c>
      <c r="CT1061" s="36">
        <v>23</v>
      </c>
      <c r="CU1061" s="35">
        <v>0.15</v>
      </c>
      <c r="CV1061" s="36">
        <v>75</v>
      </c>
      <c r="CW1061" s="35">
        <v>0</v>
      </c>
      <c r="CX1061" s="36">
        <v>13</v>
      </c>
      <c r="CY1061" s="35" t="s">
        <v>138</v>
      </c>
      <c r="CZ1061" s="36" t="s">
        <v>138</v>
      </c>
      <c r="DA1061" s="35">
        <v>0.06</v>
      </c>
      <c r="DB1061" s="36">
        <v>65</v>
      </c>
      <c r="DC1061" s="37">
        <v>1.59</v>
      </c>
      <c r="DD1061" s="36">
        <v>62</v>
      </c>
      <c r="DE1061" s="37">
        <v>-0.08</v>
      </c>
      <c r="DF1061" s="35">
        <v>-4.8899999999999997</v>
      </c>
      <c r="DG1061" s="37">
        <v>1.29</v>
      </c>
      <c r="DH1061" s="36">
        <v>57</v>
      </c>
      <c r="DI1061" s="37">
        <v>1.89</v>
      </c>
      <c r="DJ1061" s="36">
        <v>61</v>
      </c>
      <c r="DK1061" s="37">
        <v>1.29</v>
      </c>
      <c r="DL1061" s="36">
        <v>56</v>
      </c>
      <c r="DM1061" s="37" t="s">
        <v>138</v>
      </c>
      <c r="DN1061" s="36" t="s">
        <v>138</v>
      </c>
      <c r="DO1061" s="37">
        <v>1.27</v>
      </c>
      <c r="DP1061" s="36">
        <v>55</v>
      </c>
      <c r="DQ1061" s="36">
        <v>476</v>
      </c>
      <c r="DR1061" s="38">
        <v>-98</v>
      </c>
      <c r="DS1061" s="35">
        <v>-17.07</v>
      </c>
      <c r="DT1061" s="36" t="s">
        <v>138</v>
      </c>
      <c r="DU1061" s="38" t="s">
        <v>138</v>
      </c>
      <c r="DV1061" s="35" t="s">
        <v>138</v>
      </c>
      <c r="DW1061" s="36">
        <v>455</v>
      </c>
      <c r="DX1061" s="39">
        <v>0</v>
      </c>
      <c r="DY1061" s="35">
        <v>0</v>
      </c>
      <c r="DZ1061" s="28" t="s">
        <v>178</v>
      </c>
      <c r="EA1061" s="34">
        <v>43480</v>
      </c>
      <c r="EB1061" s="29">
        <v>0.33</v>
      </c>
      <c r="EC1061" s="34">
        <v>43297</v>
      </c>
      <c r="ED1061" s="28" t="s">
        <v>316</v>
      </c>
      <c r="EE1061" s="40" t="str">
        <f>HYPERLINK("https://my.pitchbook.com?c=101799-19", "View company online")</f>
        <v>View company online</v>
      </c>
    </row>
    <row r="1062" spans="1:135">
      <c r="A1062" s="15" t="s">
        <v>20734</v>
      </c>
      <c r="B1062" s="15" t="s">
        <v>20735</v>
      </c>
      <c r="C1062" s="15" t="s">
        <v>138</v>
      </c>
      <c r="D1062" s="15" t="s">
        <v>138</v>
      </c>
      <c r="E1062" s="15" t="s">
        <v>138</v>
      </c>
      <c r="F1062" s="15" t="s">
        <v>20734</v>
      </c>
      <c r="G1062" s="15" t="s">
        <v>20736</v>
      </c>
      <c r="H1062" s="15" t="s">
        <v>322</v>
      </c>
      <c r="I1062" s="15" t="s">
        <v>323</v>
      </c>
      <c r="J1062" s="15" t="s">
        <v>324</v>
      </c>
      <c r="K1062" s="15" t="s">
        <v>1159</v>
      </c>
      <c r="L1062" s="15" t="s">
        <v>16054</v>
      </c>
      <c r="M1062" s="15" t="s">
        <v>20737</v>
      </c>
      <c r="N1062" s="15" t="s">
        <v>147</v>
      </c>
      <c r="O1062" s="17">
        <v>11</v>
      </c>
      <c r="P1062" s="15" t="s">
        <v>148</v>
      </c>
      <c r="Q1062" s="15" t="s">
        <v>149</v>
      </c>
      <c r="R1062" s="15" t="s">
        <v>174</v>
      </c>
      <c r="S1062" s="15" t="s">
        <v>20738</v>
      </c>
      <c r="T1062" s="18" t="s">
        <v>138</v>
      </c>
      <c r="U1062" s="15" t="s">
        <v>138</v>
      </c>
      <c r="V1062" s="15" t="s">
        <v>138</v>
      </c>
      <c r="W1062" s="15" t="s">
        <v>138</v>
      </c>
      <c r="X1062" s="19" t="s">
        <v>138</v>
      </c>
      <c r="Y1062" s="15" t="s">
        <v>138</v>
      </c>
      <c r="Z1062" s="15" t="s">
        <v>138</v>
      </c>
      <c r="AA1062" s="15" t="s">
        <v>138</v>
      </c>
      <c r="AB1062" s="20" t="s">
        <v>138</v>
      </c>
      <c r="AC1062" s="20" t="s">
        <v>138</v>
      </c>
      <c r="AD1062" s="20" t="s">
        <v>138</v>
      </c>
      <c r="AE1062" s="20" t="s">
        <v>138</v>
      </c>
      <c r="AF1062" s="20" t="s">
        <v>138</v>
      </c>
      <c r="AG1062" s="15" t="s">
        <v>138</v>
      </c>
      <c r="AH1062" s="20" t="s">
        <v>138</v>
      </c>
      <c r="AI1062" s="20" t="s">
        <v>138</v>
      </c>
      <c r="AJ1062" s="20" t="s">
        <v>138</v>
      </c>
      <c r="AK1062" s="15" t="s">
        <v>20739</v>
      </c>
      <c r="AL1062" s="15" t="s">
        <v>20740</v>
      </c>
      <c r="AM1062" s="15" t="s">
        <v>1004</v>
      </c>
      <c r="AN1062" s="15" t="s">
        <v>20741</v>
      </c>
      <c r="AO1062" s="15" t="s">
        <v>20742</v>
      </c>
      <c r="AP1062" s="15" t="s">
        <v>446</v>
      </c>
      <c r="AQ1062" s="15" t="s">
        <v>20743</v>
      </c>
      <c r="AR1062" s="15" t="s">
        <v>20744</v>
      </c>
      <c r="AS1062" s="15" t="s">
        <v>449</v>
      </c>
      <c r="AT1062" s="15" t="s">
        <v>138</v>
      </c>
      <c r="AU1062" s="15" t="s">
        <v>138</v>
      </c>
      <c r="AV1062" s="15" t="s">
        <v>450</v>
      </c>
      <c r="AW1062" s="15" t="s">
        <v>20742</v>
      </c>
      <c r="AX1062" s="15" t="s">
        <v>20745</v>
      </c>
      <c r="AY1062" s="15" t="s">
        <v>20746</v>
      </c>
      <c r="AZ1062" s="15" t="s">
        <v>452</v>
      </c>
      <c r="BA1062" s="15" t="s">
        <v>453</v>
      </c>
      <c r="BB1062" s="15" t="s">
        <v>20747</v>
      </c>
      <c r="BC1062" s="15" t="s">
        <v>20748</v>
      </c>
      <c r="BD1062" s="21">
        <v>6</v>
      </c>
      <c r="BE1062" s="15" t="s">
        <v>138</v>
      </c>
      <c r="BF1062" s="15" t="s">
        <v>20749</v>
      </c>
      <c r="BG1062" s="15" t="s">
        <v>138</v>
      </c>
      <c r="BH1062" s="15" t="s">
        <v>20750</v>
      </c>
      <c r="BI1062" s="15" t="s">
        <v>20751</v>
      </c>
      <c r="BJ1062" s="15" t="s">
        <v>138</v>
      </c>
      <c r="BK1062" s="15" t="s">
        <v>138</v>
      </c>
      <c r="BL1062" s="15" t="s">
        <v>138</v>
      </c>
      <c r="BM1062" s="22">
        <v>40330</v>
      </c>
      <c r="BN1062" s="17" t="s">
        <v>138</v>
      </c>
      <c r="BO1062" s="15" t="s">
        <v>138</v>
      </c>
      <c r="BP1062" s="17" t="s">
        <v>138</v>
      </c>
      <c r="BQ1062" s="15" t="s">
        <v>138</v>
      </c>
      <c r="BR1062" s="15" t="s">
        <v>205</v>
      </c>
      <c r="BS1062" s="15" t="s">
        <v>206</v>
      </c>
      <c r="BT1062" s="15" t="s">
        <v>138</v>
      </c>
      <c r="BU1062" s="15" t="s">
        <v>174</v>
      </c>
      <c r="BV1062" s="15" t="s">
        <v>138</v>
      </c>
      <c r="BW1062" s="15" t="s">
        <v>138</v>
      </c>
      <c r="BX1062" s="15" t="s">
        <v>138</v>
      </c>
      <c r="BY1062" s="15" t="s">
        <v>175</v>
      </c>
      <c r="BZ1062" s="22">
        <v>42586</v>
      </c>
      <c r="CA1062" s="17" t="s">
        <v>138</v>
      </c>
      <c r="CB1062" s="15" t="s">
        <v>138</v>
      </c>
      <c r="CC1062" s="17" t="s">
        <v>138</v>
      </c>
      <c r="CD1062" s="15" t="s">
        <v>138</v>
      </c>
      <c r="CE1062" s="15" t="s">
        <v>173</v>
      </c>
      <c r="CF1062" s="15" t="s">
        <v>9579</v>
      </c>
      <c r="CG1062" s="15" t="s">
        <v>138</v>
      </c>
      <c r="CH1062" s="15" t="s">
        <v>174</v>
      </c>
      <c r="CI1062" s="15" t="s">
        <v>138</v>
      </c>
      <c r="CJ1062" s="15" t="s">
        <v>138</v>
      </c>
      <c r="CK1062" s="15" t="s">
        <v>138</v>
      </c>
      <c r="CL1062" s="15" t="s">
        <v>175</v>
      </c>
      <c r="CM1062" s="22" t="s">
        <v>138</v>
      </c>
      <c r="CN1062" s="17" t="s">
        <v>138</v>
      </c>
      <c r="CO1062" s="23">
        <v>-2.73</v>
      </c>
      <c r="CP1062" s="24">
        <v>4</v>
      </c>
      <c r="CQ1062" s="23">
        <v>0.26</v>
      </c>
      <c r="CR1062" s="23">
        <v>8.68</v>
      </c>
      <c r="CS1062" s="23">
        <v>-2.73</v>
      </c>
      <c r="CT1062" s="24">
        <v>6</v>
      </c>
      <c r="CU1062" s="23" t="s">
        <v>138</v>
      </c>
      <c r="CV1062" s="24" t="s">
        <v>138</v>
      </c>
      <c r="CW1062" s="23" t="s">
        <v>138</v>
      </c>
      <c r="CX1062" s="24" t="s">
        <v>138</v>
      </c>
      <c r="CY1062" s="23">
        <v>-2.73</v>
      </c>
      <c r="CZ1062" s="24">
        <v>8</v>
      </c>
      <c r="DA1062" s="23" t="s">
        <v>138</v>
      </c>
      <c r="DB1062" s="24" t="s">
        <v>138</v>
      </c>
      <c r="DC1062" s="25">
        <v>3.86</v>
      </c>
      <c r="DD1062" s="24">
        <v>79</v>
      </c>
      <c r="DE1062" s="25">
        <v>0.1</v>
      </c>
      <c r="DF1062" s="23">
        <v>2.75</v>
      </c>
      <c r="DG1062" s="25">
        <v>3.86</v>
      </c>
      <c r="DH1062" s="24">
        <v>79</v>
      </c>
      <c r="DI1062" s="25" t="s">
        <v>138</v>
      </c>
      <c r="DJ1062" s="24" t="s">
        <v>138</v>
      </c>
      <c r="DK1062" s="25" t="s">
        <v>138</v>
      </c>
      <c r="DL1062" s="24" t="s">
        <v>138</v>
      </c>
      <c r="DM1062" s="25">
        <v>3.86</v>
      </c>
      <c r="DN1062" s="24">
        <v>78</v>
      </c>
      <c r="DO1062" s="25" t="s">
        <v>138</v>
      </c>
      <c r="DP1062" s="24" t="s">
        <v>138</v>
      </c>
      <c r="DQ1062" s="24" t="s">
        <v>138</v>
      </c>
      <c r="DR1062" s="26" t="s">
        <v>138</v>
      </c>
      <c r="DS1062" s="23" t="s">
        <v>138</v>
      </c>
      <c r="DT1062" s="24">
        <v>110</v>
      </c>
      <c r="DU1062" s="26">
        <v>3</v>
      </c>
      <c r="DV1062" s="23">
        <v>2.8</v>
      </c>
      <c r="DW1062" s="24" t="s">
        <v>138</v>
      </c>
      <c r="DX1062" s="27" t="s">
        <v>138</v>
      </c>
      <c r="DY1062" s="23" t="s">
        <v>138</v>
      </c>
      <c r="DZ1062" s="15" t="s">
        <v>178</v>
      </c>
      <c r="EA1062" s="22">
        <v>43579</v>
      </c>
      <c r="EB1062" s="17" t="s">
        <v>138</v>
      </c>
      <c r="EC1062" s="22" t="s">
        <v>138</v>
      </c>
      <c r="ED1062" s="15" t="s">
        <v>138</v>
      </c>
      <c r="EE1062" s="14" t="str">
        <f>HYPERLINK("https://my.pitchbook.com?c=125506-00", "View company online")</f>
        <v>View company online</v>
      </c>
    </row>
    <row r="1063" spans="1:135">
      <c r="A1063" s="28" t="s">
        <v>20752</v>
      </c>
      <c r="B1063" s="28" t="s">
        <v>20753</v>
      </c>
      <c r="C1063" s="28" t="s">
        <v>138</v>
      </c>
      <c r="D1063" s="28" t="s">
        <v>138</v>
      </c>
      <c r="E1063" s="28" t="s">
        <v>20754</v>
      </c>
      <c r="F1063" s="28" t="s">
        <v>20752</v>
      </c>
      <c r="G1063" s="28" t="s">
        <v>20755</v>
      </c>
      <c r="H1063" s="28" t="s">
        <v>322</v>
      </c>
      <c r="I1063" s="28" t="s">
        <v>323</v>
      </c>
      <c r="J1063" s="28" t="s">
        <v>324</v>
      </c>
      <c r="K1063" s="28" t="s">
        <v>325</v>
      </c>
      <c r="L1063" s="28" t="s">
        <v>1544</v>
      </c>
      <c r="M1063" s="28" t="s">
        <v>20756</v>
      </c>
      <c r="N1063" s="28" t="s">
        <v>147</v>
      </c>
      <c r="O1063" s="29">
        <v>113.5</v>
      </c>
      <c r="P1063" s="28" t="s">
        <v>148</v>
      </c>
      <c r="Q1063" s="28" t="s">
        <v>149</v>
      </c>
      <c r="R1063" s="28" t="s">
        <v>174</v>
      </c>
      <c r="S1063" s="28" t="s">
        <v>20757</v>
      </c>
      <c r="T1063" s="30">
        <v>50</v>
      </c>
      <c r="U1063" s="28" t="s">
        <v>1162</v>
      </c>
      <c r="V1063" s="28" t="s">
        <v>138</v>
      </c>
      <c r="W1063" s="28" t="s">
        <v>138</v>
      </c>
      <c r="X1063" s="31">
        <v>2015</v>
      </c>
      <c r="Y1063" s="28" t="s">
        <v>138</v>
      </c>
      <c r="Z1063" s="28" t="s">
        <v>138</v>
      </c>
      <c r="AA1063" s="28" t="s">
        <v>20758</v>
      </c>
      <c r="AB1063" s="32">
        <v>1.2</v>
      </c>
      <c r="AC1063" s="32" t="s">
        <v>138</v>
      </c>
      <c r="AD1063" s="32" t="s">
        <v>138</v>
      </c>
      <c r="AE1063" s="32" t="s">
        <v>138</v>
      </c>
      <c r="AF1063" s="32" t="s">
        <v>138</v>
      </c>
      <c r="AG1063" s="28" t="s">
        <v>707</v>
      </c>
      <c r="AH1063" s="32" t="s">
        <v>138</v>
      </c>
      <c r="AI1063" s="32" t="s">
        <v>138</v>
      </c>
      <c r="AJ1063" s="32" t="s">
        <v>138</v>
      </c>
      <c r="AK1063" s="28" t="s">
        <v>20759</v>
      </c>
      <c r="AL1063" s="28" t="s">
        <v>20760</v>
      </c>
      <c r="AM1063" s="28" t="s">
        <v>7338</v>
      </c>
      <c r="AN1063" s="28" t="s">
        <v>20761</v>
      </c>
      <c r="AO1063" s="28" t="s">
        <v>20762</v>
      </c>
      <c r="AP1063" s="28" t="s">
        <v>423</v>
      </c>
      <c r="AQ1063" s="28" t="s">
        <v>20763</v>
      </c>
      <c r="AR1063" s="28" t="s">
        <v>20764</v>
      </c>
      <c r="AS1063" s="28" t="s">
        <v>426</v>
      </c>
      <c r="AT1063" s="28" t="s">
        <v>426</v>
      </c>
      <c r="AU1063" s="28" t="s">
        <v>2610</v>
      </c>
      <c r="AV1063" s="28" t="s">
        <v>162</v>
      </c>
      <c r="AW1063" s="28" t="s">
        <v>20762</v>
      </c>
      <c r="AX1063" s="28" t="s">
        <v>138</v>
      </c>
      <c r="AY1063" s="28" t="s">
        <v>20765</v>
      </c>
      <c r="AZ1063" s="28" t="s">
        <v>164</v>
      </c>
      <c r="BA1063" s="28" t="s">
        <v>165</v>
      </c>
      <c r="BB1063" s="28" t="s">
        <v>20766</v>
      </c>
      <c r="BC1063" s="28" t="s">
        <v>20767</v>
      </c>
      <c r="BD1063" s="33">
        <v>12</v>
      </c>
      <c r="BE1063" s="28" t="s">
        <v>138</v>
      </c>
      <c r="BF1063" s="28" t="s">
        <v>138</v>
      </c>
      <c r="BG1063" s="28" t="s">
        <v>138</v>
      </c>
      <c r="BH1063" s="28" t="s">
        <v>20768</v>
      </c>
      <c r="BI1063" s="28" t="s">
        <v>138</v>
      </c>
      <c r="BJ1063" s="28" t="s">
        <v>138</v>
      </c>
      <c r="BK1063" s="28" t="s">
        <v>20769</v>
      </c>
      <c r="BL1063" s="28" t="s">
        <v>1251</v>
      </c>
      <c r="BM1063" s="34">
        <v>42251</v>
      </c>
      <c r="BN1063" s="29">
        <v>2.5</v>
      </c>
      <c r="BO1063" s="28" t="s">
        <v>172</v>
      </c>
      <c r="BP1063" s="29">
        <v>13</v>
      </c>
      <c r="BQ1063" s="28" t="s">
        <v>172</v>
      </c>
      <c r="BR1063" s="28" t="s">
        <v>234</v>
      </c>
      <c r="BS1063" s="28" t="s">
        <v>234</v>
      </c>
      <c r="BT1063" s="28" t="s">
        <v>138</v>
      </c>
      <c r="BU1063" s="28" t="s">
        <v>174</v>
      </c>
      <c r="BV1063" s="28" t="s">
        <v>138</v>
      </c>
      <c r="BW1063" s="28" t="s">
        <v>138</v>
      </c>
      <c r="BX1063" s="28" t="s">
        <v>138</v>
      </c>
      <c r="BY1063" s="28" t="s">
        <v>175</v>
      </c>
      <c r="BZ1063" s="34">
        <v>43614</v>
      </c>
      <c r="CA1063" s="29">
        <v>40</v>
      </c>
      <c r="CB1063" s="28" t="s">
        <v>138</v>
      </c>
      <c r="CC1063" s="29" t="s">
        <v>138</v>
      </c>
      <c r="CD1063" s="28" t="s">
        <v>138</v>
      </c>
      <c r="CE1063" s="28" t="s">
        <v>173</v>
      </c>
      <c r="CF1063" s="28" t="s">
        <v>433</v>
      </c>
      <c r="CG1063" s="28" t="s">
        <v>138</v>
      </c>
      <c r="CH1063" s="28" t="s">
        <v>174</v>
      </c>
      <c r="CI1063" s="28" t="s">
        <v>138</v>
      </c>
      <c r="CJ1063" s="28" t="s">
        <v>138</v>
      </c>
      <c r="CK1063" s="28" t="s">
        <v>138</v>
      </c>
      <c r="CL1063" s="28" t="s">
        <v>175</v>
      </c>
      <c r="CM1063" s="34" t="s">
        <v>138</v>
      </c>
      <c r="CN1063" s="29" t="s">
        <v>138</v>
      </c>
      <c r="CO1063" s="35">
        <v>2.2999999999999998</v>
      </c>
      <c r="CP1063" s="36">
        <v>99</v>
      </c>
      <c r="CQ1063" s="35">
        <v>-7.0000000000000007E-2</v>
      </c>
      <c r="CR1063" s="35">
        <v>-3.14</v>
      </c>
      <c r="CS1063" s="35">
        <v>3.86</v>
      </c>
      <c r="CT1063" s="36">
        <v>100</v>
      </c>
      <c r="CU1063" s="35">
        <v>0.73</v>
      </c>
      <c r="CV1063" s="36">
        <v>96</v>
      </c>
      <c r="CW1063" s="35">
        <v>8.68</v>
      </c>
      <c r="CX1063" s="36">
        <v>99</v>
      </c>
      <c r="CY1063" s="35">
        <v>-0.96</v>
      </c>
      <c r="CZ1063" s="36">
        <v>19</v>
      </c>
      <c r="DA1063" s="35">
        <v>0.59</v>
      </c>
      <c r="DB1063" s="36">
        <v>95</v>
      </c>
      <c r="DC1063" s="37">
        <v>14.69</v>
      </c>
      <c r="DD1063" s="36">
        <v>93</v>
      </c>
      <c r="DE1063" s="37">
        <v>-1.47</v>
      </c>
      <c r="DF1063" s="35">
        <v>-9.08</v>
      </c>
      <c r="DG1063" s="37">
        <v>27.69</v>
      </c>
      <c r="DH1063" s="36">
        <v>96</v>
      </c>
      <c r="DI1063" s="37">
        <v>1.69</v>
      </c>
      <c r="DJ1063" s="36">
        <v>59</v>
      </c>
      <c r="DK1063" s="37">
        <v>44.94</v>
      </c>
      <c r="DL1063" s="36">
        <v>95</v>
      </c>
      <c r="DM1063" s="37">
        <v>10.45</v>
      </c>
      <c r="DN1063" s="36">
        <v>89</v>
      </c>
      <c r="DO1063" s="37">
        <v>3.17</v>
      </c>
      <c r="DP1063" s="36">
        <v>72</v>
      </c>
      <c r="DQ1063" s="36">
        <v>14909</v>
      </c>
      <c r="DR1063" s="38">
        <v>1518</v>
      </c>
      <c r="DS1063" s="35">
        <v>11.34</v>
      </c>
      <c r="DT1063" s="36">
        <v>304</v>
      </c>
      <c r="DU1063" s="38">
        <v>-4</v>
      </c>
      <c r="DV1063" s="35">
        <v>-1.3</v>
      </c>
      <c r="DW1063" s="36">
        <v>1133</v>
      </c>
      <c r="DX1063" s="39">
        <v>6</v>
      </c>
      <c r="DY1063" s="35">
        <v>0.53</v>
      </c>
      <c r="DZ1063" s="28" t="s">
        <v>178</v>
      </c>
      <c r="EA1063" s="34">
        <v>43622</v>
      </c>
      <c r="EB1063" s="29">
        <v>121</v>
      </c>
      <c r="EC1063" s="34">
        <v>43264</v>
      </c>
      <c r="ED1063" s="28" t="s">
        <v>205</v>
      </c>
      <c r="EE1063" s="40" t="str">
        <f>HYPERLINK("https://my.pitchbook.com?c=126411-40", "View company online")</f>
        <v>View company online</v>
      </c>
    </row>
    <row r="1064" spans="1:135">
      <c r="A1064" s="15" t="s">
        <v>20770</v>
      </c>
      <c r="B1064" s="15" t="s">
        <v>20771</v>
      </c>
      <c r="C1064" s="15" t="s">
        <v>138</v>
      </c>
      <c r="D1064" s="15" t="s">
        <v>138</v>
      </c>
      <c r="E1064" s="15" t="s">
        <v>20772</v>
      </c>
      <c r="F1064" s="15" t="s">
        <v>20770</v>
      </c>
      <c r="G1064" s="15" t="s">
        <v>20773</v>
      </c>
      <c r="H1064" s="15" t="s">
        <v>322</v>
      </c>
      <c r="I1064" s="15" t="s">
        <v>356</v>
      </c>
      <c r="J1064" s="15" t="s">
        <v>3852</v>
      </c>
      <c r="K1064" s="15" t="s">
        <v>14078</v>
      </c>
      <c r="L1064" s="15" t="s">
        <v>242</v>
      </c>
      <c r="M1064" s="15" t="s">
        <v>20774</v>
      </c>
      <c r="N1064" s="15" t="s">
        <v>147</v>
      </c>
      <c r="O1064" s="17">
        <v>50.2</v>
      </c>
      <c r="P1064" s="15" t="s">
        <v>148</v>
      </c>
      <c r="Q1064" s="15" t="s">
        <v>149</v>
      </c>
      <c r="R1064" s="15" t="s">
        <v>174</v>
      </c>
      <c r="S1064" s="15" t="s">
        <v>20775</v>
      </c>
      <c r="T1064" s="18">
        <v>29</v>
      </c>
      <c r="U1064" s="15" t="s">
        <v>20776</v>
      </c>
      <c r="V1064" s="15" t="s">
        <v>138</v>
      </c>
      <c r="W1064" s="15" t="s">
        <v>138</v>
      </c>
      <c r="X1064" s="19">
        <v>2012</v>
      </c>
      <c r="Y1064" s="15" t="s">
        <v>138</v>
      </c>
      <c r="Z1064" s="15" t="s">
        <v>138</v>
      </c>
      <c r="AA1064" s="15" t="s">
        <v>138</v>
      </c>
      <c r="AB1064" s="20" t="s">
        <v>138</v>
      </c>
      <c r="AC1064" s="20" t="s">
        <v>138</v>
      </c>
      <c r="AD1064" s="20" t="s">
        <v>138</v>
      </c>
      <c r="AE1064" s="20" t="s">
        <v>138</v>
      </c>
      <c r="AF1064" s="20" t="s">
        <v>138</v>
      </c>
      <c r="AG1064" s="15" t="s">
        <v>138</v>
      </c>
      <c r="AH1064" s="20" t="s">
        <v>138</v>
      </c>
      <c r="AI1064" s="20" t="s">
        <v>138</v>
      </c>
      <c r="AJ1064" s="20" t="s">
        <v>138</v>
      </c>
      <c r="AK1064" s="15" t="s">
        <v>20777</v>
      </c>
      <c r="AL1064" s="15" t="s">
        <v>20778</v>
      </c>
      <c r="AM1064" s="15" t="s">
        <v>566</v>
      </c>
      <c r="AN1064" s="15" t="s">
        <v>20779</v>
      </c>
      <c r="AO1064" s="15" t="s">
        <v>138</v>
      </c>
      <c r="AP1064" s="15" t="s">
        <v>1244</v>
      </c>
      <c r="AQ1064" s="15" t="s">
        <v>20780</v>
      </c>
      <c r="AR1064" s="15" t="s">
        <v>138</v>
      </c>
      <c r="AS1064" s="15" t="s">
        <v>1246</v>
      </c>
      <c r="AT1064" s="15" t="s">
        <v>200</v>
      </c>
      <c r="AU1064" s="15" t="s">
        <v>2437</v>
      </c>
      <c r="AV1064" s="15" t="s">
        <v>162</v>
      </c>
      <c r="AW1064" s="15" t="s">
        <v>138</v>
      </c>
      <c r="AX1064" s="15" t="s">
        <v>138</v>
      </c>
      <c r="AY1064" s="15" t="s">
        <v>20781</v>
      </c>
      <c r="AZ1064" s="15" t="s">
        <v>164</v>
      </c>
      <c r="BA1064" s="15" t="s">
        <v>165</v>
      </c>
      <c r="BB1064" s="15" t="s">
        <v>20782</v>
      </c>
      <c r="BC1064" s="15" t="s">
        <v>20783</v>
      </c>
      <c r="BD1064" s="21">
        <v>16</v>
      </c>
      <c r="BE1064" s="15" t="s">
        <v>138</v>
      </c>
      <c r="BF1064" s="15" t="s">
        <v>138</v>
      </c>
      <c r="BG1064" s="15" t="s">
        <v>138</v>
      </c>
      <c r="BH1064" s="15" t="s">
        <v>20784</v>
      </c>
      <c r="BI1064" s="15" t="s">
        <v>138</v>
      </c>
      <c r="BJ1064" s="15" t="s">
        <v>138</v>
      </c>
      <c r="BK1064" s="15" t="s">
        <v>13492</v>
      </c>
      <c r="BL1064" s="15" t="s">
        <v>13492</v>
      </c>
      <c r="BM1064" s="22">
        <v>41173</v>
      </c>
      <c r="BN1064" s="17">
        <v>10</v>
      </c>
      <c r="BO1064" s="15" t="s">
        <v>172</v>
      </c>
      <c r="BP1064" s="17">
        <v>25.35</v>
      </c>
      <c r="BQ1064" s="15" t="s">
        <v>172</v>
      </c>
      <c r="BR1064" s="15" t="s">
        <v>205</v>
      </c>
      <c r="BS1064" s="15" t="s">
        <v>206</v>
      </c>
      <c r="BT1064" s="15" t="s">
        <v>138</v>
      </c>
      <c r="BU1064" s="15" t="s">
        <v>174</v>
      </c>
      <c r="BV1064" s="15" t="s">
        <v>138</v>
      </c>
      <c r="BW1064" s="15" t="s">
        <v>138</v>
      </c>
      <c r="BX1064" s="15" t="s">
        <v>138</v>
      </c>
      <c r="BY1064" s="15" t="s">
        <v>175</v>
      </c>
      <c r="BZ1064" s="22">
        <v>42389</v>
      </c>
      <c r="CA1064" s="17">
        <v>25</v>
      </c>
      <c r="CB1064" s="15" t="s">
        <v>172</v>
      </c>
      <c r="CC1064" s="17">
        <v>130.93</v>
      </c>
      <c r="CD1064" s="15" t="s">
        <v>172</v>
      </c>
      <c r="CE1064" s="15" t="s">
        <v>173</v>
      </c>
      <c r="CF1064" s="15" t="s">
        <v>317</v>
      </c>
      <c r="CG1064" s="15" t="s">
        <v>138</v>
      </c>
      <c r="CH1064" s="15" t="s">
        <v>174</v>
      </c>
      <c r="CI1064" s="15" t="s">
        <v>138</v>
      </c>
      <c r="CJ1064" s="15" t="s">
        <v>138</v>
      </c>
      <c r="CK1064" s="15" t="s">
        <v>138</v>
      </c>
      <c r="CL1064" s="15" t="s">
        <v>175</v>
      </c>
      <c r="CM1064" s="22" t="s">
        <v>138</v>
      </c>
      <c r="CN1064" s="17" t="s">
        <v>138</v>
      </c>
      <c r="CO1064" s="23">
        <v>-0.02</v>
      </c>
      <c r="CP1064" s="24">
        <v>24</v>
      </c>
      <c r="CQ1064" s="23">
        <v>0</v>
      </c>
      <c r="CR1064" s="23">
        <v>0</v>
      </c>
      <c r="CS1064" s="23">
        <v>0</v>
      </c>
      <c r="CT1064" s="24">
        <v>23</v>
      </c>
      <c r="CU1064" s="23">
        <v>-0.04</v>
      </c>
      <c r="CV1064" s="24">
        <v>12</v>
      </c>
      <c r="CW1064" s="23">
        <v>0</v>
      </c>
      <c r="CX1064" s="24">
        <v>13</v>
      </c>
      <c r="CY1064" s="23">
        <v>0</v>
      </c>
      <c r="CZ1064" s="24">
        <v>25</v>
      </c>
      <c r="DA1064" s="23">
        <v>-0.04</v>
      </c>
      <c r="DB1064" s="24">
        <v>15</v>
      </c>
      <c r="DC1064" s="25">
        <v>0.76</v>
      </c>
      <c r="DD1064" s="24">
        <v>44</v>
      </c>
      <c r="DE1064" s="25">
        <v>-0.03</v>
      </c>
      <c r="DF1064" s="23">
        <v>-3.84</v>
      </c>
      <c r="DG1064" s="25">
        <v>0.89</v>
      </c>
      <c r="DH1064" s="24">
        <v>48</v>
      </c>
      <c r="DI1064" s="25">
        <v>0.62</v>
      </c>
      <c r="DJ1064" s="24">
        <v>40</v>
      </c>
      <c r="DK1064" s="25">
        <v>0.71</v>
      </c>
      <c r="DL1064" s="24">
        <v>43</v>
      </c>
      <c r="DM1064" s="25">
        <v>1.07</v>
      </c>
      <c r="DN1064" s="24">
        <v>52</v>
      </c>
      <c r="DO1064" s="25">
        <v>0.84</v>
      </c>
      <c r="DP1064" s="24">
        <v>47</v>
      </c>
      <c r="DQ1064" s="24">
        <v>254</v>
      </c>
      <c r="DR1064" s="26">
        <v>-39</v>
      </c>
      <c r="DS1064" s="23">
        <v>-13.31</v>
      </c>
      <c r="DT1064" s="24">
        <v>31</v>
      </c>
      <c r="DU1064" s="26">
        <v>-1</v>
      </c>
      <c r="DV1064" s="23">
        <v>-3.13</v>
      </c>
      <c r="DW1064" s="24">
        <v>302</v>
      </c>
      <c r="DX1064" s="27">
        <v>0</v>
      </c>
      <c r="DY1064" s="23">
        <v>0</v>
      </c>
      <c r="DZ1064" s="15" t="s">
        <v>178</v>
      </c>
      <c r="EA1064" s="22">
        <v>43502</v>
      </c>
      <c r="EB1064" s="17">
        <v>130.93</v>
      </c>
      <c r="EC1064" s="22">
        <v>42389</v>
      </c>
      <c r="ED1064" s="15" t="s">
        <v>173</v>
      </c>
      <c r="EE1064" s="14" t="str">
        <f>HYPERLINK("https://my.pitchbook.com?c=55974-79", "View company online")</f>
        <v>View company online</v>
      </c>
    </row>
    <row r="1065" spans="1:135">
      <c r="A1065" s="28" t="s">
        <v>20785</v>
      </c>
      <c r="B1065" s="28" t="s">
        <v>20786</v>
      </c>
      <c r="C1065" s="28" t="s">
        <v>138</v>
      </c>
      <c r="D1065" s="28" t="s">
        <v>138</v>
      </c>
      <c r="E1065" s="28" t="s">
        <v>20787</v>
      </c>
      <c r="F1065" s="28" t="s">
        <v>20785</v>
      </c>
      <c r="G1065" s="28" t="s">
        <v>20788</v>
      </c>
      <c r="H1065" s="28" t="s">
        <v>238</v>
      </c>
      <c r="I1065" s="28" t="s">
        <v>749</v>
      </c>
      <c r="J1065" s="28" t="s">
        <v>750</v>
      </c>
      <c r="K1065" s="28" t="s">
        <v>5196</v>
      </c>
      <c r="L1065" s="28" t="s">
        <v>14535</v>
      </c>
      <c r="M1065" s="28" t="s">
        <v>20789</v>
      </c>
      <c r="N1065" s="28" t="s">
        <v>147</v>
      </c>
      <c r="O1065" s="29">
        <v>9.93</v>
      </c>
      <c r="P1065" s="28" t="s">
        <v>148</v>
      </c>
      <c r="Q1065" s="28" t="s">
        <v>149</v>
      </c>
      <c r="R1065" s="28" t="s">
        <v>244</v>
      </c>
      <c r="S1065" s="28" t="s">
        <v>20790</v>
      </c>
      <c r="T1065" s="30" t="s">
        <v>138</v>
      </c>
      <c r="U1065" s="28" t="s">
        <v>138</v>
      </c>
      <c r="V1065" s="28" t="s">
        <v>138</v>
      </c>
      <c r="W1065" s="28" t="s">
        <v>138</v>
      </c>
      <c r="X1065" s="31">
        <v>2011</v>
      </c>
      <c r="Y1065" s="28" t="s">
        <v>138</v>
      </c>
      <c r="Z1065" s="28" t="s">
        <v>138</v>
      </c>
      <c r="AA1065" s="28" t="s">
        <v>138</v>
      </c>
      <c r="AB1065" s="32">
        <v>2.2000000000000002</v>
      </c>
      <c r="AC1065" s="32" t="s">
        <v>138</v>
      </c>
      <c r="AD1065" s="32" t="s">
        <v>138</v>
      </c>
      <c r="AE1065" s="32" t="s">
        <v>138</v>
      </c>
      <c r="AF1065" s="32" t="s">
        <v>138</v>
      </c>
      <c r="AG1065" s="28" t="s">
        <v>419</v>
      </c>
      <c r="AH1065" s="32" t="s">
        <v>138</v>
      </c>
      <c r="AI1065" s="32" t="s">
        <v>138</v>
      </c>
      <c r="AJ1065" s="32" t="s">
        <v>138</v>
      </c>
      <c r="AK1065" s="28" t="s">
        <v>20791</v>
      </c>
      <c r="AL1065" s="28" t="s">
        <v>20792</v>
      </c>
      <c r="AM1065" s="28" t="s">
        <v>304</v>
      </c>
      <c r="AN1065" s="28" t="s">
        <v>20793</v>
      </c>
      <c r="AO1065" s="28" t="s">
        <v>20794</v>
      </c>
      <c r="AP1065" s="28" t="s">
        <v>3328</v>
      </c>
      <c r="AQ1065" s="28" t="s">
        <v>20795</v>
      </c>
      <c r="AR1065" s="28" t="s">
        <v>138</v>
      </c>
      <c r="AS1065" s="28" t="s">
        <v>3330</v>
      </c>
      <c r="AT1065" s="28" t="s">
        <v>200</v>
      </c>
      <c r="AU1065" s="28" t="s">
        <v>20796</v>
      </c>
      <c r="AV1065" s="28" t="s">
        <v>162</v>
      </c>
      <c r="AW1065" s="28" t="s">
        <v>20794</v>
      </c>
      <c r="AX1065" s="28" t="s">
        <v>138</v>
      </c>
      <c r="AY1065" s="28" t="s">
        <v>20797</v>
      </c>
      <c r="AZ1065" s="28" t="s">
        <v>164</v>
      </c>
      <c r="BA1065" s="28" t="s">
        <v>165</v>
      </c>
      <c r="BB1065" s="28" t="s">
        <v>20798</v>
      </c>
      <c r="BC1065" s="28" t="s">
        <v>20799</v>
      </c>
      <c r="BD1065" s="33">
        <v>21</v>
      </c>
      <c r="BE1065" s="28" t="s">
        <v>138</v>
      </c>
      <c r="BF1065" s="28" t="s">
        <v>138</v>
      </c>
      <c r="BG1065" s="28" t="s">
        <v>138</v>
      </c>
      <c r="BH1065" s="28" t="s">
        <v>20800</v>
      </c>
      <c r="BI1065" s="28" t="s">
        <v>138</v>
      </c>
      <c r="BJ1065" s="28" t="s">
        <v>138</v>
      </c>
      <c r="BK1065" s="28" t="s">
        <v>20801</v>
      </c>
      <c r="BL1065" s="28" t="s">
        <v>20802</v>
      </c>
      <c r="BM1065" s="34">
        <v>41640</v>
      </c>
      <c r="BN1065" s="29">
        <v>0.5</v>
      </c>
      <c r="BO1065" s="28" t="s">
        <v>172</v>
      </c>
      <c r="BP1065" s="29" t="s">
        <v>138</v>
      </c>
      <c r="BQ1065" s="28" t="s">
        <v>138</v>
      </c>
      <c r="BR1065" s="28" t="s">
        <v>234</v>
      </c>
      <c r="BS1065" s="28" t="s">
        <v>234</v>
      </c>
      <c r="BT1065" s="28" t="s">
        <v>138</v>
      </c>
      <c r="BU1065" s="28" t="s">
        <v>174</v>
      </c>
      <c r="BV1065" s="28" t="s">
        <v>138</v>
      </c>
      <c r="BW1065" s="28" t="s">
        <v>138</v>
      </c>
      <c r="BX1065" s="28" t="s">
        <v>138</v>
      </c>
      <c r="BY1065" s="28" t="s">
        <v>175</v>
      </c>
      <c r="BZ1065" s="34">
        <v>43524</v>
      </c>
      <c r="CA1065" s="29">
        <v>5</v>
      </c>
      <c r="CB1065" s="28" t="s">
        <v>1178</v>
      </c>
      <c r="CC1065" s="29">
        <v>31.5</v>
      </c>
      <c r="CD1065" s="28" t="s">
        <v>172</v>
      </c>
      <c r="CE1065" s="28" t="s">
        <v>173</v>
      </c>
      <c r="CF1065" s="28" t="s">
        <v>720</v>
      </c>
      <c r="CG1065" s="28" t="s">
        <v>138</v>
      </c>
      <c r="CH1065" s="28" t="s">
        <v>174</v>
      </c>
      <c r="CI1065" s="28" t="s">
        <v>138</v>
      </c>
      <c r="CJ1065" s="28" t="s">
        <v>138</v>
      </c>
      <c r="CK1065" s="28" t="s">
        <v>138</v>
      </c>
      <c r="CL1065" s="28" t="s">
        <v>175</v>
      </c>
      <c r="CM1065" s="34" t="s">
        <v>138</v>
      </c>
      <c r="CN1065" s="29" t="s">
        <v>138</v>
      </c>
      <c r="CO1065" s="35">
        <v>2.02</v>
      </c>
      <c r="CP1065" s="36">
        <v>99</v>
      </c>
      <c r="CQ1065" s="35">
        <v>0.04</v>
      </c>
      <c r="CR1065" s="35">
        <v>2.04</v>
      </c>
      <c r="CS1065" s="35">
        <v>2.81</v>
      </c>
      <c r="CT1065" s="36">
        <v>99</v>
      </c>
      <c r="CU1065" s="35">
        <v>1.23</v>
      </c>
      <c r="CV1065" s="36">
        <v>99</v>
      </c>
      <c r="CW1065" s="35">
        <v>5.88</v>
      </c>
      <c r="CX1065" s="36">
        <v>97</v>
      </c>
      <c r="CY1065" s="35">
        <v>-0.25</v>
      </c>
      <c r="CZ1065" s="36">
        <v>23</v>
      </c>
      <c r="DA1065" s="35">
        <v>0.36</v>
      </c>
      <c r="DB1065" s="36">
        <v>91</v>
      </c>
      <c r="DC1065" s="37">
        <v>12.73</v>
      </c>
      <c r="DD1065" s="36">
        <v>92</v>
      </c>
      <c r="DE1065" s="37">
        <v>-0.19</v>
      </c>
      <c r="DF1065" s="35">
        <v>-1.48</v>
      </c>
      <c r="DG1065" s="37">
        <v>17.39</v>
      </c>
      <c r="DH1065" s="36">
        <v>94</v>
      </c>
      <c r="DI1065" s="37">
        <v>8.07</v>
      </c>
      <c r="DJ1065" s="36">
        <v>83</v>
      </c>
      <c r="DK1065" s="37">
        <v>9.91</v>
      </c>
      <c r="DL1065" s="36">
        <v>87</v>
      </c>
      <c r="DM1065" s="37">
        <v>24.86</v>
      </c>
      <c r="DN1065" s="36">
        <v>95</v>
      </c>
      <c r="DO1065" s="37">
        <v>6.87</v>
      </c>
      <c r="DP1065" s="36">
        <v>83</v>
      </c>
      <c r="DQ1065" s="36">
        <v>3346</v>
      </c>
      <c r="DR1065" s="38">
        <v>162</v>
      </c>
      <c r="DS1065" s="35">
        <v>5.09</v>
      </c>
      <c r="DT1065" s="36">
        <v>715</v>
      </c>
      <c r="DU1065" s="38">
        <v>11</v>
      </c>
      <c r="DV1065" s="35">
        <v>1.56</v>
      </c>
      <c r="DW1065" s="36">
        <v>2462</v>
      </c>
      <c r="DX1065" s="39">
        <v>3</v>
      </c>
      <c r="DY1065" s="35">
        <v>0.12</v>
      </c>
      <c r="DZ1065" s="28" t="s">
        <v>178</v>
      </c>
      <c r="EA1065" s="34">
        <v>43569</v>
      </c>
      <c r="EB1065" s="29">
        <v>31.5</v>
      </c>
      <c r="EC1065" s="34">
        <v>43524</v>
      </c>
      <c r="ED1065" s="28" t="s">
        <v>173</v>
      </c>
      <c r="EE1065" s="40" t="str">
        <f>HYPERLINK("https://my.pitchbook.com?c=64476-10", "View company online")</f>
        <v>View company online</v>
      </c>
    </row>
    <row r="1066" spans="1:135">
      <c r="A1066" s="15" t="s">
        <v>20803</v>
      </c>
      <c r="B1066" s="15" t="s">
        <v>20804</v>
      </c>
      <c r="C1066" s="15" t="s">
        <v>138</v>
      </c>
      <c r="D1066" s="15" t="s">
        <v>138</v>
      </c>
      <c r="E1066" s="15" t="s">
        <v>20805</v>
      </c>
      <c r="F1066" s="15" t="s">
        <v>20803</v>
      </c>
      <c r="G1066" s="15" t="s">
        <v>20806</v>
      </c>
      <c r="H1066" s="15" t="s">
        <v>322</v>
      </c>
      <c r="I1066" s="15" t="s">
        <v>323</v>
      </c>
      <c r="J1066" s="15" t="s">
        <v>539</v>
      </c>
      <c r="K1066" s="15" t="s">
        <v>20807</v>
      </c>
      <c r="L1066" s="15" t="s">
        <v>415</v>
      </c>
      <c r="M1066" s="15" t="s">
        <v>20808</v>
      </c>
      <c r="N1066" s="15" t="s">
        <v>147</v>
      </c>
      <c r="O1066" s="17">
        <v>71.63</v>
      </c>
      <c r="P1066" s="15" t="s">
        <v>148</v>
      </c>
      <c r="Q1066" s="15" t="s">
        <v>149</v>
      </c>
      <c r="R1066" s="15" t="s">
        <v>174</v>
      </c>
      <c r="S1066" s="15" t="s">
        <v>20809</v>
      </c>
      <c r="T1066" s="18" t="s">
        <v>138</v>
      </c>
      <c r="U1066" s="15" t="s">
        <v>138</v>
      </c>
      <c r="V1066" s="15" t="s">
        <v>138</v>
      </c>
      <c r="W1066" s="15" t="s">
        <v>138</v>
      </c>
      <c r="X1066" s="19">
        <v>2014</v>
      </c>
      <c r="Y1066" s="15" t="s">
        <v>138</v>
      </c>
      <c r="Z1066" s="15" t="s">
        <v>138</v>
      </c>
      <c r="AA1066" s="15" t="s">
        <v>138</v>
      </c>
      <c r="AB1066" s="20">
        <v>44.39</v>
      </c>
      <c r="AC1066" s="20" t="s">
        <v>138</v>
      </c>
      <c r="AD1066" s="20" t="s">
        <v>138</v>
      </c>
      <c r="AE1066" s="20" t="s">
        <v>138</v>
      </c>
      <c r="AF1066" s="20" t="s">
        <v>138</v>
      </c>
      <c r="AG1066" s="15" t="s">
        <v>419</v>
      </c>
      <c r="AH1066" s="20" t="s">
        <v>138</v>
      </c>
      <c r="AI1066" s="20" t="s">
        <v>138</v>
      </c>
      <c r="AJ1066" s="20" t="s">
        <v>138</v>
      </c>
      <c r="AK1066" s="15" t="s">
        <v>20810</v>
      </c>
      <c r="AL1066" s="15" t="s">
        <v>20811</v>
      </c>
      <c r="AM1066" s="15" t="s">
        <v>304</v>
      </c>
      <c r="AN1066" s="15" t="s">
        <v>20812</v>
      </c>
      <c r="AO1066" s="15" t="s">
        <v>20813</v>
      </c>
      <c r="AP1066" s="15" t="s">
        <v>20814</v>
      </c>
      <c r="AQ1066" s="15" t="s">
        <v>20815</v>
      </c>
      <c r="AR1066" s="15" t="s">
        <v>20816</v>
      </c>
      <c r="AS1066" s="15" t="s">
        <v>20817</v>
      </c>
      <c r="AT1066" s="15" t="s">
        <v>20818</v>
      </c>
      <c r="AU1066" s="15" t="s">
        <v>20819</v>
      </c>
      <c r="AV1066" s="15" t="s">
        <v>450</v>
      </c>
      <c r="AW1066" s="15" t="s">
        <v>20813</v>
      </c>
      <c r="AX1066" s="15" t="s">
        <v>138</v>
      </c>
      <c r="AY1066" s="15" t="s">
        <v>138</v>
      </c>
      <c r="AZ1066" s="15" t="s">
        <v>452</v>
      </c>
      <c r="BA1066" s="15" t="s">
        <v>453</v>
      </c>
      <c r="BB1066" s="15" t="s">
        <v>20820</v>
      </c>
      <c r="BC1066" s="15" t="s">
        <v>20821</v>
      </c>
      <c r="BD1066" s="21">
        <v>9</v>
      </c>
      <c r="BE1066" s="15" t="s">
        <v>138</v>
      </c>
      <c r="BF1066" s="15" t="s">
        <v>138</v>
      </c>
      <c r="BG1066" s="15" t="s">
        <v>138</v>
      </c>
      <c r="BH1066" s="15" t="s">
        <v>20822</v>
      </c>
      <c r="BI1066" s="15" t="s">
        <v>138</v>
      </c>
      <c r="BJ1066" s="15" t="s">
        <v>138</v>
      </c>
      <c r="BK1066" s="15" t="s">
        <v>138</v>
      </c>
      <c r="BL1066" s="15" t="s">
        <v>138</v>
      </c>
      <c r="BM1066" s="22">
        <v>41644</v>
      </c>
      <c r="BN1066" s="17">
        <v>1.63</v>
      </c>
      <c r="BO1066" s="15" t="s">
        <v>172</v>
      </c>
      <c r="BP1066" s="17" t="s">
        <v>138</v>
      </c>
      <c r="BQ1066" s="15" t="s">
        <v>138</v>
      </c>
      <c r="BR1066" s="15" t="s">
        <v>205</v>
      </c>
      <c r="BS1066" s="15" t="s">
        <v>206</v>
      </c>
      <c r="BT1066" s="15" t="s">
        <v>138</v>
      </c>
      <c r="BU1066" s="15" t="s">
        <v>174</v>
      </c>
      <c r="BV1066" s="15" t="s">
        <v>138</v>
      </c>
      <c r="BW1066" s="15" t="s">
        <v>138</v>
      </c>
      <c r="BX1066" s="15" t="s">
        <v>138</v>
      </c>
      <c r="BY1066" s="15" t="s">
        <v>175</v>
      </c>
      <c r="BZ1066" s="22">
        <v>43168</v>
      </c>
      <c r="CA1066" s="17">
        <v>60</v>
      </c>
      <c r="CB1066" s="15" t="s">
        <v>172</v>
      </c>
      <c r="CC1066" s="17">
        <v>600</v>
      </c>
      <c r="CD1066" s="15" t="s">
        <v>172</v>
      </c>
      <c r="CE1066" s="15" t="s">
        <v>173</v>
      </c>
      <c r="CF1066" s="15" t="s">
        <v>433</v>
      </c>
      <c r="CG1066" s="15" t="s">
        <v>138</v>
      </c>
      <c r="CH1066" s="15" t="s">
        <v>174</v>
      </c>
      <c r="CI1066" s="15" t="s">
        <v>138</v>
      </c>
      <c r="CJ1066" s="15" t="s">
        <v>138</v>
      </c>
      <c r="CK1066" s="15" t="s">
        <v>138</v>
      </c>
      <c r="CL1066" s="15" t="s">
        <v>175</v>
      </c>
      <c r="CM1066" s="22" t="s">
        <v>138</v>
      </c>
      <c r="CN1066" s="17" t="s">
        <v>138</v>
      </c>
      <c r="CO1066" s="23">
        <v>0.56999999999999995</v>
      </c>
      <c r="CP1066" s="24">
        <v>95</v>
      </c>
      <c r="CQ1066" s="23">
        <v>-0.22</v>
      </c>
      <c r="CR1066" s="23">
        <v>-27.51</v>
      </c>
      <c r="CS1066" s="23">
        <v>0.56999999999999995</v>
      </c>
      <c r="CT1066" s="24">
        <v>96</v>
      </c>
      <c r="CU1066" s="23" t="s">
        <v>138</v>
      </c>
      <c r="CV1066" s="24" t="s">
        <v>138</v>
      </c>
      <c r="CW1066" s="23">
        <v>1.73</v>
      </c>
      <c r="CX1066" s="24">
        <v>87</v>
      </c>
      <c r="CY1066" s="23">
        <v>-0.59</v>
      </c>
      <c r="CZ1066" s="24">
        <v>22</v>
      </c>
      <c r="DA1066" s="23" t="s">
        <v>138</v>
      </c>
      <c r="DB1066" s="24" t="s">
        <v>138</v>
      </c>
      <c r="DC1066" s="25">
        <v>88.86</v>
      </c>
      <c r="DD1066" s="24">
        <v>99</v>
      </c>
      <c r="DE1066" s="25">
        <v>-5.26</v>
      </c>
      <c r="DF1066" s="23">
        <v>-5.59</v>
      </c>
      <c r="DG1066" s="25">
        <v>88.86</v>
      </c>
      <c r="DH1066" s="24">
        <v>99</v>
      </c>
      <c r="DI1066" s="25" t="s">
        <v>138</v>
      </c>
      <c r="DJ1066" s="24" t="s">
        <v>138</v>
      </c>
      <c r="DK1066" s="25">
        <v>15.58</v>
      </c>
      <c r="DL1066" s="24">
        <v>90</v>
      </c>
      <c r="DM1066" s="25">
        <v>162.13999999999999</v>
      </c>
      <c r="DN1066" s="24">
        <v>100</v>
      </c>
      <c r="DO1066" s="25" t="s">
        <v>138</v>
      </c>
      <c r="DP1066" s="24" t="s">
        <v>138</v>
      </c>
      <c r="DQ1066" s="24">
        <v>5352</v>
      </c>
      <c r="DR1066" s="26">
        <v>-24</v>
      </c>
      <c r="DS1066" s="23">
        <v>-0.45</v>
      </c>
      <c r="DT1066" s="24">
        <v>4804</v>
      </c>
      <c r="DU1066" s="26">
        <v>-154</v>
      </c>
      <c r="DV1066" s="23">
        <v>-3.11</v>
      </c>
      <c r="DW1066" s="24" t="s">
        <v>138</v>
      </c>
      <c r="DX1066" s="27" t="s">
        <v>138</v>
      </c>
      <c r="DY1066" s="23" t="s">
        <v>138</v>
      </c>
      <c r="DZ1066" s="15" t="s">
        <v>178</v>
      </c>
      <c r="EA1066" s="22">
        <v>43474</v>
      </c>
      <c r="EB1066" s="17">
        <v>600</v>
      </c>
      <c r="EC1066" s="22">
        <v>43168</v>
      </c>
      <c r="ED1066" s="15" t="s">
        <v>173</v>
      </c>
      <c r="EE1066" s="14" t="str">
        <f>HYPERLINK("https://my.pitchbook.com?c=111550-60", "View company online")</f>
        <v>View company online</v>
      </c>
    </row>
    <row r="1067" spans="1:135">
      <c r="A1067" s="28" t="s">
        <v>20823</v>
      </c>
      <c r="B1067" s="28" t="s">
        <v>20824</v>
      </c>
      <c r="C1067" s="28" t="s">
        <v>138</v>
      </c>
      <c r="D1067" s="28" t="s">
        <v>20825</v>
      </c>
      <c r="E1067" s="28" t="s">
        <v>20826</v>
      </c>
      <c r="F1067" s="28" t="s">
        <v>20823</v>
      </c>
      <c r="G1067" s="28" t="s">
        <v>20827</v>
      </c>
      <c r="H1067" s="28" t="s">
        <v>322</v>
      </c>
      <c r="I1067" s="28" t="s">
        <v>323</v>
      </c>
      <c r="J1067" s="28" t="s">
        <v>413</v>
      </c>
      <c r="K1067" s="28" t="s">
        <v>2273</v>
      </c>
      <c r="L1067" s="28" t="s">
        <v>4762</v>
      </c>
      <c r="M1067" s="28" t="s">
        <v>20828</v>
      </c>
      <c r="N1067" s="28" t="s">
        <v>147</v>
      </c>
      <c r="O1067" s="29">
        <v>1360</v>
      </c>
      <c r="P1067" s="28" t="s">
        <v>148</v>
      </c>
      <c r="Q1067" s="28" t="s">
        <v>149</v>
      </c>
      <c r="R1067" s="28" t="s">
        <v>174</v>
      </c>
      <c r="S1067" s="28" t="s">
        <v>20829</v>
      </c>
      <c r="T1067" s="30" t="s">
        <v>138</v>
      </c>
      <c r="U1067" s="28" t="s">
        <v>138</v>
      </c>
      <c r="V1067" s="28" t="s">
        <v>138</v>
      </c>
      <c r="W1067" s="28" t="s">
        <v>138</v>
      </c>
      <c r="X1067" s="31">
        <v>2011</v>
      </c>
      <c r="Y1067" s="28" t="s">
        <v>138</v>
      </c>
      <c r="Z1067" s="28" t="s">
        <v>138</v>
      </c>
      <c r="AA1067" s="28" t="s">
        <v>1163</v>
      </c>
      <c r="AB1067" s="32" t="s">
        <v>138</v>
      </c>
      <c r="AC1067" s="32" t="s">
        <v>138</v>
      </c>
      <c r="AD1067" s="32" t="s">
        <v>138</v>
      </c>
      <c r="AE1067" s="32" t="s">
        <v>138</v>
      </c>
      <c r="AF1067" s="32" t="s">
        <v>138</v>
      </c>
      <c r="AG1067" s="28" t="s">
        <v>138</v>
      </c>
      <c r="AH1067" s="32" t="s">
        <v>138</v>
      </c>
      <c r="AI1067" s="32" t="s">
        <v>138</v>
      </c>
      <c r="AJ1067" s="32" t="s">
        <v>138</v>
      </c>
      <c r="AK1067" s="28" t="s">
        <v>20830</v>
      </c>
      <c r="AL1067" s="28" t="s">
        <v>20831</v>
      </c>
      <c r="AM1067" s="28" t="s">
        <v>20832</v>
      </c>
      <c r="AN1067" s="28" t="s">
        <v>20833</v>
      </c>
      <c r="AO1067" s="28" t="s">
        <v>138</v>
      </c>
      <c r="AP1067" s="28" t="s">
        <v>446</v>
      </c>
      <c r="AQ1067" s="28" t="s">
        <v>20834</v>
      </c>
      <c r="AR1067" s="28" t="s">
        <v>4136</v>
      </c>
      <c r="AS1067" s="28" t="s">
        <v>449</v>
      </c>
      <c r="AT1067" s="28" t="s">
        <v>138</v>
      </c>
      <c r="AU1067" s="28" t="s">
        <v>138</v>
      </c>
      <c r="AV1067" s="28" t="s">
        <v>450</v>
      </c>
      <c r="AW1067" s="28" t="s">
        <v>138</v>
      </c>
      <c r="AX1067" s="28" t="s">
        <v>138</v>
      </c>
      <c r="AY1067" s="28" t="s">
        <v>20835</v>
      </c>
      <c r="AZ1067" s="28" t="s">
        <v>452</v>
      </c>
      <c r="BA1067" s="28" t="s">
        <v>453</v>
      </c>
      <c r="BB1067" s="28" t="s">
        <v>20836</v>
      </c>
      <c r="BC1067" s="28" t="s">
        <v>20837</v>
      </c>
      <c r="BD1067" s="33">
        <v>8</v>
      </c>
      <c r="BE1067" s="28" t="s">
        <v>138</v>
      </c>
      <c r="BF1067" s="28" t="s">
        <v>138</v>
      </c>
      <c r="BG1067" s="28" t="s">
        <v>138</v>
      </c>
      <c r="BH1067" s="28" t="s">
        <v>20838</v>
      </c>
      <c r="BI1067" s="28" t="s">
        <v>138</v>
      </c>
      <c r="BJ1067" s="28" t="s">
        <v>138</v>
      </c>
      <c r="BK1067" s="28" t="s">
        <v>138</v>
      </c>
      <c r="BL1067" s="28" t="s">
        <v>1251</v>
      </c>
      <c r="BM1067" s="34">
        <v>41640</v>
      </c>
      <c r="BN1067" s="29">
        <v>10</v>
      </c>
      <c r="BO1067" s="28" t="s">
        <v>172</v>
      </c>
      <c r="BP1067" s="29" t="s">
        <v>138</v>
      </c>
      <c r="BQ1067" s="28" t="s">
        <v>138</v>
      </c>
      <c r="BR1067" s="28" t="s">
        <v>205</v>
      </c>
      <c r="BS1067" s="28" t="s">
        <v>720</v>
      </c>
      <c r="BT1067" s="28" t="s">
        <v>138</v>
      </c>
      <c r="BU1067" s="28" t="s">
        <v>174</v>
      </c>
      <c r="BV1067" s="28" t="s">
        <v>138</v>
      </c>
      <c r="BW1067" s="28" t="s">
        <v>138</v>
      </c>
      <c r="BX1067" s="28" t="s">
        <v>138</v>
      </c>
      <c r="BY1067" s="28" t="s">
        <v>175</v>
      </c>
      <c r="BZ1067" s="34" t="s">
        <v>138</v>
      </c>
      <c r="CA1067" s="29" t="s">
        <v>138</v>
      </c>
      <c r="CB1067" s="28" t="s">
        <v>138</v>
      </c>
      <c r="CC1067" s="29">
        <v>3647.83</v>
      </c>
      <c r="CD1067" s="28" t="s">
        <v>172</v>
      </c>
      <c r="CE1067" s="28" t="s">
        <v>173</v>
      </c>
      <c r="CF1067" s="28" t="s">
        <v>138</v>
      </c>
      <c r="CG1067" s="28" t="s">
        <v>138</v>
      </c>
      <c r="CH1067" s="28" t="s">
        <v>174</v>
      </c>
      <c r="CI1067" s="28" t="s">
        <v>138</v>
      </c>
      <c r="CJ1067" s="28" t="s">
        <v>138</v>
      </c>
      <c r="CK1067" s="28" t="s">
        <v>138</v>
      </c>
      <c r="CL1067" s="28" t="s">
        <v>3093</v>
      </c>
      <c r="CM1067" s="34" t="s">
        <v>138</v>
      </c>
      <c r="CN1067" s="29" t="s">
        <v>138</v>
      </c>
      <c r="CO1067" s="35">
        <v>-1.17</v>
      </c>
      <c r="CP1067" s="36">
        <v>10</v>
      </c>
      <c r="CQ1067" s="35">
        <v>-0.03</v>
      </c>
      <c r="CR1067" s="35">
        <v>-2.57</v>
      </c>
      <c r="CS1067" s="35">
        <v>-3.72</v>
      </c>
      <c r="CT1067" s="36">
        <v>4</v>
      </c>
      <c r="CU1067" s="35">
        <v>0.1</v>
      </c>
      <c r="CV1067" s="36">
        <v>68</v>
      </c>
      <c r="CW1067" s="35">
        <v>-3.72</v>
      </c>
      <c r="CX1067" s="36">
        <v>4</v>
      </c>
      <c r="CY1067" s="35" t="s">
        <v>138</v>
      </c>
      <c r="CZ1067" s="36" t="s">
        <v>138</v>
      </c>
      <c r="DA1067" s="35">
        <v>0.1</v>
      </c>
      <c r="DB1067" s="36">
        <v>72</v>
      </c>
      <c r="DC1067" s="37">
        <v>50.82</v>
      </c>
      <c r="DD1067" s="36">
        <v>98</v>
      </c>
      <c r="DE1067" s="37">
        <v>1.62</v>
      </c>
      <c r="DF1067" s="35">
        <v>3.29</v>
      </c>
      <c r="DG1067" s="37">
        <v>12.74</v>
      </c>
      <c r="DH1067" s="36">
        <v>92</v>
      </c>
      <c r="DI1067" s="37">
        <v>0.37</v>
      </c>
      <c r="DJ1067" s="36">
        <v>31</v>
      </c>
      <c r="DK1067" s="37">
        <v>12.74</v>
      </c>
      <c r="DL1067" s="36">
        <v>89</v>
      </c>
      <c r="DM1067" s="37" t="s">
        <v>138</v>
      </c>
      <c r="DN1067" s="36" t="s">
        <v>138</v>
      </c>
      <c r="DO1067" s="37">
        <v>0.37</v>
      </c>
      <c r="DP1067" s="36">
        <v>33</v>
      </c>
      <c r="DQ1067" s="36">
        <v>4582</v>
      </c>
      <c r="DR1067" s="38">
        <v>-640</v>
      </c>
      <c r="DS1067" s="35">
        <v>-12.26</v>
      </c>
      <c r="DT1067" s="36" t="s">
        <v>138</v>
      </c>
      <c r="DU1067" s="38" t="s">
        <v>138</v>
      </c>
      <c r="DV1067" s="35" t="s">
        <v>138</v>
      </c>
      <c r="DW1067" s="36">
        <v>132</v>
      </c>
      <c r="DX1067" s="39">
        <v>0</v>
      </c>
      <c r="DY1067" s="35">
        <v>0</v>
      </c>
      <c r="DZ1067" s="28" t="s">
        <v>178</v>
      </c>
      <c r="EA1067" s="34">
        <v>43622</v>
      </c>
      <c r="EB1067" s="29">
        <v>19000</v>
      </c>
      <c r="EC1067" s="34">
        <v>43116</v>
      </c>
      <c r="ED1067" s="28" t="s">
        <v>173</v>
      </c>
      <c r="EE1067" s="40" t="str">
        <f>HYPERLINK("https://my.pitchbook.com?c=97131-16", "View company online")</f>
        <v>View company online</v>
      </c>
    </row>
    <row r="1068" spans="1:135">
      <c r="A1068" s="15" t="s">
        <v>20839</v>
      </c>
      <c r="B1068" s="15" t="s">
        <v>20840</v>
      </c>
      <c r="C1068" s="15" t="s">
        <v>138</v>
      </c>
      <c r="D1068" s="15" t="s">
        <v>138</v>
      </c>
      <c r="E1068" s="15" t="s">
        <v>138</v>
      </c>
      <c r="F1068" s="15" t="s">
        <v>20839</v>
      </c>
      <c r="G1068" s="15" t="s">
        <v>20841</v>
      </c>
      <c r="H1068" s="15" t="s">
        <v>322</v>
      </c>
      <c r="I1068" s="15" t="s">
        <v>323</v>
      </c>
      <c r="J1068" s="15" t="s">
        <v>324</v>
      </c>
      <c r="K1068" s="15" t="s">
        <v>1543</v>
      </c>
      <c r="L1068" s="15" t="s">
        <v>3701</v>
      </c>
      <c r="M1068" s="15" t="s">
        <v>20842</v>
      </c>
      <c r="N1068" s="15" t="s">
        <v>147</v>
      </c>
      <c r="O1068" s="17">
        <v>0.47</v>
      </c>
      <c r="P1068" s="15" t="s">
        <v>148</v>
      </c>
      <c r="Q1068" s="15" t="s">
        <v>149</v>
      </c>
      <c r="R1068" s="15" t="s">
        <v>174</v>
      </c>
      <c r="S1068" s="15" t="s">
        <v>20843</v>
      </c>
      <c r="T1068" s="18" t="s">
        <v>138</v>
      </c>
      <c r="U1068" s="15" t="s">
        <v>138</v>
      </c>
      <c r="V1068" s="15" t="s">
        <v>138</v>
      </c>
      <c r="W1068" s="15" t="s">
        <v>138</v>
      </c>
      <c r="X1068" s="19">
        <v>2006</v>
      </c>
      <c r="Y1068" s="15" t="s">
        <v>138</v>
      </c>
      <c r="Z1068" s="15" t="s">
        <v>138</v>
      </c>
      <c r="AA1068" s="15" t="s">
        <v>138</v>
      </c>
      <c r="AB1068" s="20" t="s">
        <v>138</v>
      </c>
      <c r="AC1068" s="20" t="s">
        <v>138</v>
      </c>
      <c r="AD1068" s="20" t="s">
        <v>138</v>
      </c>
      <c r="AE1068" s="20" t="s">
        <v>138</v>
      </c>
      <c r="AF1068" s="20" t="s">
        <v>138</v>
      </c>
      <c r="AG1068" s="15" t="s">
        <v>138</v>
      </c>
      <c r="AH1068" s="20" t="s">
        <v>138</v>
      </c>
      <c r="AI1068" s="20" t="s">
        <v>138</v>
      </c>
      <c r="AJ1068" s="20" t="s">
        <v>138</v>
      </c>
      <c r="AK1068" s="15" t="s">
        <v>20844</v>
      </c>
      <c r="AL1068" s="15" t="s">
        <v>20845</v>
      </c>
      <c r="AM1068" s="15" t="s">
        <v>20846</v>
      </c>
      <c r="AN1068" s="15" t="s">
        <v>20847</v>
      </c>
      <c r="AO1068" s="15" t="s">
        <v>20848</v>
      </c>
      <c r="AP1068" s="15" t="s">
        <v>1195</v>
      </c>
      <c r="AQ1068" s="15" t="s">
        <v>20849</v>
      </c>
      <c r="AR1068" s="15" t="s">
        <v>20850</v>
      </c>
      <c r="AS1068" s="15" t="s">
        <v>1198</v>
      </c>
      <c r="AT1068" s="15" t="s">
        <v>20851</v>
      </c>
      <c r="AU1068" s="15" t="s">
        <v>20852</v>
      </c>
      <c r="AV1068" s="15" t="s">
        <v>1200</v>
      </c>
      <c r="AW1068" s="15" t="s">
        <v>20848</v>
      </c>
      <c r="AX1068" s="15" t="s">
        <v>20853</v>
      </c>
      <c r="AY1068" s="15" t="s">
        <v>20854</v>
      </c>
      <c r="AZ1068" s="15" t="s">
        <v>452</v>
      </c>
      <c r="BA1068" s="15" t="s">
        <v>453</v>
      </c>
      <c r="BB1068" s="15" t="s">
        <v>20855</v>
      </c>
      <c r="BC1068" s="15" t="s">
        <v>20856</v>
      </c>
      <c r="BD1068" s="21">
        <v>6</v>
      </c>
      <c r="BE1068" s="15" t="s">
        <v>138</v>
      </c>
      <c r="BF1068" s="15" t="s">
        <v>138</v>
      </c>
      <c r="BG1068" s="15" t="s">
        <v>138</v>
      </c>
      <c r="BH1068" s="15" t="s">
        <v>20857</v>
      </c>
      <c r="BI1068" s="15" t="s">
        <v>138</v>
      </c>
      <c r="BJ1068" s="15" t="s">
        <v>138</v>
      </c>
      <c r="BK1068" s="15" t="s">
        <v>138</v>
      </c>
      <c r="BL1068" s="15" t="s">
        <v>138</v>
      </c>
      <c r="BM1068" s="22">
        <v>39995</v>
      </c>
      <c r="BN1068" s="17" t="s">
        <v>138</v>
      </c>
      <c r="BO1068" s="15" t="s">
        <v>138</v>
      </c>
      <c r="BP1068" s="17" t="s">
        <v>138</v>
      </c>
      <c r="BQ1068" s="15" t="s">
        <v>138</v>
      </c>
      <c r="BR1068" s="15" t="s">
        <v>234</v>
      </c>
      <c r="BS1068" s="15" t="s">
        <v>234</v>
      </c>
      <c r="BT1068" s="15" t="s">
        <v>138</v>
      </c>
      <c r="BU1068" s="15" t="s">
        <v>780</v>
      </c>
      <c r="BV1068" s="15" t="s">
        <v>138</v>
      </c>
      <c r="BW1068" s="15" t="s">
        <v>138</v>
      </c>
      <c r="BX1068" s="15" t="s">
        <v>138</v>
      </c>
      <c r="BY1068" s="15" t="s">
        <v>175</v>
      </c>
      <c r="BZ1068" s="22">
        <v>40651</v>
      </c>
      <c r="CA1068" s="17">
        <v>0.47</v>
      </c>
      <c r="CB1068" s="15" t="s">
        <v>172</v>
      </c>
      <c r="CC1068" s="17" t="s">
        <v>138</v>
      </c>
      <c r="CD1068" s="15" t="s">
        <v>138</v>
      </c>
      <c r="CE1068" s="15" t="s">
        <v>205</v>
      </c>
      <c r="CF1068" s="15" t="s">
        <v>138</v>
      </c>
      <c r="CG1068" s="15" t="s">
        <v>138</v>
      </c>
      <c r="CH1068" s="15" t="s">
        <v>174</v>
      </c>
      <c r="CI1068" s="15" t="s">
        <v>138</v>
      </c>
      <c r="CJ1068" s="15" t="s">
        <v>138</v>
      </c>
      <c r="CK1068" s="15" t="s">
        <v>138</v>
      </c>
      <c r="CL1068" s="15" t="s">
        <v>175</v>
      </c>
      <c r="CM1068" s="22" t="s">
        <v>138</v>
      </c>
      <c r="CN1068" s="17" t="s">
        <v>138</v>
      </c>
      <c r="CO1068" s="23">
        <v>0.06</v>
      </c>
      <c r="CP1068" s="24">
        <v>88</v>
      </c>
      <c r="CQ1068" s="23">
        <v>0</v>
      </c>
      <c r="CR1068" s="23">
        <v>0</v>
      </c>
      <c r="CS1068" s="23">
        <v>0</v>
      </c>
      <c r="CT1068" s="24">
        <v>23</v>
      </c>
      <c r="CU1068" s="23">
        <v>0.12</v>
      </c>
      <c r="CV1068" s="24">
        <v>71</v>
      </c>
      <c r="CW1068" s="23" t="s">
        <v>138</v>
      </c>
      <c r="CX1068" s="24" t="s">
        <v>138</v>
      </c>
      <c r="CY1068" s="23">
        <v>0</v>
      </c>
      <c r="CZ1068" s="24">
        <v>25</v>
      </c>
      <c r="DA1068" s="23" t="s">
        <v>138</v>
      </c>
      <c r="DB1068" s="24" t="s">
        <v>138</v>
      </c>
      <c r="DC1068" s="25">
        <v>0.08</v>
      </c>
      <c r="DD1068" s="24">
        <v>7</v>
      </c>
      <c r="DE1068" s="25">
        <v>0</v>
      </c>
      <c r="DF1068" s="23">
        <v>-0.09</v>
      </c>
      <c r="DG1068" s="25">
        <v>0.03</v>
      </c>
      <c r="DH1068" s="24">
        <v>1</v>
      </c>
      <c r="DI1068" s="25">
        <v>0.12</v>
      </c>
      <c r="DJ1068" s="24">
        <v>16</v>
      </c>
      <c r="DK1068" s="25" t="s">
        <v>138</v>
      </c>
      <c r="DL1068" s="24" t="s">
        <v>138</v>
      </c>
      <c r="DM1068" s="25">
        <v>0.03</v>
      </c>
      <c r="DN1068" s="24">
        <v>1</v>
      </c>
      <c r="DO1068" s="25" t="s">
        <v>138</v>
      </c>
      <c r="DP1068" s="24" t="s">
        <v>138</v>
      </c>
      <c r="DQ1068" s="24" t="s">
        <v>138</v>
      </c>
      <c r="DR1068" s="26" t="s">
        <v>138</v>
      </c>
      <c r="DS1068" s="23" t="s">
        <v>138</v>
      </c>
      <c r="DT1068" s="24">
        <v>1</v>
      </c>
      <c r="DU1068" s="26">
        <v>0</v>
      </c>
      <c r="DV1068" s="23">
        <v>0</v>
      </c>
      <c r="DW1068" s="24">
        <v>1</v>
      </c>
      <c r="DX1068" s="27">
        <v>0</v>
      </c>
      <c r="DY1068" s="23">
        <v>0</v>
      </c>
      <c r="DZ1068" s="15" t="s">
        <v>178</v>
      </c>
      <c r="EA1068" s="22">
        <v>43351</v>
      </c>
      <c r="EB1068" s="17" t="s">
        <v>138</v>
      </c>
      <c r="EC1068" s="22" t="s">
        <v>138</v>
      </c>
      <c r="ED1068" s="15" t="s">
        <v>138</v>
      </c>
      <c r="EE1068" s="14" t="str">
        <f>HYPERLINK("https://my.pitchbook.com?c=107198-02", "View company online")</f>
        <v>View company online</v>
      </c>
    </row>
    <row r="1069" spans="1:135">
      <c r="A1069" s="28" t="s">
        <v>20858</v>
      </c>
      <c r="B1069" s="28" t="s">
        <v>20859</v>
      </c>
      <c r="C1069" s="28" t="s">
        <v>138</v>
      </c>
      <c r="D1069" s="28" t="s">
        <v>20860</v>
      </c>
      <c r="E1069" s="28" t="s">
        <v>138</v>
      </c>
      <c r="F1069" s="28" t="s">
        <v>20858</v>
      </c>
      <c r="G1069" s="28" t="s">
        <v>20861</v>
      </c>
      <c r="H1069" s="28" t="s">
        <v>385</v>
      </c>
      <c r="I1069" s="28" t="s">
        <v>386</v>
      </c>
      <c r="J1069" s="28" t="s">
        <v>387</v>
      </c>
      <c r="K1069" s="28" t="s">
        <v>7621</v>
      </c>
      <c r="L1069" s="28" t="s">
        <v>16198</v>
      </c>
      <c r="M1069" s="28" t="s">
        <v>20862</v>
      </c>
      <c r="N1069" s="28" t="s">
        <v>147</v>
      </c>
      <c r="O1069" s="29">
        <v>8</v>
      </c>
      <c r="P1069" s="28" t="s">
        <v>148</v>
      </c>
      <c r="Q1069" s="28" t="s">
        <v>149</v>
      </c>
      <c r="R1069" s="28" t="s">
        <v>174</v>
      </c>
      <c r="S1069" s="28" t="s">
        <v>20863</v>
      </c>
      <c r="T1069" s="30" t="s">
        <v>138</v>
      </c>
      <c r="U1069" s="28" t="s">
        <v>138</v>
      </c>
      <c r="V1069" s="28" t="s">
        <v>138</v>
      </c>
      <c r="W1069" s="28" t="s">
        <v>138</v>
      </c>
      <c r="X1069" s="31">
        <v>1997</v>
      </c>
      <c r="Y1069" s="28" t="s">
        <v>138</v>
      </c>
      <c r="Z1069" s="28" t="s">
        <v>138</v>
      </c>
      <c r="AA1069" s="28" t="s">
        <v>138</v>
      </c>
      <c r="AB1069" s="32">
        <v>17.170000000000002</v>
      </c>
      <c r="AC1069" s="32" t="s">
        <v>138</v>
      </c>
      <c r="AD1069" s="32">
        <v>7.0000000000000007E-2</v>
      </c>
      <c r="AE1069" s="32" t="s">
        <v>138</v>
      </c>
      <c r="AF1069" s="32" t="s">
        <v>138</v>
      </c>
      <c r="AG1069" s="28" t="s">
        <v>3077</v>
      </c>
      <c r="AH1069" s="32" t="s">
        <v>138</v>
      </c>
      <c r="AI1069" s="32" t="s">
        <v>138</v>
      </c>
      <c r="AJ1069" s="32" t="s">
        <v>138</v>
      </c>
      <c r="AK1069" s="28" t="s">
        <v>20864</v>
      </c>
      <c r="AL1069" s="28" t="s">
        <v>20865</v>
      </c>
      <c r="AM1069" s="28" t="s">
        <v>20866</v>
      </c>
      <c r="AN1069" s="28" t="s">
        <v>20867</v>
      </c>
      <c r="AO1069" s="28" t="s">
        <v>20868</v>
      </c>
      <c r="AP1069" s="28" t="s">
        <v>2327</v>
      </c>
      <c r="AQ1069" s="28" t="s">
        <v>20869</v>
      </c>
      <c r="AR1069" s="28" t="s">
        <v>20870</v>
      </c>
      <c r="AS1069" s="28" t="s">
        <v>2330</v>
      </c>
      <c r="AT1069" s="28" t="s">
        <v>2331</v>
      </c>
      <c r="AU1069" s="28" t="s">
        <v>20871</v>
      </c>
      <c r="AV1069" s="28" t="s">
        <v>2333</v>
      </c>
      <c r="AW1069" s="28" t="s">
        <v>20868</v>
      </c>
      <c r="AX1069" s="28" t="s">
        <v>20872</v>
      </c>
      <c r="AY1069" s="28" t="s">
        <v>20873</v>
      </c>
      <c r="AZ1069" s="28" t="s">
        <v>452</v>
      </c>
      <c r="BA1069" s="28" t="s">
        <v>2335</v>
      </c>
      <c r="BB1069" s="28" t="s">
        <v>20874</v>
      </c>
      <c r="BC1069" s="28" t="s">
        <v>20875</v>
      </c>
      <c r="BD1069" s="33">
        <v>4</v>
      </c>
      <c r="BE1069" s="28" t="s">
        <v>138</v>
      </c>
      <c r="BF1069" s="28" t="s">
        <v>138</v>
      </c>
      <c r="BG1069" s="28" t="s">
        <v>138</v>
      </c>
      <c r="BH1069" s="28" t="s">
        <v>20876</v>
      </c>
      <c r="BI1069" s="28" t="s">
        <v>138</v>
      </c>
      <c r="BJ1069" s="28" t="s">
        <v>138</v>
      </c>
      <c r="BK1069" s="28" t="s">
        <v>138</v>
      </c>
      <c r="BL1069" s="28" t="s">
        <v>138</v>
      </c>
      <c r="BM1069" s="34">
        <v>39755</v>
      </c>
      <c r="BN1069" s="29">
        <v>8</v>
      </c>
      <c r="BO1069" s="28" t="s">
        <v>172</v>
      </c>
      <c r="BP1069" s="29" t="s">
        <v>138</v>
      </c>
      <c r="BQ1069" s="28" t="s">
        <v>138</v>
      </c>
      <c r="BR1069" s="28" t="s">
        <v>173</v>
      </c>
      <c r="BS1069" s="28" t="s">
        <v>206</v>
      </c>
      <c r="BT1069" s="28" t="s">
        <v>138</v>
      </c>
      <c r="BU1069" s="28" t="s">
        <v>174</v>
      </c>
      <c r="BV1069" s="28" t="s">
        <v>138</v>
      </c>
      <c r="BW1069" s="28" t="s">
        <v>138</v>
      </c>
      <c r="BX1069" s="28" t="s">
        <v>138</v>
      </c>
      <c r="BY1069" s="28" t="s">
        <v>175</v>
      </c>
      <c r="BZ1069" s="34">
        <v>39755</v>
      </c>
      <c r="CA1069" s="29">
        <v>8</v>
      </c>
      <c r="CB1069" s="28" t="s">
        <v>172</v>
      </c>
      <c r="CC1069" s="29" t="s">
        <v>138</v>
      </c>
      <c r="CD1069" s="28" t="s">
        <v>138</v>
      </c>
      <c r="CE1069" s="28" t="s">
        <v>173</v>
      </c>
      <c r="CF1069" s="28" t="s">
        <v>206</v>
      </c>
      <c r="CG1069" s="28" t="s">
        <v>138</v>
      </c>
      <c r="CH1069" s="28" t="s">
        <v>174</v>
      </c>
      <c r="CI1069" s="28" t="s">
        <v>138</v>
      </c>
      <c r="CJ1069" s="28" t="s">
        <v>138</v>
      </c>
      <c r="CK1069" s="28" t="s">
        <v>138</v>
      </c>
      <c r="CL1069" s="28" t="s">
        <v>175</v>
      </c>
      <c r="CM1069" s="34" t="s">
        <v>138</v>
      </c>
      <c r="CN1069" s="29" t="s">
        <v>138</v>
      </c>
      <c r="CO1069" s="35">
        <v>0</v>
      </c>
      <c r="CP1069" s="36">
        <v>26</v>
      </c>
      <c r="CQ1069" s="35">
        <v>0</v>
      </c>
      <c r="CR1069" s="35">
        <v>0</v>
      </c>
      <c r="CS1069" s="35" t="s">
        <v>138</v>
      </c>
      <c r="CT1069" s="36" t="s">
        <v>138</v>
      </c>
      <c r="CU1069" s="35">
        <v>0</v>
      </c>
      <c r="CV1069" s="36">
        <v>22</v>
      </c>
      <c r="CW1069" s="35" t="s">
        <v>138</v>
      </c>
      <c r="CX1069" s="36" t="s">
        <v>138</v>
      </c>
      <c r="CY1069" s="35" t="s">
        <v>138</v>
      </c>
      <c r="CZ1069" s="36" t="s">
        <v>138</v>
      </c>
      <c r="DA1069" s="35">
        <v>0</v>
      </c>
      <c r="DB1069" s="36">
        <v>22</v>
      </c>
      <c r="DC1069" s="37">
        <v>0.04</v>
      </c>
      <c r="DD1069" s="36">
        <v>4</v>
      </c>
      <c r="DE1069" s="37">
        <v>0</v>
      </c>
      <c r="DF1069" s="35">
        <v>0.3</v>
      </c>
      <c r="DG1069" s="37" t="s">
        <v>138</v>
      </c>
      <c r="DH1069" s="36" t="s">
        <v>138</v>
      </c>
      <c r="DI1069" s="37">
        <v>0.04</v>
      </c>
      <c r="DJ1069" s="36">
        <v>7</v>
      </c>
      <c r="DK1069" s="37" t="s">
        <v>138</v>
      </c>
      <c r="DL1069" s="36" t="s">
        <v>138</v>
      </c>
      <c r="DM1069" s="37" t="s">
        <v>138</v>
      </c>
      <c r="DN1069" s="36" t="s">
        <v>138</v>
      </c>
      <c r="DO1069" s="37">
        <v>0.04</v>
      </c>
      <c r="DP1069" s="36">
        <v>8</v>
      </c>
      <c r="DQ1069" s="36" t="s">
        <v>138</v>
      </c>
      <c r="DR1069" s="38" t="s">
        <v>138</v>
      </c>
      <c r="DS1069" s="35" t="s">
        <v>138</v>
      </c>
      <c r="DT1069" s="36" t="s">
        <v>138</v>
      </c>
      <c r="DU1069" s="38" t="s">
        <v>138</v>
      </c>
      <c r="DV1069" s="35" t="s">
        <v>138</v>
      </c>
      <c r="DW1069" s="36">
        <v>16</v>
      </c>
      <c r="DX1069" s="39">
        <v>0</v>
      </c>
      <c r="DY1069" s="35">
        <v>0</v>
      </c>
      <c r="DZ1069" s="28" t="s">
        <v>178</v>
      </c>
      <c r="EA1069" s="34">
        <v>43371</v>
      </c>
      <c r="EB1069" s="29" t="s">
        <v>138</v>
      </c>
      <c r="EC1069" s="34" t="s">
        <v>138</v>
      </c>
      <c r="ED1069" s="28" t="s">
        <v>138</v>
      </c>
      <c r="EE1069" s="40" t="str">
        <f>HYPERLINK("https://my.pitchbook.com?c=42184-81", "View company online")</f>
        <v>View company online</v>
      </c>
    </row>
    <row r="1070" spans="1:135">
      <c r="A1070" s="15" t="s">
        <v>20877</v>
      </c>
      <c r="B1070" s="15" t="s">
        <v>20878</v>
      </c>
      <c r="C1070" s="15" t="s">
        <v>138</v>
      </c>
      <c r="D1070" s="15" t="s">
        <v>20879</v>
      </c>
      <c r="E1070" s="15" t="s">
        <v>20880</v>
      </c>
      <c r="F1070" s="15" t="s">
        <v>20877</v>
      </c>
      <c r="G1070" s="15" t="s">
        <v>20881</v>
      </c>
      <c r="H1070" s="15" t="s">
        <v>238</v>
      </c>
      <c r="I1070" s="15" t="s">
        <v>749</v>
      </c>
      <c r="J1070" s="15" t="s">
        <v>2855</v>
      </c>
      <c r="K1070" s="15" t="s">
        <v>18613</v>
      </c>
      <c r="L1070" s="15" t="s">
        <v>18378</v>
      </c>
      <c r="M1070" s="15" t="s">
        <v>20882</v>
      </c>
      <c r="N1070" s="15" t="s">
        <v>147</v>
      </c>
      <c r="O1070" s="17">
        <v>2</v>
      </c>
      <c r="P1070" s="15" t="s">
        <v>148</v>
      </c>
      <c r="Q1070" s="15" t="s">
        <v>149</v>
      </c>
      <c r="R1070" s="15" t="s">
        <v>174</v>
      </c>
      <c r="S1070" s="15" t="s">
        <v>20883</v>
      </c>
      <c r="T1070" s="18" t="s">
        <v>138</v>
      </c>
      <c r="U1070" s="15" t="s">
        <v>138</v>
      </c>
      <c r="V1070" s="15" t="s">
        <v>138</v>
      </c>
      <c r="W1070" s="15" t="s">
        <v>138</v>
      </c>
      <c r="X1070" s="19">
        <v>2015</v>
      </c>
      <c r="Y1070" s="15" t="s">
        <v>138</v>
      </c>
      <c r="Z1070" s="15" t="s">
        <v>138</v>
      </c>
      <c r="AA1070" s="15" t="s">
        <v>138</v>
      </c>
      <c r="AB1070" s="20" t="s">
        <v>138</v>
      </c>
      <c r="AC1070" s="20" t="s">
        <v>138</v>
      </c>
      <c r="AD1070" s="20" t="s">
        <v>138</v>
      </c>
      <c r="AE1070" s="20" t="s">
        <v>138</v>
      </c>
      <c r="AF1070" s="20" t="s">
        <v>138</v>
      </c>
      <c r="AG1070" s="15" t="s">
        <v>138</v>
      </c>
      <c r="AH1070" s="20" t="s">
        <v>138</v>
      </c>
      <c r="AI1070" s="20" t="s">
        <v>138</v>
      </c>
      <c r="AJ1070" s="20" t="s">
        <v>138</v>
      </c>
      <c r="AK1070" s="15" t="s">
        <v>20884</v>
      </c>
      <c r="AL1070" s="15" t="s">
        <v>20885</v>
      </c>
      <c r="AM1070" s="15" t="s">
        <v>20886</v>
      </c>
      <c r="AN1070" s="15" t="s">
        <v>20887</v>
      </c>
      <c r="AO1070" s="15" t="s">
        <v>138</v>
      </c>
      <c r="AP1070" s="15" t="s">
        <v>20888</v>
      </c>
      <c r="AQ1070" s="15" t="s">
        <v>20889</v>
      </c>
      <c r="AR1070" s="15" t="s">
        <v>10476</v>
      </c>
      <c r="AS1070" s="15" t="s">
        <v>138</v>
      </c>
      <c r="AT1070" s="15" t="s">
        <v>200</v>
      </c>
      <c r="AU1070" s="15" t="s">
        <v>20890</v>
      </c>
      <c r="AV1070" s="15" t="s">
        <v>162</v>
      </c>
      <c r="AW1070" s="15" t="s">
        <v>138</v>
      </c>
      <c r="AX1070" s="15" t="s">
        <v>138</v>
      </c>
      <c r="AY1070" s="15" t="s">
        <v>20891</v>
      </c>
      <c r="AZ1070" s="15" t="s">
        <v>164</v>
      </c>
      <c r="BA1070" s="15" t="s">
        <v>165</v>
      </c>
      <c r="BB1070" s="15" t="s">
        <v>20892</v>
      </c>
      <c r="BC1070" s="15" t="s">
        <v>20893</v>
      </c>
      <c r="BD1070" s="21">
        <v>4</v>
      </c>
      <c r="BE1070" s="15" t="s">
        <v>138</v>
      </c>
      <c r="BF1070" s="15" t="s">
        <v>138</v>
      </c>
      <c r="BG1070" s="15" t="s">
        <v>138</v>
      </c>
      <c r="BH1070" s="15" t="s">
        <v>20894</v>
      </c>
      <c r="BI1070" s="15" t="s">
        <v>138</v>
      </c>
      <c r="BJ1070" s="15" t="s">
        <v>138</v>
      </c>
      <c r="BK1070" s="15" t="s">
        <v>138</v>
      </c>
      <c r="BL1070" s="15" t="s">
        <v>138</v>
      </c>
      <c r="BM1070" s="22">
        <v>43231</v>
      </c>
      <c r="BN1070" s="17">
        <v>2</v>
      </c>
      <c r="BO1070" s="15" t="s">
        <v>172</v>
      </c>
      <c r="BP1070" s="17" t="s">
        <v>138</v>
      </c>
      <c r="BQ1070" s="15" t="s">
        <v>138</v>
      </c>
      <c r="BR1070" s="15" t="s">
        <v>205</v>
      </c>
      <c r="BS1070" s="15" t="s">
        <v>206</v>
      </c>
      <c r="BT1070" s="15" t="s">
        <v>138</v>
      </c>
      <c r="BU1070" s="15" t="s">
        <v>174</v>
      </c>
      <c r="BV1070" s="15" t="s">
        <v>138</v>
      </c>
      <c r="BW1070" s="15" t="s">
        <v>138</v>
      </c>
      <c r="BX1070" s="15" t="s">
        <v>138</v>
      </c>
      <c r="BY1070" s="15" t="s">
        <v>175</v>
      </c>
      <c r="BZ1070" s="22">
        <v>43231</v>
      </c>
      <c r="CA1070" s="17">
        <v>2</v>
      </c>
      <c r="CB1070" s="15" t="s">
        <v>172</v>
      </c>
      <c r="CC1070" s="17" t="s">
        <v>138</v>
      </c>
      <c r="CD1070" s="15" t="s">
        <v>138</v>
      </c>
      <c r="CE1070" s="15" t="s">
        <v>205</v>
      </c>
      <c r="CF1070" s="15" t="s">
        <v>206</v>
      </c>
      <c r="CG1070" s="15" t="s">
        <v>138</v>
      </c>
      <c r="CH1070" s="15" t="s">
        <v>174</v>
      </c>
      <c r="CI1070" s="15" t="s">
        <v>138</v>
      </c>
      <c r="CJ1070" s="15" t="s">
        <v>138</v>
      </c>
      <c r="CK1070" s="15" t="s">
        <v>138</v>
      </c>
      <c r="CL1070" s="15" t="s">
        <v>175</v>
      </c>
      <c r="CM1070" s="22" t="s">
        <v>138</v>
      </c>
      <c r="CN1070" s="17" t="s">
        <v>138</v>
      </c>
      <c r="CO1070" s="23">
        <v>1.19</v>
      </c>
      <c r="CP1070" s="24">
        <v>98</v>
      </c>
      <c r="CQ1070" s="23">
        <v>-0.03</v>
      </c>
      <c r="CR1070" s="23">
        <v>-2.4500000000000002</v>
      </c>
      <c r="CS1070" s="23">
        <v>1.18</v>
      </c>
      <c r="CT1070" s="24">
        <v>97</v>
      </c>
      <c r="CU1070" s="23">
        <v>1.2</v>
      </c>
      <c r="CV1070" s="24">
        <v>99</v>
      </c>
      <c r="CW1070" s="23">
        <v>2.36</v>
      </c>
      <c r="CX1070" s="24">
        <v>89</v>
      </c>
      <c r="CY1070" s="23">
        <v>0</v>
      </c>
      <c r="CZ1070" s="24">
        <v>25</v>
      </c>
      <c r="DA1070" s="23">
        <v>1.18</v>
      </c>
      <c r="DB1070" s="24">
        <v>99</v>
      </c>
      <c r="DC1070" s="25">
        <v>11.15</v>
      </c>
      <c r="DD1070" s="24">
        <v>91</v>
      </c>
      <c r="DE1070" s="25">
        <v>-1.26</v>
      </c>
      <c r="DF1070" s="23">
        <v>-10.14</v>
      </c>
      <c r="DG1070" s="25">
        <v>19.8</v>
      </c>
      <c r="DH1070" s="24">
        <v>95</v>
      </c>
      <c r="DI1070" s="25">
        <v>2.5</v>
      </c>
      <c r="DJ1070" s="24">
        <v>66</v>
      </c>
      <c r="DK1070" s="25">
        <v>39.4</v>
      </c>
      <c r="DL1070" s="24">
        <v>95</v>
      </c>
      <c r="DM1070" s="25">
        <v>0.21</v>
      </c>
      <c r="DN1070" s="24">
        <v>16</v>
      </c>
      <c r="DO1070" s="25">
        <v>0.96</v>
      </c>
      <c r="DP1070" s="24">
        <v>50</v>
      </c>
      <c r="DQ1070" s="24">
        <v>13377</v>
      </c>
      <c r="DR1070" s="26">
        <v>408</v>
      </c>
      <c r="DS1070" s="23">
        <v>3.15</v>
      </c>
      <c r="DT1070" s="24">
        <v>6</v>
      </c>
      <c r="DU1070" s="26">
        <v>0</v>
      </c>
      <c r="DV1070" s="23">
        <v>0</v>
      </c>
      <c r="DW1070" s="24">
        <v>345</v>
      </c>
      <c r="DX1070" s="27">
        <v>3</v>
      </c>
      <c r="DY1070" s="23">
        <v>0.88</v>
      </c>
      <c r="DZ1070" s="15" t="s">
        <v>178</v>
      </c>
      <c r="EA1070" s="22">
        <v>43427</v>
      </c>
      <c r="EB1070" s="17" t="s">
        <v>138</v>
      </c>
      <c r="EC1070" s="22" t="s">
        <v>138</v>
      </c>
      <c r="ED1070" s="15" t="s">
        <v>138</v>
      </c>
      <c r="EE1070" s="14" t="str">
        <f>HYPERLINK("https://my.pitchbook.com?c=228608-47", "View company online")</f>
        <v>View company online</v>
      </c>
    </row>
    <row r="1071" spans="1:135">
      <c r="A1071" s="28" t="s">
        <v>20895</v>
      </c>
      <c r="B1071" s="28" t="s">
        <v>20896</v>
      </c>
      <c r="C1071" s="28" t="s">
        <v>138</v>
      </c>
      <c r="D1071" s="28" t="s">
        <v>20897</v>
      </c>
      <c r="E1071" s="28" t="s">
        <v>138</v>
      </c>
      <c r="F1071" s="28" t="s">
        <v>20895</v>
      </c>
      <c r="G1071" s="28" t="s">
        <v>20898</v>
      </c>
      <c r="H1071" s="28" t="s">
        <v>141</v>
      </c>
      <c r="I1071" s="28" t="s">
        <v>142</v>
      </c>
      <c r="J1071" s="28" t="s">
        <v>508</v>
      </c>
      <c r="K1071" s="28" t="s">
        <v>20899</v>
      </c>
      <c r="L1071" s="28" t="s">
        <v>7679</v>
      </c>
      <c r="M1071" s="28" t="s">
        <v>20900</v>
      </c>
      <c r="N1071" s="28" t="s">
        <v>147</v>
      </c>
      <c r="O1071" s="29" t="s">
        <v>138</v>
      </c>
      <c r="P1071" s="28" t="s">
        <v>148</v>
      </c>
      <c r="Q1071" s="28" t="s">
        <v>149</v>
      </c>
      <c r="R1071" s="28" t="s">
        <v>174</v>
      </c>
      <c r="S1071" s="28" t="s">
        <v>20901</v>
      </c>
      <c r="T1071" s="30" t="s">
        <v>138</v>
      </c>
      <c r="U1071" s="28" t="s">
        <v>138</v>
      </c>
      <c r="V1071" s="28" t="s">
        <v>138</v>
      </c>
      <c r="W1071" s="28" t="s">
        <v>138</v>
      </c>
      <c r="X1071" s="31">
        <v>1995</v>
      </c>
      <c r="Y1071" s="28" t="s">
        <v>138</v>
      </c>
      <c r="Z1071" s="28" t="s">
        <v>138</v>
      </c>
      <c r="AA1071" s="28" t="s">
        <v>138</v>
      </c>
      <c r="AB1071" s="32">
        <v>25.5</v>
      </c>
      <c r="AC1071" s="32" t="s">
        <v>138</v>
      </c>
      <c r="AD1071" s="32">
        <v>1.63</v>
      </c>
      <c r="AE1071" s="32" t="s">
        <v>138</v>
      </c>
      <c r="AF1071" s="32" t="s">
        <v>138</v>
      </c>
      <c r="AG1071" s="28" t="s">
        <v>514</v>
      </c>
      <c r="AH1071" s="32" t="s">
        <v>138</v>
      </c>
      <c r="AI1071" s="32" t="s">
        <v>138</v>
      </c>
      <c r="AJ1071" s="32" t="s">
        <v>138</v>
      </c>
      <c r="AK1071" s="28" t="s">
        <v>20902</v>
      </c>
      <c r="AL1071" s="28" t="s">
        <v>20903</v>
      </c>
      <c r="AM1071" s="28" t="s">
        <v>566</v>
      </c>
      <c r="AN1071" s="28" t="s">
        <v>138</v>
      </c>
      <c r="AO1071" s="28" t="s">
        <v>20904</v>
      </c>
      <c r="AP1071" s="28" t="s">
        <v>20905</v>
      </c>
      <c r="AQ1071" s="28" t="s">
        <v>20906</v>
      </c>
      <c r="AR1071" s="28" t="s">
        <v>138</v>
      </c>
      <c r="AS1071" s="28" t="s">
        <v>20907</v>
      </c>
      <c r="AT1071" s="28" t="s">
        <v>6099</v>
      </c>
      <c r="AU1071" s="28" t="s">
        <v>20908</v>
      </c>
      <c r="AV1071" s="28" t="s">
        <v>2071</v>
      </c>
      <c r="AW1071" s="28" t="s">
        <v>20904</v>
      </c>
      <c r="AX1071" s="28" t="s">
        <v>20909</v>
      </c>
      <c r="AY1071" s="28" t="s">
        <v>138</v>
      </c>
      <c r="AZ1071" s="28" t="s">
        <v>452</v>
      </c>
      <c r="BA1071" s="28" t="s">
        <v>453</v>
      </c>
      <c r="BB1071" s="28" t="s">
        <v>20910</v>
      </c>
      <c r="BC1071" s="28" t="s">
        <v>20911</v>
      </c>
      <c r="BD1071" s="33">
        <v>4</v>
      </c>
      <c r="BE1071" s="28" t="s">
        <v>138</v>
      </c>
      <c r="BF1071" s="28" t="s">
        <v>138</v>
      </c>
      <c r="BG1071" s="28" t="s">
        <v>138</v>
      </c>
      <c r="BH1071" s="28" t="s">
        <v>20912</v>
      </c>
      <c r="BI1071" s="28" t="s">
        <v>138</v>
      </c>
      <c r="BJ1071" s="28" t="s">
        <v>138</v>
      </c>
      <c r="BK1071" s="28" t="s">
        <v>138</v>
      </c>
      <c r="BL1071" s="28" t="s">
        <v>138</v>
      </c>
      <c r="BM1071" s="34" t="s">
        <v>138</v>
      </c>
      <c r="BN1071" s="29" t="s">
        <v>138</v>
      </c>
      <c r="BO1071" s="28" t="s">
        <v>138</v>
      </c>
      <c r="BP1071" s="29" t="s">
        <v>138</v>
      </c>
      <c r="BQ1071" s="28" t="s">
        <v>138</v>
      </c>
      <c r="BR1071" s="28" t="s">
        <v>205</v>
      </c>
      <c r="BS1071" s="28" t="s">
        <v>138</v>
      </c>
      <c r="BT1071" s="28" t="s">
        <v>138</v>
      </c>
      <c r="BU1071" s="28" t="s">
        <v>174</v>
      </c>
      <c r="BV1071" s="28" t="s">
        <v>138</v>
      </c>
      <c r="BW1071" s="28" t="s">
        <v>138</v>
      </c>
      <c r="BX1071" s="28" t="s">
        <v>138</v>
      </c>
      <c r="BY1071" s="28" t="s">
        <v>175</v>
      </c>
      <c r="BZ1071" s="34">
        <v>42445</v>
      </c>
      <c r="CA1071" s="29">
        <v>2.2599999999999998</v>
      </c>
      <c r="CB1071" s="28" t="s">
        <v>172</v>
      </c>
      <c r="CC1071" s="29">
        <v>11.5</v>
      </c>
      <c r="CD1071" s="28" t="s">
        <v>1178</v>
      </c>
      <c r="CE1071" s="28" t="s">
        <v>379</v>
      </c>
      <c r="CF1071" s="28" t="s">
        <v>138</v>
      </c>
      <c r="CG1071" s="28" t="s">
        <v>138</v>
      </c>
      <c r="CH1071" s="28" t="s">
        <v>177</v>
      </c>
      <c r="CI1071" s="28" t="s">
        <v>138</v>
      </c>
      <c r="CJ1071" s="28" t="s">
        <v>138</v>
      </c>
      <c r="CK1071" s="28" t="s">
        <v>138</v>
      </c>
      <c r="CL1071" s="28" t="s">
        <v>175</v>
      </c>
      <c r="CM1071" s="34" t="s">
        <v>138</v>
      </c>
      <c r="CN1071" s="29" t="s">
        <v>138</v>
      </c>
      <c r="CO1071" s="35">
        <v>0</v>
      </c>
      <c r="CP1071" s="36">
        <v>26</v>
      </c>
      <c r="CQ1071" s="35">
        <v>0</v>
      </c>
      <c r="CR1071" s="35">
        <v>0</v>
      </c>
      <c r="CS1071" s="35">
        <v>0</v>
      </c>
      <c r="CT1071" s="36">
        <v>23</v>
      </c>
      <c r="CU1071" s="35" t="s">
        <v>138</v>
      </c>
      <c r="CV1071" s="36" t="s">
        <v>138</v>
      </c>
      <c r="CW1071" s="35" t="s">
        <v>138</v>
      </c>
      <c r="CX1071" s="36" t="s">
        <v>138</v>
      </c>
      <c r="CY1071" s="35">
        <v>0</v>
      </c>
      <c r="CZ1071" s="36">
        <v>25</v>
      </c>
      <c r="DA1071" s="35" t="s">
        <v>138</v>
      </c>
      <c r="DB1071" s="36" t="s">
        <v>138</v>
      </c>
      <c r="DC1071" s="37">
        <v>0.62</v>
      </c>
      <c r="DD1071" s="36">
        <v>39</v>
      </c>
      <c r="DE1071" s="37">
        <v>0</v>
      </c>
      <c r="DF1071" s="35">
        <v>0</v>
      </c>
      <c r="DG1071" s="37">
        <v>0.62</v>
      </c>
      <c r="DH1071" s="36">
        <v>39</v>
      </c>
      <c r="DI1071" s="37" t="s">
        <v>138</v>
      </c>
      <c r="DJ1071" s="36" t="s">
        <v>138</v>
      </c>
      <c r="DK1071" s="37" t="s">
        <v>138</v>
      </c>
      <c r="DL1071" s="36" t="s">
        <v>138</v>
      </c>
      <c r="DM1071" s="37">
        <v>0.62</v>
      </c>
      <c r="DN1071" s="36">
        <v>39</v>
      </c>
      <c r="DO1071" s="37" t="s">
        <v>138</v>
      </c>
      <c r="DP1071" s="36" t="s">
        <v>138</v>
      </c>
      <c r="DQ1071" s="36" t="s">
        <v>138</v>
      </c>
      <c r="DR1071" s="38" t="s">
        <v>138</v>
      </c>
      <c r="DS1071" s="35" t="s">
        <v>138</v>
      </c>
      <c r="DT1071" s="36">
        <v>18</v>
      </c>
      <c r="DU1071" s="38">
        <v>0</v>
      </c>
      <c r="DV1071" s="35">
        <v>0</v>
      </c>
      <c r="DW1071" s="36" t="s">
        <v>138</v>
      </c>
      <c r="DX1071" s="39" t="s">
        <v>138</v>
      </c>
      <c r="DY1071" s="35" t="s">
        <v>138</v>
      </c>
      <c r="DZ1071" s="28" t="s">
        <v>178</v>
      </c>
      <c r="EA1071" s="34">
        <v>43560</v>
      </c>
      <c r="EB1071" s="29">
        <v>11.5</v>
      </c>
      <c r="EC1071" s="34">
        <v>42445</v>
      </c>
      <c r="ED1071" s="28" t="s">
        <v>379</v>
      </c>
      <c r="EE1071" s="40" t="str">
        <f>HYPERLINK("https://my.pitchbook.com?c=60577-75", "View company online")</f>
        <v>View company online</v>
      </c>
    </row>
    <row r="1072" spans="1:135">
      <c r="A1072" s="15" t="s">
        <v>20913</v>
      </c>
      <c r="B1072" s="15" t="s">
        <v>20914</v>
      </c>
      <c r="C1072" s="15" t="s">
        <v>138</v>
      </c>
      <c r="D1072" s="15" t="s">
        <v>138</v>
      </c>
      <c r="E1072" s="15" t="s">
        <v>20915</v>
      </c>
      <c r="F1072" s="15" t="s">
        <v>20913</v>
      </c>
      <c r="G1072" s="15" t="s">
        <v>20916</v>
      </c>
      <c r="H1072" s="15" t="s">
        <v>322</v>
      </c>
      <c r="I1072" s="15" t="s">
        <v>323</v>
      </c>
      <c r="J1072" s="15" t="s">
        <v>1132</v>
      </c>
      <c r="K1072" s="15" t="s">
        <v>1133</v>
      </c>
      <c r="L1072" s="15" t="s">
        <v>3722</v>
      </c>
      <c r="M1072" s="15" t="s">
        <v>20917</v>
      </c>
      <c r="N1072" s="15" t="s">
        <v>147</v>
      </c>
      <c r="O1072" s="17">
        <v>6.2</v>
      </c>
      <c r="P1072" s="15" t="s">
        <v>148</v>
      </c>
      <c r="Q1072" s="15" t="s">
        <v>149</v>
      </c>
      <c r="R1072" s="15" t="s">
        <v>174</v>
      </c>
      <c r="S1072" s="15" t="s">
        <v>20918</v>
      </c>
      <c r="T1072" s="18" t="s">
        <v>138</v>
      </c>
      <c r="U1072" s="15" t="s">
        <v>138</v>
      </c>
      <c r="V1072" s="15" t="s">
        <v>138</v>
      </c>
      <c r="W1072" s="15" t="s">
        <v>138</v>
      </c>
      <c r="X1072" s="19">
        <v>2012</v>
      </c>
      <c r="Y1072" s="15" t="s">
        <v>138</v>
      </c>
      <c r="Z1072" s="15" t="s">
        <v>138</v>
      </c>
      <c r="AA1072" s="15" t="s">
        <v>138</v>
      </c>
      <c r="AB1072" s="20" t="s">
        <v>138</v>
      </c>
      <c r="AC1072" s="20" t="s">
        <v>138</v>
      </c>
      <c r="AD1072" s="20" t="s">
        <v>138</v>
      </c>
      <c r="AE1072" s="20" t="s">
        <v>138</v>
      </c>
      <c r="AF1072" s="20" t="s">
        <v>138</v>
      </c>
      <c r="AG1072" s="15" t="s">
        <v>138</v>
      </c>
      <c r="AH1072" s="20" t="s">
        <v>138</v>
      </c>
      <c r="AI1072" s="20" t="s">
        <v>138</v>
      </c>
      <c r="AJ1072" s="20" t="s">
        <v>138</v>
      </c>
      <c r="AK1072" s="15" t="s">
        <v>20919</v>
      </c>
      <c r="AL1072" s="15" t="s">
        <v>20920</v>
      </c>
      <c r="AM1072" s="15" t="s">
        <v>986</v>
      </c>
      <c r="AN1072" s="15" t="s">
        <v>20921</v>
      </c>
      <c r="AO1072" s="15" t="s">
        <v>138</v>
      </c>
      <c r="AP1072" s="15" t="s">
        <v>3905</v>
      </c>
      <c r="AQ1072" s="15" t="s">
        <v>20922</v>
      </c>
      <c r="AR1072" s="15" t="s">
        <v>138</v>
      </c>
      <c r="AS1072" s="15" t="s">
        <v>3907</v>
      </c>
      <c r="AT1072" s="15" t="s">
        <v>2740</v>
      </c>
      <c r="AU1072" s="15" t="s">
        <v>138</v>
      </c>
      <c r="AV1072" s="15" t="s">
        <v>2742</v>
      </c>
      <c r="AW1072" s="15" t="s">
        <v>138</v>
      </c>
      <c r="AX1072" s="15" t="s">
        <v>138</v>
      </c>
      <c r="AY1072" s="15" t="s">
        <v>138</v>
      </c>
      <c r="AZ1072" s="15" t="s">
        <v>164</v>
      </c>
      <c r="BA1072" s="15" t="s">
        <v>165</v>
      </c>
      <c r="BB1072" s="15" t="s">
        <v>20923</v>
      </c>
      <c r="BC1072" s="15" t="s">
        <v>20924</v>
      </c>
      <c r="BD1072" s="21">
        <v>4</v>
      </c>
      <c r="BE1072" s="15" t="s">
        <v>138</v>
      </c>
      <c r="BF1072" s="15" t="s">
        <v>138</v>
      </c>
      <c r="BG1072" s="15" t="s">
        <v>138</v>
      </c>
      <c r="BH1072" s="15" t="s">
        <v>20925</v>
      </c>
      <c r="BI1072" s="15" t="s">
        <v>138</v>
      </c>
      <c r="BJ1072" s="15" t="s">
        <v>138</v>
      </c>
      <c r="BK1072" s="15" t="s">
        <v>138</v>
      </c>
      <c r="BL1072" s="15" t="s">
        <v>138</v>
      </c>
      <c r="BM1072" s="22">
        <v>42736</v>
      </c>
      <c r="BN1072" s="17">
        <v>1.21</v>
      </c>
      <c r="BO1072" s="15" t="s">
        <v>172</v>
      </c>
      <c r="BP1072" s="17" t="s">
        <v>138</v>
      </c>
      <c r="BQ1072" s="15" t="s">
        <v>138</v>
      </c>
      <c r="BR1072" s="15" t="s">
        <v>205</v>
      </c>
      <c r="BS1072" s="15" t="s">
        <v>138</v>
      </c>
      <c r="BT1072" s="15" t="s">
        <v>138</v>
      </c>
      <c r="BU1072" s="15" t="s">
        <v>174</v>
      </c>
      <c r="BV1072" s="15" t="s">
        <v>138</v>
      </c>
      <c r="BW1072" s="15" t="s">
        <v>138</v>
      </c>
      <c r="BX1072" s="15" t="s">
        <v>138</v>
      </c>
      <c r="BY1072" s="15" t="s">
        <v>175</v>
      </c>
      <c r="BZ1072" s="22">
        <v>43376</v>
      </c>
      <c r="CA1072" s="17">
        <v>4.99</v>
      </c>
      <c r="CB1072" s="15" t="s">
        <v>172</v>
      </c>
      <c r="CC1072" s="17" t="s">
        <v>138</v>
      </c>
      <c r="CD1072" s="15" t="s">
        <v>138</v>
      </c>
      <c r="CE1072" s="15" t="s">
        <v>234</v>
      </c>
      <c r="CF1072" s="15" t="s">
        <v>234</v>
      </c>
      <c r="CG1072" s="15" t="s">
        <v>138</v>
      </c>
      <c r="CH1072" s="15" t="s">
        <v>174</v>
      </c>
      <c r="CI1072" s="15" t="s">
        <v>138</v>
      </c>
      <c r="CJ1072" s="15" t="s">
        <v>138</v>
      </c>
      <c r="CK1072" s="15" t="s">
        <v>138</v>
      </c>
      <c r="CL1072" s="15" t="s">
        <v>175</v>
      </c>
      <c r="CM1072" s="22" t="s">
        <v>138</v>
      </c>
      <c r="CN1072" s="17" t="s">
        <v>138</v>
      </c>
      <c r="CO1072" s="23">
        <v>0</v>
      </c>
      <c r="CP1072" s="24">
        <v>26</v>
      </c>
      <c r="CQ1072" s="23">
        <v>0</v>
      </c>
      <c r="CR1072" s="23">
        <v>0</v>
      </c>
      <c r="CS1072" s="23">
        <v>0</v>
      </c>
      <c r="CT1072" s="24">
        <v>23</v>
      </c>
      <c r="CU1072" s="23" t="s">
        <v>138</v>
      </c>
      <c r="CV1072" s="24" t="s">
        <v>138</v>
      </c>
      <c r="CW1072" s="23" t="s">
        <v>138</v>
      </c>
      <c r="CX1072" s="24" t="s">
        <v>138</v>
      </c>
      <c r="CY1072" s="23">
        <v>0</v>
      </c>
      <c r="CZ1072" s="24">
        <v>25</v>
      </c>
      <c r="DA1072" s="23" t="s">
        <v>138</v>
      </c>
      <c r="DB1072" s="24" t="s">
        <v>138</v>
      </c>
      <c r="DC1072" s="25">
        <v>0.66</v>
      </c>
      <c r="DD1072" s="24">
        <v>40</v>
      </c>
      <c r="DE1072" s="25">
        <v>0</v>
      </c>
      <c r="DF1072" s="23">
        <v>0</v>
      </c>
      <c r="DG1072" s="25">
        <v>0.66</v>
      </c>
      <c r="DH1072" s="24">
        <v>41</v>
      </c>
      <c r="DI1072" s="25" t="s">
        <v>138</v>
      </c>
      <c r="DJ1072" s="24" t="s">
        <v>138</v>
      </c>
      <c r="DK1072" s="25" t="s">
        <v>138</v>
      </c>
      <c r="DL1072" s="24" t="s">
        <v>138</v>
      </c>
      <c r="DM1072" s="25">
        <v>0.66</v>
      </c>
      <c r="DN1072" s="24">
        <v>40</v>
      </c>
      <c r="DO1072" s="25" t="s">
        <v>138</v>
      </c>
      <c r="DP1072" s="24" t="s">
        <v>138</v>
      </c>
      <c r="DQ1072" s="24" t="s">
        <v>138</v>
      </c>
      <c r="DR1072" s="26" t="s">
        <v>138</v>
      </c>
      <c r="DS1072" s="23" t="s">
        <v>138</v>
      </c>
      <c r="DT1072" s="24">
        <v>19</v>
      </c>
      <c r="DU1072" s="26">
        <v>1</v>
      </c>
      <c r="DV1072" s="23">
        <v>5.56</v>
      </c>
      <c r="DW1072" s="24" t="s">
        <v>138</v>
      </c>
      <c r="DX1072" s="27" t="s">
        <v>138</v>
      </c>
      <c r="DY1072" s="23" t="s">
        <v>138</v>
      </c>
      <c r="DZ1072" s="15" t="s">
        <v>178</v>
      </c>
      <c r="EA1072" s="22">
        <v>43609</v>
      </c>
      <c r="EB1072" s="17" t="s">
        <v>138</v>
      </c>
      <c r="EC1072" s="22" t="s">
        <v>138</v>
      </c>
      <c r="ED1072" s="15" t="s">
        <v>138</v>
      </c>
      <c r="EE1072" s="14" t="str">
        <f>HYPERLINK("https://my.pitchbook.com?c=135198-19", "View company online")</f>
        <v>View company online</v>
      </c>
    </row>
    <row r="1073" spans="1:135">
      <c r="A1073" s="28" t="s">
        <v>20926</v>
      </c>
      <c r="B1073" s="28" t="s">
        <v>20927</v>
      </c>
      <c r="C1073" s="28" t="s">
        <v>138</v>
      </c>
      <c r="D1073" s="28" t="s">
        <v>138</v>
      </c>
      <c r="E1073" s="28" t="s">
        <v>20928</v>
      </c>
      <c r="F1073" s="28" t="s">
        <v>20926</v>
      </c>
      <c r="G1073" s="28" t="s">
        <v>20929</v>
      </c>
      <c r="H1073" s="28" t="s">
        <v>322</v>
      </c>
      <c r="I1073" s="28" t="s">
        <v>323</v>
      </c>
      <c r="J1073" s="28" t="s">
        <v>413</v>
      </c>
      <c r="K1073" s="28" t="s">
        <v>20930</v>
      </c>
      <c r="L1073" s="28" t="s">
        <v>3764</v>
      </c>
      <c r="M1073" s="28" t="s">
        <v>20931</v>
      </c>
      <c r="N1073" s="28" t="s">
        <v>147</v>
      </c>
      <c r="O1073" s="29">
        <v>59.79</v>
      </c>
      <c r="P1073" s="28" t="s">
        <v>148</v>
      </c>
      <c r="Q1073" s="28" t="s">
        <v>149</v>
      </c>
      <c r="R1073" s="28" t="s">
        <v>244</v>
      </c>
      <c r="S1073" s="28" t="s">
        <v>20932</v>
      </c>
      <c r="T1073" s="30">
        <v>43</v>
      </c>
      <c r="U1073" s="28" t="s">
        <v>20933</v>
      </c>
      <c r="V1073" s="28" t="s">
        <v>138</v>
      </c>
      <c r="W1073" s="28" t="s">
        <v>138</v>
      </c>
      <c r="X1073" s="31">
        <v>2002</v>
      </c>
      <c r="Y1073" s="28" t="s">
        <v>138</v>
      </c>
      <c r="Z1073" s="28" t="s">
        <v>138</v>
      </c>
      <c r="AA1073" s="28" t="s">
        <v>138</v>
      </c>
      <c r="AB1073" s="32" t="s">
        <v>138</v>
      </c>
      <c r="AC1073" s="32" t="s">
        <v>138</v>
      </c>
      <c r="AD1073" s="32" t="s">
        <v>138</v>
      </c>
      <c r="AE1073" s="32" t="s">
        <v>138</v>
      </c>
      <c r="AF1073" s="32" t="s">
        <v>138</v>
      </c>
      <c r="AG1073" s="28" t="s">
        <v>138</v>
      </c>
      <c r="AH1073" s="32" t="s">
        <v>138</v>
      </c>
      <c r="AI1073" s="32" t="s">
        <v>138</v>
      </c>
      <c r="AJ1073" s="32" t="s">
        <v>138</v>
      </c>
      <c r="AK1073" s="28" t="s">
        <v>20934</v>
      </c>
      <c r="AL1073" s="28" t="s">
        <v>20935</v>
      </c>
      <c r="AM1073" s="28" t="s">
        <v>20936</v>
      </c>
      <c r="AN1073" s="28" t="s">
        <v>20937</v>
      </c>
      <c r="AO1073" s="28" t="s">
        <v>20938</v>
      </c>
      <c r="AP1073" s="28" t="s">
        <v>20939</v>
      </c>
      <c r="AQ1073" s="28" t="s">
        <v>20940</v>
      </c>
      <c r="AR1073" s="28" t="s">
        <v>6298</v>
      </c>
      <c r="AS1073" s="28" t="s">
        <v>20941</v>
      </c>
      <c r="AT1073" s="28" t="s">
        <v>597</v>
      </c>
      <c r="AU1073" s="28" t="s">
        <v>20942</v>
      </c>
      <c r="AV1073" s="28" t="s">
        <v>162</v>
      </c>
      <c r="AW1073" s="28" t="s">
        <v>20943</v>
      </c>
      <c r="AX1073" s="28" t="s">
        <v>20944</v>
      </c>
      <c r="AY1073" s="28" t="s">
        <v>20945</v>
      </c>
      <c r="AZ1073" s="28" t="s">
        <v>164</v>
      </c>
      <c r="BA1073" s="28" t="s">
        <v>165</v>
      </c>
      <c r="BB1073" s="28" t="s">
        <v>20946</v>
      </c>
      <c r="BC1073" s="28" t="s">
        <v>20947</v>
      </c>
      <c r="BD1073" s="33">
        <v>11</v>
      </c>
      <c r="BE1073" s="28" t="s">
        <v>138</v>
      </c>
      <c r="BF1073" s="28" t="s">
        <v>138</v>
      </c>
      <c r="BG1073" s="28" t="s">
        <v>138</v>
      </c>
      <c r="BH1073" s="28" t="s">
        <v>20948</v>
      </c>
      <c r="BI1073" s="28" t="s">
        <v>138</v>
      </c>
      <c r="BJ1073" s="28" t="s">
        <v>138</v>
      </c>
      <c r="BK1073" s="28" t="s">
        <v>20949</v>
      </c>
      <c r="BL1073" s="28" t="s">
        <v>1275</v>
      </c>
      <c r="BM1073" s="34">
        <v>37662</v>
      </c>
      <c r="BN1073" s="29" t="s">
        <v>138</v>
      </c>
      <c r="BO1073" s="28" t="s">
        <v>138</v>
      </c>
      <c r="BP1073" s="29" t="s">
        <v>138</v>
      </c>
      <c r="BQ1073" s="28" t="s">
        <v>138</v>
      </c>
      <c r="BR1073" s="28" t="s">
        <v>176</v>
      </c>
      <c r="BS1073" s="28" t="s">
        <v>138</v>
      </c>
      <c r="BT1073" s="28" t="s">
        <v>138</v>
      </c>
      <c r="BU1073" s="28" t="s">
        <v>177</v>
      </c>
      <c r="BV1073" s="28" t="s">
        <v>138</v>
      </c>
      <c r="BW1073" s="28" t="s">
        <v>138</v>
      </c>
      <c r="BX1073" s="28" t="s">
        <v>138</v>
      </c>
      <c r="BY1073" s="28" t="s">
        <v>175</v>
      </c>
      <c r="BZ1073" s="34">
        <v>42398</v>
      </c>
      <c r="CA1073" s="29">
        <v>14.8</v>
      </c>
      <c r="CB1073" s="28" t="s">
        <v>1178</v>
      </c>
      <c r="CC1073" s="29">
        <v>20.3</v>
      </c>
      <c r="CD1073" s="28" t="s">
        <v>172</v>
      </c>
      <c r="CE1073" s="28" t="s">
        <v>173</v>
      </c>
      <c r="CF1073" s="28" t="s">
        <v>138</v>
      </c>
      <c r="CG1073" s="28" t="s">
        <v>138</v>
      </c>
      <c r="CH1073" s="28" t="s">
        <v>174</v>
      </c>
      <c r="CI1073" s="28" t="s">
        <v>138</v>
      </c>
      <c r="CJ1073" s="28" t="s">
        <v>138</v>
      </c>
      <c r="CK1073" s="28" t="s">
        <v>138</v>
      </c>
      <c r="CL1073" s="28" t="s">
        <v>175</v>
      </c>
      <c r="CM1073" s="34" t="s">
        <v>138</v>
      </c>
      <c r="CN1073" s="29" t="s">
        <v>138</v>
      </c>
      <c r="CO1073" s="35">
        <v>0.52</v>
      </c>
      <c r="CP1073" s="36">
        <v>95</v>
      </c>
      <c r="CQ1073" s="35">
        <v>-0.01</v>
      </c>
      <c r="CR1073" s="35">
        <v>-2.64</v>
      </c>
      <c r="CS1073" s="35">
        <v>0.96</v>
      </c>
      <c r="CT1073" s="36">
        <v>97</v>
      </c>
      <c r="CU1073" s="35">
        <v>0.08</v>
      </c>
      <c r="CV1073" s="36">
        <v>64</v>
      </c>
      <c r="CW1073" s="35">
        <v>4.62</v>
      </c>
      <c r="CX1073" s="36">
        <v>95</v>
      </c>
      <c r="CY1073" s="35">
        <v>-2.7</v>
      </c>
      <c r="CZ1073" s="36">
        <v>8</v>
      </c>
      <c r="DA1073" s="35">
        <v>0.13</v>
      </c>
      <c r="DB1073" s="36">
        <v>76</v>
      </c>
      <c r="DC1073" s="37">
        <v>3.08</v>
      </c>
      <c r="DD1073" s="36">
        <v>75</v>
      </c>
      <c r="DE1073" s="37">
        <v>-0.14000000000000001</v>
      </c>
      <c r="DF1073" s="35">
        <v>-4.25</v>
      </c>
      <c r="DG1073" s="37">
        <v>5.0199999999999996</v>
      </c>
      <c r="DH1073" s="36">
        <v>82</v>
      </c>
      <c r="DI1073" s="37">
        <v>1.1299999999999999</v>
      </c>
      <c r="DJ1073" s="36">
        <v>51</v>
      </c>
      <c r="DK1073" s="37">
        <v>4.32</v>
      </c>
      <c r="DL1073" s="36">
        <v>77</v>
      </c>
      <c r="DM1073" s="37">
        <v>5.72</v>
      </c>
      <c r="DN1073" s="36">
        <v>83</v>
      </c>
      <c r="DO1073" s="37">
        <v>1.92</v>
      </c>
      <c r="DP1073" s="36">
        <v>63</v>
      </c>
      <c r="DQ1073" s="36">
        <v>1404</v>
      </c>
      <c r="DR1073" s="38">
        <v>232</v>
      </c>
      <c r="DS1073" s="35">
        <v>19.8</v>
      </c>
      <c r="DT1073" s="36">
        <v>166</v>
      </c>
      <c r="DU1073" s="38">
        <v>-1</v>
      </c>
      <c r="DV1073" s="35">
        <v>-0.6</v>
      </c>
      <c r="DW1073" s="36">
        <v>688</v>
      </c>
      <c r="DX1073" s="39">
        <v>0</v>
      </c>
      <c r="DY1073" s="35">
        <v>0</v>
      </c>
      <c r="DZ1073" s="28" t="s">
        <v>178</v>
      </c>
      <c r="EA1073" s="34">
        <v>43523</v>
      </c>
      <c r="EB1073" s="29">
        <v>20.3</v>
      </c>
      <c r="EC1073" s="34">
        <v>42398</v>
      </c>
      <c r="ED1073" s="28" t="s">
        <v>173</v>
      </c>
      <c r="EE1073" s="40" t="str">
        <f>HYPERLINK("https://my.pitchbook.com?c=52524-73", "View company online")</f>
        <v>View company online</v>
      </c>
    </row>
    <row r="1074" spans="1:135">
      <c r="A1074" s="15" t="s">
        <v>20950</v>
      </c>
      <c r="B1074" s="15" t="s">
        <v>20951</v>
      </c>
      <c r="C1074" s="15" t="s">
        <v>20952</v>
      </c>
      <c r="D1074" s="15" t="s">
        <v>138</v>
      </c>
      <c r="E1074" s="15" t="s">
        <v>20953</v>
      </c>
      <c r="F1074" s="15" t="s">
        <v>20950</v>
      </c>
      <c r="G1074" s="15" t="s">
        <v>20954</v>
      </c>
      <c r="H1074" s="15" t="s">
        <v>322</v>
      </c>
      <c r="I1074" s="15" t="s">
        <v>323</v>
      </c>
      <c r="J1074" s="15" t="s">
        <v>324</v>
      </c>
      <c r="K1074" s="15" t="s">
        <v>20955</v>
      </c>
      <c r="L1074" s="15" t="s">
        <v>215</v>
      </c>
      <c r="M1074" s="15" t="s">
        <v>20956</v>
      </c>
      <c r="N1074" s="15" t="s">
        <v>147</v>
      </c>
      <c r="O1074" s="17">
        <v>167.34</v>
      </c>
      <c r="P1074" s="15" t="s">
        <v>148</v>
      </c>
      <c r="Q1074" s="15" t="s">
        <v>149</v>
      </c>
      <c r="R1074" s="15" t="s">
        <v>174</v>
      </c>
      <c r="S1074" s="15" t="s">
        <v>20957</v>
      </c>
      <c r="T1074" s="18">
        <v>1109</v>
      </c>
      <c r="U1074" s="15" t="s">
        <v>20958</v>
      </c>
      <c r="V1074" s="15" t="s">
        <v>138</v>
      </c>
      <c r="W1074" s="15" t="s">
        <v>138</v>
      </c>
      <c r="X1074" s="19">
        <v>2007</v>
      </c>
      <c r="Y1074" s="15" t="s">
        <v>138</v>
      </c>
      <c r="Z1074" s="15" t="s">
        <v>138</v>
      </c>
      <c r="AA1074" s="15" t="s">
        <v>1163</v>
      </c>
      <c r="AB1074" s="20">
        <v>100</v>
      </c>
      <c r="AC1074" s="20" t="s">
        <v>138</v>
      </c>
      <c r="AD1074" s="20" t="s">
        <v>138</v>
      </c>
      <c r="AE1074" s="20" t="s">
        <v>138</v>
      </c>
      <c r="AF1074" s="20" t="s">
        <v>138</v>
      </c>
      <c r="AG1074" s="15" t="s">
        <v>514</v>
      </c>
      <c r="AH1074" s="20" t="s">
        <v>138</v>
      </c>
      <c r="AI1074" s="20" t="s">
        <v>138</v>
      </c>
      <c r="AJ1074" s="20" t="s">
        <v>138</v>
      </c>
      <c r="AK1074" s="15" t="s">
        <v>20959</v>
      </c>
      <c r="AL1074" s="15" t="s">
        <v>20960</v>
      </c>
      <c r="AM1074" s="15" t="s">
        <v>4399</v>
      </c>
      <c r="AN1074" s="15" t="s">
        <v>20961</v>
      </c>
      <c r="AO1074" s="15" t="s">
        <v>20962</v>
      </c>
      <c r="AP1074" s="15" t="s">
        <v>639</v>
      </c>
      <c r="AQ1074" s="15" t="s">
        <v>20963</v>
      </c>
      <c r="AR1074" s="15" t="s">
        <v>20964</v>
      </c>
      <c r="AS1074" s="15" t="s">
        <v>642</v>
      </c>
      <c r="AT1074" s="15" t="s">
        <v>474</v>
      </c>
      <c r="AU1074" s="15" t="s">
        <v>20965</v>
      </c>
      <c r="AV1074" s="15" t="s">
        <v>162</v>
      </c>
      <c r="AW1074" s="15" t="s">
        <v>20966</v>
      </c>
      <c r="AX1074" s="15" t="s">
        <v>20967</v>
      </c>
      <c r="AY1074" s="15" t="s">
        <v>20968</v>
      </c>
      <c r="AZ1074" s="15" t="s">
        <v>164</v>
      </c>
      <c r="BA1074" s="15" t="s">
        <v>165</v>
      </c>
      <c r="BB1074" s="15" t="s">
        <v>20969</v>
      </c>
      <c r="BC1074" s="15" t="s">
        <v>20970</v>
      </c>
      <c r="BD1074" s="21">
        <v>10</v>
      </c>
      <c r="BE1074" s="15" t="s">
        <v>138</v>
      </c>
      <c r="BF1074" s="15" t="s">
        <v>138</v>
      </c>
      <c r="BG1074" s="15" t="s">
        <v>138</v>
      </c>
      <c r="BH1074" s="15" t="s">
        <v>20971</v>
      </c>
      <c r="BI1074" s="15" t="s">
        <v>138</v>
      </c>
      <c r="BJ1074" s="15" t="s">
        <v>138</v>
      </c>
      <c r="BK1074" s="15" t="s">
        <v>20972</v>
      </c>
      <c r="BL1074" s="15" t="s">
        <v>20973</v>
      </c>
      <c r="BM1074" s="22">
        <v>40598</v>
      </c>
      <c r="BN1074" s="17">
        <v>13.37</v>
      </c>
      <c r="BO1074" s="15" t="s">
        <v>172</v>
      </c>
      <c r="BP1074" s="17">
        <v>74.459999999999994</v>
      </c>
      <c r="BQ1074" s="15" t="s">
        <v>172</v>
      </c>
      <c r="BR1074" s="15" t="s">
        <v>205</v>
      </c>
      <c r="BS1074" s="15" t="s">
        <v>206</v>
      </c>
      <c r="BT1074" s="15" t="s">
        <v>138</v>
      </c>
      <c r="BU1074" s="15" t="s">
        <v>174</v>
      </c>
      <c r="BV1074" s="15" t="s">
        <v>138</v>
      </c>
      <c r="BW1074" s="15" t="s">
        <v>138</v>
      </c>
      <c r="BX1074" s="15" t="s">
        <v>138</v>
      </c>
      <c r="BY1074" s="15" t="s">
        <v>175</v>
      </c>
      <c r="BZ1074" s="22">
        <v>43305</v>
      </c>
      <c r="CA1074" s="17">
        <v>26.81</v>
      </c>
      <c r="CB1074" s="15" t="s">
        <v>172</v>
      </c>
      <c r="CC1074" s="17" t="s">
        <v>138</v>
      </c>
      <c r="CD1074" s="15" t="s">
        <v>138</v>
      </c>
      <c r="CE1074" s="15" t="s">
        <v>173</v>
      </c>
      <c r="CF1074" s="15" t="s">
        <v>138</v>
      </c>
      <c r="CG1074" s="15" t="s">
        <v>138</v>
      </c>
      <c r="CH1074" s="15" t="s">
        <v>174</v>
      </c>
      <c r="CI1074" s="15" t="s">
        <v>138</v>
      </c>
      <c r="CJ1074" s="15" t="s">
        <v>138</v>
      </c>
      <c r="CK1074" s="15" t="s">
        <v>138</v>
      </c>
      <c r="CL1074" s="15" t="s">
        <v>175</v>
      </c>
      <c r="CM1074" s="22" t="s">
        <v>138</v>
      </c>
      <c r="CN1074" s="17" t="s">
        <v>138</v>
      </c>
      <c r="CO1074" s="23">
        <v>0.16</v>
      </c>
      <c r="CP1074" s="24">
        <v>92</v>
      </c>
      <c r="CQ1074" s="23">
        <v>0.01</v>
      </c>
      <c r="CR1074" s="23">
        <v>5.34</v>
      </c>
      <c r="CS1074" s="23">
        <v>0.3</v>
      </c>
      <c r="CT1074" s="24">
        <v>95</v>
      </c>
      <c r="CU1074" s="23">
        <v>0.02</v>
      </c>
      <c r="CV1074" s="24">
        <v>51</v>
      </c>
      <c r="CW1074" s="23">
        <v>0.3</v>
      </c>
      <c r="CX1074" s="24">
        <v>82</v>
      </c>
      <c r="CY1074" s="23" t="s">
        <v>138</v>
      </c>
      <c r="CZ1074" s="24" t="s">
        <v>138</v>
      </c>
      <c r="DA1074" s="23">
        <v>0.02</v>
      </c>
      <c r="DB1074" s="24">
        <v>58</v>
      </c>
      <c r="DC1074" s="25">
        <v>23.32</v>
      </c>
      <c r="DD1074" s="24">
        <v>95</v>
      </c>
      <c r="DE1074" s="25">
        <v>-0.8</v>
      </c>
      <c r="DF1074" s="23">
        <v>-3.31</v>
      </c>
      <c r="DG1074" s="25">
        <v>14.02</v>
      </c>
      <c r="DH1074" s="24">
        <v>92</v>
      </c>
      <c r="DI1074" s="25">
        <v>32.619999999999997</v>
      </c>
      <c r="DJ1074" s="24">
        <v>93</v>
      </c>
      <c r="DK1074" s="25">
        <v>14.02</v>
      </c>
      <c r="DL1074" s="24">
        <v>89</v>
      </c>
      <c r="DM1074" s="25" t="s">
        <v>138</v>
      </c>
      <c r="DN1074" s="24" t="s">
        <v>138</v>
      </c>
      <c r="DO1074" s="25">
        <v>32.619999999999997</v>
      </c>
      <c r="DP1074" s="24">
        <v>95</v>
      </c>
      <c r="DQ1074" s="24">
        <v>4750</v>
      </c>
      <c r="DR1074" s="26">
        <v>181</v>
      </c>
      <c r="DS1074" s="23">
        <v>3.96</v>
      </c>
      <c r="DT1074" s="24" t="s">
        <v>138</v>
      </c>
      <c r="DU1074" s="26" t="s">
        <v>138</v>
      </c>
      <c r="DV1074" s="23" t="s">
        <v>138</v>
      </c>
      <c r="DW1074" s="24">
        <v>11672</v>
      </c>
      <c r="DX1074" s="27">
        <v>7</v>
      </c>
      <c r="DY1074" s="23">
        <v>0.06</v>
      </c>
      <c r="DZ1074" s="15" t="s">
        <v>178</v>
      </c>
      <c r="EA1074" s="22">
        <v>43622</v>
      </c>
      <c r="EB1074" s="17">
        <v>413</v>
      </c>
      <c r="EC1074" s="22">
        <v>42877</v>
      </c>
      <c r="ED1074" s="15" t="s">
        <v>780</v>
      </c>
      <c r="EE1074" s="14" t="str">
        <f>HYPERLINK("https://my.pitchbook.com?c=51495-58", "View company online")</f>
        <v>View company online</v>
      </c>
    </row>
    <row r="1075" spans="1:135">
      <c r="A1075" s="28" t="s">
        <v>20974</v>
      </c>
      <c r="B1075" s="28" t="s">
        <v>20975</v>
      </c>
      <c r="C1075" s="28" t="s">
        <v>138</v>
      </c>
      <c r="D1075" s="28" t="s">
        <v>138</v>
      </c>
      <c r="E1075" s="28" t="s">
        <v>138</v>
      </c>
      <c r="F1075" s="28" t="s">
        <v>20974</v>
      </c>
      <c r="G1075" s="28" t="s">
        <v>20976</v>
      </c>
      <c r="H1075" s="28" t="s">
        <v>183</v>
      </c>
      <c r="I1075" s="28" t="s">
        <v>725</v>
      </c>
      <c r="J1075" s="28" t="s">
        <v>726</v>
      </c>
      <c r="K1075" s="28" t="s">
        <v>20977</v>
      </c>
      <c r="L1075" s="28" t="s">
        <v>17461</v>
      </c>
      <c r="M1075" s="28" t="s">
        <v>20978</v>
      </c>
      <c r="N1075" s="28" t="s">
        <v>147</v>
      </c>
      <c r="O1075" s="29">
        <v>2.59</v>
      </c>
      <c r="P1075" s="28" t="s">
        <v>610</v>
      </c>
      <c r="Q1075" s="28" t="s">
        <v>149</v>
      </c>
      <c r="R1075" s="28" t="s">
        <v>174</v>
      </c>
      <c r="S1075" s="28" t="s">
        <v>20979</v>
      </c>
      <c r="T1075" s="30">
        <v>5</v>
      </c>
      <c r="U1075" s="28" t="s">
        <v>3592</v>
      </c>
      <c r="V1075" s="28" t="s">
        <v>138</v>
      </c>
      <c r="W1075" s="28" t="s">
        <v>138</v>
      </c>
      <c r="X1075" s="31">
        <v>2013</v>
      </c>
      <c r="Y1075" s="28" t="s">
        <v>138</v>
      </c>
      <c r="Z1075" s="28" t="s">
        <v>138</v>
      </c>
      <c r="AA1075" s="28" t="s">
        <v>138</v>
      </c>
      <c r="AB1075" s="32" t="s">
        <v>138</v>
      </c>
      <c r="AC1075" s="32" t="s">
        <v>138</v>
      </c>
      <c r="AD1075" s="32" t="s">
        <v>138</v>
      </c>
      <c r="AE1075" s="32" t="s">
        <v>138</v>
      </c>
      <c r="AF1075" s="32" t="s">
        <v>138</v>
      </c>
      <c r="AG1075" s="28" t="s">
        <v>138</v>
      </c>
      <c r="AH1075" s="32" t="s">
        <v>138</v>
      </c>
      <c r="AI1075" s="32" t="s">
        <v>138</v>
      </c>
      <c r="AJ1075" s="32" t="s">
        <v>138</v>
      </c>
      <c r="AK1075" s="28" t="s">
        <v>20980</v>
      </c>
      <c r="AL1075" s="28" t="s">
        <v>20981</v>
      </c>
      <c r="AM1075" s="28" t="s">
        <v>986</v>
      </c>
      <c r="AN1075" s="28" t="s">
        <v>20982</v>
      </c>
      <c r="AO1075" s="28" t="s">
        <v>20983</v>
      </c>
      <c r="AP1075" s="28" t="s">
        <v>13084</v>
      </c>
      <c r="AQ1075" s="28" t="s">
        <v>13085</v>
      </c>
      <c r="AR1075" s="28" t="s">
        <v>138</v>
      </c>
      <c r="AS1075" s="28" t="s">
        <v>13086</v>
      </c>
      <c r="AT1075" s="28" t="s">
        <v>200</v>
      </c>
      <c r="AU1075" s="28" t="s">
        <v>13087</v>
      </c>
      <c r="AV1075" s="28" t="s">
        <v>162</v>
      </c>
      <c r="AW1075" s="28" t="s">
        <v>20983</v>
      </c>
      <c r="AX1075" s="28" t="s">
        <v>138</v>
      </c>
      <c r="AY1075" s="28" t="s">
        <v>20984</v>
      </c>
      <c r="AZ1075" s="28" t="s">
        <v>164</v>
      </c>
      <c r="BA1075" s="28" t="s">
        <v>165</v>
      </c>
      <c r="BB1075" s="28" t="s">
        <v>20985</v>
      </c>
      <c r="BC1075" s="28" t="s">
        <v>20986</v>
      </c>
      <c r="BD1075" s="33">
        <v>9</v>
      </c>
      <c r="BE1075" s="28" t="s">
        <v>138</v>
      </c>
      <c r="BF1075" s="28" t="s">
        <v>138</v>
      </c>
      <c r="BG1075" s="28" t="s">
        <v>138</v>
      </c>
      <c r="BH1075" s="28" t="s">
        <v>20987</v>
      </c>
      <c r="BI1075" s="28" t="s">
        <v>138</v>
      </c>
      <c r="BJ1075" s="28" t="s">
        <v>138</v>
      </c>
      <c r="BK1075" s="28" t="s">
        <v>290</v>
      </c>
      <c r="BL1075" s="28" t="s">
        <v>290</v>
      </c>
      <c r="BM1075" s="34" t="s">
        <v>138</v>
      </c>
      <c r="BN1075" s="29" t="s">
        <v>138</v>
      </c>
      <c r="BO1075" s="28" t="s">
        <v>138</v>
      </c>
      <c r="BP1075" s="29" t="s">
        <v>138</v>
      </c>
      <c r="BQ1075" s="28" t="s">
        <v>138</v>
      </c>
      <c r="BR1075" s="28" t="s">
        <v>5214</v>
      </c>
      <c r="BS1075" s="28" t="s">
        <v>138</v>
      </c>
      <c r="BT1075" s="28" t="s">
        <v>138</v>
      </c>
      <c r="BU1075" s="28" t="s">
        <v>263</v>
      </c>
      <c r="BV1075" s="28" t="s">
        <v>138</v>
      </c>
      <c r="BW1075" s="28" t="s">
        <v>138</v>
      </c>
      <c r="BX1075" s="28" t="s">
        <v>138</v>
      </c>
      <c r="BY1075" s="28" t="s">
        <v>175</v>
      </c>
      <c r="BZ1075" s="34">
        <v>42815</v>
      </c>
      <c r="CA1075" s="29" t="s">
        <v>138</v>
      </c>
      <c r="CB1075" s="28" t="s">
        <v>138</v>
      </c>
      <c r="CC1075" s="29" t="s">
        <v>138</v>
      </c>
      <c r="CD1075" s="28" t="s">
        <v>138</v>
      </c>
      <c r="CE1075" s="28" t="s">
        <v>316</v>
      </c>
      <c r="CF1075" s="28" t="s">
        <v>138</v>
      </c>
      <c r="CG1075" s="28" t="s">
        <v>138</v>
      </c>
      <c r="CH1075" s="28" t="s">
        <v>177</v>
      </c>
      <c r="CI1075" s="28" t="s">
        <v>138</v>
      </c>
      <c r="CJ1075" s="28" t="s">
        <v>138</v>
      </c>
      <c r="CK1075" s="28" t="s">
        <v>138</v>
      </c>
      <c r="CL1075" s="28" t="s">
        <v>175</v>
      </c>
      <c r="CM1075" s="34" t="s">
        <v>138</v>
      </c>
      <c r="CN1075" s="29" t="s">
        <v>138</v>
      </c>
      <c r="CO1075" s="35">
        <v>-0.78</v>
      </c>
      <c r="CP1075" s="36">
        <v>13</v>
      </c>
      <c r="CQ1075" s="35">
        <v>-0.03</v>
      </c>
      <c r="CR1075" s="35">
        <v>-4.55</v>
      </c>
      <c r="CS1075" s="35">
        <v>-2.09</v>
      </c>
      <c r="CT1075" s="36">
        <v>8</v>
      </c>
      <c r="CU1075" s="35">
        <v>0.52</v>
      </c>
      <c r="CV1075" s="36">
        <v>94</v>
      </c>
      <c r="CW1075" s="35">
        <v>-2.09</v>
      </c>
      <c r="CX1075" s="36">
        <v>7</v>
      </c>
      <c r="CY1075" s="35" t="s">
        <v>138</v>
      </c>
      <c r="CZ1075" s="36" t="s">
        <v>138</v>
      </c>
      <c r="DA1075" s="35">
        <v>0.52</v>
      </c>
      <c r="DB1075" s="36">
        <v>94</v>
      </c>
      <c r="DC1075" s="37">
        <v>1.53</v>
      </c>
      <c r="DD1075" s="36">
        <v>61</v>
      </c>
      <c r="DE1075" s="37">
        <v>-0.02</v>
      </c>
      <c r="DF1075" s="35">
        <v>-1.18</v>
      </c>
      <c r="DG1075" s="37">
        <v>0.4</v>
      </c>
      <c r="DH1075" s="36">
        <v>29</v>
      </c>
      <c r="DI1075" s="37">
        <v>2.66</v>
      </c>
      <c r="DJ1075" s="36">
        <v>67</v>
      </c>
      <c r="DK1075" s="37">
        <v>0.4</v>
      </c>
      <c r="DL1075" s="36">
        <v>27</v>
      </c>
      <c r="DM1075" s="37" t="s">
        <v>138</v>
      </c>
      <c r="DN1075" s="36" t="s">
        <v>138</v>
      </c>
      <c r="DO1075" s="37">
        <v>2.66</v>
      </c>
      <c r="DP1075" s="36">
        <v>69</v>
      </c>
      <c r="DQ1075" s="36">
        <v>192</v>
      </c>
      <c r="DR1075" s="38">
        <v>-166</v>
      </c>
      <c r="DS1075" s="35">
        <v>-46.37</v>
      </c>
      <c r="DT1075" s="36" t="s">
        <v>138</v>
      </c>
      <c r="DU1075" s="38" t="s">
        <v>138</v>
      </c>
      <c r="DV1075" s="35" t="s">
        <v>138</v>
      </c>
      <c r="DW1075" s="36">
        <v>954</v>
      </c>
      <c r="DX1075" s="39">
        <v>-1</v>
      </c>
      <c r="DY1075" s="35">
        <v>-0.1</v>
      </c>
      <c r="DZ1075" s="28" t="s">
        <v>178</v>
      </c>
      <c r="EA1075" s="34">
        <v>43488</v>
      </c>
      <c r="EB1075" s="29">
        <v>9.92</v>
      </c>
      <c r="EC1075" s="34">
        <v>42581</v>
      </c>
      <c r="ED1075" s="28" t="s">
        <v>205</v>
      </c>
      <c r="EE1075" s="40" t="str">
        <f>HYPERLINK("https://my.pitchbook.com?c=156549-97", "View company online")</f>
        <v>View company online</v>
      </c>
    </row>
    <row r="1076" spans="1:135">
      <c r="A1076" s="15" t="s">
        <v>20988</v>
      </c>
      <c r="B1076" s="15" t="s">
        <v>20989</v>
      </c>
      <c r="C1076" s="15" t="s">
        <v>138</v>
      </c>
      <c r="D1076" s="15" t="s">
        <v>138</v>
      </c>
      <c r="E1076" s="15" t="s">
        <v>20990</v>
      </c>
      <c r="F1076" s="15" t="s">
        <v>20988</v>
      </c>
      <c r="G1076" s="15" t="s">
        <v>20991</v>
      </c>
      <c r="H1076" s="15" t="s">
        <v>322</v>
      </c>
      <c r="I1076" s="15" t="s">
        <v>323</v>
      </c>
      <c r="J1076" s="15" t="s">
        <v>2984</v>
      </c>
      <c r="K1076" s="15" t="s">
        <v>5783</v>
      </c>
      <c r="L1076" s="15" t="s">
        <v>215</v>
      </c>
      <c r="M1076" s="15" t="s">
        <v>20992</v>
      </c>
      <c r="N1076" s="15" t="s">
        <v>147</v>
      </c>
      <c r="O1076" s="17">
        <v>42.2</v>
      </c>
      <c r="P1076" s="15" t="s">
        <v>148</v>
      </c>
      <c r="Q1076" s="15" t="s">
        <v>149</v>
      </c>
      <c r="R1076" s="15" t="s">
        <v>174</v>
      </c>
      <c r="S1076" s="15" t="s">
        <v>20993</v>
      </c>
      <c r="T1076" s="18" t="s">
        <v>138</v>
      </c>
      <c r="U1076" s="15" t="s">
        <v>138</v>
      </c>
      <c r="V1076" s="15" t="s">
        <v>138</v>
      </c>
      <c r="W1076" s="15" t="s">
        <v>138</v>
      </c>
      <c r="X1076" s="19">
        <v>2014</v>
      </c>
      <c r="Y1076" s="15" t="s">
        <v>138</v>
      </c>
      <c r="Z1076" s="15" t="s">
        <v>138</v>
      </c>
      <c r="AA1076" s="15" t="s">
        <v>138</v>
      </c>
      <c r="AB1076" s="20" t="s">
        <v>138</v>
      </c>
      <c r="AC1076" s="20" t="s">
        <v>138</v>
      </c>
      <c r="AD1076" s="20" t="s">
        <v>138</v>
      </c>
      <c r="AE1076" s="20" t="s">
        <v>138</v>
      </c>
      <c r="AF1076" s="20" t="s">
        <v>138</v>
      </c>
      <c r="AG1076" s="15" t="s">
        <v>138</v>
      </c>
      <c r="AH1076" s="20" t="s">
        <v>138</v>
      </c>
      <c r="AI1076" s="20" t="s">
        <v>138</v>
      </c>
      <c r="AJ1076" s="20" t="s">
        <v>138</v>
      </c>
      <c r="AK1076" s="15" t="s">
        <v>20994</v>
      </c>
      <c r="AL1076" s="15" t="s">
        <v>20995</v>
      </c>
      <c r="AM1076" s="15" t="s">
        <v>304</v>
      </c>
      <c r="AN1076" s="15" t="s">
        <v>20996</v>
      </c>
      <c r="AO1076" s="15" t="s">
        <v>20997</v>
      </c>
      <c r="AP1076" s="15" t="s">
        <v>2649</v>
      </c>
      <c r="AQ1076" s="15" t="s">
        <v>20998</v>
      </c>
      <c r="AR1076" s="15" t="s">
        <v>20999</v>
      </c>
      <c r="AS1076" s="15" t="s">
        <v>2651</v>
      </c>
      <c r="AT1076" s="15" t="s">
        <v>200</v>
      </c>
      <c r="AU1076" s="15" t="s">
        <v>2652</v>
      </c>
      <c r="AV1076" s="15" t="s">
        <v>162</v>
      </c>
      <c r="AW1076" s="15" t="s">
        <v>20997</v>
      </c>
      <c r="AX1076" s="15" t="s">
        <v>138</v>
      </c>
      <c r="AY1076" s="15" t="s">
        <v>21000</v>
      </c>
      <c r="AZ1076" s="15" t="s">
        <v>164</v>
      </c>
      <c r="BA1076" s="15" t="s">
        <v>165</v>
      </c>
      <c r="BB1076" s="15" t="s">
        <v>21001</v>
      </c>
      <c r="BC1076" s="15" t="s">
        <v>21002</v>
      </c>
      <c r="BD1076" s="21">
        <v>7</v>
      </c>
      <c r="BE1076" s="15" t="s">
        <v>138</v>
      </c>
      <c r="BF1076" s="15" t="s">
        <v>138</v>
      </c>
      <c r="BG1076" s="15" t="s">
        <v>138</v>
      </c>
      <c r="BH1076" s="15" t="s">
        <v>21003</v>
      </c>
      <c r="BI1076" s="15" t="s">
        <v>138</v>
      </c>
      <c r="BJ1076" s="15" t="s">
        <v>138</v>
      </c>
      <c r="BK1076" s="15" t="s">
        <v>432</v>
      </c>
      <c r="BL1076" s="15" t="s">
        <v>432</v>
      </c>
      <c r="BM1076" s="22">
        <v>42177</v>
      </c>
      <c r="BN1076" s="17">
        <v>6.2</v>
      </c>
      <c r="BO1076" s="15" t="s">
        <v>172</v>
      </c>
      <c r="BP1076" s="17">
        <v>26.2</v>
      </c>
      <c r="BQ1076" s="15" t="s">
        <v>172</v>
      </c>
      <c r="BR1076" s="15" t="s">
        <v>205</v>
      </c>
      <c r="BS1076" s="15" t="s">
        <v>206</v>
      </c>
      <c r="BT1076" s="15" t="s">
        <v>138</v>
      </c>
      <c r="BU1076" s="15" t="s">
        <v>174</v>
      </c>
      <c r="BV1076" s="15" t="s">
        <v>138</v>
      </c>
      <c r="BW1076" s="15" t="s">
        <v>138</v>
      </c>
      <c r="BX1076" s="15" t="s">
        <v>138</v>
      </c>
      <c r="BY1076" s="15" t="s">
        <v>175</v>
      </c>
      <c r="BZ1076" s="22">
        <v>43501</v>
      </c>
      <c r="CA1076" s="17">
        <v>24</v>
      </c>
      <c r="CB1076" s="15" t="s">
        <v>172</v>
      </c>
      <c r="CC1076" s="17">
        <v>190</v>
      </c>
      <c r="CD1076" s="15" t="s">
        <v>172</v>
      </c>
      <c r="CE1076" s="15" t="s">
        <v>173</v>
      </c>
      <c r="CF1076" s="15" t="s">
        <v>317</v>
      </c>
      <c r="CG1076" s="15" t="s">
        <v>138</v>
      </c>
      <c r="CH1076" s="15" t="s">
        <v>174</v>
      </c>
      <c r="CI1076" s="15" t="s">
        <v>138</v>
      </c>
      <c r="CJ1076" s="15" t="s">
        <v>138</v>
      </c>
      <c r="CK1076" s="15" t="s">
        <v>138</v>
      </c>
      <c r="CL1076" s="15" t="s">
        <v>175</v>
      </c>
      <c r="CM1076" s="22" t="s">
        <v>138</v>
      </c>
      <c r="CN1076" s="17" t="s">
        <v>138</v>
      </c>
      <c r="CO1076" s="23">
        <v>1.93</v>
      </c>
      <c r="CP1076" s="24">
        <v>99</v>
      </c>
      <c r="CQ1076" s="23">
        <v>-0.08</v>
      </c>
      <c r="CR1076" s="23">
        <v>-3.75</v>
      </c>
      <c r="CS1076" s="23">
        <v>3.43</v>
      </c>
      <c r="CT1076" s="24">
        <v>99</v>
      </c>
      <c r="CU1076" s="23">
        <v>0.43</v>
      </c>
      <c r="CV1076" s="24">
        <v>92</v>
      </c>
      <c r="CW1076" s="23">
        <v>7.68</v>
      </c>
      <c r="CX1076" s="24">
        <v>98</v>
      </c>
      <c r="CY1076" s="23">
        <v>-0.83</v>
      </c>
      <c r="CZ1076" s="24">
        <v>20</v>
      </c>
      <c r="DA1076" s="23">
        <v>0.87</v>
      </c>
      <c r="DB1076" s="24">
        <v>97</v>
      </c>
      <c r="DC1076" s="25">
        <v>3.34</v>
      </c>
      <c r="DD1076" s="24">
        <v>77</v>
      </c>
      <c r="DE1076" s="25">
        <v>-0.17</v>
      </c>
      <c r="DF1076" s="23">
        <v>-4.88</v>
      </c>
      <c r="DG1076" s="25">
        <v>6.18</v>
      </c>
      <c r="DH1076" s="24">
        <v>85</v>
      </c>
      <c r="DI1076" s="25">
        <v>0.49</v>
      </c>
      <c r="DJ1076" s="24">
        <v>36</v>
      </c>
      <c r="DK1076" s="25">
        <v>5.39</v>
      </c>
      <c r="DL1076" s="24">
        <v>80</v>
      </c>
      <c r="DM1076" s="25">
        <v>6.97</v>
      </c>
      <c r="DN1076" s="24">
        <v>85</v>
      </c>
      <c r="DO1076" s="25">
        <v>0.89</v>
      </c>
      <c r="DP1076" s="24">
        <v>48</v>
      </c>
      <c r="DQ1076" s="24">
        <v>1808</v>
      </c>
      <c r="DR1076" s="26">
        <v>125</v>
      </c>
      <c r="DS1076" s="23">
        <v>7.43</v>
      </c>
      <c r="DT1076" s="24">
        <v>202</v>
      </c>
      <c r="DU1076" s="26">
        <v>0</v>
      </c>
      <c r="DV1076" s="23">
        <v>0</v>
      </c>
      <c r="DW1076" s="24">
        <v>315</v>
      </c>
      <c r="DX1076" s="27">
        <v>-1</v>
      </c>
      <c r="DY1076" s="23">
        <v>-0.32</v>
      </c>
      <c r="DZ1076" s="15" t="s">
        <v>178</v>
      </c>
      <c r="EA1076" s="22">
        <v>43502</v>
      </c>
      <c r="EB1076" s="17">
        <v>190</v>
      </c>
      <c r="EC1076" s="22">
        <v>43501</v>
      </c>
      <c r="ED1076" s="15" t="s">
        <v>173</v>
      </c>
      <c r="EE1076" s="14" t="str">
        <f>HYPERLINK("https://my.pitchbook.com?c=115616-17", "View company online")</f>
        <v>View company online</v>
      </c>
    </row>
    <row r="1077" spans="1:135">
      <c r="A1077" s="28" t="s">
        <v>21004</v>
      </c>
      <c r="B1077" s="28" t="s">
        <v>21005</v>
      </c>
      <c r="C1077" s="28" t="s">
        <v>138</v>
      </c>
      <c r="D1077" s="28" t="s">
        <v>138</v>
      </c>
      <c r="E1077" s="28" t="s">
        <v>138</v>
      </c>
      <c r="F1077" s="28" t="s">
        <v>21004</v>
      </c>
      <c r="G1077" s="28" t="s">
        <v>21006</v>
      </c>
      <c r="H1077" s="28" t="s">
        <v>238</v>
      </c>
      <c r="I1077" s="28" t="s">
        <v>749</v>
      </c>
      <c r="J1077" s="28" t="s">
        <v>4261</v>
      </c>
      <c r="K1077" s="28" t="s">
        <v>7738</v>
      </c>
      <c r="L1077" s="28" t="s">
        <v>272</v>
      </c>
      <c r="M1077" s="28" t="s">
        <v>21007</v>
      </c>
      <c r="N1077" s="28" t="s">
        <v>147</v>
      </c>
      <c r="O1077" s="29" t="s">
        <v>138</v>
      </c>
      <c r="P1077" s="28" t="s">
        <v>148</v>
      </c>
      <c r="Q1077" s="28" t="s">
        <v>149</v>
      </c>
      <c r="R1077" s="28" t="s">
        <v>174</v>
      </c>
      <c r="S1077" s="28" t="s">
        <v>21008</v>
      </c>
      <c r="T1077" s="30" t="s">
        <v>138</v>
      </c>
      <c r="U1077" s="28" t="s">
        <v>138</v>
      </c>
      <c r="V1077" s="28" t="s">
        <v>138</v>
      </c>
      <c r="W1077" s="28" t="s">
        <v>138</v>
      </c>
      <c r="X1077" s="31">
        <v>2012</v>
      </c>
      <c r="Y1077" s="28" t="s">
        <v>138</v>
      </c>
      <c r="Z1077" s="28" t="s">
        <v>138</v>
      </c>
      <c r="AA1077" s="28" t="s">
        <v>138</v>
      </c>
      <c r="AB1077" s="32" t="s">
        <v>138</v>
      </c>
      <c r="AC1077" s="32" t="s">
        <v>138</v>
      </c>
      <c r="AD1077" s="32" t="s">
        <v>138</v>
      </c>
      <c r="AE1077" s="32" t="s">
        <v>138</v>
      </c>
      <c r="AF1077" s="32" t="s">
        <v>138</v>
      </c>
      <c r="AG1077" s="28" t="s">
        <v>138</v>
      </c>
      <c r="AH1077" s="32" t="s">
        <v>138</v>
      </c>
      <c r="AI1077" s="32" t="s">
        <v>138</v>
      </c>
      <c r="AJ1077" s="32" t="s">
        <v>138</v>
      </c>
      <c r="AK1077" s="28" t="s">
        <v>21009</v>
      </c>
      <c r="AL1077" s="28" t="s">
        <v>21010</v>
      </c>
      <c r="AM1077" s="28" t="s">
        <v>566</v>
      </c>
      <c r="AN1077" s="28" t="s">
        <v>21011</v>
      </c>
      <c r="AO1077" s="28" t="s">
        <v>138</v>
      </c>
      <c r="AP1077" s="28" t="s">
        <v>4463</v>
      </c>
      <c r="AQ1077" s="28" t="s">
        <v>21012</v>
      </c>
      <c r="AR1077" s="28" t="s">
        <v>138</v>
      </c>
      <c r="AS1077" s="28" t="s">
        <v>4466</v>
      </c>
      <c r="AT1077" s="28" t="s">
        <v>426</v>
      </c>
      <c r="AU1077" s="28" t="s">
        <v>21013</v>
      </c>
      <c r="AV1077" s="28" t="s">
        <v>162</v>
      </c>
      <c r="AW1077" s="28" t="s">
        <v>138</v>
      </c>
      <c r="AX1077" s="28" t="s">
        <v>138</v>
      </c>
      <c r="AY1077" s="28" t="s">
        <v>21014</v>
      </c>
      <c r="AZ1077" s="28" t="s">
        <v>164</v>
      </c>
      <c r="BA1077" s="28" t="s">
        <v>165</v>
      </c>
      <c r="BB1077" s="28" t="s">
        <v>21015</v>
      </c>
      <c r="BC1077" s="28" t="s">
        <v>2783</v>
      </c>
      <c r="BD1077" s="33">
        <v>1</v>
      </c>
      <c r="BE1077" s="28" t="s">
        <v>138</v>
      </c>
      <c r="BF1077" s="28" t="s">
        <v>138</v>
      </c>
      <c r="BG1077" s="28" t="s">
        <v>138</v>
      </c>
      <c r="BH1077" s="28" t="s">
        <v>2784</v>
      </c>
      <c r="BI1077" s="28" t="s">
        <v>138</v>
      </c>
      <c r="BJ1077" s="28" t="s">
        <v>138</v>
      </c>
      <c r="BK1077" s="28" t="s">
        <v>138</v>
      </c>
      <c r="BL1077" s="28" t="s">
        <v>21016</v>
      </c>
      <c r="BM1077" s="34">
        <v>42370</v>
      </c>
      <c r="BN1077" s="29" t="s">
        <v>138</v>
      </c>
      <c r="BO1077" s="28" t="s">
        <v>138</v>
      </c>
      <c r="BP1077" s="29" t="s">
        <v>138</v>
      </c>
      <c r="BQ1077" s="28" t="s">
        <v>138</v>
      </c>
      <c r="BR1077" s="28" t="s">
        <v>205</v>
      </c>
      <c r="BS1077" s="28" t="s">
        <v>138</v>
      </c>
      <c r="BT1077" s="28" t="s">
        <v>138</v>
      </c>
      <c r="BU1077" s="28" t="s">
        <v>174</v>
      </c>
      <c r="BV1077" s="28" t="s">
        <v>138</v>
      </c>
      <c r="BW1077" s="28" t="s">
        <v>138</v>
      </c>
      <c r="BX1077" s="28" t="s">
        <v>138</v>
      </c>
      <c r="BY1077" s="28" t="s">
        <v>175</v>
      </c>
      <c r="BZ1077" s="34">
        <v>42370</v>
      </c>
      <c r="CA1077" s="29" t="s">
        <v>138</v>
      </c>
      <c r="CB1077" s="28" t="s">
        <v>138</v>
      </c>
      <c r="CC1077" s="29" t="s">
        <v>138</v>
      </c>
      <c r="CD1077" s="28" t="s">
        <v>138</v>
      </c>
      <c r="CE1077" s="28" t="s">
        <v>205</v>
      </c>
      <c r="CF1077" s="28" t="s">
        <v>138</v>
      </c>
      <c r="CG1077" s="28" t="s">
        <v>138</v>
      </c>
      <c r="CH1077" s="28" t="s">
        <v>174</v>
      </c>
      <c r="CI1077" s="28" t="s">
        <v>138</v>
      </c>
      <c r="CJ1077" s="28" t="s">
        <v>138</v>
      </c>
      <c r="CK1077" s="28" t="s">
        <v>138</v>
      </c>
      <c r="CL1077" s="28" t="s">
        <v>175</v>
      </c>
      <c r="CM1077" s="34" t="s">
        <v>138</v>
      </c>
      <c r="CN1077" s="29" t="s">
        <v>138</v>
      </c>
      <c r="CO1077" s="35">
        <v>-0.01</v>
      </c>
      <c r="CP1077" s="36">
        <v>25</v>
      </c>
      <c r="CQ1077" s="35">
        <v>0.02</v>
      </c>
      <c r="CR1077" s="35">
        <v>61.43</v>
      </c>
      <c r="CS1077" s="35">
        <v>-0.41</v>
      </c>
      <c r="CT1077" s="36">
        <v>20</v>
      </c>
      <c r="CU1077" s="35">
        <v>0.39</v>
      </c>
      <c r="CV1077" s="36">
        <v>91</v>
      </c>
      <c r="CW1077" s="35">
        <v>0</v>
      </c>
      <c r="CX1077" s="36">
        <v>13</v>
      </c>
      <c r="CY1077" s="35">
        <v>-0.83</v>
      </c>
      <c r="CZ1077" s="36">
        <v>20</v>
      </c>
      <c r="DA1077" s="35">
        <v>0.39</v>
      </c>
      <c r="DB1077" s="36">
        <v>92</v>
      </c>
      <c r="DC1077" s="37">
        <v>1.38</v>
      </c>
      <c r="DD1077" s="36">
        <v>59</v>
      </c>
      <c r="DE1077" s="37">
        <v>-0.01</v>
      </c>
      <c r="DF1077" s="35">
        <v>-0.41</v>
      </c>
      <c r="DG1077" s="37">
        <v>1.85</v>
      </c>
      <c r="DH1077" s="36">
        <v>65</v>
      </c>
      <c r="DI1077" s="37">
        <v>0.91</v>
      </c>
      <c r="DJ1077" s="36">
        <v>47</v>
      </c>
      <c r="DK1077" s="37">
        <v>0.39</v>
      </c>
      <c r="DL1077" s="36">
        <v>26</v>
      </c>
      <c r="DM1077" s="37">
        <v>3.31</v>
      </c>
      <c r="DN1077" s="36">
        <v>75</v>
      </c>
      <c r="DO1077" s="37">
        <v>0.91</v>
      </c>
      <c r="DP1077" s="36">
        <v>49</v>
      </c>
      <c r="DQ1077" s="36">
        <v>144</v>
      </c>
      <c r="DR1077" s="38">
        <v>-34</v>
      </c>
      <c r="DS1077" s="35">
        <v>-19.100000000000001</v>
      </c>
      <c r="DT1077" s="36">
        <v>96</v>
      </c>
      <c r="DU1077" s="38">
        <v>1</v>
      </c>
      <c r="DV1077" s="35">
        <v>1.05</v>
      </c>
      <c r="DW1077" s="36">
        <v>326</v>
      </c>
      <c r="DX1077" s="39">
        <v>2</v>
      </c>
      <c r="DY1077" s="35">
        <v>0.62</v>
      </c>
      <c r="DZ1077" s="28" t="s">
        <v>178</v>
      </c>
      <c r="EA1077" s="34">
        <v>43607</v>
      </c>
      <c r="EB1077" s="29" t="s">
        <v>138</v>
      </c>
      <c r="EC1077" s="34" t="s">
        <v>138</v>
      </c>
      <c r="ED1077" s="28" t="s">
        <v>138</v>
      </c>
      <c r="EE1077" s="40" t="str">
        <f>HYPERLINK("https://my.pitchbook.com?c=226731-16", "View company online")</f>
        <v>View company online</v>
      </c>
    </row>
    <row r="1078" spans="1:135">
      <c r="A1078" s="15" t="s">
        <v>21017</v>
      </c>
      <c r="B1078" s="15" t="s">
        <v>21018</v>
      </c>
      <c r="C1078" s="15" t="s">
        <v>21019</v>
      </c>
      <c r="D1078" s="15" t="s">
        <v>138</v>
      </c>
      <c r="E1078" s="15" t="s">
        <v>21020</v>
      </c>
      <c r="F1078" s="15" t="s">
        <v>21017</v>
      </c>
      <c r="G1078" s="15" t="s">
        <v>21021</v>
      </c>
      <c r="H1078" s="15" t="s">
        <v>322</v>
      </c>
      <c r="I1078" s="15" t="s">
        <v>356</v>
      </c>
      <c r="J1078" s="15" t="s">
        <v>3852</v>
      </c>
      <c r="K1078" s="15" t="s">
        <v>21022</v>
      </c>
      <c r="L1078" s="15" t="s">
        <v>4640</v>
      </c>
      <c r="M1078" s="15" t="s">
        <v>21023</v>
      </c>
      <c r="N1078" s="15" t="s">
        <v>147</v>
      </c>
      <c r="O1078" s="17">
        <v>10.4</v>
      </c>
      <c r="P1078" s="15" t="s">
        <v>148</v>
      </c>
      <c r="Q1078" s="15" t="s">
        <v>149</v>
      </c>
      <c r="R1078" s="15" t="s">
        <v>174</v>
      </c>
      <c r="S1078" s="15" t="s">
        <v>21024</v>
      </c>
      <c r="T1078" s="18">
        <v>25</v>
      </c>
      <c r="U1078" s="15" t="s">
        <v>10122</v>
      </c>
      <c r="V1078" s="15" t="s">
        <v>138</v>
      </c>
      <c r="W1078" s="15" t="s">
        <v>138</v>
      </c>
      <c r="X1078" s="19">
        <v>2012</v>
      </c>
      <c r="Y1078" s="15" t="s">
        <v>138</v>
      </c>
      <c r="Z1078" s="15" t="s">
        <v>138</v>
      </c>
      <c r="AA1078" s="15" t="s">
        <v>138</v>
      </c>
      <c r="AB1078" s="20" t="s">
        <v>138</v>
      </c>
      <c r="AC1078" s="20" t="s">
        <v>138</v>
      </c>
      <c r="AD1078" s="20" t="s">
        <v>138</v>
      </c>
      <c r="AE1078" s="20" t="s">
        <v>138</v>
      </c>
      <c r="AF1078" s="20" t="s">
        <v>138</v>
      </c>
      <c r="AG1078" s="15" t="s">
        <v>138</v>
      </c>
      <c r="AH1078" s="20" t="s">
        <v>138</v>
      </c>
      <c r="AI1078" s="20" t="s">
        <v>138</v>
      </c>
      <c r="AJ1078" s="20" t="s">
        <v>138</v>
      </c>
      <c r="AK1078" s="15" t="s">
        <v>21025</v>
      </c>
      <c r="AL1078" s="15" t="s">
        <v>21026</v>
      </c>
      <c r="AM1078" s="15" t="s">
        <v>21027</v>
      </c>
      <c r="AN1078" s="15" t="s">
        <v>21028</v>
      </c>
      <c r="AO1078" s="15" t="s">
        <v>21029</v>
      </c>
      <c r="AP1078" s="15" t="s">
        <v>2649</v>
      </c>
      <c r="AQ1078" s="15" t="s">
        <v>21030</v>
      </c>
      <c r="AR1078" s="15" t="s">
        <v>158</v>
      </c>
      <c r="AS1078" s="15" t="s">
        <v>2651</v>
      </c>
      <c r="AT1078" s="15" t="s">
        <v>200</v>
      </c>
      <c r="AU1078" s="15" t="s">
        <v>2652</v>
      </c>
      <c r="AV1078" s="15" t="s">
        <v>162</v>
      </c>
      <c r="AW1078" s="15" t="s">
        <v>21031</v>
      </c>
      <c r="AX1078" s="15" t="s">
        <v>138</v>
      </c>
      <c r="AY1078" s="15" t="s">
        <v>21032</v>
      </c>
      <c r="AZ1078" s="15" t="s">
        <v>164</v>
      </c>
      <c r="BA1078" s="15" t="s">
        <v>165</v>
      </c>
      <c r="BB1078" s="15" t="s">
        <v>21033</v>
      </c>
      <c r="BC1078" s="15" t="s">
        <v>21034</v>
      </c>
      <c r="BD1078" s="21">
        <v>3</v>
      </c>
      <c r="BE1078" s="15" t="s">
        <v>138</v>
      </c>
      <c r="BF1078" s="15" t="s">
        <v>138</v>
      </c>
      <c r="BG1078" s="15" t="s">
        <v>138</v>
      </c>
      <c r="BH1078" s="15" t="s">
        <v>21035</v>
      </c>
      <c r="BI1078" s="15" t="s">
        <v>138</v>
      </c>
      <c r="BJ1078" s="15" t="s">
        <v>138</v>
      </c>
      <c r="BK1078" s="15" t="s">
        <v>21036</v>
      </c>
      <c r="BL1078" s="15" t="s">
        <v>315</v>
      </c>
      <c r="BM1078" s="22">
        <v>41982</v>
      </c>
      <c r="BN1078" s="17" t="s">
        <v>138</v>
      </c>
      <c r="BO1078" s="15" t="s">
        <v>138</v>
      </c>
      <c r="BP1078" s="17" t="s">
        <v>138</v>
      </c>
      <c r="BQ1078" s="15" t="s">
        <v>138</v>
      </c>
      <c r="BR1078" s="15" t="s">
        <v>205</v>
      </c>
      <c r="BS1078" s="15" t="s">
        <v>138</v>
      </c>
      <c r="BT1078" s="15" t="s">
        <v>138</v>
      </c>
      <c r="BU1078" s="15" t="s">
        <v>174</v>
      </c>
      <c r="BV1078" s="15" t="s">
        <v>138</v>
      </c>
      <c r="BW1078" s="15" t="s">
        <v>138</v>
      </c>
      <c r="BX1078" s="15" t="s">
        <v>138</v>
      </c>
      <c r="BY1078" s="15" t="s">
        <v>175</v>
      </c>
      <c r="BZ1078" s="22">
        <v>43080</v>
      </c>
      <c r="CA1078" s="17">
        <v>0.4</v>
      </c>
      <c r="CB1078" s="15" t="s">
        <v>172</v>
      </c>
      <c r="CC1078" s="17" t="s">
        <v>138</v>
      </c>
      <c r="CD1078" s="15" t="s">
        <v>138</v>
      </c>
      <c r="CE1078" s="15" t="s">
        <v>205</v>
      </c>
      <c r="CF1078" s="15" t="s">
        <v>138</v>
      </c>
      <c r="CG1078" s="15" t="s">
        <v>138</v>
      </c>
      <c r="CH1078" s="15" t="s">
        <v>174</v>
      </c>
      <c r="CI1078" s="15" t="s">
        <v>264</v>
      </c>
      <c r="CJ1078" s="15" t="s">
        <v>138</v>
      </c>
      <c r="CK1078" s="15" t="s">
        <v>138</v>
      </c>
      <c r="CL1078" s="15" t="s">
        <v>352</v>
      </c>
      <c r="CM1078" s="22" t="s">
        <v>138</v>
      </c>
      <c r="CN1078" s="17" t="s">
        <v>138</v>
      </c>
      <c r="CO1078" s="23">
        <v>-0.01</v>
      </c>
      <c r="CP1078" s="24">
        <v>25</v>
      </c>
      <c r="CQ1078" s="23">
        <v>-0.01</v>
      </c>
      <c r="CR1078" s="23">
        <v>-407.02</v>
      </c>
      <c r="CS1078" s="23">
        <v>0</v>
      </c>
      <c r="CT1078" s="24">
        <v>23</v>
      </c>
      <c r="CU1078" s="23">
        <v>-0.02</v>
      </c>
      <c r="CV1078" s="24">
        <v>17</v>
      </c>
      <c r="CW1078" s="23" t="s">
        <v>138</v>
      </c>
      <c r="CX1078" s="24" t="s">
        <v>138</v>
      </c>
      <c r="CY1078" s="23">
        <v>0</v>
      </c>
      <c r="CZ1078" s="24">
        <v>25</v>
      </c>
      <c r="DA1078" s="23">
        <v>-0.03</v>
      </c>
      <c r="DB1078" s="24">
        <v>17</v>
      </c>
      <c r="DC1078" s="25">
        <v>1.73</v>
      </c>
      <c r="DD1078" s="24">
        <v>64</v>
      </c>
      <c r="DE1078" s="25">
        <v>0.01</v>
      </c>
      <c r="DF1078" s="23">
        <v>0.34</v>
      </c>
      <c r="DG1078" s="25">
        <v>0.83</v>
      </c>
      <c r="DH1078" s="24">
        <v>46</v>
      </c>
      <c r="DI1078" s="25">
        <v>2.63</v>
      </c>
      <c r="DJ1078" s="24">
        <v>67</v>
      </c>
      <c r="DK1078" s="25" t="s">
        <v>138</v>
      </c>
      <c r="DL1078" s="24" t="s">
        <v>138</v>
      </c>
      <c r="DM1078" s="25">
        <v>0.83</v>
      </c>
      <c r="DN1078" s="24">
        <v>46</v>
      </c>
      <c r="DO1078" s="25">
        <v>5.22</v>
      </c>
      <c r="DP1078" s="24">
        <v>80</v>
      </c>
      <c r="DQ1078" s="24">
        <v>126</v>
      </c>
      <c r="DR1078" s="26">
        <v>13</v>
      </c>
      <c r="DS1078" s="23">
        <v>11.5</v>
      </c>
      <c r="DT1078" s="24">
        <v>24</v>
      </c>
      <c r="DU1078" s="26">
        <v>1</v>
      </c>
      <c r="DV1078" s="23">
        <v>4.3499999999999996</v>
      </c>
      <c r="DW1078" s="24">
        <v>1870</v>
      </c>
      <c r="DX1078" s="27">
        <v>-1</v>
      </c>
      <c r="DY1078" s="23">
        <v>-0.05</v>
      </c>
      <c r="DZ1078" s="15" t="s">
        <v>178</v>
      </c>
      <c r="EA1078" s="22">
        <v>43622</v>
      </c>
      <c r="EB1078" s="17">
        <v>16.690000000000001</v>
      </c>
      <c r="EC1078" s="22">
        <v>42655</v>
      </c>
      <c r="ED1078" s="15" t="s">
        <v>205</v>
      </c>
      <c r="EE1078" s="14" t="str">
        <f>HYPERLINK("https://my.pitchbook.com?c=100151-47", "View company online")</f>
        <v>View company online</v>
      </c>
    </row>
    <row r="1079" spans="1:135">
      <c r="A1079" s="28" t="s">
        <v>21037</v>
      </c>
      <c r="B1079" s="28" t="s">
        <v>21038</v>
      </c>
      <c r="C1079" s="28" t="s">
        <v>138</v>
      </c>
      <c r="D1079" s="28" t="s">
        <v>138</v>
      </c>
      <c r="E1079" s="28" t="s">
        <v>21039</v>
      </c>
      <c r="F1079" s="28" t="s">
        <v>21037</v>
      </c>
      <c r="G1079" s="28" t="s">
        <v>21040</v>
      </c>
      <c r="H1079" s="28" t="s">
        <v>322</v>
      </c>
      <c r="I1079" s="28" t="s">
        <v>323</v>
      </c>
      <c r="J1079" s="28" t="s">
        <v>9497</v>
      </c>
      <c r="K1079" s="28" t="s">
        <v>9498</v>
      </c>
      <c r="L1079" s="28" t="s">
        <v>14011</v>
      </c>
      <c r="M1079" s="28" t="s">
        <v>21041</v>
      </c>
      <c r="N1079" s="28" t="s">
        <v>147</v>
      </c>
      <c r="O1079" s="29">
        <v>306</v>
      </c>
      <c r="P1079" s="28" t="s">
        <v>148</v>
      </c>
      <c r="Q1079" s="28" t="s">
        <v>149</v>
      </c>
      <c r="R1079" s="28" t="s">
        <v>174</v>
      </c>
      <c r="S1079" s="28" t="s">
        <v>21042</v>
      </c>
      <c r="T1079" s="30" t="s">
        <v>138</v>
      </c>
      <c r="U1079" s="28" t="s">
        <v>138</v>
      </c>
      <c r="V1079" s="28" t="s">
        <v>138</v>
      </c>
      <c r="W1079" s="28" t="s">
        <v>138</v>
      </c>
      <c r="X1079" s="31">
        <v>2014</v>
      </c>
      <c r="Y1079" s="28" t="s">
        <v>138</v>
      </c>
      <c r="Z1079" s="28" t="s">
        <v>138</v>
      </c>
      <c r="AA1079" s="28" t="s">
        <v>21043</v>
      </c>
      <c r="AB1079" s="32" t="s">
        <v>138</v>
      </c>
      <c r="AC1079" s="32" t="s">
        <v>138</v>
      </c>
      <c r="AD1079" s="32" t="s">
        <v>138</v>
      </c>
      <c r="AE1079" s="32" t="s">
        <v>138</v>
      </c>
      <c r="AF1079" s="32" t="s">
        <v>138</v>
      </c>
      <c r="AG1079" s="28" t="s">
        <v>138</v>
      </c>
      <c r="AH1079" s="32" t="s">
        <v>138</v>
      </c>
      <c r="AI1079" s="32" t="s">
        <v>138</v>
      </c>
      <c r="AJ1079" s="32" t="s">
        <v>138</v>
      </c>
      <c r="AK1079" s="28" t="s">
        <v>21044</v>
      </c>
      <c r="AL1079" s="28" t="s">
        <v>21045</v>
      </c>
      <c r="AM1079" s="28" t="s">
        <v>636</v>
      </c>
      <c r="AN1079" s="28" t="s">
        <v>21046</v>
      </c>
      <c r="AO1079" s="28" t="s">
        <v>21047</v>
      </c>
      <c r="AP1079" s="28" t="s">
        <v>446</v>
      </c>
      <c r="AQ1079" s="28" t="s">
        <v>21048</v>
      </c>
      <c r="AR1079" s="28" t="s">
        <v>21049</v>
      </c>
      <c r="AS1079" s="28" t="s">
        <v>449</v>
      </c>
      <c r="AT1079" s="28" t="s">
        <v>138</v>
      </c>
      <c r="AU1079" s="28" t="s">
        <v>21050</v>
      </c>
      <c r="AV1079" s="28" t="s">
        <v>450</v>
      </c>
      <c r="AW1079" s="28" t="s">
        <v>21047</v>
      </c>
      <c r="AX1079" s="28" t="s">
        <v>138</v>
      </c>
      <c r="AY1079" s="28" t="s">
        <v>21051</v>
      </c>
      <c r="AZ1079" s="28" t="s">
        <v>452</v>
      </c>
      <c r="BA1079" s="28" t="s">
        <v>453</v>
      </c>
      <c r="BB1079" s="28" t="s">
        <v>21052</v>
      </c>
      <c r="BC1079" s="28" t="s">
        <v>21053</v>
      </c>
      <c r="BD1079" s="33">
        <v>10</v>
      </c>
      <c r="BE1079" s="28" t="s">
        <v>138</v>
      </c>
      <c r="BF1079" s="28" t="s">
        <v>138</v>
      </c>
      <c r="BG1079" s="28" t="s">
        <v>138</v>
      </c>
      <c r="BH1079" s="28" t="s">
        <v>21054</v>
      </c>
      <c r="BI1079" s="28" t="s">
        <v>138</v>
      </c>
      <c r="BJ1079" s="28" t="s">
        <v>138</v>
      </c>
      <c r="BK1079" s="28" t="s">
        <v>138</v>
      </c>
      <c r="BL1079" s="28" t="s">
        <v>138</v>
      </c>
      <c r="BM1079" s="34">
        <v>41983</v>
      </c>
      <c r="BN1079" s="29">
        <v>1</v>
      </c>
      <c r="BO1079" s="28" t="s">
        <v>172</v>
      </c>
      <c r="BP1079" s="29" t="s">
        <v>138</v>
      </c>
      <c r="BQ1079" s="28" t="s">
        <v>138</v>
      </c>
      <c r="BR1079" s="28" t="s">
        <v>234</v>
      </c>
      <c r="BS1079" s="28" t="s">
        <v>234</v>
      </c>
      <c r="BT1079" s="28" t="s">
        <v>138</v>
      </c>
      <c r="BU1079" s="28" t="s">
        <v>174</v>
      </c>
      <c r="BV1079" s="28" t="s">
        <v>138</v>
      </c>
      <c r="BW1079" s="28" t="s">
        <v>138</v>
      </c>
      <c r="BX1079" s="28" t="s">
        <v>138</v>
      </c>
      <c r="BY1079" s="28" t="s">
        <v>175</v>
      </c>
      <c r="BZ1079" s="34">
        <v>43615</v>
      </c>
      <c r="CA1079" s="29">
        <v>150</v>
      </c>
      <c r="CB1079" s="28" t="s">
        <v>172</v>
      </c>
      <c r="CC1079" s="29" t="s">
        <v>138</v>
      </c>
      <c r="CD1079" s="28" t="s">
        <v>138</v>
      </c>
      <c r="CE1079" s="28" t="s">
        <v>173</v>
      </c>
      <c r="CF1079" s="28" t="s">
        <v>433</v>
      </c>
      <c r="CG1079" s="28" t="s">
        <v>138</v>
      </c>
      <c r="CH1079" s="28" t="s">
        <v>174</v>
      </c>
      <c r="CI1079" s="28" t="s">
        <v>138</v>
      </c>
      <c r="CJ1079" s="28" t="s">
        <v>138</v>
      </c>
      <c r="CK1079" s="28" t="s">
        <v>138</v>
      </c>
      <c r="CL1079" s="28" t="s">
        <v>175</v>
      </c>
      <c r="CM1079" s="34" t="s">
        <v>138</v>
      </c>
      <c r="CN1079" s="29" t="s">
        <v>138</v>
      </c>
      <c r="CO1079" s="35">
        <v>-0.34</v>
      </c>
      <c r="CP1079" s="36">
        <v>18</v>
      </c>
      <c r="CQ1079" s="35">
        <v>0.17</v>
      </c>
      <c r="CR1079" s="35">
        <v>32.69</v>
      </c>
      <c r="CS1079" s="35">
        <v>-1.3</v>
      </c>
      <c r="CT1079" s="36">
        <v>13</v>
      </c>
      <c r="CU1079" s="35" t="s">
        <v>138</v>
      </c>
      <c r="CV1079" s="36" t="s">
        <v>138</v>
      </c>
      <c r="CW1079" s="35" t="s">
        <v>138</v>
      </c>
      <c r="CX1079" s="36" t="s">
        <v>138</v>
      </c>
      <c r="CY1079" s="35">
        <v>-1.3</v>
      </c>
      <c r="CZ1079" s="36">
        <v>16</v>
      </c>
      <c r="DA1079" s="35" t="s">
        <v>138</v>
      </c>
      <c r="DB1079" s="36" t="s">
        <v>138</v>
      </c>
      <c r="DC1079" s="37">
        <v>7.95</v>
      </c>
      <c r="DD1079" s="36">
        <v>88</v>
      </c>
      <c r="DE1079" s="37">
        <v>0.17</v>
      </c>
      <c r="DF1079" s="35">
        <v>2.23</v>
      </c>
      <c r="DG1079" s="37">
        <v>10.55</v>
      </c>
      <c r="DH1079" s="36">
        <v>90</v>
      </c>
      <c r="DI1079" s="37" t="s">
        <v>138</v>
      </c>
      <c r="DJ1079" s="36" t="s">
        <v>138</v>
      </c>
      <c r="DK1079" s="37" t="s">
        <v>138</v>
      </c>
      <c r="DL1079" s="36" t="s">
        <v>138</v>
      </c>
      <c r="DM1079" s="37">
        <v>10.55</v>
      </c>
      <c r="DN1079" s="36">
        <v>89</v>
      </c>
      <c r="DO1079" s="37" t="s">
        <v>138</v>
      </c>
      <c r="DP1079" s="36" t="s">
        <v>138</v>
      </c>
      <c r="DQ1079" s="36" t="s">
        <v>138</v>
      </c>
      <c r="DR1079" s="38" t="s">
        <v>138</v>
      </c>
      <c r="DS1079" s="35" t="s">
        <v>138</v>
      </c>
      <c r="DT1079" s="36">
        <v>305</v>
      </c>
      <c r="DU1079" s="38">
        <v>8</v>
      </c>
      <c r="DV1079" s="35">
        <v>2.69</v>
      </c>
      <c r="DW1079" s="36" t="s">
        <v>138</v>
      </c>
      <c r="DX1079" s="39" t="s">
        <v>138</v>
      </c>
      <c r="DY1079" s="35" t="s">
        <v>138</v>
      </c>
      <c r="DZ1079" s="28" t="s">
        <v>178</v>
      </c>
      <c r="EA1079" s="34">
        <v>43615</v>
      </c>
      <c r="EB1079" s="29" t="s">
        <v>138</v>
      </c>
      <c r="EC1079" s="34" t="s">
        <v>138</v>
      </c>
      <c r="ED1079" s="28" t="s">
        <v>138</v>
      </c>
      <c r="EE1079" s="40" t="str">
        <f>HYPERLINK("https://my.pitchbook.com?c=93701-26", "View company online")</f>
        <v>View company online</v>
      </c>
    </row>
    <row r="1080" spans="1:135">
      <c r="A1080" s="15" t="s">
        <v>21055</v>
      </c>
      <c r="B1080" s="15" t="s">
        <v>21056</v>
      </c>
      <c r="C1080" s="15" t="s">
        <v>138</v>
      </c>
      <c r="D1080" s="15" t="s">
        <v>138</v>
      </c>
      <c r="E1080" s="15" t="s">
        <v>21057</v>
      </c>
      <c r="F1080" s="15" t="s">
        <v>21055</v>
      </c>
      <c r="G1080" s="15" t="s">
        <v>21058</v>
      </c>
      <c r="H1080" s="15" t="s">
        <v>322</v>
      </c>
      <c r="I1080" s="15" t="s">
        <v>323</v>
      </c>
      <c r="J1080" s="15" t="s">
        <v>1132</v>
      </c>
      <c r="K1080" s="15" t="s">
        <v>21059</v>
      </c>
      <c r="L1080" s="15" t="s">
        <v>21060</v>
      </c>
      <c r="M1080" s="15" t="s">
        <v>21061</v>
      </c>
      <c r="N1080" s="15" t="s">
        <v>147</v>
      </c>
      <c r="O1080" s="17">
        <v>630.55999999999995</v>
      </c>
      <c r="P1080" s="15" t="s">
        <v>812</v>
      </c>
      <c r="Q1080" s="15" t="s">
        <v>149</v>
      </c>
      <c r="R1080" s="15" t="s">
        <v>13858</v>
      </c>
      <c r="S1080" s="15" t="s">
        <v>21062</v>
      </c>
      <c r="T1080" s="18">
        <v>2500</v>
      </c>
      <c r="U1080" s="15" t="s">
        <v>21063</v>
      </c>
      <c r="V1080" s="15" t="s">
        <v>138</v>
      </c>
      <c r="W1080" s="15" t="s">
        <v>138</v>
      </c>
      <c r="X1080" s="19">
        <v>2005</v>
      </c>
      <c r="Y1080" s="15" t="s">
        <v>138</v>
      </c>
      <c r="Z1080" s="15" t="s">
        <v>138</v>
      </c>
      <c r="AA1080" s="15" t="s">
        <v>1163</v>
      </c>
      <c r="AB1080" s="20">
        <v>588</v>
      </c>
      <c r="AC1080" s="20" t="s">
        <v>138</v>
      </c>
      <c r="AD1080" s="20" t="s">
        <v>138</v>
      </c>
      <c r="AE1080" s="20" t="s">
        <v>138</v>
      </c>
      <c r="AF1080" s="20" t="s">
        <v>138</v>
      </c>
      <c r="AG1080" s="15" t="s">
        <v>815</v>
      </c>
      <c r="AH1080" s="20" t="s">
        <v>138</v>
      </c>
      <c r="AI1080" s="20" t="s">
        <v>138</v>
      </c>
      <c r="AJ1080" s="20" t="s">
        <v>138</v>
      </c>
      <c r="AK1080" s="15" t="s">
        <v>21064</v>
      </c>
      <c r="AL1080" s="15" t="s">
        <v>21065</v>
      </c>
      <c r="AM1080" s="15" t="s">
        <v>2024</v>
      </c>
      <c r="AN1080" s="15" t="s">
        <v>21066</v>
      </c>
      <c r="AO1080" s="15" t="s">
        <v>21067</v>
      </c>
      <c r="AP1080" s="15" t="s">
        <v>4440</v>
      </c>
      <c r="AQ1080" s="15" t="s">
        <v>21068</v>
      </c>
      <c r="AR1080" s="15" t="s">
        <v>138</v>
      </c>
      <c r="AS1080" s="15" t="s">
        <v>4442</v>
      </c>
      <c r="AT1080" s="15" t="s">
        <v>138</v>
      </c>
      <c r="AU1080" s="15" t="s">
        <v>21069</v>
      </c>
      <c r="AV1080" s="15" t="s">
        <v>4444</v>
      </c>
      <c r="AW1080" s="15" t="s">
        <v>21067</v>
      </c>
      <c r="AX1080" s="15" t="s">
        <v>138</v>
      </c>
      <c r="AY1080" s="15" t="s">
        <v>21070</v>
      </c>
      <c r="AZ1080" s="15" t="s">
        <v>530</v>
      </c>
      <c r="BA1080" s="15" t="s">
        <v>577</v>
      </c>
      <c r="BB1080" s="15" t="s">
        <v>21071</v>
      </c>
      <c r="BC1080" s="15" t="s">
        <v>21072</v>
      </c>
      <c r="BD1080" s="21">
        <v>28</v>
      </c>
      <c r="BE1080" s="15" t="s">
        <v>138</v>
      </c>
      <c r="BF1080" s="15" t="s">
        <v>21073</v>
      </c>
      <c r="BG1080" s="15" t="s">
        <v>138</v>
      </c>
      <c r="BH1080" s="15" t="s">
        <v>21074</v>
      </c>
      <c r="BI1080" s="15" t="s">
        <v>21075</v>
      </c>
      <c r="BJ1080" s="15" t="s">
        <v>138</v>
      </c>
      <c r="BK1080" s="15" t="s">
        <v>21076</v>
      </c>
      <c r="BL1080" s="15" t="s">
        <v>21077</v>
      </c>
      <c r="BM1080" s="22">
        <v>39423</v>
      </c>
      <c r="BN1080" s="17">
        <v>4.63</v>
      </c>
      <c r="BO1080" s="15" t="s">
        <v>172</v>
      </c>
      <c r="BP1080" s="17" t="s">
        <v>138</v>
      </c>
      <c r="BQ1080" s="15" t="s">
        <v>138</v>
      </c>
      <c r="BR1080" s="15" t="s">
        <v>205</v>
      </c>
      <c r="BS1080" s="15" t="s">
        <v>138</v>
      </c>
      <c r="BT1080" s="15" t="s">
        <v>138</v>
      </c>
      <c r="BU1080" s="15" t="s">
        <v>174</v>
      </c>
      <c r="BV1080" s="15" t="s">
        <v>138</v>
      </c>
      <c r="BW1080" s="15" t="s">
        <v>138</v>
      </c>
      <c r="BX1080" s="15" t="s">
        <v>138</v>
      </c>
      <c r="BY1080" s="15" t="s">
        <v>175</v>
      </c>
      <c r="BZ1080" s="22" t="s">
        <v>138</v>
      </c>
      <c r="CA1080" s="17" t="s">
        <v>138</v>
      </c>
      <c r="CB1080" s="15" t="s">
        <v>138</v>
      </c>
      <c r="CC1080" s="17" t="s">
        <v>138</v>
      </c>
      <c r="CD1080" s="15" t="s">
        <v>138</v>
      </c>
      <c r="CE1080" s="15" t="s">
        <v>780</v>
      </c>
      <c r="CF1080" s="15" t="s">
        <v>780</v>
      </c>
      <c r="CG1080" s="15" t="s">
        <v>138</v>
      </c>
      <c r="CH1080" s="15" t="s">
        <v>177</v>
      </c>
      <c r="CI1080" s="15" t="s">
        <v>138</v>
      </c>
      <c r="CJ1080" s="15" t="s">
        <v>138</v>
      </c>
      <c r="CK1080" s="15" t="s">
        <v>138</v>
      </c>
      <c r="CL1080" s="15" t="s">
        <v>3093</v>
      </c>
      <c r="CM1080" s="22">
        <v>42548</v>
      </c>
      <c r="CN1080" s="17">
        <v>35.200000000000003</v>
      </c>
      <c r="CO1080" s="23">
        <v>7.81</v>
      </c>
      <c r="CP1080" s="24">
        <v>100</v>
      </c>
      <c r="CQ1080" s="23">
        <v>-0.87</v>
      </c>
      <c r="CR1080" s="23">
        <v>-10.07</v>
      </c>
      <c r="CS1080" s="23">
        <v>0.2</v>
      </c>
      <c r="CT1080" s="24">
        <v>94</v>
      </c>
      <c r="CU1080" s="23">
        <v>0.54</v>
      </c>
      <c r="CV1080" s="24">
        <v>94</v>
      </c>
      <c r="CW1080" s="23">
        <v>0.04</v>
      </c>
      <c r="CX1080" s="24">
        <v>80</v>
      </c>
      <c r="CY1080" s="23">
        <v>0.35</v>
      </c>
      <c r="CZ1080" s="24">
        <v>98</v>
      </c>
      <c r="DA1080" s="23">
        <v>0.54</v>
      </c>
      <c r="DB1080" s="24">
        <v>95</v>
      </c>
      <c r="DC1080" s="25">
        <v>206.26</v>
      </c>
      <c r="DD1080" s="24">
        <v>100</v>
      </c>
      <c r="DE1080" s="25">
        <v>-13.68</v>
      </c>
      <c r="DF1080" s="23">
        <v>-6.22</v>
      </c>
      <c r="DG1080" s="25">
        <v>585.97</v>
      </c>
      <c r="DH1080" s="24">
        <v>100</v>
      </c>
      <c r="DI1080" s="25">
        <v>29.71</v>
      </c>
      <c r="DJ1080" s="24">
        <v>93</v>
      </c>
      <c r="DK1080" s="25">
        <v>124.77</v>
      </c>
      <c r="DL1080" s="24">
        <v>98</v>
      </c>
      <c r="DM1080" s="25">
        <v>1047.17</v>
      </c>
      <c r="DN1080" s="24">
        <v>100</v>
      </c>
      <c r="DO1080" s="25">
        <v>29.71</v>
      </c>
      <c r="DP1080" s="24">
        <v>94</v>
      </c>
      <c r="DQ1080" s="24">
        <v>42369</v>
      </c>
      <c r="DR1080" s="26">
        <v>1277</v>
      </c>
      <c r="DS1080" s="23">
        <v>3.11</v>
      </c>
      <c r="DT1080" s="24">
        <v>30239</v>
      </c>
      <c r="DU1080" s="26">
        <v>302</v>
      </c>
      <c r="DV1080" s="23">
        <v>1.01</v>
      </c>
      <c r="DW1080" s="24">
        <v>10591</v>
      </c>
      <c r="DX1080" s="27">
        <v>98</v>
      </c>
      <c r="DY1080" s="23">
        <v>0.93</v>
      </c>
      <c r="DZ1080" s="15" t="s">
        <v>178</v>
      </c>
      <c r="EA1080" s="22">
        <v>43570</v>
      </c>
      <c r="EB1080" s="17">
        <v>3566.58</v>
      </c>
      <c r="EC1080" s="22">
        <v>43534</v>
      </c>
      <c r="ED1080" s="15" t="s">
        <v>1673</v>
      </c>
      <c r="EE1080" s="14" t="str">
        <f>HYPERLINK("https://my.pitchbook.com?c=42936-49", "View company online")</f>
        <v>View company online</v>
      </c>
    </row>
    <row r="1081" spans="1:135">
      <c r="A1081" s="28" t="s">
        <v>21078</v>
      </c>
      <c r="B1081" s="28" t="s">
        <v>21079</v>
      </c>
      <c r="C1081" s="28" t="s">
        <v>21080</v>
      </c>
      <c r="D1081" s="28" t="s">
        <v>138</v>
      </c>
      <c r="E1081" s="28" t="s">
        <v>21081</v>
      </c>
      <c r="F1081" s="28" t="s">
        <v>21078</v>
      </c>
      <c r="G1081" s="28" t="s">
        <v>21082</v>
      </c>
      <c r="H1081" s="28" t="s">
        <v>238</v>
      </c>
      <c r="I1081" s="28" t="s">
        <v>1018</v>
      </c>
      <c r="J1081" s="28" t="s">
        <v>4780</v>
      </c>
      <c r="K1081" s="28" t="s">
        <v>21083</v>
      </c>
      <c r="L1081" s="28" t="s">
        <v>4703</v>
      </c>
      <c r="M1081" s="28" t="s">
        <v>21084</v>
      </c>
      <c r="N1081" s="28" t="s">
        <v>147</v>
      </c>
      <c r="O1081" s="29">
        <v>10.130000000000001</v>
      </c>
      <c r="P1081" s="28" t="s">
        <v>148</v>
      </c>
      <c r="Q1081" s="28" t="s">
        <v>149</v>
      </c>
      <c r="R1081" s="28" t="s">
        <v>174</v>
      </c>
      <c r="S1081" s="28" t="s">
        <v>21085</v>
      </c>
      <c r="T1081" s="30">
        <v>47</v>
      </c>
      <c r="U1081" s="28" t="s">
        <v>21086</v>
      </c>
      <c r="V1081" s="28" t="s">
        <v>138</v>
      </c>
      <c r="W1081" s="28" t="s">
        <v>138</v>
      </c>
      <c r="X1081" s="31">
        <v>2011</v>
      </c>
      <c r="Y1081" s="28" t="s">
        <v>138</v>
      </c>
      <c r="Z1081" s="28" t="s">
        <v>138</v>
      </c>
      <c r="AA1081" s="28" t="s">
        <v>138</v>
      </c>
      <c r="AB1081" s="32">
        <v>100</v>
      </c>
      <c r="AC1081" s="32" t="s">
        <v>138</v>
      </c>
      <c r="AD1081" s="32" t="s">
        <v>138</v>
      </c>
      <c r="AE1081" s="32" t="s">
        <v>138</v>
      </c>
      <c r="AF1081" s="32" t="s">
        <v>138</v>
      </c>
      <c r="AG1081" s="28" t="s">
        <v>815</v>
      </c>
      <c r="AH1081" s="32" t="s">
        <v>138</v>
      </c>
      <c r="AI1081" s="32" t="s">
        <v>138</v>
      </c>
      <c r="AJ1081" s="32" t="s">
        <v>138</v>
      </c>
      <c r="AK1081" s="28" t="s">
        <v>21087</v>
      </c>
      <c r="AL1081" s="28" t="s">
        <v>21088</v>
      </c>
      <c r="AM1081" s="28" t="s">
        <v>304</v>
      </c>
      <c r="AN1081" s="28" t="s">
        <v>21089</v>
      </c>
      <c r="AO1081" s="28" t="s">
        <v>21090</v>
      </c>
      <c r="AP1081" s="28" t="s">
        <v>13886</v>
      </c>
      <c r="AQ1081" s="28" t="s">
        <v>21091</v>
      </c>
      <c r="AR1081" s="28" t="s">
        <v>21092</v>
      </c>
      <c r="AS1081" s="28" t="s">
        <v>13888</v>
      </c>
      <c r="AT1081" s="28" t="s">
        <v>200</v>
      </c>
      <c r="AU1081" s="28" t="s">
        <v>13889</v>
      </c>
      <c r="AV1081" s="28" t="s">
        <v>162</v>
      </c>
      <c r="AW1081" s="28" t="s">
        <v>21090</v>
      </c>
      <c r="AX1081" s="28" t="s">
        <v>138</v>
      </c>
      <c r="AY1081" s="28" t="s">
        <v>21093</v>
      </c>
      <c r="AZ1081" s="28" t="s">
        <v>164</v>
      </c>
      <c r="BA1081" s="28" t="s">
        <v>165</v>
      </c>
      <c r="BB1081" s="28" t="s">
        <v>21094</v>
      </c>
      <c r="BC1081" s="28" t="s">
        <v>21095</v>
      </c>
      <c r="BD1081" s="33">
        <v>29</v>
      </c>
      <c r="BE1081" s="28" t="s">
        <v>138</v>
      </c>
      <c r="BF1081" s="28" t="s">
        <v>138</v>
      </c>
      <c r="BG1081" s="28" t="s">
        <v>138</v>
      </c>
      <c r="BH1081" s="28" t="s">
        <v>21096</v>
      </c>
      <c r="BI1081" s="28" t="s">
        <v>138</v>
      </c>
      <c r="BJ1081" s="28" t="s">
        <v>138</v>
      </c>
      <c r="BK1081" s="28" t="s">
        <v>1275</v>
      </c>
      <c r="BL1081" s="28" t="s">
        <v>1275</v>
      </c>
      <c r="BM1081" s="34">
        <v>40827</v>
      </c>
      <c r="BN1081" s="29">
        <v>2</v>
      </c>
      <c r="BO1081" s="28" t="s">
        <v>172</v>
      </c>
      <c r="BP1081" s="29">
        <v>7.05</v>
      </c>
      <c r="BQ1081" s="28" t="s">
        <v>172</v>
      </c>
      <c r="BR1081" s="28" t="s">
        <v>234</v>
      </c>
      <c r="BS1081" s="28" t="s">
        <v>234</v>
      </c>
      <c r="BT1081" s="28" t="s">
        <v>138</v>
      </c>
      <c r="BU1081" s="28" t="s">
        <v>174</v>
      </c>
      <c r="BV1081" s="28" t="s">
        <v>138</v>
      </c>
      <c r="BW1081" s="28" t="s">
        <v>138</v>
      </c>
      <c r="BX1081" s="28" t="s">
        <v>138</v>
      </c>
      <c r="BY1081" s="28" t="s">
        <v>175</v>
      </c>
      <c r="BZ1081" s="34">
        <v>41985</v>
      </c>
      <c r="CA1081" s="29">
        <v>3.13</v>
      </c>
      <c r="CB1081" s="28" t="s">
        <v>172</v>
      </c>
      <c r="CC1081" s="29">
        <v>23.96</v>
      </c>
      <c r="CD1081" s="28" t="s">
        <v>172</v>
      </c>
      <c r="CE1081" s="28" t="s">
        <v>205</v>
      </c>
      <c r="CF1081" s="28" t="s">
        <v>206</v>
      </c>
      <c r="CG1081" s="28" t="s">
        <v>138</v>
      </c>
      <c r="CH1081" s="28" t="s">
        <v>174</v>
      </c>
      <c r="CI1081" s="28" t="s">
        <v>138</v>
      </c>
      <c r="CJ1081" s="28" t="s">
        <v>138</v>
      </c>
      <c r="CK1081" s="28" t="s">
        <v>138</v>
      </c>
      <c r="CL1081" s="28" t="s">
        <v>175</v>
      </c>
      <c r="CM1081" s="34" t="s">
        <v>138</v>
      </c>
      <c r="CN1081" s="29" t="s">
        <v>138</v>
      </c>
      <c r="CO1081" s="35">
        <v>-4.63</v>
      </c>
      <c r="CP1081" s="36">
        <v>1</v>
      </c>
      <c r="CQ1081" s="35">
        <v>-7.0000000000000007E-2</v>
      </c>
      <c r="CR1081" s="35">
        <v>-1.56</v>
      </c>
      <c r="CS1081" s="35">
        <v>-9.5</v>
      </c>
      <c r="CT1081" s="36">
        <v>1</v>
      </c>
      <c r="CU1081" s="35">
        <v>0.25</v>
      </c>
      <c r="CV1081" s="36">
        <v>84</v>
      </c>
      <c r="CW1081" s="35">
        <v>-9.5</v>
      </c>
      <c r="CX1081" s="36">
        <v>1</v>
      </c>
      <c r="CY1081" s="35" t="s">
        <v>138</v>
      </c>
      <c r="CZ1081" s="36" t="s">
        <v>138</v>
      </c>
      <c r="DA1081" s="35">
        <v>0.11</v>
      </c>
      <c r="DB1081" s="36">
        <v>73</v>
      </c>
      <c r="DC1081" s="37">
        <v>335.87</v>
      </c>
      <c r="DD1081" s="36">
        <v>100</v>
      </c>
      <c r="DE1081" s="37">
        <v>-190.24</v>
      </c>
      <c r="DF1081" s="35">
        <v>-36.159999999999997</v>
      </c>
      <c r="DG1081" s="37">
        <v>304.98</v>
      </c>
      <c r="DH1081" s="36">
        <v>100</v>
      </c>
      <c r="DI1081" s="37">
        <v>366.76</v>
      </c>
      <c r="DJ1081" s="36">
        <v>99</v>
      </c>
      <c r="DK1081" s="37">
        <v>304.98</v>
      </c>
      <c r="DL1081" s="36">
        <v>99</v>
      </c>
      <c r="DM1081" s="37" t="s">
        <v>138</v>
      </c>
      <c r="DN1081" s="36" t="s">
        <v>138</v>
      </c>
      <c r="DO1081" s="37">
        <v>26.18</v>
      </c>
      <c r="DP1081" s="36">
        <v>94</v>
      </c>
      <c r="DQ1081" s="36">
        <v>113589</v>
      </c>
      <c r="DR1081" s="38">
        <v>-26943</v>
      </c>
      <c r="DS1081" s="35">
        <v>-19.170000000000002</v>
      </c>
      <c r="DT1081" s="36" t="s">
        <v>138</v>
      </c>
      <c r="DU1081" s="38" t="s">
        <v>138</v>
      </c>
      <c r="DV1081" s="35" t="s">
        <v>138</v>
      </c>
      <c r="DW1081" s="36">
        <v>9366</v>
      </c>
      <c r="DX1081" s="39">
        <v>26</v>
      </c>
      <c r="DY1081" s="35">
        <v>0.28000000000000003</v>
      </c>
      <c r="DZ1081" s="28" t="s">
        <v>178</v>
      </c>
      <c r="EA1081" s="34">
        <v>43537</v>
      </c>
      <c r="EB1081" s="29">
        <v>23.96</v>
      </c>
      <c r="EC1081" s="34">
        <v>41985</v>
      </c>
      <c r="ED1081" s="28" t="s">
        <v>205</v>
      </c>
      <c r="EE1081" s="40" t="str">
        <f>HYPERLINK("https://my.pitchbook.com?c=52965-01", "View company online")</f>
        <v>View company online</v>
      </c>
    </row>
    <row r="1082" spans="1:135">
      <c r="A1082" s="15" t="s">
        <v>21097</v>
      </c>
      <c r="B1082" s="15" t="s">
        <v>21098</v>
      </c>
      <c r="C1082" s="15" t="s">
        <v>138</v>
      </c>
      <c r="D1082" s="15" t="s">
        <v>21099</v>
      </c>
      <c r="E1082" s="15" t="s">
        <v>21100</v>
      </c>
      <c r="F1082" s="15" t="s">
        <v>21097</v>
      </c>
      <c r="G1082" s="15" t="s">
        <v>21101</v>
      </c>
      <c r="H1082" s="15" t="s">
        <v>322</v>
      </c>
      <c r="I1082" s="15" t="s">
        <v>323</v>
      </c>
      <c r="J1082" s="15" t="s">
        <v>413</v>
      </c>
      <c r="K1082" s="15" t="s">
        <v>874</v>
      </c>
      <c r="L1082" s="15" t="s">
        <v>21102</v>
      </c>
      <c r="M1082" s="15" t="s">
        <v>21103</v>
      </c>
      <c r="N1082" s="15" t="s">
        <v>147</v>
      </c>
      <c r="O1082" s="17">
        <v>9.5</v>
      </c>
      <c r="P1082" s="15" t="s">
        <v>148</v>
      </c>
      <c r="Q1082" s="15" t="s">
        <v>149</v>
      </c>
      <c r="R1082" s="15" t="s">
        <v>174</v>
      </c>
      <c r="S1082" s="15" t="s">
        <v>21104</v>
      </c>
      <c r="T1082" s="18">
        <v>20</v>
      </c>
      <c r="U1082" s="15" t="s">
        <v>21105</v>
      </c>
      <c r="V1082" s="15" t="s">
        <v>138</v>
      </c>
      <c r="W1082" s="15" t="s">
        <v>138</v>
      </c>
      <c r="X1082" s="19">
        <v>2015</v>
      </c>
      <c r="Y1082" s="15" t="s">
        <v>138</v>
      </c>
      <c r="Z1082" s="15" t="s">
        <v>138</v>
      </c>
      <c r="AA1082" s="15" t="s">
        <v>138</v>
      </c>
      <c r="AB1082" s="20" t="s">
        <v>138</v>
      </c>
      <c r="AC1082" s="20" t="s">
        <v>138</v>
      </c>
      <c r="AD1082" s="20" t="s">
        <v>138</v>
      </c>
      <c r="AE1082" s="20" t="s">
        <v>138</v>
      </c>
      <c r="AF1082" s="20" t="s">
        <v>138</v>
      </c>
      <c r="AG1082" s="15" t="s">
        <v>138</v>
      </c>
      <c r="AH1082" s="20" t="s">
        <v>138</v>
      </c>
      <c r="AI1082" s="20" t="s">
        <v>138</v>
      </c>
      <c r="AJ1082" s="20" t="s">
        <v>138</v>
      </c>
      <c r="AK1082" s="15" t="s">
        <v>21106</v>
      </c>
      <c r="AL1082" s="15" t="s">
        <v>21107</v>
      </c>
      <c r="AM1082" s="15" t="s">
        <v>221</v>
      </c>
      <c r="AN1082" s="15" t="s">
        <v>21108</v>
      </c>
      <c r="AO1082" s="15" t="s">
        <v>21109</v>
      </c>
      <c r="AP1082" s="15" t="s">
        <v>665</v>
      </c>
      <c r="AQ1082" s="15" t="s">
        <v>21110</v>
      </c>
      <c r="AR1082" s="15" t="s">
        <v>5582</v>
      </c>
      <c r="AS1082" s="15" t="s">
        <v>668</v>
      </c>
      <c r="AT1082" s="15" t="s">
        <v>200</v>
      </c>
      <c r="AU1082" s="15" t="s">
        <v>21111</v>
      </c>
      <c r="AV1082" s="15" t="s">
        <v>162</v>
      </c>
      <c r="AW1082" s="15" t="s">
        <v>21109</v>
      </c>
      <c r="AX1082" s="15" t="s">
        <v>138</v>
      </c>
      <c r="AY1082" s="15" t="s">
        <v>21112</v>
      </c>
      <c r="AZ1082" s="15" t="s">
        <v>164</v>
      </c>
      <c r="BA1082" s="15" t="s">
        <v>165</v>
      </c>
      <c r="BB1082" s="15" t="s">
        <v>21113</v>
      </c>
      <c r="BC1082" s="15" t="s">
        <v>21114</v>
      </c>
      <c r="BD1082" s="21">
        <v>5</v>
      </c>
      <c r="BE1082" s="15" t="s">
        <v>138</v>
      </c>
      <c r="BF1082" s="15" t="s">
        <v>138</v>
      </c>
      <c r="BG1082" s="15" t="s">
        <v>138</v>
      </c>
      <c r="BH1082" s="15" t="s">
        <v>21115</v>
      </c>
      <c r="BI1082" s="15" t="s">
        <v>138</v>
      </c>
      <c r="BJ1082" s="15" t="s">
        <v>138</v>
      </c>
      <c r="BK1082" s="15" t="s">
        <v>21116</v>
      </c>
      <c r="BL1082" s="15" t="s">
        <v>21117</v>
      </c>
      <c r="BM1082" s="22">
        <v>42675</v>
      </c>
      <c r="BN1082" s="17">
        <v>0.5</v>
      </c>
      <c r="BO1082" s="15" t="s">
        <v>172</v>
      </c>
      <c r="BP1082" s="17">
        <v>2</v>
      </c>
      <c r="BQ1082" s="15" t="s">
        <v>172</v>
      </c>
      <c r="BR1082" s="15" t="s">
        <v>234</v>
      </c>
      <c r="BS1082" s="15" t="s">
        <v>234</v>
      </c>
      <c r="BT1082" s="15" t="s">
        <v>138</v>
      </c>
      <c r="BU1082" s="15" t="s">
        <v>174</v>
      </c>
      <c r="BV1082" s="15" t="s">
        <v>138</v>
      </c>
      <c r="BW1082" s="15" t="s">
        <v>138</v>
      </c>
      <c r="BX1082" s="15" t="s">
        <v>138</v>
      </c>
      <c r="BY1082" s="15" t="s">
        <v>175</v>
      </c>
      <c r="BZ1082" s="22">
        <v>43257</v>
      </c>
      <c r="CA1082" s="17">
        <v>3</v>
      </c>
      <c r="CB1082" s="15" t="s">
        <v>172</v>
      </c>
      <c r="CC1082" s="17">
        <v>33</v>
      </c>
      <c r="CD1082" s="15" t="s">
        <v>172</v>
      </c>
      <c r="CE1082" s="15" t="s">
        <v>780</v>
      </c>
      <c r="CF1082" s="15" t="s">
        <v>780</v>
      </c>
      <c r="CG1082" s="15" t="s">
        <v>138</v>
      </c>
      <c r="CH1082" s="15" t="s">
        <v>780</v>
      </c>
      <c r="CI1082" s="15" t="s">
        <v>138</v>
      </c>
      <c r="CJ1082" s="15" t="s">
        <v>138</v>
      </c>
      <c r="CK1082" s="15" t="s">
        <v>138</v>
      </c>
      <c r="CL1082" s="15" t="s">
        <v>175</v>
      </c>
      <c r="CM1082" s="22" t="s">
        <v>138</v>
      </c>
      <c r="CN1082" s="17" t="s">
        <v>138</v>
      </c>
      <c r="CO1082" s="23">
        <v>2.04</v>
      </c>
      <c r="CP1082" s="24">
        <v>99</v>
      </c>
      <c r="CQ1082" s="23">
        <v>0.01</v>
      </c>
      <c r="CR1082" s="23">
        <v>0.3</v>
      </c>
      <c r="CS1082" s="23">
        <v>5.64</v>
      </c>
      <c r="CT1082" s="24">
        <v>100</v>
      </c>
      <c r="CU1082" s="23">
        <v>0.49</v>
      </c>
      <c r="CV1082" s="24">
        <v>93</v>
      </c>
      <c r="CW1082" s="23">
        <v>11.28</v>
      </c>
      <c r="CX1082" s="24">
        <v>100</v>
      </c>
      <c r="CY1082" s="23">
        <v>0</v>
      </c>
      <c r="CZ1082" s="24">
        <v>25</v>
      </c>
      <c r="DA1082" s="23">
        <v>0.6</v>
      </c>
      <c r="DB1082" s="24">
        <v>95</v>
      </c>
      <c r="DC1082" s="25">
        <v>3.73</v>
      </c>
      <c r="DD1082" s="24">
        <v>79</v>
      </c>
      <c r="DE1082" s="25">
        <v>-0.19</v>
      </c>
      <c r="DF1082" s="23">
        <v>-4.87</v>
      </c>
      <c r="DG1082" s="25">
        <v>5.52</v>
      </c>
      <c r="DH1082" s="24">
        <v>84</v>
      </c>
      <c r="DI1082" s="25">
        <v>5.63</v>
      </c>
      <c r="DJ1082" s="24">
        <v>79</v>
      </c>
      <c r="DK1082" s="25">
        <v>9.1</v>
      </c>
      <c r="DL1082" s="24">
        <v>86</v>
      </c>
      <c r="DM1082" s="25">
        <v>1.93</v>
      </c>
      <c r="DN1082" s="24">
        <v>65</v>
      </c>
      <c r="DO1082" s="25">
        <v>8.3699999999999992</v>
      </c>
      <c r="DP1082" s="24">
        <v>85</v>
      </c>
      <c r="DQ1082" s="24">
        <v>2974</v>
      </c>
      <c r="DR1082" s="26">
        <v>443</v>
      </c>
      <c r="DS1082" s="23">
        <v>17.5</v>
      </c>
      <c r="DT1082" s="24">
        <v>56</v>
      </c>
      <c r="DU1082" s="26">
        <v>-1</v>
      </c>
      <c r="DV1082" s="23">
        <v>-1.75</v>
      </c>
      <c r="DW1082" s="24">
        <v>2995</v>
      </c>
      <c r="DX1082" s="27">
        <v>13</v>
      </c>
      <c r="DY1082" s="23">
        <v>0.44</v>
      </c>
      <c r="DZ1082" s="15" t="s">
        <v>178</v>
      </c>
      <c r="EA1082" s="22">
        <v>43592</v>
      </c>
      <c r="EB1082" s="17">
        <v>33</v>
      </c>
      <c r="EC1082" s="22">
        <v>43257</v>
      </c>
      <c r="ED1082" s="15" t="s">
        <v>780</v>
      </c>
      <c r="EE1082" s="14" t="str">
        <f>HYPERLINK("https://my.pitchbook.com?c=160401-07", "View company online")</f>
        <v>View company online</v>
      </c>
    </row>
    <row r="1083" spans="1:135">
      <c r="A1083" s="28" t="s">
        <v>21118</v>
      </c>
      <c r="B1083" s="28" t="s">
        <v>21119</v>
      </c>
      <c r="C1083" s="28" t="s">
        <v>138</v>
      </c>
      <c r="D1083" s="28" t="s">
        <v>21120</v>
      </c>
      <c r="E1083" s="28" t="s">
        <v>138</v>
      </c>
      <c r="F1083" s="28" t="s">
        <v>21118</v>
      </c>
      <c r="G1083" s="28" t="s">
        <v>21121</v>
      </c>
      <c r="H1083" s="28" t="s">
        <v>385</v>
      </c>
      <c r="I1083" s="28" t="s">
        <v>1448</v>
      </c>
      <c r="J1083" s="28" t="s">
        <v>4108</v>
      </c>
      <c r="K1083" s="28" t="s">
        <v>11081</v>
      </c>
      <c r="L1083" s="28" t="s">
        <v>1994</v>
      </c>
      <c r="M1083" s="28" t="s">
        <v>21122</v>
      </c>
      <c r="N1083" s="28" t="s">
        <v>147</v>
      </c>
      <c r="O1083" s="29">
        <v>8.84</v>
      </c>
      <c r="P1083" s="28" t="s">
        <v>610</v>
      </c>
      <c r="Q1083" s="28" t="s">
        <v>149</v>
      </c>
      <c r="R1083" s="28" t="s">
        <v>150</v>
      </c>
      <c r="S1083" s="28" t="s">
        <v>21123</v>
      </c>
      <c r="T1083" s="30">
        <v>30</v>
      </c>
      <c r="U1083" s="28" t="s">
        <v>21124</v>
      </c>
      <c r="V1083" s="28" t="s">
        <v>138</v>
      </c>
      <c r="W1083" s="28" t="s">
        <v>138</v>
      </c>
      <c r="X1083" s="31">
        <v>2011</v>
      </c>
      <c r="Y1083" s="28" t="s">
        <v>138</v>
      </c>
      <c r="Z1083" s="28" t="s">
        <v>138</v>
      </c>
      <c r="AA1083" s="28" t="s">
        <v>138</v>
      </c>
      <c r="AB1083" s="32" t="s">
        <v>138</v>
      </c>
      <c r="AC1083" s="32" t="s">
        <v>138</v>
      </c>
      <c r="AD1083" s="32" t="s">
        <v>138</v>
      </c>
      <c r="AE1083" s="32" t="s">
        <v>138</v>
      </c>
      <c r="AF1083" s="32" t="s">
        <v>138</v>
      </c>
      <c r="AG1083" s="28" t="s">
        <v>138</v>
      </c>
      <c r="AH1083" s="32" t="s">
        <v>138</v>
      </c>
      <c r="AI1083" s="32" t="s">
        <v>138</v>
      </c>
      <c r="AJ1083" s="32" t="s">
        <v>138</v>
      </c>
      <c r="AK1083" s="28" t="s">
        <v>21125</v>
      </c>
      <c r="AL1083" s="28" t="s">
        <v>21126</v>
      </c>
      <c r="AM1083" s="28" t="s">
        <v>2605</v>
      </c>
      <c r="AN1083" s="28" t="s">
        <v>138</v>
      </c>
      <c r="AO1083" s="28" t="s">
        <v>21127</v>
      </c>
      <c r="AP1083" s="28" t="s">
        <v>526</v>
      </c>
      <c r="AQ1083" s="28" t="s">
        <v>138</v>
      </c>
      <c r="AR1083" s="28" t="s">
        <v>138</v>
      </c>
      <c r="AS1083" s="28" t="s">
        <v>138</v>
      </c>
      <c r="AT1083" s="28" t="s">
        <v>524</v>
      </c>
      <c r="AU1083" s="28" t="s">
        <v>138</v>
      </c>
      <c r="AV1083" s="28" t="s">
        <v>526</v>
      </c>
      <c r="AW1083" s="28" t="s">
        <v>21127</v>
      </c>
      <c r="AX1083" s="28" t="s">
        <v>138</v>
      </c>
      <c r="AY1083" s="28" t="s">
        <v>21128</v>
      </c>
      <c r="AZ1083" s="28" t="s">
        <v>530</v>
      </c>
      <c r="BA1083" s="28" t="s">
        <v>531</v>
      </c>
      <c r="BB1083" s="28" t="s">
        <v>21129</v>
      </c>
      <c r="BC1083" s="28" t="s">
        <v>21130</v>
      </c>
      <c r="BD1083" s="33">
        <v>7</v>
      </c>
      <c r="BE1083" s="28" t="s">
        <v>138</v>
      </c>
      <c r="BF1083" s="28" t="s">
        <v>138</v>
      </c>
      <c r="BG1083" s="28" t="s">
        <v>138</v>
      </c>
      <c r="BH1083" s="28" t="s">
        <v>21131</v>
      </c>
      <c r="BI1083" s="28" t="s">
        <v>138</v>
      </c>
      <c r="BJ1083" s="28" t="s">
        <v>138</v>
      </c>
      <c r="BK1083" s="28" t="s">
        <v>138</v>
      </c>
      <c r="BL1083" s="28" t="s">
        <v>21132</v>
      </c>
      <c r="BM1083" s="34" t="s">
        <v>138</v>
      </c>
      <c r="BN1083" s="29">
        <v>3.5</v>
      </c>
      <c r="BO1083" s="28" t="s">
        <v>172</v>
      </c>
      <c r="BP1083" s="29" t="s">
        <v>138</v>
      </c>
      <c r="BQ1083" s="28" t="s">
        <v>138</v>
      </c>
      <c r="BR1083" s="28" t="s">
        <v>780</v>
      </c>
      <c r="BS1083" s="28" t="s">
        <v>780</v>
      </c>
      <c r="BT1083" s="28" t="s">
        <v>138</v>
      </c>
      <c r="BU1083" s="28" t="s">
        <v>780</v>
      </c>
      <c r="BV1083" s="28" t="s">
        <v>138</v>
      </c>
      <c r="BW1083" s="28" t="s">
        <v>138</v>
      </c>
      <c r="BX1083" s="28" t="s">
        <v>138</v>
      </c>
      <c r="BY1083" s="28" t="s">
        <v>175</v>
      </c>
      <c r="BZ1083" s="34">
        <v>42969</v>
      </c>
      <c r="CA1083" s="29">
        <v>2.59</v>
      </c>
      <c r="CB1083" s="28" t="s">
        <v>172</v>
      </c>
      <c r="CC1083" s="29">
        <v>12.97</v>
      </c>
      <c r="CD1083" s="28" t="s">
        <v>172</v>
      </c>
      <c r="CE1083" s="28" t="s">
        <v>173</v>
      </c>
      <c r="CF1083" s="28" t="s">
        <v>138</v>
      </c>
      <c r="CG1083" s="28" t="s">
        <v>138</v>
      </c>
      <c r="CH1083" s="28" t="s">
        <v>174</v>
      </c>
      <c r="CI1083" s="28" t="s">
        <v>138</v>
      </c>
      <c r="CJ1083" s="28" t="s">
        <v>138</v>
      </c>
      <c r="CK1083" s="28" t="s">
        <v>138</v>
      </c>
      <c r="CL1083" s="28" t="s">
        <v>175</v>
      </c>
      <c r="CM1083" s="34" t="s">
        <v>138</v>
      </c>
      <c r="CN1083" s="29" t="s">
        <v>138</v>
      </c>
      <c r="CO1083" s="35" t="s">
        <v>138</v>
      </c>
      <c r="CP1083" s="36" t="s">
        <v>138</v>
      </c>
      <c r="CQ1083" s="35" t="s">
        <v>138</v>
      </c>
      <c r="CR1083" s="35" t="s">
        <v>138</v>
      </c>
      <c r="CS1083" s="35" t="s">
        <v>138</v>
      </c>
      <c r="CT1083" s="36" t="s">
        <v>138</v>
      </c>
      <c r="CU1083" s="35" t="s">
        <v>138</v>
      </c>
      <c r="CV1083" s="36" t="s">
        <v>138</v>
      </c>
      <c r="CW1083" s="35" t="s">
        <v>138</v>
      </c>
      <c r="CX1083" s="36" t="s">
        <v>138</v>
      </c>
      <c r="CY1083" s="35" t="s">
        <v>138</v>
      </c>
      <c r="CZ1083" s="36" t="s">
        <v>138</v>
      </c>
      <c r="DA1083" s="35" t="s">
        <v>138</v>
      </c>
      <c r="DB1083" s="36" t="s">
        <v>138</v>
      </c>
      <c r="DC1083" s="37" t="s">
        <v>138</v>
      </c>
      <c r="DD1083" s="36" t="s">
        <v>138</v>
      </c>
      <c r="DE1083" s="37" t="s">
        <v>138</v>
      </c>
      <c r="DF1083" s="35" t="s">
        <v>138</v>
      </c>
      <c r="DG1083" s="37" t="s">
        <v>138</v>
      </c>
      <c r="DH1083" s="36" t="s">
        <v>138</v>
      </c>
      <c r="DI1083" s="37" t="s">
        <v>138</v>
      </c>
      <c r="DJ1083" s="36" t="s">
        <v>138</v>
      </c>
      <c r="DK1083" s="37" t="s">
        <v>138</v>
      </c>
      <c r="DL1083" s="36" t="s">
        <v>138</v>
      </c>
      <c r="DM1083" s="37" t="s">
        <v>138</v>
      </c>
      <c r="DN1083" s="36" t="s">
        <v>138</v>
      </c>
      <c r="DO1083" s="37" t="s">
        <v>138</v>
      </c>
      <c r="DP1083" s="36" t="s">
        <v>138</v>
      </c>
      <c r="DQ1083" s="36" t="s">
        <v>138</v>
      </c>
      <c r="DR1083" s="38" t="s">
        <v>138</v>
      </c>
      <c r="DS1083" s="35" t="s">
        <v>138</v>
      </c>
      <c r="DT1083" s="36" t="s">
        <v>138</v>
      </c>
      <c r="DU1083" s="38" t="s">
        <v>138</v>
      </c>
      <c r="DV1083" s="35" t="s">
        <v>138</v>
      </c>
      <c r="DW1083" s="36" t="s">
        <v>138</v>
      </c>
      <c r="DX1083" s="39" t="s">
        <v>138</v>
      </c>
      <c r="DY1083" s="35" t="s">
        <v>138</v>
      </c>
      <c r="DZ1083" s="28" t="s">
        <v>178</v>
      </c>
      <c r="EA1083" s="34">
        <v>43622</v>
      </c>
      <c r="EB1083" s="29">
        <v>12.97</v>
      </c>
      <c r="EC1083" s="34">
        <v>42969</v>
      </c>
      <c r="ED1083" s="28" t="s">
        <v>173</v>
      </c>
      <c r="EE1083" s="40" t="str">
        <f>HYPERLINK("https://my.pitchbook.com?c=154280-89", "View company online")</f>
        <v>View company online</v>
      </c>
    </row>
    <row r="1084" spans="1:135">
      <c r="A1084" s="15" t="s">
        <v>21133</v>
      </c>
      <c r="B1084" s="15" t="s">
        <v>21134</v>
      </c>
      <c r="C1084" s="15" t="s">
        <v>138</v>
      </c>
      <c r="D1084" s="15" t="s">
        <v>138</v>
      </c>
      <c r="E1084" s="15" t="s">
        <v>21135</v>
      </c>
      <c r="F1084" s="15" t="s">
        <v>21133</v>
      </c>
      <c r="G1084" s="15" t="s">
        <v>21136</v>
      </c>
      <c r="H1084" s="15" t="s">
        <v>238</v>
      </c>
      <c r="I1084" s="15" t="s">
        <v>749</v>
      </c>
      <c r="J1084" s="15" t="s">
        <v>750</v>
      </c>
      <c r="K1084" s="15" t="s">
        <v>21137</v>
      </c>
      <c r="L1084" s="15" t="s">
        <v>21138</v>
      </c>
      <c r="M1084" s="15" t="s">
        <v>21139</v>
      </c>
      <c r="N1084" s="15" t="s">
        <v>147</v>
      </c>
      <c r="O1084" s="17">
        <v>74.849999999999994</v>
      </c>
      <c r="P1084" s="15" t="s">
        <v>148</v>
      </c>
      <c r="Q1084" s="15" t="s">
        <v>149</v>
      </c>
      <c r="R1084" s="15" t="s">
        <v>174</v>
      </c>
      <c r="S1084" s="15" t="s">
        <v>21140</v>
      </c>
      <c r="T1084" s="18">
        <v>68</v>
      </c>
      <c r="U1084" s="15" t="s">
        <v>21141</v>
      </c>
      <c r="V1084" s="15" t="s">
        <v>138</v>
      </c>
      <c r="W1084" s="15" t="s">
        <v>138</v>
      </c>
      <c r="X1084" s="19">
        <v>2013</v>
      </c>
      <c r="Y1084" s="15" t="s">
        <v>138</v>
      </c>
      <c r="Z1084" s="15" t="s">
        <v>138</v>
      </c>
      <c r="AA1084" s="15" t="s">
        <v>138</v>
      </c>
      <c r="AB1084" s="20" t="s">
        <v>138</v>
      </c>
      <c r="AC1084" s="20" t="s">
        <v>138</v>
      </c>
      <c r="AD1084" s="20" t="s">
        <v>138</v>
      </c>
      <c r="AE1084" s="20" t="s">
        <v>138</v>
      </c>
      <c r="AF1084" s="20" t="s">
        <v>138</v>
      </c>
      <c r="AG1084" s="15" t="s">
        <v>138</v>
      </c>
      <c r="AH1084" s="20" t="s">
        <v>138</v>
      </c>
      <c r="AI1084" s="20" t="s">
        <v>138</v>
      </c>
      <c r="AJ1084" s="20" t="s">
        <v>138</v>
      </c>
      <c r="AK1084" s="15" t="s">
        <v>21142</v>
      </c>
      <c r="AL1084" s="15" t="s">
        <v>21143</v>
      </c>
      <c r="AM1084" s="15" t="s">
        <v>2194</v>
      </c>
      <c r="AN1084" s="15" t="s">
        <v>138</v>
      </c>
      <c r="AO1084" s="15" t="s">
        <v>21144</v>
      </c>
      <c r="AP1084" s="15" t="s">
        <v>11748</v>
      </c>
      <c r="AQ1084" s="15" t="s">
        <v>21145</v>
      </c>
      <c r="AR1084" s="15" t="s">
        <v>138</v>
      </c>
      <c r="AS1084" s="15" t="s">
        <v>11750</v>
      </c>
      <c r="AT1084" s="15" t="s">
        <v>200</v>
      </c>
      <c r="AU1084" s="15" t="s">
        <v>11751</v>
      </c>
      <c r="AV1084" s="15" t="s">
        <v>162</v>
      </c>
      <c r="AW1084" s="15" t="s">
        <v>21144</v>
      </c>
      <c r="AX1084" s="15" t="s">
        <v>138</v>
      </c>
      <c r="AY1084" s="15" t="s">
        <v>21146</v>
      </c>
      <c r="AZ1084" s="15" t="s">
        <v>164</v>
      </c>
      <c r="BA1084" s="15" t="s">
        <v>165</v>
      </c>
      <c r="BB1084" s="15" t="s">
        <v>21147</v>
      </c>
      <c r="BC1084" s="15" t="s">
        <v>21148</v>
      </c>
      <c r="BD1084" s="21">
        <v>7</v>
      </c>
      <c r="BE1084" s="15" t="s">
        <v>138</v>
      </c>
      <c r="BF1084" s="15" t="s">
        <v>138</v>
      </c>
      <c r="BG1084" s="15" t="s">
        <v>138</v>
      </c>
      <c r="BH1084" s="15" t="s">
        <v>21149</v>
      </c>
      <c r="BI1084" s="15" t="s">
        <v>138</v>
      </c>
      <c r="BJ1084" s="15" t="s">
        <v>138</v>
      </c>
      <c r="BK1084" s="15" t="s">
        <v>21150</v>
      </c>
      <c r="BL1084" s="15" t="s">
        <v>1038</v>
      </c>
      <c r="BM1084" s="22" t="s">
        <v>138</v>
      </c>
      <c r="BN1084" s="17">
        <v>6.4</v>
      </c>
      <c r="BO1084" s="15" t="s">
        <v>172</v>
      </c>
      <c r="BP1084" s="17">
        <v>51.2</v>
      </c>
      <c r="BQ1084" s="15" t="s">
        <v>172</v>
      </c>
      <c r="BR1084" s="15" t="s">
        <v>262</v>
      </c>
      <c r="BS1084" s="15" t="s">
        <v>206</v>
      </c>
      <c r="BT1084" s="15" t="s">
        <v>138</v>
      </c>
      <c r="BU1084" s="15" t="s">
        <v>263</v>
      </c>
      <c r="BV1084" s="15" t="s">
        <v>138</v>
      </c>
      <c r="BW1084" s="15" t="s">
        <v>138</v>
      </c>
      <c r="BX1084" s="15" t="s">
        <v>138</v>
      </c>
      <c r="BY1084" s="15" t="s">
        <v>175</v>
      </c>
      <c r="BZ1084" s="22">
        <v>43392</v>
      </c>
      <c r="CA1084" s="17">
        <v>40</v>
      </c>
      <c r="CB1084" s="15" t="s">
        <v>172</v>
      </c>
      <c r="CC1084" s="17">
        <v>121</v>
      </c>
      <c r="CD1084" s="15" t="s">
        <v>172</v>
      </c>
      <c r="CE1084" s="15" t="s">
        <v>173</v>
      </c>
      <c r="CF1084" s="15" t="s">
        <v>317</v>
      </c>
      <c r="CG1084" s="15" t="s">
        <v>138</v>
      </c>
      <c r="CH1084" s="15" t="s">
        <v>174</v>
      </c>
      <c r="CI1084" s="15" t="s">
        <v>138</v>
      </c>
      <c r="CJ1084" s="15" t="s">
        <v>138</v>
      </c>
      <c r="CK1084" s="15" t="s">
        <v>138</v>
      </c>
      <c r="CL1084" s="15" t="s">
        <v>175</v>
      </c>
      <c r="CM1084" s="22" t="s">
        <v>138</v>
      </c>
      <c r="CN1084" s="17" t="s">
        <v>138</v>
      </c>
      <c r="CO1084" s="23">
        <v>0.81</v>
      </c>
      <c r="CP1084" s="24">
        <v>96</v>
      </c>
      <c r="CQ1084" s="23">
        <v>-0.02</v>
      </c>
      <c r="CR1084" s="23">
        <v>-2.04</v>
      </c>
      <c r="CS1084" s="23">
        <v>0.51</v>
      </c>
      <c r="CT1084" s="24">
        <v>95</v>
      </c>
      <c r="CU1084" s="23">
        <v>1.1100000000000001</v>
      </c>
      <c r="CV1084" s="24">
        <v>98</v>
      </c>
      <c r="CW1084" s="23">
        <v>1.48</v>
      </c>
      <c r="CX1084" s="24">
        <v>86</v>
      </c>
      <c r="CY1084" s="23">
        <v>-0.45</v>
      </c>
      <c r="CZ1084" s="24">
        <v>22</v>
      </c>
      <c r="DA1084" s="23">
        <v>0.06</v>
      </c>
      <c r="DB1084" s="24">
        <v>65</v>
      </c>
      <c r="DC1084" s="25">
        <v>65.510000000000005</v>
      </c>
      <c r="DD1084" s="24">
        <v>98</v>
      </c>
      <c r="DE1084" s="25">
        <v>-1.29</v>
      </c>
      <c r="DF1084" s="23">
        <v>-1.93</v>
      </c>
      <c r="DG1084" s="25">
        <v>48.53</v>
      </c>
      <c r="DH1084" s="24">
        <v>98</v>
      </c>
      <c r="DI1084" s="25">
        <v>82.49</v>
      </c>
      <c r="DJ1084" s="24">
        <v>97</v>
      </c>
      <c r="DK1084" s="25">
        <v>40.1</v>
      </c>
      <c r="DL1084" s="24">
        <v>95</v>
      </c>
      <c r="DM1084" s="25">
        <v>56.97</v>
      </c>
      <c r="DN1084" s="24">
        <v>98</v>
      </c>
      <c r="DO1084" s="25">
        <v>12.33</v>
      </c>
      <c r="DP1084" s="24">
        <v>89</v>
      </c>
      <c r="DQ1084" s="24">
        <v>13786</v>
      </c>
      <c r="DR1084" s="26">
        <v>-93</v>
      </c>
      <c r="DS1084" s="23">
        <v>-0.67</v>
      </c>
      <c r="DT1084" s="24">
        <v>1650</v>
      </c>
      <c r="DU1084" s="26">
        <v>5</v>
      </c>
      <c r="DV1084" s="23">
        <v>0.3</v>
      </c>
      <c r="DW1084" s="24">
        <v>4420</v>
      </c>
      <c r="DX1084" s="27">
        <v>0</v>
      </c>
      <c r="DY1084" s="23">
        <v>0</v>
      </c>
      <c r="DZ1084" s="15" t="s">
        <v>178</v>
      </c>
      <c r="EA1084" s="22">
        <v>43598</v>
      </c>
      <c r="EB1084" s="17">
        <v>121</v>
      </c>
      <c r="EC1084" s="22">
        <v>43392</v>
      </c>
      <c r="ED1084" s="15" t="s">
        <v>173</v>
      </c>
      <c r="EE1084" s="14" t="str">
        <f>HYPERLINK("https://my.pitchbook.com?c=99334-09", "View company online")</f>
        <v>View company online</v>
      </c>
    </row>
    <row r="1085" spans="1:135">
      <c r="A1085" s="28" t="s">
        <v>21151</v>
      </c>
      <c r="B1085" s="28" t="s">
        <v>21152</v>
      </c>
      <c r="C1085" s="28" t="s">
        <v>138</v>
      </c>
      <c r="D1085" s="28" t="s">
        <v>138</v>
      </c>
      <c r="E1085" s="28" t="s">
        <v>21153</v>
      </c>
      <c r="F1085" s="28" t="s">
        <v>21151</v>
      </c>
      <c r="G1085" s="28" t="s">
        <v>21154</v>
      </c>
      <c r="H1085" s="28" t="s">
        <v>322</v>
      </c>
      <c r="I1085" s="28" t="s">
        <v>323</v>
      </c>
      <c r="J1085" s="28" t="s">
        <v>437</v>
      </c>
      <c r="K1085" s="28" t="s">
        <v>2406</v>
      </c>
      <c r="L1085" s="28" t="s">
        <v>6111</v>
      </c>
      <c r="M1085" s="28" t="s">
        <v>21155</v>
      </c>
      <c r="N1085" s="28" t="s">
        <v>147</v>
      </c>
      <c r="O1085" s="29">
        <v>2.5</v>
      </c>
      <c r="P1085" s="28" t="s">
        <v>610</v>
      </c>
      <c r="Q1085" s="28" t="s">
        <v>149</v>
      </c>
      <c r="R1085" s="28" t="s">
        <v>174</v>
      </c>
      <c r="S1085" s="28" t="s">
        <v>21156</v>
      </c>
      <c r="T1085" s="30">
        <v>4</v>
      </c>
      <c r="U1085" s="28" t="s">
        <v>4046</v>
      </c>
      <c r="V1085" s="28" t="s">
        <v>138</v>
      </c>
      <c r="W1085" s="28" t="s">
        <v>138</v>
      </c>
      <c r="X1085" s="31">
        <v>2012</v>
      </c>
      <c r="Y1085" s="28" t="s">
        <v>138</v>
      </c>
      <c r="Z1085" s="28" t="s">
        <v>138</v>
      </c>
      <c r="AA1085" s="28" t="s">
        <v>138</v>
      </c>
      <c r="AB1085" s="32" t="s">
        <v>138</v>
      </c>
      <c r="AC1085" s="32" t="s">
        <v>138</v>
      </c>
      <c r="AD1085" s="32" t="s">
        <v>138</v>
      </c>
      <c r="AE1085" s="32" t="s">
        <v>138</v>
      </c>
      <c r="AF1085" s="32" t="s">
        <v>138</v>
      </c>
      <c r="AG1085" s="28" t="s">
        <v>138</v>
      </c>
      <c r="AH1085" s="32" t="s">
        <v>138</v>
      </c>
      <c r="AI1085" s="32" t="s">
        <v>138</v>
      </c>
      <c r="AJ1085" s="32" t="s">
        <v>138</v>
      </c>
      <c r="AK1085" s="28" t="s">
        <v>21157</v>
      </c>
      <c r="AL1085" s="28" t="s">
        <v>21158</v>
      </c>
      <c r="AM1085" s="28" t="s">
        <v>304</v>
      </c>
      <c r="AN1085" s="28" t="s">
        <v>21159</v>
      </c>
      <c r="AO1085" s="28" t="s">
        <v>21160</v>
      </c>
      <c r="AP1085" s="28" t="s">
        <v>1870</v>
      </c>
      <c r="AQ1085" s="28" t="s">
        <v>21161</v>
      </c>
      <c r="AR1085" s="28" t="s">
        <v>138</v>
      </c>
      <c r="AS1085" s="28" t="s">
        <v>1872</v>
      </c>
      <c r="AT1085" s="28" t="s">
        <v>200</v>
      </c>
      <c r="AU1085" s="28" t="s">
        <v>4423</v>
      </c>
      <c r="AV1085" s="28" t="s">
        <v>162</v>
      </c>
      <c r="AW1085" s="28" t="s">
        <v>138</v>
      </c>
      <c r="AX1085" s="28" t="s">
        <v>138</v>
      </c>
      <c r="AY1085" s="28" t="s">
        <v>21162</v>
      </c>
      <c r="AZ1085" s="28" t="s">
        <v>164</v>
      </c>
      <c r="BA1085" s="28" t="s">
        <v>165</v>
      </c>
      <c r="BB1085" s="28" t="s">
        <v>21163</v>
      </c>
      <c r="BC1085" s="28" t="s">
        <v>21164</v>
      </c>
      <c r="BD1085" s="33">
        <v>8</v>
      </c>
      <c r="BE1085" s="28" t="s">
        <v>138</v>
      </c>
      <c r="BF1085" s="28" t="s">
        <v>138</v>
      </c>
      <c r="BG1085" s="28" t="s">
        <v>138</v>
      </c>
      <c r="BH1085" s="28" t="s">
        <v>21165</v>
      </c>
      <c r="BI1085" s="28" t="s">
        <v>138</v>
      </c>
      <c r="BJ1085" s="28" t="s">
        <v>138</v>
      </c>
      <c r="BK1085" s="28" t="s">
        <v>138</v>
      </c>
      <c r="BL1085" s="28" t="s">
        <v>138</v>
      </c>
      <c r="BM1085" s="34">
        <v>42577</v>
      </c>
      <c r="BN1085" s="29">
        <v>2.5</v>
      </c>
      <c r="BO1085" s="28" t="s">
        <v>172</v>
      </c>
      <c r="BP1085" s="29" t="s">
        <v>138</v>
      </c>
      <c r="BQ1085" s="28" t="s">
        <v>138</v>
      </c>
      <c r="BR1085" s="28" t="s">
        <v>234</v>
      </c>
      <c r="BS1085" s="28" t="s">
        <v>234</v>
      </c>
      <c r="BT1085" s="28" t="s">
        <v>138</v>
      </c>
      <c r="BU1085" s="28" t="s">
        <v>174</v>
      </c>
      <c r="BV1085" s="28" t="s">
        <v>138</v>
      </c>
      <c r="BW1085" s="28" t="s">
        <v>138</v>
      </c>
      <c r="BX1085" s="28" t="s">
        <v>138</v>
      </c>
      <c r="BY1085" s="28" t="s">
        <v>175</v>
      </c>
      <c r="BZ1085" s="34">
        <v>42577</v>
      </c>
      <c r="CA1085" s="29">
        <v>2.5</v>
      </c>
      <c r="CB1085" s="28" t="s">
        <v>172</v>
      </c>
      <c r="CC1085" s="29" t="s">
        <v>138</v>
      </c>
      <c r="CD1085" s="28" t="s">
        <v>138</v>
      </c>
      <c r="CE1085" s="28" t="s">
        <v>234</v>
      </c>
      <c r="CF1085" s="28" t="s">
        <v>234</v>
      </c>
      <c r="CG1085" s="28" t="s">
        <v>138</v>
      </c>
      <c r="CH1085" s="28" t="s">
        <v>174</v>
      </c>
      <c r="CI1085" s="28" t="s">
        <v>138</v>
      </c>
      <c r="CJ1085" s="28" t="s">
        <v>138</v>
      </c>
      <c r="CK1085" s="28" t="s">
        <v>138</v>
      </c>
      <c r="CL1085" s="28" t="s">
        <v>175</v>
      </c>
      <c r="CM1085" s="34" t="s">
        <v>138</v>
      </c>
      <c r="CN1085" s="29" t="s">
        <v>138</v>
      </c>
      <c r="CO1085" s="35">
        <v>0.05</v>
      </c>
      <c r="CP1085" s="36">
        <v>88</v>
      </c>
      <c r="CQ1085" s="35">
        <v>0</v>
      </c>
      <c r="CR1085" s="35">
        <v>-5.12</v>
      </c>
      <c r="CS1085" s="35">
        <v>0</v>
      </c>
      <c r="CT1085" s="36">
        <v>23</v>
      </c>
      <c r="CU1085" s="35">
        <v>0.11</v>
      </c>
      <c r="CV1085" s="36">
        <v>70</v>
      </c>
      <c r="CW1085" s="35">
        <v>0</v>
      </c>
      <c r="CX1085" s="36">
        <v>13</v>
      </c>
      <c r="CY1085" s="35" t="s">
        <v>138</v>
      </c>
      <c r="CZ1085" s="36" t="s">
        <v>138</v>
      </c>
      <c r="DA1085" s="35">
        <v>0.04</v>
      </c>
      <c r="DB1085" s="36">
        <v>62</v>
      </c>
      <c r="DC1085" s="37">
        <v>4.0199999999999996</v>
      </c>
      <c r="DD1085" s="36">
        <v>80</v>
      </c>
      <c r="DE1085" s="37">
        <v>-0.09</v>
      </c>
      <c r="DF1085" s="35">
        <v>-2.17</v>
      </c>
      <c r="DG1085" s="37">
        <v>1.66</v>
      </c>
      <c r="DH1085" s="36">
        <v>63</v>
      </c>
      <c r="DI1085" s="37">
        <v>6.37</v>
      </c>
      <c r="DJ1085" s="36">
        <v>80</v>
      </c>
      <c r="DK1085" s="37">
        <v>1.66</v>
      </c>
      <c r="DL1085" s="36">
        <v>61</v>
      </c>
      <c r="DM1085" s="37" t="s">
        <v>138</v>
      </c>
      <c r="DN1085" s="36" t="s">
        <v>138</v>
      </c>
      <c r="DO1085" s="37">
        <v>12.18</v>
      </c>
      <c r="DP1085" s="36">
        <v>89</v>
      </c>
      <c r="DQ1085" s="36">
        <v>544</v>
      </c>
      <c r="DR1085" s="38">
        <v>79</v>
      </c>
      <c r="DS1085" s="35">
        <v>16.989999999999998</v>
      </c>
      <c r="DT1085" s="36" t="s">
        <v>138</v>
      </c>
      <c r="DU1085" s="38" t="s">
        <v>138</v>
      </c>
      <c r="DV1085" s="35" t="s">
        <v>138</v>
      </c>
      <c r="DW1085" s="36">
        <v>4360</v>
      </c>
      <c r="DX1085" s="39">
        <v>-3</v>
      </c>
      <c r="DY1085" s="35">
        <v>-7.0000000000000007E-2</v>
      </c>
      <c r="DZ1085" s="28" t="s">
        <v>178</v>
      </c>
      <c r="EA1085" s="34">
        <v>43351</v>
      </c>
      <c r="EB1085" s="29" t="s">
        <v>138</v>
      </c>
      <c r="EC1085" s="34" t="s">
        <v>138</v>
      </c>
      <c r="ED1085" s="28" t="s">
        <v>138</v>
      </c>
      <c r="EE1085" s="40" t="str">
        <f>HYPERLINK("https://my.pitchbook.com?c=118358-47", "View company online")</f>
        <v>View company online</v>
      </c>
    </row>
    <row r="1086" spans="1:135">
      <c r="A1086" s="15" t="s">
        <v>21166</v>
      </c>
      <c r="B1086" s="15" t="s">
        <v>21167</v>
      </c>
      <c r="C1086" s="15" t="s">
        <v>138</v>
      </c>
      <c r="D1086" s="15" t="s">
        <v>138</v>
      </c>
      <c r="E1086" s="15" t="s">
        <v>138</v>
      </c>
      <c r="F1086" s="15" t="s">
        <v>21166</v>
      </c>
      <c r="G1086" s="15" t="s">
        <v>21168</v>
      </c>
      <c r="H1086" s="15" t="s">
        <v>141</v>
      </c>
      <c r="I1086" s="15" t="s">
        <v>212</v>
      </c>
      <c r="J1086" s="15" t="s">
        <v>3169</v>
      </c>
      <c r="K1086" s="15" t="s">
        <v>21169</v>
      </c>
      <c r="L1086" s="15" t="s">
        <v>21170</v>
      </c>
      <c r="M1086" s="15" t="s">
        <v>21171</v>
      </c>
      <c r="N1086" s="15" t="s">
        <v>147</v>
      </c>
      <c r="O1086" s="17" t="s">
        <v>138</v>
      </c>
      <c r="P1086" s="15" t="s">
        <v>148</v>
      </c>
      <c r="Q1086" s="15" t="s">
        <v>149</v>
      </c>
      <c r="R1086" s="15" t="s">
        <v>174</v>
      </c>
      <c r="S1086" s="15" t="s">
        <v>21172</v>
      </c>
      <c r="T1086" s="18">
        <v>15</v>
      </c>
      <c r="U1086" s="15" t="s">
        <v>7917</v>
      </c>
      <c r="V1086" s="15" t="s">
        <v>138</v>
      </c>
      <c r="W1086" s="15" t="s">
        <v>138</v>
      </c>
      <c r="X1086" s="19">
        <v>2016</v>
      </c>
      <c r="Y1086" s="15" t="s">
        <v>138</v>
      </c>
      <c r="Z1086" s="15" t="s">
        <v>138</v>
      </c>
      <c r="AA1086" s="15" t="s">
        <v>138</v>
      </c>
      <c r="AB1086" s="20" t="s">
        <v>138</v>
      </c>
      <c r="AC1086" s="20" t="s">
        <v>138</v>
      </c>
      <c r="AD1086" s="20" t="s">
        <v>138</v>
      </c>
      <c r="AE1086" s="20" t="s">
        <v>138</v>
      </c>
      <c r="AF1086" s="20" t="s">
        <v>138</v>
      </c>
      <c r="AG1086" s="15" t="s">
        <v>138</v>
      </c>
      <c r="AH1086" s="20" t="s">
        <v>138</v>
      </c>
      <c r="AI1086" s="20" t="s">
        <v>138</v>
      </c>
      <c r="AJ1086" s="20" t="s">
        <v>138</v>
      </c>
      <c r="AK1086" s="15" t="s">
        <v>21173</v>
      </c>
      <c r="AL1086" s="15" t="s">
        <v>21174</v>
      </c>
      <c r="AM1086" s="15" t="s">
        <v>21175</v>
      </c>
      <c r="AN1086" s="15" t="s">
        <v>138</v>
      </c>
      <c r="AO1086" s="15" t="s">
        <v>21176</v>
      </c>
      <c r="AP1086" s="15" t="s">
        <v>21177</v>
      </c>
      <c r="AQ1086" s="15" t="s">
        <v>21178</v>
      </c>
      <c r="AR1086" s="15" t="s">
        <v>21179</v>
      </c>
      <c r="AS1086" s="15" t="s">
        <v>21180</v>
      </c>
      <c r="AT1086" s="15" t="s">
        <v>138</v>
      </c>
      <c r="AU1086" s="15" t="s">
        <v>21181</v>
      </c>
      <c r="AV1086" s="15" t="s">
        <v>1200</v>
      </c>
      <c r="AW1086" s="15" t="s">
        <v>21176</v>
      </c>
      <c r="AX1086" s="15" t="s">
        <v>21182</v>
      </c>
      <c r="AY1086" s="15" t="s">
        <v>21183</v>
      </c>
      <c r="AZ1086" s="15" t="s">
        <v>452</v>
      </c>
      <c r="BA1086" s="15" t="s">
        <v>453</v>
      </c>
      <c r="BB1086" s="15" t="s">
        <v>21184</v>
      </c>
      <c r="BC1086" s="15" t="s">
        <v>3186</v>
      </c>
      <c r="BD1086" s="21">
        <v>1</v>
      </c>
      <c r="BE1086" s="15" t="s">
        <v>138</v>
      </c>
      <c r="BF1086" s="15" t="s">
        <v>138</v>
      </c>
      <c r="BG1086" s="15" t="s">
        <v>138</v>
      </c>
      <c r="BH1086" s="15" t="s">
        <v>138</v>
      </c>
      <c r="BI1086" s="15" t="s">
        <v>138</v>
      </c>
      <c r="BJ1086" s="15" t="s">
        <v>138</v>
      </c>
      <c r="BK1086" s="15" t="s">
        <v>138</v>
      </c>
      <c r="BL1086" s="15" t="s">
        <v>138</v>
      </c>
      <c r="BM1086" s="22">
        <v>42888</v>
      </c>
      <c r="BN1086" s="17" t="s">
        <v>138</v>
      </c>
      <c r="BO1086" s="15" t="s">
        <v>138</v>
      </c>
      <c r="BP1086" s="17" t="s">
        <v>138</v>
      </c>
      <c r="BQ1086" s="15" t="s">
        <v>138</v>
      </c>
      <c r="BR1086" s="15" t="s">
        <v>205</v>
      </c>
      <c r="BS1086" s="15" t="s">
        <v>206</v>
      </c>
      <c r="BT1086" s="15" t="s">
        <v>138</v>
      </c>
      <c r="BU1086" s="15" t="s">
        <v>174</v>
      </c>
      <c r="BV1086" s="15" t="s">
        <v>138</v>
      </c>
      <c r="BW1086" s="15" t="s">
        <v>138</v>
      </c>
      <c r="BX1086" s="15" t="s">
        <v>138</v>
      </c>
      <c r="BY1086" s="15" t="s">
        <v>175</v>
      </c>
      <c r="BZ1086" s="22">
        <v>42888</v>
      </c>
      <c r="CA1086" s="17" t="s">
        <v>138</v>
      </c>
      <c r="CB1086" s="15" t="s">
        <v>138</v>
      </c>
      <c r="CC1086" s="17" t="s">
        <v>138</v>
      </c>
      <c r="CD1086" s="15" t="s">
        <v>138</v>
      </c>
      <c r="CE1086" s="15" t="s">
        <v>205</v>
      </c>
      <c r="CF1086" s="15" t="s">
        <v>206</v>
      </c>
      <c r="CG1086" s="15" t="s">
        <v>138</v>
      </c>
      <c r="CH1086" s="15" t="s">
        <v>174</v>
      </c>
      <c r="CI1086" s="15" t="s">
        <v>138</v>
      </c>
      <c r="CJ1086" s="15" t="s">
        <v>138</v>
      </c>
      <c r="CK1086" s="15" t="s">
        <v>138</v>
      </c>
      <c r="CL1086" s="15" t="s">
        <v>175</v>
      </c>
      <c r="CM1086" s="22" t="s">
        <v>138</v>
      </c>
      <c r="CN1086" s="17" t="s">
        <v>138</v>
      </c>
      <c r="CO1086" s="23">
        <v>0</v>
      </c>
      <c r="CP1086" s="24">
        <v>26</v>
      </c>
      <c r="CQ1086" s="23">
        <v>0</v>
      </c>
      <c r="CR1086" s="23">
        <v>0</v>
      </c>
      <c r="CS1086" s="23">
        <v>0</v>
      </c>
      <c r="CT1086" s="24">
        <v>23</v>
      </c>
      <c r="CU1086" s="23" t="s">
        <v>138</v>
      </c>
      <c r="CV1086" s="24" t="s">
        <v>138</v>
      </c>
      <c r="CW1086" s="23" t="s">
        <v>138</v>
      </c>
      <c r="CX1086" s="24" t="s">
        <v>138</v>
      </c>
      <c r="CY1086" s="23">
        <v>0</v>
      </c>
      <c r="CZ1086" s="24">
        <v>25</v>
      </c>
      <c r="DA1086" s="23" t="s">
        <v>138</v>
      </c>
      <c r="DB1086" s="24" t="s">
        <v>138</v>
      </c>
      <c r="DC1086" s="25">
        <v>1.31</v>
      </c>
      <c r="DD1086" s="24">
        <v>57</v>
      </c>
      <c r="DE1086" s="25">
        <v>0.1</v>
      </c>
      <c r="DF1086" s="23">
        <v>8.57</v>
      </c>
      <c r="DG1086" s="25">
        <v>1.31</v>
      </c>
      <c r="DH1086" s="24">
        <v>57</v>
      </c>
      <c r="DI1086" s="25" t="s">
        <v>138</v>
      </c>
      <c r="DJ1086" s="24" t="s">
        <v>138</v>
      </c>
      <c r="DK1086" s="25" t="s">
        <v>138</v>
      </c>
      <c r="DL1086" s="24" t="s">
        <v>138</v>
      </c>
      <c r="DM1086" s="25">
        <v>1.31</v>
      </c>
      <c r="DN1086" s="24">
        <v>56</v>
      </c>
      <c r="DO1086" s="25" t="s">
        <v>138</v>
      </c>
      <c r="DP1086" s="24" t="s">
        <v>138</v>
      </c>
      <c r="DQ1086" s="24" t="s">
        <v>138</v>
      </c>
      <c r="DR1086" s="26" t="s">
        <v>138</v>
      </c>
      <c r="DS1086" s="23" t="s">
        <v>138</v>
      </c>
      <c r="DT1086" s="24">
        <v>36</v>
      </c>
      <c r="DU1086" s="26">
        <v>3</v>
      </c>
      <c r="DV1086" s="23">
        <v>9.09</v>
      </c>
      <c r="DW1086" s="24" t="s">
        <v>138</v>
      </c>
      <c r="DX1086" s="27" t="s">
        <v>138</v>
      </c>
      <c r="DY1086" s="23" t="s">
        <v>138</v>
      </c>
      <c r="DZ1086" s="15" t="s">
        <v>178</v>
      </c>
      <c r="EA1086" s="22">
        <v>43467</v>
      </c>
      <c r="EB1086" s="17" t="s">
        <v>138</v>
      </c>
      <c r="EC1086" s="22" t="s">
        <v>138</v>
      </c>
      <c r="ED1086" s="15" t="s">
        <v>138</v>
      </c>
      <c r="EE1086" s="14" t="str">
        <f>HYPERLINK("https://my.pitchbook.com?c=185684-86", "View company online")</f>
        <v>View company online</v>
      </c>
    </row>
    <row r="1087" spans="1:135">
      <c r="A1087" s="28" t="s">
        <v>21185</v>
      </c>
      <c r="B1087" s="28" t="s">
        <v>21186</v>
      </c>
      <c r="C1087" s="28" t="s">
        <v>138</v>
      </c>
      <c r="D1087" s="28" t="s">
        <v>138</v>
      </c>
      <c r="E1087" s="28" t="s">
        <v>138</v>
      </c>
      <c r="F1087" s="28" t="s">
        <v>21185</v>
      </c>
      <c r="G1087" s="28" t="s">
        <v>21187</v>
      </c>
      <c r="H1087" s="28" t="s">
        <v>322</v>
      </c>
      <c r="I1087" s="28" t="s">
        <v>323</v>
      </c>
      <c r="J1087" s="28" t="s">
        <v>324</v>
      </c>
      <c r="K1087" s="28" t="s">
        <v>11795</v>
      </c>
      <c r="L1087" s="28" t="s">
        <v>242</v>
      </c>
      <c r="M1087" s="28" t="s">
        <v>21188</v>
      </c>
      <c r="N1087" s="28" t="s">
        <v>147</v>
      </c>
      <c r="O1087" s="29" t="s">
        <v>138</v>
      </c>
      <c r="P1087" s="28" t="s">
        <v>610</v>
      </c>
      <c r="Q1087" s="28" t="s">
        <v>149</v>
      </c>
      <c r="R1087" s="28" t="s">
        <v>174</v>
      </c>
      <c r="S1087" s="28" t="s">
        <v>21189</v>
      </c>
      <c r="T1087" s="30" t="s">
        <v>138</v>
      </c>
      <c r="U1087" s="28" t="s">
        <v>138</v>
      </c>
      <c r="V1087" s="28" t="s">
        <v>138</v>
      </c>
      <c r="W1087" s="28" t="s">
        <v>138</v>
      </c>
      <c r="X1087" s="31" t="s">
        <v>138</v>
      </c>
      <c r="Y1087" s="28" t="s">
        <v>138</v>
      </c>
      <c r="Z1087" s="28" t="s">
        <v>138</v>
      </c>
      <c r="AA1087" s="28" t="s">
        <v>138</v>
      </c>
      <c r="AB1087" s="32" t="s">
        <v>138</v>
      </c>
      <c r="AC1087" s="32" t="s">
        <v>138</v>
      </c>
      <c r="AD1087" s="32" t="s">
        <v>138</v>
      </c>
      <c r="AE1087" s="32" t="s">
        <v>138</v>
      </c>
      <c r="AF1087" s="32" t="s">
        <v>138</v>
      </c>
      <c r="AG1087" s="28" t="s">
        <v>138</v>
      </c>
      <c r="AH1087" s="32" t="s">
        <v>138</v>
      </c>
      <c r="AI1087" s="32" t="s">
        <v>138</v>
      </c>
      <c r="AJ1087" s="32" t="s">
        <v>138</v>
      </c>
      <c r="AK1087" s="28" t="s">
        <v>21190</v>
      </c>
      <c r="AL1087" s="28" t="s">
        <v>21191</v>
      </c>
      <c r="AM1087" s="28" t="s">
        <v>249</v>
      </c>
      <c r="AN1087" s="28" t="s">
        <v>21192</v>
      </c>
      <c r="AO1087" s="28" t="s">
        <v>138</v>
      </c>
      <c r="AP1087" s="28" t="s">
        <v>21193</v>
      </c>
      <c r="AQ1087" s="28" t="s">
        <v>21194</v>
      </c>
      <c r="AR1087" s="28" t="s">
        <v>21195</v>
      </c>
      <c r="AS1087" s="28" t="s">
        <v>21196</v>
      </c>
      <c r="AT1087" s="28" t="s">
        <v>138</v>
      </c>
      <c r="AU1087" s="28" t="s">
        <v>138</v>
      </c>
      <c r="AV1087" s="28" t="s">
        <v>21196</v>
      </c>
      <c r="AW1087" s="28" t="s">
        <v>138</v>
      </c>
      <c r="AX1087" s="28" t="s">
        <v>138</v>
      </c>
      <c r="AY1087" s="28" t="s">
        <v>138</v>
      </c>
      <c r="AZ1087" s="28" t="s">
        <v>452</v>
      </c>
      <c r="BA1087" s="28" t="s">
        <v>453</v>
      </c>
      <c r="BB1087" s="28" t="s">
        <v>21197</v>
      </c>
      <c r="BC1087" s="28" t="s">
        <v>21198</v>
      </c>
      <c r="BD1087" s="33">
        <v>1</v>
      </c>
      <c r="BE1087" s="28" t="s">
        <v>138</v>
      </c>
      <c r="BF1087" s="28" t="s">
        <v>138</v>
      </c>
      <c r="BG1087" s="28" t="s">
        <v>138</v>
      </c>
      <c r="BH1087" s="28" t="s">
        <v>21199</v>
      </c>
      <c r="BI1087" s="28" t="s">
        <v>138</v>
      </c>
      <c r="BJ1087" s="28" t="s">
        <v>138</v>
      </c>
      <c r="BK1087" s="28" t="s">
        <v>138</v>
      </c>
      <c r="BL1087" s="28" t="s">
        <v>138</v>
      </c>
      <c r="BM1087" s="34" t="s">
        <v>138</v>
      </c>
      <c r="BN1087" s="29" t="s">
        <v>138</v>
      </c>
      <c r="BO1087" s="28" t="s">
        <v>138</v>
      </c>
      <c r="BP1087" s="29" t="s">
        <v>138</v>
      </c>
      <c r="BQ1087" s="28" t="s">
        <v>138</v>
      </c>
      <c r="BR1087" s="28" t="s">
        <v>205</v>
      </c>
      <c r="BS1087" s="28" t="s">
        <v>138</v>
      </c>
      <c r="BT1087" s="28" t="s">
        <v>138</v>
      </c>
      <c r="BU1087" s="28" t="s">
        <v>174</v>
      </c>
      <c r="BV1087" s="28" t="s">
        <v>138</v>
      </c>
      <c r="BW1087" s="28" t="s">
        <v>138</v>
      </c>
      <c r="BX1087" s="28" t="s">
        <v>138</v>
      </c>
      <c r="BY1087" s="28" t="s">
        <v>175</v>
      </c>
      <c r="BZ1087" s="34" t="s">
        <v>138</v>
      </c>
      <c r="CA1087" s="29" t="s">
        <v>138</v>
      </c>
      <c r="CB1087" s="28" t="s">
        <v>138</v>
      </c>
      <c r="CC1087" s="29" t="s">
        <v>138</v>
      </c>
      <c r="CD1087" s="28" t="s">
        <v>138</v>
      </c>
      <c r="CE1087" s="28" t="s">
        <v>205</v>
      </c>
      <c r="CF1087" s="28" t="s">
        <v>138</v>
      </c>
      <c r="CG1087" s="28" t="s">
        <v>138</v>
      </c>
      <c r="CH1087" s="28" t="s">
        <v>174</v>
      </c>
      <c r="CI1087" s="28" t="s">
        <v>138</v>
      </c>
      <c r="CJ1087" s="28" t="s">
        <v>138</v>
      </c>
      <c r="CK1087" s="28" t="s">
        <v>138</v>
      </c>
      <c r="CL1087" s="28" t="s">
        <v>175</v>
      </c>
      <c r="CM1087" s="34" t="s">
        <v>138</v>
      </c>
      <c r="CN1087" s="29" t="s">
        <v>138</v>
      </c>
      <c r="CO1087" s="35">
        <v>0</v>
      </c>
      <c r="CP1087" s="36">
        <v>26</v>
      </c>
      <c r="CQ1087" s="35">
        <v>0</v>
      </c>
      <c r="CR1087" s="35">
        <v>0</v>
      </c>
      <c r="CS1087" s="35">
        <v>0</v>
      </c>
      <c r="CT1087" s="36">
        <v>23</v>
      </c>
      <c r="CU1087" s="35" t="s">
        <v>138</v>
      </c>
      <c r="CV1087" s="36" t="s">
        <v>138</v>
      </c>
      <c r="CW1087" s="35" t="s">
        <v>138</v>
      </c>
      <c r="CX1087" s="36" t="s">
        <v>138</v>
      </c>
      <c r="CY1087" s="35">
        <v>0</v>
      </c>
      <c r="CZ1087" s="36">
        <v>25</v>
      </c>
      <c r="DA1087" s="35" t="s">
        <v>138</v>
      </c>
      <c r="DB1087" s="36" t="s">
        <v>138</v>
      </c>
      <c r="DC1087" s="37">
        <v>0.1</v>
      </c>
      <c r="DD1087" s="36">
        <v>7</v>
      </c>
      <c r="DE1087" s="37">
        <v>0</v>
      </c>
      <c r="DF1087" s="35">
        <v>0</v>
      </c>
      <c r="DG1087" s="37">
        <v>0.1</v>
      </c>
      <c r="DH1087" s="36">
        <v>7</v>
      </c>
      <c r="DI1087" s="37" t="s">
        <v>138</v>
      </c>
      <c r="DJ1087" s="36" t="s">
        <v>138</v>
      </c>
      <c r="DK1087" s="37" t="s">
        <v>138</v>
      </c>
      <c r="DL1087" s="36" t="s">
        <v>138</v>
      </c>
      <c r="DM1087" s="37">
        <v>0.1</v>
      </c>
      <c r="DN1087" s="36">
        <v>8</v>
      </c>
      <c r="DO1087" s="37" t="s">
        <v>138</v>
      </c>
      <c r="DP1087" s="36" t="s">
        <v>138</v>
      </c>
      <c r="DQ1087" s="36" t="s">
        <v>138</v>
      </c>
      <c r="DR1087" s="38" t="s">
        <v>138</v>
      </c>
      <c r="DS1087" s="35" t="s">
        <v>138</v>
      </c>
      <c r="DT1087" s="36">
        <v>3</v>
      </c>
      <c r="DU1087" s="38">
        <v>0</v>
      </c>
      <c r="DV1087" s="35">
        <v>0</v>
      </c>
      <c r="DW1087" s="36" t="s">
        <v>138</v>
      </c>
      <c r="DX1087" s="39" t="s">
        <v>138</v>
      </c>
      <c r="DY1087" s="35" t="s">
        <v>138</v>
      </c>
      <c r="DZ1087" s="28" t="s">
        <v>178</v>
      </c>
      <c r="EA1087" s="34">
        <v>43351</v>
      </c>
      <c r="EB1087" s="29" t="s">
        <v>138</v>
      </c>
      <c r="EC1087" s="34" t="s">
        <v>138</v>
      </c>
      <c r="ED1087" s="28" t="s">
        <v>138</v>
      </c>
      <c r="EE1087" s="40" t="str">
        <f>HYPERLINK("https://my.pitchbook.com?c=229322-89", "View company online")</f>
        <v>View company online</v>
      </c>
    </row>
    <row r="1088" spans="1:135">
      <c r="A1088" s="15" t="s">
        <v>21200</v>
      </c>
      <c r="B1088" s="15" t="s">
        <v>21201</v>
      </c>
      <c r="C1088" s="15" t="s">
        <v>21202</v>
      </c>
      <c r="D1088" s="15" t="s">
        <v>21203</v>
      </c>
      <c r="E1088" s="15" t="s">
        <v>21204</v>
      </c>
      <c r="F1088" s="15" t="s">
        <v>21200</v>
      </c>
      <c r="G1088" s="15" t="s">
        <v>21205</v>
      </c>
      <c r="H1088" s="15" t="s">
        <v>322</v>
      </c>
      <c r="I1088" s="15" t="s">
        <v>323</v>
      </c>
      <c r="J1088" s="15" t="s">
        <v>413</v>
      </c>
      <c r="K1088" s="15" t="s">
        <v>21206</v>
      </c>
      <c r="L1088" s="15" t="s">
        <v>2274</v>
      </c>
      <c r="M1088" s="15" t="s">
        <v>21207</v>
      </c>
      <c r="N1088" s="15" t="s">
        <v>147</v>
      </c>
      <c r="O1088" s="17">
        <v>40.5</v>
      </c>
      <c r="P1088" s="15" t="s">
        <v>148</v>
      </c>
      <c r="Q1088" s="15" t="s">
        <v>149</v>
      </c>
      <c r="R1088" s="15" t="s">
        <v>174</v>
      </c>
      <c r="S1088" s="15" t="s">
        <v>21208</v>
      </c>
      <c r="T1088" s="18">
        <v>15</v>
      </c>
      <c r="U1088" s="15" t="s">
        <v>21209</v>
      </c>
      <c r="V1088" s="15" t="s">
        <v>138</v>
      </c>
      <c r="W1088" s="15" t="s">
        <v>138</v>
      </c>
      <c r="X1088" s="19">
        <v>2007</v>
      </c>
      <c r="Y1088" s="15" t="s">
        <v>138</v>
      </c>
      <c r="Z1088" s="15" t="s">
        <v>138</v>
      </c>
      <c r="AA1088" s="15" t="s">
        <v>138</v>
      </c>
      <c r="AB1088" s="20">
        <v>7.8</v>
      </c>
      <c r="AC1088" s="20" t="s">
        <v>138</v>
      </c>
      <c r="AD1088" s="20" t="s">
        <v>138</v>
      </c>
      <c r="AE1088" s="20" t="s">
        <v>138</v>
      </c>
      <c r="AF1088" s="20" t="s">
        <v>138</v>
      </c>
      <c r="AG1088" s="15" t="s">
        <v>633</v>
      </c>
      <c r="AH1088" s="20" t="s">
        <v>138</v>
      </c>
      <c r="AI1088" s="20" t="s">
        <v>138</v>
      </c>
      <c r="AJ1088" s="20" t="s">
        <v>138</v>
      </c>
      <c r="AK1088" s="15" t="s">
        <v>21210</v>
      </c>
      <c r="AL1088" s="15" t="s">
        <v>21211</v>
      </c>
      <c r="AM1088" s="15" t="s">
        <v>221</v>
      </c>
      <c r="AN1088" s="15" t="s">
        <v>21212</v>
      </c>
      <c r="AO1088" s="15" t="s">
        <v>138</v>
      </c>
      <c r="AP1088" s="15" t="s">
        <v>1870</v>
      </c>
      <c r="AQ1088" s="15" t="s">
        <v>21213</v>
      </c>
      <c r="AR1088" s="15" t="s">
        <v>138</v>
      </c>
      <c r="AS1088" s="15" t="s">
        <v>1872</v>
      </c>
      <c r="AT1088" s="15" t="s">
        <v>200</v>
      </c>
      <c r="AU1088" s="15" t="s">
        <v>21214</v>
      </c>
      <c r="AV1088" s="15" t="s">
        <v>162</v>
      </c>
      <c r="AW1088" s="15" t="s">
        <v>138</v>
      </c>
      <c r="AX1088" s="15" t="s">
        <v>138</v>
      </c>
      <c r="AY1088" s="15" t="s">
        <v>21215</v>
      </c>
      <c r="AZ1088" s="15" t="s">
        <v>164</v>
      </c>
      <c r="BA1088" s="15" t="s">
        <v>165</v>
      </c>
      <c r="BB1088" s="15" t="s">
        <v>21216</v>
      </c>
      <c r="BC1088" s="15" t="s">
        <v>21217</v>
      </c>
      <c r="BD1088" s="21">
        <v>8</v>
      </c>
      <c r="BE1088" s="15" t="s">
        <v>138</v>
      </c>
      <c r="BF1088" s="15" t="s">
        <v>138</v>
      </c>
      <c r="BG1088" s="15" t="s">
        <v>138</v>
      </c>
      <c r="BH1088" s="15" t="s">
        <v>21218</v>
      </c>
      <c r="BI1088" s="15" t="s">
        <v>138</v>
      </c>
      <c r="BJ1088" s="15" t="s">
        <v>138</v>
      </c>
      <c r="BK1088" s="15" t="s">
        <v>21219</v>
      </c>
      <c r="BL1088" s="15" t="s">
        <v>21220</v>
      </c>
      <c r="BM1088" s="22">
        <v>39352</v>
      </c>
      <c r="BN1088" s="17">
        <v>5</v>
      </c>
      <c r="BO1088" s="15" t="s">
        <v>172</v>
      </c>
      <c r="BP1088" s="17">
        <v>10</v>
      </c>
      <c r="BQ1088" s="15" t="s">
        <v>172</v>
      </c>
      <c r="BR1088" s="15" t="s">
        <v>205</v>
      </c>
      <c r="BS1088" s="15" t="s">
        <v>206</v>
      </c>
      <c r="BT1088" s="15" t="s">
        <v>138</v>
      </c>
      <c r="BU1088" s="15" t="s">
        <v>174</v>
      </c>
      <c r="BV1088" s="15" t="s">
        <v>138</v>
      </c>
      <c r="BW1088" s="15" t="s">
        <v>138</v>
      </c>
      <c r="BX1088" s="15" t="s">
        <v>138</v>
      </c>
      <c r="BY1088" s="15" t="s">
        <v>175</v>
      </c>
      <c r="BZ1088" s="22">
        <v>42551</v>
      </c>
      <c r="CA1088" s="17">
        <v>13.5</v>
      </c>
      <c r="CB1088" s="15" t="s">
        <v>172</v>
      </c>
      <c r="CC1088" s="17">
        <v>94</v>
      </c>
      <c r="CD1088" s="15" t="s">
        <v>172</v>
      </c>
      <c r="CE1088" s="15" t="s">
        <v>173</v>
      </c>
      <c r="CF1088" s="15" t="s">
        <v>433</v>
      </c>
      <c r="CG1088" s="15" t="s">
        <v>138</v>
      </c>
      <c r="CH1088" s="15" t="s">
        <v>174</v>
      </c>
      <c r="CI1088" s="15" t="s">
        <v>138</v>
      </c>
      <c r="CJ1088" s="15" t="s">
        <v>138</v>
      </c>
      <c r="CK1088" s="15" t="s">
        <v>138</v>
      </c>
      <c r="CL1088" s="15" t="s">
        <v>175</v>
      </c>
      <c r="CM1088" s="22" t="s">
        <v>138</v>
      </c>
      <c r="CN1088" s="17" t="s">
        <v>138</v>
      </c>
      <c r="CO1088" s="23">
        <v>-4.7300000000000004</v>
      </c>
      <c r="CP1088" s="24">
        <v>1</v>
      </c>
      <c r="CQ1088" s="23">
        <v>-0.03</v>
      </c>
      <c r="CR1088" s="23">
        <v>-0.59</v>
      </c>
      <c r="CS1088" s="23">
        <v>-9.44</v>
      </c>
      <c r="CT1088" s="24">
        <v>1</v>
      </c>
      <c r="CU1088" s="23">
        <v>-0.01</v>
      </c>
      <c r="CV1088" s="24">
        <v>20</v>
      </c>
      <c r="CW1088" s="23">
        <v>-17.16</v>
      </c>
      <c r="CX1088" s="24">
        <v>1</v>
      </c>
      <c r="CY1088" s="23">
        <v>-1.73</v>
      </c>
      <c r="CZ1088" s="24">
        <v>13</v>
      </c>
      <c r="DA1088" s="23">
        <v>-0.01</v>
      </c>
      <c r="DB1088" s="24">
        <v>21</v>
      </c>
      <c r="DC1088" s="25">
        <v>417.81</v>
      </c>
      <c r="DD1088" s="24">
        <v>100</v>
      </c>
      <c r="DE1088" s="25">
        <v>1.96</v>
      </c>
      <c r="DF1088" s="23">
        <v>0.47</v>
      </c>
      <c r="DG1088" s="25">
        <v>13.37</v>
      </c>
      <c r="DH1088" s="24">
        <v>92</v>
      </c>
      <c r="DI1088" s="25">
        <v>822.25</v>
      </c>
      <c r="DJ1088" s="24">
        <v>100</v>
      </c>
      <c r="DK1088" s="25">
        <v>7.47</v>
      </c>
      <c r="DL1088" s="24">
        <v>84</v>
      </c>
      <c r="DM1088" s="25">
        <v>19.28</v>
      </c>
      <c r="DN1088" s="24">
        <v>94</v>
      </c>
      <c r="DO1088" s="25">
        <v>822.25</v>
      </c>
      <c r="DP1088" s="24">
        <v>100</v>
      </c>
      <c r="DQ1088" s="24">
        <v>2926</v>
      </c>
      <c r="DR1088" s="26">
        <v>-1093</v>
      </c>
      <c r="DS1088" s="23">
        <v>-27.2</v>
      </c>
      <c r="DT1088" s="24">
        <v>560</v>
      </c>
      <c r="DU1088" s="26">
        <v>-2</v>
      </c>
      <c r="DV1088" s="23">
        <v>-0.36</v>
      </c>
      <c r="DW1088" s="24">
        <v>294394</v>
      </c>
      <c r="DX1088" s="27">
        <v>-16</v>
      </c>
      <c r="DY1088" s="23">
        <v>-0.01</v>
      </c>
      <c r="DZ1088" s="15" t="s">
        <v>178</v>
      </c>
      <c r="EA1088" s="22">
        <v>43622</v>
      </c>
      <c r="EB1088" s="17">
        <v>94</v>
      </c>
      <c r="EC1088" s="22">
        <v>42551</v>
      </c>
      <c r="ED1088" s="15" t="s">
        <v>173</v>
      </c>
      <c r="EE1088" s="14" t="str">
        <f>HYPERLINK("https://my.pitchbook.com?c=52842-61", "View company online")</f>
        <v>View company online</v>
      </c>
    </row>
    <row r="1089" spans="1:135">
      <c r="A1089" s="28" t="s">
        <v>21221</v>
      </c>
      <c r="B1089" s="28" t="s">
        <v>21222</v>
      </c>
      <c r="C1089" s="28" t="s">
        <v>138</v>
      </c>
      <c r="D1089" s="28" t="s">
        <v>21223</v>
      </c>
      <c r="E1089" s="28" t="s">
        <v>138</v>
      </c>
      <c r="F1089" s="28" t="s">
        <v>21221</v>
      </c>
      <c r="G1089" s="28" t="s">
        <v>21224</v>
      </c>
      <c r="H1089" s="28" t="s">
        <v>238</v>
      </c>
      <c r="I1089" s="28" t="s">
        <v>239</v>
      </c>
      <c r="J1089" s="28" t="s">
        <v>2578</v>
      </c>
      <c r="K1089" s="28" t="s">
        <v>21225</v>
      </c>
      <c r="L1089" s="28" t="s">
        <v>14099</v>
      </c>
      <c r="M1089" s="28" t="s">
        <v>21226</v>
      </c>
      <c r="N1089" s="28" t="s">
        <v>147</v>
      </c>
      <c r="O1089" s="29" t="s">
        <v>138</v>
      </c>
      <c r="P1089" s="28" t="s">
        <v>148</v>
      </c>
      <c r="Q1089" s="28" t="s">
        <v>149</v>
      </c>
      <c r="R1089" s="28" t="s">
        <v>174</v>
      </c>
      <c r="S1089" s="28" t="s">
        <v>21227</v>
      </c>
      <c r="T1089" s="30">
        <v>21</v>
      </c>
      <c r="U1089" s="28" t="s">
        <v>21228</v>
      </c>
      <c r="V1089" s="28" t="s">
        <v>138</v>
      </c>
      <c r="W1089" s="28" t="s">
        <v>138</v>
      </c>
      <c r="X1089" s="31">
        <v>2005</v>
      </c>
      <c r="Y1089" s="28" t="s">
        <v>138</v>
      </c>
      <c r="Z1089" s="28" t="s">
        <v>138</v>
      </c>
      <c r="AA1089" s="28" t="s">
        <v>138</v>
      </c>
      <c r="AB1089" s="32" t="s">
        <v>138</v>
      </c>
      <c r="AC1089" s="32" t="s">
        <v>138</v>
      </c>
      <c r="AD1089" s="32">
        <v>-0.69</v>
      </c>
      <c r="AE1089" s="32" t="s">
        <v>138</v>
      </c>
      <c r="AF1089" s="32" t="s">
        <v>138</v>
      </c>
      <c r="AG1089" s="28" t="s">
        <v>3077</v>
      </c>
      <c r="AH1089" s="32" t="s">
        <v>138</v>
      </c>
      <c r="AI1089" s="32" t="s">
        <v>138</v>
      </c>
      <c r="AJ1089" s="32" t="s">
        <v>138</v>
      </c>
      <c r="AK1089" s="28" t="s">
        <v>21229</v>
      </c>
      <c r="AL1089" s="28" t="s">
        <v>21230</v>
      </c>
      <c r="AM1089" s="28" t="s">
        <v>6209</v>
      </c>
      <c r="AN1089" s="28" t="s">
        <v>21231</v>
      </c>
      <c r="AO1089" s="28" t="s">
        <v>21232</v>
      </c>
      <c r="AP1089" s="28" t="s">
        <v>21233</v>
      </c>
      <c r="AQ1089" s="28" t="s">
        <v>21234</v>
      </c>
      <c r="AR1089" s="28" t="s">
        <v>138</v>
      </c>
      <c r="AS1089" s="28" t="s">
        <v>21235</v>
      </c>
      <c r="AT1089" s="28" t="s">
        <v>138</v>
      </c>
      <c r="AU1089" s="28" t="s">
        <v>21236</v>
      </c>
      <c r="AV1089" s="28" t="s">
        <v>946</v>
      </c>
      <c r="AW1089" s="28" t="s">
        <v>21232</v>
      </c>
      <c r="AX1089" s="28" t="s">
        <v>21237</v>
      </c>
      <c r="AY1089" s="28" t="s">
        <v>21238</v>
      </c>
      <c r="AZ1089" s="28" t="s">
        <v>530</v>
      </c>
      <c r="BA1089" s="28" t="s">
        <v>531</v>
      </c>
      <c r="BB1089" s="28" t="s">
        <v>21239</v>
      </c>
      <c r="BC1089" s="28" t="s">
        <v>21240</v>
      </c>
      <c r="BD1089" s="33">
        <v>12</v>
      </c>
      <c r="BE1089" s="28" t="s">
        <v>138</v>
      </c>
      <c r="BF1089" s="28" t="s">
        <v>21241</v>
      </c>
      <c r="BG1089" s="28" t="s">
        <v>138</v>
      </c>
      <c r="BH1089" s="28" t="s">
        <v>21242</v>
      </c>
      <c r="BI1089" s="28" t="s">
        <v>21243</v>
      </c>
      <c r="BJ1089" s="28" t="s">
        <v>138</v>
      </c>
      <c r="BK1089" s="28" t="s">
        <v>138</v>
      </c>
      <c r="BL1089" s="28" t="s">
        <v>138</v>
      </c>
      <c r="BM1089" s="34">
        <v>38880</v>
      </c>
      <c r="BN1089" s="29" t="s">
        <v>138</v>
      </c>
      <c r="BO1089" s="28" t="s">
        <v>138</v>
      </c>
      <c r="BP1089" s="29" t="s">
        <v>138</v>
      </c>
      <c r="BQ1089" s="28" t="s">
        <v>138</v>
      </c>
      <c r="BR1089" s="28" t="s">
        <v>234</v>
      </c>
      <c r="BS1089" s="28" t="s">
        <v>234</v>
      </c>
      <c r="BT1089" s="28" t="s">
        <v>138</v>
      </c>
      <c r="BU1089" s="28" t="s">
        <v>174</v>
      </c>
      <c r="BV1089" s="28" t="s">
        <v>138</v>
      </c>
      <c r="BW1089" s="28" t="s">
        <v>138</v>
      </c>
      <c r="BX1089" s="28" t="s">
        <v>138</v>
      </c>
      <c r="BY1089" s="28" t="s">
        <v>175</v>
      </c>
      <c r="BZ1089" s="34">
        <v>42029</v>
      </c>
      <c r="CA1089" s="29" t="s">
        <v>138</v>
      </c>
      <c r="CB1089" s="28" t="s">
        <v>138</v>
      </c>
      <c r="CC1089" s="29" t="s">
        <v>138</v>
      </c>
      <c r="CD1089" s="28" t="s">
        <v>138</v>
      </c>
      <c r="CE1089" s="28" t="s">
        <v>379</v>
      </c>
      <c r="CF1089" s="28" t="s">
        <v>138</v>
      </c>
      <c r="CG1089" s="28" t="s">
        <v>138</v>
      </c>
      <c r="CH1089" s="28" t="s">
        <v>174</v>
      </c>
      <c r="CI1089" s="28" t="s">
        <v>138</v>
      </c>
      <c r="CJ1089" s="28" t="s">
        <v>138</v>
      </c>
      <c r="CK1089" s="28" t="s">
        <v>138</v>
      </c>
      <c r="CL1089" s="28" t="s">
        <v>175</v>
      </c>
      <c r="CM1089" s="34" t="s">
        <v>138</v>
      </c>
      <c r="CN1089" s="29" t="s">
        <v>138</v>
      </c>
      <c r="CO1089" s="35">
        <v>-0.65</v>
      </c>
      <c r="CP1089" s="36">
        <v>14</v>
      </c>
      <c r="CQ1089" s="35">
        <v>-0.01</v>
      </c>
      <c r="CR1089" s="35">
        <v>-1.56</v>
      </c>
      <c r="CS1089" s="35">
        <v>-1.3</v>
      </c>
      <c r="CT1089" s="36">
        <v>13</v>
      </c>
      <c r="CU1089" s="35">
        <v>0</v>
      </c>
      <c r="CV1089" s="36">
        <v>22</v>
      </c>
      <c r="CW1089" s="35">
        <v>0</v>
      </c>
      <c r="CX1089" s="36">
        <v>13</v>
      </c>
      <c r="CY1089" s="35">
        <v>-2.59</v>
      </c>
      <c r="CZ1089" s="36">
        <v>8</v>
      </c>
      <c r="DA1089" s="35">
        <v>-0.05</v>
      </c>
      <c r="DB1089" s="36">
        <v>13</v>
      </c>
      <c r="DC1089" s="37">
        <v>18.420000000000002</v>
      </c>
      <c r="DD1089" s="36">
        <v>94</v>
      </c>
      <c r="DE1089" s="37">
        <v>-0.16</v>
      </c>
      <c r="DF1089" s="35">
        <v>-0.87</v>
      </c>
      <c r="DG1089" s="37">
        <v>35.5</v>
      </c>
      <c r="DH1089" s="36">
        <v>97</v>
      </c>
      <c r="DI1089" s="37">
        <v>1.33</v>
      </c>
      <c r="DJ1089" s="36">
        <v>55</v>
      </c>
      <c r="DK1089" s="37">
        <v>1.08</v>
      </c>
      <c r="DL1089" s="36">
        <v>52</v>
      </c>
      <c r="DM1089" s="37">
        <v>69.930000000000007</v>
      </c>
      <c r="DN1089" s="36">
        <v>99</v>
      </c>
      <c r="DO1089" s="37">
        <v>1.46</v>
      </c>
      <c r="DP1089" s="36">
        <v>58</v>
      </c>
      <c r="DQ1089" s="36">
        <v>372</v>
      </c>
      <c r="DR1089" s="38">
        <v>-8</v>
      </c>
      <c r="DS1089" s="35">
        <v>-2.11</v>
      </c>
      <c r="DT1089" s="36">
        <v>2034</v>
      </c>
      <c r="DU1089" s="38">
        <v>-8</v>
      </c>
      <c r="DV1089" s="35">
        <v>-0.39</v>
      </c>
      <c r="DW1089" s="36">
        <v>521</v>
      </c>
      <c r="DX1089" s="39">
        <v>1</v>
      </c>
      <c r="DY1089" s="35">
        <v>0.19</v>
      </c>
      <c r="DZ1089" s="28" t="s">
        <v>178</v>
      </c>
      <c r="EA1089" s="34">
        <v>43580</v>
      </c>
      <c r="EB1089" s="29" t="s">
        <v>138</v>
      </c>
      <c r="EC1089" s="34" t="s">
        <v>138</v>
      </c>
      <c r="ED1089" s="28" t="s">
        <v>138</v>
      </c>
      <c r="EE1089" s="40" t="str">
        <f>HYPERLINK("https://my.pitchbook.com?c=60120-28", "View company online")</f>
        <v>View company online</v>
      </c>
    </row>
    <row r="1090" spans="1:135">
      <c r="A1090" s="15" t="s">
        <v>21244</v>
      </c>
      <c r="B1090" s="15" t="s">
        <v>21245</v>
      </c>
      <c r="C1090" s="15" t="s">
        <v>138</v>
      </c>
      <c r="D1090" s="15" t="s">
        <v>138</v>
      </c>
      <c r="E1090" s="15" t="s">
        <v>21246</v>
      </c>
      <c r="F1090" s="15" t="s">
        <v>21244</v>
      </c>
      <c r="G1090" s="15" t="s">
        <v>21247</v>
      </c>
      <c r="H1090" s="15" t="s">
        <v>322</v>
      </c>
      <c r="I1090" s="15" t="s">
        <v>323</v>
      </c>
      <c r="J1090" s="15" t="s">
        <v>413</v>
      </c>
      <c r="K1090" s="15" t="s">
        <v>17601</v>
      </c>
      <c r="L1090" s="15" t="s">
        <v>21248</v>
      </c>
      <c r="M1090" s="15" t="s">
        <v>21249</v>
      </c>
      <c r="N1090" s="15" t="s">
        <v>147</v>
      </c>
      <c r="O1090" s="17">
        <v>31.17</v>
      </c>
      <c r="P1090" s="15" t="s">
        <v>148</v>
      </c>
      <c r="Q1090" s="15" t="s">
        <v>149</v>
      </c>
      <c r="R1090" s="15" t="s">
        <v>174</v>
      </c>
      <c r="S1090" s="15" t="s">
        <v>21250</v>
      </c>
      <c r="T1090" s="18">
        <v>86</v>
      </c>
      <c r="U1090" s="15" t="s">
        <v>21251</v>
      </c>
      <c r="V1090" s="15" t="s">
        <v>138</v>
      </c>
      <c r="W1090" s="15" t="s">
        <v>138</v>
      </c>
      <c r="X1090" s="19">
        <v>2010</v>
      </c>
      <c r="Y1090" s="15" t="s">
        <v>138</v>
      </c>
      <c r="Z1090" s="15" t="s">
        <v>138</v>
      </c>
      <c r="AA1090" s="15" t="s">
        <v>138</v>
      </c>
      <c r="AB1090" s="20">
        <v>20</v>
      </c>
      <c r="AC1090" s="20" t="s">
        <v>138</v>
      </c>
      <c r="AD1090" s="20" t="s">
        <v>138</v>
      </c>
      <c r="AE1090" s="20" t="s">
        <v>138</v>
      </c>
      <c r="AF1090" s="20" t="s">
        <v>138</v>
      </c>
      <c r="AG1090" s="15" t="s">
        <v>707</v>
      </c>
      <c r="AH1090" s="20" t="s">
        <v>138</v>
      </c>
      <c r="AI1090" s="20" t="s">
        <v>138</v>
      </c>
      <c r="AJ1090" s="20" t="s">
        <v>138</v>
      </c>
      <c r="AK1090" s="15" t="s">
        <v>21252</v>
      </c>
      <c r="AL1090" s="15" t="s">
        <v>21253</v>
      </c>
      <c r="AM1090" s="15" t="s">
        <v>249</v>
      </c>
      <c r="AN1090" s="15" t="s">
        <v>21254</v>
      </c>
      <c r="AO1090" s="15" t="s">
        <v>21255</v>
      </c>
      <c r="AP1090" s="15" t="s">
        <v>665</v>
      </c>
      <c r="AQ1090" s="15" t="s">
        <v>21256</v>
      </c>
      <c r="AR1090" s="15" t="s">
        <v>138</v>
      </c>
      <c r="AS1090" s="15" t="s">
        <v>668</v>
      </c>
      <c r="AT1090" s="15" t="s">
        <v>200</v>
      </c>
      <c r="AU1090" s="15" t="s">
        <v>3557</v>
      </c>
      <c r="AV1090" s="15" t="s">
        <v>162</v>
      </c>
      <c r="AW1090" s="15" t="s">
        <v>21255</v>
      </c>
      <c r="AX1090" s="15" t="s">
        <v>138</v>
      </c>
      <c r="AY1090" s="15" t="s">
        <v>21257</v>
      </c>
      <c r="AZ1090" s="15" t="s">
        <v>164</v>
      </c>
      <c r="BA1090" s="15" t="s">
        <v>165</v>
      </c>
      <c r="BB1090" s="15" t="s">
        <v>21258</v>
      </c>
      <c r="BC1090" s="15" t="s">
        <v>21259</v>
      </c>
      <c r="BD1090" s="21">
        <v>24</v>
      </c>
      <c r="BE1090" s="15" t="s">
        <v>138</v>
      </c>
      <c r="BF1090" s="15" t="s">
        <v>138</v>
      </c>
      <c r="BG1090" s="15" t="s">
        <v>138</v>
      </c>
      <c r="BH1090" s="15" t="s">
        <v>21260</v>
      </c>
      <c r="BI1090" s="15" t="s">
        <v>138</v>
      </c>
      <c r="BJ1090" s="15" t="s">
        <v>138</v>
      </c>
      <c r="BK1090" s="15" t="s">
        <v>21261</v>
      </c>
      <c r="BL1090" s="15" t="s">
        <v>1251</v>
      </c>
      <c r="BM1090" s="22">
        <v>40478</v>
      </c>
      <c r="BN1090" s="17">
        <v>0.3</v>
      </c>
      <c r="BO1090" s="15" t="s">
        <v>172</v>
      </c>
      <c r="BP1090" s="17">
        <v>0.59</v>
      </c>
      <c r="BQ1090" s="15" t="s">
        <v>172</v>
      </c>
      <c r="BR1090" s="15" t="s">
        <v>234</v>
      </c>
      <c r="BS1090" s="15" t="s">
        <v>234</v>
      </c>
      <c r="BT1090" s="15" t="s">
        <v>138</v>
      </c>
      <c r="BU1090" s="15" t="s">
        <v>174</v>
      </c>
      <c r="BV1090" s="15" t="s">
        <v>138</v>
      </c>
      <c r="BW1090" s="15" t="s">
        <v>138</v>
      </c>
      <c r="BX1090" s="15" t="s">
        <v>138</v>
      </c>
      <c r="BY1090" s="15" t="s">
        <v>175</v>
      </c>
      <c r="BZ1090" s="22">
        <v>42570</v>
      </c>
      <c r="CA1090" s="17">
        <v>11.98</v>
      </c>
      <c r="CB1090" s="15" t="s">
        <v>172</v>
      </c>
      <c r="CC1090" s="17">
        <v>53.5</v>
      </c>
      <c r="CD1090" s="15" t="s">
        <v>172</v>
      </c>
      <c r="CE1090" s="15" t="s">
        <v>173</v>
      </c>
      <c r="CF1090" s="15" t="s">
        <v>317</v>
      </c>
      <c r="CG1090" s="15" t="s">
        <v>138</v>
      </c>
      <c r="CH1090" s="15" t="s">
        <v>174</v>
      </c>
      <c r="CI1090" s="15" t="s">
        <v>177</v>
      </c>
      <c r="CJ1090" s="15" t="s">
        <v>138</v>
      </c>
      <c r="CK1090" s="15" t="s">
        <v>138</v>
      </c>
      <c r="CL1090" s="15" t="s">
        <v>175</v>
      </c>
      <c r="CM1090" s="22" t="s">
        <v>138</v>
      </c>
      <c r="CN1090" s="17" t="s">
        <v>138</v>
      </c>
      <c r="CO1090" s="23">
        <v>0.92</v>
      </c>
      <c r="CP1090" s="24">
        <v>97</v>
      </c>
      <c r="CQ1090" s="23">
        <v>0</v>
      </c>
      <c r="CR1090" s="23">
        <v>-0.11</v>
      </c>
      <c r="CS1090" s="23">
        <v>1.89</v>
      </c>
      <c r="CT1090" s="24">
        <v>98</v>
      </c>
      <c r="CU1090" s="23">
        <v>-0.04</v>
      </c>
      <c r="CV1090" s="24">
        <v>12</v>
      </c>
      <c r="CW1090" s="23">
        <v>6.62</v>
      </c>
      <c r="CX1090" s="24">
        <v>98</v>
      </c>
      <c r="CY1090" s="23">
        <v>-2.84</v>
      </c>
      <c r="CZ1090" s="24">
        <v>7</v>
      </c>
      <c r="DA1090" s="23">
        <v>-0.04</v>
      </c>
      <c r="DB1090" s="24">
        <v>15</v>
      </c>
      <c r="DC1090" s="25">
        <v>32.590000000000003</v>
      </c>
      <c r="DD1090" s="24">
        <v>97</v>
      </c>
      <c r="DE1090" s="25">
        <v>-0.15</v>
      </c>
      <c r="DF1090" s="23">
        <v>-0.45</v>
      </c>
      <c r="DG1090" s="25">
        <v>30.06</v>
      </c>
      <c r="DH1090" s="24">
        <v>97</v>
      </c>
      <c r="DI1090" s="25">
        <v>35.119999999999997</v>
      </c>
      <c r="DJ1090" s="24">
        <v>94</v>
      </c>
      <c r="DK1090" s="25">
        <v>6.3</v>
      </c>
      <c r="DL1090" s="24">
        <v>82</v>
      </c>
      <c r="DM1090" s="25">
        <v>53.83</v>
      </c>
      <c r="DN1090" s="24">
        <v>98</v>
      </c>
      <c r="DO1090" s="25">
        <v>31.3</v>
      </c>
      <c r="DP1090" s="24">
        <v>95</v>
      </c>
      <c r="DQ1090" s="24">
        <v>2076</v>
      </c>
      <c r="DR1090" s="26">
        <v>251</v>
      </c>
      <c r="DS1090" s="23">
        <v>13.75</v>
      </c>
      <c r="DT1090" s="24">
        <v>1559</v>
      </c>
      <c r="DU1090" s="26">
        <v>1</v>
      </c>
      <c r="DV1090" s="23">
        <v>0.06</v>
      </c>
      <c r="DW1090" s="24">
        <v>11206</v>
      </c>
      <c r="DX1090" s="27">
        <v>-2</v>
      </c>
      <c r="DY1090" s="23">
        <v>-0.02</v>
      </c>
      <c r="DZ1090" s="15" t="s">
        <v>178</v>
      </c>
      <c r="EA1090" s="22">
        <v>43622</v>
      </c>
      <c r="EB1090" s="17">
        <v>53.5</v>
      </c>
      <c r="EC1090" s="22">
        <v>42570</v>
      </c>
      <c r="ED1090" s="15" t="s">
        <v>173</v>
      </c>
      <c r="EE1090" s="14" t="str">
        <f>HYPERLINK("https://my.pitchbook.com?c=51206-14", "View company online")</f>
        <v>View company online</v>
      </c>
    </row>
    <row r="1091" spans="1:135">
      <c r="A1091" s="28" t="s">
        <v>21262</v>
      </c>
      <c r="B1091" s="28" t="s">
        <v>21263</v>
      </c>
      <c r="C1091" s="28" t="s">
        <v>21264</v>
      </c>
      <c r="D1091" s="28" t="s">
        <v>138</v>
      </c>
      <c r="E1091" s="28" t="s">
        <v>21265</v>
      </c>
      <c r="F1091" s="28" t="s">
        <v>21262</v>
      </c>
      <c r="G1091" s="28" t="s">
        <v>21266</v>
      </c>
      <c r="H1091" s="28" t="s">
        <v>322</v>
      </c>
      <c r="I1091" s="28" t="s">
        <v>323</v>
      </c>
      <c r="J1091" s="28" t="s">
        <v>461</v>
      </c>
      <c r="K1091" s="28" t="s">
        <v>21267</v>
      </c>
      <c r="L1091" s="28" t="s">
        <v>2274</v>
      </c>
      <c r="M1091" s="28" t="s">
        <v>21268</v>
      </c>
      <c r="N1091" s="28" t="s">
        <v>147</v>
      </c>
      <c r="O1091" s="29">
        <v>7.3</v>
      </c>
      <c r="P1091" s="28" t="s">
        <v>148</v>
      </c>
      <c r="Q1091" s="28" t="s">
        <v>149</v>
      </c>
      <c r="R1091" s="28" t="s">
        <v>174</v>
      </c>
      <c r="S1091" s="28" t="s">
        <v>21269</v>
      </c>
      <c r="T1091" s="30">
        <v>66</v>
      </c>
      <c r="U1091" s="28" t="s">
        <v>21270</v>
      </c>
      <c r="V1091" s="28" t="s">
        <v>138</v>
      </c>
      <c r="W1091" s="28" t="s">
        <v>138</v>
      </c>
      <c r="X1091" s="31">
        <v>2010</v>
      </c>
      <c r="Y1091" s="28" t="s">
        <v>138</v>
      </c>
      <c r="Z1091" s="28" t="s">
        <v>138</v>
      </c>
      <c r="AA1091" s="28" t="s">
        <v>138</v>
      </c>
      <c r="AB1091" s="32" t="s">
        <v>138</v>
      </c>
      <c r="AC1091" s="32" t="s">
        <v>138</v>
      </c>
      <c r="AD1091" s="32" t="s">
        <v>138</v>
      </c>
      <c r="AE1091" s="32" t="s">
        <v>138</v>
      </c>
      <c r="AF1091" s="32" t="s">
        <v>138</v>
      </c>
      <c r="AG1091" s="28" t="s">
        <v>138</v>
      </c>
      <c r="AH1091" s="32" t="s">
        <v>138</v>
      </c>
      <c r="AI1091" s="32" t="s">
        <v>138</v>
      </c>
      <c r="AJ1091" s="32" t="s">
        <v>138</v>
      </c>
      <c r="AK1091" s="28" t="s">
        <v>21271</v>
      </c>
      <c r="AL1091" s="28" t="s">
        <v>21272</v>
      </c>
      <c r="AM1091" s="28" t="s">
        <v>249</v>
      </c>
      <c r="AN1091" s="28" t="s">
        <v>21273</v>
      </c>
      <c r="AO1091" s="28" t="s">
        <v>21274</v>
      </c>
      <c r="AP1091" s="28" t="s">
        <v>3668</v>
      </c>
      <c r="AQ1091" s="28" t="s">
        <v>21275</v>
      </c>
      <c r="AR1091" s="28" t="s">
        <v>3180</v>
      </c>
      <c r="AS1091" s="28" t="s">
        <v>3670</v>
      </c>
      <c r="AT1091" s="28" t="s">
        <v>200</v>
      </c>
      <c r="AU1091" s="28" t="s">
        <v>20130</v>
      </c>
      <c r="AV1091" s="28" t="s">
        <v>162</v>
      </c>
      <c r="AW1091" s="28" t="s">
        <v>21276</v>
      </c>
      <c r="AX1091" s="28" t="s">
        <v>138</v>
      </c>
      <c r="AY1091" s="28" t="s">
        <v>21277</v>
      </c>
      <c r="AZ1091" s="28" t="s">
        <v>164</v>
      </c>
      <c r="BA1091" s="28" t="s">
        <v>165</v>
      </c>
      <c r="BB1091" s="28" t="s">
        <v>21278</v>
      </c>
      <c r="BC1091" s="28" t="s">
        <v>21279</v>
      </c>
      <c r="BD1091" s="33">
        <v>9</v>
      </c>
      <c r="BE1091" s="28" t="s">
        <v>138</v>
      </c>
      <c r="BF1091" s="28" t="s">
        <v>138</v>
      </c>
      <c r="BG1091" s="28" t="s">
        <v>138</v>
      </c>
      <c r="BH1091" s="28" t="s">
        <v>21280</v>
      </c>
      <c r="BI1091" s="28" t="s">
        <v>138</v>
      </c>
      <c r="BJ1091" s="28" t="s">
        <v>138</v>
      </c>
      <c r="BK1091" s="28" t="s">
        <v>21281</v>
      </c>
      <c r="BL1091" s="28" t="s">
        <v>204</v>
      </c>
      <c r="BM1091" s="34">
        <v>40179</v>
      </c>
      <c r="BN1091" s="29" t="s">
        <v>138</v>
      </c>
      <c r="BO1091" s="28" t="s">
        <v>138</v>
      </c>
      <c r="BP1091" s="29" t="s">
        <v>138</v>
      </c>
      <c r="BQ1091" s="28" t="s">
        <v>138</v>
      </c>
      <c r="BR1091" s="28" t="s">
        <v>1423</v>
      </c>
      <c r="BS1091" s="28" t="s">
        <v>138</v>
      </c>
      <c r="BT1091" s="28" t="s">
        <v>138</v>
      </c>
      <c r="BU1091" s="28" t="s">
        <v>780</v>
      </c>
      <c r="BV1091" s="28" t="s">
        <v>138</v>
      </c>
      <c r="BW1091" s="28" t="s">
        <v>138</v>
      </c>
      <c r="BX1091" s="28" t="s">
        <v>138</v>
      </c>
      <c r="BY1091" s="28" t="s">
        <v>175</v>
      </c>
      <c r="BZ1091" s="34">
        <v>43542</v>
      </c>
      <c r="CA1091" s="29" t="s">
        <v>138</v>
      </c>
      <c r="CB1091" s="28" t="s">
        <v>138</v>
      </c>
      <c r="CC1091" s="29" t="s">
        <v>138</v>
      </c>
      <c r="CD1091" s="28" t="s">
        <v>138</v>
      </c>
      <c r="CE1091" s="28" t="s">
        <v>173</v>
      </c>
      <c r="CF1091" s="28" t="s">
        <v>138</v>
      </c>
      <c r="CG1091" s="28" t="s">
        <v>138</v>
      </c>
      <c r="CH1091" s="28" t="s">
        <v>174</v>
      </c>
      <c r="CI1091" s="28" t="s">
        <v>264</v>
      </c>
      <c r="CJ1091" s="28" t="s">
        <v>138</v>
      </c>
      <c r="CK1091" s="28" t="s">
        <v>138</v>
      </c>
      <c r="CL1091" s="28" t="s">
        <v>175</v>
      </c>
      <c r="CM1091" s="34" t="s">
        <v>138</v>
      </c>
      <c r="CN1091" s="29" t="s">
        <v>138</v>
      </c>
      <c r="CO1091" s="35">
        <v>-0.02</v>
      </c>
      <c r="CP1091" s="36">
        <v>24</v>
      </c>
      <c r="CQ1091" s="35">
        <v>0</v>
      </c>
      <c r="CR1091" s="35">
        <v>7.22</v>
      </c>
      <c r="CS1091" s="35">
        <v>0</v>
      </c>
      <c r="CT1091" s="36">
        <v>23</v>
      </c>
      <c r="CU1091" s="35">
        <v>-0.05</v>
      </c>
      <c r="CV1091" s="36">
        <v>9</v>
      </c>
      <c r="CW1091" s="35" t="s">
        <v>138</v>
      </c>
      <c r="CX1091" s="36" t="s">
        <v>138</v>
      </c>
      <c r="CY1091" s="35">
        <v>0</v>
      </c>
      <c r="CZ1091" s="36">
        <v>25</v>
      </c>
      <c r="DA1091" s="35">
        <v>-0.05</v>
      </c>
      <c r="DB1091" s="36">
        <v>13</v>
      </c>
      <c r="DC1091" s="37">
        <v>3.02</v>
      </c>
      <c r="DD1091" s="36">
        <v>75</v>
      </c>
      <c r="DE1091" s="37">
        <v>0.01</v>
      </c>
      <c r="DF1091" s="35">
        <v>0.35</v>
      </c>
      <c r="DG1091" s="37">
        <v>0.03</v>
      </c>
      <c r="DH1091" s="36">
        <v>1</v>
      </c>
      <c r="DI1091" s="37">
        <v>6.01</v>
      </c>
      <c r="DJ1091" s="36">
        <v>80</v>
      </c>
      <c r="DK1091" s="37" t="s">
        <v>138</v>
      </c>
      <c r="DL1091" s="36" t="s">
        <v>138</v>
      </c>
      <c r="DM1091" s="37">
        <v>0.03</v>
      </c>
      <c r="DN1091" s="36">
        <v>1</v>
      </c>
      <c r="DO1091" s="37">
        <v>9.2200000000000006</v>
      </c>
      <c r="DP1091" s="36">
        <v>86</v>
      </c>
      <c r="DQ1091" s="36" t="s">
        <v>138</v>
      </c>
      <c r="DR1091" s="38" t="s">
        <v>138</v>
      </c>
      <c r="DS1091" s="35" t="s">
        <v>138</v>
      </c>
      <c r="DT1091" s="36">
        <v>1</v>
      </c>
      <c r="DU1091" s="38">
        <v>0</v>
      </c>
      <c r="DV1091" s="35">
        <v>0</v>
      </c>
      <c r="DW1091" s="36">
        <v>3303</v>
      </c>
      <c r="DX1091" s="39">
        <v>0</v>
      </c>
      <c r="DY1091" s="35">
        <v>0</v>
      </c>
      <c r="DZ1091" s="28" t="s">
        <v>178</v>
      </c>
      <c r="EA1091" s="34">
        <v>43592</v>
      </c>
      <c r="EB1091" s="29" t="s">
        <v>138</v>
      </c>
      <c r="EC1091" s="34" t="s">
        <v>138</v>
      </c>
      <c r="ED1091" s="28" t="s">
        <v>138</v>
      </c>
      <c r="EE1091" s="40" t="str">
        <f>HYPERLINK("https://my.pitchbook.com?c=56920-87", "View company online")</f>
        <v>View company online</v>
      </c>
    </row>
    <row r="1092" spans="1:135">
      <c r="A1092" s="15" t="s">
        <v>21282</v>
      </c>
      <c r="B1092" s="15" t="s">
        <v>21283</v>
      </c>
      <c r="C1092" s="15" t="s">
        <v>138</v>
      </c>
      <c r="D1092" s="15" t="s">
        <v>138</v>
      </c>
      <c r="E1092" s="15" t="s">
        <v>21284</v>
      </c>
      <c r="F1092" s="15" t="s">
        <v>21282</v>
      </c>
      <c r="G1092" s="15" t="s">
        <v>21285</v>
      </c>
      <c r="H1092" s="15" t="s">
        <v>238</v>
      </c>
      <c r="I1092" s="15" t="s">
        <v>749</v>
      </c>
      <c r="J1092" s="15" t="s">
        <v>750</v>
      </c>
      <c r="K1092" s="15" t="s">
        <v>751</v>
      </c>
      <c r="L1092" s="15" t="s">
        <v>752</v>
      </c>
      <c r="M1092" s="15" t="s">
        <v>21286</v>
      </c>
      <c r="N1092" s="15" t="s">
        <v>147</v>
      </c>
      <c r="O1092" s="17">
        <v>12.32</v>
      </c>
      <c r="P1092" s="15" t="s">
        <v>148</v>
      </c>
      <c r="Q1092" s="15" t="s">
        <v>149</v>
      </c>
      <c r="R1092" s="15" t="s">
        <v>174</v>
      </c>
      <c r="S1092" s="15" t="s">
        <v>21287</v>
      </c>
      <c r="T1092" s="18" t="s">
        <v>138</v>
      </c>
      <c r="U1092" s="15" t="s">
        <v>138</v>
      </c>
      <c r="V1092" s="15" t="s">
        <v>138</v>
      </c>
      <c r="W1092" s="15" t="s">
        <v>138</v>
      </c>
      <c r="X1092" s="19">
        <v>2007</v>
      </c>
      <c r="Y1092" s="15" t="s">
        <v>138</v>
      </c>
      <c r="Z1092" s="15" t="s">
        <v>138</v>
      </c>
      <c r="AA1092" s="15" t="s">
        <v>138</v>
      </c>
      <c r="AB1092" s="20">
        <v>12.1</v>
      </c>
      <c r="AC1092" s="20" t="s">
        <v>138</v>
      </c>
      <c r="AD1092" s="20" t="s">
        <v>138</v>
      </c>
      <c r="AE1092" s="20" t="s">
        <v>138</v>
      </c>
      <c r="AF1092" s="20" t="s">
        <v>138</v>
      </c>
      <c r="AG1092" s="15" t="s">
        <v>419</v>
      </c>
      <c r="AH1092" s="20" t="s">
        <v>138</v>
      </c>
      <c r="AI1092" s="20" t="s">
        <v>138</v>
      </c>
      <c r="AJ1092" s="20" t="s">
        <v>138</v>
      </c>
      <c r="AK1092" s="15" t="s">
        <v>21288</v>
      </c>
      <c r="AL1092" s="15" t="s">
        <v>21289</v>
      </c>
      <c r="AM1092" s="15" t="s">
        <v>21290</v>
      </c>
      <c r="AN1092" s="15" t="s">
        <v>21291</v>
      </c>
      <c r="AO1092" s="15" t="s">
        <v>21292</v>
      </c>
      <c r="AP1092" s="15" t="s">
        <v>423</v>
      </c>
      <c r="AQ1092" s="15" t="s">
        <v>21293</v>
      </c>
      <c r="AR1092" s="15" t="s">
        <v>2153</v>
      </c>
      <c r="AS1092" s="15" t="s">
        <v>426</v>
      </c>
      <c r="AT1092" s="15" t="s">
        <v>426</v>
      </c>
      <c r="AU1092" s="15" t="s">
        <v>619</v>
      </c>
      <c r="AV1092" s="15" t="s">
        <v>162</v>
      </c>
      <c r="AW1092" s="15" t="s">
        <v>21292</v>
      </c>
      <c r="AX1092" s="15" t="s">
        <v>21292</v>
      </c>
      <c r="AY1092" s="15" t="s">
        <v>21294</v>
      </c>
      <c r="AZ1092" s="15" t="s">
        <v>164</v>
      </c>
      <c r="BA1092" s="15" t="s">
        <v>165</v>
      </c>
      <c r="BB1092" s="15" t="s">
        <v>21295</v>
      </c>
      <c r="BC1092" s="15" t="s">
        <v>21296</v>
      </c>
      <c r="BD1092" s="21">
        <v>3</v>
      </c>
      <c r="BE1092" s="15" t="s">
        <v>138</v>
      </c>
      <c r="BF1092" s="15" t="s">
        <v>138</v>
      </c>
      <c r="BG1092" s="15" t="s">
        <v>138</v>
      </c>
      <c r="BH1092" s="15" t="s">
        <v>21297</v>
      </c>
      <c r="BI1092" s="15" t="s">
        <v>138</v>
      </c>
      <c r="BJ1092" s="15" t="s">
        <v>138</v>
      </c>
      <c r="BK1092" s="15" t="s">
        <v>21298</v>
      </c>
      <c r="BL1092" s="15" t="s">
        <v>15319</v>
      </c>
      <c r="BM1092" s="22" t="s">
        <v>138</v>
      </c>
      <c r="BN1092" s="17" t="s">
        <v>138</v>
      </c>
      <c r="BO1092" s="15" t="s">
        <v>138</v>
      </c>
      <c r="BP1092" s="17" t="s">
        <v>138</v>
      </c>
      <c r="BQ1092" s="15" t="s">
        <v>138</v>
      </c>
      <c r="BR1092" s="15" t="s">
        <v>205</v>
      </c>
      <c r="BS1092" s="15" t="s">
        <v>138</v>
      </c>
      <c r="BT1092" s="15" t="s">
        <v>138</v>
      </c>
      <c r="BU1092" s="15" t="s">
        <v>174</v>
      </c>
      <c r="BV1092" s="15" t="s">
        <v>138</v>
      </c>
      <c r="BW1092" s="15" t="s">
        <v>138</v>
      </c>
      <c r="BX1092" s="15" t="s">
        <v>138</v>
      </c>
      <c r="BY1092" s="15" t="s">
        <v>175</v>
      </c>
      <c r="BZ1092" s="22">
        <v>43493</v>
      </c>
      <c r="CA1092" s="17">
        <v>2</v>
      </c>
      <c r="CB1092" s="15" t="s">
        <v>172</v>
      </c>
      <c r="CC1092" s="17" t="s">
        <v>138</v>
      </c>
      <c r="CD1092" s="15" t="s">
        <v>138</v>
      </c>
      <c r="CE1092" s="15" t="s">
        <v>173</v>
      </c>
      <c r="CF1092" s="15" t="s">
        <v>138</v>
      </c>
      <c r="CG1092" s="15" t="s">
        <v>138</v>
      </c>
      <c r="CH1092" s="15" t="s">
        <v>174</v>
      </c>
      <c r="CI1092" s="15" t="s">
        <v>264</v>
      </c>
      <c r="CJ1092" s="15" t="s">
        <v>138</v>
      </c>
      <c r="CK1092" s="15" t="s">
        <v>138</v>
      </c>
      <c r="CL1092" s="15" t="s">
        <v>175</v>
      </c>
      <c r="CM1092" s="22" t="s">
        <v>138</v>
      </c>
      <c r="CN1092" s="17" t="s">
        <v>138</v>
      </c>
      <c r="CO1092" s="23">
        <v>-0.32</v>
      </c>
      <c r="CP1092" s="24">
        <v>18</v>
      </c>
      <c r="CQ1092" s="23">
        <v>0</v>
      </c>
      <c r="CR1092" s="23">
        <v>0.42</v>
      </c>
      <c r="CS1092" s="23">
        <v>-0.61</v>
      </c>
      <c r="CT1092" s="24">
        <v>18</v>
      </c>
      <c r="CU1092" s="23">
        <v>-0.02</v>
      </c>
      <c r="CV1092" s="24">
        <v>17</v>
      </c>
      <c r="CW1092" s="23">
        <v>0</v>
      </c>
      <c r="CX1092" s="24">
        <v>13</v>
      </c>
      <c r="CY1092" s="23">
        <v>-1.22</v>
      </c>
      <c r="CZ1092" s="24">
        <v>17</v>
      </c>
      <c r="DA1092" s="23">
        <v>0</v>
      </c>
      <c r="DB1092" s="24">
        <v>22</v>
      </c>
      <c r="DC1092" s="25">
        <v>50.65</v>
      </c>
      <c r="DD1092" s="24">
        <v>98</v>
      </c>
      <c r="DE1092" s="25">
        <v>-0.05</v>
      </c>
      <c r="DF1092" s="23">
        <v>-0.09</v>
      </c>
      <c r="DG1092" s="25">
        <v>8.3000000000000007</v>
      </c>
      <c r="DH1092" s="24">
        <v>88</v>
      </c>
      <c r="DI1092" s="25">
        <v>93</v>
      </c>
      <c r="DJ1092" s="24">
        <v>97</v>
      </c>
      <c r="DK1092" s="25">
        <v>1.1100000000000001</v>
      </c>
      <c r="DL1092" s="24">
        <v>52</v>
      </c>
      <c r="DM1092" s="25">
        <v>15.48</v>
      </c>
      <c r="DN1092" s="24">
        <v>92</v>
      </c>
      <c r="DO1092" s="25">
        <v>25.92</v>
      </c>
      <c r="DP1092" s="24">
        <v>94</v>
      </c>
      <c r="DQ1092" s="24">
        <v>393</v>
      </c>
      <c r="DR1092" s="26">
        <v>-34</v>
      </c>
      <c r="DS1092" s="23">
        <v>-7.96</v>
      </c>
      <c r="DT1092" s="24">
        <v>449</v>
      </c>
      <c r="DU1092" s="26">
        <v>0</v>
      </c>
      <c r="DV1092" s="23">
        <v>0</v>
      </c>
      <c r="DW1092" s="24">
        <v>9279</v>
      </c>
      <c r="DX1092" s="27">
        <v>-3</v>
      </c>
      <c r="DY1092" s="23">
        <v>-0.03</v>
      </c>
      <c r="DZ1092" s="15" t="s">
        <v>178</v>
      </c>
      <c r="EA1092" s="22">
        <v>43564</v>
      </c>
      <c r="EB1092" s="17" t="s">
        <v>138</v>
      </c>
      <c r="EC1092" s="22" t="s">
        <v>138</v>
      </c>
      <c r="ED1092" s="15" t="s">
        <v>138</v>
      </c>
      <c r="EE1092" s="14" t="str">
        <f>HYPERLINK("https://my.pitchbook.com?c=149993-02", "View company online")</f>
        <v>View company online</v>
      </c>
    </row>
    <row r="1093" spans="1:135">
      <c r="A1093" s="28" t="s">
        <v>21299</v>
      </c>
      <c r="B1093" s="28" t="s">
        <v>21300</v>
      </c>
      <c r="C1093" s="28" t="s">
        <v>138</v>
      </c>
      <c r="D1093" s="28" t="s">
        <v>138</v>
      </c>
      <c r="E1093" s="28" t="s">
        <v>138</v>
      </c>
      <c r="F1093" s="28" t="s">
        <v>21299</v>
      </c>
      <c r="G1093" s="28" t="s">
        <v>21301</v>
      </c>
      <c r="H1093" s="28" t="s">
        <v>322</v>
      </c>
      <c r="I1093" s="28" t="s">
        <v>323</v>
      </c>
      <c r="J1093" s="28" t="s">
        <v>954</v>
      </c>
      <c r="K1093" s="28" t="s">
        <v>21302</v>
      </c>
      <c r="L1093" s="28" t="s">
        <v>21303</v>
      </c>
      <c r="M1093" s="28" t="s">
        <v>21304</v>
      </c>
      <c r="N1093" s="28" t="s">
        <v>147</v>
      </c>
      <c r="O1093" s="29">
        <v>0.12</v>
      </c>
      <c r="P1093" s="28" t="s">
        <v>610</v>
      </c>
      <c r="Q1093" s="28" t="s">
        <v>149</v>
      </c>
      <c r="R1093" s="28" t="s">
        <v>174</v>
      </c>
      <c r="S1093" s="28" t="s">
        <v>21305</v>
      </c>
      <c r="T1093" s="30">
        <v>11</v>
      </c>
      <c r="U1093" s="28" t="s">
        <v>3406</v>
      </c>
      <c r="V1093" s="28" t="s">
        <v>138</v>
      </c>
      <c r="W1093" s="28" t="s">
        <v>138</v>
      </c>
      <c r="X1093" s="31">
        <v>2014</v>
      </c>
      <c r="Y1093" s="28" t="s">
        <v>138</v>
      </c>
      <c r="Z1093" s="28" t="s">
        <v>138</v>
      </c>
      <c r="AA1093" s="28" t="s">
        <v>138</v>
      </c>
      <c r="AB1093" s="32" t="s">
        <v>138</v>
      </c>
      <c r="AC1093" s="32" t="s">
        <v>138</v>
      </c>
      <c r="AD1093" s="32" t="s">
        <v>138</v>
      </c>
      <c r="AE1093" s="32" t="s">
        <v>138</v>
      </c>
      <c r="AF1093" s="32" t="s">
        <v>138</v>
      </c>
      <c r="AG1093" s="28" t="s">
        <v>138</v>
      </c>
      <c r="AH1093" s="32" t="s">
        <v>138</v>
      </c>
      <c r="AI1093" s="32" t="s">
        <v>138</v>
      </c>
      <c r="AJ1093" s="32" t="s">
        <v>138</v>
      </c>
      <c r="AK1093" s="28" t="s">
        <v>21306</v>
      </c>
      <c r="AL1093" s="28" t="s">
        <v>21307</v>
      </c>
      <c r="AM1093" s="28" t="s">
        <v>4214</v>
      </c>
      <c r="AN1093" s="28" t="s">
        <v>21308</v>
      </c>
      <c r="AO1093" s="28" t="s">
        <v>138</v>
      </c>
      <c r="AP1093" s="28" t="s">
        <v>1244</v>
      </c>
      <c r="AQ1093" s="28" t="s">
        <v>21309</v>
      </c>
      <c r="AR1093" s="28" t="s">
        <v>138</v>
      </c>
      <c r="AS1093" s="28" t="s">
        <v>1246</v>
      </c>
      <c r="AT1093" s="28" t="s">
        <v>200</v>
      </c>
      <c r="AU1093" s="28" t="s">
        <v>844</v>
      </c>
      <c r="AV1093" s="28" t="s">
        <v>162</v>
      </c>
      <c r="AW1093" s="28" t="s">
        <v>138</v>
      </c>
      <c r="AX1093" s="28" t="s">
        <v>138</v>
      </c>
      <c r="AY1093" s="28" t="s">
        <v>138</v>
      </c>
      <c r="AZ1093" s="28" t="s">
        <v>164</v>
      </c>
      <c r="BA1093" s="28" t="s">
        <v>165</v>
      </c>
      <c r="BB1093" s="28" t="s">
        <v>21310</v>
      </c>
      <c r="BC1093" s="28" t="s">
        <v>21311</v>
      </c>
      <c r="BD1093" s="33">
        <v>12</v>
      </c>
      <c r="BE1093" s="28" t="s">
        <v>138</v>
      </c>
      <c r="BF1093" s="28" t="s">
        <v>138</v>
      </c>
      <c r="BG1093" s="28" t="s">
        <v>138</v>
      </c>
      <c r="BH1093" s="28" t="s">
        <v>21312</v>
      </c>
      <c r="BI1093" s="28" t="s">
        <v>138</v>
      </c>
      <c r="BJ1093" s="28" t="s">
        <v>138</v>
      </c>
      <c r="BK1093" s="28" t="s">
        <v>9270</v>
      </c>
      <c r="BL1093" s="28" t="s">
        <v>138</v>
      </c>
      <c r="BM1093" s="34">
        <v>41974</v>
      </c>
      <c r="BN1093" s="29" t="s">
        <v>138</v>
      </c>
      <c r="BO1093" s="28" t="s">
        <v>138</v>
      </c>
      <c r="BP1093" s="29" t="s">
        <v>138</v>
      </c>
      <c r="BQ1093" s="28" t="s">
        <v>138</v>
      </c>
      <c r="BR1093" s="28" t="s">
        <v>234</v>
      </c>
      <c r="BS1093" s="28" t="s">
        <v>234</v>
      </c>
      <c r="BT1093" s="28" t="s">
        <v>138</v>
      </c>
      <c r="BU1093" s="28" t="s">
        <v>174</v>
      </c>
      <c r="BV1093" s="28" t="s">
        <v>138</v>
      </c>
      <c r="BW1093" s="28" t="s">
        <v>138</v>
      </c>
      <c r="BX1093" s="28" t="s">
        <v>138</v>
      </c>
      <c r="BY1093" s="28" t="s">
        <v>175</v>
      </c>
      <c r="BZ1093" s="34">
        <v>42527</v>
      </c>
      <c r="CA1093" s="29" t="s">
        <v>138</v>
      </c>
      <c r="CB1093" s="28" t="s">
        <v>138</v>
      </c>
      <c r="CC1093" s="29" t="s">
        <v>138</v>
      </c>
      <c r="CD1093" s="28" t="s">
        <v>138</v>
      </c>
      <c r="CE1093" s="28" t="s">
        <v>205</v>
      </c>
      <c r="CF1093" s="28" t="s">
        <v>138</v>
      </c>
      <c r="CG1093" s="28" t="s">
        <v>138</v>
      </c>
      <c r="CH1093" s="28" t="s">
        <v>174</v>
      </c>
      <c r="CI1093" s="28" t="s">
        <v>138</v>
      </c>
      <c r="CJ1093" s="28" t="s">
        <v>138</v>
      </c>
      <c r="CK1093" s="28" t="s">
        <v>138</v>
      </c>
      <c r="CL1093" s="28" t="s">
        <v>175</v>
      </c>
      <c r="CM1093" s="34" t="s">
        <v>138</v>
      </c>
      <c r="CN1093" s="29" t="s">
        <v>138</v>
      </c>
      <c r="CO1093" s="35">
        <v>1.49</v>
      </c>
      <c r="CP1093" s="36">
        <v>98</v>
      </c>
      <c r="CQ1093" s="35">
        <v>0</v>
      </c>
      <c r="CR1093" s="35">
        <v>0.28000000000000003</v>
      </c>
      <c r="CS1093" s="35">
        <v>3.13</v>
      </c>
      <c r="CT1093" s="36">
        <v>99</v>
      </c>
      <c r="CU1093" s="35">
        <v>-0.15</v>
      </c>
      <c r="CV1093" s="36">
        <v>2</v>
      </c>
      <c r="CW1093" s="35">
        <v>3.13</v>
      </c>
      <c r="CX1093" s="36">
        <v>91</v>
      </c>
      <c r="CY1093" s="35" t="s">
        <v>138</v>
      </c>
      <c r="CZ1093" s="36" t="s">
        <v>138</v>
      </c>
      <c r="DA1093" s="35">
        <v>-0.22</v>
      </c>
      <c r="DB1093" s="36">
        <v>2</v>
      </c>
      <c r="DC1093" s="37">
        <v>179.51</v>
      </c>
      <c r="DD1093" s="36">
        <v>100</v>
      </c>
      <c r="DE1093" s="37">
        <v>0.47</v>
      </c>
      <c r="DF1093" s="35">
        <v>0.26</v>
      </c>
      <c r="DG1093" s="37">
        <v>3.76</v>
      </c>
      <c r="DH1093" s="36">
        <v>78</v>
      </c>
      <c r="DI1093" s="37">
        <v>355.26</v>
      </c>
      <c r="DJ1093" s="36">
        <v>99</v>
      </c>
      <c r="DK1093" s="37">
        <v>3.76</v>
      </c>
      <c r="DL1093" s="36">
        <v>75</v>
      </c>
      <c r="DM1093" s="37" t="s">
        <v>138</v>
      </c>
      <c r="DN1093" s="36" t="s">
        <v>138</v>
      </c>
      <c r="DO1093" s="37">
        <v>697.32</v>
      </c>
      <c r="DP1093" s="36">
        <v>100</v>
      </c>
      <c r="DQ1093" s="36">
        <v>1277</v>
      </c>
      <c r="DR1093" s="38">
        <v>36</v>
      </c>
      <c r="DS1093" s="35">
        <v>2.9</v>
      </c>
      <c r="DT1093" s="36" t="s">
        <v>138</v>
      </c>
      <c r="DU1093" s="38" t="s">
        <v>138</v>
      </c>
      <c r="DV1093" s="35" t="s">
        <v>138</v>
      </c>
      <c r="DW1093" s="36">
        <v>249803</v>
      </c>
      <c r="DX1093" s="39">
        <v>-341</v>
      </c>
      <c r="DY1093" s="35">
        <v>-0.14000000000000001</v>
      </c>
      <c r="DZ1093" s="28" t="s">
        <v>178</v>
      </c>
      <c r="EA1093" s="34">
        <v>43607</v>
      </c>
      <c r="EB1093" s="29">
        <v>1.71</v>
      </c>
      <c r="EC1093" s="34">
        <v>42086</v>
      </c>
      <c r="ED1093" s="28" t="s">
        <v>316</v>
      </c>
      <c r="EE1093" s="40" t="str">
        <f>HYPERLINK("https://my.pitchbook.com?c=110498-05", "View company online")</f>
        <v>View company online</v>
      </c>
    </row>
    <row r="1094" spans="1:135">
      <c r="A1094" s="15" t="s">
        <v>21313</v>
      </c>
      <c r="B1094" s="15" t="s">
        <v>21314</v>
      </c>
      <c r="C1094" s="15" t="s">
        <v>21315</v>
      </c>
      <c r="D1094" s="15" t="s">
        <v>138</v>
      </c>
      <c r="E1094" s="15" t="s">
        <v>138</v>
      </c>
      <c r="F1094" s="15" t="s">
        <v>21313</v>
      </c>
      <c r="G1094" s="15" t="s">
        <v>21316</v>
      </c>
      <c r="H1094" s="15" t="s">
        <v>322</v>
      </c>
      <c r="I1094" s="15" t="s">
        <v>356</v>
      </c>
      <c r="J1094" s="15" t="s">
        <v>3852</v>
      </c>
      <c r="K1094" s="15" t="s">
        <v>21317</v>
      </c>
      <c r="L1094" s="15" t="s">
        <v>415</v>
      </c>
      <c r="M1094" s="15" t="s">
        <v>21318</v>
      </c>
      <c r="N1094" s="15" t="s">
        <v>147</v>
      </c>
      <c r="O1094" s="17">
        <v>26.41</v>
      </c>
      <c r="P1094" s="15" t="s">
        <v>148</v>
      </c>
      <c r="Q1094" s="15" t="s">
        <v>149</v>
      </c>
      <c r="R1094" s="15" t="s">
        <v>174</v>
      </c>
      <c r="S1094" s="15" t="s">
        <v>21319</v>
      </c>
      <c r="T1094" s="18">
        <v>11</v>
      </c>
      <c r="U1094" s="15" t="s">
        <v>21320</v>
      </c>
      <c r="V1094" s="15" t="s">
        <v>138</v>
      </c>
      <c r="W1094" s="15" t="s">
        <v>138</v>
      </c>
      <c r="X1094" s="19">
        <v>2009</v>
      </c>
      <c r="Y1094" s="15" t="s">
        <v>138</v>
      </c>
      <c r="Z1094" s="15" t="s">
        <v>138</v>
      </c>
      <c r="AA1094" s="15" t="s">
        <v>138</v>
      </c>
      <c r="AB1094" s="20" t="s">
        <v>138</v>
      </c>
      <c r="AC1094" s="20" t="s">
        <v>138</v>
      </c>
      <c r="AD1094" s="20" t="s">
        <v>138</v>
      </c>
      <c r="AE1094" s="20" t="s">
        <v>138</v>
      </c>
      <c r="AF1094" s="20" t="s">
        <v>138</v>
      </c>
      <c r="AG1094" s="15" t="s">
        <v>138</v>
      </c>
      <c r="AH1094" s="20" t="s">
        <v>138</v>
      </c>
      <c r="AI1094" s="20" t="s">
        <v>138</v>
      </c>
      <c r="AJ1094" s="20" t="s">
        <v>138</v>
      </c>
      <c r="AK1094" s="15" t="s">
        <v>21321</v>
      </c>
      <c r="AL1094" s="15" t="s">
        <v>21322</v>
      </c>
      <c r="AM1094" s="15" t="s">
        <v>10508</v>
      </c>
      <c r="AN1094" s="15" t="s">
        <v>21323</v>
      </c>
      <c r="AO1094" s="15" t="s">
        <v>21324</v>
      </c>
      <c r="AP1094" s="15" t="s">
        <v>2649</v>
      </c>
      <c r="AQ1094" s="15" t="s">
        <v>21325</v>
      </c>
      <c r="AR1094" s="15" t="s">
        <v>309</v>
      </c>
      <c r="AS1094" s="15" t="s">
        <v>2651</v>
      </c>
      <c r="AT1094" s="15" t="s">
        <v>200</v>
      </c>
      <c r="AU1094" s="15" t="s">
        <v>2652</v>
      </c>
      <c r="AV1094" s="15" t="s">
        <v>162</v>
      </c>
      <c r="AW1094" s="15" t="s">
        <v>21324</v>
      </c>
      <c r="AX1094" s="15" t="s">
        <v>138</v>
      </c>
      <c r="AY1094" s="15" t="s">
        <v>21326</v>
      </c>
      <c r="AZ1094" s="15" t="s">
        <v>164</v>
      </c>
      <c r="BA1094" s="15" t="s">
        <v>165</v>
      </c>
      <c r="BB1094" s="15" t="s">
        <v>21327</v>
      </c>
      <c r="BC1094" s="15" t="s">
        <v>21328</v>
      </c>
      <c r="BD1094" s="21">
        <v>9</v>
      </c>
      <c r="BE1094" s="15" t="s">
        <v>138</v>
      </c>
      <c r="BF1094" s="15" t="s">
        <v>138</v>
      </c>
      <c r="BG1094" s="15" t="s">
        <v>138</v>
      </c>
      <c r="BH1094" s="15" t="s">
        <v>21329</v>
      </c>
      <c r="BI1094" s="15" t="s">
        <v>138</v>
      </c>
      <c r="BJ1094" s="15" t="s">
        <v>138</v>
      </c>
      <c r="BK1094" s="15" t="s">
        <v>21330</v>
      </c>
      <c r="BL1094" s="15" t="s">
        <v>1275</v>
      </c>
      <c r="BM1094" s="22">
        <v>40338</v>
      </c>
      <c r="BN1094" s="17">
        <v>2</v>
      </c>
      <c r="BO1094" s="15" t="s">
        <v>172</v>
      </c>
      <c r="BP1094" s="17">
        <v>10.08</v>
      </c>
      <c r="BQ1094" s="15" t="s">
        <v>172</v>
      </c>
      <c r="BR1094" s="15" t="s">
        <v>205</v>
      </c>
      <c r="BS1094" s="15" t="s">
        <v>206</v>
      </c>
      <c r="BT1094" s="15" t="s">
        <v>138</v>
      </c>
      <c r="BU1094" s="15" t="s">
        <v>174</v>
      </c>
      <c r="BV1094" s="15" t="s">
        <v>138</v>
      </c>
      <c r="BW1094" s="15" t="s">
        <v>138</v>
      </c>
      <c r="BX1094" s="15" t="s">
        <v>138</v>
      </c>
      <c r="BY1094" s="15" t="s">
        <v>175</v>
      </c>
      <c r="BZ1094" s="22" t="s">
        <v>138</v>
      </c>
      <c r="CA1094" s="17" t="s">
        <v>138</v>
      </c>
      <c r="CB1094" s="15" t="s">
        <v>138</v>
      </c>
      <c r="CC1094" s="17" t="s">
        <v>138</v>
      </c>
      <c r="CD1094" s="15" t="s">
        <v>138</v>
      </c>
      <c r="CE1094" s="15" t="s">
        <v>173</v>
      </c>
      <c r="CF1094" s="15" t="s">
        <v>138</v>
      </c>
      <c r="CG1094" s="15" t="s">
        <v>138</v>
      </c>
      <c r="CH1094" s="15" t="s">
        <v>174</v>
      </c>
      <c r="CI1094" s="15" t="s">
        <v>138</v>
      </c>
      <c r="CJ1094" s="15" t="s">
        <v>138</v>
      </c>
      <c r="CK1094" s="15" t="s">
        <v>138</v>
      </c>
      <c r="CL1094" s="15" t="s">
        <v>175</v>
      </c>
      <c r="CM1094" s="22" t="s">
        <v>138</v>
      </c>
      <c r="CN1094" s="17" t="s">
        <v>138</v>
      </c>
      <c r="CO1094" s="23">
        <v>-0.33</v>
      </c>
      <c r="CP1094" s="24">
        <v>18</v>
      </c>
      <c r="CQ1094" s="23">
        <v>0.02</v>
      </c>
      <c r="CR1094" s="23">
        <v>5.36</v>
      </c>
      <c r="CS1094" s="23">
        <v>-0.67</v>
      </c>
      <c r="CT1094" s="24">
        <v>18</v>
      </c>
      <c r="CU1094" s="23">
        <v>0</v>
      </c>
      <c r="CV1094" s="24">
        <v>22</v>
      </c>
      <c r="CW1094" s="23">
        <v>0</v>
      </c>
      <c r="CX1094" s="24">
        <v>13</v>
      </c>
      <c r="CY1094" s="23">
        <v>-1.33</v>
      </c>
      <c r="CZ1094" s="24">
        <v>16</v>
      </c>
      <c r="DA1094" s="23">
        <v>-7.0000000000000007E-2</v>
      </c>
      <c r="DB1094" s="24">
        <v>9</v>
      </c>
      <c r="DC1094" s="25">
        <v>1.69</v>
      </c>
      <c r="DD1094" s="24">
        <v>63</v>
      </c>
      <c r="DE1094" s="25">
        <v>0</v>
      </c>
      <c r="DF1094" s="23">
        <v>0.27</v>
      </c>
      <c r="DG1094" s="25">
        <v>2.64</v>
      </c>
      <c r="DH1094" s="24">
        <v>72</v>
      </c>
      <c r="DI1094" s="25">
        <v>0.74</v>
      </c>
      <c r="DJ1094" s="24">
        <v>43</v>
      </c>
      <c r="DK1094" s="25">
        <v>0.17</v>
      </c>
      <c r="DL1094" s="24">
        <v>1</v>
      </c>
      <c r="DM1094" s="25">
        <v>5.0999999999999996</v>
      </c>
      <c r="DN1094" s="24">
        <v>82</v>
      </c>
      <c r="DO1094" s="25">
        <v>1.03</v>
      </c>
      <c r="DP1094" s="24">
        <v>51</v>
      </c>
      <c r="DQ1094" s="24">
        <v>64</v>
      </c>
      <c r="DR1094" s="26">
        <v>-20</v>
      </c>
      <c r="DS1094" s="23">
        <v>-23.81</v>
      </c>
      <c r="DT1094" s="24">
        <v>147</v>
      </c>
      <c r="DU1094" s="26">
        <v>0</v>
      </c>
      <c r="DV1094" s="23">
        <v>0</v>
      </c>
      <c r="DW1094" s="24">
        <v>367</v>
      </c>
      <c r="DX1094" s="27">
        <v>0</v>
      </c>
      <c r="DY1094" s="23">
        <v>0</v>
      </c>
      <c r="DZ1094" s="15" t="s">
        <v>178</v>
      </c>
      <c r="EA1094" s="22">
        <v>43622</v>
      </c>
      <c r="EB1094" s="17">
        <v>102.35</v>
      </c>
      <c r="EC1094" s="22">
        <v>41939</v>
      </c>
      <c r="ED1094" s="15" t="s">
        <v>173</v>
      </c>
      <c r="EE1094" s="14" t="str">
        <f>HYPERLINK("https://my.pitchbook.com?c=58974-58", "View company online")</f>
        <v>View company online</v>
      </c>
    </row>
    <row r="1095" spans="1:135">
      <c r="A1095" s="28" t="s">
        <v>21331</v>
      </c>
      <c r="B1095" s="28" t="s">
        <v>21332</v>
      </c>
      <c r="C1095" s="28" t="s">
        <v>138</v>
      </c>
      <c r="D1095" s="28" t="s">
        <v>138</v>
      </c>
      <c r="E1095" s="28" t="s">
        <v>21333</v>
      </c>
      <c r="F1095" s="28" t="s">
        <v>21331</v>
      </c>
      <c r="G1095" s="28" t="s">
        <v>21334</v>
      </c>
      <c r="H1095" s="28" t="s">
        <v>322</v>
      </c>
      <c r="I1095" s="28" t="s">
        <v>323</v>
      </c>
      <c r="J1095" s="28" t="s">
        <v>413</v>
      </c>
      <c r="K1095" s="28" t="s">
        <v>874</v>
      </c>
      <c r="L1095" s="28" t="s">
        <v>242</v>
      </c>
      <c r="M1095" s="28" t="s">
        <v>21335</v>
      </c>
      <c r="N1095" s="28" t="s">
        <v>147</v>
      </c>
      <c r="O1095" s="29">
        <v>145.1</v>
      </c>
      <c r="P1095" s="28" t="s">
        <v>148</v>
      </c>
      <c r="Q1095" s="28" t="s">
        <v>149</v>
      </c>
      <c r="R1095" s="28" t="s">
        <v>328</v>
      </c>
      <c r="S1095" s="28" t="s">
        <v>21336</v>
      </c>
      <c r="T1095" s="30">
        <v>40</v>
      </c>
      <c r="U1095" s="28" t="s">
        <v>21337</v>
      </c>
      <c r="V1095" s="28" t="s">
        <v>138</v>
      </c>
      <c r="W1095" s="28" t="s">
        <v>138</v>
      </c>
      <c r="X1095" s="31">
        <v>2012</v>
      </c>
      <c r="Y1095" s="28" t="s">
        <v>138</v>
      </c>
      <c r="Z1095" s="28" t="s">
        <v>138</v>
      </c>
      <c r="AA1095" s="28" t="s">
        <v>138</v>
      </c>
      <c r="AB1095" s="32" t="s">
        <v>138</v>
      </c>
      <c r="AC1095" s="32" t="s">
        <v>138</v>
      </c>
      <c r="AD1095" s="32" t="s">
        <v>138</v>
      </c>
      <c r="AE1095" s="32" t="s">
        <v>138</v>
      </c>
      <c r="AF1095" s="32" t="s">
        <v>138</v>
      </c>
      <c r="AG1095" s="28" t="s">
        <v>138</v>
      </c>
      <c r="AH1095" s="32" t="s">
        <v>138</v>
      </c>
      <c r="AI1095" s="32" t="s">
        <v>138</v>
      </c>
      <c r="AJ1095" s="32" t="s">
        <v>138</v>
      </c>
      <c r="AK1095" s="28" t="s">
        <v>21338</v>
      </c>
      <c r="AL1095" s="28" t="s">
        <v>21339</v>
      </c>
      <c r="AM1095" s="28" t="s">
        <v>2471</v>
      </c>
      <c r="AN1095" s="28" t="s">
        <v>21340</v>
      </c>
      <c r="AO1095" s="28" t="s">
        <v>138</v>
      </c>
      <c r="AP1095" s="28" t="s">
        <v>423</v>
      </c>
      <c r="AQ1095" s="28" t="s">
        <v>21341</v>
      </c>
      <c r="AR1095" s="28" t="s">
        <v>713</v>
      </c>
      <c r="AS1095" s="28" t="s">
        <v>426</v>
      </c>
      <c r="AT1095" s="28" t="s">
        <v>426</v>
      </c>
      <c r="AU1095" s="28" t="s">
        <v>2610</v>
      </c>
      <c r="AV1095" s="28" t="s">
        <v>162</v>
      </c>
      <c r="AW1095" s="28" t="s">
        <v>138</v>
      </c>
      <c r="AX1095" s="28" t="s">
        <v>138</v>
      </c>
      <c r="AY1095" s="28" t="s">
        <v>138</v>
      </c>
      <c r="AZ1095" s="28" t="s">
        <v>164</v>
      </c>
      <c r="BA1095" s="28" t="s">
        <v>165</v>
      </c>
      <c r="BB1095" s="28" t="s">
        <v>21342</v>
      </c>
      <c r="BC1095" s="28" t="s">
        <v>21343</v>
      </c>
      <c r="BD1095" s="33">
        <v>16</v>
      </c>
      <c r="BE1095" s="28" t="s">
        <v>138</v>
      </c>
      <c r="BF1095" s="28" t="s">
        <v>138</v>
      </c>
      <c r="BG1095" s="28" t="s">
        <v>138</v>
      </c>
      <c r="BH1095" s="28" t="s">
        <v>21344</v>
      </c>
      <c r="BI1095" s="28" t="s">
        <v>138</v>
      </c>
      <c r="BJ1095" s="28" t="s">
        <v>138</v>
      </c>
      <c r="BK1095" s="28" t="s">
        <v>21345</v>
      </c>
      <c r="BL1095" s="28" t="s">
        <v>21346</v>
      </c>
      <c r="BM1095" s="34">
        <v>41289</v>
      </c>
      <c r="BN1095" s="29">
        <v>2.2999999999999998</v>
      </c>
      <c r="BO1095" s="28" t="s">
        <v>172</v>
      </c>
      <c r="BP1095" s="29">
        <v>9.02</v>
      </c>
      <c r="BQ1095" s="28" t="s">
        <v>172</v>
      </c>
      <c r="BR1095" s="28" t="s">
        <v>234</v>
      </c>
      <c r="BS1095" s="28" t="s">
        <v>234</v>
      </c>
      <c r="BT1095" s="28" t="s">
        <v>138</v>
      </c>
      <c r="BU1095" s="28" t="s">
        <v>174</v>
      </c>
      <c r="BV1095" s="28" t="s">
        <v>138</v>
      </c>
      <c r="BW1095" s="28" t="s">
        <v>138</v>
      </c>
      <c r="BX1095" s="28" t="s">
        <v>138</v>
      </c>
      <c r="BY1095" s="28" t="s">
        <v>175</v>
      </c>
      <c r="BZ1095" s="34">
        <v>43565</v>
      </c>
      <c r="CA1095" s="29">
        <v>50</v>
      </c>
      <c r="CB1095" s="28" t="s">
        <v>138</v>
      </c>
      <c r="CC1095" s="29" t="s">
        <v>138</v>
      </c>
      <c r="CD1095" s="28" t="s">
        <v>138</v>
      </c>
      <c r="CE1095" s="28" t="s">
        <v>1673</v>
      </c>
      <c r="CF1095" s="28" t="s">
        <v>138</v>
      </c>
      <c r="CG1095" s="28" t="s">
        <v>138</v>
      </c>
      <c r="CH1095" s="28" t="s">
        <v>351</v>
      </c>
      <c r="CI1095" s="28" t="s">
        <v>138</v>
      </c>
      <c r="CJ1095" s="28" t="s">
        <v>138</v>
      </c>
      <c r="CK1095" s="28" t="s">
        <v>138</v>
      </c>
      <c r="CL1095" s="28" t="s">
        <v>175</v>
      </c>
      <c r="CM1095" s="34">
        <v>42711</v>
      </c>
      <c r="CN1095" s="29" t="s">
        <v>138</v>
      </c>
      <c r="CO1095" s="35">
        <v>0.64</v>
      </c>
      <c r="CP1095" s="36">
        <v>96</v>
      </c>
      <c r="CQ1095" s="35">
        <v>0.01</v>
      </c>
      <c r="CR1095" s="35">
        <v>1.17</v>
      </c>
      <c r="CS1095" s="35">
        <v>1.58</v>
      </c>
      <c r="CT1095" s="36">
        <v>98</v>
      </c>
      <c r="CU1095" s="35">
        <v>7.0000000000000007E-2</v>
      </c>
      <c r="CV1095" s="36">
        <v>62</v>
      </c>
      <c r="CW1095" s="35">
        <v>1.58</v>
      </c>
      <c r="CX1095" s="36">
        <v>87</v>
      </c>
      <c r="CY1095" s="35" t="s">
        <v>138</v>
      </c>
      <c r="CZ1095" s="36" t="s">
        <v>138</v>
      </c>
      <c r="DA1095" s="35">
        <v>0.1</v>
      </c>
      <c r="DB1095" s="36">
        <v>72</v>
      </c>
      <c r="DC1095" s="37">
        <v>29.91</v>
      </c>
      <c r="DD1095" s="36">
        <v>96</v>
      </c>
      <c r="DE1095" s="37">
        <v>-3.17</v>
      </c>
      <c r="DF1095" s="35">
        <v>-9.57</v>
      </c>
      <c r="DG1095" s="37">
        <v>77.27</v>
      </c>
      <c r="DH1095" s="36">
        <v>99</v>
      </c>
      <c r="DI1095" s="37">
        <v>3.67</v>
      </c>
      <c r="DJ1095" s="36">
        <v>73</v>
      </c>
      <c r="DK1095" s="37">
        <v>77.27</v>
      </c>
      <c r="DL1095" s="36">
        <v>97</v>
      </c>
      <c r="DM1095" s="37" t="s">
        <v>138</v>
      </c>
      <c r="DN1095" s="36" t="s">
        <v>138</v>
      </c>
      <c r="DO1095" s="37">
        <v>3.09</v>
      </c>
      <c r="DP1095" s="36">
        <v>71</v>
      </c>
      <c r="DQ1095" s="36">
        <v>26109</v>
      </c>
      <c r="DR1095" s="38">
        <v>1184</v>
      </c>
      <c r="DS1095" s="35">
        <v>4.75</v>
      </c>
      <c r="DT1095" s="36" t="s">
        <v>138</v>
      </c>
      <c r="DU1095" s="38" t="s">
        <v>138</v>
      </c>
      <c r="DV1095" s="35" t="s">
        <v>138</v>
      </c>
      <c r="DW1095" s="36">
        <v>1102</v>
      </c>
      <c r="DX1095" s="39">
        <v>2</v>
      </c>
      <c r="DY1095" s="35">
        <v>0.18</v>
      </c>
      <c r="DZ1095" s="28" t="s">
        <v>178</v>
      </c>
      <c r="EA1095" s="34">
        <v>43570</v>
      </c>
      <c r="EB1095" s="29">
        <v>151</v>
      </c>
      <c r="EC1095" s="34">
        <v>42992</v>
      </c>
      <c r="ED1095" s="28" t="s">
        <v>173</v>
      </c>
      <c r="EE1095" s="40" t="str">
        <f>HYPERLINK("https://my.pitchbook.com?c=56941-39", "View company online")</f>
        <v>View company online</v>
      </c>
    </row>
    <row r="1096" spans="1:135">
      <c r="A1096" s="15" t="s">
        <v>21347</v>
      </c>
      <c r="B1096" s="15" t="s">
        <v>21348</v>
      </c>
      <c r="C1096" s="15" t="s">
        <v>138</v>
      </c>
      <c r="D1096" s="15" t="s">
        <v>138</v>
      </c>
      <c r="E1096" s="15" t="s">
        <v>21349</v>
      </c>
      <c r="F1096" s="15" t="s">
        <v>21347</v>
      </c>
      <c r="G1096" s="15" t="s">
        <v>21350</v>
      </c>
      <c r="H1096" s="15" t="s">
        <v>238</v>
      </c>
      <c r="I1096" s="15" t="s">
        <v>1351</v>
      </c>
      <c r="J1096" s="15" t="s">
        <v>1352</v>
      </c>
      <c r="K1096" s="15" t="s">
        <v>9200</v>
      </c>
      <c r="L1096" s="15" t="s">
        <v>21351</v>
      </c>
      <c r="M1096" s="15" t="s">
        <v>21352</v>
      </c>
      <c r="N1096" s="15" t="s">
        <v>147</v>
      </c>
      <c r="O1096" s="17">
        <v>61.35</v>
      </c>
      <c r="P1096" s="15" t="s">
        <v>148</v>
      </c>
      <c r="Q1096" s="15" t="s">
        <v>149</v>
      </c>
      <c r="R1096" s="15" t="s">
        <v>174</v>
      </c>
      <c r="S1096" s="15" t="s">
        <v>21353</v>
      </c>
      <c r="T1096" s="18">
        <v>100</v>
      </c>
      <c r="U1096" s="15" t="s">
        <v>11742</v>
      </c>
      <c r="V1096" s="15" t="s">
        <v>138</v>
      </c>
      <c r="W1096" s="15" t="s">
        <v>138</v>
      </c>
      <c r="X1096" s="19">
        <v>2013</v>
      </c>
      <c r="Y1096" s="15" t="s">
        <v>138</v>
      </c>
      <c r="Z1096" s="15" t="s">
        <v>138</v>
      </c>
      <c r="AA1096" s="15" t="s">
        <v>138</v>
      </c>
      <c r="AB1096" s="20">
        <v>1</v>
      </c>
      <c r="AC1096" s="20" t="s">
        <v>138</v>
      </c>
      <c r="AD1096" s="20" t="s">
        <v>138</v>
      </c>
      <c r="AE1096" s="20" t="s">
        <v>138</v>
      </c>
      <c r="AF1096" s="20" t="s">
        <v>138</v>
      </c>
      <c r="AG1096" s="15" t="s">
        <v>514</v>
      </c>
      <c r="AH1096" s="20" t="s">
        <v>138</v>
      </c>
      <c r="AI1096" s="20" t="s">
        <v>138</v>
      </c>
      <c r="AJ1096" s="20" t="s">
        <v>138</v>
      </c>
      <c r="AK1096" s="15" t="s">
        <v>21354</v>
      </c>
      <c r="AL1096" s="15" t="s">
        <v>21355</v>
      </c>
      <c r="AM1096" s="15" t="s">
        <v>636</v>
      </c>
      <c r="AN1096" s="15" t="s">
        <v>21356</v>
      </c>
      <c r="AO1096" s="15" t="s">
        <v>138</v>
      </c>
      <c r="AP1096" s="15" t="s">
        <v>2928</v>
      </c>
      <c r="AQ1096" s="15" t="s">
        <v>21357</v>
      </c>
      <c r="AR1096" s="15" t="s">
        <v>1459</v>
      </c>
      <c r="AS1096" s="15" t="s">
        <v>2931</v>
      </c>
      <c r="AT1096" s="15" t="s">
        <v>200</v>
      </c>
      <c r="AU1096" s="15" t="s">
        <v>2932</v>
      </c>
      <c r="AV1096" s="15" t="s">
        <v>162</v>
      </c>
      <c r="AW1096" s="15" t="s">
        <v>138</v>
      </c>
      <c r="AX1096" s="15" t="s">
        <v>138</v>
      </c>
      <c r="AY1096" s="15" t="s">
        <v>21358</v>
      </c>
      <c r="AZ1096" s="15" t="s">
        <v>164</v>
      </c>
      <c r="BA1096" s="15" t="s">
        <v>165</v>
      </c>
      <c r="BB1096" s="15" t="s">
        <v>21359</v>
      </c>
      <c r="BC1096" s="15" t="s">
        <v>21360</v>
      </c>
      <c r="BD1096" s="21">
        <v>11</v>
      </c>
      <c r="BE1096" s="15" t="s">
        <v>138</v>
      </c>
      <c r="BF1096" s="15" t="s">
        <v>138</v>
      </c>
      <c r="BG1096" s="15" t="s">
        <v>138</v>
      </c>
      <c r="BH1096" s="15" t="s">
        <v>21361</v>
      </c>
      <c r="BI1096" s="15" t="s">
        <v>138</v>
      </c>
      <c r="BJ1096" s="15" t="s">
        <v>138</v>
      </c>
      <c r="BK1096" s="15" t="s">
        <v>21362</v>
      </c>
      <c r="BL1096" s="15" t="s">
        <v>290</v>
      </c>
      <c r="BM1096" s="22">
        <v>41936</v>
      </c>
      <c r="BN1096" s="17">
        <v>12.35</v>
      </c>
      <c r="BO1096" s="15" t="s">
        <v>172</v>
      </c>
      <c r="BP1096" s="17">
        <v>33.090000000000003</v>
      </c>
      <c r="BQ1096" s="15" t="s">
        <v>172</v>
      </c>
      <c r="BR1096" s="15" t="s">
        <v>205</v>
      </c>
      <c r="BS1096" s="15" t="s">
        <v>206</v>
      </c>
      <c r="BT1096" s="15" t="s">
        <v>138</v>
      </c>
      <c r="BU1096" s="15" t="s">
        <v>174</v>
      </c>
      <c r="BV1096" s="15" t="s">
        <v>138</v>
      </c>
      <c r="BW1096" s="15" t="s">
        <v>138</v>
      </c>
      <c r="BX1096" s="15" t="s">
        <v>138</v>
      </c>
      <c r="BY1096" s="15" t="s">
        <v>175</v>
      </c>
      <c r="BZ1096" s="22">
        <v>43551</v>
      </c>
      <c r="CA1096" s="17" t="s">
        <v>138</v>
      </c>
      <c r="CB1096" s="15" t="s">
        <v>138</v>
      </c>
      <c r="CC1096" s="17" t="s">
        <v>138</v>
      </c>
      <c r="CD1096" s="15" t="s">
        <v>138</v>
      </c>
      <c r="CE1096" s="15" t="s">
        <v>173</v>
      </c>
      <c r="CF1096" s="15" t="s">
        <v>138</v>
      </c>
      <c r="CG1096" s="15" t="s">
        <v>138</v>
      </c>
      <c r="CH1096" s="15" t="s">
        <v>174</v>
      </c>
      <c r="CI1096" s="15" t="s">
        <v>138</v>
      </c>
      <c r="CJ1096" s="15" t="s">
        <v>138</v>
      </c>
      <c r="CK1096" s="15" t="s">
        <v>138</v>
      </c>
      <c r="CL1096" s="15" t="s">
        <v>175</v>
      </c>
      <c r="CM1096" s="22" t="s">
        <v>138</v>
      </c>
      <c r="CN1096" s="17" t="s">
        <v>138</v>
      </c>
      <c r="CO1096" s="23">
        <v>-0.59</v>
      </c>
      <c r="CP1096" s="24">
        <v>15</v>
      </c>
      <c r="CQ1096" s="23">
        <v>0.19</v>
      </c>
      <c r="CR1096" s="23">
        <v>24.65</v>
      </c>
      <c r="CS1096" s="23">
        <v>-1.24</v>
      </c>
      <c r="CT1096" s="24">
        <v>13</v>
      </c>
      <c r="CU1096" s="23">
        <v>0.06</v>
      </c>
      <c r="CV1096" s="24">
        <v>60</v>
      </c>
      <c r="CW1096" s="23">
        <v>-4.54</v>
      </c>
      <c r="CX1096" s="24">
        <v>3</v>
      </c>
      <c r="CY1096" s="23">
        <v>2.06</v>
      </c>
      <c r="CZ1096" s="24">
        <v>100</v>
      </c>
      <c r="DA1096" s="23">
        <v>0.06</v>
      </c>
      <c r="DB1096" s="24">
        <v>65</v>
      </c>
      <c r="DC1096" s="25">
        <v>11.5</v>
      </c>
      <c r="DD1096" s="24">
        <v>91</v>
      </c>
      <c r="DE1096" s="25">
        <v>-0.05</v>
      </c>
      <c r="DF1096" s="23">
        <v>-0.4</v>
      </c>
      <c r="DG1096" s="25">
        <v>10.199999999999999</v>
      </c>
      <c r="DH1096" s="24">
        <v>90</v>
      </c>
      <c r="DI1096" s="25">
        <v>12.79</v>
      </c>
      <c r="DJ1096" s="24">
        <v>87</v>
      </c>
      <c r="DK1096" s="25">
        <v>5.13</v>
      </c>
      <c r="DL1096" s="24">
        <v>79</v>
      </c>
      <c r="DM1096" s="25">
        <v>15.28</v>
      </c>
      <c r="DN1096" s="24">
        <v>92</v>
      </c>
      <c r="DO1096" s="25">
        <v>12.79</v>
      </c>
      <c r="DP1096" s="24">
        <v>89</v>
      </c>
      <c r="DQ1096" s="24">
        <v>1753</v>
      </c>
      <c r="DR1096" s="26">
        <v>20</v>
      </c>
      <c r="DS1096" s="23">
        <v>1.1499999999999999</v>
      </c>
      <c r="DT1096" s="24">
        <v>439</v>
      </c>
      <c r="DU1096" s="26">
        <v>28</v>
      </c>
      <c r="DV1096" s="23">
        <v>6.81</v>
      </c>
      <c r="DW1096" s="24">
        <v>4575</v>
      </c>
      <c r="DX1096" s="27">
        <v>5</v>
      </c>
      <c r="DY1096" s="23">
        <v>0.11</v>
      </c>
      <c r="DZ1096" s="15" t="s">
        <v>178</v>
      </c>
      <c r="EA1096" s="22">
        <v>43622</v>
      </c>
      <c r="EB1096" s="17">
        <v>132</v>
      </c>
      <c r="EC1096" s="22">
        <v>43074</v>
      </c>
      <c r="ED1096" s="15" t="s">
        <v>173</v>
      </c>
      <c r="EE1096" s="14" t="str">
        <f>HYPERLINK("https://my.pitchbook.com?c=85661-56", "View company online")</f>
        <v>View company online</v>
      </c>
    </row>
    <row r="1097" spans="1:135">
      <c r="A1097" s="28" t="s">
        <v>21363</v>
      </c>
      <c r="B1097" s="28" t="s">
        <v>21364</v>
      </c>
      <c r="C1097" s="28" t="s">
        <v>138</v>
      </c>
      <c r="D1097" s="28" t="s">
        <v>138</v>
      </c>
      <c r="E1097" s="28" t="s">
        <v>21365</v>
      </c>
      <c r="F1097" s="28" t="s">
        <v>21363</v>
      </c>
      <c r="G1097" s="28" t="s">
        <v>21366</v>
      </c>
      <c r="H1097" s="28" t="s">
        <v>183</v>
      </c>
      <c r="I1097" s="28" t="s">
        <v>725</v>
      </c>
      <c r="J1097" s="28" t="s">
        <v>2508</v>
      </c>
      <c r="K1097" s="28" t="s">
        <v>21367</v>
      </c>
      <c r="L1097" s="28" t="s">
        <v>21368</v>
      </c>
      <c r="M1097" s="28" t="s">
        <v>21369</v>
      </c>
      <c r="N1097" s="28" t="s">
        <v>147</v>
      </c>
      <c r="O1097" s="29">
        <v>30.46</v>
      </c>
      <c r="P1097" s="28" t="s">
        <v>148</v>
      </c>
      <c r="Q1097" s="28" t="s">
        <v>149</v>
      </c>
      <c r="R1097" s="28" t="s">
        <v>174</v>
      </c>
      <c r="S1097" s="28" t="s">
        <v>21370</v>
      </c>
      <c r="T1097" s="30">
        <v>70</v>
      </c>
      <c r="U1097" s="28" t="s">
        <v>21371</v>
      </c>
      <c r="V1097" s="28" t="s">
        <v>138</v>
      </c>
      <c r="W1097" s="28" t="s">
        <v>138</v>
      </c>
      <c r="X1097" s="31">
        <v>2015</v>
      </c>
      <c r="Y1097" s="28" t="s">
        <v>138</v>
      </c>
      <c r="Z1097" s="28" t="s">
        <v>138</v>
      </c>
      <c r="AA1097" s="28" t="s">
        <v>138</v>
      </c>
      <c r="AB1097" s="32" t="s">
        <v>138</v>
      </c>
      <c r="AC1097" s="32" t="s">
        <v>138</v>
      </c>
      <c r="AD1097" s="32" t="s">
        <v>138</v>
      </c>
      <c r="AE1097" s="32" t="s">
        <v>138</v>
      </c>
      <c r="AF1097" s="32" t="s">
        <v>138</v>
      </c>
      <c r="AG1097" s="28" t="s">
        <v>138</v>
      </c>
      <c r="AH1097" s="32" t="s">
        <v>138</v>
      </c>
      <c r="AI1097" s="32" t="s">
        <v>138</v>
      </c>
      <c r="AJ1097" s="32" t="s">
        <v>138</v>
      </c>
      <c r="AK1097" s="28" t="s">
        <v>21372</v>
      </c>
      <c r="AL1097" s="28" t="s">
        <v>21373</v>
      </c>
      <c r="AM1097" s="28" t="s">
        <v>221</v>
      </c>
      <c r="AN1097" s="28" t="s">
        <v>21374</v>
      </c>
      <c r="AO1097" s="28" t="s">
        <v>21375</v>
      </c>
      <c r="AP1097" s="28" t="s">
        <v>1514</v>
      </c>
      <c r="AQ1097" s="28" t="s">
        <v>21376</v>
      </c>
      <c r="AR1097" s="28" t="s">
        <v>3138</v>
      </c>
      <c r="AS1097" s="28" t="s">
        <v>1516</v>
      </c>
      <c r="AT1097" s="28" t="s">
        <v>284</v>
      </c>
      <c r="AU1097" s="28" t="s">
        <v>21377</v>
      </c>
      <c r="AV1097" s="28" t="s">
        <v>162</v>
      </c>
      <c r="AW1097" s="28" t="s">
        <v>21375</v>
      </c>
      <c r="AX1097" s="28" t="s">
        <v>138</v>
      </c>
      <c r="AY1097" s="28" t="s">
        <v>21378</v>
      </c>
      <c r="AZ1097" s="28" t="s">
        <v>164</v>
      </c>
      <c r="BA1097" s="28" t="s">
        <v>165</v>
      </c>
      <c r="BB1097" s="28" t="s">
        <v>21379</v>
      </c>
      <c r="BC1097" s="28" t="s">
        <v>21380</v>
      </c>
      <c r="BD1097" s="33">
        <v>7</v>
      </c>
      <c r="BE1097" s="28" t="s">
        <v>138</v>
      </c>
      <c r="BF1097" s="28" t="s">
        <v>138</v>
      </c>
      <c r="BG1097" s="28" t="s">
        <v>138</v>
      </c>
      <c r="BH1097" s="28" t="s">
        <v>21381</v>
      </c>
      <c r="BI1097" s="28" t="s">
        <v>138</v>
      </c>
      <c r="BJ1097" s="28" t="s">
        <v>138</v>
      </c>
      <c r="BK1097" s="28" t="s">
        <v>290</v>
      </c>
      <c r="BL1097" s="28" t="s">
        <v>290</v>
      </c>
      <c r="BM1097" s="34">
        <v>42627</v>
      </c>
      <c r="BN1097" s="29" t="s">
        <v>138</v>
      </c>
      <c r="BO1097" s="28" t="s">
        <v>138</v>
      </c>
      <c r="BP1097" s="29" t="s">
        <v>138</v>
      </c>
      <c r="BQ1097" s="28" t="s">
        <v>138</v>
      </c>
      <c r="BR1097" s="28" t="s">
        <v>316</v>
      </c>
      <c r="BS1097" s="28" t="s">
        <v>138</v>
      </c>
      <c r="BT1097" s="28" t="s">
        <v>138</v>
      </c>
      <c r="BU1097" s="28" t="s">
        <v>177</v>
      </c>
      <c r="BV1097" s="28" t="s">
        <v>138</v>
      </c>
      <c r="BW1097" s="28" t="s">
        <v>138</v>
      </c>
      <c r="BX1097" s="28" t="s">
        <v>138</v>
      </c>
      <c r="BY1097" s="28" t="s">
        <v>175</v>
      </c>
      <c r="BZ1097" s="34">
        <v>43503</v>
      </c>
      <c r="CA1097" s="29">
        <v>22</v>
      </c>
      <c r="CB1097" s="28" t="s">
        <v>172</v>
      </c>
      <c r="CC1097" s="29">
        <v>107</v>
      </c>
      <c r="CD1097" s="28" t="s">
        <v>172</v>
      </c>
      <c r="CE1097" s="28" t="s">
        <v>205</v>
      </c>
      <c r="CF1097" s="28" t="s">
        <v>720</v>
      </c>
      <c r="CG1097" s="28" t="s">
        <v>138</v>
      </c>
      <c r="CH1097" s="28" t="s">
        <v>174</v>
      </c>
      <c r="CI1097" s="28" t="s">
        <v>138</v>
      </c>
      <c r="CJ1097" s="28" t="s">
        <v>138</v>
      </c>
      <c r="CK1097" s="28" t="s">
        <v>138</v>
      </c>
      <c r="CL1097" s="28" t="s">
        <v>175</v>
      </c>
      <c r="CM1097" s="34" t="s">
        <v>138</v>
      </c>
      <c r="CN1097" s="29" t="s">
        <v>138</v>
      </c>
      <c r="CO1097" s="35">
        <v>1.87</v>
      </c>
      <c r="CP1097" s="36">
        <v>99</v>
      </c>
      <c r="CQ1097" s="35">
        <v>-0.18</v>
      </c>
      <c r="CR1097" s="35">
        <v>-8.76</v>
      </c>
      <c r="CS1097" s="35">
        <v>4.33</v>
      </c>
      <c r="CT1097" s="36">
        <v>100</v>
      </c>
      <c r="CU1097" s="35">
        <v>0.53</v>
      </c>
      <c r="CV1097" s="36">
        <v>94</v>
      </c>
      <c r="CW1097" s="35">
        <v>6.78</v>
      </c>
      <c r="CX1097" s="36">
        <v>98</v>
      </c>
      <c r="CY1097" s="35">
        <v>1.88</v>
      </c>
      <c r="CZ1097" s="36">
        <v>100</v>
      </c>
      <c r="DA1097" s="35">
        <v>0.53</v>
      </c>
      <c r="DB1097" s="36">
        <v>94</v>
      </c>
      <c r="DC1097" s="37">
        <v>3.07</v>
      </c>
      <c r="DD1097" s="36">
        <v>75</v>
      </c>
      <c r="DE1097" s="37">
        <v>-0.08</v>
      </c>
      <c r="DF1097" s="35">
        <v>-2.44</v>
      </c>
      <c r="DG1097" s="37">
        <v>5.47</v>
      </c>
      <c r="DH1097" s="36">
        <v>83</v>
      </c>
      <c r="DI1097" s="37">
        <v>3.6</v>
      </c>
      <c r="DJ1097" s="36">
        <v>73</v>
      </c>
      <c r="DK1097" s="37">
        <v>5</v>
      </c>
      <c r="DL1097" s="36">
        <v>79</v>
      </c>
      <c r="DM1097" s="37">
        <v>5.93</v>
      </c>
      <c r="DN1097" s="36">
        <v>84</v>
      </c>
      <c r="DO1097" s="37">
        <v>3.6</v>
      </c>
      <c r="DP1097" s="36">
        <v>74</v>
      </c>
      <c r="DQ1097" s="36">
        <v>1666</v>
      </c>
      <c r="DR1097" s="38">
        <v>147</v>
      </c>
      <c r="DS1097" s="35">
        <v>9.68</v>
      </c>
      <c r="DT1097" s="36">
        <v>171</v>
      </c>
      <c r="DU1097" s="38">
        <v>3</v>
      </c>
      <c r="DV1097" s="35">
        <v>1.79</v>
      </c>
      <c r="DW1097" s="36">
        <v>1285</v>
      </c>
      <c r="DX1097" s="39">
        <v>6</v>
      </c>
      <c r="DY1097" s="35">
        <v>0.47</v>
      </c>
      <c r="DZ1097" s="28" t="s">
        <v>178</v>
      </c>
      <c r="EA1097" s="34">
        <v>43622</v>
      </c>
      <c r="EB1097" s="29">
        <v>107</v>
      </c>
      <c r="EC1097" s="34">
        <v>43503</v>
      </c>
      <c r="ED1097" s="28" t="s">
        <v>205</v>
      </c>
      <c r="EE1097" s="40" t="str">
        <f>HYPERLINK("https://my.pitchbook.com?c=166430-71", "View company online")</f>
        <v>View company online</v>
      </c>
    </row>
    <row r="1098" spans="1:135">
      <c r="A1098" s="15" t="s">
        <v>21382</v>
      </c>
      <c r="B1098" s="15" t="s">
        <v>21383</v>
      </c>
      <c r="C1098" s="15" t="s">
        <v>21384</v>
      </c>
      <c r="D1098" s="15" t="s">
        <v>138</v>
      </c>
      <c r="E1098" s="15" t="s">
        <v>21385</v>
      </c>
      <c r="F1098" s="15" t="s">
        <v>21382</v>
      </c>
      <c r="G1098" s="15" t="s">
        <v>21386</v>
      </c>
      <c r="H1098" s="15" t="s">
        <v>322</v>
      </c>
      <c r="I1098" s="15" t="s">
        <v>323</v>
      </c>
      <c r="J1098" s="15" t="s">
        <v>324</v>
      </c>
      <c r="K1098" s="15" t="s">
        <v>21387</v>
      </c>
      <c r="L1098" s="15" t="s">
        <v>215</v>
      </c>
      <c r="M1098" s="15" t="s">
        <v>21388</v>
      </c>
      <c r="N1098" s="15" t="s">
        <v>147</v>
      </c>
      <c r="O1098" s="17">
        <v>16.649999999999999</v>
      </c>
      <c r="P1098" s="15" t="s">
        <v>148</v>
      </c>
      <c r="Q1098" s="15" t="s">
        <v>149</v>
      </c>
      <c r="R1098" s="15" t="s">
        <v>174</v>
      </c>
      <c r="S1098" s="15" t="s">
        <v>21389</v>
      </c>
      <c r="T1098" s="18">
        <v>11</v>
      </c>
      <c r="U1098" s="15" t="s">
        <v>21390</v>
      </c>
      <c r="V1098" s="15" t="s">
        <v>138</v>
      </c>
      <c r="W1098" s="15" t="s">
        <v>138</v>
      </c>
      <c r="X1098" s="19" t="s">
        <v>138</v>
      </c>
      <c r="Y1098" s="15" t="s">
        <v>138</v>
      </c>
      <c r="Z1098" s="15" t="s">
        <v>138</v>
      </c>
      <c r="AA1098" s="15" t="s">
        <v>138</v>
      </c>
      <c r="AB1098" s="20" t="s">
        <v>138</v>
      </c>
      <c r="AC1098" s="20" t="s">
        <v>138</v>
      </c>
      <c r="AD1098" s="20" t="s">
        <v>138</v>
      </c>
      <c r="AE1098" s="20" t="s">
        <v>138</v>
      </c>
      <c r="AF1098" s="20" t="s">
        <v>138</v>
      </c>
      <c r="AG1098" s="15" t="s">
        <v>138</v>
      </c>
      <c r="AH1098" s="20" t="s">
        <v>138</v>
      </c>
      <c r="AI1098" s="20" t="s">
        <v>138</v>
      </c>
      <c r="AJ1098" s="20" t="s">
        <v>138</v>
      </c>
      <c r="AK1098" s="15" t="s">
        <v>21391</v>
      </c>
      <c r="AL1098" s="15" t="s">
        <v>21392</v>
      </c>
      <c r="AM1098" s="15" t="s">
        <v>21393</v>
      </c>
      <c r="AN1098" s="15" t="s">
        <v>21394</v>
      </c>
      <c r="AO1098" s="15" t="s">
        <v>21395</v>
      </c>
      <c r="AP1098" s="15" t="s">
        <v>1292</v>
      </c>
      <c r="AQ1098" s="15" t="s">
        <v>21396</v>
      </c>
      <c r="AR1098" s="15" t="s">
        <v>21397</v>
      </c>
      <c r="AS1098" s="15" t="s">
        <v>1294</v>
      </c>
      <c r="AT1098" s="15" t="s">
        <v>864</v>
      </c>
      <c r="AU1098" s="15" t="s">
        <v>21398</v>
      </c>
      <c r="AV1098" s="15" t="s">
        <v>162</v>
      </c>
      <c r="AW1098" s="15" t="s">
        <v>21395</v>
      </c>
      <c r="AX1098" s="15" t="s">
        <v>138</v>
      </c>
      <c r="AY1098" s="15" t="s">
        <v>21399</v>
      </c>
      <c r="AZ1098" s="15" t="s">
        <v>164</v>
      </c>
      <c r="BA1098" s="15" t="s">
        <v>165</v>
      </c>
      <c r="BB1098" s="15" t="s">
        <v>21400</v>
      </c>
      <c r="BC1098" s="15" t="s">
        <v>21401</v>
      </c>
      <c r="BD1098" s="21">
        <v>2</v>
      </c>
      <c r="BE1098" s="15" t="s">
        <v>138</v>
      </c>
      <c r="BF1098" s="15" t="s">
        <v>138</v>
      </c>
      <c r="BG1098" s="15" t="s">
        <v>138</v>
      </c>
      <c r="BH1098" s="15" t="s">
        <v>21402</v>
      </c>
      <c r="BI1098" s="15" t="s">
        <v>138</v>
      </c>
      <c r="BJ1098" s="15" t="s">
        <v>138</v>
      </c>
      <c r="BK1098" s="15" t="s">
        <v>138</v>
      </c>
      <c r="BL1098" s="15" t="s">
        <v>138</v>
      </c>
      <c r="BM1098" s="22">
        <v>39665</v>
      </c>
      <c r="BN1098" s="17">
        <v>4</v>
      </c>
      <c r="BO1098" s="15" t="s">
        <v>172</v>
      </c>
      <c r="BP1098" s="17">
        <v>9</v>
      </c>
      <c r="BQ1098" s="15" t="s">
        <v>172</v>
      </c>
      <c r="BR1098" s="15" t="s">
        <v>205</v>
      </c>
      <c r="BS1098" s="15" t="s">
        <v>206</v>
      </c>
      <c r="BT1098" s="15" t="s">
        <v>138</v>
      </c>
      <c r="BU1098" s="15" t="s">
        <v>174</v>
      </c>
      <c r="BV1098" s="15" t="s">
        <v>138</v>
      </c>
      <c r="BW1098" s="15" t="s">
        <v>138</v>
      </c>
      <c r="BX1098" s="15" t="s">
        <v>138</v>
      </c>
      <c r="BY1098" s="15" t="s">
        <v>175</v>
      </c>
      <c r="BZ1098" s="22">
        <v>42775</v>
      </c>
      <c r="CA1098" s="17">
        <v>2.69</v>
      </c>
      <c r="CB1098" s="15" t="s">
        <v>172</v>
      </c>
      <c r="CC1098" s="17">
        <v>9.5500000000000007</v>
      </c>
      <c r="CD1098" s="15" t="s">
        <v>172</v>
      </c>
      <c r="CE1098" s="15" t="s">
        <v>173</v>
      </c>
      <c r="CF1098" s="15" t="s">
        <v>433</v>
      </c>
      <c r="CG1098" s="15" t="s">
        <v>138</v>
      </c>
      <c r="CH1098" s="15" t="s">
        <v>174</v>
      </c>
      <c r="CI1098" s="15" t="s">
        <v>138</v>
      </c>
      <c r="CJ1098" s="15" t="s">
        <v>138</v>
      </c>
      <c r="CK1098" s="15" t="s">
        <v>138</v>
      </c>
      <c r="CL1098" s="15" t="s">
        <v>175</v>
      </c>
      <c r="CM1098" s="22" t="s">
        <v>138</v>
      </c>
      <c r="CN1098" s="17" t="s">
        <v>138</v>
      </c>
      <c r="CO1098" s="23">
        <v>-0.11</v>
      </c>
      <c r="CP1098" s="24">
        <v>21</v>
      </c>
      <c r="CQ1098" s="23">
        <v>0.03</v>
      </c>
      <c r="CR1098" s="23">
        <v>21.69</v>
      </c>
      <c r="CS1098" s="23">
        <v>-0.56999999999999995</v>
      </c>
      <c r="CT1098" s="24">
        <v>19</v>
      </c>
      <c r="CU1098" s="23">
        <v>0.34</v>
      </c>
      <c r="CV1098" s="24">
        <v>89</v>
      </c>
      <c r="CW1098" s="23">
        <v>0</v>
      </c>
      <c r="CX1098" s="24">
        <v>13</v>
      </c>
      <c r="CY1098" s="23">
        <v>-1.1299999999999999</v>
      </c>
      <c r="CZ1098" s="24">
        <v>18</v>
      </c>
      <c r="DA1098" s="23">
        <v>0.19</v>
      </c>
      <c r="DB1098" s="24">
        <v>82</v>
      </c>
      <c r="DC1098" s="25">
        <v>1.49</v>
      </c>
      <c r="DD1098" s="24">
        <v>61</v>
      </c>
      <c r="DE1098" s="25">
        <v>-0.02</v>
      </c>
      <c r="DF1098" s="23">
        <v>-1.54</v>
      </c>
      <c r="DG1098" s="25">
        <v>2.65</v>
      </c>
      <c r="DH1098" s="24">
        <v>72</v>
      </c>
      <c r="DI1098" s="25">
        <v>0.34</v>
      </c>
      <c r="DJ1098" s="24">
        <v>30</v>
      </c>
      <c r="DK1098" s="25">
        <v>1.02</v>
      </c>
      <c r="DL1098" s="24">
        <v>51</v>
      </c>
      <c r="DM1098" s="25">
        <v>4.28</v>
      </c>
      <c r="DN1098" s="24">
        <v>79</v>
      </c>
      <c r="DO1098" s="25">
        <v>0.56000000000000005</v>
      </c>
      <c r="DP1098" s="24">
        <v>40</v>
      </c>
      <c r="DQ1098" s="24">
        <v>355</v>
      </c>
      <c r="DR1098" s="26">
        <v>-16</v>
      </c>
      <c r="DS1098" s="23">
        <v>-4.3099999999999996</v>
      </c>
      <c r="DT1098" s="24">
        <v>123</v>
      </c>
      <c r="DU1098" s="26">
        <v>0</v>
      </c>
      <c r="DV1098" s="23">
        <v>0</v>
      </c>
      <c r="DW1098" s="24">
        <v>202</v>
      </c>
      <c r="DX1098" s="27">
        <v>1</v>
      </c>
      <c r="DY1098" s="23">
        <v>0.5</v>
      </c>
      <c r="DZ1098" s="15" t="s">
        <v>178</v>
      </c>
      <c r="EA1098" s="22">
        <v>43351</v>
      </c>
      <c r="EB1098" s="17">
        <v>9.5500000000000007</v>
      </c>
      <c r="EC1098" s="22">
        <v>42775</v>
      </c>
      <c r="ED1098" s="15" t="s">
        <v>173</v>
      </c>
      <c r="EE1098" s="14" t="str">
        <f>HYPERLINK("https://my.pitchbook.com?c=54798-94", "View company online")</f>
        <v>View company online</v>
      </c>
    </row>
    <row r="1099" spans="1:135">
      <c r="A1099" s="28" t="s">
        <v>21403</v>
      </c>
      <c r="B1099" s="28" t="s">
        <v>21404</v>
      </c>
      <c r="C1099" s="28" t="s">
        <v>138</v>
      </c>
      <c r="D1099" s="28" t="s">
        <v>21405</v>
      </c>
      <c r="E1099" s="28" t="s">
        <v>21406</v>
      </c>
      <c r="F1099" s="28" t="s">
        <v>21403</v>
      </c>
      <c r="G1099" s="28" t="s">
        <v>21407</v>
      </c>
      <c r="H1099" s="28" t="s">
        <v>322</v>
      </c>
      <c r="I1099" s="28" t="s">
        <v>323</v>
      </c>
      <c r="J1099" s="28" t="s">
        <v>461</v>
      </c>
      <c r="K1099" s="28" t="s">
        <v>2209</v>
      </c>
      <c r="L1099" s="28" t="s">
        <v>415</v>
      </c>
      <c r="M1099" s="28" t="s">
        <v>21408</v>
      </c>
      <c r="N1099" s="28" t="s">
        <v>1452</v>
      </c>
      <c r="O1099" s="29">
        <v>35</v>
      </c>
      <c r="P1099" s="28" t="s">
        <v>812</v>
      </c>
      <c r="Q1099" s="28" t="s">
        <v>149</v>
      </c>
      <c r="R1099" s="28" t="s">
        <v>13812</v>
      </c>
      <c r="S1099" s="28" t="s">
        <v>21409</v>
      </c>
      <c r="T1099" s="30">
        <v>165</v>
      </c>
      <c r="U1099" s="28" t="s">
        <v>21410</v>
      </c>
      <c r="V1099" s="28" t="s">
        <v>138</v>
      </c>
      <c r="W1099" s="28" t="s">
        <v>138</v>
      </c>
      <c r="X1099" s="31">
        <v>2000</v>
      </c>
      <c r="Y1099" s="28" t="s">
        <v>138</v>
      </c>
      <c r="Z1099" s="28" t="s">
        <v>1163</v>
      </c>
      <c r="AA1099" s="28" t="s">
        <v>1163</v>
      </c>
      <c r="AB1099" s="32">
        <v>24.33</v>
      </c>
      <c r="AC1099" s="32" t="s">
        <v>138</v>
      </c>
      <c r="AD1099" s="32" t="s">
        <v>138</v>
      </c>
      <c r="AE1099" s="32" t="s">
        <v>138</v>
      </c>
      <c r="AF1099" s="32" t="s">
        <v>138</v>
      </c>
      <c r="AG1099" s="28" t="s">
        <v>633</v>
      </c>
      <c r="AH1099" s="32" t="s">
        <v>138</v>
      </c>
      <c r="AI1099" s="32" t="s">
        <v>138</v>
      </c>
      <c r="AJ1099" s="32" t="s">
        <v>138</v>
      </c>
      <c r="AK1099" s="28" t="s">
        <v>21411</v>
      </c>
      <c r="AL1099" s="28" t="s">
        <v>21412</v>
      </c>
      <c r="AM1099" s="28" t="s">
        <v>249</v>
      </c>
      <c r="AN1099" s="28" t="s">
        <v>21413</v>
      </c>
      <c r="AO1099" s="28" t="s">
        <v>21414</v>
      </c>
      <c r="AP1099" s="28" t="s">
        <v>423</v>
      </c>
      <c r="AQ1099" s="28" t="s">
        <v>21415</v>
      </c>
      <c r="AR1099" s="28" t="s">
        <v>21416</v>
      </c>
      <c r="AS1099" s="28" t="s">
        <v>426</v>
      </c>
      <c r="AT1099" s="28" t="s">
        <v>426</v>
      </c>
      <c r="AU1099" s="28" t="s">
        <v>2610</v>
      </c>
      <c r="AV1099" s="28" t="s">
        <v>162</v>
      </c>
      <c r="AW1099" s="28" t="s">
        <v>21414</v>
      </c>
      <c r="AX1099" s="28" t="s">
        <v>21417</v>
      </c>
      <c r="AY1099" s="28" t="s">
        <v>21418</v>
      </c>
      <c r="AZ1099" s="28" t="s">
        <v>164</v>
      </c>
      <c r="BA1099" s="28" t="s">
        <v>165</v>
      </c>
      <c r="BB1099" s="28" t="s">
        <v>21419</v>
      </c>
      <c r="BC1099" s="28" t="s">
        <v>21420</v>
      </c>
      <c r="BD1099" s="33">
        <v>1</v>
      </c>
      <c r="BE1099" s="28" t="s">
        <v>138</v>
      </c>
      <c r="BF1099" s="28" t="s">
        <v>21421</v>
      </c>
      <c r="BG1099" s="28" t="s">
        <v>138</v>
      </c>
      <c r="BH1099" s="28" t="s">
        <v>21422</v>
      </c>
      <c r="BI1099" s="28" t="s">
        <v>21423</v>
      </c>
      <c r="BJ1099" s="28" t="s">
        <v>138</v>
      </c>
      <c r="BK1099" s="28" t="s">
        <v>18019</v>
      </c>
      <c r="BL1099" s="28" t="s">
        <v>21424</v>
      </c>
      <c r="BM1099" s="34">
        <v>38635</v>
      </c>
      <c r="BN1099" s="29" t="s">
        <v>138</v>
      </c>
      <c r="BO1099" s="28" t="s">
        <v>138</v>
      </c>
      <c r="BP1099" s="29" t="s">
        <v>138</v>
      </c>
      <c r="BQ1099" s="28" t="s">
        <v>138</v>
      </c>
      <c r="BR1099" s="28" t="s">
        <v>780</v>
      </c>
      <c r="BS1099" s="28" t="s">
        <v>780</v>
      </c>
      <c r="BT1099" s="28" t="s">
        <v>138</v>
      </c>
      <c r="BU1099" s="28" t="s">
        <v>780</v>
      </c>
      <c r="BV1099" s="28" t="s">
        <v>138</v>
      </c>
      <c r="BW1099" s="28" t="s">
        <v>138</v>
      </c>
      <c r="BX1099" s="28" t="s">
        <v>138</v>
      </c>
      <c r="BY1099" s="28" t="s">
        <v>175</v>
      </c>
      <c r="BZ1099" s="34">
        <v>43556</v>
      </c>
      <c r="CA1099" s="29" t="s">
        <v>138</v>
      </c>
      <c r="CB1099" s="28" t="s">
        <v>138</v>
      </c>
      <c r="CC1099" s="29" t="s">
        <v>138</v>
      </c>
      <c r="CD1099" s="28" t="s">
        <v>138</v>
      </c>
      <c r="CE1099" s="28" t="s">
        <v>349</v>
      </c>
      <c r="CF1099" s="28" t="s">
        <v>138</v>
      </c>
      <c r="CG1099" s="28" t="s">
        <v>138</v>
      </c>
      <c r="CH1099" s="28" t="s">
        <v>351</v>
      </c>
      <c r="CI1099" s="28" t="s">
        <v>138</v>
      </c>
      <c r="CJ1099" s="28" t="s">
        <v>138</v>
      </c>
      <c r="CK1099" s="28" t="s">
        <v>138</v>
      </c>
      <c r="CL1099" s="28" t="s">
        <v>175</v>
      </c>
      <c r="CM1099" s="34" t="s">
        <v>138</v>
      </c>
      <c r="CN1099" s="29" t="s">
        <v>138</v>
      </c>
      <c r="CO1099" s="35">
        <v>-1.48</v>
      </c>
      <c r="CP1099" s="36">
        <v>8</v>
      </c>
      <c r="CQ1099" s="35">
        <v>0.06</v>
      </c>
      <c r="CR1099" s="35">
        <v>4.0599999999999996</v>
      </c>
      <c r="CS1099" s="35">
        <v>-2.96</v>
      </c>
      <c r="CT1099" s="36">
        <v>5</v>
      </c>
      <c r="CU1099" s="35">
        <v>0</v>
      </c>
      <c r="CV1099" s="36">
        <v>22</v>
      </c>
      <c r="CW1099" s="35">
        <v>-1.35</v>
      </c>
      <c r="CX1099" s="36">
        <v>9</v>
      </c>
      <c r="CY1099" s="35">
        <v>-4.5599999999999996</v>
      </c>
      <c r="CZ1099" s="36">
        <v>4</v>
      </c>
      <c r="DA1099" s="35">
        <v>0.01</v>
      </c>
      <c r="DB1099" s="36">
        <v>57</v>
      </c>
      <c r="DC1099" s="37">
        <v>22.42</v>
      </c>
      <c r="DD1099" s="36">
        <v>95</v>
      </c>
      <c r="DE1099" s="37">
        <v>-0.98</v>
      </c>
      <c r="DF1099" s="35">
        <v>-4.1900000000000004</v>
      </c>
      <c r="DG1099" s="37">
        <v>31.29</v>
      </c>
      <c r="DH1099" s="36">
        <v>97</v>
      </c>
      <c r="DI1099" s="37">
        <v>13.56</v>
      </c>
      <c r="DJ1099" s="36">
        <v>88</v>
      </c>
      <c r="DK1099" s="37">
        <v>31.23</v>
      </c>
      <c r="DL1099" s="36">
        <v>94</v>
      </c>
      <c r="DM1099" s="37">
        <v>31.34</v>
      </c>
      <c r="DN1099" s="36">
        <v>96</v>
      </c>
      <c r="DO1099" s="37">
        <v>20.73</v>
      </c>
      <c r="DP1099" s="36">
        <v>93</v>
      </c>
      <c r="DQ1099" s="36">
        <v>10545</v>
      </c>
      <c r="DR1099" s="38">
        <v>499</v>
      </c>
      <c r="DS1099" s="35">
        <v>4.97</v>
      </c>
      <c r="DT1099" s="36">
        <v>909</v>
      </c>
      <c r="DU1099" s="38">
        <v>0</v>
      </c>
      <c r="DV1099" s="35">
        <v>0</v>
      </c>
      <c r="DW1099" s="36">
        <v>7424</v>
      </c>
      <c r="DX1099" s="39">
        <v>-2</v>
      </c>
      <c r="DY1099" s="35">
        <v>-0.03</v>
      </c>
      <c r="DZ1099" s="28" t="s">
        <v>178</v>
      </c>
      <c r="EA1099" s="34">
        <v>43601</v>
      </c>
      <c r="EB1099" s="29" t="s">
        <v>138</v>
      </c>
      <c r="EC1099" s="34" t="s">
        <v>138</v>
      </c>
      <c r="ED1099" s="28" t="s">
        <v>138</v>
      </c>
      <c r="EE1099" s="40" t="str">
        <f>HYPERLINK("https://my.pitchbook.com?c=53704-72", "View company online")</f>
        <v>View company online</v>
      </c>
    </row>
    <row r="1100" spans="1:135">
      <c r="A1100" s="15" t="s">
        <v>21425</v>
      </c>
      <c r="B1100" s="15" t="s">
        <v>21426</v>
      </c>
      <c r="C1100" s="15" t="s">
        <v>138</v>
      </c>
      <c r="D1100" s="15" t="s">
        <v>138</v>
      </c>
      <c r="E1100" s="15" t="s">
        <v>138</v>
      </c>
      <c r="F1100" s="15" t="s">
        <v>21425</v>
      </c>
      <c r="G1100" s="15" t="s">
        <v>14138</v>
      </c>
      <c r="H1100" s="15" t="s">
        <v>138</v>
      </c>
      <c r="I1100" s="15" t="s">
        <v>138</v>
      </c>
      <c r="J1100" s="15" t="s">
        <v>138</v>
      </c>
      <c r="K1100" s="15" t="s">
        <v>138</v>
      </c>
      <c r="L1100" s="15" t="s">
        <v>138</v>
      </c>
      <c r="M1100" s="15" t="s">
        <v>138</v>
      </c>
      <c r="N1100" s="15" t="s">
        <v>147</v>
      </c>
      <c r="O1100" s="17">
        <v>5.0599999999999996</v>
      </c>
      <c r="P1100" s="15" t="s">
        <v>189</v>
      </c>
      <c r="Q1100" s="15" t="s">
        <v>149</v>
      </c>
      <c r="R1100" s="15" t="s">
        <v>174</v>
      </c>
      <c r="S1100" s="15" t="s">
        <v>21427</v>
      </c>
      <c r="T1100" s="18" t="s">
        <v>138</v>
      </c>
      <c r="U1100" s="15" t="s">
        <v>138</v>
      </c>
      <c r="V1100" s="15" t="s">
        <v>138</v>
      </c>
      <c r="W1100" s="15" t="s">
        <v>138</v>
      </c>
      <c r="X1100" s="19">
        <v>2017</v>
      </c>
      <c r="Y1100" s="15" t="s">
        <v>138</v>
      </c>
      <c r="Z1100" s="15" t="s">
        <v>138</v>
      </c>
      <c r="AA1100" s="15" t="s">
        <v>138</v>
      </c>
      <c r="AB1100" s="20" t="s">
        <v>138</v>
      </c>
      <c r="AC1100" s="20" t="s">
        <v>138</v>
      </c>
      <c r="AD1100" s="20" t="s">
        <v>138</v>
      </c>
      <c r="AE1100" s="20" t="s">
        <v>138</v>
      </c>
      <c r="AF1100" s="20" t="s">
        <v>138</v>
      </c>
      <c r="AG1100" s="15" t="s">
        <v>138</v>
      </c>
      <c r="AH1100" s="20" t="s">
        <v>138</v>
      </c>
      <c r="AI1100" s="20" t="s">
        <v>138</v>
      </c>
      <c r="AJ1100" s="20" t="s">
        <v>138</v>
      </c>
      <c r="AK1100" s="15" t="s">
        <v>21428</v>
      </c>
      <c r="AL1100" s="15" t="s">
        <v>21429</v>
      </c>
      <c r="AM1100" s="15" t="s">
        <v>21430</v>
      </c>
      <c r="AN1100" s="15" t="s">
        <v>21431</v>
      </c>
      <c r="AO1100" s="15" t="s">
        <v>21432</v>
      </c>
      <c r="AP1100" s="15" t="s">
        <v>861</v>
      </c>
      <c r="AQ1100" s="15" t="s">
        <v>21433</v>
      </c>
      <c r="AR1100" s="15" t="s">
        <v>138</v>
      </c>
      <c r="AS1100" s="15" t="s">
        <v>863</v>
      </c>
      <c r="AT1100" s="15" t="s">
        <v>864</v>
      </c>
      <c r="AU1100" s="15" t="s">
        <v>865</v>
      </c>
      <c r="AV1100" s="15" t="s">
        <v>162</v>
      </c>
      <c r="AW1100" s="15" t="s">
        <v>21432</v>
      </c>
      <c r="AX1100" s="15" t="s">
        <v>138</v>
      </c>
      <c r="AY1100" s="15" t="s">
        <v>138</v>
      </c>
      <c r="AZ1100" s="15" t="s">
        <v>164</v>
      </c>
      <c r="BA1100" s="15" t="s">
        <v>165</v>
      </c>
      <c r="BB1100" s="15" t="s">
        <v>21434</v>
      </c>
      <c r="BC1100" s="15" t="s">
        <v>21435</v>
      </c>
      <c r="BD1100" s="21">
        <v>5</v>
      </c>
      <c r="BE1100" s="15" t="s">
        <v>138</v>
      </c>
      <c r="BF1100" s="15" t="s">
        <v>138</v>
      </c>
      <c r="BG1100" s="15" t="s">
        <v>138</v>
      </c>
      <c r="BH1100" s="15" t="s">
        <v>21436</v>
      </c>
      <c r="BI1100" s="15" t="s">
        <v>138</v>
      </c>
      <c r="BJ1100" s="15" t="s">
        <v>138</v>
      </c>
      <c r="BK1100" s="15" t="s">
        <v>138</v>
      </c>
      <c r="BL1100" s="15" t="s">
        <v>8844</v>
      </c>
      <c r="BM1100" s="22">
        <v>43412</v>
      </c>
      <c r="BN1100" s="17">
        <v>5.0599999999999996</v>
      </c>
      <c r="BO1100" s="15" t="s">
        <v>172</v>
      </c>
      <c r="BP1100" s="17">
        <v>15.06</v>
      </c>
      <c r="BQ1100" s="15" t="s">
        <v>172</v>
      </c>
      <c r="BR1100" s="15" t="s">
        <v>234</v>
      </c>
      <c r="BS1100" s="15" t="s">
        <v>234</v>
      </c>
      <c r="BT1100" s="15" t="s">
        <v>138</v>
      </c>
      <c r="BU1100" s="15" t="s">
        <v>174</v>
      </c>
      <c r="BV1100" s="15" t="s">
        <v>138</v>
      </c>
      <c r="BW1100" s="15" t="s">
        <v>138</v>
      </c>
      <c r="BX1100" s="15" t="s">
        <v>138</v>
      </c>
      <c r="BY1100" s="15" t="s">
        <v>175</v>
      </c>
      <c r="BZ1100" s="22">
        <v>43412</v>
      </c>
      <c r="CA1100" s="17">
        <v>5.0599999999999996</v>
      </c>
      <c r="CB1100" s="15" t="s">
        <v>172</v>
      </c>
      <c r="CC1100" s="17">
        <v>15.06</v>
      </c>
      <c r="CD1100" s="15" t="s">
        <v>172</v>
      </c>
      <c r="CE1100" s="15" t="s">
        <v>234</v>
      </c>
      <c r="CF1100" s="15" t="s">
        <v>234</v>
      </c>
      <c r="CG1100" s="15" t="s">
        <v>138</v>
      </c>
      <c r="CH1100" s="15" t="s">
        <v>174</v>
      </c>
      <c r="CI1100" s="15" t="s">
        <v>138</v>
      </c>
      <c r="CJ1100" s="15" t="s">
        <v>138</v>
      </c>
      <c r="CK1100" s="15" t="s">
        <v>138</v>
      </c>
      <c r="CL1100" s="15" t="s">
        <v>175</v>
      </c>
      <c r="CM1100" s="22" t="s">
        <v>138</v>
      </c>
      <c r="CN1100" s="17" t="s">
        <v>138</v>
      </c>
      <c r="CO1100" s="23">
        <v>0</v>
      </c>
      <c r="CP1100" s="24">
        <v>26</v>
      </c>
      <c r="CQ1100" s="23">
        <v>0</v>
      </c>
      <c r="CR1100" s="23">
        <v>0</v>
      </c>
      <c r="CS1100" s="23">
        <v>0</v>
      </c>
      <c r="CT1100" s="24">
        <v>23</v>
      </c>
      <c r="CU1100" s="23" t="s">
        <v>138</v>
      </c>
      <c r="CV1100" s="24" t="s">
        <v>138</v>
      </c>
      <c r="CW1100" s="23" t="s">
        <v>138</v>
      </c>
      <c r="CX1100" s="24" t="s">
        <v>138</v>
      </c>
      <c r="CY1100" s="23">
        <v>0</v>
      </c>
      <c r="CZ1100" s="24">
        <v>25</v>
      </c>
      <c r="DA1100" s="23" t="s">
        <v>138</v>
      </c>
      <c r="DB1100" s="24" t="s">
        <v>138</v>
      </c>
      <c r="DC1100" s="25">
        <v>2.31</v>
      </c>
      <c r="DD1100" s="24">
        <v>70</v>
      </c>
      <c r="DE1100" s="25">
        <v>0</v>
      </c>
      <c r="DF1100" s="23">
        <v>0</v>
      </c>
      <c r="DG1100" s="25">
        <v>2.31</v>
      </c>
      <c r="DH1100" s="24">
        <v>70</v>
      </c>
      <c r="DI1100" s="25" t="s">
        <v>138</v>
      </c>
      <c r="DJ1100" s="24" t="s">
        <v>138</v>
      </c>
      <c r="DK1100" s="25" t="s">
        <v>138</v>
      </c>
      <c r="DL1100" s="24" t="s">
        <v>138</v>
      </c>
      <c r="DM1100" s="25">
        <v>2.31</v>
      </c>
      <c r="DN1100" s="24">
        <v>68</v>
      </c>
      <c r="DO1100" s="25" t="s">
        <v>138</v>
      </c>
      <c r="DP1100" s="24" t="s">
        <v>138</v>
      </c>
      <c r="DQ1100" s="24">
        <v>305</v>
      </c>
      <c r="DR1100" s="26">
        <v>35</v>
      </c>
      <c r="DS1100" s="23">
        <v>12.96</v>
      </c>
      <c r="DT1100" s="24">
        <v>67</v>
      </c>
      <c r="DU1100" s="26">
        <v>1</v>
      </c>
      <c r="DV1100" s="23">
        <v>1.52</v>
      </c>
      <c r="DW1100" s="24" t="s">
        <v>138</v>
      </c>
      <c r="DX1100" s="27" t="s">
        <v>138</v>
      </c>
      <c r="DY1100" s="23" t="s">
        <v>138</v>
      </c>
      <c r="DZ1100" s="15" t="s">
        <v>178</v>
      </c>
      <c r="EA1100" s="22">
        <v>43452</v>
      </c>
      <c r="EB1100" s="17">
        <v>15.06</v>
      </c>
      <c r="EC1100" s="22">
        <v>43412</v>
      </c>
      <c r="ED1100" s="15" t="s">
        <v>234</v>
      </c>
      <c r="EE1100" s="14" t="str">
        <f>HYPERLINK("https://my.pitchbook.com?c=231797-98", "View company online")</f>
        <v>View company online</v>
      </c>
    </row>
    <row r="1101" spans="1:135">
      <c r="A1101" s="28" t="s">
        <v>21437</v>
      </c>
      <c r="B1101" s="28" t="s">
        <v>21438</v>
      </c>
      <c r="C1101" s="28" t="s">
        <v>21439</v>
      </c>
      <c r="D1101" s="28" t="s">
        <v>138</v>
      </c>
      <c r="E1101" s="28" t="s">
        <v>21440</v>
      </c>
      <c r="F1101" s="28" t="s">
        <v>21437</v>
      </c>
      <c r="G1101" s="28" t="s">
        <v>21441</v>
      </c>
      <c r="H1101" s="28" t="s">
        <v>322</v>
      </c>
      <c r="I1101" s="28" t="s">
        <v>323</v>
      </c>
      <c r="J1101" s="28" t="s">
        <v>324</v>
      </c>
      <c r="K1101" s="28" t="s">
        <v>1649</v>
      </c>
      <c r="L1101" s="28" t="s">
        <v>1544</v>
      </c>
      <c r="M1101" s="28" t="s">
        <v>21442</v>
      </c>
      <c r="N1101" s="28" t="s">
        <v>147</v>
      </c>
      <c r="O1101" s="29">
        <v>162.4</v>
      </c>
      <c r="P1101" s="28" t="s">
        <v>812</v>
      </c>
      <c r="Q1101" s="28" t="s">
        <v>149</v>
      </c>
      <c r="R1101" s="28" t="s">
        <v>174</v>
      </c>
      <c r="S1101" s="28" t="s">
        <v>21443</v>
      </c>
      <c r="T1101" s="30">
        <v>675</v>
      </c>
      <c r="U1101" s="28" t="s">
        <v>21444</v>
      </c>
      <c r="V1101" s="28" t="s">
        <v>138</v>
      </c>
      <c r="W1101" s="28" t="s">
        <v>138</v>
      </c>
      <c r="X1101" s="31">
        <v>2001</v>
      </c>
      <c r="Y1101" s="28" t="s">
        <v>138</v>
      </c>
      <c r="Z1101" s="28" t="s">
        <v>138</v>
      </c>
      <c r="AA1101" s="28" t="s">
        <v>138</v>
      </c>
      <c r="AB1101" s="32">
        <v>100</v>
      </c>
      <c r="AC1101" s="32" t="s">
        <v>138</v>
      </c>
      <c r="AD1101" s="32" t="s">
        <v>138</v>
      </c>
      <c r="AE1101" s="32" t="s">
        <v>138</v>
      </c>
      <c r="AF1101" s="32" t="s">
        <v>138</v>
      </c>
      <c r="AG1101" s="28" t="s">
        <v>815</v>
      </c>
      <c r="AH1101" s="32" t="s">
        <v>138</v>
      </c>
      <c r="AI1101" s="32" t="s">
        <v>138</v>
      </c>
      <c r="AJ1101" s="32" t="s">
        <v>138</v>
      </c>
      <c r="AK1101" s="28" t="s">
        <v>21445</v>
      </c>
      <c r="AL1101" s="28" t="s">
        <v>21446</v>
      </c>
      <c r="AM1101" s="28" t="s">
        <v>1632</v>
      </c>
      <c r="AN1101" s="28" t="s">
        <v>21447</v>
      </c>
      <c r="AO1101" s="28" t="s">
        <v>21448</v>
      </c>
      <c r="AP1101" s="28" t="s">
        <v>19917</v>
      </c>
      <c r="AQ1101" s="28" t="s">
        <v>21449</v>
      </c>
      <c r="AR1101" s="28" t="s">
        <v>138</v>
      </c>
      <c r="AS1101" s="28" t="s">
        <v>19919</v>
      </c>
      <c r="AT1101" s="28" t="s">
        <v>10615</v>
      </c>
      <c r="AU1101" s="28" t="s">
        <v>21450</v>
      </c>
      <c r="AV1101" s="28" t="s">
        <v>162</v>
      </c>
      <c r="AW1101" s="28" t="s">
        <v>21448</v>
      </c>
      <c r="AX1101" s="28" t="s">
        <v>21451</v>
      </c>
      <c r="AY1101" s="28" t="s">
        <v>21452</v>
      </c>
      <c r="AZ1101" s="28" t="s">
        <v>164</v>
      </c>
      <c r="BA1101" s="28" t="s">
        <v>165</v>
      </c>
      <c r="BB1101" s="28" t="s">
        <v>21453</v>
      </c>
      <c r="BC1101" s="28" t="s">
        <v>21454</v>
      </c>
      <c r="BD1101" s="33">
        <v>11</v>
      </c>
      <c r="BE1101" s="28" t="s">
        <v>138</v>
      </c>
      <c r="BF1101" s="28" t="s">
        <v>138</v>
      </c>
      <c r="BG1101" s="28" t="s">
        <v>138</v>
      </c>
      <c r="BH1101" s="28" t="s">
        <v>21455</v>
      </c>
      <c r="BI1101" s="28" t="s">
        <v>138</v>
      </c>
      <c r="BJ1101" s="28" t="s">
        <v>138</v>
      </c>
      <c r="BK1101" s="28" t="s">
        <v>21456</v>
      </c>
      <c r="BL1101" s="28" t="s">
        <v>21457</v>
      </c>
      <c r="BM1101" s="34">
        <v>39367</v>
      </c>
      <c r="BN1101" s="29">
        <v>9.34</v>
      </c>
      <c r="BO1101" s="28" t="s">
        <v>172</v>
      </c>
      <c r="BP1101" s="29">
        <v>46.97</v>
      </c>
      <c r="BQ1101" s="28" t="s">
        <v>172</v>
      </c>
      <c r="BR1101" s="28" t="s">
        <v>173</v>
      </c>
      <c r="BS1101" s="28" t="s">
        <v>206</v>
      </c>
      <c r="BT1101" s="28" t="s">
        <v>138</v>
      </c>
      <c r="BU1101" s="28" t="s">
        <v>174</v>
      </c>
      <c r="BV1101" s="28" t="s">
        <v>138</v>
      </c>
      <c r="BW1101" s="28" t="s">
        <v>138</v>
      </c>
      <c r="BX1101" s="28" t="s">
        <v>138</v>
      </c>
      <c r="BY1101" s="28" t="s">
        <v>175</v>
      </c>
      <c r="BZ1101" s="34">
        <v>43390</v>
      </c>
      <c r="CA1101" s="29">
        <v>20</v>
      </c>
      <c r="CB1101" s="28" t="s">
        <v>172</v>
      </c>
      <c r="CC1101" s="29" t="s">
        <v>138</v>
      </c>
      <c r="CD1101" s="28" t="s">
        <v>138</v>
      </c>
      <c r="CE1101" s="28" t="s">
        <v>173</v>
      </c>
      <c r="CF1101" s="28" t="s">
        <v>138</v>
      </c>
      <c r="CG1101" s="28" t="s">
        <v>138</v>
      </c>
      <c r="CH1101" s="28" t="s">
        <v>174</v>
      </c>
      <c r="CI1101" s="28" t="s">
        <v>138</v>
      </c>
      <c r="CJ1101" s="28" t="s">
        <v>138</v>
      </c>
      <c r="CK1101" s="28" t="s">
        <v>138</v>
      </c>
      <c r="CL1101" s="28" t="s">
        <v>175</v>
      </c>
      <c r="CM1101" s="34" t="s">
        <v>138</v>
      </c>
      <c r="CN1101" s="29" t="s">
        <v>138</v>
      </c>
      <c r="CO1101" s="35">
        <v>0.21</v>
      </c>
      <c r="CP1101" s="36">
        <v>92</v>
      </c>
      <c r="CQ1101" s="35">
        <v>0</v>
      </c>
      <c r="CR1101" s="35">
        <v>-1.65</v>
      </c>
      <c r="CS1101" s="35" t="s">
        <v>138</v>
      </c>
      <c r="CT1101" s="36" t="s">
        <v>138</v>
      </c>
      <c r="CU1101" s="35">
        <v>0</v>
      </c>
      <c r="CV1101" s="36">
        <v>22</v>
      </c>
      <c r="CW1101" s="35" t="s">
        <v>138</v>
      </c>
      <c r="CX1101" s="36" t="s">
        <v>138</v>
      </c>
      <c r="CY1101" s="35" t="s">
        <v>138</v>
      </c>
      <c r="CZ1101" s="36" t="s">
        <v>138</v>
      </c>
      <c r="DA1101" s="35">
        <v>0</v>
      </c>
      <c r="DB1101" s="36">
        <v>22</v>
      </c>
      <c r="DC1101" s="37">
        <v>0.52</v>
      </c>
      <c r="DD1101" s="36">
        <v>34</v>
      </c>
      <c r="DE1101" s="37">
        <v>0.02</v>
      </c>
      <c r="DF1101" s="35">
        <v>4.83</v>
      </c>
      <c r="DG1101" s="37" t="s">
        <v>138</v>
      </c>
      <c r="DH1101" s="36" t="s">
        <v>138</v>
      </c>
      <c r="DI1101" s="37">
        <v>0.05</v>
      </c>
      <c r="DJ1101" s="36">
        <v>9</v>
      </c>
      <c r="DK1101" s="37" t="s">
        <v>138</v>
      </c>
      <c r="DL1101" s="36" t="s">
        <v>138</v>
      </c>
      <c r="DM1101" s="37" t="s">
        <v>138</v>
      </c>
      <c r="DN1101" s="36" t="s">
        <v>138</v>
      </c>
      <c r="DO1101" s="37">
        <v>0.05</v>
      </c>
      <c r="DP1101" s="36">
        <v>10</v>
      </c>
      <c r="DQ1101" s="36" t="s">
        <v>138</v>
      </c>
      <c r="DR1101" s="38" t="s">
        <v>138</v>
      </c>
      <c r="DS1101" s="35" t="s">
        <v>138</v>
      </c>
      <c r="DT1101" s="36" t="s">
        <v>138</v>
      </c>
      <c r="DU1101" s="38" t="s">
        <v>138</v>
      </c>
      <c r="DV1101" s="35" t="s">
        <v>138</v>
      </c>
      <c r="DW1101" s="36">
        <v>18</v>
      </c>
      <c r="DX1101" s="39">
        <v>1</v>
      </c>
      <c r="DY1101" s="35">
        <v>5.88</v>
      </c>
      <c r="DZ1101" s="28" t="s">
        <v>178</v>
      </c>
      <c r="EA1101" s="34">
        <v>43622</v>
      </c>
      <c r="EB1101" s="29">
        <v>500</v>
      </c>
      <c r="EC1101" s="34">
        <v>41918</v>
      </c>
      <c r="ED1101" s="28" t="s">
        <v>173</v>
      </c>
      <c r="EE1101" s="40" t="str">
        <f>HYPERLINK("https://my.pitchbook.com?c=51506-20", "View company online")</f>
        <v>View company online</v>
      </c>
    </row>
    <row r="1102" spans="1:135">
      <c r="A1102" s="15" t="s">
        <v>21458</v>
      </c>
      <c r="B1102" s="15" t="s">
        <v>21459</v>
      </c>
      <c r="C1102" s="15" t="s">
        <v>21460</v>
      </c>
      <c r="D1102" s="15" t="s">
        <v>21461</v>
      </c>
      <c r="E1102" s="15" t="s">
        <v>21462</v>
      </c>
      <c r="F1102" s="15" t="s">
        <v>21458</v>
      </c>
      <c r="G1102" s="15" t="s">
        <v>21463</v>
      </c>
      <c r="H1102" s="15" t="s">
        <v>322</v>
      </c>
      <c r="I1102" s="15" t="s">
        <v>323</v>
      </c>
      <c r="J1102" s="15" t="s">
        <v>324</v>
      </c>
      <c r="K1102" s="15" t="s">
        <v>1543</v>
      </c>
      <c r="L1102" s="15" t="s">
        <v>1650</v>
      </c>
      <c r="M1102" s="15" t="s">
        <v>21464</v>
      </c>
      <c r="N1102" s="15" t="s">
        <v>147</v>
      </c>
      <c r="O1102" s="17">
        <v>30</v>
      </c>
      <c r="P1102" s="15" t="s">
        <v>148</v>
      </c>
      <c r="Q1102" s="15" t="s">
        <v>149</v>
      </c>
      <c r="R1102" s="15" t="s">
        <v>244</v>
      </c>
      <c r="S1102" s="15" t="s">
        <v>21465</v>
      </c>
      <c r="T1102" s="18">
        <v>90</v>
      </c>
      <c r="U1102" s="15" t="s">
        <v>21466</v>
      </c>
      <c r="V1102" s="15" t="s">
        <v>138</v>
      </c>
      <c r="W1102" s="15" t="s">
        <v>138</v>
      </c>
      <c r="X1102" s="19">
        <v>2013</v>
      </c>
      <c r="Y1102" s="15" t="s">
        <v>138</v>
      </c>
      <c r="Z1102" s="15" t="s">
        <v>138</v>
      </c>
      <c r="AA1102" s="15" t="s">
        <v>3103</v>
      </c>
      <c r="AB1102" s="20" t="s">
        <v>138</v>
      </c>
      <c r="AC1102" s="20" t="s">
        <v>138</v>
      </c>
      <c r="AD1102" s="20" t="s">
        <v>138</v>
      </c>
      <c r="AE1102" s="20" t="s">
        <v>138</v>
      </c>
      <c r="AF1102" s="20" t="s">
        <v>138</v>
      </c>
      <c r="AG1102" s="15" t="s">
        <v>138</v>
      </c>
      <c r="AH1102" s="20" t="s">
        <v>138</v>
      </c>
      <c r="AI1102" s="20" t="s">
        <v>138</v>
      </c>
      <c r="AJ1102" s="20" t="s">
        <v>138</v>
      </c>
      <c r="AK1102" s="15" t="s">
        <v>21467</v>
      </c>
      <c r="AL1102" s="15" t="s">
        <v>21468</v>
      </c>
      <c r="AM1102" s="15" t="s">
        <v>249</v>
      </c>
      <c r="AN1102" s="15" t="s">
        <v>21469</v>
      </c>
      <c r="AO1102" s="15" t="s">
        <v>21470</v>
      </c>
      <c r="AP1102" s="15" t="s">
        <v>639</v>
      </c>
      <c r="AQ1102" s="15" t="s">
        <v>21471</v>
      </c>
      <c r="AR1102" s="15" t="s">
        <v>21472</v>
      </c>
      <c r="AS1102" s="15" t="s">
        <v>642</v>
      </c>
      <c r="AT1102" s="15" t="s">
        <v>474</v>
      </c>
      <c r="AU1102" s="15" t="s">
        <v>14323</v>
      </c>
      <c r="AV1102" s="15" t="s">
        <v>162</v>
      </c>
      <c r="AW1102" s="15" t="s">
        <v>21470</v>
      </c>
      <c r="AX1102" s="15" t="s">
        <v>138</v>
      </c>
      <c r="AY1102" s="15" t="s">
        <v>21473</v>
      </c>
      <c r="AZ1102" s="15" t="s">
        <v>164</v>
      </c>
      <c r="BA1102" s="15" t="s">
        <v>165</v>
      </c>
      <c r="BB1102" s="15" t="s">
        <v>21474</v>
      </c>
      <c r="BC1102" s="15" t="s">
        <v>21475</v>
      </c>
      <c r="BD1102" s="21">
        <v>6</v>
      </c>
      <c r="BE1102" s="15" t="s">
        <v>138</v>
      </c>
      <c r="BF1102" s="15" t="s">
        <v>20381</v>
      </c>
      <c r="BG1102" s="15" t="s">
        <v>138</v>
      </c>
      <c r="BH1102" s="15" t="s">
        <v>21476</v>
      </c>
      <c r="BI1102" s="15" t="s">
        <v>20382</v>
      </c>
      <c r="BJ1102" s="15" t="s">
        <v>138</v>
      </c>
      <c r="BK1102" s="15" t="s">
        <v>21477</v>
      </c>
      <c r="BL1102" s="15" t="s">
        <v>21478</v>
      </c>
      <c r="BM1102" s="22">
        <v>42341</v>
      </c>
      <c r="BN1102" s="17">
        <v>1.5</v>
      </c>
      <c r="BO1102" s="15" t="s">
        <v>172</v>
      </c>
      <c r="BP1102" s="17" t="s">
        <v>138</v>
      </c>
      <c r="BQ1102" s="15" t="s">
        <v>138</v>
      </c>
      <c r="BR1102" s="15" t="s">
        <v>234</v>
      </c>
      <c r="BS1102" s="15" t="s">
        <v>234</v>
      </c>
      <c r="BT1102" s="15" t="s">
        <v>138</v>
      </c>
      <c r="BU1102" s="15" t="s">
        <v>174</v>
      </c>
      <c r="BV1102" s="15" t="s">
        <v>138</v>
      </c>
      <c r="BW1102" s="15" t="s">
        <v>138</v>
      </c>
      <c r="BX1102" s="15" t="s">
        <v>138</v>
      </c>
      <c r="BY1102" s="15" t="s">
        <v>175</v>
      </c>
      <c r="BZ1102" s="22" t="s">
        <v>138</v>
      </c>
      <c r="CA1102" s="17" t="s">
        <v>138</v>
      </c>
      <c r="CB1102" s="15" t="s">
        <v>138</v>
      </c>
      <c r="CC1102" s="17" t="s">
        <v>138</v>
      </c>
      <c r="CD1102" s="15" t="s">
        <v>138</v>
      </c>
      <c r="CE1102" s="15" t="s">
        <v>379</v>
      </c>
      <c r="CF1102" s="15" t="s">
        <v>138</v>
      </c>
      <c r="CG1102" s="15" t="s">
        <v>138</v>
      </c>
      <c r="CH1102" s="15" t="s">
        <v>174</v>
      </c>
      <c r="CI1102" s="15" t="s">
        <v>138</v>
      </c>
      <c r="CJ1102" s="15" t="s">
        <v>138</v>
      </c>
      <c r="CK1102" s="15" t="s">
        <v>138</v>
      </c>
      <c r="CL1102" s="15" t="s">
        <v>175</v>
      </c>
      <c r="CM1102" s="22">
        <v>43298</v>
      </c>
      <c r="CN1102" s="17">
        <v>9</v>
      </c>
      <c r="CO1102" s="23">
        <v>0.43</v>
      </c>
      <c r="CP1102" s="24">
        <v>95</v>
      </c>
      <c r="CQ1102" s="23">
        <v>-0.01</v>
      </c>
      <c r="CR1102" s="23">
        <v>-2.17</v>
      </c>
      <c r="CS1102" s="23" t="s">
        <v>138</v>
      </c>
      <c r="CT1102" s="24" t="s">
        <v>138</v>
      </c>
      <c r="CU1102" s="23">
        <v>0.06</v>
      </c>
      <c r="CV1102" s="24">
        <v>60</v>
      </c>
      <c r="CW1102" s="23" t="s">
        <v>138</v>
      </c>
      <c r="CX1102" s="24" t="s">
        <v>138</v>
      </c>
      <c r="CY1102" s="23" t="s">
        <v>138</v>
      </c>
      <c r="CZ1102" s="24" t="s">
        <v>138</v>
      </c>
      <c r="DA1102" s="23">
        <v>0.09</v>
      </c>
      <c r="DB1102" s="24">
        <v>70</v>
      </c>
      <c r="DC1102" s="25">
        <v>2.04</v>
      </c>
      <c r="DD1102" s="24">
        <v>68</v>
      </c>
      <c r="DE1102" s="25">
        <v>0.02</v>
      </c>
      <c r="DF1102" s="23">
        <v>0.96</v>
      </c>
      <c r="DG1102" s="25" t="s">
        <v>138</v>
      </c>
      <c r="DH1102" s="24" t="s">
        <v>138</v>
      </c>
      <c r="DI1102" s="25">
        <v>3.56</v>
      </c>
      <c r="DJ1102" s="24">
        <v>72</v>
      </c>
      <c r="DK1102" s="25" t="s">
        <v>138</v>
      </c>
      <c r="DL1102" s="24" t="s">
        <v>138</v>
      </c>
      <c r="DM1102" s="25" t="s">
        <v>138</v>
      </c>
      <c r="DN1102" s="24" t="s">
        <v>138</v>
      </c>
      <c r="DO1102" s="25">
        <v>6.08</v>
      </c>
      <c r="DP1102" s="24">
        <v>82</v>
      </c>
      <c r="DQ1102" s="24" t="s">
        <v>138</v>
      </c>
      <c r="DR1102" s="26" t="s">
        <v>138</v>
      </c>
      <c r="DS1102" s="23" t="s">
        <v>138</v>
      </c>
      <c r="DT1102" s="24" t="s">
        <v>138</v>
      </c>
      <c r="DU1102" s="26" t="s">
        <v>138</v>
      </c>
      <c r="DV1102" s="23" t="s">
        <v>138</v>
      </c>
      <c r="DW1102" s="24">
        <v>2175</v>
      </c>
      <c r="DX1102" s="27">
        <v>2</v>
      </c>
      <c r="DY1102" s="23">
        <v>0.09</v>
      </c>
      <c r="DZ1102" s="15" t="s">
        <v>178</v>
      </c>
      <c r="EA1102" s="22">
        <v>43622</v>
      </c>
      <c r="EB1102" s="17" t="s">
        <v>138</v>
      </c>
      <c r="EC1102" s="22" t="s">
        <v>138</v>
      </c>
      <c r="ED1102" s="15" t="s">
        <v>138</v>
      </c>
      <c r="EE1102" s="14" t="str">
        <f>HYPERLINK("https://my.pitchbook.com?c=63142-21", "View company online")</f>
        <v>View company online</v>
      </c>
    </row>
    <row r="1103" spans="1:135">
      <c r="A1103" s="28" t="s">
        <v>21479</v>
      </c>
      <c r="B1103" s="28" t="s">
        <v>21480</v>
      </c>
      <c r="C1103" s="28" t="s">
        <v>138</v>
      </c>
      <c r="D1103" s="28" t="s">
        <v>138</v>
      </c>
      <c r="E1103" s="28" t="s">
        <v>21481</v>
      </c>
      <c r="F1103" s="28" t="s">
        <v>21479</v>
      </c>
      <c r="G1103" s="28" t="s">
        <v>21482</v>
      </c>
      <c r="H1103" s="28" t="s">
        <v>322</v>
      </c>
      <c r="I1103" s="28" t="s">
        <v>1503</v>
      </c>
      <c r="J1103" s="28" t="s">
        <v>11677</v>
      </c>
      <c r="K1103" s="28" t="s">
        <v>21483</v>
      </c>
      <c r="L1103" s="28" t="s">
        <v>415</v>
      </c>
      <c r="M1103" s="28" t="s">
        <v>21484</v>
      </c>
      <c r="N1103" s="28" t="s">
        <v>147</v>
      </c>
      <c r="O1103" s="29">
        <v>4.5</v>
      </c>
      <c r="P1103" s="28" t="s">
        <v>148</v>
      </c>
      <c r="Q1103" s="28" t="s">
        <v>149</v>
      </c>
      <c r="R1103" s="28" t="s">
        <v>174</v>
      </c>
      <c r="S1103" s="28" t="s">
        <v>21485</v>
      </c>
      <c r="T1103" s="30">
        <v>15</v>
      </c>
      <c r="U1103" s="28" t="s">
        <v>21486</v>
      </c>
      <c r="V1103" s="28" t="s">
        <v>138</v>
      </c>
      <c r="W1103" s="28" t="s">
        <v>138</v>
      </c>
      <c r="X1103" s="31">
        <v>2014</v>
      </c>
      <c r="Y1103" s="28" t="s">
        <v>138</v>
      </c>
      <c r="Z1103" s="28" t="s">
        <v>138</v>
      </c>
      <c r="AA1103" s="28" t="s">
        <v>138</v>
      </c>
      <c r="AB1103" s="32" t="s">
        <v>138</v>
      </c>
      <c r="AC1103" s="32" t="s">
        <v>138</v>
      </c>
      <c r="AD1103" s="32" t="s">
        <v>138</v>
      </c>
      <c r="AE1103" s="32" t="s">
        <v>138</v>
      </c>
      <c r="AF1103" s="32" t="s">
        <v>138</v>
      </c>
      <c r="AG1103" s="28" t="s">
        <v>138</v>
      </c>
      <c r="AH1103" s="32" t="s">
        <v>138</v>
      </c>
      <c r="AI1103" s="32" t="s">
        <v>138</v>
      </c>
      <c r="AJ1103" s="32" t="s">
        <v>138</v>
      </c>
      <c r="AK1103" s="28" t="s">
        <v>21487</v>
      </c>
      <c r="AL1103" s="28" t="s">
        <v>21488</v>
      </c>
      <c r="AM1103" s="28" t="s">
        <v>1738</v>
      </c>
      <c r="AN1103" s="28" t="s">
        <v>21489</v>
      </c>
      <c r="AO1103" s="28" t="s">
        <v>21490</v>
      </c>
      <c r="AP1103" s="28" t="s">
        <v>21491</v>
      </c>
      <c r="AQ1103" s="28" t="s">
        <v>21492</v>
      </c>
      <c r="AR1103" s="28" t="s">
        <v>2095</v>
      </c>
      <c r="AS1103" s="28" t="s">
        <v>21493</v>
      </c>
      <c r="AT1103" s="28" t="s">
        <v>200</v>
      </c>
      <c r="AU1103" s="28" t="s">
        <v>21494</v>
      </c>
      <c r="AV1103" s="28" t="s">
        <v>162</v>
      </c>
      <c r="AW1103" s="28" t="s">
        <v>21495</v>
      </c>
      <c r="AX1103" s="28" t="s">
        <v>138</v>
      </c>
      <c r="AY1103" s="28" t="s">
        <v>21496</v>
      </c>
      <c r="AZ1103" s="28" t="s">
        <v>164</v>
      </c>
      <c r="BA1103" s="28" t="s">
        <v>165</v>
      </c>
      <c r="BB1103" s="28" t="s">
        <v>21497</v>
      </c>
      <c r="BC1103" s="28" t="s">
        <v>21498</v>
      </c>
      <c r="BD1103" s="33">
        <v>5</v>
      </c>
      <c r="BE1103" s="28" t="s">
        <v>138</v>
      </c>
      <c r="BF1103" s="28" t="s">
        <v>138</v>
      </c>
      <c r="BG1103" s="28" t="s">
        <v>138</v>
      </c>
      <c r="BH1103" s="28" t="s">
        <v>21499</v>
      </c>
      <c r="BI1103" s="28" t="s">
        <v>138</v>
      </c>
      <c r="BJ1103" s="28" t="s">
        <v>138</v>
      </c>
      <c r="BK1103" s="28" t="s">
        <v>204</v>
      </c>
      <c r="BL1103" s="28" t="s">
        <v>204</v>
      </c>
      <c r="BM1103" s="34">
        <v>42572</v>
      </c>
      <c r="BN1103" s="29">
        <v>4.5</v>
      </c>
      <c r="BO1103" s="28" t="s">
        <v>172</v>
      </c>
      <c r="BP1103" s="29" t="s">
        <v>138</v>
      </c>
      <c r="BQ1103" s="28" t="s">
        <v>138</v>
      </c>
      <c r="BR1103" s="28" t="s">
        <v>205</v>
      </c>
      <c r="BS1103" s="28" t="s">
        <v>206</v>
      </c>
      <c r="BT1103" s="28" t="s">
        <v>138</v>
      </c>
      <c r="BU1103" s="28" t="s">
        <v>174</v>
      </c>
      <c r="BV1103" s="28" t="s">
        <v>138</v>
      </c>
      <c r="BW1103" s="28" t="s">
        <v>138</v>
      </c>
      <c r="BX1103" s="28" t="s">
        <v>138</v>
      </c>
      <c r="BY1103" s="28" t="s">
        <v>175</v>
      </c>
      <c r="BZ1103" s="34">
        <v>43040</v>
      </c>
      <c r="CA1103" s="29" t="s">
        <v>138</v>
      </c>
      <c r="CB1103" s="28" t="s">
        <v>138</v>
      </c>
      <c r="CC1103" s="29" t="s">
        <v>138</v>
      </c>
      <c r="CD1103" s="28" t="s">
        <v>138</v>
      </c>
      <c r="CE1103" s="28" t="s">
        <v>205</v>
      </c>
      <c r="CF1103" s="28" t="s">
        <v>138</v>
      </c>
      <c r="CG1103" s="28" t="s">
        <v>138</v>
      </c>
      <c r="CH1103" s="28" t="s">
        <v>174</v>
      </c>
      <c r="CI1103" s="28" t="s">
        <v>264</v>
      </c>
      <c r="CJ1103" s="28" t="s">
        <v>138</v>
      </c>
      <c r="CK1103" s="28" t="s">
        <v>138</v>
      </c>
      <c r="CL1103" s="28" t="s">
        <v>175</v>
      </c>
      <c r="CM1103" s="34" t="s">
        <v>138</v>
      </c>
      <c r="CN1103" s="29" t="s">
        <v>138</v>
      </c>
      <c r="CO1103" s="35">
        <v>0</v>
      </c>
      <c r="CP1103" s="36">
        <v>26</v>
      </c>
      <c r="CQ1103" s="35">
        <v>0</v>
      </c>
      <c r="CR1103" s="35">
        <v>0</v>
      </c>
      <c r="CS1103" s="35">
        <v>0</v>
      </c>
      <c r="CT1103" s="36">
        <v>23</v>
      </c>
      <c r="CU1103" s="35">
        <v>0</v>
      </c>
      <c r="CV1103" s="36">
        <v>22</v>
      </c>
      <c r="CW1103" s="35" t="s">
        <v>138</v>
      </c>
      <c r="CX1103" s="36" t="s">
        <v>138</v>
      </c>
      <c r="CY1103" s="35">
        <v>0</v>
      </c>
      <c r="CZ1103" s="36">
        <v>25</v>
      </c>
      <c r="DA1103" s="35">
        <v>0</v>
      </c>
      <c r="DB1103" s="36">
        <v>22</v>
      </c>
      <c r="DC1103" s="37">
        <v>0.49</v>
      </c>
      <c r="DD1103" s="36">
        <v>34</v>
      </c>
      <c r="DE1103" s="37">
        <v>0</v>
      </c>
      <c r="DF1103" s="35">
        <v>0.11</v>
      </c>
      <c r="DG1103" s="37">
        <v>0.79</v>
      </c>
      <c r="DH1103" s="36">
        <v>45</v>
      </c>
      <c r="DI1103" s="37">
        <v>0.2</v>
      </c>
      <c r="DJ1103" s="36">
        <v>22</v>
      </c>
      <c r="DK1103" s="37" t="s">
        <v>138</v>
      </c>
      <c r="DL1103" s="36" t="s">
        <v>138</v>
      </c>
      <c r="DM1103" s="37">
        <v>0.79</v>
      </c>
      <c r="DN1103" s="36">
        <v>45</v>
      </c>
      <c r="DO1103" s="37">
        <v>0.2</v>
      </c>
      <c r="DP1103" s="36">
        <v>24</v>
      </c>
      <c r="DQ1103" s="36" t="s">
        <v>138</v>
      </c>
      <c r="DR1103" s="38" t="s">
        <v>138</v>
      </c>
      <c r="DS1103" s="35" t="s">
        <v>138</v>
      </c>
      <c r="DT1103" s="36">
        <v>23</v>
      </c>
      <c r="DU1103" s="38">
        <v>1</v>
      </c>
      <c r="DV1103" s="35">
        <v>4.55</v>
      </c>
      <c r="DW1103" s="36">
        <v>70</v>
      </c>
      <c r="DX1103" s="39">
        <v>0</v>
      </c>
      <c r="DY1103" s="35">
        <v>0</v>
      </c>
      <c r="DZ1103" s="28" t="s">
        <v>178</v>
      </c>
      <c r="EA1103" s="34">
        <v>43375</v>
      </c>
      <c r="EB1103" s="29" t="s">
        <v>138</v>
      </c>
      <c r="EC1103" s="34" t="s">
        <v>138</v>
      </c>
      <c r="ED1103" s="28" t="s">
        <v>138</v>
      </c>
      <c r="EE1103" s="40" t="str">
        <f>HYPERLINK("https://my.pitchbook.com?c=112505-50", "View company online")</f>
        <v>View company online</v>
      </c>
    </row>
    <row r="1104" spans="1:135">
      <c r="A1104" s="15" t="s">
        <v>21500</v>
      </c>
      <c r="B1104" s="15" t="s">
        <v>21501</v>
      </c>
      <c r="C1104" s="15" t="s">
        <v>21502</v>
      </c>
      <c r="D1104" s="15" t="s">
        <v>21503</v>
      </c>
      <c r="E1104" s="15" t="s">
        <v>21504</v>
      </c>
      <c r="F1104" s="15" t="s">
        <v>21500</v>
      </c>
      <c r="G1104" s="15" t="s">
        <v>21505</v>
      </c>
      <c r="H1104" s="15" t="s">
        <v>141</v>
      </c>
      <c r="I1104" s="15" t="s">
        <v>142</v>
      </c>
      <c r="J1104" s="15" t="s">
        <v>4042</v>
      </c>
      <c r="K1104" s="15" t="s">
        <v>4043</v>
      </c>
      <c r="L1104" s="15" t="s">
        <v>21506</v>
      </c>
      <c r="M1104" s="15" t="s">
        <v>21507</v>
      </c>
      <c r="N1104" s="15" t="s">
        <v>147</v>
      </c>
      <c r="O1104" s="17">
        <v>326.2</v>
      </c>
      <c r="P1104" s="15" t="s">
        <v>148</v>
      </c>
      <c r="Q1104" s="15" t="s">
        <v>149</v>
      </c>
      <c r="R1104" s="15" t="s">
        <v>174</v>
      </c>
      <c r="S1104" s="15" t="s">
        <v>21508</v>
      </c>
      <c r="T1104" s="18">
        <v>90</v>
      </c>
      <c r="U1104" s="15" t="s">
        <v>21509</v>
      </c>
      <c r="V1104" s="15" t="s">
        <v>138</v>
      </c>
      <c r="W1104" s="15" t="s">
        <v>138</v>
      </c>
      <c r="X1104" s="19">
        <v>2008</v>
      </c>
      <c r="Y1104" s="15" t="s">
        <v>138</v>
      </c>
      <c r="Z1104" s="15" t="s">
        <v>138</v>
      </c>
      <c r="AA1104" s="15" t="s">
        <v>138</v>
      </c>
      <c r="AB1104" s="20" t="s">
        <v>138</v>
      </c>
      <c r="AC1104" s="20" t="s">
        <v>138</v>
      </c>
      <c r="AD1104" s="20" t="s">
        <v>138</v>
      </c>
      <c r="AE1104" s="20" t="s">
        <v>138</v>
      </c>
      <c r="AF1104" s="20" t="s">
        <v>138</v>
      </c>
      <c r="AG1104" s="15" t="s">
        <v>138</v>
      </c>
      <c r="AH1104" s="20" t="s">
        <v>138</v>
      </c>
      <c r="AI1104" s="20" t="s">
        <v>138</v>
      </c>
      <c r="AJ1104" s="20" t="s">
        <v>138</v>
      </c>
      <c r="AK1104" s="15" t="s">
        <v>21510</v>
      </c>
      <c r="AL1104" s="15" t="s">
        <v>21511</v>
      </c>
      <c r="AM1104" s="15" t="s">
        <v>636</v>
      </c>
      <c r="AN1104" s="15" t="s">
        <v>21512</v>
      </c>
      <c r="AO1104" s="15" t="s">
        <v>21513</v>
      </c>
      <c r="AP1104" s="15" t="s">
        <v>13084</v>
      </c>
      <c r="AQ1104" s="15" t="s">
        <v>21514</v>
      </c>
      <c r="AR1104" s="15" t="s">
        <v>138</v>
      </c>
      <c r="AS1104" s="15" t="s">
        <v>13086</v>
      </c>
      <c r="AT1104" s="15" t="s">
        <v>200</v>
      </c>
      <c r="AU1104" s="15" t="s">
        <v>13087</v>
      </c>
      <c r="AV1104" s="15" t="s">
        <v>162</v>
      </c>
      <c r="AW1104" s="15" t="s">
        <v>14084</v>
      </c>
      <c r="AX1104" s="15" t="s">
        <v>138</v>
      </c>
      <c r="AY1104" s="15" t="s">
        <v>21515</v>
      </c>
      <c r="AZ1104" s="15" t="s">
        <v>164</v>
      </c>
      <c r="BA1104" s="15" t="s">
        <v>165</v>
      </c>
      <c r="BB1104" s="15" t="s">
        <v>21516</v>
      </c>
      <c r="BC1104" s="15" t="s">
        <v>21517</v>
      </c>
      <c r="BD1104" s="21">
        <v>16</v>
      </c>
      <c r="BE1104" s="15" t="s">
        <v>138</v>
      </c>
      <c r="BF1104" s="15" t="s">
        <v>138</v>
      </c>
      <c r="BG1104" s="15" t="s">
        <v>138</v>
      </c>
      <c r="BH1104" s="15" t="s">
        <v>21518</v>
      </c>
      <c r="BI1104" s="15" t="s">
        <v>138</v>
      </c>
      <c r="BJ1104" s="15" t="s">
        <v>138</v>
      </c>
      <c r="BK1104" s="15" t="s">
        <v>21519</v>
      </c>
      <c r="BL1104" s="15" t="s">
        <v>21520</v>
      </c>
      <c r="BM1104" s="22">
        <v>39835</v>
      </c>
      <c r="BN1104" s="17">
        <v>11.68</v>
      </c>
      <c r="BO1104" s="15" t="s">
        <v>172</v>
      </c>
      <c r="BP1104" s="17">
        <v>24.11</v>
      </c>
      <c r="BQ1104" s="15" t="s">
        <v>172</v>
      </c>
      <c r="BR1104" s="15" t="s">
        <v>205</v>
      </c>
      <c r="BS1104" s="15" t="s">
        <v>206</v>
      </c>
      <c r="BT1104" s="15" t="s">
        <v>138</v>
      </c>
      <c r="BU1104" s="15" t="s">
        <v>174</v>
      </c>
      <c r="BV1104" s="15" t="s">
        <v>138</v>
      </c>
      <c r="BW1104" s="15" t="s">
        <v>138</v>
      </c>
      <c r="BX1104" s="15" t="s">
        <v>138</v>
      </c>
      <c r="BY1104" s="15" t="s">
        <v>175</v>
      </c>
      <c r="BZ1104" s="22">
        <v>42736</v>
      </c>
      <c r="CA1104" s="17">
        <v>128.19999999999999</v>
      </c>
      <c r="CB1104" s="15" t="s">
        <v>1178</v>
      </c>
      <c r="CC1104" s="17">
        <v>625</v>
      </c>
      <c r="CD1104" s="15" t="s">
        <v>1178</v>
      </c>
      <c r="CE1104" s="15" t="s">
        <v>173</v>
      </c>
      <c r="CF1104" s="15" t="s">
        <v>408</v>
      </c>
      <c r="CG1104" s="15" t="s">
        <v>138</v>
      </c>
      <c r="CH1104" s="15" t="s">
        <v>174</v>
      </c>
      <c r="CI1104" s="15" t="s">
        <v>138</v>
      </c>
      <c r="CJ1104" s="15" t="s">
        <v>138</v>
      </c>
      <c r="CK1104" s="15" t="s">
        <v>138</v>
      </c>
      <c r="CL1104" s="15" t="s">
        <v>175</v>
      </c>
      <c r="CM1104" s="22" t="s">
        <v>138</v>
      </c>
      <c r="CN1104" s="17" t="s">
        <v>138</v>
      </c>
      <c r="CO1104" s="23">
        <v>2.78</v>
      </c>
      <c r="CP1104" s="24">
        <v>100</v>
      </c>
      <c r="CQ1104" s="23">
        <v>-0.03</v>
      </c>
      <c r="CR1104" s="23">
        <v>-1.03</v>
      </c>
      <c r="CS1104" s="23">
        <v>5.18</v>
      </c>
      <c r="CT1104" s="24">
        <v>100</v>
      </c>
      <c r="CU1104" s="23">
        <v>0.38</v>
      </c>
      <c r="CV1104" s="24">
        <v>91</v>
      </c>
      <c r="CW1104" s="23">
        <v>11.53</v>
      </c>
      <c r="CX1104" s="24">
        <v>100</v>
      </c>
      <c r="CY1104" s="23">
        <v>-1.17</v>
      </c>
      <c r="CZ1104" s="24">
        <v>17</v>
      </c>
      <c r="DA1104" s="23">
        <v>0.38</v>
      </c>
      <c r="DB1104" s="24">
        <v>91</v>
      </c>
      <c r="DC1104" s="25">
        <v>3.4</v>
      </c>
      <c r="DD1104" s="24">
        <v>77</v>
      </c>
      <c r="DE1104" s="25">
        <v>-0.22</v>
      </c>
      <c r="DF1104" s="23">
        <v>-6.17</v>
      </c>
      <c r="DG1104" s="25">
        <v>6.14</v>
      </c>
      <c r="DH1104" s="24">
        <v>85</v>
      </c>
      <c r="DI1104" s="25">
        <v>0.65</v>
      </c>
      <c r="DJ1104" s="24">
        <v>41</v>
      </c>
      <c r="DK1104" s="25">
        <v>7.07</v>
      </c>
      <c r="DL1104" s="24">
        <v>83</v>
      </c>
      <c r="DM1104" s="25">
        <v>5.21</v>
      </c>
      <c r="DN1104" s="24">
        <v>82</v>
      </c>
      <c r="DO1104" s="25">
        <v>0.65</v>
      </c>
      <c r="DP1104" s="24">
        <v>42</v>
      </c>
      <c r="DQ1104" s="24">
        <v>2338</v>
      </c>
      <c r="DR1104" s="26">
        <v>257</v>
      </c>
      <c r="DS1104" s="23">
        <v>12.35</v>
      </c>
      <c r="DT1104" s="24">
        <v>151</v>
      </c>
      <c r="DU1104" s="26">
        <v>0</v>
      </c>
      <c r="DV1104" s="23">
        <v>0</v>
      </c>
      <c r="DW1104" s="24">
        <v>233</v>
      </c>
      <c r="DX1104" s="27">
        <v>1</v>
      </c>
      <c r="DY1104" s="23">
        <v>0.43</v>
      </c>
      <c r="DZ1104" s="15" t="s">
        <v>178</v>
      </c>
      <c r="EA1104" s="22">
        <v>43607</v>
      </c>
      <c r="EB1104" s="17">
        <v>625</v>
      </c>
      <c r="EC1104" s="22">
        <v>42736</v>
      </c>
      <c r="ED1104" s="15" t="s">
        <v>173</v>
      </c>
      <c r="EE1104" s="14" t="str">
        <f>HYPERLINK("https://my.pitchbook.com?c=52783-75", "View company online")</f>
        <v>View company online</v>
      </c>
    </row>
    <row r="1105" spans="1:135">
      <c r="A1105" s="28" t="s">
        <v>21521</v>
      </c>
      <c r="B1105" s="28" t="s">
        <v>21522</v>
      </c>
      <c r="C1105" s="28" t="s">
        <v>138</v>
      </c>
      <c r="D1105" s="28" t="s">
        <v>138</v>
      </c>
      <c r="E1105" s="28" t="s">
        <v>21523</v>
      </c>
      <c r="F1105" s="28" t="s">
        <v>21521</v>
      </c>
      <c r="G1105" s="28" t="s">
        <v>21524</v>
      </c>
      <c r="H1105" s="28" t="s">
        <v>322</v>
      </c>
      <c r="I1105" s="28" t="s">
        <v>323</v>
      </c>
      <c r="J1105" s="28" t="s">
        <v>461</v>
      </c>
      <c r="K1105" s="28" t="s">
        <v>462</v>
      </c>
      <c r="L1105" s="28" t="s">
        <v>21525</v>
      </c>
      <c r="M1105" s="28" t="s">
        <v>21526</v>
      </c>
      <c r="N1105" s="28" t="s">
        <v>147</v>
      </c>
      <c r="O1105" s="29">
        <v>27</v>
      </c>
      <c r="P1105" s="28" t="s">
        <v>148</v>
      </c>
      <c r="Q1105" s="28" t="s">
        <v>149</v>
      </c>
      <c r="R1105" s="28" t="s">
        <v>244</v>
      </c>
      <c r="S1105" s="28" t="s">
        <v>21527</v>
      </c>
      <c r="T1105" s="30">
        <v>40</v>
      </c>
      <c r="U1105" s="28" t="s">
        <v>21528</v>
      </c>
      <c r="V1105" s="28" t="s">
        <v>138</v>
      </c>
      <c r="W1105" s="28" t="s">
        <v>138</v>
      </c>
      <c r="X1105" s="31">
        <v>2015</v>
      </c>
      <c r="Y1105" s="28" t="s">
        <v>138</v>
      </c>
      <c r="Z1105" s="28" t="s">
        <v>138</v>
      </c>
      <c r="AA1105" s="28" t="s">
        <v>138</v>
      </c>
      <c r="AB1105" s="32" t="s">
        <v>138</v>
      </c>
      <c r="AC1105" s="32" t="s">
        <v>138</v>
      </c>
      <c r="AD1105" s="32" t="s">
        <v>138</v>
      </c>
      <c r="AE1105" s="32" t="s">
        <v>138</v>
      </c>
      <c r="AF1105" s="32" t="s">
        <v>138</v>
      </c>
      <c r="AG1105" s="28" t="s">
        <v>138</v>
      </c>
      <c r="AH1105" s="32" t="s">
        <v>138</v>
      </c>
      <c r="AI1105" s="32" t="s">
        <v>138</v>
      </c>
      <c r="AJ1105" s="32" t="s">
        <v>138</v>
      </c>
      <c r="AK1105" s="28" t="s">
        <v>21529</v>
      </c>
      <c r="AL1105" s="28" t="s">
        <v>21530</v>
      </c>
      <c r="AM1105" s="28" t="s">
        <v>21531</v>
      </c>
      <c r="AN1105" s="28" t="s">
        <v>21532</v>
      </c>
      <c r="AO1105" s="28" t="s">
        <v>21533</v>
      </c>
      <c r="AP1105" s="28" t="s">
        <v>21534</v>
      </c>
      <c r="AQ1105" s="28" t="s">
        <v>21535</v>
      </c>
      <c r="AR1105" s="28" t="s">
        <v>21536</v>
      </c>
      <c r="AS1105" s="28" t="s">
        <v>21537</v>
      </c>
      <c r="AT1105" s="28" t="s">
        <v>1389</v>
      </c>
      <c r="AU1105" s="28" t="s">
        <v>21538</v>
      </c>
      <c r="AV1105" s="28" t="s">
        <v>162</v>
      </c>
      <c r="AW1105" s="28" t="s">
        <v>21539</v>
      </c>
      <c r="AX1105" s="28" t="s">
        <v>138</v>
      </c>
      <c r="AY1105" s="28" t="s">
        <v>21540</v>
      </c>
      <c r="AZ1105" s="28" t="s">
        <v>164</v>
      </c>
      <c r="BA1105" s="28" t="s">
        <v>165</v>
      </c>
      <c r="BB1105" s="28" t="s">
        <v>21541</v>
      </c>
      <c r="BC1105" s="28" t="s">
        <v>21542</v>
      </c>
      <c r="BD1105" s="33">
        <v>8</v>
      </c>
      <c r="BE1105" s="28" t="s">
        <v>138</v>
      </c>
      <c r="BF1105" s="28" t="s">
        <v>138</v>
      </c>
      <c r="BG1105" s="28" t="s">
        <v>138</v>
      </c>
      <c r="BH1105" s="28" t="s">
        <v>21543</v>
      </c>
      <c r="BI1105" s="28" t="s">
        <v>138</v>
      </c>
      <c r="BJ1105" s="28" t="s">
        <v>138</v>
      </c>
      <c r="BK1105" s="28" t="s">
        <v>138</v>
      </c>
      <c r="BL1105" s="28" t="s">
        <v>21544</v>
      </c>
      <c r="BM1105" s="34">
        <v>42005</v>
      </c>
      <c r="BN1105" s="29" t="s">
        <v>138</v>
      </c>
      <c r="BO1105" s="28" t="s">
        <v>138</v>
      </c>
      <c r="BP1105" s="29" t="s">
        <v>138</v>
      </c>
      <c r="BQ1105" s="28" t="s">
        <v>138</v>
      </c>
      <c r="BR1105" s="28" t="s">
        <v>316</v>
      </c>
      <c r="BS1105" s="28" t="s">
        <v>138</v>
      </c>
      <c r="BT1105" s="28" t="s">
        <v>138</v>
      </c>
      <c r="BU1105" s="28" t="s">
        <v>177</v>
      </c>
      <c r="BV1105" s="28" t="s">
        <v>138</v>
      </c>
      <c r="BW1105" s="28" t="s">
        <v>138</v>
      </c>
      <c r="BX1105" s="28" t="s">
        <v>138</v>
      </c>
      <c r="BY1105" s="28" t="s">
        <v>175</v>
      </c>
      <c r="BZ1105" s="34">
        <v>43200</v>
      </c>
      <c r="CA1105" s="29">
        <v>10</v>
      </c>
      <c r="CB1105" s="28" t="s">
        <v>172</v>
      </c>
      <c r="CC1105" s="29" t="s">
        <v>138</v>
      </c>
      <c r="CD1105" s="28" t="s">
        <v>138</v>
      </c>
      <c r="CE1105" s="28" t="s">
        <v>1326</v>
      </c>
      <c r="CF1105" s="28" t="s">
        <v>138</v>
      </c>
      <c r="CG1105" s="28" t="s">
        <v>138</v>
      </c>
      <c r="CH1105" s="28" t="s">
        <v>1327</v>
      </c>
      <c r="CI1105" s="28" t="s">
        <v>1328</v>
      </c>
      <c r="CJ1105" s="28" t="s">
        <v>138</v>
      </c>
      <c r="CK1105" s="28" t="s">
        <v>138</v>
      </c>
      <c r="CL1105" s="28" t="s">
        <v>175</v>
      </c>
      <c r="CM1105" s="34">
        <v>43200</v>
      </c>
      <c r="CN1105" s="29">
        <v>10</v>
      </c>
      <c r="CO1105" s="35">
        <v>-0.23</v>
      </c>
      <c r="CP1105" s="36">
        <v>19</v>
      </c>
      <c r="CQ1105" s="35">
        <v>0.03</v>
      </c>
      <c r="CR1105" s="35">
        <v>10.02</v>
      </c>
      <c r="CS1105" s="35">
        <v>-0.88</v>
      </c>
      <c r="CT1105" s="36">
        <v>16</v>
      </c>
      <c r="CU1105" s="35">
        <v>0.41</v>
      </c>
      <c r="CV1105" s="36">
        <v>91</v>
      </c>
      <c r="CW1105" s="35">
        <v>0</v>
      </c>
      <c r="CX1105" s="36">
        <v>13</v>
      </c>
      <c r="CY1105" s="35">
        <v>-1.75</v>
      </c>
      <c r="CZ1105" s="36">
        <v>13</v>
      </c>
      <c r="DA1105" s="35">
        <v>0.75</v>
      </c>
      <c r="DB1105" s="36">
        <v>97</v>
      </c>
      <c r="DC1105" s="37">
        <v>4.7300000000000004</v>
      </c>
      <c r="DD1105" s="36">
        <v>82</v>
      </c>
      <c r="DE1105" s="37">
        <v>-0.04</v>
      </c>
      <c r="DF1105" s="35">
        <v>-0.74</v>
      </c>
      <c r="DG1105" s="37">
        <v>5.95</v>
      </c>
      <c r="DH1105" s="36">
        <v>84</v>
      </c>
      <c r="DI1105" s="37">
        <v>3.51</v>
      </c>
      <c r="DJ1105" s="36">
        <v>72</v>
      </c>
      <c r="DK1105" s="37">
        <v>1.7</v>
      </c>
      <c r="DL1105" s="36">
        <v>61</v>
      </c>
      <c r="DM1105" s="37">
        <v>10.210000000000001</v>
      </c>
      <c r="DN1105" s="36">
        <v>89</v>
      </c>
      <c r="DO1105" s="37">
        <v>6.52</v>
      </c>
      <c r="DP1105" s="36">
        <v>83</v>
      </c>
      <c r="DQ1105" s="36">
        <v>576</v>
      </c>
      <c r="DR1105" s="38">
        <v>15</v>
      </c>
      <c r="DS1105" s="35">
        <v>2.67</v>
      </c>
      <c r="DT1105" s="36">
        <v>299</v>
      </c>
      <c r="DU1105" s="38">
        <v>-12</v>
      </c>
      <c r="DV1105" s="35">
        <v>-3.86</v>
      </c>
      <c r="DW1105" s="36">
        <v>2326</v>
      </c>
      <c r="DX1105" s="39">
        <v>18</v>
      </c>
      <c r="DY1105" s="35">
        <v>0.78</v>
      </c>
      <c r="DZ1105" s="28" t="s">
        <v>178</v>
      </c>
      <c r="EA1105" s="34">
        <v>43473</v>
      </c>
      <c r="EB1105" s="29" t="s">
        <v>138</v>
      </c>
      <c r="EC1105" s="34" t="s">
        <v>138</v>
      </c>
      <c r="ED1105" s="28" t="s">
        <v>138</v>
      </c>
      <c r="EE1105" s="40" t="str">
        <f>HYPERLINK("https://my.pitchbook.com?c=156664-81", "View company online")</f>
        <v>View company online</v>
      </c>
    </row>
    <row r="1106" spans="1:135">
      <c r="A1106" s="15" t="s">
        <v>21545</v>
      </c>
      <c r="B1106" s="15" t="s">
        <v>21546</v>
      </c>
      <c r="C1106" s="15" t="s">
        <v>138</v>
      </c>
      <c r="D1106" s="15" t="s">
        <v>138</v>
      </c>
      <c r="E1106" s="15" t="s">
        <v>21547</v>
      </c>
      <c r="F1106" s="15" t="s">
        <v>21545</v>
      </c>
      <c r="G1106" s="15" t="s">
        <v>21548</v>
      </c>
      <c r="H1106" s="15" t="s">
        <v>322</v>
      </c>
      <c r="I1106" s="15" t="s">
        <v>1503</v>
      </c>
      <c r="J1106" s="15" t="s">
        <v>11677</v>
      </c>
      <c r="K1106" s="15" t="s">
        <v>21549</v>
      </c>
      <c r="L1106" s="15" t="s">
        <v>138</v>
      </c>
      <c r="M1106" s="15" t="s">
        <v>21550</v>
      </c>
      <c r="N1106" s="15" t="s">
        <v>147</v>
      </c>
      <c r="O1106" s="17">
        <v>245.5</v>
      </c>
      <c r="P1106" s="15" t="s">
        <v>148</v>
      </c>
      <c r="Q1106" s="15" t="s">
        <v>149</v>
      </c>
      <c r="R1106" s="15" t="s">
        <v>244</v>
      </c>
      <c r="S1106" s="15" t="s">
        <v>21551</v>
      </c>
      <c r="T1106" s="18">
        <v>220</v>
      </c>
      <c r="U1106" s="15" t="s">
        <v>21552</v>
      </c>
      <c r="V1106" s="15" t="s">
        <v>138</v>
      </c>
      <c r="W1106" s="15" t="s">
        <v>138</v>
      </c>
      <c r="X1106" s="19">
        <v>2008</v>
      </c>
      <c r="Y1106" s="15" t="s">
        <v>138</v>
      </c>
      <c r="Z1106" s="15" t="s">
        <v>138</v>
      </c>
      <c r="AA1106" s="15" t="s">
        <v>138</v>
      </c>
      <c r="AB1106" s="20" t="s">
        <v>138</v>
      </c>
      <c r="AC1106" s="20" t="s">
        <v>138</v>
      </c>
      <c r="AD1106" s="20" t="s">
        <v>138</v>
      </c>
      <c r="AE1106" s="20" t="s">
        <v>138</v>
      </c>
      <c r="AF1106" s="20" t="s">
        <v>138</v>
      </c>
      <c r="AG1106" s="15" t="s">
        <v>138</v>
      </c>
      <c r="AH1106" s="20" t="s">
        <v>138</v>
      </c>
      <c r="AI1106" s="20" t="s">
        <v>138</v>
      </c>
      <c r="AJ1106" s="20" t="s">
        <v>138</v>
      </c>
      <c r="AK1106" s="15" t="s">
        <v>21553</v>
      </c>
      <c r="AL1106" s="15" t="s">
        <v>21554</v>
      </c>
      <c r="AM1106" s="15" t="s">
        <v>221</v>
      </c>
      <c r="AN1106" s="15" t="s">
        <v>21555</v>
      </c>
      <c r="AO1106" s="15" t="s">
        <v>21556</v>
      </c>
      <c r="AP1106" s="15" t="s">
        <v>21557</v>
      </c>
      <c r="AQ1106" s="15" t="s">
        <v>21558</v>
      </c>
      <c r="AR1106" s="15" t="s">
        <v>21559</v>
      </c>
      <c r="AS1106" s="15" t="s">
        <v>21560</v>
      </c>
      <c r="AT1106" s="15" t="s">
        <v>864</v>
      </c>
      <c r="AU1106" s="15" t="s">
        <v>21561</v>
      </c>
      <c r="AV1106" s="15" t="s">
        <v>162</v>
      </c>
      <c r="AW1106" s="15" t="s">
        <v>21556</v>
      </c>
      <c r="AX1106" s="15" t="s">
        <v>138</v>
      </c>
      <c r="AY1106" s="15" t="s">
        <v>21562</v>
      </c>
      <c r="AZ1106" s="15" t="s">
        <v>164</v>
      </c>
      <c r="BA1106" s="15" t="s">
        <v>165</v>
      </c>
      <c r="BB1106" s="15" t="s">
        <v>21563</v>
      </c>
      <c r="BC1106" s="15" t="s">
        <v>21564</v>
      </c>
      <c r="BD1106" s="21">
        <v>15</v>
      </c>
      <c r="BE1106" s="15" t="s">
        <v>138</v>
      </c>
      <c r="BF1106" s="15" t="s">
        <v>138</v>
      </c>
      <c r="BG1106" s="15" t="s">
        <v>138</v>
      </c>
      <c r="BH1106" s="15" t="s">
        <v>21565</v>
      </c>
      <c r="BI1106" s="15" t="s">
        <v>138</v>
      </c>
      <c r="BJ1106" s="15" t="s">
        <v>138</v>
      </c>
      <c r="BK1106" s="15" t="s">
        <v>4576</v>
      </c>
      <c r="BL1106" s="15" t="s">
        <v>21566</v>
      </c>
      <c r="BM1106" s="22">
        <v>39539</v>
      </c>
      <c r="BN1106" s="17">
        <v>4.18</v>
      </c>
      <c r="BO1106" s="15" t="s">
        <v>172</v>
      </c>
      <c r="BP1106" s="17">
        <v>11.94</v>
      </c>
      <c r="BQ1106" s="15" t="s">
        <v>172</v>
      </c>
      <c r="BR1106" s="15" t="s">
        <v>205</v>
      </c>
      <c r="BS1106" s="15" t="s">
        <v>206</v>
      </c>
      <c r="BT1106" s="15" t="s">
        <v>138</v>
      </c>
      <c r="BU1106" s="15" t="s">
        <v>174</v>
      </c>
      <c r="BV1106" s="15" t="s">
        <v>138</v>
      </c>
      <c r="BW1106" s="15" t="s">
        <v>138</v>
      </c>
      <c r="BX1106" s="15" t="s">
        <v>138</v>
      </c>
      <c r="BY1106" s="15" t="s">
        <v>175</v>
      </c>
      <c r="BZ1106" s="22">
        <v>43383</v>
      </c>
      <c r="CA1106" s="17">
        <v>25</v>
      </c>
      <c r="CB1106" s="15" t="s">
        <v>172</v>
      </c>
      <c r="CC1106" s="17">
        <v>125</v>
      </c>
      <c r="CD1106" s="15" t="s">
        <v>172</v>
      </c>
      <c r="CE1106" s="15" t="s">
        <v>173</v>
      </c>
      <c r="CF1106" s="15" t="s">
        <v>21567</v>
      </c>
      <c r="CG1106" s="15" t="s">
        <v>138</v>
      </c>
      <c r="CH1106" s="15" t="s">
        <v>174</v>
      </c>
      <c r="CI1106" s="15" t="s">
        <v>138</v>
      </c>
      <c r="CJ1106" s="15" t="s">
        <v>138</v>
      </c>
      <c r="CK1106" s="15" t="s">
        <v>138</v>
      </c>
      <c r="CL1106" s="15" t="s">
        <v>175</v>
      </c>
      <c r="CM1106" s="22">
        <v>42026</v>
      </c>
      <c r="CN1106" s="17" t="s">
        <v>138</v>
      </c>
      <c r="CO1106" s="23">
        <v>-1.07</v>
      </c>
      <c r="CP1106" s="24">
        <v>10</v>
      </c>
      <c r="CQ1106" s="23">
        <v>0</v>
      </c>
      <c r="CR1106" s="23">
        <v>0.02</v>
      </c>
      <c r="CS1106" s="23">
        <v>-2.2200000000000002</v>
      </c>
      <c r="CT1106" s="24">
        <v>8</v>
      </c>
      <c r="CU1106" s="23">
        <v>0.09</v>
      </c>
      <c r="CV1106" s="24">
        <v>66</v>
      </c>
      <c r="CW1106" s="23">
        <v>0.88</v>
      </c>
      <c r="CX1106" s="24">
        <v>84</v>
      </c>
      <c r="CY1106" s="23">
        <v>-5.32</v>
      </c>
      <c r="CZ1106" s="24">
        <v>3</v>
      </c>
      <c r="DA1106" s="23">
        <v>0.05</v>
      </c>
      <c r="DB1106" s="24">
        <v>64</v>
      </c>
      <c r="DC1106" s="25">
        <v>8.66</v>
      </c>
      <c r="DD1106" s="24">
        <v>89</v>
      </c>
      <c r="DE1106" s="25">
        <v>-0.24</v>
      </c>
      <c r="DF1106" s="23">
        <v>-2.74</v>
      </c>
      <c r="DG1106" s="25">
        <v>13.28</v>
      </c>
      <c r="DH1106" s="24">
        <v>92</v>
      </c>
      <c r="DI1106" s="25">
        <v>4.05</v>
      </c>
      <c r="DJ1106" s="24">
        <v>74</v>
      </c>
      <c r="DK1106" s="25">
        <v>7.17</v>
      </c>
      <c r="DL1106" s="24">
        <v>83</v>
      </c>
      <c r="DM1106" s="25">
        <v>19.38</v>
      </c>
      <c r="DN1106" s="24">
        <v>94</v>
      </c>
      <c r="DO1106" s="25">
        <v>7.78</v>
      </c>
      <c r="DP1106" s="24">
        <v>85</v>
      </c>
      <c r="DQ1106" s="24">
        <v>2503</v>
      </c>
      <c r="DR1106" s="26">
        <v>-129</v>
      </c>
      <c r="DS1106" s="23">
        <v>-4.9000000000000004</v>
      </c>
      <c r="DT1106" s="24">
        <v>563</v>
      </c>
      <c r="DU1106" s="26">
        <v>-1</v>
      </c>
      <c r="DV1106" s="23">
        <v>-0.18</v>
      </c>
      <c r="DW1106" s="24">
        <v>2785</v>
      </c>
      <c r="DX1106" s="27">
        <v>1</v>
      </c>
      <c r="DY1106" s="23">
        <v>0.04</v>
      </c>
      <c r="DZ1106" s="15" t="s">
        <v>178</v>
      </c>
      <c r="EA1106" s="22">
        <v>43622</v>
      </c>
      <c r="EB1106" s="17">
        <v>125</v>
      </c>
      <c r="EC1106" s="22">
        <v>43383</v>
      </c>
      <c r="ED1106" s="15" t="s">
        <v>173</v>
      </c>
      <c r="EE1106" s="14" t="str">
        <f>HYPERLINK("https://my.pitchbook.com?c=52146-64", "View company online")</f>
        <v>View company online</v>
      </c>
    </row>
    <row r="1107" spans="1:135">
      <c r="A1107" s="28" t="s">
        <v>21568</v>
      </c>
      <c r="B1107" s="28" t="s">
        <v>21569</v>
      </c>
      <c r="C1107" s="28" t="s">
        <v>138</v>
      </c>
      <c r="D1107" s="28" t="s">
        <v>138</v>
      </c>
      <c r="E1107" s="28" t="s">
        <v>21570</v>
      </c>
      <c r="F1107" s="28" t="s">
        <v>21568</v>
      </c>
      <c r="G1107" s="28" t="s">
        <v>21571</v>
      </c>
      <c r="H1107" s="28" t="s">
        <v>322</v>
      </c>
      <c r="I1107" s="28" t="s">
        <v>323</v>
      </c>
      <c r="J1107" s="28" t="s">
        <v>2084</v>
      </c>
      <c r="K1107" s="28" t="s">
        <v>21572</v>
      </c>
      <c r="L1107" s="28" t="s">
        <v>215</v>
      </c>
      <c r="M1107" s="28" t="s">
        <v>21573</v>
      </c>
      <c r="N1107" s="28" t="s">
        <v>1452</v>
      </c>
      <c r="O1107" s="29">
        <v>166.1</v>
      </c>
      <c r="P1107" s="28" t="s">
        <v>812</v>
      </c>
      <c r="Q1107" s="28" t="s">
        <v>149</v>
      </c>
      <c r="R1107" s="28" t="s">
        <v>1652</v>
      </c>
      <c r="S1107" s="28" t="s">
        <v>21574</v>
      </c>
      <c r="T1107" s="30">
        <v>500</v>
      </c>
      <c r="U1107" s="28" t="s">
        <v>21575</v>
      </c>
      <c r="V1107" s="28" t="s">
        <v>138</v>
      </c>
      <c r="W1107" s="28" t="s">
        <v>138</v>
      </c>
      <c r="X1107" s="31">
        <v>2006</v>
      </c>
      <c r="Y1107" s="28" t="s">
        <v>138</v>
      </c>
      <c r="Z1107" s="28" t="s">
        <v>138</v>
      </c>
      <c r="AA1107" s="28" t="s">
        <v>138</v>
      </c>
      <c r="AB1107" s="32">
        <v>125</v>
      </c>
      <c r="AC1107" s="32" t="s">
        <v>138</v>
      </c>
      <c r="AD1107" s="32" t="s">
        <v>138</v>
      </c>
      <c r="AE1107" s="32" t="s">
        <v>138</v>
      </c>
      <c r="AF1107" s="32" t="s">
        <v>138</v>
      </c>
      <c r="AG1107" s="28" t="s">
        <v>707</v>
      </c>
      <c r="AH1107" s="32" t="s">
        <v>138</v>
      </c>
      <c r="AI1107" s="32" t="s">
        <v>138</v>
      </c>
      <c r="AJ1107" s="32" t="s">
        <v>138</v>
      </c>
      <c r="AK1107" s="28" t="s">
        <v>21576</v>
      </c>
      <c r="AL1107" s="28" t="s">
        <v>21577</v>
      </c>
      <c r="AM1107" s="28" t="s">
        <v>7338</v>
      </c>
      <c r="AN1107" s="28" t="s">
        <v>21578</v>
      </c>
      <c r="AO1107" s="28" t="s">
        <v>21579</v>
      </c>
      <c r="AP1107" s="28" t="s">
        <v>423</v>
      </c>
      <c r="AQ1107" s="28" t="s">
        <v>21580</v>
      </c>
      <c r="AR1107" s="28" t="s">
        <v>667</v>
      </c>
      <c r="AS1107" s="28" t="s">
        <v>426</v>
      </c>
      <c r="AT1107" s="28" t="s">
        <v>426</v>
      </c>
      <c r="AU1107" s="28" t="s">
        <v>9264</v>
      </c>
      <c r="AV1107" s="28" t="s">
        <v>162</v>
      </c>
      <c r="AW1107" s="28" t="s">
        <v>21579</v>
      </c>
      <c r="AX1107" s="28" t="s">
        <v>21581</v>
      </c>
      <c r="AY1107" s="28" t="s">
        <v>21582</v>
      </c>
      <c r="AZ1107" s="28" t="s">
        <v>164</v>
      </c>
      <c r="BA1107" s="28" t="s">
        <v>165</v>
      </c>
      <c r="BB1107" s="28" t="s">
        <v>21583</v>
      </c>
      <c r="BC1107" s="28" t="s">
        <v>21584</v>
      </c>
      <c r="BD1107" s="33">
        <v>17</v>
      </c>
      <c r="BE1107" s="28" t="s">
        <v>138</v>
      </c>
      <c r="BF1107" s="28" t="s">
        <v>138</v>
      </c>
      <c r="BG1107" s="28" t="s">
        <v>138</v>
      </c>
      <c r="BH1107" s="28" t="s">
        <v>21585</v>
      </c>
      <c r="BI1107" s="28" t="s">
        <v>138</v>
      </c>
      <c r="BJ1107" s="28" t="s">
        <v>138</v>
      </c>
      <c r="BK1107" s="28" t="s">
        <v>21586</v>
      </c>
      <c r="BL1107" s="28" t="s">
        <v>21587</v>
      </c>
      <c r="BM1107" s="34">
        <v>39343</v>
      </c>
      <c r="BN1107" s="29">
        <v>2.1</v>
      </c>
      <c r="BO1107" s="28" t="s">
        <v>172</v>
      </c>
      <c r="BP1107" s="29" t="s">
        <v>138</v>
      </c>
      <c r="BQ1107" s="28" t="s">
        <v>138</v>
      </c>
      <c r="BR1107" s="28" t="s">
        <v>205</v>
      </c>
      <c r="BS1107" s="28" t="s">
        <v>206</v>
      </c>
      <c r="BT1107" s="28" t="s">
        <v>138</v>
      </c>
      <c r="BU1107" s="28" t="s">
        <v>174</v>
      </c>
      <c r="BV1107" s="28" t="s">
        <v>138</v>
      </c>
      <c r="BW1107" s="28" t="s">
        <v>138</v>
      </c>
      <c r="BX1107" s="28" t="s">
        <v>138</v>
      </c>
      <c r="BY1107" s="28" t="s">
        <v>175</v>
      </c>
      <c r="BZ1107" s="34">
        <v>42573</v>
      </c>
      <c r="CA1107" s="29">
        <v>50</v>
      </c>
      <c r="CB1107" s="28" t="s">
        <v>172</v>
      </c>
      <c r="CC1107" s="29">
        <v>500</v>
      </c>
      <c r="CD1107" s="28" t="s">
        <v>172</v>
      </c>
      <c r="CE1107" s="28" t="s">
        <v>1673</v>
      </c>
      <c r="CF1107" s="28" t="s">
        <v>138</v>
      </c>
      <c r="CG1107" s="28" t="s">
        <v>138</v>
      </c>
      <c r="CH1107" s="28" t="s">
        <v>351</v>
      </c>
      <c r="CI1107" s="28" t="s">
        <v>138</v>
      </c>
      <c r="CJ1107" s="28" t="s">
        <v>138</v>
      </c>
      <c r="CK1107" s="28" t="s">
        <v>138</v>
      </c>
      <c r="CL1107" s="28" t="s">
        <v>175</v>
      </c>
      <c r="CM1107" s="34" t="s">
        <v>138</v>
      </c>
      <c r="CN1107" s="29" t="s">
        <v>138</v>
      </c>
      <c r="CO1107" s="35">
        <v>1.35</v>
      </c>
      <c r="CP1107" s="36">
        <v>98</v>
      </c>
      <c r="CQ1107" s="35">
        <v>-0.25</v>
      </c>
      <c r="CR1107" s="35">
        <v>-15.39</v>
      </c>
      <c r="CS1107" s="35">
        <v>1.8</v>
      </c>
      <c r="CT1107" s="36">
        <v>98</v>
      </c>
      <c r="CU1107" s="35">
        <v>0.09</v>
      </c>
      <c r="CV1107" s="36">
        <v>66</v>
      </c>
      <c r="CW1107" s="35">
        <v>3.59</v>
      </c>
      <c r="CX1107" s="36">
        <v>93</v>
      </c>
      <c r="CY1107" s="35">
        <v>0</v>
      </c>
      <c r="CZ1107" s="36">
        <v>25</v>
      </c>
      <c r="DA1107" s="35">
        <v>0.11</v>
      </c>
      <c r="DB1107" s="36">
        <v>73</v>
      </c>
      <c r="DC1107" s="37">
        <v>17.32</v>
      </c>
      <c r="DD1107" s="36">
        <v>94</v>
      </c>
      <c r="DE1107" s="37">
        <v>-1.64</v>
      </c>
      <c r="DF1107" s="35">
        <v>-8.65</v>
      </c>
      <c r="DG1107" s="37">
        <v>51.99</v>
      </c>
      <c r="DH1107" s="36">
        <v>98</v>
      </c>
      <c r="DI1107" s="37">
        <v>16.09</v>
      </c>
      <c r="DJ1107" s="36">
        <v>89</v>
      </c>
      <c r="DK1107" s="37">
        <v>103.47</v>
      </c>
      <c r="DL1107" s="36">
        <v>98</v>
      </c>
      <c r="DM1107" s="37">
        <v>0.52</v>
      </c>
      <c r="DN1107" s="36">
        <v>35</v>
      </c>
      <c r="DO1107" s="37">
        <v>26.89</v>
      </c>
      <c r="DP1107" s="36">
        <v>94</v>
      </c>
      <c r="DQ1107" s="36">
        <v>34626</v>
      </c>
      <c r="DR1107" s="38">
        <v>2589</v>
      </c>
      <c r="DS1107" s="35">
        <v>8.08</v>
      </c>
      <c r="DT1107" s="36">
        <v>15</v>
      </c>
      <c r="DU1107" s="38">
        <v>-1</v>
      </c>
      <c r="DV1107" s="35">
        <v>-6.25</v>
      </c>
      <c r="DW1107" s="36">
        <v>9623</v>
      </c>
      <c r="DX1107" s="39">
        <v>2</v>
      </c>
      <c r="DY1107" s="35">
        <v>0.02</v>
      </c>
      <c r="DZ1107" s="28" t="s">
        <v>178</v>
      </c>
      <c r="EA1107" s="34">
        <v>43523</v>
      </c>
      <c r="EB1107" s="29">
        <v>500</v>
      </c>
      <c r="EC1107" s="34">
        <v>42573</v>
      </c>
      <c r="ED1107" s="28" t="s">
        <v>1673</v>
      </c>
      <c r="EE1107" s="40" t="str">
        <f>HYPERLINK("https://my.pitchbook.com?c=51594-04", "View company online")</f>
        <v>View company online</v>
      </c>
    </row>
    <row r="1108" spans="1:135">
      <c r="A1108" s="15" t="s">
        <v>21588</v>
      </c>
      <c r="B1108" s="15" t="s">
        <v>21589</v>
      </c>
      <c r="C1108" s="15" t="s">
        <v>138</v>
      </c>
      <c r="D1108" s="15" t="s">
        <v>138</v>
      </c>
      <c r="E1108" s="15" t="s">
        <v>138</v>
      </c>
      <c r="F1108" s="15" t="s">
        <v>21588</v>
      </c>
      <c r="G1108" s="15" t="s">
        <v>21590</v>
      </c>
      <c r="H1108" s="15" t="s">
        <v>322</v>
      </c>
      <c r="I1108" s="15" t="s">
        <v>323</v>
      </c>
      <c r="J1108" s="15" t="s">
        <v>413</v>
      </c>
      <c r="K1108" s="15" t="s">
        <v>21591</v>
      </c>
      <c r="L1108" s="15" t="s">
        <v>415</v>
      </c>
      <c r="M1108" s="15" t="s">
        <v>21592</v>
      </c>
      <c r="N1108" s="15" t="s">
        <v>147</v>
      </c>
      <c r="O1108" s="17" t="s">
        <v>138</v>
      </c>
      <c r="P1108" s="15" t="s">
        <v>812</v>
      </c>
      <c r="Q1108" s="15" t="s">
        <v>149</v>
      </c>
      <c r="R1108" s="15" t="s">
        <v>174</v>
      </c>
      <c r="S1108" s="15" t="s">
        <v>21593</v>
      </c>
      <c r="T1108" s="18">
        <v>17</v>
      </c>
      <c r="U1108" s="15" t="s">
        <v>21594</v>
      </c>
      <c r="V1108" s="15" t="s">
        <v>138</v>
      </c>
      <c r="W1108" s="15" t="s">
        <v>138</v>
      </c>
      <c r="X1108" s="19">
        <v>2006</v>
      </c>
      <c r="Y1108" s="15" t="s">
        <v>138</v>
      </c>
      <c r="Z1108" s="15" t="s">
        <v>138</v>
      </c>
      <c r="AA1108" s="15" t="s">
        <v>138</v>
      </c>
      <c r="AB1108" s="20" t="s">
        <v>138</v>
      </c>
      <c r="AC1108" s="20" t="s">
        <v>138</v>
      </c>
      <c r="AD1108" s="20" t="s">
        <v>138</v>
      </c>
      <c r="AE1108" s="20" t="s">
        <v>138</v>
      </c>
      <c r="AF1108" s="20" t="s">
        <v>138</v>
      </c>
      <c r="AG1108" s="15" t="s">
        <v>138</v>
      </c>
      <c r="AH1108" s="20" t="s">
        <v>138</v>
      </c>
      <c r="AI1108" s="20" t="s">
        <v>138</v>
      </c>
      <c r="AJ1108" s="20" t="s">
        <v>138</v>
      </c>
      <c r="AK1108" s="15" t="s">
        <v>21595</v>
      </c>
      <c r="AL1108" s="15" t="s">
        <v>21596</v>
      </c>
      <c r="AM1108" s="15" t="s">
        <v>2194</v>
      </c>
      <c r="AN1108" s="15" t="s">
        <v>138</v>
      </c>
      <c r="AO1108" s="15" t="s">
        <v>21597</v>
      </c>
      <c r="AP1108" s="15" t="s">
        <v>21598</v>
      </c>
      <c r="AQ1108" s="15" t="s">
        <v>21599</v>
      </c>
      <c r="AR1108" s="15" t="s">
        <v>138</v>
      </c>
      <c r="AS1108" s="15" t="s">
        <v>21600</v>
      </c>
      <c r="AT1108" s="15" t="s">
        <v>138</v>
      </c>
      <c r="AU1108" s="15" t="s">
        <v>21601</v>
      </c>
      <c r="AV1108" s="15" t="s">
        <v>1319</v>
      </c>
      <c r="AW1108" s="15" t="s">
        <v>21602</v>
      </c>
      <c r="AX1108" s="15" t="s">
        <v>138</v>
      </c>
      <c r="AY1108" s="15" t="s">
        <v>21603</v>
      </c>
      <c r="AZ1108" s="15" t="s">
        <v>530</v>
      </c>
      <c r="BA1108" s="15" t="s">
        <v>531</v>
      </c>
      <c r="BB1108" s="15" t="s">
        <v>21604</v>
      </c>
      <c r="BC1108" s="15" t="s">
        <v>21605</v>
      </c>
      <c r="BD1108" s="21">
        <v>2</v>
      </c>
      <c r="BE1108" s="15" t="s">
        <v>138</v>
      </c>
      <c r="BF1108" s="15" t="s">
        <v>138</v>
      </c>
      <c r="BG1108" s="15" t="s">
        <v>138</v>
      </c>
      <c r="BH1108" s="15" t="s">
        <v>21606</v>
      </c>
      <c r="BI1108" s="15" t="s">
        <v>138</v>
      </c>
      <c r="BJ1108" s="15" t="s">
        <v>138</v>
      </c>
      <c r="BK1108" s="15" t="s">
        <v>138</v>
      </c>
      <c r="BL1108" s="15" t="s">
        <v>138</v>
      </c>
      <c r="BM1108" s="22">
        <v>39947</v>
      </c>
      <c r="BN1108" s="17" t="s">
        <v>138</v>
      </c>
      <c r="BO1108" s="15" t="s">
        <v>138</v>
      </c>
      <c r="BP1108" s="17" t="s">
        <v>138</v>
      </c>
      <c r="BQ1108" s="15" t="s">
        <v>138</v>
      </c>
      <c r="BR1108" s="15" t="s">
        <v>205</v>
      </c>
      <c r="BS1108" s="15" t="s">
        <v>138</v>
      </c>
      <c r="BT1108" s="15" t="s">
        <v>138</v>
      </c>
      <c r="BU1108" s="15" t="s">
        <v>174</v>
      </c>
      <c r="BV1108" s="15" t="s">
        <v>138</v>
      </c>
      <c r="BW1108" s="15" t="s">
        <v>138</v>
      </c>
      <c r="BX1108" s="15" t="s">
        <v>138</v>
      </c>
      <c r="BY1108" s="15" t="s">
        <v>175</v>
      </c>
      <c r="BZ1108" s="22">
        <v>41410</v>
      </c>
      <c r="CA1108" s="17" t="s">
        <v>138</v>
      </c>
      <c r="CB1108" s="15" t="s">
        <v>138</v>
      </c>
      <c r="CC1108" s="17" t="s">
        <v>138</v>
      </c>
      <c r="CD1108" s="15" t="s">
        <v>138</v>
      </c>
      <c r="CE1108" s="15" t="s">
        <v>173</v>
      </c>
      <c r="CF1108" s="15" t="s">
        <v>138</v>
      </c>
      <c r="CG1108" s="15" t="s">
        <v>138</v>
      </c>
      <c r="CH1108" s="15" t="s">
        <v>174</v>
      </c>
      <c r="CI1108" s="15" t="s">
        <v>138</v>
      </c>
      <c r="CJ1108" s="15" t="s">
        <v>138</v>
      </c>
      <c r="CK1108" s="15" t="s">
        <v>138</v>
      </c>
      <c r="CL1108" s="15" t="s">
        <v>175</v>
      </c>
      <c r="CM1108" s="22" t="s">
        <v>138</v>
      </c>
      <c r="CN1108" s="17" t="s">
        <v>138</v>
      </c>
      <c r="CO1108" s="23">
        <v>-3.39</v>
      </c>
      <c r="CP1108" s="24">
        <v>3</v>
      </c>
      <c r="CQ1108" s="23">
        <v>-0.03</v>
      </c>
      <c r="CR1108" s="23">
        <v>-0.77</v>
      </c>
      <c r="CS1108" s="23">
        <v>-6.76</v>
      </c>
      <c r="CT1108" s="24">
        <v>1</v>
      </c>
      <c r="CU1108" s="23">
        <v>-0.03</v>
      </c>
      <c r="CV1108" s="24">
        <v>14</v>
      </c>
      <c r="CW1108" s="23" t="s">
        <v>138</v>
      </c>
      <c r="CX1108" s="24" t="s">
        <v>138</v>
      </c>
      <c r="CY1108" s="23">
        <v>-6.76</v>
      </c>
      <c r="CZ1108" s="24">
        <v>2</v>
      </c>
      <c r="DA1108" s="23">
        <v>0.01</v>
      </c>
      <c r="DB1108" s="24">
        <v>57</v>
      </c>
      <c r="DC1108" s="25">
        <v>8.6199999999999992</v>
      </c>
      <c r="DD1108" s="24">
        <v>89</v>
      </c>
      <c r="DE1108" s="25">
        <v>-0.04</v>
      </c>
      <c r="DF1108" s="23">
        <v>-0.48</v>
      </c>
      <c r="DG1108" s="25">
        <v>14</v>
      </c>
      <c r="DH1108" s="24">
        <v>92</v>
      </c>
      <c r="DI1108" s="25">
        <v>3.24</v>
      </c>
      <c r="DJ1108" s="24">
        <v>71</v>
      </c>
      <c r="DK1108" s="25" t="s">
        <v>138</v>
      </c>
      <c r="DL1108" s="24" t="s">
        <v>138</v>
      </c>
      <c r="DM1108" s="25">
        <v>14</v>
      </c>
      <c r="DN1108" s="24">
        <v>92</v>
      </c>
      <c r="DO1108" s="25">
        <v>6.26</v>
      </c>
      <c r="DP1108" s="24">
        <v>82</v>
      </c>
      <c r="DQ1108" s="24" t="s">
        <v>138</v>
      </c>
      <c r="DR1108" s="26" t="s">
        <v>138</v>
      </c>
      <c r="DS1108" s="23" t="s">
        <v>138</v>
      </c>
      <c r="DT1108" s="24">
        <v>407</v>
      </c>
      <c r="DU1108" s="26">
        <v>-3</v>
      </c>
      <c r="DV1108" s="23">
        <v>-0.73</v>
      </c>
      <c r="DW1108" s="24">
        <v>2240</v>
      </c>
      <c r="DX1108" s="27">
        <v>2</v>
      </c>
      <c r="DY1108" s="23">
        <v>0.09</v>
      </c>
      <c r="DZ1108" s="15" t="s">
        <v>178</v>
      </c>
      <c r="EA1108" s="22">
        <v>43448</v>
      </c>
      <c r="EB1108" s="17" t="s">
        <v>138</v>
      </c>
      <c r="EC1108" s="22" t="s">
        <v>138</v>
      </c>
      <c r="ED1108" s="15" t="s">
        <v>138</v>
      </c>
      <c r="EE1108" s="14" t="str">
        <f>HYPERLINK("https://my.pitchbook.com?c=109556-11", "View company online")</f>
        <v>View company online</v>
      </c>
    </row>
    <row r="1109" spans="1:135">
      <c r="A1109" s="28" t="s">
        <v>21607</v>
      </c>
      <c r="B1109" s="28" t="s">
        <v>21608</v>
      </c>
      <c r="C1109" s="28" t="s">
        <v>138</v>
      </c>
      <c r="D1109" s="28" t="s">
        <v>138</v>
      </c>
      <c r="E1109" s="28" t="s">
        <v>138</v>
      </c>
      <c r="F1109" s="28" t="s">
        <v>21607</v>
      </c>
      <c r="G1109" s="28" t="s">
        <v>21609</v>
      </c>
      <c r="H1109" s="28" t="s">
        <v>322</v>
      </c>
      <c r="I1109" s="28" t="s">
        <v>323</v>
      </c>
      <c r="J1109" s="28" t="s">
        <v>413</v>
      </c>
      <c r="K1109" s="28" t="s">
        <v>21610</v>
      </c>
      <c r="L1109" s="28" t="s">
        <v>18667</v>
      </c>
      <c r="M1109" s="28" t="s">
        <v>21611</v>
      </c>
      <c r="N1109" s="28" t="s">
        <v>147</v>
      </c>
      <c r="O1109" s="29">
        <v>8</v>
      </c>
      <c r="P1109" s="28" t="s">
        <v>148</v>
      </c>
      <c r="Q1109" s="28" t="s">
        <v>149</v>
      </c>
      <c r="R1109" s="28" t="s">
        <v>174</v>
      </c>
      <c r="S1109" s="28" t="s">
        <v>21612</v>
      </c>
      <c r="T1109" s="30" t="s">
        <v>138</v>
      </c>
      <c r="U1109" s="28" t="s">
        <v>138</v>
      </c>
      <c r="V1109" s="28" t="s">
        <v>138</v>
      </c>
      <c r="W1109" s="28" t="s">
        <v>138</v>
      </c>
      <c r="X1109" s="31">
        <v>2016</v>
      </c>
      <c r="Y1109" s="28" t="s">
        <v>138</v>
      </c>
      <c r="Z1109" s="28" t="s">
        <v>138</v>
      </c>
      <c r="AA1109" s="28" t="s">
        <v>138</v>
      </c>
      <c r="AB1109" s="32" t="s">
        <v>138</v>
      </c>
      <c r="AC1109" s="32" t="s">
        <v>138</v>
      </c>
      <c r="AD1109" s="32" t="s">
        <v>138</v>
      </c>
      <c r="AE1109" s="32" t="s">
        <v>138</v>
      </c>
      <c r="AF1109" s="32" t="s">
        <v>138</v>
      </c>
      <c r="AG1109" s="28" t="s">
        <v>138</v>
      </c>
      <c r="AH1109" s="32" t="s">
        <v>138</v>
      </c>
      <c r="AI1109" s="32" t="s">
        <v>138</v>
      </c>
      <c r="AJ1109" s="32" t="s">
        <v>138</v>
      </c>
      <c r="AK1109" s="28" t="s">
        <v>21613</v>
      </c>
      <c r="AL1109" s="28" t="s">
        <v>21614</v>
      </c>
      <c r="AM1109" s="28" t="s">
        <v>21615</v>
      </c>
      <c r="AN1109" s="28" t="s">
        <v>21616</v>
      </c>
      <c r="AO1109" s="28" t="s">
        <v>21617</v>
      </c>
      <c r="AP1109" s="28" t="s">
        <v>1195</v>
      </c>
      <c r="AQ1109" s="28" t="s">
        <v>21618</v>
      </c>
      <c r="AR1109" s="28" t="s">
        <v>20851</v>
      </c>
      <c r="AS1109" s="28" t="s">
        <v>1198</v>
      </c>
      <c r="AT1109" s="28" t="s">
        <v>138</v>
      </c>
      <c r="AU1109" s="28" t="s">
        <v>21619</v>
      </c>
      <c r="AV1109" s="28" t="s">
        <v>1200</v>
      </c>
      <c r="AW1109" s="28" t="s">
        <v>21617</v>
      </c>
      <c r="AX1109" s="28" t="s">
        <v>138</v>
      </c>
      <c r="AY1109" s="28" t="s">
        <v>138</v>
      </c>
      <c r="AZ1109" s="28" t="s">
        <v>452</v>
      </c>
      <c r="BA1109" s="28" t="s">
        <v>453</v>
      </c>
      <c r="BB1109" s="28" t="s">
        <v>21620</v>
      </c>
      <c r="BC1109" s="28" t="s">
        <v>21621</v>
      </c>
      <c r="BD1109" s="33">
        <v>8</v>
      </c>
      <c r="BE1109" s="28" t="s">
        <v>138</v>
      </c>
      <c r="BF1109" s="28" t="s">
        <v>138</v>
      </c>
      <c r="BG1109" s="28" t="s">
        <v>138</v>
      </c>
      <c r="BH1109" s="28" t="s">
        <v>21622</v>
      </c>
      <c r="BI1109" s="28" t="s">
        <v>138</v>
      </c>
      <c r="BJ1109" s="28" t="s">
        <v>138</v>
      </c>
      <c r="BK1109" s="28" t="s">
        <v>138</v>
      </c>
      <c r="BL1109" s="28" t="s">
        <v>138</v>
      </c>
      <c r="BM1109" s="34">
        <v>42517</v>
      </c>
      <c r="BN1109" s="29" t="s">
        <v>138</v>
      </c>
      <c r="BO1109" s="28" t="s">
        <v>138</v>
      </c>
      <c r="BP1109" s="29" t="s">
        <v>138</v>
      </c>
      <c r="BQ1109" s="28" t="s">
        <v>138</v>
      </c>
      <c r="BR1109" s="28" t="s">
        <v>234</v>
      </c>
      <c r="BS1109" s="28" t="s">
        <v>234</v>
      </c>
      <c r="BT1109" s="28" t="s">
        <v>138</v>
      </c>
      <c r="BU1109" s="28" t="s">
        <v>174</v>
      </c>
      <c r="BV1109" s="28" t="s">
        <v>138</v>
      </c>
      <c r="BW1109" s="28" t="s">
        <v>138</v>
      </c>
      <c r="BX1109" s="28" t="s">
        <v>138</v>
      </c>
      <c r="BY1109" s="28" t="s">
        <v>175</v>
      </c>
      <c r="BZ1109" s="34">
        <v>43234</v>
      </c>
      <c r="CA1109" s="29">
        <v>8</v>
      </c>
      <c r="CB1109" s="28" t="s">
        <v>172</v>
      </c>
      <c r="CC1109" s="29" t="s">
        <v>138</v>
      </c>
      <c r="CD1109" s="28" t="s">
        <v>138</v>
      </c>
      <c r="CE1109" s="28" t="s">
        <v>205</v>
      </c>
      <c r="CF1109" s="28" t="s">
        <v>206</v>
      </c>
      <c r="CG1109" s="28" t="s">
        <v>138</v>
      </c>
      <c r="CH1109" s="28" t="s">
        <v>174</v>
      </c>
      <c r="CI1109" s="28" t="s">
        <v>138</v>
      </c>
      <c r="CJ1109" s="28" t="s">
        <v>138</v>
      </c>
      <c r="CK1109" s="28" t="s">
        <v>138</v>
      </c>
      <c r="CL1109" s="28" t="s">
        <v>175</v>
      </c>
      <c r="CM1109" s="34" t="s">
        <v>138</v>
      </c>
      <c r="CN1109" s="29" t="s">
        <v>138</v>
      </c>
      <c r="CO1109" s="35">
        <v>0.92</v>
      </c>
      <c r="CP1109" s="36">
        <v>97</v>
      </c>
      <c r="CQ1109" s="35">
        <v>0</v>
      </c>
      <c r="CR1109" s="35">
        <v>0</v>
      </c>
      <c r="CS1109" s="35" t="s">
        <v>138</v>
      </c>
      <c r="CT1109" s="36" t="s">
        <v>138</v>
      </c>
      <c r="CU1109" s="35">
        <v>0.92</v>
      </c>
      <c r="CV1109" s="36">
        <v>98</v>
      </c>
      <c r="CW1109" s="35" t="s">
        <v>138</v>
      </c>
      <c r="CX1109" s="36" t="s">
        <v>138</v>
      </c>
      <c r="CY1109" s="35" t="s">
        <v>138</v>
      </c>
      <c r="CZ1109" s="36" t="s">
        <v>138</v>
      </c>
      <c r="DA1109" s="35" t="s">
        <v>138</v>
      </c>
      <c r="DB1109" s="36" t="s">
        <v>138</v>
      </c>
      <c r="DC1109" s="37">
        <v>0.86</v>
      </c>
      <c r="DD1109" s="36">
        <v>47</v>
      </c>
      <c r="DE1109" s="37">
        <v>0</v>
      </c>
      <c r="DF1109" s="35">
        <v>-0.11</v>
      </c>
      <c r="DG1109" s="37" t="s">
        <v>138</v>
      </c>
      <c r="DH1109" s="36" t="s">
        <v>138</v>
      </c>
      <c r="DI1109" s="37">
        <v>0.86</v>
      </c>
      <c r="DJ1109" s="36">
        <v>46</v>
      </c>
      <c r="DK1109" s="37" t="s">
        <v>138</v>
      </c>
      <c r="DL1109" s="36" t="s">
        <v>138</v>
      </c>
      <c r="DM1109" s="37" t="s">
        <v>138</v>
      </c>
      <c r="DN1109" s="36" t="s">
        <v>138</v>
      </c>
      <c r="DO1109" s="37" t="s">
        <v>138</v>
      </c>
      <c r="DP1109" s="36" t="s">
        <v>138</v>
      </c>
      <c r="DQ1109" s="36" t="s">
        <v>138</v>
      </c>
      <c r="DR1109" s="38" t="s">
        <v>138</v>
      </c>
      <c r="DS1109" s="35" t="s">
        <v>138</v>
      </c>
      <c r="DT1109" s="36" t="s">
        <v>138</v>
      </c>
      <c r="DU1109" s="38" t="s">
        <v>138</v>
      </c>
      <c r="DV1109" s="35" t="s">
        <v>138</v>
      </c>
      <c r="DW1109" s="36" t="s">
        <v>138</v>
      </c>
      <c r="DX1109" s="39" t="s">
        <v>138</v>
      </c>
      <c r="DY1109" s="35" t="s">
        <v>138</v>
      </c>
      <c r="DZ1109" s="28" t="s">
        <v>178</v>
      </c>
      <c r="EA1109" s="34">
        <v>43622</v>
      </c>
      <c r="EB1109" s="29" t="s">
        <v>138</v>
      </c>
      <c r="EC1109" s="34" t="s">
        <v>138</v>
      </c>
      <c r="ED1109" s="28" t="s">
        <v>138</v>
      </c>
      <c r="EE1109" s="40" t="str">
        <f>HYPERLINK("https://my.pitchbook.com?c=171830-44", "View company online")</f>
        <v>View company online</v>
      </c>
    </row>
    <row r="1110" spans="1:135">
      <c r="A1110" s="15" t="s">
        <v>21623</v>
      </c>
      <c r="B1110" s="15" t="s">
        <v>21624</v>
      </c>
      <c r="C1110" s="15" t="s">
        <v>138</v>
      </c>
      <c r="D1110" s="15" t="s">
        <v>138</v>
      </c>
      <c r="E1110" s="15" t="s">
        <v>138</v>
      </c>
      <c r="F1110" s="15" t="s">
        <v>21623</v>
      </c>
      <c r="G1110" s="15" t="s">
        <v>21625</v>
      </c>
      <c r="H1110" s="15" t="s">
        <v>322</v>
      </c>
      <c r="I1110" s="15" t="s">
        <v>356</v>
      </c>
      <c r="J1110" s="15" t="s">
        <v>357</v>
      </c>
      <c r="K1110" s="15" t="s">
        <v>21626</v>
      </c>
      <c r="L1110" s="15" t="s">
        <v>359</v>
      </c>
      <c r="M1110" s="15" t="s">
        <v>21627</v>
      </c>
      <c r="N1110" s="15" t="s">
        <v>147</v>
      </c>
      <c r="O1110" s="17">
        <v>133.87</v>
      </c>
      <c r="P1110" s="15" t="s">
        <v>812</v>
      </c>
      <c r="Q1110" s="15" t="s">
        <v>149</v>
      </c>
      <c r="R1110" s="15" t="s">
        <v>174</v>
      </c>
      <c r="S1110" s="15" t="s">
        <v>21628</v>
      </c>
      <c r="T1110" s="18">
        <v>500</v>
      </c>
      <c r="U1110" s="15" t="s">
        <v>21629</v>
      </c>
      <c r="V1110" s="15" t="s">
        <v>138</v>
      </c>
      <c r="W1110" s="15" t="s">
        <v>138</v>
      </c>
      <c r="X1110" s="19">
        <v>2009</v>
      </c>
      <c r="Y1110" s="15" t="s">
        <v>138</v>
      </c>
      <c r="Z1110" s="15" t="s">
        <v>138</v>
      </c>
      <c r="AA1110" s="15" t="s">
        <v>138</v>
      </c>
      <c r="AB1110" s="20" t="s">
        <v>138</v>
      </c>
      <c r="AC1110" s="20" t="s">
        <v>138</v>
      </c>
      <c r="AD1110" s="20" t="s">
        <v>138</v>
      </c>
      <c r="AE1110" s="20" t="s">
        <v>138</v>
      </c>
      <c r="AF1110" s="20" t="s">
        <v>138</v>
      </c>
      <c r="AG1110" s="15" t="s">
        <v>138</v>
      </c>
      <c r="AH1110" s="20" t="s">
        <v>138</v>
      </c>
      <c r="AI1110" s="20" t="s">
        <v>138</v>
      </c>
      <c r="AJ1110" s="20" t="s">
        <v>138</v>
      </c>
      <c r="AK1110" s="15" t="s">
        <v>21630</v>
      </c>
      <c r="AL1110" s="15" t="s">
        <v>21631</v>
      </c>
      <c r="AM1110" s="15" t="s">
        <v>249</v>
      </c>
      <c r="AN1110" s="15" t="s">
        <v>21632</v>
      </c>
      <c r="AO1110" s="15" t="s">
        <v>21633</v>
      </c>
      <c r="AP1110" s="15" t="s">
        <v>13084</v>
      </c>
      <c r="AQ1110" s="15" t="s">
        <v>21634</v>
      </c>
      <c r="AR1110" s="15" t="s">
        <v>138</v>
      </c>
      <c r="AS1110" s="15" t="s">
        <v>13086</v>
      </c>
      <c r="AT1110" s="15" t="s">
        <v>200</v>
      </c>
      <c r="AU1110" s="15" t="s">
        <v>13087</v>
      </c>
      <c r="AV1110" s="15" t="s">
        <v>162</v>
      </c>
      <c r="AW1110" s="15" t="s">
        <v>21633</v>
      </c>
      <c r="AX1110" s="15" t="s">
        <v>21635</v>
      </c>
      <c r="AY1110" s="15" t="s">
        <v>21636</v>
      </c>
      <c r="AZ1110" s="15" t="s">
        <v>164</v>
      </c>
      <c r="BA1110" s="15" t="s">
        <v>165</v>
      </c>
      <c r="BB1110" s="15" t="s">
        <v>21637</v>
      </c>
      <c r="BC1110" s="15" t="s">
        <v>21638</v>
      </c>
      <c r="BD1110" s="21">
        <v>14</v>
      </c>
      <c r="BE1110" s="15" t="s">
        <v>138</v>
      </c>
      <c r="BF1110" s="15" t="s">
        <v>138</v>
      </c>
      <c r="BG1110" s="15" t="s">
        <v>138</v>
      </c>
      <c r="BH1110" s="15" t="s">
        <v>21639</v>
      </c>
      <c r="BI1110" s="15" t="s">
        <v>138</v>
      </c>
      <c r="BJ1110" s="15" t="s">
        <v>138</v>
      </c>
      <c r="BK1110" s="15" t="s">
        <v>20115</v>
      </c>
      <c r="BL1110" s="15" t="s">
        <v>21640</v>
      </c>
      <c r="BM1110" s="22" t="s">
        <v>138</v>
      </c>
      <c r="BN1110" s="17" t="s">
        <v>138</v>
      </c>
      <c r="BO1110" s="15" t="s">
        <v>138</v>
      </c>
      <c r="BP1110" s="17" t="s">
        <v>138</v>
      </c>
      <c r="BQ1110" s="15" t="s">
        <v>138</v>
      </c>
      <c r="BR1110" s="15" t="s">
        <v>316</v>
      </c>
      <c r="BS1110" s="15" t="s">
        <v>138</v>
      </c>
      <c r="BT1110" s="15" t="s">
        <v>138</v>
      </c>
      <c r="BU1110" s="15" t="s">
        <v>177</v>
      </c>
      <c r="BV1110" s="15" t="s">
        <v>138</v>
      </c>
      <c r="BW1110" s="15" t="s">
        <v>138</v>
      </c>
      <c r="BX1110" s="15" t="s">
        <v>138</v>
      </c>
      <c r="BY1110" s="15" t="s">
        <v>175</v>
      </c>
      <c r="BZ1110" s="22">
        <v>43350</v>
      </c>
      <c r="CA1110" s="17">
        <v>7</v>
      </c>
      <c r="CB1110" s="15" t="s">
        <v>1178</v>
      </c>
      <c r="CC1110" s="17">
        <v>355</v>
      </c>
      <c r="CD1110" s="15" t="s">
        <v>172</v>
      </c>
      <c r="CE1110" s="15" t="s">
        <v>173</v>
      </c>
      <c r="CF1110" s="15" t="s">
        <v>138</v>
      </c>
      <c r="CG1110" s="15" t="s">
        <v>138</v>
      </c>
      <c r="CH1110" s="15" t="s">
        <v>174</v>
      </c>
      <c r="CI1110" s="15" t="s">
        <v>138</v>
      </c>
      <c r="CJ1110" s="15" t="s">
        <v>138</v>
      </c>
      <c r="CK1110" s="15" t="s">
        <v>138</v>
      </c>
      <c r="CL1110" s="15" t="s">
        <v>175</v>
      </c>
      <c r="CM1110" s="22">
        <v>40701</v>
      </c>
      <c r="CN1110" s="17" t="s">
        <v>138</v>
      </c>
      <c r="CO1110" s="23">
        <v>-0.57999999999999996</v>
      </c>
      <c r="CP1110" s="24">
        <v>15</v>
      </c>
      <c r="CQ1110" s="23">
        <v>-0.38</v>
      </c>
      <c r="CR1110" s="23">
        <v>-189.9</v>
      </c>
      <c r="CS1110" s="23">
        <v>-1.3</v>
      </c>
      <c r="CT1110" s="24">
        <v>13</v>
      </c>
      <c r="CU1110" s="23">
        <v>0.13</v>
      </c>
      <c r="CV1110" s="24">
        <v>73</v>
      </c>
      <c r="CW1110" s="23">
        <v>0</v>
      </c>
      <c r="CX1110" s="24">
        <v>13</v>
      </c>
      <c r="CY1110" s="23">
        <v>-2.6</v>
      </c>
      <c r="CZ1110" s="24">
        <v>8</v>
      </c>
      <c r="DA1110" s="23">
        <v>0</v>
      </c>
      <c r="DB1110" s="24">
        <v>22</v>
      </c>
      <c r="DC1110" s="25">
        <v>1.08</v>
      </c>
      <c r="DD1110" s="24">
        <v>53</v>
      </c>
      <c r="DE1110" s="25">
        <v>-0.14000000000000001</v>
      </c>
      <c r="DF1110" s="23">
        <v>-11.39</v>
      </c>
      <c r="DG1110" s="25">
        <v>1.6</v>
      </c>
      <c r="DH1110" s="24">
        <v>62</v>
      </c>
      <c r="DI1110" s="25">
        <v>0.56000000000000005</v>
      </c>
      <c r="DJ1110" s="24">
        <v>38</v>
      </c>
      <c r="DK1110" s="25">
        <v>1.17</v>
      </c>
      <c r="DL1110" s="24">
        <v>53</v>
      </c>
      <c r="DM1110" s="25">
        <v>2.0299999999999998</v>
      </c>
      <c r="DN1110" s="24">
        <v>66</v>
      </c>
      <c r="DO1110" s="25">
        <v>0.86</v>
      </c>
      <c r="DP1110" s="24">
        <v>48</v>
      </c>
      <c r="DQ1110" s="24">
        <v>434</v>
      </c>
      <c r="DR1110" s="26">
        <v>-102</v>
      </c>
      <c r="DS1110" s="23">
        <v>-19.03</v>
      </c>
      <c r="DT1110" s="24">
        <v>64</v>
      </c>
      <c r="DU1110" s="26">
        <v>-4</v>
      </c>
      <c r="DV1110" s="23">
        <v>-5.88</v>
      </c>
      <c r="DW1110" s="24">
        <v>308</v>
      </c>
      <c r="DX1110" s="27">
        <v>0</v>
      </c>
      <c r="DY1110" s="23">
        <v>0</v>
      </c>
      <c r="DZ1110" s="15" t="s">
        <v>178</v>
      </c>
      <c r="EA1110" s="22">
        <v>43609</v>
      </c>
      <c r="EB1110" s="17">
        <v>355</v>
      </c>
      <c r="EC1110" s="22">
        <v>43350</v>
      </c>
      <c r="ED1110" s="15" t="s">
        <v>173</v>
      </c>
      <c r="EE1110" s="14" t="str">
        <f>HYPERLINK("https://my.pitchbook.com?c=52260-49", "View company online")</f>
        <v>View company online</v>
      </c>
    </row>
    <row r="1111" spans="1:135">
      <c r="A1111" s="28" t="s">
        <v>21641</v>
      </c>
      <c r="B1111" s="28" t="s">
        <v>21642</v>
      </c>
      <c r="C1111" s="28" t="s">
        <v>138</v>
      </c>
      <c r="D1111" s="28" t="s">
        <v>138</v>
      </c>
      <c r="E1111" s="28" t="s">
        <v>21643</v>
      </c>
      <c r="F1111" s="28" t="s">
        <v>21641</v>
      </c>
      <c r="G1111" s="28" t="s">
        <v>21644</v>
      </c>
      <c r="H1111" s="28" t="s">
        <v>890</v>
      </c>
      <c r="I1111" s="28" t="s">
        <v>891</v>
      </c>
      <c r="J1111" s="28" t="s">
        <v>891</v>
      </c>
      <c r="K1111" s="28" t="s">
        <v>892</v>
      </c>
      <c r="L1111" s="28" t="s">
        <v>5101</v>
      </c>
      <c r="M1111" s="28" t="s">
        <v>21645</v>
      </c>
      <c r="N1111" s="28" t="s">
        <v>147</v>
      </c>
      <c r="O1111" s="29">
        <v>989.48</v>
      </c>
      <c r="P1111" s="28" t="s">
        <v>148</v>
      </c>
      <c r="Q1111" s="28" t="s">
        <v>149</v>
      </c>
      <c r="R1111" s="28" t="s">
        <v>244</v>
      </c>
      <c r="S1111" s="28" t="s">
        <v>21646</v>
      </c>
      <c r="T1111" s="30">
        <v>400</v>
      </c>
      <c r="U1111" s="28" t="s">
        <v>21647</v>
      </c>
      <c r="V1111" s="28" t="s">
        <v>138</v>
      </c>
      <c r="W1111" s="28" t="s">
        <v>138</v>
      </c>
      <c r="X1111" s="31">
        <v>2008</v>
      </c>
      <c r="Y1111" s="28" t="s">
        <v>138</v>
      </c>
      <c r="Z1111" s="28" t="s">
        <v>138</v>
      </c>
      <c r="AA1111" s="28" t="s">
        <v>138</v>
      </c>
      <c r="AB1111" s="32">
        <v>200</v>
      </c>
      <c r="AC1111" s="32" t="s">
        <v>138</v>
      </c>
      <c r="AD1111" s="32" t="s">
        <v>138</v>
      </c>
      <c r="AE1111" s="32" t="s">
        <v>138</v>
      </c>
      <c r="AF1111" s="32" t="s">
        <v>138</v>
      </c>
      <c r="AG1111" s="28" t="s">
        <v>419</v>
      </c>
      <c r="AH1111" s="32" t="s">
        <v>138</v>
      </c>
      <c r="AI1111" s="32" t="s">
        <v>138</v>
      </c>
      <c r="AJ1111" s="32" t="s">
        <v>138</v>
      </c>
      <c r="AK1111" s="28" t="s">
        <v>21648</v>
      </c>
      <c r="AL1111" s="28" t="s">
        <v>21649</v>
      </c>
      <c r="AM1111" s="28" t="s">
        <v>304</v>
      </c>
      <c r="AN1111" s="28" t="s">
        <v>21650</v>
      </c>
      <c r="AO1111" s="28" t="s">
        <v>21651</v>
      </c>
      <c r="AP1111" s="28" t="s">
        <v>2880</v>
      </c>
      <c r="AQ1111" s="28" t="s">
        <v>21652</v>
      </c>
      <c r="AR1111" s="28" t="s">
        <v>21653</v>
      </c>
      <c r="AS1111" s="28" t="s">
        <v>2882</v>
      </c>
      <c r="AT1111" s="28" t="s">
        <v>2883</v>
      </c>
      <c r="AU1111" s="28" t="s">
        <v>5111</v>
      </c>
      <c r="AV1111" s="28" t="s">
        <v>162</v>
      </c>
      <c r="AW1111" s="28" t="s">
        <v>21654</v>
      </c>
      <c r="AX1111" s="28" t="s">
        <v>138</v>
      </c>
      <c r="AY1111" s="28" t="s">
        <v>21655</v>
      </c>
      <c r="AZ1111" s="28" t="s">
        <v>164</v>
      </c>
      <c r="BA1111" s="28" t="s">
        <v>165</v>
      </c>
      <c r="BB1111" s="28" t="s">
        <v>21656</v>
      </c>
      <c r="BC1111" s="28" t="s">
        <v>21657</v>
      </c>
      <c r="BD1111" s="33">
        <v>29</v>
      </c>
      <c r="BE1111" s="28" t="s">
        <v>138</v>
      </c>
      <c r="BF1111" s="28" t="s">
        <v>21658</v>
      </c>
      <c r="BG1111" s="28" t="s">
        <v>138</v>
      </c>
      <c r="BH1111" s="28" t="s">
        <v>21659</v>
      </c>
      <c r="BI1111" s="28" t="s">
        <v>138</v>
      </c>
      <c r="BJ1111" s="28" t="s">
        <v>138</v>
      </c>
      <c r="BK1111" s="28" t="s">
        <v>21660</v>
      </c>
      <c r="BL1111" s="28" t="s">
        <v>21661</v>
      </c>
      <c r="BM1111" s="34">
        <v>40161</v>
      </c>
      <c r="BN1111" s="29">
        <v>0.68</v>
      </c>
      <c r="BO1111" s="28" t="s">
        <v>172</v>
      </c>
      <c r="BP1111" s="29" t="s">
        <v>138</v>
      </c>
      <c r="BQ1111" s="28" t="s">
        <v>138</v>
      </c>
      <c r="BR1111" s="28" t="s">
        <v>205</v>
      </c>
      <c r="BS1111" s="28" t="s">
        <v>138</v>
      </c>
      <c r="BT1111" s="28" t="s">
        <v>138</v>
      </c>
      <c r="BU1111" s="28" t="s">
        <v>174</v>
      </c>
      <c r="BV1111" s="28" t="s">
        <v>138</v>
      </c>
      <c r="BW1111" s="28" t="s">
        <v>138</v>
      </c>
      <c r="BX1111" s="28" t="s">
        <v>138</v>
      </c>
      <c r="BY1111" s="28" t="s">
        <v>175</v>
      </c>
      <c r="BZ1111" s="34">
        <v>43563</v>
      </c>
      <c r="CA1111" s="29">
        <v>700</v>
      </c>
      <c r="CB1111" s="28" t="s">
        <v>172</v>
      </c>
      <c r="CC1111" s="29" t="s">
        <v>138</v>
      </c>
      <c r="CD1111" s="28" t="s">
        <v>138</v>
      </c>
      <c r="CE1111" s="28" t="s">
        <v>5280</v>
      </c>
      <c r="CF1111" s="28" t="s">
        <v>138</v>
      </c>
      <c r="CG1111" s="28" t="s">
        <v>138</v>
      </c>
      <c r="CH1111" s="28" t="s">
        <v>1327</v>
      </c>
      <c r="CI1111" s="28" t="s">
        <v>1328</v>
      </c>
      <c r="CJ1111" s="28" t="s">
        <v>138</v>
      </c>
      <c r="CK1111" s="28" t="s">
        <v>138</v>
      </c>
      <c r="CL1111" s="28" t="s">
        <v>175</v>
      </c>
      <c r="CM1111" s="34">
        <v>43563</v>
      </c>
      <c r="CN1111" s="29">
        <v>700</v>
      </c>
      <c r="CO1111" s="35">
        <v>0.43</v>
      </c>
      <c r="CP1111" s="36">
        <v>95</v>
      </c>
      <c r="CQ1111" s="35">
        <v>0</v>
      </c>
      <c r="CR1111" s="35">
        <v>0.6</v>
      </c>
      <c r="CS1111" s="35">
        <v>0.39</v>
      </c>
      <c r="CT1111" s="36">
        <v>95</v>
      </c>
      <c r="CU1111" s="35">
        <v>0.03</v>
      </c>
      <c r="CV1111" s="36">
        <v>54</v>
      </c>
      <c r="CW1111" s="35">
        <v>2.2599999999999998</v>
      </c>
      <c r="CX1111" s="36">
        <v>89</v>
      </c>
      <c r="CY1111" s="35">
        <v>-1.49</v>
      </c>
      <c r="CZ1111" s="36">
        <v>15</v>
      </c>
      <c r="DA1111" s="35">
        <v>0.08</v>
      </c>
      <c r="DB1111" s="36">
        <v>69</v>
      </c>
      <c r="DC1111" s="37">
        <v>134.08000000000001</v>
      </c>
      <c r="DD1111" s="36">
        <v>99</v>
      </c>
      <c r="DE1111" s="37">
        <v>-3.2</v>
      </c>
      <c r="DF1111" s="35">
        <v>-2.33</v>
      </c>
      <c r="DG1111" s="37">
        <v>200.73</v>
      </c>
      <c r="DH1111" s="36">
        <v>100</v>
      </c>
      <c r="DI1111" s="37">
        <v>96.33</v>
      </c>
      <c r="DJ1111" s="36">
        <v>97</v>
      </c>
      <c r="DK1111" s="37">
        <v>238.01</v>
      </c>
      <c r="DL1111" s="36">
        <v>99</v>
      </c>
      <c r="DM1111" s="37">
        <v>163.44999999999999</v>
      </c>
      <c r="DN1111" s="36">
        <v>100</v>
      </c>
      <c r="DO1111" s="37">
        <v>64.709999999999994</v>
      </c>
      <c r="DP1111" s="36">
        <v>97</v>
      </c>
      <c r="DQ1111" s="36">
        <v>80360</v>
      </c>
      <c r="DR1111" s="38">
        <v>3832</v>
      </c>
      <c r="DS1111" s="35">
        <v>5.01</v>
      </c>
      <c r="DT1111" s="36">
        <v>4733</v>
      </c>
      <c r="DU1111" s="38">
        <v>16</v>
      </c>
      <c r="DV1111" s="35">
        <v>0.34</v>
      </c>
      <c r="DW1111" s="36">
        <v>23154</v>
      </c>
      <c r="DX1111" s="39">
        <v>21</v>
      </c>
      <c r="DY1111" s="35">
        <v>0.09</v>
      </c>
      <c r="DZ1111" s="28" t="s">
        <v>178</v>
      </c>
      <c r="EA1111" s="34">
        <v>43622</v>
      </c>
      <c r="EB1111" s="29">
        <v>1175</v>
      </c>
      <c r="EC1111" s="34">
        <v>42950</v>
      </c>
      <c r="ED1111" s="28" t="s">
        <v>173</v>
      </c>
      <c r="EE1111" s="40" t="str">
        <f>HYPERLINK("https://my.pitchbook.com?c=51481-09", "View company online")</f>
        <v>View company online</v>
      </c>
    </row>
    <row r="1112" spans="1:135">
      <c r="A1112" s="15" t="s">
        <v>21662</v>
      </c>
      <c r="B1112" s="15" t="s">
        <v>21663</v>
      </c>
      <c r="C1112" s="15" t="s">
        <v>21664</v>
      </c>
      <c r="D1112" s="15" t="s">
        <v>138</v>
      </c>
      <c r="E1112" s="15" t="s">
        <v>21665</v>
      </c>
      <c r="F1112" s="15" t="s">
        <v>21662</v>
      </c>
      <c r="G1112" s="15" t="s">
        <v>21666</v>
      </c>
      <c r="H1112" s="15" t="s">
        <v>183</v>
      </c>
      <c r="I1112" s="15" t="s">
        <v>725</v>
      </c>
      <c r="J1112" s="15" t="s">
        <v>21667</v>
      </c>
      <c r="K1112" s="15" t="s">
        <v>21668</v>
      </c>
      <c r="L1112" s="15" t="s">
        <v>21669</v>
      </c>
      <c r="M1112" s="15" t="s">
        <v>21670</v>
      </c>
      <c r="N1112" s="15" t="s">
        <v>147</v>
      </c>
      <c r="O1112" s="17">
        <v>44</v>
      </c>
      <c r="P1112" s="15" t="s">
        <v>148</v>
      </c>
      <c r="Q1112" s="15" t="s">
        <v>149</v>
      </c>
      <c r="R1112" s="15" t="s">
        <v>174</v>
      </c>
      <c r="S1112" s="15" t="s">
        <v>21671</v>
      </c>
      <c r="T1112" s="18">
        <v>40</v>
      </c>
      <c r="U1112" s="15" t="s">
        <v>21672</v>
      </c>
      <c r="V1112" s="15" t="s">
        <v>138</v>
      </c>
      <c r="W1112" s="15" t="s">
        <v>138</v>
      </c>
      <c r="X1112" s="19">
        <v>2016</v>
      </c>
      <c r="Y1112" s="15" t="s">
        <v>138</v>
      </c>
      <c r="Z1112" s="15" t="s">
        <v>138</v>
      </c>
      <c r="AA1112" s="15" t="s">
        <v>138</v>
      </c>
      <c r="AB1112" s="20" t="s">
        <v>138</v>
      </c>
      <c r="AC1112" s="20" t="s">
        <v>138</v>
      </c>
      <c r="AD1112" s="20" t="s">
        <v>138</v>
      </c>
      <c r="AE1112" s="20" t="s">
        <v>138</v>
      </c>
      <c r="AF1112" s="20" t="s">
        <v>138</v>
      </c>
      <c r="AG1112" s="15" t="s">
        <v>138</v>
      </c>
      <c r="AH1112" s="20" t="s">
        <v>138</v>
      </c>
      <c r="AI1112" s="20" t="s">
        <v>138</v>
      </c>
      <c r="AJ1112" s="20" t="s">
        <v>138</v>
      </c>
      <c r="AK1112" s="15" t="s">
        <v>21673</v>
      </c>
      <c r="AL1112" s="15" t="s">
        <v>21674</v>
      </c>
      <c r="AM1112" s="15" t="s">
        <v>2794</v>
      </c>
      <c r="AN1112" s="15" t="s">
        <v>21675</v>
      </c>
      <c r="AO1112" s="15" t="s">
        <v>21676</v>
      </c>
      <c r="AP1112" s="15" t="s">
        <v>423</v>
      </c>
      <c r="AQ1112" s="15" t="s">
        <v>21677</v>
      </c>
      <c r="AR1112" s="15" t="s">
        <v>5490</v>
      </c>
      <c r="AS1112" s="15" t="s">
        <v>426</v>
      </c>
      <c r="AT1112" s="15" t="s">
        <v>426</v>
      </c>
      <c r="AU1112" s="15" t="s">
        <v>1074</v>
      </c>
      <c r="AV1112" s="15" t="s">
        <v>162</v>
      </c>
      <c r="AW1112" s="15" t="s">
        <v>21676</v>
      </c>
      <c r="AX1112" s="15" t="s">
        <v>138</v>
      </c>
      <c r="AY1112" s="15" t="s">
        <v>138</v>
      </c>
      <c r="AZ1112" s="15" t="s">
        <v>164</v>
      </c>
      <c r="BA1112" s="15" t="s">
        <v>165</v>
      </c>
      <c r="BB1112" s="15" t="s">
        <v>21678</v>
      </c>
      <c r="BC1112" s="15" t="s">
        <v>21679</v>
      </c>
      <c r="BD1112" s="21">
        <v>10</v>
      </c>
      <c r="BE1112" s="15" t="s">
        <v>138</v>
      </c>
      <c r="BF1112" s="15" t="s">
        <v>138</v>
      </c>
      <c r="BG1112" s="15" t="s">
        <v>138</v>
      </c>
      <c r="BH1112" s="15" t="s">
        <v>21680</v>
      </c>
      <c r="BI1112" s="15" t="s">
        <v>138</v>
      </c>
      <c r="BJ1112" s="15" t="s">
        <v>138</v>
      </c>
      <c r="BK1112" s="15" t="s">
        <v>138</v>
      </c>
      <c r="BL1112" s="15" t="s">
        <v>3482</v>
      </c>
      <c r="BM1112" s="22">
        <v>42690</v>
      </c>
      <c r="BN1112" s="17">
        <v>3.3</v>
      </c>
      <c r="BO1112" s="15" t="s">
        <v>172</v>
      </c>
      <c r="BP1112" s="17">
        <v>8.25</v>
      </c>
      <c r="BQ1112" s="15" t="s">
        <v>172</v>
      </c>
      <c r="BR1112" s="15" t="s">
        <v>234</v>
      </c>
      <c r="BS1112" s="15" t="s">
        <v>234</v>
      </c>
      <c r="BT1112" s="15" t="s">
        <v>138</v>
      </c>
      <c r="BU1112" s="15" t="s">
        <v>174</v>
      </c>
      <c r="BV1112" s="15" t="s">
        <v>138</v>
      </c>
      <c r="BW1112" s="15" t="s">
        <v>138</v>
      </c>
      <c r="BX1112" s="15" t="s">
        <v>138</v>
      </c>
      <c r="BY1112" s="15" t="s">
        <v>175</v>
      </c>
      <c r="BZ1112" s="22">
        <v>43451</v>
      </c>
      <c r="CA1112" s="17">
        <v>25</v>
      </c>
      <c r="CB1112" s="15" t="s">
        <v>172</v>
      </c>
      <c r="CC1112" s="17">
        <v>125</v>
      </c>
      <c r="CD1112" s="15" t="s">
        <v>172</v>
      </c>
      <c r="CE1112" s="15" t="s">
        <v>205</v>
      </c>
      <c r="CF1112" s="15" t="s">
        <v>720</v>
      </c>
      <c r="CG1112" s="15" t="s">
        <v>138</v>
      </c>
      <c r="CH1112" s="15" t="s">
        <v>174</v>
      </c>
      <c r="CI1112" s="15" t="s">
        <v>138</v>
      </c>
      <c r="CJ1112" s="15" t="s">
        <v>138</v>
      </c>
      <c r="CK1112" s="15" t="s">
        <v>138</v>
      </c>
      <c r="CL1112" s="15" t="s">
        <v>175</v>
      </c>
      <c r="CM1112" s="22" t="s">
        <v>138</v>
      </c>
      <c r="CN1112" s="17" t="s">
        <v>138</v>
      </c>
      <c r="CO1112" s="23">
        <v>6.47</v>
      </c>
      <c r="CP1112" s="24">
        <v>100</v>
      </c>
      <c r="CQ1112" s="23">
        <v>-0.17</v>
      </c>
      <c r="CR1112" s="23">
        <v>-2.5299999999999998</v>
      </c>
      <c r="CS1112" s="23">
        <v>12.22</v>
      </c>
      <c r="CT1112" s="24">
        <v>100</v>
      </c>
      <c r="CU1112" s="23">
        <v>1.38</v>
      </c>
      <c r="CV1112" s="24">
        <v>99</v>
      </c>
      <c r="CW1112" s="23">
        <v>12.22</v>
      </c>
      <c r="CX1112" s="24">
        <v>100</v>
      </c>
      <c r="CY1112" s="23" t="s">
        <v>138</v>
      </c>
      <c r="CZ1112" s="24" t="s">
        <v>138</v>
      </c>
      <c r="DA1112" s="23">
        <v>1.47</v>
      </c>
      <c r="DB1112" s="24">
        <v>99</v>
      </c>
      <c r="DC1112" s="25">
        <v>24.18</v>
      </c>
      <c r="DD1112" s="24">
        <v>96</v>
      </c>
      <c r="DE1112" s="25">
        <v>0.87</v>
      </c>
      <c r="DF1112" s="23">
        <v>3.72</v>
      </c>
      <c r="DG1112" s="25">
        <v>10.65</v>
      </c>
      <c r="DH1112" s="24">
        <v>90</v>
      </c>
      <c r="DI1112" s="25">
        <v>3</v>
      </c>
      <c r="DJ1112" s="24">
        <v>70</v>
      </c>
      <c r="DK1112" s="25">
        <v>10.65</v>
      </c>
      <c r="DL1112" s="24">
        <v>87</v>
      </c>
      <c r="DM1112" s="25" t="s">
        <v>138</v>
      </c>
      <c r="DN1112" s="24" t="s">
        <v>138</v>
      </c>
      <c r="DO1112" s="25">
        <v>0.7</v>
      </c>
      <c r="DP1112" s="24">
        <v>44</v>
      </c>
      <c r="DQ1112" s="24">
        <v>3586</v>
      </c>
      <c r="DR1112" s="26">
        <v>200</v>
      </c>
      <c r="DS1112" s="23">
        <v>5.91</v>
      </c>
      <c r="DT1112" s="24" t="s">
        <v>138</v>
      </c>
      <c r="DU1112" s="26" t="s">
        <v>138</v>
      </c>
      <c r="DV1112" s="23" t="s">
        <v>138</v>
      </c>
      <c r="DW1112" s="24">
        <v>247</v>
      </c>
      <c r="DX1112" s="27">
        <v>4</v>
      </c>
      <c r="DY1112" s="23">
        <v>1.65</v>
      </c>
      <c r="DZ1112" s="15" t="s">
        <v>178</v>
      </c>
      <c r="EA1112" s="22">
        <v>43482</v>
      </c>
      <c r="EB1112" s="17">
        <v>125</v>
      </c>
      <c r="EC1112" s="22">
        <v>43451</v>
      </c>
      <c r="ED1112" s="15" t="s">
        <v>205</v>
      </c>
      <c r="EE1112" s="14" t="str">
        <f>HYPERLINK("https://my.pitchbook.com?c=168227-92", "View company online")</f>
        <v>View company online</v>
      </c>
    </row>
    <row r="1113" spans="1:135">
      <c r="A1113" s="28" t="s">
        <v>21681</v>
      </c>
      <c r="B1113" s="28" t="s">
        <v>21682</v>
      </c>
      <c r="C1113" s="28" t="s">
        <v>138</v>
      </c>
      <c r="D1113" s="28" t="s">
        <v>138</v>
      </c>
      <c r="E1113" s="28" t="s">
        <v>21683</v>
      </c>
      <c r="F1113" s="28" t="s">
        <v>21681</v>
      </c>
      <c r="G1113" s="28" t="s">
        <v>21684</v>
      </c>
      <c r="H1113" s="28" t="s">
        <v>322</v>
      </c>
      <c r="I1113" s="28" t="s">
        <v>323</v>
      </c>
      <c r="J1113" s="28" t="s">
        <v>413</v>
      </c>
      <c r="K1113" s="28" t="s">
        <v>21685</v>
      </c>
      <c r="L1113" s="28" t="s">
        <v>1134</v>
      </c>
      <c r="M1113" s="28" t="s">
        <v>21686</v>
      </c>
      <c r="N1113" s="28" t="s">
        <v>147</v>
      </c>
      <c r="O1113" s="29">
        <v>55.96</v>
      </c>
      <c r="P1113" s="28" t="s">
        <v>148</v>
      </c>
      <c r="Q1113" s="28" t="s">
        <v>149</v>
      </c>
      <c r="R1113" s="28" t="s">
        <v>244</v>
      </c>
      <c r="S1113" s="28" t="s">
        <v>21687</v>
      </c>
      <c r="T1113" s="30">
        <v>50</v>
      </c>
      <c r="U1113" s="28" t="s">
        <v>21688</v>
      </c>
      <c r="V1113" s="28" t="s">
        <v>138</v>
      </c>
      <c r="W1113" s="28" t="s">
        <v>138</v>
      </c>
      <c r="X1113" s="31">
        <v>2014</v>
      </c>
      <c r="Y1113" s="28" t="s">
        <v>138</v>
      </c>
      <c r="Z1113" s="28" t="s">
        <v>138</v>
      </c>
      <c r="AA1113" s="28" t="s">
        <v>138</v>
      </c>
      <c r="AB1113" s="32" t="s">
        <v>138</v>
      </c>
      <c r="AC1113" s="32" t="s">
        <v>138</v>
      </c>
      <c r="AD1113" s="32" t="s">
        <v>138</v>
      </c>
      <c r="AE1113" s="32" t="s">
        <v>138</v>
      </c>
      <c r="AF1113" s="32" t="s">
        <v>138</v>
      </c>
      <c r="AG1113" s="28" t="s">
        <v>138</v>
      </c>
      <c r="AH1113" s="32" t="s">
        <v>138</v>
      </c>
      <c r="AI1113" s="32" t="s">
        <v>138</v>
      </c>
      <c r="AJ1113" s="32" t="s">
        <v>138</v>
      </c>
      <c r="AK1113" s="28" t="s">
        <v>21689</v>
      </c>
      <c r="AL1113" s="28" t="s">
        <v>21690</v>
      </c>
      <c r="AM1113" s="28" t="s">
        <v>221</v>
      </c>
      <c r="AN1113" s="28" t="s">
        <v>21691</v>
      </c>
      <c r="AO1113" s="28" t="s">
        <v>21692</v>
      </c>
      <c r="AP1113" s="28" t="s">
        <v>665</v>
      </c>
      <c r="AQ1113" s="28" t="s">
        <v>21693</v>
      </c>
      <c r="AR1113" s="28" t="s">
        <v>6688</v>
      </c>
      <c r="AS1113" s="28" t="s">
        <v>668</v>
      </c>
      <c r="AT1113" s="28" t="s">
        <v>200</v>
      </c>
      <c r="AU1113" s="28" t="s">
        <v>2052</v>
      </c>
      <c r="AV1113" s="28" t="s">
        <v>162</v>
      </c>
      <c r="AW1113" s="28" t="s">
        <v>21692</v>
      </c>
      <c r="AX1113" s="28" t="s">
        <v>138</v>
      </c>
      <c r="AY1113" s="28" t="s">
        <v>21694</v>
      </c>
      <c r="AZ1113" s="28" t="s">
        <v>164</v>
      </c>
      <c r="BA1113" s="28" t="s">
        <v>165</v>
      </c>
      <c r="BB1113" s="28" t="s">
        <v>21695</v>
      </c>
      <c r="BC1113" s="28" t="s">
        <v>21696</v>
      </c>
      <c r="BD1113" s="33">
        <v>16</v>
      </c>
      <c r="BE1113" s="28" t="s">
        <v>138</v>
      </c>
      <c r="BF1113" s="28" t="s">
        <v>138</v>
      </c>
      <c r="BG1113" s="28" t="s">
        <v>138</v>
      </c>
      <c r="BH1113" s="28" t="s">
        <v>21697</v>
      </c>
      <c r="BI1113" s="28" t="s">
        <v>138</v>
      </c>
      <c r="BJ1113" s="28" t="s">
        <v>138</v>
      </c>
      <c r="BK1113" s="28" t="s">
        <v>21698</v>
      </c>
      <c r="BL1113" s="28" t="s">
        <v>11847</v>
      </c>
      <c r="BM1113" s="34">
        <v>42508</v>
      </c>
      <c r="BN1113" s="29">
        <v>10.68</v>
      </c>
      <c r="BO1113" s="28" t="s">
        <v>172</v>
      </c>
      <c r="BP1113" s="29">
        <v>29.5</v>
      </c>
      <c r="BQ1113" s="28" t="s">
        <v>172</v>
      </c>
      <c r="BR1113" s="28" t="s">
        <v>205</v>
      </c>
      <c r="BS1113" s="28" t="s">
        <v>206</v>
      </c>
      <c r="BT1113" s="28" t="s">
        <v>138</v>
      </c>
      <c r="BU1113" s="28" t="s">
        <v>174</v>
      </c>
      <c r="BV1113" s="28" t="s">
        <v>138</v>
      </c>
      <c r="BW1113" s="28" t="s">
        <v>138</v>
      </c>
      <c r="BX1113" s="28" t="s">
        <v>138</v>
      </c>
      <c r="BY1113" s="28" t="s">
        <v>175</v>
      </c>
      <c r="BZ1113" s="34">
        <v>43123</v>
      </c>
      <c r="CA1113" s="29" t="s">
        <v>138</v>
      </c>
      <c r="CB1113" s="28" t="s">
        <v>138</v>
      </c>
      <c r="CC1113" s="29" t="s">
        <v>138</v>
      </c>
      <c r="CD1113" s="28" t="s">
        <v>138</v>
      </c>
      <c r="CE1113" s="28" t="s">
        <v>205</v>
      </c>
      <c r="CF1113" s="28" t="s">
        <v>138</v>
      </c>
      <c r="CG1113" s="28" t="s">
        <v>138</v>
      </c>
      <c r="CH1113" s="28" t="s">
        <v>174</v>
      </c>
      <c r="CI1113" s="28" t="s">
        <v>138</v>
      </c>
      <c r="CJ1113" s="28" t="s">
        <v>138</v>
      </c>
      <c r="CK1113" s="28" t="s">
        <v>138</v>
      </c>
      <c r="CL1113" s="28" t="s">
        <v>175</v>
      </c>
      <c r="CM1113" s="34" t="s">
        <v>138</v>
      </c>
      <c r="CN1113" s="29" t="s">
        <v>138</v>
      </c>
      <c r="CO1113" s="35">
        <v>-0.48</v>
      </c>
      <c r="CP1113" s="36">
        <v>16</v>
      </c>
      <c r="CQ1113" s="35">
        <v>-0.02</v>
      </c>
      <c r="CR1113" s="35">
        <v>-3.58</v>
      </c>
      <c r="CS1113" s="35">
        <v>-1.47</v>
      </c>
      <c r="CT1113" s="36">
        <v>12</v>
      </c>
      <c r="CU1113" s="35">
        <v>0.5</v>
      </c>
      <c r="CV1113" s="36">
        <v>93</v>
      </c>
      <c r="CW1113" s="35">
        <v>-2.94</v>
      </c>
      <c r="CX1113" s="36">
        <v>5</v>
      </c>
      <c r="CY1113" s="35">
        <v>0</v>
      </c>
      <c r="CZ1113" s="36">
        <v>25</v>
      </c>
      <c r="DA1113" s="35">
        <v>0.5</v>
      </c>
      <c r="DB1113" s="36">
        <v>94</v>
      </c>
      <c r="DC1113" s="37">
        <v>2.69</v>
      </c>
      <c r="DD1113" s="36">
        <v>73</v>
      </c>
      <c r="DE1113" s="37">
        <v>-0.11</v>
      </c>
      <c r="DF1113" s="35">
        <v>-3.76</v>
      </c>
      <c r="DG1113" s="37">
        <v>2.95</v>
      </c>
      <c r="DH1113" s="36">
        <v>74</v>
      </c>
      <c r="DI1113" s="37">
        <v>2.4300000000000002</v>
      </c>
      <c r="DJ1113" s="36">
        <v>66</v>
      </c>
      <c r="DK1113" s="37">
        <v>3.53</v>
      </c>
      <c r="DL1113" s="36">
        <v>74</v>
      </c>
      <c r="DM1113" s="37">
        <v>2.38</v>
      </c>
      <c r="DN1113" s="36">
        <v>69</v>
      </c>
      <c r="DO1113" s="37">
        <v>2.4300000000000002</v>
      </c>
      <c r="DP1113" s="36">
        <v>67</v>
      </c>
      <c r="DQ1113" s="36">
        <v>1174</v>
      </c>
      <c r="DR1113" s="38">
        <v>110</v>
      </c>
      <c r="DS1113" s="35">
        <v>10.34</v>
      </c>
      <c r="DT1113" s="36">
        <v>69</v>
      </c>
      <c r="DU1113" s="38">
        <v>0</v>
      </c>
      <c r="DV1113" s="35">
        <v>0</v>
      </c>
      <c r="DW1113" s="36">
        <v>867</v>
      </c>
      <c r="DX1113" s="39">
        <v>5</v>
      </c>
      <c r="DY1113" s="35">
        <v>0.57999999999999996</v>
      </c>
      <c r="DZ1113" s="28" t="s">
        <v>178</v>
      </c>
      <c r="EA1113" s="34">
        <v>43621</v>
      </c>
      <c r="EB1113" s="29">
        <v>170</v>
      </c>
      <c r="EC1113" s="34">
        <v>42943</v>
      </c>
      <c r="ED1113" s="28" t="s">
        <v>205</v>
      </c>
      <c r="EE1113" s="40" t="str">
        <f>HYPERLINK("https://my.pitchbook.com?c=117083-26", "View company online")</f>
        <v>View company online</v>
      </c>
    </row>
    <row r="1114" spans="1:135">
      <c r="A1114" s="15" t="s">
        <v>21699</v>
      </c>
      <c r="B1114" s="15" t="s">
        <v>21700</v>
      </c>
      <c r="C1114" s="15" t="s">
        <v>21701</v>
      </c>
      <c r="D1114" s="15" t="s">
        <v>138</v>
      </c>
      <c r="E1114" s="15" t="s">
        <v>21702</v>
      </c>
      <c r="F1114" s="15" t="s">
        <v>21699</v>
      </c>
      <c r="G1114" s="15" t="s">
        <v>21703</v>
      </c>
      <c r="H1114" s="15" t="s">
        <v>322</v>
      </c>
      <c r="I1114" s="15" t="s">
        <v>323</v>
      </c>
      <c r="J1114" s="15" t="s">
        <v>413</v>
      </c>
      <c r="K1114" s="15" t="s">
        <v>3831</v>
      </c>
      <c r="L1114" s="15" t="s">
        <v>2274</v>
      </c>
      <c r="M1114" s="15" t="s">
        <v>21704</v>
      </c>
      <c r="N1114" s="15" t="s">
        <v>147</v>
      </c>
      <c r="O1114" s="17">
        <v>10.75</v>
      </c>
      <c r="P1114" s="15" t="s">
        <v>148</v>
      </c>
      <c r="Q1114" s="15" t="s">
        <v>149</v>
      </c>
      <c r="R1114" s="15" t="s">
        <v>244</v>
      </c>
      <c r="S1114" s="15" t="s">
        <v>21705</v>
      </c>
      <c r="T1114" s="18">
        <v>45</v>
      </c>
      <c r="U1114" s="15" t="s">
        <v>21706</v>
      </c>
      <c r="V1114" s="15" t="s">
        <v>138</v>
      </c>
      <c r="W1114" s="15" t="s">
        <v>138</v>
      </c>
      <c r="X1114" s="19">
        <v>2006</v>
      </c>
      <c r="Y1114" s="15" t="s">
        <v>138</v>
      </c>
      <c r="Z1114" s="15" t="s">
        <v>138</v>
      </c>
      <c r="AA1114" s="15" t="s">
        <v>138</v>
      </c>
      <c r="AB1114" s="20" t="s">
        <v>138</v>
      </c>
      <c r="AC1114" s="20" t="s">
        <v>138</v>
      </c>
      <c r="AD1114" s="20" t="s">
        <v>138</v>
      </c>
      <c r="AE1114" s="20" t="s">
        <v>138</v>
      </c>
      <c r="AF1114" s="20" t="s">
        <v>138</v>
      </c>
      <c r="AG1114" s="15" t="s">
        <v>563</v>
      </c>
      <c r="AH1114" s="20" t="s">
        <v>138</v>
      </c>
      <c r="AI1114" s="20" t="s">
        <v>138</v>
      </c>
      <c r="AJ1114" s="20" t="s">
        <v>138</v>
      </c>
      <c r="AK1114" s="15" t="s">
        <v>21707</v>
      </c>
      <c r="AL1114" s="15" t="s">
        <v>21708</v>
      </c>
      <c r="AM1114" s="15" t="s">
        <v>4192</v>
      </c>
      <c r="AN1114" s="15" t="s">
        <v>21709</v>
      </c>
      <c r="AO1114" s="15" t="s">
        <v>21710</v>
      </c>
      <c r="AP1114" s="15" t="s">
        <v>820</v>
      </c>
      <c r="AQ1114" s="15" t="s">
        <v>21711</v>
      </c>
      <c r="AR1114" s="15" t="s">
        <v>21712</v>
      </c>
      <c r="AS1114" s="15" t="s">
        <v>823</v>
      </c>
      <c r="AT1114" s="15" t="s">
        <v>824</v>
      </c>
      <c r="AU1114" s="15" t="s">
        <v>21713</v>
      </c>
      <c r="AV1114" s="15" t="s">
        <v>526</v>
      </c>
      <c r="AW1114" s="15" t="s">
        <v>21710</v>
      </c>
      <c r="AX1114" s="15" t="s">
        <v>138</v>
      </c>
      <c r="AY1114" s="15" t="s">
        <v>21714</v>
      </c>
      <c r="AZ1114" s="15" t="s">
        <v>530</v>
      </c>
      <c r="BA1114" s="15" t="s">
        <v>531</v>
      </c>
      <c r="BB1114" s="15" t="s">
        <v>21715</v>
      </c>
      <c r="BC1114" s="15" t="s">
        <v>21716</v>
      </c>
      <c r="BD1114" s="21">
        <v>6</v>
      </c>
      <c r="BE1114" s="15" t="s">
        <v>138</v>
      </c>
      <c r="BF1114" s="15" t="s">
        <v>138</v>
      </c>
      <c r="BG1114" s="15" t="s">
        <v>138</v>
      </c>
      <c r="BH1114" s="15" t="s">
        <v>21717</v>
      </c>
      <c r="BI1114" s="15" t="s">
        <v>138</v>
      </c>
      <c r="BJ1114" s="15" t="s">
        <v>138</v>
      </c>
      <c r="BK1114" s="15" t="s">
        <v>21718</v>
      </c>
      <c r="BL1114" s="15" t="s">
        <v>14233</v>
      </c>
      <c r="BM1114" s="22">
        <v>40738</v>
      </c>
      <c r="BN1114" s="17">
        <v>0.4</v>
      </c>
      <c r="BO1114" s="15" t="s">
        <v>172</v>
      </c>
      <c r="BP1114" s="17">
        <v>2.97</v>
      </c>
      <c r="BQ1114" s="15" t="s">
        <v>172</v>
      </c>
      <c r="BR1114" s="15" t="s">
        <v>205</v>
      </c>
      <c r="BS1114" s="15" t="s">
        <v>138</v>
      </c>
      <c r="BT1114" s="15" t="s">
        <v>138</v>
      </c>
      <c r="BU1114" s="15" t="s">
        <v>174</v>
      </c>
      <c r="BV1114" s="15" t="s">
        <v>138</v>
      </c>
      <c r="BW1114" s="15" t="s">
        <v>138</v>
      </c>
      <c r="BX1114" s="15" t="s">
        <v>138</v>
      </c>
      <c r="BY1114" s="15" t="s">
        <v>175</v>
      </c>
      <c r="BZ1114" s="22">
        <v>43068</v>
      </c>
      <c r="CA1114" s="17">
        <v>3.61</v>
      </c>
      <c r="CB1114" s="15" t="s">
        <v>172</v>
      </c>
      <c r="CC1114" s="17">
        <v>39.979999999999997</v>
      </c>
      <c r="CD1114" s="15" t="s">
        <v>172</v>
      </c>
      <c r="CE1114" s="15" t="s">
        <v>262</v>
      </c>
      <c r="CF1114" s="15" t="s">
        <v>262</v>
      </c>
      <c r="CG1114" s="15" t="s">
        <v>138</v>
      </c>
      <c r="CH1114" s="15" t="s">
        <v>263</v>
      </c>
      <c r="CI1114" s="15" t="s">
        <v>138</v>
      </c>
      <c r="CJ1114" s="15" t="s">
        <v>138</v>
      </c>
      <c r="CK1114" s="15" t="s">
        <v>138</v>
      </c>
      <c r="CL1114" s="15" t="s">
        <v>175</v>
      </c>
      <c r="CM1114" s="22" t="s">
        <v>138</v>
      </c>
      <c r="CN1114" s="17" t="s">
        <v>138</v>
      </c>
      <c r="CO1114" s="23">
        <v>0.12</v>
      </c>
      <c r="CP1114" s="24">
        <v>91</v>
      </c>
      <c r="CQ1114" s="23">
        <v>-0.12</v>
      </c>
      <c r="CR1114" s="23">
        <v>-50.96</v>
      </c>
      <c r="CS1114" s="23">
        <v>-0.38</v>
      </c>
      <c r="CT1114" s="24">
        <v>20</v>
      </c>
      <c r="CU1114" s="23">
        <v>7.0000000000000007E-2</v>
      </c>
      <c r="CV1114" s="24">
        <v>62</v>
      </c>
      <c r="CW1114" s="23">
        <v>0.53</v>
      </c>
      <c r="CX1114" s="24">
        <v>83</v>
      </c>
      <c r="CY1114" s="23">
        <v>-1.28</v>
      </c>
      <c r="CZ1114" s="24">
        <v>17</v>
      </c>
      <c r="DA1114" s="23">
        <v>7.0000000000000007E-2</v>
      </c>
      <c r="DB1114" s="24">
        <v>67</v>
      </c>
      <c r="DC1114" s="25">
        <v>37.9</v>
      </c>
      <c r="DD1114" s="24">
        <v>97</v>
      </c>
      <c r="DE1114" s="25">
        <v>2.16</v>
      </c>
      <c r="DF1114" s="23">
        <v>6.03</v>
      </c>
      <c r="DG1114" s="25">
        <v>93.09</v>
      </c>
      <c r="DH1114" s="24">
        <v>99</v>
      </c>
      <c r="DI1114" s="25">
        <v>19.989999999999998</v>
      </c>
      <c r="DJ1114" s="24">
        <v>91</v>
      </c>
      <c r="DK1114" s="25">
        <v>57.01</v>
      </c>
      <c r="DL1114" s="24">
        <v>96</v>
      </c>
      <c r="DM1114" s="25">
        <v>129.16999999999999</v>
      </c>
      <c r="DN1114" s="24">
        <v>100</v>
      </c>
      <c r="DO1114" s="25">
        <v>19.989999999999998</v>
      </c>
      <c r="DP1114" s="24">
        <v>92</v>
      </c>
      <c r="DQ1114" s="24">
        <v>19410</v>
      </c>
      <c r="DR1114" s="26">
        <v>435</v>
      </c>
      <c r="DS1114" s="23">
        <v>2.29</v>
      </c>
      <c r="DT1114" s="24">
        <v>3504</v>
      </c>
      <c r="DU1114" s="26">
        <v>389</v>
      </c>
      <c r="DV1114" s="23">
        <v>12.49</v>
      </c>
      <c r="DW1114" s="24">
        <v>7155</v>
      </c>
      <c r="DX1114" s="27">
        <v>4</v>
      </c>
      <c r="DY1114" s="23">
        <v>0.06</v>
      </c>
      <c r="DZ1114" s="15" t="s">
        <v>178</v>
      </c>
      <c r="EA1114" s="22">
        <v>43448</v>
      </c>
      <c r="EB1114" s="17">
        <v>39.979999999999997</v>
      </c>
      <c r="EC1114" s="22">
        <v>43068</v>
      </c>
      <c r="ED1114" s="15" t="s">
        <v>262</v>
      </c>
      <c r="EE1114" s="14" t="str">
        <f>HYPERLINK("https://my.pitchbook.com?c=55057-51", "View company online")</f>
        <v>View company online</v>
      </c>
    </row>
    <row r="1115" spans="1:135">
      <c r="A1115" s="28" t="s">
        <v>21719</v>
      </c>
      <c r="B1115" s="28" t="s">
        <v>21720</v>
      </c>
      <c r="C1115" s="28" t="s">
        <v>21721</v>
      </c>
      <c r="D1115" s="28" t="s">
        <v>138</v>
      </c>
      <c r="E1115" s="28" t="s">
        <v>21722</v>
      </c>
      <c r="F1115" s="28" t="s">
        <v>21719</v>
      </c>
      <c r="G1115" s="28" t="s">
        <v>21723</v>
      </c>
      <c r="H1115" s="28" t="s">
        <v>238</v>
      </c>
      <c r="I1115" s="28" t="s">
        <v>239</v>
      </c>
      <c r="J1115" s="28" t="s">
        <v>8328</v>
      </c>
      <c r="K1115" s="28" t="s">
        <v>21724</v>
      </c>
      <c r="L1115" s="28" t="s">
        <v>415</v>
      </c>
      <c r="M1115" s="28" t="s">
        <v>21725</v>
      </c>
      <c r="N1115" s="28" t="s">
        <v>147</v>
      </c>
      <c r="O1115" s="29">
        <v>7.26</v>
      </c>
      <c r="P1115" s="28" t="s">
        <v>148</v>
      </c>
      <c r="Q1115" s="28" t="s">
        <v>149</v>
      </c>
      <c r="R1115" s="28" t="s">
        <v>174</v>
      </c>
      <c r="S1115" s="28" t="s">
        <v>21726</v>
      </c>
      <c r="T1115" s="30">
        <v>125</v>
      </c>
      <c r="U1115" s="28" t="s">
        <v>21727</v>
      </c>
      <c r="V1115" s="28" t="s">
        <v>138</v>
      </c>
      <c r="W1115" s="28" t="s">
        <v>138</v>
      </c>
      <c r="X1115" s="31">
        <v>2010</v>
      </c>
      <c r="Y1115" s="28" t="s">
        <v>138</v>
      </c>
      <c r="Z1115" s="28" t="s">
        <v>138</v>
      </c>
      <c r="AA1115" s="28" t="s">
        <v>138</v>
      </c>
      <c r="AB1115" s="32" t="s">
        <v>138</v>
      </c>
      <c r="AC1115" s="32" t="s">
        <v>138</v>
      </c>
      <c r="AD1115" s="32" t="s">
        <v>138</v>
      </c>
      <c r="AE1115" s="32" t="s">
        <v>138</v>
      </c>
      <c r="AF1115" s="32" t="s">
        <v>138</v>
      </c>
      <c r="AG1115" s="28" t="s">
        <v>138</v>
      </c>
      <c r="AH1115" s="32" t="s">
        <v>138</v>
      </c>
      <c r="AI1115" s="32" t="s">
        <v>138</v>
      </c>
      <c r="AJ1115" s="32" t="s">
        <v>138</v>
      </c>
      <c r="AK1115" s="28" t="s">
        <v>21728</v>
      </c>
      <c r="AL1115" s="28" t="s">
        <v>21729</v>
      </c>
      <c r="AM1115" s="28" t="s">
        <v>221</v>
      </c>
      <c r="AN1115" s="28" t="s">
        <v>21730</v>
      </c>
      <c r="AO1115" s="28" t="s">
        <v>21731</v>
      </c>
      <c r="AP1115" s="28" t="s">
        <v>1870</v>
      </c>
      <c r="AQ1115" s="28" t="s">
        <v>21732</v>
      </c>
      <c r="AR1115" s="28" t="s">
        <v>138</v>
      </c>
      <c r="AS1115" s="28" t="s">
        <v>1872</v>
      </c>
      <c r="AT1115" s="28" t="s">
        <v>200</v>
      </c>
      <c r="AU1115" s="28" t="s">
        <v>7399</v>
      </c>
      <c r="AV1115" s="28" t="s">
        <v>162</v>
      </c>
      <c r="AW1115" s="28" t="s">
        <v>21731</v>
      </c>
      <c r="AX1115" s="28" t="s">
        <v>138</v>
      </c>
      <c r="AY1115" s="28" t="s">
        <v>21733</v>
      </c>
      <c r="AZ1115" s="28" t="s">
        <v>164</v>
      </c>
      <c r="BA1115" s="28" t="s">
        <v>165</v>
      </c>
      <c r="BB1115" s="28" t="s">
        <v>21734</v>
      </c>
      <c r="BC1115" s="28" t="s">
        <v>21735</v>
      </c>
      <c r="BD1115" s="33">
        <v>12</v>
      </c>
      <c r="BE1115" s="28" t="s">
        <v>138</v>
      </c>
      <c r="BF1115" s="28" t="s">
        <v>138</v>
      </c>
      <c r="BG1115" s="28" t="s">
        <v>138</v>
      </c>
      <c r="BH1115" s="28" t="s">
        <v>21736</v>
      </c>
      <c r="BI1115" s="28" t="s">
        <v>138</v>
      </c>
      <c r="BJ1115" s="28" t="s">
        <v>138</v>
      </c>
      <c r="BK1115" s="28" t="s">
        <v>21737</v>
      </c>
      <c r="BL1115" s="28" t="s">
        <v>21737</v>
      </c>
      <c r="BM1115" s="34">
        <v>41592</v>
      </c>
      <c r="BN1115" s="29">
        <v>0.56000000000000005</v>
      </c>
      <c r="BO1115" s="28" t="s">
        <v>172</v>
      </c>
      <c r="BP1115" s="29" t="s">
        <v>138</v>
      </c>
      <c r="BQ1115" s="28" t="s">
        <v>138</v>
      </c>
      <c r="BR1115" s="28" t="s">
        <v>262</v>
      </c>
      <c r="BS1115" s="28" t="s">
        <v>262</v>
      </c>
      <c r="BT1115" s="28" t="s">
        <v>138</v>
      </c>
      <c r="BU1115" s="28" t="s">
        <v>263</v>
      </c>
      <c r="BV1115" s="28" t="s">
        <v>138</v>
      </c>
      <c r="BW1115" s="28" t="s">
        <v>138</v>
      </c>
      <c r="BX1115" s="28" t="s">
        <v>138</v>
      </c>
      <c r="BY1115" s="28" t="s">
        <v>175</v>
      </c>
      <c r="BZ1115" s="34" t="s">
        <v>138</v>
      </c>
      <c r="CA1115" s="29" t="s">
        <v>138</v>
      </c>
      <c r="CB1115" s="28" t="s">
        <v>138</v>
      </c>
      <c r="CC1115" s="29" t="s">
        <v>138</v>
      </c>
      <c r="CD1115" s="28" t="s">
        <v>138</v>
      </c>
      <c r="CE1115" s="28" t="s">
        <v>173</v>
      </c>
      <c r="CF1115" s="28" t="s">
        <v>138</v>
      </c>
      <c r="CG1115" s="28" t="s">
        <v>138</v>
      </c>
      <c r="CH1115" s="28" t="s">
        <v>174</v>
      </c>
      <c r="CI1115" s="28" t="s">
        <v>138</v>
      </c>
      <c r="CJ1115" s="28" t="s">
        <v>138</v>
      </c>
      <c r="CK1115" s="28" t="s">
        <v>138</v>
      </c>
      <c r="CL1115" s="28" t="s">
        <v>175</v>
      </c>
      <c r="CM1115" s="34" t="s">
        <v>138</v>
      </c>
      <c r="CN1115" s="29" t="s">
        <v>138</v>
      </c>
      <c r="CO1115" s="35">
        <v>-1.34</v>
      </c>
      <c r="CP1115" s="36">
        <v>8</v>
      </c>
      <c r="CQ1115" s="35">
        <v>0.01</v>
      </c>
      <c r="CR1115" s="35">
        <v>0.67</v>
      </c>
      <c r="CS1115" s="35">
        <v>-2.92</v>
      </c>
      <c r="CT1115" s="36">
        <v>5</v>
      </c>
      <c r="CU1115" s="35">
        <v>0.24</v>
      </c>
      <c r="CV1115" s="36">
        <v>84</v>
      </c>
      <c r="CW1115" s="35">
        <v>-2.92</v>
      </c>
      <c r="CX1115" s="36">
        <v>5</v>
      </c>
      <c r="CY1115" s="35" t="s">
        <v>138</v>
      </c>
      <c r="CZ1115" s="36" t="s">
        <v>138</v>
      </c>
      <c r="DA1115" s="35">
        <v>0.24</v>
      </c>
      <c r="DB1115" s="36">
        <v>85</v>
      </c>
      <c r="DC1115" s="37">
        <v>38.520000000000003</v>
      </c>
      <c r="DD1115" s="36">
        <v>97</v>
      </c>
      <c r="DE1115" s="37">
        <v>-3.91</v>
      </c>
      <c r="DF1115" s="35">
        <v>-9.2100000000000009</v>
      </c>
      <c r="DG1115" s="37">
        <v>61.88</v>
      </c>
      <c r="DH1115" s="36">
        <v>99</v>
      </c>
      <c r="DI1115" s="37">
        <v>15.16</v>
      </c>
      <c r="DJ1115" s="36">
        <v>89</v>
      </c>
      <c r="DK1115" s="37">
        <v>61.88</v>
      </c>
      <c r="DL1115" s="36">
        <v>96</v>
      </c>
      <c r="DM1115" s="37" t="s">
        <v>138</v>
      </c>
      <c r="DN1115" s="36" t="s">
        <v>138</v>
      </c>
      <c r="DO1115" s="37">
        <v>15.16</v>
      </c>
      <c r="DP1115" s="36">
        <v>91</v>
      </c>
      <c r="DQ1115" s="36">
        <v>21391</v>
      </c>
      <c r="DR1115" s="38">
        <v>-502</v>
      </c>
      <c r="DS1115" s="35">
        <v>-2.29</v>
      </c>
      <c r="DT1115" s="36" t="s">
        <v>138</v>
      </c>
      <c r="DU1115" s="38" t="s">
        <v>138</v>
      </c>
      <c r="DV1115" s="35" t="s">
        <v>138</v>
      </c>
      <c r="DW1115" s="36">
        <v>5423</v>
      </c>
      <c r="DX1115" s="39">
        <v>20</v>
      </c>
      <c r="DY1115" s="35">
        <v>0.37</v>
      </c>
      <c r="DZ1115" s="28" t="s">
        <v>178</v>
      </c>
      <c r="EA1115" s="34">
        <v>43551</v>
      </c>
      <c r="EB1115" s="29" t="s">
        <v>138</v>
      </c>
      <c r="EC1115" s="34" t="s">
        <v>138</v>
      </c>
      <c r="ED1115" s="28" t="s">
        <v>138</v>
      </c>
      <c r="EE1115" s="40" t="str">
        <f>HYPERLINK("https://my.pitchbook.com?c=60328-27", "View company online")</f>
        <v>View company online</v>
      </c>
    </row>
    <row r="1116" spans="1:135">
      <c r="A1116" s="15" t="s">
        <v>21738</v>
      </c>
      <c r="B1116" s="15" t="s">
        <v>21739</v>
      </c>
      <c r="C1116" s="15" t="s">
        <v>138</v>
      </c>
      <c r="D1116" s="15" t="s">
        <v>138</v>
      </c>
      <c r="E1116" s="15" t="s">
        <v>138</v>
      </c>
      <c r="F1116" s="15" t="s">
        <v>21738</v>
      </c>
      <c r="G1116" s="15" t="s">
        <v>21740</v>
      </c>
      <c r="H1116" s="15" t="s">
        <v>238</v>
      </c>
      <c r="I1116" s="15" t="s">
        <v>749</v>
      </c>
      <c r="J1116" s="15" t="s">
        <v>4261</v>
      </c>
      <c r="K1116" s="15" t="s">
        <v>21741</v>
      </c>
      <c r="L1116" s="15" t="s">
        <v>4263</v>
      </c>
      <c r="M1116" s="15" t="s">
        <v>21742</v>
      </c>
      <c r="N1116" s="15" t="s">
        <v>1452</v>
      </c>
      <c r="O1116" s="17">
        <v>0.56999999999999995</v>
      </c>
      <c r="P1116" s="15" t="s">
        <v>148</v>
      </c>
      <c r="Q1116" s="15" t="s">
        <v>149</v>
      </c>
      <c r="R1116" s="15" t="s">
        <v>1652</v>
      </c>
      <c r="S1116" s="15" t="s">
        <v>21743</v>
      </c>
      <c r="T1116" s="18">
        <v>11</v>
      </c>
      <c r="U1116" s="15" t="s">
        <v>3406</v>
      </c>
      <c r="V1116" s="15" t="s">
        <v>138</v>
      </c>
      <c r="W1116" s="15" t="s">
        <v>138</v>
      </c>
      <c r="X1116" s="19">
        <v>2013</v>
      </c>
      <c r="Y1116" s="15" t="s">
        <v>138</v>
      </c>
      <c r="Z1116" s="15" t="s">
        <v>138</v>
      </c>
      <c r="AA1116" s="15" t="s">
        <v>138</v>
      </c>
      <c r="AB1116" s="20" t="s">
        <v>138</v>
      </c>
      <c r="AC1116" s="20" t="s">
        <v>138</v>
      </c>
      <c r="AD1116" s="20" t="s">
        <v>138</v>
      </c>
      <c r="AE1116" s="20" t="s">
        <v>138</v>
      </c>
      <c r="AF1116" s="20" t="s">
        <v>138</v>
      </c>
      <c r="AG1116" s="15" t="s">
        <v>138</v>
      </c>
      <c r="AH1116" s="20" t="s">
        <v>138</v>
      </c>
      <c r="AI1116" s="20" t="s">
        <v>138</v>
      </c>
      <c r="AJ1116" s="20" t="s">
        <v>138</v>
      </c>
      <c r="AK1116" s="15" t="s">
        <v>21744</v>
      </c>
      <c r="AL1116" s="15" t="s">
        <v>21745</v>
      </c>
      <c r="AM1116" s="15" t="s">
        <v>916</v>
      </c>
      <c r="AN1116" s="15" t="s">
        <v>21746</v>
      </c>
      <c r="AO1116" s="15" t="s">
        <v>21747</v>
      </c>
      <c r="AP1116" s="15" t="s">
        <v>2819</v>
      </c>
      <c r="AQ1116" s="15" t="s">
        <v>21748</v>
      </c>
      <c r="AR1116" s="15" t="s">
        <v>21749</v>
      </c>
      <c r="AS1116" s="15" t="s">
        <v>284</v>
      </c>
      <c r="AT1116" s="15" t="s">
        <v>2822</v>
      </c>
      <c r="AU1116" s="15" t="s">
        <v>8576</v>
      </c>
      <c r="AV1116" s="15" t="s">
        <v>162</v>
      </c>
      <c r="AW1116" s="15" t="s">
        <v>21747</v>
      </c>
      <c r="AX1116" s="15" t="s">
        <v>138</v>
      </c>
      <c r="AY1116" s="15" t="s">
        <v>21750</v>
      </c>
      <c r="AZ1116" s="15" t="s">
        <v>164</v>
      </c>
      <c r="BA1116" s="15" t="s">
        <v>165</v>
      </c>
      <c r="BB1116" s="15" t="s">
        <v>21751</v>
      </c>
      <c r="BC1116" s="15" t="s">
        <v>21752</v>
      </c>
      <c r="BD1116" s="21">
        <v>3</v>
      </c>
      <c r="BE1116" s="15" t="s">
        <v>138</v>
      </c>
      <c r="BF1116" s="15" t="s">
        <v>138</v>
      </c>
      <c r="BG1116" s="15" t="s">
        <v>138</v>
      </c>
      <c r="BH1116" s="15" t="s">
        <v>21753</v>
      </c>
      <c r="BI1116" s="15" t="s">
        <v>138</v>
      </c>
      <c r="BJ1116" s="15" t="s">
        <v>138</v>
      </c>
      <c r="BK1116" s="15" t="s">
        <v>21754</v>
      </c>
      <c r="BL1116" s="15" t="s">
        <v>21755</v>
      </c>
      <c r="BM1116" s="22">
        <v>42209</v>
      </c>
      <c r="BN1116" s="17">
        <v>0.4</v>
      </c>
      <c r="BO1116" s="15" t="s">
        <v>172</v>
      </c>
      <c r="BP1116" s="17" t="s">
        <v>138</v>
      </c>
      <c r="BQ1116" s="15" t="s">
        <v>138</v>
      </c>
      <c r="BR1116" s="15" t="s">
        <v>1328</v>
      </c>
      <c r="BS1116" s="15" t="s">
        <v>138</v>
      </c>
      <c r="BT1116" s="15" t="s">
        <v>138</v>
      </c>
      <c r="BU1116" s="15" t="s">
        <v>1327</v>
      </c>
      <c r="BV1116" s="15" t="s">
        <v>1328</v>
      </c>
      <c r="BW1116" s="15" t="s">
        <v>138</v>
      </c>
      <c r="BX1116" s="15" t="s">
        <v>138</v>
      </c>
      <c r="BY1116" s="15" t="s">
        <v>175</v>
      </c>
      <c r="BZ1116" s="22">
        <v>43300</v>
      </c>
      <c r="CA1116" s="17">
        <v>0.18</v>
      </c>
      <c r="CB1116" s="15" t="s">
        <v>172</v>
      </c>
      <c r="CC1116" s="17" t="s">
        <v>138</v>
      </c>
      <c r="CD1116" s="15" t="s">
        <v>138</v>
      </c>
      <c r="CE1116" s="15" t="s">
        <v>265</v>
      </c>
      <c r="CF1116" s="15" t="s">
        <v>138</v>
      </c>
      <c r="CG1116" s="15" t="s">
        <v>138</v>
      </c>
      <c r="CH1116" s="15" t="s">
        <v>1327</v>
      </c>
      <c r="CI1116" s="15" t="s">
        <v>264</v>
      </c>
      <c r="CJ1116" s="15" t="s">
        <v>138</v>
      </c>
      <c r="CK1116" s="15" t="s">
        <v>138</v>
      </c>
      <c r="CL1116" s="15" t="s">
        <v>175</v>
      </c>
      <c r="CM1116" s="22">
        <v>42209</v>
      </c>
      <c r="CN1116" s="17">
        <v>0.4</v>
      </c>
      <c r="CO1116" s="23">
        <v>-0.5</v>
      </c>
      <c r="CP1116" s="24">
        <v>16</v>
      </c>
      <c r="CQ1116" s="23">
        <v>0</v>
      </c>
      <c r="CR1116" s="23">
        <v>0.65</v>
      </c>
      <c r="CS1116" s="23">
        <v>-1.03</v>
      </c>
      <c r="CT1116" s="24">
        <v>15</v>
      </c>
      <c r="CU1116" s="23">
        <v>0.02</v>
      </c>
      <c r="CV1116" s="24">
        <v>51</v>
      </c>
      <c r="CW1116" s="23">
        <v>-2.0499999999999998</v>
      </c>
      <c r="CX1116" s="24">
        <v>7</v>
      </c>
      <c r="CY1116" s="23">
        <v>0</v>
      </c>
      <c r="CZ1116" s="24">
        <v>25</v>
      </c>
      <c r="DA1116" s="23">
        <v>-0.02</v>
      </c>
      <c r="DB1116" s="24">
        <v>19</v>
      </c>
      <c r="DC1116" s="25">
        <v>4.17</v>
      </c>
      <c r="DD1116" s="24">
        <v>80</v>
      </c>
      <c r="DE1116" s="25">
        <v>-0.13</v>
      </c>
      <c r="DF1116" s="23">
        <v>-2.98</v>
      </c>
      <c r="DG1116" s="25">
        <v>2.57</v>
      </c>
      <c r="DH1116" s="24">
        <v>72</v>
      </c>
      <c r="DI1116" s="25">
        <v>5.76</v>
      </c>
      <c r="DJ1116" s="24">
        <v>79</v>
      </c>
      <c r="DK1116" s="25">
        <v>4.37</v>
      </c>
      <c r="DL1116" s="24">
        <v>77</v>
      </c>
      <c r="DM1116" s="25">
        <v>0.76</v>
      </c>
      <c r="DN1116" s="24">
        <v>44</v>
      </c>
      <c r="DO1116" s="25">
        <v>8.01</v>
      </c>
      <c r="DP1116" s="24">
        <v>85</v>
      </c>
      <c r="DQ1116" s="24">
        <v>1517</v>
      </c>
      <c r="DR1116" s="26">
        <v>-51</v>
      </c>
      <c r="DS1116" s="23">
        <v>-3.25</v>
      </c>
      <c r="DT1116" s="24">
        <v>22</v>
      </c>
      <c r="DU1116" s="26">
        <v>0</v>
      </c>
      <c r="DV1116" s="23">
        <v>0</v>
      </c>
      <c r="DW1116" s="24">
        <v>2864</v>
      </c>
      <c r="DX1116" s="27">
        <v>2</v>
      </c>
      <c r="DY1116" s="23">
        <v>7.0000000000000007E-2</v>
      </c>
      <c r="DZ1116" s="15" t="s">
        <v>178</v>
      </c>
      <c r="EA1116" s="22">
        <v>43563</v>
      </c>
      <c r="EB1116" s="17" t="s">
        <v>138</v>
      </c>
      <c r="EC1116" s="22" t="s">
        <v>138</v>
      </c>
      <c r="ED1116" s="15" t="s">
        <v>138</v>
      </c>
      <c r="EE1116" s="14" t="str">
        <f>HYPERLINK("https://my.pitchbook.com?c=120677-77", "View company online")</f>
        <v>View company online</v>
      </c>
    </row>
    <row r="1117" spans="1:135">
      <c r="A1117" s="28" t="s">
        <v>21756</v>
      </c>
      <c r="B1117" s="28" t="s">
        <v>21757</v>
      </c>
      <c r="C1117" s="28" t="s">
        <v>21758</v>
      </c>
      <c r="D1117" s="28" t="s">
        <v>21759</v>
      </c>
      <c r="E1117" s="28" t="s">
        <v>138</v>
      </c>
      <c r="F1117" s="28" t="s">
        <v>21756</v>
      </c>
      <c r="G1117" s="28" t="s">
        <v>21760</v>
      </c>
      <c r="H1117" s="28" t="s">
        <v>141</v>
      </c>
      <c r="I1117" s="28" t="s">
        <v>212</v>
      </c>
      <c r="J1117" s="28" t="s">
        <v>3547</v>
      </c>
      <c r="K1117" s="28" t="s">
        <v>21761</v>
      </c>
      <c r="L1117" s="28" t="s">
        <v>752</v>
      </c>
      <c r="M1117" s="28" t="s">
        <v>21762</v>
      </c>
      <c r="N1117" s="28" t="s">
        <v>147</v>
      </c>
      <c r="O1117" s="29">
        <v>5.63</v>
      </c>
      <c r="P1117" s="28" t="s">
        <v>148</v>
      </c>
      <c r="Q1117" s="28" t="s">
        <v>149</v>
      </c>
      <c r="R1117" s="28" t="s">
        <v>174</v>
      </c>
      <c r="S1117" s="28" t="s">
        <v>21763</v>
      </c>
      <c r="T1117" s="30" t="s">
        <v>138</v>
      </c>
      <c r="U1117" s="28" t="s">
        <v>138</v>
      </c>
      <c r="V1117" s="28" t="s">
        <v>138</v>
      </c>
      <c r="W1117" s="28" t="s">
        <v>138</v>
      </c>
      <c r="X1117" s="31">
        <v>2015</v>
      </c>
      <c r="Y1117" s="28" t="s">
        <v>138</v>
      </c>
      <c r="Z1117" s="28" t="s">
        <v>138</v>
      </c>
      <c r="AA1117" s="28" t="s">
        <v>1163</v>
      </c>
      <c r="AB1117" s="32" t="s">
        <v>138</v>
      </c>
      <c r="AC1117" s="32" t="s">
        <v>138</v>
      </c>
      <c r="AD1117" s="32" t="s">
        <v>138</v>
      </c>
      <c r="AE1117" s="32" t="s">
        <v>138</v>
      </c>
      <c r="AF1117" s="32" t="s">
        <v>138</v>
      </c>
      <c r="AG1117" s="28" t="s">
        <v>138</v>
      </c>
      <c r="AH1117" s="32" t="s">
        <v>138</v>
      </c>
      <c r="AI1117" s="32" t="s">
        <v>138</v>
      </c>
      <c r="AJ1117" s="32" t="s">
        <v>138</v>
      </c>
      <c r="AK1117" s="28" t="s">
        <v>21764</v>
      </c>
      <c r="AL1117" s="28" t="s">
        <v>21765</v>
      </c>
      <c r="AM1117" s="28" t="s">
        <v>4192</v>
      </c>
      <c r="AN1117" s="28" t="s">
        <v>21766</v>
      </c>
      <c r="AO1117" s="28" t="s">
        <v>21767</v>
      </c>
      <c r="AP1117" s="28" t="s">
        <v>423</v>
      </c>
      <c r="AQ1117" s="28" t="s">
        <v>21768</v>
      </c>
      <c r="AR1117" s="28" t="s">
        <v>21769</v>
      </c>
      <c r="AS1117" s="28" t="s">
        <v>426</v>
      </c>
      <c r="AT1117" s="28" t="s">
        <v>426</v>
      </c>
      <c r="AU1117" s="28" t="s">
        <v>18111</v>
      </c>
      <c r="AV1117" s="28" t="s">
        <v>162</v>
      </c>
      <c r="AW1117" s="28" t="s">
        <v>21767</v>
      </c>
      <c r="AX1117" s="28" t="s">
        <v>138</v>
      </c>
      <c r="AY1117" s="28" t="s">
        <v>21770</v>
      </c>
      <c r="AZ1117" s="28" t="s">
        <v>164</v>
      </c>
      <c r="BA1117" s="28" t="s">
        <v>165</v>
      </c>
      <c r="BB1117" s="28" t="s">
        <v>21771</v>
      </c>
      <c r="BC1117" s="28" t="s">
        <v>21772</v>
      </c>
      <c r="BD1117" s="33">
        <v>8</v>
      </c>
      <c r="BE1117" s="28" t="s">
        <v>138</v>
      </c>
      <c r="BF1117" s="28" t="s">
        <v>138</v>
      </c>
      <c r="BG1117" s="28" t="s">
        <v>138</v>
      </c>
      <c r="BH1117" s="28" t="s">
        <v>21773</v>
      </c>
      <c r="BI1117" s="28" t="s">
        <v>138</v>
      </c>
      <c r="BJ1117" s="28" t="s">
        <v>138</v>
      </c>
      <c r="BK1117" s="28" t="s">
        <v>1251</v>
      </c>
      <c r="BL1117" s="28" t="s">
        <v>1251</v>
      </c>
      <c r="BM1117" s="34">
        <v>43277</v>
      </c>
      <c r="BN1117" s="29">
        <v>3.23</v>
      </c>
      <c r="BO1117" s="28" t="s">
        <v>172</v>
      </c>
      <c r="BP1117" s="29">
        <v>9.32</v>
      </c>
      <c r="BQ1117" s="28" t="s">
        <v>172</v>
      </c>
      <c r="BR1117" s="28" t="s">
        <v>234</v>
      </c>
      <c r="BS1117" s="28" t="s">
        <v>234</v>
      </c>
      <c r="BT1117" s="28" t="s">
        <v>138</v>
      </c>
      <c r="BU1117" s="28" t="s">
        <v>174</v>
      </c>
      <c r="BV1117" s="28" t="s">
        <v>138</v>
      </c>
      <c r="BW1117" s="28" t="s">
        <v>138</v>
      </c>
      <c r="BX1117" s="28" t="s">
        <v>138</v>
      </c>
      <c r="BY1117" s="28" t="s">
        <v>175</v>
      </c>
      <c r="BZ1117" s="34">
        <v>43592</v>
      </c>
      <c r="CA1117" s="29">
        <v>2.4</v>
      </c>
      <c r="CB1117" s="28" t="s">
        <v>172</v>
      </c>
      <c r="CC1117" s="29" t="s">
        <v>138</v>
      </c>
      <c r="CD1117" s="28" t="s">
        <v>138</v>
      </c>
      <c r="CE1117" s="28" t="s">
        <v>234</v>
      </c>
      <c r="CF1117" s="28" t="s">
        <v>234</v>
      </c>
      <c r="CG1117" s="28" t="s">
        <v>138</v>
      </c>
      <c r="CH1117" s="28" t="s">
        <v>174</v>
      </c>
      <c r="CI1117" s="28" t="s">
        <v>138</v>
      </c>
      <c r="CJ1117" s="28" t="s">
        <v>138</v>
      </c>
      <c r="CK1117" s="28" t="s">
        <v>138</v>
      </c>
      <c r="CL1117" s="28" t="s">
        <v>175</v>
      </c>
      <c r="CM1117" s="34" t="s">
        <v>138</v>
      </c>
      <c r="CN1117" s="29" t="s">
        <v>138</v>
      </c>
      <c r="CO1117" s="35">
        <v>7.0000000000000007E-2</v>
      </c>
      <c r="CP1117" s="36">
        <v>89</v>
      </c>
      <c r="CQ1117" s="35">
        <v>0</v>
      </c>
      <c r="CR1117" s="35">
        <v>0</v>
      </c>
      <c r="CS1117" s="35">
        <v>0.11</v>
      </c>
      <c r="CT1117" s="36">
        <v>94</v>
      </c>
      <c r="CU1117" s="35">
        <v>0.11</v>
      </c>
      <c r="CV1117" s="36">
        <v>70</v>
      </c>
      <c r="CW1117" s="35">
        <v>0.22</v>
      </c>
      <c r="CX1117" s="36">
        <v>81</v>
      </c>
      <c r="CY1117" s="35">
        <v>0</v>
      </c>
      <c r="CZ1117" s="36">
        <v>25</v>
      </c>
      <c r="DA1117" s="35">
        <v>0</v>
      </c>
      <c r="DB1117" s="36">
        <v>22</v>
      </c>
      <c r="DC1117" s="37">
        <v>1.18</v>
      </c>
      <c r="DD1117" s="36">
        <v>55</v>
      </c>
      <c r="DE1117" s="37">
        <v>-0.06</v>
      </c>
      <c r="DF1117" s="35">
        <v>-4.47</v>
      </c>
      <c r="DG1117" s="37">
        <v>2.75</v>
      </c>
      <c r="DH1117" s="36">
        <v>73</v>
      </c>
      <c r="DI1117" s="37">
        <v>0.53</v>
      </c>
      <c r="DJ1117" s="36">
        <v>37</v>
      </c>
      <c r="DK1117" s="37">
        <v>3.05</v>
      </c>
      <c r="DL1117" s="36">
        <v>72</v>
      </c>
      <c r="DM1117" s="37">
        <v>2.4500000000000002</v>
      </c>
      <c r="DN1117" s="36">
        <v>70</v>
      </c>
      <c r="DO1117" s="37">
        <v>0.18</v>
      </c>
      <c r="DP1117" s="36">
        <v>23</v>
      </c>
      <c r="DQ1117" s="36">
        <v>1014</v>
      </c>
      <c r="DR1117" s="38">
        <v>97</v>
      </c>
      <c r="DS1117" s="35">
        <v>10.58</v>
      </c>
      <c r="DT1117" s="36">
        <v>70</v>
      </c>
      <c r="DU1117" s="38">
        <v>1</v>
      </c>
      <c r="DV1117" s="35">
        <v>1.45</v>
      </c>
      <c r="DW1117" s="36">
        <v>63</v>
      </c>
      <c r="DX1117" s="39">
        <v>1</v>
      </c>
      <c r="DY1117" s="35">
        <v>1.61</v>
      </c>
      <c r="DZ1117" s="28" t="s">
        <v>178</v>
      </c>
      <c r="EA1117" s="34">
        <v>43593</v>
      </c>
      <c r="EB1117" s="29">
        <v>9.32</v>
      </c>
      <c r="EC1117" s="34">
        <v>43277</v>
      </c>
      <c r="ED1117" s="28" t="s">
        <v>234</v>
      </c>
      <c r="EE1117" s="40" t="str">
        <f>HYPERLINK("https://my.pitchbook.com?c=231043-87", "View company online")</f>
        <v>View company online</v>
      </c>
    </row>
    <row r="1118" spans="1:135">
      <c r="A1118" s="15" t="s">
        <v>21774</v>
      </c>
      <c r="B1118" s="15" t="s">
        <v>21775</v>
      </c>
      <c r="C1118" s="15" t="s">
        <v>21776</v>
      </c>
      <c r="D1118" s="15" t="s">
        <v>138</v>
      </c>
      <c r="E1118" s="15" t="s">
        <v>21777</v>
      </c>
      <c r="F1118" s="15" t="s">
        <v>21774</v>
      </c>
      <c r="G1118" s="15" t="s">
        <v>21778</v>
      </c>
      <c r="H1118" s="15" t="s">
        <v>322</v>
      </c>
      <c r="I1118" s="15" t="s">
        <v>323</v>
      </c>
      <c r="J1118" s="15" t="s">
        <v>324</v>
      </c>
      <c r="K1118" s="15" t="s">
        <v>1543</v>
      </c>
      <c r="L1118" s="15" t="s">
        <v>1544</v>
      </c>
      <c r="M1118" s="15" t="s">
        <v>21779</v>
      </c>
      <c r="N1118" s="15" t="s">
        <v>147</v>
      </c>
      <c r="O1118" s="17">
        <v>19.88</v>
      </c>
      <c r="P1118" s="15" t="s">
        <v>148</v>
      </c>
      <c r="Q1118" s="15" t="s">
        <v>149</v>
      </c>
      <c r="R1118" s="15" t="s">
        <v>174</v>
      </c>
      <c r="S1118" s="15" t="s">
        <v>21780</v>
      </c>
      <c r="T1118" s="18">
        <v>73</v>
      </c>
      <c r="U1118" s="15" t="s">
        <v>21781</v>
      </c>
      <c r="V1118" s="15" t="s">
        <v>138</v>
      </c>
      <c r="W1118" s="15" t="s">
        <v>138</v>
      </c>
      <c r="X1118" s="19">
        <v>2011</v>
      </c>
      <c r="Y1118" s="15" t="s">
        <v>138</v>
      </c>
      <c r="Z1118" s="15" t="s">
        <v>138</v>
      </c>
      <c r="AA1118" s="15" t="s">
        <v>138</v>
      </c>
      <c r="AB1118" s="20">
        <v>10.01</v>
      </c>
      <c r="AC1118" s="20" t="s">
        <v>138</v>
      </c>
      <c r="AD1118" s="20" t="s">
        <v>138</v>
      </c>
      <c r="AE1118" s="20" t="s">
        <v>138</v>
      </c>
      <c r="AF1118" s="20" t="s">
        <v>138</v>
      </c>
      <c r="AG1118" s="15" t="s">
        <v>707</v>
      </c>
      <c r="AH1118" s="20" t="s">
        <v>138</v>
      </c>
      <c r="AI1118" s="20" t="s">
        <v>138</v>
      </c>
      <c r="AJ1118" s="20" t="s">
        <v>138</v>
      </c>
      <c r="AK1118" s="15" t="s">
        <v>21782</v>
      </c>
      <c r="AL1118" s="15" t="s">
        <v>21783</v>
      </c>
      <c r="AM1118" s="15" t="s">
        <v>249</v>
      </c>
      <c r="AN1118" s="15" t="s">
        <v>21784</v>
      </c>
      <c r="AO1118" s="15" t="s">
        <v>21785</v>
      </c>
      <c r="AP1118" s="15" t="s">
        <v>21786</v>
      </c>
      <c r="AQ1118" s="15" t="s">
        <v>21787</v>
      </c>
      <c r="AR1118" s="15" t="s">
        <v>1637</v>
      </c>
      <c r="AS1118" s="15" t="s">
        <v>21788</v>
      </c>
      <c r="AT1118" s="15" t="s">
        <v>4493</v>
      </c>
      <c r="AU1118" s="15" t="s">
        <v>21789</v>
      </c>
      <c r="AV1118" s="15" t="s">
        <v>162</v>
      </c>
      <c r="AW1118" s="15" t="s">
        <v>21785</v>
      </c>
      <c r="AX1118" s="15" t="s">
        <v>138</v>
      </c>
      <c r="AY1118" s="15" t="s">
        <v>138</v>
      </c>
      <c r="AZ1118" s="15" t="s">
        <v>164</v>
      </c>
      <c r="BA1118" s="15" t="s">
        <v>165</v>
      </c>
      <c r="BB1118" s="15" t="s">
        <v>21790</v>
      </c>
      <c r="BC1118" s="15" t="s">
        <v>21791</v>
      </c>
      <c r="BD1118" s="21">
        <v>5</v>
      </c>
      <c r="BE1118" s="15" t="s">
        <v>138</v>
      </c>
      <c r="BF1118" s="15" t="s">
        <v>138</v>
      </c>
      <c r="BG1118" s="15" t="s">
        <v>138</v>
      </c>
      <c r="BH1118" s="15" t="s">
        <v>21792</v>
      </c>
      <c r="BI1118" s="15" t="s">
        <v>138</v>
      </c>
      <c r="BJ1118" s="15" t="s">
        <v>138</v>
      </c>
      <c r="BK1118" s="15" t="s">
        <v>21793</v>
      </c>
      <c r="BL1118" s="15" t="s">
        <v>1251</v>
      </c>
      <c r="BM1118" s="22">
        <v>41113</v>
      </c>
      <c r="BN1118" s="17">
        <v>1.88</v>
      </c>
      <c r="BO1118" s="15" t="s">
        <v>172</v>
      </c>
      <c r="BP1118" s="17">
        <v>6</v>
      </c>
      <c r="BQ1118" s="15" t="s">
        <v>172</v>
      </c>
      <c r="BR1118" s="15" t="s">
        <v>234</v>
      </c>
      <c r="BS1118" s="15" t="s">
        <v>234</v>
      </c>
      <c r="BT1118" s="15" t="s">
        <v>138</v>
      </c>
      <c r="BU1118" s="15" t="s">
        <v>174</v>
      </c>
      <c r="BV1118" s="15" t="s">
        <v>138</v>
      </c>
      <c r="BW1118" s="15" t="s">
        <v>138</v>
      </c>
      <c r="BX1118" s="15" t="s">
        <v>138</v>
      </c>
      <c r="BY1118" s="15" t="s">
        <v>175</v>
      </c>
      <c r="BZ1118" s="22">
        <v>42550</v>
      </c>
      <c r="CA1118" s="17">
        <v>10</v>
      </c>
      <c r="CB1118" s="15" t="s">
        <v>172</v>
      </c>
      <c r="CC1118" s="17">
        <v>50</v>
      </c>
      <c r="CD1118" s="15" t="s">
        <v>172</v>
      </c>
      <c r="CE1118" s="15" t="s">
        <v>205</v>
      </c>
      <c r="CF1118" s="15" t="s">
        <v>720</v>
      </c>
      <c r="CG1118" s="15" t="s">
        <v>138</v>
      </c>
      <c r="CH1118" s="15" t="s">
        <v>174</v>
      </c>
      <c r="CI1118" s="15" t="s">
        <v>138</v>
      </c>
      <c r="CJ1118" s="15" t="s">
        <v>138</v>
      </c>
      <c r="CK1118" s="15" t="s">
        <v>138</v>
      </c>
      <c r="CL1118" s="15" t="s">
        <v>175</v>
      </c>
      <c r="CM1118" s="22" t="s">
        <v>138</v>
      </c>
      <c r="CN1118" s="17" t="s">
        <v>138</v>
      </c>
      <c r="CO1118" s="23">
        <v>1.1399999999999999</v>
      </c>
      <c r="CP1118" s="24">
        <v>97</v>
      </c>
      <c r="CQ1118" s="23">
        <v>0.01</v>
      </c>
      <c r="CR1118" s="23">
        <v>1</v>
      </c>
      <c r="CS1118" s="23">
        <v>2.3199999999999998</v>
      </c>
      <c r="CT1118" s="24">
        <v>99</v>
      </c>
      <c r="CU1118" s="23">
        <v>-0.04</v>
      </c>
      <c r="CV1118" s="24">
        <v>12</v>
      </c>
      <c r="CW1118" s="23">
        <v>2.3199999999999998</v>
      </c>
      <c r="CX1118" s="24">
        <v>89</v>
      </c>
      <c r="CY1118" s="23" t="s">
        <v>138</v>
      </c>
      <c r="CZ1118" s="24" t="s">
        <v>138</v>
      </c>
      <c r="DA1118" s="23">
        <v>-7.0000000000000007E-2</v>
      </c>
      <c r="DB1118" s="24">
        <v>9</v>
      </c>
      <c r="DC1118" s="25">
        <v>3.79</v>
      </c>
      <c r="DD1118" s="24">
        <v>79</v>
      </c>
      <c r="DE1118" s="25">
        <v>-0.35</v>
      </c>
      <c r="DF1118" s="23">
        <v>-8.5</v>
      </c>
      <c r="DG1118" s="25">
        <v>5.62</v>
      </c>
      <c r="DH1118" s="24">
        <v>84</v>
      </c>
      <c r="DI1118" s="25">
        <v>1.97</v>
      </c>
      <c r="DJ1118" s="24">
        <v>62</v>
      </c>
      <c r="DK1118" s="25">
        <v>5.62</v>
      </c>
      <c r="DL1118" s="24">
        <v>81</v>
      </c>
      <c r="DM1118" s="25" t="s">
        <v>138</v>
      </c>
      <c r="DN1118" s="24" t="s">
        <v>138</v>
      </c>
      <c r="DO1118" s="25">
        <v>3.84</v>
      </c>
      <c r="DP1118" s="24">
        <v>75</v>
      </c>
      <c r="DQ1118" s="24">
        <v>1904</v>
      </c>
      <c r="DR1118" s="26">
        <v>74</v>
      </c>
      <c r="DS1118" s="23">
        <v>4.04</v>
      </c>
      <c r="DT1118" s="24" t="s">
        <v>138</v>
      </c>
      <c r="DU1118" s="26" t="s">
        <v>138</v>
      </c>
      <c r="DV1118" s="23" t="s">
        <v>138</v>
      </c>
      <c r="DW1118" s="24">
        <v>1371</v>
      </c>
      <c r="DX1118" s="27">
        <v>2</v>
      </c>
      <c r="DY1118" s="23">
        <v>0.15</v>
      </c>
      <c r="DZ1118" s="15" t="s">
        <v>178</v>
      </c>
      <c r="EA1118" s="22">
        <v>43622</v>
      </c>
      <c r="EB1118" s="17">
        <v>50</v>
      </c>
      <c r="EC1118" s="22">
        <v>42550</v>
      </c>
      <c r="ED1118" s="15" t="s">
        <v>205</v>
      </c>
      <c r="EE1118" s="14" t="str">
        <f>HYPERLINK("https://my.pitchbook.com?c=54863-65", "View company online")</f>
        <v>View company online</v>
      </c>
    </row>
    <row r="1119" spans="1:135">
      <c r="A1119" s="28" t="s">
        <v>21794</v>
      </c>
      <c r="B1119" s="28" t="s">
        <v>21795</v>
      </c>
      <c r="C1119" s="28" t="s">
        <v>138</v>
      </c>
      <c r="D1119" s="28" t="s">
        <v>138</v>
      </c>
      <c r="E1119" s="28" t="s">
        <v>21796</v>
      </c>
      <c r="F1119" s="28" t="s">
        <v>21794</v>
      </c>
      <c r="G1119" s="28" t="s">
        <v>21797</v>
      </c>
      <c r="H1119" s="28" t="s">
        <v>141</v>
      </c>
      <c r="I1119" s="28" t="s">
        <v>212</v>
      </c>
      <c r="J1119" s="28" t="s">
        <v>655</v>
      </c>
      <c r="K1119" s="28" t="s">
        <v>21798</v>
      </c>
      <c r="L1119" s="28" t="s">
        <v>2599</v>
      </c>
      <c r="M1119" s="28" t="s">
        <v>21799</v>
      </c>
      <c r="N1119" s="28" t="s">
        <v>147</v>
      </c>
      <c r="O1119" s="29">
        <v>11.87</v>
      </c>
      <c r="P1119" s="28" t="s">
        <v>148</v>
      </c>
      <c r="Q1119" s="28" t="s">
        <v>149</v>
      </c>
      <c r="R1119" s="28" t="s">
        <v>244</v>
      </c>
      <c r="S1119" s="28" t="s">
        <v>21800</v>
      </c>
      <c r="T1119" s="30">
        <v>30</v>
      </c>
      <c r="U1119" s="28" t="s">
        <v>15289</v>
      </c>
      <c r="V1119" s="28" t="s">
        <v>138</v>
      </c>
      <c r="W1119" s="28" t="s">
        <v>138</v>
      </c>
      <c r="X1119" s="31">
        <v>2014</v>
      </c>
      <c r="Y1119" s="28" t="s">
        <v>138</v>
      </c>
      <c r="Z1119" s="28" t="s">
        <v>138</v>
      </c>
      <c r="AA1119" s="28" t="s">
        <v>138</v>
      </c>
      <c r="AB1119" s="32" t="s">
        <v>138</v>
      </c>
      <c r="AC1119" s="32" t="s">
        <v>138</v>
      </c>
      <c r="AD1119" s="32" t="s">
        <v>138</v>
      </c>
      <c r="AE1119" s="32" t="s">
        <v>138</v>
      </c>
      <c r="AF1119" s="32" t="s">
        <v>138</v>
      </c>
      <c r="AG1119" s="28" t="s">
        <v>138</v>
      </c>
      <c r="AH1119" s="32" t="s">
        <v>138</v>
      </c>
      <c r="AI1119" s="32" t="s">
        <v>138</v>
      </c>
      <c r="AJ1119" s="32" t="s">
        <v>138</v>
      </c>
      <c r="AK1119" s="28" t="s">
        <v>21801</v>
      </c>
      <c r="AL1119" s="28" t="s">
        <v>21802</v>
      </c>
      <c r="AM1119" s="28" t="s">
        <v>422</v>
      </c>
      <c r="AN1119" s="28" t="s">
        <v>21803</v>
      </c>
      <c r="AO1119" s="28" t="s">
        <v>138</v>
      </c>
      <c r="AP1119" s="28" t="s">
        <v>423</v>
      </c>
      <c r="AQ1119" s="28" t="s">
        <v>21804</v>
      </c>
      <c r="AR1119" s="28" t="s">
        <v>713</v>
      </c>
      <c r="AS1119" s="28" t="s">
        <v>426</v>
      </c>
      <c r="AT1119" s="28" t="s">
        <v>426</v>
      </c>
      <c r="AU1119" s="28" t="s">
        <v>921</v>
      </c>
      <c r="AV1119" s="28" t="s">
        <v>162</v>
      </c>
      <c r="AW1119" s="28" t="s">
        <v>138</v>
      </c>
      <c r="AX1119" s="28" t="s">
        <v>138</v>
      </c>
      <c r="AY1119" s="28" t="s">
        <v>21805</v>
      </c>
      <c r="AZ1119" s="28" t="s">
        <v>164</v>
      </c>
      <c r="BA1119" s="28" t="s">
        <v>165</v>
      </c>
      <c r="BB1119" s="28" t="s">
        <v>21806</v>
      </c>
      <c r="BC1119" s="28" t="s">
        <v>21807</v>
      </c>
      <c r="BD1119" s="33">
        <v>16</v>
      </c>
      <c r="BE1119" s="28" t="s">
        <v>138</v>
      </c>
      <c r="BF1119" s="28" t="s">
        <v>138</v>
      </c>
      <c r="BG1119" s="28" t="s">
        <v>138</v>
      </c>
      <c r="BH1119" s="28" t="s">
        <v>21808</v>
      </c>
      <c r="BI1119" s="28" t="s">
        <v>138</v>
      </c>
      <c r="BJ1119" s="28" t="s">
        <v>138</v>
      </c>
      <c r="BK1119" s="28" t="s">
        <v>1251</v>
      </c>
      <c r="BL1119" s="28" t="s">
        <v>12760</v>
      </c>
      <c r="BM1119" s="34">
        <v>41944</v>
      </c>
      <c r="BN1119" s="29">
        <v>1</v>
      </c>
      <c r="BO1119" s="28" t="s">
        <v>172</v>
      </c>
      <c r="BP1119" s="29" t="s">
        <v>138</v>
      </c>
      <c r="BQ1119" s="28" t="s">
        <v>138</v>
      </c>
      <c r="BR1119" s="28" t="s">
        <v>262</v>
      </c>
      <c r="BS1119" s="28" t="s">
        <v>262</v>
      </c>
      <c r="BT1119" s="28" t="s">
        <v>138</v>
      </c>
      <c r="BU1119" s="28" t="s">
        <v>263</v>
      </c>
      <c r="BV1119" s="28" t="s">
        <v>138</v>
      </c>
      <c r="BW1119" s="28" t="s">
        <v>138</v>
      </c>
      <c r="BX1119" s="28" t="s">
        <v>138</v>
      </c>
      <c r="BY1119" s="28" t="s">
        <v>175</v>
      </c>
      <c r="BZ1119" s="34" t="s">
        <v>138</v>
      </c>
      <c r="CA1119" s="29" t="s">
        <v>138</v>
      </c>
      <c r="CB1119" s="28" t="s">
        <v>138</v>
      </c>
      <c r="CC1119" s="29" t="s">
        <v>138</v>
      </c>
      <c r="CD1119" s="28" t="s">
        <v>138</v>
      </c>
      <c r="CE1119" s="28" t="s">
        <v>1326</v>
      </c>
      <c r="CF1119" s="28" t="s">
        <v>138</v>
      </c>
      <c r="CG1119" s="28" t="s">
        <v>138</v>
      </c>
      <c r="CH1119" s="28" t="s">
        <v>1327</v>
      </c>
      <c r="CI1119" s="28" t="s">
        <v>1328</v>
      </c>
      <c r="CJ1119" s="28" t="s">
        <v>138</v>
      </c>
      <c r="CK1119" s="28" t="s">
        <v>138</v>
      </c>
      <c r="CL1119" s="28" t="s">
        <v>175</v>
      </c>
      <c r="CM1119" s="34" t="s">
        <v>138</v>
      </c>
      <c r="CN1119" s="29" t="s">
        <v>138</v>
      </c>
      <c r="CO1119" s="35">
        <v>0.71</v>
      </c>
      <c r="CP1119" s="36">
        <v>96</v>
      </c>
      <c r="CQ1119" s="35">
        <v>-0.01</v>
      </c>
      <c r="CR1119" s="35">
        <v>-1.48</v>
      </c>
      <c r="CS1119" s="35">
        <v>0.74</v>
      </c>
      <c r="CT1119" s="36">
        <v>96</v>
      </c>
      <c r="CU1119" s="35">
        <v>0.67</v>
      </c>
      <c r="CV1119" s="36">
        <v>96</v>
      </c>
      <c r="CW1119" s="35">
        <v>2.31</v>
      </c>
      <c r="CX1119" s="36">
        <v>89</v>
      </c>
      <c r="CY1119" s="35">
        <v>-0.84</v>
      </c>
      <c r="CZ1119" s="36">
        <v>20</v>
      </c>
      <c r="DA1119" s="35">
        <v>1.22</v>
      </c>
      <c r="DB1119" s="36">
        <v>99</v>
      </c>
      <c r="DC1119" s="37">
        <v>34.229999999999997</v>
      </c>
      <c r="DD1119" s="36">
        <v>97</v>
      </c>
      <c r="DE1119" s="37">
        <v>-1.59</v>
      </c>
      <c r="DF1119" s="35">
        <v>-4.43</v>
      </c>
      <c r="DG1119" s="37">
        <v>37.880000000000003</v>
      </c>
      <c r="DH1119" s="36">
        <v>97</v>
      </c>
      <c r="DI1119" s="37">
        <v>30.58</v>
      </c>
      <c r="DJ1119" s="36">
        <v>93</v>
      </c>
      <c r="DK1119" s="37">
        <v>54.24</v>
      </c>
      <c r="DL1119" s="36">
        <v>96</v>
      </c>
      <c r="DM1119" s="37">
        <v>21.52</v>
      </c>
      <c r="DN1119" s="36">
        <v>95</v>
      </c>
      <c r="DO1119" s="37">
        <v>44.03</v>
      </c>
      <c r="DP1119" s="36">
        <v>96</v>
      </c>
      <c r="DQ1119" s="36">
        <v>18429</v>
      </c>
      <c r="DR1119" s="38">
        <v>529</v>
      </c>
      <c r="DS1119" s="35">
        <v>2.96</v>
      </c>
      <c r="DT1119" s="36">
        <v>622</v>
      </c>
      <c r="DU1119" s="38">
        <v>2</v>
      </c>
      <c r="DV1119" s="35">
        <v>0.32</v>
      </c>
      <c r="DW1119" s="36">
        <v>15729</v>
      </c>
      <c r="DX1119" s="39">
        <v>154</v>
      </c>
      <c r="DY1119" s="35">
        <v>0.99</v>
      </c>
      <c r="DZ1119" s="28" t="s">
        <v>178</v>
      </c>
      <c r="EA1119" s="34">
        <v>43622</v>
      </c>
      <c r="EB1119" s="29">
        <v>26.7</v>
      </c>
      <c r="EC1119" s="34">
        <v>43003</v>
      </c>
      <c r="ED1119" s="28" t="s">
        <v>205</v>
      </c>
      <c r="EE1119" s="40" t="str">
        <f>HYPERLINK("https://my.pitchbook.com?c=115473-07", "View company online")</f>
        <v>View company online</v>
      </c>
    </row>
    <row r="1120" spans="1:135">
      <c r="A1120" s="15" t="s">
        <v>21809</v>
      </c>
      <c r="B1120" s="15" t="s">
        <v>21810</v>
      </c>
      <c r="C1120" s="15" t="s">
        <v>138</v>
      </c>
      <c r="D1120" s="15" t="s">
        <v>138</v>
      </c>
      <c r="E1120" s="15" t="s">
        <v>21811</v>
      </c>
      <c r="F1120" s="15" t="s">
        <v>21809</v>
      </c>
      <c r="G1120" s="15" t="s">
        <v>21812</v>
      </c>
      <c r="H1120" s="15" t="s">
        <v>141</v>
      </c>
      <c r="I1120" s="15" t="s">
        <v>142</v>
      </c>
      <c r="J1120" s="15" t="s">
        <v>4910</v>
      </c>
      <c r="K1120" s="15" t="s">
        <v>21813</v>
      </c>
      <c r="L1120" s="15" t="s">
        <v>21814</v>
      </c>
      <c r="M1120" s="15" t="s">
        <v>21815</v>
      </c>
      <c r="N1120" s="15" t="s">
        <v>147</v>
      </c>
      <c r="O1120" s="17">
        <v>115.5</v>
      </c>
      <c r="P1120" s="15" t="s">
        <v>148</v>
      </c>
      <c r="Q1120" s="15" t="s">
        <v>149</v>
      </c>
      <c r="R1120" s="15" t="s">
        <v>244</v>
      </c>
      <c r="S1120" s="15" t="s">
        <v>21816</v>
      </c>
      <c r="T1120" s="18">
        <v>11</v>
      </c>
      <c r="U1120" s="15" t="s">
        <v>3406</v>
      </c>
      <c r="V1120" s="15" t="s">
        <v>138</v>
      </c>
      <c r="W1120" s="15" t="s">
        <v>138</v>
      </c>
      <c r="X1120" s="19">
        <v>2009</v>
      </c>
      <c r="Y1120" s="15" t="s">
        <v>138</v>
      </c>
      <c r="Z1120" s="15" t="s">
        <v>138</v>
      </c>
      <c r="AA1120" s="15" t="s">
        <v>138</v>
      </c>
      <c r="AB1120" s="20" t="s">
        <v>138</v>
      </c>
      <c r="AC1120" s="20" t="s">
        <v>138</v>
      </c>
      <c r="AD1120" s="20" t="s">
        <v>138</v>
      </c>
      <c r="AE1120" s="20" t="s">
        <v>138</v>
      </c>
      <c r="AF1120" s="20" t="s">
        <v>138</v>
      </c>
      <c r="AG1120" s="15" t="s">
        <v>138</v>
      </c>
      <c r="AH1120" s="20" t="s">
        <v>138</v>
      </c>
      <c r="AI1120" s="20" t="s">
        <v>138</v>
      </c>
      <c r="AJ1120" s="20" t="s">
        <v>138</v>
      </c>
      <c r="AK1120" s="15" t="s">
        <v>21817</v>
      </c>
      <c r="AL1120" s="15" t="s">
        <v>21818</v>
      </c>
      <c r="AM1120" s="15" t="s">
        <v>986</v>
      </c>
      <c r="AN1120" s="15" t="s">
        <v>21819</v>
      </c>
      <c r="AO1120" s="15" t="s">
        <v>138</v>
      </c>
      <c r="AP1120" s="15" t="s">
        <v>15913</v>
      </c>
      <c r="AQ1120" s="15" t="s">
        <v>21820</v>
      </c>
      <c r="AR1120" s="15" t="s">
        <v>138</v>
      </c>
      <c r="AS1120" s="15" t="s">
        <v>15915</v>
      </c>
      <c r="AT1120" s="15" t="s">
        <v>200</v>
      </c>
      <c r="AU1120" s="15" t="s">
        <v>15916</v>
      </c>
      <c r="AV1120" s="15" t="s">
        <v>162</v>
      </c>
      <c r="AW1120" s="15" t="s">
        <v>138</v>
      </c>
      <c r="AX1120" s="15" t="s">
        <v>138</v>
      </c>
      <c r="AY1120" s="15" t="s">
        <v>138</v>
      </c>
      <c r="AZ1120" s="15" t="s">
        <v>164</v>
      </c>
      <c r="BA1120" s="15" t="s">
        <v>165</v>
      </c>
      <c r="BB1120" s="15" t="s">
        <v>21821</v>
      </c>
      <c r="BC1120" s="15" t="s">
        <v>21822</v>
      </c>
      <c r="BD1120" s="21">
        <v>12</v>
      </c>
      <c r="BE1120" s="15" t="s">
        <v>138</v>
      </c>
      <c r="BF1120" s="15" t="s">
        <v>138</v>
      </c>
      <c r="BG1120" s="15" t="s">
        <v>138</v>
      </c>
      <c r="BH1120" s="15" t="s">
        <v>21823</v>
      </c>
      <c r="BI1120" s="15" t="s">
        <v>138</v>
      </c>
      <c r="BJ1120" s="15" t="s">
        <v>138</v>
      </c>
      <c r="BK1120" s="15" t="s">
        <v>138</v>
      </c>
      <c r="BL1120" s="15" t="s">
        <v>21824</v>
      </c>
      <c r="BM1120" s="22">
        <v>41622</v>
      </c>
      <c r="BN1120" s="17" t="s">
        <v>138</v>
      </c>
      <c r="BO1120" s="15" t="s">
        <v>138</v>
      </c>
      <c r="BP1120" s="17" t="s">
        <v>138</v>
      </c>
      <c r="BQ1120" s="15" t="s">
        <v>138</v>
      </c>
      <c r="BR1120" s="15" t="s">
        <v>262</v>
      </c>
      <c r="BS1120" s="15" t="s">
        <v>262</v>
      </c>
      <c r="BT1120" s="15" t="s">
        <v>138</v>
      </c>
      <c r="BU1120" s="15" t="s">
        <v>263</v>
      </c>
      <c r="BV1120" s="15" t="s">
        <v>138</v>
      </c>
      <c r="BW1120" s="15" t="s">
        <v>138</v>
      </c>
      <c r="BX1120" s="15" t="s">
        <v>138</v>
      </c>
      <c r="BY1120" s="15" t="s">
        <v>175</v>
      </c>
      <c r="BZ1120" s="22">
        <v>43222</v>
      </c>
      <c r="CA1120" s="17">
        <v>10</v>
      </c>
      <c r="CB1120" s="15" t="s">
        <v>172</v>
      </c>
      <c r="CC1120" s="17" t="s">
        <v>138</v>
      </c>
      <c r="CD1120" s="15" t="s">
        <v>138</v>
      </c>
      <c r="CE1120" s="15" t="s">
        <v>5280</v>
      </c>
      <c r="CF1120" s="15" t="s">
        <v>138</v>
      </c>
      <c r="CG1120" s="15" t="s">
        <v>138</v>
      </c>
      <c r="CH1120" s="15" t="s">
        <v>1327</v>
      </c>
      <c r="CI1120" s="15" t="s">
        <v>5777</v>
      </c>
      <c r="CJ1120" s="15" t="s">
        <v>138</v>
      </c>
      <c r="CK1120" s="15" t="s">
        <v>138</v>
      </c>
      <c r="CL1120" s="15" t="s">
        <v>175</v>
      </c>
      <c r="CM1120" s="22">
        <v>43222</v>
      </c>
      <c r="CN1120" s="17">
        <v>10</v>
      </c>
      <c r="CO1120" s="23">
        <v>-0.83</v>
      </c>
      <c r="CP1120" s="24">
        <v>12</v>
      </c>
      <c r="CQ1120" s="23">
        <v>-0.01</v>
      </c>
      <c r="CR1120" s="23">
        <v>-0.65</v>
      </c>
      <c r="CS1120" s="23">
        <v>-1.72</v>
      </c>
      <c r="CT1120" s="24">
        <v>10</v>
      </c>
      <c r="CU1120" s="23">
        <v>7.0000000000000007E-2</v>
      </c>
      <c r="CV1120" s="24">
        <v>62</v>
      </c>
      <c r="CW1120" s="23">
        <v>-2.98</v>
      </c>
      <c r="CX1120" s="24">
        <v>5</v>
      </c>
      <c r="CY1120" s="23">
        <v>-0.46</v>
      </c>
      <c r="CZ1120" s="24">
        <v>22</v>
      </c>
      <c r="DA1120" s="23" t="s">
        <v>138</v>
      </c>
      <c r="DB1120" s="24" t="s">
        <v>138</v>
      </c>
      <c r="DC1120" s="25">
        <v>8.2799999999999994</v>
      </c>
      <c r="DD1120" s="24">
        <v>88</v>
      </c>
      <c r="DE1120" s="25">
        <v>-0.3</v>
      </c>
      <c r="DF1120" s="23">
        <v>-3.44</v>
      </c>
      <c r="DG1120" s="25">
        <v>14.6</v>
      </c>
      <c r="DH1120" s="24">
        <v>93</v>
      </c>
      <c r="DI1120" s="25">
        <v>1.96</v>
      </c>
      <c r="DJ1120" s="24">
        <v>62</v>
      </c>
      <c r="DK1120" s="25">
        <v>8.3699999999999992</v>
      </c>
      <c r="DL1120" s="24">
        <v>85</v>
      </c>
      <c r="DM1120" s="25">
        <v>20.83</v>
      </c>
      <c r="DN1120" s="24">
        <v>94</v>
      </c>
      <c r="DO1120" s="25" t="s">
        <v>138</v>
      </c>
      <c r="DP1120" s="24" t="s">
        <v>138</v>
      </c>
      <c r="DQ1120" s="24">
        <v>2821</v>
      </c>
      <c r="DR1120" s="26">
        <v>148</v>
      </c>
      <c r="DS1120" s="23">
        <v>5.54</v>
      </c>
      <c r="DT1120" s="24">
        <v>605</v>
      </c>
      <c r="DU1120" s="26">
        <v>-2</v>
      </c>
      <c r="DV1120" s="23">
        <v>-0.33</v>
      </c>
      <c r="DW1120" s="24" t="s">
        <v>138</v>
      </c>
      <c r="DX1120" s="27" t="s">
        <v>138</v>
      </c>
      <c r="DY1120" s="23" t="s">
        <v>138</v>
      </c>
      <c r="DZ1120" s="15" t="s">
        <v>178</v>
      </c>
      <c r="EA1120" s="22">
        <v>43600</v>
      </c>
      <c r="EB1120" s="17" t="s">
        <v>138</v>
      </c>
      <c r="EC1120" s="22" t="s">
        <v>138</v>
      </c>
      <c r="ED1120" s="15" t="s">
        <v>138</v>
      </c>
      <c r="EE1120" s="14" t="str">
        <f>HYPERLINK("https://my.pitchbook.com?c=112659-13", "View company online")</f>
        <v>View company online</v>
      </c>
    </row>
    <row r="1121" spans="1:135">
      <c r="A1121" s="28" t="s">
        <v>21825</v>
      </c>
      <c r="B1121" s="28" t="s">
        <v>21826</v>
      </c>
      <c r="C1121" s="28" t="s">
        <v>138</v>
      </c>
      <c r="D1121" s="28" t="s">
        <v>138</v>
      </c>
      <c r="E1121" s="28" t="s">
        <v>21827</v>
      </c>
      <c r="F1121" s="28" t="s">
        <v>21825</v>
      </c>
      <c r="G1121" s="28" t="s">
        <v>21828</v>
      </c>
      <c r="H1121" s="28" t="s">
        <v>141</v>
      </c>
      <c r="I1121" s="28" t="s">
        <v>212</v>
      </c>
      <c r="J1121" s="28" t="s">
        <v>213</v>
      </c>
      <c r="K1121" s="28" t="s">
        <v>1064</v>
      </c>
      <c r="L1121" s="28" t="s">
        <v>21829</v>
      </c>
      <c r="M1121" s="28" t="s">
        <v>21830</v>
      </c>
      <c r="N1121" s="28" t="s">
        <v>147</v>
      </c>
      <c r="O1121" s="29">
        <v>47.85</v>
      </c>
      <c r="P1121" s="28" t="s">
        <v>148</v>
      </c>
      <c r="Q1121" s="28" t="s">
        <v>149</v>
      </c>
      <c r="R1121" s="28" t="s">
        <v>174</v>
      </c>
      <c r="S1121" s="28" t="s">
        <v>21831</v>
      </c>
      <c r="T1121" s="30" t="s">
        <v>138</v>
      </c>
      <c r="U1121" s="28" t="s">
        <v>138</v>
      </c>
      <c r="V1121" s="28" t="s">
        <v>138</v>
      </c>
      <c r="W1121" s="28" t="s">
        <v>138</v>
      </c>
      <c r="X1121" s="31">
        <v>2007</v>
      </c>
      <c r="Y1121" s="28" t="s">
        <v>138</v>
      </c>
      <c r="Z1121" s="28" t="s">
        <v>138</v>
      </c>
      <c r="AA1121" s="28" t="s">
        <v>138</v>
      </c>
      <c r="AB1121" s="32" t="s">
        <v>138</v>
      </c>
      <c r="AC1121" s="32" t="s">
        <v>138</v>
      </c>
      <c r="AD1121" s="32" t="s">
        <v>138</v>
      </c>
      <c r="AE1121" s="32" t="s">
        <v>138</v>
      </c>
      <c r="AF1121" s="32" t="s">
        <v>138</v>
      </c>
      <c r="AG1121" s="28" t="s">
        <v>138</v>
      </c>
      <c r="AH1121" s="32" t="s">
        <v>138</v>
      </c>
      <c r="AI1121" s="32" t="s">
        <v>138</v>
      </c>
      <c r="AJ1121" s="32" t="s">
        <v>138</v>
      </c>
      <c r="AK1121" s="28" t="s">
        <v>21832</v>
      </c>
      <c r="AL1121" s="28" t="s">
        <v>21833</v>
      </c>
      <c r="AM1121" s="28" t="s">
        <v>2794</v>
      </c>
      <c r="AN1121" s="28" t="s">
        <v>21834</v>
      </c>
      <c r="AO1121" s="28" t="s">
        <v>21835</v>
      </c>
      <c r="AP1121" s="28" t="s">
        <v>3668</v>
      </c>
      <c r="AQ1121" s="28" t="s">
        <v>21836</v>
      </c>
      <c r="AR1121" s="28" t="s">
        <v>138</v>
      </c>
      <c r="AS1121" s="28" t="s">
        <v>3670</v>
      </c>
      <c r="AT1121" s="28" t="s">
        <v>200</v>
      </c>
      <c r="AU1121" s="28" t="s">
        <v>12249</v>
      </c>
      <c r="AV1121" s="28" t="s">
        <v>162</v>
      </c>
      <c r="AW1121" s="28" t="s">
        <v>21835</v>
      </c>
      <c r="AX1121" s="28" t="s">
        <v>21837</v>
      </c>
      <c r="AY1121" s="28" t="s">
        <v>21838</v>
      </c>
      <c r="AZ1121" s="28" t="s">
        <v>164</v>
      </c>
      <c r="BA1121" s="28" t="s">
        <v>165</v>
      </c>
      <c r="BB1121" s="28" t="s">
        <v>21839</v>
      </c>
      <c r="BC1121" s="28" t="s">
        <v>21840</v>
      </c>
      <c r="BD1121" s="33">
        <v>6</v>
      </c>
      <c r="BE1121" s="28" t="s">
        <v>138</v>
      </c>
      <c r="BF1121" s="28" t="s">
        <v>138</v>
      </c>
      <c r="BG1121" s="28" t="s">
        <v>138</v>
      </c>
      <c r="BH1121" s="28" t="s">
        <v>21841</v>
      </c>
      <c r="BI1121" s="28" t="s">
        <v>138</v>
      </c>
      <c r="BJ1121" s="28" t="s">
        <v>138</v>
      </c>
      <c r="BK1121" s="28" t="s">
        <v>21842</v>
      </c>
      <c r="BL1121" s="28" t="s">
        <v>21843</v>
      </c>
      <c r="BM1121" s="34">
        <v>39517</v>
      </c>
      <c r="BN1121" s="29">
        <v>2.7</v>
      </c>
      <c r="BO1121" s="28" t="s">
        <v>172</v>
      </c>
      <c r="BP1121" s="29" t="s">
        <v>138</v>
      </c>
      <c r="BQ1121" s="28" t="s">
        <v>138</v>
      </c>
      <c r="BR1121" s="28" t="s">
        <v>234</v>
      </c>
      <c r="BS1121" s="28" t="s">
        <v>234</v>
      </c>
      <c r="BT1121" s="28" t="s">
        <v>138</v>
      </c>
      <c r="BU1121" s="28" t="s">
        <v>174</v>
      </c>
      <c r="BV1121" s="28" t="s">
        <v>138</v>
      </c>
      <c r="BW1121" s="28" t="s">
        <v>138</v>
      </c>
      <c r="BX1121" s="28" t="s">
        <v>138</v>
      </c>
      <c r="BY1121" s="28" t="s">
        <v>175</v>
      </c>
      <c r="BZ1121" s="34">
        <v>43571</v>
      </c>
      <c r="CA1121" s="29">
        <v>9</v>
      </c>
      <c r="CB1121" s="28" t="s">
        <v>172</v>
      </c>
      <c r="CC1121" s="29" t="s">
        <v>138</v>
      </c>
      <c r="CD1121" s="28" t="s">
        <v>138</v>
      </c>
      <c r="CE1121" s="28" t="s">
        <v>173</v>
      </c>
      <c r="CF1121" s="28" t="s">
        <v>138</v>
      </c>
      <c r="CG1121" s="28" t="s">
        <v>138</v>
      </c>
      <c r="CH1121" s="28" t="s">
        <v>174</v>
      </c>
      <c r="CI1121" s="28" t="s">
        <v>138</v>
      </c>
      <c r="CJ1121" s="28" t="s">
        <v>138</v>
      </c>
      <c r="CK1121" s="28" t="s">
        <v>138</v>
      </c>
      <c r="CL1121" s="28" t="s">
        <v>175</v>
      </c>
      <c r="CM1121" s="34" t="s">
        <v>138</v>
      </c>
      <c r="CN1121" s="29" t="s">
        <v>138</v>
      </c>
      <c r="CO1121" s="35">
        <v>-1.03</v>
      </c>
      <c r="CP1121" s="36">
        <v>11</v>
      </c>
      <c r="CQ1121" s="35">
        <v>-0.05</v>
      </c>
      <c r="CR1121" s="35">
        <v>-4.6500000000000004</v>
      </c>
      <c r="CS1121" s="35">
        <v>-2.04</v>
      </c>
      <c r="CT1121" s="36">
        <v>9</v>
      </c>
      <c r="CU1121" s="35">
        <v>-0.01</v>
      </c>
      <c r="CV1121" s="36">
        <v>20</v>
      </c>
      <c r="CW1121" s="35">
        <v>-2.91</v>
      </c>
      <c r="CX1121" s="36">
        <v>5</v>
      </c>
      <c r="CY1121" s="35">
        <v>-1.18</v>
      </c>
      <c r="CZ1121" s="36">
        <v>17</v>
      </c>
      <c r="DA1121" s="35">
        <v>-0.05</v>
      </c>
      <c r="DB1121" s="36">
        <v>13</v>
      </c>
      <c r="DC1121" s="37">
        <v>22.12</v>
      </c>
      <c r="DD1121" s="36">
        <v>95</v>
      </c>
      <c r="DE1121" s="37">
        <v>-0.05</v>
      </c>
      <c r="DF1121" s="35">
        <v>-0.24</v>
      </c>
      <c r="DG1121" s="37">
        <v>42.38</v>
      </c>
      <c r="DH1121" s="36">
        <v>98</v>
      </c>
      <c r="DI1121" s="37">
        <v>1.85</v>
      </c>
      <c r="DJ1121" s="36">
        <v>61</v>
      </c>
      <c r="DK1121" s="37">
        <v>3.11</v>
      </c>
      <c r="DL1121" s="36">
        <v>72</v>
      </c>
      <c r="DM1121" s="37">
        <v>81.66</v>
      </c>
      <c r="DN1121" s="36">
        <v>99</v>
      </c>
      <c r="DO1121" s="37">
        <v>3.2</v>
      </c>
      <c r="DP1121" s="36">
        <v>72</v>
      </c>
      <c r="DQ1121" s="36">
        <v>1064</v>
      </c>
      <c r="DR1121" s="38">
        <v>7</v>
      </c>
      <c r="DS1121" s="35">
        <v>0.66</v>
      </c>
      <c r="DT1121" s="36">
        <v>2365</v>
      </c>
      <c r="DU1121" s="38">
        <v>4</v>
      </c>
      <c r="DV1121" s="35">
        <v>0.17</v>
      </c>
      <c r="DW1121" s="36">
        <v>1144</v>
      </c>
      <c r="DX1121" s="39">
        <v>-1</v>
      </c>
      <c r="DY1121" s="35">
        <v>-0.09</v>
      </c>
      <c r="DZ1121" s="28" t="s">
        <v>178</v>
      </c>
      <c r="EA1121" s="34">
        <v>43598</v>
      </c>
      <c r="EB1121" s="29">
        <v>29.49</v>
      </c>
      <c r="EC1121" s="34">
        <v>41674</v>
      </c>
      <c r="ED1121" s="28" t="s">
        <v>173</v>
      </c>
      <c r="EE1121" s="40" t="str">
        <f>HYPERLINK("https://my.pitchbook.com?c=44458-21", "View company online")</f>
        <v>View company online</v>
      </c>
    </row>
    <row r="1122" spans="1:135">
      <c r="A1122" s="15" t="s">
        <v>21844</v>
      </c>
      <c r="B1122" s="15" t="s">
        <v>21845</v>
      </c>
      <c r="C1122" s="15" t="s">
        <v>138</v>
      </c>
      <c r="D1122" s="15" t="s">
        <v>138</v>
      </c>
      <c r="E1122" s="15" t="s">
        <v>21846</v>
      </c>
      <c r="F1122" s="15" t="s">
        <v>21844</v>
      </c>
      <c r="G1122" s="15" t="s">
        <v>21847</v>
      </c>
      <c r="H1122" s="15" t="s">
        <v>322</v>
      </c>
      <c r="I1122" s="15" t="s">
        <v>807</v>
      </c>
      <c r="J1122" s="15" t="s">
        <v>1102</v>
      </c>
      <c r="K1122" s="15" t="s">
        <v>21848</v>
      </c>
      <c r="L1122" s="15" t="s">
        <v>2872</v>
      </c>
      <c r="M1122" s="15" t="s">
        <v>21849</v>
      </c>
      <c r="N1122" s="15" t="s">
        <v>147</v>
      </c>
      <c r="O1122" s="17">
        <v>55.94</v>
      </c>
      <c r="P1122" s="15" t="s">
        <v>148</v>
      </c>
      <c r="Q1122" s="15" t="s">
        <v>149</v>
      </c>
      <c r="R1122" s="15" t="s">
        <v>174</v>
      </c>
      <c r="S1122" s="15" t="s">
        <v>21850</v>
      </c>
      <c r="T1122" s="18">
        <v>240</v>
      </c>
      <c r="U1122" s="15" t="s">
        <v>21851</v>
      </c>
      <c r="V1122" s="15" t="s">
        <v>138</v>
      </c>
      <c r="W1122" s="15" t="s">
        <v>138</v>
      </c>
      <c r="X1122" s="19">
        <v>2004</v>
      </c>
      <c r="Y1122" s="15" t="s">
        <v>138</v>
      </c>
      <c r="Z1122" s="15" t="s">
        <v>1163</v>
      </c>
      <c r="AA1122" s="15" t="s">
        <v>1163</v>
      </c>
      <c r="AB1122" s="20" t="s">
        <v>138</v>
      </c>
      <c r="AC1122" s="20" t="s">
        <v>138</v>
      </c>
      <c r="AD1122" s="20" t="s">
        <v>138</v>
      </c>
      <c r="AE1122" s="20" t="s">
        <v>138</v>
      </c>
      <c r="AF1122" s="20" t="s">
        <v>138</v>
      </c>
      <c r="AG1122" s="15" t="s">
        <v>138</v>
      </c>
      <c r="AH1122" s="20" t="s">
        <v>138</v>
      </c>
      <c r="AI1122" s="20" t="s">
        <v>138</v>
      </c>
      <c r="AJ1122" s="20" t="s">
        <v>138</v>
      </c>
      <c r="AK1122" s="15" t="s">
        <v>21852</v>
      </c>
      <c r="AL1122" s="15" t="s">
        <v>21853</v>
      </c>
      <c r="AM1122" s="15" t="s">
        <v>566</v>
      </c>
      <c r="AN1122" s="15" t="s">
        <v>21854</v>
      </c>
      <c r="AO1122" s="15" t="s">
        <v>21855</v>
      </c>
      <c r="AP1122" s="15" t="s">
        <v>9761</v>
      </c>
      <c r="AQ1122" s="15" t="s">
        <v>21856</v>
      </c>
      <c r="AR1122" s="15" t="s">
        <v>282</v>
      </c>
      <c r="AS1122" s="15" t="s">
        <v>9763</v>
      </c>
      <c r="AT1122" s="15" t="s">
        <v>200</v>
      </c>
      <c r="AU1122" s="15" t="s">
        <v>9764</v>
      </c>
      <c r="AV1122" s="15" t="s">
        <v>162</v>
      </c>
      <c r="AW1122" s="15" t="s">
        <v>21855</v>
      </c>
      <c r="AX1122" s="15" t="s">
        <v>138</v>
      </c>
      <c r="AY1122" s="15" t="s">
        <v>21857</v>
      </c>
      <c r="AZ1122" s="15" t="s">
        <v>164</v>
      </c>
      <c r="BA1122" s="15" t="s">
        <v>165</v>
      </c>
      <c r="BB1122" s="15" t="s">
        <v>21858</v>
      </c>
      <c r="BC1122" s="15" t="s">
        <v>21859</v>
      </c>
      <c r="BD1122" s="21">
        <v>5</v>
      </c>
      <c r="BE1122" s="15" t="s">
        <v>138</v>
      </c>
      <c r="BF1122" s="15" t="s">
        <v>138</v>
      </c>
      <c r="BG1122" s="15" t="s">
        <v>138</v>
      </c>
      <c r="BH1122" s="15" t="s">
        <v>21860</v>
      </c>
      <c r="BI1122" s="15" t="s">
        <v>138</v>
      </c>
      <c r="BJ1122" s="15" t="s">
        <v>138</v>
      </c>
      <c r="BK1122" s="15" t="s">
        <v>290</v>
      </c>
      <c r="BL1122" s="15" t="s">
        <v>290</v>
      </c>
      <c r="BM1122" s="22">
        <v>41219</v>
      </c>
      <c r="BN1122" s="17">
        <v>8.94</v>
      </c>
      <c r="BO1122" s="15" t="s">
        <v>172</v>
      </c>
      <c r="BP1122" s="17">
        <v>17.3</v>
      </c>
      <c r="BQ1122" s="15" t="s">
        <v>172</v>
      </c>
      <c r="BR1122" s="15" t="s">
        <v>173</v>
      </c>
      <c r="BS1122" s="15" t="s">
        <v>206</v>
      </c>
      <c r="BT1122" s="15" t="s">
        <v>138</v>
      </c>
      <c r="BU1122" s="15" t="s">
        <v>174</v>
      </c>
      <c r="BV1122" s="15" t="s">
        <v>138</v>
      </c>
      <c r="BW1122" s="15" t="s">
        <v>138</v>
      </c>
      <c r="BX1122" s="15" t="s">
        <v>138</v>
      </c>
      <c r="BY1122" s="15" t="s">
        <v>175</v>
      </c>
      <c r="BZ1122" s="22">
        <v>43046</v>
      </c>
      <c r="CA1122" s="17">
        <v>25</v>
      </c>
      <c r="CB1122" s="15" t="s">
        <v>172</v>
      </c>
      <c r="CC1122" s="17">
        <v>95</v>
      </c>
      <c r="CD1122" s="15" t="s">
        <v>172</v>
      </c>
      <c r="CE1122" s="15" t="s">
        <v>173</v>
      </c>
      <c r="CF1122" s="15" t="s">
        <v>317</v>
      </c>
      <c r="CG1122" s="15" t="s">
        <v>138</v>
      </c>
      <c r="CH1122" s="15" t="s">
        <v>174</v>
      </c>
      <c r="CI1122" s="15" t="s">
        <v>138</v>
      </c>
      <c r="CJ1122" s="15" t="s">
        <v>138</v>
      </c>
      <c r="CK1122" s="15" t="s">
        <v>138</v>
      </c>
      <c r="CL1122" s="15" t="s">
        <v>175</v>
      </c>
      <c r="CM1122" s="22" t="s">
        <v>138</v>
      </c>
      <c r="CN1122" s="17" t="s">
        <v>138</v>
      </c>
      <c r="CO1122" s="23">
        <v>0.64</v>
      </c>
      <c r="CP1122" s="24">
        <v>96</v>
      </c>
      <c r="CQ1122" s="23">
        <v>-0.03</v>
      </c>
      <c r="CR1122" s="23">
        <v>-4.2</v>
      </c>
      <c r="CS1122" s="23">
        <v>1.23</v>
      </c>
      <c r="CT1122" s="24">
        <v>97</v>
      </c>
      <c r="CU1122" s="23">
        <v>0.05</v>
      </c>
      <c r="CV1122" s="24">
        <v>58</v>
      </c>
      <c r="CW1122" s="23">
        <v>4.25</v>
      </c>
      <c r="CX1122" s="24">
        <v>94</v>
      </c>
      <c r="CY1122" s="23">
        <v>-1.79</v>
      </c>
      <c r="CZ1122" s="24">
        <v>13</v>
      </c>
      <c r="DA1122" s="23">
        <v>0.01</v>
      </c>
      <c r="DB1122" s="24">
        <v>57</v>
      </c>
      <c r="DC1122" s="25">
        <v>21.05</v>
      </c>
      <c r="DD1122" s="24">
        <v>95</v>
      </c>
      <c r="DE1122" s="25">
        <v>-0.52</v>
      </c>
      <c r="DF1122" s="23">
        <v>-2.41</v>
      </c>
      <c r="DG1122" s="25">
        <v>36.44</v>
      </c>
      <c r="DH1122" s="24">
        <v>97</v>
      </c>
      <c r="DI1122" s="25">
        <v>5.67</v>
      </c>
      <c r="DJ1122" s="24">
        <v>79</v>
      </c>
      <c r="DK1122" s="25">
        <v>18.18</v>
      </c>
      <c r="DL1122" s="24">
        <v>91</v>
      </c>
      <c r="DM1122" s="25">
        <v>54.69</v>
      </c>
      <c r="DN1122" s="24">
        <v>98</v>
      </c>
      <c r="DO1122" s="25">
        <v>10.63</v>
      </c>
      <c r="DP1122" s="24">
        <v>88</v>
      </c>
      <c r="DQ1122" s="24">
        <v>6044</v>
      </c>
      <c r="DR1122" s="26">
        <v>578</v>
      </c>
      <c r="DS1122" s="23">
        <v>10.57</v>
      </c>
      <c r="DT1122" s="24">
        <v>1583</v>
      </c>
      <c r="DU1122" s="26">
        <v>8</v>
      </c>
      <c r="DV1122" s="23">
        <v>0.51</v>
      </c>
      <c r="DW1122" s="24">
        <v>3802</v>
      </c>
      <c r="DX1122" s="27">
        <v>4</v>
      </c>
      <c r="DY1122" s="23">
        <v>0.11</v>
      </c>
      <c r="DZ1122" s="15" t="s">
        <v>178</v>
      </c>
      <c r="EA1122" s="22">
        <v>43588</v>
      </c>
      <c r="EB1122" s="17">
        <v>95</v>
      </c>
      <c r="EC1122" s="22">
        <v>43046</v>
      </c>
      <c r="ED1122" s="15" t="s">
        <v>173</v>
      </c>
      <c r="EE1122" s="14" t="str">
        <f>HYPERLINK("https://my.pitchbook.com?c=52748-20", "View company online")</f>
        <v>View company online</v>
      </c>
    </row>
    <row r="1123" spans="1:135">
      <c r="A1123" s="28" t="s">
        <v>21861</v>
      </c>
      <c r="B1123" s="28" t="s">
        <v>21862</v>
      </c>
      <c r="C1123" s="28" t="s">
        <v>138</v>
      </c>
      <c r="D1123" s="28" t="s">
        <v>138</v>
      </c>
      <c r="E1123" s="28" t="s">
        <v>138</v>
      </c>
      <c r="F1123" s="28" t="s">
        <v>21861</v>
      </c>
      <c r="G1123" s="28" t="s">
        <v>21863</v>
      </c>
      <c r="H1123" s="28" t="s">
        <v>238</v>
      </c>
      <c r="I1123" s="28" t="s">
        <v>239</v>
      </c>
      <c r="J1123" s="28" t="s">
        <v>2578</v>
      </c>
      <c r="K1123" s="28" t="s">
        <v>21864</v>
      </c>
      <c r="L1123" s="28" t="s">
        <v>138</v>
      </c>
      <c r="M1123" s="28" t="s">
        <v>21865</v>
      </c>
      <c r="N1123" s="28" t="s">
        <v>147</v>
      </c>
      <c r="O1123" s="29" t="s">
        <v>138</v>
      </c>
      <c r="P1123" s="28" t="s">
        <v>148</v>
      </c>
      <c r="Q1123" s="28" t="s">
        <v>149</v>
      </c>
      <c r="R1123" s="28" t="s">
        <v>174</v>
      </c>
      <c r="S1123" s="28" t="s">
        <v>21866</v>
      </c>
      <c r="T1123" s="30">
        <v>20</v>
      </c>
      <c r="U1123" s="28" t="s">
        <v>15213</v>
      </c>
      <c r="V1123" s="28" t="s">
        <v>138</v>
      </c>
      <c r="W1123" s="28" t="s">
        <v>138</v>
      </c>
      <c r="X1123" s="31">
        <v>2016</v>
      </c>
      <c r="Y1123" s="28" t="s">
        <v>138</v>
      </c>
      <c r="Z1123" s="28" t="s">
        <v>138</v>
      </c>
      <c r="AA1123" s="28" t="s">
        <v>138</v>
      </c>
      <c r="AB1123" s="32" t="s">
        <v>138</v>
      </c>
      <c r="AC1123" s="32" t="s">
        <v>138</v>
      </c>
      <c r="AD1123" s="32" t="s">
        <v>138</v>
      </c>
      <c r="AE1123" s="32" t="s">
        <v>138</v>
      </c>
      <c r="AF1123" s="32" t="s">
        <v>138</v>
      </c>
      <c r="AG1123" s="28" t="s">
        <v>138</v>
      </c>
      <c r="AH1123" s="32" t="s">
        <v>138</v>
      </c>
      <c r="AI1123" s="32" t="s">
        <v>138</v>
      </c>
      <c r="AJ1123" s="32" t="s">
        <v>138</v>
      </c>
      <c r="AK1123" s="28" t="s">
        <v>21867</v>
      </c>
      <c r="AL1123" s="28" t="s">
        <v>21868</v>
      </c>
      <c r="AM1123" s="28" t="s">
        <v>304</v>
      </c>
      <c r="AN1123" s="28" t="s">
        <v>21869</v>
      </c>
      <c r="AO1123" s="28" t="s">
        <v>21870</v>
      </c>
      <c r="AP1123" s="28" t="s">
        <v>446</v>
      </c>
      <c r="AQ1123" s="28" t="s">
        <v>21871</v>
      </c>
      <c r="AR1123" s="28" t="s">
        <v>21872</v>
      </c>
      <c r="AS1123" s="28" t="s">
        <v>449</v>
      </c>
      <c r="AT1123" s="28" t="s">
        <v>138</v>
      </c>
      <c r="AU1123" s="28" t="s">
        <v>138</v>
      </c>
      <c r="AV1123" s="28" t="s">
        <v>450</v>
      </c>
      <c r="AW1123" s="28" t="s">
        <v>21870</v>
      </c>
      <c r="AX1123" s="28" t="s">
        <v>138</v>
      </c>
      <c r="AY1123" s="28" t="s">
        <v>138</v>
      </c>
      <c r="AZ1123" s="28" t="s">
        <v>452</v>
      </c>
      <c r="BA1123" s="28" t="s">
        <v>453</v>
      </c>
      <c r="BB1123" s="28" t="s">
        <v>21873</v>
      </c>
      <c r="BC1123" s="28" t="s">
        <v>21874</v>
      </c>
      <c r="BD1123" s="33">
        <v>3</v>
      </c>
      <c r="BE1123" s="28" t="s">
        <v>138</v>
      </c>
      <c r="BF1123" s="28" t="s">
        <v>138</v>
      </c>
      <c r="BG1123" s="28" t="s">
        <v>138</v>
      </c>
      <c r="BH1123" s="28" t="s">
        <v>21875</v>
      </c>
      <c r="BI1123" s="28" t="s">
        <v>138</v>
      </c>
      <c r="BJ1123" s="28" t="s">
        <v>138</v>
      </c>
      <c r="BK1123" s="28" t="s">
        <v>138</v>
      </c>
      <c r="BL1123" s="28" t="s">
        <v>138</v>
      </c>
      <c r="BM1123" s="34">
        <v>42767</v>
      </c>
      <c r="BN1123" s="29" t="s">
        <v>138</v>
      </c>
      <c r="BO1123" s="28" t="s">
        <v>138</v>
      </c>
      <c r="BP1123" s="29" t="s">
        <v>138</v>
      </c>
      <c r="BQ1123" s="28" t="s">
        <v>138</v>
      </c>
      <c r="BR1123" s="28" t="s">
        <v>234</v>
      </c>
      <c r="BS1123" s="28" t="s">
        <v>234</v>
      </c>
      <c r="BT1123" s="28" t="s">
        <v>138</v>
      </c>
      <c r="BU1123" s="28" t="s">
        <v>174</v>
      </c>
      <c r="BV1123" s="28" t="s">
        <v>138</v>
      </c>
      <c r="BW1123" s="28" t="s">
        <v>138</v>
      </c>
      <c r="BX1123" s="28" t="s">
        <v>138</v>
      </c>
      <c r="BY1123" s="28" t="s">
        <v>175</v>
      </c>
      <c r="BZ1123" s="34">
        <v>43237</v>
      </c>
      <c r="CA1123" s="29" t="s">
        <v>138</v>
      </c>
      <c r="CB1123" s="28" t="s">
        <v>138</v>
      </c>
      <c r="CC1123" s="29" t="s">
        <v>138</v>
      </c>
      <c r="CD1123" s="28" t="s">
        <v>138</v>
      </c>
      <c r="CE1123" s="28" t="s">
        <v>234</v>
      </c>
      <c r="CF1123" s="28" t="s">
        <v>234</v>
      </c>
      <c r="CG1123" s="28" t="s">
        <v>138</v>
      </c>
      <c r="CH1123" s="28" t="s">
        <v>174</v>
      </c>
      <c r="CI1123" s="28" t="s">
        <v>138</v>
      </c>
      <c r="CJ1123" s="28" t="s">
        <v>138</v>
      </c>
      <c r="CK1123" s="28" t="s">
        <v>138</v>
      </c>
      <c r="CL1123" s="28" t="s">
        <v>175</v>
      </c>
      <c r="CM1123" s="34" t="s">
        <v>138</v>
      </c>
      <c r="CN1123" s="29" t="s">
        <v>138</v>
      </c>
      <c r="CO1123" s="35">
        <v>0</v>
      </c>
      <c r="CP1123" s="36">
        <v>26</v>
      </c>
      <c r="CQ1123" s="35">
        <v>0</v>
      </c>
      <c r="CR1123" s="35">
        <v>0</v>
      </c>
      <c r="CS1123" s="35">
        <v>0</v>
      </c>
      <c r="CT1123" s="36">
        <v>23</v>
      </c>
      <c r="CU1123" s="35" t="s">
        <v>138</v>
      </c>
      <c r="CV1123" s="36" t="s">
        <v>138</v>
      </c>
      <c r="CW1123" s="35" t="s">
        <v>138</v>
      </c>
      <c r="CX1123" s="36" t="s">
        <v>138</v>
      </c>
      <c r="CY1123" s="35">
        <v>0</v>
      </c>
      <c r="CZ1123" s="36">
        <v>25</v>
      </c>
      <c r="DA1123" s="35" t="s">
        <v>138</v>
      </c>
      <c r="DB1123" s="36" t="s">
        <v>138</v>
      </c>
      <c r="DC1123" s="37">
        <v>1.03</v>
      </c>
      <c r="DD1123" s="36">
        <v>52</v>
      </c>
      <c r="DE1123" s="37">
        <v>0</v>
      </c>
      <c r="DF1123" s="35">
        <v>0</v>
      </c>
      <c r="DG1123" s="37">
        <v>1.03</v>
      </c>
      <c r="DH1123" s="36">
        <v>52</v>
      </c>
      <c r="DI1123" s="37" t="s">
        <v>138</v>
      </c>
      <c r="DJ1123" s="36" t="s">
        <v>138</v>
      </c>
      <c r="DK1123" s="37" t="s">
        <v>138</v>
      </c>
      <c r="DL1123" s="36" t="s">
        <v>138</v>
      </c>
      <c r="DM1123" s="37">
        <v>1.03</v>
      </c>
      <c r="DN1123" s="36">
        <v>51</v>
      </c>
      <c r="DO1123" s="37" t="s">
        <v>138</v>
      </c>
      <c r="DP1123" s="36" t="s">
        <v>138</v>
      </c>
      <c r="DQ1123" s="36">
        <v>117</v>
      </c>
      <c r="DR1123" s="38">
        <v>-2</v>
      </c>
      <c r="DS1123" s="35">
        <v>-1.68</v>
      </c>
      <c r="DT1123" s="36">
        <v>30</v>
      </c>
      <c r="DU1123" s="38">
        <v>1</v>
      </c>
      <c r="DV1123" s="35">
        <v>3.45</v>
      </c>
      <c r="DW1123" s="36" t="s">
        <v>138</v>
      </c>
      <c r="DX1123" s="39" t="s">
        <v>138</v>
      </c>
      <c r="DY1123" s="35" t="s">
        <v>138</v>
      </c>
      <c r="DZ1123" s="28" t="s">
        <v>178</v>
      </c>
      <c r="EA1123" s="34">
        <v>43489</v>
      </c>
      <c r="EB1123" s="29" t="s">
        <v>138</v>
      </c>
      <c r="EC1123" s="34" t="s">
        <v>138</v>
      </c>
      <c r="ED1123" s="28" t="s">
        <v>138</v>
      </c>
      <c r="EE1123" s="40" t="str">
        <f>HYPERLINK("https://my.pitchbook.com?c=228155-68", "View company online")</f>
        <v>View company online</v>
      </c>
    </row>
    <row r="1124" spans="1:135">
      <c r="A1124" s="15" t="s">
        <v>21876</v>
      </c>
      <c r="B1124" s="15" t="s">
        <v>21877</v>
      </c>
      <c r="C1124" s="15" t="s">
        <v>21878</v>
      </c>
      <c r="D1124" s="15" t="s">
        <v>138</v>
      </c>
      <c r="E1124" s="15" t="s">
        <v>21879</v>
      </c>
      <c r="F1124" s="15" t="s">
        <v>21876</v>
      </c>
      <c r="G1124" s="15" t="s">
        <v>21880</v>
      </c>
      <c r="H1124" s="15" t="s">
        <v>141</v>
      </c>
      <c r="I1124" s="15" t="s">
        <v>212</v>
      </c>
      <c r="J1124" s="15" t="s">
        <v>655</v>
      </c>
      <c r="K1124" s="15" t="s">
        <v>13220</v>
      </c>
      <c r="L1124" s="15" t="s">
        <v>21881</v>
      </c>
      <c r="M1124" s="15" t="s">
        <v>21882</v>
      </c>
      <c r="N1124" s="15" t="s">
        <v>147</v>
      </c>
      <c r="O1124" s="17">
        <v>24.63</v>
      </c>
      <c r="P1124" s="15" t="s">
        <v>148</v>
      </c>
      <c r="Q1124" s="15" t="s">
        <v>149</v>
      </c>
      <c r="R1124" s="15" t="s">
        <v>174</v>
      </c>
      <c r="S1124" s="15" t="s">
        <v>21883</v>
      </c>
      <c r="T1124" s="18">
        <v>68</v>
      </c>
      <c r="U1124" s="15" t="s">
        <v>21884</v>
      </c>
      <c r="V1124" s="15" t="s">
        <v>138</v>
      </c>
      <c r="W1124" s="15" t="s">
        <v>138</v>
      </c>
      <c r="X1124" s="19">
        <v>2009</v>
      </c>
      <c r="Y1124" s="15" t="s">
        <v>138</v>
      </c>
      <c r="Z1124" s="15" t="s">
        <v>21885</v>
      </c>
      <c r="AA1124" s="15" t="s">
        <v>21885</v>
      </c>
      <c r="AB1124" s="20">
        <v>5.58</v>
      </c>
      <c r="AC1124" s="20" t="s">
        <v>138</v>
      </c>
      <c r="AD1124" s="20" t="s">
        <v>138</v>
      </c>
      <c r="AE1124" s="20" t="s">
        <v>138</v>
      </c>
      <c r="AF1124" s="20" t="s">
        <v>138</v>
      </c>
      <c r="AG1124" s="15" t="s">
        <v>707</v>
      </c>
      <c r="AH1124" s="20" t="s">
        <v>138</v>
      </c>
      <c r="AI1124" s="20" t="s">
        <v>138</v>
      </c>
      <c r="AJ1124" s="20" t="s">
        <v>138</v>
      </c>
      <c r="AK1124" s="15" t="s">
        <v>21886</v>
      </c>
      <c r="AL1124" s="15" t="s">
        <v>21887</v>
      </c>
      <c r="AM1124" s="15" t="s">
        <v>21888</v>
      </c>
      <c r="AN1124" s="15" t="s">
        <v>21889</v>
      </c>
      <c r="AO1124" s="15" t="s">
        <v>21890</v>
      </c>
      <c r="AP1124" s="15" t="s">
        <v>17027</v>
      </c>
      <c r="AQ1124" s="15" t="s">
        <v>21891</v>
      </c>
      <c r="AR1124" s="15" t="s">
        <v>1170</v>
      </c>
      <c r="AS1124" s="15" t="s">
        <v>17029</v>
      </c>
      <c r="AT1124" s="15" t="s">
        <v>4493</v>
      </c>
      <c r="AU1124" s="15" t="s">
        <v>21892</v>
      </c>
      <c r="AV1124" s="15" t="s">
        <v>162</v>
      </c>
      <c r="AW1124" s="15" t="s">
        <v>21893</v>
      </c>
      <c r="AX1124" s="15" t="s">
        <v>138</v>
      </c>
      <c r="AY1124" s="15" t="s">
        <v>21894</v>
      </c>
      <c r="AZ1124" s="15" t="s">
        <v>164</v>
      </c>
      <c r="BA1124" s="15" t="s">
        <v>165</v>
      </c>
      <c r="BB1124" s="15" t="s">
        <v>21895</v>
      </c>
      <c r="BC1124" s="15" t="s">
        <v>21896</v>
      </c>
      <c r="BD1124" s="21">
        <v>12</v>
      </c>
      <c r="BE1124" s="15" t="s">
        <v>138</v>
      </c>
      <c r="BF1124" s="15" t="s">
        <v>138</v>
      </c>
      <c r="BG1124" s="15" t="s">
        <v>138</v>
      </c>
      <c r="BH1124" s="15" t="s">
        <v>21897</v>
      </c>
      <c r="BI1124" s="15" t="s">
        <v>138</v>
      </c>
      <c r="BJ1124" s="15" t="s">
        <v>138</v>
      </c>
      <c r="BK1124" s="15" t="s">
        <v>138</v>
      </c>
      <c r="BL1124" s="15" t="s">
        <v>138</v>
      </c>
      <c r="BM1124" s="22">
        <v>39845</v>
      </c>
      <c r="BN1124" s="17">
        <v>0.03</v>
      </c>
      <c r="BO1124" s="15" t="s">
        <v>172</v>
      </c>
      <c r="BP1124" s="17" t="s">
        <v>138</v>
      </c>
      <c r="BQ1124" s="15" t="s">
        <v>138</v>
      </c>
      <c r="BR1124" s="15" t="s">
        <v>316</v>
      </c>
      <c r="BS1124" s="15" t="s">
        <v>138</v>
      </c>
      <c r="BT1124" s="15" t="s">
        <v>138</v>
      </c>
      <c r="BU1124" s="15" t="s">
        <v>174</v>
      </c>
      <c r="BV1124" s="15" t="s">
        <v>138</v>
      </c>
      <c r="BW1124" s="15" t="s">
        <v>138</v>
      </c>
      <c r="BX1124" s="15" t="s">
        <v>138</v>
      </c>
      <c r="BY1124" s="15" t="s">
        <v>175</v>
      </c>
      <c r="BZ1124" s="22">
        <v>43027</v>
      </c>
      <c r="CA1124" s="17">
        <v>6.62</v>
      </c>
      <c r="CB1124" s="15" t="s">
        <v>172</v>
      </c>
      <c r="CC1124" s="17">
        <v>42.52</v>
      </c>
      <c r="CD1124" s="15" t="s">
        <v>172</v>
      </c>
      <c r="CE1124" s="15" t="s">
        <v>173</v>
      </c>
      <c r="CF1124" s="15" t="s">
        <v>2359</v>
      </c>
      <c r="CG1124" s="15" t="s">
        <v>138</v>
      </c>
      <c r="CH1124" s="15" t="s">
        <v>174</v>
      </c>
      <c r="CI1124" s="15" t="s">
        <v>138</v>
      </c>
      <c r="CJ1124" s="15" t="s">
        <v>138</v>
      </c>
      <c r="CK1124" s="15" t="s">
        <v>138</v>
      </c>
      <c r="CL1124" s="15" t="s">
        <v>175</v>
      </c>
      <c r="CM1124" s="22" t="s">
        <v>138</v>
      </c>
      <c r="CN1124" s="17" t="s">
        <v>138</v>
      </c>
      <c r="CO1124" s="23">
        <v>-1.23</v>
      </c>
      <c r="CP1124" s="24">
        <v>9</v>
      </c>
      <c r="CQ1124" s="23">
        <v>0</v>
      </c>
      <c r="CR1124" s="23">
        <v>-0.37</v>
      </c>
      <c r="CS1124" s="23">
        <v>-2.52</v>
      </c>
      <c r="CT1124" s="24">
        <v>7</v>
      </c>
      <c r="CU1124" s="23">
        <v>0.05</v>
      </c>
      <c r="CV1124" s="24">
        <v>58</v>
      </c>
      <c r="CW1124" s="23">
        <v>-2.52</v>
      </c>
      <c r="CX1124" s="24">
        <v>6</v>
      </c>
      <c r="CY1124" s="23" t="s">
        <v>138</v>
      </c>
      <c r="CZ1124" s="24" t="s">
        <v>138</v>
      </c>
      <c r="DA1124" s="23">
        <v>0.05</v>
      </c>
      <c r="DB1124" s="24">
        <v>64</v>
      </c>
      <c r="DC1124" s="25">
        <v>30.79</v>
      </c>
      <c r="DD1124" s="24">
        <v>97</v>
      </c>
      <c r="DE1124" s="25">
        <v>-2.38</v>
      </c>
      <c r="DF1124" s="23">
        <v>-7.18</v>
      </c>
      <c r="DG1124" s="25">
        <v>38.1</v>
      </c>
      <c r="DH1124" s="24">
        <v>97</v>
      </c>
      <c r="DI1124" s="25">
        <v>23.47</v>
      </c>
      <c r="DJ1124" s="24">
        <v>92</v>
      </c>
      <c r="DK1124" s="25">
        <v>38.1</v>
      </c>
      <c r="DL1124" s="24">
        <v>95</v>
      </c>
      <c r="DM1124" s="25" t="s">
        <v>138</v>
      </c>
      <c r="DN1124" s="24" t="s">
        <v>138</v>
      </c>
      <c r="DO1124" s="25">
        <v>23.47</v>
      </c>
      <c r="DP1124" s="24">
        <v>93</v>
      </c>
      <c r="DQ1124" s="24">
        <v>13225</v>
      </c>
      <c r="DR1124" s="26">
        <v>-466</v>
      </c>
      <c r="DS1124" s="23">
        <v>-3.4</v>
      </c>
      <c r="DT1124" s="24" t="s">
        <v>138</v>
      </c>
      <c r="DU1124" s="26" t="s">
        <v>138</v>
      </c>
      <c r="DV1124" s="23" t="s">
        <v>138</v>
      </c>
      <c r="DW1124" s="24">
        <v>8404</v>
      </c>
      <c r="DX1124" s="27">
        <v>4</v>
      </c>
      <c r="DY1124" s="23">
        <v>0.05</v>
      </c>
      <c r="DZ1124" s="15" t="s">
        <v>178</v>
      </c>
      <c r="EA1124" s="22">
        <v>43622</v>
      </c>
      <c r="EB1124" s="17">
        <v>42.52</v>
      </c>
      <c r="EC1124" s="22">
        <v>43027</v>
      </c>
      <c r="ED1124" s="15" t="s">
        <v>173</v>
      </c>
      <c r="EE1124" s="14" t="str">
        <f>HYPERLINK("https://my.pitchbook.com?c=52163-83", "View company online")</f>
        <v>View company online</v>
      </c>
    </row>
    <row r="1125" spans="1:135">
      <c r="A1125" s="28" t="s">
        <v>21898</v>
      </c>
      <c r="B1125" s="28" t="s">
        <v>21899</v>
      </c>
      <c r="C1125" s="28" t="s">
        <v>21900</v>
      </c>
      <c r="D1125" s="28" t="s">
        <v>21901</v>
      </c>
      <c r="E1125" s="28" t="s">
        <v>21902</v>
      </c>
      <c r="F1125" s="28" t="s">
        <v>21898</v>
      </c>
      <c r="G1125" s="28" t="s">
        <v>21903</v>
      </c>
      <c r="H1125" s="28" t="s">
        <v>141</v>
      </c>
      <c r="I1125" s="28" t="s">
        <v>212</v>
      </c>
      <c r="J1125" s="28" t="s">
        <v>213</v>
      </c>
      <c r="K1125" s="28" t="s">
        <v>21904</v>
      </c>
      <c r="L1125" s="28" t="s">
        <v>21905</v>
      </c>
      <c r="M1125" s="28" t="s">
        <v>21906</v>
      </c>
      <c r="N1125" s="28" t="s">
        <v>147</v>
      </c>
      <c r="O1125" s="29">
        <v>94.36</v>
      </c>
      <c r="P1125" s="28" t="s">
        <v>812</v>
      </c>
      <c r="Q1125" s="28" t="s">
        <v>149</v>
      </c>
      <c r="R1125" s="28" t="s">
        <v>174</v>
      </c>
      <c r="S1125" s="28" t="s">
        <v>21907</v>
      </c>
      <c r="T1125" s="30">
        <v>85</v>
      </c>
      <c r="U1125" s="28" t="s">
        <v>21908</v>
      </c>
      <c r="V1125" s="28" t="s">
        <v>138</v>
      </c>
      <c r="W1125" s="28" t="s">
        <v>138</v>
      </c>
      <c r="X1125" s="31">
        <v>2009</v>
      </c>
      <c r="Y1125" s="28" t="s">
        <v>138</v>
      </c>
      <c r="Z1125" s="28" t="s">
        <v>138</v>
      </c>
      <c r="AA1125" s="28" t="s">
        <v>138</v>
      </c>
      <c r="AB1125" s="32" t="s">
        <v>138</v>
      </c>
      <c r="AC1125" s="32" t="s">
        <v>138</v>
      </c>
      <c r="AD1125" s="32" t="s">
        <v>138</v>
      </c>
      <c r="AE1125" s="32" t="s">
        <v>138</v>
      </c>
      <c r="AF1125" s="32" t="s">
        <v>138</v>
      </c>
      <c r="AG1125" s="28" t="s">
        <v>138</v>
      </c>
      <c r="AH1125" s="32" t="s">
        <v>138</v>
      </c>
      <c r="AI1125" s="32" t="s">
        <v>138</v>
      </c>
      <c r="AJ1125" s="32" t="s">
        <v>138</v>
      </c>
      <c r="AK1125" s="28" t="s">
        <v>21909</v>
      </c>
      <c r="AL1125" s="28" t="s">
        <v>21910</v>
      </c>
      <c r="AM1125" s="28" t="s">
        <v>304</v>
      </c>
      <c r="AN1125" s="28" t="s">
        <v>21911</v>
      </c>
      <c r="AO1125" s="28" t="s">
        <v>138</v>
      </c>
      <c r="AP1125" s="28" t="s">
        <v>1292</v>
      </c>
      <c r="AQ1125" s="28" t="s">
        <v>21912</v>
      </c>
      <c r="AR1125" s="28" t="s">
        <v>2245</v>
      </c>
      <c r="AS1125" s="28" t="s">
        <v>1294</v>
      </c>
      <c r="AT1125" s="28" t="s">
        <v>864</v>
      </c>
      <c r="AU1125" s="28" t="s">
        <v>3579</v>
      </c>
      <c r="AV1125" s="28" t="s">
        <v>162</v>
      </c>
      <c r="AW1125" s="28" t="s">
        <v>138</v>
      </c>
      <c r="AX1125" s="28" t="s">
        <v>138</v>
      </c>
      <c r="AY1125" s="28" t="s">
        <v>21913</v>
      </c>
      <c r="AZ1125" s="28" t="s">
        <v>164</v>
      </c>
      <c r="BA1125" s="28" t="s">
        <v>165</v>
      </c>
      <c r="BB1125" s="28" t="s">
        <v>21914</v>
      </c>
      <c r="BC1125" s="28" t="s">
        <v>21915</v>
      </c>
      <c r="BD1125" s="33">
        <v>14</v>
      </c>
      <c r="BE1125" s="28" t="s">
        <v>138</v>
      </c>
      <c r="BF1125" s="28" t="s">
        <v>138</v>
      </c>
      <c r="BG1125" s="28" t="s">
        <v>138</v>
      </c>
      <c r="BH1125" s="28" t="s">
        <v>21916</v>
      </c>
      <c r="BI1125" s="28" t="s">
        <v>138</v>
      </c>
      <c r="BJ1125" s="28" t="s">
        <v>138</v>
      </c>
      <c r="BK1125" s="28" t="s">
        <v>21917</v>
      </c>
      <c r="BL1125" s="28" t="s">
        <v>21917</v>
      </c>
      <c r="BM1125" s="34">
        <v>40253</v>
      </c>
      <c r="BN1125" s="29">
        <v>1.18</v>
      </c>
      <c r="BO1125" s="28" t="s">
        <v>172</v>
      </c>
      <c r="BP1125" s="29">
        <v>5</v>
      </c>
      <c r="BQ1125" s="28" t="s">
        <v>172</v>
      </c>
      <c r="BR1125" s="28" t="s">
        <v>205</v>
      </c>
      <c r="BS1125" s="28" t="s">
        <v>206</v>
      </c>
      <c r="BT1125" s="28" t="s">
        <v>138</v>
      </c>
      <c r="BU1125" s="28" t="s">
        <v>174</v>
      </c>
      <c r="BV1125" s="28" t="s">
        <v>138</v>
      </c>
      <c r="BW1125" s="28" t="s">
        <v>138</v>
      </c>
      <c r="BX1125" s="28" t="s">
        <v>138</v>
      </c>
      <c r="BY1125" s="28" t="s">
        <v>175</v>
      </c>
      <c r="BZ1125" s="34">
        <v>42418</v>
      </c>
      <c r="CA1125" s="29">
        <v>57</v>
      </c>
      <c r="CB1125" s="28" t="s">
        <v>172</v>
      </c>
      <c r="CC1125" s="29">
        <v>388.2</v>
      </c>
      <c r="CD1125" s="28" t="s">
        <v>172</v>
      </c>
      <c r="CE1125" s="28" t="s">
        <v>173</v>
      </c>
      <c r="CF1125" s="28" t="s">
        <v>317</v>
      </c>
      <c r="CG1125" s="28" t="s">
        <v>138</v>
      </c>
      <c r="CH1125" s="28" t="s">
        <v>174</v>
      </c>
      <c r="CI1125" s="28" t="s">
        <v>138</v>
      </c>
      <c r="CJ1125" s="28" t="s">
        <v>138</v>
      </c>
      <c r="CK1125" s="28" t="s">
        <v>138</v>
      </c>
      <c r="CL1125" s="28" t="s">
        <v>175</v>
      </c>
      <c r="CM1125" s="34" t="s">
        <v>138</v>
      </c>
      <c r="CN1125" s="29" t="s">
        <v>138</v>
      </c>
      <c r="CO1125" s="35">
        <v>-1.05</v>
      </c>
      <c r="CP1125" s="36">
        <v>11</v>
      </c>
      <c r="CQ1125" s="35">
        <v>-0.01</v>
      </c>
      <c r="CR1125" s="35">
        <v>-0.97</v>
      </c>
      <c r="CS1125" s="35">
        <v>-2.08</v>
      </c>
      <c r="CT1125" s="36">
        <v>8</v>
      </c>
      <c r="CU1125" s="35">
        <v>-0.02</v>
      </c>
      <c r="CV1125" s="36">
        <v>17</v>
      </c>
      <c r="CW1125" s="35">
        <v>0</v>
      </c>
      <c r="CX1125" s="36">
        <v>13</v>
      </c>
      <c r="CY1125" s="35">
        <v>-4.1500000000000004</v>
      </c>
      <c r="CZ1125" s="36">
        <v>4</v>
      </c>
      <c r="DA1125" s="35">
        <v>-0.01</v>
      </c>
      <c r="DB1125" s="36">
        <v>21</v>
      </c>
      <c r="DC1125" s="37">
        <v>13.18</v>
      </c>
      <c r="DD1125" s="36">
        <v>92</v>
      </c>
      <c r="DE1125" s="37">
        <v>-0.06</v>
      </c>
      <c r="DF1125" s="35">
        <v>-0.45</v>
      </c>
      <c r="DG1125" s="37">
        <v>18.62</v>
      </c>
      <c r="DH1125" s="36">
        <v>94</v>
      </c>
      <c r="DI1125" s="37">
        <v>7.75</v>
      </c>
      <c r="DJ1125" s="36">
        <v>83</v>
      </c>
      <c r="DK1125" s="37">
        <v>1.48</v>
      </c>
      <c r="DL1125" s="36">
        <v>58</v>
      </c>
      <c r="DM1125" s="37">
        <v>35.76</v>
      </c>
      <c r="DN1125" s="36">
        <v>97</v>
      </c>
      <c r="DO1125" s="37">
        <v>13.17</v>
      </c>
      <c r="DP1125" s="36">
        <v>90</v>
      </c>
      <c r="DQ1125" s="36">
        <v>514</v>
      </c>
      <c r="DR1125" s="38">
        <v>-27</v>
      </c>
      <c r="DS1125" s="35">
        <v>-4.99</v>
      </c>
      <c r="DT1125" s="36">
        <v>1038</v>
      </c>
      <c r="DU1125" s="38">
        <v>-4</v>
      </c>
      <c r="DV1125" s="35">
        <v>-0.38</v>
      </c>
      <c r="DW1125" s="36">
        <v>4718</v>
      </c>
      <c r="DX1125" s="39">
        <v>-3</v>
      </c>
      <c r="DY1125" s="35">
        <v>-0.06</v>
      </c>
      <c r="DZ1125" s="28" t="s">
        <v>178</v>
      </c>
      <c r="EA1125" s="34">
        <v>43446</v>
      </c>
      <c r="EB1125" s="29">
        <v>388.2</v>
      </c>
      <c r="EC1125" s="34">
        <v>42418</v>
      </c>
      <c r="ED1125" s="28" t="s">
        <v>173</v>
      </c>
      <c r="EE1125" s="40" t="str">
        <f>HYPERLINK("https://my.pitchbook.com?c=51747-94", "View company online")</f>
        <v>View company online</v>
      </c>
    </row>
    <row r="1126" spans="1:135">
      <c r="A1126" s="15" t="s">
        <v>21918</v>
      </c>
      <c r="B1126" s="15" t="s">
        <v>21919</v>
      </c>
      <c r="C1126" s="15" t="s">
        <v>21920</v>
      </c>
      <c r="D1126" s="15" t="s">
        <v>138</v>
      </c>
      <c r="E1126" s="15" t="s">
        <v>21921</v>
      </c>
      <c r="F1126" s="15" t="s">
        <v>21918</v>
      </c>
      <c r="G1126" s="15" t="s">
        <v>21922</v>
      </c>
      <c r="H1126" s="15" t="s">
        <v>322</v>
      </c>
      <c r="I1126" s="15" t="s">
        <v>323</v>
      </c>
      <c r="J1126" s="15" t="s">
        <v>1184</v>
      </c>
      <c r="K1126" s="15" t="s">
        <v>21923</v>
      </c>
      <c r="L1126" s="15" t="s">
        <v>215</v>
      </c>
      <c r="M1126" s="15" t="s">
        <v>21924</v>
      </c>
      <c r="N1126" s="15" t="s">
        <v>147</v>
      </c>
      <c r="O1126" s="17">
        <v>121.08</v>
      </c>
      <c r="P1126" s="15" t="s">
        <v>148</v>
      </c>
      <c r="Q1126" s="15" t="s">
        <v>149</v>
      </c>
      <c r="R1126" s="15" t="s">
        <v>244</v>
      </c>
      <c r="S1126" s="15" t="s">
        <v>21925</v>
      </c>
      <c r="T1126" s="18">
        <v>241</v>
      </c>
      <c r="U1126" s="15" t="s">
        <v>21926</v>
      </c>
      <c r="V1126" s="15" t="s">
        <v>138</v>
      </c>
      <c r="W1126" s="15" t="s">
        <v>138</v>
      </c>
      <c r="X1126" s="19">
        <v>1999</v>
      </c>
      <c r="Y1126" s="15" t="s">
        <v>138</v>
      </c>
      <c r="Z1126" s="15" t="s">
        <v>138</v>
      </c>
      <c r="AA1126" s="15" t="s">
        <v>138</v>
      </c>
      <c r="AB1126" s="20" t="s">
        <v>138</v>
      </c>
      <c r="AC1126" s="20" t="s">
        <v>138</v>
      </c>
      <c r="AD1126" s="20" t="s">
        <v>138</v>
      </c>
      <c r="AE1126" s="20" t="s">
        <v>138</v>
      </c>
      <c r="AF1126" s="20" t="s">
        <v>138</v>
      </c>
      <c r="AG1126" s="15" t="s">
        <v>138</v>
      </c>
      <c r="AH1126" s="20" t="s">
        <v>138</v>
      </c>
      <c r="AI1126" s="20" t="s">
        <v>138</v>
      </c>
      <c r="AJ1126" s="20" t="s">
        <v>138</v>
      </c>
      <c r="AK1126" s="15" t="s">
        <v>21927</v>
      </c>
      <c r="AL1126" s="15" t="s">
        <v>21928</v>
      </c>
      <c r="AM1126" s="15" t="s">
        <v>21929</v>
      </c>
      <c r="AN1126" s="15" t="s">
        <v>138</v>
      </c>
      <c r="AO1126" s="15" t="s">
        <v>21930</v>
      </c>
      <c r="AP1126" s="15" t="s">
        <v>3839</v>
      </c>
      <c r="AQ1126" s="15" t="s">
        <v>21931</v>
      </c>
      <c r="AR1126" s="15" t="s">
        <v>138</v>
      </c>
      <c r="AS1126" s="15" t="s">
        <v>3841</v>
      </c>
      <c r="AT1126" s="15" t="s">
        <v>200</v>
      </c>
      <c r="AU1126" s="15" t="s">
        <v>3842</v>
      </c>
      <c r="AV1126" s="15" t="s">
        <v>162</v>
      </c>
      <c r="AW1126" s="15" t="s">
        <v>21930</v>
      </c>
      <c r="AX1126" s="15" t="s">
        <v>138</v>
      </c>
      <c r="AY1126" s="15" t="s">
        <v>21932</v>
      </c>
      <c r="AZ1126" s="15" t="s">
        <v>164</v>
      </c>
      <c r="BA1126" s="15" t="s">
        <v>165</v>
      </c>
      <c r="BB1126" s="15" t="s">
        <v>21933</v>
      </c>
      <c r="BC1126" s="15" t="s">
        <v>21934</v>
      </c>
      <c r="BD1126" s="21">
        <v>10</v>
      </c>
      <c r="BE1126" s="15" t="s">
        <v>138</v>
      </c>
      <c r="BF1126" s="15" t="s">
        <v>21935</v>
      </c>
      <c r="BG1126" s="15" t="s">
        <v>138</v>
      </c>
      <c r="BH1126" s="15" t="s">
        <v>21936</v>
      </c>
      <c r="BI1126" s="15" t="s">
        <v>21937</v>
      </c>
      <c r="BJ1126" s="15" t="s">
        <v>138</v>
      </c>
      <c r="BK1126" s="15" t="s">
        <v>138</v>
      </c>
      <c r="BL1126" s="15" t="s">
        <v>11847</v>
      </c>
      <c r="BM1126" s="22">
        <v>36563</v>
      </c>
      <c r="BN1126" s="17">
        <v>30</v>
      </c>
      <c r="BO1126" s="15" t="s">
        <v>172</v>
      </c>
      <c r="BP1126" s="17">
        <v>158.75</v>
      </c>
      <c r="BQ1126" s="15" t="s">
        <v>172</v>
      </c>
      <c r="BR1126" s="15" t="s">
        <v>205</v>
      </c>
      <c r="BS1126" s="15" t="s">
        <v>206</v>
      </c>
      <c r="BT1126" s="15" t="s">
        <v>138</v>
      </c>
      <c r="BU1126" s="15" t="s">
        <v>174</v>
      </c>
      <c r="BV1126" s="15" t="s">
        <v>138</v>
      </c>
      <c r="BW1126" s="15" t="s">
        <v>138</v>
      </c>
      <c r="BX1126" s="15" t="s">
        <v>138</v>
      </c>
      <c r="BY1126" s="15" t="s">
        <v>175</v>
      </c>
      <c r="BZ1126" s="22" t="s">
        <v>138</v>
      </c>
      <c r="CA1126" s="17" t="s">
        <v>138</v>
      </c>
      <c r="CB1126" s="15" t="s">
        <v>138</v>
      </c>
      <c r="CC1126" s="17" t="s">
        <v>138</v>
      </c>
      <c r="CD1126" s="15" t="s">
        <v>138</v>
      </c>
      <c r="CE1126" s="15" t="s">
        <v>1326</v>
      </c>
      <c r="CF1126" s="15" t="s">
        <v>138</v>
      </c>
      <c r="CG1126" s="15" t="s">
        <v>138</v>
      </c>
      <c r="CH1126" s="15" t="s">
        <v>1327</v>
      </c>
      <c r="CI1126" s="15" t="s">
        <v>1328</v>
      </c>
      <c r="CJ1126" s="15" t="s">
        <v>138</v>
      </c>
      <c r="CK1126" s="15" t="s">
        <v>138</v>
      </c>
      <c r="CL1126" s="15" t="s">
        <v>175</v>
      </c>
      <c r="CM1126" s="22" t="s">
        <v>138</v>
      </c>
      <c r="CN1126" s="17" t="s">
        <v>138</v>
      </c>
      <c r="CO1126" s="23">
        <v>-1.19</v>
      </c>
      <c r="CP1126" s="24">
        <v>9</v>
      </c>
      <c r="CQ1126" s="23">
        <v>-0.01</v>
      </c>
      <c r="CR1126" s="23">
        <v>-0.67</v>
      </c>
      <c r="CS1126" s="23">
        <v>-2.35</v>
      </c>
      <c r="CT1126" s="24">
        <v>7</v>
      </c>
      <c r="CU1126" s="23">
        <v>-0.02</v>
      </c>
      <c r="CV1126" s="24">
        <v>17</v>
      </c>
      <c r="CW1126" s="23">
        <v>0</v>
      </c>
      <c r="CX1126" s="24">
        <v>13</v>
      </c>
      <c r="CY1126" s="23">
        <v>-4.7</v>
      </c>
      <c r="CZ1126" s="24">
        <v>4</v>
      </c>
      <c r="DA1126" s="23">
        <v>-0.04</v>
      </c>
      <c r="DB1126" s="24">
        <v>15</v>
      </c>
      <c r="DC1126" s="25">
        <v>6.31</v>
      </c>
      <c r="DD1126" s="24">
        <v>85</v>
      </c>
      <c r="DE1126" s="25">
        <v>-0.04</v>
      </c>
      <c r="DF1126" s="23">
        <v>-0.6</v>
      </c>
      <c r="DG1126" s="25">
        <v>11.33</v>
      </c>
      <c r="DH1126" s="24">
        <v>91</v>
      </c>
      <c r="DI1126" s="25">
        <v>1.29</v>
      </c>
      <c r="DJ1126" s="24">
        <v>54</v>
      </c>
      <c r="DK1126" s="25">
        <v>0.46</v>
      </c>
      <c r="DL1126" s="24">
        <v>34</v>
      </c>
      <c r="DM1126" s="25">
        <v>22.21</v>
      </c>
      <c r="DN1126" s="24">
        <v>95</v>
      </c>
      <c r="DO1126" s="25">
        <v>2.4700000000000002</v>
      </c>
      <c r="DP1126" s="24">
        <v>68</v>
      </c>
      <c r="DQ1126" s="24">
        <v>151</v>
      </c>
      <c r="DR1126" s="26">
        <v>19</v>
      </c>
      <c r="DS1126" s="23">
        <v>14.39</v>
      </c>
      <c r="DT1126" s="24">
        <v>645</v>
      </c>
      <c r="DU1126" s="26">
        <v>-1</v>
      </c>
      <c r="DV1126" s="23">
        <v>-0.15</v>
      </c>
      <c r="DW1126" s="24">
        <v>887</v>
      </c>
      <c r="DX1126" s="27">
        <v>0</v>
      </c>
      <c r="DY1126" s="23">
        <v>0</v>
      </c>
      <c r="DZ1126" s="15" t="s">
        <v>178</v>
      </c>
      <c r="EA1126" s="22">
        <v>43375</v>
      </c>
      <c r="EB1126" s="17">
        <v>483.88</v>
      </c>
      <c r="EC1126" s="22">
        <v>36816</v>
      </c>
      <c r="ED1126" s="15" t="s">
        <v>205</v>
      </c>
      <c r="EE1126" s="14" t="str">
        <f>HYPERLINK("https://my.pitchbook.com?c=13258-63", "View company online")</f>
        <v>View company online</v>
      </c>
    </row>
    <row r="1127" spans="1:135">
      <c r="A1127" s="28" t="s">
        <v>21938</v>
      </c>
      <c r="B1127" s="28" t="s">
        <v>21939</v>
      </c>
      <c r="C1127" s="28" t="s">
        <v>138</v>
      </c>
      <c r="D1127" s="28" t="s">
        <v>138</v>
      </c>
      <c r="E1127" s="28" t="s">
        <v>138</v>
      </c>
      <c r="F1127" s="28" t="s">
        <v>21938</v>
      </c>
      <c r="G1127" s="28" t="s">
        <v>21940</v>
      </c>
      <c r="H1127" s="28" t="s">
        <v>322</v>
      </c>
      <c r="I1127" s="28" t="s">
        <v>323</v>
      </c>
      <c r="J1127" s="28" t="s">
        <v>461</v>
      </c>
      <c r="K1127" s="28" t="s">
        <v>21941</v>
      </c>
      <c r="L1127" s="28" t="s">
        <v>21942</v>
      </c>
      <c r="M1127" s="28" t="s">
        <v>21943</v>
      </c>
      <c r="N1127" s="28" t="s">
        <v>542</v>
      </c>
      <c r="O1127" s="29" t="s">
        <v>138</v>
      </c>
      <c r="P1127" s="28" t="s">
        <v>148</v>
      </c>
      <c r="Q1127" s="28" t="s">
        <v>149</v>
      </c>
      <c r="R1127" s="28" t="s">
        <v>174</v>
      </c>
      <c r="S1127" s="28" t="s">
        <v>21944</v>
      </c>
      <c r="T1127" s="30" t="s">
        <v>138</v>
      </c>
      <c r="U1127" s="28" t="s">
        <v>138</v>
      </c>
      <c r="V1127" s="28" t="s">
        <v>138</v>
      </c>
      <c r="W1127" s="28" t="s">
        <v>138</v>
      </c>
      <c r="X1127" s="31">
        <v>2016</v>
      </c>
      <c r="Y1127" s="28" t="s">
        <v>138</v>
      </c>
      <c r="Z1127" s="28" t="s">
        <v>138</v>
      </c>
      <c r="AA1127" s="28" t="s">
        <v>138</v>
      </c>
      <c r="AB1127" s="32" t="s">
        <v>138</v>
      </c>
      <c r="AC1127" s="32" t="s">
        <v>138</v>
      </c>
      <c r="AD1127" s="32" t="s">
        <v>138</v>
      </c>
      <c r="AE1127" s="32" t="s">
        <v>138</v>
      </c>
      <c r="AF1127" s="32" t="s">
        <v>138</v>
      </c>
      <c r="AG1127" s="28" t="s">
        <v>138</v>
      </c>
      <c r="AH1127" s="32" t="s">
        <v>138</v>
      </c>
      <c r="AI1127" s="32" t="s">
        <v>138</v>
      </c>
      <c r="AJ1127" s="32" t="s">
        <v>138</v>
      </c>
      <c r="AK1127" s="28" t="s">
        <v>21945</v>
      </c>
      <c r="AL1127" s="28" t="s">
        <v>21946</v>
      </c>
      <c r="AM1127" s="28" t="s">
        <v>1004</v>
      </c>
      <c r="AN1127" s="28" t="s">
        <v>138</v>
      </c>
      <c r="AO1127" s="28" t="s">
        <v>21947</v>
      </c>
      <c r="AP1127" s="28" t="s">
        <v>21948</v>
      </c>
      <c r="AQ1127" s="28" t="s">
        <v>21949</v>
      </c>
      <c r="AR1127" s="28" t="s">
        <v>138</v>
      </c>
      <c r="AS1127" s="28" t="s">
        <v>21950</v>
      </c>
      <c r="AT1127" s="28" t="s">
        <v>138</v>
      </c>
      <c r="AU1127" s="28" t="s">
        <v>138</v>
      </c>
      <c r="AV1127" s="28" t="s">
        <v>740</v>
      </c>
      <c r="AW1127" s="28" t="s">
        <v>21947</v>
      </c>
      <c r="AX1127" s="28" t="s">
        <v>138</v>
      </c>
      <c r="AY1127" s="28" t="s">
        <v>21951</v>
      </c>
      <c r="AZ1127" s="28" t="s">
        <v>742</v>
      </c>
      <c r="BA1127" s="28" t="s">
        <v>742</v>
      </c>
      <c r="BB1127" s="28" t="s">
        <v>3065</v>
      </c>
      <c r="BC1127" s="28" t="s">
        <v>3066</v>
      </c>
      <c r="BD1127" s="33">
        <v>2</v>
      </c>
      <c r="BE1127" s="28" t="s">
        <v>138</v>
      </c>
      <c r="BF1127" s="28" t="s">
        <v>138</v>
      </c>
      <c r="BG1127" s="28" t="s">
        <v>138</v>
      </c>
      <c r="BH1127" s="28" t="s">
        <v>3067</v>
      </c>
      <c r="BI1127" s="28" t="s">
        <v>138</v>
      </c>
      <c r="BJ1127" s="28" t="s">
        <v>138</v>
      </c>
      <c r="BK1127" s="28" t="s">
        <v>138</v>
      </c>
      <c r="BL1127" s="28" t="s">
        <v>138</v>
      </c>
      <c r="BM1127" s="34" t="s">
        <v>138</v>
      </c>
      <c r="BN1127" s="29" t="s">
        <v>138</v>
      </c>
      <c r="BO1127" s="28" t="s">
        <v>138</v>
      </c>
      <c r="BP1127" s="29" t="s">
        <v>138</v>
      </c>
      <c r="BQ1127" s="28" t="s">
        <v>138</v>
      </c>
      <c r="BR1127" s="28" t="s">
        <v>316</v>
      </c>
      <c r="BS1127" s="28" t="s">
        <v>138</v>
      </c>
      <c r="BT1127" s="28" t="s">
        <v>138</v>
      </c>
      <c r="BU1127" s="28" t="s">
        <v>177</v>
      </c>
      <c r="BV1127" s="28" t="s">
        <v>138</v>
      </c>
      <c r="BW1127" s="28" t="s">
        <v>138</v>
      </c>
      <c r="BX1127" s="28" t="s">
        <v>138</v>
      </c>
      <c r="BY1127" s="28" t="s">
        <v>175</v>
      </c>
      <c r="BZ1127" s="34">
        <v>43101</v>
      </c>
      <c r="CA1127" s="29" t="s">
        <v>138</v>
      </c>
      <c r="CB1127" s="28" t="s">
        <v>138</v>
      </c>
      <c r="CC1127" s="29" t="s">
        <v>138</v>
      </c>
      <c r="CD1127" s="28" t="s">
        <v>138</v>
      </c>
      <c r="CE1127" s="28" t="s">
        <v>316</v>
      </c>
      <c r="CF1127" s="28" t="s">
        <v>138</v>
      </c>
      <c r="CG1127" s="28" t="s">
        <v>138</v>
      </c>
      <c r="CH1127" s="28" t="s">
        <v>177</v>
      </c>
      <c r="CI1127" s="28" t="s">
        <v>138</v>
      </c>
      <c r="CJ1127" s="28" t="s">
        <v>138</v>
      </c>
      <c r="CK1127" s="28" t="s">
        <v>138</v>
      </c>
      <c r="CL1127" s="28" t="s">
        <v>175</v>
      </c>
      <c r="CM1127" s="34" t="s">
        <v>138</v>
      </c>
      <c r="CN1127" s="29" t="s">
        <v>138</v>
      </c>
      <c r="CO1127" s="35">
        <v>0</v>
      </c>
      <c r="CP1127" s="36">
        <v>26</v>
      </c>
      <c r="CQ1127" s="35">
        <v>0</v>
      </c>
      <c r="CR1127" s="35">
        <v>0</v>
      </c>
      <c r="CS1127" s="35">
        <v>0</v>
      </c>
      <c r="CT1127" s="36">
        <v>23</v>
      </c>
      <c r="CU1127" s="35" t="s">
        <v>138</v>
      </c>
      <c r="CV1127" s="36" t="s">
        <v>138</v>
      </c>
      <c r="CW1127" s="35">
        <v>0</v>
      </c>
      <c r="CX1127" s="36">
        <v>13</v>
      </c>
      <c r="CY1127" s="35">
        <v>0</v>
      </c>
      <c r="CZ1127" s="36">
        <v>25</v>
      </c>
      <c r="DA1127" s="35" t="s">
        <v>138</v>
      </c>
      <c r="DB1127" s="36" t="s">
        <v>138</v>
      </c>
      <c r="DC1127" s="37">
        <v>0.21</v>
      </c>
      <c r="DD1127" s="36">
        <v>15</v>
      </c>
      <c r="DE1127" s="37">
        <v>-0.01</v>
      </c>
      <c r="DF1127" s="35">
        <v>-5.21</v>
      </c>
      <c r="DG1127" s="37">
        <v>0.21</v>
      </c>
      <c r="DH1127" s="36">
        <v>16</v>
      </c>
      <c r="DI1127" s="37" t="s">
        <v>138</v>
      </c>
      <c r="DJ1127" s="36" t="s">
        <v>138</v>
      </c>
      <c r="DK1127" s="37">
        <v>0.18</v>
      </c>
      <c r="DL1127" s="36">
        <v>3</v>
      </c>
      <c r="DM1127" s="37">
        <v>0.24</v>
      </c>
      <c r="DN1127" s="36">
        <v>19</v>
      </c>
      <c r="DO1127" s="37" t="s">
        <v>138</v>
      </c>
      <c r="DP1127" s="36" t="s">
        <v>138</v>
      </c>
      <c r="DQ1127" s="36">
        <v>63</v>
      </c>
      <c r="DR1127" s="38">
        <v>-4</v>
      </c>
      <c r="DS1127" s="35">
        <v>-5.97</v>
      </c>
      <c r="DT1127" s="36">
        <v>7</v>
      </c>
      <c r="DU1127" s="38">
        <v>0</v>
      </c>
      <c r="DV1127" s="35">
        <v>0</v>
      </c>
      <c r="DW1127" s="36" t="s">
        <v>138</v>
      </c>
      <c r="DX1127" s="39" t="s">
        <v>138</v>
      </c>
      <c r="DY1127" s="35" t="s">
        <v>138</v>
      </c>
      <c r="DZ1127" s="28" t="s">
        <v>178</v>
      </c>
      <c r="EA1127" s="34">
        <v>43432</v>
      </c>
      <c r="EB1127" s="29" t="s">
        <v>138</v>
      </c>
      <c r="EC1127" s="34" t="s">
        <v>138</v>
      </c>
      <c r="ED1127" s="28" t="s">
        <v>138</v>
      </c>
      <c r="EE1127" s="40" t="str">
        <f>HYPERLINK("https://my.pitchbook.com?c=234739-99", "View company online")</f>
        <v>View company online</v>
      </c>
    </row>
    <row r="1128" spans="1:135">
      <c r="A1128" s="15" t="s">
        <v>21952</v>
      </c>
      <c r="B1128" s="15" t="s">
        <v>21953</v>
      </c>
      <c r="C1128" s="15" t="s">
        <v>138</v>
      </c>
      <c r="D1128" s="15" t="s">
        <v>138</v>
      </c>
      <c r="E1128" s="15" t="s">
        <v>21954</v>
      </c>
      <c r="F1128" s="15" t="s">
        <v>21952</v>
      </c>
      <c r="G1128" s="15" t="s">
        <v>21955</v>
      </c>
      <c r="H1128" s="15" t="s">
        <v>322</v>
      </c>
      <c r="I1128" s="15" t="s">
        <v>323</v>
      </c>
      <c r="J1128" s="15" t="s">
        <v>1084</v>
      </c>
      <c r="K1128" s="15" t="s">
        <v>1579</v>
      </c>
      <c r="L1128" s="15" t="s">
        <v>21956</v>
      </c>
      <c r="M1128" s="15" t="s">
        <v>21957</v>
      </c>
      <c r="N1128" s="15" t="s">
        <v>147</v>
      </c>
      <c r="O1128" s="17">
        <v>7.25</v>
      </c>
      <c r="P1128" s="15" t="s">
        <v>148</v>
      </c>
      <c r="Q1128" s="15" t="s">
        <v>149</v>
      </c>
      <c r="R1128" s="15" t="s">
        <v>174</v>
      </c>
      <c r="S1128" s="15" t="s">
        <v>21958</v>
      </c>
      <c r="T1128" s="18" t="s">
        <v>138</v>
      </c>
      <c r="U1128" s="15" t="s">
        <v>138</v>
      </c>
      <c r="V1128" s="15" t="s">
        <v>138</v>
      </c>
      <c r="W1128" s="15" t="s">
        <v>138</v>
      </c>
      <c r="X1128" s="19">
        <v>2011</v>
      </c>
      <c r="Y1128" s="15" t="s">
        <v>138</v>
      </c>
      <c r="Z1128" s="15" t="s">
        <v>138</v>
      </c>
      <c r="AA1128" s="15" t="s">
        <v>138</v>
      </c>
      <c r="AB1128" s="20" t="s">
        <v>138</v>
      </c>
      <c r="AC1128" s="20" t="s">
        <v>138</v>
      </c>
      <c r="AD1128" s="20" t="s">
        <v>138</v>
      </c>
      <c r="AE1128" s="20" t="s">
        <v>138</v>
      </c>
      <c r="AF1128" s="20" t="s">
        <v>138</v>
      </c>
      <c r="AG1128" s="15" t="s">
        <v>138</v>
      </c>
      <c r="AH1128" s="20" t="s">
        <v>138</v>
      </c>
      <c r="AI1128" s="20" t="s">
        <v>138</v>
      </c>
      <c r="AJ1128" s="20" t="s">
        <v>138</v>
      </c>
      <c r="AK1128" s="15" t="s">
        <v>21959</v>
      </c>
      <c r="AL1128" s="15" t="s">
        <v>21960</v>
      </c>
      <c r="AM1128" s="15" t="s">
        <v>422</v>
      </c>
      <c r="AN1128" s="15" t="s">
        <v>21961</v>
      </c>
      <c r="AO1128" s="15" t="s">
        <v>138</v>
      </c>
      <c r="AP1128" s="15" t="s">
        <v>941</v>
      </c>
      <c r="AQ1128" s="15" t="s">
        <v>21962</v>
      </c>
      <c r="AR1128" s="15" t="s">
        <v>138</v>
      </c>
      <c r="AS1128" s="15" t="s">
        <v>944</v>
      </c>
      <c r="AT1128" s="15" t="s">
        <v>138</v>
      </c>
      <c r="AU1128" s="15" t="s">
        <v>21963</v>
      </c>
      <c r="AV1128" s="15" t="s">
        <v>946</v>
      </c>
      <c r="AW1128" s="15" t="s">
        <v>138</v>
      </c>
      <c r="AX1128" s="15" t="s">
        <v>138</v>
      </c>
      <c r="AY1128" s="15" t="s">
        <v>21964</v>
      </c>
      <c r="AZ1128" s="15" t="s">
        <v>530</v>
      </c>
      <c r="BA1128" s="15" t="s">
        <v>531</v>
      </c>
      <c r="BB1128" s="15" t="s">
        <v>21965</v>
      </c>
      <c r="BC1128" s="15" t="s">
        <v>21966</v>
      </c>
      <c r="BD1128" s="21">
        <v>18</v>
      </c>
      <c r="BE1128" s="15" t="s">
        <v>138</v>
      </c>
      <c r="BF1128" s="15" t="s">
        <v>138</v>
      </c>
      <c r="BG1128" s="15" t="s">
        <v>138</v>
      </c>
      <c r="BH1128" s="15" t="s">
        <v>21967</v>
      </c>
      <c r="BI1128" s="15" t="s">
        <v>138</v>
      </c>
      <c r="BJ1128" s="15" t="s">
        <v>138</v>
      </c>
      <c r="BK1128" s="15" t="s">
        <v>21968</v>
      </c>
      <c r="BL1128" s="15" t="s">
        <v>21969</v>
      </c>
      <c r="BM1128" s="22">
        <v>41173</v>
      </c>
      <c r="BN1128" s="17" t="s">
        <v>138</v>
      </c>
      <c r="BO1128" s="15" t="s">
        <v>138</v>
      </c>
      <c r="BP1128" s="17" t="s">
        <v>138</v>
      </c>
      <c r="BQ1128" s="15" t="s">
        <v>138</v>
      </c>
      <c r="BR1128" s="15" t="s">
        <v>234</v>
      </c>
      <c r="BS1128" s="15" t="s">
        <v>234</v>
      </c>
      <c r="BT1128" s="15" t="s">
        <v>138</v>
      </c>
      <c r="BU1128" s="15" t="s">
        <v>174</v>
      </c>
      <c r="BV1128" s="15" t="s">
        <v>138</v>
      </c>
      <c r="BW1128" s="15" t="s">
        <v>138</v>
      </c>
      <c r="BX1128" s="15" t="s">
        <v>138</v>
      </c>
      <c r="BY1128" s="15" t="s">
        <v>175</v>
      </c>
      <c r="BZ1128" s="22">
        <v>42370</v>
      </c>
      <c r="CA1128" s="17" t="s">
        <v>138</v>
      </c>
      <c r="CB1128" s="15" t="s">
        <v>138</v>
      </c>
      <c r="CC1128" s="17" t="s">
        <v>138</v>
      </c>
      <c r="CD1128" s="15" t="s">
        <v>138</v>
      </c>
      <c r="CE1128" s="15" t="s">
        <v>316</v>
      </c>
      <c r="CF1128" s="15" t="s">
        <v>138</v>
      </c>
      <c r="CG1128" s="15" t="s">
        <v>138</v>
      </c>
      <c r="CH1128" s="15" t="s">
        <v>177</v>
      </c>
      <c r="CI1128" s="15" t="s">
        <v>138</v>
      </c>
      <c r="CJ1128" s="15" t="s">
        <v>138</v>
      </c>
      <c r="CK1128" s="15" t="s">
        <v>138</v>
      </c>
      <c r="CL1128" s="15" t="s">
        <v>175</v>
      </c>
      <c r="CM1128" s="22" t="s">
        <v>138</v>
      </c>
      <c r="CN1128" s="17" t="s">
        <v>138</v>
      </c>
      <c r="CO1128" s="23">
        <v>-0.06</v>
      </c>
      <c r="CP1128" s="24">
        <v>22</v>
      </c>
      <c r="CQ1128" s="23">
        <v>0.02</v>
      </c>
      <c r="CR1128" s="23">
        <v>27.12</v>
      </c>
      <c r="CS1128" s="23" t="s">
        <v>138</v>
      </c>
      <c r="CT1128" s="24" t="s">
        <v>138</v>
      </c>
      <c r="CU1128" s="23">
        <v>-0.06</v>
      </c>
      <c r="CV1128" s="24">
        <v>8</v>
      </c>
      <c r="CW1128" s="23" t="s">
        <v>138</v>
      </c>
      <c r="CX1128" s="24" t="s">
        <v>138</v>
      </c>
      <c r="CY1128" s="23" t="s">
        <v>138</v>
      </c>
      <c r="CZ1128" s="24" t="s">
        <v>138</v>
      </c>
      <c r="DA1128" s="23">
        <v>-0.06</v>
      </c>
      <c r="DB1128" s="24">
        <v>11</v>
      </c>
      <c r="DC1128" s="25">
        <v>16</v>
      </c>
      <c r="DD1128" s="24">
        <v>93</v>
      </c>
      <c r="DE1128" s="25">
        <v>-0.01</v>
      </c>
      <c r="DF1128" s="23">
        <v>-0.08</v>
      </c>
      <c r="DG1128" s="25" t="s">
        <v>138</v>
      </c>
      <c r="DH1128" s="24" t="s">
        <v>138</v>
      </c>
      <c r="DI1128" s="25">
        <v>16</v>
      </c>
      <c r="DJ1128" s="24">
        <v>89</v>
      </c>
      <c r="DK1128" s="25" t="s">
        <v>138</v>
      </c>
      <c r="DL1128" s="24" t="s">
        <v>138</v>
      </c>
      <c r="DM1128" s="25" t="s">
        <v>138</v>
      </c>
      <c r="DN1128" s="24" t="s">
        <v>138</v>
      </c>
      <c r="DO1128" s="25">
        <v>1.64</v>
      </c>
      <c r="DP1128" s="24">
        <v>60</v>
      </c>
      <c r="DQ1128" s="24">
        <v>66</v>
      </c>
      <c r="DR1128" s="26">
        <v>-25</v>
      </c>
      <c r="DS1128" s="23">
        <v>-27.47</v>
      </c>
      <c r="DT1128" s="24" t="s">
        <v>138</v>
      </c>
      <c r="DU1128" s="26" t="s">
        <v>138</v>
      </c>
      <c r="DV1128" s="23" t="s">
        <v>138</v>
      </c>
      <c r="DW1128" s="24">
        <v>586</v>
      </c>
      <c r="DX1128" s="27">
        <v>1</v>
      </c>
      <c r="DY1128" s="23">
        <v>0.17</v>
      </c>
      <c r="DZ1128" s="15" t="s">
        <v>178</v>
      </c>
      <c r="EA1128" s="22">
        <v>43570</v>
      </c>
      <c r="EB1128" s="17" t="s">
        <v>138</v>
      </c>
      <c r="EC1128" s="22" t="s">
        <v>138</v>
      </c>
      <c r="ED1128" s="15" t="s">
        <v>138</v>
      </c>
      <c r="EE1128" s="14" t="str">
        <f>HYPERLINK("https://my.pitchbook.com?c=59224-69", "View company online")</f>
        <v>View company online</v>
      </c>
    </row>
    <row r="1129" spans="1:135">
      <c r="A1129" s="28" t="s">
        <v>21970</v>
      </c>
      <c r="B1129" s="28" t="s">
        <v>21971</v>
      </c>
      <c r="C1129" s="28" t="s">
        <v>138</v>
      </c>
      <c r="D1129" s="28" t="s">
        <v>138</v>
      </c>
      <c r="E1129" s="28" t="s">
        <v>138</v>
      </c>
      <c r="F1129" s="28" t="s">
        <v>21970</v>
      </c>
      <c r="G1129" s="28" t="s">
        <v>21972</v>
      </c>
      <c r="H1129" s="28" t="s">
        <v>238</v>
      </c>
      <c r="I1129" s="28" t="s">
        <v>2662</v>
      </c>
      <c r="J1129" s="28" t="s">
        <v>21973</v>
      </c>
      <c r="K1129" s="28" t="s">
        <v>21974</v>
      </c>
      <c r="L1129" s="28" t="s">
        <v>7930</v>
      </c>
      <c r="M1129" s="28" t="s">
        <v>21975</v>
      </c>
      <c r="N1129" s="28" t="s">
        <v>147</v>
      </c>
      <c r="O1129" s="29">
        <v>13</v>
      </c>
      <c r="P1129" s="28" t="s">
        <v>610</v>
      </c>
      <c r="Q1129" s="28" t="s">
        <v>149</v>
      </c>
      <c r="R1129" s="28" t="s">
        <v>174</v>
      </c>
      <c r="S1129" s="28" t="s">
        <v>21976</v>
      </c>
      <c r="T1129" s="30" t="s">
        <v>138</v>
      </c>
      <c r="U1129" s="28" t="s">
        <v>138</v>
      </c>
      <c r="V1129" s="28" t="s">
        <v>138</v>
      </c>
      <c r="W1129" s="28" t="s">
        <v>138</v>
      </c>
      <c r="X1129" s="31">
        <v>2018</v>
      </c>
      <c r="Y1129" s="28" t="s">
        <v>138</v>
      </c>
      <c r="Z1129" s="28" t="s">
        <v>138</v>
      </c>
      <c r="AA1129" s="28" t="s">
        <v>138</v>
      </c>
      <c r="AB1129" s="32" t="s">
        <v>138</v>
      </c>
      <c r="AC1129" s="32" t="s">
        <v>138</v>
      </c>
      <c r="AD1129" s="32" t="s">
        <v>138</v>
      </c>
      <c r="AE1129" s="32" t="s">
        <v>138</v>
      </c>
      <c r="AF1129" s="32" t="s">
        <v>138</v>
      </c>
      <c r="AG1129" s="28" t="s">
        <v>138</v>
      </c>
      <c r="AH1129" s="32" t="s">
        <v>138</v>
      </c>
      <c r="AI1129" s="32" t="s">
        <v>138</v>
      </c>
      <c r="AJ1129" s="32" t="s">
        <v>138</v>
      </c>
      <c r="AK1129" s="28" t="s">
        <v>21977</v>
      </c>
      <c r="AL1129" s="28" t="s">
        <v>21978</v>
      </c>
      <c r="AM1129" s="28" t="s">
        <v>21979</v>
      </c>
      <c r="AN1129" s="28" t="s">
        <v>21980</v>
      </c>
      <c r="AO1129" s="28" t="s">
        <v>21981</v>
      </c>
      <c r="AP1129" s="28" t="s">
        <v>21982</v>
      </c>
      <c r="AQ1129" s="28" t="s">
        <v>21983</v>
      </c>
      <c r="AR1129" s="28" t="s">
        <v>21984</v>
      </c>
      <c r="AS1129" s="28" t="s">
        <v>21985</v>
      </c>
      <c r="AT1129" s="28" t="s">
        <v>200</v>
      </c>
      <c r="AU1129" s="28" t="s">
        <v>21986</v>
      </c>
      <c r="AV1129" s="28" t="s">
        <v>162</v>
      </c>
      <c r="AW1129" s="28" t="s">
        <v>21987</v>
      </c>
      <c r="AX1129" s="28" t="s">
        <v>138</v>
      </c>
      <c r="AY1129" s="28" t="s">
        <v>21988</v>
      </c>
      <c r="AZ1129" s="28" t="s">
        <v>164</v>
      </c>
      <c r="BA1129" s="28" t="s">
        <v>165</v>
      </c>
      <c r="BB1129" s="28" t="s">
        <v>21989</v>
      </c>
      <c r="BC1129" s="28" t="s">
        <v>21990</v>
      </c>
      <c r="BD1129" s="33">
        <v>7</v>
      </c>
      <c r="BE1129" s="28" t="s">
        <v>138</v>
      </c>
      <c r="BF1129" s="28" t="s">
        <v>138</v>
      </c>
      <c r="BG1129" s="28" t="s">
        <v>138</v>
      </c>
      <c r="BH1129" s="28" t="s">
        <v>21991</v>
      </c>
      <c r="BI1129" s="28" t="s">
        <v>138</v>
      </c>
      <c r="BJ1129" s="28" t="s">
        <v>138</v>
      </c>
      <c r="BK1129" s="28" t="s">
        <v>138</v>
      </c>
      <c r="BL1129" s="28" t="s">
        <v>138</v>
      </c>
      <c r="BM1129" s="34">
        <v>43419</v>
      </c>
      <c r="BN1129" s="29">
        <v>13</v>
      </c>
      <c r="BO1129" s="28" t="s">
        <v>172</v>
      </c>
      <c r="BP1129" s="29">
        <v>12</v>
      </c>
      <c r="BQ1129" s="28" t="s">
        <v>172</v>
      </c>
      <c r="BR1129" s="28" t="s">
        <v>234</v>
      </c>
      <c r="BS1129" s="28" t="s">
        <v>234</v>
      </c>
      <c r="BT1129" s="28" t="s">
        <v>138</v>
      </c>
      <c r="BU1129" s="28" t="s">
        <v>174</v>
      </c>
      <c r="BV1129" s="28" t="s">
        <v>177</v>
      </c>
      <c r="BW1129" s="28" t="s">
        <v>138</v>
      </c>
      <c r="BX1129" s="28" t="s">
        <v>138</v>
      </c>
      <c r="BY1129" s="28" t="s">
        <v>175</v>
      </c>
      <c r="BZ1129" s="34">
        <v>43419</v>
      </c>
      <c r="CA1129" s="29">
        <v>13</v>
      </c>
      <c r="CB1129" s="28" t="s">
        <v>172</v>
      </c>
      <c r="CC1129" s="29">
        <v>12</v>
      </c>
      <c r="CD1129" s="28" t="s">
        <v>172</v>
      </c>
      <c r="CE1129" s="28" t="s">
        <v>234</v>
      </c>
      <c r="CF1129" s="28" t="s">
        <v>234</v>
      </c>
      <c r="CG1129" s="28" t="s">
        <v>138</v>
      </c>
      <c r="CH1129" s="28" t="s">
        <v>174</v>
      </c>
      <c r="CI1129" s="28" t="s">
        <v>177</v>
      </c>
      <c r="CJ1129" s="28" t="s">
        <v>138</v>
      </c>
      <c r="CK1129" s="28" t="s">
        <v>138</v>
      </c>
      <c r="CL1129" s="28" t="s">
        <v>175</v>
      </c>
      <c r="CM1129" s="34" t="s">
        <v>138</v>
      </c>
      <c r="CN1129" s="29" t="s">
        <v>138</v>
      </c>
      <c r="CO1129" s="35">
        <v>-5.78</v>
      </c>
      <c r="CP1129" s="36">
        <v>1</v>
      </c>
      <c r="CQ1129" s="35">
        <v>0</v>
      </c>
      <c r="CR1129" s="35">
        <v>0</v>
      </c>
      <c r="CS1129" s="35">
        <v>-5.78</v>
      </c>
      <c r="CT1129" s="36">
        <v>2</v>
      </c>
      <c r="CU1129" s="35" t="s">
        <v>138</v>
      </c>
      <c r="CV1129" s="36" t="s">
        <v>138</v>
      </c>
      <c r="CW1129" s="35">
        <v>-11.56</v>
      </c>
      <c r="CX1129" s="36">
        <v>1</v>
      </c>
      <c r="CY1129" s="35">
        <v>0</v>
      </c>
      <c r="CZ1129" s="36">
        <v>25</v>
      </c>
      <c r="DA1129" s="35" t="s">
        <v>138</v>
      </c>
      <c r="DB1129" s="36" t="s">
        <v>138</v>
      </c>
      <c r="DC1129" s="37">
        <v>27.1</v>
      </c>
      <c r="DD1129" s="36">
        <v>96</v>
      </c>
      <c r="DE1129" s="37">
        <v>-3.46</v>
      </c>
      <c r="DF1129" s="35">
        <v>-11.32</v>
      </c>
      <c r="DG1129" s="37">
        <v>27.1</v>
      </c>
      <c r="DH1129" s="36">
        <v>96</v>
      </c>
      <c r="DI1129" s="37" t="s">
        <v>138</v>
      </c>
      <c r="DJ1129" s="36" t="s">
        <v>138</v>
      </c>
      <c r="DK1129" s="37">
        <v>53.93</v>
      </c>
      <c r="DL1129" s="36">
        <v>96</v>
      </c>
      <c r="DM1129" s="37">
        <v>0.28000000000000003</v>
      </c>
      <c r="DN1129" s="36">
        <v>21</v>
      </c>
      <c r="DO1129" s="37" t="s">
        <v>138</v>
      </c>
      <c r="DP1129" s="36" t="s">
        <v>138</v>
      </c>
      <c r="DQ1129" s="36">
        <v>19733</v>
      </c>
      <c r="DR1129" s="38">
        <v>-3711</v>
      </c>
      <c r="DS1129" s="35">
        <v>-15.83</v>
      </c>
      <c r="DT1129" s="36">
        <v>8</v>
      </c>
      <c r="DU1129" s="38">
        <v>0</v>
      </c>
      <c r="DV1129" s="35">
        <v>0</v>
      </c>
      <c r="DW1129" s="36" t="s">
        <v>138</v>
      </c>
      <c r="DX1129" s="39" t="s">
        <v>138</v>
      </c>
      <c r="DY1129" s="35" t="s">
        <v>138</v>
      </c>
      <c r="DZ1129" s="28" t="s">
        <v>178</v>
      </c>
      <c r="EA1129" s="34">
        <v>43521</v>
      </c>
      <c r="EB1129" s="29">
        <v>12</v>
      </c>
      <c r="EC1129" s="34">
        <v>43419</v>
      </c>
      <c r="ED1129" s="28" t="s">
        <v>234</v>
      </c>
      <c r="EE1129" s="40" t="str">
        <f>HYPERLINK("https://my.pitchbook.com?c=234587-17", "View company online")</f>
        <v>View company online</v>
      </c>
    </row>
    <row r="1130" spans="1:135">
      <c r="A1130" s="15" t="s">
        <v>21992</v>
      </c>
      <c r="B1130" s="15" t="s">
        <v>21993</v>
      </c>
      <c r="C1130" s="15" t="s">
        <v>138</v>
      </c>
      <c r="D1130" s="15" t="s">
        <v>21994</v>
      </c>
      <c r="E1130" s="15" t="s">
        <v>138</v>
      </c>
      <c r="F1130" s="15" t="s">
        <v>21992</v>
      </c>
      <c r="G1130" s="15" t="s">
        <v>21995</v>
      </c>
      <c r="H1130" s="15" t="s">
        <v>322</v>
      </c>
      <c r="I1130" s="15" t="s">
        <v>356</v>
      </c>
      <c r="J1130" s="15" t="s">
        <v>3852</v>
      </c>
      <c r="K1130" s="15" t="s">
        <v>21996</v>
      </c>
      <c r="L1130" s="15" t="s">
        <v>415</v>
      </c>
      <c r="M1130" s="15" t="s">
        <v>21997</v>
      </c>
      <c r="N1130" s="15" t="s">
        <v>147</v>
      </c>
      <c r="O1130" s="17">
        <v>19.850000000000001</v>
      </c>
      <c r="P1130" s="15" t="s">
        <v>610</v>
      </c>
      <c r="Q1130" s="15" t="s">
        <v>149</v>
      </c>
      <c r="R1130" s="15" t="s">
        <v>174</v>
      </c>
      <c r="S1130" s="15" t="s">
        <v>21998</v>
      </c>
      <c r="T1130" s="18" t="s">
        <v>138</v>
      </c>
      <c r="U1130" s="15" t="s">
        <v>138</v>
      </c>
      <c r="V1130" s="15" t="s">
        <v>138</v>
      </c>
      <c r="W1130" s="15" t="s">
        <v>138</v>
      </c>
      <c r="X1130" s="19">
        <v>2015</v>
      </c>
      <c r="Y1130" s="15" t="s">
        <v>138</v>
      </c>
      <c r="Z1130" s="15" t="s">
        <v>138</v>
      </c>
      <c r="AA1130" s="15" t="s">
        <v>138</v>
      </c>
      <c r="AB1130" s="20" t="s">
        <v>138</v>
      </c>
      <c r="AC1130" s="20" t="s">
        <v>138</v>
      </c>
      <c r="AD1130" s="20" t="s">
        <v>138</v>
      </c>
      <c r="AE1130" s="20" t="s">
        <v>138</v>
      </c>
      <c r="AF1130" s="20" t="s">
        <v>138</v>
      </c>
      <c r="AG1130" s="15" t="s">
        <v>138</v>
      </c>
      <c r="AH1130" s="20" t="s">
        <v>138</v>
      </c>
      <c r="AI1130" s="20" t="s">
        <v>138</v>
      </c>
      <c r="AJ1130" s="20" t="s">
        <v>138</v>
      </c>
      <c r="AK1130" s="15" t="s">
        <v>21999</v>
      </c>
      <c r="AL1130" s="15" t="s">
        <v>22000</v>
      </c>
      <c r="AM1130" s="15" t="s">
        <v>22001</v>
      </c>
      <c r="AN1130" s="15" t="s">
        <v>22002</v>
      </c>
      <c r="AO1130" s="15" t="s">
        <v>22003</v>
      </c>
      <c r="AP1130" s="15" t="s">
        <v>820</v>
      </c>
      <c r="AQ1130" s="15" t="s">
        <v>22004</v>
      </c>
      <c r="AR1130" s="15" t="s">
        <v>3084</v>
      </c>
      <c r="AS1130" s="15" t="s">
        <v>823</v>
      </c>
      <c r="AT1130" s="15" t="s">
        <v>824</v>
      </c>
      <c r="AU1130" s="15" t="s">
        <v>22005</v>
      </c>
      <c r="AV1130" s="15" t="s">
        <v>526</v>
      </c>
      <c r="AW1130" s="15" t="s">
        <v>22003</v>
      </c>
      <c r="AX1130" s="15" t="s">
        <v>138</v>
      </c>
      <c r="AY1130" s="15" t="s">
        <v>138</v>
      </c>
      <c r="AZ1130" s="15" t="s">
        <v>530</v>
      </c>
      <c r="BA1130" s="15" t="s">
        <v>531</v>
      </c>
      <c r="BB1130" s="15" t="s">
        <v>22006</v>
      </c>
      <c r="BC1130" s="15" t="s">
        <v>22007</v>
      </c>
      <c r="BD1130" s="21">
        <v>6</v>
      </c>
      <c r="BE1130" s="15" t="s">
        <v>138</v>
      </c>
      <c r="BF1130" s="15" t="s">
        <v>138</v>
      </c>
      <c r="BG1130" s="15" t="s">
        <v>138</v>
      </c>
      <c r="BH1130" s="15" t="s">
        <v>22008</v>
      </c>
      <c r="BI1130" s="15" t="s">
        <v>138</v>
      </c>
      <c r="BJ1130" s="15" t="s">
        <v>138</v>
      </c>
      <c r="BK1130" s="15" t="s">
        <v>138</v>
      </c>
      <c r="BL1130" s="15" t="s">
        <v>138</v>
      </c>
      <c r="BM1130" s="22" t="s">
        <v>138</v>
      </c>
      <c r="BN1130" s="17" t="s">
        <v>138</v>
      </c>
      <c r="BO1130" s="15" t="s">
        <v>138</v>
      </c>
      <c r="BP1130" s="17" t="s">
        <v>138</v>
      </c>
      <c r="BQ1130" s="15" t="s">
        <v>138</v>
      </c>
      <c r="BR1130" s="15" t="s">
        <v>262</v>
      </c>
      <c r="BS1130" s="15" t="s">
        <v>262</v>
      </c>
      <c r="BT1130" s="15" t="s">
        <v>138</v>
      </c>
      <c r="BU1130" s="15" t="s">
        <v>263</v>
      </c>
      <c r="BV1130" s="15" t="s">
        <v>138</v>
      </c>
      <c r="BW1130" s="15" t="s">
        <v>138</v>
      </c>
      <c r="BX1130" s="15" t="s">
        <v>138</v>
      </c>
      <c r="BY1130" s="15" t="s">
        <v>175</v>
      </c>
      <c r="BZ1130" s="22">
        <v>43481</v>
      </c>
      <c r="CA1130" s="17">
        <v>14</v>
      </c>
      <c r="CB1130" s="15" t="s">
        <v>172</v>
      </c>
      <c r="CC1130" s="17" t="s">
        <v>138</v>
      </c>
      <c r="CD1130" s="15" t="s">
        <v>138</v>
      </c>
      <c r="CE1130" s="15" t="s">
        <v>205</v>
      </c>
      <c r="CF1130" s="15" t="s">
        <v>206</v>
      </c>
      <c r="CG1130" s="15" t="s">
        <v>138</v>
      </c>
      <c r="CH1130" s="15" t="s">
        <v>174</v>
      </c>
      <c r="CI1130" s="15" t="s">
        <v>138</v>
      </c>
      <c r="CJ1130" s="15" t="s">
        <v>138</v>
      </c>
      <c r="CK1130" s="15" t="s">
        <v>138</v>
      </c>
      <c r="CL1130" s="15" t="s">
        <v>175</v>
      </c>
      <c r="CM1130" s="22" t="s">
        <v>138</v>
      </c>
      <c r="CN1130" s="17" t="s">
        <v>138</v>
      </c>
      <c r="CO1130" s="23">
        <v>-1.0900000000000001</v>
      </c>
      <c r="CP1130" s="24">
        <v>10</v>
      </c>
      <c r="CQ1130" s="23">
        <v>-0.02</v>
      </c>
      <c r="CR1130" s="23">
        <v>-1.7</v>
      </c>
      <c r="CS1130" s="23">
        <v>-3.05</v>
      </c>
      <c r="CT1130" s="24">
        <v>5</v>
      </c>
      <c r="CU1130" s="23">
        <v>0.87</v>
      </c>
      <c r="CV1130" s="24">
        <v>97</v>
      </c>
      <c r="CW1130" s="23">
        <v>0</v>
      </c>
      <c r="CX1130" s="24">
        <v>13</v>
      </c>
      <c r="CY1130" s="23">
        <v>-6.1</v>
      </c>
      <c r="CZ1130" s="24">
        <v>2</v>
      </c>
      <c r="DA1130" s="23">
        <v>0.87</v>
      </c>
      <c r="DB1130" s="24">
        <v>97</v>
      </c>
      <c r="DC1130" s="25">
        <v>3.05</v>
      </c>
      <c r="DD1130" s="24">
        <v>75</v>
      </c>
      <c r="DE1130" s="25">
        <v>-7.0000000000000007E-2</v>
      </c>
      <c r="DF1130" s="23">
        <v>-2.2400000000000002</v>
      </c>
      <c r="DG1130" s="25">
        <v>4.8499999999999996</v>
      </c>
      <c r="DH1130" s="24">
        <v>82</v>
      </c>
      <c r="DI1130" s="25">
        <v>1.25</v>
      </c>
      <c r="DJ1130" s="24">
        <v>53</v>
      </c>
      <c r="DK1130" s="25">
        <v>2.9</v>
      </c>
      <c r="DL1130" s="24">
        <v>71</v>
      </c>
      <c r="DM1130" s="25">
        <v>6.79</v>
      </c>
      <c r="DN1130" s="24">
        <v>85</v>
      </c>
      <c r="DO1130" s="25">
        <v>1.25</v>
      </c>
      <c r="DP1130" s="24">
        <v>55</v>
      </c>
      <c r="DQ1130" s="24">
        <v>953</v>
      </c>
      <c r="DR1130" s="26">
        <v>122</v>
      </c>
      <c r="DS1130" s="23">
        <v>14.68</v>
      </c>
      <c r="DT1130" s="24">
        <v>196</v>
      </c>
      <c r="DU1130" s="26">
        <v>1</v>
      </c>
      <c r="DV1130" s="23">
        <v>0.51</v>
      </c>
      <c r="DW1130" s="24">
        <v>446</v>
      </c>
      <c r="DX1130" s="27">
        <v>6</v>
      </c>
      <c r="DY1130" s="23">
        <v>1.36</v>
      </c>
      <c r="DZ1130" s="15" t="s">
        <v>178</v>
      </c>
      <c r="EA1130" s="22">
        <v>43622</v>
      </c>
      <c r="EB1130" s="17">
        <v>3.18</v>
      </c>
      <c r="EC1130" s="22">
        <v>42433</v>
      </c>
      <c r="ED1130" s="15" t="s">
        <v>205</v>
      </c>
      <c r="EE1130" s="14" t="str">
        <f>HYPERLINK("https://my.pitchbook.com?c=154971-10", "View company online")</f>
        <v>View company online</v>
      </c>
    </row>
    <row r="1131" spans="1:135">
      <c r="A1131" s="28" t="s">
        <v>22009</v>
      </c>
      <c r="B1131" s="28" t="s">
        <v>22010</v>
      </c>
      <c r="C1131" s="28" t="s">
        <v>138</v>
      </c>
      <c r="D1131" s="28" t="s">
        <v>22011</v>
      </c>
      <c r="E1131" s="28" t="s">
        <v>138</v>
      </c>
      <c r="F1131" s="28" t="s">
        <v>22009</v>
      </c>
      <c r="G1131" s="28" t="s">
        <v>22012</v>
      </c>
      <c r="H1131" s="28" t="s">
        <v>322</v>
      </c>
      <c r="I1131" s="28" t="s">
        <v>323</v>
      </c>
      <c r="J1131" s="28" t="s">
        <v>324</v>
      </c>
      <c r="K1131" s="28" t="s">
        <v>11795</v>
      </c>
      <c r="L1131" s="28" t="s">
        <v>22013</v>
      </c>
      <c r="M1131" s="28" t="s">
        <v>22014</v>
      </c>
      <c r="N1131" s="28" t="s">
        <v>147</v>
      </c>
      <c r="O1131" s="29">
        <v>1.58</v>
      </c>
      <c r="P1131" s="28" t="s">
        <v>148</v>
      </c>
      <c r="Q1131" s="28" t="s">
        <v>149</v>
      </c>
      <c r="R1131" s="28" t="s">
        <v>174</v>
      </c>
      <c r="S1131" s="28" t="s">
        <v>22015</v>
      </c>
      <c r="T1131" s="30" t="s">
        <v>138</v>
      </c>
      <c r="U1131" s="28" t="s">
        <v>138</v>
      </c>
      <c r="V1131" s="28" t="s">
        <v>138</v>
      </c>
      <c r="W1131" s="28" t="s">
        <v>138</v>
      </c>
      <c r="X1131" s="31">
        <v>2015</v>
      </c>
      <c r="Y1131" s="28" t="s">
        <v>138</v>
      </c>
      <c r="Z1131" s="28" t="s">
        <v>138</v>
      </c>
      <c r="AA1131" s="28" t="s">
        <v>138</v>
      </c>
      <c r="AB1131" s="32" t="s">
        <v>138</v>
      </c>
      <c r="AC1131" s="32" t="s">
        <v>138</v>
      </c>
      <c r="AD1131" s="32" t="s">
        <v>138</v>
      </c>
      <c r="AE1131" s="32" t="s">
        <v>138</v>
      </c>
      <c r="AF1131" s="32" t="s">
        <v>138</v>
      </c>
      <c r="AG1131" s="28" t="s">
        <v>138</v>
      </c>
      <c r="AH1131" s="32" t="s">
        <v>138</v>
      </c>
      <c r="AI1131" s="32" t="s">
        <v>138</v>
      </c>
      <c r="AJ1131" s="32" t="s">
        <v>138</v>
      </c>
      <c r="AK1131" s="28" t="s">
        <v>22016</v>
      </c>
      <c r="AL1131" s="28" t="s">
        <v>22017</v>
      </c>
      <c r="AM1131" s="28" t="s">
        <v>938</v>
      </c>
      <c r="AN1131" s="28" t="s">
        <v>22018</v>
      </c>
      <c r="AO1131" s="28" t="s">
        <v>22019</v>
      </c>
      <c r="AP1131" s="28" t="s">
        <v>446</v>
      </c>
      <c r="AQ1131" s="28" t="s">
        <v>22020</v>
      </c>
      <c r="AR1131" s="28" t="s">
        <v>138</v>
      </c>
      <c r="AS1131" s="28" t="s">
        <v>449</v>
      </c>
      <c r="AT1131" s="28" t="s">
        <v>448</v>
      </c>
      <c r="AU1131" s="28" t="s">
        <v>138</v>
      </c>
      <c r="AV1131" s="28" t="s">
        <v>450</v>
      </c>
      <c r="AW1131" s="28" t="s">
        <v>22019</v>
      </c>
      <c r="AX1131" s="28" t="s">
        <v>138</v>
      </c>
      <c r="AY1131" s="28" t="s">
        <v>22021</v>
      </c>
      <c r="AZ1131" s="28" t="s">
        <v>452</v>
      </c>
      <c r="BA1131" s="28" t="s">
        <v>453</v>
      </c>
      <c r="BB1131" s="28" t="s">
        <v>22022</v>
      </c>
      <c r="BC1131" s="28" t="s">
        <v>22023</v>
      </c>
      <c r="BD1131" s="33">
        <v>4</v>
      </c>
      <c r="BE1131" s="28" t="s">
        <v>138</v>
      </c>
      <c r="BF1131" s="28" t="s">
        <v>138</v>
      </c>
      <c r="BG1131" s="28" t="s">
        <v>138</v>
      </c>
      <c r="BH1131" s="28" t="s">
        <v>22024</v>
      </c>
      <c r="BI1131" s="28" t="s">
        <v>138</v>
      </c>
      <c r="BJ1131" s="28" t="s">
        <v>138</v>
      </c>
      <c r="BK1131" s="28" t="s">
        <v>138</v>
      </c>
      <c r="BL1131" s="28" t="s">
        <v>138</v>
      </c>
      <c r="BM1131" s="34">
        <v>43132</v>
      </c>
      <c r="BN1131" s="29">
        <v>1.58</v>
      </c>
      <c r="BO1131" s="28" t="s">
        <v>172</v>
      </c>
      <c r="BP1131" s="29" t="s">
        <v>138</v>
      </c>
      <c r="BQ1131" s="28" t="s">
        <v>138</v>
      </c>
      <c r="BR1131" s="28" t="s">
        <v>205</v>
      </c>
      <c r="BS1131" s="28" t="s">
        <v>206</v>
      </c>
      <c r="BT1131" s="28" t="s">
        <v>138</v>
      </c>
      <c r="BU1131" s="28" t="s">
        <v>174</v>
      </c>
      <c r="BV1131" s="28" t="s">
        <v>138</v>
      </c>
      <c r="BW1131" s="28" t="s">
        <v>138</v>
      </c>
      <c r="BX1131" s="28" t="s">
        <v>138</v>
      </c>
      <c r="BY1131" s="28" t="s">
        <v>175</v>
      </c>
      <c r="BZ1131" s="34">
        <v>43132</v>
      </c>
      <c r="CA1131" s="29">
        <v>1.58</v>
      </c>
      <c r="CB1131" s="28" t="s">
        <v>172</v>
      </c>
      <c r="CC1131" s="29" t="s">
        <v>138</v>
      </c>
      <c r="CD1131" s="28" t="s">
        <v>138</v>
      </c>
      <c r="CE1131" s="28" t="s">
        <v>205</v>
      </c>
      <c r="CF1131" s="28" t="s">
        <v>206</v>
      </c>
      <c r="CG1131" s="28" t="s">
        <v>138</v>
      </c>
      <c r="CH1131" s="28" t="s">
        <v>174</v>
      </c>
      <c r="CI1131" s="28" t="s">
        <v>138</v>
      </c>
      <c r="CJ1131" s="28" t="s">
        <v>138</v>
      </c>
      <c r="CK1131" s="28" t="s">
        <v>138</v>
      </c>
      <c r="CL1131" s="28" t="s">
        <v>175</v>
      </c>
      <c r="CM1131" s="34" t="s">
        <v>138</v>
      </c>
      <c r="CN1131" s="29" t="s">
        <v>138</v>
      </c>
      <c r="CO1131" s="35">
        <v>-0.06</v>
      </c>
      <c r="CP1131" s="36">
        <v>22</v>
      </c>
      <c r="CQ1131" s="35">
        <v>0</v>
      </c>
      <c r="CR1131" s="35">
        <v>2.67</v>
      </c>
      <c r="CS1131" s="35">
        <v>-0.06</v>
      </c>
      <c r="CT1131" s="36">
        <v>22</v>
      </c>
      <c r="CU1131" s="35" t="s">
        <v>138</v>
      </c>
      <c r="CV1131" s="36" t="s">
        <v>138</v>
      </c>
      <c r="CW1131" s="35">
        <v>0</v>
      </c>
      <c r="CX1131" s="36">
        <v>13</v>
      </c>
      <c r="CY1131" s="35">
        <v>-0.13</v>
      </c>
      <c r="CZ1131" s="36">
        <v>24</v>
      </c>
      <c r="DA1131" s="35" t="s">
        <v>138</v>
      </c>
      <c r="DB1131" s="36" t="s">
        <v>138</v>
      </c>
      <c r="DC1131" s="37">
        <v>2.76</v>
      </c>
      <c r="DD1131" s="36">
        <v>73</v>
      </c>
      <c r="DE1131" s="37">
        <v>-0.02</v>
      </c>
      <c r="DF1131" s="35">
        <v>-0.89</v>
      </c>
      <c r="DG1131" s="37">
        <v>2.76</v>
      </c>
      <c r="DH1131" s="36">
        <v>73</v>
      </c>
      <c r="DI1131" s="37" t="s">
        <v>138</v>
      </c>
      <c r="DJ1131" s="36" t="s">
        <v>138</v>
      </c>
      <c r="DK1131" s="37">
        <v>0.39</v>
      </c>
      <c r="DL1131" s="36">
        <v>26</v>
      </c>
      <c r="DM1131" s="37">
        <v>5.14</v>
      </c>
      <c r="DN1131" s="36">
        <v>82</v>
      </c>
      <c r="DO1131" s="37" t="s">
        <v>138</v>
      </c>
      <c r="DP1131" s="36" t="s">
        <v>138</v>
      </c>
      <c r="DQ1131" s="36">
        <v>136</v>
      </c>
      <c r="DR1131" s="38">
        <v>-28</v>
      </c>
      <c r="DS1131" s="35">
        <v>-17.07</v>
      </c>
      <c r="DT1131" s="36">
        <v>149</v>
      </c>
      <c r="DU1131" s="38">
        <v>3</v>
      </c>
      <c r="DV1131" s="35">
        <v>2.0499999999999998</v>
      </c>
      <c r="DW1131" s="36" t="s">
        <v>138</v>
      </c>
      <c r="DX1131" s="39" t="s">
        <v>138</v>
      </c>
      <c r="DY1131" s="35" t="s">
        <v>138</v>
      </c>
      <c r="DZ1131" s="28" t="s">
        <v>178</v>
      </c>
      <c r="EA1131" s="34">
        <v>43614</v>
      </c>
      <c r="EB1131" s="29" t="s">
        <v>138</v>
      </c>
      <c r="EC1131" s="34" t="s">
        <v>138</v>
      </c>
      <c r="ED1131" s="28" t="s">
        <v>138</v>
      </c>
      <c r="EE1131" s="40" t="str">
        <f>HYPERLINK("https://my.pitchbook.com?c=229494-07", "View company online")</f>
        <v>View company online</v>
      </c>
    </row>
    <row r="1132" spans="1:135">
      <c r="A1132" s="15" t="s">
        <v>22025</v>
      </c>
      <c r="B1132" s="15" t="s">
        <v>22026</v>
      </c>
      <c r="C1132" s="15" t="s">
        <v>22027</v>
      </c>
      <c r="D1132" s="15" t="s">
        <v>138</v>
      </c>
      <c r="E1132" s="15" t="s">
        <v>22028</v>
      </c>
      <c r="F1132" s="15" t="s">
        <v>22025</v>
      </c>
      <c r="G1132" s="15" t="s">
        <v>22029</v>
      </c>
      <c r="H1132" s="15" t="s">
        <v>238</v>
      </c>
      <c r="I1132" s="15" t="s">
        <v>239</v>
      </c>
      <c r="J1132" s="15" t="s">
        <v>8328</v>
      </c>
      <c r="K1132" s="15" t="s">
        <v>22030</v>
      </c>
      <c r="L1132" s="15" t="s">
        <v>215</v>
      </c>
      <c r="M1132" s="15" t="s">
        <v>22031</v>
      </c>
      <c r="N1132" s="15" t="s">
        <v>147</v>
      </c>
      <c r="O1132" s="17">
        <v>8.73</v>
      </c>
      <c r="P1132" s="15" t="s">
        <v>148</v>
      </c>
      <c r="Q1132" s="15" t="s">
        <v>149</v>
      </c>
      <c r="R1132" s="15" t="s">
        <v>244</v>
      </c>
      <c r="S1132" s="15" t="s">
        <v>22032</v>
      </c>
      <c r="T1132" s="18" t="s">
        <v>138</v>
      </c>
      <c r="U1132" s="15" t="s">
        <v>138</v>
      </c>
      <c r="V1132" s="15" t="s">
        <v>138</v>
      </c>
      <c r="W1132" s="15" t="s">
        <v>138</v>
      </c>
      <c r="X1132" s="19">
        <v>2009</v>
      </c>
      <c r="Y1132" s="15" t="s">
        <v>138</v>
      </c>
      <c r="Z1132" s="15" t="s">
        <v>138</v>
      </c>
      <c r="AA1132" s="15" t="s">
        <v>138</v>
      </c>
      <c r="AB1132" s="20" t="s">
        <v>138</v>
      </c>
      <c r="AC1132" s="20" t="s">
        <v>138</v>
      </c>
      <c r="AD1132" s="20" t="s">
        <v>138</v>
      </c>
      <c r="AE1132" s="20" t="s">
        <v>138</v>
      </c>
      <c r="AF1132" s="20" t="s">
        <v>138</v>
      </c>
      <c r="AG1132" s="15" t="s">
        <v>138</v>
      </c>
      <c r="AH1132" s="20" t="s">
        <v>138</v>
      </c>
      <c r="AI1132" s="20" t="s">
        <v>138</v>
      </c>
      <c r="AJ1132" s="20" t="s">
        <v>138</v>
      </c>
      <c r="AK1132" s="15" t="s">
        <v>22033</v>
      </c>
      <c r="AL1132" s="15" t="s">
        <v>22034</v>
      </c>
      <c r="AM1132" s="15" t="s">
        <v>304</v>
      </c>
      <c r="AN1132" s="15" t="s">
        <v>22035</v>
      </c>
      <c r="AO1132" s="15" t="s">
        <v>22036</v>
      </c>
      <c r="AP1132" s="15" t="s">
        <v>1870</v>
      </c>
      <c r="AQ1132" s="15" t="s">
        <v>22037</v>
      </c>
      <c r="AR1132" s="15" t="s">
        <v>22038</v>
      </c>
      <c r="AS1132" s="15" t="s">
        <v>1872</v>
      </c>
      <c r="AT1132" s="15" t="s">
        <v>200</v>
      </c>
      <c r="AU1132" s="15" t="s">
        <v>22039</v>
      </c>
      <c r="AV1132" s="15" t="s">
        <v>162</v>
      </c>
      <c r="AW1132" s="15" t="s">
        <v>22036</v>
      </c>
      <c r="AX1132" s="15" t="s">
        <v>138</v>
      </c>
      <c r="AY1132" s="15" t="s">
        <v>22040</v>
      </c>
      <c r="AZ1132" s="15" t="s">
        <v>164</v>
      </c>
      <c r="BA1132" s="15" t="s">
        <v>165</v>
      </c>
      <c r="BB1132" s="15" t="s">
        <v>22041</v>
      </c>
      <c r="BC1132" s="15" t="s">
        <v>22042</v>
      </c>
      <c r="BD1132" s="21">
        <v>14</v>
      </c>
      <c r="BE1132" s="15" t="s">
        <v>138</v>
      </c>
      <c r="BF1132" s="15" t="s">
        <v>138</v>
      </c>
      <c r="BG1132" s="15" t="s">
        <v>138</v>
      </c>
      <c r="BH1132" s="15" t="s">
        <v>22043</v>
      </c>
      <c r="BI1132" s="15" t="s">
        <v>138</v>
      </c>
      <c r="BJ1132" s="15" t="s">
        <v>138</v>
      </c>
      <c r="BK1132" s="15" t="s">
        <v>22044</v>
      </c>
      <c r="BL1132" s="15" t="s">
        <v>22045</v>
      </c>
      <c r="BM1132" s="22">
        <v>41551</v>
      </c>
      <c r="BN1132" s="17">
        <v>1.7</v>
      </c>
      <c r="BO1132" s="15" t="s">
        <v>172</v>
      </c>
      <c r="BP1132" s="17">
        <v>6.53</v>
      </c>
      <c r="BQ1132" s="15" t="s">
        <v>172</v>
      </c>
      <c r="BR1132" s="15" t="s">
        <v>234</v>
      </c>
      <c r="BS1132" s="15" t="s">
        <v>234</v>
      </c>
      <c r="BT1132" s="15" t="s">
        <v>138</v>
      </c>
      <c r="BU1132" s="15" t="s">
        <v>263</v>
      </c>
      <c r="BV1132" s="15" t="s">
        <v>138</v>
      </c>
      <c r="BW1132" s="15" t="s">
        <v>138</v>
      </c>
      <c r="BX1132" s="15" t="s">
        <v>138</v>
      </c>
      <c r="BY1132" s="15" t="s">
        <v>175</v>
      </c>
      <c r="BZ1132" s="22" t="s">
        <v>138</v>
      </c>
      <c r="CA1132" s="17" t="s">
        <v>138</v>
      </c>
      <c r="CB1132" s="15" t="s">
        <v>138</v>
      </c>
      <c r="CC1132" s="17" t="s">
        <v>138</v>
      </c>
      <c r="CD1132" s="15" t="s">
        <v>138</v>
      </c>
      <c r="CE1132" s="15" t="s">
        <v>1326</v>
      </c>
      <c r="CF1132" s="15" t="s">
        <v>138</v>
      </c>
      <c r="CG1132" s="15" t="s">
        <v>138</v>
      </c>
      <c r="CH1132" s="15" t="s">
        <v>1327</v>
      </c>
      <c r="CI1132" s="15" t="s">
        <v>1328</v>
      </c>
      <c r="CJ1132" s="15" t="s">
        <v>138</v>
      </c>
      <c r="CK1132" s="15" t="s">
        <v>138</v>
      </c>
      <c r="CL1132" s="15" t="s">
        <v>175</v>
      </c>
      <c r="CM1132" s="22">
        <v>42551</v>
      </c>
      <c r="CN1132" s="17">
        <v>0.23</v>
      </c>
      <c r="CO1132" s="23">
        <v>-0.15</v>
      </c>
      <c r="CP1132" s="24">
        <v>20</v>
      </c>
      <c r="CQ1132" s="23">
        <v>0.04</v>
      </c>
      <c r="CR1132" s="23">
        <v>21.66</v>
      </c>
      <c r="CS1132" s="23">
        <v>-0.62</v>
      </c>
      <c r="CT1132" s="24">
        <v>18</v>
      </c>
      <c r="CU1132" s="23">
        <v>0.32</v>
      </c>
      <c r="CV1132" s="24">
        <v>88</v>
      </c>
      <c r="CW1132" s="23">
        <v>0</v>
      </c>
      <c r="CX1132" s="24">
        <v>13</v>
      </c>
      <c r="CY1132" s="23">
        <v>-1.24</v>
      </c>
      <c r="CZ1132" s="24">
        <v>17</v>
      </c>
      <c r="DA1132" s="23">
        <v>0.32</v>
      </c>
      <c r="DB1132" s="24">
        <v>89</v>
      </c>
      <c r="DC1132" s="25">
        <v>2.92</v>
      </c>
      <c r="DD1132" s="24">
        <v>74</v>
      </c>
      <c r="DE1132" s="25">
        <v>-0.02</v>
      </c>
      <c r="DF1132" s="23">
        <v>-0.55000000000000004</v>
      </c>
      <c r="DG1132" s="25">
        <v>3.69</v>
      </c>
      <c r="DH1132" s="24">
        <v>78</v>
      </c>
      <c r="DI1132" s="25">
        <v>2.14</v>
      </c>
      <c r="DJ1132" s="24">
        <v>64</v>
      </c>
      <c r="DK1132" s="25">
        <v>1.17</v>
      </c>
      <c r="DL1132" s="24">
        <v>53</v>
      </c>
      <c r="DM1132" s="25">
        <v>6.21</v>
      </c>
      <c r="DN1132" s="24">
        <v>84</v>
      </c>
      <c r="DO1132" s="25">
        <v>2.14</v>
      </c>
      <c r="DP1132" s="24">
        <v>65</v>
      </c>
      <c r="DQ1132" s="24">
        <v>395</v>
      </c>
      <c r="DR1132" s="26">
        <v>17</v>
      </c>
      <c r="DS1132" s="23">
        <v>4.5</v>
      </c>
      <c r="DT1132" s="24">
        <v>179</v>
      </c>
      <c r="DU1132" s="26">
        <v>0</v>
      </c>
      <c r="DV1132" s="23">
        <v>0</v>
      </c>
      <c r="DW1132" s="24">
        <v>766</v>
      </c>
      <c r="DX1132" s="27">
        <v>7</v>
      </c>
      <c r="DY1132" s="23">
        <v>0.92</v>
      </c>
      <c r="DZ1132" s="15" t="s">
        <v>178</v>
      </c>
      <c r="EA1132" s="22">
        <v>43622</v>
      </c>
      <c r="EB1132" s="17">
        <v>21.03</v>
      </c>
      <c r="EC1132" s="22">
        <v>42172</v>
      </c>
      <c r="ED1132" s="15" t="s">
        <v>205</v>
      </c>
      <c r="EE1132" s="14" t="str">
        <f>HYPERLINK("https://my.pitchbook.com?c=57384-37", "View company online")</f>
        <v>View company online</v>
      </c>
    </row>
    <row r="1133" spans="1:135">
      <c r="A1133" s="28" t="s">
        <v>22046</v>
      </c>
      <c r="B1133" s="28" t="s">
        <v>22047</v>
      </c>
      <c r="C1133" s="28" t="s">
        <v>138</v>
      </c>
      <c r="D1133" s="28" t="s">
        <v>138</v>
      </c>
      <c r="E1133" s="28" t="s">
        <v>22048</v>
      </c>
      <c r="F1133" s="28" t="s">
        <v>22046</v>
      </c>
      <c r="G1133" s="28" t="s">
        <v>22049</v>
      </c>
      <c r="H1133" s="28" t="s">
        <v>322</v>
      </c>
      <c r="I1133" s="28" t="s">
        <v>1208</v>
      </c>
      <c r="J1133" s="28" t="s">
        <v>1209</v>
      </c>
      <c r="K1133" s="28" t="s">
        <v>22050</v>
      </c>
      <c r="L1133" s="28" t="s">
        <v>415</v>
      </c>
      <c r="M1133" s="28" t="s">
        <v>22051</v>
      </c>
      <c r="N1133" s="28" t="s">
        <v>147</v>
      </c>
      <c r="O1133" s="29">
        <v>6.07</v>
      </c>
      <c r="P1133" s="28" t="s">
        <v>812</v>
      </c>
      <c r="Q1133" s="28" t="s">
        <v>149</v>
      </c>
      <c r="R1133" s="28" t="s">
        <v>174</v>
      </c>
      <c r="S1133" s="28" t="s">
        <v>22052</v>
      </c>
      <c r="T1133" s="30">
        <v>30</v>
      </c>
      <c r="U1133" s="28" t="s">
        <v>22053</v>
      </c>
      <c r="V1133" s="28" t="s">
        <v>138</v>
      </c>
      <c r="W1133" s="28" t="s">
        <v>138</v>
      </c>
      <c r="X1133" s="31">
        <v>2005</v>
      </c>
      <c r="Y1133" s="28" t="s">
        <v>138</v>
      </c>
      <c r="Z1133" s="28" t="s">
        <v>138</v>
      </c>
      <c r="AA1133" s="28" t="s">
        <v>138</v>
      </c>
      <c r="AB1133" s="32">
        <v>4.46</v>
      </c>
      <c r="AC1133" s="32" t="s">
        <v>138</v>
      </c>
      <c r="AD1133" s="32">
        <v>-2</v>
      </c>
      <c r="AE1133" s="32">
        <v>68.319999999999993</v>
      </c>
      <c r="AF1133" s="32">
        <v>4.33</v>
      </c>
      <c r="AG1133" s="28" t="s">
        <v>815</v>
      </c>
      <c r="AH1133" s="32" t="s">
        <v>138</v>
      </c>
      <c r="AI1133" s="32" t="s">
        <v>138</v>
      </c>
      <c r="AJ1133" s="32" t="s">
        <v>138</v>
      </c>
      <c r="AK1133" s="28" t="s">
        <v>22054</v>
      </c>
      <c r="AL1133" s="28" t="s">
        <v>22055</v>
      </c>
      <c r="AM1133" s="28" t="s">
        <v>22056</v>
      </c>
      <c r="AN1133" s="28" t="s">
        <v>22057</v>
      </c>
      <c r="AO1133" s="28" t="s">
        <v>22058</v>
      </c>
      <c r="AP1133" s="28" t="s">
        <v>2002</v>
      </c>
      <c r="AQ1133" s="28" t="s">
        <v>22059</v>
      </c>
      <c r="AR1133" s="28" t="s">
        <v>138</v>
      </c>
      <c r="AS1133" s="28" t="s">
        <v>2005</v>
      </c>
      <c r="AT1133" s="28" t="s">
        <v>200</v>
      </c>
      <c r="AU1133" s="28" t="s">
        <v>22060</v>
      </c>
      <c r="AV1133" s="28" t="s">
        <v>162</v>
      </c>
      <c r="AW1133" s="28" t="s">
        <v>22061</v>
      </c>
      <c r="AX1133" s="28" t="s">
        <v>22062</v>
      </c>
      <c r="AY1133" s="28" t="s">
        <v>22063</v>
      </c>
      <c r="AZ1133" s="28" t="s">
        <v>164</v>
      </c>
      <c r="BA1133" s="28" t="s">
        <v>165</v>
      </c>
      <c r="BB1133" s="28" t="s">
        <v>22064</v>
      </c>
      <c r="BC1133" s="28" t="s">
        <v>22065</v>
      </c>
      <c r="BD1133" s="33">
        <v>1</v>
      </c>
      <c r="BE1133" s="28" t="s">
        <v>138</v>
      </c>
      <c r="BF1133" s="28" t="s">
        <v>138</v>
      </c>
      <c r="BG1133" s="28" t="s">
        <v>138</v>
      </c>
      <c r="BH1133" s="28" t="s">
        <v>138</v>
      </c>
      <c r="BI1133" s="28" t="s">
        <v>138</v>
      </c>
      <c r="BJ1133" s="28" t="s">
        <v>138</v>
      </c>
      <c r="BK1133" s="28" t="s">
        <v>22066</v>
      </c>
      <c r="BL1133" s="28" t="s">
        <v>138</v>
      </c>
      <c r="BM1133" s="34">
        <v>39234</v>
      </c>
      <c r="BN1133" s="29">
        <v>0.5</v>
      </c>
      <c r="BO1133" s="28" t="s">
        <v>172</v>
      </c>
      <c r="BP1133" s="29">
        <v>5</v>
      </c>
      <c r="BQ1133" s="28" t="s">
        <v>172</v>
      </c>
      <c r="BR1133" s="28" t="s">
        <v>205</v>
      </c>
      <c r="BS1133" s="28" t="s">
        <v>206</v>
      </c>
      <c r="BT1133" s="28" t="s">
        <v>138</v>
      </c>
      <c r="BU1133" s="28" t="s">
        <v>174</v>
      </c>
      <c r="BV1133" s="28" t="s">
        <v>138</v>
      </c>
      <c r="BW1133" s="28" t="s">
        <v>138</v>
      </c>
      <c r="BX1133" s="28" t="s">
        <v>138</v>
      </c>
      <c r="BY1133" s="28" t="s">
        <v>175</v>
      </c>
      <c r="BZ1133" s="34">
        <v>42724</v>
      </c>
      <c r="CA1133" s="29">
        <v>5.57</v>
      </c>
      <c r="CB1133" s="28" t="s">
        <v>172</v>
      </c>
      <c r="CC1133" s="29">
        <v>71.14</v>
      </c>
      <c r="CD1133" s="28" t="s">
        <v>172</v>
      </c>
      <c r="CE1133" s="28" t="s">
        <v>173</v>
      </c>
      <c r="CF1133" s="28" t="s">
        <v>720</v>
      </c>
      <c r="CG1133" s="28" t="s">
        <v>138</v>
      </c>
      <c r="CH1133" s="28" t="s">
        <v>174</v>
      </c>
      <c r="CI1133" s="28" t="s">
        <v>138</v>
      </c>
      <c r="CJ1133" s="28" t="s">
        <v>138</v>
      </c>
      <c r="CK1133" s="28" t="s">
        <v>138</v>
      </c>
      <c r="CL1133" s="28" t="s">
        <v>175</v>
      </c>
      <c r="CM1133" s="34" t="s">
        <v>138</v>
      </c>
      <c r="CN1133" s="29" t="s">
        <v>138</v>
      </c>
      <c r="CO1133" s="35">
        <v>0</v>
      </c>
      <c r="CP1133" s="36">
        <v>26</v>
      </c>
      <c r="CQ1133" s="35">
        <v>0</v>
      </c>
      <c r="CR1133" s="35">
        <v>0</v>
      </c>
      <c r="CS1133" s="35">
        <v>0</v>
      </c>
      <c r="CT1133" s="36">
        <v>23</v>
      </c>
      <c r="CU1133" s="35">
        <v>0</v>
      </c>
      <c r="CV1133" s="36">
        <v>22</v>
      </c>
      <c r="CW1133" s="35" t="s">
        <v>138</v>
      </c>
      <c r="CX1133" s="36" t="s">
        <v>138</v>
      </c>
      <c r="CY1133" s="35">
        <v>0</v>
      </c>
      <c r="CZ1133" s="36">
        <v>25</v>
      </c>
      <c r="DA1133" s="35">
        <v>0</v>
      </c>
      <c r="DB1133" s="36">
        <v>22</v>
      </c>
      <c r="DC1133" s="37">
        <v>0.4</v>
      </c>
      <c r="DD1133" s="36">
        <v>29</v>
      </c>
      <c r="DE1133" s="37">
        <v>0</v>
      </c>
      <c r="DF1133" s="35">
        <v>0</v>
      </c>
      <c r="DG1133" s="37">
        <v>1.1399999999999999</v>
      </c>
      <c r="DH1133" s="36">
        <v>54</v>
      </c>
      <c r="DI1133" s="37">
        <v>0.01</v>
      </c>
      <c r="DJ1133" s="36">
        <v>1</v>
      </c>
      <c r="DK1133" s="37" t="s">
        <v>138</v>
      </c>
      <c r="DL1133" s="36" t="s">
        <v>138</v>
      </c>
      <c r="DM1133" s="37">
        <v>1.1399999999999999</v>
      </c>
      <c r="DN1133" s="36">
        <v>53</v>
      </c>
      <c r="DO1133" s="37">
        <v>0.01</v>
      </c>
      <c r="DP1133" s="36">
        <v>1</v>
      </c>
      <c r="DQ1133" s="36" t="s">
        <v>138</v>
      </c>
      <c r="DR1133" s="38" t="s">
        <v>138</v>
      </c>
      <c r="DS1133" s="35" t="s">
        <v>138</v>
      </c>
      <c r="DT1133" s="36">
        <v>33</v>
      </c>
      <c r="DU1133" s="38">
        <v>0</v>
      </c>
      <c r="DV1133" s="35">
        <v>0</v>
      </c>
      <c r="DW1133" s="36">
        <v>3</v>
      </c>
      <c r="DX1133" s="39">
        <v>0</v>
      </c>
      <c r="DY1133" s="35">
        <v>0</v>
      </c>
      <c r="DZ1133" s="28" t="s">
        <v>178</v>
      </c>
      <c r="EA1133" s="34">
        <v>43586</v>
      </c>
      <c r="EB1133" s="29">
        <v>71.14</v>
      </c>
      <c r="EC1133" s="34">
        <v>42724</v>
      </c>
      <c r="ED1133" s="28" t="s">
        <v>173</v>
      </c>
      <c r="EE1133" s="40" t="str">
        <f>HYPERLINK("https://my.pitchbook.com?c=113555-44", "View company online")</f>
        <v>View company online</v>
      </c>
    </row>
    <row r="1134" spans="1:135">
      <c r="A1134" s="15" t="s">
        <v>22067</v>
      </c>
      <c r="B1134" s="15" t="s">
        <v>22068</v>
      </c>
      <c r="C1134" s="15" t="s">
        <v>138</v>
      </c>
      <c r="D1134" s="15" t="s">
        <v>138</v>
      </c>
      <c r="E1134" s="15" t="s">
        <v>22069</v>
      </c>
      <c r="F1134" s="15" t="s">
        <v>22067</v>
      </c>
      <c r="G1134" s="15" t="s">
        <v>22070</v>
      </c>
      <c r="H1134" s="15" t="s">
        <v>141</v>
      </c>
      <c r="I1134" s="15" t="s">
        <v>212</v>
      </c>
      <c r="J1134" s="15" t="s">
        <v>1257</v>
      </c>
      <c r="K1134" s="15" t="s">
        <v>22071</v>
      </c>
      <c r="L1134" s="15" t="s">
        <v>242</v>
      </c>
      <c r="M1134" s="15" t="s">
        <v>22072</v>
      </c>
      <c r="N1134" s="15" t="s">
        <v>1452</v>
      </c>
      <c r="O1134" s="17">
        <v>43.06</v>
      </c>
      <c r="P1134" s="15" t="s">
        <v>812</v>
      </c>
      <c r="Q1134" s="15" t="s">
        <v>149</v>
      </c>
      <c r="R1134" s="15" t="s">
        <v>1652</v>
      </c>
      <c r="S1134" s="15" t="s">
        <v>22073</v>
      </c>
      <c r="T1134" s="18">
        <v>87</v>
      </c>
      <c r="U1134" s="15" t="s">
        <v>22074</v>
      </c>
      <c r="V1134" s="15" t="s">
        <v>138</v>
      </c>
      <c r="W1134" s="15" t="s">
        <v>138</v>
      </c>
      <c r="X1134" s="19">
        <v>1999</v>
      </c>
      <c r="Y1134" s="15" t="s">
        <v>138</v>
      </c>
      <c r="Z1134" s="15" t="s">
        <v>138</v>
      </c>
      <c r="AA1134" s="15" t="s">
        <v>138</v>
      </c>
      <c r="AB1134" s="20">
        <v>15.36</v>
      </c>
      <c r="AC1134" s="20" t="s">
        <v>138</v>
      </c>
      <c r="AD1134" s="20">
        <v>-5.45</v>
      </c>
      <c r="AE1134" s="20" t="s">
        <v>138</v>
      </c>
      <c r="AF1134" s="20">
        <v>-4.45</v>
      </c>
      <c r="AG1134" s="15" t="s">
        <v>815</v>
      </c>
      <c r="AH1134" s="20" t="s">
        <v>138</v>
      </c>
      <c r="AI1134" s="20" t="s">
        <v>138</v>
      </c>
      <c r="AJ1134" s="20" t="s">
        <v>138</v>
      </c>
      <c r="AK1134" s="15" t="s">
        <v>22075</v>
      </c>
      <c r="AL1134" s="15" t="s">
        <v>22076</v>
      </c>
      <c r="AM1134" s="15" t="s">
        <v>249</v>
      </c>
      <c r="AN1134" s="15" t="s">
        <v>22077</v>
      </c>
      <c r="AO1134" s="15" t="s">
        <v>22078</v>
      </c>
      <c r="AP1134" s="15" t="s">
        <v>6449</v>
      </c>
      <c r="AQ1134" s="15" t="s">
        <v>22079</v>
      </c>
      <c r="AR1134" s="15" t="s">
        <v>22080</v>
      </c>
      <c r="AS1134" s="15" t="s">
        <v>863</v>
      </c>
      <c r="AT1134" s="15" t="s">
        <v>824</v>
      </c>
      <c r="AU1134" s="15" t="s">
        <v>22081</v>
      </c>
      <c r="AV1134" s="15" t="s">
        <v>526</v>
      </c>
      <c r="AW1134" s="15" t="s">
        <v>22078</v>
      </c>
      <c r="AX1134" s="15" t="s">
        <v>22082</v>
      </c>
      <c r="AY1134" s="15" t="s">
        <v>22083</v>
      </c>
      <c r="AZ1134" s="15" t="s">
        <v>530</v>
      </c>
      <c r="BA1134" s="15" t="s">
        <v>531</v>
      </c>
      <c r="BB1134" s="15" t="s">
        <v>22084</v>
      </c>
      <c r="BC1134" s="15" t="s">
        <v>22085</v>
      </c>
      <c r="BD1134" s="21">
        <v>10</v>
      </c>
      <c r="BE1134" s="15" t="s">
        <v>138</v>
      </c>
      <c r="BF1134" s="15" t="s">
        <v>22086</v>
      </c>
      <c r="BG1134" s="15" t="s">
        <v>138</v>
      </c>
      <c r="BH1134" s="15" t="s">
        <v>22087</v>
      </c>
      <c r="BI1134" s="15" t="s">
        <v>22088</v>
      </c>
      <c r="BJ1134" s="15" t="s">
        <v>138</v>
      </c>
      <c r="BK1134" s="15" t="s">
        <v>22089</v>
      </c>
      <c r="BL1134" s="15" t="s">
        <v>22090</v>
      </c>
      <c r="BM1134" s="22">
        <v>38789</v>
      </c>
      <c r="BN1134" s="17">
        <v>14.83</v>
      </c>
      <c r="BO1134" s="15" t="s">
        <v>172</v>
      </c>
      <c r="BP1134" s="17" t="s">
        <v>138</v>
      </c>
      <c r="BQ1134" s="15" t="s">
        <v>138</v>
      </c>
      <c r="BR1134" s="15" t="s">
        <v>173</v>
      </c>
      <c r="BS1134" s="15" t="s">
        <v>138</v>
      </c>
      <c r="BT1134" s="15" t="s">
        <v>138</v>
      </c>
      <c r="BU1134" s="15" t="s">
        <v>174</v>
      </c>
      <c r="BV1134" s="15" t="s">
        <v>138</v>
      </c>
      <c r="BW1134" s="15" t="s">
        <v>138</v>
      </c>
      <c r="BX1134" s="15" t="s">
        <v>138</v>
      </c>
      <c r="BY1134" s="15" t="s">
        <v>175</v>
      </c>
      <c r="BZ1134" s="22" t="s">
        <v>138</v>
      </c>
      <c r="CA1134" s="17" t="s">
        <v>138</v>
      </c>
      <c r="CB1134" s="15" t="s">
        <v>138</v>
      </c>
      <c r="CC1134" s="17" t="s">
        <v>138</v>
      </c>
      <c r="CD1134" s="15" t="s">
        <v>138</v>
      </c>
      <c r="CE1134" s="15" t="s">
        <v>1326</v>
      </c>
      <c r="CF1134" s="15" t="s">
        <v>138</v>
      </c>
      <c r="CG1134" s="15" t="s">
        <v>138</v>
      </c>
      <c r="CH1134" s="15" t="s">
        <v>1327</v>
      </c>
      <c r="CI1134" s="15" t="s">
        <v>1328</v>
      </c>
      <c r="CJ1134" s="15" t="s">
        <v>138</v>
      </c>
      <c r="CK1134" s="15" t="s">
        <v>138</v>
      </c>
      <c r="CL1134" s="15" t="s">
        <v>175</v>
      </c>
      <c r="CM1134" s="22">
        <v>41620</v>
      </c>
      <c r="CN1134" s="17">
        <v>3.23</v>
      </c>
      <c r="CO1134" s="23">
        <v>-0.49</v>
      </c>
      <c r="CP1134" s="24">
        <v>16</v>
      </c>
      <c r="CQ1134" s="23">
        <v>0.01</v>
      </c>
      <c r="CR1134" s="23">
        <v>1.04</v>
      </c>
      <c r="CS1134" s="23">
        <v>-1.1399999999999999</v>
      </c>
      <c r="CT1134" s="24">
        <v>14</v>
      </c>
      <c r="CU1134" s="23">
        <v>0.16</v>
      </c>
      <c r="CV1134" s="24">
        <v>76</v>
      </c>
      <c r="CW1134" s="23">
        <v>0</v>
      </c>
      <c r="CX1134" s="24">
        <v>13</v>
      </c>
      <c r="CY1134" s="23">
        <v>-2.2799999999999998</v>
      </c>
      <c r="CZ1134" s="24">
        <v>10</v>
      </c>
      <c r="DA1134" s="23">
        <v>0.33</v>
      </c>
      <c r="DB1134" s="24">
        <v>90</v>
      </c>
      <c r="DC1134" s="25">
        <v>6.03</v>
      </c>
      <c r="DD1134" s="24">
        <v>85</v>
      </c>
      <c r="DE1134" s="25">
        <v>0</v>
      </c>
      <c r="DF1134" s="23">
        <v>-0.04</v>
      </c>
      <c r="DG1134" s="25">
        <v>7.06</v>
      </c>
      <c r="DH1134" s="24">
        <v>86</v>
      </c>
      <c r="DI1134" s="25">
        <v>5</v>
      </c>
      <c r="DJ1134" s="24">
        <v>77</v>
      </c>
      <c r="DK1134" s="25">
        <v>0.16</v>
      </c>
      <c r="DL1134" s="24">
        <v>1</v>
      </c>
      <c r="DM1134" s="25">
        <v>13.97</v>
      </c>
      <c r="DN1134" s="24">
        <v>92</v>
      </c>
      <c r="DO1134" s="25">
        <v>3.04</v>
      </c>
      <c r="DP1134" s="24">
        <v>71</v>
      </c>
      <c r="DQ1134" s="24">
        <v>56</v>
      </c>
      <c r="DR1134" s="26">
        <v>-1</v>
      </c>
      <c r="DS1134" s="23">
        <v>-1.75</v>
      </c>
      <c r="DT1134" s="24">
        <v>405</v>
      </c>
      <c r="DU1134" s="26">
        <v>1</v>
      </c>
      <c r="DV1134" s="23">
        <v>0.25</v>
      </c>
      <c r="DW1134" s="24">
        <v>1086</v>
      </c>
      <c r="DX1134" s="27">
        <v>1</v>
      </c>
      <c r="DY1134" s="23">
        <v>0.09</v>
      </c>
      <c r="DZ1134" s="15" t="s">
        <v>178</v>
      </c>
      <c r="EA1134" s="22">
        <v>43622</v>
      </c>
      <c r="EB1134" s="17" t="s">
        <v>138</v>
      </c>
      <c r="EC1134" s="22" t="s">
        <v>138</v>
      </c>
      <c r="ED1134" s="15" t="s">
        <v>138</v>
      </c>
      <c r="EE1134" s="14" t="str">
        <f>HYPERLINK("https://my.pitchbook.com?c=54707-05", "View company online")</f>
        <v>View company online</v>
      </c>
    </row>
    <row r="1135" spans="1:135">
      <c r="A1135" s="28" t="s">
        <v>22091</v>
      </c>
      <c r="B1135" s="28" t="s">
        <v>22092</v>
      </c>
      <c r="C1135" s="28" t="s">
        <v>22093</v>
      </c>
      <c r="D1135" s="28" t="s">
        <v>138</v>
      </c>
      <c r="E1135" s="28" t="s">
        <v>138</v>
      </c>
      <c r="F1135" s="28" t="s">
        <v>22091</v>
      </c>
      <c r="G1135" s="28" t="s">
        <v>22094</v>
      </c>
      <c r="H1135" s="28" t="s">
        <v>141</v>
      </c>
      <c r="I1135" s="28" t="s">
        <v>212</v>
      </c>
      <c r="J1135" s="28" t="s">
        <v>1257</v>
      </c>
      <c r="K1135" s="28" t="s">
        <v>22095</v>
      </c>
      <c r="L1135" s="28" t="s">
        <v>138</v>
      </c>
      <c r="M1135" s="28" t="s">
        <v>22096</v>
      </c>
      <c r="N1135" s="28" t="s">
        <v>147</v>
      </c>
      <c r="O1135" s="29" t="s">
        <v>138</v>
      </c>
      <c r="P1135" s="28" t="s">
        <v>148</v>
      </c>
      <c r="Q1135" s="28" t="s">
        <v>149</v>
      </c>
      <c r="R1135" s="28" t="s">
        <v>174</v>
      </c>
      <c r="S1135" s="28" t="s">
        <v>22097</v>
      </c>
      <c r="T1135" s="30">
        <v>1050</v>
      </c>
      <c r="U1135" s="28" t="s">
        <v>22098</v>
      </c>
      <c r="V1135" s="28" t="s">
        <v>138</v>
      </c>
      <c r="W1135" s="28" t="s">
        <v>138</v>
      </c>
      <c r="X1135" s="31">
        <v>2011</v>
      </c>
      <c r="Y1135" s="28" t="s">
        <v>138</v>
      </c>
      <c r="Z1135" s="28" t="s">
        <v>138</v>
      </c>
      <c r="AA1135" s="28" t="s">
        <v>138</v>
      </c>
      <c r="AB1135" s="32">
        <v>2.09</v>
      </c>
      <c r="AC1135" s="32" t="s">
        <v>138</v>
      </c>
      <c r="AD1135" s="32">
        <v>12.28</v>
      </c>
      <c r="AE1135" s="32" t="s">
        <v>138</v>
      </c>
      <c r="AF1135" s="32" t="s">
        <v>138</v>
      </c>
      <c r="AG1135" s="28" t="s">
        <v>633</v>
      </c>
      <c r="AH1135" s="32" t="s">
        <v>138</v>
      </c>
      <c r="AI1135" s="32" t="s">
        <v>138</v>
      </c>
      <c r="AJ1135" s="32" t="s">
        <v>138</v>
      </c>
      <c r="AK1135" s="28" t="s">
        <v>22099</v>
      </c>
      <c r="AL1135" s="28" t="s">
        <v>22100</v>
      </c>
      <c r="AM1135" s="28" t="s">
        <v>566</v>
      </c>
      <c r="AN1135" s="28" t="s">
        <v>22101</v>
      </c>
      <c r="AO1135" s="28" t="s">
        <v>22102</v>
      </c>
      <c r="AP1135" s="28" t="s">
        <v>941</v>
      </c>
      <c r="AQ1135" s="28" t="s">
        <v>22103</v>
      </c>
      <c r="AR1135" s="28" t="s">
        <v>138</v>
      </c>
      <c r="AS1135" s="28" t="s">
        <v>944</v>
      </c>
      <c r="AT1135" s="28" t="s">
        <v>138</v>
      </c>
      <c r="AU1135" s="28" t="s">
        <v>1570</v>
      </c>
      <c r="AV1135" s="28" t="s">
        <v>946</v>
      </c>
      <c r="AW1135" s="28" t="s">
        <v>22102</v>
      </c>
      <c r="AX1135" s="28" t="s">
        <v>138</v>
      </c>
      <c r="AY1135" s="28" t="s">
        <v>138</v>
      </c>
      <c r="AZ1135" s="28" t="s">
        <v>530</v>
      </c>
      <c r="BA1135" s="28" t="s">
        <v>531</v>
      </c>
      <c r="BB1135" s="28" t="s">
        <v>22104</v>
      </c>
      <c r="BC1135" s="28" t="s">
        <v>22105</v>
      </c>
      <c r="BD1135" s="33">
        <v>5</v>
      </c>
      <c r="BE1135" s="28" t="s">
        <v>138</v>
      </c>
      <c r="BF1135" s="28" t="s">
        <v>22106</v>
      </c>
      <c r="BG1135" s="28" t="s">
        <v>138</v>
      </c>
      <c r="BH1135" s="28" t="s">
        <v>22107</v>
      </c>
      <c r="BI1135" s="28" t="s">
        <v>22108</v>
      </c>
      <c r="BJ1135" s="28" t="s">
        <v>138</v>
      </c>
      <c r="BK1135" s="28" t="s">
        <v>138</v>
      </c>
      <c r="BL1135" s="28" t="s">
        <v>138</v>
      </c>
      <c r="BM1135" s="34">
        <v>40808</v>
      </c>
      <c r="BN1135" s="29" t="s">
        <v>138</v>
      </c>
      <c r="BO1135" s="28" t="s">
        <v>138</v>
      </c>
      <c r="BP1135" s="29" t="s">
        <v>138</v>
      </c>
      <c r="BQ1135" s="28" t="s">
        <v>138</v>
      </c>
      <c r="BR1135" s="28" t="s">
        <v>234</v>
      </c>
      <c r="BS1135" s="28" t="s">
        <v>234</v>
      </c>
      <c r="BT1135" s="28" t="s">
        <v>138</v>
      </c>
      <c r="BU1135" s="28" t="s">
        <v>174</v>
      </c>
      <c r="BV1135" s="28" t="s">
        <v>138</v>
      </c>
      <c r="BW1135" s="28" t="s">
        <v>138</v>
      </c>
      <c r="BX1135" s="28" t="s">
        <v>138</v>
      </c>
      <c r="BY1135" s="28" t="s">
        <v>175</v>
      </c>
      <c r="BZ1135" s="34" t="s">
        <v>138</v>
      </c>
      <c r="CA1135" s="29" t="s">
        <v>138</v>
      </c>
      <c r="CB1135" s="28" t="s">
        <v>138</v>
      </c>
      <c r="CC1135" s="29" t="s">
        <v>138</v>
      </c>
      <c r="CD1135" s="28" t="s">
        <v>138</v>
      </c>
      <c r="CE1135" s="28" t="s">
        <v>379</v>
      </c>
      <c r="CF1135" s="28" t="s">
        <v>138</v>
      </c>
      <c r="CG1135" s="28" t="s">
        <v>138</v>
      </c>
      <c r="CH1135" s="28" t="s">
        <v>174</v>
      </c>
      <c r="CI1135" s="28" t="s">
        <v>138</v>
      </c>
      <c r="CJ1135" s="28" t="s">
        <v>138</v>
      </c>
      <c r="CK1135" s="28" t="s">
        <v>138</v>
      </c>
      <c r="CL1135" s="28" t="s">
        <v>175</v>
      </c>
      <c r="CM1135" s="34" t="s">
        <v>138</v>
      </c>
      <c r="CN1135" s="29" t="s">
        <v>138</v>
      </c>
      <c r="CO1135" s="35">
        <v>-1.83</v>
      </c>
      <c r="CP1135" s="36">
        <v>6</v>
      </c>
      <c r="CQ1135" s="35">
        <v>-0.08</v>
      </c>
      <c r="CR1135" s="35">
        <v>-4.3499999999999996</v>
      </c>
      <c r="CS1135" s="35">
        <v>-5.77</v>
      </c>
      <c r="CT1135" s="36">
        <v>2</v>
      </c>
      <c r="CU1135" s="35">
        <v>0.03</v>
      </c>
      <c r="CV1135" s="36">
        <v>54</v>
      </c>
      <c r="CW1135" s="35" t="s">
        <v>138</v>
      </c>
      <c r="CX1135" s="36" t="s">
        <v>138</v>
      </c>
      <c r="CY1135" s="35">
        <v>-5.77</v>
      </c>
      <c r="CZ1135" s="36">
        <v>2</v>
      </c>
      <c r="DA1135" s="35">
        <v>0.03</v>
      </c>
      <c r="DB1135" s="36">
        <v>60</v>
      </c>
      <c r="DC1135" s="37">
        <v>9.64</v>
      </c>
      <c r="DD1135" s="36">
        <v>90</v>
      </c>
      <c r="DE1135" s="37">
        <v>-0.02</v>
      </c>
      <c r="DF1135" s="35">
        <v>-0.16</v>
      </c>
      <c r="DG1135" s="37">
        <v>22.69</v>
      </c>
      <c r="DH1135" s="36">
        <v>95</v>
      </c>
      <c r="DI1135" s="37">
        <v>4.2699999999999996</v>
      </c>
      <c r="DJ1135" s="36">
        <v>75</v>
      </c>
      <c r="DK1135" s="37" t="s">
        <v>138</v>
      </c>
      <c r="DL1135" s="36" t="s">
        <v>138</v>
      </c>
      <c r="DM1135" s="37">
        <v>22.69</v>
      </c>
      <c r="DN1135" s="36">
        <v>95</v>
      </c>
      <c r="DO1135" s="37">
        <v>4.2699999999999996</v>
      </c>
      <c r="DP1135" s="36">
        <v>77</v>
      </c>
      <c r="DQ1135" s="36">
        <v>53</v>
      </c>
      <c r="DR1135" s="38">
        <v>-15</v>
      </c>
      <c r="DS1135" s="35">
        <v>-22.06</v>
      </c>
      <c r="DT1135" s="36">
        <v>658</v>
      </c>
      <c r="DU1135" s="38">
        <v>-8</v>
      </c>
      <c r="DV1135" s="35">
        <v>-1.2</v>
      </c>
      <c r="DW1135" s="36">
        <v>1530</v>
      </c>
      <c r="DX1135" s="39">
        <v>1</v>
      </c>
      <c r="DY1135" s="35">
        <v>7.0000000000000007E-2</v>
      </c>
      <c r="DZ1135" s="28" t="s">
        <v>178</v>
      </c>
      <c r="EA1135" s="34">
        <v>43622</v>
      </c>
      <c r="EB1135" s="29" t="s">
        <v>138</v>
      </c>
      <c r="EC1135" s="34" t="s">
        <v>138</v>
      </c>
      <c r="ED1135" s="28" t="s">
        <v>138</v>
      </c>
      <c r="EE1135" s="40" t="str">
        <f>HYPERLINK("https://my.pitchbook.com?c=64623-07", "View company online")</f>
        <v>View company online</v>
      </c>
    </row>
    <row r="1136" spans="1:135">
      <c r="A1136" s="15" t="s">
        <v>22109</v>
      </c>
      <c r="B1136" s="15" t="s">
        <v>22110</v>
      </c>
      <c r="C1136" s="15" t="s">
        <v>138</v>
      </c>
      <c r="D1136" s="15" t="s">
        <v>138</v>
      </c>
      <c r="E1136" s="15" t="s">
        <v>22111</v>
      </c>
      <c r="F1136" s="15" t="s">
        <v>22109</v>
      </c>
      <c r="G1136" s="15" t="s">
        <v>22112</v>
      </c>
      <c r="H1136" s="15" t="s">
        <v>141</v>
      </c>
      <c r="I1136" s="15" t="s">
        <v>142</v>
      </c>
      <c r="J1136" s="15" t="s">
        <v>4042</v>
      </c>
      <c r="K1136" s="15" t="s">
        <v>4043</v>
      </c>
      <c r="L1136" s="15" t="s">
        <v>7679</v>
      </c>
      <c r="M1136" s="15" t="s">
        <v>22113</v>
      </c>
      <c r="N1136" s="15" t="s">
        <v>147</v>
      </c>
      <c r="O1136" s="17">
        <v>85.1</v>
      </c>
      <c r="P1136" s="15" t="s">
        <v>148</v>
      </c>
      <c r="Q1136" s="15" t="s">
        <v>149</v>
      </c>
      <c r="R1136" s="15" t="s">
        <v>174</v>
      </c>
      <c r="S1136" s="15" t="s">
        <v>22114</v>
      </c>
      <c r="T1136" s="18">
        <v>40</v>
      </c>
      <c r="U1136" s="15" t="s">
        <v>22115</v>
      </c>
      <c r="V1136" s="15" t="s">
        <v>138</v>
      </c>
      <c r="W1136" s="15" t="s">
        <v>138</v>
      </c>
      <c r="X1136" s="19">
        <v>1986</v>
      </c>
      <c r="Y1136" s="15" t="s">
        <v>138</v>
      </c>
      <c r="Z1136" s="15" t="s">
        <v>138</v>
      </c>
      <c r="AA1136" s="15" t="s">
        <v>138</v>
      </c>
      <c r="AB1136" s="20" t="s">
        <v>138</v>
      </c>
      <c r="AC1136" s="20" t="s">
        <v>138</v>
      </c>
      <c r="AD1136" s="20" t="s">
        <v>138</v>
      </c>
      <c r="AE1136" s="20" t="s">
        <v>138</v>
      </c>
      <c r="AF1136" s="20" t="s">
        <v>138</v>
      </c>
      <c r="AG1136" s="15" t="s">
        <v>138</v>
      </c>
      <c r="AH1136" s="20" t="s">
        <v>138</v>
      </c>
      <c r="AI1136" s="20" t="s">
        <v>138</v>
      </c>
      <c r="AJ1136" s="20" t="s">
        <v>138</v>
      </c>
      <c r="AK1136" s="15" t="s">
        <v>22116</v>
      </c>
      <c r="AL1136" s="15" t="s">
        <v>22117</v>
      </c>
      <c r="AM1136" s="15" t="s">
        <v>11924</v>
      </c>
      <c r="AN1136" s="15" t="s">
        <v>22118</v>
      </c>
      <c r="AO1136" s="15" t="s">
        <v>22119</v>
      </c>
      <c r="AP1136" s="15" t="s">
        <v>8835</v>
      </c>
      <c r="AQ1136" s="15" t="s">
        <v>22120</v>
      </c>
      <c r="AR1136" s="15" t="s">
        <v>138</v>
      </c>
      <c r="AS1136" s="15" t="s">
        <v>8837</v>
      </c>
      <c r="AT1136" s="15" t="s">
        <v>864</v>
      </c>
      <c r="AU1136" s="15" t="s">
        <v>8838</v>
      </c>
      <c r="AV1136" s="15" t="s">
        <v>162</v>
      </c>
      <c r="AW1136" s="15" t="s">
        <v>22119</v>
      </c>
      <c r="AX1136" s="15" t="s">
        <v>138</v>
      </c>
      <c r="AY1136" s="15" t="s">
        <v>22121</v>
      </c>
      <c r="AZ1136" s="15" t="s">
        <v>164</v>
      </c>
      <c r="BA1136" s="15" t="s">
        <v>165</v>
      </c>
      <c r="BB1136" s="15" t="s">
        <v>22122</v>
      </c>
      <c r="BC1136" s="15" t="s">
        <v>22123</v>
      </c>
      <c r="BD1136" s="21">
        <v>7</v>
      </c>
      <c r="BE1136" s="15" t="s">
        <v>138</v>
      </c>
      <c r="BF1136" s="15" t="s">
        <v>138</v>
      </c>
      <c r="BG1136" s="15" t="s">
        <v>138</v>
      </c>
      <c r="BH1136" s="15" t="s">
        <v>22124</v>
      </c>
      <c r="BI1136" s="15" t="s">
        <v>138</v>
      </c>
      <c r="BJ1136" s="15" t="s">
        <v>138</v>
      </c>
      <c r="BK1136" s="15" t="s">
        <v>22125</v>
      </c>
      <c r="BL1136" s="15" t="s">
        <v>22126</v>
      </c>
      <c r="BM1136" s="22">
        <v>41248</v>
      </c>
      <c r="BN1136" s="17">
        <v>4.29</v>
      </c>
      <c r="BO1136" s="15" t="s">
        <v>172</v>
      </c>
      <c r="BP1136" s="17">
        <v>13.29</v>
      </c>
      <c r="BQ1136" s="15" t="s">
        <v>172</v>
      </c>
      <c r="BR1136" s="15" t="s">
        <v>173</v>
      </c>
      <c r="BS1136" s="15" t="s">
        <v>206</v>
      </c>
      <c r="BT1136" s="15" t="s">
        <v>138</v>
      </c>
      <c r="BU1136" s="15" t="s">
        <v>174</v>
      </c>
      <c r="BV1136" s="15" t="s">
        <v>138</v>
      </c>
      <c r="BW1136" s="15" t="s">
        <v>138</v>
      </c>
      <c r="BX1136" s="15" t="s">
        <v>138</v>
      </c>
      <c r="BY1136" s="15" t="s">
        <v>175</v>
      </c>
      <c r="BZ1136" s="22">
        <v>43138</v>
      </c>
      <c r="CA1136" s="17">
        <v>65</v>
      </c>
      <c r="CB1136" s="15" t="s">
        <v>172</v>
      </c>
      <c r="CC1136" s="17" t="s">
        <v>138</v>
      </c>
      <c r="CD1136" s="15" t="s">
        <v>138</v>
      </c>
      <c r="CE1136" s="15" t="s">
        <v>173</v>
      </c>
      <c r="CF1136" s="15" t="s">
        <v>317</v>
      </c>
      <c r="CG1136" s="15" t="s">
        <v>138</v>
      </c>
      <c r="CH1136" s="15" t="s">
        <v>174</v>
      </c>
      <c r="CI1136" s="15" t="s">
        <v>138</v>
      </c>
      <c r="CJ1136" s="15" t="s">
        <v>138</v>
      </c>
      <c r="CK1136" s="15" t="s">
        <v>138</v>
      </c>
      <c r="CL1136" s="15" t="s">
        <v>175</v>
      </c>
      <c r="CM1136" s="22" t="s">
        <v>138</v>
      </c>
      <c r="CN1136" s="17" t="s">
        <v>138</v>
      </c>
      <c r="CO1136" s="23">
        <v>0.44</v>
      </c>
      <c r="CP1136" s="24">
        <v>95</v>
      </c>
      <c r="CQ1136" s="23">
        <v>0.01</v>
      </c>
      <c r="CR1136" s="23">
        <v>2.34</v>
      </c>
      <c r="CS1136" s="23">
        <v>0.32</v>
      </c>
      <c r="CT1136" s="24">
        <v>95</v>
      </c>
      <c r="CU1136" s="23">
        <v>0.56000000000000005</v>
      </c>
      <c r="CV1136" s="24">
        <v>94</v>
      </c>
      <c r="CW1136" s="23">
        <v>0.64</v>
      </c>
      <c r="CX1136" s="24">
        <v>83</v>
      </c>
      <c r="CY1136" s="23">
        <v>0</v>
      </c>
      <c r="CZ1136" s="24">
        <v>25</v>
      </c>
      <c r="DA1136" s="23">
        <v>0.56000000000000005</v>
      </c>
      <c r="DB1136" s="24">
        <v>95</v>
      </c>
      <c r="DC1136" s="25">
        <v>2.34</v>
      </c>
      <c r="DD1136" s="24">
        <v>70</v>
      </c>
      <c r="DE1136" s="25">
        <v>-0.16</v>
      </c>
      <c r="DF1136" s="23">
        <v>-6.29</v>
      </c>
      <c r="DG1136" s="25">
        <v>3.02</v>
      </c>
      <c r="DH1136" s="24">
        <v>75</v>
      </c>
      <c r="DI1136" s="25">
        <v>1.67</v>
      </c>
      <c r="DJ1136" s="24">
        <v>59</v>
      </c>
      <c r="DK1136" s="25">
        <v>5.17</v>
      </c>
      <c r="DL1136" s="24">
        <v>80</v>
      </c>
      <c r="DM1136" s="25">
        <v>0.86</v>
      </c>
      <c r="DN1136" s="24">
        <v>47</v>
      </c>
      <c r="DO1136" s="25">
        <v>1.67</v>
      </c>
      <c r="DP1136" s="24">
        <v>60</v>
      </c>
      <c r="DQ1136" s="24">
        <v>1705</v>
      </c>
      <c r="DR1136" s="26">
        <v>207</v>
      </c>
      <c r="DS1136" s="23">
        <v>13.82</v>
      </c>
      <c r="DT1136" s="24">
        <v>25</v>
      </c>
      <c r="DU1136" s="26">
        <v>0</v>
      </c>
      <c r="DV1136" s="23">
        <v>0</v>
      </c>
      <c r="DW1136" s="24">
        <v>595</v>
      </c>
      <c r="DX1136" s="27">
        <v>2</v>
      </c>
      <c r="DY1136" s="23">
        <v>0.34</v>
      </c>
      <c r="DZ1136" s="15" t="s">
        <v>178</v>
      </c>
      <c r="EA1136" s="22">
        <v>43557</v>
      </c>
      <c r="EB1136" s="17">
        <v>112.82</v>
      </c>
      <c r="EC1136" s="22">
        <v>42284</v>
      </c>
      <c r="ED1136" s="15" t="s">
        <v>173</v>
      </c>
      <c r="EE1136" s="14" t="str">
        <f>HYPERLINK("https://my.pitchbook.com?c=58386-16", "View company online")</f>
        <v>View company online</v>
      </c>
    </row>
    <row r="1137" spans="1:135">
      <c r="A1137" s="28" t="s">
        <v>22127</v>
      </c>
      <c r="B1137" s="28" t="s">
        <v>22128</v>
      </c>
      <c r="C1137" s="28" t="s">
        <v>138</v>
      </c>
      <c r="D1137" s="28" t="s">
        <v>138</v>
      </c>
      <c r="E1137" s="28" t="s">
        <v>22129</v>
      </c>
      <c r="F1137" s="28" t="s">
        <v>22127</v>
      </c>
      <c r="G1137" s="28" t="s">
        <v>22130</v>
      </c>
      <c r="H1137" s="28" t="s">
        <v>322</v>
      </c>
      <c r="I1137" s="28" t="s">
        <v>323</v>
      </c>
      <c r="J1137" s="28" t="s">
        <v>413</v>
      </c>
      <c r="K1137" s="28" t="s">
        <v>22131</v>
      </c>
      <c r="L1137" s="28" t="s">
        <v>22132</v>
      </c>
      <c r="M1137" s="28" t="s">
        <v>22133</v>
      </c>
      <c r="N1137" s="28" t="s">
        <v>147</v>
      </c>
      <c r="O1137" s="29">
        <v>0.22</v>
      </c>
      <c r="P1137" s="28" t="s">
        <v>148</v>
      </c>
      <c r="Q1137" s="28" t="s">
        <v>149</v>
      </c>
      <c r="R1137" s="28" t="s">
        <v>244</v>
      </c>
      <c r="S1137" s="28" t="s">
        <v>22134</v>
      </c>
      <c r="T1137" s="30">
        <v>11</v>
      </c>
      <c r="U1137" s="28" t="s">
        <v>1356</v>
      </c>
      <c r="V1137" s="28" t="s">
        <v>138</v>
      </c>
      <c r="W1137" s="28" t="s">
        <v>138</v>
      </c>
      <c r="X1137" s="31">
        <v>2011</v>
      </c>
      <c r="Y1137" s="28" t="s">
        <v>138</v>
      </c>
      <c r="Z1137" s="28" t="s">
        <v>138</v>
      </c>
      <c r="AA1137" s="28" t="s">
        <v>138</v>
      </c>
      <c r="AB1137" s="32" t="s">
        <v>138</v>
      </c>
      <c r="AC1137" s="32" t="s">
        <v>138</v>
      </c>
      <c r="AD1137" s="32" t="s">
        <v>138</v>
      </c>
      <c r="AE1137" s="32" t="s">
        <v>138</v>
      </c>
      <c r="AF1137" s="32" t="s">
        <v>138</v>
      </c>
      <c r="AG1137" s="28" t="s">
        <v>138</v>
      </c>
      <c r="AH1137" s="32" t="s">
        <v>138</v>
      </c>
      <c r="AI1137" s="32" t="s">
        <v>138</v>
      </c>
      <c r="AJ1137" s="32" t="s">
        <v>138</v>
      </c>
      <c r="AK1137" s="28" t="s">
        <v>22135</v>
      </c>
      <c r="AL1137" s="28" t="s">
        <v>22136</v>
      </c>
      <c r="AM1137" s="28" t="s">
        <v>444</v>
      </c>
      <c r="AN1137" s="28" t="s">
        <v>22137</v>
      </c>
      <c r="AO1137" s="28" t="s">
        <v>22138</v>
      </c>
      <c r="AP1137" s="28" t="s">
        <v>423</v>
      </c>
      <c r="AQ1137" s="28" t="s">
        <v>22139</v>
      </c>
      <c r="AR1137" s="28" t="s">
        <v>2245</v>
      </c>
      <c r="AS1137" s="28" t="s">
        <v>426</v>
      </c>
      <c r="AT1137" s="28" t="s">
        <v>426</v>
      </c>
      <c r="AU1137" s="28" t="s">
        <v>619</v>
      </c>
      <c r="AV1137" s="28" t="s">
        <v>162</v>
      </c>
      <c r="AW1137" s="28" t="s">
        <v>22138</v>
      </c>
      <c r="AX1137" s="28" t="s">
        <v>138</v>
      </c>
      <c r="AY1137" s="28" t="s">
        <v>22140</v>
      </c>
      <c r="AZ1137" s="28" t="s">
        <v>164</v>
      </c>
      <c r="BA1137" s="28" t="s">
        <v>165</v>
      </c>
      <c r="BB1137" s="28" t="s">
        <v>22141</v>
      </c>
      <c r="BC1137" s="28" t="s">
        <v>22142</v>
      </c>
      <c r="BD1137" s="33">
        <v>5</v>
      </c>
      <c r="BE1137" s="28" t="s">
        <v>138</v>
      </c>
      <c r="BF1137" s="28" t="s">
        <v>138</v>
      </c>
      <c r="BG1137" s="28" t="s">
        <v>138</v>
      </c>
      <c r="BH1137" s="28" t="s">
        <v>22143</v>
      </c>
      <c r="BI1137" s="28" t="s">
        <v>138</v>
      </c>
      <c r="BJ1137" s="28" t="s">
        <v>138</v>
      </c>
      <c r="BK1137" s="28" t="s">
        <v>22144</v>
      </c>
      <c r="BL1137" s="28" t="s">
        <v>138</v>
      </c>
      <c r="BM1137" s="34" t="s">
        <v>138</v>
      </c>
      <c r="BN1137" s="29" t="s">
        <v>138</v>
      </c>
      <c r="BO1137" s="28" t="s">
        <v>138</v>
      </c>
      <c r="BP1137" s="29" t="s">
        <v>138</v>
      </c>
      <c r="BQ1137" s="28" t="s">
        <v>138</v>
      </c>
      <c r="BR1137" s="28" t="s">
        <v>205</v>
      </c>
      <c r="BS1137" s="28" t="s">
        <v>138</v>
      </c>
      <c r="BT1137" s="28" t="s">
        <v>138</v>
      </c>
      <c r="BU1137" s="28" t="s">
        <v>174</v>
      </c>
      <c r="BV1137" s="28" t="s">
        <v>138</v>
      </c>
      <c r="BW1137" s="28" t="s">
        <v>138</v>
      </c>
      <c r="BX1137" s="28" t="s">
        <v>138</v>
      </c>
      <c r="BY1137" s="28" t="s">
        <v>175</v>
      </c>
      <c r="BZ1137" s="34">
        <v>42628</v>
      </c>
      <c r="CA1137" s="29">
        <v>0.05</v>
      </c>
      <c r="CB1137" s="28" t="s">
        <v>172</v>
      </c>
      <c r="CC1137" s="29" t="s">
        <v>138</v>
      </c>
      <c r="CD1137" s="28" t="s">
        <v>138</v>
      </c>
      <c r="CE1137" s="28" t="s">
        <v>316</v>
      </c>
      <c r="CF1137" s="28" t="s">
        <v>138</v>
      </c>
      <c r="CG1137" s="28" t="s">
        <v>138</v>
      </c>
      <c r="CH1137" s="28" t="s">
        <v>177</v>
      </c>
      <c r="CI1137" s="28" t="s">
        <v>264</v>
      </c>
      <c r="CJ1137" s="28" t="s">
        <v>138</v>
      </c>
      <c r="CK1137" s="28" t="s">
        <v>138</v>
      </c>
      <c r="CL1137" s="28" t="s">
        <v>175</v>
      </c>
      <c r="CM1137" s="34" t="s">
        <v>138</v>
      </c>
      <c r="CN1137" s="29" t="s">
        <v>138</v>
      </c>
      <c r="CO1137" s="35">
        <v>-0.16</v>
      </c>
      <c r="CP1137" s="36">
        <v>20</v>
      </c>
      <c r="CQ1137" s="35">
        <v>7.0000000000000007E-2</v>
      </c>
      <c r="CR1137" s="35">
        <v>29.2</v>
      </c>
      <c r="CS1137" s="35">
        <v>-0.82</v>
      </c>
      <c r="CT1137" s="36">
        <v>17</v>
      </c>
      <c r="CU1137" s="35">
        <v>0.33</v>
      </c>
      <c r="CV1137" s="36">
        <v>89</v>
      </c>
      <c r="CW1137" s="35">
        <v>0.01</v>
      </c>
      <c r="CX1137" s="36">
        <v>80</v>
      </c>
      <c r="CY1137" s="35">
        <v>-1.65</v>
      </c>
      <c r="CZ1137" s="36">
        <v>14</v>
      </c>
      <c r="DA1137" s="35">
        <v>0.33</v>
      </c>
      <c r="DB1137" s="36">
        <v>90</v>
      </c>
      <c r="DC1137" s="37">
        <v>2.12</v>
      </c>
      <c r="DD1137" s="36">
        <v>68</v>
      </c>
      <c r="DE1137" s="37">
        <v>-0.03</v>
      </c>
      <c r="DF1137" s="35">
        <v>-1.32</v>
      </c>
      <c r="DG1137" s="37">
        <v>3.2</v>
      </c>
      <c r="DH1137" s="36">
        <v>76</v>
      </c>
      <c r="DI1137" s="37">
        <v>2.39</v>
      </c>
      <c r="DJ1137" s="36">
        <v>66</v>
      </c>
      <c r="DK1137" s="37">
        <v>2.5299999999999998</v>
      </c>
      <c r="DL1137" s="36">
        <v>69</v>
      </c>
      <c r="DM1137" s="37">
        <v>3.86</v>
      </c>
      <c r="DN1137" s="36">
        <v>78</v>
      </c>
      <c r="DO1137" s="37">
        <v>2.39</v>
      </c>
      <c r="DP1137" s="36">
        <v>67</v>
      </c>
      <c r="DQ1137" s="36">
        <v>879</v>
      </c>
      <c r="DR1137" s="38">
        <v>-34</v>
      </c>
      <c r="DS1137" s="35">
        <v>-3.72</v>
      </c>
      <c r="DT1137" s="36">
        <v>111</v>
      </c>
      <c r="DU1137" s="38">
        <v>0</v>
      </c>
      <c r="DV1137" s="35">
        <v>0</v>
      </c>
      <c r="DW1137" s="36">
        <v>854</v>
      </c>
      <c r="DX1137" s="39">
        <v>5</v>
      </c>
      <c r="DY1137" s="35">
        <v>0.59</v>
      </c>
      <c r="DZ1137" s="28" t="s">
        <v>178</v>
      </c>
      <c r="EA1137" s="34">
        <v>43375</v>
      </c>
      <c r="EB1137" s="29" t="s">
        <v>138</v>
      </c>
      <c r="EC1137" s="34" t="s">
        <v>138</v>
      </c>
      <c r="ED1137" s="28" t="s">
        <v>138</v>
      </c>
      <c r="EE1137" s="40" t="str">
        <f>HYPERLINK("https://my.pitchbook.com?c=55318-06", "View company online")</f>
        <v>View company online</v>
      </c>
    </row>
    <row r="1138" spans="1:135">
      <c r="A1138" s="15" t="s">
        <v>22145</v>
      </c>
      <c r="B1138" s="15" t="s">
        <v>22146</v>
      </c>
      <c r="C1138" s="15" t="s">
        <v>22147</v>
      </c>
      <c r="D1138" s="15" t="s">
        <v>138</v>
      </c>
      <c r="E1138" s="15" t="s">
        <v>22148</v>
      </c>
      <c r="F1138" s="15" t="s">
        <v>22145</v>
      </c>
      <c r="G1138" s="15" t="s">
        <v>22149</v>
      </c>
      <c r="H1138" s="15" t="s">
        <v>141</v>
      </c>
      <c r="I1138" s="15" t="s">
        <v>212</v>
      </c>
      <c r="J1138" s="15" t="s">
        <v>655</v>
      </c>
      <c r="K1138" s="15" t="s">
        <v>22150</v>
      </c>
      <c r="L1138" s="15" t="s">
        <v>22151</v>
      </c>
      <c r="M1138" s="15" t="s">
        <v>22152</v>
      </c>
      <c r="N1138" s="15" t="s">
        <v>147</v>
      </c>
      <c r="O1138" s="17">
        <v>2.62</v>
      </c>
      <c r="P1138" s="15" t="s">
        <v>1473</v>
      </c>
      <c r="Q1138" s="15" t="s">
        <v>149</v>
      </c>
      <c r="R1138" s="15" t="s">
        <v>174</v>
      </c>
      <c r="S1138" s="15" t="s">
        <v>22153</v>
      </c>
      <c r="T1138" s="18">
        <v>10</v>
      </c>
      <c r="U1138" s="15" t="s">
        <v>9279</v>
      </c>
      <c r="V1138" s="15" t="s">
        <v>138</v>
      </c>
      <c r="W1138" s="15" t="s">
        <v>138</v>
      </c>
      <c r="X1138" s="19">
        <v>2017</v>
      </c>
      <c r="Y1138" s="15" t="s">
        <v>138</v>
      </c>
      <c r="Z1138" s="15" t="s">
        <v>138</v>
      </c>
      <c r="AA1138" s="15" t="s">
        <v>138</v>
      </c>
      <c r="AB1138" s="20" t="s">
        <v>138</v>
      </c>
      <c r="AC1138" s="20" t="s">
        <v>138</v>
      </c>
      <c r="AD1138" s="20" t="s">
        <v>138</v>
      </c>
      <c r="AE1138" s="20" t="s">
        <v>138</v>
      </c>
      <c r="AF1138" s="20" t="s">
        <v>138</v>
      </c>
      <c r="AG1138" s="15" t="s">
        <v>138</v>
      </c>
      <c r="AH1138" s="20" t="s">
        <v>138</v>
      </c>
      <c r="AI1138" s="20" t="s">
        <v>138</v>
      </c>
      <c r="AJ1138" s="20" t="s">
        <v>138</v>
      </c>
      <c r="AK1138" s="15" t="s">
        <v>22154</v>
      </c>
      <c r="AL1138" s="15" t="s">
        <v>22155</v>
      </c>
      <c r="AM1138" s="15" t="s">
        <v>938</v>
      </c>
      <c r="AN1138" s="15" t="s">
        <v>22156</v>
      </c>
      <c r="AO1138" s="15" t="s">
        <v>22157</v>
      </c>
      <c r="AP1138" s="15" t="s">
        <v>4898</v>
      </c>
      <c r="AQ1138" s="15" t="s">
        <v>22158</v>
      </c>
      <c r="AR1138" s="15" t="s">
        <v>138</v>
      </c>
      <c r="AS1138" s="15" t="s">
        <v>4900</v>
      </c>
      <c r="AT1138" s="15" t="s">
        <v>200</v>
      </c>
      <c r="AU1138" s="15" t="s">
        <v>4901</v>
      </c>
      <c r="AV1138" s="15" t="s">
        <v>162</v>
      </c>
      <c r="AW1138" s="15" t="s">
        <v>22157</v>
      </c>
      <c r="AX1138" s="15" t="s">
        <v>138</v>
      </c>
      <c r="AY1138" s="15" t="s">
        <v>138</v>
      </c>
      <c r="AZ1138" s="15" t="s">
        <v>164</v>
      </c>
      <c r="BA1138" s="15" t="s">
        <v>165</v>
      </c>
      <c r="BB1138" s="15" t="s">
        <v>22159</v>
      </c>
      <c r="BC1138" s="15" t="s">
        <v>22160</v>
      </c>
      <c r="BD1138" s="21">
        <v>10</v>
      </c>
      <c r="BE1138" s="15" t="s">
        <v>138</v>
      </c>
      <c r="BF1138" s="15" t="s">
        <v>138</v>
      </c>
      <c r="BG1138" s="15" t="s">
        <v>138</v>
      </c>
      <c r="BH1138" s="15" t="s">
        <v>22161</v>
      </c>
      <c r="BI1138" s="15" t="s">
        <v>138</v>
      </c>
      <c r="BJ1138" s="15" t="s">
        <v>138</v>
      </c>
      <c r="BK1138" s="15" t="s">
        <v>22162</v>
      </c>
      <c r="BL1138" s="15" t="s">
        <v>22162</v>
      </c>
      <c r="BM1138" s="22">
        <v>43132</v>
      </c>
      <c r="BN1138" s="17">
        <v>0.12</v>
      </c>
      <c r="BO1138" s="15" t="s">
        <v>172</v>
      </c>
      <c r="BP1138" s="17">
        <v>0.33</v>
      </c>
      <c r="BQ1138" s="15" t="s">
        <v>172</v>
      </c>
      <c r="BR1138" s="15" t="s">
        <v>316</v>
      </c>
      <c r="BS1138" s="15" t="s">
        <v>138</v>
      </c>
      <c r="BT1138" s="15" t="s">
        <v>138</v>
      </c>
      <c r="BU1138" s="15" t="s">
        <v>177</v>
      </c>
      <c r="BV1138" s="15" t="s">
        <v>264</v>
      </c>
      <c r="BW1138" s="15" t="s">
        <v>138</v>
      </c>
      <c r="BX1138" s="15" t="s">
        <v>138</v>
      </c>
      <c r="BY1138" s="15" t="s">
        <v>175</v>
      </c>
      <c r="BZ1138" s="22">
        <v>43278</v>
      </c>
      <c r="CA1138" s="17">
        <v>2.5</v>
      </c>
      <c r="CB1138" s="15" t="s">
        <v>172</v>
      </c>
      <c r="CC1138" s="17">
        <v>8.5</v>
      </c>
      <c r="CD1138" s="15" t="s">
        <v>172</v>
      </c>
      <c r="CE1138" s="15" t="s">
        <v>234</v>
      </c>
      <c r="CF1138" s="15" t="s">
        <v>234</v>
      </c>
      <c r="CG1138" s="15" t="s">
        <v>138</v>
      </c>
      <c r="CH1138" s="15" t="s">
        <v>174</v>
      </c>
      <c r="CI1138" s="15" t="s">
        <v>138</v>
      </c>
      <c r="CJ1138" s="15" t="s">
        <v>138</v>
      </c>
      <c r="CK1138" s="15" t="s">
        <v>138</v>
      </c>
      <c r="CL1138" s="15" t="s">
        <v>175</v>
      </c>
      <c r="CM1138" s="22" t="s">
        <v>138</v>
      </c>
      <c r="CN1138" s="17" t="s">
        <v>138</v>
      </c>
      <c r="CO1138" s="23">
        <v>0.22</v>
      </c>
      <c r="CP1138" s="24">
        <v>93</v>
      </c>
      <c r="CQ1138" s="23">
        <v>-0.1</v>
      </c>
      <c r="CR1138" s="23">
        <v>-31.1</v>
      </c>
      <c r="CS1138" s="23">
        <v>0</v>
      </c>
      <c r="CT1138" s="24">
        <v>23</v>
      </c>
      <c r="CU1138" s="23">
        <v>0.43</v>
      </c>
      <c r="CV1138" s="24">
        <v>92</v>
      </c>
      <c r="CW1138" s="23">
        <v>0</v>
      </c>
      <c r="CX1138" s="24">
        <v>13</v>
      </c>
      <c r="CY1138" s="23">
        <v>0</v>
      </c>
      <c r="CZ1138" s="24">
        <v>25</v>
      </c>
      <c r="DA1138" s="23">
        <v>0.39</v>
      </c>
      <c r="DB1138" s="24">
        <v>92</v>
      </c>
      <c r="DC1138" s="25">
        <v>1.29</v>
      </c>
      <c r="DD1138" s="24">
        <v>57</v>
      </c>
      <c r="DE1138" s="25">
        <v>-0.09</v>
      </c>
      <c r="DF1138" s="23">
        <v>-6.33</v>
      </c>
      <c r="DG1138" s="25">
        <v>2.2799999999999998</v>
      </c>
      <c r="DH1138" s="24">
        <v>69</v>
      </c>
      <c r="DI1138" s="25">
        <v>0.31</v>
      </c>
      <c r="DJ1138" s="24">
        <v>29</v>
      </c>
      <c r="DK1138" s="25">
        <v>2.4500000000000002</v>
      </c>
      <c r="DL1138" s="24">
        <v>68</v>
      </c>
      <c r="DM1138" s="25">
        <v>2.1</v>
      </c>
      <c r="DN1138" s="24">
        <v>67</v>
      </c>
      <c r="DO1138" s="25">
        <v>0.46</v>
      </c>
      <c r="DP1138" s="24">
        <v>37</v>
      </c>
      <c r="DQ1138" s="24">
        <v>815</v>
      </c>
      <c r="DR1138" s="26">
        <v>74</v>
      </c>
      <c r="DS1138" s="23">
        <v>9.99</v>
      </c>
      <c r="DT1138" s="24">
        <v>61</v>
      </c>
      <c r="DU1138" s="26">
        <v>0</v>
      </c>
      <c r="DV1138" s="23">
        <v>0</v>
      </c>
      <c r="DW1138" s="24">
        <v>165</v>
      </c>
      <c r="DX1138" s="27">
        <v>-2</v>
      </c>
      <c r="DY1138" s="23">
        <v>-1.2</v>
      </c>
      <c r="DZ1138" s="15" t="s">
        <v>178</v>
      </c>
      <c r="EA1138" s="22">
        <v>43565</v>
      </c>
      <c r="EB1138" s="17">
        <v>8.5</v>
      </c>
      <c r="EC1138" s="22">
        <v>43278</v>
      </c>
      <c r="ED1138" s="15" t="s">
        <v>234</v>
      </c>
      <c r="EE1138" s="14" t="str">
        <f>HYPERLINK("https://my.pitchbook.com?c=230376-88", "View company online")</f>
        <v>View company online</v>
      </c>
    </row>
    <row r="1139" spans="1:135">
      <c r="A1139" s="28" t="s">
        <v>22163</v>
      </c>
      <c r="B1139" s="28" t="s">
        <v>22164</v>
      </c>
      <c r="C1139" s="28" t="s">
        <v>22165</v>
      </c>
      <c r="D1139" s="28" t="s">
        <v>138</v>
      </c>
      <c r="E1139" s="28" t="s">
        <v>22166</v>
      </c>
      <c r="F1139" s="28" t="s">
        <v>22163</v>
      </c>
      <c r="G1139" s="28" t="s">
        <v>22167</v>
      </c>
      <c r="H1139" s="28" t="s">
        <v>141</v>
      </c>
      <c r="I1139" s="28" t="s">
        <v>212</v>
      </c>
      <c r="J1139" s="28" t="s">
        <v>213</v>
      </c>
      <c r="K1139" s="28" t="s">
        <v>1064</v>
      </c>
      <c r="L1139" s="28" t="s">
        <v>1544</v>
      </c>
      <c r="M1139" s="28" t="s">
        <v>22168</v>
      </c>
      <c r="N1139" s="28" t="s">
        <v>147</v>
      </c>
      <c r="O1139" s="29">
        <v>61.93</v>
      </c>
      <c r="P1139" s="28" t="s">
        <v>148</v>
      </c>
      <c r="Q1139" s="28" t="s">
        <v>149</v>
      </c>
      <c r="R1139" s="28" t="s">
        <v>244</v>
      </c>
      <c r="S1139" s="28" t="s">
        <v>22169</v>
      </c>
      <c r="T1139" s="30">
        <v>155</v>
      </c>
      <c r="U1139" s="28" t="s">
        <v>22170</v>
      </c>
      <c r="V1139" s="28" t="s">
        <v>138</v>
      </c>
      <c r="W1139" s="28" t="s">
        <v>138</v>
      </c>
      <c r="X1139" s="31">
        <v>2008</v>
      </c>
      <c r="Y1139" s="28" t="s">
        <v>138</v>
      </c>
      <c r="Z1139" s="28" t="s">
        <v>138</v>
      </c>
      <c r="AA1139" s="28" t="s">
        <v>138</v>
      </c>
      <c r="AB1139" s="32">
        <v>20.73</v>
      </c>
      <c r="AC1139" s="32" t="s">
        <v>138</v>
      </c>
      <c r="AD1139" s="32" t="s">
        <v>138</v>
      </c>
      <c r="AE1139" s="32" t="s">
        <v>138</v>
      </c>
      <c r="AF1139" s="32" t="s">
        <v>138</v>
      </c>
      <c r="AG1139" s="28" t="s">
        <v>707</v>
      </c>
      <c r="AH1139" s="32" t="s">
        <v>138</v>
      </c>
      <c r="AI1139" s="32" t="s">
        <v>138</v>
      </c>
      <c r="AJ1139" s="32" t="s">
        <v>138</v>
      </c>
      <c r="AK1139" s="28" t="s">
        <v>22171</v>
      </c>
      <c r="AL1139" s="28" t="s">
        <v>22172</v>
      </c>
      <c r="AM1139" s="28" t="s">
        <v>566</v>
      </c>
      <c r="AN1139" s="28" t="s">
        <v>22173</v>
      </c>
      <c r="AO1139" s="28" t="s">
        <v>138</v>
      </c>
      <c r="AP1139" s="28" t="s">
        <v>22174</v>
      </c>
      <c r="AQ1139" s="28" t="s">
        <v>22175</v>
      </c>
      <c r="AR1139" s="28" t="s">
        <v>138</v>
      </c>
      <c r="AS1139" s="28" t="s">
        <v>22176</v>
      </c>
      <c r="AT1139" s="28" t="s">
        <v>200</v>
      </c>
      <c r="AU1139" s="28" t="s">
        <v>22177</v>
      </c>
      <c r="AV1139" s="28" t="s">
        <v>162</v>
      </c>
      <c r="AW1139" s="28" t="s">
        <v>22178</v>
      </c>
      <c r="AX1139" s="28" t="s">
        <v>138</v>
      </c>
      <c r="AY1139" s="28" t="s">
        <v>138</v>
      </c>
      <c r="AZ1139" s="28" t="s">
        <v>164</v>
      </c>
      <c r="BA1139" s="28" t="s">
        <v>165</v>
      </c>
      <c r="BB1139" s="28" t="s">
        <v>22179</v>
      </c>
      <c r="BC1139" s="28" t="s">
        <v>22180</v>
      </c>
      <c r="BD1139" s="33">
        <v>14</v>
      </c>
      <c r="BE1139" s="28" t="s">
        <v>138</v>
      </c>
      <c r="BF1139" s="28" t="s">
        <v>138</v>
      </c>
      <c r="BG1139" s="28" t="s">
        <v>138</v>
      </c>
      <c r="BH1139" s="28" t="s">
        <v>22181</v>
      </c>
      <c r="BI1139" s="28" t="s">
        <v>138</v>
      </c>
      <c r="BJ1139" s="28" t="s">
        <v>138</v>
      </c>
      <c r="BK1139" s="28" t="s">
        <v>138</v>
      </c>
      <c r="BL1139" s="28" t="s">
        <v>22182</v>
      </c>
      <c r="BM1139" s="34">
        <v>39878</v>
      </c>
      <c r="BN1139" s="29">
        <v>3.59</v>
      </c>
      <c r="BO1139" s="28" t="s">
        <v>172</v>
      </c>
      <c r="BP1139" s="29">
        <v>7.6</v>
      </c>
      <c r="BQ1139" s="28" t="s">
        <v>172</v>
      </c>
      <c r="BR1139" s="28" t="s">
        <v>205</v>
      </c>
      <c r="BS1139" s="28" t="s">
        <v>206</v>
      </c>
      <c r="BT1139" s="28" t="s">
        <v>138</v>
      </c>
      <c r="BU1139" s="28" t="s">
        <v>174</v>
      </c>
      <c r="BV1139" s="28" t="s">
        <v>138</v>
      </c>
      <c r="BW1139" s="28" t="s">
        <v>138</v>
      </c>
      <c r="BX1139" s="28" t="s">
        <v>138</v>
      </c>
      <c r="BY1139" s="28" t="s">
        <v>175</v>
      </c>
      <c r="BZ1139" s="34">
        <v>42459</v>
      </c>
      <c r="CA1139" s="29">
        <v>29.5</v>
      </c>
      <c r="CB1139" s="28" t="s">
        <v>172</v>
      </c>
      <c r="CC1139" s="29">
        <v>100</v>
      </c>
      <c r="CD1139" s="28" t="s">
        <v>172</v>
      </c>
      <c r="CE1139" s="28" t="s">
        <v>173</v>
      </c>
      <c r="CF1139" s="28" t="s">
        <v>433</v>
      </c>
      <c r="CG1139" s="28" t="s">
        <v>138</v>
      </c>
      <c r="CH1139" s="28" t="s">
        <v>174</v>
      </c>
      <c r="CI1139" s="28" t="s">
        <v>138</v>
      </c>
      <c r="CJ1139" s="28" t="s">
        <v>138</v>
      </c>
      <c r="CK1139" s="28" t="s">
        <v>138</v>
      </c>
      <c r="CL1139" s="28" t="s">
        <v>175</v>
      </c>
      <c r="CM1139" s="34">
        <v>42137</v>
      </c>
      <c r="CN1139" s="29" t="s">
        <v>138</v>
      </c>
      <c r="CO1139" s="35">
        <v>-0.99</v>
      </c>
      <c r="CP1139" s="36">
        <v>11</v>
      </c>
      <c r="CQ1139" s="35">
        <v>-0.01</v>
      </c>
      <c r="CR1139" s="35">
        <v>-1.08</v>
      </c>
      <c r="CS1139" s="35">
        <v>-2.1</v>
      </c>
      <c r="CT1139" s="36">
        <v>8</v>
      </c>
      <c r="CU1139" s="35">
        <v>0.13</v>
      </c>
      <c r="CV1139" s="36">
        <v>73</v>
      </c>
      <c r="CW1139" s="35">
        <v>-1.33</v>
      </c>
      <c r="CX1139" s="36">
        <v>9</v>
      </c>
      <c r="CY1139" s="35">
        <v>-2.87</v>
      </c>
      <c r="CZ1139" s="36">
        <v>7</v>
      </c>
      <c r="DA1139" s="35">
        <v>0.13</v>
      </c>
      <c r="DB1139" s="36">
        <v>76</v>
      </c>
      <c r="DC1139" s="37">
        <v>22.04</v>
      </c>
      <c r="DD1139" s="36">
        <v>95</v>
      </c>
      <c r="DE1139" s="37">
        <v>-0.51</v>
      </c>
      <c r="DF1139" s="35">
        <v>-2.25</v>
      </c>
      <c r="DG1139" s="37">
        <v>32.42</v>
      </c>
      <c r="DH1139" s="36">
        <v>97</v>
      </c>
      <c r="DI1139" s="37">
        <v>11.65</v>
      </c>
      <c r="DJ1139" s="36">
        <v>87</v>
      </c>
      <c r="DK1139" s="37">
        <v>15.81</v>
      </c>
      <c r="DL1139" s="36">
        <v>90</v>
      </c>
      <c r="DM1139" s="37">
        <v>49.03</v>
      </c>
      <c r="DN1139" s="36">
        <v>98</v>
      </c>
      <c r="DO1139" s="37">
        <v>11.65</v>
      </c>
      <c r="DP1139" s="36">
        <v>89</v>
      </c>
      <c r="DQ1139" s="36">
        <v>5286</v>
      </c>
      <c r="DR1139" s="38">
        <v>414</v>
      </c>
      <c r="DS1139" s="35">
        <v>8.5</v>
      </c>
      <c r="DT1139" s="36">
        <v>1423</v>
      </c>
      <c r="DU1139" s="38">
        <v>-4</v>
      </c>
      <c r="DV1139" s="35">
        <v>-0.28000000000000003</v>
      </c>
      <c r="DW1139" s="36">
        <v>4170</v>
      </c>
      <c r="DX1139" s="39">
        <v>6</v>
      </c>
      <c r="DY1139" s="35">
        <v>0.14000000000000001</v>
      </c>
      <c r="DZ1139" s="28" t="s">
        <v>178</v>
      </c>
      <c r="EA1139" s="34">
        <v>43569</v>
      </c>
      <c r="EB1139" s="29">
        <v>100</v>
      </c>
      <c r="EC1139" s="34">
        <v>42459</v>
      </c>
      <c r="ED1139" s="28" t="s">
        <v>173</v>
      </c>
      <c r="EE1139" s="40" t="str">
        <f>HYPERLINK("https://my.pitchbook.com?c=51324-94", "View company online")</f>
        <v>View company online</v>
      </c>
    </row>
    <row r="1140" spans="1:135">
      <c r="A1140" s="15" t="s">
        <v>22183</v>
      </c>
      <c r="B1140" s="15" t="s">
        <v>22184</v>
      </c>
      <c r="C1140" s="15" t="s">
        <v>138</v>
      </c>
      <c r="D1140" s="15" t="s">
        <v>138</v>
      </c>
      <c r="E1140" s="15" t="s">
        <v>22185</v>
      </c>
      <c r="F1140" s="15" t="s">
        <v>22183</v>
      </c>
      <c r="G1140" s="15" t="s">
        <v>22186</v>
      </c>
      <c r="H1140" s="15" t="s">
        <v>385</v>
      </c>
      <c r="I1140" s="15" t="s">
        <v>5325</v>
      </c>
      <c r="J1140" s="15" t="s">
        <v>22187</v>
      </c>
      <c r="K1140" s="15" t="s">
        <v>22188</v>
      </c>
      <c r="L1140" s="15" t="s">
        <v>5328</v>
      </c>
      <c r="M1140" s="15" t="s">
        <v>22189</v>
      </c>
      <c r="N1140" s="15" t="s">
        <v>147</v>
      </c>
      <c r="O1140" s="17">
        <v>35.11</v>
      </c>
      <c r="P1140" s="15" t="s">
        <v>148</v>
      </c>
      <c r="Q1140" s="15" t="s">
        <v>149</v>
      </c>
      <c r="R1140" s="15" t="s">
        <v>174</v>
      </c>
      <c r="S1140" s="15" t="s">
        <v>22190</v>
      </c>
      <c r="T1140" s="18">
        <v>60</v>
      </c>
      <c r="U1140" s="15" t="s">
        <v>22191</v>
      </c>
      <c r="V1140" s="15" t="s">
        <v>138</v>
      </c>
      <c r="W1140" s="15" t="s">
        <v>138</v>
      </c>
      <c r="X1140" s="19">
        <v>2007</v>
      </c>
      <c r="Y1140" s="15" t="s">
        <v>138</v>
      </c>
      <c r="Z1140" s="15" t="s">
        <v>138</v>
      </c>
      <c r="AA1140" s="15" t="s">
        <v>138</v>
      </c>
      <c r="AB1140" s="20" t="s">
        <v>138</v>
      </c>
      <c r="AC1140" s="20" t="s">
        <v>138</v>
      </c>
      <c r="AD1140" s="20" t="s">
        <v>138</v>
      </c>
      <c r="AE1140" s="20" t="s">
        <v>138</v>
      </c>
      <c r="AF1140" s="20" t="s">
        <v>138</v>
      </c>
      <c r="AG1140" s="15" t="s">
        <v>138</v>
      </c>
      <c r="AH1140" s="20" t="s">
        <v>138</v>
      </c>
      <c r="AI1140" s="20" t="s">
        <v>138</v>
      </c>
      <c r="AJ1140" s="20" t="s">
        <v>138</v>
      </c>
      <c r="AK1140" s="15" t="s">
        <v>22192</v>
      </c>
      <c r="AL1140" s="15" t="s">
        <v>22193</v>
      </c>
      <c r="AM1140" s="15" t="s">
        <v>22194</v>
      </c>
      <c r="AN1140" s="15" t="s">
        <v>22195</v>
      </c>
      <c r="AO1140" s="15" t="s">
        <v>22196</v>
      </c>
      <c r="AP1140" s="15" t="s">
        <v>5471</v>
      </c>
      <c r="AQ1140" s="15" t="s">
        <v>22197</v>
      </c>
      <c r="AR1140" s="15" t="s">
        <v>22198</v>
      </c>
      <c r="AS1140" s="15" t="s">
        <v>5473</v>
      </c>
      <c r="AT1140" s="15" t="s">
        <v>3112</v>
      </c>
      <c r="AU1140" s="15" t="s">
        <v>22199</v>
      </c>
      <c r="AV1140" s="15" t="s">
        <v>2742</v>
      </c>
      <c r="AW1140" s="15" t="s">
        <v>22200</v>
      </c>
      <c r="AX1140" s="15" t="s">
        <v>138</v>
      </c>
      <c r="AY1140" s="15" t="s">
        <v>22201</v>
      </c>
      <c r="AZ1140" s="15" t="s">
        <v>164</v>
      </c>
      <c r="BA1140" s="15" t="s">
        <v>165</v>
      </c>
      <c r="BB1140" s="15" t="s">
        <v>22202</v>
      </c>
      <c r="BC1140" s="15" t="s">
        <v>22203</v>
      </c>
      <c r="BD1140" s="21">
        <v>13</v>
      </c>
      <c r="BE1140" s="15" t="s">
        <v>138</v>
      </c>
      <c r="BF1140" s="15" t="s">
        <v>138</v>
      </c>
      <c r="BG1140" s="15" t="s">
        <v>138</v>
      </c>
      <c r="BH1140" s="15" t="s">
        <v>22204</v>
      </c>
      <c r="BI1140" s="15" t="s">
        <v>138</v>
      </c>
      <c r="BJ1140" s="15" t="s">
        <v>138</v>
      </c>
      <c r="BK1140" s="15" t="s">
        <v>22205</v>
      </c>
      <c r="BL1140" s="15" t="s">
        <v>22206</v>
      </c>
      <c r="BM1140" s="22">
        <v>41061</v>
      </c>
      <c r="BN1140" s="17" t="s">
        <v>138</v>
      </c>
      <c r="BO1140" s="15" t="s">
        <v>138</v>
      </c>
      <c r="BP1140" s="17" t="s">
        <v>138</v>
      </c>
      <c r="BQ1140" s="15" t="s">
        <v>138</v>
      </c>
      <c r="BR1140" s="15" t="s">
        <v>205</v>
      </c>
      <c r="BS1140" s="15" t="s">
        <v>138</v>
      </c>
      <c r="BT1140" s="15" t="s">
        <v>138</v>
      </c>
      <c r="BU1140" s="15" t="s">
        <v>174</v>
      </c>
      <c r="BV1140" s="15" t="s">
        <v>138</v>
      </c>
      <c r="BW1140" s="15" t="s">
        <v>138</v>
      </c>
      <c r="BX1140" s="15" t="s">
        <v>138</v>
      </c>
      <c r="BY1140" s="15" t="s">
        <v>175</v>
      </c>
      <c r="BZ1140" s="22">
        <v>43502</v>
      </c>
      <c r="CA1140" s="17">
        <v>16</v>
      </c>
      <c r="CB1140" s="15" t="s">
        <v>172</v>
      </c>
      <c r="CC1140" s="17" t="s">
        <v>138</v>
      </c>
      <c r="CD1140" s="15" t="s">
        <v>138</v>
      </c>
      <c r="CE1140" s="15" t="s">
        <v>173</v>
      </c>
      <c r="CF1140" s="15" t="s">
        <v>317</v>
      </c>
      <c r="CG1140" s="15" t="s">
        <v>138</v>
      </c>
      <c r="CH1140" s="15" t="s">
        <v>174</v>
      </c>
      <c r="CI1140" s="15" t="s">
        <v>138</v>
      </c>
      <c r="CJ1140" s="15" t="s">
        <v>138</v>
      </c>
      <c r="CK1140" s="15" t="s">
        <v>138</v>
      </c>
      <c r="CL1140" s="15" t="s">
        <v>352</v>
      </c>
      <c r="CM1140" s="22" t="s">
        <v>138</v>
      </c>
      <c r="CN1140" s="17" t="s">
        <v>138</v>
      </c>
      <c r="CO1140" s="23">
        <v>-0.06</v>
      </c>
      <c r="CP1140" s="24">
        <v>22</v>
      </c>
      <c r="CQ1140" s="23">
        <v>-0.03</v>
      </c>
      <c r="CR1140" s="23">
        <v>-68.680000000000007</v>
      </c>
      <c r="CS1140" s="23">
        <v>-0.49</v>
      </c>
      <c r="CT1140" s="24">
        <v>19</v>
      </c>
      <c r="CU1140" s="23">
        <v>0.36</v>
      </c>
      <c r="CV1140" s="24">
        <v>90</v>
      </c>
      <c r="CW1140" s="23" t="s">
        <v>138</v>
      </c>
      <c r="CX1140" s="24" t="s">
        <v>138</v>
      </c>
      <c r="CY1140" s="23">
        <v>-0.49</v>
      </c>
      <c r="CZ1140" s="24">
        <v>22</v>
      </c>
      <c r="DA1140" s="23">
        <v>0.64</v>
      </c>
      <c r="DB1140" s="24">
        <v>96</v>
      </c>
      <c r="DC1140" s="25">
        <v>1.77</v>
      </c>
      <c r="DD1140" s="24">
        <v>64</v>
      </c>
      <c r="DE1140" s="25">
        <v>0.02</v>
      </c>
      <c r="DF1140" s="23">
        <v>1.23</v>
      </c>
      <c r="DG1140" s="25">
        <v>2.9</v>
      </c>
      <c r="DH1140" s="24">
        <v>74</v>
      </c>
      <c r="DI1140" s="25">
        <v>0.65</v>
      </c>
      <c r="DJ1140" s="24">
        <v>41</v>
      </c>
      <c r="DK1140" s="25" t="s">
        <v>138</v>
      </c>
      <c r="DL1140" s="24" t="s">
        <v>138</v>
      </c>
      <c r="DM1140" s="25">
        <v>2.9</v>
      </c>
      <c r="DN1140" s="24">
        <v>73</v>
      </c>
      <c r="DO1140" s="25">
        <v>1.1299999999999999</v>
      </c>
      <c r="DP1140" s="24">
        <v>53</v>
      </c>
      <c r="DQ1140" s="24" t="s">
        <v>138</v>
      </c>
      <c r="DR1140" s="26" t="s">
        <v>138</v>
      </c>
      <c r="DS1140" s="23" t="s">
        <v>138</v>
      </c>
      <c r="DT1140" s="24">
        <v>83</v>
      </c>
      <c r="DU1140" s="26">
        <v>1</v>
      </c>
      <c r="DV1140" s="23">
        <v>1.22</v>
      </c>
      <c r="DW1140" s="24">
        <v>402</v>
      </c>
      <c r="DX1140" s="27">
        <v>1</v>
      </c>
      <c r="DY1140" s="23">
        <v>0.25</v>
      </c>
      <c r="DZ1140" s="15" t="s">
        <v>178</v>
      </c>
      <c r="EA1140" s="22">
        <v>43622</v>
      </c>
      <c r="EB1140" s="17" t="s">
        <v>138</v>
      </c>
      <c r="EC1140" s="22" t="s">
        <v>138</v>
      </c>
      <c r="ED1140" s="15" t="s">
        <v>138</v>
      </c>
      <c r="EE1140" s="14" t="str">
        <f>HYPERLINK("https://my.pitchbook.com?c=14146-21", "View company online")</f>
        <v>View company online</v>
      </c>
    </row>
    <row r="1141" spans="1:135">
      <c r="A1141" s="28" t="s">
        <v>22207</v>
      </c>
      <c r="B1141" s="28" t="s">
        <v>22208</v>
      </c>
      <c r="C1141" s="28" t="s">
        <v>138</v>
      </c>
      <c r="D1141" s="28" t="s">
        <v>22209</v>
      </c>
      <c r="E1141" s="28" t="s">
        <v>22210</v>
      </c>
      <c r="F1141" s="28" t="s">
        <v>22207</v>
      </c>
      <c r="G1141" s="28" t="s">
        <v>22211</v>
      </c>
      <c r="H1141" s="28" t="s">
        <v>238</v>
      </c>
      <c r="I1141" s="28" t="s">
        <v>1018</v>
      </c>
      <c r="J1141" s="28" t="s">
        <v>4780</v>
      </c>
      <c r="K1141" s="28" t="s">
        <v>22212</v>
      </c>
      <c r="L1141" s="28" t="s">
        <v>22132</v>
      </c>
      <c r="M1141" s="28" t="s">
        <v>22213</v>
      </c>
      <c r="N1141" s="28" t="s">
        <v>147</v>
      </c>
      <c r="O1141" s="29">
        <v>19.98</v>
      </c>
      <c r="P1141" s="28" t="s">
        <v>148</v>
      </c>
      <c r="Q1141" s="28" t="s">
        <v>149</v>
      </c>
      <c r="R1141" s="28" t="s">
        <v>244</v>
      </c>
      <c r="S1141" s="28" t="s">
        <v>22214</v>
      </c>
      <c r="T1141" s="30">
        <v>201</v>
      </c>
      <c r="U1141" s="28" t="s">
        <v>16256</v>
      </c>
      <c r="V1141" s="28" t="s">
        <v>138</v>
      </c>
      <c r="W1141" s="28" t="s">
        <v>138</v>
      </c>
      <c r="X1141" s="31">
        <v>2009</v>
      </c>
      <c r="Y1141" s="28" t="s">
        <v>138</v>
      </c>
      <c r="Z1141" s="28" t="s">
        <v>138</v>
      </c>
      <c r="AA1141" s="28" t="s">
        <v>138</v>
      </c>
      <c r="AB1141" s="32">
        <v>8.93</v>
      </c>
      <c r="AC1141" s="32" t="s">
        <v>138</v>
      </c>
      <c r="AD1141" s="32" t="s">
        <v>138</v>
      </c>
      <c r="AE1141" s="32" t="s">
        <v>138</v>
      </c>
      <c r="AF1141" s="32" t="s">
        <v>138</v>
      </c>
      <c r="AG1141" s="28" t="s">
        <v>707</v>
      </c>
      <c r="AH1141" s="32" t="s">
        <v>138</v>
      </c>
      <c r="AI1141" s="32" t="s">
        <v>138</v>
      </c>
      <c r="AJ1141" s="32" t="s">
        <v>138</v>
      </c>
      <c r="AK1141" s="28" t="s">
        <v>22215</v>
      </c>
      <c r="AL1141" s="28" t="s">
        <v>22216</v>
      </c>
      <c r="AM1141" s="28" t="s">
        <v>22217</v>
      </c>
      <c r="AN1141" s="28" t="s">
        <v>22218</v>
      </c>
      <c r="AO1141" s="28" t="s">
        <v>22219</v>
      </c>
      <c r="AP1141" s="28" t="s">
        <v>8142</v>
      </c>
      <c r="AQ1141" s="28" t="s">
        <v>22220</v>
      </c>
      <c r="AR1141" s="28" t="s">
        <v>22221</v>
      </c>
      <c r="AS1141" s="28" t="s">
        <v>8145</v>
      </c>
      <c r="AT1141" s="28" t="s">
        <v>138</v>
      </c>
      <c r="AU1141" s="28" t="s">
        <v>22222</v>
      </c>
      <c r="AV1141" s="28" t="s">
        <v>2333</v>
      </c>
      <c r="AW1141" s="28" t="s">
        <v>22219</v>
      </c>
      <c r="AX1141" s="28" t="s">
        <v>22223</v>
      </c>
      <c r="AY1141" s="28" t="s">
        <v>22224</v>
      </c>
      <c r="AZ1141" s="28" t="s">
        <v>452</v>
      </c>
      <c r="BA1141" s="28" t="s">
        <v>2335</v>
      </c>
      <c r="BB1141" s="28" t="s">
        <v>22225</v>
      </c>
      <c r="BC1141" s="28" t="s">
        <v>22226</v>
      </c>
      <c r="BD1141" s="33">
        <v>5</v>
      </c>
      <c r="BE1141" s="28" t="s">
        <v>138</v>
      </c>
      <c r="BF1141" s="28" t="s">
        <v>138</v>
      </c>
      <c r="BG1141" s="28" t="s">
        <v>138</v>
      </c>
      <c r="BH1141" s="28" t="s">
        <v>22227</v>
      </c>
      <c r="BI1141" s="28" t="s">
        <v>138</v>
      </c>
      <c r="BJ1141" s="28" t="s">
        <v>138</v>
      </c>
      <c r="BK1141" s="28" t="s">
        <v>138</v>
      </c>
      <c r="BL1141" s="28" t="s">
        <v>22228</v>
      </c>
      <c r="BM1141" s="34">
        <v>40141</v>
      </c>
      <c r="BN1141" s="29">
        <v>2.36</v>
      </c>
      <c r="BO1141" s="28" t="s">
        <v>172</v>
      </c>
      <c r="BP1141" s="29" t="s">
        <v>138</v>
      </c>
      <c r="BQ1141" s="28" t="s">
        <v>138</v>
      </c>
      <c r="BR1141" s="28" t="s">
        <v>205</v>
      </c>
      <c r="BS1141" s="28" t="s">
        <v>138</v>
      </c>
      <c r="BT1141" s="28" t="s">
        <v>138</v>
      </c>
      <c r="BU1141" s="28" t="s">
        <v>174</v>
      </c>
      <c r="BV1141" s="28" t="s">
        <v>138</v>
      </c>
      <c r="BW1141" s="28" t="s">
        <v>138</v>
      </c>
      <c r="BX1141" s="28" t="s">
        <v>138</v>
      </c>
      <c r="BY1141" s="28" t="s">
        <v>175</v>
      </c>
      <c r="BZ1141" s="34">
        <v>43131</v>
      </c>
      <c r="CA1141" s="29">
        <v>4.4000000000000004</v>
      </c>
      <c r="CB1141" s="28" t="s">
        <v>172</v>
      </c>
      <c r="CC1141" s="29" t="s">
        <v>138</v>
      </c>
      <c r="CD1141" s="28" t="s">
        <v>138</v>
      </c>
      <c r="CE1141" s="28" t="s">
        <v>173</v>
      </c>
      <c r="CF1141" s="28" t="s">
        <v>317</v>
      </c>
      <c r="CG1141" s="28" t="s">
        <v>138</v>
      </c>
      <c r="CH1141" s="28" t="s">
        <v>174</v>
      </c>
      <c r="CI1141" s="28" t="s">
        <v>138</v>
      </c>
      <c r="CJ1141" s="28" t="s">
        <v>138</v>
      </c>
      <c r="CK1141" s="28" t="s">
        <v>138</v>
      </c>
      <c r="CL1141" s="28" t="s">
        <v>175</v>
      </c>
      <c r="CM1141" s="34">
        <v>42851</v>
      </c>
      <c r="CN1141" s="29">
        <v>1.55</v>
      </c>
      <c r="CO1141" s="35">
        <v>-0.86</v>
      </c>
      <c r="CP1141" s="36">
        <v>12</v>
      </c>
      <c r="CQ1141" s="35">
        <v>0.09</v>
      </c>
      <c r="CR1141" s="35">
        <v>9.9</v>
      </c>
      <c r="CS1141" s="35">
        <v>-1.71</v>
      </c>
      <c r="CT1141" s="36">
        <v>10</v>
      </c>
      <c r="CU1141" s="35">
        <v>0</v>
      </c>
      <c r="CV1141" s="36">
        <v>22</v>
      </c>
      <c r="CW1141" s="35">
        <v>0</v>
      </c>
      <c r="CX1141" s="36">
        <v>13</v>
      </c>
      <c r="CY1141" s="35">
        <v>-3.42</v>
      </c>
      <c r="CZ1141" s="36">
        <v>6</v>
      </c>
      <c r="DA1141" s="35">
        <v>0</v>
      </c>
      <c r="DB1141" s="36">
        <v>22</v>
      </c>
      <c r="DC1141" s="37">
        <v>2.08</v>
      </c>
      <c r="DD1141" s="36">
        <v>68</v>
      </c>
      <c r="DE1141" s="37">
        <v>-0.03</v>
      </c>
      <c r="DF1141" s="35">
        <v>-1.36</v>
      </c>
      <c r="DG1141" s="37">
        <v>3.03</v>
      </c>
      <c r="DH1141" s="36">
        <v>75</v>
      </c>
      <c r="DI1141" s="37">
        <v>1.1299999999999999</v>
      </c>
      <c r="DJ1141" s="36">
        <v>51</v>
      </c>
      <c r="DK1141" s="37">
        <v>0.72</v>
      </c>
      <c r="DL1141" s="36">
        <v>43</v>
      </c>
      <c r="DM1141" s="37">
        <v>5.34</v>
      </c>
      <c r="DN1141" s="36">
        <v>82</v>
      </c>
      <c r="DO1141" s="37">
        <v>1.1299999999999999</v>
      </c>
      <c r="DP1141" s="36">
        <v>53</v>
      </c>
      <c r="DQ1141" s="36">
        <v>256</v>
      </c>
      <c r="DR1141" s="38">
        <v>-25</v>
      </c>
      <c r="DS1141" s="35">
        <v>-8.9</v>
      </c>
      <c r="DT1141" s="36">
        <v>155</v>
      </c>
      <c r="DU1141" s="38">
        <v>-2</v>
      </c>
      <c r="DV1141" s="35">
        <v>-1.27</v>
      </c>
      <c r="DW1141" s="36">
        <v>406</v>
      </c>
      <c r="DX1141" s="39">
        <v>0</v>
      </c>
      <c r="DY1141" s="35">
        <v>0</v>
      </c>
      <c r="DZ1141" s="28" t="s">
        <v>178</v>
      </c>
      <c r="EA1141" s="34">
        <v>43353</v>
      </c>
      <c r="EB1141" s="29" t="s">
        <v>138</v>
      </c>
      <c r="EC1141" s="34" t="s">
        <v>138</v>
      </c>
      <c r="ED1141" s="28" t="s">
        <v>138</v>
      </c>
      <c r="EE1141" s="40" t="str">
        <f>HYPERLINK("https://my.pitchbook.com?c=62115-67", "View company online")</f>
        <v>View company online</v>
      </c>
    </row>
    <row r="1142" spans="1:135">
      <c r="A1142" s="15" t="s">
        <v>22229</v>
      </c>
      <c r="B1142" s="15" t="s">
        <v>22230</v>
      </c>
      <c r="C1142" s="15" t="s">
        <v>138</v>
      </c>
      <c r="D1142" s="15" t="s">
        <v>22231</v>
      </c>
      <c r="E1142" s="15" t="s">
        <v>22232</v>
      </c>
      <c r="F1142" s="15" t="s">
        <v>22229</v>
      </c>
      <c r="G1142" s="15" t="s">
        <v>22233</v>
      </c>
      <c r="H1142" s="15" t="s">
        <v>322</v>
      </c>
      <c r="I1142" s="15" t="s">
        <v>1503</v>
      </c>
      <c r="J1142" s="15" t="s">
        <v>1836</v>
      </c>
      <c r="K1142" s="15" t="s">
        <v>22234</v>
      </c>
      <c r="L1142" s="15" t="s">
        <v>3811</v>
      </c>
      <c r="M1142" s="15" t="s">
        <v>22235</v>
      </c>
      <c r="N1142" s="15" t="s">
        <v>147</v>
      </c>
      <c r="O1142" s="17">
        <v>27</v>
      </c>
      <c r="P1142" s="15" t="s">
        <v>148</v>
      </c>
      <c r="Q1142" s="15" t="s">
        <v>149</v>
      </c>
      <c r="R1142" s="15" t="s">
        <v>174</v>
      </c>
      <c r="S1142" s="15" t="s">
        <v>22236</v>
      </c>
      <c r="T1142" s="18">
        <v>4</v>
      </c>
      <c r="U1142" s="15" t="s">
        <v>4046</v>
      </c>
      <c r="V1142" s="15" t="s">
        <v>138</v>
      </c>
      <c r="W1142" s="15" t="s">
        <v>138</v>
      </c>
      <c r="X1142" s="19">
        <v>2015</v>
      </c>
      <c r="Y1142" s="15" t="s">
        <v>138</v>
      </c>
      <c r="Z1142" s="15" t="s">
        <v>138</v>
      </c>
      <c r="AA1142" s="15" t="s">
        <v>138</v>
      </c>
      <c r="AB1142" s="20" t="s">
        <v>138</v>
      </c>
      <c r="AC1142" s="20" t="s">
        <v>138</v>
      </c>
      <c r="AD1142" s="20" t="s">
        <v>138</v>
      </c>
      <c r="AE1142" s="20" t="s">
        <v>138</v>
      </c>
      <c r="AF1142" s="20" t="s">
        <v>138</v>
      </c>
      <c r="AG1142" s="15" t="s">
        <v>138</v>
      </c>
      <c r="AH1142" s="20" t="s">
        <v>138</v>
      </c>
      <c r="AI1142" s="20" t="s">
        <v>138</v>
      </c>
      <c r="AJ1142" s="20" t="s">
        <v>138</v>
      </c>
      <c r="AK1142" s="15" t="s">
        <v>22237</v>
      </c>
      <c r="AL1142" s="15" t="s">
        <v>22238</v>
      </c>
      <c r="AM1142" s="15" t="s">
        <v>304</v>
      </c>
      <c r="AN1142" s="15" t="s">
        <v>22239</v>
      </c>
      <c r="AO1142" s="15" t="s">
        <v>138</v>
      </c>
      <c r="AP1142" s="15" t="s">
        <v>22240</v>
      </c>
      <c r="AQ1142" s="15" t="s">
        <v>22241</v>
      </c>
      <c r="AR1142" s="15" t="s">
        <v>138</v>
      </c>
      <c r="AS1142" s="15" t="s">
        <v>22242</v>
      </c>
      <c r="AT1142" s="15" t="s">
        <v>138</v>
      </c>
      <c r="AU1142" s="15" t="s">
        <v>138</v>
      </c>
      <c r="AV1142" s="15" t="s">
        <v>740</v>
      </c>
      <c r="AW1142" s="15" t="s">
        <v>138</v>
      </c>
      <c r="AX1142" s="15" t="s">
        <v>138</v>
      </c>
      <c r="AY1142" s="15" t="s">
        <v>22243</v>
      </c>
      <c r="AZ1142" s="15" t="s">
        <v>742</v>
      </c>
      <c r="BA1142" s="15" t="s">
        <v>742</v>
      </c>
      <c r="BB1142" s="15" t="s">
        <v>22244</v>
      </c>
      <c r="BC1142" s="15" t="s">
        <v>22245</v>
      </c>
      <c r="BD1142" s="21">
        <v>10</v>
      </c>
      <c r="BE1142" s="15" t="s">
        <v>138</v>
      </c>
      <c r="BF1142" s="15" t="s">
        <v>138</v>
      </c>
      <c r="BG1142" s="15" t="s">
        <v>138</v>
      </c>
      <c r="BH1142" s="15" t="s">
        <v>22246</v>
      </c>
      <c r="BI1142" s="15" t="s">
        <v>138</v>
      </c>
      <c r="BJ1142" s="15" t="s">
        <v>138</v>
      </c>
      <c r="BK1142" s="15" t="s">
        <v>138</v>
      </c>
      <c r="BL1142" s="15" t="s">
        <v>138</v>
      </c>
      <c r="BM1142" s="22" t="s">
        <v>138</v>
      </c>
      <c r="BN1142" s="17">
        <v>7</v>
      </c>
      <c r="BO1142" s="15" t="s">
        <v>1178</v>
      </c>
      <c r="BP1142" s="17" t="s">
        <v>138</v>
      </c>
      <c r="BQ1142" s="15" t="s">
        <v>138</v>
      </c>
      <c r="BR1142" s="15" t="s">
        <v>234</v>
      </c>
      <c r="BS1142" s="15" t="s">
        <v>234</v>
      </c>
      <c r="BT1142" s="15" t="s">
        <v>138</v>
      </c>
      <c r="BU1142" s="15" t="s">
        <v>174</v>
      </c>
      <c r="BV1142" s="15" t="s">
        <v>138</v>
      </c>
      <c r="BW1142" s="15" t="s">
        <v>138</v>
      </c>
      <c r="BX1142" s="15" t="s">
        <v>138</v>
      </c>
      <c r="BY1142" s="15" t="s">
        <v>175</v>
      </c>
      <c r="BZ1142" s="22">
        <v>43101</v>
      </c>
      <c r="CA1142" s="17">
        <v>20</v>
      </c>
      <c r="CB1142" s="15" t="s">
        <v>172</v>
      </c>
      <c r="CC1142" s="17" t="s">
        <v>138</v>
      </c>
      <c r="CD1142" s="15" t="s">
        <v>138</v>
      </c>
      <c r="CE1142" s="15" t="s">
        <v>205</v>
      </c>
      <c r="CF1142" s="15" t="s">
        <v>206</v>
      </c>
      <c r="CG1142" s="15" t="s">
        <v>138</v>
      </c>
      <c r="CH1142" s="15" t="s">
        <v>174</v>
      </c>
      <c r="CI1142" s="15" t="s">
        <v>138</v>
      </c>
      <c r="CJ1142" s="15" t="s">
        <v>138</v>
      </c>
      <c r="CK1142" s="15" t="s">
        <v>138</v>
      </c>
      <c r="CL1142" s="15" t="s">
        <v>175</v>
      </c>
      <c r="CM1142" s="22" t="s">
        <v>138</v>
      </c>
      <c r="CN1142" s="17" t="s">
        <v>138</v>
      </c>
      <c r="CO1142" s="23">
        <v>-0.14000000000000001</v>
      </c>
      <c r="CP1142" s="24">
        <v>20</v>
      </c>
      <c r="CQ1142" s="23">
        <v>-0.05</v>
      </c>
      <c r="CR1142" s="23">
        <v>-46.9</v>
      </c>
      <c r="CS1142" s="23">
        <v>-0.98</v>
      </c>
      <c r="CT1142" s="24">
        <v>15</v>
      </c>
      <c r="CU1142" s="23">
        <v>0.7</v>
      </c>
      <c r="CV1142" s="24">
        <v>96</v>
      </c>
      <c r="CW1142" s="23">
        <v>-0.02</v>
      </c>
      <c r="CX1142" s="24">
        <v>13</v>
      </c>
      <c r="CY1142" s="23">
        <v>-1.94</v>
      </c>
      <c r="CZ1142" s="24">
        <v>12</v>
      </c>
      <c r="DA1142" s="23">
        <v>0.7</v>
      </c>
      <c r="DB1142" s="24">
        <v>96</v>
      </c>
      <c r="DC1142" s="25">
        <v>6.55</v>
      </c>
      <c r="DD1142" s="24">
        <v>86</v>
      </c>
      <c r="DE1142" s="25">
        <v>-0.08</v>
      </c>
      <c r="DF1142" s="23">
        <v>-1.2</v>
      </c>
      <c r="DG1142" s="25">
        <v>10.15</v>
      </c>
      <c r="DH1142" s="24">
        <v>90</v>
      </c>
      <c r="DI1142" s="25">
        <v>2.96</v>
      </c>
      <c r="DJ1142" s="24">
        <v>69</v>
      </c>
      <c r="DK1142" s="25">
        <v>2.2400000000000002</v>
      </c>
      <c r="DL1142" s="24">
        <v>66</v>
      </c>
      <c r="DM1142" s="25">
        <v>18.07</v>
      </c>
      <c r="DN1142" s="24">
        <v>93</v>
      </c>
      <c r="DO1142" s="25">
        <v>2.96</v>
      </c>
      <c r="DP1142" s="24">
        <v>71</v>
      </c>
      <c r="DQ1142" s="24">
        <v>775</v>
      </c>
      <c r="DR1142" s="26">
        <v>-24</v>
      </c>
      <c r="DS1142" s="23">
        <v>-3</v>
      </c>
      <c r="DT1142" s="24">
        <v>524</v>
      </c>
      <c r="DU1142" s="26">
        <v>-2</v>
      </c>
      <c r="DV1142" s="23">
        <v>-0.38</v>
      </c>
      <c r="DW1142" s="24">
        <v>1057</v>
      </c>
      <c r="DX1142" s="27">
        <v>3</v>
      </c>
      <c r="DY1142" s="23">
        <v>0.28000000000000003</v>
      </c>
      <c r="DZ1142" s="15" t="s">
        <v>178</v>
      </c>
      <c r="EA1142" s="22">
        <v>43600</v>
      </c>
      <c r="EB1142" s="17" t="s">
        <v>138</v>
      </c>
      <c r="EC1142" s="22" t="s">
        <v>138</v>
      </c>
      <c r="ED1142" s="15" t="s">
        <v>138</v>
      </c>
      <c r="EE1142" s="14" t="str">
        <f>HYPERLINK("https://my.pitchbook.com?c=159288-22", "View company online")</f>
        <v>View company online</v>
      </c>
    </row>
    <row r="1143" spans="1:135">
      <c r="A1143" s="28" t="s">
        <v>22247</v>
      </c>
      <c r="B1143" s="28" t="s">
        <v>22248</v>
      </c>
      <c r="C1143" s="28" t="s">
        <v>138</v>
      </c>
      <c r="D1143" s="28" t="s">
        <v>138</v>
      </c>
      <c r="E1143" s="28" t="s">
        <v>22249</v>
      </c>
      <c r="F1143" s="28" t="s">
        <v>22247</v>
      </c>
      <c r="G1143" s="28" t="s">
        <v>22250</v>
      </c>
      <c r="H1143" s="28" t="s">
        <v>322</v>
      </c>
      <c r="I1143" s="28" t="s">
        <v>323</v>
      </c>
      <c r="J1143" s="28" t="s">
        <v>461</v>
      </c>
      <c r="K1143" s="28" t="s">
        <v>462</v>
      </c>
      <c r="L1143" s="28" t="s">
        <v>22251</v>
      </c>
      <c r="M1143" s="28" t="s">
        <v>22252</v>
      </c>
      <c r="N1143" s="28" t="s">
        <v>147</v>
      </c>
      <c r="O1143" s="29">
        <v>41.3</v>
      </c>
      <c r="P1143" s="28" t="s">
        <v>148</v>
      </c>
      <c r="Q1143" s="28" t="s">
        <v>149</v>
      </c>
      <c r="R1143" s="28" t="s">
        <v>174</v>
      </c>
      <c r="S1143" s="28" t="s">
        <v>22253</v>
      </c>
      <c r="T1143" s="30">
        <v>140</v>
      </c>
      <c r="U1143" s="28" t="s">
        <v>22254</v>
      </c>
      <c r="V1143" s="28" t="s">
        <v>138</v>
      </c>
      <c r="W1143" s="28" t="s">
        <v>138</v>
      </c>
      <c r="X1143" s="31">
        <v>2015</v>
      </c>
      <c r="Y1143" s="28" t="s">
        <v>138</v>
      </c>
      <c r="Z1143" s="28" t="s">
        <v>138</v>
      </c>
      <c r="AA1143" s="28" t="s">
        <v>138</v>
      </c>
      <c r="AB1143" s="32" t="s">
        <v>138</v>
      </c>
      <c r="AC1143" s="32" t="s">
        <v>138</v>
      </c>
      <c r="AD1143" s="32" t="s">
        <v>138</v>
      </c>
      <c r="AE1143" s="32" t="s">
        <v>138</v>
      </c>
      <c r="AF1143" s="32" t="s">
        <v>138</v>
      </c>
      <c r="AG1143" s="28" t="s">
        <v>138</v>
      </c>
      <c r="AH1143" s="32" t="s">
        <v>138</v>
      </c>
      <c r="AI1143" s="32" t="s">
        <v>138</v>
      </c>
      <c r="AJ1143" s="32" t="s">
        <v>138</v>
      </c>
      <c r="AK1143" s="28" t="s">
        <v>22255</v>
      </c>
      <c r="AL1143" s="28" t="s">
        <v>22256</v>
      </c>
      <c r="AM1143" s="28" t="s">
        <v>2024</v>
      </c>
      <c r="AN1143" s="28" t="s">
        <v>22257</v>
      </c>
      <c r="AO1143" s="28" t="s">
        <v>22258</v>
      </c>
      <c r="AP1143" s="28" t="s">
        <v>423</v>
      </c>
      <c r="AQ1143" s="28" t="s">
        <v>22259</v>
      </c>
      <c r="AR1143" s="28" t="s">
        <v>138</v>
      </c>
      <c r="AS1143" s="28" t="s">
        <v>426</v>
      </c>
      <c r="AT1143" s="28" t="s">
        <v>426</v>
      </c>
      <c r="AU1143" s="28" t="s">
        <v>2610</v>
      </c>
      <c r="AV1143" s="28" t="s">
        <v>162</v>
      </c>
      <c r="AW1143" s="28" t="s">
        <v>22258</v>
      </c>
      <c r="AX1143" s="28" t="s">
        <v>138</v>
      </c>
      <c r="AY1143" s="28" t="s">
        <v>22260</v>
      </c>
      <c r="AZ1143" s="28" t="s">
        <v>164</v>
      </c>
      <c r="BA1143" s="28" t="s">
        <v>165</v>
      </c>
      <c r="BB1143" s="28" t="s">
        <v>22261</v>
      </c>
      <c r="BC1143" s="28" t="s">
        <v>22262</v>
      </c>
      <c r="BD1143" s="33">
        <v>7</v>
      </c>
      <c r="BE1143" s="28" t="s">
        <v>138</v>
      </c>
      <c r="BF1143" s="28" t="s">
        <v>138</v>
      </c>
      <c r="BG1143" s="28" t="s">
        <v>138</v>
      </c>
      <c r="BH1143" s="28" t="s">
        <v>22263</v>
      </c>
      <c r="BI1143" s="28" t="s">
        <v>138</v>
      </c>
      <c r="BJ1143" s="28" t="s">
        <v>138</v>
      </c>
      <c r="BK1143" s="28" t="s">
        <v>138</v>
      </c>
      <c r="BL1143" s="28" t="s">
        <v>138</v>
      </c>
      <c r="BM1143" s="34">
        <v>42290</v>
      </c>
      <c r="BN1143" s="29">
        <v>1.8</v>
      </c>
      <c r="BO1143" s="28" t="s">
        <v>172</v>
      </c>
      <c r="BP1143" s="29" t="s">
        <v>138</v>
      </c>
      <c r="BQ1143" s="28" t="s">
        <v>138</v>
      </c>
      <c r="BR1143" s="28" t="s">
        <v>205</v>
      </c>
      <c r="BS1143" s="28" t="s">
        <v>138</v>
      </c>
      <c r="BT1143" s="28" t="s">
        <v>138</v>
      </c>
      <c r="BU1143" s="28" t="s">
        <v>174</v>
      </c>
      <c r="BV1143" s="28" t="s">
        <v>138</v>
      </c>
      <c r="BW1143" s="28" t="s">
        <v>138</v>
      </c>
      <c r="BX1143" s="28" t="s">
        <v>138</v>
      </c>
      <c r="BY1143" s="28" t="s">
        <v>175</v>
      </c>
      <c r="BZ1143" s="34">
        <v>43272</v>
      </c>
      <c r="CA1143" s="29">
        <v>17</v>
      </c>
      <c r="CB1143" s="28" t="s">
        <v>172</v>
      </c>
      <c r="CC1143" s="29" t="s">
        <v>138</v>
      </c>
      <c r="CD1143" s="28" t="s">
        <v>138</v>
      </c>
      <c r="CE1143" s="28" t="s">
        <v>173</v>
      </c>
      <c r="CF1143" s="28" t="s">
        <v>317</v>
      </c>
      <c r="CG1143" s="28" t="s">
        <v>138</v>
      </c>
      <c r="CH1143" s="28" t="s">
        <v>174</v>
      </c>
      <c r="CI1143" s="28" t="s">
        <v>138</v>
      </c>
      <c r="CJ1143" s="28" t="s">
        <v>138</v>
      </c>
      <c r="CK1143" s="28" t="s">
        <v>138</v>
      </c>
      <c r="CL1143" s="28" t="s">
        <v>175</v>
      </c>
      <c r="CM1143" s="34" t="s">
        <v>138</v>
      </c>
      <c r="CN1143" s="29" t="s">
        <v>138</v>
      </c>
      <c r="CO1143" s="35">
        <v>1.98</v>
      </c>
      <c r="CP1143" s="36">
        <v>99</v>
      </c>
      <c r="CQ1143" s="35">
        <v>0.01</v>
      </c>
      <c r="CR1143" s="35">
        <v>0.45</v>
      </c>
      <c r="CS1143" s="35">
        <v>4.93</v>
      </c>
      <c r="CT1143" s="36">
        <v>100</v>
      </c>
      <c r="CU1143" s="35">
        <v>0.66</v>
      </c>
      <c r="CV1143" s="36">
        <v>96</v>
      </c>
      <c r="CW1143" s="35">
        <v>13.43</v>
      </c>
      <c r="CX1143" s="36">
        <v>100</v>
      </c>
      <c r="CY1143" s="35">
        <v>-3.58</v>
      </c>
      <c r="CZ1143" s="36">
        <v>5</v>
      </c>
      <c r="DA1143" s="35">
        <v>1.02</v>
      </c>
      <c r="DB1143" s="36">
        <v>98</v>
      </c>
      <c r="DC1143" s="37">
        <v>3.7</v>
      </c>
      <c r="DD1143" s="36">
        <v>78</v>
      </c>
      <c r="DE1143" s="37">
        <v>-0.16</v>
      </c>
      <c r="DF1143" s="35">
        <v>-4.2</v>
      </c>
      <c r="DG1143" s="37">
        <v>10.050000000000001</v>
      </c>
      <c r="DH1143" s="36">
        <v>90</v>
      </c>
      <c r="DI1143" s="37">
        <v>0.8</v>
      </c>
      <c r="DJ1143" s="36">
        <v>45</v>
      </c>
      <c r="DK1143" s="37">
        <v>8.2100000000000009</v>
      </c>
      <c r="DL1143" s="36">
        <v>85</v>
      </c>
      <c r="DM1143" s="37">
        <v>11.9</v>
      </c>
      <c r="DN1143" s="36">
        <v>90</v>
      </c>
      <c r="DO1143" s="37">
        <v>1.22</v>
      </c>
      <c r="DP1143" s="36">
        <v>54</v>
      </c>
      <c r="DQ1143" s="36">
        <v>2740</v>
      </c>
      <c r="DR1143" s="38">
        <v>224</v>
      </c>
      <c r="DS1143" s="35">
        <v>8.9</v>
      </c>
      <c r="DT1143" s="36">
        <v>344</v>
      </c>
      <c r="DU1143" s="38">
        <v>3</v>
      </c>
      <c r="DV1143" s="35">
        <v>0.88</v>
      </c>
      <c r="DW1143" s="36">
        <v>435</v>
      </c>
      <c r="DX1143" s="39">
        <v>3</v>
      </c>
      <c r="DY1143" s="35">
        <v>0.69</v>
      </c>
      <c r="DZ1143" s="28" t="s">
        <v>178</v>
      </c>
      <c r="EA1143" s="34">
        <v>43481</v>
      </c>
      <c r="EB1143" s="29" t="s">
        <v>138</v>
      </c>
      <c r="EC1143" s="34" t="s">
        <v>138</v>
      </c>
      <c r="ED1143" s="28" t="s">
        <v>138</v>
      </c>
      <c r="EE1143" s="40" t="str">
        <f>HYPERLINK("https://my.pitchbook.com?c=125767-18", "View company online")</f>
        <v>View company online</v>
      </c>
    </row>
    <row r="1144" spans="1:135">
      <c r="A1144" s="15" t="s">
        <v>22264</v>
      </c>
      <c r="B1144" s="15" t="s">
        <v>22265</v>
      </c>
      <c r="C1144" s="15" t="s">
        <v>138</v>
      </c>
      <c r="D1144" s="15" t="s">
        <v>138</v>
      </c>
      <c r="E1144" s="15" t="s">
        <v>22266</v>
      </c>
      <c r="F1144" s="15" t="s">
        <v>22264</v>
      </c>
      <c r="G1144" s="15" t="s">
        <v>22267</v>
      </c>
      <c r="H1144" s="15" t="s">
        <v>322</v>
      </c>
      <c r="I1144" s="15" t="s">
        <v>323</v>
      </c>
      <c r="J1144" s="15" t="s">
        <v>1184</v>
      </c>
      <c r="K1144" s="15" t="s">
        <v>6678</v>
      </c>
      <c r="L1144" s="15" t="s">
        <v>215</v>
      </c>
      <c r="M1144" s="15" t="s">
        <v>22268</v>
      </c>
      <c r="N1144" s="15" t="s">
        <v>147</v>
      </c>
      <c r="O1144" s="17">
        <v>75.81</v>
      </c>
      <c r="P1144" s="15" t="s">
        <v>148</v>
      </c>
      <c r="Q1144" s="15" t="s">
        <v>149</v>
      </c>
      <c r="R1144" s="15" t="s">
        <v>244</v>
      </c>
      <c r="S1144" s="15" t="s">
        <v>22269</v>
      </c>
      <c r="T1144" s="18">
        <v>150</v>
      </c>
      <c r="U1144" s="15" t="s">
        <v>22270</v>
      </c>
      <c r="V1144" s="15" t="s">
        <v>138</v>
      </c>
      <c r="W1144" s="15" t="s">
        <v>138</v>
      </c>
      <c r="X1144" s="19">
        <v>2012</v>
      </c>
      <c r="Y1144" s="15" t="s">
        <v>138</v>
      </c>
      <c r="Z1144" s="15" t="s">
        <v>138</v>
      </c>
      <c r="AA1144" s="15" t="s">
        <v>22271</v>
      </c>
      <c r="AB1144" s="20">
        <v>10</v>
      </c>
      <c r="AC1144" s="20" t="s">
        <v>138</v>
      </c>
      <c r="AD1144" s="20" t="s">
        <v>138</v>
      </c>
      <c r="AE1144" s="20" t="s">
        <v>138</v>
      </c>
      <c r="AF1144" s="20" t="s">
        <v>138</v>
      </c>
      <c r="AG1144" s="15" t="s">
        <v>815</v>
      </c>
      <c r="AH1144" s="20" t="s">
        <v>138</v>
      </c>
      <c r="AI1144" s="20" t="s">
        <v>138</v>
      </c>
      <c r="AJ1144" s="20" t="s">
        <v>138</v>
      </c>
      <c r="AK1144" s="15" t="s">
        <v>22272</v>
      </c>
      <c r="AL1144" s="15" t="s">
        <v>22273</v>
      </c>
      <c r="AM1144" s="15" t="s">
        <v>22274</v>
      </c>
      <c r="AN1144" s="15" t="s">
        <v>22275</v>
      </c>
      <c r="AO1144" s="15" t="s">
        <v>22276</v>
      </c>
      <c r="AP1144" s="15" t="s">
        <v>22277</v>
      </c>
      <c r="AQ1144" s="15" t="s">
        <v>22278</v>
      </c>
      <c r="AR1144" s="15" t="s">
        <v>22279</v>
      </c>
      <c r="AS1144" s="15" t="s">
        <v>22280</v>
      </c>
      <c r="AT1144" s="15" t="s">
        <v>339</v>
      </c>
      <c r="AU1144" s="15" t="s">
        <v>22281</v>
      </c>
      <c r="AV1144" s="15" t="s">
        <v>162</v>
      </c>
      <c r="AW1144" s="15" t="s">
        <v>22276</v>
      </c>
      <c r="AX1144" s="15" t="s">
        <v>138</v>
      </c>
      <c r="AY1144" s="15" t="s">
        <v>22282</v>
      </c>
      <c r="AZ1144" s="15" t="s">
        <v>164</v>
      </c>
      <c r="BA1144" s="15" t="s">
        <v>165</v>
      </c>
      <c r="BB1144" s="15" t="s">
        <v>22283</v>
      </c>
      <c r="BC1144" s="15" t="s">
        <v>22284</v>
      </c>
      <c r="BD1144" s="21">
        <v>8</v>
      </c>
      <c r="BE1144" s="15" t="s">
        <v>138</v>
      </c>
      <c r="BF1144" s="15" t="s">
        <v>6477</v>
      </c>
      <c r="BG1144" s="15" t="s">
        <v>138</v>
      </c>
      <c r="BH1144" s="15" t="s">
        <v>22285</v>
      </c>
      <c r="BI1144" s="15" t="s">
        <v>6479</v>
      </c>
      <c r="BJ1144" s="15" t="s">
        <v>138</v>
      </c>
      <c r="BK1144" s="15" t="s">
        <v>22286</v>
      </c>
      <c r="BL1144" s="15" t="s">
        <v>22287</v>
      </c>
      <c r="BM1144" s="22" t="s">
        <v>138</v>
      </c>
      <c r="BN1144" s="17" t="s">
        <v>138</v>
      </c>
      <c r="BO1144" s="15" t="s">
        <v>138</v>
      </c>
      <c r="BP1144" s="17" t="s">
        <v>138</v>
      </c>
      <c r="BQ1144" s="15" t="s">
        <v>138</v>
      </c>
      <c r="BR1144" s="15" t="s">
        <v>316</v>
      </c>
      <c r="BS1144" s="15" t="s">
        <v>138</v>
      </c>
      <c r="BT1144" s="15" t="s">
        <v>138</v>
      </c>
      <c r="BU1144" s="15" t="s">
        <v>177</v>
      </c>
      <c r="BV1144" s="15" t="s">
        <v>138</v>
      </c>
      <c r="BW1144" s="15" t="s">
        <v>138</v>
      </c>
      <c r="BX1144" s="15" t="s">
        <v>138</v>
      </c>
      <c r="BY1144" s="15" t="s">
        <v>175</v>
      </c>
      <c r="BZ1144" s="22">
        <v>43276</v>
      </c>
      <c r="CA1144" s="17">
        <v>15.41</v>
      </c>
      <c r="CB1144" s="15" t="s">
        <v>172</v>
      </c>
      <c r="CC1144" s="17" t="s">
        <v>138</v>
      </c>
      <c r="CD1144" s="15" t="s">
        <v>138</v>
      </c>
      <c r="CE1144" s="15" t="s">
        <v>173</v>
      </c>
      <c r="CF1144" s="15" t="s">
        <v>138</v>
      </c>
      <c r="CG1144" s="15" t="s">
        <v>138</v>
      </c>
      <c r="CH1144" s="15" t="s">
        <v>174</v>
      </c>
      <c r="CI1144" s="15" t="s">
        <v>1328</v>
      </c>
      <c r="CJ1144" s="15" t="s">
        <v>138</v>
      </c>
      <c r="CK1144" s="15" t="s">
        <v>138</v>
      </c>
      <c r="CL1144" s="15" t="s">
        <v>175</v>
      </c>
      <c r="CM1144" s="22">
        <v>43276</v>
      </c>
      <c r="CN1144" s="17">
        <v>3.05</v>
      </c>
      <c r="CO1144" s="23">
        <v>1.1499999999999999</v>
      </c>
      <c r="CP1144" s="24">
        <v>98</v>
      </c>
      <c r="CQ1144" s="23">
        <v>-0.09</v>
      </c>
      <c r="CR1144" s="23">
        <v>-7.32</v>
      </c>
      <c r="CS1144" s="23">
        <v>2.52</v>
      </c>
      <c r="CT1144" s="24">
        <v>99</v>
      </c>
      <c r="CU1144" s="23">
        <v>0.06</v>
      </c>
      <c r="CV1144" s="24">
        <v>60</v>
      </c>
      <c r="CW1144" s="23">
        <v>4.1500000000000004</v>
      </c>
      <c r="CX1144" s="24">
        <v>94</v>
      </c>
      <c r="CY1144" s="23">
        <v>0.89</v>
      </c>
      <c r="CZ1144" s="24">
        <v>99</v>
      </c>
      <c r="DA1144" s="23">
        <v>0.02</v>
      </c>
      <c r="DB1144" s="24">
        <v>58</v>
      </c>
      <c r="DC1144" s="25">
        <v>3.62</v>
      </c>
      <c r="DD1144" s="24">
        <v>78</v>
      </c>
      <c r="DE1144" s="25">
        <v>-0.1</v>
      </c>
      <c r="DF1144" s="23">
        <v>-2.78</v>
      </c>
      <c r="DG1144" s="25">
        <v>7.2</v>
      </c>
      <c r="DH1144" s="24">
        <v>86</v>
      </c>
      <c r="DI1144" s="25">
        <v>3.38</v>
      </c>
      <c r="DJ1144" s="24">
        <v>72</v>
      </c>
      <c r="DK1144" s="25">
        <v>5.0599999999999996</v>
      </c>
      <c r="DL1144" s="24">
        <v>79</v>
      </c>
      <c r="DM1144" s="25">
        <v>9.34</v>
      </c>
      <c r="DN1144" s="24">
        <v>88</v>
      </c>
      <c r="DO1144" s="25">
        <v>6.06</v>
      </c>
      <c r="DP1144" s="24">
        <v>82</v>
      </c>
      <c r="DQ1144" s="24">
        <v>1706</v>
      </c>
      <c r="DR1144" s="26">
        <v>89</v>
      </c>
      <c r="DS1144" s="23">
        <v>5.5</v>
      </c>
      <c r="DT1144" s="24">
        <v>271</v>
      </c>
      <c r="DU1144" s="26">
        <v>0</v>
      </c>
      <c r="DV1144" s="23">
        <v>0</v>
      </c>
      <c r="DW1144" s="24">
        <v>2165</v>
      </c>
      <c r="DX1144" s="27">
        <v>5</v>
      </c>
      <c r="DY1144" s="23">
        <v>0.23</v>
      </c>
      <c r="DZ1144" s="15" t="s">
        <v>178</v>
      </c>
      <c r="EA1144" s="22">
        <v>43528</v>
      </c>
      <c r="EB1144" s="17">
        <v>42.3</v>
      </c>
      <c r="EC1144" s="22">
        <v>42198</v>
      </c>
      <c r="ED1144" s="15" t="s">
        <v>205</v>
      </c>
      <c r="EE1144" s="14" t="str">
        <f>HYPERLINK("https://my.pitchbook.com?c=55644-13", "View company online")</f>
        <v>View company online</v>
      </c>
    </row>
    <row r="1145" spans="1:135">
      <c r="A1145" s="28" t="s">
        <v>22288</v>
      </c>
      <c r="B1145" s="28" t="s">
        <v>22289</v>
      </c>
      <c r="C1145" s="28" t="s">
        <v>138</v>
      </c>
      <c r="D1145" s="28" t="s">
        <v>138</v>
      </c>
      <c r="E1145" s="28" t="s">
        <v>22290</v>
      </c>
      <c r="F1145" s="28" t="s">
        <v>22288</v>
      </c>
      <c r="G1145" s="28" t="s">
        <v>22291</v>
      </c>
      <c r="H1145" s="28" t="s">
        <v>322</v>
      </c>
      <c r="I1145" s="28" t="s">
        <v>323</v>
      </c>
      <c r="J1145" s="28" t="s">
        <v>461</v>
      </c>
      <c r="K1145" s="28" t="s">
        <v>462</v>
      </c>
      <c r="L1145" s="28" t="s">
        <v>2210</v>
      </c>
      <c r="M1145" s="28" t="s">
        <v>22292</v>
      </c>
      <c r="N1145" s="28" t="s">
        <v>147</v>
      </c>
      <c r="O1145" s="29">
        <v>2</v>
      </c>
      <c r="P1145" s="28" t="s">
        <v>148</v>
      </c>
      <c r="Q1145" s="28" t="s">
        <v>149</v>
      </c>
      <c r="R1145" s="28" t="s">
        <v>174</v>
      </c>
      <c r="S1145" s="28" t="s">
        <v>22293</v>
      </c>
      <c r="T1145" s="30" t="s">
        <v>138</v>
      </c>
      <c r="U1145" s="28" t="s">
        <v>138</v>
      </c>
      <c r="V1145" s="28" t="s">
        <v>138</v>
      </c>
      <c r="W1145" s="28" t="s">
        <v>138</v>
      </c>
      <c r="X1145" s="31">
        <v>2015</v>
      </c>
      <c r="Y1145" s="28" t="s">
        <v>138</v>
      </c>
      <c r="Z1145" s="28" t="s">
        <v>138</v>
      </c>
      <c r="AA1145" s="28" t="s">
        <v>138</v>
      </c>
      <c r="AB1145" s="32" t="s">
        <v>138</v>
      </c>
      <c r="AC1145" s="32" t="s">
        <v>138</v>
      </c>
      <c r="AD1145" s="32" t="s">
        <v>138</v>
      </c>
      <c r="AE1145" s="32" t="s">
        <v>138</v>
      </c>
      <c r="AF1145" s="32" t="s">
        <v>138</v>
      </c>
      <c r="AG1145" s="28" t="s">
        <v>138</v>
      </c>
      <c r="AH1145" s="32" t="s">
        <v>138</v>
      </c>
      <c r="AI1145" s="32" t="s">
        <v>138</v>
      </c>
      <c r="AJ1145" s="32" t="s">
        <v>138</v>
      </c>
      <c r="AK1145" s="28" t="s">
        <v>22294</v>
      </c>
      <c r="AL1145" s="28" t="s">
        <v>22295</v>
      </c>
      <c r="AM1145" s="28" t="s">
        <v>304</v>
      </c>
      <c r="AN1145" s="28" t="s">
        <v>22296</v>
      </c>
      <c r="AO1145" s="28" t="s">
        <v>138</v>
      </c>
      <c r="AP1145" s="28" t="s">
        <v>5697</v>
      </c>
      <c r="AQ1145" s="28" t="s">
        <v>22297</v>
      </c>
      <c r="AR1145" s="28" t="s">
        <v>138</v>
      </c>
      <c r="AS1145" s="28" t="s">
        <v>5700</v>
      </c>
      <c r="AT1145" s="28" t="s">
        <v>138</v>
      </c>
      <c r="AU1145" s="28" t="s">
        <v>138</v>
      </c>
      <c r="AV1145" s="28" t="s">
        <v>740</v>
      </c>
      <c r="AW1145" s="28" t="s">
        <v>138</v>
      </c>
      <c r="AX1145" s="28" t="s">
        <v>138</v>
      </c>
      <c r="AY1145" s="28" t="s">
        <v>22298</v>
      </c>
      <c r="AZ1145" s="28" t="s">
        <v>742</v>
      </c>
      <c r="BA1145" s="28" t="s">
        <v>742</v>
      </c>
      <c r="BB1145" s="28" t="s">
        <v>22299</v>
      </c>
      <c r="BC1145" s="28" t="s">
        <v>22300</v>
      </c>
      <c r="BD1145" s="33">
        <v>4</v>
      </c>
      <c r="BE1145" s="28" t="s">
        <v>138</v>
      </c>
      <c r="BF1145" s="28" t="s">
        <v>138</v>
      </c>
      <c r="BG1145" s="28" t="s">
        <v>138</v>
      </c>
      <c r="BH1145" s="28" t="s">
        <v>22301</v>
      </c>
      <c r="BI1145" s="28" t="s">
        <v>138</v>
      </c>
      <c r="BJ1145" s="28" t="s">
        <v>138</v>
      </c>
      <c r="BK1145" s="28" t="s">
        <v>138</v>
      </c>
      <c r="BL1145" s="28" t="s">
        <v>138</v>
      </c>
      <c r="BM1145" s="34">
        <v>42719</v>
      </c>
      <c r="BN1145" s="29">
        <v>2</v>
      </c>
      <c r="BO1145" s="28" t="s">
        <v>172</v>
      </c>
      <c r="BP1145" s="29" t="s">
        <v>138</v>
      </c>
      <c r="BQ1145" s="28" t="s">
        <v>138</v>
      </c>
      <c r="BR1145" s="28" t="s">
        <v>234</v>
      </c>
      <c r="BS1145" s="28" t="s">
        <v>234</v>
      </c>
      <c r="BT1145" s="28" t="s">
        <v>138</v>
      </c>
      <c r="BU1145" s="28" t="s">
        <v>174</v>
      </c>
      <c r="BV1145" s="28" t="s">
        <v>138</v>
      </c>
      <c r="BW1145" s="28" t="s">
        <v>138</v>
      </c>
      <c r="BX1145" s="28" t="s">
        <v>138</v>
      </c>
      <c r="BY1145" s="28" t="s">
        <v>175</v>
      </c>
      <c r="BZ1145" s="34">
        <v>43044</v>
      </c>
      <c r="CA1145" s="29">
        <v>10.1</v>
      </c>
      <c r="CB1145" s="28" t="s">
        <v>172</v>
      </c>
      <c r="CC1145" s="29" t="s">
        <v>138</v>
      </c>
      <c r="CD1145" s="28" t="s">
        <v>138</v>
      </c>
      <c r="CE1145" s="28" t="s">
        <v>205</v>
      </c>
      <c r="CF1145" s="28" t="s">
        <v>206</v>
      </c>
      <c r="CG1145" s="28" t="s">
        <v>138</v>
      </c>
      <c r="CH1145" s="28" t="s">
        <v>174</v>
      </c>
      <c r="CI1145" s="28" t="s">
        <v>264</v>
      </c>
      <c r="CJ1145" s="28" t="s">
        <v>138</v>
      </c>
      <c r="CK1145" s="28" t="s">
        <v>138</v>
      </c>
      <c r="CL1145" s="28" t="s">
        <v>175</v>
      </c>
      <c r="CM1145" s="34" t="s">
        <v>138</v>
      </c>
      <c r="CN1145" s="29" t="s">
        <v>138</v>
      </c>
      <c r="CO1145" s="35">
        <v>-0.18</v>
      </c>
      <c r="CP1145" s="36">
        <v>20</v>
      </c>
      <c r="CQ1145" s="35">
        <v>-0.05</v>
      </c>
      <c r="CR1145" s="35">
        <v>-43.69</v>
      </c>
      <c r="CS1145" s="35">
        <v>-0.89</v>
      </c>
      <c r="CT1145" s="36">
        <v>16</v>
      </c>
      <c r="CU1145" s="35">
        <v>0.54</v>
      </c>
      <c r="CV1145" s="36">
        <v>94</v>
      </c>
      <c r="CW1145" s="35">
        <v>-1.63</v>
      </c>
      <c r="CX1145" s="36">
        <v>8</v>
      </c>
      <c r="CY1145" s="35">
        <v>-0.16</v>
      </c>
      <c r="CZ1145" s="36">
        <v>24</v>
      </c>
      <c r="DA1145" s="35">
        <v>0.82</v>
      </c>
      <c r="DB1145" s="36">
        <v>97</v>
      </c>
      <c r="DC1145" s="37">
        <v>6.78</v>
      </c>
      <c r="DD1145" s="36">
        <v>86</v>
      </c>
      <c r="DE1145" s="37">
        <v>-0.11</v>
      </c>
      <c r="DF1145" s="35">
        <v>-1.53</v>
      </c>
      <c r="DG1145" s="37">
        <v>10.6</v>
      </c>
      <c r="DH1145" s="36">
        <v>90</v>
      </c>
      <c r="DI1145" s="37">
        <v>2.97</v>
      </c>
      <c r="DJ1145" s="36">
        <v>69</v>
      </c>
      <c r="DK1145" s="37">
        <v>4.03</v>
      </c>
      <c r="DL1145" s="36">
        <v>76</v>
      </c>
      <c r="DM1145" s="37">
        <v>17.170000000000002</v>
      </c>
      <c r="DN1145" s="36">
        <v>93</v>
      </c>
      <c r="DO1145" s="37">
        <v>5.56</v>
      </c>
      <c r="DP1145" s="36">
        <v>81</v>
      </c>
      <c r="DQ1145" s="36">
        <v>1319</v>
      </c>
      <c r="DR1145" s="38">
        <v>186</v>
      </c>
      <c r="DS1145" s="35">
        <v>16.420000000000002</v>
      </c>
      <c r="DT1145" s="36">
        <v>497</v>
      </c>
      <c r="DU1145" s="38">
        <v>-1</v>
      </c>
      <c r="DV1145" s="35">
        <v>-0.2</v>
      </c>
      <c r="DW1145" s="36">
        <v>1986</v>
      </c>
      <c r="DX1145" s="39">
        <v>13</v>
      </c>
      <c r="DY1145" s="35">
        <v>0.66</v>
      </c>
      <c r="DZ1145" s="28" t="s">
        <v>178</v>
      </c>
      <c r="EA1145" s="34">
        <v>43375</v>
      </c>
      <c r="EB1145" s="29" t="s">
        <v>138</v>
      </c>
      <c r="EC1145" s="34" t="s">
        <v>138</v>
      </c>
      <c r="ED1145" s="28" t="s">
        <v>138</v>
      </c>
      <c r="EE1145" s="40" t="str">
        <f>HYPERLINK("https://my.pitchbook.com?c=168970-33", "View company online")</f>
        <v>View company online</v>
      </c>
    </row>
    <row r="1146" spans="1:135">
      <c r="A1146" s="15" t="s">
        <v>22302</v>
      </c>
      <c r="B1146" s="15" t="s">
        <v>22303</v>
      </c>
      <c r="C1146" s="15" t="s">
        <v>138</v>
      </c>
      <c r="D1146" s="15" t="s">
        <v>138</v>
      </c>
      <c r="E1146" s="15" t="s">
        <v>22304</v>
      </c>
      <c r="F1146" s="15" t="s">
        <v>22302</v>
      </c>
      <c r="G1146" s="15" t="s">
        <v>22305</v>
      </c>
      <c r="H1146" s="15" t="s">
        <v>322</v>
      </c>
      <c r="I1146" s="15" t="s">
        <v>323</v>
      </c>
      <c r="J1146" s="15" t="s">
        <v>461</v>
      </c>
      <c r="K1146" s="15" t="s">
        <v>22306</v>
      </c>
      <c r="L1146" s="15" t="s">
        <v>4341</v>
      </c>
      <c r="M1146" s="15" t="s">
        <v>22307</v>
      </c>
      <c r="N1146" s="15" t="s">
        <v>147</v>
      </c>
      <c r="O1146" s="17">
        <v>43.23</v>
      </c>
      <c r="P1146" s="15" t="s">
        <v>148</v>
      </c>
      <c r="Q1146" s="15" t="s">
        <v>149</v>
      </c>
      <c r="R1146" s="15" t="s">
        <v>174</v>
      </c>
      <c r="S1146" s="15" t="s">
        <v>22308</v>
      </c>
      <c r="T1146" s="18">
        <v>145</v>
      </c>
      <c r="U1146" s="15" t="s">
        <v>22309</v>
      </c>
      <c r="V1146" s="15" t="s">
        <v>138</v>
      </c>
      <c r="W1146" s="15" t="s">
        <v>138</v>
      </c>
      <c r="X1146" s="19">
        <v>2004</v>
      </c>
      <c r="Y1146" s="15" t="s">
        <v>138</v>
      </c>
      <c r="Z1146" s="15" t="s">
        <v>138</v>
      </c>
      <c r="AA1146" s="15" t="s">
        <v>138</v>
      </c>
      <c r="AB1146" s="20">
        <v>15.21</v>
      </c>
      <c r="AC1146" s="20">
        <v>9.2200000000000006</v>
      </c>
      <c r="AD1146" s="20">
        <v>-7.5</v>
      </c>
      <c r="AE1146" s="20" t="s">
        <v>138</v>
      </c>
      <c r="AF1146" s="20">
        <v>-3.8</v>
      </c>
      <c r="AG1146" s="15" t="s">
        <v>707</v>
      </c>
      <c r="AH1146" s="20" t="s">
        <v>138</v>
      </c>
      <c r="AI1146" s="20" t="s">
        <v>138</v>
      </c>
      <c r="AJ1146" s="20" t="s">
        <v>138</v>
      </c>
      <c r="AK1146" s="15" t="s">
        <v>22310</v>
      </c>
      <c r="AL1146" s="15" t="s">
        <v>22311</v>
      </c>
      <c r="AM1146" s="15" t="s">
        <v>221</v>
      </c>
      <c r="AN1146" s="15" t="s">
        <v>22312</v>
      </c>
      <c r="AO1146" s="15" t="s">
        <v>22313</v>
      </c>
      <c r="AP1146" s="15" t="s">
        <v>2692</v>
      </c>
      <c r="AQ1146" s="15" t="s">
        <v>22314</v>
      </c>
      <c r="AR1146" s="15" t="s">
        <v>22315</v>
      </c>
      <c r="AS1146" s="15" t="s">
        <v>2694</v>
      </c>
      <c r="AT1146" s="15" t="s">
        <v>138</v>
      </c>
      <c r="AU1146" s="15" t="s">
        <v>22316</v>
      </c>
      <c r="AV1146" s="15" t="s">
        <v>1054</v>
      </c>
      <c r="AW1146" s="15" t="s">
        <v>22313</v>
      </c>
      <c r="AX1146" s="15" t="s">
        <v>22317</v>
      </c>
      <c r="AY1146" s="15" t="s">
        <v>22318</v>
      </c>
      <c r="AZ1146" s="15" t="s">
        <v>530</v>
      </c>
      <c r="BA1146" s="15" t="s">
        <v>531</v>
      </c>
      <c r="BB1146" s="15" t="s">
        <v>22319</v>
      </c>
      <c r="BC1146" s="15" t="s">
        <v>22320</v>
      </c>
      <c r="BD1146" s="21">
        <v>8</v>
      </c>
      <c r="BE1146" s="15" t="s">
        <v>138</v>
      </c>
      <c r="BF1146" s="15" t="s">
        <v>138</v>
      </c>
      <c r="BG1146" s="15" t="s">
        <v>138</v>
      </c>
      <c r="BH1146" s="15" t="s">
        <v>22321</v>
      </c>
      <c r="BI1146" s="15" t="s">
        <v>138</v>
      </c>
      <c r="BJ1146" s="15" t="s">
        <v>138</v>
      </c>
      <c r="BK1146" s="15" t="s">
        <v>22322</v>
      </c>
      <c r="BL1146" s="15" t="s">
        <v>22323</v>
      </c>
      <c r="BM1146" s="22">
        <v>40686</v>
      </c>
      <c r="BN1146" s="17">
        <v>4</v>
      </c>
      <c r="BO1146" s="15" t="s">
        <v>172</v>
      </c>
      <c r="BP1146" s="17" t="s">
        <v>138</v>
      </c>
      <c r="BQ1146" s="15" t="s">
        <v>138</v>
      </c>
      <c r="BR1146" s="15" t="s">
        <v>173</v>
      </c>
      <c r="BS1146" s="15" t="s">
        <v>138</v>
      </c>
      <c r="BT1146" s="15" t="s">
        <v>138</v>
      </c>
      <c r="BU1146" s="15" t="s">
        <v>174</v>
      </c>
      <c r="BV1146" s="15" t="s">
        <v>138</v>
      </c>
      <c r="BW1146" s="15" t="s">
        <v>138</v>
      </c>
      <c r="BX1146" s="15" t="s">
        <v>138</v>
      </c>
      <c r="BY1146" s="15" t="s">
        <v>175</v>
      </c>
      <c r="BZ1146" s="22">
        <v>43403</v>
      </c>
      <c r="CA1146" s="17">
        <v>9.23</v>
      </c>
      <c r="CB1146" s="15" t="s">
        <v>172</v>
      </c>
      <c r="CC1146" s="17">
        <v>67.66</v>
      </c>
      <c r="CD1146" s="15" t="s">
        <v>172</v>
      </c>
      <c r="CE1146" s="15" t="s">
        <v>173</v>
      </c>
      <c r="CF1146" s="15" t="s">
        <v>138</v>
      </c>
      <c r="CG1146" s="15" t="s">
        <v>138</v>
      </c>
      <c r="CH1146" s="15" t="s">
        <v>174</v>
      </c>
      <c r="CI1146" s="15" t="s">
        <v>138</v>
      </c>
      <c r="CJ1146" s="15" t="s">
        <v>138</v>
      </c>
      <c r="CK1146" s="15" t="s">
        <v>138</v>
      </c>
      <c r="CL1146" s="15" t="s">
        <v>175</v>
      </c>
      <c r="CM1146" s="22">
        <v>42437</v>
      </c>
      <c r="CN1146" s="17" t="s">
        <v>138</v>
      </c>
      <c r="CO1146" s="23">
        <v>-0.4</v>
      </c>
      <c r="CP1146" s="24">
        <v>17</v>
      </c>
      <c r="CQ1146" s="23">
        <v>0.05</v>
      </c>
      <c r="CR1146" s="23">
        <v>11.84</v>
      </c>
      <c r="CS1146" s="23">
        <v>-0.83</v>
      </c>
      <c r="CT1146" s="24">
        <v>16</v>
      </c>
      <c r="CU1146" s="23">
        <v>0.04</v>
      </c>
      <c r="CV1146" s="24">
        <v>56</v>
      </c>
      <c r="CW1146" s="23" t="s">
        <v>138</v>
      </c>
      <c r="CX1146" s="24" t="s">
        <v>138</v>
      </c>
      <c r="CY1146" s="23">
        <v>-0.83</v>
      </c>
      <c r="CZ1146" s="24">
        <v>20</v>
      </c>
      <c r="DA1146" s="23">
        <v>0.04</v>
      </c>
      <c r="DB1146" s="24">
        <v>62</v>
      </c>
      <c r="DC1146" s="25">
        <v>6.16</v>
      </c>
      <c r="DD1146" s="24">
        <v>85</v>
      </c>
      <c r="DE1146" s="25">
        <v>0</v>
      </c>
      <c r="DF1146" s="23">
        <v>0.02</v>
      </c>
      <c r="DG1146" s="25">
        <v>10.38</v>
      </c>
      <c r="DH1146" s="24">
        <v>90</v>
      </c>
      <c r="DI1146" s="25">
        <v>1.93</v>
      </c>
      <c r="DJ1146" s="24">
        <v>62</v>
      </c>
      <c r="DK1146" s="25" t="s">
        <v>138</v>
      </c>
      <c r="DL1146" s="24" t="s">
        <v>138</v>
      </c>
      <c r="DM1146" s="25">
        <v>10.38</v>
      </c>
      <c r="DN1146" s="24">
        <v>89</v>
      </c>
      <c r="DO1146" s="25">
        <v>1.93</v>
      </c>
      <c r="DP1146" s="24">
        <v>63</v>
      </c>
      <c r="DQ1146" s="24" t="s">
        <v>138</v>
      </c>
      <c r="DR1146" s="26" t="s">
        <v>138</v>
      </c>
      <c r="DS1146" s="23" t="s">
        <v>138</v>
      </c>
      <c r="DT1146" s="24">
        <v>301</v>
      </c>
      <c r="DU1146" s="26">
        <v>2</v>
      </c>
      <c r="DV1146" s="23">
        <v>0.67</v>
      </c>
      <c r="DW1146" s="24">
        <v>693</v>
      </c>
      <c r="DX1146" s="27">
        <v>-2</v>
      </c>
      <c r="DY1146" s="23">
        <v>-0.28999999999999998</v>
      </c>
      <c r="DZ1146" s="15" t="s">
        <v>178</v>
      </c>
      <c r="EA1146" s="22">
        <v>43622</v>
      </c>
      <c r="EB1146" s="17">
        <v>67.66</v>
      </c>
      <c r="EC1146" s="22">
        <v>43403</v>
      </c>
      <c r="ED1146" s="15" t="s">
        <v>173</v>
      </c>
      <c r="EE1146" s="14" t="str">
        <f>HYPERLINK("https://my.pitchbook.com?c=54812-35", "View company online")</f>
        <v>View company online</v>
      </c>
    </row>
    <row r="1147" spans="1:135">
      <c r="A1147" s="28" t="s">
        <v>22324</v>
      </c>
      <c r="B1147" s="28" t="s">
        <v>22325</v>
      </c>
      <c r="C1147" s="28" t="s">
        <v>138</v>
      </c>
      <c r="D1147" s="28" t="s">
        <v>138</v>
      </c>
      <c r="E1147" s="28" t="s">
        <v>138</v>
      </c>
      <c r="F1147" s="28" t="s">
        <v>22324</v>
      </c>
      <c r="G1147" s="28" t="s">
        <v>22326</v>
      </c>
      <c r="H1147" s="28" t="s">
        <v>322</v>
      </c>
      <c r="I1147" s="28" t="s">
        <v>323</v>
      </c>
      <c r="J1147" s="28" t="s">
        <v>324</v>
      </c>
      <c r="K1147" s="28" t="s">
        <v>1649</v>
      </c>
      <c r="L1147" s="28" t="s">
        <v>215</v>
      </c>
      <c r="M1147" s="28" t="s">
        <v>22327</v>
      </c>
      <c r="N1147" s="28" t="s">
        <v>147</v>
      </c>
      <c r="O1147" s="29">
        <v>4.5</v>
      </c>
      <c r="P1147" s="28" t="s">
        <v>148</v>
      </c>
      <c r="Q1147" s="28" t="s">
        <v>149</v>
      </c>
      <c r="R1147" s="28" t="s">
        <v>174</v>
      </c>
      <c r="S1147" s="28" t="s">
        <v>22328</v>
      </c>
      <c r="T1147" s="30" t="s">
        <v>138</v>
      </c>
      <c r="U1147" s="28" t="s">
        <v>138</v>
      </c>
      <c r="V1147" s="28" t="s">
        <v>138</v>
      </c>
      <c r="W1147" s="28" t="s">
        <v>138</v>
      </c>
      <c r="X1147" s="31">
        <v>2016</v>
      </c>
      <c r="Y1147" s="28" t="s">
        <v>138</v>
      </c>
      <c r="Z1147" s="28" t="s">
        <v>138</v>
      </c>
      <c r="AA1147" s="28" t="s">
        <v>138</v>
      </c>
      <c r="AB1147" s="32" t="s">
        <v>138</v>
      </c>
      <c r="AC1147" s="32" t="s">
        <v>138</v>
      </c>
      <c r="AD1147" s="32" t="s">
        <v>138</v>
      </c>
      <c r="AE1147" s="32" t="s">
        <v>138</v>
      </c>
      <c r="AF1147" s="32" t="s">
        <v>138</v>
      </c>
      <c r="AG1147" s="28" t="s">
        <v>138</v>
      </c>
      <c r="AH1147" s="32" t="s">
        <v>138</v>
      </c>
      <c r="AI1147" s="32" t="s">
        <v>138</v>
      </c>
      <c r="AJ1147" s="32" t="s">
        <v>138</v>
      </c>
      <c r="AK1147" s="28" t="s">
        <v>22329</v>
      </c>
      <c r="AL1147" s="28" t="s">
        <v>22330</v>
      </c>
      <c r="AM1147" s="28" t="s">
        <v>916</v>
      </c>
      <c r="AN1147" s="28" t="s">
        <v>22331</v>
      </c>
      <c r="AO1147" s="28" t="s">
        <v>138</v>
      </c>
      <c r="AP1147" s="28" t="s">
        <v>665</v>
      </c>
      <c r="AQ1147" s="28" t="s">
        <v>22332</v>
      </c>
      <c r="AR1147" s="28" t="s">
        <v>138</v>
      </c>
      <c r="AS1147" s="28" t="s">
        <v>668</v>
      </c>
      <c r="AT1147" s="28" t="s">
        <v>200</v>
      </c>
      <c r="AU1147" s="28" t="s">
        <v>22333</v>
      </c>
      <c r="AV1147" s="28" t="s">
        <v>162</v>
      </c>
      <c r="AW1147" s="28" t="s">
        <v>138</v>
      </c>
      <c r="AX1147" s="28" t="s">
        <v>138</v>
      </c>
      <c r="AY1147" s="28" t="s">
        <v>138</v>
      </c>
      <c r="AZ1147" s="28" t="s">
        <v>164</v>
      </c>
      <c r="BA1147" s="28" t="s">
        <v>165</v>
      </c>
      <c r="BB1147" s="28" t="s">
        <v>22334</v>
      </c>
      <c r="BC1147" s="28" t="s">
        <v>22335</v>
      </c>
      <c r="BD1147" s="33">
        <v>8</v>
      </c>
      <c r="BE1147" s="28" t="s">
        <v>138</v>
      </c>
      <c r="BF1147" s="28" t="s">
        <v>138</v>
      </c>
      <c r="BG1147" s="28" t="s">
        <v>138</v>
      </c>
      <c r="BH1147" s="28" t="s">
        <v>22336</v>
      </c>
      <c r="BI1147" s="28" t="s">
        <v>138</v>
      </c>
      <c r="BJ1147" s="28" t="s">
        <v>138</v>
      </c>
      <c r="BK1147" s="28" t="s">
        <v>1251</v>
      </c>
      <c r="BL1147" s="28" t="s">
        <v>1251</v>
      </c>
      <c r="BM1147" s="34">
        <v>43278</v>
      </c>
      <c r="BN1147" s="29">
        <v>4.5</v>
      </c>
      <c r="BO1147" s="28" t="s">
        <v>172</v>
      </c>
      <c r="BP1147" s="29">
        <v>11.5</v>
      </c>
      <c r="BQ1147" s="28" t="s">
        <v>172</v>
      </c>
      <c r="BR1147" s="28" t="s">
        <v>234</v>
      </c>
      <c r="BS1147" s="28" t="s">
        <v>234</v>
      </c>
      <c r="BT1147" s="28" t="s">
        <v>138</v>
      </c>
      <c r="BU1147" s="28" t="s">
        <v>174</v>
      </c>
      <c r="BV1147" s="28" t="s">
        <v>138</v>
      </c>
      <c r="BW1147" s="28" t="s">
        <v>138</v>
      </c>
      <c r="BX1147" s="28" t="s">
        <v>138</v>
      </c>
      <c r="BY1147" s="28" t="s">
        <v>175</v>
      </c>
      <c r="BZ1147" s="34">
        <v>43278</v>
      </c>
      <c r="CA1147" s="29">
        <v>4.5</v>
      </c>
      <c r="CB1147" s="28" t="s">
        <v>172</v>
      </c>
      <c r="CC1147" s="29">
        <v>11.5</v>
      </c>
      <c r="CD1147" s="28" t="s">
        <v>172</v>
      </c>
      <c r="CE1147" s="28" t="s">
        <v>234</v>
      </c>
      <c r="CF1147" s="28" t="s">
        <v>234</v>
      </c>
      <c r="CG1147" s="28" t="s">
        <v>138</v>
      </c>
      <c r="CH1147" s="28" t="s">
        <v>174</v>
      </c>
      <c r="CI1147" s="28" t="s">
        <v>138</v>
      </c>
      <c r="CJ1147" s="28" t="s">
        <v>138</v>
      </c>
      <c r="CK1147" s="28" t="s">
        <v>138</v>
      </c>
      <c r="CL1147" s="28" t="s">
        <v>175</v>
      </c>
      <c r="CM1147" s="34" t="s">
        <v>138</v>
      </c>
      <c r="CN1147" s="29" t="s">
        <v>138</v>
      </c>
      <c r="CO1147" s="35">
        <v>0.94</v>
      </c>
      <c r="CP1147" s="36">
        <v>97</v>
      </c>
      <c r="CQ1147" s="35">
        <v>-0.06</v>
      </c>
      <c r="CR1147" s="35">
        <v>-6.23</v>
      </c>
      <c r="CS1147" s="35">
        <v>1.87</v>
      </c>
      <c r="CT1147" s="36">
        <v>98</v>
      </c>
      <c r="CU1147" s="35">
        <v>0</v>
      </c>
      <c r="CV1147" s="36">
        <v>22</v>
      </c>
      <c r="CW1147" s="35">
        <v>6.88</v>
      </c>
      <c r="CX1147" s="36">
        <v>98</v>
      </c>
      <c r="CY1147" s="35">
        <v>-3.13</v>
      </c>
      <c r="CZ1147" s="36">
        <v>6</v>
      </c>
      <c r="DA1147" s="35">
        <v>0</v>
      </c>
      <c r="DB1147" s="36">
        <v>22</v>
      </c>
      <c r="DC1147" s="37">
        <v>2.69</v>
      </c>
      <c r="DD1147" s="36">
        <v>73</v>
      </c>
      <c r="DE1147" s="37">
        <v>-0.24</v>
      </c>
      <c r="DF1147" s="35">
        <v>-8.1</v>
      </c>
      <c r="DG1147" s="37">
        <v>5.33</v>
      </c>
      <c r="DH1147" s="36">
        <v>83</v>
      </c>
      <c r="DI1147" s="37">
        <v>0.05</v>
      </c>
      <c r="DJ1147" s="36">
        <v>9</v>
      </c>
      <c r="DK1147" s="37">
        <v>6.32</v>
      </c>
      <c r="DL1147" s="36">
        <v>82</v>
      </c>
      <c r="DM1147" s="37">
        <v>4.34</v>
      </c>
      <c r="DN1147" s="36">
        <v>79</v>
      </c>
      <c r="DO1147" s="37">
        <v>0.04</v>
      </c>
      <c r="DP1147" s="36">
        <v>8</v>
      </c>
      <c r="DQ1147" s="36">
        <v>2085</v>
      </c>
      <c r="DR1147" s="38">
        <v>250</v>
      </c>
      <c r="DS1147" s="35">
        <v>13.62</v>
      </c>
      <c r="DT1147" s="36">
        <v>127</v>
      </c>
      <c r="DU1147" s="38">
        <v>-5</v>
      </c>
      <c r="DV1147" s="35">
        <v>-3.79</v>
      </c>
      <c r="DW1147" s="36">
        <v>14</v>
      </c>
      <c r="DX1147" s="39">
        <v>0</v>
      </c>
      <c r="DY1147" s="35">
        <v>0</v>
      </c>
      <c r="DZ1147" s="28" t="s">
        <v>178</v>
      </c>
      <c r="EA1147" s="34">
        <v>43530</v>
      </c>
      <c r="EB1147" s="29">
        <v>11.5</v>
      </c>
      <c r="EC1147" s="34">
        <v>43278</v>
      </c>
      <c r="ED1147" s="28" t="s">
        <v>234</v>
      </c>
      <c r="EE1147" s="40" t="str">
        <f>HYPERLINK("https://my.pitchbook.com?c=170511-40", "View company online")</f>
        <v>View company online</v>
      </c>
    </row>
    <row r="1148" spans="1:135">
      <c r="A1148" s="15" t="s">
        <v>22337</v>
      </c>
      <c r="B1148" s="15" t="s">
        <v>22338</v>
      </c>
      <c r="C1148" s="15" t="s">
        <v>22339</v>
      </c>
      <c r="D1148" s="15" t="s">
        <v>138</v>
      </c>
      <c r="E1148" s="15" t="s">
        <v>22340</v>
      </c>
      <c r="F1148" s="15" t="s">
        <v>22337</v>
      </c>
      <c r="G1148" s="15" t="s">
        <v>22341</v>
      </c>
      <c r="H1148" s="15" t="s">
        <v>322</v>
      </c>
      <c r="I1148" s="15" t="s">
        <v>323</v>
      </c>
      <c r="J1148" s="15" t="s">
        <v>2084</v>
      </c>
      <c r="K1148" s="15" t="s">
        <v>22342</v>
      </c>
      <c r="L1148" s="15" t="s">
        <v>3265</v>
      </c>
      <c r="M1148" s="15" t="s">
        <v>22343</v>
      </c>
      <c r="N1148" s="15" t="s">
        <v>147</v>
      </c>
      <c r="O1148" s="17">
        <v>187.48</v>
      </c>
      <c r="P1148" s="15" t="s">
        <v>148</v>
      </c>
      <c r="Q1148" s="15" t="s">
        <v>149</v>
      </c>
      <c r="R1148" s="15" t="s">
        <v>244</v>
      </c>
      <c r="S1148" s="15" t="s">
        <v>22344</v>
      </c>
      <c r="T1148" s="18">
        <v>1400</v>
      </c>
      <c r="U1148" s="15" t="s">
        <v>22345</v>
      </c>
      <c r="V1148" s="15" t="s">
        <v>138</v>
      </c>
      <c r="W1148" s="15" t="s">
        <v>138</v>
      </c>
      <c r="X1148" s="19">
        <v>2002</v>
      </c>
      <c r="Y1148" s="15" t="s">
        <v>138</v>
      </c>
      <c r="Z1148" s="15" t="s">
        <v>138</v>
      </c>
      <c r="AA1148" s="15" t="s">
        <v>138</v>
      </c>
      <c r="AB1148" s="20" t="s">
        <v>138</v>
      </c>
      <c r="AC1148" s="20" t="s">
        <v>138</v>
      </c>
      <c r="AD1148" s="20" t="s">
        <v>138</v>
      </c>
      <c r="AE1148" s="20" t="s">
        <v>138</v>
      </c>
      <c r="AF1148" s="20" t="s">
        <v>138</v>
      </c>
      <c r="AG1148" s="15" t="s">
        <v>138</v>
      </c>
      <c r="AH1148" s="20" t="s">
        <v>138</v>
      </c>
      <c r="AI1148" s="20" t="s">
        <v>138</v>
      </c>
      <c r="AJ1148" s="20" t="s">
        <v>138</v>
      </c>
      <c r="AK1148" s="15" t="s">
        <v>22346</v>
      </c>
      <c r="AL1148" s="15" t="s">
        <v>22347</v>
      </c>
      <c r="AM1148" s="15" t="s">
        <v>22348</v>
      </c>
      <c r="AN1148" s="15" t="s">
        <v>22349</v>
      </c>
      <c r="AO1148" s="15" t="s">
        <v>22350</v>
      </c>
      <c r="AP1148" s="15" t="s">
        <v>22351</v>
      </c>
      <c r="AQ1148" s="15" t="s">
        <v>22352</v>
      </c>
      <c r="AR1148" s="15" t="s">
        <v>11822</v>
      </c>
      <c r="AS1148" s="15" t="s">
        <v>22353</v>
      </c>
      <c r="AT1148" s="15" t="s">
        <v>864</v>
      </c>
      <c r="AU1148" s="15" t="s">
        <v>22354</v>
      </c>
      <c r="AV1148" s="15" t="s">
        <v>162</v>
      </c>
      <c r="AW1148" s="15" t="s">
        <v>22350</v>
      </c>
      <c r="AX1148" s="15" t="s">
        <v>22355</v>
      </c>
      <c r="AY1148" s="15" t="s">
        <v>22356</v>
      </c>
      <c r="AZ1148" s="15" t="s">
        <v>164</v>
      </c>
      <c r="BA1148" s="15" t="s">
        <v>165</v>
      </c>
      <c r="BB1148" s="15" t="s">
        <v>22357</v>
      </c>
      <c r="BC1148" s="15" t="s">
        <v>22358</v>
      </c>
      <c r="BD1148" s="21">
        <v>13</v>
      </c>
      <c r="BE1148" s="15" t="s">
        <v>138</v>
      </c>
      <c r="BF1148" s="15" t="s">
        <v>22359</v>
      </c>
      <c r="BG1148" s="15" t="s">
        <v>138</v>
      </c>
      <c r="BH1148" s="15" t="s">
        <v>22360</v>
      </c>
      <c r="BI1148" s="15" t="s">
        <v>22361</v>
      </c>
      <c r="BJ1148" s="15" t="s">
        <v>138</v>
      </c>
      <c r="BK1148" s="15" t="s">
        <v>22362</v>
      </c>
      <c r="BL1148" s="15" t="s">
        <v>22363</v>
      </c>
      <c r="BM1148" s="22">
        <v>38538</v>
      </c>
      <c r="BN1148" s="17">
        <v>0.38</v>
      </c>
      <c r="BO1148" s="15" t="s">
        <v>172</v>
      </c>
      <c r="BP1148" s="17" t="s">
        <v>138</v>
      </c>
      <c r="BQ1148" s="15" t="s">
        <v>138</v>
      </c>
      <c r="BR1148" s="15" t="s">
        <v>262</v>
      </c>
      <c r="BS1148" s="15" t="s">
        <v>262</v>
      </c>
      <c r="BT1148" s="15" t="s">
        <v>138</v>
      </c>
      <c r="BU1148" s="15" t="s">
        <v>263</v>
      </c>
      <c r="BV1148" s="15" t="s">
        <v>264</v>
      </c>
      <c r="BW1148" s="15" t="s">
        <v>138</v>
      </c>
      <c r="BX1148" s="15" t="s">
        <v>138</v>
      </c>
      <c r="BY1148" s="15" t="s">
        <v>175</v>
      </c>
      <c r="BZ1148" s="22">
        <v>42795</v>
      </c>
      <c r="CA1148" s="17" t="s">
        <v>138</v>
      </c>
      <c r="CB1148" s="15" t="s">
        <v>138</v>
      </c>
      <c r="CC1148" s="17" t="s">
        <v>138</v>
      </c>
      <c r="CD1148" s="15" t="s">
        <v>138</v>
      </c>
      <c r="CE1148" s="15" t="s">
        <v>1326</v>
      </c>
      <c r="CF1148" s="15" t="s">
        <v>138</v>
      </c>
      <c r="CG1148" s="15" t="s">
        <v>138</v>
      </c>
      <c r="CH1148" s="15" t="s">
        <v>1327</v>
      </c>
      <c r="CI1148" s="15" t="s">
        <v>7268</v>
      </c>
      <c r="CJ1148" s="15" t="s">
        <v>138</v>
      </c>
      <c r="CK1148" s="15" t="s">
        <v>138</v>
      </c>
      <c r="CL1148" s="15" t="s">
        <v>175</v>
      </c>
      <c r="CM1148" s="22">
        <v>42795</v>
      </c>
      <c r="CN1148" s="17" t="s">
        <v>138</v>
      </c>
      <c r="CO1148" s="23">
        <v>4.45</v>
      </c>
      <c r="CP1148" s="24">
        <v>100</v>
      </c>
      <c r="CQ1148" s="23">
        <v>0.01</v>
      </c>
      <c r="CR1148" s="23">
        <v>0.21</v>
      </c>
      <c r="CS1148" s="23">
        <v>8.7200000000000006</v>
      </c>
      <c r="CT1148" s="24">
        <v>100</v>
      </c>
      <c r="CU1148" s="23">
        <v>0.18</v>
      </c>
      <c r="CV1148" s="24">
        <v>78</v>
      </c>
      <c r="CW1148" s="23">
        <v>8.7200000000000006</v>
      </c>
      <c r="CX1148" s="24">
        <v>99</v>
      </c>
      <c r="CY1148" s="23" t="s">
        <v>138</v>
      </c>
      <c r="CZ1148" s="24" t="s">
        <v>138</v>
      </c>
      <c r="DA1148" s="23">
        <v>0.2</v>
      </c>
      <c r="DB1148" s="24">
        <v>82</v>
      </c>
      <c r="DC1148" s="25">
        <v>7.97</v>
      </c>
      <c r="DD1148" s="24">
        <v>88</v>
      </c>
      <c r="DE1148" s="25">
        <v>-0.81</v>
      </c>
      <c r="DF1148" s="23">
        <v>-9.26</v>
      </c>
      <c r="DG1148" s="25">
        <v>12.87</v>
      </c>
      <c r="DH1148" s="24">
        <v>92</v>
      </c>
      <c r="DI1148" s="25">
        <v>3.07</v>
      </c>
      <c r="DJ1148" s="24">
        <v>70</v>
      </c>
      <c r="DK1148" s="25">
        <v>12.87</v>
      </c>
      <c r="DL1148" s="24">
        <v>89</v>
      </c>
      <c r="DM1148" s="25" t="s">
        <v>138</v>
      </c>
      <c r="DN1148" s="24" t="s">
        <v>138</v>
      </c>
      <c r="DO1148" s="25">
        <v>5.51</v>
      </c>
      <c r="DP1148" s="24">
        <v>80</v>
      </c>
      <c r="DQ1148" s="24">
        <v>4279</v>
      </c>
      <c r="DR1148" s="26">
        <v>409</v>
      </c>
      <c r="DS1148" s="23">
        <v>10.57</v>
      </c>
      <c r="DT1148" s="24" t="s">
        <v>138</v>
      </c>
      <c r="DU1148" s="26" t="s">
        <v>138</v>
      </c>
      <c r="DV1148" s="23" t="s">
        <v>138</v>
      </c>
      <c r="DW1148" s="24">
        <v>1971</v>
      </c>
      <c r="DX1148" s="27">
        <v>8</v>
      </c>
      <c r="DY1148" s="23">
        <v>0.41</v>
      </c>
      <c r="DZ1148" s="15" t="s">
        <v>178</v>
      </c>
      <c r="EA1148" s="22">
        <v>43622</v>
      </c>
      <c r="EB1148" s="17">
        <v>30</v>
      </c>
      <c r="EC1148" s="22">
        <v>39709</v>
      </c>
      <c r="ED1148" s="15" t="s">
        <v>173</v>
      </c>
      <c r="EE1148" s="14" t="str">
        <f>HYPERLINK("https://my.pitchbook.com?c=42730-93", "View company online")</f>
        <v>View company online</v>
      </c>
    </row>
    <row r="1149" spans="1:135">
      <c r="A1149" s="28" t="s">
        <v>22364</v>
      </c>
      <c r="B1149" s="28" t="s">
        <v>22365</v>
      </c>
      <c r="C1149" s="28" t="s">
        <v>138</v>
      </c>
      <c r="D1149" s="28" t="s">
        <v>138</v>
      </c>
      <c r="E1149" s="28" t="s">
        <v>22366</v>
      </c>
      <c r="F1149" s="28" t="s">
        <v>22364</v>
      </c>
      <c r="G1149" s="28" t="s">
        <v>22367</v>
      </c>
      <c r="H1149" s="28" t="s">
        <v>141</v>
      </c>
      <c r="I1149" s="28" t="s">
        <v>142</v>
      </c>
      <c r="J1149" s="28" t="s">
        <v>4042</v>
      </c>
      <c r="K1149" s="28" t="s">
        <v>4043</v>
      </c>
      <c r="L1149" s="28" t="s">
        <v>5328</v>
      </c>
      <c r="M1149" s="28" t="s">
        <v>22368</v>
      </c>
      <c r="N1149" s="28" t="s">
        <v>147</v>
      </c>
      <c r="O1149" s="29">
        <v>63.01</v>
      </c>
      <c r="P1149" s="28" t="s">
        <v>148</v>
      </c>
      <c r="Q1149" s="28" t="s">
        <v>149</v>
      </c>
      <c r="R1149" s="28" t="s">
        <v>174</v>
      </c>
      <c r="S1149" s="28" t="s">
        <v>22369</v>
      </c>
      <c r="T1149" s="30">
        <v>201</v>
      </c>
      <c r="U1149" s="28" t="s">
        <v>22370</v>
      </c>
      <c r="V1149" s="28" t="s">
        <v>138</v>
      </c>
      <c r="W1149" s="28" t="s">
        <v>138</v>
      </c>
      <c r="X1149" s="31">
        <v>2000</v>
      </c>
      <c r="Y1149" s="28" t="s">
        <v>138</v>
      </c>
      <c r="Z1149" s="28" t="s">
        <v>138</v>
      </c>
      <c r="AA1149" s="28" t="s">
        <v>138</v>
      </c>
      <c r="AB1149" s="32" t="s">
        <v>138</v>
      </c>
      <c r="AC1149" s="32" t="s">
        <v>138</v>
      </c>
      <c r="AD1149" s="32" t="s">
        <v>138</v>
      </c>
      <c r="AE1149" s="32" t="s">
        <v>138</v>
      </c>
      <c r="AF1149" s="32" t="s">
        <v>138</v>
      </c>
      <c r="AG1149" s="28" t="s">
        <v>138</v>
      </c>
      <c r="AH1149" s="32" t="s">
        <v>138</v>
      </c>
      <c r="AI1149" s="32" t="s">
        <v>138</v>
      </c>
      <c r="AJ1149" s="32" t="s">
        <v>138</v>
      </c>
      <c r="AK1149" s="28" t="s">
        <v>22371</v>
      </c>
      <c r="AL1149" s="28" t="s">
        <v>22372</v>
      </c>
      <c r="AM1149" s="28" t="s">
        <v>22373</v>
      </c>
      <c r="AN1149" s="28" t="s">
        <v>22374</v>
      </c>
      <c r="AO1149" s="28" t="s">
        <v>22375</v>
      </c>
      <c r="AP1149" s="28" t="s">
        <v>5380</v>
      </c>
      <c r="AQ1149" s="28" t="s">
        <v>22376</v>
      </c>
      <c r="AR1149" s="28" t="s">
        <v>138</v>
      </c>
      <c r="AS1149" s="28" t="s">
        <v>5382</v>
      </c>
      <c r="AT1149" s="28" t="s">
        <v>200</v>
      </c>
      <c r="AU1149" s="28" t="s">
        <v>5383</v>
      </c>
      <c r="AV1149" s="28" t="s">
        <v>162</v>
      </c>
      <c r="AW1149" s="28" t="s">
        <v>22375</v>
      </c>
      <c r="AX1149" s="28" t="s">
        <v>22377</v>
      </c>
      <c r="AY1149" s="28" t="s">
        <v>22378</v>
      </c>
      <c r="AZ1149" s="28" t="s">
        <v>164</v>
      </c>
      <c r="BA1149" s="28" t="s">
        <v>165</v>
      </c>
      <c r="BB1149" s="28" t="s">
        <v>22379</v>
      </c>
      <c r="BC1149" s="28" t="s">
        <v>22380</v>
      </c>
      <c r="BD1149" s="33">
        <v>9</v>
      </c>
      <c r="BE1149" s="28" t="s">
        <v>138</v>
      </c>
      <c r="BF1149" s="28" t="s">
        <v>138</v>
      </c>
      <c r="BG1149" s="28" t="s">
        <v>138</v>
      </c>
      <c r="BH1149" s="28" t="s">
        <v>22381</v>
      </c>
      <c r="BI1149" s="28" t="s">
        <v>138</v>
      </c>
      <c r="BJ1149" s="28" t="s">
        <v>138</v>
      </c>
      <c r="BK1149" s="28" t="s">
        <v>138</v>
      </c>
      <c r="BL1149" s="28" t="s">
        <v>138</v>
      </c>
      <c r="BM1149" s="34">
        <v>36739</v>
      </c>
      <c r="BN1149" s="29">
        <v>2</v>
      </c>
      <c r="BO1149" s="28" t="s">
        <v>172</v>
      </c>
      <c r="BP1149" s="29">
        <v>20.23</v>
      </c>
      <c r="BQ1149" s="28" t="s">
        <v>172</v>
      </c>
      <c r="BR1149" s="28" t="s">
        <v>205</v>
      </c>
      <c r="BS1149" s="28" t="s">
        <v>206</v>
      </c>
      <c r="BT1149" s="28" t="s">
        <v>138</v>
      </c>
      <c r="BU1149" s="28" t="s">
        <v>174</v>
      </c>
      <c r="BV1149" s="28" t="s">
        <v>138</v>
      </c>
      <c r="BW1149" s="28" t="s">
        <v>138</v>
      </c>
      <c r="BX1149" s="28" t="s">
        <v>138</v>
      </c>
      <c r="BY1149" s="28" t="s">
        <v>175</v>
      </c>
      <c r="BZ1149" s="34">
        <v>40981</v>
      </c>
      <c r="CA1149" s="29">
        <v>16.2</v>
      </c>
      <c r="CB1149" s="28" t="s">
        <v>172</v>
      </c>
      <c r="CC1149" s="29">
        <v>209.25</v>
      </c>
      <c r="CD1149" s="28" t="s">
        <v>172</v>
      </c>
      <c r="CE1149" s="28" t="s">
        <v>173</v>
      </c>
      <c r="CF1149" s="28" t="s">
        <v>2830</v>
      </c>
      <c r="CG1149" s="28" t="s">
        <v>138</v>
      </c>
      <c r="CH1149" s="28" t="s">
        <v>174</v>
      </c>
      <c r="CI1149" s="28" t="s">
        <v>138</v>
      </c>
      <c r="CJ1149" s="28" t="s">
        <v>138</v>
      </c>
      <c r="CK1149" s="28" t="s">
        <v>138</v>
      </c>
      <c r="CL1149" s="28" t="s">
        <v>175</v>
      </c>
      <c r="CM1149" s="34" t="s">
        <v>138</v>
      </c>
      <c r="CN1149" s="29" t="s">
        <v>138</v>
      </c>
      <c r="CO1149" s="35">
        <v>-0.34</v>
      </c>
      <c r="CP1149" s="36">
        <v>18</v>
      </c>
      <c r="CQ1149" s="35">
        <v>0.02</v>
      </c>
      <c r="CR1149" s="35">
        <v>5.08</v>
      </c>
      <c r="CS1149" s="35">
        <v>-0.69</v>
      </c>
      <c r="CT1149" s="36">
        <v>18</v>
      </c>
      <c r="CU1149" s="35">
        <v>0</v>
      </c>
      <c r="CV1149" s="36">
        <v>22</v>
      </c>
      <c r="CW1149" s="35">
        <v>0</v>
      </c>
      <c r="CX1149" s="36">
        <v>13</v>
      </c>
      <c r="CY1149" s="35">
        <v>-1.38</v>
      </c>
      <c r="CZ1149" s="36">
        <v>16</v>
      </c>
      <c r="DA1149" s="35">
        <v>0</v>
      </c>
      <c r="DB1149" s="36">
        <v>22</v>
      </c>
      <c r="DC1149" s="37">
        <v>3.76</v>
      </c>
      <c r="DD1149" s="36">
        <v>79</v>
      </c>
      <c r="DE1149" s="37">
        <v>-0.04</v>
      </c>
      <c r="DF1149" s="35">
        <v>-0.97</v>
      </c>
      <c r="DG1149" s="37">
        <v>6.88</v>
      </c>
      <c r="DH1149" s="36">
        <v>86</v>
      </c>
      <c r="DI1149" s="37">
        <v>0.65</v>
      </c>
      <c r="DJ1149" s="36">
        <v>41</v>
      </c>
      <c r="DK1149" s="37">
        <v>0.94</v>
      </c>
      <c r="DL1149" s="36">
        <v>49</v>
      </c>
      <c r="DM1149" s="37">
        <v>12.83</v>
      </c>
      <c r="DN1149" s="36">
        <v>91</v>
      </c>
      <c r="DO1149" s="37">
        <v>0.65</v>
      </c>
      <c r="DP1149" s="36">
        <v>42</v>
      </c>
      <c r="DQ1149" s="36">
        <v>314</v>
      </c>
      <c r="DR1149" s="38">
        <v>19</v>
      </c>
      <c r="DS1149" s="35">
        <v>6.44</v>
      </c>
      <c r="DT1149" s="36">
        <v>372</v>
      </c>
      <c r="DU1149" s="38">
        <v>-1</v>
      </c>
      <c r="DV1149" s="35">
        <v>-0.27</v>
      </c>
      <c r="DW1149" s="36">
        <v>232</v>
      </c>
      <c r="DX1149" s="39">
        <v>0</v>
      </c>
      <c r="DY1149" s="35">
        <v>0</v>
      </c>
      <c r="DZ1149" s="28" t="s">
        <v>178</v>
      </c>
      <c r="EA1149" s="34">
        <v>43622</v>
      </c>
      <c r="EB1149" s="29">
        <v>209.25</v>
      </c>
      <c r="EC1149" s="34">
        <v>40981</v>
      </c>
      <c r="ED1149" s="28" t="s">
        <v>173</v>
      </c>
      <c r="EE1149" s="40" t="str">
        <f>HYPERLINK("https://my.pitchbook.com?c=51229-63", "View company online")</f>
        <v>View company online</v>
      </c>
    </row>
    <row r="1150" spans="1:135">
      <c r="A1150" s="15" t="s">
        <v>22382</v>
      </c>
      <c r="B1150" s="15" t="s">
        <v>22383</v>
      </c>
      <c r="C1150" s="15" t="s">
        <v>138</v>
      </c>
      <c r="D1150" s="15" t="s">
        <v>138</v>
      </c>
      <c r="E1150" s="15" t="s">
        <v>138</v>
      </c>
      <c r="F1150" s="15" t="s">
        <v>22382</v>
      </c>
      <c r="G1150" s="15" t="s">
        <v>22384</v>
      </c>
      <c r="H1150" s="15" t="s">
        <v>322</v>
      </c>
      <c r="I1150" s="15" t="s">
        <v>323</v>
      </c>
      <c r="J1150" s="15" t="s">
        <v>1184</v>
      </c>
      <c r="K1150" s="15" t="s">
        <v>6678</v>
      </c>
      <c r="L1150" s="15" t="s">
        <v>2641</v>
      </c>
      <c r="M1150" s="15" t="s">
        <v>22385</v>
      </c>
      <c r="N1150" s="15" t="s">
        <v>147</v>
      </c>
      <c r="O1150" s="17" t="s">
        <v>138</v>
      </c>
      <c r="P1150" s="15" t="s">
        <v>610</v>
      </c>
      <c r="Q1150" s="15" t="s">
        <v>149</v>
      </c>
      <c r="R1150" s="15" t="s">
        <v>174</v>
      </c>
      <c r="S1150" s="15" t="s">
        <v>22386</v>
      </c>
      <c r="T1150" s="18" t="s">
        <v>138</v>
      </c>
      <c r="U1150" s="15" t="s">
        <v>138</v>
      </c>
      <c r="V1150" s="15" t="s">
        <v>138</v>
      </c>
      <c r="W1150" s="15" t="s">
        <v>138</v>
      </c>
      <c r="X1150" s="19">
        <v>2015</v>
      </c>
      <c r="Y1150" s="15" t="s">
        <v>138</v>
      </c>
      <c r="Z1150" s="15" t="s">
        <v>138</v>
      </c>
      <c r="AA1150" s="15" t="s">
        <v>138</v>
      </c>
      <c r="AB1150" s="20" t="s">
        <v>138</v>
      </c>
      <c r="AC1150" s="20" t="s">
        <v>138</v>
      </c>
      <c r="AD1150" s="20" t="s">
        <v>138</v>
      </c>
      <c r="AE1150" s="20" t="s">
        <v>138</v>
      </c>
      <c r="AF1150" s="20" t="s">
        <v>138</v>
      </c>
      <c r="AG1150" s="15" t="s">
        <v>138</v>
      </c>
      <c r="AH1150" s="20" t="s">
        <v>138</v>
      </c>
      <c r="AI1150" s="20" t="s">
        <v>138</v>
      </c>
      <c r="AJ1150" s="20" t="s">
        <v>138</v>
      </c>
      <c r="AK1150" s="15" t="s">
        <v>22387</v>
      </c>
      <c r="AL1150" s="15" t="s">
        <v>22388</v>
      </c>
      <c r="AM1150" s="15" t="s">
        <v>986</v>
      </c>
      <c r="AN1150" s="15" t="s">
        <v>22389</v>
      </c>
      <c r="AO1150" s="15" t="s">
        <v>138</v>
      </c>
      <c r="AP1150" s="15" t="s">
        <v>423</v>
      </c>
      <c r="AQ1150" s="15" t="s">
        <v>138</v>
      </c>
      <c r="AR1150" s="15" t="s">
        <v>138</v>
      </c>
      <c r="AS1150" s="15" t="s">
        <v>426</v>
      </c>
      <c r="AT1150" s="15" t="s">
        <v>426</v>
      </c>
      <c r="AU1150" s="15" t="s">
        <v>138</v>
      </c>
      <c r="AV1150" s="15" t="s">
        <v>162</v>
      </c>
      <c r="AW1150" s="15" t="s">
        <v>138</v>
      </c>
      <c r="AX1150" s="15" t="s">
        <v>138</v>
      </c>
      <c r="AY1150" s="15" t="s">
        <v>138</v>
      </c>
      <c r="AZ1150" s="15" t="s">
        <v>164</v>
      </c>
      <c r="BA1150" s="15" t="s">
        <v>165</v>
      </c>
      <c r="BB1150" s="15" t="s">
        <v>22390</v>
      </c>
      <c r="BC1150" s="15" t="s">
        <v>14231</v>
      </c>
      <c r="BD1150" s="21">
        <v>3</v>
      </c>
      <c r="BE1150" s="15" t="s">
        <v>138</v>
      </c>
      <c r="BF1150" s="15" t="s">
        <v>138</v>
      </c>
      <c r="BG1150" s="15" t="s">
        <v>138</v>
      </c>
      <c r="BH1150" s="15" t="s">
        <v>14232</v>
      </c>
      <c r="BI1150" s="15" t="s">
        <v>138</v>
      </c>
      <c r="BJ1150" s="15" t="s">
        <v>138</v>
      </c>
      <c r="BK1150" s="15" t="s">
        <v>138</v>
      </c>
      <c r="BL1150" s="15" t="s">
        <v>138</v>
      </c>
      <c r="BM1150" s="22">
        <v>42370</v>
      </c>
      <c r="BN1150" s="17" t="s">
        <v>138</v>
      </c>
      <c r="BO1150" s="15" t="s">
        <v>138</v>
      </c>
      <c r="BP1150" s="17" t="s">
        <v>138</v>
      </c>
      <c r="BQ1150" s="15" t="s">
        <v>138</v>
      </c>
      <c r="BR1150" s="15" t="s">
        <v>234</v>
      </c>
      <c r="BS1150" s="15" t="s">
        <v>234</v>
      </c>
      <c r="BT1150" s="15" t="s">
        <v>138</v>
      </c>
      <c r="BU1150" s="15" t="s">
        <v>174</v>
      </c>
      <c r="BV1150" s="15" t="s">
        <v>138</v>
      </c>
      <c r="BW1150" s="15" t="s">
        <v>138</v>
      </c>
      <c r="BX1150" s="15" t="s">
        <v>138</v>
      </c>
      <c r="BY1150" s="15" t="s">
        <v>175</v>
      </c>
      <c r="BZ1150" s="22">
        <v>42790</v>
      </c>
      <c r="CA1150" s="17" t="s">
        <v>138</v>
      </c>
      <c r="CB1150" s="15" t="s">
        <v>138</v>
      </c>
      <c r="CC1150" s="17" t="s">
        <v>138</v>
      </c>
      <c r="CD1150" s="15" t="s">
        <v>138</v>
      </c>
      <c r="CE1150" s="15" t="s">
        <v>316</v>
      </c>
      <c r="CF1150" s="15" t="s">
        <v>138</v>
      </c>
      <c r="CG1150" s="15" t="s">
        <v>138</v>
      </c>
      <c r="CH1150" s="15" t="s">
        <v>177</v>
      </c>
      <c r="CI1150" s="15" t="s">
        <v>138</v>
      </c>
      <c r="CJ1150" s="15" t="s">
        <v>138</v>
      </c>
      <c r="CK1150" s="15" t="s">
        <v>138</v>
      </c>
      <c r="CL1150" s="15" t="s">
        <v>175</v>
      </c>
      <c r="CM1150" s="22" t="s">
        <v>138</v>
      </c>
      <c r="CN1150" s="17" t="s">
        <v>138</v>
      </c>
      <c r="CO1150" s="23">
        <v>0</v>
      </c>
      <c r="CP1150" s="24">
        <v>26</v>
      </c>
      <c r="CQ1150" s="23">
        <v>0</v>
      </c>
      <c r="CR1150" s="23">
        <v>0</v>
      </c>
      <c r="CS1150" s="23">
        <v>0</v>
      </c>
      <c r="CT1150" s="24">
        <v>23</v>
      </c>
      <c r="CU1150" s="23" t="s">
        <v>138</v>
      </c>
      <c r="CV1150" s="24" t="s">
        <v>138</v>
      </c>
      <c r="CW1150" s="23" t="s">
        <v>138</v>
      </c>
      <c r="CX1150" s="24" t="s">
        <v>138</v>
      </c>
      <c r="CY1150" s="23">
        <v>0</v>
      </c>
      <c r="CZ1150" s="24">
        <v>25</v>
      </c>
      <c r="DA1150" s="23" t="s">
        <v>138</v>
      </c>
      <c r="DB1150" s="24" t="s">
        <v>138</v>
      </c>
      <c r="DC1150" s="25">
        <v>0.28000000000000003</v>
      </c>
      <c r="DD1150" s="24">
        <v>21</v>
      </c>
      <c r="DE1150" s="25">
        <v>0</v>
      </c>
      <c r="DF1150" s="23">
        <v>0</v>
      </c>
      <c r="DG1150" s="25">
        <v>0.28000000000000003</v>
      </c>
      <c r="DH1150" s="24">
        <v>21</v>
      </c>
      <c r="DI1150" s="25" t="s">
        <v>138</v>
      </c>
      <c r="DJ1150" s="24" t="s">
        <v>138</v>
      </c>
      <c r="DK1150" s="25" t="s">
        <v>138</v>
      </c>
      <c r="DL1150" s="24" t="s">
        <v>138</v>
      </c>
      <c r="DM1150" s="25">
        <v>0.28000000000000003</v>
      </c>
      <c r="DN1150" s="24">
        <v>21</v>
      </c>
      <c r="DO1150" s="25" t="s">
        <v>138</v>
      </c>
      <c r="DP1150" s="24" t="s">
        <v>138</v>
      </c>
      <c r="DQ1150" s="24" t="s">
        <v>138</v>
      </c>
      <c r="DR1150" s="26" t="s">
        <v>138</v>
      </c>
      <c r="DS1150" s="23" t="s">
        <v>138</v>
      </c>
      <c r="DT1150" s="24">
        <v>8</v>
      </c>
      <c r="DU1150" s="26">
        <v>0</v>
      </c>
      <c r="DV1150" s="23">
        <v>0</v>
      </c>
      <c r="DW1150" s="24" t="s">
        <v>138</v>
      </c>
      <c r="DX1150" s="27" t="s">
        <v>138</v>
      </c>
      <c r="DY1150" s="23" t="s">
        <v>138</v>
      </c>
      <c r="DZ1150" s="15" t="s">
        <v>178</v>
      </c>
      <c r="EA1150" s="22">
        <v>43355</v>
      </c>
      <c r="EB1150" s="17" t="s">
        <v>138</v>
      </c>
      <c r="EC1150" s="22" t="s">
        <v>138</v>
      </c>
      <c r="ED1150" s="15" t="s">
        <v>138</v>
      </c>
      <c r="EE1150" s="14" t="str">
        <f>HYPERLINK("https://my.pitchbook.com?c=180406-72", "View company online")</f>
        <v>View company online</v>
      </c>
    </row>
    <row r="1151" spans="1:135">
      <c r="A1151" s="28" t="s">
        <v>22391</v>
      </c>
      <c r="B1151" s="28" t="s">
        <v>22392</v>
      </c>
      <c r="C1151" s="28" t="s">
        <v>138</v>
      </c>
      <c r="D1151" s="28" t="s">
        <v>138</v>
      </c>
      <c r="E1151" s="28" t="s">
        <v>22393</v>
      </c>
      <c r="F1151" s="28" t="s">
        <v>22391</v>
      </c>
      <c r="G1151" s="28" t="s">
        <v>22394</v>
      </c>
      <c r="H1151" s="28" t="s">
        <v>322</v>
      </c>
      <c r="I1151" s="28" t="s">
        <v>323</v>
      </c>
      <c r="J1151" s="28" t="s">
        <v>461</v>
      </c>
      <c r="K1151" s="28" t="s">
        <v>22395</v>
      </c>
      <c r="L1151" s="28" t="s">
        <v>6052</v>
      </c>
      <c r="M1151" s="28" t="s">
        <v>22396</v>
      </c>
      <c r="N1151" s="28" t="s">
        <v>147</v>
      </c>
      <c r="O1151" s="29">
        <v>13.04</v>
      </c>
      <c r="P1151" s="28" t="s">
        <v>148</v>
      </c>
      <c r="Q1151" s="28" t="s">
        <v>149</v>
      </c>
      <c r="R1151" s="28" t="s">
        <v>174</v>
      </c>
      <c r="S1151" s="28" t="s">
        <v>22397</v>
      </c>
      <c r="T1151" s="30">
        <v>12</v>
      </c>
      <c r="U1151" s="28" t="s">
        <v>22398</v>
      </c>
      <c r="V1151" s="28" t="s">
        <v>138</v>
      </c>
      <c r="W1151" s="28" t="s">
        <v>138</v>
      </c>
      <c r="X1151" s="31">
        <v>2016</v>
      </c>
      <c r="Y1151" s="28" t="s">
        <v>138</v>
      </c>
      <c r="Z1151" s="28" t="s">
        <v>138</v>
      </c>
      <c r="AA1151" s="28" t="s">
        <v>138</v>
      </c>
      <c r="AB1151" s="32" t="s">
        <v>138</v>
      </c>
      <c r="AC1151" s="32" t="s">
        <v>138</v>
      </c>
      <c r="AD1151" s="32" t="s">
        <v>138</v>
      </c>
      <c r="AE1151" s="32" t="s">
        <v>138</v>
      </c>
      <c r="AF1151" s="32" t="s">
        <v>138</v>
      </c>
      <c r="AG1151" s="28" t="s">
        <v>138</v>
      </c>
      <c r="AH1151" s="32" t="s">
        <v>138</v>
      </c>
      <c r="AI1151" s="32" t="s">
        <v>138</v>
      </c>
      <c r="AJ1151" s="32" t="s">
        <v>138</v>
      </c>
      <c r="AK1151" s="28" t="s">
        <v>22399</v>
      </c>
      <c r="AL1151" s="28" t="s">
        <v>22400</v>
      </c>
      <c r="AM1151" s="28" t="s">
        <v>1632</v>
      </c>
      <c r="AN1151" s="28" t="s">
        <v>22401</v>
      </c>
      <c r="AO1151" s="28" t="s">
        <v>22402</v>
      </c>
      <c r="AP1151" s="28" t="s">
        <v>1514</v>
      </c>
      <c r="AQ1151" s="28" t="s">
        <v>22403</v>
      </c>
      <c r="AR1151" s="28" t="s">
        <v>1170</v>
      </c>
      <c r="AS1151" s="28" t="s">
        <v>1516</v>
      </c>
      <c r="AT1151" s="28" t="s">
        <v>284</v>
      </c>
      <c r="AU1151" s="28" t="s">
        <v>21377</v>
      </c>
      <c r="AV1151" s="28" t="s">
        <v>162</v>
      </c>
      <c r="AW1151" s="28" t="s">
        <v>22402</v>
      </c>
      <c r="AX1151" s="28" t="s">
        <v>138</v>
      </c>
      <c r="AY1151" s="28" t="s">
        <v>22404</v>
      </c>
      <c r="AZ1151" s="28" t="s">
        <v>164</v>
      </c>
      <c r="BA1151" s="28" t="s">
        <v>165</v>
      </c>
      <c r="BB1151" s="28" t="s">
        <v>22405</v>
      </c>
      <c r="BC1151" s="28" t="s">
        <v>22406</v>
      </c>
      <c r="BD1151" s="33">
        <v>8</v>
      </c>
      <c r="BE1151" s="28" t="s">
        <v>138</v>
      </c>
      <c r="BF1151" s="28" t="s">
        <v>138</v>
      </c>
      <c r="BG1151" s="28" t="s">
        <v>138</v>
      </c>
      <c r="BH1151" s="28" t="s">
        <v>22407</v>
      </c>
      <c r="BI1151" s="28" t="s">
        <v>138</v>
      </c>
      <c r="BJ1151" s="28" t="s">
        <v>138</v>
      </c>
      <c r="BK1151" s="28" t="s">
        <v>22408</v>
      </c>
      <c r="BL1151" s="28" t="s">
        <v>204</v>
      </c>
      <c r="BM1151" s="34">
        <v>42500</v>
      </c>
      <c r="BN1151" s="29">
        <v>3</v>
      </c>
      <c r="BO1151" s="28" t="s">
        <v>172</v>
      </c>
      <c r="BP1151" s="29">
        <v>9</v>
      </c>
      <c r="BQ1151" s="28" t="s">
        <v>172</v>
      </c>
      <c r="BR1151" s="28" t="s">
        <v>234</v>
      </c>
      <c r="BS1151" s="28" t="s">
        <v>234</v>
      </c>
      <c r="BT1151" s="28" t="s">
        <v>138</v>
      </c>
      <c r="BU1151" s="28" t="s">
        <v>174</v>
      </c>
      <c r="BV1151" s="28" t="s">
        <v>138</v>
      </c>
      <c r="BW1151" s="28" t="s">
        <v>138</v>
      </c>
      <c r="BX1151" s="28" t="s">
        <v>138</v>
      </c>
      <c r="BY1151" s="28" t="s">
        <v>175</v>
      </c>
      <c r="BZ1151" s="34">
        <v>43293</v>
      </c>
      <c r="CA1151" s="29">
        <v>10.039999999999999</v>
      </c>
      <c r="CB1151" s="28" t="s">
        <v>172</v>
      </c>
      <c r="CC1151" s="29" t="s">
        <v>138</v>
      </c>
      <c r="CD1151" s="28" t="s">
        <v>138</v>
      </c>
      <c r="CE1151" s="28" t="s">
        <v>205</v>
      </c>
      <c r="CF1151" s="28" t="s">
        <v>206</v>
      </c>
      <c r="CG1151" s="28" t="s">
        <v>138</v>
      </c>
      <c r="CH1151" s="28" t="s">
        <v>174</v>
      </c>
      <c r="CI1151" s="28" t="s">
        <v>138</v>
      </c>
      <c r="CJ1151" s="28" t="s">
        <v>138</v>
      </c>
      <c r="CK1151" s="28" t="s">
        <v>138</v>
      </c>
      <c r="CL1151" s="28" t="s">
        <v>175</v>
      </c>
      <c r="CM1151" s="34" t="s">
        <v>138</v>
      </c>
      <c r="CN1151" s="29" t="s">
        <v>138</v>
      </c>
      <c r="CO1151" s="35">
        <v>2.34</v>
      </c>
      <c r="CP1151" s="36">
        <v>99</v>
      </c>
      <c r="CQ1151" s="35">
        <v>1.34</v>
      </c>
      <c r="CR1151" s="35">
        <v>134.55000000000001</v>
      </c>
      <c r="CS1151" s="35">
        <v>0</v>
      </c>
      <c r="CT1151" s="36">
        <v>23</v>
      </c>
      <c r="CU1151" s="35">
        <v>4.67</v>
      </c>
      <c r="CV1151" s="36">
        <v>100</v>
      </c>
      <c r="CW1151" s="35" t="s">
        <v>138</v>
      </c>
      <c r="CX1151" s="36" t="s">
        <v>138</v>
      </c>
      <c r="CY1151" s="35">
        <v>0</v>
      </c>
      <c r="CZ1151" s="36">
        <v>25</v>
      </c>
      <c r="DA1151" s="35">
        <v>4.67</v>
      </c>
      <c r="DB1151" s="36">
        <v>100</v>
      </c>
      <c r="DC1151" s="37">
        <v>0.88</v>
      </c>
      <c r="DD1151" s="36">
        <v>48</v>
      </c>
      <c r="DE1151" s="37">
        <v>0.19</v>
      </c>
      <c r="DF1151" s="35">
        <v>27.07</v>
      </c>
      <c r="DG1151" s="37">
        <v>0.97</v>
      </c>
      <c r="DH1151" s="36">
        <v>50</v>
      </c>
      <c r="DI1151" s="37">
        <v>0.8</v>
      </c>
      <c r="DJ1151" s="36">
        <v>45</v>
      </c>
      <c r="DK1151" s="37" t="s">
        <v>138</v>
      </c>
      <c r="DL1151" s="36" t="s">
        <v>138</v>
      </c>
      <c r="DM1151" s="37">
        <v>0.97</v>
      </c>
      <c r="DN1151" s="36">
        <v>49</v>
      </c>
      <c r="DO1151" s="37">
        <v>0.8</v>
      </c>
      <c r="DP1151" s="36">
        <v>46</v>
      </c>
      <c r="DQ1151" s="36" t="s">
        <v>138</v>
      </c>
      <c r="DR1151" s="38" t="s">
        <v>138</v>
      </c>
      <c r="DS1151" s="35" t="s">
        <v>138</v>
      </c>
      <c r="DT1151" s="36">
        <v>28</v>
      </c>
      <c r="DU1151" s="38">
        <v>-1</v>
      </c>
      <c r="DV1151" s="35">
        <v>-3.45</v>
      </c>
      <c r="DW1151" s="36">
        <v>282</v>
      </c>
      <c r="DX1151" s="39">
        <v>16</v>
      </c>
      <c r="DY1151" s="35">
        <v>6.02</v>
      </c>
      <c r="DZ1151" s="28" t="s">
        <v>178</v>
      </c>
      <c r="EA1151" s="34">
        <v>43396</v>
      </c>
      <c r="EB1151" s="29">
        <v>9</v>
      </c>
      <c r="EC1151" s="34">
        <v>42500</v>
      </c>
      <c r="ED1151" s="28" t="s">
        <v>234</v>
      </c>
      <c r="EE1151" s="40" t="str">
        <f>HYPERLINK("https://my.pitchbook.com?c=158754-79", "View company online")</f>
        <v>View company online</v>
      </c>
    </row>
    <row r="1152" spans="1:135">
      <c r="A1152" s="15" t="s">
        <v>22409</v>
      </c>
      <c r="B1152" s="15" t="s">
        <v>22410</v>
      </c>
      <c r="C1152" s="15" t="s">
        <v>138</v>
      </c>
      <c r="D1152" s="15" t="s">
        <v>22411</v>
      </c>
      <c r="E1152" s="15" t="s">
        <v>22412</v>
      </c>
      <c r="F1152" s="15" t="s">
        <v>22409</v>
      </c>
      <c r="G1152" s="15" t="s">
        <v>22413</v>
      </c>
      <c r="H1152" s="15" t="s">
        <v>141</v>
      </c>
      <c r="I1152" s="15" t="s">
        <v>212</v>
      </c>
      <c r="J1152" s="15" t="s">
        <v>213</v>
      </c>
      <c r="K1152" s="15" t="s">
        <v>214</v>
      </c>
      <c r="L1152" s="15" t="s">
        <v>3343</v>
      </c>
      <c r="M1152" s="15" t="s">
        <v>22414</v>
      </c>
      <c r="N1152" s="15" t="s">
        <v>147</v>
      </c>
      <c r="O1152" s="17">
        <v>78.13</v>
      </c>
      <c r="P1152" s="15" t="s">
        <v>148</v>
      </c>
      <c r="Q1152" s="15" t="s">
        <v>149</v>
      </c>
      <c r="R1152" s="15" t="s">
        <v>244</v>
      </c>
      <c r="S1152" s="15" t="s">
        <v>22415</v>
      </c>
      <c r="T1152" s="18">
        <v>150</v>
      </c>
      <c r="U1152" s="15" t="s">
        <v>22416</v>
      </c>
      <c r="V1152" s="15" t="s">
        <v>138</v>
      </c>
      <c r="W1152" s="15" t="s">
        <v>138</v>
      </c>
      <c r="X1152" s="19">
        <v>2010</v>
      </c>
      <c r="Y1152" s="15" t="s">
        <v>138</v>
      </c>
      <c r="Z1152" s="15" t="s">
        <v>138</v>
      </c>
      <c r="AA1152" s="15" t="s">
        <v>138</v>
      </c>
      <c r="AB1152" s="20">
        <v>150</v>
      </c>
      <c r="AC1152" s="20" t="s">
        <v>138</v>
      </c>
      <c r="AD1152" s="20" t="s">
        <v>138</v>
      </c>
      <c r="AE1152" s="20" t="s">
        <v>138</v>
      </c>
      <c r="AF1152" s="20" t="s">
        <v>138</v>
      </c>
      <c r="AG1152" s="15" t="s">
        <v>514</v>
      </c>
      <c r="AH1152" s="20" t="s">
        <v>138</v>
      </c>
      <c r="AI1152" s="20" t="s">
        <v>138</v>
      </c>
      <c r="AJ1152" s="20" t="s">
        <v>138</v>
      </c>
      <c r="AK1152" s="15" t="s">
        <v>22417</v>
      </c>
      <c r="AL1152" s="15" t="s">
        <v>22418</v>
      </c>
      <c r="AM1152" s="15" t="s">
        <v>249</v>
      </c>
      <c r="AN1152" s="15" t="s">
        <v>22419</v>
      </c>
      <c r="AO1152" s="15" t="s">
        <v>22420</v>
      </c>
      <c r="AP1152" s="15" t="s">
        <v>22421</v>
      </c>
      <c r="AQ1152" s="15" t="s">
        <v>22422</v>
      </c>
      <c r="AR1152" s="15" t="s">
        <v>425</v>
      </c>
      <c r="AS1152" s="15" t="s">
        <v>22423</v>
      </c>
      <c r="AT1152" s="15" t="s">
        <v>10615</v>
      </c>
      <c r="AU1152" s="15" t="s">
        <v>22424</v>
      </c>
      <c r="AV1152" s="15" t="s">
        <v>162</v>
      </c>
      <c r="AW1152" s="15" t="s">
        <v>22420</v>
      </c>
      <c r="AX1152" s="15" t="s">
        <v>22425</v>
      </c>
      <c r="AY1152" s="15" t="s">
        <v>22426</v>
      </c>
      <c r="AZ1152" s="15" t="s">
        <v>164</v>
      </c>
      <c r="BA1152" s="15" t="s">
        <v>165</v>
      </c>
      <c r="BB1152" s="15" t="s">
        <v>22427</v>
      </c>
      <c r="BC1152" s="15" t="s">
        <v>22428</v>
      </c>
      <c r="BD1152" s="21">
        <v>13</v>
      </c>
      <c r="BE1152" s="15" t="s">
        <v>138</v>
      </c>
      <c r="BF1152" s="15" t="s">
        <v>138</v>
      </c>
      <c r="BG1152" s="15" t="s">
        <v>138</v>
      </c>
      <c r="BH1152" s="15" t="s">
        <v>22429</v>
      </c>
      <c r="BI1152" s="15" t="s">
        <v>138</v>
      </c>
      <c r="BJ1152" s="15" t="s">
        <v>138</v>
      </c>
      <c r="BK1152" s="15" t="s">
        <v>22430</v>
      </c>
      <c r="BL1152" s="15" t="s">
        <v>22431</v>
      </c>
      <c r="BM1152" s="22">
        <v>40522</v>
      </c>
      <c r="BN1152" s="17">
        <v>4.2699999999999996</v>
      </c>
      <c r="BO1152" s="15" t="s">
        <v>172</v>
      </c>
      <c r="BP1152" s="17">
        <v>19.05</v>
      </c>
      <c r="BQ1152" s="15" t="s">
        <v>172</v>
      </c>
      <c r="BR1152" s="15" t="s">
        <v>205</v>
      </c>
      <c r="BS1152" s="15" t="s">
        <v>206</v>
      </c>
      <c r="BT1152" s="15" t="s">
        <v>138</v>
      </c>
      <c r="BU1152" s="15" t="s">
        <v>174</v>
      </c>
      <c r="BV1152" s="15" t="s">
        <v>138</v>
      </c>
      <c r="BW1152" s="15" t="s">
        <v>138</v>
      </c>
      <c r="BX1152" s="15" t="s">
        <v>138</v>
      </c>
      <c r="BY1152" s="15" t="s">
        <v>175</v>
      </c>
      <c r="BZ1152" s="22">
        <v>43460</v>
      </c>
      <c r="CA1152" s="17">
        <v>25.62</v>
      </c>
      <c r="CB1152" s="15" t="s">
        <v>172</v>
      </c>
      <c r="CC1152" s="17">
        <v>109.09</v>
      </c>
      <c r="CD1152" s="15" t="s">
        <v>172</v>
      </c>
      <c r="CE1152" s="15" t="s">
        <v>173</v>
      </c>
      <c r="CF1152" s="15" t="s">
        <v>482</v>
      </c>
      <c r="CG1152" s="15" t="s">
        <v>138</v>
      </c>
      <c r="CH1152" s="15" t="s">
        <v>174</v>
      </c>
      <c r="CI1152" s="15" t="s">
        <v>138</v>
      </c>
      <c r="CJ1152" s="15" t="s">
        <v>138</v>
      </c>
      <c r="CK1152" s="15" t="s">
        <v>138</v>
      </c>
      <c r="CL1152" s="15" t="s">
        <v>175</v>
      </c>
      <c r="CM1152" s="22">
        <v>41982</v>
      </c>
      <c r="CN1152" s="17">
        <v>0.45</v>
      </c>
      <c r="CO1152" s="23">
        <v>1.03</v>
      </c>
      <c r="CP1152" s="24">
        <v>97</v>
      </c>
      <c r="CQ1152" s="23">
        <v>0.02</v>
      </c>
      <c r="CR1152" s="23">
        <v>1.9</v>
      </c>
      <c r="CS1152" s="23">
        <v>1.94</v>
      </c>
      <c r="CT1152" s="24">
        <v>98</v>
      </c>
      <c r="CU1152" s="23">
        <v>0.13</v>
      </c>
      <c r="CV1152" s="24">
        <v>73</v>
      </c>
      <c r="CW1152" s="23">
        <v>1.94</v>
      </c>
      <c r="CX1152" s="24">
        <v>88</v>
      </c>
      <c r="CY1152" s="23" t="s">
        <v>138</v>
      </c>
      <c r="CZ1152" s="24" t="s">
        <v>138</v>
      </c>
      <c r="DA1152" s="23">
        <v>0.13</v>
      </c>
      <c r="DB1152" s="24">
        <v>76</v>
      </c>
      <c r="DC1152" s="25">
        <v>15.75</v>
      </c>
      <c r="DD1152" s="24">
        <v>93</v>
      </c>
      <c r="DE1152" s="25">
        <v>-1.1000000000000001</v>
      </c>
      <c r="DF1152" s="23">
        <v>-6.54</v>
      </c>
      <c r="DG1152" s="25">
        <v>17.850000000000001</v>
      </c>
      <c r="DH1152" s="24">
        <v>94</v>
      </c>
      <c r="DI1152" s="25">
        <v>13.65</v>
      </c>
      <c r="DJ1152" s="24">
        <v>88</v>
      </c>
      <c r="DK1152" s="25">
        <v>17.850000000000001</v>
      </c>
      <c r="DL1152" s="24">
        <v>91</v>
      </c>
      <c r="DM1152" s="25" t="s">
        <v>138</v>
      </c>
      <c r="DN1152" s="24" t="s">
        <v>138</v>
      </c>
      <c r="DO1152" s="25">
        <v>13.65</v>
      </c>
      <c r="DP1152" s="24">
        <v>90</v>
      </c>
      <c r="DQ1152" s="24">
        <v>6061</v>
      </c>
      <c r="DR1152" s="26">
        <v>184</v>
      </c>
      <c r="DS1152" s="23">
        <v>3.13</v>
      </c>
      <c r="DT1152" s="24" t="s">
        <v>138</v>
      </c>
      <c r="DU1152" s="26" t="s">
        <v>138</v>
      </c>
      <c r="DV1152" s="23" t="s">
        <v>138</v>
      </c>
      <c r="DW1152" s="24">
        <v>4883</v>
      </c>
      <c r="DX1152" s="27">
        <v>11</v>
      </c>
      <c r="DY1152" s="23">
        <v>0.23</v>
      </c>
      <c r="DZ1152" s="15" t="s">
        <v>178</v>
      </c>
      <c r="EA1152" s="22">
        <v>43496</v>
      </c>
      <c r="EB1152" s="17">
        <v>109.09</v>
      </c>
      <c r="EC1152" s="22">
        <v>43460</v>
      </c>
      <c r="ED1152" s="15" t="s">
        <v>173</v>
      </c>
      <c r="EE1152" s="14" t="str">
        <f>HYPERLINK("https://my.pitchbook.com?c=51390-91", "View company online")</f>
        <v>View company online</v>
      </c>
    </row>
    <row r="1153" spans="1:135">
      <c r="A1153" s="28" t="s">
        <v>22432</v>
      </c>
      <c r="B1153" s="28" t="s">
        <v>22433</v>
      </c>
      <c r="C1153" s="28" t="s">
        <v>138</v>
      </c>
      <c r="D1153" s="28" t="s">
        <v>138</v>
      </c>
      <c r="E1153" s="28" t="s">
        <v>22434</v>
      </c>
      <c r="F1153" s="28" t="s">
        <v>22432</v>
      </c>
      <c r="G1153" s="28" t="s">
        <v>22435</v>
      </c>
      <c r="H1153" s="28" t="s">
        <v>322</v>
      </c>
      <c r="I1153" s="28" t="s">
        <v>323</v>
      </c>
      <c r="J1153" s="28" t="s">
        <v>324</v>
      </c>
      <c r="K1153" s="28" t="s">
        <v>2464</v>
      </c>
      <c r="L1153" s="28" t="s">
        <v>855</v>
      </c>
      <c r="M1153" s="28" t="s">
        <v>22436</v>
      </c>
      <c r="N1153" s="28" t="s">
        <v>147</v>
      </c>
      <c r="O1153" s="29">
        <v>49.13</v>
      </c>
      <c r="P1153" s="28" t="s">
        <v>148</v>
      </c>
      <c r="Q1153" s="28" t="s">
        <v>149</v>
      </c>
      <c r="R1153" s="28" t="s">
        <v>174</v>
      </c>
      <c r="S1153" s="28" t="s">
        <v>22437</v>
      </c>
      <c r="T1153" s="30">
        <v>20</v>
      </c>
      <c r="U1153" s="28" t="s">
        <v>14206</v>
      </c>
      <c r="V1153" s="28" t="s">
        <v>138</v>
      </c>
      <c r="W1153" s="28" t="s">
        <v>138</v>
      </c>
      <c r="X1153" s="31">
        <v>2017</v>
      </c>
      <c r="Y1153" s="28" t="s">
        <v>138</v>
      </c>
      <c r="Z1153" s="28" t="s">
        <v>138</v>
      </c>
      <c r="AA1153" s="28" t="s">
        <v>138</v>
      </c>
      <c r="AB1153" s="32" t="s">
        <v>138</v>
      </c>
      <c r="AC1153" s="32" t="s">
        <v>138</v>
      </c>
      <c r="AD1153" s="32" t="s">
        <v>138</v>
      </c>
      <c r="AE1153" s="32" t="s">
        <v>138</v>
      </c>
      <c r="AF1153" s="32" t="s">
        <v>138</v>
      </c>
      <c r="AG1153" s="28" t="s">
        <v>138</v>
      </c>
      <c r="AH1153" s="32" t="s">
        <v>138</v>
      </c>
      <c r="AI1153" s="32" t="s">
        <v>138</v>
      </c>
      <c r="AJ1153" s="32" t="s">
        <v>138</v>
      </c>
      <c r="AK1153" s="28" t="s">
        <v>22438</v>
      </c>
      <c r="AL1153" s="28" t="s">
        <v>22439</v>
      </c>
      <c r="AM1153" s="28" t="s">
        <v>986</v>
      </c>
      <c r="AN1153" s="28" t="s">
        <v>22440</v>
      </c>
      <c r="AO1153" s="28" t="s">
        <v>138</v>
      </c>
      <c r="AP1153" s="28" t="s">
        <v>3905</v>
      </c>
      <c r="AQ1153" s="28" t="s">
        <v>138</v>
      </c>
      <c r="AR1153" s="28" t="s">
        <v>138</v>
      </c>
      <c r="AS1153" s="28" t="s">
        <v>3907</v>
      </c>
      <c r="AT1153" s="28" t="s">
        <v>2740</v>
      </c>
      <c r="AU1153" s="28" t="s">
        <v>138</v>
      </c>
      <c r="AV1153" s="28" t="s">
        <v>2742</v>
      </c>
      <c r="AW1153" s="28" t="s">
        <v>138</v>
      </c>
      <c r="AX1153" s="28" t="s">
        <v>138</v>
      </c>
      <c r="AY1153" s="28" t="s">
        <v>22441</v>
      </c>
      <c r="AZ1153" s="28" t="s">
        <v>164</v>
      </c>
      <c r="BA1153" s="28" t="s">
        <v>165</v>
      </c>
      <c r="BB1153" s="28" t="s">
        <v>22442</v>
      </c>
      <c r="BC1153" s="28" t="s">
        <v>22443</v>
      </c>
      <c r="BD1153" s="33">
        <v>4</v>
      </c>
      <c r="BE1153" s="28" t="s">
        <v>138</v>
      </c>
      <c r="BF1153" s="28" t="s">
        <v>138</v>
      </c>
      <c r="BG1153" s="28" t="s">
        <v>138</v>
      </c>
      <c r="BH1153" s="28" t="s">
        <v>22444</v>
      </c>
      <c r="BI1153" s="28" t="s">
        <v>138</v>
      </c>
      <c r="BJ1153" s="28" t="s">
        <v>138</v>
      </c>
      <c r="BK1153" s="28" t="s">
        <v>22445</v>
      </c>
      <c r="BL1153" s="28" t="s">
        <v>22446</v>
      </c>
      <c r="BM1153" s="34">
        <v>42772</v>
      </c>
      <c r="BN1153" s="29">
        <v>5</v>
      </c>
      <c r="BO1153" s="28" t="s">
        <v>172</v>
      </c>
      <c r="BP1153" s="29" t="s">
        <v>138</v>
      </c>
      <c r="BQ1153" s="28" t="s">
        <v>138</v>
      </c>
      <c r="BR1153" s="28" t="s">
        <v>234</v>
      </c>
      <c r="BS1153" s="28" t="s">
        <v>234</v>
      </c>
      <c r="BT1153" s="28" t="s">
        <v>138</v>
      </c>
      <c r="BU1153" s="28" t="s">
        <v>174</v>
      </c>
      <c r="BV1153" s="28" t="s">
        <v>138</v>
      </c>
      <c r="BW1153" s="28" t="s">
        <v>138</v>
      </c>
      <c r="BX1153" s="28" t="s">
        <v>138</v>
      </c>
      <c r="BY1153" s="28" t="s">
        <v>175</v>
      </c>
      <c r="BZ1153" s="34">
        <v>43496</v>
      </c>
      <c r="CA1153" s="29" t="s">
        <v>138</v>
      </c>
      <c r="CB1153" s="28" t="s">
        <v>138</v>
      </c>
      <c r="CC1153" s="29" t="s">
        <v>138</v>
      </c>
      <c r="CD1153" s="28" t="s">
        <v>138</v>
      </c>
      <c r="CE1153" s="28" t="s">
        <v>205</v>
      </c>
      <c r="CF1153" s="28" t="s">
        <v>138</v>
      </c>
      <c r="CG1153" s="28" t="s">
        <v>138</v>
      </c>
      <c r="CH1153" s="28" t="s">
        <v>174</v>
      </c>
      <c r="CI1153" s="28" t="s">
        <v>138</v>
      </c>
      <c r="CJ1153" s="28" t="s">
        <v>138</v>
      </c>
      <c r="CK1153" s="28" t="s">
        <v>138</v>
      </c>
      <c r="CL1153" s="28" t="s">
        <v>175</v>
      </c>
      <c r="CM1153" s="34" t="s">
        <v>138</v>
      </c>
      <c r="CN1153" s="29" t="s">
        <v>138</v>
      </c>
      <c r="CO1153" s="35">
        <v>-0.23</v>
      </c>
      <c r="CP1153" s="36">
        <v>19</v>
      </c>
      <c r="CQ1153" s="35">
        <v>-0.03</v>
      </c>
      <c r="CR1153" s="35">
        <v>-16.760000000000002</v>
      </c>
      <c r="CS1153" s="35">
        <v>-0.86</v>
      </c>
      <c r="CT1153" s="36">
        <v>16</v>
      </c>
      <c r="CU1153" s="35">
        <v>0.4</v>
      </c>
      <c r="CV1153" s="36">
        <v>91</v>
      </c>
      <c r="CW1153" s="35">
        <v>0</v>
      </c>
      <c r="CX1153" s="36">
        <v>13</v>
      </c>
      <c r="CY1153" s="35">
        <v>-1.73</v>
      </c>
      <c r="CZ1153" s="36">
        <v>13</v>
      </c>
      <c r="DA1153" s="35">
        <v>0.4</v>
      </c>
      <c r="DB1153" s="36">
        <v>92</v>
      </c>
      <c r="DC1153" s="37">
        <v>4.83</v>
      </c>
      <c r="DD1153" s="36">
        <v>82</v>
      </c>
      <c r="DE1153" s="37">
        <v>-0.02</v>
      </c>
      <c r="DF1153" s="35">
        <v>-0.33</v>
      </c>
      <c r="DG1153" s="37">
        <v>4.1100000000000003</v>
      </c>
      <c r="DH1153" s="36">
        <v>80</v>
      </c>
      <c r="DI1153" s="37">
        <v>5.54</v>
      </c>
      <c r="DJ1153" s="36">
        <v>79</v>
      </c>
      <c r="DK1153" s="37">
        <v>1.36</v>
      </c>
      <c r="DL1153" s="36">
        <v>57</v>
      </c>
      <c r="DM1153" s="37">
        <v>6.86</v>
      </c>
      <c r="DN1153" s="36">
        <v>85</v>
      </c>
      <c r="DO1153" s="37">
        <v>5.54</v>
      </c>
      <c r="DP1153" s="36">
        <v>81</v>
      </c>
      <c r="DQ1153" s="36">
        <v>500</v>
      </c>
      <c r="DR1153" s="38">
        <v>-102</v>
      </c>
      <c r="DS1153" s="35">
        <v>-16.940000000000001</v>
      </c>
      <c r="DT1153" s="36">
        <v>199</v>
      </c>
      <c r="DU1153" s="38">
        <v>-1</v>
      </c>
      <c r="DV1153" s="35">
        <v>-0.5</v>
      </c>
      <c r="DW1153" s="36">
        <v>1981</v>
      </c>
      <c r="DX1153" s="39">
        <v>8</v>
      </c>
      <c r="DY1153" s="35">
        <v>0.41</v>
      </c>
      <c r="DZ1153" s="28" t="s">
        <v>178</v>
      </c>
      <c r="EA1153" s="34">
        <v>43528</v>
      </c>
      <c r="EB1153" s="29">
        <v>100</v>
      </c>
      <c r="EC1153" s="34">
        <v>43356</v>
      </c>
      <c r="ED1153" s="28" t="s">
        <v>205</v>
      </c>
      <c r="EE1153" s="40" t="str">
        <f>HYPERLINK("https://my.pitchbook.com?c=170435-80", "View company online")</f>
        <v>View company online</v>
      </c>
    </row>
    <row r="1154" spans="1:135">
      <c r="A1154" s="15" t="s">
        <v>22447</v>
      </c>
      <c r="B1154" s="15" t="s">
        <v>22448</v>
      </c>
      <c r="C1154" s="15" t="s">
        <v>138</v>
      </c>
      <c r="D1154" s="15" t="s">
        <v>138</v>
      </c>
      <c r="E1154" s="15" t="s">
        <v>138</v>
      </c>
      <c r="F1154" s="15" t="s">
        <v>22447</v>
      </c>
      <c r="G1154" s="15" t="s">
        <v>22449</v>
      </c>
      <c r="H1154" s="15" t="s">
        <v>322</v>
      </c>
      <c r="I1154" s="15" t="s">
        <v>323</v>
      </c>
      <c r="J1154" s="15" t="s">
        <v>1132</v>
      </c>
      <c r="K1154" s="15" t="s">
        <v>22450</v>
      </c>
      <c r="L1154" s="15" t="s">
        <v>5101</v>
      </c>
      <c r="M1154" s="15" t="s">
        <v>22451</v>
      </c>
      <c r="N1154" s="15" t="s">
        <v>147</v>
      </c>
      <c r="O1154" s="17">
        <v>1.82</v>
      </c>
      <c r="P1154" s="15" t="s">
        <v>148</v>
      </c>
      <c r="Q1154" s="15" t="s">
        <v>149</v>
      </c>
      <c r="R1154" s="15" t="s">
        <v>174</v>
      </c>
      <c r="S1154" s="15" t="s">
        <v>22452</v>
      </c>
      <c r="T1154" s="18">
        <v>6</v>
      </c>
      <c r="U1154" s="15" t="s">
        <v>6114</v>
      </c>
      <c r="V1154" s="15" t="s">
        <v>138</v>
      </c>
      <c r="W1154" s="15" t="s">
        <v>138</v>
      </c>
      <c r="X1154" s="19">
        <v>2014</v>
      </c>
      <c r="Y1154" s="15" t="s">
        <v>138</v>
      </c>
      <c r="Z1154" s="15" t="s">
        <v>138</v>
      </c>
      <c r="AA1154" s="15" t="s">
        <v>138</v>
      </c>
      <c r="AB1154" s="20">
        <v>0.2</v>
      </c>
      <c r="AC1154" s="20" t="s">
        <v>138</v>
      </c>
      <c r="AD1154" s="20" t="s">
        <v>138</v>
      </c>
      <c r="AE1154" s="20" t="s">
        <v>138</v>
      </c>
      <c r="AF1154" s="20" t="s">
        <v>138</v>
      </c>
      <c r="AG1154" s="15" t="s">
        <v>514</v>
      </c>
      <c r="AH1154" s="20" t="s">
        <v>138</v>
      </c>
      <c r="AI1154" s="20" t="s">
        <v>138</v>
      </c>
      <c r="AJ1154" s="20" t="s">
        <v>138</v>
      </c>
      <c r="AK1154" s="15" t="s">
        <v>22453</v>
      </c>
      <c r="AL1154" s="15" t="s">
        <v>22454</v>
      </c>
      <c r="AM1154" s="15" t="s">
        <v>422</v>
      </c>
      <c r="AN1154" s="15" t="s">
        <v>22455</v>
      </c>
      <c r="AO1154" s="15" t="s">
        <v>22456</v>
      </c>
      <c r="AP1154" s="15" t="s">
        <v>964</v>
      </c>
      <c r="AQ1154" s="15" t="s">
        <v>22457</v>
      </c>
      <c r="AR1154" s="15" t="s">
        <v>22458</v>
      </c>
      <c r="AS1154" s="15" t="s">
        <v>966</v>
      </c>
      <c r="AT1154" s="15" t="s">
        <v>200</v>
      </c>
      <c r="AU1154" s="15" t="s">
        <v>4792</v>
      </c>
      <c r="AV1154" s="15" t="s">
        <v>162</v>
      </c>
      <c r="AW1154" s="15" t="s">
        <v>22456</v>
      </c>
      <c r="AX1154" s="15" t="s">
        <v>138</v>
      </c>
      <c r="AY1154" s="15" t="s">
        <v>22459</v>
      </c>
      <c r="AZ1154" s="15" t="s">
        <v>164</v>
      </c>
      <c r="BA1154" s="15" t="s">
        <v>165</v>
      </c>
      <c r="BB1154" s="15" t="s">
        <v>22460</v>
      </c>
      <c r="BC1154" s="15" t="s">
        <v>22461</v>
      </c>
      <c r="BD1154" s="21">
        <v>13</v>
      </c>
      <c r="BE1154" s="15" t="s">
        <v>138</v>
      </c>
      <c r="BF1154" s="15" t="s">
        <v>138</v>
      </c>
      <c r="BG1154" s="15" t="s">
        <v>138</v>
      </c>
      <c r="BH1154" s="15" t="s">
        <v>22462</v>
      </c>
      <c r="BI1154" s="15" t="s">
        <v>138</v>
      </c>
      <c r="BJ1154" s="15" t="s">
        <v>138</v>
      </c>
      <c r="BK1154" s="15" t="s">
        <v>22463</v>
      </c>
      <c r="BL1154" s="15" t="s">
        <v>22464</v>
      </c>
      <c r="BM1154" s="22">
        <v>42087</v>
      </c>
      <c r="BN1154" s="17">
        <v>0.12</v>
      </c>
      <c r="BO1154" s="15" t="s">
        <v>172</v>
      </c>
      <c r="BP1154" s="17">
        <v>1.71</v>
      </c>
      <c r="BQ1154" s="15" t="s">
        <v>172</v>
      </c>
      <c r="BR1154" s="15" t="s">
        <v>316</v>
      </c>
      <c r="BS1154" s="15" t="s">
        <v>138</v>
      </c>
      <c r="BT1154" s="15" t="s">
        <v>138</v>
      </c>
      <c r="BU1154" s="15" t="s">
        <v>177</v>
      </c>
      <c r="BV1154" s="15" t="s">
        <v>138</v>
      </c>
      <c r="BW1154" s="15" t="s">
        <v>138</v>
      </c>
      <c r="BX1154" s="15" t="s">
        <v>138</v>
      </c>
      <c r="BY1154" s="15" t="s">
        <v>175</v>
      </c>
      <c r="BZ1154" s="22">
        <v>42600</v>
      </c>
      <c r="CA1154" s="17">
        <v>1.7</v>
      </c>
      <c r="CB1154" s="15" t="s">
        <v>172</v>
      </c>
      <c r="CC1154" s="17" t="s">
        <v>138</v>
      </c>
      <c r="CD1154" s="15" t="s">
        <v>138</v>
      </c>
      <c r="CE1154" s="15" t="s">
        <v>234</v>
      </c>
      <c r="CF1154" s="15" t="s">
        <v>234</v>
      </c>
      <c r="CG1154" s="15" t="s">
        <v>138</v>
      </c>
      <c r="CH1154" s="15" t="s">
        <v>174</v>
      </c>
      <c r="CI1154" s="15" t="s">
        <v>138</v>
      </c>
      <c r="CJ1154" s="15" t="s">
        <v>138</v>
      </c>
      <c r="CK1154" s="15" t="s">
        <v>138</v>
      </c>
      <c r="CL1154" s="15" t="s">
        <v>175</v>
      </c>
      <c r="CM1154" s="22" t="s">
        <v>138</v>
      </c>
      <c r="CN1154" s="17" t="s">
        <v>138</v>
      </c>
      <c r="CO1154" s="23">
        <v>-0.05</v>
      </c>
      <c r="CP1154" s="24">
        <v>22</v>
      </c>
      <c r="CQ1154" s="23">
        <v>0</v>
      </c>
      <c r="CR1154" s="23">
        <v>-0.14000000000000001</v>
      </c>
      <c r="CS1154" s="23">
        <v>0</v>
      </c>
      <c r="CT1154" s="24">
        <v>23</v>
      </c>
      <c r="CU1154" s="23">
        <v>-0.11</v>
      </c>
      <c r="CV1154" s="24">
        <v>3</v>
      </c>
      <c r="CW1154" s="23" t="s">
        <v>138</v>
      </c>
      <c r="CX1154" s="24" t="s">
        <v>138</v>
      </c>
      <c r="CY1154" s="23">
        <v>0</v>
      </c>
      <c r="CZ1154" s="24">
        <v>25</v>
      </c>
      <c r="DA1154" s="23">
        <v>-0.11</v>
      </c>
      <c r="DB1154" s="24">
        <v>5</v>
      </c>
      <c r="DC1154" s="25">
        <v>1.21</v>
      </c>
      <c r="DD1154" s="24">
        <v>56</v>
      </c>
      <c r="DE1154" s="25">
        <v>0.01</v>
      </c>
      <c r="DF1154" s="23">
        <v>0.56999999999999995</v>
      </c>
      <c r="DG1154" s="25">
        <v>0.45</v>
      </c>
      <c r="DH1154" s="24">
        <v>31</v>
      </c>
      <c r="DI1154" s="25">
        <v>1.97</v>
      </c>
      <c r="DJ1154" s="24">
        <v>62</v>
      </c>
      <c r="DK1154" s="25" t="s">
        <v>138</v>
      </c>
      <c r="DL1154" s="24" t="s">
        <v>138</v>
      </c>
      <c r="DM1154" s="25">
        <v>0.45</v>
      </c>
      <c r="DN1154" s="24">
        <v>31</v>
      </c>
      <c r="DO1154" s="25">
        <v>1.97</v>
      </c>
      <c r="DP1154" s="24">
        <v>63</v>
      </c>
      <c r="DQ1154" s="24">
        <v>231</v>
      </c>
      <c r="DR1154" s="26">
        <v>-11</v>
      </c>
      <c r="DS1154" s="23">
        <v>-4.55</v>
      </c>
      <c r="DT1154" s="24">
        <v>13</v>
      </c>
      <c r="DU1154" s="26">
        <v>0</v>
      </c>
      <c r="DV1154" s="23">
        <v>0</v>
      </c>
      <c r="DW1154" s="24">
        <v>705</v>
      </c>
      <c r="DX1154" s="27">
        <v>-1</v>
      </c>
      <c r="DY1154" s="23">
        <v>-0.14000000000000001</v>
      </c>
      <c r="DZ1154" s="15" t="s">
        <v>178</v>
      </c>
      <c r="EA1154" s="22">
        <v>43451</v>
      </c>
      <c r="EB1154" s="17">
        <v>1.71</v>
      </c>
      <c r="EC1154" s="22">
        <v>42087</v>
      </c>
      <c r="ED1154" s="15" t="s">
        <v>316</v>
      </c>
      <c r="EE1154" s="14" t="str">
        <f>HYPERLINK("https://my.pitchbook.com?c=110391-40", "View company online")</f>
        <v>View company online</v>
      </c>
    </row>
    <row r="1155" spans="1:135">
      <c r="A1155" s="28" t="s">
        <v>22465</v>
      </c>
      <c r="B1155" s="28" t="s">
        <v>22466</v>
      </c>
      <c r="C1155" s="28" t="s">
        <v>138</v>
      </c>
      <c r="D1155" s="28" t="s">
        <v>138</v>
      </c>
      <c r="E1155" s="28" t="s">
        <v>22467</v>
      </c>
      <c r="F1155" s="28" t="s">
        <v>22465</v>
      </c>
      <c r="G1155" s="28" t="s">
        <v>22468</v>
      </c>
      <c r="H1155" s="28" t="s">
        <v>238</v>
      </c>
      <c r="I1155" s="28" t="s">
        <v>785</v>
      </c>
      <c r="J1155" s="28" t="s">
        <v>786</v>
      </c>
      <c r="K1155" s="28" t="s">
        <v>12618</v>
      </c>
      <c r="L1155" s="28" t="s">
        <v>5505</v>
      </c>
      <c r="M1155" s="28" t="s">
        <v>22469</v>
      </c>
      <c r="N1155" s="28" t="s">
        <v>147</v>
      </c>
      <c r="O1155" s="29">
        <v>1945.02</v>
      </c>
      <c r="P1155" s="28" t="s">
        <v>148</v>
      </c>
      <c r="Q1155" s="28" t="s">
        <v>149</v>
      </c>
      <c r="R1155" s="28" t="s">
        <v>174</v>
      </c>
      <c r="S1155" s="28" t="s">
        <v>22470</v>
      </c>
      <c r="T1155" s="30">
        <v>1016</v>
      </c>
      <c r="U1155" s="28" t="s">
        <v>22471</v>
      </c>
      <c r="V1155" s="28" t="s">
        <v>138</v>
      </c>
      <c r="W1155" s="28" t="s">
        <v>138</v>
      </c>
      <c r="X1155" s="31">
        <v>2012</v>
      </c>
      <c r="Y1155" s="28" t="s">
        <v>138</v>
      </c>
      <c r="Z1155" s="28" t="s">
        <v>138</v>
      </c>
      <c r="AA1155" s="28" t="s">
        <v>138</v>
      </c>
      <c r="AB1155" s="32">
        <v>2844</v>
      </c>
      <c r="AC1155" s="32" t="s">
        <v>138</v>
      </c>
      <c r="AD1155" s="32" t="s">
        <v>138</v>
      </c>
      <c r="AE1155" s="32" t="s">
        <v>138</v>
      </c>
      <c r="AF1155" s="32" t="s">
        <v>138</v>
      </c>
      <c r="AG1155" s="28" t="s">
        <v>419</v>
      </c>
      <c r="AH1155" s="32" t="s">
        <v>138</v>
      </c>
      <c r="AI1155" s="32" t="s">
        <v>138</v>
      </c>
      <c r="AJ1155" s="32" t="s">
        <v>138</v>
      </c>
      <c r="AK1155" s="28" t="s">
        <v>22472</v>
      </c>
      <c r="AL1155" s="28" t="s">
        <v>22473</v>
      </c>
      <c r="AM1155" s="28" t="s">
        <v>1783</v>
      </c>
      <c r="AN1155" s="28" t="s">
        <v>22474</v>
      </c>
      <c r="AO1155" s="28" t="s">
        <v>22475</v>
      </c>
      <c r="AP1155" s="28" t="s">
        <v>665</v>
      </c>
      <c r="AQ1155" s="28" t="s">
        <v>17175</v>
      </c>
      <c r="AR1155" s="28" t="s">
        <v>226</v>
      </c>
      <c r="AS1155" s="28" t="s">
        <v>668</v>
      </c>
      <c r="AT1155" s="28" t="s">
        <v>200</v>
      </c>
      <c r="AU1155" s="28" t="s">
        <v>669</v>
      </c>
      <c r="AV1155" s="28" t="s">
        <v>162</v>
      </c>
      <c r="AW1155" s="28" t="s">
        <v>22475</v>
      </c>
      <c r="AX1155" s="28" t="s">
        <v>138</v>
      </c>
      <c r="AY1155" s="28" t="s">
        <v>22476</v>
      </c>
      <c r="AZ1155" s="28" t="s">
        <v>164</v>
      </c>
      <c r="BA1155" s="28" t="s">
        <v>165</v>
      </c>
      <c r="BB1155" s="28" t="s">
        <v>22477</v>
      </c>
      <c r="BC1155" s="28" t="s">
        <v>22478</v>
      </c>
      <c r="BD1155" s="33">
        <v>42</v>
      </c>
      <c r="BE1155" s="28" t="s">
        <v>138</v>
      </c>
      <c r="BF1155" s="28" t="s">
        <v>138</v>
      </c>
      <c r="BG1155" s="28" t="s">
        <v>138</v>
      </c>
      <c r="BH1155" s="28" t="s">
        <v>22479</v>
      </c>
      <c r="BI1155" s="28" t="s">
        <v>138</v>
      </c>
      <c r="BJ1155" s="28" t="s">
        <v>138</v>
      </c>
      <c r="BK1155" s="28" t="s">
        <v>22480</v>
      </c>
      <c r="BL1155" s="28" t="s">
        <v>17878</v>
      </c>
      <c r="BM1155" s="34">
        <v>41061</v>
      </c>
      <c r="BN1155" s="29" t="s">
        <v>138</v>
      </c>
      <c r="BO1155" s="28" t="s">
        <v>138</v>
      </c>
      <c r="BP1155" s="29" t="s">
        <v>138</v>
      </c>
      <c r="BQ1155" s="28" t="s">
        <v>138</v>
      </c>
      <c r="BR1155" s="28" t="s">
        <v>316</v>
      </c>
      <c r="BS1155" s="28" t="s">
        <v>138</v>
      </c>
      <c r="BT1155" s="28" t="s">
        <v>138</v>
      </c>
      <c r="BU1155" s="28" t="s">
        <v>177</v>
      </c>
      <c r="BV1155" s="28" t="s">
        <v>138</v>
      </c>
      <c r="BW1155" s="28" t="s">
        <v>138</v>
      </c>
      <c r="BX1155" s="28" t="s">
        <v>138</v>
      </c>
      <c r="BY1155" s="28" t="s">
        <v>175</v>
      </c>
      <c r="BZ1155" s="34">
        <v>43447</v>
      </c>
      <c r="CA1155" s="29">
        <v>871</v>
      </c>
      <c r="CB1155" s="28" t="s">
        <v>172</v>
      </c>
      <c r="CC1155" s="29">
        <v>7871</v>
      </c>
      <c r="CD1155" s="28" t="s">
        <v>172</v>
      </c>
      <c r="CE1155" s="28" t="s">
        <v>173</v>
      </c>
      <c r="CF1155" s="28" t="s">
        <v>408</v>
      </c>
      <c r="CG1155" s="28" t="s">
        <v>138</v>
      </c>
      <c r="CH1155" s="28" t="s">
        <v>174</v>
      </c>
      <c r="CI1155" s="28" t="s">
        <v>138</v>
      </c>
      <c r="CJ1155" s="28" t="s">
        <v>138</v>
      </c>
      <c r="CK1155" s="28" t="s">
        <v>138</v>
      </c>
      <c r="CL1155" s="28" t="s">
        <v>175</v>
      </c>
      <c r="CM1155" s="34" t="s">
        <v>138</v>
      </c>
      <c r="CN1155" s="29" t="s">
        <v>138</v>
      </c>
      <c r="CO1155" s="35">
        <v>0.89</v>
      </c>
      <c r="CP1155" s="36">
        <v>97</v>
      </c>
      <c r="CQ1155" s="35">
        <v>0.01</v>
      </c>
      <c r="CR1155" s="35">
        <v>0.83</v>
      </c>
      <c r="CS1155" s="35">
        <v>0.15</v>
      </c>
      <c r="CT1155" s="36">
        <v>94</v>
      </c>
      <c r="CU1155" s="35">
        <v>0.28999999999999998</v>
      </c>
      <c r="CV1155" s="36">
        <v>87</v>
      </c>
      <c r="CW1155" s="35">
        <v>0.67</v>
      </c>
      <c r="CX1155" s="36">
        <v>83</v>
      </c>
      <c r="CY1155" s="35">
        <v>-0.37</v>
      </c>
      <c r="CZ1155" s="36">
        <v>23</v>
      </c>
      <c r="DA1155" s="35">
        <v>0.28999999999999998</v>
      </c>
      <c r="DB1155" s="36">
        <v>88</v>
      </c>
      <c r="DC1155" s="37">
        <v>1478.17</v>
      </c>
      <c r="DD1155" s="36">
        <v>100</v>
      </c>
      <c r="DE1155" s="37">
        <v>-51.68</v>
      </c>
      <c r="DF1155" s="35">
        <v>-3.38</v>
      </c>
      <c r="DG1155" s="37">
        <v>2853.56</v>
      </c>
      <c r="DH1155" s="36">
        <v>100</v>
      </c>
      <c r="DI1155" s="37">
        <v>83.02</v>
      </c>
      <c r="DJ1155" s="36">
        <v>97</v>
      </c>
      <c r="DK1155" s="37">
        <v>5412.58</v>
      </c>
      <c r="DL1155" s="36">
        <v>100</v>
      </c>
      <c r="DM1155" s="37">
        <v>294.55</v>
      </c>
      <c r="DN1155" s="36">
        <v>100</v>
      </c>
      <c r="DO1155" s="37">
        <v>83.02</v>
      </c>
      <c r="DP1155" s="36">
        <v>98</v>
      </c>
      <c r="DQ1155" s="36">
        <v>1852911</v>
      </c>
      <c r="DR1155" s="38">
        <v>10809</v>
      </c>
      <c r="DS1155" s="35">
        <v>0.59</v>
      </c>
      <c r="DT1155" s="36">
        <v>8494</v>
      </c>
      <c r="DU1155" s="38">
        <v>100</v>
      </c>
      <c r="DV1155" s="35">
        <v>1.19</v>
      </c>
      <c r="DW1155" s="36">
        <v>29668</v>
      </c>
      <c r="DX1155" s="39">
        <v>111</v>
      </c>
      <c r="DY1155" s="35">
        <v>0.38</v>
      </c>
      <c r="DZ1155" s="28" t="s">
        <v>178</v>
      </c>
      <c r="EA1155" s="34">
        <v>43586</v>
      </c>
      <c r="EB1155" s="29">
        <v>7871</v>
      </c>
      <c r="EC1155" s="34">
        <v>43447</v>
      </c>
      <c r="ED1155" s="28" t="s">
        <v>173</v>
      </c>
      <c r="EE1155" s="40" t="str">
        <f>HYPERLINK("https://my.pitchbook.com?c=55446-58", "View company online")</f>
        <v>View company online</v>
      </c>
    </row>
    <row r="1156" spans="1:135">
      <c r="A1156" s="15" t="s">
        <v>22481</v>
      </c>
      <c r="B1156" s="15" t="s">
        <v>22482</v>
      </c>
      <c r="C1156" s="15" t="s">
        <v>22483</v>
      </c>
      <c r="D1156" s="15" t="s">
        <v>138</v>
      </c>
      <c r="E1156" s="15" t="s">
        <v>22484</v>
      </c>
      <c r="F1156" s="15" t="s">
        <v>22481</v>
      </c>
      <c r="G1156" s="15" t="s">
        <v>22485</v>
      </c>
      <c r="H1156" s="15" t="s">
        <v>322</v>
      </c>
      <c r="I1156" s="15" t="s">
        <v>323</v>
      </c>
      <c r="J1156" s="15" t="s">
        <v>324</v>
      </c>
      <c r="K1156" s="15" t="s">
        <v>1543</v>
      </c>
      <c r="L1156" s="15" t="s">
        <v>1544</v>
      </c>
      <c r="M1156" s="15" t="s">
        <v>22486</v>
      </c>
      <c r="N1156" s="15" t="s">
        <v>147</v>
      </c>
      <c r="O1156" s="17">
        <v>50</v>
      </c>
      <c r="P1156" s="15" t="s">
        <v>148</v>
      </c>
      <c r="Q1156" s="15" t="s">
        <v>149</v>
      </c>
      <c r="R1156" s="15" t="s">
        <v>174</v>
      </c>
      <c r="S1156" s="15" t="s">
        <v>22487</v>
      </c>
      <c r="T1156" s="18">
        <v>113</v>
      </c>
      <c r="U1156" s="15" t="s">
        <v>22488</v>
      </c>
      <c r="V1156" s="15" t="s">
        <v>138</v>
      </c>
      <c r="W1156" s="15" t="s">
        <v>138</v>
      </c>
      <c r="X1156" s="19">
        <v>2010</v>
      </c>
      <c r="Y1156" s="15" t="s">
        <v>138</v>
      </c>
      <c r="Z1156" s="15" t="s">
        <v>138</v>
      </c>
      <c r="AA1156" s="15" t="s">
        <v>138</v>
      </c>
      <c r="AB1156" s="20" t="s">
        <v>138</v>
      </c>
      <c r="AC1156" s="20" t="s">
        <v>138</v>
      </c>
      <c r="AD1156" s="20" t="s">
        <v>138</v>
      </c>
      <c r="AE1156" s="20" t="s">
        <v>138</v>
      </c>
      <c r="AF1156" s="20" t="s">
        <v>138</v>
      </c>
      <c r="AG1156" s="15" t="s">
        <v>138</v>
      </c>
      <c r="AH1156" s="20" t="s">
        <v>138</v>
      </c>
      <c r="AI1156" s="20" t="s">
        <v>138</v>
      </c>
      <c r="AJ1156" s="20" t="s">
        <v>138</v>
      </c>
      <c r="AK1156" s="15" t="s">
        <v>22489</v>
      </c>
      <c r="AL1156" s="15" t="s">
        <v>22490</v>
      </c>
      <c r="AM1156" s="15" t="s">
        <v>221</v>
      </c>
      <c r="AN1156" s="15" t="s">
        <v>22491</v>
      </c>
      <c r="AO1156" s="15" t="s">
        <v>22492</v>
      </c>
      <c r="AP1156" s="15" t="s">
        <v>1292</v>
      </c>
      <c r="AQ1156" s="15" t="s">
        <v>22493</v>
      </c>
      <c r="AR1156" s="15" t="s">
        <v>3084</v>
      </c>
      <c r="AS1156" s="15" t="s">
        <v>1294</v>
      </c>
      <c r="AT1156" s="15" t="s">
        <v>864</v>
      </c>
      <c r="AU1156" s="15" t="s">
        <v>22494</v>
      </c>
      <c r="AV1156" s="15" t="s">
        <v>162</v>
      </c>
      <c r="AW1156" s="15" t="s">
        <v>22492</v>
      </c>
      <c r="AX1156" s="15" t="s">
        <v>138</v>
      </c>
      <c r="AY1156" s="15" t="s">
        <v>22495</v>
      </c>
      <c r="AZ1156" s="15" t="s">
        <v>164</v>
      </c>
      <c r="BA1156" s="15" t="s">
        <v>165</v>
      </c>
      <c r="BB1156" s="15" t="s">
        <v>22496</v>
      </c>
      <c r="BC1156" s="15" t="s">
        <v>22497</v>
      </c>
      <c r="BD1156" s="21">
        <v>14</v>
      </c>
      <c r="BE1156" s="15" t="s">
        <v>138</v>
      </c>
      <c r="BF1156" s="15" t="s">
        <v>138</v>
      </c>
      <c r="BG1156" s="15" t="s">
        <v>138</v>
      </c>
      <c r="BH1156" s="15" t="s">
        <v>22498</v>
      </c>
      <c r="BI1156" s="15" t="s">
        <v>138</v>
      </c>
      <c r="BJ1156" s="15" t="s">
        <v>138</v>
      </c>
      <c r="BK1156" s="15" t="s">
        <v>22499</v>
      </c>
      <c r="BL1156" s="15" t="s">
        <v>8844</v>
      </c>
      <c r="BM1156" s="22">
        <v>40577</v>
      </c>
      <c r="BN1156" s="17">
        <v>1</v>
      </c>
      <c r="BO1156" s="15" t="s">
        <v>172</v>
      </c>
      <c r="BP1156" s="17" t="s">
        <v>138</v>
      </c>
      <c r="BQ1156" s="15" t="s">
        <v>138</v>
      </c>
      <c r="BR1156" s="15" t="s">
        <v>234</v>
      </c>
      <c r="BS1156" s="15" t="s">
        <v>234</v>
      </c>
      <c r="BT1156" s="15" t="s">
        <v>138</v>
      </c>
      <c r="BU1156" s="15" t="s">
        <v>174</v>
      </c>
      <c r="BV1156" s="15" t="s">
        <v>138</v>
      </c>
      <c r="BW1156" s="15" t="s">
        <v>138</v>
      </c>
      <c r="BX1156" s="15" t="s">
        <v>138</v>
      </c>
      <c r="BY1156" s="15" t="s">
        <v>175</v>
      </c>
      <c r="BZ1156" s="22">
        <v>43236</v>
      </c>
      <c r="CA1156" s="17">
        <v>23</v>
      </c>
      <c r="CB1156" s="15" t="s">
        <v>172</v>
      </c>
      <c r="CC1156" s="17">
        <v>93</v>
      </c>
      <c r="CD1156" s="15" t="s">
        <v>172</v>
      </c>
      <c r="CE1156" s="15" t="s">
        <v>173</v>
      </c>
      <c r="CF1156" s="15" t="s">
        <v>433</v>
      </c>
      <c r="CG1156" s="15" t="s">
        <v>138</v>
      </c>
      <c r="CH1156" s="15" t="s">
        <v>174</v>
      </c>
      <c r="CI1156" s="15" t="s">
        <v>138</v>
      </c>
      <c r="CJ1156" s="15" t="s">
        <v>138</v>
      </c>
      <c r="CK1156" s="15" t="s">
        <v>138</v>
      </c>
      <c r="CL1156" s="15" t="s">
        <v>175</v>
      </c>
      <c r="CM1156" s="22" t="s">
        <v>138</v>
      </c>
      <c r="CN1156" s="17" t="s">
        <v>138</v>
      </c>
      <c r="CO1156" s="23">
        <v>-0.11</v>
      </c>
      <c r="CP1156" s="24">
        <v>21</v>
      </c>
      <c r="CQ1156" s="23">
        <v>0</v>
      </c>
      <c r="CR1156" s="23">
        <v>-4.12</v>
      </c>
      <c r="CS1156" s="23">
        <v>-0.32</v>
      </c>
      <c r="CT1156" s="24">
        <v>21</v>
      </c>
      <c r="CU1156" s="23">
        <v>-0.01</v>
      </c>
      <c r="CV1156" s="24">
        <v>20</v>
      </c>
      <c r="CW1156" s="23">
        <v>1.4</v>
      </c>
      <c r="CX1156" s="24">
        <v>86</v>
      </c>
      <c r="CY1156" s="23">
        <v>-2.0299999999999998</v>
      </c>
      <c r="CZ1156" s="24">
        <v>11</v>
      </c>
      <c r="DA1156" s="23">
        <v>-0.01</v>
      </c>
      <c r="DB1156" s="24">
        <v>21</v>
      </c>
      <c r="DC1156" s="25">
        <v>34.520000000000003</v>
      </c>
      <c r="DD1156" s="24">
        <v>97</v>
      </c>
      <c r="DE1156" s="25">
        <v>-1.73</v>
      </c>
      <c r="DF1156" s="23">
        <v>-4.78</v>
      </c>
      <c r="DG1156" s="25">
        <v>85.79</v>
      </c>
      <c r="DH1156" s="24">
        <v>99</v>
      </c>
      <c r="DI1156" s="25">
        <v>16.57</v>
      </c>
      <c r="DJ1156" s="24">
        <v>89</v>
      </c>
      <c r="DK1156" s="25">
        <v>80.55</v>
      </c>
      <c r="DL1156" s="24">
        <v>97</v>
      </c>
      <c r="DM1156" s="25">
        <v>91.03</v>
      </c>
      <c r="DN1156" s="24">
        <v>99</v>
      </c>
      <c r="DO1156" s="25">
        <v>23.78</v>
      </c>
      <c r="DP1156" s="24">
        <v>93</v>
      </c>
      <c r="DQ1156" s="24">
        <v>27197</v>
      </c>
      <c r="DR1156" s="26">
        <v>1292</v>
      </c>
      <c r="DS1156" s="23">
        <v>4.99</v>
      </c>
      <c r="DT1156" s="24">
        <v>2644</v>
      </c>
      <c r="DU1156" s="26">
        <v>-6</v>
      </c>
      <c r="DV1156" s="23">
        <v>-0.23</v>
      </c>
      <c r="DW1156" s="24">
        <v>8511</v>
      </c>
      <c r="DX1156" s="27">
        <v>4</v>
      </c>
      <c r="DY1156" s="23">
        <v>0.05</v>
      </c>
      <c r="DZ1156" s="15" t="s">
        <v>178</v>
      </c>
      <c r="EA1156" s="22">
        <v>43622</v>
      </c>
      <c r="EB1156" s="17">
        <v>93</v>
      </c>
      <c r="EC1156" s="22">
        <v>43236</v>
      </c>
      <c r="ED1156" s="15" t="s">
        <v>173</v>
      </c>
      <c r="EE1156" s="14" t="str">
        <f>HYPERLINK("https://my.pitchbook.com?c=54026-56", "View company online")</f>
        <v>View company online</v>
      </c>
    </row>
    <row r="1157" spans="1:135">
      <c r="A1157" s="28" t="s">
        <v>22500</v>
      </c>
      <c r="B1157" s="28" t="s">
        <v>22501</v>
      </c>
      <c r="C1157" s="28" t="s">
        <v>138</v>
      </c>
      <c r="D1157" s="28" t="s">
        <v>138</v>
      </c>
      <c r="E1157" s="28" t="s">
        <v>22502</v>
      </c>
      <c r="F1157" s="28" t="s">
        <v>22500</v>
      </c>
      <c r="G1157" s="28" t="s">
        <v>22503</v>
      </c>
      <c r="H1157" s="28" t="s">
        <v>322</v>
      </c>
      <c r="I1157" s="28" t="s">
        <v>323</v>
      </c>
      <c r="J1157" s="28" t="s">
        <v>324</v>
      </c>
      <c r="K1157" s="28" t="s">
        <v>1649</v>
      </c>
      <c r="L1157" s="28" t="s">
        <v>4433</v>
      </c>
      <c r="M1157" s="28" t="s">
        <v>22504</v>
      </c>
      <c r="N1157" s="28" t="s">
        <v>147</v>
      </c>
      <c r="O1157" s="29">
        <v>299.3</v>
      </c>
      <c r="P1157" s="28" t="s">
        <v>812</v>
      </c>
      <c r="Q1157" s="28" t="s">
        <v>149</v>
      </c>
      <c r="R1157" s="28" t="s">
        <v>174</v>
      </c>
      <c r="S1157" s="28" t="s">
        <v>22505</v>
      </c>
      <c r="T1157" s="30">
        <v>500</v>
      </c>
      <c r="U1157" s="28" t="s">
        <v>22506</v>
      </c>
      <c r="V1157" s="28" t="s">
        <v>138</v>
      </c>
      <c r="W1157" s="28" t="s">
        <v>138</v>
      </c>
      <c r="X1157" s="31">
        <v>2004</v>
      </c>
      <c r="Y1157" s="28" t="s">
        <v>138</v>
      </c>
      <c r="Z1157" s="28" t="s">
        <v>138</v>
      </c>
      <c r="AA1157" s="28" t="s">
        <v>138</v>
      </c>
      <c r="AB1157" s="32">
        <v>25.13</v>
      </c>
      <c r="AC1157" s="32" t="s">
        <v>138</v>
      </c>
      <c r="AD1157" s="32" t="s">
        <v>138</v>
      </c>
      <c r="AE1157" s="32" t="s">
        <v>138</v>
      </c>
      <c r="AF1157" s="32" t="s">
        <v>138</v>
      </c>
      <c r="AG1157" s="28" t="s">
        <v>633</v>
      </c>
      <c r="AH1157" s="32" t="s">
        <v>138</v>
      </c>
      <c r="AI1157" s="32" t="s">
        <v>138</v>
      </c>
      <c r="AJ1157" s="32" t="s">
        <v>138</v>
      </c>
      <c r="AK1157" s="28" t="s">
        <v>22507</v>
      </c>
      <c r="AL1157" s="28" t="s">
        <v>22508</v>
      </c>
      <c r="AM1157" s="28" t="s">
        <v>249</v>
      </c>
      <c r="AN1157" s="28" t="s">
        <v>22509</v>
      </c>
      <c r="AO1157" s="28" t="s">
        <v>22510</v>
      </c>
      <c r="AP1157" s="28" t="s">
        <v>22511</v>
      </c>
      <c r="AQ1157" s="28" t="s">
        <v>22512</v>
      </c>
      <c r="AR1157" s="28" t="s">
        <v>1459</v>
      </c>
      <c r="AS1157" s="28" t="s">
        <v>22513</v>
      </c>
      <c r="AT1157" s="28" t="s">
        <v>3883</v>
      </c>
      <c r="AU1157" s="28" t="s">
        <v>22514</v>
      </c>
      <c r="AV1157" s="28" t="s">
        <v>162</v>
      </c>
      <c r="AW1157" s="28" t="s">
        <v>22510</v>
      </c>
      <c r="AX1157" s="28" t="s">
        <v>138</v>
      </c>
      <c r="AY1157" s="28" t="s">
        <v>138</v>
      </c>
      <c r="AZ1157" s="28" t="s">
        <v>164</v>
      </c>
      <c r="BA1157" s="28" t="s">
        <v>165</v>
      </c>
      <c r="BB1157" s="28" t="s">
        <v>22515</v>
      </c>
      <c r="BC1157" s="28" t="s">
        <v>22516</v>
      </c>
      <c r="BD1157" s="33">
        <v>14</v>
      </c>
      <c r="BE1157" s="28" t="s">
        <v>138</v>
      </c>
      <c r="BF1157" s="28" t="s">
        <v>138</v>
      </c>
      <c r="BG1157" s="28" t="s">
        <v>138</v>
      </c>
      <c r="BH1157" s="28" t="s">
        <v>22517</v>
      </c>
      <c r="BI1157" s="28" t="s">
        <v>138</v>
      </c>
      <c r="BJ1157" s="28" t="s">
        <v>138</v>
      </c>
      <c r="BK1157" s="28" t="s">
        <v>17878</v>
      </c>
      <c r="BL1157" s="28" t="s">
        <v>17878</v>
      </c>
      <c r="BM1157" s="34">
        <v>37987</v>
      </c>
      <c r="BN1157" s="29">
        <v>0.01</v>
      </c>
      <c r="BO1157" s="28" t="s">
        <v>172</v>
      </c>
      <c r="BP1157" s="29" t="s">
        <v>138</v>
      </c>
      <c r="BQ1157" s="28" t="s">
        <v>138</v>
      </c>
      <c r="BR1157" s="28" t="s">
        <v>5214</v>
      </c>
      <c r="BS1157" s="28" t="s">
        <v>138</v>
      </c>
      <c r="BT1157" s="28" t="s">
        <v>138</v>
      </c>
      <c r="BU1157" s="28" t="s">
        <v>263</v>
      </c>
      <c r="BV1157" s="28" t="s">
        <v>138</v>
      </c>
      <c r="BW1157" s="28" t="s">
        <v>138</v>
      </c>
      <c r="BX1157" s="28" t="s">
        <v>138</v>
      </c>
      <c r="BY1157" s="28" t="s">
        <v>175</v>
      </c>
      <c r="BZ1157" s="34">
        <v>43118</v>
      </c>
      <c r="CA1157" s="29">
        <v>35</v>
      </c>
      <c r="CB1157" s="28" t="s">
        <v>172</v>
      </c>
      <c r="CC1157" s="29">
        <v>1635</v>
      </c>
      <c r="CD1157" s="28" t="s">
        <v>172</v>
      </c>
      <c r="CE1157" s="28" t="s">
        <v>780</v>
      </c>
      <c r="CF1157" s="28" t="s">
        <v>408</v>
      </c>
      <c r="CG1157" s="28" t="s">
        <v>138</v>
      </c>
      <c r="CH1157" s="28" t="s">
        <v>780</v>
      </c>
      <c r="CI1157" s="28" t="s">
        <v>138</v>
      </c>
      <c r="CJ1157" s="28" t="s">
        <v>138</v>
      </c>
      <c r="CK1157" s="28" t="s">
        <v>138</v>
      </c>
      <c r="CL1157" s="28" t="s">
        <v>175</v>
      </c>
      <c r="CM1157" s="34" t="s">
        <v>138</v>
      </c>
      <c r="CN1157" s="29" t="s">
        <v>138</v>
      </c>
      <c r="CO1157" s="35">
        <v>-0.03</v>
      </c>
      <c r="CP1157" s="36">
        <v>23</v>
      </c>
      <c r="CQ1157" s="35">
        <v>-0.01</v>
      </c>
      <c r="CR1157" s="35">
        <v>-53.89</v>
      </c>
      <c r="CS1157" s="35">
        <v>-0.1</v>
      </c>
      <c r="CT1157" s="36">
        <v>22</v>
      </c>
      <c r="CU1157" s="35">
        <v>0.03</v>
      </c>
      <c r="CV1157" s="36">
        <v>54</v>
      </c>
      <c r="CW1157" s="35">
        <v>1.71</v>
      </c>
      <c r="CX1157" s="36">
        <v>87</v>
      </c>
      <c r="CY1157" s="35">
        <v>-1.91</v>
      </c>
      <c r="CZ1157" s="36">
        <v>12</v>
      </c>
      <c r="DA1157" s="35">
        <v>0.03</v>
      </c>
      <c r="DB1157" s="36">
        <v>60</v>
      </c>
      <c r="DC1157" s="37">
        <v>51.91</v>
      </c>
      <c r="DD1157" s="36">
        <v>98</v>
      </c>
      <c r="DE1157" s="37">
        <v>-0.74</v>
      </c>
      <c r="DF1157" s="35">
        <v>-1.4</v>
      </c>
      <c r="DG1157" s="37">
        <v>67</v>
      </c>
      <c r="DH1157" s="36">
        <v>99</v>
      </c>
      <c r="DI1157" s="37">
        <v>36.81</v>
      </c>
      <c r="DJ1157" s="36">
        <v>94</v>
      </c>
      <c r="DK1157" s="37">
        <v>27.52</v>
      </c>
      <c r="DL1157" s="36">
        <v>93</v>
      </c>
      <c r="DM1157" s="37">
        <v>106.48</v>
      </c>
      <c r="DN1157" s="36">
        <v>99</v>
      </c>
      <c r="DO1157" s="37">
        <v>67.849999999999994</v>
      </c>
      <c r="DP1157" s="36">
        <v>97</v>
      </c>
      <c r="DQ1157" s="36">
        <v>9502</v>
      </c>
      <c r="DR1157" s="38">
        <v>-195</v>
      </c>
      <c r="DS1157" s="35">
        <v>-2.0099999999999998</v>
      </c>
      <c r="DT1157" s="36">
        <v>3085</v>
      </c>
      <c r="DU1157" s="38">
        <v>4</v>
      </c>
      <c r="DV1157" s="35">
        <v>0.13</v>
      </c>
      <c r="DW1157" s="36">
        <v>24289</v>
      </c>
      <c r="DX1157" s="39">
        <v>-3</v>
      </c>
      <c r="DY1157" s="35">
        <v>-0.01</v>
      </c>
      <c r="DZ1157" s="28" t="s">
        <v>178</v>
      </c>
      <c r="EA1157" s="34">
        <v>43622</v>
      </c>
      <c r="EB1157" s="29">
        <v>1635</v>
      </c>
      <c r="EC1157" s="34">
        <v>43118</v>
      </c>
      <c r="ED1157" s="28" t="s">
        <v>780</v>
      </c>
      <c r="EE1157" s="40" t="str">
        <f>HYPERLINK("https://my.pitchbook.com?c=54188-02", "View company online")</f>
        <v>View company online</v>
      </c>
    </row>
    <row r="1158" spans="1:135">
      <c r="A1158" s="15" t="s">
        <v>22518</v>
      </c>
      <c r="B1158" s="15" t="s">
        <v>22519</v>
      </c>
      <c r="C1158" s="15" t="s">
        <v>138</v>
      </c>
      <c r="D1158" s="15" t="s">
        <v>138</v>
      </c>
      <c r="E1158" s="15" t="s">
        <v>22520</v>
      </c>
      <c r="F1158" s="15" t="s">
        <v>22518</v>
      </c>
      <c r="G1158" s="15" t="s">
        <v>22521</v>
      </c>
      <c r="H1158" s="15" t="s">
        <v>322</v>
      </c>
      <c r="I1158" s="15" t="s">
        <v>323</v>
      </c>
      <c r="J1158" s="15" t="s">
        <v>413</v>
      </c>
      <c r="K1158" s="15" t="s">
        <v>22522</v>
      </c>
      <c r="L1158" s="15" t="s">
        <v>1021</v>
      </c>
      <c r="M1158" s="15" t="s">
        <v>22523</v>
      </c>
      <c r="N1158" s="15" t="s">
        <v>147</v>
      </c>
      <c r="O1158" s="17">
        <v>168.3</v>
      </c>
      <c r="P1158" s="15" t="s">
        <v>148</v>
      </c>
      <c r="Q1158" s="15" t="s">
        <v>149</v>
      </c>
      <c r="R1158" s="15" t="s">
        <v>244</v>
      </c>
      <c r="S1158" s="15" t="s">
        <v>22524</v>
      </c>
      <c r="T1158" s="18">
        <v>450</v>
      </c>
      <c r="U1158" s="15" t="s">
        <v>22525</v>
      </c>
      <c r="V1158" s="15" t="s">
        <v>138</v>
      </c>
      <c r="W1158" s="15" t="s">
        <v>138</v>
      </c>
      <c r="X1158" s="19">
        <v>2004</v>
      </c>
      <c r="Y1158" s="15" t="s">
        <v>138</v>
      </c>
      <c r="Z1158" s="15" t="s">
        <v>138</v>
      </c>
      <c r="AA1158" s="15" t="s">
        <v>1163</v>
      </c>
      <c r="AB1158" s="20">
        <v>46.28</v>
      </c>
      <c r="AC1158" s="20" t="s">
        <v>138</v>
      </c>
      <c r="AD1158" s="20" t="s">
        <v>138</v>
      </c>
      <c r="AE1158" s="20" t="s">
        <v>138</v>
      </c>
      <c r="AF1158" s="20" t="s">
        <v>138</v>
      </c>
      <c r="AG1158" s="15" t="s">
        <v>2900</v>
      </c>
      <c r="AH1158" s="20" t="s">
        <v>138</v>
      </c>
      <c r="AI1158" s="20" t="s">
        <v>138</v>
      </c>
      <c r="AJ1158" s="20" t="s">
        <v>138</v>
      </c>
      <c r="AK1158" s="15" t="s">
        <v>22526</v>
      </c>
      <c r="AL1158" s="15" t="s">
        <v>22527</v>
      </c>
      <c r="AM1158" s="15" t="s">
        <v>2776</v>
      </c>
      <c r="AN1158" s="15" t="s">
        <v>22528</v>
      </c>
      <c r="AO1158" s="15" t="s">
        <v>22529</v>
      </c>
      <c r="AP1158" s="15" t="s">
        <v>22530</v>
      </c>
      <c r="AQ1158" s="15" t="s">
        <v>22531</v>
      </c>
      <c r="AR1158" s="15" t="s">
        <v>6688</v>
      </c>
      <c r="AS1158" s="15" t="s">
        <v>22532</v>
      </c>
      <c r="AT1158" s="15" t="s">
        <v>284</v>
      </c>
      <c r="AU1158" s="15" t="s">
        <v>22533</v>
      </c>
      <c r="AV1158" s="15" t="s">
        <v>162</v>
      </c>
      <c r="AW1158" s="15" t="s">
        <v>22529</v>
      </c>
      <c r="AX1158" s="15" t="s">
        <v>138</v>
      </c>
      <c r="AY1158" s="15" t="s">
        <v>22534</v>
      </c>
      <c r="AZ1158" s="15" t="s">
        <v>164</v>
      </c>
      <c r="BA1158" s="15" t="s">
        <v>165</v>
      </c>
      <c r="BB1158" s="15" t="s">
        <v>22535</v>
      </c>
      <c r="BC1158" s="15" t="s">
        <v>22536</v>
      </c>
      <c r="BD1158" s="21">
        <v>15</v>
      </c>
      <c r="BE1158" s="15" t="s">
        <v>138</v>
      </c>
      <c r="BF1158" s="15" t="s">
        <v>138</v>
      </c>
      <c r="BG1158" s="15" t="s">
        <v>138</v>
      </c>
      <c r="BH1158" s="15" t="s">
        <v>22537</v>
      </c>
      <c r="BI1158" s="15" t="s">
        <v>138</v>
      </c>
      <c r="BJ1158" s="15" t="s">
        <v>138</v>
      </c>
      <c r="BK1158" s="15" t="s">
        <v>22538</v>
      </c>
      <c r="BL1158" s="15" t="s">
        <v>22539</v>
      </c>
      <c r="BM1158" s="22">
        <v>38453</v>
      </c>
      <c r="BN1158" s="17">
        <v>6.1</v>
      </c>
      <c r="BO1158" s="15" t="s">
        <v>172</v>
      </c>
      <c r="BP1158" s="17" t="s">
        <v>138</v>
      </c>
      <c r="BQ1158" s="15" t="s">
        <v>138</v>
      </c>
      <c r="BR1158" s="15" t="s">
        <v>205</v>
      </c>
      <c r="BS1158" s="15" t="s">
        <v>206</v>
      </c>
      <c r="BT1158" s="15" t="s">
        <v>138</v>
      </c>
      <c r="BU1158" s="15" t="s">
        <v>174</v>
      </c>
      <c r="BV1158" s="15" t="s">
        <v>138</v>
      </c>
      <c r="BW1158" s="15" t="s">
        <v>138</v>
      </c>
      <c r="BX1158" s="15" t="s">
        <v>138</v>
      </c>
      <c r="BY1158" s="15" t="s">
        <v>175</v>
      </c>
      <c r="BZ1158" s="22">
        <v>42039</v>
      </c>
      <c r="CA1158" s="17" t="s">
        <v>138</v>
      </c>
      <c r="CB1158" s="15" t="s">
        <v>138</v>
      </c>
      <c r="CC1158" s="17" t="s">
        <v>138</v>
      </c>
      <c r="CD1158" s="15" t="s">
        <v>138</v>
      </c>
      <c r="CE1158" s="15" t="s">
        <v>5280</v>
      </c>
      <c r="CF1158" s="15" t="s">
        <v>138</v>
      </c>
      <c r="CG1158" s="15" t="s">
        <v>138</v>
      </c>
      <c r="CH1158" s="15" t="s">
        <v>1327</v>
      </c>
      <c r="CI1158" s="15" t="s">
        <v>5777</v>
      </c>
      <c r="CJ1158" s="15" t="s">
        <v>138</v>
      </c>
      <c r="CK1158" s="15" t="s">
        <v>138</v>
      </c>
      <c r="CL1158" s="15" t="s">
        <v>175</v>
      </c>
      <c r="CM1158" s="22">
        <v>42039</v>
      </c>
      <c r="CN1158" s="17" t="s">
        <v>138</v>
      </c>
      <c r="CO1158" s="23">
        <v>-0.93</v>
      </c>
      <c r="CP1158" s="24">
        <v>12</v>
      </c>
      <c r="CQ1158" s="23">
        <v>-0.03</v>
      </c>
      <c r="CR1158" s="23">
        <v>-2.9</v>
      </c>
      <c r="CS1158" s="23">
        <v>-3.16</v>
      </c>
      <c r="CT1158" s="24">
        <v>5</v>
      </c>
      <c r="CU1158" s="23">
        <v>0.09</v>
      </c>
      <c r="CV1158" s="24">
        <v>66</v>
      </c>
      <c r="CW1158" s="23">
        <v>-3.18</v>
      </c>
      <c r="CX1158" s="24">
        <v>5</v>
      </c>
      <c r="CY1158" s="23">
        <v>-3.14</v>
      </c>
      <c r="CZ1158" s="24">
        <v>6</v>
      </c>
      <c r="DA1158" s="23">
        <v>0.21</v>
      </c>
      <c r="DB1158" s="24">
        <v>83</v>
      </c>
      <c r="DC1158" s="25">
        <v>308.69</v>
      </c>
      <c r="DD1158" s="24">
        <v>100</v>
      </c>
      <c r="DE1158" s="25">
        <v>13</v>
      </c>
      <c r="DF1158" s="23">
        <v>4.4000000000000004</v>
      </c>
      <c r="DG1158" s="25">
        <v>43.2</v>
      </c>
      <c r="DH1158" s="24">
        <v>98</v>
      </c>
      <c r="DI1158" s="25">
        <v>17.75</v>
      </c>
      <c r="DJ1158" s="24">
        <v>90</v>
      </c>
      <c r="DK1158" s="25">
        <v>23.78</v>
      </c>
      <c r="DL1158" s="24">
        <v>93</v>
      </c>
      <c r="DM1158" s="25">
        <v>62.62</v>
      </c>
      <c r="DN1158" s="24">
        <v>99</v>
      </c>
      <c r="DO1158" s="25">
        <v>15.49</v>
      </c>
      <c r="DP1158" s="24">
        <v>91</v>
      </c>
      <c r="DQ1158" s="24">
        <v>8160</v>
      </c>
      <c r="DR1158" s="26">
        <v>-5</v>
      </c>
      <c r="DS1158" s="23">
        <v>-0.06</v>
      </c>
      <c r="DT1158" s="24">
        <v>1818</v>
      </c>
      <c r="DU1158" s="26">
        <v>-1</v>
      </c>
      <c r="DV1158" s="23">
        <v>-0.05</v>
      </c>
      <c r="DW1158" s="24">
        <v>5545</v>
      </c>
      <c r="DX1158" s="27">
        <v>0</v>
      </c>
      <c r="DY1158" s="23">
        <v>0</v>
      </c>
      <c r="DZ1158" s="15" t="s">
        <v>178</v>
      </c>
      <c r="EA1158" s="22">
        <v>43622</v>
      </c>
      <c r="EB1158" s="17">
        <v>584.07000000000005</v>
      </c>
      <c r="EC1158" s="22">
        <v>41948</v>
      </c>
      <c r="ED1158" s="15" t="s">
        <v>173</v>
      </c>
      <c r="EE1158" s="14" t="str">
        <f>HYPERLINK("https://my.pitchbook.com?c=52537-87", "View company online")</f>
        <v>View company online</v>
      </c>
    </row>
    <row r="1159" spans="1:135">
      <c r="A1159" s="28" t="s">
        <v>22540</v>
      </c>
      <c r="B1159" s="28" t="s">
        <v>22541</v>
      </c>
      <c r="C1159" s="28" t="s">
        <v>138</v>
      </c>
      <c r="D1159" s="28" t="s">
        <v>138</v>
      </c>
      <c r="E1159" s="28" t="s">
        <v>22542</v>
      </c>
      <c r="F1159" s="28" t="s">
        <v>22540</v>
      </c>
      <c r="G1159" s="28" t="s">
        <v>22543</v>
      </c>
      <c r="H1159" s="28" t="s">
        <v>322</v>
      </c>
      <c r="I1159" s="28" t="s">
        <v>1208</v>
      </c>
      <c r="J1159" s="28" t="s">
        <v>5371</v>
      </c>
      <c r="K1159" s="28" t="s">
        <v>22544</v>
      </c>
      <c r="L1159" s="28" t="s">
        <v>359</v>
      </c>
      <c r="M1159" s="28" t="s">
        <v>22545</v>
      </c>
      <c r="N1159" s="28" t="s">
        <v>147</v>
      </c>
      <c r="O1159" s="29">
        <v>43.41</v>
      </c>
      <c r="P1159" s="28" t="s">
        <v>934</v>
      </c>
      <c r="Q1159" s="28" t="s">
        <v>149</v>
      </c>
      <c r="R1159" s="28" t="s">
        <v>174</v>
      </c>
      <c r="S1159" s="28" t="s">
        <v>22546</v>
      </c>
      <c r="T1159" s="30">
        <v>40</v>
      </c>
      <c r="U1159" s="28" t="s">
        <v>22547</v>
      </c>
      <c r="V1159" s="28" t="s">
        <v>138</v>
      </c>
      <c r="W1159" s="28" t="s">
        <v>138</v>
      </c>
      <c r="X1159" s="31">
        <v>2007</v>
      </c>
      <c r="Y1159" s="28" t="s">
        <v>138</v>
      </c>
      <c r="Z1159" s="28" t="s">
        <v>138</v>
      </c>
      <c r="AA1159" s="28" t="s">
        <v>138</v>
      </c>
      <c r="AB1159" s="32" t="s">
        <v>138</v>
      </c>
      <c r="AC1159" s="32" t="s">
        <v>138</v>
      </c>
      <c r="AD1159" s="32" t="s">
        <v>138</v>
      </c>
      <c r="AE1159" s="32" t="s">
        <v>138</v>
      </c>
      <c r="AF1159" s="32" t="s">
        <v>138</v>
      </c>
      <c r="AG1159" s="28" t="s">
        <v>138</v>
      </c>
      <c r="AH1159" s="32" t="s">
        <v>138</v>
      </c>
      <c r="AI1159" s="32" t="s">
        <v>138</v>
      </c>
      <c r="AJ1159" s="32" t="s">
        <v>138</v>
      </c>
      <c r="AK1159" s="28" t="s">
        <v>22548</v>
      </c>
      <c r="AL1159" s="28" t="s">
        <v>22549</v>
      </c>
      <c r="AM1159" s="28" t="s">
        <v>5161</v>
      </c>
      <c r="AN1159" s="28" t="s">
        <v>22550</v>
      </c>
      <c r="AO1159" s="28" t="s">
        <v>22551</v>
      </c>
      <c r="AP1159" s="28" t="s">
        <v>22552</v>
      </c>
      <c r="AQ1159" s="28" t="s">
        <v>22553</v>
      </c>
      <c r="AR1159" s="28" t="s">
        <v>22554</v>
      </c>
      <c r="AS1159" s="28" t="s">
        <v>22555</v>
      </c>
      <c r="AT1159" s="28" t="s">
        <v>2031</v>
      </c>
      <c r="AU1159" s="28" t="s">
        <v>22556</v>
      </c>
      <c r="AV1159" s="28" t="s">
        <v>162</v>
      </c>
      <c r="AW1159" s="28" t="s">
        <v>138</v>
      </c>
      <c r="AX1159" s="28" t="s">
        <v>138</v>
      </c>
      <c r="AY1159" s="28" t="s">
        <v>22557</v>
      </c>
      <c r="AZ1159" s="28" t="s">
        <v>164</v>
      </c>
      <c r="BA1159" s="28" t="s">
        <v>165</v>
      </c>
      <c r="BB1159" s="28" t="s">
        <v>22558</v>
      </c>
      <c r="BC1159" s="28" t="s">
        <v>22559</v>
      </c>
      <c r="BD1159" s="33">
        <v>9</v>
      </c>
      <c r="BE1159" s="28" t="s">
        <v>138</v>
      </c>
      <c r="BF1159" s="28" t="s">
        <v>138</v>
      </c>
      <c r="BG1159" s="28" t="s">
        <v>138</v>
      </c>
      <c r="BH1159" s="28" t="s">
        <v>22560</v>
      </c>
      <c r="BI1159" s="28" t="s">
        <v>138</v>
      </c>
      <c r="BJ1159" s="28" t="s">
        <v>138</v>
      </c>
      <c r="BK1159" s="28" t="s">
        <v>22561</v>
      </c>
      <c r="BL1159" s="28" t="s">
        <v>22562</v>
      </c>
      <c r="BM1159" s="34">
        <v>40178</v>
      </c>
      <c r="BN1159" s="29">
        <v>0.1</v>
      </c>
      <c r="BO1159" s="28" t="s">
        <v>172</v>
      </c>
      <c r="BP1159" s="29" t="s">
        <v>138</v>
      </c>
      <c r="BQ1159" s="28" t="s">
        <v>138</v>
      </c>
      <c r="BR1159" s="28" t="s">
        <v>176</v>
      </c>
      <c r="BS1159" s="28" t="s">
        <v>138</v>
      </c>
      <c r="BT1159" s="28" t="s">
        <v>138</v>
      </c>
      <c r="BU1159" s="28" t="s">
        <v>177</v>
      </c>
      <c r="BV1159" s="28" t="s">
        <v>138</v>
      </c>
      <c r="BW1159" s="28" t="s">
        <v>138</v>
      </c>
      <c r="BX1159" s="28" t="s">
        <v>138</v>
      </c>
      <c r="BY1159" s="28" t="s">
        <v>175</v>
      </c>
      <c r="BZ1159" s="34">
        <v>42845</v>
      </c>
      <c r="CA1159" s="29">
        <v>23.5</v>
      </c>
      <c r="CB1159" s="28" t="s">
        <v>172</v>
      </c>
      <c r="CC1159" s="29">
        <v>88.5</v>
      </c>
      <c r="CD1159" s="28" t="s">
        <v>172</v>
      </c>
      <c r="CE1159" s="28" t="s">
        <v>173</v>
      </c>
      <c r="CF1159" s="28" t="s">
        <v>720</v>
      </c>
      <c r="CG1159" s="28" t="s">
        <v>138</v>
      </c>
      <c r="CH1159" s="28" t="s">
        <v>174</v>
      </c>
      <c r="CI1159" s="28" t="s">
        <v>138</v>
      </c>
      <c r="CJ1159" s="28" t="s">
        <v>138</v>
      </c>
      <c r="CK1159" s="28" t="s">
        <v>138</v>
      </c>
      <c r="CL1159" s="28" t="s">
        <v>175</v>
      </c>
      <c r="CM1159" s="34" t="s">
        <v>138</v>
      </c>
      <c r="CN1159" s="29" t="s">
        <v>138</v>
      </c>
      <c r="CO1159" s="35">
        <v>0</v>
      </c>
      <c r="CP1159" s="36">
        <v>26</v>
      </c>
      <c r="CQ1159" s="35">
        <v>0</v>
      </c>
      <c r="CR1159" s="35">
        <v>0</v>
      </c>
      <c r="CS1159" s="35">
        <v>0</v>
      </c>
      <c r="CT1159" s="36">
        <v>23</v>
      </c>
      <c r="CU1159" s="35" t="s">
        <v>138</v>
      </c>
      <c r="CV1159" s="36" t="s">
        <v>138</v>
      </c>
      <c r="CW1159" s="35" t="s">
        <v>138</v>
      </c>
      <c r="CX1159" s="36" t="s">
        <v>138</v>
      </c>
      <c r="CY1159" s="35">
        <v>0</v>
      </c>
      <c r="CZ1159" s="36">
        <v>25</v>
      </c>
      <c r="DA1159" s="35" t="s">
        <v>138</v>
      </c>
      <c r="DB1159" s="36" t="s">
        <v>138</v>
      </c>
      <c r="DC1159" s="37">
        <v>2.62</v>
      </c>
      <c r="DD1159" s="36">
        <v>72</v>
      </c>
      <c r="DE1159" s="37">
        <v>0</v>
      </c>
      <c r="DF1159" s="35">
        <v>0</v>
      </c>
      <c r="DG1159" s="37">
        <v>2.62</v>
      </c>
      <c r="DH1159" s="36">
        <v>72</v>
      </c>
      <c r="DI1159" s="37" t="s">
        <v>138</v>
      </c>
      <c r="DJ1159" s="36" t="s">
        <v>138</v>
      </c>
      <c r="DK1159" s="37" t="s">
        <v>138</v>
      </c>
      <c r="DL1159" s="36" t="s">
        <v>138</v>
      </c>
      <c r="DM1159" s="37">
        <v>2.62</v>
      </c>
      <c r="DN1159" s="36">
        <v>71</v>
      </c>
      <c r="DO1159" s="37" t="s">
        <v>138</v>
      </c>
      <c r="DP1159" s="36" t="s">
        <v>138</v>
      </c>
      <c r="DQ1159" s="36" t="s">
        <v>138</v>
      </c>
      <c r="DR1159" s="38" t="s">
        <v>138</v>
      </c>
      <c r="DS1159" s="35" t="s">
        <v>138</v>
      </c>
      <c r="DT1159" s="36">
        <v>76</v>
      </c>
      <c r="DU1159" s="38">
        <v>0</v>
      </c>
      <c r="DV1159" s="35">
        <v>0</v>
      </c>
      <c r="DW1159" s="36" t="s">
        <v>138</v>
      </c>
      <c r="DX1159" s="39" t="s">
        <v>138</v>
      </c>
      <c r="DY1159" s="35" t="s">
        <v>138</v>
      </c>
      <c r="DZ1159" s="28" t="s">
        <v>178</v>
      </c>
      <c r="EA1159" s="34">
        <v>43607</v>
      </c>
      <c r="EB1159" s="29">
        <v>88.5</v>
      </c>
      <c r="EC1159" s="34">
        <v>42845</v>
      </c>
      <c r="ED1159" s="28" t="s">
        <v>173</v>
      </c>
      <c r="EE1159" s="40" t="str">
        <f>HYPERLINK("https://my.pitchbook.com?c=56355-67", "View company online")</f>
        <v>View company online</v>
      </c>
    </row>
    <row r="1160" spans="1:135">
      <c r="A1160" s="15" t="s">
        <v>22563</v>
      </c>
      <c r="B1160" s="15" t="s">
        <v>22564</v>
      </c>
      <c r="C1160" s="15" t="s">
        <v>138</v>
      </c>
      <c r="D1160" s="15" t="s">
        <v>138</v>
      </c>
      <c r="E1160" s="15" t="s">
        <v>22565</v>
      </c>
      <c r="F1160" s="15" t="s">
        <v>22563</v>
      </c>
      <c r="G1160" s="15" t="s">
        <v>22566</v>
      </c>
      <c r="H1160" s="15" t="s">
        <v>385</v>
      </c>
      <c r="I1160" s="15" t="s">
        <v>1991</v>
      </c>
      <c r="J1160" s="15" t="s">
        <v>22567</v>
      </c>
      <c r="K1160" s="15" t="s">
        <v>22568</v>
      </c>
      <c r="L1160" s="15" t="s">
        <v>2641</v>
      </c>
      <c r="M1160" s="15" t="s">
        <v>22569</v>
      </c>
      <c r="N1160" s="15" t="s">
        <v>147</v>
      </c>
      <c r="O1160" s="17">
        <v>25.3</v>
      </c>
      <c r="P1160" s="15" t="s">
        <v>148</v>
      </c>
      <c r="Q1160" s="15" t="s">
        <v>149</v>
      </c>
      <c r="R1160" s="15" t="s">
        <v>174</v>
      </c>
      <c r="S1160" s="15" t="s">
        <v>22570</v>
      </c>
      <c r="T1160" s="18">
        <v>61</v>
      </c>
      <c r="U1160" s="15" t="s">
        <v>22571</v>
      </c>
      <c r="V1160" s="15" t="s">
        <v>138</v>
      </c>
      <c r="W1160" s="15" t="s">
        <v>138</v>
      </c>
      <c r="X1160" s="19">
        <v>2013</v>
      </c>
      <c r="Y1160" s="15" t="s">
        <v>138</v>
      </c>
      <c r="Z1160" s="15" t="s">
        <v>138</v>
      </c>
      <c r="AA1160" s="15" t="s">
        <v>138</v>
      </c>
      <c r="AB1160" s="20" t="s">
        <v>138</v>
      </c>
      <c r="AC1160" s="20" t="s">
        <v>138</v>
      </c>
      <c r="AD1160" s="20" t="s">
        <v>138</v>
      </c>
      <c r="AE1160" s="20" t="s">
        <v>138</v>
      </c>
      <c r="AF1160" s="20" t="s">
        <v>138</v>
      </c>
      <c r="AG1160" s="15" t="s">
        <v>138</v>
      </c>
      <c r="AH1160" s="20" t="s">
        <v>138</v>
      </c>
      <c r="AI1160" s="20" t="s">
        <v>138</v>
      </c>
      <c r="AJ1160" s="20" t="s">
        <v>138</v>
      </c>
      <c r="AK1160" s="15" t="s">
        <v>22572</v>
      </c>
      <c r="AL1160" s="15" t="s">
        <v>22573</v>
      </c>
      <c r="AM1160" s="15" t="s">
        <v>5401</v>
      </c>
      <c r="AN1160" s="15" t="s">
        <v>22574</v>
      </c>
      <c r="AO1160" s="15" t="s">
        <v>22575</v>
      </c>
      <c r="AP1160" s="15" t="s">
        <v>1457</v>
      </c>
      <c r="AQ1160" s="15" t="s">
        <v>22576</v>
      </c>
      <c r="AR1160" s="15" t="s">
        <v>2930</v>
      </c>
      <c r="AS1160" s="15" t="s">
        <v>1460</v>
      </c>
      <c r="AT1160" s="15" t="s">
        <v>474</v>
      </c>
      <c r="AU1160" s="15" t="s">
        <v>22577</v>
      </c>
      <c r="AV1160" s="15" t="s">
        <v>162</v>
      </c>
      <c r="AW1160" s="15" t="s">
        <v>22575</v>
      </c>
      <c r="AX1160" s="15" t="s">
        <v>138</v>
      </c>
      <c r="AY1160" s="15" t="s">
        <v>22578</v>
      </c>
      <c r="AZ1160" s="15" t="s">
        <v>164</v>
      </c>
      <c r="BA1160" s="15" t="s">
        <v>165</v>
      </c>
      <c r="BB1160" s="15" t="s">
        <v>22579</v>
      </c>
      <c r="BC1160" s="15" t="s">
        <v>22580</v>
      </c>
      <c r="BD1160" s="21">
        <v>5</v>
      </c>
      <c r="BE1160" s="15" t="s">
        <v>138</v>
      </c>
      <c r="BF1160" s="15" t="s">
        <v>138</v>
      </c>
      <c r="BG1160" s="15" t="s">
        <v>138</v>
      </c>
      <c r="BH1160" s="15" t="s">
        <v>22581</v>
      </c>
      <c r="BI1160" s="15" t="s">
        <v>138</v>
      </c>
      <c r="BJ1160" s="15" t="s">
        <v>138</v>
      </c>
      <c r="BK1160" s="15" t="s">
        <v>138</v>
      </c>
      <c r="BL1160" s="15" t="s">
        <v>138</v>
      </c>
      <c r="BM1160" s="22">
        <v>42095</v>
      </c>
      <c r="BN1160" s="17">
        <v>1.1000000000000001</v>
      </c>
      <c r="BO1160" s="15" t="s">
        <v>172</v>
      </c>
      <c r="BP1160" s="17" t="s">
        <v>138</v>
      </c>
      <c r="BQ1160" s="15" t="s">
        <v>138</v>
      </c>
      <c r="BR1160" s="15" t="s">
        <v>234</v>
      </c>
      <c r="BS1160" s="15" t="s">
        <v>234</v>
      </c>
      <c r="BT1160" s="15" t="s">
        <v>138</v>
      </c>
      <c r="BU1160" s="15" t="s">
        <v>174</v>
      </c>
      <c r="BV1160" s="15" t="s">
        <v>138</v>
      </c>
      <c r="BW1160" s="15" t="s">
        <v>138</v>
      </c>
      <c r="BX1160" s="15" t="s">
        <v>138</v>
      </c>
      <c r="BY1160" s="15" t="s">
        <v>175</v>
      </c>
      <c r="BZ1160" s="22">
        <v>43599</v>
      </c>
      <c r="CA1160" s="17">
        <v>18.2</v>
      </c>
      <c r="CB1160" s="15" t="s">
        <v>172</v>
      </c>
      <c r="CC1160" s="17">
        <v>63</v>
      </c>
      <c r="CD1160" s="15" t="s">
        <v>1178</v>
      </c>
      <c r="CE1160" s="15" t="s">
        <v>173</v>
      </c>
      <c r="CF1160" s="15" t="s">
        <v>720</v>
      </c>
      <c r="CG1160" s="15" t="s">
        <v>138</v>
      </c>
      <c r="CH1160" s="15" t="s">
        <v>174</v>
      </c>
      <c r="CI1160" s="15" t="s">
        <v>138</v>
      </c>
      <c r="CJ1160" s="15" t="s">
        <v>138</v>
      </c>
      <c r="CK1160" s="15" t="s">
        <v>138</v>
      </c>
      <c r="CL1160" s="15" t="s">
        <v>175</v>
      </c>
      <c r="CM1160" s="22" t="s">
        <v>138</v>
      </c>
      <c r="CN1160" s="17" t="s">
        <v>138</v>
      </c>
      <c r="CO1160" s="23">
        <v>-0.03</v>
      </c>
      <c r="CP1160" s="24">
        <v>23</v>
      </c>
      <c r="CQ1160" s="23">
        <v>-0.02</v>
      </c>
      <c r="CR1160" s="23">
        <v>-150.99</v>
      </c>
      <c r="CS1160" s="23">
        <v>0</v>
      </c>
      <c r="CT1160" s="24">
        <v>23</v>
      </c>
      <c r="CU1160" s="23">
        <v>-0.06</v>
      </c>
      <c r="CV1160" s="24">
        <v>8</v>
      </c>
      <c r="CW1160" s="23">
        <v>0</v>
      </c>
      <c r="CX1160" s="24">
        <v>13</v>
      </c>
      <c r="CY1160" s="23">
        <v>0</v>
      </c>
      <c r="CZ1160" s="24">
        <v>25</v>
      </c>
      <c r="DA1160" s="23">
        <v>-0.06</v>
      </c>
      <c r="DB1160" s="24">
        <v>11</v>
      </c>
      <c r="DC1160" s="25">
        <v>2.3199999999999998</v>
      </c>
      <c r="DD1160" s="24">
        <v>70</v>
      </c>
      <c r="DE1160" s="25">
        <v>-0.02</v>
      </c>
      <c r="DF1160" s="23">
        <v>-0.9</v>
      </c>
      <c r="DG1160" s="25">
        <v>1.96</v>
      </c>
      <c r="DH1160" s="24">
        <v>66</v>
      </c>
      <c r="DI1160" s="25">
        <v>2.68</v>
      </c>
      <c r="DJ1160" s="24">
        <v>68</v>
      </c>
      <c r="DK1160" s="25">
        <v>0.89</v>
      </c>
      <c r="DL1160" s="24">
        <v>47</v>
      </c>
      <c r="DM1160" s="25">
        <v>3.03</v>
      </c>
      <c r="DN1160" s="24">
        <v>74</v>
      </c>
      <c r="DO1160" s="25">
        <v>2.68</v>
      </c>
      <c r="DP1160" s="24">
        <v>69</v>
      </c>
      <c r="DQ1160" s="24">
        <v>301</v>
      </c>
      <c r="DR1160" s="26">
        <v>13</v>
      </c>
      <c r="DS1160" s="23">
        <v>4.51</v>
      </c>
      <c r="DT1160" s="24">
        <v>88</v>
      </c>
      <c r="DU1160" s="26">
        <v>0</v>
      </c>
      <c r="DV1160" s="23">
        <v>0</v>
      </c>
      <c r="DW1160" s="24">
        <v>962</v>
      </c>
      <c r="DX1160" s="27">
        <v>1</v>
      </c>
      <c r="DY1160" s="23">
        <v>0.1</v>
      </c>
      <c r="DZ1160" s="15" t="s">
        <v>178</v>
      </c>
      <c r="EA1160" s="22">
        <v>43600</v>
      </c>
      <c r="EB1160" s="17">
        <v>63</v>
      </c>
      <c r="EC1160" s="22">
        <v>43599</v>
      </c>
      <c r="ED1160" s="15" t="s">
        <v>173</v>
      </c>
      <c r="EE1160" s="14" t="str">
        <f>HYPERLINK("https://my.pitchbook.com?c=101460-52", "View company online")</f>
        <v>View company online</v>
      </c>
    </row>
    <row r="1161" spans="1:135">
      <c r="A1161" s="28" t="s">
        <v>22582</v>
      </c>
      <c r="B1161" s="28" t="s">
        <v>22583</v>
      </c>
      <c r="C1161" s="28" t="s">
        <v>138</v>
      </c>
      <c r="D1161" s="28" t="s">
        <v>22584</v>
      </c>
      <c r="E1161" s="28" t="s">
        <v>138</v>
      </c>
      <c r="F1161" s="28" t="s">
        <v>22582</v>
      </c>
      <c r="G1161" s="28" t="s">
        <v>22585</v>
      </c>
      <c r="H1161" s="28" t="s">
        <v>238</v>
      </c>
      <c r="I1161" s="28" t="s">
        <v>1351</v>
      </c>
      <c r="J1161" s="28" t="s">
        <v>5633</v>
      </c>
      <c r="K1161" s="28" t="s">
        <v>22586</v>
      </c>
      <c r="L1161" s="28" t="s">
        <v>22587</v>
      </c>
      <c r="M1161" s="28" t="s">
        <v>22588</v>
      </c>
      <c r="N1161" s="28" t="s">
        <v>147</v>
      </c>
      <c r="O1161" s="29">
        <v>214</v>
      </c>
      <c r="P1161" s="28" t="s">
        <v>148</v>
      </c>
      <c r="Q1161" s="28" t="s">
        <v>149</v>
      </c>
      <c r="R1161" s="28" t="s">
        <v>174</v>
      </c>
      <c r="S1161" s="28" t="s">
        <v>22589</v>
      </c>
      <c r="T1161" s="30">
        <v>240</v>
      </c>
      <c r="U1161" s="28" t="s">
        <v>22590</v>
      </c>
      <c r="V1161" s="28" t="s">
        <v>138</v>
      </c>
      <c r="W1161" s="28" t="s">
        <v>138</v>
      </c>
      <c r="X1161" s="31">
        <v>2016</v>
      </c>
      <c r="Y1161" s="28" t="s">
        <v>138</v>
      </c>
      <c r="Z1161" s="28" t="s">
        <v>138</v>
      </c>
      <c r="AA1161" s="28" t="s">
        <v>138</v>
      </c>
      <c r="AB1161" s="32" t="s">
        <v>138</v>
      </c>
      <c r="AC1161" s="32" t="s">
        <v>138</v>
      </c>
      <c r="AD1161" s="32" t="s">
        <v>138</v>
      </c>
      <c r="AE1161" s="32" t="s">
        <v>138</v>
      </c>
      <c r="AF1161" s="32" t="s">
        <v>138</v>
      </c>
      <c r="AG1161" s="28" t="s">
        <v>138</v>
      </c>
      <c r="AH1161" s="32" t="s">
        <v>138</v>
      </c>
      <c r="AI1161" s="32" t="s">
        <v>138</v>
      </c>
      <c r="AJ1161" s="32" t="s">
        <v>138</v>
      </c>
      <c r="AK1161" s="28" t="s">
        <v>22591</v>
      </c>
      <c r="AL1161" s="28" t="s">
        <v>22592</v>
      </c>
      <c r="AM1161" s="28" t="s">
        <v>22593</v>
      </c>
      <c r="AN1161" s="28" t="s">
        <v>22594</v>
      </c>
      <c r="AO1161" s="28" t="s">
        <v>22595</v>
      </c>
      <c r="AP1161" s="28" t="s">
        <v>22596</v>
      </c>
      <c r="AQ1161" s="28" t="s">
        <v>22597</v>
      </c>
      <c r="AR1161" s="28" t="s">
        <v>22598</v>
      </c>
      <c r="AS1161" s="28" t="s">
        <v>22599</v>
      </c>
      <c r="AT1161" s="28" t="s">
        <v>138</v>
      </c>
      <c r="AU1161" s="28" t="s">
        <v>138</v>
      </c>
      <c r="AV1161" s="28" t="s">
        <v>740</v>
      </c>
      <c r="AW1161" s="28" t="s">
        <v>22600</v>
      </c>
      <c r="AX1161" s="28" t="s">
        <v>138</v>
      </c>
      <c r="AY1161" s="28" t="s">
        <v>22601</v>
      </c>
      <c r="AZ1161" s="28" t="s">
        <v>742</v>
      </c>
      <c r="BA1161" s="28" t="s">
        <v>742</v>
      </c>
      <c r="BB1161" s="28" t="s">
        <v>22602</v>
      </c>
      <c r="BC1161" s="28" t="s">
        <v>22603</v>
      </c>
      <c r="BD1161" s="33">
        <v>19</v>
      </c>
      <c r="BE1161" s="28" t="s">
        <v>138</v>
      </c>
      <c r="BF1161" s="28" t="s">
        <v>138</v>
      </c>
      <c r="BG1161" s="28" t="s">
        <v>138</v>
      </c>
      <c r="BH1161" s="28" t="s">
        <v>22604</v>
      </c>
      <c r="BI1161" s="28" t="s">
        <v>138</v>
      </c>
      <c r="BJ1161" s="28" t="s">
        <v>138</v>
      </c>
      <c r="BK1161" s="28" t="s">
        <v>138</v>
      </c>
      <c r="BL1161" s="28" t="s">
        <v>22605</v>
      </c>
      <c r="BM1161" s="34">
        <v>42460</v>
      </c>
      <c r="BN1161" s="29">
        <v>9</v>
      </c>
      <c r="BO1161" s="28" t="s">
        <v>172</v>
      </c>
      <c r="BP1161" s="29" t="s">
        <v>138</v>
      </c>
      <c r="BQ1161" s="28" t="s">
        <v>138</v>
      </c>
      <c r="BR1161" s="28" t="s">
        <v>205</v>
      </c>
      <c r="BS1161" s="28" t="s">
        <v>206</v>
      </c>
      <c r="BT1161" s="28" t="s">
        <v>138</v>
      </c>
      <c r="BU1161" s="28" t="s">
        <v>174</v>
      </c>
      <c r="BV1161" s="28" t="s">
        <v>138</v>
      </c>
      <c r="BW1161" s="28" t="s">
        <v>138</v>
      </c>
      <c r="BX1161" s="28" t="s">
        <v>138</v>
      </c>
      <c r="BY1161" s="28" t="s">
        <v>175</v>
      </c>
      <c r="BZ1161" s="34">
        <v>43550</v>
      </c>
      <c r="CA1161" s="29">
        <v>132</v>
      </c>
      <c r="CB1161" s="28" t="s">
        <v>172</v>
      </c>
      <c r="CC1161" s="29" t="s">
        <v>138</v>
      </c>
      <c r="CD1161" s="28" t="s">
        <v>138</v>
      </c>
      <c r="CE1161" s="28" t="s">
        <v>173</v>
      </c>
      <c r="CF1161" s="28" t="s">
        <v>317</v>
      </c>
      <c r="CG1161" s="28" t="s">
        <v>138</v>
      </c>
      <c r="CH1161" s="28" t="s">
        <v>174</v>
      </c>
      <c r="CI1161" s="28" t="s">
        <v>138</v>
      </c>
      <c r="CJ1161" s="28" t="s">
        <v>138</v>
      </c>
      <c r="CK1161" s="28" t="s">
        <v>138</v>
      </c>
      <c r="CL1161" s="28" t="s">
        <v>175</v>
      </c>
      <c r="CM1161" s="34" t="s">
        <v>138</v>
      </c>
      <c r="CN1161" s="29" t="s">
        <v>138</v>
      </c>
      <c r="CO1161" s="35">
        <v>7.0000000000000007E-2</v>
      </c>
      <c r="CP1161" s="36">
        <v>89</v>
      </c>
      <c r="CQ1161" s="35">
        <v>0</v>
      </c>
      <c r="CR1161" s="35">
        <v>-1.17</v>
      </c>
      <c r="CS1161" s="35">
        <v>-1.66</v>
      </c>
      <c r="CT1161" s="36">
        <v>11</v>
      </c>
      <c r="CU1161" s="35">
        <v>0.57999999999999996</v>
      </c>
      <c r="CV1161" s="36">
        <v>95</v>
      </c>
      <c r="CW1161" s="35" t="s">
        <v>138</v>
      </c>
      <c r="CX1161" s="36" t="s">
        <v>138</v>
      </c>
      <c r="CY1161" s="35">
        <v>-1.66</v>
      </c>
      <c r="CZ1161" s="36">
        <v>14</v>
      </c>
      <c r="DA1161" s="35">
        <v>0.59</v>
      </c>
      <c r="DB1161" s="36">
        <v>95</v>
      </c>
      <c r="DC1161" s="37">
        <v>4.97</v>
      </c>
      <c r="DD1161" s="36">
        <v>83</v>
      </c>
      <c r="DE1161" s="37">
        <v>0.02</v>
      </c>
      <c r="DF1161" s="35">
        <v>0.32</v>
      </c>
      <c r="DG1161" s="37">
        <v>13</v>
      </c>
      <c r="DH1161" s="36">
        <v>92</v>
      </c>
      <c r="DI1161" s="37">
        <v>1.46</v>
      </c>
      <c r="DJ1161" s="36">
        <v>56</v>
      </c>
      <c r="DK1161" s="37" t="s">
        <v>138</v>
      </c>
      <c r="DL1161" s="36" t="s">
        <v>138</v>
      </c>
      <c r="DM1161" s="37">
        <v>13</v>
      </c>
      <c r="DN1161" s="36">
        <v>91</v>
      </c>
      <c r="DO1161" s="37">
        <v>2.1800000000000002</v>
      </c>
      <c r="DP1161" s="36">
        <v>65</v>
      </c>
      <c r="DQ1161" s="36" t="s">
        <v>138</v>
      </c>
      <c r="DR1161" s="38" t="s">
        <v>138</v>
      </c>
      <c r="DS1161" s="35" t="s">
        <v>138</v>
      </c>
      <c r="DT1161" s="36">
        <v>376</v>
      </c>
      <c r="DU1161" s="38">
        <v>2</v>
      </c>
      <c r="DV1161" s="35">
        <v>0.53</v>
      </c>
      <c r="DW1161" s="36">
        <v>778</v>
      </c>
      <c r="DX1161" s="39">
        <v>6</v>
      </c>
      <c r="DY1161" s="35">
        <v>0.78</v>
      </c>
      <c r="DZ1161" s="28" t="s">
        <v>178</v>
      </c>
      <c r="EA1161" s="34">
        <v>43622</v>
      </c>
      <c r="EB1161" s="29" t="s">
        <v>138</v>
      </c>
      <c r="EC1161" s="34" t="s">
        <v>138</v>
      </c>
      <c r="ED1161" s="28" t="s">
        <v>138</v>
      </c>
      <c r="EE1161" s="40" t="str">
        <f>HYPERLINK("https://my.pitchbook.com?c=163750-96", "View company online")</f>
        <v>View company online</v>
      </c>
    </row>
    <row r="1162" spans="1:135">
      <c r="A1162" s="15" t="s">
        <v>22606</v>
      </c>
      <c r="B1162" s="15" t="s">
        <v>22607</v>
      </c>
      <c r="C1162" s="15" t="s">
        <v>138</v>
      </c>
      <c r="D1162" s="15" t="s">
        <v>22608</v>
      </c>
      <c r="E1162" s="15" t="s">
        <v>22609</v>
      </c>
      <c r="F1162" s="15" t="s">
        <v>22606</v>
      </c>
      <c r="G1162" s="15" t="s">
        <v>22610</v>
      </c>
      <c r="H1162" s="15" t="s">
        <v>141</v>
      </c>
      <c r="I1162" s="15" t="s">
        <v>212</v>
      </c>
      <c r="J1162" s="15" t="s">
        <v>213</v>
      </c>
      <c r="K1162" s="15" t="s">
        <v>3073</v>
      </c>
      <c r="L1162" s="15" t="s">
        <v>3701</v>
      </c>
      <c r="M1162" s="15" t="s">
        <v>22611</v>
      </c>
      <c r="N1162" s="15" t="s">
        <v>1452</v>
      </c>
      <c r="O1162" s="17">
        <v>95.1</v>
      </c>
      <c r="P1162" s="15" t="s">
        <v>148</v>
      </c>
      <c r="Q1162" s="15" t="s">
        <v>149</v>
      </c>
      <c r="R1162" s="15" t="s">
        <v>328</v>
      </c>
      <c r="S1162" s="15" t="s">
        <v>22612</v>
      </c>
      <c r="T1162" s="18">
        <v>220</v>
      </c>
      <c r="U1162" s="15" t="s">
        <v>22613</v>
      </c>
      <c r="V1162" s="15" t="s">
        <v>138</v>
      </c>
      <c r="W1162" s="15" t="s">
        <v>138</v>
      </c>
      <c r="X1162" s="19">
        <v>2007</v>
      </c>
      <c r="Y1162" s="15" t="s">
        <v>138</v>
      </c>
      <c r="Z1162" s="15" t="s">
        <v>138</v>
      </c>
      <c r="AA1162" s="15" t="s">
        <v>138</v>
      </c>
      <c r="AB1162" s="20" t="s">
        <v>138</v>
      </c>
      <c r="AC1162" s="20" t="s">
        <v>138</v>
      </c>
      <c r="AD1162" s="20" t="s">
        <v>138</v>
      </c>
      <c r="AE1162" s="20" t="s">
        <v>138</v>
      </c>
      <c r="AF1162" s="20" t="s">
        <v>138</v>
      </c>
      <c r="AG1162" s="15" t="s">
        <v>138</v>
      </c>
      <c r="AH1162" s="20" t="s">
        <v>138</v>
      </c>
      <c r="AI1162" s="20" t="s">
        <v>138</v>
      </c>
      <c r="AJ1162" s="20" t="s">
        <v>138</v>
      </c>
      <c r="AK1162" s="15" t="s">
        <v>22614</v>
      </c>
      <c r="AL1162" s="15" t="s">
        <v>22615</v>
      </c>
      <c r="AM1162" s="15" t="s">
        <v>938</v>
      </c>
      <c r="AN1162" s="15" t="s">
        <v>22616</v>
      </c>
      <c r="AO1162" s="15" t="s">
        <v>22617</v>
      </c>
      <c r="AP1162" s="15" t="s">
        <v>423</v>
      </c>
      <c r="AQ1162" s="15" t="s">
        <v>22618</v>
      </c>
      <c r="AR1162" s="15" t="s">
        <v>6978</v>
      </c>
      <c r="AS1162" s="15" t="s">
        <v>426</v>
      </c>
      <c r="AT1162" s="15" t="s">
        <v>426</v>
      </c>
      <c r="AU1162" s="15" t="s">
        <v>9264</v>
      </c>
      <c r="AV1162" s="15" t="s">
        <v>162</v>
      </c>
      <c r="AW1162" s="15" t="s">
        <v>22617</v>
      </c>
      <c r="AX1162" s="15" t="s">
        <v>22619</v>
      </c>
      <c r="AY1162" s="15" t="s">
        <v>22620</v>
      </c>
      <c r="AZ1162" s="15" t="s">
        <v>164</v>
      </c>
      <c r="BA1162" s="15" t="s">
        <v>165</v>
      </c>
      <c r="BB1162" s="15" t="s">
        <v>22621</v>
      </c>
      <c r="BC1162" s="15" t="s">
        <v>22622</v>
      </c>
      <c r="BD1162" s="21">
        <v>10</v>
      </c>
      <c r="BE1162" s="15" t="s">
        <v>138</v>
      </c>
      <c r="BF1162" s="15" t="s">
        <v>138</v>
      </c>
      <c r="BG1162" s="15" t="s">
        <v>138</v>
      </c>
      <c r="BH1162" s="15" t="s">
        <v>22623</v>
      </c>
      <c r="BI1162" s="15" t="s">
        <v>138</v>
      </c>
      <c r="BJ1162" s="15" t="s">
        <v>138</v>
      </c>
      <c r="BK1162" s="15" t="s">
        <v>6929</v>
      </c>
      <c r="BL1162" s="15" t="s">
        <v>22624</v>
      </c>
      <c r="BM1162" s="22" t="s">
        <v>138</v>
      </c>
      <c r="BN1162" s="17" t="s">
        <v>138</v>
      </c>
      <c r="BO1162" s="15" t="s">
        <v>138</v>
      </c>
      <c r="BP1162" s="17" t="s">
        <v>138</v>
      </c>
      <c r="BQ1162" s="15" t="s">
        <v>138</v>
      </c>
      <c r="BR1162" s="15" t="s">
        <v>262</v>
      </c>
      <c r="BS1162" s="15" t="s">
        <v>262</v>
      </c>
      <c r="BT1162" s="15" t="s">
        <v>138</v>
      </c>
      <c r="BU1162" s="15" t="s">
        <v>263</v>
      </c>
      <c r="BV1162" s="15" t="s">
        <v>138</v>
      </c>
      <c r="BW1162" s="15" t="s">
        <v>138</v>
      </c>
      <c r="BX1162" s="15" t="s">
        <v>138</v>
      </c>
      <c r="BY1162" s="15" t="s">
        <v>175</v>
      </c>
      <c r="BZ1162" s="22">
        <v>43472</v>
      </c>
      <c r="CA1162" s="17">
        <v>30</v>
      </c>
      <c r="CB1162" s="15" t="s">
        <v>172</v>
      </c>
      <c r="CC1162" s="17" t="s">
        <v>138</v>
      </c>
      <c r="CD1162" s="15" t="s">
        <v>138</v>
      </c>
      <c r="CE1162" s="15" t="s">
        <v>1673</v>
      </c>
      <c r="CF1162" s="15" t="s">
        <v>138</v>
      </c>
      <c r="CG1162" s="15" t="s">
        <v>138</v>
      </c>
      <c r="CH1162" s="15" t="s">
        <v>351</v>
      </c>
      <c r="CI1162" s="15" t="s">
        <v>138</v>
      </c>
      <c r="CJ1162" s="15" t="s">
        <v>138</v>
      </c>
      <c r="CK1162" s="15" t="s">
        <v>138</v>
      </c>
      <c r="CL1162" s="15" t="s">
        <v>175</v>
      </c>
      <c r="CM1162" s="22">
        <v>42361</v>
      </c>
      <c r="CN1162" s="17">
        <v>12.5</v>
      </c>
      <c r="CO1162" s="23">
        <v>2.36</v>
      </c>
      <c r="CP1162" s="24">
        <v>99</v>
      </c>
      <c r="CQ1162" s="23">
        <v>-0.02</v>
      </c>
      <c r="CR1162" s="23">
        <v>-0.74</v>
      </c>
      <c r="CS1162" s="23">
        <v>6.99</v>
      </c>
      <c r="CT1162" s="24">
        <v>100</v>
      </c>
      <c r="CU1162" s="23">
        <v>0.03</v>
      </c>
      <c r="CV1162" s="24">
        <v>54</v>
      </c>
      <c r="CW1162" s="23">
        <v>14.83</v>
      </c>
      <c r="CX1162" s="24">
        <v>100</v>
      </c>
      <c r="CY1162" s="23">
        <v>-0.85</v>
      </c>
      <c r="CZ1162" s="24">
        <v>20</v>
      </c>
      <c r="DA1162" s="23">
        <v>0.03</v>
      </c>
      <c r="DB1162" s="24">
        <v>60</v>
      </c>
      <c r="DC1162" s="25">
        <v>22.72</v>
      </c>
      <c r="DD1162" s="24">
        <v>95</v>
      </c>
      <c r="DE1162" s="25">
        <v>-0.14000000000000001</v>
      </c>
      <c r="DF1162" s="23">
        <v>-0.61</v>
      </c>
      <c r="DG1162" s="25">
        <v>51.39</v>
      </c>
      <c r="DH1162" s="24">
        <v>98</v>
      </c>
      <c r="DI1162" s="25">
        <v>16.37</v>
      </c>
      <c r="DJ1162" s="24">
        <v>89</v>
      </c>
      <c r="DK1162" s="25">
        <v>10.6</v>
      </c>
      <c r="DL1162" s="24">
        <v>87</v>
      </c>
      <c r="DM1162" s="25">
        <v>92.17</v>
      </c>
      <c r="DN1162" s="24">
        <v>99</v>
      </c>
      <c r="DO1162" s="25">
        <v>30.42</v>
      </c>
      <c r="DP1162" s="24">
        <v>95</v>
      </c>
      <c r="DQ1162" s="24">
        <v>3440</v>
      </c>
      <c r="DR1162" s="26">
        <v>585</v>
      </c>
      <c r="DS1162" s="23">
        <v>20.49</v>
      </c>
      <c r="DT1162" s="24">
        <v>2668</v>
      </c>
      <c r="DU1162" s="26">
        <v>11</v>
      </c>
      <c r="DV1162" s="23">
        <v>0.41</v>
      </c>
      <c r="DW1162" s="24">
        <v>10892</v>
      </c>
      <c r="DX1162" s="27">
        <v>10</v>
      </c>
      <c r="DY1162" s="23">
        <v>0.09</v>
      </c>
      <c r="DZ1162" s="15" t="s">
        <v>178</v>
      </c>
      <c r="EA1162" s="22">
        <v>43537</v>
      </c>
      <c r="EB1162" s="17">
        <v>155</v>
      </c>
      <c r="EC1162" s="22">
        <v>42361</v>
      </c>
      <c r="ED1162" s="15" t="s">
        <v>173</v>
      </c>
      <c r="EE1162" s="14" t="str">
        <f>HYPERLINK("https://my.pitchbook.com?c=51024-25", "View company online")</f>
        <v>View company online</v>
      </c>
    </row>
    <row r="1163" spans="1:135">
      <c r="A1163" s="28" t="s">
        <v>22625</v>
      </c>
      <c r="B1163" s="28" t="s">
        <v>22626</v>
      </c>
      <c r="C1163" s="28" t="s">
        <v>138</v>
      </c>
      <c r="D1163" s="28" t="s">
        <v>138</v>
      </c>
      <c r="E1163" s="28" t="s">
        <v>22627</v>
      </c>
      <c r="F1163" s="28" t="s">
        <v>22625</v>
      </c>
      <c r="G1163" s="28" t="s">
        <v>22628</v>
      </c>
      <c r="H1163" s="28" t="s">
        <v>322</v>
      </c>
      <c r="I1163" s="28" t="s">
        <v>323</v>
      </c>
      <c r="J1163" s="28" t="s">
        <v>413</v>
      </c>
      <c r="K1163" s="28" t="s">
        <v>22629</v>
      </c>
      <c r="L1163" s="28" t="s">
        <v>22630</v>
      </c>
      <c r="M1163" s="28" t="s">
        <v>22631</v>
      </c>
      <c r="N1163" s="28" t="s">
        <v>147</v>
      </c>
      <c r="O1163" s="29">
        <v>2.1</v>
      </c>
      <c r="P1163" s="28" t="s">
        <v>148</v>
      </c>
      <c r="Q1163" s="28" t="s">
        <v>149</v>
      </c>
      <c r="R1163" s="28" t="s">
        <v>174</v>
      </c>
      <c r="S1163" s="28" t="s">
        <v>22632</v>
      </c>
      <c r="T1163" s="30" t="s">
        <v>138</v>
      </c>
      <c r="U1163" s="28" t="s">
        <v>138</v>
      </c>
      <c r="V1163" s="28" t="s">
        <v>138</v>
      </c>
      <c r="W1163" s="28" t="s">
        <v>138</v>
      </c>
      <c r="X1163" s="31">
        <v>2011</v>
      </c>
      <c r="Y1163" s="28" t="s">
        <v>138</v>
      </c>
      <c r="Z1163" s="28" t="s">
        <v>138</v>
      </c>
      <c r="AA1163" s="28" t="s">
        <v>138</v>
      </c>
      <c r="AB1163" s="32" t="s">
        <v>138</v>
      </c>
      <c r="AC1163" s="32" t="s">
        <v>138</v>
      </c>
      <c r="AD1163" s="32" t="s">
        <v>138</v>
      </c>
      <c r="AE1163" s="32" t="s">
        <v>138</v>
      </c>
      <c r="AF1163" s="32" t="s">
        <v>138</v>
      </c>
      <c r="AG1163" s="28" t="s">
        <v>138</v>
      </c>
      <c r="AH1163" s="32" t="s">
        <v>138</v>
      </c>
      <c r="AI1163" s="32" t="s">
        <v>138</v>
      </c>
      <c r="AJ1163" s="32" t="s">
        <v>138</v>
      </c>
      <c r="AK1163" s="28" t="s">
        <v>22633</v>
      </c>
      <c r="AL1163" s="28" t="s">
        <v>22634</v>
      </c>
      <c r="AM1163" s="28" t="s">
        <v>566</v>
      </c>
      <c r="AN1163" s="28" t="s">
        <v>22635</v>
      </c>
      <c r="AO1163" s="28" t="s">
        <v>22636</v>
      </c>
      <c r="AP1163" s="28" t="s">
        <v>1195</v>
      </c>
      <c r="AQ1163" s="28" t="s">
        <v>22637</v>
      </c>
      <c r="AR1163" s="28" t="s">
        <v>22638</v>
      </c>
      <c r="AS1163" s="28" t="s">
        <v>1198</v>
      </c>
      <c r="AT1163" s="28" t="s">
        <v>138</v>
      </c>
      <c r="AU1163" s="28" t="s">
        <v>22639</v>
      </c>
      <c r="AV1163" s="28" t="s">
        <v>1200</v>
      </c>
      <c r="AW1163" s="28" t="s">
        <v>22636</v>
      </c>
      <c r="AX1163" s="28" t="s">
        <v>138</v>
      </c>
      <c r="AY1163" s="28" t="s">
        <v>22640</v>
      </c>
      <c r="AZ1163" s="28" t="s">
        <v>452</v>
      </c>
      <c r="BA1163" s="28" t="s">
        <v>453</v>
      </c>
      <c r="BB1163" s="28" t="s">
        <v>22641</v>
      </c>
      <c r="BC1163" s="28" t="s">
        <v>22642</v>
      </c>
      <c r="BD1163" s="33">
        <v>3</v>
      </c>
      <c r="BE1163" s="28" t="s">
        <v>138</v>
      </c>
      <c r="BF1163" s="28" t="s">
        <v>138</v>
      </c>
      <c r="BG1163" s="28" t="s">
        <v>138</v>
      </c>
      <c r="BH1163" s="28" t="s">
        <v>22643</v>
      </c>
      <c r="BI1163" s="28" t="s">
        <v>138</v>
      </c>
      <c r="BJ1163" s="28" t="s">
        <v>138</v>
      </c>
      <c r="BK1163" s="28" t="s">
        <v>138</v>
      </c>
      <c r="BL1163" s="28" t="s">
        <v>138</v>
      </c>
      <c r="BM1163" s="34">
        <v>41884</v>
      </c>
      <c r="BN1163" s="29">
        <v>2.1</v>
      </c>
      <c r="BO1163" s="28" t="s">
        <v>172</v>
      </c>
      <c r="BP1163" s="29" t="s">
        <v>138</v>
      </c>
      <c r="BQ1163" s="28" t="s">
        <v>138</v>
      </c>
      <c r="BR1163" s="28" t="s">
        <v>205</v>
      </c>
      <c r="BS1163" s="28" t="s">
        <v>206</v>
      </c>
      <c r="BT1163" s="28" t="s">
        <v>138</v>
      </c>
      <c r="BU1163" s="28" t="s">
        <v>174</v>
      </c>
      <c r="BV1163" s="28" t="s">
        <v>138</v>
      </c>
      <c r="BW1163" s="28" t="s">
        <v>138</v>
      </c>
      <c r="BX1163" s="28" t="s">
        <v>138</v>
      </c>
      <c r="BY1163" s="28" t="s">
        <v>175</v>
      </c>
      <c r="BZ1163" s="34">
        <v>41884</v>
      </c>
      <c r="CA1163" s="29">
        <v>2.1</v>
      </c>
      <c r="CB1163" s="28" t="s">
        <v>172</v>
      </c>
      <c r="CC1163" s="29" t="s">
        <v>138</v>
      </c>
      <c r="CD1163" s="28" t="s">
        <v>138</v>
      </c>
      <c r="CE1163" s="28" t="s">
        <v>205</v>
      </c>
      <c r="CF1163" s="28" t="s">
        <v>206</v>
      </c>
      <c r="CG1163" s="28" t="s">
        <v>138</v>
      </c>
      <c r="CH1163" s="28" t="s">
        <v>174</v>
      </c>
      <c r="CI1163" s="28" t="s">
        <v>138</v>
      </c>
      <c r="CJ1163" s="28" t="s">
        <v>138</v>
      </c>
      <c r="CK1163" s="28" t="s">
        <v>138</v>
      </c>
      <c r="CL1163" s="28" t="s">
        <v>175</v>
      </c>
      <c r="CM1163" s="34" t="s">
        <v>138</v>
      </c>
      <c r="CN1163" s="29" t="s">
        <v>138</v>
      </c>
      <c r="CO1163" s="35">
        <v>-2.0099999999999998</v>
      </c>
      <c r="CP1163" s="36">
        <v>5</v>
      </c>
      <c r="CQ1163" s="35">
        <v>-0.02</v>
      </c>
      <c r="CR1163" s="35">
        <v>-0.75</v>
      </c>
      <c r="CS1163" s="35">
        <v>-3.99</v>
      </c>
      <c r="CT1163" s="36">
        <v>3</v>
      </c>
      <c r="CU1163" s="35">
        <v>-0.04</v>
      </c>
      <c r="CV1163" s="36">
        <v>12</v>
      </c>
      <c r="CW1163" s="35">
        <v>0</v>
      </c>
      <c r="CX1163" s="36">
        <v>13</v>
      </c>
      <c r="CY1163" s="35">
        <v>-7.97</v>
      </c>
      <c r="CZ1163" s="36">
        <v>1</v>
      </c>
      <c r="DA1163" s="35">
        <v>-0.04</v>
      </c>
      <c r="DB1163" s="36">
        <v>15</v>
      </c>
      <c r="DC1163" s="37">
        <v>18.07</v>
      </c>
      <c r="DD1163" s="36">
        <v>94</v>
      </c>
      <c r="DE1163" s="37">
        <v>0.02</v>
      </c>
      <c r="DF1163" s="35">
        <v>0.09</v>
      </c>
      <c r="DG1163" s="37">
        <v>5.88</v>
      </c>
      <c r="DH1163" s="36">
        <v>84</v>
      </c>
      <c r="DI1163" s="37">
        <v>30.26</v>
      </c>
      <c r="DJ1163" s="36">
        <v>93</v>
      </c>
      <c r="DK1163" s="37">
        <v>1.45</v>
      </c>
      <c r="DL1163" s="36">
        <v>58</v>
      </c>
      <c r="DM1163" s="37">
        <v>10.31</v>
      </c>
      <c r="DN1163" s="36">
        <v>89</v>
      </c>
      <c r="DO1163" s="37">
        <v>30.26</v>
      </c>
      <c r="DP1163" s="36">
        <v>95</v>
      </c>
      <c r="DQ1163" s="36">
        <v>491</v>
      </c>
      <c r="DR1163" s="38">
        <v>16</v>
      </c>
      <c r="DS1163" s="35">
        <v>3.37</v>
      </c>
      <c r="DT1163" s="36">
        <v>299</v>
      </c>
      <c r="DU1163" s="38">
        <v>-2</v>
      </c>
      <c r="DV1163" s="35">
        <v>-0.66</v>
      </c>
      <c r="DW1163" s="36">
        <v>10833</v>
      </c>
      <c r="DX1163" s="39">
        <v>-2</v>
      </c>
      <c r="DY1163" s="35">
        <v>-0.02</v>
      </c>
      <c r="DZ1163" s="28" t="s">
        <v>178</v>
      </c>
      <c r="EA1163" s="34">
        <v>43351</v>
      </c>
      <c r="EB1163" s="29" t="s">
        <v>138</v>
      </c>
      <c r="EC1163" s="34" t="s">
        <v>138</v>
      </c>
      <c r="ED1163" s="28" t="s">
        <v>138</v>
      </c>
      <c r="EE1163" s="40" t="str">
        <f>HYPERLINK("https://my.pitchbook.com?c=97042-06", "View company online")</f>
        <v>View company online</v>
      </c>
    </row>
    <row r="1164" spans="1:135">
      <c r="A1164" s="15" t="s">
        <v>22644</v>
      </c>
      <c r="B1164" s="15" t="s">
        <v>22645</v>
      </c>
      <c r="C1164" s="15" t="s">
        <v>138</v>
      </c>
      <c r="D1164" s="15" t="s">
        <v>138</v>
      </c>
      <c r="E1164" s="15" t="s">
        <v>138</v>
      </c>
      <c r="F1164" s="15" t="s">
        <v>22644</v>
      </c>
      <c r="G1164" s="15" t="s">
        <v>22646</v>
      </c>
      <c r="H1164" s="15" t="s">
        <v>322</v>
      </c>
      <c r="I1164" s="15" t="s">
        <v>1503</v>
      </c>
      <c r="J1164" s="15" t="s">
        <v>1504</v>
      </c>
      <c r="K1164" s="15" t="s">
        <v>22647</v>
      </c>
      <c r="L1164" s="15" t="s">
        <v>359</v>
      </c>
      <c r="M1164" s="15" t="s">
        <v>22648</v>
      </c>
      <c r="N1164" s="15" t="s">
        <v>147</v>
      </c>
      <c r="O1164" s="17">
        <v>25.42</v>
      </c>
      <c r="P1164" s="15" t="s">
        <v>610</v>
      </c>
      <c r="Q1164" s="15" t="s">
        <v>149</v>
      </c>
      <c r="R1164" s="15" t="s">
        <v>174</v>
      </c>
      <c r="S1164" s="15" t="s">
        <v>22649</v>
      </c>
      <c r="T1164" s="18">
        <v>18</v>
      </c>
      <c r="U1164" s="15" t="s">
        <v>22650</v>
      </c>
      <c r="V1164" s="15" t="s">
        <v>138</v>
      </c>
      <c r="W1164" s="15" t="s">
        <v>138</v>
      </c>
      <c r="X1164" s="19" t="s">
        <v>138</v>
      </c>
      <c r="Y1164" s="15" t="s">
        <v>138</v>
      </c>
      <c r="Z1164" s="15" t="s">
        <v>138</v>
      </c>
      <c r="AA1164" s="15" t="s">
        <v>138</v>
      </c>
      <c r="AB1164" s="20" t="s">
        <v>138</v>
      </c>
      <c r="AC1164" s="20" t="s">
        <v>138</v>
      </c>
      <c r="AD1164" s="20" t="s">
        <v>138</v>
      </c>
      <c r="AE1164" s="20" t="s">
        <v>138</v>
      </c>
      <c r="AF1164" s="20" t="s">
        <v>138</v>
      </c>
      <c r="AG1164" s="15" t="s">
        <v>138</v>
      </c>
      <c r="AH1164" s="20" t="s">
        <v>138</v>
      </c>
      <c r="AI1164" s="20" t="s">
        <v>138</v>
      </c>
      <c r="AJ1164" s="20" t="s">
        <v>138</v>
      </c>
      <c r="AK1164" s="15" t="s">
        <v>22651</v>
      </c>
      <c r="AL1164" s="15" t="s">
        <v>22652</v>
      </c>
      <c r="AM1164" s="15" t="s">
        <v>15149</v>
      </c>
      <c r="AN1164" s="15" t="s">
        <v>22653</v>
      </c>
      <c r="AO1164" s="15" t="s">
        <v>22654</v>
      </c>
      <c r="AP1164" s="15" t="s">
        <v>22655</v>
      </c>
      <c r="AQ1164" s="15" t="s">
        <v>22656</v>
      </c>
      <c r="AR1164" s="15" t="s">
        <v>138</v>
      </c>
      <c r="AS1164" s="15" t="s">
        <v>22657</v>
      </c>
      <c r="AT1164" s="15" t="s">
        <v>138</v>
      </c>
      <c r="AU1164" s="15" t="s">
        <v>22658</v>
      </c>
      <c r="AV1164" s="15" t="s">
        <v>946</v>
      </c>
      <c r="AW1164" s="15" t="s">
        <v>22659</v>
      </c>
      <c r="AX1164" s="15" t="s">
        <v>22660</v>
      </c>
      <c r="AY1164" s="15" t="s">
        <v>22661</v>
      </c>
      <c r="AZ1164" s="15" t="s">
        <v>530</v>
      </c>
      <c r="BA1164" s="15" t="s">
        <v>531</v>
      </c>
      <c r="BB1164" s="15" t="s">
        <v>22662</v>
      </c>
      <c r="BC1164" s="15" t="s">
        <v>22663</v>
      </c>
      <c r="BD1164" s="21">
        <v>7</v>
      </c>
      <c r="BE1164" s="15" t="s">
        <v>138</v>
      </c>
      <c r="BF1164" s="15" t="s">
        <v>138</v>
      </c>
      <c r="BG1164" s="15" t="s">
        <v>138</v>
      </c>
      <c r="BH1164" s="15" t="s">
        <v>22664</v>
      </c>
      <c r="BI1164" s="15" t="s">
        <v>138</v>
      </c>
      <c r="BJ1164" s="15" t="s">
        <v>138</v>
      </c>
      <c r="BK1164" s="15" t="s">
        <v>138</v>
      </c>
      <c r="BL1164" s="15" t="s">
        <v>22665</v>
      </c>
      <c r="BM1164" s="22">
        <v>37622</v>
      </c>
      <c r="BN1164" s="17">
        <v>4.67</v>
      </c>
      <c r="BO1164" s="15" t="s">
        <v>172</v>
      </c>
      <c r="BP1164" s="17" t="s">
        <v>138</v>
      </c>
      <c r="BQ1164" s="15" t="s">
        <v>138</v>
      </c>
      <c r="BR1164" s="15" t="s">
        <v>205</v>
      </c>
      <c r="BS1164" s="15" t="s">
        <v>206</v>
      </c>
      <c r="BT1164" s="15" t="s">
        <v>138</v>
      </c>
      <c r="BU1164" s="15" t="s">
        <v>174</v>
      </c>
      <c r="BV1164" s="15" t="s">
        <v>138</v>
      </c>
      <c r="BW1164" s="15" t="s">
        <v>138</v>
      </c>
      <c r="BX1164" s="15" t="s">
        <v>138</v>
      </c>
      <c r="BY1164" s="15" t="s">
        <v>175</v>
      </c>
      <c r="BZ1164" s="22">
        <v>39664</v>
      </c>
      <c r="CA1164" s="17">
        <v>12.89</v>
      </c>
      <c r="CB1164" s="15" t="s">
        <v>172</v>
      </c>
      <c r="CC1164" s="17" t="s">
        <v>138</v>
      </c>
      <c r="CD1164" s="15" t="s">
        <v>138</v>
      </c>
      <c r="CE1164" s="15" t="s">
        <v>173</v>
      </c>
      <c r="CF1164" s="15" t="s">
        <v>317</v>
      </c>
      <c r="CG1164" s="15" t="s">
        <v>138</v>
      </c>
      <c r="CH1164" s="15" t="s">
        <v>174</v>
      </c>
      <c r="CI1164" s="15" t="s">
        <v>138</v>
      </c>
      <c r="CJ1164" s="15" t="s">
        <v>138</v>
      </c>
      <c r="CK1164" s="15" t="s">
        <v>138</v>
      </c>
      <c r="CL1164" s="15" t="s">
        <v>175</v>
      </c>
      <c r="CM1164" s="22" t="s">
        <v>138</v>
      </c>
      <c r="CN1164" s="17" t="s">
        <v>138</v>
      </c>
      <c r="CO1164" s="23">
        <v>0.45</v>
      </c>
      <c r="CP1164" s="24">
        <v>95</v>
      </c>
      <c r="CQ1164" s="23">
        <v>0.11</v>
      </c>
      <c r="CR1164" s="23">
        <v>31.4</v>
      </c>
      <c r="CS1164" s="23">
        <v>0.45</v>
      </c>
      <c r="CT1164" s="24">
        <v>95</v>
      </c>
      <c r="CU1164" s="23" t="s">
        <v>138</v>
      </c>
      <c r="CV1164" s="24" t="s">
        <v>138</v>
      </c>
      <c r="CW1164" s="23" t="s">
        <v>138</v>
      </c>
      <c r="CX1164" s="24" t="s">
        <v>138</v>
      </c>
      <c r="CY1164" s="23">
        <v>0.45</v>
      </c>
      <c r="CZ1164" s="24">
        <v>98</v>
      </c>
      <c r="DA1164" s="23" t="s">
        <v>138</v>
      </c>
      <c r="DB1164" s="24" t="s">
        <v>138</v>
      </c>
      <c r="DC1164" s="25">
        <v>4.0999999999999996</v>
      </c>
      <c r="DD1164" s="24">
        <v>80</v>
      </c>
      <c r="DE1164" s="25">
        <v>0.03</v>
      </c>
      <c r="DF1164" s="23">
        <v>0.85</v>
      </c>
      <c r="DG1164" s="25">
        <v>4.0999999999999996</v>
      </c>
      <c r="DH1164" s="24">
        <v>80</v>
      </c>
      <c r="DI1164" s="25" t="s">
        <v>138</v>
      </c>
      <c r="DJ1164" s="24" t="s">
        <v>138</v>
      </c>
      <c r="DK1164" s="25" t="s">
        <v>138</v>
      </c>
      <c r="DL1164" s="24" t="s">
        <v>138</v>
      </c>
      <c r="DM1164" s="25">
        <v>4.0999999999999996</v>
      </c>
      <c r="DN1164" s="24">
        <v>79</v>
      </c>
      <c r="DO1164" s="25" t="s">
        <v>138</v>
      </c>
      <c r="DP1164" s="24" t="s">
        <v>138</v>
      </c>
      <c r="DQ1164" s="24" t="s">
        <v>138</v>
      </c>
      <c r="DR1164" s="26" t="s">
        <v>138</v>
      </c>
      <c r="DS1164" s="23" t="s">
        <v>138</v>
      </c>
      <c r="DT1164" s="24">
        <v>118</v>
      </c>
      <c r="DU1164" s="26">
        <v>1</v>
      </c>
      <c r="DV1164" s="23">
        <v>0.85</v>
      </c>
      <c r="DW1164" s="24" t="s">
        <v>138</v>
      </c>
      <c r="DX1164" s="27" t="s">
        <v>138</v>
      </c>
      <c r="DY1164" s="23" t="s">
        <v>138</v>
      </c>
      <c r="DZ1164" s="15" t="s">
        <v>178</v>
      </c>
      <c r="EA1164" s="22">
        <v>43448</v>
      </c>
      <c r="EB1164" s="17" t="s">
        <v>138</v>
      </c>
      <c r="EC1164" s="22" t="s">
        <v>138</v>
      </c>
      <c r="ED1164" s="15" t="s">
        <v>138</v>
      </c>
      <c r="EE1164" s="14" t="str">
        <f>HYPERLINK("https://my.pitchbook.com?c=54699-58", "View company online")</f>
        <v>View company online</v>
      </c>
    </row>
    <row r="1165" spans="1:135">
      <c r="A1165" s="28" t="s">
        <v>22666</v>
      </c>
      <c r="B1165" s="28" t="s">
        <v>22667</v>
      </c>
      <c r="C1165" s="28" t="s">
        <v>22668</v>
      </c>
      <c r="D1165" s="28" t="s">
        <v>138</v>
      </c>
      <c r="E1165" s="28" t="s">
        <v>22669</v>
      </c>
      <c r="F1165" s="28" t="s">
        <v>22666</v>
      </c>
      <c r="G1165" s="28" t="s">
        <v>22670</v>
      </c>
      <c r="H1165" s="28" t="s">
        <v>322</v>
      </c>
      <c r="I1165" s="28" t="s">
        <v>323</v>
      </c>
      <c r="J1165" s="28" t="s">
        <v>324</v>
      </c>
      <c r="K1165" s="28" t="s">
        <v>1159</v>
      </c>
      <c r="L1165" s="28" t="s">
        <v>215</v>
      </c>
      <c r="M1165" s="28" t="s">
        <v>22671</v>
      </c>
      <c r="N1165" s="28" t="s">
        <v>1452</v>
      </c>
      <c r="O1165" s="29">
        <v>39</v>
      </c>
      <c r="P1165" s="28" t="s">
        <v>148</v>
      </c>
      <c r="Q1165" s="28" t="s">
        <v>149</v>
      </c>
      <c r="R1165" s="28" t="s">
        <v>1652</v>
      </c>
      <c r="S1165" s="28" t="s">
        <v>22672</v>
      </c>
      <c r="T1165" s="30">
        <v>276</v>
      </c>
      <c r="U1165" s="28" t="s">
        <v>22673</v>
      </c>
      <c r="V1165" s="28" t="s">
        <v>138</v>
      </c>
      <c r="W1165" s="28" t="s">
        <v>138</v>
      </c>
      <c r="X1165" s="31">
        <v>2002</v>
      </c>
      <c r="Y1165" s="28" t="s">
        <v>138</v>
      </c>
      <c r="Z1165" s="28" t="s">
        <v>138</v>
      </c>
      <c r="AA1165" s="28" t="s">
        <v>138</v>
      </c>
      <c r="AB1165" s="32">
        <v>47.99</v>
      </c>
      <c r="AC1165" s="32" t="s">
        <v>138</v>
      </c>
      <c r="AD1165" s="32" t="s">
        <v>138</v>
      </c>
      <c r="AE1165" s="32" t="s">
        <v>138</v>
      </c>
      <c r="AF1165" s="32" t="s">
        <v>138</v>
      </c>
      <c r="AG1165" s="28" t="s">
        <v>514</v>
      </c>
      <c r="AH1165" s="32" t="s">
        <v>138</v>
      </c>
      <c r="AI1165" s="32" t="s">
        <v>138</v>
      </c>
      <c r="AJ1165" s="32" t="s">
        <v>138</v>
      </c>
      <c r="AK1165" s="28" t="s">
        <v>22674</v>
      </c>
      <c r="AL1165" s="28" t="s">
        <v>22675</v>
      </c>
      <c r="AM1165" s="28" t="s">
        <v>249</v>
      </c>
      <c r="AN1165" s="28" t="s">
        <v>22676</v>
      </c>
      <c r="AO1165" s="28" t="s">
        <v>22677</v>
      </c>
      <c r="AP1165" s="28" t="s">
        <v>20341</v>
      </c>
      <c r="AQ1165" s="28" t="s">
        <v>22678</v>
      </c>
      <c r="AR1165" s="28" t="s">
        <v>226</v>
      </c>
      <c r="AS1165" s="28" t="s">
        <v>20343</v>
      </c>
      <c r="AT1165" s="28" t="s">
        <v>3883</v>
      </c>
      <c r="AU1165" s="28" t="s">
        <v>20344</v>
      </c>
      <c r="AV1165" s="28" t="s">
        <v>162</v>
      </c>
      <c r="AW1165" s="28" t="s">
        <v>22677</v>
      </c>
      <c r="AX1165" s="28" t="s">
        <v>138</v>
      </c>
      <c r="AY1165" s="28" t="s">
        <v>22679</v>
      </c>
      <c r="AZ1165" s="28" t="s">
        <v>164</v>
      </c>
      <c r="BA1165" s="28" t="s">
        <v>165</v>
      </c>
      <c r="BB1165" s="28" t="s">
        <v>22680</v>
      </c>
      <c r="BC1165" s="28" t="s">
        <v>22681</v>
      </c>
      <c r="BD1165" s="33">
        <v>2</v>
      </c>
      <c r="BE1165" s="28" t="s">
        <v>138</v>
      </c>
      <c r="BF1165" s="28" t="s">
        <v>22682</v>
      </c>
      <c r="BG1165" s="28" t="s">
        <v>138</v>
      </c>
      <c r="BH1165" s="28" t="s">
        <v>22683</v>
      </c>
      <c r="BI1165" s="28" t="s">
        <v>22684</v>
      </c>
      <c r="BJ1165" s="28" t="s">
        <v>138</v>
      </c>
      <c r="BK1165" s="28" t="s">
        <v>22685</v>
      </c>
      <c r="BL1165" s="28" t="s">
        <v>22686</v>
      </c>
      <c r="BM1165" s="34">
        <v>40806</v>
      </c>
      <c r="BN1165" s="29">
        <v>20</v>
      </c>
      <c r="BO1165" s="28" t="s">
        <v>172</v>
      </c>
      <c r="BP1165" s="29" t="s">
        <v>138</v>
      </c>
      <c r="BQ1165" s="28" t="s">
        <v>138</v>
      </c>
      <c r="BR1165" s="28" t="s">
        <v>1673</v>
      </c>
      <c r="BS1165" s="28" t="s">
        <v>138</v>
      </c>
      <c r="BT1165" s="28" t="s">
        <v>138</v>
      </c>
      <c r="BU1165" s="28" t="s">
        <v>351</v>
      </c>
      <c r="BV1165" s="28" t="s">
        <v>138</v>
      </c>
      <c r="BW1165" s="28" t="s">
        <v>138</v>
      </c>
      <c r="BX1165" s="28" t="s">
        <v>138</v>
      </c>
      <c r="BY1165" s="28" t="s">
        <v>175</v>
      </c>
      <c r="BZ1165" s="34">
        <v>43600</v>
      </c>
      <c r="CA1165" s="29" t="s">
        <v>138</v>
      </c>
      <c r="CB1165" s="28" t="s">
        <v>138</v>
      </c>
      <c r="CC1165" s="29" t="s">
        <v>138</v>
      </c>
      <c r="CD1165" s="28" t="s">
        <v>138</v>
      </c>
      <c r="CE1165" s="28" t="s">
        <v>349</v>
      </c>
      <c r="CF1165" s="28" t="s">
        <v>138</v>
      </c>
      <c r="CG1165" s="28" t="s">
        <v>138</v>
      </c>
      <c r="CH1165" s="28" t="s">
        <v>351</v>
      </c>
      <c r="CI1165" s="28" t="s">
        <v>138</v>
      </c>
      <c r="CJ1165" s="28" t="s">
        <v>138</v>
      </c>
      <c r="CK1165" s="28" t="s">
        <v>138</v>
      </c>
      <c r="CL1165" s="28" t="s">
        <v>175</v>
      </c>
      <c r="CM1165" s="34">
        <v>43192</v>
      </c>
      <c r="CN1165" s="29" t="s">
        <v>138</v>
      </c>
      <c r="CO1165" s="35">
        <v>-0.12</v>
      </c>
      <c r="CP1165" s="36">
        <v>21</v>
      </c>
      <c r="CQ1165" s="35">
        <v>0.03</v>
      </c>
      <c r="CR1165" s="35">
        <v>21.77</v>
      </c>
      <c r="CS1165" s="35">
        <v>-0.48</v>
      </c>
      <c r="CT1165" s="36">
        <v>19</v>
      </c>
      <c r="CU1165" s="35">
        <v>0.12</v>
      </c>
      <c r="CV1165" s="36">
        <v>71</v>
      </c>
      <c r="CW1165" s="35">
        <v>0.48</v>
      </c>
      <c r="CX1165" s="36">
        <v>82</v>
      </c>
      <c r="CY1165" s="35">
        <v>-1.45</v>
      </c>
      <c r="CZ1165" s="36">
        <v>15</v>
      </c>
      <c r="DA1165" s="35">
        <v>0.12</v>
      </c>
      <c r="DB1165" s="36">
        <v>75</v>
      </c>
      <c r="DC1165" s="37">
        <v>243.96</v>
      </c>
      <c r="DD1165" s="36">
        <v>100</v>
      </c>
      <c r="DE1165" s="37">
        <v>-29</v>
      </c>
      <c r="DF1165" s="35">
        <v>-10.62</v>
      </c>
      <c r="DG1165" s="37">
        <v>726.54</v>
      </c>
      <c r="DH1165" s="36">
        <v>100</v>
      </c>
      <c r="DI1165" s="37">
        <v>5.07</v>
      </c>
      <c r="DJ1165" s="36">
        <v>77</v>
      </c>
      <c r="DK1165" s="37">
        <v>1346.57</v>
      </c>
      <c r="DL1165" s="36">
        <v>100</v>
      </c>
      <c r="DM1165" s="37">
        <v>106.52</v>
      </c>
      <c r="DN1165" s="36">
        <v>99</v>
      </c>
      <c r="DO1165" s="37">
        <v>5.07</v>
      </c>
      <c r="DP1165" s="36">
        <v>79</v>
      </c>
      <c r="DQ1165" s="36">
        <v>461407</v>
      </c>
      <c r="DR1165" s="38">
        <v>1394</v>
      </c>
      <c r="DS1165" s="35">
        <v>0.3</v>
      </c>
      <c r="DT1165" s="36">
        <v>3105</v>
      </c>
      <c r="DU1165" s="38">
        <v>-17</v>
      </c>
      <c r="DV1165" s="35">
        <v>-0.54</v>
      </c>
      <c r="DW1165" s="36">
        <v>1813</v>
      </c>
      <c r="DX1165" s="39">
        <v>2</v>
      </c>
      <c r="DY1165" s="35">
        <v>0.11</v>
      </c>
      <c r="DZ1165" s="28" t="s">
        <v>178</v>
      </c>
      <c r="EA1165" s="34">
        <v>43619</v>
      </c>
      <c r="EB1165" s="29" t="s">
        <v>138</v>
      </c>
      <c r="EC1165" s="34" t="s">
        <v>138</v>
      </c>
      <c r="ED1165" s="28" t="s">
        <v>138</v>
      </c>
      <c r="EE1165" s="40" t="str">
        <f>HYPERLINK("https://my.pitchbook.com?c=52924-51", "View company online")</f>
        <v>View company online</v>
      </c>
    </row>
    <row r="1166" spans="1:135">
      <c r="A1166" s="15" t="s">
        <v>22687</v>
      </c>
      <c r="B1166" s="15" t="s">
        <v>22688</v>
      </c>
      <c r="C1166" s="15" t="s">
        <v>22689</v>
      </c>
      <c r="D1166" s="15" t="s">
        <v>138</v>
      </c>
      <c r="E1166" s="15" t="s">
        <v>138</v>
      </c>
      <c r="F1166" s="15" t="s">
        <v>22687</v>
      </c>
      <c r="G1166" s="15" t="s">
        <v>22690</v>
      </c>
      <c r="H1166" s="15" t="s">
        <v>238</v>
      </c>
      <c r="I1166" s="15" t="s">
        <v>785</v>
      </c>
      <c r="J1166" s="15" t="s">
        <v>786</v>
      </c>
      <c r="K1166" s="15" t="s">
        <v>22691</v>
      </c>
      <c r="L1166" s="15" t="s">
        <v>4703</v>
      </c>
      <c r="M1166" s="15" t="s">
        <v>22692</v>
      </c>
      <c r="N1166" s="15" t="s">
        <v>147</v>
      </c>
      <c r="O1166" s="17">
        <v>4.2</v>
      </c>
      <c r="P1166" s="15" t="s">
        <v>148</v>
      </c>
      <c r="Q1166" s="15" t="s">
        <v>149</v>
      </c>
      <c r="R1166" s="15" t="s">
        <v>244</v>
      </c>
      <c r="S1166" s="15" t="s">
        <v>22693</v>
      </c>
      <c r="T1166" s="18" t="s">
        <v>138</v>
      </c>
      <c r="U1166" s="15" t="s">
        <v>138</v>
      </c>
      <c r="V1166" s="15" t="s">
        <v>138</v>
      </c>
      <c r="W1166" s="15" t="s">
        <v>138</v>
      </c>
      <c r="X1166" s="19">
        <v>2007</v>
      </c>
      <c r="Y1166" s="15" t="s">
        <v>138</v>
      </c>
      <c r="Z1166" s="15" t="s">
        <v>138</v>
      </c>
      <c r="AA1166" s="15" t="s">
        <v>138</v>
      </c>
      <c r="AB1166" s="20">
        <v>7.61</v>
      </c>
      <c r="AC1166" s="20" t="s">
        <v>138</v>
      </c>
      <c r="AD1166" s="20" t="s">
        <v>138</v>
      </c>
      <c r="AE1166" s="20" t="s">
        <v>138</v>
      </c>
      <c r="AF1166" s="20" t="s">
        <v>138</v>
      </c>
      <c r="AG1166" s="15" t="s">
        <v>563</v>
      </c>
      <c r="AH1166" s="20" t="s">
        <v>138</v>
      </c>
      <c r="AI1166" s="20" t="s">
        <v>138</v>
      </c>
      <c r="AJ1166" s="20" t="s">
        <v>138</v>
      </c>
      <c r="AK1166" s="15" t="s">
        <v>22694</v>
      </c>
      <c r="AL1166" s="15" t="s">
        <v>22695</v>
      </c>
      <c r="AM1166" s="15" t="s">
        <v>22696</v>
      </c>
      <c r="AN1166" s="15" t="s">
        <v>22697</v>
      </c>
      <c r="AO1166" s="15" t="s">
        <v>138</v>
      </c>
      <c r="AP1166" s="15" t="s">
        <v>22698</v>
      </c>
      <c r="AQ1166" s="15" t="s">
        <v>22699</v>
      </c>
      <c r="AR1166" s="15" t="s">
        <v>138</v>
      </c>
      <c r="AS1166" s="15" t="s">
        <v>22700</v>
      </c>
      <c r="AT1166" s="15" t="s">
        <v>10654</v>
      </c>
      <c r="AU1166" s="15" t="s">
        <v>22701</v>
      </c>
      <c r="AV1166" s="15" t="s">
        <v>162</v>
      </c>
      <c r="AW1166" s="15" t="s">
        <v>138</v>
      </c>
      <c r="AX1166" s="15" t="s">
        <v>138</v>
      </c>
      <c r="AY1166" s="15" t="s">
        <v>22702</v>
      </c>
      <c r="AZ1166" s="15" t="s">
        <v>164</v>
      </c>
      <c r="BA1166" s="15" t="s">
        <v>165</v>
      </c>
      <c r="BB1166" s="15" t="s">
        <v>22703</v>
      </c>
      <c r="BC1166" s="15" t="s">
        <v>22704</v>
      </c>
      <c r="BD1166" s="21">
        <v>6</v>
      </c>
      <c r="BE1166" s="15" t="s">
        <v>138</v>
      </c>
      <c r="BF1166" s="15" t="s">
        <v>138</v>
      </c>
      <c r="BG1166" s="15" t="s">
        <v>138</v>
      </c>
      <c r="BH1166" s="15" t="s">
        <v>22705</v>
      </c>
      <c r="BI1166" s="15" t="s">
        <v>138</v>
      </c>
      <c r="BJ1166" s="15" t="s">
        <v>138</v>
      </c>
      <c r="BK1166" s="15" t="s">
        <v>138</v>
      </c>
      <c r="BL1166" s="15" t="s">
        <v>22706</v>
      </c>
      <c r="BM1166" s="22">
        <v>41515</v>
      </c>
      <c r="BN1166" s="17" t="s">
        <v>138</v>
      </c>
      <c r="BO1166" s="15" t="s">
        <v>138</v>
      </c>
      <c r="BP1166" s="17" t="s">
        <v>138</v>
      </c>
      <c r="BQ1166" s="15" t="s">
        <v>138</v>
      </c>
      <c r="BR1166" s="15" t="s">
        <v>1326</v>
      </c>
      <c r="BS1166" s="15" t="s">
        <v>138</v>
      </c>
      <c r="BT1166" s="15" t="s">
        <v>138</v>
      </c>
      <c r="BU1166" s="15" t="s">
        <v>1327</v>
      </c>
      <c r="BV1166" s="15" t="s">
        <v>2528</v>
      </c>
      <c r="BW1166" s="15" t="s">
        <v>138</v>
      </c>
      <c r="BX1166" s="15" t="s">
        <v>138</v>
      </c>
      <c r="BY1166" s="15" t="s">
        <v>175</v>
      </c>
      <c r="BZ1166" s="22">
        <v>43252</v>
      </c>
      <c r="CA1166" s="17">
        <v>0.2</v>
      </c>
      <c r="CB1166" s="15" t="s">
        <v>172</v>
      </c>
      <c r="CC1166" s="17" t="s">
        <v>138</v>
      </c>
      <c r="CD1166" s="15" t="s">
        <v>138</v>
      </c>
      <c r="CE1166" s="15" t="s">
        <v>173</v>
      </c>
      <c r="CF1166" s="15" t="s">
        <v>138</v>
      </c>
      <c r="CG1166" s="15" t="s">
        <v>138</v>
      </c>
      <c r="CH1166" s="15" t="s">
        <v>174</v>
      </c>
      <c r="CI1166" s="15" t="s">
        <v>264</v>
      </c>
      <c r="CJ1166" s="15" t="s">
        <v>138</v>
      </c>
      <c r="CK1166" s="15" t="s">
        <v>138</v>
      </c>
      <c r="CL1166" s="15" t="s">
        <v>175</v>
      </c>
      <c r="CM1166" s="22">
        <v>42709</v>
      </c>
      <c r="CN1166" s="17" t="s">
        <v>138</v>
      </c>
      <c r="CO1166" s="23">
        <v>-0.01</v>
      </c>
      <c r="CP1166" s="24">
        <v>25</v>
      </c>
      <c r="CQ1166" s="23">
        <v>0</v>
      </c>
      <c r="CR1166" s="23">
        <v>15.83</v>
      </c>
      <c r="CS1166" s="23">
        <v>0</v>
      </c>
      <c r="CT1166" s="24">
        <v>23</v>
      </c>
      <c r="CU1166" s="23">
        <v>-0.02</v>
      </c>
      <c r="CV1166" s="24">
        <v>17</v>
      </c>
      <c r="CW1166" s="23">
        <v>0</v>
      </c>
      <c r="CX1166" s="24">
        <v>13</v>
      </c>
      <c r="CY1166" s="23">
        <v>0</v>
      </c>
      <c r="CZ1166" s="24">
        <v>25</v>
      </c>
      <c r="DA1166" s="23">
        <v>-0.02</v>
      </c>
      <c r="DB1166" s="24">
        <v>19</v>
      </c>
      <c r="DC1166" s="25">
        <v>24.11</v>
      </c>
      <c r="DD1166" s="24">
        <v>96</v>
      </c>
      <c r="DE1166" s="25">
        <v>-0.02</v>
      </c>
      <c r="DF1166" s="23">
        <v>-0.09</v>
      </c>
      <c r="DG1166" s="25">
        <v>2.38</v>
      </c>
      <c r="DH1166" s="24">
        <v>70</v>
      </c>
      <c r="DI1166" s="25">
        <v>45.85</v>
      </c>
      <c r="DJ1166" s="24">
        <v>95</v>
      </c>
      <c r="DK1166" s="25">
        <v>2.37</v>
      </c>
      <c r="DL1166" s="24">
        <v>67</v>
      </c>
      <c r="DM1166" s="25">
        <v>2.38</v>
      </c>
      <c r="DN1166" s="24">
        <v>69</v>
      </c>
      <c r="DO1166" s="25">
        <v>45.25</v>
      </c>
      <c r="DP1166" s="24">
        <v>96</v>
      </c>
      <c r="DQ1166" s="24">
        <v>792</v>
      </c>
      <c r="DR1166" s="26">
        <v>65</v>
      </c>
      <c r="DS1166" s="23">
        <v>8.94</v>
      </c>
      <c r="DT1166" s="24">
        <v>68</v>
      </c>
      <c r="DU1166" s="26">
        <v>0</v>
      </c>
      <c r="DV1166" s="23">
        <v>0</v>
      </c>
      <c r="DW1166" s="24">
        <v>16203</v>
      </c>
      <c r="DX1166" s="27">
        <v>-5</v>
      </c>
      <c r="DY1166" s="23">
        <v>-0.03</v>
      </c>
      <c r="DZ1166" s="15" t="s">
        <v>178</v>
      </c>
      <c r="EA1166" s="22">
        <v>43593</v>
      </c>
      <c r="EB1166" s="17" t="s">
        <v>138</v>
      </c>
      <c r="EC1166" s="22" t="s">
        <v>138</v>
      </c>
      <c r="ED1166" s="15" t="s">
        <v>138</v>
      </c>
      <c r="EE1166" s="14" t="str">
        <f>HYPERLINK("https://my.pitchbook.com?c=103214-35", "View company online")</f>
        <v>View company online</v>
      </c>
    </row>
    <row r="1167" spans="1:135">
      <c r="A1167" s="28" t="s">
        <v>22707</v>
      </c>
      <c r="B1167" s="28" t="s">
        <v>22708</v>
      </c>
      <c r="C1167" s="28" t="s">
        <v>138</v>
      </c>
      <c r="D1167" s="28" t="s">
        <v>138</v>
      </c>
      <c r="E1167" s="28" t="s">
        <v>138</v>
      </c>
      <c r="F1167" s="28" t="s">
        <v>22707</v>
      </c>
      <c r="G1167" s="28" t="s">
        <v>22709</v>
      </c>
      <c r="H1167" s="28" t="s">
        <v>322</v>
      </c>
      <c r="I1167" s="28" t="s">
        <v>323</v>
      </c>
      <c r="J1167" s="28" t="s">
        <v>413</v>
      </c>
      <c r="K1167" s="28" t="s">
        <v>22710</v>
      </c>
      <c r="L1167" s="28" t="s">
        <v>13113</v>
      </c>
      <c r="M1167" s="28" t="s">
        <v>22711</v>
      </c>
      <c r="N1167" s="28" t="s">
        <v>147</v>
      </c>
      <c r="O1167" s="29" t="s">
        <v>138</v>
      </c>
      <c r="P1167" s="28" t="s">
        <v>148</v>
      </c>
      <c r="Q1167" s="28" t="s">
        <v>149</v>
      </c>
      <c r="R1167" s="28" t="s">
        <v>174</v>
      </c>
      <c r="S1167" s="28" t="s">
        <v>22712</v>
      </c>
      <c r="T1167" s="30">
        <v>51</v>
      </c>
      <c r="U1167" s="28" t="s">
        <v>22713</v>
      </c>
      <c r="V1167" s="28" t="s">
        <v>138</v>
      </c>
      <c r="W1167" s="28" t="s">
        <v>138</v>
      </c>
      <c r="X1167" s="31">
        <v>2000</v>
      </c>
      <c r="Y1167" s="28" t="s">
        <v>138</v>
      </c>
      <c r="Z1167" s="28" t="s">
        <v>138</v>
      </c>
      <c r="AA1167" s="28" t="s">
        <v>138</v>
      </c>
      <c r="AB1167" s="32" t="s">
        <v>138</v>
      </c>
      <c r="AC1167" s="32" t="s">
        <v>138</v>
      </c>
      <c r="AD1167" s="32" t="s">
        <v>138</v>
      </c>
      <c r="AE1167" s="32" t="s">
        <v>138</v>
      </c>
      <c r="AF1167" s="32" t="s">
        <v>138</v>
      </c>
      <c r="AG1167" s="28" t="s">
        <v>138</v>
      </c>
      <c r="AH1167" s="32" t="s">
        <v>138</v>
      </c>
      <c r="AI1167" s="32" t="s">
        <v>138</v>
      </c>
      <c r="AJ1167" s="32" t="s">
        <v>138</v>
      </c>
      <c r="AK1167" s="28" t="s">
        <v>22714</v>
      </c>
      <c r="AL1167" s="28" t="s">
        <v>22715</v>
      </c>
      <c r="AM1167" s="28" t="s">
        <v>986</v>
      </c>
      <c r="AN1167" s="28" t="s">
        <v>22716</v>
      </c>
      <c r="AO1167" s="28" t="s">
        <v>22717</v>
      </c>
      <c r="AP1167" s="28" t="s">
        <v>4601</v>
      </c>
      <c r="AQ1167" s="28" t="s">
        <v>22718</v>
      </c>
      <c r="AR1167" s="28" t="s">
        <v>22719</v>
      </c>
      <c r="AS1167" s="28" t="s">
        <v>4604</v>
      </c>
      <c r="AT1167" s="28" t="s">
        <v>138</v>
      </c>
      <c r="AU1167" s="28" t="s">
        <v>22720</v>
      </c>
      <c r="AV1167" s="28" t="s">
        <v>2071</v>
      </c>
      <c r="AW1167" s="28" t="s">
        <v>22717</v>
      </c>
      <c r="AX1167" s="28" t="s">
        <v>22721</v>
      </c>
      <c r="AY1167" s="28" t="s">
        <v>22722</v>
      </c>
      <c r="AZ1167" s="28" t="s">
        <v>452</v>
      </c>
      <c r="BA1167" s="28" t="s">
        <v>453</v>
      </c>
      <c r="BB1167" s="28" t="s">
        <v>22723</v>
      </c>
      <c r="BC1167" s="28" t="s">
        <v>22724</v>
      </c>
      <c r="BD1167" s="33">
        <v>3</v>
      </c>
      <c r="BE1167" s="28" t="s">
        <v>138</v>
      </c>
      <c r="BF1167" s="28" t="s">
        <v>22725</v>
      </c>
      <c r="BG1167" s="28" t="s">
        <v>138</v>
      </c>
      <c r="BH1167" s="28" t="s">
        <v>22726</v>
      </c>
      <c r="BI1167" s="28" t="s">
        <v>22727</v>
      </c>
      <c r="BJ1167" s="28" t="s">
        <v>138</v>
      </c>
      <c r="BK1167" s="28" t="s">
        <v>138</v>
      </c>
      <c r="BL1167" s="28" t="s">
        <v>138</v>
      </c>
      <c r="BM1167" s="34" t="s">
        <v>138</v>
      </c>
      <c r="BN1167" s="29" t="s">
        <v>138</v>
      </c>
      <c r="BO1167" s="28" t="s">
        <v>138</v>
      </c>
      <c r="BP1167" s="29" t="s">
        <v>138</v>
      </c>
      <c r="BQ1167" s="28" t="s">
        <v>138</v>
      </c>
      <c r="BR1167" s="28" t="s">
        <v>205</v>
      </c>
      <c r="BS1167" s="28" t="s">
        <v>138</v>
      </c>
      <c r="BT1167" s="28" t="s">
        <v>138</v>
      </c>
      <c r="BU1167" s="28" t="s">
        <v>174</v>
      </c>
      <c r="BV1167" s="28" t="s">
        <v>138</v>
      </c>
      <c r="BW1167" s="28" t="s">
        <v>138</v>
      </c>
      <c r="BX1167" s="28" t="s">
        <v>138</v>
      </c>
      <c r="BY1167" s="28" t="s">
        <v>175</v>
      </c>
      <c r="BZ1167" s="34" t="s">
        <v>138</v>
      </c>
      <c r="CA1167" s="29" t="s">
        <v>138</v>
      </c>
      <c r="CB1167" s="28" t="s">
        <v>138</v>
      </c>
      <c r="CC1167" s="29" t="s">
        <v>138</v>
      </c>
      <c r="CD1167" s="28" t="s">
        <v>138</v>
      </c>
      <c r="CE1167" s="28" t="s">
        <v>379</v>
      </c>
      <c r="CF1167" s="28" t="s">
        <v>138</v>
      </c>
      <c r="CG1167" s="28" t="s">
        <v>138</v>
      </c>
      <c r="CH1167" s="28" t="s">
        <v>174</v>
      </c>
      <c r="CI1167" s="28" t="s">
        <v>138</v>
      </c>
      <c r="CJ1167" s="28" t="s">
        <v>138</v>
      </c>
      <c r="CK1167" s="28" t="s">
        <v>138</v>
      </c>
      <c r="CL1167" s="28" t="s">
        <v>175</v>
      </c>
      <c r="CM1167" s="34" t="s">
        <v>138</v>
      </c>
      <c r="CN1167" s="29" t="s">
        <v>138</v>
      </c>
      <c r="CO1167" s="35">
        <v>0</v>
      </c>
      <c r="CP1167" s="36">
        <v>26</v>
      </c>
      <c r="CQ1167" s="35">
        <v>0</v>
      </c>
      <c r="CR1167" s="35">
        <v>0</v>
      </c>
      <c r="CS1167" s="35">
        <v>0</v>
      </c>
      <c r="CT1167" s="36">
        <v>23</v>
      </c>
      <c r="CU1167" s="35">
        <v>0</v>
      </c>
      <c r="CV1167" s="36">
        <v>22</v>
      </c>
      <c r="CW1167" s="35" t="s">
        <v>138</v>
      </c>
      <c r="CX1167" s="36" t="s">
        <v>138</v>
      </c>
      <c r="CY1167" s="35">
        <v>0</v>
      </c>
      <c r="CZ1167" s="36">
        <v>25</v>
      </c>
      <c r="DA1167" s="35" t="s">
        <v>138</v>
      </c>
      <c r="DB1167" s="36" t="s">
        <v>138</v>
      </c>
      <c r="DC1167" s="37">
        <v>0.43</v>
      </c>
      <c r="DD1167" s="36">
        <v>30</v>
      </c>
      <c r="DE1167" s="37">
        <v>0</v>
      </c>
      <c r="DF1167" s="35">
        <v>0</v>
      </c>
      <c r="DG1167" s="37">
        <v>0.83</v>
      </c>
      <c r="DH1167" s="36">
        <v>46</v>
      </c>
      <c r="DI1167" s="37">
        <v>0.03</v>
      </c>
      <c r="DJ1167" s="36">
        <v>5</v>
      </c>
      <c r="DK1167" s="37" t="s">
        <v>138</v>
      </c>
      <c r="DL1167" s="36" t="s">
        <v>138</v>
      </c>
      <c r="DM1167" s="37">
        <v>0.83</v>
      </c>
      <c r="DN1167" s="36">
        <v>46</v>
      </c>
      <c r="DO1167" s="37" t="s">
        <v>138</v>
      </c>
      <c r="DP1167" s="36" t="s">
        <v>138</v>
      </c>
      <c r="DQ1167" s="36" t="s">
        <v>138</v>
      </c>
      <c r="DR1167" s="38" t="s">
        <v>138</v>
      </c>
      <c r="DS1167" s="35" t="s">
        <v>138</v>
      </c>
      <c r="DT1167" s="36">
        <v>24</v>
      </c>
      <c r="DU1167" s="38">
        <v>1</v>
      </c>
      <c r="DV1167" s="35">
        <v>4.3499999999999996</v>
      </c>
      <c r="DW1167" s="36" t="s">
        <v>138</v>
      </c>
      <c r="DX1167" s="39" t="s">
        <v>138</v>
      </c>
      <c r="DY1167" s="35" t="s">
        <v>138</v>
      </c>
      <c r="DZ1167" s="28" t="s">
        <v>178</v>
      </c>
      <c r="EA1167" s="34">
        <v>43613</v>
      </c>
      <c r="EB1167" s="29" t="s">
        <v>138</v>
      </c>
      <c r="EC1167" s="34" t="s">
        <v>138</v>
      </c>
      <c r="ED1167" s="28" t="s">
        <v>138</v>
      </c>
      <c r="EE1167" s="40" t="str">
        <f>HYPERLINK("https://my.pitchbook.com?c=54407-44", "View company online")</f>
        <v>View company online</v>
      </c>
    </row>
    <row r="1168" spans="1:135">
      <c r="A1168" s="15" t="s">
        <v>22728</v>
      </c>
      <c r="B1168" s="15" t="s">
        <v>22729</v>
      </c>
      <c r="C1168" s="15" t="s">
        <v>138</v>
      </c>
      <c r="D1168" s="15" t="s">
        <v>138</v>
      </c>
      <c r="E1168" s="15" t="s">
        <v>22730</v>
      </c>
      <c r="F1168" s="15" t="s">
        <v>22728</v>
      </c>
      <c r="G1168" s="15" t="s">
        <v>22731</v>
      </c>
      <c r="H1168" s="15" t="s">
        <v>238</v>
      </c>
      <c r="I1168" s="15" t="s">
        <v>239</v>
      </c>
      <c r="J1168" s="15" t="s">
        <v>2578</v>
      </c>
      <c r="K1168" s="15" t="s">
        <v>22732</v>
      </c>
      <c r="L1168" s="15" t="s">
        <v>138</v>
      </c>
      <c r="M1168" s="15" t="s">
        <v>22733</v>
      </c>
      <c r="N1168" s="15" t="s">
        <v>147</v>
      </c>
      <c r="O1168" s="17">
        <v>4.88</v>
      </c>
      <c r="P1168" s="15" t="s">
        <v>148</v>
      </c>
      <c r="Q1168" s="15" t="s">
        <v>149</v>
      </c>
      <c r="R1168" s="15" t="s">
        <v>174</v>
      </c>
      <c r="S1168" s="15" t="s">
        <v>22734</v>
      </c>
      <c r="T1168" s="18">
        <v>10</v>
      </c>
      <c r="U1168" s="15" t="s">
        <v>8007</v>
      </c>
      <c r="V1168" s="15" t="s">
        <v>138</v>
      </c>
      <c r="W1168" s="15" t="s">
        <v>138</v>
      </c>
      <c r="X1168" s="19">
        <v>2014</v>
      </c>
      <c r="Y1168" s="15" t="s">
        <v>138</v>
      </c>
      <c r="Z1168" s="15" t="s">
        <v>138</v>
      </c>
      <c r="AA1168" s="15" t="s">
        <v>138</v>
      </c>
      <c r="AB1168" s="20" t="s">
        <v>138</v>
      </c>
      <c r="AC1168" s="20" t="s">
        <v>138</v>
      </c>
      <c r="AD1168" s="20" t="s">
        <v>138</v>
      </c>
      <c r="AE1168" s="20" t="s">
        <v>138</v>
      </c>
      <c r="AF1168" s="20" t="s">
        <v>138</v>
      </c>
      <c r="AG1168" s="15" t="s">
        <v>138</v>
      </c>
      <c r="AH1168" s="20" t="s">
        <v>138</v>
      </c>
      <c r="AI1168" s="20" t="s">
        <v>138</v>
      </c>
      <c r="AJ1168" s="20" t="s">
        <v>138</v>
      </c>
      <c r="AK1168" s="15" t="s">
        <v>22735</v>
      </c>
      <c r="AL1168" s="15" t="s">
        <v>22736</v>
      </c>
      <c r="AM1168" s="15" t="s">
        <v>304</v>
      </c>
      <c r="AN1168" s="15" t="s">
        <v>22737</v>
      </c>
      <c r="AO1168" s="15" t="s">
        <v>138</v>
      </c>
      <c r="AP1168" s="15" t="s">
        <v>10535</v>
      </c>
      <c r="AQ1168" s="15" t="s">
        <v>22738</v>
      </c>
      <c r="AR1168" s="15" t="s">
        <v>1170</v>
      </c>
      <c r="AS1168" s="15" t="s">
        <v>10537</v>
      </c>
      <c r="AT1168" s="15" t="s">
        <v>5271</v>
      </c>
      <c r="AU1168" s="15" t="s">
        <v>22739</v>
      </c>
      <c r="AV1168" s="15" t="s">
        <v>162</v>
      </c>
      <c r="AW1168" s="15" t="s">
        <v>138</v>
      </c>
      <c r="AX1168" s="15" t="s">
        <v>138</v>
      </c>
      <c r="AY1168" s="15" t="s">
        <v>22740</v>
      </c>
      <c r="AZ1168" s="15" t="s">
        <v>164</v>
      </c>
      <c r="BA1168" s="15" t="s">
        <v>165</v>
      </c>
      <c r="BB1168" s="15" t="s">
        <v>22741</v>
      </c>
      <c r="BC1168" s="15" t="s">
        <v>22742</v>
      </c>
      <c r="BD1168" s="21">
        <v>7</v>
      </c>
      <c r="BE1168" s="15" t="s">
        <v>138</v>
      </c>
      <c r="BF1168" s="15" t="s">
        <v>138</v>
      </c>
      <c r="BG1168" s="15" t="s">
        <v>138</v>
      </c>
      <c r="BH1168" s="15" t="s">
        <v>22743</v>
      </c>
      <c r="BI1168" s="15" t="s">
        <v>138</v>
      </c>
      <c r="BJ1168" s="15" t="s">
        <v>138</v>
      </c>
      <c r="BK1168" s="15" t="s">
        <v>138</v>
      </c>
      <c r="BL1168" s="15" t="s">
        <v>138</v>
      </c>
      <c r="BM1168" s="22">
        <v>42307</v>
      </c>
      <c r="BN1168" s="17">
        <v>0.48</v>
      </c>
      <c r="BO1168" s="15" t="s">
        <v>172</v>
      </c>
      <c r="BP1168" s="17">
        <v>2.35</v>
      </c>
      <c r="BQ1168" s="15" t="s">
        <v>172</v>
      </c>
      <c r="BR1168" s="15" t="s">
        <v>234</v>
      </c>
      <c r="BS1168" s="15" t="s">
        <v>234</v>
      </c>
      <c r="BT1168" s="15" t="s">
        <v>138</v>
      </c>
      <c r="BU1168" s="15" t="s">
        <v>174</v>
      </c>
      <c r="BV1168" s="15" t="s">
        <v>138</v>
      </c>
      <c r="BW1168" s="15" t="s">
        <v>138</v>
      </c>
      <c r="BX1168" s="15" t="s">
        <v>138</v>
      </c>
      <c r="BY1168" s="15" t="s">
        <v>175</v>
      </c>
      <c r="BZ1168" s="22">
        <v>43524</v>
      </c>
      <c r="CA1168" s="17">
        <v>3.65</v>
      </c>
      <c r="CB1168" s="15" t="s">
        <v>172</v>
      </c>
      <c r="CC1168" s="17">
        <v>15.65</v>
      </c>
      <c r="CD1168" s="15" t="s">
        <v>172</v>
      </c>
      <c r="CE1168" s="15" t="s">
        <v>205</v>
      </c>
      <c r="CF1168" s="15" t="s">
        <v>206</v>
      </c>
      <c r="CG1168" s="15" t="s">
        <v>138</v>
      </c>
      <c r="CH1168" s="15" t="s">
        <v>174</v>
      </c>
      <c r="CI1168" s="15" t="s">
        <v>138</v>
      </c>
      <c r="CJ1168" s="15" t="s">
        <v>138</v>
      </c>
      <c r="CK1168" s="15" t="s">
        <v>138</v>
      </c>
      <c r="CL1168" s="15" t="s">
        <v>175</v>
      </c>
      <c r="CM1168" s="22" t="s">
        <v>138</v>
      </c>
      <c r="CN1168" s="17" t="s">
        <v>138</v>
      </c>
      <c r="CO1168" s="23">
        <v>0.5</v>
      </c>
      <c r="CP1168" s="24">
        <v>95</v>
      </c>
      <c r="CQ1168" s="23">
        <v>0.01</v>
      </c>
      <c r="CR1168" s="23">
        <v>1.85</v>
      </c>
      <c r="CS1168" s="23">
        <v>0.69</v>
      </c>
      <c r="CT1168" s="24">
        <v>96</v>
      </c>
      <c r="CU1168" s="23">
        <v>0.31</v>
      </c>
      <c r="CV1168" s="24">
        <v>88</v>
      </c>
      <c r="CW1168" s="23">
        <v>2.27</v>
      </c>
      <c r="CX1168" s="24">
        <v>89</v>
      </c>
      <c r="CY1168" s="23">
        <v>-0.89</v>
      </c>
      <c r="CZ1168" s="24">
        <v>20</v>
      </c>
      <c r="DA1168" s="23">
        <v>0.47</v>
      </c>
      <c r="DB1168" s="24">
        <v>93</v>
      </c>
      <c r="DC1168" s="25">
        <v>40.65</v>
      </c>
      <c r="DD1168" s="24">
        <v>97</v>
      </c>
      <c r="DE1168" s="25">
        <v>-1.79</v>
      </c>
      <c r="DF1168" s="23">
        <v>-4.2300000000000004</v>
      </c>
      <c r="DG1168" s="25">
        <v>35.89</v>
      </c>
      <c r="DH1168" s="24">
        <v>97</v>
      </c>
      <c r="DI1168" s="25">
        <v>45.4</v>
      </c>
      <c r="DJ1168" s="24">
        <v>95</v>
      </c>
      <c r="DK1168" s="25">
        <v>55.27</v>
      </c>
      <c r="DL1168" s="24">
        <v>96</v>
      </c>
      <c r="DM1168" s="25">
        <v>16.52</v>
      </c>
      <c r="DN1168" s="24">
        <v>93</v>
      </c>
      <c r="DO1168" s="25">
        <v>6.37</v>
      </c>
      <c r="DP1168" s="24">
        <v>82</v>
      </c>
      <c r="DQ1168" s="24">
        <v>18564</v>
      </c>
      <c r="DR1168" s="26">
        <v>1174</v>
      </c>
      <c r="DS1168" s="23">
        <v>6.75</v>
      </c>
      <c r="DT1168" s="24">
        <v>479</v>
      </c>
      <c r="DU1168" s="26">
        <v>0</v>
      </c>
      <c r="DV1168" s="23">
        <v>0</v>
      </c>
      <c r="DW1168" s="24">
        <v>2279</v>
      </c>
      <c r="DX1168" s="27">
        <v>10</v>
      </c>
      <c r="DY1168" s="23">
        <v>0.44</v>
      </c>
      <c r="DZ1168" s="15" t="s">
        <v>178</v>
      </c>
      <c r="EA1168" s="22">
        <v>43607</v>
      </c>
      <c r="EB1168" s="17">
        <v>15.65</v>
      </c>
      <c r="EC1168" s="22">
        <v>43524</v>
      </c>
      <c r="ED1168" s="15" t="s">
        <v>205</v>
      </c>
      <c r="EE1168" s="14" t="str">
        <f>HYPERLINK("https://my.pitchbook.com?c=113218-66", "View company online")</f>
        <v>View company online</v>
      </c>
    </row>
    <row r="1169" spans="1:135">
      <c r="A1169" s="28" t="s">
        <v>22744</v>
      </c>
      <c r="B1169" s="28" t="s">
        <v>22745</v>
      </c>
      <c r="C1169" s="28" t="s">
        <v>138</v>
      </c>
      <c r="D1169" s="28" t="s">
        <v>22746</v>
      </c>
      <c r="E1169" s="28" t="s">
        <v>138</v>
      </c>
      <c r="F1169" s="28" t="s">
        <v>22744</v>
      </c>
      <c r="G1169" s="28" t="s">
        <v>22747</v>
      </c>
      <c r="H1169" s="28" t="s">
        <v>322</v>
      </c>
      <c r="I1169" s="28" t="s">
        <v>356</v>
      </c>
      <c r="J1169" s="28" t="s">
        <v>2106</v>
      </c>
      <c r="K1169" s="28" t="s">
        <v>17862</v>
      </c>
      <c r="L1169" s="28" t="s">
        <v>215</v>
      </c>
      <c r="M1169" s="28" t="s">
        <v>22748</v>
      </c>
      <c r="N1169" s="28" t="s">
        <v>147</v>
      </c>
      <c r="O1169" s="29">
        <v>7.85</v>
      </c>
      <c r="P1169" s="28" t="s">
        <v>610</v>
      </c>
      <c r="Q1169" s="28" t="s">
        <v>149</v>
      </c>
      <c r="R1169" s="28" t="s">
        <v>174</v>
      </c>
      <c r="S1169" s="28" t="s">
        <v>22749</v>
      </c>
      <c r="T1169" s="30" t="s">
        <v>138</v>
      </c>
      <c r="U1169" s="28" t="s">
        <v>138</v>
      </c>
      <c r="V1169" s="28" t="s">
        <v>138</v>
      </c>
      <c r="W1169" s="28" t="s">
        <v>138</v>
      </c>
      <c r="X1169" s="31">
        <v>2016</v>
      </c>
      <c r="Y1169" s="28" t="s">
        <v>138</v>
      </c>
      <c r="Z1169" s="28" t="s">
        <v>138</v>
      </c>
      <c r="AA1169" s="28" t="s">
        <v>138</v>
      </c>
      <c r="AB1169" s="32" t="s">
        <v>138</v>
      </c>
      <c r="AC1169" s="32" t="s">
        <v>138</v>
      </c>
      <c r="AD1169" s="32" t="s">
        <v>138</v>
      </c>
      <c r="AE1169" s="32" t="s">
        <v>138</v>
      </c>
      <c r="AF1169" s="32" t="s">
        <v>138</v>
      </c>
      <c r="AG1169" s="28" t="s">
        <v>138</v>
      </c>
      <c r="AH1169" s="32" t="s">
        <v>138</v>
      </c>
      <c r="AI1169" s="32" t="s">
        <v>138</v>
      </c>
      <c r="AJ1169" s="32" t="s">
        <v>138</v>
      </c>
      <c r="AK1169" s="28" t="s">
        <v>22750</v>
      </c>
      <c r="AL1169" s="28" t="s">
        <v>22751</v>
      </c>
      <c r="AM1169" s="28" t="s">
        <v>938</v>
      </c>
      <c r="AN1169" s="28" t="s">
        <v>22752</v>
      </c>
      <c r="AO1169" s="28" t="s">
        <v>138</v>
      </c>
      <c r="AP1169" s="28" t="s">
        <v>1195</v>
      </c>
      <c r="AQ1169" s="28" t="s">
        <v>22753</v>
      </c>
      <c r="AR1169" s="28" t="s">
        <v>22754</v>
      </c>
      <c r="AS1169" s="28" t="s">
        <v>1198</v>
      </c>
      <c r="AT1169" s="28" t="s">
        <v>138</v>
      </c>
      <c r="AU1169" s="28" t="s">
        <v>22755</v>
      </c>
      <c r="AV1169" s="28" t="s">
        <v>1200</v>
      </c>
      <c r="AW1169" s="28" t="s">
        <v>138</v>
      </c>
      <c r="AX1169" s="28" t="s">
        <v>138</v>
      </c>
      <c r="AY1169" s="28" t="s">
        <v>22756</v>
      </c>
      <c r="AZ1169" s="28" t="s">
        <v>452</v>
      </c>
      <c r="BA1169" s="28" t="s">
        <v>453</v>
      </c>
      <c r="BB1169" s="28" t="s">
        <v>22757</v>
      </c>
      <c r="BC1169" s="28" t="s">
        <v>22758</v>
      </c>
      <c r="BD1169" s="33">
        <v>8</v>
      </c>
      <c r="BE1169" s="28" t="s">
        <v>138</v>
      </c>
      <c r="BF1169" s="28" t="s">
        <v>138</v>
      </c>
      <c r="BG1169" s="28" t="s">
        <v>138</v>
      </c>
      <c r="BH1169" s="28" t="s">
        <v>22759</v>
      </c>
      <c r="BI1169" s="28" t="s">
        <v>138</v>
      </c>
      <c r="BJ1169" s="28" t="s">
        <v>138</v>
      </c>
      <c r="BK1169" s="28" t="s">
        <v>138</v>
      </c>
      <c r="BL1169" s="28" t="s">
        <v>138</v>
      </c>
      <c r="BM1169" s="34">
        <v>42373</v>
      </c>
      <c r="BN1169" s="29">
        <v>0.47</v>
      </c>
      <c r="BO1169" s="28" t="s">
        <v>172</v>
      </c>
      <c r="BP1169" s="29" t="s">
        <v>138</v>
      </c>
      <c r="BQ1169" s="28" t="s">
        <v>138</v>
      </c>
      <c r="BR1169" s="28" t="s">
        <v>176</v>
      </c>
      <c r="BS1169" s="28" t="s">
        <v>138</v>
      </c>
      <c r="BT1169" s="28" t="s">
        <v>138</v>
      </c>
      <c r="BU1169" s="28" t="s">
        <v>177</v>
      </c>
      <c r="BV1169" s="28" t="s">
        <v>138</v>
      </c>
      <c r="BW1169" s="28" t="s">
        <v>138</v>
      </c>
      <c r="BX1169" s="28" t="s">
        <v>138</v>
      </c>
      <c r="BY1169" s="28" t="s">
        <v>175</v>
      </c>
      <c r="BZ1169" s="34">
        <v>42991</v>
      </c>
      <c r="CA1169" s="29">
        <v>7.3</v>
      </c>
      <c r="CB1169" s="28" t="s">
        <v>172</v>
      </c>
      <c r="CC1169" s="29" t="s">
        <v>138</v>
      </c>
      <c r="CD1169" s="28" t="s">
        <v>138</v>
      </c>
      <c r="CE1169" s="28" t="s">
        <v>205</v>
      </c>
      <c r="CF1169" s="28" t="s">
        <v>206</v>
      </c>
      <c r="CG1169" s="28" t="s">
        <v>138</v>
      </c>
      <c r="CH1169" s="28" t="s">
        <v>174</v>
      </c>
      <c r="CI1169" s="28" t="s">
        <v>138</v>
      </c>
      <c r="CJ1169" s="28" t="s">
        <v>138</v>
      </c>
      <c r="CK1169" s="28" t="s">
        <v>138</v>
      </c>
      <c r="CL1169" s="28" t="s">
        <v>175</v>
      </c>
      <c r="CM1169" s="34" t="s">
        <v>138</v>
      </c>
      <c r="CN1169" s="29" t="s">
        <v>138</v>
      </c>
      <c r="CO1169" s="35">
        <v>-0.7</v>
      </c>
      <c r="CP1169" s="36">
        <v>14</v>
      </c>
      <c r="CQ1169" s="35">
        <v>-0.14000000000000001</v>
      </c>
      <c r="CR1169" s="35">
        <v>-25.18</v>
      </c>
      <c r="CS1169" s="35">
        <v>-1.76</v>
      </c>
      <c r="CT1169" s="36">
        <v>10</v>
      </c>
      <c r="CU1169" s="35">
        <v>0.37</v>
      </c>
      <c r="CV1169" s="36">
        <v>90</v>
      </c>
      <c r="CW1169" s="35" t="s">
        <v>138</v>
      </c>
      <c r="CX1169" s="36" t="s">
        <v>138</v>
      </c>
      <c r="CY1169" s="35">
        <v>-1.76</v>
      </c>
      <c r="CZ1169" s="36">
        <v>13</v>
      </c>
      <c r="DA1169" s="35">
        <v>0.46</v>
      </c>
      <c r="DB1169" s="36">
        <v>93</v>
      </c>
      <c r="DC1169" s="37">
        <v>3.9</v>
      </c>
      <c r="DD1169" s="36">
        <v>79</v>
      </c>
      <c r="DE1169" s="37">
        <v>-0.05</v>
      </c>
      <c r="DF1169" s="35">
        <v>-1.33</v>
      </c>
      <c r="DG1169" s="37">
        <v>6.9</v>
      </c>
      <c r="DH1169" s="36">
        <v>86</v>
      </c>
      <c r="DI1169" s="37">
        <v>0.91</v>
      </c>
      <c r="DJ1169" s="36">
        <v>47</v>
      </c>
      <c r="DK1169" s="37" t="s">
        <v>138</v>
      </c>
      <c r="DL1169" s="36" t="s">
        <v>138</v>
      </c>
      <c r="DM1169" s="37">
        <v>6.9</v>
      </c>
      <c r="DN1169" s="36">
        <v>85</v>
      </c>
      <c r="DO1169" s="37">
        <v>1.33</v>
      </c>
      <c r="DP1169" s="36">
        <v>56</v>
      </c>
      <c r="DQ1169" s="36" t="s">
        <v>138</v>
      </c>
      <c r="DR1169" s="38" t="s">
        <v>138</v>
      </c>
      <c r="DS1169" s="35" t="s">
        <v>138</v>
      </c>
      <c r="DT1169" s="36">
        <v>201</v>
      </c>
      <c r="DU1169" s="38">
        <v>-1</v>
      </c>
      <c r="DV1169" s="35">
        <v>-0.5</v>
      </c>
      <c r="DW1169" s="36">
        <v>477</v>
      </c>
      <c r="DX1169" s="39">
        <v>-1</v>
      </c>
      <c r="DY1169" s="35">
        <v>-0.21</v>
      </c>
      <c r="DZ1169" s="28" t="s">
        <v>178</v>
      </c>
      <c r="EA1169" s="34">
        <v>43622</v>
      </c>
      <c r="EB1169" s="29" t="s">
        <v>138</v>
      </c>
      <c r="EC1169" s="34" t="s">
        <v>138</v>
      </c>
      <c r="ED1169" s="28" t="s">
        <v>138</v>
      </c>
      <c r="EE1169" s="40" t="str">
        <f>HYPERLINK("https://my.pitchbook.com?c=174161-17", "View company online")</f>
        <v>View company online</v>
      </c>
    </row>
    <row r="1170" spans="1:135">
      <c r="A1170" s="15" t="s">
        <v>22760</v>
      </c>
      <c r="B1170" s="15" t="s">
        <v>22761</v>
      </c>
      <c r="C1170" s="15" t="s">
        <v>138</v>
      </c>
      <c r="D1170" s="15" t="s">
        <v>138</v>
      </c>
      <c r="E1170" s="15" t="s">
        <v>22762</v>
      </c>
      <c r="F1170" s="15" t="s">
        <v>22760</v>
      </c>
      <c r="G1170" s="15" t="s">
        <v>22763</v>
      </c>
      <c r="H1170" s="15" t="s">
        <v>322</v>
      </c>
      <c r="I1170" s="15" t="s">
        <v>323</v>
      </c>
      <c r="J1170" s="15" t="s">
        <v>2984</v>
      </c>
      <c r="K1170" s="15" t="s">
        <v>22764</v>
      </c>
      <c r="L1170" s="15" t="s">
        <v>22765</v>
      </c>
      <c r="M1170" s="15" t="s">
        <v>22766</v>
      </c>
      <c r="N1170" s="15" t="s">
        <v>1452</v>
      </c>
      <c r="O1170" s="17">
        <v>2313.7399999999998</v>
      </c>
      <c r="P1170" s="15" t="s">
        <v>812</v>
      </c>
      <c r="Q1170" s="15" t="s">
        <v>149</v>
      </c>
      <c r="R1170" s="15" t="s">
        <v>1474</v>
      </c>
      <c r="S1170" s="15" t="s">
        <v>22767</v>
      </c>
      <c r="T1170" s="18">
        <v>3500</v>
      </c>
      <c r="U1170" s="15" t="s">
        <v>22768</v>
      </c>
      <c r="V1170" s="15" t="s">
        <v>138</v>
      </c>
      <c r="W1170" s="15" t="s">
        <v>138</v>
      </c>
      <c r="X1170" s="19">
        <v>1993</v>
      </c>
      <c r="Y1170" s="15" t="s">
        <v>138</v>
      </c>
      <c r="Z1170" s="15" t="s">
        <v>138</v>
      </c>
      <c r="AA1170" s="15" t="s">
        <v>138</v>
      </c>
      <c r="AB1170" s="20">
        <v>1000</v>
      </c>
      <c r="AC1170" s="20" t="s">
        <v>138</v>
      </c>
      <c r="AD1170" s="20" t="s">
        <v>138</v>
      </c>
      <c r="AE1170" s="20" t="s">
        <v>138</v>
      </c>
      <c r="AF1170" s="20" t="s">
        <v>138</v>
      </c>
      <c r="AG1170" s="15" t="s">
        <v>514</v>
      </c>
      <c r="AH1170" s="20" t="s">
        <v>138</v>
      </c>
      <c r="AI1170" s="20" t="s">
        <v>138</v>
      </c>
      <c r="AJ1170" s="20" t="s">
        <v>138</v>
      </c>
      <c r="AK1170" s="15" t="s">
        <v>22769</v>
      </c>
      <c r="AL1170" s="15" t="s">
        <v>22770</v>
      </c>
      <c r="AM1170" s="15" t="s">
        <v>20689</v>
      </c>
      <c r="AN1170" s="15" t="s">
        <v>22771</v>
      </c>
      <c r="AO1170" s="15" t="s">
        <v>22772</v>
      </c>
      <c r="AP1170" s="15" t="s">
        <v>307</v>
      </c>
      <c r="AQ1170" s="15" t="s">
        <v>22773</v>
      </c>
      <c r="AR1170" s="15" t="s">
        <v>138</v>
      </c>
      <c r="AS1170" s="15" t="s">
        <v>310</v>
      </c>
      <c r="AT1170" s="15" t="s">
        <v>200</v>
      </c>
      <c r="AU1170" s="15" t="s">
        <v>798</v>
      </c>
      <c r="AV1170" s="15" t="s">
        <v>162</v>
      </c>
      <c r="AW1170" s="15" t="s">
        <v>22772</v>
      </c>
      <c r="AX1170" s="15" t="s">
        <v>22774</v>
      </c>
      <c r="AY1170" s="15" t="s">
        <v>138</v>
      </c>
      <c r="AZ1170" s="15" t="s">
        <v>164</v>
      </c>
      <c r="BA1170" s="15" t="s">
        <v>165</v>
      </c>
      <c r="BB1170" s="15" t="s">
        <v>22775</v>
      </c>
      <c r="BC1170" s="15" t="s">
        <v>22776</v>
      </c>
      <c r="BD1170" s="21">
        <v>6</v>
      </c>
      <c r="BE1170" s="15" t="s">
        <v>138</v>
      </c>
      <c r="BF1170" s="15" t="s">
        <v>22777</v>
      </c>
      <c r="BG1170" s="15" t="s">
        <v>22778</v>
      </c>
      <c r="BH1170" s="15" t="s">
        <v>22779</v>
      </c>
      <c r="BI1170" s="15" t="s">
        <v>22780</v>
      </c>
      <c r="BJ1170" s="15" t="s">
        <v>22781</v>
      </c>
      <c r="BK1170" s="15" t="s">
        <v>22782</v>
      </c>
      <c r="BL1170" s="15" t="s">
        <v>22783</v>
      </c>
      <c r="BM1170" s="22" t="s">
        <v>138</v>
      </c>
      <c r="BN1170" s="17" t="s">
        <v>138</v>
      </c>
      <c r="BO1170" s="15" t="s">
        <v>138</v>
      </c>
      <c r="BP1170" s="17" t="s">
        <v>138</v>
      </c>
      <c r="BQ1170" s="15" t="s">
        <v>138</v>
      </c>
      <c r="BR1170" s="15" t="s">
        <v>205</v>
      </c>
      <c r="BS1170" s="15" t="s">
        <v>138</v>
      </c>
      <c r="BT1170" s="15" t="s">
        <v>138</v>
      </c>
      <c r="BU1170" s="15" t="s">
        <v>174</v>
      </c>
      <c r="BV1170" s="15" t="s">
        <v>1644</v>
      </c>
      <c r="BW1170" s="15" t="s">
        <v>138</v>
      </c>
      <c r="BX1170" s="15" t="s">
        <v>138</v>
      </c>
      <c r="BY1170" s="15" t="s">
        <v>175</v>
      </c>
      <c r="BZ1170" s="22">
        <v>43118</v>
      </c>
      <c r="CA1170" s="17">
        <v>2313.7399999999998</v>
      </c>
      <c r="CB1170" s="15" t="s">
        <v>172</v>
      </c>
      <c r="CC1170" s="17" t="s">
        <v>138</v>
      </c>
      <c r="CD1170" s="15" t="s">
        <v>138</v>
      </c>
      <c r="CE1170" s="15" t="s">
        <v>1326</v>
      </c>
      <c r="CF1170" s="15" t="s">
        <v>138</v>
      </c>
      <c r="CG1170" s="15" t="s">
        <v>138</v>
      </c>
      <c r="CH1170" s="15" t="s">
        <v>1327</v>
      </c>
      <c r="CI1170" s="15" t="s">
        <v>1328</v>
      </c>
      <c r="CJ1170" s="15" t="s">
        <v>138</v>
      </c>
      <c r="CK1170" s="15" t="s">
        <v>138</v>
      </c>
      <c r="CL1170" s="15" t="s">
        <v>175</v>
      </c>
      <c r="CM1170" s="22">
        <v>43118</v>
      </c>
      <c r="CN1170" s="17">
        <v>2313.7399999999998</v>
      </c>
      <c r="CO1170" s="23">
        <v>-0.05</v>
      </c>
      <c r="CP1170" s="24">
        <v>22</v>
      </c>
      <c r="CQ1170" s="23">
        <v>0.01</v>
      </c>
      <c r="CR1170" s="23">
        <v>16.28</v>
      </c>
      <c r="CS1170" s="23">
        <v>-0.09</v>
      </c>
      <c r="CT1170" s="24">
        <v>22</v>
      </c>
      <c r="CU1170" s="23">
        <v>-0.02</v>
      </c>
      <c r="CV1170" s="24">
        <v>17</v>
      </c>
      <c r="CW1170" s="23">
        <v>1.77</v>
      </c>
      <c r="CX1170" s="24">
        <v>87</v>
      </c>
      <c r="CY1170" s="23">
        <v>-1.94</v>
      </c>
      <c r="CZ1170" s="24">
        <v>12</v>
      </c>
      <c r="DA1170" s="23">
        <v>-0.02</v>
      </c>
      <c r="DB1170" s="24">
        <v>19</v>
      </c>
      <c r="DC1170" s="25">
        <v>239.11</v>
      </c>
      <c r="DD1170" s="24">
        <v>100</v>
      </c>
      <c r="DE1170" s="25">
        <v>30.21</v>
      </c>
      <c r="DF1170" s="23">
        <v>14.46</v>
      </c>
      <c r="DG1170" s="25">
        <v>160.47999999999999</v>
      </c>
      <c r="DH1170" s="24">
        <v>100</v>
      </c>
      <c r="DI1170" s="25">
        <v>317.74</v>
      </c>
      <c r="DJ1170" s="24">
        <v>99</v>
      </c>
      <c r="DK1170" s="25">
        <v>91.16</v>
      </c>
      <c r="DL1170" s="24">
        <v>97</v>
      </c>
      <c r="DM1170" s="25">
        <v>229.79</v>
      </c>
      <c r="DN1170" s="24">
        <v>100</v>
      </c>
      <c r="DO1170" s="25">
        <v>317.74</v>
      </c>
      <c r="DP1170" s="24">
        <v>100</v>
      </c>
      <c r="DQ1170" s="24">
        <v>30906</v>
      </c>
      <c r="DR1170" s="26">
        <v>1086</v>
      </c>
      <c r="DS1170" s="23">
        <v>3.64</v>
      </c>
      <c r="DT1170" s="24">
        <v>6668</v>
      </c>
      <c r="DU1170" s="26">
        <v>0</v>
      </c>
      <c r="DV1170" s="23">
        <v>0</v>
      </c>
      <c r="DW1170" s="24">
        <v>113758</v>
      </c>
      <c r="DX1170" s="27">
        <v>-22</v>
      </c>
      <c r="DY1170" s="23">
        <v>-0.02</v>
      </c>
      <c r="DZ1170" s="15" t="s">
        <v>178</v>
      </c>
      <c r="EA1170" s="22">
        <v>43622</v>
      </c>
      <c r="EB1170" s="17">
        <v>5300</v>
      </c>
      <c r="EC1170" s="22">
        <v>42222</v>
      </c>
      <c r="ED1170" s="15" t="s">
        <v>349</v>
      </c>
      <c r="EE1170" s="14" t="str">
        <f>HYPERLINK("https://my.pitchbook.com?c=41162-14", "View company online")</f>
        <v>View company online</v>
      </c>
    </row>
    <row r="1171" spans="1:135">
      <c r="A1171" s="28" t="s">
        <v>22784</v>
      </c>
      <c r="B1171" s="28" t="s">
        <v>22785</v>
      </c>
      <c r="C1171" s="28" t="s">
        <v>22786</v>
      </c>
      <c r="D1171" s="28" t="s">
        <v>22787</v>
      </c>
      <c r="E1171" s="28" t="s">
        <v>22788</v>
      </c>
      <c r="F1171" s="28" t="s">
        <v>22784</v>
      </c>
      <c r="G1171" s="28" t="s">
        <v>22789</v>
      </c>
      <c r="H1171" s="28" t="s">
        <v>322</v>
      </c>
      <c r="I1171" s="28" t="s">
        <v>323</v>
      </c>
      <c r="J1171" s="28" t="s">
        <v>324</v>
      </c>
      <c r="K1171" s="28" t="s">
        <v>2464</v>
      </c>
      <c r="L1171" s="28" t="s">
        <v>215</v>
      </c>
      <c r="M1171" s="28" t="s">
        <v>22790</v>
      </c>
      <c r="N1171" s="28" t="s">
        <v>1452</v>
      </c>
      <c r="O1171" s="29">
        <v>7685.57</v>
      </c>
      <c r="P1171" s="28" t="s">
        <v>812</v>
      </c>
      <c r="Q1171" s="28" t="s">
        <v>149</v>
      </c>
      <c r="R1171" s="28" t="s">
        <v>1652</v>
      </c>
      <c r="S1171" s="28" t="s">
        <v>22791</v>
      </c>
      <c r="T1171" s="30">
        <v>17300</v>
      </c>
      <c r="U1171" s="28" t="s">
        <v>22792</v>
      </c>
      <c r="V1171" s="28" t="s">
        <v>138</v>
      </c>
      <c r="W1171" s="28" t="s">
        <v>138</v>
      </c>
      <c r="X1171" s="31">
        <v>2002</v>
      </c>
      <c r="Y1171" s="28" t="s">
        <v>138</v>
      </c>
      <c r="Z1171" s="28" t="s">
        <v>1163</v>
      </c>
      <c r="AA1171" s="28" t="s">
        <v>1163</v>
      </c>
      <c r="AB1171" s="32">
        <v>3000</v>
      </c>
      <c r="AC1171" s="32" t="s">
        <v>138</v>
      </c>
      <c r="AD1171" s="32" t="s">
        <v>138</v>
      </c>
      <c r="AE1171" s="32" t="s">
        <v>138</v>
      </c>
      <c r="AF1171" s="32" t="s">
        <v>138</v>
      </c>
      <c r="AG1171" s="28" t="s">
        <v>815</v>
      </c>
      <c r="AH1171" s="32" t="s">
        <v>138</v>
      </c>
      <c r="AI1171" s="32" t="s">
        <v>138</v>
      </c>
      <c r="AJ1171" s="32" t="s">
        <v>138</v>
      </c>
      <c r="AK1171" s="28" t="s">
        <v>22793</v>
      </c>
      <c r="AL1171" s="28" t="s">
        <v>22794</v>
      </c>
      <c r="AM1171" s="28" t="s">
        <v>249</v>
      </c>
      <c r="AN1171" s="28" t="s">
        <v>22795</v>
      </c>
      <c r="AO1171" s="28" t="s">
        <v>22510</v>
      </c>
      <c r="AP1171" s="28" t="s">
        <v>423</v>
      </c>
      <c r="AQ1171" s="28" t="s">
        <v>22796</v>
      </c>
      <c r="AR1171" s="28" t="s">
        <v>138</v>
      </c>
      <c r="AS1171" s="28" t="s">
        <v>426</v>
      </c>
      <c r="AT1171" s="28" t="s">
        <v>426</v>
      </c>
      <c r="AU1171" s="28" t="s">
        <v>549</v>
      </c>
      <c r="AV1171" s="28" t="s">
        <v>162</v>
      </c>
      <c r="AW1171" s="28" t="s">
        <v>22797</v>
      </c>
      <c r="AX1171" s="28" t="s">
        <v>22798</v>
      </c>
      <c r="AY1171" s="28" t="s">
        <v>22799</v>
      </c>
      <c r="AZ1171" s="28" t="s">
        <v>164</v>
      </c>
      <c r="BA1171" s="28" t="s">
        <v>165</v>
      </c>
      <c r="BB1171" s="28" t="s">
        <v>22800</v>
      </c>
      <c r="BC1171" s="28" t="s">
        <v>22801</v>
      </c>
      <c r="BD1171" s="33">
        <v>5</v>
      </c>
      <c r="BE1171" s="28" t="s">
        <v>138</v>
      </c>
      <c r="BF1171" s="28" t="s">
        <v>22802</v>
      </c>
      <c r="BG1171" s="28" t="s">
        <v>138</v>
      </c>
      <c r="BH1171" s="28" t="s">
        <v>22803</v>
      </c>
      <c r="BI1171" s="28" t="s">
        <v>22804</v>
      </c>
      <c r="BJ1171" s="28" t="s">
        <v>138</v>
      </c>
      <c r="BK1171" s="28" t="s">
        <v>22805</v>
      </c>
      <c r="BL1171" s="28" t="s">
        <v>22806</v>
      </c>
      <c r="BM1171" s="34">
        <v>37411</v>
      </c>
      <c r="BN1171" s="29">
        <v>13.5</v>
      </c>
      <c r="BO1171" s="28" t="s">
        <v>172</v>
      </c>
      <c r="BP1171" s="29">
        <v>13.5</v>
      </c>
      <c r="BQ1171" s="28" t="s">
        <v>172</v>
      </c>
      <c r="BR1171" s="28" t="s">
        <v>349</v>
      </c>
      <c r="BS1171" s="28" t="s">
        <v>3785</v>
      </c>
      <c r="BT1171" s="28" t="s">
        <v>138</v>
      </c>
      <c r="BU1171" s="28" t="s">
        <v>351</v>
      </c>
      <c r="BV1171" s="28" t="s">
        <v>138</v>
      </c>
      <c r="BW1171" s="28" t="s">
        <v>138</v>
      </c>
      <c r="BX1171" s="28" t="s">
        <v>138</v>
      </c>
      <c r="BY1171" s="28" t="s">
        <v>175</v>
      </c>
      <c r="BZ1171" s="34">
        <v>43481</v>
      </c>
      <c r="CA1171" s="29">
        <v>1500</v>
      </c>
      <c r="CB1171" s="28" t="s">
        <v>172</v>
      </c>
      <c r="CC1171" s="29" t="s">
        <v>138</v>
      </c>
      <c r="CD1171" s="28" t="s">
        <v>138</v>
      </c>
      <c r="CE1171" s="28" t="s">
        <v>1673</v>
      </c>
      <c r="CF1171" s="28" t="s">
        <v>138</v>
      </c>
      <c r="CG1171" s="28" t="s">
        <v>138</v>
      </c>
      <c r="CH1171" s="28" t="s">
        <v>351</v>
      </c>
      <c r="CI1171" s="28" t="s">
        <v>138</v>
      </c>
      <c r="CJ1171" s="28" t="s">
        <v>138</v>
      </c>
      <c r="CK1171" s="28" t="s">
        <v>138</v>
      </c>
      <c r="CL1171" s="28" t="s">
        <v>352</v>
      </c>
      <c r="CM1171" s="34">
        <v>42158</v>
      </c>
      <c r="CN1171" s="29">
        <v>3.01</v>
      </c>
      <c r="CO1171" s="35">
        <v>0.47</v>
      </c>
      <c r="CP1171" s="36">
        <v>95</v>
      </c>
      <c r="CQ1171" s="35">
        <v>0.06</v>
      </c>
      <c r="CR1171" s="35">
        <v>13.82</v>
      </c>
      <c r="CS1171" s="35">
        <v>0.9</v>
      </c>
      <c r="CT1171" s="36">
        <v>96</v>
      </c>
      <c r="CU1171" s="35">
        <v>0.2</v>
      </c>
      <c r="CV1171" s="36">
        <v>80</v>
      </c>
      <c r="CW1171" s="35">
        <v>3.21</v>
      </c>
      <c r="CX1171" s="36">
        <v>92</v>
      </c>
      <c r="CY1171" s="35">
        <v>-1.4</v>
      </c>
      <c r="CZ1171" s="36">
        <v>16</v>
      </c>
      <c r="DA1171" s="35">
        <v>0.15</v>
      </c>
      <c r="DB1171" s="36">
        <v>78</v>
      </c>
      <c r="DC1171" s="37">
        <v>75.94</v>
      </c>
      <c r="DD1171" s="36">
        <v>99</v>
      </c>
      <c r="DE1171" s="37">
        <v>-27.74</v>
      </c>
      <c r="DF1171" s="35">
        <v>-26.76</v>
      </c>
      <c r="DG1171" s="37">
        <v>234.55</v>
      </c>
      <c r="DH1171" s="36">
        <v>100</v>
      </c>
      <c r="DI1171" s="37">
        <v>36.49</v>
      </c>
      <c r="DJ1171" s="36">
        <v>94</v>
      </c>
      <c r="DK1171" s="37">
        <v>118.76</v>
      </c>
      <c r="DL1171" s="36">
        <v>98</v>
      </c>
      <c r="DM1171" s="37">
        <v>350.34</v>
      </c>
      <c r="DN1171" s="36">
        <v>100</v>
      </c>
      <c r="DO1171" s="37">
        <v>50.88</v>
      </c>
      <c r="DP1171" s="36">
        <v>97</v>
      </c>
      <c r="DQ1171" s="36">
        <v>41304</v>
      </c>
      <c r="DR1171" s="38">
        <v>-1711</v>
      </c>
      <c r="DS1171" s="35">
        <v>-3.98</v>
      </c>
      <c r="DT1171" s="36">
        <v>10171</v>
      </c>
      <c r="DU1171" s="38">
        <v>-21</v>
      </c>
      <c r="DV1171" s="35">
        <v>-0.21</v>
      </c>
      <c r="DW1171" s="36">
        <v>18205</v>
      </c>
      <c r="DX1171" s="39">
        <v>18</v>
      </c>
      <c r="DY1171" s="35">
        <v>0.1</v>
      </c>
      <c r="DZ1171" s="28" t="s">
        <v>178</v>
      </c>
      <c r="EA1171" s="34">
        <v>43622</v>
      </c>
      <c r="EB1171" s="29">
        <v>10000</v>
      </c>
      <c r="EC1171" s="34">
        <v>42787</v>
      </c>
      <c r="ED1171" s="28" t="s">
        <v>1673</v>
      </c>
      <c r="EE1171" s="40" t="str">
        <f>HYPERLINK("https://my.pitchbook.com?c=10134-19", "View company online")</f>
        <v>View company online</v>
      </c>
    </row>
    <row r="1172" spans="1:135">
      <c r="A1172" s="15" t="s">
        <v>22807</v>
      </c>
      <c r="B1172" s="15" t="s">
        <v>22808</v>
      </c>
      <c r="C1172" s="15" t="s">
        <v>22809</v>
      </c>
      <c r="D1172" s="15" t="s">
        <v>22810</v>
      </c>
      <c r="E1172" s="15" t="s">
        <v>22811</v>
      </c>
      <c r="F1172" s="15" t="s">
        <v>22807</v>
      </c>
      <c r="G1172" s="15" t="s">
        <v>22812</v>
      </c>
      <c r="H1172" s="15" t="s">
        <v>322</v>
      </c>
      <c r="I1172" s="15" t="s">
        <v>323</v>
      </c>
      <c r="J1172" s="15" t="s">
        <v>2984</v>
      </c>
      <c r="K1172" s="15" t="s">
        <v>22813</v>
      </c>
      <c r="L1172" s="15" t="s">
        <v>17367</v>
      </c>
      <c r="M1172" s="15" t="s">
        <v>22814</v>
      </c>
      <c r="N1172" s="15" t="s">
        <v>147</v>
      </c>
      <c r="O1172" s="17">
        <v>120.73</v>
      </c>
      <c r="P1172" s="15" t="s">
        <v>148</v>
      </c>
      <c r="Q1172" s="15" t="s">
        <v>149</v>
      </c>
      <c r="R1172" s="15" t="s">
        <v>174</v>
      </c>
      <c r="S1172" s="15" t="s">
        <v>22815</v>
      </c>
      <c r="T1172" s="18">
        <v>150</v>
      </c>
      <c r="U1172" s="15" t="s">
        <v>22816</v>
      </c>
      <c r="V1172" s="15" t="s">
        <v>138</v>
      </c>
      <c r="W1172" s="15" t="s">
        <v>138</v>
      </c>
      <c r="X1172" s="19">
        <v>2012</v>
      </c>
      <c r="Y1172" s="15" t="s">
        <v>138</v>
      </c>
      <c r="Z1172" s="15" t="s">
        <v>138</v>
      </c>
      <c r="AA1172" s="15" t="s">
        <v>138</v>
      </c>
      <c r="AB1172" s="20" t="s">
        <v>138</v>
      </c>
      <c r="AC1172" s="20" t="s">
        <v>138</v>
      </c>
      <c r="AD1172" s="20" t="s">
        <v>138</v>
      </c>
      <c r="AE1172" s="20" t="s">
        <v>138</v>
      </c>
      <c r="AF1172" s="20" t="s">
        <v>138</v>
      </c>
      <c r="AG1172" s="15" t="s">
        <v>138</v>
      </c>
      <c r="AH1172" s="20" t="s">
        <v>138</v>
      </c>
      <c r="AI1172" s="20" t="s">
        <v>138</v>
      </c>
      <c r="AJ1172" s="20" t="s">
        <v>138</v>
      </c>
      <c r="AK1172" s="15" t="s">
        <v>22817</v>
      </c>
      <c r="AL1172" s="15" t="s">
        <v>22818</v>
      </c>
      <c r="AM1172" s="15" t="s">
        <v>8243</v>
      </c>
      <c r="AN1172" s="15" t="s">
        <v>22819</v>
      </c>
      <c r="AO1172" s="15" t="s">
        <v>22820</v>
      </c>
      <c r="AP1172" s="15" t="s">
        <v>665</v>
      </c>
      <c r="AQ1172" s="15" t="s">
        <v>13486</v>
      </c>
      <c r="AR1172" s="15" t="s">
        <v>6688</v>
      </c>
      <c r="AS1172" s="15" t="s">
        <v>668</v>
      </c>
      <c r="AT1172" s="15" t="s">
        <v>200</v>
      </c>
      <c r="AU1172" s="15" t="s">
        <v>691</v>
      </c>
      <c r="AV1172" s="15" t="s">
        <v>162</v>
      </c>
      <c r="AW1172" s="15" t="s">
        <v>22820</v>
      </c>
      <c r="AX1172" s="15" t="s">
        <v>138</v>
      </c>
      <c r="AY1172" s="15" t="s">
        <v>22821</v>
      </c>
      <c r="AZ1172" s="15" t="s">
        <v>164</v>
      </c>
      <c r="BA1172" s="15" t="s">
        <v>165</v>
      </c>
      <c r="BB1172" s="15" t="s">
        <v>22822</v>
      </c>
      <c r="BC1172" s="15" t="s">
        <v>22823</v>
      </c>
      <c r="BD1172" s="21">
        <v>13</v>
      </c>
      <c r="BE1172" s="15" t="s">
        <v>138</v>
      </c>
      <c r="BF1172" s="15" t="s">
        <v>138</v>
      </c>
      <c r="BG1172" s="15" t="s">
        <v>138</v>
      </c>
      <c r="BH1172" s="15" t="s">
        <v>22824</v>
      </c>
      <c r="BI1172" s="15" t="s">
        <v>138</v>
      </c>
      <c r="BJ1172" s="15" t="s">
        <v>138</v>
      </c>
      <c r="BK1172" s="15" t="s">
        <v>22825</v>
      </c>
      <c r="BL1172" s="15" t="s">
        <v>1275</v>
      </c>
      <c r="BM1172" s="22">
        <v>41359</v>
      </c>
      <c r="BN1172" s="17">
        <v>0.1</v>
      </c>
      <c r="BO1172" s="15" t="s">
        <v>172</v>
      </c>
      <c r="BP1172" s="17" t="s">
        <v>138</v>
      </c>
      <c r="BQ1172" s="15" t="s">
        <v>138</v>
      </c>
      <c r="BR1172" s="15" t="s">
        <v>316</v>
      </c>
      <c r="BS1172" s="15" t="s">
        <v>138</v>
      </c>
      <c r="BT1172" s="15" t="s">
        <v>138</v>
      </c>
      <c r="BU1172" s="15" t="s">
        <v>177</v>
      </c>
      <c r="BV1172" s="15" t="s">
        <v>138</v>
      </c>
      <c r="BW1172" s="15" t="s">
        <v>138</v>
      </c>
      <c r="BX1172" s="15" t="s">
        <v>138</v>
      </c>
      <c r="BY1172" s="15" t="s">
        <v>175</v>
      </c>
      <c r="BZ1172" s="22">
        <v>43493</v>
      </c>
      <c r="CA1172" s="17">
        <v>60</v>
      </c>
      <c r="CB1172" s="15" t="s">
        <v>172</v>
      </c>
      <c r="CC1172" s="17">
        <v>400</v>
      </c>
      <c r="CD1172" s="15" t="s">
        <v>172</v>
      </c>
      <c r="CE1172" s="15" t="s">
        <v>173</v>
      </c>
      <c r="CF1172" s="15" t="s">
        <v>433</v>
      </c>
      <c r="CG1172" s="15" t="s">
        <v>138</v>
      </c>
      <c r="CH1172" s="15" t="s">
        <v>174</v>
      </c>
      <c r="CI1172" s="15" t="s">
        <v>138</v>
      </c>
      <c r="CJ1172" s="15" t="s">
        <v>138</v>
      </c>
      <c r="CK1172" s="15" t="s">
        <v>138</v>
      </c>
      <c r="CL1172" s="15" t="s">
        <v>175</v>
      </c>
      <c r="CM1172" s="22" t="s">
        <v>138</v>
      </c>
      <c r="CN1172" s="17" t="s">
        <v>138</v>
      </c>
      <c r="CO1172" s="23">
        <v>0.85</v>
      </c>
      <c r="CP1172" s="24">
        <v>97</v>
      </c>
      <c r="CQ1172" s="23">
        <v>0.04</v>
      </c>
      <c r="CR1172" s="23">
        <v>5.37</v>
      </c>
      <c r="CS1172" s="23">
        <v>1.08</v>
      </c>
      <c r="CT1172" s="24">
        <v>97</v>
      </c>
      <c r="CU1172" s="23">
        <v>0.61</v>
      </c>
      <c r="CV1172" s="24">
        <v>95</v>
      </c>
      <c r="CW1172" s="23">
        <v>1.08</v>
      </c>
      <c r="CX1172" s="24">
        <v>85</v>
      </c>
      <c r="CY1172" s="23" t="s">
        <v>138</v>
      </c>
      <c r="CZ1172" s="24" t="s">
        <v>138</v>
      </c>
      <c r="DA1172" s="23">
        <v>0.61</v>
      </c>
      <c r="DB1172" s="24">
        <v>96</v>
      </c>
      <c r="DC1172" s="25">
        <v>53.07</v>
      </c>
      <c r="DD1172" s="24">
        <v>98</v>
      </c>
      <c r="DE1172" s="25">
        <v>3.75</v>
      </c>
      <c r="DF1172" s="23">
        <v>7.6</v>
      </c>
      <c r="DG1172" s="25">
        <v>72.13</v>
      </c>
      <c r="DH1172" s="24">
        <v>99</v>
      </c>
      <c r="DI1172" s="25">
        <v>34.01</v>
      </c>
      <c r="DJ1172" s="24">
        <v>93</v>
      </c>
      <c r="DK1172" s="25">
        <v>72.13</v>
      </c>
      <c r="DL1172" s="24">
        <v>97</v>
      </c>
      <c r="DM1172" s="25" t="s">
        <v>138</v>
      </c>
      <c r="DN1172" s="24" t="s">
        <v>138</v>
      </c>
      <c r="DO1172" s="25">
        <v>34.01</v>
      </c>
      <c r="DP1172" s="24">
        <v>95</v>
      </c>
      <c r="DQ1172" s="24">
        <v>24715</v>
      </c>
      <c r="DR1172" s="26">
        <v>72</v>
      </c>
      <c r="DS1172" s="23">
        <v>0.28999999999999998</v>
      </c>
      <c r="DT1172" s="24" t="s">
        <v>138</v>
      </c>
      <c r="DU1172" s="26" t="s">
        <v>138</v>
      </c>
      <c r="DV1172" s="23" t="s">
        <v>138</v>
      </c>
      <c r="DW1172" s="24">
        <v>12151</v>
      </c>
      <c r="DX1172" s="27">
        <v>64</v>
      </c>
      <c r="DY1172" s="23">
        <v>0.53</v>
      </c>
      <c r="DZ1172" s="15" t="s">
        <v>178</v>
      </c>
      <c r="EA1172" s="22">
        <v>43622</v>
      </c>
      <c r="EB1172" s="17">
        <v>400</v>
      </c>
      <c r="EC1172" s="22">
        <v>43493</v>
      </c>
      <c r="ED1172" s="15" t="s">
        <v>173</v>
      </c>
      <c r="EE1172" s="14" t="str">
        <f>HYPERLINK("https://my.pitchbook.com?c=56364-94", "View company online")</f>
        <v>View company online</v>
      </c>
    </row>
    <row r="1173" spans="1:135">
      <c r="A1173" s="28" t="s">
        <v>22826</v>
      </c>
      <c r="B1173" s="28" t="s">
        <v>22827</v>
      </c>
      <c r="C1173" s="28" t="s">
        <v>138</v>
      </c>
      <c r="D1173" s="28" t="s">
        <v>138</v>
      </c>
      <c r="E1173" s="28" t="s">
        <v>22828</v>
      </c>
      <c r="F1173" s="28" t="s">
        <v>22826</v>
      </c>
      <c r="G1173" s="28" t="s">
        <v>22829</v>
      </c>
      <c r="H1173" s="28" t="s">
        <v>322</v>
      </c>
      <c r="I1173" s="28" t="s">
        <v>1208</v>
      </c>
      <c r="J1173" s="28" t="s">
        <v>1209</v>
      </c>
      <c r="K1173" s="28" t="s">
        <v>22830</v>
      </c>
      <c r="L1173" s="28" t="s">
        <v>1972</v>
      </c>
      <c r="M1173" s="28" t="s">
        <v>22831</v>
      </c>
      <c r="N1173" s="28" t="s">
        <v>147</v>
      </c>
      <c r="O1173" s="29">
        <v>48.46</v>
      </c>
      <c r="P1173" s="28" t="s">
        <v>610</v>
      </c>
      <c r="Q1173" s="28" t="s">
        <v>149</v>
      </c>
      <c r="R1173" s="28" t="s">
        <v>174</v>
      </c>
      <c r="S1173" s="28" t="s">
        <v>22832</v>
      </c>
      <c r="T1173" s="30">
        <v>105</v>
      </c>
      <c r="U1173" s="28" t="s">
        <v>22833</v>
      </c>
      <c r="V1173" s="28" t="s">
        <v>138</v>
      </c>
      <c r="W1173" s="28" t="s">
        <v>138</v>
      </c>
      <c r="X1173" s="31">
        <v>2010</v>
      </c>
      <c r="Y1173" s="28" t="s">
        <v>138</v>
      </c>
      <c r="Z1173" s="28" t="s">
        <v>138</v>
      </c>
      <c r="AA1173" s="28" t="s">
        <v>138</v>
      </c>
      <c r="AB1173" s="32" t="s">
        <v>138</v>
      </c>
      <c r="AC1173" s="32" t="s">
        <v>138</v>
      </c>
      <c r="AD1173" s="32" t="s">
        <v>138</v>
      </c>
      <c r="AE1173" s="32" t="s">
        <v>138</v>
      </c>
      <c r="AF1173" s="32" t="s">
        <v>138</v>
      </c>
      <c r="AG1173" s="28" t="s">
        <v>138</v>
      </c>
      <c r="AH1173" s="32" t="s">
        <v>138</v>
      </c>
      <c r="AI1173" s="32" t="s">
        <v>138</v>
      </c>
      <c r="AJ1173" s="32" t="s">
        <v>138</v>
      </c>
      <c r="AK1173" s="28" t="s">
        <v>22834</v>
      </c>
      <c r="AL1173" s="28" t="s">
        <v>22835</v>
      </c>
      <c r="AM1173" s="28" t="s">
        <v>221</v>
      </c>
      <c r="AN1173" s="28" t="s">
        <v>22836</v>
      </c>
      <c r="AO1173" s="28" t="s">
        <v>22837</v>
      </c>
      <c r="AP1173" s="28" t="s">
        <v>3839</v>
      </c>
      <c r="AQ1173" s="28" t="s">
        <v>22838</v>
      </c>
      <c r="AR1173" s="28" t="s">
        <v>22839</v>
      </c>
      <c r="AS1173" s="28" t="s">
        <v>3841</v>
      </c>
      <c r="AT1173" s="28" t="s">
        <v>200</v>
      </c>
      <c r="AU1173" s="28" t="s">
        <v>3842</v>
      </c>
      <c r="AV1173" s="28" t="s">
        <v>162</v>
      </c>
      <c r="AW1173" s="28" t="s">
        <v>22837</v>
      </c>
      <c r="AX1173" s="28" t="s">
        <v>138</v>
      </c>
      <c r="AY1173" s="28" t="s">
        <v>22840</v>
      </c>
      <c r="AZ1173" s="28" t="s">
        <v>164</v>
      </c>
      <c r="BA1173" s="28" t="s">
        <v>165</v>
      </c>
      <c r="BB1173" s="28" t="s">
        <v>22841</v>
      </c>
      <c r="BC1173" s="28" t="s">
        <v>22842</v>
      </c>
      <c r="BD1173" s="33">
        <v>10</v>
      </c>
      <c r="BE1173" s="28" t="s">
        <v>138</v>
      </c>
      <c r="BF1173" s="28" t="s">
        <v>138</v>
      </c>
      <c r="BG1173" s="28" t="s">
        <v>138</v>
      </c>
      <c r="BH1173" s="28" t="s">
        <v>22843</v>
      </c>
      <c r="BI1173" s="28" t="s">
        <v>138</v>
      </c>
      <c r="BJ1173" s="28" t="s">
        <v>138</v>
      </c>
      <c r="BK1173" s="28" t="s">
        <v>4256</v>
      </c>
      <c r="BL1173" s="28" t="s">
        <v>432</v>
      </c>
      <c r="BM1173" s="34">
        <v>41390</v>
      </c>
      <c r="BN1173" s="29">
        <v>9.32</v>
      </c>
      <c r="BO1173" s="28" t="s">
        <v>172</v>
      </c>
      <c r="BP1173" s="29">
        <v>26.65</v>
      </c>
      <c r="BQ1173" s="28" t="s">
        <v>172</v>
      </c>
      <c r="BR1173" s="28" t="s">
        <v>205</v>
      </c>
      <c r="BS1173" s="28" t="s">
        <v>206</v>
      </c>
      <c r="BT1173" s="28" t="s">
        <v>138</v>
      </c>
      <c r="BU1173" s="28" t="s">
        <v>174</v>
      </c>
      <c r="BV1173" s="28" t="s">
        <v>138</v>
      </c>
      <c r="BW1173" s="28" t="s">
        <v>138</v>
      </c>
      <c r="BX1173" s="28" t="s">
        <v>138</v>
      </c>
      <c r="BY1173" s="28" t="s">
        <v>175</v>
      </c>
      <c r="BZ1173" s="34">
        <v>42765</v>
      </c>
      <c r="CA1173" s="29">
        <v>4</v>
      </c>
      <c r="CB1173" s="28" t="s">
        <v>172</v>
      </c>
      <c r="CC1173" s="29">
        <v>25</v>
      </c>
      <c r="CD1173" s="28" t="s">
        <v>172</v>
      </c>
      <c r="CE1173" s="28" t="s">
        <v>173</v>
      </c>
      <c r="CF1173" s="28" t="s">
        <v>433</v>
      </c>
      <c r="CG1173" s="28" t="s">
        <v>138</v>
      </c>
      <c r="CH1173" s="28" t="s">
        <v>174</v>
      </c>
      <c r="CI1173" s="28" t="s">
        <v>138</v>
      </c>
      <c r="CJ1173" s="28" t="s">
        <v>138</v>
      </c>
      <c r="CK1173" s="28" t="s">
        <v>138</v>
      </c>
      <c r="CL1173" s="28" t="s">
        <v>175</v>
      </c>
      <c r="CM1173" s="34" t="s">
        <v>138</v>
      </c>
      <c r="CN1173" s="29" t="s">
        <v>138</v>
      </c>
      <c r="CO1173" s="35">
        <v>-7.37</v>
      </c>
      <c r="CP1173" s="36">
        <v>1</v>
      </c>
      <c r="CQ1173" s="35">
        <v>-0.04</v>
      </c>
      <c r="CR1173" s="35">
        <v>-0.48</v>
      </c>
      <c r="CS1173" s="35">
        <v>-7.37</v>
      </c>
      <c r="CT1173" s="36">
        <v>1</v>
      </c>
      <c r="CU1173" s="35" t="s">
        <v>138</v>
      </c>
      <c r="CV1173" s="36" t="s">
        <v>138</v>
      </c>
      <c r="CW1173" s="35" t="s">
        <v>138</v>
      </c>
      <c r="CX1173" s="36" t="s">
        <v>138</v>
      </c>
      <c r="CY1173" s="35">
        <v>-7.37</v>
      </c>
      <c r="CZ1173" s="36">
        <v>1</v>
      </c>
      <c r="DA1173" s="35" t="s">
        <v>138</v>
      </c>
      <c r="DB1173" s="36" t="s">
        <v>138</v>
      </c>
      <c r="DC1173" s="37">
        <v>12.17</v>
      </c>
      <c r="DD1173" s="36">
        <v>92</v>
      </c>
      <c r="DE1173" s="37">
        <v>-0.03</v>
      </c>
      <c r="DF1173" s="35">
        <v>-0.28000000000000003</v>
      </c>
      <c r="DG1173" s="37">
        <v>12.17</v>
      </c>
      <c r="DH1173" s="36">
        <v>91</v>
      </c>
      <c r="DI1173" s="37" t="s">
        <v>138</v>
      </c>
      <c r="DJ1173" s="36" t="s">
        <v>138</v>
      </c>
      <c r="DK1173" s="37" t="s">
        <v>138</v>
      </c>
      <c r="DL1173" s="36" t="s">
        <v>138</v>
      </c>
      <c r="DM1173" s="37">
        <v>12.17</v>
      </c>
      <c r="DN1173" s="36">
        <v>90</v>
      </c>
      <c r="DO1173" s="37" t="s">
        <v>138</v>
      </c>
      <c r="DP1173" s="36" t="s">
        <v>138</v>
      </c>
      <c r="DQ1173" s="36" t="s">
        <v>138</v>
      </c>
      <c r="DR1173" s="38" t="s">
        <v>138</v>
      </c>
      <c r="DS1173" s="35" t="s">
        <v>138</v>
      </c>
      <c r="DT1173" s="36">
        <v>353</v>
      </c>
      <c r="DU1173" s="38">
        <v>-1</v>
      </c>
      <c r="DV1173" s="35">
        <v>-0.28000000000000003</v>
      </c>
      <c r="DW1173" s="36" t="s">
        <v>138</v>
      </c>
      <c r="DX1173" s="39" t="s">
        <v>138</v>
      </c>
      <c r="DY1173" s="35" t="s">
        <v>138</v>
      </c>
      <c r="DZ1173" s="28" t="s">
        <v>178</v>
      </c>
      <c r="EA1173" s="34">
        <v>43405</v>
      </c>
      <c r="EB1173" s="29">
        <v>25</v>
      </c>
      <c r="EC1173" s="34">
        <v>42765</v>
      </c>
      <c r="ED1173" s="28" t="s">
        <v>173</v>
      </c>
      <c r="EE1173" s="40" t="str">
        <f>HYPERLINK("https://my.pitchbook.com?c=60616-18", "View company online")</f>
        <v>View company online</v>
      </c>
    </row>
    <row r="1174" spans="1:135">
      <c r="A1174" s="15" t="s">
        <v>22844</v>
      </c>
      <c r="B1174" s="15" t="s">
        <v>22845</v>
      </c>
      <c r="C1174" s="15" t="s">
        <v>138</v>
      </c>
      <c r="D1174" s="15" t="s">
        <v>138</v>
      </c>
      <c r="E1174" s="15" t="s">
        <v>22846</v>
      </c>
      <c r="F1174" s="15" t="s">
        <v>22844</v>
      </c>
      <c r="G1174" s="15" t="s">
        <v>22847</v>
      </c>
      <c r="H1174" s="15" t="s">
        <v>141</v>
      </c>
      <c r="I1174" s="15" t="s">
        <v>212</v>
      </c>
      <c r="J1174" s="15" t="s">
        <v>213</v>
      </c>
      <c r="K1174" s="15" t="s">
        <v>22848</v>
      </c>
      <c r="L1174" s="15" t="s">
        <v>22630</v>
      </c>
      <c r="M1174" s="15" t="s">
        <v>22849</v>
      </c>
      <c r="N1174" s="15" t="s">
        <v>147</v>
      </c>
      <c r="O1174" s="17">
        <v>6</v>
      </c>
      <c r="P1174" s="15" t="s">
        <v>148</v>
      </c>
      <c r="Q1174" s="15" t="s">
        <v>149</v>
      </c>
      <c r="R1174" s="15" t="s">
        <v>174</v>
      </c>
      <c r="S1174" s="15" t="s">
        <v>22850</v>
      </c>
      <c r="T1174" s="18">
        <v>28</v>
      </c>
      <c r="U1174" s="15" t="s">
        <v>22851</v>
      </c>
      <c r="V1174" s="15" t="s">
        <v>138</v>
      </c>
      <c r="W1174" s="15" t="s">
        <v>138</v>
      </c>
      <c r="X1174" s="19">
        <v>2013</v>
      </c>
      <c r="Y1174" s="15" t="s">
        <v>138</v>
      </c>
      <c r="Z1174" s="15" t="s">
        <v>138</v>
      </c>
      <c r="AA1174" s="15" t="s">
        <v>138</v>
      </c>
      <c r="AB1174" s="20" t="s">
        <v>138</v>
      </c>
      <c r="AC1174" s="20" t="s">
        <v>138</v>
      </c>
      <c r="AD1174" s="20" t="s">
        <v>138</v>
      </c>
      <c r="AE1174" s="20" t="s">
        <v>138</v>
      </c>
      <c r="AF1174" s="20" t="s">
        <v>138</v>
      </c>
      <c r="AG1174" s="15" t="s">
        <v>138</v>
      </c>
      <c r="AH1174" s="20" t="s">
        <v>138</v>
      </c>
      <c r="AI1174" s="20" t="s">
        <v>138</v>
      </c>
      <c r="AJ1174" s="20" t="s">
        <v>138</v>
      </c>
      <c r="AK1174" s="15" t="s">
        <v>22852</v>
      </c>
      <c r="AL1174" s="15" t="s">
        <v>22853</v>
      </c>
      <c r="AM1174" s="15" t="s">
        <v>422</v>
      </c>
      <c r="AN1174" s="15" t="s">
        <v>22854</v>
      </c>
      <c r="AO1174" s="15" t="s">
        <v>138</v>
      </c>
      <c r="AP1174" s="15" t="s">
        <v>423</v>
      </c>
      <c r="AQ1174" s="15" t="s">
        <v>22855</v>
      </c>
      <c r="AR1174" s="15" t="s">
        <v>2245</v>
      </c>
      <c r="AS1174" s="15" t="s">
        <v>426</v>
      </c>
      <c r="AT1174" s="15" t="s">
        <v>426</v>
      </c>
      <c r="AU1174" s="15" t="s">
        <v>549</v>
      </c>
      <c r="AV1174" s="15" t="s">
        <v>162</v>
      </c>
      <c r="AW1174" s="15" t="s">
        <v>138</v>
      </c>
      <c r="AX1174" s="15" t="s">
        <v>138</v>
      </c>
      <c r="AY1174" s="15" t="s">
        <v>22856</v>
      </c>
      <c r="AZ1174" s="15" t="s">
        <v>164</v>
      </c>
      <c r="BA1174" s="15" t="s">
        <v>165</v>
      </c>
      <c r="BB1174" s="15" t="s">
        <v>22857</v>
      </c>
      <c r="BC1174" s="15" t="s">
        <v>22858</v>
      </c>
      <c r="BD1174" s="21">
        <v>8</v>
      </c>
      <c r="BE1174" s="15" t="s">
        <v>138</v>
      </c>
      <c r="BF1174" s="15" t="s">
        <v>138</v>
      </c>
      <c r="BG1174" s="15" t="s">
        <v>138</v>
      </c>
      <c r="BH1174" s="15" t="s">
        <v>22859</v>
      </c>
      <c r="BI1174" s="15" t="s">
        <v>138</v>
      </c>
      <c r="BJ1174" s="15" t="s">
        <v>138</v>
      </c>
      <c r="BK1174" s="15" t="s">
        <v>138</v>
      </c>
      <c r="BL1174" s="15" t="s">
        <v>204</v>
      </c>
      <c r="BM1174" s="22">
        <v>41927</v>
      </c>
      <c r="BN1174" s="17">
        <v>2</v>
      </c>
      <c r="BO1174" s="15" t="s">
        <v>172</v>
      </c>
      <c r="BP1174" s="17">
        <v>7.45</v>
      </c>
      <c r="BQ1174" s="15" t="s">
        <v>172</v>
      </c>
      <c r="BR1174" s="15" t="s">
        <v>234</v>
      </c>
      <c r="BS1174" s="15" t="s">
        <v>206</v>
      </c>
      <c r="BT1174" s="15" t="s">
        <v>138</v>
      </c>
      <c r="BU1174" s="15" t="s">
        <v>174</v>
      </c>
      <c r="BV1174" s="15" t="s">
        <v>138</v>
      </c>
      <c r="BW1174" s="15" t="s">
        <v>138</v>
      </c>
      <c r="BX1174" s="15" t="s">
        <v>138</v>
      </c>
      <c r="BY1174" s="15" t="s">
        <v>175</v>
      </c>
      <c r="BZ1174" s="22">
        <v>42401</v>
      </c>
      <c r="CA1174" s="17">
        <v>4</v>
      </c>
      <c r="CB1174" s="15" t="s">
        <v>1178</v>
      </c>
      <c r="CC1174" s="17">
        <v>21</v>
      </c>
      <c r="CD1174" s="15" t="s">
        <v>172</v>
      </c>
      <c r="CE1174" s="15" t="s">
        <v>205</v>
      </c>
      <c r="CF1174" s="15" t="s">
        <v>623</v>
      </c>
      <c r="CG1174" s="15" t="s">
        <v>138</v>
      </c>
      <c r="CH1174" s="15" t="s">
        <v>174</v>
      </c>
      <c r="CI1174" s="15" t="s">
        <v>138</v>
      </c>
      <c r="CJ1174" s="15" t="s">
        <v>138</v>
      </c>
      <c r="CK1174" s="15" t="s">
        <v>138</v>
      </c>
      <c r="CL1174" s="15" t="s">
        <v>175</v>
      </c>
      <c r="CM1174" s="22" t="s">
        <v>138</v>
      </c>
      <c r="CN1174" s="17" t="s">
        <v>138</v>
      </c>
      <c r="CO1174" s="23">
        <v>1.77</v>
      </c>
      <c r="CP1174" s="24">
        <v>99</v>
      </c>
      <c r="CQ1174" s="23">
        <v>-0.04</v>
      </c>
      <c r="CR1174" s="23">
        <v>-2.12</v>
      </c>
      <c r="CS1174" s="23">
        <v>0.76</v>
      </c>
      <c r="CT1174" s="24">
        <v>96</v>
      </c>
      <c r="CU1174" s="23">
        <v>2.78</v>
      </c>
      <c r="CV1174" s="24">
        <v>100</v>
      </c>
      <c r="CW1174" s="23">
        <v>0</v>
      </c>
      <c r="CX1174" s="24">
        <v>13</v>
      </c>
      <c r="CY1174" s="23">
        <v>1.53</v>
      </c>
      <c r="CZ1174" s="24">
        <v>99</v>
      </c>
      <c r="DA1174" s="23">
        <v>-0.1</v>
      </c>
      <c r="DB1174" s="24">
        <v>6</v>
      </c>
      <c r="DC1174" s="25">
        <v>6.83</v>
      </c>
      <c r="DD1174" s="24">
        <v>86</v>
      </c>
      <c r="DE1174" s="25">
        <v>-0.09</v>
      </c>
      <c r="DF1174" s="23">
        <v>-1.29</v>
      </c>
      <c r="DG1174" s="25">
        <v>7.67</v>
      </c>
      <c r="DH1174" s="24">
        <v>87</v>
      </c>
      <c r="DI1174" s="25">
        <v>5.98</v>
      </c>
      <c r="DJ1174" s="24">
        <v>80</v>
      </c>
      <c r="DK1174" s="25">
        <v>2.62</v>
      </c>
      <c r="DL1174" s="24">
        <v>69</v>
      </c>
      <c r="DM1174" s="25">
        <v>12.72</v>
      </c>
      <c r="DN1174" s="24">
        <v>91</v>
      </c>
      <c r="DO1174" s="25">
        <v>11.67</v>
      </c>
      <c r="DP1174" s="24">
        <v>89</v>
      </c>
      <c r="DQ1174" s="24">
        <v>901</v>
      </c>
      <c r="DR1174" s="26">
        <v>-5</v>
      </c>
      <c r="DS1174" s="23">
        <v>-0.55000000000000004</v>
      </c>
      <c r="DT1174" s="24">
        <v>369</v>
      </c>
      <c r="DU1174" s="26">
        <v>-2</v>
      </c>
      <c r="DV1174" s="23">
        <v>-0.54</v>
      </c>
      <c r="DW1174" s="24">
        <v>4180</v>
      </c>
      <c r="DX1174" s="27">
        <v>-7</v>
      </c>
      <c r="DY1174" s="23">
        <v>-0.17</v>
      </c>
      <c r="DZ1174" s="15" t="s">
        <v>178</v>
      </c>
      <c r="EA1174" s="22">
        <v>43399</v>
      </c>
      <c r="EB1174" s="17">
        <v>21</v>
      </c>
      <c r="EC1174" s="22">
        <v>42401</v>
      </c>
      <c r="ED1174" s="15" t="s">
        <v>205</v>
      </c>
      <c r="EE1174" s="14" t="str">
        <f>HYPERLINK("https://my.pitchbook.com?c=64846-99", "View company online")</f>
        <v>View company online</v>
      </c>
    </row>
    <row r="1175" spans="1:135">
      <c r="A1175" s="28" t="s">
        <v>22860</v>
      </c>
      <c r="B1175" s="28" t="s">
        <v>22861</v>
      </c>
      <c r="C1175" s="28" t="s">
        <v>138</v>
      </c>
      <c r="D1175" s="28" t="s">
        <v>138</v>
      </c>
      <c r="E1175" s="28" t="s">
        <v>138</v>
      </c>
      <c r="F1175" s="28" t="s">
        <v>22860</v>
      </c>
      <c r="G1175" s="28" t="s">
        <v>22862</v>
      </c>
      <c r="H1175" s="28" t="s">
        <v>322</v>
      </c>
      <c r="I1175" s="28" t="s">
        <v>323</v>
      </c>
      <c r="J1175" s="28" t="s">
        <v>1184</v>
      </c>
      <c r="K1175" s="28" t="s">
        <v>6678</v>
      </c>
      <c r="L1175" s="28" t="s">
        <v>415</v>
      </c>
      <c r="M1175" s="28" t="s">
        <v>22863</v>
      </c>
      <c r="N1175" s="28" t="s">
        <v>147</v>
      </c>
      <c r="O1175" s="29" t="s">
        <v>138</v>
      </c>
      <c r="P1175" s="28" t="s">
        <v>148</v>
      </c>
      <c r="Q1175" s="28" t="s">
        <v>149</v>
      </c>
      <c r="R1175" s="28" t="s">
        <v>328</v>
      </c>
      <c r="S1175" s="28" t="s">
        <v>22864</v>
      </c>
      <c r="T1175" s="30" t="s">
        <v>138</v>
      </c>
      <c r="U1175" s="28" t="s">
        <v>138</v>
      </c>
      <c r="V1175" s="28" t="s">
        <v>138</v>
      </c>
      <c r="W1175" s="28" t="s">
        <v>138</v>
      </c>
      <c r="X1175" s="31">
        <v>2003</v>
      </c>
      <c r="Y1175" s="28" t="s">
        <v>138</v>
      </c>
      <c r="Z1175" s="28" t="s">
        <v>138</v>
      </c>
      <c r="AA1175" s="28" t="s">
        <v>138</v>
      </c>
      <c r="AB1175" s="32" t="s">
        <v>138</v>
      </c>
      <c r="AC1175" s="32" t="s">
        <v>138</v>
      </c>
      <c r="AD1175" s="32" t="s">
        <v>138</v>
      </c>
      <c r="AE1175" s="32" t="s">
        <v>138</v>
      </c>
      <c r="AF1175" s="32" t="s">
        <v>138</v>
      </c>
      <c r="AG1175" s="28" t="s">
        <v>138</v>
      </c>
      <c r="AH1175" s="32" t="s">
        <v>138</v>
      </c>
      <c r="AI1175" s="32" t="s">
        <v>138</v>
      </c>
      <c r="AJ1175" s="32" t="s">
        <v>138</v>
      </c>
      <c r="AK1175" s="28" t="s">
        <v>22865</v>
      </c>
      <c r="AL1175" s="28" t="s">
        <v>22866</v>
      </c>
      <c r="AM1175" s="28" t="s">
        <v>2605</v>
      </c>
      <c r="AN1175" s="28" t="s">
        <v>22867</v>
      </c>
      <c r="AO1175" s="28" t="s">
        <v>22868</v>
      </c>
      <c r="AP1175" s="28" t="s">
        <v>22869</v>
      </c>
      <c r="AQ1175" s="28" t="s">
        <v>22870</v>
      </c>
      <c r="AR1175" s="28" t="s">
        <v>138</v>
      </c>
      <c r="AS1175" s="28" t="s">
        <v>22871</v>
      </c>
      <c r="AT1175" s="28" t="s">
        <v>138</v>
      </c>
      <c r="AU1175" s="28" t="s">
        <v>22872</v>
      </c>
      <c r="AV1175" s="28" t="s">
        <v>946</v>
      </c>
      <c r="AW1175" s="28" t="s">
        <v>22868</v>
      </c>
      <c r="AX1175" s="28" t="s">
        <v>22873</v>
      </c>
      <c r="AY1175" s="28" t="s">
        <v>22874</v>
      </c>
      <c r="AZ1175" s="28" t="s">
        <v>530</v>
      </c>
      <c r="BA1175" s="28" t="s">
        <v>531</v>
      </c>
      <c r="BB1175" s="28" t="s">
        <v>2910</v>
      </c>
      <c r="BC1175" s="28" t="s">
        <v>22875</v>
      </c>
      <c r="BD1175" s="33">
        <v>1</v>
      </c>
      <c r="BE1175" s="28" t="s">
        <v>138</v>
      </c>
      <c r="BF1175" s="28" t="s">
        <v>22876</v>
      </c>
      <c r="BG1175" s="28" t="s">
        <v>138</v>
      </c>
      <c r="BH1175" s="28" t="s">
        <v>22877</v>
      </c>
      <c r="BI1175" s="28" t="s">
        <v>22878</v>
      </c>
      <c r="BJ1175" s="28" t="s">
        <v>138</v>
      </c>
      <c r="BK1175" s="28" t="s">
        <v>138</v>
      </c>
      <c r="BL1175" s="28" t="s">
        <v>138</v>
      </c>
      <c r="BM1175" s="34" t="s">
        <v>138</v>
      </c>
      <c r="BN1175" s="29" t="s">
        <v>138</v>
      </c>
      <c r="BO1175" s="28" t="s">
        <v>138</v>
      </c>
      <c r="BP1175" s="29" t="s">
        <v>138</v>
      </c>
      <c r="BQ1175" s="28" t="s">
        <v>138</v>
      </c>
      <c r="BR1175" s="28" t="s">
        <v>205</v>
      </c>
      <c r="BS1175" s="28" t="s">
        <v>138</v>
      </c>
      <c r="BT1175" s="28" t="s">
        <v>138</v>
      </c>
      <c r="BU1175" s="28" t="s">
        <v>174</v>
      </c>
      <c r="BV1175" s="28" t="s">
        <v>138</v>
      </c>
      <c r="BW1175" s="28" t="s">
        <v>138</v>
      </c>
      <c r="BX1175" s="28" t="s">
        <v>138</v>
      </c>
      <c r="BY1175" s="28" t="s">
        <v>175</v>
      </c>
      <c r="BZ1175" s="34" t="s">
        <v>138</v>
      </c>
      <c r="CA1175" s="29" t="s">
        <v>138</v>
      </c>
      <c r="CB1175" s="28" t="s">
        <v>138</v>
      </c>
      <c r="CC1175" s="29" t="s">
        <v>138</v>
      </c>
      <c r="CD1175" s="28" t="s">
        <v>138</v>
      </c>
      <c r="CE1175" s="28" t="s">
        <v>379</v>
      </c>
      <c r="CF1175" s="28" t="s">
        <v>138</v>
      </c>
      <c r="CG1175" s="28" t="s">
        <v>138</v>
      </c>
      <c r="CH1175" s="28" t="s">
        <v>174</v>
      </c>
      <c r="CI1175" s="28" t="s">
        <v>138</v>
      </c>
      <c r="CJ1175" s="28" t="s">
        <v>138</v>
      </c>
      <c r="CK1175" s="28" t="s">
        <v>138</v>
      </c>
      <c r="CL1175" s="28" t="s">
        <v>175</v>
      </c>
      <c r="CM1175" s="34" t="s">
        <v>138</v>
      </c>
      <c r="CN1175" s="29" t="s">
        <v>138</v>
      </c>
      <c r="CO1175" s="35">
        <v>-0.31</v>
      </c>
      <c r="CP1175" s="36">
        <v>18</v>
      </c>
      <c r="CQ1175" s="35">
        <v>0.21</v>
      </c>
      <c r="CR1175" s="35">
        <v>40.53</v>
      </c>
      <c r="CS1175" s="35">
        <v>-0.63</v>
      </c>
      <c r="CT1175" s="36">
        <v>18</v>
      </c>
      <c r="CU1175" s="35">
        <v>0</v>
      </c>
      <c r="CV1175" s="36">
        <v>22</v>
      </c>
      <c r="CW1175" s="35" t="s">
        <v>138</v>
      </c>
      <c r="CX1175" s="36" t="s">
        <v>138</v>
      </c>
      <c r="CY1175" s="35">
        <v>-0.63</v>
      </c>
      <c r="CZ1175" s="36">
        <v>21</v>
      </c>
      <c r="DA1175" s="35">
        <v>0</v>
      </c>
      <c r="DB1175" s="36">
        <v>22</v>
      </c>
      <c r="DC1175" s="37">
        <v>2.02</v>
      </c>
      <c r="DD1175" s="36">
        <v>67</v>
      </c>
      <c r="DE1175" s="37">
        <v>0.05</v>
      </c>
      <c r="DF1175" s="35">
        <v>2.64</v>
      </c>
      <c r="DG1175" s="37">
        <v>3.97</v>
      </c>
      <c r="DH1175" s="36">
        <v>79</v>
      </c>
      <c r="DI1175" s="37">
        <v>7.0000000000000007E-2</v>
      </c>
      <c r="DJ1175" s="36">
        <v>11</v>
      </c>
      <c r="DK1175" s="37" t="s">
        <v>138</v>
      </c>
      <c r="DL1175" s="36" t="s">
        <v>138</v>
      </c>
      <c r="DM1175" s="37">
        <v>3.97</v>
      </c>
      <c r="DN1175" s="36">
        <v>78</v>
      </c>
      <c r="DO1175" s="37">
        <v>0.11</v>
      </c>
      <c r="DP1175" s="36">
        <v>17</v>
      </c>
      <c r="DQ1175" s="36" t="s">
        <v>138</v>
      </c>
      <c r="DR1175" s="38" t="s">
        <v>138</v>
      </c>
      <c r="DS1175" s="35" t="s">
        <v>138</v>
      </c>
      <c r="DT1175" s="36">
        <v>114</v>
      </c>
      <c r="DU1175" s="38">
        <v>2</v>
      </c>
      <c r="DV1175" s="35">
        <v>1.79</v>
      </c>
      <c r="DW1175" s="36">
        <v>38</v>
      </c>
      <c r="DX1175" s="39">
        <v>0</v>
      </c>
      <c r="DY1175" s="35">
        <v>0</v>
      </c>
      <c r="DZ1175" s="28" t="s">
        <v>178</v>
      </c>
      <c r="EA1175" s="34">
        <v>43448</v>
      </c>
      <c r="EB1175" s="29" t="s">
        <v>138</v>
      </c>
      <c r="EC1175" s="34" t="s">
        <v>138</v>
      </c>
      <c r="ED1175" s="28" t="s">
        <v>138</v>
      </c>
      <c r="EE1175" s="40" t="str">
        <f>HYPERLINK("https://my.pitchbook.com?c=57221-20", "View company online")</f>
        <v>View company online</v>
      </c>
    </row>
    <row r="1176" spans="1:135">
      <c r="A1176" s="15" t="s">
        <v>22879</v>
      </c>
      <c r="B1176" s="15" t="s">
        <v>22880</v>
      </c>
      <c r="C1176" s="15" t="s">
        <v>138</v>
      </c>
      <c r="D1176" s="15" t="s">
        <v>138</v>
      </c>
      <c r="E1176" s="15" t="s">
        <v>138</v>
      </c>
      <c r="F1176" s="15" t="s">
        <v>22879</v>
      </c>
      <c r="G1176" s="15" t="s">
        <v>22881</v>
      </c>
      <c r="H1176" s="15" t="s">
        <v>238</v>
      </c>
      <c r="I1176" s="15" t="s">
        <v>269</v>
      </c>
      <c r="J1176" s="15" t="s">
        <v>296</v>
      </c>
      <c r="K1176" s="15" t="s">
        <v>2426</v>
      </c>
      <c r="L1176" s="15" t="s">
        <v>22882</v>
      </c>
      <c r="M1176" s="15" t="s">
        <v>22883</v>
      </c>
      <c r="N1176" s="15" t="s">
        <v>147</v>
      </c>
      <c r="O1176" s="17">
        <v>4.4000000000000004</v>
      </c>
      <c r="P1176" s="15" t="s">
        <v>148</v>
      </c>
      <c r="Q1176" s="15" t="s">
        <v>149</v>
      </c>
      <c r="R1176" s="15" t="s">
        <v>174</v>
      </c>
      <c r="S1176" s="15" t="s">
        <v>22884</v>
      </c>
      <c r="T1176" s="18" t="s">
        <v>138</v>
      </c>
      <c r="U1176" s="15" t="s">
        <v>138</v>
      </c>
      <c r="V1176" s="15" t="s">
        <v>138</v>
      </c>
      <c r="W1176" s="15" t="s">
        <v>138</v>
      </c>
      <c r="X1176" s="19" t="s">
        <v>138</v>
      </c>
      <c r="Y1176" s="15" t="s">
        <v>138</v>
      </c>
      <c r="Z1176" s="15" t="s">
        <v>138</v>
      </c>
      <c r="AA1176" s="15" t="s">
        <v>138</v>
      </c>
      <c r="AB1176" s="20" t="s">
        <v>138</v>
      </c>
      <c r="AC1176" s="20" t="s">
        <v>138</v>
      </c>
      <c r="AD1176" s="20" t="s">
        <v>138</v>
      </c>
      <c r="AE1176" s="20" t="s">
        <v>138</v>
      </c>
      <c r="AF1176" s="20" t="s">
        <v>138</v>
      </c>
      <c r="AG1176" s="15" t="s">
        <v>138</v>
      </c>
      <c r="AH1176" s="20" t="s">
        <v>138</v>
      </c>
      <c r="AI1176" s="20" t="s">
        <v>138</v>
      </c>
      <c r="AJ1176" s="20" t="s">
        <v>138</v>
      </c>
      <c r="AK1176" s="15" t="s">
        <v>22885</v>
      </c>
      <c r="AL1176" s="15" t="s">
        <v>22886</v>
      </c>
      <c r="AM1176" s="15" t="s">
        <v>566</v>
      </c>
      <c r="AN1176" s="15" t="s">
        <v>22887</v>
      </c>
      <c r="AO1176" s="15" t="s">
        <v>138</v>
      </c>
      <c r="AP1176" s="15" t="s">
        <v>22888</v>
      </c>
      <c r="AQ1176" s="15" t="s">
        <v>22889</v>
      </c>
      <c r="AR1176" s="15" t="s">
        <v>22890</v>
      </c>
      <c r="AS1176" s="15" t="s">
        <v>22891</v>
      </c>
      <c r="AT1176" s="15" t="s">
        <v>138</v>
      </c>
      <c r="AU1176" s="15" t="s">
        <v>138</v>
      </c>
      <c r="AV1176" s="15" t="s">
        <v>450</v>
      </c>
      <c r="AW1176" s="15" t="s">
        <v>138</v>
      </c>
      <c r="AX1176" s="15" t="s">
        <v>138</v>
      </c>
      <c r="AY1176" s="15" t="s">
        <v>138</v>
      </c>
      <c r="AZ1176" s="15" t="s">
        <v>452</v>
      </c>
      <c r="BA1176" s="15" t="s">
        <v>453</v>
      </c>
      <c r="BB1176" s="15" t="s">
        <v>22892</v>
      </c>
      <c r="BC1176" s="15" t="s">
        <v>455</v>
      </c>
      <c r="BD1176" s="21">
        <v>1</v>
      </c>
      <c r="BE1176" s="15" t="s">
        <v>138</v>
      </c>
      <c r="BF1176" s="15" t="s">
        <v>138</v>
      </c>
      <c r="BG1176" s="15" t="s">
        <v>138</v>
      </c>
      <c r="BH1176" s="15" t="s">
        <v>456</v>
      </c>
      <c r="BI1176" s="15" t="s">
        <v>138</v>
      </c>
      <c r="BJ1176" s="15" t="s">
        <v>138</v>
      </c>
      <c r="BK1176" s="15" t="s">
        <v>138</v>
      </c>
      <c r="BL1176" s="15" t="s">
        <v>138</v>
      </c>
      <c r="BM1176" s="22">
        <v>43307</v>
      </c>
      <c r="BN1176" s="17">
        <v>4.4000000000000004</v>
      </c>
      <c r="BO1176" s="15" t="s">
        <v>172</v>
      </c>
      <c r="BP1176" s="17" t="s">
        <v>138</v>
      </c>
      <c r="BQ1176" s="15" t="s">
        <v>138</v>
      </c>
      <c r="BR1176" s="15" t="s">
        <v>234</v>
      </c>
      <c r="BS1176" s="15" t="s">
        <v>234</v>
      </c>
      <c r="BT1176" s="15" t="s">
        <v>138</v>
      </c>
      <c r="BU1176" s="15" t="s">
        <v>174</v>
      </c>
      <c r="BV1176" s="15" t="s">
        <v>138</v>
      </c>
      <c r="BW1176" s="15" t="s">
        <v>138</v>
      </c>
      <c r="BX1176" s="15" t="s">
        <v>138</v>
      </c>
      <c r="BY1176" s="15" t="s">
        <v>175</v>
      </c>
      <c r="BZ1176" s="22">
        <v>43307</v>
      </c>
      <c r="CA1176" s="17">
        <v>4.4000000000000004</v>
      </c>
      <c r="CB1176" s="15" t="s">
        <v>172</v>
      </c>
      <c r="CC1176" s="17" t="s">
        <v>138</v>
      </c>
      <c r="CD1176" s="15" t="s">
        <v>138</v>
      </c>
      <c r="CE1176" s="15" t="s">
        <v>234</v>
      </c>
      <c r="CF1176" s="15" t="s">
        <v>234</v>
      </c>
      <c r="CG1176" s="15" t="s">
        <v>138</v>
      </c>
      <c r="CH1176" s="15" t="s">
        <v>174</v>
      </c>
      <c r="CI1176" s="15" t="s">
        <v>138</v>
      </c>
      <c r="CJ1176" s="15" t="s">
        <v>138</v>
      </c>
      <c r="CK1176" s="15" t="s">
        <v>138</v>
      </c>
      <c r="CL1176" s="15" t="s">
        <v>175</v>
      </c>
      <c r="CM1176" s="22" t="s">
        <v>138</v>
      </c>
      <c r="CN1176" s="17" t="s">
        <v>138</v>
      </c>
      <c r="CO1176" s="23">
        <v>0</v>
      </c>
      <c r="CP1176" s="24">
        <v>26</v>
      </c>
      <c r="CQ1176" s="23">
        <v>0</v>
      </c>
      <c r="CR1176" s="23">
        <v>0</v>
      </c>
      <c r="CS1176" s="23">
        <v>0</v>
      </c>
      <c r="CT1176" s="24">
        <v>23</v>
      </c>
      <c r="CU1176" s="23" t="s">
        <v>138</v>
      </c>
      <c r="CV1176" s="24" t="s">
        <v>138</v>
      </c>
      <c r="CW1176" s="23" t="s">
        <v>138</v>
      </c>
      <c r="CX1176" s="24" t="s">
        <v>138</v>
      </c>
      <c r="CY1176" s="23">
        <v>0</v>
      </c>
      <c r="CZ1176" s="24">
        <v>25</v>
      </c>
      <c r="DA1176" s="23" t="s">
        <v>138</v>
      </c>
      <c r="DB1176" s="24" t="s">
        <v>138</v>
      </c>
      <c r="DC1176" s="25">
        <v>0.86</v>
      </c>
      <c r="DD1176" s="24">
        <v>47</v>
      </c>
      <c r="DE1176" s="25">
        <v>0</v>
      </c>
      <c r="DF1176" s="23">
        <v>0</v>
      </c>
      <c r="DG1176" s="25">
        <v>0.86</v>
      </c>
      <c r="DH1176" s="24">
        <v>47</v>
      </c>
      <c r="DI1176" s="25" t="s">
        <v>138</v>
      </c>
      <c r="DJ1176" s="24" t="s">
        <v>138</v>
      </c>
      <c r="DK1176" s="25" t="s">
        <v>138</v>
      </c>
      <c r="DL1176" s="24" t="s">
        <v>138</v>
      </c>
      <c r="DM1176" s="25">
        <v>0.86</v>
      </c>
      <c r="DN1176" s="24">
        <v>47</v>
      </c>
      <c r="DO1176" s="25" t="s">
        <v>138</v>
      </c>
      <c r="DP1176" s="24" t="s">
        <v>138</v>
      </c>
      <c r="DQ1176" s="24">
        <v>69</v>
      </c>
      <c r="DR1176" s="26">
        <v>0</v>
      </c>
      <c r="DS1176" s="23">
        <v>0</v>
      </c>
      <c r="DT1176" s="24">
        <v>25</v>
      </c>
      <c r="DU1176" s="26">
        <v>1</v>
      </c>
      <c r="DV1176" s="23">
        <v>4.17</v>
      </c>
      <c r="DW1176" s="24" t="s">
        <v>138</v>
      </c>
      <c r="DX1176" s="27" t="s">
        <v>138</v>
      </c>
      <c r="DY1176" s="23" t="s">
        <v>138</v>
      </c>
      <c r="DZ1176" s="15" t="s">
        <v>178</v>
      </c>
      <c r="EA1176" s="22">
        <v>43537</v>
      </c>
      <c r="EB1176" s="17" t="s">
        <v>138</v>
      </c>
      <c r="EC1176" s="22" t="s">
        <v>138</v>
      </c>
      <c r="ED1176" s="15" t="s">
        <v>138</v>
      </c>
      <c r="EE1176" s="14" t="str">
        <f>HYPERLINK("https://my.pitchbook.com?c=231339-25", "View company online")</f>
        <v>View company online</v>
      </c>
    </row>
    <row r="1177" spans="1:135">
      <c r="A1177" s="28" t="s">
        <v>22893</v>
      </c>
      <c r="B1177" s="28" t="s">
        <v>22894</v>
      </c>
      <c r="C1177" s="28" t="s">
        <v>138</v>
      </c>
      <c r="D1177" s="28" t="s">
        <v>138</v>
      </c>
      <c r="E1177" s="28" t="s">
        <v>138</v>
      </c>
      <c r="F1177" s="28" t="s">
        <v>22893</v>
      </c>
      <c r="G1177" s="28" t="s">
        <v>22895</v>
      </c>
      <c r="H1177" s="28" t="s">
        <v>238</v>
      </c>
      <c r="I1177" s="28" t="s">
        <v>269</v>
      </c>
      <c r="J1177" s="28" t="s">
        <v>270</v>
      </c>
      <c r="K1177" s="28" t="s">
        <v>22896</v>
      </c>
      <c r="L1177" s="28" t="s">
        <v>3681</v>
      </c>
      <c r="M1177" s="28" t="s">
        <v>22897</v>
      </c>
      <c r="N1177" s="28" t="s">
        <v>147</v>
      </c>
      <c r="O1177" s="29">
        <v>11</v>
      </c>
      <c r="P1177" s="28" t="s">
        <v>148</v>
      </c>
      <c r="Q1177" s="28" t="s">
        <v>149</v>
      </c>
      <c r="R1177" s="28" t="s">
        <v>174</v>
      </c>
      <c r="S1177" s="28" t="s">
        <v>22898</v>
      </c>
      <c r="T1177" s="30" t="s">
        <v>138</v>
      </c>
      <c r="U1177" s="28" t="s">
        <v>138</v>
      </c>
      <c r="V1177" s="28" t="s">
        <v>138</v>
      </c>
      <c r="W1177" s="28" t="s">
        <v>138</v>
      </c>
      <c r="X1177" s="31">
        <v>2016</v>
      </c>
      <c r="Y1177" s="28" t="s">
        <v>138</v>
      </c>
      <c r="Z1177" s="28" t="s">
        <v>138</v>
      </c>
      <c r="AA1177" s="28" t="s">
        <v>138</v>
      </c>
      <c r="AB1177" s="32" t="s">
        <v>138</v>
      </c>
      <c r="AC1177" s="32" t="s">
        <v>138</v>
      </c>
      <c r="AD1177" s="32" t="s">
        <v>138</v>
      </c>
      <c r="AE1177" s="32" t="s">
        <v>138</v>
      </c>
      <c r="AF1177" s="32" t="s">
        <v>138</v>
      </c>
      <c r="AG1177" s="28" t="s">
        <v>138</v>
      </c>
      <c r="AH1177" s="32" t="s">
        <v>138</v>
      </c>
      <c r="AI1177" s="32" t="s">
        <v>138</v>
      </c>
      <c r="AJ1177" s="32" t="s">
        <v>138</v>
      </c>
      <c r="AK1177" s="28" t="s">
        <v>22899</v>
      </c>
      <c r="AL1177" s="28" t="s">
        <v>22900</v>
      </c>
      <c r="AM1177" s="28" t="s">
        <v>5401</v>
      </c>
      <c r="AN1177" s="28" t="s">
        <v>22901</v>
      </c>
      <c r="AO1177" s="28" t="s">
        <v>138</v>
      </c>
      <c r="AP1177" s="28" t="s">
        <v>1244</v>
      </c>
      <c r="AQ1177" s="28" t="s">
        <v>138</v>
      </c>
      <c r="AR1177" s="28" t="s">
        <v>138</v>
      </c>
      <c r="AS1177" s="28" t="s">
        <v>1246</v>
      </c>
      <c r="AT1177" s="28" t="s">
        <v>200</v>
      </c>
      <c r="AU1177" s="28" t="s">
        <v>138</v>
      </c>
      <c r="AV1177" s="28" t="s">
        <v>162</v>
      </c>
      <c r="AW1177" s="28" t="s">
        <v>138</v>
      </c>
      <c r="AX1177" s="28" t="s">
        <v>138</v>
      </c>
      <c r="AY1177" s="28" t="s">
        <v>22902</v>
      </c>
      <c r="AZ1177" s="28" t="s">
        <v>164</v>
      </c>
      <c r="BA1177" s="28" t="s">
        <v>165</v>
      </c>
      <c r="BB1177" s="28" t="s">
        <v>22903</v>
      </c>
      <c r="BC1177" s="28" t="s">
        <v>22904</v>
      </c>
      <c r="BD1177" s="33">
        <v>3</v>
      </c>
      <c r="BE1177" s="28" t="s">
        <v>138</v>
      </c>
      <c r="BF1177" s="28" t="s">
        <v>138</v>
      </c>
      <c r="BG1177" s="28" t="s">
        <v>138</v>
      </c>
      <c r="BH1177" s="28" t="s">
        <v>22905</v>
      </c>
      <c r="BI1177" s="28" t="s">
        <v>138</v>
      </c>
      <c r="BJ1177" s="28" t="s">
        <v>138</v>
      </c>
      <c r="BK1177" s="28" t="s">
        <v>1251</v>
      </c>
      <c r="BL1177" s="28" t="s">
        <v>2936</v>
      </c>
      <c r="BM1177" s="34" t="s">
        <v>138</v>
      </c>
      <c r="BN1177" s="29">
        <v>1.6</v>
      </c>
      <c r="BO1177" s="28" t="s">
        <v>172</v>
      </c>
      <c r="BP1177" s="29" t="s">
        <v>138</v>
      </c>
      <c r="BQ1177" s="28" t="s">
        <v>138</v>
      </c>
      <c r="BR1177" s="28" t="s">
        <v>205</v>
      </c>
      <c r="BS1177" s="28" t="s">
        <v>138</v>
      </c>
      <c r="BT1177" s="28" t="s">
        <v>138</v>
      </c>
      <c r="BU1177" s="28" t="s">
        <v>174</v>
      </c>
      <c r="BV1177" s="28" t="s">
        <v>138</v>
      </c>
      <c r="BW1177" s="28" t="s">
        <v>138</v>
      </c>
      <c r="BX1177" s="28" t="s">
        <v>138</v>
      </c>
      <c r="BY1177" s="28" t="s">
        <v>175</v>
      </c>
      <c r="BZ1177" s="34">
        <v>43353</v>
      </c>
      <c r="CA1177" s="29">
        <v>9.4</v>
      </c>
      <c r="CB1177" s="28" t="s">
        <v>172</v>
      </c>
      <c r="CC1177" s="29">
        <v>23.4</v>
      </c>
      <c r="CD1177" s="28" t="s">
        <v>172</v>
      </c>
      <c r="CE1177" s="28" t="s">
        <v>205</v>
      </c>
      <c r="CF1177" s="28" t="s">
        <v>206</v>
      </c>
      <c r="CG1177" s="28" t="s">
        <v>138</v>
      </c>
      <c r="CH1177" s="28" t="s">
        <v>174</v>
      </c>
      <c r="CI1177" s="28" t="s">
        <v>138</v>
      </c>
      <c r="CJ1177" s="28" t="s">
        <v>138</v>
      </c>
      <c r="CK1177" s="28" t="s">
        <v>138</v>
      </c>
      <c r="CL1177" s="28" t="s">
        <v>175</v>
      </c>
      <c r="CM1177" s="34" t="s">
        <v>138</v>
      </c>
      <c r="CN1177" s="29" t="s">
        <v>138</v>
      </c>
      <c r="CO1177" s="35">
        <v>0.92</v>
      </c>
      <c r="CP1177" s="36">
        <v>97</v>
      </c>
      <c r="CQ1177" s="35">
        <v>0.92</v>
      </c>
      <c r="CR1177" s="35">
        <v>34433.65</v>
      </c>
      <c r="CS1177" s="35">
        <v>0</v>
      </c>
      <c r="CT1177" s="36">
        <v>23</v>
      </c>
      <c r="CU1177" s="35">
        <v>1.84</v>
      </c>
      <c r="CV1177" s="36">
        <v>100</v>
      </c>
      <c r="CW1177" s="35">
        <v>-0.01</v>
      </c>
      <c r="CX1177" s="36">
        <v>13</v>
      </c>
      <c r="CY1177" s="35">
        <v>0</v>
      </c>
      <c r="CZ1177" s="36">
        <v>25</v>
      </c>
      <c r="DA1177" s="35">
        <v>1.84</v>
      </c>
      <c r="DB1177" s="36">
        <v>100</v>
      </c>
      <c r="DC1177" s="37">
        <v>1.48</v>
      </c>
      <c r="DD1177" s="36">
        <v>60</v>
      </c>
      <c r="DE1177" s="37">
        <v>-0.44</v>
      </c>
      <c r="DF1177" s="35">
        <v>-23.02</v>
      </c>
      <c r="DG1177" s="37">
        <v>1.88</v>
      </c>
      <c r="DH1177" s="36">
        <v>65</v>
      </c>
      <c r="DI1177" s="37">
        <v>1.08</v>
      </c>
      <c r="DJ1177" s="36">
        <v>51</v>
      </c>
      <c r="DK1177" s="37">
        <v>1.97</v>
      </c>
      <c r="DL1177" s="36">
        <v>64</v>
      </c>
      <c r="DM1177" s="37">
        <v>1.79</v>
      </c>
      <c r="DN1177" s="36">
        <v>63</v>
      </c>
      <c r="DO1177" s="37">
        <v>1.08</v>
      </c>
      <c r="DP1177" s="36">
        <v>52</v>
      </c>
      <c r="DQ1177" s="36">
        <v>683</v>
      </c>
      <c r="DR1177" s="38">
        <v>-27</v>
      </c>
      <c r="DS1177" s="35">
        <v>-3.8</v>
      </c>
      <c r="DT1177" s="36">
        <v>49</v>
      </c>
      <c r="DU1177" s="38">
        <v>3</v>
      </c>
      <c r="DV1177" s="35">
        <v>6.52</v>
      </c>
      <c r="DW1177" s="36">
        <v>385</v>
      </c>
      <c r="DX1177" s="39">
        <v>6</v>
      </c>
      <c r="DY1177" s="35">
        <v>1.58</v>
      </c>
      <c r="DZ1177" s="28" t="s">
        <v>178</v>
      </c>
      <c r="EA1177" s="34">
        <v>43509</v>
      </c>
      <c r="EB1177" s="29">
        <v>23.4</v>
      </c>
      <c r="EC1177" s="34">
        <v>43353</v>
      </c>
      <c r="ED1177" s="28" t="s">
        <v>205</v>
      </c>
      <c r="EE1177" s="40" t="str">
        <f>HYPERLINK("https://my.pitchbook.com?c=180723-16", "View company online")</f>
        <v>View company online</v>
      </c>
    </row>
    <row r="1178" spans="1:135">
      <c r="A1178" s="15" t="s">
        <v>22906</v>
      </c>
      <c r="B1178" s="15" t="s">
        <v>22907</v>
      </c>
      <c r="C1178" s="15" t="s">
        <v>22908</v>
      </c>
      <c r="D1178" s="15" t="s">
        <v>138</v>
      </c>
      <c r="E1178" s="15" t="s">
        <v>22909</v>
      </c>
      <c r="F1178" s="15" t="s">
        <v>22906</v>
      </c>
      <c r="G1178" s="15" t="s">
        <v>22910</v>
      </c>
      <c r="H1178" s="15" t="s">
        <v>322</v>
      </c>
      <c r="I1178" s="15" t="s">
        <v>323</v>
      </c>
      <c r="J1178" s="15" t="s">
        <v>1184</v>
      </c>
      <c r="K1178" s="15" t="s">
        <v>6678</v>
      </c>
      <c r="L1178" s="15" t="s">
        <v>1544</v>
      </c>
      <c r="M1178" s="15" t="s">
        <v>22911</v>
      </c>
      <c r="N1178" s="15" t="s">
        <v>1452</v>
      </c>
      <c r="O1178" s="17">
        <v>16.34</v>
      </c>
      <c r="P1178" s="15" t="s">
        <v>148</v>
      </c>
      <c r="Q1178" s="15" t="s">
        <v>149</v>
      </c>
      <c r="R1178" s="15" t="s">
        <v>328</v>
      </c>
      <c r="S1178" s="15" t="s">
        <v>22912</v>
      </c>
      <c r="T1178" s="18">
        <v>27</v>
      </c>
      <c r="U1178" s="15" t="s">
        <v>22913</v>
      </c>
      <c r="V1178" s="15" t="s">
        <v>138</v>
      </c>
      <c r="W1178" s="15" t="s">
        <v>138</v>
      </c>
      <c r="X1178" s="19">
        <v>1997</v>
      </c>
      <c r="Y1178" s="15" t="s">
        <v>138</v>
      </c>
      <c r="Z1178" s="15" t="s">
        <v>138</v>
      </c>
      <c r="AA1178" s="15" t="s">
        <v>138</v>
      </c>
      <c r="AB1178" s="20">
        <v>100</v>
      </c>
      <c r="AC1178" s="20" t="s">
        <v>138</v>
      </c>
      <c r="AD1178" s="20" t="s">
        <v>138</v>
      </c>
      <c r="AE1178" s="20" t="s">
        <v>138</v>
      </c>
      <c r="AF1178" s="20" t="s">
        <v>138</v>
      </c>
      <c r="AG1178" s="15" t="s">
        <v>514</v>
      </c>
      <c r="AH1178" s="20" t="s">
        <v>138</v>
      </c>
      <c r="AI1178" s="20" t="s">
        <v>138</v>
      </c>
      <c r="AJ1178" s="20" t="s">
        <v>138</v>
      </c>
      <c r="AK1178" s="15" t="s">
        <v>22914</v>
      </c>
      <c r="AL1178" s="15" t="s">
        <v>22915</v>
      </c>
      <c r="AM1178" s="15" t="s">
        <v>249</v>
      </c>
      <c r="AN1178" s="15" t="s">
        <v>22916</v>
      </c>
      <c r="AO1178" s="15" t="s">
        <v>22917</v>
      </c>
      <c r="AP1178" s="15" t="s">
        <v>20341</v>
      </c>
      <c r="AQ1178" s="15" t="s">
        <v>22918</v>
      </c>
      <c r="AR1178" s="15" t="s">
        <v>9538</v>
      </c>
      <c r="AS1178" s="15" t="s">
        <v>20343</v>
      </c>
      <c r="AT1178" s="15" t="s">
        <v>3883</v>
      </c>
      <c r="AU1178" s="15" t="s">
        <v>20344</v>
      </c>
      <c r="AV1178" s="15" t="s">
        <v>162</v>
      </c>
      <c r="AW1178" s="15" t="s">
        <v>22917</v>
      </c>
      <c r="AX1178" s="15" t="s">
        <v>22919</v>
      </c>
      <c r="AY1178" s="15" t="s">
        <v>22920</v>
      </c>
      <c r="AZ1178" s="15" t="s">
        <v>164</v>
      </c>
      <c r="BA1178" s="15" t="s">
        <v>165</v>
      </c>
      <c r="BB1178" s="15" t="s">
        <v>22921</v>
      </c>
      <c r="BC1178" s="15" t="s">
        <v>22922</v>
      </c>
      <c r="BD1178" s="21">
        <v>4</v>
      </c>
      <c r="BE1178" s="15" t="s">
        <v>138</v>
      </c>
      <c r="BF1178" s="15" t="s">
        <v>138</v>
      </c>
      <c r="BG1178" s="15" t="s">
        <v>138</v>
      </c>
      <c r="BH1178" s="15" t="s">
        <v>22923</v>
      </c>
      <c r="BI1178" s="15" t="s">
        <v>138</v>
      </c>
      <c r="BJ1178" s="15" t="s">
        <v>138</v>
      </c>
      <c r="BK1178" s="15" t="s">
        <v>138</v>
      </c>
      <c r="BL1178" s="15" t="s">
        <v>22924</v>
      </c>
      <c r="BM1178" s="22">
        <v>42069</v>
      </c>
      <c r="BN1178" s="17">
        <v>17</v>
      </c>
      <c r="BO1178" s="15" t="s">
        <v>172</v>
      </c>
      <c r="BP1178" s="17">
        <v>17</v>
      </c>
      <c r="BQ1178" s="15" t="s">
        <v>138</v>
      </c>
      <c r="BR1178" s="15" t="s">
        <v>349</v>
      </c>
      <c r="BS1178" s="15" t="s">
        <v>11019</v>
      </c>
      <c r="BT1178" s="15" t="s">
        <v>9447</v>
      </c>
      <c r="BU1178" s="15" t="s">
        <v>351</v>
      </c>
      <c r="BV1178" s="15" t="s">
        <v>138</v>
      </c>
      <c r="BW1178" s="15" t="s">
        <v>138</v>
      </c>
      <c r="BX1178" s="15" t="s">
        <v>138</v>
      </c>
      <c r="BY1178" s="15" t="s">
        <v>175</v>
      </c>
      <c r="BZ1178" s="22">
        <v>43171</v>
      </c>
      <c r="CA1178" s="17">
        <v>1.34</v>
      </c>
      <c r="CB1178" s="15" t="s">
        <v>172</v>
      </c>
      <c r="CC1178" s="17" t="s">
        <v>138</v>
      </c>
      <c r="CD1178" s="15" t="s">
        <v>138</v>
      </c>
      <c r="CE1178" s="15" t="s">
        <v>1673</v>
      </c>
      <c r="CF1178" s="15" t="s">
        <v>138</v>
      </c>
      <c r="CG1178" s="15" t="s">
        <v>138</v>
      </c>
      <c r="CH1178" s="15" t="s">
        <v>351</v>
      </c>
      <c r="CI1178" s="15" t="s">
        <v>138</v>
      </c>
      <c r="CJ1178" s="15" t="s">
        <v>138</v>
      </c>
      <c r="CK1178" s="15" t="s">
        <v>138</v>
      </c>
      <c r="CL1178" s="15" t="s">
        <v>175</v>
      </c>
      <c r="CM1178" s="22" t="s">
        <v>138</v>
      </c>
      <c r="CN1178" s="17" t="s">
        <v>138</v>
      </c>
      <c r="CO1178" s="23">
        <v>2.0299999999999998</v>
      </c>
      <c r="CP1178" s="24">
        <v>99</v>
      </c>
      <c r="CQ1178" s="23">
        <v>0</v>
      </c>
      <c r="CR1178" s="23">
        <v>0.14000000000000001</v>
      </c>
      <c r="CS1178" s="23">
        <v>4.1399999999999997</v>
      </c>
      <c r="CT1178" s="24">
        <v>100</v>
      </c>
      <c r="CU1178" s="23">
        <v>-0.09</v>
      </c>
      <c r="CV1178" s="24">
        <v>5</v>
      </c>
      <c r="CW1178" s="23">
        <v>4.1399999999999997</v>
      </c>
      <c r="CX1178" s="24">
        <v>94</v>
      </c>
      <c r="CY1178" s="23" t="s">
        <v>138</v>
      </c>
      <c r="CZ1178" s="24" t="s">
        <v>138</v>
      </c>
      <c r="DA1178" s="23">
        <v>-0.15</v>
      </c>
      <c r="DB1178" s="24">
        <v>3</v>
      </c>
      <c r="DC1178" s="25">
        <v>11.51</v>
      </c>
      <c r="DD1178" s="24">
        <v>91</v>
      </c>
      <c r="DE1178" s="25">
        <v>-0.37</v>
      </c>
      <c r="DF1178" s="23">
        <v>-3.11</v>
      </c>
      <c r="DG1178" s="25">
        <v>6.38</v>
      </c>
      <c r="DH1178" s="24">
        <v>85</v>
      </c>
      <c r="DI1178" s="25">
        <v>16.64</v>
      </c>
      <c r="DJ1178" s="24">
        <v>89</v>
      </c>
      <c r="DK1178" s="25">
        <v>6.38</v>
      </c>
      <c r="DL1178" s="24">
        <v>82</v>
      </c>
      <c r="DM1178" s="25" t="s">
        <v>138</v>
      </c>
      <c r="DN1178" s="24" t="s">
        <v>138</v>
      </c>
      <c r="DO1178" s="25">
        <v>32.090000000000003</v>
      </c>
      <c r="DP1178" s="24">
        <v>95</v>
      </c>
      <c r="DQ1178" s="24">
        <v>2130</v>
      </c>
      <c r="DR1178" s="26">
        <v>175</v>
      </c>
      <c r="DS1178" s="23">
        <v>8.9499999999999993</v>
      </c>
      <c r="DT1178" s="24" t="s">
        <v>138</v>
      </c>
      <c r="DU1178" s="26" t="s">
        <v>138</v>
      </c>
      <c r="DV1178" s="23" t="s">
        <v>138</v>
      </c>
      <c r="DW1178" s="24">
        <v>11491</v>
      </c>
      <c r="DX1178" s="27">
        <v>-7</v>
      </c>
      <c r="DY1178" s="23">
        <v>-0.06</v>
      </c>
      <c r="DZ1178" s="15" t="s">
        <v>178</v>
      </c>
      <c r="EA1178" s="22">
        <v>43622</v>
      </c>
      <c r="EB1178" s="17">
        <v>17</v>
      </c>
      <c r="EC1178" s="22">
        <v>42069</v>
      </c>
      <c r="ED1178" s="15" t="s">
        <v>349</v>
      </c>
      <c r="EE1178" s="14" t="str">
        <f>HYPERLINK("https://my.pitchbook.com?c=109691-47", "View company online")</f>
        <v>View company online</v>
      </c>
    </row>
    <row r="1179" spans="1:135">
      <c r="A1179" s="28" t="s">
        <v>22925</v>
      </c>
      <c r="B1179" s="28" t="s">
        <v>22926</v>
      </c>
      <c r="C1179" s="28" t="s">
        <v>138</v>
      </c>
      <c r="D1179" s="28" t="s">
        <v>138</v>
      </c>
      <c r="E1179" s="28" t="s">
        <v>22927</v>
      </c>
      <c r="F1179" s="28" t="s">
        <v>22925</v>
      </c>
      <c r="G1179" s="28" t="s">
        <v>22928</v>
      </c>
      <c r="H1179" s="28" t="s">
        <v>322</v>
      </c>
      <c r="I1179" s="28" t="s">
        <v>323</v>
      </c>
      <c r="J1179" s="28" t="s">
        <v>413</v>
      </c>
      <c r="K1179" s="28" t="s">
        <v>17349</v>
      </c>
      <c r="L1179" s="28" t="s">
        <v>22929</v>
      </c>
      <c r="M1179" s="28" t="s">
        <v>22930</v>
      </c>
      <c r="N1179" s="28" t="s">
        <v>147</v>
      </c>
      <c r="O1179" s="29">
        <v>10.5</v>
      </c>
      <c r="P1179" s="28" t="s">
        <v>148</v>
      </c>
      <c r="Q1179" s="28" t="s">
        <v>149</v>
      </c>
      <c r="R1179" s="28" t="s">
        <v>244</v>
      </c>
      <c r="S1179" s="28" t="s">
        <v>22931</v>
      </c>
      <c r="T1179" s="30">
        <v>15</v>
      </c>
      <c r="U1179" s="28" t="s">
        <v>22932</v>
      </c>
      <c r="V1179" s="28" t="s">
        <v>138</v>
      </c>
      <c r="W1179" s="28" t="s">
        <v>138</v>
      </c>
      <c r="X1179" s="31">
        <v>2015</v>
      </c>
      <c r="Y1179" s="28" t="s">
        <v>138</v>
      </c>
      <c r="Z1179" s="28" t="s">
        <v>138</v>
      </c>
      <c r="AA1179" s="28" t="s">
        <v>138</v>
      </c>
      <c r="AB1179" s="32" t="s">
        <v>138</v>
      </c>
      <c r="AC1179" s="32" t="s">
        <v>138</v>
      </c>
      <c r="AD1179" s="32" t="s">
        <v>138</v>
      </c>
      <c r="AE1179" s="32" t="s">
        <v>138</v>
      </c>
      <c r="AF1179" s="32" t="s">
        <v>138</v>
      </c>
      <c r="AG1179" s="28" t="s">
        <v>138</v>
      </c>
      <c r="AH1179" s="32" t="s">
        <v>138</v>
      </c>
      <c r="AI1179" s="32" t="s">
        <v>138</v>
      </c>
      <c r="AJ1179" s="32" t="s">
        <v>138</v>
      </c>
      <c r="AK1179" s="28" t="s">
        <v>22933</v>
      </c>
      <c r="AL1179" s="28" t="s">
        <v>22934</v>
      </c>
      <c r="AM1179" s="28" t="s">
        <v>6092</v>
      </c>
      <c r="AN1179" s="28" t="s">
        <v>22935</v>
      </c>
      <c r="AO1179" s="28" t="s">
        <v>138</v>
      </c>
      <c r="AP1179" s="28" t="s">
        <v>12391</v>
      </c>
      <c r="AQ1179" s="28" t="s">
        <v>138</v>
      </c>
      <c r="AR1179" s="28" t="s">
        <v>138</v>
      </c>
      <c r="AS1179" s="28" t="s">
        <v>12394</v>
      </c>
      <c r="AT1179" s="28" t="s">
        <v>200</v>
      </c>
      <c r="AU1179" s="28" t="s">
        <v>138</v>
      </c>
      <c r="AV1179" s="28" t="s">
        <v>162</v>
      </c>
      <c r="AW1179" s="28" t="s">
        <v>138</v>
      </c>
      <c r="AX1179" s="28" t="s">
        <v>138</v>
      </c>
      <c r="AY1179" s="28" t="s">
        <v>22936</v>
      </c>
      <c r="AZ1179" s="28" t="s">
        <v>164</v>
      </c>
      <c r="BA1179" s="28" t="s">
        <v>165</v>
      </c>
      <c r="BB1179" s="28" t="s">
        <v>22937</v>
      </c>
      <c r="BC1179" s="28" t="s">
        <v>22938</v>
      </c>
      <c r="BD1179" s="33">
        <v>19</v>
      </c>
      <c r="BE1179" s="28" t="s">
        <v>138</v>
      </c>
      <c r="BF1179" s="28" t="s">
        <v>138</v>
      </c>
      <c r="BG1179" s="28" t="s">
        <v>138</v>
      </c>
      <c r="BH1179" s="28" t="s">
        <v>22939</v>
      </c>
      <c r="BI1179" s="28" t="s">
        <v>138</v>
      </c>
      <c r="BJ1179" s="28" t="s">
        <v>138</v>
      </c>
      <c r="BK1179" s="28" t="s">
        <v>1251</v>
      </c>
      <c r="BL1179" s="28" t="s">
        <v>22940</v>
      </c>
      <c r="BM1179" s="34" t="s">
        <v>138</v>
      </c>
      <c r="BN1179" s="29" t="s">
        <v>138</v>
      </c>
      <c r="BO1179" s="28" t="s">
        <v>138</v>
      </c>
      <c r="BP1179" s="29" t="s">
        <v>138</v>
      </c>
      <c r="BQ1179" s="28" t="s">
        <v>138</v>
      </c>
      <c r="BR1179" s="28" t="s">
        <v>234</v>
      </c>
      <c r="BS1179" s="28" t="s">
        <v>234</v>
      </c>
      <c r="BT1179" s="28" t="s">
        <v>138</v>
      </c>
      <c r="BU1179" s="28" t="s">
        <v>174</v>
      </c>
      <c r="BV1179" s="28" t="s">
        <v>138</v>
      </c>
      <c r="BW1179" s="28" t="s">
        <v>138</v>
      </c>
      <c r="BX1179" s="28" t="s">
        <v>138</v>
      </c>
      <c r="BY1179" s="28" t="s">
        <v>175</v>
      </c>
      <c r="BZ1179" s="34">
        <v>42965</v>
      </c>
      <c r="CA1179" s="29">
        <v>10.5</v>
      </c>
      <c r="CB1179" s="28" t="s">
        <v>172</v>
      </c>
      <c r="CC1179" s="29">
        <v>19</v>
      </c>
      <c r="CD1179" s="28" t="s">
        <v>172</v>
      </c>
      <c r="CE1179" s="28" t="s">
        <v>205</v>
      </c>
      <c r="CF1179" s="28" t="s">
        <v>206</v>
      </c>
      <c r="CG1179" s="28" t="s">
        <v>138</v>
      </c>
      <c r="CH1179" s="28" t="s">
        <v>174</v>
      </c>
      <c r="CI1179" s="28" t="s">
        <v>138</v>
      </c>
      <c r="CJ1179" s="28" t="s">
        <v>138</v>
      </c>
      <c r="CK1179" s="28" t="s">
        <v>138</v>
      </c>
      <c r="CL1179" s="28" t="s">
        <v>175</v>
      </c>
      <c r="CM1179" s="34" t="s">
        <v>138</v>
      </c>
      <c r="CN1179" s="29" t="s">
        <v>138</v>
      </c>
      <c r="CO1179" s="35">
        <v>-0.06</v>
      </c>
      <c r="CP1179" s="36">
        <v>22</v>
      </c>
      <c r="CQ1179" s="35">
        <v>-0.01</v>
      </c>
      <c r="CR1179" s="35">
        <v>-10.51</v>
      </c>
      <c r="CS1179" s="35">
        <v>0</v>
      </c>
      <c r="CT1179" s="36">
        <v>23</v>
      </c>
      <c r="CU1179" s="35">
        <v>-0.13</v>
      </c>
      <c r="CV1179" s="36">
        <v>3</v>
      </c>
      <c r="CW1179" s="35" t="s">
        <v>138</v>
      </c>
      <c r="CX1179" s="36" t="s">
        <v>138</v>
      </c>
      <c r="CY1179" s="35">
        <v>0</v>
      </c>
      <c r="CZ1179" s="36">
        <v>25</v>
      </c>
      <c r="DA1179" s="35">
        <v>-0.19</v>
      </c>
      <c r="DB1179" s="36">
        <v>2</v>
      </c>
      <c r="DC1179" s="37">
        <v>1.42</v>
      </c>
      <c r="DD1179" s="36">
        <v>60</v>
      </c>
      <c r="DE1179" s="37">
        <v>-0.02</v>
      </c>
      <c r="DF1179" s="35">
        <v>-1.1200000000000001</v>
      </c>
      <c r="DG1179" s="37">
        <v>1.79</v>
      </c>
      <c r="DH1179" s="36">
        <v>64</v>
      </c>
      <c r="DI1179" s="37">
        <v>1.05</v>
      </c>
      <c r="DJ1179" s="36">
        <v>50</v>
      </c>
      <c r="DK1179" s="37" t="s">
        <v>138</v>
      </c>
      <c r="DL1179" s="36" t="s">
        <v>138</v>
      </c>
      <c r="DM1179" s="37">
        <v>1.79</v>
      </c>
      <c r="DN1179" s="36">
        <v>63</v>
      </c>
      <c r="DO1179" s="37">
        <v>1.44</v>
      </c>
      <c r="DP1179" s="36">
        <v>57</v>
      </c>
      <c r="DQ1179" s="36">
        <v>90</v>
      </c>
      <c r="DR1179" s="38">
        <v>-65</v>
      </c>
      <c r="DS1179" s="35">
        <v>-41.94</v>
      </c>
      <c r="DT1179" s="36">
        <v>52</v>
      </c>
      <c r="DU1179" s="38">
        <v>-1</v>
      </c>
      <c r="DV1179" s="35">
        <v>-1.89</v>
      </c>
      <c r="DW1179" s="36">
        <v>514</v>
      </c>
      <c r="DX1179" s="39">
        <v>-1</v>
      </c>
      <c r="DY1179" s="35">
        <v>-0.19</v>
      </c>
      <c r="DZ1179" s="28" t="s">
        <v>178</v>
      </c>
      <c r="EA1179" s="34">
        <v>43550</v>
      </c>
      <c r="EB1179" s="29">
        <v>19</v>
      </c>
      <c r="EC1179" s="34">
        <v>42965</v>
      </c>
      <c r="ED1179" s="28" t="s">
        <v>205</v>
      </c>
      <c r="EE1179" s="40" t="str">
        <f>HYPERLINK("https://my.pitchbook.com?c=135942-04", "View company online")</f>
        <v>View company online</v>
      </c>
    </row>
    <row r="1180" spans="1:135">
      <c r="A1180" s="15" t="s">
        <v>22941</v>
      </c>
      <c r="B1180" s="15" t="s">
        <v>22942</v>
      </c>
      <c r="C1180" s="15" t="s">
        <v>138</v>
      </c>
      <c r="D1180" s="15" t="s">
        <v>138</v>
      </c>
      <c r="E1180" s="15" t="s">
        <v>22943</v>
      </c>
      <c r="F1180" s="15" t="s">
        <v>22941</v>
      </c>
      <c r="G1180" s="15" t="s">
        <v>22944</v>
      </c>
      <c r="H1180" s="15" t="s">
        <v>322</v>
      </c>
      <c r="I1180" s="15" t="s">
        <v>323</v>
      </c>
      <c r="J1180" s="15" t="s">
        <v>1084</v>
      </c>
      <c r="K1180" s="15" t="s">
        <v>22945</v>
      </c>
      <c r="L1180" s="15" t="s">
        <v>22946</v>
      </c>
      <c r="M1180" s="15" t="s">
        <v>22947</v>
      </c>
      <c r="N1180" s="15" t="s">
        <v>542</v>
      </c>
      <c r="O1180" s="17">
        <v>7.42</v>
      </c>
      <c r="P1180" s="15" t="s">
        <v>610</v>
      </c>
      <c r="Q1180" s="15" t="s">
        <v>149</v>
      </c>
      <c r="R1180" s="15" t="s">
        <v>174</v>
      </c>
      <c r="S1180" s="15" t="s">
        <v>22948</v>
      </c>
      <c r="T1180" s="18" t="s">
        <v>138</v>
      </c>
      <c r="U1180" s="15" t="s">
        <v>138</v>
      </c>
      <c r="V1180" s="15" t="s">
        <v>138</v>
      </c>
      <c r="W1180" s="15" t="s">
        <v>138</v>
      </c>
      <c r="X1180" s="19">
        <v>2013</v>
      </c>
      <c r="Y1180" s="15" t="s">
        <v>138</v>
      </c>
      <c r="Z1180" s="15" t="s">
        <v>138</v>
      </c>
      <c r="AA1180" s="15" t="s">
        <v>138</v>
      </c>
      <c r="AB1180" s="20" t="s">
        <v>138</v>
      </c>
      <c r="AC1180" s="20" t="s">
        <v>138</v>
      </c>
      <c r="AD1180" s="20" t="s">
        <v>138</v>
      </c>
      <c r="AE1180" s="20" t="s">
        <v>138</v>
      </c>
      <c r="AF1180" s="20" t="s">
        <v>138</v>
      </c>
      <c r="AG1180" s="15" t="s">
        <v>138</v>
      </c>
      <c r="AH1180" s="20" t="s">
        <v>138</v>
      </c>
      <c r="AI1180" s="20" t="s">
        <v>138</v>
      </c>
      <c r="AJ1180" s="20" t="s">
        <v>138</v>
      </c>
      <c r="AK1180" s="15" t="s">
        <v>22949</v>
      </c>
      <c r="AL1180" s="15" t="s">
        <v>22950</v>
      </c>
      <c r="AM1180" s="15" t="s">
        <v>304</v>
      </c>
      <c r="AN1180" s="15" t="s">
        <v>138</v>
      </c>
      <c r="AO1180" s="15" t="s">
        <v>138</v>
      </c>
      <c r="AP1180" s="15" t="s">
        <v>156</v>
      </c>
      <c r="AQ1180" s="15" t="s">
        <v>22951</v>
      </c>
      <c r="AR1180" s="15" t="s">
        <v>138</v>
      </c>
      <c r="AS1180" s="15" t="s">
        <v>159</v>
      </c>
      <c r="AT1180" s="15" t="s">
        <v>160</v>
      </c>
      <c r="AU1180" s="15" t="s">
        <v>161</v>
      </c>
      <c r="AV1180" s="15" t="s">
        <v>162</v>
      </c>
      <c r="AW1180" s="15" t="s">
        <v>138</v>
      </c>
      <c r="AX1180" s="15" t="s">
        <v>138</v>
      </c>
      <c r="AY1180" s="15" t="s">
        <v>138</v>
      </c>
      <c r="AZ1180" s="15" t="s">
        <v>164</v>
      </c>
      <c r="BA1180" s="15" t="s">
        <v>165</v>
      </c>
      <c r="BB1180" s="15" t="s">
        <v>22952</v>
      </c>
      <c r="BC1180" s="15" t="s">
        <v>22953</v>
      </c>
      <c r="BD1180" s="21">
        <v>7</v>
      </c>
      <c r="BE1180" s="15" t="s">
        <v>138</v>
      </c>
      <c r="BF1180" s="15" t="s">
        <v>138</v>
      </c>
      <c r="BG1180" s="15" t="s">
        <v>138</v>
      </c>
      <c r="BH1180" s="15" t="s">
        <v>22954</v>
      </c>
      <c r="BI1180" s="15" t="s">
        <v>138</v>
      </c>
      <c r="BJ1180" s="15" t="s">
        <v>138</v>
      </c>
      <c r="BK1180" s="15" t="s">
        <v>138</v>
      </c>
      <c r="BL1180" s="15" t="s">
        <v>138</v>
      </c>
      <c r="BM1180" s="22">
        <v>41518</v>
      </c>
      <c r="BN1180" s="17">
        <v>0.02</v>
      </c>
      <c r="BO1180" s="15" t="s">
        <v>172</v>
      </c>
      <c r="BP1180" s="17" t="s">
        <v>138</v>
      </c>
      <c r="BQ1180" s="15" t="s">
        <v>138</v>
      </c>
      <c r="BR1180" s="15" t="s">
        <v>316</v>
      </c>
      <c r="BS1180" s="15" t="s">
        <v>138</v>
      </c>
      <c r="BT1180" s="15" t="s">
        <v>138</v>
      </c>
      <c r="BU1180" s="15" t="s">
        <v>177</v>
      </c>
      <c r="BV1180" s="15" t="s">
        <v>138</v>
      </c>
      <c r="BW1180" s="15" t="s">
        <v>138</v>
      </c>
      <c r="BX1180" s="15" t="s">
        <v>138</v>
      </c>
      <c r="BY1180" s="15" t="s">
        <v>175</v>
      </c>
      <c r="BZ1180" s="22">
        <v>42917</v>
      </c>
      <c r="CA1180" s="17">
        <v>7</v>
      </c>
      <c r="CB1180" s="15" t="s">
        <v>172</v>
      </c>
      <c r="CC1180" s="17" t="s">
        <v>138</v>
      </c>
      <c r="CD1180" s="15" t="s">
        <v>138</v>
      </c>
      <c r="CE1180" s="15" t="s">
        <v>205</v>
      </c>
      <c r="CF1180" s="15" t="s">
        <v>206</v>
      </c>
      <c r="CG1180" s="15" t="s">
        <v>138</v>
      </c>
      <c r="CH1180" s="15" t="s">
        <v>174</v>
      </c>
      <c r="CI1180" s="15" t="s">
        <v>138</v>
      </c>
      <c r="CJ1180" s="15" t="s">
        <v>138</v>
      </c>
      <c r="CK1180" s="15" t="s">
        <v>138</v>
      </c>
      <c r="CL1180" s="15" t="s">
        <v>175</v>
      </c>
      <c r="CM1180" s="22" t="s">
        <v>138</v>
      </c>
      <c r="CN1180" s="17" t="s">
        <v>138</v>
      </c>
      <c r="CO1180" s="23">
        <v>0.28000000000000003</v>
      </c>
      <c r="CP1180" s="24">
        <v>93</v>
      </c>
      <c r="CQ1180" s="23">
        <v>-0.14000000000000001</v>
      </c>
      <c r="CR1180" s="23">
        <v>-33.14</v>
      </c>
      <c r="CS1180" s="23">
        <v>0</v>
      </c>
      <c r="CT1180" s="24">
        <v>23</v>
      </c>
      <c r="CU1180" s="23">
        <v>0.56999999999999995</v>
      </c>
      <c r="CV1180" s="24">
        <v>95</v>
      </c>
      <c r="CW1180" s="23" t="s">
        <v>138</v>
      </c>
      <c r="CX1180" s="24" t="s">
        <v>138</v>
      </c>
      <c r="CY1180" s="23">
        <v>0</v>
      </c>
      <c r="CZ1180" s="24">
        <v>25</v>
      </c>
      <c r="DA1180" s="23">
        <v>0.56999999999999995</v>
      </c>
      <c r="DB1180" s="24">
        <v>95</v>
      </c>
      <c r="DC1180" s="25">
        <v>1.1499999999999999</v>
      </c>
      <c r="DD1180" s="24">
        <v>54</v>
      </c>
      <c r="DE1180" s="25">
        <v>0.02</v>
      </c>
      <c r="DF1180" s="23">
        <v>1.52</v>
      </c>
      <c r="DG1180" s="25">
        <v>1.79</v>
      </c>
      <c r="DH1180" s="24">
        <v>64</v>
      </c>
      <c r="DI1180" s="25">
        <v>0.51</v>
      </c>
      <c r="DJ1180" s="24">
        <v>37</v>
      </c>
      <c r="DK1180" s="25" t="s">
        <v>138</v>
      </c>
      <c r="DL1180" s="24" t="s">
        <v>138</v>
      </c>
      <c r="DM1180" s="25">
        <v>1.79</v>
      </c>
      <c r="DN1180" s="24">
        <v>63</v>
      </c>
      <c r="DO1180" s="25">
        <v>0.51</v>
      </c>
      <c r="DP1180" s="24">
        <v>38</v>
      </c>
      <c r="DQ1180" s="24">
        <v>137</v>
      </c>
      <c r="DR1180" s="26">
        <v>12</v>
      </c>
      <c r="DS1180" s="23">
        <v>9.6</v>
      </c>
      <c r="DT1180" s="24">
        <v>51</v>
      </c>
      <c r="DU1180" s="26">
        <v>1</v>
      </c>
      <c r="DV1180" s="23">
        <v>2</v>
      </c>
      <c r="DW1180" s="24">
        <v>182</v>
      </c>
      <c r="DX1180" s="27">
        <v>-2</v>
      </c>
      <c r="DY1180" s="23">
        <v>-1.0900000000000001</v>
      </c>
      <c r="DZ1180" s="15" t="s">
        <v>178</v>
      </c>
      <c r="EA1180" s="22">
        <v>43351</v>
      </c>
      <c r="EB1180" s="17" t="s">
        <v>138</v>
      </c>
      <c r="EC1180" s="22" t="s">
        <v>138</v>
      </c>
      <c r="ED1180" s="15" t="s">
        <v>138</v>
      </c>
      <c r="EE1180" s="14" t="str">
        <f>HYPERLINK("https://my.pitchbook.com?c=90558-28", "View company online")</f>
        <v>View company online</v>
      </c>
    </row>
    <row r="1181" spans="1:135">
      <c r="A1181" s="28" t="s">
        <v>22955</v>
      </c>
      <c r="B1181" s="28" t="s">
        <v>22956</v>
      </c>
      <c r="C1181" s="28" t="s">
        <v>22957</v>
      </c>
      <c r="D1181" s="28" t="s">
        <v>22958</v>
      </c>
      <c r="E1181" s="28" t="s">
        <v>22959</v>
      </c>
      <c r="F1181" s="28" t="s">
        <v>22955</v>
      </c>
      <c r="G1181" s="28" t="s">
        <v>22960</v>
      </c>
      <c r="H1181" s="28" t="s">
        <v>322</v>
      </c>
      <c r="I1181" s="28" t="s">
        <v>323</v>
      </c>
      <c r="J1181" s="28" t="s">
        <v>461</v>
      </c>
      <c r="K1181" s="28" t="s">
        <v>2209</v>
      </c>
      <c r="L1181" s="28" t="s">
        <v>586</v>
      </c>
      <c r="M1181" s="28" t="s">
        <v>22961</v>
      </c>
      <c r="N1181" s="28" t="s">
        <v>147</v>
      </c>
      <c r="O1181" s="29">
        <v>30</v>
      </c>
      <c r="P1181" s="28" t="s">
        <v>148</v>
      </c>
      <c r="Q1181" s="28" t="s">
        <v>149</v>
      </c>
      <c r="R1181" s="28" t="s">
        <v>174</v>
      </c>
      <c r="S1181" s="28" t="s">
        <v>22962</v>
      </c>
      <c r="T1181" s="30">
        <v>65</v>
      </c>
      <c r="U1181" s="28" t="s">
        <v>22963</v>
      </c>
      <c r="V1181" s="28" t="s">
        <v>138</v>
      </c>
      <c r="W1181" s="28" t="s">
        <v>138</v>
      </c>
      <c r="X1181" s="31">
        <v>2014</v>
      </c>
      <c r="Y1181" s="28" t="s">
        <v>138</v>
      </c>
      <c r="Z1181" s="28" t="s">
        <v>138</v>
      </c>
      <c r="AA1181" s="28" t="s">
        <v>138</v>
      </c>
      <c r="AB1181" s="32" t="s">
        <v>138</v>
      </c>
      <c r="AC1181" s="32" t="s">
        <v>138</v>
      </c>
      <c r="AD1181" s="32" t="s">
        <v>138</v>
      </c>
      <c r="AE1181" s="32" t="s">
        <v>138</v>
      </c>
      <c r="AF1181" s="32" t="s">
        <v>138</v>
      </c>
      <c r="AG1181" s="28" t="s">
        <v>138</v>
      </c>
      <c r="AH1181" s="32" t="s">
        <v>138</v>
      </c>
      <c r="AI1181" s="32" t="s">
        <v>138</v>
      </c>
      <c r="AJ1181" s="32" t="s">
        <v>138</v>
      </c>
      <c r="AK1181" s="28" t="s">
        <v>22964</v>
      </c>
      <c r="AL1181" s="28" t="s">
        <v>22965</v>
      </c>
      <c r="AM1181" s="28" t="s">
        <v>249</v>
      </c>
      <c r="AN1181" s="28" t="s">
        <v>22966</v>
      </c>
      <c r="AO1181" s="28" t="s">
        <v>22967</v>
      </c>
      <c r="AP1181" s="28" t="s">
        <v>5697</v>
      </c>
      <c r="AQ1181" s="28" t="s">
        <v>22968</v>
      </c>
      <c r="AR1181" s="28" t="s">
        <v>3062</v>
      </c>
      <c r="AS1181" s="28" t="s">
        <v>5700</v>
      </c>
      <c r="AT1181" s="28" t="s">
        <v>138</v>
      </c>
      <c r="AU1181" s="28" t="s">
        <v>22969</v>
      </c>
      <c r="AV1181" s="28" t="s">
        <v>740</v>
      </c>
      <c r="AW1181" s="28" t="s">
        <v>22967</v>
      </c>
      <c r="AX1181" s="28" t="s">
        <v>138</v>
      </c>
      <c r="AY1181" s="28" t="s">
        <v>22970</v>
      </c>
      <c r="AZ1181" s="28" t="s">
        <v>742</v>
      </c>
      <c r="BA1181" s="28" t="s">
        <v>742</v>
      </c>
      <c r="BB1181" s="28" t="s">
        <v>22971</v>
      </c>
      <c r="BC1181" s="28" t="s">
        <v>22972</v>
      </c>
      <c r="BD1181" s="33">
        <v>10</v>
      </c>
      <c r="BE1181" s="28" t="s">
        <v>138</v>
      </c>
      <c r="BF1181" s="28" t="s">
        <v>138</v>
      </c>
      <c r="BG1181" s="28" t="s">
        <v>138</v>
      </c>
      <c r="BH1181" s="28" t="s">
        <v>22973</v>
      </c>
      <c r="BI1181" s="28" t="s">
        <v>138</v>
      </c>
      <c r="BJ1181" s="28" t="s">
        <v>138</v>
      </c>
      <c r="BK1181" s="28" t="s">
        <v>138</v>
      </c>
      <c r="BL1181" s="28" t="s">
        <v>138</v>
      </c>
      <c r="BM1181" s="34" t="s">
        <v>138</v>
      </c>
      <c r="BN1181" s="29" t="s">
        <v>138</v>
      </c>
      <c r="BO1181" s="28" t="s">
        <v>138</v>
      </c>
      <c r="BP1181" s="29" t="s">
        <v>138</v>
      </c>
      <c r="BQ1181" s="28" t="s">
        <v>138</v>
      </c>
      <c r="BR1181" s="28" t="s">
        <v>316</v>
      </c>
      <c r="BS1181" s="28" t="s">
        <v>138</v>
      </c>
      <c r="BT1181" s="28" t="s">
        <v>138</v>
      </c>
      <c r="BU1181" s="28" t="s">
        <v>177</v>
      </c>
      <c r="BV1181" s="28" t="s">
        <v>138</v>
      </c>
      <c r="BW1181" s="28" t="s">
        <v>138</v>
      </c>
      <c r="BX1181" s="28" t="s">
        <v>138</v>
      </c>
      <c r="BY1181" s="28" t="s">
        <v>175</v>
      </c>
      <c r="BZ1181" s="34">
        <v>42759</v>
      </c>
      <c r="CA1181" s="29" t="s">
        <v>138</v>
      </c>
      <c r="CB1181" s="28" t="s">
        <v>138</v>
      </c>
      <c r="CC1181" s="29" t="s">
        <v>138</v>
      </c>
      <c r="CD1181" s="28" t="s">
        <v>138</v>
      </c>
      <c r="CE1181" s="28" t="s">
        <v>205</v>
      </c>
      <c r="CF1181" s="28" t="s">
        <v>138</v>
      </c>
      <c r="CG1181" s="28" t="s">
        <v>138</v>
      </c>
      <c r="CH1181" s="28" t="s">
        <v>174</v>
      </c>
      <c r="CI1181" s="28" t="s">
        <v>138</v>
      </c>
      <c r="CJ1181" s="28" t="s">
        <v>138</v>
      </c>
      <c r="CK1181" s="28" t="s">
        <v>138</v>
      </c>
      <c r="CL1181" s="28" t="s">
        <v>175</v>
      </c>
      <c r="CM1181" s="34" t="s">
        <v>138</v>
      </c>
      <c r="CN1181" s="29" t="s">
        <v>138</v>
      </c>
      <c r="CO1181" s="35">
        <v>0.04</v>
      </c>
      <c r="CP1181" s="36">
        <v>87</v>
      </c>
      <c r="CQ1181" s="35">
        <v>-0.01</v>
      </c>
      <c r="CR1181" s="35">
        <v>-20.74</v>
      </c>
      <c r="CS1181" s="35">
        <v>-0.15</v>
      </c>
      <c r="CT1181" s="36">
        <v>22</v>
      </c>
      <c r="CU1181" s="35">
        <v>0.24</v>
      </c>
      <c r="CV1181" s="36">
        <v>84</v>
      </c>
      <c r="CW1181" s="35">
        <v>0.64</v>
      </c>
      <c r="CX1181" s="36">
        <v>83</v>
      </c>
      <c r="CY1181" s="35">
        <v>-0.94</v>
      </c>
      <c r="CZ1181" s="36">
        <v>19</v>
      </c>
      <c r="DA1181" s="35">
        <v>0.36</v>
      </c>
      <c r="DB1181" s="36">
        <v>91</v>
      </c>
      <c r="DC1181" s="37">
        <v>6.89</v>
      </c>
      <c r="DD1181" s="36">
        <v>86</v>
      </c>
      <c r="DE1181" s="37">
        <v>-0.1</v>
      </c>
      <c r="DF1181" s="35">
        <v>-1.36</v>
      </c>
      <c r="DG1181" s="37">
        <v>7.36</v>
      </c>
      <c r="DH1181" s="36">
        <v>87</v>
      </c>
      <c r="DI1181" s="37">
        <v>6.41</v>
      </c>
      <c r="DJ1181" s="36">
        <v>80</v>
      </c>
      <c r="DK1181" s="37">
        <v>3.14</v>
      </c>
      <c r="DL1181" s="36">
        <v>72</v>
      </c>
      <c r="DM1181" s="37">
        <v>11.59</v>
      </c>
      <c r="DN1181" s="36">
        <v>90</v>
      </c>
      <c r="DO1181" s="37">
        <v>12.02</v>
      </c>
      <c r="DP1181" s="36">
        <v>89</v>
      </c>
      <c r="DQ1181" s="36">
        <v>1051</v>
      </c>
      <c r="DR1181" s="38">
        <v>81</v>
      </c>
      <c r="DS1181" s="35">
        <v>8.35</v>
      </c>
      <c r="DT1181" s="36">
        <v>336</v>
      </c>
      <c r="DU1181" s="38">
        <v>-2</v>
      </c>
      <c r="DV1181" s="35">
        <v>-0.59</v>
      </c>
      <c r="DW1181" s="36">
        <v>4301</v>
      </c>
      <c r="DX1181" s="39">
        <v>8</v>
      </c>
      <c r="DY1181" s="35">
        <v>0.19</v>
      </c>
      <c r="DZ1181" s="28" t="s">
        <v>178</v>
      </c>
      <c r="EA1181" s="34">
        <v>43452</v>
      </c>
      <c r="EB1181" s="29" t="s">
        <v>138</v>
      </c>
      <c r="EC1181" s="34" t="s">
        <v>138</v>
      </c>
      <c r="ED1181" s="28" t="s">
        <v>138</v>
      </c>
      <c r="EE1181" s="40" t="str">
        <f>HYPERLINK("https://my.pitchbook.com?c=112435-03", "View company online")</f>
        <v>View company online</v>
      </c>
    </row>
    <row r="1182" spans="1:135">
      <c r="A1182" s="15" t="s">
        <v>22974</v>
      </c>
      <c r="B1182" s="15" t="s">
        <v>22975</v>
      </c>
      <c r="C1182" s="15" t="s">
        <v>138</v>
      </c>
      <c r="D1182" s="15" t="s">
        <v>138</v>
      </c>
      <c r="E1182" s="15" t="s">
        <v>22976</v>
      </c>
      <c r="F1182" s="15" t="s">
        <v>22974</v>
      </c>
      <c r="G1182" s="15" t="s">
        <v>22977</v>
      </c>
      <c r="H1182" s="15" t="s">
        <v>141</v>
      </c>
      <c r="I1182" s="15" t="s">
        <v>142</v>
      </c>
      <c r="J1182" s="15" t="s">
        <v>4042</v>
      </c>
      <c r="K1182" s="15" t="s">
        <v>22978</v>
      </c>
      <c r="L1182" s="15" t="s">
        <v>5328</v>
      </c>
      <c r="M1182" s="15" t="s">
        <v>22979</v>
      </c>
      <c r="N1182" s="15" t="s">
        <v>147</v>
      </c>
      <c r="O1182" s="17">
        <v>71.64</v>
      </c>
      <c r="P1182" s="15" t="s">
        <v>148</v>
      </c>
      <c r="Q1182" s="15" t="s">
        <v>149</v>
      </c>
      <c r="R1182" s="15" t="s">
        <v>174</v>
      </c>
      <c r="S1182" s="15" t="s">
        <v>22980</v>
      </c>
      <c r="T1182" s="18">
        <v>51</v>
      </c>
      <c r="U1182" s="15" t="s">
        <v>22981</v>
      </c>
      <c r="V1182" s="15" t="s">
        <v>138</v>
      </c>
      <c r="W1182" s="15" t="s">
        <v>138</v>
      </c>
      <c r="X1182" s="19">
        <v>2005</v>
      </c>
      <c r="Y1182" s="15" t="s">
        <v>138</v>
      </c>
      <c r="Z1182" s="15" t="s">
        <v>138</v>
      </c>
      <c r="AA1182" s="15" t="s">
        <v>138</v>
      </c>
      <c r="AB1182" s="20" t="s">
        <v>138</v>
      </c>
      <c r="AC1182" s="20" t="s">
        <v>138</v>
      </c>
      <c r="AD1182" s="20" t="s">
        <v>138</v>
      </c>
      <c r="AE1182" s="20" t="s">
        <v>138</v>
      </c>
      <c r="AF1182" s="20" t="s">
        <v>138</v>
      </c>
      <c r="AG1182" s="15" t="s">
        <v>138</v>
      </c>
      <c r="AH1182" s="20" t="s">
        <v>138</v>
      </c>
      <c r="AI1182" s="20" t="s">
        <v>138</v>
      </c>
      <c r="AJ1182" s="20" t="s">
        <v>138</v>
      </c>
      <c r="AK1182" s="15" t="s">
        <v>22982</v>
      </c>
      <c r="AL1182" s="15" t="s">
        <v>22983</v>
      </c>
      <c r="AM1182" s="15" t="s">
        <v>2949</v>
      </c>
      <c r="AN1182" s="15" t="s">
        <v>22984</v>
      </c>
      <c r="AO1182" s="15" t="s">
        <v>22985</v>
      </c>
      <c r="AP1182" s="15" t="s">
        <v>639</v>
      </c>
      <c r="AQ1182" s="15" t="s">
        <v>22986</v>
      </c>
      <c r="AR1182" s="15" t="s">
        <v>22987</v>
      </c>
      <c r="AS1182" s="15" t="s">
        <v>642</v>
      </c>
      <c r="AT1182" s="15" t="s">
        <v>474</v>
      </c>
      <c r="AU1182" s="15" t="s">
        <v>20034</v>
      </c>
      <c r="AV1182" s="15" t="s">
        <v>162</v>
      </c>
      <c r="AW1182" s="15" t="s">
        <v>22985</v>
      </c>
      <c r="AX1182" s="15" t="s">
        <v>22988</v>
      </c>
      <c r="AY1182" s="15" t="s">
        <v>22989</v>
      </c>
      <c r="AZ1182" s="15" t="s">
        <v>164</v>
      </c>
      <c r="BA1182" s="15" t="s">
        <v>165</v>
      </c>
      <c r="BB1182" s="15" t="s">
        <v>22990</v>
      </c>
      <c r="BC1182" s="15" t="s">
        <v>22991</v>
      </c>
      <c r="BD1182" s="21">
        <v>18</v>
      </c>
      <c r="BE1182" s="15" t="s">
        <v>138</v>
      </c>
      <c r="BF1182" s="15" t="s">
        <v>138</v>
      </c>
      <c r="BG1182" s="15" t="s">
        <v>138</v>
      </c>
      <c r="BH1182" s="15" t="s">
        <v>22992</v>
      </c>
      <c r="BI1182" s="15" t="s">
        <v>138</v>
      </c>
      <c r="BJ1182" s="15" t="s">
        <v>138</v>
      </c>
      <c r="BK1182" s="15" t="s">
        <v>138</v>
      </c>
      <c r="BL1182" s="15" t="s">
        <v>138</v>
      </c>
      <c r="BM1182" s="22">
        <v>39168</v>
      </c>
      <c r="BN1182" s="17">
        <v>0.7</v>
      </c>
      <c r="BO1182" s="15" t="s">
        <v>172</v>
      </c>
      <c r="BP1182" s="17">
        <v>2.52</v>
      </c>
      <c r="BQ1182" s="15" t="s">
        <v>172</v>
      </c>
      <c r="BR1182" s="15" t="s">
        <v>205</v>
      </c>
      <c r="BS1182" s="15" t="s">
        <v>206</v>
      </c>
      <c r="BT1182" s="15" t="s">
        <v>138</v>
      </c>
      <c r="BU1182" s="15" t="s">
        <v>174</v>
      </c>
      <c r="BV1182" s="15" t="s">
        <v>138</v>
      </c>
      <c r="BW1182" s="15" t="s">
        <v>138</v>
      </c>
      <c r="BX1182" s="15" t="s">
        <v>138</v>
      </c>
      <c r="BY1182" s="15" t="s">
        <v>175</v>
      </c>
      <c r="BZ1182" s="22">
        <v>43096</v>
      </c>
      <c r="CA1182" s="17">
        <v>7</v>
      </c>
      <c r="CB1182" s="15" t="s">
        <v>172</v>
      </c>
      <c r="CC1182" s="17" t="s">
        <v>138</v>
      </c>
      <c r="CD1182" s="15" t="s">
        <v>138</v>
      </c>
      <c r="CE1182" s="15" t="s">
        <v>173</v>
      </c>
      <c r="CF1182" s="15" t="s">
        <v>4410</v>
      </c>
      <c r="CG1182" s="15" t="s">
        <v>138</v>
      </c>
      <c r="CH1182" s="15" t="s">
        <v>174</v>
      </c>
      <c r="CI1182" s="15" t="s">
        <v>138</v>
      </c>
      <c r="CJ1182" s="15" t="s">
        <v>138</v>
      </c>
      <c r="CK1182" s="15" t="s">
        <v>138</v>
      </c>
      <c r="CL1182" s="15" t="s">
        <v>175</v>
      </c>
      <c r="CM1182" s="22" t="s">
        <v>138</v>
      </c>
      <c r="CN1182" s="17" t="s">
        <v>138</v>
      </c>
      <c r="CO1182" s="23">
        <v>1.53</v>
      </c>
      <c r="CP1182" s="24">
        <v>98</v>
      </c>
      <c r="CQ1182" s="23">
        <v>0.01</v>
      </c>
      <c r="CR1182" s="23">
        <v>0.47</v>
      </c>
      <c r="CS1182" s="23">
        <v>3</v>
      </c>
      <c r="CT1182" s="24">
        <v>99</v>
      </c>
      <c r="CU1182" s="23">
        <v>0.06</v>
      </c>
      <c r="CV1182" s="24">
        <v>60</v>
      </c>
      <c r="CW1182" s="23">
        <v>7.16</v>
      </c>
      <c r="CX1182" s="24">
        <v>98</v>
      </c>
      <c r="CY1182" s="23">
        <v>-1.1499999999999999</v>
      </c>
      <c r="CZ1182" s="24">
        <v>18</v>
      </c>
      <c r="DA1182" s="23">
        <v>0.12</v>
      </c>
      <c r="DB1182" s="24">
        <v>75</v>
      </c>
      <c r="DC1182" s="25">
        <v>7.76</v>
      </c>
      <c r="DD1182" s="24">
        <v>88</v>
      </c>
      <c r="DE1182" s="25">
        <v>-0.21</v>
      </c>
      <c r="DF1182" s="23">
        <v>-2.58</v>
      </c>
      <c r="DG1182" s="25">
        <v>8.74</v>
      </c>
      <c r="DH1182" s="24">
        <v>88</v>
      </c>
      <c r="DI1182" s="25">
        <v>6.77</v>
      </c>
      <c r="DJ1182" s="24">
        <v>81</v>
      </c>
      <c r="DK1182" s="25">
        <v>7.24</v>
      </c>
      <c r="DL1182" s="24">
        <v>84</v>
      </c>
      <c r="DM1182" s="25">
        <v>10.24</v>
      </c>
      <c r="DN1182" s="24">
        <v>89</v>
      </c>
      <c r="DO1182" s="25">
        <v>7.75</v>
      </c>
      <c r="DP1182" s="24">
        <v>85</v>
      </c>
      <c r="DQ1182" s="24">
        <v>2391</v>
      </c>
      <c r="DR1182" s="26">
        <v>275</v>
      </c>
      <c r="DS1182" s="23">
        <v>13</v>
      </c>
      <c r="DT1182" s="24">
        <v>296</v>
      </c>
      <c r="DU1182" s="26">
        <v>1</v>
      </c>
      <c r="DV1182" s="23">
        <v>0.34</v>
      </c>
      <c r="DW1182" s="24">
        <v>2776</v>
      </c>
      <c r="DX1182" s="27">
        <v>1</v>
      </c>
      <c r="DY1182" s="23">
        <v>0.04</v>
      </c>
      <c r="DZ1182" s="15" t="s">
        <v>178</v>
      </c>
      <c r="EA1182" s="22">
        <v>43351</v>
      </c>
      <c r="EB1182" s="17">
        <v>64.5</v>
      </c>
      <c r="EC1182" s="22">
        <v>42684</v>
      </c>
      <c r="ED1182" s="15" t="s">
        <v>173</v>
      </c>
      <c r="EE1182" s="14" t="str">
        <f>HYPERLINK("https://my.pitchbook.com?c=51328-63", "View company online")</f>
        <v>View company online</v>
      </c>
    </row>
    <row r="1183" spans="1:135">
      <c r="A1183" s="28" t="s">
        <v>22993</v>
      </c>
      <c r="B1183" s="28" t="s">
        <v>22994</v>
      </c>
      <c r="C1183" s="28" t="s">
        <v>138</v>
      </c>
      <c r="D1183" s="28" t="s">
        <v>138</v>
      </c>
      <c r="E1183" s="28" t="s">
        <v>138</v>
      </c>
      <c r="F1183" s="28" t="s">
        <v>22993</v>
      </c>
      <c r="G1183" s="28" t="s">
        <v>22995</v>
      </c>
      <c r="H1183" s="28" t="s">
        <v>322</v>
      </c>
      <c r="I1183" s="28" t="s">
        <v>807</v>
      </c>
      <c r="J1183" s="28" t="s">
        <v>808</v>
      </c>
      <c r="K1183" s="28" t="s">
        <v>22996</v>
      </c>
      <c r="L1183" s="28" t="s">
        <v>1972</v>
      </c>
      <c r="M1183" s="28" t="s">
        <v>22997</v>
      </c>
      <c r="N1183" s="28" t="s">
        <v>147</v>
      </c>
      <c r="O1183" s="29" t="s">
        <v>138</v>
      </c>
      <c r="P1183" s="28" t="s">
        <v>148</v>
      </c>
      <c r="Q1183" s="28" t="s">
        <v>149</v>
      </c>
      <c r="R1183" s="28" t="s">
        <v>174</v>
      </c>
      <c r="S1183" s="28" t="s">
        <v>22998</v>
      </c>
      <c r="T1183" s="30" t="s">
        <v>138</v>
      </c>
      <c r="U1183" s="28" t="s">
        <v>138</v>
      </c>
      <c r="V1183" s="28" t="s">
        <v>138</v>
      </c>
      <c r="W1183" s="28" t="s">
        <v>138</v>
      </c>
      <c r="X1183" s="31">
        <v>1993</v>
      </c>
      <c r="Y1183" s="28" t="s">
        <v>138</v>
      </c>
      <c r="Z1183" s="28" t="s">
        <v>138</v>
      </c>
      <c r="AA1183" s="28" t="s">
        <v>138</v>
      </c>
      <c r="AB1183" s="32" t="s">
        <v>138</v>
      </c>
      <c r="AC1183" s="32" t="s">
        <v>138</v>
      </c>
      <c r="AD1183" s="32" t="s">
        <v>138</v>
      </c>
      <c r="AE1183" s="32" t="s">
        <v>138</v>
      </c>
      <c r="AF1183" s="32" t="s">
        <v>138</v>
      </c>
      <c r="AG1183" s="28" t="s">
        <v>138</v>
      </c>
      <c r="AH1183" s="32" t="s">
        <v>138</v>
      </c>
      <c r="AI1183" s="32" t="s">
        <v>138</v>
      </c>
      <c r="AJ1183" s="32" t="s">
        <v>138</v>
      </c>
      <c r="AK1183" s="28" t="s">
        <v>22999</v>
      </c>
      <c r="AL1183" s="28" t="s">
        <v>23000</v>
      </c>
      <c r="AM1183" s="28" t="s">
        <v>249</v>
      </c>
      <c r="AN1183" s="28" t="s">
        <v>23001</v>
      </c>
      <c r="AO1183" s="28" t="s">
        <v>138</v>
      </c>
      <c r="AP1183" s="28" t="s">
        <v>18129</v>
      </c>
      <c r="AQ1183" s="28" t="s">
        <v>23002</v>
      </c>
      <c r="AR1183" s="28" t="s">
        <v>23003</v>
      </c>
      <c r="AS1183" s="28" t="s">
        <v>18132</v>
      </c>
      <c r="AT1183" s="28" t="s">
        <v>18133</v>
      </c>
      <c r="AU1183" s="28" t="s">
        <v>23004</v>
      </c>
      <c r="AV1183" s="28" t="s">
        <v>2333</v>
      </c>
      <c r="AW1183" s="28" t="s">
        <v>23005</v>
      </c>
      <c r="AX1183" s="28" t="s">
        <v>23006</v>
      </c>
      <c r="AY1183" s="28" t="s">
        <v>23007</v>
      </c>
      <c r="AZ1183" s="28" t="s">
        <v>452</v>
      </c>
      <c r="BA1183" s="28" t="s">
        <v>2335</v>
      </c>
      <c r="BB1183" s="28" t="s">
        <v>502</v>
      </c>
      <c r="BC1183" s="28" t="s">
        <v>16877</v>
      </c>
      <c r="BD1183" s="33">
        <v>1</v>
      </c>
      <c r="BE1183" s="28" t="s">
        <v>138</v>
      </c>
      <c r="BF1183" s="28" t="s">
        <v>138</v>
      </c>
      <c r="BG1183" s="28" t="s">
        <v>138</v>
      </c>
      <c r="BH1183" s="28" t="s">
        <v>16878</v>
      </c>
      <c r="BI1183" s="28" t="s">
        <v>138</v>
      </c>
      <c r="BJ1183" s="28" t="s">
        <v>138</v>
      </c>
      <c r="BK1183" s="28" t="s">
        <v>138</v>
      </c>
      <c r="BL1183" s="28" t="s">
        <v>138</v>
      </c>
      <c r="BM1183" s="34" t="s">
        <v>138</v>
      </c>
      <c r="BN1183" s="29" t="s">
        <v>138</v>
      </c>
      <c r="BO1183" s="28" t="s">
        <v>138</v>
      </c>
      <c r="BP1183" s="29" t="s">
        <v>138</v>
      </c>
      <c r="BQ1183" s="28" t="s">
        <v>138</v>
      </c>
      <c r="BR1183" s="28" t="s">
        <v>173</v>
      </c>
      <c r="BS1183" s="28" t="s">
        <v>138</v>
      </c>
      <c r="BT1183" s="28" t="s">
        <v>138</v>
      </c>
      <c r="BU1183" s="28" t="s">
        <v>174</v>
      </c>
      <c r="BV1183" s="28" t="s">
        <v>138</v>
      </c>
      <c r="BW1183" s="28" t="s">
        <v>138</v>
      </c>
      <c r="BX1183" s="28" t="s">
        <v>138</v>
      </c>
      <c r="BY1183" s="28" t="s">
        <v>175</v>
      </c>
      <c r="BZ1183" s="34" t="s">
        <v>138</v>
      </c>
      <c r="CA1183" s="29" t="s">
        <v>138</v>
      </c>
      <c r="CB1183" s="28" t="s">
        <v>138</v>
      </c>
      <c r="CC1183" s="29" t="s">
        <v>138</v>
      </c>
      <c r="CD1183" s="28" t="s">
        <v>138</v>
      </c>
      <c r="CE1183" s="28" t="s">
        <v>173</v>
      </c>
      <c r="CF1183" s="28" t="s">
        <v>138</v>
      </c>
      <c r="CG1183" s="28" t="s">
        <v>138</v>
      </c>
      <c r="CH1183" s="28" t="s">
        <v>174</v>
      </c>
      <c r="CI1183" s="28" t="s">
        <v>138</v>
      </c>
      <c r="CJ1183" s="28" t="s">
        <v>138</v>
      </c>
      <c r="CK1183" s="28" t="s">
        <v>138</v>
      </c>
      <c r="CL1183" s="28" t="s">
        <v>175</v>
      </c>
      <c r="CM1183" s="34" t="s">
        <v>138</v>
      </c>
      <c r="CN1183" s="29" t="s">
        <v>138</v>
      </c>
      <c r="CO1183" s="35">
        <v>0</v>
      </c>
      <c r="CP1183" s="36">
        <v>26</v>
      </c>
      <c r="CQ1183" s="35">
        <v>0</v>
      </c>
      <c r="CR1183" s="35">
        <v>0</v>
      </c>
      <c r="CS1183" s="35">
        <v>0</v>
      </c>
      <c r="CT1183" s="36">
        <v>23</v>
      </c>
      <c r="CU1183" s="35" t="s">
        <v>138</v>
      </c>
      <c r="CV1183" s="36" t="s">
        <v>138</v>
      </c>
      <c r="CW1183" s="35" t="s">
        <v>138</v>
      </c>
      <c r="CX1183" s="36" t="s">
        <v>138</v>
      </c>
      <c r="CY1183" s="35">
        <v>0</v>
      </c>
      <c r="CZ1183" s="36">
        <v>25</v>
      </c>
      <c r="DA1183" s="35" t="s">
        <v>138</v>
      </c>
      <c r="DB1183" s="36" t="s">
        <v>138</v>
      </c>
      <c r="DC1183" s="37">
        <v>0.86</v>
      </c>
      <c r="DD1183" s="36">
        <v>47</v>
      </c>
      <c r="DE1183" s="37">
        <v>0</v>
      </c>
      <c r="DF1183" s="35">
        <v>0</v>
      </c>
      <c r="DG1183" s="37">
        <v>0.86</v>
      </c>
      <c r="DH1183" s="36">
        <v>47</v>
      </c>
      <c r="DI1183" s="37" t="s">
        <v>138</v>
      </c>
      <c r="DJ1183" s="36" t="s">
        <v>138</v>
      </c>
      <c r="DK1183" s="37" t="s">
        <v>138</v>
      </c>
      <c r="DL1183" s="36" t="s">
        <v>138</v>
      </c>
      <c r="DM1183" s="37">
        <v>0.86</v>
      </c>
      <c r="DN1183" s="36">
        <v>47</v>
      </c>
      <c r="DO1183" s="37" t="s">
        <v>138</v>
      </c>
      <c r="DP1183" s="36" t="s">
        <v>138</v>
      </c>
      <c r="DQ1183" s="36" t="s">
        <v>138</v>
      </c>
      <c r="DR1183" s="38" t="s">
        <v>138</v>
      </c>
      <c r="DS1183" s="35" t="s">
        <v>138</v>
      </c>
      <c r="DT1183" s="36">
        <v>25</v>
      </c>
      <c r="DU1183" s="38">
        <v>0</v>
      </c>
      <c r="DV1183" s="35">
        <v>0</v>
      </c>
      <c r="DW1183" s="36" t="s">
        <v>138</v>
      </c>
      <c r="DX1183" s="39" t="s">
        <v>138</v>
      </c>
      <c r="DY1183" s="35" t="s">
        <v>138</v>
      </c>
      <c r="DZ1183" s="28" t="s">
        <v>178</v>
      </c>
      <c r="EA1183" s="34">
        <v>43351</v>
      </c>
      <c r="EB1183" s="29" t="s">
        <v>138</v>
      </c>
      <c r="EC1183" s="34" t="s">
        <v>138</v>
      </c>
      <c r="ED1183" s="28" t="s">
        <v>138</v>
      </c>
      <c r="EE1183" s="40" t="str">
        <f>HYPERLINK("https://my.pitchbook.com?c=182980-18", "View company online")</f>
        <v>View company online</v>
      </c>
    </row>
    <row r="1184" spans="1:135">
      <c r="A1184" s="15" t="s">
        <v>23008</v>
      </c>
      <c r="B1184" s="15" t="s">
        <v>23009</v>
      </c>
      <c r="C1184" s="15" t="s">
        <v>138</v>
      </c>
      <c r="D1184" s="15" t="s">
        <v>138</v>
      </c>
      <c r="E1184" s="15" t="s">
        <v>23010</v>
      </c>
      <c r="F1184" s="15" t="s">
        <v>23008</v>
      </c>
      <c r="G1184" s="15" t="s">
        <v>23011</v>
      </c>
      <c r="H1184" s="15" t="s">
        <v>322</v>
      </c>
      <c r="I1184" s="15" t="s">
        <v>323</v>
      </c>
      <c r="J1184" s="15" t="s">
        <v>324</v>
      </c>
      <c r="K1184" s="15" t="s">
        <v>3192</v>
      </c>
      <c r="L1184" s="15" t="s">
        <v>2835</v>
      </c>
      <c r="M1184" s="15" t="s">
        <v>23012</v>
      </c>
      <c r="N1184" s="15" t="s">
        <v>147</v>
      </c>
      <c r="O1184" s="17">
        <v>48</v>
      </c>
      <c r="P1184" s="15" t="s">
        <v>148</v>
      </c>
      <c r="Q1184" s="15" t="s">
        <v>149</v>
      </c>
      <c r="R1184" s="15" t="s">
        <v>174</v>
      </c>
      <c r="S1184" s="15" t="s">
        <v>23013</v>
      </c>
      <c r="T1184" s="18">
        <v>80</v>
      </c>
      <c r="U1184" s="15" t="s">
        <v>23014</v>
      </c>
      <c r="V1184" s="15" t="s">
        <v>138</v>
      </c>
      <c r="W1184" s="15" t="s">
        <v>138</v>
      </c>
      <c r="X1184" s="19">
        <v>2014</v>
      </c>
      <c r="Y1184" s="15" t="s">
        <v>138</v>
      </c>
      <c r="Z1184" s="15" t="s">
        <v>138</v>
      </c>
      <c r="AA1184" s="15" t="s">
        <v>138</v>
      </c>
      <c r="AB1184" s="20" t="s">
        <v>138</v>
      </c>
      <c r="AC1184" s="20" t="s">
        <v>138</v>
      </c>
      <c r="AD1184" s="20" t="s">
        <v>138</v>
      </c>
      <c r="AE1184" s="20" t="s">
        <v>138</v>
      </c>
      <c r="AF1184" s="20" t="s">
        <v>138</v>
      </c>
      <c r="AG1184" s="15" t="s">
        <v>138</v>
      </c>
      <c r="AH1184" s="20" t="s">
        <v>138</v>
      </c>
      <c r="AI1184" s="20" t="s">
        <v>138</v>
      </c>
      <c r="AJ1184" s="20" t="s">
        <v>138</v>
      </c>
      <c r="AK1184" s="15" t="s">
        <v>23015</v>
      </c>
      <c r="AL1184" s="15" t="s">
        <v>23016</v>
      </c>
      <c r="AM1184" s="15" t="s">
        <v>304</v>
      </c>
      <c r="AN1184" s="15" t="s">
        <v>23017</v>
      </c>
      <c r="AO1184" s="15" t="s">
        <v>138</v>
      </c>
      <c r="AP1184" s="15" t="s">
        <v>10913</v>
      </c>
      <c r="AQ1184" s="15" t="s">
        <v>23018</v>
      </c>
      <c r="AR1184" s="15" t="s">
        <v>138</v>
      </c>
      <c r="AS1184" s="15" t="s">
        <v>10916</v>
      </c>
      <c r="AT1184" s="15" t="s">
        <v>138</v>
      </c>
      <c r="AU1184" s="15" t="s">
        <v>23019</v>
      </c>
      <c r="AV1184" s="15" t="s">
        <v>740</v>
      </c>
      <c r="AW1184" s="15" t="s">
        <v>138</v>
      </c>
      <c r="AX1184" s="15" t="s">
        <v>138</v>
      </c>
      <c r="AY1184" s="15" t="s">
        <v>23020</v>
      </c>
      <c r="AZ1184" s="15" t="s">
        <v>742</v>
      </c>
      <c r="BA1184" s="15" t="s">
        <v>742</v>
      </c>
      <c r="BB1184" s="15" t="s">
        <v>23021</v>
      </c>
      <c r="BC1184" s="15" t="s">
        <v>23022</v>
      </c>
      <c r="BD1184" s="21">
        <v>12</v>
      </c>
      <c r="BE1184" s="15" t="s">
        <v>138</v>
      </c>
      <c r="BF1184" s="15" t="s">
        <v>138</v>
      </c>
      <c r="BG1184" s="15" t="s">
        <v>138</v>
      </c>
      <c r="BH1184" s="15" t="s">
        <v>23023</v>
      </c>
      <c r="BI1184" s="15" t="s">
        <v>138</v>
      </c>
      <c r="BJ1184" s="15" t="s">
        <v>138</v>
      </c>
      <c r="BK1184" s="15" t="s">
        <v>138</v>
      </c>
      <c r="BL1184" s="15" t="s">
        <v>138</v>
      </c>
      <c r="BM1184" s="22">
        <v>42333</v>
      </c>
      <c r="BN1184" s="17">
        <v>15</v>
      </c>
      <c r="BO1184" s="15" t="s">
        <v>172</v>
      </c>
      <c r="BP1184" s="17" t="s">
        <v>138</v>
      </c>
      <c r="BQ1184" s="15" t="s">
        <v>138</v>
      </c>
      <c r="BR1184" s="15" t="s">
        <v>205</v>
      </c>
      <c r="BS1184" s="15" t="s">
        <v>206</v>
      </c>
      <c r="BT1184" s="15" t="s">
        <v>138</v>
      </c>
      <c r="BU1184" s="15" t="s">
        <v>174</v>
      </c>
      <c r="BV1184" s="15" t="s">
        <v>138</v>
      </c>
      <c r="BW1184" s="15" t="s">
        <v>138</v>
      </c>
      <c r="BX1184" s="15" t="s">
        <v>138</v>
      </c>
      <c r="BY1184" s="15" t="s">
        <v>175</v>
      </c>
      <c r="BZ1184" s="22">
        <v>43531</v>
      </c>
      <c r="CA1184" s="17" t="s">
        <v>138</v>
      </c>
      <c r="CB1184" s="15" t="s">
        <v>138</v>
      </c>
      <c r="CC1184" s="17" t="s">
        <v>138</v>
      </c>
      <c r="CD1184" s="15" t="s">
        <v>138</v>
      </c>
      <c r="CE1184" s="15" t="s">
        <v>780</v>
      </c>
      <c r="CF1184" s="15" t="s">
        <v>780</v>
      </c>
      <c r="CG1184" s="15" t="s">
        <v>138</v>
      </c>
      <c r="CH1184" s="15" t="s">
        <v>780</v>
      </c>
      <c r="CI1184" s="15" t="s">
        <v>138</v>
      </c>
      <c r="CJ1184" s="15" t="s">
        <v>138</v>
      </c>
      <c r="CK1184" s="15" t="s">
        <v>138</v>
      </c>
      <c r="CL1184" s="15" t="s">
        <v>175</v>
      </c>
      <c r="CM1184" s="22" t="s">
        <v>138</v>
      </c>
      <c r="CN1184" s="17" t="s">
        <v>138</v>
      </c>
      <c r="CO1184" s="23">
        <v>-0.01</v>
      </c>
      <c r="CP1184" s="24">
        <v>25</v>
      </c>
      <c r="CQ1184" s="23">
        <v>-0.36</v>
      </c>
      <c r="CR1184" s="23">
        <v>-102.17</v>
      </c>
      <c r="CS1184" s="23">
        <v>-0.71</v>
      </c>
      <c r="CT1184" s="24">
        <v>18</v>
      </c>
      <c r="CU1184" s="23">
        <v>0.37</v>
      </c>
      <c r="CV1184" s="24">
        <v>90</v>
      </c>
      <c r="CW1184" s="23" t="s">
        <v>138</v>
      </c>
      <c r="CX1184" s="24" t="s">
        <v>138</v>
      </c>
      <c r="CY1184" s="23">
        <v>-0.71</v>
      </c>
      <c r="CZ1184" s="24">
        <v>21</v>
      </c>
      <c r="DA1184" s="23">
        <v>0.25</v>
      </c>
      <c r="DB1184" s="24">
        <v>86</v>
      </c>
      <c r="DC1184" s="25">
        <v>4.66</v>
      </c>
      <c r="DD1184" s="24">
        <v>82</v>
      </c>
      <c r="DE1184" s="25">
        <v>4.21</v>
      </c>
      <c r="DF1184" s="23">
        <v>919.52</v>
      </c>
      <c r="DG1184" s="25">
        <v>13.07</v>
      </c>
      <c r="DH1184" s="24">
        <v>92</v>
      </c>
      <c r="DI1184" s="25">
        <v>0.78</v>
      </c>
      <c r="DJ1184" s="24">
        <v>44</v>
      </c>
      <c r="DK1184" s="25" t="s">
        <v>138</v>
      </c>
      <c r="DL1184" s="24" t="s">
        <v>138</v>
      </c>
      <c r="DM1184" s="25">
        <v>13.07</v>
      </c>
      <c r="DN1184" s="24">
        <v>91</v>
      </c>
      <c r="DO1184" s="25">
        <v>1.41</v>
      </c>
      <c r="DP1184" s="24">
        <v>57</v>
      </c>
      <c r="DQ1184" s="24" t="s">
        <v>138</v>
      </c>
      <c r="DR1184" s="26" t="s">
        <v>138</v>
      </c>
      <c r="DS1184" s="23" t="s">
        <v>138</v>
      </c>
      <c r="DT1184" s="24">
        <v>380</v>
      </c>
      <c r="DU1184" s="26">
        <v>-1</v>
      </c>
      <c r="DV1184" s="23">
        <v>-0.26</v>
      </c>
      <c r="DW1184" s="24">
        <v>500</v>
      </c>
      <c r="DX1184" s="27">
        <v>2</v>
      </c>
      <c r="DY1184" s="23">
        <v>0.4</v>
      </c>
      <c r="DZ1184" s="15" t="s">
        <v>178</v>
      </c>
      <c r="EA1184" s="22">
        <v>43534</v>
      </c>
      <c r="EB1184" s="17">
        <v>100</v>
      </c>
      <c r="EC1184" s="22">
        <v>42936</v>
      </c>
      <c r="ED1184" s="15" t="s">
        <v>205</v>
      </c>
      <c r="EE1184" s="14" t="str">
        <f>HYPERLINK("https://my.pitchbook.com?c=140261-14", "View company online")</f>
        <v>View company online</v>
      </c>
    </row>
    <row r="1185" spans="1:135">
      <c r="A1185" s="28" t="s">
        <v>23024</v>
      </c>
      <c r="B1185" s="28" t="s">
        <v>23025</v>
      </c>
      <c r="C1185" s="28" t="s">
        <v>138</v>
      </c>
      <c r="D1185" s="28" t="s">
        <v>138</v>
      </c>
      <c r="E1185" s="28" t="s">
        <v>23026</v>
      </c>
      <c r="F1185" s="28" t="s">
        <v>23024</v>
      </c>
      <c r="G1185" s="28" t="s">
        <v>23027</v>
      </c>
      <c r="H1185" s="28" t="s">
        <v>322</v>
      </c>
      <c r="I1185" s="28" t="s">
        <v>323</v>
      </c>
      <c r="J1185" s="28" t="s">
        <v>1184</v>
      </c>
      <c r="K1185" s="28" t="s">
        <v>23028</v>
      </c>
      <c r="L1185" s="28" t="s">
        <v>13113</v>
      </c>
      <c r="M1185" s="28" t="s">
        <v>23029</v>
      </c>
      <c r="N1185" s="28" t="s">
        <v>147</v>
      </c>
      <c r="O1185" s="29">
        <v>62.6</v>
      </c>
      <c r="P1185" s="28" t="s">
        <v>610</v>
      </c>
      <c r="Q1185" s="28" t="s">
        <v>149</v>
      </c>
      <c r="R1185" s="28" t="s">
        <v>174</v>
      </c>
      <c r="S1185" s="28" t="s">
        <v>23030</v>
      </c>
      <c r="T1185" s="30">
        <v>36</v>
      </c>
      <c r="U1185" s="28" t="s">
        <v>23031</v>
      </c>
      <c r="V1185" s="28" t="s">
        <v>138</v>
      </c>
      <c r="W1185" s="28" t="s">
        <v>138</v>
      </c>
      <c r="X1185" s="31">
        <v>2010</v>
      </c>
      <c r="Y1185" s="28" t="s">
        <v>138</v>
      </c>
      <c r="Z1185" s="28" t="s">
        <v>138</v>
      </c>
      <c r="AA1185" s="28" t="s">
        <v>138</v>
      </c>
      <c r="AB1185" s="32" t="s">
        <v>138</v>
      </c>
      <c r="AC1185" s="32" t="s">
        <v>138</v>
      </c>
      <c r="AD1185" s="32" t="s">
        <v>138</v>
      </c>
      <c r="AE1185" s="32" t="s">
        <v>138</v>
      </c>
      <c r="AF1185" s="32" t="s">
        <v>138</v>
      </c>
      <c r="AG1185" s="28" t="s">
        <v>138</v>
      </c>
      <c r="AH1185" s="32" t="s">
        <v>138</v>
      </c>
      <c r="AI1185" s="32" t="s">
        <v>138</v>
      </c>
      <c r="AJ1185" s="32" t="s">
        <v>138</v>
      </c>
      <c r="AK1185" s="28" t="s">
        <v>23032</v>
      </c>
      <c r="AL1185" s="28" t="s">
        <v>23033</v>
      </c>
      <c r="AM1185" s="28" t="s">
        <v>23034</v>
      </c>
      <c r="AN1185" s="28" t="s">
        <v>23035</v>
      </c>
      <c r="AO1185" s="28" t="s">
        <v>138</v>
      </c>
      <c r="AP1185" s="28" t="s">
        <v>665</v>
      </c>
      <c r="AQ1185" s="28" t="s">
        <v>23036</v>
      </c>
      <c r="AR1185" s="28" t="s">
        <v>138</v>
      </c>
      <c r="AS1185" s="28" t="s">
        <v>668</v>
      </c>
      <c r="AT1185" s="28" t="s">
        <v>200</v>
      </c>
      <c r="AU1185" s="28" t="s">
        <v>691</v>
      </c>
      <c r="AV1185" s="28" t="s">
        <v>162</v>
      </c>
      <c r="AW1185" s="28" t="s">
        <v>138</v>
      </c>
      <c r="AX1185" s="28" t="s">
        <v>138</v>
      </c>
      <c r="AY1185" s="28" t="s">
        <v>23037</v>
      </c>
      <c r="AZ1185" s="28" t="s">
        <v>164</v>
      </c>
      <c r="BA1185" s="28" t="s">
        <v>165</v>
      </c>
      <c r="BB1185" s="28" t="s">
        <v>23038</v>
      </c>
      <c r="BC1185" s="28" t="s">
        <v>23039</v>
      </c>
      <c r="BD1185" s="33">
        <v>23</v>
      </c>
      <c r="BE1185" s="28" t="s">
        <v>138</v>
      </c>
      <c r="BF1185" s="28" t="s">
        <v>138</v>
      </c>
      <c r="BG1185" s="28" t="s">
        <v>138</v>
      </c>
      <c r="BH1185" s="28" t="s">
        <v>23040</v>
      </c>
      <c r="BI1185" s="28" t="s">
        <v>138</v>
      </c>
      <c r="BJ1185" s="28" t="s">
        <v>138</v>
      </c>
      <c r="BK1185" s="28" t="s">
        <v>23041</v>
      </c>
      <c r="BL1185" s="28" t="s">
        <v>1251</v>
      </c>
      <c r="BM1185" s="34">
        <v>40913</v>
      </c>
      <c r="BN1185" s="29">
        <v>1.6</v>
      </c>
      <c r="BO1185" s="28" t="s">
        <v>172</v>
      </c>
      <c r="BP1185" s="29" t="s">
        <v>138</v>
      </c>
      <c r="BQ1185" s="28" t="s">
        <v>138</v>
      </c>
      <c r="BR1185" s="28" t="s">
        <v>234</v>
      </c>
      <c r="BS1185" s="28" t="s">
        <v>234</v>
      </c>
      <c r="BT1185" s="28" t="s">
        <v>138</v>
      </c>
      <c r="BU1185" s="28" t="s">
        <v>174</v>
      </c>
      <c r="BV1185" s="28" t="s">
        <v>138</v>
      </c>
      <c r="BW1185" s="28" t="s">
        <v>138</v>
      </c>
      <c r="BX1185" s="28" t="s">
        <v>138</v>
      </c>
      <c r="BY1185" s="28" t="s">
        <v>175</v>
      </c>
      <c r="BZ1185" s="34">
        <v>43216</v>
      </c>
      <c r="CA1185" s="29">
        <v>24</v>
      </c>
      <c r="CB1185" s="28" t="s">
        <v>172</v>
      </c>
      <c r="CC1185" s="29">
        <v>249</v>
      </c>
      <c r="CD1185" s="28" t="s">
        <v>1178</v>
      </c>
      <c r="CE1185" s="28" t="s">
        <v>173</v>
      </c>
      <c r="CF1185" s="28" t="s">
        <v>317</v>
      </c>
      <c r="CG1185" s="28" t="s">
        <v>138</v>
      </c>
      <c r="CH1185" s="28" t="s">
        <v>174</v>
      </c>
      <c r="CI1185" s="28" t="s">
        <v>138</v>
      </c>
      <c r="CJ1185" s="28" t="s">
        <v>138</v>
      </c>
      <c r="CK1185" s="28" t="s">
        <v>138</v>
      </c>
      <c r="CL1185" s="28" t="s">
        <v>175</v>
      </c>
      <c r="CM1185" s="34" t="s">
        <v>138</v>
      </c>
      <c r="CN1185" s="29" t="s">
        <v>138</v>
      </c>
      <c r="CO1185" s="35">
        <v>-0.12</v>
      </c>
      <c r="CP1185" s="36">
        <v>21</v>
      </c>
      <c r="CQ1185" s="35">
        <v>-0.03</v>
      </c>
      <c r="CR1185" s="35">
        <v>-31.64</v>
      </c>
      <c r="CS1185" s="35">
        <v>-1.63</v>
      </c>
      <c r="CT1185" s="36">
        <v>11</v>
      </c>
      <c r="CU1185" s="35">
        <v>0.04</v>
      </c>
      <c r="CV1185" s="36">
        <v>56</v>
      </c>
      <c r="CW1185" s="35">
        <v>-0.69</v>
      </c>
      <c r="CX1185" s="36">
        <v>11</v>
      </c>
      <c r="CY1185" s="35">
        <v>-2.57</v>
      </c>
      <c r="CZ1185" s="36">
        <v>8</v>
      </c>
      <c r="DA1185" s="35">
        <v>0.03</v>
      </c>
      <c r="DB1185" s="36">
        <v>60</v>
      </c>
      <c r="DC1185" s="37">
        <v>593.64</v>
      </c>
      <c r="DD1185" s="36">
        <v>100</v>
      </c>
      <c r="DE1185" s="37">
        <v>-29.04</v>
      </c>
      <c r="DF1185" s="35">
        <v>-4.66</v>
      </c>
      <c r="DG1185" s="37">
        <v>971.79</v>
      </c>
      <c r="DH1185" s="36">
        <v>100</v>
      </c>
      <c r="DI1185" s="37">
        <v>268.10000000000002</v>
      </c>
      <c r="DJ1185" s="36">
        <v>99</v>
      </c>
      <c r="DK1185" s="37">
        <v>1829.24</v>
      </c>
      <c r="DL1185" s="36">
        <v>100</v>
      </c>
      <c r="DM1185" s="37">
        <v>114.34</v>
      </c>
      <c r="DN1185" s="36">
        <v>99</v>
      </c>
      <c r="DO1185" s="37">
        <v>464.7</v>
      </c>
      <c r="DP1185" s="36">
        <v>100</v>
      </c>
      <c r="DQ1185" s="36">
        <v>632415</v>
      </c>
      <c r="DR1185" s="38">
        <v>-14954</v>
      </c>
      <c r="DS1185" s="35">
        <v>-2.31</v>
      </c>
      <c r="DT1185" s="36">
        <v>3318</v>
      </c>
      <c r="DU1185" s="38">
        <v>0</v>
      </c>
      <c r="DV1185" s="35">
        <v>0</v>
      </c>
      <c r="DW1185" s="36">
        <v>166327</v>
      </c>
      <c r="DX1185" s="39">
        <v>85</v>
      </c>
      <c r="DY1185" s="35">
        <v>0.05</v>
      </c>
      <c r="DZ1185" s="28" t="s">
        <v>178</v>
      </c>
      <c r="EA1185" s="34">
        <v>43515</v>
      </c>
      <c r="EB1185" s="29">
        <v>249</v>
      </c>
      <c r="EC1185" s="34">
        <v>43216</v>
      </c>
      <c r="ED1185" s="28" t="s">
        <v>173</v>
      </c>
      <c r="EE1185" s="40" t="str">
        <f>HYPERLINK("https://my.pitchbook.com?c=53580-25", "View company online")</f>
        <v>View company online</v>
      </c>
    </row>
    <row r="1186" spans="1:135">
      <c r="A1186" s="15" t="s">
        <v>23042</v>
      </c>
      <c r="B1186" s="15" t="s">
        <v>23043</v>
      </c>
      <c r="C1186" s="15" t="s">
        <v>138</v>
      </c>
      <c r="D1186" s="15" t="s">
        <v>138</v>
      </c>
      <c r="E1186" s="15" t="s">
        <v>138</v>
      </c>
      <c r="F1186" s="15" t="s">
        <v>23042</v>
      </c>
      <c r="G1186" s="15" t="s">
        <v>23044</v>
      </c>
      <c r="H1186" s="15" t="s">
        <v>322</v>
      </c>
      <c r="I1186" s="15" t="s">
        <v>323</v>
      </c>
      <c r="J1186" s="15" t="s">
        <v>413</v>
      </c>
      <c r="K1186" s="15" t="s">
        <v>6827</v>
      </c>
      <c r="L1186" s="15" t="s">
        <v>2641</v>
      </c>
      <c r="M1186" s="15" t="s">
        <v>23045</v>
      </c>
      <c r="N1186" s="15" t="s">
        <v>1452</v>
      </c>
      <c r="O1186" s="17" t="s">
        <v>138</v>
      </c>
      <c r="P1186" s="15" t="s">
        <v>610</v>
      </c>
      <c r="Q1186" s="15" t="s">
        <v>149</v>
      </c>
      <c r="R1186" s="15" t="s">
        <v>328</v>
      </c>
      <c r="S1186" s="15" t="s">
        <v>23046</v>
      </c>
      <c r="T1186" s="18">
        <v>20</v>
      </c>
      <c r="U1186" s="15" t="s">
        <v>23047</v>
      </c>
      <c r="V1186" s="15" t="s">
        <v>138</v>
      </c>
      <c r="W1186" s="15" t="s">
        <v>138</v>
      </c>
      <c r="X1186" s="19">
        <v>2000</v>
      </c>
      <c r="Y1186" s="15" t="s">
        <v>138</v>
      </c>
      <c r="Z1186" s="15" t="s">
        <v>138</v>
      </c>
      <c r="AA1186" s="15" t="s">
        <v>138</v>
      </c>
      <c r="AB1186" s="20" t="s">
        <v>138</v>
      </c>
      <c r="AC1186" s="20" t="s">
        <v>138</v>
      </c>
      <c r="AD1186" s="20" t="s">
        <v>138</v>
      </c>
      <c r="AE1186" s="20" t="s">
        <v>138</v>
      </c>
      <c r="AF1186" s="20" t="s">
        <v>138</v>
      </c>
      <c r="AG1186" s="15" t="s">
        <v>138</v>
      </c>
      <c r="AH1186" s="20" t="s">
        <v>138</v>
      </c>
      <c r="AI1186" s="20" t="s">
        <v>138</v>
      </c>
      <c r="AJ1186" s="20" t="s">
        <v>138</v>
      </c>
      <c r="AK1186" s="15" t="s">
        <v>23048</v>
      </c>
      <c r="AL1186" s="15" t="s">
        <v>23049</v>
      </c>
      <c r="AM1186" s="15" t="s">
        <v>15705</v>
      </c>
      <c r="AN1186" s="15" t="s">
        <v>23050</v>
      </c>
      <c r="AO1186" s="15" t="s">
        <v>23051</v>
      </c>
      <c r="AP1186" s="15" t="s">
        <v>14127</v>
      </c>
      <c r="AQ1186" s="15" t="s">
        <v>23052</v>
      </c>
      <c r="AR1186" s="15" t="s">
        <v>23053</v>
      </c>
      <c r="AS1186" s="15" t="s">
        <v>14129</v>
      </c>
      <c r="AT1186" s="15" t="s">
        <v>14130</v>
      </c>
      <c r="AU1186" s="15" t="s">
        <v>23054</v>
      </c>
      <c r="AV1186" s="15" t="s">
        <v>2742</v>
      </c>
      <c r="AW1186" s="15" t="s">
        <v>23051</v>
      </c>
      <c r="AX1186" s="15" t="s">
        <v>23055</v>
      </c>
      <c r="AY1186" s="15" t="s">
        <v>23056</v>
      </c>
      <c r="AZ1186" s="15" t="s">
        <v>164</v>
      </c>
      <c r="BA1186" s="15" t="s">
        <v>165</v>
      </c>
      <c r="BB1186" s="15" t="s">
        <v>23057</v>
      </c>
      <c r="BC1186" s="15" t="s">
        <v>23058</v>
      </c>
      <c r="BD1186" s="21">
        <v>3</v>
      </c>
      <c r="BE1186" s="15" t="s">
        <v>138</v>
      </c>
      <c r="BF1186" s="15" t="s">
        <v>138</v>
      </c>
      <c r="BG1186" s="15" t="s">
        <v>138</v>
      </c>
      <c r="BH1186" s="15" t="s">
        <v>23059</v>
      </c>
      <c r="BI1186" s="15" t="s">
        <v>138</v>
      </c>
      <c r="BJ1186" s="15" t="s">
        <v>138</v>
      </c>
      <c r="BK1186" s="15" t="s">
        <v>138</v>
      </c>
      <c r="BL1186" s="15" t="s">
        <v>138</v>
      </c>
      <c r="BM1186" s="22">
        <v>38714</v>
      </c>
      <c r="BN1186" s="17" t="s">
        <v>138</v>
      </c>
      <c r="BO1186" s="15" t="s">
        <v>138</v>
      </c>
      <c r="BP1186" s="17" t="s">
        <v>138</v>
      </c>
      <c r="BQ1186" s="15" t="s">
        <v>138</v>
      </c>
      <c r="BR1186" s="15" t="s">
        <v>173</v>
      </c>
      <c r="BS1186" s="15" t="s">
        <v>317</v>
      </c>
      <c r="BT1186" s="15" t="s">
        <v>138</v>
      </c>
      <c r="BU1186" s="15" t="s">
        <v>174</v>
      </c>
      <c r="BV1186" s="15" t="s">
        <v>138</v>
      </c>
      <c r="BW1186" s="15" t="s">
        <v>138</v>
      </c>
      <c r="BX1186" s="15" t="s">
        <v>138</v>
      </c>
      <c r="BY1186" s="15" t="s">
        <v>175</v>
      </c>
      <c r="BZ1186" s="22" t="s">
        <v>138</v>
      </c>
      <c r="CA1186" s="17" t="s">
        <v>138</v>
      </c>
      <c r="CB1186" s="15" t="s">
        <v>138</v>
      </c>
      <c r="CC1186" s="17" t="s">
        <v>138</v>
      </c>
      <c r="CD1186" s="15" t="s">
        <v>138</v>
      </c>
      <c r="CE1186" s="15" t="s">
        <v>1673</v>
      </c>
      <c r="CF1186" s="15" t="s">
        <v>138</v>
      </c>
      <c r="CG1186" s="15" t="s">
        <v>138</v>
      </c>
      <c r="CH1186" s="15" t="s">
        <v>351</v>
      </c>
      <c r="CI1186" s="15" t="s">
        <v>138</v>
      </c>
      <c r="CJ1186" s="15" t="s">
        <v>138</v>
      </c>
      <c r="CK1186" s="15" t="s">
        <v>138</v>
      </c>
      <c r="CL1186" s="15" t="s">
        <v>175</v>
      </c>
      <c r="CM1186" s="22" t="s">
        <v>138</v>
      </c>
      <c r="CN1186" s="17" t="s">
        <v>138</v>
      </c>
      <c r="CO1186" s="23">
        <v>0</v>
      </c>
      <c r="CP1186" s="24">
        <v>26</v>
      </c>
      <c r="CQ1186" s="23">
        <v>0</v>
      </c>
      <c r="CR1186" s="23">
        <v>0</v>
      </c>
      <c r="CS1186" s="23">
        <v>0</v>
      </c>
      <c r="CT1186" s="24">
        <v>23</v>
      </c>
      <c r="CU1186" s="23">
        <v>0</v>
      </c>
      <c r="CV1186" s="24">
        <v>22</v>
      </c>
      <c r="CW1186" s="23" t="s">
        <v>138</v>
      </c>
      <c r="CX1186" s="24" t="s">
        <v>138</v>
      </c>
      <c r="CY1186" s="23">
        <v>0</v>
      </c>
      <c r="CZ1186" s="24">
        <v>25</v>
      </c>
      <c r="DA1186" s="23">
        <v>0</v>
      </c>
      <c r="DB1186" s="24">
        <v>22</v>
      </c>
      <c r="DC1186" s="25">
        <v>0.7</v>
      </c>
      <c r="DD1186" s="24">
        <v>42</v>
      </c>
      <c r="DE1186" s="25">
        <v>0</v>
      </c>
      <c r="DF1186" s="23">
        <v>0.1</v>
      </c>
      <c r="DG1186" s="25">
        <v>1.1399999999999999</v>
      </c>
      <c r="DH1186" s="24">
        <v>54</v>
      </c>
      <c r="DI1186" s="25">
        <v>0.25</v>
      </c>
      <c r="DJ1186" s="24">
        <v>25</v>
      </c>
      <c r="DK1186" s="25" t="s">
        <v>138</v>
      </c>
      <c r="DL1186" s="24" t="s">
        <v>138</v>
      </c>
      <c r="DM1186" s="25">
        <v>1.1399999999999999</v>
      </c>
      <c r="DN1186" s="24">
        <v>53</v>
      </c>
      <c r="DO1186" s="25">
        <v>0.25</v>
      </c>
      <c r="DP1186" s="24">
        <v>27</v>
      </c>
      <c r="DQ1186" s="24" t="s">
        <v>138</v>
      </c>
      <c r="DR1186" s="26" t="s">
        <v>138</v>
      </c>
      <c r="DS1186" s="23" t="s">
        <v>138</v>
      </c>
      <c r="DT1186" s="24">
        <v>33</v>
      </c>
      <c r="DU1186" s="26">
        <v>0</v>
      </c>
      <c r="DV1186" s="23">
        <v>0</v>
      </c>
      <c r="DW1186" s="24">
        <v>91</v>
      </c>
      <c r="DX1186" s="27">
        <v>0</v>
      </c>
      <c r="DY1186" s="23">
        <v>0</v>
      </c>
      <c r="DZ1186" s="15" t="s">
        <v>178</v>
      </c>
      <c r="EA1186" s="22">
        <v>43351</v>
      </c>
      <c r="EB1186" s="17" t="s">
        <v>138</v>
      </c>
      <c r="EC1186" s="22" t="s">
        <v>138</v>
      </c>
      <c r="ED1186" s="15" t="s">
        <v>138</v>
      </c>
      <c r="EE1186" s="14" t="str">
        <f>HYPERLINK("https://my.pitchbook.com?c=54135-46", "View company online")</f>
        <v>View company online</v>
      </c>
    </row>
    <row r="1187" spans="1:135">
      <c r="A1187" s="28" t="s">
        <v>23060</v>
      </c>
      <c r="B1187" s="28" t="s">
        <v>23061</v>
      </c>
      <c r="C1187" s="28" t="s">
        <v>138</v>
      </c>
      <c r="D1187" s="28" t="s">
        <v>138</v>
      </c>
      <c r="E1187" s="28" t="s">
        <v>23062</v>
      </c>
      <c r="F1187" s="28" t="s">
        <v>23060</v>
      </c>
      <c r="G1187" s="28" t="s">
        <v>23063</v>
      </c>
      <c r="H1187" s="28" t="s">
        <v>322</v>
      </c>
      <c r="I1187" s="28" t="s">
        <v>323</v>
      </c>
      <c r="J1187" s="28" t="s">
        <v>413</v>
      </c>
      <c r="K1187" s="28" t="s">
        <v>23064</v>
      </c>
      <c r="L1187" s="28" t="s">
        <v>23065</v>
      </c>
      <c r="M1187" s="28" t="s">
        <v>23066</v>
      </c>
      <c r="N1187" s="28" t="s">
        <v>147</v>
      </c>
      <c r="O1187" s="29">
        <v>3.95</v>
      </c>
      <c r="P1187" s="28" t="s">
        <v>148</v>
      </c>
      <c r="Q1187" s="28" t="s">
        <v>149</v>
      </c>
      <c r="R1187" s="28" t="s">
        <v>174</v>
      </c>
      <c r="S1187" s="28" t="s">
        <v>23067</v>
      </c>
      <c r="T1187" s="30">
        <v>20</v>
      </c>
      <c r="U1187" s="28" t="s">
        <v>23068</v>
      </c>
      <c r="V1187" s="28" t="s">
        <v>138</v>
      </c>
      <c r="W1187" s="28" t="s">
        <v>138</v>
      </c>
      <c r="X1187" s="31">
        <v>2014</v>
      </c>
      <c r="Y1187" s="28" t="s">
        <v>138</v>
      </c>
      <c r="Z1187" s="28" t="s">
        <v>138</v>
      </c>
      <c r="AA1187" s="28" t="s">
        <v>138</v>
      </c>
      <c r="AB1187" s="32" t="s">
        <v>138</v>
      </c>
      <c r="AC1187" s="32" t="s">
        <v>138</v>
      </c>
      <c r="AD1187" s="32" t="s">
        <v>138</v>
      </c>
      <c r="AE1187" s="32" t="s">
        <v>138</v>
      </c>
      <c r="AF1187" s="32" t="s">
        <v>138</v>
      </c>
      <c r="AG1187" s="28" t="s">
        <v>138</v>
      </c>
      <c r="AH1187" s="32" t="s">
        <v>138</v>
      </c>
      <c r="AI1187" s="32" t="s">
        <v>138</v>
      </c>
      <c r="AJ1187" s="32" t="s">
        <v>138</v>
      </c>
      <c r="AK1187" s="28" t="s">
        <v>23069</v>
      </c>
      <c r="AL1187" s="28" t="s">
        <v>23070</v>
      </c>
      <c r="AM1187" s="28" t="s">
        <v>2794</v>
      </c>
      <c r="AN1187" s="28" t="s">
        <v>23071</v>
      </c>
      <c r="AO1187" s="28" t="s">
        <v>138</v>
      </c>
      <c r="AP1187" s="28" t="s">
        <v>665</v>
      </c>
      <c r="AQ1187" s="28" t="s">
        <v>23072</v>
      </c>
      <c r="AR1187" s="28" t="s">
        <v>138</v>
      </c>
      <c r="AS1187" s="28" t="s">
        <v>668</v>
      </c>
      <c r="AT1187" s="28" t="s">
        <v>200</v>
      </c>
      <c r="AU1187" s="28" t="s">
        <v>23073</v>
      </c>
      <c r="AV1187" s="28" t="s">
        <v>162</v>
      </c>
      <c r="AW1187" s="28" t="s">
        <v>138</v>
      </c>
      <c r="AX1187" s="28" t="s">
        <v>23074</v>
      </c>
      <c r="AY1187" s="28" t="s">
        <v>23075</v>
      </c>
      <c r="AZ1187" s="28" t="s">
        <v>164</v>
      </c>
      <c r="BA1187" s="28" t="s">
        <v>165</v>
      </c>
      <c r="BB1187" s="28" t="s">
        <v>23076</v>
      </c>
      <c r="BC1187" s="28" t="s">
        <v>23077</v>
      </c>
      <c r="BD1187" s="33">
        <v>9</v>
      </c>
      <c r="BE1187" s="28" t="s">
        <v>138</v>
      </c>
      <c r="BF1187" s="28" t="s">
        <v>138</v>
      </c>
      <c r="BG1187" s="28" t="s">
        <v>138</v>
      </c>
      <c r="BH1187" s="28" t="s">
        <v>23078</v>
      </c>
      <c r="BI1187" s="28" t="s">
        <v>138</v>
      </c>
      <c r="BJ1187" s="28" t="s">
        <v>138</v>
      </c>
      <c r="BK1187" s="28" t="s">
        <v>23079</v>
      </c>
      <c r="BL1187" s="28" t="s">
        <v>23080</v>
      </c>
      <c r="BM1187" s="34">
        <v>42158</v>
      </c>
      <c r="BN1187" s="29">
        <v>0.7</v>
      </c>
      <c r="BO1187" s="28" t="s">
        <v>172</v>
      </c>
      <c r="BP1187" s="29">
        <v>4.88</v>
      </c>
      <c r="BQ1187" s="28" t="s">
        <v>172</v>
      </c>
      <c r="BR1187" s="28" t="s">
        <v>262</v>
      </c>
      <c r="BS1187" s="28" t="s">
        <v>8444</v>
      </c>
      <c r="BT1187" s="28" t="s">
        <v>138</v>
      </c>
      <c r="BU1187" s="28" t="s">
        <v>174</v>
      </c>
      <c r="BV1187" s="28" t="s">
        <v>138</v>
      </c>
      <c r="BW1187" s="28" t="s">
        <v>138</v>
      </c>
      <c r="BX1187" s="28" t="s">
        <v>138</v>
      </c>
      <c r="BY1187" s="28" t="s">
        <v>175</v>
      </c>
      <c r="BZ1187" s="34">
        <v>43206</v>
      </c>
      <c r="CA1187" s="29" t="s">
        <v>138</v>
      </c>
      <c r="CB1187" s="28" t="s">
        <v>138</v>
      </c>
      <c r="CC1187" s="29" t="s">
        <v>138</v>
      </c>
      <c r="CD1187" s="28" t="s">
        <v>138</v>
      </c>
      <c r="CE1187" s="28" t="s">
        <v>205</v>
      </c>
      <c r="CF1187" s="28" t="s">
        <v>138</v>
      </c>
      <c r="CG1187" s="28" t="s">
        <v>138</v>
      </c>
      <c r="CH1187" s="28" t="s">
        <v>174</v>
      </c>
      <c r="CI1187" s="28" t="s">
        <v>138</v>
      </c>
      <c r="CJ1187" s="28" t="s">
        <v>138</v>
      </c>
      <c r="CK1187" s="28" t="s">
        <v>138</v>
      </c>
      <c r="CL1187" s="28" t="s">
        <v>175</v>
      </c>
      <c r="CM1187" s="34" t="s">
        <v>138</v>
      </c>
      <c r="CN1187" s="29" t="s">
        <v>138</v>
      </c>
      <c r="CO1187" s="35">
        <v>5.01</v>
      </c>
      <c r="CP1187" s="36">
        <v>100</v>
      </c>
      <c r="CQ1187" s="35">
        <v>-0.01</v>
      </c>
      <c r="CR1187" s="35">
        <v>-0.16</v>
      </c>
      <c r="CS1187" s="35">
        <v>9.59</v>
      </c>
      <c r="CT1187" s="36">
        <v>100</v>
      </c>
      <c r="CU1187" s="35">
        <v>0.43</v>
      </c>
      <c r="CV1187" s="36">
        <v>92</v>
      </c>
      <c r="CW1187" s="35" t="s">
        <v>138</v>
      </c>
      <c r="CX1187" s="36" t="s">
        <v>138</v>
      </c>
      <c r="CY1187" s="35">
        <v>9.59</v>
      </c>
      <c r="CZ1187" s="36">
        <v>100</v>
      </c>
      <c r="DA1187" s="35">
        <v>0.43</v>
      </c>
      <c r="DB1187" s="36">
        <v>93</v>
      </c>
      <c r="DC1187" s="37">
        <v>3.82</v>
      </c>
      <c r="DD1187" s="36">
        <v>79</v>
      </c>
      <c r="DE1187" s="37">
        <v>0</v>
      </c>
      <c r="DF1187" s="35">
        <v>0.1</v>
      </c>
      <c r="DG1187" s="37">
        <v>6.72</v>
      </c>
      <c r="DH1187" s="36">
        <v>86</v>
      </c>
      <c r="DI1187" s="37">
        <v>0.91</v>
      </c>
      <c r="DJ1187" s="36">
        <v>47</v>
      </c>
      <c r="DK1187" s="37" t="s">
        <v>138</v>
      </c>
      <c r="DL1187" s="36" t="s">
        <v>138</v>
      </c>
      <c r="DM1187" s="37">
        <v>6.72</v>
      </c>
      <c r="DN1187" s="36">
        <v>85</v>
      </c>
      <c r="DO1187" s="37">
        <v>0.91</v>
      </c>
      <c r="DP1187" s="36">
        <v>49</v>
      </c>
      <c r="DQ1187" s="36">
        <v>338</v>
      </c>
      <c r="DR1187" s="38">
        <v>49</v>
      </c>
      <c r="DS1187" s="35">
        <v>16.96</v>
      </c>
      <c r="DT1187" s="36">
        <v>195</v>
      </c>
      <c r="DU1187" s="38">
        <v>1</v>
      </c>
      <c r="DV1187" s="35">
        <v>0.52</v>
      </c>
      <c r="DW1187" s="36">
        <v>325</v>
      </c>
      <c r="DX1187" s="39">
        <v>0</v>
      </c>
      <c r="DY1187" s="35">
        <v>0</v>
      </c>
      <c r="DZ1187" s="28" t="s">
        <v>178</v>
      </c>
      <c r="EA1187" s="34">
        <v>43580</v>
      </c>
      <c r="EB1187" s="29">
        <v>13.04</v>
      </c>
      <c r="EC1187" s="34">
        <v>42795</v>
      </c>
      <c r="ED1187" s="28" t="s">
        <v>234</v>
      </c>
      <c r="EE1187" s="40" t="str">
        <f>HYPERLINK("https://my.pitchbook.com?c=114976-81", "View company online")</f>
        <v>View company online</v>
      </c>
    </row>
    <row r="1188" spans="1:135">
      <c r="A1188" s="15" t="s">
        <v>23081</v>
      </c>
      <c r="B1188" s="15" t="s">
        <v>23082</v>
      </c>
      <c r="C1188" s="15" t="s">
        <v>138</v>
      </c>
      <c r="D1188" s="15" t="s">
        <v>138</v>
      </c>
      <c r="E1188" s="15" t="s">
        <v>138</v>
      </c>
      <c r="F1188" s="15" t="s">
        <v>23081</v>
      </c>
      <c r="G1188" s="15" t="s">
        <v>23083</v>
      </c>
      <c r="H1188" s="15" t="s">
        <v>5219</v>
      </c>
      <c r="I1188" s="15" t="s">
        <v>23084</v>
      </c>
      <c r="J1188" s="15" t="s">
        <v>23084</v>
      </c>
      <c r="K1188" s="15" t="s">
        <v>23085</v>
      </c>
      <c r="L1188" s="15" t="s">
        <v>138</v>
      </c>
      <c r="M1188" s="15" t="s">
        <v>23086</v>
      </c>
      <c r="N1188" s="15" t="s">
        <v>147</v>
      </c>
      <c r="O1188" s="17">
        <v>15.22</v>
      </c>
      <c r="P1188" s="15" t="s">
        <v>148</v>
      </c>
      <c r="Q1188" s="15" t="s">
        <v>149</v>
      </c>
      <c r="R1188" s="15" t="s">
        <v>174</v>
      </c>
      <c r="S1188" s="15" t="s">
        <v>23087</v>
      </c>
      <c r="T1188" s="18">
        <v>59</v>
      </c>
      <c r="U1188" s="15" t="s">
        <v>23088</v>
      </c>
      <c r="V1188" s="15" t="s">
        <v>138</v>
      </c>
      <c r="W1188" s="15" t="s">
        <v>138</v>
      </c>
      <c r="X1188" s="19">
        <v>2002</v>
      </c>
      <c r="Y1188" s="15" t="s">
        <v>138</v>
      </c>
      <c r="Z1188" s="15" t="s">
        <v>138</v>
      </c>
      <c r="AA1188" s="15" t="s">
        <v>138</v>
      </c>
      <c r="AB1188" s="20">
        <v>10</v>
      </c>
      <c r="AC1188" s="20" t="s">
        <v>138</v>
      </c>
      <c r="AD1188" s="20" t="s">
        <v>138</v>
      </c>
      <c r="AE1188" s="20" t="s">
        <v>138</v>
      </c>
      <c r="AF1188" s="20" t="s">
        <v>138</v>
      </c>
      <c r="AG1188" s="15" t="s">
        <v>563</v>
      </c>
      <c r="AH1188" s="20" t="s">
        <v>138</v>
      </c>
      <c r="AI1188" s="20" t="s">
        <v>138</v>
      </c>
      <c r="AJ1188" s="20" t="s">
        <v>138</v>
      </c>
      <c r="AK1188" s="15" t="s">
        <v>23089</v>
      </c>
      <c r="AL1188" s="15" t="s">
        <v>23090</v>
      </c>
      <c r="AM1188" s="15" t="s">
        <v>23091</v>
      </c>
      <c r="AN1188" s="15" t="s">
        <v>23092</v>
      </c>
      <c r="AO1188" s="15" t="s">
        <v>23093</v>
      </c>
      <c r="AP1188" s="15" t="s">
        <v>1292</v>
      </c>
      <c r="AQ1188" s="15" t="s">
        <v>7282</v>
      </c>
      <c r="AR1188" s="15" t="s">
        <v>138</v>
      </c>
      <c r="AS1188" s="15" t="s">
        <v>1294</v>
      </c>
      <c r="AT1188" s="15" t="s">
        <v>864</v>
      </c>
      <c r="AU1188" s="15" t="s">
        <v>7283</v>
      </c>
      <c r="AV1188" s="15" t="s">
        <v>162</v>
      </c>
      <c r="AW1188" s="15" t="s">
        <v>23093</v>
      </c>
      <c r="AX1188" s="15" t="s">
        <v>23094</v>
      </c>
      <c r="AY1188" s="15" t="s">
        <v>23095</v>
      </c>
      <c r="AZ1188" s="15" t="s">
        <v>164</v>
      </c>
      <c r="BA1188" s="15" t="s">
        <v>165</v>
      </c>
      <c r="BB1188" s="15" t="s">
        <v>23096</v>
      </c>
      <c r="BC1188" s="15" t="s">
        <v>23097</v>
      </c>
      <c r="BD1188" s="21">
        <v>6</v>
      </c>
      <c r="BE1188" s="15" t="s">
        <v>138</v>
      </c>
      <c r="BF1188" s="15" t="s">
        <v>138</v>
      </c>
      <c r="BG1188" s="15" t="s">
        <v>138</v>
      </c>
      <c r="BH1188" s="15" t="s">
        <v>23098</v>
      </c>
      <c r="BI1188" s="15" t="s">
        <v>138</v>
      </c>
      <c r="BJ1188" s="15" t="s">
        <v>138</v>
      </c>
      <c r="BK1188" s="15" t="s">
        <v>138</v>
      </c>
      <c r="BL1188" s="15" t="s">
        <v>138</v>
      </c>
      <c r="BM1188" s="22">
        <v>37622</v>
      </c>
      <c r="BN1188" s="17" t="s">
        <v>138</v>
      </c>
      <c r="BO1188" s="15" t="s">
        <v>138</v>
      </c>
      <c r="BP1188" s="17" t="s">
        <v>138</v>
      </c>
      <c r="BQ1188" s="15" t="s">
        <v>138</v>
      </c>
      <c r="BR1188" s="15" t="s">
        <v>234</v>
      </c>
      <c r="BS1188" s="15" t="s">
        <v>234</v>
      </c>
      <c r="BT1188" s="15" t="s">
        <v>138</v>
      </c>
      <c r="BU1188" s="15" t="s">
        <v>177</v>
      </c>
      <c r="BV1188" s="15" t="s">
        <v>138</v>
      </c>
      <c r="BW1188" s="15" t="s">
        <v>138</v>
      </c>
      <c r="BX1188" s="15" t="s">
        <v>138</v>
      </c>
      <c r="BY1188" s="15" t="s">
        <v>175</v>
      </c>
      <c r="BZ1188" s="22">
        <v>40658</v>
      </c>
      <c r="CA1188" s="17">
        <v>5</v>
      </c>
      <c r="CB1188" s="15" t="s">
        <v>172</v>
      </c>
      <c r="CC1188" s="17" t="s">
        <v>138</v>
      </c>
      <c r="CD1188" s="15" t="s">
        <v>138</v>
      </c>
      <c r="CE1188" s="15" t="s">
        <v>173</v>
      </c>
      <c r="CF1188" s="15" t="s">
        <v>317</v>
      </c>
      <c r="CG1188" s="15" t="s">
        <v>138</v>
      </c>
      <c r="CH1188" s="15" t="s">
        <v>174</v>
      </c>
      <c r="CI1188" s="15" t="s">
        <v>138</v>
      </c>
      <c r="CJ1188" s="15" t="s">
        <v>138</v>
      </c>
      <c r="CK1188" s="15" t="s">
        <v>138</v>
      </c>
      <c r="CL1188" s="15" t="s">
        <v>175</v>
      </c>
      <c r="CM1188" s="22" t="s">
        <v>138</v>
      </c>
      <c r="CN1188" s="17" t="s">
        <v>138</v>
      </c>
      <c r="CO1188" s="23">
        <v>0.02</v>
      </c>
      <c r="CP1188" s="24">
        <v>85</v>
      </c>
      <c r="CQ1188" s="23">
        <v>0.01</v>
      </c>
      <c r="CR1188" s="23">
        <v>147.99</v>
      </c>
      <c r="CS1188" s="23">
        <v>0.05</v>
      </c>
      <c r="CT1188" s="24">
        <v>94</v>
      </c>
      <c r="CU1188" s="23">
        <v>0</v>
      </c>
      <c r="CV1188" s="24">
        <v>22</v>
      </c>
      <c r="CW1188" s="23">
        <v>3.11</v>
      </c>
      <c r="CX1188" s="24">
        <v>91</v>
      </c>
      <c r="CY1188" s="23">
        <v>-3.01</v>
      </c>
      <c r="CZ1188" s="24">
        <v>7</v>
      </c>
      <c r="DA1188" s="23">
        <v>-0.01</v>
      </c>
      <c r="DB1188" s="24">
        <v>21</v>
      </c>
      <c r="DC1188" s="25">
        <v>32.42</v>
      </c>
      <c r="DD1188" s="24">
        <v>97</v>
      </c>
      <c r="DE1188" s="25">
        <v>-0.4</v>
      </c>
      <c r="DF1188" s="23">
        <v>-1.21</v>
      </c>
      <c r="DG1188" s="25">
        <v>37.53</v>
      </c>
      <c r="DH1188" s="24">
        <v>97</v>
      </c>
      <c r="DI1188" s="25">
        <v>27.32</v>
      </c>
      <c r="DJ1188" s="24">
        <v>92</v>
      </c>
      <c r="DK1188" s="25">
        <v>12.61</v>
      </c>
      <c r="DL1188" s="24">
        <v>89</v>
      </c>
      <c r="DM1188" s="25">
        <v>62.45</v>
      </c>
      <c r="DN1188" s="24">
        <v>99</v>
      </c>
      <c r="DO1188" s="25">
        <v>26.69</v>
      </c>
      <c r="DP1188" s="24">
        <v>94</v>
      </c>
      <c r="DQ1188" s="24">
        <v>4894</v>
      </c>
      <c r="DR1188" s="26">
        <v>-1706</v>
      </c>
      <c r="DS1188" s="23">
        <v>-25.85</v>
      </c>
      <c r="DT1188" s="24">
        <v>1811</v>
      </c>
      <c r="DU1188" s="26">
        <v>-1</v>
      </c>
      <c r="DV1188" s="23">
        <v>-0.06</v>
      </c>
      <c r="DW1188" s="24">
        <v>9558</v>
      </c>
      <c r="DX1188" s="27">
        <v>0</v>
      </c>
      <c r="DY1188" s="23">
        <v>0</v>
      </c>
      <c r="DZ1188" s="15" t="s">
        <v>178</v>
      </c>
      <c r="EA1188" s="22">
        <v>43622</v>
      </c>
      <c r="EB1188" s="17" t="s">
        <v>138</v>
      </c>
      <c r="EC1188" s="22" t="s">
        <v>138</v>
      </c>
      <c r="ED1188" s="15" t="s">
        <v>138</v>
      </c>
      <c r="EE1188" s="14" t="str">
        <f>HYPERLINK("https://my.pitchbook.com?c=52136-38", "View company online")</f>
        <v>View company online</v>
      </c>
    </row>
    <row r="1189" spans="1:135">
      <c r="A1189" s="28" t="s">
        <v>23099</v>
      </c>
      <c r="B1189" s="28" t="s">
        <v>23100</v>
      </c>
      <c r="C1189" s="28" t="s">
        <v>138</v>
      </c>
      <c r="D1189" s="28" t="s">
        <v>138</v>
      </c>
      <c r="E1189" s="28" t="s">
        <v>23101</v>
      </c>
      <c r="F1189" s="28" t="s">
        <v>23099</v>
      </c>
      <c r="G1189" s="28" t="s">
        <v>23102</v>
      </c>
      <c r="H1189" s="28" t="s">
        <v>238</v>
      </c>
      <c r="I1189" s="28" t="s">
        <v>1351</v>
      </c>
      <c r="J1189" s="28" t="s">
        <v>1352</v>
      </c>
      <c r="K1189" s="28" t="s">
        <v>11328</v>
      </c>
      <c r="L1189" s="28" t="s">
        <v>23103</v>
      </c>
      <c r="M1189" s="28" t="s">
        <v>23104</v>
      </c>
      <c r="N1189" s="28" t="s">
        <v>147</v>
      </c>
      <c r="O1189" s="29">
        <v>123</v>
      </c>
      <c r="P1189" s="28" t="s">
        <v>148</v>
      </c>
      <c r="Q1189" s="28" t="s">
        <v>149</v>
      </c>
      <c r="R1189" s="28" t="s">
        <v>174</v>
      </c>
      <c r="S1189" s="28" t="s">
        <v>23105</v>
      </c>
      <c r="T1189" s="30">
        <v>300</v>
      </c>
      <c r="U1189" s="28" t="s">
        <v>23106</v>
      </c>
      <c r="V1189" s="28" t="s">
        <v>138</v>
      </c>
      <c r="W1189" s="28" t="s">
        <v>138</v>
      </c>
      <c r="X1189" s="31">
        <v>2013</v>
      </c>
      <c r="Y1189" s="28" t="s">
        <v>138</v>
      </c>
      <c r="Z1189" s="28" t="s">
        <v>138</v>
      </c>
      <c r="AA1189" s="28" t="s">
        <v>138</v>
      </c>
      <c r="AB1189" s="32" t="s">
        <v>138</v>
      </c>
      <c r="AC1189" s="32" t="s">
        <v>138</v>
      </c>
      <c r="AD1189" s="32" t="s">
        <v>138</v>
      </c>
      <c r="AE1189" s="32" t="s">
        <v>138</v>
      </c>
      <c r="AF1189" s="32" t="s">
        <v>138</v>
      </c>
      <c r="AG1189" s="28" t="s">
        <v>138</v>
      </c>
      <c r="AH1189" s="32" t="s">
        <v>138</v>
      </c>
      <c r="AI1189" s="32" t="s">
        <v>138</v>
      </c>
      <c r="AJ1189" s="32" t="s">
        <v>138</v>
      </c>
      <c r="AK1189" s="28" t="s">
        <v>23107</v>
      </c>
      <c r="AL1189" s="28" t="s">
        <v>23108</v>
      </c>
      <c r="AM1189" s="28" t="s">
        <v>916</v>
      </c>
      <c r="AN1189" s="28" t="s">
        <v>23109</v>
      </c>
      <c r="AO1189" s="28" t="s">
        <v>23110</v>
      </c>
      <c r="AP1189" s="28" t="s">
        <v>1870</v>
      </c>
      <c r="AQ1189" s="28" t="s">
        <v>23111</v>
      </c>
      <c r="AR1189" s="28" t="s">
        <v>138</v>
      </c>
      <c r="AS1189" s="28" t="s">
        <v>1872</v>
      </c>
      <c r="AT1189" s="28" t="s">
        <v>200</v>
      </c>
      <c r="AU1189" s="28" t="s">
        <v>1873</v>
      </c>
      <c r="AV1189" s="28" t="s">
        <v>162</v>
      </c>
      <c r="AW1189" s="28" t="s">
        <v>23110</v>
      </c>
      <c r="AX1189" s="28" t="s">
        <v>138</v>
      </c>
      <c r="AY1189" s="28" t="s">
        <v>23112</v>
      </c>
      <c r="AZ1189" s="28" t="s">
        <v>164</v>
      </c>
      <c r="BA1189" s="28" t="s">
        <v>165</v>
      </c>
      <c r="BB1189" s="28" t="s">
        <v>23113</v>
      </c>
      <c r="BC1189" s="28" t="s">
        <v>23114</v>
      </c>
      <c r="BD1189" s="33">
        <v>5</v>
      </c>
      <c r="BE1189" s="28" t="s">
        <v>138</v>
      </c>
      <c r="BF1189" s="28" t="s">
        <v>138</v>
      </c>
      <c r="BG1189" s="28" t="s">
        <v>138</v>
      </c>
      <c r="BH1189" s="28" t="s">
        <v>23115</v>
      </c>
      <c r="BI1189" s="28" t="s">
        <v>138</v>
      </c>
      <c r="BJ1189" s="28" t="s">
        <v>138</v>
      </c>
      <c r="BK1189" s="28" t="s">
        <v>2936</v>
      </c>
      <c r="BL1189" s="28" t="s">
        <v>2936</v>
      </c>
      <c r="BM1189" s="34">
        <v>41709</v>
      </c>
      <c r="BN1189" s="29">
        <v>6</v>
      </c>
      <c r="BO1189" s="28" t="s">
        <v>172</v>
      </c>
      <c r="BP1189" s="29">
        <v>76</v>
      </c>
      <c r="BQ1189" s="28" t="s">
        <v>172</v>
      </c>
      <c r="BR1189" s="28" t="s">
        <v>205</v>
      </c>
      <c r="BS1189" s="28" t="s">
        <v>206</v>
      </c>
      <c r="BT1189" s="28" t="s">
        <v>138</v>
      </c>
      <c r="BU1189" s="28" t="s">
        <v>174</v>
      </c>
      <c r="BV1189" s="28" t="s">
        <v>138</v>
      </c>
      <c r="BW1189" s="28" t="s">
        <v>138</v>
      </c>
      <c r="BX1189" s="28" t="s">
        <v>138</v>
      </c>
      <c r="BY1189" s="28" t="s">
        <v>175</v>
      </c>
      <c r="BZ1189" s="34">
        <v>43045</v>
      </c>
      <c r="CA1189" s="29">
        <v>117</v>
      </c>
      <c r="CB1189" s="28" t="s">
        <v>172</v>
      </c>
      <c r="CC1189" s="29">
        <v>267</v>
      </c>
      <c r="CD1189" s="28" t="s">
        <v>172</v>
      </c>
      <c r="CE1189" s="28" t="s">
        <v>205</v>
      </c>
      <c r="CF1189" s="28" t="s">
        <v>720</v>
      </c>
      <c r="CG1189" s="28" t="s">
        <v>138</v>
      </c>
      <c r="CH1189" s="28" t="s">
        <v>174</v>
      </c>
      <c r="CI1189" s="28" t="s">
        <v>138</v>
      </c>
      <c r="CJ1189" s="28" t="s">
        <v>138</v>
      </c>
      <c r="CK1189" s="28" t="s">
        <v>138</v>
      </c>
      <c r="CL1189" s="28" t="s">
        <v>175</v>
      </c>
      <c r="CM1189" s="34" t="s">
        <v>138</v>
      </c>
      <c r="CN1189" s="29" t="s">
        <v>138</v>
      </c>
      <c r="CO1189" s="35">
        <v>-0.28000000000000003</v>
      </c>
      <c r="CP1189" s="36">
        <v>19</v>
      </c>
      <c r="CQ1189" s="35">
        <v>0.06</v>
      </c>
      <c r="CR1189" s="35">
        <v>17.760000000000002</v>
      </c>
      <c r="CS1189" s="35">
        <v>-0.54</v>
      </c>
      <c r="CT1189" s="36">
        <v>19</v>
      </c>
      <c r="CU1189" s="35">
        <v>-0.03</v>
      </c>
      <c r="CV1189" s="36">
        <v>14</v>
      </c>
      <c r="CW1189" s="35">
        <v>-3.13</v>
      </c>
      <c r="CX1189" s="36">
        <v>5</v>
      </c>
      <c r="CY1189" s="35">
        <v>2.06</v>
      </c>
      <c r="CZ1189" s="36">
        <v>100</v>
      </c>
      <c r="DA1189" s="35">
        <v>-0.03</v>
      </c>
      <c r="DB1189" s="36">
        <v>17</v>
      </c>
      <c r="DC1189" s="37">
        <v>14.62</v>
      </c>
      <c r="DD1189" s="36">
        <v>93</v>
      </c>
      <c r="DE1189" s="37">
        <v>-0.05</v>
      </c>
      <c r="DF1189" s="35">
        <v>-0.35</v>
      </c>
      <c r="DG1189" s="37">
        <v>4.3899999999999997</v>
      </c>
      <c r="DH1189" s="36">
        <v>81</v>
      </c>
      <c r="DI1189" s="37">
        <v>24.85</v>
      </c>
      <c r="DJ1189" s="36">
        <v>92</v>
      </c>
      <c r="DK1189" s="37">
        <v>4.7</v>
      </c>
      <c r="DL1189" s="36">
        <v>78</v>
      </c>
      <c r="DM1189" s="37">
        <v>4.07</v>
      </c>
      <c r="DN1189" s="36">
        <v>78</v>
      </c>
      <c r="DO1189" s="37">
        <v>24.85</v>
      </c>
      <c r="DP1189" s="36">
        <v>94</v>
      </c>
      <c r="DQ1189" s="36">
        <v>1646</v>
      </c>
      <c r="DR1189" s="38">
        <v>-100</v>
      </c>
      <c r="DS1189" s="35">
        <v>-5.73</v>
      </c>
      <c r="DT1189" s="36">
        <v>117</v>
      </c>
      <c r="DU1189" s="38">
        <v>2</v>
      </c>
      <c r="DV1189" s="35">
        <v>1.74</v>
      </c>
      <c r="DW1189" s="36">
        <v>8893</v>
      </c>
      <c r="DX1189" s="39">
        <v>3</v>
      </c>
      <c r="DY1189" s="35">
        <v>0.03</v>
      </c>
      <c r="DZ1189" s="28" t="s">
        <v>178</v>
      </c>
      <c r="EA1189" s="34">
        <v>43434</v>
      </c>
      <c r="EB1189" s="29">
        <v>267</v>
      </c>
      <c r="EC1189" s="34">
        <v>43045</v>
      </c>
      <c r="ED1189" s="28" t="s">
        <v>205</v>
      </c>
      <c r="EE1189" s="40" t="str">
        <f>HYPERLINK("https://my.pitchbook.com?c=85368-07", "View company online")</f>
        <v>View company online</v>
      </c>
    </row>
    <row r="1190" spans="1:135">
      <c r="A1190" s="15" t="s">
        <v>23116</v>
      </c>
      <c r="B1190" s="15" t="s">
        <v>23117</v>
      </c>
      <c r="C1190" s="15" t="s">
        <v>138</v>
      </c>
      <c r="D1190" s="15" t="s">
        <v>138</v>
      </c>
      <c r="E1190" s="15" t="s">
        <v>23118</v>
      </c>
      <c r="F1190" s="15" t="s">
        <v>23116</v>
      </c>
      <c r="G1190" s="15" t="s">
        <v>23119</v>
      </c>
      <c r="H1190" s="15" t="s">
        <v>322</v>
      </c>
      <c r="I1190" s="15" t="s">
        <v>323</v>
      </c>
      <c r="J1190" s="15" t="s">
        <v>461</v>
      </c>
      <c r="K1190" s="15" t="s">
        <v>18630</v>
      </c>
      <c r="L1190" s="15" t="s">
        <v>586</v>
      </c>
      <c r="M1190" s="15" t="s">
        <v>23120</v>
      </c>
      <c r="N1190" s="15" t="s">
        <v>147</v>
      </c>
      <c r="O1190" s="17">
        <v>108.5</v>
      </c>
      <c r="P1190" s="15" t="s">
        <v>148</v>
      </c>
      <c r="Q1190" s="15" t="s">
        <v>149</v>
      </c>
      <c r="R1190" s="15" t="s">
        <v>244</v>
      </c>
      <c r="S1190" s="15" t="s">
        <v>23121</v>
      </c>
      <c r="T1190" s="18">
        <v>105</v>
      </c>
      <c r="U1190" s="15" t="s">
        <v>23122</v>
      </c>
      <c r="V1190" s="15" t="s">
        <v>138</v>
      </c>
      <c r="W1190" s="15" t="s">
        <v>138</v>
      </c>
      <c r="X1190" s="19">
        <v>2007</v>
      </c>
      <c r="Y1190" s="15" t="s">
        <v>138</v>
      </c>
      <c r="Z1190" s="15" t="s">
        <v>138</v>
      </c>
      <c r="AA1190" s="15" t="s">
        <v>138</v>
      </c>
      <c r="AB1190" s="20" t="s">
        <v>138</v>
      </c>
      <c r="AC1190" s="20" t="s">
        <v>138</v>
      </c>
      <c r="AD1190" s="20" t="s">
        <v>138</v>
      </c>
      <c r="AE1190" s="20" t="s">
        <v>138</v>
      </c>
      <c r="AF1190" s="20" t="s">
        <v>138</v>
      </c>
      <c r="AG1190" s="15" t="s">
        <v>138</v>
      </c>
      <c r="AH1190" s="20" t="s">
        <v>138</v>
      </c>
      <c r="AI1190" s="20" t="s">
        <v>138</v>
      </c>
      <c r="AJ1190" s="20" t="s">
        <v>138</v>
      </c>
      <c r="AK1190" s="15" t="s">
        <v>23123</v>
      </c>
      <c r="AL1190" s="15" t="s">
        <v>23124</v>
      </c>
      <c r="AM1190" s="15" t="s">
        <v>249</v>
      </c>
      <c r="AN1190" s="15" t="s">
        <v>23125</v>
      </c>
      <c r="AO1190" s="15" t="s">
        <v>23126</v>
      </c>
      <c r="AP1190" s="15" t="s">
        <v>964</v>
      </c>
      <c r="AQ1190" s="15" t="s">
        <v>23127</v>
      </c>
      <c r="AR1190" s="15" t="s">
        <v>5582</v>
      </c>
      <c r="AS1190" s="15" t="s">
        <v>966</v>
      </c>
      <c r="AT1190" s="15" t="s">
        <v>200</v>
      </c>
      <c r="AU1190" s="15" t="s">
        <v>4792</v>
      </c>
      <c r="AV1190" s="15" t="s">
        <v>162</v>
      </c>
      <c r="AW1190" s="15" t="s">
        <v>23126</v>
      </c>
      <c r="AX1190" s="15" t="s">
        <v>23128</v>
      </c>
      <c r="AY1190" s="15" t="s">
        <v>23129</v>
      </c>
      <c r="AZ1190" s="15" t="s">
        <v>164</v>
      </c>
      <c r="BA1190" s="15" t="s">
        <v>165</v>
      </c>
      <c r="BB1190" s="15" t="s">
        <v>23130</v>
      </c>
      <c r="BC1190" s="15" t="s">
        <v>23131</v>
      </c>
      <c r="BD1190" s="21">
        <v>14</v>
      </c>
      <c r="BE1190" s="15" t="s">
        <v>138</v>
      </c>
      <c r="BF1190" s="15" t="s">
        <v>138</v>
      </c>
      <c r="BG1190" s="15" t="s">
        <v>138</v>
      </c>
      <c r="BH1190" s="15" t="s">
        <v>23132</v>
      </c>
      <c r="BI1190" s="15" t="s">
        <v>138</v>
      </c>
      <c r="BJ1190" s="15" t="s">
        <v>138</v>
      </c>
      <c r="BK1190" s="15" t="s">
        <v>1251</v>
      </c>
      <c r="BL1190" s="15" t="s">
        <v>23133</v>
      </c>
      <c r="BM1190" s="22">
        <v>39909</v>
      </c>
      <c r="BN1190" s="17">
        <v>5.5</v>
      </c>
      <c r="BO1190" s="15" t="s">
        <v>172</v>
      </c>
      <c r="BP1190" s="17">
        <v>11</v>
      </c>
      <c r="BQ1190" s="15" t="s">
        <v>172</v>
      </c>
      <c r="BR1190" s="15" t="s">
        <v>205</v>
      </c>
      <c r="BS1190" s="15" t="s">
        <v>206</v>
      </c>
      <c r="BT1190" s="15" t="s">
        <v>138</v>
      </c>
      <c r="BU1190" s="15" t="s">
        <v>174</v>
      </c>
      <c r="BV1190" s="15" t="s">
        <v>138</v>
      </c>
      <c r="BW1190" s="15" t="s">
        <v>138</v>
      </c>
      <c r="BX1190" s="15" t="s">
        <v>138</v>
      </c>
      <c r="BY1190" s="15" t="s">
        <v>175</v>
      </c>
      <c r="BZ1190" s="22">
        <v>42927</v>
      </c>
      <c r="CA1190" s="17">
        <v>36</v>
      </c>
      <c r="CB1190" s="15" t="s">
        <v>172</v>
      </c>
      <c r="CC1190" s="17">
        <v>240</v>
      </c>
      <c r="CD1190" s="15" t="s">
        <v>172</v>
      </c>
      <c r="CE1190" s="15" t="s">
        <v>173</v>
      </c>
      <c r="CF1190" s="15" t="s">
        <v>482</v>
      </c>
      <c r="CG1190" s="15" t="s">
        <v>7167</v>
      </c>
      <c r="CH1190" s="15" t="s">
        <v>174</v>
      </c>
      <c r="CI1190" s="15" t="s">
        <v>138</v>
      </c>
      <c r="CJ1190" s="15" t="s">
        <v>138</v>
      </c>
      <c r="CK1190" s="15" t="s">
        <v>138</v>
      </c>
      <c r="CL1190" s="15" t="s">
        <v>175</v>
      </c>
      <c r="CM1190" s="22">
        <v>42544</v>
      </c>
      <c r="CN1190" s="17">
        <v>5</v>
      </c>
      <c r="CO1190" s="23">
        <v>1.17</v>
      </c>
      <c r="CP1190" s="24">
        <v>98</v>
      </c>
      <c r="CQ1190" s="23">
        <v>0.02</v>
      </c>
      <c r="CR1190" s="23">
        <v>2.16</v>
      </c>
      <c r="CS1190" s="23">
        <v>2.31</v>
      </c>
      <c r="CT1190" s="24">
        <v>99</v>
      </c>
      <c r="CU1190" s="23">
        <v>0.03</v>
      </c>
      <c r="CV1190" s="24">
        <v>54</v>
      </c>
      <c r="CW1190" s="23">
        <v>6.33</v>
      </c>
      <c r="CX1190" s="24">
        <v>97</v>
      </c>
      <c r="CY1190" s="23">
        <v>-1.71</v>
      </c>
      <c r="CZ1190" s="24">
        <v>13</v>
      </c>
      <c r="DA1190" s="23">
        <v>0.03</v>
      </c>
      <c r="DB1190" s="24">
        <v>60</v>
      </c>
      <c r="DC1190" s="25">
        <v>10.73</v>
      </c>
      <c r="DD1190" s="24">
        <v>91</v>
      </c>
      <c r="DE1190" s="25">
        <v>-0.16</v>
      </c>
      <c r="DF1190" s="23">
        <v>-1.48</v>
      </c>
      <c r="DG1190" s="25">
        <v>16.29</v>
      </c>
      <c r="DH1190" s="24">
        <v>93</v>
      </c>
      <c r="DI1190" s="25">
        <v>5.17</v>
      </c>
      <c r="DJ1190" s="24">
        <v>78</v>
      </c>
      <c r="DK1190" s="25">
        <v>4.66</v>
      </c>
      <c r="DL1190" s="24">
        <v>78</v>
      </c>
      <c r="DM1190" s="25">
        <v>27.93</v>
      </c>
      <c r="DN1190" s="24">
        <v>96</v>
      </c>
      <c r="DO1190" s="25">
        <v>5.17</v>
      </c>
      <c r="DP1190" s="24">
        <v>80</v>
      </c>
      <c r="DQ1190" s="24">
        <v>1609</v>
      </c>
      <c r="DR1190" s="26">
        <v>-33</v>
      </c>
      <c r="DS1190" s="23">
        <v>-2.0099999999999998</v>
      </c>
      <c r="DT1190" s="24">
        <v>811</v>
      </c>
      <c r="DU1190" s="26">
        <v>-4</v>
      </c>
      <c r="DV1190" s="23">
        <v>-0.49</v>
      </c>
      <c r="DW1190" s="24">
        <v>1849</v>
      </c>
      <c r="DX1190" s="27">
        <v>-1</v>
      </c>
      <c r="DY1190" s="23">
        <v>-0.05</v>
      </c>
      <c r="DZ1190" s="15" t="s">
        <v>178</v>
      </c>
      <c r="EA1190" s="22">
        <v>43572</v>
      </c>
      <c r="EB1190" s="17">
        <v>240</v>
      </c>
      <c r="EC1190" s="22">
        <v>42927</v>
      </c>
      <c r="ED1190" s="15" t="s">
        <v>173</v>
      </c>
      <c r="EE1190" s="14" t="str">
        <f>HYPERLINK("https://my.pitchbook.com?c=52332-49", "View company online")</f>
        <v>View company online</v>
      </c>
    </row>
    <row r="1191" spans="1:135">
      <c r="A1191" s="28" t="s">
        <v>23134</v>
      </c>
      <c r="B1191" s="28" t="s">
        <v>23135</v>
      </c>
      <c r="C1191" s="28" t="s">
        <v>138</v>
      </c>
      <c r="D1191" s="28" t="s">
        <v>138</v>
      </c>
      <c r="E1191" s="28" t="s">
        <v>23136</v>
      </c>
      <c r="F1191" s="28" t="s">
        <v>23134</v>
      </c>
      <c r="G1191" s="28" t="s">
        <v>23137</v>
      </c>
      <c r="H1191" s="28" t="s">
        <v>322</v>
      </c>
      <c r="I1191" s="28" t="s">
        <v>323</v>
      </c>
      <c r="J1191" s="28" t="s">
        <v>461</v>
      </c>
      <c r="K1191" s="28" t="s">
        <v>462</v>
      </c>
      <c r="L1191" s="28" t="s">
        <v>1580</v>
      </c>
      <c r="M1191" s="28" t="s">
        <v>23138</v>
      </c>
      <c r="N1191" s="28" t="s">
        <v>147</v>
      </c>
      <c r="O1191" s="29">
        <v>15.85</v>
      </c>
      <c r="P1191" s="28" t="s">
        <v>148</v>
      </c>
      <c r="Q1191" s="28" t="s">
        <v>149</v>
      </c>
      <c r="R1191" s="28" t="s">
        <v>174</v>
      </c>
      <c r="S1191" s="28" t="s">
        <v>23139</v>
      </c>
      <c r="T1191" s="30">
        <v>15</v>
      </c>
      <c r="U1191" s="28" t="s">
        <v>23140</v>
      </c>
      <c r="V1191" s="28" t="s">
        <v>138</v>
      </c>
      <c r="W1191" s="28" t="s">
        <v>138</v>
      </c>
      <c r="X1191" s="31">
        <v>2014</v>
      </c>
      <c r="Y1191" s="28" t="s">
        <v>138</v>
      </c>
      <c r="Z1191" s="28" t="s">
        <v>138</v>
      </c>
      <c r="AA1191" s="28" t="s">
        <v>138</v>
      </c>
      <c r="AB1191" s="32" t="s">
        <v>138</v>
      </c>
      <c r="AC1191" s="32" t="s">
        <v>138</v>
      </c>
      <c r="AD1191" s="32" t="s">
        <v>138</v>
      </c>
      <c r="AE1191" s="32" t="s">
        <v>138</v>
      </c>
      <c r="AF1191" s="32" t="s">
        <v>138</v>
      </c>
      <c r="AG1191" s="28" t="s">
        <v>138</v>
      </c>
      <c r="AH1191" s="32" t="s">
        <v>138</v>
      </c>
      <c r="AI1191" s="32" t="s">
        <v>138</v>
      </c>
      <c r="AJ1191" s="32" t="s">
        <v>138</v>
      </c>
      <c r="AK1191" s="28" t="s">
        <v>23141</v>
      </c>
      <c r="AL1191" s="28" t="s">
        <v>23142</v>
      </c>
      <c r="AM1191" s="28" t="s">
        <v>23143</v>
      </c>
      <c r="AN1191" s="28" t="s">
        <v>23144</v>
      </c>
      <c r="AO1191" s="28" t="s">
        <v>23145</v>
      </c>
      <c r="AP1191" s="28" t="s">
        <v>423</v>
      </c>
      <c r="AQ1191" s="28" t="s">
        <v>23146</v>
      </c>
      <c r="AR1191" s="28" t="s">
        <v>23147</v>
      </c>
      <c r="AS1191" s="28" t="s">
        <v>426</v>
      </c>
      <c r="AT1191" s="28" t="s">
        <v>426</v>
      </c>
      <c r="AU1191" s="28" t="s">
        <v>8757</v>
      </c>
      <c r="AV1191" s="28" t="s">
        <v>162</v>
      </c>
      <c r="AW1191" s="28" t="s">
        <v>23145</v>
      </c>
      <c r="AX1191" s="28" t="s">
        <v>138</v>
      </c>
      <c r="AY1191" s="28" t="s">
        <v>23148</v>
      </c>
      <c r="AZ1191" s="28" t="s">
        <v>164</v>
      </c>
      <c r="BA1191" s="28" t="s">
        <v>165</v>
      </c>
      <c r="BB1191" s="28" t="s">
        <v>23149</v>
      </c>
      <c r="BC1191" s="28" t="s">
        <v>23150</v>
      </c>
      <c r="BD1191" s="33">
        <v>7</v>
      </c>
      <c r="BE1191" s="28" t="s">
        <v>138</v>
      </c>
      <c r="BF1191" s="28" t="s">
        <v>138</v>
      </c>
      <c r="BG1191" s="28" t="s">
        <v>138</v>
      </c>
      <c r="BH1191" s="28" t="s">
        <v>23151</v>
      </c>
      <c r="BI1191" s="28" t="s">
        <v>138</v>
      </c>
      <c r="BJ1191" s="28" t="s">
        <v>138</v>
      </c>
      <c r="BK1191" s="28" t="s">
        <v>10363</v>
      </c>
      <c r="BL1191" s="28" t="s">
        <v>9493</v>
      </c>
      <c r="BM1191" s="34">
        <v>41913</v>
      </c>
      <c r="BN1191" s="29">
        <v>0.35</v>
      </c>
      <c r="BO1191" s="28" t="s">
        <v>172</v>
      </c>
      <c r="BP1191" s="29">
        <v>3.13</v>
      </c>
      <c r="BQ1191" s="28" t="s">
        <v>172</v>
      </c>
      <c r="BR1191" s="28" t="s">
        <v>234</v>
      </c>
      <c r="BS1191" s="28" t="s">
        <v>8444</v>
      </c>
      <c r="BT1191" s="28" t="s">
        <v>138</v>
      </c>
      <c r="BU1191" s="28" t="s">
        <v>263</v>
      </c>
      <c r="BV1191" s="28" t="s">
        <v>138</v>
      </c>
      <c r="BW1191" s="28" t="s">
        <v>138</v>
      </c>
      <c r="BX1191" s="28" t="s">
        <v>138</v>
      </c>
      <c r="BY1191" s="28" t="s">
        <v>175</v>
      </c>
      <c r="BZ1191" s="34">
        <v>43206</v>
      </c>
      <c r="CA1191" s="29">
        <v>10</v>
      </c>
      <c r="CB1191" s="28" t="s">
        <v>172</v>
      </c>
      <c r="CC1191" s="29">
        <v>40</v>
      </c>
      <c r="CD1191" s="28" t="s">
        <v>172</v>
      </c>
      <c r="CE1191" s="28" t="s">
        <v>205</v>
      </c>
      <c r="CF1191" s="28" t="s">
        <v>206</v>
      </c>
      <c r="CG1191" s="28" t="s">
        <v>138</v>
      </c>
      <c r="CH1191" s="28" t="s">
        <v>174</v>
      </c>
      <c r="CI1191" s="28" t="s">
        <v>1397</v>
      </c>
      <c r="CJ1191" s="28" t="s">
        <v>138</v>
      </c>
      <c r="CK1191" s="28" t="s">
        <v>138</v>
      </c>
      <c r="CL1191" s="28" t="s">
        <v>175</v>
      </c>
      <c r="CM1191" s="34">
        <v>43206</v>
      </c>
      <c r="CN1191" s="29">
        <v>2.5</v>
      </c>
      <c r="CO1191" s="35">
        <v>-0.53</v>
      </c>
      <c r="CP1191" s="36">
        <v>16</v>
      </c>
      <c r="CQ1191" s="35">
        <v>-0.31</v>
      </c>
      <c r="CR1191" s="35">
        <v>-138.72999999999999</v>
      </c>
      <c r="CS1191" s="35">
        <v>-1.56</v>
      </c>
      <c r="CT1191" s="36">
        <v>11</v>
      </c>
      <c r="CU1191" s="35">
        <v>-0.05</v>
      </c>
      <c r="CV1191" s="36">
        <v>9</v>
      </c>
      <c r="CW1191" s="35">
        <v>-0.86</v>
      </c>
      <c r="CX1191" s="36">
        <v>10</v>
      </c>
      <c r="CY1191" s="35">
        <v>-2.25</v>
      </c>
      <c r="CZ1191" s="36">
        <v>10</v>
      </c>
      <c r="DA1191" s="35">
        <v>-0.05</v>
      </c>
      <c r="DB1191" s="36">
        <v>13</v>
      </c>
      <c r="DC1191" s="37">
        <v>6.22</v>
      </c>
      <c r="DD1191" s="36">
        <v>85</v>
      </c>
      <c r="DE1191" s="37">
        <v>-0.11</v>
      </c>
      <c r="DF1191" s="35">
        <v>-1.71</v>
      </c>
      <c r="DG1191" s="37">
        <v>12.55</v>
      </c>
      <c r="DH1191" s="36">
        <v>91</v>
      </c>
      <c r="DI1191" s="37">
        <v>5.91</v>
      </c>
      <c r="DJ1191" s="36">
        <v>79</v>
      </c>
      <c r="DK1191" s="37">
        <v>7.42</v>
      </c>
      <c r="DL1191" s="36">
        <v>84</v>
      </c>
      <c r="DM1191" s="37">
        <v>17.690000000000001</v>
      </c>
      <c r="DN1191" s="36">
        <v>93</v>
      </c>
      <c r="DO1191" s="37">
        <v>3.45</v>
      </c>
      <c r="DP1191" s="36">
        <v>73</v>
      </c>
      <c r="DQ1191" s="36">
        <v>2507</v>
      </c>
      <c r="DR1191" s="38">
        <v>112</v>
      </c>
      <c r="DS1191" s="35">
        <v>4.68</v>
      </c>
      <c r="DT1191" s="36">
        <v>509</v>
      </c>
      <c r="DU1191" s="38">
        <v>4</v>
      </c>
      <c r="DV1191" s="35">
        <v>0.79</v>
      </c>
      <c r="DW1191" s="36">
        <v>1236</v>
      </c>
      <c r="DX1191" s="39">
        <v>-2</v>
      </c>
      <c r="DY1191" s="35">
        <v>-0.16</v>
      </c>
      <c r="DZ1191" s="28" t="s">
        <v>178</v>
      </c>
      <c r="EA1191" s="34">
        <v>43556</v>
      </c>
      <c r="EB1191" s="29">
        <v>40</v>
      </c>
      <c r="EC1191" s="34">
        <v>43206</v>
      </c>
      <c r="ED1191" s="28" t="s">
        <v>205</v>
      </c>
      <c r="EE1191" s="40" t="str">
        <f>HYPERLINK("https://my.pitchbook.com?c=101859-04", "View company online")</f>
        <v>View company online</v>
      </c>
    </row>
    <row r="1192" spans="1:135">
      <c r="A1192" s="15" t="s">
        <v>23152</v>
      </c>
      <c r="B1192" s="15" t="s">
        <v>23153</v>
      </c>
      <c r="C1192" s="15" t="s">
        <v>138</v>
      </c>
      <c r="D1192" s="15" t="s">
        <v>138</v>
      </c>
      <c r="E1192" s="15" t="s">
        <v>138</v>
      </c>
      <c r="F1192" s="15" t="s">
        <v>23152</v>
      </c>
      <c r="G1192" s="15" t="s">
        <v>23154</v>
      </c>
      <c r="H1192" s="15" t="s">
        <v>141</v>
      </c>
      <c r="I1192" s="15" t="s">
        <v>142</v>
      </c>
      <c r="J1192" s="15" t="s">
        <v>1924</v>
      </c>
      <c r="K1192" s="15" t="s">
        <v>4744</v>
      </c>
      <c r="L1192" s="15" t="s">
        <v>138</v>
      </c>
      <c r="M1192" s="15" t="s">
        <v>23155</v>
      </c>
      <c r="N1192" s="15" t="s">
        <v>2487</v>
      </c>
      <c r="O1192" s="17" t="s">
        <v>138</v>
      </c>
      <c r="P1192" s="15" t="s">
        <v>610</v>
      </c>
      <c r="Q1192" s="15" t="s">
        <v>149</v>
      </c>
      <c r="R1192" s="15" t="s">
        <v>150</v>
      </c>
      <c r="S1192" s="15" t="s">
        <v>23156</v>
      </c>
      <c r="T1192" s="18" t="s">
        <v>138</v>
      </c>
      <c r="U1192" s="15" t="s">
        <v>138</v>
      </c>
      <c r="V1192" s="15" t="s">
        <v>138</v>
      </c>
      <c r="W1192" s="15" t="s">
        <v>138</v>
      </c>
      <c r="X1192" s="19">
        <v>2008</v>
      </c>
      <c r="Y1192" s="15" t="s">
        <v>138</v>
      </c>
      <c r="Z1192" s="15" t="s">
        <v>138</v>
      </c>
      <c r="AA1192" s="15" t="s">
        <v>138</v>
      </c>
      <c r="AB1192" s="20" t="s">
        <v>138</v>
      </c>
      <c r="AC1192" s="20" t="s">
        <v>138</v>
      </c>
      <c r="AD1192" s="20" t="s">
        <v>138</v>
      </c>
      <c r="AE1192" s="20" t="s">
        <v>138</v>
      </c>
      <c r="AF1192" s="20" t="s">
        <v>138</v>
      </c>
      <c r="AG1192" s="15" t="s">
        <v>138</v>
      </c>
      <c r="AH1192" s="20" t="s">
        <v>138</v>
      </c>
      <c r="AI1192" s="20" t="s">
        <v>138</v>
      </c>
      <c r="AJ1192" s="20" t="s">
        <v>138</v>
      </c>
      <c r="AK1192" s="15" t="s">
        <v>23157</v>
      </c>
      <c r="AL1192" s="15" t="s">
        <v>23158</v>
      </c>
      <c r="AM1192" s="15" t="s">
        <v>2776</v>
      </c>
      <c r="AN1192" s="15" t="s">
        <v>23159</v>
      </c>
      <c r="AO1192" s="15" t="s">
        <v>23160</v>
      </c>
      <c r="AP1192" s="15" t="s">
        <v>23161</v>
      </c>
      <c r="AQ1192" s="15" t="s">
        <v>23162</v>
      </c>
      <c r="AR1192" s="15" t="s">
        <v>138</v>
      </c>
      <c r="AS1192" s="15" t="s">
        <v>23163</v>
      </c>
      <c r="AT1192" s="15" t="s">
        <v>138</v>
      </c>
      <c r="AU1192" s="15" t="s">
        <v>23164</v>
      </c>
      <c r="AV1192" s="15" t="s">
        <v>1319</v>
      </c>
      <c r="AW1192" s="15" t="s">
        <v>23160</v>
      </c>
      <c r="AX1192" s="15" t="s">
        <v>23165</v>
      </c>
      <c r="AY1192" s="15" t="s">
        <v>23166</v>
      </c>
      <c r="AZ1192" s="15" t="s">
        <v>530</v>
      </c>
      <c r="BA1192" s="15" t="s">
        <v>531</v>
      </c>
      <c r="BB1192" s="15" t="s">
        <v>23167</v>
      </c>
      <c r="BC1192" s="15" t="s">
        <v>23168</v>
      </c>
      <c r="BD1192" s="21">
        <v>4</v>
      </c>
      <c r="BE1192" s="15" t="s">
        <v>138</v>
      </c>
      <c r="BF1192" s="15" t="s">
        <v>138</v>
      </c>
      <c r="BG1192" s="15" t="s">
        <v>138</v>
      </c>
      <c r="BH1192" s="15" t="s">
        <v>23169</v>
      </c>
      <c r="BI1192" s="15" t="s">
        <v>138</v>
      </c>
      <c r="BJ1192" s="15" t="s">
        <v>138</v>
      </c>
      <c r="BK1192" s="15" t="s">
        <v>138</v>
      </c>
      <c r="BL1192" s="15" t="s">
        <v>138</v>
      </c>
      <c r="BM1192" s="22" t="s">
        <v>138</v>
      </c>
      <c r="BN1192" s="17" t="s">
        <v>138</v>
      </c>
      <c r="BO1192" s="15" t="s">
        <v>138</v>
      </c>
      <c r="BP1192" s="17" t="s">
        <v>138</v>
      </c>
      <c r="BQ1192" s="15" t="s">
        <v>138</v>
      </c>
      <c r="BR1192" s="15" t="s">
        <v>262</v>
      </c>
      <c r="BS1192" s="15" t="s">
        <v>262</v>
      </c>
      <c r="BT1192" s="15" t="s">
        <v>138</v>
      </c>
      <c r="BU1192" s="15" t="s">
        <v>263</v>
      </c>
      <c r="BV1192" s="15" t="s">
        <v>138</v>
      </c>
      <c r="BW1192" s="15" t="s">
        <v>138</v>
      </c>
      <c r="BX1192" s="15" t="s">
        <v>138</v>
      </c>
      <c r="BY1192" s="15" t="s">
        <v>175</v>
      </c>
      <c r="BZ1192" s="22">
        <v>43206</v>
      </c>
      <c r="CA1192" s="17" t="s">
        <v>138</v>
      </c>
      <c r="CB1192" s="15" t="s">
        <v>138</v>
      </c>
      <c r="CC1192" s="17" t="s">
        <v>138</v>
      </c>
      <c r="CD1192" s="15" t="s">
        <v>138</v>
      </c>
      <c r="CE1192" s="15" t="s">
        <v>780</v>
      </c>
      <c r="CF1192" s="15" t="s">
        <v>780</v>
      </c>
      <c r="CG1192" s="15" t="s">
        <v>138</v>
      </c>
      <c r="CH1192" s="15" t="s">
        <v>780</v>
      </c>
      <c r="CI1192" s="15" t="s">
        <v>138</v>
      </c>
      <c r="CJ1192" s="15" t="s">
        <v>138</v>
      </c>
      <c r="CK1192" s="15" t="s">
        <v>138</v>
      </c>
      <c r="CL1192" s="15" t="s">
        <v>175</v>
      </c>
      <c r="CM1192" s="22" t="s">
        <v>138</v>
      </c>
      <c r="CN1192" s="17" t="s">
        <v>138</v>
      </c>
      <c r="CO1192" s="23">
        <v>0</v>
      </c>
      <c r="CP1192" s="24">
        <v>26</v>
      </c>
      <c r="CQ1192" s="23">
        <v>0</v>
      </c>
      <c r="CR1192" s="23">
        <v>0</v>
      </c>
      <c r="CS1192" s="23" t="s">
        <v>138</v>
      </c>
      <c r="CT1192" s="24" t="s">
        <v>138</v>
      </c>
      <c r="CU1192" s="23">
        <v>0</v>
      </c>
      <c r="CV1192" s="24">
        <v>22</v>
      </c>
      <c r="CW1192" s="23" t="s">
        <v>138</v>
      </c>
      <c r="CX1192" s="24" t="s">
        <v>138</v>
      </c>
      <c r="CY1192" s="23" t="s">
        <v>138</v>
      </c>
      <c r="CZ1192" s="24" t="s">
        <v>138</v>
      </c>
      <c r="DA1192" s="23" t="s">
        <v>138</v>
      </c>
      <c r="DB1192" s="24" t="s">
        <v>138</v>
      </c>
      <c r="DC1192" s="25">
        <v>0.03</v>
      </c>
      <c r="DD1192" s="24">
        <v>1</v>
      </c>
      <c r="DE1192" s="25">
        <v>0</v>
      </c>
      <c r="DF1192" s="23">
        <v>-0.11</v>
      </c>
      <c r="DG1192" s="25" t="s">
        <v>138</v>
      </c>
      <c r="DH1192" s="24" t="s">
        <v>138</v>
      </c>
      <c r="DI1192" s="25">
        <v>0.03</v>
      </c>
      <c r="DJ1192" s="24">
        <v>5</v>
      </c>
      <c r="DK1192" s="25" t="s">
        <v>138</v>
      </c>
      <c r="DL1192" s="24" t="s">
        <v>138</v>
      </c>
      <c r="DM1192" s="25" t="s">
        <v>138</v>
      </c>
      <c r="DN1192" s="24" t="s">
        <v>138</v>
      </c>
      <c r="DO1192" s="25" t="s">
        <v>138</v>
      </c>
      <c r="DP1192" s="24" t="s">
        <v>138</v>
      </c>
      <c r="DQ1192" s="24" t="s">
        <v>138</v>
      </c>
      <c r="DR1192" s="26" t="s">
        <v>138</v>
      </c>
      <c r="DS1192" s="23" t="s">
        <v>138</v>
      </c>
      <c r="DT1192" s="24" t="s">
        <v>138</v>
      </c>
      <c r="DU1192" s="26" t="s">
        <v>138</v>
      </c>
      <c r="DV1192" s="23" t="s">
        <v>138</v>
      </c>
      <c r="DW1192" s="24" t="s">
        <v>138</v>
      </c>
      <c r="DX1192" s="27" t="s">
        <v>138</v>
      </c>
      <c r="DY1192" s="23" t="s">
        <v>138</v>
      </c>
      <c r="DZ1192" s="15" t="s">
        <v>178</v>
      </c>
      <c r="EA1192" s="22">
        <v>43565</v>
      </c>
      <c r="EB1192" s="17" t="s">
        <v>138</v>
      </c>
      <c r="EC1192" s="22" t="s">
        <v>138</v>
      </c>
      <c r="ED1192" s="15" t="s">
        <v>138</v>
      </c>
      <c r="EE1192" s="14" t="str">
        <f>HYPERLINK("https://my.pitchbook.com?c=159460-12", "View company online")</f>
        <v>View company online</v>
      </c>
    </row>
    <row r="1193" spans="1:135">
      <c r="A1193" s="28" t="s">
        <v>23170</v>
      </c>
      <c r="B1193" s="28" t="s">
        <v>23171</v>
      </c>
      <c r="C1193" s="28" t="s">
        <v>138</v>
      </c>
      <c r="D1193" s="28" t="s">
        <v>138</v>
      </c>
      <c r="E1193" s="28" t="s">
        <v>23172</v>
      </c>
      <c r="F1193" s="28" t="s">
        <v>23170</v>
      </c>
      <c r="G1193" s="28" t="s">
        <v>23173</v>
      </c>
      <c r="H1193" s="28" t="s">
        <v>322</v>
      </c>
      <c r="I1193" s="28" t="s">
        <v>323</v>
      </c>
      <c r="J1193" s="28" t="s">
        <v>2084</v>
      </c>
      <c r="K1193" s="28" t="s">
        <v>21572</v>
      </c>
      <c r="L1193" s="28" t="s">
        <v>23174</v>
      </c>
      <c r="M1193" s="28" t="s">
        <v>23175</v>
      </c>
      <c r="N1193" s="28" t="s">
        <v>147</v>
      </c>
      <c r="O1193" s="29">
        <v>41.95</v>
      </c>
      <c r="P1193" s="28" t="s">
        <v>148</v>
      </c>
      <c r="Q1193" s="28" t="s">
        <v>149</v>
      </c>
      <c r="R1193" s="28" t="s">
        <v>174</v>
      </c>
      <c r="S1193" s="28" t="s">
        <v>23176</v>
      </c>
      <c r="T1193" s="30">
        <v>200</v>
      </c>
      <c r="U1193" s="28" t="s">
        <v>23177</v>
      </c>
      <c r="V1193" s="28" t="s">
        <v>138</v>
      </c>
      <c r="W1193" s="28" t="s">
        <v>138</v>
      </c>
      <c r="X1193" s="31">
        <v>2014</v>
      </c>
      <c r="Y1193" s="28" t="s">
        <v>138</v>
      </c>
      <c r="Z1193" s="28" t="s">
        <v>138</v>
      </c>
      <c r="AA1193" s="28" t="s">
        <v>138</v>
      </c>
      <c r="AB1193" s="32">
        <v>3</v>
      </c>
      <c r="AC1193" s="32" t="s">
        <v>138</v>
      </c>
      <c r="AD1193" s="32" t="s">
        <v>138</v>
      </c>
      <c r="AE1193" s="32" t="s">
        <v>138</v>
      </c>
      <c r="AF1193" s="32" t="s">
        <v>138</v>
      </c>
      <c r="AG1193" s="28" t="s">
        <v>707</v>
      </c>
      <c r="AH1193" s="32" t="s">
        <v>138</v>
      </c>
      <c r="AI1193" s="32" t="s">
        <v>138</v>
      </c>
      <c r="AJ1193" s="32" t="s">
        <v>138</v>
      </c>
      <c r="AK1193" s="28" t="s">
        <v>23178</v>
      </c>
      <c r="AL1193" s="28" t="s">
        <v>23179</v>
      </c>
      <c r="AM1193" s="28" t="s">
        <v>221</v>
      </c>
      <c r="AN1193" s="28" t="s">
        <v>23180</v>
      </c>
      <c r="AO1193" s="28" t="s">
        <v>23181</v>
      </c>
      <c r="AP1193" s="28" t="s">
        <v>665</v>
      </c>
      <c r="AQ1193" s="28" t="s">
        <v>23182</v>
      </c>
      <c r="AR1193" s="28" t="s">
        <v>1459</v>
      </c>
      <c r="AS1193" s="28" t="s">
        <v>668</v>
      </c>
      <c r="AT1193" s="28" t="s">
        <v>200</v>
      </c>
      <c r="AU1193" s="28" t="s">
        <v>3477</v>
      </c>
      <c r="AV1193" s="28" t="s">
        <v>162</v>
      </c>
      <c r="AW1193" s="28" t="s">
        <v>23181</v>
      </c>
      <c r="AX1193" s="28" t="s">
        <v>138</v>
      </c>
      <c r="AY1193" s="28" t="s">
        <v>138</v>
      </c>
      <c r="AZ1193" s="28" t="s">
        <v>164</v>
      </c>
      <c r="BA1193" s="28" t="s">
        <v>165</v>
      </c>
      <c r="BB1193" s="28" t="s">
        <v>23183</v>
      </c>
      <c r="BC1193" s="28" t="s">
        <v>23184</v>
      </c>
      <c r="BD1193" s="33">
        <v>16</v>
      </c>
      <c r="BE1193" s="28" t="s">
        <v>138</v>
      </c>
      <c r="BF1193" s="28" t="s">
        <v>138</v>
      </c>
      <c r="BG1193" s="28" t="s">
        <v>138</v>
      </c>
      <c r="BH1193" s="28" t="s">
        <v>23185</v>
      </c>
      <c r="BI1193" s="28" t="s">
        <v>138</v>
      </c>
      <c r="BJ1193" s="28" t="s">
        <v>138</v>
      </c>
      <c r="BK1193" s="28" t="s">
        <v>23186</v>
      </c>
      <c r="BL1193" s="28" t="s">
        <v>3482</v>
      </c>
      <c r="BM1193" s="34">
        <v>42138</v>
      </c>
      <c r="BN1193" s="29">
        <v>1</v>
      </c>
      <c r="BO1193" s="28" t="s">
        <v>172</v>
      </c>
      <c r="BP1193" s="29">
        <v>7</v>
      </c>
      <c r="BQ1193" s="28" t="s">
        <v>172</v>
      </c>
      <c r="BR1193" s="28" t="s">
        <v>234</v>
      </c>
      <c r="BS1193" s="28" t="s">
        <v>234</v>
      </c>
      <c r="BT1193" s="28" t="s">
        <v>138</v>
      </c>
      <c r="BU1193" s="28" t="s">
        <v>263</v>
      </c>
      <c r="BV1193" s="28" t="s">
        <v>138</v>
      </c>
      <c r="BW1193" s="28" t="s">
        <v>138</v>
      </c>
      <c r="BX1193" s="28" t="s">
        <v>138</v>
      </c>
      <c r="BY1193" s="28" t="s">
        <v>175</v>
      </c>
      <c r="BZ1193" s="34">
        <v>43191</v>
      </c>
      <c r="CA1193" s="29">
        <v>30</v>
      </c>
      <c r="CB1193" s="28" t="s">
        <v>172</v>
      </c>
      <c r="CC1193" s="29">
        <v>150</v>
      </c>
      <c r="CD1193" s="28" t="s">
        <v>172</v>
      </c>
      <c r="CE1193" s="28" t="s">
        <v>205</v>
      </c>
      <c r="CF1193" s="28" t="s">
        <v>720</v>
      </c>
      <c r="CG1193" s="28" t="s">
        <v>138</v>
      </c>
      <c r="CH1193" s="28" t="s">
        <v>174</v>
      </c>
      <c r="CI1193" s="28" t="s">
        <v>138</v>
      </c>
      <c r="CJ1193" s="28" t="s">
        <v>138</v>
      </c>
      <c r="CK1193" s="28" t="s">
        <v>138</v>
      </c>
      <c r="CL1193" s="28" t="s">
        <v>175</v>
      </c>
      <c r="CM1193" s="34" t="s">
        <v>138</v>
      </c>
      <c r="CN1193" s="29" t="s">
        <v>138</v>
      </c>
      <c r="CO1193" s="35">
        <v>-4.54</v>
      </c>
      <c r="CP1193" s="36">
        <v>1</v>
      </c>
      <c r="CQ1193" s="35">
        <v>0.01</v>
      </c>
      <c r="CR1193" s="35">
        <v>0.21</v>
      </c>
      <c r="CS1193" s="35">
        <v>-9.1199999999999992</v>
      </c>
      <c r="CT1193" s="36">
        <v>1</v>
      </c>
      <c r="CU1193" s="35">
        <v>0.04</v>
      </c>
      <c r="CV1193" s="36">
        <v>56</v>
      </c>
      <c r="CW1193" s="35">
        <v>-9.1199999999999992</v>
      </c>
      <c r="CX1193" s="36">
        <v>1</v>
      </c>
      <c r="CY1193" s="35" t="s">
        <v>138</v>
      </c>
      <c r="CZ1193" s="36" t="s">
        <v>138</v>
      </c>
      <c r="DA1193" s="35">
        <v>0.04</v>
      </c>
      <c r="DB1193" s="36">
        <v>62</v>
      </c>
      <c r="DC1193" s="37">
        <v>13.73</v>
      </c>
      <c r="DD1193" s="36">
        <v>92</v>
      </c>
      <c r="DE1193" s="37">
        <v>-1.28</v>
      </c>
      <c r="DF1193" s="35">
        <v>-8.5399999999999991</v>
      </c>
      <c r="DG1193" s="37">
        <v>20.27</v>
      </c>
      <c r="DH1193" s="36">
        <v>95</v>
      </c>
      <c r="DI1193" s="37">
        <v>7.19</v>
      </c>
      <c r="DJ1193" s="36">
        <v>82</v>
      </c>
      <c r="DK1193" s="37">
        <v>20.27</v>
      </c>
      <c r="DL1193" s="36">
        <v>92</v>
      </c>
      <c r="DM1193" s="37" t="s">
        <v>138</v>
      </c>
      <c r="DN1193" s="36" t="s">
        <v>138</v>
      </c>
      <c r="DO1193" s="37">
        <v>7.19</v>
      </c>
      <c r="DP1193" s="36">
        <v>84</v>
      </c>
      <c r="DQ1193" s="36">
        <v>6883</v>
      </c>
      <c r="DR1193" s="38">
        <v>206</v>
      </c>
      <c r="DS1193" s="35">
        <v>3.09</v>
      </c>
      <c r="DT1193" s="36" t="s">
        <v>138</v>
      </c>
      <c r="DU1193" s="38" t="s">
        <v>138</v>
      </c>
      <c r="DV1193" s="35" t="s">
        <v>138</v>
      </c>
      <c r="DW1193" s="36">
        <v>2575</v>
      </c>
      <c r="DX1193" s="39">
        <v>0</v>
      </c>
      <c r="DY1193" s="35">
        <v>0</v>
      </c>
      <c r="DZ1193" s="28" t="s">
        <v>178</v>
      </c>
      <c r="EA1193" s="34">
        <v>43448</v>
      </c>
      <c r="EB1193" s="29">
        <v>150</v>
      </c>
      <c r="EC1193" s="34">
        <v>43191</v>
      </c>
      <c r="ED1193" s="28" t="s">
        <v>205</v>
      </c>
      <c r="EE1193" s="40" t="str">
        <f>HYPERLINK("https://my.pitchbook.com?c=111256-75", "View company online")</f>
        <v>View company online</v>
      </c>
    </row>
    <row r="1194" spans="1:135">
      <c r="A1194" s="15" t="s">
        <v>23187</v>
      </c>
      <c r="B1194" s="15" t="s">
        <v>23188</v>
      </c>
      <c r="C1194" s="15" t="s">
        <v>138</v>
      </c>
      <c r="D1194" s="15" t="s">
        <v>23189</v>
      </c>
      <c r="E1194" s="15" t="s">
        <v>23190</v>
      </c>
      <c r="F1194" s="15" t="s">
        <v>23187</v>
      </c>
      <c r="G1194" s="15" t="s">
        <v>23191</v>
      </c>
      <c r="H1194" s="15" t="s">
        <v>385</v>
      </c>
      <c r="I1194" s="15" t="s">
        <v>386</v>
      </c>
      <c r="J1194" s="15" t="s">
        <v>387</v>
      </c>
      <c r="K1194" s="15" t="s">
        <v>23192</v>
      </c>
      <c r="L1194" s="15" t="s">
        <v>23193</v>
      </c>
      <c r="M1194" s="15" t="s">
        <v>23194</v>
      </c>
      <c r="N1194" s="15" t="s">
        <v>147</v>
      </c>
      <c r="O1194" s="17">
        <v>27.63</v>
      </c>
      <c r="P1194" s="15" t="s">
        <v>148</v>
      </c>
      <c r="Q1194" s="15" t="s">
        <v>149</v>
      </c>
      <c r="R1194" s="15" t="s">
        <v>244</v>
      </c>
      <c r="S1194" s="15" t="s">
        <v>23195</v>
      </c>
      <c r="T1194" s="18">
        <v>201</v>
      </c>
      <c r="U1194" s="15" t="s">
        <v>19976</v>
      </c>
      <c r="V1194" s="15" t="s">
        <v>138</v>
      </c>
      <c r="W1194" s="15" t="s">
        <v>138</v>
      </c>
      <c r="X1194" s="19">
        <v>2007</v>
      </c>
      <c r="Y1194" s="15" t="s">
        <v>138</v>
      </c>
      <c r="Z1194" s="15" t="s">
        <v>138</v>
      </c>
      <c r="AA1194" s="15" t="s">
        <v>138</v>
      </c>
      <c r="AB1194" s="20" t="s">
        <v>138</v>
      </c>
      <c r="AC1194" s="20" t="s">
        <v>138</v>
      </c>
      <c r="AD1194" s="20" t="s">
        <v>138</v>
      </c>
      <c r="AE1194" s="20" t="s">
        <v>138</v>
      </c>
      <c r="AF1194" s="20" t="s">
        <v>138</v>
      </c>
      <c r="AG1194" s="15" t="s">
        <v>138</v>
      </c>
      <c r="AH1194" s="20" t="s">
        <v>138</v>
      </c>
      <c r="AI1194" s="20" t="s">
        <v>138</v>
      </c>
      <c r="AJ1194" s="20" t="s">
        <v>138</v>
      </c>
      <c r="AK1194" s="15" t="s">
        <v>23196</v>
      </c>
      <c r="AL1194" s="15" t="s">
        <v>23197</v>
      </c>
      <c r="AM1194" s="15" t="s">
        <v>2605</v>
      </c>
      <c r="AN1194" s="15" t="s">
        <v>23198</v>
      </c>
      <c r="AO1194" s="15" t="s">
        <v>23199</v>
      </c>
      <c r="AP1194" s="15" t="s">
        <v>23200</v>
      </c>
      <c r="AQ1194" s="15" t="s">
        <v>23201</v>
      </c>
      <c r="AR1194" s="15" t="s">
        <v>138</v>
      </c>
      <c r="AS1194" s="15" t="s">
        <v>23202</v>
      </c>
      <c r="AT1194" s="15" t="s">
        <v>23203</v>
      </c>
      <c r="AU1194" s="15" t="s">
        <v>23204</v>
      </c>
      <c r="AV1194" s="15" t="s">
        <v>2333</v>
      </c>
      <c r="AW1194" s="15" t="s">
        <v>23199</v>
      </c>
      <c r="AX1194" s="15" t="s">
        <v>138</v>
      </c>
      <c r="AY1194" s="15" t="s">
        <v>23205</v>
      </c>
      <c r="AZ1194" s="15" t="s">
        <v>452</v>
      </c>
      <c r="BA1194" s="15" t="s">
        <v>2335</v>
      </c>
      <c r="BB1194" s="15" t="s">
        <v>23206</v>
      </c>
      <c r="BC1194" s="15" t="s">
        <v>23207</v>
      </c>
      <c r="BD1194" s="21">
        <v>14</v>
      </c>
      <c r="BE1194" s="15" t="s">
        <v>138</v>
      </c>
      <c r="BF1194" s="15" t="s">
        <v>138</v>
      </c>
      <c r="BG1194" s="15" t="s">
        <v>138</v>
      </c>
      <c r="BH1194" s="15" t="s">
        <v>23208</v>
      </c>
      <c r="BI1194" s="15" t="s">
        <v>138</v>
      </c>
      <c r="BJ1194" s="15" t="s">
        <v>138</v>
      </c>
      <c r="BK1194" s="15" t="s">
        <v>138</v>
      </c>
      <c r="BL1194" s="15" t="s">
        <v>23209</v>
      </c>
      <c r="BM1194" s="22">
        <v>39814</v>
      </c>
      <c r="BN1194" s="17" t="s">
        <v>138</v>
      </c>
      <c r="BO1194" s="15" t="s">
        <v>138</v>
      </c>
      <c r="BP1194" s="17" t="s">
        <v>138</v>
      </c>
      <c r="BQ1194" s="15" t="s">
        <v>138</v>
      </c>
      <c r="BR1194" s="15" t="s">
        <v>316</v>
      </c>
      <c r="BS1194" s="15" t="s">
        <v>138</v>
      </c>
      <c r="BT1194" s="15" t="s">
        <v>138</v>
      </c>
      <c r="BU1194" s="15" t="s">
        <v>177</v>
      </c>
      <c r="BV1194" s="15" t="s">
        <v>138</v>
      </c>
      <c r="BW1194" s="15" t="s">
        <v>138</v>
      </c>
      <c r="BX1194" s="15" t="s">
        <v>138</v>
      </c>
      <c r="BY1194" s="15" t="s">
        <v>175</v>
      </c>
      <c r="BZ1194" s="22">
        <v>43115</v>
      </c>
      <c r="CA1194" s="17">
        <v>20</v>
      </c>
      <c r="CB1194" s="15" t="s">
        <v>172</v>
      </c>
      <c r="CC1194" s="17" t="s">
        <v>138</v>
      </c>
      <c r="CD1194" s="15" t="s">
        <v>138</v>
      </c>
      <c r="CE1194" s="15" t="s">
        <v>173</v>
      </c>
      <c r="CF1194" s="15" t="s">
        <v>138</v>
      </c>
      <c r="CG1194" s="15" t="s">
        <v>138</v>
      </c>
      <c r="CH1194" s="15" t="s">
        <v>174</v>
      </c>
      <c r="CI1194" s="15" t="s">
        <v>138</v>
      </c>
      <c r="CJ1194" s="15" t="s">
        <v>138</v>
      </c>
      <c r="CK1194" s="15" t="s">
        <v>138</v>
      </c>
      <c r="CL1194" s="15" t="s">
        <v>175</v>
      </c>
      <c r="CM1194" s="22">
        <v>39965</v>
      </c>
      <c r="CN1194" s="17">
        <v>0.75</v>
      </c>
      <c r="CO1194" s="23">
        <v>-0.27</v>
      </c>
      <c r="CP1194" s="24">
        <v>19</v>
      </c>
      <c r="CQ1194" s="23">
        <v>-0.08</v>
      </c>
      <c r="CR1194" s="23">
        <v>-38.74</v>
      </c>
      <c r="CS1194" s="23">
        <v>-0.88</v>
      </c>
      <c r="CT1194" s="24">
        <v>16</v>
      </c>
      <c r="CU1194" s="23">
        <v>0.34</v>
      </c>
      <c r="CV1194" s="24">
        <v>89</v>
      </c>
      <c r="CW1194" s="23" t="s">
        <v>138</v>
      </c>
      <c r="CX1194" s="24" t="s">
        <v>138</v>
      </c>
      <c r="CY1194" s="23">
        <v>-0.88</v>
      </c>
      <c r="CZ1194" s="24">
        <v>20</v>
      </c>
      <c r="DA1194" s="23">
        <v>0.34</v>
      </c>
      <c r="DB1194" s="24">
        <v>90</v>
      </c>
      <c r="DC1194" s="25">
        <v>6.18</v>
      </c>
      <c r="DD1194" s="24">
        <v>85</v>
      </c>
      <c r="DE1194" s="25">
        <v>-0.03</v>
      </c>
      <c r="DF1194" s="23">
        <v>-0.5</v>
      </c>
      <c r="DG1194" s="25">
        <v>11.21</v>
      </c>
      <c r="DH1194" s="24">
        <v>91</v>
      </c>
      <c r="DI1194" s="25">
        <v>1.1599999999999999</v>
      </c>
      <c r="DJ1194" s="24">
        <v>52</v>
      </c>
      <c r="DK1194" s="25" t="s">
        <v>138</v>
      </c>
      <c r="DL1194" s="24" t="s">
        <v>138</v>
      </c>
      <c r="DM1194" s="25">
        <v>11.21</v>
      </c>
      <c r="DN1194" s="24">
        <v>90</v>
      </c>
      <c r="DO1194" s="25">
        <v>1.1599999999999999</v>
      </c>
      <c r="DP1194" s="24">
        <v>53</v>
      </c>
      <c r="DQ1194" s="24" t="s">
        <v>138</v>
      </c>
      <c r="DR1194" s="26" t="s">
        <v>138</v>
      </c>
      <c r="DS1194" s="23" t="s">
        <v>138</v>
      </c>
      <c r="DT1194" s="24">
        <v>325</v>
      </c>
      <c r="DU1194" s="26">
        <v>-4</v>
      </c>
      <c r="DV1194" s="23">
        <v>-1.22</v>
      </c>
      <c r="DW1194" s="24">
        <v>415</v>
      </c>
      <c r="DX1194" s="27">
        <v>0</v>
      </c>
      <c r="DY1194" s="23">
        <v>0</v>
      </c>
      <c r="DZ1194" s="15" t="s">
        <v>178</v>
      </c>
      <c r="EA1194" s="22">
        <v>43482</v>
      </c>
      <c r="EB1194" s="17" t="s">
        <v>138</v>
      </c>
      <c r="EC1194" s="22" t="s">
        <v>138</v>
      </c>
      <c r="ED1194" s="15" t="s">
        <v>138</v>
      </c>
      <c r="EE1194" s="14" t="str">
        <f>HYPERLINK("https://my.pitchbook.com?c=53847-37", "View company online")</f>
        <v>View company online</v>
      </c>
    </row>
    <row r="1195" spans="1:135">
      <c r="A1195" s="28" t="s">
        <v>23210</v>
      </c>
      <c r="B1195" s="28" t="s">
        <v>23211</v>
      </c>
      <c r="C1195" s="28" t="s">
        <v>138</v>
      </c>
      <c r="D1195" s="28" t="s">
        <v>138</v>
      </c>
      <c r="E1195" s="28" t="s">
        <v>138</v>
      </c>
      <c r="F1195" s="28" t="s">
        <v>23210</v>
      </c>
      <c r="G1195" s="28" t="s">
        <v>23212</v>
      </c>
      <c r="H1195" s="28" t="s">
        <v>238</v>
      </c>
      <c r="I1195" s="28" t="s">
        <v>749</v>
      </c>
      <c r="J1195" s="28" t="s">
        <v>2855</v>
      </c>
      <c r="K1195" s="28" t="s">
        <v>23213</v>
      </c>
      <c r="L1195" s="28" t="s">
        <v>23214</v>
      </c>
      <c r="M1195" s="28" t="s">
        <v>23215</v>
      </c>
      <c r="N1195" s="28" t="s">
        <v>1212</v>
      </c>
      <c r="O1195" s="29">
        <v>11.12</v>
      </c>
      <c r="P1195" s="28" t="s">
        <v>4007</v>
      </c>
      <c r="Q1195" s="28" t="s">
        <v>149</v>
      </c>
      <c r="R1195" s="28" t="s">
        <v>174</v>
      </c>
      <c r="S1195" s="28" t="s">
        <v>23216</v>
      </c>
      <c r="T1195" s="30">
        <v>11</v>
      </c>
      <c r="U1195" s="28" t="s">
        <v>14538</v>
      </c>
      <c r="V1195" s="28" t="s">
        <v>138</v>
      </c>
      <c r="W1195" s="28" t="s">
        <v>138</v>
      </c>
      <c r="X1195" s="31">
        <v>2016</v>
      </c>
      <c r="Y1195" s="28" t="s">
        <v>138</v>
      </c>
      <c r="Z1195" s="28" t="s">
        <v>138</v>
      </c>
      <c r="AA1195" s="28" t="s">
        <v>138</v>
      </c>
      <c r="AB1195" s="32" t="s">
        <v>138</v>
      </c>
      <c r="AC1195" s="32" t="s">
        <v>138</v>
      </c>
      <c r="AD1195" s="32" t="s">
        <v>138</v>
      </c>
      <c r="AE1195" s="32" t="s">
        <v>138</v>
      </c>
      <c r="AF1195" s="32" t="s">
        <v>138</v>
      </c>
      <c r="AG1195" s="28" t="s">
        <v>138</v>
      </c>
      <c r="AH1195" s="32" t="s">
        <v>138</v>
      </c>
      <c r="AI1195" s="32" t="s">
        <v>138</v>
      </c>
      <c r="AJ1195" s="32" t="s">
        <v>138</v>
      </c>
      <c r="AK1195" s="28" t="s">
        <v>23217</v>
      </c>
      <c r="AL1195" s="28" t="s">
        <v>23218</v>
      </c>
      <c r="AM1195" s="28" t="s">
        <v>916</v>
      </c>
      <c r="AN1195" s="28" t="s">
        <v>138</v>
      </c>
      <c r="AO1195" s="28" t="s">
        <v>138</v>
      </c>
      <c r="AP1195" s="28" t="s">
        <v>1870</v>
      </c>
      <c r="AQ1195" s="28" t="s">
        <v>23219</v>
      </c>
      <c r="AR1195" s="28" t="s">
        <v>23220</v>
      </c>
      <c r="AS1195" s="28" t="s">
        <v>1872</v>
      </c>
      <c r="AT1195" s="28" t="s">
        <v>200</v>
      </c>
      <c r="AU1195" s="28" t="s">
        <v>18351</v>
      </c>
      <c r="AV1195" s="28" t="s">
        <v>162</v>
      </c>
      <c r="AW1195" s="28" t="s">
        <v>138</v>
      </c>
      <c r="AX1195" s="28" t="s">
        <v>138</v>
      </c>
      <c r="AY1195" s="28" t="s">
        <v>23221</v>
      </c>
      <c r="AZ1195" s="28" t="s">
        <v>164</v>
      </c>
      <c r="BA1195" s="28" t="s">
        <v>165</v>
      </c>
      <c r="BB1195" s="28" t="s">
        <v>23222</v>
      </c>
      <c r="BC1195" s="28" t="s">
        <v>138</v>
      </c>
      <c r="BD1195" s="33" t="s">
        <v>138</v>
      </c>
      <c r="BE1195" s="28" t="s">
        <v>138</v>
      </c>
      <c r="BF1195" s="28" t="s">
        <v>23223</v>
      </c>
      <c r="BG1195" s="28" t="s">
        <v>138</v>
      </c>
      <c r="BH1195" s="28" t="s">
        <v>138</v>
      </c>
      <c r="BI1195" s="28" t="s">
        <v>23224</v>
      </c>
      <c r="BJ1195" s="28" t="s">
        <v>138</v>
      </c>
      <c r="BK1195" s="28" t="s">
        <v>138</v>
      </c>
      <c r="BL1195" s="28" t="s">
        <v>138</v>
      </c>
      <c r="BM1195" s="34">
        <v>42370</v>
      </c>
      <c r="BN1195" s="29">
        <v>0.12</v>
      </c>
      <c r="BO1195" s="28" t="s">
        <v>172</v>
      </c>
      <c r="BP1195" s="29">
        <v>1.71</v>
      </c>
      <c r="BQ1195" s="28" t="s">
        <v>172</v>
      </c>
      <c r="BR1195" s="28" t="s">
        <v>316</v>
      </c>
      <c r="BS1195" s="28" t="s">
        <v>138</v>
      </c>
      <c r="BT1195" s="28" t="s">
        <v>138</v>
      </c>
      <c r="BU1195" s="28" t="s">
        <v>177</v>
      </c>
      <c r="BV1195" s="28" t="s">
        <v>138</v>
      </c>
      <c r="BW1195" s="28" t="s">
        <v>138</v>
      </c>
      <c r="BX1195" s="28" t="s">
        <v>138</v>
      </c>
      <c r="BY1195" s="28" t="s">
        <v>175</v>
      </c>
      <c r="BZ1195" s="34">
        <v>43466</v>
      </c>
      <c r="CA1195" s="29" t="s">
        <v>138</v>
      </c>
      <c r="CB1195" s="28" t="s">
        <v>138</v>
      </c>
      <c r="CC1195" s="29" t="s">
        <v>138</v>
      </c>
      <c r="CD1195" s="28" t="s">
        <v>138</v>
      </c>
      <c r="CE1195" s="28" t="s">
        <v>4007</v>
      </c>
      <c r="CF1195" s="28" t="s">
        <v>138</v>
      </c>
      <c r="CG1195" s="28" t="s">
        <v>138</v>
      </c>
      <c r="CH1195" s="28" t="s">
        <v>4007</v>
      </c>
      <c r="CI1195" s="28" t="s">
        <v>138</v>
      </c>
      <c r="CJ1195" s="28" t="s">
        <v>138</v>
      </c>
      <c r="CK1195" s="28" t="s">
        <v>138</v>
      </c>
      <c r="CL1195" s="28" t="s">
        <v>175</v>
      </c>
      <c r="CM1195" s="34" t="s">
        <v>138</v>
      </c>
      <c r="CN1195" s="29" t="s">
        <v>138</v>
      </c>
      <c r="CO1195" s="35">
        <v>-0.55000000000000004</v>
      </c>
      <c r="CP1195" s="36">
        <v>15</v>
      </c>
      <c r="CQ1195" s="35">
        <v>-0.02</v>
      </c>
      <c r="CR1195" s="35">
        <v>-3.91</v>
      </c>
      <c r="CS1195" s="35">
        <v>-2.16</v>
      </c>
      <c r="CT1195" s="36">
        <v>8</v>
      </c>
      <c r="CU1195" s="35">
        <v>-0.03</v>
      </c>
      <c r="CV1195" s="36">
        <v>14</v>
      </c>
      <c r="CW1195" s="35">
        <v>-4.87</v>
      </c>
      <c r="CX1195" s="36">
        <v>3</v>
      </c>
      <c r="CY1195" s="35">
        <v>0.54</v>
      </c>
      <c r="CZ1195" s="36">
        <v>98</v>
      </c>
      <c r="DA1195" s="35">
        <v>-0.05</v>
      </c>
      <c r="DB1195" s="36">
        <v>13</v>
      </c>
      <c r="DC1195" s="37">
        <v>150.87</v>
      </c>
      <c r="DD1195" s="36">
        <v>99</v>
      </c>
      <c r="DE1195" s="37">
        <v>3.56</v>
      </c>
      <c r="DF1195" s="35">
        <v>2.42</v>
      </c>
      <c r="DG1195" s="37">
        <v>49.85</v>
      </c>
      <c r="DH1195" s="36">
        <v>98</v>
      </c>
      <c r="DI1195" s="37">
        <v>82.67</v>
      </c>
      <c r="DJ1195" s="36">
        <v>97</v>
      </c>
      <c r="DK1195" s="37">
        <v>93.63</v>
      </c>
      <c r="DL1195" s="36">
        <v>98</v>
      </c>
      <c r="DM1195" s="37">
        <v>6.07</v>
      </c>
      <c r="DN1195" s="36">
        <v>84</v>
      </c>
      <c r="DO1195" s="37">
        <v>15.34</v>
      </c>
      <c r="DP1195" s="36">
        <v>91</v>
      </c>
      <c r="DQ1195" s="36">
        <v>32750</v>
      </c>
      <c r="DR1195" s="38">
        <v>-1902</v>
      </c>
      <c r="DS1195" s="35">
        <v>-5.49</v>
      </c>
      <c r="DT1195" s="36">
        <v>176</v>
      </c>
      <c r="DU1195" s="38">
        <v>-2</v>
      </c>
      <c r="DV1195" s="35">
        <v>-1.1200000000000001</v>
      </c>
      <c r="DW1195" s="36">
        <v>5494</v>
      </c>
      <c r="DX1195" s="39">
        <v>-7</v>
      </c>
      <c r="DY1195" s="35">
        <v>-0.13</v>
      </c>
      <c r="DZ1195" s="28" t="s">
        <v>178</v>
      </c>
      <c r="EA1195" s="34">
        <v>43607</v>
      </c>
      <c r="EB1195" s="29" t="s">
        <v>138</v>
      </c>
      <c r="EC1195" s="34" t="s">
        <v>138</v>
      </c>
      <c r="ED1195" s="28" t="s">
        <v>138</v>
      </c>
      <c r="EE1195" s="40" t="str">
        <f>HYPERLINK("https://my.pitchbook.com?c=163407-79", "View company online")</f>
        <v>View company online</v>
      </c>
    </row>
    <row r="1196" spans="1:135">
      <c r="A1196" s="15" t="s">
        <v>23225</v>
      </c>
      <c r="B1196" s="15" t="s">
        <v>23226</v>
      </c>
      <c r="C1196" s="15" t="s">
        <v>138</v>
      </c>
      <c r="D1196" s="15" t="s">
        <v>138</v>
      </c>
      <c r="E1196" s="15" t="s">
        <v>138</v>
      </c>
      <c r="F1196" s="15" t="s">
        <v>23225</v>
      </c>
      <c r="G1196" s="15" t="s">
        <v>23227</v>
      </c>
      <c r="H1196" s="15" t="s">
        <v>141</v>
      </c>
      <c r="I1196" s="15" t="s">
        <v>212</v>
      </c>
      <c r="J1196" s="15" t="s">
        <v>213</v>
      </c>
      <c r="K1196" s="15" t="s">
        <v>3073</v>
      </c>
      <c r="L1196" s="15" t="s">
        <v>6111</v>
      </c>
      <c r="M1196" s="15" t="s">
        <v>23228</v>
      </c>
      <c r="N1196" s="15" t="s">
        <v>147</v>
      </c>
      <c r="O1196" s="17">
        <v>1.52</v>
      </c>
      <c r="P1196" s="15" t="s">
        <v>148</v>
      </c>
      <c r="Q1196" s="15" t="s">
        <v>149</v>
      </c>
      <c r="R1196" s="15" t="s">
        <v>174</v>
      </c>
      <c r="S1196" s="15" t="s">
        <v>23229</v>
      </c>
      <c r="T1196" s="18" t="s">
        <v>138</v>
      </c>
      <c r="U1196" s="15" t="s">
        <v>138</v>
      </c>
      <c r="V1196" s="15" t="s">
        <v>138</v>
      </c>
      <c r="W1196" s="15" t="s">
        <v>138</v>
      </c>
      <c r="X1196" s="19" t="s">
        <v>138</v>
      </c>
      <c r="Y1196" s="15" t="s">
        <v>138</v>
      </c>
      <c r="Z1196" s="15" t="s">
        <v>138</v>
      </c>
      <c r="AA1196" s="15" t="s">
        <v>138</v>
      </c>
      <c r="AB1196" s="20" t="s">
        <v>138</v>
      </c>
      <c r="AC1196" s="20" t="s">
        <v>138</v>
      </c>
      <c r="AD1196" s="20" t="s">
        <v>138</v>
      </c>
      <c r="AE1196" s="20" t="s">
        <v>138</v>
      </c>
      <c r="AF1196" s="20" t="s">
        <v>138</v>
      </c>
      <c r="AG1196" s="15" t="s">
        <v>138</v>
      </c>
      <c r="AH1196" s="20" t="s">
        <v>138</v>
      </c>
      <c r="AI1196" s="20" t="s">
        <v>138</v>
      </c>
      <c r="AJ1196" s="20" t="s">
        <v>138</v>
      </c>
      <c r="AK1196" s="15" t="s">
        <v>23230</v>
      </c>
      <c r="AL1196" s="15" t="s">
        <v>23231</v>
      </c>
      <c r="AM1196" s="15" t="s">
        <v>444</v>
      </c>
      <c r="AN1196" s="15" t="s">
        <v>23232</v>
      </c>
      <c r="AO1196" s="15" t="s">
        <v>23233</v>
      </c>
      <c r="AP1196" s="15" t="s">
        <v>446</v>
      </c>
      <c r="AQ1196" s="15" t="s">
        <v>23234</v>
      </c>
      <c r="AR1196" s="15" t="s">
        <v>23235</v>
      </c>
      <c r="AS1196" s="15" t="s">
        <v>449</v>
      </c>
      <c r="AT1196" s="15" t="s">
        <v>448</v>
      </c>
      <c r="AU1196" s="15" t="s">
        <v>138</v>
      </c>
      <c r="AV1196" s="15" t="s">
        <v>450</v>
      </c>
      <c r="AW1196" s="15" t="s">
        <v>23233</v>
      </c>
      <c r="AX1196" s="15" t="s">
        <v>138</v>
      </c>
      <c r="AY1196" s="15" t="s">
        <v>23236</v>
      </c>
      <c r="AZ1196" s="15" t="s">
        <v>452</v>
      </c>
      <c r="BA1196" s="15" t="s">
        <v>453</v>
      </c>
      <c r="BB1196" s="15" t="s">
        <v>23237</v>
      </c>
      <c r="BC1196" s="15" t="s">
        <v>23238</v>
      </c>
      <c r="BD1196" s="21">
        <v>3</v>
      </c>
      <c r="BE1196" s="15" t="s">
        <v>138</v>
      </c>
      <c r="BF1196" s="15" t="s">
        <v>138</v>
      </c>
      <c r="BG1196" s="15" t="s">
        <v>138</v>
      </c>
      <c r="BH1196" s="15" t="s">
        <v>23239</v>
      </c>
      <c r="BI1196" s="15" t="s">
        <v>138</v>
      </c>
      <c r="BJ1196" s="15" t="s">
        <v>138</v>
      </c>
      <c r="BK1196" s="15" t="s">
        <v>138</v>
      </c>
      <c r="BL1196" s="15" t="s">
        <v>138</v>
      </c>
      <c r="BM1196" s="22">
        <v>42370</v>
      </c>
      <c r="BN1196" s="17" t="s">
        <v>138</v>
      </c>
      <c r="BO1196" s="15" t="s">
        <v>138</v>
      </c>
      <c r="BP1196" s="17" t="s">
        <v>138</v>
      </c>
      <c r="BQ1196" s="15" t="s">
        <v>138</v>
      </c>
      <c r="BR1196" s="15" t="s">
        <v>234</v>
      </c>
      <c r="BS1196" s="15" t="s">
        <v>234</v>
      </c>
      <c r="BT1196" s="15" t="s">
        <v>138</v>
      </c>
      <c r="BU1196" s="15" t="s">
        <v>174</v>
      </c>
      <c r="BV1196" s="15" t="s">
        <v>138</v>
      </c>
      <c r="BW1196" s="15" t="s">
        <v>138</v>
      </c>
      <c r="BX1196" s="15" t="s">
        <v>138</v>
      </c>
      <c r="BY1196" s="15" t="s">
        <v>175</v>
      </c>
      <c r="BZ1196" s="22">
        <v>43282</v>
      </c>
      <c r="CA1196" s="17" t="s">
        <v>138</v>
      </c>
      <c r="CB1196" s="15" t="s">
        <v>138</v>
      </c>
      <c r="CC1196" s="17" t="s">
        <v>138</v>
      </c>
      <c r="CD1196" s="15" t="s">
        <v>138</v>
      </c>
      <c r="CE1196" s="15" t="s">
        <v>205</v>
      </c>
      <c r="CF1196" s="15" t="s">
        <v>138</v>
      </c>
      <c r="CG1196" s="15" t="s">
        <v>138</v>
      </c>
      <c r="CH1196" s="15" t="s">
        <v>174</v>
      </c>
      <c r="CI1196" s="15" t="s">
        <v>138</v>
      </c>
      <c r="CJ1196" s="15" t="s">
        <v>138</v>
      </c>
      <c r="CK1196" s="15" t="s">
        <v>138</v>
      </c>
      <c r="CL1196" s="15" t="s">
        <v>175</v>
      </c>
      <c r="CM1196" s="22" t="s">
        <v>138</v>
      </c>
      <c r="CN1196" s="17" t="s">
        <v>138</v>
      </c>
      <c r="CO1196" s="23">
        <v>0</v>
      </c>
      <c r="CP1196" s="24">
        <v>26</v>
      </c>
      <c r="CQ1196" s="23">
        <v>0</v>
      </c>
      <c r="CR1196" s="23">
        <v>0</v>
      </c>
      <c r="CS1196" s="23">
        <v>0</v>
      </c>
      <c r="CT1196" s="24">
        <v>23</v>
      </c>
      <c r="CU1196" s="23" t="s">
        <v>138</v>
      </c>
      <c r="CV1196" s="24" t="s">
        <v>138</v>
      </c>
      <c r="CW1196" s="23" t="s">
        <v>138</v>
      </c>
      <c r="CX1196" s="24" t="s">
        <v>138</v>
      </c>
      <c r="CY1196" s="23">
        <v>0</v>
      </c>
      <c r="CZ1196" s="24">
        <v>25</v>
      </c>
      <c r="DA1196" s="23" t="s">
        <v>138</v>
      </c>
      <c r="DB1196" s="24" t="s">
        <v>138</v>
      </c>
      <c r="DC1196" s="25">
        <v>0.52</v>
      </c>
      <c r="DD1196" s="24">
        <v>34</v>
      </c>
      <c r="DE1196" s="25">
        <v>7.0000000000000007E-2</v>
      </c>
      <c r="DF1196" s="23">
        <v>15.38</v>
      </c>
      <c r="DG1196" s="25">
        <v>0.52</v>
      </c>
      <c r="DH1196" s="24">
        <v>35</v>
      </c>
      <c r="DI1196" s="25" t="s">
        <v>138</v>
      </c>
      <c r="DJ1196" s="24" t="s">
        <v>138</v>
      </c>
      <c r="DK1196" s="25" t="s">
        <v>138</v>
      </c>
      <c r="DL1196" s="24" t="s">
        <v>138</v>
      </c>
      <c r="DM1196" s="25">
        <v>0.52</v>
      </c>
      <c r="DN1196" s="24">
        <v>35</v>
      </c>
      <c r="DO1196" s="25" t="s">
        <v>138</v>
      </c>
      <c r="DP1196" s="24" t="s">
        <v>138</v>
      </c>
      <c r="DQ1196" s="24" t="s">
        <v>138</v>
      </c>
      <c r="DR1196" s="26" t="s">
        <v>138</v>
      </c>
      <c r="DS1196" s="23" t="s">
        <v>138</v>
      </c>
      <c r="DT1196" s="24">
        <v>14</v>
      </c>
      <c r="DU1196" s="26">
        <v>1</v>
      </c>
      <c r="DV1196" s="23">
        <v>7.69</v>
      </c>
      <c r="DW1196" s="24" t="s">
        <v>138</v>
      </c>
      <c r="DX1196" s="27" t="s">
        <v>138</v>
      </c>
      <c r="DY1196" s="23" t="s">
        <v>138</v>
      </c>
      <c r="DZ1196" s="15" t="s">
        <v>178</v>
      </c>
      <c r="EA1196" s="22">
        <v>43351</v>
      </c>
      <c r="EB1196" s="17" t="s">
        <v>138</v>
      </c>
      <c r="EC1196" s="22" t="s">
        <v>138</v>
      </c>
      <c r="ED1196" s="15" t="s">
        <v>138</v>
      </c>
      <c r="EE1196" s="14" t="str">
        <f>HYPERLINK("https://my.pitchbook.com?c=231939-73", "View company online")</f>
        <v>View company online</v>
      </c>
    </row>
    <row r="1197" spans="1:135">
      <c r="A1197" s="28" t="s">
        <v>23240</v>
      </c>
      <c r="B1197" s="28" t="s">
        <v>23241</v>
      </c>
      <c r="C1197" s="28" t="s">
        <v>138</v>
      </c>
      <c r="D1197" s="28" t="s">
        <v>23242</v>
      </c>
      <c r="E1197" s="28" t="s">
        <v>23243</v>
      </c>
      <c r="F1197" s="28" t="s">
        <v>23240</v>
      </c>
      <c r="G1197" s="28" t="s">
        <v>23244</v>
      </c>
      <c r="H1197" s="28" t="s">
        <v>141</v>
      </c>
      <c r="I1197" s="28" t="s">
        <v>212</v>
      </c>
      <c r="J1197" s="28" t="s">
        <v>1257</v>
      </c>
      <c r="K1197" s="28" t="s">
        <v>23245</v>
      </c>
      <c r="L1197" s="28" t="s">
        <v>18889</v>
      </c>
      <c r="M1197" s="28" t="s">
        <v>23246</v>
      </c>
      <c r="N1197" s="28" t="s">
        <v>147</v>
      </c>
      <c r="O1197" s="29">
        <v>12.5</v>
      </c>
      <c r="P1197" s="28" t="s">
        <v>148</v>
      </c>
      <c r="Q1197" s="28" t="s">
        <v>149</v>
      </c>
      <c r="R1197" s="28" t="s">
        <v>174</v>
      </c>
      <c r="S1197" s="28" t="s">
        <v>23247</v>
      </c>
      <c r="T1197" s="30">
        <v>25</v>
      </c>
      <c r="U1197" s="28" t="s">
        <v>10122</v>
      </c>
      <c r="V1197" s="28" t="s">
        <v>138</v>
      </c>
      <c r="W1197" s="28" t="s">
        <v>138</v>
      </c>
      <c r="X1197" s="31">
        <v>2016</v>
      </c>
      <c r="Y1197" s="28" t="s">
        <v>138</v>
      </c>
      <c r="Z1197" s="28" t="s">
        <v>138</v>
      </c>
      <c r="AA1197" s="28" t="s">
        <v>138</v>
      </c>
      <c r="AB1197" s="32" t="s">
        <v>138</v>
      </c>
      <c r="AC1197" s="32" t="s">
        <v>138</v>
      </c>
      <c r="AD1197" s="32" t="s">
        <v>138</v>
      </c>
      <c r="AE1197" s="32" t="s">
        <v>138</v>
      </c>
      <c r="AF1197" s="32" t="s">
        <v>138</v>
      </c>
      <c r="AG1197" s="28" t="s">
        <v>419</v>
      </c>
      <c r="AH1197" s="32" t="s">
        <v>138</v>
      </c>
      <c r="AI1197" s="32" t="s">
        <v>138</v>
      </c>
      <c r="AJ1197" s="32" t="s">
        <v>138</v>
      </c>
      <c r="AK1197" s="28" t="s">
        <v>23248</v>
      </c>
      <c r="AL1197" s="28" t="s">
        <v>23249</v>
      </c>
      <c r="AM1197" s="28" t="s">
        <v>6137</v>
      </c>
      <c r="AN1197" s="28" t="s">
        <v>23250</v>
      </c>
      <c r="AO1197" s="28" t="s">
        <v>23251</v>
      </c>
      <c r="AP1197" s="28" t="s">
        <v>17664</v>
      </c>
      <c r="AQ1197" s="28" t="s">
        <v>23252</v>
      </c>
      <c r="AR1197" s="28" t="s">
        <v>226</v>
      </c>
      <c r="AS1197" s="28" t="s">
        <v>17667</v>
      </c>
      <c r="AT1197" s="28" t="s">
        <v>339</v>
      </c>
      <c r="AU1197" s="28" t="s">
        <v>19961</v>
      </c>
      <c r="AV1197" s="28" t="s">
        <v>162</v>
      </c>
      <c r="AW1197" s="28" t="s">
        <v>23251</v>
      </c>
      <c r="AX1197" s="28" t="s">
        <v>138</v>
      </c>
      <c r="AY1197" s="28" t="s">
        <v>23253</v>
      </c>
      <c r="AZ1197" s="28" t="s">
        <v>164</v>
      </c>
      <c r="BA1197" s="28" t="s">
        <v>165</v>
      </c>
      <c r="BB1197" s="28" t="s">
        <v>23254</v>
      </c>
      <c r="BC1197" s="28" t="s">
        <v>23255</v>
      </c>
      <c r="BD1197" s="33">
        <v>27</v>
      </c>
      <c r="BE1197" s="28" t="s">
        <v>138</v>
      </c>
      <c r="BF1197" s="28" t="s">
        <v>138</v>
      </c>
      <c r="BG1197" s="28" t="s">
        <v>138</v>
      </c>
      <c r="BH1197" s="28" t="s">
        <v>23256</v>
      </c>
      <c r="BI1197" s="28" t="s">
        <v>138</v>
      </c>
      <c r="BJ1197" s="28" t="s">
        <v>138</v>
      </c>
      <c r="BK1197" s="28" t="s">
        <v>138</v>
      </c>
      <c r="BL1197" s="28" t="s">
        <v>1275</v>
      </c>
      <c r="BM1197" s="34">
        <v>43271</v>
      </c>
      <c r="BN1197" s="29">
        <v>4.5</v>
      </c>
      <c r="BO1197" s="28" t="s">
        <v>172</v>
      </c>
      <c r="BP1197" s="29">
        <v>10</v>
      </c>
      <c r="BQ1197" s="28" t="s">
        <v>172</v>
      </c>
      <c r="BR1197" s="28" t="s">
        <v>234</v>
      </c>
      <c r="BS1197" s="28" t="s">
        <v>234</v>
      </c>
      <c r="BT1197" s="28" t="s">
        <v>138</v>
      </c>
      <c r="BU1197" s="28" t="s">
        <v>174</v>
      </c>
      <c r="BV1197" s="28" t="s">
        <v>138</v>
      </c>
      <c r="BW1197" s="28" t="s">
        <v>138</v>
      </c>
      <c r="BX1197" s="28" t="s">
        <v>138</v>
      </c>
      <c r="BY1197" s="28" t="s">
        <v>175</v>
      </c>
      <c r="BZ1197" s="34">
        <v>43543</v>
      </c>
      <c r="CA1197" s="29">
        <v>8</v>
      </c>
      <c r="CB1197" s="28" t="s">
        <v>172</v>
      </c>
      <c r="CC1197" s="29">
        <v>27</v>
      </c>
      <c r="CD1197" s="28" t="s">
        <v>172</v>
      </c>
      <c r="CE1197" s="28" t="s">
        <v>205</v>
      </c>
      <c r="CF1197" s="28" t="s">
        <v>206</v>
      </c>
      <c r="CG1197" s="28" t="s">
        <v>138</v>
      </c>
      <c r="CH1197" s="28" t="s">
        <v>174</v>
      </c>
      <c r="CI1197" s="28" t="s">
        <v>138</v>
      </c>
      <c r="CJ1197" s="28" t="s">
        <v>138</v>
      </c>
      <c r="CK1197" s="28" t="s">
        <v>138</v>
      </c>
      <c r="CL1197" s="28" t="s">
        <v>175</v>
      </c>
      <c r="CM1197" s="34" t="s">
        <v>138</v>
      </c>
      <c r="CN1197" s="29" t="s">
        <v>138</v>
      </c>
      <c r="CO1197" s="35">
        <v>2.0299999999999998</v>
      </c>
      <c r="CP1197" s="36">
        <v>99</v>
      </c>
      <c r="CQ1197" s="35">
        <v>0</v>
      </c>
      <c r="CR1197" s="35">
        <v>0.19</v>
      </c>
      <c r="CS1197" s="35">
        <v>4.09</v>
      </c>
      <c r="CT1197" s="36">
        <v>100</v>
      </c>
      <c r="CU1197" s="35">
        <v>-0.03</v>
      </c>
      <c r="CV1197" s="36">
        <v>14</v>
      </c>
      <c r="CW1197" s="35">
        <v>8.17</v>
      </c>
      <c r="CX1197" s="36">
        <v>99</v>
      </c>
      <c r="CY1197" s="35">
        <v>0</v>
      </c>
      <c r="CZ1197" s="36">
        <v>25</v>
      </c>
      <c r="DA1197" s="35">
        <v>-0.1</v>
      </c>
      <c r="DB1197" s="36">
        <v>6</v>
      </c>
      <c r="DC1197" s="37">
        <v>16.440000000000001</v>
      </c>
      <c r="DD1197" s="36">
        <v>94</v>
      </c>
      <c r="DE1197" s="37">
        <v>-0.14000000000000001</v>
      </c>
      <c r="DF1197" s="35">
        <v>-0.82</v>
      </c>
      <c r="DG1197" s="37">
        <v>3.84</v>
      </c>
      <c r="DH1197" s="36">
        <v>79</v>
      </c>
      <c r="DI1197" s="37">
        <v>29.05</v>
      </c>
      <c r="DJ1197" s="36">
        <v>93</v>
      </c>
      <c r="DK1197" s="37">
        <v>6.36</v>
      </c>
      <c r="DL1197" s="36">
        <v>82</v>
      </c>
      <c r="DM1197" s="37">
        <v>1.31</v>
      </c>
      <c r="DN1197" s="36">
        <v>56</v>
      </c>
      <c r="DO1197" s="37">
        <v>52.11</v>
      </c>
      <c r="DP1197" s="36">
        <v>97</v>
      </c>
      <c r="DQ1197" s="36">
        <v>2084</v>
      </c>
      <c r="DR1197" s="38">
        <v>295</v>
      </c>
      <c r="DS1197" s="35">
        <v>16.489999999999998</v>
      </c>
      <c r="DT1197" s="36">
        <v>37</v>
      </c>
      <c r="DU1197" s="38">
        <v>0</v>
      </c>
      <c r="DV1197" s="35">
        <v>0</v>
      </c>
      <c r="DW1197" s="36">
        <v>18660</v>
      </c>
      <c r="DX1197" s="39">
        <v>-13</v>
      </c>
      <c r="DY1197" s="35">
        <v>-7.0000000000000007E-2</v>
      </c>
      <c r="DZ1197" s="28" t="s">
        <v>178</v>
      </c>
      <c r="EA1197" s="34">
        <v>43599</v>
      </c>
      <c r="EB1197" s="29">
        <v>27</v>
      </c>
      <c r="EC1197" s="34">
        <v>43543</v>
      </c>
      <c r="ED1197" s="28" t="s">
        <v>205</v>
      </c>
      <c r="EE1197" s="40" t="str">
        <f>HYPERLINK("https://my.pitchbook.com?c=167814-37", "View company online")</f>
        <v>View company online</v>
      </c>
    </row>
    <row r="1198" spans="1:135">
      <c r="A1198" s="15" t="s">
        <v>23257</v>
      </c>
      <c r="B1198" s="15" t="s">
        <v>23258</v>
      </c>
      <c r="C1198" s="15" t="s">
        <v>138</v>
      </c>
      <c r="D1198" s="15" t="s">
        <v>23259</v>
      </c>
      <c r="E1198" s="15" t="s">
        <v>138</v>
      </c>
      <c r="F1198" s="15" t="s">
        <v>23257</v>
      </c>
      <c r="G1198" s="15" t="s">
        <v>23260</v>
      </c>
      <c r="H1198" s="15" t="s">
        <v>141</v>
      </c>
      <c r="I1198" s="15" t="s">
        <v>142</v>
      </c>
      <c r="J1198" s="15" t="s">
        <v>1924</v>
      </c>
      <c r="K1198" s="15" t="s">
        <v>23261</v>
      </c>
      <c r="L1198" s="15" t="s">
        <v>272</v>
      </c>
      <c r="M1198" s="15" t="s">
        <v>23262</v>
      </c>
      <c r="N1198" s="15" t="s">
        <v>147</v>
      </c>
      <c r="O1198" s="17" t="s">
        <v>138</v>
      </c>
      <c r="P1198" s="15" t="s">
        <v>148</v>
      </c>
      <c r="Q1198" s="15" t="s">
        <v>149</v>
      </c>
      <c r="R1198" s="15" t="s">
        <v>174</v>
      </c>
      <c r="S1198" s="15" t="s">
        <v>23263</v>
      </c>
      <c r="T1198" s="18" t="s">
        <v>138</v>
      </c>
      <c r="U1198" s="15" t="s">
        <v>138</v>
      </c>
      <c r="V1198" s="15" t="s">
        <v>138</v>
      </c>
      <c r="W1198" s="15" t="s">
        <v>138</v>
      </c>
      <c r="X1198" s="19">
        <v>2001</v>
      </c>
      <c r="Y1198" s="15" t="s">
        <v>138</v>
      </c>
      <c r="Z1198" s="15" t="s">
        <v>138</v>
      </c>
      <c r="AA1198" s="15" t="s">
        <v>138</v>
      </c>
      <c r="AB1198" s="20" t="s">
        <v>138</v>
      </c>
      <c r="AC1198" s="20" t="s">
        <v>138</v>
      </c>
      <c r="AD1198" s="20" t="s">
        <v>138</v>
      </c>
      <c r="AE1198" s="20" t="s">
        <v>138</v>
      </c>
      <c r="AF1198" s="20" t="s">
        <v>138</v>
      </c>
      <c r="AG1198" s="15" t="s">
        <v>138</v>
      </c>
      <c r="AH1198" s="20" t="s">
        <v>138</v>
      </c>
      <c r="AI1198" s="20" t="s">
        <v>138</v>
      </c>
      <c r="AJ1198" s="20" t="s">
        <v>138</v>
      </c>
      <c r="AK1198" s="15" t="s">
        <v>23264</v>
      </c>
      <c r="AL1198" s="15" t="s">
        <v>23265</v>
      </c>
      <c r="AM1198" s="15" t="s">
        <v>154</v>
      </c>
      <c r="AN1198" s="15" t="s">
        <v>138</v>
      </c>
      <c r="AO1198" s="15" t="s">
        <v>23266</v>
      </c>
      <c r="AP1198" s="15" t="s">
        <v>23267</v>
      </c>
      <c r="AQ1198" s="15" t="s">
        <v>23268</v>
      </c>
      <c r="AR1198" s="15" t="s">
        <v>23269</v>
      </c>
      <c r="AS1198" s="15" t="s">
        <v>23270</v>
      </c>
      <c r="AT1198" s="15" t="s">
        <v>138</v>
      </c>
      <c r="AU1198" s="15" t="s">
        <v>23271</v>
      </c>
      <c r="AV1198" s="15" t="s">
        <v>450</v>
      </c>
      <c r="AW1198" s="15" t="s">
        <v>23266</v>
      </c>
      <c r="AX1198" s="15" t="s">
        <v>23272</v>
      </c>
      <c r="AY1198" s="15" t="s">
        <v>23273</v>
      </c>
      <c r="AZ1198" s="15" t="s">
        <v>452</v>
      </c>
      <c r="BA1198" s="15" t="s">
        <v>453</v>
      </c>
      <c r="BB1198" s="15" t="s">
        <v>23274</v>
      </c>
      <c r="BC1198" s="15" t="s">
        <v>23275</v>
      </c>
      <c r="BD1198" s="21">
        <v>4</v>
      </c>
      <c r="BE1198" s="15" t="s">
        <v>138</v>
      </c>
      <c r="BF1198" s="15" t="s">
        <v>138</v>
      </c>
      <c r="BG1198" s="15" t="s">
        <v>138</v>
      </c>
      <c r="BH1198" s="15" t="s">
        <v>23276</v>
      </c>
      <c r="BI1198" s="15" t="s">
        <v>138</v>
      </c>
      <c r="BJ1198" s="15" t="s">
        <v>138</v>
      </c>
      <c r="BK1198" s="15" t="s">
        <v>138</v>
      </c>
      <c r="BL1198" s="15" t="s">
        <v>138</v>
      </c>
      <c r="BM1198" s="22">
        <v>39427</v>
      </c>
      <c r="BN1198" s="17" t="s">
        <v>138</v>
      </c>
      <c r="BO1198" s="15" t="s">
        <v>138</v>
      </c>
      <c r="BP1198" s="17" t="s">
        <v>138</v>
      </c>
      <c r="BQ1198" s="15" t="s">
        <v>138</v>
      </c>
      <c r="BR1198" s="15" t="s">
        <v>205</v>
      </c>
      <c r="BS1198" s="15" t="s">
        <v>138</v>
      </c>
      <c r="BT1198" s="15" t="s">
        <v>138</v>
      </c>
      <c r="BU1198" s="15" t="s">
        <v>174</v>
      </c>
      <c r="BV1198" s="15" t="s">
        <v>138</v>
      </c>
      <c r="BW1198" s="15" t="s">
        <v>138</v>
      </c>
      <c r="BX1198" s="15" t="s">
        <v>138</v>
      </c>
      <c r="BY1198" s="15" t="s">
        <v>175</v>
      </c>
      <c r="BZ1198" s="22">
        <v>39427</v>
      </c>
      <c r="CA1198" s="17" t="s">
        <v>138</v>
      </c>
      <c r="CB1198" s="15" t="s">
        <v>138</v>
      </c>
      <c r="CC1198" s="17" t="s">
        <v>138</v>
      </c>
      <c r="CD1198" s="15" t="s">
        <v>138</v>
      </c>
      <c r="CE1198" s="15" t="s">
        <v>205</v>
      </c>
      <c r="CF1198" s="15" t="s">
        <v>138</v>
      </c>
      <c r="CG1198" s="15" t="s">
        <v>138</v>
      </c>
      <c r="CH1198" s="15" t="s">
        <v>174</v>
      </c>
      <c r="CI1198" s="15" t="s">
        <v>138</v>
      </c>
      <c r="CJ1198" s="15" t="s">
        <v>138</v>
      </c>
      <c r="CK1198" s="15" t="s">
        <v>138</v>
      </c>
      <c r="CL1198" s="15" t="s">
        <v>175</v>
      </c>
      <c r="CM1198" s="22" t="s">
        <v>138</v>
      </c>
      <c r="CN1198" s="17" t="s">
        <v>138</v>
      </c>
      <c r="CO1198" s="23">
        <v>-1.1599999999999999</v>
      </c>
      <c r="CP1198" s="24">
        <v>10</v>
      </c>
      <c r="CQ1198" s="23">
        <v>0.11</v>
      </c>
      <c r="CR1198" s="23">
        <v>8.85</v>
      </c>
      <c r="CS1198" s="23">
        <v>-1.1599999999999999</v>
      </c>
      <c r="CT1198" s="24">
        <v>14</v>
      </c>
      <c r="CU1198" s="23" t="s">
        <v>138</v>
      </c>
      <c r="CV1198" s="24" t="s">
        <v>138</v>
      </c>
      <c r="CW1198" s="23" t="s">
        <v>138</v>
      </c>
      <c r="CX1198" s="24" t="s">
        <v>138</v>
      </c>
      <c r="CY1198" s="23">
        <v>-1.1599999999999999</v>
      </c>
      <c r="CZ1198" s="24">
        <v>18</v>
      </c>
      <c r="DA1198" s="23" t="s">
        <v>138</v>
      </c>
      <c r="DB1198" s="24" t="s">
        <v>138</v>
      </c>
      <c r="DC1198" s="25">
        <v>2.79</v>
      </c>
      <c r="DD1198" s="24">
        <v>74</v>
      </c>
      <c r="DE1198" s="25">
        <v>0</v>
      </c>
      <c r="DF1198" s="23">
        <v>0</v>
      </c>
      <c r="DG1198" s="25">
        <v>2.79</v>
      </c>
      <c r="DH1198" s="24">
        <v>73</v>
      </c>
      <c r="DI1198" s="25" t="s">
        <v>138</v>
      </c>
      <c r="DJ1198" s="24" t="s">
        <v>138</v>
      </c>
      <c r="DK1198" s="25" t="s">
        <v>138</v>
      </c>
      <c r="DL1198" s="24" t="s">
        <v>138</v>
      </c>
      <c r="DM1198" s="25">
        <v>2.79</v>
      </c>
      <c r="DN1198" s="24">
        <v>72</v>
      </c>
      <c r="DO1198" s="25" t="s">
        <v>138</v>
      </c>
      <c r="DP1198" s="24" t="s">
        <v>138</v>
      </c>
      <c r="DQ1198" s="24" t="s">
        <v>138</v>
      </c>
      <c r="DR1198" s="26" t="s">
        <v>138</v>
      </c>
      <c r="DS1198" s="23" t="s">
        <v>138</v>
      </c>
      <c r="DT1198" s="24">
        <v>81</v>
      </c>
      <c r="DU1198" s="26">
        <v>-1</v>
      </c>
      <c r="DV1198" s="23">
        <v>-1.22</v>
      </c>
      <c r="DW1198" s="24" t="s">
        <v>138</v>
      </c>
      <c r="DX1198" s="27" t="s">
        <v>138</v>
      </c>
      <c r="DY1198" s="23" t="s">
        <v>138</v>
      </c>
      <c r="DZ1198" s="15" t="s">
        <v>178</v>
      </c>
      <c r="EA1198" s="22">
        <v>43368</v>
      </c>
      <c r="EB1198" s="17" t="s">
        <v>138</v>
      </c>
      <c r="EC1198" s="22" t="s">
        <v>138</v>
      </c>
      <c r="ED1198" s="15" t="s">
        <v>138</v>
      </c>
      <c r="EE1198" s="14" t="str">
        <f>HYPERLINK("https://my.pitchbook.com?c=111568-06", "View company online")</f>
        <v>View company online</v>
      </c>
    </row>
    <row r="1199" spans="1:135">
      <c r="A1199" s="28" t="s">
        <v>23277</v>
      </c>
      <c r="B1199" s="28" t="s">
        <v>23278</v>
      </c>
      <c r="C1199" s="28" t="s">
        <v>138</v>
      </c>
      <c r="D1199" s="28" t="s">
        <v>138</v>
      </c>
      <c r="E1199" s="28" t="s">
        <v>23279</v>
      </c>
      <c r="F1199" s="28" t="s">
        <v>23277</v>
      </c>
      <c r="G1199" s="28" t="s">
        <v>23280</v>
      </c>
      <c r="H1199" s="28" t="s">
        <v>238</v>
      </c>
      <c r="I1199" s="28" t="s">
        <v>1351</v>
      </c>
      <c r="J1199" s="28" t="s">
        <v>1352</v>
      </c>
      <c r="K1199" s="28" t="s">
        <v>11328</v>
      </c>
      <c r="L1199" s="28" t="s">
        <v>1428</v>
      </c>
      <c r="M1199" s="28" t="s">
        <v>23281</v>
      </c>
      <c r="N1199" s="28" t="s">
        <v>147</v>
      </c>
      <c r="O1199" s="29">
        <v>9.18</v>
      </c>
      <c r="P1199" s="28" t="s">
        <v>148</v>
      </c>
      <c r="Q1199" s="28" t="s">
        <v>149</v>
      </c>
      <c r="R1199" s="28" t="s">
        <v>150</v>
      </c>
      <c r="S1199" s="28" t="s">
        <v>23282</v>
      </c>
      <c r="T1199" s="30">
        <v>12</v>
      </c>
      <c r="U1199" s="28" t="s">
        <v>4523</v>
      </c>
      <c r="V1199" s="28" t="s">
        <v>138</v>
      </c>
      <c r="W1199" s="28" t="s">
        <v>138</v>
      </c>
      <c r="X1199" s="31">
        <v>2010</v>
      </c>
      <c r="Y1199" s="28" t="s">
        <v>138</v>
      </c>
      <c r="Z1199" s="28" t="s">
        <v>138</v>
      </c>
      <c r="AA1199" s="28" t="s">
        <v>138</v>
      </c>
      <c r="AB1199" s="32" t="s">
        <v>138</v>
      </c>
      <c r="AC1199" s="32" t="s">
        <v>138</v>
      </c>
      <c r="AD1199" s="32" t="s">
        <v>138</v>
      </c>
      <c r="AE1199" s="32" t="s">
        <v>138</v>
      </c>
      <c r="AF1199" s="32" t="s">
        <v>138</v>
      </c>
      <c r="AG1199" s="28" t="s">
        <v>138</v>
      </c>
      <c r="AH1199" s="32" t="s">
        <v>138</v>
      </c>
      <c r="AI1199" s="32" t="s">
        <v>138</v>
      </c>
      <c r="AJ1199" s="32" t="s">
        <v>138</v>
      </c>
      <c r="AK1199" s="28" t="s">
        <v>23283</v>
      </c>
      <c r="AL1199" s="28" t="s">
        <v>23284</v>
      </c>
      <c r="AM1199" s="28" t="s">
        <v>938</v>
      </c>
      <c r="AN1199" s="28" t="s">
        <v>23285</v>
      </c>
      <c r="AO1199" s="28" t="s">
        <v>23286</v>
      </c>
      <c r="AP1199" s="28" t="s">
        <v>14171</v>
      </c>
      <c r="AQ1199" s="28" t="s">
        <v>23287</v>
      </c>
      <c r="AR1199" s="28" t="s">
        <v>138</v>
      </c>
      <c r="AS1199" s="28" t="s">
        <v>14173</v>
      </c>
      <c r="AT1199" s="28" t="s">
        <v>138</v>
      </c>
      <c r="AU1199" s="28" t="s">
        <v>23288</v>
      </c>
      <c r="AV1199" s="28" t="s">
        <v>740</v>
      </c>
      <c r="AW1199" s="28" t="s">
        <v>23286</v>
      </c>
      <c r="AX1199" s="28" t="s">
        <v>138</v>
      </c>
      <c r="AY1199" s="28" t="s">
        <v>23289</v>
      </c>
      <c r="AZ1199" s="28" t="s">
        <v>742</v>
      </c>
      <c r="BA1199" s="28" t="s">
        <v>742</v>
      </c>
      <c r="BB1199" s="28" t="s">
        <v>23290</v>
      </c>
      <c r="BC1199" s="28" t="s">
        <v>23291</v>
      </c>
      <c r="BD1199" s="33">
        <v>8</v>
      </c>
      <c r="BE1199" s="28" t="s">
        <v>138</v>
      </c>
      <c r="BF1199" s="28" t="s">
        <v>138</v>
      </c>
      <c r="BG1199" s="28" t="s">
        <v>23292</v>
      </c>
      <c r="BH1199" s="28" t="s">
        <v>23293</v>
      </c>
      <c r="BI1199" s="28" t="s">
        <v>138</v>
      </c>
      <c r="BJ1199" s="28" t="s">
        <v>138</v>
      </c>
      <c r="BK1199" s="28" t="s">
        <v>138</v>
      </c>
      <c r="BL1199" s="28" t="s">
        <v>138</v>
      </c>
      <c r="BM1199" s="34" t="s">
        <v>138</v>
      </c>
      <c r="BN1199" s="29">
        <v>5</v>
      </c>
      <c r="BO1199" s="28" t="s">
        <v>172</v>
      </c>
      <c r="BP1199" s="29" t="s">
        <v>138</v>
      </c>
      <c r="BQ1199" s="28" t="s">
        <v>138</v>
      </c>
      <c r="BR1199" s="28" t="s">
        <v>234</v>
      </c>
      <c r="BS1199" s="28" t="s">
        <v>234</v>
      </c>
      <c r="BT1199" s="28" t="s">
        <v>138</v>
      </c>
      <c r="BU1199" s="28" t="s">
        <v>263</v>
      </c>
      <c r="BV1199" s="28" t="s">
        <v>138</v>
      </c>
      <c r="BW1199" s="28" t="s">
        <v>138</v>
      </c>
      <c r="BX1199" s="28" t="s">
        <v>138</v>
      </c>
      <c r="BY1199" s="28" t="s">
        <v>175</v>
      </c>
      <c r="BZ1199" s="34">
        <v>43238</v>
      </c>
      <c r="CA1199" s="29">
        <v>3.25</v>
      </c>
      <c r="CB1199" s="28" t="s">
        <v>172</v>
      </c>
      <c r="CC1199" s="29">
        <v>27.99</v>
      </c>
      <c r="CD1199" s="28" t="s">
        <v>172</v>
      </c>
      <c r="CE1199" s="28" t="s">
        <v>173</v>
      </c>
      <c r="CF1199" s="28" t="s">
        <v>138</v>
      </c>
      <c r="CG1199" s="28" t="s">
        <v>138</v>
      </c>
      <c r="CH1199" s="28" t="s">
        <v>174</v>
      </c>
      <c r="CI1199" s="28" t="s">
        <v>138</v>
      </c>
      <c r="CJ1199" s="28" t="s">
        <v>138</v>
      </c>
      <c r="CK1199" s="28" t="s">
        <v>138</v>
      </c>
      <c r="CL1199" s="28" t="s">
        <v>175</v>
      </c>
      <c r="CM1199" s="34" t="s">
        <v>138</v>
      </c>
      <c r="CN1199" s="29" t="s">
        <v>138</v>
      </c>
      <c r="CO1199" s="35">
        <v>0.28000000000000003</v>
      </c>
      <c r="CP1199" s="36">
        <v>93</v>
      </c>
      <c r="CQ1199" s="35">
        <v>0</v>
      </c>
      <c r="CR1199" s="35">
        <v>0.19</v>
      </c>
      <c r="CS1199" s="35">
        <v>0.14000000000000001</v>
      </c>
      <c r="CT1199" s="36">
        <v>94</v>
      </c>
      <c r="CU1199" s="35">
        <v>0.43</v>
      </c>
      <c r="CV1199" s="36">
        <v>92</v>
      </c>
      <c r="CW1199" s="35">
        <v>0.35</v>
      </c>
      <c r="CX1199" s="36">
        <v>82</v>
      </c>
      <c r="CY1199" s="35">
        <v>-7.0000000000000007E-2</v>
      </c>
      <c r="CZ1199" s="36">
        <v>24</v>
      </c>
      <c r="DA1199" s="35">
        <v>0.28000000000000003</v>
      </c>
      <c r="DB1199" s="36">
        <v>88</v>
      </c>
      <c r="DC1199" s="37">
        <v>3.79</v>
      </c>
      <c r="DD1199" s="36">
        <v>79</v>
      </c>
      <c r="DE1199" s="37">
        <v>-0.1</v>
      </c>
      <c r="DF1199" s="35">
        <v>-2.54</v>
      </c>
      <c r="DG1199" s="37">
        <v>6.48</v>
      </c>
      <c r="DH1199" s="36">
        <v>85</v>
      </c>
      <c r="DI1199" s="37">
        <v>1.0900000000000001</v>
      </c>
      <c r="DJ1199" s="36">
        <v>51</v>
      </c>
      <c r="DK1199" s="37">
        <v>3.1</v>
      </c>
      <c r="DL1199" s="36">
        <v>72</v>
      </c>
      <c r="DM1199" s="37">
        <v>9.86</v>
      </c>
      <c r="DN1199" s="36">
        <v>88</v>
      </c>
      <c r="DO1199" s="37">
        <v>1.67</v>
      </c>
      <c r="DP1199" s="36">
        <v>60</v>
      </c>
      <c r="DQ1199" s="36">
        <v>1024</v>
      </c>
      <c r="DR1199" s="38">
        <v>121</v>
      </c>
      <c r="DS1199" s="35">
        <v>13.4</v>
      </c>
      <c r="DT1199" s="36">
        <v>286</v>
      </c>
      <c r="DU1199" s="38">
        <v>2</v>
      </c>
      <c r="DV1199" s="35">
        <v>0.7</v>
      </c>
      <c r="DW1199" s="36">
        <v>598</v>
      </c>
      <c r="DX1199" s="39">
        <v>-1</v>
      </c>
      <c r="DY1199" s="35">
        <v>-0.17</v>
      </c>
      <c r="DZ1199" s="28" t="s">
        <v>178</v>
      </c>
      <c r="EA1199" s="34">
        <v>43514</v>
      </c>
      <c r="EB1199" s="29">
        <v>27.99</v>
      </c>
      <c r="EC1199" s="34">
        <v>43238</v>
      </c>
      <c r="ED1199" s="28" t="s">
        <v>173</v>
      </c>
      <c r="EE1199" s="40" t="str">
        <f>HYPERLINK("https://my.pitchbook.com?c=96191-74", "View company online")</f>
        <v>View company online</v>
      </c>
    </row>
    <row r="1200" spans="1:135">
      <c r="A1200" s="15" t="s">
        <v>23294</v>
      </c>
      <c r="B1200" s="15" t="s">
        <v>23295</v>
      </c>
      <c r="C1200" s="15" t="s">
        <v>138</v>
      </c>
      <c r="D1200" s="15" t="s">
        <v>138</v>
      </c>
      <c r="E1200" s="15" t="s">
        <v>23296</v>
      </c>
      <c r="F1200" s="15" t="s">
        <v>23294</v>
      </c>
      <c r="G1200" s="15" t="s">
        <v>23297</v>
      </c>
      <c r="H1200" s="15" t="s">
        <v>322</v>
      </c>
      <c r="I1200" s="15" t="s">
        <v>323</v>
      </c>
      <c r="J1200" s="15" t="s">
        <v>324</v>
      </c>
      <c r="K1200" s="15" t="s">
        <v>23298</v>
      </c>
      <c r="L1200" s="15" t="s">
        <v>23299</v>
      </c>
      <c r="M1200" s="15" t="s">
        <v>23300</v>
      </c>
      <c r="N1200" s="15" t="s">
        <v>147</v>
      </c>
      <c r="O1200" s="17">
        <v>55.73</v>
      </c>
      <c r="P1200" s="15" t="s">
        <v>148</v>
      </c>
      <c r="Q1200" s="15" t="s">
        <v>149</v>
      </c>
      <c r="R1200" s="15" t="s">
        <v>174</v>
      </c>
      <c r="S1200" s="15" t="s">
        <v>23301</v>
      </c>
      <c r="T1200" s="18">
        <v>65</v>
      </c>
      <c r="U1200" s="15" t="s">
        <v>23302</v>
      </c>
      <c r="V1200" s="15" t="s">
        <v>138</v>
      </c>
      <c r="W1200" s="15" t="s">
        <v>138</v>
      </c>
      <c r="X1200" s="19">
        <v>2015</v>
      </c>
      <c r="Y1200" s="15" t="s">
        <v>138</v>
      </c>
      <c r="Z1200" s="15" t="s">
        <v>138</v>
      </c>
      <c r="AA1200" s="15" t="s">
        <v>138</v>
      </c>
      <c r="AB1200" s="20" t="s">
        <v>138</v>
      </c>
      <c r="AC1200" s="20" t="s">
        <v>138</v>
      </c>
      <c r="AD1200" s="20" t="s">
        <v>138</v>
      </c>
      <c r="AE1200" s="20" t="s">
        <v>138</v>
      </c>
      <c r="AF1200" s="20" t="s">
        <v>138</v>
      </c>
      <c r="AG1200" s="15" t="s">
        <v>138</v>
      </c>
      <c r="AH1200" s="20" t="s">
        <v>138</v>
      </c>
      <c r="AI1200" s="20" t="s">
        <v>138</v>
      </c>
      <c r="AJ1200" s="20" t="s">
        <v>138</v>
      </c>
      <c r="AK1200" s="15" t="s">
        <v>23303</v>
      </c>
      <c r="AL1200" s="15" t="s">
        <v>23304</v>
      </c>
      <c r="AM1200" s="15" t="s">
        <v>7338</v>
      </c>
      <c r="AN1200" s="15" t="s">
        <v>23305</v>
      </c>
      <c r="AO1200" s="15" t="s">
        <v>23306</v>
      </c>
      <c r="AP1200" s="15" t="s">
        <v>3817</v>
      </c>
      <c r="AQ1200" s="15" t="s">
        <v>23307</v>
      </c>
      <c r="AR1200" s="15" t="s">
        <v>138</v>
      </c>
      <c r="AS1200" s="15" t="s">
        <v>3820</v>
      </c>
      <c r="AT1200" s="15" t="s">
        <v>864</v>
      </c>
      <c r="AU1200" s="15" t="s">
        <v>23308</v>
      </c>
      <c r="AV1200" s="15" t="s">
        <v>162</v>
      </c>
      <c r="AW1200" s="15" t="s">
        <v>23306</v>
      </c>
      <c r="AX1200" s="15" t="s">
        <v>138</v>
      </c>
      <c r="AY1200" s="15" t="s">
        <v>23309</v>
      </c>
      <c r="AZ1200" s="15" t="s">
        <v>164</v>
      </c>
      <c r="BA1200" s="15" t="s">
        <v>165</v>
      </c>
      <c r="BB1200" s="15" t="s">
        <v>23310</v>
      </c>
      <c r="BC1200" s="15" t="s">
        <v>23311</v>
      </c>
      <c r="BD1200" s="21">
        <v>16</v>
      </c>
      <c r="BE1200" s="15" t="s">
        <v>138</v>
      </c>
      <c r="BF1200" s="15" t="s">
        <v>138</v>
      </c>
      <c r="BG1200" s="15" t="s">
        <v>138</v>
      </c>
      <c r="BH1200" s="15" t="s">
        <v>23312</v>
      </c>
      <c r="BI1200" s="15" t="s">
        <v>138</v>
      </c>
      <c r="BJ1200" s="15" t="s">
        <v>138</v>
      </c>
      <c r="BK1200" s="15" t="s">
        <v>23313</v>
      </c>
      <c r="BL1200" s="15" t="s">
        <v>1691</v>
      </c>
      <c r="BM1200" s="22" t="s">
        <v>138</v>
      </c>
      <c r="BN1200" s="17">
        <v>4</v>
      </c>
      <c r="BO1200" s="15" t="s">
        <v>172</v>
      </c>
      <c r="BP1200" s="17" t="s">
        <v>138</v>
      </c>
      <c r="BQ1200" s="15" t="s">
        <v>138</v>
      </c>
      <c r="BR1200" s="15" t="s">
        <v>262</v>
      </c>
      <c r="BS1200" s="15" t="s">
        <v>262</v>
      </c>
      <c r="BT1200" s="15" t="s">
        <v>138</v>
      </c>
      <c r="BU1200" s="15" t="s">
        <v>263</v>
      </c>
      <c r="BV1200" s="15" t="s">
        <v>138</v>
      </c>
      <c r="BW1200" s="15" t="s">
        <v>138</v>
      </c>
      <c r="BX1200" s="15" t="s">
        <v>138</v>
      </c>
      <c r="BY1200" s="15" t="s">
        <v>175</v>
      </c>
      <c r="BZ1200" s="22">
        <v>43472</v>
      </c>
      <c r="CA1200" s="17">
        <v>28</v>
      </c>
      <c r="CB1200" s="15" t="s">
        <v>172</v>
      </c>
      <c r="CC1200" s="17">
        <v>100</v>
      </c>
      <c r="CD1200" s="15" t="s">
        <v>172</v>
      </c>
      <c r="CE1200" s="15" t="s">
        <v>205</v>
      </c>
      <c r="CF1200" s="15" t="s">
        <v>623</v>
      </c>
      <c r="CG1200" s="15" t="s">
        <v>138</v>
      </c>
      <c r="CH1200" s="15" t="s">
        <v>174</v>
      </c>
      <c r="CI1200" s="15" t="s">
        <v>264</v>
      </c>
      <c r="CJ1200" s="15" t="s">
        <v>138</v>
      </c>
      <c r="CK1200" s="15" t="s">
        <v>138</v>
      </c>
      <c r="CL1200" s="15" t="s">
        <v>175</v>
      </c>
      <c r="CM1200" s="22" t="s">
        <v>138</v>
      </c>
      <c r="CN1200" s="17" t="s">
        <v>138</v>
      </c>
      <c r="CO1200" s="23">
        <v>-0.48</v>
      </c>
      <c r="CP1200" s="24">
        <v>16</v>
      </c>
      <c r="CQ1200" s="23">
        <v>-0.01</v>
      </c>
      <c r="CR1200" s="23">
        <v>-3.05</v>
      </c>
      <c r="CS1200" s="23">
        <v>-0.98</v>
      </c>
      <c r="CT1200" s="24">
        <v>15</v>
      </c>
      <c r="CU1200" s="23" t="s">
        <v>138</v>
      </c>
      <c r="CV1200" s="24" t="s">
        <v>138</v>
      </c>
      <c r="CW1200" s="23" t="s">
        <v>138</v>
      </c>
      <c r="CX1200" s="24" t="s">
        <v>138</v>
      </c>
      <c r="CY1200" s="23">
        <v>-0.98</v>
      </c>
      <c r="CZ1200" s="24">
        <v>19</v>
      </c>
      <c r="DA1200" s="23" t="s">
        <v>138</v>
      </c>
      <c r="DB1200" s="24" t="s">
        <v>138</v>
      </c>
      <c r="DC1200" s="25">
        <v>7.61</v>
      </c>
      <c r="DD1200" s="24">
        <v>87</v>
      </c>
      <c r="DE1200" s="25">
        <v>-0.02</v>
      </c>
      <c r="DF1200" s="23">
        <v>-0.23</v>
      </c>
      <c r="DG1200" s="25">
        <v>15.1</v>
      </c>
      <c r="DH1200" s="24">
        <v>93</v>
      </c>
      <c r="DI1200" s="25" t="s">
        <v>138</v>
      </c>
      <c r="DJ1200" s="24" t="s">
        <v>138</v>
      </c>
      <c r="DK1200" s="25" t="s">
        <v>138</v>
      </c>
      <c r="DL1200" s="24" t="s">
        <v>138</v>
      </c>
      <c r="DM1200" s="25">
        <v>15.1</v>
      </c>
      <c r="DN1200" s="24">
        <v>92</v>
      </c>
      <c r="DO1200" s="25" t="s">
        <v>138</v>
      </c>
      <c r="DP1200" s="24" t="s">
        <v>138</v>
      </c>
      <c r="DQ1200" s="24" t="s">
        <v>138</v>
      </c>
      <c r="DR1200" s="26" t="s">
        <v>138</v>
      </c>
      <c r="DS1200" s="23" t="s">
        <v>138</v>
      </c>
      <c r="DT1200" s="24">
        <v>438</v>
      </c>
      <c r="DU1200" s="26">
        <v>-1</v>
      </c>
      <c r="DV1200" s="23">
        <v>-0.23</v>
      </c>
      <c r="DW1200" s="24" t="s">
        <v>138</v>
      </c>
      <c r="DX1200" s="27" t="s">
        <v>138</v>
      </c>
      <c r="DY1200" s="23" t="s">
        <v>138</v>
      </c>
      <c r="DZ1200" s="15" t="s">
        <v>178</v>
      </c>
      <c r="EA1200" s="22">
        <v>43553</v>
      </c>
      <c r="EB1200" s="17">
        <v>100</v>
      </c>
      <c r="EC1200" s="22">
        <v>43472</v>
      </c>
      <c r="ED1200" s="15" t="s">
        <v>205</v>
      </c>
      <c r="EE1200" s="14" t="str">
        <f>HYPERLINK("https://my.pitchbook.com?c=167229-73", "View company online")</f>
        <v>View company online</v>
      </c>
    </row>
    <row r="1201" spans="1:135">
      <c r="A1201" s="28" t="s">
        <v>23314</v>
      </c>
      <c r="B1201" s="28" t="s">
        <v>23315</v>
      </c>
      <c r="C1201" s="28" t="s">
        <v>23316</v>
      </c>
      <c r="D1201" s="28" t="s">
        <v>138</v>
      </c>
      <c r="E1201" s="28" t="s">
        <v>23317</v>
      </c>
      <c r="F1201" s="28" t="s">
        <v>23314</v>
      </c>
      <c r="G1201" s="28" t="s">
        <v>23318</v>
      </c>
      <c r="H1201" s="28" t="s">
        <v>322</v>
      </c>
      <c r="I1201" s="28" t="s">
        <v>323</v>
      </c>
      <c r="J1201" s="28" t="s">
        <v>324</v>
      </c>
      <c r="K1201" s="28" t="s">
        <v>23319</v>
      </c>
      <c r="L1201" s="28" t="s">
        <v>23320</v>
      </c>
      <c r="M1201" s="28" t="s">
        <v>23321</v>
      </c>
      <c r="N1201" s="28" t="s">
        <v>147</v>
      </c>
      <c r="O1201" s="29">
        <v>5.44</v>
      </c>
      <c r="P1201" s="28" t="s">
        <v>148</v>
      </c>
      <c r="Q1201" s="28" t="s">
        <v>149</v>
      </c>
      <c r="R1201" s="28" t="s">
        <v>174</v>
      </c>
      <c r="S1201" s="28" t="s">
        <v>23322</v>
      </c>
      <c r="T1201" s="30">
        <v>18</v>
      </c>
      <c r="U1201" s="28" t="s">
        <v>23323</v>
      </c>
      <c r="V1201" s="28" t="s">
        <v>138</v>
      </c>
      <c r="W1201" s="28" t="s">
        <v>138</v>
      </c>
      <c r="X1201" s="31">
        <v>2010</v>
      </c>
      <c r="Y1201" s="28" t="s">
        <v>138</v>
      </c>
      <c r="Z1201" s="28" t="s">
        <v>138</v>
      </c>
      <c r="AA1201" s="28" t="s">
        <v>138</v>
      </c>
      <c r="AB1201" s="32" t="s">
        <v>138</v>
      </c>
      <c r="AC1201" s="32" t="s">
        <v>138</v>
      </c>
      <c r="AD1201" s="32" t="s">
        <v>138</v>
      </c>
      <c r="AE1201" s="32" t="s">
        <v>138</v>
      </c>
      <c r="AF1201" s="32" t="s">
        <v>138</v>
      </c>
      <c r="AG1201" s="28" t="s">
        <v>138</v>
      </c>
      <c r="AH1201" s="32" t="s">
        <v>138</v>
      </c>
      <c r="AI1201" s="32" t="s">
        <v>138</v>
      </c>
      <c r="AJ1201" s="32" t="s">
        <v>138</v>
      </c>
      <c r="AK1201" s="28" t="s">
        <v>23324</v>
      </c>
      <c r="AL1201" s="28" t="s">
        <v>23325</v>
      </c>
      <c r="AM1201" s="28" t="s">
        <v>10648</v>
      </c>
      <c r="AN1201" s="28" t="s">
        <v>23326</v>
      </c>
      <c r="AO1201" s="28" t="s">
        <v>23327</v>
      </c>
      <c r="AP1201" s="28" t="s">
        <v>1292</v>
      </c>
      <c r="AQ1201" s="28" t="s">
        <v>23328</v>
      </c>
      <c r="AR1201" s="28" t="s">
        <v>23329</v>
      </c>
      <c r="AS1201" s="28" t="s">
        <v>1294</v>
      </c>
      <c r="AT1201" s="28" t="s">
        <v>864</v>
      </c>
      <c r="AU1201" s="28" t="s">
        <v>22494</v>
      </c>
      <c r="AV1201" s="28" t="s">
        <v>162</v>
      </c>
      <c r="AW1201" s="28" t="s">
        <v>23327</v>
      </c>
      <c r="AX1201" s="28" t="s">
        <v>138</v>
      </c>
      <c r="AY1201" s="28" t="s">
        <v>23330</v>
      </c>
      <c r="AZ1201" s="28" t="s">
        <v>164</v>
      </c>
      <c r="BA1201" s="28" t="s">
        <v>165</v>
      </c>
      <c r="BB1201" s="28" t="s">
        <v>23331</v>
      </c>
      <c r="BC1201" s="28" t="s">
        <v>23332</v>
      </c>
      <c r="BD1201" s="33">
        <v>4</v>
      </c>
      <c r="BE1201" s="28" t="s">
        <v>138</v>
      </c>
      <c r="BF1201" s="28" t="s">
        <v>138</v>
      </c>
      <c r="BG1201" s="28" t="s">
        <v>138</v>
      </c>
      <c r="BH1201" s="28" t="s">
        <v>23333</v>
      </c>
      <c r="BI1201" s="28" t="s">
        <v>138</v>
      </c>
      <c r="BJ1201" s="28" t="s">
        <v>138</v>
      </c>
      <c r="BK1201" s="28" t="s">
        <v>138</v>
      </c>
      <c r="BL1201" s="28" t="s">
        <v>138</v>
      </c>
      <c r="BM1201" s="34" t="s">
        <v>138</v>
      </c>
      <c r="BN1201" s="29" t="s">
        <v>138</v>
      </c>
      <c r="BO1201" s="28" t="s">
        <v>138</v>
      </c>
      <c r="BP1201" s="29" t="s">
        <v>138</v>
      </c>
      <c r="BQ1201" s="28" t="s">
        <v>138</v>
      </c>
      <c r="BR1201" s="28" t="s">
        <v>316</v>
      </c>
      <c r="BS1201" s="28" t="s">
        <v>138</v>
      </c>
      <c r="BT1201" s="28" t="s">
        <v>138</v>
      </c>
      <c r="BU1201" s="28" t="s">
        <v>177</v>
      </c>
      <c r="BV1201" s="28" t="s">
        <v>138</v>
      </c>
      <c r="BW1201" s="28" t="s">
        <v>138</v>
      </c>
      <c r="BX1201" s="28" t="s">
        <v>138</v>
      </c>
      <c r="BY1201" s="28" t="s">
        <v>175</v>
      </c>
      <c r="BZ1201" s="34">
        <v>42642</v>
      </c>
      <c r="CA1201" s="29">
        <v>4.55</v>
      </c>
      <c r="CB1201" s="28" t="s">
        <v>172</v>
      </c>
      <c r="CC1201" s="29">
        <v>30.56</v>
      </c>
      <c r="CD1201" s="28" t="s">
        <v>1178</v>
      </c>
      <c r="CE1201" s="28" t="s">
        <v>205</v>
      </c>
      <c r="CF1201" s="28" t="s">
        <v>7446</v>
      </c>
      <c r="CG1201" s="28" t="s">
        <v>138</v>
      </c>
      <c r="CH1201" s="28" t="s">
        <v>174</v>
      </c>
      <c r="CI1201" s="28" t="s">
        <v>138</v>
      </c>
      <c r="CJ1201" s="28" t="s">
        <v>138</v>
      </c>
      <c r="CK1201" s="28" t="s">
        <v>138</v>
      </c>
      <c r="CL1201" s="28" t="s">
        <v>175</v>
      </c>
      <c r="CM1201" s="34" t="s">
        <v>138</v>
      </c>
      <c r="CN1201" s="29" t="s">
        <v>138</v>
      </c>
      <c r="CO1201" s="35">
        <v>2.1</v>
      </c>
      <c r="CP1201" s="36">
        <v>99</v>
      </c>
      <c r="CQ1201" s="35">
        <v>0</v>
      </c>
      <c r="CR1201" s="35">
        <v>-0.14000000000000001</v>
      </c>
      <c r="CS1201" s="35">
        <v>3.73</v>
      </c>
      <c r="CT1201" s="36">
        <v>100</v>
      </c>
      <c r="CU1201" s="35">
        <v>0.46</v>
      </c>
      <c r="CV1201" s="36">
        <v>93</v>
      </c>
      <c r="CW1201" s="35">
        <v>8.5</v>
      </c>
      <c r="CX1201" s="36">
        <v>99</v>
      </c>
      <c r="CY1201" s="35">
        <v>-1.04</v>
      </c>
      <c r="CZ1201" s="36">
        <v>18</v>
      </c>
      <c r="DA1201" s="35">
        <v>0.46</v>
      </c>
      <c r="DB1201" s="36">
        <v>93</v>
      </c>
      <c r="DC1201" s="37">
        <v>9.49</v>
      </c>
      <c r="DD1201" s="36">
        <v>89</v>
      </c>
      <c r="DE1201" s="37">
        <v>-0.28000000000000003</v>
      </c>
      <c r="DF1201" s="35">
        <v>-2.88</v>
      </c>
      <c r="DG1201" s="37">
        <v>15.41</v>
      </c>
      <c r="DH1201" s="36">
        <v>93</v>
      </c>
      <c r="DI1201" s="37">
        <v>3.58</v>
      </c>
      <c r="DJ1201" s="36">
        <v>72</v>
      </c>
      <c r="DK1201" s="37">
        <v>8.7200000000000006</v>
      </c>
      <c r="DL1201" s="36">
        <v>85</v>
      </c>
      <c r="DM1201" s="37">
        <v>22.1</v>
      </c>
      <c r="DN1201" s="36">
        <v>95</v>
      </c>
      <c r="DO1201" s="37">
        <v>3.58</v>
      </c>
      <c r="DP1201" s="36">
        <v>74</v>
      </c>
      <c r="DQ1201" s="36">
        <v>2859</v>
      </c>
      <c r="DR1201" s="38">
        <v>394</v>
      </c>
      <c r="DS1201" s="35">
        <v>15.98</v>
      </c>
      <c r="DT1201" s="36">
        <v>641</v>
      </c>
      <c r="DU1201" s="38">
        <v>-2</v>
      </c>
      <c r="DV1201" s="35">
        <v>-0.31</v>
      </c>
      <c r="DW1201" s="36">
        <v>1277</v>
      </c>
      <c r="DX1201" s="39">
        <v>7</v>
      </c>
      <c r="DY1201" s="35">
        <v>0.55000000000000004</v>
      </c>
      <c r="DZ1201" s="28" t="s">
        <v>178</v>
      </c>
      <c r="EA1201" s="34">
        <v>43351</v>
      </c>
      <c r="EB1201" s="29">
        <v>30.56</v>
      </c>
      <c r="EC1201" s="34">
        <v>42642</v>
      </c>
      <c r="ED1201" s="28" t="s">
        <v>205</v>
      </c>
      <c r="EE1201" s="40" t="str">
        <f>HYPERLINK("https://my.pitchbook.com?c=109321-75", "View company online")</f>
        <v>View company online</v>
      </c>
    </row>
    <row r="1202" spans="1:135">
      <c r="A1202" s="15" t="s">
        <v>23334</v>
      </c>
      <c r="B1202" s="15" t="s">
        <v>23335</v>
      </c>
      <c r="C1202" s="15" t="s">
        <v>138</v>
      </c>
      <c r="D1202" s="15" t="s">
        <v>23336</v>
      </c>
      <c r="E1202" s="15" t="s">
        <v>138</v>
      </c>
      <c r="F1202" s="15" t="s">
        <v>23334</v>
      </c>
      <c r="G1202" s="15" t="s">
        <v>23337</v>
      </c>
      <c r="H1202" s="15" t="s">
        <v>141</v>
      </c>
      <c r="I1202" s="15" t="s">
        <v>142</v>
      </c>
      <c r="J1202" s="15" t="s">
        <v>508</v>
      </c>
      <c r="K1202" s="15" t="s">
        <v>23338</v>
      </c>
      <c r="L1202" s="15" t="s">
        <v>23339</v>
      </c>
      <c r="M1202" s="15" t="s">
        <v>23340</v>
      </c>
      <c r="N1202" s="15" t="s">
        <v>147</v>
      </c>
      <c r="O1202" s="17">
        <v>1</v>
      </c>
      <c r="P1202" s="15" t="s">
        <v>148</v>
      </c>
      <c r="Q1202" s="15" t="s">
        <v>149</v>
      </c>
      <c r="R1202" s="15" t="s">
        <v>174</v>
      </c>
      <c r="S1202" s="15" t="s">
        <v>23341</v>
      </c>
      <c r="T1202" s="18">
        <v>1</v>
      </c>
      <c r="U1202" s="15" t="s">
        <v>23342</v>
      </c>
      <c r="V1202" s="15" t="s">
        <v>138</v>
      </c>
      <c r="W1202" s="15" t="s">
        <v>138</v>
      </c>
      <c r="X1202" s="19">
        <v>2004</v>
      </c>
      <c r="Y1202" s="15" t="s">
        <v>138</v>
      </c>
      <c r="Z1202" s="15" t="s">
        <v>138</v>
      </c>
      <c r="AA1202" s="15" t="s">
        <v>138</v>
      </c>
      <c r="AB1202" s="20" t="s">
        <v>138</v>
      </c>
      <c r="AC1202" s="20" t="s">
        <v>138</v>
      </c>
      <c r="AD1202" s="20" t="s">
        <v>138</v>
      </c>
      <c r="AE1202" s="20" t="s">
        <v>138</v>
      </c>
      <c r="AF1202" s="20" t="s">
        <v>138</v>
      </c>
      <c r="AG1202" s="15" t="s">
        <v>138</v>
      </c>
      <c r="AH1202" s="20" t="s">
        <v>138</v>
      </c>
      <c r="AI1202" s="20" t="s">
        <v>138</v>
      </c>
      <c r="AJ1202" s="20" t="s">
        <v>138</v>
      </c>
      <c r="AK1202" s="15" t="s">
        <v>23343</v>
      </c>
      <c r="AL1202" s="15" t="s">
        <v>23344</v>
      </c>
      <c r="AM1202" s="15" t="s">
        <v>6092</v>
      </c>
      <c r="AN1202" s="15" t="s">
        <v>23345</v>
      </c>
      <c r="AO1202" s="15" t="s">
        <v>23346</v>
      </c>
      <c r="AP1202" s="15" t="s">
        <v>4490</v>
      </c>
      <c r="AQ1202" s="15" t="s">
        <v>23347</v>
      </c>
      <c r="AR1202" s="15" t="s">
        <v>23348</v>
      </c>
      <c r="AS1202" s="15" t="s">
        <v>4492</v>
      </c>
      <c r="AT1202" s="15" t="s">
        <v>4493</v>
      </c>
      <c r="AU1202" s="15" t="s">
        <v>4494</v>
      </c>
      <c r="AV1202" s="15" t="s">
        <v>162</v>
      </c>
      <c r="AW1202" s="15" t="s">
        <v>23346</v>
      </c>
      <c r="AX1202" s="15" t="s">
        <v>138</v>
      </c>
      <c r="AY1202" s="15" t="s">
        <v>23349</v>
      </c>
      <c r="AZ1202" s="15" t="s">
        <v>164</v>
      </c>
      <c r="BA1202" s="15" t="s">
        <v>165</v>
      </c>
      <c r="BB1202" s="15" t="s">
        <v>23350</v>
      </c>
      <c r="BC1202" s="15" t="s">
        <v>23351</v>
      </c>
      <c r="BD1202" s="21">
        <v>2</v>
      </c>
      <c r="BE1202" s="15" t="s">
        <v>138</v>
      </c>
      <c r="BF1202" s="15" t="s">
        <v>138</v>
      </c>
      <c r="BG1202" s="15" t="s">
        <v>138</v>
      </c>
      <c r="BH1202" s="15" t="s">
        <v>23352</v>
      </c>
      <c r="BI1202" s="15" t="s">
        <v>138</v>
      </c>
      <c r="BJ1202" s="15" t="s">
        <v>138</v>
      </c>
      <c r="BK1202" s="15" t="s">
        <v>138</v>
      </c>
      <c r="BL1202" s="15" t="s">
        <v>138</v>
      </c>
      <c r="BM1202" s="22" t="s">
        <v>138</v>
      </c>
      <c r="BN1202" s="17" t="s">
        <v>138</v>
      </c>
      <c r="BO1202" s="15" t="s">
        <v>138</v>
      </c>
      <c r="BP1202" s="17" t="s">
        <v>138</v>
      </c>
      <c r="BQ1202" s="15" t="s">
        <v>138</v>
      </c>
      <c r="BR1202" s="15" t="s">
        <v>316</v>
      </c>
      <c r="BS1202" s="15" t="s">
        <v>138</v>
      </c>
      <c r="BT1202" s="15" t="s">
        <v>138</v>
      </c>
      <c r="BU1202" s="15" t="s">
        <v>177</v>
      </c>
      <c r="BV1202" s="15" t="s">
        <v>138</v>
      </c>
      <c r="BW1202" s="15" t="s">
        <v>138</v>
      </c>
      <c r="BX1202" s="15" t="s">
        <v>138</v>
      </c>
      <c r="BY1202" s="15" t="s">
        <v>175</v>
      </c>
      <c r="BZ1202" s="22">
        <v>43455</v>
      </c>
      <c r="CA1202" s="17">
        <v>1</v>
      </c>
      <c r="CB1202" s="15" t="s">
        <v>172</v>
      </c>
      <c r="CC1202" s="17" t="s">
        <v>138</v>
      </c>
      <c r="CD1202" s="15" t="s">
        <v>138</v>
      </c>
      <c r="CE1202" s="15" t="s">
        <v>173</v>
      </c>
      <c r="CF1202" s="15" t="s">
        <v>206</v>
      </c>
      <c r="CG1202" s="15" t="s">
        <v>138</v>
      </c>
      <c r="CH1202" s="15" t="s">
        <v>174</v>
      </c>
      <c r="CI1202" s="15" t="s">
        <v>138</v>
      </c>
      <c r="CJ1202" s="15" t="s">
        <v>138</v>
      </c>
      <c r="CK1202" s="15" t="s">
        <v>138</v>
      </c>
      <c r="CL1202" s="15" t="s">
        <v>175</v>
      </c>
      <c r="CM1202" s="22" t="s">
        <v>138</v>
      </c>
      <c r="CN1202" s="17" t="s">
        <v>138</v>
      </c>
      <c r="CO1202" s="23">
        <v>-2.04</v>
      </c>
      <c r="CP1202" s="24">
        <v>5</v>
      </c>
      <c r="CQ1202" s="23">
        <v>0</v>
      </c>
      <c r="CR1202" s="23">
        <v>0</v>
      </c>
      <c r="CS1202" s="23">
        <v>0</v>
      </c>
      <c r="CT1202" s="24">
        <v>23</v>
      </c>
      <c r="CU1202" s="23">
        <v>0.13</v>
      </c>
      <c r="CV1202" s="24">
        <v>73</v>
      </c>
      <c r="CW1202" s="23">
        <v>0</v>
      </c>
      <c r="CX1202" s="24">
        <v>13</v>
      </c>
      <c r="CY1202" s="23">
        <v>0</v>
      </c>
      <c r="CZ1202" s="24">
        <v>25</v>
      </c>
      <c r="DA1202" s="23">
        <v>0.13</v>
      </c>
      <c r="DB1202" s="24">
        <v>76</v>
      </c>
      <c r="DC1202" s="25">
        <v>0.87</v>
      </c>
      <c r="DD1202" s="24">
        <v>48</v>
      </c>
      <c r="DE1202" s="25">
        <v>0</v>
      </c>
      <c r="DF1202" s="23">
        <v>0.13</v>
      </c>
      <c r="DG1202" s="25">
        <v>0.43</v>
      </c>
      <c r="DH1202" s="24">
        <v>31</v>
      </c>
      <c r="DI1202" s="25">
        <v>2.16</v>
      </c>
      <c r="DJ1202" s="24">
        <v>64</v>
      </c>
      <c r="DK1202" s="25">
        <v>0.18</v>
      </c>
      <c r="DL1202" s="24">
        <v>3</v>
      </c>
      <c r="DM1202" s="25">
        <v>0.69</v>
      </c>
      <c r="DN1202" s="24">
        <v>41</v>
      </c>
      <c r="DO1202" s="25">
        <v>2.16</v>
      </c>
      <c r="DP1202" s="24">
        <v>65</v>
      </c>
      <c r="DQ1202" s="24">
        <v>81</v>
      </c>
      <c r="DR1202" s="26">
        <v>-60</v>
      </c>
      <c r="DS1202" s="23">
        <v>-42.55</v>
      </c>
      <c r="DT1202" s="24">
        <v>20</v>
      </c>
      <c r="DU1202" s="26">
        <v>0</v>
      </c>
      <c r="DV1202" s="23">
        <v>0</v>
      </c>
      <c r="DW1202" s="24">
        <v>775</v>
      </c>
      <c r="DX1202" s="27">
        <v>1</v>
      </c>
      <c r="DY1202" s="23">
        <v>0.13</v>
      </c>
      <c r="DZ1202" s="15" t="s">
        <v>178</v>
      </c>
      <c r="EA1202" s="22">
        <v>43622</v>
      </c>
      <c r="EB1202" s="17" t="s">
        <v>138</v>
      </c>
      <c r="EC1202" s="22" t="s">
        <v>138</v>
      </c>
      <c r="ED1202" s="15" t="s">
        <v>138</v>
      </c>
      <c r="EE1202" s="14" t="str">
        <f>HYPERLINK("https://my.pitchbook.com?c=118643-41", "View company online")</f>
        <v>View company online</v>
      </c>
    </row>
    <row r="1203" spans="1:135">
      <c r="A1203" s="28" t="s">
        <v>23353</v>
      </c>
      <c r="B1203" s="28" t="s">
        <v>23354</v>
      </c>
      <c r="C1203" s="28" t="s">
        <v>138</v>
      </c>
      <c r="D1203" s="28" t="s">
        <v>23355</v>
      </c>
      <c r="E1203" s="28" t="s">
        <v>138</v>
      </c>
      <c r="F1203" s="28" t="s">
        <v>23353</v>
      </c>
      <c r="G1203" s="28" t="s">
        <v>23356</v>
      </c>
      <c r="H1203" s="28" t="s">
        <v>238</v>
      </c>
      <c r="I1203" s="28" t="s">
        <v>785</v>
      </c>
      <c r="J1203" s="28" t="s">
        <v>786</v>
      </c>
      <c r="K1203" s="28" t="s">
        <v>23357</v>
      </c>
      <c r="L1203" s="28" t="s">
        <v>23358</v>
      </c>
      <c r="M1203" s="28" t="s">
        <v>23359</v>
      </c>
      <c r="N1203" s="28" t="s">
        <v>147</v>
      </c>
      <c r="O1203" s="29">
        <v>22.5</v>
      </c>
      <c r="P1203" s="28" t="s">
        <v>610</v>
      </c>
      <c r="Q1203" s="28" t="s">
        <v>149</v>
      </c>
      <c r="R1203" s="28" t="s">
        <v>174</v>
      </c>
      <c r="S1203" s="28" t="s">
        <v>23360</v>
      </c>
      <c r="T1203" s="30">
        <v>15</v>
      </c>
      <c r="U1203" s="28" t="s">
        <v>23361</v>
      </c>
      <c r="V1203" s="28" t="s">
        <v>138</v>
      </c>
      <c r="W1203" s="28" t="s">
        <v>138</v>
      </c>
      <c r="X1203" s="31">
        <v>2012</v>
      </c>
      <c r="Y1203" s="28" t="s">
        <v>138</v>
      </c>
      <c r="Z1203" s="28" t="s">
        <v>138</v>
      </c>
      <c r="AA1203" s="28" t="s">
        <v>138</v>
      </c>
      <c r="AB1203" s="32" t="s">
        <v>138</v>
      </c>
      <c r="AC1203" s="32" t="s">
        <v>138</v>
      </c>
      <c r="AD1203" s="32" t="s">
        <v>138</v>
      </c>
      <c r="AE1203" s="32" t="s">
        <v>138</v>
      </c>
      <c r="AF1203" s="32" t="s">
        <v>138</v>
      </c>
      <c r="AG1203" s="28" t="s">
        <v>138</v>
      </c>
      <c r="AH1203" s="32" t="s">
        <v>138</v>
      </c>
      <c r="AI1203" s="32" t="s">
        <v>138</v>
      </c>
      <c r="AJ1203" s="32" t="s">
        <v>138</v>
      </c>
      <c r="AK1203" s="28" t="s">
        <v>23362</v>
      </c>
      <c r="AL1203" s="28" t="s">
        <v>23363</v>
      </c>
      <c r="AM1203" s="28" t="s">
        <v>221</v>
      </c>
      <c r="AN1203" s="28" t="s">
        <v>23364</v>
      </c>
      <c r="AO1203" s="28" t="s">
        <v>138</v>
      </c>
      <c r="AP1203" s="28" t="s">
        <v>1870</v>
      </c>
      <c r="AQ1203" s="28" t="s">
        <v>23365</v>
      </c>
      <c r="AR1203" s="28" t="s">
        <v>23366</v>
      </c>
      <c r="AS1203" s="28" t="s">
        <v>1872</v>
      </c>
      <c r="AT1203" s="28" t="s">
        <v>200</v>
      </c>
      <c r="AU1203" s="28" t="s">
        <v>23367</v>
      </c>
      <c r="AV1203" s="28" t="s">
        <v>162</v>
      </c>
      <c r="AW1203" s="28" t="s">
        <v>138</v>
      </c>
      <c r="AX1203" s="28" t="s">
        <v>138</v>
      </c>
      <c r="AY1203" s="28" t="s">
        <v>23368</v>
      </c>
      <c r="AZ1203" s="28" t="s">
        <v>164</v>
      </c>
      <c r="BA1203" s="28" t="s">
        <v>165</v>
      </c>
      <c r="BB1203" s="28" t="s">
        <v>23369</v>
      </c>
      <c r="BC1203" s="28" t="s">
        <v>23370</v>
      </c>
      <c r="BD1203" s="33">
        <v>5</v>
      </c>
      <c r="BE1203" s="28" t="s">
        <v>138</v>
      </c>
      <c r="BF1203" s="28" t="s">
        <v>138</v>
      </c>
      <c r="BG1203" s="28" t="s">
        <v>138</v>
      </c>
      <c r="BH1203" s="28" t="s">
        <v>23371</v>
      </c>
      <c r="BI1203" s="28" t="s">
        <v>138</v>
      </c>
      <c r="BJ1203" s="28" t="s">
        <v>138</v>
      </c>
      <c r="BK1203" s="28" t="s">
        <v>23372</v>
      </c>
      <c r="BL1203" s="28" t="s">
        <v>1275</v>
      </c>
      <c r="BM1203" s="34">
        <v>42369</v>
      </c>
      <c r="BN1203" s="29">
        <v>2.5</v>
      </c>
      <c r="BO1203" s="28" t="s">
        <v>172</v>
      </c>
      <c r="BP1203" s="29">
        <v>18.899999999999999</v>
      </c>
      <c r="BQ1203" s="28" t="s">
        <v>172</v>
      </c>
      <c r="BR1203" s="28" t="s">
        <v>234</v>
      </c>
      <c r="BS1203" s="28" t="s">
        <v>234</v>
      </c>
      <c r="BT1203" s="28" t="s">
        <v>138</v>
      </c>
      <c r="BU1203" s="28" t="s">
        <v>263</v>
      </c>
      <c r="BV1203" s="28" t="s">
        <v>138</v>
      </c>
      <c r="BW1203" s="28" t="s">
        <v>138</v>
      </c>
      <c r="BX1203" s="28" t="s">
        <v>138</v>
      </c>
      <c r="BY1203" s="28" t="s">
        <v>175</v>
      </c>
      <c r="BZ1203" s="34">
        <v>43571</v>
      </c>
      <c r="CA1203" s="29">
        <v>15</v>
      </c>
      <c r="CB1203" s="28" t="s">
        <v>172</v>
      </c>
      <c r="CC1203" s="29">
        <v>75</v>
      </c>
      <c r="CD1203" s="28" t="s">
        <v>172</v>
      </c>
      <c r="CE1203" s="28" t="s">
        <v>205</v>
      </c>
      <c r="CF1203" s="28" t="s">
        <v>720</v>
      </c>
      <c r="CG1203" s="28" t="s">
        <v>138</v>
      </c>
      <c r="CH1203" s="28" t="s">
        <v>174</v>
      </c>
      <c r="CI1203" s="28" t="s">
        <v>138</v>
      </c>
      <c r="CJ1203" s="28" t="s">
        <v>138</v>
      </c>
      <c r="CK1203" s="28" t="s">
        <v>138</v>
      </c>
      <c r="CL1203" s="28" t="s">
        <v>175</v>
      </c>
      <c r="CM1203" s="34" t="s">
        <v>138</v>
      </c>
      <c r="CN1203" s="29" t="s">
        <v>138</v>
      </c>
      <c r="CO1203" s="35">
        <v>0.98</v>
      </c>
      <c r="CP1203" s="36">
        <v>97</v>
      </c>
      <c r="CQ1203" s="35">
        <v>-0.01</v>
      </c>
      <c r="CR1203" s="35">
        <v>-1.1100000000000001</v>
      </c>
      <c r="CS1203" s="35">
        <v>1.86</v>
      </c>
      <c r="CT1203" s="36">
        <v>98</v>
      </c>
      <c r="CU1203" s="35">
        <v>0.1</v>
      </c>
      <c r="CV1203" s="36">
        <v>68</v>
      </c>
      <c r="CW1203" s="35">
        <v>3.28</v>
      </c>
      <c r="CX1203" s="36">
        <v>92</v>
      </c>
      <c r="CY1203" s="35">
        <v>0.43</v>
      </c>
      <c r="CZ1203" s="36">
        <v>98</v>
      </c>
      <c r="DA1203" s="35">
        <v>-0.06</v>
      </c>
      <c r="DB1203" s="36">
        <v>11</v>
      </c>
      <c r="DC1203" s="37">
        <v>88.24</v>
      </c>
      <c r="DD1203" s="36">
        <v>99</v>
      </c>
      <c r="DE1203" s="37">
        <v>-5.62</v>
      </c>
      <c r="DF1203" s="35">
        <v>-5.99</v>
      </c>
      <c r="DG1203" s="37">
        <v>107.03</v>
      </c>
      <c r="DH1203" s="36">
        <v>99</v>
      </c>
      <c r="DI1203" s="37">
        <v>69.44</v>
      </c>
      <c r="DJ1203" s="36">
        <v>96</v>
      </c>
      <c r="DK1203" s="37">
        <v>177.02</v>
      </c>
      <c r="DL1203" s="36">
        <v>99</v>
      </c>
      <c r="DM1203" s="37">
        <v>37.03</v>
      </c>
      <c r="DN1203" s="36">
        <v>97</v>
      </c>
      <c r="DO1203" s="37">
        <v>39.79</v>
      </c>
      <c r="DP1203" s="36">
        <v>96</v>
      </c>
      <c r="DQ1203" s="36">
        <v>59609</v>
      </c>
      <c r="DR1203" s="38">
        <v>3326</v>
      </c>
      <c r="DS1203" s="35">
        <v>5.91</v>
      </c>
      <c r="DT1203" s="36">
        <v>1072</v>
      </c>
      <c r="DU1203" s="38">
        <v>5</v>
      </c>
      <c r="DV1203" s="35">
        <v>0.47</v>
      </c>
      <c r="DW1203" s="36">
        <v>14248</v>
      </c>
      <c r="DX1203" s="39">
        <v>-10</v>
      </c>
      <c r="DY1203" s="35">
        <v>-7.0000000000000007E-2</v>
      </c>
      <c r="DZ1203" s="28" t="s">
        <v>178</v>
      </c>
      <c r="EA1203" s="34">
        <v>43622</v>
      </c>
      <c r="EB1203" s="29">
        <v>75</v>
      </c>
      <c r="EC1203" s="34">
        <v>43571</v>
      </c>
      <c r="ED1203" s="28" t="s">
        <v>205</v>
      </c>
      <c r="EE1203" s="40" t="str">
        <f>HYPERLINK("https://my.pitchbook.com?c=152212-60", "View company online")</f>
        <v>View company online</v>
      </c>
    </row>
    <row r="1204" spans="1:135">
      <c r="A1204" s="15" t="s">
        <v>23373</v>
      </c>
      <c r="B1204" s="15" t="s">
        <v>23374</v>
      </c>
      <c r="C1204" s="15" t="s">
        <v>138</v>
      </c>
      <c r="D1204" s="15" t="s">
        <v>138</v>
      </c>
      <c r="E1204" s="15" t="s">
        <v>23375</v>
      </c>
      <c r="F1204" s="15" t="s">
        <v>23373</v>
      </c>
      <c r="G1204" s="15" t="s">
        <v>23376</v>
      </c>
      <c r="H1204" s="15" t="s">
        <v>238</v>
      </c>
      <c r="I1204" s="15" t="s">
        <v>1351</v>
      </c>
      <c r="J1204" s="15" t="s">
        <v>10301</v>
      </c>
      <c r="K1204" s="15" t="s">
        <v>23377</v>
      </c>
      <c r="L1204" s="15" t="s">
        <v>4703</v>
      </c>
      <c r="M1204" s="15" t="s">
        <v>23378</v>
      </c>
      <c r="N1204" s="15" t="s">
        <v>147</v>
      </c>
      <c r="O1204" s="17">
        <v>613.6</v>
      </c>
      <c r="P1204" s="15" t="s">
        <v>148</v>
      </c>
      <c r="Q1204" s="15" t="s">
        <v>149</v>
      </c>
      <c r="R1204" s="15" t="s">
        <v>174</v>
      </c>
      <c r="S1204" s="15" t="s">
        <v>23379</v>
      </c>
      <c r="T1204" s="18">
        <v>1800</v>
      </c>
      <c r="U1204" s="15" t="s">
        <v>23380</v>
      </c>
      <c r="V1204" s="15" t="s">
        <v>138</v>
      </c>
      <c r="W1204" s="15" t="s">
        <v>138</v>
      </c>
      <c r="X1204" s="19">
        <v>2009</v>
      </c>
      <c r="Y1204" s="15" t="s">
        <v>138</v>
      </c>
      <c r="Z1204" s="15" t="s">
        <v>138</v>
      </c>
      <c r="AA1204" s="15" t="s">
        <v>138</v>
      </c>
      <c r="AB1204" s="20" t="s">
        <v>138</v>
      </c>
      <c r="AC1204" s="20" t="s">
        <v>138</v>
      </c>
      <c r="AD1204" s="20" t="s">
        <v>138</v>
      </c>
      <c r="AE1204" s="20" t="s">
        <v>138</v>
      </c>
      <c r="AF1204" s="20" t="s">
        <v>138</v>
      </c>
      <c r="AG1204" s="15" t="s">
        <v>138</v>
      </c>
      <c r="AH1204" s="20" t="s">
        <v>138</v>
      </c>
      <c r="AI1204" s="20" t="s">
        <v>138</v>
      </c>
      <c r="AJ1204" s="20" t="s">
        <v>138</v>
      </c>
      <c r="AK1204" s="15" t="s">
        <v>23381</v>
      </c>
      <c r="AL1204" s="15" t="s">
        <v>23382</v>
      </c>
      <c r="AM1204" s="15" t="s">
        <v>249</v>
      </c>
      <c r="AN1204" s="15" t="s">
        <v>23383</v>
      </c>
      <c r="AO1204" s="15" t="s">
        <v>138</v>
      </c>
      <c r="AP1204" s="15" t="s">
        <v>1168</v>
      </c>
      <c r="AQ1204" s="15" t="s">
        <v>23384</v>
      </c>
      <c r="AR1204" s="15" t="s">
        <v>3062</v>
      </c>
      <c r="AS1204" s="15" t="s">
        <v>1171</v>
      </c>
      <c r="AT1204" s="15" t="s">
        <v>200</v>
      </c>
      <c r="AU1204" s="15" t="s">
        <v>4152</v>
      </c>
      <c r="AV1204" s="15" t="s">
        <v>162</v>
      </c>
      <c r="AW1204" s="15" t="s">
        <v>138</v>
      </c>
      <c r="AX1204" s="15" t="s">
        <v>138</v>
      </c>
      <c r="AY1204" s="15" t="s">
        <v>23385</v>
      </c>
      <c r="AZ1204" s="15" t="s">
        <v>164</v>
      </c>
      <c r="BA1204" s="15" t="s">
        <v>165</v>
      </c>
      <c r="BB1204" s="15" t="s">
        <v>23386</v>
      </c>
      <c r="BC1204" s="15" t="s">
        <v>23387</v>
      </c>
      <c r="BD1204" s="21">
        <v>21</v>
      </c>
      <c r="BE1204" s="15" t="s">
        <v>138</v>
      </c>
      <c r="BF1204" s="15" t="s">
        <v>138</v>
      </c>
      <c r="BG1204" s="15" t="s">
        <v>138</v>
      </c>
      <c r="BH1204" s="15" t="s">
        <v>23388</v>
      </c>
      <c r="BI1204" s="15" t="s">
        <v>138</v>
      </c>
      <c r="BJ1204" s="15" t="s">
        <v>138</v>
      </c>
      <c r="BK1204" s="15" t="s">
        <v>23389</v>
      </c>
      <c r="BL1204" s="15" t="s">
        <v>23390</v>
      </c>
      <c r="BM1204" s="22">
        <v>40493</v>
      </c>
      <c r="BN1204" s="17">
        <v>2</v>
      </c>
      <c r="BO1204" s="15" t="s">
        <v>172</v>
      </c>
      <c r="BP1204" s="17">
        <v>5</v>
      </c>
      <c r="BQ1204" s="15" t="s">
        <v>172</v>
      </c>
      <c r="BR1204" s="15" t="s">
        <v>262</v>
      </c>
      <c r="BS1204" s="15" t="s">
        <v>206</v>
      </c>
      <c r="BT1204" s="15" t="s">
        <v>138</v>
      </c>
      <c r="BU1204" s="15" t="s">
        <v>263</v>
      </c>
      <c r="BV1204" s="15" t="s">
        <v>138</v>
      </c>
      <c r="BW1204" s="15" t="s">
        <v>138</v>
      </c>
      <c r="BX1204" s="15" t="s">
        <v>138</v>
      </c>
      <c r="BY1204" s="15" t="s">
        <v>175</v>
      </c>
      <c r="BZ1204" s="22">
        <v>43018</v>
      </c>
      <c r="CA1204" s="17" t="s">
        <v>138</v>
      </c>
      <c r="CB1204" s="15" t="s">
        <v>138</v>
      </c>
      <c r="CC1204" s="17" t="s">
        <v>138</v>
      </c>
      <c r="CD1204" s="15" t="s">
        <v>138</v>
      </c>
      <c r="CE1204" s="15" t="s">
        <v>780</v>
      </c>
      <c r="CF1204" s="15" t="s">
        <v>780</v>
      </c>
      <c r="CG1204" s="15" t="s">
        <v>138</v>
      </c>
      <c r="CH1204" s="15" t="s">
        <v>780</v>
      </c>
      <c r="CI1204" s="15" t="s">
        <v>138</v>
      </c>
      <c r="CJ1204" s="15" t="s">
        <v>138</v>
      </c>
      <c r="CK1204" s="15" t="s">
        <v>138</v>
      </c>
      <c r="CL1204" s="15" t="s">
        <v>175</v>
      </c>
      <c r="CM1204" s="22" t="s">
        <v>138</v>
      </c>
      <c r="CN1204" s="17" t="s">
        <v>138</v>
      </c>
      <c r="CO1204" s="23">
        <v>0.04</v>
      </c>
      <c r="CP1204" s="24">
        <v>87</v>
      </c>
      <c r="CQ1204" s="23">
        <v>0.02</v>
      </c>
      <c r="CR1204" s="23">
        <v>53.08</v>
      </c>
      <c r="CS1204" s="23">
        <v>7.0000000000000007E-2</v>
      </c>
      <c r="CT1204" s="24">
        <v>94</v>
      </c>
      <c r="CU1204" s="23">
        <v>0.03</v>
      </c>
      <c r="CV1204" s="24">
        <v>54</v>
      </c>
      <c r="CW1204" s="23">
        <v>0.67</v>
      </c>
      <c r="CX1204" s="24">
        <v>83</v>
      </c>
      <c r="CY1204" s="23">
        <v>-0.53</v>
      </c>
      <c r="CZ1204" s="24">
        <v>22</v>
      </c>
      <c r="DA1204" s="23">
        <v>0.03</v>
      </c>
      <c r="DB1204" s="24">
        <v>60</v>
      </c>
      <c r="DC1204" s="25">
        <v>3222.17</v>
      </c>
      <c r="DD1204" s="24">
        <v>100</v>
      </c>
      <c r="DE1204" s="25">
        <v>-193.87</v>
      </c>
      <c r="DF1204" s="23">
        <v>-5.68</v>
      </c>
      <c r="DG1204" s="25">
        <v>5690.22</v>
      </c>
      <c r="DH1204" s="24">
        <v>100</v>
      </c>
      <c r="DI1204" s="25">
        <v>865.26</v>
      </c>
      <c r="DJ1204" s="24">
        <v>100</v>
      </c>
      <c r="DK1204" s="25">
        <v>11352.38</v>
      </c>
      <c r="DL1204" s="24">
        <v>100</v>
      </c>
      <c r="DM1204" s="25">
        <v>28.07</v>
      </c>
      <c r="DN1204" s="24">
        <v>96</v>
      </c>
      <c r="DO1204" s="25">
        <v>865.26</v>
      </c>
      <c r="DP1204" s="24">
        <v>100</v>
      </c>
      <c r="DQ1204" s="24">
        <v>3863571</v>
      </c>
      <c r="DR1204" s="26">
        <v>90882</v>
      </c>
      <c r="DS1204" s="23">
        <v>2.41</v>
      </c>
      <c r="DT1204" s="24">
        <v>814</v>
      </c>
      <c r="DU1204" s="26">
        <v>1</v>
      </c>
      <c r="DV1204" s="23">
        <v>0.12</v>
      </c>
      <c r="DW1204" s="24">
        <v>309749</v>
      </c>
      <c r="DX1204" s="27">
        <v>60</v>
      </c>
      <c r="DY1204" s="23">
        <v>0.02</v>
      </c>
      <c r="DZ1204" s="15" t="s">
        <v>178</v>
      </c>
      <c r="EA1204" s="22">
        <v>43593</v>
      </c>
      <c r="EB1204" s="17">
        <v>4000</v>
      </c>
      <c r="EC1204" s="22">
        <v>42909</v>
      </c>
      <c r="ED1204" s="15" t="s">
        <v>173</v>
      </c>
      <c r="EE1204" s="14" t="str">
        <f>HYPERLINK("https://my.pitchbook.com?c=51270-13", "View company online")</f>
        <v>View company online</v>
      </c>
    </row>
    <row r="1205" spans="1:135">
      <c r="A1205" s="28" t="s">
        <v>23391</v>
      </c>
      <c r="B1205" s="28" t="s">
        <v>23392</v>
      </c>
      <c r="C1205" s="28" t="s">
        <v>138</v>
      </c>
      <c r="D1205" s="28" t="s">
        <v>23393</v>
      </c>
      <c r="E1205" s="28" t="s">
        <v>138</v>
      </c>
      <c r="F1205" s="28" t="s">
        <v>23391</v>
      </c>
      <c r="G1205" s="28" t="s">
        <v>23394</v>
      </c>
      <c r="H1205" s="28" t="s">
        <v>141</v>
      </c>
      <c r="I1205" s="28" t="s">
        <v>142</v>
      </c>
      <c r="J1205" s="28" t="s">
        <v>4042</v>
      </c>
      <c r="K1205" s="28" t="s">
        <v>6541</v>
      </c>
      <c r="L1205" s="28" t="s">
        <v>23395</v>
      </c>
      <c r="M1205" s="28" t="s">
        <v>23396</v>
      </c>
      <c r="N1205" s="28" t="s">
        <v>147</v>
      </c>
      <c r="O1205" s="29">
        <v>20</v>
      </c>
      <c r="P1205" s="28" t="s">
        <v>148</v>
      </c>
      <c r="Q1205" s="28" t="s">
        <v>149</v>
      </c>
      <c r="R1205" s="28" t="s">
        <v>174</v>
      </c>
      <c r="S1205" s="28" t="s">
        <v>23397</v>
      </c>
      <c r="T1205" s="30">
        <v>25</v>
      </c>
      <c r="U1205" s="28" t="s">
        <v>23398</v>
      </c>
      <c r="V1205" s="28" t="s">
        <v>138</v>
      </c>
      <c r="W1205" s="28" t="s">
        <v>138</v>
      </c>
      <c r="X1205" s="31">
        <v>2014</v>
      </c>
      <c r="Y1205" s="28" t="s">
        <v>138</v>
      </c>
      <c r="Z1205" s="28" t="s">
        <v>138</v>
      </c>
      <c r="AA1205" s="28" t="s">
        <v>138</v>
      </c>
      <c r="AB1205" s="32" t="s">
        <v>138</v>
      </c>
      <c r="AC1205" s="32" t="s">
        <v>138</v>
      </c>
      <c r="AD1205" s="32" t="s">
        <v>138</v>
      </c>
      <c r="AE1205" s="32" t="s">
        <v>138</v>
      </c>
      <c r="AF1205" s="32" t="s">
        <v>138</v>
      </c>
      <c r="AG1205" s="28" t="s">
        <v>138</v>
      </c>
      <c r="AH1205" s="32" t="s">
        <v>138</v>
      </c>
      <c r="AI1205" s="32" t="s">
        <v>138</v>
      </c>
      <c r="AJ1205" s="32" t="s">
        <v>138</v>
      </c>
      <c r="AK1205" s="28" t="s">
        <v>23399</v>
      </c>
      <c r="AL1205" s="28" t="s">
        <v>23400</v>
      </c>
      <c r="AM1205" s="28" t="s">
        <v>23401</v>
      </c>
      <c r="AN1205" s="28" t="s">
        <v>23402</v>
      </c>
      <c r="AO1205" s="28" t="s">
        <v>23403</v>
      </c>
      <c r="AP1205" s="28" t="s">
        <v>23404</v>
      </c>
      <c r="AQ1205" s="28" t="s">
        <v>23405</v>
      </c>
      <c r="AR1205" s="28" t="s">
        <v>10286</v>
      </c>
      <c r="AS1205" s="28" t="s">
        <v>23406</v>
      </c>
      <c r="AT1205" s="28" t="s">
        <v>474</v>
      </c>
      <c r="AU1205" s="28" t="s">
        <v>23407</v>
      </c>
      <c r="AV1205" s="28" t="s">
        <v>162</v>
      </c>
      <c r="AW1205" s="28" t="s">
        <v>23408</v>
      </c>
      <c r="AX1205" s="28" t="s">
        <v>138</v>
      </c>
      <c r="AY1205" s="28" t="s">
        <v>23409</v>
      </c>
      <c r="AZ1205" s="28" t="s">
        <v>164</v>
      </c>
      <c r="BA1205" s="28" t="s">
        <v>165</v>
      </c>
      <c r="BB1205" s="28" t="s">
        <v>23410</v>
      </c>
      <c r="BC1205" s="28" t="s">
        <v>23411</v>
      </c>
      <c r="BD1205" s="33">
        <v>2</v>
      </c>
      <c r="BE1205" s="28" t="s">
        <v>138</v>
      </c>
      <c r="BF1205" s="28" t="s">
        <v>138</v>
      </c>
      <c r="BG1205" s="28" t="s">
        <v>138</v>
      </c>
      <c r="BH1205" s="28" t="s">
        <v>23412</v>
      </c>
      <c r="BI1205" s="28" t="s">
        <v>138</v>
      </c>
      <c r="BJ1205" s="28" t="s">
        <v>138</v>
      </c>
      <c r="BK1205" s="28" t="s">
        <v>138</v>
      </c>
      <c r="BL1205" s="28" t="s">
        <v>138</v>
      </c>
      <c r="BM1205" s="34">
        <v>42217</v>
      </c>
      <c r="BN1205" s="29" t="s">
        <v>138</v>
      </c>
      <c r="BO1205" s="28" t="s">
        <v>138</v>
      </c>
      <c r="BP1205" s="29" t="s">
        <v>138</v>
      </c>
      <c r="BQ1205" s="28" t="s">
        <v>138</v>
      </c>
      <c r="BR1205" s="28" t="s">
        <v>205</v>
      </c>
      <c r="BS1205" s="28" t="s">
        <v>206</v>
      </c>
      <c r="BT1205" s="28" t="s">
        <v>138</v>
      </c>
      <c r="BU1205" s="28" t="s">
        <v>174</v>
      </c>
      <c r="BV1205" s="28" t="s">
        <v>138</v>
      </c>
      <c r="BW1205" s="28" t="s">
        <v>138</v>
      </c>
      <c r="BX1205" s="28" t="s">
        <v>138</v>
      </c>
      <c r="BY1205" s="28" t="s">
        <v>175</v>
      </c>
      <c r="BZ1205" s="34">
        <v>43193</v>
      </c>
      <c r="CA1205" s="29">
        <v>20</v>
      </c>
      <c r="CB1205" s="28" t="s">
        <v>172</v>
      </c>
      <c r="CC1205" s="29" t="s">
        <v>138</v>
      </c>
      <c r="CD1205" s="28" t="s">
        <v>138</v>
      </c>
      <c r="CE1205" s="28" t="s">
        <v>205</v>
      </c>
      <c r="CF1205" s="28" t="s">
        <v>138</v>
      </c>
      <c r="CG1205" s="28" t="s">
        <v>138</v>
      </c>
      <c r="CH1205" s="28" t="s">
        <v>174</v>
      </c>
      <c r="CI1205" s="28" t="s">
        <v>138</v>
      </c>
      <c r="CJ1205" s="28" t="s">
        <v>138</v>
      </c>
      <c r="CK1205" s="28" t="s">
        <v>138</v>
      </c>
      <c r="CL1205" s="28" t="s">
        <v>175</v>
      </c>
      <c r="CM1205" s="34" t="s">
        <v>138</v>
      </c>
      <c r="CN1205" s="29" t="s">
        <v>138</v>
      </c>
      <c r="CO1205" s="35">
        <v>0.21</v>
      </c>
      <c r="CP1205" s="36">
        <v>92</v>
      </c>
      <c r="CQ1205" s="35">
        <v>-0.04</v>
      </c>
      <c r="CR1205" s="35">
        <v>-14.96</v>
      </c>
      <c r="CS1205" s="35">
        <v>0</v>
      </c>
      <c r="CT1205" s="36">
        <v>23</v>
      </c>
      <c r="CU1205" s="35">
        <v>0.42</v>
      </c>
      <c r="CV1205" s="36">
        <v>92</v>
      </c>
      <c r="CW1205" s="35">
        <v>0</v>
      </c>
      <c r="CX1205" s="36">
        <v>13</v>
      </c>
      <c r="CY1205" s="35">
        <v>0</v>
      </c>
      <c r="CZ1205" s="36">
        <v>25</v>
      </c>
      <c r="DA1205" s="35">
        <v>0.42</v>
      </c>
      <c r="DB1205" s="36">
        <v>92</v>
      </c>
      <c r="DC1205" s="37">
        <v>1.89</v>
      </c>
      <c r="DD1205" s="36">
        <v>66</v>
      </c>
      <c r="DE1205" s="37">
        <v>-0.02</v>
      </c>
      <c r="DF1205" s="35">
        <v>-1.29</v>
      </c>
      <c r="DG1205" s="37">
        <v>1.3</v>
      </c>
      <c r="DH1205" s="36">
        <v>57</v>
      </c>
      <c r="DI1205" s="37">
        <v>2.48</v>
      </c>
      <c r="DJ1205" s="36">
        <v>66</v>
      </c>
      <c r="DK1205" s="37">
        <v>1.07</v>
      </c>
      <c r="DL1205" s="36">
        <v>52</v>
      </c>
      <c r="DM1205" s="37">
        <v>1.52</v>
      </c>
      <c r="DN1205" s="36">
        <v>60</v>
      </c>
      <c r="DO1205" s="37">
        <v>2.48</v>
      </c>
      <c r="DP1205" s="36">
        <v>68</v>
      </c>
      <c r="DQ1205" s="36">
        <v>354</v>
      </c>
      <c r="DR1205" s="38">
        <v>41</v>
      </c>
      <c r="DS1205" s="35">
        <v>13.1</v>
      </c>
      <c r="DT1205" s="36">
        <v>44</v>
      </c>
      <c r="DU1205" s="38">
        <v>-1</v>
      </c>
      <c r="DV1205" s="35">
        <v>-2.2200000000000002</v>
      </c>
      <c r="DW1205" s="36">
        <v>886</v>
      </c>
      <c r="DX1205" s="39">
        <v>0</v>
      </c>
      <c r="DY1205" s="35">
        <v>0</v>
      </c>
      <c r="DZ1205" s="28" t="s">
        <v>178</v>
      </c>
      <c r="EA1205" s="34">
        <v>43351</v>
      </c>
      <c r="EB1205" s="29" t="s">
        <v>138</v>
      </c>
      <c r="EC1205" s="34" t="s">
        <v>138</v>
      </c>
      <c r="ED1205" s="28" t="s">
        <v>138</v>
      </c>
      <c r="EE1205" s="40" t="str">
        <f>HYPERLINK("https://my.pitchbook.com?c=124143-31", "View company online")</f>
        <v>View company online</v>
      </c>
    </row>
    <row r="1206" spans="1:135">
      <c r="A1206" s="15" t="s">
        <v>23413</v>
      </c>
      <c r="B1206" s="15" t="s">
        <v>23414</v>
      </c>
      <c r="C1206" s="15" t="s">
        <v>23415</v>
      </c>
      <c r="D1206" s="15" t="s">
        <v>138</v>
      </c>
      <c r="E1206" s="15" t="s">
        <v>23416</v>
      </c>
      <c r="F1206" s="15" t="s">
        <v>23413</v>
      </c>
      <c r="G1206" s="15" t="s">
        <v>23417</v>
      </c>
      <c r="H1206" s="15" t="s">
        <v>322</v>
      </c>
      <c r="I1206" s="15" t="s">
        <v>323</v>
      </c>
      <c r="J1206" s="15" t="s">
        <v>954</v>
      </c>
      <c r="K1206" s="15" t="s">
        <v>1562</v>
      </c>
      <c r="L1206" s="15" t="s">
        <v>10085</v>
      </c>
      <c r="M1206" s="15" t="s">
        <v>23418</v>
      </c>
      <c r="N1206" s="15" t="s">
        <v>147</v>
      </c>
      <c r="O1206" s="17">
        <v>70.180000000000007</v>
      </c>
      <c r="P1206" s="15" t="s">
        <v>148</v>
      </c>
      <c r="Q1206" s="15" t="s">
        <v>149</v>
      </c>
      <c r="R1206" s="15" t="s">
        <v>174</v>
      </c>
      <c r="S1206" s="15" t="s">
        <v>23419</v>
      </c>
      <c r="T1206" s="18">
        <v>87</v>
      </c>
      <c r="U1206" s="15" t="s">
        <v>23420</v>
      </c>
      <c r="V1206" s="15" t="s">
        <v>138</v>
      </c>
      <c r="W1206" s="15" t="s">
        <v>138</v>
      </c>
      <c r="X1206" s="19">
        <v>2012</v>
      </c>
      <c r="Y1206" s="15" t="s">
        <v>138</v>
      </c>
      <c r="Z1206" s="15" t="s">
        <v>138</v>
      </c>
      <c r="AA1206" s="15" t="s">
        <v>138</v>
      </c>
      <c r="AB1206" s="20" t="s">
        <v>138</v>
      </c>
      <c r="AC1206" s="20" t="s">
        <v>138</v>
      </c>
      <c r="AD1206" s="20" t="s">
        <v>138</v>
      </c>
      <c r="AE1206" s="20" t="s">
        <v>138</v>
      </c>
      <c r="AF1206" s="20" t="s">
        <v>138</v>
      </c>
      <c r="AG1206" s="15" t="s">
        <v>138</v>
      </c>
      <c r="AH1206" s="20" t="s">
        <v>138</v>
      </c>
      <c r="AI1206" s="20" t="s">
        <v>138</v>
      </c>
      <c r="AJ1206" s="20" t="s">
        <v>138</v>
      </c>
      <c r="AK1206" s="15" t="s">
        <v>23421</v>
      </c>
      <c r="AL1206" s="15" t="s">
        <v>23422</v>
      </c>
      <c r="AM1206" s="15" t="s">
        <v>20529</v>
      </c>
      <c r="AN1206" s="15" t="s">
        <v>23423</v>
      </c>
      <c r="AO1206" s="15" t="s">
        <v>138</v>
      </c>
      <c r="AP1206" s="15" t="s">
        <v>665</v>
      </c>
      <c r="AQ1206" s="15" t="s">
        <v>23424</v>
      </c>
      <c r="AR1206" s="15" t="s">
        <v>138</v>
      </c>
      <c r="AS1206" s="15" t="s">
        <v>668</v>
      </c>
      <c r="AT1206" s="15" t="s">
        <v>200</v>
      </c>
      <c r="AU1206" s="15" t="s">
        <v>3557</v>
      </c>
      <c r="AV1206" s="15" t="s">
        <v>162</v>
      </c>
      <c r="AW1206" s="15" t="s">
        <v>138</v>
      </c>
      <c r="AX1206" s="15" t="s">
        <v>138</v>
      </c>
      <c r="AY1206" s="15" t="s">
        <v>23425</v>
      </c>
      <c r="AZ1206" s="15" t="s">
        <v>164</v>
      </c>
      <c r="BA1206" s="15" t="s">
        <v>165</v>
      </c>
      <c r="BB1206" s="15" t="s">
        <v>23426</v>
      </c>
      <c r="BC1206" s="15" t="s">
        <v>23427</v>
      </c>
      <c r="BD1206" s="21">
        <v>38</v>
      </c>
      <c r="BE1206" s="15" t="s">
        <v>138</v>
      </c>
      <c r="BF1206" s="15" t="s">
        <v>138</v>
      </c>
      <c r="BG1206" s="15" t="s">
        <v>138</v>
      </c>
      <c r="BH1206" s="15" t="s">
        <v>23428</v>
      </c>
      <c r="BI1206" s="15" t="s">
        <v>138</v>
      </c>
      <c r="BJ1206" s="15" t="s">
        <v>138</v>
      </c>
      <c r="BK1206" s="15" t="s">
        <v>2936</v>
      </c>
      <c r="BL1206" s="15" t="s">
        <v>2936</v>
      </c>
      <c r="BM1206" s="22">
        <v>41275</v>
      </c>
      <c r="BN1206" s="17">
        <v>0.6</v>
      </c>
      <c r="BO1206" s="15" t="s">
        <v>172</v>
      </c>
      <c r="BP1206" s="17" t="s">
        <v>138</v>
      </c>
      <c r="BQ1206" s="15" t="s">
        <v>138</v>
      </c>
      <c r="BR1206" s="15" t="s">
        <v>234</v>
      </c>
      <c r="BS1206" s="15" t="s">
        <v>234</v>
      </c>
      <c r="BT1206" s="15" t="s">
        <v>138</v>
      </c>
      <c r="BU1206" s="15" t="s">
        <v>174</v>
      </c>
      <c r="BV1206" s="15" t="s">
        <v>138</v>
      </c>
      <c r="BW1206" s="15" t="s">
        <v>138</v>
      </c>
      <c r="BX1206" s="15" t="s">
        <v>138</v>
      </c>
      <c r="BY1206" s="15" t="s">
        <v>175</v>
      </c>
      <c r="BZ1206" s="22">
        <v>42713</v>
      </c>
      <c r="CA1206" s="17">
        <v>52</v>
      </c>
      <c r="CB1206" s="15" t="s">
        <v>172</v>
      </c>
      <c r="CC1206" s="17" t="s">
        <v>138</v>
      </c>
      <c r="CD1206" s="15" t="s">
        <v>138</v>
      </c>
      <c r="CE1206" s="15" t="s">
        <v>173</v>
      </c>
      <c r="CF1206" s="15" t="s">
        <v>317</v>
      </c>
      <c r="CG1206" s="15" t="s">
        <v>138</v>
      </c>
      <c r="CH1206" s="15" t="s">
        <v>174</v>
      </c>
      <c r="CI1206" s="15" t="s">
        <v>138</v>
      </c>
      <c r="CJ1206" s="15" t="s">
        <v>138</v>
      </c>
      <c r="CK1206" s="15" t="s">
        <v>138</v>
      </c>
      <c r="CL1206" s="15" t="s">
        <v>175</v>
      </c>
      <c r="CM1206" s="22" t="s">
        <v>138</v>
      </c>
      <c r="CN1206" s="17" t="s">
        <v>138</v>
      </c>
      <c r="CO1206" s="23">
        <v>-0.5</v>
      </c>
      <c r="CP1206" s="24">
        <v>16</v>
      </c>
      <c r="CQ1206" s="23">
        <v>-0.01</v>
      </c>
      <c r="CR1206" s="23">
        <v>-2.08</v>
      </c>
      <c r="CS1206" s="23">
        <v>-2.38</v>
      </c>
      <c r="CT1206" s="24">
        <v>7</v>
      </c>
      <c r="CU1206" s="23">
        <v>-0.08</v>
      </c>
      <c r="CV1206" s="24">
        <v>5</v>
      </c>
      <c r="CW1206" s="23">
        <v>-2.38</v>
      </c>
      <c r="CX1206" s="24">
        <v>6</v>
      </c>
      <c r="CY1206" s="23" t="s">
        <v>138</v>
      </c>
      <c r="CZ1206" s="24" t="s">
        <v>138</v>
      </c>
      <c r="DA1206" s="23">
        <v>-0.08</v>
      </c>
      <c r="DB1206" s="24">
        <v>8</v>
      </c>
      <c r="DC1206" s="25">
        <v>506.22</v>
      </c>
      <c r="DD1206" s="24">
        <v>100</v>
      </c>
      <c r="DE1206" s="25">
        <v>4.9800000000000004</v>
      </c>
      <c r="DF1206" s="23">
        <v>0.99</v>
      </c>
      <c r="DG1206" s="25">
        <v>87.52</v>
      </c>
      <c r="DH1206" s="24">
        <v>99</v>
      </c>
      <c r="DI1206" s="25">
        <v>1023.23</v>
      </c>
      <c r="DJ1206" s="24">
        <v>100</v>
      </c>
      <c r="DK1206" s="25">
        <v>87.52</v>
      </c>
      <c r="DL1206" s="24">
        <v>97</v>
      </c>
      <c r="DM1206" s="25" t="s">
        <v>138</v>
      </c>
      <c r="DN1206" s="24" t="s">
        <v>138</v>
      </c>
      <c r="DO1206" s="25">
        <v>1023.23</v>
      </c>
      <c r="DP1206" s="24">
        <v>100</v>
      </c>
      <c r="DQ1206" s="24">
        <v>30709</v>
      </c>
      <c r="DR1206" s="26">
        <v>-2073</v>
      </c>
      <c r="DS1206" s="23">
        <v>-6.32</v>
      </c>
      <c r="DT1206" s="24" t="s">
        <v>138</v>
      </c>
      <c r="DU1206" s="26" t="s">
        <v>138</v>
      </c>
      <c r="DV1206" s="23" t="s">
        <v>138</v>
      </c>
      <c r="DW1206" s="24">
        <v>366438</v>
      </c>
      <c r="DX1206" s="27">
        <v>-269</v>
      </c>
      <c r="DY1206" s="23">
        <v>-7.0000000000000007E-2</v>
      </c>
      <c r="DZ1206" s="15" t="s">
        <v>178</v>
      </c>
      <c r="EA1206" s="22">
        <v>43578</v>
      </c>
      <c r="EB1206" s="17">
        <v>54</v>
      </c>
      <c r="EC1206" s="22">
        <v>42100</v>
      </c>
      <c r="ED1206" s="15" t="s">
        <v>205</v>
      </c>
      <c r="EE1206" s="14" t="str">
        <f>HYPERLINK("https://my.pitchbook.com?c=58861-36", "View company online")</f>
        <v>View company online</v>
      </c>
    </row>
    <row r="1207" spans="1:135">
      <c r="A1207" s="28" t="s">
        <v>23429</v>
      </c>
      <c r="B1207" s="28" t="s">
        <v>23430</v>
      </c>
      <c r="C1207" s="28" t="s">
        <v>138</v>
      </c>
      <c r="D1207" s="28" t="s">
        <v>138</v>
      </c>
      <c r="E1207" s="28" t="s">
        <v>23431</v>
      </c>
      <c r="F1207" s="28" t="s">
        <v>23429</v>
      </c>
      <c r="G1207" s="28" t="s">
        <v>23432</v>
      </c>
      <c r="H1207" s="28" t="s">
        <v>322</v>
      </c>
      <c r="I1207" s="28" t="s">
        <v>323</v>
      </c>
      <c r="J1207" s="28" t="s">
        <v>9497</v>
      </c>
      <c r="K1207" s="28" t="s">
        <v>23433</v>
      </c>
      <c r="L1207" s="28" t="s">
        <v>20408</v>
      </c>
      <c r="M1207" s="28" t="s">
        <v>23434</v>
      </c>
      <c r="N1207" s="28" t="s">
        <v>147</v>
      </c>
      <c r="O1207" s="29">
        <v>393.82</v>
      </c>
      <c r="P1207" s="28" t="s">
        <v>148</v>
      </c>
      <c r="Q1207" s="28" t="s">
        <v>149</v>
      </c>
      <c r="R1207" s="28" t="s">
        <v>244</v>
      </c>
      <c r="S1207" s="28" t="s">
        <v>23435</v>
      </c>
      <c r="T1207" s="30">
        <v>259</v>
      </c>
      <c r="U1207" s="28" t="s">
        <v>23436</v>
      </c>
      <c r="V1207" s="28" t="s">
        <v>138</v>
      </c>
      <c r="W1207" s="28" t="s">
        <v>138</v>
      </c>
      <c r="X1207" s="31">
        <v>2004</v>
      </c>
      <c r="Y1207" s="28" t="s">
        <v>138</v>
      </c>
      <c r="Z1207" s="28" t="s">
        <v>138</v>
      </c>
      <c r="AA1207" s="28" t="s">
        <v>138</v>
      </c>
      <c r="AB1207" s="32">
        <v>12</v>
      </c>
      <c r="AC1207" s="32" t="s">
        <v>138</v>
      </c>
      <c r="AD1207" s="32" t="s">
        <v>138</v>
      </c>
      <c r="AE1207" s="32" t="s">
        <v>138</v>
      </c>
      <c r="AF1207" s="32" t="s">
        <v>138</v>
      </c>
      <c r="AG1207" s="28" t="s">
        <v>18967</v>
      </c>
      <c r="AH1207" s="32" t="s">
        <v>138</v>
      </c>
      <c r="AI1207" s="32" t="s">
        <v>138</v>
      </c>
      <c r="AJ1207" s="32" t="s">
        <v>138</v>
      </c>
      <c r="AK1207" s="28" t="s">
        <v>23437</v>
      </c>
      <c r="AL1207" s="28" t="s">
        <v>23438</v>
      </c>
      <c r="AM1207" s="28" t="s">
        <v>10390</v>
      </c>
      <c r="AN1207" s="28" t="s">
        <v>23439</v>
      </c>
      <c r="AO1207" s="28" t="s">
        <v>23440</v>
      </c>
      <c r="AP1207" s="28" t="s">
        <v>2649</v>
      </c>
      <c r="AQ1207" s="28" t="s">
        <v>23441</v>
      </c>
      <c r="AR1207" s="28" t="s">
        <v>23442</v>
      </c>
      <c r="AS1207" s="28" t="s">
        <v>2651</v>
      </c>
      <c r="AT1207" s="28" t="s">
        <v>200</v>
      </c>
      <c r="AU1207" s="28" t="s">
        <v>2652</v>
      </c>
      <c r="AV1207" s="28" t="s">
        <v>162</v>
      </c>
      <c r="AW1207" s="28" t="s">
        <v>23440</v>
      </c>
      <c r="AX1207" s="28" t="s">
        <v>23443</v>
      </c>
      <c r="AY1207" s="28" t="s">
        <v>138</v>
      </c>
      <c r="AZ1207" s="28" t="s">
        <v>164</v>
      </c>
      <c r="BA1207" s="28" t="s">
        <v>165</v>
      </c>
      <c r="BB1207" s="28" t="s">
        <v>23444</v>
      </c>
      <c r="BC1207" s="28" t="s">
        <v>23445</v>
      </c>
      <c r="BD1207" s="33">
        <v>13</v>
      </c>
      <c r="BE1207" s="28" t="s">
        <v>138</v>
      </c>
      <c r="BF1207" s="28" t="s">
        <v>138</v>
      </c>
      <c r="BG1207" s="28" t="s">
        <v>138</v>
      </c>
      <c r="BH1207" s="28" t="s">
        <v>23446</v>
      </c>
      <c r="BI1207" s="28" t="s">
        <v>138</v>
      </c>
      <c r="BJ1207" s="28" t="s">
        <v>138</v>
      </c>
      <c r="BK1207" s="28" t="s">
        <v>23447</v>
      </c>
      <c r="BL1207" s="28" t="s">
        <v>23448</v>
      </c>
      <c r="BM1207" s="34" t="s">
        <v>138</v>
      </c>
      <c r="BN1207" s="29">
        <v>0.15</v>
      </c>
      <c r="BO1207" s="28" t="s">
        <v>172</v>
      </c>
      <c r="BP1207" s="29" t="s">
        <v>138</v>
      </c>
      <c r="BQ1207" s="28" t="s">
        <v>138</v>
      </c>
      <c r="BR1207" s="28" t="s">
        <v>262</v>
      </c>
      <c r="BS1207" s="28" t="s">
        <v>262</v>
      </c>
      <c r="BT1207" s="28" t="s">
        <v>138</v>
      </c>
      <c r="BU1207" s="28" t="s">
        <v>263</v>
      </c>
      <c r="BV1207" s="28" t="s">
        <v>138</v>
      </c>
      <c r="BW1207" s="28" t="s">
        <v>138</v>
      </c>
      <c r="BX1207" s="28" t="s">
        <v>138</v>
      </c>
      <c r="BY1207" s="28" t="s">
        <v>175</v>
      </c>
      <c r="BZ1207" s="34">
        <v>43147</v>
      </c>
      <c r="CA1207" s="29">
        <v>50</v>
      </c>
      <c r="CB1207" s="28" t="s">
        <v>172</v>
      </c>
      <c r="CC1207" s="29">
        <v>85</v>
      </c>
      <c r="CD1207" s="28" t="s">
        <v>172</v>
      </c>
      <c r="CE1207" s="28" t="s">
        <v>173</v>
      </c>
      <c r="CF1207" s="28" t="s">
        <v>8444</v>
      </c>
      <c r="CG1207" s="28" t="s">
        <v>138</v>
      </c>
      <c r="CH1207" s="28" t="s">
        <v>174</v>
      </c>
      <c r="CI1207" s="28" t="s">
        <v>138</v>
      </c>
      <c r="CJ1207" s="28" t="s">
        <v>138</v>
      </c>
      <c r="CK1207" s="28" t="s">
        <v>138</v>
      </c>
      <c r="CL1207" s="28" t="s">
        <v>175</v>
      </c>
      <c r="CM1207" s="34">
        <v>41325</v>
      </c>
      <c r="CN1207" s="29">
        <v>5</v>
      </c>
      <c r="CO1207" s="35">
        <v>-1.24</v>
      </c>
      <c r="CP1207" s="36">
        <v>9</v>
      </c>
      <c r="CQ1207" s="35">
        <v>0.05</v>
      </c>
      <c r="CR1207" s="35">
        <v>3.6</v>
      </c>
      <c r="CS1207" s="35">
        <v>-2.67</v>
      </c>
      <c r="CT1207" s="36">
        <v>6</v>
      </c>
      <c r="CU1207" s="35">
        <v>0.2</v>
      </c>
      <c r="CV1207" s="36">
        <v>80</v>
      </c>
      <c r="CW1207" s="35">
        <v>0</v>
      </c>
      <c r="CX1207" s="36">
        <v>13</v>
      </c>
      <c r="CY1207" s="35">
        <v>-5.34</v>
      </c>
      <c r="CZ1207" s="36">
        <v>3</v>
      </c>
      <c r="DA1207" s="35">
        <v>0.2</v>
      </c>
      <c r="DB1207" s="36">
        <v>82</v>
      </c>
      <c r="DC1207" s="37">
        <v>6.74</v>
      </c>
      <c r="DD1207" s="36">
        <v>86</v>
      </c>
      <c r="DE1207" s="37">
        <v>-7.0000000000000007E-2</v>
      </c>
      <c r="DF1207" s="35">
        <v>-1.08</v>
      </c>
      <c r="DG1207" s="37">
        <v>12.21</v>
      </c>
      <c r="DH1207" s="36">
        <v>91</v>
      </c>
      <c r="DI1207" s="37">
        <v>1.27</v>
      </c>
      <c r="DJ1207" s="36">
        <v>54</v>
      </c>
      <c r="DK1207" s="37">
        <v>1.69</v>
      </c>
      <c r="DL1207" s="36">
        <v>61</v>
      </c>
      <c r="DM1207" s="37">
        <v>22.72</v>
      </c>
      <c r="DN1207" s="36">
        <v>95</v>
      </c>
      <c r="DO1207" s="37">
        <v>1.27</v>
      </c>
      <c r="DP1207" s="36">
        <v>55</v>
      </c>
      <c r="DQ1207" s="36">
        <v>600</v>
      </c>
      <c r="DR1207" s="38">
        <v>-58</v>
      </c>
      <c r="DS1207" s="35">
        <v>-8.81</v>
      </c>
      <c r="DT1207" s="36">
        <v>660</v>
      </c>
      <c r="DU1207" s="38">
        <v>-2</v>
      </c>
      <c r="DV1207" s="35">
        <v>-0.3</v>
      </c>
      <c r="DW1207" s="36">
        <v>453</v>
      </c>
      <c r="DX1207" s="39">
        <v>4</v>
      </c>
      <c r="DY1207" s="35">
        <v>0.89</v>
      </c>
      <c r="DZ1207" s="28" t="s">
        <v>178</v>
      </c>
      <c r="EA1207" s="34">
        <v>43385</v>
      </c>
      <c r="EB1207" s="29">
        <v>85</v>
      </c>
      <c r="EC1207" s="34">
        <v>43147</v>
      </c>
      <c r="ED1207" s="28" t="s">
        <v>173</v>
      </c>
      <c r="EE1207" s="40" t="str">
        <f>HYPERLINK("https://my.pitchbook.com?c=52932-07", "View company online")</f>
        <v>View company online</v>
      </c>
    </row>
    <row r="1208" spans="1:135">
      <c r="A1208" s="15" t="s">
        <v>23449</v>
      </c>
      <c r="B1208" s="15" t="s">
        <v>23450</v>
      </c>
      <c r="C1208" s="15" t="s">
        <v>23451</v>
      </c>
      <c r="D1208" s="15" t="s">
        <v>23452</v>
      </c>
      <c r="E1208" s="15" t="s">
        <v>23453</v>
      </c>
      <c r="F1208" s="15" t="s">
        <v>23449</v>
      </c>
      <c r="G1208" s="15" t="s">
        <v>23454</v>
      </c>
      <c r="H1208" s="15" t="s">
        <v>238</v>
      </c>
      <c r="I1208" s="15" t="s">
        <v>749</v>
      </c>
      <c r="J1208" s="15" t="s">
        <v>750</v>
      </c>
      <c r="K1208" s="15" t="s">
        <v>751</v>
      </c>
      <c r="L1208" s="15" t="s">
        <v>752</v>
      </c>
      <c r="M1208" s="15" t="s">
        <v>23455</v>
      </c>
      <c r="N1208" s="15" t="s">
        <v>147</v>
      </c>
      <c r="O1208" s="17">
        <v>5.15</v>
      </c>
      <c r="P1208" s="15" t="s">
        <v>148</v>
      </c>
      <c r="Q1208" s="15" t="s">
        <v>149</v>
      </c>
      <c r="R1208" s="15" t="s">
        <v>174</v>
      </c>
      <c r="S1208" s="15" t="s">
        <v>23456</v>
      </c>
      <c r="T1208" s="18">
        <v>70</v>
      </c>
      <c r="U1208" s="15" t="s">
        <v>23457</v>
      </c>
      <c r="V1208" s="15" t="s">
        <v>138</v>
      </c>
      <c r="W1208" s="15" t="s">
        <v>138</v>
      </c>
      <c r="X1208" s="19">
        <v>2010</v>
      </c>
      <c r="Y1208" s="15" t="s">
        <v>138</v>
      </c>
      <c r="Z1208" s="15" t="s">
        <v>138</v>
      </c>
      <c r="AA1208" s="15" t="s">
        <v>138</v>
      </c>
      <c r="AB1208" s="20" t="s">
        <v>138</v>
      </c>
      <c r="AC1208" s="20" t="s">
        <v>138</v>
      </c>
      <c r="AD1208" s="20" t="s">
        <v>138</v>
      </c>
      <c r="AE1208" s="20" t="s">
        <v>138</v>
      </c>
      <c r="AF1208" s="20" t="s">
        <v>138</v>
      </c>
      <c r="AG1208" s="15" t="s">
        <v>138</v>
      </c>
      <c r="AH1208" s="20" t="s">
        <v>138</v>
      </c>
      <c r="AI1208" s="20" t="s">
        <v>138</v>
      </c>
      <c r="AJ1208" s="20" t="s">
        <v>138</v>
      </c>
      <c r="AK1208" s="15" t="s">
        <v>23458</v>
      </c>
      <c r="AL1208" s="15" t="s">
        <v>23459</v>
      </c>
      <c r="AM1208" s="15" t="s">
        <v>23460</v>
      </c>
      <c r="AN1208" s="15" t="s">
        <v>23461</v>
      </c>
      <c r="AO1208" s="15" t="s">
        <v>23462</v>
      </c>
      <c r="AP1208" s="15" t="s">
        <v>368</v>
      </c>
      <c r="AQ1208" s="15" t="s">
        <v>23463</v>
      </c>
      <c r="AR1208" s="15" t="s">
        <v>138</v>
      </c>
      <c r="AS1208" s="15" t="s">
        <v>370</v>
      </c>
      <c r="AT1208" s="15" t="s">
        <v>371</v>
      </c>
      <c r="AU1208" s="15" t="s">
        <v>372</v>
      </c>
      <c r="AV1208" s="15" t="s">
        <v>162</v>
      </c>
      <c r="AW1208" s="15" t="s">
        <v>23462</v>
      </c>
      <c r="AX1208" s="15" t="s">
        <v>23464</v>
      </c>
      <c r="AY1208" s="15" t="s">
        <v>138</v>
      </c>
      <c r="AZ1208" s="15" t="s">
        <v>164</v>
      </c>
      <c r="BA1208" s="15" t="s">
        <v>165</v>
      </c>
      <c r="BB1208" s="15" t="s">
        <v>23465</v>
      </c>
      <c r="BC1208" s="15" t="s">
        <v>12498</v>
      </c>
      <c r="BD1208" s="21">
        <v>1</v>
      </c>
      <c r="BE1208" s="15" t="s">
        <v>138</v>
      </c>
      <c r="BF1208" s="15" t="s">
        <v>138</v>
      </c>
      <c r="BG1208" s="15" t="s">
        <v>138</v>
      </c>
      <c r="BH1208" s="15" t="s">
        <v>12499</v>
      </c>
      <c r="BI1208" s="15" t="s">
        <v>138</v>
      </c>
      <c r="BJ1208" s="15" t="s">
        <v>138</v>
      </c>
      <c r="BK1208" s="15" t="s">
        <v>23466</v>
      </c>
      <c r="BL1208" s="15" t="s">
        <v>23466</v>
      </c>
      <c r="BM1208" s="22">
        <v>42227</v>
      </c>
      <c r="BN1208" s="17">
        <v>2.15</v>
      </c>
      <c r="BO1208" s="15" t="s">
        <v>172</v>
      </c>
      <c r="BP1208" s="17" t="s">
        <v>138</v>
      </c>
      <c r="BQ1208" s="15" t="s">
        <v>138</v>
      </c>
      <c r="BR1208" s="15" t="s">
        <v>173</v>
      </c>
      <c r="BS1208" s="15" t="s">
        <v>138</v>
      </c>
      <c r="BT1208" s="15" t="s">
        <v>138</v>
      </c>
      <c r="BU1208" s="15" t="s">
        <v>174</v>
      </c>
      <c r="BV1208" s="15" t="s">
        <v>138</v>
      </c>
      <c r="BW1208" s="15" t="s">
        <v>138</v>
      </c>
      <c r="BX1208" s="15" t="s">
        <v>138</v>
      </c>
      <c r="BY1208" s="15" t="s">
        <v>175</v>
      </c>
      <c r="BZ1208" s="22">
        <v>43609</v>
      </c>
      <c r="CA1208" s="17">
        <v>3</v>
      </c>
      <c r="CB1208" s="15" t="s">
        <v>172</v>
      </c>
      <c r="CC1208" s="17" t="s">
        <v>138</v>
      </c>
      <c r="CD1208" s="15" t="s">
        <v>138</v>
      </c>
      <c r="CE1208" s="15" t="s">
        <v>173</v>
      </c>
      <c r="CF1208" s="15" t="s">
        <v>138</v>
      </c>
      <c r="CG1208" s="15" t="s">
        <v>138</v>
      </c>
      <c r="CH1208" s="15" t="s">
        <v>174</v>
      </c>
      <c r="CI1208" s="15" t="s">
        <v>138</v>
      </c>
      <c r="CJ1208" s="15" t="s">
        <v>138</v>
      </c>
      <c r="CK1208" s="15" t="s">
        <v>138</v>
      </c>
      <c r="CL1208" s="15" t="s">
        <v>175</v>
      </c>
      <c r="CM1208" s="22" t="s">
        <v>138</v>
      </c>
      <c r="CN1208" s="17" t="s">
        <v>138</v>
      </c>
      <c r="CO1208" s="23">
        <v>-0.47</v>
      </c>
      <c r="CP1208" s="24">
        <v>16</v>
      </c>
      <c r="CQ1208" s="23">
        <v>7.0000000000000007E-2</v>
      </c>
      <c r="CR1208" s="23">
        <v>12.36</v>
      </c>
      <c r="CS1208" s="23">
        <v>-0.93</v>
      </c>
      <c r="CT1208" s="24">
        <v>16</v>
      </c>
      <c r="CU1208" s="23">
        <v>-0.01</v>
      </c>
      <c r="CV1208" s="24">
        <v>20</v>
      </c>
      <c r="CW1208" s="23">
        <v>-0.01</v>
      </c>
      <c r="CX1208" s="24">
        <v>13</v>
      </c>
      <c r="CY1208" s="23">
        <v>-1.84</v>
      </c>
      <c r="CZ1208" s="24">
        <v>12</v>
      </c>
      <c r="DA1208" s="23">
        <v>0.03</v>
      </c>
      <c r="DB1208" s="24">
        <v>60</v>
      </c>
      <c r="DC1208" s="25">
        <v>30.94</v>
      </c>
      <c r="DD1208" s="24">
        <v>97</v>
      </c>
      <c r="DE1208" s="25">
        <v>-0.68</v>
      </c>
      <c r="DF1208" s="23">
        <v>-2.14</v>
      </c>
      <c r="DG1208" s="25">
        <v>12.7</v>
      </c>
      <c r="DH1208" s="24">
        <v>92</v>
      </c>
      <c r="DI1208" s="25">
        <v>49.17</v>
      </c>
      <c r="DJ1208" s="24">
        <v>95</v>
      </c>
      <c r="DK1208" s="25">
        <v>20.64</v>
      </c>
      <c r="DL1208" s="24">
        <v>92</v>
      </c>
      <c r="DM1208" s="25">
        <v>4.76</v>
      </c>
      <c r="DN1208" s="24">
        <v>81</v>
      </c>
      <c r="DO1208" s="25">
        <v>7.68</v>
      </c>
      <c r="DP1208" s="24">
        <v>84</v>
      </c>
      <c r="DQ1208" s="24">
        <v>6906</v>
      </c>
      <c r="DR1208" s="26">
        <v>525</v>
      </c>
      <c r="DS1208" s="23">
        <v>8.23</v>
      </c>
      <c r="DT1208" s="24">
        <v>138</v>
      </c>
      <c r="DU1208" s="26">
        <v>1</v>
      </c>
      <c r="DV1208" s="23">
        <v>0.73</v>
      </c>
      <c r="DW1208" s="24">
        <v>2749</v>
      </c>
      <c r="DX1208" s="27">
        <v>5</v>
      </c>
      <c r="DY1208" s="23">
        <v>0.18</v>
      </c>
      <c r="DZ1208" s="15" t="s">
        <v>178</v>
      </c>
      <c r="EA1208" s="22">
        <v>43612</v>
      </c>
      <c r="EB1208" s="17" t="s">
        <v>138</v>
      </c>
      <c r="EC1208" s="22" t="s">
        <v>138</v>
      </c>
      <c r="ED1208" s="15" t="s">
        <v>138</v>
      </c>
      <c r="EE1208" s="14" t="str">
        <f>HYPERLINK("https://my.pitchbook.com?c=121950-82", "View company online")</f>
        <v>View company online</v>
      </c>
    </row>
    <row r="1209" spans="1:135">
      <c r="A1209" s="28" t="s">
        <v>23467</v>
      </c>
      <c r="B1209" s="28" t="s">
        <v>23468</v>
      </c>
      <c r="C1209" s="28" t="s">
        <v>138</v>
      </c>
      <c r="D1209" s="28" t="s">
        <v>138</v>
      </c>
      <c r="E1209" s="28" t="s">
        <v>23469</v>
      </c>
      <c r="F1209" s="28" t="s">
        <v>23467</v>
      </c>
      <c r="G1209" s="28" t="s">
        <v>23470</v>
      </c>
      <c r="H1209" s="28" t="s">
        <v>141</v>
      </c>
      <c r="I1209" s="28" t="s">
        <v>212</v>
      </c>
      <c r="J1209" s="28" t="s">
        <v>213</v>
      </c>
      <c r="K1209" s="28" t="s">
        <v>1064</v>
      </c>
      <c r="L1209" s="28" t="s">
        <v>23471</v>
      </c>
      <c r="M1209" s="28" t="s">
        <v>23472</v>
      </c>
      <c r="N1209" s="28" t="s">
        <v>147</v>
      </c>
      <c r="O1209" s="29">
        <v>303</v>
      </c>
      <c r="P1209" s="28" t="s">
        <v>148</v>
      </c>
      <c r="Q1209" s="28" t="s">
        <v>149</v>
      </c>
      <c r="R1209" s="28" t="s">
        <v>244</v>
      </c>
      <c r="S1209" s="28" t="s">
        <v>23473</v>
      </c>
      <c r="T1209" s="30">
        <v>1000</v>
      </c>
      <c r="U1209" s="28" t="s">
        <v>23474</v>
      </c>
      <c r="V1209" s="28" t="s">
        <v>138</v>
      </c>
      <c r="W1209" s="28" t="s">
        <v>138</v>
      </c>
      <c r="X1209" s="31">
        <v>2008</v>
      </c>
      <c r="Y1209" s="28" t="s">
        <v>138</v>
      </c>
      <c r="Z1209" s="28" t="s">
        <v>138</v>
      </c>
      <c r="AA1209" s="28" t="s">
        <v>138</v>
      </c>
      <c r="AB1209" s="32">
        <v>11</v>
      </c>
      <c r="AC1209" s="32" t="s">
        <v>138</v>
      </c>
      <c r="AD1209" s="32" t="s">
        <v>138</v>
      </c>
      <c r="AE1209" s="32" t="s">
        <v>138</v>
      </c>
      <c r="AF1209" s="32" t="s">
        <v>138</v>
      </c>
      <c r="AG1209" s="28" t="s">
        <v>514</v>
      </c>
      <c r="AH1209" s="32" t="s">
        <v>138</v>
      </c>
      <c r="AI1209" s="32" t="s">
        <v>138</v>
      </c>
      <c r="AJ1209" s="32" t="s">
        <v>138</v>
      </c>
      <c r="AK1209" s="28" t="s">
        <v>23475</v>
      </c>
      <c r="AL1209" s="28" t="s">
        <v>23476</v>
      </c>
      <c r="AM1209" s="28" t="s">
        <v>4192</v>
      </c>
      <c r="AN1209" s="28" t="s">
        <v>23477</v>
      </c>
      <c r="AO1209" s="28" t="s">
        <v>138</v>
      </c>
      <c r="AP1209" s="28" t="s">
        <v>3108</v>
      </c>
      <c r="AQ1209" s="28" t="s">
        <v>23478</v>
      </c>
      <c r="AR1209" s="28" t="s">
        <v>138</v>
      </c>
      <c r="AS1209" s="28" t="s">
        <v>3111</v>
      </c>
      <c r="AT1209" s="28" t="s">
        <v>3112</v>
      </c>
      <c r="AU1209" s="28" t="s">
        <v>23479</v>
      </c>
      <c r="AV1209" s="28" t="s">
        <v>2742</v>
      </c>
      <c r="AW1209" s="28" t="s">
        <v>138</v>
      </c>
      <c r="AX1209" s="28" t="s">
        <v>138</v>
      </c>
      <c r="AY1209" s="28" t="s">
        <v>138</v>
      </c>
      <c r="AZ1209" s="28" t="s">
        <v>164</v>
      </c>
      <c r="BA1209" s="28" t="s">
        <v>165</v>
      </c>
      <c r="BB1209" s="28" t="s">
        <v>23480</v>
      </c>
      <c r="BC1209" s="28" t="s">
        <v>23481</v>
      </c>
      <c r="BD1209" s="33">
        <v>20</v>
      </c>
      <c r="BE1209" s="28" t="s">
        <v>138</v>
      </c>
      <c r="BF1209" s="28" t="s">
        <v>23482</v>
      </c>
      <c r="BG1209" s="28" t="s">
        <v>138</v>
      </c>
      <c r="BH1209" s="28" t="s">
        <v>23483</v>
      </c>
      <c r="BI1209" s="28" t="s">
        <v>23484</v>
      </c>
      <c r="BJ1209" s="28" t="s">
        <v>138</v>
      </c>
      <c r="BK1209" s="28" t="s">
        <v>23485</v>
      </c>
      <c r="BL1209" s="28" t="s">
        <v>23486</v>
      </c>
      <c r="BM1209" s="34">
        <v>40148</v>
      </c>
      <c r="BN1209" s="29">
        <v>1.9</v>
      </c>
      <c r="BO1209" s="28" t="s">
        <v>172</v>
      </c>
      <c r="BP1209" s="29" t="s">
        <v>138</v>
      </c>
      <c r="BQ1209" s="28" t="s">
        <v>138</v>
      </c>
      <c r="BR1209" s="28" t="s">
        <v>205</v>
      </c>
      <c r="BS1209" s="28" t="s">
        <v>206</v>
      </c>
      <c r="BT1209" s="28" t="s">
        <v>138</v>
      </c>
      <c r="BU1209" s="28" t="s">
        <v>174</v>
      </c>
      <c r="BV1209" s="28" t="s">
        <v>138</v>
      </c>
      <c r="BW1209" s="28" t="s">
        <v>138</v>
      </c>
      <c r="BX1209" s="28" t="s">
        <v>138</v>
      </c>
      <c r="BY1209" s="28" t="s">
        <v>175</v>
      </c>
      <c r="BZ1209" s="34">
        <v>43483</v>
      </c>
      <c r="CA1209" s="29">
        <v>750</v>
      </c>
      <c r="CB1209" s="28" t="s">
        <v>172</v>
      </c>
      <c r="CC1209" s="29">
        <v>750</v>
      </c>
      <c r="CD1209" s="28" t="s">
        <v>172</v>
      </c>
      <c r="CE1209" s="28" t="s">
        <v>2228</v>
      </c>
      <c r="CF1209" s="28" t="s">
        <v>138</v>
      </c>
      <c r="CG1209" s="28" t="s">
        <v>138</v>
      </c>
      <c r="CH1209" s="28" t="s">
        <v>780</v>
      </c>
      <c r="CI1209" s="28" t="s">
        <v>138</v>
      </c>
      <c r="CJ1209" s="28" t="s">
        <v>138</v>
      </c>
      <c r="CK1209" s="28" t="s">
        <v>138</v>
      </c>
      <c r="CL1209" s="28" t="s">
        <v>1831</v>
      </c>
      <c r="CM1209" s="34" t="s">
        <v>138</v>
      </c>
      <c r="CN1209" s="29" t="s">
        <v>138</v>
      </c>
      <c r="CO1209" s="35">
        <v>0.22</v>
      </c>
      <c r="CP1209" s="36">
        <v>93</v>
      </c>
      <c r="CQ1209" s="35">
        <v>0</v>
      </c>
      <c r="CR1209" s="35">
        <v>-1.33</v>
      </c>
      <c r="CS1209" s="35">
        <v>-0.36</v>
      </c>
      <c r="CT1209" s="36">
        <v>20</v>
      </c>
      <c r="CU1209" s="35">
        <v>0.03</v>
      </c>
      <c r="CV1209" s="36">
        <v>54</v>
      </c>
      <c r="CW1209" s="35">
        <v>0.64</v>
      </c>
      <c r="CX1209" s="36">
        <v>83</v>
      </c>
      <c r="CY1209" s="35">
        <v>-1.36</v>
      </c>
      <c r="CZ1209" s="36">
        <v>16</v>
      </c>
      <c r="DA1209" s="35">
        <v>-0.02</v>
      </c>
      <c r="DB1209" s="36">
        <v>19</v>
      </c>
      <c r="DC1209" s="37">
        <v>4095.15</v>
      </c>
      <c r="DD1209" s="36">
        <v>100</v>
      </c>
      <c r="DE1209" s="37">
        <v>-5.44</v>
      </c>
      <c r="DF1209" s="35">
        <v>-0.13</v>
      </c>
      <c r="DG1209" s="37">
        <v>783.31</v>
      </c>
      <c r="DH1209" s="36">
        <v>100</v>
      </c>
      <c r="DI1209" s="37">
        <v>11493.1</v>
      </c>
      <c r="DJ1209" s="36">
        <v>100</v>
      </c>
      <c r="DK1209" s="37">
        <v>1164.06</v>
      </c>
      <c r="DL1209" s="36">
        <v>100</v>
      </c>
      <c r="DM1209" s="37">
        <v>402.55</v>
      </c>
      <c r="DN1209" s="36">
        <v>100</v>
      </c>
      <c r="DO1209" s="37">
        <v>22065.14</v>
      </c>
      <c r="DP1209" s="36">
        <v>100</v>
      </c>
      <c r="DQ1209" s="36">
        <v>397198</v>
      </c>
      <c r="DR1209" s="38">
        <v>6227</v>
      </c>
      <c r="DS1209" s="35">
        <v>1.59</v>
      </c>
      <c r="DT1209" s="36">
        <v>11674</v>
      </c>
      <c r="DU1209" s="38">
        <v>1</v>
      </c>
      <c r="DV1209" s="35">
        <v>0.01</v>
      </c>
      <c r="DW1209" s="36">
        <v>7900356</v>
      </c>
      <c r="DX1209" s="39">
        <v>-1280</v>
      </c>
      <c r="DY1209" s="35">
        <v>-0.02</v>
      </c>
      <c r="DZ1209" s="28" t="s">
        <v>178</v>
      </c>
      <c r="EA1209" s="34">
        <v>43622</v>
      </c>
      <c r="EB1209" s="29">
        <v>750</v>
      </c>
      <c r="EC1209" s="34">
        <v>43483</v>
      </c>
      <c r="ED1209" s="28" t="s">
        <v>2228</v>
      </c>
      <c r="EE1209" s="40" t="str">
        <f>HYPERLINK("https://my.pitchbook.com?c=52275-43", "View company online")</f>
        <v>View company online</v>
      </c>
    </row>
    <row r="1210" spans="1:135">
      <c r="A1210" s="15" t="s">
        <v>23487</v>
      </c>
      <c r="B1210" s="15" t="s">
        <v>23488</v>
      </c>
      <c r="C1210" s="15" t="s">
        <v>138</v>
      </c>
      <c r="D1210" s="15" t="s">
        <v>23489</v>
      </c>
      <c r="E1210" s="15" t="s">
        <v>23490</v>
      </c>
      <c r="F1210" s="15" t="s">
        <v>23487</v>
      </c>
      <c r="G1210" s="15" t="s">
        <v>23491</v>
      </c>
      <c r="H1210" s="15" t="s">
        <v>322</v>
      </c>
      <c r="I1210" s="15" t="s">
        <v>323</v>
      </c>
      <c r="J1210" s="15" t="s">
        <v>324</v>
      </c>
      <c r="K1210" s="15" t="s">
        <v>23492</v>
      </c>
      <c r="L1210" s="15" t="s">
        <v>2274</v>
      </c>
      <c r="M1210" s="15" t="s">
        <v>23493</v>
      </c>
      <c r="N1210" s="15" t="s">
        <v>147</v>
      </c>
      <c r="O1210" s="17">
        <v>10.8</v>
      </c>
      <c r="P1210" s="15" t="s">
        <v>148</v>
      </c>
      <c r="Q1210" s="15" t="s">
        <v>149</v>
      </c>
      <c r="R1210" s="15" t="s">
        <v>174</v>
      </c>
      <c r="S1210" s="15" t="s">
        <v>23494</v>
      </c>
      <c r="T1210" s="18">
        <v>35</v>
      </c>
      <c r="U1210" s="15" t="s">
        <v>23495</v>
      </c>
      <c r="V1210" s="15" t="s">
        <v>138</v>
      </c>
      <c r="W1210" s="15" t="s">
        <v>138</v>
      </c>
      <c r="X1210" s="19">
        <v>2010</v>
      </c>
      <c r="Y1210" s="15" t="s">
        <v>138</v>
      </c>
      <c r="Z1210" s="15" t="s">
        <v>138</v>
      </c>
      <c r="AA1210" s="15" t="s">
        <v>138</v>
      </c>
      <c r="AB1210" s="20" t="s">
        <v>138</v>
      </c>
      <c r="AC1210" s="20" t="s">
        <v>138</v>
      </c>
      <c r="AD1210" s="20" t="s">
        <v>138</v>
      </c>
      <c r="AE1210" s="20" t="s">
        <v>138</v>
      </c>
      <c r="AF1210" s="20" t="s">
        <v>138</v>
      </c>
      <c r="AG1210" s="15" t="s">
        <v>138</v>
      </c>
      <c r="AH1210" s="20" t="s">
        <v>138</v>
      </c>
      <c r="AI1210" s="20" t="s">
        <v>138</v>
      </c>
      <c r="AJ1210" s="20" t="s">
        <v>138</v>
      </c>
      <c r="AK1210" s="15" t="s">
        <v>23496</v>
      </c>
      <c r="AL1210" s="15" t="s">
        <v>23497</v>
      </c>
      <c r="AM1210" s="15" t="s">
        <v>986</v>
      </c>
      <c r="AN1210" s="15" t="s">
        <v>23498</v>
      </c>
      <c r="AO1210" s="15" t="s">
        <v>23499</v>
      </c>
      <c r="AP1210" s="15" t="s">
        <v>1220</v>
      </c>
      <c r="AQ1210" s="15" t="s">
        <v>23500</v>
      </c>
      <c r="AR1210" s="15" t="s">
        <v>12983</v>
      </c>
      <c r="AS1210" s="15" t="s">
        <v>1223</v>
      </c>
      <c r="AT1210" s="15" t="s">
        <v>200</v>
      </c>
      <c r="AU1210" s="15" t="s">
        <v>18402</v>
      </c>
      <c r="AV1210" s="15" t="s">
        <v>162</v>
      </c>
      <c r="AW1210" s="15" t="s">
        <v>23499</v>
      </c>
      <c r="AX1210" s="15" t="s">
        <v>23501</v>
      </c>
      <c r="AY1210" s="15" t="s">
        <v>23502</v>
      </c>
      <c r="AZ1210" s="15" t="s">
        <v>164</v>
      </c>
      <c r="BA1210" s="15" t="s">
        <v>165</v>
      </c>
      <c r="BB1210" s="15" t="s">
        <v>23503</v>
      </c>
      <c r="BC1210" s="15" t="s">
        <v>23504</v>
      </c>
      <c r="BD1210" s="21">
        <v>6</v>
      </c>
      <c r="BE1210" s="15" t="s">
        <v>138</v>
      </c>
      <c r="BF1210" s="15" t="s">
        <v>138</v>
      </c>
      <c r="BG1210" s="15" t="s">
        <v>138</v>
      </c>
      <c r="BH1210" s="15" t="s">
        <v>23505</v>
      </c>
      <c r="BI1210" s="15" t="s">
        <v>138</v>
      </c>
      <c r="BJ1210" s="15" t="s">
        <v>138</v>
      </c>
      <c r="BK1210" s="15" t="s">
        <v>23506</v>
      </c>
      <c r="BL1210" s="15" t="s">
        <v>15845</v>
      </c>
      <c r="BM1210" s="22">
        <v>40954</v>
      </c>
      <c r="BN1210" s="17">
        <v>2.8</v>
      </c>
      <c r="BO1210" s="15" t="s">
        <v>172</v>
      </c>
      <c r="BP1210" s="17">
        <v>5.94</v>
      </c>
      <c r="BQ1210" s="15" t="s">
        <v>172</v>
      </c>
      <c r="BR1210" s="15" t="s">
        <v>205</v>
      </c>
      <c r="BS1210" s="15" t="s">
        <v>206</v>
      </c>
      <c r="BT1210" s="15" t="s">
        <v>138</v>
      </c>
      <c r="BU1210" s="15" t="s">
        <v>174</v>
      </c>
      <c r="BV1210" s="15" t="s">
        <v>138</v>
      </c>
      <c r="BW1210" s="15" t="s">
        <v>138</v>
      </c>
      <c r="BX1210" s="15" t="s">
        <v>138</v>
      </c>
      <c r="BY1210" s="15" t="s">
        <v>175</v>
      </c>
      <c r="BZ1210" s="22">
        <v>41683</v>
      </c>
      <c r="CA1210" s="17">
        <v>8</v>
      </c>
      <c r="CB1210" s="15" t="s">
        <v>172</v>
      </c>
      <c r="CC1210" s="17">
        <v>23.76</v>
      </c>
      <c r="CD1210" s="15" t="s">
        <v>172</v>
      </c>
      <c r="CE1210" s="15" t="s">
        <v>173</v>
      </c>
      <c r="CF1210" s="15" t="s">
        <v>720</v>
      </c>
      <c r="CG1210" s="15" t="s">
        <v>138</v>
      </c>
      <c r="CH1210" s="15" t="s">
        <v>174</v>
      </c>
      <c r="CI1210" s="15" t="s">
        <v>138</v>
      </c>
      <c r="CJ1210" s="15" t="s">
        <v>138</v>
      </c>
      <c r="CK1210" s="15" t="s">
        <v>138</v>
      </c>
      <c r="CL1210" s="15" t="s">
        <v>175</v>
      </c>
      <c r="CM1210" s="22" t="s">
        <v>138</v>
      </c>
      <c r="CN1210" s="17" t="s">
        <v>138</v>
      </c>
      <c r="CO1210" s="23">
        <v>-0.96</v>
      </c>
      <c r="CP1210" s="24">
        <v>11</v>
      </c>
      <c r="CQ1210" s="23">
        <v>-0.06</v>
      </c>
      <c r="CR1210" s="23">
        <v>-7.19</v>
      </c>
      <c r="CS1210" s="23">
        <v>-1.92</v>
      </c>
      <c r="CT1210" s="24">
        <v>9</v>
      </c>
      <c r="CU1210" s="23">
        <v>0</v>
      </c>
      <c r="CV1210" s="24">
        <v>22</v>
      </c>
      <c r="CW1210" s="23">
        <v>-3.54</v>
      </c>
      <c r="CX1210" s="24">
        <v>4</v>
      </c>
      <c r="CY1210" s="23">
        <v>-0.3</v>
      </c>
      <c r="CZ1210" s="24">
        <v>23</v>
      </c>
      <c r="DA1210" s="23">
        <v>0.02</v>
      </c>
      <c r="DB1210" s="24">
        <v>58</v>
      </c>
      <c r="DC1210" s="25">
        <v>5.53</v>
      </c>
      <c r="DD1210" s="24">
        <v>84</v>
      </c>
      <c r="DE1210" s="25">
        <v>-0.08</v>
      </c>
      <c r="DF1210" s="23">
        <v>-1.44</v>
      </c>
      <c r="DG1210" s="25">
        <v>6.65</v>
      </c>
      <c r="DH1210" s="24">
        <v>86</v>
      </c>
      <c r="DI1210" s="25">
        <v>4.42</v>
      </c>
      <c r="DJ1210" s="24">
        <v>76</v>
      </c>
      <c r="DK1210" s="25">
        <v>3.02</v>
      </c>
      <c r="DL1210" s="24">
        <v>72</v>
      </c>
      <c r="DM1210" s="25">
        <v>10.28</v>
      </c>
      <c r="DN1210" s="24">
        <v>89</v>
      </c>
      <c r="DO1210" s="25">
        <v>6.2</v>
      </c>
      <c r="DP1210" s="24">
        <v>82</v>
      </c>
      <c r="DQ1210" s="24">
        <v>1030</v>
      </c>
      <c r="DR1210" s="26">
        <v>12</v>
      </c>
      <c r="DS1210" s="23">
        <v>1.18</v>
      </c>
      <c r="DT1210" s="24">
        <v>297</v>
      </c>
      <c r="DU1210" s="26">
        <v>1</v>
      </c>
      <c r="DV1210" s="23">
        <v>0.34</v>
      </c>
      <c r="DW1210" s="24">
        <v>2219</v>
      </c>
      <c r="DX1210" s="27">
        <v>-1</v>
      </c>
      <c r="DY1210" s="23">
        <v>-0.05</v>
      </c>
      <c r="DZ1210" s="15" t="s">
        <v>178</v>
      </c>
      <c r="EA1210" s="22">
        <v>43351</v>
      </c>
      <c r="EB1210" s="17">
        <v>23.76</v>
      </c>
      <c r="EC1210" s="22">
        <v>41683</v>
      </c>
      <c r="ED1210" s="15" t="s">
        <v>173</v>
      </c>
      <c r="EE1210" s="14" t="str">
        <f>HYPERLINK("https://my.pitchbook.com?c=53534-80", "View company online")</f>
        <v>View company online</v>
      </c>
    </row>
    <row r="1211" spans="1:135">
      <c r="A1211" s="28" t="s">
        <v>23507</v>
      </c>
      <c r="B1211" s="28" t="s">
        <v>23508</v>
      </c>
      <c r="C1211" s="28" t="s">
        <v>138</v>
      </c>
      <c r="D1211" s="28" t="s">
        <v>138</v>
      </c>
      <c r="E1211" s="28" t="s">
        <v>23509</v>
      </c>
      <c r="F1211" s="28" t="s">
        <v>23507</v>
      </c>
      <c r="G1211" s="28" t="s">
        <v>23510</v>
      </c>
      <c r="H1211" s="28" t="s">
        <v>322</v>
      </c>
      <c r="I1211" s="28" t="s">
        <v>323</v>
      </c>
      <c r="J1211" s="28" t="s">
        <v>437</v>
      </c>
      <c r="K1211" s="28" t="s">
        <v>23511</v>
      </c>
      <c r="L1211" s="28" t="s">
        <v>415</v>
      </c>
      <c r="M1211" s="28" t="s">
        <v>23512</v>
      </c>
      <c r="N1211" s="28" t="s">
        <v>147</v>
      </c>
      <c r="O1211" s="29">
        <v>3.05</v>
      </c>
      <c r="P1211" s="28" t="s">
        <v>148</v>
      </c>
      <c r="Q1211" s="28" t="s">
        <v>149</v>
      </c>
      <c r="R1211" s="28" t="s">
        <v>174</v>
      </c>
      <c r="S1211" s="28" t="s">
        <v>23513</v>
      </c>
      <c r="T1211" s="30" t="s">
        <v>138</v>
      </c>
      <c r="U1211" s="28" t="s">
        <v>138</v>
      </c>
      <c r="V1211" s="28" t="s">
        <v>138</v>
      </c>
      <c r="W1211" s="28" t="s">
        <v>138</v>
      </c>
      <c r="X1211" s="31">
        <v>2014</v>
      </c>
      <c r="Y1211" s="28" t="s">
        <v>138</v>
      </c>
      <c r="Z1211" s="28" t="s">
        <v>138</v>
      </c>
      <c r="AA1211" s="28" t="s">
        <v>138</v>
      </c>
      <c r="AB1211" s="32" t="s">
        <v>138</v>
      </c>
      <c r="AC1211" s="32" t="s">
        <v>138</v>
      </c>
      <c r="AD1211" s="32" t="s">
        <v>138</v>
      </c>
      <c r="AE1211" s="32" t="s">
        <v>138</v>
      </c>
      <c r="AF1211" s="32" t="s">
        <v>138</v>
      </c>
      <c r="AG1211" s="28" t="s">
        <v>138</v>
      </c>
      <c r="AH1211" s="32" t="s">
        <v>138</v>
      </c>
      <c r="AI1211" s="32" t="s">
        <v>138</v>
      </c>
      <c r="AJ1211" s="32" t="s">
        <v>138</v>
      </c>
      <c r="AK1211" s="28" t="s">
        <v>23514</v>
      </c>
      <c r="AL1211" s="28" t="s">
        <v>23515</v>
      </c>
      <c r="AM1211" s="28" t="s">
        <v>304</v>
      </c>
      <c r="AN1211" s="28" t="s">
        <v>23516</v>
      </c>
      <c r="AO1211" s="28" t="s">
        <v>23517</v>
      </c>
      <c r="AP1211" s="28" t="s">
        <v>639</v>
      </c>
      <c r="AQ1211" s="28" t="s">
        <v>138</v>
      </c>
      <c r="AR1211" s="28" t="s">
        <v>138</v>
      </c>
      <c r="AS1211" s="28" t="s">
        <v>642</v>
      </c>
      <c r="AT1211" s="28" t="s">
        <v>474</v>
      </c>
      <c r="AU1211" s="28" t="s">
        <v>138</v>
      </c>
      <c r="AV1211" s="28" t="s">
        <v>162</v>
      </c>
      <c r="AW1211" s="28" t="s">
        <v>138</v>
      </c>
      <c r="AX1211" s="28" t="s">
        <v>138</v>
      </c>
      <c r="AY1211" s="28" t="s">
        <v>138</v>
      </c>
      <c r="AZ1211" s="28" t="s">
        <v>164</v>
      </c>
      <c r="BA1211" s="28" t="s">
        <v>165</v>
      </c>
      <c r="BB1211" s="28" t="s">
        <v>23518</v>
      </c>
      <c r="BC1211" s="28" t="s">
        <v>23519</v>
      </c>
      <c r="BD1211" s="33">
        <v>29</v>
      </c>
      <c r="BE1211" s="28" t="s">
        <v>138</v>
      </c>
      <c r="BF1211" s="28" t="s">
        <v>138</v>
      </c>
      <c r="BG1211" s="28" t="s">
        <v>138</v>
      </c>
      <c r="BH1211" s="28" t="s">
        <v>23520</v>
      </c>
      <c r="BI1211" s="28" t="s">
        <v>138</v>
      </c>
      <c r="BJ1211" s="28" t="s">
        <v>138</v>
      </c>
      <c r="BK1211" s="28" t="s">
        <v>138</v>
      </c>
      <c r="BL1211" s="28" t="s">
        <v>138</v>
      </c>
      <c r="BM1211" s="34">
        <v>42104</v>
      </c>
      <c r="BN1211" s="29">
        <v>0.65</v>
      </c>
      <c r="BO1211" s="28" t="s">
        <v>172</v>
      </c>
      <c r="BP1211" s="29">
        <v>5</v>
      </c>
      <c r="BQ1211" s="28" t="s">
        <v>172</v>
      </c>
      <c r="BR1211" s="28" t="s">
        <v>234</v>
      </c>
      <c r="BS1211" s="28" t="s">
        <v>234</v>
      </c>
      <c r="BT1211" s="28" t="s">
        <v>138</v>
      </c>
      <c r="BU1211" s="28" t="s">
        <v>174</v>
      </c>
      <c r="BV1211" s="28" t="s">
        <v>138</v>
      </c>
      <c r="BW1211" s="28" t="s">
        <v>138</v>
      </c>
      <c r="BX1211" s="28" t="s">
        <v>138</v>
      </c>
      <c r="BY1211" s="28" t="s">
        <v>175</v>
      </c>
      <c r="BZ1211" s="34">
        <v>42467</v>
      </c>
      <c r="CA1211" s="29">
        <v>1.08</v>
      </c>
      <c r="CB1211" s="28" t="s">
        <v>172</v>
      </c>
      <c r="CC1211" s="29" t="s">
        <v>138</v>
      </c>
      <c r="CD1211" s="28" t="s">
        <v>138</v>
      </c>
      <c r="CE1211" s="28" t="s">
        <v>234</v>
      </c>
      <c r="CF1211" s="28" t="s">
        <v>234</v>
      </c>
      <c r="CG1211" s="28" t="s">
        <v>138</v>
      </c>
      <c r="CH1211" s="28" t="s">
        <v>174</v>
      </c>
      <c r="CI1211" s="28" t="s">
        <v>138</v>
      </c>
      <c r="CJ1211" s="28" t="s">
        <v>138</v>
      </c>
      <c r="CK1211" s="28" t="s">
        <v>138</v>
      </c>
      <c r="CL1211" s="28" t="s">
        <v>175</v>
      </c>
      <c r="CM1211" s="34" t="s">
        <v>138</v>
      </c>
      <c r="CN1211" s="29" t="s">
        <v>138</v>
      </c>
      <c r="CO1211" s="35">
        <v>0.19</v>
      </c>
      <c r="CP1211" s="36">
        <v>92</v>
      </c>
      <c r="CQ1211" s="35">
        <v>0.02</v>
      </c>
      <c r="CR1211" s="35">
        <v>14.07</v>
      </c>
      <c r="CS1211" s="35">
        <v>-0.78</v>
      </c>
      <c r="CT1211" s="36">
        <v>17</v>
      </c>
      <c r="CU1211" s="35">
        <v>0.14000000000000001</v>
      </c>
      <c r="CV1211" s="36">
        <v>74</v>
      </c>
      <c r="CW1211" s="35">
        <v>0.65</v>
      </c>
      <c r="CX1211" s="36">
        <v>83</v>
      </c>
      <c r="CY1211" s="35">
        <v>-2.2200000000000002</v>
      </c>
      <c r="CZ1211" s="36">
        <v>10</v>
      </c>
      <c r="DA1211" s="35">
        <v>0.14000000000000001</v>
      </c>
      <c r="DB1211" s="36">
        <v>77</v>
      </c>
      <c r="DC1211" s="37">
        <v>436.2</v>
      </c>
      <c r="DD1211" s="36">
        <v>100</v>
      </c>
      <c r="DE1211" s="37">
        <v>24.08</v>
      </c>
      <c r="DF1211" s="35">
        <v>5.84</v>
      </c>
      <c r="DG1211" s="37">
        <v>7.52</v>
      </c>
      <c r="DH1211" s="36">
        <v>87</v>
      </c>
      <c r="DI1211" s="37">
        <v>7.27</v>
      </c>
      <c r="DJ1211" s="36">
        <v>82</v>
      </c>
      <c r="DK1211" s="37">
        <v>4.4800000000000004</v>
      </c>
      <c r="DL1211" s="36">
        <v>78</v>
      </c>
      <c r="DM1211" s="37">
        <v>10.55</v>
      </c>
      <c r="DN1211" s="36">
        <v>89</v>
      </c>
      <c r="DO1211" s="37">
        <v>7.27</v>
      </c>
      <c r="DP1211" s="36">
        <v>84</v>
      </c>
      <c r="DQ1211" s="36">
        <v>1549</v>
      </c>
      <c r="DR1211" s="38">
        <v>-38</v>
      </c>
      <c r="DS1211" s="35">
        <v>-2.39</v>
      </c>
      <c r="DT1211" s="36">
        <v>306</v>
      </c>
      <c r="DU1211" s="38">
        <v>1</v>
      </c>
      <c r="DV1211" s="35">
        <v>0.33</v>
      </c>
      <c r="DW1211" s="36">
        <v>2604</v>
      </c>
      <c r="DX1211" s="39">
        <v>1</v>
      </c>
      <c r="DY1211" s="35">
        <v>0.04</v>
      </c>
      <c r="DZ1211" s="28" t="s">
        <v>178</v>
      </c>
      <c r="EA1211" s="34">
        <v>43483</v>
      </c>
      <c r="EB1211" s="29">
        <v>5</v>
      </c>
      <c r="EC1211" s="34">
        <v>42104</v>
      </c>
      <c r="ED1211" s="28" t="s">
        <v>234</v>
      </c>
      <c r="EE1211" s="40" t="str">
        <f>HYPERLINK("https://my.pitchbook.com?c=123783-94", "View company online")</f>
        <v>View company online</v>
      </c>
    </row>
    <row r="1212" spans="1:135">
      <c r="A1212" s="15" t="s">
        <v>23521</v>
      </c>
      <c r="B1212" s="15" t="s">
        <v>23522</v>
      </c>
      <c r="C1212" s="15" t="s">
        <v>23523</v>
      </c>
      <c r="D1212" s="15" t="s">
        <v>138</v>
      </c>
      <c r="E1212" s="15" t="s">
        <v>23524</v>
      </c>
      <c r="F1212" s="15" t="s">
        <v>23521</v>
      </c>
      <c r="G1212" s="15" t="s">
        <v>23525</v>
      </c>
      <c r="H1212" s="15" t="s">
        <v>183</v>
      </c>
      <c r="I1212" s="15" t="s">
        <v>725</v>
      </c>
      <c r="J1212" s="15" t="s">
        <v>21667</v>
      </c>
      <c r="K1212" s="15" t="s">
        <v>23526</v>
      </c>
      <c r="L1212" s="15" t="s">
        <v>23527</v>
      </c>
      <c r="M1212" s="15" t="s">
        <v>23528</v>
      </c>
      <c r="N1212" s="15" t="s">
        <v>147</v>
      </c>
      <c r="O1212" s="17">
        <v>52.26</v>
      </c>
      <c r="P1212" s="15" t="s">
        <v>148</v>
      </c>
      <c r="Q1212" s="15" t="s">
        <v>149</v>
      </c>
      <c r="R1212" s="15" t="s">
        <v>174</v>
      </c>
      <c r="S1212" s="15" t="s">
        <v>23529</v>
      </c>
      <c r="T1212" s="18">
        <v>66</v>
      </c>
      <c r="U1212" s="15" t="s">
        <v>23530</v>
      </c>
      <c r="V1212" s="15" t="s">
        <v>138</v>
      </c>
      <c r="W1212" s="15" t="s">
        <v>138</v>
      </c>
      <c r="X1212" s="19" t="s">
        <v>138</v>
      </c>
      <c r="Y1212" s="15" t="s">
        <v>138</v>
      </c>
      <c r="Z1212" s="15" t="s">
        <v>138</v>
      </c>
      <c r="AA1212" s="15" t="s">
        <v>138</v>
      </c>
      <c r="AB1212" s="20">
        <v>54</v>
      </c>
      <c r="AC1212" s="20" t="s">
        <v>138</v>
      </c>
      <c r="AD1212" s="20" t="s">
        <v>138</v>
      </c>
      <c r="AE1212" s="20" t="s">
        <v>138</v>
      </c>
      <c r="AF1212" s="20" t="s">
        <v>138</v>
      </c>
      <c r="AG1212" s="15" t="s">
        <v>707</v>
      </c>
      <c r="AH1212" s="20" t="s">
        <v>138</v>
      </c>
      <c r="AI1212" s="20" t="s">
        <v>138</v>
      </c>
      <c r="AJ1212" s="20" t="s">
        <v>138</v>
      </c>
      <c r="AK1212" s="15" t="s">
        <v>23531</v>
      </c>
      <c r="AL1212" s="15" t="s">
        <v>23532</v>
      </c>
      <c r="AM1212" s="15" t="s">
        <v>249</v>
      </c>
      <c r="AN1212" s="15" t="s">
        <v>23533</v>
      </c>
      <c r="AO1212" s="15" t="s">
        <v>23534</v>
      </c>
      <c r="AP1212" s="15" t="s">
        <v>423</v>
      </c>
      <c r="AQ1212" s="15" t="s">
        <v>23535</v>
      </c>
      <c r="AR1212" s="15" t="s">
        <v>2245</v>
      </c>
      <c r="AS1212" s="15" t="s">
        <v>426</v>
      </c>
      <c r="AT1212" s="15" t="s">
        <v>426</v>
      </c>
      <c r="AU1212" s="15" t="s">
        <v>1074</v>
      </c>
      <c r="AV1212" s="15" t="s">
        <v>162</v>
      </c>
      <c r="AW1212" s="15" t="s">
        <v>23534</v>
      </c>
      <c r="AX1212" s="15" t="s">
        <v>138</v>
      </c>
      <c r="AY1212" s="15" t="s">
        <v>23536</v>
      </c>
      <c r="AZ1212" s="15" t="s">
        <v>164</v>
      </c>
      <c r="BA1212" s="15" t="s">
        <v>165</v>
      </c>
      <c r="BB1212" s="15" t="s">
        <v>23537</v>
      </c>
      <c r="BC1212" s="15" t="s">
        <v>23538</v>
      </c>
      <c r="BD1212" s="21">
        <v>7</v>
      </c>
      <c r="BE1212" s="15" t="s">
        <v>138</v>
      </c>
      <c r="BF1212" s="15" t="s">
        <v>138</v>
      </c>
      <c r="BG1212" s="15" t="s">
        <v>138</v>
      </c>
      <c r="BH1212" s="15" t="s">
        <v>23539</v>
      </c>
      <c r="BI1212" s="15" t="s">
        <v>138</v>
      </c>
      <c r="BJ1212" s="15" t="s">
        <v>138</v>
      </c>
      <c r="BK1212" s="15" t="s">
        <v>4576</v>
      </c>
      <c r="BL1212" s="15" t="s">
        <v>1251</v>
      </c>
      <c r="BM1212" s="22">
        <v>41275</v>
      </c>
      <c r="BN1212" s="17">
        <v>1</v>
      </c>
      <c r="BO1212" s="15" t="s">
        <v>1178</v>
      </c>
      <c r="BP1212" s="17">
        <v>5</v>
      </c>
      <c r="BQ1212" s="15" t="s">
        <v>172</v>
      </c>
      <c r="BR1212" s="15" t="s">
        <v>234</v>
      </c>
      <c r="BS1212" s="15" t="s">
        <v>234</v>
      </c>
      <c r="BT1212" s="15" t="s">
        <v>138</v>
      </c>
      <c r="BU1212" s="15" t="s">
        <v>263</v>
      </c>
      <c r="BV1212" s="15" t="s">
        <v>138</v>
      </c>
      <c r="BW1212" s="15" t="s">
        <v>138</v>
      </c>
      <c r="BX1212" s="15" t="s">
        <v>138</v>
      </c>
      <c r="BY1212" s="15" t="s">
        <v>175</v>
      </c>
      <c r="BZ1212" s="22">
        <v>43374</v>
      </c>
      <c r="CA1212" s="17" t="s">
        <v>138</v>
      </c>
      <c r="CB1212" s="15" t="s">
        <v>138</v>
      </c>
      <c r="CC1212" s="17" t="s">
        <v>138</v>
      </c>
      <c r="CD1212" s="15" t="s">
        <v>138</v>
      </c>
      <c r="CE1212" s="15" t="s">
        <v>379</v>
      </c>
      <c r="CF1212" s="15" t="s">
        <v>138</v>
      </c>
      <c r="CG1212" s="15" t="s">
        <v>138</v>
      </c>
      <c r="CH1212" s="15" t="s">
        <v>138</v>
      </c>
      <c r="CI1212" s="15" t="s">
        <v>138</v>
      </c>
      <c r="CJ1212" s="15" t="s">
        <v>138</v>
      </c>
      <c r="CK1212" s="15" t="s">
        <v>138</v>
      </c>
      <c r="CL1212" s="15" t="s">
        <v>175</v>
      </c>
      <c r="CM1212" s="22" t="s">
        <v>138</v>
      </c>
      <c r="CN1212" s="17" t="s">
        <v>138</v>
      </c>
      <c r="CO1212" s="23">
        <v>0.25</v>
      </c>
      <c r="CP1212" s="24">
        <v>93</v>
      </c>
      <c r="CQ1212" s="23">
        <v>0</v>
      </c>
      <c r="CR1212" s="23">
        <v>0</v>
      </c>
      <c r="CS1212" s="23">
        <v>0.67</v>
      </c>
      <c r="CT1212" s="24">
        <v>96</v>
      </c>
      <c r="CU1212" s="23">
        <v>7.0000000000000007E-2</v>
      </c>
      <c r="CV1212" s="24">
        <v>62</v>
      </c>
      <c r="CW1212" s="23">
        <v>0.67</v>
      </c>
      <c r="CX1212" s="24">
        <v>83</v>
      </c>
      <c r="CY1212" s="23" t="s">
        <v>138</v>
      </c>
      <c r="CZ1212" s="24" t="s">
        <v>138</v>
      </c>
      <c r="DA1212" s="23">
        <v>0.1</v>
      </c>
      <c r="DB1212" s="24">
        <v>72</v>
      </c>
      <c r="DC1212" s="25">
        <v>1.71</v>
      </c>
      <c r="DD1212" s="24">
        <v>64</v>
      </c>
      <c r="DE1212" s="25">
        <v>-0.13</v>
      </c>
      <c r="DF1212" s="23">
        <v>-6.83</v>
      </c>
      <c r="DG1212" s="25">
        <v>3.01</v>
      </c>
      <c r="DH1212" s="24">
        <v>75</v>
      </c>
      <c r="DI1212" s="25">
        <v>2.0299999999999998</v>
      </c>
      <c r="DJ1212" s="24">
        <v>63</v>
      </c>
      <c r="DK1212" s="25">
        <v>3.01</v>
      </c>
      <c r="DL1212" s="24">
        <v>72</v>
      </c>
      <c r="DM1212" s="25" t="s">
        <v>138</v>
      </c>
      <c r="DN1212" s="24" t="s">
        <v>138</v>
      </c>
      <c r="DO1212" s="25">
        <v>2.41</v>
      </c>
      <c r="DP1212" s="24">
        <v>67</v>
      </c>
      <c r="DQ1212" s="24">
        <v>1027</v>
      </c>
      <c r="DR1212" s="26">
        <v>18</v>
      </c>
      <c r="DS1212" s="23">
        <v>1.78</v>
      </c>
      <c r="DT1212" s="24" t="s">
        <v>138</v>
      </c>
      <c r="DU1212" s="26" t="s">
        <v>138</v>
      </c>
      <c r="DV1212" s="23" t="s">
        <v>138</v>
      </c>
      <c r="DW1212" s="24">
        <v>863</v>
      </c>
      <c r="DX1212" s="27">
        <v>-1</v>
      </c>
      <c r="DY1212" s="23">
        <v>-0.12</v>
      </c>
      <c r="DZ1212" s="15" t="s">
        <v>178</v>
      </c>
      <c r="EA1212" s="22">
        <v>43622</v>
      </c>
      <c r="EB1212" s="17">
        <v>87.76</v>
      </c>
      <c r="EC1212" s="22">
        <v>42417</v>
      </c>
      <c r="ED1212" s="15" t="s">
        <v>205</v>
      </c>
      <c r="EE1212" s="14" t="str">
        <f>HYPERLINK("https://my.pitchbook.com?c=110421-64", "View company online")</f>
        <v>View company online</v>
      </c>
    </row>
    <row r="1213" spans="1:135">
      <c r="A1213" s="28" t="s">
        <v>23540</v>
      </c>
      <c r="B1213" s="28" t="s">
        <v>23541</v>
      </c>
      <c r="C1213" s="28" t="s">
        <v>138</v>
      </c>
      <c r="D1213" s="28" t="s">
        <v>138</v>
      </c>
      <c r="E1213" s="28" t="s">
        <v>138</v>
      </c>
      <c r="F1213" s="28" t="s">
        <v>23540</v>
      </c>
      <c r="G1213" s="28" t="s">
        <v>23542</v>
      </c>
      <c r="H1213" s="28" t="s">
        <v>322</v>
      </c>
      <c r="I1213" s="28" t="s">
        <v>323</v>
      </c>
      <c r="J1213" s="28" t="s">
        <v>954</v>
      </c>
      <c r="K1213" s="28" t="s">
        <v>23543</v>
      </c>
      <c r="L1213" s="28" t="s">
        <v>2274</v>
      </c>
      <c r="M1213" s="28" t="s">
        <v>23544</v>
      </c>
      <c r="N1213" s="28" t="s">
        <v>147</v>
      </c>
      <c r="O1213" s="29">
        <v>4</v>
      </c>
      <c r="P1213" s="28" t="s">
        <v>148</v>
      </c>
      <c r="Q1213" s="28" t="s">
        <v>149</v>
      </c>
      <c r="R1213" s="28" t="s">
        <v>174</v>
      </c>
      <c r="S1213" s="28" t="s">
        <v>23545</v>
      </c>
      <c r="T1213" s="30">
        <v>20</v>
      </c>
      <c r="U1213" s="28" t="s">
        <v>15213</v>
      </c>
      <c r="V1213" s="28" t="s">
        <v>138</v>
      </c>
      <c r="W1213" s="28" t="s">
        <v>138</v>
      </c>
      <c r="X1213" s="31">
        <v>2017</v>
      </c>
      <c r="Y1213" s="28" t="s">
        <v>138</v>
      </c>
      <c r="Z1213" s="28" t="s">
        <v>138</v>
      </c>
      <c r="AA1213" s="28" t="s">
        <v>138</v>
      </c>
      <c r="AB1213" s="32" t="s">
        <v>138</v>
      </c>
      <c r="AC1213" s="32" t="s">
        <v>138</v>
      </c>
      <c r="AD1213" s="32" t="s">
        <v>138</v>
      </c>
      <c r="AE1213" s="32" t="s">
        <v>138</v>
      </c>
      <c r="AF1213" s="32" t="s">
        <v>138</v>
      </c>
      <c r="AG1213" s="28" t="s">
        <v>138</v>
      </c>
      <c r="AH1213" s="32" t="s">
        <v>138</v>
      </c>
      <c r="AI1213" s="32" t="s">
        <v>138</v>
      </c>
      <c r="AJ1213" s="32" t="s">
        <v>138</v>
      </c>
      <c r="AK1213" s="28" t="s">
        <v>23546</v>
      </c>
      <c r="AL1213" s="28" t="s">
        <v>23547</v>
      </c>
      <c r="AM1213" s="28" t="s">
        <v>2605</v>
      </c>
      <c r="AN1213" s="28" t="s">
        <v>23548</v>
      </c>
      <c r="AO1213" s="28" t="s">
        <v>138</v>
      </c>
      <c r="AP1213" s="28" t="s">
        <v>423</v>
      </c>
      <c r="AQ1213" s="28" t="s">
        <v>23549</v>
      </c>
      <c r="AR1213" s="28" t="s">
        <v>23550</v>
      </c>
      <c r="AS1213" s="28" t="s">
        <v>426</v>
      </c>
      <c r="AT1213" s="28" t="s">
        <v>426</v>
      </c>
      <c r="AU1213" s="28" t="s">
        <v>1074</v>
      </c>
      <c r="AV1213" s="28" t="s">
        <v>162</v>
      </c>
      <c r="AW1213" s="28" t="s">
        <v>138</v>
      </c>
      <c r="AX1213" s="28" t="s">
        <v>138</v>
      </c>
      <c r="AY1213" s="28" t="s">
        <v>23551</v>
      </c>
      <c r="AZ1213" s="28" t="s">
        <v>164</v>
      </c>
      <c r="BA1213" s="28" t="s">
        <v>165</v>
      </c>
      <c r="BB1213" s="28" t="s">
        <v>23552</v>
      </c>
      <c r="BC1213" s="28" t="s">
        <v>23553</v>
      </c>
      <c r="BD1213" s="33">
        <v>8</v>
      </c>
      <c r="BE1213" s="28" t="s">
        <v>138</v>
      </c>
      <c r="BF1213" s="28" t="s">
        <v>138</v>
      </c>
      <c r="BG1213" s="28" t="s">
        <v>138</v>
      </c>
      <c r="BH1213" s="28" t="s">
        <v>23554</v>
      </c>
      <c r="BI1213" s="28" t="s">
        <v>138</v>
      </c>
      <c r="BJ1213" s="28" t="s">
        <v>138</v>
      </c>
      <c r="BK1213" s="28" t="s">
        <v>138</v>
      </c>
      <c r="BL1213" s="28" t="s">
        <v>138</v>
      </c>
      <c r="BM1213" s="34">
        <v>43081</v>
      </c>
      <c r="BN1213" s="29">
        <v>4</v>
      </c>
      <c r="BO1213" s="28" t="s">
        <v>172</v>
      </c>
      <c r="BP1213" s="29">
        <v>12</v>
      </c>
      <c r="BQ1213" s="28" t="s">
        <v>172</v>
      </c>
      <c r="BR1213" s="28" t="s">
        <v>234</v>
      </c>
      <c r="BS1213" s="28" t="s">
        <v>234</v>
      </c>
      <c r="BT1213" s="28" t="s">
        <v>138</v>
      </c>
      <c r="BU1213" s="28" t="s">
        <v>174</v>
      </c>
      <c r="BV1213" s="28" t="s">
        <v>138</v>
      </c>
      <c r="BW1213" s="28" t="s">
        <v>138</v>
      </c>
      <c r="BX1213" s="28" t="s">
        <v>138</v>
      </c>
      <c r="BY1213" s="28" t="s">
        <v>175</v>
      </c>
      <c r="BZ1213" s="34" t="s">
        <v>138</v>
      </c>
      <c r="CA1213" s="29" t="s">
        <v>138</v>
      </c>
      <c r="CB1213" s="28" t="s">
        <v>138</v>
      </c>
      <c r="CC1213" s="29" t="s">
        <v>138</v>
      </c>
      <c r="CD1213" s="28" t="s">
        <v>138</v>
      </c>
      <c r="CE1213" s="28" t="s">
        <v>205</v>
      </c>
      <c r="CF1213" s="28" t="s">
        <v>138</v>
      </c>
      <c r="CG1213" s="28" t="s">
        <v>138</v>
      </c>
      <c r="CH1213" s="28" t="s">
        <v>174</v>
      </c>
      <c r="CI1213" s="28" t="s">
        <v>138</v>
      </c>
      <c r="CJ1213" s="28" t="s">
        <v>138</v>
      </c>
      <c r="CK1213" s="28" t="s">
        <v>138</v>
      </c>
      <c r="CL1213" s="28" t="s">
        <v>175</v>
      </c>
      <c r="CM1213" s="34" t="s">
        <v>138</v>
      </c>
      <c r="CN1213" s="29" t="s">
        <v>138</v>
      </c>
      <c r="CO1213" s="35">
        <v>2.83</v>
      </c>
      <c r="CP1213" s="36">
        <v>100</v>
      </c>
      <c r="CQ1213" s="35">
        <v>0.09</v>
      </c>
      <c r="CR1213" s="35">
        <v>3.12</v>
      </c>
      <c r="CS1213" s="35" t="s">
        <v>138</v>
      </c>
      <c r="CT1213" s="36" t="s">
        <v>138</v>
      </c>
      <c r="CU1213" s="35">
        <v>0</v>
      </c>
      <c r="CV1213" s="36">
        <v>22</v>
      </c>
      <c r="CW1213" s="35" t="s">
        <v>138</v>
      </c>
      <c r="CX1213" s="36" t="s">
        <v>138</v>
      </c>
      <c r="CY1213" s="35" t="s">
        <v>138</v>
      </c>
      <c r="CZ1213" s="36" t="s">
        <v>138</v>
      </c>
      <c r="DA1213" s="35">
        <v>0</v>
      </c>
      <c r="DB1213" s="36">
        <v>22</v>
      </c>
      <c r="DC1213" s="37">
        <v>0.41</v>
      </c>
      <c r="DD1213" s="36">
        <v>29</v>
      </c>
      <c r="DE1213" s="37">
        <v>0.01</v>
      </c>
      <c r="DF1213" s="35">
        <v>3.51</v>
      </c>
      <c r="DG1213" s="37" t="s">
        <v>138</v>
      </c>
      <c r="DH1213" s="36" t="s">
        <v>138</v>
      </c>
      <c r="DI1213" s="37">
        <v>0.24</v>
      </c>
      <c r="DJ1213" s="36">
        <v>25</v>
      </c>
      <c r="DK1213" s="37" t="s">
        <v>138</v>
      </c>
      <c r="DL1213" s="36" t="s">
        <v>138</v>
      </c>
      <c r="DM1213" s="37" t="s">
        <v>138</v>
      </c>
      <c r="DN1213" s="36" t="s">
        <v>138</v>
      </c>
      <c r="DO1213" s="37">
        <v>0.24</v>
      </c>
      <c r="DP1213" s="36">
        <v>27</v>
      </c>
      <c r="DQ1213" s="36" t="s">
        <v>138</v>
      </c>
      <c r="DR1213" s="38" t="s">
        <v>138</v>
      </c>
      <c r="DS1213" s="35" t="s">
        <v>138</v>
      </c>
      <c r="DT1213" s="36" t="s">
        <v>138</v>
      </c>
      <c r="DU1213" s="38" t="s">
        <v>138</v>
      </c>
      <c r="DV1213" s="35" t="s">
        <v>138</v>
      </c>
      <c r="DW1213" s="36">
        <v>86</v>
      </c>
      <c r="DX1213" s="39">
        <v>0</v>
      </c>
      <c r="DY1213" s="35">
        <v>0</v>
      </c>
      <c r="DZ1213" s="28" t="s">
        <v>178</v>
      </c>
      <c r="EA1213" s="34">
        <v>43544</v>
      </c>
      <c r="EB1213" s="29">
        <v>12</v>
      </c>
      <c r="EC1213" s="34">
        <v>43081</v>
      </c>
      <c r="ED1213" s="28" t="s">
        <v>234</v>
      </c>
      <c r="EE1213" s="40" t="str">
        <f>HYPERLINK("https://my.pitchbook.com?c=182151-37", "View company online")</f>
        <v>View company online</v>
      </c>
    </row>
    <row r="1214" spans="1:135">
      <c r="A1214" s="15" t="s">
        <v>23555</v>
      </c>
      <c r="B1214" s="15" t="s">
        <v>23556</v>
      </c>
      <c r="C1214" s="15" t="s">
        <v>138</v>
      </c>
      <c r="D1214" s="15" t="s">
        <v>138</v>
      </c>
      <c r="E1214" s="15" t="s">
        <v>23557</v>
      </c>
      <c r="F1214" s="15" t="s">
        <v>23555</v>
      </c>
      <c r="G1214" s="15" t="s">
        <v>23558</v>
      </c>
      <c r="H1214" s="15" t="s">
        <v>183</v>
      </c>
      <c r="I1214" s="15" t="s">
        <v>3466</v>
      </c>
      <c r="J1214" s="15" t="s">
        <v>3467</v>
      </c>
      <c r="K1214" s="15" t="s">
        <v>23559</v>
      </c>
      <c r="L1214" s="15" t="s">
        <v>242</v>
      </c>
      <c r="M1214" s="15" t="s">
        <v>23560</v>
      </c>
      <c r="N1214" s="15" t="s">
        <v>147</v>
      </c>
      <c r="O1214" s="17">
        <v>12.81</v>
      </c>
      <c r="P1214" s="15" t="s">
        <v>148</v>
      </c>
      <c r="Q1214" s="15" t="s">
        <v>149</v>
      </c>
      <c r="R1214" s="15" t="s">
        <v>174</v>
      </c>
      <c r="S1214" s="15" t="s">
        <v>23561</v>
      </c>
      <c r="T1214" s="18">
        <v>75</v>
      </c>
      <c r="U1214" s="15" t="s">
        <v>19723</v>
      </c>
      <c r="V1214" s="15" t="s">
        <v>138</v>
      </c>
      <c r="W1214" s="15" t="s">
        <v>138</v>
      </c>
      <c r="X1214" s="19">
        <v>2014</v>
      </c>
      <c r="Y1214" s="15" t="s">
        <v>138</v>
      </c>
      <c r="Z1214" s="15" t="s">
        <v>138</v>
      </c>
      <c r="AA1214" s="15" t="s">
        <v>138</v>
      </c>
      <c r="AB1214" s="20" t="s">
        <v>138</v>
      </c>
      <c r="AC1214" s="20" t="s">
        <v>138</v>
      </c>
      <c r="AD1214" s="20" t="s">
        <v>138</v>
      </c>
      <c r="AE1214" s="20" t="s">
        <v>138</v>
      </c>
      <c r="AF1214" s="20" t="s">
        <v>138</v>
      </c>
      <c r="AG1214" s="15" t="s">
        <v>138</v>
      </c>
      <c r="AH1214" s="20" t="s">
        <v>138</v>
      </c>
      <c r="AI1214" s="20" t="s">
        <v>138</v>
      </c>
      <c r="AJ1214" s="20" t="s">
        <v>138</v>
      </c>
      <c r="AK1214" s="15" t="s">
        <v>23562</v>
      </c>
      <c r="AL1214" s="15" t="s">
        <v>23563</v>
      </c>
      <c r="AM1214" s="15" t="s">
        <v>8182</v>
      </c>
      <c r="AN1214" s="15" t="s">
        <v>23564</v>
      </c>
      <c r="AO1214" s="15" t="s">
        <v>23565</v>
      </c>
      <c r="AP1214" s="15" t="s">
        <v>23566</v>
      </c>
      <c r="AQ1214" s="15" t="s">
        <v>23567</v>
      </c>
      <c r="AR1214" s="15" t="s">
        <v>23568</v>
      </c>
      <c r="AS1214" s="15" t="s">
        <v>23569</v>
      </c>
      <c r="AT1214" s="15" t="s">
        <v>339</v>
      </c>
      <c r="AU1214" s="15" t="s">
        <v>23570</v>
      </c>
      <c r="AV1214" s="15" t="s">
        <v>162</v>
      </c>
      <c r="AW1214" s="15" t="s">
        <v>23571</v>
      </c>
      <c r="AX1214" s="15" t="s">
        <v>23572</v>
      </c>
      <c r="AY1214" s="15" t="s">
        <v>138</v>
      </c>
      <c r="AZ1214" s="15" t="s">
        <v>164</v>
      </c>
      <c r="BA1214" s="15" t="s">
        <v>165</v>
      </c>
      <c r="BB1214" s="15" t="s">
        <v>23573</v>
      </c>
      <c r="BC1214" s="15" t="s">
        <v>23574</v>
      </c>
      <c r="BD1214" s="21">
        <v>5</v>
      </c>
      <c r="BE1214" s="15" t="s">
        <v>138</v>
      </c>
      <c r="BF1214" s="15" t="s">
        <v>138</v>
      </c>
      <c r="BG1214" s="15" t="s">
        <v>138</v>
      </c>
      <c r="BH1214" s="15" t="s">
        <v>23575</v>
      </c>
      <c r="BI1214" s="15" t="s">
        <v>138</v>
      </c>
      <c r="BJ1214" s="15" t="s">
        <v>138</v>
      </c>
      <c r="BK1214" s="15" t="s">
        <v>3164</v>
      </c>
      <c r="BL1214" s="15" t="s">
        <v>3164</v>
      </c>
      <c r="BM1214" s="22">
        <v>42202</v>
      </c>
      <c r="BN1214" s="17">
        <v>1.81</v>
      </c>
      <c r="BO1214" s="15" t="s">
        <v>172</v>
      </c>
      <c r="BP1214" s="17">
        <v>17</v>
      </c>
      <c r="BQ1214" s="15" t="s">
        <v>172</v>
      </c>
      <c r="BR1214" s="15" t="s">
        <v>262</v>
      </c>
      <c r="BS1214" s="15" t="s">
        <v>206</v>
      </c>
      <c r="BT1214" s="15" t="s">
        <v>138</v>
      </c>
      <c r="BU1214" s="15" t="s">
        <v>263</v>
      </c>
      <c r="BV1214" s="15" t="s">
        <v>138</v>
      </c>
      <c r="BW1214" s="15" t="s">
        <v>138</v>
      </c>
      <c r="BX1214" s="15" t="s">
        <v>138</v>
      </c>
      <c r="BY1214" s="15" t="s">
        <v>175</v>
      </c>
      <c r="BZ1214" s="22">
        <v>43129</v>
      </c>
      <c r="CA1214" s="17">
        <v>11</v>
      </c>
      <c r="CB1214" s="15" t="s">
        <v>172</v>
      </c>
      <c r="CC1214" s="17">
        <v>46</v>
      </c>
      <c r="CD1214" s="15" t="s">
        <v>172</v>
      </c>
      <c r="CE1214" s="15" t="s">
        <v>205</v>
      </c>
      <c r="CF1214" s="15" t="s">
        <v>720</v>
      </c>
      <c r="CG1214" s="15" t="s">
        <v>138</v>
      </c>
      <c r="CH1214" s="15" t="s">
        <v>174</v>
      </c>
      <c r="CI1214" s="15" t="s">
        <v>138</v>
      </c>
      <c r="CJ1214" s="15" t="s">
        <v>138</v>
      </c>
      <c r="CK1214" s="15" t="s">
        <v>138</v>
      </c>
      <c r="CL1214" s="15" t="s">
        <v>175</v>
      </c>
      <c r="CM1214" s="22" t="s">
        <v>138</v>
      </c>
      <c r="CN1214" s="17" t="s">
        <v>138</v>
      </c>
      <c r="CO1214" s="23">
        <v>-1.17</v>
      </c>
      <c r="CP1214" s="24">
        <v>10</v>
      </c>
      <c r="CQ1214" s="23">
        <v>0.01</v>
      </c>
      <c r="CR1214" s="23">
        <v>1.06</v>
      </c>
      <c r="CS1214" s="23">
        <v>-2.35</v>
      </c>
      <c r="CT1214" s="24">
        <v>7</v>
      </c>
      <c r="CU1214" s="23">
        <v>0.01</v>
      </c>
      <c r="CV1214" s="24">
        <v>49</v>
      </c>
      <c r="CW1214" s="23">
        <v>-3.04</v>
      </c>
      <c r="CX1214" s="24">
        <v>5</v>
      </c>
      <c r="CY1214" s="23">
        <v>-1.67</v>
      </c>
      <c r="CZ1214" s="24">
        <v>13</v>
      </c>
      <c r="DA1214" s="23">
        <v>-7.0000000000000007E-2</v>
      </c>
      <c r="DB1214" s="24">
        <v>9</v>
      </c>
      <c r="DC1214" s="25">
        <v>3.59</v>
      </c>
      <c r="DD1214" s="24">
        <v>78</v>
      </c>
      <c r="DE1214" s="25">
        <v>-0.16</v>
      </c>
      <c r="DF1214" s="23">
        <v>-4.38</v>
      </c>
      <c r="DG1214" s="25">
        <v>4.34</v>
      </c>
      <c r="DH1214" s="24">
        <v>80</v>
      </c>
      <c r="DI1214" s="25">
        <v>2.84</v>
      </c>
      <c r="DJ1214" s="24">
        <v>69</v>
      </c>
      <c r="DK1214" s="25">
        <v>4.37</v>
      </c>
      <c r="DL1214" s="24">
        <v>77</v>
      </c>
      <c r="DM1214" s="25">
        <v>4.3099999999999996</v>
      </c>
      <c r="DN1214" s="24">
        <v>79</v>
      </c>
      <c r="DO1214" s="25">
        <v>1.39</v>
      </c>
      <c r="DP1214" s="24">
        <v>57</v>
      </c>
      <c r="DQ1214" s="24">
        <v>1465</v>
      </c>
      <c r="DR1214" s="26">
        <v>99</v>
      </c>
      <c r="DS1214" s="23">
        <v>7.25</v>
      </c>
      <c r="DT1214" s="24">
        <v>126</v>
      </c>
      <c r="DU1214" s="26">
        <v>-2</v>
      </c>
      <c r="DV1214" s="23">
        <v>-1.56</v>
      </c>
      <c r="DW1214" s="24">
        <v>498</v>
      </c>
      <c r="DX1214" s="27">
        <v>2</v>
      </c>
      <c r="DY1214" s="23">
        <v>0.4</v>
      </c>
      <c r="DZ1214" s="15" t="s">
        <v>178</v>
      </c>
      <c r="EA1214" s="22">
        <v>43448</v>
      </c>
      <c r="EB1214" s="17">
        <v>46</v>
      </c>
      <c r="EC1214" s="22">
        <v>43129</v>
      </c>
      <c r="ED1214" s="15" t="s">
        <v>205</v>
      </c>
      <c r="EE1214" s="14" t="str">
        <f>HYPERLINK("https://my.pitchbook.com?c=179672-14", "View company online")</f>
        <v>View company online</v>
      </c>
    </row>
    <row r="1215" spans="1:135">
      <c r="A1215" s="28" t="s">
        <v>23576</v>
      </c>
      <c r="B1215" s="28" t="s">
        <v>23577</v>
      </c>
      <c r="C1215" s="28" t="s">
        <v>138</v>
      </c>
      <c r="D1215" s="28" t="s">
        <v>138</v>
      </c>
      <c r="E1215" s="28" t="s">
        <v>23578</v>
      </c>
      <c r="F1215" s="28" t="s">
        <v>23576</v>
      </c>
      <c r="G1215" s="28" t="s">
        <v>23579</v>
      </c>
      <c r="H1215" s="28" t="s">
        <v>238</v>
      </c>
      <c r="I1215" s="28" t="s">
        <v>785</v>
      </c>
      <c r="J1215" s="28" t="s">
        <v>786</v>
      </c>
      <c r="K1215" s="28" t="s">
        <v>787</v>
      </c>
      <c r="L1215" s="28" t="s">
        <v>4703</v>
      </c>
      <c r="M1215" s="28" t="s">
        <v>23580</v>
      </c>
      <c r="N1215" s="28" t="s">
        <v>147</v>
      </c>
      <c r="O1215" s="29">
        <v>77.569999999999993</v>
      </c>
      <c r="P1215" s="28" t="s">
        <v>148</v>
      </c>
      <c r="Q1215" s="28" t="s">
        <v>149</v>
      </c>
      <c r="R1215" s="28" t="s">
        <v>174</v>
      </c>
      <c r="S1215" s="28" t="s">
        <v>23581</v>
      </c>
      <c r="T1215" s="30">
        <v>106</v>
      </c>
      <c r="U1215" s="28" t="s">
        <v>23582</v>
      </c>
      <c r="V1215" s="28" t="s">
        <v>138</v>
      </c>
      <c r="W1215" s="28" t="s">
        <v>138</v>
      </c>
      <c r="X1215" s="31">
        <v>2015</v>
      </c>
      <c r="Y1215" s="28" t="s">
        <v>138</v>
      </c>
      <c r="Z1215" s="28" t="s">
        <v>138</v>
      </c>
      <c r="AA1215" s="28" t="s">
        <v>138</v>
      </c>
      <c r="AB1215" s="32">
        <v>40000</v>
      </c>
      <c r="AC1215" s="32" t="s">
        <v>138</v>
      </c>
      <c r="AD1215" s="32" t="s">
        <v>138</v>
      </c>
      <c r="AE1215" s="32" t="s">
        <v>138</v>
      </c>
      <c r="AF1215" s="32" t="s">
        <v>138</v>
      </c>
      <c r="AG1215" s="28" t="s">
        <v>419</v>
      </c>
      <c r="AH1215" s="32" t="s">
        <v>138</v>
      </c>
      <c r="AI1215" s="32" t="s">
        <v>138</v>
      </c>
      <c r="AJ1215" s="32" t="s">
        <v>138</v>
      </c>
      <c r="AK1215" s="28" t="s">
        <v>23583</v>
      </c>
      <c r="AL1215" s="28" t="s">
        <v>23584</v>
      </c>
      <c r="AM1215" s="28" t="s">
        <v>221</v>
      </c>
      <c r="AN1215" s="28" t="s">
        <v>23585</v>
      </c>
      <c r="AO1215" s="28" t="s">
        <v>23586</v>
      </c>
      <c r="AP1215" s="28" t="s">
        <v>23587</v>
      </c>
      <c r="AQ1215" s="28" t="s">
        <v>23588</v>
      </c>
      <c r="AR1215" s="28" t="s">
        <v>138</v>
      </c>
      <c r="AS1215" s="28" t="s">
        <v>23589</v>
      </c>
      <c r="AT1215" s="28" t="s">
        <v>200</v>
      </c>
      <c r="AU1215" s="28" t="s">
        <v>23590</v>
      </c>
      <c r="AV1215" s="28" t="s">
        <v>162</v>
      </c>
      <c r="AW1215" s="28" t="s">
        <v>23586</v>
      </c>
      <c r="AX1215" s="28" t="s">
        <v>138</v>
      </c>
      <c r="AY1215" s="28" t="s">
        <v>138</v>
      </c>
      <c r="AZ1215" s="28" t="s">
        <v>164</v>
      </c>
      <c r="BA1215" s="28" t="s">
        <v>165</v>
      </c>
      <c r="BB1215" s="28" t="s">
        <v>23591</v>
      </c>
      <c r="BC1215" s="28" t="s">
        <v>23592</v>
      </c>
      <c r="BD1215" s="33">
        <v>10</v>
      </c>
      <c r="BE1215" s="28" t="s">
        <v>138</v>
      </c>
      <c r="BF1215" s="28" t="s">
        <v>138</v>
      </c>
      <c r="BG1215" s="28" t="s">
        <v>138</v>
      </c>
      <c r="BH1215" s="28" t="s">
        <v>23593</v>
      </c>
      <c r="BI1215" s="28" t="s">
        <v>138</v>
      </c>
      <c r="BJ1215" s="28" t="s">
        <v>138</v>
      </c>
      <c r="BK1215" s="28" t="s">
        <v>23594</v>
      </c>
      <c r="BL1215" s="28" t="s">
        <v>23595</v>
      </c>
      <c r="BM1215" s="34">
        <v>42200</v>
      </c>
      <c r="BN1215" s="29">
        <v>5.55</v>
      </c>
      <c r="BO1215" s="28" t="s">
        <v>172</v>
      </c>
      <c r="BP1215" s="29">
        <v>18.5</v>
      </c>
      <c r="BQ1215" s="28" t="s">
        <v>1178</v>
      </c>
      <c r="BR1215" s="28" t="s">
        <v>205</v>
      </c>
      <c r="BS1215" s="28" t="s">
        <v>206</v>
      </c>
      <c r="BT1215" s="28" t="s">
        <v>138</v>
      </c>
      <c r="BU1215" s="28" t="s">
        <v>174</v>
      </c>
      <c r="BV1215" s="28" t="s">
        <v>138</v>
      </c>
      <c r="BW1215" s="28" t="s">
        <v>138</v>
      </c>
      <c r="BX1215" s="28" t="s">
        <v>138</v>
      </c>
      <c r="BY1215" s="28" t="s">
        <v>175</v>
      </c>
      <c r="BZ1215" s="34">
        <v>43074</v>
      </c>
      <c r="CA1215" s="29">
        <v>35.5</v>
      </c>
      <c r="CB1215" s="28" t="s">
        <v>172</v>
      </c>
      <c r="CC1215" s="29">
        <v>195</v>
      </c>
      <c r="CD1215" s="28" t="s">
        <v>172</v>
      </c>
      <c r="CE1215" s="28" t="s">
        <v>173</v>
      </c>
      <c r="CF1215" s="28" t="s">
        <v>317</v>
      </c>
      <c r="CG1215" s="28" t="s">
        <v>138</v>
      </c>
      <c r="CH1215" s="28" t="s">
        <v>174</v>
      </c>
      <c r="CI1215" s="28" t="s">
        <v>138</v>
      </c>
      <c r="CJ1215" s="28" t="s">
        <v>138</v>
      </c>
      <c r="CK1215" s="28" t="s">
        <v>138</v>
      </c>
      <c r="CL1215" s="28" t="s">
        <v>175</v>
      </c>
      <c r="CM1215" s="34" t="s">
        <v>138</v>
      </c>
      <c r="CN1215" s="29" t="s">
        <v>138</v>
      </c>
      <c r="CO1215" s="35">
        <v>-0.24</v>
      </c>
      <c r="CP1215" s="36">
        <v>19</v>
      </c>
      <c r="CQ1215" s="35">
        <v>-0.05</v>
      </c>
      <c r="CR1215" s="35">
        <v>-22.63</v>
      </c>
      <c r="CS1215" s="35">
        <v>-0.75</v>
      </c>
      <c r="CT1215" s="36">
        <v>17</v>
      </c>
      <c r="CU1215" s="35">
        <v>-0.05</v>
      </c>
      <c r="CV1215" s="36">
        <v>9</v>
      </c>
      <c r="CW1215" s="35">
        <v>0.22</v>
      </c>
      <c r="CX1215" s="36">
        <v>81</v>
      </c>
      <c r="CY1215" s="35">
        <v>-1.71</v>
      </c>
      <c r="CZ1215" s="36">
        <v>13</v>
      </c>
      <c r="DA1215" s="35">
        <v>-0.08</v>
      </c>
      <c r="DB1215" s="36">
        <v>8</v>
      </c>
      <c r="DC1215" s="37">
        <v>99.8</v>
      </c>
      <c r="DD1215" s="36">
        <v>99</v>
      </c>
      <c r="DE1215" s="37">
        <v>-5.22</v>
      </c>
      <c r="DF1215" s="35">
        <v>-4.97</v>
      </c>
      <c r="DG1215" s="37">
        <v>134.12</v>
      </c>
      <c r="DH1215" s="36">
        <v>100</v>
      </c>
      <c r="DI1215" s="37">
        <v>158.83000000000001</v>
      </c>
      <c r="DJ1215" s="36">
        <v>98</v>
      </c>
      <c r="DK1215" s="37">
        <v>247.09</v>
      </c>
      <c r="DL1215" s="36">
        <v>99</v>
      </c>
      <c r="DM1215" s="37">
        <v>21.14</v>
      </c>
      <c r="DN1215" s="36">
        <v>94</v>
      </c>
      <c r="DO1215" s="37">
        <v>9.65</v>
      </c>
      <c r="DP1215" s="36">
        <v>87</v>
      </c>
      <c r="DQ1215" s="36">
        <v>84651</v>
      </c>
      <c r="DR1215" s="38">
        <v>304</v>
      </c>
      <c r="DS1215" s="35">
        <v>0.36</v>
      </c>
      <c r="DT1215" s="36">
        <v>614</v>
      </c>
      <c r="DU1215" s="38">
        <v>-4</v>
      </c>
      <c r="DV1215" s="35">
        <v>-0.65</v>
      </c>
      <c r="DW1215" s="36">
        <v>3454</v>
      </c>
      <c r="DX1215" s="39">
        <v>2</v>
      </c>
      <c r="DY1215" s="35">
        <v>0.06</v>
      </c>
      <c r="DZ1215" s="28" t="s">
        <v>178</v>
      </c>
      <c r="EA1215" s="34">
        <v>43521</v>
      </c>
      <c r="EB1215" s="29">
        <v>195</v>
      </c>
      <c r="EC1215" s="34">
        <v>43074</v>
      </c>
      <c r="ED1215" s="28" t="s">
        <v>173</v>
      </c>
      <c r="EE1215" s="40" t="str">
        <f>HYPERLINK("https://my.pitchbook.com?c=148753-09", "View company online")</f>
        <v>View company online</v>
      </c>
    </row>
    <row r="1216" spans="1:135">
      <c r="A1216" s="15" t="s">
        <v>23596</v>
      </c>
      <c r="B1216" s="15" t="s">
        <v>23597</v>
      </c>
      <c r="C1216" s="15" t="s">
        <v>23598</v>
      </c>
      <c r="D1216" s="15" t="s">
        <v>138</v>
      </c>
      <c r="E1216" s="15" t="s">
        <v>23599</v>
      </c>
      <c r="F1216" s="15" t="s">
        <v>23596</v>
      </c>
      <c r="G1216" s="15" t="s">
        <v>23600</v>
      </c>
      <c r="H1216" s="15" t="s">
        <v>141</v>
      </c>
      <c r="I1216" s="15" t="s">
        <v>212</v>
      </c>
      <c r="J1216" s="15" t="s">
        <v>655</v>
      </c>
      <c r="K1216" s="15" t="s">
        <v>23601</v>
      </c>
      <c r="L1216" s="15" t="s">
        <v>21881</v>
      </c>
      <c r="M1216" s="15" t="s">
        <v>23602</v>
      </c>
      <c r="N1216" s="15" t="s">
        <v>147</v>
      </c>
      <c r="O1216" s="17">
        <v>142.38</v>
      </c>
      <c r="P1216" s="15" t="s">
        <v>148</v>
      </c>
      <c r="Q1216" s="15" t="s">
        <v>149</v>
      </c>
      <c r="R1216" s="15" t="s">
        <v>174</v>
      </c>
      <c r="S1216" s="15" t="s">
        <v>23603</v>
      </c>
      <c r="T1216" s="18">
        <v>182</v>
      </c>
      <c r="U1216" s="15" t="s">
        <v>23604</v>
      </c>
      <c r="V1216" s="15" t="s">
        <v>138</v>
      </c>
      <c r="W1216" s="15" t="s">
        <v>138</v>
      </c>
      <c r="X1216" s="19">
        <v>2012</v>
      </c>
      <c r="Y1216" s="15" t="s">
        <v>138</v>
      </c>
      <c r="Z1216" s="15" t="s">
        <v>138</v>
      </c>
      <c r="AA1216" s="15" t="s">
        <v>138</v>
      </c>
      <c r="AB1216" s="20">
        <v>100</v>
      </c>
      <c r="AC1216" s="20" t="s">
        <v>138</v>
      </c>
      <c r="AD1216" s="20" t="s">
        <v>138</v>
      </c>
      <c r="AE1216" s="20" t="s">
        <v>138</v>
      </c>
      <c r="AF1216" s="20" t="s">
        <v>138</v>
      </c>
      <c r="AG1216" s="15" t="s">
        <v>707</v>
      </c>
      <c r="AH1216" s="20" t="s">
        <v>138</v>
      </c>
      <c r="AI1216" s="20" t="s">
        <v>138</v>
      </c>
      <c r="AJ1216" s="20" t="s">
        <v>138</v>
      </c>
      <c r="AK1216" s="15" t="s">
        <v>23605</v>
      </c>
      <c r="AL1216" s="15" t="s">
        <v>23606</v>
      </c>
      <c r="AM1216" s="15" t="s">
        <v>23607</v>
      </c>
      <c r="AN1216" s="15" t="s">
        <v>23608</v>
      </c>
      <c r="AO1216" s="15" t="s">
        <v>23609</v>
      </c>
      <c r="AP1216" s="15" t="s">
        <v>665</v>
      </c>
      <c r="AQ1216" s="15" t="s">
        <v>23610</v>
      </c>
      <c r="AR1216" s="15" t="s">
        <v>226</v>
      </c>
      <c r="AS1216" s="15" t="s">
        <v>668</v>
      </c>
      <c r="AT1216" s="15" t="s">
        <v>200</v>
      </c>
      <c r="AU1216" s="15" t="s">
        <v>3557</v>
      </c>
      <c r="AV1216" s="15" t="s">
        <v>162</v>
      </c>
      <c r="AW1216" s="15" t="s">
        <v>23609</v>
      </c>
      <c r="AX1216" s="15" t="s">
        <v>138</v>
      </c>
      <c r="AY1216" s="15" t="s">
        <v>23611</v>
      </c>
      <c r="AZ1216" s="15" t="s">
        <v>164</v>
      </c>
      <c r="BA1216" s="15" t="s">
        <v>165</v>
      </c>
      <c r="BB1216" s="15" t="s">
        <v>23612</v>
      </c>
      <c r="BC1216" s="15" t="s">
        <v>23613</v>
      </c>
      <c r="BD1216" s="21">
        <v>19</v>
      </c>
      <c r="BE1216" s="15" t="s">
        <v>138</v>
      </c>
      <c r="BF1216" s="15" t="s">
        <v>138</v>
      </c>
      <c r="BG1216" s="15" t="s">
        <v>138</v>
      </c>
      <c r="BH1216" s="15" t="s">
        <v>23614</v>
      </c>
      <c r="BI1216" s="15" t="s">
        <v>138</v>
      </c>
      <c r="BJ1216" s="15" t="s">
        <v>138</v>
      </c>
      <c r="BK1216" s="15" t="s">
        <v>23615</v>
      </c>
      <c r="BL1216" s="15" t="s">
        <v>1275</v>
      </c>
      <c r="BM1216" s="22">
        <v>41346</v>
      </c>
      <c r="BN1216" s="17">
        <v>2.7</v>
      </c>
      <c r="BO1216" s="15" t="s">
        <v>172</v>
      </c>
      <c r="BP1216" s="17">
        <v>16.170000000000002</v>
      </c>
      <c r="BQ1216" s="15" t="s">
        <v>172</v>
      </c>
      <c r="BR1216" s="15" t="s">
        <v>234</v>
      </c>
      <c r="BS1216" s="15" t="s">
        <v>234</v>
      </c>
      <c r="BT1216" s="15" t="s">
        <v>138</v>
      </c>
      <c r="BU1216" s="15" t="s">
        <v>174</v>
      </c>
      <c r="BV1216" s="15" t="s">
        <v>138</v>
      </c>
      <c r="BW1216" s="15" t="s">
        <v>138</v>
      </c>
      <c r="BX1216" s="15" t="s">
        <v>138</v>
      </c>
      <c r="BY1216" s="15" t="s">
        <v>175</v>
      </c>
      <c r="BZ1216" s="22">
        <v>43500</v>
      </c>
      <c r="CA1216" s="17">
        <v>9.4</v>
      </c>
      <c r="CB1216" s="15" t="s">
        <v>1178</v>
      </c>
      <c r="CC1216" s="17">
        <v>470</v>
      </c>
      <c r="CD1216" s="15" t="s">
        <v>1178</v>
      </c>
      <c r="CE1216" s="15" t="s">
        <v>173</v>
      </c>
      <c r="CF1216" s="15" t="s">
        <v>4410</v>
      </c>
      <c r="CG1216" s="15" t="s">
        <v>138</v>
      </c>
      <c r="CH1216" s="15" t="s">
        <v>174</v>
      </c>
      <c r="CI1216" s="15" t="s">
        <v>138</v>
      </c>
      <c r="CJ1216" s="15" t="s">
        <v>138</v>
      </c>
      <c r="CK1216" s="15" t="s">
        <v>138</v>
      </c>
      <c r="CL1216" s="15" t="s">
        <v>175</v>
      </c>
      <c r="CM1216" s="22" t="s">
        <v>138</v>
      </c>
      <c r="CN1216" s="17" t="s">
        <v>138</v>
      </c>
      <c r="CO1216" s="23">
        <v>0.63</v>
      </c>
      <c r="CP1216" s="24">
        <v>96</v>
      </c>
      <c r="CQ1216" s="23">
        <v>-0.01</v>
      </c>
      <c r="CR1216" s="23">
        <v>-1.28</v>
      </c>
      <c r="CS1216" s="23">
        <v>1.24</v>
      </c>
      <c r="CT1216" s="24">
        <v>97</v>
      </c>
      <c r="CU1216" s="23">
        <v>0.02</v>
      </c>
      <c r="CV1216" s="24">
        <v>51</v>
      </c>
      <c r="CW1216" s="23">
        <v>0.81</v>
      </c>
      <c r="CX1216" s="24">
        <v>84</v>
      </c>
      <c r="CY1216" s="23">
        <v>1.67</v>
      </c>
      <c r="CZ1216" s="24">
        <v>100</v>
      </c>
      <c r="DA1216" s="23">
        <v>0.05</v>
      </c>
      <c r="DB1216" s="24">
        <v>64</v>
      </c>
      <c r="DC1216" s="25">
        <v>158.72999999999999</v>
      </c>
      <c r="DD1216" s="24">
        <v>100</v>
      </c>
      <c r="DE1216" s="25">
        <v>-13.37</v>
      </c>
      <c r="DF1216" s="23">
        <v>-7.77</v>
      </c>
      <c r="DG1216" s="25">
        <v>219.52</v>
      </c>
      <c r="DH1216" s="24">
        <v>100</v>
      </c>
      <c r="DI1216" s="25">
        <v>97.94</v>
      </c>
      <c r="DJ1216" s="24">
        <v>97</v>
      </c>
      <c r="DK1216" s="25">
        <v>419.72</v>
      </c>
      <c r="DL1216" s="24">
        <v>100</v>
      </c>
      <c r="DM1216" s="25">
        <v>19.309999999999999</v>
      </c>
      <c r="DN1216" s="24">
        <v>94</v>
      </c>
      <c r="DO1216" s="25">
        <v>64.400000000000006</v>
      </c>
      <c r="DP1216" s="24">
        <v>97</v>
      </c>
      <c r="DQ1216" s="24">
        <v>141591</v>
      </c>
      <c r="DR1216" s="26">
        <v>7118</v>
      </c>
      <c r="DS1216" s="23">
        <v>5.29</v>
      </c>
      <c r="DT1216" s="24">
        <v>558</v>
      </c>
      <c r="DU1216" s="26">
        <v>4</v>
      </c>
      <c r="DV1216" s="23">
        <v>0.72</v>
      </c>
      <c r="DW1216" s="24">
        <v>23056</v>
      </c>
      <c r="DX1216" s="27">
        <v>12</v>
      </c>
      <c r="DY1216" s="23">
        <v>0.05</v>
      </c>
      <c r="DZ1216" s="15" t="s">
        <v>178</v>
      </c>
      <c r="EA1216" s="22">
        <v>43622</v>
      </c>
      <c r="EB1216" s="17">
        <v>470</v>
      </c>
      <c r="EC1216" s="22">
        <v>43500</v>
      </c>
      <c r="ED1216" s="15" t="s">
        <v>173</v>
      </c>
      <c r="EE1216" s="14" t="str">
        <f>HYPERLINK("https://my.pitchbook.com?c=56335-51", "View company online")</f>
        <v>View company online</v>
      </c>
    </row>
    <row r="1217" spans="1:135">
      <c r="A1217" s="28" t="s">
        <v>23616</v>
      </c>
      <c r="B1217" s="28" t="s">
        <v>23617</v>
      </c>
      <c r="C1217" s="28" t="s">
        <v>138</v>
      </c>
      <c r="D1217" s="28" t="s">
        <v>23618</v>
      </c>
      <c r="E1217" s="28" t="s">
        <v>23619</v>
      </c>
      <c r="F1217" s="28" t="s">
        <v>23616</v>
      </c>
      <c r="G1217" s="28" t="s">
        <v>23620</v>
      </c>
      <c r="H1217" s="28" t="s">
        <v>890</v>
      </c>
      <c r="I1217" s="28" t="s">
        <v>7410</v>
      </c>
      <c r="J1217" s="28" t="s">
        <v>10965</v>
      </c>
      <c r="K1217" s="28" t="s">
        <v>23621</v>
      </c>
      <c r="L1217" s="28" t="s">
        <v>2557</v>
      </c>
      <c r="M1217" s="28" t="s">
        <v>23622</v>
      </c>
      <c r="N1217" s="28" t="s">
        <v>147</v>
      </c>
      <c r="O1217" s="29">
        <v>109.5</v>
      </c>
      <c r="P1217" s="28" t="s">
        <v>148</v>
      </c>
      <c r="Q1217" s="28" t="s">
        <v>149</v>
      </c>
      <c r="R1217" s="28" t="s">
        <v>174</v>
      </c>
      <c r="S1217" s="28" t="s">
        <v>23623</v>
      </c>
      <c r="T1217" s="30">
        <v>15</v>
      </c>
      <c r="U1217" s="28" t="s">
        <v>23624</v>
      </c>
      <c r="V1217" s="28" t="s">
        <v>138</v>
      </c>
      <c r="W1217" s="28" t="s">
        <v>138</v>
      </c>
      <c r="X1217" s="31">
        <v>2015</v>
      </c>
      <c r="Y1217" s="28" t="s">
        <v>138</v>
      </c>
      <c r="Z1217" s="28" t="s">
        <v>138</v>
      </c>
      <c r="AA1217" s="28" t="s">
        <v>138</v>
      </c>
      <c r="AB1217" s="32" t="s">
        <v>138</v>
      </c>
      <c r="AC1217" s="32" t="s">
        <v>138</v>
      </c>
      <c r="AD1217" s="32" t="s">
        <v>138</v>
      </c>
      <c r="AE1217" s="32" t="s">
        <v>138</v>
      </c>
      <c r="AF1217" s="32" t="s">
        <v>138</v>
      </c>
      <c r="AG1217" s="28" t="s">
        <v>138</v>
      </c>
      <c r="AH1217" s="32" t="s">
        <v>138</v>
      </c>
      <c r="AI1217" s="32" t="s">
        <v>138</v>
      </c>
      <c r="AJ1217" s="32" t="s">
        <v>138</v>
      </c>
      <c r="AK1217" s="28" t="s">
        <v>23625</v>
      </c>
      <c r="AL1217" s="28" t="s">
        <v>23626</v>
      </c>
      <c r="AM1217" s="28" t="s">
        <v>221</v>
      </c>
      <c r="AN1217" s="28" t="s">
        <v>23627</v>
      </c>
      <c r="AO1217" s="28" t="s">
        <v>23628</v>
      </c>
      <c r="AP1217" s="28" t="s">
        <v>964</v>
      </c>
      <c r="AQ1217" s="28" t="s">
        <v>23629</v>
      </c>
      <c r="AR1217" s="28" t="s">
        <v>138</v>
      </c>
      <c r="AS1217" s="28" t="s">
        <v>966</v>
      </c>
      <c r="AT1217" s="28" t="s">
        <v>200</v>
      </c>
      <c r="AU1217" s="28" t="s">
        <v>23630</v>
      </c>
      <c r="AV1217" s="28" t="s">
        <v>162</v>
      </c>
      <c r="AW1217" s="28" t="s">
        <v>23628</v>
      </c>
      <c r="AX1217" s="28" t="s">
        <v>138</v>
      </c>
      <c r="AY1217" s="28" t="s">
        <v>23631</v>
      </c>
      <c r="AZ1217" s="28" t="s">
        <v>164</v>
      </c>
      <c r="BA1217" s="28" t="s">
        <v>165</v>
      </c>
      <c r="BB1217" s="28" t="s">
        <v>23632</v>
      </c>
      <c r="BC1217" s="28" t="s">
        <v>23633</v>
      </c>
      <c r="BD1217" s="33">
        <v>28</v>
      </c>
      <c r="BE1217" s="28" t="s">
        <v>138</v>
      </c>
      <c r="BF1217" s="28" t="s">
        <v>138</v>
      </c>
      <c r="BG1217" s="28" t="s">
        <v>138</v>
      </c>
      <c r="BH1217" s="28" t="s">
        <v>23634</v>
      </c>
      <c r="BI1217" s="28" t="s">
        <v>138</v>
      </c>
      <c r="BJ1217" s="28" t="s">
        <v>138</v>
      </c>
      <c r="BK1217" s="28" t="s">
        <v>138</v>
      </c>
      <c r="BL1217" s="28" t="s">
        <v>15371</v>
      </c>
      <c r="BM1217" s="34">
        <v>42826</v>
      </c>
      <c r="BN1217" s="29" t="s">
        <v>138</v>
      </c>
      <c r="BO1217" s="28" t="s">
        <v>138</v>
      </c>
      <c r="BP1217" s="29" t="s">
        <v>138</v>
      </c>
      <c r="BQ1217" s="28" t="s">
        <v>138</v>
      </c>
      <c r="BR1217" s="28" t="s">
        <v>205</v>
      </c>
      <c r="BS1217" s="28" t="s">
        <v>138</v>
      </c>
      <c r="BT1217" s="28" t="s">
        <v>138</v>
      </c>
      <c r="BU1217" s="28" t="s">
        <v>174</v>
      </c>
      <c r="BV1217" s="28" t="s">
        <v>138</v>
      </c>
      <c r="BW1217" s="28" t="s">
        <v>138</v>
      </c>
      <c r="BX1217" s="28" t="s">
        <v>138</v>
      </c>
      <c r="BY1217" s="28" t="s">
        <v>175</v>
      </c>
      <c r="BZ1217" s="34">
        <v>43418</v>
      </c>
      <c r="CA1217" s="29">
        <v>70</v>
      </c>
      <c r="CB1217" s="28" t="s">
        <v>172</v>
      </c>
      <c r="CC1217" s="29">
        <v>385</v>
      </c>
      <c r="CD1217" s="28" t="s">
        <v>172</v>
      </c>
      <c r="CE1217" s="28" t="s">
        <v>173</v>
      </c>
      <c r="CF1217" s="28" t="s">
        <v>317</v>
      </c>
      <c r="CG1217" s="28" t="s">
        <v>138</v>
      </c>
      <c r="CH1217" s="28" t="s">
        <v>174</v>
      </c>
      <c r="CI1217" s="28" t="s">
        <v>138</v>
      </c>
      <c r="CJ1217" s="28" t="s">
        <v>138</v>
      </c>
      <c r="CK1217" s="28" t="s">
        <v>138</v>
      </c>
      <c r="CL1217" s="28" t="s">
        <v>175</v>
      </c>
      <c r="CM1217" s="34" t="s">
        <v>138</v>
      </c>
      <c r="CN1217" s="29" t="s">
        <v>138</v>
      </c>
      <c r="CO1217" s="35">
        <v>0.68</v>
      </c>
      <c r="CP1217" s="36">
        <v>96</v>
      </c>
      <c r="CQ1217" s="35">
        <v>7.0000000000000007E-2</v>
      </c>
      <c r="CR1217" s="35">
        <v>12.1</v>
      </c>
      <c r="CS1217" s="35">
        <v>-0.12</v>
      </c>
      <c r="CT1217" s="36">
        <v>22</v>
      </c>
      <c r="CU1217" s="35">
        <v>1.48</v>
      </c>
      <c r="CV1217" s="36">
        <v>99</v>
      </c>
      <c r="CW1217" s="35">
        <v>0.09</v>
      </c>
      <c r="CX1217" s="36">
        <v>80</v>
      </c>
      <c r="CY1217" s="35">
        <v>-0.33</v>
      </c>
      <c r="CZ1217" s="36">
        <v>23</v>
      </c>
      <c r="DA1217" s="35">
        <v>0.91</v>
      </c>
      <c r="DB1217" s="36">
        <v>98</v>
      </c>
      <c r="DC1217" s="37">
        <v>38.36</v>
      </c>
      <c r="DD1217" s="36">
        <v>97</v>
      </c>
      <c r="DE1217" s="37">
        <v>-4.66</v>
      </c>
      <c r="DF1217" s="35">
        <v>-10.82</v>
      </c>
      <c r="DG1217" s="37">
        <v>74.959999999999994</v>
      </c>
      <c r="DH1217" s="36">
        <v>99</v>
      </c>
      <c r="DI1217" s="37">
        <v>1.76</v>
      </c>
      <c r="DJ1217" s="36">
        <v>60</v>
      </c>
      <c r="DK1217" s="37">
        <v>146.24</v>
      </c>
      <c r="DL1217" s="36">
        <v>98</v>
      </c>
      <c r="DM1217" s="37">
        <v>3.69</v>
      </c>
      <c r="DN1217" s="36">
        <v>77</v>
      </c>
      <c r="DO1217" s="37">
        <v>2.37</v>
      </c>
      <c r="DP1217" s="36">
        <v>67</v>
      </c>
      <c r="DQ1217" s="36">
        <v>49106</v>
      </c>
      <c r="DR1217" s="38">
        <v>3162</v>
      </c>
      <c r="DS1217" s="35">
        <v>6.88</v>
      </c>
      <c r="DT1217" s="36">
        <v>106</v>
      </c>
      <c r="DU1217" s="38">
        <v>2</v>
      </c>
      <c r="DV1217" s="35">
        <v>1.92</v>
      </c>
      <c r="DW1217" s="36">
        <v>846</v>
      </c>
      <c r="DX1217" s="39">
        <v>11</v>
      </c>
      <c r="DY1217" s="35">
        <v>1.32</v>
      </c>
      <c r="DZ1217" s="28" t="s">
        <v>178</v>
      </c>
      <c r="EA1217" s="34">
        <v>43619</v>
      </c>
      <c r="EB1217" s="29">
        <v>385</v>
      </c>
      <c r="EC1217" s="34">
        <v>43418</v>
      </c>
      <c r="ED1217" s="28" t="s">
        <v>173</v>
      </c>
      <c r="EE1217" s="40" t="str">
        <f>HYPERLINK("https://my.pitchbook.com?c=162900-82", "View company online")</f>
        <v>View company online</v>
      </c>
    </row>
    <row r="1218" spans="1:135">
      <c r="A1218" s="15" t="s">
        <v>23635</v>
      </c>
      <c r="B1218" s="15" t="s">
        <v>23636</v>
      </c>
      <c r="C1218" s="15" t="s">
        <v>138</v>
      </c>
      <c r="D1218" s="15" t="s">
        <v>23637</v>
      </c>
      <c r="E1218" s="15" t="s">
        <v>138</v>
      </c>
      <c r="F1218" s="15" t="s">
        <v>23635</v>
      </c>
      <c r="G1218" s="15" t="s">
        <v>23638</v>
      </c>
      <c r="H1218" s="15" t="s">
        <v>322</v>
      </c>
      <c r="I1218" s="15" t="s">
        <v>323</v>
      </c>
      <c r="J1218" s="15" t="s">
        <v>954</v>
      </c>
      <c r="K1218" s="15" t="s">
        <v>17460</v>
      </c>
      <c r="L1218" s="15" t="s">
        <v>2274</v>
      </c>
      <c r="M1218" s="15" t="s">
        <v>23639</v>
      </c>
      <c r="N1218" s="15" t="s">
        <v>147</v>
      </c>
      <c r="O1218" s="17">
        <v>0.14000000000000001</v>
      </c>
      <c r="P1218" s="15" t="s">
        <v>148</v>
      </c>
      <c r="Q1218" s="15" t="s">
        <v>149</v>
      </c>
      <c r="R1218" s="15" t="s">
        <v>174</v>
      </c>
      <c r="S1218" s="15" t="s">
        <v>23640</v>
      </c>
      <c r="T1218" s="18">
        <v>3</v>
      </c>
      <c r="U1218" s="15" t="s">
        <v>23641</v>
      </c>
      <c r="V1218" s="15" t="s">
        <v>138</v>
      </c>
      <c r="W1218" s="15" t="s">
        <v>138</v>
      </c>
      <c r="X1218" s="19">
        <v>2007</v>
      </c>
      <c r="Y1218" s="15" t="s">
        <v>138</v>
      </c>
      <c r="Z1218" s="15" t="s">
        <v>138</v>
      </c>
      <c r="AA1218" s="15" t="s">
        <v>138</v>
      </c>
      <c r="AB1218" s="20" t="s">
        <v>138</v>
      </c>
      <c r="AC1218" s="20" t="s">
        <v>138</v>
      </c>
      <c r="AD1218" s="20" t="s">
        <v>138</v>
      </c>
      <c r="AE1218" s="20" t="s">
        <v>138</v>
      </c>
      <c r="AF1218" s="20" t="s">
        <v>138</v>
      </c>
      <c r="AG1218" s="15" t="s">
        <v>138</v>
      </c>
      <c r="AH1218" s="20" t="s">
        <v>138</v>
      </c>
      <c r="AI1218" s="20" t="s">
        <v>138</v>
      </c>
      <c r="AJ1218" s="20" t="s">
        <v>138</v>
      </c>
      <c r="AK1218" s="15" t="s">
        <v>23642</v>
      </c>
      <c r="AL1218" s="15" t="s">
        <v>23643</v>
      </c>
      <c r="AM1218" s="15" t="s">
        <v>23644</v>
      </c>
      <c r="AN1218" s="15" t="s">
        <v>23645</v>
      </c>
      <c r="AO1218" s="15" t="s">
        <v>23646</v>
      </c>
      <c r="AP1218" s="15" t="s">
        <v>941</v>
      </c>
      <c r="AQ1218" s="15" t="s">
        <v>23647</v>
      </c>
      <c r="AR1218" s="15" t="s">
        <v>138</v>
      </c>
      <c r="AS1218" s="15" t="s">
        <v>944</v>
      </c>
      <c r="AT1218" s="15" t="s">
        <v>138</v>
      </c>
      <c r="AU1218" s="15" t="s">
        <v>23648</v>
      </c>
      <c r="AV1218" s="15" t="s">
        <v>946</v>
      </c>
      <c r="AW1218" s="15" t="s">
        <v>23646</v>
      </c>
      <c r="AX1218" s="15" t="s">
        <v>138</v>
      </c>
      <c r="AY1218" s="15" t="s">
        <v>23649</v>
      </c>
      <c r="AZ1218" s="15" t="s">
        <v>530</v>
      </c>
      <c r="BA1218" s="15" t="s">
        <v>531</v>
      </c>
      <c r="BB1218" s="15" t="s">
        <v>23650</v>
      </c>
      <c r="BC1218" s="15" t="s">
        <v>23651</v>
      </c>
      <c r="BD1218" s="21">
        <v>1</v>
      </c>
      <c r="BE1218" s="15" t="s">
        <v>138</v>
      </c>
      <c r="BF1218" s="15" t="s">
        <v>23652</v>
      </c>
      <c r="BG1218" s="15" t="s">
        <v>138</v>
      </c>
      <c r="BH1218" s="15" t="s">
        <v>138</v>
      </c>
      <c r="BI1218" s="15" t="s">
        <v>23653</v>
      </c>
      <c r="BJ1218" s="15" t="s">
        <v>138</v>
      </c>
      <c r="BK1218" s="15" t="s">
        <v>138</v>
      </c>
      <c r="BL1218" s="15" t="s">
        <v>138</v>
      </c>
      <c r="BM1218" s="22">
        <v>39219</v>
      </c>
      <c r="BN1218" s="17">
        <v>0.14000000000000001</v>
      </c>
      <c r="BO1218" s="15" t="s">
        <v>172</v>
      </c>
      <c r="BP1218" s="17" t="s">
        <v>138</v>
      </c>
      <c r="BQ1218" s="15" t="s">
        <v>138</v>
      </c>
      <c r="BR1218" s="15" t="s">
        <v>205</v>
      </c>
      <c r="BS1218" s="15" t="s">
        <v>206</v>
      </c>
      <c r="BT1218" s="15" t="s">
        <v>138</v>
      </c>
      <c r="BU1218" s="15" t="s">
        <v>174</v>
      </c>
      <c r="BV1218" s="15" t="s">
        <v>138</v>
      </c>
      <c r="BW1218" s="15" t="s">
        <v>138</v>
      </c>
      <c r="BX1218" s="15" t="s">
        <v>138</v>
      </c>
      <c r="BY1218" s="15" t="s">
        <v>175</v>
      </c>
      <c r="BZ1218" s="22">
        <v>40909</v>
      </c>
      <c r="CA1218" s="17" t="s">
        <v>138</v>
      </c>
      <c r="CB1218" s="15" t="s">
        <v>138</v>
      </c>
      <c r="CC1218" s="17" t="s">
        <v>138</v>
      </c>
      <c r="CD1218" s="15" t="s">
        <v>138</v>
      </c>
      <c r="CE1218" s="15" t="s">
        <v>379</v>
      </c>
      <c r="CF1218" s="15" t="s">
        <v>138</v>
      </c>
      <c r="CG1218" s="15" t="s">
        <v>138</v>
      </c>
      <c r="CH1218" s="15" t="s">
        <v>174</v>
      </c>
      <c r="CI1218" s="15" t="s">
        <v>138</v>
      </c>
      <c r="CJ1218" s="15" t="s">
        <v>138</v>
      </c>
      <c r="CK1218" s="15" t="s">
        <v>138</v>
      </c>
      <c r="CL1218" s="15" t="s">
        <v>175</v>
      </c>
      <c r="CM1218" s="22" t="s">
        <v>138</v>
      </c>
      <c r="CN1218" s="17" t="s">
        <v>138</v>
      </c>
      <c r="CO1218" s="23">
        <v>0</v>
      </c>
      <c r="CP1218" s="24">
        <v>26</v>
      </c>
      <c r="CQ1218" s="23">
        <v>0</v>
      </c>
      <c r="CR1218" s="23">
        <v>0</v>
      </c>
      <c r="CS1218" s="23" t="s">
        <v>138</v>
      </c>
      <c r="CT1218" s="24" t="s">
        <v>138</v>
      </c>
      <c r="CU1218" s="23">
        <v>0</v>
      </c>
      <c r="CV1218" s="24">
        <v>22</v>
      </c>
      <c r="CW1218" s="23" t="s">
        <v>138</v>
      </c>
      <c r="CX1218" s="24" t="s">
        <v>138</v>
      </c>
      <c r="CY1218" s="23" t="s">
        <v>138</v>
      </c>
      <c r="CZ1218" s="24" t="s">
        <v>138</v>
      </c>
      <c r="DA1218" s="23">
        <v>0</v>
      </c>
      <c r="DB1218" s="24">
        <v>22</v>
      </c>
      <c r="DC1218" s="25">
        <v>0.33</v>
      </c>
      <c r="DD1218" s="24">
        <v>25</v>
      </c>
      <c r="DE1218" s="25">
        <v>0</v>
      </c>
      <c r="DF1218" s="23">
        <v>0.46</v>
      </c>
      <c r="DG1218" s="25" t="s">
        <v>138</v>
      </c>
      <c r="DH1218" s="24" t="s">
        <v>138</v>
      </c>
      <c r="DI1218" s="25">
        <v>0.33</v>
      </c>
      <c r="DJ1218" s="24">
        <v>30</v>
      </c>
      <c r="DK1218" s="25" t="s">
        <v>138</v>
      </c>
      <c r="DL1218" s="24" t="s">
        <v>138</v>
      </c>
      <c r="DM1218" s="25" t="s">
        <v>138</v>
      </c>
      <c r="DN1218" s="24" t="s">
        <v>138</v>
      </c>
      <c r="DO1218" s="25">
        <v>0.56999999999999995</v>
      </c>
      <c r="DP1218" s="24">
        <v>40</v>
      </c>
      <c r="DQ1218" s="24" t="s">
        <v>138</v>
      </c>
      <c r="DR1218" s="26" t="s">
        <v>138</v>
      </c>
      <c r="DS1218" s="23" t="s">
        <v>138</v>
      </c>
      <c r="DT1218" s="24" t="s">
        <v>138</v>
      </c>
      <c r="DU1218" s="26" t="s">
        <v>138</v>
      </c>
      <c r="DV1218" s="23" t="s">
        <v>138</v>
      </c>
      <c r="DW1218" s="24">
        <v>203</v>
      </c>
      <c r="DX1218" s="27">
        <v>0</v>
      </c>
      <c r="DY1218" s="23">
        <v>0</v>
      </c>
      <c r="DZ1218" s="15" t="s">
        <v>178</v>
      </c>
      <c r="EA1218" s="22">
        <v>43448</v>
      </c>
      <c r="EB1218" s="17" t="s">
        <v>138</v>
      </c>
      <c r="EC1218" s="22" t="s">
        <v>138</v>
      </c>
      <c r="ED1218" s="15" t="s">
        <v>138</v>
      </c>
      <c r="EE1218" s="14" t="str">
        <f>HYPERLINK("https://my.pitchbook.com?c=62158-06", "View company online")</f>
        <v>View company online</v>
      </c>
    </row>
    <row r="1219" spans="1:135">
      <c r="A1219" s="28" t="s">
        <v>23654</v>
      </c>
      <c r="B1219" s="28" t="s">
        <v>23655</v>
      </c>
      <c r="C1219" s="28" t="s">
        <v>138</v>
      </c>
      <c r="D1219" s="28" t="s">
        <v>138</v>
      </c>
      <c r="E1219" s="28" t="s">
        <v>23656</v>
      </c>
      <c r="F1219" s="28" t="s">
        <v>23654</v>
      </c>
      <c r="G1219" s="28" t="s">
        <v>23657</v>
      </c>
      <c r="H1219" s="28" t="s">
        <v>322</v>
      </c>
      <c r="I1219" s="28" t="s">
        <v>323</v>
      </c>
      <c r="J1219" s="28" t="s">
        <v>324</v>
      </c>
      <c r="K1219" s="28" t="s">
        <v>1543</v>
      </c>
      <c r="L1219" s="28" t="s">
        <v>22630</v>
      </c>
      <c r="M1219" s="28" t="s">
        <v>23658</v>
      </c>
      <c r="N1219" s="28" t="s">
        <v>147</v>
      </c>
      <c r="O1219" s="29">
        <v>129.69999999999999</v>
      </c>
      <c r="P1219" s="28" t="s">
        <v>812</v>
      </c>
      <c r="Q1219" s="28" t="s">
        <v>149</v>
      </c>
      <c r="R1219" s="28" t="s">
        <v>244</v>
      </c>
      <c r="S1219" s="28" t="s">
        <v>23659</v>
      </c>
      <c r="T1219" s="30">
        <v>200</v>
      </c>
      <c r="U1219" s="28" t="s">
        <v>23660</v>
      </c>
      <c r="V1219" s="28" t="s">
        <v>138</v>
      </c>
      <c r="W1219" s="28" t="s">
        <v>138</v>
      </c>
      <c r="X1219" s="31">
        <v>2012</v>
      </c>
      <c r="Y1219" s="28" t="s">
        <v>138</v>
      </c>
      <c r="Z1219" s="28" t="s">
        <v>23661</v>
      </c>
      <c r="AA1219" s="28" t="s">
        <v>23662</v>
      </c>
      <c r="AB1219" s="32" t="s">
        <v>138</v>
      </c>
      <c r="AC1219" s="32" t="s">
        <v>138</v>
      </c>
      <c r="AD1219" s="32" t="s">
        <v>138</v>
      </c>
      <c r="AE1219" s="32" t="s">
        <v>138</v>
      </c>
      <c r="AF1219" s="32" t="s">
        <v>138</v>
      </c>
      <c r="AG1219" s="28" t="s">
        <v>138</v>
      </c>
      <c r="AH1219" s="32" t="s">
        <v>138</v>
      </c>
      <c r="AI1219" s="32" t="s">
        <v>138</v>
      </c>
      <c r="AJ1219" s="32" t="s">
        <v>138</v>
      </c>
      <c r="AK1219" s="28" t="s">
        <v>23663</v>
      </c>
      <c r="AL1219" s="28" t="s">
        <v>23664</v>
      </c>
      <c r="AM1219" s="28" t="s">
        <v>7338</v>
      </c>
      <c r="AN1219" s="28" t="s">
        <v>23665</v>
      </c>
      <c r="AO1219" s="28" t="s">
        <v>23666</v>
      </c>
      <c r="AP1219" s="28" t="s">
        <v>1514</v>
      </c>
      <c r="AQ1219" s="28" t="s">
        <v>23667</v>
      </c>
      <c r="AR1219" s="28" t="s">
        <v>226</v>
      </c>
      <c r="AS1219" s="28" t="s">
        <v>1516</v>
      </c>
      <c r="AT1219" s="28" t="s">
        <v>284</v>
      </c>
      <c r="AU1219" s="28" t="s">
        <v>23668</v>
      </c>
      <c r="AV1219" s="28" t="s">
        <v>162</v>
      </c>
      <c r="AW1219" s="28" t="s">
        <v>23666</v>
      </c>
      <c r="AX1219" s="28" t="s">
        <v>138</v>
      </c>
      <c r="AY1219" s="28" t="s">
        <v>138</v>
      </c>
      <c r="AZ1219" s="28" t="s">
        <v>164</v>
      </c>
      <c r="BA1219" s="28" t="s">
        <v>165</v>
      </c>
      <c r="BB1219" s="28" t="s">
        <v>23669</v>
      </c>
      <c r="BC1219" s="28" t="s">
        <v>23670</v>
      </c>
      <c r="BD1219" s="33">
        <v>9</v>
      </c>
      <c r="BE1219" s="28" t="s">
        <v>138</v>
      </c>
      <c r="BF1219" s="28" t="s">
        <v>138</v>
      </c>
      <c r="BG1219" s="28" t="s">
        <v>138</v>
      </c>
      <c r="BH1219" s="28" t="s">
        <v>23671</v>
      </c>
      <c r="BI1219" s="28" t="s">
        <v>138</v>
      </c>
      <c r="BJ1219" s="28" t="s">
        <v>138</v>
      </c>
      <c r="BK1219" s="28" t="s">
        <v>138</v>
      </c>
      <c r="BL1219" s="28" t="s">
        <v>23672</v>
      </c>
      <c r="BM1219" s="34">
        <v>41428</v>
      </c>
      <c r="BN1219" s="29">
        <v>2.7</v>
      </c>
      <c r="BO1219" s="28" t="s">
        <v>172</v>
      </c>
      <c r="BP1219" s="29" t="s">
        <v>138</v>
      </c>
      <c r="BQ1219" s="28" t="s">
        <v>138</v>
      </c>
      <c r="BR1219" s="28" t="s">
        <v>1326</v>
      </c>
      <c r="BS1219" s="28" t="s">
        <v>138</v>
      </c>
      <c r="BT1219" s="28" t="s">
        <v>138</v>
      </c>
      <c r="BU1219" s="28" t="s">
        <v>1327</v>
      </c>
      <c r="BV1219" s="28" t="s">
        <v>1328</v>
      </c>
      <c r="BW1219" s="28" t="s">
        <v>138</v>
      </c>
      <c r="BX1219" s="28" t="s">
        <v>138</v>
      </c>
      <c r="BY1219" s="28" t="s">
        <v>175</v>
      </c>
      <c r="BZ1219" s="34">
        <v>43620</v>
      </c>
      <c r="CA1219" s="29">
        <v>60</v>
      </c>
      <c r="CB1219" s="28" t="s">
        <v>172</v>
      </c>
      <c r="CC1219" s="29">
        <v>530</v>
      </c>
      <c r="CD1219" s="28" t="s">
        <v>172</v>
      </c>
      <c r="CE1219" s="28" t="s">
        <v>173</v>
      </c>
      <c r="CF1219" s="28" t="s">
        <v>433</v>
      </c>
      <c r="CG1219" s="28" t="s">
        <v>138</v>
      </c>
      <c r="CH1219" s="28" t="s">
        <v>174</v>
      </c>
      <c r="CI1219" s="28" t="s">
        <v>138</v>
      </c>
      <c r="CJ1219" s="28" t="s">
        <v>138</v>
      </c>
      <c r="CK1219" s="28" t="s">
        <v>138</v>
      </c>
      <c r="CL1219" s="28" t="s">
        <v>175</v>
      </c>
      <c r="CM1219" s="34">
        <v>43221</v>
      </c>
      <c r="CN1219" s="29">
        <v>6</v>
      </c>
      <c r="CO1219" s="35">
        <v>1.03</v>
      </c>
      <c r="CP1219" s="36">
        <v>97</v>
      </c>
      <c r="CQ1219" s="35">
        <v>-7.0000000000000007E-2</v>
      </c>
      <c r="CR1219" s="35">
        <v>-6.6</v>
      </c>
      <c r="CS1219" s="35">
        <v>1.0900000000000001</v>
      </c>
      <c r="CT1219" s="36">
        <v>97</v>
      </c>
      <c r="CU1219" s="35">
        <v>0.41</v>
      </c>
      <c r="CV1219" s="36">
        <v>91</v>
      </c>
      <c r="CW1219" s="35">
        <v>2.73</v>
      </c>
      <c r="CX1219" s="36">
        <v>90</v>
      </c>
      <c r="CY1219" s="35">
        <v>-0.55000000000000004</v>
      </c>
      <c r="CZ1219" s="36">
        <v>22</v>
      </c>
      <c r="DA1219" s="35">
        <v>0.27</v>
      </c>
      <c r="DB1219" s="36">
        <v>87</v>
      </c>
      <c r="DC1219" s="37">
        <v>9.1199999999999992</v>
      </c>
      <c r="DD1219" s="36">
        <v>89</v>
      </c>
      <c r="DE1219" s="37">
        <v>-0.51</v>
      </c>
      <c r="DF1219" s="35">
        <v>-5.31</v>
      </c>
      <c r="DG1219" s="37">
        <v>23.29</v>
      </c>
      <c r="DH1219" s="36">
        <v>96</v>
      </c>
      <c r="DI1219" s="37">
        <v>3.76</v>
      </c>
      <c r="DJ1219" s="36">
        <v>73</v>
      </c>
      <c r="DK1219" s="37">
        <v>21.96</v>
      </c>
      <c r="DL1219" s="36">
        <v>92</v>
      </c>
      <c r="DM1219" s="37">
        <v>24.62</v>
      </c>
      <c r="DN1219" s="36">
        <v>95</v>
      </c>
      <c r="DO1219" s="37">
        <v>7.34</v>
      </c>
      <c r="DP1219" s="36">
        <v>84</v>
      </c>
      <c r="DQ1219" s="36">
        <v>7456</v>
      </c>
      <c r="DR1219" s="38">
        <v>223</v>
      </c>
      <c r="DS1219" s="35">
        <v>3.08</v>
      </c>
      <c r="DT1219" s="36">
        <v>717</v>
      </c>
      <c r="DU1219" s="38">
        <v>-6</v>
      </c>
      <c r="DV1219" s="35">
        <v>-0.83</v>
      </c>
      <c r="DW1219" s="36">
        <v>2624</v>
      </c>
      <c r="DX1219" s="39">
        <v>6</v>
      </c>
      <c r="DY1219" s="35">
        <v>0.23</v>
      </c>
      <c r="DZ1219" s="28" t="s">
        <v>178</v>
      </c>
      <c r="EA1219" s="34">
        <v>43621</v>
      </c>
      <c r="EB1219" s="29">
        <v>530</v>
      </c>
      <c r="EC1219" s="34">
        <v>43620</v>
      </c>
      <c r="ED1219" s="28" t="s">
        <v>173</v>
      </c>
      <c r="EE1219" s="40" t="str">
        <f>HYPERLINK("https://my.pitchbook.com?c=57406-33", "View company online")</f>
        <v>View company online</v>
      </c>
    </row>
    <row r="1220" spans="1:135">
      <c r="A1220" s="15" t="s">
        <v>23673</v>
      </c>
      <c r="B1220" s="15" t="s">
        <v>23674</v>
      </c>
      <c r="C1220" s="15" t="s">
        <v>138</v>
      </c>
      <c r="D1220" s="15" t="s">
        <v>138</v>
      </c>
      <c r="E1220" s="15" t="s">
        <v>138</v>
      </c>
      <c r="F1220" s="15" t="s">
        <v>23673</v>
      </c>
      <c r="G1220" s="15" t="s">
        <v>23675</v>
      </c>
      <c r="H1220" s="15" t="s">
        <v>238</v>
      </c>
      <c r="I1220" s="15" t="s">
        <v>269</v>
      </c>
      <c r="J1220" s="15" t="s">
        <v>296</v>
      </c>
      <c r="K1220" s="15" t="s">
        <v>23676</v>
      </c>
      <c r="L1220" s="15" t="s">
        <v>23677</v>
      </c>
      <c r="M1220" s="15" t="s">
        <v>23678</v>
      </c>
      <c r="N1220" s="15" t="s">
        <v>147</v>
      </c>
      <c r="O1220" s="17">
        <v>3.53</v>
      </c>
      <c r="P1220" s="15" t="s">
        <v>148</v>
      </c>
      <c r="Q1220" s="15" t="s">
        <v>149</v>
      </c>
      <c r="R1220" s="15" t="s">
        <v>174</v>
      </c>
      <c r="S1220" s="15" t="s">
        <v>23679</v>
      </c>
      <c r="T1220" s="18">
        <v>7</v>
      </c>
      <c r="U1220" s="15" t="s">
        <v>23680</v>
      </c>
      <c r="V1220" s="15" t="s">
        <v>138</v>
      </c>
      <c r="W1220" s="15" t="s">
        <v>138</v>
      </c>
      <c r="X1220" s="19">
        <v>2013</v>
      </c>
      <c r="Y1220" s="15" t="s">
        <v>138</v>
      </c>
      <c r="Z1220" s="15" t="s">
        <v>138</v>
      </c>
      <c r="AA1220" s="15" t="s">
        <v>138</v>
      </c>
      <c r="AB1220" s="20" t="s">
        <v>138</v>
      </c>
      <c r="AC1220" s="20" t="s">
        <v>138</v>
      </c>
      <c r="AD1220" s="20" t="s">
        <v>138</v>
      </c>
      <c r="AE1220" s="20" t="s">
        <v>138</v>
      </c>
      <c r="AF1220" s="20" t="s">
        <v>138</v>
      </c>
      <c r="AG1220" s="15" t="s">
        <v>138</v>
      </c>
      <c r="AH1220" s="20" t="s">
        <v>138</v>
      </c>
      <c r="AI1220" s="20" t="s">
        <v>138</v>
      </c>
      <c r="AJ1220" s="20" t="s">
        <v>138</v>
      </c>
      <c r="AK1220" s="15" t="s">
        <v>23681</v>
      </c>
      <c r="AL1220" s="15" t="s">
        <v>23682</v>
      </c>
      <c r="AM1220" s="15" t="s">
        <v>23683</v>
      </c>
      <c r="AN1220" s="15" t="s">
        <v>23684</v>
      </c>
      <c r="AO1220" s="15" t="s">
        <v>138</v>
      </c>
      <c r="AP1220" s="15" t="s">
        <v>941</v>
      </c>
      <c r="AQ1220" s="15" t="s">
        <v>23685</v>
      </c>
      <c r="AR1220" s="15" t="s">
        <v>138</v>
      </c>
      <c r="AS1220" s="15" t="s">
        <v>944</v>
      </c>
      <c r="AT1220" s="15" t="s">
        <v>138</v>
      </c>
      <c r="AU1220" s="15" t="s">
        <v>23686</v>
      </c>
      <c r="AV1220" s="15" t="s">
        <v>946</v>
      </c>
      <c r="AW1220" s="15" t="s">
        <v>23687</v>
      </c>
      <c r="AX1220" s="15" t="s">
        <v>138</v>
      </c>
      <c r="AY1220" s="15" t="s">
        <v>23688</v>
      </c>
      <c r="AZ1220" s="15" t="s">
        <v>530</v>
      </c>
      <c r="BA1220" s="15" t="s">
        <v>531</v>
      </c>
      <c r="BB1220" s="15" t="s">
        <v>23689</v>
      </c>
      <c r="BC1220" s="15" t="s">
        <v>23690</v>
      </c>
      <c r="BD1220" s="21">
        <v>9</v>
      </c>
      <c r="BE1220" s="15" t="s">
        <v>138</v>
      </c>
      <c r="BF1220" s="15" t="s">
        <v>138</v>
      </c>
      <c r="BG1220" s="15" t="s">
        <v>138</v>
      </c>
      <c r="BH1220" s="15" t="s">
        <v>23691</v>
      </c>
      <c r="BI1220" s="15" t="s">
        <v>138</v>
      </c>
      <c r="BJ1220" s="15" t="s">
        <v>138</v>
      </c>
      <c r="BK1220" s="15" t="s">
        <v>138</v>
      </c>
      <c r="BL1220" s="15" t="s">
        <v>138</v>
      </c>
      <c r="BM1220" s="22">
        <v>41334</v>
      </c>
      <c r="BN1220" s="17">
        <v>0.01</v>
      </c>
      <c r="BO1220" s="15" t="s">
        <v>172</v>
      </c>
      <c r="BP1220" s="17" t="s">
        <v>138</v>
      </c>
      <c r="BQ1220" s="15" t="s">
        <v>138</v>
      </c>
      <c r="BR1220" s="15" t="s">
        <v>176</v>
      </c>
      <c r="BS1220" s="15" t="s">
        <v>138</v>
      </c>
      <c r="BT1220" s="15" t="s">
        <v>138</v>
      </c>
      <c r="BU1220" s="15" t="s">
        <v>177</v>
      </c>
      <c r="BV1220" s="15" t="s">
        <v>138</v>
      </c>
      <c r="BW1220" s="15" t="s">
        <v>138</v>
      </c>
      <c r="BX1220" s="15" t="s">
        <v>138</v>
      </c>
      <c r="BY1220" s="15" t="s">
        <v>175</v>
      </c>
      <c r="BZ1220" s="22">
        <v>43284</v>
      </c>
      <c r="CA1220" s="17">
        <v>3.51</v>
      </c>
      <c r="CB1220" s="15" t="s">
        <v>172</v>
      </c>
      <c r="CC1220" s="17" t="s">
        <v>138</v>
      </c>
      <c r="CD1220" s="15" t="s">
        <v>138</v>
      </c>
      <c r="CE1220" s="15" t="s">
        <v>205</v>
      </c>
      <c r="CF1220" s="15" t="s">
        <v>138</v>
      </c>
      <c r="CG1220" s="15" t="s">
        <v>138</v>
      </c>
      <c r="CH1220" s="15" t="s">
        <v>174</v>
      </c>
      <c r="CI1220" s="15" t="s">
        <v>138</v>
      </c>
      <c r="CJ1220" s="15" t="s">
        <v>138</v>
      </c>
      <c r="CK1220" s="15" t="s">
        <v>138</v>
      </c>
      <c r="CL1220" s="15" t="s">
        <v>175</v>
      </c>
      <c r="CM1220" s="22" t="s">
        <v>138</v>
      </c>
      <c r="CN1220" s="17" t="s">
        <v>138</v>
      </c>
      <c r="CO1220" s="23">
        <v>-0.73</v>
      </c>
      <c r="CP1220" s="24">
        <v>13</v>
      </c>
      <c r="CQ1220" s="23">
        <v>-0.11</v>
      </c>
      <c r="CR1220" s="23">
        <v>-17.739999999999998</v>
      </c>
      <c r="CS1220" s="23">
        <v>-1.72</v>
      </c>
      <c r="CT1220" s="24">
        <v>10</v>
      </c>
      <c r="CU1220" s="23">
        <v>0.26</v>
      </c>
      <c r="CV1220" s="24">
        <v>85</v>
      </c>
      <c r="CW1220" s="23" t="s">
        <v>138</v>
      </c>
      <c r="CX1220" s="24" t="s">
        <v>138</v>
      </c>
      <c r="CY1220" s="23">
        <v>-1.72</v>
      </c>
      <c r="CZ1220" s="24">
        <v>13</v>
      </c>
      <c r="DA1220" s="23">
        <v>0.52</v>
      </c>
      <c r="DB1220" s="24">
        <v>94</v>
      </c>
      <c r="DC1220" s="25">
        <v>2.88</v>
      </c>
      <c r="DD1220" s="24">
        <v>74</v>
      </c>
      <c r="DE1220" s="25">
        <v>0.01</v>
      </c>
      <c r="DF1220" s="23">
        <v>0.19</v>
      </c>
      <c r="DG1220" s="25">
        <v>4.38</v>
      </c>
      <c r="DH1220" s="24">
        <v>80</v>
      </c>
      <c r="DI1220" s="25">
        <v>1.38</v>
      </c>
      <c r="DJ1220" s="24">
        <v>55</v>
      </c>
      <c r="DK1220" s="25" t="s">
        <v>138</v>
      </c>
      <c r="DL1220" s="24" t="s">
        <v>138</v>
      </c>
      <c r="DM1220" s="25">
        <v>4.38</v>
      </c>
      <c r="DN1220" s="24">
        <v>80</v>
      </c>
      <c r="DO1220" s="25">
        <v>2.41</v>
      </c>
      <c r="DP1220" s="24">
        <v>67</v>
      </c>
      <c r="DQ1220" s="24" t="s">
        <v>138</v>
      </c>
      <c r="DR1220" s="26" t="s">
        <v>138</v>
      </c>
      <c r="DS1220" s="23" t="s">
        <v>138</v>
      </c>
      <c r="DT1220" s="24">
        <v>127</v>
      </c>
      <c r="DU1220" s="26">
        <v>0</v>
      </c>
      <c r="DV1220" s="23">
        <v>0</v>
      </c>
      <c r="DW1220" s="24">
        <v>862</v>
      </c>
      <c r="DX1220" s="27">
        <v>1</v>
      </c>
      <c r="DY1220" s="23">
        <v>0.12</v>
      </c>
      <c r="DZ1220" s="15" t="s">
        <v>178</v>
      </c>
      <c r="EA1220" s="22">
        <v>43622</v>
      </c>
      <c r="EB1220" s="17" t="s">
        <v>138</v>
      </c>
      <c r="EC1220" s="22" t="s">
        <v>138</v>
      </c>
      <c r="ED1220" s="15" t="s">
        <v>138</v>
      </c>
      <c r="EE1220" s="14" t="str">
        <f>HYPERLINK("https://my.pitchbook.com?c=58369-42", "View company online")</f>
        <v>View company online</v>
      </c>
    </row>
    <row r="1221" spans="1:135">
      <c r="A1221" s="28" t="s">
        <v>23692</v>
      </c>
      <c r="B1221" s="28" t="s">
        <v>23693</v>
      </c>
      <c r="C1221" s="28" t="s">
        <v>23694</v>
      </c>
      <c r="D1221" s="28" t="s">
        <v>23695</v>
      </c>
      <c r="E1221" s="28" t="s">
        <v>138</v>
      </c>
      <c r="F1221" s="28" t="s">
        <v>23692</v>
      </c>
      <c r="G1221" s="28" t="s">
        <v>23696</v>
      </c>
      <c r="H1221" s="28" t="s">
        <v>141</v>
      </c>
      <c r="I1221" s="28" t="s">
        <v>212</v>
      </c>
      <c r="J1221" s="28" t="s">
        <v>486</v>
      </c>
      <c r="K1221" s="28" t="s">
        <v>5985</v>
      </c>
      <c r="L1221" s="28" t="s">
        <v>138</v>
      </c>
      <c r="M1221" s="28" t="s">
        <v>23697</v>
      </c>
      <c r="N1221" s="28" t="s">
        <v>147</v>
      </c>
      <c r="O1221" s="29">
        <v>16.899999999999999</v>
      </c>
      <c r="P1221" s="28" t="s">
        <v>148</v>
      </c>
      <c r="Q1221" s="28" t="s">
        <v>149</v>
      </c>
      <c r="R1221" s="28" t="s">
        <v>328</v>
      </c>
      <c r="S1221" s="28" t="s">
        <v>23698</v>
      </c>
      <c r="T1221" s="30">
        <v>13</v>
      </c>
      <c r="U1221" s="28" t="s">
        <v>23699</v>
      </c>
      <c r="V1221" s="28" t="s">
        <v>138</v>
      </c>
      <c r="W1221" s="28" t="s">
        <v>138</v>
      </c>
      <c r="X1221" s="31">
        <v>2007</v>
      </c>
      <c r="Y1221" s="28" t="s">
        <v>138</v>
      </c>
      <c r="Z1221" s="28" t="s">
        <v>138</v>
      </c>
      <c r="AA1221" s="28" t="s">
        <v>138</v>
      </c>
      <c r="AB1221" s="32" t="s">
        <v>138</v>
      </c>
      <c r="AC1221" s="32" t="s">
        <v>138</v>
      </c>
      <c r="AD1221" s="32" t="s">
        <v>138</v>
      </c>
      <c r="AE1221" s="32" t="s">
        <v>138</v>
      </c>
      <c r="AF1221" s="32" t="s">
        <v>138</v>
      </c>
      <c r="AG1221" s="28" t="s">
        <v>138</v>
      </c>
      <c r="AH1221" s="32" t="s">
        <v>138</v>
      </c>
      <c r="AI1221" s="32" t="s">
        <v>138</v>
      </c>
      <c r="AJ1221" s="32" t="s">
        <v>138</v>
      </c>
      <c r="AK1221" s="28" t="s">
        <v>23700</v>
      </c>
      <c r="AL1221" s="28" t="s">
        <v>23701</v>
      </c>
      <c r="AM1221" s="28" t="s">
        <v>4114</v>
      </c>
      <c r="AN1221" s="28" t="s">
        <v>138</v>
      </c>
      <c r="AO1221" s="28" t="s">
        <v>23702</v>
      </c>
      <c r="AP1221" s="28" t="s">
        <v>23703</v>
      </c>
      <c r="AQ1221" s="28" t="s">
        <v>23704</v>
      </c>
      <c r="AR1221" s="28" t="s">
        <v>23705</v>
      </c>
      <c r="AS1221" s="28" t="s">
        <v>23706</v>
      </c>
      <c r="AT1221" s="28" t="s">
        <v>824</v>
      </c>
      <c r="AU1221" s="28" t="s">
        <v>23707</v>
      </c>
      <c r="AV1221" s="28" t="s">
        <v>526</v>
      </c>
      <c r="AW1221" s="28" t="s">
        <v>23708</v>
      </c>
      <c r="AX1221" s="28" t="s">
        <v>138</v>
      </c>
      <c r="AY1221" s="28" t="s">
        <v>23709</v>
      </c>
      <c r="AZ1221" s="28" t="s">
        <v>530</v>
      </c>
      <c r="BA1221" s="28" t="s">
        <v>531</v>
      </c>
      <c r="BB1221" s="28" t="s">
        <v>23710</v>
      </c>
      <c r="BC1221" s="28" t="s">
        <v>23711</v>
      </c>
      <c r="BD1221" s="33">
        <v>3</v>
      </c>
      <c r="BE1221" s="28" t="s">
        <v>138</v>
      </c>
      <c r="BF1221" s="28" t="s">
        <v>138</v>
      </c>
      <c r="BG1221" s="28" t="s">
        <v>138</v>
      </c>
      <c r="BH1221" s="28" t="s">
        <v>23712</v>
      </c>
      <c r="BI1221" s="28" t="s">
        <v>138</v>
      </c>
      <c r="BJ1221" s="28" t="s">
        <v>138</v>
      </c>
      <c r="BK1221" s="28" t="s">
        <v>14887</v>
      </c>
      <c r="BL1221" s="28" t="s">
        <v>14887</v>
      </c>
      <c r="BM1221" s="34">
        <v>39203</v>
      </c>
      <c r="BN1221" s="29" t="s">
        <v>138</v>
      </c>
      <c r="BO1221" s="28" t="s">
        <v>138</v>
      </c>
      <c r="BP1221" s="29" t="s">
        <v>138</v>
      </c>
      <c r="BQ1221" s="28" t="s">
        <v>138</v>
      </c>
      <c r="BR1221" s="28" t="s">
        <v>1423</v>
      </c>
      <c r="BS1221" s="28" t="s">
        <v>138</v>
      </c>
      <c r="BT1221" s="28" t="s">
        <v>138</v>
      </c>
      <c r="BU1221" s="28" t="s">
        <v>351</v>
      </c>
      <c r="BV1221" s="28" t="s">
        <v>138</v>
      </c>
      <c r="BW1221" s="28" t="s">
        <v>138</v>
      </c>
      <c r="BX1221" s="28" t="s">
        <v>138</v>
      </c>
      <c r="BY1221" s="28" t="s">
        <v>175</v>
      </c>
      <c r="BZ1221" s="34">
        <v>41061</v>
      </c>
      <c r="CA1221" s="29">
        <v>1</v>
      </c>
      <c r="CB1221" s="28" t="s">
        <v>1178</v>
      </c>
      <c r="CC1221" s="29">
        <v>9.5</v>
      </c>
      <c r="CD1221" s="28" t="s">
        <v>172</v>
      </c>
      <c r="CE1221" s="28" t="s">
        <v>173</v>
      </c>
      <c r="CF1221" s="28" t="s">
        <v>433</v>
      </c>
      <c r="CG1221" s="28" t="s">
        <v>138</v>
      </c>
      <c r="CH1221" s="28" t="s">
        <v>174</v>
      </c>
      <c r="CI1221" s="28" t="s">
        <v>138</v>
      </c>
      <c r="CJ1221" s="28" t="s">
        <v>138</v>
      </c>
      <c r="CK1221" s="28" t="s">
        <v>138</v>
      </c>
      <c r="CL1221" s="28" t="s">
        <v>175</v>
      </c>
      <c r="CM1221" s="34" t="s">
        <v>138</v>
      </c>
      <c r="CN1221" s="29" t="s">
        <v>138</v>
      </c>
      <c r="CO1221" s="35">
        <v>0</v>
      </c>
      <c r="CP1221" s="36">
        <v>26</v>
      </c>
      <c r="CQ1221" s="35">
        <v>0</v>
      </c>
      <c r="CR1221" s="35">
        <v>0</v>
      </c>
      <c r="CS1221" s="35">
        <v>0</v>
      </c>
      <c r="CT1221" s="36">
        <v>23</v>
      </c>
      <c r="CU1221" s="35">
        <v>0</v>
      </c>
      <c r="CV1221" s="36">
        <v>22</v>
      </c>
      <c r="CW1221" s="35" t="s">
        <v>138</v>
      </c>
      <c r="CX1221" s="36" t="s">
        <v>138</v>
      </c>
      <c r="CY1221" s="35">
        <v>0</v>
      </c>
      <c r="CZ1221" s="36">
        <v>25</v>
      </c>
      <c r="DA1221" s="35">
        <v>0</v>
      </c>
      <c r="DB1221" s="36">
        <v>22</v>
      </c>
      <c r="DC1221" s="37">
        <v>0.02</v>
      </c>
      <c r="DD1221" s="36">
        <v>1</v>
      </c>
      <c r="DE1221" s="37">
        <v>0</v>
      </c>
      <c r="DF1221" s="35">
        <v>0.11</v>
      </c>
      <c r="DG1221" s="37">
        <v>0.03</v>
      </c>
      <c r="DH1221" s="36">
        <v>1</v>
      </c>
      <c r="DI1221" s="37">
        <v>0.01</v>
      </c>
      <c r="DJ1221" s="36">
        <v>1</v>
      </c>
      <c r="DK1221" s="37" t="s">
        <v>138</v>
      </c>
      <c r="DL1221" s="36" t="s">
        <v>138</v>
      </c>
      <c r="DM1221" s="37">
        <v>0.03</v>
      </c>
      <c r="DN1221" s="36">
        <v>1</v>
      </c>
      <c r="DO1221" s="37">
        <v>0.01</v>
      </c>
      <c r="DP1221" s="36">
        <v>1</v>
      </c>
      <c r="DQ1221" s="36" t="s">
        <v>138</v>
      </c>
      <c r="DR1221" s="38" t="s">
        <v>138</v>
      </c>
      <c r="DS1221" s="35" t="s">
        <v>138</v>
      </c>
      <c r="DT1221" s="36">
        <v>1</v>
      </c>
      <c r="DU1221" s="38">
        <v>0</v>
      </c>
      <c r="DV1221" s="35">
        <v>0</v>
      </c>
      <c r="DW1221" s="36">
        <v>3</v>
      </c>
      <c r="DX1221" s="39">
        <v>0</v>
      </c>
      <c r="DY1221" s="35">
        <v>0</v>
      </c>
      <c r="DZ1221" s="28" t="s">
        <v>178</v>
      </c>
      <c r="EA1221" s="34">
        <v>43622</v>
      </c>
      <c r="EB1221" s="29">
        <v>9.5</v>
      </c>
      <c r="EC1221" s="34">
        <v>41061</v>
      </c>
      <c r="ED1221" s="28" t="s">
        <v>173</v>
      </c>
      <c r="EE1221" s="40" t="str">
        <f>HYPERLINK("https://my.pitchbook.com?c=13326-94", "View company online")</f>
        <v>View company online</v>
      </c>
    </row>
    <row r="1222" spans="1:135">
      <c r="A1222" s="15" t="s">
        <v>23713</v>
      </c>
      <c r="B1222" s="15" t="s">
        <v>23714</v>
      </c>
      <c r="C1222" s="15" t="s">
        <v>23715</v>
      </c>
      <c r="D1222" s="15" t="s">
        <v>138</v>
      </c>
      <c r="E1222" s="15" t="s">
        <v>23716</v>
      </c>
      <c r="F1222" s="15" t="s">
        <v>23713</v>
      </c>
      <c r="G1222" s="15" t="s">
        <v>23717</v>
      </c>
      <c r="H1222" s="15" t="s">
        <v>238</v>
      </c>
      <c r="I1222" s="15" t="s">
        <v>749</v>
      </c>
      <c r="J1222" s="15" t="s">
        <v>4261</v>
      </c>
      <c r="K1222" s="15" t="s">
        <v>21741</v>
      </c>
      <c r="L1222" s="15" t="s">
        <v>138</v>
      </c>
      <c r="M1222" s="15" t="s">
        <v>23718</v>
      </c>
      <c r="N1222" s="15" t="s">
        <v>147</v>
      </c>
      <c r="O1222" s="17">
        <v>48.4</v>
      </c>
      <c r="P1222" s="15" t="s">
        <v>148</v>
      </c>
      <c r="Q1222" s="15" t="s">
        <v>149</v>
      </c>
      <c r="R1222" s="15" t="s">
        <v>174</v>
      </c>
      <c r="S1222" s="15" t="s">
        <v>23719</v>
      </c>
      <c r="T1222" s="18">
        <v>80</v>
      </c>
      <c r="U1222" s="15" t="s">
        <v>23720</v>
      </c>
      <c r="V1222" s="15" t="s">
        <v>138</v>
      </c>
      <c r="W1222" s="15" t="s">
        <v>138</v>
      </c>
      <c r="X1222" s="19">
        <v>2013</v>
      </c>
      <c r="Y1222" s="15" t="s">
        <v>138</v>
      </c>
      <c r="Z1222" s="15" t="s">
        <v>138</v>
      </c>
      <c r="AA1222" s="15" t="s">
        <v>138</v>
      </c>
      <c r="AB1222" s="20" t="s">
        <v>138</v>
      </c>
      <c r="AC1222" s="20" t="s">
        <v>138</v>
      </c>
      <c r="AD1222" s="20" t="s">
        <v>138</v>
      </c>
      <c r="AE1222" s="20" t="s">
        <v>138</v>
      </c>
      <c r="AF1222" s="20" t="s">
        <v>138</v>
      </c>
      <c r="AG1222" s="15" t="s">
        <v>138</v>
      </c>
      <c r="AH1222" s="20" t="s">
        <v>138</v>
      </c>
      <c r="AI1222" s="20" t="s">
        <v>138</v>
      </c>
      <c r="AJ1222" s="20" t="s">
        <v>138</v>
      </c>
      <c r="AK1222" s="15" t="s">
        <v>23721</v>
      </c>
      <c r="AL1222" s="15" t="s">
        <v>6469</v>
      </c>
      <c r="AM1222" s="15" t="s">
        <v>1632</v>
      </c>
      <c r="AN1222" s="15" t="s">
        <v>23722</v>
      </c>
      <c r="AO1222" s="15" t="s">
        <v>23723</v>
      </c>
      <c r="AP1222" s="15" t="s">
        <v>639</v>
      </c>
      <c r="AQ1222" s="15" t="s">
        <v>23724</v>
      </c>
      <c r="AR1222" s="15" t="s">
        <v>138</v>
      </c>
      <c r="AS1222" s="15" t="s">
        <v>642</v>
      </c>
      <c r="AT1222" s="15" t="s">
        <v>474</v>
      </c>
      <c r="AU1222" s="15" t="s">
        <v>11909</v>
      </c>
      <c r="AV1222" s="15" t="s">
        <v>162</v>
      </c>
      <c r="AW1222" s="15" t="s">
        <v>23723</v>
      </c>
      <c r="AX1222" s="15" t="s">
        <v>138</v>
      </c>
      <c r="AY1222" s="15" t="s">
        <v>23725</v>
      </c>
      <c r="AZ1222" s="15" t="s">
        <v>164</v>
      </c>
      <c r="BA1222" s="15" t="s">
        <v>165</v>
      </c>
      <c r="BB1222" s="15" t="s">
        <v>23726</v>
      </c>
      <c r="BC1222" s="15" t="s">
        <v>23727</v>
      </c>
      <c r="BD1222" s="21">
        <v>15</v>
      </c>
      <c r="BE1222" s="15" t="s">
        <v>138</v>
      </c>
      <c r="BF1222" s="15" t="s">
        <v>138</v>
      </c>
      <c r="BG1222" s="15" t="s">
        <v>138</v>
      </c>
      <c r="BH1222" s="15" t="s">
        <v>23728</v>
      </c>
      <c r="BI1222" s="15" t="s">
        <v>138</v>
      </c>
      <c r="BJ1222" s="15" t="s">
        <v>138</v>
      </c>
      <c r="BK1222" s="15" t="s">
        <v>23729</v>
      </c>
      <c r="BL1222" s="15" t="s">
        <v>290</v>
      </c>
      <c r="BM1222" s="22">
        <v>41487</v>
      </c>
      <c r="BN1222" s="17" t="s">
        <v>138</v>
      </c>
      <c r="BO1222" s="15" t="s">
        <v>138</v>
      </c>
      <c r="BP1222" s="17" t="s">
        <v>138</v>
      </c>
      <c r="BQ1222" s="15" t="s">
        <v>138</v>
      </c>
      <c r="BR1222" s="15" t="s">
        <v>262</v>
      </c>
      <c r="BS1222" s="15" t="s">
        <v>262</v>
      </c>
      <c r="BT1222" s="15" t="s">
        <v>138</v>
      </c>
      <c r="BU1222" s="15" t="s">
        <v>263</v>
      </c>
      <c r="BV1222" s="15" t="s">
        <v>138</v>
      </c>
      <c r="BW1222" s="15" t="s">
        <v>138</v>
      </c>
      <c r="BX1222" s="15" t="s">
        <v>138</v>
      </c>
      <c r="BY1222" s="15" t="s">
        <v>175</v>
      </c>
      <c r="BZ1222" s="22">
        <v>43528</v>
      </c>
      <c r="CA1222" s="17" t="s">
        <v>138</v>
      </c>
      <c r="CB1222" s="15" t="s">
        <v>138</v>
      </c>
      <c r="CC1222" s="17" t="s">
        <v>138</v>
      </c>
      <c r="CD1222" s="15" t="s">
        <v>138</v>
      </c>
      <c r="CE1222" s="15" t="s">
        <v>262</v>
      </c>
      <c r="CF1222" s="15" t="s">
        <v>262</v>
      </c>
      <c r="CG1222" s="15" t="s">
        <v>138</v>
      </c>
      <c r="CH1222" s="15" t="s">
        <v>263</v>
      </c>
      <c r="CI1222" s="15" t="s">
        <v>138</v>
      </c>
      <c r="CJ1222" s="15" t="s">
        <v>138</v>
      </c>
      <c r="CK1222" s="15" t="s">
        <v>138</v>
      </c>
      <c r="CL1222" s="15" t="s">
        <v>175</v>
      </c>
      <c r="CM1222" s="22" t="s">
        <v>138</v>
      </c>
      <c r="CN1222" s="17" t="s">
        <v>138</v>
      </c>
      <c r="CO1222" s="23">
        <v>-0.2</v>
      </c>
      <c r="CP1222" s="24">
        <v>20</v>
      </c>
      <c r="CQ1222" s="23">
        <v>-0.01</v>
      </c>
      <c r="CR1222" s="23">
        <v>-3.89</v>
      </c>
      <c r="CS1222" s="23">
        <v>-0.57999999999999996</v>
      </c>
      <c r="CT1222" s="24">
        <v>19</v>
      </c>
      <c r="CU1222" s="23">
        <v>0.17</v>
      </c>
      <c r="CV1222" s="24">
        <v>77</v>
      </c>
      <c r="CW1222" s="23">
        <v>-0.78</v>
      </c>
      <c r="CX1222" s="24">
        <v>10</v>
      </c>
      <c r="CY1222" s="23">
        <v>-0.38</v>
      </c>
      <c r="CZ1222" s="24">
        <v>23</v>
      </c>
      <c r="DA1222" s="23">
        <v>0.32</v>
      </c>
      <c r="DB1222" s="24">
        <v>89</v>
      </c>
      <c r="DC1222" s="25">
        <v>16.88</v>
      </c>
      <c r="DD1222" s="24">
        <v>94</v>
      </c>
      <c r="DE1222" s="25">
        <v>-7.0000000000000007E-2</v>
      </c>
      <c r="DF1222" s="23">
        <v>-0.42</v>
      </c>
      <c r="DG1222" s="25">
        <v>11.01</v>
      </c>
      <c r="DH1222" s="24">
        <v>90</v>
      </c>
      <c r="DI1222" s="25">
        <v>22.75</v>
      </c>
      <c r="DJ1222" s="24">
        <v>91</v>
      </c>
      <c r="DK1222" s="25">
        <v>4.01</v>
      </c>
      <c r="DL1222" s="24">
        <v>76</v>
      </c>
      <c r="DM1222" s="25">
        <v>18</v>
      </c>
      <c r="DN1222" s="24">
        <v>93</v>
      </c>
      <c r="DO1222" s="25">
        <v>20.32</v>
      </c>
      <c r="DP1222" s="24">
        <v>93</v>
      </c>
      <c r="DQ1222" s="24">
        <v>1510</v>
      </c>
      <c r="DR1222" s="26">
        <v>-404</v>
      </c>
      <c r="DS1222" s="23">
        <v>-21.11</v>
      </c>
      <c r="DT1222" s="24">
        <v>520</v>
      </c>
      <c r="DU1222" s="26">
        <v>3</v>
      </c>
      <c r="DV1222" s="23">
        <v>0.57999999999999996</v>
      </c>
      <c r="DW1222" s="24">
        <v>7275</v>
      </c>
      <c r="DX1222" s="27">
        <v>9</v>
      </c>
      <c r="DY1222" s="23">
        <v>0.12</v>
      </c>
      <c r="DZ1222" s="15" t="s">
        <v>178</v>
      </c>
      <c r="EA1222" s="22">
        <v>43622</v>
      </c>
      <c r="EB1222" s="17">
        <v>120</v>
      </c>
      <c r="EC1222" s="22">
        <v>43249</v>
      </c>
      <c r="ED1222" s="15" t="s">
        <v>173</v>
      </c>
      <c r="EE1222" s="14" t="str">
        <f>HYPERLINK("https://my.pitchbook.com?c=96983-65", "View company online")</f>
        <v>View company online</v>
      </c>
    </row>
    <row r="1223" spans="1:135">
      <c r="A1223" s="28" t="s">
        <v>23730</v>
      </c>
      <c r="B1223" s="28" t="s">
        <v>23731</v>
      </c>
      <c r="C1223" s="28" t="s">
        <v>23732</v>
      </c>
      <c r="D1223" s="28" t="s">
        <v>138</v>
      </c>
      <c r="E1223" s="28" t="s">
        <v>23733</v>
      </c>
      <c r="F1223" s="28" t="s">
        <v>23730</v>
      </c>
      <c r="G1223" s="28" t="s">
        <v>23734</v>
      </c>
      <c r="H1223" s="28" t="s">
        <v>385</v>
      </c>
      <c r="I1223" s="28" t="s">
        <v>386</v>
      </c>
      <c r="J1223" s="28" t="s">
        <v>558</v>
      </c>
      <c r="K1223" s="28" t="s">
        <v>23735</v>
      </c>
      <c r="L1223" s="28" t="s">
        <v>560</v>
      </c>
      <c r="M1223" s="28" t="s">
        <v>23736</v>
      </c>
      <c r="N1223" s="28" t="s">
        <v>147</v>
      </c>
      <c r="O1223" s="29">
        <v>28.31</v>
      </c>
      <c r="P1223" s="28" t="s">
        <v>148</v>
      </c>
      <c r="Q1223" s="28" t="s">
        <v>149</v>
      </c>
      <c r="R1223" s="28" t="s">
        <v>174</v>
      </c>
      <c r="S1223" s="28" t="s">
        <v>23737</v>
      </c>
      <c r="T1223" s="30">
        <v>15</v>
      </c>
      <c r="U1223" s="28" t="s">
        <v>23738</v>
      </c>
      <c r="V1223" s="28" t="s">
        <v>138</v>
      </c>
      <c r="W1223" s="28" t="s">
        <v>138</v>
      </c>
      <c r="X1223" s="31">
        <v>2011</v>
      </c>
      <c r="Y1223" s="28" t="s">
        <v>138</v>
      </c>
      <c r="Z1223" s="28" t="s">
        <v>138</v>
      </c>
      <c r="AA1223" s="28" t="s">
        <v>138</v>
      </c>
      <c r="AB1223" s="32" t="s">
        <v>138</v>
      </c>
      <c r="AC1223" s="32" t="s">
        <v>138</v>
      </c>
      <c r="AD1223" s="32" t="s">
        <v>138</v>
      </c>
      <c r="AE1223" s="32" t="s">
        <v>138</v>
      </c>
      <c r="AF1223" s="32" t="s">
        <v>138</v>
      </c>
      <c r="AG1223" s="28" t="s">
        <v>138</v>
      </c>
      <c r="AH1223" s="32" t="s">
        <v>138</v>
      </c>
      <c r="AI1223" s="32" t="s">
        <v>138</v>
      </c>
      <c r="AJ1223" s="32" t="s">
        <v>138</v>
      </c>
      <c r="AK1223" s="28" t="s">
        <v>23739</v>
      </c>
      <c r="AL1223" s="28" t="s">
        <v>23740</v>
      </c>
      <c r="AM1223" s="28" t="s">
        <v>23741</v>
      </c>
      <c r="AN1223" s="28" t="s">
        <v>23742</v>
      </c>
      <c r="AO1223" s="28" t="s">
        <v>23743</v>
      </c>
      <c r="AP1223" s="28" t="s">
        <v>1457</v>
      </c>
      <c r="AQ1223" s="28" t="s">
        <v>23744</v>
      </c>
      <c r="AR1223" s="28" t="s">
        <v>158</v>
      </c>
      <c r="AS1223" s="28" t="s">
        <v>1460</v>
      </c>
      <c r="AT1223" s="28" t="s">
        <v>474</v>
      </c>
      <c r="AU1223" s="28" t="s">
        <v>23745</v>
      </c>
      <c r="AV1223" s="28" t="s">
        <v>162</v>
      </c>
      <c r="AW1223" s="28" t="s">
        <v>23743</v>
      </c>
      <c r="AX1223" s="28" t="s">
        <v>138</v>
      </c>
      <c r="AY1223" s="28" t="s">
        <v>23746</v>
      </c>
      <c r="AZ1223" s="28" t="s">
        <v>164</v>
      </c>
      <c r="BA1223" s="28" t="s">
        <v>165</v>
      </c>
      <c r="BB1223" s="28" t="s">
        <v>23747</v>
      </c>
      <c r="BC1223" s="28" t="s">
        <v>23748</v>
      </c>
      <c r="BD1223" s="33">
        <v>8</v>
      </c>
      <c r="BE1223" s="28" t="s">
        <v>138</v>
      </c>
      <c r="BF1223" s="28" t="s">
        <v>138</v>
      </c>
      <c r="BG1223" s="28" t="s">
        <v>138</v>
      </c>
      <c r="BH1223" s="28" t="s">
        <v>23749</v>
      </c>
      <c r="BI1223" s="28" t="s">
        <v>138</v>
      </c>
      <c r="BJ1223" s="28" t="s">
        <v>138</v>
      </c>
      <c r="BK1223" s="28" t="s">
        <v>23750</v>
      </c>
      <c r="BL1223" s="28" t="s">
        <v>138</v>
      </c>
      <c r="BM1223" s="34" t="s">
        <v>138</v>
      </c>
      <c r="BN1223" s="29">
        <v>0.05</v>
      </c>
      <c r="BO1223" s="28" t="s">
        <v>172</v>
      </c>
      <c r="BP1223" s="29" t="s">
        <v>138</v>
      </c>
      <c r="BQ1223" s="28" t="s">
        <v>138</v>
      </c>
      <c r="BR1223" s="28" t="s">
        <v>316</v>
      </c>
      <c r="BS1223" s="28" t="s">
        <v>138</v>
      </c>
      <c r="BT1223" s="28" t="s">
        <v>138</v>
      </c>
      <c r="BU1223" s="28" t="s">
        <v>177</v>
      </c>
      <c r="BV1223" s="28" t="s">
        <v>138</v>
      </c>
      <c r="BW1223" s="28" t="s">
        <v>138</v>
      </c>
      <c r="BX1223" s="28" t="s">
        <v>138</v>
      </c>
      <c r="BY1223" s="28" t="s">
        <v>175</v>
      </c>
      <c r="BZ1223" s="34">
        <v>43252</v>
      </c>
      <c r="CA1223" s="29">
        <v>3.1</v>
      </c>
      <c r="CB1223" s="28" t="s">
        <v>172</v>
      </c>
      <c r="CC1223" s="29" t="s">
        <v>138</v>
      </c>
      <c r="CD1223" s="28" t="s">
        <v>138</v>
      </c>
      <c r="CE1223" s="28" t="s">
        <v>173</v>
      </c>
      <c r="CF1223" s="28" t="s">
        <v>138</v>
      </c>
      <c r="CG1223" s="28" t="s">
        <v>138</v>
      </c>
      <c r="CH1223" s="28" t="s">
        <v>174</v>
      </c>
      <c r="CI1223" s="28" t="s">
        <v>138</v>
      </c>
      <c r="CJ1223" s="28" t="s">
        <v>138</v>
      </c>
      <c r="CK1223" s="28" t="s">
        <v>138</v>
      </c>
      <c r="CL1223" s="28" t="s">
        <v>175</v>
      </c>
      <c r="CM1223" s="34" t="s">
        <v>138</v>
      </c>
      <c r="CN1223" s="29" t="s">
        <v>138</v>
      </c>
      <c r="CO1223" s="35">
        <v>0</v>
      </c>
      <c r="CP1223" s="36">
        <v>26</v>
      </c>
      <c r="CQ1223" s="35">
        <v>0</v>
      </c>
      <c r="CR1223" s="35">
        <v>0</v>
      </c>
      <c r="CS1223" s="35">
        <v>0</v>
      </c>
      <c r="CT1223" s="36">
        <v>23</v>
      </c>
      <c r="CU1223" s="35">
        <v>0</v>
      </c>
      <c r="CV1223" s="36">
        <v>22</v>
      </c>
      <c r="CW1223" s="35" t="s">
        <v>138</v>
      </c>
      <c r="CX1223" s="36" t="s">
        <v>138</v>
      </c>
      <c r="CY1223" s="35">
        <v>0</v>
      </c>
      <c r="CZ1223" s="36">
        <v>25</v>
      </c>
      <c r="DA1223" s="35">
        <v>0</v>
      </c>
      <c r="DB1223" s="36">
        <v>22</v>
      </c>
      <c r="DC1223" s="37">
        <v>0.27</v>
      </c>
      <c r="DD1223" s="36">
        <v>20</v>
      </c>
      <c r="DE1223" s="37">
        <v>0</v>
      </c>
      <c r="DF1223" s="35">
        <v>0.09</v>
      </c>
      <c r="DG1223" s="37">
        <v>0.45</v>
      </c>
      <c r="DH1223" s="36">
        <v>31</v>
      </c>
      <c r="DI1223" s="37">
        <v>0.08</v>
      </c>
      <c r="DJ1223" s="36">
        <v>12</v>
      </c>
      <c r="DK1223" s="37" t="s">
        <v>138</v>
      </c>
      <c r="DL1223" s="36" t="s">
        <v>138</v>
      </c>
      <c r="DM1223" s="37">
        <v>0.45</v>
      </c>
      <c r="DN1223" s="36">
        <v>31</v>
      </c>
      <c r="DO1223" s="37">
        <v>0.08</v>
      </c>
      <c r="DP1223" s="36">
        <v>14</v>
      </c>
      <c r="DQ1223" s="36" t="s">
        <v>138</v>
      </c>
      <c r="DR1223" s="38" t="s">
        <v>138</v>
      </c>
      <c r="DS1223" s="35" t="s">
        <v>138</v>
      </c>
      <c r="DT1223" s="36">
        <v>13</v>
      </c>
      <c r="DU1223" s="38">
        <v>0</v>
      </c>
      <c r="DV1223" s="35">
        <v>0</v>
      </c>
      <c r="DW1223" s="36">
        <v>30</v>
      </c>
      <c r="DX1223" s="39">
        <v>0</v>
      </c>
      <c r="DY1223" s="35">
        <v>0</v>
      </c>
      <c r="DZ1223" s="28" t="s">
        <v>178</v>
      </c>
      <c r="EA1223" s="34">
        <v>43351</v>
      </c>
      <c r="EB1223" s="29">
        <v>2.4</v>
      </c>
      <c r="EC1223" s="34">
        <v>40878</v>
      </c>
      <c r="ED1223" s="28" t="s">
        <v>205</v>
      </c>
      <c r="EE1223" s="40" t="str">
        <f>HYPERLINK("https://my.pitchbook.com?c=54032-50", "View company online")</f>
        <v>View company online</v>
      </c>
    </row>
    <row r="1224" spans="1:135">
      <c r="A1224" s="15" t="s">
        <v>23751</v>
      </c>
      <c r="B1224" s="15" t="s">
        <v>23752</v>
      </c>
      <c r="C1224" s="15" t="s">
        <v>23753</v>
      </c>
      <c r="D1224" s="15" t="s">
        <v>138</v>
      </c>
      <c r="E1224" s="15" t="s">
        <v>23754</v>
      </c>
      <c r="F1224" s="15" t="s">
        <v>23751</v>
      </c>
      <c r="G1224" s="15" t="s">
        <v>23755</v>
      </c>
      <c r="H1224" s="15" t="s">
        <v>141</v>
      </c>
      <c r="I1224" s="15" t="s">
        <v>212</v>
      </c>
      <c r="J1224" s="15" t="s">
        <v>213</v>
      </c>
      <c r="K1224" s="15" t="s">
        <v>23756</v>
      </c>
      <c r="L1224" s="15" t="s">
        <v>23757</v>
      </c>
      <c r="M1224" s="15" t="s">
        <v>23758</v>
      </c>
      <c r="N1224" s="15" t="s">
        <v>147</v>
      </c>
      <c r="O1224" s="17">
        <v>3</v>
      </c>
      <c r="P1224" s="15" t="s">
        <v>148</v>
      </c>
      <c r="Q1224" s="15" t="s">
        <v>149</v>
      </c>
      <c r="R1224" s="15" t="s">
        <v>174</v>
      </c>
      <c r="S1224" s="15" t="s">
        <v>23759</v>
      </c>
      <c r="T1224" s="18">
        <v>10</v>
      </c>
      <c r="U1224" s="15" t="s">
        <v>23760</v>
      </c>
      <c r="V1224" s="15" t="s">
        <v>138</v>
      </c>
      <c r="W1224" s="15" t="s">
        <v>138</v>
      </c>
      <c r="X1224" s="19">
        <v>2014</v>
      </c>
      <c r="Y1224" s="15" t="s">
        <v>138</v>
      </c>
      <c r="Z1224" s="15" t="s">
        <v>138</v>
      </c>
      <c r="AA1224" s="15" t="s">
        <v>138</v>
      </c>
      <c r="AB1224" s="20" t="s">
        <v>138</v>
      </c>
      <c r="AC1224" s="20" t="s">
        <v>138</v>
      </c>
      <c r="AD1224" s="20" t="s">
        <v>138</v>
      </c>
      <c r="AE1224" s="20" t="s">
        <v>138</v>
      </c>
      <c r="AF1224" s="20" t="s">
        <v>138</v>
      </c>
      <c r="AG1224" s="15" t="s">
        <v>138</v>
      </c>
      <c r="AH1224" s="20" t="s">
        <v>138</v>
      </c>
      <c r="AI1224" s="20" t="s">
        <v>138</v>
      </c>
      <c r="AJ1224" s="20" t="s">
        <v>138</v>
      </c>
      <c r="AK1224" s="15" t="s">
        <v>23761</v>
      </c>
      <c r="AL1224" s="15" t="s">
        <v>23762</v>
      </c>
      <c r="AM1224" s="15" t="s">
        <v>304</v>
      </c>
      <c r="AN1224" s="15" t="s">
        <v>23763</v>
      </c>
      <c r="AO1224" s="15" t="s">
        <v>23764</v>
      </c>
      <c r="AP1224" s="15" t="s">
        <v>665</v>
      </c>
      <c r="AQ1224" s="15" t="s">
        <v>23765</v>
      </c>
      <c r="AR1224" s="15" t="s">
        <v>4173</v>
      </c>
      <c r="AS1224" s="15" t="s">
        <v>668</v>
      </c>
      <c r="AT1224" s="15" t="s">
        <v>200</v>
      </c>
      <c r="AU1224" s="15" t="s">
        <v>3557</v>
      </c>
      <c r="AV1224" s="15" t="s">
        <v>162</v>
      </c>
      <c r="AW1224" s="15" t="s">
        <v>23764</v>
      </c>
      <c r="AX1224" s="15" t="s">
        <v>138</v>
      </c>
      <c r="AY1224" s="15" t="s">
        <v>23766</v>
      </c>
      <c r="AZ1224" s="15" t="s">
        <v>164</v>
      </c>
      <c r="BA1224" s="15" t="s">
        <v>165</v>
      </c>
      <c r="BB1224" s="15" t="s">
        <v>23767</v>
      </c>
      <c r="BC1224" s="15" t="s">
        <v>23768</v>
      </c>
      <c r="BD1224" s="21">
        <v>3</v>
      </c>
      <c r="BE1224" s="15" t="s">
        <v>138</v>
      </c>
      <c r="BF1224" s="15" t="s">
        <v>138</v>
      </c>
      <c r="BG1224" s="15" t="s">
        <v>138</v>
      </c>
      <c r="BH1224" s="15" t="s">
        <v>23769</v>
      </c>
      <c r="BI1224" s="15" t="s">
        <v>138</v>
      </c>
      <c r="BJ1224" s="15" t="s">
        <v>138</v>
      </c>
      <c r="BK1224" s="15" t="s">
        <v>138</v>
      </c>
      <c r="BL1224" s="15" t="s">
        <v>138</v>
      </c>
      <c r="BM1224" s="22">
        <v>42398</v>
      </c>
      <c r="BN1224" s="17">
        <v>3</v>
      </c>
      <c r="BO1224" s="15" t="s">
        <v>172</v>
      </c>
      <c r="BP1224" s="17">
        <v>10.5</v>
      </c>
      <c r="BQ1224" s="15" t="s">
        <v>172</v>
      </c>
      <c r="BR1224" s="15" t="s">
        <v>234</v>
      </c>
      <c r="BS1224" s="15" t="s">
        <v>234</v>
      </c>
      <c r="BT1224" s="15" t="s">
        <v>138</v>
      </c>
      <c r="BU1224" s="15" t="s">
        <v>174</v>
      </c>
      <c r="BV1224" s="15" t="s">
        <v>138</v>
      </c>
      <c r="BW1224" s="15" t="s">
        <v>138</v>
      </c>
      <c r="BX1224" s="15" t="s">
        <v>138</v>
      </c>
      <c r="BY1224" s="15" t="s">
        <v>175</v>
      </c>
      <c r="BZ1224" s="22">
        <v>42739</v>
      </c>
      <c r="CA1224" s="17" t="s">
        <v>138</v>
      </c>
      <c r="CB1224" s="15" t="s">
        <v>138</v>
      </c>
      <c r="CC1224" s="17" t="s">
        <v>138</v>
      </c>
      <c r="CD1224" s="15" t="s">
        <v>138</v>
      </c>
      <c r="CE1224" s="15" t="s">
        <v>205</v>
      </c>
      <c r="CF1224" s="15" t="s">
        <v>138</v>
      </c>
      <c r="CG1224" s="15" t="s">
        <v>138</v>
      </c>
      <c r="CH1224" s="15" t="s">
        <v>174</v>
      </c>
      <c r="CI1224" s="15" t="s">
        <v>138</v>
      </c>
      <c r="CJ1224" s="15" t="s">
        <v>138</v>
      </c>
      <c r="CK1224" s="15" t="s">
        <v>138</v>
      </c>
      <c r="CL1224" s="15" t="s">
        <v>175</v>
      </c>
      <c r="CM1224" s="22" t="s">
        <v>138</v>
      </c>
      <c r="CN1224" s="17" t="s">
        <v>138</v>
      </c>
      <c r="CO1224" s="23">
        <v>-1.1399999999999999</v>
      </c>
      <c r="CP1224" s="24">
        <v>10</v>
      </c>
      <c r="CQ1224" s="23">
        <v>-0.03</v>
      </c>
      <c r="CR1224" s="23">
        <v>-2.31</v>
      </c>
      <c r="CS1224" s="23">
        <v>-3.64</v>
      </c>
      <c r="CT1224" s="24">
        <v>4</v>
      </c>
      <c r="CU1224" s="23">
        <v>0.12</v>
      </c>
      <c r="CV1224" s="24">
        <v>71</v>
      </c>
      <c r="CW1224" s="23">
        <v>-3.64</v>
      </c>
      <c r="CX1224" s="24">
        <v>4</v>
      </c>
      <c r="CY1224" s="23" t="s">
        <v>138</v>
      </c>
      <c r="CZ1224" s="24" t="s">
        <v>138</v>
      </c>
      <c r="DA1224" s="23">
        <v>0.12</v>
      </c>
      <c r="DB1224" s="24">
        <v>75</v>
      </c>
      <c r="DC1224" s="25">
        <v>70.58</v>
      </c>
      <c r="DD1224" s="24">
        <v>99</v>
      </c>
      <c r="DE1224" s="25">
        <v>2.96</v>
      </c>
      <c r="DF1224" s="23">
        <v>4.37</v>
      </c>
      <c r="DG1224" s="25">
        <v>2.41</v>
      </c>
      <c r="DH1224" s="24">
        <v>70</v>
      </c>
      <c r="DI1224" s="25">
        <v>9.93</v>
      </c>
      <c r="DJ1224" s="24">
        <v>85</v>
      </c>
      <c r="DK1224" s="25">
        <v>2.41</v>
      </c>
      <c r="DL1224" s="24">
        <v>68</v>
      </c>
      <c r="DM1224" s="25" t="s">
        <v>138</v>
      </c>
      <c r="DN1224" s="24" t="s">
        <v>138</v>
      </c>
      <c r="DO1224" s="25">
        <v>9.93</v>
      </c>
      <c r="DP1224" s="24">
        <v>87</v>
      </c>
      <c r="DQ1224" s="24">
        <v>818</v>
      </c>
      <c r="DR1224" s="26">
        <v>25</v>
      </c>
      <c r="DS1224" s="23">
        <v>3.15</v>
      </c>
      <c r="DT1224" s="24" t="s">
        <v>138</v>
      </c>
      <c r="DU1224" s="26" t="s">
        <v>138</v>
      </c>
      <c r="DV1224" s="23" t="s">
        <v>138</v>
      </c>
      <c r="DW1224" s="24">
        <v>3555</v>
      </c>
      <c r="DX1224" s="27">
        <v>-2</v>
      </c>
      <c r="DY1224" s="23">
        <v>-0.06</v>
      </c>
      <c r="DZ1224" s="15" t="s">
        <v>178</v>
      </c>
      <c r="EA1224" s="22">
        <v>43360</v>
      </c>
      <c r="EB1224" s="17">
        <v>10.5</v>
      </c>
      <c r="EC1224" s="22">
        <v>42398</v>
      </c>
      <c r="ED1224" s="15" t="s">
        <v>234</v>
      </c>
      <c r="EE1224" s="14" t="str">
        <f>HYPERLINK("https://my.pitchbook.com?c=152888-05", "View company online")</f>
        <v>View company online</v>
      </c>
    </row>
    <row r="1225" spans="1:135">
      <c r="A1225" s="28" t="s">
        <v>23770</v>
      </c>
      <c r="B1225" s="28" t="s">
        <v>23771</v>
      </c>
      <c r="C1225" s="28" t="s">
        <v>138</v>
      </c>
      <c r="D1225" s="28" t="s">
        <v>23772</v>
      </c>
      <c r="E1225" s="28" t="s">
        <v>23773</v>
      </c>
      <c r="F1225" s="28" t="s">
        <v>23770</v>
      </c>
      <c r="G1225" s="28" t="s">
        <v>23774</v>
      </c>
      <c r="H1225" s="28" t="s">
        <v>238</v>
      </c>
      <c r="I1225" s="28" t="s">
        <v>749</v>
      </c>
      <c r="J1225" s="28" t="s">
        <v>2855</v>
      </c>
      <c r="K1225" s="28" t="s">
        <v>23775</v>
      </c>
      <c r="L1225" s="28" t="s">
        <v>18378</v>
      </c>
      <c r="M1225" s="28" t="s">
        <v>23776</v>
      </c>
      <c r="N1225" s="28" t="s">
        <v>147</v>
      </c>
      <c r="O1225" s="29">
        <v>11</v>
      </c>
      <c r="P1225" s="28" t="s">
        <v>148</v>
      </c>
      <c r="Q1225" s="28" t="s">
        <v>149</v>
      </c>
      <c r="R1225" s="28" t="s">
        <v>244</v>
      </c>
      <c r="S1225" s="28" t="s">
        <v>23777</v>
      </c>
      <c r="T1225" s="30" t="s">
        <v>138</v>
      </c>
      <c r="U1225" s="28" t="s">
        <v>138</v>
      </c>
      <c r="V1225" s="28" t="s">
        <v>138</v>
      </c>
      <c r="W1225" s="28" t="s">
        <v>138</v>
      </c>
      <c r="X1225" s="31">
        <v>2015</v>
      </c>
      <c r="Y1225" s="28" t="s">
        <v>138</v>
      </c>
      <c r="Z1225" s="28" t="s">
        <v>138</v>
      </c>
      <c r="AA1225" s="28" t="s">
        <v>138</v>
      </c>
      <c r="AB1225" s="32" t="s">
        <v>138</v>
      </c>
      <c r="AC1225" s="32" t="s">
        <v>138</v>
      </c>
      <c r="AD1225" s="32" t="s">
        <v>138</v>
      </c>
      <c r="AE1225" s="32" t="s">
        <v>138</v>
      </c>
      <c r="AF1225" s="32" t="s">
        <v>138</v>
      </c>
      <c r="AG1225" s="28" t="s">
        <v>138</v>
      </c>
      <c r="AH1225" s="32" t="s">
        <v>138</v>
      </c>
      <c r="AI1225" s="32" t="s">
        <v>138</v>
      </c>
      <c r="AJ1225" s="32" t="s">
        <v>138</v>
      </c>
      <c r="AK1225" s="28" t="s">
        <v>23778</v>
      </c>
      <c r="AL1225" s="28" t="s">
        <v>23779</v>
      </c>
      <c r="AM1225" s="28" t="s">
        <v>304</v>
      </c>
      <c r="AN1225" s="28" t="s">
        <v>23780</v>
      </c>
      <c r="AO1225" s="28" t="s">
        <v>138</v>
      </c>
      <c r="AP1225" s="28" t="s">
        <v>423</v>
      </c>
      <c r="AQ1225" s="28" t="s">
        <v>23781</v>
      </c>
      <c r="AR1225" s="28" t="s">
        <v>23782</v>
      </c>
      <c r="AS1225" s="28" t="s">
        <v>426</v>
      </c>
      <c r="AT1225" s="28" t="s">
        <v>426</v>
      </c>
      <c r="AU1225" s="28" t="s">
        <v>1804</v>
      </c>
      <c r="AV1225" s="28" t="s">
        <v>162</v>
      </c>
      <c r="AW1225" s="28" t="s">
        <v>138</v>
      </c>
      <c r="AX1225" s="28" t="s">
        <v>138</v>
      </c>
      <c r="AY1225" s="28" t="s">
        <v>138</v>
      </c>
      <c r="AZ1225" s="28" t="s">
        <v>164</v>
      </c>
      <c r="BA1225" s="28" t="s">
        <v>165</v>
      </c>
      <c r="BB1225" s="28" t="s">
        <v>23783</v>
      </c>
      <c r="BC1225" s="28" t="s">
        <v>23784</v>
      </c>
      <c r="BD1225" s="33">
        <v>6</v>
      </c>
      <c r="BE1225" s="28" t="s">
        <v>138</v>
      </c>
      <c r="BF1225" s="28" t="s">
        <v>138</v>
      </c>
      <c r="BG1225" s="28" t="s">
        <v>138</v>
      </c>
      <c r="BH1225" s="28" t="s">
        <v>23785</v>
      </c>
      <c r="BI1225" s="28" t="s">
        <v>138</v>
      </c>
      <c r="BJ1225" s="28" t="s">
        <v>138</v>
      </c>
      <c r="BK1225" s="28" t="s">
        <v>1691</v>
      </c>
      <c r="BL1225" s="28" t="s">
        <v>23786</v>
      </c>
      <c r="BM1225" s="34">
        <v>42825</v>
      </c>
      <c r="BN1225" s="29" t="s">
        <v>138</v>
      </c>
      <c r="BO1225" s="28" t="s">
        <v>138</v>
      </c>
      <c r="BP1225" s="29" t="s">
        <v>138</v>
      </c>
      <c r="BQ1225" s="28" t="s">
        <v>138</v>
      </c>
      <c r="BR1225" s="28" t="s">
        <v>1326</v>
      </c>
      <c r="BS1225" s="28" t="s">
        <v>138</v>
      </c>
      <c r="BT1225" s="28" t="s">
        <v>138</v>
      </c>
      <c r="BU1225" s="28" t="s">
        <v>1327</v>
      </c>
      <c r="BV1225" s="28" t="s">
        <v>2528</v>
      </c>
      <c r="BW1225" s="28" t="s">
        <v>138</v>
      </c>
      <c r="BX1225" s="28" t="s">
        <v>138</v>
      </c>
      <c r="BY1225" s="28" t="s">
        <v>175</v>
      </c>
      <c r="BZ1225" s="34">
        <v>43399</v>
      </c>
      <c r="CA1225" s="29">
        <v>8</v>
      </c>
      <c r="CB1225" s="28" t="s">
        <v>172</v>
      </c>
      <c r="CC1225" s="29" t="s">
        <v>138</v>
      </c>
      <c r="CD1225" s="28" t="s">
        <v>138</v>
      </c>
      <c r="CE1225" s="28" t="s">
        <v>205</v>
      </c>
      <c r="CF1225" s="28" t="s">
        <v>206</v>
      </c>
      <c r="CG1225" s="28" t="s">
        <v>138</v>
      </c>
      <c r="CH1225" s="28" t="s">
        <v>174</v>
      </c>
      <c r="CI1225" s="28" t="s">
        <v>138</v>
      </c>
      <c r="CJ1225" s="28" t="s">
        <v>138</v>
      </c>
      <c r="CK1225" s="28" t="s">
        <v>138</v>
      </c>
      <c r="CL1225" s="28" t="s">
        <v>175</v>
      </c>
      <c r="CM1225" s="34">
        <v>42825</v>
      </c>
      <c r="CN1225" s="29" t="s">
        <v>138</v>
      </c>
      <c r="CO1225" s="35">
        <v>1.99</v>
      </c>
      <c r="CP1225" s="36">
        <v>99</v>
      </c>
      <c r="CQ1225" s="35">
        <v>0</v>
      </c>
      <c r="CR1225" s="35">
        <v>0</v>
      </c>
      <c r="CS1225" s="35">
        <v>1.99</v>
      </c>
      <c r="CT1225" s="36">
        <v>98</v>
      </c>
      <c r="CU1225" s="35" t="s">
        <v>138</v>
      </c>
      <c r="CV1225" s="36" t="s">
        <v>138</v>
      </c>
      <c r="CW1225" s="35">
        <v>1.99</v>
      </c>
      <c r="CX1225" s="36">
        <v>88</v>
      </c>
      <c r="CY1225" s="35" t="s">
        <v>138</v>
      </c>
      <c r="CZ1225" s="36" t="s">
        <v>138</v>
      </c>
      <c r="DA1225" s="35" t="s">
        <v>138</v>
      </c>
      <c r="DB1225" s="36" t="s">
        <v>138</v>
      </c>
      <c r="DC1225" s="37">
        <v>41.05</v>
      </c>
      <c r="DD1225" s="36">
        <v>97</v>
      </c>
      <c r="DE1225" s="37">
        <v>-5.27</v>
      </c>
      <c r="DF1225" s="35">
        <v>-11.37</v>
      </c>
      <c r="DG1225" s="37">
        <v>41.05</v>
      </c>
      <c r="DH1225" s="36">
        <v>98</v>
      </c>
      <c r="DI1225" s="37" t="s">
        <v>138</v>
      </c>
      <c r="DJ1225" s="36" t="s">
        <v>138</v>
      </c>
      <c r="DK1225" s="37">
        <v>41.05</v>
      </c>
      <c r="DL1225" s="36">
        <v>95</v>
      </c>
      <c r="DM1225" s="37" t="s">
        <v>138</v>
      </c>
      <c r="DN1225" s="36" t="s">
        <v>138</v>
      </c>
      <c r="DO1225" s="37" t="s">
        <v>138</v>
      </c>
      <c r="DP1225" s="36" t="s">
        <v>138</v>
      </c>
      <c r="DQ1225" s="36">
        <v>14087</v>
      </c>
      <c r="DR1225" s="38">
        <v>-19</v>
      </c>
      <c r="DS1225" s="35">
        <v>-0.13</v>
      </c>
      <c r="DT1225" s="36" t="s">
        <v>138</v>
      </c>
      <c r="DU1225" s="38" t="s">
        <v>138</v>
      </c>
      <c r="DV1225" s="35" t="s">
        <v>138</v>
      </c>
      <c r="DW1225" s="36">
        <v>779</v>
      </c>
      <c r="DX1225" s="39">
        <v>-1</v>
      </c>
      <c r="DY1225" s="35">
        <v>-0.13</v>
      </c>
      <c r="DZ1225" s="28" t="s">
        <v>178</v>
      </c>
      <c r="EA1225" s="34">
        <v>43525</v>
      </c>
      <c r="EB1225" s="29" t="s">
        <v>138</v>
      </c>
      <c r="EC1225" s="34" t="s">
        <v>138</v>
      </c>
      <c r="ED1225" s="28" t="s">
        <v>138</v>
      </c>
      <c r="EE1225" s="40" t="str">
        <f>HYPERLINK("https://my.pitchbook.com?c=222055-93", "View company online")</f>
        <v>View company online</v>
      </c>
    </row>
    <row r="1226" spans="1:135">
      <c r="A1226" s="15" t="s">
        <v>23787</v>
      </c>
      <c r="B1226" s="15" t="s">
        <v>23788</v>
      </c>
      <c r="C1226" s="15" t="s">
        <v>23789</v>
      </c>
      <c r="D1226" s="15" t="s">
        <v>138</v>
      </c>
      <c r="E1226" s="15" t="s">
        <v>138</v>
      </c>
      <c r="F1226" s="15" t="s">
        <v>23787</v>
      </c>
      <c r="G1226" s="15" t="s">
        <v>23790</v>
      </c>
      <c r="H1226" s="15" t="s">
        <v>322</v>
      </c>
      <c r="I1226" s="15" t="s">
        <v>356</v>
      </c>
      <c r="J1226" s="15" t="s">
        <v>2705</v>
      </c>
      <c r="K1226" s="15" t="s">
        <v>23791</v>
      </c>
      <c r="L1226" s="15" t="s">
        <v>23792</v>
      </c>
      <c r="M1226" s="15" t="s">
        <v>23793</v>
      </c>
      <c r="N1226" s="15" t="s">
        <v>147</v>
      </c>
      <c r="O1226" s="17" t="s">
        <v>138</v>
      </c>
      <c r="P1226" s="15" t="s">
        <v>148</v>
      </c>
      <c r="Q1226" s="15" t="s">
        <v>149</v>
      </c>
      <c r="R1226" s="15" t="s">
        <v>174</v>
      </c>
      <c r="S1226" s="15" t="s">
        <v>23794</v>
      </c>
      <c r="T1226" s="18" t="s">
        <v>138</v>
      </c>
      <c r="U1226" s="15" t="s">
        <v>138</v>
      </c>
      <c r="V1226" s="15" t="s">
        <v>138</v>
      </c>
      <c r="W1226" s="15" t="s">
        <v>138</v>
      </c>
      <c r="X1226" s="19">
        <v>2000</v>
      </c>
      <c r="Y1226" s="15" t="s">
        <v>138</v>
      </c>
      <c r="Z1226" s="15" t="s">
        <v>138</v>
      </c>
      <c r="AA1226" s="15" t="s">
        <v>138</v>
      </c>
      <c r="AB1226" s="20" t="s">
        <v>138</v>
      </c>
      <c r="AC1226" s="20" t="s">
        <v>138</v>
      </c>
      <c r="AD1226" s="20" t="s">
        <v>138</v>
      </c>
      <c r="AE1226" s="20" t="s">
        <v>138</v>
      </c>
      <c r="AF1226" s="20" t="s">
        <v>138</v>
      </c>
      <c r="AG1226" s="15" t="s">
        <v>138</v>
      </c>
      <c r="AH1226" s="20" t="s">
        <v>138</v>
      </c>
      <c r="AI1226" s="20" t="s">
        <v>138</v>
      </c>
      <c r="AJ1226" s="20" t="s">
        <v>138</v>
      </c>
      <c r="AK1226" s="15" t="s">
        <v>23795</v>
      </c>
      <c r="AL1226" s="15" t="s">
        <v>23796</v>
      </c>
      <c r="AM1226" s="15" t="s">
        <v>444</v>
      </c>
      <c r="AN1226" s="15" t="s">
        <v>138</v>
      </c>
      <c r="AO1226" s="15" t="s">
        <v>23797</v>
      </c>
      <c r="AP1226" s="15" t="s">
        <v>4601</v>
      </c>
      <c r="AQ1226" s="15" t="s">
        <v>23798</v>
      </c>
      <c r="AR1226" s="15" t="s">
        <v>23799</v>
      </c>
      <c r="AS1226" s="15" t="s">
        <v>4604</v>
      </c>
      <c r="AT1226" s="15" t="s">
        <v>17451</v>
      </c>
      <c r="AU1226" s="15" t="s">
        <v>23800</v>
      </c>
      <c r="AV1226" s="15" t="s">
        <v>2071</v>
      </c>
      <c r="AW1226" s="15" t="s">
        <v>23797</v>
      </c>
      <c r="AX1226" s="15" t="s">
        <v>23801</v>
      </c>
      <c r="AY1226" s="15" t="s">
        <v>23802</v>
      </c>
      <c r="AZ1226" s="15" t="s">
        <v>452</v>
      </c>
      <c r="BA1226" s="15" t="s">
        <v>453</v>
      </c>
      <c r="BB1226" s="15" t="s">
        <v>23803</v>
      </c>
      <c r="BC1226" s="15" t="s">
        <v>23804</v>
      </c>
      <c r="BD1226" s="21">
        <v>3</v>
      </c>
      <c r="BE1226" s="15" t="s">
        <v>138</v>
      </c>
      <c r="BF1226" s="15" t="s">
        <v>138</v>
      </c>
      <c r="BG1226" s="15" t="s">
        <v>138</v>
      </c>
      <c r="BH1226" s="15" t="s">
        <v>23805</v>
      </c>
      <c r="BI1226" s="15" t="s">
        <v>138</v>
      </c>
      <c r="BJ1226" s="15" t="s">
        <v>138</v>
      </c>
      <c r="BK1226" s="15" t="s">
        <v>138</v>
      </c>
      <c r="BL1226" s="15" t="s">
        <v>138</v>
      </c>
      <c r="BM1226" s="22">
        <v>37438</v>
      </c>
      <c r="BN1226" s="17" t="s">
        <v>138</v>
      </c>
      <c r="BO1226" s="15" t="s">
        <v>138</v>
      </c>
      <c r="BP1226" s="17" t="s">
        <v>138</v>
      </c>
      <c r="BQ1226" s="15" t="s">
        <v>138</v>
      </c>
      <c r="BR1226" s="15" t="s">
        <v>205</v>
      </c>
      <c r="BS1226" s="15" t="s">
        <v>138</v>
      </c>
      <c r="BT1226" s="15" t="s">
        <v>138</v>
      </c>
      <c r="BU1226" s="15" t="s">
        <v>174</v>
      </c>
      <c r="BV1226" s="15" t="s">
        <v>138</v>
      </c>
      <c r="BW1226" s="15" t="s">
        <v>138</v>
      </c>
      <c r="BX1226" s="15" t="s">
        <v>138</v>
      </c>
      <c r="BY1226" s="15" t="s">
        <v>175</v>
      </c>
      <c r="BZ1226" s="22">
        <v>38139</v>
      </c>
      <c r="CA1226" s="17" t="s">
        <v>138</v>
      </c>
      <c r="CB1226" s="15" t="s">
        <v>138</v>
      </c>
      <c r="CC1226" s="17" t="s">
        <v>138</v>
      </c>
      <c r="CD1226" s="15" t="s">
        <v>138</v>
      </c>
      <c r="CE1226" s="15" t="s">
        <v>205</v>
      </c>
      <c r="CF1226" s="15" t="s">
        <v>138</v>
      </c>
      <c r="CG1226" s="15" t="s">
        <v>138</v>
      </c>
      <c r="CH1226" s="15" t="s">
        <v>174</v>
      </c>
      <c r="CI1226" s="15" t="s">
        <v>138</v>
      </c>
      <c r="CJ1226" s="15" t="s">
        <v>138</v>
      </c>
      <c r="CK1226" s="15" t="s">
        <v>138</v>
      </c>
      <c r="CL1226" s="15" t="s">
        <v>175</v>
      </c>
      <c r="CM1226" s="22" t="s">
        <v>138</v>
      </c>
      <c r="CN1226" s="17" t="s">
        <v>138</v>
      </c>
      <c r="CO1226" s="23">
        <v>0</v>
      </c>
      <c r="CP1226" s="24">
        <v>26</v>
      </c>
      <c r="CQ1226" s="23">
        <v>0</v>
      </c>
      <c r="CR1226" s="23">
        <v>0</v>
      </c>
      <c r="CS1226" s="23">
        <v>0</v>
      </c>
      <c r="CT1226" s="24">
        <v>23</v>
      </c>
      <c r="CU1226" s="23" t="s">
        <v>138</v>
      </c>
      <c r="CV1226" s="24" t="s">
        <v>138</v>
      </c>
      <c r="CW1226" s="23" t="s">
        <v>138</v>
      </c>
      <c r="CX1226" s="24" t="s">
        <v>138</v>
      </c>
      <c r="CY1226" s="23">
        <v>0</v>
      </c>
      <c r="CZ1226" s="24">
        <v>25</v>
      </c>
      <c r="DA1226" s="23" t="s">
        <v>138</v>
      </c>
      <c r="DB1226" s="24" t="s">
        <v>138</v>
      </c>
      <c r="DC1226" s="25">
        <v>0.66</v>
      </c>
      <c r="DD1226" s="24">
        <v>40</v>
      </c>
      <c r="DE1226" s="25">
        <v>0.03</v>
      </c>
      <c r="DF1226" s="23">
        <v>5.56</v>
      </c>
      <c r="DG1226" s="25">
        <v>0.66</v>
      </c>
      <c r="DH1226" s="24">
        <v>41</v>
      </c>
      <c r="DI1226" s="25" t="s">
        <v>138</v>
      </c>
      <c r="DJ1226" s="24" t="s">
        <v>138</v>
      </c>
      <c r="DK1226" s="25" t="s">
        <v>138</v>
      </c>
      <c r="DL1226" s="24" t="s">
        <v>138</v>
      </c>
      <c r="DM1226" s="25">
        <v>0.66</v>
      </c>
      <c r="DN1226" s="24">
        <v>40</v>
      </c>
      <c r="DO1226" s="25" t="s">
        <v>138</v>
      </c>
      <c r="DP1226" s="24" t="s">
        <v>138</v>
      </c>
      <c r="DQ1226" s="24" t="s">
        <v>138</v>
      </c>
      <c r="DR1226" s="26" t="s">
        <v>138</v>
      </c>
      <c r="DS1226" s="23" t="s">
        <v>138</v>
      </c>
      <c r="DT1226" s="24">
        <v>18</v>
      </c>
      <c r="DU1226" s="26">
        <v>0</v>
      </c>
      <c r="DV1226" s="23">
        <v>0</v>
      </c>
      <c r="DW1226" s="24" t="s">
        <v>138</v>
      </c>
      <c r="DX1226" s="27" t="s">
        <v>138</v>
      </c>
      <c r="DY1226" s="23" t="s">
        <v>138</v>
      </c>
      <c r="DZ1226" s="15" t="s">
        <v>178</v>
      </c>
      <c r="EA1226" s="22">
        <v>43481</v>
      </c>
      <c r="EB1226" s="17" t="s">
        <v>138</v>
      </c>
      <c r="EC1226" s="22" t="s">
        <v>138</v>
      </c>
      <c r="ED1226" s="15" t="s">
        <v>138</v>
      </c>
      <c r="EE1226" s="14" t="str">
        <f>HYPERLINK("https://my.pitchbook.com?c=54825-76", "View company online")</f>
        <v>View company online</v>
      </c>
    </row>
    <row r="1227" spans="1:135">
      <c r="A1227" s="28" t="s">
        <v>23806</v>
      </c>
      <c r="B1227" s="28" t="s">
        <v>23807</v>
      </c>
      <c r="C1227" s="28" t="s">
        <v>23808</v>
      </c>
      <c r="D1227" s="28" t="s">
        <v>138</v>
      </c>
      <c r="E1227" s="28" t="s">
        <v>23809</v>
      </c>
      <c r="F1227" s="28" t="s">
        <v>23806</v>
      </c>
      <c r="G1227" s="28" t="s">
        <v>23810</v>
      </c>
      <c r="H1227" s="28" t="s">
        <v>322</v>
      </c>
      <c r="I1227" s="28" t="s">
        <v>323</v>
      </c>
      <c r="J1227" s="28" t="s">
        <v>324</v>
      </c>
      <c r="K1227" s="28" t="s">
        <v>23811</v>
      </c>
      <c r="L1227" s="28" t="s">
        <v>23812</v>
      </c>
      <c r="M1227" s="28" t="s">
        <v>23813</v>
      </c>
      <c r="N1227" s="28" t="s">
        <v>147</v>
      </c>
      <c r="O1227" s="29">
        <v>43</v>
      </c>
      <c r="P1227" s="28" t="s">
        <v>148</v>
      </c>
      <c r="Q1227" s="28" t="s">
        <v>149</v>
      </c>
      <c r="R1227" s="28" t="s">
        <v>244</v>
      </c>
      <c r="S1227" s="28" t="s">
        <v>23814</v>
      </c>
      <c r="T1227" s="30">
        <v>150</v>
      </c>
      <c r="U1227" s="28" t="s">
        <v>23815</v>
      </c>
      <c r="V1227" s="28" t="s">
        <v>138</v>
      </c>
      <c r="W1227" s="28" t="s">
        <v>138</v>
      </c>
      <c r="X1227" s="31">
        <v>2011</v>
      </c>
      <c r="Y1227" s="28" t="s">
        <v>138</v>
      </c>
      <c r="Z1227" s="28" t="s">
        <v>138</v>
      </c>
      <c r="AA1227" s="28" t="s">
        <v>138</v>
      </c>
      <c r="AB1227" s="32" t="s">
        <v>138</v>
      </c>
      <c r="AC1227" s="32" t="s">
        <v>138</v>
      </c>
      <c r="AD1227" s="32" t="s">
        <v>138</v>
      </c>
      <c r="AE1227" s="32" t="s">
        <v>138</v>
      </c>
      <c r="AF1227" s="32" t="s">
        <v>138</v>
      </c>
      <c r="AG1227" s="28" t="s">
        <v>138</v>
      </c>
      <c r="AH1227" s="32" t="s">
        <v>138</v>
      </c>
      <c r="AI1227" s="32" t="s">
        <v>138</v>
      </c>
      <c r="AJ1227" s="32" t="s">
        <v>138</v>
      </c>
      <c r="AK1227" s="28" t="s">
        <v>23816</v>
      </c>
      <c r="AL1227" s="28" t="s">
        <v>23817</v>
      </c>
      <c r="AM1227" s="28" t="s">
        <v>6526</v>
      </c>
      <c r="AN1227" s="28" t="s">
        <v>23818</v>
      </c>
      <c r="AO1227" s="28" t="s">
        <v>23819</v>
      </c>
      <c r="AP1227" s="28" t="s">
        <v>665</v>
      </c>
      <c r="AQ1227" s="28" t="s">
        <v>23820</v>
      </c>
      <c r="AR1227" s="28" t="s">
        <v>618</v>
      </c>
      <c r="AS1227" s="28" t="s">
        <v>668</v>
      </c>
      <c r="AT1227" s="28" t="s">
        <v>200</v>
      </c>
      <c r="AU1227" s="28" t="s">
        <v>1893</v>
      </c>
      <c r="AV1227" s="28" t="s">
        <v>162</v>
      </c>
      <c r="AW1227" s="28" t="s">
        <v>23819</v>
      </c>
      <c r="AX1227" s="28" t="s">
        <v>138</v>
      </c>
      <c r="AY1227" s="28" t="s">
        <v>23821</v>
      </c>
      <c r="AZ1227" s="28" t="s">
        <v>164</v>
      </c>
      <c r="BA1227" s="28" t="s">
        <v>165</v>
      </c>
      <c r="BB1227" s="28" t="s">
        <v>23822</v>
      </c>
      <c r="BC1227" s="28" t="s">
        <v>23823</v>
      </c>
      <c r="BD1227" s="33">
        <v>9</v>
      </c>
      <c r="BE1227" s="28" t="s">
        <v>138</v>
      </c>
      <c r="BF1227" s="28" t="s">
        <v>138</v>
      </c>
      <c r="BG1227" s="28" t="s">
        <v>138</v>
      </c>
      <c r="BH1227" s="28" t="s">
        <v>23824</v>
      </c>
      <c r="BI1227" s="28" t="s">
        <v>138</v>
      </c>
      <c r="BJ1227" s="28" t="s">
        <v>138</v>
      </c>
      <c r="BK1227" s="28" t="s">
        <v>1251</v>
      </c>
      <c r="BL1227" s="28" t="s">
        <v>23825</v>
      </c>
      <c r="BM1227" s="34">
        <v>41212</v>
      </c>
      <c r="BN1227" s="29">
        <v>3.2</v>
      </c>
      <c r="BO1227" s="28" t="s">
        <v>172</v>
      </c>
      <c r="BP1227" s="29">
        <v>10.44</v>
      </c>
      <c r="BQ1227" s="28" t="s">
        <v>172</v>
      </c>
      <c r="BR1227" s="28" t="s">
        <v>234</v>
      </c>
      <c r="BS1227" s="28" t="s">
        <v>234</v>
      </c>
      <c r="BT1227" s="28" t="s">
        <v>138</v>
      </c>
      <c r="BU1227" s="28" t="s">
        <v>174</v>
      </c>
      <c r="BV1227" s="28" t="s">
        <v>138</v>
      </c>
      <c r="BW1227" s="28" t="s">
        <v>138</v>
      </c>
      <c r="BX1227" s="28" t="s">
        <v>138</v>
      </c>
      <c r="BY1227" s="28" t="s">
        <v>175</v>
      </c>
      <c r="BZ1227" s="34">
        <v>43332</v>
      </c>
      <c r="CA1227" s="29">
        <v>5</v>
      </c>
      <c r="CB1227" s="28" t="s">
        <v>172</v>
      </c>
      <c r="CC1227" s="29" t="s">
        <v>138</v>
      </c>
      <c r="CD1227" s="28" t="s">
        <v>138</v>
      </c>
      <c r="CE1227" s="28" t="s">
        <v>1326</v>
      </c>
      <c r="CF1227" s="28" t="s">
        <v>138</v>
      </c>
      <c r="CG1227" s="28" t="s">
        <v>138</v>
      </c>
      <c r="CH1227" s="28" t="s">
        <v>1327</v>
      </c>
      <c r="CI1227" s="28" t="s">
        <v>1397</v>
      </c>
      <c r="CJ1227" s="28" t="s">
        <v>138</v>
      </c>
      <c r="CK1227" s="28" t="s">
        <v>138</v>
      </c>
      <c r="CL1227" s="28" t="s">
        <v>175</v>
      </c>
      <c r="CM1227" s="34">
        <v>43332</v>
      </c>
      <c r="CN1227" s="29">
        <v>5</v>
      </c>
      <c r="CO1227" s="35">
        <v>0.67</v>
      </c>
      <c r="CP1227" s="36">
        <v>96</v>
      </c>
      <c r="CQ1227" s="35">
        <v>-0.04</v>
      </c>
      <c r="CR1227" s="35">
        <v>-5.33</v>
      </c>
      <c r="CS1227" s="35">
        <v>1.31</v>
      </c>
      <c r="CT1227" s="36">
        <v>97</v>
      </c>
      <c r="CU1227" s="35">
        <v>0.02</v>
      </c>
      <c r="CV1227" s="36">
        <v>51</v>
      </c>
      <c r="CW1227" s="35">
        <v>3.58</v>
      </c>
      <c r="CX1227" s="36">
        <v>93</v>
      </c>
      <c r="CY1227" s="35">
        <v>-0.95</v>
      </c>
      <c r="CZ1227" s="36">
        <v>19</v>
      </c>
      <c r="DA1227" s="35">
        <v>0.02</v>
      </c>
      <c r="DB1227" s="36">
        <v>58</v>
      </c>
      <c r="DC1227" s="37">
        <v>16.34</v>
      </c>
      <c r="DD1227" s="36">
        <v>94</v>
      </c>
      <c r="DE1227" s="37">
        <v>-0.41</v>
      </c>
      <c r="DF1227" s="35">
        <v>-2.4500000000000002</v>
      </c>
      <c r="DG1227" s="37">
        <v>20.2</v>
      </c>
      <c r="DH1227" s="36">
        <v>95</v>
      </c>
      <c r="DI1227" s="37">
        <v>12.48</v>
      </c>
      <c r="DJ1227" s="36">
        <v>87</v>
      </c>
      <c r="DK1227" s="37">
        <v>13.09</v>
      </c>
      <c r="DL1227" s="36">
        <v>89</v>
      </c>
      <c r="DM1227" s="37">
        <v>27.31</v>
      </c>
      <c r="DN1227" s="36">
        <v>96</v>
      </c>
      <c r="DO1227" s="37">
        <v>12.48</v>
      </c>
      <c r="DP1227" s="36">
        <v>89</v>
      </c>
      <c r="DQ1227" s="36">
        <v>4419</v>
      </c>
      <c r="DR1227" s="38">
        <v>216</v>
      </c>
      <c r="DS1227" s="35">
        <v>5.14</v>
      </c>
      <c r="DT1227" s="36">
        <v>793</v>
      </c>
      <c r="DU1227" s="38">
        <v>-6</v>
      </c>
      <c r="DV1227" s="35">
        <v>-0.75</v>
      </c>
      <c r="DW1227" s="36">
        <v>4469</v>
      </c>
      <c r="DX1227" s="39">
        <v>4</v>
      </c>
      <c r="DY1227" s="35">
        <v>0.09</v>
      </c>
      <c r="DZ1227" s="28" t="s">
        <v>178</v>
      </c>
      <c r="EA1227" s="34">
        <v>43412</v>
      </c>
      <c r="EB1227" s="29">
        <v>105.18</v>
      </c>
      <c r="EC1227" s="34">
        <v>42696</v>
      </c>
      <c r="ED1227" s="28" t="s">
        <v>205</v>
      </c>
      <c r="EE1227" s="40" t="str">
        <f>HYPERLINK("https://my.pitchbook.com?c=55499-23", "View company online")</f>
        <v>View company online</v>
      </c>
    </row>
    <row r="1228" spans="1:135">
      <c r="A1228" s="15" t="s">
        <v>23826</v>
      </c>
      <c r="B1228" s="15" t="s">
        <v>23827</v>
      </c>
      <c r="C1228" s="15" t="s">
        <v>23828</v>
      </c>
      <c r="D1228" s="15" t="s">
        <v>138</v>
      </c>
      <c r="E1228" s="15" t="s">
        <v>23829</v>
      </c>
      <c r="F1228" s="15" t="s">
        <v>23826</v>
      </c>
      <c r="G1228" s="15" t="s">
        <v>23830</v>
      </c>
      <c r="H1228" s="15" t="s">
        <v>141</v>
      </c>
      <c r="I1228" s="15" t="s">
        <v>212</v>
      </c>
      <c r="J1228" s="15" t="s">
        <v>1257</v>
      </c>
      <c r="K1228" s="15" t="s">
        <v>4949</v>
      </c>
      <c r="L1228" s="15" t="s">
        <v>415</v>
      </c>
      <c r="M1228" s="15" t="s">
        <v>23831</v>
      </c>
      <c r="N1228" s="15" t="s">
        <v>147</v>
      </c>
      <c r="O1228" s="17">
        <v>85.74</v>
      </c>
      <c r="P1228" s="15" t="s">
        <v>148</v>
      </c>
      <c r="Q1228" s="15" t="s">
        <v>149</v>
      </c>
      <c r="R1228" s="15" t="s">
        <v>174</v>
      </c>
      <c r="S1228" s="15" t="s">
        <v>23832</v>
      </c>
      <c r="T1228" s="18">
        <v>90</v>
      </c>
      <c r="U1228" s="15" t="s">
        <v>23833</v>
      </c>
      <c r="V1228" s="15" t="s">
        <v>138</v>
      </c>
      <c r="W1228" s="15" t="s">
        <v>138</v>
      </c>
      <c r="X1228" s="19">
        <v>2014</v>
      </c>
      <c r="Y1228" s="15" t="s">
        <v>138</v>
      </c>
      <c r="Z1228" s="15" t="s">
        <v>138</v>
      </c>
      <c r="AA1228" s="15" t="s">
        <v>138</v>
      </c>
      <c r="AB1228" s="20" t="s">
        <v>138</v>
      </c>
      <c r="AC1228" s="20" t="s">
        <v>138</v>
      </c>
      <c r="AD1228" s="20" t="s">
        <v>138</v>
      </c>
      <c r="AE1228" s="20" t="s">
        <v>138</v>
      </c>
      <c r="AF1228" s="20" t="s">
        <v>138</v>
      </c>
      <c r="AG1228" s="15" t="s">
        <v>138</v>
      </c>
      <c r="AH1228" s="20" t="s">
        <v>138</v>
      </c>
      <c r="AI1228" s="20" t="s">
        <v>138</v>
      </c>
      <c r="AJ1228" s="20" t="s">
        <v>138</v>
      </c>
      <c r="AK1228" s="15" t="s">
        <v>23834</v>
      </c>
      <c r="AL1228" s="15" t="s">
        <v>23835</v>
      </c>
      <c r="AM1228" s="15" t="s">
        <v>1955</v>
      </c>
      <c r="AN1228" s="15" t="s">
        <v>23836</v>
      </c>
      <c r="AO1228" s="15" t="s">
        <v>23837</v>
      </c>
      <c r="AP1228" s="15" t="s">
        <v>1870</v>
      </c>
      <c r="AQ1228" s="15" t="s">
        <v>23838</v>
      </c>
      <c r="AR1228" s="15" t="s">
        <v>158</v>
      </c>
      <c r="AS1228" s="15" t="s">
        <v>1872</v>
      </c>
      <c r="AT1228" s="15" t="s">
        <v>200</v>
      </c>
      <c r="AU1228" s="15" t="s">
        <v>16364</v>
      </c>
      <c r="AV1228" s="15" t="s">
        <v>162</v>
      </c>
      <c r="AW1228" s="15" t="s">
        <v>23837</v>
      </c>
      <c r="AX1228" s="15" t="s">
        <v>138</v>
      </c>
      <c r="AY1228" s="15" t="s">
        <v>23839</v>
      </c>
      <c r="AZ1228" s="15" t="s">
        <v>164</v>
      </c>
      <c r="BA1228" s="15" t="s">
        <v>165</v>
      </c>
      <c r="BB1228" s="15" t="s">
        <v>23840</v>
      </c>
      <c r="BC1228" s="15" t="s">
        <v>23841</v>
      </c>
      <c r="BD1228" s="21">
        <v>28</v>
      </c>
      <c r="BE1228" s="15" t="s">
        <v>138</v>
      </c>
      <c r="BF1228" s="15" t="s">
        <v>138</v>
      </c>
      <c r="BG1228" s="15" t="s">
        <v>138</v>
      </c>
      <c r="BH1228" s="15" t="s">
        <v>23842</v>
      </c>
      <c r="BI1228" s="15" t="s">
        <v>138</v>
      </c>
      <c r="BJ1228" s="15" t="s">
        <v>138</v>
      </c>
      <c r="BK1228" s="15" t="s">
        <v>23843</v>
      </c>
      <c r="BL1228" s="15" t="s">
        <v>23844</v>
      </c>
      <c r="BM1228" s="22">
        <v>41913</v>
      </c>
      <c r="BN1228" s="17" t="s">
        <v>138</v>
      </c>
      <c r="BO1228" s="15" t="s">
        <v>138</v>
      </c>
      <c r="BP1228" s="17" t="s">
        <v>138</v>
      </c>
      <c r="BQ1228" s="15" t="s">
        <v>138</v>
      </c>
      <c r="BR1228" s="15" t="s">
        <v>316</v>
      </c>
      <c r="BS1228" s="15" t="s">
        <v>138</v>
      </c>
      <c r="BT1228" s="15" t="s">
        <v>138</v>
      </c>
      <c r="BU1228" s="15" t="s">
        <v>177</v>
      </c>
      <c r="BV1228" s="15" t="s">
        <v>138</v>
      </c>
      <c r="BW1228" s="15" t="s">
        <v>138</v>
      </c>
      <c r="BX1228" s="15" t="s">
        <v>138</v>
      </c>
      <c r="BY1228" s="15" t="s">
        <v>175</v>
      </c>
      <c r="BZ1228" s="22">
        <v>43455</v>
      </c>
      <c r="CA1228" s="17">
        <v>20</v>
      </c>
      <c r="CB1228" s="15" t="s">
        <v>172</v>
      </c>
      <c r="CC1228" s="17">
        <v>90</v>
      </c>
      <c r="CD1228" s="15" t="s">
        <v>172</v>
      </c>
      <c r="CE1228" s="15" t="s">
        <v>205</v>
      </c>
      <c r="CF1228" s="15" t="s">
        <v>720</v>
      </c>
      <c r="CG1228" s="15" t="s">
        <v>138</v>
      </c>
      <c r="CH1228" s="15" t="s">
        <v>174</v>
      </c>
      <c r="CI1228" s="15" t="s">
        <v>138</v>
      </c>
      <c r="CJ1228" s="15" t="s">
        <v>138</v>
      </c>
      <c r="CK1228" s="15" t="s">
        <v>138</v>
      </c>
      <c r="CL1228" s="15" t="s">
        <v>175</v>
      </c>
      <c r="CM1228" s="22" t="s">
        <v>138</v>
      </c>
      <c r="CN1228" s="17" t="s">
        <v>138</v>
      </c>
      <c r="CO1228" s="23">
        <v>-0.42</v>
      </c>
      <c r="CP1228" s="24">
        <v>17</v>
      </c>
      <c r="CQ1228" s="23">
        <v>-0.01</v>
      </c>
      <c r="CR1228" s="23">
        <v>-2.72</v>
      </c>
      <c r="CS1228" s="23">
        <v>-1.71</v>
      </c>
      <c r="CT1228" s="24">
        <v>10</v>
      </c>
      <c r="CU1228" s="23">
        <v>0.03</v>
      </c>
      <c r="CV1228" s="24">
        <v>54</v>
      </c>
      <c r="CW1228" s="23">
        <v>-2.82</v>
      </c>
      <c r="CX1228" s="24">
        <v>6</v>
      </c>
      <c r="CY1228" s="23">
        <v>-0.6</v>
      </c>
      <c r="CZ1228" s="24">
        <v>21</v>
      </c>
      <c r="DA1228" s="23">
        <v>0.1</v>
      </c>
      <c r="DB1228" s="24">
        <v>72</v>
      </c>
      <c r="DC1228" s="25">
        <v>104.66</v>
      </c>
      <c r="DD1228" s="24">
        <v>99</v>
      </c>
      <c r="DE1228" s="25">
        <v>-2.2599999999999998</v>
      </c>
      <c r="DF1228" s="23">
        <v>-2.11</v>
      </c>
      <c r="DG1228" s="25">
        <v>63.52</v>
      </c>
      <c r="DH1228" s="24">
        <v>99</v>
      </c>
      <c r="DI1228" s="25">
        <v>250.3</v>
      </c>
      <c r="DJ1228" s="24">
        <v>99</v>
      </c>
      <c r="DK1228" s="25">
        <v>107.38</v>
      </c>
      <c r="DL1228" s="24">
        <v>98</v>
      </c>
      <c r="DM1228" s="25">
        <v>19.66</v>
      </c>
      <c r="DN1228" s="24">
        <v>94</v>
      </c>
      <c r="DO1228" s="25">
        <v>5.59</v>
      </c>
      <c r="DP1228" s="24">
        <v>81</v>
      </c>
      <c r="DQ1228" s="24">
        <v>36989</v>
      </c>
      <c r="DR1228" s="26">
        <v>-477</v>
      </c>
      <c r="DS1228" s="23">
        <v>-1.27</v>
      </c>
      <c r="DT1228" s="24">
        <v>561</v>
      </c>
      <c r="DU1228" s="26">
        <v>-3</v>
      </c>
      <c r="DV1228" s="23">
        <v>-0.53</v>
      </c>
      <c r="DW1228" s="24">
        <v>2000</v>
      </c>
      <c r="DX1228" s="27">
        <v>0</v>
      </c>
      <c r="DY1228" s="23">
        <v>0</v>
      </c>
      <c r="DZ1228" s="15" t="s">
        <v>178</v>
      </c>
      <c r="EA1228" s="22">
        <v>43570</v>
      </c>
      <c r="EB1228" s="17">
        <v>90</v>
      </c>
      <c r="EC1228" s="22">
        <v>43455</v>
      </c>
      <c r="ED1228" s="15" t="s">
        <v>205</v>
      </c>
      <c r="EE1228" s="14" t="str">
        <f>HYPERLINK("https://my.pitchbook.com?c=107565-40", "View company online")</f>
        <v>View company online</v>
      </c>
    </row>
    <row r="1229" spans="1:135">
      <c r="A1229" s="28" t="s">
        <v>23845</v>
      </c>
      <c r="B1229" s="28" t="s">
        <v>23846</v>
      </c>
      <c r="C1229" s="28" t="s">
        <v>138</v>
      </c>
      <c r="D1229" s="28" t="s">
        <v>23847</v>
      </c>
      <c r="E1229" s="28" t="s">
        <v>138</v>
      </c>
      <c r="F1229" s="28" t="s">
        <v>23845</v>
      </c>
      <c r="G1229" s="28" t="s">
        <v>23848</v>
      </c>
      <c r="H1229" s="28" t="s">
        <v>322</v>
      </c>
      <c r="I1229" s="28" t="s">
        <v>323</v>
      </c>
      <c r="J1229" s="28" t="s">
        <v>954</v>
      </c>
      <c r="K1229" s="28" t="s">
        <v>23849</v>
      </c>
      <c r="L1229" s="28" t="s">
        <v>415</v>
      </c>
      <c r="M1229" s="28" t="s">
        <v>23850</v>
      </c>
      <c r="N1229" s="28" t="s">
        <v>147</v>
      </c>
      <c r="O1229" s="29">
        <v>2.5099999999999998</v>
      </c>
      <c r="P1229" s="28" t="s">
        <v>2922</v>
      </c>
      <c r="Q1229" s="28" t="s">
        <v>149</v>
      </c>
      <c r="R1229" s="28" t="s">
        <v>174</v>
      </c>
      <c r="S1229" s="28" t="s">
        <v>23851</v>
      </c>
      <c r="T1229" s="30">
        <v>11</v>
      </c>
      <c r="U1229" s="28" t="s">
        <v>3406</v>
      </c>
      <c r="V1229" s="28" t="s">
        <v>138</v>
      </c>
      <c r="W1229" s="28" t="s">
        <v>138</v>
      </c>
      <c r="X1229" s="31">
        <v>2015</v>
      </c>
      <c r="Y1229" s="28" t="s">
        <v>138</v>
      </c>
      <c r="Z1229" s="28" t="s">
        <v>138</v>
      </c>
      <c r="AA1229" s="28" t="s">
        <v>138</v>
      </c>
      <c r="AB1229" s="32" t="s">
        <v>138</v>
      </c>
      <c r="AC1229" s="32" t="s">
        <v>138</v>
      </c>
      <c r="AD1229" s="32" t="s">
        <v>138</v>
      </c>
      <c r="AE1229" s="32" t="s">
        <v>138</v>
      </c>
      <c r="AF1229" s="32" t="s">
        <v>138</v>
      </c>
      <c r="AG1229" s="28" t="s">
        <v>138</v>
      </c>
      <c r="AH1229" s="32" t="s">
        <v>138</v>
      </c>
      <c r="AI1229" s="32" t="s">
        <v>138</v>
      </c>
      <c r="AJ1229" s="32" t="s">
        <v>138</v>
      </c>
      <c r="AK1229" s="28" t="s">
        <v>23852</v>
      </c>
      <c r="AL1229" s="28" t="s">
        <v>23853</v>
      </c>
      <c r="AM1229" s="28" t="s">
        <v>304</v>
      </c>
      <c r="AN1229" s="28" t="s">
        <v>23854</v>
      </c>
      <c r="AO1229" s="28" t="s">
        <v>138</v>
      </c>
      <c r="AP1229" s="28" t="s">
        <v>423</v>
      </c>
      <c r="AQ1229" s="28" t="s">
        <v>138</v>
      </c>
      <c r="AR1229" s="28" t="s">
        <v>138</v>
      </c>
      <c r="AS1229" s="28" t="s">
        <v>426</v>
      </c>
      <c r="AT1229" s="28" t="s">
        <v>426</v>
      </c>
      <c r="AU1229" s="28" t="s">
        <v>921</v>
      </c>
      <c r="AV1229" s="28" t="s">
        <v>162</v>
      </c>
      <c r="AW1229" s="28" t="s">
        <v>138</v>
      </c>
      <c r="AX1229" s="28" t="s">
        <v>138</v>
      </c>
      <c r="AY1229" s="28" t="s">
        <v>23855</v>
      </c>
      <c r="AZ1229" s="28" t="s">
        <v>164</v>
      </c>
      <c r="BA1229" s="28" t="s">
        <v>165</v>
      </c>
      <c r="BB1229" s="28" t="s">
        <v>23856</v>
      </c>
      <c r="BC1229" s="28" t="s">
        <v>23857</v>
      </c>
      <c r="BD1229" s="33">
        <v>9</v>
      </c>
      <c r="BE1229" s="28" t="s">
        <v>138</v>
      </c>
      <c r="BF1229" s="28" t="s">
        <v>138</v>
      </c>
      <c r="BG1229" s="28" t="s">
        <v>138</v>
      </c>
      <c r="BH1229" s="28" t="s">
        <v>23858</v>
      </c>
      <c r="BI1229" s="28" t="s">
        <v>138</v>
      </c>
      <c r="BJ1229" s="28" t="s">
        <v>138</v>
      </c>
      <c r="BK1229" s="28" t="s">
        <v>138</v>
      </c>
      <c r="BL1229" s="28" t="s">
        <v>138</v>
      </c>
      <c r="BM1229" s="34">
        <v>42339</v>
      </c>
      <c r="BN1229" s="29">
        <v>2.5099999999999998</v>
      </c>
      <c r="BO1229" s="28" t="s">
        <v>172</v>
      </c>
      <c r="BP1229" s="29">
        <v>9.07</v>
      </c>
      <c r="BQ1229" s="28" t="s">
        <v>172</v>
      </c>
      <c r="BR1229" s="28" t="s">
        <v>234</v>
      </c>
      <c r="BS1229" s="28" t="s">
        <v>234</v>
      </c>
      <c r="BT1229" s="28" t="s">
        <v>138</v>
      </c>
      <c r="BU1229" s="28" t="s">
        <v>174</v>
      </c>
      <c r="BV1229" s="28" t="s">
        <v>138</v>
      </c>
      <c r="BW1229" s="28" t="s">
        <v>138</v>
      </c>
      <c r="BX1229" s="28" t="s">
        <v>138</v>
      </c>
      <c r="BY1229" s="28" t="s">
        <v>175</v>
      </c>
      <c r="BZ1229" s="34">
        <v>42339</v>
      </c>
      <c r="CA1229" s="29">
        <v>2.5099999999999998</v>
      </c>
      <c r="CB1229" s="28" t="s">
        <v>172</v>
      </c>
      <c r="CC1229" s="29">
        <v>9.07</v>
      </c>
      <c r="CD1229" s="28" t="s">
        <v>172</v>
      </c>
      <c r="CE1229" s="28" t="s">
        <v>234</v>
      </c>
      <c r="CF1229" s="28" t="s">
        <v>234</v>
      </c>
      <c r="CG1229" s="28" t="s">
        <v>138</v>
      </c>
      <c r="CH1229" s="28" t="s">
        <v>174</v>
      </c>
      <c r="CI1229" s="28" t="s">
        <v>138</v>
      </c>
      <c r="CJ1229" s="28" t="s">
        <v>138</v>
      </c>
      <c r="CK1229" s="28" t="s">
        <v>138</v>
      </c>
      <c r="CL1229" s="28" t="s">
        <v>175</v>
      </c>
      <c r="CM1229" s="34" t="s">
        <v>138</v>
      </c>
      <c r="CN1229" s="29" t="s">
        <v>138</v>
      </c>
      <c r="CO1229" s="35">
        <v>-1.2</v>
      </c>
      <c r="CP1229" s="36">
        <v>9</v>
      </c>
      <c r="CQ1229" s="35">
        <v>0</v>
      </c>
      <c r="CR1229" s="35">
        <v>0.28000000000000003</v>
      </c>
      <c r="CS1229" s="35">
        <v>-2.4900000000000002</v>
      </c>
      <c r="CT1229" s="36">
        <v>7</v>
      </c>
      <c r="CU1229" s="35">
        <v>0.09</v>
      </c>
      <c r="CV1229" s="36">
        <v>66</v>
      </c>
      <c r="CW1229" s="35">
        <v>-4.99</v>
      </c>
      <c r="CX1229" s="36">
        <v>3</v>
      </c>
      <c r="CY1229" s="35">
        <v>0</v>
      </c>
      <c r="CZ1229" s="36">
        <v>25</v>
      </c>
      <c r="DA1229" s="35">
        <v>0.08</v>
      </c>
      <c r="DB1229" s="36">
        <v>69</v>
      </c>
      <c r="DC1229" s="37">
        <v>25</v>
      </c>
      <c r="DD1229" s="36">
        <v>96</v>
      </c>
      <c r="DE1229" s="37">
        <v>-1.51</v>
      </c>
      <c r="DF1229" s="35">
        <v>-5.68</v>
      </c>
      <c r="DG1229" s="37">
        <v>24.37</v>
      </c>
      <c r="DH1229" s="36">
        <v>96</v>
      </c>
      <c r="DI1229" s="37">
        <v>25.62</v>
      </c>
      <c r="DJ1229" s="36">
        <v>92</v>
      </c>
      <c r="DK1229" s="37">
        <v>47.85</v>
      </c>
      <c r="DL1229" s="36">
        <v>96</v>
      </c>
      <c r="DM1229" s="37">
        <v>0.9</v>
      </c>
      <c r="DN1229" s="36">
        <v>47</v>
      </c>
      <c r="DO1229" s="37">
        <v>31.13</v>
      </c>
      <c r="DP1229" s="36">
        <v>95</v>
      </c>
      <c r="DQ1229" s="36">
        <v>16495</v>
      </c>
      <c r="DR1229" s="38">
        <v>-255</v>
      </c>
      <c r="DS1229" s="35">
        <v>-1.52</v>
      </c>
      <c r="DT1229" s="36">
        <v>26</v>
      </c>
      <c r="DU1229" s="38">
        <v>-1</v>
      </c>
      <c r="DV1229" s="35">
        <v>-3.7</v>
      </c>
      <c r="DW1229" s="36">
        <v>11146</v>
      </c>
      <c r="DX1229" s="39">
        <v>7</v>
      </c>
      <c r="DY1229" s="35">
        <v>0.06</v>
      </c>
      <c r="DZ1229" s="28" t="s">
        <v>178</v>
      </c>
      <c r="EA1229" s="34">
        <v>43607</v>
      </c>
      <c r="EB1229" s="29">
        <v>9.07</v>
      </c>
      <c r="EC1229" s="34">
        <v>42339</v>
      </c>
      <c r="ED1229" s="28" t="s">
        <v>234</v>
      </c>
      <c r="EE1229" s="40" t="str">
        <f>HYPERLINK("https://my.pitchbook.com?c=149131-00", "View company online")</f>
        <v>View company online</v>
      </c>
    </row>
    <row r="1230" spans="1:135">
      <c r="A1230" s="15" t="s">
        <v>23859</v>
      </c>
      <c r="B1230" s="15" t="s">
        <v>23860</v>
      </c>
      <c r="C1230" s="15" t="s">
        <v>138</v>
      </c>
      <c r="D1230" s="15" t="s">
        <v>138</v>
      </c>
      <c r="E1230" s="15" t="s">
        <v>23861</v>
      </c>
      <c r="F1230" s="15" t="s">
        <v>23859</v>
      </c>
      <c r="G1230" s="15" t="s">
        <v>23862</v>
      </c>
      <c r="H1230" s="15" t="s">
        <v>238</v>
      </c>
      <c r="I1230" s="15" t="s">
        <v>269</v>
      </c>
      <c r="J1230" s="15" t="s">
        <v>296</v>
      </c>
      <c r="K1230" s="15" t="s">
        <v>2187</v>
      </c>
      <c r="L1230" s="15" t="s">
        <v>7721</v>
      </c>
      <c r="M1230" s="15" t="s">
        <v>23863</v>
      </c>
      <c r="N1230" s="15" t="s">
        <v>147</v>
      </c>
      <c r="O1230" s="17">
        <v>58.72</v>
      </c>
      <c r="P1230" s="15" t="s">
        <v>1473</v>
      </c>
      <c r="Q1230" s="15" t="s">
        <v>149</v>
      </c>
      <c r="R1230" s="15" t="s">
        <v>174</v>
      </c>
      <c r="S1230" s="15" t="s">
        <v>23864</v>
      </c>
      <c r="T1230" s="18" t="s">
        <v>138</v>
      </c>
      <c r="U1230" s="15" t="s">
        <v>138</v>
      </c>
      <c r="V1230" s="15" t="s">
        <v>138</v>
      </c>
      <c r="W1230" s="15" t="s">
        <v>138</v>
      </c>
      <c r="X1230" s="19">
        <v>2013</v>
      </c>
      <c r="Y1230" s="15" t="s">
        <v>138</v>
      </c>
      <c r="Z1230" s="15" t="s">
        <v>138</v>
      </c>
      <c r="AA1230" s="15" t="s">
        <v>138</v>
      </c>
      <c r="AB1230" s="20">
        <v>7.2</v>
      </c>
      <c r="AC1230" s="20">
        <v>3.42</v>
      </c>
      <c r="AD1230" s="20">
        <v>-3.38</v>
      </c>
      <c r="AE1230" s="20" t="s">
        <v>138</v>
      </c>
      <c r="AF1230" s="20">
        <v>-3.3</v>
      </c>
      <c r="AG1230" s="15" t="s">
        <v>419</v>
      </c>
      <c r="AH1230" s="20" t="s">
        <v>138</v>
      </c>
      <c r="AI1230" s="20" t="s">
        <v>138</v>
      </c>
      <c r="AJ1230" s="20" t="s">
        <v>138</v>
      </c>
      <c r="AK1230" s="15" t="s">
        <v>23865</v>
      </c>
      <c r="AL1230" s="15" t="s">
        <v>23866</v>
      </c>
      <c r="AM1230" s="15" t="s">
        <v>916</v>
      </c>
      <c r="AN1230" s="15" t="s">
        <v>23867</v>
      </c>
      <c r="AO1230" s="15" t="s">
        <v>138</v>
      </c>
      <c r="AP1230" s="15" t="s">
        <v>2692</v>
      </c>
      <c r="AQ1230" s="15" t="s">
        <v>23868</v>
      </c>
      <c r="AR1230" s="15" t="s">
        <v>138</v>
      </c>
      <c r="AS1230" s="15" t="s">
        <v>2694</v>
      </c>
      <c r="AT1230" s="15" t="s">
        <v>138</v>
      </c>
      <c r="AU1230" s="15" t="s">
        <v>23869</v>
      </c>
      <c r="AV1230" s="15" t="s">
        <v>1054</v>
      </c>
      <c r="AW1230" s="15" t="s">
        <v>138</v>
      </c>
      <c r="AX1230" s="15" t="s">
        <v>138</v>
      </c>
      <c r="AY1230" s="15" t="s">
        <v>23870</v>
      </c>
      <c r="AZ1230" s="15" t="s">
        <v>530</v>
      </c>
      <c r="BA1230" s="15" t="s">
        <v>531</v>
      </c>
      <c r="BB1230" s="15" t="s">
        <v>23871</v>
      </c>
      <c r="BC1230" s="15" t="s">
        <v>23872</v>
      </c>
      <c r="BD1230" s="21">
        <v>9</v>
      </c>
      <c r="BE1230" s="15" t="s">
        <v>138</v>
      </c>
      <c r="BF1230" s="15" t="s">
        <v>138</v>
      </c>
      <c r="BG1230" s="15" t="s">
        <v>138</v>
      </c>
      <c r="BH1230" s="15" t="s">
        <v>23873</v>
      </c>
      <c r="BI1230" s="15" t="s">
        <v>138</v>
      </c>
      <c r="BJ1230" s="15" t="s">
        <v>138</v>
      </c>
      <c r="BK1230" s="15" t="s">
        <v>23874</v>
      </c>
      <c r="BL1230" s="15" t="s">
        <v>3482</v>
      </c>
      <c r="BM1230" s="22">
        <v>41905</v>
      </c>
      <c r="BN1230" s="17" t="s">
        <v>138</v>
      </c>
      <c r="BO1230" s="15" t="s">
        <v>138</v>
      </c>
      <c r="BP1230" s="17" t="s">
        <v>138</v>
      </c>
      <c r="BQ1230" s="15" t="s">
        <v>138</v>
      </c>
      <c r="BR1230" s="15" t="s">
        <v>316</v>
      </c>
      <c r="BS1230" s="15" t="s">
        <v>138</v>
      </c>
      <c r="BT1230" s="15" t="s">
        <v>138</v>
      </c>
      <c r="BU1230" s="15" t="s">
        <v>174</v>
      </c>
      <c r="BV1230" s="15" t="s">
        <v>138</v>
      </c>
      <c r="BW1230" s="15" t="s">
        <v>138</v>
      </c>
      <c r="BX1230" s="15" t="s">
        <v>138</v>
      </c>
      <c r="BY1230" s="15" t="s">
        <v>175</v>
      </c>
      <c r="BZ1230" s="22">
        <v>43594</v>
      </c>
      <c r="CA1230" s="17">
        <v>38</v>
      </c>
      <c r="CB1230" s="15" t="s">
        <v>172</v>
      </c>
      <c r="CC1230" s="17">
        <v>150</v>
      </c>
      <c r="CD1230" s="15" t="s">
        <v>1178</v>
      </c>
      <c r="CE1230" s="15" t="s">
        <v>173</v>
      </c>
      <c r="CF1230" s="15" t="s">
        <v>720</v>
      </c>
      <c r="CG1230" s="15" t="s">
        <v>138</v>
      </c>
      <c r="CH1230" s="15" t="s">
        <v>174</v>
      </c>
      <c r="CI1230" s="15" t="s">
        <v>138</v>
      </c>
      <c r="CJ1230" s="15" t="s">
        <v>138</v>
      </c>
      <c r="CK1230" s="15" t="s">
        <v>138</v>
      </c>
      <c r="CL1230" s="15" t="s">
        <v>175</v>
      </c>
      <c r="CM1230" s="22" t="s">
        <v>138</v>
      </c>
      <c r="CN1230" s="17" t="s">
        <v>138</v>
      </c>
      <c r="CO1230" s="23">
        <v>0.2</v>
      </c>
      <c r="CP1230" s="24">
        <v>92</v>
      </c>
      <c r="CQ1230" s="23">
        <v>-0.04</v>
      </c>
      <c r="CR1230" s="23">
        <v>-15.5</v>
      </c>
      <c r="CS1230" s="23">
        <v>-0.59</v>
      </c>
      <c r="CT1230" s="24">
        <v>19</v>
      </c>
      <c r="CU1230" s="23">
        <v>0.06</v>
      </c>
      <c r="CV1230" s="24">
        <v>60</v>
      </c>
      <c r="CW1230" s="23" t="s">
        <v>138</v>
      </c>
      <c r="CX1230" s="24" t="s">
        <v>138</v>
      </c>
      <c r="CY1230" s="23">
        <v>-0.59</v>
      </c>
      <c r="CZ1230" s="24">
        <v>22</v>
      </c>
      <c r="DA1230" s="23">
        <v>0.03</v>
      </c>
      <c r="DB1230" s="24">
        <v>60</v>
      </c>
      <c r="DC1230" s="25">
        <v>40.119999999999997</v>
      </c>
      <c r="DD1230" s="24">
        <v>97</v>
      </c>
      <c r="DE1230" s="25">
        <v>0.12</v>
      </c>
      <c r="DF1230" s="23">
        <v>0.28999999999999998</v>
      </c>
      <c r="DG1230" s="25">
        <v>20.41</v>
      </c>
      <c r="DH1230" s="24">
        <v>95</v>
      </c>
      <c r="DI1230" s="25">
        <v>92.95</v>
      </c>
      <c r="DJ1230" s="24">
        <v>97</v>
      </c>
      <c r="DK1230" s="25" t="s">
        <v>138</v>
      </c>
      <c r="DL1230" s="24" t="s">
        <v>138</v>
      </c>
      <c r="DM1230" s="25">
        <v>20.41</v>
      </c>
      <c r="DN1230" s="24">
        <v>94</v>
      </c>
      <c r="DO1230" s="25">
        <v>18.78</v>
      </c>
      <c r="DP1230" s="24">
        <v>92</v>
      </c>
      <c r="DQ1230" s="24" t="s">
        <v>138</v>
      </c>
      <c r="DR1230" s="26" t="s">
        <v>138</v>
      </c>
      <c r="DS1230" s="23" t="s">
        <v>138</v>
      </c>
      <c r="DT1230" s="24">
        <v>591</v>
      </c>
      <c r="DU1230" s="26">
        <v>2</v>
      </c>
      <c r="DV1230" s="23">
        <v>0.34</v>
      </c>
      <c r="DW1230" s="24">
        <v>6721</v>
      </c>
      <c r="DX1230" s="27">
        <v>0</v>
      </c>
      <c r="DY1230" s="23">
        <v>0</v>
      </c>
      <c r="DZ1230" s="15" t="s">
        <v>178</v>
      </c>
      <c r="EA1230" s="22">
        <v>43622</v>
      </c>
      <c r="EB1230" s="17">
        <v>150</v>
      </c>
      <c r="EC1230" s="22">
        <v>43594</v>
      </c>
      <c r="ED1230" s="15" t="s">
        <v>173</v>
      </c>
      <c r="EE1230" s="14" t="str">
        <f>HYPERLINK("https://my.pitchbook.com?c=64233-28", "View company online")</f>
        <v>View company online</v>
      </c>
    </row>
    <row r="1231" spans="1:135">
      <c r="A1231" s="28" t="s">
        <v>23875</v>
      </c>
      <c r="B1231" s="28" t="s">
        <v>23876</v>
      </c>
      <c r="C1231" s="28" t="s">
        <v>138</v>
      </c>
      <c r="D1231" s="28" t="s">
        <v>138</v>
      </c>
      <c r="E1231" s="28" t="s">
        <v>138</v>
      </c>
      <c r="F1231" s="28" t="s">
        <v>23875</v>
      </c>
      <c r="G1231" s="28" t="s">
        <v>23877</v>
      </c>
      <c r="H1231" s="28" t="s">
        <v>141</v>
      </c>
      <c r="I1231" s="28" t="s">
        <v>212</v>
      </c>
      <c r="J1231" s="28" t="s">
        <v>3169</v>
      </c>
      <c r="K1231" s="28" t="s">
        <v>23878</v>
      </c>
      <c r="L1231" s="28" t="s">
        <v>3589</v>
      </c>
      <c r="M1231" s="28" t="s">
        <v>23879</v>
      </c>
      <c r="N1231" s="28" t="s">
        <v>147</v>
      </c>
      <c r="O1231" s="29" t="s">
        <v>138</v>
      </c>
      <c r="P1231" s="28" t="s">
        <v>610</v>
      </c>
      <c r="Q1231" s="28" t="s">
        <v>149</v>
      </c>
      <c r="R1231" s="28" t="s">
        <v>174</v>
      </c>
      <c r="S1231" s="28" t="s">
        <v>23880</v>
      </c>
      <c r="T1231" s="30">
        <v>13</v>
      </c>
      <c r="U1231" s="28" t="s">
        <v>23881</v>
      </c>
      <c r="V1231" s="28" t="s">
        <v>138</v>
      </c>
      <c r="W1231" s="28" t="s">
        <v>138</v>
      </c>
      <c r="X1231" s="31">
        <v>2012</v>
      </c>
      <c r="Y1231" s="28" t="s">
        <v>138</v>
      </c>
      <c r="Z1231" s="28" t="s">
        <v>138</v>
      </c>
      <c r="AA1231" s="28" t="s">
        <v>138</v>
      </c>
      <c r="AB1231" s="32" t="s">
        <v>138</v>
      </c>
      <c r="AC1231" s="32" t="s">
        <v>138</v>
      </c>
      <c r="AD1231" s="32" t="s">
        <v>138</v>
      </c>
      <c r="AE1231" s="32" t="s">
        <v>138</v>
      </c>
      <c r="AF1231" s="32" t="s">
        <v>138</v>
      </c>
      <c r="AG1231" s="28" t="s">
        <v>138</v>
      </c>
      <c r="AH1231" s="32" t="s">
        <v>138</v>
      </c>
      <c r="AI1231" s="32" t="s">
        <v>138</v>
      </c>
      <c r="AJ1231" s="32" t="s">
        <v>138</v>
      </c>
      <c r="AK1231" s="28" t="s">
        <v>23882</v>
      </c>
      <c r="AL1231" s="28" t="s">
        <v>23883</v>
      </c>
      <c r="AM1231" s="28" t="s">
        <v>23884</v>
      </c>
      <c r="AN1231" s="28" t="s">
        <v>23885</v>
      </c>
      <c r="AO1231" s="28" t="s">
        <v>138</v>
      </c>
      <c r="AP1231" s="28" t="s">
        <v>665</v>
      </c>
      <c r="AQ1231" s="28" t="s">
        <v>23886</v>
      </c>
      <c r="AR1231" s="28" t="s">
        <v>138</v>
      </c>
      <c r="AS1231" s="28" t="s">
        <v>668</v>
      </c>
      <c r="AT1231" s="28" t="s">
        <v>200</v>
      </c>
      <c r="AU1231" s="28" t="s">
        <v>691</v>
      </c>
      <c r="AV1231" s="28" t="s">
        <v>162</v>
      </c>
      <c r="AW1231" s="28" t="s">
        <v>138</v>
      </c>
      <c r="AX1231" s="28" t="s">
        <v>138</v>
      </c>
      <c r="AY1231" s="28" t="s">
        <v>23887</v>
      </c>
      <c r="AZ1231" s="28" t="s">
        <v>164</v>
      </c>
      <c r="BA1231" s="28" t="s">
        <v>165</v>
      </c>
      <c r="BB1231" s="28" t="s">
        <v>23888</v>
      </c>
      <c r="BC1231" s="28" t="s">
        <v>23889</v>
      </c>
      <c r="BD1231" s="33">
        <v>17</v>
      </c>
      <c r="BE1231" s="28" t="s">
        <v>138</v>
      </c>
      <c r="BF1231" s="28" t="s">
        <v>138</v>
      </c>
      <c r="BG1231" s="28" t="s">
        <v>138</v>
      </c>
      <c r="BH1231" s="28" t="s">
        <v>23890</v>
      </c>
      <c r="BI1231" s="28" t="s">
        <v>138</v>
      </c>
      <c r="BJ1231" s="28" t="s">
        <v>138</v>
      </c>
      <c r="BK1231" s="28" t="s">
        <v>138</v>
      </c>
      <c r="BL1231" s="28" t="s">
        <v>138</v>
      </c>
      <c r="BM1231" s="34">
        <v>41411</v>
      </c>
      <c r="BN1231" s="29" t="s">
        <v>138</v>
      </c>
      <c r="BO1231" s="28" t="s">
        <v>138</v>
      </c>
      <c r="BP1231" s="29" t="s">
        <v>138</v>
      </c>
      <c r="BQ1231" s="28" t="s">
        <v>138</v>
      </c>
      <c r="BR1231" s="28" t="s">
        <v>205</v>
      </c>
      <c r="BS1231" s="28" t="s">
        <v>138</v>
      </c>
      <c r="BT1231" s="28" t="s">
        <v>138</v>
      </c>
      <c r="BU1231" s="28" t="s">
        <v>174</v>
      </c>
      <c r="BV1231" s="28" t="s">
        <v>138</v>
      </c>
      <c r="BW1231" s="28" t="s">
        <v>138</v>
      </c>
      <c r="BX1231" s="28" t="s">
        <v>138</v>
      </c>
      <c r="BY1231" s="28" t="s">
        <v>175</v>
      </c>
      <c r="BZ1231" s="34">
        <v>41411</v>
      </c>
      <c r="CA1231" s="29" t="s">
        <v>138</v>
      </c>
      <c r="CB1231" s="28" t="s">
        <v>138</v>
      </c>
      <c r="CC1231" s="29" t="s">
        <v>138</v>
      </c>
      <c r="CD1231" s="28" t="s">
        <v>138</v>
      </c>
      <c r="CE1231" s="28" t="s">
        <v>205</v>
      </c>
      <c r="CF1231" s="28" t="s">
        <v>138</v>
      </c>
      <c r="CG1231" s="28" t="s">
        <v>138</v>
      </c>
      <c r="CH1231" s="28" t="s">
        <v>174</v>
      </c>
      <c r="CI1231" s="28" t="s">
        <v>138</v>
      </c>
      <c r="CJ1231" s="28" t="s">
        <v>138</v>
      </c>
      <c r="CK1231" s="28" t="s">
        <v>138</v>
      </c>
      <c r="CL1231" s="28" t="s">
        <v>175</v>
      </c>
      <c r="CM1231" s="34" t="s">
        <v>138</v>
      </c>
      <c r="CN1231" s="29" t="s">
        <v>138</v>
      </c>
      <c r="CO1231" s="35">
        <v>0.61</v>
      </c>
      <c r="CP1231" s="36">
        <v>96</v>
      </c>
      <c r="CQ1231" s="35">
        <v>-0.01</v>
      </c>
      <c r="CR1231" s="35">
        <v>-1.18</v>
      </c>
      <c r="CS1231" s="35">
        <v>0.84</v>
      </c>
      <c r="CT1231" s="36">
        <v>96</v>
      </c>
      <c r="CU1231" s="35">
        <v>0.38</v>
      </c>
      <c r="CV1231" s="36">
        <v>91</v>
      </c>
      <c r="CW1231" s="35">
        <v>2.41</v>
      </c>
      <c r="CX1231" s="36">
        <v>89</v>
      </c>
      <c r="CY1231" s="35">
        <v>-0.73</v>
      </c>
      <c r="CZ1231" s="36">
        <v>21</v>
      </c>
      <c r="DA1231" s="35">
        <v>0.38</v>
      </c>
      <c r="DB1231" s="36">
        <v>91</v>
      </c>
      <c r="DC1231" s="37">
        <v>12.83</v>
      </c>
      <c r="DD1231" s="36">
        <v>92</v>
      </c>
      <c r="DE1231" s="37">
        <v>-0.23</v>
      </c>
      <c r="DF1231" s="35">
        <v>-1.76</v>
      </c>
      <c r="DG1231" s="37">
        <v>17.32</v>
      </c>
      <c r="DH1231" s="36">
        <v>94</v>
      </c>
      <c r="DI1231" s="37">
        <v>8.35</v>
      </c>
      <c r="DJ1231" s="36">
        <v>83</v>
      </c>
      <c r="DK1231" s="37">
        <v>8.6</v>
      </c>
      <c r="DL1231" s="36">
        <v>85</v>
      </c>
      <c r="DM1231" s="37">
        <v>26.03</v>
      </c>
      <c r="DN1231" s="36">
        <v>96</v>
      </c>
      <c r="DO1231" s="37">
        <v>8.35</v>
      </c>
      <c r="DP1231" s="36">
        <v>85</v>
      </c>
      <c r="DQ1231" s="36">
        <v>2962</v>
      </c>
      <c r="DR1231" s="38">
        <v>-41</v>
      </c>
      <c r="DS1231" s="35">
        <v>-1.37</v>
      </c>
      <c r="DT1231" s="36">
        <v>754</v>
      </c>
      <c r="DU1231" s="38">
        <v>0</v>
      </c>
      <c r="DV1231" s="35">
        <v>0</v>
      </c>
      <c r="DW1231" s="36">
        <v>2985</v>
      </c>
      <c r="DX1231" s="39">
        <v>10</v>
      </c>
      <c r="DY1231" s="35">
        <v>0.34</v>
      </c>
      <c r="DZ1231" s="28" t="s">
        <v>178</v>
      </c>
      <c r="EA1231" s="34">
        <v>43607</v>
      </c>
      <c r="EB1231" s="29" t="s">
        <v>138</v>
      </c>
      <c r="EC1231" s="34" t="s">
        <v>138</v>
      </c>
      <c r="ED1231" s="28" t="s">
        <v>138</v>
      </c>
      <c r="EE1231" s="40" t="str">
        <f>HYPERLINK("https://my.pitchbook.com?c=60765-31", "View company online")</f>
        <v>View company online</v>
      </c>
    </row>
    <row r="1232" spans="1:135">
      <c r="A1232" s="15" t="s">
        <v>23891</v>
      </c>
      <c r="B1232" s="15" t="s">
        <v>23892</v>
      </c>
      <c r="C1232" s="15" t="s">
        <v>138</v>
      </c>
      <c r="D1232" s="15" t="s">
        <v>138</v>
      </c>
      <c r="E1232" s="15" t="s">
        <v>23893</v>
      </c>
      <c r="F1232" s="15" t="s">
        <v>23891</v>
      </c>
      <c r="G1232" s="15" t="s">
        <v>23894</v>
      </c>
      <c r="H1232" s="15" t="s">
        <v>141</v>
      </c>
      <c r="I1232" s="15" t="s">
        <v>212</v>
      </c>
      <c r="J1232" s="15" t="s">
        <v>213</v>
      </c>
      <c r="K1232" s="15" t="s">
        <v>1064</v>
      </c>
      <c r="L1232" s="15" t="s">
        <v>12992</v>
      </c>
      <c r="M1232" s="15" t="s">
        <v>23895</v>
      </c>
      <c r="N1232" s="15" t="s">
        <v>147</v>
      </c>
      <c r="O1232" s="17">
        <v>40.119999999999997</v>
      </c>
      <c r="P1232" s="15" t="s">
        <v>148</v>
      </c>
      <c r="Q1232" s="15" t="s">
        <v>149</v>
      </c>
      <c r="R1232" s="15" t="s">
        <v>174</v>
      </c>
      <c r="S1232" s="15" t="s">
        <v>23896</v>
      </c>
      <c r="T1232" s="18">
        <v>100</v>
      </c>
      <c r="U1232" s="15" t="s">
        <v>23897</v>
      </c>
      <c r="V1232" s="15" t="s">
        <v>138</v>
      </c>
      <c r="W1232" s="15" t="s">
        <v>138</v>
      </c>
      <c r="X1232" s="19">
        <v>2013</v>
      </c>
      <c r="Y1232" s="15" t="s">
        <v>138</v>
      </c>
      <c r="Z1232" s="15" t="s">
        <v>138</v>
      </c>
      <c r="AA1232" s="15" t="s">
        <v>138</v>
      </c>
      <c r="AB1232" s="20" t="s">
        <v>138</v>
      </c>
      <c r="AC1232" s="20" t="s">
        <v>138</v>
      </c>
      <c r="AD1232" s="20" t="s">
        <v>138</v>
      </c>
      <c r="AE1232" s="20" t="s">
        <v>138</v>
      </c>
      <c r="AF1232" s="20" t="s">
        <v>138</v>
      </c>
      <c r="AG1232" s="15" t="s">
        <v>138</v>
      </c>
      <c r="AH1232" s="20" t="s">
        <v>138</v>
      </c>
      <c r="AI1232" s="20" t="s">
        <v>138</v>
      </c>
      <c r="AJ1232" s="20" t="s">
        <v>138</v>
      </c>
      <c r="AK1232" s="15" t="s">
        <v>23898</v>
      </c>
      <c r="AL1232" s="15" t="s">
        <v>23899</v>
      </c>
      <c r="AM1232" s="15" t="s">
        <v>221</v>
      </c>
      <c r="AN1232" s="15" t="s">
        <v>23900</v>
      </c>
      <c r="AO1232" s="15" t="s">
        <v>23901</v>
      </c>
      <c r="AP1232" s="15" t="s">
        <v>665</v>
      </c>
      <c r="AQ1232" s="15" t="s">
        <v>23902</v>
      </c>
      <c r="AR1232" s="15" t="s">
        <v>1170</v>
      </c>
      <c r="AS1232" s="15" t="s">
        <v>668</v>
      </c>
      <c r="AT1232" s="15" t="s">
        <v>200</v>
      </c>
      <c r="AU1232" s="15" t="s">
        <v>3557</v>
      </c>
      <c r="AV1232" s="15" t="s">
        <v>162</v>
      </c>
      <c r="AW1232" s="15" t="s">
        <v>23901</v>
      </c>
      <c r="AX1232" s="15" t="s">
        <v>138</v>
      </c>
      <c r="AY1232" s="15" t="s">
        <v>138</v>
      </c>
      <c r="AZ1232" s="15" t="s">
        <v>164</v>
      </c>
      <c r="BA1232" s="15" t="s">
        <v>165</v>
      </c>
      <c r="BB1232" s="15" t="s">
        <v>23903</v>
      </c>
      <c r="BC1232" s="15" t="s">
        <v>23904</v>
      </c>
      <c r="BD1232" s="21">
        <v>23</v>
      </c>
      <c r="BE1232" s="15" t="s">
        <v>138</v>
      </c>
      <c r="BF1232" s="15" t="s">
        <v>138</v>
      </c>
      <c r="BG1232" s="15" t="s">
        <v>138</v>
      </c>
      <c r="BH1232" s="15" t="s">
        <v>23905</v>
      </c>
      <c r="BI1232" s="15" t="s">
        <v>138</v>
      </c>
      <c r="BJ1232" s="15" t="s">
        <v>138</v>
      </c>
      <c r="BK1232" s="15" t="s">
        <v>3482</v>
      </c>
      <c r="BL1232" s="15" t="s">
        <v>3482</v>
      </c>
      <c r="BM1232" s="22">
        <v>41275</v>
      </c>
      <c r="BN1232" s="17">
        <v>0.12</v>
      </c>
      <c r="BO1232" s="15" t="s">
        <v>1178</v>
      </c>
      <c r="BP1232" s="17" t="s">
        <v>138</v>
      </c>
      <c r="BQ1232" s="15" t="s">
        <v>138</v>
      </c>
      <c r="BR1232" s="15" t="s">
        <v>316</v>
      </c>
      <c r="BS1232" s="15" t="s">
        <v>138</v>
      </c>
      <c r="BT1232" s="15" t="s">
        <v>138</v>
      </c>
      <c r="BU1232" s="15" t="s">
        <v>177</v>
      </c>
      <c r="BV1232" s="15" t="s">
        <v>138</v>
      </c>
      <c r="BW1232" s="15" t="s">
        <v>138</v>
      </c>
      <c r="BX1232" s="15" t="s">
        <v>138</v>
      </c>
      <c r="BY1232" s="15" t="s">
        <v>175</v>
      </c>
      <c r="BZ1232" s="22">
        <v>42859</v>
      </c>
      <c r="CA1232" s="17">
        <v>27</v>
      </c>
      <c r="CB1232" s="15" t="s">
        <v>172</v>
      </c>
      <c r="CC1232" s="17">
        <v>157</v>
      </c>
      <c r="CD1232" s="15" t="s">
        <v>172</v>
      </c>
      <c r="CE1232" s="15" t="s">
        <v>205</v>
      </c>
      <c r="CF1232" s="15" t="s">
        <v>720</v>
      </c>
      <c r="CG1232" s="15" t="s">
        <v>138</v>
      </c>
      <c r="CH1232" s="15" t="s">
        <v>174</v>
      </c>
      <c r="CI1232" s="15" t="s">
        <v>138</v>
      </c>
      <c r="CJ1232" s="15" t="s">
        <v>138</v>
      </c>
      <c r="CK1232" s="15" t="s">
        <v>138</v>
      </c>
      <c r="CL1232" s="15" t="s">
        <v>175</v>
      </c>
      <c r="CM1232" s="22" t="s">
        <v>138</v>
      </c>
      <c r="CN1232" s="17" t="s">
        <v>138</v>
      </c>
      <c r="CO1232" s="23">
        <v>0.41</v>
      </c>
      <c r="CP1232" s="24">
        <v>95</v>
      </c>
      <c r="CQ1232" s="23">
        <v>-0.11</v>
      </c>
      <c r="CR1232" s="23">
        <v>-21.32</v>
      </c>
      <c r="CS1232" s="23">
        <v>0.66</v>
      </c>
      <c r="CT1232" s="24">
        <v>96</v>
      </c>
      <c r="CU1232" s="23">
        <v>0.16</v>
      </c>
      <c r="CV1232" s="24">
        <v>76</v>
      </c>
      <c r="CW1232" s="23">
        <v>1.05</v>
      </c>
      <c r="CX1232" s="24">
        <v>85</v>
      </c>
      <c r="CY1232" s="23">
        <v>0.27</v>
      </c>
      <c r="CZ1232" s="24">
        <v>98</v>
      </c>
      <c r="DA1232" s="23">
        <v>0.16</v>
      </c>
      <c r="DB1232" s="24">
        <v>79</v>
      </c>
      <c r="DC1232" s="25">
        <v>27.03</v>
      </c>
      <c r="DD1232" s="24">
        <v>96</v>
      </c>
      <c r="DE1232" s="25">
        <v>-2.74</v>
      </c>
      <c r="DF1232" s="23">
        <v>-9.19</v>
      </c>
      <c r="DG1232" s="25">
        <v>44.77</v>
      </c>
      <c r="DH1232" s="24">
        <v>98</v>
      </c>
      <c r="DI1232" s="25">
        <v>9.2899999999999991</v>
      </c>
      <c r="DJ1232" s="24">
        <v>84</v>
      </c>
      <c r="DK1232" s="25">
        <v>85.91</v>
      </c>
      <c r="DL1232" s="24">
        <v>97</v>
      </c>
      <c r="DM1232" s="25">
        <v>3.62</v>
      </c>
      <c r="DN1232" s="24">
        <v>77</v>
      </c>
      <c r="DO1232" s="25">
        <v>9.2899999999999991</v>
      </c>
      <c r="DP1232" s="24">
        <v>86</v>
      </c>
      <c r="DQ1232" s="24">
        <v>29204</v>
      </c>
      <c r="DR1232" s="26">
        <v>789</v>
      </c>
      <c r="DS1232" s="23">
        <v>2.78</v>
      </c>
      <c r="DT1232" s="24">
        <v>105</v>
      </c>
      <c r="DU1232" s="26">
        <v>-1</v>
      </c>
      <c r="DV1232" s="23">
        <v>-0.94</v>
      </c>
      <c r="DW1232" s="24">
        <v>3322</v>
      </c>
      <c r="DX1232" s="27">
        <v>5</v>
      </c>
      <c r="DY1232" s="23">
        <v>0.15</v>
      </c>
      <c r="DZ1232" s="15" t="s">
        <v>178</v>
      </c>
      <c r="EA1232" s="22">
        <v>43619</v>
      </c>
      <c r="EB1232" s="17">
        <v>157</v>
      </c>
      <c r="EC1232" s="22">
        <v>42859</v>
      </c>
      <c r="ED1232" s="15" t="s">
        <v>205</v>
      </c>
      <c r="EE1232" s="14" t="str">
        <f>HYPERLINK("https://my.pitchbook.com?c=56612-62", "View company online")</f>
        <v>View company online</v>
      </c>
    </row>
    <row r="1233" spans="1:135">
      <c r="A1233" s="28" t="s">
        <v>23906</v>
      </c>
      <c r="B1233" s="28" t="s">
        <v>23907</v>
      </c>
      <c r="C1233" s="28" t="s">
        <v>23908</v>
      </c>
      <c r="D1233" s="28" t="s">
        <v>138</v>
      </c>
      <c r="E1233" s="28" t="s">
        <v>138</v>
      </c>
      <c r="F1233" s="28" t="s">
        <v>23906</v>
      </c>
      <c r="G1233" s="28" t="s">
        <v>23909</v>
      </c>
      <c r="H1233" s="28" t="s">
        <v>183</v>
      </c>
      <c r="I1233" s="28" t="s">
        <v>725</v>
      </c>
      <c r="J1233" s="28" t="s">
        <v>726</v>
      </c>
      <c r="K1233" s="28" t="s">
        <v>23910</v>
      </c>
      <c r="L1233" s="28" t="s">
        <v>23911</v>
      </c>
      <c r="M1233" s="28" t="s">
        <v>23912</v>
      </c>
      <c r="N1233" s="28" t="s">
        <v>147</v>
      </c>
      <c r="O1233" s="29">
        <v>18</v>
      </c>
      <c r="P1233" s="28" t="s">
        <v>148</v>
      </c>
      <c r="Q1233" s="28" t="s">
        <v>149</v>
      </c>
      <c r="R1233" s="28" t="s">
        <v>174</v>
      </c>
      <c r="S1233" s="28" t="s">
        <v>23913</v>
      </c>
      <c r="T1233" s="30">
        <v>50</v>
      </c>
      <c r="U1233" s="28" t="s">
        <v>20542</v>
      </c>
      <c r="V1233" s="28" t="s">
        <v>138</v>
      </c>
      <c r="W1233" s="28" t="s">
        <v>138</v>
      </c>
      <c r="X1233" s="31">
        <v>2013</v>
      </c>
      <c r="Y1233" s="28" t="s">
        <v>138</v>
      </c>
      <c r="Z1233" s="28" t="s">
        <v>138</v>
      </c>
      <c r="AA1233" s="28" t="s">
        <v>138</v>
      </c>
      <c r="AB1233" s="32" t="s">
        <v>138</v>
      </c>
      <c r="AC1233" s="32" t="s">
        <v>138</v>
      </c>
      <c r="AD1233" s="32" t="s">
        <v>138</v>
      </c>
      <c r="AE1233" s="32" t="s">
        <v>138</v>
      </c>
      <c r="AF1233" s="32" t="s">
        <v>138</v>
      </c>
      <c r="AG1233" s="28" t="s">
        <v>138</v>
      </c>
      <c r="AH1233" s="32" t="s">
        <v>138</v>
      </c>
      <c r="AI1233" s="32" t="s">
        <v>138</v>
      </c>
      <c r="AJ1233" s="32" t="s">
        <v>138</v>
      </c>
      <c r="AK1233" s="28" t="s">
        <v>23914</v>
      </c>
      <c r="AL1233" s="28" t="s">
        <v>23915</v>
      </c>
      <c r="AM1233" s="28" t="s">
        <v>986</v>
      </c>
      <c r="AN1233" s="28" t="s">
        <v>23916</v>
      </c>
      <c r="AO1233" s="28" t="s">
        <v>23917</v>
      </c>
      <c r="AP1233" s="28" t="s">
        <v>5697</v>
      </c>
      <c r="AQ1233" s="28" t="s">
        <v>23918</v>
      </c>
      <c r="AR1233" s="28" t="s">
        <v>138</v>
      </c>
      <c r="AS1233" s="28" t="s">
        <v>5700</v>
      </c>
      <c r="AT1233" s="28" t="s">
        <v>138</v>
      </c>
      <c r="AU1233" s="28" t="s">
        <v>23919</v>
      </c>
      <c r="AV1233" s="28" t="s">
        <v>740</v>
      </c>
      <c r="AW1233" s="28" t="s">
        <v>23917</v>
      </c>
      <c r="AX1233" s="28" t="s">
        <v>138</v>
      </c>
      <c r="AY1233" s="28" t="s">
        <v>138</v>
      </c>
      <c r="AZ1233" s="28" t="s">
        <v>742</v>
      </c>
      <c r="BA1233" s="28" t="s">
        <v>742</v>
      </c>
      <c r="BB1233" s="28" t="s">
        <v>23920</v>
      </c>
      <c r="BC1233" s="28" t="s">
        <v>23921</v>
      </c>
      <c r="BD1233" s="33">
        <v>5</v>
      </c>
      <c r="BE1233" s="28" t="s">
        <v>138</v>
      </c>
      <c r="BF1233" s="28" t="s">
        <v>138</v>
      </c>
      <c r="BG1233" s="28" t="s">
        <v>138</v>
      </c>
      <c r="BH1233" s="28" t="s">
        <v>23922</v>
      </c>
      <c r="BI1233" s="28" t="s">
        <v>138</v>
      </c>
      <c r="BJ1233" s="28" t="s">
        <v>138</v>
      </c>
      <c r="BK1233" s="28" t="s">
        <v>138</v>
      </c>
      <c r="BL1233" s="28" t="s">
        <v>138</v>
      </c>
      <c r="BM1233" s="34">
        <v>41426</v>
      </c>
      <c r="BN1233" s="29">
        <v>0.05</v>
      </c>
      <c r="BO1233" s="28" t="s">
        <v>172</v>
      </c>
      <c r="BP1233" s="29" t="s">
        <v>138</v>
      </c>
      <c r="BQ1233" s="28" t="s">
        <v>138</v>
      </c>
      <c r="BR1233" s="28" t="s">
        <v>176</v>
      </c>
      <c r="BS1233" s="28" t="s">
        <v>138</v>
      </c>
      <c r="BT1233" s="28" t="s">
        <v>138</v>
      </c>
      <c r="BU1233" s="28" t="s">
        <v>177</v>
      </c>
      <c r="BV1233" s="28" t="s">
        <v>138</v>
      </c>
      <c r="BW1233" s="28" t="s">
        <v>138</v>
      </c>
      <c r="BX1233" s="28" t="s">
        <v>138</v>
      </c>
      <c r="BY1233" s="28" t="s">
        <v>175</v>
      </c>
      <c r="BZ1233" s="34">
        <v>43501</v>
      </c>
      <c r="CA1233" s="29">
        <v>18</v>
      </c>
      <c r="CB1233" s="28" t="s">
        <v>172</v>
      </c>
      <c r="CC1233" s="29" t="s">
        <v>138</v>
      </c>
      <c r="CD1233" s="28" t="s">
        <v>138</v>
      </c>
      <c r="CE1233" s="28" t="s">
        <v>173</v>
      </c>
      <c r="CF1233" s="28" t="s">
        <v>720</v>
      </c>
      <c r="CG1233" s="28" t="s">
        <v>138</v>
      </c>
      <c r="CH1233" s="28" t="s">
        <v>174</v>
      </c>
      <c r="CI1233" s="28" t="s">
        <v>138</v>
      </c>
      <c r="CJ1233" s="28" t="s">
        <v>138</v>
      </c>
      <c r="CK1233" s="28" t="s">
        <v>138</v>
      </c>
      <c r="CL1233" s="28" t="s">
        <v>175</v>
      </c>
      <c r="CM1233" s="34" t="s">
        <v>138</v>
      </c>
      <c r="CN1233" s="29" t="s">
        <v>138</v>
      </c>
      <c r="CO1233" s="35">
        <v>1.88</v>
      </c>
      <c r="CP1233" s="36">
        <v>99</v>
      </c>
      <c r="CQ1233" s="35">
        <v>1.88</v>
      </c>
      <c r="CR1233" s="35">
        <v>0</v>
      </c>
      <c r="CS1233" s="35">
        <v>0</v>
      </c>
      <c r="CT1233" s="36">
        <v>23</v>
      </c>
      <c r="CU1233" s="35">
        <v>3.75</v>
      </c>
      <c r="CV1233" s="36">
        <v>100</v>
      </c>
      <c r="CW1233" s="35" t="s">
        <v>138</v>
      </c>
      <c r="CX1233" s="36" t="s">
        <v>138</v>
      </c>
      <c r="CY1233" s="35">
        <v>0</v>
      </c>
      <c r="CZ1233" s="36">
        <v>25</v>
      </c>
      <c r="DA1233" s="35">
        <v>3.75</v>
      </c>
      <c r="DB1233" s="36">
        <v>100</v>
      </c>
      <c r="DC1233" s="37">
        <v>0.61</v>
      </c>
      <c r="DD1233" s="36">
        <v>39</v>
      </c>
      <c r="DE1233" s="37">
        <v>-0.01</v>
      </c>
      <c r="DF1233" s="35">
        <v>-1.62</v>
      </c>
      <c r="DG1233" s="37">
        <v>0.62</v>
      </c>
      <c r="DH1233" s="36">
        <v>39</v>
      </c>
      <c r="DI1233" s="37">
        <v>0.6</v>
      </c>
      <c r="DJ1233" s="36">
        <v>40</v>
      </c>
      <c r="DK1233" s="37" t="s">
        <v>138</v>
      </c>
      <c r="DL1233" s="36" t="s">
        <v>138</v>
      </c>
      <c r="DM1233" s="37">
        <v>0.62</v>
      </c>
      <c r="DN1233" s="36">
        <v>39</v>
      </c>
      <c r="DO1233" s="37">
        <v>0.6</v>
      </c>
      <c r="DP1233" s="36">
        <v>41</v>
      </c>
      <c r="DQ1233" s="36" t="s">
        <v>138</v>
      </c>
      <c r="DR1233" s="38" t="s">
        <v>138</v>
      </c>
      <c r="DS1233" s="35" t="s">
        <v>138</v>
      </c>
      <c r="DT1233" s="36">
        <v>18</v>
      </c>
      <c r="DU1233" s="38">
        <v>0</v>
      </c>
      <c r="DV1233" s="35">
        <v>0</v>
      </c>
      <c r="DW1233" s="36">
        <v>210</v>
      </c>
      <c r="DX1233" s="39">
        <v>21</v>
      </c>
      <c r="DY1233" s="35">
        <v>11.11</v>
      </c>
      <c r="DZ1233" s="28" t="s">
        <v>178</v>
      </c>
      <c r="EA1233" s="34">
        <v>43502</v>
      </c>
      <c r="EB1233" s="29" t="s">
        <v>138</v>
      </c>
      <c r="EC1233" s="34" t="s">
        <v>138</v>
      </c>
      <c r="ED1233" s="28" t="s">
        <v>138</v>
      </c>
      <c r="EE1233" s="40" t="str">
        <f>HYPERLINK("https://my.pitchbook.com?c=158963-50", "View company online")</f>
        <v>View company online</v>
      </c>
    </row>
    <row r="1234" spans="1:135">
      <c r="A1234" s="15" t="s">
        <v>23923</v>
      </c>
      <c r="B1234" s="15" t="s">
        <v>23924</v>
      </c>
      <c r="C1234" s="15" t="s">
        <v>23925</v>
      </c>
      <c r="D1234" s="15" t="s">
        <v>23926</v>
      </c>
      <c r="E1234" s="15" t="s">
        <v>23927</v>
      </c>
      <c r="F1234" s="15" t="s">
        <v>23923</v>
      </c>
      <c r="G1234" s="15" t="s">
        <v>23928</v>
      </c>
      <c r="H1234" s="15" t="s">
        <v>238</v>
      </c>
      <c r="I1234" s="15" t="s">
        <v>239</v>
      </c>
      <c r="J1234" s="15" t="s">
        <v>2578</v>
      </c>
      <c r="K1234" s="15" t="s">
        <v>23929</v>
      </c>
      <c r="L1234" s="15" t="s">
        <v>17714</v>
      </c>
      <c r="M1234" s="15" t="s">
        <v>23930</v>
      </c>
      <c r="N1234" s="15" t="s">
        <v>1452</v>
      </c>
      <c r="O1234" s="17">
        <v>295</v>
      </c>
      <c r="P1234" s="15" t="s">
        <v>148</v>
      </c>
      <c r="Q1234" s="15" t="s">
        <v>149</v>
      </c>
      <c r="R1234" s="15" t="s">
        <v>1652</v>
      </c>
      <c r="S1234" s="15" t="s">
        <v>23931</v>
      </c>
      <c r="T1234" s="18">
        <v>285</v>
      </c>
      <c r="U1234" s="15" t="s">
        <v>23932</v>
      </c>
      <c r="V1234" s="15" t="s">
        <v>138</v>
      </c>
      <c r="W1234" s="15" t="s">
        <v>138</v>
      </c>
      <c r="X1234" s="19">
        <v>2006</v>
      </c>
      <c r="Y1234" s="15" t="s">
        <v>138</v>
      </c>
      <c r="Z1234" s="15" t="s">
        <v>138</v>
      </c>
      <c r="AA1234" s="15" t="s">
        <v>138</v>
      </c>
      <c r="AB1234" s="20">
        <v>21</v>
      </c>
      <c r="AC1234" s="20" t="s">
        <v>138</v>
      </c>
      <c r="AD1234" s="20" t="s">
        <v>138</v>
      </c>
      <c r="AE1234" s="20" t="s">
        <v>138</v>
      </c>
      <c r="AF1234" s="20" t="s">
        <v>138</v>
      </c>
      <c r="AG1234" s="15" t="s">
        <v>633</v>
      </c>
      <c r="AH1234" s="20" t="s">
        <v>138</v>
      </c>
      <c r="AI1234" s="20" t="s">
        <v>138</v>
      </c>
      <c r="AJ1234" s="20" t="s">
        <v>138</v>
      </c>
      <c r="AK1234" s="15" t="s">
        <v>23933</v>
      </c>
      <c r="AL1234" s="15" t="s">
        <v>23934</v>
      </c>
      <c r="AM1234" s="15" t="s">
        <v>566</v>
      </c>
      <c r="AN1234" s="15" t="s">
        <v>23935</v>
      </c>
      <c r="AO1234" s="15" t="s">
        <v>23936</v>
      </c>
      <c r="AP1234" s="15" t="s">
        <v>665</v>
      </c>
      <c r="AQ1234" s="15" t="s">
        <v>6997</v>
      </c>
      <c r="AR1234" s="15" t="s">
        <v>138</v>
      </c>
      <c r="AS1234" s="15" t="s">
        <v>668</v>
      </c>
      <c r="AT1234" s="15" t="s">
        <v>200</v>
      </c>
      <c r="AU1234" s="15" t="s">
        <v>3557</v>
      </c>
      <c r="AV1234" s="15" t="s">
        <v>162</v>
      </c>
      <c r="AW1234" s="15" t="s">
        <v>23936</v>
      </c>
      <c r="AX1234" s="15" t="s">
        <v>138</v>
      </c>
      <c r="AY1234" s="15" t="s">
        <v>23937</v>
      </c>
      <c r="AZ1234" s="15" t="s">
        <v>164</v>
      </c>
      <c r="BA1234" s="15" t="s">
        <v>165</v>
      </c>
      <c r="BB1234" s="15" t="s">
        <v>23938</v>
      </c>
      <c r="BC1234" s="15" t="s">
        <v>23939</v>
      </c>
      <c r="BD1234" s="21">
        <v>1</v>
      </c>
      <c r="BE1234" s="15" t="s">
        <v>138</v>
      </c>
      <c r="BF1234" s="15" t="s">
        <v>23940</v>
      </c>
      <c r="BG1234" s="15" t="s">
        <v>138</v>
      </c>
      <c r="BH1234" s="15" t="s">
        <v>23941</v>
      </c>
      <c r="BI1234" s="15" t="s">
        <v>23942</v>
      </c>
      <c r="BJ1234" s="15" t="s">
        <v>138</v>
      </c>
      <c r="BK1234" s="15" t="s">
        <v>23943</v>
      </c>
      <c r="BL1234" s="15" t="s">
        <v>23944</v>
      </c>
      <c r="BM1234" s="22">
        <v>38730</v>
      </c>
      <c r="BN1234" s="17">
        <v>20.5</v>
      </c>
      <c r="BO1234" s="15" t="s">
        <v>172</v>
      </c>
      <c r="BP1234" s="17">
        <v>33.159999999999997</v>
      </c>
      <c r="BQ1234" s="15" t="s">
        <v>172</v>
      </c>
      <c r="BR1234" s="15" t="s">
        <v>205</v>
      </c>
      <c r="BS1234" s="15" t="s">
        <v>206</v>
      </c>
      <c r="BT1234" s="15" t="s">
        <v>138</v>
      </c>
      <c r="BU1234" s="15" t="s">
        <v>174</v>
      </c>
      <c r="BV1234" s="15" t="s">
        <v>138</v>
      </c>
      <c r="BW1234" s="15" t="s">
        <v>138</v>
      </c>
      <c r="BX1234" s="15" t="s">
        <v>138</v>
      </c>
      <c r="BY1234" s="15" t="s">
        <v>175</v>
      </c>
      <c r="BZ1234" s="22">
        <v>43405</v>
      </c>
      <c r="CA1234" s="17">
        <v>137</v>
      </c>
      <c r="CB1234" s="15" t="s">
        <v>172</v>
      </c>
      <c r="CC1234" s="17" t="s">
        <v>138</v>
      </c>
      <c r="CD1234" s="15" t="s">
        <v>138</v>
      </c>
      <c r="CE1234" s="15" t="s">
        <v>1326</v>
      </c>
      <c r="CF1234" s="15" t="s">
        <v>138</v>
      </c>
      <c r="CG1234" s="15" t="s">
        <v>138</v>
      </c>
      <c r="CH1234" s="15" t="s">
        <v>1327</v>
      </c>
      <c r="CI1234" s="15" t="s">
        <v>1497</v>
      </c>
      <c r="CJ1234" s="15" t="s">
        <v>138</v>
      </c>
      <c r="CK1234" s="15" t="s">
        <v>138</v>
      </c>
      <c r="CL1234" s="15" t="s">
        <v>175</v>
      </c>
      <c r="CM1234" s="22">
        <v>43405</v>
      </c>
      <c r="CN1234" s="17">
        <v>137</v>
      </c>
      <c r="CO1234" s="23">
        <v>1.37</v>
      </c>
      <c r="CP1234" s="24">
        <v>98</v>
      </c>
      <c r="CQ1234" s="23">
        <v>-0.02</v>
      </c>
      <c r="CR1234" s="23">
        <v>-1.48</v>
      </c>
      <c r="CS1234" s="23">
        <v>1.2</v>
      </c>
      <c r="CT1234" s="24">
        <v>97</v>
      </c>
      <c r="CU1234" s="23">
        <v>0.27</v>
      </c>
      <c r="CV1234" s="24">
        <v>86</v>
      </c>
      <c r="CW1234" s="23">
        <v>2.09</v>
      </c>
      <c r="CX1234" s="24">
        <v>88</v>
      </c>
      <c r="CY1234" s="23">
        <v>0.32</v>
      </c>
      <c r="CZ1234" s="24">
        <v>98</v>
      </c>
      <c r="DA1234" s="23">
        <v>0.31</v>
      </c>
      <c r="DB1234" s="24">
        <v>89</v>
      </c>
      <c r="DC1234" s="25">
        <v>7142</v>
      </c>
      <c r="DD1234" s="24">
        <v>100</v>
      </c>
      <c r="DE1234" s="25">
        <v>-815.27</v>
      </c>
      <c r="DF1234" s="23">
        <v>-10.25</v>
      </c>
      <c r="DG1234" s="25">
        <v>21248.76</v>
      </c>
      <c r="DH1234" s="24">
        <v>100</v>
      </c>
      <c r="DI1234" s="25">
        <v>170.91</v>
      </c>
      <c r="DJ1234" s="24">
        <v>98</v>
      </c>
      <c r="DK1234" s="25">
        <v>38470.35</v>
      </c>
      <c r="DL1234" s="24">
        <v>100</v>
      </c>
      <c r="DM1234" s="25">
        <v>4027.17</v>
      </c>
      <c r="DN1234" s="24">
        <v>100</v>
      </c>
      <c r="DO1234" s="25">
        <v>118.64</v>
      </c>
      <c r="DP1234" s="24">
        <v>98</v>
      </c>
      <c r="DQ1234" s="24">
        <v>13091277</v>
      </c>
      <c r="DR1234" s="26">
        <v>312157</v>
      </c>
      <c r="DS1234" s="23">
        <v>2.44</v>
      </c>
      <c r="DT1234" s="24">
        <v>116279</v>
      </c>
      <c r="DU1234" s="26">
        <v>1288</v>
      </c>
      <c r="DV1234" s="23">
        <v>1.1200000000000001</v>
      </c>
      <c r="DW1234" s="24">
        <v>42412</v>
      </c>
      <c r="DX1234" s="27">
        <v>154</v>
      </c>
      <c r="DY1234" s="23">
        <v>0.36</v>
      </c>
      <c r="DZ1234" s="15" t="s">
        <v>178</v>
      </c>
      <c r="EA1234" s="22">
        <v>43567</v>
      </c>
      <c r="EB1234" s="17">
        <v>73.849999999999994</v>
      </c>
      <c r="EC1234" s="22">
        <v>39280</v>
      </c>
      <c r="ED1234" s="15" t="s">
        <v>205</v>
      </c>
      <c r="EE1234" s="14" t="str">
        <f>HYPERLINK("https://my.pitchbook.com?c=51708-52", "View company online")</f>
        <v>View company online</v>
      </c>
    </row>
    <row r="1235" spans="1:135">
      <c r="A1235" s="28" t="s">
        <v>23945</v>
      </c>
      <c r="B1235" s="28" t="s">
        <v>23946</v>
      </c>
      <c r="C1235" s="28" t="s">
        <v>23947</v>
      </c>
      <c r="D1235" s="28" t="s">
        <v>138</v>
      </c>
      <c r="E1235" s="28" t="s">
        <v>23948</v>
      </c>
      <c r="F1235" s="28" t="s">
        <v>23945</v>
      </c>
      <c r="G1235" s="28" t="s">
        <v>23949</v>
      </c>
      <c r="H1235" s="28" t="s">
        <v>322</v>
      </c>
      <c r="I1235" s="28" t="s">
        <v>323</v>
      </c>
      <c r="J1235" s="28" t="s">
        <v>413</v>
      </c>
      <c r="K1235" s="28" t="s">
        <v>3388</v>
      </c>
      <c r="L1235" s="28" t="s">
        <v>23950</v>
      </c>
      <c r="M1235" s="28" t="s">
        <v>23951</v>
      </c>
      <c r="N1235" s="28" t="s">
        <v>147</v>
      </c>
      <c r="O1235" s="29">
        <v>25.14</v>
      </c>
      <c r="P1235" s="28" t="s">
        <v>148</v>
      </c>
      <c r="Q1235" s="28" t="s">
        <v>149</v>
      </c>
      <c r="R1235" s="28" t="s">
        <v>174</v>
      </c>
      <c r="S1235" s="28" t="s">
        <v>23952</v>
      </c>
      <c r="T1235" s="30">
        <v>600</v>
      </c>
      <c r="U1235" s="28" t="s">
        <v>23953</v>
      </c>
      <c r="V1235" s="28" t="s">
        <v>138</v>
      </c>
      <c r="W1235" s="28" t="s">
        <v>138</v>
      </c>
      <c r="X1235" s="31">
        <v>2012</v>
      </c>
      <c r="Y1235" s="28" t="s">
        <v>138</v>
      </c>
      <c r="Z1235" s="28" t="s">
        <v>138</v>
      </c>
      <c r="AA1235" s="28" t="s">
        <v>138</v>
      </c>
      <c r="AB1235" s="32">
        <v>4.5</v>
      </c>
      <c r="AC1235" s="32" t="s">
        <v>138</v>
      </c>
      <c r="AD1235" s="32" t="s">
        <v>138</v>
      </c>
      <c r="AE1235" s="32" t="s">
        <v>138</v>
      </c>
      <c r="AF1235" s="32" t="s">
        <v>138</v>
      </c>
      <c r="AG1235" s="28" t="s">
        <v>419</v>
      </c>
      <c r="AH1235" s="32" t="s">
        <v>138</v>
      </c>
      <c r="AI1235" s="32" t="s">
        <v>138</v>
      </c>
      <c r="AJ1235" s="32" t="s">
        <v>138</v>
      </c>
      <c r="AK1235" s="28" t="s">
        <v>23954</v>
      </c>
      <c r="AL1235" s="28" t="s">
        <v>23955</v>
      </c>
      <c r="AM1235" s="28" t="s">
        <v>304</v>
      </c>
      <c r="AN1235" s="28" t="s">
        <v>23956</v>
      </c>
      <c r="AO1235" s="28" t="s">
        <v>138</v>
      </c>
      <c r="AP1235" s="28" t="s">
        <v>2327</v>
      </c>
      <c r="AQ1235" s="28" t="s">
        <v>23957</v>
      </c>
      <c r="AR1235" s="28" t="s">
        <v>23958</v>
      </c>
      <c r="AS1235" s="28" t="s">
        <v>2330</v>
      </c>
      <c r="AT1235" s="28" t="s">
        <v>2331</v>
      </c>
      <c r="AU1235" s="28" t="s">
        <v>23959</v>
      </c>
      <c r="AV1235" s="28" t="s">
        <v>2333</v>
      </c>
      <c r="AW1235" s="28" t="s">
        <v>138</v>
      </c>
      <c r="AX1235" s="28" t="s">
        <v>138</v>
      </c>
      <c r="AY1235" s="28" t="s">
        <v>23960</v>
      </c>
      <c r="AZ1235" s="28" t="s">
        <v>452</v>
      </c>
      <c r="BA1235" s="28" t="s">
        <v>2335</v>
      </c>
      <c r="BB1235" s="28" t="s">
        <v>23961</v>
      </c>
      <c r="BC1235" s="28" t="s">
        <v>23962</v>
      </c>
      <c r="BD1235" s="33">
        <v>24</v>
      </c>
      <c r="BE1235" s="28" t="s">
        <v>138</v>
      </c>
      <c r="BF1235" s="28" t="s">
        <v>138</v>
      </c>
      <c r="BG1235" s="28" t="s">
        <v>138</v>
      </c>
      <c r="BH1235" s="28" t="s">
        <v>23963</v>
      </c>
      <c r="BI1235" s="28" t="s">
        <v>138</v>
      </c>
      <c r="BJ1235" s="28" t="s">
        <v>138</v>
      </c>
      <c r="BK1235" s="28" t="s">
        <v>1251</v>
      </c>
      <c r="BL1235" s="28" t="s">
        <v>23964</v>
      </c>
      <c r="BM1235" s="34">
        <v>40909</v>
      </c>
      <c r="BN1235" s="29">
        <v>0.25</v>
      </c>
      <c r="BO1235" s="28" t="s">
        <v>172</v>
      </c>
      <c r="BP1235" s="29" t="s">
        <v>138</v>
      </c>
      <c r="BQ1235" s="28" t="s">
        <v>138</v>
      </c>
      <c r="BR1235" s="28" t="s">
        <v>262</v>
      </c>
      <c r="BS1235" s="28" t="s">
        <v>262</v>
      </c>
      <c r="BT1235" s="28" t="s">
        <v>138</v>
      </c>
      <c r="BU1235" s="28" t="s">
        <v>263</v>
      </c>
      <c r="BV1235" s="28" t="s">
        <v>138</v>
      </c>
      <c r="BW1235" s="28" t="s">
        <v>138</v>
      </c>
      <c r="BX1235" s="28" t="s">
        <v>138</v>
      </c>
      <c r="BY1235" s="28" t="s">
        <v>175</v>
      </c>
      <c r="BZ1235" s="34">
        <v>43423</v>
      </c>
      <c r="CA1235" s="29">
        <v>18</v>
      </c>
      <c r="CB1235" s="28" t="s">
        <v>172</v>
      </c>
      <c r="CC1235" s="29" t="s">
        <v>138</v>
      </c>
      <c r="CD1235" s="28" t="s">
        <v>138</v>
      </c>
      <c r="CE1235" s="28" t="s">
        <v>205</v>
      </c>
      <c r="CF1235" s="28" t="s">
        <v>720</v>
      </c>
      <c r="CG1235" s="28" t="s">
        <v>138</v>
      </c>
      <c r="CH1235" s="28" t="s">
        <v>174</v>
      </c>
      <c r="CI1235" s="28" t="s">
        <v>138</v>
      </c>
      <c r="CJ1235" s="28" t="s">
        <v>138</v>
      </c>
      <c r="CK1235" s="28" t="s">
        <v>138</v>
      </c>
      <c r="CL1235" s="28" t="s">
        <v>175</v>
      </c>
      <c r="CM1235" s="34" t="s">
        <v>138</v>
      </c>
      <c r="CN1235" s="29" t="s">
        <v>138</v>
      </c>
      <c r="CO1235" s="35">
        <v>1.61</v>
      </c>
      <c r="CP1235" s="36">
        <v>98</v>
      </c>
      <c r="CQ1235" s="35">
        <v>-7.0000000000000007E-2</v>
      </c>
      <c r="CR1235" s="35">
        <v>-4.01</v>
      </c>
      <c r="CS1235" s="35">
        <v>3.39</v>
      </c>
      <c r="CT1235" s="36">
        <v>99</v>
      </c>
      <c r="CU1235" s="35">
        <v>0.13</v>
      </c>
      <c r="CV1235" s="36">
        <v>73</v>
      </c>
      <c r="CW1235" s="35">
        <v>6.27</v>
      </c>
      <c r="CX1235" s="36">
        <v>97</v>
      </c>
      <c r="CY1235" s="35">
        <v>0.51</v>
      </c>
      <c r="CZ1235" s="36">
        <v>98</v>
      </c>
      <c r="DA1235" s="35">
        <v>0.13</v>
      </c>
      <c r="DB1235" s="36">
        <v>76</v>
      </c>
      <c r="DC1235" s="37">
        <v>5.93</v>
      </c>
      <c r="DD1235" s="36">
        <v>85</v>
      </c>
      <c r="DE1235" s="37">
        <v>-137.16999999999999</v>
      </c>
      <c r="DF1235" s="35">
        <v>-95.86</v>
      </c>
      <c r="DG1235" s="37">
        <v>7.88</v>
      </c>
      <c r="DH1235" s="36">
        <v>87</v>
      </c>
      <c r="DI1235" s="37">
        <v>9.6199999999999992</v>
      </c>
      <c r="DJ1235" s="36">
        <v>85</v>
      </c>
      <c r="DK1235" s="37">
        <v>7.69</v>
      </c>
      <c r="DL1235" s="36">
        <v>84</v>
      </c>
      <c r="DM1235" s="37">
        <v>8.07</v>
      </c>
      <c r="DN1235" s="36">
        <v>87</v>
      </c>
      <c r="DO1235" s="37">
        <v>9.6199999999999992</v>
      </c>
      <c r="DP1235" s="36">
        <v>87</v>
      </c>
      <c r="DQ1235" s="36">
        <v>2565</v>
      </c>
      <c r="DR1235" s="38">
        <v>215</v>
      </c>
      <c r="DS1235" s="35">
        <v>9.15</v>
      </c>
      <c r="DT1235" s="36">
        <v>233</v>
      </c>
      <c r="DU1235" s="38">
        <v>5</v>
      </c>
      <c r="DV1235" s="35">
        <v>2.19</v>
      </c>
      <c r="DW1235" s="36">
        <v>3442</v>
      </c>
      <c r="DX1235" s="39">
        <v>4</v>
      </c>
      <c r="DY1235" s="35">
        <v>0.12</v>
      </c>
      <c r="DZ1235" s="28" t="s">
        <v>178</v>
      </c>
      <c r="EA1235" s="34">
        <v>43549</v>
      </c>
      <c r="EB1235" s="29" t="s">
        <v>138</v>
      </c>
      <c r="EC1235" s="34" t="s">
        <v>138</v>
      </c>
      <c r="ED1235" s="28" t="s">
        <v>138</v>
      </c>
      <c r="EE1235" s="40" t="str">
        <f>HYPERLINK("https://my.pitchbook.com?c=98415-37", "View company online")</f>
        <v>View company online</v>
      </c>
    </row>
    <row r="1236" spans="1:135">
      <c r="A1236" s="15" t="s">
        <v>23965</v>
      </c>
      <c r="B1236" s="15" t="s">
        <v>23966</v>
      </c>
      <c r="C1236" s="15" t="s">
        <v>138</v>
      </c>
      <c r="D1236" s="15" t="s">
        <v>138</v>
      </c>
      <c r="E1236" s="15" t="s">
        <v>23967</v>
      </c>
      <c r="F1236" s="15" t="s">
        <v>23965</v>
      </c>
      <c r="G1236" s="15" t="s">
        <v>23968</v>
      </c>
      <c r="H1236" s="15" t="s">
        <v>322</v>
      </c>
      <c r="I1236" s="15" t="s">
        <v>323</v>
      </c>
      <c r="J1236" s="15" t="s">
        <v>1235</v>
      </c>
      <c r="K1236" s="15" t="s">
        <v>23969</v>
      </c>
      <c r="L1236" s="15" t="s">
        <v>4762</v>
      </c>
      <c r="M1236" s="15" t="s">
        <v>23970</v>
      </c>
      <c r="N1236" s="15" t="s">
        <v>147</v>
      </c>
      <c r="O1236" s="17">
        <v>31</v>
      </c>
      <c r="P1236" s="15" t="s">
        <v>148</v>
      </c>
      <c r="Q1236" s="15" t="s">
        <v>149</v>
      </c>
      <c r="R1236" s="15" t="s">
        <v>174</v>
      </c>
      <c r="S1236" s="15" t="s">
        <v>23971</v>
      </c>
      <c r="T1236" s="18">
        <v>8</v>
      </c>
      <c r="U1236" s="15" t="s">
        <v>20726</v>
      </c>
      <c r="V1236" s="15" t="s">
        <v>138</v>
      </c>
      <c r="W1236" s="15" t="s">
        <v>138</v>
      </c>
      <c r="X1236" s="19">
        <v>2015</v>
      </c>
      <c r="Y1236" s="15" t="s">
        <v>138</v>
      </c>
      <c r="Z1236" s="15" t="s">
        <v>138</v>
      </c>
      <c r="AA1236" s="15" t="s">
        <v>138</v>
      </c>
      <c r="AB1236" s="20" t="s">
        <v>138</v>
      </c>
      <c r="AC1236" s="20" t="s">
        <v>138</v>
      </c>
      <c r="AD1236" s="20" t="s">
        <v>138</v>
      </c>
      <c r="AE1236" s="20" t="s">
        <v>138</v>
      </c>
      <c r="AF1236" s="20" t="s">
        <v>138</v>
      </c>
      <c r="AG1236" s="15" t="s">
        <v>138</v>
      </c>
      <c r="AH1236" s="20" t="s">
        <v>138</v>
      </c>
      <c r="AI1236" s="20" t="s">
        <v>138</v>
      </c>
      <c r="AJ1236" s="20" t="s">
        <v>138</v>
      </c>
      <c r="AK1236" s="15" t="s">
        <v>23972</v>
      </c>
      <c r="AL1236" s="15" t="s">
        <v>23973</v>
      </c>
      <c r="AM1236" s="15" t="s">
        <v>16451</v>
      </c>
      <c r="AN1236" s="15" t="s">
        <v>23974</v>
      </c>
      <c r="AO1236" s="15" t="s">
        <v>23975</v>
      </c>
      <c r="AP1236" s="15" t="s">
        <v>964</v>
      </c>
      <c r="AQ1236" s="15" t="s">
        <v>23976</v>
      </c>
      <c r="AR1236" s="15" t="s">
        <v>23977</v>
      </c>
      <c r="AS1236" s="15" t="s">
        <v>966</v>
      </c>
      <c r="AT1236" s="15" t="s">
        <v>200</v>
      </c>
      <c r="AU1236" s="15" t="s">
        <v>1590</v>
      </c>
      <c r="AV1236" s="15" t="s">
        <v>162</v>
      </c>
      <c r="AW1236" s="15" t="s">
        <v>23975</v>
      </c>
      <c r="AX1236" s="15" t="s">
        <v>138</v>
      </c>
      <c r="AY1236" s="15" t="s">
        <v>138</v>
      </c>
      <c r="AZ1236" s="15" t="s">
        <v>164</v>
      </c>
      <c r="BA1236" s="15" t="s">
        <v>165</v>
      </c>
      <c r="BB1236" s="15" t="s">
        <v>23978</v>
      </c>
      <c r="BC1236" s="15" t="s">
        <v>23979</v>
      </c>
      <c r="BD1236" s="21">
        <v>28</v>
      </c>
      <c r="BE1236" s="15" t="s">
        <v>138</v>
      </c>
      <c r="BF1236" s="15" t="s">
        <v>138</v>
      </c>
      <c r="BG1236" s="15" t="s">
        <v>138</v>
      </c>
      <c r="BH1236" s="15" t="s">
        <v>23980</v>
      </c>
      <c r="BI1236" s="15" t="s">
        <v>138</v>
      </c>
      <c r="BJ1236" s="15" t="s">
        <v>138</v>
      </c>
      <c r="BK1236" s="15" t="s">
        <v>1251</v>
      </c>
      <c r="BL1236" s="15" t="s">
        <v>1251</v>
      </c>
      <c r="BM1236" s="22">
        <v>42186</v>
      </c>
      <c r="BN1236" s="17">
        <v>11</v>
      </c>
      <c r="BO1236" s="15" t="s">
        <v>1178</v>
      </c>
      <c r="BP1236" s="17">
        <v>31</v>
      </c>
      <c r="BQ1236" s="15" t="s">
        <v>172</v>
      </c>
      <c r="BR1236" s="15" t="s">
        <v>205</v>
      </c>
      <c r="BS1236" s="15" t="s">
        <v>206</v>
      </c>
      <c r="BT1236" s="15" t="s">
        <v>138</v>
      </c>
      <c r="BU1236" s="15" t="s">
        <v>174</v>
      </c>
      <c r="BV1236" s="15" t="s">
        <v>138</v>
      </c>
      <c r="BW1236" s="15" t="s">
        <v>138</v>
      </c>
      <c r="BX1236" s="15" t="s">
        <v>138</v>
      </c>
      <c r="BY1236" s="15" t="s">
        <v>175</v>
      </c>
      <c r="BZ1236" s="22">
        <v>43403</v>
      </c>
      <c r="CA1236" s="17">
        <v>20</v>
      </c>
      <c r="CB1236" s="15" t="s">
        <v>172</v>
      </c>
      <c r="CC1236" s="17">
        <v>510</v>
      </c>
      <c r="CD1236" s="15" t="s">
        <v>172</v>
      </c>
      <c r="CE1236" s="15" t="s">
        <v>205</v>
      </c>
      <c r="CF1236" s="15" t="s">
        <v>720</v>
      </c>
      <c r="CG1236" s="15" t="s">
        <v>138</v>
      </c>
      <c r="CH1236" s="15" t="s">
        <v>174</v>
      </c>
      <c r="CI1236" s="15" t="s">
        <v>138</v>
      </c>
      <c r="CJ1236" s="15" t="s">
        <v>138</v>
      </c>
      <c r="CK1236" s="15" t="s">
        <v>138</v>
      </c>
      <c r="CL1236" s="15" t="s">
        <v>175</v>
      </c>
      <c r="CM1236" s="22" t="s">
        <v>138</v>
      </c>
      <c r="CN1236" s="17" t="s">
        <v>138</v>
      </c>
      <c r="CO1236" s="23">
        <v>3.58</v>
      </c>
      <c r="CP1236" s="24">
        <v>100</v>
      </c>
      <c r="CQ1236" s="23">
        <v>-0.42</v>
      </c>
      <c r="CR1236" s="23">
        <v>-10.58</v>
      </c>
      <c r="CS1236" s="23">
        <v>3.05</v>
      </c>
      <c r="CT1236" s="24">
        <v>99</v>
      </c>
      <c r="CU1236" s="23">
        <v>4.1100000000000003</v>
      </c>
      <c r="CV1236" s="24">
        <v>100</v>
      </c>
      <c r="CW1236" s="23">
        <v>6.09</v>
      </c>
      <c r="CX1236" s="24">
        <v>97</v>
      </c>
      <c r="CY1236" s="23">
        <v>0</v>
      </c>
      <c r="CZ1236" s="24">
        <v>25</v>
      </c>
      <c r="DA1236" s="23">
        <v>8.1199999999999992</v>
      </c>
      <c r="DB1236" s="24">
        <v>100</v>
      </c>
      <c r="DC1236" s="25">
        <v>3.27</v>
      </c>
      <c r="DD1236" s="24">
        <v>76</v>
      </c>
      <c r="DE1236" s="25">
        <v>-0.13</v>
      </c>
      <c r="DF1236" s="23">
        <v>-3.93</v>
      </c>
      <c r="DG1236" s="25">
        <v>5.16</v>
      </c>
      <c r="DH1236" s="24">
        <v>83</v>
      </c>
      <c r="DI1236" s="25">
        <v>1.39</v>
      </c>
      <c r="DJ1236" s="24">
        <v>55</v>
      </c>
      <c r="DK1236" s="25">
        <v>7.46</v>
      </c>
      <c r="DL1236" s="24">
        <v>84</v>
      </c>
      <c r="DM1236" s="25">
        <v>2.86</v>
      </c>
      <c r="DN1236" s="24">
        <v>73</v>
      </c>
      <c r="DO1236" s="25">
        <v>2.64</v>
      </c>
      <c r="DP1236" s="24">
        <v>69</v>
      </c>
      <c r="DQ1236" s="24">
        <v>2453</v>
      </c>
      <c r="DR1236" s="26">
        <v>315</v>
      </c>
      <c r="DS1236" s="23">
        <v>14.73</v>
      </c>
      <c r="DT1236" s="24">
        <v>79</v>
      </c>
      <c r="DU1236" s="26">
        <v>3</v>
      </c>
      <c r="DV1236" s="23">
        <v>3.95</v>
      </c>
      <c r="DW1236" s="24">
        <v>920</v>
      </c>
      <c r="DX1236" s="27">
        <v>41</v>
      </c>
      <c r="DY1236" s="23">
        <v>4.66</v>
      </c>
      <c r="DZ1236" s="15" t="s">
        <v>178</v>
      </c>
      <c r="EA1236" s="22">
        <v>43532</v>
      </c>
      <c r="EB1236" s="17">
        <v>510</v>
      </c>
      <c r="EC1236" s="22">
        <v>43403</v>
      </c>
      <c r="ED1236" s="15" t="s">
        <v>205</v>
      </c>
      <c r="EE1236" s="14" t="str">
        <f>HYPERLINK("https://my.pitchbook.com?c=150075-91", "View company online")</f>
        <v>View company online</v>
      </c>
    </row>
    <row r="1237" spans="1:135">
      <c r="A1237" s="28" t="s">
        <v>23981</v>
      </c>
      <c r="B1237" s="28" t="s">
        <v>23982</v>
      </c>
      <c r="C1237" s="28" t="s">
        <v>138</v>
      </c>
      <c r="D1237" s="28" t="s">
        <v>138</v>
      </c>
      <c r="E1237" s="28" t="s">
        <v>138</v>
      </c>
      <c r="F1237" s="28" t="s">
        <v>23981</v>
      </c>
      <c r="G1237" s="28" t="s">
        <v>23983</v>
      </c>
      <c r="H1237" s="28" t="s">
        <v>183</v>
      </c>
      <c r="I1237" s="28" t="s">
        <v>184</v>
      </c>
      <c r="J1237" s="28" t="s">
        <v>2141</v>
      </c>
      <c r="K1237" s="28" t="s">
        <v>23984</v>
      </c>
      <c r="L1237" s="28" t="s">
        <v>415</v>
      </c>
      <c r="M1237" s="28" t="s">
        <v>23985</v>
      </c>
      <c r="N1237" s="28" t="s">
        <v>147</v>
      </c>
      <c r="O1237" s="29">
        <v>4.38</v>
      </c>
      <c r="P1237" s="28" t="s">
        <v>148</v>
      </c>
      <c r="Q1237" s="28" t="s">
        <v>149</v>
      </c>
      <c r="R1237" s="28" t="s">
        <v>174</v>
      </c>
      <c r="S1237" s="28" t="s">
        <v>23986</v>
      </c>
      <c r="T1237" s="30" t="s">
        <v>138</v>
      </c>
      <c r="U1237" s="28" t="s">
        <v>138</v>
      </c>
      <c r="V1237" s="28" t="s">
        <v>138</v>
      </c>
      <c r="W1237" s="28" t="s">
        <v>138</v>
      </c>
      <c r="X1237" s="31">
        <v>2005</v>
      </c>
      <c r="Y1237" s="28" t="s">
        <v>138</v>
      </c>
      <c r="Z1237" s="28" t="s">
        <v>138</v>
      </c>
      <c r="AA1237" s="28" t="s">
        <v>138</v>
      </c>
      <c r="AB1237" s="32" t="s">
        <v>138</v>
      </c>
      <c r="AC1237" s="32" t="s">
        <v>138</v>
      </c>
      <c r="AD1237" s="32" t="s">
        <v>138</v>
      </c>
      <c r="AE1237" s="32" t="s">
        <v>138</v>
      </c>
      <c r="AF1237" s="32" t="s">
        <v>138</v>
      </c>
      <c r="AG1237" s="28" t="s">
        <v>138</v>
      </c>
      <c r="AH1237" s="32" t="s">
        <v>138</v>
      </c>
      <c r="AI1237" s="32" t="s">
        <v>138</v>
      </c>
      <c r="AJ1237" s="32" t="s">
        <v>138</v>
      </c>
      <c r="AK1237" s="28" t="s">
        <v>23987</v>
      </c>
      <c r="AL1237" s="28" t="s">
        <v>23988</v>
      </c>
      <c r="AM1237" s="28" t="s">
        <v>9904</v>
      </c>
      <c r="AN1237" s="28" t="s">
        <v>23989</v>
      </c>
      <c r="AO1237" s="28" t="s">
        <v>23990</v>
      </c>
      <c r="AP1237" s="28" t="s">
        <v>3839</v>
      </c>
      <c r="AQ1237" s="28" t="s">
        <v>21931</v>
      </c>
      <c r="AR1237" s="28" t="s">
        <v>3476</v>
      </c>
      <c r="AS1237" s="28" t="s">
        <v>3841</v>
      </c>
      <c r="AT1237" s="28" t="s">
        <v>200</v>
      </c>
      <c r="AU1237" s="28" t="s">
        <v>3842</v>
      </c>
      <c r="AV1237" s="28" t="s">
        <v>162</v>
      </c>
      <c r="AW1237" s="28" t="s">
        <v>23990</v>
      </c>
      <c r="AX1237" s="28" t="s">
        <v>138</v>
      </c>
      <c r="AY1237" s="28" t="s">
        <v>23991</v>
      </c>
      <c r="AZ1237" s="28" t="s">
        <v>164</v>
      </c>
      <c r="BA1237" s="28" t="s">
        <v>165</v>
      </c>
      <c r="BB1237" s="28" t="s">
        <v>23992</v>
      </c>
      <c r="BC1237" s="28" t="s">
        <v>4056</v>
      </c>
      <c r="BD1237" s="33">
        <v>1</v>
      </c>
      <c r="BE1237" s="28" t="s">
        <v>138</v>
      </c>
      <c r="BF1237" s="28" t="s">
        <v>138</v>
      </c>
      <c r="BG1237" s="28" t="s">
        <v>138</v>
      </c>
      <c r="BH1237" s="28" t="s">
        <v>4057</v>
      </c>
      <c r="BI1237" s="28" t="s">
        <v>138</v>
      </c>
      <c r="BJ1237" s="28" t="s">
        <v>138</v>
      </c>
      <c r="BK1237" s="28" t="s">
        <v>23993</v>
      </c>
      <c r="BL1237" s="28" t="s">
        <v>138</v>
      </c>
      <c r="BM1237" s="34">
        <v>43497</v>
      </c>
      <c r="BN1237" s="29">
        <v>4.38</v>
      </c>
      <c r="BO1237" s="28" t="s">
        <v>172</v>
      </c>
      <c r="BP1237" s="29">
        <v>21.88</v>
      </c>
      <c r="BQ1237" s="28" t="s">
        <v>1178</v>
      </c>
      <c r="BR1237" s="28" t="s">
        <v>205</v>
      </c>
      <c r="BS1237" s="28" t="s">
        <v>206</v>
      </c>
      <c r="BT1237" s="28" t="s">
        <v>138</v>
      </c>
      <c r="BU1237" s="28" t="s">
        <v>174</v>
      </c>
      <c r="BV1237" s="28" t="s">
        <v>138</v>
      </c>
      <c r="BW1237" s="28" t="s">
        <v>138</v>
      </c>
      <c r="BX1237" s="28" t="s">
        <v>138</v>
      </c>
      <c r="BY1237" s="28" t="s">
        <v>175</v>
      </c>
      <c r="BZ1237" s="34">
        <v>43497</v>
      </c>
      <c r="CA1237" s="29">
        <v>4.38</v>
      </c>
      <c r="CB1237" s="28" t="s">
        <v>172</v>
      </c>
      <c r="CC1237" s="29">
        <v>21.88</v>
      </c>
      <c r="CD1237" s="28" t="s">
        <v>1178</v>
      </c>
      <c r="CE1237" s="28" t="s">
        <v>205</v>
      </c>
      <c r="CF1237" s="28" t="s">
        <v>206</v>
      </c>
      <c r="CG1237" s="28" t="s">
        <v>138</v>
      </c>
      <c r="CH1237" s="28" t="s">
        <v>174</v>
      </c>
      <c r="CI1237" s="28" t="s">
        <v>138</v>
      </c>
      <c r="CJ1237" s="28" t="s">
        <v>138</v>
      </c>
      <c r="CK1237" s="28" t="s">
        <v>138</v>
      </c>
      <c r="CL1237" s="28" t="s">
        <v>175</v>
      </c>
      <c r="CM1237" s="34" t="s">
        <v>138</v>
      </c>
      <c r="CN1237" s="29" t="s">
        <v>138</v>
      </c>
      <c r="CO1237" s="35">
        <v>0</v>
      </c>
      <c r="CP1237" s="36">
        <v>26</v>
      </c>
      <c r="CQ1237" s="35">
        <v>0</v>
      </c>
      <c r="CR1237" s="35">
        <v>0</v>
      </c>
      <c r="CS1237" s="35">
        <v>0</v>
      </c>
      <c r="CT1237" s="36">
        <v>23</v>
      </c>
      <c r="CU1237" s="35">
        <v>0</v>
      </c>
      <c r="CV1237" s="36">
        <v>22</v>
      </c>
      <c r="CW1237" s="35" t="s">
        <v>138</v>
      </c>
      <c r="CX1237" s="36" t="s">
        <v>138</v>
      </c>
      <c r="CY1237" s="35">
        <v>0</v>
      </c>
      <c r="CZ1237" s="36">
        <v>25</v>
      </c>
      <c r="DA1237" s="35">
        <v>0</v>
      </c>
      <c r="DB1237" s="36">
        <v>22</v>
      </c>
      <c r="DC1237" s="37">
        <v>0.46</v>
      </c>
      <c r="DD1237" s="36">
        <v>32</v>
      </c>
      <c r="DE1237" s="37">
        <v>0</v>
      </c>
      <c r="DF1237" s="35">
        <v>0.01</v>
      </c>
      <c r="DG1237" s="37">
        <v>0.9</v>
      </c>
      <c r="DH1237" s="36">
        <v>48</v>
      </c>
      <c r="DI1237" s="37">
        <v>0.02</v>
      </c>
      <c r="DJ1237" s="36">
        <v>4</v>
      </c>
      <c r="DK1237" s="37" t="s">
        <v>138</v>
      </c>
      <c r="DL1237" s="36" t="s">
        <v>138</v>
      </c>
      <c r="DM1237" s="37">
        <v>0.9</v>
      </c>
      <c r="DN1237" s="36">
        <v>47</v>
      </c>
      <c r="DO1237" s="37">
        <v>0.02</v>
      </c>
      <c r="DP1237" s="36">
        <v>4</v>
      </c>
      <c r="DQ1237" s="36" t="s">
        <v>138</v>
      </c>
      <c r="DR1237" s="38" t="s">
        <v>138</v>
      </c>
      <c r="DS1237" s="35" t="s">
        <v>138</v>
      </c>
      <c r="DT1237" s="36">
        <v>26</v>
      </c>
      <c r="DU1237" s="38">
        <v>0</v>
      </c>
      <c r="DV1237" s="35">
        <v>0</v>
      </c>
      <c r="DW1237" s="36">
        <v>7</v>
      </c>
      <c r="DX1237" s="39">
        <v>0</v>
      </c>
      <c r="DY1237" s="35">
        <v>0</v>
      </c>
      <c r="DZ1237" s="28" t="s">
        <v>178</v>
      </c>
      <c r="EA1237" s="34">
        <v>43563</v>
      </c>
      <c r="EB1237" s="29">
        <v>21.88</v>
      </c>
      <c r="EC1237" s="34">
        <v>43497</v>
      </c>
      <c r="ED1237" s="28" t="s">
        <v>205</v>
      </c>
      <c r="EE1237" s="40" t="str">
        <f>HYPERLINK("https://my.pitchbook.com?c=146494-36", "View company online")</f>
        <v>View company online</v>
      </c>
    </row>
    <row r="1238" spans="1:135">
      <c r="A1238" s="15" t="s">
        <v>23994</v>
      </c>
      <c r="B1238" s="15" t="s">
        <v>23995</v>
      </c>
      <c r="C1238" s="15" t="s">
        <v>138</v>
      </c>
      <c r="D1238" s="15" t="s">
        <v>23996</v>
      </c>
      <c r="E1238" s="15" t="s">
        <v>138</v>
      </c>
      <c r="F1238" s="15" t="s">
        <v>23994</v>
      </c>
      <c r="G1238" s="15" t="s">
        <v>23997</v>
      </c>
      <c r="H1238" s="15" t="s">
        <v>238</v>
      </c>
      <c r="I1238" s="15" t="s">
        <v>749</v>
      </c>
      <c r="J1238" s="15" t="s">
        <v>2855</v>
      </c>
      <c r="K1238" s="15" t="s">
        <v>18613</v>
      </c>
      <c r="L1238" s="15" t="s">
        <v>4703</v>
      </c>
      <c r="M1238" s="15" t="s">
        <v>23998</v>
      </c>
      <c r="N1238" s="15" t="s">
        <v>147</v>
      </c>
      <c r="O1238" s="17">
        <v>10.35</v>
      </c>
      <c r="P1238" s="15" t="s">
        <v>148</v>
      </c>
      <c r="Q1238" s="15" t="s">
        <v>149</v>
      </c>
      <c r="R1238" s="15" t="s">
        <v>174</v>
      </c>
      <c r="S1238" s="15" t="s">
        <v>23999</v>
      </c>
      <c r="T1238" s="18" t="s">
        <v>138</v>
      </c>
      <c r="U1238" s="15" t="s">
        <v>138</v>
      </c>
      <c r="V1238" s="15" t="s">
        <v>138</v>
      </c>
      <c r="W1238" s="15" t="s">
        <v>138</v>
      </c>
      <c r="X1238" s="19">
        <v>2016</v>
      </c>
      <c r="Y1238" s="15" t="s">
        <v>138</v>
      </c>
      <c r="Z1238" s="15" t="s">
        <v>138</v>
      </c>
      <c r="AA1238" s="15" t="s">
        <v>138</v>
      </c>
      <c r="AB1238" s="20" t="s">
        <v>138</v>
      </c>
      <c r="AC1238" s="20" t="s">
        <v>138</v>
      </c>
      <c r="AD1238" s="20" t="s">
        <v>138</v>
      </c>
      <c r="AE1238" s="20" t="s">
        <v>138</v>
      </c>
      <c r="AF1238" s="20" t="s">
        <v>138</v>
      </c>
      <c r="AG1238" s="15" t="s">
        <v>138</v>
      </c>
      <c r="AH1238" s="20" t="s">
        <v>138</v>
      </c>
      <c r="AI1238" s="20" t="s">
        <v>138</v>
      </c>
      <c r="AJ1238" s="20" t="s">
        <v>138</v>
      </c>
      <c r="AK1238" s="15" t="s">
        <v>24000</v>
      </c>
      <c r="AL1238" s="15" t="s">
        <v>24001</v>
      </c>
      <c r="AM1238" s="15" t="s">
        <v>221</v>
      </c>
      <c r="AN1238" s="15" t="s">
        <v>24002</v>
      </c>
      <c r="AO1238" s="15" t="s">
        <v>138</v>
      </c>
      <c r="AP1238" s="15" t="s">
        <v>423</v>
      </c>
      <c r="AQ1238" s="15" t="s">
        <v>24003</v>
      </c>
      <c r="AR1238" s="15" t="s">
        <v>24004</v>
      </c>
      <c r="AS1238" s="15" t="s">
        <v>426</v>
      </c>
      <c r="AT1238" s="15" t="s">
        <v>426</v>
      </c>
      <c r="AU1238" s="15" t="s">
        <v>921</v>
      </c>
      <c r="AV1238" s="15" t="s">
        <v>162</v>
      </c>
      <c r="AW1238" s="15" t="s">
        <v>138</v>
      </c>
      <c r="AX1238" s="15" t="s">
        <v>138</v>
      </c>
      <c r="AY1238" s="15" t="s">
        <v>24005</v>
      </c>
      <c r="AZ1238" s="15" t="s">
        <v>164</v>
      </c>
      <c r="BA1238" s="15" t="s">
        <v>165</v>
      </c>
      <c r="BB1238" s="15" t="s">
        <v>24006</v>
      </c>
      <c r="BC1238" s="15" t="s">
        <v>24007</v>
      </c>
      <c r="BD1238" s="21">
        <v>11</v>
      </c>
      <c r="BE1238" s="15" t="s">
        <v>138</v>
      </c>
      <c r="BF1238" s="15" t="s">
        <v>138</v>
      </c>
      <c r="BG1238" s="15" t="s">
        <v>138</v>
      </c>
      <c r="BH1238" s="15" t="s">
        <v>24008</v>
      </c>
      <c r="BI1238" s="15" t="s">
        <v>138</v>
      </c>
      <c r="BJ1238" s="15" t="s">
        <v>138</v>
      </c>
      <c r="BK1238" s="15" t="s">
        <v>138</v>
      </c>
      <c r="BL1238" s="15" t="s">
        <v>138</v>
      </c>
      <c r="BM1238" s="22" t="s">
        <v>138</v>
      </c>
      <c r="BN1238" s="17" t="s">
        <v>138</v>
      </c>
      <c r="BO1238" s="15" t="s">
        <v>138</v>
      </c>
      <c r="BP1238" s="17" t="s">
        <v>138</v>
      </c>
      <c r="BQ1238" s="15" t="s">
        <v>138</v>
      </c>
      <c r="BR1238" s="15" t="s">
        <v>176</v>
      </c>
      <c r="BS1238" s="15" t="s">
        <v>138</v>
      </c>
      <c r="BT1238" s="15" t="s">
        <v>138</v>
      </c>
      <c r="BU1238" s="15" t="s">
        <v>177</v>
      </c>
      <c r="BV1238" s="15" t="s">
        <v>138</v>
      </c>
      <c r="BW1238" s="15" t="s">
        <v>138</v>
      </c>
      <c r="BX1238" s="15" t="s">
        <v>138</v>
      </c>
      <c r="BY1238" s="15" t="s">
        <v>175</v>
      </c>
      <c r="BZ1238" s="22">
        <v>43587</v>
      </c>
      <c r="CA1238" s="17">
        <v>7.85</v>
      </c>
      <c r="CB1238" s="15" t="s">
        <v>172</v>
      </c>
      <c r="CC1238" s="17" t="s">
        <v>138</v>
      </c>
      <c r="CD1238" s="15" t="s">
        <v>138</v>
      </c>
      <c r="CE1238" s="15" t="s">
        <v>205</v>
      </c>
      <c r="CF1238" s="15" t="s">
        <v>138</v>
      </c>
      <c r="CG1238" s="15" t="s">
        <v>138</v>
      </c>
      <c r="CH1238" s="15" t="s">
        <v>174</v>
      </c>
      <c r="CI1238" s="15" t="s">
        <v>138</v>
      </c>
      <c r="CJ1238" s="15" t="s">
        <v>138</v>
      </c>
      <c r="CK1238" s="15" t="s">
        <v>138</v>
      </c>
      <c r="CL1238" s="15" t="s">
        <v>175</v>
      </c>
      <c r="CM1238" s="22" t="s">
        <v>138</v>
      </c>
      <c r="CN1238" s="17" t="s">
        <v>138</v>
      </c>
      <c r="CO1238" s="23">
        <v>-3.98</v>
      </c>
      <c r="CP1238" s="24">
        <v>2</v>
      </c>
      <c r="CQ1238" s="23">
        <v>0.03</v>
      </c>
      <c r="CR1238" s="23">
        <v>0.72</v>
      </c>
      <c r="CS1238" s="23">
        <v>-9.8699999999999992</v>
      </c>
      <c r="CT1238" s="24">
        <v>1</v>
      </c>
      <c r="CU1238" s="23">
        <v>1.91</v>
      </c>
      <c r="CV1238" s="24">
        <v>100</v>
      </c>
      <c r="CW1238" s="23">
        <v>-9.8699999999999992</v>
      </c>
      <c r="CX1238" s="24">
        <v>1</v>
      </c>
      <c r="CY1238" s="23" t="s">
        <v>138</v>
      </c>
      <c r="CZ1238" s="24" t="s">
        <v>138</v>
      </c>
      <c r="DA1238" s="23">
        <v>1.65</v>
      </c>
      <c r="DB1238" s="24">
        <v>99</v>
      </c>
      <c r="DC1238" s="25">
        <v>17.239999999999998</v>
      </c>
      <c r="DD1238" s="24">
        <v>94</v>
      </c>
      <c r="DE1238" s="25">
        <v>-1.85</v>
      </c>
      <c r="DF1238" s="23">
        <v>-9.7100000000000009</v>
      </c>
      <c r="DG1238" s="25">
        <v>29.02</v>
      </c>
      <c r="DH1238" s="24">
        <v>96</v>
      </c>
      <c r="DI1238" s="25">
        <v>5.46</v>
      </c>
      <c r="DJ1238" s="24">
        <v>78</v>
      </c>
      <c r="DK1238" s="25">
        <v>29.02</v>
      </c>
      <c r="DL1238" s="24">
        <v>94</v>
      </c>
      <c r="DM1238" s="25" t="s">
        <v>138</v>
      </c>
      <c r="DN1238" s="24" t="s">
        <v>138</v>
      </c>
      <c r="DO1238" s="25">
        <v>0.8</v>
      </c>
      <c r="DP1238" s="24">
        <v>46</v>
      </c>
      <c r="DQ1238" s="24">
        <v>9994</v>
      </c>
      <c r="DR1238" s="26">
        <v>-122</v>
      </c>
      <c r="DS1238" s="23">
        <v>-1.21</v>
      </c>
      <c r="DT1238" s="24" t="s">
        <v>138</v>
      </c>
      <c r="DU1238" s="26" t="s">
        <v>138</v>
      </c>
      <c r="DV1238" s="23" t="s">
        <v>138</v>
      </c>
      <c r="DW1238" s="24">
        <v>277</v>
      </c>
      <c r="DX1238" s="27">
        <v>7</v>
      </c>
      <c r="DY1238" s="23">
        <v>2.59</v>
      </c>
      <c r="DZ1238" s="15" t="s">
        <v>178</v>
      </c>
      <c r="EA1238" s="22">
        <v>43613</v>
      </c>
      <c r="EB1238" s="17" t="s">
        <v>138</v>
      </c>
      <c r="EC1238" s="22" t="s">
        <v>138</v>
      </c>
      <c r="ED1238" s="15" t="s">
        <v>138</v>
      </c>
      <c r="EE1238" s="14" t="str">
        <f>HYPERLINK("https://my.pitchbook.com?c=182469-25", "View company online")</f>
        <v>View company online</v>
      </c>
    </row>
    <row r="1239" spans="1:135">
      <c r="A1239" s="28" t="s">
        <v>24009</v>
      </c>
      <c r="B1239" s="28" t="s">
        <v>24010</v>
      </c>
      <c r="C1239" s="28" t="s">
        <v>24011</v>
      </c>
      <c r="D1239" s="28" t="s">
        <v>138</v>
      </c>
      <c r="E1239" s="28" t="s">
        <v>24012</v>
      </c>
      <c r="F1239" s="28" t="s">
        <v>24009</v>
      </c>
      <c r="G1239" s="28" t="s">
        <v>24013</v>
      </c>
      <c r="H1239" s="28" t="s">
        <v>322</v>
      </c>
      <c r="I1239" s="28" t="s">
        <v>323</v>
      </c>
      <c r="J1239" s="28" t="s">
        <v>324</v>
      </c>
      <c r="K1239" s="28" t="s">
        <v>1543</v>
      </c>
      <c r="L1239" s="28" t="s">
        <v>6068</v>
      </c>
      <c r="M1239" s="28" t="s">
        <v>24014</v>
      </c>
      <c r="N1239" s="28" t="s">
        <v>147</v>
      </c>
      <c r="O1239" s="29">
        <v>27.41</v>
      </c>
      <c r="P1239" s="28" t="s">
        <v>812</v>
      </c>
      <c r="Q1239" s="28" t="s">
        <v>149</v>
      </c>
      <c r="R1239" s="28" t="s">
        <v>174</v>
      </c>
      <c r="S1239" s="28" t="s">
        <v>24015</v>
      </c>
      <c r="T1239" s="30">
        <v>95</v>
      </c>
      <c r="U1239" s="28" t="s">
        <v>24016</v>
      </c>
      <c r="V1239" s="28" t="s">
        <v>138</v>
      </c>
      <c r="W1239" s="28" t="s">
        <v>138</v>
      </c>
      <c r="X1239" s="31">
        <v>2011</v>
      </c>
      <c r="Y1239" s="28" t="s">
        <v>138</v>
      </c>
      <c r="Z1239" s="28" t="s">
        <v>138</v>
      </c>
      <c r="AA1239" s="28" t="s">
        <v>138</v>
      </c>
      <c r="AB1239" s="32" t="s">
        <v>138</v>
      </c>
      <c r="AC1239" s="32" t="s">
        <v>138</v>
      </c>
      <c r="AD1239" s="32" t="s">
        <v>138</v>
      </c>
      <c r="AE1239" s="32" t="s">
        <v>138</v>
      </c>
      <c r="AF1239" s="32" t="s">
        <v>138</v>
      </c>
      <c r="AG1239" s="28" t="s">
        <v>138</v>
      </c>
      <c r="AH1239" s="32" t="s">
        <v>138</v>
      </c>
      <c r="AI1239" s="32" t="s">
        <v>138</v>
      </c>
      <c r="AJ1239" s="32" t="s">
        <v>138</v>
      </c>
      <c r="AK1239" s="28" t="s">
        <v>24017</v>
      </c>
      <c r="AL1239" s="28" t="s">
        <v>24018</v>
      </c>
      <c r="AM1239" s="28" t="s">
        <v>24019</v>
      </c>
      <c r="AN1239" s="28" t="s">
        <v>24020</v>
      </c>
      <c r="AO1239" s="28" t="s">
        <v>24021</v>
      </c>
      <c r="AP1239" s="28" t="s">
        <v>3136</v>
      </c>
      <c r="AQ1239" s="28" t="s">
        <v>24022</v>
      </c>
      <c r="AR1239" s="28" t="s">
        <v>24023</v>
      </c>
      <c r="AS1239" s="28" t="s">
        <v>3139</v>
      </c>
      <c r="AT1239" s="28" t="s">
        <v>3140</v>
      </c>
      <c r="AU1239" s="28" t="s">
        <v>24024</v>
      </c>
      <c r="AV1239" s="28" t="s">
        <v>162</v>
      </c>
      <c r="AW1239" s="28" t="s">
        <v>24025</v>
      </c>
      <c r="AX1239" s="28" t="s">
        <v>138</v>
      </c>
      <c r="AY1239" s="28" t="s">
        <v>24026</v>
      </c>
      <c r="AZ1239" s="28" t="s">
        <v>164</v>
      </c>
      <c r="BA1239" s="28" t="s">
        <v>165</v>
      </c>
      <c r="BB1239" s="28" t="s">
        <v>24027</v>
      </c>
      <c r="BC1239" s="28" t="s">
        <v>24028</v>
      </c>
      <c r="BD1239" s="33">
        <v>10</v>
      </c>
      <c r="BE1239" s="28" t="s">
        <v>138</v>
      </c>
      <c r="BF1239" s="28" t="s">
        <v>6801</v>
      </c>
      <c r="BG1239" s="28" t="s">
        <v>138</v>
      </c>
      <c r="BH1239" s="28" t="s">
        <v>24029</v>
      </c>
      <c r="BI1239" s="28" t="s">
        <v>6803</v>
      </c>
      <c r="BJ1239" s="28" t="s">
        <v>138</v>
      </c>
      <c r="BK1239" s="28" t="s">
        <v>4576</v>
      </c>
      <c r="BL1239" s="28" t="s">
        <v>204</v>
      </c>
      <c r="BM1239" s="34">
        <v>40787</v>
      </c>
      <c r="BN1239" s="29">
        <v>0.38</v>
      </c>
      <c r="BO1239" s="28" t="s">
        <v>172</v>
      </c>
      <c r="BP1239" s="29">
        <v>3</v>
      </c>
      <c r="BQ1239" s="28" t="s">
        <v>172</v>
      </c>
      <c r="BR1239" s="28" t="s">
        <v>205</v>
      </c>
      <c r="BS1239" s="28" t="s">
        <v>206</v>
      </c>
      <c r="BT1239" s="28" t="s">
        <v>138</v>
      </c>
      <c r="BU1239" s="28" t="s">
        <v>174</v>
      </c>
      <c r="BV1239" s="28" t="s">
        <v>138</v>
      </c>
      <c r="BW1239" s="28" t="s">
        <v>138</v>
      </c>
      <c r="BX1239" s="28" t="s">
        <v>138</v>
      </c>
      <c r="BY1239" s="28" t="s">
        <v>175</v>
      </c>
      <c r="BZ1239" s="34">
        <v>43531</v>
      </c>
      <c r="CA1239" s="29" t="s">
        <v>138</v>
      </c>
      <c r="CB1239" s="28" t="s">
        <v>138</v>
      </c>
      <c r="CC1239" s="29" t="s">
        <v>138</v>
      </c>
      <c r="CD1239" s="28" t="s">
        <v>138</v>
      </c>
      <c r="CE1239" s="28" t="s">
        <v>173</v>
      </c>
      <c r="CF1239" s="28" t="s">
        <v>138</v>
      </c>
      <c r="CG1239" s="28" t="s">
        <v>138</v>
      </c>
      <c r="CH1239" s="28" t="s">
        <v>174</v>
      </c>
      <c r="CI1239" s="28" t="s">
        <v>138</v>
      </c>
      <c r="CJ1239" s="28" t="s">
        <v>138</v>
      </c>
      <c r="CK1239" s="28" t="s">
        <v>138</v>
      </c>
      <c r="CL1239" s="28" t="s">
        <v>352</v>
      </c>
      <c r="CM1239" s="34" t="s">
        <v>138</v>
      </c>
      <c r="CN1239" s="29" t="s">
        <v>138</v>
      </c>
      <c r="CO1239" s="35">
        <v>0.17</v>
      </c>
      <c r="CP1239" s="36">
        <v>92</v>
      </c>
      <c r="CQ1239" s="35">
        <v>-7.0000000000000007E-2</v>
      </c>
      <c r="CR1239" s="35">
        <v>-29.97</v>
      </c>
      <c r="CS1239" s="35">
        <v>0</v>
      </c>
      <c r="CT1239" s="36">
        <v>23</v>
      </c>
      <c r="CU1239" s="35">
        <v>0.36</v>
      </c>
      <c r="CV1239" s="36">
        <v>90</v>
      </c>
      <c r="CW1239" s="35">
        <v>0</v>
      </c>
      <c r="CX1239" s="36">
        <v>13</v>
      </c>
      <c r="CY1239" s="35">
        <v>0</v>
      </c>
      <c r="CZ1239" s="36">
        <v>25</v>
      </c>
      <c r="DA1239" s="35">
        <v>0.36</v>
      </c>
      <c r="DB1239" s="36">
        <v>91</v>
      </c>
      <c r="DC1239" s="37">
        <v>19.010000000000002</v>
      </c>
      <c r="DD1239" s="36">
        <v>94</v>
      </c>
      <c r="DE1239" s="37">
        <v>0.81</v>
      </c>
      <c r="DF1239" s="35">
        <v>4.46</v>
      </c>
      <c r="DG1239" s="37">
        <v>1.47</v>
      </c>
      <c r="DH1239" s="36">
        <v>60</v>
      </c>
      <c r="DI1239" s="37">
        <v>0.5</v>
      </c>
      <c r="DJ1239" s="36">
        <v>36</v>
      </c>
      <c r="DK1239" s="37">
        <v>1.52</v>
      </c>
      <c r="DL1239" s="36">
        <v>59</v>
      </c>
      <c r="DM1239" s="37">
        <v>1.41</v>
      </c>
      <c r="DN1239" s="36">
        <v>58</v>
      </c>
      <c r="DO1239" s="37">
        <v>0.5</v>
      </c>
      <c r="DP1239" s="36">
        <v>38</v>
      </c>
      <c r="DQ1239" s="36">
        <v>507</v>
      </c>
      <c r="DR1239" s="38">
        <v>42</v>
      </c>
      <c r="DS1239" s="35">
        <v>9.0299999999999994</v>
      </c>
      <c r="DT1239" s="36">
        <v>41</v>
      </c>
      <c r="DU1239" s="38">
        <v>1</v>
      </c>
      <c r="DV1239" s="35">
        <v>2.5</v>
      </c>
      <c r="DW1239" s="36">
        <v>178</v>
      </c>
      <c r="DX1239" s="39">
        <v>-1</v>
      </c>
      <c r="DY1239" s="35">
        <v>-0.56000000000000005</v>
      </c>
      <c r="DZ1239" s="28" t="s">
        <v>178</v>
      </c>
      <c r="EA1239" s="34">
        <v>43557</v>
      </c>
      <c r="EB1239" s="29">
        <v>79.45</v>
      </c>
      <c r="EC1239" s="34">
        <v>41558</v>
      </c>
      <c r="ED1239" s="28" t="s">
        <v>205</v>
      </c>
      <c r="EE1239" s="40" t="str">
        <f>HYPERLINK("https://my.pitchbook.com?c=54083-17", "View company online")</f>
        <v>View company online</v>
      </c>
    </row>
    <row r="1240" spans="1:135">
      <c r="A1240" s="15" t="s">
        <v>24030</v>
      </c>
      <c r="B1240" s="15" t="s">
        <v>24031</v>
      </c>
      <c r="C1240" s="15" t="s">
        <v>138</v>
      </c>
      <c r="D1240" s="15" t="s">
        <v>138</v>
      </c>
      <c r="E1240" s="15" t="s">
        <v>24032</v>
      </c>
      <c r="F1240" s="15" t="s">
        <v>24030</v>
      </c>
      <c r="G1240" s="15" t="s">
        <v>24033</v>
      </c>
      <c r="H1240" s="15" t="s">
        <v>238</v>
      </c>
      <c r="I1240" s="15" t="s">
        <v>749</v>
      </c>
      <c r="J1240" s="15" t="s">
        <v>4261</v>
      </c>
      <c r="K1240" s="15" t="s">
        <v>5732</v>
      </c>
      <c r="L1240" s="15" t="s">
        <v>138</v>
      </c>
      <c r="M1240" s="15" t="s">
        <v>24034</v>
      </c>
      <c r="N1240" s="15" t="s">
        <v>147</v>
      </c>
      <c r="O1240" s="17">
        <v>108.3</v>
      </c>
      <c r="P1240" s="15" t="s">
        <v>148</v>
      </c>
      <c r="Q1240" s="15" t="s">
        <v>149</v>
      </c>
      <c r="R1240" s="15" t="s">
        <v>244</v>
      </c>
      <c r="S1240" s="15" t="s">
        <v>24035</v>
      </c>
      <c r="T1240" s="18">
        <v>201</v>
      </c>
      <c r="U1240" s="15" t="s">
        <v>24036</v>
      </c>
      <c r="V1240" s="15" t="s">
        <v>138</v>
      </c>
      <c r="W1240" s="15" t="s">
        <v>138</v>
      </c>
      <c r="X1240" s="19">
        <v>2009</v>
      </c>
      <c r="Y1240" s="15" t="s">
        <v>138</v>
      </c>
      <c r="Z1240" s="15" t="s">
        <v>138</v>
      </c>
      <c r="AA1240" s="15" t="s">
        <v>138</v>
      </c>
      <c r="AB1240" s="20" t="s">
        <v>138</v>
      </c>
      <c r="AC1240" s="20" t="s">
        <v>138</v>
      </c>
      <c r="AD1240" s="20" t="s">
        <v>138</v>
      </c>
      <c r="AE1240" s="20" t="s">
        <v>138</v>
      </c>
      <c r="AF1240" s="20" t="s">
        <v>138</v>
      </c>
      <c r="AG1240" s="15" t="s">
        <v>138</v>
      </c>
      <c r="AH1240" s="20" t="s">
        <v>138</v>
      </c>
      <c r="AI1240" s="20" t="s">
        <v>138</v>
      </c>
      <c r="AJ1240" s="20" t="s">
        <v>138</v>
      </c>
      <c r="AK1240" s="15" t="s">
        <v>24037</v>
      </c>
      <c r="AL1240" s="15" t="s">
        <v>24038</v>
      </c>
      <c r="AM1240" s="15" t="s">
        <v>916</v>
      </c>
      <c r="AN1240" s="15" t="s">
        <v>24039</v>
      </c>
      <c r="AO1240" s="15" t="s">
        <v>24040</v>
      </c>
      <c r="AP1240" s="15" t="s">
        <v>665</v>
      </c>
      <c r="AQ1240" s="15" t="s">
        <v>24041</v>
      </c>
      <c r="AR1240" s="15" t="s">
        <v>138</v>
      </c>
      <c r="AS1240" s="15" t="s">
        <v>668</v>
      </c>
      <c r="AT1240" s="15" t="s">
        <v>200</v>
      </c>
      <c r="AU1240" s="15" t="s">
        <v>2052</v>
      </c>
      <c r="AV1240" s="15" t="s">
        <v>162</v>
      </c>
      <c r="AW1240" s="15" t="s">
        <v>24040</v>
      </c>
      <c r="AX1240" s="15" t="s">
        <v>138</v>
      </c>
      <c r="AY1240" s="15" t="s">
        <v>24042</v>
      </c>
      <c r="AZ1240" s="15" t="s">
        <v>164</v>
      </c>
      <c r="BA1240" s="15" t="s">
        <v>165</v>
      </c>
      <c r="BB1240" s="15" t="s">
        <v>24043</v>
      </c>
      <c r="BC1240" s="15" t="s">
        <v>24044</v>
      </c>
      <c r="BD1240" s="21">
        <v>4</v>
      </c>
      <c r="BE1240" s="15" t="s">
        <v>138</v>
      </c>
      <c r="BF1240" s="15" t="s">
        <v>138</v>
      </c>
      <c r="BG1240" s="15" t="s">
        <v>138</v>
      </c>
      <c r="BH1240" s="15" t="s">
        <v>24045</v>
      </c>
      <c r="BI1240" s="15" t="s">
        <v>138</v>
      </c>
      <c r="BJ1240" s="15" t="s">
        <v>138</v>
      </c>
      <c r="BK1240" s="15" t="s">
        <v>24046</v>
      </c>
      <c r="BL1240" s="15" t="s">
        <v>24047</v>
      </c>
      <c r="BM1240" s="22">
        <v>41123</v>
      </c>
      <c r="BN1240" s="17">
        <v>2.5</v>
      </c>
      <c r="BO1240" s="15" t="s">
        <v>1178</v>
      </c>
      <c r="BP1240" s="17">
        <v>22.5</v>
      </c>
      <c r="BQ1240" s="15" t="s">
        <v>172</v>
      </c>
      <c r="BR1240" s="15" t="s">
        <v>262</v>
      </c>
      <c r="BS1240" s="15" t="s">
        <v>206</v>
      </c>
      <c r="BT1240" s="15" t="s">
        <v>138</v>
      </c>
      <c r="BU1240" s="15" t="s">
        <v>263</v>
      </c>
      <c r="BV1240" s="15" t="s">
        <v>138</v>
      </c>
      <c r="BW1240" s="15" t="s">
        <v>138</v>
      </c>
      <c r="BX1240" s="15" t="s">
        <v>138</v>
      </c>
      <c r="BY1240" s="15" t="s">
        <v>175</v>
      </c>
      <c r="BZ1240" s="22">
        <v>43396</v>
      </c>
      <c r="CA1240" s="17">
        <v>30</v>
      </c>
      <c r="CB1240" s="15" t="s">
        <v>172</v>
      </c>
      <c r="CC1240" s="17" t="s">
        <v>138</v>
      </c>
      <c r="CD1240" s="15" t="s">
        <v>138</v>
      </c>
      <c r="CE1240" s="15" t="s">
        <v>173</v>
      </c>
      <c r="CF1240" s="15" t="s">
        <v>138</v>
      </c>
      <c r="CG1240" s="15" t="s">
        <v>138</v>
      </c>
      <c r="CH1240" s="15" t="s">
        <v>174</v>
      </c>
      <c r="CI1240" s="15" t="s">
        <v>138</v>
      </c>
      <c r="CJ1240" s="15" t="s">
        <v>138</v>
      </c>
      <c r="CK1240" s="15" t="s">
        <v>138</v>
      </c>
      <c r="CL1240" s="15" t="s">
        <v>175</v>
      </c>
      <c r="CM1240" s="22">
        <v>42881</v>
      </c>
      <c r="CN1240" s="17" t="s">
        <v>138</v>
      </c>
      <c r="CO1240" s="23">
        <v>0.76</v>
      </c>
      <c r="CP1240" s="24">
        <v>96</v>
      </c>
      <c r="CQ1240" s="23">
        <v>-0.01</v>
      </c>
      <c r="CR1240" s="23">
        <v>-1.69</v>
      </c>
      <c r="CS1240" s="23">
        <v>1.53</v>
      </c>
      <c r="CT1240" s="24">
        <v>98</v>
      </c>
      <c r="CU1240" s="23">
        <v>0</v>
      </c>
      <c r="CV1240" s="24">
        <v>22</v>
      </c>
      <c r="CW1240" s="23">
        <v>3.77</v>
      </c>
      <c r="CX1240" s="24">
        <v>93</v>
      </c>
      <c r="CY1240" s="23">
        <v>-0.72</v>
      </c>
      <c r="CZ1240" s="24">
        <v>21</v>
      </c>
      <c r="DA1240" s="23">
        <v>0</v>
      </c>
      <c r="DB1240" s="24">
        <v>22</v>
      </c>
      <c r="DC1240" s="25">
        <v>18.37</v>
      </c>
      <c r="DD1240" s="24">
        <v>94</v>
      </c>
      <c r="DE1240" s="25">
        <v>-0.39</v>
      </c>
      <c r="DF1240" s="23">
        <v>-2.09</v>
      </c>
      <c r="DG1240" s="25">
        <v>20.43</v>
      </c>
      <c r="DH1240" s="24">
        <v>95</v>
      </c>
      <c r="DI1240" s="25">
        <v>16.32</v>
      </c>
      <c r="DJ1240" s="24">
        <v>89</v>
      </c>
      <c r="DK1240" s="25">
        <v>14.34</v>
      </c>
      <c r="DL1240" s="24">
        <v>90</v>
      </c>
      <c r="DM1240" s="25">
        <v>26.52</v>
      </c>
      <c r="DN1240" s="24">
        <v>96</v>
      </c>
      <c r="DO1240" s="25">
        <v>16.32</v>
      </c>
      <c r="DP1240" s="24">
        <v>91</v>
      </c>
      <c r="DQ1240" s="24">
        <v>4781</v>
      </c>
      <c r="DR1240" s="26">
        <v>407</v>
      </c>
      <c r="DS1240" s="23">
        <v>9.3000000000000007</v>
      </c>
      <c r="DT1240" s="24">
        <v>767</v>
      </c>
      <c r="DU1240" s="26">
        <v>1</v>
      </c>
      <c r="DV1240" s="23">
        <v>0.13</v>
      </c>
      <c r="DW1240" s="24">
        <v>5843</v>
      </c>
      <c r="DX1240" s="27">
        <v>-1</v>
      </c>
      <c r="DY1240" s="23">
        <v>-0.02</v>
      </c>
      <c r="DZ1240" s="15" t="s">
        <v>178</v>
      </c>
      <c r="EA1240" s="22">
        <v>43454</v>
      </c>
      <c r="EB1240" s="17">
        <v>190</v>
      </c>
      <c r="EC1240" s="22">
        <v>42367</v>
      </c>
      <c r="ED1240" s="15" t="s">
        <v>173</v>
      </c>
      <c r="EE1240" s="14" t="str">
        <f>HYPERLINK("https://my.pitchbook.com?c=122434-30", "View company online")</f>
        <v>View company online</v>
      </c>
    </row>
    <row r="1241" spans="1:135">
      <c r="A1241" s="28" t="s">
        <v>24048</v>
      </c>
      <c r="B1241" s="28" t="s">
        <v>24049</v>
      </c>
      <c r="C1241" s="28" t="s">
        <v>138</v>
      </c>
      <c r="D1241" s="28" t="s">
        <v>138</v>
      </c>
      <c r="E1241" s="28" t="s">
        <v>138</v>
      </c>
      <c r="F1241" s="28" t="s">
        <v>24048</v>
      </c>
      <c r="G1241" s="28" t="s">
        <v>24050</v>
      </c>
      <c r="H1241" s="28" t="s">
        <v>322</v>
      </c>
      <c r="I1241" s="28" t="s">
        <v>323</v>
      </c>
      <c r="J1241" s="28" t="s">
        <v>324</v>
      </c>
      <c r="K1241" s="28" t="s">
        <v>24051</v>
      </c>
      <c r="L1241" s="28" t="s">
        <v>7452</v>
      </c>
      <c r="M1241" s="28" t="s">
        <v>24052</v>
      </c>
      <c r="N1241" s="28" t="s">
        <v>147</v>
      </c>
      <c r="O1241" s="29" t="s">
        <v>138</v>
      </c>
      <c r="P1241" s="28" t="s">
        <v>148</v>
      </c>
      <c r="Q1241" s="28" t="s">
        <v>149</v>
      </c>
      <c r="R1241" s="28" t="s">
        <v>174</v>
      </c>
      <c r="S1241" s="28" t="s">
        <v>24053</v>
      </c>
      <c r="T1241" s="30" t="s">
        <v>138</v>
      </c>
      <c r="U1241" s="28" t="s">
        <v>138</v>
      </c>
      <c r="V1241" s="28" t="s">
        <v>138</v>
      </c>
      <c r="W1241" s="28" t="s">
        <v>138</v>
      </c>
      <c r="X1241" s="31">
        <v>2017</v>
      </c>
      <c r="Y1241" s="28" t="s">
        <v>138</v>
      </c>
      <c r="Z1241" s="28" t="s">
        <v>138</v>
      </c>
      <c r="AA1241" s="28" t="s">
        <v>138</v>
      </c>
      <c r="AB1241" s="32" t="s">
        <v>138</v>
      </c>
      <c r="AC1241" s="32" t="s">
        <v>138</v>
      </c>
      <c r="AD1241" s="32" t="s">
        <v>138</v>
      </c>
      <c r="AE1241" s="32" t="s">
        <v>138</v>
      </c>
      <c r="AF1241" s="32" t="s">
        <v>138</v>
      </c>
      <c r="AG1241" s="28" t="s">
        <v>138</v>
      </c>
      <c r="AH1241" s="32" t="s">
        <v>138</v>
      </c>
      <c r="AI1241" s="32" t="s">
        <v>138</v>
      </c>
      <c r="AJ1241" s="32" t="s">
        <v>138</v>
      </c>
      <c r="AK1241" s="28" t="s">
        <v>24054</v>
      </c>
      <c r="AL1241" s="28" t="s">
        <v>24055</v>
      </c>
      <c r="AM1241" s="28" t="s">
        <v>24056</v>
      </c>
      <c r="AN1241" s="28" t="s">
        <v>24057</v>
      </c>
      <c r="AO1241" s="28" t="s">
        <v>24058</v>
      </c>
      <c r="AP1241" s="28" t="s">
        <v>24059</v>
      </c>
      <c r="AQ1241" s="28" t="s">
        <v>24060</v>
      </c>
      <c r="AR1241" s="28" t="s">
        <v>24061</v>
      </c>
      <c r="AS1241" s="28" t="s">
        <v>24062</v>
      </c>
      <c r="AT1241" s="28" t="s">
        <v>18133</v>
      </c>
      <c r="AU1241" s="28" t="s">
        <v>24063</v>
      </c>
      <c r="AV1241" s="28" t="s">
        <v>2333</v>
      </c>
      <c r="AW1241" s="28" t="s">
        <v>24058</v>
      </c>
      <c r="AX1241" s="28" t="s">
        <v>138</v>
      </c>
      <c r="AY1241" s="28" t="s">
        <v>138</v>
      </c>
      <c r="AZ1241" s="28" t="s">
        <v>452</v>
      </c>
      <c r="BA1241" s="28" t="s">
        <v>2335</v>
      </c>
      <c r="BB1241" s="28" t="s">
        <v>24064</v>
      </c>
      <c r="BC1241" s="28" t="s">
        <v>24065</v>
      </c>
      <c r="BD1241" s="33">
        <v>6</v>
      </c>
      <c r="BE1241" s="28" t="s">
        <v>138</v>
      </c>
      <c r="BF1241" s="28" t="s">
        <v>138</v>
      </c>
      <c r="BG1241" s="28" t="s">
        <v>138</v>
      </c>
      <c r="BH1241" s="28" t="s">
        <v>24066</v>
      </c>
      <c r="BI1241" s="28" t="s">
        <v>138</v>
      </c>
      <c r="BJ1241" s="28" t="s">
        <v>138</v>
      </c>
      <c r="BK1241" s="28" t="s">
        <v>138</v>
      </c>
      <c r="BL1241" s="28" t="s">
        <v>1251</v>
      </c>
      <c r="BM1241" s="34">
        <v>43371</v>
      </c>
      <c r="BN1241" s="29" t="s">
        <v>138</v>
      </c>
      <c r="BO1241" s="28" t="s">
        <v>138</v>
      </c>
      <c r="BP1241" s="29" t="s">
        <v>138</v>
      </c>
      <c r="BQ1241" s="28" t="s">
        <v>138</v>
      </c>
      <c r="BR1241" s="28" t="s">
        <v>205</v>
      </c>
      <c r="BS1241" s="28" t="s">
        <v>206</v>
      </c>
      <c r="BT1241" s="28" t="s">
        <v>138</v>
      </c>
      <c r="BU1241" s="28" t="s">
        <v>174</v>
      </c>
      <c r="BV1241" s="28" t="s">
        <v>138</v>
      </c>
      <c r="BW1241" s="28" t="s">
        <v>138</v>
      </c>
      <c r="BX1241" s="28" t="s">
        <v>138</v>
      </c>
      <c r="BY1241" s="28" t="s">
        <v>175</v>
      </c>
      <c r="BZ1241" s="34">
        <v>43371</v>
      </c>
      <c r="CA1241" s="29" t="s">
        <v>138</v>
      </c>
      <c r="CB1241" s="28" t="s">
        <v>138</v>
      </c>
      <c r="CC1241" s="29" t="s">
        <v>138</v>
      </c>
      <c r="CD1241" s="28" t="s">
        <v>138</v>
      </c>
      <c r="CE1241" s="28" t="s">
        <v>205</v>
      </c>
      <c r="CF1241" s="28" t="s">
        <v>206</v>
      </c>
      <c r="CG1241" s="28" t="s">
        <v>138</v>
      </c>
      <c r="CH1241" s="28" t="s">
        <v>174</v>
      </c>
      <c r="CI1241" s="28" t="s">
        <v>138</v>
      </c>
      <c r="CJ1241" s="28" t="s">
        <v>138</v>
      </c>
      <c r="CK1241" s="28" t="s">
        <v>138</v>
      </c>
      <c r="CL1241" s="28" t="s">
        <v>175</v>
      </c>
      <c r="CM1241" s="34" t="s">
        <v>138</v>
      </c>
      <c r="CN1241" s="29" t="s">
        <v>138</v>
      </c>
      <c r="CO1241" s="35">
        <v>2.19</v>
      </c>
      <c r="CP1241" s="36">
        <v>99</v>
      </c>
      <c r="CQ1241" s="35">
        <v>-0.62</v>
      </c>
      <c r="CR1241" s="35">
        <v>-22.18</v>
      </c>
      <c r="CS1241" s="35">
        <v>2.35</v>
      </c>
      <c r="CT1241" s="36">
        <v>99</v>
      </c>
      <c r="CU1241" s="35">
        <v>2.44</v>
      </c>
      <c r="CV1241" s="36">
        <v>100</v>
      </c>
      <c r="CW1241" s="35">
        <v>3.97</v>
      </c>
      <c r="CX1241" s="36">
        <v>94</v>
      </c>
      <c r="CY1241" s="35">
        <v>0.73</v>
      </c>
      <c r="CZ1241" s="36">
        <v>99</v>
      </c>
      <c r="DA1241" s="35">
        <v>4.6500000000000004</v>
      </c>
      <c r="DB1241" s="36">
        <v>100</v>
      </c>
      <c r="DC1241" s="37">
        <v>4.6399999999999997</v>
      </c>
      <c r="DD1241" s="36">
        <v>82</v>
      </c>
      <c r="DE1241" s="37">
        <v>-0.17</v>
      </c>
      <c r="DF1241" s="35">
        <v>-3.55</v>
      </c>
      <c r="DG1241" s="37">
        <v>6.94</v>
      </c>
      <c r="DH1241" s="36">
        <v>86</v>
      </c>
      <c r="DI1241" s="37">
        <v>6.85</v>
      </c>
      <c r="DJ1241" s="36">
        <v>81</v>
      </c>
      <c r="DK1241" s="37">
        <v>9.32</v>
      </c>
      <c r="DL1241" s="36">
        <v>86</v>
      </c>
      <c r="DM1241" s="37">
        <v>4.55</v>
      </c>
      <c r="DN1241" s="36">
        <v>80</v>
      </c>
      <c r="DO1241" s="37">
        <v>1.9</v>
      </c>
      <c r="DP1241" s="36">
        <v>63</v>
      </c>
      <c r="DQ1241" s="36">
        <v>3218</v>
      </c>
      <c r="DR1241" s="38">
        <v>-64</v>
      </c>
      <c r="DS1241" s="35">
        <v>-1.95</v>
      </c>
      <c r="DT1241" s="36">
        <v>131</v>
      </c>
      <c r="DU1241" s="38">
        <v>4</v>
      </c>
      <c r="DV1241" s="35">
        <v>3.15</v>
      </c>
      <c r="DW1241" s="36">
        <v>670</v>
      </c>
      <c r="DX1241" s="39">
        <v>25</v>
      </c>
      <c r="DY1241" s="35">
        <v>3.88</v>
      </c>
      <c r="DZ1241" s="28" t="s">
        <v>178</v>
      </c>
      <c r="EA1241" s="34">
        <v>43574</v>
      </c>
      <c r="EB1241" s="29" t="s">
        <v>138</v>
      </c>
      <c r="EC1241" s="34" t="s">
        <v>138</v>
      </c>
      <c r="ED1241" s="28" t="s">
        <v>138</v>
      </c>
      <c r="EE1241" s="40" t="str">
        <f>HYPERLINK("https://my.pitchbook.com?c=230731-39", "View company online")</f>
        <v>View company online</v>
      </c>
    </row>
    <row r="1242" spans="1:135">
      <c r="A1242" s="15" t="s">
        <v>24067</v>
      </c>
      <c r="B1242" s="15" t="s">
        <v>24068</v>
      </c>
      <c r="C1242" s="15" t="s">
        <v>138</v>
      </c>
      <c r="D1242" s="15" t="s">
        <v>138</v>
      </c>
      <c r="E1242" s="15" t="s">
        <v>24069</v>
      </c>
      <c r="F1242" s="15" t="s">
        <v>24067</v>
      </c>
      <c r="G1242" s="15" t="s">
        <v>24070</v>
      </c>
      <c r="H1242" s="15" t="s">
        <v>322</v>
      </c>
      <c r="I1242" s="15" t="s">
        <v>323</v>
      </c>
      <c r="J1242" s="15" t="s">
        <v>413</v>
      </c>
      <c r="K1242" s="15" t="s">
        <v>24071</v>
      </c>
      <c r="L1242" s="15" t="s">
        <v>24072</v>
      </c>
      <c r="M1242" s="15" t="s">
        <v>24073</v>
      </c>
      <c r="N1242" s="15" t="s">
        <v>147</v>
      </c>
      <c r="O1242" s="17">
        <v>80</v>
      </c>
      <c r="P1242" s="15" t="s">
        <v>148</v>
      </c>
      <c r="Q1242" s="15" t="s">
        <v>149</v>
      </c>
      <c r="R1242" s="15" t="s">
        <v>174</v>
      </c>
      <c r="S1242" s="15" t="s">
        <v>24074</v>
      </c>
      <c r="T1242" s="18" t="s">
        <v>138</v>
      </c>
      <c r="U1242" s="15" t="s">
        <v>138</v>
      </c>
      <c r="V1242" s="15" t="s">
        <v>138</v>
      </c>
      <c r="W1242" s="15" t="s">
        <v>138</v>
      </c>
      <c r="X1242" s="19">
        <v>2008</v>
      </c>
      <c r="Y1242" s="15" t="s">
        <v>138</v>
      </c>
      <c r="Z1242" s="15" t="s">
        <v>138</v>
      </c>
      <c r="AA1242" s="15" t="s">
        <v>138</v>
      </c>
      <c r="AB1242" s="20" t="s">
        <v>138</v>
      </c>
      <c r="AC1242" s="20" t="s">
        <v>138</v>
      </c>
      <c r="AD1242" s="20" t="s">
        <v>138</v>
      </c>
      <c r="AE1242" s="20" t="s">
        <v>138</v>
      </c>
      <c r="AF1242" s="20" t="s">
        <v>138</v>
      </c>
      <c r="AG1242" s="15" t="s">
        <v>138</v>
      </c>
      <c r="AH1242" s="20" t="s">
        <v>138</v>
      </c>
      <c r="AI1242" s="20" t="s">
        <v>138</v>
      </c>
      <c r="AJ1242" s="20" t="s">
        <v>138</v>
      </c>
      <c r="AK1242" s="15" t="s">
        <v>24075</v>
      </c>
      <c r="AL1242" s="15" t="s">
        <v>24076</v>
      </c>
      <c r="AM1242" s="15" t="s">
        <v>986</v>
      </c>
      <c r="AN1242" s="15" t="s">
        <v>24077</v>
      </c>
      <c r="AO1242" s="15" t="s">
        <v>138</v>
      </c>
      <c r="AP1242" s="15" t="s">
        <v>496</v>
      </c>
      <c r="AQ1242" s="15" t="s">
        <v>138</v>
      </c>
      <c r="AR1242" s="15" t="s">
        <v>138</v>
      </c>
      <c r="AS1242" s="15" t="s">
        <v>499</v>
      </c>
      <c r="AT1242" s="15" t="s">
        <v>138</v>
      </c>
      <c r="AU1242" s="15" t="s">
        <v>138</v>
      </c>
      <c r="AV1242" s="15" t="s">
        <v>450</v>
      </c>
      <c r="AW1242" s="15" t="s">
        <v>138</v>
      </c>
      <c r="AX1242" s="15" t="s">
        <v>138</v>
      </c>
      <c r="AY1242" s="15" t="s">
        <v>138</v>
      </c>
      <c r="AZ1242" s="15" t="s">
        <v>452</v>
      </c>
      <c r="BA1242" s="15" t="s">
        <v>453</v>
      </c>
      <c r="BB1242" s="15" t="s">
        <v>24078</v>
      </c>
      <c r="BC1242" s="15" t="s">
        <v>24079</v>
      </c>
      <c r="BD1242" s="21">
        <v>9</v>
      </c>
      <c r="BE1242" s="15" t="s">
        <v>138</v>
      </c>
      <c r="BF1242" s="15" t="s">
        <v>138</v>
      </c>
      <c r="BG1242" s="15" t="s">
        <v>138</v>
      </c>
      <c r="BH1242" s="15" t="s">
        <v>24080</v>
      </c>
      <c r="BI1242" s="15" t="s">
        <v>138</v>
      </c>
      <c r="BJ1242" s="15" t="s">
        <v>138</v>
      </c>
      <c r="BK1242" s="15" t="s">
        <v>138</v>
      </c>
      <c r="BL1242" s="15" t="s">
        <v>138</v>
      </c>
      <c r="BM1242" s="22">
        <v>40909</v>
      </c>
      <c r="BN1242" s="17" t="s">
        <v>138</v>
      </c>
      <c r="BO1242" s="15" t="s">
        <v>138</v>
      </c>
      <c r="BP1242" s="17" t="s">
        <v>138</v>
      </c>
      <c r="BQ1242" s="15" t="s">
        <v>138</v>
      </c>
      <c r="BR1242" s="15" t="s">
        <v>205</v>
      </c>
      <c r="BS1242" s="15" t="s">
        <v>138</v>
      </c>
      <c r="BT1242" s="15" t="s">
        <v>138</v>
      </c>
      <c r="BU1242" s="15" t="s">
        <v>174</v>
      </c>
      <c r="BV1242" s="15" t="s">
        <v>138</v>
      </c>
      <c r="BW1242" s="15" t="s">
        <v>138</v>
      </c>
      <c r="BX1242" s="15" t="s">
        <v>138</v>
      </c>
      <c r="BY1242" s="15" t="s">
        <v>175</v>
      </c>
      <c r="BZ1242" s="22">
        <v>43472</v>
      </c>
      <c r="CA1242" s="17">
        <v>60</v>
      </c>
      <c r="CB1242" s="15" t="s">
        <v>172</v>
      </c>
      <c r="CC1242" s="17" t="s">
        <v>138</v>
      </c>
      <c r="CD1242" s="15" t="s">
        <v>138</v>
      </c>
      <c r="CE1242" s="15" t="s">
        <v>173</v>
      </c>
      <c r="CF1242" s="15" t="s">
        <v>317</v>
      </c>
      <c r="CG1242" s="15" t="s">
        <v>138</v>
      </c>
      <c r="CH1242" s="15" t="s">
        <v>174</v>
      </c>
      <c r="CI1242" s="15" t="s">
        <v>138</v>
      </c>
      <c r="CJ1242" s="15" t="s">
        <v>138</v>
      </c>
      <c r="CK1242" s="15" t="s">
        <v>138</v>
      </c>
      <c r="CL1242" s="15" t="s">
        <v>175</v>
      </c>
      <c r="CM1242" s="22" t="s">
        <v>138</v>
      </c>
      <c r="CN1242" s="17" t="s">
        <v>138</v>
      </c>
      <c r="CO1242" s="23">
        <v>0</v>
      </c>
      <c r="CP1242" s="24">
        <v>26</v>
      </c>
      <c r="CQ1242" s="23">
        <v>0</v>
      </c>
      <c r="CR1242" s="23">
        <v>0</v>
      </c>
      <c r="CS1242" s="23">
        <v>0</v>
      </c>
      <c r="CT1242" s="24">
        <v>23</v>
      </c>
      <c r="CU1242" s="23" t="s">
        <v>138</v>
      </c>
      <c r="CV1242" s="24" t="s">
        <v>138</v>
      </c>
      <c r="CW1242" s="23" t="s">
        <v>138</v>
      </c>
      <c r="CX1242" s="24" t="s">
        <v>138</v>
      </c>
      <c r="CY1242" s="23">
        <v>0</v>
      </c>
      <c r="CZ1242" s="24">
        <v>25</v>
      </c>
      <c r="DA1242" s="23" t="s">
        <v>138</v>
      </c>
      <c r="DB1242" s="24" t="s">
        <v>138</v>
      </c>
      <c r="DC1242" s="25">
        <v>0.55000000000000004</v>
      </c>
      <c r="DD1242" s="24">
        <v>36</v>
      </c>
      <c r="DE1242" s="25">
        <v>-0.03</v>
      </c>
      <c r="DF1242" s="23">
        <v>-5.88</v>
      </c>
      <c r="DG1242" s="25">
        <v>0.55000000000000004</v>
      </c>
      <c r="DH1242" s="24">
        <v>36</v>
      </c>
      <c r="DI1242" s="25" t="s">
        <v>138</v>
      </c>
      <c r="DJ1242" s="24" t="s">
        <v>138</v>
      </c>
      <c r="DK1242" s="25" t="s">
        <v>138</v>
      </c>
      <c r="DL1242" s="24" t="s">
        <v>138</v>
      </c>
      <c r="DM1242" s="25">
        <v>0.55000000000000004</v>
      </c>
      <c r="DN1242" s="24">
        <v>36</v>
      </c>
      <c r="DO1242" s="25" t="s">
        <v>138</v>
      </c>
      <c r="DP1242" s="24" t="s">
        <v>138</v>
      </c>
      <c r="DQ1242" s="24" t="s">
        <v>138</v>
      </c>
      <c r="DR1242" s="26" t="s">
        <v>138</v>
      </c>
      <c r="DS1242" s="23" t="s">
        <v>138</v>
      </c>
      <c r="DT1242" s="24">
        <v>16</v>
      </c>
      <c r="DU1242" s="26">
        <v>-1</v>
      </c>
      <c r="DV1242" s="23">
        <v>-5.88</v>
      </c>
      <c r="DW1242" s="24" t="s">
        <v>138</v>
      </c>
      <c r="DX1242" s="27" t="s">
        <v>138</v>
      </c>
      <c r="DY1242" s="23" t="s">
        <v>138</v>
      </c>
      <c r="DZ1242" s="15" t="s">
        <v>178</v>
      </c>
      <c r="EA1242" s="22">
        <v>43474</v>
      </c>
      <c r="EB1242" s="17" t="s">
        <v>138</v>
      </c>
      <c r="EC1242" s="22" t="s">
        <v>138</v>
      </c>
      <c r="ED1242" s="15" t="s">
        <v>138</v>
      </c>
      <c r="EE1242" s="14" t="str">
        <f>HYPERLINK("https://my.pitchbook.com?c=264533-32", "View company online")</f>
        <v>View company online</v>
      </c>
    </row>
    <row r="1243" spans="1:135">
      <c r="A1243" s="28" t="s">
        <v>24081</v>
      </c>
      <c r="B1243" s="28" t="s">
        <v>24082</v>
      </c>
      <c r="C1243" s="28" t="s">
        <v>24083</v>
      </c>
      <c r="D1243" s="28" t="s">
        <v>24084</v>
      </c>
      <c r="E1243" s="28" t="s">
        <v>138</v>
      </c>
      <c r="F1243" s="28" t="s">
        <v>24081</v>
      </c>
      <c r="G1243" s="28" t="s">
        <v>24085</v>
      </c>
      <c r="H1243" s="28" t="s">
        <v>141</v>
      </c>
      <c r="I1243" s="28" t="s">
        <v>142</v>
      </c>
      <c r="J1243" s="28" t="s">
        <v>4042</v>
      </c>
      <c r="K1243" s="28" t="s">
        <v>6541</v>
      </c>
      <c r="L1243" s="28" t="s">
        <v>3589</v>
      </c>
      <c r="M1243" s="28" t="s">
        <v>24086</v>
      </c>
      <c r="N1243" s="28" t="s">
        <v>147</v>
      </c>
      <c r="O1243" s="29">
        <v>0.19</v>
      </c>
      <c r="P1243" s="28" t="s">
        <v>148</v>
      </c>
      <c r="Q1243" s="28" t="s">
        <v>149</v>
      </c>
      <c r="R1243" s="28" t="s">
        <v>174</v>
      </c>
      <c r="S1243" s="28" t="s">
        <v>24087</v>
      </c>
      <c r="T1243" s="30">
        <v>2</v>
      </c>
      <c r="U1243" s="28" t="s">
        <v>12834</v>
      </c>
      <c r="V1243" s="28" t="s">
        <v>138</v>
      </c>
      <c r="W1243" s="28" t="s">
        <v>138</v>
      </c>
      <c r="X1243" s="31">
        <v>2013</v>
      </c>
      <c r="Y1243" s="28" t="s">
        <v>138</v>
      </c>
      <c r="Z1243" s="28" t="s">
        <v>138</v>
      </c>
      <c r="AA1243" s="28" t="s">
        <v>138</v>
      </c>
      <c r="AB1243" s="32" t="s">
        <v>138</v>
      </c>
      <c r="AC1243" s="32" t="s">
        <v>138</v>
      </c>
      <c r="AD1243" s="32" t="s">
        <v>138</v>
      </c>
      <c r="AE1243" s="32" t="s">
        <v>138</v>
      </c>
      <c r="AF1243" s="32" t="s">
        <v>138</v>
      </c>
      <c r="AG1243" s="28" t="s">
        <v>138</v>
      </c>
      <c r="AH1243" s="32" t="s">
        <v>138</v>
      </c>
      <c r="AI1243" s="32" t="s">
        <v>138</v>
      </c>
      <c r="AJ1243" s="32" t="s">
        <v>138</v>
      </c>
      <c r="AK1243" s="28" t="s">
        <v>24088</v>
      </c>
      <c r="AL1243" s="28" t="s">
        <v>24089</v>
      </c>
      <c r="AM1243" s="28" t="s">
        <v>304</v>
      </c>
      <c r="AN1243" s="28" t="s">
        <v>24090</v>
      </c>
      <c r="AO1243" s="28" t="s">
        <v>24091</v>
      </c>
      <c r="AP1243" s="28" t="s">
        <v>3351</v>
      </c>
      <c r="AQ1243" s="28" t="s">
        <v>24092</v>
      </c>
      <c r="AR1243" s="28" t="s">
        <v>24093</v>
      </c>
      <c r="AS1243" s="28" t="s">
        <v>3354</v>
      </c>
      <c r="AT1243" s="28" t="s">
        <v>2740</v>
      </c>
      <c r="AU1243" s="28" t="s">
        <v>24094</v>
      </c>
      <c r="AV1243" s="28" t="s">
        <v>2742</v>
      </c>
      <c r="AW1243" s="28" t="s">
        <v>24091</v>
      </c>
      <c r="AX1243" s="28" t="s">
        <v>138</v>
      </c>
      <c r="AY1243" s="28" t="s">
        <v>24095</v>
      </c>
      <c r="AZ1243" s="28" t="s">
        <v>164</v>
      </c>
      <c r="BA1243" s="28" t="s">
        <v>165</v>
      </c>
      <c r="BB1243" s="28" t="s">
        <v>24096</v>
      </c>
      <c r="BC1243" s="28" t="s">
        <v>24097</v>
      </c>
      <c r="BD1243" s="33">
        <v>5</v>
      </c>
      <c r="BE1243" s="28" t="s">
        <v>138</v>
      </c>
      <c r="BF1243" s="28" t="s">
        <v>138</v>
      </c>
      <c r="BG1243" s="28" t="s">
        <v>138</v>
      </c>
      <c r="BH1243" s="28" t="s">
        <v>24098</v>
      </c>
      <c r="BI1243" s="28" t="s">
        <v>138</v>
      </c>
      <c r="BJ1243" s="28" t="s">
        <v>138</v>
      </c>
      <c r="BK1243" s="28" t="s">
        <v>138</v>
      </c>
      <c r="BL1243" s="28" t="s">
        <v>138</v>
      </c>
      <c r="BM1243" s="34">
        <v>41640</v>
      </c>
      <c r="BN1243" s="29">
        <v>0.02</v>
      </c>
      <c r="BO1243" s="28" t="s">
        <v>172</v>
      </c>
      <c r="BP1243" s="29" t="s">
        <v>138</v>
      </c>
      <c r="BQ1243" s="28" t="s">
        <v>138</v>
      </c>
      <c r="BR1243" s="28" t="s">
        <v>316</v>
      </c>
      <c r="BS1243" s="28" t="s">
        <v>138</v>
      </c>
      <c r="BT1243" s="28" t="s">
        <v>138</v>
      </c>
      <c r="BU1243" s="28" t="s">
        <v>177</v>
      </c>
      <c r="BV1243" s="28" t="s">
        <v>138</v>
      </c>
      <c r="BW1243" s="28" t="s">
        <v>138</v>
      </c>
      <c r="BX1243" s="28" t="s">
        <v>138</v>
      </c>
      <c r="BY1243" s="28" t="s">
        <v>175</v>
      </c>
      <c r="BZ1243" s="34">
        <v>43033</v>
      </c>
      <c r="CA1243" s="29">
        <v>0.1</v>
      </c>
      <c r="CB1243" s="28" t="s">
        <v>172</v>
      </c>
      <c r="CC1243" s="29" t="s">
        <v>138</v>
      </c>
      <c r="CD1243" s="28" t="s">
        <v>138</v>
      </c>
      <c r="CE1243" s="28" t="s">
        <v>205</v>
      </c>
      <c r="CF1243" s="28" t="s">
        <v>138</v>
      </c>
      <c r="CG1243" s="28" t="s">
        <v>138</v>
      </c>
      <c r="CH1243" s="28" t="s">
        <v>174</v>
      </c>
      <c r="CI1243" s="28" t="s">
        <v>264</v>
      </c>
      <c r="CJ1243" s="28" t="s">
        <v>138</v>
      </c>
      <c r="CK1243" s="28" t="s">
        <v>138</v>
      </c>
      <c r="CL1243" s="28" t="s">
        <v>175</v>
      </c>
      <c r="CM1243" s="34" t="s">
        <v>138</v>
      </c>
      <c r="CN1243" s="29" t="s">
        <v>138</v>
      </c>
      <c r="CO1243" s="35">
        <v>0</v>
      </c>
      <c r="CP1243" s="36">
        <v>26</v>
      </c>
      <c r="CQ1243" s="35">
        <v>0</v>
      </c>
      <c r="CR1243" s="35">
        <v>0</v>
      </c>
      <c r="CS1243" s="35">
        <v>0</v>
      </c>
      <c r="CT1243" s="36">
        <v>23</v>
      </c>
      <c r="CU1243" s="35">
        <v>0</v>
      </c>
      <c r="CV1243" s="36">
        <v>22</v>
      </c>
      <c r="CW1243" s="35" t="s">
        <v>138</v>
      </c>
      <c r="CX1243" s="36" t="s">
        <v>138</v>
      </c>
      <c r="CY1243" s="35">
        <v>0</v>
      </c>
      <c r="CZ1243" s="36">
        <v>25</v>
      </c>
      <c r="DA1243" s="35">
        <v>0</v>
      </c>
      <c r="DB1243" s="36">
        <v>22</v>
      </c>
      <c r="DC1243" s="37">
        <v>0.44</v>
      </c>
      <c r="DD1243" s="36">
        <v>31</v>
      </c>
      <c r="DE1243" s="37">
        <v>-0.02</v>
      </c>
      <c r="DF1243" s="35">
        <v>-3.75</v>
      </c>
      <c r="DG1243" s="37">
        <v>0.79</v>
      </c>
      <c r="DH1243" s="36">
        <v>45</v>
      </c>
      <c r="DI1243" s="37">
        <v>0.08</v>
      </c>
      <c r="DJ1243" s="36">
        <v>12</v>
      </c>
      <c r="DK1243" s="37" t="s">
        <v>138</v>
      </c>
      <c r="DL1243" s="36" t="s">
        <v>138</v>
      </c>
      <c r="DM1243" s="37">
        <v>0.79</v>
      </c>
      <c r="DN1243" s="36">
        <v>45</v>
      </c>
      <c r="DO1243" s="37">
        <v>0.11</v>
      </c>
      <c r="DP1243" s="36">
        <v>17</v>
      </c>
      <c r="DQ1243" s="36" t="s">
        <v>138</v>
      </c>
      <c r="DR1243" s="38" t="s">
        <v>138</v>
      </c>
      <c r="DS1243" s="35" t="s">
        <v>138</v>
      </c>
      <c r="DT1243" s="36">
        <v>23</v>
      </c>
      <c r="DU1243" s="38">
        <v>-1</v>
      </c>
      <c r="DV1243" s="35">
        <v>-4.17</v>
      </c>
      <c r="DW1243" s="36">
        <v>40</v>
      </c>
      <c r="DX1243" s="39">
        <v>0</v>
      </c>
      <c r="DY1243" s="35">
        <v>0</v>
      </c>
      <c r="DZ1243" s="28" t="s">
        <v>178</v>
      </c>
      <c r="EA1243" s="34">
        <v>43622</v>
      </c>
      <c r="EB1243" s="29" t="s">
        <v>138</v>
      </c>
      <c r="EC1243" s="34" t="s">
        <v>138</v>
      </c>
      <c r="ED1243" s="28" t="s">
        <v>138</v>
      </c>
      <c r="EE1243" s="40" t="str">
        <f>HYPERLINK("https://my.pitchbook.com?c=180405-01", "View company online")</f>
        <v>View company online</v>
      </c>
    </row>
    <row r="1244" spans="1:135">
      <c r="A1244" s="15" t="s">
        <v>24099</v>
      </c>
      <c r="B1244" s="15" t="s">
        <v>24100</v>
      </c>
      <c r="C1244" s="15" t="s">
        <v>24101</v>
      </c>
      <c r="D1244" s="15" t="s">
        <v>138</v>
      </c>
      <c r="E1244" s="15" t="s">
        <v>138</v>
      </c>
      <c r="F1244" s="15" t="s">
        <v>24099</v>
      </c>
      <c r="G1244" s="15" t="s">
        <v>24102</v>
      </c>
      <c r="H1244" s="15" t="s">
        <v>385</v>
      </c>
      <c r="I1244" s="15" t="s">
        <v>386</v>
      </c>
      <c r="J1244" s="15" t="s">
        <v>558</v>
      </c>
      <c r="K1244" s="15" t="s">
        <v>24103</v>
      </c>
      <c r="L1244" s="15" t="s">
        <v>24104</v>
      </c>
      <c r="M1244" s="15" t="s">
        <v>24105</v>
      </c>
      <c r="N1244" s="15" t="s">
        <v>147</v>
      </c>
      <c r="O1244" s="17" t="s">
        <v>138</v>
      </c>
      <c r="P1244" s="15" t="s">
        <v>148</v>
      </c>
      <c r="Q1244" s="15" t="s">
        <v>149</v>
      </c>
      <c r="R1244" s="15" t="s">
        <v>174</v>
      </c>
      <c r="S1244" s="15" t="s">
        <v>24106</v>
      </c>
      <c r="T1244" s="18">
        <v>32</v>
      </c>
      <c r="U1244" s="15" t="s">
        <v>24107</v>
      </c>
      <c r="V1244" s="15" t="s">
        <v>138</v>
      </c>
      <c r="W1244" s="15" t="s">
        <v>138</v>
      </c>
      <c r="X1244" s="19">
        <v>2011</v>
      </c>
      <c r="Y1244" s="15" t="s">
        <v>138</v>
      </c>
      <c r="Z1244" s="15" t="s">
        <v>138</v>
      </c>
      <c r="AA1244" s="15" t="s">
        <v>138</v>
      </c>
      <c r="AB1244" s="20">
        <v>2.7</v>
      </c>
      <c r="AC1244" s="20">
        <v>1.64</v>
      </c>
      <c r="AD1244" s="20">
        <v>-2.94</v>
      </c>
      <c r="AE1244" s="20" t="s">
        <v>138</v>
      </c>
      <c r="AF1244" s="20">
        <v>-2.38</v>
      </c>
      <c r="AG1244" s="15" t="s">
        <v>707</v>
      </c>
      <c r="AH1244" s="20" t="s">
        <v>138</v>
      </c>
      <c r="AI1244" s="20" t="s">
        <v>138</v>
      </c>
      <c r="AJ1244" s="20" t="s">
        <v>138</v>
      </c>
      <c r="AK1244" s="15" t="s">
        <v>24108</v>
      </c>
      <c r="AL1244" s="15" t="s">
        <v>24109</v>
      </c>
      <c r="AM1244" s="15" t="s">
        <v>566</v>
      </c>
      <c r="AN1244" s="15" t="s">
        <v>138</v>
      </c>
      <c r="AO1244" s="15" t="s">
        <v>24110</v>
      </c>
      <c r="AP1244" s="15" t="s">
        <v>24111</v>
      </c>
      <c r="AQ1244" s="15" t="s">
        <v>24112</v>
      </c>
      <c r="AR1244" s="15" t="s">
        <v>24113</v>
      </c>
      <c r="AS1244" s="15" t="s">
        <v>24114</v>
      </c>
      <c r="AT1244" s="15" t="s">
        <v>138</v>
      </c>
      <c r="AU1244" s="15" t="s">
        <v>24115</v>
      </c>
      <c r="AV1244" s="15" t="s">
        <v>573</v>
      </c>
      <c r="AW1244" s="15" t="s">
        <v>24116</v>
      </c>
      <c r="AX1244" s="15" t="s">
        <v>138</v>
      </c>
      <c r="AY1244" s="15" t="s">
        <v>24117</v>
      </c>
      <c r="AZ1244" s="15" t="s">
        <v>530</v>
      </c>
      <c r="BA1244" s="15" t="s">
        <v>577</v>
      </c>
      <c r="BB1244" s="15" t="s">
        <v>24118</v>
      </c>
      <c r="BC1244" s="15" t="s">
        <v>24119</v>
      </c>
      <c r="BD1244" s="21">
        <v>4</v>
      </c>
      <c r="BE1244" s="15" t="s">
        <v>138</v>
      </c>
      <c r="BF1244" s="15" t="s">
        <v>24120</v>
      </c>
      <c r="BG1244" s="15" t="s">
        <v>138</v>
      </c>
      <c r="BH1244" s="15" t="s">
        <v>24121</v>
      </c>
      <c r="BI1244" s="15" t="s">
        <v>24122</v>
      </c>
      <c r="BJ1244" s="15" t="s">
        <v>138</v>
      </c>
      <c r="BK1244" s="15" t="s">
        <v>138</v>
      </c>
      <c r="BL1244" s="15" t="s">
        <v>138</v>
      </c>
      <c r="BM1244" s="22" t="s">
        <v>138</v>
      </c>
      <c r="BN1244" s="17" t="s">
        <v>138</v>
      </c>
      <c r="BO1244" s="15" t="s">
        <v>138</v>
      </c>
      <c r="BP1244" s="17" t="s">
        <v>138</v>
      </c>
      <c r="BQ1244" s="15" t="s">
        <v>138</v>
      </c>
      <c r="BR1244" s="15" t="s">
        <v>205</v>
      </c>
      <c r="BS1244" s="15" t="s">
        <v>138</v>
      </c>
      <c r="BT1244" s="15" t="s">
        <v>138</v>
      </c>
      <c r="BU1244" s="15" t="s">
        <v>174</v>
      </c>
      <c r="BV1244" s="15" t="s">
        <v>138</v>
      </c>
      <c r="BW1244" s="15" t="s">
        <v>138</v>
      </c>
      <c r="BX1244" s="15" t="s">
        <v>138</v>
      </c>
      <c r="BY1244" s="15" t="s">
        <v>175</v>
      </c>
      <c r="BZ1244" s="22">
        <v>42810</v>
      </c>
      <c r="CA1244" s="17" t="s">
        <v>138</v>
      </c>
      <c r="CB1244" s="15" t="s">
        <v>138</v>
      </c>
      <c r="CC1244" s="17" t="s">
        <v>138</v>
      </c>
      <c r="CD1244" s="15" t="s">
        <v>138</v>
      </c>
      <c r="CE1244" s="15" t="s">
        <v>173</v>
      </c>
      <c r="CF1244" s="15" t="s">
        <v>138</v>
      </c>
      <c r="CG1244" s="15" t="s">
        <v>138</v>
      </c>
      <c r="CH1244" s="15" t="s">
        <v>174</v>
      </c>
      <c r="CI1244" s="15" t="s">
        <v>138</v>
      </c>
      <c r="CJ1244" s="15" t="s">
        <v>138</v>
      </c>
      <c r="CK1244" s="15" t="s">
        <v>138</v>
      </c>
      <c r="CL1244" s="15" t="s">
        <v>175</v>
      </c>
      <c r="CM1244" s="22" t="s">
        <v>138</v>
      </c>
      <c r="CN1244" s="17" t="s">
        <v>138</v>
      </c>
      <c r="CO1244" s="23">
        <v>0</v>
      </c>
      <c r="CP1244" s="24">
        <v>26</v>
      </c>
      <c r="CQ1244" s="23">
        <v>0</v>
      </c>
      <c r="CR1244" s="23">
        <v>0</v>
      </c>
      <c r="CS1244" s="23">
        <v>0</v>
      </c>
      <c r="CT1244" s="24">
        <v>23</v>
      </c>
      <c r="CU1244" s="23" t="s">
        <v>138</v>
      </c>
      <c r="CV1244" s="24" t="s">
        <v>138</v>
      </c>
      <c r="CW1244" s="23" t="s">
        <v>138</v>
      </c>
      <c r="CX1244" s="24" t="s">
        <v>138</v>
      </c>
      <c r="CY1244" s="23">
        <v>0</v>
      </c>
      <c r="CZ1244" s="24">
        <v>25</v>
      </c>
      <c r="DA1244" s="23" t="s">
        <v>138</v>
      </c>
      <c r="DB1244" s="24" t="s">
        <v>138</v>
      </c>
      <c r="DC1244" s="25">
        <v>1.62</v>
      </c>
      <c r="DD1244" s="24">
        <v>62</v>
      </c>
      <c r="DE1244" s="25">
        <v>0.03</v>
      </c>
      <c r="DF1244" s="23">
        <v>2.17</v>
      </c>
      <c r="DG1244" s="25">
        <v>1.62</v>
      </c>
      <c r="DH1244" s="24">
        <v>62</v>
      </c>
      <c r="DI1244" s="25" t="s">
        <v>138</v>
      </c>
      <c r="DJ1244" s="24" t="s">
        <v>138</v>
      </c>
      <c r="DK1244" s="25" t="s">
        <v>138</v>
      </c>
      <c r="DL1244" s="24" t="s">
        <v>138</v>
      </c>
      <c r="DM1244" s="25">
        <v>1.62</v>
      </c>
      <c r="DN1244" s="24">
        <v>61</v>
      </c>
      <c r="DO1244" s="25" t="s">
        <v>138</v>
      </c>
      <c r="DP1244" s="24" t="s">
        <v>138</v>
      </c>
      <c r="DQ1244" s="24" t="s">
        <v>138</v>
      </c>
      <c r="DR1244" s="26" t="s">
        <v>138</v>
      </c>
      <c r="DS1244" s="23" t="s">
        <v>138</v>
      </c>
      <c r="DT1244" s="24">
        <v>46</v>
      </c>
      <c r="DU1244" s="26">
        <v>0</v>
      </c>
      <c r="DV1244" s="23">
        <v>0</v>
      </c>
      <c r="DW1244" s="24" t="s">
        <v>138</v>
      </c>
      <c r="DX1244" s="27" t="s">
        <v>138</v>
      </c>
      <c r="DY1244" s="23" t="s">
        <v>138</v>
      </c>
      <c r="DZ1244" s="15" t="s">
        <v>178</v>
      </c>
      <c r="EA1244" s="22">
        <v>43560</v>
      </c>
      <c r="EB1244" s="17">
        <v>14.84</v>
      </c>
      <c r="EC1244" s="22">
        <v>41145</v>
      </c>
      <c r="ED1244" s="15" t="s">
        <v>349</v>
      </c>
      <c r="EE1244" s="14" t="str">
        <f>HYPERLINK("https://my.pitchbook.com?c=55099-81", "View company online")</f>
        <v>View company online</v>
      </c>
    </row>
    <row r="1245" spans="1:135">
      <c r="A1245" s="28" t="s">
        <v>24123</v>
      </c>
      <c r="B1245" s="28" t="s">
        <v>24124</v>
      </c>
      <c r="C1245" s="28" t="s">
        <v>138</v>
      </c>
      <c r="D1245" s="28" t="s">
        <v>138</v>
      </c>
      <c r="E1245" s="28" t="s">
        <v>138</v>
      </c>
      <c r="F1245" s="28" t="s">
        <v>24123</v>
      </c>
      <c r="G1245" s="28" t="s">
        <v>24125</v>
      </c>
      <c r="H1245" s="28" t="s">
        <v>238</v>
      </c>
      <c r="I1245" s="28" t="s">
        <v>1351</v>
      </c>
      <c r="J1245" s="28" t="s">
        <v>1352</v>
      </c>
      <c r="K1245" s="28" t="s">
        <v>24126</v>
      </c>
      <c r="L1245" s="28" t="s">
        <v>415</v>
      </c>
      <c r="M1245" s="28" t="s">
        <v>24127</v>
      </c>
      <c r="N1245" s="28" t="s">
        <v>147</v>
      </c>
      <c r="O1245" s="29" t="s">
        <v>138</v>
      </c>
      <c r="P1245" s="28" t="s">
        <v>148</v>
      </c>
      <c r="Q1245" s="28" t="s">
        <v>149</v>
      </c>
      <c r="R1245" s="28" t="s">
        <v>174</v>
      </c>
      <c r="S1245" s="28" t="s">
        <v>24128</v>
      </c>
      <c r="T1245" s="30" t="s">
        <v>138</v>
      </c>
      <c r="U1245" s="28" t="s">
        <v>138</v>
      </c>
      <c r="V1245" s="28" t="s">
        <v>138</v>
      </c>
      <c r="W1245" s="28" t="s">
        <v>138</v>
      </c>
      <c r="X1245" s="31">
        <v>2007</v>
      </c>
      <c r="Y1245" s="28" t="s">
        <v>138</v>
      </c>
      <c r="Z1245" s="28" t="s">
        <v>138</v>
      </c>
      <c r="AA1245" s="28" t="s">
        <v>138</v>
      </c>
      <c r="AB1245" s="32" t="s">
        <v>138</v>
      </c>
      <c r="AC1245" s="32" t="s">
        <v>138</v>
      </c>
      <c r="AD1245" s="32" t="s">
        <v>138</v>
      </c>
      <c r="AE1245" s="32" t="s">
        <v>138</v>
      </c>
      <c r="AF1245" s="32" t="s">
        <v>138</v>
      </c>
      <c r="AG1245" s="28" t="s">
        <v>138</v>
      </c>
      <c r="AH1245" s="32" t="s">
        <v>138</v>
      </c>
      <c r="AI1245" s="32" t="s">
        <v>138</v>
      </c>
      <c r="AJ1245" s="32" t="s">
        <v>138</v>
      </c>
      <c r="AK1245" s="28" t="s">
        <v>24129</v>
      </c>
      <c r="AL1245" s="28" t="s">
        <v>24130</v>
      </c>
      <c r="AM1245" s="28" t="s">
        <v>304</v>
      </c>
      <c r="AN1245" s="28" t="s">
        <v>24131</v>
      </c>
      <c r="AO1245" s="28" t="s">
        <v>24132</v>
      </c>
      <c r="AP1245" s="28" t="s">
        <v>446</v>
      </c>
      <c r="AQ1245" s="28" t="s">
        <v>24133</v>
      </c>
      <c r="AR1245" s="28" t="s">
        <v>24134</v>
      </c>
      <c r="AS1245" s="28" t="s">
        <v>449</v>
      </c>
      <c r="AT1245" s="28" t="s">
        <v>4136</v>
      </c>
      <c r="AU1245" s="28" t="s">
        <v>24135</v>
      </c>
      <c r="AV1245" s="28" t="s">
        <v>450</v>
      </c>
      <c r="AW1245" s="28" t="s">
        <v>24136</v>
      </c>
      <c r="AX1245" s="28" t="s">
        <v>24137</v>
      </c>
      <c r="AY1245" s="28" t="s">
        <v>24138</v>
      </c>
      <c r="AZ1245" s="28" t="s">
        <v>452</v>
      </c>
      <c r="BA1245" s="28" t="s">
        <v>453</v>
      </c>
      <c r="BB1245" s="28" t="s">
        <v>24139</v>
      </c>
      <c r="BC1245" s="28" t="s">
        <v>24140</v>
      </c>
      <c r="BD1245" s="33">
        <v>7</v>
      </c>
      <c r="BE1245" s="28" t="s">
        <v>138</v>
      </c>
      <c r="BF1245" s="28" t="s">
        <v>138</v>
      </c>
      <c r="BG1245" s="28" t="s">
        <v>138</v>
      </c>
      <c r="BH1245" s="28" t="s">
        <v>24141</v>
      </c>
      <c r="BI1245" s="28" t="s">
        <v>138</v>
      </c>
      <c r="BJ1245" s="28" t="s">
        <v>138</v>
      </c>
      <c r="BK1245" s="28" t="s">
        <v>138</v>
      </c>
      <c r="BL1245" s="28" t="s">
        <v>138</v>
      </c>
      <c r="BM1245" s="34">
        <v>39295</v>
      </c>
      <c r="BN1245" s="29" t="s">
        <v>138</v>
      </c>
      <c r="BO1245" s="28" t="s">
        <v>138</v>
      </c>
      <c r="BP1245" s="29" t="s">
        <v>138</v>
      </c>
      <c r="BQ1245" s="28" t="s">
        <v>138</v>
      </c>
      <c r="BR1245" s="28" t="s">
        <v>176</v>
      </c>
      <c r="BS1245" s="28" t="s">
        <v>138</v>
      </c>
      <c r="BT1245" s="28" t="s">
        <v>138</v>
      </c>
      <c r="BU1245" s="28" t="s">
        <v>177</v>
      </c>
      <c r="BV1245" s="28" t="s">
        <v>138</v>
      </c>
      <c r="BW1245" s="28" t="s">
        <v>138</v>
      </c>
      <c r="BX1245" s="28" t="s">
        <v>138</v>
      </c>
      <c r="BY1245" s="28" t="s">
        <v>175</v>
      </c>
      <c r="BZ1245" s="34">
        <v>41192</v>
      </c>
      <c r="CA1245" s="29" t="s">
        <v>138</v>
      </c>
      <c r="CB1245" s="28" t="s">
        <v>138</v>
      </c>
      <c r="CC1245" s="29" t="s">
        <v>138</v>
      </c>
      <c r="CD1245" s="28" t="s">
        <v>138</v>
      </c>
      <c r="CE1245" s="28" t="s">
        <v>205</v>
      </c>
      <c r="CF1245" s="28" t="s">
        <v>720</v>
      </c>
      <c r="CG1245" s="28" t="s">
        <v>138</v>
      </c>
      <c r="CH1245" s="28" t="s">
        <v>174</v>
      </c>
      <c r="CI1245" s="28" t="s">
        <v>138</v>
      </c>
      <c r="CJ1245" s="28" t="s">
        <v>138</v>
      </c>
      <c r="CK1245" s="28" t="s">
        <v>138</v>
      </c>
      <c r="CL1245" s="28" t="s">
        <v>175</v>
      </c>
      <c r="CM1245" s="34" t="s">
        <v>138</v>
      </c>
      <c r="CN1245" s="29" t="s">
        <v>138</v>
      </c>
      <c r="CO1245" s="35">
        <v>0</v>
      </c>
      <c r="CP1245" s="36">
        <v>26</v>
      </c>
      <c r="CQ1245" s="35">
        <v>0</v>
      </c>
      <c r="CR1245" s="35">
        <v>0</v>
      </c>
      <c r="CS1245" s="35">
        <v>0</v>
      </c>
      <c r="CT1245" s="36">
        <v>23</v>
      </c>
      <c r="CU1245" s="35" t="s">
        <v>138</v>
      </c>
      <c r="CV1245" s="36" t="s">
        <v>138</v>
      </c>
      <c r="CW1245" s="35" t="s">
        <v>138</v>
      </c>
      <c r="CX1245" s="36" t="s">
        <v>138</v>
      </c>
      <c r="CY1245" s="35">
        <v>0</v>
      </c>
      <c r="CZ1245" s="36">
        <v>25</v>
      </c>
      <c r="DA1245" s="35" t="s">
        <v>138</v>
      </c>
      <c r="DB1245" s="36" t="s">
        <v>138</v>
      </c>
      <c r="DC1245" s="37">
        <v>1.59</v>
      </c>
      <c r="DD1245" s="36">
        <v>62</v>
      </c>
      <c r="DE1245" s="37">
        <v>7.0000000000000007E-2</v>
      </c>
      <c r="DF1245" s="35">
        <v>4.55</v>
      </c>
      <c r="DG1245" s="37">
        <v>1.59</v>
      </c>
      <c r="DH1245" s="36">
        <v>62</v>
      </c>
      <c r="DI1245" s="37" t="s">
        <v>138</v>
      </c>
      <c r="DJ1245" s="36" t="s">
        <v>138</v>
      </c>
      <c r="DK1245" s="37" t="s">
        <v>138</v>
      </c>
      <c r="DL1245" s="36" t="s">
        <v>138</v>
      </c>
      <c r="DM1245" s="37">
        <v>1.59</v>
      </c>
      <c r="DN1245" s="36">
        <v>61</v>
      </c>
      <c r="DO1245" s="37" t="s">
        <v>138</v>
      </c>
      <c r="DP1245" s="36" t="s">
        <v>138</v>
      </c>
      <c r="DQ1245" s="36" t="s">
        <v>138</v>
      </c>
      <c r="DR1245" s="38" t="s">
        <v>138</v>
      </c>
      <c r="DS1245" s="35" t="s">
        <v>138</v>
      </c>
      <c r="DT1245" s="36">
        <v>45</v>
      </c>
      <c r="DU1245" s="38">
        <v>2</v>
      </c>
      <c r="DV1245" s="35">
        <v>4.6500000000000004</v>
      </c>
      <c r="DW1245" s="36" t="s">
        <v>138</v>
      </c>
      <c r="DX1245" s="39" t="s">
        <v>138</v>
      </c>
      <c r="DY1245" s="35" t="s">
        <v>138</v>
      </c>
      <c r="DZ1245" s="28" t="s">
        <v>178</v>
      </c>
      <c r="EA1245" s="34">
        <v>43607</v>
      </c>
      <c r="EB1245" s="29" t="s">
        <v>138</v>
      </c>
      <c r="EC1245" s="34" t="s">
        <v>138</v>
      </c>
      <c r="ED1245" s="28" t="s">
        <v>138</v>
      </c>
      <c r="EE1245" s="40" t="str">
        <f>HYPERLINK("https://my.pitchbook.com?c=55839-79", "View company online")</f>
        <v>View company online</v>
      </c>
    </row>
    <row r="1246" spans="1:135">
      <c r="A1246" s="15" t="s">
        <v>24142</v>
      </c>
      <c r="B1246" s="15" t="s">
        <v>24143</v>
      </c>
      <c r="C1246" s="15" t="s">
        <v>138</v>
      </c>
      <c r="D1246" s="15" t="s">
        <v>138</v>
      </c>
      <c r="E1246" s="15" t="s">
        <v>138</v>
      </c>
      <c r="F1246" s="15" t="s">
        <v>24142</v>
      </c>
      <c r="G1246" s="15" t="s">
        <v>24144</v>
      </c>
      <c r="H1246" s="15" t="s">
        <v>141</v>
      </c>
      <c r="I1246" s="15" t="s">
        <v>142</v>
      </c>
      <c r="J1246" s="15" t="s">
        <v>1375</v>
      </c>
      <c r="K1246" s="15" t="s">
        <v>24145</v>
      </c>
      <c r="L1246" s="15" t="s">
        <v>3589</v>
      </c>
      <c r="M1246" s="15" t="s">
        <v>24146</v>
      </c>
      <c r="N1246" s="15" t="s">
        <v>147</v>
      </c>
      <c r="O1246" s="17">
        <v>5.96</v>
      </c>
      <c r="P1246" s="15" t="s">
        <v>148</v>
      </c>
      <c r="Q1246" s="15" t="s">
        <v>149</v>
      </c>
      <c r="R1246" s="15" t="s">
        <v>174</v>
      </c>
      <c r="S1246" s="15" t="s">
        <v>24147</v>
      </c>
      <c r="T1246" s="18" t="s">
        <v>138</v>
      </c>
      <c r="U1246" s="15" t="s">
        <v>138</v>
      </c>
      <c r="V1246" s="15" t="s">
        <v>138</v>
      </c>
      <c r="W1246" s="15" t="s">
        <v>138</v>
      </c>
      <c r="X1246" s="19">
        <v>2007</v>
      </c>
      <c r="Y1246" s="15" t="s">
        <v>138</v>
      </c>
      <c r="Z1246" s="15" t="s">
        <v>138</v>
      </c>
      <c r="AA1246" s="15" t="s">
        <v>138</v>
      </c>
      <c r="AB1246" s="20" t="s">
        <v>138</v>
      </c>
      <c r="AC1246" s="20" t="s">
        <v>138</v>
      </c>
      <c r="AD1246" s="20" t="s">
        <v>138</v>
      </c>
      <c r="AE1246" s="20" t="s">
        <v>138</v>
      </c>
      <c r="AF1246" s="20" t="s">
        <v>138</v>
      </c>
      <c r="AG1246" s="15" t="s">
        <v>138</v>
      </c>
      <c r="AH1246" s="20" t="s">
        <v>138</v>
      </c>
      <c r="AI1246" s="20" t="s">
        <v>138</v>
      </c>
      <c r="AJ1246" s="20" t="s">
        <v>138</v>
      </c>
      <c r="AK1246" s="15" t="s">
        <v>24148</v>
      </c>
      <c r="AL1246" s="15" t="s">
        <v>24149</v>
      </c>
      <c r="AM1246" s="15" t="s">
        <v>5401</v>
      </c>
      <c r="AN1246" s="15" t="s">
        <v>24150</v>
      </c>
      <c r="AO1246" s="15" t="s">
        <v>24151</v>
      </c>
      <c r="AP1246" s="15" t="s">
        <v>1195</v>
      </c>
      <c r="AQ1246" s="15" t="s">
        <v>24152</v>
      </c>
      <c r="AR1246" s="15" t="s">
        <v>138</v>
      </c>
      <c r="AS1246" s="15" t="s">
        <v>1198</v>
      </c>
      <c r="AT1246" s="15" t="s">
        <v>20851</v>
      </c>
      <c r="AU1246" s="15" t="s">
        <v>24153</v>
      </c>
      <c r="AV1246" s="15" t="s">
        <v>1200</v>
      </c>
      <c r="AW1246" s="15" t="s">
        <v>24151</v>
      </c>
      <c r="AX1246" s="15" t="s">
        <v>138</v>
      </c>
      <c r="AY1246" s="15" t="s">
        <v>24154</v>
      </c>
      <c r="AZ1246" s="15" t="s">
        <v>452</v>
      </c>
      <c r="BA1246" s="15" t="s">
        <v>453</v>
      </c>
      <c r="BB1246" s="15" t="s">
        <v>24155</v>
      </c>
      <c r="BC1246" s="15" t="s">
        <v>24156</v>
      </c>
      <c r="BD1246" s="21">
        <v>12</v>
      </c>
      <c r="BE1246" s="15" t="s">
        <v>138</v>
      </c>
      <c r="BF1246" s="15" t="s">
        <v>138</v>
      </c>
      <c r="BG1246" s="15" t="s">
        <v>138</v>
      </c>
      <c r="BH1246" s="15" t="s">
        <v>24157</v>
      </c>
      <c r="BI1246" s="15" t="s">
        <v>138</v>
      </c>
      <c r="BJ1246" s="15" t="s">
        <v>138</v>
      </c>
      <c r="BK1246" s="15" t="s">
        <v>138</v>
      </c>
      <c r="BL1246" s="15" t="s">
        <v>138</v>
      </c>
      <c r="BM1246" s="22" t="s">
        <v>138</v>
      </c>
      <c r="BN1246" s="17" t="s">
        <v>138</v>
      </c>
      <c r="BO1246" s="15" t="s">
        <v>138</v>
      </c>
      <c r="BP1246" s="17" t="s">
        <v>138</v>
      </c>
      <c r="BQ1246" s="15" t="s">
        <v>138</v>
      </c>
      <c r="BR1246" s="15" t="s">
        <v>234</v>
      </c>
      <c r="BS1246" s="15" t="s">
        <v>234</v>
      </c>
      <c r="BT1246" s="15" t="s">
        <v>138</v>
      </c>
      <c r="BU1246" s="15" t="s">
        <v>174</v>
      </c>
      <c r="BV1246" s="15" t="s">
        <v>138</v>
      </c>
      <c r="BW1246" s="15" t="s">
        <v>138</v>
      </c>
      <c r="BX1246" s="15" t="s">
        <v>138</v>
      </c>
      <c r="BY1246" s="15" t="s">
        <v>175</v>
      </c>
      <c r="BZ1246" s="22">
        <v>41837</v>
      </c>
      <c r="CA1246" s="17">
        <v>4.43</v>
      </c>
      <c r="CB1246" s="15" t="s">
        <v>172</v>
      </c>
      <c r="CC1246" s="17" t="s">
        <v>138</v>
      </c>
      <c r="CD1246" s="15" t="s">
        <v>138</v>
      </c>
      <c r="CE1246" s="15" t="s">
        <v>173</v>
      </c>
      <c r="CF1246" s="15" t="s">
        <v>138</v>
      </c>
      <c r="CG1246" s="15" t="s">
        <v>138</v>
      </c>
      <c r="CH1246" s="15" t="s">
        <v>174</v>
      </c>
      <c r="CI1246" s="15" t="s">
        <v>138</v>
      </c>
      <c r="CJ1246" s="15" t="s">
        <v>138</v>
      </c>
      <c r="CK1246" s="15" t="s">
        <v>138</v>
      </c>
      <c r="CL1246" s="15" t="s">
        <v>175</v>
      </c>
      <c r="CM1246" s="22" t="s">
        <v>138</v>
      </c>
      <c r="CN1246" s="17" t="s">
        <v>138</v>
      </c>
      <c r="CO1246" s="23">
        <v>0</v>
      </c>
      <c r="CP1246" s="24">
        <v>26</v>
      </c>
      <c r="CQ1246" s="23">
        <v>0</v>
      </c>
      <c r="CR1246" s="23">
        <v>0</v>
      </c>
      <c r="CS1246" s="23">
        <v>0</v>
      </c>
      <c r="CT1246" s="24">
        <v>23</v>
      </c>
      <c r="CU1246" s="23" t="s">
        <v>138</v>
      </c>
      <c r="CV1246" s="24" t="s">
        <v>138</v>
      </c>
      <c r="CW1246" s="23" t="s">
        <v>138</v>
      </c>
      <c r="CX1246" s="24" t="s">
        <v>138</v>
      </c>
      <c r="CY1246" s="23">
        <v>0</v>
      </c>
      <c r="CZ1246" s="24">
        <v>25</v>
      </c>
      <c r="DA1246" s="23" t="s">
        <v>138</v>
      </c>
      <c r="DB1246" s="24" t="s">
        <v>138</v>
      </c>
      <c r="DC1246" s="25">
        <v>0.41</v>
      </c>
      <c r="DD1246" s="24">
        <v>29</v>
      </c>
      <c r="DE1246" s="25">
        <v>0</v>
      </c>
      <c r="DF1246" s="23">
        <v>0</v>
      </c>
      <c r="DG1246" s="25">
        <v>0.41</v>
      </c>
      <c r="DH1246" s="24">
        <v>29</v>
      </c>
      <c r="DI1246" s="25" t="s">
        <v>138</v>
      </c>
      <c r="DJ1246" s="24" t="s">
        <v>138</v>
      </c>
      <c r="DK1246" s="25" t="s">
        <v>138</v>
      </c>
      <c r="DL1246" s="24" t="s">
        <v>138</v>
      </c>
      <c r="DM1246" s="25">
        <v>0.41</v>
      </c>
      <c r="DN1246" s="24">
        <v>30</v>
      </c>
      <c r="DO1246" s="25" t="s">
        <v>138</v>
      </c>
      <c r="DP1246" s="24" t="s">
        <v>138</v>
      </c>
      <c r="DQ1246" s="24" t="s">
        <v>138</v>
      </c>
      <c r="DR1246" s="26" t="s">
        <v>138</v>
      </c>
      <c r="DS1246" s="23" t="s">
        <v>138</v>
      </c>
      <c r="DT1246" s="24">
        <v>12</v>
      </c>
      <c r="DU1246" s="26">
        <v>0</v>
      </c>
      <c r="DV1246" s="23">
        <v>0</v>
      </c>
      <c r="DW1246" s="24" t="s">
        <v>138</v>
      </c>
      <c r="DX1246" s="27" t="s">
        <v>138</v>
      </c>
      <c r="DY1246" s="23" t="s">
        <v>138</v>
      </c>
      <c r="DZ1246" s="15" t="s">
        <v>178</v>
      </c>
      <c r="EA1246" s="22">
        <v>43351</v>
      </c>
      <c r="EB1246" s="17" t="s">
        <v>138</v>
      </c>
      <c r="EC1246" s="22" t="s">
        <v>138</v>
      </c>
      <c r="ED1246" s="15" t="s">
        <v>138</v>
      </c>
      <c r="EE1246" s="14" t="str">
        <f>HYPERLINK("https://my.pitchbook.com?c=59971-42", "View company online")</f>
        <v>View company online</v>
      </c>
    </row>
    <row r="1247" spans="1:135">
      <c r="A1247" s="28" t="s">
        <v>24158</v>
      </c>
      <c r="B1247" s="28" t="s">
        <v>24159</v>
      </c>
      <c r="C1247" s="28" t="s">
        <v>24160</v>
      </c>
      <c r="D1247" s="28" t="s">
        <v>24161</v>
      </c>
      <c r="E1247" s="28" t="s">
        <v>24162</v>
      </c>
      <c r="F1247" s="28" t="s">
        <v>24158</v>
      </c>
      <c r="G1247" s="28" t="s">
        <v>24163</v>
      </c>
      <c r="H1247" s="28" t="s">
        <v>322</v>
      </c>
      <c r="I1247" s="28" t="s">
        <v>323</v>
      </c>
      <c r="J1247" s="28" t="s">
        <v>1084</v>
      </c>
      <c r="K1247" s="28" t="s">
        <v>1085</v>
      </c>
      <c r="L1247" s="28" t="s">
        <v>2641</v>
      </c>
      <c r="M1247" s="28" t="s">
        <v>24164</v>
      </c>
      <c r="N1247" s="28" t="s">
        <v>147</v>
      </c>
      <c r="O1247" s="29">
        <v>74</v>
      </c>
      <c r="P1247" s="28" t="s">
        <v>934</v>
      </c>
      <c r="Q1247" s="28" t="s">
        <v>149</v>
      </c>
      <c r="R1247" s="28" t="s">
        <v>174</v>
      </c>
      <c r="S1247" s="28" t="s">
        <v>24165</v>
      </c>
      <c r="T1247" s="30">
        <v>70</v>
      </c>
      <c r="U1247" s="28" t="s">
        <v>24166</v>
      </c>
      <c r="V1247" s="28" t="s">
        <v>138</v>
      </c>
      <c r="W1247" s="28" t="s">
        <v>138</v>
      </c>
      <c r="X1247" s="31">
        <v>2011</v>
      </c>
      <c r="Y1247" s="28" t="s">
        <v>138</v>
      </c>
      <c r="Z1247" s="28" t="s">
        <v>138</v>
      </c>
      <c r="AA1247" s="28" t="s">
        <v>138</v>
      </c>
      <c r="AB1247" s="32">
        <v>15</v>
      </c>
      <c r="AC1247" s="32" t="s">
        <v>138</v>
      </c>
      <c r="AD1247" s="32" t="s">
        <v>138</v>
      </c>
      <c r="AE1247" s="32" t="s">
        <v>138</v>
      </c>
      <c r="AF1247" s="32" t="s">
        <v>138</v>
      </c>
      <c r="AG1247" s="28" t="s">
        <v>419</v>
      </c>
      <c r="AH1247" s="32" t="s">
        <v>138</v>
      </c>
      <c r="AI1247" s="32" t="s">
        <v>138</v>
      </c>
      <c r="AJ1247" s="32" t="s">
        <v>138</v>
      </c>
      <c r="AK1247" s="28" t="s">
        <v>24167</v>
      </c>
      <c r="AL1247" s="28" t="s">
        <v>24168</v>
      </c>
      <c r="AM1247" s="28" t="s">
        <v>304</v>
      </c>
      <c r="AN1247" s="28" t="s">
        <v>24169</v>
      </c>
      <c r="AO1247" s="28" t="s">
        <v>24170</v>
      </c>
      <c r="AP1247" s="28" t="s">
        <v>964</v>
      </c>
      <c r="AQ1247" s="28" t="s">
        <v>24171</v>
      </c>
      <c r="AR1247" s="28" t="s">
        <v>138</v>
      </c>
      <c r="AS1247" s="28" t="s">
        <v>966</v>
      </c>
      <c r="AT1247" s="28" t="s">
        <v>200</v>
      </c>
      <c r="AU1247" s="28" t="s">
        <v>967</v>
      </c>
      <c r="AV1247" s="28" t="s">
        <v>162</v>
      </c>
      <c r="AW1247" s="28" t="s">
        <v>24170</v>
      </c>
      <c r="AX1247" s="28" t="s">
        <v>138</v>
      </c>
      <c r="AY1247" s="28" t="s">
        <v>138</v>
      </c>
      <c r="AZ1247" s="28" t="s">
        <v>164</v>
      </c>
      <c r="BA1247" s="28" t="s">
        <v>165</v>
      </c>
      <c r="BB1247" s="28" t="s">
        <v>24172</v>
      </c>
      <c r="BC1247" s="28" t="s">
        <v>24173</v>
      </c>
      <c r="BD1247" s="33">
        <v>15</v>
      </c>
      <c r="BE1247" s="28" t="s">
        <v>138</v>
      </c>
      <c r="BF1247" s="28" t="s">
        <v>138</v>
      </c>
      <c r="BG1247" s="28" t="s">
        <v>138</v>
      </c>
      <c r="BH1247" s="28" t="s">
        <v>24174</v>
      </c>
      <c r="BI1247" s="28" t="s">
        <v>138</v>
      </c>
      <c r="BJ1247" s="28" t="s">
        <v>138</v>
      </c>
      <c r="BK1247" s="28" t="s">
        <v>2828</v>
      </c>
      <c r="BL1247" s="28" t="s">
        <v>1251</v>
      </c>
      <c r="BM1247" s="34">
        <v>41277</v>
      </c>
      <c r="BN1247" s="29">
        <v>1.72</v>
      </c>
      <c r="BO1247" s="28" t="s">
        <v>172</v>
      </c>
      <c r="BP1247" s="29">
        <v>6.22</v>
      </c>
      <c r="BQ1247" s="28" t="s">
        <v>172</v>
      </c>
      <c r="BR1247" s="28" t="s">
        <v>234</v>
      </c>
      <c r="BS1247" s="28" t="s">
        <v>234</v>
      </c>
      <c r="BT1247" s="28" t="s">
        <v>138</v>
      </c>
      <c r="BU1247" s="28" t="s">
        <v>174</v>
      </c>
      <c r="BV1247" s="28" t="s">
        <v>138</v>
      </c>
      <c r="BW1247" s="28" t="s">
        <v>138</v>
      </c>
      <c r="BX1247" s="28" t="s">
        <v>138</v>
      </c>
      <c r="BY1247" s="28" t="s">
        <v>175</v>
      </c>
      <c r="BZ1247" s="34">
        <v>43069</v>
      </c>
      <c r="CA1247" s="29">
        <v>40</v>
      </c>
      <c r="CB1247" s="28" t="s">
        <v>172</v>
      </c>
      <c r="CC1247" s="29">
        <v>200</v>
      </c>
      <c r="CD1247" s="28" t="s">
        <v>172</v>
      </c>
      <c r="CE1247" s="28" t="s">
        <v>173</v>
      </c>
      <c r="CF1247" s="28" t="s">
        <v>317</v>
      </c>
      <c r="CG1247" s="28" t="s">
        <v>138</v>
      </c>
      <c r="CH1247" s="28" t="s">
        <v>174</v>
      </c>
      <c r="CI1247" s="28" t="s">
        <v>138</v>
      </c>
      <c r="CJ1247" s="28" t="s">
        <v>138</v>
      </c>
      <c r="CK1247" s="28" t="s">
        <v>138</v>
      </c>
      <c r="CL1247" s="28" t="s">
        <v>175</v>
      </c>
      <c r="CM1247" s="34" t="s">
        <v>138</v>
      </c>
      <c r="CN1247" s="29" t="s">
        <v>138</v>
      </c>
      <c r="CO1247" s="35">
        <v>0.39</v>
      </c>
      <c r="CP1247" s="36">
        <v>94</v>
      </c>
      <c r="CQ1247" s="35">
        <v>-0.13</v>
      </c>
      <c r="CR1247" s="35">
        <v>-24.12</v>
      </c>
      <c r="CS1247" s="35">
        <v>0.27</v>
      </c>
      <c r="CT1247" s="36">
        <v>95</v>
      </c>
      <c r="CU1247" s="35">
        <v>0.52</v>
      </c>
      <c r="CV1247" s="36">
        <v>94</v>
      </c>
      <c r="CW1247" s="35">
        <v>0.54</v>
      </c>
      <c r="CX1247" s="36">
        <v>83</v>
      </c>
      <c r="CY1247" s="35">
        <v>-0.01</v>
      </c>
      <c r="CZ1247" s="36">
        <v>24</v>
      </c>
      <c r="DA1247" s="35">
        <v>0.52</v>
      </c>
      <c r="DB1247" s="36">
        <v>94</v>
      </c>
      <c r="DC1247" s="37">
        <v>49.96</v>
      </c>
      <c r="DD1247" s="36">
        <v>98</v>
      </c>
      <c r="DE1247" s="37">
        <v>-1.17</v>
      </c>
      <c r="DF1247" s="35">
        <v>-2.29</v>
      </c>
      <c r="DG1247" s="37">
        <v>59.82</v>
      </c>
      <c r="DH1247" s="36">
        <v>99</v>
      </c>
      <c r="DI1247" s="37">
        <v>40.1</v>
      </c>
      <c r="DJ1247" s="36">
        <v>94</v>
      </c>
      <c r="DK1247" s="37">
        <v>50.87</v>
      </c>
      <c r="DL1247" s="36">
        <v>96</v>
      </c>
      <c r="DM1247" s="37">
        <v>68.760000000000005</v>
      </c>
      <c r="DN1247" s="36">
        <v>99</v>
      </c>
      <c r="DO1247" s="37">
        <v>40.1</v>
      </c>
      <c r="DP1247" s="36">
        <v>96</v>
      </c>
      <c r="DQ1247" s="36">
        <v>17427</v>
      </c>
      <c r="DR1247" s="38">
        <v>66</v>
      </c>
      <c r="DS1247" s="35">
        <v>0.38</v>
      </c>
      <c r="DT1247" s="36">
        <v>1981</v>
      </c>
      <c r="DU1247" s="38">
        <v>36</v>
      </c>
      <c r="DV1247" s="35">
        <v>1.85</v>
      </c>
      <c r="DW1247" s="36">
        <v>14333</v>
      </c>
      <c r="DX1247" s="39">
        <v>69</v>
      </c>
      <c r="DY1247" s="35">
        <v>0.48</v>
      </c>
      <c r="DZ1247" s="28" t="s">
        <v>178</v>
      </c>
      <c r="EA1247" s="34">
        <v>43622</v>
      </c>
      <c r="EB1247" s="29">
        <v>200</v>
      </c>
      <c r="EC1247" s="34">
        <v>43069</v>
      </c>
      <c r="ED1247" s="28" t="s">
        <v>173</v>
      </c>
      <c r="EE1247" s="40" t="str">
        <f>HYPERLINK("https://my.pitchbook.com?c=55882-36", "View company online")</f>
        <v>View company online</v>
      </c>
    </row>
    <row r="1248" spans="1:135">
      <c r="A1248" s="15" t="s">
        <v>24175</v>
      </c>
      <c r="B1248" s="15" t="s">
        <v>24176</v>
      </c>
      <c r="C1248" s="15" t="s">
        <v>24177</v>
      </c>
      <c r="D1248" s="15" t="s">
        <v>138</v>
      </c>
      <c r="E1248" s="15" t="s">
        <v>24178</v>
      </c>
      <c r="F1248" s="15" t="s">
        <v>24175</v>
      </c>
      <c r="G1248" s="15" t="s">
        <v>24179</v>
      </c>
      <c r="H1248" s="15" t="s">
        <v>322</v>
      </c>
      <c r="I1248" s="15" t="s">
        <v>323</v>
      </c>
      <c r="J1248" s="15" t="s">
        <v>1132</v>
      </c>
      <c r="K1248" s="15" t="s">
        <v>24180</v>
      </c>
      <c r="L1248" s="15" t="s">
        <v>24181</v>
      </c>
      <c r="M1248" s="15" t="s">
        <v>24182</v>
      </c>
      <c r="N1248" s="15" t="s">
        <v>147</v>
      </c>
      <c r="O1248" s="17">
        <v>321.25</v>
      </c>
      <c r="P1248" s="15" t="s">
        <v>148</v>
      </c>
      <c r="Q1248" s="15" t="s">
        <v>149</v>
      </c>
      <c r="R1248" s="15" t="s">
        <v>174</v>
      </c>
      <c r="S1248" s="15" t="s">
        <v>24183</v>
      </c>
      <c r="T1248" s="18">
        <v>600</v>
      </c>
      <c r="U1248" s="15" t="s">
        <v>24184</v>
      </c>
      <c r="V1248" s="15" t="s">
        <v>138</v>
      </c>
      <c r="W1248" s="15" t="s">
        <v>138</v>
      </c>
      <c r="X1248" s="19">
        <v>2011</v>
      </c>
      <c r="Y1248" s="15" t="s">
        <v>138</v>
      </c>
      <c r="Z1248" s="15" t="s">
        <v>138</v>
      </c>
      <c r="AA1248" s="15" t="s">
        <v>138</v>
      </c>
      <c r="AB1248" s="20">
        <v>0.1</v>
      </c>
      <c r="AC1248" s="20" t="s">
        <v>138</v>
      </c>
      <c r="AD1248" s="20" t="s">
        <v>138</v>
      </c>
      <c r="AE1248" s="20" t="s">
        <v>138</v>
      </c>
      <c r="AF1248" s="20" t="s">
        <v>138</v>
      </c>
      <c r="AG1248" s="15" t="s">
        <v>419</v>
      </c>
      <c r="AH1248" s="20" t="s">
        <v>138</v>
      </c>
      <c r="AI1248" s="20" t="s">
        <v>138</v>
      </c>
      <c r="AJ1248" s="20" t="s">
        <v>138</v>
      </c>
      <c r="AK1248" s="15" t="s">
        <v>24185</v>
      </c>
      <c r="AL1248" s="15" t="s">
        <v>24186</v>
      </c>
      <c r="AM1248" s="15" t="s">
        <v>2413</v>
      </c>
      <c r="AN1248" s="15" t="s">
        <v>24187</v>
      </c>
      <c r="AO1248" s="15" t="s">
        <v>24188</v>
      </c>
      <c r="AP1248" s="15" t="s">
        <v>665</v>
      </c>
      <c r="AQ1248" s="15" t="s">
        <v>24189</v>
      </c>
      <c r="AR1248" s="15" t="s">
        <v>138</v>
      </c>
      <c r="AS1248" s="15" t="s">
        <v>668</v>
      </c>
      <c r="AT1248" s="15" t="s">
        <v>200</v>
      </c>
      <c r="AU1248" s="15" t="s">
        <v>3557</v>
      </c>
      <c r="AV1248" s="15" t="s">
        <v>162</v>
      </c>
      <c r="AW1248" s="15" t="s">
        <v>24188</v>
      </c>
      <c r="AX1248" s="15" t="s">
        <v>138</v>
      </c>
      <c r="AY1248" s="15" t="s">
        <v>24190</v>
      </c>
      <c r="AZ1248" s="15" t="s">
        <v>164</v>
      </c>
      <c r="BA1248" s="15" t="s">
        <v>165</v>
      </c>
      <c r="BB1248" s="15" t="s">
        <v>24191</v>
      </c>
      <c r="BC1248" s="15" t="s">
        <v>24192</v>
      </c>
      <c r="BD1248" s="21">
        <v>106</v>
      </c>
      <c r="BE1248" s="15" t="s">
        <v>138</v>
      </c>
      <c r="BF1248" s="15" t="s">
        <v>138</v>
      </c>
      <c r="BG1248" s="15" t="s">
        <v>138</v>
      </c>
      <c r="BH1248" s="15" t="s">
        <v>24193</v>
      </c>
      <c r="BI1248" s="15" t="s">
        <v>138</v>
      </c>
      <c r="BJ1248" s="15" t="s">
        <v>138</v>
      </c>
      <c r="BK1248" s="15" t="s">
        <v>24194</v>
      </c>
      <c r="BL1248" s="15" t="s">
        <v>2936</v>
      </c>
      <c r="BM1248" s="22">
        <v>41254</v>
      </c>
      <c r="BN1248" s="17">
        <v>6.1</v>
      </c>
      <c r="BO1248" s="15" t="s">
        <v>172</v>
      </c>
      <c r="BP1248" s="17">
        <v>32.619999999999997</v>
      </c>
      <c r="BQ1248" s="15" t="s">
        <v>172</v>
      </c>
      <c r="BR1248" s="15" t="s">
        <v>234</v>
      </c>
      <c r="BS1248" s="15" t="s">
        <v>234</v>
      </c>
      <c r="BT1248" s="15" t="s">
        <v>138</v>
      </c>
      <c r="BU1248" s="15" t="s">
        <v>174</v>
      </c>
      <c r="BV1248" s="15" t="s">
        <v>138</v>
      </c>
      <c r="BW1248" s="15" t="s">
        <v>138</v>
      </c>
      <c r="BX1248" s="15" t="s">
        <v>138</v>
      </c>
      <c r="BY1248" s="15" t="s">
        <v>175</v>
      </c>
      <c r="BZ1248" s="22">
        <v>43312</v>
      </c>
      <c r="CA1248" s="17">
        <v>145.15</v>
      </c>
      <c r="CB1248" s="15" t="s">
        <v>172</v>
      </c>
      <c r="CC1248" s="17">
        <v>2000</v>
      </c>
      <c r="CD1248" s="15" t="s">
        <v>172</v>
      </c>
      <c r="CE1248" s="15" t="s">
        <v>173</v>
      </c>
      <c r="CF1248" s="15" t="s">
        <v>317</v>
      </c>
      <c r="CG1248" s="15" t="s">
        <v>138</v>
      </c>
      <c r="CH1248" s="15" t="s">
        <v>174</v>
      </c>
      <c r="CI1248" s="15" t="s">
        <v>138</v>
      </c>
      <c r="CJ1248" s="15" t="s">
        <v>138</v>
      </c>
      <c r="CK1248" s="15" t="s">
        <v>138</v>
      </c>
      <c r="CL1248" s="15" t="s">
        <v>175</v>
      </c>
      <c r="CM1248" s="22" t="s">
        <v>138</v>
      </c>
      <c r="CN1248" s="17" t="s">
        <v>138</v>
      </c>
      <c r="CO1248" s="23">
        <v>1.97</v>
      </c>
      <c r="CP1248" s="24">
        <v>99</v>
      </c>
      <c r="CQ1248" s="23">
        <v>-0.01</v>
      </c>
      <c r="CR1248" s="23">
        <v>-0.38</v>
      </c>
      <c r="CS1248" s="23">
        <v>3.83</v>
      </c>
      <c r="CT1248" s="24">
        <v>100</v>
      </c>
      <c r="CU1248" s="23">
        <v>0.12</v>
      </c>
      <c r="CV1248" s="24">
        <v>71</v>
      </c>
      <c r="CW1248" s="23">
        <v>3.83</v>
      </c>
      <c r="CX1248" s="24">
        <v>93</v>
      </c>
      <c r="CY1248" s="23" t="s">
        <v>138</v>
      </c>
      <c r="CZ1248" s="24" t="s">
        <v>138</v>
      </c>
      <c r="DA1248" s="23">
        <v>0.19</v>
      </c>
      <c r="DB1248" s="24">
        <v>82</v>
      </c>
      <c r="DC1248" s="25">
        <v>512.49</v>
      </c>
      <c r="DD1248" s="24">
        <v>100</v>
      </c>
      <c r="DE1248" s="25">
        <v>-62.93</v>
      </c>
      <c r="DF1248" s="23">
        <v>-10.94</v>
      </c>
      <c r="DG1248" s="25">
        <v>981.95</v>
      </c>
      <c r="DH1248" s="24">
        <v>100</v>
      </c>
      <c r="DI1248" s="25">
        <v>43.04</v>
      </c>
      <c r="DJ1248" s="24">
        <v>94</v>
      </c>
      <c r="DK1248" s="25">
        <v>981.95</v>
      </c>
      <c r="DL1248" s="24">
        <v>100</v>
      </c>
      <c r="DM1248" s="25" t="s">
        <v>138</v>
      </c>
      <c r="DN1248" s="24" t="s">
        <v>138</v>
      </c>
      <c r="DO1248" s="25">
        <v>37.53</v>
      </c>
      <c r="DP1248" s="24">
        <v>95</v>
      </c>
      <c r="DQ1248" s="24">
        <v>332116</v>
      </c>
      <c r="DR1248" s="26">
        <v>14075</v>
      </c>
      <c r="DS1248" s="23">
        <v>4.43</v>
      </c>
      <c r="DT1248" s="24" t="s">
        <v>138</v>
      </c>
      <c r="DU1248" s="26" t="s">
        <v>138</v>
      </c>
      <c r="DV1248" s="23" t="s">
        <v>138</v>
      </c>
      <c r="DW1248" s="24">
        <v>13424</v>
      </c>
      <c r="DX1248" s="27">
        <v>22</v>
      </c>
      <c r="DY1248" s="23">
        <v>0.16</v>
      </c>
      <c r="DZ1248" s="15" t="s">
        <v>178</v>
      </c>
      <c r="EA1248" s="22">
        <v>43622</v>
      </c>
      <c r="EB1248" s="17">
        <v>2000</v>
      </c>
      <c r="EC1248" s="22">
        <v>43312</v>
      </c>
      <c r="ED1248" s="15" t="s">
        <v>173</v>
      </c>
      <c r="EE1248" s="14" t="str">
        <f>HYPERLINK("https://my.pitchbook.com?c=55758-97", "View company online")</f>
        <v>View company online</v>
      </c>
    </row>
    <row r="1249" spans="1:135">
      <c r="A1249" s="28" t="s">
        <v>24195</v>
      </c>
      <c r="B1249" s="28" t="s">
        <v>24196</v>
      </c>
      <c r="C1249" s="28" t="s">
        <v>138</v>
      </c>
      <c r="D1249" s="28" t="s">
        <v>138</v>
      </c>
      <c r="E1249" s="28" t="s">
        <v>24197</v>
      </c>
      <c r="F1249" s="28" t="s">
        <v>24195</v>
      </c>
      <c r="G1249" s="28" t="s">
        <v>24198</v>
      </c>
      <c r="H1249" s="28" t="s">
        <v>322</v>
      </c>
      <c r="I1249" s="28" t="s">
        <v>323</v>
      </c>
      <c r="J1249" s="28" t="s">
        <v>324</v>
      </c>
      <c r="K1249" s="28" t="s">
        <v>325</v>
      </c>
      <c r="L1249" s="28" t="s">
        <v>4503</v>
      </c>
      <c r="M1249" s="28" t="s">
        <v>24199</v>
      </c>
      <c r="N1249" s="28" t="s">
        <v>147</v>
      </c>
      <c r="O1249" s="29">
        <v>38.049999999999997</v>
      </c>
      <c r="P1249" s="28" t="s">
        <v>148</v>
      </c>
      <c r="Q1249" s="28" t="s">
        <v>149</v>
      </c>
      <c r="R1249" s="28" t="s">
        <v>174</v>
      </c>
      <c r="S1249" s="28" t="s">
        <v>24200</v>
      </c>
      <c r="T1249" s="30">
        <v>90</v>
      </c>
      <c r="U1249" s="28" t="s">
        <v>24201</v>
      </c>
      <c r="V1249" s="28" t="s">
        <v>138</v>
      </c>
      <c r="W1249" s="28" t="s">
        <v>138</v>
      </c>
      <c r="X1249" s="31">
        <v>2013</v>
      </c>
      <c r="Y1249" s="28" t="s">
        <v>138</v>
      </c>
      <c r="Z1249" s="28" t="s">
        <v>24202</v>
      </c>
      <c r="AA1249" s="28" t="s">
        <v>24202</v>
      </c>
      <c r="AB1249" s="32" t="s">
        <v>138</v>
      </c>
      <c r="AC1249" s="32" t="s">
        <v>138</v>
      </c>
      <c r="AD1249" s="32" t="s">
        <v>138</v>
      </c>
      <c r="AE1249" s="32" t="s">
        <v>138</v>
      </c>
      <c r="AF1249" s="32" t="s">
        <v>138</v>
      </c>
      <c r="AG1249" s="28" t="s">
        <v>138</v>
      </c>
      <c r="AH1249" s="32" t="s">
        <v>138</v>
      </c>
      <c r="AI1249" s="32" t="s">
        <v>138</v>
      </c>
      <c r="AJ1249" s="32" t="s">
        <v>138</v>
      </c>
      <c r="AK1249" s="28" t="s">
        <v>24203</v>
      </c>
      <c r="AL1249" s="28" t="s">
        <v>24204</v>
      </c>
      <c r="AM1249" s="28" t="s">
        <v>24205</v>
      </c>
      <c r="AN1249" s="28" t="s">
        <v>24206</v>
      </c>
      <c r="AO1249" s="28" t="s">
        <v>24207</v>
      </c>
      <c r="AP1249" s="28" t="s">
        <v>4490</v>
      </c>
      <c r="AQ1249" s="28" t="s">
        <v>24208</v>
      </c>
      <c r="AR1249" s="28" t="s">
        <v>5294</v>
      </c>
      <c r="AS1249" s="28" t="s">
        <v>4492</v>
      </c>
      <c r="AT1249" s="28" t="s">
        <v>4493</v>
      </c>
      <c r="AU1249" s="28" t="s">
        <v>24209</v>
      </c>
      <c r="AV1249" s="28" t="s">
        <v>162</v>
      </c>
      <c r="AW1249" s="28" t="s">
        <v>24207</v>
      </c>
      <c r="AX1249" s="28" t="s">
        <v>138</v>
      </c>
      <c r="AY1249" s="28" t="s">
        <v>24210</v>
      </c>
      <c r="AZ1249" s="28" t="s">
        <v>164</v>
      </c>
      <c r="BA1249" s="28" t="s">
        <v>165</v>
      </c>
      <c r="BB1249" s="28" t="s">
        <v>24211</v>
      </c>
      <c r="BC1249" s="28" t="s">
        <v>24212</v>
      </c>
      <c r="BD1249" s="33">
        <v>6</v>
      </c>
      <c r="BE1249" s="28" t="s">
        <v>138</v>
      </c>
      <c r="BF1249" s="28" t="s">
        <v>138</v>
      </c>
      <c r="BG1249" s="28" t="s">
        <v>138</v>
      </c>
      <c r="BH1249" s="28" t="s">
        <v>24213</v>
      </c>
      <c r="BI1249" s="28" t="s">
        <v>138</v>
      </c>
      <c r="BJ1249" s="28" t="s">
        <v>138</v>
      </c>
      <c r="BK1249" s="28" t="s">
        <v>138</v>
      </c>
      <c r="BL1249" s="28" t="s">
        <v>138</v>
      </c>
      <c r="BM1249" s="34">
        <v>41653</v>
      </c>
      <c r="BN1249" s="29">
        <v>2.7</v>
      </c>
      <c r="BO1249" s="28" t="s">
        <v>172</v>
      </c>
      <c r="BP1249" s="29">
        <v>10.51</v>
      </c>
      <c r="BQ1249" s="28" t="s">
        <v>172</v>
      </c>
      <c r="BR1249" s="28" t="s">
        <v>234</v>
      </c>
      <c r="BS1249" s="28" t="s">
        <v>234</v>
      </c>
      <c r="BT1249" s="28" t="s">
        <v>138</v>
      </c>
      <c r="BU1249" s="28" t="s">
        <v>174</v>
      </c>
      <c r="BV1249" s="28" t="s">
        <v>138</v>
      </c>
      <c r="BW1249" s="28" t="s">
        <v>138</v>
      </c>
      <c r="BX1249" s="28" t="s">
        <v>138</v>
      </c>
      <c r="BY1249" s="28" t="s">
        <v>175</v>
      </c>
      <c r="BZ1249" s="34">
        <v>43441</v>
      </c>
      <c r="CA1249" s="29">
        <v>25</v>
      </c>
      <c r="CB1249" s="28" t="s">
        <v>172</v>
      </c>
      <c r="CC1249" s="29">
        <v>174</v>
      </c>
      <c r="CD1249" s="28" t="s">
        <v>172</v>
      </c>
      <c r="CE1249" s="28" t="s">
        <v>205</v>
      </c>
      <c r="CF1249" s="28" t="s">
        <v>720</v>
      </c>
      <c r="CG1249" s="28" t="s">
        <v>138</v>
      </c>
      <c r="CH1249" s="28" t="s">
        <v>174</v>
      </c>
      <c r="CI1249" s="28" t="s">
        <v>138</v>
      </c>
      <c r="CJ1249" s="28" t="s">
        <v>138</v>
      </c>
      <c r="CK1249" s="28" t="s">
        <v>138</v>
      </c>
      <c r="CL1249" s="28" t="s">
        <v>175</v>
      </c>
      <c r="CM1249" s="34" t="s">
        <v>138</v>
      </c>
      <c r="CN1249" s="29" t="s">
        <v>138</v>
      </c>
      <c r="CO1249" s="35">
        <v>0.54</v>
      </c>
      <c r="CP1249" s="36">
        <v>95</v>
      </c>
      <c r="CQ1249" s="35">
        <v>-0.04</v>
      </c>
      <c r="CR1249" s="35">
        <v>-6.41</v>
      </c>
      <c r="CS1249" s="35">
        <v>0.53</v>
      </c>
      <c r="CT1249" s="36">
        <v>95</v>
      </c>
      <c r="CU1249" s="35">
        <v>0.52</v>
      </c>
      <c r="CV1249" s="36">
        <v>94</v>
      </c>
      <c r="CW1249" s="35">
        <v>0.16</v>
      </c>
      <c r="CX1249" s="36">
        <v>81</v>
      </c>
      <c r="CY1249" s="35">
        <v>0.89</v>
      </c>
      <c r="CZ1249" s="36">
        <v>99</v>
      </c>
      <c r="DA1249" s="35">
        <v>0.52</v>
      </c>
      <c r="DB1249" s="36">
        <v>94</v>
      </c>
      <c r="DC1249" s="37">
        <v>8.92</v>
      </c>
      <c r="DD1249" s="36">
        <v>89</v>
      </c>
      <c r="DE1249" s="37">
        <v>-0.43</v>
      </c>
      <c r="DF1249" s="35">
        <v>-4.63</v>
      </c>
      <c r="DG1249" s="37">
        <v>19.07</v>
      </c>
      <c r="DH1249" s="36">
        <v>94</v>
      </c>
      <c r="DI1249" s="37">
        <v>7.51</v>
      </c>
      <c r="DJ1249" s="36">
        <v>82</v>
      </c>
      <c r="DK1249" s="37">
        <v>20.36</v>
      </c>
      <c r="DL1249" s="36">
        <v>92</v>
      </c>
      <c r="DM1249" s="37">
        <v>17.79</v>
      </c>
      <c r="DN1249" s="36">
        <v>93</v>
      </c>
      <c r="DO1249" s="37">
        <v>7.51</v>
      </c>
      <c r="DP1249" s="36">
        <v>84</v>
      </c>
      <c r="DQ1249" s="36">
        <v>7049</v>
      </c>
      <c r="DR1249" s="38">
        <v>-203</v>
      </c>
      <c r="DS1249" s="35">
        <v>-2.8</v>
      </c>
      <c r="DT1249" s="36">
        <v>517</v>
      </c>
      <c r="DU1249" s="38">
        <v>1</v>
      </c>
      <c r="DV1249" s="35">
        <v>0.19</v>
      </c>
      <c r="DW1249" s="36">
        <v>2688</v>
      </c>
      <c r="DX1249" s="39">
        <v>9</v>
      </c>
      <c r="DY1249" s="35">
        <v>0.34</v>
      </c>
      <c r="DZ1249" s="28" t="s">
        <v>178</v>
      </c>
      <c r="EA1249" s="34">
        <v>43566</v>
      </c>
      <c r="EB1249" s="29">
        <v>174</v>
      </c>
      <c r="EC1249" s="34">
        <v>43441</v>
      </c>
      <c r="ED1249" s="28" t="s">
        <v>205</v>
      </c>
      <c r="EE1249" s="40" t="str">
        <f>HYPERLINK("https://my.pitchbook.com?c=60704-47", "View company online")</f>
        <v>View company online</v>
      </c>
    </row>
    <row r="1250" spans="1:135">
      <c r="A1250" s="15" t="s">
        <v>24214</v>
      </c>
      <c r="B1250" s="15" t="s">
        <v>24215</v>
      </c>
      <c r="C1250" s="15" t="s">
        <v>138</v>
      </c>
      <c r="D1250" s="15" t="s">
        <v>138</v>
      </c>
      <c r="E1250" s="15" t="s">
        <v>24216</v>
      </c>
      <c r="F1250" s="15" t="s">
        <v>24214</v>
      </c>
      <c r="G1250" s="15" t="s">
        <v>24217</v>
      </c>
      <c r="H1250" s="15" t="s">
        <v>238</v>
      </c>
      <c r="I1250" s="15" t="s">
        <v>1018</v>
      </c>
      <c r="J1250" s="15" t="s">
        <v>4780</v>
      </c>
      <c r="K1250" s="15" t="s">
        <v>4781</v>
      </c>
      <c r="L1250" s="15" t="s">
        <v>1796</v>
      </c>
      <c r="M1250" s="15" t="s">
        <v>24218</v>
      </c>
      <c r="N1250" s="15" t="s">
        <v>147</v>
      </c>
      <c r="O1250" s="17">
        <v>71.5</v>
      </c>
      <c r="P1250" s="15" t="s">
        <v>148</v>
      </c>
      <c r="Q1250" s="15" t="s">
        <v>149</v>
      </c>
      <c r="R1250" s="15" t="s">
        <v>174</v>
      </c>
      <c r="S1250" s="15" t="s">
        <v>24219</v>
      </c>
      <c r="T1250" s="18">
        <v>160</v>
      </c>
      <c r="U1250" s="15" t="s">
        <v>24220</v>
      </c>
      <c r="V1250" s="15" t="s">
        <v>138</v>
      </c>
      <c r="W1250" s="15" t="s">
        <v>138</v>
      </c>
      <c r="X1250" s="19">
        <v>2015</v>
      </c>
      <c r="Y1250" s="15" t="s">
        <v>138</v>
      </c>
      <c r="Z1250" s="15" t="s">
        <v>138</v>
      </c>
      <c r="AA1250" s="15" t="s">
        <v>138</v>
      </c>
      <c r="AB1250" s="20" t="s">
        <v>138</v>
      </c>
      <c r="AC1250" s="20" t="s">
        <v>138</v>
      </c>
      <c r="AD1250" s="20" t="s">
        <v>138</v>
      </c>
      <c r="AE1250" s="20" t="s">
        <v>138</v>
      </c>
      <c r="AF1250" s="20" t="s">
        <v>138</v>
      </c>
      <c r="AG1250" s="15" t="s">
        <v>138</v>
      </c>
      <c r="AH1250" s="20" t="s">
        <v>138</v>
      </c>
      <c r="AI1250" s="20" t="s">
        <v>138</v>
      </c>
      <c r="AJ1250" s="20" t="s">
        <v>138</v>
      </c>
      <c r="AK1250" s="15" t="s">
        <v>24221</v>
      </c>
      <c r="AL1250" s="15" t="s">
        <v>24222</v>
      </c>
      <c r="AM1250" s="15" t="s">
        <v>304</v>
      </c>
      <c r="AN1250" s="15" t="s">
        <v>24223</v>
      </c>
      <c r="AO1250" s="15" t="s">
        <v>24224</v>
      </c>
      <c r="AP1250" s="15" t="s">
        <v>2490</v>
      </c>
      <c r="AQ1250" s="15" t="s">
        <v>138</v>
      </c>
      <c r="AR1250" s="15" t="s">
        <v>138</v>
      </c>
      <c r="AS1250" s="15" t="s">
        <v>2493</v>
      </c>
      <c r="AT1250" s="15" t="s">
        <v>371</v>
      </c>
      <c r="AU1250" s="15" t="s">
        <v>138</v>
      </c>
      <c r="AV1250" s="15" t="s">
        <v>162</v>
      </c>
      <c r="AW1250" s="15" t="s">
        <v>24224</v>
      </c>
      <c r="AX1250" s="15" t="s">
        <v>138</v>
      </c>
      <c r="AY1250" s="15" t="s">
        <v>24225</v>
      </c>
      <c r="AZ1250" s="15" t="s">
        <v>164</v>
      </c>
      <c r="BA1250" s="15" t="s">
        <v>165</v>
      </c>
      <c r="BB1250" s="15" t="s">
        <v>24226</v>
      </c>
      <c r="BC1250" s="15" t="s">
        <v>24227</v>
      </c>
      <c r="BD1250" s="21">
        <v>19</v>
      </c>
      <c r="BE1250" s="15" t="s">
        <v>138</v>
      </c>
      <c r="BF1250" s="15" t="s">
        <v>138</v>
      </c>
      <c r="BG1250" s="15" t="s">
        <v>138</v>
      </c>
      <c r="BH1250" s="15" t="s">
        <v>24228</v>
      </c>
      <c r="BI1250" s="15" t="s">
        <v>138</v>
      </c>
      <c r="BJ1250" s="15" t="s">
        <v>138</v>
      </c>
      <c r="BK1250" s="15" t="s">
        <v>290</v>
      </c>
      <c r="BL1250" s="15" t="s">
        <v>17878</v>
      </c>
      <c r="BM1250" s="22">
        <v>42277</v>
      </c>
      <c r="BN1250" s="17">
        <v>2</v>
      </c>
      <c r="BO1250" s="15" t="s">
        <v>172</v>
      </c>
      <c r="BP1250" s="17" t="s">
        <v>138</v>
      </c>
      <c r="BQ1250" s="15" t="s">
        <v>138</v>
      </c>
      <c r="BR1250" s="15" t="s">
        <v>234</v>
      </c>
      <c r="BS1250" s="15" t="s">
        <v>234</v>
      </c>
      <c r="BT1250" s="15" t="s">
        <v>138</v>
      </c>
      <c r="BU1250" s="15" t="s">
        <v>174</v>
      </c>
      <c r="BV1250" s="15" t="s">
        <v>138</v>
      </c>
      <c r="BW1250" s="15" t="s">
        <v>138</v>
      </c>
      <c r="BX1250" s="15" t="s">
        <v>138</v>
      </c>
      <c r="BY1250" s="15" t="s">
        <v>175</v>
      </c>
      <c r="BZ1250" s="22">
        <v>43306</v>
      </c>
      <c r="CA1250" s="17">
        <v>40</v>
      </c>
      <c r="CB1250" s="15" t="s">
        <v>172</v>
      </c>
      <c r="CC1250" s="17" t="s">
        <v>138</v>
      </c>
      <c r="CD1250" s="15" t="s">
        <v>138</v>
      </c>
      <c r="CE1250" s="15" t="s">
        <v>173</v>
      </c>
      <c r="CF1250" s="15" t="s">
        <v>317</v>
      </c>
      <c r="CG1250" s="15" t="s">
        <v>138</v>
      </c>
      <c r="CH1250" s="15" t="s">
        <v>174</v>
      </c>
      <c r="CI1250" s="15" t="s">
        <v>138</v>
      </c>
      <c r="CJ1250" s="15" t="s">
        <v>138</v>
      </c>
      <c r="CK1250" s="15" t="s">
        <v>138</v>
      </c>
      <c r="CL1250" s="15" t="s">
        <v>175</v>
      </c>
      <c r="CM1250" s="22" t="s">
        <v>138</v>
      </c>
      <c r="CN1250" s="17" t="s">
        <v>138</v>
      </c>
      <c r="CO1250" s="23">
        <v>0.98</v>
      </c>
      <c r="CP1250" s="24">
        <v>97</v>
      </c>
      <c r="CQ1250" s="23">
        <v>0.02</v>
      </c>
      <c r="CR1250" s="23">
        <v>2.04</v>
      </c>
      <c r="CS1250" s="23">
        <v>1.26</v>
      </c>
      <c r="CT1250" s="24">
        <v>97</v>
      </c>
      <c r="CU1250" s="23">
        <v>0.69</v>
      </c>
      <c r="CV1250" s="24">
        <v>96</v>
      </c>
      <c r="CW1250" s="23">
        <v>3.95</v>
      </c>
      <c r="CX1250" s="24">
        <v>93</v>
      </c>
      <c r="CY1250" s="23">
        <v>-1.43</v>
      </c>
      <c r="CZ1250" s="24">
        <v>15</v>
      </c>
      <c r="DA1250" s="23">
        <v>0.69</v>
      </c>
      <c r="DB1250" s="24">
        <v>96</v>
      </c>
      <c r="DC1250" s="25">
        <v>25.03</v>
      </c>
      <c r="DD1250" s="24">
        <v>96</v>
      </c>
      <c r="DE1250" s="25">
        <v>-1.91</v>
      </c>
      <c r="DF1250" s="23">
        <v>-7.1</v>
      </c>
      <c r="DG1250" s="25">
        <v>45.25</v>
      </c>
      <c r="DH1250" s="24">
        <v>98</v>
      </c>
      <c r="DI1250" s="25">
        <v>4.8</v>
      </c>
      <c r="DJ1250" s="24">
        <v>77</v>
      </c>
      <c r="DK1250" s="25">
        <v>69.61</v>
      </c>
      <c r="DL1250" s="24">
        <v>97</v>
      </c>
      <c r="DM1250" s="25">
        <v>20.9</v>
      </c>
      <c r="DN1250" s="24">
        <v>94</v>
      </c>
      <c r="DO1250" s="25">
        <v>4.8</v>
      </c>
      <c r="DP1250" s="24">
        <v>79</v>
      </c>
      <c r="DQ1250" s="24">
        <v>23438</v>
      </c>
      <c r="DR1250" s="26">
        <v>1315</v>
      </c>
      <c r="DS1250" s="23">
        <v>5.94</v>
      </c>
      <c r="DT1250" s="24">
        <v>608</v>
      </c>
      <c r="DU1250" s="26">
        <v>-8</v>
      </c>
      <c r="DV1250" s="23">
        <v>-1.3</v>
      </c>
      <c r="DW1250" s="24">
        <v>1708</v>
      </c>
      <c r="DX1250" s="27">
        <v>21</v>
      </c>
      <c r="DY1250" s="23">
        <v>1.24</v>
      </c>
      <c r="DZ1250" s="15" t="s">
        <v>178</v>
      </c>
      <c r="EA1250" s="22">
        <v>43609</v>
      </c>
      <c r="EB1250" s="17">
        <v>125</v>
      </c>
      <c r="EC1250" s="22">
        <v>42961</v>
      </c>
      <c r="ED1250" s="15" t="s">
        <v>205</v>
      </c>
      <c r="EE1250" s="14" t="str">
        <f>HYPERLINK("https://my.pitchbook.com?c=152413-93", "View company online")</f>
        <v>View company online</v>
      </c>
    </row>
    <row r="1251" spans="1:135">
      <c r="A1251" s="28" t="s">
        <v>24229</v>
      </c>
      <c r="B1251" s="28" t="s">
        <v>24230</v>
      </c>
      <c r="C1251" s="28" t="s">
        <v>138</v>
      </c>
      <c r="D1251" s="28" t="s">
        <v>138</v>
      </c>
      <c r="E1251" s="28" t="s">
        <v>24231</v>
      </c>
      <c r="F1251" s="28" t="s">
        <v>24229</v>
      </c>
      <c r="G1251" s="28" t="s">
        <v>24232</v>
      </c>
      <c r="H1251" s="28" t="s">
        <v>322</v>
      </c>
      <c r="I1251" s="28" t="s">
        <v>1503</v>
      </c>
      <c r="J1251" s="28" t="s">
        <v>3679</v>
      </c>
      <c r="K1251" s="28" t="s">
        <v>24233</v>
      </c>
      <c r="L1251" s="28" t="s">
        <v>3872</v>
      </c>
      <c r="M1251" s="28" t="s">
        <v>24234</v>
      </c>
      <c r="N1251" s="28" t="s">
        <v>147</v>
      </c>
      <c r="O1251" s="29">
        <v>21</v>
      </c>
      <c r="P1251" s="28" t="s">
        <v>148</v>
      </c>
      <c r="Q1251" s="28" t="s">
        <v>149</v>
      </c>
      <c r="R1251" s="28" t="s">
        <v>174</v>
      </c>
      <c r="S1251" s="28" t="s">
        <v>24235</v>
      </c>
      <c r="T1251" s="30">
        <v>30</v>
      </c>
      <c r="U1251" s="28" t="s">
        <v>24236</v>
      </c>
      <c r="V1251" s="28" t="s">
        <v>138</v>
      </c>
      <c r="W1251" s="28" t="s">
        <v>138</v>
      </c>
      <c r="X1251" s="31">
        <v>2015</v>
      </c>
      <c r="Y1251" s="28" t="s">
        <v>138</v>
      </c>
      <c r="Z1251" s="28" t="s">
        <v>24237</v>
      </c>
      <c r="AA1251" s="28" t="s">
        <v>24237</v>
      </c>
      <c r="AB1251" s="32" t="s">
        <v>138</v>
      </c>
      <c r="AC1251" s="32" t="s">
        <v>138</v>
      </c>
      <c r="AD1251" s="32" t="s">
        <v>138</v>
      </c>
      <c r="AE1251" s="32" t="s">
        <v>138</v>
      </c>
      <c r="AF1251" s="32" t="s">
        <v>138</v>
      </c>
      <c r="AG1251" s="28" t="s">
        <v>138</v>
      </c>
      <c r="AH1251" s="32" t="s">
        <v>138</v>
      </c>
      <c r="AI1251" s="32" t="s">
        <v>138</v>
      </c>
      <c r="AJ1251" s="32" t="s">
        <v>138</v>
      </c>
      <c r="AK1251" s="28" t="s">
        <v>24238</v>
      </c>
      <c r="AL1251" s="28" t="s">
        <v>24239</v>
      </c>
      <c r="AM1251" s="28" t="s">
        <v>818</v>
      </c>
      <c r="AN1251" s="28" t="s">
        <v>24240</v>
      </c>
      <c r="AO1251" s="28" t="s">
        <v>24241</v>
      </c>
      <c r="AP1251" s="28" t="s">
        <v>24242</v>
      </c>
      <c r="AQ1251" s="28" t="s">
        <v>24243</v>
      </c>
      <c r="AR1251" s="28" t="s">
        <v>24244</v>
      </c>
      <c r="AS1251" s="28" t="s">
        <v>24245</v>
      </c>
      <c r="AT1251" s="28" t="s">
        <v>138</v>
      </c>
      <c r="AU1251" s="28" t="s">
        <v>24246</v>
      </c>
      <c r="AV1251" s="28" t="s">
        <v>740</v>
      </c>
      <c r="AW1251" s="28" t="s">
        <v>138</v>
      </c>
      <c r="AX1251" s="28" t="s">
        <v>138</v>
      </c>
      <c r="AY1251" s="28" t="s">
        <v>24247</v>
      </c>
      <c r="AZ1251" s="28" t="s">
        <v>742</v>
      </c>
      <c r="BA1251" s="28" t="s">
        <v>742</v>
      </c>
      <c r="BB1251" s="28" t="s">
        <v>24248</v>
      </c>
      <c r="BC1251" s="28" t="s">
        <v>24249</v>
      </c>
      <c r="BD1251" s="33">
        <v>21</v>
      </c>
      <c r="BE1251" s="28" t="s">
        <v>138</v>
      </c>
      <c r="BF1251" s="28" t="s">
        <v>138</v>
      </c>
      <c r="BG1251" s="28" t="s">
        <v>138</v>
      </c>
      <c r="BH1251" s="28" t="s">
        <v>24250</v>
      </c>
      <c r="BI1251" s="28" t="s">
        <v>138</v>
      </c>
      <c r="BJ1251" s="28" t="s">
        <v>138</v>
      </c>
      <c r="BK1251" s="28" t="s">
        <v>138</v>
      </c>
      <c r="BL1251" s="28" t="s">
        <v>138</v>
      </c>
      <c r="BM1251" s="34">
        <v>42370</v>
      </c>
      <c r="BN1251" s="29" t="s">
        <v>138</v>
      </c>
      <c r="BO1251" s="28" t="s">
        <v>138</v>
      </c>
      <c r="BP1251" s="29" t="s">
        <v>138</v>
      </c>
      <c r="BQ1251" s="28" t="s">
        <v>138</v>
      </c>
      <c r="BR1251" s="28" t="s">
        <v>316</v>
      </c>
      <c r="BS1251" s="28" t="s">
        <v>138</v>
      </c>
      <c r="BT1251" s="28" t="s">
        <v>138</v>
      </c>
      <c r="BU1251" s="28" t="s">
        <v>177</v>
      </c>
      <c r="BV1251" s="28" t="s">
        <v>138</v>
      </c>
      <c r="BW1251" s="28" t="s">
        <v>138</v>
      </c>
      <c r="BX1251" s="28" t="s">
        <v>138</v>
      </c>
      <c r="BY1251" s="28" t="s">
        <v>175</v>
      </c>
      <c r="BZ1251" s="34">
        <v>43620</v>
      </c>
      <c r="CA1251" s="29">
        <v>21</v>
      </c>
      <c r="CB1251" s="28" t="s">
        <v>172</v>
      </c>
      <c r="CC1251" s="29" t="s">
        <v>138</v>
      </c>
      <c r="CD1251" s="28" t="s">
        <v>138</v>
      </c>
      <c r="CE1251" s="28" t="s">
        <v>205</v>
      </c>
      <c r="CF1251" s="28" t="s">
        <v>206</v>
      </c>
      <c r="CG1251" s="28" t="s">
        <v>138</v>
      </c>
      <c r="CH1251" s="28" t="s">
        <v>174</v>
      </c>
      <c r="CI1251" s="28" t="s">
        <v>138</v>
      </c>
      <c r="CJ1251" s="28" t="s">
        <v>138</v>
      </c>
      <c r="CK1251" s="28" t="s">
        <v>138</v>
      </c>
      <c r="CL1251" s="28" t="s">
        <v>175</v>
      </c>
      <c r="CM1251" s="34" t="s">
        <v>138</v>
      </c>
      <c r="CN1251" s="29" t="s">
        <v>138</v>
      </c>
      <c r="CO1251" s="35">
        <v>0.55000000000000004</v>
      </c>
      <c r="CP1251" s="36">
        <v>95</v>
      </c>
      <c r="CQ1251" s="35">
        <v>0.12</v>
      </c>
      <c r="CR1251" s="35">
        <v>27.01</v>
      </c>
      <c r="CS1251" s="35">
        <v>0.7</v>
      </c>
      <c r="CT1251" s="36">
        <v>96</v>
      </c>
      <c r="CU1251" s="35">
        <v>0.4</v>
      </c>
      <c r="CV1251" s="36">
        <v>91</v>
      </c>
      <c r="CW1251" s="35" t="s">
        <v>138</v>
      </c>
      <c r="CX1251" s="36" t="s">
        <v>138</v>
      </c>
      <c r="CY1251" s="35">
        <v>0.7</v>
      </c>
      <c r="CZ1251" s="36">
        <v>99</v>
      </c>
      <c r="DA1251" s="35">
        <v>0.4</v>
      </c>
      <c r="DB1251" s="36">
        <v>92</v>
      </c>
      <c r="DC1251" s="37">
        <v>2.2000000000000002</v>
      </c>
      <c r="DD1251" s="36">
        <v>69</v>
      </c>
      <c r="DE1251" s="37">
        <v>0.02</v>
      </c>
      <c r="DF1251" s="35">
        <v>0.79</v>
      </c>
      <c r="DG1251" s="37">
        <v>3.86</v>
      </c>
      <c r="DH1251" s="36">
        <v>79</v>
      </c>
      <c r="DI1251" s="37">
        <v>0.54</v>
      </c>
      <c r="DJ1251" s="36">
        <v>38</v>
      </c>
      <c r="DK1251" s="37" t="s">
        <v>138</v>
      </c>
      <c r="DL1251" s="36" t="s">
        <v>138</v>
      </c>
      <c r="DM1251" s="37">
        <v>3.86</v>
      </c>
      <c r="DN1251" s="36">
        <v>78</v>
      </c>
      <c r="DO1251" s="37">
        <v>0.54</v>
      </c>
      <c r="DP1251" s="36">
        <v>39</v>
      </c>
      <c r="DQ1251" s="36" t="s">
        <v>138</v>
      </c>
      <c r="DR1251" s="38" t="s">
        <v>138</v>
      </c>
      <c r="DS1251" s="35" t="s">
        <v>138</v>
      </c>
      <c r="DT1251" s="36">
        <v>111</v>
      </c>
      <c r="DU1251" s="38">
        <v>0</v>
      </c>
      <c r="DV1251" s="35">
        <v>0</v>
      </c>
      <c r="DW1251" s="36">
        <v>192</v>
      </c>
      <c r="DX1251" s="39">
        <v>0</v>
      </c>
      <c r="DY1251" s="35">
        <v>0</v>
      </c>
      <c r="DZ1251" s="28" t="s">
        <v>178</v>
      </c>
      <c r="EA1251" s="34">
        <v>43622</v>
      </c>
      <c r="EB1251" s="29" t="s">
        <v>138</v>
      </c>
      <c r="EC1251" s="34" t="s">
        <v>138</v>
      </c>
      <c r="ED1251" s="28" t="s">
        <v>138</v>
      </c>
      <c r="EE1251" s="40" t="str">
        <f>HYPERLINK("https://my.pitchbook.com?c=181222-39", "View company online")</f>
        <v>View company online</v>
      </c>
    </row>
    <row r="1252" spans="1:135">
      <c r="A1252" s="15" t="s">
        <v>24251</v>
      </c>
      <c r="B1252" s="15" t="s">
        <v>24252</v>
      </c>
      <c r="C1252" s="15" t="s">
        <v>138</v>
      </c>
      <c r="D1252" s="15" t="s">
        <v>138</v>
      </c>
      <c r="E1252" s="15" t="s">
        <v>24253</v>
      </c>
      <c r="F1252" s="15" t="s">
        <v>24251</v>
      </c>
      <c r="G1252" s="15" t="s">
        <v>24254</v>
      </c>
      <c r="H1252" s="15" t="s">
        <v>322</v>
      </c>
      <c r="I1252" s="15" t="s">
        <v>323</v>
      </c>
      <c r="J1252" s="15" t="s">
        <v>461</v>
      </c>
      <c r="K1252" s="15" t="s">
        <v>462</v>
      </c>
      <c r="L1252" s="15" t="s">
        <v>586</v>
      </c>
      <c r="M1252" s="15" t="s">
        <v>24255</v>
      </c>
      <c r="N1252" s="15" t="s">
        <v>147</v>
      </c>
      <c r="O1252" s="17">
        <v>106</v>
      </c>
      <c r="P1252" s="15" t="s">
        <v>148</v>
      </c>
      <c r="Q1252" s="15" t="s">
        <v>149</v>
      </c>
      <c r="R1252" s="15" t="s">
        <v>174</v>
      </c>
      <c r="S1252" s="15" t="s">
        <v>24256</v>
      </c>
      <c r="T1252" s="18">
        <v>50</v>
      </c>
      <c r="U1252" s="15" t="s">
        <v>24257</v>
      </c>
      <c r="V1252" s="15" t="s">
        <v>138</v>
      </c>
      <c r="W1252" s="15" t="s">
        <v>138</v>
      </c>
      <c r="X1252" s="19">
        <v>2013</v>
      </c>
      <c r="Y1252" s="15" t="s">
        <v>138</v>
      </c>
      <c r="Z1252" s="15" t="s">
        <v>138</v>
      </c>
      <c r="AA1252" s="15" t="s">
        <v>1163</v>
      </c>
      <c r="AB1252" s="20" t="s">
        <v>138</v>
      </c>
      <c r="AC1252" s="20" t="s">
        <v>138</v>
      </c>
      <c r="AD1252" s="20" t="s">
        <v>138</v>
      </c>
      <c r="AE1252" s="20" t="s">
        <v>138</v>
      </c>
      <c r="AF1252" s="20" t="s">
        <v>138</v>
      </c>
      <c r="AG1252" s="15" t="s">
        <v>138</v>
      </c>
      <c r="AH1252" s="20" t="s">
        <v>138</v>
      </c>
      <c r="AI1252" s="20" t="s">
        <v>138</v>
      </c>
      <c r="AJ1252" s="20" t="s">
        <v>138</v>
      </c>
      <c r="AK1252" s="15" t="s">
        <v>24258</v>
      </c>
      <c r="AL1252" s="15" t="s">
        <v>24259</v>
      </c>
      <c r="AM1252" s="15" t="s">
        <v>221</v>
      </c>
      <c r="AN1252" s="15" t="s">
        <v>24260</v>
      </c>
      <c r="AO1252" s="15" t="s">
        <v>24261</v>
      </c>
      <c r="AP1252" s="15" t="s">
        <v>665</v>
      </c>
      <c r="AQ1252" s="15" t="s">
        <v>24262</v>
      </c>
      <c r="AR1252" s="15" t="s">
        <v>5012</v>
      </c>
      <c r="AS1252" s="15" t="s">
        <v>668</v>
      </c>
      <c r="AT1252" s="15" t="s">
        <v>200</v>
      </c>
      <c r="AU1252" s="15" t="s">
        <v>3477</v>
      </c>
      <c r="AV1252" s="15" t="s">
        <v>162</v>
      </c>
      <c r="AW1252" s="15" t="s">
        <v>24261</v>
      </c>
      <c r="AX1252" s="15" t="s">
        <v>138</v>
      </c>
      <c r="AY1252" s="15" t="s">
        <v>24263</v>
      </c>
      <c r="AZ1252" s="15" t="s">
        <v>164</v>
      </c>
      <c r="BA1252" s="15" t="s">
        <v>165</v>
      </c>
      <c r="BB1252" s="15" t="s">
        <v>24264</v>
      </c>
      <c r="BC1252" s="15" t="s">
        <v>24265</v>
      </c>
      <c r="BD1252" s="21">
        <v>10</v>
      </c>
      <c r="BE1252" s="15" t="s">
        <v>138</v>
      </c>
      <c r="BF1252" s="15" t="s">
        <v>138</v>
      </c>
      <c r="BG1252" s="15" t="s">
        <v>138</v>
      </c>
      <c r="BH1252" s="15" t="s">
        <v>24266</v>
      </c>
      <c r="BI1252" s="15" t="s">
        <v>138</v>
      </c>
      <c r="BJ1252" s="15" t="s">
        <v>138</v>
      </c>
      <c r="BK1252" s="15" t="s">
        <v>138</v>
      </c>
      <c r="BL1252" s="15" t="s">
        <v>138</v>
      </c>
      <c r="BM1252" s="22">
        <v>41869</v>
      </c>
      <c r="BN1252" s="17">
        <v>11</v>
      </c>
      <c r="BO1252" s="15" t="s">
        <v>172</v>
      </c>
      <c r="BP1252" s="17" t="s">
        <v>138</v>
      </c>
      <c r="BQ1252" s="15" t="s">
        <v>138</v>
      </c>
      <c r="BR1252" s="15" t="s">
        <v>205</v>
      </c>
      <c r="BS1252" s="15" t="s">
        <v>206</v>
      </c>
      <c r="BT1252" s="15" t="s">
        <v>138</v>
      </c>
      <c r="BU1252" s="15" t="s">
        <v>174</v>
      </c>
      <c r="BV1252" s="15" t="s">
        <v>138</v>
      </c>
      <c r="BW1252" s="15" t="s">
        <v>138</v>
      </c>
      <c r="BX1252" s="15" t="s">
        <v>138</v>
      </c>
      <c r="BY1252" s="15" t="s">
        <v>175</v>
      </c>
      <c r="BZ1252" s="22">
        <v>43606</v>
      </c>
      <c r="CA1252" s="17">
        <v>60</v>
      </c>
      <c r="CB1252" s="15" t="s">
        <v>172</v>
      </c>
      <c r="CC1252" s="17" t="s">
        <v>138</v>
      </c>
      <c r="CD1252" s="15" t="s">
        <v>138</v>
      </c>
      <c r="CE1252" s="15" t="s">
        <v>173</v>
      </c>
      <c r="CF1252" s="15" t="s">
        <v>317</v>
      </c>
      <c r="CG1252" s="15" t="s">
        <v>138</v>
      </c>
      <c r="CH1252" s="15" t="s">
        <v>174</v>
      </c>
      <c r="CI1252" s="15" t="s">
        <v>138</v>
      </c>
      <c r="CJ1252" s="15" t="s">
        <v>138</v>
      </c>
      <c r="CK1252" s="15" t="s">
        <v>138</v>
      </c>
      <c r="CL1252" s="15" t="s">
        <v>175</v>
      </c>
      <c r="CM1252" s="22" t="s">
        <v>138</v>
      </c>
      <c r="CN1252" s="17" t="s">
        <v>138</v>
      </c>
      <c r="CO1252" s="23">
        <v>-0.65</v>
      </c>
      <c r="CP1252" s="24">
        <v>14</v>
      </c>
      <c r="CQ1252" s="23">
        <v>0.02</v>
      </c>
      <c r="CR1252" s="23">
        <v>3.26</v>
      </c>
      <c r="CS1252" s="23">
        <v>-2.92</v>
      </c>
      <c r="CT1252" s="24">
        <v>5</v>
      </c>
      <c r="CU1252" s="23">
        <v>0.97</v>
      </c>
      <c r="CV1252" s="24">
        <v>98</v>
      </c>
      <c r="CW1252" s="23">
        <v>-4.9800000000000004</v>
      </c>
      <c r="CX1252" s="24">
        <v>3</v>
      </c>
      <c r="CY1252" s="23">
        <v>-0.85</v>
      </c>
      <c r="CZ1252" s="24">
        <v>20</v>
      </c>
      <c r="DA1252" s="23">
        <v>0.92</v>
      </c>
      <c r="DB1252" s="24">
        <v>98</v>
      </c>
      <c r="DC1252" s="25">
        <v>6.79</v>
      </c>
      <c r="DD1252" s="24">
        <v>86</v>
      </c>
      <c r="DE1252" s="25">
        <v>-0.09</v>
      </c>
      <c r="DF1252" s="23">
        <v>-1.36</v>
      </c>
      <c r="DG1252" s="25">
        <v>18.27</v>
      </c>
      <c r="DH1252" s="24">
        <v>94</v>
      </c>
      <c r="DI1252" s="25">
        <v>2.0099999999999998</v>
      </c>
      <c r="DJ1252" s="24">
        <v>62</v>
      </c>
      <c r="DK1252" s="25">
        <v>5.53</v>
      </c>
      <c r="DL1252" s="24">
        <v>80</v>
      </c>
      <c r="DM1252" s="25">
        <v>31</v>
      </c>
      <c r="DN1252" s="24">
        <v>96</v>
      </c>
      <c r="DO1252" s="25">
        <v>3.71</v>
      </c>
      <c r="DP1252" s="24">
        <v>75</v>
      </c>
      <c r="DQ1252" s="24">
        <v>1993</v>
      </c>
      <c r="DR1252" s="26">
        <v>-291</v>
      </c>
      <c r="DS1252" s="23">
        <v>-12.74</v>
      </c>
      <c r="DT1252" s="24">
        <v>897</v>
      </c>
      <c r="DU1252" s="26">
        <v>5</v>
      </c>
      <c r="DV1252" s="23">
        <v>0.56000000000000005</v>
      </c>
      <c r="DW1252" s="24">
        <v>1323</v>
      </c>
      <c r="DX1252" s="27">
        <v>14</v>
      </c>
      <c r="DY1252" s="23">
        <v>1.07</v>
      </c>
      <c r="DZ1252" s="15" t="s">
        <v>178</v>
      </c>
      <c r="EA1252" s="22">
        <v>43622</v>
      </c>
      <c r="EB1252" s="17" t="s">
        <v>138</v>
      </c>
      <c r="EC1252" s="22" t="s">
        <v>138</v>
      </c>
      <c r="ED1252" s="15" t="s">
        <v>138</v>
      </c>
      <c r="EE1252" s="14" t="str">
        <f>HYPERLINK("https://my.pitchbook.com?c=66085-12", "View company online")</f>
        <v>View company online</v>
      </c>
    </row>
    <row r="1253" spans="1:135">
      <c r="A1253" s="28" t="s">
        <v>24267</v>
      </c>
      <c r="B1253" s="28" t="s">
        <v>24268</v>
      </c>
      <c r="C1253" s="28" t="s">
        <v>138</v>
      </c>
      <c r="D1253" s="28" t="s">
        <v>138</v>
      </c>
      <c r="E1253" s="28" t="s">
        <v>138</v>
      </c>
      <c r="F1253" s="28" t="s">
        <v>24267</v>
      </c>
      <c r="G1253" s="28" t="s">
        <v>24269</v>
      </c>
      <c r="H1253" s="28" t="s">
        <v>141</v>
      </c>
      <c r="I1253" s="28" t="s">
        <v>142</v>
      </c>
      <c r="J1253" s="28" t="s">
        <v>1924</v>
      </c>
      <c r="K1253" s="28" t="s">
        <v>24270</v>
      </c>
      <c r="L1253" s="28" t="s">
        <v>9216</v>
      </c>
      <c r="M1253" s="28" t="s">
        <v>24271</v>
      </c>
      <c r="N1253" s="28" t="s">
        <v>147</v>
      </c>
      <c r="O1253" s="29">
        <v>23.3</v>
      </c>
      <c r="P1253" s="28" t="s">
        <v>148</v>
      </c>
      <c r="Q1253" s="28" t="s">
        <v>149</v>
      </c>
      <c r="R1253" s="28" t="s">
        <v>174</v>
      </c>
      <c r="S1253" s="28" t="s">
        <v>24272</v>
      </c>
      <c r="T1253" s="30">
        <v>10</v>
      </c>
      <c r="U1253" s="28" t="s">
        <v>7012</v>
      </c>
      <c r="V1253" s="28" t="s">
        <v>138</v>
      </c>
      <c r="W1253" s="28" t="s">
        <v>138</v>
      </c>
      <c r="X1253" s="31">
        <v>2014</v>
      </c>
      <c r="Y1253" s="28" t="s">
        <v>138</v>
      </c>
      <c r="Z1253" s="28" t="s">
        <v>138</v>
      </c>
      <c r="AA1253" s="28" t="s">
        <v>138</v>
      </c>
      <c r="AB1253" s="32" t="s">
        <v>138</v>
      </c>
      <c r="AC1253" s="32" t="s">
        <v>138</v>
      </c>
      <c r="AD1253" s="32" t="s">
        <v>138</v>
      </c>
      <c r="AE1253" s="32" t="s">
        <v>138</v>
      </c>
      <c r="AF1253" s="32" t="s">
        <v>138</v>
      </c>
      <c r="AG1253" s="28" t="s">
        <v>138</v>
      </c>
      <c r="AH1253" s="32" t="s">
        <v>138</v>
      </c>
      <c r="AI1253" s="32" t="s">
        <v>138</v>
      </c>
      <c r="AJ1253" s="32" t="s">
        <v>138</v>
      </c>
      <c r="AK1253" s="28" t="s">
        <v>24273</v>
      </c>
      <c r="AL1253" s="28" t="s">
        <v>24274</v>
      </c>
      <c r="AM1253" s="28" t="s">
        <v>304</v>
      </c>
      <c r="AN1253" s="28" t="s">
        <v>24275</v>
      </c>
      <c r="AO1253" s="28" t="s">
        <v>138</v>
      </c>
      <c r="AP1253" s="28" t="s">
        <v>19652</v>
      </c>
      <c r="AQ1253" s="28" t="s">
        <v>138</v>
      </c>
      <c r="AR1253" s="28" t="s">
        <v>138</v>
      </c>
      <c r="AS1253" s="28" t="s">
        <v>19655</v>
      </c>
      <c r="AT1253" s="28" t="s">
        <v>1389</v>
      </c>
      <c r="AU1253" s="28" t="s">
        <v>138</v>
      </c>
      <c r="AV1253" s="28" t="s">
        <v>162</v>
      </c>
      <c r="AW1253" s="28" t="s">
        <v>138</v>
      </c>
      <c r="AX1253" s="28" t="s">
        <v>138</v>
      </c>
      <c r="AY1253" s="28" t="s">
        <v>24276</v>
      </c>
      <c r="AZ1253" s="28" t="s">
        <v>164</v>
      </c>
      <c r="BA1253" s="28" t="s">
        <v>165</v>
      </c>
      <c r="BB1253" s="28" t="s">
        <v>24277</v>
      </c>
      <c r="BC1253" s="28" t="s">
        <v>24278</v>
      </c>
      <c r="BD1253" s="33">
        <v>12</v>
      </c>
      <c r="BE1253" s="28" t="s">
        <v>138</v>
      </c>
      <c r="BF1253" s="28" t="s">
        <v>138</v>
      </c>
      <c r="BG1253" s="28" t="s">
        <v>138</v>
      </c>
      <c r="BH1253" s="28" t="s">
        <v>24279</v>
      </c>
      <c r="BI1253" s="28" t="s">
        <v>138</v>
      </c>
      <c r="BJ1253" s="28" t="s">
        <v>138</v>
      </c>
      <c r="BK1253" s="28" t="s">
        <v>1251</v>
      </c>
      <c r="BL1253" s="28" t="s">
        <v>1251</v>
      </c>
      <c r="BM1253" s="34">
        <v>42278</v>
      </c>
      <c r="BN1253" s="29">
        <v>3.3</v>
      </c>
      <c r="BO1253" s="28" t="s">
        <v>1178</v>
      </c>
      <c r="BP1253" s="29">
        <v>20</v>
      </c>
      <c r="BQ1253" s="28" t="s">
        <v>172</v>
      </c>
      <c r="BR1253" s="28" t="s">
        <v>234</v>
      </c>
      <c r="BS1253" s="28" t="s">
        <v>234</v>
      </c>
      <c r="BT1253" s="28" t="s">
        <v>138</v>
      </c>
      <c r="BU1253" s="28" t="s">
        <v>174</v>
      </c>
      <c r="BV1253" s="28" t="s">
        <v>138</v>
      </c>
      <c r="BW1253" s="28" t="s">
        <v>138</v>
      </c>
      <c r="BX1253" s="28" t="s">
        <v>138</v>
      </c>
      <c r="BY1253" s="28" t="s">
        <v>175</v>
      </c>
      <c r="BZ1253" s="34">
        <v>43370</v>
      </c>
      <c r="CA1253" s="29">
        <v>20</v>
      </c>
      <c r="CB1253" s="28" t="s">
        <v>172</v>
      </c>
      <c r="CC1253" s="29">
        <v>41.91</v>
      </c>
      <c r="CD1253" s="28" t="s">
        <v>172</v>
      </c>
      <c r="CE1253" s="28" t="s">
        <v>205</v>
      </c>
      <c r="CF1253" s="28" t="s">
        <v>206</v>
      </c>
      <c r="CG1253" s="28" t="s">
        <v>138</v>
      </c>
      <c r="CH1253" s="28" t="s">
        <v>174</v>
      </c>
      <c r="CI1253" s="28" t="s">
        <v>177</v>
      </c>
      <c r="CJ1253" s="28" t="s">
        <v>138</v>
      </c>
      <c r="CK1253" s="28" t="s">
        <v>138</v>
      </c>
      <c r="CL1253" s="28" t="s">
        <v>175</v>
      </c>
      <c r="CM1253" s="34" t="s">
        <v>138</v>
      </c>
      <c r="CN1253" s="29" t="s">
        <v>138</v>
      </c>
      <c r="CO1253" s="35">
        <v>0.21</v>
      </c>
      <c r="CP1253" s="36">
        <v>92</v>
      </c>
      <c r="CQ1253" s="35">
        <v>-0.03</v>
      </c>
      <c r="CR1253" s="35">
        <v>-12.27</v>
      </c>
      <c r="CS1253" s="35">
        <v>0</v>
      </c>
      <c r="CT1253" s="36">
        <v>23</v>
      </c>
      <c r="CU1253" s="35">
        <v>0.43</v>
      </c>
      <c r="CV1253" s="36">
        <v>92</v>
      </c>
      <c r="CW1253" s="35">
        <v>0</v>
      </c>
      <c r="CX1253" s="36">
        <v>13</v>
      </c>
      <c r="CY1253" s="35">
        <v>0</v>
      </c>
      <c r="CZ1253" s="36">
        <v>25</v>
      </c>
      <c r="DA1253" s="35">
        <v>0.86</v>
      </c>
      <c r="DB1253" s="36">
        <v>97</v>
      </c>
      <c r="DC1253" s="37">
        <v>0.82</v>
      </c>
      <c r="DD1253" s="36">
        <v>46</v>
      </c>
      <c r="DE1253" s="37">
        <v>0.01</v>
      </c>
      <c r="DF1253" s="35">
        <v>0.94</v>
      </c>
      <c r="DG1253" s="37">
        <v>1.41</v>
      </c>
      <c r="DH1253" s="36">
        <v>59</v>
      </c>
      <c r="DI1253" s="37">
        <v>0.22</v>
      </c>
      <c r="DJ1253" s="36">
        <v>23</v>
      </c>
      <c r="DK1253" s="37">
        <v>0.65</v>
      </c>
      <c r="DL1253" s="36">
        <v>40</v>
      </c>
      <c r="DM1253" s="37">
        <v>2.17</v>
      </c>
      <c r="DN1253" s="36">
        <v>67</v>
      </c>
      <c r="DO1253" s="37">
        <v>0.35</v>
      </c>
      <c r="DP1253" s="36">
        <v>32</v>
      </c>
      <c r="DQ1253" s="36">
        <v>212</v>
      </c>
      <c r="DR1253" s="38">
        <v>31</v>
      </c>
      <c r="DS1253" s="35">
        <v>17.13</v>
      </c>
      <c r="DT1253" s="36">
        <v>61</v>
      </c>
      <c r="DU1253" s="38">
        <v>4</v>
      </c>
      <c r="DV1253" s="35">
        <v>7.02</v>
      </c>
      <c r="DW1253" s="36">
        <v>122</v>
      </c>
      <c r="DX1253" s="39">
        <v>1</v>
      </c>
      <c r="DY1253" s="35">
        <v>0.83</v>
      </c>
      <c r="DZ1253" s="28" t="s">
        <v>178</v>
      </c>
      <c r="EA1253" s="34">
        <v>43585</v>
      </c>
      <c r="EB1253" s="29">
        <v>41.91</v>
      </c>
      <c r="EC1253" s="34">
        <v>43370</v>
      </c>
      <c r="ED1253" s="28" t="s">
        <v>205</v>
      </c>
      <c r="EE1253" s="40" t="str">
        <f>HYPERLINK("https://my.pitchbook.com?c=156743-56", "View company online")</f>
        <v>View company online</v>
      </c>
    </row>
    <row r="1254" spans="1:135">
      <c r="A1254" s="15" t="s">
        <v>24280</v>
      </c>
      <c r="B1254" s="15" t="s">
        <v>24281</v>
      </c>
      <c r="C1254" s="15" t="s">
        <v>24282</v>
      </c>
      <c r="D1254" s="15" t="s">
        <v>138</v>
      </c>
      <c r="E1254" s="15" t="s">
        <v>24283</v>
      </c>
      <c r="F1254" s="15" t="s">
        <v>24280</v>
      </c>
      <c r="G1254" s="15" t="s">
        <v>24284</v>
      </c>
      <c r="H1254" s="15" t="s">
        <v>385</v>
      </c>
      <c r="I1254" s="15" t="s">
        <v>1991</v>
      </c>
      <c r="J1254" s="15" t="s">
        <v>4454</v>
      </c>
      <c r="K1254" s="15" t="s">
        <v>24285</v>
      </c>
      <c r="L1254" s="15" t="s">
        <v>2485</v>
      </c>
      <c r="M1254" s="15" t="s">
        <v>24286</v>
      </c>
      <c r="N1254" s="15" t="s">
        <v>147</v>
      </c>
      <c r="O1254" s="17">
        <v>22.5</v>
      </c>
      <c r="P1254" s="15" t="s">
        <v>148</v>
      </c>
      <c r="Q1254" s="15" t="s">
        <v>149</v>
      </c>
      <c r="R1254" s="15" t="s">
        <v>244</v>
      </c>
      <c r="S1254" s="15" t="s">
        <v>24287</v>
      </c>
      <c r="T1254" s="18">
        <v>6</v>
      </c>
      <c r="U1254" s="15" t="s">
        <v>24288</v>
      </c>
      <c r="V1254" s="15" t="s">
        <v>138</v>
      </c>
      <c r="W1254" s="15" t="s">
        <v>138</v>
      </c>
      <c r="X1254" s="19">
        <v>2011</v>
      </c>
      <c r="Y1254" s="15" t="s">
        <v>138</v>
      </c>
      <c r="Z1254" s="15" t="s">
        <v>138</v>
      </c>
      <c r="AA1254" s="15" t="s">
        <v>138</v>
      </c>
      <c r="AB1254" s="20">
        <v>10.9</v>
      </c>
      <c r="AC1254" s="20" t="s">
        <v>138</v>
      </c>
      <c r="AD1254" s="20" t="s">
        <v>138</v>
      </c>
      <c r="AE1254" s="20" t="s">
        <v>138</v>
      </c>
      <c r="AF1254" s="20" t="s">
        <v>138</v>
      </c>
      <c r="AG1254" s="15" t="s">
        <v>514</v>
      </c>
      <c r="AH1254" s="20" t="s">
        <v>138</v>
      </c>
      <c r="AI1254" s="20" t="s">
        <v>138</v>
      </c>
      <c r="AJ1254" s="20" t="s">
        <v>138</v>
      </c>
      <c r="AK1254" s="15" t="s">
        <v>24289</v>
      </c>
      <c r="AL1254" s="15" t="s">
        <v>24290</v>
      </c>
      <c r="AM1254" s="15" t="s">
        <v>249</v>
      </c>
      <c r="AN1254" s="15" t="s">
        <v>24291</v>
      </c>
      <c r="AO1254" s="15" t="s">
        <v>24292</v>
      </c>
      <c r="AP1254" s="15" t="s">
        <v>24293</v>
      </c>
      <c r="AQ1254" s="15" t="s">
        <v>24294</v>
      </c>
      <c r="AR1254" s="15" t="s">
        <v>2004</v>
      </c>
      <c r="AS1254" s="15" t="s">
        <v>24295</v>
      </c>
      <c r="AT1254" s="15" t="s">
        <v>24296</v>
      </c>
      <c r="AU1254" s="15" t="s">
        <v>24297</v>
      </c>
      <c r="AV1254" s="15" t="s">
        <v>162</v>
      </c>
      <c r="AW1254" s="15" t="s">
        <v>24292</v>
      </c>
      <c r="AX1254" s="15" t="s">
        <v>24298</v>
      </c>
      <c r="AY1254" s="15" t="s">
        <v>24299</v>
      </c>
      <c r="AZ1254" s="15" t="s">
        <v>164</v>
      </c>
      <c r="BA1254" s="15" t="s">
        <v>165</v>
      </c>
      <c r="BB1254" s="15" t="s">
        <v>24300</v>
      </c>
      <c r="BC1254" s="15" t="s">
        <v>24301</v>
      </c>
      <c r="BD1254" s="21">
        <v>1</v>
      </c>
      <c r="BE1254" s="15" t="s">
        <v>138</v>
      </c>
      <c r="BF1254" s="15" t="s">
        <v>138</v>
      </c>
      <c r="BG1254" s="15" t="s">
        <v>138</v>
      </c>
      <c r="BH1254" s="15" t="s">
        <v>138</v>
      </c>
      <c r="BI1254" s="15" t="s">
        <v>138</v>
      </c>
      <c r="BJ1254" s="15" t="s">
        <v>138</v>
      </c>
      <c r="BK1254" s="15" t="s">
        <v>138</v>
      </c>
      <c r="BL1254" s="15" t="s">
        <v>24302</v>
      </c>
      <c r="BM1254" s="22">
        <v>41609</v>
      </c>
      <c r="BN1254" s="17">
        <v>7</v>
      </c>
      <c r="BO1254" s="15" t="s">
        <v>172</v>
      </c>
      <c r="BP1254" s="17" t="s">
        <v>138</v>
      </c>
      <c r="BQ1254" s="15" t="s">
        <v>138</v>
      </c>
      <c r="BR1254" s="15" t="s">
        <v>1326</v>
      </c>
      <c r="BS1254" s="15" t="s">
        <v>1498</v>
      </c>
      <c r="BT1254" s="15" t="s">
        <v>138</v>
      </c>
      <c r="BU1254" s="15" t="s">
        <v>1327</v>
      </c>
      <c r="BV1254" s="15" t="s">
        <v>1498</v>
      </c>
      <c r="BW1254" s="15" t="s">
        <v>138</v>
      </c>
      <c r="BX1254" s="15" t="s">
        <v>138</v>
      </c>
      <c r="BY1254" s="15" t="s">
        <v>175</v>
      </c>
      <c r="BZ1254" s="22">
        <v>43122</v>
      </c>
      <c r="CA1254" s="17">
        <v>3</v>
      </c>
      <c r="CB1254" s="15" t="s">
        <v>172</v>
      </c>
      <c r="CC1254" s="17" t="s">
        <v>138</v>
      </c>
      <c r="CD1254" s="15" t="s">
        <v>138</v>
      </c>
      <c r="CE1254" s="15" t="s">
        <v>173</v>
      </c>
      <c r="CF1254" s="15" t="s">
        <v>138</v>
      </c>
      <c r="CG1254" s="15" t="s">
        <v>138</v>
      </c>
      <c r="CH1254" s="15" t="s">
        <v>174</v>
      </c>
      <c r="CI1254" s="15" t="s">
        <v>264</v>
      </c>
      <c r="CJ1254" s="15" t="s">
        <v>138</v>
      </c>
      <c r="CK1254" s="15" t="s">
        <v>138</v>
      </c>
      <c r="CL1254" s="15" t="s">
        <v>175</v>
      </c>
      <c r="CM1254" s="22">
        <v>41609</v>
      </c>
      <c r="CN1254" s="17">
        <v>7</v>
      </c>
      <c r="CO1254" s="23">
        <v>0.05</v>
      </c>
      <c r="CP1254" s="24">
        <v>88</v>
      </c>
      <c r="CQ1254" s="23">
        <v>0</v>
      </c>
      <c r="CR1254" s="23">
        <v>9.16</v>
      </c>
      <c r="CS1254" s="23">
        <v>0</v>
      </c>
      <c r="CT1254" s="24">
        <v>23</v>
      </c>
      <c r="CU1254" s="23">
        <v>0.1</v>
      </c>
      <c r="CV1254" s="24">
        <v>68</v>
      </c>
      <c r="CW1254" s="23" t="s">
        <v>138</v>
      </c>
      <c r="CX1254" s="24" t="s">
        <v>138</v>
      </c>
      <c r="CY1254" s="23">
        <v>0</v>
      </c>
      <c r="CZ1254" s="24">
        <v>25</v>
      </c>
      <c r="DA1254" s="23">
        <v>0.15</v>
      </c>
      <c r="DB1254" s="24">
        <v>78</v>
      </c>
      <c r="DC1254" s="25">
        <v>0.91</v>
      </c>
      <c r="DD1254" s="24">
        <v>49</v>
      </c>
      <c r="DE1254" s="25">
        <v>0</v>
      </c>
      <c r="DF1254" s="23">
        <v>0.38</v>
      </c>
      <c r="DG1254" s="25">
        <v>0.66</v>
      </c>
      <c r="DH1254" s="24">
        <v>41</v>
      </c>
      <c r="DI1254" s="25">
        <v>1.17</v>
      </c>
      <c r="DJ1254" s="24">
        <v>52</v>
      </c>
      <c r="DK1254" s="25" t="s">
        <v>138</v>
      </c>
      <c r="DL1254" s="24" t="s">
        <v>138</v>
      </c>
      <c r="DM1254" s="25">
        <v>0.66</v>
      </c>
      <c r="DN1254" s="24">
        <v>40</v>
      </c>
      <c r="DO1254" s="25">
        <v>2.06</v>
      </c>
      <c r="DP1254" s="24">
        <v>64</v>
      </c>
      <c r="DQ1254" s="24" t="s">
        <v>138</v>
      </c>
      <c r="DR1254" s="26" t="s">
        <v>138</v>
      </c>
      <c r="DS1254" s="23" t="s">
        <v>138</v>
      </c>
      <c r="DT1254" s="24">
        <v>19</v>
      </c>
      <c r="DU1254" s="26">
        <v>0</v>
      </c>
      <c r="DV1254" s="23">
        <v>0</v>
      </c>
      <c r="DW1254" s="24">
        <v>738</v>
      </c>
      <c r="DX1254" s="27">
        <v>1</v>
      </c>
      <c r="DY1254" s="23">
        <v>0.14000000000000001</v>
      </c>
      <c r="DZ1254" s="15" t="s">
        <v>178</v>
      </c>
      <c r="EA1254" s="22">
        <v>43606</v>
      </c>
      <c r="EB1254" s="17" t="s">
        <v>138</v>
      </c>
      <c r="EC1254" s="22" t="s">
        <v>138</v>
      </c>
      <c r="ED1254" s="15" t="s">
        <v>138</v>
      </c>
      <c r="EE1254" s="14" t="str">
        <f>HYPERLINK("https://my.pitchbook.com?c=61537-33", "View company online")</f>
        <v>View company online</v>
      </c>
    </row>
    <row r="1255" spans="1:135">
      <c r="A1255" s="28" t="s">
        <v>24303</v>
      </c>
      <c r="B1255" s="28" t="s">
        <v>24304</v>
      </c>
      <c r="C1255" s="28" t="s">
        <v>24305</v>
      </c>
      <c r="D1255" s="28" t="s">
        <v>138</v>
      </c>
      <c r="E1255" s="28" t="s">
        <v>138</v>
      </c>
      <c r="F1255" s="28" t="s">
        <v>24303</v>
      </c>
      <c r="G1255" s="28" t="s">
        <v>24306</v>
      </c>
      <c r="H1255" s="28" t="s">
        <v>141</v>
      </c>
      <c r="I1255" s="28" t="s">
        <v>212</v>
      </c>
      <c r="J1255" s="28" t="s">
        <v>11306</v>
      </c>
      <c r="K1255" s="28" t="s">
        <v>11307</v>
      </c>
      <c r="L1255" s="28" t="s">
        <v>24307</v>
      </c>
      <c r="M1255" s="28" t="s">
        <v>24308</v>
      </c>
      <c r="N1255" s="28" t="s">
        <v>147</v>
      </c>
      <c r="O1255" s="29">
        <v>5</v>
      </c>
      <c r="P1255" s="28" t="s">
        <v>148</v>
      </c>
      <c r="Q1255" s="28" t="s">
        <v>149</v>
      </c>
      <c r="R1255" s="28" t="s">
        <v>174</v>
      </c>
      <c r="S1255" s="28" t="s">
        <v>24309</v>
      </c>
      <c r="T1255" s="30" t="s">
        <v>138</v>
      </c>
      <c r="U1255" s="28" t="s">
        <v>138</v>
      </c>
      <c r="V1255" s="28" t="s">
        <v>138</v>
      </c>
      <c r="W1255" s="28" t="s">
        <v>138</v>
      </c>
      <c r="X1255" s="31" t="s">
        <v>138</v>
      </c>
      <c r="Y1255" s="28" t="s">
        <v>138</v>
      </c>
      <c r="Z1255" s="28" t="s">
        <v>138</v>
      </c>
      <c r="AA1255" s="28" t="s">
        <v>138</v>
      </c>
      <c r="AB1255" s="32" t="s">
        <v>138</v>
      </c>
      <c r="AC1255" s="32" t="s">
        <v>138</v>
      </c>
      <c r="AD1255" s="32" t="s">
        <v>138</v>
      </c>
      <c r="AE1255" s="32" t="s">
        <v>138</v>
      </c>
      <c r="AF1255" s="32" t="s">
        <v>138</v>
      </c>
      <c r="AG1255" s="28" t="s">
        <v>138</v>
      </c>
      <c r="AH1255" s="32" t="s">
        <v>138</v>
      </c>
      <c r="AI1255" s="32" t="s">
        <v>138</v>
      </c>
      <c r="AJ1255" s="32" t="s">
        <v>138</v>
      </c>
      <c r="AK1255" s="28" t="s">
        <v>24310</v>
      </c>
      <c r="AL1255" s="28" t="s">
        <v>24311</v>
      </c>
      <c r="AM1255" s="28" t="s">
        <v>4011</v>
      </c>
      <c r="AN1255" s="28" t="s">
        <v>24312</v>
      </c>
      <c r="AO1255" s="28" t="s">
        <v>24313</v>
      </c>
      <c r="AP1255" s="28" t="s">
        <v>24314</v>
      </c>
      <c r="AQ1255" s="28" t="s">
        <v>24315</v>
      </c>
      <c r="AR1255" s="28" t="s">
        <v>138</v>
      </c>
      <c r="AS1255" s="28" t="s">
        <v>24316</v>
      </c>
      <c r="AT1255" s="28" t="s">
        <v>371</v>
      </c>
      <c r="AU1255" s="28" t="s">
        <v>24317</v>
      </c>
      <c r="AV1255" s="28" t="s">
        <v>162</v>
      </c>
      <c r="AW1255" s="28" t="s">
        <v>24313</v>
      </c>
      <c r="AX1255" s="28" t="s">
        <v>24318</v>
      </c>
      <c r="AY1255" s="28" t="s">
        <v>138</v>
      </c>
      <c r="AZ1255" s="28" t="s">
        <v>164</v>
      </c>
      <c r="BA1255" s="28" t="s">
        <v>165</v>
      </c>
      <c r="BB1255" s="28" t="s">
        <v>24319</v>
      </c>
      <c r="BC1255" s="28" t="s">
        <v>24320</v>
      </c>
      <c r="BD1255" s="33">
        <v>1</v>
      </c>
      <c r="BE1255" s="28" t="s">
        <v>138</v>
      </c>
      <c r="BF1255" s="28" t="s">
        <v>138</v>
      </c>
      <c r="BG1255" s="28" t="s">
        <v>138</v>
      </c>
      <c r="BH1255" s="28" t="s">
        <v>3002</v>
      </c>
      <c r="BI1255" s="28" t="s">
        <v>138</v>
      </c>
      <c r="BJ1255" s="28" t="s">
        <v>138</v>
      </c>
      <c r="BK1255" s="28" t="s">
        <v>138</v>
      </c>
      <c r="BL1255" s="28" t="s">
        <v>138</v>
      </c>
      <c r="BM1255" s="34">
        <v>43342</v>
      </c>
      <c r="BN1255" s="29">
        <v>5</v>
      </c>
      <c r="BO1255" s="28" t="s">
        <v>172</v>
      </c>
      <c r="BP1255" s="29" t="s">
        <v>138</v>
      </c>
      <c r="BQ1255" s="28" t="s">
        <v>138</v>
      </c>
      <c r="BR1255" s="28" t="s">
        <v>205</v>
      </c>
      <c r="BS1255" s="28" t="s">
        <v>138</v>
      </c>
      <c r="BT1255" s="28" t="s">
        <v>138</v>
      </c>
      <c r="BU1255" s="28" t="s">
        <v>174</v>
      </c>
      <c r="BV1255" s="28" t="s">
        <v>138</v>
      </c>
      <c r="BW1255" s="28" t="s">
        <v>138</v>
      </c>
      <c r="BX1255" s="28" t="s">
        <v>138</v>
      </c>
      <c r="BY1255" s="28" t="s">
        <v>175</v>
      </c>
      <c r="BZ1255" s="34">
        <v>43342</v>
      </c>
      <c r="CA1255" s="29">
        <v>5</v>
      </c>
      <c r="CB1255" s="28" t="s">
        <v>172</v>
      </c>
      <c r="CC1255" s="29" t="s">
        <v>138</v>
      </c>
      <c r="CD1255" s="28" t="s">
        <v>138</v>
      </c>
      <c r="CE1255" s="28" t="s">
        <v>205</v>
      </c>
      <c r="CF1255" s="28" t="s">
        <v>138</v>
      </c>
      <c r="CG1255" s="28" t="s">
        <v>138</v>
      </c>
      <c r="CH1255" s="28" t="s">
        <v>174</v>
      </c>
      <c r="CI1255" s="28" t="s">
        <v>138</v>
      </c>
      <c r="CJ1255" s="28" t="s">
        <v>138</v>
      </c>
      <c r="CK1255" s="28" t="s">
        <v>138</v>
      </c>
      <c r="CL1255" s="28" t="s">
        <v>175</v>
      </c>
      <c r="CM1255" s="34" t="s">
        <v>138</v>
      </c>
      <c r="CN1255" s="29" t="s">
        <v>138</v>
      </c>
      <c r="CO1255" s="35">
        <v>0</v>
      </c>
      <c r="CP1255" s="36">
        <v>26</v>
      </c>
      <c r="CQ1255" s="35">
        <v>0</v>
      </c>
      <c r="CR1255" s="35">
        <v>0</v>
      </c>
      <c r="CS1255" s="35">
        <v>0</v>
      </c>
      <c r="CT1255" s="36">
        <v>23</v>
      </c>
      <c r="CU1255" s="35">
        <v>0</v>
      </c>
      <c r="CV1255" s="36">
        <v>22</v>
      </c>
      <c r="CW1255" s="35" t="s">
        <v>138</v>
      </c>
      <c r="CX1255" s="36" t="s">
        <v>138</v>
      </c>
      <c r="CY1255" s="35">
        <v>0</v>
      </c>
      <c r="CZ1255" s="36">
        <v>25</v>
      </c>
      <c r="DA1255" s="35">
        <v>0</v>
      </c>
      <c r="DB1255" s="36">
        <v>22</v>
      </c>
      <c r="DC1255" s="37">
        <v>0.86</v>
      </c>
      <c r="DD1255" s="36">
        <v>47</v>
      </c>
      <c r="DE1255" s="37">
        <v>0.36</v>
      </c>
      <c r="DF1255" s="35">
        <v>73.88</v>
      </c>
      <c r="DG1255" s="37">
        <v>1.62</v>
      </c>
      <c r="DH1255" s="36">
        <v>62</v>
      </c>
      <c r="DI1255" s="37">
        <v>0.09</v>
      </c>
      <c r="DJ1255" s="36">
        <v>13</v>
      </c>
      <c r="DK1255" s="37" t="s">
        <v>138</v>
      </c>
      <c r="DL1255" s="36" t="s">
        <v>138</v>
      </c>
      <c r="DM1255" s="37">
        <v>1.62</v>
      </c>
      <c r="DN1255" s="36">
        <v>61</v>
      </c>
      <c r="DO1255" s="37">
        <v>0.09</v>
      </c>
      <c r="DP1255" s="36">
        <v>15</v>
      </c>
      <c r="DQ1255" s="36">
        <v>68</v>
      </c>
      <c r="DR1255" s="38">
        <v>-19</v>
      </c>
      <c r="DS1255" s="35">
        <v>-21.84</v>
      </c>
      <c r="DT1255" s="36">
        <v>46</v>
      </c>
      <c r="DU1255" s="38">
        <v>0</v>
      </c>
      <c r="DV1255" s="35">
        <v>0</v>
      </c>
      <c r="DW1255" s="36">
        <v>33</v>
      </c>
      <c r="DX1255" s="39">
        <v>1</v>
      </c>
      <c r="DY1255" s="35">
        <v>3.13</v>
      </c>
      <c r="DZ1255" s="28" t="s">
        <v>178</v>
      </c>
      <c r="EA1255" s="34">
        <v>43480</v>
      </c>
      <c r="EB1255" s="29" t="s">
        <v>138</v>
      </c>
      <c r="EC1255" s="34" t="s">
        <v>138</v>
      </c>
      <c r="ED1255" s="28" t="s">
        <v>138</v>
      </c>
      <c r="EE1255" s="40" t="str">
        <f>HYPERLINK("https://my.pitchbook.com?c=232164-82", "View company online")</f>
        <v>View company online</v>
      </c>
    </row>
    <row r="1256" spans="1:135">
      <c r="A1256" s="15" t="s">
        <v>24321</v>
      </c>
      <c r="B1256" s="15" t="s">
        <v>24322</v>
      </c>
      <c r="C1256" s="15" t="s">
        <v>24323</v>
      </c>
      <c r="D1256" s="15" t="s">
        <v>138</v>
      </c>
      <c r="E1256" s="15" t="s">
        <v>24324</v>
      </c>
      <c r="F1256" s="15" t="s">
        <v>24321</v>
      </c>
      <c r="G1256" s="15" t="s">
        <v>24325</v>
      </c>
      <c r="H1256" s="15" t="s">
        <v>238</v>
      </c>
      <c r="I1256" s="15" t="s">
        <v>785</v>
      </c>
      <c r="J1256" s="15" t="s">
        <v>786</v>
      </c>
      <c r="K1256" s="15" t="s">
        <v>24326</v>
      </c>
      <c r="L1256" s="15" t="s">
        <v>4703</v>
      </c>
      <c r="M1256" s="15" t="s">
        <v>24327</v>
      </c>
      <c r="N1256" s="15" t="s">
        <v>147</v>
      </c>
      <c r="O1256" s="17">
        <v>84.09</v>
      </c>
      <c r="P1256" s="15" t="s">
        <v>148</v>
      </c>
      <c r="Q1256" s="15" t="s">
        <v>149</v>
      </c>
      <c r="R1256" s="15" t="s">
        <v>244</v>
      </c>
      <c r="S1256" s="15" t="s">
        <v>24328</v>
      </c>
      <c r="T1256" s="18">
        <v>60</v>
      </c>
      <c r="U1256" s="15" t="s">
        <v>24329</v>
      </c>
      <c r="V1256" s="15" t="s">
        <v>138</v>
      </c>
      <c r="W1256" s="15" t="s">
        <v>138</v>
      </c>
      <c r="X1256" s="19">
        <v>2015</v>
      </c>
      <c r="Y1256" s="15" t="s">
        <v>138</v>
      </c>
      <c r="Z1256" s="15" t="s">
        <v>138</v>
      </c>
      <c r="AA1256" s="15" t="s">
        <v>138</v>
      </c>
      <c r="AB1256" s="20" t="s">
        <v>138</v>
      </c>
      <c r="AC1256" s="20" t="s">
        <v>138</v>
      </c>
      <c r="AD1256" s="20" t="s">
        <v>138</v>
      </c>
      <c r="AE1256" s="20" t="s">
        <v>138</v>
      </c>
      <c r="AF1256" s="20" t="s">
        <v>138</v>
      </c>
      <c r="AG1256" s="15" t="s">
        <v>138</v>
      </c>
      <c r="AH1256" s="20" t="s">
        <v>138</v>
      </c>
      <c r="AI1256" s="20" t="s">
        <v>138</v>
      </c>
      <c r="AJ1256" s="20" t="s">
        <v>138</v>
      </c>
      <c r="AK1256" s="15" t="s">
        <v>24330</v>
      </c>
      <c r="AL1256" s="15" t="s">
        <v>24331</v>
      </c>
      <c r="AM1256" s="15" t="s">
        <v>24332</v>
      </c>
      <c r="AN1256" s="15" t="s">
        <v>138</v>
      </c>
      <c r="AO1256" s="15" t="s">
        <v>24333</v>
      </c>
      <c r="AP1256" s="15" t="s">
        <v>941</v>
      </c>
      <c r="AQ1256" s="15" t="s">
        <v>24334</v>
      </c>
      <c r="AR1256" s="15" t="s">
        <v>138</v>
      </c>
      <c r="AS1256" s="15" t="s">
        <v>944</v>
      </c>
      <c r="AT1256" s="15" t="s">
        <v>138</v>
      </c>
      <c r="AU1256" s="15" t="s">
        <v>13590</v>
      </c>
      <c r="AV1256" s="15" t="s">
        <v>946</v>
      </c>
      <c r="AW1256" s="15" t="s">
        <v>24333</v>
      </c>
      <c r="AX1256" s="15" t="s">
        <v>138</v>
      </c>
      <c r="AY1256" s="15" t="s">
        <v>24335</v>
      </c>
      <c r="AZ1256" s="15" t="s">
        <v>530</v>
      </c>
      <c r="BA1256" s="15" t="s">
        <v>531</v>
      </c>
      <c r="BB1256" s="15" t="s">
        <v>24336</v>
      </c>
      <c r="BC1256" s="15" t="s">
        <v>24337</v>
      </c>
      <c r="BD1256" s="21">
        <v>15</v>
      </c>
      <c r="BE1256" s="15" t="s">
        <v>138</v>
      </c>
      <c r="BF1256" s="15" t="s">
        <v>138</v>
      </c>
      <c r="BG1256" s="15" t="s">
        <v>138</v>
      </c>
      <c r="BH1256" s="15" t="s">
        <v>24338</v>
      </c>
      <c r="BI1256" s="15" t="s">
        <v>138</v>
      </c>
      <c r="BJ1256" s="15" t="s">
        <v>138</v>
      </c>
      <c r="BK1256" s="15" t="s">
        <v>138</v>
      </c>
      <c r="BL1256" s="15" t="s">
        <v>24339</v>
      </c>
      <c r="BM1256" s="22">
        <v>42125</v>
      </c>
      <c r="BN1256" s="17" t="s">
        <v>138</v>
      </c>
      <c r="BO1256" s="15" t="s">
        <v>138</v>
      </c>
      <c r="BP1256" s="17" t="s">
        <v>138</v>
      </c>
      <c r="BQ1256" s="15" t="s">
        <v>138</v>
      </c>
      <c r="BR1256" s="15" t="s">
        <v>316</v>
      </c>
      <c r="BS1256" s="15" t="s">
        <v>138</v>
      </c>
      <c r="BT1256" s="15" t="s">
        <v>138</v>
      </c>
      <c r="BU1256" s="15" t="s">
        <v>174</v>
      </c>
      <c r="BV1256" s="15" t="s">
        <v>138</v>
      </c>
      <c r="BW1256" s="15" t="s">
        <v>138</v>
      </c>
      <c r="BX1256" s="15" t="s">
        <v>138</v>
      </c>
      <c r="BY1256" s="15" t="s">
        <v>175</v>
      </c>
      <c r="BZ1256" s="22">
        <v>43482</v>
      </c>
      <c r="CA1256" s="17">
        <v>23.3</v>
      </c>
      <c r="CB1256" s="15" t="s">
        <v>172</v>
      </c>
      <c r="CC1256" s="17" t="s">
        <v>138</v>
      </c>
      <c r="CD1256" s="15" t="s">
        <v>138</v>
      </c>
      <c r="CE1256" s="15" t="s">
        <v>1326</v>
      </c>
      <c r="CF1256" s="15" t="s">
        <v>138</v>
      </c>
      <c r="CG1256" s="15" t="s">
        <v>138</v>
      </c>
      <c r="CH1256" s="15" t="s">
        <v>1327</v>
      </c>
      <c r="CI1256" s="15" t="s">
        <v>1328</v>
      </c>
      <c r="CJ1256" s="15" t="s">
        <v>138</v>
      </c>
      <c r="CK1256" s="15" t="s">
        <v>138</v>
      </c>
      <c r="CL1256" s="15" t="s">
        <v>175</v>
      </c>
      <c r="CM1256" s="22">
        <v>43482</v>
      </c>
      <c r="CN1256" s="17">
        <v>23.3</v>
      </c>
      <c r="CO1256" s="23">
        <v>0.44</v>
      </c>
      <c r="CP1256" s="24">
        <v>95</v>
      </c>
      <c r="CQ1256" s="23">
        <v>0</v>
      </c>
      <c r="CR1256" s="23">
        <v>-0.87</v>
      </c>
      <c r="CS1256" s="23" t="s">
        <v>138</v>
      </c>
      <c r="CT1256" s="24" t="s">
        <v>138</v>
      </c>
      <c r="CU1256" s="23">
        <v>0.23</v>
      </c>
      <c r="CV1256" s="24">
        <v>83</v>
      </c>
      <c r="CW1256" s="23" t="s">
        <v>138</v>
      </c>
      <c r="CX1256" s="24" t="s">
        <v>138</v>
      </c>
      <c r="CY1256" s="23" t="s">
        <v>138</v>
      </c>
      <c r="CZ1256" s="24" t="s">
        <v>138</v>
      </c>
      <c r="DA1256" s="23">
        <v>0.11</v>
      </c>
      <c r="DB1256" s="24">
        <v>73</v>
      </c>
      <c r="DC1256" s="25">
        <v>6.15</v>
      </c>
      <c r="DD1256" s="24">
        <v>85</v>
      </c>
      <c r="DE1256" s="25">
        <v>0</v>
      </c>
      <c r="DF1256" s="23">
        <v>0.08</v>
      </c>
      <c r="DG1256" s="25" t="s">
        <v>138</v>
      </c>
      <c r="DH1256" s="24" t="s">
        <v>138</v>
      </c>
      <c r="DI1256" s="25">
        <v>12.19</v>
      </c>
      <c r="DJ1256" s="24">
        <v>87</v>
      </c>
      <c r="DK1256" s="25" t="s">
        <v>138</v>
      </c>
      <c r="DL1256" s="24" t="s">
        <v>138</v>
      </c>
      <c r="DM1256" s="25" t="s">
        <v>138</v>
      </c>
      <c r="DN1256" s="24" t="s">
        <v>138</v>
      </c>
      <c r="DO1256" s="25">
        <v>6.92</v>
      </c>
      <c r="DP1256" s="24">
        <v>83</v>
      </c>
      <c r="DQ1256" s="24" t="s">
        <v>138</v>
      </c>
      <c r="DR1256" s="26" t="s">
        <v>138</v>
      </c>
      <c r="DS1256" s="23" t="s">
        <v>138</v>
      </c>
      <c r="DT1256" s="24" t="s">
        <v>138</v>
      </c>
      <c r="DU1256" s="26" t="s">
        <v>138</v>
      </c>
      <c r="DV1256" s="23" t="s">
        <v>138</v>
      </c>
      <c r="DW1256" s="24">
        <v>2476</v>
      </c>
      <c r="DX1256" s="27">
        <v>1</v>
      </c>
      <c r="DY1256" s="23">
        <v>0.04</v>
      </c>
      <c r="DZ1256" s="15" t="s">
        <v>178</v>
      </c>
      <c r="EA1256" s="22">
        <v>43612</v>
      </c>
      <c r="EB1256" s="17" t="s">
        <v>138</v>
      </c>
      <c r="EC1256" s="22" t="s">
        <v>138</v>
      </c>
      <c r="ED1256" s="15" t="s">
        <v>138</v>
      </c>
      <c r="EE1256" s="14" t="str">
        <f>HYPERLINK("https://my.pitchbook.com?c=113503-87", "View company online")</f>
        <v>View company online</v>
      </c>
    </row>
    <row r="1257" spans="1:135">
      <c r="A1257" s="28" t="s">
        <v>24340</v>
      </c>
      <c r="B1257" s="28" t="s">
        <v>24341</v>
      </c>
      <c r="C1257" s="28" t="s">
        <v>138</v>
      </c>
      <c r="D1257" s="28" t="s">
        <v>138</v>
      </c>
      <c r="E1257" s="28" t="s">
        <v>24342</v>
      </c>
      <c r="F1257" s="28" t="s">
        <v>24340</v>
      </c>
      <c r="G1257" s="28" t="s">
        <v>24343</v>
      </c>
      <c r="H1257" s="28" t="s">
        <v>238</v>
      </c>
      <c r="I1257" s="28" t="s">
        <v>239</v>
      </c>
      <c r="J1257" s="28" t="s">
        <v>2578</v>
      </c>
      <c r="K1257" s="28" t="s">
        <v>11416</v>
      </c>
      <c r="L1257" s="28" t="s">
        <v>16646</v>
      </c>
      <c r="M1257" s="28" t="s">
        <v>24344</v>
      </c>
      <c r="N1257" s="28" t="s">
        <v>147</v>
      </c>
      <c r="O1257" s="29">
        <v>22.35</v>
      </c>
      <c r="P1257" s="28" t="s">
        <v>148</v>
      </c>
      <c r="Q1257" s="28" t="s">
        <v>149</v>
      </c>
      <c r="R1257" s="28" t="s">
        <v>174</v>
      </c>
      <c r="S1257" s="28" t="s">
        <v>24345</v>
      </c>
      <c r="T1257" s="30">
        <v>35</v>
      </c>
      <c r="U1257" s="28" t="s">
        <v>24346</v>
      </c>
      <c r="V1257" s="28" t="s">
        <v>138</v>
      </c>
      <c r="W1257" s="28" t="s">
        <v>138</v>
      </c>
      <c r="X1257" s="31">
        <v>2012</v>
      </c>
      <c r="Y1257" s="28" t="s">
        <v>138</v>
      </c>
      <c r="Z1257" s="28" t="s">
        <v>138</v>
      </c>
      <c r="AA1257" s="28" t="s">
        <v>138</v>
      </c>
      <c r="AB1257" s="32" t="s">
        <v>138</v>
      </c>
      <c r="AC1257" s="32" t="s">
        <v>138</v>
      </c>
      <c r="AD1257" s="32" t="s">
        <v>138</v>
      </c>
      <c r="AE1257" s="32" t="s">
        <v>138</v>
      </c>
      <c r="AF1257" s="32" t="s">
        <v>138</v>
      </c>
      <c r="AG1257" s="28" t="s">
        <v>138</v>
      </c>
      <c r="AH1257" s="32" t="s">
        <v>138</v>
      </c>
      <c r="AI1257" s="32" t="s">
        <v>138</v>
      </c>
      <c r="AJ1257" s="32" t="s">
        <v>138</v>
      </c>
      <c r="AK1257" s="28" t="s">
        <v>24347</v>
      </c>
      <c r="AL1257" s="28" t="s">
        <v>24348</v>
      </c>
      <c r="AM1257" s="28" t="s">
        <v>221</v>
      </c>
      <c r="AN1257" s="28" t="s">
        <v>138</v>
      </c>
      <c r="AO1257" s="28" t="s">
        <v>138</v>
      </c>
      <c r="AP1257" s="28" t="s">
        <v>1220</v>
      </c>
      <c r="AQ1257" s="28" t="s">
        <v>24349</v>
      </c>
      <c r="AR1257" s="28" t="s">
        <v>6298</v>
      </c>
      <c r="AS1257" s="28" t="s">
        <v>1223</v>
      </c>
      <c r="AT1257" s="28" t="s">
        <v>200</v>
      </c>
      <c r="AU1257" s="28" t="s">
        <v>3953</v>
      </c>
      <c r="AV1257" s="28" t="s">
        <v>162</v>
      </c>
      <c r="AW1257" s="28" t="s">
        <v>138</v>
      </c>
      <c r="AX1257" s="28" t="s">
        <v>138</v>
      </c>
      <c r="AY1257" s="28" t="s">
        <v>138</v>
      </c>
      <c r="AZ1257" s="28" t="s">
        <v>164</v>
      </c>
      <c r="BA1257" s="28" t="s">
        <v>165</v>
      </c>
      <c r="BB1257" s="28" t="s">
        <v>24350</v>
      </c>
      <c r="BC1257" s="28" t="s">
        <v>24351</v>
      </c>
      <c r="BD1257" s="33">
        <v>9</v>
      </c>
      <c r="BE1257" s="28" t="s">
        <v>138</v>
      </c>
      <c r="BF1257" s="28" t="s">
        <v>138</v>
      </c>
      <c r="BG1257" s="28" t="s">
        <v>138</v>
      </c>
      <c r="BH1257" s="28" t="s">
        <v>24352</v>
      </c>
      <c r="BI1257" s="28" t="s">
        <v>138</v>
      </c>
      <c r="BJ1257" s="28" t="s">
        <v>138</v>
      </c>
      <c r="BK1257" s="28" t="s">
        <v>4576</v>
      </c>
      <c r="BL1257" s="28" t="s">
        <v>138</v>
      </c>
      <c r="BM1257" s="34">
        <v>41611</v>
      </c>
      <c r="BN1257" s="29">
        <v>5.49</v>
      </c>
      <c r="BO1257" s="28" t="s">
        <v>172</v>
      </c>
      <c r="BP1257" s="29">
        <v>24.13</v>
      </c>
      <c r="BQ1257" s="28" t="s">
        <v>172</v>
      </c>
      <c r="BR1257" s="28" t="s">
        <v>205</v>
      </c>
      <c r="BS1257" s="28" t="s">
        <v>206</v>
      </c>
      <c r="BT1257" s="28" t="s">
        <v>138</v>
      </c>
      <c r="BU1257" s="28" t="s">
        <v>174</v>
      </c>
      <c r="BV1257" s="28" t="s">
        <v>138</v>
      </c>
      <c r="BW1257" s="28" t="s">
        <v>138</v>
      </c>
      <c r="BX1257" s="28" t="s">
        <v>138</v>
      </c>
      <c r="BY1257" s="28" t="s">
        <v>175</v>
      </c>
      <c r="BZ1257" s="34">
        <v>42545</v>
      </c>
      <c r="CA1257" s="29">
        <v>7</v>
      </c>
      <c r="CB1257" s="28" t="s">
        <v>172</v>
      </c>
      <c r="CC1257" s="29">
        <v>20.73</v>
      </c>
      <c r="CD1257" s="28" t="s">
        <v>172</v>
      </c>
      <c r="CE1257" s="28" t="s">
        <v>205</v>
      </c>
      <c r="CF1257" s="28" t="s">
        <v>720</v>
      </c>
      <c r="CG1257" s="28" t="s">
        <v>138</v>
      </c>
      <c r="CH1257" s="28" t="s">
        <v>174</v>
      </c>
      <c r="CI1257" s="28" t="s">
        <v>138</v>
      </c>
      <c r="CJ1257" s="28" t="s">
        <v>138</v>
      </c>
      <c r="CK1257" s="28" t="s">
        <v>138</v>
      </c>
      <c r="CL1257" s="28" t="s">
        <v>175</v>
      </c>
      <c r="CM1257" s="34" t="s">
        <v>138</v>
      </c>
      <c r="CN1257" s="29" t="s">
        <v>138</v>
      </c>
      <c r="CO1257" s="35">
        <v>0.08</v>
      </c>
      <c r="CP1257" s="36">
        <v>89</v>
      </c>
      <c r="CQ1257" s="35">
        <v>0</v>
      </c>
      <c r="CR1257" s="35">
        <v>3.06</v>
      </c>
      <c r="CS1257" s="35">
        <v>0.15</v>
      </c>
      <c r="CT1257" s="36">
        <v>94</v>
      </c>
      <c r="CU1257" s="35">
        <v>0.03</v>
      </c>
      <c r="CV1257" s="36">
        <v>54</v>
      </c>
      <c r="CW1257" s="35">
        <v>2.17</v>
      </c>
      <c r="CX1257" s="36">
        <v>89</v>
      </c>
      <c r="CY1257" s="35">
        <v>-1.87</v>
      </c>
      <c r="CZ1257" s="36">
        <v>12</v>
      </c>
      <c r="DA1257" s="35">
        <v>0.08</v>
      </c>
      <c r="DB1257" s="36">
        <v>69</v>
      </c>
      <c r="DC1257" s="37">
        <v>27.62</v>
      </c>
      <c r="DD1257" s="36">
        <v>96</v>
      </c>
      <c r="DE1257" s="37">
        <v>-0.94</v>
      </c>
      <c r="DF1257" s="35">
        <v>-3.28</v>
      </c>
      <c r="DG1257" s="37">
        <v>34.35</v>
      </c>
      <c r="DH1257" s="36">
        <v>97</v>
      </c>
      <c r="DI1257" s="37">
        <v>42.13</v>
      </c>
      <c r="DJ1257" s="36">
        <v>94</v>
      </c>
      <c r="DK1257" s="37">
        <v>46.12</v>
      </c>
      <c r="DL1257" s="36">
        <v>96</v>
      </c>
      <c r="DM1257" s="37">
        <v>22.59</v>
      </c>
      <c r="DN1257" s="36">
        <v>95</v>
      </c>
      <c r="DO1257" s="37">
        <v>6.39</v>
      </c>
      <c r="DP1257" s="36">
        <v>82</v>
      </c>
      <c r="DQ1257" s="36">
        <v>15728</v>
      </c>
      <c r="DR1257" s="38">
        <v>276</v>
      </c>
      <c r="DS1257" s="35">
        <v>1.79</v>
      </c>
      <c r="DT1257" s="36">
        <v>657</v>
      </c>
      <c r="DU1257" s="38">
        <v>-5</v>
      </c>
      <c r="DV1257" s="35">
        <v>-0.76</v>
      </c>
      <c r="DW1257" s="36">
        <v>2287</v>
      </c>
      <c r="DX1257" s="39">
        <v>6</v>
      </c>
      <c r="DY1257" s="35">
        <v>0.26</v>
      </c>
      <c r="DZ1257" s="28" t="s">
        <v>178</v>
      </c>
      <c r="EA1257" s="34">
        <v>43447</v>
      </c>
      <c r="EB1257" s="29">
        <v>20.73</v>
      </c>
      <c r="EC1257" s="34">
        <v>42545</v>
      </c>
      <c r="ED1257" s="28" t="s">
        <v>205</v>
      </c>
      <c r="EE1257" s="40" t="str">
        <f>HYPERLINK("https://my.pitchbook.com?c=60563-98", "View company online")</f>
        <v>View company online</v>
      </c>
    </row>
    <row r="1258" spans="1:135">
      <c r="A1258" s="15" t="s">
        <v>24353</v>
      </c>
      <c r="B1258" s="15" t="s">
        <v>24354</v>
      </c>
      <c r="C1258" s="15" t="s">
        <v>138</v>
      </c>
      <c r="D1258" s="15" t="s">
        <v>138</v>
      </c>
      <c r="E1258" s="15" t="s">
        <v>24355</v>
      </c>
      <c r="F1258" s="15" t="s">
        <v>24353</v>
      </c>
      <c r="G1258" s="15" t="s">
        <v>24356</v>
      </c>
      <c r="H1258" s="15" t="s">
        <v>322</v>
      </c>
      <c r="I1258" s="15" t="s">
        <v>323</v>
      </c>
      <c r="J1258" s="15" t="s">
        <v>324</v>
      </c>
      <c r="K1258" s="15" t="s">
        <v>2464</v>
      </c>
      <c r="L1258" s="15" t="s">
        <v>1884</v>
      </c>
      <c r="M1258" s="15" t="s">
        <v>24357</v>
      </c>
      <c r="N1258" s="15" t="s">
        <v>147</v>
      </c>
      <c r="O1258" s="17">
        <v>3.96</v>
      </c>
      <c r="P1258" s="15" t="s">
        <v>148</v>
      </c>
      <c r="Q1258" s="15" t="s">
        <v>149</v>
      </c>
      <c r="R1258" s="15" t="s">
        <v>174</v>
      </c>
      <c r="S1258" s="15" t="s">
        <v>24358</v>
      </c>
      <c r="T1258" s="18">
        <v>325</v>
      </c>
      <c r="U1258" s="15" t="s">
        <v>24359</v>
      </c>
      <c r="V1258" s="15" t="s">
        <v>138</v>
      </c>
      <c r="W1258" s="15" t="s">
        <v>138</v>
      </c>
      <c r="X1258" s="19">
        <v>2014</v>
      </c>
      <c r="Y1258" s="15" t="s">
        <v>138</v>
      </c>
      <c r="Z1258" s="15" t="s">
        <v>138</v>
      </c>
      <c r="AA1258" s="15" t="s">
        <v>138</v>
      </c>
      <c r="AB1258" s="20">
        <v>2.1</v>
      </c>
      <c r="AC1258" s="20" t="s">
        <v>138</v>
      </c>
      <c r="AD1258" s="20" t="s">
        <v>138</v>
      </c>
      <c r="AE1258" s="20" t="s">
        <v>138</v>
      </c>
      <c r="AF1258" s="20" t="s">
        <v>138</v>
      </c>
      <c r="AG1258" s="15" t="s">
        <v>419</v>
      </c>
      <c r="AH1258" s="20" t="s">
        <v>138</v>
      </c>
      <c r="AI1258" s="20" t="s">
        <v>138</v>
      </c>
      <c r="AJ1258" s="20" t="s">
        <v>138</v>
      </c>
      <c r="AK1258" s="15" t="s">
        <v>24360</v>
      </c>
      <c r="AL1258" s="15" t="s">
        <v>24361</v>
      </c>
      <c r="AM1258" s="15" t="s">
        <v>5401</v>
      </c>
      <c r="AN1258" s="15" t="s">
        <v>24362</v>
      </c>
      <c r="AO1258" s="15" t="s">
        <v>24363</v>
      </c>
      <c r="AP1258" s="15" t="s">
        <v>4625</v>
      </c>
      <c r="AQ1258" s="15" t="s">
        <v>24364</v>
      </c>
      <c r="AR1258" s="15" t="s">
        <v>138</v>
      </c>
      <c r="AS1258" s="15" t="s">
        <v>4627</v>
      </c>
      <c r="AT1258" s="15" t="s">
        <v>4628</v>
      </c>
      <c r="AU1258" s="15" t="s">
        <v>24365</v>
      </c>
      <c r="AV1258" s="15" t="s">
        <v>162</v>
      </c>
      <c r="AW1258" s="15" t="s">
        <v>24363</v>
      </c>
      <c r="AX1258" s="15" t="s">
        <v>138</v>
      </c>
      <c r="AY1258" s="15" t="s">
        <v>24366</v>
      </c>
      <c r="AZ1258" s="15" t="s">
        <v>164</v>
      </c>
      <c r="BA1258" s="15" t="s">
        <v>165</v>
      </c>
      <c r="BB1258" s="15" t="s">
        <v>24367</v>
      </c>
      <c r="BC1258" s="15" t="s">
        <v>24368</v>
      </c>
      <c r="BD1258" s="21">
        <v>10</v>
      </c>
      <c r="BE1258" s="15" t="s">
        <v>138</v>
      </c>
      <c r="BF1258" s="15" t="s">
        <v>138</v>
      </c>
      <c r="BG1258" s="15" t="s">
        <v>138</v>
      </c>
      <c r="BH1258" s="15" t="s">
        <v>24369</v>
      </c>
      <c r="BI1258" s="15" t="s">
        <v>138</v>
      </c>
      <c r="BJ1258" s="15" t="s">
        <v>138</v>
      </c>
      <c r="BK1258" s="15" t="s">
        <v>138</v>
      </c>
      <c r="BL1258" s="15" t="s">
        <v>138</v>
      </c>
      <c r="BM1258" s="22">
        <v>41900</v>
      </c>
      <c r="BN1258" s="17" t="s">
        <v>138</v>
      </c>
      <c r="BO1258" s="15" t="s">
        <v>138</v>
      </c>
      <c r="BP1258" s="17" t="s">
        <v>138</v>
      </c>
      <c r="BQ1258" s="15" t="s">
        <v>138</v>
      </c>
      <c r="BR1258" s="15" t="s">
        <v>262</v>
      </c>
      <c r="BS1258" s="15" t="s">
        <v>262</v>
      </c>
      <c r="BT1258" s="15" t="s">
        <v>138</v>
      </c>
      <c r="BU1258" s="15" t="s">
        <v>263</v>
      </c>
      <c r="BV1258" s="15" t="s">
        <v>138</v>
      </c>
      <c r="BW1258" s="15" t="s">
        <v>138</v>
      </c>
      <c r="BX1258" s="15" t="s">
        <v>138</v>
      </c>
      <c r="BY1258" s="15" t="s">
        <v>175</v>
      </c>
      <c r="BZ1258" s="22">
        <v>43200</v>
      </c>
      <c r="CA1258" s="17">
        <v>2.5</v>
      </c>
      <c r="CB1258" s="15" t="s">
        <v>172</v>
      </c>
      <c r="CC1258" s="17" t="s">
        <v>138</v>
      </c>
      <c r="CD1258" s="15" t="s">
        <v>138</v>
      </c>
      <c r="CE1258" s="15" t="s">
        <v>205</v>
      </c>
      <c r="CF1258" s="15" t="s">
        <v>138</v>
      </c>
      <c r="CG1258" s="15" t="s">
        <v>138</v>
      </c>
      <c r="CH1258" s="15" t="s">
        <v>174</v>
      </c>
      <c r="CI1258" s="15" t="s">
        <v>138</v>
      </c>
      <c r="CJ1258" s="15" t="s">
        <v>138</v>
      </c>
      <c r="CK1258" s="15" t="s">
        <v>138</v>
      </c>
      <c r="CL1258" s="15" t="s">
        <v>175</v>
      </c>
      <c r="CM1258" s="22" t="s">
        <v>138</v>
      </c>
      <c r="CN1258" s="17" t="s">
        <v>138</v>
      </c>
      <c r="CO1258" s="23">
        <v>-0.03</v>
      </c>
      <c r="CP1258" s="24">
        <v>23</v>
      </c>
      <c r="CQ1258" s="23">
        <v>-0.03</v>
      </c>
      <c r="CR1258" s="23">
        <v>-4565.13</v>
      </c>
      <c r="CS1258" s="23">
        <v>0</v>
      </c>
      <c r="CT1258" s="24">
        <v>23</v>
      </c>
      <c r="CU1258" s="23">
        <v>-0.05</v>
      </c>
      <c r="CV1258" s="24">
        <v>9</v>
      </c>
      <c r="CW1258" s="23">
        <v>0</v>
      </c>
      <c r="CX1258" s="24">
        <v>13</v>
      </c>
      <c r="CY1258" s="23">
        <v>0</v>
      </c>
      <c r="CZ1258" s="24">
        <v>25</v>
      </c>
      <c r="DA1258" s="23">
        <v>-0.03</v>
      </c>
      <c r="DB1258" s="24">
        <v>17</v>
      </c>
      <c r="DC1258" s="25">
        <v>1.28</v>
      </c>
      <c r="DD1258" s="24">
        <v>57</v>
      </c>
      <c r="DE1258" s="25">
        <v>-0.04</v>
      </c>
      <c r="DF1258" s="23">
        <v>-2.97</v>
      </c>
      <c r="DG1258" s="25">
        <v>1.79</v>
      </c>
      <c r="DH1258" s="24">
        <v>64</v>
      </c>
      <c r="DI1258" s="25">
        <v>0.76</v>
      </c>
      <c r="DJ1258" s="24">
        <v>44</v>
      </c>
      <c r="DK1258" s="25">
        <v>1.54</v>
      </c>
      <c r="DL1258" s="24">
        <v>59</v>
      </c>
      <c r="DM1258" s="25">
        <v>2.0299999999999998</v>
      </c>
      <c r="DN1258" s="24">
        <v>66</v>
      </c>
      <c r="DO1258" s="25">
        <v>1.35</v>
      </c>
      <c r="DP1258" s="24">
        <v>56</v>
      </c>
      <c r="DQ1258" s="24">
        <v>499</v>
      </c>
      <c r="DR1258" s="26">
        <v>90</v>
      </c>
      <c r="DS1258" s="23">
        <v>22</v>
      </c>
      <c r="DT1258" s="24">
        <v>58</v>
      </c>
      <c r="DU1258" s="26">
        <v>1</v>
      </c>
      <c r="DV1258" s="23">
        <v>1.75</v>
      </c>
      <c r="DW1258" s="24">
        <v>483</v>
      </c>
      <c r="DX1258" s="27">
        <v>0</v>
      </c>
      <c r="DY1258" s="23">
        <v>0</v>
      </c>
      <c r="DZ1258" s="15" t="s">
        <v>178</v>
      </c>
      <c r="EA1258" s="22">
        <v>43622</v>
      </c>
      <c r="EB1258" s="17">
        <v>5.84</v>
      </c>
      <c r="EC1258" s="22">
        <v>42741</v>
      </c>
      <c r="ED1258" s="15" t="s">
        <v>205</v>
      </c>
      <c r="EE1258" s="14" t="str">
        <f>HYPERLINK("https://my.pitchbook.com?c=108033-94", "View company online")</f>
        <v>View company online</v>
      </c>
    </row>
    <row r="1259" spans="1:135">
      <c r="A1259" s="28" t="s">
        <v>24370</v>
      </c>
      <c r="B1259" s="28" t="s">
        <v>24371</v>
      </c>
      <c r="C1259" s="28" t="s">
        <v>24372</v>
      </c>
      <c r="D1259" s="28" t="s">
        <v>138</v>
      </c>
      <c r="E1259" s="28" t="s">
        <v>138</v>
      </c>
      <c r="F1259" s="28" t="s">
        <v>24370</v>
      </c>
      <c r="G1259" s="28" t="s">
        <v>24373</v>
      </c>
      <c r="H1259" s="28" t="s">
        <v>322</v>
      </c>
      <c r="I1259" s="28" t="s">
        <v>356</v>
      </c>
      <c r="J1259" s="28" t="s">
        <v>2106</v>
      </c>
      <c r="K1259" s="28" t="s">
        <v>24374</v>
      </c>
      <c r="L1259" s="28" t="s">
        <v>1994</v>
      </c>
      <c r="M1259" s="28" t="s">
        <v>24375</v>
      </c>
      <c r="N1259" s="28" t="s">
        <v>147</v>
      </c>
      <c r="O1259" s="29">
        <v>44.88</v>
      </c>
      <c r="P1259" s="28" t="s">
        <v>148</v>
      </c>
      <c r="Q1259" s="28" t="s">
        <v>149</v>
      </c>
      <c r="R1259" s="28" t="s">
        <v>1652</v>
      </c>
      <c r="S1259" s="28" t="s">
        <v>24376</v>
      </c>
      <c r="T1259" s="30">
        <v>11</v>
      </c>
      <c r="U1259" s="28" t="s">
        <v>24377</v>
      </c>
      <c r="V1259" s="28" t="s">
        <v>138</v>
      </c>
      <c r="W1259" s="28" t="s">
        <v>138</v>
      </c>
      <c r="X1259" s="31" t="s">
        <v>138</v>
      </c>
      <c r="Y1259" s="28" t="s">
        <v>138</v>
      </c>
      <c r="Z1259" s="28" t="s">
        <v>138</v>
      </c>
      <c r="AA1259" s="28" t="s">
        <v>138</v>
      </c>
      <c r="AB1259" s="32" t="s">
        <v>138</v>
      </c>
      <c r="AC1259" s="32" t="s">
        <v>138</v>
      </c>
      <c r="AD1259" s="32" t="s">
        <v>138</v>
      </c>
      <c r="AE1259" s="32" t="s">
        <v>138</v>
      </c>
      <c r="AF1259" s="32" t="s">
        <v>138</v>
      </c>
      <c r="AG1259" s="28" t="s">
        <v>138</v>
      </c>
      <c r="AH1259" s="32" t="s">
        <v>138</v>
      </c>
      <c r="AI1259" s="32" t="s">
        <v>138</v>
      </c>
      <c r="AJ1259" s="32" t="s">
        <v>138</v>
      </c>
      <c r="AK1259" s="28" t="s">
        <v>24378</v>
      </c>
      <c r="AL1259" s="28" t="s">
        <v>24379</v>
      </c>
      <c r="AM1259" s="28" t="s">
        <v>4810</v>
      </c>
      <c r="AN1259" s="28" t="s">
        <v>24380</v>
      </c>
      <c r="AO1259" s="28" t="s">
        <v>24381</v>
      </c>
      <c r="AP1259" s="28" t="s">
        <v>24382</v>
      </c>
      <c r="AQ1259" s="28" t="s">
        <v>24383</v>
      </c>
      <c r="AR1259" s="28" t="s">
        <v>24384</v>
      </c>
      <c r="AS1259" s="28" t="s">
        <v>24385</v>
      </c>
      <c r="AT1259" s="28" t="s">
        <v>864</v>
      </c>
      <c r="AU1259" s="28" t="s">
        <v>24386</v>
      </c>
      <c r="AV1259" s="28" t="s">
        <v>162</v>
      </c>
      <c r="AW1259" s="28" t="s">
        <v>24381</v>
      </c>
      <c r="AX1259" s="28" t="s">
        <v>24387</v>
      </c>
      <c r="AY1259" s="28" t="s">
        <v>24388</v>
      </c>
      <c r="AZ1259" s="28" t="s">
        <v>164</v>
      </c>
      <c r="BA1259" s="28" t="s">
        <v>165</v>
      </c>
      <c r="BB1259" s="28" t="s">
        <v>24389</v>
      </c>
      <c r="BC1259" s="28" t="s">
        <v>24390</v>
      </c>
      <c r="BD1259" s="33">
        <v>8</v>
      </c>
      <c r="BE1259" s="28" t="s">
        <v>138</v>
      </c>
      <c r="BF1259" s="28" t="s">
        <v>24391</v>
      </c>
      <c r="BG1259" s="28" t="s">
        <v>138</v>
      </c>
      <c r="BH1259" s="28" t="s">
        <v>24392</v>
      </c>
      <c r="BI1259" s="28" t="s">
        <v>24393</v>
      </c>
      <c r="BJ1259" s="28" t="s">
        <v>138</v>
      </c>
      <c r="BK1259" s="28" t="s">
        <v>138</v>
      </c>
      <c r="BL1259" s="28" t="s">
        <v>24394</v>
      </c>
      <c r="BM1259" s="34">
        <v>36678</v>
      </c>
      <c r="BN1259" s="29">
        <v>12.5</v>
      </c>
      <c r="BO1259" s="28" t="s">
        <v>172</v>
      </c>
      <c r="BP1259" s="29" t="s">
        <v>138</v>
      </c>
      <c r="BQ1259" s="28" t="s">
        <v>138</v>
      </c>
      <c r="BR1259" s="28" t="s">
        <v>234</v>
      </c>
      <c r="BS1259" s="28" t="s">
        <v>234</v>
      </c>
      <c r="BT1259" s="28" t="s">
        <v>138</v>
      </c>
      <c r="BU1259" s="28" t="s">
        <v>174</v>
      </c>
      <c r="BV1259" s="28" t="s">
        <v>138</v>
      </c>
      <c r="BW1259" s="28" t="s">
        <v>138</v>
      </c>
      <c r="BX1259" s="28" t="s">
        <v>138</v>
      </c>
      <c r="BY1259" s="28" t="s">
        <v>175</v>
      </c>
      <c r="BZ1259" s="34">
        <v>42846</v>
      </c>
      <c r="CA1259" s="29" t="s">
        <v>138</v>
      </c>
      <c r="CB1259" s="28" t="s">
        <v>138</v>
      </c>
      <c r="CC1259" s="29" t="s">
        <v>138</v>
      </c>
      <c r="CD1259" s="28" t="s">
        <v>138</v>
      </c>
      <c r="CE1259" s="28" t="s">
        <v>1326</v>
      </c>
      <c r="CF1259" s="28" t="s">
        <v>138</v>
      </c>
      <c r="CG1259" s="28" t="s">
        <v>138</v>
      </c>
      <c r="CH1259" s="28" t="s">
        <v>1327</v>
      </c>
      <c r="CI1259" s="28" t="s">
        <v>2528</v>
      </c>
      <c r="CJ1259" s="28" t="s">
        <v>138</v>
      </c>
      <c r="CK1259" s="28" t="s">
        <v>138</v>
      </c>
      <c r="CL1259" s="28" t="s">
        <v>175</v>
      </c>
      <c r="CM1259" s="34">
        <v>42846</v>
      </c>
      <c r="CN1259" s="29" t="s">
        <v>138</v>
      </c>
      <c r="CO1259" s="35">
        <v>0.05</v>
      </c>
      <c r="CP1259" s="36">
        <v>88</v>
      </c>
      <c r="CQ1259" s="35">
        <v>-0.01</v>
      </c>
      <c r="CR1259" s="35">
        <v>-12.65</v>
      </c>
      <c r="CS1259" s="35" t="s">
        <v>138</v>
      </c>
      <c r="CT1259" s="36" t="s">
        <v>138</v>
      </c>
      <c r="CU1259" s="35">
        <v>0.05</v>
      </c>
      <c r="CV1259" s="36">
        <v>58</v>
      </c>
      <c r="CW1259" s="35" t="s">
        <v>138</v>
      </c>
      <c r="CX1259" s="36" t="s">
        <v>138</v>
      </c>
      <c r="CY1259" s="35" t="s">
        <v>138</v>
      </c>
      <c r="CZ1259" s="36" t="s">
        <v>138</v>
      </c>
      <c r="DA1259" s="35">
        <v>0.1</v>
      </c>
      <c r="DB1259" s="36">
        <v>72</v>
      </c>
      <c r="DC1259" s="37">
        <v>1.29</v>
      </c>
      <c r="DD1259" s="36">
        <v>57</v>
      </c>
      <c r="DE1259" s="37">
        <v>0.01</v>
      </c>
      <c r="DF1259" s="35">
        <v>0.45</v>
      </c>
      <c r="DG1259" s="37" t="s">
        <v>138</v>
      </c>
      <c r="DH1259" s="36" t="s">
        <v>138</v>
      </c>
      <c r="DI1259" s="37">
        <v>1.29</v>
      </c>
      <c r="DJ1259" s="36">
        <v>54</v>
      </c>
      <c r="DK1259" s="37" t="s">
        <v>138</v>
      </c>
      <c r="DL1259" s="36" t="s">
        <v>138</v>
      </c>
      <c r="DM1259" s="37" t="s">
        <v>138</v>
      </c>
      <c r="DN1259" s="36" t="s">
        <v>138</v>
      </c>
      <c r="DO1259" s="37">
        <v>2.56</v>
      </c>
      <c r="DP1259" s="36">
        <v>68</v>
      </c>
      <c r="DQ1259" s="36" t="s">
        <v>138</v>
      </c>
      <c r="DR1259" s="38" t="s">
        <v>138</v>
      </c>
      <c r="DS1259" s="35" t="s">
        <v>138</v>
      </c>
      <c r="DT1259" s="36" t="s">
        <v>138</v>
      </c>
      <c r="DU1259" s="38" t="s">
        <v>138</v>
      </c>
      <c r="DV1259" s="35" t="s">
        <v>138</v>
      </c>
      <c r="DW1259" s="36">
        <v>916</v>
      </c>
      <c r="DX1259" s="39">
        <v>1</v>
      </c>
      <c r="DY1259" s="35">
        <v>0.11</v>
      </c>
      <c r="DZ1259" s="28" t="s">
        <v>178</v>
      </c>
      <c r="EA1259" s="34">
        <v>43503</v>
      </c>
      <c r="EB1259" s="29">
        <v>27.88</v>
      </c>
      <c r="EC1259" s="34">
        <v>38324</v>
      </c>
      <c r="ED1259" s="28" t="s">
        <v>205</v>
      </c>
      <c r="EE1259" s="40" t="str">
        <f>HYPERLINK("https://my.pitchbook.com?c=53592-40", "View company online")</f>
        <v>View company online</v>
      </c>
    </row>
    <row r="1260" spans="1:135">
      <c r="A1260" s="15" t="s">
        <v>24395</v>
      </c>
      <c r="B1260" s="15" t="s">
        <v>24396</v>
      </c>
      <c r="C1260" s="15" t="s">
        <v>138</v>
      </c>
      <c r="D1260" s="15" t="s">
        <v>138</v>
      </c>
      <c r="E1260" s="15" t="s">
        <v>24397</v>
      </c>
      <c r="F1260" s="15" t="s">
        <v>24395</v>
      </c>
      <c r="G1260" s="15" t="s">
        <v>24398</v>
      </c>
      <c r="H1260" s="15" t="s">
        <v>322</v>
      </c>
      <c r="I1260" s="15" t="s">
        <v>323</v>
      </c>
      <c r="J1260" s="15" t="s">
        <v>461</v>
      </c>
      <c r="K1260" s="15" t="s">
        <v>16394</v>
      </c>
      <c r="L1260" s="15" t="s">
        <v>1972</v>
      </c>
      <c r="M1260" s="15" t="s">
        <v>24399</v>
      </c>
      <c r="N1260" s="15" t="s">
        <v>147</v>
      </c>
      <c r="O1260" s="17">
        <v>28.33</v>
      </c>
      <c r="P1260" s="15" t="s">
        <v>812</v>
      </c>
      <c r="Q1260" s="15" t="s">
        <v>149</v>
      </c>
      <c r="R1260" s="15" t="s">
        <v>174</v>
      </c>
      <c r="S1260" s="15" t="s">
        <v>24400</v>
      </c>
      <c r="T1260" s="18">
        <v>51</v>
      </c>
      <c r="U1260" s="15" t="s">
        <v>24401</v>
      </c>
      <c r="V1260" s="15" t="s">
        <v>138</v>
      </c>
      <c r="W1260" s="15" t="s">
        <v>138</v>
      </c>
      <c r="X1260" s="19">
        <v>2006</v>
      </c>
      <c r="Y1260" s="15" t="s">
        <v>138</v>
      </c>
      <c r="Z1260" s="15" t="s">
        <v>138</v>
      </c>
      <c r="AA1260" s="15" t="s">
        <v>138</v>
      </c>
      <c r="AB1260" s="20" t="s">
        <v>138</v>
      </c>
      <c r="AC1260" s="20" t="s">
        <v>138</v>
      </c>
      <c r="AD1260" s="20" t="s">
        <v>138</v>
      </c>
      <c r="AE1260" s="20" t="s">
        <v>138</v>
      </c>
      <c r="AF1260" s="20" t="s">
        <v>138</v>
      </c>
      <c r="AG1260" s="15" t="s">
        <v>138</v>
      </c>
      <c r="AH1260" s="20" t="s">
        <v>138</v>
      </c>
      <c r="AI1260" s="20" t="s">
        <v>138</v>
      </c>
      <c r="AJ1260" s="20" t="s">
        <v>138</v>
      </c>
      <c r="AK1260" s="15" t="s">
        <v>24402</v>
      </c>
      <c r="AL1260" s="15" t="s">
        <v>24403</v>
      </c>
      <c r="AM1260" s="15" t="s">
        <v>24404</v>
      </c>
      <c r="AN1260" s="15" t="s">
        <v>24405</v>
      </c>
      <c r="AO1260" s="15" t="s">
        <v>24406</v>
      </c>
      <c r="AP1260" s="15" t="s">
        <v>665</v>
      </c>
      <c r="AQ1260" s="15" t="s">
        <v>24407</v>
      </c>
      <c r="AR1260" s="15" t="s">
        <v>138</v>
      </c>
      <c r="AS1260" s="15" t="s">
        <v>668</v>
      </c>
      <c r="AT1260" s="15" t="s">
        <v>200</v>
      </c>
      <c r="AU1260" s="15" t="s">
        <v>3557</v>
      </c>
      <c r="AV1260" s="15" t="s">
        <v>162</v>
      </c>
      <c r="AW1260" s="15" t="s">
        <v>24406</v>
      </c>
      <c r="AX1260" s="15" t="s">
        <v>24408</v>
      </c>
      <c r="AY1260" s="15" t="s">
        <v>24409</v>
      </c>
      <c r="AZ1260" s="15" t="s">
        <v>164</v>
      </c>
      <c r="BA1260" s="15" t="s">
        <v>165</v>
      </c>
      <c r="BB1260" s="15" t="s">
        <v>24410</v>
      </c>
      <c r="BC1260" s="15" t="s">
        <v>24411</v>
      </c>
      <c r="BD1260" s="21">
        <v>6</v>
      </c>
      <c r="BE1260" s="15" t="s">
        <v>138</v>
      </c>
      <c r="BF1260" s="15" t="s">
        <v>138</v>
      </c>
      <c r="BG1260" s="15" t="s">
        <v>138</v>
      </c>
      <c r="BH1260" s="15" t="s">
        <v>24412</v>
      </c>
      <c r="BI1260" s="15" t="s">
        <v>138</v>
      </c>
      <c r="BJ1260" s="15" t="s">
        <v>138</v>
      </c>
      <c r="BK1260" s="15" t="s">
        <v>3482</v>
      </c>
      <c r="BL1260" s="15" t="s">
        <v>3482</v>
      </c>
      <c r="BM1260" s="22">
        <v>39324</v>
      </c>
      <c r="BN1260" s="17">
        <v>6.74</v>
      </c>
      <c r="BO1260" s="15" t="s">
        <v>172</v>
      </c>
      <c r="BP1260" s="17">
        <v>22.49</v>
      </c>
      <c r="BQ1260" s="15" t="s">
        <v>172</v>
      </c>
      <c r="BR1260" s="15" t="s">
        <v>205</v>
      </c>
      <c r="BS1260" s="15" t="s">
        <v>206</v>
      </c>
      <c r="BT1260" s="15" t="s">
        <v>138</v>
      </c>
      <c r="BU1260" s="15" t="s">
        <v>174</v>
      </c>
      <c r="BV1260" s="15" t="s">
        <v>138</v>
      </c>
      <c r="BW1260" s="15" t="s">
        <v>138</v>
      </c>
      <c r="BX1260" s="15" t="s">
        <v>138</v>
      </c>
      <c r="BY1260" s="15" t="s">
        <v>175</v>
      </c>
      <c r="BZ1260" s="22">
        <v>40262</v>
      </c>
      <c r="CA1260" s="17" t="s">
        <v>138</v>
      </c>
      <c r="CB1260" s="15" t="s">
        <v>138</v>
      </c>
      <c r="CC1260" s="17" t="s">
        <v>138</v>
      </c>
      <c r="CD1260" s="15" t="s">
        <v>138</v>
      </c>
      <c r="CE1260" s="15" t="s">
        <v>173</v>
      </c>
      <c r="CF1260" s="15" t="s">
        <v>138</v>
      </c>
      <c r="CG1260" s="15" t="s">
        <v>138</v>
      </c>
      <c r="CH1260" s="15" t="s">
        <v>174</v>
      </c>
      <c r="CI1260" s="15" t="s">
        <v>138</v>
      </c>
      <c r="CJ1260" s="15" t="s">
        <v>138</v>
      </c>
      <c r="CK1260" s="15" t="s">
        <v>138</v>
      </c>
      <c r="CL1260" s="15" t="s">
        <v>175</v>
      </c>
      <c r="CM1260" s="22" t="s">
        <v>138</v>
      </c>
      <c r="CN1260" s="17" t="s">
        <v>138</v>
      </c>
      <c r="CO1260" s="23">
        <v>-0.99</v>
      </c>
      <c r="CP1260" s="24">
        <v>11</v>
      </c>
      <c r="CQ1260" s="23">
        <v>0.08</v>
      </c>
      <c r="CR1260" s="23">
        <v>7.42</v>
      </c>
      <c r="CS1260" s="23">
        <v>-1.88</v>
      </c>
      <c r="CT1260" s="24">
        <v>9</v>
      </c>
      <c r="CU1260" s="23">
        <v>-0.11</v>
      </c>
      <c r="CV1260" s="24">
        <v>3</v>
      </c>
      <c r="CW1260" s="23" t="s">
        <v>138</v>
      </c>
      <c r="CX1260" s="24" t="s">
        <v>138</v>
      </c>
      <c r="CY1260" s="23">
        <v>-1.88</v>
      </c>
      <c r="CZ1260" s="24">
        <v>12</v>
      </c>
      <c r="DA1260" s="23">
        <v>-0.11</v>
      </c>
      <c r="DB1260" s="24">
        <v>5</v>
      </c>
      <c r="DC1260" s="25">
        <v>2.4700000000000002</v>
      </c>
      <c r="DD1260" s="24">
        <v>71</v>
      </c>
      <c r="DE1260" s="25">
        <v>0.02</v>
      </c>
      <c r="DF1260" s="23">
        <v>0.68</v>
      </c>
      <c r="DG1260" s="25">
        <v>4.62</v>
      </c>
      <c r="DH1260" s="24">
        <v>81</v>
      </c>
      <c r="DI1260" s="25">
        <v>0.32</v>
      </c>
      <c r="DJ1260" s="24">
        <v>29</v>
      </c>
      <c r="DK1260" s="25" t="s">
        <v>138</v>
      </c>
      <c r="DL1260" s="24" t="s">
        <v>138</v>
      </c>
      <c r="DM1260" s="25">
        <v>4.62</v>
      </c>
      <c r="DN1260" s="24">
        <v>80</v>
      </c>
      <c r="DO1260" s="25">
        <v>0.32</v>
      </c>
      <c r="DP1260" s="24">
        <v>31</v>
      </c>
      <c r="DQ1260" s="24" t="s">
        <v>138</v>
      </c>
      <c r="DR1260" s="26" t="s">
        <v>138</v>
      </c>
      <c r="DS1260" s="23" t="s">
        <v>138</v>
      </c>
      <c r="DT1260" s="24">
        <v>133</v>
      </c>
      <c r="DU1260" s="26">
        <v>0</v>
      </c>
      <c r="DV1260" s="23">
        <v>0</v>
      </c>
      <c r="DW1260" s="24">
        <v>116</v>
      </c>
      <c r="DX1260" s="27">
        <v>0</v>
      </c>
      <c r="DY1260" s="23">
        <v>0</v>
      </c>
      <c r="DZ1260" s="15" t="s">
        <v>178</v>
      </c>
      <c r="EA1260" s="22">
        <v>43440</v>
      </c>
      <c r="EB1260" s="17">
        <v>22.49</v>
      </c>
      <c r="EC1260" s="22">
        <v>39324</v>
      </c>
      <c r="ED1260" s="15" t="s">
        <v>205</v>
      </c>
      <c r="EE1260" s="14" t="str">
        <f>HYPERLINK("https://my.pitchbook.com?c=52919-83", "View company online")</f>
        <v>View company online</v>
      </c>
    </row>
    <row r="1261" spans="1:135">
      <c r="A1261" s="28" t="s">
        <v>24413</v>
      </c>
      <c r="B1261" s="28" t="s">
        <v>24414</v>
      </c>
      <c r="C1261" s="28" t="s">
        <v>138</v>
      </c>
      <c r="D1261" s="28" t="s">
        <v>138</v>
      </c>
      <c r="E1261" s="28" t="s">
        <v>24415</v>
      </c>
      <c r="F1261" s="28" t="s">
        <v>24413</v>
      </c>
      <c r="G1261" s="28" t="s">
        <v>24416</v>
      </c>
      <c r="H1261" s="28" t="s">
        <v>238</v>
      </c>
      <c r="I1261" s="28" t="s">
        <v>749</v>
      </c>
      <c r="J1261" s="28" t="s">
        <v>750</v>
      </c>
      <c r="K1261" s="28" t="s">
        <v>5196</v>
      </c>
      <c r="L1261" s="28" t="s">
        <v>4263</v>
      </c>
      <c r="M1261" s="28" t="s">
        <v>24417</v>
      </c>
      <c r="N1261" s="28" t="s">
        <v>147</v>
      </c>
      <c r="O1261" s="29">
        <v>0.85</v>
      </c>
      <c r="P1261" s="28" t="s">
        <v>148</v>
      </c>
      <c r="Q1261" s="28" t="s">
        <v>149</v>
      </c>
      <c r="R1261" s="28" t="s">
        <v>174</v>
      </c>
      <c r="S1261" s="28" t="s">
        <v>24418</v>
      </c>
      <c r="T1261" s="30">
        <v>4</v>
      </c>
      <c r="U1261" s="28" t="s">
        <v>4851</v>
      </c>
      <c r="V1261" s="28" t="s">
        <v>138</v>
      </c>
      <c r="W1261" s="28" t="s">
        <v>138</v>
      </c>
      <c r="X1261" s="31">
        <v>2007</v>
      </c>
      <c r="Y1261" s="28" t="s">
        <v>138</v>
      </c>
      <c r="Z1261" s="28" t="s">
        <v>138</v>
      </c>
      <c r="AA1261" s="28" t="s">
        <v>138</v>
      </c>
      <c r="AB1261" s="32">
        <v>1</v>
      </c>
      <c r="AC1261" s="32" t="s">
        <v>138</v>
      </c>
      <c r="AD1261" s="32" t="s">
        <v>138</v>
      </c>
      <c r="AE1261" s="32" t="s">
        <v>138</v>
      </c>
      <c r="AF1261" s="32" t="s">
        <v>138</v>
      </c>
      <c r="AG1261" s="28" t="s">
        <v>419</v>
      </c>
      <c r="AH1261" s="32" t="s">
        <v>138</v>
      </c>
      <c r="AI1261" s="32" t="s">
        <v>138</v>
      </c>
      <c r="AJ1261" s="32" t="s">
        <v>138</v>
      </c>
      <c r="AK1261" s="28" t="s">
        <v>24419</v>
      </c>
      <c r="AL1261" s="28" t="s">
        <v>24420</v>
      </c>
      <c r="AM1261" s="28" t="s">
        <v>8261</v>
      </c>
      <c r="AN1261" s="28" t="s">
        <v>24421</v>
      </c>
      <c r="AO1261" s="28" t="s">
        <v>24422</v>
      </c>
      <c r="AP1261" s="28" t="s">
        <v>423</v>
      </c>
      <c r="AQ1261" s="28" t="s">
        <v>24423</v>
      </c>
      <c r="AR1261" s="28" t="s">
        <v>138</v>
      </c>
      <c r="AS1261" s="28" t="s">
        <v>426</v>
      </c>
      <c r="AT1261" s="28" t="s">
        <v>426</v>
      </c>
      <c r="AU1261" s="28" t="s">
        <v>12267</v>
      </c>
      <c r="AV1261" s="28" t="s">
        <v>162</v>
      </c>
      <c r="AW1261" s="28" t="s">
        <v>24422</v>
      </c>
      <c r="AX1261" s="28" t="s">
        <v>138</v>
      </c>
      <c r="AY1261" s="28" t="s">
        <v>24424</v>
      </c>
      <c r="AZ1261" s="28" t="s">
        <v>164</v>
      </c>
      <c r="BA1261" s="28" t="s">
        <v>165</v>
      </c>
      <c r="BB1261" s="28" t="s">
        <v>24425</v>
      </c>
      <c r="BC1261" s="28" t="s">
        <v>24426</v>
      </c>
      <c r="BD1261" s="33">
        <v>4</v>
      </c>
      <c r="BE1261" s="28" t="s">
        <v>138</v>
      </c>
      <c r="BF1261" s="28" t="s">
        <v>138</v>
      </c>
      <c r="BG1261" s="28" t="s">
        <v>138</v>
      </c>
      <c r="BH1261" s="28" t="s">
        <v>24427</v>
      </c>
      <c r="BI1261" s="28" t="s">
        <v>138</v>
      </c>
      <c r="BJ1261" s="28" t="s">
        <v>138</v>
      </c>
      <c r="BK1261" s="28" t="s">
        <v>24428</v>
      </c>
      <c r="BL1261" s="28" t="s">
        <v>24429</v>
      </c>
      <c r="BM1261" s="34">
        <v>42186</v>
      </c>
      <c r="BN1261" s="29">
        <v>0.5</v>
      </c>
      <c r="BO1261" s="28" t="s">
        <v>172</v>
      </c>
      <c r="BP1261" s="29" t="s">
        <v>138</v>
      </c>
      <c r="BQ1261" s="28" t="s">
        <v>138</v>
      </c>
      <c r="BR1261" s="28" t="s">
        <v>173</v>
      </c>
      <c r="BS1261" s="28" t="s">
        <v>138</v>
      </c>
      <c r="BT1261" s="28" t="s">
        <v>138</v>
      </c>
      <c r="BU1261" s="28" t="s">
        <v>174</v>
      </c>
      <c r="BV1261" s="28" t="s">
        <v>138</v>
      </c>
      <c r="BW1261" s="28" t="s">
        <v>138</v>
      </c>
      <c r="BX1261" s="28" t="s">
        <v>138</v>
      </c>
      <c r="BY1261" s="28" t="s">
        <v>175</v>
      </c>
      <c r="BZ1261" s="34">
        <v>43082</v>
      </c>
      <c r="CA1261" s="29">
        <v>0.2</v>
      </c>
      <c r="CB1261" s="28" t="s">
        <v>172</v>
      </c>
      <c r="CC1261" s="29" t="s">
        <v>138</v>
      </c>
      <c r="CD1261" s="28" t="s">
        <v>138</v>
      </c>
      <c r="CE1261" s="28" t="s">
        <v>173</v>
      </c>
      <c r="CF1261" s="28" t="s">
        <v>206</v>
      </c>
      <c r="CG1261" s="28" t="s">
        <v>138</v>
      </c>
      <c r="CH1261" s="28" t="s">
        <v>174</v>
      </c>
      <c r="CI1261" s="28" t="s">
        <v>138</v>
      </c>
      <c r="CJ1261" s="28" t="s">
        <v>138</v>
      </c>
      <c r="CK1261" s="28" t="s">
        <v>138</v>
      </c>
      <c r="CL1261" s="28" t="s">
        <v>175</v>
      </c>
      <c r="CM1261" s="34" t="s">
        <v>138</v>
      </c>
      <c r="CN1261" s="29" t="s">
        <v>138</v>
      </c>
      <c r="CO1261" s="35">
        <v>-1.0900000000000001</v>
      </c>
      <c r="CP1261" s="36">
        <v>10</v>
      </c>
      <c r="CQ1261" s="35">
        <v>0.01</v>
      </c>
      <c r="CR1261" s="35">
        <v>0.56999999999999995</v>
      </c>
      <c r="CS1261" s="35">
        <v>-2.11</v>
      </c>
      <c r="CT1261" s="36">
        <v>8</v>
      </c>
      <c r="CU1261" s="35">
        <v>-0.08</v>
      </c>
      <c r="CV1261" s="36">
        <v>5</v>
      </c>
      <c r="CW1261" s="35">
        <v>-2.11</v>
      </c>
      <c r="CX1261" s="36">
        <v>7</v>
      </c>
      <c r="CY1261" s="35" t="s">
        <v>138</v>
      </c>
      <c r="CZ1261" s="36" t="s">
        <v>138</v>
      </c>
      <c r="DA1261" s="35">
        <v>-0.12</v>
      </c>
      <c r="DB1261" s="36">
        <v>5</v>
      </c>
      <c r="DC1261" s="37">
        <v>18.97</v>
      </c>
      <c r="DD1261" s="36">
        <v>94</v>
      </c>
      <c r="DE1261" s="37">
        <v>-1.1399999999999999</v>
      </c>
      <c r="DF1261" s="35">
        <v>-5.67</v>
      </c>
      <c r="DG1261" s="37">
        <v>17.93</v>
      </c>
      <c r="DH1261" s="36">
        <v>94</v>
      </c>
      <c r="DI1261" s="37">
        <v>20.010000000000002</v>
      </c>
      <c r="DJ1261" s="36">
        <v>91</v>
      </c>
      <c r="DK1261" s="37">
        <v>17.93</v>
      </c>
      <c r="DL1261" s="36">
        <v>91</v>
      </c>
      <c r="DM1261" s="37" t="s">
        <v>138</v>
      </c>
      <c r="DN1261" s="36" t="s">
        <v>138</v>
      </c>
      <c r="DO1261" s="37">
        <v>12.36</v>
      </c>
      <c r="DP1261" s="36">
        <v>89</v>
      </c>
      <c r="DQ1261" s="36">
        <v>6243</v>
      </c>
      <c r="DR1261" s="38">
        <v>-285</v>
      </c>
      <c r="DS1261" s="35">
        <v>-4.37</v>
      </c>
      <c r="DT1261" s="36" t="s">
        <v>138</v>
      </c>
      <c r="DU1261" s="38" t="s">
        <v>138</v>
      </c>
      <c r="DV1261" s="35" t="s">
        <v>138</v>
      </c>
      <c r="DW1261" s="36">
        <v>4425</v>
      </c>
      <c r="DX1261" s="39">
        <v>1</v>
      </c>
      <c r="DY1261" s="35">
        <v>0.02</v>
      </c>
      <c r="DZ1261" s="28" t="s">
        <v>178</v>
      </c>
      <c r="EA1261" s="34">
        <v>43622</v>
      </c>
      <c r="EB1261" s="29" t="s">
        <v>138</v>
      </c>
      <c r="EC1261" s="34" t="s">
        <v>138</v>
      </c>
      <c r="ED1261" s="28" t="s">
        <v>138</v>
      </c>
      <c r="EE1261" s="40" t="str">
        <f>HYPERLINK("https://my.pitchbook.com?c=55199-89", "View company online")</f>
        <v>View company online</v>
      </c>
    </row>
    <row r="1262" spans="1:135">
      <c r="A1262" s="15" t="s">
        <v>24430</v>
      </c>
      <c r="B1262" s="15" t="s">
        <v>24431</v>
      </c>
      <c r="C1262" s="15" t="s">
        <v>138</v>
      </c>
      <c r="D1262" s="15" t="s">
        <v>24432</v>
      </c>
      <c r="E1262" s="15" t="s">
        <v>24433</v>
      </c>
      <c r="F1262" s="15" t="s">
        <v>24430</v>
      </c>
      <c r="G1262" s="15" t="s">
        <v>24434</v>
      </c>
      <c r="H1262" s="15" t="s">
        <v>322</v>
      </c>
      <c r="I1262" s="15" t="s">
        <v>323</v>
      </c>
      <c r="J1262" s="15" t="s">
        <v>1132</v>
      </c>
      <c r="K1262" s="15" t="s">
        <v>24435</v>
      </c>
      <c r="L1262" s="15" t="s">
        <v>10625</v>
      </c>
      <c r="M1262" s="15" t="s">
        <v>24436</v>
      </c>
      <c r="N1262" s="15" t="s">
        <v>147</v>
      </c>
      <c r="O1262" s="17">
        <v>23.3</v>
      </c>
      <c r="P1262" s="15" t="s">
        <v>148</v>
      </c>
      <c r="Q1262" s="15" t="s">
        <v>149</v>
      </c>
      <c r="R1262" s="15" t="s">
        <v>150</v>
      </c>
      <c r="S1262" s="15" t="s">
        <v>24437</v>
      </c>
      <c r="T1262" s="18" t="s">
        <v>138</v>
      </c>
      <c r="U1262" s="15" t="s">
        <v>138</v>
      </c>
      <c r="V1262" s="15" t="s">
        <v>138</v>
      </c>
      <c r="W1262" s="15" t="s">
        <v>138</v>
      </c>
      <c r="X1262" s="19">
        <v>2014</v>
      </c>
      <c r="Y1262" s="15" t="s">
        <v>138</v>
      </c>
      <c r="Z1262" s="15" t="s">
        <v>138</v>
      </c>
      <c r="AA1262" s="15" t="s">
        <v>138</v>
      </c>
      <c r="AB1262" s="20" t="s">
        <v>138</v>
      </c>
      <c r="AC1262" s="20" t="s">
        <v>138</v>
      </c>
      <c r="AD1262" s="20" t="s">
        <v>138</v>
      </c>
      <c r="AE1262" s="20" t="s">
        <v>138</v>
      </c>
      <c r="AF1262" s="20" t="s">
        <v>138</v>
      </c>
      <c r="AG1262" s="15" t="s">
        <v>138</v>
      </c>
      <c r="AH1262" s="20" t="s">
        <v>138</v>
      </c>
      <c r="AI1262" s="20" t="s">
        <v>138</v>
      </c>
      <c r="AJ1262" s="20" t="s">
        <v>138</v>
      </c>
      <c r="AK1262" s="15" t="s">
        <v>24438</v>
      </c>
      <c r="AL1262" s="15" t="s">
        <v>24439</v>
      </c>
      <c r="AM1262" s="15" t="s">
        <v>304</v>
      </c>
      <c r="AN1262" s="15" t="s">
        <v>24440</v>
      </c>
      <c r="AO1262" s="15" t="s">
        <v>24441</v>
      </c>
      <c r="AP1262" s="15" t="s">
        <v>3136</v>
      </c>
      <c r="AQ1262" s="15" t="s">
        <v>24442</v>
      </c>
      <c r="AR1262" s="15" t="s">
        <v>24443</v>
      </c>
      <c r="AS1262" s="15" t="s">
        <v>3139</v>
      </c>
      <c r="AT1262" s="15" t="s">
        <v>3140</v>
      </c>
      <c r="AU1262" s="15" t="s">
        <v>24024</v>
      </c>
      <c r="AV1262" s="15" t="s">
        <v>162</v>
      </c>
      <c r="AW1262" s="15" t="s">
        <v>24441</v>
      </c>
      <c r="AX1262" s="15" t="s">
        <v>138</v>
      </c>
      <c r="AY1262" s="15" t="s">
        <v>24444</v>
      </c>
      <c r="AZ1262" s="15" t="s">
        <v>164</v>
      </c>
      <c r="BA1262" s="15" t="s">
        <v>165</v>
      </c>
      <c r="BB1262" s="15" t="s">
        <v>24445</v>
      </c>
      <c r="BC1262" s="15" t="s">
        <v>24446</v>
      </c>
      <c r="BD1262" s="21">
        <v>3</v>
      </c>
      <c r="BE1262" s="15" t="s">
        <v>138</v>
      </c>
      <c r="BF1262" s="15" t="s">
        <v>138</v>
      </c>
      <c r="BG1262" s="15" t="s">
        <v>138</v>
      </c>
      <c r="BH1262" s="15" t="s">
        <v>24447</v>
      </c>
      <c r="BI1262" s="15" t="s">
        <v>138</v>
      </c>
      <c r="BJ1262" s="15" t="s">
        <v>138</v>
      </c>
      <c r="BK1262" s="15" t="s">
        <v>138</v>
      </c>
      <c r="BL1262" s="15" t="s">
        <v>138</v>
      </c>
      <c r="BM1262" s="22">
        <v>41640</v>
      </c>
      <c r="BN1262" s="17">
        <v>2</v>
      </c>
      <c r="BO1262" s="15" t="s">
        <v>172</v>
      </c>
      <c r="BP1262" s="17" t="s">
        <v>138</v>
      </c>
      <c r="BQ1262" s="15" t="s">
        <v>138</v>
      </c>
      <c r="BR1262" s="15" t="s">
        <v>780</v>
      </c>
      <c r="BS1262" s="15" t="s">
        <v>780</v>
      </c>
      <c r="BT1262" s="15" t="s">
        <v>138</v>
      </c>
      <c r="BU1262" s="15" t="s">
        <v>780</v>
      </c>
      <c r="BV1262" s="15" t="s">
        <v>138</v>
      </c>
      <c r="BW1262" s="15" t="s">
        <v>138</v>
      </c>
      <c r="BX1262" s="15" t="s">
        <v>138</v>
      </c>
      <c r="BY1262" s="15" t="s">
        <v>175</v>
      </c>
      <c r="BZ1262" s="22">
        <v>43531</v>
      </c>
      <c r="CA1262" s="17">
        <v>3</v>
      </c>
      <c r="CB1262" s="15" t="s">
        <v>172</v>
      </c>
      <c r="CC1262" s="17">
        <v>35</v>
      </c>
      <c r="CD1262" s="15" t="s">
        <v>172</v>
      </c>
      <c r="CE1262" s="15" t="s">
        <v>780</v>
      </c>
      <c r="CF1262" s="15" t="s">
        <v>720</v>
      </c>
      <c r="CG1262" s="15" t="s">
        <v>138</v>
      </c>
      <c r="CH1262" s="15" t="s">
        <v>780</v>
      </c>
      <c r="CI1262" s="15" t="s">
        <v>138</v>
      </c>
      <c r="CJ1262" s="15" t="s">
        <v>138</v>
      </c>
      <c r="CK1262" s="15" t="s">
        <v>138</v>
      </c>
      <c r="CL1262" s="15" t="s">
        <v>175</v>
      </c>
      <c r="CM1262" s="22" t="s">
        <v>138</v>
      </c>
      <c r="CN1262" s="17" t="s">
        <v>138</v>
      </c>
      <c r="CO1262" s="23">
        <v>0.12</v>
      </c>
      <c r="CP1262" s="24">
        <v>91</v>
      </c>
      <c r="CQ1262" s="23">
        <v>-0.02</v>
      </c>
      <c r="CR1262" s="23">
        <v>-12.59</v>
      </c>
      <c r="CS1262" s="23">
        <v>0</v>
      </c>
      <c r="CT1262" s="24">
        <v>23</v>
      </c>
      <c r="CU1262" s="23">
        <v>0.23</v>
      </c>
      <c r="CV1262" s="24">
        <v>83</v>
      </c>
      <c r="CW1262" s="23">
        <v>0</v>
      </c>
      <c r="CX1262" s="24">
        <v>13</v>
      </c>
      <c r="CY1262" s="23">
        <v>0</v>
      </c>
      <c r="CZ1262" s="24">
        <v>25</v>
      </c>
      <c r="DA1262" s="23">
        <v>0.23</v>
      </c>
      <c r="DB1262" s="24">
        <v>85</v>
      </c>
      <c r="DC1262" s="25">
        <v>1.41</v>
      </c>
      <c r="DD1262" s="24">
        <v>59</v>
      </c>
      <c r="DE1262" s="25">
        <v>-0.06</v>
      </c>
      <c r="DF1262" s="23">
        <v>-4.21</v>
      </c>
      <c r="DG1262" s="25">
        <v>1.74</v>
      </c>
      <c r="DH1262" s="24">
        <v>64</v>
      </c>
      <c r="DI1262" s="25">
        <v>1.07</v>
      </c>
      <c r="DJ1262" s="24">
        <v>50</v>
      </c>
      <c r="DK1262" s="25">
        <v>1.48</v>
      </c>
      <c r="DL1262" s="24">
        <v>58</v>
      </c>
      <c r="DM1262" s="25">
        <v>2</v>
      </c>
      <c r="DN1262" s="24">
        <v>66</v>
      </c>
      <c r="DO1262" s="25">
        <v>1.07</v>
      </c>
      <c r="DP1262" s="24">
        <v>52</v>
      </c>
      <c r="DQ1262" s="24">
        <v>512</v>
      </c>
      <c r="DR1262" s="26">
        <v>-11</v>
      </c>
      <c r="DS1262" s="23">
        <v>-2.1</v>
      </c>
      <c r="DT1262" s="24">
        <v>58</v>
      </c>
      <c r="DU1262" s="26">
        <v>-2</v>
      </c>
      <c r="DV1262" s="23">
        <v>-3.33</v>
      </c>
      <c r="DW1262" s="24">
        <v>383</v>
      </c>
      <c r="DX1262" s="27">
        <v>0</v>
      </c>
      <c r="DY1262" s="23">
        <v>0</v>
      </c>
      <c r="DZ1262" s="15" t="s">
        <v>178</v>
      </c>
      <c r="EA1262" s="22">
        <v>43556</v>
      </c>
      <c r="EB1262" s="17">
        <v>35</v>
      </c>
      <c r="EC1262" s="22">
        <v>43531</v>
      </c>
      <c r="ED1262" s="15" t="s">
        <v>780</v>
      </c>
      <c r="EE1262" s="14" t="str">
        <f>HYPERLINK("https://my.pitchbook.com?c=153483-13", "View company online")</f>
        <v>View company online</v>
      </c>
    </row>
    <row r="1263" spans="1:135">
      <c r="A1263" s="28" t="s">
        <v>24448</v>
      </c>
      <c r="B1263" s="28" t="s">
        <v>24449</v>
      </c>
      <c r="C1263" s="28" t="s">
        <v>138</v>
      </c>
      <c r="D1263" s="28" t="s">
        <v>138</v>
      </c>
      <c r="E1263" s="28" t="s">
        <v>138</v>
      </c>
      <c r="F1263" s="28" t="s">
        <v>24448</v>
      </c>
      <c r="G1263" s="28" t="s">
        <v>24450</v>
      </c>
      <c r="H1263" s="28" t="s">
        <v>385</v>
      </c>
      <c r="I1263" s="28" t="s">
        <v>1448</v>
      </c>
      <c r="J1263" s="28" t="s">
        <v>4108</v>
      </c>
      <c r="K1263" s="28" t="s">
        <v>24451</v>
      </c>
      <c r="L1263" s="28" t="s">
        <v>24452</v>
      </c>
      <c r="M1263" s="28" t="s">
        <v>24453</v>
      </c>
      <c r="N1263" s="28" t="s">
        <v>147</v>
      </c>
      <c r="O1263" s="29">
        <v>596.70000000000005</v>
      </c>
      <c r="P1263" s="28" t="s">
        <v>148</v>
      </c>
      <c r="Q1263" s="28" t="s">
        <v>149</v>
      </c>
      <c r="R1263" s="28" t="s">
        <v>1652</v>
      </c>
      <c r="S1263" s="28" t="s">
        <v>24454</v>
      </c>
      <c r="T1263" s="30">
        <v>35</v>
      </c>
      <c r="U1263" s="28" t="s">
        <v>24455</v>
      </c>
      <c r="V1263" s="28" t="s">
        <v>138</v>
      </c>
      <c r="W1263" s="28" t="s">
        <v>138</v>
      </c>
      <c r="X1263" s="31">
        <v>2005</v>
      </c>
      <c r="Y1263" s="28" t="s">
        <v>138</v>
      </c>
      <c r="Z1263" s="28" t="s">
        <v>138</v>
      </c>
      <c r="AA1263" s="28" t="s">
        <v>138</v>
      </c>
      <c r="AB1263" s="32" t="s">
        <v>138</v>
      </c>
      <c r="AC1263" s="32" t="s">
        <v>138</v>
      </c>
      <c r="AD1263" s="32" t="s">
        <v>138</v>
      </c>
      <c r="AE1263" s="32" t="s">
        <v>138</v>
      </c>
      <c r="AF1263" s="32" t="s">
        <v>138</v>
      </c>
      <c r="AG1263" s="28" t="s">
        <v>138</v>
      </c>
      <c r="AH1263" s="32" t="s">
        <v>138</v>
      </c>
      <c r="AI1263" s="32" t="s">
        <v>138</v>
      </c>
      <c r="AJ1263" s="32" t="s">
        <v>138</v>
      </c>
      <c r="AK1263" s="28" t="s">
        <v>24456</v>
      </c>
      <c r="AL1263" s="28" t="s">
        <v>24457</v>
      </c>
      <c r="AM1263" s="28" t="s">
        <v>24458</v>
      </c>
      <c r="AN1263" s="28" t="s">
        <v>24459</v>
      </c>
      <c r="AO1263" s="28" t="s">
        <v>24460</v>
      </c>
      <c r="AP1263" s="28" t="s">
        <v>861</v>
      </c>
      <c r="AQ1263" s="28" t="s">
        <v>24461</v>
      </c>
      <c r="AR1263" s="28" t="s">
        <v>24462</v>
      </c>
      <c r="AS1263" s="28" t="s">
        <v>863</v>
      </c>
      <c r="AT1263" s="28" t="s">
        <v>864</v>
      </c>
      <c r="AU1263" s="28" t="s">
        <v>10018</v>
      </c>
      <c r="AV1263" s="28" t="s">
        <v>162</v>
      </c>
      <c r="AW1263" s="28" t="s">
        <v>24463</v>
      </c>
      <c r="AX1263" s="28" t="s">
        <v>24463</v>
      </c>
      <c r="AY1263" s="28" t="s">
        <v>24464</v>
      </c>
      <c r="AZ1263" s="28" t="s">
        <v>164</v>
      </c>
      <c r="BA1263" s="28" t="s">
        <v>165</v>
      </c>
      <c r="BB1263" s="28" t="s">
        <v>24465</v>
      </c>
      <c r="BC1263" s="28" t="s">
        <v>24466</v>
      </c>
      <c r="BD1263" s="33">
        <v>19</v>
      </c>
      <c r="BE1263" s="28" t="s">
        <v>138</v>
      </c>
      <c r="BF1263" s="28" t="s">
        <v>138</v>
      </c>
      <c r="BG1263" s="28" t="s">
        <v>138</v>
      </c>
      <c r="BH1263" s="28" t="s">
        <v>24467</v>
      </c>
      <c r="BI1263" s="28" t="s">
        <v>138</v>
      </c>
      <c r="BJ1263" s="28" t="s">
        <v>138</v>
      </c>
      <c r="BK1263" s="28" t="s">
        <v>24468</v>
      </c>
      <c r="BL1263" s="28" t="s">
        <v>24469</v>
      </c>
      <c r="BM1263" s="34">
        <v>38671</v>
      </c>
      <c r="BN1263" s="29">
        <v>6.7</v>
      </c>
      <c r="BO1263" s="28" t="s">
        <v>172</v>
      </c>
      <c r="BP1263" s="29">
        <v>13.65</v>
      </c>
      <c r="BQ1263" s="28" t="s">
        <v>172</v>
      </c>
      <c r="BR1263" s="28" t="s">
        <v>205</v>
      </c>
      <c r="BS1263" s="28" t="s">
        <v>206</v>
      </c>
      <c r="BT1263" s="28" t="s">
        <v>138</v>
      </c>
      <c r="BU1263" s="28" t="s">
        <v>174</v>
      </c>
      <c r="BV1263" s="28" t="s">
        <v>138</v>
      </c>
      <c r="BW1263" s="28" t="s">
        <v>138</v>
      </c>
      <c r="BX1263" s="28" t="s">
        <v>138</v>
      </c>
      <c r="BY1263" s="28" t="s">
        <v>175</v>
      </c>
      <c r="BZ1263" s="34">
        <v>42613</v>
      </c>
      <c r="CA1263" s="29">
        <v>15</v>
      </c>
      <c r="CB1263" s="28" t="s">
        <v>1178</v>
      </c>
      <c r="CC1263" s="29">
        <v>755.02</v>
      </c>
      <c r="CD1263" s="28" t="s">
        <v>1178</v>
      </c>
      <c r="CE1263" s="28" t="s">
        <v>173</v>
      </c>
      <c r="CF1263" s="28" t="s">
        <v>482</v>
      </c>
      <c r="CG1263" s="28" t="s">
        <v>138</v>
      </c>
      <c r="CH1263" s="28" t="s">
        <v>174</v>
      </c>
      <c r="CI1263" s="28" t="s">
        <v>138</v>
      </c>
      <c r="CJ1263" s="28" t="s">
        <v>138</v>
      </c>
      <c r="CK1263" s="28" t="s">
        <v>138</v>
      </c>
      <c r="CL1263" s="28" t="s">
        <v>175</v>
      </c>
      <c r="CM1263" s="34">
        <v>40543</v>
      </c>
      <c r="CN1263" s="29">
        <v>5</v>
      </c>
      <c r="CO1263" s="35">
        <v>-1.01</v>
      </c>
      <c r="CP1263" s="36">
        <v>11</v>
      </c>
      <c r="CQ1263" s="35">
        <v>0.01</v>
      </c>
      <c r="CR1263" s="35">
        <v>0.84</v>
      </c>
      <c r="CS1263" s="35">
        <v>-1.9</v>
      </c>
      <c r="CT1263" s="36">
        <v>9</v>
      </c>
      <c r="CU1263" s="35">
        <v>-0.12</v>
      </c>
      <c r="CV1263" s="36">
        <v>3</v>
      </c>
      <c r="CW1263" s="35" t="s">
        <v>138</v>
      </c>
      <c r="CX1263" s="36" t="s">
        <v>138</v>
      </c>
      <c r="CY1263" s="35">
        <v>-1.9</v>
      </c>
      <c r="CZ1263" s="36">
        <v>12</v>
      </c>
      <c r="DA1263" s="35">
        <v>-0.12</v>
      </c>
      <c r="DB1263" s="36">
        <v>5</v>
      </c>
      <c r="DC1263" s="37">
        <v>4.78</v>
      </c>
      <c r="DD1263" s="36">
        <v>82</v>
      </c>
      <c r="DE1263" s="37">
        <v>-0.01</v>
      </c>
      <c r="DF1263" s="35">
        <v>-0.27</v>
      </c>
      <c r="DG1263" s="37">
        <v>7.59</v>
      </c>
      <c r="DH1263" s="36">
        <v>87</v>
      </c>
      <c r="DI1263" s="37">
        <v>1.98</v>
      </c>
      <c r="DJ1263" s="36">
        <v>62</v>
      </c>
      <c r="DK1263" s="37" t="s">
        <v>138</v>
      </c>
      <c r="DL1263" s="36" t="s">
        <v>138</v>
      </c>
      <c r="DM1263" s="37">
        <v>7.59</v>
      </c>
      <c r="DN1263" s="36">
        <v>86</v>
      </c>
      <c r="DO1263" s="37">
        <v>1.98</v>
      </c>
      <c r="DP1263" s="36">
        <v>63</v>
      </c>
      <c r="DQ1263" s="36" t="s">
        <v>138</v>
      </c>
      <c r="DR1263" s="38" t="s">
        <v>138</v>
      </c>
      <c r="DS1263" s="35" t="s">
        <v>138</v>
      </c>
      <c r="DT1263" s="36">
        <v>220</v>
      </c>
      <c r="DU1263" s="38">
        <v>0</v>
      </c>
      <c r="DV1263" s="35">
        <v>0</v>
      </c>
      <c r="DW1263" s="36">
        <v>709</v>
      </c>
      <c r="DX1263" s="39">
        <v>-1</v>
      </c>
      <c r="DY1263" s="35">
        <v>-0.14000000000000001</v>
      </c>
      <c r="DZ1263" s="28" t="s">
        <v>178</v>
      </c>
      <c r="EA1263" s="34">
        <v>43614</v>
      </c>
      <c r="EB1263" s="29">
        <v>755.02</v>
      </c>
      <c r="EC1263" s="34">
        <v>42613</v>
      </c>
      <c r="ED1263" s="28" t="s">
        <v>173</v>
      </c>
      <c r="EE1263" s="40" t="str">
        <f>HYPERLINK("https://my.pitchbook.com?c=10612-36", "View company online")</f>
        <v>View company online</v>
      </c>
    </row>
    <row r="1264" spans="1:135">
      <c r="A1264" s="15" t="s">
        <v>24470</v>
      </c>
      <c r="B1264" s="15" t="s">
        <v>24471</v>
      </c>
      <c r="C1264" s="15" t="s">
        <v>138</v>
      </c>
      <c r="D1264" s="15" t="s">
        <v>24472</v>
      </c>
      <c r="E1264" s="15" t="s">
        <v>24473</v>
      </c>
      <c r="F1264" s="15" t="s">
        <v>24470</v>
      </c>
      <c r="G1264" s="15" t="s">
        <v>24474</v>
      </c>
      <c r="H1264" s="15" t="s">
        <v>322</v>
      </c>
      <c r="I1264" s="15" t="s">
        <v>323</v>
      </c>
      <c r="J1264" s="15" t="s">
        <v>2984</v>
      </c>
      <c r="K1264" s="15" t="s">
        <v>24475</v>
      </c>
      <c r="L1264" s="15" t="s">
        <v>326</v>
      </c>
      <c r="M1264" s="15" t="s">
        <v>24476</v>
      </c>
      <c r="N1264" s="15" t="s">
        <v>147</v>
      </c>
      <c r="O1264" s="17">
        <v>9.5500000000000007</v>
      </c>
      <c r="P1264" s="15" t="s">
        <v>148</v>
      </c>
      <c r="Q1264" s="15" t="s">
        <v>149</v>
      </c>
      <c r="R1264" s="15" t="s">
        <v>174</v>
      </c>
      <c r="S1264" s="15" t="s">
        <v>24477</v>
      </c>
      <c r="T1264" s="18">
        <v>12</v>
      </c>
      <c r="U1264" s="15" t="s">
        <v>24478</v>
      </c>
      <c r="V1264" s="15" t="s">
        <v>138</v>
      </c>
      <c r="W1264" s="15" t="s">
        <v>138</v>
      </c>
      <c r="X1264" s="19">
        <v>2009</v>
      </c>
      <c r="Y1264" s="15" t="s">
        <v>138</v>
      </c>
      <c r="Z1264" s="15" t="s">
        <v>138</v>
      </c>
      <c r="AA1264" s="15" t="s">
        <v>138</v>
      </c>
      <c r="AB1264" s="20" t="s">
        <v>138</v>
      </c>
      <c r="AC1264" s="20" t="s">
        <v>138</v>
      </c>
      <c r="AD1264" s="20" t="s">
        <v>138</v>
      </c>
      <c r="AE1264" s="20" t="s">
        <v>138</v>
      </c>
      <c r="AF1264" s="20" t="s">
        <v>138</v>
      </c>
      <c r="AG1264" s="15" t="s">
        <v>138</v>
      </c>
      <c r="AH1264" s="20" t="s">
        <v>138</v>
      </c>
      <c r="AI1264" s="20" t="s">
        <v>138</v>
      </c>
      <c r="AJ1264" s="20" t="s">
        <v>138</v>
      </c>
      <c r="AK1264" s="15" t="s">
        <v>24479</v>
      </c>
      <c r="AL1264" s="15" t="s">
        <v>24480</v>
      </c>
      <c r="AM1264" s="15" t="s">
        <v>2605</v>
      </c>
      <c r="AN1264" s="15" t="s">
        <v>24481</v>
      </c>
      <c r="AO1264" s="15" t="s">
        <v>24482</v>
      </c>
      <c r="AP1264" s="15" t="s">
        <v>1457</v>
      </c>
      <c r="AQ1264" s="15" t="s">
        <v>24483</v>
      </c>
      <c r="AR1264" s="15" t="s">
        <v>667</v>
      </c>
      <c r="AS1264" s="15" t="s">
        <v>1460</v>
      </c>
      <c r="AT1264" s="15" t="s">
        <v>474</v>
      </c>
      <c r="AU1264" s="15" t="s">
        <v>24484</v>
      </c>
      <c r="AV1264" s="15" t="s">
        <v>162</v>
      </c>
      <c r="AW1264" s="15" t="s">
        <v>24482</v>
      </c>
      <c r="AX1264" s="15" t="s">
        <v>138</v>
      </c>
      <c r="AY1264" s="15" t="s">
        <v>24485</v>
      </c>
      <c r="AZ1264" s="15" t="s">
        <v>164</v>
      </c>
      <c r="BA1264" s="15" t="s">
        <v>165</v>
      </c>
      <c r="BB1264" s="15" t="s">
        <v>24486</v>
      </c>
      <c r="BC1264" s="15" t="s">
        <v>24487</v>
      </c>
      <c r="BD1264" s="21">
        <v>9</v>
      </c>
      <c r="BE1264" s="15" t="s">
        <v>138</v>
      </c>
      <c r="BF1264" s="15" t="s">
        <v>2912</v>
      </c>
      <c r="BG1264" s="15" t="s">
        <v>138</v>
      </c>
      <c r="BH1264" s="15" t="s">
        <v>24488</v>
      </c>
      <c r="BI1264" s="15" t="s">
        <v>2914</v>
      </c>
      <c r="BJ1264" s="15" t="s">
        <v>138</v>
      </c>
      <c r="BK1264" s="15" t="s">
        <v>24489</v>
      </c>
      <c r="BL1264" s="15" t="s">
        <v>24490</v>
      </c>
      <c r="BM1264" s="22">
        <v>41579</v>
      </c>
      <c r="BN1264" s="17" t="s">
        <v>138</v>
      </c>
      <c r="BO1264" s="15" t="s">
        <v>138</v>
      </c>
      <c r="BP1264" s="17" t="s">
        <v>138</v>
      </c>
      <c r="BQ1264" s="15" t="s">
        <v>138</v>
      </c>
      <c r="BR1264" s="15" t="s">
        <v>234</v>
      </c>
      <c r="BS1264" s="15" t="s">
        <v>234</v>
      </c>
      <c r="BT1264" s="15" t="s">
        <v>138</v>
      </c>
      <c r="BU1264" s="15" t="s">
        <v>174</v>
      </c>
      <c r="BV1264" s="15" t="s">
        <v>138</v>
      </c>
      <c r="BW1264" s="15" t="s">
        <v>138</v>
      </c>
      <c r="BX1264" s="15" t="s">
        <v>138</v>
      </c>
      <c r="BY1264" s="15" t="s">
        <v>175</v>
      </c>
      <c r="BZ1264" s="22">
        <v>43264</v>
      </c>
      <c r="CA1264" s="17">
        <v>5</v>
      </c>
      <c r="CB1264" s="15" t="s">
        <v>172</v>
      </c>
      <c r="CC1264" s="17">
        <v>20</v>
      </c>
      <c r="CD1264" s="15" t="s">
        <v>1178</v>
      </c>
      <c r="CE1264" s="15" t="s">
        <v>173</v>
      </c>
      <c r="CF1264" s="15" t="s">
        <v>720</v>
      </c>
      <c r="CG1264" s="15" t="s">
        <v>138</v>
      </c>
      <c r="CH1264" s="15" t="s">
        <v>174</v>
      </c>
      <c r="CI1264" s="15" t="s">
        <v>138</v>
      </c>
      <c r="CJ1264" s="15" t="s">
        <v>138</v>
      </c>
      <c r="CK1264" s="15" t="s">
        <v>138</v>
      </c>
      <c r="CL1264" s="15" t="s">
        <v>175</v>
      </c>
      <c r="CM1264" s="22" t="s">
        <v>138</v>
      </c>
      <c r="CN1264" s="17" t="s">
        <v>138</v>
      </c>
      <c r="CO1264" s="23">
        <v>2.4500000000000002</v>
      </c>
      <c r="CP1264" s="24">
        <v>99</v>
      </c>
      <c r="CQ1264" s="23">
        <v>0</v>
      </c>
      <c r="CR1264" s="23">
        <v>-0.09</v>
      </c>
      <c r="CS1264" s="23">
        <v>4.74</v>
      </c>
      <c r="CT1264" s="24">
        <v>100</v>
      </c>
      <c r="CU1264" s="23">
        <v>0.17</v>
      </c>
      <c r="CV1264" s="24">
        <v>77</v>
      </c>
      <c r="CW1264" s="23">
        <v>4.74</v>
      </c>
      <c r="CX1264" s="24">
        <v>95</v>
      </c>
      <c r="CY1264" s="23" t="s">
        <v>138</v>
      </c>
      <c r="CZ1264" s="24" t="s">
        <v>138</v>
      </c>
      <c r="DA1264" s="23">
        <v>0.28000000000000003</v>
      </c>
      <c r="DB1264" s="24">
        <v>88</v>
      </c>
      <c r="DC1264" s="25">
        <v>25.85</v>
      </c>
      <c r="DD1264" s="24">
        <v>96</v>
      </c>
      <c r="DE1264" s="25">
        <v>-2.46</v>
      </c>
      <c r="DF1264" s="23">
        <v>-8.68</v>
      </c>
      <c r="DG1264" s="25">
        <v>39.03</v>
      </c>
      <c r="DH1264" s="24">
        <v>98</v>
      </c>
      <c r="DI1264" s="25">
        <v>12.68</v>
      </c>
      <c r="DJ1264" s="24">
        <v>87</v>
      </c>
      <c r="DK1264" s="25">
        <v>39.03</v>
      </c>
      <c r="DL1264" s="24">
        <v>95</v>
      </c>
      <c r="DM1264" s="25" t="s">
        <v>138</v>
      </c>
      <c r="DN1264" s="24" t="s">
        <v>138</v>
      </c>
      <c r="DO1264" s="25">
        <v>21.16</v>
      </c>
      <c r="DP1264" s="24">
        <v>93</v>
      </c>
      <c r="DQ1264" s="24">
        <v>13169</v>
      </c>
      <c r="DR1264" s="26">
        <v>649</v>
      </c>
      <c r="DS1264" s="23">
        <v>5.18</v>
      </c>
      <c r="DT1264" s="24" t="s">
        <v>138</v>
      </c>
      <c r="DU1264" s="26" t="s">
        <v>138</v>
      </c>
      <c r="DV1264" s="23" t="s">
        <v>138</v>
      </c>
      <c r="DW1264" s="24">
        <v>7562</v>
      </c>
      <c r="DX1264" s="27">
        <v>17</v>
      </c>
      <c r="DY1264" s="23">
        <v>0.23</v>
      </c>
      <c r="DZ1264" s="15" t="s">
        <v>178</v>
      </c>
      <c r="EA1264" s="22">
        <v>43402</v>
      </c>
      <c r="EB1264" s="17">
        <v>20</v>
      </c>
      <c r="EC1264" s="22">
        <v>43264</v>
      </c>
      <c r="ED1264" s="15" t="s">
        <v>173</v>
      </c>
      <c r="EE1264" s="14" t="str">
        <f>HYPERLINK("https://my.pitchbook.com?c=60276-16", "View company online")</f>
        <v>View company online</v>
      </c>
    </row>
    <row r="1265" spans="1:135">
      <c r="A1265" s="28" t="s">
        <v>24491</v>
      </c>
      <c r="B1265" s="28" t="s">
        <v>24492</v>
      </c>
      <c r="C1265" s="28" t="s">
        <v>138</v>
      </c>
      <c r="D1265" s="28" t="s">
        <v>24493</v>
      </c>
      <c r="E1265" s="28" t="s">
        <v>138</v>
      </c>
      <c r="F1265" s="28" t="s">
        <v>24491</v>
      </c>
      <c r="G1265" s="28" t="s">
        <v>24494</v>
      </c>
      <c r="H1265" s="28" t="s">
        <v>141</v>
      </c>
      <c r="I1265" s="28" t="s">
        <v>212</v>
      </c>
      <c r="J1265" s="28" t="s">
        <v>1257</v>
      </c>
      <c r="K1265" s="28" t="s">
        <v>24495</v>
      </c>
      <c r="L1265" s="28" t="s">
        <v>415</v>
      </c>
      <c r="M1265" s="28" t="s">
        <v>24496</v>
      </c>
      <c r="N1265" s="28" t="s">
        <v>147</v>
      </c>
      <c r="O1265" s="29" t="s">
        <v>138</v>
      </c>
      <c r="P1265" s="28" t="s">
        <v>148</v>
      </c>
      <c r="Q1265" s="28" t="s">
        <v>149</v>
      </c>
      <c r="R1265" s="28" t="s">
        <v>174</v>
      </c>
      <c r="S1265" s="28" t="s">
        <v>24497</v>
      </c>
      <c r="T1265" s="30" t="s">
        <v>138</v>
      </c>
      <c r="U1265" s="28" t="s">
        <v>138</v>
      </c>
      <c r="V1265" s="28" t="s">
        <v>138</v>
      </c>
      <c r="W1265" s="28" t="s">
        <v>138</v>
      </c>
      <c r="X1265" s="31">
        <v>2017</v>
      </c>
      <c r="Y1265" s="28" t="s">
        <v>138</v>
      </c>
      <c r="Z1265" s="28" t="s">
        <v>138</v>
      </c>
      <c r="AA1265" s="28" t="s">
        <v>138</v>
      </c>
      <c r="AB1265" s="32" t="s">
        <v>138</v>
      </c>
      <c r="AC1265" s="32" t="s">
        <v>138</v>
      </c>
      <c r="AD1265" s="32" t="s">
        <v>138</v>
      </c>
      <c r="AE1265" s="32" t="s">
        <v>138</v>
      </c>
      <c r="AF1265" s="32" t="s">
        <v>138</v>
      </c>
      <c r="AG1265" s="28" t="s">
        <v>138</v>
      </c>
      <c r="AH1265" s="32" t="s">
        <v>138</v>
      </c>
      <c r="AI1265" s="32" t="s">
        <v>138</v>
      </c>
      <c r="AJ1265" s="32" t="s">
        <v>138</v>
      </c>
      <c r="AK1265" s="28" t="s">
        <v>24498</v>
      </c>
      <c r="AL1265" s="28" t="s">
        <v>24499</v>
      </c>
      <c r="AM1265" s="28" t="s">
        <v>304</v>
      </c>
      <c r="AN1265" s="28" t="s">
        <v>24500</v>
      </c>
      <c r="AO1265" s="28" t="s">
        <v>24501</v>
      </c>
      <c r="AP1265" s="28" t="s">
        <v>24502</v>
      </c>
      <c r="AQ1265" s="28" t="s">
        <v>24503</v>
      </c>
      <c r="AR1265" s="28" t="s">
        <v>138</v>
      </c>
      <c r="AS1265" s="28" t="s">
        <v>24504</v>
      </c>
      <c r="AT1265" s="28" t="s">
        <v>138</v>
      </c>
      <c r="AU1265" s="28" t="s">
        <v>24505</v>
      </c>
      <c r="AV1265" s="28" t="s">
        <v>4444</v>
      </c>
      <c r="AW1265" s="28" t="s">
        <v>24501</v>
      </c>
      <c r="AX1265" s="28" t="s">
        <v>138</v>
      </c>
      <c r="AY1265" s="28" t="s">
        <v>138</v>
      </c>
      <c r="AZ1265" s="28" t="s">
        <v>530</v>
      </c>
      <c r="BA1265" s="28" t="s">
        <v>577</v>
      </c>
      <c r="BB1265" s="28" t="s">
        <v>24506</v>
      </c>
      <c r="BC1265" s="28" t="s">
        <v>24507</v>
      </c>
      <c r="BD1265" s="33">
        <v>5</v>
      </c>
      <c r="BE1265" s="28" t="s">
        <v>138</v>
      </c>
      <c r="BF1265" s="28" t="s">
        <v>138</v>
      </c>
      <c r="BG1265" s="28" t="s">
        <v>138</v>
      </c>
      <c r="BH1265" s="28" t="s">
        <v>24508</v>
      </c>
      <c r="BI1265" s="28" t="s">
        <v>138</v>
      </c>
      <c r="BJ1265" s="28" t="s">
        <v>138</v>
      </c>
      <c r="BK1265" s="28" t="s">
        <v>138</v>
      </c>
      <c r="BL1265" s="28" t="s">
        <v>138</v>
      </c>
      <c r="BM1265" s="34">
        <v>42887</v>
      </c>
      <c r="BN1265" s="29" t="s">
        <v>138</v>
      </c>
      <c r="BO1265" s="28" t="s">
        <v>138</v>
      </c>
      <c r="BP1265" s="29" t="s">
        <v>138</v>
      </c>
      <c r="BQ1265" s="28" t="s">
        <v>138</v>
      </c>
      <c r="BR1265" s="28" t="s">
        <v>316</v>
      </c>
      <c r="BS1265" s="28" t="s">
        <v>138</v>
      </c>
      <c r="BT1265" s="28" t="s">
        <v>138</v>
      </c>
      <c r="BU1265" s="28" t="s">
        <v>177</v>
      </c>
      <c r="BV1265" s="28" t="s">
        <v>138</v>
      </c>
      <c r="BW1265" s="28" t="s">
        <v>138</v>
      </c>
      <c r="BX1265" s="28" t="s">
        <v>138</v>
      </c>
      <c r="BY1265" s="28" t="s">
        <v>175</v>
      </c>
      <c r="BZ1265" s="34">
        <v>43353</v>
      </c>
      <c r="CA1265" s="29" t="s">
        <v>138</v>
      </c>
      <c r="CB1265" s="28" t="s">
        <v>138</v>
      </c>
      <c r="CC1265" s="29" t="s">
        <v>138</v>
      </c>
      <c r="CD1265" s="28" t="s">
        <v>138</v>
      </c>
      <c r="CE1265" s="28" t="s">
        <v>234</v>
      </c>
      <c r="CF1265" s="28" t="s">
        <v>234</v>
      </c>
      <c r="CG1265" s="28" t="s">
        <v>138</v>
      </c>
      <c r="CH1265" s="28" t="s">
        <v>174</v>
      </c>
      <c r="CI1265" s="28" t="s">
        <v>138</v>
      </c>
      <c r="CJ1265" s="28" t="s">
        <v>138</v>
      </c>
      <c r="CK1265" s="28" t="s">
        <v>138</v>
      </c>
      <c r="CL1265" s="28" t="s">
        <v>175</v>
      </c>
      <c r="CM1265" s="34" t="s">
        <v>138</v>
      </c>
      <c r="CN1265" s="29" t="s">
        <v>138</v>
      </c>
      <c r="CO1265" s="35">
        <v>0.02</v>
      </c>
      <c r="CP1265" s="36">
        <v>85</v>
      </c>
      <c r="CQ1265" s="35">
        <v>0</v>
      </c>
      <c r="CR1265" s="35">
        <v>0</v>
      </c>
      <c r="CS1265" s="35">
        <v>0</v>
      </c>
      <c r="CT1265" s="36">
        <v>23</v>
      </c>
      <c r="CU1265" s="35">
        <v>0.04</v>
      </c>
      <c r="CV1265" s="36">
        <v>56</v>
      </c>
      <c r="CW1265" s="35" t="s">
        <v>138</v>
      </c>
      <c r="CX1265" s="36" t="s">
        <v>138</v>
      </c>
      <c r="CY1265" s="35">
        <v>0</v>
      </c>
      <c r="CZ1265" s="36">
        <v>25</v>
      </c>
      <c r="DA1265" s="35">
        <v>0</v>
      </c>
      <c r="DB1265" s="36">
        <v>22</v>
      </c>
      <c r="DC1265" s="37">
        <v>1.72</v>
      </c>
      <c r="DD1265" s="36">
        <v>64</v>
      </c>
      <c r="DE1265" s="37">
        <v>0</v>
      </c>
      <c r="DF1265" s="35">
        <v>0</v>
      </c>
      <c r="DG1265" s="37">
        <v>3.21</v>
      </c>
      <c r="DH1265" s="36">
        <v>76</v>
      </c>
      <c r="DI1265" s="37">
        <v>0.23</v>
      </c>
      <c r="DJ1265" s="36">
        <v>24</v>
      </c>
      <c r="DK1265" s="37" t="s">
        <v>138</v>
      </c>
      <c r="DL1265" s="36" t="s">
        <v>138</v>
      </c>
      <c r="DM1265" s="37">
        <v>3.21</v>
      </c>
      <c r="DN1265" s="36">
        <v>75</v>
      </c>
      <c r="DO1265" s="37">
        <v>0.11</v>
      </c>
      <c r="DP1265" s="36">
        <v>17</v>
      </c>
      <c r="DQ1265" s="36" t="s">
        <v>138</v>
      </c>
      <c r="DR1265" s="38" t="s">
        <v>138</v>
      </c>
      <c r="DS1265" s="35" t="s">
        <v>138</v>
      </c>
      <c r="DT1265" s="36">
        <v>93</v>
      </c>
      <c r="DU1265" s="38">
        <v>2</v>
      </c>
      <c r="DV1265" s="35">
        <v>2.2000000000000002</v>
      </c>
      <c r="DW1265" s="36">
        <v>39</v>
      </c>
      <c r="DX1265" s="39">
        <v>1</v>
      </c>
      <c r="DY1265" s="35">
        <v>2.63</v>
      </c>
      <c r="DZ1265" s="28" t="s">
        <v>178</v>
      </c>
      <c r="EA1265" s="34">
        <v>43558</v>
      </c>
      <c r="EB1265" s="29" t="s">
        <v>138</v>
      </c>
      <c r="EC1265" s="34" t="s">
        <v>138</v>
      </c>
      <c r="ED1265" s="28" t="s">
        <v>138</v>
      </c>
      <c r="EE1265" s="40" t="str">
        <f>HYPERLINK("https://my.pitchbook.com?c=225723-16", "View company online")</f>
        <v>View company online</v>
      </c>
    </row>
    <row r="1266" spans="1:135">
      <c r="A1266" s="15" t="s">
        <v>24509</v>
      </c>
      <c r="B1266" s="15" t="s">
        <v>24510</v>
      </c>
      <c r="C1266" s="15" t="s">
        <v>138</v>
      </c>
      <c r="D1266" s="15" t="s">
        <v>138</v>
      </c>
      <c r="E1266" s="15" t="s">
        <v>24511</v>
      </c>
      <c r="F1266" s="15" t="s">
        <v>24509</v>
      </c>
      <c r="G1266" s="15" t="s">
        <v>24512</v>
      </c>
      <c r="H1266" s="15" t="s">
        <v>141</v>
      </c>
      <c r="I1266" s="15" t="s">
        <v>212</v>
      </c>
      <c r="J1266" s="15" t="s">
        <v>213</v>
      </c>
      <c r="K1266" s="15" t="s">
        <v>5748</v>
      </c>
      <c r="L1266" s="15" t="s">
        <v>138</v>
      </c>
      <c r="M1266" s="15" t="s">
        <v>24513</v>
      </c>
      <c r="N1266" s="15" t="s">
        <v>147</v>
      </c>
      <c r="O1266" s="17">
        <v>2.34</v>
      </c>
      <c r="P1266" s="15" t="s">
        <v>610</v>
      </c>
      <c r="Q1266" s="15" t="s">
        <v>149</v>
      </c>
      <c r="R1266" s="15" t="s">
        <v>174</v>
      </c>
      <c r="S1266" s="15" t="s">
        <v>24514</v>
      </c>
      <c r="T1266" s="18">
        <v>7</v>
      </c>
      <c r="U1266" s="15" t="s">
        <v>2021</v>
      </c>
      <c r="V1266" s="15" t="s">
        <v>138</v>
      </c>
      <c r="W1266" s="15" t="s">
        <v>138</v>
      </c>
      <c r="X1266" s="19">
        <v>2014</v>
      </c>
      <c r="Y1266" s="15" t="s">
        <v>138</v>
      </c>
      <c r="Z1266" s="15" t="s">
        <v>138</v>
      </c>
      <c r="AA1266" s="15" t="s">
        <v>138</v>
      </c>
      <c r="AB1266" s="20" t="s">
        <v>138</v>
      </c>
      <c r="AC1266" s="20" t="s">
        <v>138</v>
      </c>
      <c r="AD1266" s="20" t="s">
        <v>138</v>
      </c>
      <c r="AE1266" s="20" t="s">
        <v>138</v>
      </c>
      <c r="AF1266" s="20" t="s">
        <v>138</v>
      </c>
      <c r="AG1266" s="15" t="s">
        <v>138</v>
      </c>
      <c r="AH1266" s="20" t="s">
        <v>138</v>
      </c>
      <c r="AI1266" s="20" t="s">
        <v>138</v>
      </c>
      <c r="AJ1266" s="20" t="s">
        <v>138</v>
      </c>
      <c r="AK1266" s="15" t="s">
        <v>24515</v>
      </c>
      <c r="AL1266" s="15" t="s">
        <v>24516</v>
      </c>
      <c r="AM1266" s="15" t="s">
        <v>304</v>
      </c>
      <c r="AN1266" s="15" t="s">
        <v>24517</v>
      </c>
      <c r="AO1266" s="15" t="s">
        <v>138</v>
      </c>
      <c r="AP1266" s="15" t="s">
        <v>3328</v>
      </c>
      <c r="AQ1266" s="15" t="s">
        <v>24518</v>
      </c>
      <c r="AR1266" s="15" t="s">
        <v>5294</v>
      </c>
      <c r="AS1266" s="15" t="s">
        <v>3330</v>
      </c>
      <c r="AT1266" s="15" t="s">
        <v>200</v>
      </c>
      <c r="AU1266" s="15" t="s">
        <v>3331</v>
      </c>
      <c r="AV1266" s="15" t="s">
        <v>162</v>
      </c>
      <c r="AW1266" s="15" t="s">
        <v>138</v>
      </c>
      <c r="AX1266" s="15" t="s">
        <v>138</v>
      </c>
      <c r="AY1266" s="15" t="s">
        <v>24519</v>
      </c>
      <c r="AZ1266" s="15" t="s">
        <v>164</v>
      </c>
      <c r="BA1266" s="15" t="s">
        <v>165</v>
      </c>
      <c r="BB1266" s="15" t="s">
        <v>24520</v>
      </c>
      <c r="BC1266" s="15" t="s">
        <v>24521</v>
      </c>
      <c r="BD1266" s="21">
        <v>12</v>
      </c>
      <c r="BE1266" s="15" t="s">
        <v>138</v>
      </c>
      <c r="BF1266" s="15" t="s">
        <v>138</v>
      </c>
      <c r="BG1266" s="15" t="s">
        <v>138</v>
      </c>
      <c r="BH1266" s="15" t="s">
        <v>24522</v>
      </c>
      <c r="BI1266" s="15" t="s">
        <v>138</v>
      </c>
      <c r="BJ1266" s="15" t="s">
        <v>138</v>
      </c>
      <c r="BK1266" s="15" t="s">
        <v>138</v>
      </c>
      <c r="BL1266" s="15" t="s">
        <v>138</v>
      </c>
      <c r="BM1266" s="22">
        <v>41813</v>
      </c>
      <c r="BN1266" s="17">
        <v>1.6</v>
      </c>
      <c r="BO1266" s="15" t="s">
        <v>1178</v>
      </c>
      <c r="BP1266" s="17">
        <v>8</v>
      </c>
      <c r="BQ1266" s="15" t="s">
        <v>172</v>
      </c>
      <c r="BR1266" s="15" t="s">
        <v>234</v>
      </c>
      <c r="BS1266" s="15" t="s">
        <v>234</v>
      </c>
      <c r="BT1266" s="15" t="s">
        <v>138</v>
      </c>
      <c r="BU1266" s="15" t="s">
        <v>174</v>
      </c>
      <c r="BV1266" s="15" t="s">
        <v>138</v>
      </c>
      <c r="BW1266" s="15" t="s">
        <v>138</v>
      </c>
      <c r="BX1266" s="15" t="s">
        <v>138</v>
      </c>
      <c r="BY1266" s="15" t="s">
        <v>175</v>
      </c>
      <c r="BZ1266" s="22">
        <v>43069</v>
      </c>
      <c r="CA1266" s="17">
        <v>0.45</v>
      </c>
      <c r="CB1266" s="15" t="s">
        <v>1178</v>
      </c>
      <c r="CC1266" s="17">
        <v>8.74</v>
      </c>
      <c r="CD1266" s="15" t="s">
        <v>172</v>
      </c>
      <c r="CE1266" s="15" t="s">
        <v>234</v>
      </c>
      <c r="CF1266" s="15" t="s">
        <v>234</v>
      </c>
      <c r="CG1266" s="15" t="s">
        <v>138</v>
      </c>
      <c r="CH1266" s="15" t="s">
        <v>174</v>
      </c>
      <c r="CI1266" s="15" t="s">
        <v>138</v>
      </c>
      <c r="CJ1266" s="15" t="s">
        <v>138</v>
      </c>
      <c r="CK1266" s="15" t="s">
        <v>138</v>
      </c>
      <c r="CL1266" s="15" t="s">
        <v>175</v>
      </c>
      <c r="CM1266" s="22" t="s">
        <v>138</v>
      </c>
      <c r="CN1266" s="17" t="s">
        <v>138</v>
      </c>
      <c r="CO1266" s="23">
        <v>0.33</v>
      </c>
      <c r="CP1266" s="24">
        <v>94</v>
      </c>
      <c r="CQ1266" s="23">
        <v>-0.06</v>
      </c>
      <c r="CR1266" s="23">
        <v>-14.74</v>
      </c>
      <c r="CS1266" s="23">
        <v>-0.74</v>
      </c>
      <c r="CT1266" s="24">
        <v>17</v>
      </c>
      <c r="CU1266" s="23">
        <v>1.39</v>
      </c>
      <c r="CV1266" s="24">
        <v>99</v>
      </c>
      <c r="CW1266" s="23">
        <v>-0.5</v>
      </c>
      <c r="CX1266" s="24">
        <v>11</v>
      </c>
      <c r="CY1266" s="23">
        <v>-0.98</v>
      </c>
      <c r="CZ1266" s="24">
        <v>19</v>
      </c>
      <c r="DA1266" s="23">
        <v>1.39</v>
      </c>
      <c r="DB1266" s="24">
        <v>99</v>
      </c>
      <c r="DC1266" s="25">
        <v>5.7</v>
      </c>
      <c r="DD1266" s="24">
        <v>84</v>
      </c>
      <c r="DE1266" s="25">
        <v>-0.08</v>
      </c>
      <c r="DF1266" s="23">
        <v>-1.42</v>
      </c>
      <c r="DG1266" s="25">
        <v>4.38</v>
      </c>
      <c r="DH1266" s="24">
        <v>80</v>
      </c>
      <c r="DI1266" s="25">
        <v>7.03</v>
      </c>
      <c r="DJ1266" s="24">
        <v>82</v>
      </c>
      <c r="DK1266" s="25">
        <v>3.82</v>
      </c>
      <c r="DL1266" s="24">
        <v>75</v>
      </c>
      <c r="DM1266" s="25">
        <v>4.93</v>
      </c>
      <c r="DN1266" s="24">
        <v>81</v>
      </c>
      <c r="DO1266" s="25">
        <v>7.03</v>
      </c>
      <c r="DP1266" s="24">
        <v>84</v>
      </c>
      <c r="DQ1266" s="24">
        <v>1289</v>
      </c>
      <c r="DR1266" s="26">
        <v>61</v>
      </c>
      <c r="DS1266" s="23">
        <v>4.97</v>
      </c>
      <c r="DT1266" s="24">
        <v>143</v>
      </c>
      <c r="DU1266" s="26">
        <v>0</v>
      </c>
      <c r="DV1266" s="23">
        <v>0</v>
      </c>
      <c r="DW1266" s="24">
        <v>2506</v>
      </c>
      <c r="DX1266" s="27">
        <v>8</v>
      </c>
      <c r="DY1266" s="23">
        <v>0.32</v>
      </c>
      <c r="DZ1266" s="15" t="s">
        <v>178</v>
      </c>
      <c r="EA1266" s="22">
        <v>43351</v>
      </c>
      <c r="EB1266" s="17">
        <v>8.74</v>
      </c>
      <c r="EC1266" s="22">
        <v>43069</v>
      </c>
      <c r="ED1266" s="15" t="s">
        <v>234</v>
      </c>
      <c r="EE1266" s="14" t="str">
        <f>HYPERLINK("https://my.pitchbook.com?c=120679-39", "View company online")</f>
        <v>View company online</v>
      </c>
    </row>
    <row r="1267" spans="1:135">
      <c r="A1267" s="28" t="s">
        <v>24523</v>
      </c>
      <c r="B1267" s="28" t="s">
        <v>24524</v>
      </c>
      <c r="C1267" s="28" t="s">
        <v>138</v>
      </c>
      <c r="D1267" s="28" t="s">
        <v>138</v>
      </c>
      <c r="E1267" s="28" t="s">
        <v>24525</v>
      </c>
      <c r="F1267" s="28" t="s">
        <v>24523</v>
      </c>
      <c r="G1267" s="28" t="s">
        <v>24526</v>
      </c>
      <c r="H1267" s="28" t="s">
        <v>322</v>
      </c>
      <c r="I1267" s="28" t="s">
        <v>1503</v>
      </c>
      <c r="J1267" s="28" t="s">
        <v>1836</v>
      </c>
      <c r="K1267" s="28" t="s">
        <v>24527</v>
      </c>
      <c r="L1267" s="28" t="s">
        <v>2641</v>
      </c>
      <c r="M1267" s="28" t="s">
        <v>24528</v>
      </c>
      <c r="N1267" s="28" t="s">
        <v>147</v>
      </c>
      <c r="O1267" s="29">
        <v>310.8</v>
      </c>
      <c r="P1267" s="28" t="s">
        <v>148</v>
      </c>
      <c r="Q1267" s="28" t="s">
        <v>149</v>
      </c>
      <c r="R1267" s="28" t="s">
        <v>174</v>
      </c>
      <c r="S1267" s="28" t="s">
        <v>24529</v>
      </c>
      <c r="T1267" s="30">
        <v>180</v>
      </c>
      <c r="U1267" s="28" t="s">
        <v>24530</v>
      </c>
      <c r="V1267" s="28" t="s">
        <v>138</v>
      </c>
      <c r="W1267" s="28" t="s">
        <v>138</v>
      </c>
      <c r="X1267" s="31">
        <v>2016</v>
      </c>
      <c r="Y1267" s="28" t="s">
        <v>138</v>
      </c>
      <c r="Z1267" s="28" t="s">
        <v>138</v>
      </c>
      <c r="AA1267" s="28" t="s">
        <v>138</v>
      </c>
      <c r="AB1267" s="32" t="s">
        <v>138</v>
      </c>
      <c r="AC1267" s="32" t="s">
        <v>138</v>
      </c>
      <c r="AD1267" s="32" t="s">
        <v>138</v>
      </c>
      <c r="AE1267" s="32" t="s">
        <v>138</v>
      </c>
      <c r="AF1267" s="32" t="s">
        <v>138</v>
      </c>
      <c r="AG1267" s="28" t="s">
        <v>138</v>
      </c>
      <c r="AH1267" s="32" t="s">
        <v>138</v>
      </c>
      <c r="AI1267" s="32" t="s">
        <v>138</v>
      </c>
      <c r="AJ1267" s="32" t="s">
        <v>138</v>
      </c>
      <c r="AK1267" s="28" t="s">
        <v>24531</v>
      </c>
      <c r="AL1267" s="28" t="s">
        <v>24532</v>
      </c>
      <c r="AM1267" s="28" t="s">
        <v>818</v>
      </c>
      <c r="AN1267" s="28" t="s">
        <v>24533</v>
      </c>
      <c r="AO1267" s="28" t="s">
        <v>24534</v>
      </c>
      <c r="AP1267" s="28" t="s">
        <v>24535</v>
      </c>
      <c r="AQ1267" s="28" t="s">
        <v>24536</v>
      </c>
      <c r="AR1267" s="28" t="s">
        <v>138</v>
      </c>
      <c r="AS1267" s="28" t="s">
        <v>24537</v>
      </c>
      <c r="AT1267" s="28" t="s">
        <v>824</v>
      </c>
      <c r="AU1267" s="28" t="s">
        <v>24538</v>
      </c>
      <c r="AV1267" s="28" t="s">
        <v>526</v>
      </c>
      <c r="AW1267" s="28" t="s">
        <v>24534</v>
      </c>
      <c r="AX1267" s="28" t="s">
        <v>138</v>
      </c>
      <c r="AY1267" s="28" t="s">
        <v>24539</v>
      </c>
      <c r="AZ1267" s="28" t="s">
        <v>530</v>
      </c>
      <c r="BA1267" s="28" t="s">
        <v>531</v>
      </c>
      <c r="BB1267" s="28" t="s">
        <v>24540</v>
      </c>
      <c r="BC1267" s="28" t="s">
        <v>24541</v>
      </c>
      <c r="BD1267" s="33">
        <v>23</v>
      </c>
      <c r="BE1267" s="28" t="s">
        <v>138</v>
      </c>
      <c r="BF1267" s="28" t="s">
        <v>138</v>
      </c>
      <c r="BG1267" s="28" t="s">
        <v>138</v>
      </c>
      <c r="BH1267" s="28" t="s">
        <v>24542</v>
      </c>
      <c r="BI1267" s="28" t="s">
        <v>138</v>
      </c>
      <c r="BJ1267" s="28" t="s">
        <v>138</v>
      </c>
      <c r="BK1267" s="28" t="s">
        <v>24543</v>
      </c>
      <c r="BL1267" s="28" t="s">
        <v>24544</v>
      </c>
      <c r="BM1267" s="34" t="s">
        <v>138</v>
      </c>
      <c r="BN1267" s="29" t="s">
        <v>138</v>
      </c>
      <c r="BO1267" s="28" t="s">
        <v>138</v>
      </c>
      <c r="BP1267" s="29" t="s">
        <v>138</v>
      </c>
      <c r="BQ1267" s="28" t="s">
        <v>138</v>
      </c>
      <c r="BR1267" s="28" t="s">
        <v>234</v>
      </c>
      <c r="BS1267" s="28" t="s">
        <v>234</v>
      </c>
      <c r="BT1267" s="28" t="s">
        <v>138</v>
      </c>
      <c r="BU1267" s="28" t="s">
        <v>174</v>
      </c>
      <c r="BV1267" s="28" t="s">
        <v>138</v>
      </c>
      <c r="BW1267" s="28" t="s">
        <v>138</v>
      </c>
      <c r="BX1267" s="28" t="s">
        <v>138</v>
      </c>
      <c r="BY1267" s="28" t="s">
        <v>175</v>
      </c>
      <c r="BZ1267" s="34">
        <v>43452</v>
      </c>
      <c r="CA1267" s="29">
        <v>200</v>
      </c>
      <c r="CB1267" s="28" t="s">
        <v>172</v>
      </c>
      <c r="CC1267" s="29">
        <v>1700</v>
      </c>
      <c r="CD1267" s="28" t="s">
        <v>172</v>
      </c>
      <c r="CE1267" s="28" t="s">
        <v>173</v>
      </c>
      <c r="CF1267" s="28" t="s">
        <v>433</v>
      </c>
      <c r="CG1267" s="28" t="s">
        <v>138</v>
      </c>
      <c r="CH1267" s="28" t="s">
        <v>174</v>
      </c>
      <c r="CI1267" s="28" t="s">
        <v>138</v>
      </c>
      <c r="CJ1267" s="28" t="s">
        <v>138</v>
      </c>
      <c r="CK1267" s="28" t="s">
        <v>138</v>
      </c>
      <c r="CL1267" s="28" t="s">
        <v>175</v>
      </c>
      <c r="CM1267" s="34" t="s">
        <v>138</v>
      </c>
      <c r="CN1267" s="29" t="s">
        <v>138</v>
      </c>
      <c r="CO1267" s="35">
        <v>-0.05</v>
      </c>
      <c r="CP1267" s="36">
        <v>22</v>
      </c>
      <c r="CQ1267" s="35">
        <v>-0.03</v>
      </c>
      <c r="CR1267" s="35">
        <v>-92.28</v>
      </c>
      <c r="CS1267" s="35">
        <v>-0.56000000000000005</v>
      </c>
      <c r="CT1267" s="36">
        <v>19</v>
      </c>
      <c r="CU1267" s="35">
        <v>0.45</v>
      </c>
      <c r="CV1267" s="36">
        <v>92</v>
      </c>
      <c r="CW1267" s="35">
        <v>-1.0900000000000001</v>
      </c>
      <c r="CX1267" s="36">
        <v>9</v>
      </c>
      <c r="CY1267" s="35">
        <v>-0.02</v>
      </c>
      <c r="CZ1267" s="36">
        <v>24</v>
      </c>
      <c r="DA1267" s="35">
        <v>0.34</v>
      </c>
      <c r="DB1267" s="36">
        <v>90</v>
      </c>
      <c r="DC1267" s="37">
        <v>15.43</v>
      </c>
      <c r="DD1267" s="36">
        <v>93</v>
      </c>
      <c r="DE1267" s="37">
        <v>-0.47</v>
      </c>
      <c r="DF1267" s="35">
        <v>-2.94</v>
      </c>
      <c r="DG1267" s="37">
        <v>24.66</v>
      </c>
      <c r="DH1267" s="36">
        <v>96</v>
      </c>
      <c r="DI1267" s="37">
        <v>6.2</v>
      </c>
      <c r="DJ1267" s="36">
        <v>80</v>
      </c>
      <c r="DK1267" s="37">
        <v>14.97</v>
      </c>
      <c r="DL1267" s="36">
        <v>90</v>
      </c>
      <c r="DM1267" s="37">
        <v>34.340000000000003</v>
      </c>
      <c r="DN1267" s="36">
        <v>97</v>
      </c>
      <c r="DO1267" s="37">
        <v>11.82</v>
      </c>
      <c r="DP1267" s="36">
        <v>89</v>
      </c>
      <c r="DQ1267" s="36">
        <v>5170</v>
      </c>
      <c r="DR1267" s="38">
        <v>-104</v>
      </c>
      <c r="DS1267" s="35">
        <v>-1.97</v>
      </c>
      <c r="DT1267" s="36">
        <v>996</v>
      </c>
      <c r="DU1267" s="38">
        <v>-2</v>
      </c>
      <c r="DV1267" s="35">
        <v>-0.2</v>
      </c>
      <c r="DW1267" s="36">
        <v>4229</v>
      </c>
      <c r="DX1267" s="39">
        <v>10</v>
      </c>
      <c r="DY1267" s="35">
        <v>0.24</v>
      </c>
      <c r="DZ1267" s="28" t="s">
        <v>178</v>
      </c>
      <c r="EA1267" s="34">
        <v>43588</v>
      </c>
      <c r="EB1267" s="29">
        <v>1700</v>
      </c>
      <c r="EC1267" s="34">
        <v>43452</v>
      </c>
      <c r="ED1267" s="28" t="s">
        <v>173</v>
      </c>
      <c r="EE1267" s="40" t="str">
        <f>HYPERLINK("https://my.pitchbook.com?c=166649-68", "View company online")</f>
        <v>View company online</v>
      </c>
    </row>
    <row r="1268" spans="1:135">
      <c r="A1268" s="15" t="s">
        <v>24545</v>
      </c>
      <c r="B1268" s="15" t="s">
        <v>24546</v>
      </c>
      <c r="C1268" s="15" t="s">
        <v>138</v>
      </c>
      <c r="D1268" s="15" t="s">
        <v>138</v>
      </c>
      <c r="E1268" s="15" t="s">
        <v>138</v>
      </c>
      <c r="F1268" s="15" t="s">
        <v>24545</v>
      </c>
      <c r="G1268" s="15" t="s">
        <v>24547</v>
      </c>
      <c r="H1268" s="15" t="s">
        <v>322</v>
      </c>
      <c r="I1268" s="15" t="s">
        <v>323</v>
      </c>
      <c r="J1268" s="15" t="s">
        <v>324</v>
      </c>
      <c r="K1268" s="15" t="s">
        <v>3192</v>
      </c>
      <c r="L1268" s="15" t="s">
        <v>2274</v>
      </c>
      <c r="M1268" s="15" t="s">
        <v>24548</v>
      </c>
      <c r="N1268" s="15" t="s">
        <v>147</v>
      </c>
      <c r="O1268" s="17">
        <v>0.64</v>
      </c>
      <c r="P1268" s="15" t="s">
        <v>148</v>
      </c>
      <c r="Q1268" s="15" t="s">
        <v>149</v>
      </c>
      <c r="R1268" s="15" t="s">
        <v>174</v>
      </c>
      <c r="S1268" s="15" t="s">
        <v>24549</v>
      </c>
      <c r="T1268" s="18" t="s">
        <v>138</v>
      </c>
      <c r="U1268" s="15" t="s">
        <v>138</v>
      </c>
      <c r="V1268" s="15" t="s">
        <v>138</v>
      </c>
      <c r="W1268" s="15" t="s">
        <v>138</v>
      </c>
      <c r="X1268" s="19">
        <v>2016</v>
      </c>
      <c r="Y1268" s="15" t="s">
        <v>138</v>
      </c>
      <c r="Z1268" s="15" t="s">
        <v>138</v>
      </c>
      <c r="AA1268" s="15" t="s">
        <v>138</v>
      </c>
      <c r="AB1268" s="20" t="s">
        <v>138</v>
      </c>
      <c r="AC1268" s="20" t="s">
        <v>138</v>
      </c>
      <c r="AD1268" s="20" t="s">
        <v>138</v>
      </c>
      <c r="AE1268" s="20" t="s">
        <v>138</v>
      </c>
      <c r="AF1268" s="20" t="s">
        <v>138</v>
      </c>
      <c r="AG1268" s="15" t="s">
        <v>138</v>
      </c>
      <c r="AH1268" s="20" t="s">
        <v>138</v>
      </c>
      <c r="AI1268" s="20" t="s">
        <v>138</v>
      </c>
      <c r="AJ1268" s="20" t="s">
        <v>138</v>
      </c>
      <c r="AK1268" s="15" t="s">
        <v>24550</v>
      </c>
      <c r="AL1268" s="15" t="s">
        <v>24551</v>
      </c>
      <c r="AM1268" s="15" t="s">
        <v>304</v>
      </c>
      <c r="AN1268" s="15" t="s">
        <v>24552</v>
      </c>
      <c r="AO1268" s="15" t="s">
        <v>24553</v>
      </c>
      <c r="AP1268" s="15" t="s">
        <v>24554</v>
      </c>
      <c r="AQ1268" s="15" t="s">
        <v>24555</v>
      </c>
      <c r="AR1268" s="15" t="s">
        <v>24556</v>
      </c>
      <c r="AS1268" s="15" t="s">
        <v>24557</v>
      </c>
      <c r="AT1268" s="15" t="s">
        <v>138</v>
      </c>
      <c r="AU1268" s="15" t="s">
        <v>24558</v>
      </c>
      <c r="AV1268" s="15" t="s">
        <v>2780</v>
      </c>
      <c r="AW1268" s="15" t="s">
        <v>24553</v>
      </c>
      <c r="AX1268" s="15" t="s">
        <v>138</v>
      </c>
      <c r="AY1268" s="15" t="s">
        <v>24559</v>
      </c>
      <c r="AZ1268" s="15" t="s">
        <v>164</v>
      </c>
      <c r="BA1268" s="15" t="s">
        <v>2781</v>
      </c>
      <c r="BB1268" s="15" t="s">
        <v>24560</v>
      </c>
      <c r="BC1268" s="15" t="s">
        <v>24561</v>
      </c>
      <c r="BD1268" s="21">
        <v>5</v>
      </c>
      <c r="BE1268" s="15" t="s">
        <v>138</v>
      </c>
      <c r="BF1268" s="15" t="s">
        <v>138</v>
      </c>
      <c r="BG1268" s="15" t="s">
        <v>138</v>
      </c>
      <c r="BH1268" s="15" t="s">
        <v>24562</v>
      </c>
      <c r="BI1268" s="15" t="s">
        <v>138</v>
      </c>
      <c r="BJ1268" s="15" t="s">
        <v>138</v>
      </c>
      <c r="BK1268" s="15" t="s">
        <v>138</v>
      </c>
      <c r="BL1268" s="15" t="s">
        <v>138</v>
      </c>
      <c r="BM1268" s="22">
        <v>42696</v>
      </c>
      <c r="BN1268" s="17" t="s">
        <v>138</v>
      </c>
      <c r="BO1268" s="15" t="s">
        <v>138</v>
      </c>
      <c r="BP1268" s="17" t="s">
        <v>138</v>
      </c>
      <c r="BQ1268" s="15" t="s">
        <v>138</v>
      </c>
      <c r="BR1268" s="15" t="s">
        <v>316</v>
      </c>
      <c r="BS1268" s="15" t="s">
        <v>138</v>
      </c>
      <c r="BT1268" s="15" t="s">
        <v>138</v>
      </c>
      <c r="BU1268" s="15" t="s">
        <v>177</v>
      </c>
      <c r="BV1268" s="15" t="s">
        <v>138</v>
      </c>
      <c r="BW1268" s="15" t="s">
        <v>138</v>
      </c>
      <c r="BX1268" s="15" t="s">
        <v>138</v>
      </c>
      <c r="BY1268" s="15" t="s">
        <v>175</v>
      </c>
      <c r="BZ1268" s="22">
        <v>43243</v>
      </c>
      <c r="CA1268" s="17">
        <v>0.64</v>
      </c>
      <c r="CB1268" s="15" t="s">
        <v>172</v>
      </c>
      <c r="CC1268" s="17" t="s">
        <v>138</v>
      </c>
      <c r="CD1268" s="15" t="s">
        <v>138</v>
      </c>
      <c r="CE1268" s="15" t="s">
        <v>205</v>
      </c>
      <c r="CF1268" s="15" t="s">
        <v>138</v>
      </c>
      <c r="CG1268" s="15" t="s">
        <v>138</v>
      </c>
      <c r="CH1268" s="15" t="s">
        <v>174</v>
      </c>
      <c r="CI1268" s="15" t="s">
        <v>138</v>
      </c>
      <c r="CJ1268" s="15" t="s">
        <v>138</v>
      </c>
      <c r="CK1268" s="15" t="s">
        <v>138</v>
      </c>
      <c r="CL1268" s="15" t="s">
        <v>175</v>
      </c>
      <c r="CM1268" s="22" t="s">
        <v>138</v>
      </c>
      <c r="CN1268" s="17" t="s">
        <v>138</v>
      </c>
      <c r="CO1268" s="23">
        <v>0.03</v>
      </c>
      <c r="CP1268" s="24">
        <v>86</v>
      </c>
      <c r="CQ1268" s="23">
        <v>0</v>
      </c>
      <c r="CR1268" s="23">
        <v>0</v>
      </c>
      <c r="CS1268" s="23">
        <v>0</v>
      </c>
      <c r="CT1268" s="24">
        <v>23</v>
      </c>
      <c r="CU1268" s="23">
        <v>7.0000000000000007E-2</v>
      </c>
      <c r="CV1268" s="24">
        <v>62</v>
      </c>
      <c r="CW1268" s="23" t="s">
        <v>138</v>
      </c>
      <c r="CX1268" s="24" t="s">
        <v>138</v>
      </c>
      <c r="CY1268" s="23">
        <v>0</v>
      </c>
      <c r="CZ1268" s="24">
        <v>25</v>
      </c>
      <c r="DA1268" s="23">
        <v>0</v>
      </c>
      <c r="DB1268" s="24">
        <v>22</v>
      </c>
      <c r="DC1268" s="25">
        <v>1.62</v>
      </c>
      <c r="DD1268" s="24">
        <v>62</v>
      </c>
      <c r="DE1268" s="25">
        <v>0</v>
      </c>
      <c r="DF1268" s="23">
        <v>-7.0000000000000007E-2</v>
      </c>
      <c r="DG1268" s="25">
        <v>1.03</v>
      </c>
      <c r="DH1268" s="24">
        <v>52</v>
      </c>
      <c r="DI1268" s="25">
        <v>2.2000000000000002</v>
      </c>
      <c r="DJ1268" s="24">
        <v>64</v>
      </c>
      <c r="DK1268" s="25" t="s">
        <v>138</v>
      </c>
      <c r="DL1268" s="24" t="s">
        <v>138</v>
      </c>
      <c r="DM1268" s="25">
        <v>1.03</v>
      </c>
      <c r="DN1268" s="24">
        <v>51</v>
      </c>
      <c r="DO1268" s="25">
        <v>0.08</v>
      </c>
      <c r="DP1268" s="24">
        <v>14</v>
      </c>
      <c r="DQ1268" s="24" t="s">
        <v>138</v>
      </c>
      <c r="DR1268" s="26" t="s">
        <v>138</v>
      </c>
      <c r="DS1268" s="23" t="s">
        <v>138</v>
      </c>
      <c r="DT1268" s="24">
        <v>30</v>
      </c>
      <c r="DU1268" s="26">
        <v>0</v>
      </c>
      <c r="DV1268" s="23">
        <v>0</v>
      </c>
      <c r="DW1268" s="24">
        <v>29</v>
      </c>
      <c r="DX1268" s="27">
        <v>0</v>
      </c>
      <c r="DY1268" s="23">
        <v>0</v>
      </c>
      <c r="DZ1268" s="15" t="s">
        <v>178</v>
      </c>
      <c r="EA1268" s="22">
        <v>43544</v>
      </c>
      <c r="EB1268" s="17" t="s">
        <v>138</v>
      </c>
      <c r="EC1268" s="22" t="s">
        <v>138</v>
      </c>
      <c r="ED1268" s="15" t="s">
        <v>138</v>
      </c>
      <c r="EE1268" s="14" t="str">
        <f>HYPERLINK("https://my.pitchbook.com?c=229021-84", "View company online")</f>
        <v>View company online</v>
      </c>
    </row>
    <row r="1269" spans="1:135">
      <c r="A1269" s="28" t="s">
        <v>24563</v>
      </c>
      <c r="B1269" s="28" t="s">
        <v>24564</v>
      </c>
      <c r="C1269" s="28" t="s">
        <v>24565</v>
      </c>
      <c r="D1269" s="28" t="s">
        <v>138</v>
      </c>
      <c r="E1269" s="28" t="s">
        <v>24566</v>
      </c>
      <c r="F1269" s="28" t="s">
        <v>24563</v>
      </c>
      <c r="G1269" s="28" t="s">
        <v>24567</v>
      </c>
      <c r="H1269" s="28" t="s">
        <v>238</v>
      </c>
      <c r="I1269" s="28" t="s">
        <v>749</v>
      </c>
      <c r="J1269" s="28" t="s">
        <v>750</v>
      </c>
      <c r="K1269" s="28" t="s">
        <v>24568</v>
      </c>
      <c r="L1269" s="28" t="s">
        <v>10085</v>
      </c>
      <c r="M1269" s="28" t="s">
        <v>24569</v>
      </c>
      <c r="N1269" s="28" t="s">
        <v>147</v>
      </c>
      <c r="O1269" s="29">
        <v>6.01</v>
      </c>
      <c r="P1269" s="28" t="s">
        <v>148</v>
      </c>
      <c r="Q1269" s="28" t="s">
        <v>149</v>
      </c>
      <c r="R1269" s="28" t="s">
        <v>244</v>
      </c>
      <c r="S1269" s="28" t="s">
        <v>24570</v>
      </c>
      <c r="T1269" s="30">
        <v>5</v>
      </c>
      <c r="U1269" s="28" t="s">
        <v>3592</v>
      </c>
      <c r="V1269" s="28" t="s">
        <v>138</v>
      </c>
      <c r="W1269" s="28" t="s">
        <v>138</v>
      </c>
      <c r="X1269" s="31">
        <v>2009</v>
      </c>
      <c r="Y1269" s="28" t="s">
        <v>138</v>
      </c>
      <c r="Z1269" s="28" t="s">
        <v>138</v>
      </c>
      <c r="AA1269" s="28" t="s">
        <v>138</v>
      </c>
      <c r="AB1269" s="32" t="s">
        <v>138</v>
      </c>
      <c r="AC1269" s="32" t="s">
        <v>138</v>
      </c>
      <c r="AD1269" s="32" t="s">
        <v>138</v>
      </c>
      <c r="AE1269" s="32" t="s">
        <v>138</v>
      </c>
      <c r="AF1269" s="32" t="s">
        <v>138</v>
      </c>
      <c r="AG1269" s="28" t="s">
        <v>138</v>
      </c>
      <c r="AH1269" s="32" t="s">
        <v>138</v>
      </c>
      <c r="AI1269" s="32" t="s">
        <v>138</v>
      </c>
      <c r="AJ1269" s="32" t="s">
        <v>138</v>
      </c>
      <c r="AK1269" s="28" t="s">
        <v>24571</v>
      </c>
      <c r="AL1269" s="28" t="s">
        <v>24572</v>
      </c>
      <c r="AM1269" s="28" t="s">
        <v>24573</v>
      </c>
      <c r="AN1269" s="28" t="s">
        <v>24574</v>
      </c>
      <c r="AO1269" s="28" t="s">
        <v>24575</v>
      </c>
      <c r="AP1269" s="28" t="s">
        <v>24576</v>
      </c>
      <c r="AQ1269" s="28" t="s">
        <v>24577</v>
      </c>
      <c r="AR1269" s="28" t="s">
        <v>7603</v>
      </c>
      <c r="AS1269" s="28" t="s">
        <v>24578</v>
      </c>
      <c r="AT1269" s="28" t="s">
        <v>426</v>
      </c>
      <c r="AU1269" s="28" t="s">
        <v>24579</v>
      </c>
      <c r="AV1269" s="28" t="s">
        <v>162</v>
      </c>
      <c r="AW1269" s="28" t="s">
        <v>24575</v>
      </c>
      <c r="AX1269" s="28" t="s">
        <v>24580</v>
      </c>
      <c r="AY1269" s="28" t="s">
        <v>24581</v>
      </c>
      <c r="AZ1269" s="28" t="s">
        <v>164</v>
      </c>
      <c r="BA1269" s="28" t="s">
        <v>165</v>
      </c>
      <c r="BB1269" s="28" t="s">
        <v>24582</v>
      </c>
      <c r="BC1269" s="28" t="s">
        <v>24583</v>
      </c>
      <c r="BD1269" s="33">
        <v>6</v>
      </c>
      <c r="BE1269" s="28" t="s">
        <v>138</v>
      </c>
      <c r="BF1269" s="28" t="s">
        <v>138</v>
      </c>
      <c r="BG1269" s="28" t="s">
        <v>138</v>
      </c>
      <c r="BH1269" s="28" t="s">
        <v>24584</v>
      </c>
      <c r="BI1269" s="28" t="s">
        <v>138</v>
      </c>
      <c r="BJ1269" s="28" t="s">
        <v>138</v>
      </c>
      <c r="BK1269" s="28" t="s">
        <v>138</v>
      </c>
      <c r="BL1269" s="28" t="s">
        <v>24585</v>
      </c>
      <c r="BM1269" s="34" t="s">
        <v>138</v>
      </c>
      <c r="BN1269" s="29">
        <v>0.34</v>
      </c>
      <c r="BO1269" s="28" t="s">
        <v>172</v>
      </c>
      <c r="BP1269" s="29" t="s">
        <v>138</v>
      </c>
      <c r="BQ1269" s="28" t="s">
        <v>138</v>
      </c>
      <c r="BR1269" s="28" t="s">
        <v>205</v>
      </c>
      <c r="BS1269" s="28" t="s">
        <v>138</v>
      </c>
      <c r="BT1269" s="28" t="s">
        <v>138</v>
      </c>
      <c r="BU1269" s="28" t="s">
        <v>174</v>
      </c>
      <c r="BV1269" s="28" t="s">
        <v>1328</v>
      </c>
      <c r="BW1269" s="28" t="s">
        <v>138</v>
      </c>
      <c r="BX1269" s="28" t="s">
        <v>138</v>
      </c>
      <c r="BY1269" s="28" t="s">
        <v>175</v>
      </c>
      <c r="BZ1269" s="34">
        <v>43278</v>
      </c>
      <c r="CA1269" s="29" t="s">
        <v>138</v>
      </c>
      <c r="CB1269" s="28" t="s">
        <v>138</v>
      </c>
      <c r="CC1269" s="29" t="s">
        <v>138</v>
      </c>
      <c r="CD1269" s="28" t="s">
        <v>138</v>
      </c>
      <c r="CE1269" s="28" t="s">
        <v>173</v>
      </c>
      <c r="CF1269" s="28" t="s">
        <v>138</v>
      </c>
      <c r="CG1269" s="28" t="s">
        <v>138</v>
      </c>
      <c r="CH1269" s="28" t="s">
        <v>174</v>
      </c>
      <c r="CI1269" s="28" t="s">
        <v>138</v>
      </c>
      <c r="CJ1269" s="28" t="s">
        <v>138</v>
      </c>
      <c r="CK1269" s="28" t="s">
        <v>138</v>
      </c>
      <c r="CL1269" s="28" t="s">
        <v>175</v>
      </c>
      <c r="CM1269" s="34">
        <v>43151</v>
      </c>
      <c r="CN1269" s="29" t="s">
        <v>138</v>
      </c>
      <c r="CO1269" s="35">
        <v>-0.43</v>
      </c>
      <c r="CP1269" s="36">
        <v>17</v>
      </c>
      <c r="CQ1269" s="35">
        <v>-0.02</v>
      </c>
      <c r="CR1269" s="35">
        <v>-6.1</v>
      </c>
      <c r="CS1269" s="35">
        <v>-0.85</v>
      </c>
      <c r="CT1269" s="36">
        <v>16</v>
      </c>
      <c r="CU1269" s="35">
        <v>-0.01</v>
      </c>
      <c r="CV1269" s="36">
        <v>20</v>
      </c>
      <c r="CW1269" s="35">
        <v>0</v>
      </c>
      <c r="CX1269" s="36">
        <v>13</v>
      </c>
      <c r="CY1269" s="35">
        <v>-1.7</v>
      </c>
      <c r="CZ1269" s="36">
        <v>13</v>
      </c>
      <c r="DA1269" s="35">
        <v>-0.02</v>
      </c>
      <c r="DB1269" s="36">
        <v>19</v>
      </c>
      <c r="DC1269" s="37">
        <v>2.98</v>
      </c>
      <c r="DD1269" s="36">
        <v>75</v>
      </c>
      <c r="DE1269" s="37">
        <v>-0.04</v>
      </c>
      <c r="DF1269" s="35">
        <v>-1.24</v>
      </c>
      <c r="DG1269" s="37">
        <v>3.15</v>
      </c>
      <c r="DH1269" s="36">
        <v>75</v>
      </c>
      <c r="DI1269" s="37">
        <v>2.81</v>
      </c>
      <c r="DJ1269" s="36">
        <v>68</v>
      </c>
      <c r="DK1269" s="37">
        <v>1.2</v>
      </c>
      <c r="DL1269" s="36">
        <v>54</v>
      </c>
      <c r="DM1269" s="37">
        <v>5.0999999999999996</v>
      </c>
      <c r="DN1269" s="36">
        <v>82</v>
      </c>
      <c r="DO1269" s="37">
        <v>1.62</v>
      </c>
      <c r="DP1269" s="36">
        <v>60</v>
      </c>
      <c r="DQ1269" s="36">
        <v>405</v>
      </c>
      <c r="DR1269" s="38">
        <v>24</v>
      </c>
      <c r="DS1269" s="35">
        <v>6.3</v>
      </c>
      <c r="DT1269" s="36">
        <v>148</v>
      </c>
      <c r="DU1269" s="38">
        <v>0</v>
      </c>
      <c r="DV1269" s="35">
        <v>0</v>
      </c>
      <c r="DW1269" s="36">
        <v>578</v>
      </c>
      <c r="DX1269" s="39">
        <v>0</v>
      </c>
      <c r="DY1269" s="35">
        <v>0</v>
      </c>
      <c r="DZ1269" s="28" t="s">
        <v>178</v>
      </c>
      <c r="EA1269" s="34">
        <v>43375</v>
      </c>
      <c r="EB1269" s="29">
        <v>3.25</v>
      </c>
      <c r="EC1269" s="34">
        <v>42278</v>
      </c>
      <c r="ED1269" s="28" t="s">
        <v>262</v>
      </c>
      <c r="EE1269" s="40" t="str">
        <f>HYPERLINK("https://my.pitchbook.com?c=61113-97", "View company online")</f>
        <v>View company online</v>
      </c>
    </row>
    <row r="1270" spans="1:135">
      <c r="A1270" s="15" t="s">
        <v>24586</v>
      </c>
      <c r="B1270" s="15" t="s">
        <v>24587</v>
      </c>
      <c r="C1270" s="15" t="s">
        <v>138</v>
      </c>
      <c r="D1270" s="15" t="s">
        <v>138</v>
      </c>
      <c r="E1270" s="15" t="s">
        <v>138</v>
      </c>
      <c r="F1270" s="15" t="s">
        <v>24586</v>
      </c>
      <c r="G1270" s="15" t="s">
        <v>24588</v>
      </c>
      <c r="H1270" s="15" t="s">
        <v>141</v>
      </c>
      <c r="I1270" s="15" t="s">
        <v>212</v>
      </c>
      <c r="J1270" s="15" t="s">
        <v>1257</v>
      </c>
      <c r="K1270" s="15" t="s">
        <v>1258</v>
      </c>
      <c r="L1270" s="15" t="s">
        <v>24589</v>
      </c>
      <c r="M1270" s="15" t="s">
        <v>24590</v>
      </c>
      <c r="N1270" s="15" t="s">
        <v>147</v>
      </c>
      <c r="O1270" s="17">
        <v>3.54</v>
      </c>
      <c r="P1270" s="15" t="s">
        <v>610</v>
      </c>
      <c r="Q1270" s="15" t="s">
        <v>149</v>
      </c>
      <c r="R1270" s="15" t="s">
        <v>174</v>
      </c>
      <c r="S1270" s="15" t="s">
        <v>24591</v>
      </c>
      <c r="T1270" s="18" t="s">
        <v>138</v>
      </c>
      <c r="U1270" s="15" t="s">
        <v>138</v>
      </c>
      <c r="V1270" s="15" t="s">
        <v>138</v>
      </c>
      <c r="W1270" s="15" t="s">
        <v>138</v>
      </c>
      <c r="X1270" s="19">
        <v>2018</v>
      </c>
      <c r="Y1270" s="15" t="s">
        <v>138</v>
      </c>
      <c r="Z1270" s="15" t="s">
        <v>138</v>
      </c>
      <c r="AA1270" s="15" t="s">
        <v>138</v>
      </c>
      <c r="AB1270" s="20" t="s">
        <v>138</v>
      </c>
      <c r="AC1270" s="20" t="s">
        <v>138</v>
      </c>
      <c r="AD1270" s="20" t="s">
        <v>138</v>
      </c>
      <c r="AE1270" s="20" t="s">
        <v>138</v>
      </c>
      <c r="AF1270" s="20" t="s">
        <v>138</v>
      </c>
      <c r="AG1270" s="15" t="s">
        <v>138</v>
      </c>
      <c r="AH1270" s="20" t="s">
        <v>138</v>
      </c>
      <c r="AI1270" s="20" t="s">
        <v>138</v>
      </c>
      <c r="AJ1270" s="20" t="s">
        <v>138</v>
      </c>
      <c r="AK1270" s="15" t="s">
        <v>24592</v>
      </c>
      <c r="AL1270" s="15" t="s">
        <v>24593</v>
      </c>
      <c r="AM1270" s="15" t="s">
        <v>304</v>
      </c>
      <c r="AN1270" s="15" t="s">
        <v>24594</v>
      </c>
      <c r="AO1270" s="15" t="s">
        <v>138</v>
      </c>
      <c r="AP1270" s="15" t="s">
        <v>1514</v>
      </c>
      <c r="AQ1270" s="15" t="s">
        <v>138</v>
      </c>
      <c r="AR1270" s="15" t="s">
        <v>138</v>
      </c>
      <c r="AS1270" s="15" t="s">
        <v>1516</v>
      </c>
      <c r="AT1270" s="15" t="s">
        <v>284</v>
      </c>
      <c r="AU1270" s="15" t="s">
        <v>138</v>
      </c>
      <c r="AV1270" s="15" t="s">
        <v>162</v>
      </c>
      <c r="AW1270" s="15" t="s">
        <v>138</v>
      </c>
      <c r="AX1270" s="15" t="s">
        <v>138</v>
      </c>
      <c r="AY1270" s="15" t="s">
        <v>138</v>
      </c>
      <c r="AZ1270" s="15" t="s">
        <v>164</v>
      </c>
      <c r="BA1270" s="15" t="s">
        <v>165</v>
      </c>
      <c r="BB1270" s="15" t="s">
        <v>24595</v>
      </c>
      <c r="BC1270" s="15" t="s">
        <v>24596</v>
      </c>
      <c r="BD1270" s="21">
        <v>4</v>
      </c>
      <c r="BE1270" s="15" t="s">
        <v>138</v>
      </c>
      <c r="BF1270" s="15" t="s">
        <v>138</v>
      </c>
      <c r="BG1270" s="15" t="s">
        <v>138</v>
      </c>
      <c r="BH1270" s="15" t="s">
        <v>24597</v>
      </c>
      <c r="BI1270" s="15" t="s">
        <v>138</v>
      </c>
      <c r="BJ1270" s="15" t="s">
        <v>138</v>
      </c>
      <c r="BK1270" s="15" t="s">
        <v>138</v>
      </c>
      <c r="BL1270" s="15" t="s">
        <v>138</v>
      </c>
      <c r="BM1270" s="22">
        <v>43159</v>
      </c>
      <c r="BN1270" s="17">
        <v>0.04</v>
      </c>
      <c r="BO1270" s="15" t="s">
        <v>1178</v>
      </c>
      <c r="BP1270" s="17">
        <v>1.64</v>
      </c>
      <c r="BQ1270" s="15" t="s">
        <v>172</v>
      </c>
      <c r="BR1270" s="15" t="s">
        <v>234</v>
      </c>
      <c r="BS1270" s="15" t="s">
        <v>234</v>
      </c>
      <c r="BT1270" s="15" t="s">
        <v>138</v>
      </c>
      <c r="BU1270" s="15" t="s">
        <v>174</v>
      </c>
      <c r="BV1270" s="15" t="s">
        <v>138</v>
      </c>
      <c r="BW1270" s="15" t="s">
        <v>138</v>
      </c>
      <c r="BX1270" s="15" t="s">
        <v>138</v>
      </c>
      <c r="BY1270" s="15" t="s">
        <v>175</v>
      </c>
      <c r="BZ1270" s="22">
        <v>43396</v>
      </c>
      <c r="CA1270" s="17">
        <v>3.5</v>
      </c>
      <c r="CB1270" s="15" t="s">
        <v>172</v>
      </c>
      <c r="CC1270" s="17">
        <v>11.9</v>
      </c>
      <c r="CD1270" s="15" t="s">
        <v>172</v>
      </c>
      <c r="CE1270" s="15" t="s">
        <v>234</v>
      </c>
      <c r="CF1270" s="15" t="s">
        <v>234</v>
      </c>
      <c r="CG1270" s="15" t="s">
        <v>138</v>
      </c>
      <c r="CH1270" s="15" t="s">
        <v>174</v>
      </c>
      <c r="CI1270" s="15" t="s">
        <v>138</v>
      </c>
      <c r="CJ1270" s="15" t="s">
        <v>138</v>
      </c>
      <c r="CK1270" s="15" t="s">
        <v>138</v>
      </c>
      <c r="CL1270" s="15" t="s">
        <v>175</v>
      </c>
      <c r="CM1270" s="22" t="s">
        <v>138</v>
      </c>
      <c r="CN1270" s="17" t="s">
        <v>138</v>
      </c>
      <c r="CO1270" s="23">
        <v>0.72</v>
      </c>
      <c r="CP1270" s="24">
        <v>96</v>
      </c>
      <c r="CQ1270" s="23">
        <v>0</v>
      </c>
      <c r="CR1270" s="23">
        <v>0</v>
      </c>
      <c r="CS1270" s="23">
        <v>0.72</v>
      </c>
      <c r="CT1270" s="24">
        <v>96</v>
      </c>
      <c r="CU1270" s="23" t="s">
        <v>138</v>
      </c>
      <c r="CV1270" s="24" t="s">
        <v>138</v>
      </c>
      <c r="CW1270" s="23">
        <v>1.44</v>
      </c>
      <c r="CX1270" s="24">
        <v>86</v>
      </c>
      <c r="CY1270" s="23">
        <v>0</v>
      </c>
      <c r="CZ1270" s="24">
        <v>25</v>
      </c>
      <c r="DA1270" s="23" t="s">
        <v>138</v>
      </c>
      <c r="DB1270" s="24" t="s">
        <v>138</v>
      </c>
      <c r="DC1270" s="25">
        <v>1.98</v>
      </c>
      <c r="DD1270" s="24">
        <v>67</v>
      </c>
      <c r="DE1270" s="25">
        <v>-0.22</v>
      </c>
      <c r="DF1270" s="23">
        <v>-9.86</v>
      </c>
      <c r="DG1270" s="25">
        <v>1.98</v>
      </c>
      <c r="DH1270" s="24">
        <v>67</v>
      </c>
      <c r="DI1270" s="25" t="s">
        <v>138</v>
      </c>
      <c r="DJ1270" s="24" t="s">
        <v>138</v>
      </c>
      <c r="DK1270" s="25">
        <v>3.38</v>
      </c>
      <c r="DL1270" s="24">
        <v>73</v>
      </c>
      <c r="DM1270" s="25">
        <v>0.59</v>
      </c>
      <c r="DN1270" s="24">
        <v>37</v>
      </c>
      <c r="DO1270" s="25" t="s">
        <v>138</v>
      </c>
      <c r="DP1270" s="24" t="s">
        <v>138</v>
      </c>
      <c r="DQ1270" s="24">
        <v>1117</v>
      </c>
      <c r="DR1270" s="26">
        <v>127</v>
      </c>
      <c r="DS1270" s="23">
        <v>12.83</v>
      </c>
      <c r="DT1270" s="24">
        <v>17</v>
      </c>
      <c r="DU1270" s="26">
        <v>0</v>
      </c>
      <c r="DV1270" s="23">
        <v>0</v>
      </c>
      <c r="DW1270" s="24" t="s">
        <v>138</v>
      </c>
      <c r="DX1270" s="27" t="s">
        <v>138</v>
      </c>
      <c r="DY1270" s="23" t="s">
        <v>138</v>
      </c>
      <c r="DZ1270" s="15" t="s">
        <v>178</v>
      </c>
      <c r="EA1270" s="22">
        <v>43551</v>
      </c>
      <c r="EB1270" s="17">
        <v>11.9</v>
      </c>
      <c r="EC1270" s="22">
        <v>43396</v>
      </c>
      <c r="ED1270" s="15" t="s">
        <v>234</v>
      </c>
      <c r="EE1270" s="14" t="str">
        <f>HYPERLINK("https://my.pitchbook.com?c=234051-94", "View company online")</f>
        <v>View company online</v>
      </c>
    </row>
    <row r="1271" spans="1:135">
      <c r="A1271" s="28" t="s">
        <v>24598</v>
      </c>
      <c r="B1271" s="28" t="s">
        <v>24599</v>
      </c>
      <c r="C1271" s="28" t="s">
        <v>138</v>
      </c>
      <c r="D1271" s="28" t="s">
        <v>138</v>
      </c>
      <c r="E1271" s="28" t="s">
        <v>24600</v>
      </c>
      <c r="F1271" s="28" t="s">
        <v>24598</v>
      </c>
      <c r="G1271" s="28" t="s">
        <v>24601</v>
      </c>
      <c r="H1271" s="28" t="s">
        <v>141</v>
      </c>
      <c r="I1271" s="28" t="s">
        <v>142</v>
      </c>
      <c r="J1271" s="28" t="s">
        <v>508</v>
      </c>
      <c r="K1271" s="28" t="s">
        <v>24602</v>
      </c>
      <c r="L1271" s="28" t="s">
        <v>4912</v>
      </c>
      <c r="M1271" s="28" t="s">
        <v>24603</v>
      </c>
      <c r="N1271" s="28" t="s">
        <v>147</v>
      </c>
      <c r="O1271" s="29">
        <v>35.21</v>
      </c>
      <c r="P1271" s="28" t="s">
        <v>148</v>
      </c>
      <c r="Q1271" s="28" t="s">
        <v>149</v>
      </c>
      <c r="R1271" s="28" t="s">
        <v>174</v>
      </c>
      <c r="S1271" s="28" t="s">
        <v>24604</v>
      </c>
      <c r="T1271" s="30">
        <v>25</v>
      </c>
      <c r="U1271" s="28" t="s">
        <v>24605</v>
      </c>
      <c r="V1271" s="28" t="s">
        <v>138</v>
      </c>
      <c r="W1271" s="28" t="s">
        <v>138</v>
      </c>
      <c r="X1271" s="31">
        <v>2013</v>
      </c>
      <c r="Y1271" s="28" t="s">
        <v>138</v>
      </c>
      <c r="Z1271" s="28" t="s">
        <v>138</v>
      </c>
      <c r="AA1271" s="28" t="s">
        <v>138</v>
      </c>
      <c r="AB1271" s="32" t="s">
        <v>138</v>
      </c>
      <c r="AC1271" s="32" t="s">
        <v>138</v>
      </c>
      <c r="AD1271" s="32" t="s">
        <v>138</v>
      </c>
      <c r="AE1271" s="32" t="s">
        <v>138</v>
      </c>
      <c r="AF1271" s="32" t="s">
        <v>138</v>
      </c>
      <c r="AG1271" s="28" t="s">
        <v>138</v>
      </c>
      <c r="AH1271" s="32" t="s">
        <v>138</v>
      </c>
      <c r="AI1271" s="32" t="s">
        <v>138</v>
      </c>
      <c r="AJ1271" s="32" t="s">
        <v>138</v>
      </c>
      <c r="AK1271" s="28" t="s">
        <v>24606</v>
      </c>
      <c r="AL1271" s="28" t="s">
        <v>24607</v>
      </c>
      <c r="AM1271" s="28" t="s">
        <v>24608</v>
      </c>
      <c r="AN1271" s="28" t="s">
        <v>24609</v>
      </c>
      <c r="AO1271" s="28" t="s">
        <v>24610</v>
      </c>
      <c r="AP1271" s="28" t="s">
        <v>1244</v>
      </c>
      <c r="AQ1271" s="28" t="s">
        <v>24611</v>
      </c>
      <c r="AR1271" s="28" t="s">
        <v>138</v>
      </c>
      <c r="AS1271" s="28" t="s">
        <v>1246</v>
      </c>
      <c r="AT1271" s="28" t="s">
        <v>200</v>
      </c>
      <c r="AU1271" s="28" t="s">
        <v>2437</v>
      </c>
      <c r="AV1271" s="28" t="s">
        <v>162</v>
      </c>
      <c r="AW1271" s="28" t="s">
        <v>24610</v>
      </c>
      <c r="AX1271" s="28" t="s">
        <v>138</v>
      </c>
      <c r="AY1271" s="28" t="s">
        <v>24612</v>
      </c>
      <c r="AZ1271" s="28" t="s">
        <v>164</v>
      </c>
      <c r="BA1271" s="28" t="s">
        <v>165</v>
      </c>
      <c r="BB1271" s="28" t="s">
        <v>24613</v>
      </c>
      <c r="BC1271" s="28" t="s">
        <v>24614</v>
      </c>
      <c r="BD1271" s="33">
        <v>14</v>
      </c>
      <c r="BE1271" s="28" t="s">
        <v>138</v>
      </c>
      <c r="BF1271" s="28" t="s">
        <v>138</v>
      </c>
      <c r="BG1271" s="28" t="s">
        <v>138</v>
      </c>
      <c r="BH1271" s="28" t="s">
        <v>24615</v>
      </c>
      <c r="BI1271" s="28" t="s">
        <v>138</v>
      </c>
      <c r="BJ1271" s="28" t="s">
        <v>138</v>
      </c>
      <c r="BK1271" s="28" t="s">
        <v>24616</v>
      </c>
      <c r="BL1271" s="28" t="s">
        <v>290</v>
      </c>
      <c r="BM1271" s="34">
        <v>41555</v>
      </c>
      <c r="BN1271" s="29">
        <v>3</v>
      </c>
      <c r="BO1271" s="28" t="s">
        <v>172</v>
      </c>
      <c r="BP1271" s="29">
        <v>9.6</v>
      </c>
      <c r="BQ1271" s="28" t="s">
        <v>172</v>
      </c>
      <c r="BR1271" s="28" t="s">
        <v>205</v>
      </c>
      <c r="BS1271" s="28" t="s">
        <v>206</v>
      </c>
      <c r="BT1271" s="28" t="s">
        <v>138</v>
      </c>
      <c r="BU1271" s="28" t="s">
        <v>174</v>
      </c>
      <c r="BV1271" s="28" t="s">
        <v>138</v>
      </c>
      <c r="BW1271" s="28" t="s">
        <v>138</v>
      </c>
      <c r="BX1271" s="28" t="s">
        <v>138</v>
      </c>
      <c r="BY1271" s="28" t="s">
        <v>175</v>
      </c>
      <c r="BZ1271" s="34">
        <v>43270</v>
      </c>
      <c r="CA1271" s="29">
        <v>4</v>
      </c>
      <c r="CB1271" s="28" t="s">
        <v>172</v>
      </c>
      <c r="CC1271" s="29" t="s">
        <v>138</v>
      </c>
      <c r="CD1271" s="28" t="s">
        <v>138</v>
      </c>
      <c r="CE1271" s="28" t="s">
        <v>205</v>
      </c>
      <c r="CF1271" s="28" t="s">
        <v>138</v>
      </c>
      <c r="CG1271" s="28" t="s">
        <v>138</v>
      </c>
      <c r="CH1271" s="28" t="s">
        <v>174</v>
      </c>
      <c r="CI1271" s="28" t="s">
        <v>264</v>
      </c>
      <c r="CJ1271" s="28" t="s">
        <v>138</v>
      </c>
      <c r="CK1271" s="28" t="s">
        <v>138</v>
      </c>
      <c r="CL1271" s="28" t="s">
        <v>175</v>
      </c>
      <c r="CM1271" s="34" t="s">
        <v>138</v>
      </c>
      <c r="CN1271" s="29" t="s">
        <v>138</v>
      </c>
      <c r="CO1271" s="35">
        <v>-0.11</v>
      </c>
      <c r="CP1271" s="36">
        <v>21</v>
      </c>
      <c r="CQ1271" s="35">
        <v>0</v>
      </c>
      <c r="CR1271" s="35">
        <v>0</v>
      </c>
      <c r="CS1271" s="35">
        <v>0</v>
      </c>
      <c r="CT1271" s="36">
        <v>23</v>
      </c>
      <c r="CU1271" s="35">
        <v>-0.22</v>
      </c>
      <c r="CV1271" s="36">
        <v>1</v>
      </c>
      <c r="CW1271" s="35">
        <v>0</v>
      </c>
      <c r="CX1271" s="36">
        <v>13</v>
      </c>
      <c r="CY1271" s="35">
        <v>0</v>
      </c>
      <c r="CZ1271" s="36">
        <v>25</v>
      </c>
      <c r="DA1271" s="35">
        <v>-0.22</v>
      </c>
      <c r="DB1271" s="36">
        <v>2</v>
      </c>
      <c r="DC1271" s="37">
        <v>0.98</v>
      </c>
      <c r="DD1271" s="36">
        <v>51</v>
      </c>
      <c r="DE1271" s="37">
        <v>-0.03</v>
      </c>
      <c r="DF1271" s="35">
        <v>-3.37</v>
      </c>
      <c r="DG1271" s="37">
        <v>1.66</v>
      </c>
      <c r="DH1271" s="36">
        <v>63</v>
      </c>
      <c r="DI1271" s="37">
        <v>0.31</v>
      </c>
      <c r="DJ1271" s="36">
        <v>29</v>
      </c>
      <c r="DK1271" s="37">
        <v>0.83</v>
      </c>
      <c r="DL1271" s="36">
        <v>46</v>
      </c>
      <c r="DM1271" s="37">
        <v>2.48</v>
      </c>
      <c r="DN1271" s="36">
        <v>70</v>
      </c>
      <c r="DO1271" s="37">
        <v>0.31</v>
      </c>
      <c r="DP1271" s="36">
        <v>30</v>
      </c>
      <c r="DQ1271" s="36">
        <v>282</v>
      </c>
      <c r="DR1271" s="38">
        <v>7</v>
      </c>
      <c r="DS1271" s="35">
        <v>2.5499999999999998</v>
      </c>
      <c r="DT1271" s="36">
        <v>72</v>
      </c>
      <c r="DU1271" s="38">
        <v>-1</v>
      </c>
      <c r="DV1271" s="35">
        <v>-1.37</v>
      </c>
      <c r="DW1271" s="36">
        <v>111</v>
      </c>
      <c r="DX1271" s="39">
        <v>0</v>
      </c>
      <c r="DY1271" s="35">
        <v>0</v>
      </c>
      <c r="DZ1271" s="28" t="s">
        <v>178</v>
      </c>
      <c r="EA1271" s="34">
        <v>43622</v>
      </c>
      <c r="EB1271" s="29">
        <v>44.85</v>
      </c>
      <c r="EC1271" s="34">
        <v>42159</v>
      </c>
      <c r="ED1271" s="28" t="s">
        <v>205</v>
      </c>
      <c r="EE1271" s="40" t="str">
        <f>HYPERLINK("https://my.pitchbook.com?c=57860-47", "View company online")</f>
        <v>View company online</v>
      </c>
    </row>
    <row r="1272" spans="1:135">
      <c r="A1272" s="15" t="s">
        <v>24617</v>
      </c>
      <c r="B1272" s="15" t="s">
        <v>24618</v>
      </c>
      <c r="C1272" s="15" t="s">
        <v>138</v>
      </c>
      <c r="D1272" s="15" t="s">
        <v>24619</v>
      </c>
      <c r="E1272" s="15" t="s">
        <v>138</v>
      </c>
      <c r="F1272" s="15" t="s">
        <v>24617</v>
      </c>
      <c r="G1272" s="15" t="s">
        <v>24620</v>
      </c>
      <c r="H1272" s="15" t="s">
        <v>141</v>
      </c>
      <c r="I1272" s="15" t="s">
        <v>212</v>
      </c>
      <c r="J1272" s="15" t="s">
        <v>1257</v>
      </c>
      <c r="K1272" s="15" t="s">
        <v>1258</v>
      </c>
      <c r="L1272" s="15" t="s">
        <v>138</v>
      </c>
      <c r="M1272" s="15" t="s">
        <v>24621</v>
      </c>
      <c r="N1272" s="15" t="s">
        <v>147</v>
      </c>
      <c r="O1272" s="17">
        <v>18</v>
      </c>
      <c r="P1272" s="15" t="s">
        <v>148</v>
      </c>
      <c r="Q1272" s="15" t="s">
        <v>149</v>
      </c>
      <c r="R1272" s="15" t="s">
        <v>174</v>
      </c>
      <c r="S1272" s="15" t="s">
        <v>24622</v>
      </c>
      <c r="T1272" s="18" t="s">
        <v>138</v>
      </c>
      <c r="U1272" s="15" t="s">
        <v>138</v>
      </c>
      <c r="V1272" s="15" t="s">
        <v>138</v>
      </c>
      <c r="W1272" s="15" t="s">
        <v>138</v>
      </c>
      <c r="X1272" s="19">
        <v>1998</v>
      </c>
      <c r="Y1272" s="15" t="s">
        <v>138</v>
      </c>
      <c r="Z1272" s="15" t="s">
        <v>138</v>
      </c>
      <c r="AA1272" s="15" t="s">
        <v>138</v>
      </c>
      <c r="AB1272" s="20" t="s">
        <v>138</v>
      </c>
      <c r="AC1272" s="20" t="s">
        <v>138</v>
      </c>
      <c r="AD1272" s="20" t="s">
        <v>138</v>
      </c>
      <c r="AE1272" s="20" t="s">
        <v>138</v>
      </c>
      <c r="AF1272" s="20" t="s">
        <v>138</v>
      </c>
      <c r="AG1272" s="15" t="s">
        <v>138</v>
      </c>
      <c r="AH1272" s="20" t="s">
        <v>138</v>
      </c>
      <c r="AI1272" s="20" t="s">
        <v>138</v>
      </c>
      <c r="AJ1272" s="20" t="s">
        <v>138</v>
      </c>
      <c r="AK1272" s="15" t="s">
        <v>24623</v>
      </c>
      <c r="AL1272" s="15" t="s">
        <v>24624</v>
      </c>
      <c r="AM1272" s="15" t="s">
        <v>249</v>
      </c>
      <c r="AN1272" s="15" t="s">
        <v>24625</v>
      </c>
      <c r="AO1272" s="15" t="s">
        <v>24626</v>
      </c>
      <c r="AP1272" s="15" t="s">
        <v>1870</v>
      </c>
      <c r="AQ1272" s="15" t="s">
        <v>24627</v>
      </c>
      <c r="AR1272" s="15" t="s">
        <v>138</v>
      </c>
      <c r="AS1272" s="15" t="s">
        <v>1872</v>
      </c>
      <c r="AT1272" s="15" t="s">
        <v>200</v>
      </c>
      <c r="AU1272" s="15" t="s">
        <v>24628</v>
      </c>
      <c r="AV1272" s="15" t="s">
        <v>162</v>
      </c>
      <c r="AW1272" s="15" t="s">
        <v>24629</v>
      </c>
      <c r="AX1272" s="15" t="s">
        <v>138</v>
      </c>
      <c r="AY1272" s="15" t="s">
        <v>138</v>
      </c>
      <c r="AZ1272" s="15" t="s">
        <v>164</v>
      </c>
      <c r="BA1272" s="15" t="s">
        <v>165</v>
      </c>
      <c r="BB1272" s="15" t="s">
        <v>24630</v>
      </c>
      <c r="BC1272" s="15" t="s">
        <v>24631</v>
      </c>
      <c r="BD1272" s="21">
        <v>6</v>
      </c>
      <c r="BE1272" s="15" t="s">
        <v>138</v>
      </c>
      <c r="BF1272" s="15" t="s">
        <v>138</v>
      </c>
      <c r="BG1272" s="15" t="s">
        <v>138</v>
      </c>
      <c r="BH1272" s="15" t="s">
        <v>24632</v>
      </c>
      <c r="BI1272" s="15" t="s">
        <v>138</v>
      </c>
      <c r="BJ1272" s="15" t="s">
        <v>138</v>
      </c>
      <c r="BK1272" s="15" t="s">
        <v>138</v>
      </c>
      <c r="BL1272" s="15" t="s">
        <v>138</v>
      </c>
      <c r="BM1272" s="22" t="s">
        <v>138</v>
      </c>
      <c r="BN1272" s="17" t="s">
        <v>138</v>
      </c>
      <c r="BO1272" s="15" t="s">
        <v>138</v>
      </c>
      <c r="BP1272" s="17" t="s">
        <v>138</v>
      </c>
      <c r="BQ1272" s="15" t="s">
        <v>138</v>
      </c>
      <c r="BR1272" s="15" t="s">
        <v>205</v>
      </c>
      <c r="BS1272" s="15" t="s">
        <v>138</v>
      </c>
      <c r="BT1272" s="15" t="s">
        <v>138</v>
      </c>
      <c r="BU1272" s="15" t="s">
        <v>174</v>
      </c>
      <c r="BV1272" s="15" t="s">
        <v>138</v>
      </c>
      <c r="BW1272" s="15" t="s">
        <v>138</v>
      </c>
      <c r="BX1272" s="15" t="s">
        <v>138</v>
      </c>
      <c r="BY1272" s="15" t="s">
        <v>175</v>
      </c>
      <c r="BZ1272" s="22">
        <v>36467</v>
      </c>
      <c r="CA1272" s="17">
        <v>18</v>
      </c>
      <c r="CB1272" s="15" t="s">
        <v>172</v>
      </c>
      <c r="CC1272" s="17" t="s">
        <v>138</v>
      </c>
      <c r="CD1272" s="15" t="s">
        <v>138</v>
      </c>
      <c r="CE1272" s="15" t="s">
        <v>205</v>
      </c>
      <c r="CF1272" s="15" t="s">
        <v>138</v>
      </c>
      <c r="CG1272" s="15" t="s">
        <v>138</v>
      </c>
      <c r="CH1272" s="15" t="s">
        <v>174</v>
      </c>
      <c r="CI1272" s="15" t="s">
        <v>138</v>
      </c>
      <c r="CJ1272" s="15" t="s">
        <v>138</v>
      </c>
      <c r="CK1272" s="15" t="s">
        <v>138</v>
      </c>
      <c r="CL1272" s="15" t="s">
        <v>175</v>
      </c>
      <c r="CM1272" s="22" t="s">
        <v>138</v>
      </c>
      <c r="CN1272" s="17" t="s">
        <v>138</v>
      </c>
      <c r="CO1272" s="23">
        <v>0.72</v>
      </c>
      <c r="CP1272" s="24">
        <v>96</v>
      </c>
      <c r="CQ1272" s="23">
        <v>-0.6</v>
      </c>
      <c r="CR1272" s="23">
        <v>-45.23</v>
      </c>
      <c r="CS1272" s="23">
        <v>0.63</v>
      </c>
      <c r="CT1272" s="24">
        <v>96</v>
      </c>
      <c r="CU1272" s="23">
        <v>-0.03</v>
      </c>
      <c r="CV1272" s="24">
        <v>14</v>
      </c>
      <c r="CW1272" s="23">
        <v>2.38</v>
      </c>
      <c r="CX1272" s="24">
        <v>89</v>
      </c>
      <c r="CY1272" s="23">
        <v>-1.1200000000000001</v>
      </c>
      <c r="CZ1272" s="24">
        <v>18</v>
      </c>
      <c r="DA1272" s="23">
        <v>0</v>
      </c>
      <c r="DB1272" s="24">
        <v>22</v>
      </c>
      <c r="DC1272" s="25">
        <v>2.2999999999999998</v>
      </c>
      <c r="DD1272" s="24">
        <v>70</v>
      </c>
      <c r="DE1272" s="25">
        <v>-7.0000000000000007E-2</v>
      </c>
      <c r="DF1272" s="23">
        <v>-3.12</v>
      </c>
      <c r="DG1272" s="25">
        <v>3.74</v>
      </c>
      <c r="DH1272" s="24">
        <v>78</v>
      </c>
      <c r="DI1272" s="25">
        <v>3.02</v>
      </c>
      <c r="DJ1272" s="24">
        <v>70</v>
      </c>
      <c r="DK1272" s="25">
        <v>3.54</v>
      </c>
      <c r="DL1272" s="24">
        <v>74</v>
      </c>
      <c r="DM1272" s="25">
        <v>3.93</v>
      </c>
      <c r="DN1272" s="24">
        <v>78</v>
      </c>
      <c r="DO1272" s="25">
        <v>0.2</v>
      </c>
      <c r="DP1272" s="24">
        <v>24</v>
      </c>
      <c r="DQ1272" s="24">
        <v>1205</v>
      </c>
      <c r="DR1272" s="26">
        <v>27</v>
      </c>
      <c r="DS1272" s="23">
        <v>2.29</v>
      </c>
      <c r="DT1272" s="24">
        <v>114</v>
      </c>
      <c r="DU1272" s="26">
        <v>0</v>
      </c>
      <c r="DV1272" s="23">
        <v>0</v>
      </c>
      <c r="DW1272" s="24">
        <v>71</v>
      </c>
      <c r="DX1272" s="27">
        <v>0</v>
      </c>
      <c r="DY1272" s="23">
        <v>0</v>
      </c>
      <c r="DZ1272" s="15" t="s">
        <v>178</v>
      </c>
      <c r="EA1272" s="22">
        <v>43351</v>
      </c>
      <c r="EB1272" s="17" t="s">
        <v>138</v>
      </c>
      <c r="EC1272" s="22" t="s">
        <v>138</v>
      </c>
      <c r="ED1272" s="15" t="s">
        <v>138</v>
      </c>
      <c r="EE1272" s="14" t="str">
        <f>HYPERLINK("https://my.pitchbook.com?c=229810-78", "View company online")</f>
        <v>View company online</v>
      </c>
    </row>
    <row r="1273" spans="1:135">
      <c r="A1273" s="28" t="s">
        <v>24633</v>
      </c>
      <c r="B1273" s="28" t="s">
        <v>24634</v>
      </c>
      <c r="C1273" s="28" t="s">
        <v>138</v>
      </c>
      <c r="D1273" s="28" t="s">
        <v>138</v>
      </c>
      <c r="E1273" s="28" t="s">
        <v>24635</v>
      </c>
      <c r="F1273" s="28" t="s">
        <v>24633</v>
      </c>
      <c r="G1273" s="28" t="s">
        <v>24636</v>
      </c>
      <c r="H1273" s="28" t="s">
        <v>141</v>
      </c>
      <c r="I1273" s="28" t="s">
        <v>18603</v>
      </c>
      <c r="J1273" s="28" t="s">
        <v>24637</v>
      </c>
      <c r="K1273" s="28" t="s">
        <v>24638</v>
      </c>
      <c r="L1273" s="28" t="s">
        <v>215</v>
      </c>
      <c r="M1273" s="28" t="s">
        <v>24639</v>
      </c>
      <c r="N1273" s="28" t="s">
        <v>147</v>
      </c>
      <c r="O1273" s="29">
        <v>25.3</v>
      </c>
      <c r="P1273" s="28" t="s">
        <v>148</v>
      </c>
      <c r="Q1273" s="28" t="s">
        <v>149</v>
      </c>
      <c r="R1273" s="28" t="s">
        <v>174</v>
      </c>
      <c r="S1273" s="28" t="s">
        <v>24640</v>
      </c>
      <c r="T1273" s="30">
        <v>51</v>
      </c>
      <c r="U1273" s="28" t="s">
        <v>246</v>
      </c>
      <c r="V1273" s="28" t="s">
        <v>138</v>
      </c>
      <c r="W1273" s="28" t="s">
        <v>138</v>
      </c>
      <c r="X1273" s="31">
        <v>2011</v>
      </c>
      <c r="Y1273" s="28" t="s">
        <v>138</v>
      </c>
      <c r="Z1273" s="28" t="s">
        <v>138</v>
      </c>
      <c r="AA1273" s="28" t="s">
        <v>138</v>
      </c>
      <c r="AB1273" s="32" t="s">
        <v>138</v>
      </c>
      <c r="AC1273" s="32" t="s">
        <v>138</v>
      </c>
      <c r="AD1273" s="32" t="s">
        <v>138</v>
      </c>
      <c r="AE1273" s="32" t="s">
        <v>138</v>
      </c>
      <c r="AF1273" s="32" t="s">
        <v>138</v>
      </c>
      <c r="AG1273" s="28" t="s">
        <v>138</v>
      </c>
      <c r="AH1273" s="32" t="s">
        <v>138</v>
      </c>
      <c r="AI1273" s="32" t="s">
        <v>138</v>
      </c>
      <c r="AJ1273" s="32" t="s">
        <v>138</v>
      </c>
      <c r="AK1273" s="28" t="s">
        <v>24641</v>
      </c>
      <c r="AL1273" s="28" t="s">
        <v>24642</v>
      </c>
      <c r="AM1273" s="28" t="s">
        <v>3080</v>
      </c>
      <c r="AN1273" s="28" t="s">
        <v>24643</v>
      </c>
      <c r="AO1273" s="28" t="s">
        <v>24644</v>
      </c>
      <c r="AP1273" s="28" t="s">
        <v>17664</v>
      </c>
      <c r="AQ1273" s="28" t="s">
        <v>24645</v>
      </c>
      <c r="AR1273" s="28" t="s">
        <v>138</v>
      </c>
      <c r="AS1273" s="28" t="s">
        <v>17667</v>
      </c>
      <c r="AT1273" s="28" t="s">
        <v>339</v>
      </c>
      <c r="AU1273" s="28" t="s">
        <v>19961</v>
      </c>
      <c r="AV1273" s="28" t="s">
        <v>162</v>
      </c>
      <c r="AW1273" s="28" t="s">
        <v>24644</v>
      </c>
      <c r="AX1273" s="28" t="s">
        <v>138</v>
      </c>
      <c r="AY1273" s="28" t="s">
        <v>24646</v>
      </c>
      <c r="AZ1273" s="28" t="s">
        <v>164</v>
      </c>
      <c r="BA1273" s="28" t="s">
        <v>165</v>
      </c>
      <c r="BB1273" s="28" t="s">
        <v>24647</v>
      </c>
      <c r="BC1273" s="28" t="s">
        <v>24648</v>
      </c>
      <c r="BD1273" s="33">
        <v>4</v>
      </c>
      <c r="BE1273" s="28" t="s">
        <v>138</v>
      </c>
      <c r="BF1273" s="28" t="s">
        <v>138</v>
      </c>
      <c r="BG1273" s="28" t="s">
        <v>138</v>
      </c>
      <c r="BH1273" s="28" t="s">
        <v>24649</v>
      </c>
      <c r="BI1273" s="28" t="s">
        <v>138</v>
      </c>
      <c r="BJ1273" s="28" t="s">
        <v>138</v>
      </c>
      <c r="BK1273" s="28" t="s">
        <v>3482</v>
      </c>
      <c r="BL1273" s="28" t="s">
        <v>24650</v>
      </c>
      <c r="BM1273" s="34" t="s">
        <v>138</v>
      </c>
      <c r="BN1273" s="29" t="s">
        <v>138</v>
      </c>
      <c r="BO1273" s="28" t="s">
        <v>138</v>
      </c>
      <c r="BP1273" s="29" t="s">
        <v>138</v>
      </c>
      <c r="BQ1273" s="28" t="s">
        <v>138</v>
      </c>
      <c r="BR1273" s="28" t="s">
        <v>205</v>
      </c>
      <c r="BS1273" s="28" t="s">
        <v>138</v>
      </c>
      <c r="BT1273" s="28" t="s">
        <v>138</v>
      </c>
      <c r="BU1273" s="28" t="s">
        <v>174</v>
      </c>
      <c r="BV1273" s="28" t="s">
        <v>138</v>
      </c>
      <c r="BW1273" s="28" t="s">
        <v>138</v>
      </c>
      <c r="BX1273" s="28" t="s">
        <v>138</v>
      </c>
      <c r="BY1273" s="28" t="s">
        <v>175</v>
      </c>
      <c r="BZ1273" s="34">
        <v>42131</v>
      </c>
      <c r="CA1273" s="29">
        <v>20</v>
      </c>
      <c r="CB1273" s="28" t="s">
        <v>172</v>
      </c>
      <c r="CC1273" s="29" t="s">
        <v>138</v>
      </c>
      <c r="CD1273" s="28" t="s">
        <v>138</v>
      </c>
      <c r="CE1273" s="28" t="s">
        <v>173</v>
      </c>
      <c r="CF1273" s="28" t="s">
        <v>317</v>
      </c>
      <c r="CG1273" s="28" t="s">
        <v>138</v>
      </c>
      <c r="CH1273" s="28" t="s">
        <v>174</v>
      </c>
      <c r="CI1273" s="28" t="s">
        <v>1497</v>
      </c>
      <c r="CJ1273" s="28" t="s">
        <v>138</v>
      </c>
      <c r="CK1273" s="28" t="s">
        <v>138</v>
      </c>
      <c r="CL1273" s="28" t="s">
        <v>175</v>
      </c>
      <c r="CM1273" s="34">
        <v>42131</v>
      </c>
      <c r="CN1273" s="29">
        <v>5.3</v>
      </c>
      <c r="CO1273" s="35">
        <v>-0.45</v>
      </c>
      <c r="CP1273" s="36">
        <v>17</v>
      </c>
      <c r="CQ1273" s="35">
        <v>0.04</v>
      </c>
      <c r="CR1273" s="35">
        <v>8.24</v>
      </c>
      <c r="CS1273" s="35">
        <v>-0.87</v>
      </c>
      <c r="CT1273" s="36">
        <v>16</v>
      </c>
      <c r="CU1273" s="35">
        <v>-0.04</v>
      </c>
      <c r="CV1273" s="36">
        <v>12</v>
      </c>
      <c r="CW1273" s="35">
        <v>0</v>
      </c>
      <c r="CX1273" s="36">
        <v>13</v>
      </c>
      <c r="CY1273" s="35">
        <v>-1.74</v>
      </c>
      <c r="CZ1273" s="36">
        <v>13</v>
      </c>
      <c r="DA1273" s="35">
        <v>-0.04</v>
      </c>
      <c r="DB1273" s="36">
        <v>15</v>
      </c>
      <c r="DC1273" s="37">
        <v>3.27</v>
      </c>
      <c r="DD1273" s="36">
        <v>76</v>
      </c>
      <c r="DE1273" s="37">
        <v>-0.08</v>
      </c>
      <c r="DF1273" s="35">
        <v>-2.48</v>
      </c>
      <c r="DG1273" s="37">
        <v>5.63</v>
      </c>
      <c r="DH1273" s="36">
        <v>84</v>
      </c>
      <c r="DI1273" s="37">
        <v>0.91</v>
      </c>
      <c r="DJ1273" s="36">
        <v>47</v>
      </c>
      <c r="DK1273" s="37">
        <v>2.67</v>
      </c>
      <c r="DL1273" s="36">
        <v>70</v>
      </c>
      <c r="DM1273" s="37">
        <v>8.59</v>
      </c>
      <c r="DN1273" s="36">
        <v>87</v>
      </c>
      <c r="DO1273" s="37">
        <v>0.91</v>
      </c>
      <c r="DP1273" s="36">
        <v>49</v>
      </c>
      <c r="DQ1273" s="36">
        <v>896</v>
      </c>
      <c r="DR1273" s="38">
        <v>56</v>
      </c>
      <c r="DS1273" s="35">
        <v>6.67</v>
      </c>
      <c r="DT1273" s="36">
        <v>249</v>
      </c>
      <c r="DU1273" s="38">
        <v>0</v>
      </c>
      <c r="DV1273" s="35">
        <v>0</v>
      </c>
      <c r="DW1273" s="36">
        <v>325</v>
      </c>
      <c r="DX1273" s="39">
        <v>0</v>
      </c>
      <c r="DY1273" s="35">
        <v>0</v>
      </c>
      <c r="DZ1273" s="28" t="s">
        <v>178</v>
      </c>
      <c r="EA1273" s="34">
        <v>43622</v>
      </c>
      <c r="EB1273" s="29" t="s">
        <v>138</v>
      </c>
      <c r="EC1273" s="34" t="s">
        <v>138</v>
      </c>
      <c r="ED1273" s="28" t="s">
        <v>138</v>
      </c>
      <c r="EE1273" s="40" t="str">
        <f>HYPERLINK("https://my.pitchbook.com?c=97592-41", "View company online")</f>
        <v>View company online</v>
      </c>
    </row>
    <row r="1274" spans="1:135">
      <c r="A1274" s="15" t="s">
        <v>24651</v>
      </c>
      <c r="B1274" s="15" t="s">
        <v>24652</v>
      </c>
      <c r="C1274" s="15" t="s">
        <v>138</v>
      </c>
      <c r="D1274" s="15" t="s">
        <v>24653</v>
      </c>
      <c r="E1274" s="15" t="s">
        <v>138</v>
      </c>
      <c r="F1274" s="15" t="s">
        <v>24651</v>
      </c>
      <c r="G1274" s="15" t="s">
        <v>24654</v>
      </c>
      <c r="H1274" s="15" t="s">
        <v>322</v>
      </c>
      <c r="I1274" s="15" t="s">
        <v>323</v>
      </c>
      <c r="J1274" s="15" t="s">
        <v>324</v>
      </c>
      <c r="K1274" s="15" t="s">
        <v>24655</v>
      </c>
      <c r="L1274" s="15" t="s">
        <v>24656</v>
      </c>
      <c r="M1274" s="15" t="s">
        <v>24657</v>
      </c>
      <c r="N1274" s="15" t="s">
        <v>147</v>
      </c>
      <c r="O1274" s="17">
        <v>8.3800000000000008</v>
      </c>
      <c r="P1274" s="15" t="s">
        <v>148</v>
      </c>
      <c r="Q1274" s="15" t="s">
        <v>149</v>
      </c>
      <c r="R1274" s="15" t="s">
        <v>174</v>
      </c>
      <c r="S1274" s="15" t="s">
        <v>24658</v>
      </c>
      <c r="T1274" s="18" t="s">
        <v>138</v>
      </c>
      <c r="U1274" s="15" t="s">
        <v>138</v>
      </c>
      <c r="V1274" s="15" t="s">
        <v>138</v>
      </c>
      <c r="W1274" s="15" t="s">
        <v>138</v>
      </c>
      <c r="X1274" s="19">
        <v>2016</v>
      </c>
      <c r="Y1274" s="15" t="s">
        <v>138</v>
      </c>
      <c r="Z1274" s="15" t="s">
        <v>138</v>
      </c>
      <c r="AA1274" s="15" t="s">
        <v>138</v>
      </c>
      <c r="AB1274" s="20" t="s">
        <v>138</v>
      </c>
      <c r="AC1274" s="20" t="s">
        <v>138</v>
      </c>
      <c r="AD1274" s="20" t="s">
        <v>138</v>
      </c>
      <c r="AE1274" s="20" t="s">
        <v>138</v>
      </c>
      <c r="AF1274" s="20" t="s">
        <v>138</v>
      </c>
      <c r="AG1274" s="15" t="s">
        <v>138</v>
      </c>
      <c r="AH1274" s="20" t="s">
        <v>138</v>
      </c>
      <c r="AI1274" s="20" t="s">
        <v>138</v>
      </c>
      <c r="AJ1274" s="20" t="s">
        <v>138</v>
      </c>
      <c r="AK1274" s="15" t="s">
        <v>24659</v>
      </c>
      <c r="AL1274" s="15" t="s">
        <v>24660</v>
      </c>
      <c r="AM1274" s="15" t="s">
        <v>986</v>
      </c>
      <c r="AN1274" s="15" t="s">
        <v>24661</v>
      </c>
      <c r="AO1274" s="15" t="s">
        <v>24662</v>
      </c>
      <c r="AP1274" s="15" t="s">
        <v>820</v>
      </c>
      <c r="AQ1274" s="15" t="s">
        <v>24663</v>
      </c>
      <c r="AR1274" s="15" t="s">
        <v>138</v>
      </c>
      <c r="AS1274" s="15" t="s">
        <v>823</v>
      </c>
      <c r="AT1274" s="15" t="s">
        <v>824</v>
      </c>
      <c r="AU1274" s="15" t="s">
        <v>24664</v>
      </c>
      <c r="AV1274" s="15" t="s">
        <v>526</v>
      </c>
      <c r="AW1274" s="15" t="s">
        <v>24662</v>
      </c>
      <c r="AX1274" s="15" t="s">
        <v>138</v>
      </c>
      <c r="AY1274" s="15" t="s">
        <v>24665</v>
      </c>
      <c r="AZ1274" s="15" t="s">
        <v>530</v>
      </c>
      <c r="BA1274" s="15" t="s">
        <v>531</v>
      </c>
      <c r="BB1274" s="15" t="s">
        <v>24666</v>
      </c>
      <c r="BC1274" s="15" t="s">
        <v>24667</v>
      </c>
      <c r="BD1274" s="21">
        <v>10</v>
      </c>
      <c r="BE1274" s="15" t="s">
        <v>138</v>
      </c>
      <c r="BF1274" s="15" t="s">
        <v>138</v>
      </c>
      <c r="BG1274" s="15" t="s">
        <v>138</v>
      </c>
      <c r="BH1274" s="15" t="s">
        <v>24668</v>
      </c>
      <c r="BI1274" s="15" t="s">
        <v>138</v>
      </c>
      <c r="BJ1274" s="15" t="s">
        <v>138</v>
      </c>
      <c r="BK1274" s="15" t="s">
        <v>138</v>
      </c>
      <c r="BL1274" s="15" t="s">
        <v>138</v>
      </c>
      <c r="BM1274" s="22" t="s">
        <v>138</v>
      </c>
      <c r="BN1274" s="17" t="s">
        <v>138</v>
      </c>
      <c r="BO1274" s="15" t="s">
        <v>138</v>
      </c>
      <c r="BP1274" s="17" t="s">
        <v>138</v>
      </c>
      <c r="BQ1274" s="15" t="s">
        <v>138</v>
      </c>
      <c r="BR1274" s="15" t="s">
        <v>262</v>
      </c>
      <c r="BS1274" s="15" t="s">
        <v>262</v>
      </c>
      <c r="BT1274" s="15" t="s">
        <v>138</v>
      </c>
      <c r="BU1274" s="15" t="s">
        <v>263</v>
      </c>
      <c r="BV1274" s="15" t="s">
        <v>138</v>
      </c>
      <c r="BW1274" s="15" t="s">
        <v>138</v>
      </c>
      <c r="BX1274" s="15" t="s">
        <v>138</v>
      </c>
      <c r="BY1274" s="15" t="s">
        <v>175</v>
      </c>
      <c r="BZ1274" s="22">
        <v>43367</v>
      </c>
      <c r="CA1274" s="17">
        <v>6.52</v>
      </c>
      <c r="CB1274" s="15" t="s">
        <v>172</v>
      </c>
      <c r="CC1274" s="17" t="s">
        <v>138</v>
      </c>
      <c r="CD1274" s="15" t="s">
        <v>138</v>
      </c>
      <c r="CE1274" s="15" t="s">
        <v>205</v>
      </c>
      <c r="CF1274" s="15" t="s">
        <v>206</v>
      </c>
      <c r="CG1274" s="15" t="s">
        <v>138</v>
      </c>
      <c r="CH1274" s="15" t="s">
        <v>174</v>
      </c>
      <c r="CI1274" s="15" t="s">
        <v>138</v>
      </c>
      <c r="CJ1274" s="15" t="s">
        <v>138</v>
      </c>
      <c r="CK1274" s="15" t="s">
        <v>138</v>
      </c>
      <c r="CL1274" s="15" t="s">
        <v>175</v>
      </c>
      <c r="CM1274" s="22" t="s">
        <v>138</v>
      </c>
      <c r="CN1274" s="17" t="s">
        <v>138</v>
      </c>
      <c r="CO1274" s="23">
        <v>0.62</v>
      </c>
      <c r="CP1274" s="24">
        <v>96</v>
      </c>
      <c r="CQ1274" s="23">
        <v>-0.14000000000000001</v>
      </c>
      <c r="CR1274" s="23">
        <v>-17.97</v>
      </c>
      <c r="CS1274" s="23" t="s">
        <v>138</v>
      </c>
      <c r="CT1274" s="24" t="s">
        <v>138</v>
      </c>
      <c r="CU1274" s="23">
        <v>0.62</v>
      </c>
      <c r="CV1274" s="24">
        <v>95</v>
      </c>
      <c r="CW1274" s="23" t="s">
        <v>138</v>
      </c>
      <c r="CX1274" s="24" t="s">
        <v>138</v>
      </c>
      <c r="CY1274" s="23" t="s">
        <v>138</v>
      </c>
      <c r="CZ1274" s="24" t="s">
        <v>138</v>
      </c>
      <c r="DA1274" s="23">
        <v>0.62</v>
      </c>
      <c r="DB1274" s="24">
        <v>96</v>
      </c>
      <c r="DC1274" s="25">
        <v>2.21</v>
      </c>
      <c r="DD1274" s="24">
        <v>69</v>
      </c>
      <c r="DE1274" s="25">
        <v>0.01</v>
      </c>
      <c r="DF1274" s="23">
        <v>0.56000000000000005</v>
      </c>
      <c r="DG1274" s="25" t="s">
        <v>138</v>
      </c>
      <c r="DH1274" s="24" t="s">
        <v>138</v>
      </c>
      <c r="DI1274" s="25">
        <v>2.21</v>
      </c>
      <c r="DJ1274" s="24">
        <v>64</v>
      </c>
      <c r="DK1274" s="25" t="s">
        <v>138</v>
      </c>
      <c r="DL1274" s="24" t="s">
        <v>138</v>
      </c>
      <c r="DM1274" s="25" t="s">
        <v>138</v>
      </c>
      <c r="DN1274" s="24" t="s">
        <v>138</v>
      </c>
      <c r="DO1274" s="25">
        <v>2.21</v>
      </c>
      <c r="DP1274" s="24">
        <v>66</v>
      </c>
      <c r="DQ1274" s="24">
        <v>136</v>
      </c>
      <c r="DR1274" s="26">
        <v>0</v>
      </c>
      <c r="DS1274" s="23">
        <v>0</v>
      </c>
      <c r="DT1274" s="24" t="s">
        <v>138</v>
      </c>
      <c r="DU1274" s="26" t="s">
        <v>138</v>
      </c>
      <c r="DV1274" s="23" t="s">
        <v>138</v>
      </c>
      <c r="DW1274" s="24">
        <v>790</v>
      </c>
      <c r="DX1274" s="27">
        <v>1</v>
      </c>
      <c r="DY1274" s="23">
        <v>0.13</v>
      </c>
      <c r="DZ1274" s="15" t="s">
        <v>178</v>
      </c>
      <c r="EA1274" s="22">
        <v>43622</v>
      </c>
      <c r="EB1274" s="17" t="s">
        <v>138</v>
      </c>
      <c r="EC1274" s="22" t="s">
        <v>138</v>
      </c>
      <c r="ED1274" s="15" t="s">
        <v>138</v>
      </c>
      <c r="EE1274" s="14" t="str">
        <f>HYPERLINK("https://my.pitchbook.com?c=171550-72", "View company online")</f>
        <v>View company online</v>
      </c>
    </row>
    <row r="1275" spans="1:135">
      <c r="A1275" s="28" t="s">
        <v>24669</v>
      </c>
      <c r="B1275" s="28" t="s">
        <v>24670</v>
      </c>
      <c r="C1275" s="28" t="s">
        <v>138</v>
      </c>
      <c r="D1275" s="28" t="s">
        <v>138</v>
      </c>
      <c r="E1275" s="28" t="s">
        <v>138</v>
      </c>
      <c r="F1275" s="28" t="s">
        <v>24669</v>
      </c>
      <c r="G1275" s="28" t="s">
        <v>24671</v>
      </c>
      <c r="H1275" s="28" t="s">
        <v>322</v>
      </c>
      <c r="I1275" s="28" t="s">
        <v>323</v>
      </c>
      <c r="J1275" s="28" t="s">
        <v>413</v>
      </c>
      <c r="K1275" s="28" t="s">
        <v>24672</v>
      </c>
      <c r="L1275" s="28" t="s">
        <v>2274</v>
      </c>
      <c r="M1275" s="28" t="s">
        <v>24673</v>
      </c>
      <c r="N1275" s="28" t="s">
        <v>147</v>
      </c>
      <c r="O1275" s="29" t="s">
        <v>138</v>
      </c>
      <c r="P1275" s="28" t="s">
        <v>148</v>
      </c>
      <c r="Q1275" s="28" t="s">
        <v>149</v>
      </c>
      <c r="R1275" s="28" t="s">
        <v>174</v>
      </c>
      <c r="S1275" s="28" t="s">
        <v>24674</v>
      </c>
      <c r="T1275" s="30" t="s">
        <v>138</v>
      </c>
      <c r="U1275" s="28" t="s">
        <v>138</v>
      </c>
      <c r="V1275" s="28" t="s">
        <v>138</v>
      </c>
      <c r="W1275" s="28" t="s">
        <v>138</v>
      </c>
      <c r="X1275" s="31">
        <v>2014</v>
      </c>
      <c r="Y1275" s="28" t="s">
        <v>138</v>
      </c>
      <c r="Z1275" s="28" t="s">
        <v>138</v>
      </c>
      <c r="AA1275" s="28" t="s">
        <v>138</v>
      </c>
      <c r="AB1275" s="32" t="s">
        <v>138</v>
      </c>
      <c r="AC1275" s="32" t="s">
        <v>138</v>
      </c>
      <c r="AD1275" s="32" t="s">
        <v>138</v>
      </c>
      <c r="AE1275" s="32" t="s">
        <v>138</v>
      </c>
      <c r="AF1275" s="32" t="s">
        <v>138</v>
      </c>
      <c r="AG1275" s="28" t="s">
        <v>138</v>
      </c>
      <c r="AH1275" s="32" t="s">
        <v>138</v>
      </c>
      <c r="AI1275" s="32" t="s">
        <v>138</v>
      </c>
      <c r="AJ1275" s="32" t="s">
        <v>138</v>
      </c>
      <c r="AK1275" s="28" t="s">
        <v>138</v>
      </c>
      <c r="AL1275" s="28" t="s">
        <v>138</v>
      </c>
      <c r="AM1275" s="28" t="s">
        <v>138</v>
      </c>
      <c r="AN1275" s="28" t="s">
        <v>138</v>
      </c>
      <c r="AO1275" s="28" t="s">
        <v>138</v>
      </c>
      <c r="AP1275" s="28" t="s">
        <v>4601</v>
      </c>
      <c r="AQ1275" s="28" t="s">
        <v>24675</v>
      </c>
      <c r="AR1275" s="28" t="s">
        <v>24676</v>
      </c>
      <c r="AS1275" s="28" t="s">
        <v>4604</v>
      </c>
      <c r="AT1275" s="28" t="s">
        <v>138</v>
      </c>
      <c r="AU1275" s="28" t="s">
        <v>138</v>
      </c>
      <c r="AV1275" s="28" t="s">
        <v>2071</v>
      </c>
      <c r="AW1275" s="28" t="s">
        <v>138</v>
      </c>
      <c r="AX1275" s="28" t="s">
        <v>138</v>
      </c>
      <c r="AY1275" s="28" t="s">
        <v>24677</v>
      </c>
      <c r="AZ1275" s="28" t="s">
        <v>452</v>
      </c>
      <c r="BA1275" s="28" t="s">
        <v>453</v>
      </c>
      <c r="BB1275" s="28" t="s">
        <v>24678</v>
      </c>
      <c r="BC1275" s="28" t="s">
        <v>24679</v>
      </c>
      <c r="BD1275" s="33">
        <v>2</v>
      </c>
      <c r="BE1275" s="28" t="s">
        <v>138</v>
      </c>
      <c r="BF1275" s="28" t="s">
        <v>138</v>
      </c>
      <c r="BG1275" s="28" t="s">
        <v>138</v>
      </c>
      <c r="BH1275" s="28" t="s">
        <v>24680</v>
      </c>
      <c r="BI1275" s="28" t="s">
        <v>138</v>
      </c>
      <c r="BJ1275" s="28" t="s">
        <v>138</v>
      </c>
      <c r="BK1275" s="28" t="s">
        <v>138</v>
      </c>
      <c r="BL1275" s="28" t="s">
        <v>138</v>
      </c>
      <c r="BM1275" s="34">
        <v>41926</v>
      </c>
      <c r="BN1275" s="29" t="s">
        <v>138</v>
      </c>
      <c r="BO1275" s="28" t="s">
        <v>138</v>
      </c>
      <c r="BP1275" s="29" t="s">
        <v>138</v>
      </c>
      <c r="BQ1275" s="28" t="s">
        <v>138</v>
      </c>
      <c r="BR1275" s="28" t="s">
        <v>316</v>
      </c>
      <c r="BS1275" s="28" t="s">
        <v>138</v>
      </c>
      <c r="BT1275" s="28" t="s">
        <v>138</v>
      </c>
      <c r="BU1275" s="28" t="s">
        <v>177</v>
      </c>
      <c r="BV1275" s="28" t="s">
        <v>138</v>
      </c>
      <c r="BW1275" s="28" t="s">
        <v>138</v>
      </c>
      <c r="BX1275" s="28" t="s">
        <v>138</v>
      </c>
      <c r="BY1275" s="28" t="s">
        <v>175</v>
      </c>
      <c r="BZ1275" s="34">
        <v>42095</v>
      </c>
      <c r="CA1275" s="29" t="s">
        <v>138</v>
      </c>
      <c r="CB1275" s="28" t="s">
        <v>138</v>
      </c>
      <c r="CC1275" s="29" t="s">
        <v>138</v>
      </c>
      <c r="CD1275" s="28" t="s">
        <v>138</v>
      </c>
      <c r="CE1275" s="28" t="s">
        <v>205</v>
      </c>
      <c r="CF1275" s="28" t="s">
        <v>138</v>
      </c>
      <c r="CG1275" s="28" t="s">
        <v>138</v>
      </c>
      <c r="CH1275" s="28" t="s">
        <v>174</v>
      </c>
      <c r="CI1275" s="28" t="s">
        <v>138</v>
      </c>
      <c r="CJ1275" s="28" t="s">
        <v>138</v>
      </c>
      <c r="CK1275" s="28" t="s">
        <v>138</v>
      </c>
      <c r="CL1275" s="28" t="s">
        <v>175</v>
      </c>
      <c r="CM1275" s="34" t="s">
        <v>138</v>
      </c>
      <c r="CN1275" s="29" t="s">
        <v>138</v>
      </c>
      <c r="CO1275" s="35">
        <v>0</v>
      </c>
      <c r="CP1275" s="36">
        <v>26</v>
      </c>
      <c r="CQ1275" s="35">
        <v>0</v>
      </c>
      <c r="CR1275" s="35">
        <v>0</v>
      </c>
      <c r="CS1275" s="35">
        <v>0</v>
      </c>
      <c r="CT1275" s="36">
        <v>23</v>
      </c>
      <c r="CU1275" s="35">
        <v>0</v>
      </c>
      <c r="CV1275" s="36">
        <v>22</v>
      </c>
      <c r="CW1275" s="35" t="s">
        <v>138</v>
      </c>
      <c r="CX1275" s="36" t="s">
        <v>138</v>
      </c>
      <c r="CY1275" s="35">
        <v>0</v>
      </c>
      <c r="CZ1275" s="36">
        <v>25</v>
      </c>
      <c r="DA1275" s="35">
        <v>0</v>
      </c>
      <c r="DB1275" s="36">
        <v>22</v>
      </c>
      <c r="DC1275" s="37">
        <v>0.17</v>
      </c>
      <c r="DD1275" s="36">
        <v>13</v>
      </c>
      <c r="DE1275" s="37">
        <v>0</v>
      </c>
      <c r="DF1275" s="35">
        <v>0.05</v>
      </c>
      <c r="DG1275" s="37">
        <v>0.31</v>
      </c>
      <c r="DH1275" s="36">
        <v>23</v>
      </c>
      <c r="DI1275" s="37">
        <v>0.03</v>
      </c>
      <c r="DJ1275" s="36">
        <v>5</v>
      </c>
      <c r="DK1275" s="37" t="s">
        <v>138</v>
      </c>
      <c r="DL1275" s="36" t="s">
        <v>138</v>
      </c>
      <c r="DM1275" s="37">
        <v>0.31</v>
      </c>
      <c r="DN1275" s="36">
        <v>24</v>
      </c>
      <c r="DO1275" s="37">
        <v>0.03</v>
      </c>
      <c r="DP1275" s="36">
        <v>6</v>
      </c>
      <c r="DQ1275" s="36" t="s">
        <v>138</v>
      </c>
      <c r="DR1275" s="38" t="s">
        <v>138</v>
      </c>
      <c r="DS1275" s="35" t="s">
        <v>138</v>
      </c>
      <c r="DT1275" s="36">
        <v>9</v>
      </c>
      <c r="DU1275" s="38">
        <v>0</v>
      </c>
      <c r="DV1275" s="35">
        <v>0</v>
      </c>
      <c r="DW1275" s="36">
        <v>11</v>
      </c>
      <c r="DX1275" s="39">
        <v>0</v>
      </c>
      <c r="DY1275" s="35">
        <v>0</v>
      </c>
      <c r="DZ1275" s="28" t="s">
        <v>178</v>
      </c>
      <c r="EA1275" s="34">
        <v>43351</v>
      </c>
      <c r="EB1275" s="29" t="s">
        <v>138</v>
      </c>
      <c r="EC1275" s="34" t="s">
        <v>138</v>
      </c>
      <c r="ED1275" s="28" t="s">
        <v>138</v>
      </c>
      <c r="EE1275" s="40" t="str">
        <f>HYPERLINK("https://my.pitchbook.com?c=98343-73", "View company online")</f>
        <v>View company online</v>
      </c>
    </row>
    <row r="1276" spans="1:135">
      <c r="A1276" s="15" t="s">
        <v>24681</v>
      </c>
      <c r="B1276" s="15" t="s">
        <v>24682</v>
      </c>
      <c r="C1276" s="15" t="s">
        <v>138</v>
      </c>
      <c r="D1276" s="15" t="s">
        <v>138</v>
      </c>
      <c r="E1276" s="15" t="s">
        <v>24683</v>
      </c>
      <c r="F1276" s="15" t="s">
        <v>24681</v>
      </c>
      <c r="G1276" s="15" t="s">
        <v>24684</v>
      </c>
      <c r="H1276" s="15" t="s">
        <v>322</v>
      </c>
      <c r="I1276" s="15" t="s">
        <v>323</v>
      </c>
      <c r="J1276" s="15" t="s">
        <v>539</v>
      </c>
      <c r="K1276" s="15" t="s">
        <v>9529</v>
      </c>
      <c r="L1276" s="15" t="s">
        <v>415</v>
      </c>
      <c r="M1276" s="15" t="s">
        <v>24685</v>
      </c>
      <c r="N1276" s="15" t="s">
        <v>147</v>
      </c>
      <c r="O1276" s="17">
        <v>8.1300000000000008</v>
      </c>
      <c r="P1276" s="15" t="s">
        <v>148</v>
      </c>
      <c r="Q1276" s="15" t="s">
        <v>149</v>
      </c>
      <c r="R1276" s="15" t="s">
        <v>174</v>
      </c>
      <c r="S1276" s="15" t="s">
        <v>24686</v>
      </c>
      <c r="T1276" s="18">
        <v>51</v>
      </c>
      <c r="U1276" s="15" t="s">
        <v>12556</v>
      </c>
      <c r="V1276" s="15" t="s">
        <v>138</v>
      </c>
      <c r="W1276" s="15" t="s">
        <v>138</v>
      </c>
      <c r="X1276" s="19">
        <v>2011</v>
      </c>
      <c r="Y1276" s="15" t="s">
        <v>138</v>
      </c>
      <c r="Z1276" s="15" t="s">
        <v>138</v>
      </c>
      <c r="AA1276" s="15" t="s">
        <v>138</v>
      </c>
      <c r="AB1276" s="20" t="s">
        <v>138</v>
      </c>
      <c r="AC1276" s="20" t="s">
        <v>138</v>
      </c>
      <c r="AD1276" s="20" t="s">
        <v>138</v>
      </c>
      <c r="AE1276" s="20" t="s">
        <v>138</v>
      </c>
      <c r="AF1276" s="20" t="s">
        <v>138</v>
      </c>
      <c r="AG1276" s="15" t="s">
        <v>138</v>
      </c>
      <c r="AH1276" s="20" t="s">
        <v>138</v>
      </c>
      <c r="AI1276" s="20" t="s">
        <v>138</v>
      </c>
      <c r="AJ1276" s="20" t="s">
        <v>138</v>
      </c>
      <c r="AK1276" s="15" t="s">
        <v>24687</v>
      </c>
      <c r="AL1276" s="15" t="s">
        <v>24688</v>
      </c>
      <c r="AM1276" s="15" t="s">
        <v>916</v>
      </c>
      <c r="AN1276" s="15" t="s">
        <v>138</v>
      </c>
      <c r="AO1276" s="15" t="s">
        <v>138</v>
      </c>
      <c r="AP1276" s="15" t="s">
        <v>1195</v>
      </c>
      <c r="AQ1276" s="15" t="s">
        <v>24689</v>
      </c>
      <c r="AR1276" s="15" t="s">
        <v>24690</v>
      </c>
      <c r="AS1276" s="15" t="s">
        <v>1198</v>
      </c>
      <c r="AT1276" s="15" t="s">
        <v>138</v>
      </c>
      <c r="AU1276" s="15" t="s">
        <v>24691</v>
      </c>
      <c r="AV1276" s="15" t="s">
        <v>1200</v>
      </c>
      <c r="AW1276" s="15" t="s">
        <v>138</v>
      </c>
      <c r="AX1276" s="15" t="s">
        <v>138</v>
      </c>
      <c r="AY1276" s="15" t="s">
        <v>138</v>
      </c>
      <c r="AZ1276" s="15" t="s">
        <v>452</v>
      </c>
      <c r="BA1276" s="15" t="s">
        <v>453</v>
      </c>
      <c r="BB1276" s="15" t="s">
        <v>24692</v>
      </c>
      <c r="BC1276" s="15" t="s">
        <v>24693</v>
      </c>
      <c r="BD1276" s="21">
        <v>6</v>
      </c>
      <c r="BE1276" s="15" t="s">
        <v>138</v>
      </c>
      <c r="BF1276" s="15" t="s">
        <v>138</v>
      </c>
      <c r="BG1276" s="15" t="s">
        <v>138</v>
      </c>
      <c r="BH1276" s="15" t="s">
        <v>24694</v>
      </c>
      <c r="BI1276" s="15" t="s">
        <v>138</v>
      </c>
      <c r="BJ1276" s="15" t="s">
        <v>138</v>
      </c>
      <c r="BK1276" s="15" t="s">
        <v>138</v>
      </c>
      <c r="BL1276" s="15" t="s">
        <v>138</v>
      </c>
      <c r="BM1276" s="22">
        <v>41616</v>
      </c>
      <c r="BN1276" s="17">
        <v>1</v>
      </c>
      <c r="BO1276" s="15" t="s">
        <v>172</v>
      </c>
      <c r="BP1276" s="17" t="s">
        <v>138</v>
      </c>
      <c r="BQ1276" s="15" t="s">
        <v>138</v>
      </c>
      <c r="BR1276" s="15" t="s">
        <v>205</v>
      </c>
      <c r="BS1276" s="15" t="s">
        <v>206</v>
      </c>
      <c r="BT1276" s="15" t="s">
        <v>138</v>
      </c>
      <c r="BU1276" s="15" t="s">
        <v>174</v>
      </c>
      <c r="BV1276" s="15" t="s">
        <v>138</v>
      </c>
      <c r="BW1276" s="15" t="s">
        <v>138</v>
      </c>
      <c r="BX1276" s="15" t="s">
        <v>138</v>
      </c>
      <c r="BY1276" s="15" t="s">
        <v>175</v>
      </c>
      <c r="BZ1276" s="22">
        <v>42852</v>
      </c>
      <c r="CA1276" s="17">
        <v>3.61</v>
      </c>
      <c r="CB1276" s="15" t="s">
        <v>172</v>
      </c>
      <c r="CC1276" s="17" t="s">
        <v>138</v>
      </c>
      <c r="CD1276" s="15" t="s">
        <v>138</v>
      </c>
      <c r="CE1276" s="15" t="s">
        <v>173</v>
      </c>
      <c r="CF1276" s="15" t="s">
        <v>317</v>
      </c>
      <c r="CG1276" s="15" t="s">
        <v>138</v>
      </c>
      <c r="CH1276" s="15" t="s">
        <v>174</v>
      </c>
      <c r="CI1276" s="15" t="s">
        <v>138</v>
      </c>
      <c r="CJ1276" s="15" t="s">
        <v>138</v>
      </c>
      <c r="CK1276" s="15" t="s">
        <v>138</v>
      </c>
      <c r="CL1276" s="15" t="s">
        <v>175</v>
      </c>
      <c r="CM1276" s="22" t="s">
        <v>138</v>
      </c>
      <c r="CN1276" s="17" t="s">
        <v>138</v>
      </c>
      <c r="CO1276" s="23">
        <v>0.24</v>
      </c>
      <c r="CP1276" s="24">
        <v>93</v>
      </c>
      <c r="CQ1276" s="23">
        <v>0.01</v>
      </c>
      <c r="CR1276" s="23">
        <v>4.8</v>
      </c>
      <c r="CS1276" s="23">
        <v>0</v>
      </c>
      <c r="CT1276" s="24">
        <v>23</v>
      </c>
      <c r="CU1276" s="23">
        <v>0.49</v>
      </c>
      <c r="CV1276" s="24">
        <v>93</v>
      </c>
      <c r="CW1276" s="23">
        <v>0</v>
      </c>
      <c r="CX1276" s="24">
        <v>13</v>
      </c>
      <c r="CY1276" s="23" t="s">
        <v>138</v>
      </c>
      <c r="CZ1276" s="24" t="s">
        <v>138</v>
      </c>
      <c r="DA1276" s="23">
        <v>0.91</v>
      </c>
      <c r="DB1276" s="24">
        <v>98</v>
      </c>
      <c r="DC1276" s="25">
        <v>6.4</v>
      </c>
      <c r="DD1276" s="24">
        <v>86</v>
      </c>
      <c r="DE1276" s="25">
        <v>0</v>
      </c>
      <c r="DF1276" s="23">
        <v>0.05</v>
      </c>
      <c r="DG1276" s="25">
        <v>0.87</v>
      </c>
      <c r="DH1276" s="24">
        <v>48</v>
      </c>
      <c r="DI1276" s="25">
        <v>11.93</v>
      </c>
      <c r="DJ1276" s="24">
        <v>87</v>
      </c>
      <c r="DK1276" s="25">
        <v>0.87</v>
      </c>
      <c r="DL1276" s="24">
        <v>47</v>
      </c>
      <c r="DM1276" s="25" t="s">
        <v>138</v>
      </c>
      <c r="DN1276" s="24" t="s">
        <v>138</v>
      </c>
      <c r="DO1276" s="25">
        <v>14.83</v>
      </c>
      <c r="DP1276" s="24">
        <v>90</v>
      </c>
      <c r="DQ1276" s="24">
        <v>338</v>
      </c>
      <c r="DR1276" s="26">
        <v>-114</v>
      </c>
      <c r="DS1276" s="23">
        <v>-25.22</v>
      </c>
      <c r="DT1276" s="24" t="s">
        <v>138</v>
      </c>
      <c r="DU1276" s="26" t="s">
        <v>138</v>
      </c>
      <c r="DV1276" s="23" t="s">
        <v>138</v>
      </c>
      <c r="DW1276" s="24">
        <v>5285</v>
      </c>
      <c r="DX1276" s="27">
        <v>54</v>
      </c>
      <c r="DY1276" s="23">
        <v>1.03</v>
      </c>
      <c r="DZ1276" s="15" t="s">
        <v>178</v>
      </c>
      <c r="EA1276" s="22">
        <v>43579</v>
      </c>
      <c r="EB1276" s="17" t="s">
        <v>138</v>
      </c>
      <c r="EC1276" s="22" t="s">
        <v>138</v>
      </c>
      <c r="ED1276" s="15" t="s">
        <v>138</v>
      </c>
      <c r="EE1276" s="14" t="str">
        <f>HYPERLINK("https://my.pitchbook.com?c=84502-81", "View company online")</f>
        <v>View company online</v>
      </c>
    </row>
    <row r="1277" spans="1:135">
      <c r="A1277" s="28" t="s">
        <v>24695</v>
      </c>
      <c r="B1277" s="28" t="s">
        <v>24696</v>
      </c>
      <c r="C1277" s="28" t="s">
        <v>138</v>
      </c>
      <c r="D1277" s="28" t="s">
        <v>138</v>
      </c>
      <c r="E1277" s="28" t="s">
        <v>24697</v>
      </c>
      <c r="F1277" s="28" t="s">
        <v>24695</v>
      </c>
      <c r="G1277" s="28" t="s">
        <v>24698</v>
      </c>
      <c r="H1277" s="28" t="s">
        <v>238</v>
      </c>
      <c r="I1277" s="28" t="s">
        <v>749</v>
      </c>
      <c r="J1277" s="28" t="s">
        <v>4261</v>
      </c>
      <c r="K1277" s="28" t="s">
        <v>5732</v>
      </c>
      <c r="L1277" s="28" t="s">
        <v>752</v>
      </c>
      <c r="M1277" s="28" t="s">
        <v>24699</v>
      </c>
      <c r="N1277" s="28" t="s">
        <v>147</v>
      </c>
      <c r="O1277" s="29">
        <v>39.25</v>
      </c>
      <c r="P1277" s="28" t="s">
        <v>812</v>
      </c>
      <c r="Q1277" s="28" t="s">
        <v>149</v>
      </c>
      <c r="R1277" s="28" t="s">
        <v>244</v>
      </c>
      <c r="S1277" s="28" t="s">
        <v>24700</v>
      </c>
      <c r="T1277" s="30">
        <v>19</v>
      </c>
      <c r="U1277" s="28" t="s">
        <v>24701</v>
      </c>
      <c r="V1277" s="28" t="s">
        <v>138</v>
      </c>
      <c r="W1277" s="28" t="s">
        <v>138</v>
      </c>
      <c r="X1277" s="31">
        <v>2006</v>
      </c>
      <c r="Y1277" s="28" t="s">
        <v>138</v>
      </c>
      <c r="Z1277" s="28" t="s">
        <v>138</v>
      </c>
      <c r="AA1277" s="28" t="s">
        <v>138</v>
      </c>
      <c r="AB1277" s="32">
        <v>50</v>
      </c>
      <c r="AC1277" s="32" t="s">
        <v>138</v>
      </c>
      <c r="AD1277" s="32" t="s">
        <v>138</v>
      </c>
      <c r="AE1277" s="32" t="s">
        <v>138</v>
      </c>
      <c r="AF1277" s="32" t="s">
        <v>138</v>
      </c>
      <c r="AG1277" s="28" t="s">
        <v>514</v>
      </c>
      <c r="AH1277" s="32" t="s">
        <v>138</v>
      </c>
      <c r="AI1277" s="32" t="s">
        <v>138</v>
      </c>
      <c r="AJ1277" s="32" t="s">
        <v>138</v>
      </c>
      <c r="AK1277" s="28" t="s">
        <v>24702</v>
      </c>
      <c r="AL1277" s="28" t="s">
        <v>24703</v>
      </c>
      <c r="AM1277" s="28" t="s">
        <v>566</v>
      </c>
      <c r="AN1277" s="28" t="s">
        <v>24704</v>
      </c>
      <c r="AO1277" s="28" t="s">
        <v>24705</v>
      </c>
      <c r="AP1277" s="28" t="s">
        <v>6230</v>
      </c>
      <c r="AQ1277" s="28" t="s">
        <v>24706</v>
      </c>
      <c r="AR1277" s="28" t="s">
        <v>138</v>
      </c>
      <c r="AS1277" s="28" t="s">
        <v>6232</v>
      </c>
      <c r="AT1277" s="28" t="s">
        <v>371</v>
      </c>
      <c r="AU1277" s="28" t="s">
        <v>24707</v>
      </c>
      <c r="AV1277" s="28" t="s">
        <v>162</v>
      </c>
      <c r="AW1277" s="28" t="s">
        <v>24705</v>
      </c>
      <c r="AX1277" s="28" t="s">
        <v>138</v>
      </c>
      <c r="AY1277" s="28" t="s">
        <v>24708</v>
      </c>
      <c r="AZ1277" s="28" t="s">
        <v>164</v>
      </c>
      <c r="BA1277" s="28" t="s">
        <v>165</v>
      </c>
      <c r="BB1277" s="28" t="s">
        <v>24709</v>
      </c>
      <c r="BC1277" s="28" t="s">
        <v>24710</v>
      </c>
      <c r="BD1277" s="33">
        <v>4</v>
      </c>
      <c r="BE1277" s="28" t="s">
        <v>138</v>
      </c>
      <c r="BF1277" s="28" t="s">
        <v>138</v>
      </c>
      <c r="BG1277" s="28" t="s">
        <v>138</v>
      </c>
      <c r="BH1277" s="28" t="s">
        <v>24711</v>
      </c>
      <c r="BI1277" s="28" t="s">
        <v>138</v>
      </c>
      <c r="BJ1277" s="28" t="s">
        <v>138</v>
      </c>
      <c r="BK1277" s="28" t="s">
        <v>13252</v>
      </c>
      <c r="BL1277" s="28" t="s">
        <v>24712</v>
      </c>
      <c r="BM1277" s="34">
        <v>39667</v>
      </c>
      <c r="BN1277" s="29">
        <v>19</v>
      </c>
      <c r="BO1277" s="28" t="s">
        <v>172</v>
      </c>
      <c r="BP1277" s="29" t="s">
        <v>138</v>
      </c>
      <c r="BQ1277" s="28" t="s">
        <v>138</v>
      </c>
      <c r="BR1277" s="28" t="s">
        <v>205</v>
      </c>
      <c r="BS1277" s="28" t="s">
        <v>138</v>
      </c>
      <c r="BT1277" s="28" t="s">
        <v>138</v>
      </c>
      <c r="BU1277" s="28" t="s">
        <v>174</v>
      </c>
      <c r="BV1277" s="28" t="s">
        <v>138</v>
      </c>
      <c r="BW1277" s="28" t="s">
        <v>138</v>
      </c>
      <c r="BX1277" s="28" t="s">
        <v>138</v>
      </c>
      <c r="BY1277" s="28" t="s">
        <v>175</v>
      </c>
      <c r="BZ1277" s="34">
        <v>43272</v>
      </c>
      <c r="CA1277" s="29">
        <v>12</v>
      </c>
      <c r="CB1277" s="28" t="s">
        <v>172</v>
      </c>
      <c r="CC1277" s="29" t="s">
        <v>138</v>
      </c>
      <c r="CD1277" s="28" t="s">
        <v>138</v>
      </c>
      <c r="CE1277" s="28" t="s">
        <v>173</v>
      </c>
      <c r="CF1277" s="28" t="s">
        <v>433</v>
      </c>
      <c r="CG1277" s="28" t="s">
        <v>138</v>
      </c>
      <c r="CH1277" s="28" t="s">
        <v>174</v>
      </c>
      <c r="CI1277" s="28" t="s">
        <v>138</v>
      </c>
      <c r="CJ1277" s="28" t="s">
        <v>138</v>
      </c>
      <c r="CK1277" s="28" t="s">
        <v>138</v>
      </c>
      <c r="CL1277" s="28" t="s">
        <v>175</v>
      </c>
      <c r="CM1277" s="34">
        <v>41092</v>
      </c>
      <c r="CN1277" s="29" t="s">
        <v>138</v>
      </c>
      <c r="CO1277" s="35">
        <v>0</v>
      </c>
      <c r="CP1277" s="36">
        <v>26</v>
      </c>
      <c r="CQ1277" s="35">
        <v>0.01</v>
      </c>
      <c r="CR1277" s="35">
        <v>132.21</v>
      </c>
      <c r="CS1277" s="35">
        <v>0.02</v>
      </c>
      <c r="CT1277" s="36">
        <v>93</v>
      </c>
      <c r="CU1277" s="35">
        <v>-0.01</v>
      </c>
      <c r="CV1277" s="36">
        <v>20</v>
      </c>
      <c r="CW1277" s="35">
        <v>5.08</v>
      </c>
      <c r="CX1277" s="36">
        <v>96</v>
      </c>
      <c r="CY1277" s="35">
        <v>-5.04</v>
      </c>
      <c r="CZ1277" s="36">
        <v>3</v>
      </c>
      <c r="DA1277" s="35">
        <v>-0.01</v>
      </c>
      <c r="DB1277" s="36">
        <v>21</v>
      </c>
      <c r="DC1277" s="37">
        <v>42.24</v>
      </c>
      <c r="DD1277" s="36">
        <v>97</v>
      </c>
      <c r="DE1277" s="37">
        <v>-0.4</v>
      </c>
      <c r="DF1277" s="35">
        <v>-0.95</v>
      </c>
      <c r="DG1277" s="37">
        <v>20.5</v>
      </c>
      <c r="DH1277" s="36">
        <v>95</v>
      </c>
      <c r="DI1277" s="37">
        <v>63.98</v>
      </c>
      <c r="DJ1277" s="36">
        <v>96</v>
      </c>
      <c r="DK1277" s="37">
        <v>16.79</v>
      </c>
      <c r="DL1277" s="36">
        <v>91</v>
      </c>
      <c r="DM1277" s="37">
        <v>24.21</v>
      </c>
      <c r="DN1277" s="36">
        <v>95</v>
      </c>
      <c r="DO1277" s="37">
        <v>63.98</v>
      </c>
      <c r="DP1277" s="36">
        <v>97</v>
      </c>
      <c r="DQ1277" s="36">
        <v>5699</v>
      </c>
      <c r="DR1277" s="38">
        <v>183</v>
      </c>
      <c r="DS1277" s="35">
        <v>3.32</v>
      </c>
      <c r="DT1277" s="36">
        <v>702</v>
      </c>
      <c r="DU1277" s="38">
        <v>-1</v>
      </c>
      <c r="DV1277" s="35">
        <v>-0.14000000000000001</v>
      </c>
      <c r="DW1277" s="36">
        <v>22914</v>
      </c>
      <c r="DX1277" s="39">
        <v>-7</v>
      </c>
      <c r="DY1277" s="35">
        <v>-0.03</v>
      </c>
      <c r="DZ1277" s="28" t="s">
        <v>178</v>
      </c>
      <c r="EA1277" s="34">
        <v>43599</v>
      </c>
      <c r="EB1277" s="29" t="s">
        <v>138</v>
      </c>
      <c r="EC1277" s="34" t="s">
        <v>138</v>
      </c>
      <c r="ED1277" s="28" t="s">
        <v>138</v>
      </c>
      <c r="EE1277" s="40" t="str">
        <f>HYPERLINK("https://my.pitchbook.com?c=53340-40", "View company online")</f>
        <v>View company online</v>
      </c>
    </row>
    <row r="1278" spans="1:135">
      <c r="A1278" s="15" t="s">
        <v>24713</v>
      </c>
      <c r="B1278" s="15" t="s">
        <v>24714</v>
      </c>
      <c r="C1278" s="15" t="s">
        <v>138</v>
      </c>
      <c r="D1278" s="15" t="s">
        <v>138</v>
      </c>
      <c r="E1278" s="15" t="s">
        <v>24715</v>
      </c>
      <c r="F1278" s="15" t="s">
        <v>24713</v>
      </c>
      <c r="G1278" s="15" t="s">
        <v>24716</v>
      </c>
      <c r="H1278" s="15" t="s">
        <v>238</v>
      </c>
      <c r="I1278" s="15" t="s">
        <v>749</v>
      </c>
      <c r="J1278" s="15" t="s">
        <v>750</v>
      </c>
      <c r="K1278" s="15" t="s">
        <v>751</v>
      </c>
      <c r="L1278" s="15" t="s">
        <v>752</v>
      </c>
      <c r="M1278" s="15" t="s">
        <v>24717</v>
      </c>
      <c r="N1278" s="15" t="s">
        <v>147</v>
      </c>
      <c r="O1278" s="17">
        <v>17.8</v>
      </c>
      <c r="P1278" s="15" t="s">
        <v>148</v>
      </c>
      <c r="Q1278" s="15" t="s">
        <v>149</v>
      </c>
      <c r="R1278" s="15" t="s">
        <v>174</v>
      </c>
      <c r="S1278" s="15" t="s">
        <v>24718</v>
      </c>
      <c r="T1278" s="18">
        <v>15</v>
      </c>
      <c r="U1278" s="15" t="s">
        <v>24719</v>
      </c>
      <c r="V1278" s="15" t="s">
        <v>138</v>
      </c>
      <c r="W1278" s="15" t="s">
        <v>138</v>
      </c>
      <c r="X1278" s="19">
        <v>2014</v>
      </c>
      <c r="Y1278" s="15" t="s">
        <v>138</v>
      </c>
      <c r="Z1278" s="15" t="s">
        <v>138</v>
      </c>
      <c r="AA1278" s="15" t="s">
        <v>138</v>
      </c>
      <c r="AB1278" s="20" t="s">
        <v>138</v>
      </c>
      <c r="AC1278" s="20" t="s">
        <v>138</v>
      </c>
      <c r="AD1278" s="20" t="s">
        <v>138</v>
      </c>
      <c r="AE1278" s="20" t="s">
        <v>138</v>
      </c>
      <c r="AF1278" s="20" t="s">
        <v>138</v>
      </c>
      <c r="AG1278" s="15" t="s">
        <v>138</v>
      </c>
      <c r="AH1278" s="20" t="s">
        <v>138</v>
      </c>
      <c r="AI1278" s="20" t="s">
        <v>138</v>
      </c>
      <c r="AJ1278" s="20" t="s">
        <v>138</v>
      </c>
      <c r="AK1278" s="15" t="s">
        <v>24720</v>
      </c>
      <c r="AL1278" s="15" t="s">
        <v>24721</v>
      </c>
      <c r="AM1278" s="15" t="s">
        <v>938</v>
      </c>
      <c r="AN1278" s="15" t="s">
        <v>24722</v>
      </c>
      <c r="AO1278" s="15" t="s">
        <v>24723</v>
      </c>
      <c r="AP1278" s="15" t="s">
        <v>6402</v>
      </c>
      <c r="AQ1278" s="15" t="s">
        <v>24724</v>
      </c>
      <c r="AR1278" s="15" t="s">
        <v>2095</v>
      </c>
      <c r="AS1278" s="15" t="s">
        <v>6404</v>
      </c>
      <c r="AT1278" s="15" t="s">
        <v>200</v>
      </c>
      <c r="AU1278" s="15" t="s">
        <v>24725</v>
      </c>
      <c r="AV1278" s="15" t="s">
        <v>162</v>
      </c>
      <c r="AW1278" s="15" t="s">
        <v>24723</v>
      </c>
      <c r="AX1278" s="15" t="s">
        <v>138</v>
      </c>
      <c r="AY1278" s="15" t="s">
        <v>138</v>
      </c>
      <c r="AZ1278" s="15" t="s">
        <v>164</v>
      </c>
      <c r="BA1278" s="15" t="s">
        <v>165</v>
      </c>
      <c r="BB1278" s="15" t="s">
        <v>24726</v>
      </c>
      <c r="BC1278" s="15" t="s">
        <v>24727</v>
      </c>
      <c r="BD1278" s="21">
        <v>4</v>
      </c>
      <c r="BE1278" s="15" t="s">
        <v>138</v>
      </c>
      <c r="BF1278" s="15" t="s">
        <v>138</v>
      </c>
      <c r="BG1278" s="15" t="s">
        <v>138</v>
      </c>
      <c r="BH1278" s="15" t="s">
        <v>24728</v>
      </c>
      <c r="BI1278" s="15" t="s">
        <v>138</v>
      </c>
      <c r="BJ1278" s="15" t="s">
        <v>138</v>
      </c>
      <c r="BK1278" s="15" t="s">
        <v>24729</v>
      </c>
      <c r="BL1278" s="15" t="s">
        <v>15319</v>
      </c>
      <c r="BM1278" s="22">
        <v>42437</v>
      </c>
      <c r="BN1278" s="17">
        <v>2.1</v>
      </c>
      <c r="BO1278" s="15" t="s">
        <v>172</v>
      </c>
      <c r="BP1278" s="17" t="s">
        <v>138</v>
      </c>
      <c r="BQ1278" s="15" t="s">
        <v>138</v>
      </c>
      <c r="BR1278" s="15" t="s">
        <v>205</v>
      </c>
      <c r="BS1278" s="15" t="s">
        <v>138</v>
      </c>
      <c r="BT1278" s="15" t="s">
        <v>138</v>
      </c>
      <c r="BU1278" s="15" t="s">
        <v>174</v>
      </c>
      <c r="BV1278" s="15" t="s">
        <v>138</v>
      </c>
      <c r="BW1278" s="15" t="s">
        <v>138</v>
      </c>
      <c r="BX1278" s="15" t="s">
        <v>138</v>
      </c>
      <c r="BY1278" s="15" t="s">
        <v>175</v>
      </c>
      <c r="BZ1278" s="22">
        <v>43522</v>
      </c>
      <c r="CA1278" s="17">
        <v>8</v>
      </c>
      <c r="CB1278" s="15" t="s">
        <v>172</v>
      </c>
      <c r="CC1278" s="17" t="s">
        <v>138</v>
      </c>
      <c r="CD1278" s="15" t="s">
        <v>138</v>
      </c>
      <c r="CE1278" s="15" t="s">
        <v>205</v>
      </c>
      <c r="CF1278" s="15" t="s">
        <v>138</v>
      </c>
      <c r="CG1278" s="15" t="s">
        <v>138</v>
      </c>
      <c r="CH1278" s="15" t="s">
        <v>174</v>
      </c>
      <c r="CI1278" s="15" t="s">
        <v>138</v>
      </c>
      <c r="CJ1278" s="15" t="s">
        <v>138</v>
      </c>
      <c r="CK1278" s="15" t="s">
        <v>138</v>
      </c>
      <c r="CL1278" s="15" t="s">
        <v>175</v>
      </c>
      <c r="CM1278" s="22" t="s">
        <v>138</v>
      </c>
      <c r="CN1278" s="17" t="s">
        <v>138</v>
      </c>
      <c r="CO1278" s="23">
        <v>1.27</v>
      </c>
      <c r="CP1278" s="24">
        <v>98</v>
      </c>
      <c r="CQ1278" s="23">
        <v>0.01</v>
      </c>
      <c r="CR1278" s="23">
        <v>1</v>
      </c>
      <c r="CS1278" s="23">
        <v>3.78</v>
      </c>
      <c r="CT1278" s="24">
        <v>100</v>
      </c>
      <c r="CU1278" s="23">
        <v>0.03</v>
      </c>
      <c r="CV1278" s="24">
        <v>54</v>
      </c>
      <c r="CW1278" s="23">
        <v>5.46</v>
      </c>
      <c r="CX1278" s="24">
        <v>96</v>
      </c>
      <c r="CY1278" s="23">
        <v>2.1</v>
      </c>
      <c r="CZ1278" s="24">
        <v>100</v>
      </c>
      <c r="DA1278" s="23">
        <v>0.08</v>
      </c>
      <c r="DB1278" s="24">
        <v>69</v>
      </c>
      <c r="DC1278" s="25">
        <v>6.32</v>
      </c>
      <c r="DD1278" s="24">
        <v>85</v>
      </c>
      <c r="DE1278" s="25">
        <v>-0.08</v>
      </c>
      <c r="DF1278" s="23">
        <v>-1.24</v>
      </c>
      <c r="DG1278" s="25">
        <v>6.82</v>
      </c>
      <c r="DH1278" s="24">
        <v>86</v>
      </c>
      <c r="DI1278" s="25">
        <v>12.11</v>
      </c>
      <c r="DJ1278" s="24">
        <v>87</v>
      </c>
      <c r="DK1278" s="25">
        <v>4.53</v>
      </c>
      <c r="DL1278" s="24">
        <v>78</v>
      </c>
      <c r="DM1278" s="25">
        <v>9.1</v>
      </c>
      <c r="DN1278" s="24">
        <v>88</v>
      </c>
      <c r="DO1278" s="25">
        <v>3.54</v>
      </c>
      <c r="DP1278" s="24">
        <v>74</v>
      </c>
      <c r="DQ1278" s="24">
        <v>1528</v>
      </c>
      <c r="DR1278" s="26">
        <v>79</v>
      </c>
      <c r="DS1278" s="23">
        <v>5.45</v>
      </c>
      <c r="DT1278" s="24">
        <v>263</v>
      </c>
      <c r="DU1278" s="26">
        <v>5</v>
      </c>
      <c r="DV1278" s="23">
        <v>1.94</v>
      </c>
      <c r="DW1278" s="24">
        <v>1267</v>
      </c>
      <c r="DX1278" s="27">
        <v>1</v>
      </c>
      <c r="DY1278" s="23">
        <v>0.08</v>
      </c>
      <c r="DZ1278" s="15" t="s">
        <v>178</v>
      </c>
      <c r="EA1278" s="22">
        <v>43581</v>
      </c>
      <c r="EB1278" s="17" t="s">
        <v>138</v>
      </c>
      <c r="EC1278" s="22" t="s">
        <v>138</v>
      </c>
      <c r="ED1278" s="15" t="s">
        <v>138</v>
      </c>
      <c r="EE1278" s="14" t="str">
        <f>HYPERLINK("https://my.pitchbook.com?c=155187-28", "View company online")</f>
        <v>View company online</v>
      </c>
    </row>
    <row r="1279" spans="1:135">
      <c r="A1279" s="28" t="s">
        <v>24730</v>
      </c>
      <c r="B1279" s="28" t="s">
        <v>24731</v>
      </c>
      <c r="C1279" s="28" t="s">
        <v>138</v>
      </c>
      <c r="D1279" s="28" t="s">
        <v>24732</v>
      </c>
      <c r="E1279" s="28" t="s">
        <v>24733</v>
      </c>
      <c r="F1279" s="28" t="s">
        <v>24730</v>
      </c>
      <c r="G1279" s="28" t="s">
        <v>24734</v>
      </c>
      <c r="H1279" s="28" t="s">
        <v>322</v>
      </c>
      <c r="I1279" s="28" t="s">
        <v>323</v>
      </c>
      <c r="J1279" s="28" t="s">
        <v>324</v>
      </c>
      <c r="K1279" s="28" t="s">
        <v>3226</v>
      </c>
      <c r="L1279" s="28" t="s">
        <v>2835</v>
      </c>
      <c r="M1279" s="28" t="s">
        <v>24735</v>
      </c>
      <c r="N1279" s="28" t="s">
        <v>147</v>
      </c>
      <c r="O1279" s="29">
        <v>68</v>
      </c>
      <c r="P1279" s="28" t="s">
        <v>148</v>
      </c>
      <c r="Q1279" s="28" t="s">
        <v>149</v>
      </c>
      <c r="R1279" s="28" t="s">
        <v>174</v>
      </c>
      <c r="S1279" s="28" t="s">
        <v>24736</v>
      </c>
      <c r="T1279" s="30">
        <v>120</v>
      </c>
      <c r="U1279" s="28" t="s">
        <v>24737</v>
      </c>
      <c r="V1279" s="28" t="s">
        <v>138</v>
      </c>
      <c r="W1279" s="28" t="s">
        <v>138</v>
      </c>
      <c r="X1279" s="31">
        <v>2015</v>
      </c>
      <c r="Y1279" s="28" t="s">
        <v>138</v>
      </c>
      <c r="Z1279" s="28" t="s">
        <v>138</v>
      </c>
      <c r="AA1279" s="28" t="s">
        <v>138</v>
      </c>
      <c r="AB1279" s="32" t="s">
        <v>138</v>
      </c>
      <c r="AC1279" s="32" t="s">
        <v>138</v>
      </c>
      <c r="AD1279" s="32" t="s">
        <v>138</v>
      </c>
      <c r="AE1279" s="32" t="s">
        <v>138</v>
      </c>
      <c r="AF1279" s="32" t="s">
        <v>138</v>
      </c>
      <c r="AG1279" s="28" t="s">
        <v>138</v>
      </c>
      <c r="AH1279" s="32" t="s">
        <v>138</v>
      </c>
      <c r="AI1279" s="32" t="s">
        <v>138</v>
      </c>
      <c r="AJ1279" s="32" t="s">
        <v>138</v>
      </c>
      <c r="AK1279" s="28" t="s">
        <v>24738</v>
      </c>
      <c r="AL1279" s="28" t="s">
        <v>24739</v>
      </c>
      <c r="AM1279" s="28" t="s">
        <v>221</v>
      </c>
      <c r="AN1279" s="28" t="s">
        <v>24740</v>
      </c>
      <c r="AO1279" s="28" t="s">
        <v>138</v>
      </c>
      <c r="AP1279" s="28" t="s">
        <v>665</v>
      </c>
      <c r="AQ1279" s="28" t="s">
        <v>24741</v>
      </c>
      <c r="AR1279" s="28" t="s">
        <v>9870</v>
      </c>
      <c r="AS1279" s="28" t="s">
        <v>668</v>
      </c>
      <c r="AT1279" s="28" t="s">
        <v>200</v>
      </c>
      <c r="AU1279" s="28" t="s">
        <v>691</v>
      </c>
      <c r="AV1279" s="28" t="s">
        <v>162</v>
      </c>
      <c r="AW1279" s="28" t="s">
        <v>138</v>
      </c>
      <c r="AX1279" s="28" t="s">
        <v>138</v>
      </c>
      <c r="AY1279" s="28" t="s">
        <v>24742</v>
      </c>
      <c r="AZ1279" s="28" t="s">
        <v>164</v>
      </c>
      <c r="BA1279" s="28" t="s">
        <v>165</v>
      </c>
      <c r="BB1279" s="28" t="s">
        <v>24743</v>
      </c>
      <c r="BC1279" s="28" t="s">
        <v>24744</v>
      </c>
      <c r="BD1279" s="33">
        <v>8</v>
      </c>
      <c r="BE1279" s="28" t="s">
        <v>138</v>
      </c>
      <c r="BF1279" s="28" t="s">
        <v>138</v>
      </c>
      <c r="BG1279" s="28" t="s">
        <v>138</v>
      </c>
      <c r="BH1279" s="28" t="s">
        <v>24745</v>
      </c>
      <c r="BI1279" s="28" t="s">
        <v>138</v>
      </c>
      <c r="BJ1279" s="28" t="s">
        <v>138</v>
      </c>
      <c r="BK1279" s="28" t="s">
        <v>2549</v>
      </c>
      <c r="BL1279" s="28" t="s">
        <v>1251</v>
      </c>
      <c r="BM1279" s="34">
        <v>42542</v>
      </c>
      <c r="BN1279" s="29">
        <v>6</v>
      </c>
      <c r="BO1279" s="28" t="s">
        <v>172</v>
      </c>
      <c r="BP1279" s="29" t="s">
        <v>138</v>
      </c>
      <c r="BQ1279" s="28" t="s">
        <v>138</v>
      </c>
      <c r="BR1279" s="28" t="s">
        <v>205</v>
      </c>
      <c r="BS1279" s="28" t="s">
        <v>206</v>
      </c>
      <c r="BT1279" s="28" t="s">
        <v>138</v>
      </c>
      <c r="BU1279" s="28" t="s">
        <v>174</v>
      </c>
      <c r="BV1279" s="28" t="s">
        <v>138</v>
      </c>
      <c r="BW1279" s="28" t="s">
        <v>138</v>
      </c>
      <c r="BX1279" s="28" t="s">
        <v>138</v>
      </c>
      <c r="BY1279" s="28" t="s">
        <v>175</v>
      </c>
      <c r="BZ1279" s="34">
        <v>43482</v>
      </c>
      <c r="CA1279" s="29">
        <v>40</v>
      </c>
      <c r="CB1279" s="28" t="s">
        <v>172</v>
      </c>
      <c r="CC1279" s="29" t="s">
        <v>138</v>
      </c>
      <c r="CD1279" s="28" t="s">
        <v>138</v>
      </c>
      <c r="CE1279" s="28" t="s">
        <v>205</v>
      </c>
      <c r="CF1279" s="28" t="s">
        <v>720</v>
      </c>
      <c r="CG1279" s="28" t="s">
        <v>138</v>
      </c>
      <c r="CH1279" s="28" t="s">
        <v>174</v>
      </c>
      <c r="CI1279" s="28" t="s">
        <v>138</v>
      </c>
      <c r="CJ1279" s="28" t="s">
        <v>138</v>
      </c>
      <c r="CK1279" s="28" t="s">
        <v>138</v>
      </c>
      <c r="CL1279" s="28" t="s">
        <v>175</v>
      </c>
      <c r="CM1279" s="34" t="s">
        <v>138</v>
      </c>
      <c r="CN1279" s="29" t="s">
        <v>138</v>
      </c>
      <c r="CO1279" s="35">
        <v>0.86</v>
      </c>
      <c r="CP1279" s="36">
        <v>97</v>
      </c>
      <c r="CQ1279" s="35">
        <v>-0.04</v>
      </c>
      <c r="CR1279" s="35">
        <v>-4.95</v>
      </c>
      <c r="CS1279" s="35">
        <v>1.94</v>
      </c>
      <c r="CT1279" s="36">
        <v>98</v>
      </c>
      <c r="CU1279" s="35">
        <v>0.17</v>
      </c>
      <c r="CV1279" s="36">
        <v>77</v>
      </c>
      <c r="CW1279" s="35">
        <v>2.92</v>
      </c>
      <c r="CX1279" s="36">
        <v>91</v>
      </c>
      <c r="CY1279" s="35">
        <v>0.97</v>
      </c>
      <c r="CZ1279" s="36">
        <v>99</v>
      </c>
      <c r="DA1279" s="35">
        <v>0.13</v>
      </c>
      <c r="DB1279" s="36">
        <v>76</v>
      </c>
      <c r="DC1279" s="37">
        <v>10.37</v>
      </c>
      <c r="DD1279" s="36">
        <v>90</v>
      </c>
      <c r="DE1279" s="37">
        <v>-0.59</v>
      </c>
      <c r="DF1279" s="35">
        <v>-5.41</v>
      </c>
      <c r="DG1279" s="37">
        <v>34.380000000000003</v>
      </c>
      <c r="DH1279" s="36">
        <v>97</v>
      </c>
      <c r="DI1279" s="37">
        <v>6.72</v>
      </c>
      <c r="DJ1279" s="36">
        <v>81</v>
      </c>
      <c r="DK1279" s="37">
        <v>38.729999999999997</v>
      </c>
      <c r="DL1279" s="36">
        <v>95</v>
      </c>
      <c r="DM1279" s="37">
        <v>30.03</v>
      </c>
      <c r="DN1279" s="36">
        <v>96</v>
      </c>
      <c r="DO1279" s="37">
        <v>11.89</v>
      </c>
      <c r="DP1279" s="36">
        <v>89</v>
      </c>
      <c r="DQ1279" s="36">
        <v>13081</v>
      </c>
      <c r="DR1279" s="38">
        <v>606</v>
      </c>
      <c r="DS1279" s="35">
        <v>4.8600000000000003</v>
      </c>
      <c r="DT1279" s="36">
        <v>869</v>
      </c>
      <c r="DU1279" s="38">
        <v>4</v>
      </c>
      <c r="DV1279" s="35">
        <v>0.46</v>
      </c>
      <c r="DW1279" s="36">
        <v>4255</v>
      </c>
      <c r="DX1279" s="39">
        <v>1</v>
      </c>
      <c r="DY1279" s="35">
        <v>0.02</v>
      </c>
      <c r="DZ1279" s="28" t="s">
        <v>178</v>
      </c>
      <c r="EA1279" s="34">
        <v>43622</v>
      </c>
      <c r="EB1279" s="29" t="s">
        <v>138</v>
      </c>
      <c r="EC1279" s="34" t="s">
        <v>138</v>
      </c>
      <c r="ED1279" s="28" t="s">
        <v>138</v>
      </c>
      <c r="EE1279" s="40" t="str">
        <f>HYPERLINK("https://my.pitchbook.com?c=161539-12", "View company online")</f>
        <v>View company online</v>
      </c>
    </row>
    <row r="1280" spans="1:135">
      <c r="A1280" s="15" t="s">
        <v>24746</v>
      </c>
      <c r="B1280" s="15" t="s">
        <v>24747</v>
      </c>
      <c r="C1280" s="15" t="s">
        <v>138</v>
      </c>
      <c r="D1280" s="15" t="s">
        <v>138</v>
      </c>
      <c r="E1280" s="15" t="s">
        <v>138</v>
      </c>
      <c r="F1280" s="15" t="s">
        <v>24746</v>
      </c>
      <c r="G1280" s="15" t="s">
        <v>24748</v>
      </c>
      <c r="H1280" s="15" t="s">
        <v>238</v>
      </c>
      <c r="I1280" s="15" t="s">
        <v>749</v>
      </c>
      <c r="J1280" s="15" t="s">
        <v>4261</v>
      </c>
      <c r="K1280" s="15" t="s">
        <v>7738</v>
      </c>
      <c r="L1280" s="15" t="s">
        <v>138</v>
      </c>
      <c r="M1280" s="15" t="s">
        <v>24749</v>
      </c>
      <c r="N1280" s="15" t="s">
        <v>147</v>
      </c>
      <c r="O1280" s="17" t="s">
        <v>138</v>
      </c>
      <c r="P1280" s="15" t="s">
        <v>148</v>
      </c>
      <c r="Q1280" s="15" t="s">
        <v>149</v>
      </c>
      <c r="R1280" s="15" t="s">
        <v>174</v>
      </c>
      <c r="S1280" s="15" t="s">
        <v>24750</v>
      </c>
      <c r="T1280" s="18" t="s">
        <v>138</v>
      </c>
      <c r="U1280" s="15" t="s">
        <v>138</v>
      </c>
      <c r="V1280" s="15" t="s">
        <v>138</v>
      </c>
      <c r="W1280" s="15" t="s">
        <v>138</v>
      </c>
      <c r="X1280" s="19" t="s">
        <v>138</v>
      </c>
      <c r="Y1280" s="15" t="s">
        <v>138</v>
      </c>
      <c r="Z1280" s="15" t="s">
        <v>138</v>
      </c>
      <c r="AA1280" s="15" t="s">
        <v>138</v>
      </c>
      <c r="AB1280" s="20" t="s">
        <v>138</v>
      </c>
      <c r="AC1280" s="20" t="s">
        <v>138</v>
      </c>
      <c r="AD1280" s="20" t="s">
        <v>138</v>
      </c>
      <c r="AE1280" s="20" t="s">
        <v>138</v>
      </c>
      <c r="AF1280" s="20" t="s">
        <v>138</v>
      </c>
      <c r="AG1280" s="15" t="s">
        <v>138</v>
      </c>
      <c r="AH1280" s="20" t="s">
        <v>138</v>
      </c>
      <c r="AI1280" s="20" t="s">
        <v>138</v>
      </c>
      <c r="AJ1280" s="20" t="s">
        <v>138</v>
      </c>
      <c r="AK1280" s="15" t="s">
        <v>138</v>
      </c>
      <c r="AL1280" s="15" t="s">
        <v>138</v>
      </c>
      <c r="AM1280" s="15" t="s">
        <v>138</v>
      </c>
      <c r="AN1280" s="15" t="s">
        <v>138</v>
      </c>
      <c r="AO1280" s="15" t="s">
        <v>138</v>
      </c>
      <c r="AP1280" s="15" t="s">
        <v>1292</v>
      </c>
      <c r="AQ1280" s="15" t="s">
        <v>24751</v>
      </c>
      <c r="AR1280" s="15" t="s">
        <v>138</v>
      </c>
      <c r="AS1280" s="15" t="s">
        <v>1294</v>
      </c>
      <c r="AT1280" s="15" t="s">
        <v>864</v>
      </c>
      <c r="AU1280" s="15" t="s">
        <v>12317</v>
      </c>
      <c r="AV1280" s="15" t="s">
        <v>162</v>
      </c>
      <c r="AW1280" s="15" t="s">
        <v>138</v>
      </c>
      <c r="AX1280" s="15" t="s">
        <v>138</v>
      </c>
      <c r="AY1280" s="15" t="s">
        <v>24752</v>
      </c>
      <c r="AZ1280" s="15" t="s">
        <v>164</v>
      </c>
      <c r="BA1280" s="15" t="s">
        <v>165</v>
      </c>
      <c r="BB1280" s="15" t="s">
        <v>24753</v>
      </c>
      <c r="BC1280" s="15" t="s">
        <v>2783</v>
      </c>
      <c r="BD1280" s="21">
        <v>1</v>
      </c>
      <c r="BE1280" s="15" t="s">
        <v>138</v>
      </c>
      <c r="BF1280" s="15" t="s">
        <v>138</v>
      </c>
      <c r="BG1280" s="15" t="s">
        <v>138</v>
      </c>
      <c r="BH1280" s="15" t="s">
        <v>2784</v>
      </c>
      <c r="BI1280" s="15" t="s">
        <v>138</v>
      </c>
      <c r="BJ1280" s="15" t="s">
        <v>138</v>
      </c>
      <c r="BK1280" s="15" t="s">
        <v>138</v>
      </c>
      <c r="BL1280" s="15" t="s">
        <v>138</v>
      </c>
      <c r="BM1280" s="22">
        <v>42888</v>
      </c>
      <c r="BN1280" s="17" t="s">
        <v>138</v>
      </c>
      <c r="BO1280" s="15" t="s">
        <v>138</v>
      </c>
      <c r="BP1280" s="17" t="s">
        <v>138</v>
      </c>
      <c r="BQ1280" s="15" t="s">
        <v>138</v>
      </c>
      <c r="BR1280" s="15" t="s">
        <v>205</v>
      </c>
      <c r="BS1280" s="15" t="s">
        <v>138</v>
      </c>
      <c r="BT1280" s="15" t="s">
        <v>138</v>
      </c>
      <c r="BU1280" s="15" t="s">
        <v>174</v>
      </c>
      <c r="BV1280" s="15" t="s">
        <v>138</v>
      </c>
      <c r="BW1280" s="15" t="s">
        <v>138</v>
      </c>
      <c r="BX1280" s="15" t="s">
        <v>138</v>
      </c>
      <c r="BY1280" s="15" t="s">
        <v>175</v>
      </c>
      <c r="BZ1280" s="22">
        <v>42888</v>
      </c>
      <c r="CA1280" s="17" t="s">
        <v>138</v>
      </c>
      <c r="CB1280" s="15" t="s">
        <v>138</v>
      </c>
      <c r="CC1280" s="17" t="s">
        <v>138</v>
      </c>
      <c r="CD1280" s="15" t="s">
        <v>138</v>
      </c>
      <c r="CE1280" s="15" t="s">
        <v>205</v>
      </c>
      <c r="CF1280" s="15" t="s">
        <v>138</v>
      </c>
      <c r="CG1280" s="15" t="s">
        <v>138</v>
      </c>
      <c r="CH1280" s="15" t="s">
        <v>174</v>
      </c>
      <c r="CI1280" s="15" t="s">
        <v>138</v>
      </c>
      <c r="CJ1280" s="15" t="s">
        <v>138</v>
      </c>
      <c r="CK1280" s="15" t="s">
        <v>138</v>
      </c>
      <c r="CL1280" s="15" t="s">
        <v>175</v>
      </c>
      <c r="CM1280" s="22" t="s">
        <v>138</v>
      </c>
      <c r="CN1280" s="17" t="s">
        <v>138</v>
      </c>
      <c r="CO1280" s="23">
        <v>0</v>
      </c>
      <c r="CP1280" s="24">
        <v>26</v>
      </c>
      <c r="CQ1280" s="23">
        <v>0</v>
      </c>
      <c r="CR1280" s="23">
        <v>0</v>
      </c>
      <c r="CS1280" s="23">
        <v>0</v>
      </c>
      <c r="CT1280" s="24">
        <v>23</v>
      </c>
      <c r="CU1280" s="23" t="s">
        <v>138</v>
      </c>
      <c r="CV1280" s="24" t="s">
        <v>138</v>
      </c>
      <c r="CW1280" s="23" t="s">
        <v>138</v>
      </c>
      <c r="CX1280" s="24" t="s">
        <v>138</v>
      </c>
      <c r="CY1280" s="23">
        <v>0</v>
      </c>
      <c r="CZ1280" s="24">
        <v>25</v>
      </c>
      <c r="DA1280" s="23" t="s">
        <v>138</v>
      </c>
      <c r="DB1280" s="24" t="s">
        <v>138</v>
      </c>
      <c r="DC1280" s="25">
        <v>0.45</v>
      </c>
      <c r="DD1280" s="24">
        <v>31</v>
      </c>
      <c r="DE1280" s="25">
        <v>0</v>
      </c>
      <c r="DF1280" s="23">
        <v>0</v>
      </c>
      <c r="DG1280" s="25">
        <v>0.45</v>
      </c>
      <c r="DH1280" s="24">
        <v>31</v>
      </c>
      <c r="DI1280" s="25" t="s">
        <v>138</v>
      </c>
      <c r="DJ1280" s="24" t="s">
        <v>138</v>
      </c>
      <c r="DK1280" s="25" t="s">
        <v>138</v>
      </c>
      <c r="DL1280" s="24" t="s">
        <v>138</v>
      </c>
      <c r="DM1280" s="25">
        <v>0.45</v>
      </c>
      <c r="DN1280" s="24">
        <v>31</v>
      </c>
      <c r="DO1280" s="25" t="s">
        <v>138</v>
      </c>
      <c r="DP1280" s="24" t="s">
        <v>138</v>
      </c>
      <c r="DQ1280" s="24">
        <v>287</v>
      </c>
      <c r="DR1280" s="26">
        <v>19</v>
      </c>
      <c r="DS1280" s="23">
        <v>7.09</v>
      </c>
      <c r="DT1280" s="24">
        <v>13</v>
      </c>
      <c r="DU1280" s="26">
        <v>0</v>
      </c>
      <c r="DV1280" s="23">
        <v>0</v>
      </c>
      <c r="DW1280" s="24" t="s">
        <v>138</v>
      </c>
      <c r="DX1280" s="27" t="s">
        <v>138</v>
      </c>
      <c r="DY1280" s="23" t="s">
        <v>138</v>
      </c>
      <c r="DZ1280" s="15" t="s">
        <v>178</v>
      </c>
      <c r="EA1280" s="22">
        <v>43355</v>
      </c>
      <c r="EB1280" s="17" t="s">
        <v>138</v>
      </c>
      <c r="EC1280" s="22" t="s">
        <v>138</v>
      </c>
      <c r="ED1280" s="15" t="s">
        <v>138</v>
      </c>
      <c r="EE1280" s="14" t="str">
        <f>HYPERLINK("https://my.pitchbook.com?c=226732-69", "View company online")</f>
        <v>View company online</v>
      </c>
    </row>
    <row r="1281" spans="1:135">
      <c r="A1281" s="28" t="s">
        <v>24754</v>
      </c>
      <c r="B1281" s="28" t="s">
        <v>24755</v>
      </c>
      <c r="C1281" s="28" t="s">
        <v>138</v>
      </c>
      <c r="D1281" s="28" t="s">
        <v>138</v>
      </c>
      <c r="E1281" s="28" t="s">
        <v>24756</v>
      </c>
      <c r="F1281" s="28" t="s">
        <v>24754</v>
      </c>
      <c r="G1281" s="28" t="s">
        <v>24757</v>
      </c>
      <c r="H1281" s="28" t="s">
        <v>322</v>
      </c>
      <c r="I1281" s="28" t="s">
        <v>323</v>
      </c>
      <c r="J1281" s="28" t="s">
        <v>324</v>
      </c>
      <c r="K1281" s="28" t="s">
        <v>24758</v>
      </c>
      <c r="L1281" s="28" t="s">
        <v>7293</v>
      </c>
      <c r="M1281" s="28" t="s">
        <v>24759</v>
      </c>
      <c r="N1281" s="28" t="s">
        <v>147</v>
      </c>
      <c r="O1281" s="29">
        <v>12.78</v>
      </c>
      <c r="P1281" s="28" t="s">
        <v>148</v>
      </c>
      <c r="Q1281" s="28" t="s">
        <v>149</v>
      </c>
      <c r="R1281" s="28" t="s">
        <v>150</v>
      </c>
      <c r="S1281" s="28" t="s">
        <v>24760</v>
      </c>
      <c r="T1281" s="30">
        <v>24</v>
      </c>
      <c r="U1281" s="28" t="s">
        <v>24761</v>
      </c>
      <c r="V1281" s="28" t="s">
        <v>138</v>
      </c>
      <c r="W1281" s="28" t="s">
        <v>138</v>
      </c>
      <c r="X1281" s="31">
        <v>2015</v>
      </c>
      <c r="Y1281" s="28" t="s">
        <v>138</v>
      </c>
      <c r="Z1281" s="28" t="s">
        <v>138</v>
      </c>
      <c r="AA1281" s="28" t="s">
        <v>138</v>
      </c>
      <c r="AB1281" s="32" t="s">
        <v>138</v>
      </c>
      <c r="AC1281" s="32" t="s">
        <v>138</v>
      </c>
      <c r="AD1281" s="32" t="s">
        <v>138</v>
      </c>
      <c r="AE1281" s="32" t="s">
        <v>138</v>
      </c>
      <c r="AF1281" s="32" t="s">
        <v>138</v>
      </c>
      <c r="AG1281" s="28" t="s">
        <v>138</v>
      </c>
      <c r="AH1281" s="32" t="s">
        <v>138</v>
      </c>
      <c r="AI1281" s="32" t="s">
        <v>138</v>
      </c>
      <c r="AJ1281" s="32" t="s">
        <v>138</v>
      </c>
      <c r="AK1281" s="28" t="s">
        <v>24762</v>
      </c>
      <c r="AL1281" s="28" t="s">
        <v>24763</v>
      </c>
      <c r="AM1281" s="28" t="s">
        <v>24764</v>
      </c>
      <c r="AN1281" s="28" t="s">
        <v>24765</v>
      </c>
      <c r="AO1281" s="28" t="s">
        <v>24766</v>
      </c>
      <c r="AP1281" s="28" t="s">
        <v>24767</v>
      </c>
      <c r="AQ1281" s="28" t="s">
        <v>24768</v>
      </c>
      <c r="AR1281" s="28" t="s">
        <v>24769</v>
      </c>
      <c r="AS1281" s="28" t="s">
        <v>24770</v>
      </c>
      <c r="AT1281" s="28" t="s">
        <v>474</v>
      </c>
      <c r="AU1281" s="28" t="s">
        <v>24771</v>
      </c>
      <c r="AV1281" s="28" t="s">
        <v>162</v>
      </c>
      <c r="AW1281" s="28" t="s">
        <v>24766</v>
      </c>
      <c r="AX1281" s="28" t="s">
        <v>138</v>
      </c>
      <c r="AY1281" s="28" t="s">
        <v>24772</v>
      </c>
      <c r="AZ1281" s="28" t="s">
        <v>164</v>
      </c>
      <c r="BA1281" s="28" t="s">
        <v>165</v>
      </c>
      <c r="BB1281" s="28" t="s">
        <v>24773</v>
      </c>
      <c r="BC1281" s="28" t="s">
        <v>24774</v>
      </c>
      <c r="BD1281" s="33">
        <v>7</v>
      </c>
      <c r="BE1281" s="28" t="s">
        <v>138</v>
      </c>
      <c r="BF1281" s="28" t="s">
        <v>138</v>
      </c>
      <c r="BG1281" s="28" t="s">
        <v>138</v>
      </c>
      <c r="BH1281" s="28" t="s">
        <v>24775</v>
      </c>
      <c r="BI1281" s="28" t="s">
        <v>138</v>
      </c>
      <c r="BJ1281" s="28" t="s">
        <v>138</v>
      </c>
      <c r="BK1281" s="28" t="s">
        <v>138</v>
      </c>
      <c r="BL1281" s="28" t="s">
        <v>138</v>
      </c>
      <c r="BM1281" s="34">
        <v>42307</v>
      </c>
      <c r="BN1281" s="29">
        <v>1.81</v>
      </c>
      <c r="BO1281" s="28" t="s">
        <v>172</v>
      </c>
      <c r="BP1281" s="29">
        <v>9.31</v>
      </c>
      <c r="BQ1281" s="28" t="s">
        <v>172</v>
      </c>
      <c r="BR1281" s="28" t="s">
        <v>234</v>
      </c>
      <c r="BS1281" s="28" t="s">
        <v>234</v>
      </c>
      <c r="BT1281" s="28" t="s">
        <v>138</v>
      </c>
      <c r="BU1281" s="28" t="s">
        <v>780</v>
      </c>
      <c r="BV1281" s="28" t="s">
        <v>138</v>
      </c>
      <c r="BW1281" s="28" t="s">
        <v>138</v>
      </c>
      <c r="BX1281" s="28" t="s">
        <v>138</v>
      </c>
      <c r="BY1281" s="28" t="s">
        <v>175</v>
      </c>
      <c r="BZ1281" s="34">
        <v>43496</v>
      </c>
      <c r="CA1281" s="29">
        <v>7</v>
      </c>
      <c r="CB1281" s="28" t="s">
        <v>172</v>
      </c>
      <c r="CC1281" s="29">
        <v>44</v>
      </c>
      <c r="CD1281" s="28" t="s">
        <v>172</v>
      </c>
      <c r="CE1281" s="28" t="s">
        <v>205</v>
      </c>
      <c r="CF1281" s="28" t="s">
        <v>206</v>
      </c>
      <c r="CG1281" s="28" t="s">
        <v>138</v>
      </c>
      <c r="CH1281" s="28" t="s">
        <v>174</v>
      </c>
      <c r="CI1281" s="28" t="s">
        <v>138</v>
      </c>
      <c r="CJ1281" s="28" t="s">
        <v>138</v>
      </c>
      <c r="CK1281" s="28" t="s">
        <v>138</v>
      </c>
      <c r="CL1281" s="28" t="s">
        <v>175</v>
      </c>
      <c r="CM1281" s="34" t="s">
        <v>138</v>
      </c>
      <c r="CN1281" s="29" t="s">
        <v>138</v>
      </c>
      <c r="CO1281" s="35">
        <v>-0.11</v>
      </c>
      <c r="CP1281" s="36">
        <v>21</v>
      </c>
      <c r="CQ1281" s="35">
        <v>-0.04</v>
      </c>
      <c r="CR1281" s="35">
        <v>-68.72</v>
      </c>
      <c r="CS1281" s="35">
        <v>-0.28000000000000003</v>
      </c>
      <c r="CT1281" s="36">
        <v>21</v>
      </c>
      <c r="CU1281" s="35">
        <v>-0.04</v>
      </c>
      <c r="CV1281" s="36">
        <v>12</v>
      </c>
      <c r="CW1281" s="35">
        <v>0.11</v>
      </c>
      <c r="CX1281" s="36">
        <v>81</v>
      </c>
      <c r="CY1281" s="35">
        <v>-0.68</v>
      </c>
      <c r="CZ1281" s="36">
        <v>21</v>
      </c>
      <c r="DA1281" s="35">
        <v>-0.04</v>
      </c>
      <c r="DB1281" s="36">
        <v>15</v>
      </c>
      <c r="DC1281" s="37">
        <v>4.84</v>
      </c>
      <c r="DD1281" s="36">
        <v>82</v>
      </c>
      <c r="DE1281" s="37">
        <v>-0.34</v>
      </c>
      <c r="DF1281" s="35">
        <v>-6.52</v>
      </c>
      <c r="DG1281" s="37">
        <v>12.51</v>
      </c>
      <c r="DH1281" s="36">
        <v>91</v>
      </c>
      <c r="DI1281" s="37">
        <v>1.81</v>
      </c>
      <c r="DJ1281" s="36">
        <v>60</v>
      </c>
      <c r="DK1281" s="37">
        <v>15.34</v>
      </c>
      <c r="DL1281" s="36">
        <v>90</v>
      </c>
      <c r="DM1281" s="37">
        <v>9.69</v>
      </c>
      <c r="DN1281" s="36">
        <v>88</v>
      </c>
      <c r="DO1281" s="37">
        <v>1.81</v>
      </c>
      <c r="DP1281" s="36">
        <v>62</v>
      </c>
      <c r="DQ1281" s="36">
        <v>5217</v>
      </c>
      <c r="DR1281" s="38">
        <v>131</v>
      </c>
      <c r="DS1281" s="35">
        <v>2.58</v>
      </c>
      <c r="DT1281" s="36">
        <v>282</v>
      </c>
      <c r="DU1281" s="38">
        <v>-1</v>
      </c>
      <c r="DV1281" s="35">
        <v>-0.35</v>
      </c>
      <c r="DW1281" s="36">
        <v>648</v>
      </c>
      <c r="DX1281" s="39">
        <v>1</v>
      </c>
      <c r="DY1281" s="35">
        <v>0.15</v>
      </c>
      <c r="DZ1281" s="28" t="s">
        <v>178</v>
      </c>
      <c r="EA1281" s="34">
        <v>43550</v>
      </c>
      <c r="EB1281" s="29">
        <v>44</v>
      </c>
      <c r="EC1281" s="34">
        <v>43496</v>
      </c>
      <c r="ED1281" s="28" t="s">
        <v>205</v>
      </c>
      <c r="EE1281" s="40" t="str">
        <f>HYPERLINK("https://my.pitchbook.com?c=118031-05", "View company online")</f>
        <v>View company online</v>
      </c>
    </row>
    <row r="1282" spans="1:135">
      <c r="A1282" s="15" t="s">
        <v>24776</v>
      </c>
      <c r="B1282" s="15" t="s">
        <v>24777</v>
      </c>
      <c r="C1282" s="15" t="s">
        <v>138</v>
      </c>
      <c r="D1282" s="15" t="s">
        <v>138</v>
      </c>
      <c r="E1282" s="15" t="s">
        <v>24778</v>
      </c>
      <c r="F1282" s="15" t="s">
        <v>24776</v>
      </c>
      <c r="G1282" s="15" t="s">
        <v>24779</v>
      </c>
      <c r="H1282" s="15" t="s">
        <v>322</v>
      </c>
      <c r="I1282" s="15" t="s">
        <v>323</v>
      </c>
      <c r="J1282" s="15" t="s">
        <v>1132</v>
      </c>
      <c r="K1282" s="15" t="s">
        <v>1777</v>
      </c>
      <c r="L1282" s="15" t="s">
        <v>4025</v>
      </c>
      <c r="M1282" s="15" t="s">
        <v>24780</v>
      </c>
      <c r="N1282" s="15" t="s">
        <v>147</v>
      </c>
      <c r="O1282" s="17">
        <v>127.81</v>
      </c>
      <c r="P1282" s="15" t="s">
        <v>812</v>
      </c>
      <c r="Q1282" s="15" t="s">
        <v>149</v>
      </c>
      <c r="R1282" s="15" t="s">
        <v>174</v>
      </c>
      <c r="S1282" s="15" t="s">
        <v>24781</v>
      </c>
      <c r="T1282" s="18">
        <v>300</v>
      </c>
      <c r="U1282" s="15" t="s">
        <v>24782</v>
      </c>
      <c r="V1282" s="15" t="s">
        <v>138</v>
      </c>
      <c r="W1282" s="15" t="s">
        <v>138</v>
      </c>
      <c r="X1282" s="19">
        <v>2011</v>
      </c>
      <c r="Y1282" s="15" t="s">
        <v>138</v>
      </c>
      <c r="Z1282" s="15" t="s">
        <v>138</v>
      </c>
      <c r="AA1282" s="15" t="s">
        <v>138</v>
      </c>
      <c r="AB1282" s="20">
        <v>15.31</v>
      </c>
      <c r="AC1282" s="20">
        <v>12.39</v>
      </c>
      <c r="AD1282" s="20">
        <v>-10.41</v>
      </c>
      <c r="AE1282" s="20" t="s">
        <v>138</v>
      </c>
      <c r="AF1282" s="20">
        <v>-8.11</v>
      </c>
      <c r="AG1282" s="15" t="s">
        <v>419</v>
      </c>
      <c r="AH1282" s="20" t="s">
        <v>138</v>
      </c>
      <c r="AI1282" s="20" t="s">
        <v>138</v>
      </c>
      <c r="AJ1282" s="20" t="s">
        <v>138</v>
      </c>
      <c r="AK1282" s="15" t="s">
        <v>24783</v>
      </c>
      <c r="AL1282" s="15" t="s">
        <v>24784</v>
      </c>
      <c r="AM1282" s="15" t="s">
        <v>221</v>
      </c>
      <c r="AN1282" s="15" t="s">
        <v>24785</v>
      </c>
      <c r="AO1282" s="15" t="s">
        <v>24786</v>
      </c>
      <c r="AP1282" s="15" t="s">
        <v>820</v>
      </c>
      <c r="AQ1282" s="15" t="s">
        <v>24787</v>
      </c>
      <c r="AR1282" s="15" t="s">
        <v>24788</v>
      </c>
      <c r="AS1282" s="15" t="s">
        <v>823</v>
      </c>
      <c r="AT1282" s="15" t="s">
        <v>824</v>
      </c>
      <c r="AU1282" s="15" t="s">
        <v>24789</v>
      </c>
      <c r="AV1282" s="15" t="s">
        <v>526</v>
      </c>
      <c r="AW1282" s="15" t="s">
        <v>24786</v>
      </c>
      <c r="AX1282" s="15" t="s">
        <v>138</v>
      </c>
      <c r="AY1282" s="15" t="s">
        <v>24790</v>
      </c>
      <c r="AZ1282" s="15" t="s">
        <v>530</v>
      </c>
      <c r="BA1282" s="15" t="s">
        <v>531</v>
      </c>
      <c r="BB1282" s="15" t="s">
        <v>24791</v>
      </c>
      <c r="BC1282" s="15" t="s">
        <v>24792</v>
      </c>
      <c r="BD1282" s="21">
        <v>17</v>
      </c>
      <c r="BE1282" s="15" t="s">
        <v>138</v>
      </c>
      <c r="BF1282" s="15" t="s">
        <v>24793</v>
      </c>
      <c r="BG1282" s="15" t="s">
        <v>138</v>
      </c>
      <c r="BH1282" s="15" t="s">
        <v>24794</v>
      </c>
      <c r="BI1282" s="15" t="s">
        <v>24795</v>
      </c>
      <c r="BJ1282" s="15" t="s">
        <v>138</v>
      </c>
      <c r="BK1282" s="15" t="s">
        <v>24796</v>
      </c>
      <c r="BL1282" s="15" t="s">
        <v>24797</v>
      </c>
      <c r="BM1282" s="22">
        <v>40544</v>
      </c>
      <c r="BN1282" s="17">
        <v>0.12</v>
      </c>
      <c r="BO1282" s="15" t="s">
        <v>172</v>
      </c>
      <c r="BP1282" s="17" t="s">
        <v>138</v>
      </c>
      <c r="BQ1282" s="15" t="s">
        <v>138</v>
      </c>
      <c r="BR1282" s="15" t="s">
        <v>316</v>
      </c>
      <c r="BS1282" s="15" t="s">
        <v>138</v>
      </c>
      <c r="BT1282" s="15" t="s">
        <v>138</v>
      </c>
      <c r="BU1282" s="15" t="s">
        <v>177</v>
      </c>
      <c r="BV1282" s="15" t="s">
        <v>138</v>
      </c>
      <c r="BW1282" s="15" t="s">
        <v>138</v>
      </c>
      <c r="BX1282" s="15" t="s">
        <v>138</v>
      </c>
      <c r="BY1282" s="15" t="s">
        <v>175</v>
      </c>
      <c r="BZ1282" s="22">
        <v>43514</v>
      </c>
      <c r="CA1282" s="17">
        <v>75.5</v>
      </c>
      <c r="CB1282" s="15" t="s">
        <v>172</v>
      </c>
      <c r="CC1282" s="17" t="s">
        <v>138</v>
      </c>
      <c r="CD1282" s="15" t="s">
        <v>138</v>
      </c>
      <c r="CE1282" s="15" t="s">
        <v>173</v>
      </c>
      <c r="CF1282" s="15" t="s">
        <v>482</v>
      </c>
      <c r="CG1282" s="15" t="s">
        <v>138</v>
      </c>
      <c r="CH1282" s="15" t="s">
        <v>174</v>
      </c>
      <c r="CI1282" s="15" t="s">
        <v>138</v>
      </c>
      <c r="CJ1282" s="15" t="s">
        <v>138</v>
      </c>
      <c r="CK1282" s="15" t="s">
        <v>138</v>
      </c>
      <c r="CL1282" s="15" t="s">
        <v>175</v>
      </c>
      <c r="CM1282" s="22">
        <v>42452</v>
      </c>
      <c r="CN1282" s="17" t="s">
        <v>138</v>
      </c>
      <c r="CO1282" s="23">
        <v>1.76</v>
      </c>
      <c r="CP1282" s="24">
        <v>99</v>
      </c>
      <c r="CQ1282" s="23">
        <v>-0.02</v>
      </c>
      <c r="CR1282" s="23">
        <v>-0.97</v>
      </c>
      <c r="CS1282" s="23">
        <v>0.4</v>
      </c>
      <c r="CT1282" s="24">
        <v>95</v>
      </c>
      <c r="CU1282" s="23">
        <v>0.31</v>
      </c>
      <c r="CV1282" s="24">
        <v>88</v>
      </c>
      <c r="CW1282" s="23">
        <v>5.05</v>
      </c>
      <c r="CX1282" s="24">
        <v>96</v>
      </c>
      <c r="CY1282" s="23">
        <v>-4.25</v>
      </c>
      <c r="CZ1282" s="24">
        <v>4</v>
      </c>
      <c r="DA1282" s="23">
        <v>0.44</v>
      </c>
      <c r="DB1282" s="24">
        <v>93</v>
      </c>
      <c r="DC1282" s="25">
        <v>12.73</v>
      </c>
      <c r="DD1282" s="24">
        <v>92</v>
      </c>
      <c r="DE1282" s="25">
        <v>-0.28000000000000003</v>
      </c>
      <c r="DF1282" s="23">
        <v>-2.1800000000000002</v>
      </c>
      <c r="DG1282" s="25">
        <v>20.57</v>
      </c>
      <c r="DH1282" s="24">
        <v>95</v>
      </c>
      <c r="DI1282" s="25">
        <v>17.059999999999999</v>
      </c>
      <c r="DJ1282" s="24">
        <v>90</v>
      </c>
      <c r="DK1282" s="25">
        <v>14.25</v>
      </c>
      <c r="DL1282" s="24">
        <v>90</v>
      </c>
      <c r="DM1282" s="25">
        <v>26.9</v>
      </c>
      <c r="DN1282" s="24">
        <v>96</v>
      </c>
      <c r="DO1282" s="25">
        <v>25.71</v>
      </c>
      <c r="DP1282" s="24">
        <v>94</v>
      </c>
      <c r="DQ1282" s="24">
        <v>4778</v>
      </c>
      <c r="DR1282" s="26">
        <v>328</v>
      </c>
      <c r="DS1282" s="23">
        <v>7.37</v>
      </c>
      <c r="DT1282" s="24">
        <v>780</v>
      </c>
      <c r="DU1282" s="26">
        <v>-1</v>
      </c>
      <c r="DV1282" s="23">
        <v>-0.13</v>
      </c>
      <c r="DW1282" s="24">
        <v>9200</v>
      </c>
      <c r="DX1282" s="27">
        <v>39</v>
      </c>
      <c r="DY1282" s="23">
        <v>0.43</v>
      </c>
      <c r="DZ1282" s="15" t="s">
        <v>178</v>
      </c>
      <c r="EA1282" s="22">
        <v>43622</v>
      </c>
      <c r="EB1282" s="17" t="s">
        <v>138</v>
      </c>
      <c r="EC1282" s="22" t="s">
        <v>138</v>
      </c>
      <c r="ED1282" s="15" t="s">
        <v>138</v>
      </c>
      <c r="EE1282" s="14" t="str">
        <f>HYPERLINK("https://my.pitchbook.com?c=53800-03", "View company online")</f>
        <v>View company online</v>
      </c>
    </row>
    <row r="1283" spans="1:135">
      <c r="A1283" s="28" t="s">
        <v>24798</v>
      </c>
      <c r="B1283" s="28" t="s">
        <v>24799</v>
      </c>
      <c r="C1283" s="28" t="s">
        <v>24800</v>
      </c>
      <c r="D1283" s="28" t="s">
        <v>138</v>
      </c>
      <c r="E1283" s="28" t="s">
        <v>138</v>
      </c>
      <c r="F1283" s="28" t="s">
        <v>24798</v>
      </c>
      <c r="G1283" s="28" t="s">
        <v>24801</v>
      </c>
      <c r="H1283" s="28" t="s">
        <v>322</v>
      </c>
      <c r="I1283" s="28" t="s">
        <v>323</v>
      </c>
      <c r="J1283" s="28" t="s">
        <v>413</v>
      </c>
      <c r="K1283" s="28" t="s">
        <v>414</v>
      </c>
      <c r="L1283" s="28" t="s">
        <v>242</v>
      </c>
      <c r="M1283" s="28" t="s">
        <v>24802</v>
      </c>
      <c r="N1283" s="28" t="s">
        <v>147</v>
      </c>
      <c r="O1283" s="29">
        <v>0.51</v>
      </c>
      <c r="P1283" s="28" t="s">
        <v>148</v>
      </c>
      <c r="Q1283" s="28" t="s">
        <v>149</v>
      </c>
      <c r="R1283" s="28" t="s">
        <v>174</v>
      </c>
      <c r="S1283" s="28" t="s">
        <v>24803</v>
      </c>
      <c r="T1283" s="30">
        <v>11</v>
      </c>
      <c r="U1283" s="28" t="s">
        <v>1356</v>
      </c>
      <c r="V1283" s="28" t="s">
        <v>138</v>
      </c>
      <c r="W1283" s="28" t="s">
        <v>138</v>
      </c>
      <c r="X1283" s="31" t="s">
        <v>138</v>
      </c>
      <c r="Y1283" s="28" t="s">
        <v>138</v>
      </c>
      <c r="Z1283" s="28" t="s">
        <v>138</v>
      </c>
      <c r="AA1283" s="28" t="s">
        <v>138</v>
      </c>
      <c r="AB1283" s="32" t="s">
        <v>138</v>
      </c>
      <c r="AC1283" s="32" t="s">
        <v>138</v>
      </c>
      <c r="AD1283" s="32" t="s">
        <v>138</v>
      </c>
      <c r="AE1283" s="32" t="s">
        <v>138</v>
      </c>
      <c r="AF1283" s="32" t="s">
        <v>138</v>
      </c>
      <c r="AG1283" s="28" t="s">
        <v>138</v>
      </c>
      <c r="AH1283" s="32" t="s">
        <v>138</v>
      </c>
      <c r="AI1283" s="32" t="s">
        <v>138</v>
      </c>
      <c r="AJ1283" s="32" t="s">
        <v>138</v>
      </c>
      <c r="AK1283" s="28" t="s">
        <v>24804</v>
      </c>
      <c r="AL1283" s="28" t="s">
        <v>24805</v>
      </c>
      <c r="AM1283" s="28" t="s">
        <v>304</v>
      </c>
      <c r="AN1283" s="28" t="s">
        <v>24806</v>
      </c>
      <c r="AO1283" s="28" t="s">
        <v>24807</v>
      </c>
      <c r="AP1283" s="28" t="s">
        <v>24808</v>
      </c>
      <c r="AQ1283" s="28" t="s">
        <v>24809</v>
      </c>
      <c r="AR1283" s="28" t="s">
        <v>138</v>
      </c>
      <c r="AS1283" s="28" t="s">
        <v>24810</v>
      </c>
      <c r="AT1283" s="28" t="s">
        <v>138</v>
      </c>
      <c r="AU1283" s="28" t="s">
        <v>24811</v>
      </c>
      <c r="AV1283" s="28" t="s">
        <v>24812</v>
      </c>
      <c r="AW1283" s="28" t="s">
        <v>24807</v>
      </c>
      <c r="AX1283" s="28" t="s">
        <v>138</v>
      </c>
      <c r="AY1283" s="28" t="s">
        <v>24813</v>
      </c>
      <c r="AZ1283" s="28" t="s">
        <v>530</v>
      </c>
      <c r="BA1283" s="28" t="s">
        <v>1616</v>
      </c>
      <c r="BB1283" s="28" t="s">
        <v>24814</v>
      </c>
      <c r="BC1283" s="28" t="s">
        <v>24815</v>
      </c>
      <c r="BD1283" s="33">
        <v>8</v>
      </c>
      <c r="BE1283" s="28" t="s">
        <v>138</v>
      </c>
      <c r="BF1283" s="28" t="s">
        <v>138</v>
      </c>
      <c r="BG1283" s="28" t="s">
        <v>138</v>
      </c>
      <c r="BH1283" s="28" t="s">
        <v>24816</v>
      </c>
      <c r="BI1283" s="28" t="s">
        <v>138</v>
      </c>
      <c r="BJ1283" s="28" t="s">
        <v>138</v>
      </c>
      <c r="BK1283" s="28" t="s">
        <v>138</v>
      </c>
      <c r="BL1283" s="28" t="s">
        <v>138</v>
      </c>
      <c r="BM1283" s="34">
        <v>41011</v>
      </c>
      <c r="BN1283" s="29" t="s">
        <v>138</v>
      </c>
      <c r="BO1283" s="28" t="s">
        <v>138</v>
      </c>
      <c r="BP1283" s="29" t="s">
        <v>138</v>
      </c>
      <c r="BQ1283" s="28" t="s">
        <v>138</v>
      </c>
      <c r="BR1283" s="28" t="s">
        <v>316</v>
      </c>
      <c r="BS1283" s="28" t="s">
        <v>138</v>
      </c>
      <c r="BT1283" s="28" t="s">
        <v>138</v>
      </c>
      <c r="BU1283" s="28" t="s">
        <v>177</v>
      </c>
      <c r="BV1283" s="28" t="s">
        <v>138</v>
      </c>
      <c r="BW1283" s="28" t="s">
        <v>138</v>
      </c>
      <c r="BX1283" s="28" t="s">
        <v>138</v>
      </c>
      <c r="BY1283" s="28" t="s">
        <v>175</v>
      </c>
      <c r="BZ1283" s="34">
        <v>42439</v>
      </c>
      <c r="CA1283" s="29">
        <v>0.12</v>
      </c>
      <c r="CB1283" s="28" t="s">
        <v>172</v>
      </c>
      <c r="CC1283" s="29">
        <v>1.2</v>
      </c>
      <c r="CD1283" s="28" t="s">
        <v>172</v>
      </c>
      <c r="CE1283" s="28" t="s">
        <v>316</v>
      </c>
      <c r="CF1283" s="28" t="s">
        <v>138</v>
      </c>
      <c r="CG1283" s="28" t="s">
        <v>138</v>
      </c>
      <c r="CH1283" s="28" t="s">
        <v>177</v>
      </c>
      <c r="CI1283" s="28" t="s">
        <v>264</v>
      </c>
      <c r="CJ1283" s="28" t="s">
        <v>138</v>
      </c>
      <c r="CK1283" s="28" t="s">
        <v>138</v>
      </c>
      <c r="CL1283" s="28" t="s">
        <v>175</v>
      </c>
      <c r="CM1283" s="34" t="s">
        <v>138</v>
      </c>
      <c r="CN1283" s="29" t="s">
        <v>138</v>
      </c>
      <c r="CO1283" s="35">
        <v>-0.73</v>
      </c>
      <c r="CP1283" s="36">
        <v>13</v>
      </c>
      <c r="CQ1283" s="35">
        <v>-0.04</v>
      </c>
      <c r="CR1283" s="35">
        <v>-5.6</v>
      </c>
      <c r="CS1283" s="35">
        <v>-2.2000000000000002</v>
      </c>
      <c r="CT1283" s="36">
        <v>8</v>
      </c>
      <c r="CU1283" s="35">
        <v>0.02</v>
      </c>
      <c r="CV1283" s="36">
        <v>51</v>
      </c>
      <c r="CW1283" s="35" t="s">
        <v>138</v>
      </c>
      <c r="CX1283" s="36" t="s">
        <v>138</v>
      </c>
      <c r="CY1283" s="35">
        <v>-2.2000000000000002</v>
      </c>
      <c r="CZ1283" s="36">
        <v>10</v>
      </c>
      <c r="DA1283" s="35">
        <v>-0.06</v>
      </c>
      <c r="DB1283" s="36">
        <v>11</v>
      </c>
      <c r="DC1283" s="37">
        <v>4.46</v>
      </c>
      <c r="DD1283" s="36">
        <v>81</v>
      </c>
      <c r="DE1283" s="37">
        <v>-0.03</v>
      </c>
      <c r="DF1283" s="35">
        <v>-0.57999999999999996</v>
      </c>
      <c r="DG1283" s="37">
        <v>7.07</v>
      </c>
      <c r="DH1283" s="36">
        <v>86</v>
      </c>
      <c r="DI1283" s="37">
        <v>6.14</v>
      </c>
      <c r="DJ1283" s="36">
        <v>80</v>
      </c>
      <c r="DK1283" s="37" t="s">
        <v>138</v>
      </c>
      <c r="DL1283" s="36" t="s">
        <v>138</v>
      </c>
      <c r="DM1283" s="37">
        <v>7.07</v>
      </c>
      <c r="DN1283" s="36">
        <v>85</v>
      </c>
      <c r="DO1283" s="37">
        <v>7.47</v>
      </c>
      <c r="DP1283" s="36">
        <v>84</v>
      </c>
      <c r="DQ1283" s="36">
        <v>142</v>
      </c>
      <c r="DR1283" s="38">
        <v>0</v>
      </c>
      <c r="DS1283" s="35">
        <v>0</v>
      </c>
      <c r="DT1283" s="36">
        <v>206</v>
      </c>
      <c r="DU1283" s="38">
        <v>-2</v>
      </c>
      <c r="DV1283" s="35">
        <v>-0.96</v>
      </c>
      <c r="DW1283" s="36">
        <v>2672</v>
      </c>
      <c r="DX1283" s="39">
        <v>-1</v>
      </c>
      <c r="DY1283" s="35">
        <v>-0.04</v>
      </c>
      <c r="DZ1283" s="28" t="s">
        <v>178</v>
      </c>
      <c r="EA1283" s="34">
        <v>43584</v>
      </c>
      <c r="EB1283" s="29">
        <v>1.2</v>
      </c>
      <c r="EC1283" s="34">
        <v>42439</v>
      </c>
      <c r="ED1283" s="28" t="s">
        <v>316</v>
      </c>
      <c r="EE1283" s="40" t="str">
        <f>HYPERLINK("https://my.pitchbook.com?c=98914-69", "View company online")</f>
        <v>View company online</v>
      </c>
    </row>
    <row r="1284" spans="1:135">
      <c r="A1284" s="15" t="s">
        <v>24817</v>
      </c>
      <c r="B1284" s="15" t="s">
        <v>24818</v>
      </c>
      <c r="C1284" s="15" t="s">
        <v>138</v>
      </c>
      <c r="D1284" s="15" t="s">
        <v>138</v>
      </c>
      <c r="E1284" s="15" t="s">
        <v>138</v>
      </c>
      <c r="F1284" s="15" t="s">
        <v>24817</v>
      </c>
      <c r="G1284" s="15" t="s">
        <v>24819</v>
      </c>
      <c r="H1284" s="15" t="s">
        <v>322</v>
      </c>
      <c r="I1284" s="15" t="s">
        <v>323</v>
      </c>
      <c r="J1284" s="15" t="s">
        <v>324</v>
      </c>
      <c r="K1284" s="15" t="s">
        <v>5902</v>
      </c>
      <c r="L1284" s="15" t="s">
        <v>215</v>
      </c>
      <c r="M1284" s="15" t="s">
        <v>24820</v>
      </c>
      <c r="N1284" s="15" t="s">
        <v>1212</v>
      </c>
      <c r="O1284" s="17">
        <v>0.14000000000000001</v>
      </c>
      <c r="P1284" s="15" t="s">
        <v>148</v>
      </c>
      <c r="Q1284" s="15" t="s">
        <v>149</v>
      </c>
      <c r="R1284" s="15" t="s">
        <v>174</v>
      </c>
      <c r="S1284" s="15" t="s">
        <v>24821</v>
      </c>
      <c r="T1284" s="18">
        <v>3</v>
      </c>
      <c r="U1284" s="15" t="s">
        <v>5398</v>
      </c>
      <c r="V1284" s="15" t="s">
        <v>138</v>
      </c>
      <c r="W1284" s="15" t="s">
        <v>138</v>
      </c>
      <c r="X1284" s="19">
        <v>2010</v>
      </c>
      <c r="Y1284" s="15" t="s">
        <v>138</v>
      </c>
      <c r="Z1284" s="15" t="s">
        <v>138</v>
      </c>
      <c r="AA1284" s="15" t="s">
        <v>138</v>
      </c>
      <c r="AB1284" s="20" t="s">
        <v>138</v>
      </c>
      <c r="AC1284" s="20" t="s">
        <v>138</v>
      </c>
      <c r="AD1284" s="20" t="s">
        <v>138</v>
      </c>
      <c r="AE1284" s="20" t="s">
        <v>138</v>
      </c>
      <c r="AF1284" s="20" t="s">
        <v>138</v>
      </c>
      <c r="AG1284" s="15" t="s">
        <v>138</v>
      </c>
      <c r="AH1284" s="20" t="s">
        <v>138</v>
      </c>
      <c r="AI1284" s="20" t="s">
        <v>138</v>
      </c>
      <c r="AJ1284" s="20" t="s">
        <v>138</v>
      </c>
      <c r="AK1284" s="15" t="s">
        <v>24822</v>
      </c>
      <c r="AL1284" s="15" t="s">
        <v>24823</v>
      </c>
      <c r="AM1284" s="15" t="s">
        <v>938</v>
      </c>
      <c r="AN1284" s="15" t="s">
        <v>24824</v>
      </c>
      <c r="AO1284" s="15" t="s">
        <v>24825</v>
      </c>
      <c r="AP1284" s="15" t="s">
        <v>22869</v>
      </c>
      <c r="AQ1284" s="15" t="s">
        <v>24826</v>
      </c>
      <c r="AR1284" s="15" t="s">
        <v>138</v>
      </c>
      <c r="AS1284" s="15" t="s">
        <v>22871</v>
      </c>
      <c r="AT1284" s="15" t="s">
        <v>138</v>
      </c>
      <c r="AU1284" s="15" t="s">
        <v>24827</v>
      </c>
      <c r="AV1284" s="15" t="s">
        <v>946</v>
      </c>
      <c r="AW1284" s="15" t="s">
        <v>24825</v>
      </c>
      <c r="AX1284" s="15" t="s">
        <v>138</v>
      </c>
      <c r="AY1284" s="15" t="s">
        <v>24828</v>
      </c>
      <c r="AZ1284" s="15" t="s">
        <v>530</v>
      </c>
      <c r="BA1284" s="15" t="s">
        <v>531</v>
      </c>
      <c r="BB1284" s="15" t="s">
        <v>24829</v>
      </c>
      <c r="BC1284" s="15" t="s">
        <v>24830</v>
      </c>
      <c r="BD1284" s="21">
        <v>1</v>
      </c>
      <c r="BE1284" s="15" t="s">
        <v>138</v>
      </c>
      <c r="BF1284" s="15" t="s">
        <v>2912</v>
      </c>
      <c r="BG1284" s="15" t="s">
        <v>138</v>
      </c>
      <c r="BH1284" s="15" t="s">
        <v>24831</v>
      </c>
      <c r="BI1284" s="15" t="s">
        <v>2914</v>
      </c>
      <c r="BJ1284" s="15" t="s">
        <v>138</v>
      </c>
      <c r="BK1284" s="15" t="s">
        <v>138</v>
      </c>
      <c r="BL1284" s="15" t="s">
        <v>138</v>
      </c>
      <c r="BM1284" s="22" t="s">
        <v>138</v>
      </c>
      <c r="BN1284" s="17" t="s">
        <v>138</v>
      </c>
      <c r="BO1284" s="15" t="s">
        <v>138</v>
      </c>
      <c r="BP1284" s="17" t="s">
        <v>138</v>
      </c>
      <c r="BQ1284" s="15" t="s">
        <v>138</v>
      </c>
      <c r="BR1284" s="15" t="s">
        <v>316</v>
      </c>
      <c r="BS1284" s="15" t="s">
        <v>138</v>
      </c>
      <c r="BT1284" s="15" t="s">
        <v>138</v>
      </c>
      <c r="BU1284" s="15" t="s">
        <v>177</v>
      </c>
      <c r="BV1284" s="15" t="s">
        <v>138</v>
      </c>
      <c r="BW1284" s="15" t="s">
        <v>138</v>
      </c>
      <c r="BX1284" s="15" t="s">
        <v>138</v>
      </c>
      <c r="BY1284" s="15" t="s">
        <v>175</v>
      </c>
      <c r="BZ1284" s="22" t="s">
        <v>138</v>
      </c>
      <c r="CA1284" s="17" t="s">
        <v>138</v>
      </c>
      <c r="CB1284" s="15" t="s">
        <v>138</v>
      </c>
      <c r="CC1284" s="17" t="s">
        <v>138</v>
      </c>
      <c r="CD1284" s="15" t="s">
        <v>138</v>
      </c>
      <c r="CE1284" s="15" t="s">
        <v>379</v>
      </c>
      <c r="CF1284" s="15" t="s">
        <v>138</v>
      </c>
      <c r="CG1284" s="15" t="s">
        <v>138</v>
      </c>
      <c r="CH1284" s="15" t="s">
        <v>177</v>
      </c>
      <c r="CI1284" s="15" t="s">
        <v>138</v>
      </c>
      <c r="CJ1284" s="15" t="s">
        <v>138</v>
      </c>
      <c r="CK1284" s="15" t="s">
        <v>138</v>
      </c>
      <c r="CL1284" s="15" t="s">
        <v>175</v>
      </c>
      <c r="CM1284" s="22" t="s">
        <v>138</v>
      </c>
      <c r="CN1284" s="17" t="s">
        <v>138</v>
      </c>
      <c r="CO1284" s="23" t="s">
        <v>138</v>
      </c>
      <c r="CP1284" s="24" t="s">
        <v>138</v>
      </c>
      <c r="CQ1284" s="23" t="s">
        <v>138</v>
      </c>
      <c r="CR1284" s="23" t="s">
        <v>138</v>
      </c>
      <c r="CS1284" s="23" t="s">
        <v>138</v>
      </c>
      <c r="CT1284" s="24" t="s">
        <v>138</v>
      </c>
      <c r="CU1284" s="23" t="s">
        <v>138</v>
      </c>
      <c r="CV1284" s="24" t="s">
        <v>138</v>
      </c>
      <c r="CW1284" s="23" t="s">
        <v>138</v>
      </c>
      <c r="CX1284" s="24" t="s">
        <v>138</v>
      </c>
      <c r="CY1284" s="23" t="s">
        <v>138</v>
      </c>
      <c r="CZ1284" s="24" t="s">
        <v>138</v>
      </c>
      <c r="DA1284" s="23" t="s">
        <v>138</v>
      </c>
      <c r="DB1284" s="24" t="s">
        <v>138</v>
      </c>
      <c r="DC1284" s="25" t="s">
        <v>138</v>
      </c>
      <c r="DD1284" s="24" t="s">
        <v>138</v>
      </c>
      <c r="DE1284" s="25" t="s">
        <v>138</v>
      </c>
      <c r="DF1284" s="23" t="s">
        <v>138</v>
      </c>
      <c r="DG1284" s="25" t="s">
        <v>138</v>
      </c>
      <c r="DH1284" s="24" t="s">
        <v>138</v>
      </c>
      <c r="DI1284" s="25" t="s">
        <v>138</v>
      </c>
      <c r="DJ1284" s="24" t="s">
        <v>138</v>
      </c>
      <c r="DK1284" s="25" t="s">
        <v>138</v>
      </c>
      <c r="DL1284" s="24" t="s">
        <v>138</v>
      </c>
      <c r="DM1284" s="25" t="s">
        <v>138</v>
      </c>
      <c r="DN1284" s="24" t="s">
        <v>138</v>
      </c>
      <c r="DO1284" s="25" t="s">
        <v>138</v>
      </c>
      <c r="DP1284" s="24" t="s">
        <v>138</v>
      </c>
      <c r="DQ1284" s="24" t="s">
        <v>138</v>
      </c>
      <c r="DR1284" s="26" t="s">
        <v>138</v>
      </c>
      <c r="DS1284" s="23" t="s">
        <v>138</v>
      </c>
      <c r="DT1284" s="24" t="s">
        <v>138</v>
      </c>
      <c r="DU1284" s="26" t="s">
        <v>138</v>
      </c>
      <c r="DV1284" s="23" t="s">
        <v>138</v>
      </c>
      <c r="DW1284" s="24" t="s">
        <v>138</v>
      </c>
      <c r="DX1284" s="27" t="s">
        <v>138</v>
      </c>
      <c r="DY1284" s="23" t="s">
        <v>138</v>
      </c>
      <c r="DZ1284" s="15" t="s">
        <v>178</v>
      </c>
      <c r="EA1284" s="22">
        <v>43448</v>
      </c>
      <c r="EB1284" s="17" t="s">
        <v>138</v>
      </c>
      <c r="EC1284" s="22" t="s">
        <v>138</v>
      </c>
      <c r="ED1284" s="15" t="s">
        <v>138</v>
      </c>
      <c r="EE1284" s="14" t="str">
        <f>HYPERLINK("https://my.pitchbook.com?c=99934-12", "View company online")</f>
        <v>View company online</v>
      </c>
    </row>
    <row r="1285" spans="1:135">
      <c r="A1285" s="28" t="s">
        <v>24832</v>
      </c>
      <c r="B1285" s="28" t="s">
        <v>24833</v>
      </c>
      <c r="C1285" s="28" t="s">
        <v>138</v>
      </c>
      <c r="D1285" s="28" t="s">
        <v>138</v>
      </c>
      <c r="E1285" s="28" t="s">
        <v>24834</v>
      </c>
      <c r="F1285" s="28" t="s">
        <v>24832</v>
      </c>
      <c r="G1285" s="28" t="s">
        <v>24835</v>
      </c>
      <c r="H1285" s="28" t="s">
        <v>322</v>
      </c>
      <c r="I1285" s="28" t="s">
        <v>323</v>
      </c>
      <c r="J1285" s="28" t="s">
        <v>413</v>
      </c>
      <c r="K1285" s="28" t="s">
        <v>24836</v>
      </c>
      <c r="L1285" s="28" t="s">
        <v>7721</v>
      </c>
      <c r="M1285" s="28" t="s">
        <v>24837</v>
      </c>
      <c r="N1285" s="28" t="s">
        <v>147</v>
      </c>
      <c r="O1285" s="29">
        <v>3150</v>
      </c>
      <c r="P1285" s="28" t="s">
        <v>148</v>
      </c>
      <c r="Q1285" s="28" t="s">
        <v>149</v>
      </c>
      <c r="R1285" s="28" t="s">
        <v>174</v>
      </c>
      <c r="S1285" s="28" t="s">
        <v>24838</v>
      </c>
      <c r="T1285" s="30" t="s">
        <v>138</v>
      </c>
      <c r="U1285" s="28" t="s">
        <v>138</v>
      </c>
      <c r="V1285" s="28" t="s">
        <v>138</v>
      </c>
      <c r="W1285" s="28" t="s">
        <v>138</v>
      </c>
      <c r="X1285" s="31">
        <v>2010</v>
      </c>
      <c r="Y1285" s="28" t="s">
        <v>138</v>
      </c>
      <c r="Z1285" s="28" t="s">
        <v>138</v>
      </c>
      <c r="AA1285" s="28" t="s">
        <v>1163</v>
      </c>
      <c r="AB1285" s="32">
        <v>288</v>
      </c>
      <c r="AC1285" s="32" t="s">
        <v>138</v>
      </c>
      <c r="AD1285" s="32" t="s">
        <v>138</v>
      </c>
      <c r="AE1285" s="32" t="s">
        <v>138</v>
      </c>
      <c r="AF1285" s="32" t="s">
        <v>138</v>
      </c>
      <c r="AG1285" s="28" t="s">
        <v>514</v>
      </c>
      <c r="AH1285" s="32" t="s">
        <v>138</v>
      </c>
      <c r="AI1285" s="32" t="s">
        <v>138</v>
      </c>
      <c r="AJ1285" s="32" t="s">
        <v>138</v>
      </c>
      <c r="AK1285" s="28" t="s">
        <v>24839</v>
      </c>
      <c r="AL1285" s="28" t="s">
        <v>24840</v>
      </c>
      <c r="AM1285" s="28" t="s">
        <v>916</v>
      </c>
      <c r="AN1285" s="28" t="s">
        <v>138</v>
      </c>
      <c r="AO1285" s="28" t="s">
        <v>138</v>
      </c>
      <c r="AP1285" s="28" t="s">
        <v>24841</v>
      </c>
      <c r="AQ1285" s="28" t="s">
        <v>24842</v>
      </c>
      <c r="AR1285" s="28" t="s">
        <v>24843</v>
      </c>
      <c r="AS1285" s="28" t="s">
        <v>24844</v>
      </c>
      <c r="AT1285" s="28" t="s">
        <v>138</v>
      </c>
      <c r="AU1285" s="28" t="s">
        <v>24845</v>
      </c>
      <c r="AV1285" s="28" t="s">
        <v>24846</v>
      </c>
      <c r="AW1285" s="28" t="s">
        <v>24847</v>
      </c>
      <c r="AX1285" s="28" t="s">
        <v>138</v>
      </c>
      <c r="AY1285" s="28" t="s">
        <v>24848</v>
      </c>
      <c r="AZ1285" s="28" t="s">
        <v>452</v>
      </c>
      <c r="BA1285" s="28" t="s">
        <v>1748</v>
      </c>
      <c r="BB1285" s="28" t="s">
        <v>24849</v>
      </c>
      <c r="BC1285" s="28" t="s">
        <v>24850</v>
      </c>
      <c r="BD1285" s="33">
        <v>31</v>
      </c>
      <c r="BE1285" s="28" t="s">
        <v>138</v>
      </c>
      <c r="BF1285" s="28" t="s">
        <v>138</v>
      </c>
      <c r="BG1285" s="28" t="s">
        <v>138</v>
      </c>
      <c r="BH1285" s="28" t="s">
        <v>24851</v>
      </c>
      <c r="BI1285" s="28" t="s">
        <v>138</v>
      </c>
      <c r="BJ1285" s="28" t="s">
        <v>138</v>
      </c>
      <c r="BK1285" s="28" t="s">
        <v>138</v>
      </c>
      <c r="BL1285" s="28" t="s">
        <v>24852</v>
      </c>
      <c r="BM1285" s="34" t="s">
        <v>138</v>
      </c>
      <c r="BN1285" s="29" t="s">
        <v>138</v>
      </c>
      <c r="BO1285" s="28" t="s">
        <v>138</v>
      </c>
      <c r="BP1285" s="29" t="s">
        <v>138</v>
      </c>
      <c r="BQ1285" s="28" t="s">
        <v>138</v>
      </c>
      <c r="BR1285" s="28" t="s">
        <v>205</v>
      </c>
      <c r="BS1285" s="28" t="s">
        <v>138</v>
      </c>
      <c r="BT1285" s="28" t="s">
        <v>138</v>
      </c>
      <c r="BU1285" s="28" t="s">
        <v>174</v>
      </c>
      <c r="BV1285" s="28" t="s">
        <v>138</v>
      </c>
      <c r="BW1285" s="28" t="s">
        <v>138</v>
      </c>
      <c r="BX1285" s="28" t="s">
        <v>138</v>
      </c>
      <c r="BY1285" s="28" t="s">
        <v>175</v>
      </c>
      <c r="BZ1285" s="34">
        <v>43258</v>
      </c>
      <c r="CA1285" s="29">
        <v>1100</v>
      </c>
      <c r="CB1285" s="28" t="s">
        <v>172</v>
      </c>
      <c r="CC1285" s="29">
        <v>9500</v>
      </c>
      <c r="CD1285" s="28" t="s">
        <v>172</v>
      </c>
      <c r="CE1285" s="28" t="s">
        <v>173</v>
      </c>
      <c r="CF1285" s="28" t="s">
        <v>408</v>
      </c>
      <c r="CG1285" s="28" t="s">
        <v>138</v>
      </c>
      <c r="CH1285" s="28" t="s">
        <v>174</v>
      </c>
      <c r="CI1285" s="28" t="s">
        <v>138</v>
      </c>
      <c r="CJ1285" s="28" t="s">
        <v>138</v>
      </c>
      <c r="CK1285" s="28" t="s">
        <v>138</v>
      </c>
      <c r="CL1285" s="28" t="s">
        <v>352</v>
      </c>
      <c r="CM1285" s="34" t="s">
        <v>138</v>
      </c>
      <c r="CN1285" s="29" t="s">
        <v>138</v>
      </c>
      <c r="CO1285" s="35">
        <v>1.01</v>
      </c>
      <c r="CP1285" s="36">
        <v>97</v>
      </c>
      <c r="CQ1285" s="35">
        <v>0</v>
      </c>
      <c r="CR1285" s="35">
        <v>0.44</v>
      </c>
      <c r="CS1285" s="35">
        <v>1.77</v>
      </c>
      <c r="CT1285" s="36">
        <v>98</v>
      </c>
      <c r="CU1285" s="35">
        <v>0.24</v>
      </c>
      <c r="CV1285" s="36">
        <v>84</v>
      </c>
      <c r="CW1285" s="35">
        <v>4.82</v>
      </c>
      <c r="CX1285" s="36">
        <v>95</v>
      </c>
      <c r="CY1285" s="35">
        <v>-1.28</v>
      </c>
      <c r="CZ1285" s="36">
        <v>17</v>
      </c>
      <c r="DA1285" s="35">
        <v>0.38</v>
      </c>
      <c r="DB1285" s="36">
        <v>91</v>
      </c>
      <c r="DC1285" s="37">
        <v>601.32000000000005</v>
      </c>
      <c r="DD1285" s="36">
        <v>100</v>
      </c>
      <c r="DE1285" s="37">
        <v>2.88</v>
      </c>
      <c r="DF1285" s="35">
        <v>0.48</v>
      </c>
      <c r="DG1285" s="37">
        <v>55.07</v>
      </c>
      <c r="DH1285" s="36">
        <v>98</v>
      </c>
      <c r="DI1285" s="37">
        <v>1729.51</v>
      </c>
      <c r="DJ1285" s="36">
        <v>100</v>
      </c>
      <c r="DK1285" s="37">
        <v>11.8</v>
      </c>
      <c r="DL1285" s="36">
        <v>88</v>
      </c>
      <c r="DM1285" s="37">
        <v>98.34</v>
      </c>
      <c r="DN1285" s="36">
        <v>99</v>
      </c>
      <c r="DO1285" s="37">
        <v>2265.21</v>
      </c>
      <c r="DP1285" s="36">
        <v>100</v>
      </c>
      <c r="DQ1285" s="36">
        <v>4008</v>
      </c>
      <c r="DR1285" s="38">
        <v>115</v>
      </c>
      <c r="DS1285" s="35">
        <v>2.95</v>
      </c>
      <c r="DT1285" s="36">
        <v>2840</v>
      </c>
      <c r="DU1285" s="38">
        <v>26</v>
      </c>
      <c r="DV1285" s="35">
        <v>0.92</v>
      </c>
      <c r="DW1285" s="36">
        <v>810187</v>
      </c>
      <c r="DX1285" s="39">
        <v>1686</v>
      </c>
      <c r="DY1285" s="35">
        <v>0.21</v>
      </c>
      <c r="DZ1285" s="28" t="s">
        <v>178</v>
      </c>
      <c r="EA1285" s="34">
        <v>43622</v>
      </c>
      <c r="EB1285" s="29">
        <v>9500</v>
      </c>
      <c r="EC1285" s="34">
        <v>43258</v>
      </c>
      <c r="ED1285" s="28" t="s">
        <v>173</v>
      </c>
      <c r="EE1285" s="40" t="str">
        <f>HYPERLINK("https://my.pitchbook.com?c=108715-69", "View company online")</f>
        <v>View company online</v>
      </c>
    </row>
    <row r="1286" spans="1:135">
      <c r="A1286" s="15" t="s">
        <v>24853</v>
      </c>
      <c r="B1286" s="15" t="s">
        <v>24854</v>
      </c>
      <c r="C1286" s="15" t="s">
        <v>138</v>
      </c>
      <c r="D1286" s="15" t="s">
        <v>138</v>
      </c>
      <c r="E1286" s="15" t="s">
        <v>24855</v>
      </c>
      <c r="F1286" s="15" t="s">
        <v>24853</v>
      </c>
      <c r="G1286" s="15" t="s">
        <v>24856</v>
      </c>
      <c r="H1286" s="15" t="s">
        <v>322</v>
      </c>
      <c r="I1286" s="15" t="s">
        <v>323</v>
      </c>
      <c r="J1286" s="15" t="s">
        <v>324</v>
      </c>
      <c r="K1286" s="15" t="s">
        <v>3192</v>
      </c>
      <c r="L1286" s="15" t="s">
        <v>17884</v>
      </c>
      <c r="M1286" s="15" t="s">
        <v>24857</v>
      </c>
      <c r="N1286" s="15" t="s">
        <v>147</v>
      </c>
      <c r="O1286" s="17">
        <v>32.21</v>
      </c>
      <c r="P1286" s="15" t="s">
        <v>148</v>
      </c>
      <c r="Q1286" s="15" t="s">
        <v>149</v>
      </c>
      <c r="R1286" s="15" t="s">
        <v>244</v>
      </c>
      <c r="S1286" s="15" t="s">
        <v>24858</v>
      </c>
      <c r="T1286" s="18">
        <v>45</v>
      </c>
      <c r="U1286" s="15" t="s">
        <v>24859</v>
      </c>
      <c r="V1286" s="15" t="s">
        <v>138</v>
      </c>
      <c r="W1286" s="15" t="s">
        <v>138</v>
      </c>
      <c r="X1286" s="19">
        <v>2008</v>
      </c>
      <c r="Y1286" s="15" t="s">
        <v>138</v>
      </c>
      <c r="Z1286" s="15" t="s">
        <v>138</v>
      </c>
      <c r="AA1286" s="15" t="s">
        <v>138</v>
      </c>
      <c r="AB1286" s="20" t="s">
        <v>138</v>
      </c>
      <c r="AC1286" s="20" t="s">
        <v>138</v>
      </c>
      <c r="AD1286" s="20" t="s">
        <v>138</v>
      </c>
      <c r="AE1286" s="20" t="s">
        <v>138</v>
      </c>
      <c r="AF1286" s="20" t="s">
        <v>138</v>
      </c>
      <c r="AG1286" s="15" t="s">
        <v>138</v>
      </c>
      <c r="AH1286" s="20" t="s">
        <v>138</v>
      </c>
      <c r="AI1286" s="20" t="s">
        <v>138</v>
      </c>
      <c r="AJ1286" s="20" t="s">
        <v>138</v>
      </c>
      <c r="AK1286" s="15" t="s">
        <v>24860</v>
      </c>
      <c r="AL1286" s="15" t="s">
        <v>24861</v>
      </c>
      <c r="AM1286" s="15" t="s">
        <v>365</v>
      </c>
      <c r="AN1286" s="15" t="s">
        <v>24862</v>
      </c>
      <c r="AO1286" s="15" t="s">
        <v>24863</v>
      </c>
      <c r="AP1286" s="15" t="s">
        <v>1514</v>
      </c>
      <c r="AQ1286" s="15" t="s">
        <v>24864</v>
      </c>
      <c r="AR1286" s="15" t="s">
        <v>1170</v>
      </c>
      <c r="AS1286" s="15" t="s">
        <v>1516</v>
      </c>
      <c r="AT1286" s="15" t="s">
        <v>284</v>
      </c>
      <c r="AU1286" s="15" t="s">
        <v>24865</v>
      </c>
      <c r="AV1286" s="15" t="s">
        <v>162</v>
      </c>
      <c r="AW1286" s="15" t="s">
        <v>24863</v>
      </c>
      <c r="AX1286" s="15" t="s">
        <v>138</v>
      </c>
      <c r="AY1286" s="15" t="s">
        <v>24866</v>
      </c>
      <c r="AZ1286" s="15" t="s">
        <v>164</v>
      </c>
      <c r="BA1286" s="15" t="s">
        <v>165</v>
      </c>
      <c r="BB1286" s="15" t="s">
        <v>14250</v>
      </c>
      <c r="BC1286" s="15" t="s">
        <v>24867</v>
      </c>
      <c r="BD1286" s="21">
        <v>11</v>
      </c>
      <c r="BE1286" s="15" t="s">
        <v>138</v>
      </c>
      <c r="BF1286" s="15" t="s">
        <v>138</v>
      </c>
      <c r="BG1286" s="15" t="s">
        <v>138</v>
      </c>
      <c r="BH1286" s="15" t="s">
        <v>24868</v>
      </c>
      <c r="BI1286" s="15" t="s">
        <v>138</v>
      </c>
      <c r="BJ1286" s="15" t="s">
        <v>138</v>
      </c>
      <c r="BK1286" s="15" t="s">
        <v>2314</v>
      </c>
      <c r="BL1286" s="15" t="s">
        <v>24869</v>
      </c>
      <c r="BM1286" s="22">
        <v>40501</v>
      </c>
      <c r="BN1286" s="17">
        <v>0.63</v>
      </c>
      <c r="BO1286" s="15" t="s">
        <v>172</v>
      </c>
      <c r="BP1286" s="17">
        <v>3.18</v>
      </c>
      <c r="BQ1286" s="15" t="s">
        <v>172</v>
      </c>
      <c r="BR1286" s="15" t="s">
        <v>262</v>
      </c>
      <c r="BS1286" s="15" t="s">
        <v>206</v>
      </c>
      <c r="BT1286" s="15" t="s">
        <v>138</v>
      </c>
      <c r="BU1286" s="15" t="s">
        <v>263</v>
      </c>
      <c r="BV1286" s="15" t="s">
        <v>138</v>
      </c>
      <c r="BW1286" s="15" t="s">
        <v>138</v>
      </c>
      <c r="BX1286" s="15" t="s">
        <v>138</v>
      </c>
      <c r="BY1286" s="15" t="s">
        <v>175</v>
      </c>
      <c r="BZ1286" s="22">
        <v>43101</v>
      </c>
      <c r="CA1286" s="17" t="s">
        <v>138</v>
      </c>
      <c r="CB1286" s="15" t="s">
        <v>138</v>
      </c>
      <c r="CC1286" s="17" t="s">
        <v>138</v>
      </c>
      <c r="CD1286" s="15" t="s">
        <v>138</v>
      </c>
      <c r="CE1286" s="15" t="s">
        <v>1326</v>
      </c>
      <c r="CF1286" s="15" t="s">
        <v>138</v>
      </c>
      <c r="CG1286" s="15" t="s">
        <v>138</v>
      </c>
      <c r="CH1286" s="15" t="s">
        <v>1327</v>
      </c>
      <c r="CI1286" s="15" t="s">
        <v>5777</v>
      </c>
      <c r="CJ1286" s="15" t="s">
        <v>138</v>
      </c>
      <c r="CK1286" s="15" t="s">
        <v>138</v>
      </c>
      <c r="CL1286" s="15" t="s">
        <v>175</v>
      </c>
      <c r="CM1286" s="22">
        <v>43101</v>
      </c>
      <c r="CN1286" s="17" t="s">
        <v>138</v>
      </c>
      <c r="CO1286" s="23">
        <v>-0.53</v>
      </c>
      <c r="CP1286" s="24">
        <v>16</v>
      </c>
      <c r="CQ1286" s="23">
        <v>0.01</v>
      </c>
      <c r="CR1286" s="23">
        <v>2.2599999999999998</v>
      </c>
      <c r="CS1286" s="23">
        <v>-2.21</v>
      </c>
      <c r="CT1286" s="24">
        <v>8</v>
      </c>
      <c r="CU1286" s="23">
        <v>0</v>
      </c>
      <c r="CV1286" s="24">
        <v>22</v>
      </c>
      <c r="CW1286" s="23">
        <v>-1.63</v>
      </c>
      <c r="CX1286" s="24">
        <v>8</v>
      </c>
      <c r="CY1286" s="23">
        <v>-2.78</v>
      </c>
      <c r="CZ1286" s="24">
        <v>8</v>
      </c>
      <c r="DA1286" s="23">
        <v>0.04</v>
      </c>
      <c r="DB1286" s="24">
        <v>62</v>
      </c>
      <c r="DC1286" s="25">
        <v>169.76</v>
      </c>
      <c r="DD1286" s="24">
        <v>100</v>
      </c>
      <c r="DE1286" s="25">
        <v>6.34</v>
      </c>
      <c r="DF1286" s="23">
        <v>3.88</v>
      </c>
      <c r="DG1286" s="25">
        <v>60.99</v>
      </c>
      <c r="DH1286" s="24">
        <v>99</v>
      </c>
      <c r="DI1286" s="25">
        <v>10.74</v>
      </c>
      <c r="DJ1286" s="24">
        <v>86</v>
      </c>
      <c r="DK1286" s="25">
        <v>47.54</v>
      </c>
      <c r="DL1286" s="24">
        <v>96</v>
      </c>
      <c r="DM1286" s="25">
        <v>74.45</v>
      </c>
      <c r="DN1286" s="24">
        <v>99</v>
      </c>
      <c r="DO1286" s="25">
        <v>10.92</v>
      </c>
      <c r="DP1286" s="24">
        <v>88</v>
      </c>
      <c r="DQ1286" s="24">
        <v>16578</v>
      </c>
      <c r="DR1286" s="26">
        <v>-820</v>
      </c>
      <c r="DS1286" s="23">
        <v>-4.71</v>
      </c>
      <c r="DT1286" s="24">
        <v>2159</v>
      </c>
      <c r="DU1286" s="26">
        <v>-1</v>
      </c>
      <c r="DV1286" s="23">
        <v>-0.05</v>
      </c>
      <c r="DW1286" s="24">
        <v>3909</v>
      </c>
      <c r="DX1286" s="27">
        <v>1</v>
      </c>
      <c r="DY1286" s="23">
        <v>0.03</v>
      </c>
      <c r="DZ1286" s="15" t="s">
        <v>178</v>
      </c>
      <c r="EA1286" s="22">
        <v>43523</v>
      </c>
      <c r="EB1286" s="17">
        <v>71</v>
      </c>
      <c r="EC1286" s="22">
        <v>42720</v>
      </c>
      <c r="ED1286" s="15" t="s">
        <v>173</v>
      </c>
      <c r="EE1286" s="14" t="str">
        <f>HYPERLINK("https://my.pitchbook.com?c=52304-23", "View company online")</f>
        <v>View company online</v>
      </c>
    </row>
    <row r="1287" spans="1:135">
      <c r="A1287" s="28" t="s">
        <v>24870</v>
      </c>
      <c r="B1287" s="28" t="s">
        <v>24871</v>
      </c>
      <c r="C1287" s="28" t="s">
        <v>138</v>
      </c>
      <c r="D1287" s="28" t="s">
        <v>138</v>
      </c>
      <c r="E1287" s="28" t="s">
        <v>24872</v>
      </c>
      <c r="F1287" s="28" t="s">
        <v>24870</v>
      </c>
      <c r="G1287" s="28" t="s">
        <v>24873</v>
      </c>
      <c r="H1287" s="28" t="s">
        <v>238</v>
      </c>
      <c r="I1287" s="28" t="s">
        <v>749</v>
      </c>
      <c r="J1287" s="28" t="s">
        <v>2855</v>
      </c>
      <c r="K1287" s="28" t="s">
        <v>18613</v>
      </c>
      <c r="L1287" s="28" t="s">
        <v>3285</v>
      </c>
      <c r="M1287" s="28" t="s">
        <v>24874</v>
      </c>
      <c r="N1287" s="28" t="s">
        <v>147</v>
      </c>
      <c r="O1287" s="29">
        <v>192.39</v>
      </c>
      <c r="P1287" s="28" t="s">
        <v>148</v>
      </c>
      <c r="Q1287" s="28" t="s">
        <v>149</v>
      </c>
      <c r="R1287" s="28" t="s">
        <v>174</v>
      </c>
      <c r="S1287" s="28" t="s">
        <v>24875</v>
      </c>
      <c r="T1287" s="30">
        <v>200</v>
      </c>
      <c r="U1287" s="28" t="s">
        <v>24876</v>
      </c>
      <c r="V1287" s="28" t="s">
        <v>138</v>
      </c>
      <c r="W1287" s="28" t="s">
        <v>138</v>
      </c>
      <c r="X1287" s="31" t="s">
        <v>138</v>
      </c>
      <c r="Y1287" s="28" t="s">
        <v>138</v>
      </c>
      <c r="Z1287" s="28" t="s">
        <v>138</v>
      </c>
      <c r="AA1287" s="28" t="s">
        <v>24877</v>
      </c>
      <c r="AB1287" s="32">
        <v>100</v>
      </c>
      <c r="AC1287" s="32" t="s">
        <v>138</v>
      </c>
      <c r="AD1287" s="32" t="s">
        <v>138</v>
      </c>
      <c r="AE1287" s="32" t="s">
        <v>138</v>
      </c>
      <c r="AF1287" s="32" t="s">
        <v>138</v>
      </c>
      <c r="AG1287" s="28" t="s">
        <v>815</v>
      </c>
      <c r="AH1287" s="32" t="s">
        <v>138</v>
      </c>
      <c r="AI1287" s="32" t="s">
        <v>138</v>
      </c>
      <c r="AJ1287" s="32" t="s">
        <v>138</v>
      </c>
      <c r="AK1287" s="28" t="s">
        <v>24878</v>
      </c>
      <c r="AL1287" s="28" t="s">
        <v>24879</v>
      </c>
      <c r="AM1287" s="28" t="s">
        <v>5401</v>
      </c>
      <c r="AN1287" s="28" t="s">
        <v>24880</v>
      </c>
      <c r="AO1287" s="28" t="s">
        <v>138</v>
      </c>
      <c r="AP1287" s="28" t="s">
        <v>423</v>
      </c>
      <c r="AQ1287" s="28" t="s">
        <v>2673</v>
      </c>
      <c r="AR1287" s="28" t="s">
        <v>24881</v>
      </c>
      <c r="AS1287" s="28" t="s">
        <v>426</v>
      </c>
      <c r="AT1287" s="28" t="s">
        <v>426</v>
      </c>
      <c r="AU1287" s="28" t="s">
        <v>921</v>
      </c>
      <c r="AV1287" s="28" t="s">
        <v>162</v>
      </c>
      <c r="AW1287" s="28" t="s">
        <v>138</v>
      </c>
      <c r="AX1287" s="28" t="s">
        <v>138</v>
      </c>
      <c r="AY1287" s="28" t="s">
        <v>24882</v>
      </c>
      <c r="AZ1287" s="28" t="s">
        <v>164</v>
      </c>
      <c r="BA1287" s="28" t="s">
        <v>165</v>
      </c>
      <c r="BB1287" s="28" t="s">
        <v>24883</v>
      </c>
      <c r="BC1287" s="28" t="s">
        <v>24884</v>
      </c>
      <c r="BD1287" s="33">
        <v>18</v>
      </c>
      <c r="BE1287" s="28" t="s">
        <v>138</v>
      </c>
      <c r="BF1287" s="28" t="s">
        <v>138</v>
      </c>
      <c r="BG1287" s="28" t="s">
        <v>138</v>
      </c>
      <c r="BH1287" s="28" t="s">
        <v>24885</v>
      </c>
      <c r="BI1287" s="28" t="s">
        <v>138</v>
      </c>
      <c r="BJ1287" s="28" t="s">
        <v>138</v>
      </c>
      <c r="BK1287" s="28" t="s">
        <v>24886</v>
      </c>
      <c r="BL1287" s="28" t="s">
        <v>1691</v>
      </c>
      <c r="BM1287" s="34">
        <v>41275</v>
      </c>
      <c r="BN1287" s="29">
        <v>2</v>
      </c>
      <c r="BO1287" s="28" t="s">
        <v>172</v>
      </c>
      <c r="BP1287" s="29">
        <v>10</v>
      </c>
      <c r="BQ1287" s="28" t="s">
        <v>172</v>
      </c>
      <c r="BR1287" s="28" t="s">
        <v>234</v>
      </c>
      <c r="BS1287" s="28" t="s">
        <v>234</v>
      </c>
      <c r="BT1287" s="28" t="s">
        <v>138</v>
      </c>
      <c r="BU1287" s="28" t="s">
        <v>174</v>
      </c>
      <c r="BV1287" s="28" t="s">
        <v>138</v>
      </c>
      <c r="BW1287" s="28" t="s">
        <v>138</v>
      </c>
      <c r="BX1287" s="28" t="s">
        <v>138</v>
      </c>
      <c r="BY1287" s="28" t="s">
        <v>175</v>
      </c>
      <c r="BZ1287" s="34">
        <v>43543</v>
      </c>
      <c r="CA1287" s="29">
        <v>100</v>
      </c>
      <c r="CB1287" s="28" t="s">
        <v>172</v>
      </c>
      <c r="CC1287" s="29">
        <v>1200</v>
      </c>
      <c r="CD1287" s="28" t="s">
        <v>172</v>
      </c>
      <c r="CE1287" s="28" t="s">
        <v>173</v>
      </c>
      <c r="CF1287" s="28" t="s">
        <v>433</v>
      </c>
      <c r="CG1287" s="28" t="s">
        <v>138</v>
      </c>
      <c r="CH1287" s="28" t="s">
        <v>174</v>
      </c>
      <c r="CI1287" s="28" t="s">
        <v>138</v>
      </c>
      <c r="CJ1287" s="28" t="s">
        <v>138</v>
      </c>
      <c r="CK1287" s="28" t="s">
        <v>138</v>
      </c>
      <c r="CL1287" s="28" t="s">
        <v>175</v>
      </c>
      <c r="CM1287" s="34" t="s">
        <v>138</v>
      </c>
      <c r="CN1287" s="29" t="s">
        <v>138</v>
      </c>
      <c r="CO1287" s="35">
        <v>-0.34</v>
      </c>
      <c r="CP1287" s="36">
        <v>18</v>
      </c>
      <c r="CQ1287" s="35">
        <v>0.03</v>
      </c>
      <c r="CR1287" s="35">
        <v>7.58</v>
      </c>
      <c r="CS1287" s="35">
        <v>-2.16</v>
      </c>
      <c r="CT1287" s="36">
        <v>8</v>
      </c>
      <c r="CU1287" s="35">
        <v>0.63</v>
      </c>
      <c r="CV1287" s="36">
        <v>95</v>
      </c>
      <c r="CW1287" s="35">
        <v>-4.5</v>
      </c>
      <c r="CX1287" s="36">
        <v>3</v>
      </c>
      <c r="CY1287" s="35">
        <v>0.18</v>
      </c>
      <c r="CZ1287" s="36">
        <v>98</v>
      </c>
      <c r="DA1287" s="35">
        <v>0.78</v>
      </c>
      <c r="DB1287" s="36">
        <v>97</v>
      </c>
      <c r="DC1287" s="37">
        <v>229.95</v>
      </c>
      <c r="DD1287" s="36">
        <v>100</v>
      </c>
      <c r="DE1287" s="37">
        <v>-16.47</v>
      </c>
      <c r="DF1287" s="35">
        <v>-6.69</v>
      </c>
      <c r="DG1287" s="37">
        <v>662.95</v>
      </c>
      <c r="DH1287" s="36">
        <v>100</v>
      </c>
      <c r="DI1287" s="37">
        <v>255.2</v>
      </c>
      <c r="DJ1287" s="36">
        <v>99</v>
      </c>
      <c r="DK1287" s="37">
        <v>1052.83</v>
      </c>
      <c r="DL1287" s="36">
        <v>100</v>
      </c>
      <c r="DM1287" s="37">
        <v>273.07</v>
      </c>
      <c r="DN1287" s="36">
        <v>100</v>
      </c>
      <c r="DO1287" s="37">
        <v>234.82</v>
      </c>
      <c r="DP1287" s="36">
        <v>99</v>
      </c>
      <c r="DQ1287" s="36">
        <v>364989</v>
      </c>
      <c r="DR1287" s="38">
        <v>-11603</v>
      </c>
      <c r="DS1287" s="35">
        <v>-3.08</v>
      </c>
      <c r="DT1287" s="36">
        <v>7908</v>
      </c>
      <c r="DU1287" s="38">
        <v>39</v>
      </c>
      <c r="DV1287" s="35">
        <v>0.5</v>
      </c>
      <c r="DW1287" s="36">
        <v>83891</v>
      </c>
      <c r="DX1287" s="39">
        <v>467</v>
      </c>
      <c r="DY1287" s="35">
        <v>0.56000000000000005</v>
      </c>
      <c r="DZ1287" s="28" t="s">
        <v>178</v>
      </c>
      <c r="EA1287" s="34">
        <v>43570</v>
      </c>
      <c r="EB1287" s="29">
        <v>1200</v>
      </c>
      <c r="EC1287" s="34">
        <v>43543</v>
      </c>
      <c r="ED1287" s="28" t="s">
        <v>173</v>
      </c>
      <c r="EE1287" s="40" t="str">
        <f>HYPERLINK("https://my.pitchbook.com?c=104052-34", "View company online")</f>
        <v>View company online</v>
      </c>
    </row>
    <row r="1288" spans="1:135">
      <c r="A1288" s="15" t="s">
        <v>24887</v>
      </c>
      <c r="B1288" s="15" t="s">
        <v>24888</v>
      </c>
      <c r="C1288" s="15" t="s">
        <v>138</v>
      </c>
      <c r="D1288" s="15" t="s">
        <v>138</v>
      </c>
      <c r="E1288" s="15" t="s">
        <v>24889</v>
      </c>
      <c r="F1288" s="15" t="s">
        <v>24887</v>
      </c>
      <c r="G1288" s="15" t="s">
        <v>24890</v>
      </c>
      <c r="H1288" s="15" t="s">
        <v>183</v>
      </c>
      <c r="I1288" s="15" t="s">
        <v>184</v>
      </c>
      <c r="J1288" s="15" t="s">
        <v>2141</v>
      </c>
      <c r="K1288" s="15" t="s">
        <v>24891</v>
      </c>
      <c r="L1288" s="15" t="s">
        <v>17791</v>
      </c>
      <c r="M1288" s="15" t="s">
        <v>24892</v>
      </c>
      <c r="N1288" s="15" t="s">
        <v>147</v>
      </c>
      <c r="O1288" s="17">
        <v>71</v>
      </c>
      <c r="P1288" s="15" t="s">
        <v>148</v>
      </c>
      <c r="Q1288" s="15" t="s">
        <v>149</v>
      </c>
      <c r="R1288" s="15" t="s">
        <v>174</v>
      </c>
      <c r="S1288" s="15" t="s">
        <v>24893</v>
      </c>
      <c r="T1288" s="18">
        <v>46</v>
      </c>
      <c r="U1288" s="15" t="s">
        <v>24894</v>
      </c>
      <c r="V1288" s="15" t="s">
        <v>138</v>
      </c>
      <c r="W1288" s="15" t="s">
        <v>138</v>
      </c>
      <c r="X1288" s="19">
        <v>2010</v>
      </c>
      <c r="Y1288" s="15" t="s">
        <v>138</v>
      </c>
      <c r="Z1288" s="15" t="s">
        <v>1163</v>
      </c>
      <c r="AA1288" s="15" t="s">
        <v>1163</v>
      </c>
      <c r="AB1288" s="20" t="s">
        <v>138</v>
      </c>
      <c r="AC1288" s="20" t="s">
        <v>138</v>
      </c>
      <c r="AD1288" s="20" t="s">
        <v>138</v>
      </c>
      <c r="AE1288" s="20" t="s">
        <v>138</v>
      </c>
      <c r="AF1288" s="20" t="s">
        <v>138</v>
      </c>
      <c r="AG1288" s="15" t="s">
        <v>138</v>
      </c>
      <c r="AH1288" s="20" t="s">
        <v>138</v>
      </c>
      <c r="AI1288" s="20" t="s">
        <v>138</v>
      </c>
      <c r="AJ1288" s="20" t="s">
        <v>138</v>
      </c>
      <c r="AK1288" s="15" t="s">
        <v>24895</v>
      </c>
      <c r="AL1288" s="15" t="s">
        <v>24896</v>
      </c>
      <c r="AM1288" s="15" t="s">
        <v>24897</v>
      </c>
      <c r="AN1288" s="15" t="s">
        <v>24898</v>
      </c>
      <c r="AO1288" s="15" t="s">
        <v>24899</v>
      </c>
      <c r="AP1288" s="15" t="s">
        <v>964</v>
      </c>
      <c r="AQ1288" s="15" t="s">
        <v>24900</v>
      </c>
      <c r="AR1288" s="15" t="s">
        <v>138</v>
      </c>
      <c r="AS1288" s="15" t="s">
        <v>966</v>
      </c>
      <c r="AT1288" s="15" t="s">
        <v>200</v>
      </c>
      <c r="AU1288" s="15" t="s">
        <v>1590</v>
      </c>
      <c r="AV1288" s="15" t="s">
        <v>162</v>
      </c>
      <c r="AW1288" s="15" t="s">
        <v>24899</v>
      </c>
      <c r="AX1288" s="15" t="s">
        <v>138</v>
      </c>
      <c r="AY1288" s="15" t="s">
        <v>138</v>
      </c>
      <c r="AZ1288" s="15" t="s">
        <v>164</v>
      </c>
      <c r="BA1288" s="15" t="s">
        <v>165</v>
      </c>
      <c r="BB1288" s="15" t="s">
        <v>24901</v>
      </c>
      <c r="BC1288" s="15" t="s">
        <v>24902</v>
      </c>
      <c r="BD1288" s="21">
        <v>16</v>
      </c>
      <c r="BE1288" s="15" t="s">
        <v>138</v>
      </c>
      <c r="BF1288" s="15" t="s">
        <v>138</v>
      </c>
      <c r="BG1288" s="15" t="s">
        <v>138</v>
      </c>
      <c r="BH1288" s="15" t="s">
        <v>24903</v>
      </c>
      <c r="BI1288" s="15" t="s">
        <v>138</v>
      </c>
      <c r="BJ1288" s="15" t="s">
        <v>138</v>
      </c>
      <c r="BK1288" s="15" t="s">
        <v>24904</v>
      </c>
      <c r="BL1288" s="15" t="s">
        <v>14847</v>
      </c>
      <c r="BM1288" s="22">
        <v>40491</v>
      </c>
      <c r="BN1288" s="17">
        <v>1</v>
      </c>
      <c r="BO1288" s="15" t="s">
        <v>172</v>
      </c>
      <c r="BP1288" s="17">
        <v>2.5</v>
      </c>
      <c r="BQ1288" s="15" t="s">
        <v>172</v>
      </c>
      <c r="BR1288" s="15" t="s">
        <v>234</v>
      </c>
      <c r="BS1288" s="15" t="s">
        <v>234</v>
      </c>
      <c r="BT1288" s="15" t="s">
        <v>138</v>
      </c>
      <c r="BU1288" s="15" t="s">
        <v>174</v>
      </c>
      <c r="BV1288" s="15" t="s">
        <v>138</v>
      </c>
      <c r="BW1288" s="15" t="s">
        <v>138</v>
      </c>
      <c r="BX1288" s="15" t="s">
        <v>138</v>
      </c>
      <c r="BY1288" s="15" t="s">
        <v>175</v>
      </c>
      <c r="BZ1288" s="22">
        <v>42913</v>
      </c>
      <c r="CA1288" s="17">
        <v>35</v>
      </c>
      <c r="CB1288" s="15" t="s">
        <v>172</v>
      </c>
      <c r="CC1288" s="17">
        <v>140</v>
      </c>
      <c r="CD1288" s="15" t="s">
        <v>172</v>
      </c>
      <c r="CE1288" s="15" t="s">
        <v>173</v>
      </c>
      <c r="CF1288" s="15" t="s">
        <v>317</v>
      </c>
      <c r="CG1288" s="15" t="s">
        <v>138</v>
      </c>
      <c r="CH1288" s="15" t="s">
        <v>174</v>
      </c>
      <c r="CI1288" s="15" t="s">
        <v>138</v>
      </c>
      <c r="CJ1288" s="15" t="s">
        <v>138</v>
      </c>
      <c r="CK1288" s="15" t="s">
        <v>138</v>
      </c>
      <c r="CL1288" s="15" t="s">
        <v>175</v>
      </c>
      <c r="CM1288" s="22" t="s">
        <v>138</v>
      </c>
      <c r="CN1288" s="17" t="s">
        <v>138</v>
      </c>
      <c r="CO1288" s="23">
        <v>0.1</v>
      </c>
      <c r="CP1288" s="24">
        <v>90</v>
      </c>
      <c r="CQ1288" s="23">
        <v>-0.03</v>
      </c>
      <c r="CR1288" s="23">
        <v>-19.809999999999999</v>
      </c>
      <c r="CS1288" s="23">
        <v>-0.21</v>
      </c>
      <c r="CT1288" s="24">
        <v>22</v>
      </c>
      <c r="CU1288" s="23">
        <v>0.17</v>
      </c>
      <c r="CV1288" s="24">
        <v>77</v>
      </c>
      <c r="CW1288" s="23">
        <v>2.46</v>
      </c>
      <c r="CX1288" s="24">
        <v>90</v>
      </c>
      <c r="CY1288" s="23">
        <v>-2.87</v>
      </c>
      <c r="CZ1288" s="24">
        <v>7</v>
      </c>
      <c r="DA1288" s="23">
        <v>0.17</v>
      </c>
      <c r="DB1288" s="24">
        <v>80</v>
      </c>
      <c r="DC1288" s="25">
        <v>12.14</v>
      </c>
      <c r="DD1288" s="24">
        <v>92</v>
      </c>
      <c r="DE1288" s="25">
        <v>-0.2</v>
      </c>
      <c r="DF1288" s="23">
        <v>-1.65</v>
      </c>
      <c r="DG1288" s="25">
        <v>25.78</v>
      </c>
      <c r="DH1288" s="24">
        <v>96</v>
      </c>
      <c r="DI1288" s="25">
        <v>6.59</v>
      </c>
      <c r="DJ1288" s="24">
        <v>81</v>
      </c>
      <c r="DK1288" s="25">
        <v>13.41</v>
      </c>
      <c r="DL1288" s="24">
        <v>89</v>
      </c>
      <c r="DM1288" s="25">
        <v>38.14</v>
      </c>
      <c r="DN1288" s="24">
        <v>97</v>
      </c>
      <c r="DO1288" s="25">
        <v>6.59</v>
      </c>
      <c r="DP1288" s="24">
        <v>83</v>
      </c>
      <c r="DQ1288" s="24">
        <v>4524</v>
      </c>
      <c r="DR1288" s="26">
        <v>231</v>
      </c>
      <c r="DS1288" s="23">
        <v>5.38</v>
      </c>
      <c r="DT1288" s="24">
        <v>1105</v>
      </c>
      <c r="DU1288" s="26">
        <v>4</v>
      </c>
      <c r="DV1288" s="23">
        <v>0.36</v>
      </c>
      <c r="DW1288" s="24">
        <v>2359</v>
      </c>
      <c r="DX1288" s="27">
        <v>3</v>
      </c>
      <c r="DY1288" s="23">
        <v>0.13</v>
      </c>
      <c r="DZ1288" s="15" t="s">
        <v>178</v>
      </c>
      <c r="EA1288" s="22">
        <v>43622</v>
      </c>
      <c r="EB1288" s="17">
        <v>140</v>
      </c>
      <c r="EC1288" s="22">
        <v>42913</v>
      </c>
      <c r="ED1288" s="15" t="s">
        <v>173</v>
      </c>
      <c r="EE1288" s="14" t="str">
        <f>HYPERLINK("https://my.pitchbook.com?c=53744-77", "View company online")</f>
        <v>View company online</v>
      </c>
    </row>
    <row r="1289" spans="1:135">
      <c r="A1289" s="28" t="s">
        <v>24905</v>
      </c>
      <c r="B1289" s="28" t="s">
        <v>24906</v>
      </c>
      <c r="C1289" s="28" t="s">
        <v>138</v>
      </c>
      <c r="D1289" s="28" t="s">
        <v>138</v>
      </c>
      <c r="E1289" s="28" t="s">
        <v>24907</v>
      </c>
      <c r="F1289" s="28" t="s">
        <v>24905</v>
      </c>
      <c r="G1289" s="28" t="s">
        <v>24908</v>
      </c>
      <c r="H1289" s="28" t="s">
        <v>322</v>
      </c>
      <c r="I1289" s="28" t="s">
        <v>356</v>
      </c>
      <c r="J1289" s="28" t="s">
        <v>1901</v>
      </c>
      <c r="K1289" s="28" t="s">
        <v>24909</v>
      </c>
      <c r="L1289" s="28" t="s">
        <v>17367</v>
      </c>
      <c r="M1289" s="28" t="s">
        <v>24910</v>
      </c>
      <c r="N1289" s="28" t="s">
        <v>147</v>
      </c>
      <c r="O1289" s="29">
        <v>84.41</v>
      </c>
      <c r="P1289" s="28" t="s">
        <v>148</v>
      </c>
      <c r="Q1289" s="28" t="s">
        <v>149</v>
      </c>
      <c r="R1289" s="28" t="s">
        <v>174</v>
      </c>
      <c r="S1289" s="28" t="s">
        <v>24911</v>
      </c>
      <c r="T1289" s="30" t="s">
        <v>138</v>
      </c>
      <c r="U1289" s="28" t="s">
        <v>138</v>
      </c>
      <c r="V1289" s="28" t="s">
        <v>138</v>
      </c>
      <c r="W1289" s="28" t="s">
        <v>138</v>
      </c>
      <c r="X1289" s="31">
        <v>2010</v>
      </c>
      <c r="Y1289" s="28" t="s">
        <v>138</v>
      </c>
      <c r="Z1289" s="28" t="s">
        <v>138</v>
      </c>
      <c r="AA1289" s="28" t="s">
        <v>138</v>
      </c>
      <c r="AB1289" s="32" t="s">
        <v>138</v>
      </c>
      <c r="AC1289" s="32" t="s">
        <v>138</v>
      </c>
      <c r="AD1289" s="32" t="s">
        <v>138</v>
      </c>
      <c r="AE1289" s="32" t="s">
        <v>138</v>
      </c>
      <c r="AF1289" s="32" t="s">
        <v>138</v>
      </c>
      <c r="AG1289" s="28" t="s">
        <v>138</v>
      </c>
      <c r="AH1289" s="32" t="s">
        <v>138</v>
      </c>
      <c r="AI1289" s="32" t="s">
        <v>138</v>
      </c>
      <c r="AJ1289" s="32" t="s">
        <v>138</v>
      </c>
      <c r="AK1289" s="28" t="s">
        <v>24912</v>
      </c>
      <c r="AL1289" s="28" t="s">
        <v>24913</v>
      </c>
      <c r="AM1289" s="28" t="s">
        <v>24914</v>
      </c>
      <c r="AN1289" s="28" t="s">
        <v>24915</v>
      </c>
      <c r="AO1289" s="28" t="s">
        <v>1957</v>
      </c>
      <c r="AP1289" s="28" t="s">
        <v>3328</v>
      </c>
      <c r="AQ1289" s="28" t="s">
        <v>24916</v>
      </c>
      <c r="AR1289" s="28" t="s">
        <v>24917</v>
      </c>
      <c r="AS1289" s="28" t="s">
        <v>3330</v>
      </c>
      <c r="AT1289" s="28" t="s">
        <v>200</v>
      </c>
      <c r="AU1289" s="28" t="s">
        <v>11841</v>
      </c>
      <c r="AV1289" s="28" t="s">
        <v>162</v>
      </c>
      <c r="AW1289" s="28" t="s">
        <v>1957</v>
      </c>
      <c r="AX1289" s="28" t="s">
        <v>138</v>
      </c>
      <c r="AY1289" s="28" t="s">
        <v>24918</v>
      </c>
      <c r="AZ1289" s="28" t="s">
        <v>164</v>
      </c>
      <c r="BA1289" s="28" t="s">
        <v>165</v>
      </c>
      <c r="BB1289" s="28" t="s">
        <v>24919</v>
      </c>
      <c r="BC1289" s="28" t="s">
        <v>24920</v>
      </c>
      <c r="BD1289" s="33">
        <v>18</v>
      </c>
      <c r="BE1289" s="28" t="s">
        <v>138</v>
      </c>
      <c r="BF1289" s="28" t="s">
        <v>138</v>
      </c>
      <c r="BG1289" s="28" t="s">
        <v>138</v>
      </c>
      <c r="BH1289" s="28" t="s">
        <v>24921</v>
      </c>
      <c r="BI1289" s="28" t="s">
        <v>138</v>
      </c>
      <c r="BJ1289" s="28" t="s">
        <v>138</v>
      </c>
      <c r="BK1289" s="28" t="s">
        <v>1275</v>
      </c>
      <c r="BL1289" s="28" t="s">
        <v>1275</v>
      </c>
      <c r="BM1289" s="34">
        <v>41942</v>
      </c>
      <c r="BN1289" s="29">
        <v>10</v>
      </c>
      <c r="BO1289" s="28" t="s">
        <v>138</v>
      </c>
      <c r="BP1289" s="29">
        <v>50</v>
      </c>
      <c r="BQ1289" s="28" t="s">
        <v>138</v>
      </c>
      <c r="BR1289" s="28" t="s">
        <v>205</v>
      </c>
      <c r="BS1289" s="28" t="s">
        <v>206</v>
      </c>
      <c r="BT1289" s="28" t="s">
        <v>138</v>
      </c>
      <c r="BU1289" s="28" t="s">
        <v>174</v>
      </c>
      <c r="BV1289" s="28" t="s">
        <v>138</v>
      </c>
      <c r="BW1289" s="28" t="s">
        <v>138</v>
      </c>
      <c r="BX1289" s="28" t="s">
        <v>138</v>
      </c>
      <c r="BY1289" s="28" t="s">
        <v>175</v>
      </c>
      <c r="BZ1289" s="34">
        <v>43100</v>
      </c>
      <c r="CA1289" s="29">
        <v>40</v>
      </c>
      <c r="CB1289" s="28" t="s">
        <v>172</v>
      </c>
      <c r="CC1289" s="29">
        <v>190</v>
      </c>
      <c r="CD1289" s="28" t="s">
        <v>172</v>
      </c>
      <c r="CE1289" s="28" t="s">
        <v>173</v>
      </c>
      <c r="CF1289" s="28" t="s">
        <v>317</v>
      </c>
      <c r="CG1289" s="28" t="s">
        <v>138</v>
      </c>
      <c r="CH1289" s="28" t="s">
        <v>174</v>
      </c>
      <c r="CI1289" s="28" t="s">
        <v>138</v>
      </c>
      <c r="CJ1289" s="28" t="s">
        <v>138</v>
      </c>
      <c r="CK1289" s="28" t="s">
        <v>138</v>
      </c>
      <c r="CL1289" s="28" t="s">
        <v>175</v>
      </c>
      <c r="CM1289" s="34" t="s">
        <v>138</v>
      </c>
      <c r="CN1289" s="29" t="s">
        <v>138</v>
      </c>
      <c r="CO1289" s="35">
        <v>-0.42</v>
      </c>
      <c r="CP1289" s="36">
        <v>17</v>
      </c>
      <c r="CQ1289" s="35">
        <v>0.08</v>
      </c>
      <c r="CR1289" s="35">
        <v>16.420000000000002</v>
      </c>
      <c r="CS1289" s="35">
        <v>-0.83</v>
      </c>
      <c r="CT1289" s="36">
        <v>16</v>
      </c>
      <c r="CU1289" s="35">
        <v>-0.02</v>
      </c>
      <c r="CV1289" s="36">
        <v>17</v>
      </c>
      <c r="CW1289" s="35">
        <v>0</v>
      </c>
      <c r="CX1289" s="36">
        <v>13</v>
      </c>
      <c r="CY1289" s="35">
        <v>-1.66</v>
      </c>
      <c r="CZ1289" s="36">
        <v>14</v>
      </c>
      <c r="DA1289" s="35">
        <v>0</v>
      </c>
      <c r="DB1289" s="36">
        <v>22</v>
      </c>
      <c r="DC1289" s="37">
        <v>1.92</v>
      </c>
      <c r="DD1289" s="36">
        <v>66</v>
      </c>
      <c r="DE1289" s="37">
        <v>-0.01</v>
      </c>
      <c r="DF1289" s="35">
        <v>-0.73</v>
      </c>
      <c r="DG1289" s="37">
        <v>2.04</v>
      </c>
      <c r="DH1289" s="36">
        <v>67</v>
      </c>
      <c r="DI1289" s="37">
        <v>1.81</v>
      </c>
      <c r="DJ1289" s="36">
        <v>60</v>
      </c>
      <c r="DK1289" s="37">
        <v>0.22</v>
      </c>
      <c r="DL1289" s="36">
        <v>16</v>
      </c>
      <c r="DM1289" s="37">
        <v>3.86</v>
      </c>
      <c r="DN1289" s="36">
        <v>78</v>
      </c>
      <c r="DO1289" s="37">
        <v>1.55</v>
      </c>
      <c r="DP1289" s="36">
        <v>59</v>
      </c>
      <c r="DQ1289" s="36">
        <v>90</v>
      </c>
      <c r="DR1289" s="38">
        <v>-47</v>
      </c>
      <c r="DS1289" s="35">
        <v>-34.31</v>
      </c>
      <c r="DT1289" s="36">
        <v>112</v>
      </c>
      <c r="DU1289" s="38">
        <v>-1</v>
      </c>
      <c r="DV1289" s="35">
        <v>-0.88</v>
      </c>
      <c r="DW1289" s="36">
        <v>554</v>
      </c>
      <c r="DX1289" s="39">
        <v>1</v>
      </c>
      <c r="DY1289" s="35">
        <v>0.18</v>
      </c>
      <c r="DZ1289" s="28" t="s">
        <v>178</v>
      </c>
      <c r="EA1289" s="34">
        <v>43622</v>
      </c>
      <c r="EB1289" s="29">
        <v>190</v>
      </c>
      <c r="EC1289" s="34">
        <v>43100</v>
      </c>
      <c r="ED1289" s="28" t="s">
        <v>173</v>
      </c>
      <c r="EE1289" s="40" t="str">
        <f>HYPERLINK("https://my.pitchbook.com?c=131292-82", "View company online")</f>
        <v>View company online</v>
      </c>
    </row>
    <row r="1290" spans="1:135">
      <c r="A1290" s="15" t="s">
        <v>24922</v>
      </c>
      <c r="B1290" s="15" t="s">
        <v>24923</v>
      </c>
      <c r="C1290" s="15" t="s">
        <v>138</v>
      </c>
      <c r="D1290" s="15" t="s">
        <v>24924</v>
      </c>
      <c r="E1290" s="15" t="s">
        <v>138</v>
      </c>
      <c r="F1290" s="15" t="s">
        <v>24922</v>
      </c>
      <c r="G1290" s="15" t="s">
        <v>24925</v>
      </c>
      <c r="H1290" s="15" t="s">
        <v>141</v>
      </c>
      <c r="I1290" s="15" t="s">
        <v>212</v>
      </c>
      <c r="J1290" s="15" t="s">
        <v>3547</v>
      </c>
      <c r="K1290" s="15" t="s">
        <v>20407</v>
      </c>
      <c r="L1290" s="15" t="s">
        <v>20408</v>
      </c>
      <c r="M1290" s="15" t="s">
        <v>24926</v>
      </c>
      <c r="N1290" s="15" t="s">
        <v>147</v>
      </c>
      <c r="O1290" s="17">
        <v>8</v>
      </c>
      <c r="P1290" s="15" t="s">
        <v>148</v>
      </c>
      <c r="Q1290" s="15" t="s">
        <v>149</v>
      </c>
      <c r="R1290" s="15" t="s">
        <v>174</v>
      </c>
      <c r="S1290" s="15" t="s">
        <v>24927</v>
      </c>
      <c r="T1290" s="18">
        <v>214</v>
      </c>
      <c r="U1290" s="15" t="s">
        <v>24928</v>
      </c>
      <c r="V1290" s="15" t="s">
        <v>138</v>
      </c>
      <c r="W1290" s="15" t="s">
        <v>138</v>
      </c>
      <c r="X1290" s="19">
        <v>2008</v>
      </c>
      <c r="Y1290" s="15" t="s">
        <v>138</v>
      </c>
      <c r="Z1290" s="15" t="s">
        <v>138</v>
      </c>
      <c r="AA1290" s="15" t="s">
        <v>138</v>
      </c>
      <c r="AB1290" s="20" t="s">
        <v>138</v>
      </c>
      <c r="AC1290" s="20" t="s">
        <v>138</v>
      </c>
      <c r="AD1290" s="20" t="s">
        <v>138</v>
      </c>
      <c r="AE1290" s="20" t="s">
        <v>138</v>
      </c>
      <c r="AF1290" s="20" t="s">
        <v>138</v>
      </c>
      <c r="AG1290" s="15" t="s">
        <v>138</v>
      </c>
      <c r="AH1290" s="20" t="s">
        <v>138</v>
      </c>
      <c r="AI1290" s="20" t="s">
        <v>138</v>
      </c>
      <c r="AJ1290" s="20" t="s">
        <v>138</v>
      </c>
      <c r="AK1290" s="15" t="s">
        <v>24929</v>
      </c>
      <c r="AL1290" s="15" t="s">
        <v>24930</v>
      </c>
      <c r="AM1290" s="15" t="s">
        <v>304</v>
      </c>
      <c r="AN1290" s="15" t="s">
        <v>24931</v>
      </c>
      <c r="AO1290" s="15" t="s">
        <v>24932</v>
      </c>
      <c r="AP1290" s="15" t="s">
        <v>5359</v>
      </c>
      <c r="AQ1290" s="15" t="s">
        <v>24933</v>
      </c>
      <c r="AR1290" s="15" t="s">
        <v>24934</v>
      </c>
      <c r="AS1290" s="15" t="s">
        <v>5362</v>
      </c>
      <c r="AT1290" s="15" t="s">
        <v>3453</v>
      </c>
      <c r="AU1290" s="15" t="s">
        <v>24935</v>
      </c>
      <c r="AV1290" s="15" t="s">
        <v>2333</v>
      </c>
      <c r="AW1290" s="15" t="s">
        <v>24932</v>
      </c>
      <c r="AX1290" s="15" t="s">
        <v>24936</v>
      </c>
      <c r="AY1290" s="15" t="s">
        <v>24937</v>
      </c>
      <c r="AZ1290" s="15" t="s">
        <v>452</v>
      </c>
      <c r="BA1290" s="15" t="s">
        <v>2335</v>
      </c>
      <c r="BB1290" s="15" t="s">
        <v>24938</v>
      </c>
      <c r="BC1290" s="15" t="s">
        <v>24939</v>
      </c>
      <c r="BD1290" s="21">
        <v>4</v>
      </c>
      <c r="BE1290" s="15" t="s">
        <v>138</v>
      </c>
      <c r="BF1290" s="15" t="s">
        <v>138</v>
      </c>
      <c r="BG1290" s="15" t="s">
        <v>138</v>
      </c>
      <c r="BH1290" s="15" t="s">
        <v>24940</v>
      </c>
      <c r="BI1290" s="15" t="s">
        <v>138</v>
      </c>
      <c r="BJ1290" s="15" t="s">
        <v>138</v>
      </c>
      <c r="BK1290" s="15" t="s">
        <v>138</v>
      </c>
      <c r="BL1290" s="15" t="s">
        <v>138</v>
      </c>
      <c r="BM1290" s="22">
        <v>39847</v>
      </c>
      <c r="BN1290" s="17">
        <v>8</v>
      </c>
      <c r="BO1290" s="15" t="s">
        <v>172</v>
      </c>
      <c r="BP1290" s="17" t="s">
        <v>138</v>
      </c>
      <c r="BQ1290" s="15" t="s">
        <v>138</v>
      </c>
      <c r="BR1290" s="15" t="s">
        <v>205</v>
      </c>
      <c r="BS1290" s="15" t="s">
        <v>138</v>
      </c>
      <c r="BT1290" s="15" t="s">
        <v>138</v>
      </c>
      <c r="BU1290" s="15" t="s">
        <v>174</v>
      </c>
      <c r="BV1290" s="15" t="s">
        <v>138</v>
      </c>
      <c r="BW1290" s="15" t="s">
        <v>138</v>
      </c>
      <c r="BX1290" s="15" t="s">
        <v>138</v>
      </c>
      <c r="BY1290" s="15" t="s">
        <v>175</v>
      </c>
      <c r="BZ1290" s="22">
        <v>39847</v>
      </c>
      <c r="CA1290" s="17">
        <v>8</v>
      </c>
      <c r="CB1290" s="15" t="s">
        <v>172</v>
      </c>
      <c r="CC1290" s="17" t="s">
        <v>138</v>
      </c>
      <c r="CD1290" s="15" t="s">
        <v>138</v>
      </c>
      <c r="CE1290" s="15" t="s">
        <v>205</v>
      </c>
      <c r="CF1290" s="15" t="s">
        <v>138</v>
      </c>
      <c r="CG1290" s="15" t="s">
        <v>138</v>
      </c>
      <c r="CH1290" s="15" t="s">
        <v>174</v>
      </c>
      <c r="CI1290" s="15" t="s">
        <v>138</v>
      </c>
      <c r="CJ1290" s="15" t="s">
        <v>138</v>
      </c>
      <c r="CK1290" s="15" t="s">
        <v>138</v>
      </c>
      <c r="CL1290" s="15" t="s">
        <v>175</v>
      </c>
      <c r="CM1290" s="22" t="s">
        <v>138</v>
      </c>
      <c r="CN1290" s="17" t="s">
        <v>138</v>
      </c>
      <c r="CO1290" s="23">
        <v>0</v>
      </c>
      <c r="CP1290" s="24">
        <v>26</v>
      </c>
      <c r="CQ1290" s="23">
        <v>0.01</v>
      </c>
      <c r="CR1290" s="23">
        <v>273.04000000000002</v>
      </c>
      <c r="CS1290" s="23">
        <v>0</v>
      </c>
      <c r="CT1290" s="24">
        <v>23</v>
      </c>
      <c r="CU1290" s="23">
        <v>0.01</v>
      </c>
      <c r="CV1290" s="24">
        <v>49</v>
      </c>
      <c r="CW1290" s="23" t="s">
        <v>138</v>
      </c>
      <c r="CX1290" s="24" t="s">
        <v>138</v>
      </c>
      <c r="CY1290" s="23">
        <v>0</v>
      </c>
      <c r="CZ1290" s="24">
        <v>25</v>
      </c>
      <c r="DA1290" s="23">
        <v>0</v>
      </c>
      <c r="DB1290" s="24">
        <v>22</v>
      </c>
      <c r="DC1290" s="25">
        <v>2.71</v>
      </c>
      <c r="DD1290" s="24">
        <v>73</v>
      </c>
      <c r="DE1290" s="25">
        <v>-0.02</v>
      </c>
      <c r="DF1290" s="23">
        <v>-0.61</v>
      </c>
      <c r="DG1290" s="25">
        <v>1.45</v>
      </c>
      <c r="DH1290" s="24">
        <v>60</v>
      </c>
      <c r="DI1290" s="25">
        <v>3.97</v>
      </c>
      <c r="DJ1290" s="24">
        <v>74</v>
      </c>
      <c r="DK1290" s="25" t="s">
        <v>138</v>
      </c>
      <c r="DL1290" s="24" t="s">
        <v>138</v>
      </c>
      <c r="DM1290" s="25">
        <v>1.45</v>
      </c>
      <c r="DN1290" s="24">
        <v>59</v>
      </c>
      <c r="DO1290" s="25">
        <v>1.2</v>
      </c>
      <c r="DP1290" s="24">
        <v>54</v>
      </c>
      <c r="DQ1290" s="24" t="s">
        <v>138</v>
      </c>
      <c r="DR1290" s="26" t="s">
        <v>138</v>
      </c>
      <c r="DS1290" s="23" t="s">
        <v>138</v>
      </c>
      <c r="DT1290" s="24">
        <v>42</v>
      </c>
      <c r="DU1290" s="26">
        <v>-1</v>
      </c>
      <c r="DV1290" s="23">
        <v>-2.33</v>
      </c>
      <c r="DW1290" s="24">
        <v>428</v>
      </c>
      <c r="DX1290" s="27">
        <v>0</v>
      </c>
      <c r="DY1290" s="23">
        <v>0</v>
      </c>
      <c r="DZ1290" s="15" t="s">
        <v>178</v>
      </c>
      <c r="EA1290" s="22">
        <v>43351</v>
      </c>
      <c r="EB1290" s="17" t="s">
        <v>138</v>
      </c>
      <c r="EC1290" s="22" t="s">
        <v>138</v>
      </c>
      <c r="ED1290" s="15" t="s">
        <v>138</v>
      </c>
      <c r="EE1290" s="14" t="str">
        <f>HYPERLINK("https://my.pitchbook.com?c=39605-59", "View company online")</f>
        <v>View company online</v>
      </c>
    </row>
    <row r="1291" spans="1:135">
      <c r="A1291" s="28" t="s">
        <v>24941</v>
      </c>
      <c r="B1291" s="28" t="s">
        <v>24942</v>
      </c>
      <c r="C1291" s="28" t="s">
        <v>138</v>
      </c>
      <c r="D1291" s="28" t="s">
        <v>24943</v>
      </c>
      <c r="E1291" s="28" t="s">
        <v>24944</v>
      </c>
      <c r="F1291" s="28" t="s">
        <v>24941</v>
      </c>
      <c r="G1291" s="28" t="s">
        <v>24945</v>
      </c>
      <c r="H1291" s="28" t="s">
        <v>238</v>
      </c>
      <c r="I1291" s="28" t="s">
        <v>785</v>
      </c>
      <c r="J1291" s="28" t="s">
        <v>786</v>
      </c>
      <c r="K1291" s="28" t="s">
        <v>24946</v>
      </c>
      <c r="L1291" s="28" t="s">
        <v>7930</v>
      </c>
      <c r="M1291" s="28" t="s">
        <v>24947</v>
      </c>
      <c r="N1291" s="28" t="s">
        <v>147</v>
      </c>
      <c r="O1291" s="29">
        <v>571.14</v>
      </c>
      <c r="P1291" s="28" t="s">
        <v>148</v>
      </c>
      <c r="Q1291" s="28" t="s">
        <v>149</v>
      </c>
      <c r="R1291" s="28" t="s">
        <v>244</v>
      </c>
      <c r="S1291" s="28" t="s">
        <v>24948</v>
      </c>
      <c r="T1291" s="30">
        <v>9500</v>
      </c>
      <c r="U1291" s="28" t="s">
        <v>24949</v>
      </c>
      <c r="V1291" s="28" t="s">
        <v>138</v>
      </c>
      <c r="W1291" s="28" t="s">
        <v>138</v>
      </c>
      <c r="X1291" s="31">
        <v>2011</v>
      </c>
      <c r="Y1291" s="28" t="s">
        <v>138</v>
      </c>
      <c r="Z1291" s="28" t="s">
        <v>138</v>
      </c>
      <c r="AA1291" s="28" t="s">
        <v>24950</v>
      </c>
      <c r="AB1291" s="32">
        <v>1095</v>
      </c>
      <c r="AC1291" s="32" t="s">
        <v>138</v>
      </c>
      <c r="AD1291" s="32" t="s">
        <v>138</v>
      </c>
      <c r="AE1291" s="32" t="s">
        <v>138</v>
      </c>
      <c r="AF1291" s="32" t="s">
        <v>138</v>
      </c>
      <c r="AG1291" s="28" t="s">
        <v>815</v>
      </c>
      <c r="AH1291" s="32" t="s">
        <v>138</v>
      </c>
      <c r="AI1291" s="32" t="s">
        <v>138</v>
      </c>
      <c r="AJ1291" s="32" t="s">
        <v>138</v>
      </c>
      <c r="AK1291" s="28" t="s">
        <v>24951</v>
      </c>
      <c r="AL1291" s="28" t="s">
        <v>24952</v>
      </c>
      <c r="AM1291" s="28" t="s">
        <v>249</v>
      </c>
      <c r="AN1291" s="28" t="s">
        <v>24953</v>
      </c>
      <c r="AO1291" s="28" t="s">
        <v>138</v>
      </c>
      <c r="AP1291" s="28" t="s">
        <v>24954</v>
      </c>
      <c r="AQ1291" s="28" t="s">
        <v>24955</v>
      </c>
      <c r="AR1291" s="28" t="s">
        <v>138</v>
      </c>
      <c r="AS1291" s="28" t="s">
        <v>24956</v>
      </c>
      <c r="AT1291" s="28" t="s">
        <v>138</v>
      </c>
      <c r="AU1291" s="28" t="s">
        <v>24957</v>
      </c>
      <c r="AV1291" s="28" t="s">
        <v>24958</v>
      </c>
      <c r="AW1291" s="28" t="s">
        <v>138</v>
      </c>
      <c r="AX1291" s="28" t="s">
        <v>138</v>
      </c>
      <c r="AY1291" s="28" t="s">
        <v>24959</v>
      </c>
      <c r="AZ1291" s="28" t="s">
        <v>530</v>
      </c>
      <c r="BA1291" s="28" t="s">
        <v>531</v>
      </c>
      <c r="BB1291" s="28" t="s">
        <v>24960</v>
      </c>
      <c r="BC1291" s="28" t="s">
        <v>24961</v>
      </c>
      <c r="BD1291" s="33">
        <v>11</v>
      </c>
      <c r="BE1291" s="28" t="s">
        <v>138</v>
      </c>
      <c r="BF1291" s="28" t="s">
        <v>138</v>
      </c>
      <c r="BG1291" s="28" t="s">
        <v>138</v>
      </c>
      <c r="BH1291" s="28" t="s">
        <v>24962</v>
      </c>
      <c r="BI1291" s="28" t="s">
        <v>138</v>
      </c>
      <c r="BJ1291" s="28" t="s">
        <v>138</v>
      </c>
      <c r="BK1291" s="28" t="s">
        <v>138</v>
      </c>
      <c r="BL1291" s="28" t="s">
        <v>24963</v>
      </c>
      <c r="BM1291" s="34">
        <v>41886</v>
      </c>
      <c r="BN1291" s="29" t="s">
        <v>138</v>
      </c>
      <c r="BO1291" s="28" t="s">
        <v>138</v>
      </c>
      <c r="BP1291" s="29">
        <v>3500</v>
      </c>
      <c r="BQ1291" s="28" t="s">
        <v>1178</v>
      </c>
      <c r="BR1291" s="28" t="s">
        <v>1423</v>
      </c>
      <c r="BS1291" s="28" t="s">
        <v>138</v>
      </c>
      <c r="BT1291" s="28" t="s">
        <v>138</v>
      </c>
      <c r="BU1291" s="28" t="s">
        <v>174</v>
      </c>
      <c r="BV1291" s="28" t="s">
        <v>138</v>
      </c>
      <c r="BW1291" s="28" t="s">
        <v>138</v>
      </c>
      <c r="BX1291" s="28" t="s">
        <v>138</v>
      </c>
      <c r="BY1291" s="28" t="s">
        <v>175</v>
      </c>
      <c r="BZ1291" s="34">
        <v>43647</v>
      </c>
      <c r="CA1291" s="29">
        <v>349.52</v>
      </c>
      <c r="CB1291" s="28" t="s">
        <v>172</v>
      </c>
      <c r="CC1291" s="29" t="s">
        <v>138</v>
      </c>
      <c r="CD1291" s="28" t="s">
        <v>138</v>
      </c>
      <c r="CE1291" s="28" t="s">
        <v>7613</v>
      </c>
      <c r="CF1291" s="28" t="s">
        <v>138</v>
      </c>
      <c r="CG1291" s="28" t="s">
        <v>138</v>
      </c>
      <c r="CH1291" s="28" t="s">
        <v>7614</v>
      </c>
      <c r="CI1291" s="28" t="s">
        <v>138</v>
      </c>
      <c r="CJ1291" s="28" t="s">
        <v>138</v>
      </c>
      <c r="CK1291" s="28" t="s">
        <v>138</v>
      </c>
      <c r="CL1291" s="28" t="s">
        <v>3093</v>
      </c>
      <c r="CM1291" s="34" t="s">
        <v>138</v>
      </c>
      <c r="CN1291" s="29">
        <v>5.83</v>
      </c>
      <c r="CO1291" s="35">
        <v>0</v>
      </c>
      <c r="CP1291" s="36">
        <v>26</v>
      </c>
      <c r="CQ1291" s="35">
        <v>0</v>
      </c>
      <c r="CR1291" s="35">
        <v>0</v>
      </c>
      <c r="CS1291" s="35">
        <v>0</v>
      </c>
      <c r="CT1291" s="36">
        <v>23</v>
      </c>
      <c r="CU1291" s="35">
        <v>0</v>
      </c>
      <c r="CV1291" s="36">
        <v>22</v>
      </c>
      <c r="CW1291" s="35">
        <v>0</v>
      </c>
      <c r="CX1291" s="36">
        <v>13</v>
      </c>
      <c r="CY1291" s="35">
        <v>0</v>
      </c>
      <c r="CZ1291" s="36">
        <v>25</v>
      </c>
      <c r="DA1291" s="35">
        <v>0</v>
      </c>
      <c r="DB1291" s="36">
        <v>22</v>
      </c>
      <c r="DC1291" s="37">
        <v>0.5</v>
      </c>
      <c r="DD1291" s="36">
        <v>34</v>
      </c>
      <c r="DE1291" s="37">
        <v>-0.4</v>
      </c>
      <c r="DF1291" s="35">
        <v>-43.98</v>
      </c>
      <c r="DG1291" s="37">
        <v>0.85</v>
      </c>
      <c r="DH1291" s="36">
        <v>47</v>
      </c>
      <c r="DI1291" s="37">
        <v>0.16</v>
      </c>
      <c r="DJ1291" s="36">
        <v>19</v>
      </c>
      <c r="DK1291" s="37">
        <v>0.52</v>
      </c>
      <c r="DL1291" s="36">
        <v>36</v>
      </c>
      <c r="DM1291" s="37">
        <v>1.17</v>
      </c>
      <c r="DN1291" s="36">
        <v>54</v>
      </c>
      <c r="DO1291" s="37">
        <v>0.16</v>
      </c>
      <c r="DP1291" s="36">
        <v>22</v>
      </c>
      <c r="DQ1291" s="36">
        <v>179</v>
      </c>
      <c r="DR1291" s="38">
        <v>4</v>
      </c>
      <c r="DS1291" s="35">
        <v>2.29</v>
      </c>
      <c r="DT1291" s="36">
        <v>34</v>
      </c>
      <c r="DU1291" s="38">
        <v>-1</v>
      </c>
      <c r="DV1291" s="35">
        <v>-2.86</v>
      </c>
      <c r="DW1291" s="36">
        <v>54</v>
      </c>
      <c r="DX1291" s="39">
        <v>3</v>
      </c>
      <c r="DY1291" s="35">
        <v>5.88</v>
      </c>
      <c r="DZ1291" s="28" t="s">
        <v>178</v>
      </c>
      <c r="EA1291" s="34">
        <v>43622</v>
      </c>
      <c r="EB1291" s="29">
        <v>1217.0999999999999</v>
      </c>
      <c r="EC1291" s="34">
        <v>42573</v>
      </c>
      <c r="ED1291" s="28" t="s">
        <v>205</v>
      </c>
      <c r="EE1291" s="40" t="str">
        <f>HYPERLINK("https://my.pitchbook.com?c=97203-79", "View company online")</f>
        <v>View company online</v>
      </c>
    </row>
    <row r="1292" spans="1:135">
      <c r="A1292" s="15" t="s">
        <v>24964</v>
      </c>
      <c r="B1292" s="15" t="s">
        <v>24965</v>
      </c>
      <c r="C1292" s="15" t="s">
        <v>138</v>
      </c>
      <c r="D1292" s="15" t="s">
        <v>24966</v>
      </c>
      <c r="E1292" s="15" t="s">
        <v>24967</v>
      </c>
      <c r="F1292" s="15" t="s">
        <v>24964</v>
      </c>
      <c r="G1292" s="15" t="s">
        <v>24968</v>
      </c>
      <c r="H1292" s="15" t="s">
        <v>322</v>
      </c>
      <c r="I1292" s="15" t="s">
        <v>356</v>
      </c>
      <c r="J1292" s="15" t="s">
        <v>357</v>
      </c>
      <c r="K1292" s="15" t="s">
        <v>24969</v>
      </c>
      <c r="L1292" s="15" t="s">
        <v>2210</v>
      </c>
      <c r="M1292" s="15" t="s">
        <v>24970</v>
      </c>
      <c r="N1292" s="15" t="s">
        <v>147</v>
      </c>
      <c r="O1292" s="17">
        <v>83.97</v>
      </c>
      <c r="P1292" s="15" t="s">
        <v>148</v>
      </c>
      <c r="Q1292" s="15" t="s">
        <v>149</v>
      </c>
      <c r="R1292" s="15" t="s">
        <v>174</v>
      </c>
      <c r="S1292" s="15" t="s">
        <v>24971</v>
      </c>
      <c r="T1292" s="18">
        <v>22</v>
      </c>
      <c r="U1292" s="15" t="s">
        <v>24972</v>
      </c>
      <c r="V1292" s="15" t="s">
        <v>138</v>
      </c>
      <c r="W1292" s="15" t="s">
        <v>138</v>
      </c>
      <c r="X1292" s="19">
        <v>2000</v>
      </c>
      <c r="Y1292" s="15" t="s">
        <v>138</v>
      </c>
      <c r="Z1292" s="15" t="s">
        <v>138</v>
      </c>
      <c r="AA1292" s="15" t="s">
        <v>138</v>
      </c>
      <c r="AB1292" s="20" t="s">
        <v>138</v>
      </c>
      <c r="AC1292" s="20" t="s">
        <v>138</v>
      </c>
      <c r="AD1292" s="20" t="s">
        <v>138</v>
      </c>
      <c r="AE1292" s="20" t="s">
        <v>138</v>
      </c>
      <c r="AF1292" s="20" t="s">
        <v>138</v>
      </c>
      <c r="AG1292" s="15" t="s">
        <v>138</v>
      </c>
      <c r="AH1292" s="20" t="s">
        <v>138</v>
      </c>
      <c r="AI1292" s="20" t="s">
        <v>138</v>
      </c>
      <c r="AJ1292" s="20" t="s">
        <v>138</v>
      </c>
      <c r="AK1292" s="15" t="s">
        <v>24973</v>
      </c>
      <c r="AL1292" s="15" t="s">
        <v>24974</v>
      </c>
      <c r="AM1292" s="15" t="s">
        <v>566</v>
      </c>
      <c r="AN1292" s="15" t="s">
        <v>138</v>
      </c>
      <c r="AO1292" s="15" t="s">
        <v>24975</v>
      </c>
      <c r="AP1292" s="15" t="s">
        <v>11748</v>
      </c>
      <c r="AQ1292" s="15" t="s">
        <v>24976</v>
      </c>
      <c r="AR1292" s="15" t="s">
        <v>138</v>
      </c>
      <c r="AS1292" s="15" t="s">
        <v>11750</v>
      </c>
      <c r="AT1292" s="15" t="s">
        <v>200</v>
      </c>
      <c r="AU1292" s="15" t="s">
        <v>11751</v>
      </c>
      <c r="AV1292" s="15" t="s">
        <v>162</v>
      </c>
      <c r="AW1292" s="15" t="s">
        <v>24975</v>
      </c>
      <c r="AX1292" s="15" t="s">
        <v>24977</v>
      </c>
      <c r="AY1292" s="15" t="s">
        <v>138</v>
      </c>
      <c r="AZ1292" s="15" t="s">
        <v>164</v>
      </c>
      <c r="BA1292" s="15" t="s">
        <v>165</v>
      </c>
      <c r="BB1292" s="15" t="s">
        <v>24978</v>
      </c>
      <c r="BC1292" s="15" t="s">
        <v>24979</v>
      </c>
      <c r="BD1292" s="21">
        <v>14</v>
      </c>
      <c r="BE1292" s="15" t="s">
        <v>138</v>
      </c>
      <c r="BF1292" s="15" t="s">
        <v>24980</v>
      </c>
      <c r="BG1292" s="15" t="s">
        <v>138</v>
      </c>
      <c r="BH1292" s="15" t="s">
        <v>24981</v>
      </c>
      <c r="BI1292" s="15" t="s">
        <v>138</v>
      </c>
      <c r="BJ1292" s="15" t="s">
        <v>138</v>
      </c>
      <c r="BK1292" s="15" t="s">
        <v>138</v>
      </c>
      <c r="BL1292" s="15" t="s">
        <v>481</v>
      </c>
      <c r="BM1292" s="22">
        <v>36770</v>
      </c>
      <c r="BN1292" s="17">
        <v>7</v>
      </c>
      <c r="BO1292" s="15" t="s">
        <v>172</v>
      </c>
      <c r="BP1292" s="17">
        <v>16.920000000000002</v>
      </c>
      <c r="BQ1292" s="15" t="s">
        <v>172</v>
      </c>
      <c r="BR1292" s="15" t="s">
        <v>205</v>
      </c>
      <c r="BS1292" s="15" t="s">
        <v>206</v>
      </c>
      <c r="BT1292" s="15" t="s">
        <v>138</v>
      </c>
      <c r="BU1292" s="15" t="s">
        <v>174</v>
      </c>
      <c r="BV1292" s="15" t="s">
        <v>138</v>
      </c>
      <c r="BW1292" s="15" t="s">
        <v>138</v>
      </c>
      <c r="BX1292" s="15" t="s">
        <v>138</v>
      </c>
      <c r="BY1292" s="15" t="s">
        <v>175</v>
      </c>
      <c r="BZ1292" s="22">
        <v>41569</v>
      </c>
      <c r="CA1292" s="17" t="s">
        <v>138</v>
      </c>
      <c r="CB1292" s="15" t="s">
        <v>138</v>
      </c>
      <c r="CC1292" s="17" t="s">
        <v>138</v>
      </c>
      <c r="CD1292" s="15" t="s">
        <v>138</v>
      </c>
      <c r="CE1292" s="15" t="s">
        <v>379</v>
      </c>
      <c r="CF1292" s="15" t="s">
        <v>138</v>
      </c>
      <c r="CG1292" s="15" t="s">
        <v>138</v>
      </c>
      <c r="CH1292" s="15" t="s">
        <v>174</v>
      </c>
      <c r="CI1292" s="15" t="s">
        <v>138</v>
      </c>
      <c r="CJ1292" s="15" t="s">
        <v>138</v>
      </c>
      <c r="CK1292" s="15" t="s">
        <v>138</v>
      </c>
      <c r="CL1292" s="15" t="s">
        <v>175</v>
      </c>
      <c r="CM1292" s="22" t="s">
        <v>138</v>
      </c>
      <c r="CN1292" s="17" t="s">
        <v>138</v>
      </c>
      <c r="CO1292" s="23">
        <v>-1.28</v>
      </c>
      <c r="CP1292" s="24">
        <v>9</v>
      </c>
      <c r="CQ1292" s="23">
        <v>-0.64</v>
      </c>
      <c r="CR1292" s="23">
        <v>-100.62</v>
      </c>
      <c r="CS1292" s="23">
        <v>-2.57</v>
      </c>
      <c r="CT1292" s="24">
        <v>7</v>
      </c>
      <c r="CU1292" s="23">
        <v>0</v>
      </c>
      <c r="CV1292" s="24">
        <v>22</v>
      </c>
      <c r="CW1292" s="23" t="s">
        <v>138</v>
      </c>
      <c r="CX1292" s="24" t="s">
        <v>138</v>
      </c>
      <c r="CY1292" s="23">
        <v>-2.57</v>
      </c>
      <c r="CZ1292" s="24">
        <v>8</v>
      </c>
      <c r="DA1292" s="23">
        <v>0</v>
      </c>
      <c r="DB1292" s="24">
        <v>22</v>
      </c>
      <c r="DC1292" s="25">
        <v>5.1100000000000003</v>
      </c>
      <c r="DD1292" s="24">
        <v>83</v>
      </c>
      <c r="DE1292" s="25">
        <v>2.44</v>
      </c>
      <c r="DF1292" s="23">
        <v>91.43</v>
      </c>
      <c r="DG1292" s="25">
        <v>10.17</v>
      </c>
      <c r="DH1292" s="24">
        <v>90</v>
      </c>
      <c r="DI1292" s="25">
        <v>0.05</v>
      </c>
      <c r="DJ1292" s="24">
        <v>9</v>
      </c>
      <c r="DK1292" s="25" t="s">
        <v>138</v>
      </c>
      <c r="DL1292" s="24" t="s">
        <v>138</v>
      </c>
      <c r="DM1292" s="25">
        <v>10.17</v>
      </c>
      <c r="DN1292" s="24">
        <v>89</v>
      </c>
      <c r="DO1292" s="25">
        <v>0.09</v>
      </c>
      <c r="DP1292" s="24">
        <v>15</v>
      </c>
      <c r="DQ1292" s="24">
        <v>138</v>
      </c>
      <c r="DR1292" s="26">
        <v>-66</v>
      </c>
      <c r="DS1292" s="23">
        <v>-32.35</v>
      </c>
      <c r="DT1292" s="24">
        <v>295</v>
      </c>
      <c r="DU1292" s="26">
        <v>-1</v>
      </c>
      <c r="DV1292" s="23">
        <v>-0.34</v>
      </c>
      <c r="DW1292" s="24">
        <v>34</v>
      </c>
      <c r="DX1292" s="27">
        <v>0</v>
      </c>
      <c r="DY1292" s="23">
        <v>0</v>
      </c>
      <c r="DZ1292" s="15" t="s">
        <v>178</v>
      </c>
      <c r="EA1292" s="22">
        <v>43622</v>
      </c>
      <c r="EB1292" s="17">
        <v>25.82</v>
      </c>
      <c r="EC1292" s="22">
        <v>40294</v>
      </c>
      <c r="ED1292" s="15" t="s">
        <v>173</v>
      </c>
      <c r="EE1292" s="14" t="str">
        <f>HYPERLINK("https://my.pitchbook.com?c=54399-43", "View company online")</f>
        <v>View company online</v>
      </c>
    </row>
    <row r="1293" spans="1:135">
      <c r="A1293" s="28" t="s">
        <v>24982</v>
      </c>
      <c r="B1293" s="28" t="s">
        <v>24983</v>
      </c>
      <c r="C1293" s="28" t="s">
        <v>24984</v>
      </c>
      <c r="D1293" s="28" t="s">
        <v>24985</v>
      </c>
      <c r="E1293" s="28" t="s">
        <v>24986</v>
      </c>
      <c r="F1293" s="28" t="s">
        <v>24982</v>
      </c>
      <c r="G1293" s="28" t="s">
        <v>24987</v>
      </c>
      <c r="H1293" s="28" t="s">
        <v>385</v>
      </c>
      <c r="I1293" s="28" t="s">
        <v>386</v>
      </c>
      <c r="J1293" s="28" t="s">
        <v>387</v>
      </c>
      <c r="K1293" s="28" t="s">
        <v>24988</v>
      </c>
      <c r="L1293" s="28" t="s">
        <v>24989</v>
      </c>
      <c r="M1293" s="28" t="s">
        <v>24990</v>
      </c>
      <c r="N1293" s="28" t="s">
        <v>147</v>
      </c>
      <c r="O1293" s="29">
        <v>102.72</v>
      </c>
      <c r="P1293" s="28" t="s">
        <v>148</v>
      </c>
      <c r="Q1293" s="28" t="s">
        <v>149</v>
      </c>
      <c r="R1293" s="28" t="s">
        <v>244</v>
      </c>
      <c r="S1293" s="28" t="s">
        <v>24991</v>
      </c>
      <c r="T1293" s="30">
        <v>250</v>
      </c>
      <c r="U1293" s="28" t="s">
        <v>24992</v>
      </c>
      <c r="V1293" s="28" t="s">
        <v>138</v>
      </c>
      <c r="W1293" s="28" t="s">
        <v>138</v>
      </c>
      <c r="X1293" s="31">
        <v>2009</v>
      </c>
      <c r="Y1293" s="28" t="s">
        <v>138</v>
      </c>
      <c r="Z1293" s="28" t="s">
        <v>138</v>
      </c>
      <c r="AA1293" s="28" t="s">
        <v>138</v>
      </c>
      <c r="AB1293" s="32" t="s">
        <v>138</v>
      </c>
      <c r="AC1293" s="32" t="s">
        <v>138</v>
      </c>
      <c r="AD1293" s="32" t="s">
        <v>138</v>
      </c>
      <c r="AE1293" s="32" t="s">
        <v>138</v>
      </c>
      <c r="AF1293" s="32" t="s">
        <v>138</v>
      </c>
      <c r="AG1293" s="28" t="s">
        <v>138</v>
      </c>
      <c r="AH1293" s="32" t="s">
        <v>138</v>
      </c>
      <c r="AI1293" s="32" t="s">
        <v>138</v>
      </c>
      <c r="AJ1293" s="32" t="s">
        <v>138</v>
      </c>
      <c r="AK1293" s="28" t="s">
        <v>24993</v>
      </c>
      <c r="AL1293" s="28" t="s">
        <v>24994</v>
      </c>
      <c r="AM1293" s="28" t="s">
        <v>566</v>
      </c>
      <c r="AN1293" s="28" t="s">
        <v>24995</v>
      </c>
      <c r="AO1293" s="28" t="s">
        <v>24996</v>
      </c>
      <c r="AP1293" s="28" t="s">
        <v>5380</v>
      </c>
      <c r="AQ1293" s="28" t="s">
        <v>24997</v>
      </c>
      <c r="AR1293" s="28" t="s">
        <v>138</v>
      </c>
      <c r="AS1293" s="28" t="s">
        <v>5382</v>
      </c>
      <c r="AT1293" s="28" t="s">
        <v>200</v>
      </c>
      <c r="AU1293" s="28" t="s">
        <v>5383</v>
      </c>
      <c r="AV1293" s="28" t="s">
        <v>162</v>
      </c>
      <c r="AW1293" s="28" t="s">
        <v>24996</v>
      </c>
      <c r="AX1293" s="28" t="s">
        <v>24998</v>
      </c>
      <c r="AY1293" s="28" t="s">
        <v>24999</v>
      </c>
      <c r="AZ1293" s="28" t="s">
        <v>164</v>
      </c>
      <c r="BA1293" s="28" t="s">
        <v>165</v>
      </c>
      <c r="BB1293" s="28" t="s">
        <v>25000</v>
      </c>
      <c r="BC1293" s="28" t="s">
        <v>25001</v>
      </c>
      <c r="BD1293" s="33">
        <v>11</v>
      </c>
      <c r="BE1293" s="28" t="s">
        <v>138</v>
      </c>
      <c r="BF1293" s="28" t="s">
        <v>138</v>
      </c>
      <c r="BG1293" s="28" t="s">
        <v>138</v>
      </c>
      <c r="BH1293" s="28" t="s">
        <v>25002</v>
      </c>
      <c r="BI1293" s="28" t="s">
        <v>138</v>
      </c>
      <c r="BJ1293" s="28" t="s">
        <v>138</v>
      </c>
      <c r="BK1293" s="28" t="s">
        <v>1275</v>
      </c>
      <c r="BL1293" s="28" t="s">
        <v>25003</v>
      </c>
      <c r="BM1293" s="34">
        <v>40661</v>
      </c>
      <c r="BN1293" s="29">
        <v>4.4800000000000004</v>
      </c>
      <c r="BO1293" s="28" t="s">
        <v>172</v>
      </c>
      <c r="BP1293" s="29">
        <v>9.58</v>
      </c>
      <c r="BQ1293" s="28" t="s">
        <v>172</v>
      </c>
      <c r="BR1293" s="28" t="s">
        <v>205</v>
      </c>
      <c r="BS1293" s="28" t="s">
        <v>206</v>
      </c>
      <c r="BT1293" s="28" t="s">
        <v>138</v>
      </c>
      <c r="BU1293" s="28" t="s">
        <v>174</v>
      </c>
      <c r="BV1293" s="28" t="s">
        <v>138</v>
      </c>
      <c r="BW1293" s="28" t="s">
        <v>138</v>
      </c>
      <c r="BX1293" s="28" t="s">
        <v>138</v>
      </c>
      <c r="BY1293" s="28" t="s">
        <v>175</v>
      </c>
      <c r="BZ1293" s="34">
        <v>43004</v>
      </c>
      <c r="CA1293" s="29">
        <v>15</v>
      </c>
      <c r="CB1293" s="28" t="s">
        <v>172</v>
      </c>
      <c r="CC1293" s="29">
        <v>450</v>
      </c>
      <c r="CD1293" s="28" t="s">
        <v>172</v>
      </c>
      <c r="CE1293" s="28" t="s">
        <v>173</v>
      </c>
      <c r="CF1293" s="28" t="s">
        <v>433</v>
      </c>
      <c r="CG1293" s="28" t="s">
        <v>138</v>
      </c>
      <c r="CH1293" s="28" t="s">
        <v>174</v>
      </c>
      <c r="CI1293" s="28" t="s">
        <v>138</v>
      </c>
      <c r="CJ1293" s="28" t="s">
        <v>138</v>
      </c>
      <c r="CK1293" s="28" t="s">
        <v>138</v>
      </c>
      <c r="CL1293" s="28" t="s">
        <v>175</v>
      </c>
      <c r="CM1293" s="34">
        <v>42825</v>
      </c>
      <c r="CN1293" s="29" t="s">
        <v>138</v>
      </c>
      <c r="CO1293" s="35">
        <v>-0.09</v>
      </c>
      <c r="CP1293" s="36">
        <v>21</v>
      </c>
      <c r="CQ1293" s="35">
        <v>0.01</v>
      </c>
      <c r="CR1293" s="35">
        <v>10.73</v>
      </c>
      <c r="CS1293" s="35">
        <v>-0.25</v>
      </c>
      <c r="CT1293" s="36">
        <v>21</v>
      </c>
      <c r="CU1293" s="35">
        <v>7.0000000000000007E-2</v>
      </c>
      <c r="CV1293" s="36">
        <v>62</v>
      </c>
      <c r="CW1293" s="35">
        <v>0</v>
      </c>
      <c r="CX1293" s="36">
        <v>13</v>
      </c>
      <c r="CY1293" s="35">
        <v>-0.5</v>
      </c>
      <c r="CZ1293" s="36">
        <v>22</v>
      </c>
      <c r="DA1293" s="35">
        <v>0.14000000000000001</v>
      </c>
      <c r="DB1293" s="36">
        <v>77</v>
      </c>
      <c r="DC1293" s="37">
        <v>7.13</v>
      </c>
      <c r="DD1293" s="36">
        <v>87</v>
      </c>
      <c r="DE1293" s="37">
        <v>-0.03</v>
      </c>
      <c r="DF1293" s="35">
        <v>-0.37</v>
      </c>
      <c r="DG1293" s="37">
        <v>6.81</v>
      </c>
      <c r="DH1293" s="36">
        <v>86</v>
      </c>
      <c r="DI1293" s="37">
        <v>7.46</v>
      </c>
      <c r="DJ1293" s="36">
        <v>82</v>
      </c>
      <c r="DK1293" s="37">
        <v>1.1000000000000001</v>
      </c>
      <c r="DL1293" s="36">
        <v>52</v>
      </c>
      <c r="DM1293" s="37">
        <v>12.52</v>
      </c>
      <c r="DN1293" s="36">
        <v>91</v>
      </c>
      <c r="DO1293" s="37">
        <v>9.68</v>
      </c>
      <c r="DP1293" s="36">
        <v>87</v>
      </c>
      <c r="DQ1293" s="36">
        <v>360</v>
      </c>
      <c r="DR1293" s="38">
        <v>48</v>
      </c>
      <c r="DS1293" s="35">
        <v>15.38</v>
      </c>
      <c r="DT1293" s="36">
        <v>363</v>
      </c>
      <c r="DU1293" s="38">
        <v>2</v>
      </c>
      <c r="DV1293" s="35">
        <v>0.55000000000000004</v>
      </c>
      <c r="DW1293" s="36">
        <v>3461</v>
      </c>
      <c r="DX1293" s="39">
        <v>6</v>
      </c>
      <c r="DY1293" s="35">
        <v>0.17</v>
      </c>
      <c r="DZ1293" s="28" t="s">
        <v>178</v>
      </c>
      <c r="EA1293" s="34">
        <v>43500</v>
      </c>
      <c r="EB1293" s="29">
        <v>450</v>
      </c>
      <c r="EC1293" s="34">
        <v>43004</v>
      </c>
      <c r="ED1293" s="28" t="s">
        <v>173</v>
      </c>
      <c r="EE1293" s="40" t="str">
        <f>HYPERLINK("https://my.pitchbook.com?c=51021-19", "View company online")</f>
        <v>View company online</v>
      </c>
    </row>
    <row r="1294" spans="1:135">
      <c r="A1294" s="15" t="s">
        <v>25004</v>
      </c>
      <c r="B1294" s="15" t="s">
        <v>25005</v>
      </c>
      <c r="C1294" s="15" t="s">
        <v>138</v>
      </c>
      <c r="D1294" s="15" t="s">
        <v>138</v>
      </c>
      <c r="E1294" s="15" t="s">
        <v>138</v>
      </c>
      <c r="F1294" s="15" t="s">
        <v>25004</v>
      </c>
      <c r="G1294" s="15" t="s">
        <v>25006</v>
      </c>
      <c r="H1294" s="15" t="s">
        <v>322</v>
      </c>
      <c r="I1294" s="15" t="s">
        <v>323</v>
      </c>
      <c r="J1294" s="15" t="s">
        <v>324</v>
      </c>
      <c r="K1294" s="15" t="s">
        <v>325</v>
      </c>
      <c r="L1294" s="15" t="s">
        <v>1650</v>
      </c>
      <c r="M1294" s="15" t="s">
        <v>25007</v>
      </c>
      <c r="N1294" s="15" t="s">
        <v>147</v>
      </c>
      <c r="O1294" s="17">
        <v>2.48</v>
      </c>
      <c r="P1294" s="15" t="s">
        <v>148</v>
      </c>
      <c r="Q1294" s="15" t="s">
        <v>149</v>
      </c>
      <c r="R1294" s="15" t="s">
        <v>174</v>
      </c>
      <c r="S1294" s="15" t="s">
        <v>25008</v>
      </c>
      <c r="T1294" s="18">
        <v>8</v>
      </c>
      <c r="U1294" s="15" t="s">
        <v>25009</v>
      </c>
      <c r="V1294" s="15" t="s">
        <v>138</v>
      </c>
      <c r="W1294" s="15" t="s">
        <v>138</v>
      </c>
      <c r="X1294" s="19">
        <v>2014</v>
      </c>
      <c r="Y1294" s="15" t="s">
        <v>138</v>
      </c>
      <c r="Z1294" s="15" t="s">
        <v>138</v>
      </c>
      <c r="AA1294" s="15" t="s">
        <v>138</v>
      </c>
      <c r="AB1294" s="20" t="s">
        <v>138</v>
      </c>
      <c r="AC1294" s="20" t="s">
        <v>138</v>
      </c>
      <c r="AD1294" s="20" t="s">
        <v>138</v>
      </c>
      <c r="AE1294" s="20" t="s">
        <v>138</v>
      </c>
      <c r="AF1294" s="20" t="s">
        <v>138</v>
      </c>
      <c r="AG1294" s="15" t="s">
        <v>138</v>
      </c>
      <c r="AH1294" s="20" t="s">
        <v>138</v>
      </c>
      <c r="AI1294" s="20" t="s">
        <v>138</v>
      </c>
      <c r="AJ1294" s="20" t="s">
        <v>138</v>
      </c>
      <c r="AK1294" s="15" t="s">
        <v>25010</v>
      </c>
      <c r="AL1294" s="15" t="s">
        <v>25011</v>
      </c>
      <c r="AM1294" s="15" t="s">
        <v>304</v>
      </c>
      <c r="AN1294" s="15" t="s">
        <v>25012</v>
      </c>
      <c r="AO1294" s="15" t="s">
        <v>25013</v>
      </c>
      <c r="AP1294" s="15" t="s">
        <v>665</v>
      </c>
      <c r="AQ1294" s="15" t="s">
        <v>25014</v>
      </c>
      <c r="AR1294" s="15" t="s">
        <v>25015</v>
      </c>
      <c r="AS1294" s="15" t="s">
        <v>668</v>
      </c>
      <c r="AT1294" s="15" t="s">
        <v>200</v>
      </c>
      <c r="AU1294" s="15" t="s">
        <v>25016</v>
      </c>
      <c r="AV1294" s="15" t="s">
        <v>162</v>
      </c>
      <c r="AW1294" s="15" t="s">
        <v>25013</v>
      </c>
      <c r="AX1294" s="15" t="s">
        <v>138</v>
      </c>
      <c r="AY1294" s="15" t="s">
        <v>25017</v>
      </c>
      <c r="AZ1294" s="15" t="s">
        <v>164</v>
      </c>
      <c r="BA1294" s="15" t="s">
        <v>165</v>
      </c>
      <c r="BB1294" s="15" t="s">
        <v>25018</v>
      </c>
      <c r="BC1294" s="15" t="s">
        <v>25019</v>
      </c>
      <c r="BD1294" s="21">
        <v>31</v>
      </c>
      <c r="BE1294" s="15" t="s">
        <v>138</v>
      </c>
      <c r="BF1294" s="15" t="s">
        <v>138</v>
      </c>
      <c r="BG1294" s="15" t="s">
        <v>138</v>
      </c>
      <c r="BH1294" s="15" t="s">
        <v>25020</v>
      </c>
      <c r="BI1294" s="15" t="s">
        <v>138</v>
      </c>
      <c r="BJ1294" s="15" t="s">
        <v>138</v>
      </c>
      <c r="BK1294" s="15" t="s">
        <v>25021</v>
      </c>
      <c r="BL1294" s="15" t="s">
        <v>138</v>
      </c>
      <c r="BM1294" s="22">
        <v>42125</v>
      </c>
      <c r="BN1294" s="17">
        <v>0.5</v>
      </c>
      <c r="BO1294" s="15" t="s">
        <v>172</v>
      </c>
      <c r="BP1294" s="17" t="s">
        <v>138</v>
      </c>
      <c r="BQ1294" s="15" t="s">
        <v>138</v>
      </c>
      <c r="BR1294" s="15" t="s">
        <v>262</v>
      </c>
      <c r="BS1294" s="15" t="s">
        <v>262</v>
      </c>
      <c r="BT1294" s="15" t="s">
        <v>138</v>
      </c>
      <c r="BU1294" s="15" t="s">
        <v>263</v>
      </c>
      <c r="BV1294" s="15" t="s">
        <v>138</v>
      </c>
      <c r="BW1294" s="15" t="s">
        <v>138</v>
      </c>
      <c r="BX1294" s="15" t="s">
        <v>138</v>
      </c>
      <c r="BY1294" s="15" t="s">
        <v>175</v>
      </c>
      <c r="BZ1294" s="22">
        <v>42856</v>
      </c>
      <c r="CA1294" s="17" t="s">
        <v>138</v>
      </c>
      <c r="CB1294" s="15" t="s">
        <v>138</v>
      </c>
      <c r="CC1294" s="17" t="s">
        <v>138</v>
      </c>
      <c r="CD1294" s="15" t="s">
        <v>138</v>
      </c>
      <c r="CE1294" s="15" t="s">
        <v>316</v>
      </c>
      <c r="CF1294" s="15" t="s">
        <v>138</v>
      </c>
      <c r="CG1294" s="15" t="s">
        <v>138</v>
      </c>
      <c r="CH1294" s="15" t="s">
        <v>177</v>
      </c>
      <c r="CI1294" s="15" t="s">
        <v>138</v>
      </c>
      <c r="CJ1294" s="15" t="s">
        <v>138</v>
      </c>
      <c r="CK1294" s="15" t="s">
        <v>138</v>
      </c>
      <c r="CL1294" s="15" t="s">
        <v>175</v>
      </c>
      <c r="CM1294" s="22" t="s">
        <v>138</v>
      </c>
      <c r="CN1294" s="17" t="s">
        <v>138</v>
      </c>
      <c r="CO1294" s="23">
        <v>-0.71</v>
      </c>
      <c r="CP1294" s="24">
        <v>14</v>
      </c>
      <c r="CQ1294" s="23">
        <v>0.05</v>
      </c>
      <c r="CR1294" s="23">
        <v>6.01</v>
      </c>
      <c r="CS1294" s="23">
        <v>-1.36</v>
      </c>
      <c r="CT1294" s="24">
        <v>12</v>
      </c>
      <c r="CU1294" s="23">
        <v>-0.05</v>
      </c>
      <c r="CV1294" s="24">
        <v>9</v>
      </c>
      <c r="CW1294" s="23" t="s">
        <v>138</v>
      </c>
      <c r="CX1294" s="24" t="s">
        <v>138</v>
      </c>
      <c r="CY1294" s="23">
        <v>-1.36</v>
      </c>
      <c r="CZ1294" s="24">
        <v>16</v>
      </c>
      <c r="DA1294" s="23">
        <v>-0.1</v>
      </c>
      <c r="DB1294" s="24">
        <v>6</v>
      </c>
      <c r="DC1294" s="25">
        <v>8.65</v>
      </c>
      <c r="DD1294" s="24">
        <v>89</v>
      </c>
      <c r="DE1294" s="25">
        <v>0</v>
      </c>
      <c r="DF1294" s="23">
        <v>-0.05</v>
      </c>
      <c r="DG1294" s="25">
        <v>9.17</v>
      </c>
      <c r="DH1294" s="24">
        <v>89</v>
      </c>
      <c r="DI1294" s="25">
        <v>8.1300000000000008</v>
      </c>
      <c r="DJ1294" s="24">
        <v>83</v>
      </c>
      <c r="DK1294" s="25" t="s">
        <v>138</v>
      </c>
      <c r="DL1294" s="24" t="s">
        <v>138</v>
      </c>
      <c r="DM1294" s="25">
        <v>9.17</v>
      </c>
      <c r="DN1294" s="24">
        <v>88</v>
      </c>
      <c r="DO1294" s="25">
        <v>13.8</v>
      </c>
      <c r="DP1294" s="24">
        <v>90</v>
      </c>
      <c r="DQ1294" s="24">
        <v>195</v>
      </c>
      <c r="DR1294" s="26">
        <v>-36</v>
      </c>
      <c r="DS1294" s="23">
        <v>-15.58</v>
      </c>
      <c r="DT1294" s="24">
        <v>266</v>
      </c>
      <c r="DU1294" s="26">
        <v>-1</v>
      </c>
      <c r="DV1294" s="23">
        <v>-0.37</v>
      </c>
      <c r="DW1294" s="24">
        <v>4945</v>
      </c>
      <c r="DX1294" s="27">
        <v>-7</v>
      </c>
      <c r="DY1294" s="23">
        <v>-0.14000000000000001</v>
      </c>
      <c r="DZ1294" s="15" t="s">
        <v>178</v>
      </c>
      <c r="EA1294" s="22">
        <v>43351</v>
      </c>
      <c r="EB1294" s="17" t="s">
        <v>138</v>
      </c>
      <c r="EC1294" s="22" t="s">
        <v>138</v>
      </c>
      <c r="ED1294" s="15" t="s">
        <v>138</v>
      </c>
      <c r="EE1294" s="14" t="str">
        <f>HYPERLINK("https://my.pitchbook.com?c=101654-29", "View company online")</f>
        <v>View company online</v>
      </c>
    </row>
    <row r="1295" spans="1:135">
      <c r="A1295" s="28" t="s">
        <v>25022</v>
      </c>
      <c r="B1295" s="28" t="s">
        <v>25023</v>
      </c>
      <c r="C1295" s="28" t="s">
        <v>25024</v>
      </c>
      <c r="D1295" s="28" t="s">
        <v>138</v>
      </c>
      <c r="E1295" s="28" t="s">
        <v>25025</v>
      </c>
      <c r="F1295" s="28" t="s">
        <v>25022</v>
      </c>
      <c r="G1295" s="28" t="s">
        <v>25026</v>
      </c>
      <c r="H1295" s="28" t="s">
        <v>322</v>
      </c>
      <c r="I1295" s="28" t="s">
        <v>323</v>
      </c>
      <c r="J1295" s="28" t="s">
        <v>2084</v>
      </c>
      <c r="K1295" s="28" t="s">
        <v>25027</v>
      </c>
      <c r="L1295" s="28" t="s">
        <v>215</v>
      </c>
      <c r="M1295" s="28" t="s">
        <v>25028</v>
      </c>
      <c r="N1295" s="28" t="s">
        <v>147</v>
      </c>
      <c r="O1295" s="29">
        <v>113</v>
      </c>
      <c r="P1295" s="28" t="s">
        <v>148</v>
      </c>
      <c r="Q1295" s="28" t="s">
        <v>149</v>
      </c>
      <c r="R1295" s="28" t="s">
        <v>174</v>
      </c>
      <c r="S1295" s="28" t="s">
        <v>25029</v>
      </c>
      <c r="T1295" s="30">
        <v>50</v>
      </c>
      <c r="U1295" s="28" t="s">
        <v>25030</v>
      </c>
      <c r="V1295" s="28" t="s">
        <v>138</v>
      </c>
      <c r="W1295" s="28" t="s">
        <v>138</v>
      </c>
      <c r="X1295" s="31">
        <v>2014</v>
      </c>
      <c r="Y1295" s="28" t="s">
        <v>138</v>
      </c>
      <c r="Z1295" s="28" t="s">
        <v>138</v>
      </c>
      <c r="AA1295" s="28" t="s">
        <v>138</v>
      </c>
      <c r="AB1295" s="32" t="s">
        <v>138</v>
      </c>
      <c r="AC1295" s="32" t="s">
        <v>138</v>
      </c>
      <c r="AD1295" s="32" t="s">
        <v>138</v>
      </c>
      <c r="AE1295" s="32" t="s">
        <v>138</v>
      </c>
      <c r="AF1295" s="32" t="s">
        <v>138</v>
      </c>
      <c r="AG1295" s="28" t="s">
        <v>138</v>
      </c>
      <c r="AH1295" s="32" t="s">
        <v>138</v>
      </c>
      <c r="AI1295" s="32" t="s">
        <v>138</v>
      </c>
      <c r="AJ1295" s="32" t="s">
        <v>138</v>
      </c>
      <c r="AK1295" s="28" t="s">
        <v>25031</v>
      </c>
      <c r="AL1295" s="28" t="s">
        <v>25032</v>
      </c>
      <c r="AM1295" s="28" t="s">
        <v>25033</v>
      </c>
      <c r="AN1295" s="28" t="s">
        <v>25034</v>
      </c>
      <c r="AO1295" s="28" t="s">
        <v>138</v>
      </c>
      <c r="AP1295" s="28" t="s">
        <v>665</v>
      </c>
      <c r="AQ1295" s="28" t="s">
        <v>25035</v>
      </c>
      <c r="AR1295" s="28" t="s">
        <v>25036</v>
      </c>
      <c r="AS1295" s="28" t="s">
        <v>668</v>
      </c>
      <c r="AT1295" s="28" t="s">
        <v>200</v>
      </c>
      <c r="AU1295" s="28" t="s">
        <v>2052</v>
      </c>
      <c r="AV1295" s="28" t="s">
        <v>162</v>
      </c>
      <c r="AW1295" s="28" t="s">
        <v>138</v>
      </c>
      <c r="AX1295" s="28" t="s">
        <v>138</v>
      </c>
      <c r="AY1295" s="28" t="s">
        <v>138</v>
      </c>
      <c r="AZ1295" s="28" t="s">
        <v>164</v>
      </c>
      <c r="BA1295" s="28" t="s">
        <v>165</v>
      </c>
      <c r="BB1295" s="28" t="s">
        <v>25037</v>
      </c>
      <c r="BC1295" s="28" t="s">
        <v>25038</v>
      </c>
      <c r="BD1295" s="33">
        <v>7</v>
      </c>
      <c r="BE1295" s="28" t="s">
        <v>138</v>
      </c>
      <c r="BF1295" s="28" t="s">
        <v>5604</v>
      </c>
      <c r="BG1295" s="28" t="s">
        <v>138</v>
      </c>
      <c r="BH1295" s="28" t="s">
        <v>25039</v>
      </c>
      <c r="BI1295" s="28" t="s">
        <v>5606</v>
      </c>
      <c r="BJ1295" s="28" t="s">
        <v>138</v>
      </c>
      <c r="BK1295" s="28" t="s">
        <v>138</v>
      </c>
      <c r="BL1295" s="28" t="s">
        <v>138</v>
      </c>
      <c r="BM1295" s="34">
        <v>42013</v>
      </c>
      <c r="BN1295" s="29">
        <v>12</v>
      </c>
      <c r="BO1295" s="28" t="s">
        <v>172</v>
      </c>
      <c r="BP1295" s="29">
        <v>31.75</v>
      </c>
      <c r="BQ1295" s="28" t="s">
        <v>172</v>
      </c>
      <c r="BR1295" s="28" t="s">
        <v>205</v>
      </c>
      <c r="BS1295" s="28" t="s">
        <v>206</v>
      </c>
      <c r="BT1295" s="28" t="s">
        <v>138</v>
      </c>
      <c r="BU1295" s="28" t="s">
        <v>174</v>
      </c>
      <c r="BV1295" s="28" t="s">
        <v>138</v>
      </c>
      <c r="BW1295" s="28" t="s">
        <v>138</v>
      </c>
      <c r="BX1295" s="28" t="s">
        <v>138</v>
      </c>
      <c r="BY1295" s="28" t="s">
        <v>175</v>
      </c>
      <c r="BZ1295" s="34">
        <v>43437</v>
      </c>
      <c r="CA1295" s="29" t="s">
        <v>138</v>
      </c>
      <c r="CB1295" s="28" t="s">
        <v>138</v>
      </c>
      <c r="CC1295" s="29" t="s">
        <v>138</v>
      </c>
      <c r="CD1295" s="28" t="s">
        <v>138</v>
      </c>
      <c r="CE1295" s="28" t="s">
        <v>379</v>
      </c>
      <c r="CF1295" s="28" t="s">
        <v>138</v>
      </c>
      <c r="CG1295" s="28" t="s">
        <v>138</v>
      </c>
      <c r="CH1295" s="28" t="s">
        <v>174</v>
      </c>
      <c r="CI1295" s="28" t="s">
        <v>138</v>
      </c>
      <c r="CJ1295" s="28" t="s">
        <v>138</v>
      </c>
      <c r="CK1295" s="28" t="s">
        <v>138</v>
      </c>
      <c r="CL1295" s="28" t="s">
        <v>175</v>
      </c>
      <c r="CM1295" s="34" t="s">
        <v>138</v>
      </c>
      <c r="CN1295" s="29" t="s">
        <v>138</v>
      </c>
      <c r="CO1295" s="35">
        <v>-1.3</v>
      </c>
      <c r="CP1295" s="36">
        <v>9</v>
      </c>
      <c r="CQ1295" s="35">
        <v>-0.06</v>
      </c>
      <c r="CR1295" s="35">
        <v>-4.6500000000000004</v>
      </c>
      <c r="CS1295" s="35">
        <v>-2.87</v>
      </c>
      <c r="CT1295" s="36">
        <v>6</v>
      </c>
      <c r="CU1295" s="35">
        <v>0.27</v>
      </c>
      <c r="CV1295" s="36">
        <v>86</v>
      </c>
      <c r="CW1295" s="35">
        <v>-5.67</v>
      </c>
      <c r="CX1295" s="36">
        <v>2</v>
      </c>
      <c r="CY1295" s="35">
        <v>-0.08</v>
      </c>
      <c r="CZ1295" s="36">
        <v>24</v>
      </c>
      <c r="DA1295" s="35">
        <v>0.21</v>
      </c>
      <c r="DB1295" s="36">
        <v>83</v>
      </c>
      <c r="DC1295" s="37">
        <v>4.9400000000000004</v>
      </c>
      <c r="DD1295" s="36">
        <v>82</v>
      </c>
      <c r="DE1295" s="37">
        <v>-0.27</v>
      </c>
      <c r="DF1295" s="35">
        <v>-5.0999999999999996</v>
      </c>
      <c r="DG1295" s="37">
        <v>9.07</v>
      </c>
      <c r="DH1295" s="36">
        <v>89</v>
      </c>
      <c r="DI1295" s="37">
        <v>0.81</v>
      </c>
      <c r="DJ1295" s="36">
        <v>45</v>
      </c>
      <c r="DK1295" s="37">
        <v>8.59</v>
      </c>
      <c r="DL1295" s="36">
        <v>85</v>
      </c>
      <c r="DM1295" s="37">
        <v>9.5500000000000007</v>
      </c>
      <c r="DN1295" s="36">
        <v>88</v>
      </c>
      <c r="DO1295" s="37">
        <v>1.5</v>
      </c>
      <c r="DP1295" s="36">
        <v>58</v>
      </c>
      <c r="DQ1295" s="36">
        <v>2897</v>
      </c>
      <c r="DR1295" s="38">
        <v>145</v>
      </c>
      <c r="DS1295" s="35">
        <v>5.27</v>
      </c>
      <c r="DT1295" s="36">
        <v>276</v>
      </c>
      <c r="DU1295" s="38">
        <v>2</v>
      </c>
      <c r="DV1295" s="35">
        <v>0.73</v>
      </c>
      <c r="DW1295" s="36">
        <v>536</v>
      </c>
      <c r="DX1295" s="39">
        <v>0</v>
      </c>
      <c r="DY1295" s="35">
        <v>0</v>
      </c>
      <c r="DZ1295" s="28" t="s">
        <v>178</v>
      </c>
      <c r="EA1295" s="34">
        <v>43602</v>
      </c>
      <c r="EB1295" s="29">
        <v>450</v>
      </c>
      <c r="EC1295" s="34">
        <v>43227</v>
      </c>
      <c r="ED1295" s="28" t="s">
        <v>173</v>
      </c>
      <c r="EE1295" s="40" t="str">
        <f>HYPERLINK("https://my.pitchbook.com?c=110272-60", "View company online")</f>
        <v>View company online</v>
      </c>
    </row>
    <row r="1296" spans="1:135">
      <c r="A1296" s="15" t="s">
        <v>25040</v>
      </c>
      <c r="B1296" s="15" t="s">
        <v>25041</v>
      </c>
      <c r="C1296" s="15" t="s">
        <v>138</v>
      </c>
      <c r="D1296" s="15" t="s">
        <v>138</v>
      </c>
      <c r="E1296" s="15" t="s">
        <v>138</v>
      </c>
      <c r="F1296" s="15" t="s">
        <v>25040</v>
      </c>
      <c r="G1296" s="15" t="s">
        <v>25042</v>
      </c>
      <c r="H1296" s="15" t="s">
        <v>238</v>
      </c>
      <c r="I1296" s="15" t="s">
        <v>239</v>
      </c>
      <c r="J1296" s="15" t="s">
        <v>25043</v>
      </c>
      <c r="K1296" s="15" t="s">
        <v>25044</v>
      </c>
      <c r="L1296" s="15" t="s">
        <v>415</v>
      </c>
      <c r="M1296" s="15" t="s">
        <v>25045</v>
      </c>
      <c r="N1296" s="15" t="s">
        <v>147</v>
      </c>
      <c r="O1296" s="17">
        <v>7.3</v>
      </c>
      <c r="P1296" s="15" t="s">
        <v>148</v>
      </c>
      <c r="Q1296" s="15" t="s">
        <v>149</v>
      </c>
      <c r="R1296" s="15" t="s">
        <v>174</v>
      </c>
      <c r="S1296" s="15" t="s">
        <v>25046</v>
      </c>
      <c r="T1296" s="18">
        <v>4</v>
      </c>
      <c r="U1296" s="15" t="s">
        <v>7192</v>
      </c>
      <c r="V1296" s="15" t="s">
        <v>138</v>
      </c>
      <c r="W1296" s="15" t="s">
        <v>138</v>
      </c>
      <c r="X1296" s="19">
        <v>2008</v>
      </c>
      <c r="Y1296" s="15" t="s">
        <v>138</v>
      </c>
      <c r="Z1296" s="15" t="s">
        <v>138</v>
      </c>
      <c r="AA1296" s="15" t="s">
        <v>138</v>
      </c>
      <c r="AB1296" s="20" t="s">
        <v>138</v>
      </c>
      <c r="AC1296" s="20" t="s">
        <v>138</v>
      </c>
      <c r="AD1296" s="20" t="s">
        <v>138</v>
      </c>
      <c r="AE1296" s="20" t="s">
        <v>138</v>
      </c>
      <c r="AF1296" s="20" t="s">
        <v>138</v>
      </c>
      <c r="AG1296" s="15" t="s">
        <v>138</v>
      </c>
      <c r="AH1296" s="20" t="s">
        <v>138</v>
      </c>
      <c r="AI1296" s="20" t="s">
        <v>138</v>
      </c>
      <c r="AJ1296" s="20" t="s">
        <v>138</v>
      </c>
      <c r="AK1296" s="15" t="s">
        <v>25047</v>
      </c>
      <c r="AL1296" s="15" t="s">
        <v>25048</v>
      </c>
      <c r="AM1296" s="15" t="s">
        <v>304</v>
      </c>
      <c r="AN1296" s="15" t="s">
        <v>25049</v>
      </c>
      <c r="AO1296" s="15" t="s">
        <v>25050</v>
      </c>
      <c r="AP1296" s="15" t="s">
        <v>5697</v>
      </c>
      <c r="AQ1296" s="15" t="s">
        <v>25051</v>
      </c>
      <c r="AR1296" s="15" t="s">
        <v>25052</v>
      </c>
      <c r="AS1296" s="15" t="s">
        <v>5700</v>
      </c>
      <c r="AT1296" s="15" t="s">
        <v>138</v>
      </c>
      <c r="AU1296" s="15" t="s">
        <v>25053</v>
      </c>
      <c r="AV1296" s="15" t="s">
        <v>740</v>
      </c>
      <c r="AW1296" s="15" t="s">
        <v>25050</v>
      </c>
      <c r="AX1296" s="15" t="s">
        <v>138</v>
      </c>
      <c r="AY1296" s="15" t="s">
        <v>25054</v>
      </c>
      <c r="AZ1296" s="15" t="s">
        <v>742</v>
      </c>
      <c r="BA1296" s="15" t="s">
        <v>742</v>
      </c>
      <c r="BB1296" s="15" t="s">
        <v>25055</v>
      </c>
      <c r="BC1296" s="15" t="s">
        <v>25056</v>
      </c>
      <c r="BD1296" s="21">
        <v>11</v>
      </c>
      <c r="BE1296" s="15" t="s">
        <v>138</v>
      </c>
      <c r="BF1296" s="15" t="s">
        <v>138</v>
      </c>
      <c r="BG1296" s="15" t="s">
        <v>138</v>
      </c>
      <c r="BH1296" s="15" t="s">
        <v>25057</v>
      </c>
      <c r="BI1296" s="15" t="s">
        <v>138</v>
      </c>
      <c r="BJ1296" s="15" t="s">
        <v>138</v>
      </c>
      <c r="BK1296" s="15" t="s">
        <v>138</v>
      </c>
      <c r="BL1296" s="15" t="s">
        <v>138</v>
      </c>
      <c r="BM1296" s="22">
        <v>39791</v>
      </c>
      <c r="BN1296" s="17">
        <v>2</v>
      </c>
      <c r="BO1296" s="15" t="s">
        <v>172</v>
      </c>
      <c r="BP1296" s="17" t="s">
        <v>138</v>
      </c>
      <c r="BQ1296" s="15" t="s">
        <v>138</v>
      </c>
      <c r="BR1296" s="15" t="s">
        <v>234</v>
      </c>
      <c r="BS1296" s="15" t="s">
        <v>234</v>
      </c>
      <c r="BT1296" s="15" t="s">
        <v>138</v>
      </c>
      <c r="BU1296" s="15" t="s">
        <v>174</v>
      </c>
      <c r="BV1296" s="15" t="s">
        <v>138</v>
      </c>
      <c r="BW1296" s="15" t="s">
        <v>138</v>
      </c>
      <c r="BX1296" s="15" t="s">
        <v>138</v>
      </c>
      <c r="BY1296" s="15" t="s">
        <v>175</v>
      </c>
      <c r="BZ1296" s="22">
        <v>41575</v>
      </c>
      <c r="CA1296" s="17">
        <v>4.5</v>
      </c>
      <c r="CB1296" s="15" t="s">
        <v>172</v>
      </c>
      <c r="CC1296" s="17" t="s">
        <v>138</v>
      </c>
      <c r="CD1296" s="15" t="s">
        <v>138</v>
      </c>
      <c r="CE1296" s="15" t="s">
        <v>205</v>
      </c>
      <c r="CF1296" s="15" t="s">
        <v>206</v>
      </c>
      <c r="CG1296" s="15" t="s">
        <v>138</v>
      </c>
      <c r="CH1296" s="15" t="s">
        <v>174</v>
      </c>
      <c r="CI1296" s="15" t="s">
        <v>138</v>
      </c>
      <c r="CJ1296" s="15" t="s">
        <v>138</v>
      </c>
      <c r="CK1296" s="15" t="s">
        <v>138</v>
      </c>
      <c r="CL1296" s="15" t="s">
        <v>175</v>
      </c>
      <c r="CM1296" s="22" t="s">
        <v>138</v>
      </c>
      <c r="CN1296" s="17" t="s">
        <v>138</v>
      </c>
      <c r="CO1296" s="23">
        <v>-3.44</v>
      </c>
      <c r="CP1296" s="24">
        <v>2</v>
      </c>
      <c r="CQ1296" s="23">
        <v>-0.05</v>
      </c>
      <c r="CR1296" s="23">
        <v>-1.5</v>
      </c>
      <c r="CS1296" s="23">
        <v>-6.8</v>
      </c>
      <c r="CT1296" s="24">
        <v>1</v>
      </c>
      <c r="CU1296" s="23">
        <v>-7.0000000000000007E-2</v>
      </c>
      <c r="CV1296" s="24">
        <v>7</v>
      </c>
      <c r="CW1296" s="23" t="s">
        <v>138</v>
      </c>
      <c r="CX1296" s="24" t="s">
        <v>138</v>
      </c>
      <c r="CY1296" s="23">
        <v>-6.8</v>
      </c>
      <c r="CZ1296" s="24">
        <v>1</v>
      </c>
      <c r="DA1296" s="23">
        <v>-7.0000000000000007E-2</v>
      </c>
      <c r="DB1296" s="24">
        <v>9</v>
      </c>
      <c r="DC1296" s="25">
        <v>7.53</v>
      </c>
      <c r="DD1296" s="24">
        <v>87</v>
      </c>
      <c r="DE1296" s="25">
        <v>-0.02</v>
      </c>
      <c r="DF1296" s="23">
        <v>-0.21</v>
      </c>
      <c r="DG1296" s="25">
        <v>14.14</v>
      </c>
      <c r="DH1296" s="24">
        <v>92</v>
      </c>
      <c r="DI1296" s="25">
        <v>0.93</v>
      </c>
      <c r="DJ1296" s="24">
        <v>48</v>
      </c>
      <c r="DK1296" s="25" t="s">
        <v>138</v>
      </c>
      <c r="DL1296" s="24" t="s">
        <v>138</v>
      </c>
      <c r="DM1296" s="25">
        <v>14.14</v>
      </c>
      <c r="DN1296" s="24">
        <v>92</v>
      </c>
      <c r="DO1296" s="25">
        <v>0.93</v>
      </c>
      <c r="DP1296" s="24">
        <v>49</v>
      </c>
      <c r="DQ1296" s="24" t="s">
        <v>138</v>
      </c>
      <c r="DR1296" s="26" t="s">
        <v>138</v>
      </c>
      <c r="DS1296" s="23" t="s">
        <v>138</v>
      </c>
      <c r="DT1296" s="24">
        <v>410</v>
      </c>
      <c r="DU1296" s="26">
        <v>-1</v>
      </c>
      <c r="DV1296" s="23">
        <v>-0.24</v>
      </c>
      <c r="DW1296" s="24">
        <v>333</v>
      </c>
      <c r="DX1296" s="27">
        <v>-1</v>
      </c>
      <c r="DY1296" s="23">
        <v>-0.3</v>
      </c>
      <c r="DZ1296" s="15" t="s">
        <v>178</v>
      </c>
      <c r="EA1296" s="22">
        <v>43351</v>
      </c>
      <c r="EB1296" s="17" t="s">
        <v>138</v>
      </c>
      <c r="EC1296" s="22" t="s">
        <v>138</v>
      </c>
      <c r="ED1296" s="15" t="s">
        <v>138</v>
      </c>
      <c r="EE1296" s="14" t="str">
        <f>HYPERLINK("https://my.pitchbook.com?c=58851-01", "View company online")</f>
        <v>View company online</v>
      </c>
    </row>
    <row r="1297" spans="1:135">
      <c r="A1297" s="28" t="s">
        <v>25058</v>
      </c>
      <c r="B1297" s="28" t="s">
        <v>25059</v>
      </c>
      <c r="C1297" s="28" t="s">
        <v>138</v>
      </c>
      <c r="D1297" s="28" t="s">
        <v>138</v>
      </c>
      <c r="E1297" s="28" t="s">
        <v>25060</v>
      </c>
      <c r="F1297" s="28" t="s">
        <v>25058</v>
      </c>
      <c r="G1297" s="28" t="s">
        <v>25061</v>
      </c>
      <c r="H1297" s="28" t="s">
        <v>322</v>
      </c>
      <c r="I1297" s="28" t="s">
        <v>323</v>
      </c>
      <c r="J1297" s="28" t="s">
        <v>539</v>
      </c>
      <c r="K1297" s="28" t="s">
        <v>25062</v>
      </c>
      <c r="L1297" s="28" t="s">
        <v>415</v>
      </c>
      <c r="M1297" s="28" t="s">
        <v>25063</v>
      </c>
      <c r="N1297" s="28" t="s">
        <v>147</v>
      </c>
      <c r="O1297" s="29">
        <v>150.9</v>
      </c>
      <c r="P1297" s="28" t="s">
        <v>148</v>
      </c>
      <c r="Q1297" s="28" t="s">
        <v>149</v>
      </c>
      <c r="R1297" s="28" t="s">
        <v>174</v>
      </c>
      <c r="S1297" s="28" t="s">
        <v>25064</v>
      </c>
      <c r="T1297" s="30">
        <v>79</v>
      </c>
      <c r="U1297" s="28" t="s">
        <v>25065</v>
      </c>
      <c r="V1297" s="28" t="s">
        <v>138</v>
      </c>
      <c r="W1297" s="28" t="s">
        <v>138</v>
      </c>
      <c r="X1297" s="31">
        <v>2013</v>
      </c>
      <c r="Y1297" s="28" t="s">
        <v>138</v>
      </c>
      <c r="Z1297" s="28" t="s">
        <v>138</v>
      </c>
      <c r="AA1297" s="28" t="s">
        <v>1163</v>
      </c>
      <c r="AB1297" s="32" t="s">
        <v>138</v>
      </c>
      <c r="AC1297" s="32" t="s">
        <v>138</v>
      </c>
      <c r="AD1297" s="32" t="s">
        <v>138</v>
      </c>
      <c r="AE1297" s="32" t="s">
        <v>138</v>
      </c>
      <c r="AF1297" s="32" t="s">
        <v>138</v>
      </c>
      <c r="AG1297" s="28" t="s">
        <v>138</v>
      </c>
      <c r="AH1297" s="32" t="s">
        <v>138</v>
      </c>
      <c r="AI1297" s="32" t="s">
        <v>138</v>
      </c>
      <c r="AJ1297" s="32" t="s">
        <v>138</v>
      </c>
      <c r="AK1297" s="28" t="s">
        <v>25066</v>
      </c>
      <c r="AL1297" s="28" t="s">
        <v>25067</v>
      </c>
      <c r="AM1297" s="28" t="s">
        <v>938</v>
      </c>
      <c r="AN1297" s="28" t="s">
        <v>25068</v>
      </c>
      <c r="AO1297" s="28" t="s">
        <v>25069</v>
      </c>
      <c r="AP1297" s="28" t="s">
        <v>423</v>
      </c>
      <c r="AQ1297" s="28" t="s">
        <v>25070</v>
      </c>
      <c r="AR1297" s="28" t="s">
        <v>25071</v>
      </c>
      <c r="AS1297" s="28" t="s">
        <v>426</v>
      </c>
      <c r="AT1297" s="28" t="s">
        <v>426</v>
      </c>
      <c r="AU1297" s="28" t="s">
        <v>18111</v>
      </c>
      <c r="AV1297" s="28" t="s">
        <v>162</v>
      </c>
      <c r="AW1297" s="28" t="s">
        <v>25069</v>
      </c>
      <c r="AX1297" s="28" t="s">
        <v>138</v>
      </c>
      <c r="AY1297" s="28" t="s">
        <v>138</v>
      </c>
      <c r="AZ1297" s="28" t="s">
        <v>164</v>
      </c>
      <c r="BA1297" s="28" t="s">
        <v>165</v>
      </c>
      <c r="BB1297" s="28" t="s">
        <v>25072</v>
      </c>
      <c r="BC1297" s="28" t="s">
        <v>25073</v>
      </c>
      <c r="BD1297" s="33">
        <v>15</v>
      </c>
      <c r="BE1297" s="28" t="s">
        <v>138</v>
      </c>
      <c r="BF1297" s="28" t="s">
        <v>138</v>
      </c>
      <c r="BG1297" s="28" t="s">
        <v>138</v>
      </c>
      <c r="BH1297" s="28" t="s">
        <v>25074</v>
      </c>
      <c r="BI1297" s="28" t="s">
        <v>138</v>
      </c>
      <c r="BJ1297" s="28" t="s">
        <v>138</v>
      </c>
      <c r="BK1297" s="28" t="s">
        <v>25075</v>
      </c>
      <c r="BL1297" s="28" t="s">
        <v>25076</v>
      </c>
      <c r="BM1297" s="34">
        <v>41774</v>
      </c>
      <c r="BN1297" s="29">
        <v>2.5</v>
      </c>
      <c r="BO1297" s="28" t="s">
        <v>172</v>
      </c>
      <c r="BP1297" s="29">
        <v>16.899999999999999</v>
      </c>
      <c r="BQ1297" s="28" t="s">
        <v>172</v>
      </c>
      <c r="BR1297" s="28" t="s">
        <v>205</v>
      </c>
      <c r="BS1297" s="28" t="s">
        <v>206</v>
      </c>
      <c r="BT1297" s="28" t="s">
        <v>138</v>
      </c>
      <c r="BU1297" s="28" t="s">
        <v>174</v>
      </c>
      <c r="BV1297" s="28" t="s">
        <v>138</v>
      </c>
      <c r="BW1297" s="28" t="s">
        <v>138</v>
      </c>
      <c r="BX1297" s="28" t="s">
        <v>138</v>
      </c>
      <c r="BY1297" s="28" t="s">
        <v>175</v>
      </c>
      <c r="BZ1297" s="34" t="s">
        <v>138</v>
      </c>
      <c r="CA1297" s="29">
        <v>75</v>
      </c>
      <c r="CB1297" s="28" t="s">
        <v>1178</v>
      </c>
      <c r="CC1297" s="29">
        <v>1000</v>
      </c>
      <c r="CD1297" s="28" t="s">
        <v>1178</v>
      </c>
      <c r="CE1297" s="28" t="s">
        <v>173</v>
      </c>
      <c r="CF1297" s="28" t="s">
        <v>138</v>
      </c>
      <c r="CG1297" s="28" t="s">
        <v>138</v>
      </c>
      <c r="CH1297" s="28" t="s">
        <v>174</v>
      </c>
      <c r="CI1297" s="28" t="s">
        <v>138</v>
      </c>
      <c r="CJ1297" s="28" t="s">
        <v>138</v>
      </c>
      <c r="CK1297" s="28" t="s">
        <v>138</v>
      </c>
      <c r="CL1297" s="28" t="s">
        <v>3093</v>
      </c>
      <c r="CM1297" s="34" t="s">
        <v>138</v>
      </c>
      <c r="CN1297" s="29" t="s">
        <v>138</v>
      </c>
      <c r="CO1297" s="35">
        <v>0.05</v>
      </c>
      <c r="CP1297" s="36">
        <v>88</v>
      </c>
      <c r="CQ1297" s="35">
        <v>-0.03</v>
      </c>
      <c r="CR1297" s="35">
        <v>-36.1</v>
      </c>
      <c r="CS1297" s="35">
        <v>-0.9</v>
      </c>
      <c r="CT1297" s="36">
        <v>16</v>
      </c>
      <c r="CU1297" s="35">
        <v>0.02</v>
      </c>
      <c r="CV1297" s="36">
        <v>51</v>
      </c>
      <c r="CW1297" s="35">
        <v>-0.56999999999999995</v>
      </c>
      <c r="CX1297" s="36">
        <v>11</v>
      </c>
      <c r="CY1297" s="35">
        <v>-1.24</v>
      </c>
      <c r="CZ1297" s="36">
        <v>17</v>
      </c>
      <c r="DA1297" s="35">
        <v>0.02</v>
      </c>
      <c r="DB1297" s="36">
        <v>58</v>
      </c>
      <c r="DC1297" s="37">
        <v>2710.33</v>
      </c>
      <c r="DD1297" s="36">
        <v>100</v>
      </c>
      <c r="DE1297" s="37">
        <v>-151.21</v>
      </c>
      <c r="DF1297" s="35">
        <v>-5.28</v>
      </c>
      <c r="DG1297" s="37">
        <v>4689.71</v>
      </c>
      <c r="DH1297" s="36">
        <v>100</v>
      </c>
      <c r="DI1297" s="37">
        <v>740.07</v>
      </c>
      <c r="DJ1297" s="36">
        <v>100</v>
      </c>
      <c r="DK1297" s="37">
        <v>9315.4599999999991</v>
      </c>
      <c r="DL1297" s="36">
        <v>100</v>
      </c>
      <c r="DM1297" s="37">
        <v>63.97</v>
      </c>
      <c r="DN1297" s="36">
        <v>99</v>
      </c>
      <c r="DO1297" s="37">
        <v>740.07</v>
      </c>
      <c r="DP1297" s="36">
        <v>100</v>
      </c>
      <c r="DQ1297" s="36">
        <v>3181064</v>
      </c>
      <c r="DR1297" s="38">
        <v>42420</v>
      </c>
      <c r="DS1297" s="35">
        <v>1.35</v>
      </c>
      <c r="DT1297" s="36">
        <v>1852</v>
      </c>
      <c r="DU1297" s="38">
        <v>6</v>
      </c>
      <c r="DV1297" s="35">
        <v>0.33</v>
      </c>
      <c r="DW1297" s="36">
        <v>264937</v>
      </c>
      <c r="DX1297" s="39">
        <v>34</v>
      </c>
      <c r="DY1297" s="35">
        <v>0.01</v>
      </c>
      <c r="DZ1297" s="28" t="s">
        <v>178</v>
      </c>
      <c r="EA1297" s="34">
        <v>43622</v>
      </c>
      <c r="EB1297" s="29">
        <v>600</v>
      </c>
      <c r="EC1297" s="34">
        <v>42661</v>
      </c>
      <c r="ED1297" s="28" t="s">
        <v>173</v>
      </c>
      <c r="EE1297" s="40" t="str">
        <f>HYPERLINK("https://my.pitchbook.com?c=63217-81", "View company online")</f>
        <v>View company online</v>
      </c>
    </row>
    <row r="1298" spans="1:135">
      <c r="A1298" s="15" t="s">
        <v>25077</v>
      </c>
      <c r="B1298" s="15" t="s">
        <v>25078</v>
      </c>
      <c r="C1298" s="15" t="s">
        <v>138</v>
      </c>
      <c r="D1298" s="15" t="s">
        <v>138</v>
      </c>
      <c r="E1298" s="15" t="s">
        <v>25079</v>
      </c>
      <c r="F1298" s="15" t="s">
        <v>25077</v>
      </c>
      <c r="G1298" s="15" t="s">
        <v>25080</v>
      </c>
      <c r="H1298" s="15" t="s">
        <v>322</v>
      </c>
      <c r="I1298" s="15" t="s">
        <v>323</v>
      </c>
      <c r="J1298" s="15" t="s">
        <v>413</v>
      </c>
      <c r="K1298" s="15" t="s">
        <v>16037</v>
      </c>
      <c r="L1298" s="15" t="s">
        <v>215</v>
      </c>
      <c r="M1298" s="15" t="s">
        <v>25081</v>
      </c>
      <c r="N1298" s="15" t="s">
        <v>147</v>
      </c>
      <c r="O1298" s="17" t="s">
        <v>138</v>
      </c>
      <c r="P1298" s="15" t="s">
        <v>148</v>
      </c>
      <c r="Q1298" s="15" t="s">
        <v>149</v>
      </c>
      <c r="R1298" s="15" t="s">
        <v>174</v>
      </c>
      <c r="S1298" s="15" t="s">
        <v>25082</v>
      </c>
      <c r="T1298" s="18">
        <v>6</v>
      </c>
      <c r="U1298" s="15" t="s">
        <v>6114</v>
      </c>
      <c r="V1298" s="15" t="s">
        <v>138</v>
      </c>
      <c r="W1298" s="15" t="s">
        <v>138</v>
      </c>
      <c r="X1298" s="19">
        <v>2011</v>
      </c>
      <c r="Y1298" s="15" t="s">
        <v>138</v>
      </c>
      <c r="Z1298" s="15" t="s">
        <v>138</v>
      </c>
      <c r="AA1298" s="15" t="s">
        <v>138</v>
      </c>
      <c r="AB1298" s="20" t="s">
        <v>138</v>
      </c>
      <c r="AC1298" s="20" t="s">
        <v>138</v>
      </c>
      <c r="AD1298" s="20" t="s">
        <v>138</v>
      </c>
      <c r="AE1298" s="20" t="s">
        <v>138</v>
      </c>
      <c r="AF1298" s="20" t="s">
        <v>138</v>
      </c>
      <c r="AG1298" s="15" t="s">
        <v>138</v>
      </c>
      <c r="AH1298" s="20" t="s">
        <v>138</v>
      </c>
      <c r="AI1298" s="20" t="s">
        <v>138</v>
      </c>
      <c r="AJ1298" s="20" t="s">
        <v>138</v>
      </c>
      <c r="AK1298" s="15" t="s">
        <v>25083</v>
      </c>
      <c r="AL1298" s="15" t="s">
        <v>25084</v>
      </c>
      <c r="AM1298" s="15" t="s">
        <v>938</v>
      </c>
      <c r="AN1298" s="15" t="s">
        <v>25085</v>
      </c>
      <c r="AO1298" s="15" t="s">
        <v>25086</v>
      </c>
      <c r="AP1298" s="15" t="s">
        <v>25087</v>
      </c>
      <c r="AQ1298" s="15" t="s">
        <v>25088</v>
      </c>
      <c r="AR1298" s="15" t="s">
        <v>138</v>
      </c>
      <c r="AS1298" s="15" t="s">
        <v>25089</v>
      </c>
      <c r="AT1298" s="15" t="s">
        <v>3712</v>
      </c>
      <c r="AU1298" s="15" t="s">
        <v>25090</v>
      </c>
      <c r="AV1298" s="15" t="s">
        <v>162</v>
      </c>
      <c r="AW1298" s="15" t="s">
        <v>25086</v>
      </c>
      <c r="AX1298" s="15" t="s">
        <v>138</v>
      </c>
      <c r="AY1298" s="15" t="s">
        <v>25091</v>
      </c>
      <c r="AZ1298" s="15" t="s">
        <v>164</v>
      </c>
      <c r="BA1298" s="15" t="s">
        <v>165</v>
      </c>
      <c r="BB1298" s="15" t="s">
        <v>25092</v>
      </c>
      <c r="BC1298" s="15" t="s">
        <v>25093</v>
      </c>
      <c r="BD1298" s="21">
        <v>3</v>
      </c>
      <c r="BE1298" s="15" t="s">
        <v>138</v>
      </c>
      <c r="BF1298" s="15" t="s">
        <v>138</v>
      </c>
      <c r="BG1298" s="15" t="s">
        <v>138</v>
      </c>
      <c r="BH1298" s="15" t="s">
        <v>25094</v>
      </c>
      <c r="BI1298" s="15" t="s">
        <v>138</v>
      </c>
      <c r="BJ1298" s="15" t="s">
        <v>138</v>
      </c>
      <c r="BK1298" s="15" t="s">
        <v>138</v>
      </c>
      <c r="BL1298" s="15" t="s">
        <v>138</v>
      </c>
      <c r="BM1298" s="22" t="s">
        <v>138</v>
      </c>
      <c r="BN1298" s="17" t="s">
        <v>138</v>
      </c>
      <c r="BO1298" s="15" t="s">
        <v>138</v>
      </c>
      <c r="BP1298" s="17" t="s">
        <v>138</v>
      </c>
      <c r="BQ1298" s="15" t="s">
        <v>138</v>
      </c>
      <c r="BR1298" s="15" t="s">
        <v>205</v>
      </c>
      <c r="BS1298" s="15" t="s">
        <v>138</v>
      </c>
      <c r="BT1298" s="15" t="s">
        <v>138</v>
      </c>
      <c r="BU1298" s="15" t="s">
        <v>174</v>
      </c>
      <c r="BV1298" s="15" t="s">
        <v>138</v>
      </c>
      <c r="BW1298" s="15" t="s">
        <v>138</v>
      </c>
      <c r="BX1298" s="15" t="s">
        <v>138</v>
      </c>
      <c r="BY1298" s="15" t="s">
        <v>175</v>
      </c>
      <c r="BZ1298" s="22" t="s">
        <v>138</v>
      </c>
      <c r="CA1298" s="17" t="s">
        <v>138</v>
      </c>
      <c r="CB1298" s="15" t="s">
        <v>138</v>
      </c>
      <c r="CC1298" s="17" t="s">
        <v>138</v>
      </c>
      <c r="CD1298" s="15" t="s">
        <v>138</v>
      </c>
      <c r="CE1298" s="15" t="s">
        <v>205</v>
      </c>
      <c r="CF1298" s="15" t="s">
        <v>138</v>
      </c>
      <c r="CG1298" s="15" t="s">
        <v>138</v>
      </c>
      <c r="CH1298" s="15" t="s">
        <v>174</v>
      </c>
      <c r="CI1298" s="15" t="s">
        <v>138</v>
      </c>
      <c r="CJ1298" s="15" t="s">
        <v>138</v>
      </c>
      <c r="CK1298" s="15" t="s">
        <v>138</v>
      </c>
      <c r="CL1298" s="15" t="s">
        <v>175</v>
      </c>
      <c r="CM1298" s="22" t="s">
        <v>138</v>
      </c>
      <c r="CN1298" s="17" t="s">
        <v>138</v>
      </c>
      <c r="CO1298" s="23">
        <v>-1</v>
      </c>
      <c r="CP1298" s="24">
        <v>11</v>
      </c>
      <c r="CQ1298" s="23">
        <v>-0.06</v>
      </c>
      <c r="CR1298" s="23">
        <v>-6.28</v>
      </c>
      <c r="CS1298" s="23">
        <v>-2.99</v>
      </c>
      <c r="CT1298" s="24">
        <v>5</v>
      </c>
      <c r="CU1298" s="23">
        <v>0</v>
      </c>
      <c r="CV1298" s="24">
        <v>22</v>
      </c>
      <c r="CW1298" s="23">
        <v>-5.89</v>
      </c>
      <c r="CX1298" s="24">
        <v>2</v>
      </c>
      <c r="CY1298" s="23">
        <v>-0.1</v>
      </c>
      <c r="CZ1298" s="24">
        <v>24</v>
      </c>
      <c r="DA1298" s="23">
        <v>0</v>
      </c>
      <c r="DB1298" s="24">
        <v>22</v>
      </c>
      <c r="DC1298" s="25">
        <v>8.19</v>
      </c>
      <c r="DD1298" s="24">
        <v>88</v>
      </c>
      <c r="DE1298" s="25">
        <v>-0.19</v>
      </c>
      <c r="DF1298" s="23">
        <v>-2.2599999999999998</v>
      </c>
      <c r="DG1298" s="25">
        <v>23.42</v>
      </c>
      <c r="DH1298" s="24">
        <v>96</v>
      </c>
      <c r="DI1298" s="25">
        <v>1.01</v>
      </c>
      <c r="DJ1298" s="24">
        <v>49</v>
      </c>
      <c r="DK1298" s="25">
        <v>8.5</v>
      </c>
      <c r="DL1298" s="24">
        <v>85</v>
      </c>
      <c r="DM1298" s="25">
        <v>38.340000000000003</v>
      </c>
      <c r="DN1298" s="24">
        <v>97</v>
      </c>
      <c r="DO1298" s="25">
        <v>1.01</v>
      </c>
      <c r="DP1298" s="24">
        <v>51</v>
      </c>
      <c r="DQ1298" s="24">
        <v>3335</v>
      </c>
      <c r="DR1298" s="26">
        <v>-1254</v>
      </c>
      <c r="DS1298" s="23">
        <v>-27.33</v>
      </c>
      <c r="DT1298" s="24">
        <v>1112</v>
      </c>
      <c r="DU1298" s="26">
        <v>-2</v>
      </c>
      <c r="DV1298" s="23">
        <v>-0.18</v>
      </c>
      <c r="DW1298" s="24">
        <v>361</v>
      </c>
      <c r="DX1298" s="27">
        <v>0</v>
      </c>
      <c r="DY1298" s="23">
        <v>0</v>
      </c>
      <c r="DZ1298" s="15" t="s">
        <v>178</v>
      </c>
      <c r="EA1298" s="22">
        <v>43351</v>
      </c>
      <c r="EB1298" s="17" t="s">
        <v>138</v>
      </c>
      <c r="EC1298" s="22" t="s">
        <v>138</v>
      </c>
      <c r="ED1298" s="15" t="s">
        <v>138</v>
      </c>
      <c r="EE1298" s="14" t="str">
        <f>HYPERLINK("https://my.pitchbook.com?c=96118-48", "View company online")</f>
        <v>View company online</v>
      </c>
    </row>
    <row r="1299" spans="1:135">
      <c r="A1299" s="28" t="s">
        <v>25095</v>
      </c>
      <c r="B1299" s="28" t="s">
        <v>25096</v>
      </c>
      <c r="C1299" s="28" t="s">
        <v>138</v>
      </c>
      <c r="D1299" s="28" t="s">
        <v>138</v>
      </c>
      <c r="E1299" s="28" t="s">
        <v>138</v>
      </c>
      <c r="F1299" s="28" t="s">
        <v>25095</v>
      </c>
      <c r="G1299" s="28" t="s">
        <v>25097</v>
      </c>
      <c r="H1299" s="28" t="s">
        <v>141</v>
      </c>
      <c r="I1299" s="28" t="s">
        <v>212</v>
      </c>
      <c r="J1299" s="28" t="s">
        <v>2483</v>
      </c>
      <c r="K1299" s="28" t="s">
        <v>25098</v>
      </c>
      <c r="L1299" s="28" t="s">
        <v>8567</v>
      </c>
      <c r="M1299" s="28" t="s">
        <v>25099</v>
      </c>
      <c r="N1299" s="28" t="s">
        <v>147</v>
      </c>
      <c r="O1299" s="29">
        <v>12.3</v>
      </c>
      <c r="P1299" s="28" t="s">
        <v>934</v>
      </c>
      <c r="Q1299" s="28" t="s">
        <v>149</v>
      </c>
      <c r="R1299" s="28" t="s">
        <v>174</v>
      </c>
      <c r="S1299" s="28" t="s">
        <v>25100</v>
      </c>
      <c r="T1299" s="30" t="s">
        <v>138</v>
      </c>
      <c r="U1299" s="28" t="s">
        <v>138</v>
      </c>
      <c r="V1299" s="28" t="s">
        <v>138</v>
      </c>
      <c r="W1299" s="28" t="s">
        <v>138</v>
      </c>
      <c r="X1299" s="31">
        <v>2011</v>
      </c>
      <c r="Y1299" s="28" t="s">
        <v>138</v>
      </c>
      <c r="Z1299" s="28" t="s">
        <v>138</v>
      </c>
      <c r="AA1299" s="28" t="s">
        <v>138</v>
      </c>
      <c r="AB1299" s="32">
        <v>0.24</v>
      </c>
      <c r="AC1299" s="32" t="s">
        <v>138</v>
      </c>
      <c r="AD1299" s="32" t="s">
        <v>138</v>
      </c>
      <c r="AE1299" s="32" t="s">
        <v>138</v>
      </c>
      <c r="AF1299" s="32" t="s">
        <v>138</v>
      </c>
      <c r="AG1299" s="28" t="s">
        <v>563</v>
      </c>
      <c r="AH1299" s="32" t="s">
        <v>138</v>
      </c>
      <c r="AI1299" s="32" t="s">
        <v>138</v>
      </c>
      <c r="AJ1299" s="32" t="s">
        <v>138</v>
      </c>
      <c r="AK1299" s="28" t="s">
        <v>25101</v>
      </c>
      <c r="AL1299" s="28" t="s">
        <v>25102</v>
      </c>
      <c r="AM1299" s="28" t="s">
        <v>4011</v>
      </c>
      <c r="AN1299" s="28" t="s">
        <v>25103</v>
      </c>
      <c r="AO1299" s="28" t="s">
        <v>25104</v>
      </c>
      <c r="AP1299" s="28" t="s">
        <v>14127</v>
      </c>
      <c r="AQ1299" s="28" t="s">
        <v>25105</v>
      </c>
      <c r="AR1299" s="28" t="s">
        <v>6298</v>
      </c>
      <c r="AS1299" s="28" t="s">
        <v>14129</v>
      </c>
      <c r="AT1299" s="28" t="s">
        <v>14130</v>
      </c>
      <c r="AU1299" s="28" t="s">
        <v>25106</v>
      </c>
      <c r="AV1299" s="28" t="s">
        <v>2742</v>
      </c>
      <c r="AW1299" s="28" t="s">
        <v>25104</v>
      </c>
      <c r="AX1299" s="28" t="s">
        <v>138</v>
      </c>
      <c r="AY1299" s="28" t="s">
        <v>25107</v>
      </c>
      <c r="AZ1299" s="28" t="s">
        <v>164</v>
      </c>
      <c r="BA1299" s="28" t="s">
        <v>165</v>
      </c>
      <c r="BB1299" s="28" t="s">
        <v>25108</v>
      </c>
      <c r="BC1299" s="28" t="s">
        <v>25109</v>
      </c>
      <c r="BD1299" s="33">
        <v>6</v>
      </c>
      <c r="BE1299" s="28" t="s">
        <v>138</v>
      </c>
      <c r="BF1299" s="28" t="s">
        <v>138</v>
      </c>
      <c r="BG1299" s="28" t="s">
        <v>138</v>
      </c>
      <c r="BH1299" s="28" t="s">
        <v>25110</v>
      </c>
      <c r="BI1299" s="28" t="s">
        <v>138</v>
      </c>
      <c r="BJ1299" s="28" t="s">
        <v>138</v>
      </c>
      <c r="BK1299" s="28" t="s">
        <v>138</v>
      </c>
      <c r="BL1299" s="28" t="s">
        <v>138</v>
      </c>
      <c r="BM1299" s="34">
        <v>41320</v>
      </c>
      <c r="BN1299" s="29">
        <v>2.2999999999999998</v>
      </c>
      <c r="BO1299" s="28" t="s">
        <v>172</v>
      </c>
      <c r="BP1299" s="29" t="s">
        <v>138</v>
      </c>
      <c r="BQ1299" s="28" t="s">
        <v>138</v>
      </c>
      <c r="BR1299" s="28" t="s">
        <v>205</v>
      </c>
      <c r="BS1299" s="28" t="s">
        <v>138</v>
      </c>
      <c r="BT1299" s="28" t="s">
        <v>138</v>
      </c>
      <c r="BU1299" s="28" t="s">
        <v>174</v>
      </c>
      <c r="BV1299" s="28" t="s">
        <v>138</v>
      </c>
      <c r="BW1299" s="28" t="s">
        <v>138</v>
      </c>
      <c r="BX1299" s="28" t="s">
        <v>138</v>
      </c>
      <c r="BY1299" s="28" t="s">
        <v>175</v>
      </c>
      <c r="BZ1299" s="34">
        <v>43367</v>
      </c>
      <c r="CA1299" s="29">
        <v>10</v>
      </c>
      <c r="CB1299" s="28" t="s">
        <v>172</v>
      </c>
      <c r="CC1299" s="29" t="s">
        <v>138</v>
      </c>
      <c r="CD1299" s="28" t="s">
        <v>138</v>
      </c>
      <c r="CE1299" s="28" t="s">
        <v>205</v>
      </c>
      <c r="CF1299" s="28" t="s">
        <v>1727</v>
      </c>
      <c r="CG1299" s="28" t="s">
        <v>138</v>
      </c>
      <c r="CH1299" s="28" t="s">
        <v>174</v>
      </c>
      <c r="CI1299" s="28" t="s">
        <v>138</v>
      </c>
      <c r="CJ1299" s="28" t="s">
        <v>138</v>
      </c>
      <c r="CK1299" s="28" t="s">
        <v>138</v>
      </c>
      <c r="CL1299" s="28" t="s">
        <v>175</v>
      </c>
      <c r="CM1299" s="34" t="s">
        <v>138</v>
      </c>
      <c r="CN1299" s="29" t="s">
        <v>138</v>
      </c>
      <c r="CO1299" s="35">
        <v>0.38</v>
      </c>
      <c r="CP1299" s="36">
        <v>94</v>
      </c>
      <c r="CQ1299" s="35">
        <v>0.02</v>
      </c>
      <c r="CR1299" s="35">
        <v>4.37</v>
      </c>
      <c r="CS1299" s="35">
        <v>-0.26</v>
      </c>
      <c r="CT1299" s="36">
        <v>21</v>
      </c>
      <c r="CU1299" s="35">
        <v>1.02</v>
      </c>
      <c r="CV1299" s="36">
        <v>98</v>
      </c>
      <c r="CW1299" s="35" t="s">
        <v>138</v>
      </c>
      <c r="CX1299" s="36" t="s">
        <v>138</v>
      </c>
      <c r="CY1299" s="35">
        <v>-0.26</v>
      </c>
      <c r="CZ1299" s="36">
        <v>23</v>
      </c>
      <c r="DA1299" s="35">
        <v>1.02</v>
      </c>
      <c r="DB1299" s="36">
        <v>98</v>
      </c>
      <c r="DC1299" s="37">
        <v>3.84</v>
      </c>
      <c r="DD1299" s="36">
        <v>79</v>
      </c>
      <c r="DE1299" s="37">
        <v>0.06</v>
      </c>
      <c r="DF1299" s="35">
        <v>1.58</v>
      </c>
      <c r="DG1299" s="37">
        <v>6.28</v>
      </c>
      <c r="DH1299" s="36">
        <v>85</v>
      </c>
      <c r="DI1299" s="37">
        <v>1.41</v>
      </c>
      <c r="DJ1299" s="36">
        <v>56</v>
      </c>
      <c r="DK1299" s="37" t="s">
        <v>138</v>
      </c>
      <c r="DL1299" s="36" t="s">
        <v>138</v>
      </c>
      <c r="DM1299" s="37">
        <v>6.28</v>
      </c>
      <c r="DN1299" s="36">
        <v>84</v>
      </c>
      <c r="DO1299" s="37">
        <v>1.41</v>
      </c>
      <c r="DP1299" s="36">
        <v>57</v>
      </c>
      <c r="DQ1299" s="36" t="s">
        <v>138</v>
      </c>
      <c r="DR1299" s="38" t="s">
        <v>138</v>
      </c>
      <c r="DS1299" s="35" t="s">
        <v>138</v>
      </c>
      <c r="DT1299" s="36">
        <v>180</v>
      </c>
      <c r="DU1299" s="38">
        <v>3</v>
      </c>
      <c r="DV1299" s="35">
        <v>1.69</v>
      </c>
      <c r="DW1299" s="36">
        <v>501</v>
      </c>
      <c r="DX1299" s="39">
        <v>1</v>
      </c>
      <c r="DY1299" s="35">
        <v>0.2</v>
      </c>
      <c r="DZ1299" s="28" t="s">
        <v>178</v>
      </c>
      <c r="EA1299" s="34">
        <v>43537</v>
      </c>
      <c r="EB1299" s="29" t="s">
        <v>138</v>
      </c>
      <c r="EC1299" s="34" t="s">
        <v>138</v>
      </c>
      <c r="ED1299" s="28" t="s">
        <v>138</v>
      </c>
      <c r="EE1299" s="40" t="str">
        <f>HYPERLINK("https://my.pitchbook.com?c=107991-82", "View company online")</f>
        <v>View company online</v>
      </c>
    </row>
    <row r="1300" spans="1:135">
      <c r="A1300" s="15" t="s">
        <v>25111</v>
      </c>
      <c r="B1300" s="15" t="s">
        <v>25112</v>
      </c>
      <c r="C1300" s="15" t="s">
        <v>138</v>
      </c>
      <c r="D1300" s="15" t="s">
        <v>138</v>
      </c>
      <c r="E1300" s="15" t="s">
        <v>25113</v>
      </c>
      <c r="F1300" s="15" t="s">
        <v>25111</v>
      </c>
      <c r="G1300" s="15" t="s">
        <v>25114</v>
      </c>
      <c r="H1300" s="15" t="s">
        <v>322</v>
      </c>
      <c r="I1300" s="15" t="s">
        <v>323</v>
      </c>
      <c r="J1300" s="15" t="s">
        <v>539</v>
      </c>
      <c r="K1300" s="15" t="s">
        <v>25115</v>
      </c>
      <c r="L1300" s="15" t="s">
        <v>415</v>
      </c>
      <c r="M1300" s="15" t="s">
        <v>25116</v>
      </c>
      <c r="N1300" s="15" t="s">
        <v>147</v>
      </c>
      <c r="O1300" s="17">
        <v>12.02</v>
      </c>
      <c r="P1300" s="15" t="s">
        <v>148</v>
      </c>
      <c r="Q1300" s="15" t="s">
        <v>149</v>
      </c>
      <c r="R1300" s="15" t="s">
        <v>174</v>
      </c>
      <c r="S1300" s="15" t="s">
        <v>25117</v>
      </c>
      <c r="T1300" s="18">
        <v>20</v>
      </c>
      <c r="U1300" s="15" t="s">
        <v>25118</v>
      </c>
      <c r="V1300" s="15" t="s">
        <v>138</v>
      </c>
      <c r="W1300" s="15" t="s">
        <v>138</v>
      </c>
      <c r="X1300" s="19">
        <v>2015</v>
      </c>
      <c r="Y1300" s="15" t="s">
        <v>138</v>
      </c>
      <c r="Z1300" s="15" t="s">
        <v>138</v>
      </c>
      <c r="AA1300" s="15" t="s">
        <v>138</v>
      </c>
      <c r="AB1300" s="20" t="s">
        <v>138</v>
      </c>
      <c r="AC1300" s="20" t="s">
        <v>138</v>
      </c>
      <c r="AD1300" s="20" t="s">
        <v>138</v>
      </c>
      <c r="AE1300" s="20" t="s">
        <v>138</v>
      </c>
      <c r="AF1300" s="20" t="s">
        <v>138</v>
      </c>
      <c r="AG1300" s="15" t="s">
        <v>138</v>
      </c>
      <c r="AH1300" s="20" t="s">
        <v>138</v>
      </c>
      <c r="AI1300" s="20" t="s">
        <v>138</v>
      </c>
      <c r="AJ1300" s="20" t="s">
        <v>138</v>
      </c>
      <c r="AK1300" s="15" t="s">
        <v>25119</v>
      </c>
      <c r="AL1300" s="15" t="s">
        <v>25120</v>
      </c>
      <c r="AM1300" s="15" t="s">
        <v>422</v>
      </c>
      <c r="AN1300" s="15" t="s">
        <v>25121</v>
      </c>
      <c r="AO1300" s="15" t="s">
        <v>25122</v>
      </c>
      <c r="AP1300" s="15" t="s">
        <v>964</v>
      </c>
      <c r="AQ1300" s="15" t="s">
        <v>25123</v>
      </c>
      <c r="AR1300" s="15" t="s">
        <v>25124</v>
      </c>
      <c r="AS1300" s="15" t="s">
        <v>966</v>
      </c>
      <c r="AT1300" s="15" t="s">
        <v>200</v>
      </c>
      <c r="AU1300" s="15" t="s">
        <v>4152</v>
      </c>
      <c r="AV1300" s="15" t="s">
        <v>162</v>
      </c>
      <c r="AW1300" s="15" t="s">
        <v>25122</v>
      </c>
      <c r="AX1300" s="15" t="s">
        <v>138</v>
      </c>
      <c r="AY1300" s="15" t="s">
        <v>25125</v>
      </c>
      <c r="AZ1300" s="15" t="s">
        <v>164</v>
      </c>
      <c r="BA1300" s="15" t="s">
        <v>165</v>
      </c>
      <c r="BB1300" s="15" t="s">
        <v>25126</v>
      </c>
      <c r="BC1300" s="15" t="s">
        <v>25127</v>
      </c>
      <c r="BD1300" s="21">
        <v>11</v>
      </c>
      <c r="BE1300" s="15" t="s">
        <v>138</v>
      </c>
      <c r="BF1300" s="15" t="s">
        <v>138</v>
      </c>
      <c r="BG1300" s="15" t="s">
        <v>138</v>
      </c>
      <c r="BH1300" s="15" t="s">
        <v>25128</v>
      </c>
      <c r="BI1300" s="15" t="s">
        <v>138</v>
      </c>
      <c r="BJ1300" s="15" t="s">
        <v>138</v>
      </c>
      <c r="BK1300" s="15" t="s">
        <v>138</v>
      </c>
      <c r="BL1300" s="15" t="s">
        <v>138</v>
      </c>
      <c r="BM1300" s="22" t="s">
        <v>138</v>
      </c>
      <c r="BN1300" s="17" t="s">
        <v>138</v>
      </c>
      <c r="BO1300" s="15" t="s">
        <v>138</v>
      </c>
      <c r="BP1300" s="17" t="s">
        <v>138</v>
      </c>
      <c r="BQ1300" s="15" t="s">
        <v>138</v>
      </c>
      <c r="BR1300" s="15" t="s">
        <v>316</v>
      </c>
      <c r="BS1300" s="15" t="s">
        <v>138</v>
      </c>
      <c r="BT1300" s="15" t="s">
        <v>138</v>
      </c>
      <c r="BU1300" s="15" t="s">
        <v>177</v>
      </c>
      <c r="BV1300" s="15" t="s">
        <v>138</v>
      </c>
      <c r="BW1300" s="15" t="s">
        <v>138</v>
      </c>
      <c r="BX1300" s="15" t="s">
        <v>138</v>
      </c>
      <c r="BY1300" s="15" t="s">
        <v>175</v>
      </c>
      <c r="BZ1300" s="22">
        <v>42635</v>
      </c>
      <c r="CA1300" s="17">
        <v>10</v>
      </c>
      <c r="CB1300" s="15" t="s">
        <v>172</v>
      </c>
      <c r="CC1300" s="17" t="s">
        <v>138</v>
      </c>
      <c r="CD1300" s="15" t="s">
        <v>138</v>
      </c>
      <c r="CE1300" s="15" t="s">
        <v>234</v>
      </c>
      <c r="CF1300" s="15" t="s">
        <v>234</v>
      </c>
      <c r="CG1300" s="15" t="s">
        <v>138</v>
      </c>
      <c r="CH1300" s="15" t="s">
        <v>174</v>
      </c>
      <c r="CI1300" s="15" t="s">
        <v>138</v>
      </c>
      <c r="CJ1300" s="15" t="s">
        <v>138</v>
      </c>
      <c r="CK1300" s="15" t="s">
        <v>138</v>
      </c>
      <c r="CL1300" s="15" t="s">
        <v>175</v>
      </c>
      <c r="CM1300" s="22" t="s">
        <v>138</v>
      </c>
      <c r="CN1300" s="17" t="s">
        <v>138</v>
      </c>
      <c r="CO1300" s="23">
        <v>0.37</v>
      </c>
      <c r="CP1300" s="24">
        <v>94</v>
      </c>
      <c r="CQ1300" s="23">
        <v>-0.1</v>
      </c>
      <c r="CR1300" s="23">
        <v>-20.69</v>
      </c>
      <c r="CS1300" s="23">
        <v>-1.1599999999999999</v>
      </c>
      <c r="CT1300" s="24">
        <v>14</v>
      </c>
      <c r="CU1300" s="23">
        <v>0.03</v>
      </c>
      <c r="CV1300" s="24">
        <v>54</v>
      </c>
      <c r="CW1300" s="23">
        <v>-0.46</v>
      </c>
      <c r="CX1300" s="24">
        <v>11</v>
      </c>
      <c r="CY1300" s="23">
        <v>-1.86</v>
      </c>
      <c r="CZ1300" s="24">
        <v>12</v>
      </c>
      <c r="DA1300" s="23">
        <v>0.12</v>
      </c>
      <c r="DB1300" s="24">
        <v>75</v>
      </c>
      <c r="DC1300" s="25">
        <v>2194.71</v>
      </c>
      <c r="DD1300" s="24">
        <v>100</v>
      </c>
      <c r="DE1300" s="25">
        <v>-267.2</v>
      </c>
      <c r="DF1300" s="23">
        <v>-10.85</v>
      </c>
      <c r="DG1300" s="25">
        <v>6284.46</v>
      </c>
      <c r="DH1300" s="24">
        <v>100</v>
      </c>
      <c r="DI1300" s="25">
        <v>289.63</v>
      </c>
      <c r="DJ1300" s="24">
        <v>99</v>
      </c>
      <c r="DK1300" s="25">
        <v>12499.88</v>
      </c>
      <c r="DL1300" s="24">
        <v>100</v>
      </c>
      <c r="DM1300" s="25">
        <v>69.03</v>
      </c>
      <c r="DN1300" s="24">
        <v>99</v>
      </c>
      <c r="DO1300" s="25">
        <v>7.29</v>
      </c>
      <c r="DP1300" s="24">
        <v>84</v>
      </c>
      <c r="DQ1300" s="24">
        <v>4296717</v>
      </c>
      <c r="DR1300" s="26">
        <v>-27771</v>
      </c>
      <c r="DS1300" s="23">
        <v>-0.64</v>
      </c>
      <c r="DT1300" s="24">
        <v>2003</v>
      </c>
      <c r="DU1300" s="26">
        <v>-1</v>
      </c>
      <c r="DV1300" s="23">
        <v>-0.05</v>
      </c>
      <c r="DW1300" s="24">
        <v>2607</v>
      </c>
      <c r="DX1300" s="27">
        <v>2</v>
      </c>
      <c r="DY1300" s="23">
        <v>0.08</v>
      </c>
      <c r="DZ1300" s="15" t="s">
        <v>178</v>
      </c>
      <c r="EA1300" s="22">
        <v>43451</v>
      </c>
      <c r="EB1300" s="17">
        <v>14.7</v>
      </c>
      <c r="EC1300" s="22">
        <v>42213</v>
      </c>
      <c r="ED1300" s="15" t="s">
        <v>234</v>
      </c>
      <c r="EE1300" s="14" t="str">
        <f>HYPERLINK("https://my.pitchbook.com?c=120850-48", "View company online")</f>
        <v>View company online</v>
      </c>
    </row>
    <row r="1301" spans="1:135">
      <c r="A1301" s="28" t="s">
        <v>25129</v>
      </c>
      <c r="B1301" s="28" t="s">
        <v>25130</v>
      </c>
      <c r="C1301" s="28" t="s">
        <v>25131</v>
      </c>
      <c r="D1301" s="28" t="s">
        <v>138</v>
      </c>
      <c r="E1301" s="28" t="s">
        <v>25132</v>
      </c>
      <c r="F1301" s="28" t="s">
        <v>25129</v>
      </c>
      <c r="G1301" s="28" t="s">
        <v>25133</v>
      </c>
      <c r="H1301" s="28" t="s">
        <v>322</v>
      </c>
      <c r="I1301" s="28" t="s">
        <v>323</v>
      </c>
      <c r="J1301" s="28" t="s">
        <v>1084</v>
      </c>
      <c r="K1301" s="28" t="s">
        <v>25134</v>
      </c>
      <c r="L1301" s="28" t="s">
        <v>25135</v>
      </c>
      <c r="M1301" s="28" t="s">
        <v>25136</v>
      </c>
      <c r="N1301" s="28" t="s">
        <v>147</v>
      </c>
      <c r="O1301" s="29">
        <v>673</v>
      </c>
      <c r="P1301" s="28" t="s">
        <v>812</v>
      </c>
      <c r="Q1301" s="28" t="s">
        <v>149</v>
      </c>
      <c r="R1301" s="28" t="s">
        <v>244</v>
      </c>
      <c r="S1301" s="28" t="s">
        <v>25137</v>
      </c>
      <c r="T1301" s="30">
        <v>1000</v>
      </c>
      <c r="U1301" s="28" t="s">
        <v>25138</v>
      </c>
      <c r="V1301" s="28" t="s">
        <v>138</v>
      </c>
      <c r="W1301" s="28" t="s">
        <v>138</v>
      </c>
      <c r="X1301" s="31">
        <v>2010</v>
      </c>
      <c r="Y1301" s="28" t="s">
        <v>138</v>
      </c>
      <c r="Z1301" s="28" t="s">
        <v>138</v>
      </c>
      <c r="AA1301" s="28" t="s">
        <v>1163</v>
      </c>
      <c r="AB1301" s="32">
        <v>1000</v>
      </c>
      <c r="AC1301" s="32" t="s">
        <v>138</v>
      </c>
      <c r="AD1301" s="32" t="s">
        <v>138</v>
      </c>
      <c r="AE1301" s="32" t="s">
        <v>138</v>
      </c>
      <c r="AF1301" s="32" t="s">
        <v>138</v>
      </c>
      <c r="AG1301" s="28" t="s">
        <v>815</v>
      </c>
      <c r="AH1301" s="32" t="s">
        <v>138</v>
      </c>
      <c r="AI1301" s="32" t="s">
        <v>138</v>
      </c>
      <c r="AJ1301" s="32" t="s">
        <v>138</v>
      </c>
      <c r="AK1301" s="28" t="s">
        <v>25139</v>
      </c>
      <c r="AL1301" s="28" t="s">
        <v>25140</v>
      </c>
      <c r="AM1301" s="28" t="s">
        <v>249</v>
      </c>
      <c r="AN1301" s="28" t="s">
        <v>25141</v>
      </c>
      <c r="AO1301" s="28" t="s">
        <v>25142</v>
      </c>
      <c r="AP1301" s="28" t="s">
        <v>5697</v>
      </c>
      <c r="AQ1301" s="28" t="s">
        <v>25143</v>
      </c>
      <c r="AR1301" s="28" t="s">
        <v>138</v>
      </c>
      <c r="AS1301" s="28" t="s">
        <v>5700</v>
      </c>
      <c r="AT1301" s="28" t="s">
        <v>138</v>
      </c>
      <c r="AU1301" s="28" t="s">
        <v>25144</v>
      </c>
      <c r="AV1301" s="28" t="s">
        <v>740</v>
      </c>
      <c r="AW1301" s="28" t="s">
        <v>25142</v>
      </c>
      <c r="AX1301" s="28" t="s">
        <v>138</v>
      </c>
      <c r="AY1301" s="28" t="s">
        <v>138</v>
      </c>
      <c r="AZ1301" s="28" t="s">
        <v>742</v>
      </c>
      <c r="BA1301" s="28" t="s">
        <v>742</v>
      </c>
      <c r="BB1301" s="28" t="s">
        <v>25145</v>
      </c>
      <c r="BC1301" s="28" t="s">
        <v>25146</v>
      </c>
      <c r="BD1301" s="33">
        <v>11</v>
      </c>
      <c r="BE1301" s="28" t="s">
        <v>138</v>
      </c>
      <c r="BF1301" s="28" t="s">
        <v>25147</v>
      </c>
      <c r="BG1301" s="28" t="s">
        <v>138</v>
      </c>
      <c r="BH1301" s="28" t="s">
        <v>25148</v>
      </c>
      <c r="BI1301" s="28" t="s">
        <v>25149</v>
      </c>
      <c r="BJ1301" s="28" t="s">
        <v>138</v>
      </c>
      <c r="BK1301" s="28" t="s">
        <v>25150</v>
      </c>
      <c r="BL1301" s="28" t="s">
        <v>25151</v>
      </c>
      <c r="BM1301" s="34">
        <v>40360</v>
      </c>
      <c r="BN1301" s="29">
        <v>2</v>
      </c>
      <c r="BO1301" s="28" t="s">
        <v>172</v>
      </c>
      <c r="BP1301" s="29" t="s">
        <v>138</v>
      </c>
      <c r="BQ1301" s="28" t="s">
        <v>138</v>
      </c>
      <c r="BR1301" s="28" t="s">
        <v>262</v>
      </c>
      <c r="BS1301" s="28" t="s">
        <v>262</v>
      </c>
      <c r="BT1301" s="28" t="s">
        <v>138</v>
      </c>
      <c r="BU1301" s="28" t="s">
        <v>263</v>
      </c>
      <c r="BV1301" s="28" t="s">
        <v>138</v>
      </c>
      <c r="BW1301" s="28" t="s">
        <v>138</v>
      </c>
      <c r="BX1301" s="28" t="s">
        <v>138</v>
      </c>
      <c r="BY1301" s="28" t="s">
        <v>175</v>
      </c>
      <c r="BZ1301" s="34" t="s">
        <v>138</v>
      </c>
      <c r="CA1301" s="29" t="s">
        <v>138</v>
      </c>
      <c r="CB1301" s="28" t="s">
        <v>138</v>
      </c>
      <c r="CC1301" s="29" t="s">
        <v>138</v>
      </c>
      <c r="CD1301" s="28" t="s">
        <v>138</v>
      </c>
      <c r="CE1301" s="28" t="s">
        <v>2228</v>
      </c>
      <c r="CF1301" s="28" t="s">
        <v>138</v>
      </c>
      <c r="CG1301" s="28" t="s">
        <v>138</v>
      </c>
      <c r="CH1301" s="28" t="s">
        <v>780</v>
      </c>
      <c r="CI1301" s="28" t="s">
        <v>138</v>
      </c>
      <c r="CJ1301" s="28" t="s">
        <v>138</v>
      </c>
      <c r="CK1301" s="28" t="s">
        <v>138</v>
      </c>
      <c r="CL1301" s="28" t="s">
        <v>3093</v>
      </c>
      <c r="CM1301" s="34">
        <v>42704</v>
      </c>
      <c r="CN1301" s="29">
        <v>100</v>
      </c>
      <c r="CO1301" s="35">
        <v>-0.5</v>
      </c>
      <c r="CP1301" s="36">
        <v>16</v>
      </c>
      <c r="CQ1301" s="35">
        <v>0.03</v>
      </c>
      <c r="CR1301" s="35">
        <v>6.2</v>
      </c>
      <c r="CS1301" s="35">
        <v>-2.23</v>
      </c>
      <c r="CT1301" s="36">
        <v>8</v>
      </c>
      <c r="CU1301" s="35">
        <v>-0.02</v>
      </c>
      <c r="CV1301" s="36">
        <v>17</v>
      </c>
      <c r="CW1301" s="35">
        <v>-0.42</v>
      </c>
      <c r="CX1301" s="36">
        <v>11</v>
      </c>
      <c r="CY1301" s="35">
        <v>-4.04</v>
      </c>
      <c r="CZ1301" s="36">
        <v>5</v>
      </c>
      <c r="DA1301" s="35">
        <v>-0.05</v>
      </c>
      <c r="DB1301" s="36">
        <v>13</v>
      </c>
      <c r="DC1301" s="37">
        <v>66.16</v>
      </c>
      <c r="DD1301" s="36">
        <v>98</v>
      </c>
      <c r="DE1301" s="37">
        <v>1.18</v>
      </c>
      <c r="DF1301" s="35">
        <v>1.81</v>
      </c>
      <c r="DG1301" s="37">
        <v>7.83</v>
      </c>
      <c r="DH1301" s="36">
        <v>87</v>
      </c>
      <c r="DI1301" s="37">
        <v>109.64</v>
      </c>
      <c r="DJ1301" s="36">
        <v>97</v>
      </c>
      <c r="DK1301" s="37">
        <v>8.83</v>
      </c>
      <c r="DL1301" s="36">
        <v>85</v>
      </c>
      <c r="DM1301" s="37">
        <v>6.83</v>
      </c>
      <c r="DN1301" s="36">
        <v>85</v>
      </c>
      <c r="DO1301" s="37">
        <v>42.42</v>
      </c>
      <c r="DP1301" s="36">
        <v>96</v>
      </c>
      <c r="DQ1301" s="36">
        <v>3080</v>
      </c>
      <c r="DR1301" s="38">
        <v>-151</v>
      </c>
      <c r="DS1301" s="35">
        <v>-4.67</v>
      </c>
      <c r="DT1301" s="36">
        <v>197</v>
      </c>
      <c r="DU1301" s="38">
        <v>0</v>
      </c>
      <c r="DV1301" s="35">
        <v>0</v>
      </c>
      <c r="DW1301" s="36">
        <v>15189</v>
      </c>
      <c r="DX1301" s="39">
        <v>1</v>
      </c>
      <c r="DY1301" s="35">
        <v>0.01</v>
      </c>
      <c r="DZ1301" s="28" t="s">
        <v>178</v>
      </c>
      <c r="EA1301" s="34">
        <v>43600</v>
      </c>
      <c r="EB1301" s="29">
        <v>1400</v>
      </c>
      <c r="EC1301" s="34">
        <v>43258</v>
      </c>
      <c r="ED1301" s="28" t="s">
        <v>173</v>
      </c>
      <c r="EE1301" s="40" t="str">
        <f>HYPERLINK("https://my.pitchbook.com?c=54595-54", "View company online")</f>
        <v>View company online</v>
      </c>
    </row>
    <row r="1302" spans="1:135">
      <c r="A1302" s="15" t="s">
        <v>25152</v>
      </c>
      <c r="B1302" s="15" t="s">
        <v>25153</v>
      </c>
      <c r="C1302" s="15" t="s">
        <v>138</v>
      </c>
      <c r="D1302" s="15" t="s">
        <v>138</v>
      </c>
      <c r="E1302" s="15" t="s">
        <v>25154</v>
      </c>
      <c r="F1302" s="15" t="s">
        <v>25152</v>
      </c>
      <c r="G1302" s="15" t="s">
        <v>25155</v>
      </c>
      <c r="H1302" s="15" t="s">
        <v>238</v>
      </c>
      <c r="I1302" s="15" t="s">
        <v>269</v>
      </c>
      <c r="J1302" s="15" t="s">
        <v>296</v>
      </c>
      <c r="K1302" s="15" t="s">
        <v>2187</v>
      </c>
      <c r="L1302" s="15" t="s">
        <v>25156</v>
      </c>
      <c r="M1302" s="15" t="s">
        <v>25157</v>
      </c>
      <c r="N1302" s="15" t="s">
        <v>147</v>
      </c>
      <c r="O1302" s="17">
        <v>410.05</v>
      </c>
      <c r="P1302" s="15" t="s">
        <v>148</v>
      </c>
      <c r="Q1302" s="15" t="s">
        <v>149</v>
      </c>
      <c r="R1302" s="15" t="s">
        <v>174</v>
      </c>
      <c r="S1302" s="15" t="s">
        <v>25158</v>
      </c>
      <c r="T1302" s="18">
        <v>400</v>
      </c>
      <c r="U1302" s="15" t="s">
        <v>25159</v>
      </c>
      <c r="V1302" s="15" t="s">
        <v>138</v>
      </c>
      <c r="W1302" s="15" t="s">
        <v>138</v>
      </c>
      <c r="X1302" s="19">
        <v>2011</v>
      </c>
      <c r="Y1302" s="15" t="s">
        <v>138</v>
      </c>
      <c r="Z1302" s="15" t="s">
        <v>25160</v>
      </c>
      <c r="AA1302" s="15" t="s">
        <v>25161</v>
      </c>
      <c r="AB1302" s="20">
        <v>20</v>
      </c>
      <c r="AC1302" s="20" t="s">
        <v>138</v>
      </c>
      <c r="AD1302" s="20" t="s">
        <v>138</v>
      </c>
      <c r="AE1302" s="20" t="s">
        <v>138</v>
      </c>
      <c r="AF1302" s="20" t="s">
        <v>138</v>
      </c>
      <c r="AG1302" s="15" t="s">
        <v>707</v>
      </c>
      <c r="AH1302" s="20" t="s">
        <v>138</v>
      </c>
      <c r="AI1302" s="20" t="s">
        <v>138</v>
      </c>
      <c r="AJ1302" s="20" t="s">
        <v>138</v>
      </c>
      <c r="AK1302" s="15" t="s">
        <v>25162</v>
      </c>
      <c r="AL1302" s="15" t="s">
        <v>25163</v>
      </c>
      <c r="AM1302" s="15" t="s">
        <v>304</v>
      </c>
      <c r="AN1302" s="15" t="s">
        <v>25164</v>
      </c>
      <c r="AO1302" s="15" t="s">
        <v>25165</v>
      </c>
      <c r="AP1302" s="15" t="s">
        <v>665</v>
      </c>
      <c r="AQ1302" s="15" t="s">
        <v>25166</v>
      </c>
      <c r="AR1302" s="15" t="s">
        <v>138</v>
      </c>
      <c r="AS1302" s="15" t="s">
        <v>668</v>
      </c>
      <c r="AT1302" s="15" t="s">
        <v>200</v>
      </c>
      <c r="AU1302" s="15" t="s">
        <v>2052</v>
      </c>
      <c r="AV1302" s="15" t="s">
        <v>162</v>
      </c>
      <c r="AW1302" s="15" t="s">
        <v>25165</v>
      </c>
      <c r="AX1302" s="15" t="s">
        <v>25167</v>
      </c>
      <c r="AY1302" s="15" t="s">
        <v>25168</v>
      </c>
      <c r="AZ1302" s="15" t="s">
        <v>164</v>
      </c>
      <c r="BA1302" s="15" t="s">
        <v>165</v>
      </c>
      <c r="BB1302" s="15" t="s">
        <v>25169</v>
      </c>
      <c r="BC1302" s="15" t="s">
        <v>25170</v>
      </c>
      <c r="BD1302" s="21">
        <v>61</v>
      </c>
      <c r="BE1302" s="15" t="s">
        <v>138</v>
      </c>
      <c r="BF1302" s="15" t="s">
        <v>138</v>
      </c>
      <c r="BG1302" s="15" t="s">
        <v>138</v>
      </c>
      <c r="BH1302" s="15" t="s">
        <v>25171</v>
      </c>
      <c r="BI1302" s="15" t="s">
        <v>138</v>
      </c>
      <c r="BJ1302" s="15" t="s">
        <v>138</v>
      </c>
      <c r="BK1302" s="15" t="s">
        <v>25172</v>
      </c>
      <c r="BL1302" s="15" t="s">
        <v>3482</v>
      </c>
      <c r="BM1302" s="22">
        <v>40795</v>
      </c>
      <c r="BN1302" s="17">
        <v>3.4</v>
      </c>
      <c r="BO1302" s="15" t="s">
        <v>172</v>
      </c>
      <c r="BP1302" s="17" t="s">
        <v>138</v>
      </c>
      <c r="BQ1302" s="15" t="s">
        <v>138</v>
      </c>
      <c r="BR1302" s="15" t="s">
        <v>234</v>
      </c>
      <c r="BS1302" s="15" t="s">
        <v>234</v>
      </c>
      <c r="BT1302" s="15" t="s">
        <v>138</v>
      </c>
      <c r="BU1302" s="15" t="s">
        <v>174</v>
      </c>
      <c r="BV1302" s="15" t="s">
        <v>138</v>
      </c>
      <c r="BW1302" s="15" t="s">
        <v>138</v>
      </c>
      <c r="BX1302" s="15" t="s">
        <v>138</v>
      </c>
      <c r="BY1302" s="15" t="s">
        <v>175</v>
      </c>
      <c r="BZ1302" s="22">
        <v>43475</v>
      </c>
      <c r="CA1302" s="17" t="s">
        <v>138</v>
      </c>
      <c r="CB1302" s="15" t="s">
        <v>138</v>
      </c>
      <c r="CC1302" s="17" t="s">
        <v>138</v>
      </c>
      <c r="CD1302" s="15" t="s">
        <v>138</v>
      </c>
      <c r="CE1302" s="15" t="s">
        <v>173</v>
      </c>
      <c r="CF1302" s="15" t="s">
        <v>138</v>
      </c>
      <c r="CG1302" s="15" t="s">
        <v>138</v>
      </c>
      <c r="CH1302" s="15" t="s">
        <v>174</v>
      </c>
      <c r="CI1302" s="15" t="s">
        <v>138</v>
      </c>
      <c r="CJ1302" s="15" t="s">
        <v>138</v>
      </c>
      <c r="CK1302" s="15" t="s">
        <v>138</v>
      </c>
      <c r="CL1302" s="15" t="s">
        <v>175</v>
      </c>
      <c r="CM1302" s="22" t="s">
        <v>138</v>
      </c>
      <c r="CN1302" s="17" t="s">
        <v>138</v>
      </c>
      <c r="CO1302" s="23">
        <v>0.68</v>
      </c>
      <c r="CP1302" s="24">
        <v>96</v>
      </c>
      <c r="CQ1302" s="23">
        <v>-0.01</v>
      </c>
      <c r="CR1302" s="23">
        <v>-1.21</v>
      </c>
      <c r="CS1302" s="23">
        <v>-0.93</v>
      </c>
      <c r="CT1302" s="24">
        <v>16</v>
      </c>
      <c r="CU1302" s="23">
        <v>0.11</v>
      </c>
      <c r="CV1302" s="24">
        <v>70</v>
      </c>
      <c r="CW1302" s="23">
        <v>-0.42</v>
      </c>
      <c r="CX1302" s="24">
        <v>11</v>
      </c>
      <c r="CY1302" s="23">
        <v>-1.44</v>
      </c>
      <c r="CZ1302" s="24">
        <v>15</v>
      </c>
      <c r="DA1302" s="23">
        <v>0.11</v>
      </c>
      <c r="DB1302" s="24">
        <v>73</v>
      </c>
      <c r="DC1302" s="25">
        <v>101.19</v>
      </c>
      <c r="DD1302" s="24">
        <v>99</v>
      </c>
      <c r="DE1302" s="25">
        <v>-0.16</v>
      </c>
      <c r="DF1302" s="23">
        <v>-0.16</v>
      </c>
      <c r="DG1302" s="25">
        <v>163.84</v>
      </c>
      <c r="DH1302" s="24">
        <v>100</v>
      </c>
      <c r="DI1302" s="25">
        <v>36.65</v>
      </c>
      <c r="DJ1302" s="24">
        <v>94</v>
      </c>
      <c r="DK1302" s="25">
        <v>190.82</v>
      </c>
      <c r="DL1302" s="24">
        <v>99</v>
      </c>
      <c r="DM1302" s="25">
        <v>136.86000000000001</v>
      </c>
      <c r="DN1302" s="24">
        <v>100</v>
      </c>
      <c r="DO1302" s="25">
        <v>36.65</v>
      </c>
      <c r="DP1302" s="24">
        <v>95</v>
      </c>
      <c r="DQ1302" s="24">
        <v>65660</v>
      </c>
      <c r="DR1302" s="26">
        <v>-633</v>
      </c>
      <c r="DS1302" s="23">
        <v>-0.95</v>
      </c>
      <c r="DT1302" s="24">
        <v>3969</v>
      </c>
      <c r="DU1302" s="26">
        <v>3</v>
      </c>
      <c r="DV1302" s="23">
        <v>0.08</v>
      </c>
      <c r="DW1302" s="24">
        <v>13118</v>
      </c>
      <c r="DX1302" s="27">
        <v>10</v>
      </c>
      <c r="DY1302" s="23">
        <v>0.08</v>
      </c>
      <c r="DZ1302" s="15" t="s">
        <v>178</v>
      </c>
      <c r="EA1302" s="22">
        <v>43620</v>
      </c>
      <c r="EB1302" s="17">
        <v>850</v>
      </c>
      <c r="EC1302" s="22">
        <v>43325</v>
      </c>
      <c r="ED1302" s="15" t="s">
        <v>173</v>
      </c>
      <c r="EE1302" s="14" t="str">
        <f>HYPERLINK("https://my.pitchbook.com?c=52765-30", "View company online")</f>
        <v>View company online</v>
      </c>
    </row>
    <row r="1303" spans="1:135">
      <c r="A1303" s="28" t="s">
        <v>25173</v>
      </c>
      <c r="B1303" s="28" t="s">
        <v>25174</v>
      </c>
      <c r="C1303" s="28" t="s">
        <v>138</v>
      </c>
      <c r="D1303" s="28" t="s">
        <v>138</v>
      </c>
      <c r="E1303" s="28" t="s">
        <v>25175</v>
      </c>
      <c r="F1303" s="28" t="s">
        <v>25173</v>
      </c>
      <c r="G1303" s="28" t="s">
        <v>25176</v>
      </c>
      <c r="H1303" s="28" t="s">
        <v>183</v>
      </c>
      <c r="I1303" s="28" t="s">
        <v>725</v>
      </c>
      <c r="J1303" s="28" t="s">
        <v>8492</v>
      </c>
      <c r="K1303" s="28" t="s">
        <v>25177</v>
      </c>
      <c r="L1303" s="28" t="s">
        <v>17569</v>
      </c>
      <c r="M1303" s="28" t="s">
        <v>25178</v>
      </c>
      <c r="N1303" s="28" t="s">
        <v>147</v>
      </c>
      <c r="O1303" s="29">
        <v>3.5</v>
      </c>
      <c r="P1303" s="28" t="s">
        <v>812</v>
      </c>
      <c r="Q1303" s="28" t="s">
        <v>149</v>
      </c>
      <c r="R1303" s="28" t="s">
        <v>150</v>
      </c>
      <c r="S1303" s="28" t="s">
        <v>25179</v>
      </c>
      <c r="T1303" s="30">
        <v>75</v>
      </c>
      <c r="U1303" s="28" t="s">
        <v>25180</v>
      </c>
      <c r="V1303" s="28" t="s">
        <v>138</v>
      </c>
      <c r="W1303" s="28" t="s">
        <v>138</v>
      </c>
      <c r="X1303" s="31">
        <v>2001</v>
      </c>
      <c r="Y1303" s="28" t="s">
        <v>138</v>
      </c>
      <c r="Z1303" s="28" t="s">
        <v>138</v>
      </c>
      <c r="AA1303" s="28" t="s">
        <v>138</v>
      </c>
      <c r="AB1303" s="32">
        <v>9.8000000000000007</v>
      </c>
      <c r="AC1303" s="32" t="s">
        <v>138</v>
      </c>
      <c r="AD1303" s="32">
        <v>3.5</v>
      </c>
      <c r="AE1303" s="32" t="s">
        <v>138</v>
      </c>
      <c r="AF1303" s="32">
        <v>3.7</v>
      </c>
      <c r="AG1303" s="28" t="s">
        <v>707</v>
      </c>
      <c r="AH1303" s="32" t="s">
        <v>138</v>
      </c>
      <c r="AI1303" s="32" t="s">
        <v>138</v>
      </c>
      <c r="AJ1303" s="32" t="s">
        <v>138</v>
      </c>
      <c r="AK1303" s="28" t="s">
        <v>25181</v>
      </c>
      <c r="AL1303" s="28" t="s">
        <v>25182</v>
      </c>
      <c r="AM1303" s="28" t="s">
        <v>25183</v>
      </c>
      <c r="AN1303" s="28" t="s">
        <v>25184</v>
      </c>
      <c r="AO1303" s="28" t="s">
        <v>25185</v>
      </c>
      <c r="AP1303" s="28" t="s">
        <v>25186</v>
      </c>
      <c r="AQ1303" s="28" t="s">
        <v>25187</v>
      </c>
      <c r="AR1303" s="28" t="s">
        <v>1483</v>
      </c>
      <c r="AS1303" s="28" t="s">
        <v>25188</v>
      </c>
      <c r="AT1303" s="28" t="s">
        <v>597</v>
      </c>
      <c r="AU1303" s="28" t="s">
        <v>25189</v>
      </c>
      <c r="AV1303" s="28" t="s">
        <v>162</v>
      </c>
      <c r="AW1303" s="28" t="s">
        <v>25185</v>
      </c>
      <c r="AX1303" s="28" t="s">
        <v>25190</v>
      </c>
      <c r="AY1303" s="28" t="s">
        <v>25191</v>
      </c>
      <c r="AZ1303" s="28" t="s">
        <v>164</v>
      </c>
      <c r="BA1303" s="28" t="s">
        <v>165</v>
      </c>
      <c r="BB1303" s="28" t="s">
        <v>25192</v>
      </c>
      <c r="BC1303" s="28" t="s">
        <v>10339</v>
      </c>
      <c r="BD1303" s="33">
        <v>1</v>
      </c>
      <c r="BE1303" s="28" t="s">
        <v>138</v>
      </c>
      <c r="BF1303" s="28" t="s">
        <v>138</v>
      </c>
      <c r="BG1303" s="28" t="s">
        <v>25193</v>
      </c>
      <c r="BH1303" s="28" t="s">
        <v>10341</v>
      </c>
      <c r="BI1303" s="28" t="s">
        <v>138</v>
      </c>
      <c r="BJ1303" s="28" t="s">
        <v>25194</v>
      </c>
      <c r="BK1303" s="28" t="s">
        <v>25195</v>
      </c>
      <c r="BL1303" s="28" t="s">
        <v>3164</v>
      </c>
      <c r="BM1303" s="34">
        <v>41495</v>
      </c>
      <c r="BN1303" s="29">
        <v>3.5</v>
      </c>
      <c r="BO1303" s="28" t="s">
        <v>172</v>
      </c>
      <c r="BP1303" s="29" t="s">
        <v>138</v>
      </c>
      <c r="BQ1303" s="28" t="s">
        <v>138</v>
      </c>
      <c r="BR1303" s="28" t="s">
        <v>173</v>
      </c>
      <c r="BS1303" s="28" t="s">
        <v>206</v>
      </c>
      <c r="BT1303" s="28" t="s">
        <v>138</v>
      </c>
      <c r="BU1303" s="28" t="s">
        <v>174</v>
      </c>
      <c r="BV1303" s="28" t="s">
        <v>138</v>
      </c>
      <c r="BW1303" s="28" t="s">
        <v>138</v>
      </c>
      <c r="BX1303" s="28" t="s">
        <v>138</v>
      </c>
      <c r="BY1303" s="28" t="s">
        <v>175</v>
      </c>
      <c r="BZ1303" s="34">
        <v>43579</v>
      </c>
      <c r="CA1303" s="29">
        <v>25</v>
      </c>
      <c r="CB1303" s="28" t="s">
        <v>172</v>
      </c>
      <c r="CC1303" s="29">
        <v>25</v>
      </c>
      <c r="CD1303" s="28" t="s">
        <v>1178</v>
      </c>
      <c r="CE1303" s="28" t="s">
        <v>2228</v>
      </c>
      <c r="CF1303" s="28" t="s">
        <v>138</v>
      </c>
      <c r="CG1303" s="28" t="s">
        <v>138</v>
      </c>
      <c r="CH1303" s="28" t="s">
        <v>780</v>
      </c>
      <c r="CI1303" s="28" t="s">
        <v>138</v>
      </c>
      <c r="CJ1303" s="28" t="s">
        <v>138</v>
      </c>
      <c r="CK1303" s="28" t="s">
        <v>138</v>
      </c>
      <c r="CL1303" s="28" t="s">
        <v>352</v>
      </c>
      <c r="CM1303" s="34" t="s">
        <v>138</v>
      </c>
      <c r="CN1303" s="29" t="s">
        <v>138</v>
      </c>
      <c r="CO1303" s="35">
        <v>-0.41</v>
      </c>
      <c r="CP1303" s="36">
        <v>17</v>
      </c>
      <c r="CQ1303" s="35">
        <v>-0.04</v>
      </c>
      <c r="CR1303" s="35">
        <v>-10.57</v>
      </c>
      <c r="CS1303" s="35">
        <v>-0.84</v>
      </c>
      <c r="CT1303" s="36">
        <v>16</v>
      </c>
      <c r="CU1303" s="35">
        <v>0.03</v>
      </c>
      <c r="CV1303" s="36">
        <v>54</v>
      </c>
      <c r="CW1303" s="35">
        <v>0</v>
      </c>
      <c r="CX1303" s="36">
        <v>13</v>
      </c>
      <c r="CY1303" s="35">
        <v>-1.69</v>
      </c>
      <c r="CZ1303" s="36">
        <v>13</v>
      </c>
      <c r="DA1303" s="35">
        <v>0.06</v>
      </c>
      <c r="DB1303" s="36">
        <v>65</v>
      </c>
      <c r="DC1303" s="37">
        <v>4.6500000000000004</v>
      </c>
      <c r="DD1303" s="36">
        <v>82</v>
      </c>
      <c r="DE1303" s="37">
        <v>-0.02</v>
      </c>
      <c r="DF1303" s="35">
        <v>-0.47</v>
      </c>
      <c r="DG1303" s="37">
        <v>2.84</v>
      </c>
      <c r="DH1303" s="36">
        <v>74</v>
      </c>
      <c r="DI1303" s="37">
        <v>6.47</v>
      </c>
      <c r="DJ1303" s="36">
        <v>81</v>
      </c>
      <c r="DK1303" s="37">
        <v>0.99</v>
      </c>
      <c r="DL1303" s="36">
        <v>50</v>
      </c>
      <c r="DM1303" s="37">
        <v>4.6900000000000004</v>
      </c>
      <c r="DN1303" s="36">
        <v>81</v>
      </c>
      <c r="DO1303" s="37">
        <v>12.66</v>
      </c>
      <c r="DP1303" s="36">
        <v>89</v>
      </c>
      <c r="DQ1303" s="36">
        <v>334</v>
      </c>
      <c r="DR1303" s="38">
        <v>16</v>
      </c>
      <c r="DS1303" s="35">
        <v>5.03</v>
      </c>
      <c r="DT1303" s="36">
        <v>136</v>
      </c>
      <c r="DU1303" s="38">
        <v>-1</v>
      </c>
      <c r="DV1303" s="35">
        <v>-0.73</v>
      </c>
      <c r="DW1303" s="36">
        <v>4534</v>
      </c>
      <c r="DX1303" s="39">
        <v>8</v>
      </c>
      <c r="DY1303" s="35">
        <v>0.18</v>
      </c>
      <c r="DZ1303" s="28" t="s">
        <v>178</v>
      </c>
      <c r="EA1303" s="34">
        <v>43607</v>
      </c>
      <c r="EB1303" s="29">
        <v>25</v>
      </c>
      <c r="EC1303" s="34">
        <v>43579</v>
      </c>
      <c r="ED1303" s="28" t="s">
        <v>2228</v>
      </c>
      <c r="EE1303" s="40" t="str">
        <f>HYPERLINK("https://my.pitchbook.com?c=58637-44", "View company online")</f>
        <v>View company online</v>
      </c>
    </row>
    <row r="1304" spans="1:135">
      <c r="A1304" s="15" t="s">
        <v>25196</v>
      </c>
      <c r="B1304" s="15" t="s">
        <v>25197</v>
      </c>
      <c r="C1304" s="15" t="s">
        <v>138</v>
      </c>
      <c r="D1304" s="15" t="s">
        <v>138</v>
      </c>
      <c r="E1304" s="15" t="s">
        <v>25198</v>
      </c>
      <c r="F1304" s="15" t="s">
        <v>25196</v>
      </c>
      <c r="G1304" s="15" t="s">
        <v>25199</v>
      </c>
      <c r="H1304" s="15" t="s">
        <v>322</v>
      </c>
      <c r="I1304" s="15" t="s">
        <v>323</v>
      </c>
      <c r="J1304" s="15" t="s">
        <v>2984</v>
      </c>
      <c r="K1304" s="15" t="s">
        <v>5783</v>
      </c>
      <c r="L1304" s="15" t="s">
        <v>25200</v>
      </c>
      <c r="M1304" s="15" t="s">
        <v>25201</v>
      </c>
      <c r="N1304" s="15" t="s">
        <v>147</v>
      </c>
      <c r="O1304" s="17">
        <v>33</v>
      </c>
      <c r="P1304" s="15" t="s">
        <v>148</v>
      </c>
      <c r="Q1304" s="15" t="s">
        <v>149</v>
      </c>
      <c r="R1304" s="15" t="s">
        <v>174</v>
      </c>
      <c r="S1304" s="15" t="s">
        <v>25202</v>
      </c>
      <c r="T1304" s="18">
        <v>100</v>
      </c>
      <c r="U1304" s="15" t="s">
        <v>25203</v>
      </c>
      <c r="V1304" s="15" t="s">
        <v>138</v>
      </c>
      <c r="W1304" s="15" t="s">
        <v>138</v>
      </c>
      <c r="X1304" s="19">
        <v>2014</v>
      </c>
      <c r="Y1304" s="15" t="s">
        <v>138</v>
      </c>
      <c r="Z1304" s="15" t="s">
        <v>138</v>
      </c>
      <c r="AA1304" s="15" t="s">
        <v>138</v>
      </c>
      <c r="AB1304" s="20" t="s">
        <v>138</v>
      </c>
      <c r="AC1304" s="20" t="s">
        <v>138</v>
      </c>
      <c r="AD1304" s="20" t="s">
        <v>138</v>
      </c>
      <c r="AE1304" s="20" t="s">
        <v>138</v>
      </c>
      <c r="AF1304" s="20" t="s">
        <v>138</v>
      </c>
      <c r="AG1304" s="15" t="s">
        <v>138</v>
      </c>
      <c r="AH1304" s="20" t="s">
        <v>138</v>
      </c>
      <c r="AI1304" s="20" t="s">
        <v>138</v>
      </c>
      <c r="AJ1304" s="20" t="s">
        <v>138</v>
      </c>
      <c r="AK1304" s="15" t="s">
        <v>25204</v>
      </c>
      <c r="AL1304" s="15" t="s">
        <v>25205</v>
      </c>
      <c r="AM1304" s="15" t="s">
        <v>304</v>
      </c>
      <c r="AN1304" s="15" t="s">
        <v>25206</v>
      </c>
      <c r="AO1304" s="15" t="s">
        <v>25207</v>
      </c>
      <c r="AP1304" s="15" t="s">
        <v>17009</v>
      </c>
      <c r="AQ1304" s="15" t="s">
        <v>25208</v>
      </c>
      <c r="AR1304" s="15" t="s">
        <v>138</v>
      </c>
      <c r="AS1304" s="15" t="s">
        <v>17011</v>
      </c>
      <c r="AT1304" s="15" t="s">
        <v>138</v>
      </c>
      <c r="AU1304" s="15" t="s">
        <v>25209</v>
      </c>
      <c r="AV1304" s="15" t="s">
        <v>1319</v>
      </c>
      <c r="AW1304" s="15" t="s">
        <v>25207</v>
      </c>
      <c r="AX1304" s="15" t="s">
        <v>138</v>
      </c>
      <c r="AY1304" s="15" t="s">
        <v>25210</v>
      </c>
      <c r="AZ1304" s="15" t="s">
        <v>530</v>
      </c>
      <c r="BA1304" s="15" t="s">
        <v>531</v>
      </c>
      <c r="BB1304" s="15" t="s">
        <v>25211</v>
      </c>
      <c r="BC1304" s="15" t="s">
        <v>25212</v>
      </c>
      <c r="BD1304" s="21">
        <v>3</v>
      </c>
      <c r="BE1304" s="15" t="s">
        <v>138</v>
      </c>
      <c r="BF1304" s="15" t="s">
        <v>138</v>
      </c>
      <c r="BG1304" s="15" t="s">
        <v>138</v>
      </c>
      <c r="BH1304" s="15" t="s">
        <v>25213</v>
      </c>
      <c r="BI1304" s="15" t="s">
        <v>138</v>
      </c>
      <c r="BJ1304" s="15" t="s">
        <v>138</v>
      </c>
      <c r="BK1304" s="15" t="s">
        <v>138</v>
      </c>
      <c r="BL1304" s="15" t="s">
        <v>138</v>
      </c>
      <c r="BM1304" s="22">
        <v>42509</v>
      </c>
      <c r="BN1304" s="17" t="s">
        <v>138</v>
      </c>
      <c r="BO1304" s="15" t="s">
        <v>138</v>
      </c>
      <c r="BP1304" s="17" t="s">
        <v>138</v>
      </c>
      <c r="BQ1304" s="15" t="s">
        <v>138</v>
      </c>
      <c r="BR1304" s="15" t="s">
        <v>205</v>
      </c>
      <c r="BS1304" s="15" t="s">
        <v>138</v>
      </c>
      <c r="BT1304" s="15" t="s">
        <v>138</v>
      </c>
      <c r="BU1304" s="15" t="s">
        <v>174</v>
      </c>
      <c r="BV1304" s="15" t="s">
        <v>138</v>
      </c>
      <c r="BW1304" s="15" t="s">
        <v>138</v>
      </c>
      <c r="BX1304" s="15" t="s">
        <v>138</v>
      </c>
      <c r="BY1304" s="15" t="s">
        <v>175</v>
      </c>
      <c r="BZ1304" s="22">
        <v>43489</v>
      </c>
      <c r="CA1304" s="17">
        <v>33</v>
      </c>
      <c r="CB1304" s="15" t="s">
        <v>172</v>
      </c>
      <c r="CC1304" s="17" t="s">
        <v>138</v>
      </c>
      <c r="CD1304" s="15" t="s">
        <v>138</v>
      </c>
      <c r="CE1304" s="15" t="s">
        <v>205</v>
      </c>
      <c r="CF1304" s="15" t="s">
        <v>720</v>
      </c>
      <c r="CG1304" s="15" t="s">
        <v>138</v>
      </c>
      <c r="CH1304" s="15" t="s">
        <v>174</v>
      </c>
      <c r="CI1304" s="15" t="s">
        <v>138</v>
      </c>
      <c r="CJ1304" s="15" t="s">
        <v>138</v>
      </c>
      <c r="CK1304" s="15" t="s">
        <v>138</v>
      </c>
      <c r="CL1304" s="15" t="s">
        <v>175</v>
      </c>
      <c r="CM1304" s="22" t="s">
        <v>138</v>
      </c>
      <c r="CN1304" s="17" t="s">
        <v>138</v>
      </c>
      <c r="CO1304" s="23">
        <v>0.75</v>
      </c>
      <c r="CP1304" s="24">
        <v>96</v>
      </c>
      <c r="CQ1304" s="23">
        <v>-0.04</v>
      </c>
      <c r="CR1304" s="23">
        <v>-5.51</v>
      </c>
      <c r="CS1304" s="23">
        <v>0</v>
      </c>
      <c r="CT1304" s="24">
        <v>23</v>
      </c>
      <c r="CU1304" s="23">
        <v>1.6</v>
      </c>
      <c r="CV1304" s="24">
        <v>99</v>
      </c>
      <c r="CW1304" s="23" t="s">
        <v>138</v>
      </c>
      <c r="CX1304" s="24" t="s">
        <v>138</v>
      </c>
      <c r="CY1304" s="23">
        <v>0</v>
      </c>
      <c r="CZ1304" s="24">
        <v>25</v>
      </c>
      <c r="DA1304" s="23">
        <v>1.6</v>
      </c>
      <c r="DB1304" s="24">
        <v>99</v>
      </c>
      <c r="DC1304" s="25">
        <v>1.27</v>
      </c>
      <c r="DD1304" s="24">
        <v>57</v>
      </c>
      <c r="DE1304" s="25">
        <v>0.02</v>
      </c>
      <c r="DF1304" s="23">
        <v>1.91</v>
      </c>
      <c r="DG1304" s="25">
        <v>1</v>
      </c>
      <c r="DH1304" s="24">
        <v>51</v>
      </c>
      <c r="DI1304" s="25">
        <v>2.61</v>
      </c>
      <c r="DJ1304" s="24">
        <v>67</v>
      </c>
      <c r="DK1304" s="25" t="s">
        <v>138</v>
      </c>
      <c r="DL1304" s="24" t="s">
        <v>138</v>
      </c>
      <c r="DM1304" s="25">
        <v>1</v>
      </c>
      <c r="DN1304" s="24">
        <v>50</v>
      </c>
      <c r="DO1304" s="25">
        <v>2.61</v>
      </c>
      <c r="DP1304" s="24">
        <v>68</v>
      </c>
      <c r="DQ1304" s="24">
        <v>122</v>
      </c>
      <c r="DR1304" s="26">
        <v>14</v>
      </c>
      <c r="DS1304" s="23">
        <v>12.96</v>
      </c>
      <c r="DT1304" s="24">
        <v>28</v>
      </c>
      <c r="DU1304" s="26">
        <v>0</v>
      </c>
      <c r="DV1304" s="23">
        <v>0</v>
      </c>
      <c r="DW1304" s="24">
        <v>933</v>
      </c>
      <c r="DX1304" s="27">
        <v>11</v>
      </c>
      <c r="DY1304" s="23">
        <v>1.19</v>
      </c>
      <c r="DZ1304" s="15" t="s">
        <v>178</v>
      </c>
      <c r="EA1304" s="22">
        <v>43622</v>
      </c>
      <c r="EB1304" s="17" t="s">
        <v>138</v>
      </c>
      <c r="EC1304" s="22" t="s">
        <v>138</v>
      </c>
      <c r="ED1304" s="15" t="s">
        <v>138</v>
      </c>
      <c r="EE1304" s="14" t="str">
        <f>HYPERLINK("https://my.pitchbook.com?c=159452-02", "View company online")</f>
        <v>View company online</v>
      </c>
    </row>
    <row r="1305" spans="1:135">
      <c r="A1305" s="28" t="s">
        <v>25214</v>
      </c>
      <c r="B1305" s="28" t="s">
        <v>25215</v>
      </c>
      <c r="C1305" s="28" t="s">
        <v>138</v>
      </c>
      <c r="D1305" s="28" t="s">
        <v>25216</v>
      </c>
      <c r="E1305" s="28" t="s">
        <v>25217</v>
      </c>
      <c r="F1305" s="28" t="s">
        <v>25214</v>
      </c>
      <c r="G1305" s="28" t="s">
        <v>25218</v>
      </c>
      <c r="H1305" s="28" t="s">
        <v>322</v>
      </c>
      <c r="I1305" s="28" t="s">
        <v>807</v>
      </c>
      <c r="J1305" s="28" t="s">
        <v>808</v>
      </c>
      <c r="K1305" s="28" t="s">
        <v>17262</v>
      </c>
      <c r="L1305" s="28" t="s">
        <v>415</v>
      </c>
      <c r="M1305" s="28" t="s">
        <v>25219</v>
      </c>
      <c r="N1305" s="28" t="s">
        <v>1452</v>
      </c>
      <c r="O1305" s="29">
        <v>37.14</v>
      </c>
      <c r="P1305" s="28" t="s">
        <v>148</v>
      </c>
      <c r="Q1305" s="28" t="s">
        <v>149</v>
      </c>
      <c r="R1305" s="28" t="s">
        <v>328</v>
      </c>
      <c r="S1305" s="28" t="s">
        <v>25220</v>
      </c>
      <c r="T1305" s="30">
        <v>250</v>
      </c>
      <c r="U1305" s="28" t="s">
        <v>25221</v>
      </c>
      <c r="V1305" s="28" t="s">
        <v>138</v>
      </c>
      <c r="W1305" s="28" t="s">
        <v>138</v>
      </c>
      <c r="X1305" s="31">
        <v>2005</v>
      </c>
      <c r="Y1305" s="28" t="s">
        <v>138</v>
      </c>
      <c r="Z1305" s="28" t="s">
        <v>138</v>
      </c>
      <c r="AA1305" s="28" t="s">
        <v>138</v>
      </c>
      <c r="AB1305" s="32" t="s">
        <v>138</v>
      </c>
      <c r="AC1305" s="32" t="s">
        <v>138</v>
      </c>
      <c r="AD1305" s="32" t="s">
        <v>138</v>
      </c>
      <c r="AE1305" s="32" t="s">
        <v>138</v>
      </c>
      <c r="AF1305" s="32" t="s">
        <v>138</v>
      </c>
      <c r="AG1305" s="28" t="s">
        <v>138</v>
      </c>
      <c r="AH1305" s="32" t="s">
        <v>138</v>
      </c>
      <c r="AI1305" s="32" t="s">
        <v>138</v>
      </c>
      <c r="AJ1305" s="32" t="s">
        <v>138</v>
      </c>
      <c r="AK1305" s="28" t="s">
        <v>25222</v>
      </c>
      <c r="AL1305" s="28" t="s">
        <v>25223</v>
      </c>
      <c r="AM1305" s="28" t="s">
        <v>249</v>
      </c>
      <c r="AN1305" s="28" t="s">
        <v>25224</v>
      </c>
      <c r="AO1305" s="28" t="s">
        <v>25225</v>
      </c>
      <c r="AP1305" s="28" t="s">
        <v>2880</v>
      </c>
      <c r="AQ1305" s="28" t="s">
        <v>25226</v>
      </c>
      <c r="AR1305" s="28" t="s">
        <v>3476</v>
      </c>
      <c r="AS1305" s="28" t="s">
        <v>2882</v>
      </c>
      <c r="AT1305" s="28" t="s">
        <v>2883</v>
      </c>
      <c r="AU1305" s="28" t="s">
        <v>25227</v>
      </c>
      <c r="AV1305" s="28" t="s">
        <v>162</v>
      </c>
      <c r="AW1305" s="28" t="s">
        <v>25225</v>
      </c>
      <c r="AX1305" s="28" t="s">
        <v>138</v>
      </c>
      <c r="AY1305" s="28" t="s">
        <v>138</v>
      </c>
      <c r="AZ1305" s="28" t="s">
        <v>164</v>
      </c>
      <c r="BA1305" s="28" t="s">
        <v>165</v>
      </c>
      <c r="BB1305" s="28" t="s">
        <v>25228</v>
      </c>
      <c r="BC1305" s="28" t="s">
        <v>25229</v>
      </c>
      <c r="BD1305" s="33">
        <v>9</v>
      </c>
      <c r="BE1305" s="28" t="s">
        <v>138</v>
      </c>
      <c r="BF1305" s="28" t="s">
        <v>138</v>
      </c>
      <c r="BG1305" s="28" t="s">
        <v>138</v>
      </c>
      <c r="BH1305" s="28" t="s">
        <v>25230</v>
      </c>
      <c r="BI1305" s="28" t="s">
        <v>138</v>
      </c>
      <c r="BJ1305" s="28" t="s">
        <v>138</v>
      </c>
      <c r="BK1305" s="28" t="s">
        <v>25231</v>
      </c>
      <c r="BL1305" s="28" t="s">
        <v>138</v>
      </c>
      <c r="BM1305" s="34" t="s">
        <v>138</v>
      </c>
      <c r="BN1305" s="29" t="s">
        <v>138</v>
      </c>
      <c r="BO1305" s="28" t="s">
        <v>138</v>
      </c>
      <c r="BP1305" s="29" t="s">
        <v>138</v>
      </c>
      <c r="BQ1305" s="28" t="s">
        <v>138</v>
      </c>
      <c r="BR1305" s="28" t="s">
        <v>205</v>
      </c>
      <c r="BS1305" s="28" t="s">
        <v>138</v>
      </c>
      <c r="BT1305" s="28" t="s">
        <v>138</v>
      </c>
      <c r="BU1305" s="28" t="s">
        <v>174</v>
      </c>
      <c r="BV1305" s="28" t="s">
        <v>138</v>
      </c>
      <c r="BW1305" s="28" t="s">
        <v>138</v>
      </c>
      <c r="BX1305" s="28" t="s">
        <v>138</v>
      </c>
      <c r="BY1305" s="28" t="s">
        <v>175</v>
      </c>
      <c r="BZ1305" s="34">
        <v>41793</v>
      </c>
      <c r="CA1305" s="29">
        <v>25</v>
      </c>
      <c r="CB1305" s="28" t="s">
        <v>172</v>
      </c>
      <c r="CC1305" s="29" t="s">
        <v>138</v>
      </c>
      <c r="CD1305" s="28" t="s">
        <v>138</v>
      </c>
      <c r="CE1305" s="28" t="s">
        <v>1673</v>
      </c>
      <c r="CF1305" s="28" t="s">
        <v>138</v>
      </c>
      <c r="CG1305" s="28" t="s">
        <v>138</v>
      </c>
      <c r="CH1305" s="28" t="s">
        <v>351</v>
      </c>
      <c r="CI1305" s="28" t="s">
        <v>138</v>
      </c>
      <c r="CJ1305" s="28" t="s">
        <v>138</v>
      </c>
      <c r="CK1305" s="28" t="s">
        <v>138</v>
      </c>
      <c r="CL1305" s="28" t="s">
        <v>175</v>
      </c>
      <c r="CM1305" s="34" t="s">
        <v>138</v>
      </c>
      <c r="CN1305" s="29" t="s">
        <v>138</v>
      </c>
      <c r="CO1305" s="35">
        <v>-1.02</v>
      </c>
      <c r="CP1305" s="36">
        <v>11</v>
      </c>
      <c r="CQ1305" s="35">
        <v>7.0000000000000007E-2</v>
      </c>
      <c r="CR1305" s="35">
        <v>6.76</v>
      </c>
      <c r="CS1305" s="35">
        <v>-2.17</v>
      </c>
      <c r="CT1305" s="36">
        <v>8</v>
      </c>
      <c r="CU1305" s="35">
        <v>0.14000000000000001</v>
      </c>
      <c r="CV1305" s="36">
        <v>74</v>
      </c>
      <c r="CW1305" s="35" t="s">
        <v>138</v>
      </c>
      <c r="CX1305" s="36" t="s">
        <v>138</v>
      </c>
      <c r="CY1305" s="35">
        <v>-2.17</v>
      </c>
      <c r="CZ1305" s="36">
        <v>10</v>
      </c>
      <c r="DA1305" s="35">
        <v>0.14000000000000001</v>
      </c>
      <c r="DB1305" s="36">
        <v>77</v>
      </c>
      <c r="DC1305" s="37">
        <v>2.15</v>
      </c>
      <c r="DD1305" s="36">
        <v>69</v>
      </c>
      <c r="DE1305" s="37">
        <v>0</v>
      </c>
      <c r="DF1305" s="35">
        <v>0.16</v>
      </c>
      <c r="DG1305" s="37">
        <v>3.55</v>
      </c>
      <c r="DH1305" s="36">
        <v>77</v>
      </c>
      <c r="DI1305" s="37">
        <v>0.75</v>
      </c>
      <c r="DJ1305" s="36">
        <v>44</v>
      </c>
      <c r="DK1305" s="37" t="s">
        <v>138</v>
      </c>
      <c r="DL1305" s="36" t="s">
        <v>138</v>
      </c>
      <c r="DM1305" s="37">
        <v>3.55</v>
      </c>
      <c r="DN1305" s="36">
        <v>76</v>
      </c>
      <c r="DO1305" s="37">
        <v>0.75</v>
      </c>
      <c r="DP1305" s="36">
        <v>45</v>
      </c>
      <c r="DQ1305" s="36" t="s">
        <v>138</v>
      </c>
      <c r="DR1305" s="38" t="s">
        <v>138</v>
      </c>
      <c r="DS1305" s="35" t="s">
        <v>138</v>
      </c>
      <c r="DT1305" s="36">
        <v>103</v>
      </c>
      <c r="DU1305" s="38">
        <v>0</v>
      </c>
      <c r="DV1305" s="35">
        <v>0</v>
      </c>
      <c r="DW1305" s="36">
        <v>269</v>
      </c>
      <c r="DX1305" s="39">
        <v>1</v>
      </c>
      <c r="DY1305" s="35">
        <v>0.37</v>
      </c>
      <c r="DZ1305" s="28" t="s">
        <v>178</v>
      </c>
      <c r="EA1305" s="34">
        <v>43622</v>
      </c>
      <c r="EB1305" s="29" t="s">
        <v>138</v>
      </c>
      <c r="EC1305" s="34" t="s">
        <v>138</v>
      </c>
      <c r="ED1305" s="28" t="s">
        <v>138</v>
      </c>
      <c r="EE1305" s="40" t="str">
        <f>HYPERLINK("https://my.pitchbook.com?c=56500-57", "View company online")</f>
        <v>View company online</v>
      </c>
    </row>
    <row r="1306" spans="1:135">
      <c r="A1306" s="15" t="s">
        <v>25232</v>
      </c>
      <c r="B1306" s="15" t="s">
        <v>25233</v>
      </c>
      <c r="C1306" s="15" t="s">
        <v>138</v>
      </c>
      <c r="D1306" s="15" t="s">
        <v>25234</v>
      </c>
      <c r="E1306" s="15" t="s">
        <v>25235</v>
      </c>
      <c r="F1306" s="15" t="s">
        <v>25232</v>
      </c>
      <c r="G1306" s="15" t="s">
        <v>25236</v>
      </c>
      <c r="H1306" s="15" t="s">
        <v>322</v>
      </c>
      <c r="I1306" s="15" t="s">
        <v>1208</v>
      </c>
      <c r="J1306" s="15" t="s">
        <v>1209</v>
      </c>
      <c r="K1306" s="15" t="s">
        <v>25237</v>
      </c>
      <c r="L1306" s="15" t="s">
        <v>4640</v>
      </c>
      <c r="M1306" s="15" t="s">
        <v>25238</v>
      </c>
      <c r="N1306" s="15" t="s">
        <v>147</v>
      </c>
      <c r="O1306" s="17">
        <v>70.069999999999993</v>
      </c>
      <c r="P1306" s="15" t="s">
        <v>148</v>
      </c>
      <c r="Q1306" s="15" t="s">
        <v>149</v>
      </c>
      <c r="R1306" s="15" t="s">
        <v>244</v>
      </c>
      <c r="S1306" s="15" t="s">
        <v>25239</v>
      </c>
      <c r="T1306" s="18">
        <v>75</v>
      </c>
      <c r="U1306" s="15" t="s">
        <v>25240</v>
      </c>
      <c r="V1306" s="15" t="s">
        <v>138</v>
      </c>
      <c r="W1306" s="15" t="s">
        <v>138</v>
      </c>
      <c r="X1306" s="19">
        <v>2009</v>
      </c>
      <c r="Y1306" s="15" t="s">
        <v>138</v>
      </c>
      <c r="Z1306" s="15" t="s">
        <v>138</v>
      </c>
      <c r="AA1306" s="15" t="s">
        <v>138</v>
      </c>
      <c r="AB1306" s="20">
        <v>36</v>
      </c>
      <c r="AC1306" s="20" t="s">
        <v>138</v>
      </c>
      <c r="AD1306" s="20" t="s">
        <v>138</v>
      </c>
      <c r="AE1306" s="20" t="s">
        <v>138</v>
      </c>
      <c r="AF1306" s="20" t="s">
        <v>138</v>
      </c>
      <c r="AG1306" s="15" t="s">
        <v>815</v>
      </c>
      <c r="AH1306" s="20" t="s">
        <v>138</v>
      </c>
      <c r="AI1306" s="20" t="s">
        <v>138</v>
      </c>
      <c r="AJ1306" s="20" t="s">
        <v>138</v>
      </c>
      <c r="AK1306" s="15" t="s">
        <v>25241</v>
      </c>
      <c r="AL1306" s="15" t="s">
        <v>25242</v>
      </c>
      <c r="AM1306" s="15" t="s">
        <v>25243</v>
      </c>
      <c r="AN1306" s="15" t="s">
        <v>25244</v>
      </c>
      <c r="AO1306" s="15" t="s">
        <v>25245</v>
      </c>
      <c r="AP1306" s="15" t="s">
        <v>1220</v>
      </c>
      <c r="AQ1306" s="15" t="s">
        <v>25246</v>
      </c>
      <c r="AR1306" s="15" t="s">
        <v>20515</v>
      </c>
      <c r="AS1306" s="15" t="s">
        <v>1223</v>
      </c>
      <c r="AT1306" s="15" t="s">
        <v>200</v>
      </c>
      <c r="AU1306" s="15" t="s">
        <v>1484</v>
      </c>
      <c r="AV1306" s="15" t="s">
        <v>162</v>
      </c>
      <c r="AW1306" s="15" t="s">
        <v>25245</v>
      </c>
      <c r="AX1306" s="15" t="s">
        <v>25247</v>
      </c>
      <c r="AY1306" s="15" t="s">
        <v>138</v>
      </c>
      <c r="AZ1306" s="15" t="s">
        <v>164</v>
      </c>
      <c r="BA1306" s="15" t="s">
        <v>165</v>
      </c>
      <c r="BB1306" s="15" t="s">
        <v>25248</v>
      </c>
      <c r="BC1306" s="15" t="s">
        <v>25249</v>
      </c>
      <c r="BD1306" s="21">
        <v>5</v>
      </c>
      <c r="BE1306" s="15" t="s">
        <v>138</v>
      </c>
      <c r="BF1306" s="15" t="s">
        <v>138</v>
      </c>
      <c r="BG1306" s="15" t="s">
        <v>138</v>
      </c>
      <c r="BH1306" s="15" t="s">
        <v>25250</v>
      </c>
      <c r="BI1306" s="15" t="s">
        <v>138</v>
      </c>
      <c r="BJ1306" s="15" t="s">
        <v>138</v>
      </c>
      <c r="BK1306" s="15" t="s">
        <v>25251</v>
      </c>
      <c r="BL1306" s="15" t="s">
        <v>25252</v>
      </c>
      <c r="BM1306" s="22">
        <v>40084</v>
      </c>
      <c r="BN1306" s="17">
        <v>2</v>
      </c>
      <c r="BO1306" s="15" t="s">
        <v>172</v>
      </c>
      <c r="BP1306" s="17" t="s">
        <v>138</v>
      </c>
      <c r="BQ1306" s="15" t="s">
        <v>138</v>
      </c>
      <c r="BR1306" s="15" t="s">
        <v>1326</v>
      </c>
      <c r="BS1306" s="15" t="s">
        <v>138</v>
      </c>
      <c r="BT1306" s="15" t="s">
        <v>138</v>
      </c>
      <c r="BU1306" s="15" t="s">
        <v>1327</v>
      </c>
      <c r="BV1306" s="15" t="s">
        <v>1328</v>
      </c>
      <c r="BW1306" s="15" t="s">
        <v>138</v>
      </c>
      <c r="BX1306" s="15" t="s">
        <v>138</v>
      </c>
      <c r="BY1306" s="15" t="s">
        <v>175</v>
      </c>
      <c r="BZ1306" s="22">
        <v>42916</v>
      </c>
      <c r="CA1306" s="17">
        <v>2.0699999999999998</v>
      </c>
      <c r="CB1306" s="15" t="s">
        <v>138</v>
      </c>
      <c r="CC1306" s="17" t="s">
        <v>138</v>
      </c>
      <c r="CD1306" s="15" t="s">
        <v>138</v>
      </c>
      <c r="CE1306" s="15" t="s">
        <v>173</v>
      </c>
      <c r="CF1306" s="15" t="s">
        <v>317</v>
      </c>
      <c r="CG1306" s="15" t="s">
        <v>138</v>
      </c>
      <c r="CH1306" s="15" t="s">
        <v>174</v>
      </c>
      <c r="CI1306" s="15" t="s">
        <v>138</v>
      </c>
      <c r="CJ1306" s="15" t="s">
        <v>138</v>
      </c>
      <c r="CK1306" s="15" t="s">
        <v>138</v>
      </c>
      <c r="CL1306" s="15" t="s">
        <v>175</v>
      </c>
      <c r="CM1306" s="22">
        <v>40084</v>
      </c>
      <c r="CN1306" s="17" t="s">
        <v>138</v>
      </c>
      <c r="CO1306" s="23">
        <v>-0.51</v>
      </c>
      <c r="CP1306" s="24">
        <v>16</v>
      </c>
      <c r="CQ1306" s="23">
        <v>-0.02</v>
      </c>
      <c r="CR1306" s="23">
        <v>-3.51</v>
      </c>
      <c r="CS1306" s="23">
        <v>-1.03</v>
      </c>
      <c r="CT1306" s="24">
        <v>15</v>
      </c>
      <c r="CU1306" s="23">
        <v>0</v>
      </c>
      <c r="CV1306" s="24">
        <v>22</v>
      </c>
      <c r="CW1306" s="23">
        <v>0</v>
      </c>
      <c r="CX1306" s="24">
        <v>13</v>
      </c>
      <c r="CY1306" s="23">
        <v>-2.06</v>
      </c>
      <c r="CZ1306" s="24">
        <v>11</v>
      </c>
      <c r="DA1306" s="23">
        <v>0</v>
      </c>
      <c r="DB1306" s="24">
        <v>22</v>
      </c>
      <c r="DC1306" s="25">
        <v>3.56</v>
      </c>
      <c r="DD1306" s="24">
        <v>78</v>
      </c>
      <c r="DE1306" s="25">
        <v>-0.06</v>
      </c>
      <c r="DF1306" s="23">
        <v>-1.79</v>
      </c>
      <c r="DG1306" s="25">
        <v>6.89</v>
      </c>
      <c r="DH1306" s="24">
        <v>86</v>
      </c>
      <c r="DI1306" s="25">
        <v>0.23</v>
      </c>
      <c r="DJ1306" s="24">
        <v>24</v>
      </c>
      <c r="DK1306" s="25">
        <v>1.5</v>
      </c>
      <c r="DL1306" s="24">
        <v>59</v>
      </c>
      <c r="DM1306" s="25">
        <v>12.28</v>
      </c>
      <c r="DN1306" s="24">
        <v>91</v>
      </c>
      <c r="DO1306" s="25">
        <v>0.42</v>
      </c>
      <c r="DP1306" s="24">
        <v>35</v>
      </c>
      <c r="DQ1306" s="24">
        <v>522</v>
      </c>
      <c r="DR1306" s="26">
        <v>-17</v>
      </c>
      <c r="DS1306" s="23">
        <v>-3.15</v>
      </c>
      <c r="DT1306" s="24">
        <v>356</v>
      </c>
      <c r="DU1306" s="26">
        <v>-2</v>
      </c>
      <c r="DV1306" s="23">
        <v>-0.56000000000000005</v>
      </c>
      <c r="DW1306" s="24">
        <v>151</v>
      </c>
      <c r="DX1306" s="27">
        <v>0</v>
      </c>
      <c r="DY1306" s="23">
        <v>0</v>
      </c>
      <c r="DZ1306" s="15" t="s">
        <v>178</v>
      </c>
      <c r="EA1306" s="22">
        <v>43622</v>
      </c>
      <c r="EB1306" s="17">
        <v>78</v>
      </c>
      <c r="EC1306" s="22">
        <v>42790</v>
      </c>
      <c r="ED1306" s="15" t="s">
        <v>173</v>
      </c>
      <c r="EE1306" s="14" t="str">
        <f>HYPERLINK("https://my.pitchbook.com?c=51040-18", "View company online")</f>
        <v>View company online</v>
      </c>
    </row>
    <row r="1307" spans="1:135">
      <c r="A1307" s="28" t="s">
        <v>25253</v>
      </c>
      <c r="B1307" s="28" t="s">
        <v>25254</v>
      </c>
      <c r="C1307" s="28" t="s">
        <v>138</v>
      </c>
      <c r="D1307" s="28" t="s">
        <v>25255</v>
      </c>
      <c r="E1307" s="28" t="s">
        <v>25256</v>
      </c>
      <c r="F1307" s="28" t="s">
        <v>25253</v>
      </c>
      <c r="G1307" s="28" t="s">
        <v>25257</v>
      </c>
      <c r="H1307" s="28" t="s">
        <v>183</v>
      </c>
      <c r="I1307" s="28" t="s">
        <v>725</v>
      </c>
      <c r="J1307" s="28" t="s">
        <v>2508</v>
      </c>
      <c r="K1307" s="28" t="s">
        <v>25258</v>
      </c>
      <c r="L1307" s="28" t="s">
        <v>4684</v>
      </c>
      <c r="M1307" s="28" t="s">
        <v>25259</v>
      </c>
      <c r="N1307" s="28" t="s">
        <v>147</v>
      </c>
      <c r="O1307" s="29">
        <v>1.36</v>
      </c>
      <c r="P1307" s="28" t="s">
        <v>610</v>
      </c>
      <c r="Q1307" s="28" t="s">
        <v>149</v>
      </c>
      <c r="R1307" s="28" t="s">
        <v>174</v>
      </c>
      <c r="S1307" s="28" t="s">
        <v>25260</v>
      </c>
      <c r="T1307" s="30">
        <v>13</v>
      </c>
      <c r="U1307" s="28" t="s">
        <v>25261</v>
      </c>
      <c r="V1307" s="28" t="s">
        <v>138</v>
      </c>
      <c r="W1307" s="28" t="s">
        <v>138</v>
      </c>
      <c r="X1307" s="31">
        <v>2014</v>
      </c>
      <c r="Y1307" s="28" t="s">
        <v>138</v>
      </c>
      <c r="Z1307" s="28" t="s">
        <v>138</v>
      </c>
      <c r="AA1307" s="28" t="s">
        <v>138</v>
      </c>
      <c r="AB1307" s="32" t="s">
        <v>138</v>
      </c>
      <c r="AC1307" s="32" t="s">
        <v>138</v>
      </c>
      <c r="AD1307" s="32" t="s">
        <v>138</v>
      </c>
      <c r="AE1307" s="32" t="s">
        <v>138</v>
      </c>
      <c r="AF1307" s="32" t="s">
        <v>138</v>
      </c>
      <c r="AG1307" s="28" t="s">
        <v>138</v>
      </c>
      <c r="AH1307" s="32" t="s">
        <v>138</v>
      </c>
      <c r="AI1307" s="32" t="s">
        <v>138</v>
      </c>
      <c r="AJ1307" s="32" t="s">
        <v>138</v>
      </c>
      <c r="AK1307" s="28" t="s">
        <v>25262</v>
      </c>
      <c r="AL1307" s="28" t="s">
        <v>25263</v>
      </c>
      <c r="AM1307" s="28" t="s">
        <v>25264</v>
      </c>
      <c r="AN1307" s="28" t="s">
        <v>25265</v>
      </c>
      <c r="AO1307" s="28" t="s">
        <v>25266</v>
      </c>
      <c r="AP1307" s="28" t="s">
        <v>3108</v>
      </c>
      <c r="AQ1307" s="28" t="s">
        <v>25267</v>
      </c>
      <c r="AR1307" s="28" t="s">
        <v>1459</v>
      </c>
      <c r="AS1307" s="28" t="s">
        <v>3111</v>
      </c>
      <c r="AT1307" s="28" t="s">
        <v>3112</v>
      </c>
      <c r="AU1307" s="28" t="s">
        <v>25268</v>
      </c>
      <c r="AV1307" s="28" t="s">
        <v>2742</v>
      </c>
      <c r="AW1307" s="28" t="s">
        <v>25266</v>
      </c>
      <c r="AX1307" s="28" t="s">
        <v>138</v>
      </c>
      <c r="AY1307" s="28" t="s">
        <v>25269</v>
      </c>
      <c r="AZ1307" s="28" t="s">
        <v>164</v>
      </c>
      <c r="BA1307" s="28" t="s">
        <v>165</v>
      </c>
      <c r="BB1307" s="28" t="s">
        <v>25270</v>
      </c>
      <c r="BC1307" s="28" t="s">
        <v>25271</v>
      </c>
      <c r="BD1307" s="33">
        <v>2</v>
      </c>
      <c r="BE1307" s="28" t="s">
        <v>138</v>
      </c>
      <c r="BF1307" s="28" t="s">
        <v>138</v>
      </c>
      <c r="BG1307" s="28" t="s">
        <v>138</v>
      </c>
      <c r="BH1307" s="28" t="s">
        <v>25272</v>
      </c>
      <c r="BI1307" s="28" t="s">
        <v>138</v>
      </c>
      <c r="BJ1307" s="28" t="s">
        <v>138</v>
      </c>
      <c r="BK1307" s="28" t="s">
        <v>25273</v>
      </c>
      <c r="BL1307" s="28" t="s">
        <v>25274</v>
      </c>
      <c r="BM1307" s="34" t="s">
        <v>138</v>
      </c>
      <c r="BN1307" s="29" t="s">
        <v>138</v>
      </c>
      <c r="BO1307" s="28" t="s">
        <v>138</v>
      </c>
      <c r="BP1307" s="29" t="s">
        <v>138</v>
      </c>
      <c r="BQ1307" s="28" t="s">
        <v>138</v>
      </c>
      <c r="BR1307" s="28" t="s">
        <v>205</v>
      </c>
      <c r="BS1307" s="28" t="s">
        <v>138</v>
      </c>
      <c r="BT1307" s="28" t="s">
        <v>138</v>
      </c>
      <c r="BU1307" s="28" t="s">
        <v>174</v>
      </c>
      <c r="BV1307" s="28" t="s">
        <v>138</v>
      </c>
      <c r="BW1307" s="28" t="s">
        <v>138</v>
      </c>
      <c r="BX1307" s="28" t="s">
        <v>138</v>
      </c>
      <c r="BY1307" s="28" t="s">
        <v>175</v>
      </c>
      <c r="BZ1307" s="34">
        <v>43557</v>
      </c>
      <c r="CA1307" s="29">
        <v>1.36</v>
      </c>
      <c r="CB1307" s="28" t="s">
        <v>172</v>
      </c>
      <c r="CC1307" s="29" t="s">
        <v>138</v>
      </c>
      <c r="CD1307" s="28" t="s">
        <v>138</v>
      </c>
      <c r="CE1307" s="28" t="s">
        <v>234</v>
      </c>
      <c r="CF1307" s="28" t="s">
        <v>234</v>
      </c>
      <c r="CG1307" s="28" t="s">
        <v>138</v>
      </c>
      <c r="CH1307" s="28" t="s">
        <v>174</v>
      </c>
      <c r="CI1307" s="28" t="s">
        <v>138</v>
      </c>
      <c r="CJ1307" s="28" t="s">
        <v>138</v>
      </c>
      <c r="CK1307" s="28" t="s">
        <v>138</v>
      </c>
      <c r="CL1307" s="28" t="s">
        <v>175</v>
      </c>
      <c r="CM1307" s="34" t="s">
        <v>138</v>
      </c>
      <c r="CN1307" s="29" t="s">
        <v>138</v>
      </c>
      <c r="CO1307" s="35">
        <v>0.02</v>
      </c>
      <c r="CP1307" s="36">
        <v>85</v>
      </c>
      <c r="CQ1307" s="35">
        <v>-0.02</v>
      </c>
      <c r="CR1307" s="35">
        <v>-59.35</v>
      </c>
      <c r="CS1307" s="35">
        <v>0</v>
      </c>
      <c r="CT1307" s="36">
        <v>23</v>
      </c>
      <c r="CU1307" s="35">
        <v>0.03</v>
      </c>
      <c r="CV1307" s="36">
        <v>54</v>
      </c>
      <c r="CW1307" s="35" t="s">
        <v>138</v>
      </c>
      <c r="CX1307" s="36" t="s">
        <v>138</v>
      </c>
      <c r="CY1307" s="35">
        <v>0</v>
      </c>
      <c r="CZ1307" s="36">
        <v>25</v>
      </c>
      <c r="DA1307" s="35">
        <v>7.0000000000000007E-2</v>
      </c>
      <c r="DB1307" s="36">
        <v>67</v>
      </c>
      <c r="DC1307" s="37">
        <v>1.85</v>
      </c>
      <c r="DD1307" s="36">
        <v>65</v>
      </c>
      <c r="DE1307" s="37">
        <v>0.02</v>
      </c>
      <c r="DF1307" s="35">
        <v>1.1000000000000001</v>
      </c>
      <c r="DG1307" s="37">
        <v>3.1</v>
      </c>
      <c r="DH1307" s="36">
        <v>75</v>
      </c>
      <c r="DI1307" s="37">
        <v>0.59</v>
      </c>
      <c r="DJ1307" s="36">
        <v>39</v>
      </c>
      <c r="DK1307" s="37" t="s">
        <v>138</v>
      </c>
      <c r="DL1307" s="36" t="s">
        <v>138</v>
      </c>
      <c r="DM1307" s="37">
        <v>3.1</v>
      </c>
      <c r="DN1307" s="36">
        <v>74</v>
      </c>
      <c r="DO1307" s="37">
        <v>1.08</v>
      </c>
      <c r="DP1307" s="36">
        <v>52</v>
      </c>
      <c r="DQ1307" s="36" t="s">
        <v>138</v>
      </c>
      <c r="DR1307" s="38" t="s">
        <v>138</v>
      </c>
      <c r="DS1307" s="35" t="s">
        <v>138</v>
      </c>
      <c r="DT1307" s="36">
        <v>89</v>
      </c>
      <c r="DU1307" s="38">
        <v>0</v>
      </c>
      <c r="DV1307" s="35">
        <v>0</v>
      </c>
      <c r="DW1307" s="36">
        <v>385</v>
      </c>
      <c r="DX1307" s="39">
        <v>1</v>
      </c>
      <c r="DY1307" s="35">
        <v>0.26</v>
      </c>
      <c r="DZ1307" s="28" t="s">
        <v>178</v>
      </c>
      <c r="EA1307" s="34">
        <v>43609</v>
      </c>
      <c r="EB1307" s="29" t="s">
        <v>138</v>
      </c>
      <c r="EC1307" s="34" t="s">
        <v>138</v>
      </c>
      <c r="ED1307" s="28" t="s">
        <v>138</v>
      </c>
      <c r="EE1307" s="40" t="str">
        <f>HYPERLINK("https://my.pitchbook.com?c=187941-88", "View company online")</f>
        <v>View company online</v>
      </c>
    </row>
    <row r="1308" spans="1:135">
      <c r="A1308" s="15" t="s">
        <v>25275</v>
      </c>
      <c r="B1308" s="15" t="s">
        <v>25276</v>
      </c>
      <c r="C1308" s="15" t="s">
        <v>138</v>
      </c>
      <c r="D1308" s="15" t="s">
        <v>138</v>
      </c>
      <c r="E1308" s="15" t="s">
        <v>138</v>
      </c>
      <c r="F1308" s="15" t="s">
        <v>25275</v>
      </c>
      <c r="G1308" s="15" t="s">
        <v>25277</v>
      </c>
      <c r="H1308" s="15" t="s">
        <v>322</v>
      </c>
      <c r="I1308" s="15" t="s">
        <v>323</v>
      </c>
      <c r="J1308" s="15" t="s">
        <v>413</v>
      </c>
      <c r="K1308" s="15" t="s">
        <v>874</v>
      </c>
      <c r="L1308" s="15" t="s">
        <v>415</v>
      </c>
      <c r="M1308" s="15" t="s">
        <v>25278</v>
      </c>
      <c r="N1308" s="15" t="s">
        <v>147</v>
      </c>
      <c r="O1308" s="17">
        <v>4.5</v>
      </c>
      <c r="P1308" s="15" t="s">
        <v>148</v>
      </c>
      <c r="Q1308" s="15" t="s">
        <v>149</v>
      </c>
      <c r="R1308" s="15" t="s">
        <v>174</v>
      </c>
      <c r="S1308" s="15" t="s">
        <v>25279</v>
      </c>
      <c r="T1308" s="18" t="s">
        <v>138</v>
      </c>
      <c r="U1308" s="15" t="s">
        <v>138</v>
      </c>
      <c r="V1308" s="15" t="s">
        <v>138</v>
      </c>
      <c r="W1308" s="15" t="s">
        <v>138</v>
      </c>
      <c r="X1308" s="19">
        <v>2015</v>
      </c>
      <c r="Y1308" s="15" t="s">
        <v>138</v>
      </c>
      <c r="Z1308" s="15" t="s">
        <v>138</v>
      </c>
      <c r="AA1308" s="15" t="s">
        <v>138</v>
      </c>
      <c r="AB1308" s="20" t="s">
        <v>138</v>
      </c>
      <c r="AC1308" s="20" t="s">
        <v>138</v>
      </c>
      <c r="AD1308" s="20" t="s">
        <v>138</v>
      </c>
      <c r="AE1308" s="20" t="s">
        <v>138</v>
      </c>
      <c r="AF1308" s="20" t="s">
        <v>138</v>
      </c>
      <c r="AG1308" s="15" t="s">
        <v>138</v>
      </c>
      <c r="AH1308" s="20" t="s">
        <v>138</v>
      </c>
      <c r="AI1308" s="20" t="s">
        <v>138</v>
      </c>
      <c r="AJ1308" s="20" t="s">
        <v>138</v>
      </c>
      <c r="AK1308" s="15" t="s">
        <v>25280</v>
      </c>
      <c r="AL1308" s="15" t="s">
        <v>25281</v>
      </c>
      <c r="AM1308" s="15" t="s">
        <v>25282</v>
      </c>
      <c r="AN1308" s="15" t="s">
        <v>25283</v>
      </c>
      <c r="AO1308" s="15" t="s">
        <v>138</v>
      </c>
      <c r="AP1308" s="15" t="s">
        <v>4601</v>
      </c>
      <c r="AQ1308" s="15" t="s">
        <v>25284</v>
      </c>
      <c r="AR1308" s="15" t="s">
        <v>138</v>
      </c>
      <c r="AS1308" s="15" t="s">
        <v>4604</v>
      </c>
      <c r="AT1308" s="15" t="s">
        <v>17451</v>
      </c>
      <c r="AU1308" s="15" t="s">
        <v>25285</v>
      </c>
      <c r="AV1308" s="15" t="s">
        <v>2071</v>
      </c>
      <c r="AW1308" s="15" t="s">
        <v>25286</v>
      </c>
      <c r="AX1308" s="15" t="s">
        <v>138</v>
      </c>
      <c r="AY1308" s="15" t="s">
        <v>25287</v>
      </c>
      <c r="AZ1308" s="15" t="s">
        <v>452</v>
      </c>
      <c r="BA1308" s="15" t="s">
        <v>453</v>
      </c>
      <c r="BB1308" s="15" t="s">
        <v>25288</v>
      </c>
      <c r="BC1308" s="15" t="s">
        <v>25289</v>
      </c>
      <c r="BD1308" s="21">
        <v>6</v>
      </c>
      <c r="BE1308" s="15" t="s">
        <v>138</v>
      </c>
      <c r="BF1308" s="15" t="s">
        <v>138</v>
      </c>
      <c r="BG1308" s="15" t="s">
        <v>138</v>
      </c>
      <c r="BH1308" s="15" t="s">
        <v>25290</v>
      </c>
      <c r="BI1308" s="15" t="s">
        <v>138</v>
      </c>
      <c r="BJ1308" s="15" t="s">
        <v>138</v>
      </c>
      <c r="BK1308" s="15" t="s">
        <v>138</v>
      </c>
      <c r="BL1308" s="15" t="s">
        <v>25291</v>
      </c>
      <c r="BM1308" s="22">
        <v>42082</v>
      </c>
      <c r="BN1308" s="17">
        <v>0.05</v>
      </c>
      <c r="BO1308" s="15" t="s">
        <v>172</v>
      </c>
      <c r="BP1308" s="17" t="s">
        <v>138</v>
      </c>
      <c r="BQ1308" s="15" t="s">
        <v>138</v>
      </c>
      <c r="BR1308" s="15" t="s">
        <v>1830</v>
      </c>
      <c r="BS1308" s="15" t="s">
        <v>138</v>
      </c>
      <c r="BT1308" s="15" t="s">
        <v>138</v>
      </c>
      <c r="BU1308" s="15" t="s">
        <v>263</v>
      </c>
      <c r="BV1308" s="15" t="s">
        <v>138</v>
      </c>
      <c r="BW1308" s="15" t="s">
        <v>138</v>
      </c>
      <c r="BX1308" s="15" t="s">
        <v>138</v>
      </c>
      <c r="BY1308" s="15" t="s">
        <v>175</v>
      </c>
      <c r="BZ1308" s="22">
        <v>42370</v>
      </c>
      <c r="CA1308" s="17">
        <v>4.5</v>
      </c>
      <c r="CB1308" s="15" t="s">
        <v>172</v>
      </c>
      <c r="CC1308" s="17">
        <v>18.149999999999999</v>
      </c>
      <c r="CD1308" s="15" t="s">
        <v>172</v>
      </c>
      <c r="CE1308" s="15" t="s">
        <v>205</v>
      </c>
      <c r="CF1308" s="15" t="s">
        <v>206</v>
      </c>
      <c r="CG1308" s="15" t="s">
        <v>138</v>
      </c>
      <c r="CH1308" s="15" t="s">
        <v>174</v>
      </c>
      <c r="CI1308" s="15" t="s">
        <v>138</v>
      </c>
      <c r="CJ1308" s="15" t="s">
        <v>138</v>
      </c>
      <c r="CK1308" s="15" t="s">
        <v>138</v>
      </c>
      <c r="CL1308" s="15" t="s">
        <v>175</v>
      </c>
      <c r="CM1308" s="22" t="s">
        <v>138</v>
      </c>
      <c r="CN1308" s="17" t="s">
        <v>138</v>
      </c>
      <c r="CO1308" s="23">
        <v>0.04</v>
      </c>
      <c r="CP1308" s="24">
        <v>87</v>
      </c>
      <c r="CQ1308" s="23">
        <v>0</v>
      </c>
      <c r="CR1308" s="23">
        <v>0</v>
      </c>
      <c r="CS1308" s="23">
        <v>0</v>
      </c>
      <c r="CT1308" s="24">
        <v>23</v>
      </c>
      <c r="CU1308" s="23">
        <v>0.08</v>
      </c>
      <c r="CV1308" s="24">
        <v>64</v>
      </c>
      <c r="CW1308" s="23" t="s">
        <v>138</v>
      </c>
      <c r="CX1308" s="24" t="s">
        <v>138</v>
      </c>
      <c r="CY1308" s="23">
        <v>0</v>
      </c>
      <c r="CZ1308" s="24">
        <v>25</v>
      </c>
      <c r="DA1308" s="23" t="s">
        <v>138</v>
      </c>
      <c r="DB1308" s="24" t="s">
        <v>138</v>
      </c>
      <c r="DC1308" s="25">
        <v>1.62</v>
      </c>
      <c r="DD1308" s="24">
        <v>62</v>
      </c>
      <c r="DE1308" s="25">
        <v>0</v>
      </c>
      <c r="DF1308" s="23">
        <v>-0.06</v>
      </c>
      <c r="DG1308" s="25">
        <v>1.59</v>
      </c>
      <c r="DH1308" s="24">
        <v>62</v>
      </c>
      <c r="DI1308" s="25">
        <v>1.65</v>
      </c>
      <c r="DJ1308" s="24">
        <v>59</v>
      </c>
      <c r="DK1308" s="25" t="s">
        <v>138</v>
      </c>
      <c r="DL1308" s="24" t="s">
        <v>138</v>
      </c>
      <c r="DM1308" s="25">
        <v>1.59</v>
      </c>
      <c r="DN1308" s="24">
        <v>61</v>
      </c>
      <c r="DO1308" s="25" t="s">
        <v>138</v>
      </c>
      <c r="DP1308" s="24" t="s">
        <v>138</v>
      </c>
      <c r="DQ1308" s="24" t="s">
        <v>138</v>
      </c>
      <c r="DR1308" s="26" t="s">
        <v>138</v>
      </c>
      <c r="DS1308" s="23" t="s">
        <v>138</v>
      </c>
      <c r="DT1308" s="24">
        <v>46</v>
      </c>
      <c r="DU1308" s="26">
        <v>1</v>
      </c>
      <c r="DV1308" s="23">
        <v>2.2200000000000002</v>
      </c>
      <c r="DW1308" s="24" t="s">
        <v>138</v>
      </c>
      <c r="DX1308" s="27" t="s">
        <v>138</v>
      </c>
      <c r="DY1308" s="23" t="s">
        <v>138</v>
      </c>
      <c r="DZ1308" s="15" t="s">
        <v>178</v>
      </c>
      <c r="EA1308" s="22">
        <v>43351</v>
      </c>
      <c r="EB1308" s="17">
        <v>18.149999999999999</v>
      </c>
      <c r="EC1308" s="22">
        <v>42370</v>
      </c>
      <c r="ED1308" s="15" t="s">
        <v>205</v>
      </c>
      <c r="EE1308" s="14" t="str">
        <f>HYPERLINK("https://my.pitchbook.com?c=118590-13", "View company online")</f>
        <v>View company online</v>
      </c>
    </row>
    <row r="1309" spans="1:135">
      <c r="A1309" s="28" t="s">
        <v>25292</v>
      </c>
      <c r="B1309" s="28" t="s">
        <v>25293</v>
      </c>
      <c r="C1309" s="28" t="s">
        <v>25294</v>
      </c>
      <c r="D1309" s="28" t="s">
        <v>138</v>
      </c>
      <c r="E1309" s="28" t="s">
        <v>25295</v>
      </c>
      <c r="F1309" s="28" t="s">
        <v>25292</v>
      </c>
      <c r="G1309" s="28" t="s">
        <v>25296</v>
      </c>
      <c r="H1309" s="28" t="s">
        <v>322</v>
      </c>
      <c r="I1309" s="28" t="s">
        <v>323</v>
      </c>
      <c r="J1309" s="28" t="s">
        <v>954</v>
      </c>
      <c r="K1309" s="28" t="s">
        <v>17552</v>
      </c>
      <c r="L1309" s="28" t="s">
        <v>242</v>
      </c>
      <c r="M1309" s="28" t="s">
        <v>25297</v>
      </c>
      <c r="N1309" s="28" t="s">
        <v>147</v>
      </c>
      <c r="O1309" s="29">
        <v>29.81</v>
      </c>
      <c r="P1309" s="28" t="s">
        <v>148</v>
      </c>
      <c r="Q1309" s="28" t="s">
        <v>149</v>
      </c>
      <c r="R1309" s="28" t="s">
        <v>174</v>
      </c>
      <c r="S1309" s="28" t="s">
        <v>25298</v>
      </c>
      <c r="T1309" s="30">
        <v>30</v>
      </c>
      <c r="U1309" s="28" t="s">
        <v>25299</v>
      </c>
      <c r="V1309" s="28" t="s">
        <v>138</v>
      </c>
      <c r="W1309" s="28" t="s">
        <v>138</v>
      </c>
      <c r="X1309" s="31">
        <v>2011</v>
      </c>
      <c r="Y1309" s="28" t="s">
        <v>138</v>
      </c>
      <c r="Z1309" s="28" t="s">
        <v>138</v>
      </c>
      <c r="AA1309" s="28" t="s">
        <v>138</v>
      </c>
      <c r="AB1309" s="32" t="s">
        <v>138</v>
      </c>
      <c r="AC1309" s="32" t="s">
        <v>138</v>
      </c>
      <c r="AD1309" s="32" t="s">
        <v>138</v>
      </c>
      <c r="AE1309" s="32" t="s">
        <v>138</v>
      </c>
      <c r="AF1309" s="32" t="s">
        <v>138</v>
      </c>
      <c r="AG1309" s="28" t="s">
        <v>138</v>
      </c>
      <c r="AH1309" s="32" t="s">
        <v>138</v>
      </c>
      <c r="AI1309" s="32" t="s">
        <v>138</v>
      </c>
      <c r="AJ1309" s="32" t="s">
        <v>138</v>
      </c>
      <c r="AK1309" s="28" t="s">
        <v>25300</v>
      </c>
      <c r="AL1309" s="28" t="s">
        <v>25301</v>
      </c>
      <c r="AM1309" s="28" t="s">
        <v>221</v>
      </c>
      <c r="AN1309" s="28" t="s">
        <v>25302</v>
      </c>
      <c r="AO1309" s="28" t="s">
        <v>25303</v>
      </c>
      <c r="AP1309" s="28" t="s">
        <v>1765</v>
      </c>
      <c r="AQ1309" s="28" t="s">
        <v>25304</v>
      </c>
      <c r="AR1309" s="28" t="s">
        <v>25305</v>
      </c>
      <c r="AS1309" s="28" t="s">
        <v>1768</v>
      </c>
      <c r="AT1309" s="28" t="s">
        <v>200</v>
      </c>
      <c r="AU1309" s="28" t="s">
        <v>1769</v>
      </c>
      <c r="AV1309" s="28" t="s">
        <v>162</v>
      </c>
      <c r="AW1309" s="28" t="s">
        <v>25303</v>
      </c>
      <c r="AX1309" s="28" t="s">
        <v>138</v>
      </c>
      <c r="AY1309" s="28" t="s">
        <v>25306</v>
      </c>
      <c r="AZ1309" s="28" t="s">
        <v>164</v>
      </c>
      <c r="BA1309" s="28" t="s">
        <v>165</v>
      </c>
      <c r="BB1309" s="28" t="s">
        <v>25307</v>
      </c>
      <c r="BC1309" s="28" t="s">
        <v>25308</v>
      </c>
      <c r="BD1309" s="33">
        <v>46</v>
      </c>
      <c r="BE1309" s="28" t="s">
        <v>138</v>
      </c>
      <c r="BF1309" s="28" t="s">
        <v>138</v>
      </c>
      <c r="BG1309" s="28" t="s">
        <v>138</v>
      </c>
      <c r="BH1309" s="28" t="s">
        <v>25309</v>
      </c>
      <c r="BI1309" s="28" t="s">
        <v>138</v>
      </c>
      <c r="BJ1309" s="28" t="s">
        <v>138</v>
      </c>
      <c r="BK1309" s="28" t="s">
        <v>1275</v>
      </c>
      <c r="BL1309" s="28" t="s">
        <v>138</v>
      </c>
      <c r="BM1309" s="34">
        <v>41194</v>
      </c>
      <c r="BN1309" s="29">
        <v>0.08</v>
      </c>
      <c r="BO1309" s="28" t="s">
        <v>172</v>
      </c>
      <c r="BP1309" s="29" t="s">
        <v>138</v>
      </c>
      <c r="BQ1309" s="28" t="s">
        <v>138</v>
      </c>
      <c r="BR1309" s="28" t="s">
        <v>262</v>
      </c>
      <c r="BS1309" s="28" t="s">
        <v>262</v>
      </c>
      <c r="BT1309" s="28" t="s">
        <v>138</v>
      </c>
      <c r="BU1309" s="28" t="s">
        <v>263</v>
      </c>
      <c r="BV1309" s="28" t="s">
        <v>138</v>
      </c>
      <c r="BW1309" s="28" t="s">
        <v>138</v>
      </c>
      <c r="BX1309" s="28" t="s">
        <v>138</v>
      </c>
      <c r="BY1309" s="28" t="s">
        <v>175</v>
      </c>
      <c r="BZ1309" s="34">
        <v>43599</v>
      </c>
      <c r="CA1309" s="29">
        <v>6.97</v>
      </c>
      <c r="CB1309" s="28" t="s">
        <v>172</v>
      </c>
      <c r="CC1309" s="29">
        <v>126.97</v>
      </c>
      <c r="CD1309" s="28" t="s">
        <v>172</v>
      </c>
      <c r="CE1309" s="28" t="s">
        <v>173</v>
      </c>
      <c r="CF1309" s="28" t="s">
        <v>623</v>
      </c>
      <c r="CG1309" s="28" t="s">
        <v>138</v>
      </c>
      <c r="CH1309" s="28" t="s">
        <v>174</v>
      </c>
      <c r="CI1309" s="28" t="s">
        <v>138</v>
      </c>
      <c r="CJ1309" s="28" t="s">
        <v>138</v>
      </c>
      <c r="CK1309" s="28" t="s">
        <v>138</v>
      </c>
      <c r="CL1309" s="28" t="s">
        <v>175</v>
      </c>
      <c r="CM1309" s="34" t="s">
        <v>138</v>
      </c>
      <c r="CN1309" s="29" t="s">
        <v>138</v>
      </c>
      <c r="CO1309" s="35">
        <v>-2.56</v>
      </c>
      <c r="CP1309" s="36">
        <v>4</v>
      </c>
      <c r="CQ1309" s="35">
        <v>-0.04</v>
      </c>
      <c r="CR1309" s="35">
        <v>-1.53</v>
      </c>
      <c r="CS1309" s="35">
        <v>-8.1999999999999993</v>
      </c>
      <c r="CT1309" s="36">
        <v>1</v>
      </c>
      <c r="CU1309" s="35">
        <v>0.12</v>
      </c>
      <c r="CV1309" s="36">
        <v>71</v>
      </c>
      <c r="CW1309" s="35">
        <v>-16.399999999999999</v>
      </c>
      <c r="CX1309" s="36">
        <v>1</v>
      </c>
      <c r="CY1309" s="35">
        <v>0</v>
      </c>
      <c r="CZ1309" s="36">
        <v>25</v>
      </c>
      <c r="DA1309" s="35">
        <v>0.2</v>
      </c>
      <c r="DB1309" s="36">
        <v>82</v>
      </c>
      <c r="DC1309" s="37">
        <v>24.22</v>
      </c>
      <c r="DD1309" s="36">
        <v>96</v>
      </c>
      <c r="DE1309" s="37">
        <v>0.57999999999999996</v>
      </c>
      <c r="DF1309" s="35">
        <v>2.46</v>
      </c>
      <c r="DG1309" s="37">
        <v>2.82</v>
      </c>
      <c r="DH1309" s="36">
        <v>73</v>
      </c>
      <c r="DI1309" s="37">
        <v>29.05</v>
      </c>
      <c r="DJ1309" s="36">
        <v>93</v>
      </c>
      <c r="DK1309" s="37">
        <v>4.5999999999999996</v>
      </c>
      <c r="DL1309" s="36">
        <v>78</v>
      </c>
      <c r="DM1309" s="37">
        <v>1.03</v>
      </c>
      <c r="DN1309" s="36">
        <v>51</v>
      </c>
      <c r="DO1309" s="37">
        <v>47.65</v>
      </c>
      <c r="DP1309" s="36">
        <v>96</v>
      </c>
      <c r="DQ1309" s="36">
        <v>1568</v>
      </c>
      <c r="DR1309" s="38">
        <v>29</v>
      </c>
      <c r="DS1309" s="35">
        <v>1.88</v>
      </c>
      <c r="DT1309" s="36">
        <v>30</v>
      </c>
      <c r="DU1309" s="38">
        <v>1</v>
      </c>
      <c r="DV1309" s="35">
        <v>3.45</v>
      </c>
      <c r="DW1309" s="36">
        <v>17065</v>
      </c>
      <c r="DX1309" s="39">
        <v>-6</v>
      </c>
      <c r="DY1309" s="35">
        <v>-0.04</v>
      </c>
      <c r="DZ1309" s="28" t="s">
        <v>178</v>
      </c>
      <c r="EA1309" s="34">
        <v>43600</v>
      </c>
      <c r="EB1309" s="29">
        <v>126.97</v>
      </c>
      <c r="EC1309" s="34">
        <v>43599</v>
      </c>
      <c r="ED1309" s="28" t="s">
        <v>173</v>
      </c>
      <c r="EE1309" s="40" t="str">
        <f>HYPERLINK("https://my.pitchbook.com?c=60138-19", "View company online")</f>
        <v>View company online</v>
      </c>
    </row>
    <row r="1310" spans="1:135">
      <c r="A1310" s="15" t="s">
        <v>25310</v>
      </c>
      <c r="B1310" s="15" t="s">
        <v>25311</v>
      </c>
      <c r="C1310" s="15" t="s">
        <v>25312</v>
      </c>
      <c r="D1310" s="15" t="s">
        <v>138</v>
      </c>
      <c r="E1310" s="15" t="s">
        <v>138</v>
      </c>
      <c r="F1310" s="15" t="s">
        <v>25310</v>
      </c>
      <c r="G1310" s="15" t="s">
        <v>25313</v>
      </c>
      <c r="H1310" s="15" t="s">
        <v>238</v>
      </c>
      <c r="I1310" s="15" t="s">
        <v>749</v>
      </c>
      <c r="J1310" s="15" t="s">
        <v>750</v>
      </c>
      <c r="K1310" s="15" t="s">
        <v>25314</v>
      </c>
      <c r="L1310" s="15" t="s">
        <v>4263</v>
      </c>
      <c r="M1310" s="15" t="s">
        <v>25315</v>
      </c>
      <c r="N1310" s="15" t="s">
        <v>147</v>
      </c>
      <c r="O1310" s="17">
        <v>12.26</v>
      </c>
      <c r="P1310" s="15" t="s">
        <v>148</v>
      </c>
      <c r="Q1310" s="15" t="s">
        <v>149</v>
      </c>
      <c r="R1310" s="15" t="s">
        <v>174</v>
      </c>
      <c r="S1310" s="15" t="s">
        <v>25316</v>
      </c>
      <c r="T1310" s="18" t="s">
        <v>138</v>
      </c>
      <c r="U1310" s="15" t="s">
        <v>138</v>
      </c>
      <c r="V1310" s="15" t="s">
        <v>138</v>
      </c>
      <c r="W1310" s="15" t="s">
        <v>138</v>
      </c>
      <c r="X1310" s="19">
        <v>2006</v>
      </c>
      <c r="Y1310" s="15" t="s">
        <v>138</v>
      </c>
      <c r="Z1310" s="15" t="s">
        <v>138</v>
      </c>
      <c r="AA1310" s="15" t="s">
        <v>138</v>
      </c>
      <c r="AB1310" s="20" t="s">
        <v>138</v>
      </c>
      <c r="AC1310" s="20" t="s">
        <v>138</v>
      </c>
      <c r="AD1310" s="20" t="s">
        <v>138</v>
      </c>
      <c r="AE1310" s="20" t="s">
        <v>138</v>
      </c>
      <c r="AF1310" s="20" t="s">
        <v>138</v>
      </c>
      <c r="AG1310" s="15" t="s">
        <v>138</v>
      </c>
      <c r="AH1310" s="20" t="s">
        <v>138</v>
      </c>
      <c r="AI1310" s="20" t="s">
        <v>138</v>
      </c>
      <c r="AJ1310" s="20" t="s">
        <v>138</v>
      </c>
      <c r="AK1310" s="15" t="s">
        <v>25317</v>
      </c>
      <c r="AL1310" s="15" t="s">
        <v>25318</v>
      </c>
      <c r="AM1310" s="15" t="s">
        <v>249</v>
      </c>
      <c r="AN1310" s="15" t="s">
        <v>138</v>
      </c>
      <c r="AO1310" s="15" t="s">
        <v>25319</v>
      </c>
      <c r="AP1310" s="15" t="s">
        <v>25320</v>
      </c>
      <c r="AQ1310" s="15" t="s">
        <v>25321</v>
      </c>
      <c r="AR1310" s="15" t="s">
        <v>25322</v>
      </c>
      <c r="AS1310" s="15" t="s">
        <v>25323</v>
      </c>
      <c r="AT1310" s="15" t="s">
        <v>3712</v>
      </c>
      <c r="AU1310" s="15" t="s">
        <v>25324</v>
      </c>
      <c r="AV1310" s="15" t="s">
        <v>162</v>
      </c>
      <c r="AW1310" s="15" t="s">
        <v>25325</v>
      </c>
      <c r="AX1310" s="15" t="s">
        <v>25326</v>
      </c>
      <c r="AY1310" s="15" t="s">
        <v>25327</v>
      </c>
      <c r="AZ1310" s="15" t="s">
        <v>164</v>
      </c>
      <c r="BA1310" s="15" t="s">
        <v>165</v>
      </c>
      <c r="BB1310" s="15" t="s">
        <v>25328</v>
      </c>
      <c r="BC1310" s="15" t="s">
        <v>25329</v>
      </c>
      <c r="BD1310" s="21">
        <v>2</v>
      </c>
      <c r="BE1310" s="15" t="s">
        <v>138</v>
      </c>
      <c r="BF1310" s="15" t="s">
        <v>138</v>
      </c>
      <c r="BG1310" s="15" t="s">
        <v>138</v>
      </c>
      <c r="BH1310" s="15" t="s">
        <v>25330</v>
      </c>
      <c r="BI1310" s="15" t="s">
        <v>138</v>
      </c>
      <c r="BJ1310" s="15" t="s">
        <v>138</v>
      </c>
      <c r="BK1310" s="15" t="s">
        <v>25331</v>
      </c>
      <c r="BL1310" s="15" t="s">
        <v>25331</v>
      </c>
      <c r="BM1310" s="22">
        <v>39783</v>
      </c>
      <c r="BN1310" s="17">
        <v>1.34</v>
      </c>
      <c r="BO1310" s="15" t="s">
        <v>172</v>
      </c>
      <c r="BP1310" s="17">
        <v>3.74</v>
      </c>
      <c r="BQ1310" s="15" t="s">
        <v>172</v>
      </c>
      <c r="BR1310" s="15" t="s">
        <v>205</v>
      </c>
      <c r="BS1310" s="15" t="s">
        <v>206</v>
      </c>
      <c r="BT1310" s="15" t="s">
        <v>138</v>
      </c>
      <c r="BU1310" s="15" t="s">
        <v>174</v>
      </c>
      <c r="BV1310" s="15" t="s">
        <v>138</v>
      </c>
      <c r="BW1310" s="15" t="s">
        <v>138</v>
      </c>
      <c r="BX1310" s="15" t="s">
        <v>138</v>
      </c>
      <c r="BY1310" s="15" t="s">
        <v>175</v>
      </c>
      <c r="BZ1310" s="22">
        <v>43230</v>
      </c>
      <c r="CA1310" s="17">
        <v>5.75</v>
      </c>
      <c r="CB1310" s="15" t="s">
        <v>172</v>
      </c>
      <c r="CC1310" s="17">
        <v>25.75</v>
      </c>
      <c r="CD1310" s="15" t="s">
        <v>172</v>
      </c>
      <c r="CE1310" s="15" t="s">
        <v>173</v>
      </c>
      <c r="CF1310" s="15" t="s">
        <v>433</v>
      </c>
      <c r="CG1310" s="15" t="s">
        <v>138</v>
      </c>
      <c r="CH1310" s="15" t="s">
        <v>174</v>
      </c>
      <c r="CI1310" s="15" t="s">
        <v>138</v>
      </c>
      <c r="CJ1310" s="15" t="s">
        <v>138</v>
      </c>
      <c r="CK1310" s="15" t="s">
        <v>138</v>
      </c>
      <c r="CL1310" s="15" t="s">
        <v>175</v>
      </c>
      <c r="CM1310" s="22" t="s">
        <v>138</v>
      </c>
      <c r="CN1310" s="17" t="s">
        <v>138</v>
      </c>
      <c r="CO1310" s="23">
        <v>1.1499999999999999</v>
      </c>
      <c r="CP1310" s="24">
        <v>98</v>
      </c>
      <c r="CQ1310" s="23">
        <v>0.66</v>
      </c>
      <c r="CR1310" s="23">
        <v>132.6</v>
      </c>
      <c r="CS1310" s="23">
        <v>-0.47</v>
      </c>
      <c r="CT1310" s="24">
        <v>20</v>
      </c>
      <c r="CU1310" s="23">
        <v>2.78</v>
      </c>
      <c r="CV1310" s="24">
        <v>100</v>
      </c>
      <c r="CW1310" s="23">
        <v>-1.24</v>
      </c>
      <c r="CX1310" s="24">
        <v>9</v>
      </c>
      <c r="CY1310" s="23">
        <v>0.3</v>
      </c>
      <c r="CZ1310" s="24">
        <v>98</v>
      </c>
      <c r="DA1310" s="23">
        <v>2.78</v>
      </c>
      <c r="DB1310" s="24">
        <v>100</v>
      </c>
      <c r="DC1310" s="25">
        <v>8.19</v>
      </c>
      <c r="DD1310" s="24">
        <v>88</v>
      </c>
      <c r="DE1310" s="25">
        <v>-8.59</v>
      </c>
      <c r="DF1310" s="23">
        <v>-51.18</v>
      </c>
      <c r="DG1310" s="25">
        <v>15.93</v>
      </c>
      <c r="DH1310" s="24">
        <v>93</v>
      </c>
      <c r="DI1310" s="25">
        <v>0.45</v>
      </c>
      <c r="DJ1310" s="24">
        <v>35</v>
      </c>
      <c r="DK1310" s="25">
        <v>11.35</v>
      </c>
      <c r="DL1310" s="24">
        <v>88</v>
      </c>
      <c r="DM1310" s="25">
        <v>20.52</v>
      </c>
      <c r="DN1310" s="24">
        <v>94</v>
      </c>
      <c r="DO1310" s="25">
        <v>0.45</v>
      </c>
      <c r="DP1310" s="24">
        <v>36</v>
      </c>
      <c r="DQ1310" s="24">
        <v>3841</v>
      </c>
      <c r="DR1310" s="26">
        <v>154</v>
      </c>
      <c r="DS1310" s="23">
        <v>4.18</v>
      </c>
      <c r="DT1310" s="24">
        <v>594</v>
      </c>
      <c r="DU1310" s="26">
        <v>0</v>
      </c>
      <c r="DV1310" s="23">
        <v>0</v>
      </c>
      <c r="DW1310" s="24">
        <v>158</v>
      </c>
      <c r="DX1310" s="27">
        <v>3</v>
      </c>
      <c r="DY1310" s="23">
        <v>1.94</v>
      </c>
      <c r="DZ1310" s="15" t="s">
        <v>178</v>
      </c>
      <c r="EA1310" s="22">
        <v>43351</v>
      </c>
      <c r="EB1310" s="17">
        <v>25.75</v>
      </c>
      <c r="EC1310" s="22">
        <v>43230</v>
      </c>
      <c r="ED1310" s="15" t="s">
        <v>173</v>
      </c>
      <c r="EE1310" s="14" t="str">
        <f>HYPERLINK("https://my.pitchbook.com?c=63064-63", "View company online")</f>
        <v>View company online</v>
      </c>
    </row>
    <row r="1311" spans="1:135">
      <c r="A1311" s="28" t="s">
        <v>25332</v>
      </c>
      <c r="B1311" s="28" t="s">
        <v>25333</v>
      </c>
      <c r="C1311" s="28" t="s">
        <v>138</v>
      </c>
      <c r="D1311" s="28" t="s">
        <v>138</v>
      </c>
      <c r="E1311" s="28" t="s">
        <v>25334</v>
      </c>
      <c r="F1311" s="28" t="s">
        <v>25332</v>
      </c>
      <c r="G1311" s="28" t="s">
        <v>25335</v>
      </c>
      <c r="H1311" s="28" t="s">
        <v>238</v>
      </c>
      <c r="I1311" s="28" t="s">
        <v>2662</v>
      </c>
      <c r="J1311" s="28" t="s">
        <v>4479</v>
      </c>
      <c r="K1311" s="28" t="s">
        <v>25336</v>
      </c>
      <c r="L1311" s="28" t="s">
        <v>7930</v>
      </c>
      <c r="M1311" s="28" t="s">
        <v>25337</v>
      </c>
      <c r="N1311" s="28" t="s">
        <v>147</v>
      </c>
      <c r="O1311" s="29">
        <v>50</v>
      </c>
      <c r="P1311" s="28" t="s">
        <v>148</v>
      </c>
      <c r="Q1311" s="28" t="s">
        <v>149</v>
      </c>
      <c r="R1311" s="28" t="s">
        <v>174</v>
      </c>
      <c r="S1311" s="28" t="s">
        <v>25338</v>
      </c>
      <c r="T1311" s="30">
        <v>50</v>
      </c>
      <c r="U1311" s="28" t="s">
        <v>12556</v>
      </c>
      <c r="V1311" s="28" t="s">
        <v>138</v>
      </c>
      <c r="W1311" s="28" t="s">
        <v>138</v>
      </c>
      <c r="X1311" s="31">
        <v>2014</v>
      </c>
      <c r="Y1311" s="28" t="s">
        <v>138</v>
      </c>
      <c r="Z1311" s="28" t="s">
        <v>138</v>
      </c>
      <c r="AA1311" s="28" t="s">
        <v>138</v>
      </c>
      <c r="AB1311" s="32">
        <v>1.2</v>
      </c>
      <c r="AC1311" s="32" t="s">
        <v>138</v>
      </c>
      <c r="AD1311" s="32" t="s">
        <v>138</v>
      </c>
      <c r="AE1311" s="32" t="s">
        <v>138</v>
      </c>
      <c r="AF1311" s="32" t="s">
        <v>138</v>
      </c>
      <c r="AG1311" s="28" t="s">
        <v>514</v>
      </c>
      <c r="AH1311" s="32" t="s">
        <v>138</v>
      </c>
      <c r="AI1311" s="32" t="s">
        <v>138</v>
      </c>
      <c r="AJ1311" s="32" t="s">
        <v>138</v>
      </c>
      <c r="AK1311" s="28" t="s">
        <v>25339</v>
      </c>
      <c r="AL1311" s="28" t="s">
        <v>25340</v>
      </c>
      <c r="AM1311" s="28" t="s">
        <v>249</v>
      </c>
      <c r="AN1311" s="28" t="s">
        <v>25341</v>
      </c>
      <c r="AO1311" s="28" t="s">
        <v>25342</v>
      </c>
      <c r="AP1311" s="28" t="s">
        <v>3328</v>
      </c>
      <c r="AQ1311" s="28" t="s">
        <v>3329</v>
      </c>
      <c r="AR1311" s="28" t="s">
        <v>713</v>
      </c>
      <c r="AS1311" s="28" t="s">
        <v>3330</v>
      </c>
      <c r="AT1311" s="28" t="s">
        <v>200</v>
      </c>
      <c r="AU1311" s="28" t="s">
        <v>3331</v>
      </c>
      <c r="AV1311" s="28" t="s">
        <v>162</v>
      </c>
      <c r="AW1311" s="28" t="s">
        <v>25343</v>
      </c>
      <c r="AX1311" s="28" t="s">
        <v>138</v>
      </c>
      <c r="AY1311" s="28" t="s">
        <v>138</v>
      </c>
      <c r="AZ1311" s="28" t="s">
        <v>164</v>
      </c>
      <c r="BA1311" s="28" t="s">
        <v>165</v>
      </c>
      <c r="BB1311" s="28" t="s">
        <v>25344</v>
      </c>
      <c r="BC1311" s="28" t="s">
        <v>25345</v>
      </c>
      <c r="BD1311" s="33">
        <v>13</v>
      </c>
      <c r="BE1311" s="28" t="s">
        <v>138</v>
      </c>
      <c r="BF1311" s="28" t="s">
        <v>138</v>
      </c>
      <c r="BG1311" s="28" t="s">
        <v>138</v>
      </c>
      <c r="BH1311" s="28" t="s">
        <v>25346</v>
      </c>
      <c r="BI1311" s="28" t="s">
        <v>138</v>
      </c>
      <c r="BJ1311" s="28" t="s">
        <v>138</v>
      </c>
      <c r="BK1311" s="28" t="s">
        <v>1275</v>
      </c>
      <c r="BL1311" s="28" t="s">
        <v>1275</v>
      </c>
      <c r="BM1311" s="34">
        <v>41817</v>
      </c>
      <c r="BN1311" s="29">
        <v>25</v>
      </c>
      <c r="BO1311" s="28" t="s">
        <v>172</v>
      </c>
      <c r="BP1311" s="29">
        <v>34.5</v>
      </c>
      <c r="BQ1311" s="28" t="s">
        <v>172</v>
      </c>
      <c r="BR1311" s="28" t="s">
        <v>205</v>
      </c>
      <c r="BS1311" s="28" t="s">
        <v>206</v>
      </c>
      <c r="BT1311" s="28" t="s">
        <v>138</v>
      </c>
      <c r="BU1311" s="28" t="s">
        <v>174</v>
      </c>
      <c r="BV1311" s="28" t="s">
        <v>138</v>
      </c>
      <c r="BW1311" s="28" t="s">
        <v>138</v>
      </c>
      <c r="BX1311" s="28" t="s">
        <v>138</v>
      </c>
      <c r="BY1311" s="28" t="s">
        <v>175</v>
      </c>
      <c r="BZ1311" s="34">
        <v>42248</v>
      </c>
      <c r="CA1311" s="29">
        <v>25</v>
      </c>
      <c r="CB1311" s="28" t="s">
        <v>172</v>
      </c>
      <c r="CC1311" s="29">
        <v>95.7</v>
      </c>
      <c r="CD1311" s="28" t="s">
        <v>172</v>
      </c>
      <c r="CE1311" s="28" t="s">
        <v>205</v>
      </c>
      <c r="CF1311" s="28" t="s">
        <v>720</v>
      </c>
      <c r="CG1311" s="28" t="s">
        <v>138</v>
      </c>
      <c r="CH1311" s="28" t="s">
        <v>174</v>
      </c>
      <c r="CI1311" s="28" t="s">
        <v>138</v>
      </c>
      <c r="CJ1311" s="28" t="s">
        <v>138</v>
      </c>
      <c r="CK1311" s="28" t="s">
        <v>138</v>
      </c>
      <c r="CL1311" s="28" t="s">
        <v>175</v>
      </c>
      <c r="CM1311" s="34" t="s">
        <v>138</v>
      </c>
      <c r="CN1311" s="29" t="s">
        <v>138</v>
      </c>
      <c r="CO1311" s="35">
        <v>2.2400000000000002</v>
      </c>
      <c r="CP1311" s="36">
        <v>99</v>
      </c>
      <c r="CQ1311" s="35">
        <v>0</v>
      </c>
      <c r="CR1311" s="35">
        <v>0.09</v>
      </c>
      <c r="CS1311" s="35">
        <v>4.4400000000000004</v>
      </c>
      <c r="CT1311" s="36">
        <v>100</v>
      </c>
      <c r="CU1311" s="35">
        <v>0.05</v>
      </c>
      <c r="CV1311" s="36">
        <v>58</v>
      </c>
      <c r="CW1311" s="35">
        <v>8.83</v>
      </c>
      <c r="CX1311" s="36">
        <v>99</v>
      </c>
      <c r="CY1311" s="35">
        <v>0.05</v>
      </c>
      <c r="CZ1311" s="36">
        <v>97</v>
      </c>
      <c r="DA1311" s="35">
        <v>-0.02</v>
      </c>
      <c r="DB1311" s="36">
        <v>19</v>
      </c>
      <c r="DC1311" s="37">
        <v>32.26</v>
      </c>
      <c r="DD1311" s="36">
        <v>97</v>
      </c>
      <c r="DE1311" s="37">
        <v>-1.85</v>
      </c>
      <c r="DF1311" s="35">
        <v>-5.42</v>
      </c>
      <c r="DG1311" s="37">
        <v>46.45</v>
      </c>
      <c r="DH1311" s="36">
        <v>98</v>
      </c>
      <c r="DI1311" s="37">
        <v>18.07</v>
      </c>
      <c r="DJ1311" s="36">
        <v>90</v>
      </c>
      <c r="DK1311" s="37">
        <v>61.21</v>
      </c>
      <c r="DL1311" s="36">
        <v>96</v>
      </c>
      <c r="DM1311" s="37">
        <v>31.69</v>
      </c>
      <c r="DN1311" s="36">
        <v>96</v>
      </c>
      <c r="DO1311" s="37">
        <v>5.72</v>
      </c>
      <c r="DP1311" s="36">
        <v>81</v>
      </c>
      <c r="DQ1311" s="36">
        <v>20379</v>
      </c>
      <c r="DR1311" s="38">
        <v>1844</v>
      </c>
      <c r="DS1311" s="35">
        <v>9.9499999999999993</v>
      </c>
      <c r="DT1311" s="36">
        <v>913</v>
      </c>
      <c r="DU1311" s="38">
        <v>10</v>
      </c>
      <c r="DV1311" s="35">
        <v>1.1100000000000001</v>
      </c>
      <c r="DW1311" s="36">
        <v>2048</v>
      </c>
      <c r="DX1311" s="39">
        <v>1</v>
      </c>
      <c r="DY1311" s="35">
        <v>0.05</v>
      </c>
      <c r="DZ1311" s="28" t="s">
        <v>178</v>
      </c>
      <c r="EA1311" s="34">
        <v>43607</v>
      </c>
      <c r="EB1311" s="29">
        <v>95.7</v>
      </c>
      <c r="EC1311" s="34">
        <v>42248</v>
      </c>
      <c r="ED1311" s="28" t="s">
        <v>205</v>
      </c>
      <c r="EE1311" s="40" t="str">
        <f>HYPERLINK("https://my.pitchbook.com?c=109473-13", "View company online")</f>
        <v>View company online</v>
      </c>
    </row>
    <row r="1312" spans="1:135">
      <c r="A1312" s="15" t="s">
        <v>25347</v>
      </c>
      <c r="B1312" s="15" t="s">
        <v>25348</v>
      </c>
      <c r="C1312" s="15" t="s">
        <v>138</v>
      </c>
      <c r="D1312" s="15" t="s">
        <v>138</v>
      </c>
      <c r="E1312" s="15" t="s">
        <v>25349</v>
      </c>
      <c r="F1312" s="15" t="s">
        <v>25347</v>
      </c>
      <c r="G1312" s="15" t="s">
        <v>25350</v>
      </c>
      <c r="H1312" s="15" t="s">
        <v>322</v>
      </c>
      <c r="I1312" s="15" t="s">
        <v>323</v>
      </c>
      <c r="J1312" s="15" t="s">
        <v>324</v>
      </c>
      <c r="K1312" s="15" t="s">
        <v>25351</v>
      </c>
      <c r="L1312" s="15" t="s">
        <v>415</v>
      </c>
      <c r="M1312" s="15" t="s">
        <v>25352</v>
      </c>
      <c r="N1312" s="15" t="s">
        <v>147</v>
      </c>
      <c r="O1312" s="17">
        <v>25.17</v>
      </c>
      <c r="P1312" s="15" t="s">
        <v>148</v>
      </c>
      <c r="Q1312" s="15" t="s">
        <v>149</v>
      </c>
      <c r="R1312" s="15" t="s">
        <v>174</v>
      </c>
      <c r="S1312" s="15" t="s">
        <v>25353</v>
      </c>
      <c r="T1312" s="18">
        <v>35</v>
      </c>
      <c r="U1312" s="15" t="s">
        <v>7955</v>
      </c>
      <c r="V1312" s="15" t="s">
        <v>138</v>
      </c>
      <c r="W1312" s="15" t="s">
        <v>138</v>
      </c>
      <c r="X1312" s="19">
        <v>2010</v>
      </c>
      <c r="Y1312" s="15" t="s">
        <v>138</v>
      </c>
      <c r="Z1312" s="15" t="s">
        <v>138</v>
      </c>
      <c r="AA1312" s="15" t="s">
        <v>138</v>
      </c>
      <c r="AB1312" s="20" t="s">
        <v>138</v>
      </c>
      <c r="AC1312" s="20" t="s">
        <v>138</v>
      </c>
      <c r="AD1312" s="20" t="s">
        <v>138</v>
      </c>
      <c r="AE1312" s="20" t="s">
        <v>138</v>
      </c>
      <c r="AF1312" s="20" t="s">
        <v>138</v>
      </c>
      <c r="AG1312" s="15" t="s">
        <v>138</v>
      </c>
      <c r="AH1312" s="20" t="s">
        <v>138</v>
      </c>
      <c r="AI1312" s="20" t="s">
        <v>138</v>
      </c>
      <c r="AJ1312" s="20" t="s">
        <v>138</v>
      </c>
      <c r="AK1312" s="15" t="s">
        <v>25354</v>
      </c>
      <c r="AL1312" s="15" t="s">
        <v>25355</v>
      </c>
      <c r="AM1312" s="15" t="s">
        <v>12280</v>
      </c>
      <c r="AN1312" s="15" t="s">
        <v>25356</v>
      </c>
      <c r="AO1312" s="15" t="s">
        <v>138</v>
      </c>
      <c r="AP1312" s="15" t="s">
        <v>665</v>
      </c>
      <c r="AQ1312" s="15" t="s">
        <v>25357</v>
      </c>
      <c r="AR1312" s="15" t="s">
        <v>6298</v>
      </c>
      <c r="AS1312" s="15" t="s">
        <v>668</v>
      </c>
      <c r="AT1312" s="15" t="s">
        <v>200</v>
      </c>
      <c r="AU1312" s="15" t="s">
        <v>669</v>
      </c>
      <c r="AV1312" s="15" t="s">
        <v>162</v>
      </c>
      <c r="AW1312" s="15" t="s">
        <v>25358</v>
      </c>
      <c r="AX1312" s="15" t="s">
        <v>138</v>
      </c>
      <c r="AY1312" s="15" t="s">
        <v>138</v>
      </c>
      <c r="AZ1312" s="15" t="s">
        <v>164</v>
      </c>
      <c r="BA1312" s="15" t="s">
        <v>165</v>
      </c>
      <c r="BB1312" s="15" t="s">
        <v>25359</v>
      </c>
      <c r="BC1312" s="15" t="s">
        <v>25360</v>
      </c>
      <c r="BD1312" s="21">
        <v>15</v>
      </c>
      <c r="BE1312" s="15" t="s">
        <v>138</v>
      </c>
      <c r="BF1312" s="15" t="s">
        <v>138</v>
      </c>
      <c r="BG1312" s="15" t="s">
        <v>138</v>
      </c>
      <c r="BH1312" s="15" t="s">
        <v>25361</v>
      </c>
      <c r="BI1312" s="15" t="s">
        <v>138</v>
      </c>
      <c r="BJ1312" s="15" t="s">
        <v>138</v>
      </c>
      <c r="BK1312" s="15" t="s">
        <v>25362</v>
      </c>
      <c r="BL1312" s="15" t="s">
        <v>25362</v>
      </c>
      <c r="BM1312" s="22" t="s">
        <v>138</v>
      </c>
      <c r="BN1312" s="17" t="s">
        <v>138</v>
      </c>
      <c r="BO1312" s="15" t="s">
        <v>138</v>
      </c>
      <c r="BP1312" s="17" t="s">
        <v>138</v>
      </c>
      <c r="BQ1312" s="15" t="s">
        <v>138</v>
      </c>
      <c r="BR1312" s="15" t="s">
        <v>316</v>
      </c>
      <c r="BS1312" s="15" t="s">
        <v>138</v>
      </c>
      <c r="BT1312" s="15" t="s">
        <v>138</v>
      </c>
      <c r="BU1312" s="15" t="s">
        <v>177</v>
      </c>
      <c r="BV1312" s="15" t="s">
        <v>138</v>
      </c>
      <c r="BW1312" s="15" t="s">
        <v>138</v>
      </c>
      <c r="BX1312" s="15" t="s">
        <v>138</v>
      </c>
      <c r="BY1312" s="15" t="s">
        <v>175</v>
      </c>
      <c r="BZ1312" s="22">
        <v>43452</v>
      </c>
      <c r="CA1312" s="17">
        <v>6.07</v>
      </c>
      <c r="CB1312" s="15" t="s">
        <v>172</v>
      </c>
      <c r="CC1312" s="17">
        <v>46.07</v>
      </c>
      <c r="CD1312" s="15" t="s">
        <v>172</v>
      </c>
      <c r="CE1312" s="15" t="s">
        <v>173</v>
      </c>
      <c r="CF1312" s="15" t="s">
        <v>1727</v>
      </c>
      <c r="CG1312" s="15" t="s">
        <v>138</v>
      </c>
      <c r="CH1312" s="15" t="s">
        <v>174</v>
      </c>
      <c r="CI1312" s="15" t="s">
        <v>138</v>
      </c>
      <c r="CJ1312" s="15" t="s">
        <v>138</v>
      </c>
      <c r="CK1312" s="15" t="s">
        <v>138</v>
      </c>
      <c r="CL1312" s="15" t="s">
        <v>175</v>
      </c>
      <c r="CM1312" s="22" t="s">
        <v>138</v>
      </c>
      <c r="CN1312" s="17" t="s">
        <v>138</v>
      </c>
      <c r="CO1312" s="23">
        <v>0</v>
      </c>
      <c r="CP1312" s="24">
        <v>26</v>
      </c>
      <c r="CQ1312" s="23">
        <v>0.01</v>
      </c>
      <c r="CR1312" s="23">
        <v>85.51</v>
      </c>
      <c r="CS1312" s="23">
        <v>0</v>
      </c>
      <c r="CT1312" s="24">
        <v>23</v>
      </c>
      <c r="CU1312" s="23">
        <v>0</v>
      </c>
      <c r="CV1312" s="24">
        <v>22</v>
      </c>
      <c r="CW1312" s="23">
        <v>0</v>
      </c>
      <c r="CX1312" s="24">
        <v>13</v>
      </c>
      <c r="CY1312" s="23">
        <v>0</v>
      </c>
      <c r="CZ1312" s="24">
        <v>25</v>
      </c>
      <c r="DA1312" s="23">
        <v>-0.04</v>
      </c>
      <c r="DB1312" s="24">
        <v>15</v>
      </c>
      <c r="DC1312" s="25">
        <v>2.09</v>
      </c>
      <c r="DD1312" s="24">
        <v>68</v>
      </c>
      <c r="DE1312" s="25">
        <v>-0.03</v>
      </c>
      <c r="DF1312" s="23">
        <v>-1.35</v>
      </c>
      <c r="DG1312" s="25">
        <v>1.61</v>
      </c>
      <c r="DH1312" s="24">
        <v>62</v>
      </c>
      <c r="DI1312" s="25">
        <v>2.56</v>
      </c>
      <c r="DJ1312" s="24">
        <v>67</v>
      </c>
      <c r="DK1312" s="25">
        <v>1.0900000000000001</v>
      </c>
      <c r="DL1312" s="24">
        <v>52</v>
      </c>
      <c r="DM1312" s="25">
        <v>2.14</v>
      </c>
      <c r="DN1312" s="24">
        <v>67</v>
      </c>
      <c r="DO1312" s="25">
        <v>4.7</v>
      </c>
      <c r="DP1312" s="24">
        <v>78</v>
      </c>
      <c r="DQ1312" s="24">
        <v>380</v>
      </c>
      <c r="DR1312" s="26">
        <v>-20</v>
      </c>
      <c r="DS1312" s="23">
        <v>-5</v>
      </c>
      <c r="DT1312" s="24">
        <v>62</v>
      </c>
      <c r="DU1312" s="26">
        <v>0</v>
      </c>
      <c r="DV1312" s="23">
        <v>0</v>
      </c>
      <c r="DW1312" s="24">
        <v>1684</v>
      </c>
      <c r="DX1312" s="27">
        <v>0</v>
      </c>
      <c r="DY1312" s="23">
        <v>0</v>
      </c>
      <c r="DZ1312" s="15" t="s">
        <v>178</v>
      </c>
      <c r="EA1312" s="22">
        <v>43482</v>
      </c>
      <c r="EB1312" s="17">
        <v>46.07</v>
      </c>
      <c r="EC1312" s="22">
        <v>43452</v>
      </c>
      <c r="ED1312" s="15" t="s">
        <v>173</v>
      </c>
      <c r="EE1312" s="14" t="str">
        <f>HYPERLINK("https://my.pitchbook.com?c=58078-18", "View company online")</f>
        <v>View company online</v>
      </c>
    </row>
    <row r="1313" spans="1:135">
      <c r="A1313" s="28" t="s">
        <v>25363</v>
      </c>
      <c r="B1313" s="28" t="s">
        <v>25364</v>
      </c>
      <c r="C1313" s="28" t="s">
        <v>25365</v>
      </c>
      <c r="D1313" s="28" t="s">
        <v>25366</v>
      </c>
      <c r="E1313" s="28" t="s">
        <v>25367</v>
      </c>
      <c r="F1313" s="28" t="s">
        <v>25363</v>
      </c>
      <c r="G1313" s="28" t="s">
        <v>25368</v>
      </c>
      <c r="H1313" s="28" t="s">
        <v>322</v>
      </c>
      <c r="I1313" s="28" t="s">
        <v>356</v>
      </c>
      <c r="J1313" s="28" t="s">
        <v>3852</v>
      </c>
      <c r="K1313" s="28" t="s">
        <v>25369</v>
      </c>
      <c r="L1313" s="28" t="s">
        <v>1972</v>
      </c>
      <c r="M1313" s="28" t="s">
        <v>25370</v>
      </c>
      <c r="N1313" s="28" t="s">
        <v>147</v>
      </c>
      <c r="O1313" s="29">
        <v>275.99</v>
      </c>
      <c r="P1313" s="28" t="s">
        <v>148</v>
      </c>
      <c r="Q1313" s="28" t="s">
        <v>149</v>
      </c>
      <c r="R1313" s="28" t="s">
        <v>25371</v>
      </c>
      <c r="S1313" s="28" t="s">
        <v>25372</v>
      </c>
      <c r="T1313" s="30">
        <v>201</v>
      </c>
      <c r="U1313" s="28" t="s">
        <v>25373</v>
      </c>
      <c r="V1313" s="28" t="s">
        <v>138</v>
      </c>
      <c r="W1313" s="28" t="s">
        <v>138</v>
      </c>
      <c r="X1313" s="31">
        <v>1998</v>
      </c>
      <c r="Y1313" s="28" t="s">
        <v>138</v>
      </c>
      <c r="Z1313" s="28" t="s">
        <v>138</v>
      </c>
      <c r="AA1313" s="28" t="s">
        <v>138</v>
      </c>
      <c r="AB1313" s="32">
        <v>87.12</v>
      </c>
      <c r="AC1313" s="32">
        <v>28.95</v>
      </c>
      <c r="AD1313" s="32">
        <v>-9.51</v>
      </c>
      <c r="AE1313" s="32" t="s">
        <v>138</v>
      </c>
      <c r="AF1313" s="32">
        <v>1.97</v>
      </c>
      <c r="AG1313" s="28" t="s">
        <v>25374</v>
      </c>
      <c r="AH1313" s="32" t="s">
        <v>138</v>
      </c>
      <c r="AI1313" s="32" t="s">
        <v>138</v>
      </c>
      <c r="AJ1313" s="32" t="s">
        <v>138</v>
      </c>
      <c r="AK1313" s="28" t="s">
        <v>25375</v>
      </c>
      <c r="AL1313" s="28" t="s">
        <v>25376</v>
      </c>
      <c r="AM1313" s="28" t="s">
        <v>25377</v>
      </c>
      <c r="AN1313" s="28" t="s">
        <v>25378</v>
      </c>
      <c r="AO1313" s="28" t="s">
        <v>25379</v>
      </c>
      <c r="AP1313" s="28" t="s">
        <v>1220</v>
      </c>
      <c r="AQ1313" s="28" t="s">
        <v>25380</v>
      </c>
      <c r="AR1313" s="28" t="s">
        <v>138</v>
      </c>
      <c r="AS1313" s="28" t="s">
        <v>1223</v>
      </c>
      <c r="AT1313" s="28" t="s">
        <v>200</v>
      </c>
      <c r="AU1313" s="28" t="s">
        <v>5087</v>
      </c>
      <c r="AV1313" s="28" t="s">
        <v>162</v>
      </c>
      <c r="AW1313" s="28" t="s">
        <v>25379</v>
      </c>
      <c r="AX1313" s="28" t="s">
        <v>25381</v>
      </c>
      <c r="AY1313" s="28" t="s">
        <v>138</v>
      </c>
      <c r="AZ1313" s="28" t="s">
        <v>164</v>
      </c>
      <c r="BA1313" s="28" t="s">
        <v>165</v>
      </c>
      <c r="BB1313" s="28" t="s">
        <v>25382</v>
      </c>
      <c r="BC1313" s="28" t="s">
        <v>25383</v>
      </c>
      <c r="BD1313" s="33">
        <v>27</v>
      </c>
      <c r="BE1313" s="28" t="s">
        <v>138</v>
      </c>
      <c r="BF1313" s="28" t="s">
        <v>25384</v>
      </c>
      <c r="BG1313" s="28" t="s">
        <v>138</v>
      </c>
      <c r="BH1313" s="28" t="s">
        <v>25385</v>
      </c>
      <c r="BI1313" s="28" t="s">
        <v>25386</v>
      </c>
      <c r="BJ1313" s="28" t="s">
        <v>138</v>
      </c>
      <c r="BK1313" s="28" t="s">
        <v>1854</v>
      </c>
      <c r="BL1313" s="28" t="s">
        <v>25387</v>
      </c>
      <c r="BM1313" s="34">
        <v>36451</v>
      </c>
      <c r="BN1313" s="29">
        <v>1.4</v>
      </c>
      <c r="BO1313" s="28" t="s">
        <v>172</v>
      </c>
      <c r="BP1313" s="29">
        <v>8.9</v>
      </c>
      <c r="BQ1313" s="28" t="s">
        <v>172</v>
      </c>
      <c r="BR1313" s="28" t="s">
        <v>205</v>
      </c>
      <c r="BS1313" s="28" t="s">
        <v>206</v>
      </c>
      <c r="BT1313" s="28" t="s">
        <v>138</v>
      </c>
      <c r="BU1313" s="28" t="s">
        <v>174</v>
      </c>
      <c r="BV1313" s="28" t="s">
        <v>138</v>
      </c>
      <c r="BW1313" s="28" t="s">
        <v>138</v>
      </c>
      <c r="BX1313" s="28" t="s">
        <v>138</v>
      </c>
      <c r="BY1313" s="28" t="s">
        <v>175</v>
      </c>
      <c r="BZ1313" s="34" t="s">
        <v>138</v>
      </c>
      <c r="CA1313" s="29" t="s">
        <v>138</v>
      </c>
      <c r="CB1313" s="28" t="s">
        <v>138</v>
      </c>
      <c r="CC1313" s="29" t="s">
        <v>138</v>
      </c>
      <c r="CD1313" s="28" t="s">
        <v>138</v>
      </c>
      <c r="CE1313" s="28" t="s">
        <v>379</v>
      </c>
      <c r="CF1313" s="28" t="s">
        <v>138</v>
      </c>
      <c r="CG1313" s="28" t="s">
        <v>138</v>
      </c>
      <c r="CH1313" s="28" t="s">
        <v>174</v>
      </c>
      <c r="CI1313" s="28" t="s">
        <v>138</v>
      </c>
      <c r="CJ1313" s="28" t="s">
        <v>138</v>
      </c>
      <c r="CK1313" s="28" t="s">
        <v>138</v>
      </c>
      <c r="CL1313" s="28" t="s">
        <v>175</v>
      </c>
      <c r="CM1313" s="34" t="s">
        <v>138</v>
      </c>
      <c r="CN1313" s="29" t="s">
        <v>138</v>
      </c>
      <c r="CO1313" s="35">
        <v>-2.59</v>
      </c>
      <c r="CP1313" s="36">
        <v>4</v>
      </c>
      <c r="CQ1313" s="35">
        <v>0.01</v>
      </c>
      <c r="CR1313" s="35">
        <v>0.28000000000000003</v>
      </c>
      <c r="CS1313" s="35">
        <v>-5.41</v>
      </c>
      <c r="CT1313" s="36">
        <v>2</v>
      </c>
      <c r="CU1313" s="35">
        <v>0.23</v>
      </c>
      <c r="CV1313" s="36">
        <v>83</v>
      </c>
      <c r="CW1313" s="35" t="s">
        <v>138</v>
      </c>
      <c r="CX1313" s="36" t="s">
        <v>138</v>
      </c>
      <c r="CY1313" s="35">
        <v>-5.41</v>
      </c>
      <c r="CZ1313" s="36">
        <v>3</v>
      </c>
      <c r="DA1313" s="35">
        <v>0.23</v>
      </c>
      <c r="DB1313" s="36">
        <v>85</v>
      </c>
      <c r="DC1313" s="37">
        <v>11.86</v>
      </c>
      <c r="DD1313" s="36">
        <v>91</v>
      </c>
      <c r="DE1313" s="37">
        <v>0.01</v>
      </c>
      <c r="DF1313" s="35">
        <v>0.05</v>
      </c>
      <c r="DG1313" s="37">
        <v>21.28</v>
      </c>
      <c r="DH1313" s="36">
        <v>95</v>
      </c>
      <c r="DI1313" s="37">
        <v>2.4500000000000002</v>
      </c>
      <c r="DJ1313" s="36">
        <v>66</v>
      </c>
      <c r="DK1313" s="37" t="s">
        <v>138</v>
      </c>
      <c r="DL1313" s="36" t="s">
        <v>138</v>
      </c>
      <c r="DM1313" s="37">
        <v>21.28</v>
      </c>
      <c r="DN1313" s="36">
        <v>95</v>
      </c>
      <c r="DO1313" s="37">
        <v>2.4500000000000002</v>
      </c>
      <c r="DP1313" s="36">
        <v>67</v>
      </c>
      <c r="DQ1313" s="36" t="s">
        <v>138</v>
      </c>
      <c r="DR1313" s="38" t="s">
        <v>138</v>
      </c>
      <c r="DS1313" s="35" t="s">
        <v>138</v>
      </c>
      <c r="DT1313" s="36">
        <v>617</v>
      </c>
      <c r="DU1313" s="38">
        <v>2</v>
      </c>
      <c r="DV1313" s="35">
        <v>0.33</v>
      </c>
      <c r="DW1313" s="36">
        <v>879</v>
      </c>
      <c r="DX1313" s="39">
        <v>1</v>
      </c>
      <c r="DY1313" s="35">
        <v>0.11</v>
      </c>
      <c r="DZ1313" s="28" t="s">
        <v>178</v>
      </c>
      <c r="EA1313" s="34">
        <v>43612</v>
      </c>
      <c r="EB1313" s="29">
        <v>186.64</v>
      </c>
      <c r="EC1313" s="34">
        <v>42369</v>
      </c>
      <c r="ED1313" s="28" t="s">
        <v>173</v>
      </c>
      <c r="EE1313" s="40" t="str">
        <f>HYPERLINK("https://my.pitchbook.com?c=52372-00", "View company online")</f>
        <v>View company online</v>
      </c>
    </row>
    <row r="1314" spans="1:135">
      <c r="A1314" s="15" t="s">
        <v>25388</v>
      </c>
      <c r="B1314" s="15" t="s">
        <v>25389</v>
      </c>
      <c r="C1314" s="15" t="s">
        <v>138</v>
      </c>
      <c r="D1314" s="15" t="s">
        <v>25390</v>
      </c>
      <c r="E1314" s="15" t="s">
        <v>25391</v>
      </c>
      <c r="F1314" s="15" t="s">
        <v>25388</v>
      </c>
      <c r="G1314" s="15" t="s">
        <v>25392</v>
      </c>
      <c r="H1314" s="15" t="s">
        <v>385</v>
      </c>
      <c r="I1314" s="15" t="s">
        <v>1991</v>
      </c>
      <c r="J1314" s="15" t="s">
        <v>1992</v>
      </c>
      <c r="K1314" s="15" t="s">
        <v>13728</v>
      </c>
      <c r="L1314" s="15" t="s">
        <v>415</v>
      </c>
      <c r="M1314" s="15" t="s">
        <v>25393</v>
      </c>
      <c r="N1314" s="15" t="s">
        <v>147</v>
      </c>
      <c r="O1314" s="17">
        <v>0.02</v>
      </c>
      <c r="P1314" s="15" t="s">
        <v>148</v>
      </c>
      <c r="Q1314" s="15" t="s">
        <v>149</v>
      </c>
      <c r="R1314" s="15" t="s">
        <v>174</v>
      </c>
      <c r="S1314" s="15" t="s">
        <v>25394</v>
      </c>
      <c r="T1314" s="18">
        <v>5</v>
      </c>
      <c r="U1314" s="15" t="s">
        <v>25395</v>
      </c>
      <c r="V1314" s="15" t="s">
        <v>138</v>
      </c>
      <c r="W1314" s="15" t="s">
        <v>138</v>
      </c>
      <c r="X1314" s="19">
        <v>2014</v>
      </c>
      <c r="Y1314" s="15" t="s">
        <v>138</v>
      </c>
      <c r="Z1314" s="15" t="s">
        <v>138</v>
      </c>
      <c r="AA1314" s="15" t="s">
        <v>138</v>
      </c>
      <c r="AB1314" s="20" t="s">
        <v>138</v>
      </c>
      <c r="AC1314" s="20" t="s">
        <v>138</v>
      </c>
      <c r="AD1314" s="20" t="s">
        <v>138</v>
      </c>
      <c r="AE1314" s="20" t="s">
        <v>138</v>
      </c>
      <c r="AF1314" s="20" t="s">
        <v>138</v>
      </c>
      <c r="AG1314" s="15" t="s">
        <v>138</v>
      </c>
      <c r="AH1314" s="20" t="s">
        <v>138</v>
      </c>
      <c r="AI1314" s="20" t="s">
        <v>138</v>
      </c>
      <c r="AJ1314" s="20" t="s">
        <v>138</v>
      </c>
      <c r="AK1314" s="15" t="s">
        <v>25396</v>
      </c>
      <c r="AL1314" s="15" t="s">
        <v>25397</v>
      </c>
      <c r="AM1314" s="15" t="s">
        <v>304</v>
      </c>
      <c r="AN1314" s="15" t="s">
        <v>25398</v>
      </c>
      <c r="AO1314" s="15" t="s">
        <v>138</v>
      </c>
      <c r="AP1314" s="15" t="s">
        <v>25399</v>
      </c>
      <c r="AQ1314" s="15" t="s">
        <v>25400</v>
      </c>
      <c r="AR1314" s="15" t="s">
        <v>1115</v>
      </c>
      <c r="AS1314" s="15" t="s">
        <v>25401</v>
      </c>
      <c r="AT1314" s="15" t="s">
        <v>2740</v>
      </c>
      <c r="AU1314" s="15" t="s">
        <v>25402</v>
      </c>
      <c r="AV1314" s="15" t="s">
        <v>2742</v>
      </c>
      <c r="AW1314" s="15" t="s">
        <v>138</v>
      </c>
      <c r="AX1314" s="15" t="s">
        <v>138</v>
      </c>
      <c r="AY1314" s="15" t="s">
        <v>25403</v>
      </c>
      <c r="AZ1314" s="15" t="s">
        <v>164</v>
      </c>
      <c r="BA1314" s="15" t="s">
        <v>165</v>
      </c>
      <c r="BB1314" s="15" t="s">
        <v>25404</v>
      </c>
      <c r="BC1314" s="15" t="s">
        <v>25405</v>
      </c>
      <c r="BD1314" s="21">
        <v>22</v>
      </c>
      <c r="BE1314" s="15" t="s">
        <v>138</v>
      </c>
      <c r="BF1314" s="15" t="s">
        <v>138</v>
      </c>
      <c r="BG1314" s="15" t="s">
        <v>138</v>
      </c>
      <c r="BH1314" s="15" t="s">
        <v>25406</v>
      </c>
      <c r="BI1314" s="15" t="s">
        <v>138</v>
      </c>
      <c r="BJ1314" s="15" t="s">
        <v>138</v>
      </c>
      <c r="BK1314" s="15" t="s">
        <v>138</v>
      </c>
      <c r="BL1314" s="15" t="s">
        <v>138</v>
      </c>
      <c r="BM1314" s="22" t="s">
        <v>138</v>
      </c>
      <c r="BN1314" s="17">
        <v>0.03</v>
      </c>
      <c r="BO1314" s="15" t="s">
        <v>172</v>
      </c>
      <c r="BP1314" s="17" t="s">
        <v>138</v>
      </c>
      <c r="BQ1314" s="15" t="s">
        <v>138</v>
      </c>
      <c r="BR1314" s="15" t="s">
        <v>316</v>
      </c>
      <c r="BS1314" s="15" t="s">
        <v>138</v>
      </c>
      <c r="BT1314" s="15" t="s">
        <v>138</v>
      </c>
      <c r="BU1314" s="15" t="s">
        <v>177</v>
      </c>
      <c r="BV1314" s="15" t="s">
        <v>138</v>
      </c>
      <c r="BW1314" s="15" t="s">
        <v>138</v>
      </c>
      <c r="BX1314" s="15" t="s">
        <v>138</v>
      </c>
      <c r="BY1314" s="15" t="s">
        <v>175</v>
      </c>
      <c r="BZ1314" s="22">
        <v>43003</v>
      </c>
      <c r="CA1314" s="17" t="s">
        <v>138</v>
      </c>
      <c r="CB1314" s="15" t="s">
        <v>138</v>
      </c>
      <c r="CC1314" s="17" t="s">
        <v>138</v>
      </c>
      <c r="CD1314" s="15" t="s">
        <v>138</v>
      </c>
      <c r="CE1314" s="15" t="s">
        <v>316</v>
      </c>
      <c r="CF1314" s="15" t="s">
        <v>138</v>
      </c>
      <c r="CG1314" s="15" t="s">
        <v>138</v>
      </c>
      <c r="CH1314" s="15" t="s">
        <v>177</v>
      </c>
      <c r="CI1314" s="15" t="s">
        <v>138</v>
      </c>
      <c r="CJ1314" s="15" t="s">
        <v>138</v>
      </c>
      <c r="CK1314" s="15" t="s">
        <v>138</v>
      </c>
      <c r="CL1314" s="15" t="s">
        <v>175</v>
      </c>
      <c r="CM1314" s="22" t="s">
        <v>138</v>
      </c>
      <c r="CN1314" s="17" t="s">
        <v>138</v>
      </c>
      <c r="CO1314" s="23">
        <v>0.79</v>
      </c>
      <c r="CP1314" s="24">
        <v>96</v>
      </c>
      <c r="CQ1314" s="23">
        <v>-0.16</v>
      </c>
      <c r="CR1314" s="23">
        <v>-16.559999999999999</v>
      </c>
      <c r="CS1314" s="23">
        <v>0.79</v>
      </c>
      <c r="CT1314" s="24">
        <v>96</v>
      </c>
      <c r="CU1314" s="23" t="s">
        <v>138</v>
      </c>
      <c r="CV1314" s="24" t="s">
        <v>138</v>
      </c>
      <c r="CW1314" s="23" t="s">
        <v>138</v>
      </c>
      <c r="CX1314" s="24" t="s">
        <v>138</v>
      </c>
      <c r="CY1314" s="23">
        <v>0.79</v>
      </c>
      <c r="CZ1314" s="24">
        <v>99</v>
      </c>
      <c r="DA1314" s="23" t="s">
        <v>138</v>
      </c>
      <c r="DB1314" s="24" t="s">
        <v>138</v>
      </c>
      <c r="DC1314" s="25">
        <v>5.69</v>
      </c>
      <c r="DD1314" s="24">
        <v>84</v>
      </c>
      <c r="DE1314" s="25">
        <v>-0.03</v>
      </c>
      <c r="DF1314" s="23">
        <v>-0.6</v>
      </c>
      <c r="DG1314" s="25">
        <v>5.69</v>
      </c>
      <c r="DH1314" s="24">
        <v>84</v>
      </c>
      <c r="DI1314" s="25" t="s">
        <v>138</v>
      </c>
      <c r="DJ1314" s="24" t="s">
        <v>138</v>
      </c>
      <c r="DK1314" s="25" t="s">
        <v>138</v>
      </c>
      <c r="DL1314" s="24" t="s">
        <v>138</v>
      </c>
      <c r="DM1314" s="25">
        <v>5.69</v>
      </c>
      <c r="DN1314" s="24">
        <v>83</v>
      </c>
      <c r="DO1314" s="25" t="s">
        <v>138</v>
      </c>
      <c r="DP1314" s="24" t="s">
        <v>138</v>
      </c>
      <c r="DQ1314" s="24" t="s">
        <v>138</v>
      </c>
      <c r="DR1314" s="26" t="s">
        <v>138</v>
      </c>
      <c r="DS1314" s="23" t="s">
        <v>138</v>
      </c>
      <c r="DT1314" s="24">
        <v>165</v>
      </c>
      <c r="DU1314" s="26">
        <v>-1</v>
      </c>
      <c r="DV1314" s="23">
        <v>-0.6</v>
      </c>
      <c r="DW1314" s="24" t="s">
        <v>138</v>
      </c>
      <c r="DX1314" s="27" t="s">
        <v>138</v>
      </c>
      <c r="DY1314" s="23" t="s">
        <v>138</v>
      </c>
      <c r="DZ1314" s="15" t="s">
        <v>178</v>
      </c>
      <c r="EA1314" s="22">
        <v>43622</v>
      </c>
      <c r="EB1314" s="17">
        <v>1.39</v>
      </c>
      <c r="EC1314" s="22">
        <v>41723</v>
      </c>
      <c r="ED1314" s="15" t="s">
        <v>316</v>
      </c>
      <c r="EE1314" s="14" t="str">
        <f>HYPERLINK("https://my.pitchbook.com?c=62074-54", "View company online")</f>
        <v>View company online</v>
      </c>
    </row>
    <row r="1315" spans="1:135">
      <c r="A1315" s="28" t="s">
        <v>25407</v>
      </c>
      <c r="B1315" s="28" t="s">
        <v>25408</v>
      </c>
      <c r="C1315" s="28" t="s">
        <v>25409</v>
      </c>
      <c r="D1315" s="28" t="s">
        <v>25410</v>
      </c>
      <c r="E1315" s="28" t="s">
        <v>138</v>
      </c>
      <c r="F1315" s="28" t="s">
        <v>25407</v>
      </c>
      <c r="G1315" s="28" t="s">
        <v>25411</v>
      </c>
      <c r="H1315" s="28" t="s">
        <v>322</v>
      </c>
      <c r="I1315" s="28" t="s">
        <v>323</v>
      </c>
      <c r="J1315" s="28" t="s">
        <v>1132</v>
      </c>
      <c r="K1315" s="28" t="s">
        <v>18120</v>
      </c>
      <c r="L1315" s="28" t="s">
        <v>14773</v>
      </c>
      <c r="M1315" s="28" t="s">
        <v>25412</v>
      </c>
      <c r="N1315" s="28" t="s">
        <v>147</v>
      </c>
      <c r="O1315" s="29">
        <v>15.82</v>
      </c>
      <c r="P1315" s="28" t="s">
        <v>148</v>
      </c>
      <c r="Q1315" s="28" t="s">
        <v>149</v>
      </c>
      <c r="R1315" s="28" t="s">
        <v>174</v>
      </c>
      <c r="S1315" s="28" t="s">
        <v>25413</v>
      </c>
      <c r="T1315" s="30">
        <v>23</v>
      </c>
      <c r="U1315" s="28" t="s">
        <v>25414</v>
      </c>
      <c r="V1315" s="28" t="s">
        <v>138</v>
      </c>
      <c r="W1315" s="28" t="s">
        <v>138</v>
      </c>
      <c r="X1315" s="31">
        <v>2011</v>
      </c>
      <c r="Y1315" s="28" t="s">
        <v>138</v>
      </c>
      <c r="Z1315" s="28" t="s">
        <v>138</v>
      </c>
      <c r="AA1315" s="28" t="s">
        <v>138</v>
      </c>
      <c r="AB1315" s="32" t="s">
        <v>138</v>
      </c>
      <c r="AC1315" s="32" t="s">
        <v>138</v>
      </c>
      <c r="AD1315" s="32" t="s">
        <v>138</v>
      </c>
      <c r="AE1315" s="32" t="s">
        <v>138</v>
      </c>
      <c r="AF1315" s="32" t="s">
        <v>138</v>
      </c>
      <c r="AG1315" s="28" t="s">
        <v>138</v>
      </c>
      <c r="AH1315" s="32" t="s">
        <v>138</v>
      </c>
      <c r="AI1315" s="32" t="s">
        <v>138</v>
      </c>
      <c r="AJ1315" s="32" t="s">
        <v>138</v>
      </c>
      <c r="AK1315" s="28" t="s">
        <v>25415</v>
      </c>
      <c r="AL1315" s="28" t="s">
        <v>25416</v>
      </c>
      <c r="AM1315" s="28" t="s">
        <v>938</v>
      </c>
      <c r="AN1315" s="28" t="s">
        <v>25417</v>
      </c>
      <c r="AO1315" s="28" t="s">
        <v>25418</v>
      </c>
      <c r="AP1315" s="28" t="s">
        <v>639</v>
      </c>
      <c r="AQ1315" s="28" t="s">
        <v>25419</v>
      </c>
      <c r="AR1315" s="28" t="s">
        <v>8976</v>
      </c>
      <c r="AS1315" s="28" t="s">
        <v>642</v>
      </c>
      <c r="AT1315" s="28" t="s">
        <v>474</v>
      </c>
      <c r="AU1315" s="28" t="s">
        <v>4671</v>
      </c>
      <c r="AV1315" s="28" t="s">
        <v>162</v>
      </c>
      <c r="AW1315" s="28" t="s">
        <v>25418</v>
      </c>
      <c r="AX1315" s="28" t="s">
        <v>138</v>
      </c>
      <c r="AY1315" s="28" t="s">
        <v>25420</v>
      </c>
      <c r="AZ1315" s="28" t="s">
        <v>164</v>
      </c>
      <c r="BA1315" s="28" t="s">
        <v>165</v>
      </c>
      <c r="BB1315" s="28" t="s">
        <v>25421</v>
      </c>
      <c r="BC1315" s="28" t="s">
        <v>25422</v>
      </c>
      <c r="BD1315" s="33">
        <v>5</v>
      </c>
      <c r="BE1315" s="28" t="s">
        <v>138</v>
      </c>
      <c r="BF1315" s="28" t="s">
        <v>138</v>
      </c>
      <c r="BG1315" s="28" t="s">
        <v>138</v>
      </c>
      <c r="BH1315" s="28" t="s">
        <v>25423</v>
      </c>
      <c r="BI1315" s="28" t="s">
        <v>138</v>
      </c>
      <c r="BJ1315" s="28" t="s">
        <v>138</v>
      </c>
      <c r="BK1315" s="28" t="s">
        <v>25424</v>
      </c>
      <c r="BL1315" s="28" t="s">
        <v>1275</v>
      </c>
      <c r="BM1315" s="34">
        <v>41306</v>
      </c>
      <c r="BN1315" s="29">
        <v>0.2</v>
      </c>
      <c r="BO1315" s="28" t="s">
        <v>172</v>
      </c>
      <c r="BP1315" s="29" t="s">
        <v>138</v>
      </c>
      <c r="BQ1315" s="28" t="s">
        <v>138</v>
      </c>
      <c r="BR1315" s="28" t="s">
        <v>234</v>
      </c>
      <c r="BS1315" s="28" t="s">
        <v>234</v>
      </c>
      <c r="BT1315" s="28" t="s">
        <v>138</v>
      </c>
      <c r="BU1315" s="28" t="s">
        <v>174</v>
      </c>
      <c r="BV1315" s="28" t="s">
        <v>138</v>
      </c>
      <c r="BW1315" s="28" t="s">
        <v>138</v>
      </c>
      <c r="BX1315" s="28" t="s">
        <v>138</v>
      </c>
      <c r="BY1315" s="28" t="s">
        <v>175</v>
      </c>
      <c r="BZ1315" s="34">
        <v>42159</v>
      </c>
      <c r="CA1315" s="29">
        <v>5.9</v>
      </c>
      <c r="CB1315" s="28" t="s">
        <v>172</v>
      </c>
      <c r="CC1315" s="29" t="s">
        <v>138</v>
      </c>
      <c r="CD1315" s="28" t="s">
        <v>138</v>
      </c>
      <c r="CE1315" s="28" t="s">
        <v>205</v>
      </c>
      <c r="CF1315" s="28" t="s">
        <v>138</v>
      </c>
      <c r="CG1315" s="28" t="s">
        <v>138</v>
      </c>
      <c r="CH1315" s="28" t="s">
        <v>174</v>
      </c>
      <c r="CI1315" s="28" t="s">
        <v>138</v>
      </c>
      <c r="CJ1315" s="28" t="s">
        <v>138</v>
      </c>
      <c r="CK1315" s="28" t="s">
        <v>138</v>
      </c>
      <c r="CL1315" s="28" t="s">
        <v>175</v>
      </c>
      <c r="CM1315" s="34" t="s">
        <v>138</v>
      </c>
      <c r="CN1315" s="29" t="s">
        <v>138</v>
      </c>
      <c r="CO1315" s="35">
        <v>-0.08</v>
      </c>
      <c r="CP1315" s="36">
        <v>21</v>
      </c>
      <c r="CQ1315" s="35">
        <v>0</v>
      </c>
      <c r="CR1315" s="35">
        <v>0</v>
      </c>
      <c r="CS1315" s="35" t="s">
        <v>138</v>
      </c>
      <c r="CT1315" s="36" t="s">
        <v>138</v>
      </c>
      <c r="CU1315" s="35">
        <v>-0.08</v>
      </c>
      <c r="CV1315" s="36">
        <v>5</v>
      </c>
      <c r="CW1315" s="35" t="s">
        <v>138</v>
      </c>
      <c r="CX1315" s="36" t="s">
        <v>138</v>
      </c>
      <c r="CY1315" s="35" t="s">
        <v>138</v>
      </c>
      <c r="CZ1315" s="36" t="s">
        <v>138</v>
      </c>
      <c r="DA1315" s="35">
        <v>-0.24</v>
      </c>
      <c r="DB1315" s="36">
        <v>2</v>
      </c>
      <c r="DC1315" s="37">
        <v>0.47</v>
      </c>
      <c r="DD1315" s="36">
        <v>32</v>
      </c>
      <c r="DE1315" s="37">
        <v>0</v>
      </c>
      <c r="DF1315" s="35">
        <v>0.3</v>
      </c>
      <c r="DG1315" s="37" t="s">
        <v>138</v>
      </c>
      <c r="DH1315" s="36" t="s">
        <v>138</v>
      </c>
      <c r="DI1315" s="37">
        <v>0.47</v>
      </c>
      <c r="DJ1315" s="36">
        <v>35</v>
      </c>
      <c r="DK1315" s="37" t="s">
        <v>138</v>
      </c>
      <c r="DL1315" s="36" t="s">
        <v>138</v>
      </c>
      <c r="DM1315" s="37" t="s">
        <v>138</v>
      </c>
      <c r="DN1315" s="36" t="s">
        <v>138</v>
      </c>
      <c r="DO1315" s="37">
        <v>0.57999999999999996</v>
      </c>
      <c r="DP1315" s="36">
        <v>40</v>
      </c>
      <c r="DQ1315" s="36" t="s">
        <v>138</v>
      </c>
      <c r="DR1315" s="38" t="s">
        <v>138</v>
      </c>
      <c r="DS1315" s="35" t="s">
        <v>138</v>
      </c>
      <c r="DT1315" s="36" t="s">
        <v>138</v>
      </c>
      <c r="DU1315" s="38" t="s">
        <v>138</v>
      </c>
      <c r="DV1315" s="35" t="s">
        <v>138</v>
      </c>
      <c r="DW1315" s="36">
        <v>209</v>
      </c>
      <c r="DX1315" s="39">
        <v>0</v>
      </c>
      <c r="DY1315" s="35">
        <v>0</v>
      </c>
      <c r="DZ1315" s="28" t="s">
        <v>178</v>
      </c>
      <c r="EA1315" s="34">
        <v>43351</v>
      </c>
      <c r="EB1315" s="29">
        <v>28.66</v>
      </c>
      <c r="EC1315" s="34">
        <v>42040</v>
      </c>
      <c r="ED1315" s="28" t="s">
        <v>205</v>
      </c>
      <c r="EE1315" s="40" t="str">
        <f>HYPERLINK("https://my.pitchbook.com?c=60515-47", "View company online")</f>
        <v>View company online</v>
      </c>
    </row>
    <row r="1316" spans="1:135">
      <c r="A1316" s="15" t="s">
        <v>25425</v>
      </c>
      <c r="B1316" s="15" t="s">
        <v>25426</v>
      </c>
      <c r="C1316" s="15" t="s">
        <v>138</v>
      </c>
      <c r="D1316" s="15" t="s">
        <v>25427</v>
      </c>
      <c r="E1316" s="15" t="s">
        <v>25428</v>
      </c>
      <c r="F1316" s="15" t="s">
        <v>25425</v>
      </c>
      <c r="G1316" s="15" t="s">
        <v>25429</v>
      </c>
      <c r="H1316" s="15" t="s">
        <v>322</v>
      </c>
      <c r="I1316" s="15" t="s">
        <v>1208</v>
      </c>
      <c r="J1316" s="15" t="s">
        <v>1209</v>
      </c>
      <c r="K1316" s="15" t="s">
        <v>11520</v>
      </c>
      <c r="L1316" s="15" t="s">
        <v>10569</v>
      </c>
      <c r="M1316" s="15" t="s">
        <v>25430</v>
      </c>
      <c r="N1316" s="15" t="s">
        <v>147</v>
      </c>
      <c r="O1316" s="17">
        <v>45.5</v>
      </c>
      <c r="P1316" s="15" t="s">
        <v>148</v>
      </c>
      <c r="Q1316" s="15" t="s">
        <v>149</v>
      </c>
      <c r="R1316" s="15" t="s">
        <v>174</v>
      </c>
      <c r="S1316" s="15" t="s">
        <v>25431</v>
      </c>
      <c r="T1316" s="18">
        <v>34</v>
      </c>
      <c r="U1316" s="15" t="s">
        <v>25432</v>
      </c>
      <c r="V1316" s="15" t="s">
        <v>138</v>
      </c>
      <c r="W1316" s="15" t="s">
        <v>138</v>
      </c>
      <c r="X1316" s="19">
        <v>2008</v>
      </c>
      <c r="Y1316" s="15" t="s">
        <v>138</v>
      </c>
      <c r="Z1316" s="15" t="s">
        <v>138</v>
      </c>
      <c r="AA1316" s="15" t="s">
        <v>138</v>
      </c>
      <c r="AB1316" s="20">
        <v>100</v>
      </c>
      <c r="AC1316" s="20" t="s">
        <v>138</v>
      </c>
      <c r="AD1316" s="20" t="s">
        <v>138</v>
      </c>
      <c r="AE1316" s="20" t="s">
        <v>138</v>
      </c>
      <c r="AF1316" s="20" t="s">
        <v>138</v>
      </c>
      <c r="AG1316" s="15" t="s">
        <v>707</v>
      </c>
      <c r="AH1316" s="20" t="s">
        <v>138</v>
      </c>
      <c r="AI1316" s="20" t="s">
        <v>138</v>
      </c>
      <c r="AJ1316" s="20" t="s">
        <v>138</v>
      </c>
      <c r="AK1316" s="15" t="s">
        <v>25433</v>
      </c>
      <c r="AL1316" s="15" t="s">
        <v>25434</v>
      </c>
      <c r="AM1316" s="15" t="s">
        <v>566</v>
      </c>
      <c r="AN1316" s="15" t="s">
        <v>25435</v>
      </c>
      <c r="AO1316" s="15" t="s">
        <v>25436</v>
      </c>
      <c r="AP1316" s="15" t="s">
        <v>25399</v>
      </c>
      <c r="AQ1316" s="15" t="s">
        <v>25437</v>
      </c>
      <c r="AR1316" s="15" t="s">
        <v>10715</v>
      </c>
      <c r="AS1316" s="15" t="s">
        <v>25401</v>
      </c>
      <c r="AT1316" s="15" t="s">
        <v>2740</v>
      </c>
      <c r="AU1316" s="15" t="s">
        <v>25438</v>
      </c>
      <c r="AV1316" s="15" t="s">
        <v>2742</v>
      </c>
      <c r="AW1316" s="15" t="s">
        <v>25436</v>
      </c>
      <c r="AX1316" s="15" t="s">
        <v>25439</v>
      </c>
      <c r="AY1316" s="15" t="s">
        <v>25440</v>
      </c>
      <c r="AZ1316" s="15" t="s">
        <v>164</v>
      </c>
      <c r="BA1316" s="15" t="s">
        <v>165</v>
      </c>
      <c r="BB1316" s="15" t="s">
        <v>25441</v>
      </c>
      <c r="BC1316" s="15" t="s">
        <v>25442</v>
      </c>
      <c r="BD1316" s="21">
        <v>11</v>
      </c>
      <c r="BE1316" s="15" t="s">
        <v>138</v>
      </c>
      <c r="BF1316" s="15" t="s">
        <v>138</v>
      </c>
      <c r="BG1316" s="15" t="s">
        <v>138</v>
      </c>
      <c r="BH1316" s="15" t="s">
        <v>25443</v>
      </c>
      <c r="BI1316" s="15" t="s">
        <v>138</v>
      </c>
      <c r="BJ1316" s="15" t="s">
        <v>138</v>
      </c>
      <c r="BK1316" s="15" t="s">
        <v>18294</v>
      </c>
      <c r="BL1316" s="15" t="s">
        <v>25444</v>
      </c>
      <c r="BM1316" s="22">
        <v>40856</v>
      </c>
      <c r="BN1316" s="17" t="s">
        <v>138</v>
      </c>
      <c r="BO1316" s="15" t="s">
        <v>138</v>
      </c>
      <c r="BP1316" s="17" t="s">
        <v>138</v>
      </c>
      <c r="BQ1316" s="15" t="s">
        <v>138</v>
      </c>
      <c r="BR1316" s="15" t="s">
        <v>205</v>
      </c>
      <c r="BS1316" s="15" t="s">
        <v>206</v>
      </c>
      <c r="BT1316" s="15" t="s">
        <v>138</v>
      </c>
      <c r="BU1316" s="15" t="s">
        <v>174</v>
      </c>
      <c r="BV1316" s="15" t="s">
        <v>138</v>
      </c>
      <c r="BW1316" s="15" t="s">
        <v>138</v>
      </c>
      <c r="BX1316" s="15" t="s">
        <v>138</v>
      </c>
      <c r="BY1316" s="15" t="s">
        <v>175</v>
      </c>
      <c r="BZ1316" s="22">
        <v>42913</v>
      </c>
      <c r="CA1316" s="17">
        <v>21.5</v>
      </c>
      <c r="CB1316" s="15" t="s">
        <v>172</v>
      </c>
      <c r="CC1316" s="17" t="s">
        <v>138</v>
      </c>
      <c r="CD1316" s="15" t="s">
        <v>138</v>
      </c>
      <c r="CE1316" s="15" t="s">
        <v>173</v>
      </c>
      <c r="CF1316" s="15" t="s">
        <v>433</v>
      </c>
      <c r="CG1316" s="15" t="s">
        <v>138</v>
      </c>
      <c r="CH1316" s="15" t="s">
        <v>174</v>
      </c>
      <c r="CI1316" s="15" t="s">
        <v>138</v>
      </c>
      <c r="CJ1316" s="15" t="s">
        <v>138</v>
      </c>
      <c r="CK1316" s="15" t="s">
        <v>138</v>
      </c>
      <c r="CL1316" s="15" t="s">
        <v>175</v>
      </c>
      <c r="CM1316" s="22" t="s">
        <v>138</v>
      </c>
      <c r="CN1316" s="17" t="s">
        <v>138</v>
      </c>
      <c r="CO1316" s="23">
        <v>-1.61</v>
      </c>
      <c r="CP1316" s="24">
        <v>7</v>
      </c>
      <c r="CQ1316" s="23">
        <v>0</v>
      </c>
      <c r="CR1316" s="23">
        <v>-0.27</v>
      </c>
      <c r="CS1316" s="23">
        <v>-3.47</v>
      </c>
      <c r="CT1316" s="24">
        <v>4</v>
      </c>
      <c r="CU1316" s="23">
        <v>0.24</v>
      </c>
      <c r="CV1316" s="24">
        <v>84</v>
      </c>
      <c r="CW1316" s="23">
        <v>-5.18</v>
      </c>
      <c r="CX1316" s="24">
        <v>3</v>
      </c>
      <c r="CY1316" s="23">
        <v>-1.76</v>
      </c>
      <c r="CZ1316" s="24">
        <v>13</v>
      </c>
      <c r="DA1316" s="23">
        <v>7.0000000000000007E-2</v>
      </c>
      <c r="DB1316" s="24">
        <v>67</v>
      </c>
      <c r="DC1316" s="25">
        <v>5.52</v>
      </c>
      <c r="DD1316" s="24">
        <v>84</v>
      </c>
      <c r="DE1316" s="25">
        <v>-0.09</v>
      </c>
      <c r="DF1316" s="23">
        <v>-1.59</v>
      </c>
      <c r="DG1316" s="25">
        <v>8.3699999999999992</v>
      </c>
      <c r="DH1316" s="24">
        <v>88</v>
      </c>
      <c r="DI1316" s="25">
        <v>2.66</v>
      </c>
      <c r="DJ1316" s="24">
        <v>67</v>
      </c>
      <c r="DK1316" s="25">
        <v>3.54</v>
      </c>
      <c r="DL1316" s="24">
        <v>74</v>
      </c>
      <c r="DM1316" s="25">
        <v>13.21</v>
      </c>
      <c r="DN1316" s="24">
        <v>91</v>
      </c>
      <c r="DO1316" s="25">
        <v>5.15</v>
      </c>
      <c r="DP1316" s="24">
        <v>80</v>
      </c>
      <c r="DQ1316" s="24">
        <v>1208</v>
      </c>
      <c r="DR1316" s="26">
        <v>18</v>
      </c>
      <c r="DS1316" s="23">
        <v>1.51</v>
      </c>
      <c r="DT1316" s="24">
        <v>382</v>
      </c>
      <c r="DU1316" s="26">
        <v>0</v>
      </c>
      <c r="DV1316" s="23">
        <v>0</v>
      </c>
      <c r="DW1316" s="24">
        <v>1845</v>
      </c>
      <c r="DX1316" s="27">
        <v>0</v>
      </c>
      <c r="DY1316" s="23">
        <v>0</v>
      </c>
      <c r="DZ1316" s="15" t="s">
        <v>178</v>
      </c>
      <c r="EA1316" s="22">
        <v>43567</v>
      </c>
      <c r="EB1316" s="17" t="s">
        <v>138</v>
      </c>
      <c r="EC1316" s="22" t="s">
        <v>138</v>
      </c>
      <c r="ED1316" s="15" t="s">
        <v>138</v>
      </c>
      <c r="EE1316" s="14" t="str">
        <f>HYPERLINK("https://my.pitchbook.com?c=53352-37", "View company online")</f>
        <v>View company online</v>
      </c>
    </row>
    <row r="1317" spans="1:135">
      <c r="A1317" s="28" t="s">
        <v>25445</v>
      </c>
      <c r="B1317" s="28" t="s">
        <v>25446</v>
      </c>
      <c r="C1317" s="28" t="s">
        <v>138</v>
      </c>
      <c r="D1317" s="28" t="s">
        <v>138</v>
      </c>
      <c r="E1317" s="28" t="s">
        <v>25447</v>
      </c>
      <c r="F1317" s="28" t="s">
        <v>25445</v>
      </c>
      <c r="G1317" s="28" t="s">
        <v>25448</v>
      </c>
      <c r="H1317" s="28" t="s">
        <v>141</v>
      </c>
      <c r="I1317" s="28" t="s">
        <v>142</v>
      </c>
      <c r="J1317" s="28" t="s">
        <v>4910</v>
      </c>
      <c r="K1317" s="28" t="s">
        <v>25449</v>
      </c>
      <c r="L1317" s="28" t="s">
        <v>1377</v>
      </c>
      <c r="M1317" s="28" t="s">
        <v>25450</v>
      </c>
      <c r="N1317" s="28" t="s">
        <v>147</v>
      </c>
      <c r="O1317" s="29" t="s">
        <v>138</v>
      </c>
      <c r="P1317" s="28" t="s">
        <v>148</v>
      </c>
      <c r="Q1317" s="28" t="s">
        <v>149</v>
      </c>
      <c r="R1317" s="28" t="s">
        <v>174</v>
      </c>
      <c r="S1317" s="28" t="s">
        <v>25451</v>
      </c>
      <c r="T1317" s="30">
        <v>11</v>
      </c>
      <c r="U1317" s="28" t="s">
        <v>25452</v>
      </c>
      <c r="V1317" s="28" t="s">
        <v>138</v>
      </c>
      <c r="W1317" s="28" t="s">
        <v>138</v>
      </c>
      <c r="X1317" s="31">
        <v>2008</v>
      </c>
      <c r="Y1317" s="28" t="s">
        <v>138</v>
      </c>
      <c r="Z1317" s="28" t="s">
        <v>138</v>
      </c>
      <c r="AA1317" s="28" t="s">
        <v>138</v>
      </c>
      <c r="AB1317" s="32" t="s">
        <v>138</v>
      </c>
      <c r="AC1317" s="32" t="s">
        <v>138</v>
      </c>
      <c r="AD1317" s="32" t="s">
        <v>138</v>
      </c>
      <c r="AE1317" s="32" t="s">
        <v>138</v>
      </c>
      <c r="AF1317" s="32" t="s">
        <v>138</v>
      </c>
      <c r="AG1317" s="28" t="s">
        <v>138</v>
      </c>
      <c r="AH1317" s="32" t="s">
        <v>138</v>
      </c>
      <c r="AI1317" s="32" t="s">
        <v>138</v>
      </c>
      <c r="AJ1317" s="32" t="s">
        <v>138</v>
      </c>
      <c r="AK1317" s="28" t="s">
        <v>25453</v>
      </c>
      <c r="AL1317" s="28" t="s">
        <v>25454</v>
      </c>
      <c r="AM1317" s="28" t="s">
        <v>2949</v>
      </c>
      <c r="AN1317" s="28" t="s">
        <v>25455</v>
      </c>
      <c r="AO1317" s="28" t="s">
        <v>25456</v>
      </c>
      <c r="AP1317" s="28" t="s">
        <v>25457</v>
      </c>
      <c r="AQ1317" s="28" t="s">
        <v>25458</v>
      </c>
      <c r="AR1317" s="28" t="s">
        <v>25459</v>
      </c>
      <c r="AS1317" s="28" t="s">
        <v>25460</v>
      </c>
      <c r="AT1317" s="28" t="s">
        <v>200</v>
      </c>
      <c r="AU1317" s="28" t="s">
        <v>25461</v>
      </c>
      <c r="AV1317" s="28" t="s">
        <v>162</v>
      </c>
      <c r="AW1317" s="28" t="s">
        <v>25462</v>
      </c>
      <c r="AX1317" s="28" t="s">
        <v>25463</v>
      </c>
      <c r="AY1317" s="28" t="s">
        <v>25464</v>
      </c>
      <c r="AZ1317" s="28" t="s">
        <v>164</v>
      </c>
      <c r="BA1317" s="28" t="s">
        <v>165</v>
      </c>
      <c r="BB1317" s="28" t="s">
        <v>25465</v>
      </c>
      <c r="BC1317" s="28" t="s">
        <v>25466</v>
      </c>
      <c r="BD1317" s="33">
        <v>4</v>
      </c>
      <c r="BE1317" s="28" t="s">
        <v>138</v>
      </c>
      <c r="BF1317" s="28" t="s">
        <v>138</v>
      </c>
      <c r="BG1317" s="28" t="s">
        <v>138</v>
      </c>
      <c r="BH1317" s="28" t="s">
        <v>25467</v>
      </c>
      <c r="BI1317" s="28" t="s">
        <v>138</v>
      </c>
      <c r="BJ1317" s="28" t="s">
        <v>138</v>
      </c>
      <c r="BK1317" s="28" t="s">
        <v>25468</v>
      </c>
      <c r="BL1317" s="28" t="s">
        <v>138</v>
      </c>
      <c r="BM1317" s="34" t="s">
        <v>138</v>
      </c>
      <c r="BN1317" s="29" t="s">
        <v>138</v>
      </c>
      <c r="BO1317" s="28" t="s">
        <v>138</v>
      </c>
      <c r="BP1317" s="29" t="s">
        <v>138</v>
      </c>
      <c r="BQ1317" s="28" t="s">
        <v>138</v>
      </c>
      <c r="BR1317" s="28" t="s">
        <v>316</v>
      </c>
      <c r="BS1317" s="28" t="s">
        <v>138</v>
      </c>
      <c r="BT1317" s="28" t="s">
        <v>138</v>
      </c>
      <c r="BU1317" s="28" t="s">
        <v>177</v>
      </c>
      <c r="BV1317" s="28" t="s">
        <v>138</v>
      </c>
      <c r="BW1317" s="28" t="s">
        <v>138</v>
      </c>
      <c r="BX1317" s="28" t="s">
        <v>138</v>
      </c>
      <c r="BY1317" s="28" t="s">
        <v>175</v>
      </c>
      <c r="BZ1317" s="34">
        <v>43040</v>
      </c>
      <c r="CA1317" s="29" t="s">
        <v>138</v>
      </c>
      <c r="CB1317" s="28" t="s">
        <v>138</v>
      </c>
      <c r="CC1317" s="29" t="s">
        <v>138</v>
      </c>
      <c r="CD1317" s="28" t="s">
        <v>138</v>
      </c>
      <c r="CE1317" s="28" t="s">
        <v>234</v>
      </c>
      <c r="CF1317" s="28" t="s">
        <v>234</v>
      </c>
      <c r="CG1317" s="28" t="s">
        <v>138</v>
      </c>
      <c r="CH1317" s="28" t="s">
        <v>174</v>
      </c>
      <c r="CI1317" s="28" t="s">
        <v>138</v>
      </c>
      <c r="CJ1317" s="28" t="s">
        <v>138</v>
      </c>
      <c r="CK1317" s="28" t="s">
        <v>138</v>
      </c>
      <c r="CL1317" s="28" t="s">
        <v>175</v>
      </c>
      <c r="CM1317" s="34" t="s">
        <v>138</v>
      </c>
      <c r="CN1317" s="29" t="s">
        <v>138</v>
      </c>
      <c r="CO1317" s="35">
        <v>0</v>
      </c>
      <c r="CP1317" s="36">
        <v>26</v>
      </c>
      <c r="CQ1317" s="35">
        <v>0</v>
      </c>
      <c r="CR1317" s="35">
        <v>0</v>
      </c>
      <c r="CS1317" s="35">
        <v>0</v>
      </c>
      <c r="CT1317" s="36">
        <v>23</v>
      </c>
      <c r="CU1317" s="35">
        <v>0</v>
      </c>
      <c r="CV1317" s="36">
        <v>22</v>
      </c>
      <c r="CW1317" s="35" t="s">
        <v>138</v>
      </c>
      <c r="CX1317" s="36" t="s">
        <v>138</v>
      </c>
      <c r="CY1317" s="35">
        <v>0</v>
      </c>
      <c r="CZ1317" s="36">
        <v>25</v>
      </c>
      <c r="DA1317" s="35">
        <v>0</v>
      </c>
      <c r="DB1317" s="36">
        <v>22</v>
      </c>
      <c r="DC1317" s="37">
        <v>0.17</v>
      </c>
      <c r="DD1317" s="36">
        <v>13</v>
      </c>
      <c r="DE1317" s="37">
        <v>0</v>
      </c>
      <c r="DF1317" s="35">
        <v>0.47</v>
      </c>
      <c r="DG1317" s="37">
        <v>0.28000000000000003</v>
      </c>
      <c r="DH1317" s="36">
        <v>21</v>
      </c>
      <c r="DI1317" s="37">
        <v>0.06</v>
      </c>
      <c r="DJ1317" s="36">
        <v>10</v>
      </c>
      <c r="DK1317" s="37" t="s">
        <v>138</v>
      </c>
      <c r="DL1317" s="36" t="s">
        <v>138</v>
      </c>
      <c r="DM1317" s="37">
        <v>0.28000000000000003</v>
      </c>
      <c r="DN1317" s="36">
        <v>21</v>
      </c>
      <c r="DO1317" s="37">
        <v>7.0000000000000007E-2</v>
      </c>
      <c r="DP1317" s="36">
        <v>13</v>
      </c>
      <c r="DQ1317" s="36">
        <v>65</v>
      </c>
      <c r="DR1317" s="38">
        <v>3</v>
      </c>
      <c r="DS1317" s="35">
        <v>4.84</v>
      </c>
      <c r="DT1317" s="36">
        <v>8</v>
      </c>
      <c r="DU1317" s="38">
        <v>0</v>
      </c>
      <c r="DV1317" s="35">
        <v>0</v>
      </c>
      <c r="DW1317" s="36">
        <v>25</v>
      </c>
      <c r="DX1317" s="39">
        <v>0</v>
      </c>
      <c r="DY1317" s="35">
        <v>0</v>
      </c>
      <c r="DZ1317" s="28" t="s">
        <v>178</v>
      </c>
      <c r="EA1317" s="34">
        <v>43622</v>
      </c>
      <c r="EB1317" s="29" t="s">
        <v>138</v>
      </c>
      <c r="EC1317" s="34" t="s">
        <v>138</v>
      </c>
      <c r="ED1317" s="28" t="s">
        <v>138</v>
      </c>
      <c r="EE1317" s="40" t="str">
        <f>HYPERLINK("https://my.pitchbook.com?c=221938-84", "View company online")</f>
        <v>View company online</v>
      </c>
    </row>
    <row r="1318" spans="1:135">
      <c r="A1318" s="15" t="s">
        <v>25469</v>
      </c>
      <c r="B1318" s="15" t="s">
        <v>25470</v>
      </c>
      <c r="C1318" s="15" t="s">
        <v>138</v>
      </c>
      <c r="D1318" s="15" t="s">
        <v>138</v>
      </c>
      <c r="E1318" s="15" t="s">
        <v>138</v>
      </c>
      <c r="F1318" s="15" t="s">
        <v>25469</v>
      </c>
      <c r="G1318" s="15" t="s">
        <v>25471</v>
      </c>
      <c r="H1318" s="15" t="s">
        <v>322</v>
      </c>
      <c r="I1318" s="15" t="s">
        <v>323</v>
      </c>
      <c r="J1318" s="15" t="s">
        <v>437</v>
      </c>
      <c r="K1318" s="15" t="s">
        <v>2406</v>
      </c>
      <c r="L1318" s="15" t="s">
        <v>25472</v>
      </c>
      <c r="M1318" s="15" t="s">
        <v>25473</v>
      </c>
      <c r="N1318" s="15" t="s">
        <v>147</v>
      </c>
      <c r="O1318" s="17">
        <v>0.84</v>
      </c>
      <c r="P1318" s="15" t="s">
        <v>148</v>
      </c>
      <c r="Q1318" s="15" t="s">
        <v>149</v>
      </c>
      <c r="R1318" s="15" t="s">
        <v>174</v>
      </c>
      <c r="S1318" s="15" t="s">
        <v>25474</v>
      </c>
      <c r="T1318" s="18">
        <v>3</v>
      </c>
      <c r="U1318" s="15" t="s">
        <v>5398</v>
      </c>
      <c r="V1318" s="15" t="s">
        <v>138</v>
      </c>
      <c r="W1318" s="15" t="s">
        <v>138</v>
      </c>
      <c r="X1318" s="19">
        <v>2015</v>
      </c>
      <c r="Y1318" s="15" t="s">
        <v>138</v>
      </c>
      <c r="Z1318" s="15" t="s">
        <v>138</v>
      </c>
      <c r="AA1318" s="15" t="s">
        <v>138</v>
      </c>
      <c r="AB1318" s="20" t="s">
        <v>138</v>
      </c>
      <c r="AC1318" s="20" t="s">
        <v>138</v>
      </c>
      <c r="AD1318" s="20" t="s">
        <v>138</v>
      </c>
      <c r="AE1318" s="20" t="s">
        <v>138</v>
      </c>
      <c r="AF1318" s="20" t="s">
        <v>138</v>
      </c>
      <c r="AG1318" s="15" t="s">
        <v>138</v>
      </c>
      <c r="AH1318" s="20" t="s">
        <v>138</v>
      </c>
      <c r="AI1318" s="20" t="s">
        <v>138</v>
      </c>
      <c r="AJ1318" s="20" t="s">
        <v>138</v>
      </c>
      <c r="AK1318" s="15" t="s">
        <v>25475</v>
      </c>
      <c r="AL1318" s="15" t="s">
        <v>25476</v>
      </c>
      <c r="AM1318" s="15" t="s">
        <v>2024</v>
      </c>
      <c r="AN1318" s="15" t="s">
        <v>25477</v>
      </c>
      <c r="AO1318" s="15" t="s">
        <v>25478</v>
      </c>
      <c r="AP1318" s="15" t="s">
        <v>1870</v>
      </c>
      <c r="AQ1318" s="15" t="s">
        <v>25479</v>
      </c>
      <c r="AR1318" s="15" t="s">
        <v>6298</v>
      </c>
      <c r="AS1318" s="15" t="s">
        <v>1872</v>
      </c>
      <c r="AT1318" s="15" t="s">
        <v>200</v>
      </c>
      <c r="AU1318" s="15" t="s">
        <v>25480</v>
      </c>
      <c r="AV1318" s="15" t="s">
        <v>162</v>
      </c>
      <c r="AW1318" s="15" t="s">
        <v>25478</v>
      </c>
      <c r="AX1318" s="15" t="s">
        <v>138</v>
      </c>
      <c r="AY1318" s="15" t="s">
        <v>138</v>
      </c>
      <c r="AZ1318" s="15" t="s">
        <v>164</v>
      </c>
      <c r="BA1318" s="15" t="s">
        <v>165</v>
      </c>
      <c r="BB1318" s="15" t="s">
        <v>25481</v>
      </c>
      <c r="BC1318" s="15" t="s">
        <v>25482</v>
      </c>
      <c r="BD1318" s="21">
        <v>1</v>
      </c>
      <c r="BE1318" s="15" t="s">
        <v>138</v>
      </c>
      <c r="BF1318" s="15" t="s">
        <v>138</v>
      </c>
      <c r="BG1318" s="15" t="s">
        <v>138</v>
      </c>
      <c r="BH1318" s="15" t="s">
        <v>25483</v>
      </c>
      <c r="BI1318" s="15" t="s">
        <v>138</v>
      </c>
      <c r="BJ1318" s="15" t="s">
        <v>138</v>
      </c>
      <c r="BK1318" s="15" t="s">
        <v>138</v>
      </c>
      <c r="BL1318" s="15" t="s">
        <v>138</v>
      </c>
      <c r="BM1318" s="22">
        <v>42424</v>
      </c>
      <c r="BN1318" s="17">
        <v>0.21</v>
      </c>
      <c r="BO1318" s="15" t="s">
        <v>172</v>
      </c>
      <c r="BP1318" s="17">
        <v>3.4</v>
      </c>
      <c r="BQ1318" s="15" t="s">
        <v>172</v>
      </c>
      <c r="BR1318" s="15" t="s">
        <v>234</v>
      </c>
      <c r="BS1318" s="15" t="s">
        <v>234</v>
      </c>
      <c r="BT1318" s="15" t="s">
        <v>138</v>
      </c>
      <c r="BU1318" s="15" t="s">
        <v>174</v>
      </c>
      <c r="BV1318" s="15" t="s">
        <v>138</v>
      </c>
      <c r="BW1318" s="15" t="s">
        <v>138</v>
      </c>
      <c r="BX1318" s="15" t="s">
        <v>138</v>
      </c>
      <c r="BY1318" s="15" t="s">
        <v>175</v>
      </c>
      <c r="BZ1318" s="22">
        <v>42909</v>
      </c>
      <c r="CA1318" s="17">
        <v>0.63</v>
      </c>
      <c r="CB1318" s="15" t="s">
        <v>172</v>
      </c>
      <c r="CC1318" s="17">
        <v>5.63</v>
      </c>
      <c r="CD1318" s="15" t="s">
        <v>172</v>
      </c>
      <c r="CE1318" s="15" t="s">
        <v>234</v>
      </c>
      <c r="CF1318" s="15" t="s">
        <v>234</v>
      </c>
      <c r="CG1318" s="15" t="s">
        <v>138</v>
      </c>
      <c r="CH1318" s="15" t="s">
        <v>174</v>
      </c>
      <c r="CI1318" s="15" t="s">
        <v>138</v>
      </c>
      <c r="CJ1318" s="15" t="s">
        <v>138</v>
      </c>
      <c r="CK1318" s="15" t="s">
        <v>138</v>
      </c>
      <c r="CL1318" s="15" t="s">
        <v>175</v>
      </c>
      <c r="CM1318" s="22" t="s">
        <v>138</v>
      </c>
      <c r="CN1318" s="17" t="s">
        <v>138</v>
      </c>
      <c r="CO1318" s="23">
        <v>0.14000000000000001</v>
      </c>
      <c r="CP1318" s="24">
        <v>91</v>
      </c>
      <c r="CQ1318" s="23">
        <v>7.0000000000000007E-2</v>
      </c>
      <c r="CR1318" s="23">
        <v>99.45</v>
      </c>
      <c r="CS1318" s="23" t="s">
        <v>138</v>
      </c>
      <c r="CT1318" s="24" t="s">
        <v>138</v>
      </c>
      <c r="CU1318" s="23">
        <v>0.14000000000000001</v>
      </c>
      <c r="CV1318" s="24">
        <v>74</v>
      </c>
      <c r="CW1318" s="23" t="s">
        <v>138</v>
      </c>
      <c r="CX1318" s="24" t="s">
        <v>138</v>
      </c>
      <c r="CY1318" s="23" t="s">
        <v>138</v>
      </c>
      <c r="CZ1318" s="24" t="s">
        <v>138</v>
      </c>
      <c r="DA1318" s="23">
        <v>0.14000000000000001</v>
      </c>
      <c r="DB1318" s="24">
        <v>77</v>
      </c>
      <c r="DC1318" s="25">
        <v>0.52</v>
      </c>
      <c r="DD1318" s="24">
        <v>34</v>
      </c>
      <c r="DE1318" s="25">
        <v>0.01</v>
      </c>
      <c r="DF1318" s="23">
        <v>1.65</v>
      </c>
      <c r="DG1318" s="25" t="s">
        <v>138</v>
      </c>
      <c r="DH1318" s="24" t="s">
        <v>138</v>
      </c>
      <c r="DI1318" s="25">
        <v>0.52</v>
      </c>
      <c r="DJ1318" s="24">
        <v>37</v>
      </c>
      <c r="DK1318" s="25" t="s">
        <v>138</v>
      </c>
      <c r="DL1318" s="24" t="s">
        <v>138</v>
      </c>
      <c r="DM1318" s="25" t="s">
        <v>138</v>
      </c>
      <c r="DN1318" s="24" t="s">
        <v>138</v>
      </c>
      <c r="DO1318" s="25">
        <v>0.52</v>
      </c>
      <c r="DP1318" s="24">
        <v>39</v>
      </c>
      <c r="DQ1318" s="24" t="s">
        <v>138</v>
      </c>
      <c r="DR1318" s="26" t="s">
        <v>138</v>
      </c>
      <c r="DS1318" s="23" t="s">
        <v>138</v>
      </c>
      <c r="DT1318" s="24" t="s">
        <v>138</v>
      </c>
      <c r="DU1318" s="26" t="s">
        <v>138</v>
      </c>
      <c r="DV1318" s="23" t="s">
        <v>138</v>
      </c>
      <c r="DW1318" s="24">
        <v>184</v>
      </c>
      <c r="DX1318" s="27">
        <v>1</v>
      </c>
      <c r="DY1318" s="23">
        <v>0.55000000000000004</v>
      </c>
      <c r="DZ1318" s="15" t="s">
        <v>178</v>
      </c>
      <c r="EA1318" s="22">
        <v>43351</v>
      </c>
      <c r="EB1318" s="17">
        <v>5.63</v>
      </c>
      <c r="EC1318" s="22">
        <v>42909</v>
      </c>
      <c r="ED1318" s="15" t="s">
        <v>234</v>
      </c>
      <c r="EE1318" s="14" t="str">
        <f>HYPERLINK("https://my.pitchbook.com?c=154807-39", "View company online")</f>
        <v>View company online</v>
      </c>
    </row>
    <row r="1319" spans="1:135">
      <c r="A1319" s="28" t="s">
        <v>25484</v>
      </c>
      <c r="B1319" s="28" t="s">
        <v>25485</v>
      </c>
      <c r="C1319" s="28" t="s">
        <v>25486</v>
      </c>
      <c r="D1319" s="28" t="s">
        <v>25487</v>
      </c>
      <c r="E1319" s="28" t="s">
        <v>25488</v>
      </c>
      <c r="F1319" s="28" t="s">
        <v>25484</v>
      </c>
      <c r="G1319" s="28" t="s">
        <v>25489</v>
      </c>
      <c r="H1319" s="28" t="s">
        <v>322</v>
      </c>
      <c r="I1319" s="28" t="s">
        <v>323</v>
      </c>
      <c r="J1319" s="28" t="s">
        <v>324</v>
      </c>
      <c r="K1319" s="28" t="s">
        <v>325</v>
      </c>
      <c r="L1319" s="28" t="s">
        <v>215</v>
      </c>
      <c r="M1319" s="28" t="s">
        <v>25490</v>
      </c>
      <c r="N1319" s="28" t="s">
        <v>147</v>
      </c>
      <c r="O1319" s="29">
        <v>184.72</v>
      </c>
      <c r="P1319" s="28" t="s">
        <v>148</v>
      </c>
      <c r="Q1319" s="28" t="s">
        <v>149</v>
      </c>
      <c r="R1319" s="28" t="s">
        <v>174</v>
      </c>
      <c r="S1319" s="28" t="s">
        <v>25491</v>
      </c>
      <c r="T1319" s="30">
        <v>600</v>
      </c>
      <c r="U1319" s="28" t="s">
        <v>25492</v>
      </c>
      <c r="V1319" s="28" t="s">
        <v>138</v>
      </c>
      <c r="W1319" s="28" t="s">
        <v>138</v>
      </c>
      <c r="X1319" s="31">
        <v>2009</v>
      </c>
      <c r="Y1319" s="28" t="s">
        <v>138</v>
      </c>
      <c r="Z1319" s="28" t="s">
        <v>138</v>
      </c>
      <c r="AA1319" s="28" t="s">
        <v>138</v>
      </c>
      <c r="AB1319" s="32">
        <v>23.06</v>
      </c>
      <c r="AC1319" s="32" t="s">
        <v>138</v>
      </c>
      <c r="AD1319" s="32" t="s">
        <v>138</v>
      </c>
      <c r="AE1319" s="32" t="s">
        <v>138</v>
      </c>
      <c r="AF1319" s="32" t="s">
        <v>138</v>
      </c>
      <c r="AG1319" s="28" t="s">
        <v>707</v>
      </c>
      <c r="AH1319" s="32" t="s">
        <v>138</v>
      </c>
      <c r="AI1319" s="32" t="s">
        <v>138</v>
      </c>
      <c r="AJ1319" s="32" t="s">
        <v>138</v>
      </c>
      <c r="AK1319" s="28" t="s">
        <v>25493</v>
      </c>
      <c r="AL1319" s="28" t="s">
        <v>25494</v>
      </c>
      <c r="AM1319" s="28" t="s">
        <v>566</v>
      </c>
      <c r="AN1319" s="28" t="s">
        <v>25495</v>
      </c>
      <c r="AO1319" s="28" t="s">
        <v>25496</v>
      </c>
      <c r="AP1319" s="28" t="s">
        <v>307</v>
      </c>
      <c r="AQ1319" s="28" t="s">
        <v>25497</v>
      </c>
      <c r="AR1319" s="28" t="s">
        <v>8976</v>
      </c>
      <c r="AS1319" s="28" t="s">
        <v>310</v>
      </c>
      <c r="AT1319" s="28" t="s">
        <v>200</v>
      </c>
      <c r="AU1319" s="28" t="s">
        <v>311</v>
      </c>
      <c r="AV1319" s="28" t="s">
        <v>162</v>
      </c>
      <c r="AW1319" s="28" t="s">
        <v>25496</v>
      </c>
      <c r="AX1319" s="28" t="s">
        <v>138</v>
      </c>
      <c r="AY1319" s="28" t="s">
        <v>25498</v>
      </c>
      <c r="AZ1319" s="28" t="s">
        <v>164</v>
      </c>
      <c r="BA1319" s="28" t="s">
        <v>165</v>
      </c>
      <c r="BB1319" s="28" t="s">
        <v>25499</v>
      </c>
      <c r="BC1319" s="28" t="s">
        <v>25500</v>
      </c>
      <c r="BD1319" s="33">
        <v>15</v>
      </c>
      <c r="BE1319" s="28" t="s">
        <v>138</v>
      </c>
      <c r="BF1319" s="28" t="s">
        <v>25501</v>
      </c>
      <c r="BG1319" s="28" t="s">
        <v>138</v>
      </c>
      <c r="BH1319" s="28" t="s">
        <v>25502</v>
      </c>
      <c r="BI1319" s="28" t="s">
        <v>25503</v>
      </c>
      <c r="BJ1319" s="28" t="s">
        <v>138</v>
      </c>
      <c r="BK1319" s="28" t="s">
        <v>25504</v>
      </c>
      <c r="BL1319" s="28" t="s">
        <v>25505</v>
      </c>
      <c r="BM1319" s="34">
        <v>40878</v>
      </c>
      <c r="BN1319" s="29">
        <v>0.05</v>
      </c>
      <c r="BO1319" s="28" t="s">
        <v>172</v>
      </c>
      <c r="BP1319" s="29" t="s">
        <v>138</v>
      </c>
      <c r="BQ1319" s="28" t="s">
        <v>138</v>
      </c>
      <c r="BR1319" s="28" t="s">
        <v>234</v>
      </c>
      <c r="BS1319" s="28" t="s">
        <v>234</v>
      </c>
      <c r="BT1319" s="28" t="s">
        <v>138</v>
      </c>
      <c r="BU1319" s="28" t="s">
        <v>174</v>
      </c>
      <c r="BV1319" s="28" t="s">
        <v>138</v>
      </c>
      <c r="BW1319" s="28" t="s">
        <v>138</v>
      </c>
      <c r="BX1319" s="28" t="s">
        <v>138</v>
      </c>
      <c r="BY1319" s="28" t="s">
        <v>175</v>
      </c>
      <c r="BZ1319" s="34">
        <v>43308</v>
      </c>
      <c r="CA1319" s="29">
        <v>25</v>
      </c>
      <c r="CB1319" s="28" t="s">
        <v>172</v>
      </c>
      <c r="CC1319" s="29" t="s">
        <v>138</v>
      </c>
      <c r="CD1319" s="28" t="s">
        <v>138</v>
      </c>
      <c r="CE1319" s="28" t="s">
        <v>173</v>
      </c>
      <c r="CF1319" s="28" t="s">
        <v>138</v>
      </c>
      <c r="CG1319" s="28" t="s">
        <v>138</v>
      </c>
      <c r="CH1319" s="28" t="s">
        <v>174</v>
      </c>
      <c r="CI1319" s="28" t="s">
        <v>138</v>
      </c>
      <c r="CJ1319" s="28" t="s">
        <v>138</v>
      </c>
      <c r="CK1319" s="28" t="s">
        <v>138</v>
      </c>
      <c r="CL1319" s="28" t="s">
        <v>175</v>
      </c>
      <c r="CM1319" s="34" t="s">
        <v>138</v>
      </c>
      <c r="CN1319" s="29" t="s">
        <v>138</v>
      </c>
      <c r="CO1319" s="35">
        <v>0.88</v>
      </c>
      <c r="CP1319" s="36">
        <v>97</v>
      </c>
      <c r="CQ1319" s="35">
        <v>-0.08</v>
      </c>
      <c r="CR1319" s="35">
        <v>-8.23</v>
      </c>
      <c r="CS1319" s="35">
        <v>1.64</v>
      </c>
      <c r="CT1319" s="36">
        <v>98</v>
      </c>
      <c r="CU1319" s="35">
        <v>0.12</v>
      </c>
      <c r="CV1319" s="36">
        <v>71</v>
      </c>
      <c r="CW1319" s="35">
        <v>3.46</v>
      </c>
      <c r="CX1319" s="36">
        <v>92</v>
      </c>
      <c r="CY1319" s="35">
        <v>-0.19</v>
      </c>
      <c r="CZ1319" s="36">
        <v>24</v>
      </c>
      <c r="DA1319" s="35">
        <v>0.16</v>
      </c>
      <c r="DB1319" s="36">
        <v>79</v>
      </c>
      <c r="DC1319" s="37">
        <v>38.409999999999997</v>
      </c>
      <c r="DD1319" s="36">
        <v>97</v>
      </c>
      <c r="DE1319" s="37">
        <v>-2.0099999999999998</v>
      </c>
      <c r="DF1319" s="35">
        <v>-4.9800000000000004</v>
      </c>
      <c r="DG1319" s="37">
        <v>58.37</v>
      </c>
      <c r="DH1319" s="36">
        <v>99</v>
      </c>
      <c r="DI1319" s="37">
        <v>18.45</v>
      </c>
      <c r="DJ1319" s="36">
        <v>90</v>
      </c>
      <c r="DK1319" s="37">
        <v>59.75</v>
      </c>
      <c r="DL1319" s="36">
        <v>96</v>
      </c>
      <c r="DM1319" s="37">
        <v>57</v>
      </c>
      <c r="DN1319" s="36">
        <v>98</v>
      </c>
      <c r="DO1319" s="37">
        <v>33.729999999999997</v>
      </c>
      <c r="DP1319" s="36">
        <v>95</v>
      </c>
      <c r="DQ1319" s="36">
        <v>20090</v>
      </c>
      <c r="DR1319" s="38">
        <v>1211</v>
      </c>
      <c r="DS1319" s="35">
        <v>6.41</v>
      </c>
      <c r="DT1319" s="36">
        <v>1660</v>
      </c>
      <c r="DU1319" s="38">
        <v>-7</v>
      </c>
      <c r="DV1319" s="35">
        <v>-0.42</v>
      </c>
      <c r="DW1319" s="36">
        <v>12065</v>
      </c>
      <c r="DX1319" s="39">
        <v>19</v>
      </c>
      <c r="DY1319" s="35">
        <v>0.16</v>
      </c>
      <c r="DZ1319" s="28" t="s">
        <v>178</v>
      </c>
      <c r="EA1319" s="34">
        <v>43622</v>
      </c>
      <c r="EB1319" s="29">
        <v>515</v>
      </c>
      <c r="EC1319" s="34">
        <v>42853</v>
      </c>
      <c r="ED1319" s="28" t="s">
        <v>173</v>
      </c>
      <c r="EE1319" s="40" t="str">
        <f>HYPERLINK("https://my.pitchbook.com?c=54603-82", "View company online")</f>
        <v>View company online</v>
      </c>
    </row>
    <row r="1320" spans="1:135">
      <c r="A1320" s="15" t="s">
        <v>25506</v>
      </c>
      <c r="B1320" s="15" t="s">
        <v>25507</v>
      </c>
      <c r="C1320" s="15" t="s">
        <v>138</v>
      </c>
      <c r="D1320" s="15" t="s">
        <v>25508</v>
      </c>
      <c r="E1320" s="15" t="s">
        <v>25509</v>
      </c>
      <c r="F1320" s="15" t="s">
        <v>25506</v>
      </c>
      <c r="G1320" s="15" t="s">
        <v>25510</v>
      </c>
      <c r="H1320" s="15" t="s">
        <v>322</v>
      </c>
      <c r="I1320" s="15" t="s">
        <v>323</v>
      </c>
      <c r="J1320" s="15" t="s">
        <v>1132</v>
      </c>
      <c r="K1320" s="15" t="s">
        <v>25511</v>
      </c>
      <c r="L1320" s="15" t="s">
        <v>5178</v>
      </c>
      <c r="M1320" s="15" t="s">
        <v>25512</v>
      </c>
      <c r="N1320" s="15" t="s">
        <v>147</v>
      </c>
      <c r="O1320" s="17">
        <v>6.07</v>
      </c>
      <c r="P1320" s="15" t="s">
        <v>148</v>
      </c>
      <c r="Q1320" s="15" t="s">
        <v>149</v>
      </c>
      <c r="R1320" s="15" t="s">
        <v>174</v>
      </c>
      <c r="S1320" s="15" t="s">
        <v>25513</v>
      </c>
      <c r="T1320" s="18">
        <v>40</v>
      </c>
      <c r="U1320" s="15" t="s">
        <v>3684</v>
      </c>
      <c r="V1320" s="15" t="s">
        <v>138</v>
      </c>
      <c r="W1320" s="15" t="s">
        <v>138</v>
      </c>
      <c r="X1320" s="19">
        <v>2016</v>
      </c>
      <c r="Y1320" s="15" t="s">
        <v>138</v>
      </c>
      <c r="Z1320" s="15" t="s">
        <v>138</v>
      </c>
      <c r="AA1320" s="15" t="s">
        <v>25514</v>
      </c>
      <c r="AB1320" s="20">
        <v>7.0000000000000007E-2</v>
      </c>
      <c r="AC1320" s="20" t="s">
        <v>138</v>
      </c>
      <c r="AD1320" s="20">
        <v>-1.98</v>
      </c>
      <c r="AE1320" s="20" t="s">
        <v>138</v>
      </c>
      <c r="AF1320" s="20" t="s">
        <v>138</v>
      </c>
      <c r="AG1320" s="15" t="s">
        <v>419</v>
      </c>
      <c r="AH1320" s="20" t="s">
        <v>138</v>
      </c>
      <c r="AI1320" s="20" t="s">
        <v>138</v>
      </c>
      <c r="AJ1320" s="20" t="s">
        <v>138</v>
      </c>
      <c r="AK1320" s="15" t="s">
        <v>25515</v>
      </c>
      <c r="AL1320" s="15" t="s">
        <v>25516</v>
      </c>
      <c r="AM1320" s="15" t="s">
        <v>818</v>
      </c>
      <c r="AN1320" s="15" t="s">
        <v>25517</v>
      </c>
      <c r="AO1320" s="15" t="s">
        <v>138</v>
      </c>
      <c r="AP1320" s="15" t="s">
        <v>2327</v>
      </c>
      <c r="AQ1320" s="15" t="s">
        <v>25518</v>
      </c>
      <c r="AR1320" s="15" t="s">
        <v>25519</v>
      </c>
      <c r="AS1320" s="15" t="s">
        <v>2330</v>
      </c>
      <c r="AT1320" s="15" t="s">
        <v>2331</v>
      </c>
      <c r="AU1320" s="15" t="s">
        <v>25520</v>
      </c>
      <c r="AV1320" s="15" t="s">
        <v>2333</v>
      </c>
      <c r="AW1320" s="15" t="s">
        <v>138</v>
      </c>
      <c r="AX1320" s="15" t="s">
        <v>138</v>
      </c>
      <c r="AY1320" s="15" t="s">
        <v>138</v>
      </c>
      <c r="AZ1320" s="15" t="s">
        <v>452</v>
      </c>
      <c r="BA1320" s="15" t="s">
        <v>2335</v>
      </c>
      <c r="BB1320" s="15" t="s">
        <v>25521</v>
      </c>
      <c r="BC1320" s="15" t="s">
        <v>25522</v>
      </c>
      <c r="BD1320" s="21">
        <v>12</v>
      </c>
      <c r="BE1320" s="15" t="s">
        <v>138</v>
      </c>
      <c r="BF1320" s="15" t="s">
        <v>138</v>
      </c>
      <c r="BG1320" s="15" t="s">
        <v>138</v>
      </c>
      <c r="BH1320" s="15" t="s">
        <v>25523</v>
      </c>
      <c r="BI1320" s="15" t="s">
        <v>138</v>
      </c>
      <c r="BJ1320" s="15" t="s">
        <v>138</v>
      </c>
      <c r="BK1320" s="15" t="s">
        <v>138</v>
      </c>
      <c r="BL1320" s="15" t="s">
        <v>138</v>
      </c>
      <c r="BM1320" s="22">
        <v>42780</v>
      </c>
      <c r="BN1320" s="17">
        <v>0.4</v>
      </c>
      <c r="BO1320" s="15" t="s">
        <v>172</v>
      </c>
      <c r="BP1320" s="17" t="s">
        <v>138</v>
      </c>
      <c r="BQ1320" s="15" t="s">
        <v>138</v>
      </c>
      <c r="BR1320" s="15" t="s">
        <v>234</v>
      </c>
      <c r="BS1320" s="15" t="s">
        <v>234</v>
      </c>
      <c r="BT1320" s="15" t="s">
        <v>138</v>
      </c>
      <c r="BU1320" s="15" t="s">
        <v>174</v>
      </c>
      <c r="BV1320" s="15" t="s">
        <v>138</v>
      </c>
      <c r="BW1320" s="15" t="s">
        <v>138</v>
      </c>
      <c r="BX1320" s="15" t="s">
        <v>138</v>
      </c>
      <c r="BY1320" s="15" t="s">
        <v>175</v>
      </c>
      <c r="BZ1320" s="22">
        <v>43507</v>
      </c>
      <c r="CA1320" s="17">
        <v>4.17</v>
      </c>
      <c r="CB1320" s="15" t="s">
        <v>172</v>
      </c>
      <c r="CC1320" s="17" t="s">
        <v>138</v>
      </c>
      <c r="CD1320" s="15" t="s">
        <v>138</v>
      </c>
      <c r="CE1320" s="15" t="s">
        <v>205</v>
      </c>
      <c r="CF1320" s="15" t="s">
        <v>206</v>
      </c>
      <c r="CG1320" s="15" t="s">
        <v>138</v>
      </c>
      <c r="CH1320" s="15" t="s">
        <v>174</v>
      </c>
      <c r="CI1320" s="15" t="s">
        <v>138</v>
      </c>
      <c r="CJ1320" s="15" t="s">
        <v>138</v>
      </c>
      <c r="CK1320" s="15" t="s">
        <v>138</v>
      </c>
      <c r="CL1320" s="15" t="s">
        <v>175</v>
      </c>
      <c r="CM1320" s="22" t="s">
        <v>138</v>
      </c>
      <c r="CN1320" s="17" t="s">
        <v>138</v>
      </c>
      <c r="CO1320" s="23">
        <v>3.04</v>
      </c>
      <c r="CP1320" s="24">
        <v>100</v>
      </c>
      <c r="CQ1320" s="23">
        <v>2.11</v>
      </c>
      <c r="CR1320" s="23">
        <v>225.54</v>
      </c>
      <c r="CS1320" s="23">
        <v>5.44</v>
      </c>
      <c r="CT1320" s="24">
        <v>100</v>
      </c>
      <c r="CU1320" s="23">
        <v>0.65</v>
      </c>
      <c r="CV1320" s="24">
        <v>96</v>
      </c>
      <c r="CW1320" s="23" t="s">
        <v>138</v>
      </c>
      <c r="CX1320" s="24" t="s">
        <v>138</v>
      </c>
      <c r="CY1320" s="23">
        <v>5.44</v>
      </c>
      <c r="CZ1320" s="24">
        <v>100</v>
      </c>
      <c r="DA1320" s="23">
        <v>1.25</v>
      </c>
      <c r="DB1320" s="24">
        <v>99</v>
      </c>
      <c r="DC1320" s="25">
        <v>5.41</v>
      </c>
      <c r="DD1320" s="24">
        <v>84</v>
      </c>
      <c r="DE1320" s="25">
        <v>2.94</v>
      </c>
      <c r="DF1320" s="23">
        <v>119.31</v>
      </c>
      <c r="DG1320" s="25">
        <v>8.34</v>
      </c>
      <c r="DH1320" s="24">
        <v>88</v>
      </c>
      <c r="DI1320" s="25">
        <v>2.4700000000000002</v>
      </c>
      <c r="DJ1320" s="24">
        <v>66</v>
      </c>
      <c r="DK1320" s="25" t="s">
        <v>138</v>
      </c>
      <c r="DL1320" s="24" t="s">
        <v>138</v>
      </c>
      <c r="DM1320" s="25">
        <v>8.34</v>
      </c>
      <c r="DN1320" s="24">
        <v>87</v>
      </c>
      <c r="DO1320" s="25">
        <v>1.61</v>
      </c>
      <c r="DP1320" s="24">
        <v>59</v>
      </c>
      <c r="DQ1320" s="24" t="s">
        <v>138</v>
      </c>
      <c r="DR1320" s="26" t="s">
        <v>138</v>
      </c>
      <c r="DS1320" s="23" t="s">
        <v>138</v>
      </c>
      <c r="DT1320" s="24">
        <v>239</v>
      </c>
      <c r="DU1320" s="26">
        <v>20</v>
      </c>
      <c r="DV1320" s="23">
        <v>9.1300000000000008</v>
      </c>
      <c r="DW1320" s="24">
        <v>576</v>
      </c>
      <c r="DX1320" s="27">
        <v>0</v>
      </c>
      <c r="DY1320" s="23">
        <v>0</v>
      </c>
      <c r="DZ1320" s="15" t="s">
        <v>178</v>
      </c>
      <c r="EA1320" s="22">
        <v>43614</v>
      </c>
      <c r="EB1320" s="17" t="s">
        <v>138</v>
      </c>
      <c r="EC1320" s="22" t="s">
        <v>138</v>
      </c>
      <c r="ED1320" s="15" t="s">
        <v>138</v>
      </c>
      <c r="EE1320" s="14" t="str">
        <f>HYPERLINK("https://my.pitchbook.com?c=170527-24", "View company online")</f>
        <v>View company online</v>
      </c>
    </row>
    <row r="1321" spans="1:135">
      <c r="A1321" s="28" t="s">
        <v>25524</v>
      </c>
      <c r="B1321" s="28" t="s">
        <v>25525</v>
      </c>
      <c r="C1321" s="28" t="s">
        <v>138</v>
      </c>
      <c r="D1321" s="28" t="s">
        <v>138</v>
      </c>
      <c r="E1321" s="28" t="s">
        <v>25526</v>
      </c>
      <c r="F1321" s="28" t="s">
        <v>25524</v>
      </c>
      <c r="G1321" s="28" t="s">
        <v>25527</v>
      </c>
      <c r="H1321" s="28" t="s">
        <v>322</v>
      </c>
      <c r="I1321" s="28" t="s">
        <v>323</v>
      </c>
      <c r="J1321" s="28" t="s">
        <v>437</v>
      </c>
      <c r="K1321" s="28" t="s">
        <v>12783</v>
      </c>
      <c r="L1321" s="28" t="s">
        <v>4804</v>
      </c>
      <c r="M1321" s="28" t="s">
        <v>25528</v>
      </c>
      <c r="N1321" s="28" t="s">
        <v>147</v>
      </c>
      <c r="O1321" s="29">
        <v>2.93</v>
      </c>
      <c r="P1321" s="28" t="s">
        <v>1473</v>
      </c>
      <c r="Q1321" s="28" t="s">
        <v>149</v>
      </c>
      <c r="R1321" s="28" t="s">
        <v>174</v>
      </c>
      <c r="S1321" s="28" t="s">
        <v>25529</v>
      </c>
      <c r="T1321" s="30">
        <v>19</v>
      </c>
      <c r="U1321" s="28" t="s">
        <v>25530</v>
      </c>
      <c r="V1321" s="28" t="s">
        <v>138</v>
      </c>
      <c r="W1321" s="28" t="s">
        <v>138</v>
      </c>
      <c r="X1321" s="31">
        <v>2015</v>
      </c>
      <c r="Y1321" s="28" t="s">
        <v>138</v>
      </c>
      <c r="Z1321" s="28" t="s">
        <v>138</v>
      </c>
      <c r="AA1321" s="28" t="s">
        <v>138</v>
      </c>
      <c r="AB1321" s="32">
        <v>3.25</v>
      </c>
      <c r="AC1321" s="32" t="s">
        <v>138</v>
      </c>
      <c r="AD1321" s="32" t="s">
        <v>138</v>
      </c>
      <c r="AE1321" s="32" t="s">
        <v>138</v>
      </c>
      <c r="AF1321" s="32" t="s">
        <v>138</v>
      </c>
      <c r="AG1321" s="28" t="s">
        <v>419</v>
      </c>
      <c r="AH1321" s="32" t="s">
        <v>138</v>
      </c>
      <c r="AI1321" s="32" t="s">
        <v>138</v>
      </c>
      <c r="AJ1321" s="32" t="s">
        <v>138</v>
      </c>
      <c r="AK1321" s="28" t="s">
        <v>25531</v>
      </c>
      <c r="AL1321" s="28" t="s">
        <v>25532</v>
      </c>
      <c r="AM1321" s="28" t="s">
        <v>938</v>
      </c>
      <c r="AN1321" s="28" t="s">
        <v>25533</v>
      </c>
      <c r="AO1321" s="28" t="s">
        <v>138</v>
      </c>
      <c r="AP1321" s="28" t="s">
        <v>3991</v>
      </c>
      <c r="AQ1321" s="28" t="s">
        <v>25534</v>
      </c>
      <c r="AR1321" s="28" t="s">
        <v>138</v>
      </c>
      <c r="AS1321" s="28" t="s">
        <v>3994</v>
      </c>
      <c r="AT1321" s="28" t="s">
        <v>138</v>
      </c>
      <c r="AU1321" s="28" t="s">
        <v>25535</v>
      </c>
      <c r="AV1321" s="28" t="s">
        <v>3996</v>
      </c>
      <c r="AW1321" s="28" t="s">
        <v>138</v>
      </c>
      <c r="AX1321" s="28" t="s">
        <v>138</v>
      </c>
      <c r="AY1321" s="28" t="s">
        <v>25536</v>
      </c>
      <c r="AZ1321" s="28" t="s">
        <v>530</v>
      </c>
      <c r="BA1321" s="28" t="s">
        <v>577</v>
      </c>
      <c r="BB1321" s="28" t="s">
        <v>25537</v>
      </c>
      <c r="BC1321" s="28" t="s">
        <v>25538</v>
      </c>
      <c r="BD1321" s="33">
        <v>5</v>
      </c>
      <c r="BE1321" s="28" t="s">
        <v>138</v>
      </c>
      <c r="BF1321" s="28" t="s">
        <v>138</v>
      </c>
      <c r="BG1321" s="28" t="s">
        <v>138</v>
      </c>
      <c r="BH1321" s="28" t="s">
        <v>25539</v>
      </c>
      <c r="BI1321" s="28" t="s">
        <v>138</v>
      </c>
      <c r="BJ1321" s="28" t="s">
        <v>138</v>
      </c>
      <c r="BK1321" s="28" t="s">
        <v>138</v>
      </c>
      <c r="BL1321" s="28" t="s">
        <v>138</v>
      </c>
      <c r="BM1321" s="34">
        <v>42321</v>
      </c>
      <c r="BN1321" s="29">
        <v>0.43</v>
      </c>
      <c r="BO1321" s="28" t="s">
        <v>172</v>
      </c>
      <c r="BP1321" s="29" t="s">
        <v>138</v>
      </c>
      <c r="BQ1321" s="28" t="s">
        <v>138</v>
      </c>
      <c r="BR1321" s="28" t="s">
        <v>234</v>
      </c>
      <c r="BS1321" s="28" t="s">
        <v>234</v>
      </c>
      <c r="BT1321" s="28" t="s">
        <v>138</v>
      </c>
      <c r="BU1321" s="28" t="s">
        <v>174</v>
      </c>
      <c r="BV1321" s="28" t="s">
        <v>138</v>
      </c>
      <c r="BW1321" s="28" t="s">
        <v>138</v>
      </c>
      <c r="BX1321" s="28" t="s">
        <v>138</v>
      </c>
      <c r="BY1321" s="28" t="s">
        <v>175</v>
      </c>
      <c r="BZ1321" s="34">
        <v>42552</v>
      </c>
      <c r="CA1321" s="29">
        <v>2.5</v>
      </c>
      <c r="CB1321" s="28" t="s">
        <v>172</v>
      </c>
      <c r="CC1321" s="29" t="s">
        <v>138</v>
      </c>
      <c r="CD1321" s="28" t="s">
        <v>138</v>
      </c>
      <c r="CE1321" s="28" t="s">
        <v>205</v>
      </c>
      <c r="CF1321" s="28" t="s">
        <v>206</v>
      </c>
      <c r="CG1321" s="28" t="s">
        <v>138</v>
      </c>
      <c r="CH1321" s="28" t="s">
        <v>174</v>
      </c>
      <c r="CI1321" s="28" t="s">
        <v>138</v>
      </c>
      <c r="CJ1321" s="28" t="s">
        <v>138</v>
      </c>
      <c r="CK1321" s="28" t="s">
        <v>138</v>
      </c>
      <c r="CL1321" s="28" t="s">
        <v>175</v>
      </c>
      <c r="CM1321" s="34" t="s">
        <v>138</v>
      </c>
      <c r="CN1321" s="29" t="s">
        <v>138</v>
      </c>
      <c r="CO1321" s="35">
        <v>0.06</v>
      </c>
      <c r="CP1321" s="36">
        <v>88</v>
      </c>
      <c r="CQ1321" s="35">
        <v>0.02</v>
      </c>
      <c r="CR1321" s="35">
        <v>43.51</v>
      </c>
      <c r="CS1321" s="35">
        <v>-1.55</v>
      </c>
      <c r="CT1321" s="36">
        <v>11</v>
      </c>
      <c r="CU1321" s="35">
        <v>1.24</v>
      </c>
      <c r="CV1321" s="36">
        <v>99</v>
      </c>
      <c r="CW1321" s="35" t="s">
        <v>138</v>
      </c>
      <c r="CX1321" s="36" t="s">
        <v>138</v>
      </c>
      <c r="CY1321" s="35">
        <v>-1.55</v>
      </c>
      <c r="CZ1321" s="36">
        <v>14</v>
      </c>
      <c r="DA1321" s="35">
        <v>0.84</v>
      </c>
      <c r="DB1321" s="36">
        <v>97</v>
      </c>
      <c r="DC1321" s="37">
        <v>61.75</v>
      </c>
      <c r="DD1321" s="36">
        <v>98</v>
      </c>
      <c r="DE1321" s="37">
        <v>2.85</v>
      </c>
      <c r="DF1321" s="35">
        <v>4.84</v>
      </c>
      <c r="DG1321" s="37">
        <v>7.21</v>
      </c>
      <c r="DH1321" s="36">
        <v>86</v>
      </c>
      <c r="DI1321" s="37">
        <v>2.74</v>
      </c>
      <c r="DJ1321" s="36">
        <v>68</v>
      </c>
      <c r="DK1321" s="37" t="s">
        <v>138</v>
      </c>
      <c r="DL1321" s="36" t="s">
        <v>138</v>
      </c>
      <c r="DM1321" s="37">
        <v>7.21</v>
      </c>
      <c r="DN1321" s="36">
        <v>86</v>
      </c>
      <c r="DO1321" s="37">
        <v>1.95</v>
      </c>
      <c r="DP1321" s="36">
        <v>63</v>
      </c>
      <c r="DQ1321" s="36">
        <v>128</v>
      </c>
      <c r="DR1321" s="38">
        <v>-12</v>
      </c>
      <c r="DS1321" s="35">
        <v>-8.57</v>
      </c>
      <c r="DT1321" s="36">
        <v>208</v>
      </c>
      <c r="DU1321" s="38">
        <v>2</v>
      </c>
      <c r="DV1321" s="35">
        <v>0.97</v>
      </c>
      <c r="DW1321" s="36">
        <v>693</v>
      </c>
      <c r="DX1321" s="39">
        <v>4</v>
      </c>
      <c r="DY1321" s="35">
        <v>0.57999999999999996</v>
      </c>
      <c r="DZ1321" s="28" t="s">
        <v>178</v>
      </c>
      <c r="EA1321" s="34">
        <v>43521</v>
      </c>
      <c r="EB1321" s="29" t="s">
        <v>138</v>
      </c>
      <c r="EC1321" s="34" t="s">
        <v>138</v>
      </c>
      <c r="ED1321" s="28" t="s">
        <v>138</v>
      </c>
      <c r="EE1321" s="40" t="str">
        <f>HYPERLINK("https://my.pitchbook.com?c=117848-17", "View company online")</f>
        <v>View company online</v>
      </c>
    </row>
    <row r="1322" spans="1:135">
      <c r="A1322" s="15" t="s">
        <v>25540</v>
      </c>
      <c r="B1322" s="15" t="s">
        <v>25541</v>
      </c>
      <c r="C1322" s="15" t="s">
        <v>138</v>
      </c>
      <c r="D1322" s="15" t="s">
        <v>138</v>
      </c>
      <c r="E1322" s="15" t="s">
        <v>138</v>
      </c>
      <c r="F1322" s="15" t="s">
        <v>25540</v>
      </c>
      <c r="G1322" s="15" t="s">
        <v>25542</v>
      </c>
      <c r="H1322" s="15" t="s">
        <v>322</v>
      </c>
      <c r="I1322" s="15" t="s">
        <v>323</v>
      </c>
      <c r="J1322" s="15" t="s">
        <v>1132</v>
      </c>
      <c r="K1322" s="15" t="s">
        <v>25543</v>
      </c>
      <c r="L1322" s="15" t="s">
        <v>15736</v>
      </c>
      <c r="M1322" s="15" t="s">
        <v>25544</v>
      </c>
      <c r="N1322" s="15" t="s">
        <v>147</v>
      </c>
      <c r="O1322" s="17">
        <v>14.7</v>
      </c>
      <c r="P1322" s="15" t="s">
        <v>148</v>
      </c>
      <c r="Q1322" s="15" t="s">
        <v>149</v>
      </c>
      <c r="R1322" s="15" t="s">
        <v>174</v>
      </c>
      <c r="S1322" s="15" t="s">
        <v>25545</v>
      </c>
      <c r="T1322" s="18" t="s">
        <v>138</v>
      </c>
      <c r="U1322" s="15" t="s">
        <v>138</v>
      </c>
      <c r="V1322" s="15" t="s">
        <v>138</v>
      </c>
      <c r="W1322" s="15" t="s">
        <v>138</v>
      </c>
      <c r="X1322" s="19">
        <v>2016</v>
      </c>
      <c r="Y1322" s="15" t="s">
        <v>138</v>
      </c>
      <c r="Z1322" s="15" t="s">
        <v>138</v>
      </c>
      <c r="AA1322" s="15" t="s">
        <v>138</v>
      </c>
      <c r="AB1322" s="20" t="s">
        <v>138</v>
      </c>
      <c r="AC1322" s="20" t="s">
        <v>138</v>
      </c>
      <c r="AD1322" s="20" t="s">
        <v>138</v>
      </c>
      <c r="AE1322" s="20" t="s">
        <v>138</v>
      </c>
      <c r="AF1322" s="20" t="s">
        <v>138</v>
      </c>
      <c r="AG1322" s="15" t="s">
        <v>138</v>
      </c>
      <c r="AH1322" s="20" t="s">
        <v>138</v>
      </c>
      <c r="AI1322" s="20" t="s">
        <v>138</v>
      </c>
      <c r="AJ1322" s="20" t="s">
        <v>138</v>
      </c>
      <c r="AK1322" s="15" t="s">
        <v>25546</v>
      </c>
      <c r="AL1322" s="15" t="s">
        <v>25547</v>
      </c>
      <c r="AM1322" s="15" t="s">
        <v>986</v>
      </c>
      <c r="AN1322" s="15" t="s">
        <v>25548</v>
      </c>
      <c r="AO1322" s="15" t="s">
        <v>138</v>
      </c>
      <c r="AP1322" s="15" t="s">
        <v>1292</v>
      </c>
      <c r="AQ1322" s="15" t="s">
        <v>25549</v>
      </c>
      <c r="AR1322" s="15" t="s">
        <v>138</v>
      </c>
      <c r="AS1322" s="15" t="s">
        <v>1294</v>
      </c>
      <c r="AT1322" s="15" t="s">
        <v>864</v>
      </c>
      <c r="AU1322" s="15" t="s">
        <v>9304</v>
      </c>
      <c r="AV1322" s="15" t="s">
        <v>162</v>
      </c>
      <c r="AW1322" s="15" t="s">
        <v>138</v>
      </c>
      <c r="AX1322" s="15" t="s">
        <v>138</v>
      </c>
      <c r="AY1322" s="15" t="s">
        <v>25550</v>
      </c>
      <c r="AZ1322" s="15" t="s">
        <v>164</v>
      </c>
      <c r="BA1322" s="15" t="s">
        <v>165</v>
      </c>
      <c r="BB1322" s="15" t="s">
        <v>25551</v>
      </c>
      <c r="BC1322" s="15" t="s">
        <v>25552</v>
      </c>
      <c r="BD1322" s="21">
        <v>12</v>
      </c>
      <c r="BE1322" s="15" t="s">
        <v>138</v>
      </c>
      <c r="BF1322" s="15" t="s">
        <v>138</v>
      </c>
      <c r="BG1322" s="15" t="s">
        <v>138</v>
      </c>
      <c r="BH1322" s="15" t="s">
        <v>25553</v>
      </c>
      <c r="BI1322" s="15" t="s">
        <v>138</v>
      </c>
      <c r="BJ1322" s="15" t="s">
        <v>138</v>
      </c>
      <c r="BK1322" s="15" t="s">
        <v>25554</v>
      </c>
      <c r="BL1322" s="15" t="s">
        <v>1691</v>
      </c>
      <c r="BM1322" s="22">
        <v>42370</v>
      </c>
      <c r="BN1322" s="17" t="s">
        <v>138</v>
      </c>
      <c r="BO1322" s="15" t="s">
        <v>138</v>
      </c>
      <c r="BP1322" s="17" t="s">
        <v>138</v>
      </c>
      <c r="BQ1322" s="15" t="s">
        <v>138</v>
      </c>
      <c r="BR1322" s="15" t="s">
        <v>316</v>
      </c>
      <c r="BS1322" s="15" t="s">
        <v>138</v>
      </c>
      <c r="BT1322" s="15" t="s">
        <v>138</v>
      </c>
      <c r="BU1322" s="15" t="s">
        <v>177</v>
      </c>
      <c r="BV1322" s="15" t="s">
        <v>138</v>
      </c>
      <c r="BW1322" s="15" t="s">
        <v>138</v>
      </c>
      <c r="BX1322" s="15" t="s">
        <v>138</v>
      </c>
      <c r="BY1322" s="15" t="s">
        <v>175</v>
      </c>
      <c r="BZ1322" s="22">
        <v>43530</v>
      </c>
      <c r="CA1322" s="17">
        <v>11.2</v>
      </c>
      <c r="CB1322" s="15" t="s">
        <v>172</v>
      </c>
      <c r="CC1322" s="17">
        <v>26.8</v>
      </c>
      <c r="CD1322" s="15" t="s">
        <v>172</v>
      </c>
      <c r="CE1322" s="15" t="s">
        <v>205</v>
      </c>
      <c r="CF1322" s="15" t="s">
        <v>206</v>
      </c>
      <c r="CG1322" s="15" t="s">
        <v>138</v>
      </c>
      <c r="CH1322" s="15" t="s">
        <v>174</v>
      </c>
      <c r="CI1322" s="15" t="s">
        <v>138</v>
      </c>
      <c r="CJ1322" s="15" t="s">
        <v>138</v>
      </c>
      <c r="CK1322" s="15" t="s">
        <v>138</v>
      </c>
      <c r="CL1322" s="15" t="s">
        <v>175</v>
      </c>
      <c r="CM1322" s="22" t="s">
        <v>138</v>
      </c>
      <c r="CN1322" s="17" t="s">
        <v>138</v>
      </c>
      <c r="CO1322" s="23">
        <v>0.38</v>
      </c>
      <c r="CP1322" s="24">
        <v>94</v>
      </c>
      <c r="CQ1322" s="23">
        <v>0.06</v>
      </c>
      <c r="CR1322" s="23">
        <v>20.190000000000001</v>
      </c>
      <c r="CS1322" s="23">
        <v>0</v>
      </c>
      <c r="CT1322" s="24">
        <v>23</v>
      </c>
      <c r="CU1322" s="23">
        <v>0.75</v>
      </c>
      <c r="CV1322" s="24">
        <v>97</v>
      </c>
      <c r="CW1322" s="23" t="s">
        <v>138</v>
      </c>
      <c r="CX1322" s="24" t="s">
        <v>138</v>
      </c>
      <c r="CY1322" s="23">
        <v>0</v>
      </c>
      <c r="CZ1322" s="24">
        <v>25</v>
      </c>
      <c r="DA1322" s="23">
        <v>1.54</v>
      </c>
      <c r="DB1322" s="24">
        <v>99</v>
      </c>
      <c r="DC1322" s="25">
        <v>0.67</v>
      </c>
      <c r="DD1322" s="24">
        <v>41</v>
      </c>
      <c r="DE1322" s="25">
        <v>-7.0000000000000007E-2</v>
      </c>
      <c r="DF1322" s="23">
        <v>-9.3000000000000007</v>
      </c>
      <c r="DG1322" s="25">
        <v>0.66</v>
      </c>
      <c r="DH1322" s="24">
        <v>41</v>
      </c>
      <c r="DI1322" s="25">
        <v>0.68</v>
      </c>
      <c r="DJ1322" s="24">
        <v>42</v>
      </c>
      <c r="DK1322" s="25" t="s">
        <v>138</v>
      </c>
      <c r="DL1322" s="24" t="s">
        <v>138</v>
      </c>
      <c r="DM1322" s="25">
        <v>0.66</v>
      </c>
      <c r="DN1322" s="24">
        <v>40</v>
      </c>
      <c r="DO1322" s="25">
        <v>0.98</v>
      </c>
      <c r="DP1322" s="24">
        <v>50</v>
      </c>
      <c r="DQ1322" s="24">
        <v>274</v>
      </c>
      <c r="DR1322" s="26">
        <v>32</v>
      </c>
      <c r="DS1322" s="23">
        <v>13.22</v>
      </c>
      <c r="DT1322" s="24">
        <v>19</v>
      </c>
      <c r="DU1322" s="26">
        <v>0</v>
      </c>
      <c r="DV1322" s="23">
        <v>0</v>
      </c>
      <c r="DW1322" s="24">
        <v>349</v>
      </c>
      <c r="DX1322" s="27">
        <v>8</v>
      </c>
      <c r="DY1322" s="23">
        <v>2.35</v>
      </c>
      <c r="DZ1322" s="15" t="s">
        <v>178</v>
      </c>
      <c r="EA1322" s="22">
        <v>43577</v>
      </c>
      <c r="EB1322" s="17">
        <v>26.8</v>
      </c>
      <c r="EC1322" s="22">
        <v>43530</v>
      </c>
      <c r="ED1322" s="15" t="s">
        <v>205</v>
      </c>
      <c r="EE1322" s="14" t="str">
        <f>HYPERLINK("https://my.pitchbook.com?c=169853-50", "View company online")</f>
        <v>View company online</v>
      </c>
    </row>
    <row r="1323" spans="1:135">
      <c r="A1323" s="28" t="s">
        <v>25555</v>
      </c>
      <c r="B1323" s="28" t="s">
        <v>25556</v>
      </c>
      <c r="C1323" s="28" t="s">
        <v>138</v>
      </c>
      <c r="D1323" s="28" t="s">
        <v>138</v>
      </c>
      <c r="E1323" s="28" t="s">
        <v>138</v>
      </c>
      <c r="F1323" s="28" t="s">
        <v>25555</v>
      </c>
      <c r="G1323" s="28" t="s">
        <v>25557</v>
      </c>
      <c r="H1323" s="28" t="s">
        <v>183</v>
      </c>
      <c r="I1323" s="28" t="s">
        <v>4681</v>
      </c>
      <c r="J1323" s="28" t="s">
        <v>9676</v>
      </c>
      <c r="K1323" s="28" t="s">
        <v>25558</v>
      </c>
      <c r="L1323" s="28" t="s">
        <v>25559</v>
      </c>
      <c r="M1323" s="28" t="s">
        <v>25560</v>
      </c>
      <c r="N1323" s="28" t="s">
        <v>147</v>
      </c>
      <c r="O1323" s="29">
        <v>2.2000000000000002</v>
      </c>
      <c r="P1323" s="28" t="s">
        <v>610</v>
      </c>
      <c r="Q1323" s="28" t="s">
        <v>149</v>
      </c>
      <c r="R1323" s="28" t="s">
        <v>174</v>
      </c>
      <c r="S1323" s="28" t="s">
        <v>25561</v>
      </c>
      <c r="T1323" s="30" t="s">
        <v>138</v>
      </c>
      <c r="U1323" s="28" t="s">
        <v>138</v>
      </c>
      <c r="V1323" s="28" t="s">
        <v>138</v>
      </c>
      <c r="W1323" s="28" t="s">
        <v>138</v>
      </c>
      <c r="X1323" s="31">
        <v>2017</v>
      </c>
      <c r="Y1323" s="28" t="s">
        <v>138</v>
      </c>
      <c r="Z1323" s="28" t="s">
        <v>138</v>
      </c>
      <c r="AA1323" s="28" t="s">
        <v>138</v>
      </c>
      <c r="AB1323" s="32" t="s">
        <v>138</v>
      </c>
      <c r="AC1323" s="32" t="s">
        <v>138</v>
      </c>
      <c r="AD1323" s="32" t="s">
        <v>138</v>
      </c>
      <c r="AE1323" s="32" t="s">
        <v>138</v>
      </c>
      <c r="AF1323" s="32" t="s">
        <v>138</v>
      </c>
      <c r="AG1323" s="28" t="s">
        <v>138</v>
      </c>
      <c r="AH1323" s="32" t="s">
        <v>138</v>
      </c>
      <c r="AI1323" s="32" t="s">
        <v>138</v>
      </c>
      <c r="AJ1323" s="32" t="s">
        <v>138</v>
      </c>
      <c r="AK1323" s="28" t="s">
        <v>25562</v>
      </c>
      <c r="AL1323" s="28" t="s">
        <v>25563</v>
      </c>
      <c r="AM1323" s="28" t="s">
        <v>25564</v>
      </c>
      <c r="AN1323" s="28" t="s">
        <v>25565</v>
      </c>
      <c r="AO1323" s="28" t="s">
        <v>25566</v>
      </c>
      <c r="AP1323" s="28" t="s">
        <v>25567</v>
      </c>
      <c r="AQ1323" s="28" t="s">
        <v>25568</v>
      </c>
      <c r="AR1323" s="28" t="s">
        <v>25569</v>
      </c>
      <c r="AS1323" s="28" t="s">
        <v>25570</v>
      </c>
      <c r="AT1323" s="28" t="s">
        <v>138</v>
      </c>
      <c r="AU1323" s="28" t="s">
        <v>138</v>
      </c>
      <c r="AV1323" s="28" t="s">
        <v>740</v>
      </c>
      <c r="AW1323" s="28" t="s">
        <v>138</v>
      </c>
      <c r="AX1323" s="28" t="s">
        <v>138</v>
      </c>
      <c r="AY1323" s="28" t="s">
        <v>138</v>
      </c>
      <c r="AZ1323" s="28" t="s">
        <v>742</v>
      </c>
      <c r="BA1323" s="28" t="s">
        <v>742</v>
      </c>
      <c r="BB1323" s="28" t="s">
        <v>25571</v>
      </c>
      <c r="BC1323" s="28" t="s">
        <v>25572</v>
      </c>
      <c r="BD1323" s="33">
        <v>6</v>
      </c>
      <c r="BE1323" s="28" t="s">
        <v>138</v>
      </c>
      <c r="BF1323" s="28" t="s">
        <v>138</v>
      </c>
      <c r="BG1323" s="28" t="s">
        <v>138</v>
      </c>
      <c r="BH1323" s="28" t="s">
        <v>25573</v>
      </c>
      <c r="BI1323" s="28" t="s">
        <v>138</v>
      </c>
      <c r="BJ1323" s="28" t="s">
        <v>138</v>
      </c>
      <c r="BK1323" s="28" t="s">
        <v>138</v>
      </c>
      <c r="BL1323" s="28" t="s">
        <v>138</v>
      </c>
      <c r="BM1323" s="34">
        <v>43222</v>
      </c>
      <c r="BN1323" s="29">
        <v>2.2000000000000002</v>
      </c>
      <c r="BO1323" s="28" t="s">
        <v>172</v>
      </c>
      <c r="BP1323" s="29" t="s">
        <v>138</v>
      </c>
      <c r="BQ1323" s="28" t="s">
        <v>138</v>
      </c>
      <c r="BR1323" s="28" t="s">
        <v>234</v>
      </c>
      <c r="BS1323" s="28" t="s">
        <v>234</v>
      </c>
      <c r="BT1323" s="28" t="s">
        <v>138</v>
      </c>
      <c r="BU1323" s="28" t="s">
        <v>174</v>
      </c>
      <c r="BV1323" s="28" t="s">
        <v>138</v>
      </c>
      <c r="BW1323" s="28" t="s">
        <v>138</v>
      </c>
      <c r="BX1323" s="28" t="s">
        <v>138</v>
      </c>
      <c r="BY1323" s="28" t="s">
        <v>175</v>
      </c>
      <c r="BZ1323" s="34">
        <v>43222</v>
      </c>
      <c r="CA1323" s="29">
        <v>2.2000000000000002</v>
      </c>
      <c r="CB1323" s="28" t="s">
        <v>172</v>
      </c>
      <c r="CC1323" s="29" t="s">
        <v>138</v>
      </c>
      <c r="CD1323" s="28" t="s">
        <v>138</v>
      </c>
      <c r="CE1323" s="28" t="s">
        <v>234</v>
      </c>
      <c r="CF1323" s="28" t="s">
        <v>234</v>
      </c>
      <c r="CG1323" s="28" t="s">
        <v>138</v>
      </c>
      <c r="CH1323" s="28" t="s">
        <v>174</v>
      </c>
      <c r="CI1323" s="28" t="s">
        <v>138</v>
      </c>
      <c r="CJ1323" s="28" t="s">
        <v>138</v>
      </c>
      <c r="CK1323" s="28" t="s">
        <v>138</v>
      </c>
      <c r="CL1323" s="28" t="s">
        <v>175</v>
      </c>
      <c r="CM1323" s="34" t="s">
        <v>138</v>
      </c>
      <c r="CN1323" s="29" t="s">
        <v>138</v>
      </c>
      <c r="CO1323" s="35">
        <v>-0.83</v>
      </c>
      <c r="CP1323" s="36">
        <v>12</v>
      </c>
      <c r="CQ1323" s="35">
        <v>-0.22</v>
      </c>
      <c r="CR1323" s="35">
        <v>-34.9</v>
      </c>
      <c r="CS1323" s="35">
        <v>-0.83</v>
      </c>
      <c r="CT1323" s="36">
        <v>16</v>
      </c>
      <c r="CU1323" s="35" t="s">
        <v>138</v>
      </c>
      <c r="CV1323" s="36" t="s">
        <v>138</v>
      </c>
      <c r="CW1323" s="35" t="s">
        <v>138</v>
      </c>
      <c r="CX1323" s="36" t="s">
        <v>138</v>
      </c>
      <c r="CY1323" s="35">
        <v>-0.83</v>
      </c>
      <c r="CZ1323" s="36">
        <v>20</v>
      </c>
      <c r="DA1323" s="35" t="s">
        <v>138</v>
      </c>
      <c r="DB1323" s="36" t="s">
        <v>138</v>
      </c>
      <c r="DC1323" s="37">
        <v>3.93</v>
      </c>
      <c r="DD1323" s="36">
        <v>79</v>
      </c>
      <c r="DE1323" s="37">
        <v>-7.0000000000000007E-2</v>
      </c>
      <c r="DF1323" s="35">
        <v>-1.72</v>
      </c>
      <c r="DG1323" s="37">
        <v>3.93</v>
      </c>
      <c r="DH1323" s="36">
        <v>79</v>
      </c>
      <c r="DI1323" s="37" t="s">
        <v>138</v>
      </c>
      <c r="DJ1323" s="36" t="s">
        <v>138</v>
      </c>
      <c r="DK1323" s="37" t="s">
        <v>138</v>
      </c>
      <c r="DL1323" s="36" t="s">
        <v>138</v>
      </c>
      <c r="DM1323" s="37">
        <v>3.93</v>
      </c>
      <c r="DN1323" s="36">
        <v>78</v>
      </c>
      <c r="DO1323" s="37" t="s">
        <v>138</v>
      </c>
      <c r="DP1323" s="36" t="s">
        <v>138</v>
      </c>
      <c r="DQ1323" s="36">
        <v>65</v>
      </c>
      <c r="DR1323" s="38">
        <v>-39</v>
      </c>
      <c r="DS1323" s="35">
        <v>-37.5</v>
      </c>
      <c r="DT1323" s="36">
        <v>114</v>
      </c>
      <c r="DU1323" s="38">
        <v>-2</v>
      </c>
      <c r="DV1323" s="35">
        <v>-1.72</v>
      </c>
      <c r="DW1323" s="36" t="s">
        <v>138</v>
      </c>
      <c r="DX1323" s="39" t="s">
        <v>138</v>
      </c>
      <c r="DY1323" s="35" t="s">
        <v>138</v>
      </c>
      <c r="DZ1323" s="28" t="s">
        <v>178</v>
      </c>
      <c r="EA1323" s="34">
        <v>43351</v>
      </c>
      <c r="EB1323" s="29" t="s">
        <v>138</v>
      </c>
      <c r="EC1323" s="34" t="s">
        <v>138</v>
      </c>
      <c r="ED1323" s="28" t="s">
        <v>138</v>
      </c>
      <c r="EE1323" s="40" t="str">
        <f>HYPERLINK("https://my.pitchbook.com?c=228284-38", "View company online")</f>
        <v>View company online</v>
      </c>
    </row>
    <row r="1324" spans="1:135">
      <c r="A1324" s="15" t="s">
        <v>25574</v>
      </c>
      <c r="B1324" s="15" t="s">
        <v>25575</v>
      </c>
      <c r="C1324" s="15" t="s">
        <v>138</v>
      </c>
      <c r="D1324" s="15" t="s">
        <v>138</v>
      </c>
      <c r="E1324" s="15" t="s">
        <v>25576</v>
      </c>
      <c r="F1324" s="15" t="s">
        <v>25574</v>
      </c>
      <c r="G1324" s="15" t="s">
        <v>25577</v>
      </c>
      <c r="H1324" s="15" t="s">
        <v>141</v>
      </c>
      <c r="I1324" s="15" t="s">
        <v>212</v>
      </c>
      <c r="J1324" s="15" t="s">
        <v>213</v>
      </c>
      <c r="K1324" s="15" t="s">
        <v>14238</v>
      </c>
      <c r="L1324" s="15" t="s">
        <v>1544</v>
      </c>
      <c r="M1324" s="15" t="s">
        <v>25578</v>
      </c>
      <c r="N1324" s="15" t="s">
        <v>147</v>
      </c>
      <c r="O1324" s="17">
        <v>0.08</v>
      </c>
      <c r="P1324" s="15" t="s">
        <v>148</v>
      </c>
      <c r="Q1324" s="15" t="s">
        <v>149</v>
      </c>
      <c r="R1324" s="15" t="s">
        <v>174</v>
      </c>
      <c r="S1324" s="15" t="s">
        <v>25579</v>
      </c>
      <c r="T1324" s="18">
        <v>8</v>
      </c>
      <c r="U1324" s="15" t="s">
        <v>5124</v>
      </c>
      <c r="V1324" s="15" t="s">
        <v>138</v>
      </c>
      <c r="W1324" s="15" t="s">
        <v>138</v>
      </c>
      <c r="X1324" s="19">
        <v>2013</v>
      </c>
      <c r="Y1324" s="15" t="s">
        <v>138</v>
      </c>
      <c r="Z1324" s="15" t="s">
        <v>138</v>
      </c>
      <c r="AA1324" s="15" t="s">
        <v>138</v>
      </c>
      <c r="AB1324" s="20" t="s">
        <v>138</v>
      </c>
      <c r="AC1324" s="20" t="s">
        <v>138</v>
      </c>
      <c r="AD1324" s="20" t="s">
        <v>138</v>
      </c>
      <c r="AE1324" s="20" t="s">
        <v>138</v>
      </c>
      <c r="AF1324" s="20" t="s">
        <v>138</v>
      </c>
      <c r="AG1324" s="15" t="s">
        <v>138</v>
      </c>
      <c r="AH1324" s="20" t="s">
        <v>138</v>
      </c>
      <c r="AI1324" s="20" t="s">
        <v>138</v>
      </c>
      <c r="AJ1324" s="20" t="s">
        <v>138</v>
      </c>
      <c r="AK1324" s="15" t="s">
        <v>25580</v>
      </c>
      <c r="AL1324" s="15" t="s">
        <v>25581</v>
      </c>
      <c r="AM1324" s="15" t="s">
        <v>304</v>
      </c>
      <c r="AN1324" s="15" t="s">
        <v>25582</v>
      </c>
      <c r="AO1324" s="15" t="s">
        <v>25583</v>
      </c>
      <c r="AP1324" s="15" t="s">
        <v>3351</v>
      </c>
      <c r="AQ1324" s="15" t="s">
        <v>24092</v>
      </c>
      <c r="AR1324" s="15" t="s">
        <v>158</v>
      </c>
      <c r="AS1324" s="15" t="s">
        <v>3354</v>
      </c>
      <c r="AT1324" s="15" t="s">
        <v>2740</v>
      </c>
      <c r="AU1324" s="15" t="s">
        <v>24094</v>
      </c>
      <c r="AV1324" s="15" t="s">
        <v>2742</v>
      </c>
      <c r="AW1324" s="15" t="s">
        <v>25583</v>
      </c>
      <c r="AX1324" s="15" t="s">
        <v>138</v>
      </c>
      <c r="AY1324" s="15" t="s">
        <v>25584</v>
      </c>
      <c r="AZ1324" s="15" t="s">
        <v>164</v>
      </c>
      <c r="BA1324" s="15" t="s">
        <v>165</v>
      </c>
      <c r="BB1324" s="15" t="s">
        <v>25585</v>
      </c>
      <c r="BC1324" s="15" t="s">
        <v>25586</v>
      </c>
      <c r="BD1324" s="21">
        <v>4</v>
      </c>
      <c r="BE1324" s="15" t="s">
        <v>138</v>
      </c>
      <c r="BF1324" s="15" t="s">
        <v>138</v>
      </c>
      <c r="BG1324" s="15" t="s">
        <v>138</v>
      </c>
      <c r="BH1324" s="15" t="s">
        <v>25587</v>
      </c>
      <c r="BI1324" s="15" t="s">
        <v>138</v>
      </c>
      <c r="BJ1324" s="15" t="s">
        <v>138</v>
      </c>
      <c r="BK1324" s="15" t="s">
        <v>138</v>
      </c>
      <c r="BL1324" s="15" t="s">
        <v>138</v>
      </c>
      <c r="BM1324" s="22" t="s">
        <v>138</v>
      </c>
      <c r="BN1324" s="17" t="s">
        <v>138</v>
      </c>
      <c r="BO1324" s="15" t="s">
        <v>138</v>
      </c>
      <c r="BP1324" s="17" t="s">
        <v>138</v>
      </c>
      <c r="BQ1324" s="15" t="s">
        <v>138</v>
      </c>
      <c r="BR1324" s="15" t="s">
        <v>234</v>
      </c>
      <c r="BS1324" s="15" t="s">
        <v>234</v>
      </c>
      <c r="BT1324" s="15" t="s">
        <v>138</v>
      </c>
      <c r="BU1324" s="15" t="s">
        <v>263</v>
      </c>
      <c r="BV1324" s="15" t="s">
        <v>138</v>
      </c>
      <c r="BW1324" s="15" t="s">
        <v>138</v>
      </c>
      <c r="BX1324" s="15" t="s">
        <v>138</v>
      </c>
      <c r="BY1324" s="15" t="s">
        <v>175</v>
      </c>
      <c r="BZ1324" s="22">
        <v>43223</v>
      </c>
      <c r="CA1324" s="17">
        <v>0.08</v>
      </c>
      <c r="CB1324" s="15" t="s">
        <v>172</v>
      </c>
      <c r="CC1324" s="17" t="s">
        <v>138</v>
      </c>
      <c r="CD1324" s="15" t="s">
        <v>138</v>
      </c>
      <c r="CE1324" s="15" t="s">
        <v>234</v>
      </c>
      <c r="CF1324" s="15" t="s">
        <v>234</v>
      </c>
      <c r="CG1324" s="15" t="s">
        <v>138</v>
      </c>
      <c r="CH1324" s="15" t="s">
        <v>174</v>
      </c>
      <c r="CI1324" s="15" t="s">
        <v>138</v>
      </c>
      <c r="CJ1324" s="15" t="s">
        <v>138</v>
      </c>
      <c r="CK1324" s="15" t="s">
        <v>138</v>
      </c>
      <c r="CL1324" s="15" t="s">
        <v>175</v>
      </c>
      <c r="CM1324" s="22" t="s">
        <v>138</v>
      </c>
      <c r="CN1324" s="17" t="s">
        <v>138</v>
      </c>
      <c r="CO1324" s="23">
        <v>-0.02</v>
      </c>
      <c r="CP1324" s="24">
        <v>24</v>
      </c>
      <c r="CQ1324" s="23">
        <v>0</v>
      </c>
      <c r="CR1324" s="23">
        <v>0</v>
      </c>
      <c r="CS1324" s="23">
        <v>0</v>
      </c>
      <c r="CT1324" s="24">
        <v>23</v>
      </c>
      <c r="CU1324" s="23">
        <v>-0.05</v>
      </c>
      <c r="CV1324" s="24">
        <v>9</v>
      </c>
      <c r="CW1324" s="23">
        <v>0</v>
      </c>
      <c r="CX1324" s="24">
        <v>13</v>
      </c>
      <c r="CY1324" s="23">
        <v>0</v>
      </c>
      <c r="CZ1324" s="24">
        <v>25</v>
      </c>
      <c r="DA1324" s="23">
        <v>-0.09</v>
      </c>
      <c r="DB1324" s="24">
        <v>7</v>
      </c>
      <c r="DC1324" s="25">
        <v>1.1200000000000001</v>
      </c>
      <c r="DD1324" s="24">
        <v>54</v>
      </c>
      <c r="DE1324" s="25">
        <v>-0.08</v>
      </c>
      <c r="DF1324" s="23">
        <v>-6.6</v>
      </c>
      <c r="DG1324" s="25">
        <v>1.28</v>
      </c>
      <c r="DH1324" s="24">
        <v>57</v>
      </c>
      <c r="DI1324" s="25">
        <v>0.96</v>
      </c>
      <c r="DJ1324" s="24">
        <v>48</v>
      </c>
      <c r="DK1324" s="25">
        <v>2</v>
      </c>
      <c r="DL1324" s="24">
        <v>64</v>
      </c>
      <c r="DM1324" s="25">
        <v>0.55000000000000004</v>
      </c>
      <c r="DN1324" s="24">
        <v>36</v>
      </c>
      <c r="DO1324" s="25">
        <v>1.86</v>
      </c>
      <c r="DP1324" s="24">
        <v>62</v>
      </c>
      <c r="DQ1324" s="24">
        <v>685</v>
      </c>
      <c r="DR1324" s="26">
        <v>2</v>
      </c>
      <c r="DS1324" s="23">
        <v>0.28999999999999998</v>
      </c>
      <c r="DT1324" s="24">
        <v>16</v>
      </c>
      <c r="DU1324" s="26">
        <v>-2</v>
      </c>
      <c r="DV1324" s="23">
        <v>-11.11</v>
      </c>
      <c r="DW1324" s="24">
        <v>665</v>
      </c>
      <c r="DX1324" s="27">
        <v>0</v>
      </c>
      <c r="DY1324" s="23">
        <v>0</v>
      </c>
      <c r="DZ1324" s="15" t="s">
        <v>178</v>
      </c>
      <c r="EA1324" s="22">
        <v>43351</v>
      </c>
      <c r="EB1324" s="17" t="s">
        <v>138</v>
      </c>
      <c r="EC1324" s="22" t="s">
        <v>138</v>
      </c>
      <c r="ED1324" s="15" t="s">
        <v>138</v>
      </c>
      <c r="EE1324" s="14" t="str">
        <f>HYPERLINK("https://my.pitchbook.com?c=117258-22", "View company online")</f>
        <v>View company online</v>
      </c>
    </row>
    <row r="1325" spans="1:135">
      <c r="A1325" s="28" t="s">
        <v>25588</v>
      </c>
      <c r="B1325" s="28" t="s">
        <v>25589</v>
      </c>
      <c r="C1325" s="28" t="s">
        <v>138</v>
      </c>
      <c r="D1325" s="28" t="s">
        <v>138</v>
      </c>
      <c r="E1325" s="28" t="s">
        <v>25590</v>
      </c>
      <c r="F1325" s="28" t="s">
        <v>25588</v>
      </c>
      <c r="G1325" s="28" t="s">
        <v>25591</v>
      </c>
      <c r="H1325" s="28" t="s">
        <v>322</v>
      </c>
      <c r="I1325" s="28" t="s">
        <v>323</v>
      </c>
      <c r="J1325" s="28" t="s">
        <v>324</v>
      </c>
      <c r="K1325" s="28" t="s">
        <v>629</v>
      </c>
      <c r="L1325" s="28" t="s">
        <v>415</v>
      </c>
      <c r="M1325" s="28" t="s">
        <v>25592</v>
      </c>
      <c r="N1325" s="28" t="s">
        <v>147</v>
      </c>
      <c r="O1325" s="29">
        <v>452.94</v>
      </c>
      <c r="P1325" s="28" t="s">
        <v>148</v>
      </c>
      <c r="Q1325" s="28" t="s">
        <v>149</v>
      </c>
      <c r="R1325" s="28" t="s">
        <v>174</v>
      </c>
      <c r="S1325" s="28" t="s">
        <v>25593</v>
      </c>
      <c r="T1325" s="30" t="s">
        <v>138</v>
      </c>
      <c r="U1325" s="28" t="s">
        <v>138</v>
      </c>
      <c r="V1325" s="28" t="s">
        <v>138</v>
      </c>
      <c r="W1325" s="28" t="s">
        <v>138</v>
      </c>
      <c r="X1325" s="31">
        <v>2015</v>
      </c>
      <c r="Y1325" s="28" t="s">
        <v>138</v>
      </c>
      <c r="Z1325" s="28" t="s">
        <v>138</v>
      </c>
      <c r="AA1325" s="28" t="s">
        <v>138</v>
      </c>
      <c r="AB1325" s="32" t="s">
        <v>138</v>
      </c>
      <c r="AC1325" s="32" t="s">
        <v>138</v>
      </c>
      <c r="AD1325" s="32" t="s">
        <v>138</v>
      </c>
      <c r="AE1325" s="32" t="s">
        <v>138</v>
      </c>
      <c r="AF1325" s="32" t="s">
        <v>138</v>
      </c>
      <c r="AG1325" s="28" t="s">
        <v>138</v>
      </c>
      <c r="AH1325" s="32" t="s">
        <v>138</v>
      </c>
      <c r="AI1325" s="32" t="s">
        <v>138</v>
      </c>
      <c r="AJ1325" s="32" t="s">
        <v>138</v>
      </c>
      <c r="AK1325" s="28" t="s">
        <v>25594</v>
      </c>
      <c r="AL1325" s="28" t="s">
        <v>25595</v>
      </c>
      <c r="AM1325" s="28" t="s">
        <v>938</v>
      </c>
      <c r="AN1325" s="28" t="s">
        <v>25596</v>
      </c>
      <c r="AO1325" s="28" t="s">
        <v>138</v>
      </c>
      <c r="AP1325" s="28" t="s">
        <v>3839</v>
      </c>
      <c r="AQ1325" s="28" t="s">
        <v>25597</v>
      </c>
      <c r="AR1325" s="28" t="s">
        <v>138</v>
      </c>
      <c r="AS1325" s="28" t="s">
        <v>3841</v>
      </c>
      <c r="AT1325" s="28" t="s">
        <v>200</v>
      </c>
      <c r="AU1325" s="28" t="s">
        <v>3842</v>
      </c>
      <c r="AV1325" s="28" t="s">
        <v>162</v>
      </c>
      <c r="AW1325" s="28" t="s">
        <v>138</v>
      </c>
      <c r="AX1325" s="28" t="s">
        <v>138</v>
      </c>
      <c r="AY1325" s="28" t="s">
        <v>138</v>
      </c>
      <c r="AZ1325" s="28" t="s">
        <v>164</v>
      </c>
      <c r="BA1325" s="28" t="s">
        <v>165</v>
      </c>
      <c r="BB1325" s="28" t="s">
        <v>25598</v>
      </c>
      <c r="BC1325" s="28" t="s">
        <v>25599</v>
      </c>
      <c r="BD1325" s="33">
        <v>9</v>
      </c>
      <c r="BE1325" s="28" t="s">
        <v>138</v>
      </c>
      <c r="BF1325" s="28" t="s">
        <v>138</v>
      </c>
      <c r="BG1325" s="28" t="s">
        <v>138</v>
      </c>
      <c r="BH1325" s="28" t="s">
        <v>25600</v>
      </c>
      <c r="BI1325" s="28" t="s">
        <v>138</v>
      </c>
      <c r="BJ1325" s="28" t="s">
        <v>138</v>
      </c>
      <c r="BK1325" s="28" t="s">
        <v>290</v>
      </c>
      <c r="BL1325" s="28" t="s">
        <v>290</v>
      </c>
      <c r="BM1325" s="34">
        <v>42327</v>
      </c>
      <c r="BN1325" s="29">
        <v>3.33</v>
      </c>
      <c r="BO1325" s="28" t="s">
        <v>172</v>
      </c>
      <c r="BP1325" s="29">
        <v>6.98</v>
      </c>
      <c r="BQ1325" s="28" t="s">
        <v>172</v>
      </c>
      <c r="BR1325" s="28" t="s">
        <v>234</v>
      </c>
      <c r="BS1325" s="28" t="s">
        <v>234</v>
      </c>
      <c r="BT1325" s="28" t="s">
        <v>138</v>
      </c>
      <c r="BU1325" s="28" t="s">
        <v>263</v>
      </c>
      <c r="BV1325" s="28" t="s">
        <v>138</v>
      </c>
      <c r="BW1325" s="28" t="s">
        <v>138</v>
      </c>
      <c r="BX1325" s="28" t="s">
        <v>138</v>
      </c>
      <c r="BY1325" s="28" t="s">
        <v>175</v>
      </c>
      <c r="BZ1325" s="34">
        <v>43558</v>
      </c>
      <c r="CA1325" s="29">
        <v>350</v>
      </c>
      <c r="CB1325" s="28" t="s">
        <v>1178</v>
      </c>
      <c r="CC1325" s="29">
        <v>850</v>
      </c>
      <c r="CD1325" s="28" t="s">
        <v>172</v>
      </c>
      <c r="CE1325" s="28" t="s">
        <v>173</v>
      </c>
      <c r="CF1325" s="28" t="s">
        <v>138</v>
      </c>
      <c r="CG1325" s="28" t="s">
        <v>138</v>
      </c>
      <c r="CH1325" s="28" t="s">
        <v>174</v>
      </c>
      <c r="CI1325" s="28" t="s">
        <v>138</v>
      </c>
      <c r="CJ1325" s="28" t="s">
        <v>138</v>
      </c>
      <c r="CK1325" s="28" t="s">
        <v>138</v>
      </c>
      <c r="CL1325" s="28" t="s">
        <v>352</v>
      </c>
      <c r="CM1325" s="34" t="s">
        <v>138</v>
      </c>
      <c r="CN1325" s="29" t="s">
        <v>138</v>
      </c>
      <c r="CO1325" s="35">
        <v>2.94</v>
      </c>
      <c r="CP1325" s="36">
        <v>100</v>
      </c>
      <c r="CQ1325" s="35">
        <v>0</v>
      </c>
      <c r="CR1325" s="35">
        <v>0</v>
      </c>
      <c r="CS1325" s="35">
        <v>2.94</v>
      </c>
      <c r="CT1325" s="36">
        <v>99</v>
      </c>
      <c r="CU1325" s="35" t="s">
        <v>138</v>
      </c>
      <c r="CV1325" s="36" t="s">
        <v>138</v>
      </c>
      <c r="CW1325" s="35">
        <v>6.91</v>
      </c>
      <c r="CX1325" s="36">
        <v>98</v>
      </c>
      <c r="CY1325" s="35">
        <v>-1.03</v>
      </c>
      <c r="CZ1325" s="36">
        <v>19</v>
      </c>
      <c r="DA1325" s="35" t="s">
        <v>138</v>
      </c>
      <c r="DB1325" s="36" t="s">
        <v>138</v>
      </c>
      <c r="DC1325" s="37">
        <v>4.3099999999999996</v>
      </c>
      <c r="DD1325" s="36">
        <v>81</v>
      </c>
      <c r="DE1325" s="37">
        <v>-0.31</v>
      </c>
      <c r="DF1325" s="35">
        <v>-6.66</v>
      </c>
      <c r="DG1325" s="37">
        <v>4.3099999999999996</v>
      </c>
      <c r="DH1325" s="36">
        <v>80</v>
      </c>
      <c r="DI1325" s="37" t="s">
        <v>138</v>
      </c>
      <c r="DJ1325" s="36" t="s">
        <v>138</v>
      </c>
      <c r="DK1325" s="37">
        <v>5.0599999999999996</v>
      </c>
      <c r="DL1325" s="36">
        <v>79</v>
      </c>
      <c r="DM1325" s="37">
        <v>3.55</v>
      </c>
      <c r="DN1325" s="36">
        <v>76</v>
      </c>
      <c r="DO1325" s="37" t="s">
        <v>138</v>
      </c>
      <c r="DP1325" s="36" t="s">
        <v>138</v>
      </c>
      <c r="DQ1325" s="36">
        <v>1663</v>
      </c>
      <c r="DR1325" s="38">
        <v>213</v>
      </c>
      <c r="DS1325" s="35">
        <v>14.69</v>
      </c>
      <c r="DT1325" s="36">
        <v>102</v>
      </c>
      <c r="DU1325" s="38">
        <v>0</v>
      </c>
      <c r="DV1325" s="35">
        <v>0</v>
      </c>
      <c r="DW1325" s="36" t="s">
        <v>138</v>
      </c>
      <c r="DX1325" s="39" t="s">
        <v>138</v>
      </c>
      <c r="DY1325" s="35" t="s">
        <v>138</v>
      </c>
      <c r="DZ1325" s="28" t="s">
        <v>178</v>
      </c>
      <c r="EA1325" s="34">
        <v>43613</v>
      </c>
      <c r="EB1325" s="29">
        <v>850</v>
      </c>
      <c r="EC1325" s="34">
        <v>43558</v>
      </c>
      <c r="ED1325" s="28" t="s">
        <v>173</v>
      </c>
      <c r="EE1325" s="40" t="str">
        <f>HYPERLINK("https://my.pitchbook.com?c=170321-05", "View company online")</f>
        <v>View company online</v>
      </c>
    </row>
    <row r="1326" spans="1:135">
      <c r="A1326" s="15" t="s">
        <v>25601</v>
      </c>
      <c r="B1326" s="15" t="s">
        <v>25602</v>
      </c>
      <c r="C1326" s="15" t="s">
        <v>25603</v>
      </c>
      <c r="D1326" s="15" t="s">
        <v>138</v>
      </c>
      <c r="E1326" s="15" t="s">
        <v>25604</v>
      </c>
      <c r="F1326" s="15" t="s">
        <v>25601</v>
      </c>
      <c r="G1326" s="15" t="s">
        <v>25605</v>
      </c>
      <c r="H1326" s="15" t="s">
        <v>322</v>
      </c>
      <c r="I1326" s="15" t="s">
        <v>323</v>
      </c>
      <c r="J1326" s="15" t="s">
        <v>324</v>
      </c>
      <c r="K1326" s="15" t="s">
        <v>325</v>
      </c>
      <c r="L1326" s="15" t="s">
        <v>1544</v>
      </c>
      <c r="M1326" s="15" t="s">
        <v>25606</v>
      </c>
      <c r="N1326" s="15" t="s">
        <v>147</v>
      </c>
      <c r="O1326" s="17">
        <v>59.2</v>
      </c>
      <c r="P1326" s="15" t="s">
        <v>148</v>
      </c>
      <c r="Q1326" s="15" t="s">
        <v>149</v>
      </c>
      <c r="R1326" s="15" t="s">
        <v>174</v>
      </c>
      <c r="S1326" s="15" t="s">
        <v>25607</v>
      </c>
      <c r="T1326" s="18">
        <v>175</v>
      </c>
      <c r="U1326" s="15" t="s">
        <v>25608</v>
      </c>
      <c r="V1326" s="15" t="s">
        <v>138</v>
      </c>
      <c r="W1326" s="15" t="s">
        <v>138</v>
      </c>
      <c r="X1326" s="19">
        <v>2012</v>
      </c>
      <c r="Y1326" s="15" t="s">
        <v>138</v>
      </c>
      <c r="Z1326" s="15" t="s">
        <v>138</v>
      </c>
      <c r="AA1326" s="15" t="s">
        <v>138</v>
      </c>
      <c r="AB1326" s="20" t="s">
        <v>138</v>
      </c>
      <c r="AC1326" s="20" t="s">
        <v>138</v>
      </c>
      <c r="AD1326" s="20" t="s">
        <v>138</v>
      </c>
      <c r="AE1326" s="20" t="s">
        <v>138</v>
      </c>
      <c r="AF1326" s="20" t="s">
        <v>138</v>
      </c>
      <c r="AG1326" s="15" t="s">
        <v>138</v>
      </c>
      <c r="AH1326" s="20" t="s">
        <v>138</v>
      </c>
      <c r="AI1326" s="20" t="s">
        <v>138</v>
      </c>
      <c r="AJ1326" s="20" t="s">
        <v>138</v>
      </c>
      <c r="AK1326" s="15" t="s">
        <v>25609</v>
      </c>
      <c r="AL1326" s="15" t="s">
        <v>25610</v>
      </c>
      <c r="AM1326" s="15" t="s">
        <v>221</v>
      </c>
      <c r="AN1326" s="15" t="s">
        <v>25611</v>
      </c>
      <c r="AO1326" s="15" t="s">
        <v>138</v>
      </c>
      <c r="AP1326" s="15" t="s">
        <v>2880</v>
      </c>
      <c r="AQ1326" s="15" t="s">
        <v>25612</v>
      </c>
      <c r="AR1326" s="15" t="s">
        <v>158</v>
      </c>
      <c r="AS1326" s="15" t="s">
        <v>2882</v>
      </c>
      <c r="AT1326" s="15" t="s">
        <v>2883</v>
      </c>
      <c r="AU1326" s="15" t="s">
        <v>25613</v>
      </c>
      <c r="AV1326" s="15" t="s">
        <v>162</v>
      </c>
      <c r="AW1326" s="15" t="s">
        <v>138</v>
      </c>
      <c r="AX1326" s="15" t="s">
        <v>138</v>
      </c>
      <c r="AY1326" s="15" t="s">
        <v>138</v>
      </c>
      <c r="AZ1326" s="15" t="s">
        <v>164</v>
      </c>
      <c r="BA1326" s="15" t="s">
        <v>165</v>
      </c>
      <c r="BB1326" s="15" t="s">
        <v>25614</v>
      </c>
      <c r="BC1326" s="15" t="s">
        <v>25615</v>
      </c>
      <c r="BD1326" s="21">
        <v>8</v>
      </c>
      <c r="BE1326" s="15" t="s">
        <v>138</v>
      </c>
      <c r="BF1326" s="15" t="s">
        <v>138</v>
      </c>
      <c r="BG1326" s="15" t="s">
        <v>138</v>
      </c>
      <c r="BH1326" s="15" t="s">
        <v>25616</v>
      </c>
      <c r="BI1326" s="15" t="s">
        <v>138</v>
      </c>
      <c r="BJ1326" s="15" t="s">
        <v>138</v>
      </c>
      <c r="BK1326" s="15" t="s">
        <v>138</v>
      </c>
      <c r="BL1326" s="15" t="s">
        <v>204</v>
      </c>
      <c r="BM1326" s="22">
        <v>41838</v>
      </c>
      <c r="BN1326" s="17">
        <v>1.5</v>
      </c>
      <c r="BO1326" s="15" t="s">
        <v>172</v>
      </c>
      <c r="BP1326" s="17">
        <v>0.86</v>
      </c>
      <c r="BQ1326" s="15" t="s">
        <v>172</v>
      </c>
      <c r="BR1326" s="15" t="s">
        <v>234</v>
      </c>
      <c r="BS1326" s="15" t="s">
        <v>234</v>
      </c>
      <c r="BT1326" s="15" t="s">
        <v>138</v>
      </c>
      <c r="BU1326" s="15" t="s">
        <v>174</v>
      </c>
      <c r="BV1326" s="15" t="s">
        <v>138</v>
      </c>
      <c r="BW1326" s="15" t="s">
        <v>138</v>
      </c>
      <c r="BX1326" s="15" t="s">
        <v>138</v>
      </c>
      <c r="BY1326" s="15" t="s">
        <v>175</v>
      </c>
      <c r="BZ1326" s="22">
        <v>43579</v>
      </c>
      <c r="CA1326" s="17">
        <v>32</v>
      </c>
      <c r="CB1326" s="15" t="s">
        <v>172</v>
      </c>
      <c r="CC1326" s="17">
        <v>350</v>
      </c>
      <c r="CD1326" s="15" t="s">
        <v>172</v>
      </c>
      <c r="CE1326" s="15" t="s">
        <v>173</v>
      </c>
      <c r="CF1326" s="15" t="s">
        <v>317</v>
      </c>
      <c r="CG1326" s="15" t="s">
        <v>138</v>
      </c>
      <c r="CH1326" s="15" t="s">
        <v>174</v>
      </c>
      <c r="CI1326" s="15" t="s">
        <v>138</v>
      </c>
      <c r="CJ1326" s="15" t="s">
        <v>138</v>
      </c>
      <c r="CK1326" s="15" t="s">
        <v>138</v>
      </c>
      <c r="CL1326" s="15" t="s">
        <v>175</v>
      </c>
      <c r="CM1326" s="22" t="s">
        <v>138</v>
      </c>
      <c r="CN1326" s="17" t="s">
        <v>138</v>
      </c>
      <c r="CO1326" s="23">
        <v>0.96</v>
      </c>
      <c r="CP1326" s="24">
        <v>97</v>
      </c>
      <c r="CQ1326" s="23">
        <v>-0.04</v>
      </c>
      <c r="CR1326" s="23">
        <v>-3.68</v>
      </c>
      <c r="CS1326" s="23">
        <v>1.56</v>
      </c>
      <c r="CT1326" s="24">
        <v>98</v>
      </c>
      <c r="CU1326" s="23">
        <v>0.37</v>
      </c>
      <c r="CV1326" s="24">
        <v>90</v>
      </c>
      <c r="CW1326" s="23">
        <v>2.4700000000000002</v>
      </c>
      <c r="CX1326" s="24">
        <v>90</v>
      </c>
      <c r="CY1326" s="23">
        <v>0.65</v>
      </c>
      <c r="CZ1326" s="24">
        <v>99</v>
      </c>
      <c r="DA1326" s="23">
        <v>0.37</v>
      </c>
      <c r="DB1326" s="24">
        <v>91</v>
      </c>
      <c r="DC1326" s="25">
        <v>44.78</v>
      </c>
      <c r="DD1326" s="24">
        <v>98</v>
      </c>
      <c r="DE1326" s="25">
        <v>-2.67</v>
      </c>
      <c r="DF1326" s="23">
        <v>-5.62</v>
      </c>
      <c r="DG1326" s="25">
        <v>79.930000000000007</v>
      </c>
      <c r="DH1326" s="24">
        <v>99</v>
      </c>
      <c r="DI1326" s="25">
        <v>9.6300000000000008</v>
      </c>
      <c r="DJ1326" s="24">
        <v>85</v>
      </c>
      <c r="DK1326" s="25">
        <v>87.31</v>
      </c>
      <c r="DL1326" s="24">
        <v>97</v>
      </c>
      <c r="DM1326" s="25">
        <v>72.55</v>
      </c>
      <c r="DN1326" s="24">
        <v>99</v>
      </c>
      <c r="DO1326" s="25">
        <v>9.6300000000000008</v>
      </c>
      <c r="DP1326" s="24">
        <v>87</v>
      </c>
      <c r="DQ1326" s="24">
        <v>29201</v>
      </c>
      <c r="DR1326" s="26">
        <v>2233</v>
      </c>
      <c r="DS1326" s="23">
        <v>8.2799999999999994</v>
      </c>
      <c r="DT1326" s="24">
        <v>2100</v>
      </c>
      <c r="DU1326" s="26">
        <v>15</v>
      </c>
      <c r="DV1326" s="23">
        <v>0.72</v>
      </c>
      <c r="DW1326" s="24">
        <v>3437</v>
      </c>
      <c r="DX1326" s="27">
        <v>15</v>
      </c>
      <c r="DY1326" s="23">
        <v>0.44</v>
      </c>
      <c r="DZ1326" s="15" t="s">
        <v>178</v>
      </c>
      <c r="EA1326" s="22">
        <v>43580</v>
      </c>
      <c r="EB1326" s="17">
        <v>350</v>
      </c>
      <c r="EC1326" s="22">
        <v>43579</v>
      </c>
      <c r="ED1326" s="15" t="s">
        <v>173</v>
      </c>
      <c r="EE1326" s="14" t="str">
        <f>HYPERLINK("https://my.pitchbook.com?c=64888-93", "View company online")</f>
        <v>View company online</v>
      </c>
    </row>
    <row r="1327" spans="1:135">
      <c r="A1327" s="28" t="s">
        <v>25617</v>
      </c>
      <c r="B1327" s="28" t="s">
        <v>25618</v>
      </c>
      <c r="C1327" s="28" t="s">
        <v>25619</v>
      </c>
      <c r="D1327" s="28" t="s">
        <v>138</v>
      </c>
      <c r="E1327" s="28" t="s">
        <v>25620</v>
      </c>
      <c r="F1327" s="28" t="s">
        <v>25617</v>
      </c>
      <c r="G1327" s="28" t="s">
        <v>25621</v>
      </c>
      <c r="H1327" s="28" t="s">
        <v>141</v>
      </c>
      <c r="I1327" s="28" t="s">
        <v>212</v>
      </c>
      <c r="J1327" s="28" t="s">
        <v>213</v>
      </c>
      <c r="K1327" s="28" t="s">
        <v>12202</v>
      </c>
      <c r="L1327" s="28" t="s">
        <v>415</v>
      </c>
      <c r="M1327" s="28" t="s">
        <v>25622</v>
      </c>
      <c r="N1327" s="28" t="s">
        <v>147</v>
      </c>
      <c r="O1327" s="29">
        <v>11</v>
      </c>
      <c r="P1327" s="28" t="s">
        <v>148</v>
      </c>
      <c r="Q1327" s="28" t="s">
        <v>149</v>
      </c>
      <c r="R1327" s="28" t="s">
        <v>244</v>
      </c>
      <c r="S1327" s="28" t="s">
        <v>25623</v>
      </c>
      <c r="T1327" s="30">
        <v>28</v>
      </c>
      <c r="U1327" s="28" t="s">
        <v>25624</v>
      </c>
      <c r="V1327" s="28" t="s">
        <v>138</v>
      </c>
      <c r="W1327" s="28" t="s">
        <v>138</v>
      </c>
      <c r="X1327" s="31">
        <v>2011</v>
      </c>
      <c r="Y1327" s="28" t="s">
        <v>138</v>
      </c>
      <c r="Z1327" s="28" t="s">
        <v>138</v>
      </c>
      <c r="AA1327" s="28" t="s">
        <v>138</v>
      </c>
      <c r="AB1327" s="32" t="s">
        <v>138</v>
      </c>
      <c r="AC1327" s="32" t="s">
        <v>138</v>
      </c>
      <c r="AD1327" s="32" t="s">
        <v>138</v>
      </c>
      <c r="AE1327" s="32" t="s">
        <v>138</v>
      </c>
      <c r="AF1327" s="32" t="s">
        <v>138</v>
      </c>
      <c r="AG1327" s="28" t="s">
        <v>138</v>
      </c>
      <c r="AH1327" s="32" t="s">
        <v>138</v>
      </c>
      <c r="AI1327" s="32" t="s">
        <v>138</v>
      </c>
      <c r="AJ1327" s="32" t="s">
        <v>138</v>
      </c>
      <c r="AK1327" s="28" t="s">
        <v>25625</v>
      </c>
      <c r="AL1327" s="28" t="s">
        <v>25626</v>
      </c>
      <c r="AM1327" s="28" t="s">
        <v>25627</v>
      </c>
      <c r="AN1327" s="28" t="s">
        <v>25628</v>
      </c>
      <c r="AO1327" s="28" t="s">
        <v>25629</v>
      </c>
      <c r="AP1327" s="28" t="s">
        <v>3668</v>
      </c>
      <c r="AQ1327" s="28" t="s">
        <v>25630</v>
      </c>
      <c r="AR1327" s="28" t="s">
        <v>4422</v>
      </c>
      <c r="AS1327" s="28" t="s">
        <v>3670</v>
      </c>
      <c r="AT1327" s="28" t="s">
        <v>200</v>
      </c>
      <c r="AU1327" s="28" t="s">
        <v>20130</v>
      </c>
      <c r="AV1327" s="28" t="s">
        <v>162</v>
      </c>
      <c r="AW1327" s="28" t="s">
        <v>25629</v>
      </c>
      <c r="AX1327" s="28" t="s">
        <v>138</v>
      </c>
      <c r="AY1327" s="28" t="s">
        <v>138</v>
      </c>
      <c r="AZ1327" s="28" t="s">
        <v>164</v>
      </c>
      <c r="BA1327" s="28" t="s">
        <v>165</v>
      </c>
      <c r="BB1327" s="28" t="s">
        <v>25631</v>
      </c>
      <c r="BC1327" s="28" t="s">
        <v>25632</v>
      </c>
      <c r="BD1327" s="33">
        <v>5</v>
      </c>
      <c r="BE1327" s="28" t="s">
        <v>138</v>
      </c>
      <c r="BF1327" s="28" t="s">
        <v>138</v>
      </c>
      <c r="BG1327" s="28" t="s">
        <v>138</v>
      </c>
      <c r="BH1327" s="28" t="s">
        <v>25633</v>
      </c>
      <c r="BI1327" s="28" t="s">
        <v>138</v>
      </c>
      <c r="BJ1327" s="28" t="s">
        <v>138</v>
      </c>
      <c r="BK1327" s="28" t="s">
        <v>25634</v>
      </c>
      <c r="BL1327" s="28" t="s">
        <v>25635</v>
      </c>
      <c r="BM1327" s="34">
        <v>41590</v>
      </c>
      <c r="BN1327" s="29">
        <v>0.2</v>
      </c>
      <c r="BO1327" s="28" t="s">
        <v>172</v>
      </c>
      <c r="BP1327" s="29" t="s">
        <v>138</v>
      </c>
      <c r="BQ1327" s="28" t="s">
        <v>138</v>
      </c>
      <c r="BR1327" s="28" t="s">
        <v>1326</v>
      </c>
      <c r="BS1327" s="28" t="s">
        <v>138</v>
      </c>
      <c r="BT1327" s="28" t="s">
        <v>138</v>
      </c>
      <c r="BU1327" s="28" t="s">
        <v>1327</v>
      </c>
      <c r="BV1327" s="28" t="s">
        <v>1328</v>
      </c>
      <c r="BW1327" s="28" t="s">
        <v>138</v>
      </c>
      <c r="BX1327" s="28" t="s">
        <v>138</v>
      </c>
      <c r="BY1327" s="28" t="s">
        <v>175</v>
      </c>
      <c r="BZ1327" s="34" t="s">
        <v>138</v>
      </c>
      <c r="CA1327" s="29">
        <v>2.2999999999999998</v>
      </c>
      <c r="CB1327" s="28" t="s">
        <v>172</v>
      </c>
      <c r="CC1327" s="29" t="s">
        <v>138</v>
      </c>
      <c r="CD1327" s="28" t="s">
        <v>138</v>
      </c>
      <c r="CE1327" s="28" t="s">
        <v>205</v>
      </c>
      <c r="CF1327" s="28" t="s">
        <v>138</v>
      </c>
      <c r="CG1327" s="28" t="s">
        <v>138</v>
      </c>
      <c r="CH1327" s="28" t="s">
        <v>174</v>
      </c>
      <c r="CI1327" s="28" t="s">
        <v>138</v>
      </c>
      <c r="CJ1327" s="28" t="s">
        <v>138</v>
      </c>
      <c r="CK1327" s="28" t="s">
        <v>138</v>
      </c>
      <c r="CL1327" s="28" t="s">
        <v>175</v>
      </c>
      <c r="CM1327" s="34">
        <v>41590</v>
      </c>
      <c r="CN1327" s="29">
        <v>0.2</v>
      </c>
      <c r="CO1327" s="35">
        <v>1.61</v>
      </c>
      <c r="CP1327" s="36">
        <v>98</v>
      </c>
      <c r="CQ1327" s="35">
        <v>0</v>
      </c>
      <c r="CR1327" s="35">
        <v>-0.27</v>
      </c>
      <c r="CS1327" s="35">
        <v>3.25</v>
      </c>
      <c r="CT1327" s="36">
        <v>99</v>
      </c>
      <c r="CU1327" s="35">
        <v>-0.02</v>
      </c>
      <c r="CV1327" s="36">
        <v>17</v>
      </c>
      <c r="CW1327" s="35">
        <v>6.49</v>
      </c>
      <c r="CX1327" s="36">
        <v>97</v>
      </c>
      <c r="CY1327" s="35">
        <v>0</v>
      </c>
      <c r="CZ1327" s="36">
        <v>25</v>
      </c>
      <c r="DA1327" s="35">
        <v>-0.01</v>
      </c>
      <c r="DB1327" s="36">
        <v>21</v>
      </c>
      <c r="DC1327" s="37">
        <v>4.16</v>
      </c>
      <c r="DD1327" s="36">
        <v>80</v>
      </c>
      <c r="DE1327" s="37">
        <v>-0.21</v>
      </c>
      <c r="DF1327" s="35">
        <v>-4.71</v>
      </c>
      <c r="DG1327" s="37">
        <v>3.87</v>
      </c>
      <c r="DH1327" s="36">
        <v>79</v>
      </c>
      <c r="DI1327" s="37">
        <v>4.46</v>
      </c>
      <c r="DJ1327" s="36">
        <v>76</v>
      </c>
      <c r="DK1327" s="37">
        <v>6.25</v>
      </c>
      <c r="DL1327" s="36">
        <v>82</v>
      </c>
      <c r="DM1327" s="37">
        <v>1.48</v>
      </c>
      <c r="DN1327" s="36">
        <v>59</v>
      </c>
      <c r="DO1327" s="37">
        <v>8.06</v>
      </c>
      <c r="DP1327" s="36">
        <v>85</v>
      </c>
      <c r="DQ1327" s="36">
        <v>2073</v>
      </c>
      <c r="DR1327" s="38">
        <v>210</v>
      </c>
      <c r="DS1327" s="35">
        <v>11.27</v>
      </c>
      <c r="DT1327" s="36">
        <v>43</v>
      </c>
      <c r="DU1327" s="38">
        <v>-2</v>
      </c>
      <c r="DV1327" s="35">
        <v>-4.4400000000000004</v>
      </c>
      <c r="DW1327" s="36">
        <v>2885</v>
      </c>
      <c r="DX1327" s="39">
        <v>1</v>
      </c>
      <c r="DY1327" s="35">
        <v>0.03</v>
      </c>
      <c r="DZ1327" s="28" t="s">
        <v>178</v>
      </c>
      <c r="EA1327" s="34">
        <v>43351</v>
      </c>
      <c r="EB1327" s="29">
        <v>25.88</v>
      </c>
      <c r="EC1327" s="34">
        <v>42355</v>
      </c>
      <c r="ED1327" s="28" t="s">
        <v>205</v>
      </c>
      <c r="EE1327" s="40" t="str">
        <f>HYPERLINK("https://my.pitchbook.com?c=55225-90", "View company online")</f>
        <v>View company online</v>
      </c>
    </row>
    <row r="1328" spans="1:135">
      <c r="A1328" s="15" t="s">
        <v>25636</v>
      </c>
      <c r="B1328" s="15" t="s">
        <v>25637</v>
      </c>
      <c r="C1328" s="15" t="s">
        <v>138</v>
      </c>
      <c r="D1328" s="15" t="s">
        <v>138</v>
      </c>
      <c r="E1328" s="15" t="s">
        <v>25638</v>
      </c>
      <c r="F1328" s="15" t="s">
        <v>25636</v>
      </c>
      <c r="G1328" s="15" t="s">
        <v>25639</v>
      </c>
      <c r="H1328" s="15" t="s">
        <v>322</v>
      </c>
      <c r="I1328" s="15" t="s">
        <v>323</v>
      </c>
      <c r="J1328" s="15" t="s">
        <v>413</v>
      </c>
      <c r="K1328" s="15" t="s">
        <v>874</v>
      </c>
      <c r="L1328" s="15" t="s">
        <v>25640</v>
      </c>
      <c r="M1328" s="15" t="s">
        <v>25641</v>
      </c>
      <c r="N1328" s="15" t="s">
        <v>147</v>
      </c>
      <c r="O1328" s="17">
        <v>0.05</v>
      </c>
      <c r="P1328" s="15" t="s">
        <v>2922</v>
      </c>
      <c r="Q1328" s="15" t="s">
        <v>149</v>
      </c>
      <c r="R1328" s="15" t="s">
        <v>174</v>
      </c>
      <c r="S1328" s="15" t="s">
        <v>25642</v>
      </c>
      <c r="T1328" s="18">
        <v>9</v>
      </c>
      <c r="U1328" s="15" t="s">
        <v>25643</v>
      </c>
      <c r="V1328" s="15" t="s">
        <v>138</v>
      </c>
      <c r="W1328" s="15" t="s">
        <v>138</v>
      </c>
      <c r="X1328" s="19">
        <v>2015</v>
      </c>
      <c r="Y1328" s="15" t="s">
        <v>138</v>
      </c>
      <c r="Z1328" s="15" t="s">
        <v>138</v>
      </c>
      <c r="AA1328" s="15" t="s">
        <v>138</v>
      </c>
      <c r="AB1328" s="20" t="s">
        <v>138</v>
      </c>
      <c r="AC1328" s="20" t="s">
        <v>138</v>
      </c>
      <c r="AD1328" s="20" t="s">
        <v>138</v>
      </c>
      <c r="AE1328" s="20" t="s">
        <v>138</v>
      </c>
      <c r="AF1328" s="20" t="s">
        <v>138</v>
      </c>
      <c r="AG1328" s="15" t="s">
        <v>138</v>
      </c>
      <c r="AH1328" s="20" t="s">
        <v>138</v>
      </c>
      <c r="AI1328" s="20" t="s">
        <v>138</v>
      </c>
      <c r="AJ1328" s="20" t="s">
        <v>138</v>
      </c>
      <c r="AK1328" s="15" t="s">
        <v>25644</v>
      </c>
      <c r="AL1328" s="15" t="s">
        <v>25645</v>
      </c>
      <c r="AM1328" s="15" t="s">
        <v>221</v>
      </c>
      <c r="AN1328" s="15" t="s">
        <v>25646</v>
      </c>
      <c r="AO1328" s="15" t="s">
        <v>25647</v>
      </c>
      <c r="AP1328" s="15" t="s">
        <v>3108</v>
      </c>
      <c r="AQ1328" s="15" t="s">
        <v>25648</v>
      </c>
      <c r="AR1328" s="15" t="s">
        <v>138</v>
      </c>
      <c r="AS1328" s="15" t="s">
        <v>3111</v>
      </c>
      <c r="AT1328" s="15" t="s">
        <v>3112</v>
      </c>
      <c r="AU1328" s="15" t="s">
        <v>25649</v>
      </c>
      <c r="AV1328" s="15" t="s">
        <v>2742</v>
      </c>
      <c r="AW1328" s="15" t="s">
        <v>138</v>
      </c>
      <c r="AX1328" s="15" t="s">
        <v>138</v>
      </c>
      <c r="AY1328" s="15" t="s">
        <v>25650</v>
      </c>
      <c r="AZ1328" s="15" t="s">
        <v>164</v>
      </c>
      <c r="BA1328" s="15" t="s">
        <v>165</v>
      </c>
      <c r="BB1328" s="15" t="s">
        <v>25651</v>
      </c>
      <c r="BC1328" s="15" t="s">
        <v>25652</v>
      </c>
      <c r="BD1328" s="21">
        <v>8</v>
      </c>
      <c r="BE1328" s="15" t="s">
        <v>138</v>
      </c>
      <c r="BF1328" s="15" t="s">
        <v>138</v>
      </c>
      <c r="BG1328" s="15" t="s">
        <v>138</v>
      </c>
      <c r="BH1328" s="15" t="s">
        <v>25653</v>
      </c>
      <c r="BI1328" s="15" t="s">
        <v>138</v>
      </c>
      <c r="BJ1328" s="15" t="s">
        <v>138</v>
      </c>
      <c r="BK1328" s="15" t="s">
        <v>25654</v>
      </c>
      <c r="BL1328" s="15" t="s">
        <v>315</v>
      </c>
      <c r="BM1328" s="22" t="s">
        <v>138</v>
      </c>
      <c r="BN1328" s="17" t="s">
        <v>138</v>
      </c>
      <c r="BO1328" s="15" t="s">
        <v>138</v>
      </c>
      <c r="BP1328" s="17" t="s">
        <v>138</v>
      </c>
      <c r="BQ1328" s="15" t="s">
        <v>138</v>
      </c>
      <c r="BR1328" s="15" t="s">
        <v>316</v>
      </c>
      <c r="BS1328" s="15" t="s">
        <v>138</v>
      </c>
      <c r="BT1328" s="15" t="s">
        <v>138</v>
      </c>
      <c r="BU1328" s="15" t="s">
        <v>177</v>
      </c>
      <c r="BV1328" s="15" t="s">
        <v>138</v>
      </c>
      <c r="BW1328" s="15" t="s">
        <v>138</v>
      </c>
      <c r="BX1328" s="15" t="s">
        <v>138</v>
      </c>
      <c r="BY1328" s="15" t="s">
        <v>175</v>
      </c>
      <c r="BZ1328" s="22">
        <v>43348</v>
      </c>
      <c r="CA1328" s="17">
        <v>0.05</v>
      </c>
      <c r="CB1328" s="15" t="s">
        <v>172</v>
      </c>
      <c r="CC1328" s="17" t="s">
        <v>138</v>
      </c>
      <c r="CD1328" s="15" t="s">
        <v>138</v>
      </c>
      <c r="CE1328" s="15" t="s">
        <v>316</v>
      </c>
      <c r="CF1328" s="15" t="s">
        <v>138</v>
      </c>
      <c r="CG1328" s="15" t="s">
        <v>138</v>
      </c>
      <c r="CH1328" s="15" t="s">
        <v>177</v>
      </c>
      <c r="CI1328" s="15" t="s">
        <v>264</v>
      </c>
      <c r="CJ1328" s="15" t="s">
        <v>138</v>
      </c>
      <c r="CK1328" s="15" t="s">
        <v>138</v>
      </c>
      <c r="CL1328" s="15" t="s">
        <v>175</v>
      </c>
      <c r="CM1328" s="22" t="s">
        <v>138</v>
      </c>
      <c r="CN1328" s="17" t="s">
        <v>138</v>
      </c>
      <c r="CO1328" s="23">
        <v>0.13</v>
      </c>
      <c r="CP1328" s="24">
        <v>91</v>
      </c>
      <c r="CQ1328" s="23">
        <v>-0.13</v>
      </c>
      <c r="CR1328" s="23">
        <v>-50.01</v>
      </c>
      <c r="CS1328" s="23" t="s">
        <v>138</v>
      </c>
      <c r="CT1328" s="24" t="s">
        <v>138</v>
      </c>
      <c r="CU1328" s="23">
        <v>0.26</v>
      </c>
      <c r="CV1328" s="24">
        <v>85</v>
      </c>
      <c r="CW1328" s="23" t="s">
        <v>138</v>
      </c>
      <c r="CX1328" s="24" t="s">
        <v>138</v>
      </c>
      <c r="CY1328" s="23" t="s">
        <v>138</v>
      </c>
      <c r="CZ1328" s="24" t="s">
        <v>138</v>
      </c>
      <c r="DA1328" s="23">
        <v>0.26</v>
      </c>
      <c r="DB1328" s="24">
        <v>87</v>
      </c>
      <c r="DC1328" s="25">
        <v>0.21</v>
      </c>
      <c r="DD1328" s="24">
        <v>15</v>
      </c>
      <c r="DE1328" s="25">
        <v>0</v>
      </c>
      <c r="DF1328" s="23">
        <v>-0.12</v>
      </c>
      <c r="DG1328" s="25" t="s">
        <v>138</v>
      </c>
      <c r="DH1328" s="24" t="s">
        <v>138</v>
      </c>
      <c r="DI1328" s="25">
        <v>0.41</v>
      </c>
      <c r="DJ1328" s="24">
        <v>33</v>
      </c>
      <c r="DK1328" s="25" t="s">
        <v>138</v>
      </c>
      <c r="DL1328" s="24" t="s">
        <v>138</v>
      </c>
      <c r="DM1328" s="25" t="s">
        <v>138</v>
      </c>
      <c r="DN1328" s="24" t="s">
        <v>138</v>
      </c>
      <c r="DO1328" s="25">
        <v>0.41</v>
      </c>
      <c r="DP1328" s="24">
        <v>35</v>
      </c>
      <c r="DQ1328" s="24" t="s">
        <v>138</v>
      </c>
      <c r="DR1328" s="26" t="s">
        <v>138</v>
      </c>
      <c r="DS1328" s="23" t="s">
        <v>138</v>
      </c>
      <c r="DT1328" s="24" t="s">
        <v>138</v>
      </c>
      <c r="DU1328" s="26" t="s">
        <v>138</v>
      </c>
      <c r="DV1328" s="23" t="s">
        <v>138</v>
      </c>
      <c r="DW1328" s="24">
        <v>145</v>
      </c>
      <c r="DX1328" s="27">
        <v>-1</v>
      </c>
      <c r="DY1328" s="23">
        <v>-0.68</v>
      </c>
      <c r="DZ1328" s="15" t="s">
        <v>178</v>
      </c>
      <c r="EA1328" s="22">
        <v>43500</v>
      </c>
      <c r="EB1328" s="17" t="s">
        <v>138</v>
      </c>
      <c r="EC1328" s="22" t="s">
        <v>138</v>
      </c>
      <c r="ED1328" s="15" t="s">
        <v>138</v>
      </c>
      <c r="EE1328" s="14" t="str">
        <f>HYPERLINK("https://my.pitchbook.com?c=155500-84", "View company online")</f>
        <v>View company online</v>
      </c>
    </row>
    <row r="1329" spans="1:135">
      <c r="A1329" s="28" t="s">
        <v>25655</v>
      </c>
      <c r="B1329" s="28" t="s">
        <v>25656</v>
      </c>
      <c r="C1329" s="28" t="s">
        <v>138</v>
      </c>
      <c r="D1329" s="28" t="s">
        <v>25657</v>
      </c>
      <c r="E1329" s="28" t="s">
        <v>25658</v>
      </c>
      <c r="F1329" s="28" t="s">
        <v>25655</v>
      </c>
      <c r="G1329" s="28" t="s">
        <v>25659</v>
      </c>
      <c r="H1329" s="28" t="s">
        <v>238</v>
      </c>
      <c r="I1329" s="28" t="s">
        <v>239</v>
      </c>
      <c r="J1329" s="28" t="s">
        <v>240</v>
      </c>
      <c r="K1329" s="28" t="s">
        <v>25660</v>
      </c>
      <c r="L1329" s="28" t="s">
        <v>415</v>
      </c>
      <c r="M1329" s="28" t="s">
        <v>25661</v>
      </c>
      <c r="N1329" s="28" t="s">
        <v>147</v>
      </c>
      <c r="O1329" s="29">
        <v>25.5</v>
      </c>
      <c r="P1329" s="28" t="s">
        <v>148</v>
      </c>
      <c r="Q1329" s="28" t="s">
        <v>149</v>
      </c>
      <c r="R1329" s="28" t="s">
        <v>174</v>
      </c>
      <c r="S1329" s="28" t="s">
        <v>25662</v>
      </c>
      <c r="T1329" s="30">
        <v>22</v>
      </c>
      <c r="U1329" s="28" t="s">
        <v>25663</v>
      </c>
      <c r="V1329" s="28" t="s">
        <v>138</v>
      </c>
      <c r="W1329" s="28" t="s">
        <v>138</v>
      </c>
      <c r="X1329" s="31">
        <v>2010</v>
      </c>
      <c r="Y1329" s="28" t="s">
        <v>138</v>
      </c>
      <c r="Z1329" s="28" t="s">
        <v>138</v>
      </c>
      <c r="AA1329" s="28" t="s">
        <v>138</v>
      </c>
      <c r="AB1329" s="32" t="s">
        <v>138</v>
      </c>
      <c r="AC1329" s="32" t="s">
        <v>138</v>
      </c>
      <c r="AD1329" s="32" t="s">
        <v>138</v>
      </c>
      <c r="AE1329" s="32" t="s">
        <v>138</v>
      </c>
      <c r="AF1329" s="32" t="s">
        <v>138</v>
      </c>
      <c r="AG1329" s="28" t="s">
        <v>138</v>
      </c>
      <c r="AH1329" s="32" t="s">
        <v>138</v>
      </c>
      <c r="AI1329" s="32" t="s">
        <v>138</v>
      </c>
      <c r="AJ1329" s="32" t="s">
        <v>138</v>
      </c>
      <c r="AK1329" s="28" t="s">
        <v>25664</v>
      </c>
      <c r="AL1329" s="28" t="s">
        <v>25665</v>
      </c>
      <c r="AM1329" s="28" t="s">
        <v>11604</v>
      </c>
      <c r="AN1329" s="28" t="s">
        <v>25666</v>
      </c>
      <c r="AO1329" s="28" t="s">
        <v>138</v>
      </c>
      <c r="AP1329" s="28" t="s">
        <v>1870</v>
      </c>
      <c r="AQ1329" s="28" t="s">
        <v>25667</v>
      </c>
      <c r="AR1329" s="28" t="s">
        <v>138</v>
      </c>
      <c r="AS1329" s="28" t="s">
        <v>1872</v>
      </c>
      <c r="AT1329" s="28" t="s">
        <v>200</v>
      </c>
      <c r="AU1329" s="28" t="s">
        <v>25668</v>
      </c>
      <c r="AV1329" s="28" t="s">
        <v>162</v>
      </c>
      <c r="AW1329" s="28" t="s">
        <v>138</v>
      </c>
      <c r="AX1329" s="28" t="s">
        <v>138</v>
      </c>
      <c r="AY1329" s="28" t="s">
        <v>25669</v>
      </c>
      <c r="AZ1329" s="28" t="s">
        <v>164</v>
      </c>
      <c r="BA1329" s="28" t="s">
        <v>165</v>
      </c>
      <c r="BB1329" s="28" t="s">
        <v>25670</v>
      </c>
      <c r="BC1329" s="28" t="s">
        <v>25671</v>
      </c>
      <c r="BD1329" s="33">
        <v>7</v>
      </c>
      <c r="BE1329" s="28" t="s">
        <v>138</v>
      </c>
      <c r="BF1329" s="28" t="s">
        <v>138</v>
      </c>
      <c r="BG1329" s="28" t="s">
        <v>138</v>
      </c>
      <c r="BH1329" s="28" t="s">
        <v>25672</v>
      </c>
      <c r="BI1329" s="28" t="s">
        <v>138</v>
      </c>
      <c r="BJ1329" s="28" t="s">
        <v>138</v>
      </c>
      <c r="BK1329" s="28" t="s">
        <v>315</v>
      </c>
      <c r="BL1329" s="28" t="s">
        <v>315</v>
      </c>
      <c r="BM1329" s="34">
        <v>40689</v>
      </c>
      <c r="BN1329" s="29">
        <v>3</v>
      </c>
      <c r="BO1329" s="28" t="s">
        <v>172</v>
      </c>
      <c r="BP1329" s="29">
        <v>17.86</v>
      </c>
      <c r="BQ1329" s="28" t="s">
        <v>172</v>
      </c>
      <c r="BR1329" s="28" t="s">
        <v>205</v>
      </c>
      <c r="BS1329" s="28" t="s">
        <v>206</v>
      </c>
      <c r="BT1329" s="28" t="s">
        <v>138</v>
      </c>
      <c r="BU1329" s="28" t="s">
        <v>174</v>
      </c>
      <c r="BV1329" s="28" t="s">
        <v>138</v>
      </c>
      <c r="BW1329" s="28" t="s">
        <v>138</v>
      </c>
      <c r="BX1329" s="28" t="s">
        <v>138</v>
      </c>
      <c r="BY1329" s="28" t="s">
        <v>175</v>
      </c>
      <c r="BZ1329" s="34">
        <v>43221</v>
      </c>
      <c r="CA1329" s="29">
        <v>11.5</v>
      </c>
      <c r="CB1329" s="28" t="s">
        <v>1178</v>
      </c>
      <c r="CC1329" s="29">
        <v>51.5</v>
      </c>
      <c r="CD1329" s="28" t="s">
        <v>172</v>
      </c>
      <c r="CE1329" s="28" t="s">
        <v>173</v>
      </c>
      <c r="CF1329" s="28" t="s">
        <v>720</v>
      </c>
      <c r="CG1329" s="28" t="s">
        <v>138</v>
      </c>
      <c r="CH1329" s="28" t="s">
        <v>174</v>
      </c>
      <c r="CI1329" s="28" t="s">
        <v>138</v>
      </c>
      <c r="CJ1329" s="28" t="s">
        <v>138</v>
      </c>
      <c r="CK1329" s="28" t="s">
        <v>138</v>
      </c>
      <c r="CL1329" s="28" t="s">
        <v>175</v>
      </c>
      <c r="CM1329" s="34" t="s">
        <v>138</v>
      </c>
      <c r="CN1329" s="29" t="s">
        <v>138</v>
      </c>
      <c r="CO1329" s="35">
        <v>-0.41</v>
      </c>
      <c r="CP1329" s="36">
        <v>17</v>
      </c>
      <c r="CQ1329" s="35">
        <v>0</v>
      </c>
      <c r="CR1329" s="35">
        <v>-0.83</v>
      </c>
      <c r="CS1329" s="35">
        <v>-0.76</v>
      </c>
      <c r="CT1329" s="36">
        <v>17</v>
      </c>
      <c r="CU1329" s="35">
        <v>-0.05</v>
      </c>
      <c r="CV1329" s="36">
        <v>9</v>
      </c>
      <c r="CW1329" s="35">
        <v>1.24</v>
      </c>
      <c r="CX1329" s="36">
        <v>85</v>
      </c>
      <c r="CY1329" s="35">
        <v>-2.75</v>
      </c>
      <c r="CZ1329" s="36">
        <v>8</v>
      </c>
      <c r="DA1329" s="35">
        <v>-0.05</v>
      </c>
      <c r="DB1329" s="36">
        <v>13</v>
      </c>
      <c r="DC1329" s="37">
        <v>50.03</v>
      </c>
      <c r="DD1329" s="36">
        <v>98</v>
      </c>
      <c r="DE1329" s="37">
        <v>-0.15</v>
      </c>
      <c r="DF1329" s="35">
        <v>-0.3</v>
      </c>
      <c r="DG1329" s="37">
        <v>79.900000000000006</v>
      </c>
      <c r="DH1329" s="36">
        <v>99</v>
      </c>
      <c r="DI1329" s="37">
        <v>20.16</v>
      </c>
      <c r="DJ1329" s="36">
        <v>91</v>
      </c>
      <c r="DK1329" s="37">
        <v>3.19</v>
      </c>
      <c r="DL1329" s="36">
        <v>73</v>
      </c>
      <c r="DM1329" s="37">
        <v>156.62</v>
      </c>
      <c r="DN1329" s="36">
        <v>100</v>
      </c>
      <c r="DO1329" s="37">
        <v>20.16</v>
      </c>
      <c r="DP1329" s="36">
        <v>92</v>
      </c>
      <c r="DQ1329" s="36">
        <v>1097</v>
      </c>
      <c r="DR1329" s="38">
        <v>-13</v>
      </c>
      <c r="DS1329" s="35">
        <v>-1.17</v>
      </c>
      <c r="DT1329" s="36">
        <v>4547</v>
      </c>
      <c r="DU1329" s="38">
        <v>-10</v>
      </c>
      <c r="DV1329" s="35">
        <v>-0.22</v>
      </c>
      <c r="DW1329" s="36">
        <v>7217</v>
      </c>
      <c r="DX1329" s="39">
        <v>1</v>
      </c>
      <c r="DY1329" s="35">
        <v>0.01</v>
      </c>
      <c r="DZ1329" s="28" t="s">
        <v>178</v>
      </c>
      <c r="EA1329" s="34">
        <v>43592</v>
      </c>
      <c r="EB1329" s="29">
        <v>51.5</v>
      </c>
      <c r="EC1329" s="34">
        <v>43221</v>
      </c>
      <c r="ED1329" s="28" t="s">
        <v>173</v>
      </c>
      <c r="EE1329" s="40" t="str">
        <f>HYPERLINK("https://my.pitchbook.com?c=52230-07", "View company online")</f>
        <v>View company online</v>
      </c>
    </row>
    <row r="1330" spans="1:135">
      <c r="A1330" s="15" t="s">
        <v>25673</v>
      </c>
      <c r="B1330" s="15" t="s">
        <v>25674</v>
      </c>
      <c r="C1330" s="15" t="s">
        <v>25675</v>
      </c>
      <c r="D1330" s="15" t="s">
        <v>138</v>
      </c>
      <c r="E1330" s="15" t="s">
        <v>25676</v>
      </c>
      <c r="F1330" s="15" t="s">
        <v>25673</v>
      </c>
      <c r="G1330" s="15" t="s">
        <v>25677</v>
      </c>
      <c r="H1330" s="15" t="s">
        <v>141</v>
      </c>
      <c r="I1330" s="15" t="s">
        <v>212</v>
      </c>
      <c r="J1330" s="15" t="s">
        <v>486</v>
      </c>
      <c r="K1330" s="15" t="s">
        <v>25678</v>
      </c>
      <c r="L1330" s="15" t="s">
        <v>326</v>
      </c>
      <c r="M1330" s="15" t="s">
        <v>25679</v>
      </c>
      <c r="N1330" s="15" t="s">
        <v>147</v>
      </c>
      <c r="O1330" s="17">
        <v>38.78</v>
      </c>
      <c r="P1330" s="15" t="s">
        <v>148</v>
      </c>
      <c r="Q1330" s="15" t="s">
        <v>149</v>
      </c>
      <c r="R1330" s="15" t="s">
        <v>244</v>
      </c>
      <c r="S1330" s="15" t="s">
        <v>25680</v>
      </c>
      <c r="T1330" s="18">
        <v>50</v>
      </c>
      <c r="U1330" s="15" t="s">
        <v>25681</v>
      </c>
      <c r="V1330" s="15" t="s">
        <v>138</v>
      </c>
      <c r="W1330" s="15" t="s">
        <v>138</v>
      </c>
      <c r="X1330" s="19">
        <v>2016</v>
      </c>
      <c r="Y1330" s="15" t="s">
        <v>138</v>
      </c>
      <c r="Z1330" s="15" t="s">
        <v>1163</v>
      </c>
      <c r="AA1330" s="15" t="s">
        <v>1163</v>
      </c>
      <c r="AB1330" s="20" t="s">
        <v>138</v>
      </c>
      <c r="AC1330" s="20" t="s">
        <v>138</v>
      </c>
      <c r="AD1330" s="20" t="s">
        <v>138</v>
      </c>
      <c r="AE1330" s="20" t="s">
        <v>138</v>
      </c>
      <c r="AF1330" s="20" t="s">
        <v>138</v>
      </c>
      <c r="AG1330" s="15" t="s">
        <v>138</v>
      </c>
      <c r="AH1330" s="20" t="s">
        <v>138</v>
      </c>
      <c r="AI1330" s="20" t="s">
        <v>138</v>
      </c>
      <c r="AJ1330" s="20" t="s">
        <v>138</v>
      </c>
      <c r="AK1330" s="15" t="s">
        <v>25682</v>
      </c>
      <c r="AL1330" s="15" t="s">
        <v>25683</v>
      </c>
      <c r="AM1330" s="15" t="s">
        <v>12471</v>
      </c>
      <c r="AN1330" s="15" t="s">
        <v>25684</v>
      </c>
      <c r="AO1330" s="15" t="s">
        <v>25685</v>
      </c>
      <c r="AP1330" s="15" t="s">
        <v>9438</v>
      </c>
      <c r="AQ1330" s="15" t="s">
        <v>25686</v>
      </c>
      <c r="AR1330" s="15" t="s">
        <v>25687</v>
      </c>
      <c r="AS1330" s="15" t="s">
        <v>9440</v>
      </c>
      <c r="AT1330" s="15" t="s">
        <v>3182</v>
      </c>
      <c r="AU1330" s="15" t="s">
        <v>25688</v>
      </c>
      <c r="AV1330" s="15" t="s">
        <v>162</v>
      </c>
      <c r="AW1330" s="15" t="s">
        <v>25685</v>
      </c>
      <c r="AX1330" s="15" t="s">
        <v>138</v>
      </c>
      <c r="AY1330" s="15" t="s">
        <v>138</v>
      </c>
      <c r="AZ1330" s="15" t="s">
        <v>164</v>
      </c>
      <c r="BA1330" s="15" t="s">
        <v>165</v>
      </c>
      <c r="BB1330" s="15" t="s">
        <v>25689</v>
      </c>
      <c r="BC1330" s="15" t="s">
        <v>25690</v>
      </c>
      <c r="BD1330" s="21">
        <v>15</v>
      </c>
      <c r="BE1330" s="15" t="s">
        <v>138</v>
      </c>
      <c r="BF1330" s="15" t="s">
        <v>138</v>
      </c>
      <c r="BG1330" s="15" t="s">
        <v>138</v>
      </c>
      <c r="BH1330" s="15" t="s">
        <v>25691</v>
      </c>
      <c r="BI1330" s="15" t="s">
        <v>138</v>
      </c>
      <c r="BJ1330" s="15" t="s">
        <v>138</v>
      </c>
      <c r="BK1330" s="15" t="s">
        <v>138</v>
      </c>
      <c r="BL1330" s="15" t="s">
        <v>2890</v>
      </c>
      <c r="BM1330" s="22">
        <v>42627</v>
      </c>
      <c r="BN1330" s="17">
        <v>2</v>
      </c>
      <c r="BO1330" s="15" t="s">
        <v>172</v>
      </c>
      <c r="BP1330" s="17" t="s">
        <v>138</v>
      </c>
      <c r="BQ1330" s="15" t="s">
        <v>138</v>
      </c>
      <c r="BR1330" s="15" t="s">
        <v>234</v>
      </c>
      <c r="BS1330" s="15" t="s">
        <v>234</v>
      </c>
      <c r="BT1330" s="15" t="s">
        <v>138</v>
      </c>
      <c r="BU1330" s="15" t="s">
        <v>174</v>
      </c>
      <c r="BV1330" s="15" t="s">
        <v>1498</v>
      </c>
      <c r="BW1330" s="15" t="s">
        <v>138</v>
      </c>
      <c r="BX1330" s="15" t="s">
        <v>138</v>
      </c>
      <c r="BY1330" s="15" t="s">
        <v>175</v>
      </c>
      <c r="BZ1330" s="22">
        <v>43521</v>
      </c>
      <c r="CA1330" s="17">
        <v>20.13</v>
      </c>
      <c r="CB1330" s="15" t="s">
        <v>172</v>
      </c>
      <c r="CC1330" s="17" t="s">
        <v>138</v>
      </c>
      <c r="CD1330" s="15" t="s">
        <v>138</v>
      </c>
      <c r="CE1330" s="15" t="s">
        <v>205</v>
      </c>
      <c r="CF1330" s="15" t="s">
        <v>720</v>
      </c>
      <c r="CG1330" s="15" t="s">
        <v>138</v>
      </c>
      <c r="CH1330" s="15" t="s">
        <v>174</v>
      </c>
      <c r="CI1330" s="15" t="s">
        <v>138</v>
      </c>
      <c r="CJ1330" s="15" t="s">
        <v>138</v>
      </c>
      <c r="CK1330" s="15" t="s">
        <v>138</v>
      </c>
      <c r="CL1330" s="15" t="s">
        <v>175</v>
      </c>
      <c r="CM1330" s="22" t="s">
        <v>138</v>
      </c>
      <c r="CN1330" s="17" t="s">
        <v>138</v>
      </c>
      <c r="CO1330" s="23">
        <v>1.76</v>
      </c>
      <c r="CP1330" s="24">
        <v>99</v>
      </c>
      <c r="CQ1330" s="23">
        <v>-0.27</v>
      </c>
      <c r="CR1330" s="23">
        <v>-13.25</v>
      </c>
      <c r="CS1330" s="23">
        <v>0.69</v>
      </c>
      <c r="CT1330" s="24">
        <v>96</v>
      </c>
      <c r="CU1330" s="23">
        <v>2.83</v>
      </c>
      <c r="CV1330" s="24">
        <v>100</v>
      </c>
      <c r="CW1330" s="23">
        <v>0.69</v>
      </c>
      <c r="CX1330" s="24">
        <v>83</v>
      </c>
      <c r="CY1330" s="23" t="s">
        <v>138</v>
      </c>
      <c r="CZ1330" s="24" t="s">
        <v>138</v>
      </c>
      <c r="DA1330" s="23">
        <v>5.13</v>
      </c>
      <c r="DB1330" s="24">
        <v>100</v>
      </c>
      <c r="DC1330" s="25">
        <v>88.79</v>
      </c>
      <c r="DD1330" s="24">
        <v>99</v>
      </c>
      <c r="DE1330" s="25">
        <v>-9.0500000000000007</v>
      </c>
      <c r="DF1330" s="23">
        <v>-9.25</v>
      </c>
      <c r="DG1330" s="25">
        <v>142.80000000000001</v>
      </c>
      <c r="DH1330" s="24">
        <v>100</v>
      </c>
      <c r="DI1330" s="25">
        <v>34.79</v>
      </c>
      <c r="DJ1330" s="24">
        <v>94</v>
      </c>
      <c r="DK1330" s="25">
        <v>142.80000000000001</v>
      </c>
      <c r="DL1330" s="24">
        <v>98</v>
      </c>
      <c r="DM1330" s="25" t="s">
        <v>138</v>
      </c>
      <c r="DN1330" s="24" t="s">
        <v>138</v>
      </c>
      <c r="DO1330" s="25">
        <v>25.96</v>
      </c>
      <c r="DP1330" s="24">
        <v>94</v>
      </c>
      <c r="DQ1330" s="24">
        <v>48655</v>
      </c>
      <c r="DR1330" s="26">
        <v>975</v>
      </c>
      <c r="DS1330" s="23">
        <v>2.04</v>
      </c>
      <c r="DT1330" s="24" t="s">
        <v>138</v>
      </c>
      <c r="DU1330" s="26" t="s">
        <v>138</v>
      </c>
      <c r="DV1330" s="23" t="s">
        <v>138</v>
      </c>
      <c r="DW1330" s="24">
        <v>9252</v>
      </c>
      <c r="DX1330" s="27">
        <v>231</v>
      </c>
      <c r="DY1330" s="23">
        <v>2.56</v>
      </c>
      <c r="DZ1330" s="15" t="s">
        <v>178</v>
      </c>
      <c r="EA1330" s="22">
        <v>43622</v>
      </c>
      <c r="EB1330" s="17" t="s">
        <v>138</v>
      </c>
      <c r="EC1330" s="22" t="s">
        <v>138</v>
      </c>
      <c r="ED1330" s="15" t="s">
        <v>138</v>
      </c>
      <c r="EE1330" s="14" t="str">
        <f>HYPERLINK("https://my.pitchbook.com?c=166367-26", "View company online")</f>
        <v>View company online</v>
      </c>
    </row>
    <row r="1331" spans="1:135">
      <c r="A1331" s="28" t="s">
        <v>25692</v>
      </c>
      <c r="B1331" s="28" t="s">
        <v>25693</v>
      </c>
      <c r="C1331" s="28" t="s">
        <v>138</v>
      </c>
      <c r="D1331" s="28" t="s">
        <v>138</v>
      </c>
      <c r="E1331" s="28" t="s">
        <v>25694</v>
      </c>
      <c r="F1331" s="28" t="s">
        <v>25692</v>
      </c>
      <c r="G1331" s="28" t="s">
        <v>25695</v>
      </c>
      <c r="H1331" s="28" t="s">
        <v>385</v>
      </c>
      <c r="I1331" s="28" t="s">
        <v>386</v>
      </c>
      <c r="J1331" s="28" t="s">
        <v>387</v>
      </c>
      <c r="K1331" s="28" t="s">
        <v>10568</v>
      </c>
      <c r="L1331" s="28" t="s">
        <v>16198</v>
      </c>
      <c r="M1331" s="28" t="s">
        <v>25696</v>
      </c>
      <c r="N1331" s="28" t="s">
        <v>147</v>
      </c>
      <c r="O1331" s="29">
        <v>17</v>
      </c>
      <c r="P1331" s="28" t="s">
        <v>610</v>
      </c>
      <c r="Q1331" s="28" t="s">
        <v>149</v>
      </c>
      <c r="R1331" s="28" t="s">
        <v>174</v>
      </c>
      <c r="S1331" s="28" t="s">
        <v>25697</v>
      </c>
      <c r="T1331" s="30">
        <v>35</v>
      </c>
      <c r="U1331" s="28" t="s">
        <v>25698</v>
      </c>
      <c r="V1331" s="28" t="s">
        <v>138</v>
      </c>
      <c r="W1331" s="28" t="s">
        <v>138</v>
      </c>
      <c r="X1331" s="31">
        <v>2014</v>
      </c>
      <c r="Y1331" s="28" t="s">
        <v>138</v>
      </c>
      <c r="Z1331" s="28" t="s">
        <v>138</v>
      </c>
      <c r="AA1331" s="28" t="s">
        <v>138</v>
      </c>
      <c r="AB1331" s="32" t="s">
        <v>138</v>
      </c>
      <c r="AC1331" s="32" t="s">
        <v>138</v>
      </c>
      <c r="AD1331" s="32" t="s">
        <v>138</v>
      </c>
      <c r="AE1331" s="32" t="s">
        <v>138</v>
      </c>
      <c r="AF1331" s="32" t="s">
        <v>138</v>
      </c>
      <c r="AG1331" s="28" t="s">
        <v>138</v>
      </c>
      <c r="AH1331" s="32" t="s">
        <v>138</v>
      </c>
      <c r="AI1331" s="32" t="s">
        <v>138</v>
      </c>
      <c r="AJ1331" s="32" t="s">
        <v>138</v>
      </c>
      <c r="AK1331" s="28" t="s">
        <v>25699</v>
      </c>
      <c r="AL1331" s="28" t="s">
        <v>25700</v>
      </c>
      <c r="AM1331" s="28" t="s">
        <v>221</v>
      </c>
      <c r="AN1331" s="28" t="s">
        <v>25701</v>
      </c>
      <c r="AO1331" s="28" t="s">
        <v>25702</v>
      </c>
      <c r="AP1331" s="28" t="s">
        <v>18655</v>
      </c>
      <c r="AQ1331" s="28" t="s">
        <v>18656</v>
      </c>
      <c r="AR1331" s="28" t="s">
        <v>25703</v>
      </c>
      <c r="AS1331" s="28" t="s">
        <v>18658</v>
      </c>
      <c r="AT1331" s="28" t="s">
        <v>200</v>
      </c>
      <c r="AU1331" s="28" t="s">
        <v>18659</v>
      </c>
      <c r="AV1331" s="28" t="s">
        <v>162</v>
      </c>
      <c r="AW1331" s="28" t="s">
        <v>25704</v>
      </c>
      <c r="AX1331" s="28" t="s">
        <v>138</v>
      </c>
      <c r="AY1331" s="28" t="s">
        <v>25705</v>
      </c>
      <c r="AZ1331" s="28" t="s">
        <v>164</v>
      </c>
      <c r="BA1331" s="28" t="s">
        <v>165</v>
      </c>
      <c r="BB1331" s="28" t="s">
        <v>25706</v>
      </c>
      <c r="BC1331" s="28" t="s">
        <v>25707</v>
      </c>
      <c r="BD1331" s="33">
        <v>24</v>
      </c>
      <c r="BE1331" s="28" t="s">
        <v>138</v>
      </c>
      <c r="BF1331" s="28" t="s">
        <v>138</v>
      </c>
      <c r="BG1331" s="28" t="s">
        <v>138</v>
      </c>
      <c r="BH1331" s="28" t="s">
        <v>25708</v>
      </c>
      <c r="BI1331" s="28" t="s">
        <v>138</v>
      </c>
      <c r="BJ1331" s="28" t="s">
        <v>138</v>
      </c>
      <c r="BK1331" s="28" t="s">
        <v>25709</v>
      </c>
      <c r="BL1331" s="28" t="s">
        <v>3541</v>
      </c>
      <c r="BM1331" s="34">
        <v>41905</v>
      </c>
      <c r="BN1331" s="29">
        <v>0.25</v>
      </c>
      <c r="BO1331" s="28" t="s">
        <v>172</v>
      </c>
      <c r="BP1331" s="29" t="s">
        <v>138</v>
      </c>
      <c r="BQ1331" s="28" t="s">
        <v>138</v>
      </c>
      <c r="BR1331" s="28" t="s">
        <v>316</v>
      </c>
      <c r="BS1331" s="28" t="s">
        <v>138</v>
      </c>
      <c r="BT1331" s="28" t="s">
        <v>138</v>
      </c>
      <c r="BU1331" s="28" t="s">
        <v>174</v>
      </c>
      <c r="BV1331" s="28" t="s">
        <v>138</v>
      </c>
      <c r="BW1331" s="28" t="s">
        <v>138</v>
      </c>
      <c r="BX1331" s="28" t="s">
        <v>138</v>
      </c>
      <c r="BY1331" s="28" t="s">
        <v>175</v>
      </c>
      <c r="BZ1331" s="34">
        <v>43388</v>
      </c>
      <c r="CA1331" s="29">
        <v>15.2</v>
      </c>
      <c r="CB1331" s="28" t="s">
        <v>172</v>
      </c>
      <c r="CC1331" s="29">
        <v>25.99</v>
      </c>
      <c r="CD1331" s="28" t="s">
        <v>172</v>
      </c>
      <c r="CE1331" s="28" t="s">
        <v>205</v>
      </c>
      <c r="CF1331" s="28" t="s">
        <v>206</v>
      </c>
      <c r="CG1331" s="28" t="s">
        <v>138</v>
      </c>
      <c r="CH1331" s="28" t="s">
        <v>174</v>
      </c>
      <c r="CI1331" s="28" t="s">
        <v>138</v>
      </c>
      <c r="CJ1331" s="28" t="s">
        <v>138</v>
      </c>
      <c r="CK1331" s="28" t="s">
        <v>138</v>
      </c>
      <c r="CL1331" s="28" t="s">
        <v>175</v>
      </c>
      <c r="CM1331" s="34" t="s">
        <v>138</v>
      </c>
      <c r="CN1331" s="29" t="s">
        <v>138</v>
      </c>
      <c r="CO1331" s="35">
        <v>1.08</v>
      </c>
      <c r="CP1331" s="36">
        <v>97</v>
      </c>
      <c r="CQ1331" s="35">
        <v>0</v>
      </c>
      <c r="CR1331" s="35">
        <v>-0.35</v>
      </c>
      <c r="CS1331" s="35">
        <v>-1.01</v>
      </c>
      <c r="CT1331" s="36">
        <v>15</v>
      </c>
      <c r="CU1331" s="35">
        <v>0.28999999999999998</v>
      </c>
      <c r="CV1331" s="36">
        <v>87</v>
      </c>
      <c r="CW1331" s="35" t="s">
        <v>138</v>
      </c>
      <c r="CX1331" s="36" t="s">
        <v>138</v>
      </c>
      <c r="CY1331" s="35">
        <v>-1.01</v>
      </c>
      <c r="CZ1331" s="36">
        <v>19</v>
      </c>
      <c r="DA1331" s="35">
        <v>0.26</v>
      </c>
      <c r="DB1331" s="36">
        <v>87</v>
      </c>
      <c r="DC1331" s="37">
        <v>2.29</v>
      </c>
      <c r="DD1331" s="36">
        <v>70</v>
      </c>
      <c r="DE1331" s="37">
        <v>-0.01</v>
      </c>
      <c r="DF1331" s="35">
        <v>-0.39</v>
      </c>
      <c r="DG1331" s="37">
        <v>4.83</v>
      </c>
      <c r="DH1331" s="36">
        <v>82</v>
      </c>
      <c r="DI1331" s="37">
        <v>1.98</v>
      </c>
      <c r="DJ1331" s="36">
        <v>62</v>
      </c>
      <c r="DK1331" s="37" t="s">
        <v>138</v>
      </c>
      <c r="DL1331" s="36" t="s">
        <v>138</v>
      </c>
      <c r="DM1331" s="37">
        <v>4.83</v>
      </c>
      <c r="DN1331" s="36">
        <v>81</v>
      </c>
      <c r="DO1331" s="37">
        <v>3.31</v>
      </c>
      <c r="DP1331" s="36">
        <v>73</v>
      </c>
      <c r="DQ1331" s="36" t="s">
        <v>138</v>
      </c>
      <c r="DR1331" s="38" t="s">
        <v>138</v>
      </c>
      <c r="DS1331" s="35" t="s">
        <v>138</v>
      </c>
      <c r="DT1331" s="36">
        <v>140</v>
      </c>
      <c r="DU1331" s="38">
        <v>0</v>
      </c>
      <c r="DV1331" s="35">
        <v>0</v>
      </c>
      <c r="DW1331" s="36">
        <v>1186</v>
      </c>
      <c r="DX1331" s="39">
        <v>1</v>
      </c>
      <c r="DY1331" s="35">
        <v>0.08</v>
      </c>
      <c r="DZ1331" s="28" t="s">
        <v>178</v>
      </c>
      <c r="EA1331" s="34">
        <v>43622</v>
      </c>
      <c r="EB1331" s="29">
        <v>25.99</v>
      </c>
      <c r="EC1331" s="34">
        <v>43388</v>
      </c>
      <c r="ED1331" s="28" t="s">
        <v>205</v>
      </c>
      <c r="EE1331" s="40" t="str">
        <f>HYPERLINK("https://my.pitchbook.com?c=97702-75", "View company online")</f>
        <v>View company online</v>
      </c>
    </row>
    <row r="1332" spans="1:135">
      <c r="A1332" s="15" t="s">
        <v>25710</v>
      </c>
      <c r="B1332" s="15" t="s">
        <v>25711</v>
      </c>
      <c r="C1332" s="15" t="s">
        <v>138</v>
      </c>
      <c r="D1332" s="15" t="s">
        <v>138</v>
      </c>
      <c r="E1332" s="15" t="s">
        <v>25712</v>
      </c>
      <c r="F1332" s="15" t="s">
        <v>25710</v>
      </c>
      <c r="G1332" s="15" t="s">
        <v>25713</v>
      </c>
      <c r="H1332" s="15" t="s">
        <v>322</v>
      </c>
      <c r="I1332" s="15" t="s">
        <v>323</v>
      </c>
      <c r="J1332" s="15" t="s">
        <v>1132</v>
      </c>
      <c r="K1332" s="15" t="s">
        <v>5444</v>
      </c>
      <c r="L1332" s="15" t="s">
        <v>4025</v>
      </c>
      <c r="M1332" s="15" t="s">
        <v>25714</v>
      </c>
      <c r="N1332" s="15" t="s">
        <v>147</v>
      </c>
      <c r="O1332" s="17">
        <v>144.12</v>
      </c>
      <c r="P1332" s="15" t="s">
        <v>148</v>
      </c>
      <c r="Q1332" s="15" t="s">
        <v>149</v>
      </c>
      <c r="R1332" s="15" t="s">
        <v>174</v>
      </c>
      <c r="S1332" s="15" t="s">
        <v>25715</v>
      </c>
      <c r="T1332" s="18">
        <v>58</v>
      </c>
      <c r="U1332" s="15" t="s">
        <v>25716</v>
      </c>
      <c r="V1332" s="15" t="s">
        <v>138</v>
      </c>
      <c r="W1332" s="15" t="s">
        <v>138</v>
      </c>
      <c r="X1332" s="19">
        <v>2012</v>
      </c>
      <c r="Y1332" s="15" t="s">
        <v>138</v>
      </c>
      <c r="Z1332" s="15" t="s">
        <v>138</v>
      </c>
      <c r="AA1332" s="15" t="s">
        <v>138</v>
      </c>
      <c r="AB1332" s="20" t="s">
        <v>138</v>
      </c>
      <c r="AC1332" s="20" t="s">
        <v>138</v>
      </c>
      <c r="AD1332" s="20" t="s">
        <v>138</v>
      </c>
      <c r="AE1332" s="20" t="s">
        <v>138</v>
      </c>
      <c r="AF1332" s="20" t="s">
        <v>138</v>
      </c>
      <c r="AG1332" s="15" t="s">
        <v>138</v>
      </c>
      <c r="AH1332" s="20" t="s">
        <v>138</v>
      </c>
      <c r="AI1332" s="20" t="s">
        <v>138</v>
      </c>
      <c r="AJ1332" s="20" t="s">
        <v>138</v>
      </c>
      <c r="AK1332" s="15" t="s">
        <v>25717</v>
      </c>
      <c r="AL1332" s="15" t="s">
        <v>25718</v>
      </c>
      <c r="AM1332" s="15" t="s">
        <v>1738</v>
      </c>
      <c r="AN1332" s="15" t="s">
        <v>25719</v>
      </c>
      <c r="AO1332" s="15" t="s">
        <v>138</v>
      </c>
      <c r="AP1332" s="15" t="s">
        <v>1195</v>
      </c>
      <c r="AQ1332" s="15" t="s">
        <v>25720</v>
      </c>
      <c r="AR1332" s="15" t="s">
        <v>25721</v>
      </c>
      <c r="AS1332" s="15" t="s">
        <v>1198</v>
      </c>
      <c r="AT1332" s="15" t="s">
        <v>5562</v>
      </c>
      <c r="AU1332" s="15" t="s">
        <v>138</v>
      </c>
      <c r="AV1332" s="15" t="s">
        <v>1200</v>
      </c>
      <c r="AW1332" s="15" t="s">
        <v>138</v>
      </c>
      <c r="AX1332" s="15" t="s">
        <v>138</v>
      </c>
      <c r="AY1332" s="15" t="s">
        <v>25722</v>
      </c>
      <c r="AZ1332" s="15" t="s">
        <v>452</v>
      </c>
      <c r="BA1332" s="15" t="s">
        <v>453</v>
      </c>
      <c r="BB1332" s="15" t="s">
        <v>25723</v>
      </c>
      <c r="BC1332" s="15" t="s">
        <v>25724</v>
      </c>
      <c r="BD1332" s="21">
        <v>16</v>
      </c>
      <c r="BE1332" s="15" t="s">
        <v>138</v>
      </c>
      <c r="BF1332" s="15" t="s">
        <v>138</v>
      </c>
      <c r="BG1332" s="15" t="s">
        <v>138</v>
      </c>
      <c r="BH1332" s="15" t="s">
        <v>25725</v>
      </c>
      <c r="BI1332" s="15" t="s">
        <v>138</v>
      </c>
      <c r="BJ1332" s="15" t="s">
        <v>138</v>
      </c>
      <c r="BK1332" s="15" t="s">
        <v>138</v>
      </c>
      <c r="BL1332" s="15" t="s">
        <v>14788</v>
      </c>
      <c r="BM1332" s="22">
        <v>41244</v>
      </c>
      <c r="BN1332" s="17">
        <v>0.52</v>
      </c>
      <c r="BO1332" s="15" t="s">
        <v>172</v>
      </c>
      <c r="BP1332" s="17" t="s">
        <v>138</v>
      </c>
      <c r="BQ1332" s="15" t="s">
        <v>138</v>
      </c>
      <c r="BR1332" s="15" t="s">
        <v>234</v>
      </c>
      <c r="BS1332" s="15" t="s">
        <v>234</v>
      </c>
      <c r="BT1332" s="15" t="s">
        <v>138</v>
      </c>
      <c r="BU1332" s="15" t="s">
        <v>174</v>
      </c>
      <c r="BV1332" s="15" t="s">
        <v>138</v>
      </c>
      <c r="BW1332" s="15" t="s">
        <v>138</v>
      </c>
      <c r="BX1332" s="15" t="s">
        <v>138</v>
      </c>
      <c r="BY1332" s="15" t="s">
        <v>175</v>
      </c>
      <c r="BZ1332" s="22">
        <v>43319</v>
      </c>
      <c r="CA1332" s="17">
        <v>60</v>
      </c>
      <c r="CB1332" s="15" t="s">
        <v>172</v>
      </c>
      <c r="CC1332" s="17" t="s">
        <v>138</v>
      </c>
      <c r="CD1332" s="15" t="s">
        <v>138</v>
      </c>
      <c r="CE1332" s="15" t="s">
        <v>173</v>
      </c>
      <c r="CF1332" s="15" t="s">
        <v>482</v>
      </c>
      <c r="CG1332" s="15" t="s">
        <v>138</v>
      </c>
      <c r="CH1332" s="15" t="s">
        <v>174</v>
      </c>
      <c r="CI1332" s="15" t="s">
        <v>138</v>
      </c>
      <c r="CJ1332" s="15" t="s">
        <v>138</v>
      </c>
      <c r="CK1332" s="15" t="s">
        <v>138</v>
      </c>
      <c r="CL1332" s="15" t="s">
        <v>175</v>
      </c>
      <c r="CM1332" s="22" t="s">
        <v>138</v>
      </c>
      <c r="CN1332" s="17" t="s">
        <v>138</v>
      </c>
      <c r="CO1332" s="23">
        <v>0.26</v>
      </c>
      <c r="CP1332" s="24">
        <v>93</v>
      </c>
      <c r="CQ1332" s="23">
        <v>-0.04</v>
      </c>
      <c r="CR1332" s="23">
        <v>-13.14</v>
      </c>
      <c r="CS1332" s="23">
        <v>-0.23</v>
      </c>
      <c r="CT1332" s="24">
        <v>21</v>
      </c>
      <c r="CU1332" s="23">
        <v>0.74</v>
      </c>
      <c r="CV1332" s="24">
        <v>96</v>
      </c>
      <c r="CW1332" s="23">
        <v>-0.28000000000000003</v>
      </c>
      <c r="CX1332" s="24">
        <v>12</v>
      </c>
      <c r="CY1332" s="23">
        <v>-0.17</v>
      </c>
      <c r="CZ1332" s="24">
        <v>24</v>
      </c>
      <c r="DA1332" s="23">
        <v>1.36</v>
      </c>
      <c r="DB1332" s="24">
        <v>99</v>
      </c>
      <c r="DC1332" s="25">
        <v>48.83</v>
      </c>
      <c r="DD1332" s="24">
        <v>98</v>
      </c>
      <c r="DE1332" s="25">
        <v>-0.22</v>
      </c>
      <c r="DF1332" s="23">
        <v>-0.45</v>
      </c>
      <c r="DG1332" s="25">
        <v>65.849999999999994</v>
      </c>
      <c r="DH1332" s="24">
        <v>99</v>
      </c>
      <c r="DI1332" s="25">
        <v>31.82</v>
      </c>
      <c r="DJ1332" s="24">
        <v>93</v>
      </c>
      <c r="DK1332" s="25">
        <v>8.84</v>
      </c>
      <c r="DL1332" s="24">
        <v>85</v>
      </c>
      <c r="DM1332" s="25">
        <v>122.86</v>
      </c>
      <c r="DN1332" s="24">
        <v>100</v>
      </c>
      <c r="DO1332" s="25">
        <v>23.93</v>
      </c>
      <c r="DP1332" s="24">
        <v>93</v>
      </c>
      <c r="DQ1332" s="24">
        <v>3023</v>
      </c>
      <c r="DR1332" s="26">
        <v>25</v>
      </c>
      <c r="DS1332" s="23">
        <v>0.83</v>
      </c>
      <c r="DT1332" s="24">
        <v>3561</v>
      </c>
      <c r="DU1332" s="26">
        <v>7</v>
      </c>
      <c r="DV1332" s="23">
        <v>0.2</v>
      </c>
      <c r="DW1332" s="24">
        <v>8565</v>
      </c>
      <c r="DX1332" s="27">
        <v>6</v>
      </c>
      <c r="DY1332" s="23">
        <v>7.0000000000000007E-2</v>
      </c>
      <c r="DZ1332" s="15" t="s">
        <v>178</v>
      </c>
      <c r="EA1332" s="22">
        <v>43622</v>
      </c>
      <c r="EB1332" s="17">
        <v>250</v>
      </c>
      <c r="EC1332" s="22">
        <v>42240</v>
      </c>
      <c r="ED1332" s="15" t="s">
        <v>173</v>
      </c>
      <c r="EE1332" s="14" t="str">
        <f>HYPERLINK("https://my.pitchbook.com?c=58112-38", "View company online")</f>
        <v>View company online</v>
      </c>
    </row>
    <row r="1333" spans="1:135">
      <c r="A1333" s="28" t="s">
        <v>25726</v>
      </c>
      <c r="B1333" s="28" t="s">
        <v>25727</v>
      </c>
      <c r="C1333" s="28" t="s">
        <v>25728</v>
      </c>
      <c r="D1333" s="28" t="s">
        <v>138</v>
      </c>
      <c r="E1333" s="28" t="s">
        <v>25729</v>
      </c>
      <c r="F1333" s="28" t="s">
        <v>25726</v>
      </c>
      <c r="G1333" s="28" t="s">
        <v>25730</v>
      </c>
      <c r="H1333" s="28" t="s">
        <v>238</v>
      </c>
      <c r="I1333" s="28" t="s">
        <v>2662</v>
      </c>
      <c r="J1333" s="28" t="s">
        <v>4479</v>
      </c>
      <c r="K1333" s="28" t="s">
        <v>25336</v>
      </c>
      <c r="L1333" s="28" t="s">
        <v>2665</v>
      </c>
      <c r="M1333" s="28" t="s">
        <v>25731</v>
      </c>
      <c r="N1333" s="28" t="s">
        <v>147</v>
      </c>
      <c r="O1333" s="29">
        <v>36.15</v>
      </c>
      <c r="P1333" s="28" t="s">
        <v>148</v>
      </c>
      <c r="Q1333" s="28" t="s">
        <v>149</v>
      </c>
      <c r="R1333" s="28" t="s">
        <v>244</v>
      </c>
      <c r="S1333" s="28" t="s">
        <v>25732</v>
      </c>
      <c r="T1333" s="30">
        <v>110</v>
      </c>
      <c r="U1333" s="28" t="s">
        <v>25733</v>
      </c>
      <c r="V1333" s="28" t="s">
        <v>138</v>
      </c>
      <c r="W1333" s="28" t="s">
        <v>138</v>
      </c>
      <c r="X1333" s="31">
        <v>2011</v>
      </c>
      <c r="Y1333" s="28" t="s">
        <v>138</v>
      </c>
      <c r="Z1333" s="28" t="s">
        <v>138</v>
      </c>
      <c r="AA1333" s="28" t="s">
        <v>138</v>
      </c>
      <c r="AB1333" s="32" t="s">
        <v>138</v>
      </c>
      <c r="AC1333" s="32" t="s">
        <v>138</v>
      </c>
      <c r="AD1333" s="32" t="s">
        <v>138</v>
      </c>
      <c r="AE1333" s="32" t="s">
        <v>138</v>
      </c>
      <c r="AF1333" s="32" t="s">
        <v>138</v>
      </c>
      <c r="AG1333" s="28" t="s">
        <v>138</v>
      </c>
      <c r="AH1333" s="32" t="s">
        <v>138</v>
      </c>
      <c r="AI1333" s="32" t="s">
        <v>138</v>
      </c>
      <c r="AJ1333" s="32" t="s">
        <v>138</v>
      </c>
      <c r="AK1333" s="28" t="s">
        <v>25734</v>
      </c>
      <c r="AL1333" s="28" t="s">
        <v>25735</v>
      </c>
      <c r="AM1333" s="28" t="s">
        <v>25736</v>
      </c>
      <c r="AN1333" s="28" t="s">
        <v>25737</v>
      </c>
      <c r="AO1333" s="28" t="s">
        <v>25738</v>
      </c>
      <c r="AP1333" s="28" t="s">
        <v>14127</v>
      </c>
      <c r="AQ1333" s="28" t="s">
        <v>25739</v>
      </c>
      <c r="AR1333" s="28" t="s">
        <v>25740</v>
      </c>
      <c r="AS1333" s="28" t="s">
        <v>14129</v>
      </c>
      <c r="AT1333" s="28" t="s">
        <v>14130</v>
      </c>
      <c r="AU1333" s="28" t="s">
        <v>25741</v>
      </c>
      <c r="AV1333" s="28" t="s">
        <v>2742</v>
      </c>
      <c r="AW1333" s="28" t="s">
        <v>25738</v>
      </c>
      <c r="AX1333" s="28" t="s">
        <v>138</v>
      </c>
      <c r="AY1333" s="28" t="s">
        <v>25742</v>
      </c>
      <c r="AZ1333" s="28" t="s">
        <v>164</v>
      </c>
      <c r="BA1333" s="28" t="s">
        <v>165</v>
      </c>
      <c r="BB1333" s="28" t="s">
        <v>25743</v>
      </c>
      <c r="BC1333" s="28" t="s">
        <v>25744</v>
      </c>
      <c r="BD1333" s="33">
        <v>22</v>
      </c>
      <c r="BE1333" s="28" t="s">
        <v>138</v>
      </c>
      <c r="BF1333" s="28" t="s">
        <v>138</v>
      </c>
      <c r="BG1333" s="28" t="s">
        <v>138</v>
      </c>
      <c r="BH1333" s="28" t="s">
        <v>25745</v>
      </c>
      <c r="BI1333" s="28" t="s">
        <v>138</v>
      </c>
      <c r="BJ1333" s="28" t="s">
        <v>138</v>
      </c>
      <c r="BK1333" s="28" t="s">
        <v>25746</v>
      </c>
      <c r="BL1333" s="28" t="s">
        <v>25747</v>
      </c>
      <c r="BM1333" s="34">
        <v>40660</v>
      </c>
      <c r="BN1333" s="29" t="s">
        <v>138</v>
      </c>
      <c r="BO1333" s="28" t="s">
        <v>138</v>
      </c>
      <c r="BP1333" s="29" t="s">
        <v>138</v>
      </c>
      <c r="BQ1333" s="28" t="s">
        <v>138</v>
      </c>
      <c r="BR1333" s="28" t="s">
        <v>205</v>
      </c>
      <c r="BS1333" s="28" t="s">
        <v>138</v>
      </c>
      <c r="BT1333" s="28" t="s">
        <v>138</v>
      </c>
      <c r="BU1333" s="28" t="s">
        <v>174</v>
      </c>
      <c r="BV1333" s="28" t="s">
        <v>138</v>
      </c>
      <c r="BW1333" s="28" t="s">
        <v>138</v>
      </c>
      <c r="BX1333" s="28" t="s">
        <v>138</v>
      </c>
      <c r="BY1333" s="28" t="s">
        <v>175</v>
      </c>
      <c r="BZ1333" s="34">
        <v>42940</v>
      </c>
      <c r="CA1333" s="29">
        <v>0.15</v>
      </c>
      <c r="CB1333" s="28" t="s">
        <v>172</v>
      </c>
      <c r="CC1333" s="29" t="s">
        <v>138</v>
      </c>
      <c r="CD1333" s="28" t="s">
        <v>138</v>
      </c>
      <c r="CE1333" s="28" t="s">
        <v>173</v>
      </c>
      <c r="CF1333" s="28" t="s">
        <v>433</v>
      </c>
      <c r="CG1333" s="28" t="s">
        <v>138</v>
      </c>
      <c r="CH1333" s="28" t="s">
        <v>174</v>
      </c>
      <c r="CI1333" s="28" t="s">
        <v>138</v>
      </c>
      <c r="CJ1333" s="28" t="s">
        <v>138</v>
      </c>
      <c r="CK1333" s="28" t="s">
        <v>138</v>
      </c>
      <c r="CL1333" s="28" t="s">
        <v>352</v>
      </c>
      <c r="CM1333" s="34">
        <v>41193</v>
      </c>
      <c r="CN1333" s="29" t="s">
        <v>138</v>
      </c>
      <c r="CO1333" s="35">
        <v>-1.45</v>
      </c>
      <c r="CP1333" s="36">
        <v>8</v>
      </c>
      <c r="CQ1333" s="35">
        <v>-0.03</v>
      </c>
      <c r="CR1333" s="35">
        <v>-1.88</v>
      </c>
      <c r="CS1333" s="35">
        <v>-4.34</v>
      </c>
      <c r="CT1333" s="36">
        <v>3</v>
      </c>
      <c r="CU1333" s="35">
        <v>-0.05</v>
      </c>
      <c r="CV1333" s="36">
        <v>9</v>
      </c>
      <c r="CW1333" s="35">
        <v>-6.38</v>
      </c>
      <c r="CX1333" s="36">
        <v>2</v>
      </c>
      <c r="CY1333" s="35">
        <v>-2.2999999999999998</v>
      </c>
      <c r="CZ1333" s="36">
        <v>10</v>
      </c>
      <c r="DA1333" s="35">
        <v>-0.05</v>
      </c>
      <c r="DB1333" s="36">
        <v>13</v>
      </c>
      <c r="DC1333" s="37">
        <v>69.930000000000007</v>
      </c>
      <c r="DD1333" s="36">
        <v>99</v>
      </c>
      <c r="DE1333" s="37">
        <v>-40.159999999999997</v>
      </c>
      <c r="DF1333" s="35">
        <v>-36.479999999999997</v>
      </c>
      <c r="DG1333" s="37">
        <v>135.66</v>
      </c>
      <c r="DH1333" s="36">
        <v>100</v>
      </c>
      <c r="DI1333" s="37">
        <v>64.63</v>
      </c>
      <c r="DJ1333" s="36">
        <v>96</v>
      </c>
      <c r="DK1333" s="37">
        <v>193.11</v>
      </c>
      <c r="DL1333" s="36">
        <v>99</v>
      </c>
      <c r="DM1333" s="37">
        <v>78.209999999999994</v>
      </c>
      <c r="DN1333" s="36">
        <v>99</v>
      </c>
      <c r="DO1333" s="37">
        <v>64.63</v>
      </c>
      <c r="DP1333" s="36">
        <v>97</v>
      </c>
      <c r="DQ1333" s="36">
        <v>66232</v>
      </c>
      <c r="DR1333" s="38">
        <v>12</v>
      </c>
      <c r="DS1333" s="35">
        <v>0.02</v>
      </c>
      <c r="DT1333" s="36">
        <v>2268</v>
      </c>
      <c r="DU1333" s="38">
        <v>2</v>
      </c>
      <c r="DV1333" s="35">
        <v>0.09</v>
      </c>
      <c r="DW1333" s="36">
        <v>23141</v>
      </c>
      <c r="DX1333" s="39">
        <v>-1</v>
      </c>
      <c r="DY1333" s="35">
        <v>0</v>
      </c>
      <c r="DZ1333" s="28" t="s">
        <v>178</v>
      </c>
      <c r="EA1333" s="34">
        <v>43497</v>
      </c>
      <c r="EB1333" s="29">
        <v>16.2</v>
      </c>
      <c r="EC1333" s="34">
        <v>41193</v>
      </c>
      <c r="ED1333" s="28" t="s">
        <v>205</v>
      </c>
      <c r="EE1333" s="40" t="str">
        <f>HYPERLINK("https://my.pitchbook.com?c=55418-95", "View company online")</f>
        <v>View company online</v>
      </c>
    </row>
    <row r="1334" spans="1:135">
      <c r="A1334" s="15" t="s">
        <v>25748</v>
      </c>
      <c r="B1334" s="15" t="s">
        <v>25749</v>
      </c>
      <c r="C1334" s="15" t="s">
        <v>138</v>
      </c>
      <c r="D1334" s="15" t="s">
        <v>138</v>
      </c>
      <c r="E1334" s="15" t="s">
        <v>25750</v>
      </c>
      <c r="F1334" s="15" t="s">
        <v>25748</v>
      </c>
      <c r="G1334" s="15" t="s">
        <v>25751</v>
      </c>
      <c r="H1334" s="15" t="s">
        <v>238</v>
      </c>
      <c r="I1334" s="15" t="s">
        <v>1351</v>
      </c>
      <c r="J1334" s="15" t="s">
        <v>1352</v>
      </c>
      <c r="K1334" s="15" t="s">
        <v>11328</v>
      </c>
      <c r="L1334" s="15" t="s">
        <v>6111</v>
      </c>
      <c r="M1334" s="15" t="s">
        <v>25752</v>
      </c>
      <c r="N1334" s="15" t="s">
        <v>147</v>
      </c>
      <c r="O1334" s="17">
        <v>21.1</v>
      </c>
      <c r="P1334" s="15" t="s">
        <v>2922</v>
      </c>
      <c r="Q1334" s="15" t="s">
        <v>149</v>
      </c>
      <c r="R1334" s="15" t="s">
        <v>174</v>
      </c>
      <c r="S1334" s="15" t="s">
        <v>25753</v>
      </c>
      <c r="T1334" s="18">
        <v>26</v>
      </c>
      <c r="U1334" s="15" t="s">
        <v>25754</v>
      </c>
      <c r="V1334" s="15" t="s">
        <v>138</v>
      </c>
      <c r="W1334" s="15" t="s">
        <v>138</v>
      </c>
      <c r="X1334" s="19">
        <v>2014</v>
      </c>
      <c r="Y1334" s="15" t="s">
        <v>138</v>
      </c>
      <c r="Z1334" s="15" t="s">
        <v>138</v>
      </c>
      <c r="AA1334" s="15" t="s">
        <v>138</v>
      </c>
      <c r="AB1334" s="20" t="s">
        <v>138</v>
      </c>
      <c r="AC1334" s="20" t="s">
        <v>138</v>
      </c>
      <c r="AD1334" s="20" t="s">
        <v>138</v>
      </c>
      <c r="AE1334" s="20" t="s">
        <v>138</v>
      </c>
      <c r="AF1334" s="20" t="s">
        <v>138</v>
      </c>
      <c r="AG1334" s="15" t="s">
        <v>138</v>
      </c>
      <c r="AH1334" s="20" t="s">
        <v>138</v>
      </c>
      <c r="AI1334" s="20" t="s">
        <v>138</v>
      </c>
      <c r="AJ1334" s="20" t="s">
        <v>138</v>
      </c>
      <c r="AK1334" s="15" t="s">
        <v>25755</v>
      </c>
      <c r="AL1334" s="15" t="s">
        <v>25756</v>
      </c>
      <c r="AM1334" s="15" t="s">
        <v>221</v>
      </c>
      <c r="AN1334" s="15" t="s">
        <v>25757</v>
      </c>
      <c r="AO1334" s="15" t="s">
        <v>25758</v>
      </c>
      <c r="AP1334" s="15" t="s">
        <v>3668</v>
      </c>
      <c r="AQ1334" s="15" t="s">
        <v>25759</v>
      </c>
      <c r="AR1334" s="15" t="s">
        <v>3159</v>
      </c>
      <c r="AS1334" s="15" t="s">
        <v>3670</v>
      </c>
      <c r="AT1334" s="15" t="s">
        <v>200</v>
      </c>
      <c r="AU1334" s="15" t="s">
        <v>3671</v>
      </c>
      <c r="AV1334" s="15" t="s">
        <v>162</v>
      </c>
      <c r="AW1334" s="15" t="s">
        <v>25758</v>
      </c>
      <c r="AX1334" s="15" t="s">
        <v>138</v>
      </c>
      <c r="AY1334" s="15" t="s">
        <v>25760</v>
      </c>
      <c r="AZ1334" s="15" t="s">
        <v>164</v>
      </c>
      <c r="BA1334" s="15" t="s">
        <v>165</v>
      </c>
      <c r="BB1334" s="15" t="s">
        <v>25761</v>
      </c>
      <c r="BC1334" s="15" t="s">
        <v>25762</v>
      </c>
      <c r="BD1334" s="21">
        <v>8</v>
      </c>
      <c r="BE1334" s="15" t="s">
        <v>138</v>
      </c>
      <c r="BF1334" s="15" t="s">
        <v>138</v>
      </c>
      <c r="BG1334" s="15" t="s">
        <v>138</v>
      </c>
      <c r="BH1334" s="15" t="s">
        <v>25763</v>
      </c>
      <c r="BI1334" s="15" t="s">
        <v>138</v>
      </c>
      <c r="BJ1334" s="15" t="s">
        <v>138</v>
      </c>
      <c r="BK1334" s="15" t="s">
        <v>25764</v>
      </c>
      <c r="BL1334" s="15" t="s">
        <v>25765</v>
      </c>
      <c r="BM1334" s="22" t="s">
        <v>138</v>
      </c>
      <c r="BN1334" s="17" t="s">
        <v>138</v>
      </c>
      <c r="BO1334" s="15" t="s">
        <v>138</v>
      </c>
      <c r="BP1334" s="17" t="s">
        <v>138</v>
      </c>
      <c r="BQ1334" s="15" t="s">
        <v>138</v>
      </c>
      <c r="BR1334" s="15" t="s">
        <v>316</v>
      </c>
      <c r="BS1334" s="15" t="s">
        <v>138</v>
      </c>
      <c r="BT1334" s="15" t="s">
        <v>138</v>
      </c>
      <c r="BU1334" s="15" t="s">
        <v>177</v>
      </c>
      <c r="BV1334" s="15" t="s">
        <v>138</v>
      </c>
      <c r="BW1334" s="15" t="s">
        <v>138</v>
      </c>
      <c r="BX1334" s="15" t="s">
        <v>138</v>
      </c>
      <c r="BY1334" s="15" t="s">
        <v>175</v>
      </c>
      <c r="BZ1334" s="22">
        <v>42881</v>
      </c>
      <c r="CA1334" s="17">
        <v>6</v>
      </c>
      <c r="CB1334" s="15" t="s">
        <v>172</v>
      </c>
      <c r="CC1334" s="17">
        <v>91</v>
      </c>
      <c r="CD1334" s="15" t="s">
        <v>172</v>
      </c>
      <c r="CE1334" s="15" t="s">
        <v>205</v>
      </c>
      <c r="CF1334" s="15" t="s">
        <v>720</v>
      </c>
      <c r="CG1334" s="15" t="s">
        <v>138</v>
      </c>
      <c r="CH1334" s="15" t="s">
        <v>174</v>
      </c>
      <c r="CI1334" s="15" t="s">
        <v>138</v>
      </c>
      <c r="CJ1334" s="15" t="s">
        <v>138</v>
      </c>
      <c r="CK1334" s="15" t="s">
        <v>138</v>
      </c>
      <c r="CL1334" s="15" t="s">
        <v>175</v>
      </c>
      <c r="CM1334" s="22" t="s">
        <v>138</v>
      </c>
      <c r="CN1334" s="17" t="s">
        <v>138</v>
      </c>
      <c r="CO1334" s="23">
        <v>-0.92</v>
      </c>
      <c r="CP1334" s="24">
        <v>12</v>
      </c>
      <c r="CQ1334" s="23">
        <v>0.01</v>
      </c>
      <c r="CR1334" s="23">
        <v>1</v>
      </c>
      <c r="CS1334" s="23">
        <v>-1.77</v>
      </c>
      <c r="CT1334" s="24">
        <v>10</v>
      </c>
      <c r="CU1334" s="23">
        <v>-7.0000000000000007E-2</v>
      </c>
      <c r="CV1334" s="24">
        <v>7</v>
      </c>
      <c r="CW1334" s="23">
        <v>-2.5299999999999998</v>
      </c>
      <c r="CX1334" s="24">
        <v>6</v>
      </c>
      <c r="CY1334" s="23">
        <v>-1.01</v>
      </c>
      <c r="CZ1334" s="24">
        <v>19</v>
      </c>
      <c r="DA1334" s="23">
        <v>-0.08</v>
      </c>
      <c r="DB1334" s="24">
        <v>8</v>
      </c>
      <c r="DC1334" s="25">
        <v>19.57</v>
      </c>
      <c r="DD1334" s="24">
        <v>95</v>
      </c>
      <c r="DE1334" s="25">
        <v>-0.11</v>
      </c>
      <c r="DF1334" s="23">
        <v>-0.56000000000000005</v>
      </c>
      <c r="DG1334" s="25">
        <v>21.36</v>
      </c>
      <c r="DH1334" s="24">
        <v>95</v>
      </c>
      <c r="DI1334" s="25">
        <v>17.79</v>
      </c>
      <c r="DJ1334" s="24">
        <v>90</v>
      </c>
      <c r="DK1334" s="25">
        <v>3.86</v>
      </c>
      <c r="DL1334" s="24">
        <v>75</v>
      </c>
      <c r="DM1334" s="25">
        <v>38.86</v>
      </c>
      <c r="DN1334" s="24">
        <v>97</v>
      </c>
      <c r="DO1334" s="25">
        <v>9.5299999999999994</v>
      </c>
      <c r="DP1334" s="24">
        <v>87</v>
      </c>
      <c r="DQ1334" s="24">
        <v>1342</v>
      </c>
      <c r="DR1334" s="26">
        <v>-51</v>
      </c>
      <c r="DS1334" s="23">
        <v>-3.66</v>
      </c>
      <c r="DT1334" s="24">
        <v>1126</v>
      </c>
      <c r="DU1334" s="26">
        <v>3</v>
      </c>
      <c r="DV1334" s="23">
        <v>0.27</v>
      </c>
      <c r="DW1334" s="24">
        <v>3413</v>
      </c>
      <c r="DX1334" s="27">
        <v>-3</v>
      </c>
      <c r="DY1334" s="23">
        <v>-0.09</v>
      </c>
      <c r="DZ1334" s="15" t="s">
        <v>178</v>
      </c>
      <c r="EA1334" s="22">
        <v>43550</v>
      </c>
      <c r="EB1334" s="17">
        <v>91</v>
      </c>
      <c r="EC1334" s="22">
        <v>42881</v>
      </c>
      <c r="ED1334" s="15" t="s">
        <v>205</v>
      </c>
      <c r="EE1334" s="14" t="str">
        <f>HYPERLINK("https://my.pitchbook.com?c=104591-98", "View company online")</f>
        <v>View company online</v>
      </c>
    </row>
    <row r="1335" spans="1:135">
      <c r="A1335" s="28" t="s">
        <v>25766</v>
      </c>
      <c r="B1335" s="28" t="s">
        <v>25767</v>
      </c>
      <c r="C1335" s="28" t="s">
        <v>25768</v>
      </c>
      <c r="D1335" s="28" t="s">
        <v>138</v>
      </c>
      <c r="E1335" s="28" t="s">
        <v>25769</v>
      </c>
      <c r="F1335" s="28" t="s">
        <v>25766</v>
      </c>
      <c r="G1335" s="28" t="s">
        <v>25770</v>
      </c>
      <c r="H1335" s="28" t="s">
        <v>238</v>
      </c>
      <c r="I1335" s="28" t="s">
        <v>749</v>
      </c>
      <c r="J1335" s="28" t="s">
        <v>4261</v>
      </c>
      <c r="K1335" s="28" t="s">
        <v>4262</v>
      </c>
      <c r="L1335" s="28" t="s">
        <v>14535</v>
      </c>
      <c r="M1335" s="28" t="s">
        <v>25771</v>
      </c>
      <c r="N1335" s="28" t="s">
        <v>147</v>
      </c>
      <c r="O1335" s="29">
        <v>5.58</v>
      </c>
      <c r="P1335" s="28" t="s">
        <v>148</v>
      </c>
      <c r="Q1335" s="28" t="s">
        <v>149</v>
      </c>
      <c r="R1335" s="28" t="s">
        <v>174</v>
      </c>
      <c r="S1335" s="28" t="s">
        <v>25772</v>
      </c>
      <c r="T1335" s="30">
        <v>29</v>
      </c>
      <c r="U1335" s="28" t="s">
        <v>25773</v>
      </c>
      <c r="V1335" s="28" t="s">
        <v>138</v>
      </c>
      <c r="W1335" s="28" t="s">
        <v>138</v>
      </c>
      <c r="X1335" s="31">
        <v>2012</v>
      </c>
      <c r="Y1335" s="28" t="s">
        <v>138</v>
      </c>
      <c r="Z1335" s="28" t="s">
        <v>138</v>
      </c>
      <c r="AA1335" s="28" t="s">
        <v>138</v>
      </c>
      <c r="AB1335" s="32" t="s">
        <v>138</v>
      </c>
      <c r="AC1335" s="32" t="s">
        <v>138</v>
      </c>
      <c r="AD1335" s="32" t="s">
        <v>138</v>
      </c>
      <c r="AE1335" s="32" t="s">
        <v>138</v>
      </c>
      <c r="AF1335" s="32" t="s">
        <v>138</v>
      </c>
      <c r="AG1335" s="28" t="s">
        <v>138</v>
      </c>
      <c r="AH1335" s="32" t="s">
        <v>138</v>
      </c>
      <c r="AI1335" s="32" t="s">
        <v>138</v>
      </c>
      <c r="AJ1335" s="32" t="s">
        <v>138</v>
      </c>
      <c r="AK1335" s="28" t="s">
        <v>25774</v>
      </c>
      <c r="AL1335" s="28" t="s">
        <v>25775</v>
      </c>
      <c r="AM1335" s="28" t="s">
        <v>249</v>
      </c>
      <c r="AN1335" s="28" t="s">
        <v>138</v>
      </c>
      <c r="AO1335" s="28" t="s">
        <v>25776</v>
      </c>
      <c r="AP1335" s="28" t="s">
        <v>25777</v>
      </c>
      <c r="AQ1335" s="28" t="s">
        <v>25778</v>
      </c>
      <c r="AR1335" s="28" t="s">
        <v>25779</v>
      </c>
      <c r="AS1335" s="28" t="s">
        <v>25780</v>
      </c>
      <c r="AT1335" s="28" t="s">
        <v>426</v>
      </c>
      <c r="AU1335" s="28" t="s">
        <v>25781</v>
      </c>
      <c r="AV1335" s="28" t="s">
        <v>162</v>
      </c>
      <c r="AW1335" s="28" t="s">
        <v>25776</v>
      </c>
      <c r="AX1335" s="28" t="s">
        <v>138</v>
      </c>
      <c r="AY1335" s="28" t="s">
        <v>138</v>
      </c>
      <c r="AZ1335" s="28" t="s">
        <v>164</v>
      </c>
      <c r="BA1335" s="28" t="s">
        <v>165</v>
      </c>
      <c r="BB1335" s="28" t="s">
        <v>25782</v>
      </c>
      <c r="BC1335" s="28" t="s">
        <v>25783</v>
      </c>
      <c r="BD1335" s="33">
        <v>2</v>
      </c>
      <c r="BE1335" s="28" t="s">
        <v>138</v>
      </c>
      <c r="BF1335" s="28" t="s">
        <v>138</v>
      </c>
      <c r="BG1335" s="28" t="s">
        <v>138</v>
      </c>
      <c r="BH1335" s="28" t="s">
        <v>25784</v>
      </c>
      <c r="BI1335" s="28" t="s">
        <v>138</v>
      </c>
      <c r="BJ1335" s="28" t="s">
        <v>138</v>
      </c>
      <c r="BK1335" s="28" t="s">
        <v>138</v>
      </c>
      <c r="BL1335" s="28" t="s">
        <v>138</v>
      </c>
      <c r="BM1335" s="34">
        <v>42217</v>
      </c>
      <c r="BN1335" s="29">
        <v>0.2</v>
      </c>
      <c r="BO1335" s="28" t="s">
        <v>1178</v>
      </c>
      <c r="BP1335" s="29" t="s">
        <v>138</v>
      </c>
      <c r="BQ1335" s="28" t="s">
        <v>138</v>
      </c>
      <c r="BR1335" s="28" t="s">
        <v>205</v>
      </c>
      <c r="BS1335" s="28" t="s">
        <v>138</v>
      </c>
      <c r="BT1335" s="28" t="s">
        <v>138</v>
      </c>
      <c r="BU1335" s="28" t="s">
        <v>174</v>
      </c>
      <c r="BV1335" s="28" t="s">
        <v>138</v>
      </c>
      <c r="BW1335" s="28" t="s">
        <v>138</v>
      </c>
      <c r="BX1335" s="28" t="s">
        <v>138</v>
      </c>
      <c r="BY1335" s="28" t="s">
        <v>175</v>
      </c>
      <c r="BZ1335" s="34">
        <v>43445</v>
      </c>
      <c r="CA1335" s="29">
        <v>5.38</v>
      </c>
      <c r="CB1335" s="28" t="s">
        <v>172</v>
      </c>
      <c r="CC1335" s="29" t="s">
        <v>138</v>
      </c>
      <c r="CD1335" s="28" t="s">
        <v>138</v>
      </c>
      <c r="CE1335" s="28" t="s">
        <v>173</v>
      </c>
      <c r="CF1335" s="28" t="s">
        <v>138</v>
      </c>
      <c r="CG1335" s="28" t="s">
        <v>138</v>
      </c>
      <c r="CH1335" s="28" t="s">
        <v>174</v>
      </c>
      <c r="CI1335" s="28" t="s">
        <v>138</v>
      </c>
      <c r="CJ1335" s="28" t="s">
        <v>138</v>
      </c>
      <c r="CK1335" s="28" t="s">
        <v>138</v>
      </c>
      <c r="CL1335" s="28" t="s">
        <v>175</v>
      </c>
      <c r="CM1335" s="34" t="s">
        <v>138</v>
      </c>
      <c r="CN1335" s="29" t="s">
        <v>138</v>
      </c>
      <c r="CO1335" s="35">
        <v>0.47</v>
      </c>
      <c r="CP1335" s="36">
        <v>95</v>
      </c>
      <c r="CQ1335" s="35">
        <v>0.03</v>
      </c>
      <c r="CR1335" s="35">
        <v>7.74</v>
      </c>
      <c r="CS1335" s="35">
        <v>0.36</v>
      </c>
      <c r="CT1335" s="36">
        <v>95</v>
      </c>
      <c r="CU1335" s="35">
        <v>0.61</v>
      </c>
      <c r="CV1335" s="36">
        <v>95</v>
      </c>
      <c r="CW1335" s="35">
        <v>0.36</v>
      </c>
      <c r="CX1335" s="36">
        <v>82</v>
      </c>
      <c r="CY1335" s="35" t="s">
        <v>138</v>
      </c>
      <c r="CZ1335" s="36" t="s">
        <v>138</v>
      </c>
      <c r="DA1335" s="35">
        <v>0.61</v>
      </c>
      <c r="DB1335" s="36">
        <v>96</v>
      </c>
      <c r="DC1335" s="37">
        <v>82.8</v>
      </c>
      <c r="DD1335" s="36">
        <v>99</v>
      </c>
      <c r="DE1335" s="37">
        <v>-9.91</v>
      </c>
      <c r="DF1335" s="35">
        <v>-10.69</v>
      </c>
      <c r="DG1335" s="37">
        <v>235.62</v>
      </c>
      <c r="DH1335" s="36">
        <v>100</v>
      </c>
      <c r="DI1335" s="37">
        <v>12.74</v>
      </c>
      <c r="DJ1335" s="36">
        <v>87</v>
      </c>
      <c r="DK1335" s="37">
        <v>235.62</v>
      </c>
      <c r="DL1335" s="36">
        <v>99</v>
      </c>
      <c r="DM1335" s="37" t="s">
        <v>138</v>
      </c>
      <c r="DN1335" s="36" t="s">
        <v>138</v>
      </c>
      <c r="DO1335" s="37">
        <v>12.74</v>
      </c>
      <c r="DP1335" s="36">
        <v>89</v>
      </c>
      <c r="DQ1335" s="36">
        <v>79340</v>
      </c>
      <c r="DR1335" s="38">
        <v>4428</v>
      </c>
      <c r="DS1335" s="35">
        <v>5.91</v>
      </c>
      <c r="DT1335" s="36" t="s">
        <v>138</v>
      </c>
      <c r="DU1335" s="38" t="s">
        <v>138</v>
      </c>
      <c r="DV1335" s="35" t="s">
        <v>138</v>
      </c>
      <c r="DW1335" s="36">
        <v>4467</v>
      </c>
      <c r="DX1335" s="39">
        <v>61</v>
      </c>
      <c r="DY1335" s="35">
        <v>1.38</v>
      </c>
      <c r="DZ1335" s="28" t="s">
        <v>178</v>
      </c>
      <c r="EA1335" s="34">
        <v>43532</v>
      </c>
      <c r="EB1335" s="29" t="s">
        <v>138</v>
      </c>
      <c r="EC1335" s="34" t="s">
        <v>138</v>
      </c>
      <c r="ED1335" s="28" t="s">
        <v>138</v>
      </c>
      <c r="EE1335" s="40" t="str">
        <f>HYPERLINK("https://my.pitchbook.com?c=97640-11", "View company online")</f>
        <v>View company online</v>
      </c>
    </row>
    <row r="1336" spans="1:135">
      <c r="A1336" s="15" t="s">
        <v>25785</v>
      </c>
      <c r="B1336" s="15" t="s">
        <v>25786</v>
      </c>
      <c r="C1336" s="15" t="s">
        <v>138</v>
      </c>
      <c r="D1336" s="15" t="s">
        <v>138</v>
      </c>
      <c r="E1336" s="15" t="s">
        <v>25787</v>
      </c>
      <c r="F1336" s="15" t="s">
        <v>25785</v>
      </c>
      <c r="G1336" s="15" t="s">
        <v>25788</v>
      </c>
      <c r="H1336" s="15" t="s">
        <v>322</v>
      </c>
      <c r="I1336" s="15" t="s">
        <v>323</v>
      </c>
      <c r="J1336" s="15" t="s">
        <v>1184</v>
      </c>
      <c r="K1336" s="15" t="s">
        <v>6678</v>
      </c>
      <c r="L1336" s="15" t="s">
        <v>2641</v>
      </c>
      <c r="M1336" s="15" t="s">
        <v>25789</v>
      </c>
      <c r="N1336" s="15" t="s">
        <v>147</v>
      </c>
      <c r="O1336" s="17">
        <v>16</v>
      </c>
      <c r="P1336" s="15" t="s">
        <v>189</v>
      </c>
      <c r="Q1336" s="15" t="s">
        <v>149</v>
      </c>
      <c r="R1336" s="15" t="s">
        <v>174</v>
      </c>
      <c r="S1336" s="15" t="s">
        <v>25790</v>
      </c>
      <c r="T1336" s="18">
        <v>15</v>
      </c>
      <c r="U1336" s="15" t="s">
        <v>25791</v>
      </c>
      <c r="V1336" s="15" t="s">
        <v>138</v>
      </c>
      <c r="W1336" s="15" t="s">
        <v>138</v>
      </c>
      <c r="X1336" s="19">
        <v>2017</v>
      </c>
      <c r="Y1336" s="15" t="s">
        <v>138</v>
      </c>
      <c r="Z1336" s="15" t="s">
        <v>138</v>
      </c>
      <c r="AA1336" s="15" t="s">
        <v>138</v>
      </c>
      <c r="AB1336" s="20" t="s">
        <v>138</v>
      </c>
      <c r="AC1336" s="20" t="s">
        <v>138</v>
      </c>
      <c r="AD1336" s="20" t="s">
        <v>138</v>
      </c>
      <c r="AE1336" s="20" t="s">
        <v>138</v>
      </c>
      <c r="AF1336" s="20" t="s">
        <v>138</v>
      </c>
      <c r="AG1336" s="15" t="s">
        <v>138</v>
      </c>
      <c r="AH1336" s="20" t="s">
        <v>138</v>
      </c>
      <c r="AI1336" s="20" t="s">
        <v>138</v>
      </c>
      <c r="AJ1336" s="20" t="s">
        <v>138</v>
      </c>
      <c r="AK1336" s="15" t="s">
        <v>25792</v>
      </c>
      <c r="AL1336" s="15" t="s">
        <v>25793</v>
      </c>
      <c r="AM1336" s="15" t="s">
        <v>5401</v>
      </c>
      <c r="AN1336" s="15" t="s">
        <v>25794</v>
      </c>
      <c r="AO1336" s="15" t="s">
        <v>25795</v>
      </c>
      <c r="AP1336" s="15" t="s">
        <v>665</v>
      </c>
      <c r="AQ1336" s="15" t="s">
        <v>25796</v>
      </c>
      <c r="AR1336" s="15" t="s">
        <v>25797</v>
      </c>
      <c r="AS1336" s="15" t="s">
        <v>668</v>
      </c>
      <c r="AT1336" s="15" t="s">
        <v>200</v>
      </c>
      <c r="AU1336" s="15" t="s">
        <v>3477</v>
      </c>
      <c r="AV1336" s="15" t="s">
        <v>162</v>
      </c>
      <c r="AW1336" s="15" t="s">
        <v>25795</v>
      </c>
      <c r="AX1336" s="15" t="s">
        <v>138</v>
      </c>
      <c r="AY1336" s="15" t="s">
        <v>25798</v>
      </c>
      <c r="AZ1336" s="15" t="s">
        <v>164</v>
      </c>
      <c r="BA1336" s="15" t="s">
        <v>165</v>
      </c>
      <c r="BB1336" s="15" t="s">
        <v>25799</v>
      </c>
      <c r="BC1336" s="15" t="s">
        <v>25800</v>
      </c>
      <c r="BD1336" s="21">
        <v>4</v>
      </c>
      <c r="BE1336" s="15" t="s">
        <v>138</v>
      </c>
      <c r="BF1336" s="15" t="s">
        <v>138</v>
      </c>
      <c r="BG1336" s="15" t="s">
        <v>138</v>
      </c>
      <c r="BH1336" s="15" t="s">
        <v>25801</v>
      </c>
      <c r="BI1336" s="15" t="s">
        <v>138</v>
      </c>
      <c r="BJ1336" s="15" t="s">
        <v>138</v>
      </c>
      <c r="BK1336" s="15" t="s">
        <v>138</v>
      </c>
      <c r="BL1336" s="15" t="s">
        <v>138</v>
      </c>
      <c r="BM1336" s="22">
        <v>43083</v>
      </c>
      <c r="BN1336" s="17">
        <v>4</v>
      </c>
      <c r="BO1336" s="15" t="s">
        <v>172</v>
      </c>
      <c r="BP1336" s="17">
        <v>14.94</v>
      </c>
      <c r="BQ1336" s="15" t="s">
        <v>172</v>
      </c>
      <c r="BR1336" s="15" t="s">
        <v>234</v>
      </c>
      <c r="BS1336" s="15" t="s">
        <v>234</v>
      </c>
      <c r="BT1336" s="15" t="s">
        <v>138</v>
      </c>
      <c r="BU1336" s="15" t="s">
        <v>174</v>
      </c>
      <c r="BV1336" s="15" t="s">
        <v>177</v>
      </c>
      <c r="BW1336" s="15" t="s">
        <v>138</v>
      </c>
      <c r="BX1336" s="15" t="s">
        <v>138</v>
      </c>
      <c r="BY1336" s="15" t="s">
        <v>175</v>
      </c>
      <c r="BZ1336" s="22">
        <v>43438</v>
      </c>
      <c r="CA1336" s="17">
        <v>12</v>
      </c>
      <c r="CB1336" s="15" t="s">
        <v>172</v>
      </c>
      <c r="CC1336" s="17" t="s">
        <v>138</v>
      </c>
      <c r="CD1336" s="15" t="s">
        <v>138</v>
      </c>
      <c r="CE1336" s="15" t="s">
        <v>205</v>
      </c>
      <c r="CF1336" s="15" t="s">
        <v>206</v>
      </c>
      <c r="CG1336" s="15" t="s">
        <v>138</v>
      </c>
      <c r="CH1336" s="15" t="s">
        <v>174</v>
      </c>
      <c r="CI1336" s="15" t="s">
        <v>138</v>
      </c>
      <c r="CJ1336" s="15" t="s">
        <v>138</v>
      </c>
      <c r="CK1336" s="15" t="s">
        <v>138</v>
      </c>
      <c r="CL1336" s="15" t="s">
        <v>175</v>
      </c>
      <c r="CM1336" s="22" t="s">
        <v>138</v>
      </c>
      <c r="CN1336" s="17" t="s">
        <v>138</v>
      </c>
      <c r="CO1336" s="23">
        <v>1.73</v>
      </c>
      <c r="CP1336" s="24">
        <v>99</v>
      </c>
      <c r="CQ1336" s="23">
        <v>0</v>
      </c>
      <c r="CR1336" s="23">
        <v>0</v>
      </c>
      <c r="CS1336" s="23">
        <v>0.79</v>
      </c>
      <c r="CT1336" s="24">
        <v>96</v>
      </c>
      <c r="CU1336" s="23">
        <v>0</v>
      </c>
      <c r="CV1336" s="24">
        <v>22</v>
      </c>
      <c r="CW1336" s="23">
        <v>0.79</v>
      </c>
      <c r="CX1336" s="24">
        <v>84</v>
      </c>
      <c r="CY1336" s="23" t="s">
        <v>138</v>
      </c>
      <c r="CZ1336" s="24" t="s">
        <v>138</v>
      </c>
      <c r="DA1336" s="23">
        <v>0</v>
      </c>
      <c r="DB1336" s="24">
        <v>22</v>
      </c>
      <c r="DC1336" s="25">
        <v>1.04</v>
      </c>
      <c r="DD1336" s="24">
        <v>52</v>
      </c>
      <c r="DE1336" s="25">
        <v>-0.12</v>
      </c>
      <c r="DF1336" s="23">
        <v>-10.36</v>
      </c>
      <c r="DG1336" s="25">
        <v>2.85</v>
      </c>
      <c r="DH1336" s="24">
        <v>74</v>
      </c>
      <c r="DI1336" s="25">
        <v>0.25</v>
      </c>
      <c r="DJ1336" s="24">
        <v>25</v>
      </c>
      <c r="DK1336" s="25">
        <v>2.85</v>
      </c>
      <c r="DL1336" s="24">
        <v>71</v>
      </c>
      <c r="DM1336" s="25" t="s">
        <v>138</v>
      </c>
      <c r="DN1336" s="24" t="s">
        <v>138</v>
      </c>
      <c r="DO1336" s="25">
        <v>0.25</v>
      </c>
      <c r="DP1336" s="24">
        <v>27</v>
      </c>
      <c r="DQ1336" s="24">
        <v>1046</v>
      </c>
      <c r="DR1336" s="26">
        <v>-211</v>
      </c>
      <c r="DS1336" s="23">
        <v>-16.79</v>
      </c>
      <c r="DT1336" s="24" t="s">
        <v>138</v>
      </c>
      <c r="DU1336" s="26" t="s">
        <v>138</v>
      </c>
      <c r="DV1336" s="23" t="s">
        <v>138</v>
      </c>
      <c r="DW1336" s="24">
        <v>88</v>
      </c>
      <c r="DX1336" s="27">
        <v>2</v>
      </c>
      <c r="DY1336" s="23">
        <v>2.33</v>
      </c>
      <c r="DZ1336" s="15" t="s">
        <v>178</v>
      </c>
      <c r="EA1336" s="22">
        <v>43474</v>
      </c>
      <c r="EB1336" s="17">
        <v>14.94</v>
      </c>
      <c r="EC1336" s="22">
        <v>43083</v>
      </c>
      <c r="ED1336" s="15" t="s">
        <v>234</v>
      </c>
      <c r="EE1336" s="14" t="str">
        <f>HYPERLINK("https://my.pitchbook.com?c=185741-47", "View company online")</f>
        <v>View company online</v>
      </c>
    </row>
    <row r="1337" spans="1:135">
      <c r="A1337" s="28" t="s">
        <v>25802</v>
      </c>
      <c r="B1337" s="28" t="s">
        <v>25803</v>
      </c>
      <c r="C1337" s="28" t="s">
        <v>138</v>
      </c>
      <c r="D1337" s="28" t="s">
        <v>138</v>
      </c>
      <c r="E1337" s="28" t="s">
        <v>138</v>
      </c>
      <c r="F1337" s="28" t="s">
        <v>25802</v>
      </c>
      <c r="G1337" s="28" t="s">
        <v>25804</v>
      </c>
      <c r="H1337" s="28" t="s">
        <v>322</v>
      </c>
      <c r="I1337" s="28" t="s">
        <v>323</v>
      </c>
      <c r="J1337" s="28" t="s">
        <v>324</v>
      </c>
      <c r="K1337" s="28" t="s">
        <v>1649</v>
      </c>
      <c r="L1337" s="28" t="s">
        <v>1544</v>
      </c>
      <c r="M1337" s="28" t="s">
        <v>25805</v>
      </c>
      <c r="N1337" s="28" t="s">
        <v>147</v>
      </c>
      <c r="O1337" s="29" t="s">
        <v>138</v>
      </c>
      <c r="P1337" s="28" t="s">
        <v>148</v>
      </c>
      <c r="Q1337" s="28" t="s">
        <v>149</v>
      </c>
      <c r="R1337" s="28" t="s">
        <v>174</v>
      </c>
      <c r="S1337" s="28" t="s">
        <v>25806</v>
      </c>
      <c r="T1337" s="30">
        <v>19</v>
      </c>
      <c r="U1337" s="28" t="s">
        <v>25807</v>
      </c>
      <c r="V1337" s="28" t="s">
        <v>138</v>
      </c>
      <c r="W1337" s="28" t="s">
        <v>138</v>
      </c>
      <c r="X1337" s="31">
        <v>2004</v>
      </c>
      <c r="Y1337" s="28" t="s">
        <v>138</v>
      </c>
      <c r="Z1337" s="28" t="s">
        <v>138</v>
      </c>
      <c r="AA1337" s="28" t="s">
        <v>138</v>
      </c>
      <c r="AB1337" s="32" t="s">
        <v>138</v>
      </c>
      <c r="AC1337" s="32" t="s">
        <v>138</v>
      </c>
      <c r="AD1337" s="32" t="s">
        <v>138</v>
      </c>
      <c r="AE1337" s="32" t="s">
        <v>138</v>
      </c>
      <c r="AF1337" s="32" t="s">
        <v>138</v>
      </c>
      <c r="AG1337" s="28" t="s">
        <v>138</v>
      </c>
      <c r="AH1337" s="32" t="s">
        <v>138</v>
      </c>
      <c r="AI1337" s="32" t="s">
        <v>138</v>
      </c>
      <c r="AJ1337" s="32" t="s">
        <v>138</v>
      </c>
      <c r="AK1337" s="28" t="s">
        <v>25808</v>
      </c>
      <c r="AL1337" s="28" t="s">
        <v>25809</v>
      </c>
      <c r="AM1337" s="28" t="s">
        <v>25810</v>
      </c>
      <c r="AN1337" s="28" t="s">
        <v>25811</v>
      </c>
      <c r="AO1337" s="28" t="s">
        <v>138</v>
      </c>
      <c r="AP1337" s="28" t="s">
        <v>25812</v>
      </c>
      <c r="AQ1337" s="28" t="s">
        <v>25813</v>
      </c>
      <c r="AR1337" s="28" t="s">
        <v>138</v>
      </c>
      <c r="AS1337" s="28" t="s">
        <v>25814</v>
      </c>
      <c r="AT1337" s="28" t="s">
        <v>25815</v>
      </c>
      <c r="AU1337" s="28" t="s">
        <v>25816</v>
      </c>
      <c r="AV1337" s="28" t="s">
        <v>8999</v>
      </c>
      <c r="AW1337" s="28" t="s">
        <v>25817</v>
      </c>
      <c r="AX1337" s="28" t="s">
        <v>25818</v>
      </c>
      <c r="AY1337" s="28" t="s">
        <v>138</v>
      </c>
      <c r="AZ1337" s="28" t="s">
        <v>9001</v>
      </c>
      <c r="BA1337" s="28" t="s">
        <v>9001</v>
      </c>
      <c r="BB1337" s="28" t="s">
        <v>25819</v>
      </c>
      <c r="BC1337" s="28" t="s">
        <v>25820</v>
      </c>
      <c r="BD1337" s="33">
        <v>1</v>
      </c>
      <c r="BE1337" s="28" t="s">
        <v>138</v>
      </c>
      <c r="BF1337" s="28" t="s">
        <v>138</v>
      </c>
      <c r="BG1337" s="28" t="s">
        <v>138</v>
      </c>
      <c r="BH1337" s="28" t="s">
        <v>138</v>
      </c>
      <c r="BI1337" s="28" t="s">
        <v>138</v>
      </c>
      <c r="BJ1337" s="28" t="s">
        <v>138</v>
      </c>
      <c r="BK1337" s="28" t="s">
        <v>138</v>
      </c>
      <c r="BL1337" s="28" t="s">
        <v>138</v>
      </c>
      <c r="BM1337" s="34">
        <v>41014</v>
      </c>
      <c r="BN1337" s="29" t="s">
        <v>138</v>
      </c>
      <c r="BO1337" s="28" t="s">
        <v>138</v>
      </c>
      <c r="BP1337" s="29" t="s">
        <v>138</v>
      </c>
      <c r="BQ1337" s="28" t="s">
        <v>138</v>
      </c>
      <c r="BR1337" s="28" t="s">
        <v>173</v>
      </c>
      <c r="BS1337" s="28" t="s">
        <v>206</v>
      </c>
      <c r="BT1337" s="28" t="s">
        <v>138</v>
      </c>
      <c r="BU1337" s="28" t="s">
        <v>174</v>
      </c>
      <c r="BV1337" s="28" t="s">
        <v>138</v>
      </c>
      <c r="BW1337" s="28" t="s">
        <v>138</v>
      </c>
      <c r="BX1337" s="28" t="s">
        <v>138</v>
      </c>
      <c r="BY1337" s="28" t="s">
        <v>175</v>
      </c>
      <c r="BZ1337" s="34">
        <v>41014</v>
      </c>
      <c r="CA1337" s="29" t="s">
        <v>138</v>
      </c>
      <c r="CB1337" s="28" t="s">
        <v>138</v>
      </c>
      <c r="CC1337" s="29" t="s">
        <v>138</v>
      </c>
      <c r="CD1337" s="28" t="s">
        <v>138</v>
      </c>
      <c r="CE1337" s="28" t="s">
        <v>173</v>
      </c>
      <c r="CF1337" s="28" t="s">
        <v>206</v>
      </c>
      <c r="CG1337" s="28" t="s">
        <v>138</v>
      </c>
      <c r="CH1337" s="28" t="s">
        <v>174</v>
      </c>
      <c r="CI1337" s="28" t="s">
        <v>138</v>
      </c>
      <c r="CJ1337" s="28" t="s">
        <v>138</v>
      </c>
      <c r="CK1337" s="28" t="s">
        <v>138</v>
      </c>
      <c r="CL1337" s="28" t="s">
        <v>175</v>
      </c>
      <c r="CM1337" s="34" t="s">
        <v>138</v>
      </c>
      <c r="CN1337" s="29" t="s">
        <v>138</v>
      </c>
      <c r="CO1337" s="35">
        <v>0</v>
      </c>
      <c r="CP1337" s="36">
        <v>26</v>
      </c>
      <c r="CQ1337" s="35">
        <v>-0.06</v>
      </c>
      <c r="CR1337" s="35">
        <v>-99.05</v>
      </c>
      <c r="CS1337" s="35">
        <v>0</v>
      </c>
      <c r="CT1337" s="36">
        <v>23</v>
      </c>
      <c r="CU1337" s="35">
        <v>0</v>
      </c>
      <c r="CV1337" s="36">
        <v>22</v>
      </c>
      <c r="CW1337" s="35" t="s">
        <v>138</v>
      </c>
      <c r="CX1337" s="36" t="s">
        <v>138</v>
      </c>
      <c r="CY1337" s="35">
        <v>0</v>
      </c>
      <c r="CZ1337" s="36">
        <v>25</v>
      </c>
      <c r="DA1337" s="35">
        <v>0</v>
      </c>
      <c r="DB1337" s="36">
        <v>22</v>
      </c>
      <c r="DC1337" s="37">
        <v>0.85</v>
      </c>
      <c r="DD1337" s="36">
        <v>47</v>
      </c>
      <c r="DE1337" s="37">
        <v>0</v>
      </c>
      <c r="DF1337" s="35">
        <v>-7.0000000000000007E-2</v>
      </c>
      <c r="DG1337" s="37">
        <v>1.41</v>
      </c>
      <c r="DH1337" s="36">
        <v>59</v>
      </c>
      <c r="DI1337" s="37">
        <v>0.28999999999999998</v>
      </c>
      <c r="DJ1337" s="36">
        <v>28</v>
      </c>
      <c r="DK1337" s="37" t="s">
        <v>138</v>
      </c>
      <c r="DL1337" s="36" t="s">
        <v>138</v>
      </c>
      <c r="DM1337" s="37">
        <v>1.41</v>
      </c>
      <c r="DN1337" s="36">
        <v>58</v>
      </c>
      <c r="DO1337" s="37">
        <v>0.28999999999999998</v>
      </c>
      <c r="DP1337" s="36">
        <v>29</v>
      </c>
      <c r="DQ1337" s="36" t="s">
        <v>138</v>
      </c>
      <c r="DR1337" s="38" t="s">
        <v>138</v>
      </c>
      <c r="DS1337" s="35" t="s">
        <v>138</v>
      </c>
      <c r="DT1337" s="36">
        <v>41</v>
      </c>
      <c r="DU1337" s="38">
        <v>0</v>
      </c>
      <c r="DV1337" s="35">
        <v>0</v>
      </c>
      <c r="DW1337" s="36">
        <v>104</v>
      </c>
      <c r="DX1337" s="39">
        <v>-1</v>
      </c>
      <c r="DY1337" s="35">
        <v>-0.95</v>
      </c>
      <c r="DZ1337" s="28" t="s">
        <v>178</v>
      </c>
      <c r="EA1337" s="34">
        <v>43351</v>
      </c>
      <c r="EB1337" s="29" t="s">
        <v>138</v>
      </c>
      <c r="EC1337" s="34" t="s">
        <v>138</v>
      </c>
      <c r="ED1337" s="28" t="s">
        <v>138</v>
      </c>
      <c r="EE1337" s="40" t="str">
        <f>HYPERLINK("https://my.pitchbook.com?c=56356-21", "View company online")</f>
        <v>View company online</v>
      </c>
    </row>
    <row r="1338" spans="1:135">
      <c r="A1338" s="15" t="s">
        <v>25821</v>
      </c>
      <c r="B1338" s="15" t="s">
        <v>25822</v>
      </c>
      <c r="C1338" s="15" t="s">
        <v>25823</v>
      </c>
      <c r="D1338" s="15" t="s">
        <v>25824</v>
      </c>
      <c r="E1338" s="15" t="s">
        <v>138</v>
      </c>
      <c r="F1338" s="15" t="s">
        <v>25821</v>
      </c>
      <c r="G1338" s="15" t="s">
        <v>25825</v>
      </c>
      <c r="H1338" s="15" t="s">
        <v>238</v>
      </c>
      <c r="I1338" s="15" t="s">
        <v>997</v>
      </c>
      <c r="J1338" s="15" t="s">
        <v>2683</v>
      </c>
      <c r="K1338" s="15" t="s">
        <v>25826</v>
      </c>
      <c r="L1338" s="15" t="s">
        <v>138</v>
      </c>
      <c r="M1338" s="15" t="s">
        <v>25827</v>
      </c>
      <c r="N1338" s="15" t="s">
        <v>147</v>
      </c>
      <c r="O1338" s="17" t="s">
        <v>138</v>
      </c>
      <c r="P1338" s="15" t="s">
        <v>148</v>
      </c>
      <c r="Q1338" s="15" t="s">
        <v>149</v>
      </c>
      <c r="R1338" s="15" t="s">
        <v>174</v>
      </c>
      <c r="S1338" s="15" t="s">
        <v>25828</v>
      </c>
      <c r="T1338" s="18" t="s">
        <v>138</v>
      </c>
      <c r="U1338" s="15" t="s">
        <v>138</v>
      </c>
      <c r="V1338" s="15" t="s">
        <v>138</v>
      </c>
      <c r="W1338" s="15" t="s">
        <v>138</v>
      </c>
      <c r="X1338" s="19">
        <v>2004</v>
      </c>
      <c r="Y1338" s="15" t="s">
        <v>138</v>
      </c>
      <c r="Z1338" s="15" t="s">
        <v>138</v>
      </c>
      <c r="AA1338" s="15" t="s">
        <v>138</v>
      </c>
      <c r="AB1338" s="20" t="s">
        <v>138</v>
      </c>
      <c r="AC1338" s="20" t="s">
        <v>138</v>
      </c>
      <c r="AD1338" s="20" t="s">
        <v>138</v>
      </c>
      <c r="AE1338" s="20" t="s">
        <v>138</v>
      </c>
      <c r="AF1338" s="20" t="s">
        <v>138</v>
      </c>
      <c r="AG1338" s="15" t="s">
        <v>138</v>
      </c>
      <c r="AH1338" s="20" t="s">
        <v>138</v>
      </c>
      <c r="AI1338" s="20" t="s">
        <v>138</v>
      </c>
      <c r="AJ1338" s="20" t="s">
        <v>138</v>
      </c>
      <c r="AK1338" s="15" t="s">
        <v>25829</v>
      </c>
      <c r="AL1338" s="15" t="s">
        <v>25830</v>
      </c>
      <c r="AM1338" s="15" t="s">
        <v>25831</v>
      </c>
      <c r="AN1338" s="15" t="s">
        <v>138</v>
      </c>
      <c r="AO1338" s="15" t="s">
        <v>25832</v>
      </c>
      <c r="AP1338" s="15" t="s">
        <v>5471</v>
      </c>
      <c r="AQ1338" s="15" t="s">
        <v>25833</v>
      </c>
      <c r="AR1338" s="15" t="s">
        <v>138</v>
      </c>
      <c r="AS1338" s="15" t="s">
        <v>5473</v>
      </c>
      <c r="AT1338" s="15" t="s">
        <v>3112</v>
      </c>
      <c r="AU1338" s="15" t="s">
        <v>25834</v>
      </c>
      <c r="AV1338" s="15" t="s">
        <v>2742</v>
      </c>
      <c r="AW1338" s="15" t="s">
        <v>25832</v>
      </c>
      <c r="AX1338" s="15" t="s">
        <v>138</v>
      </c>
      <c r="AY1338" s="15" t="s">
        <v>25835</v>
      </c>
      <c r="AZ1338" s="15" t="s">
        <v>164</v>
      </c>
      <c r="BA1338" s="15" t="s">
        <v>165</v>
      </c>
      <c r="BB1338" s="15" t="s">
        <v>25836</v>
      </c>
      <c r="BC1338" s="15" t="s">
        <v>10339</v>
      </c>
      <c r="BD1338" s="21">
        <v>1</v>
      </c>
      <c r="BE1338" s="15" t="s">
        <v>138</v>
      </c>
      <c r="BF1338" s="15" t="s">
        <v>138</v>
      </c>
      <c r="BG1338" s="15" t="s">
        <v>138</v>
      </c>
      <c r="BH1338" s="15" t="s">
        <v>10341</v>
      </c>
      <c r="BI1338" s="15" t="s">
        <v>138</v>
      </c>
      <c r="BJ1338" s="15" t="s">
        <v>138</v>
      </c>
      <c r="BK1338" s="15" t="s">
        <v>138</v>
      </c>
      <c r="BL1338" s="15" t="s">
        <v>138</v>
      </c>
      <c r="BM1338" s="22">
        <v>41402</v>
      </c>
      <c r="BN1338" s="17" t="s">
        <v>138</v>
      </c>
      <c r="BO1338" s="15" t="s">
        <v>138</v>
      </c>
      <c r="BP1338" s="17" t="s">
        <v>138</v>
      </c>
      <c r="BQ1338" s="15" t="s">
        <v>138</v>
      </c>
      <c r="BR1338" s="15" t="s">
        <v>173</v>
      </c>
      <c r="BS1338" s="15" t="s">
        <v>138</v>
      </c>
      <c r="BT1338" s="15" t="s">
        <v>138</v>
      </c>
      <c r="BU1338" s="15" t="s">
        <v>174</v>
      </c>
      <c r="BV1338" s="15" t="s">
        <v>138</v>
      </c>
      <c r="BW1338" s="15" t="s">
        <v>138</v>
      </c>
      <c r="BX1338" s="15" t="s">
        <v>138</v>
      </c>
      <c r="BY1338" s="15" t="s">
        <v>175</v>
      </c>
      <c r="BZ1338" s="22">
        <v>41402</v>
      </c>
      <c r="CA1338" s="17" t="s">
        <v>138</v>
      </c>
      <c r="CB1338" s="15" t="s">
        <v>138</v>
      </c>
      <c r="CC1338" s="17" t="s">
        <v>138</v>
      </c>
      <c r="CD1338" s="15" t="s">
        <v>138</v>
      </c>
      <c r="CE1338" s="15" t="s">
        <v>173</v>
      </c>
      <c r="CF1338" s="15" t="s">
        <v>138</v>
      </c>
      <c r="CG1338" s="15" t="s">
        <v>138</v>
      </c>
      <c r="CH1338" s="15" t="s">
        <v>174</v>
      </c>
      <c r="CI1338" s="15" t="s">
        <v>138</v>
      </c>
      <c r="CJ1338" s="15" t="s">
        <v>138</v>
      </c>
      <c r="CK1338" s="15" t="s">
        <v>138</v>
      </c>
      <c r="CL1338" s="15" t="s">
        <v>175</v>
      </c>
      <c r="CM1338" s="22" t="s">
        <v>138</v>
      </c>
      <c r="CN1338" s="17" t="s">
        <v>138</v>
      </c>
      <c r="CO1338" s="23">
        <v>0.43</v>
      </c>
      <c r="CP1338" s="24">
        <v>95</v>
      </c>
      <c r="CQ1338" s="23">
        <v>-0.04</v>
      </c>
      <c r="CR1338" s="23">
        <v>-9.3800000000000008</v>
      </c>
      <c r="CS1338" s="23">
        <v>0.82</v>
      </c>
      <c r="CT1338" s="24">
        <v>96</v>
      </c>
      <c r="CU1338" s="23">
        <v>0.04</v>
      </c>
      <c r="CV1338" s="24">
        <v>56</v>
      </c>
      <c r="CW1338" s="23" t="s">
        <v>138</v>
      </c>
      <c r="CX1338" s="24" t="s">
        <v>138</v>
      </c>
      <c r="CY1338" s="23">
        <v>0.82</v>
      </c>
      <c r="CZ1338" s="24">
        <v>99</v>
      </c>
      <c r="DA1338" s="23">
        <v>0.04</v>
      </c>
      <c r="DB1338" s="24">
        <v>62</v>
      </c>
      <c r="DC1338" s="25">
        <v>8.73</v>
      </c>
      <c r="DD1338" s="24">
        <v>89</v>
      </c>
      <c r="DE1338" s="25">
        <v>0.08</v>
      </c>
      <c r="DF1338" s="23">
        <v>0.87</v>
      </c>
      <c r="DG1338" s="25">
        <v>7.86</v>
      </c>
      <c r="DH1338" s="24">
        <v>87</v>
      </c>
      <c r="DI1338" s="25">
        <v>9.6</v>
      </c>
      <c r="DJ1338" s="24">
        <v>85</v>
      </c>
      <c r="DK1338" s="25" t="s">
        <v>138</v>
      </c>
      <c r="DL1338" s="24" t="s">
        <v>138</v>
      </c>
      <c r="DM1338" s="25">
        <v>7.86</v>
      </c>
      <c r="DN1338" s="24">
        <v>87</v>
      </c>
      <c r="DO1338" s="25">
        <v>9.6</v>
      </c>
      <c r="DP1338" s="24">
        <v>87</v>
      </c>
      <c r="DQ1338" s="24" t="s">
        <v>138</v>
      </c>
      <c r="DR1338" s="26" t="s">
        <v>138</v>
      </c>
      <c r="DS1338" s="23" t="s">
        <v>138</v>
      </c>
      <c r="DT1338" s="24">
        <v>227</v>
      </c>
      <c r="DU1338" s="26">
        <v>2</v>
      </c>
      <c r="DV1338" s="23">
        <v>0.89</v>
      </c>
      <c r="DW1338" s="24">
        <v>3437</v>
      </c>
      <c r="DX1338" s="27">
        <v>0</v>
      </c>
      <c r="DY1338" s="23">
        <v>0</v>
      </c>
      <c r="DZ1338" s="15" t="s">
        <v>178</v>
      </c>
      <c r="EA1338" s="22">
        <v>43482</v>
      </c>
      <c r="EB1338" s="17" t="s">
        <v>138</v>
      </c>
      <c r="EC1338" s="22" t="s">
        <v>138</v>
      </c>
      <c r="ED1338" s="15" t="s">
        <v>138</v>
      </c>
      <c r="EE1338" s="14" t="str">
        <f>HYPERLINK("https://my.pitchbook.com?c=166592-17", "View company online")</f>
        <v>View company online</v>
      </c>
    </row>
    <row r="1339" spans="1:135">
      <c r="A1339" s="28" t="s">
        <v>25837</v>
      </c>
      <c r="B1339" s="28" t="s">
        <v>25838</v>
      </c>
      <c r="C1339" s="28" t="s">
        <v>138</v>
      </c>
      <c r="D1339" s="28" t="s">
        <v>138</v>
      </c>
      <c r="E1339" s="28" t="s">
        <v>25839</v>
      </c>
      <c r="F1339" s="28" t="s">
        <v>25837</v>
      </c>
      <c r="G1339" s="28" t="s">
        <v>25840</v>
      </c>
      <c r="H1339" s="28" t="s">
        <v>322</v>
      </c>
      <c r="I1339" s="28" t="s">
        <v>323</v>
      </c>
      <c r="J1339" s="28" t="s">
        <v>413</v>
      </c>
      <c r="K1339" s="28" t="s">
        <v>10998</v>
      </c>
      <c r="L1339" s="28" t="s">
        <v>25841</v>
      </c>
      <c r="M1339" s="28" t="s">
        <v>25842</v>
      </c>
      <c r="N1339" s="28" t="s">
        <v>147</v>
      </c>
      <c r="O1339" s="29">
        <v>100</v>
      </c>
      <c r="P1339" s="28" t="s">
        <v>148</v>
      </c>
      <c r="Q1339" s="28" t="s">
        <v>149</v>
      </c>
      <c r="R1339" s="28" t="s">
        <v>174</v>
      </c>
      <c r="S1339" s="28" t="s">
        <v>25843</v>
      </c>
      <c r="T1339" s="30">
        <v>110</v>
      </c>
      <c r="U1339" s="28" t="s">
        <v>25844</v>
      </c>
      <c r="V1339" s="28" t="s">
        <v>138</v>
      </c>
      <c r="W1339" s="28" t="s">
        <v>138</v>
      </c>
      <c r="X1339" s="31">
        <v>2013</v>
      </c>
      <c r="Y1339" s="28" t="s">
        <v>138</v>
      </c>
      <c r="Z1339" s="28" t="s">
        <v>138</v>
      </c>
      <c r="AA1339" s="28" t="s">
        <v>1163</v>
      </c>
      <c r="AB1339" s="32" t="s">
        <v>138</v>
      </c>
      <c r="AC1339" s="32" t="s">
        <v>138</v>
      </c>
      <c r="AD1339" s="32" t="s">
        <v>138</v>
      </c>
      <c r="AE1339" s="32" t="s">
        <v>138</v>
      </c>
      <c r="AF1339" s="32" t="s">
        <v>138</v>
      </c>
      <c r="AG1339" s="28" t="s">
        <v>138</v>
      </c>
      <c r="AH1339" s="32" t="s">
        <v>138</v>
      </c>
      <c r="AI1339" s="32" t="s">
        <v>138</v>
      </c>
      <c r="AJ1339" s="32" t="s">
        <v>138</v>
      </c>
      <c r="AK1339" s="28" t="s">
        <v>25845</v>
      </c>
      <c r="AL1339" s="28" t="s">
        <v>25846</v>
      </c>
      <c r="AM1339" s="28" t="s">
        <v>221</v>
      </c>
      <c r="AN1339" s="28" t="s">
        <v>25847</v>
      </c>
      <c r="AO1339" s="28" t="s">
        <v>25848</v>
      </c>
      <c r="AP1339" s="28" t="s">
        <v>423</v>
      </c>
      <c r="AQ1339" s="28" t="s">
        <v>25849</v>
      </c>
      <c r="AR1339" s="28" t="s">
        <v>138</v>
      </c>
      <c r="AS1339" s="28" t="s">
        <v>426</v>
      </c>
      <c r="AT1339" s="28" t="s">
        <v>426</v>
      </c>
      <c r="AU1339" s="28" t="s">
        <v>9016</v>
      </c>
      <c r="AV1339" s="28" t="s">
        <v>162</v>
      </c>
      <c r="AW1339" s="28" t="s">
        <v>25848</v>
      </c>
      <c r="AX1339" s="28" t="s">
        <v>138</v>
      </c>
      <c r="AY1339" s="28" t="s">
        <v>25850</v>
      </c>
      <c r="AZ1339" s="28" t="s">
        <v>164</v>
      </c>
      <c r="BA1339" s="28" t="s">
        <v>165</v>
      </c>
      <c r="BB1339" s="28" t="s">
        <v>25851</v>
      </c>
      <c r="BC1339" s="28" t="s">
        <v>25852</v>
      </c>
      <c r="BD1339" s="33">
        <v>10</v>
      </c>
      <c r="BE1339" s="28" t="s">
        <v>138</v>
      </c>
      <c r="BF1339" s="28" t="s">
        <v>5604</v>
      </c>
      <c r="BG1339" s="28" t="s">
        <v>138</v>
      </c>
      <c r="BH1339" s="28" t="s">
        <v>25853</v>
      </c>
      <c r="BI1339" s="28" t="s">
        <v>5606</v>
      </c>
      <c r="BJ1339" s="28" t="s">
        <v>138</v>
      </c>
      <c r="BK1339" s="28" t="s">
        <v>25854</v>
      </c>
      <c r="BL1339" s="28" t="s">
        <v>25855</v>
      </c>
      <c r="BM1339" s="34">
        <v>41684</v>
      </c>
      <c r="BN1339" s="29" t="s">
        <v>138</v>
      </c>
      <c r="BO1339" s="28" t="s">
        <v>138</v>
      </c>
      <c r="BP1339" s="29" t="s">
        <v>138</v>
      </c>
      <c r="BQ1339" s="28" t="s">
        <v>138</v>
      </c>
      <c r="BR1339" s="28" t="s">
        <v>316</v>
      </c>
      <c r="BS1339" s="28" t="s">
        <v>138</v>
      </c>
      <c r="BT1339" s="28" t="s">
        <v>138</v>
      </c>
      <c r="BU1339" s="28" t="s">
        <v>177</v>
      </c>
      <c r="BV1339" s="28" t="s">
        <v>138</v>
      </c>
      <c r="BW1339" s="28" t="s">
        <v>138</v>
      </c>
      <c r="BX1339" s="28" t="s">
        <v>138</v>
      </c>
      <c r="BY1339" s="28" t="s">
        <v>175</v>
      </c>
      <c r="BZ1339" s="34">
        <v>43437</v>
      </c>
      <c r="CA1339" s="29" t="s">
        <v>138</v>
      </c>
      <c r="CB1339" s="28" t="s">
        <v>138</v>
      </c>
      <c r="CC1339" s="29" t="s">
        <v>138</v>
      </c>
      <c r="CD1339" s="28" t="s">
        <v>138</v>
      </c>
      <c r="CE1339" s="28" t="s">
        <v>379</v>
      </c>
      <c r="CF1339" s="28" t="s">
        <v>138</v>
      </c>
      <c r="CG1339" s="28" t="s">
        <v>138</v>
      </c>
      <c r="CH1339" s="28" t="s">
        <v>174</v>
      </c>
      <c r="CI1339" s="28" t="s">
        <v>138</v>
      </c>
      <c r="CJ1339" s="28" t="s">
        <v>138</v>
      </c>
      <c r="CK1339" s="28" t="s">
        <v>138</v>
      </c>
      <c r="CL1339" s="28" t="s">
        <v>175</v>
      </c>
      <c r="CM1339" s="34" t="s">
        <v>138</v>
      </c>
      <c r="CN1339" s="29" t="s">
        <v>138</v>
      </c>
      <c r="CO1339" s="35">
        <v>0.6</v>
      </c>
      <c r="CP1339" s="36">
        <v>96</v>
      </c>
      <c r="CQ1339" s="35">
        <v>-0.04</v>
      </c>
      <c r="CR1339" s="35">
        <v>-5.75</v>
      </c>
      <c r="CS1339" s="35">
        <v>0.4</v>
      </c>
      <c r="CT1339" s="36">
        <v>95</v>
      </c>
      <c r="CU1339" s="35">
        <v>0.79</v>
      </c>
      <c r="CV1339" s="36">
        <v>97</v>
      </c>
      <c r="CW1339" s="35">
        <v>0.47</v>
      </c>
      <c r="CX1339" s="36">
        <v>82</v>
      </c>
      <c r="CY1339" s="35">
        <v>0.33</v>
      </c>
      <c r="CZ1339" s="36">
        <v>98</v>
      </c>
      <c r="DA1339" s="35">
        <v>0.79</v>
      </c>
      <c r="DB1339" s="36">
        <v>97</v>
      </c>
      <c r="DC1339" s="37">
        <v>5.36</v>
      </c>
      <c r="DD1339" s="36">
        <v>84</v>
      </c>
      <c r="DE1339" s="37">
        <v>-0.11</v>
      </c>
      <c r="DF1339" s="35">
        <v>-2.0099999999999998</v>
      </c>
      <c r="DG1339" s="37">
        <v>8.94</v>
      </c>
      <c r="DH1339" s="36">
        <v>89</v>
      </c>
      <c r="DI1339" s="37">
        <v>1.79</v>
      </c>
      <c r="DJ1339" s="36">
        <v>60</v>
      </c>
      <c r="DK1339" s="37">
        <v>4.3899999999999997</v>
      </c>
      <c r="DL1339" s="36">
        <v>77</v>
      </c>
      <c r="DM1339" s="37">
        <v>13.48</v>
      </c>
      <c r="DN1339" s="36">
        <v>91</v>
      </c>
      <c r="DO1339" s="37">
        <v>1.79</v>
      </c>
      <c r="DP1339" s="36">
        <v>62</v>
      </c>
      <c r="DQ1339" s="36">
        <v>1486</v>
      </c>
      <c r="DR1339" s="38">
        <v>58</v>
      </c>
      <c r="DS1339" s="35">
        <v>4.0599999999999996</v>
      </c>
      <c r="DT1339" s="36">
        <v>390</v>
      </c>
      <c r="DU1339" s="38">
        <v>2</v>
      </c>
      <c r="DV1339" s="35">
        <v>0.52</v>
      </c>
      <c r="DW1339" s="36">
        <v>640</v>
      </c>
      <c r="DX1339" s="39">
        <v>3</v>
      </c>
      <c r="DY1339" s="35">
        <v>0.47</v>
      </c>
      <c r="DZ1339" s="28" t="s">
        <v>178</v>
      </c>
      <c r="EA1339" s="34">
        <v>43622</v>
      </c>
      <c r="EB1339" s="29" t="s">
        <v>138</v>
      </c>
      <c r="EC1339" s="34" t="s">
        <v>138</v>
      </c>
      <c r="ED1339" s="28" t="s">
        <v>138</v>
      </c>
      <c r="EE1339" s="40" t="str">
        <f>HYPERLINK("https://my.pitchbook.com?c=62094-97", "View company online")</f>
        <v>View company online</v>
      </c>
    </row>
    <row r="1340" spans="1:135">
      <c r="A1340" s="15" t="s">
        <v>25856</v>
      </c>
      <c r="B1340" s="15" t="s">
        <v>25857</v>
      </c>
      <c r="C1340" s="15" t="s">
        <v>25858</v>
      </c>
      <c r="D1340" s="15" t="s">
        <v>138</v>
      </c>
      <c r="E1340" s="15" t="s">
        <v>25859</v>
      </c>
      <c r="F1340" s="15" t="s">
        <v>25856</v>
      </c>
      <c r="G1340" s="15" t="s">
        <v>25860</v>
      </c>
      <c r="H1340" s="15" t="s">
        <v>322</v>
      </c>
      <c r="I1340" s="15" t="s">
        <v>323</v>
      </c>
      <c r="J1340" s="15" t="s">
        <v>2084</v>
      </c>
      <c r="K1340" s="15" t="s">
        <v>25861</v>
      </c>
      <c r="L1340" s="15" t="s">
        <v>242</v>
      </c>
      <c r="M1340" s="15" t="s">
        <v>25862</v>
      </c>
      <c r="N1340" s="15" t="s">
        <v>147</v>
      </c>
      <c r="O1340" s="17">
        <v>61.23</v>
      </c>
      <c r="P1340" s="15" t="s">
        <v>148</v>
      </c>
      <c r="Q1340" s="15" t="s">
        <v>149</v>
      </c>
      <c r="R1340" s="15" t="s">
        <v>174</v>
      </c>
      <c r="S1340" s="15" t="s">
        <v>25863</v>
      </c>
      <c r="T1340" s="18">
        <v>74</v>
      </c>
      <c r="U1340" s="15" t="s">
        <v>25864</v>
      </c>
      <c r="V1340" s="15" t="s">
        <v>138</v>
      </c>
      <c r="W1340" s="15" t="s">
        <v>138</v>
      </c>
      <c r="X1340" s="19">
        <v>1996</v>
      </c>
      <c r="Y1340" s="15" t="s">
        <v>138</v>
      </c>
      <c r="Z1340" s="15" t="s">
        <v>138</v>
      </c>
      <c r="AA1340" s="15" t="s">
        <v>138</v>
      </c>
      <c r="AB1340" s="20" t="s">
        <v>138</v>
      </c>
      <c r="AC1340" s="20" t="s">
        <v>138</v>
      </c>
      <c r="AD1340" s="20" t="s">
        <v>138</v>
      </c>
      <c r="AE1340" s="20" t="s">
        <v>138</v>
      </c>
      <c r="AF1340" s="20" t="s">
        <v>138</v>
      </c>
      <c r="AG1340" s="15" t="s">
        <v>138</v>
      </c>
      <c r="AH1340" s="20" t="s">
        <v>138</v>
      </c>
      <c r="AI1340" s="20" t="s">
        <v>138</v>
      </c>
      <c r="AJ1340" s="20" t="s">
        <v>138</v>
      </c>
      <c r="AK1340" s="15" t="s">
        <v>25865</v>
      </c>
      <c r="AL1340" s="15" t="s">
        <v>25866</v>
      </c>
      <c r="AM1340" s="15" t="s">
        <v>2949</v>
      </c>
      <c r="AN1340" s="15" t="s">
        <v>25867</v>
      </c>
      <c r="AO1340" s="15" t="s">
        <v>25868</v>
      </c>
      <c r="AP1340" s="15" t="s">
        <v>3839</v>
      </c>
      <c r="AQ1340" s="15" t="s">
        <v>25869</v>
      </c>
      <c r="AR1340" s="15" t="s">
        <v>138</v>
      </c>
      <c r="AS1340" s="15" t="s">
        <v>3841</v>
      </c>
      <c r="AT1340" s="15" t="s">
        <v>200</v>
      </c>
      <c r="AU1340" s="15" t="s">
        <v>3842</v>
      </c>
      <c r="AV1340" s="15" t="s">
        <v>162</v>
      </c>
      <c r="AW1340" s="15" t="s">
        <v>25868</v>
      </c>
      <c r="AX1340" s="15" t="s">
        <v>138</v>
      </c>
      <c r="AY1340" s="15" t="s">
        <v>25870</v>
      </c>
      <c r="AZ1340" s="15" t="s">
        <v>164</v>
      </c>
      <c r="BA1340" s="15" t="s">
        <v>165</v>
      </c>
      <c r="BB1340" s="15" t="s">
        <v>25871</v>
      </c>
      <c r="BC1340" s="15" t="s">
        <v>25872</v>
      </c>
      <c r="BD1340" s="21">
        <v>16</v>
      </c>
      <c r="BE1340" s="15" t="s">
        <v>138</v>
      </c>
      <c r="BF1340" s="15" t="s">
        <v>138</v>
      </c>
      <c r="BG1340" s="15" t="s">
        <v>138</v>
      </c>
      <c r="BH1340" s="15" t="s">
        <v>25873</v>
      </c>
      <c r="BI1340" s="15" t="s">
        <v>138</v>
      </c>
      <c r="BJ1340" s="15" t="s">
        <v>138</v>
      </c>
      <c r="BK1340" s="15" t="s">
        <v>138</v>
      </c>
      <c r="BL1340" s="15" t="s">
        <v>2936</v>
      </c>
      <c r="BM1340" s="22" t="s">
        <v>138</v>
      </c>
      <c r="BN1340" s="17" t="s">
        <v>138</v>
      </c>
      <c r="BO1340" s="15" t="s">
        <v>138</v>
      </c>
      <c r="BP1340" s="17" t="s">
        <v>138</v>
      </c>
      <c r="BQ1340" s="15" t="s">
        <v>138</v>
      </c>
      <c r="BR1340" s="15" t="s">
        <v>205</v>
      </c>
      <c r="BS1340" s="15" t="s">
        <v>206</v>
      </c>
      <c r="BT1340" s="15" t="s">
        <v>138</v>
      </c>
      <c r="BU1340" s="15" t="s">
        <v>174</v>
      </c>
      <c r="BV1340" s="15" t="s">
        <v>138</v>
      </c>
      <c r="BW1340" s="15" t="s">
        <v>138</v>
      </c>
      <c r="BX1340" s="15" t="s">
        <v>138</v>
      </c>
      <c r="BY1340" s="15" t="s">
        <v>175</v>
      </c>
      <c r="BZ1340" s="22">
        <v>41339</v>
      </c>
      <c r="CA1340" s="17">
        <v>30</v>
      </c>
      <c r="CB1340" s="15" t="s">
        <v>1178</v>
      </c>
      <c r="CC1340" s="17">
        <v>400</v>
      </c>
      <c r="CD1340" s="15" t="s">
        <v>1178</v>
      </c>
      <c r="CE1340" s="15" t="s">
        <v>173</v>
      </c>
      <c r="CF1340" s="15" t="s">
        <v>25874</v>
      </c>
      <c r="CG1340" s="15" t="s">
        <v>138</v>
      </c>
      <c r="CH1340" s="15" t="s">
        <v>174</v>
      </c>
      <c r="CI1340" s="15" t="s">
        <v>138</v>
      </c>
      <c r="CJ1340" s="15" t="s">
        <v>138</v>
      </c>
      <c r="CK1340" s="15" t="s">
        <v>138</v>
      </c>
      <c r="CL1340" s="15" t="s">
        <v>175</v>
      </c>
      <c r="CM1340" s="22" t="s">
        <v>138</v>
      </c>
      <c r="CN1340" s="17" t="s">
        <v>138</v>
      </c>
      <c r="CO1340" s="23">
        <v>-0.66</v>
      </c>
      <c r="CP1340" s="24">
        <v>14</v>
      </c>
      <c r="CQ1340" s="23">
        <v>0.01</v>
      </c>
      <c r="CR1340" s="23">
        <v>1.24</v>
      </c>
      <c r="CS1340" s="23">
        <v>-1.32</v>
      </c>
      <c r="CT1340" s="24">
        <v>13</v>
      </c>
      <c r="CU1340" s="23">
        <v>0</v>
      </c>
      <c r="CV1340" s="24">
        <v>22</v>
      </c>
      <c r="CW1340" s="23">
        <v>0</v>
      </c>
      <c r="CX1340" s="24">
        <v>13</v>
      </c>
      <c r="CY1340" s="23">
        <v>-2.64</v>
      </c>
      <c r="CZ1340" s="24">
        <v>8</v>
      </c>
      <c r="DA1340" s="23">
        <v>0</v>
      </c>
      <c r="DB1340" s="24">
        <v>22</v>
      </c>
      <c r="DC1340" s="25">
        <v>2.25</v>
      </c>
      <c r="DD1340" s="24">
        <v>70</v>
      </c>
      <c r="DE1340" s="25">
        <v>-0.05</v>
      </c>
      <c r="DF1340" s="23">
        <v>-2.27</v>
      </c>
      <c r="DG1340" s="25">
        <v>4.46</v>
      </c>
      <c r="DH1340" s="24">
        <v>81</v>
      </c>
      <c r="DI1340" s="25">
        <v>0.05</v>
      </c>
      <c r="DJ1340" s="24">
        <v>9</v>
      </c>
      <c r="DK1340" s="25">
        <v>1.1000000000000001</v>
      </c>
      <c r="DL1340" s="24">
        <v>52</v>
      </c>
      <c r="DM1340" s="25">
        <v>7.83</v>
      </c>
      <c r="DN1340" s="24">
        <v>86</v>
      </c>
      <c r="DO1340" s="25">
        <v>0.05</v>
      </c>
      <c r="DP1340" s="24">
        <v>10</v>
      </c>
      <c r="DQ1340" s="24">
        <v>382</v>
      </c>
      <c r="DR1340" s="26">
        <v>-17</v>
      </c>
      <c r="DS1340" s="23">
        <v>-4.26</v>
      </c>
      <c r="DT1340" s="24">
        <v>227</v>
      </c>
      <c r="DU1340" s="26">
        <v>-1</v>
      </c>
      <c r="DV1340" s="23">
        <v>-0.44</v>
      </c>
      <c r="DW1340" s="24">
        <v>17</v>
      </c>
      <c r="DX1340" s="27">
        <v>1</v>
      </c>
      <c r="DY1340" s="23">
        <v>6.25</v>
      </c>
      <c r="DZ1340" s="15" t="s">
        <v>178</v>
      </c>
      <c r="EA1340" s="22">
        <v>43560</v>
      </c>
      <c r="EB1340" s="17">
        <v>400</v>
      </c>
      <c r="EC1340" s="22">
        <v>41339</v>
      </c>
      <c r="ED1340" s="15" t="s">
        <v>173</v>
      </c>
      <c r="EE1340" s="14" t="str">
        <f>HYPERLINK("https://my.pitchbook.com?c=53958-34", "View company online")</f>
        <v>View company online</v>
      </c>
    </row>
    <row r="1341" spans="1:135">
      <c r="A1341" s="28" t="s">
        <v>25875</v>
      </c>
      <c r="B1341" s="28" t="s">
        <v>25876</v>
      </c>
      <c r="C1341" s="28" t="s">
        <v>138</v>
      </c>
      <c r="D1341" s="28" t="s">
        <v>138</v>
      </c>
      <c r="E1341" s="28" t="s">
        <v>138</v>
      </c>
      <c r="F1341" s="28" t="s">
        <v>25875</v>
      </c>
      <c r="G1341" s="28" t="s">
        <v>25877</v>
      </c>
      <c r="H1341" s="28" t="s">
        <v>141</v>
      </c>
      <c r="I1341" s="28" t="s">
        <v>142</v>
      </c>
      <c r="J1341" s="28" t="s">
        <v>4042</v>
      </c>
      <c r="K1341" s="28" t="s">
        <v>16175</v>
      </c>
      <c r="L1341" s="28" t="s">
        <v>25878</v>
      </c>
      <c r="M1341" s="28" t="s">
        <v>25879</v>
      </c>
      <c r="N1341" s="28" t="s">
        <v>147</v>
      </c>
      <c r="O1341" s="29">
        <v>21.87</v>
      </c>
      <c r="P1341" s="28" t="s">
        <v>148</v>
      </c>
      <c r="Q1341" s="28" t="s">
        <v>149</v>
      </c>
      <c r="R1341" s="28" t="s">
        <v>174</v>
      </c>
      <c r="S1341" s="28" t="s">
        <v>25880</v>
      </c>
      <c r="T1341" s="30">
        <v>100</v>
      </c>
      <c r="U1341" s="28" t="s">
        <v>25881</v>
      </c>
      <c r="V1341" s="28" t="s">
        <v>138</v>
      </c>
      <c r="W1341" s="28" t="s">
        <v>138</v>
      </c>
      <c r="X1341" s="31">
        <v>2016</v>
      </c>
      <c r="Y1341" s="28" t="s">
        <v>138</v>
      </c>
      <c r="Z1341" s="28" t="s">
        <v>138</v>
      </c>
      <c r="AA1341" s="28" t="s">
        <v>138</v>
      </c>
      <c r="AB1341" s="32" t="s">
        <v>138</v>
      </c>
      <c r="AC1341" s="32" t="s">
        <v>138</v>
      </c>
      <c r="AD1341" s="32" t="s">
        <v>138</v>
      </c>
      <c r="AE1341" s="32" t="s">
        <v>138</v>
      </c>
      <c r="AF1341" s="32" t="s">
        <v>138</v>
      </c>
      <c r="AG1341" s="28" t="s">
        <v>138</v>
      </c>
      <c r="AH1341" s="32" t="s">
        <v>138</v>
      </c>
      <c r="AI1341" s="32" t="s">
        <v>138</v>
      </c>
      <c r="AJ1341" s="32" t="s">
        <v>138</v>
      </c>
      <c r="AK1341" s="28" t="s">
        <v>25882</v>
      </c>
      <c r="AL1341" s="28" t="s">
        <v>25883</v>
      </c>
      <c r="AM1341" s="28" t="s">
        <v>938</v>
      </c>
      <c r="AN1341" s="28" t="s">
        <v>25884</v>
      </c>
      <c r="AO1341" s="28" t="s">
        <v>25885</v>
      </c>
      <c r="AP1341" s="28" t="s">
        <v>22511</v>
      </c>
      <c r="AQ1341" s="28" t="s">
        <v>22512</v>
      </c>
      <c r="AR1341" s="28" t="s">
        <v>25886</v>
      </c>
      <c r="AS1341" s="28" t="s">
        <v>22513</v>
      </c>
      <c r="AT1341" s="28" t="s">
        <v>3883</v>
      </c>
      <c r="AU1341" s="28" t="s">
        <v>22514</v>
      </c>
      <c r="AV1341" s="28" t="s">
        <v>162</v>
      </c>
      <c r="AW1341" s="28" t="s">
        <v>25885</v>
      </c>
      <c r="AX1341" s="28" t="s">
        <v>138</v>
      </c>
      <c r="AY1341" s="28" t="s">
        <v>25887</v>
      </c>
      <c r="AZ1341" s="28" t="s">
        <v>164</v>
      </c>
      <c r="BA1341" s="28" t="s">
        <v>165</v>
      </c>
      <c r="BB1341" s="28" t="s">
        <v>25888</v>
      </c>
      <c r="BC1341" s="28" t="s">
        <v>25889</v>
      </c>
      <c r="BD1341" s="33">
        <v>6</v>
      </c>
      <c r="BE1341" s="28" t="s">
        <v>138</v>
      </c>
      <c r="BF1341" s="28" t="s">
        <v>138</v>
      </c>
      <c r="BG1341" s="28" t="s">
        <v>138</v>
      </c>
      <c r="BH1341" s="28" t="s">
        <v>25890</v>
      </c>
      <c r="BI1341" s="28" t="s">
        <v>138</v>
      </c>
      <c r="BJ1341" s="28" t="s">
        <v>138</v>
      </c>
      <c r="BK1341" s="28" t="s">
        <v>138</v>
      </c>
      <c r="BL1341" s="28" t="s">
        <v>138</v>
      </c>
      <c r="BM1341" s="34">
        <v>42861</v>
      </c>
      <c r="BN1341" s="29">
        <v>5.5</v>
      </c>
      <c r="BO1341" s="28" t="s">
        <v>172</v>
      </c>
      <c r="BP1341" s="29">
        <v>10.9</v>
      </c>
      <c r="BQ1341" s="28" t="s">
        <v>172</v>
      </c>
      <c r="BR1341" s="28" t="s">
        <v>234</v>
      </c>
      <c r="BS1341" s="28" t="s">
        <v>234</v>
      </c>
      <c r="BT1341" s="28" t="s">
        <v>138</v>
      </c>
      <c r="BU1341" s="28" t="s">
        <v>174</v>
      </c>
      <c r="BV1341" s="28" t="s">
        <v>264</v>
      </c>
      <c r="BW1341" s="28" t="s">
        <v>138</v>
      </c>
      <c r="BX1341" s="28" t="s">
        <v>138</v>
      </c>
      <c r="BY1341" s="28" t="s">
        <v>175</v>
      </c>
      <c r="BZ1341" s="34">
        <v>43188</v>
      </c>
      <c r="CA1341" s="29">
        <v>16.37</v>
      </c>
      <c r="CB1341" s="28" t="s">
        <v>172</v>
      </c>
      <c r="CC1341" s="29">
        <v>46.37</v>
      </c>
      <c r="CD1341" s="28" t="s">
        <v>172</v>
      </c>
      <c r="CE1341" s="28" t="s">
        <v>205</v>
      </c>
      <c r="CF1341" s="28" t="s">
        <v>206</v>
      </c>
      <c r="CG1341" s="28" t="s">
        <v>138</v>
      </c>
      <c r="CH1341" s="28" t="s">
        <v>174</v>
      </c>
      <c r="CI1341" s="28" t="s">
        <v>138</v>
      </c>
      <c r="CJ1341" s="28" t="s">
        <v>138</v>
      </c>
      <c r="CK1341" s="28" t="s">
        <v>138</v>
      </c>
      <c r="CL1341" s="28" t="s">
        <v>175</v>
      </c>
      <c r="CM1341" s="34" t="s">
        <v>138</v>
      </c>
      <c r="CN1341" s="29" t="s">
        <v>138</v>
      </c>
      <c r="CO1341" s="35">
        <v>3.14</v>
      </c>
      <c r="CP1341" s="36">
        <v>100</v>
      </c>
      <c r="CQ1341" s="35">
        <v>-0.11</v>
      </c>
      <c r="CR1341" s="35">
        <v>-3.25</v>
      </c>
      <c r="CS1341" s="35">
        <v>4.7</v>
      </c>
      <c r="CT1341" s="36">
        <v>100</v>
      </c>
      <c r="CU1341" s="35">
        <v>1.58</v>
      </c>
      <c r="CV1341" s="36">
        <v>99</v>
      </c>
      <c r="CW1341" s="35">
        <v>11.55</v>
      </c>
      <c r="CX1341" s="36">
        <v>100</v>
      </c>
      <c r="CY1341" s="35">
        <v>-2.15</v>
      </c>
      <c r="CZ1341" s="36">
        <v>10</v>
      </c>
      <c r="DA1341" s="35">
        <v>1.58</v>
      </c>
      <c r="DB1341" s="36">
        <v>99</v>
      </c>
      <c r="DC1341" s="37">
        <v>3.94</v>
      </c>
      <c r="DD1341" s="36">
        <v>79</v>
      </c>
      <c r="DE1341" s="37">
        <v>-0.23</v>
      </c>
      <c r="DF1341" s="35">
        <v>-5.63</v>
      </c>
      <c r="DG1341" s="37">
        <v>6.57</v>
      </c>
      <c r="DH1341" s="36">
        <v>86</v>
      </c>
      <c r="DI1341" s="37">
        <v>1.31</v>
      </c>
      <c r="DJ1341" s="36">
        <v>54</v>
      </c>
      <c r="DK1341" s="37">
        <v>7.03</v>
      </c>
      <c r="DL1341" s="36">
        <v>83</v>
      </c>
      <c r="DM1341" s="37">
        <v>6.1</v>
      </c>
      <c r="DN1341" s="36">
        <v>84</v>
      </c>
      <c r="DO1341" s="37">
        <v>1.31</v>
      </c>
      <c r="DP1341" s="36">
        <v>56</v>
      </c>
      <c r="DQ1341" s="36">
        <v>2360</v>
      </c>
      <c r="DR1341" s="38">
        <v>154</v>
      </c>
      <c r="DS1341" s="35">
        <v>6.98</v>
      </c>
      <c r="DT1341" s="36">
        <v>177</v>
      </c>
      <c r="DU1341" s="38">
        <v>-2</v>
      </c>
      <c r="DV1341" s="35">
        <v>-1.1200000000000001</v>
      </c>
      <c r="DW1341" s="36">
        <v>469</v>
      </c>
      <c r="DX1341" s="39">
        <v>5</v>
      </c>
      <c r="DY1341" s="35">
        <v>1.08</v>
      </c>
      <c r="DZ1341" s="28" t="s">
        <v>178</v>
      </c>
      <c r="EA1341" s="34">
        <v>43515</v>
      </c>
      <c r="EB1341" s="29">
        <v>46.37</v>
      </c>
      <c r="EC1341" s="34">
        <v>43188</v>
      </c>
      <c r="ED1341" s="28" t="s">
        <v>205</v>
      </c>
      <c r="EE1341" s="40" t="str">
        <f>HYPERLINK("https://my.pitchbook.com?c=169177-15", "View company online")</f>
        <v>View company online</v>
      </c>
    </row>
    <row r="1342" spans="1:135">
      <c r="A1342" s="15" t="s">
        <v>25891</v>
      </c>
      <c r="B1342" s="15" t="s">
        <v>25892</v>
      </c>
      <c r="C1342" s="15" t="s">
        <v>25893</v>
      </c>
      <c r="D1342" s="15" t="s">
        <v>138</v>
      </c>
      <c r="E1342" s="15" t="s">
        <v>138</v>
      </c>
      <c r="F1342" s="15" t="s">
        <v>25891</v>
      </c>
      <c r="G1342" s="15" t="s">
        <v>25894</v>
      </c>
      <c r="H1342" s="15" t="s">
        <v>141</v>
      </c>
      <c r="I1342" s="15" t="s">
        <v>212</v>
      </c>
      <c r="J1342" s="15" t="s">
        <v>213</v>
      </c>
      <c r="K1342" s="15" t="s">
        <v>1064</v>
      </c>
      <c r="L1342" s="15" t="s">
        <v>1544</v>
      </c>
      <c r="M1342" s="15" t="s">
        <v>25895</v>
      </c>
      <c r="N1342" s="15" t="s">
        <v>147</v>
      </c>
      <c r="O1342" s="17">
        <v>2.5</v>
      </c>
      <c r="P1342" s="15" t="s">
        <v>148</v>
      </c>
      <c r="Q1342" s="15" t="s">
        <v>149</v>
      </c>
      <c r="R1342" s="15" t="s">
        <v>174</v>
      </c>
      <c r="S1342" s="15" t="s">
        <v>25896</v>
      </c>
      <c r="T1342" s="18" t="s">
        <v>138</v>
      </c>
      <c r="U1342" s="15" t="s">
        <v>138</v>
      </c>
      <c r="V1342" s="15" t="s">
        <v>138</v>
      </c>
      <c r="W1342" s="15" t="s">
        <v>138</v>
      </c>
      <c r="X1342" s="19">
        <v>2017</v>
      </c>
      <c r="Y1342" s="15" t="s">
        <v>138</v>
      </c>
      <c r="Z1342" s="15" t="s">
        <v>138</v>
      </c>
      <c r="AA1342" s="15" t="s">
        <v>138</v>
      </c>
      <c r="AB1342" s="20" t="s">
        <v>138</v>
      </c>
      <c r="AC1342" s="20" t="s">
        <v>138</v>
      </c>
      <c r="AD1342" s="20" t="s">
        <v>138</v>
      </c>
      <c r="AE1342" s="20" t="s">
        <v>138</v>
      </c>
      <c r="AF1342" s="20" t="s">
        <v>138</v>
      </c>
      <c r="AG1342" s="15" t="s">
        <v>138</v>
      </c>
      <c r="AH1342" s="20" t="s">
        <v>138</v>
      </c>
      <c r="AI1342" s="20" t="s">
        <v>138</v>
      </c>
      <c r="AJ1342" s="20" t="s">
        <v>138</v>
      </c>
      <c r="AK1342" s="15" t="s">
        <v>25897</v>
      </c>
      <c r="AL1342" s="15" t="s">
        <v>25898</v>
      </c>
      <c r="AM1342" s="15" t="s">
        <v>221</v>
      </c>
      <c r="AN1342" s="15" t="s">
        <v>25899</v>
      </c>
      <c r="AO1342" s="15" t="s">
        <v>25900</v>
      </c>
      <c r="AP1342" s="15" t="s">
        <v>307</v>
      </c>
      <c r="AQ1342" s="15" t="s">
        <v>25901</v>
      </c>
      <c r="AR1342" s="15" t="s">
        <v>7121</v>
      </c>
      <c r="AS1342" s="15" t="s">
        <v>310</v>
      </c>
      <c r="AT1342" s="15" t="s">
        <v>200</v>
      </c>
      <c r="AU1342" s="15" t="s">
        <v>798</v>
      </c>
      <c r="AV1342" s="15" t="s">
        <v>162</v>
      </c>
      <c r="AW1342" s="15" t="s">
        <v>25900</v>
      </c>
      <c r="AX1342" s="15" t="s">
        <v>138</v>
      </c>
      <c r="AY1342" s="15" t="s">
        <v>25902</v>
      </c>
      <c r="AZ1342" s="15" t="s">
        <v>164</v>
      </c>
      <c r="BA1342" s="15" t="s">
        <v>165</v>
      </c>
      <c r="BB1342" s="15" t="s">
        <v>25903</v>
      </c>
      <c r="BC1342" s="15" t="s">
        <v>25904</v>
      </c>
      <c r="BD1342" s="21">
        <v>3</v>
      </c>
      <c r="BE1342" s="15" t="s">
        <v>138</v>
      </c>
      <c r="BF1342" s="15" t="s">
        <v>138</v>
      </c>
      <c r="BG1342" s="15" t="s">
        <v>138</v>
      </c>
      <c r="BH1342" s="15" t="s">
        <v>25905</v>
      </c>
      <c r="BI1342" s="15" t="s">
        <v>138</v>
      </c>
      <c r="BJ1342" s="15" t="s">
        <v>138</v>
      </c>
      <c r="BK1342" s="15" t="s">
        <v>138</v>
      </c>
      <c r="BL1342" s="15" t="s">
        <v>138</v>
      </c>
      <c r="BM1342" s="22">
        <v>42917</v>
      </c>
      <c r="BN1342" s="17">
        <v>2.5</v>
      </c>
      <c r="BO1342" s="15" t="s">
        <v>1178</v>
      </c>
      <c r="BP1342" s="17">
        <v>9</v>
      </c>
      <c r="BQ1342" s="15" t="s">
        <v>172</v>
      </c>
      <c r="BR1342" s="15" t="s">
        <v>234</v>
      </c>
      <c r="BS1342" s="15" t="s">
        <v>234</v>
      </c>
      <c r="BT1342" s="15" t="s">
        <v>138</v>
      </c>
      <c r="BU1342" s="15" t="s">
        <v>174</v>
      </c>
      <c r="BV1342" s="15" t="s">
        <v>138</v>
      </c>
      <c r="BW1342" s="15" t="s">
        <v>138</v>
      </c>
      <c r="BX1342" s="15" t="s">
        <v>138</v>
      </c>
      <c r="BY1342" s="15" t="s">
        <v>175</v>
      </c>
      <c r="BZ1342" s="22" t="s">
        <v>138</v>
      </c>
      <c r="CA1342" s="17" t="s">
        <v>138</v>
      </c>
      <c r="CB1342" s="15" t="s">
        <v>138</v>
      </c>
      <c r="CC1342" s="17" t="s">
        <v>138</v>
      </c>
      <c r="CD1342" s="15" t="s">
        <v>138</v>
      </c>
      <c r="CE1342" s="15" t="s">
        <v>205</v>
      </c>
      <c r="CF1342" s="15" t="s">
        <v>138</v>
      </c>
      <c r="CG1342" s="15" t="s">
        <v>138</v>
      </c>
      <c r="CH1342" s="15" t="s">
        <v>174</v>
      </c>
      <c r="CI1342" s="15" t="s">
        <v>138</v>
      </c>
      <c r="CJ1342" s="15" t="s">
        <v>138</v>
      </c>
      <c r="CK1342" s="15" t="s">
        <v>138</v>
      </c>
      <c r="CL1342" s="15" t="s">
        <v>175</v>
      </c>
      <c r="CM1342" s="22" t="s">
        <v>138</v>
      </c>
      <c r="CN1342" s="17" t="s">
        <v>138</v>
      </c>
      <c r="CO1342" s="23">
        <v>0</v>
      </c>
      <c r="CP1342" s="24">
        <v>26</v>
      </c>
      <c r="CQ1342" s="23">
        <v>0</v>
      </c>
      <c r="CR1342" s="23">
        <v>0</v>
      </c>
      <c r="CS1342" s="23">
        <v>0</v>
      </c>
      <c r="CT1342" s="24">
        <v>23</v>
      </c>
      <c r="CU1342" s="23">
        <v>0</v>
      </c>
      <c r="CV1342" s="24">
        <v>22</v>
      </c>
      <c r="CW1342" s="23">
        <v>0</v>
      </c>
      <c r="CX1342" s="24">
        <v>13</v>
      </c>
      <c r="CY1342" s="23" t="s">
        <v>138</v>
      </c>
      <c r="CZ1342" s="24" t="s">
        <v>138</v>
      </c>
      <c r="DA1342" s="23">
        <v>0</v>
      </c>
      <c r="DB1342" s="24">
        <v>22</v>
      </c>
      <c r="DC1342" s="25">
        <v>0.19</v>
      </c>
      <c r="DD1342" s="24">
        <v>15</v>
      </c>
      <c r="DE1342" s="25">
        <v>-0.23</v>
      </c>
      <c r="DF1342" s="23">
        <v>-54.71</v>
      </c>
      <c r="DG1342" s="25">
        <v>0.38</v>
      </c>
      <c r="DH1342" s="24">
        <v>27</v>
      </c>
      <c r="DI1342" s="25">
        <v>0.01</v>
      </c>
      <c r="DJ1342" s="24">
        <v>1</v>
      </c>
      <c r="DK1342" s="25">
        <v>0.38</v>
      </c>
      <c r="DL1342" s="24">
        <v>26</v>
      </c>
      <c r="DM1342" s="25" t="s">
        <v>138</v>
      </c>
      <c r="DN1342" s="24" t="s">
        <v>138</v>
      </c>
      <c r="DO1342" s="25">
        <v>0.01</v>
      </c>
      <c r="DP1342" s="24">
        <v>1</v>
      </c>
      <c r="DQ1342" s="24">
        <v>131</v>
      </c>
      <c r="DR1342" s="26">
        <v>-3</v>
      </c>
      <c r="DS1342" s="23">
        <v>-2.2400000000000002</v>
      </c>
      <c r="DT1342" s="24" t="s">
        <v>138</v>
      </c>
      <c r="DU1342" s="26" t="s">
        <v>138</v>
      </c>
      <c r="DV1342" s="23" t="s">
        <v>138</v>
      </c>
      <c r="DW1342" s="24">
        <v>3</v>
      </c>
      <c r="DX1342" s="27">
        <v>0</v>
      </c>
      <c r="DY1342" s="23">
        <v>0</v>
      </c>
      <c r="DZ1342" s="15" t="s">
        <v>178</v>
      </c>
      <c r="EA1342" s="22">
        <v>43558</v>
      </c>
      <c r="EB1342" s="17">
        <v>9</v>
      </c>
      <c r="EC1342" s="22">
        <v>42917</v>
      </c>
      <c r="ED1342" s="15" t="s">
        <v>234</v>
      </c>
      <c r="EE1342" s="14" t="str">
        <f>HYPERLINK("https://my.pitchbook.com?c=221502-70", "View company online")</f>
        <v>View company online</v>
      </c>
    </row>
    <row r="1343" spans="1:135">
      <c r="A1343" s="28" t="s">
        <v>25906</v>
      </c>
      <c r="B1343" s="28" t="s">
        <v>25907</v>
      </c>
      <c r="C1343" s="28" t="s">
        <v>138</v>
      </c>
      <c r="D1343" s="28" t="s">
        <v>138</v>
      </c>
      <c r="E1343" s="28" t="s">
        <v>138</v>
      </c>
      <c r="F1343" s="28" t="s">
        <v>25906</v>
      </c>
      <c r="G1343" s="28" t="s">
        <v>25908</v>
      </c>
      <c r="H1343" s="28" t="s">
        <v>322</v>
      </c>
      <c r="I1343" s="28" t="s">
        <v>356</v>
      </c>
      <c r="J1343" s="28" t="s">
        <v>357</v>
      </c>
      <c r="K1343" s="28" t="s">
        <v>25909</v>
      </c>
      <c r="L1343" s="28" t="s">
        <v>10642</v>
      </c>
      <c r="M1343" s="28" t="s">
        <v>25910</v>
      </c>
      <c r="N1343" s="28" t="s">
        <v>147</v>
      </c>
      <c r="O1343" s="29">
        <v>8</v>
      </c>
      <c r="P1343" s="28" t="s">
        <v>812</v>
      </c>
      <c r="Q1343" s="28" t="s">
        <v>149</v>
      </c>
      <c r="R1343" s="28" t="s">
        <v>174</v>
      </c>
      <c r="S1343" s="28" t="s">
        <v>25911</v>
      </c>
      <c r="T1343" s="30">
        <v>41</v>
      </c>
      <c r="U1343" s="28" t="s">
        <v>25912</v>
      </c>
      <c r="V1343" s="28" t="s">
        <v>138</v>
      </c>
      <c r="W1343" s="28" t="s">
        <v>138</v>
      </c>
      <c r="X1343" s="31">
        <v>2009</v>
      </c>
      <c r="Y1343" s="28" t="s">
        <v>138</v>
      </c>
      <c r="Z1343" s="28" t="s">
        <v>138</v>
      </c>
      <c r="AA1343" s="28" t="s">
        <v>138</v>
      </c>
      <c r="AB1343" s="32" t="s">
        <v>138</v>
      </c>
      <c r="AC1343" s="32" t="s">
        <v>138</v>
      </c>
      <c r="AD1343" s="32" t="s">
        <v>138</v>
      </c>
      <c r="AE1343" s="32" t="s">
        <v>138</v>
      </c>
      <c r="AF1343" s="32" t="s">
        <v>138</v>
      </c>
      <c r="AG1343" s="28" t="s">
        <v>138</v>
      </c>
      <c r="AH1343" s="32" t="s">
        <v>138</v>
      </c>
      <c r="AI1343" s="32" t="s">
        <v>138</v>
      </c>
      <c r="AJ1343" s="32" t="s">
        <v>138</v>
      </c>
      <c r="AK1343" s="28" t="s">
        <v>138</v>
      </c>
      <c r="AL1343" s="28" t="s">
        <v>138</v>
      </c>
      <c r="AM1343" s="28" t="s">
        <v>138</v>
      </c>
      <c r="AN1343" s="28" t="s">
        <v>138</v>
      </c>
      <c r="AO1343" s="28" t="s">
        <v>138</v>
      </c>
      <c r="AP1343" s="28" t="s">
        <v>1457</v>
      </c>
      <c r="AQ1343" s="28" t="s">
        <v>25913</v>
      </c>
      <c r="AR1343" s="28" t="s">
        <v>138</v>
      </c>
      <c r="AS1343" s="28" t="s">
        <v>1460</v>
      </c>
      <c r="AT1343" s="28" t="s">
        <v>474</v>
      </c>
      <c r="AU1343" s="28" t="s">
        <v>12984</v>
      </c>
      <c r="AV1343" s="28" t="s">
        <v>162</v>
      </c>
      <c r="AW1343" s="28" t="s">
        <v>25914</v>
      </c>
      <c r="AX1343" s="28" t="s">
        <v>25915</v>
      </c>
      <c r="AY1343" s="28" t="s">
        <v>25916</v>
      </c>
      <c r="AZ1343" s="28" t="s">
        <v>164</v>
      </c>
      <c r="BA1343" s="28" t="s">
        <v>165</v>
      </c>
      <c r="BB1343" s="28" t="s">
        <v>25917</v>
      </c>
      <c r="BC1343" s="28" t="s">
        <v>25918</v>
      </c>
      <c r="BD1343" s="33">
        <v>8</v>
      </c>
      <c r="BE1343" s="28" t="s">
        <v>138</v>
      </c>
      <c r="BF1343" s="28" t="s">
        <v>138</v>
      </c>
      <c r="BG1343" s="28" t="s">
        <v>138</v>
      </c>
      <c r="BH1343" s="28" t="s">
        <v>25919</v>
      </c>
      <c r="BI1343" s="28" t="s">
        <v>138</v>
      </c>
      <c r="BJ1343" s="28" t="s">
        <v>138</v>
      </c>
      <c r="BK1343" s="28" t="s">
        <v>138</v>
      </c>
      <c r="BL1343" s="28" t="s">
        <v>138</v>
      </c>
      <c r="BM1343" s="34">
        <v>40452</v>
      </c>
      <c r="BN1343" s="29">
        <v>9.1999999999999993</v>
      </c>
      <c r="BO1343" s="28" t="s">
        <v>172</v>
      </c>
      <c r="BP1343" s="29" t="s">
        <v>138</v>
      </c>
      <c r="BQ1343" s="28" t="s">
        <v>138</v>
      </c>
      <c r="BR1343" s="28" t="s">
        <v>176</v>
      </c>
      <c r="BS1343" s="28" t="s">
        <v>138</v>
      </c>
      <c r="BT1343" s="28" t="s">
        <v>138</v>
      </c>
      <c r="BU1343" s="28" t="s">
        <v>177</v>
      </c>
      <c r="BV1343" s="28" t="s">
        <v>138</v>
      </c>
      <c r="BW1343" s="28" t="s">
        <v>138</v>
      </c>
      <c r="BX1343" s="28" t="s">
        <v>138</v>
      </c>
      <c r="BY1343" s="28" t="s">
        <v>175</v>
      </c>
      <c r="BZ1343" s="34">
        <v>41274</v>
      </c>
      <c r="CA1343" s="29">
        <v>8</v>
      </c>
      <c r="CB1343" s="28" t="s">
        <v>138</v>
      </c>
      <c r="CC1343" s="29" t="s">
        <v>138</v>
      </c>
      <c r="CD1343" s="28" t="s">
        <v>138</v>
      </c>
      <c r="CE1343" s="28" t="s">
        <v>205</v>
      </c>
      <c r="CF1343" s="28" t="s">
        <v>138</v>
      </c>
      <c r="CG1343" s="28" t="s">
        <v>138</v>
      </c>
      <c r="CH1343" s="28" t="s">
        <v>174</v>
      </c>
      <c r="CI1343" s="28" t="s">
        <v>138</v>
      </c>
      <c r="CJ1343" s="28" t="s">
        <v>138</v>
      </c>
      <c r="CK1343" s="28" t="s">
        <v>138</v>
      </c>
      <c r="CL1343" s="28" t="s">
        <v>175</v>
      </c>
      <c r="CM1343" s="34" t="s">
        <v>138</v>
      </c>
      <c r="CN1343" s="29" t="s">
        <v>138</v>
      </c>
      <c r="CO1343" s="35">
        <v>0</v>
      </c>
      <c r="CP1343" s="36">
        <v>26</v>
      </c>
      <c r="CQ1343" s="35">
        <v>0</v>
      </c>
      <c r="CR1343" s="35">
        <v>0</v>
      </c>
      <c r="CS1343" s="35">
        <v>0</v>
      </c>
      <c r="CT1343" s="36">
        <v>23</v>
      </c>
      <c r="CU1343" s="35">
        <v>0</v>
      </c>
      <c r="CV1343" s="36">
        <v>22</v>
      </c>
      <c r="CW1343" s="35" t="s">
        <v>138</v>
      </c>
      <c r="CX1343" s="36" t="s">
        <v>138</v>
      </c>
      <c r="CY1343" s="35">
        <v>0</v>
      </c>
      <c r="CZ1343" s="36">
        <v>25</v>
      </c>
      <c r="DA1343" s="35">
        <v>0</v>
      </c>
      <c r="DB1343" s="36">
        <v>22</v>
      </c>
      <c r="DC1343" s="37">
        <v>1.25</v>
      </c>
      <c r="DD1343" s="36">
        <v>57</v>
      </c>
      <c r="DE1343" s="37">
        <v>-0.03</v>
      </c>
      <c r="DF1343" s="35">
        <v>-2.65</v>
      </c>
      <c r="DG1343" s="37">
        <v>2.34</v>
      </c>
      <c r="DH1343" s="36">
        <v>70</v>
      </c>
      <c r="DI1343" s="37">
        <v>0.16</v>
      </c>
      <c r="DJ1343" s="36">
        <v>19</v>
      </c>
      <c r="DK1343" s="37" t="s">
        <v>138</v>
      </c>
      <c r="DL1343" s="36" t="s">
        <v>138</v>
      </c>
      <c r="DM1343" s="37">
        <v>2.34</v>
      </c>
      <c r="DN1343" s="36">
        <v>69</v>
      </c>
      <c r="DO1343" s="37">
        <v>0.16</v>
      </c>
      <c r="DP1343" s="36">
        <v>22</v>
      </c>
      <c r="DQ1343" s="36" t="s">
        <v>138</v>
      </c>
      <c r="DR1343" s="38" t="s">
        <v>138</v>
      </c>
      <c r="DS1343" s="35" t="s">
        <v>138</v>
      </c>
      <c r="DT1343" s="36">
        <v>68</v>
      </c>
      <c r="DU1343" s="38">
        <v>-1</v>
      </c>
      <c r="DV1343" s="35">
        <v>-1.45</v>
      </c>
      <c r="DW1343" s="36">
        <v>56</v>
      </c>
      <c r="DX1343" s="39">
        <v>0</v>
      </c>
      <c r="DY1343" s="35">
        <v>0</v>
      </c>
      <c r="DZ1343" s="28" t="s">
        <v>178</v>
      </c>
      <c r="EA1343" s="34">
        <v>43609</v>
      </c>
      <c r="EB1343" s="29" t="s">
        <v>138</v>
      </c>
      <c r="EC1343" s="34" t="s">
        <v>138</v>
      </c>
      <c r="ED1343" s="28" t="s">
        <v>138</v>
      </c>
      <c r="EE1343" s="40" t="str">
        <f>HYPERLINK("https://my.pitchbook.com?c=51554-62", "View company online")</f>
        <v>View company online</v>
      </c>
    </row>
    <row r="1344" spans="1:135">
      <c r="A1344" s="15" t="s">
        <v>25920</v>
      </c>
      <c r="B1344" s="15" t="s">
        <v>25921</v>
      </c>
      <c r="C1344" s="15" t="s">
        <v>138</v>
      </c>
      <c r="D1344" s="15" t="s">
        <v>138</v>
      </c>
      <c r="E1344" s="15" t="s">
        <v>138</v>
      </c>
      <c r="F1344" s="15" t="s">
        <v>25920</v>
      </c>
      <c r="G1344" s="15" t="s">
        <v>25922</v>
      </c>
      <c r="H1344" s="15" t="s">
        <v>5219</v>
      </c>
      <c r="I1344" s="15" t="s">
        <v>5220</v>
      </c>
      <c r="J1344" s="15" t="s">
        <v>25923</v>
      </c>
      <c r="K1344" s="15" t="s">
        <v>25924</v>
      </c>
      <c r="L1344" s="15" t="s">
        <v>138</v>
      </c>
      <c r="M1344" s="15" t="s">
        <v>25925</v>
      </c>
      <c r="N1344" s="15" t="s">
        <v>1452</v>
      </c>
      <c r="O1344" s="17">
        <v>15</v>
      </c>
      <c r="P1344" s="15" t="s">
        <v>610</v>
      </c>
      <c r="Q1344" s="15" t="s">
        <v>149</v>
      </c>
      <c r="R1344" s="15" t="s">
        <v>328</v>
      </c>
      <c r="S1344" s="15" t="s">
        <v>25926</v>
      </c>
      <c r="T1344" s="18">
        <v>11</v>
      </c>
      <c r="U1344" s="15" t="s">
        <v>25927</v>
      </c>
      <c r="V1344" s="15" t="s">
        <v>138</v>
      </c>
      <c r="W1344" s="15" t="s">
        <v>138</v>
      </c>
      <c r="X1344" s="19">
        <v>2014</v>
      </c>
      <c r="Y1344" s="15" t="s">
        <v>138</v>
      </c>
      <c r="Z1344" s="15" t="s">
        <v>138</v>
      </c>
      <c r="AA1344" s="15" t="s">
        <v>138</v>
      </c>
      <c r="AB1344" s="20" t="s">
        <v>138</v>
      </c>
      <c r="AC1344" s="20" t="s">
        <v>138</v>
      </c>
      <c r="AD1344" s="20" t="s">
        <v>138</v>
      </c>
      <c r="AE1344" s="20" t="s">
        <v>138</v>
      </c>
      <c r="AF1344" s="20" t="s">
        <v>138</v>
      </c>
      <c r="AG1344" s="15" t="s">
        <v>138</v>
      </c>
      <c r="AH1344" s="20" t="s">
        <v>138</v>
      </c>
      <c r="AI1344" s="20" t="s">
        <v>138</v>
      </c>
      <c r="AJ1344" s="20" t="s">
        <v>138</v>
      </c>
      <c r="AK1344" s="15" t="s">
        <v>25928</v>
      </c>
      <c r="AL1344" s="15" t="s">
        <v>25929</v>
      </c>
      <c r="AM1344" s="15" t="s">
        <v>25930</v>
      </c>
      <c r="AN1344" s="15" t="s">
        <v>25931</v>
      </c>
      <c r="AO1344" s="15" t="s">
        <v>25932</v>
      </c>
      <c r="AP1344" s="15" t="s">
        <v>25933</v>
      </c>
      <c r="AQ1344" s="15" t="s">
        <v>25934</v>
      </c>
      <c r="AR1344" s="15" t="s">
        <v>25935</v>
      </c>
      <c r="AS1344" s="15" t="s">
        <v>25936</v>
      </c>
      <c r="AT1344" s="15" t="s">
        <v>339</v>
      </c>
      <c r="AU1344" s="15" t="s">
        <v>25937</v>
      </c>
      <c r="AV1344" s="15" t="s">
        <v>162</v>
      </c>
      <c r="AW1344" s="15" t="s">
        <v>25932</v>
      </c>
      <c r="AX1344" s="15" t="s">
        <v>138</v>
      </c>
      <c r="AY1344" s="15" t="s">
        <v>25938</v>
      </c>
      <c r="AZ1344" s="15" t="s">
        <v>164</v>
      </c>
      <c r="BA1344" s="15" t="s">
        <v>165</v>
      </c>
      <c r="BB1344" s="15" t="s">
        <v>25939</v>
      </c>
      <c r="BC1344" s="15" t="s">
        <v>25940</v>
      </c>
      <c r="BD1344" s="21">
        <v>5</v>
      </c>
      <c r="BE1344" s="15" t="s">
        <v>138</v>
      </c>
      <c r="BF1344" s="15" t="s">
        <v>138</v>
      </c>
      <c r="BG1344" s="15" t="s">
        <v>138</v>
      </c>
      <c r="BH1344" s="15" t="s">
        <v>25941</v>
      </c>
      <c r="BI1344" s="15" t="s">
        <v>138</v>
      </c>
      <c r="BJ1344" s="15" t="s">
        <v>138</v>
      </c>
      <c r="BK1344" s="15" t="s">
        <v>138</v>
      </c>
      <c r="BL1344" s="15" t="s">
        <v>25942</v>
      </c>
      <c r="BM1344" s="22">
        <v>42145</v>
      </c>
      <c r="BN1344" s="17">
        <v>0.1</v>
      </c>
      <c r="BO1344" s="15" t="s">
        <v>172</v>
      </c>
      <c r="BP1344" s="17" t="s">
        <v>138</v>
      </c>
      <c r="BQ1344" s="15" t="s">
        <v>138</v>
      </c>
      <c r="BR1344" s="15" t="s">
        <v>1673</v>
      </c>
      <c r="BS1344" s="15" t="s">
        <v>138</v>
      </c>
      <c r="BT1344" s="15" t="s">
        <v>138</v>
      </c>
      <c r="BU1344" s="15" t="s">
        <v>351</v>
      </c>
      <c r="BV1344" s="15" t="s">
        <v>138</v>
      </c>
      <c r="BW1344" s="15" t="s">
        <v>138</v>
      </c>
      <c r="BX1344" s="15" t="s">
        <v>138</v>
      </c>
      <c r="BY1344" s="15" t="s">
        <v>175</v>
      </c>
      <c r="BZ1344" s="22">
        <v>43279</v>
      </c>
      <c r="CA1344" s="17">
        <v>9.9</v>
      </c>
      <c r="CB1344" s="15" t="s">
        <v>172</v>
      </c>
      <c r="CC1344" s="17" t="s">
        <v>138</v>
      </c>
      <c r="CD1344" s="15" t="s">
        <v>138</v>
      </c>
      <c r="CE1344" s="15" t="s">
        <v>1673</v>
      </c>
      <c r="CF1344" s="15" t="s">
        <v>138</v>
      </c>
      <c r="CG1344" s="15" t="s">
        <v>138</v>
      </c>
      <c r="CH1344" s="15" t="s">
        <v>351</v>
      </c>
      <c r="CI1344" s="15" t="s">
        <v>138</v>
      </c>
      <c r="CJ1344" s="15" t="s">
        <v>138</v>
      </c>
      <c r="CK1344" s="15" t="s">
        <v>138</v>
      </c>
      <c r="CL1344" s="15" t="s">
        <v>175</v>
      </c>
      <c r="CM1344" s="22" t="s">
        <v>138</v>
      </c>
      <c r="CN1344" s="17" t="s">
        <v>138</v>
      </c>
      <c r="CO1344" s="23">
        <v>20.23</v>
      </c>
      <c r="CP1344" s="24">
        <v>100</v>
      </c>
      <c r="CQ1344" s="23">
        <v>0</v>
      </c>
      <c r="CR1344" s="23">
        <v>0</v>
      </c>
      <c r="CS1344" s="23">
        <v>40.450000000000003</v>
      </c>
      <c r="CT1344" s="24">
        <v>100</v>
      </c>
      <c r="CU1344" s="23">
        <v>0</v>
      </c>
      <c r="CV1344" s="24">
        <v>22</v>
      </c>
      <c r="CW1344" s="23" t="s">
        <v>138</v>
      </c>
      <c r="CX1344" s="24" t="s">
        <v>138</v>
      </c>
      <c r="CY1344" s="23">
        <v>40.450000000000003</v>
      </c>
      <c r="CZ1344" s="24">
        <v>100</v>
      </c>
      <c r="DA1344" s="23">
        <v>0</v>
      </c>
      <c r="DB1344" s="24">
        <v>22</v>
      </c>
      <c r="DC1344" s="25">
        <v>5.81</v>
      </c>
      <c r="DD1344" s="24">
        <v>85</v>
      </c>
      <c r="DE1344" s="25">
        <v>0</v>
      </c>
      <c r="DF1344" s="23">
        <v>0</v>
      </c>
      <c r="DG1344" s="25">
        <v>11.48</v>
      </c>
      <c r="DH1344" s="24">
        <v>91</v>
      </c>
      <c r="DI1344" s="25">
        <v>0.14000000000000001</v>
      </c>
      <c r="DJ1344" s="24">
        <v>18</v>
      </c>
      <c r="DK1344" s="25" t="s">
        <v>138</v>
      </c>
      <c r="DL1344" s="24" t="s">
        <v>138</v>
      </c>
      <c r="DM1344" s="25">
        <v>11.48</v>
      </c>
      <c r="DN1344" s="24">
        <v>90</v>
      </c>
      <c r="DO1344" s="25">
        <v>0.18</v>
      </c>
      <c r="DP1344" s="24">
        <v>23</v>
      </c>
      <c r="DQ1344" s="24" t="s">
        <v>138</v>
      </c>
      <c r="DR1344" s="26" t="s">
        <v>138</v>
      </c>
      <c r="DS1344" s="23" t="s">
        <v>138</v>
      </c>
      <c r="DT1344" s="24">
        <v>333</v>
      </c>
      <c r="DU1344" s="26">
        <v>0</v>
      </c>
      <c r="DV1344" s="23">
        <v>0</v>
      </c>
      <c r="DW1344" s="24">
        <v>65</v>
      </c>
      <c r="DX1344" s="27">
        <v>0</v>
      </c>
      <c r="DY1344" s="23">
        <v>0</v>
      </c>
      <c r="DZ1344" s="15" t="s">
        <v>178</v>
      </c>
      <c r="EA1344" s="22">
        <v>43351</v>
      </c>
      <c r="EB1344" s="17" t="s">
        <v>138</v>
      </c>
      <c r="EC1344" s="22" t="s">
        <v>138</v>
      </c>
      <c r="ED1344" s="15" t="s">
        <v>138</v>
      </c>
      <c r="EE1344" s="14" t="str">
        <f>HYPERLINK("https://my.pitchbook.com?c=114295-87", "View company online")</f>
        <v>View company online</v>
      </c>
    </row>
    <row r="1345" spans="1:135">
      <c r="A1345" s="28" t="s">
        <v>25943</v>
      </c>
      <c r="B1345" s="28" t="s">
        <v>25944</v>
      </c>
      <c r="C1345" s="28" t="s">
        <v>138</v>
      </c>
      <c r="D1345" s="28" t="s">
        <v>25945</v>
      </c>
      <c r="E1345" s="28" t="s">
        <v>138</v>
      </c>
      <c r="F1345" s="28" t="s">
        <v>25943</v>
      </c>
      <c r="G1345" s="28" t="s">
        <v>25946</v>
      </c>
      <c r="H1345" s="28" t="s">
        <v>183</v>
      </c>
      <c r="I1345" s="28" t="s">
        <v>725</v>
      </c>
      <c r="J1345" s="28" t="s">
        <v>2508</v>
      </c>
      <c r="K1345" s="28" t="s">
        <v>25947</v>
      </c>
      <c r="L1345" s="28" t="s">
        <v>415</v>
      </c>
      <c r="M1345" s="28" t="s">
        <v>25948</v>
      </c>
      <c r="N1345" s="28" t="s">
        <v>1452</v>
      </c>
      <c r="O1345" s="29">
        <v>1.99</v>
      </c>
      <c r="P1345" s="28" t="s">
        <v>148</v>
      </c>
      <c r="Q1345" s="28" t="s">
        <v>149</v>
      </c>
      <c r="R1345" s="28" t="s">
        <v>328</v>
      </c>
      <c r="S1345" s="28" t="s">
        <v>25949</v>
      </c>
      <c r="T1345" s="30">
        <v>2</v>
      </c>
      <c r="U1345" s="28" t="s">
        <v>12834</v>
      </c>
      <c r="V1345" s="28" t="s">
        <v>138</v>
      </c>
      <c r="W1345" s="28" t="s">
        <v>138</v>
      </c>
      <c r="X1345" s="31">
        <v>2013</v>
      </c>
      <c r="Y1345" s="28" t="s">
        <v>138</v>
      </c>
      <c r="Z1345" s="28" t="s">
        <v>138</v>
      </c>
      <c r="AA1345" s="28" t="s">
        <v>138</v>
      </c>
      <c r="AB1345" s="32" t="s">
        <v>138</v>
      </c>
      <c r="AC1345" s="32" t="s">
        <v>138</v>
      </c>
      <c r="AD1345" s="32" t="s">
        <v>138</v>
      </c>
      <c r="AE1345" s="32" t="s">
        <v>138</v>
      </c>
      <c r="AF1345" s="32" t="s">
        <v>138</v>
      </c>
      <c r="AG1345" s="28" t="s">
        <v>138</v>
      </c>
      <c r="AH1345" s="32" t="s">
        <v>138</v>
      </c>
      <c r="AI1345" s="32" t="s">
        <v>138</v>
      </c>
      <c r="AJ1345" s="32" t="s">
        <v>138</v>
      </c>
      <c r="AK1345" s="28" t="s">
        <v>25950</v>
      </c>
      <c r="AL1345" s="28" t="s">
        <v>25951</v>
      </c>
      <c r="AM1345" s="28" t="s">
        <v>25952</v>
      </c>
      <c r="AN1345" s="28" t="s">
        <v>25953</v>
      </c>
      <c r="AO1345" s="28" t="s">
        <v>138</v>
      </c>
      <c r="AP1345" s="28" t="s">
        <v>16912</v>
      </c>
      <c r="AQ1345" s="28" t="s">
        <v>138</v>
      </c>
      <c r="AR1345" s="28" t="s">
        <v>138</v>
      </c>
      <c r="AS1345" s="28" t="s">
        <v>16915</v>
      </c>
      <c r="AT1345" s="28" t="s">
        <v>7605</v>
      </c>
      <c r="AU1345" s="28" t="s">
        <v>138</v>
      </c>
      <c r="AV1345" s="28" t="s">
        <v>162</v>
      </c>
      <c r="AW1345" s="28" t="s">
        <v>138</v>
      </c>
      <c r="AX1345" s="28" t="s">
        <v>138</v>
      </c>
      <c r="AY1345" s="28" t="s">
        <v>138</v>
      </c>
      <c r="AZ1345" s="28" t="s">
        <v>164</v>
      </c>
      <c r="BA1345" s="28" t="s">
        <v>165</v>
      </c>
      <c r="BB1345" s="28" t="s">
        <v>25954</v>
      </c>
      <c r="BC1345" s="28" t="s">
        <v>24320</v>
      </c>
      <c r="BD1345" s="33">
        <v>1</v>
      </c>
      <c r="BE1345" s="28" t="s">
        <v>138</v>
      </c>
      <c r="BF1345" s="28" t="s">
        <v>138</v>
      </c>
      <c r="BG1345" s="28" t="s">
        <v>138</v>
      </c>
      <c r="BH1345" s="28" t="s">
        <v>3002</v>
      </c>
      <c r="BI1345" s="28" t="s">
        <v>138</v>
      </c>
      <c r="BJ1345" s="28" t="s">
        <v>138</v>
      </c>
      <c r="BK1345" s="28" t="s">
        <v>138</v>
      </c>
      <c r="BL1345" s="28" t="s">
        <v>138</v>
      </c>
      <c r="BM1345" s="34">
        <v>43448</v>
      </c>
      <c r="BN1345" s="29">
        <v>1.99</v>
      </c>
      <c r="BO1345" s="28" t="s">
        <v>172</v>
      </c>
      <c r="BP1345" s="29" t="s">
        <v>138</v>
      </c>
      <c r="BQ1345" s="28" t="s">
        <v>138</v>
      </c>
      <c r="BR1345" s="28" t="s">
        <v>1673</v>
      </c>
      <c r="BS1345" s="28" t="s">
        <v>138</v>
      </c>
      <c r="BT1345" s="28" t="s">
        <v>138</v>
      </c>
      <c r="BU1345" s="28" t="s">
        <v>351</v>
      </c>
      <c r="BV1345" s="28" t="s">
        <v>138</v>
      </c>
      <c r="BW1345" s="28" t="s">
        <v>138</v>
      </c>
      <c r="BX1345" s="28" t="s">
        <v>138</v>
      </c>
      <c r="BY1345" s="28" t="s">
        <v>175</v>
      </c>
      <c r="BZ1345" s="34">
        <v>43448</v>
      </c>
      <c r="CA1345" s="29">
        <v>1.99</v>
      </c>
      <c r="CB1345" s="28" t="s">
        <v>172</v>
      </c>
      <c r="CC1345" s="29" t="s">
        <v>138</v>
      </c>
      <c r="CD1345" s="28" t="s">
        <v>138</v>
      </c>
      <c r="CE1345" s="28" t="s">
        <v>1673</v>
      </c>
      <c r="CF1345" s="28" t="s">
        <v>138</v>
      </c>
      <c r="CG1345" s="28" t="s">
        <v>138</v>
      </c>
      <c r="CH1345" s="28" t="s">
        <v>351</v>
      </c>
      <c r="CI1345" s="28" t="s">
        <v>138</v>
      </c>
      <c r="CJ1345" s="28" t="s">
        <v>138</v>
      </c>
      <c r="CK1345" s="28" t="s">
        <v>138</v>
      </c>
      <c r="CL1345" s="28" t="s">
        <v>175</v>
      </c>
      <c r="CM1345" s="34" t="s">
        <v>138</v>
      </c>
      <c r="CN1345" s="29" t="s">
        <v>138</v>
      </c>
      <c r="CO1345" s="35">
        <v>0</v>
      </c>
      <c r="CP1345" s="36">
        <v>26</v>
      </c>
      <c r="CQ1345" s="35">
        <v>0</v>
      </c>
      <c r="CR1345" s="35">
        <v>0</v>
      </c>
      <c r="CS1345" s="35">
        <v>0</v>
      </c>
      <c r="CT1345" s="36">
        <v>23</v>
      </c>
      <c r="CU1345" s="35" t="s">
        <v>138</v>
      </c>
      <c r="CV1345" s="36" t="s">
        <v>138</v>
      </c>
      <c r="CW1345" s="35" t="s">
        <v>138</v>
      </c>
      <c r="CX1345" s="36" t="s">
        <v>138</v>
      </c>
      <c r="CY1345" s="35">
        <v>0</v>
      </c>
      <c r="CZ1345" s="36">
        <v>25</v>
      </c>
      <c r="DA1345" s="35" t="s">
        <v>138</v>
      </c>
      <c r="DB1345" s="36" t="s">
        <v>138</v>
      </c>
      <c r="DC1345" s="37">
        <v>0.55000000000000004</v>
      </c>
      <c r="DD1345" s="36">
        <v>36</v>
      </c>
      <c r="DE1345" s="37">
        <v>0</v>
      </c>
      <c r="DF1345" s="35">
        <v>0</v>
      </c>
      <c r="DG1345" s="37">
        <v>0.55000000000000004</v>
      </c>
      <c r="DH1345" s="36">
        <v>36</v>
      </c>
      <c r="DI1345" s="37" t="s">
        <v>138</v>
      </c>
      <c r="DJ1345" s="36" t="s">
        <v>138</v>
      </c>
      <c r="DK1345" s="37" t="s">
        <v>138</v>
      </c>
      <c r="DL1345" s="36" t="s">
        <v>138</v>
      </c>
      <c r="DM1345" s="37">
        <v>0.55000000000000004</v>
      </c>
      <c r="DN1345" s="36">
        <v>36</v>
      </c>
      <c r="DO1345" s="37" t="s">
        <v>138</v>
      </c>
      <c r="DP1345" s="36" t="s">
        <v>138</v>
      </c>
      <c r="DQ1345" s="36">
        <v>280</v>
      </c>
      <c r="DR1345" s="38">
        <v>11</v>
      </c>
      <c r="DS1345" s="35">
        <v>4.09</v>
      </c>
      <c r="DT1345" s="36">
        <v>16</v>
      </c>
      <c r="DU1345" s="38">
        <v>1</v>
      </c>
      <c r="DV1345" s="35">
        <v>6.67</v>
      </c>
      <c r="DW1345" s="36" t="s">
        <v>138</v>
      </c>
      <c r="DX1345" s="39" t="s">
        <v>138</v>
      </c>
      <c r="DY1345" s="35" t="s">
        <v>138</v>
      </c>
      <c r="DZ1345" s="28" t="s">
        <v>178</v>
      </c>
      <c r="EA1345" s="34">
        <v>43622</v>
      </c>
      <c r="EB1345" s="29" t="s">
        <v>138</v>
      </c>
      <c r="EC1345" s="34" t="s">
        <v>138</v>
      </c>
      <c r="ED1345" s="28" t="s">
        <v>138</v>
      </c>
      <c r="EE1345" s="40" t="str">
        <f>HYPERLINK("https://my.pitchbook.com?c=222608-26", "View company online")</f>
        <v>View company online</v>
      </c>
    </row>
    <row r="1346" spans="1:135">
      <c r="A1346" s="15" t="s">
        <v>25955</v>
      </c>
      <c r="B1346" s="15" t="s">
        <v>25956</v>
      </c>
      <c r="C1346" s="15" t="s">
        <v>138</v>
      </c>
      <c r="D1346" s="15" t="s">
        <v>138</v>
      </c>
      <c r="E1346" s="15" t="s">
        <v>25957</v>
      </c>
      <c r="F1346" s="15" t="s">
        <v>25955</v>
      </c>
      <c r="G1346" s="15" t="s">
        <v>25958</v>
      </c>
      <c r="H1346" s="15" t="s">
        <v>322</v>
      </c>
      <c r="I1346" s="15" t="s">
        <v>323</v>
      </c>
      <c r="J1346" s="15" t="s">
        <v>324</v>
      </c>
      <c r="K1346" s="15" t="s">
        <v>325</v>
      </c>
      <c r="L1346" s="15" t="s">
        <v>25959</v>
      </c>
      <c r="M1346" s="15" t="s">
        <v>25960</v>
      </c>
      <c r="N1346" s="15" t="s">
        <v>147</v>
      </c>
      <c r="O1346" s="17">
        <v>31</v>
      </c>
      <c r="P1346" s="15" t="s">
        <v>148</v>
      </c>
      <c r="Q1346" s="15" t="s">
        <v>149</v>
      </c>
      <c r="R1346" s="15" t="s">
        <v>174</v>
      </c>
      <c r="S1346" s="15" t="s">
        <v>25961</v>
      </c>
      <c r="T1346" s="18">
        <v>40</v>
      </c>
      <c r="U1346" s="15" t="s">
        <v>22115</v>
      </c>
      <c r="V1346" s="15" t="s">
        <v>138</v>
      </c>
      <c r="W1346" s="15" t="s">
        <v>138</v>
      </c>
      <c r="X1346" s="19">
        <v>2006</v>
      </c>
      <c r="Y1346" s="15" t="s">
        <v>25962</v>
      </c>
      <c r="Z1346" s="15" t="s">
        <v>138</v>
      </c>
      <c r="AA1346" s="15" t="s">
        <v>138</v>
      </c>
      <c r="AB1346" s="20" t="s">
        <v>138</v>
      </c>
      <c r="AC1346" s="20" t="s">
        <v>138</v>
      </c>
      <c r="AD1346" s="20" t="s">
        <v>138</v>
      </c>
      <c r="AE1346" s="20" t="s">
        <v>138</v>
      </c>
      <c r="AF1346" s="20" t="s">
        <v>138</v>
      </c>
      <c r="AG1346" s="15" t="s">
        <v>138</v>
      </c>
      <c r="AH1346" s="20" t="s">
        <v>138</v>
      </c>
      <c r="AI1346" s="20" t="s">
        <v>138</v>
      </c>
      <c r="AJ1346" s="20" t="s">
        <v>138</v>
      </c>
      <c r="AK1346" s="15" t="s">
        <v>25963</v>
      </c>
      <c r="AL1346" s="15" t="s">
        <v>25964</v>
      </c>
      <c r="AM1346" s="15" t="s">
        <v>566</v>
      </c>
      <c r="AN1346" s="15" t="s">
        <v>25965</v>
      </c>
      <c r="AO1346" s="15" t="s">
        <v>25966</v>
      </c>
      <c r="AP1346" s="15" t="s">
        <v>10535</v>
      </c>
      <c r="AQ1346" s="15" t="s">
        <v>25967</v>
      </c>
      <c r="AR1346" s="15" t="s">
        <v>138</v>
      </c>
      <c r="AS1346" s="15" t="s">
        <v>10537</v>
      </c>
      <c r="AT1346" s="15" t="s">
        <v>5271</v>
      </c>
      <c r="AU1346" s="15" t="s">
        <v>10575</v>
      </c>
      <c r="AV1346" s="15" t="s">
        <v>162</v>
      </c>
      <c r="AW1346" s="15" t="s">
        <v>25966</v>
      </c>
      <c r="AX1346" s="15" t="s">
        <v>138</v>
      </c>
      <c r="AY1346" s="15" t="s">
        <v>25968</v>
      </c>
      <c r="AZ1346" s="15" t="s">
        <v>164</v>
      </c>
      <c r="BA1346" s="15" t="s">
        <v>165</v>
      </c>
      <c r="BB1346" s="15" t="s">
        <v>25969</v>
      </c>
      <c r="BC1346" s="15" t="s">
        <v>25970</v>
      </c>
      <c r="BD1346" s="21">
        <v>7</v>
      </c>
      <c r="BE1346" s="15" t="s">
        <v>138</v>
      </c>
      <c r="BF1346" s="15" t="s">
        <v>138</v>
      </c>
      <c r="BG1346" s="15" t="s">
        <v>138</v>
      </c>
      <c r="BH1346" s="15" t="s">
        <v>25971</v>
      </c>
      <c r="BI1346" s="15" t="s">
        <v>138</v>
      </c>
      <c r="BJ1346" s="15" t="s">
        <v>138</v>
      </c>
      <c r="BK1346" s="15" t="s">
        <v>25972</v>
      </c>
      <c r="BL1346" s="15" t="s">
        <v>19041</v>
      </c>
      <c r="BM1346" s="22">
        <v>43188</v>
      </c>
      <c r="BN1346" s="17">
        <v>19.5</v>
      </c>
      <c r="BO1346" s="15" t="s">
        <v>172</v>
      </c>
      <c r="BP1346" s="17" t="s">
        <v>138</v>
      </c>
      <c r="BQ1346" s="15" t="s">
        <v>138</v>
      </c>
      <c r="BR1346" s="15" t="s">
        <v>173</v>
      </c>
      <c r="BS1346" s="15" t="s">
        <v>138</v>
      </c>
      <c r="BT1346" s="15" t="s">
        <v>138</v>
      </c>
      <c r="BU1346" s="15" t="s">
        <v>174</v>
      </c>
      <c r="BV1346" s="15" t="s">
        <v>138</v>
      </c>
      <c r="BW1346" s="15" t="s">
        <v>138</v>
      </c>
      <c r="BX1346" s="15" t="s">
        <v>138</v>
      </c>
      <c r="BY1346" s="15" t="s">
        <v>175</v>
      </c>
      <c r="BZ1346" s="22">
        <v>43193</v>
      </c>
      <c r="CA1346" s="17">
        <v>31</v>
      </c>
      <c r="CB1346" s="15" t="s">
        <v>172</v>
      </c>
      <c r="CC1346" s="17" t="s">
        <v>138</v>
      </c>
      <c r="CD1346" s="15" t="s">
        <v>138</v>
      </c>
      <c r="CE1346" s="15" t="s">
        <v>173</v>
      </c>
      <c r="CF1346" s="15" t="s">
        <v>720</v>
      </c>
      <c r="CG1346" s="15" t="s">
        <v>138</v>
      </c>
      <c r="CH1346" s="15" t="s">
        <v>174</v>
      </c>
      <c r="CI1346" s="15" t="s">
        <v>138</v>
      </c>
      <c r="CJ1346" s="15" t="s">
        <v>138</v>
      </c>
      <c r="CK1346" s="15" t="s">
        <v>138</v>
      </c>
      <c r="CL1346" s="15" t="s">
        <v>175</v>
      </c>
      <c r="CM1346" s="22" t="s">
        <v>138</v>
      </c>
      <c r="CN1346" s="17" t="s">
        <v>138</v>
      </c>
      <c r="CO1346" s="23">
        <v>-0.03</v>
      </c>
      <c r="CP1346" s="24">
        <v>23</v>
      </c>
      <c r="CQ1346" s="23">
        <v>0.04</v>
      </c>
      <c r="CR1346" s="23">
        <v>55.22</v>
      </c>
      <c r="CS1346" s="23">
        <v>-0.2</v>
      </c>
      <c r="CT1346" s="24">
        <v>22</v>
      </c>
      <c r="CU1346" s="23">
        <v>0.13</v>
      </c>
      <c r="CV1346" s="24">
        <v>73</v>
      </c>
      <c r="CW1346" s="23">
        <v>1.18</v>
      </c>
      <c r="CX1346" s="24">
        <v>85</v>
      </c>
      <c r="CY1346" s="23">
        <v>-1.58</v>
      </c>
      <c r="CZ1346" s="24">
        <v>14</v>
      </c>
      <c r="DA1346" s="23">
        <v>0.13</v>
      </c>
      <c r="DB1346" s="24">
        <v>76</v>
      </c>
      <c r="DC1346" s="25">
        <v>5.89</v>
      </c>
      <c r="DD1346" s="24">
        <v>85</v>
      </c>
      <c r="DE1346" s="25">
        <v>-0.11</v>
      </c>
      <c r="DF1346" s="23">
        <v>-1.8</v>
      </c>
      <c r="DG1346" s="25">
        <v>6.94</v>
      </c>
      <c r="DH1346" s="24">
        <v>86</v>
      </c>
      <c r="DI1346" s="25">
        <v>4.8499999999999996</v>
      </c>
      <c r="DJ1346" s="24">
        <v>77</v>
      </c>
      <c r="DK1346" s="25">
        <v>3.29</v>
      </c>
      <c r="DL1346" s="24">
        <v>73</v>
      </c>
      <c r="DM1346" s="25">
        <v>10.59</v>
      </c>
      <c r="DN1346" s="24">
        <v>89</v>
      </c>
      <c r="DO1346" s="25">
        <v>4.8499999999999996</v>
      </c>
      <c r="DP1346" s="24">
        <v>79</v>
      </c>
      <c r="DQ1346" s="24">
        <v>1096</v>
      </c>
      <c r="DR1346" s="26">
        <v>92</v>
      </c>
      <c r="DS1346" s="23">
        <v>9.16</v>
      </c>
      <c r="DT1346" s="24">
        <v>307</v>
      </c>
      <c r="DU1346" s="26">
        <v>2</v>
      </c>
      <c r="DV1346" s="23">
        <v>0.66</v>
      </c>
      <c r="DW1346" s="24">
        <v>1735</v>
      </c>
      <c r="DX1346" s="27">
        <v>3</v>
      </c>
      <c r="DY1346" s="23">
        <v>0.17</v>
      </c>
      <c r="DZ1346" s="15" t="s">
        <v>178</v>
      </c>
      <c r="EA1346" s="22">
        <v>43383</v>
      </c>
      <c r="EB1346" s="17" t="s">
        <v>138</v>
      </c>
      <c r="EC1346" s="22" t="s">
        <v>138</v>
      </c>
      <c r="ED1346" s="15" t="s">
        <v>138</v>
      </c>
      <c r="EE1346" s="14" t="str">
        <f>HYPERLINK("https://my.pitchbook.com?c=54664-57", "View company online")</f>
        <v>View company online</v>
      </c>
    </row>
    <row r="1347" spans="1:135">
      <c r="A1347" s="28" t="s">
        <v>25973</v>
      </c>
      <c r="B1347" s="28" t="s">
        <v>25974</v>
      </c>
      <c r="C1347" s="28" t="s">
        <v>25975</v>
      </c>
      <c r="D1347" s="28" t="s">
        <v>138</v>
      </c>
      <c r="E1347" s="28" t="s">
        <v>25976</v>
      </c>
      <c r="F1347" s="28" t="s">
        <v>25973</v>
      </c>
      <c r="G1347" s="28" t="s">
        <v>25977</v>
      </c>
      <c r="H1347" s="28" t="s">
        <v>238</v>
      </c>
      <c r="I1347" s="28" t="s">
        <v>239</v>
      </c>
      <c r="J1347" s="28" t="s">
        <v>8328</v>
      </c>
      <c r="K1347" s="28" t="s">
        <v>25978</v>
      </c>
      <c r="L1347" s="28" t="s">
        <v>12589</v>
      </c>
      <c r="M1347" s="28" t="s">
        <v>25979</v>
      </c>
      <c r="N1347" s="28" t="s">
        <v>147</v>
      </c>
      <c r="O1347" s="29">
        <v>13.27</v>
      </c>
      <c r="P1347" s="28" t="s">
        <v>148</v>
      </c>
      <c r="Q1347" s="28" t="s">
        <v>149</v>
      </c>
      <c r="R1347" s="28" t="s">
        <v>174</v>
      </c>
      <c r="S1347" s="28" t="s">
        <v>25980</v>
      </c>
      <c r="T1347" s="30">
        <v>62</v>
      </c>
      <c r="U1347" s="28" t="s">
        <v>25981</v>
      </c>
      <c r="V1347" s="28" t="s">
        <v>138</v>
      </c>
      <c r="W1347" s="28" t="s">
        <v>138</v>
      </c>
      <c r="X1347" s="31">
        <v>2009</v>
      </c>
      <c r="Y1347" s="28" t="s">
        <v>138</v>
      </c>
      <c r="Z1347" s="28" t="s">
        <v>138</v>
      </c>
      <c r="AA1347" s="28" t="s">
        <v>138</v>
      </c>
      <c r="AB1347" s="32">
        <v>30</v>
      </c>
      <c r="AC1347" s="32" t="s">
        <v>138</v>
      </c>
      <c r="AD1347" s="32" t="s">
        <v>138</v>
      </c>
      <c r="AE1347" s="32" t="s">
        <v>138</v>
      </c>
      <c r="AF1347" s="32" t="s">
        <v>138</v>
      </c>
      <c r="AG1347" s="28" t="s">
        <v>815</v>
      </c>
      <c r="AH1347" s="32" t="s">
        <v>138</v>
      </c>
      <c r="AI1347" s="32" t="s">
        <v>138</v>
      </c>
      <c r="AJ1347" s="32" t="s">
        <v>138</v>
      </c>
      <c r="AK1347" s="28" t="s">
        <v>25982</v>
      </c>
      <c r="AL1347" s="28" t="s">
        <v>25983</v>
      </c>
      <c r="AM1347" s="28" t="s">
        <v>221</v>
      </c>
      <c r="AN1347" s="28" t="s">
        <v>25984</v>
      </c>
      <c r="AO1347" s="28" t="s">
        <v>25985</v>
      </c>
      <c r="AP1347" s="28" t="s">
        <v>423</v>
      </c>
      <c r="AQ1347" s="28" t="s">
        <v>25986</v>
      </c>
      <c r="AR1347" s="28" t="s">
        <v>18417</v>
      </c>
      <c r="AS1347" s="28" t="s">
        <v>426</v>
      </c>
      <c r="AT1347" s="28" t="s">
        <v>426</v>
      </c>
      <c r="AU1347" s="28" t="s">
        <v>8757</v>
      </c>
      <c r="AV1347" s="28" t="s">
        <v>162</v>
      </c>
      <c r="AW1347" s="28" t="s">
        <v>25985</v>
      </c>
      <c r="AX1347" s="28" t="s">
        <v>138</v>
      </c>
      <c r="AY1347" s="28" t="s">
        <v>25987</v>
      </c>
      <c r="AZ1347" s="28" t="s">
        <v>164</v>
      </c>
      <c r="BA1347" s="28" t="s">
        <v>165</v>
      </c>
      <c r="BB1347" s="28" t="s">
        <v>25988</v>
      </c>
      <c r="BC1347" s="28" t="s">
        <v>25989</v>
      </c>
      <c r="BD1347" s="33">
        <v>15</v>
      </c>
      <c r="BE1347" s="28" t="s">
        <v>138</v>
      </c>
      <c r="BF1347" s="28" t="s">
        <v>138</v>
      </c>
      <c r="BG1347" s="28" t="s">
        <v>138</v>
      </c>
      <c r="BH1347" s="28" t="s">
        <v>25990</v>
      </c>
      <c r="BI1347" s="28" t="s">
        <v>138</v>
      </c>
      <c r="BJ1347" s="28" t="s">
        <v>138</v>
      </c>
      <c r="BK1347" s="28" t="s">
        <v>25991</v>
      </c>
      <c r="BL1347" s="28" t="s">
        <v>25992</v>
      </c>
      <c r="BM1347" s="34">
        <v>40470</v>
      </c>
      <c r="BN1347" s="29">
        <v>0.75</v>
      </c>
      <c r="BO1347" s="28" t="s">
        <v>172</v>
      </c>
      <c r="BP1347" s="29">
        <v>4</v>
      </c>
      <c r="BQ1347" s="28" t="s">
        <v>172</v>
      </c>
      <c r="BR1347" s="28" t="s">
        <v>234</v>
      </c>
      <c r="BS1347" s="28" t="s">
        <v>234</v>
      </c>
      <c r="BT1347" s="28" t="s">
        <v>138</v>
      </c>
      <c r="BU1347" s="28" t="s">
        <v>174</v>
      </c>
      <c r="BV1347" s="28" t="s">
        <v>138</v>
      </c>
      <c r="BW1347" s="28" t="s">
        <v>138</v>
      </c>
      <c r="BX1347" s="28" t="s">
        <v>138</v>
      </c>
      <c r="BY1347" s="28" t="s">
        <v>175</v>
      </c>
      <c r="BZ1347" s="34">
        <v>42921</v>
      </c>
      <c r="CA1347" s="29">
        <v>4.26</v>
      </c>
      <c r="CB1347" s="28" t="s">
        <v>172</v>
      </c>
      <c r="CC1347" s="29">
        <v>33.1</v>
      </c>
      <c r="CD1347" s="28" t="s">
        <v>172</v>
      </c>
      <c r="CE1347" s="28" t="s">
        <v>173</v>
      </c>
      <c r="CF1347" s="28" t="s">
        <v>720</v>
      </c>
      <c r="CG1347" s="28" t="s">
        <v>138</v>
      </c>
      <c r="CH1347" s="28" t="s">
        <v>174</v>
      </c>
      <c r="CI1347" s="28" t="s">
        <v>138</v>
      </c>
      <c r="CJ1347" s="28" t="s">
        <v>138</v>
      </c>
      <c r="CK1347" s="28" t="s">
        <v>138</v>
      </c>
      <c r="CL1347" s="28" t="s">
        <v>175</v>
      </c>
      <c r="CM1347" s="34">
        <v>41912</v>
      </c>
      <c r="CN1347" s="29" t="s">
        <v>138</v>
      </c>
      <c r="CO1347" s="35">
        <v>-0.63</v>
      </c>
      <c r="CP1347" s="36">
        <v>15</v>
      </c>
      <c r="CQ1347" s="35">
        <v>0.01</v>
      </c>
      <c r="CR1347" s="35">
        <v>1.01</v>
      </c>
      <c r="CS1347" s="35">
        <v>-1.29</v>
      </c>
      <c r="CT1347" s="36">
        <v>13</v>
      </c>
      <c r="CU1347" s="35">
        <v>0.02</v>
      </c>
      <c r="CV1347" s="36">
        <v>51</v>
      </c>
      <c r="CW1347" s="35">
        <v>0.24</v>
      </c>
      <c r="CX1347" s="36">
        <v>81</v>
      </c>
      <c r="CY1347" s="35">
        <v>-2.82</v>
      </c>
      <c r="CZ1347" s="36">
        <v>7</v>
      </c>
      <c r="DA1347" s="35">
        <v>0.02</v>
      </c>
      <c r="DB1347" s="36">
        <v>58</v>
      </c>
      <c r="DC1347" s="37">
        <v>1817.44</v>
      </c>
      <c r="DD1347" s="36">
        <v>100</v>
      </c>
      <c r="DE1347" s="37">
        <v>-122.47</v>
      </c>
      <c r="DF1347" s="35">
        <v>-6.31</v>
      </c>
      <c r="DG1347" s="37">
        <v>2031.16</v>
      </c>
      <c r="DH1347" s="36">
        <v>100</v>
      </c>
      <c r="DI1347" s="37">
        <v>1603.72</v>
      </c>
      <c r="DJ1347" s="36">
        <v>100</v>
      </c>
      <c r="DK1347" s="37">
        <v>3961.05</v>
      </c>
      <c r="DL1347" s="36">
        <v>100</v>
      </c>
      <c r="DM1347" s="37">
        <v>101.28</v>
      </c>
      <c r="DN1347" s="36">
        <v>99</v>
      </c>
      <c r="DO1347" s="37">
        <v>1603.72</v>
      </c>
      <c r="DP1347" s="36">
        <v>100</v>
      </c>
      <c r="DQ1347" s="36">
        <v>1364876</v>
      </c>
      <c r="DR1347" s="38">
        <v>-18707</v>
      </c>
      <c r="DS1347" s="35">
        <v>-1.35</v>
      </c>
      <c r="DT1347" s="36">
        <v>2935</v>
      </c>
      <c r="DU1347" s="38">
        <v>-1</v>
      </c>
      <c r="DV1347" s="35">
        <v>-0.03</v>
      </c>
      <c r="DW1347" s="36">
        <v>574118</v>
      </c>
      <c r="DX1347" s="39">
        <v>147</v>
      </c>
      <c r="DY1347" s="35">
        <v>0.03</v>
      </c>
      <c r="DZ1347" s="28" t="s">
        <v>178</v>
      </c>
      <c r="EA1347" s="34">
        <v>43622</v>
      </c>
      <c r="EB1347" s="29">
        <v>33.1</v>
      </c>
      <c r="EC1347" s="34">
        <v>42921</v>
      </c>
      <c r="ED1347" s="28" t="s">
        <v>173</v>
      </c>
      <c r="EE1347" s="40" t="str">
        <f>HYPERLINK("https://my.pitchbook.com?c=54329-95", "View company online")</f>
        <v>View company online</v>
      </c>
    </row>
    <row r="1348" spans="1:135">
      <c r="A1348" s="15" t="s">
        <v>25993</v>
      </c>
      <c r="B1348" s="15" t="s">
        <v>25994</v>
      </c>
      <c r="C1348" s="15" t="s">
        <v>138</v>
      </c>
      <c r="D1348" s="15" t="s">
        <v>138</v>
      </c>
      <c r="E1348" s="15" t="s">
        <v>138</v>
      </c>
      <c r="F1348" s="15" t="s">
        <v>25993</v>
      </c>
      <c r="G1348" s="15" t="s">
        <v>25995</v>
      </c>
      <c r="H1348" s="15" t="s">
        <v>141</v>
      </c>
      <c r="I1348" s="15" t="s">
        <v>142</v>
      </c>
      <c r="J1348" s="15" t="s">
        <v>508</v>
      </c>
      <c r="K1348" s="15" t="s">
        <v>25996</v>
      </c>
      <c r="L1348" s="15" t="s">
        <v>1104</v>
      </c>
      <c r="M1348" s="15" t="s">
        <v>25997</v>
      </c>
      <c r="N1348" s="15" t="s">
        <v>147</v>
      </c>
      <c r="O1348" s="17" t="s">
        <v>138</v>
      </c>
      <c r="P1348" s="15" t="s">
        <v>148</v>
      </c>
      <c r="Q1348" s="15" t="s">
        <v>149</v>
      </c>
      <c r="R1348" s="15" t="s">
        <v>174</v>
      </c>
      <c r="S1348" s="15" t="s">
        <v>25998</v>
      </c>
      <c r="T1348" s="18" t="s">
        <v>138</v>
      </c>
      <c r="U1348" s="15" t="s">
        <v>138</v>
      </c>
      <c r="V1348" s="15" t="s">
        <v>138</v>
      </c>
      <c r="W1348" s="15" t="s">
        <v>138</v>
      </c>
      <c r="X1348" s="19">
        <v>2011</v>
      </c>
      <c r="Y1348" s="15" t="s">
        <v>138</v>
      </c>
      <c r="Z1348" s="15" t="s">
        <v>138</v>
      </c>
      <c r="AA1348" s="15" t="s">
        <v>138</v>
      </c>
      <c r="AB1348" s="20" t="s">
        <v>138</v>
      </c>
      <c r="AC1348" s="20" t="s">
        <v>138</v>
      </c>
      <c r="AD1348" s="20" t="s">
        <v>138</v>
      </c>
      <c r="AE1348" s="20" t="s">
        <v>138</v>
      </c>
      <c r="AF1348" s="20" t="s">
        <v>138</v>
      </c>
      <c r="AG1348" s="15" t="s">
        <v>138</v>
      </c>
      <c r="AH1348" s="20" t="s">
        <v>138</v>
      </c>
      <c r="AI1348" s="20" t="s">
        <v>138</v>
      </c>
      <c r="AJ1348" s="20" t="s">
        <v>138</v>
      </c>
      <c r="AK1348" s="15" t="s">
        <v>25999</v>
      </c>
      <c r="AL1348" s="15" t="s">
        <v>26000</v>
      </c>
      <c r="AM1348" s="15" t="s">
        <v>26001</v>
      </c>
      <c r="AN1348" s="15" t="s">
        <v>138</v>
      </c>
      <c r="AO1348" s="15" t="s">
        <v>26002</v>
      </c>
      <c r="AP1348" s="15" t="s">
        <v>26003</v>
      </c>
      <c r="AQ1348" s="15" t="s">
        <v>26004</v>
      </c>
      <c r="AR1348" s="15" t="s">
        <v>138</v>
      </c>
      <c r="AS1348" s="15" t="s">
        <v>26005</v>
      </c>
      <c r="AT1348" s="15" t="s">
        <v>138</v>
      </c>
      <c r="AU1348" s="15" t="s">
        <v>26006</v>
      </c>
      <c r="AV1348" s="15" t="s">
        <v>9686</v>
      </c>
      <c r="AW1348" s="15" t="s">
        <v>26002</v>
      </c>
      <c r="AX1348" s="15" t="s">
        <v>138</v>
      </c>
      <c r="AY1348" s="15" t="s">
        <v>138</v>
      </c>
      <c r="AZ1348" s="15" t="s">
        <v>530</v>
      </c>
      <c r="BA1348" s="15" t="s">
        <v>9687</v>
      </c>
      <c r="BB1348" s="15" t="s">
        <v>26007</v>
      </c>
      <c r="BC1348" s="15" t="s">
        <v>26008</v>
      </c>
      <c r="BD1348" s="21">
        <v>4</v>
      </c>
      <c r="BE1348" s="15" t="s">
        <v>138</v>
      </c>
      <c r="BF1348" s="15" t="s">
        <v>138</v>
      </c>
      <c r="BG1348" s="15" t="s">
        <v>138</v>
      </c>
      <c r="BH1348" s="15" t="s">
        <v>26009</v>
      </c>
      <c r="BI1348" s="15" t="s">
        <v>138</v>
      </c>
      <c r="BJ1348" s="15" t="s">
        <v>138</v>
      </c>
      <c r="BK1348" s="15" t="s">
        <v>138</v>
      </c>
      <c r="BL1348" s="15" t="s">
        <v>138</v>
      </c>
      <c r="BM1348" s="22" t="s">
        <v>138</v>
      </c>
      <c r="BN1348" s="17" t="s">
        <v>138</v>
      </c>
      <c r="BO1348" s="15" t="s">
        <v>138</v>
      </c>
      <c r="BP1348" s="17" t="s">
        <v>138</v>
      </c>
      <c r="BQ1348" s="15" t="s">
        <v>138</v>
      </c>
      <c r="BR1348" s="15" t="s">
        <v>205</v>
      </c>
      <c r="BS1348" s="15" t="s">
        <v>138</v>
      </c>
      <c r="BT1348" s="15" t="s">
        <v>138</v>
      </c>
      <c r="BU1348" s="15" t="s">
        <v>174</v>
      </c>
      <c r="BV1348" s="15" t="s">
        <v>138</v>
      </c>
      <c r="BW1348" s="15" t="s">
        <v>138</v>
      </c>
      <c r="BX1348" s="15" t="s">
        <v>138</v>
      </c>
      <c r="BY1348" s="15" t="s">
        <v>175</v>
      </c>
      <c r="BZ1348" s="22" t="s">
        <v>138</v>
      </c>
      <c r="CA1348" s="17">
        <v>1.34</v>
      </c>
      <c r="CB1348" s="15" t="s">
        <v>172</v>
      </c>
      <c r="CC1348" s="17" t="s">
        <v>138</v>
      </c>
      <c r="CD1348" s="15" t="s">
        <v>138</v>
      </c>
      <c r="CE1348" s="15" t="s">
        <v>176</v>
      </c>
      <c r="CF1348" s="15" t="s">
        <v>138</v>
      </c>
      <c r="CG1348" s="15" t="s">
        <v>138</v>
      </c>
      <c r="CH1348" s="15" t="s">
        <v>177</v>
      </c>
      <c r="CI1348" s="15" t="s">
        <v>138</v>
      </c>
      <c r="CJ1348" s="15" t="s">
        <v>138</v>
      </c>
      <c r="CK1348" s="15" t="s">
        <v>138</v>
      </c>
      <c r="CL1348" s="15" t="s">
        <v>175</v>
      </c>
      <c r="CM1348" s="22" t="s">
        <v>138</v>
      </c>
      <c r="CN1348" s="17" t="s">
        <v>138</v>
      </c>
      <c r="CO1348" s="23" t="s">
        <v>138</v>
      </c>
      <c r="CP1348" s="24" t="s">
        <v>138</v>
      </c>
      <c r="CQ1348" s="23" t="s">
        <v>138</v>
      </c>
      <c r="CR1348" s="23" t="s">
        <v>138</v>
      </c>
      <c r="CS1348" s="23" t="s">
        <v>138</v>
      </c>
      <c r="CT1348" s="24" t="s">
        <v>138</v>
      </c>
      <c r="CU1348" s="23" t="s">
        <v>138</v>
      </c>
      <c r="CV1348" s="24" t="s">
        <v>138</v>
      </c>
      <c r="CW1348" s="23" t="s">
        <v>138</v>
      </c>
      <c r="CX1348" s="24" t="s">
        <v>138</v>
      </c>
      <c r="CY1348" s="23" t="s">
        <v>138</v>
      </c>
      <c r="CZ1348" s="24" t="s">
        <v>138</v>
      </c>
      <c r="DA1348" s="23" t="s">
        <v>138</v>
      </c>
      <c r="DB1348" s="24" t="s">
        <v>138</v>
      </c>
      <c r="DC1348" s="25" t="s">
        <v>138</v>
      </c>
      <c r="DD1348" s="24" t="s">
        <v>138</v>
      </c>
      <c r="DE1348" s="25" t="s">
        <v>138</v>
      </c>
      <c r="DF1348" s="23" t="s">
        <v>138</v>
      </c>
      <c r="DG1348" s="25" t="s">
        <v>138</v>
      </c>
      <c r="DH1348" s="24" t="s">
        <v>138</v>
      </c>
      <c r="DI1348" s="25" t="s">
        <v>138</v>
      </c>
      <c r="DJ1348" s="24" t="s">
        <v>138</v>
      </c>
      <c r="DK1348" s="25" t="s">
        <v>138</v>
      </c>
      <c r="DL1348" s="24" t="s">
        <v>138</v>
      </c>
      <c r="DM1348" s="25" t="s">
        <v>138</v>
      </c>
      <c r="DN1348" s="24" t="s">
        <v>138</v>
      </c>
      <c r="DO1348" s="25" t="s">
        <v>138</v>
      </c>
      <c r="DP1348" s="24" t="s">
        <v>138</v>
      </c>
      <c r="DQ1348" s="24" t="s">
        <v>138</v>
      </c>
      <c r="DR1348" s="26" t="s">
        <v>138</v>
      </c>
      <c r="DS1348" s="23" t="s">
        <v>138</v>
      </c>
      <c r="DT1348" s="24" t="s">
        <v>138</v>
      </c>
      <c r="DU1348" s="26" t="s">
        <v>138</v>
      </c>
      <c r="DV1348" s="23" t="s">
        <v>138</v>
      </c>
      <c r="DW1348" s="24" t="s">
        <v>138</v>
      </c>
      <c r="DX1348" s="27" t="s">
        <v>138</v>
      </c>
      <c r="DY1348" s="23" t="s">
        <v>138</v>
      </c>
      <c r="DZ1348" s="15" t="s">
        <v>178</v>
      </c>
      <c r="EA1348" s="22">
        <v>43351</v>
      </c>
      <c r="EB1348" s="17" t="s">
        <v>138</v>
      </c>
      <c r="EC1348" s="22" t="s">
        <v>138</v>
      </c>
      <c r="ED1348" s="15" t="s">
        <v>138</v>
      </c>
      <c r="EE1348" s="14" t="str">
        <f>HYPERLINK("https://my.pitchbook.com?c=58662-82", "View company online")</f>
        <v>View company online</v>
      </c>
    </row>
    <row r="1349" spans="1:135">
      <c r="A1349" s="28" t="s">
        <v>26010</v>
      </c>
      <c r="B1349" s="28" t="s">
        <v>26011</v>
      </c>
      <c r="C1349" s="28" t="s">
        <v>138</v>
      </c>
      <c r="D1349" s="28" t="s">
        <v>138</v>
      </c>
      <c r="E1349" s="28" t="s">
        <v>26012</v>
      </c>
      <c r="F1349" s="28" t="s">
        <v>26010</v>
      </c>
      <c r="G1349" s="28" t="s">
        <v>26013</v>
      </c>
      <c r="H1349" s="28" t="s">
        <v>322</v>
      </c>
      <c r="I1349" s="28" t="s">
        <v>323</v>
      </c>
      <c r="J1349" s="28" t="s">
        <v>1184</v>
      </c>
      <c r="K1349" s="28" t="s">
        <v>6678</v>
      </c>
      <c r="L1349" s="28" t="s">
        <v>26014</v>
      </c>
      <c r="M1349" s="28" t="s">
        <v>26015</v>
      </c>
      <c r="N1349" s="28" t="s">
        <v>147</v>
      </c>
      <c r="O1349" s="29">
        <v>28.04</v>
      </c>
      <c r="P1349" s="28" t="s">
        <v>148</v>
      </c>
      <c r="Q1349" s="28" t="s">
        <v>149</v>
      </c>
      <c r="R1349" s="28" t="s">
        <v>174</v>
      </c>
      <c r="S1349" s="28" t="s">
        <v>26016</v>
      </c>
      <c r="T1349" s="30">
        <v>35</v>
      </c>
      <c r="U1349" s="28" t="s">
        <v>26017</v>
      </c>
      <c r="V1349" s="28" t="s">
        <v>138</v>
      </c>
      <c r="W1349" s="28" t="s">
        <v>138</v>
      </c>
      <c r="X1349" s="31">
        <v>2012</v>
      </c>
      <c r="Y1349" s="28" t="s">
        <v>138</v>
      </c>
      <c r="Z1349" s="28" t="s">
        <v>138</v>
      </c>
      <c r="AA1349" s="28" t="s">
        <v>138</v>
      </c>
      <c r="AB1349" s="32" t="s">
        <v>138</v>
      </c>
      <c r="AC1349" s="32" t="s">
        <v>138</v>
      </c>
      <c r="AD1349" s="32" t="s">
        <v>138</v>
      </c>
      <c r="AE1349" s="32" t="s">
        <v>138</v>
      </c>
      <c r="AF1349" s="32" t="s">
        <v>138</v>
      </c>
      <c r="AG1349" s="28" t="s">
        <v>138</v>
      </c>
      <c r="AH1349" s="32" t="s">
        <v>138</v>
      </c>
      <c r="AI1349" s="32" t="s">
        <v>138</v>
      </c>
      <c r="AJ1349" s="32" t="s">
        <v>138</v>
      </c>
      <c r="AK1349" s="28" t="s">
        <v>26018</v>
      </c>
      <c r="AL1349" s="28" t="s">
        <v>26019</v>
      </c>
      <c r="AM1349" s="28" t="s">
        <v>4114</v>
      </c>
      <c r="AN1349" s="28" t="s">
        <v>26020</v>
      </c>
      <c r="AO1349" s="28" t="s">
        <v>26021</v>
      </c>
      <c r="AP1349" s="28" t="s">
        <v>665</v>
      </c>
      <c r="AQ1349" s="28" t="s">
        <v>26022</v>
      </c>
      <c r="AR1349" s="28" t="s">
        <v>26023</v>
      </c>
      <c r="AS1349" s="28" t="s">
        <v>668</v>
      </c>
      <c r="AT1349" s="28" t="s">
        <v>200</v>
      </c>
      <c r="AU1349" s="28" t="s">
        <v>691</v>
      </c>
      <c r="AV1349" s="28" t="s">
        <v>162</v>
      </c>
      <c r="AW1349" s="28" t="s">
        <v>26021</v>
      </c>
      <c r="AX1349" s="28" t="s">
        <v>138</v>
      </c>
      <c r="AY1349" s="28" t="s">
        <v>26024</v>
      </c>
      <c r="AZ1349" s="28" t="s">
        <v>164</v>
      </c>
      <c r="BA1349" s="28" t="s">
        <v>165</v>
      </c>
      <c r="BB1349" s="28" t="s">
        <v>26025</v>
      </c>
      <c r="BC1349" s="28" t="s">
        <v>26026</v>
      </c>
      <c r="BD1349" s="33">
        <v>7</v>
      </c>
      <c r="BE1349" s="28" t="s">
        <v>138</v>
      </c>
      <c r="BF1349" s="28" t="s">
        <v>138</v>
      </c>
      <c r="BG1349" s="28" t="s">
        <v>138</v>
      </c>
      <c r="BH1349" s="28" t="s">
        <v>26027</v>
      </c>
      <c r="BI1349" s="28" t="s">
        <v>138</v>
      </c>
      <c r="BJ1349" s="28" t="s">
        <v>138</v>
      </c>
      <c r="BK1349" s="28" t="s">
        <v>17878</v>
      </c>
      <c r="BL1349" s="28" t="s">
        <v>290</v>
      </c>
      <c r="BM1349" s="34">
        <v>41614</v>
      </c>
      <c r="BN1349" s="29">
        <v>3.86</v>
      </c>
      <c r="BO1349" s="28" t="s">
        <v>172</v>
      </c>
      <c r="BP1349" s="29">
        <v>8.44</v>
      </c>
      <c r="BQ1349" s="28" t="s">
        <v>172</v>
      </c>
      <c r="BR1349" s="28" t="s">
        <v>205</v>
      </c>
      <c r="BS1349" s="28" t="s">
        <v>206</v>
      </c>
      <c r="BT1349" s="28" t="s">
        <v>138</v>
      </c>
      <c r="BU1349" s="28" t="s">
        <v>174</v>
      </c>
      <c r="BV1349" s="28" t="s">
        <v>138</v>
      </c>
      <c r="BW1349" s="28" t="s">
        <v>138</v>
      </c>
      <c r="BX1349" s="28" t="s">
        <v>138</v>
      </c>
      <c r="BY1349" s="28" t="s">
        <v>175</v>
      </c>
      <c r="BZ1349" s="34">
        <v>43082</v>
      </c>
      <c r="CA1349" s="29">
        <v>11</v>
      </c>
      <c r="CB1349" s="28" t="s">
        <v>172</v>
      </c>
      <c r="CC1349" s="29">
        <v>51</v>
      </c>
      <c r="CD1349" s="28" t="s">
        <v>172</v>
      </c>
      <c r="CE1349" s="28" t="s">
        <v>205</v>
      </c>
      <c r="CF1349" s="28" t="s">
        <v>720</v>
      </c>
      <c r="CG1349" s="28" t="s">
        <v>138</v>
      </c>
      <c r="CH1349" s="28" t="s">
        <v>174</v>
      </c>
      <c r="CI1349" s="28" t="s">
        <v>138</v>
      </c>
      <c r="CJ1349" s="28" t="s">
        <v>138</v>
      </c>
      <c r="CK1349" s="28" t="s">
        <v>138</v>
      </c>
      <c r="CL1349" s="28" t="s">
        <v>175</v>
      </c>
      <c r="CM1349" s="34" t="s">
        <v>138</v>
      </c>
      <c r="CN1349" s="29" t="s">
        <v>138</v>
      </c>
      <c r="CO1349" s="35">
        <v>0.01</v>
      </c>
      <c r="CP1349" s="36">
        <v>84</v>
      </c>
      <c r="CQ1349" s="35">
        <v>0.01</v>
      </c>
      <c r="CR1349" s="35">
        <v>434.95</v>
      </c>
      <c r="CS1349" s="35">
        <v>0</v>
      </c>
      <c r="CT1349" s="36">
        <v>23</v>
      </c>
      <c r="CU1349" s="35">
        <v>0.01</v>
      </c>
      <c r="CV1349" s="36">
        <v>49</v>
      </c>
      <c r="CW1349" s="35" t="s">
        <v>138</v>
      </c>
      <c r="CX1349" s="36" t="s">
        <v>138</v>
      </c>
      <c r="CY1349" s="35">
        <v>0</v>
      </c>
      <c r="CZ1349" s="36">
        <v>25</v>
      </c>
      <c r="DA1349" s="35">
        <v>0.11</v>
      </c>
      <c r="DB1349" s="36">
        <v>73</v>
      </c>
      <c r="DC1349" s="37">
        <v>2.29</v>
      </c>
      <c r="DD1349" s="36">
        <v>70</v>
      </c>
      <c r="DE1349" s="37">
        <v>-0.01</v>
      </c>
      <c r="DF1349" s="35">
        <v>-0.51</v>
      </c>
      <c r="DG1349" s="37">
        <v>3</v>
      </c>
      <c r="DH1349" s="36">
        <v>74</v>
      </c>
      <c r="DI1349" s="37">
        <v>1.58</v>
      </c>
      <c r="DJ1349" s="36">
        <v>58</v>
      </c>
      <c r="DK1349" s="37" t="s">
        <v>138</v>
      </c>
      <c r="DL1349" s="36" t="s">
        <v>138</v>
      </c>
      <c r="DM1349" s="37">
        <v>3</v>
      </c>
      <c r="DN1349" s="36">
        <v>73</v>
      </c>
      <c r="DO1349" s="37">
        <v>2.99</v>
      </c>
      <c r="DP1349" s="36">
        <v>71</v>
      </c>
      <c r="DQ1349" s="36" t="s">
        <v>138</v>
      </c>
      <c r="DR1349" s="38" t="s">
        <v>138</v>
      </c>
      <c r="DS1349" s="35" t="s">
        <v>138</v>
      </c>
      <c r="DT1349" s="36">
        <v>87</v>
      </c>
      <c r="DU1349" s="38">
        <v>0</v>
      </c>
      <c r="DV1349" s="35">
        <v>0</v>
      </c>
      <c r="DW1349" s="36">
        <v>1071</v>
      </c>
      <c r="DX1349" s="39">
        <v>3</v>
      </c>
      <c r="DY1349" s="35">
        <v>0.28000000000000003</v>
      </c>
      <c r="DZ1349" s="28" t="s">
        <v>178</v>
      </c>
      <c r="EA1349" s="34">
        <v>43399</v>
      </c>
      <c r="EB1349" s="29">
        <v>51</v>
      </c>
      <c r="EC1349" s="34">
        <v>43082</v>
      </c>
      <c r="ED1349" s="28" t="s">
        <v>205</v>
      </c>
      <c r="EE1349" s="40" t="str">
        <f>HYPERLINK("https://my.pitchbook.com?c=61066-90", "View company online")</f>
        <v>View company online</v>
      </c>
    </row>
    <row r="1350" spans="1:135">
      <c r="A1350" s="15" t="s">
        <v>26028</v>
      </c>
      <c r="B1350" s="15" t="s">
        <v>26029</v>
      </c>
      <c r="C1350" s="15" t="s">
        <v>26030</v>
      </c>
      <c r="D1350" s="15" t="s">
        <v>138</v>
      </c>
      <c r="E1350" s="15" t="s">
        <v>26031</v>
      </c>
      <c r="F1350" s="15" t="s">
        <v>26028</v>
      </c>
      <c r="G1350" s="15" t="s">
        <v>26032</v>
      </c>
      <c r="H1350" s="15" t="s">
        <v>322</v>
      </c>
      <c r="I1350" s="15" t="s">
        <v>323</v>
      </c>
      <c r="J1350" s="15" t="s">
        <v>413</v>
      </c>
      <c r="K1350" s="15" t="s">
        <v>26033</v>
      </c>
      <c r="L1350" s="15" t="s">
        <v>2986</v>
      </c>
      <c r="M1350" s="15" t="s">
        <v>26034</v>
      </c>
      <c r="N1350" s="15" t="s">
        <v>147</v>
      </c>
      <c r="O1350" s="17">
        <v>14.89</v>
      </c>
      <c r="P1350" s="15" t="s">
        <v>148</v>
      </c>
      <c r="Q1350" s="15" t="s">
        <v>149</v>
      </c>
      <c r="R1350" s="15" t="s">
        <v>174</v>
      </c>
      <c r="S1350" s="15" t="s">
        <v>26035</v>
      </c>
      <c r="T1350" s="18">
        <v>21</v>
      </c>
      <c r="U1350" s="15" t="s">
        <v>26036</v>
      </c>
      <c r="V1350" s="15" t="s">
        <v>138</v>
      </c>
      <c r="W1350" s="15" t="s">
        <v>138</v>
      </c>
      <c r="X1350" s="19">
        <v>2012</v>
      </c>
      <c r="Y1350" s="15" t="s">
        <v>138</v>
      </c>
      <c r="Z1350" s="15" t="s">
        <v>138</v>
      </c>
      <c r="AA1350" s="15" t="s">
        <v>138</v>
      </c>
      <c r="AB1350" s="20" t="s">
        <v>138</v>
      </c>
      <c r="AC1350" s="20" t="s">
        <v>138</v>
      </c>
      <c r="AD1350" s="20" t="s">
        <v>138</v>
      </c>
      <c r="AE1350" s="20" t="s">
        <v>138</v>
      </c>
      <c r="AF1350" s="20" t="s">
        <v>138</v>
      </c>
      <c r="AG1350" s="15" t="s">
        <v>138</v>
      </c>
      <c r="AH1350" s="20" t="s">
        <v>138</v>
      </c>
      <c r="AI1350" s="20" t="s">
        <v>138</v>
      </c>
      <c r="AJ1350" s="20" t="s">
        <v>138</v>
      </c>
      <c r="AK1350" s="15" t="s">
        <v>26037</v>
      </c>
      <c r="AL1350" s="15" t="s">
        <v>26038</v>
      </c>
      <c r="AM1350" s="15" t="s">
        <v>938</v>
      </c>
      <c r="AN1350" s="15" t="s">
        <v>26039</v>
      </c>
      <c r="AO1350" s="15" t="s">
        <v>138</v>
      </c>
      <c r="AP1350" s="15" t="s">
        <v>665</v>
      </c>
      <c r="AQ1350" s="15" t="s">
        <v>26040</v>
      </c>
      <c r="AR1350" s="15" t="s">
        <v>1115</v>
      </c>
      <c r="AS1350" s="15" t="s">
        <v>668</v>
      </c>
      <c r="AT1350" s="15" t="s">
        <v>200</v>
      </c>
      <c r="AU1350" s="15" t="s">
        <v>3557</v>
      </c>
      <c r="AV1350" s="15" t="s">
        <v>162</v>
      </c>
      <c r="AW1350" s="15" t="s">
        <v>138</v>
      </c>
      <c r="AX1350" s="15" t="s">
        <v>138</v>
      </c>
      <c r="AY1350" s="15" t="s">
        <v>26041</v>
      </c>
      <c r="AZ1350" s="15" t="s">
        <v>164</v>
      </c>
      <c r="BA1350" s="15" t="s">
        <v>165</v>
      </c>
      <c r="BB1350" s="15" t="s">
        <v>26042</v>
      </c>
      <c r="BC1350" s="15" t="s">
        <v>26043</v>
      </c>
      <c r="BD1350" s="21">
        <v>27</v>
      </c>
      <c r="BE1350" s="15" t="s">
        <v>138</v>
      </c>
      <c r="BF1350" s="15" t="s">
        <v>138</v>
      </c>
      <c r="BG1350" s="15" t="s">
        <v>138</v>
      </c>
      <c r="BH1350" s="15" t="s">
        <v>26044</v>
      </c>
      <c r="BI1350" s="15" t="s">
        <v>138</v>
      </c>
      <c r="BJ1350" s="15" t="s">
        <v>138</v>
      </c>
      <c r="BK1350" s="15" t="s">
        <v>3482</v>
      </c>
      <c r="BL1350" s="15" t="s">
        <v>26045</v>
      </c>
      <c r="BM1350" s="22">
        <v>42093</v>
      </c>
      <c r="BN1350" s="17">
        <v>4.84</v>
      </c>
      <c r="BO1350" s="15" t="s">
        <v>172</v>
      </c>
      <c r="BP1350" s="17">
        <v>14.67</v>
      </c>
      <c r="BQ1350" s="15" t="s">
        <v>172</v>
      </c>
      <c r="BR1350" s="15" t="s">
        <v>234</v>
      </c>
      <c r="BS1350" s="15" t="s">
        <v>4410</v>
      </c>
      <c r="BT1350" s="15" t="s">
        <v>138</v>
      </c>
      <c r="BU1350" s="15" t="s">
        <v>174</v>
      </c>
      <c r="BV1350" s="15" t="s">
        <v>1397</v>
      </c>
      <c r="BW1350" s="15" t="s">
        <v>138</v>
      </c>
      <c r="BX1350" s="15" t="s">
        <v>138</v>
      </c>
      <c r="BY1350" s="15" t="s">
        <v>175</v>
      </c>
      <c r="BZ1350" s="22">
        <v>42753</v>
      </c>
      <c r="CA1350" s="17">
        <v>8</v>
      </c>
      <c r="CB1350" s="15" t="s">
        <v>172</v>
      </c>
      <c r="CC1350" s="17">
        <v>32</v>
      </c>
      <c r="CD1350" s="15" t="s">
        <v>172</v>
      </c>
      <c r="CE1350" s="15" t="s">
        <v>205</v>
      </c>
      <c r="CF1350" s="15" t="s">
        <v>206</v>
      </c>
      <c r="CG1350" s="15" t="s">
        <v>138</v>
      </c>
      <c r="CH1350" s="15" t="s">
        <v>174</v>
      </c>
      <c r="CI1350" s="15" t="s">
        <v>138</v>
      </c>
      <c r="CJ1350" s="15" t="s">
        <v>138</v>
      </c>
      <c r="CK1350" s="15" t="s">
        <v>138</v>
      </c>
      <c r="CL1350" s="15" t="s">
        <v>175</v>
      </c>
      <c r="CM1350" s="22">
        <v>42093</v>
      </c>
      <c r="CN1350" s="17" t="s">
        <v>138</v>
      </c>
      <c r="CO1350" s="23">
        <v>-0.02</v>
      </c>
      <c r="CP1350" s="24">
        <v>24</v>
      </c>
      <c r="CQ1350" s="23">
        <v>0</v>
      </c>
      <c r="CR1350" s="23">
        <v>-7.0000000000000007E-2</v>
      </c>
      <c r="CS1350" s="23">
        <v>0</v>
      </c>
      <c r="CT1350" s="24">
        <v>23</v>
      </c>
      <c r="CU1350" s="23">
        <v>-0.03</v>
      </c>
      <c r="CV1350" s="24">
        <v>14</v>
      </c>
      <c r="CW1350" s="23">
        <v>0</v>
      </c>
      <c r="CX1350" s="24">
        <v>13</v>
      </c>
      <c r="CY1350" s="23">
        <v>0</v>
      </c>
      <c r="CZ1350" s="24">
        <v>25</v>
      </c>
      <c r="DA1350" s="23">
        <v>-0.03</v>
      </c>
      <c r="DB1350" s="24">
        <v>17</v>
      </c>
      <c r="DC1350" s="25">
        <v>8.98</v>
      </c>
      <c r="DD1350" s="24">
        <v>89</v>
      </c>
      <c r="DE1350" s="25">
        <v>-0.05</v>
      </c>
      <c r="DF1350" s="23">
        <v>-0.51</v>
      </c>
      <c r="DG1350" s="25">
        <v>1.76</v>
      </c>
      <c r="DH1350" s="24">
        <v>64</v>
      </c>
      <c r="DI1350" s="25">
        <v>16.190000000000001</v>
      </c>
      <c r="DJ1350" s="24">
        <v>89</v>
      </c>
      <c r="DK1350" s="25">
        <v>2.52</v>
      </c>
      <c r="DL1350" s="24">
        <v>69</v>
      </c>
      <c r="DM1350" s="25">
        <v>1</v>
      </c>
      <c r="DN1350" s="24">
        <v>50</v>
      </c>
      <c r="DO1350" s="25">
        <v>16.190000000000001</v>
      </c>
      <c r="DP1350" s="24">
        <v>91</v>
      </c>
      <c r="DQ1350" s="24">
        <v>852</v>
      </c>
      <c r="DR1350" s="26">
        <v>38</v>
      </c>
      <c r="DS1350" s="23">
        <v>4.67</v>
      </c>
      <c r="DT1350" s="24">
        <v>29</v>
      </c>
      <c r="DU1350" s="26">
        <v>1</v>
      </c>
      <c r="DV1350" s="23">
        <v>3.57</v>
      </c>
      <c r="DW1350" s="24">
        <v>5799</v>
      </c>
      <c r="DX1350" s="27">
        <v>-4</v>
      </c>
      <c r="DY1350" s="23">
        <v>-7.0000000000000007E-2</v>
      </c>
      <c r="DZ1350" s="15" t="s">
        <v>178</v>
      </c>
      <c r="EA1350" s="22">
        <v>43468</v>
      </c>
      <c r="EB1350" s="17">
        <v>32</v>
      </c>
      <c r="EC1350" s="22">
        <v>42753</v>
      </c>
      <c r="ED1350" s="15" t="s">
        <v>205</v>
      </c>
      <c r="EE1350" s="14" t="str">
        <f>HYPERLINK("https://my.pitchbook.com?c=91962-28", "View company online")</f>
        <v>View company online</v>
      </c>
    </row>
    <row r="1351" spans="1:135">
      <c r="A1351" s="28" t="s">
        <v>26046</v>
      </c>
      <c r="B1351" s="28" t="s">
        <v>26047</v>
      </c>
      <c r="C1351" s="28" t="s">
        <v>138</v>
      </c>
      <c r="D1351" s="28" t="s">
        <v>138</v>
      </c>
      <c r="E1351" s="28" t="s">
        <v>26048</v>
      </c>
      <c r="F1351" s="28" t="s">
        <v>26046</v>
      </c>
      <c r="G1351" s="28" t="s">
        <v>26049</v>
      </c>
      <c r="H1351" s="28" t="s">
        <v>322</v>
      </c>
      <c r="I1351" s="28" t="s">
        <v>323</v>
      </c>
      <c r="J1351" s="28" t="s">
        <v>1132</v>
      </c>
      <c r="K1351" s="28" t="s">
        <v>5444</v>
      </c>
      <c r="L1351" s="28" t="s">
        <v>5101</v>
      </c>
      <c r="M1351" s="28" t="s">
        <v>26050</v>
      </c>
      <c r="N1351" s="28" t="s">
        <v>147</v>
      </c>
      <c r="O1351" s="29">
        <v>26.2</v>
      </c>
      <c r="P1351" s="28" t="s">
        <v>148</v>
      </c>
      <c r="Q1351" s="28" t="s">
        <v>149</v>
      </c>
      <c r="R1351" s="28" t="s">
        <v>174</v>
      </c>
      <c r="S1351" s="28" t="s">
        <v>26051</v>
      </c>
      <c r="T1351" s="30">
        <v>51</v>
      </c>
      <c r="U1351" s="28" t="s">
        <v>12556</v>
      </c>
      <c r="V1351" s="28" t="s">
        <v>138</v>
      </c>
      <c r="W1351" s="28" t="s">
        <v>138</v>
      </c>
      <c r="X1351" s="31">
        <v>2010</v>
      </c>
      <c r="Y1351" s="28" t="s">
        <v>138</v>
      </c>
      <c r="Z1351" s="28" t="s">
        <v>138</v>
      </c>
      <c r="AA1351" s="28" t="s">
        <v>138</v>
      </c>
      <c r="AB1351" s="32">
        <v>6.5</v>
      </c>
      <c r="AC1351" s="32" t="s">
        <v>138</v>
      </c>
      <c r="AD1351" s="32" t="s">
        <v>138</v>
      </c>
      <c r="AE1351" s="32" t="s">
        <v>138</v>
      </c>
      <c r="AF1351" s="32" t="s">
        <v>138</v>
      </c>
      <c r="AG1351" s="28" t="s">
        <v>514</v>
      </c>
      <c r="AH1351" s="32" t="s">
        <v>138</v>
      </c>
      <c r="AI1351" s="32" t="s">
        <v>138</v>
      </c>
      <c r="AJ1351" s="32" t="s">
        <v>138</v>
      </c>
      <c r="AK1351" s="28" t="s">
        <v>26052</v>
      </c>
      <c r="AL1351" s="28" t="s">
        <v>26053</v>
      </c>
      <c r="AM1351" s="28" t="s">
        <v>566</v>
      </c>
      <c r="AN1351" s="28" t="s">
        <v>26054</v>
      </c>
      <c r="AO1351" s="28" t="s">
        <v>26055</v>
      </c>
      <c r="AP1351" s="28" t="s">
        <v>665</v>
      </c>
      <c r="AQ1351" s="28" t="s">
        <v>26056</v>
      </c>
      <c r="AR1351" s="28" t="s">
        <v>9870</v>
      </c>
      <c r="AS1351" s="28" t="s">
        <v>668</v>
      </c>
      <c r="AT1351" s="28" t="s">
        <v>200</v>
      </c>
      <c r="AU1351" s="28" t="s">
        <v>3477</v>
      </c>
      <c r="AV1351" s="28" t="s">
        <v>162</v>
      </c>
      <c r="AW1351" s="28" t="s">
        <v>26055</v>
      </c>
      <c r="AX1351" s="28" t="s">
        <v>138</v>
      </c>
      <c r="AY1351" s="28" t="s">
        <v>26057</v>
      </c>
      <c r="AZ1351" s="28" t="s">
        <v>164</v>
      </c>
      <c r="BA1351" s="28" t="s">
        <v>165</v>
      </c>
      <c r="BB1351" s="28" t="s">
        <v>26058</v>
      </c>
      <c r="BC1351" s="28" t="s">
        <v>26059</v>
      </c>
      <c r="BD1351" s="33">
        <v>4</v>
      </c>
      <c r="BE1351" s="28" t="s">
        <v>138</v>
      </c>
      <c r="BF1351" s="28" t="s">
        <v>138</v>
      </c>
      <c r="BG1351" s="28" t="s">
        <v>138</v>
      </c>
      <c r="BH1351" s="28" t="s">
        <v>26060</v>
      </c>
      <c r="BI1351" s="28" t="s">
        <v>138</v>
      </c>
      <c r="BJ1351" s="28" t="s">
        <v>138</v>
      </c>
      <c r="BK1351" s="28" t="s">
        <v>11847</v>
      </c>
      <c r="BL1351" s="28" t="s">
        <v>26061</v>
      </c>
      <c r="BM1351" s="34">
        <v>42242</v>
      </c>
      <c r="BN1351" s="29">
        <v>10.199999999999999</v>
      </c>
      <c r="BO1351" s="28" t="s">
        <v>172</v>
      </c>
      <c r="BP1351" s="29">
        <v>33.200000000000003</v>
      </c>
      <c r="BQ1351" s="28" t="s">
        <v>172</v>
      </c>
      <c r="BR1351" s="28" t="s">
        <v>205</v>
      </c>
      <c r="BS1351" s="28" t="s">
        <v>206</v>
      </c>
      <c r="BT1351" s="28" t="s">
        <v>138</v>
      </c>
      <c r="BU1351" s="28" t="s">
        <v>174</v>
      </c>
      <c r="BV1351" s="28" t="s">
        <v>1328</v>
      </c>
      <c r="BW1351" s="28" t="s">
        <v>138</v>
      </c>
      <c r="BX1351" s="28" t="s">
        <v>138</v>
      </c>
      <c r="BY1351" s="28" t="s">
        <v>175</v>
      </c>
      <c r="BZ1351" s="34">
        <v>42802</v>
      </c>
      <c r="CA1351" s="29">
        <v>16</v>
      </c>
      <c r="CB1351" s="28" t="s">
        <v>172</v>
      </c>
      <c r="CC1351" s="29">
        <v>68</v>
      </c>
      <c r="CD1351" s="28" t="s">
        <v>172</v>
      </c>
      <c r="CE1351" s="28" t="s">
        <v>173</v>
      </c>
      <c r="CF1351" s="28" t="s">
        <v>720</v>
      </c>
      <c r="CG1351" s="28" t="s">
        <v>138</v>
      </c>
      <c r="CH1351" s="28" t="s">
        <v>174</v>
      </c>
      <c r="CI1351" s="28" t="s">
        <v>138</v>
      </c>
      <c r="CJ1351" s="28" t="s">
        <v>138</v>
      </c>
      <c r="CK1351" s="28" t="s">
        <v>138</v>
      </c>
      <c r="CL1351" s="28" t="s">
        <v>175</v>
      </c>
      <c r="CM1351" s="34">
        <v>42242</v>
      </c>
      <c r="CN1351" s="29">
        <v>3.56</v>
      </c>
      <c r="CO1351" s="35">
        <v>0.48</v>
      </c>
      <c r="CP1351" s="36">
        <v>95</v>
      </c>
      <c r="CQ1351" s="35">
        <v>0.13</v>
      </c>
      <c r="CR1351" s="35">
        <v>38.28</v>
      </c>
      <c r="CS1351" s="35">
        <v>0.88</v>
      </c>
      <c r="CT1351" s="36">
        <v>96</v>
      </c>
      <c r="CU1351" s="35">
        <v>0.09</v>
      </c>
      <c r="CV1351" s="36">
        <v>66</v>
      </c>
      <c r="CW1351" s="35">
        <v>2.83</v>
      </c>
      <c r="CX1351" s="36">
        <v>91</v>
      </c>
      <c r="CY1351" s="35">
        <v>-1.08</v>
      </c>
      <c r="CZ1351" s="36">
        <v>18</v>
      </c>
      <c r="DA1351" s="35">
        <v>0.2</v>
      </c>
      <c r="DB1351" s="36">
        <v>82</v>
      </c>
      <c r="DC1351" s="37">
        <v>4.21</v>
      </c>
      <c r="DD1351" s="36">
        <v>80</v>
      </c>
      <c r="DE1351" s="37">
        <v>-0.17</v>
      </c>
      <c r="DF1351" s="35">
        <v>-3.9</v>
      </c>
      <c r="DG1351" s="37">
        <v>5.21</v>
      </c>
      <c r="DH1351" s="36">
        <v>83</v>
      </c>
      <c r="DI1351" s="37">
        <v>3.21</v>
      </c>
      <c r="DJ1351" s="36">
        <v>71</v>
      </c>
      <c r="DK1351" s="37">
        <v>6.31</v>
      </c>
      <c r="DL1351" s="36">
        <v>82</v>
      </c>
      <c r="DM1351" s="37">
        <v>4.0999999999999996</v>
      </c>
      <c r="DN1351" s="36">
        <v>79</v>
      </c>
      <c r="DO1351" s="37">
        <v>5.35</v>
      </c>
      <c r="DP1351" s="36">
        <v>80</v>
      </c>
      <c r="DQ1351" s="36">
        <v>2115</v>
      </c>
      <c r="DR1351" s="38">
        <v>145</v>
      </c>
      <c r="DS1351" s="35">
        <v>7.36</v>
      </c>
      <c r="DT1351" s="36">
        <v>118</v>
      </c>
      <c r="DU1351" s="38">
        <v>2</v>
      </c>
      <c r="DV1351" s="35">
        <v>1.72</v>
      </c>
      <c r="DW1351" s="36">
        <v>1918</v>
      </c>
      <c r="DX1351" s="39">
        <v>5</v>
      </c>
      <c r="DY1351" s="35">
        <v>0.26</v>
      </c>
      <c r="DZ1351" s="28" t="s">
        <v>178</v>
      </c>
      <c r="EA1351" s="34">
        <v>43622</v>
      </c>
      <c r="EB1351" s="29">
        <v>68</v>
      </c>
      <c r="EC1351" s="34">
        <v>42802</v>
      </c>
      <c r="ED1351" s="28" t="s">
        <v>173</v>
      </c>
      <c r="EE1351" s="40" t="str">
        <f>HYPERLINK("https://my.pitchbook.com?c=91961-65", "View company online")</f>
        <v>View company online</v>
      </c>
    </row>
    <row r="1352" spans="1:135">
      <c r="A1352" s="15" t="s">
        <v>26062</v>
      </c>
      <c r="B1352" s="15" t="s">
        <v>26063</v>
      </c>
      <c r="C1352" s="15" t="s">
        <v>138</v>
      </c>
      <c r="D1352" s="15" t="s">
        <v>138</v>
      </c>
      <c r="E1352" s="15" t="s">
        <v>26064</v>
      </c>
      <c r="F1352" s="15" t="s">
        <v>26062</v>
      </c>
      <c r="G1352" s="15" t="s">
        <v>26065</v>
      </c>
      <c r="H1352" s="15" t="s">
        <v>322</v>
      </c>
      <c r="I1352" s="15" t="s">
        <v>323</v>
      </c>
      <c r="J1352" s="15" t="s">
        <v>1132</v>
      </c>
      <c r="K1352" s="15" t="s">
        <v>17658</v>
      </c>
      <c r="L1352" s="15" t="s">
        <v>14773</v>
      </c>
      <c r="M1352" s="15" t="s">
        <v>26066</v>
      </c>
      <c r="N1352" s="15" t="s">
        <v>147</v>
      </c>
      <c r="O1352" s="17">
        <v>25.51</v>
      </c>
      <c r="P1352" s="15" t="s">
        <v>148</v>
      </c>
      <c r="Q1352" s="15" t="s">
        <v>149</v>
      </c>
      <c r="R1352" s="15" t="s">
        <v>174</v>
      </c>
      <c r="S1352" s="15" t="s">
        <v>26067</v>
      </c>
      <c r="T1352" s="18">
        <v>11</v>
      </c>
      <c r="U1352" s="15" t="s">
        <v>1356</v>
      </c>
      <c r="V1352" s="15" t="s">
        <v>138</v>
      </c>
      <c r="W1352" s="15" t="s">
        <v>138</v>
      </c>
      <c r="X1352" s="19">
        <v>2016</v>
      </c>
      <c r="Y1352" s="15" t="s">
        <v>138</v>
      </c>
      <c r="Z1352" s="15" t="s">
        <v>138</v>
      </c>
      <c r="AA1352" s="15" t="s">
        <v>138</v>
      </c>
      <c r="AB1352" s="20" t="s">
        <v>138</v>
      </c>
      <c r="AC1352" s="20" t="s">
        <v>138</v>
      </c>
      <c r="AD1352" s="20" t="s">
        <v>138</v>
      </c>
      <c r="AE1352" s="20" t="s">
        <v>138</v>
      </c>
      <c r="AF1352" s="20" t="s">
        <v>138</v>
      </c>
      <c r="AG1352" s="15" t="s">
        <v>138</v>
      </c>
      <c r="AH1352" s="20" t="s">
        <v>138</v>
      </c>
      <c r="AI1352" s="20" t="s">
        <v>138</v>
      </c>
      <c r="AJ1352" s="20" t="s">
        <v>138</v>
      </c>
      <c r="AK1352" s="15" t="s">
        <v>26068</v>
      </c>
      <c r="AL1352" s="15" t="s">
        <v>26069</v>
      </c>
      <c r="AM1352" s="15" t="s">
        <v>221</v>
      </c>
      <c r="AN1352" s="15" t="s">
        <v>26070</v>
      </c>
      <c r="AO1352" s="15" t="s">
        <v>19152</v>
      </c>
      <c r="AP1352" s="15" t="s">
        <v>665</v>
      </c>
      <c r="AQ1352" s="15" t="s">
        <v>26071</v>
      </c>
      <c r="AR1352" s="15" t="s">
        <v>138</v>
      </c>
      <c r="AS1352" s="15" t="s">
        <v>668</v>
      </c>
      <c r="AT1352" s="15" t="s">
        <v>200</v>
      </c>
      <c r="AU1352" s="15" t="s">
        <v>3928</v>
      </c>
      <c r="AV1352" s="15" t="s">
        <v>162</v>
      </c>
      <c r="AW1352" s="15" t="s">
        <v>19152</v>
      </c>
      <c r="AX1352" s="15" t="s">
        <v>19152</v>
      </c>
      <c r="AY1352" s="15" t="s">
        <v>138</v>
      </c>
      <c r="AZ1352" s="15" t="s">
        <v>164</v>
      </c>
      <c r="BA1352" s="15" t="s">
        <v>165</v>
      </c>
      <c r="BB1352" s="15" t="s">
        <v>26072</v>
      </c>
      <c r="BC1352" s="15" t="s">
        <v>26073</v>
      </c>
      <c r="BD1352" s="21">
        <v>27</v>
      </c>
      <c r="BE1352" s="15" t="s">
        <v>138</v>
      </c>
      <c r="BF1352" s="15" t="s">
        <v>26074</v>
      </c>
      <c r="BG1352" s="15" t="s">
        <v>138</v>
      </c>
      <c r="BH1352" s="15" t="s">
        <v>26075</v>
      </c>
      <c r="BI1352" s="15" t="s">
        <v>26076</v>
      </c>
      <c r="BJ1352" s="15" t="s">
        <v>138</v>
      </c>
      <c r="BK1352" s="15" t="s">
        <v>26077</v>
      </c>
      <c r="BL1352" s="15" t="s">
        <v>3482</v>
      </c>
      <c r="BM1352" s="22">
        <v>42370</v>
      </c>
      <c r="BN1352" s="17">
        <v>0.08</v>
      </c>
      <c r="BO1352" s="15" t="s">
        <v>172</v>
      </c>
      <c r="BP1352" s="17" t="s">
        <v>138</v>
      </c>
      <c r="BQ1352" s="15" t="s">
        <v>138</v>
      </c>
      <c r="BR1352" s="15" t="s">
        <v>316</v>
      </c>
      <c r="BS1352" s="15" t="s">
        <v>138</v>
      </c>
      <c r="BT1352" s="15" t="s">
        <v>138</v>
      </c>
      <c r="BU1352" s="15" t="s">
        <v>177</v>
      </c>
      <c r="BV1352" s="15" t="s">
        <v>138</v>
      </c>
      <c r="BW1352" s="15" t="s">
        <v>138</v>
      </c>
      <c r="BX1352" s="15" t="s">
        <v>138</v>
      </c>
      <c r="BY1352" s="15" t="s">
        <v>175</v>
      </c>
      <c r="BZ1352" s="22">
        <v>43387</v>
      </c>
      <c r="CA1352" s="17">
        <v>10</v>
      </c>
      <c r="CB1352" s="15" t="s">
        <v>172</v>
      </c>
      <c r="CC1352" s="17" t="s">
        <v>138</v>
      </c>
      <c r="CD1352" s="15" t="s">
        <v>138</v>
      </c>
      <c r="CE1352" s="15" t="s">
        <v>205</v>
      </c>
      <c r="CF1352" s="15" t="s">
        <v>206</v>
      </c>
      <c r="CG1352" s="15" t="s">
        <v>138</v>
      </c>
      <c r="CH1352" s="15" t="s">
        <v>174</v>
      </c>
      <c r="CI1352" s="15" t="s">
        <v>138</v>
      </c>
      <c r="CJ1352" s="15" t="s">
        <v>138</v>
      </c>
      <c r="CK1352" s="15" t="s">
        <v>138</v>
      </c>
      <c r="CL1352" s="15" t="s">
        <v>175</v>
      </c>
      <c r="CM1352" s="22" t="s">
        <v>138</v>
      </c>
      <c r="CN1352" s="17" t="s">
        <v>138</v>
      </c>
      <c r="CO1352" s="23">
        <v>2.91</v>
      </c>
      <c r="CP1352" s="24">
        <v>100</v>
      </c>
      <c r="CQ1352" s="23">
        <v>-0.02</v>
      </c>
      <c r="CR1352" s="23">
        <v>-0.79</v>
      </c>
      <c r="CS1352" s="23">
        <v>4.5</v>
      </c>
      <c r="CT1352" s="24">
        <v>100</v>
      </c>
      <c r="CU1352" s="23">
        <v>1.31</v>
      </c>
      <c r="CV1352" s="24">
        <v>99</v>
      </c>
      <c r="CW1352" s="23">
        <v>10.220000000000001</v>
      </c>
      <c r="CX1352" s="24">
        <v>100</v>
      </c>
      <c r="CY1352" s="23">
        <v>-1.22</v>
      </c>
      <c r="CZ1352" s="24">
        <v>17</v>
      </c>
      <c r="DA1352" s="23">
        <v>1.31</v>
      </c>
      <c r="DB1352" s="24">
        <v>99</v>
      </c>
      <c r="DC1352" s="25">
        <v>26.57</v>
      </c>
      <c r="DD1352" s="24">
        <v>96</v>
      </c>
      <c r="DE1352" s="25">
        <v>0.08</v>
      </c>
      <c r="DF1352" s="23">
        <v>0.32</v>
      </c>
      <c r="DG1352" s="25">
        <v>11.13</v>
      </c>
      <c r="DH1352" s="24">
        <v>90</v>
      </c>
      <c r="DI1352" s="25">
        <v>42.01</v>
      </c>
      <c r="DJ1352" s="24">
        <v>94</v>
      </c>
      <c r="DK1352" s="25">
        <v>6.43</v>
      </c>
      <c r="DL1352" s="24">
        <v>82</v>
      </c>
      <c r="DM1352" s="25">
        <v>15.83</v>
      </c>
      <c r="DN1352" s="24">
        <v>93</v>
      </c>
      <c r="DO1352" s="25">
        <v>42.01</v>
      </c>
      <c r="DP1352" s="24">
        <v>96</v>
      </c>
      <c r="DQ1352" s="24">
        <v>2165</v>
      </c>
      <c r="DR1352" s="26">
        <v>125</v>
      </c>
      <c r="DS1352" s="23">
        <v>6.13</v>
      </c>
      <c r="DT1352" s="24">
        <v>459</v>
      </c>
      <c r="DU1352" s="26">
        <v>-1</v>
      </c>
      <c r="DV1352" s="23">
        <v>-0.22</v>
      </c>
      <c r="DW1352" s="24">
        <v>14979</v>
      </c>
      <c r="DX1352" s="27">
        <v>153</v>
      </c>
      <c r="DY1352" s="23">
        <v>1.03</v>
      </c>
      <c r="DZ1352" s="15" t="s">
        <v>178</v>
      </c>
      <c r="EA1352" s="22">
        <v>43621</v>
      </c>
      <c r="EB1352" s="17">
        <v>31</v>
      </c>
      <c r="EC1352" s="22">
        <v>42944</v>
      </c>
      <c r="ED1352" s="15" t="s">
        <v>205</v>
      </c>
      <c r="EE1352" s="14" t="str">
        <f>HYPERLINK("https://my.pitchbook.com?c=164343-88", "View company online")</f>
        <v>View company online</v>
      </c>
    </row>
    <row r="1353" spans="1:135">
      <c r="A1353" s="28" t="s">
        <v>26078</v>
      </c>
      <c r="B1353" s="28" t="s">
        <v>26079</v>
      </c>
      <c r="C1353" s="28" t="s">
        <v>138</v>
      </c>
      <c r="D1353" s="28" t="s">
        <v>26080</v>
      </c>
      <c r="E1353" s="28" t="s">
        <v>26081</v>
      </c>
      <c r="F1353" s="28" t="s">
        <v>26078</v>
      </c>
      <c r="G1353" s="28" t="s">
        <v>26082</v>
      </c>
      <c r="H1353" s="28" t="s">
        <v>322</v>
      </c>
      <c r="I1353" s="28" t="s">
        <v>323</v>
      </c>
      <c r="J1353" s="28" t="s">
        <v>324</v>
      </c>
      <c r="K1353" s="28" t="s">
        <v>325</v>
      </c>
      <c r="L1353" s="28" t="s">
        <v>4640</v>
      </c>
      <c r="M1353" s="28" t="s">
        <v>26083</v>
      </c>
      <c r="N1353" s="28" t="s">
        <v>147</v>
      </c>
      <c r="O1353" s="29">
        <v>0.12</v>
      </c>
      <c r="P1353" s="28" t="s">
        <v>148</v>
      </c>
      <c r="Q1353" s="28" t="s">
        <v>149</v>
      </c>
      <c r="R1353" s="28" t="s">
        <v>174</v>
      </c>
      <c r="S1353" s="28" t="s">
        <v>26084</v>
      </c>
      <c r="T1353" s="30" t="s">
        <v>138</v>
      </c>
      <c r="U1353" s="28" t="s">
        <v>138</v>
      </c>
      <c r="V1353" s="28" t="s">
        <v>138</v>
      </c>
      <c r="W1353" s="28" t="s">
        <v>138</v>
      </c>
      <c r="X1353" s="31">
        <v>2016</v>
      </c>
      <c r="Y1353" s="28" t="s">
        <v>138</v>
      </c>
      <c r="Z1353" s="28" t="s">
        <v>138</v>
      </c>
      <c r="AA1353" s="28" t="s">
        <v>138</v>
      </c>
      <c r="AB1353" s="32" t="s">
        <v>138</v>
      </c>
      <c r="AC1353" s="32" t="s">
        <v>138</v>
      </c>
      <c r="AD1353" s="32" t="s">
        <v>138</v>
      </c>
      <c r="AE1353" s="32" t="s">
        <v>138</v>
      </c>
      <c r="AF1353" s="32" t="s">
        <v>138</v>
      </c>
      <c r="AG1353" s="28" t="s">
        <v>138</v>
      </c>
      <c r="AH1353" s="32" t="s">
        <v>138</v>
      </c>
      <c r="AI1353" s="32" t="s">
        <v>138</v>
      </c>
      <c r="AJ1353" s="32" t="s">
        <v>138</v>
      </c>
      <c r="AK1353" s="28" t="s">
        <v>26085</v>
      </c>
      <c r="AL1353" s="28" t="s">
        <v>26086</v>
      </c>
      <c r="AM1353" s="28" t="s">
        <v>304</v>
      </c>
      <c r="AN1353" s="28" t="s">
        <v>26087</v>
      </c>
      <c r="AO1353" s="28" t="s">
        <v>138</v>
      </c>
      <c r="AP1353" s="28" t="s">
        <v>665</v>
      </c>
      <c r="AQ1353" s="28" t="s">
        <v>26088</v>
      </c>
      <c r="AR1353" s="28" t="s">
        <v>138</v>
      </c>
      <c r="AS1353" s="28" t="s">
        <v>668</v>
      </c>
      <c r="AT1353" s="28" t="s">
        <v>200</v>
      </c>
      <c r="AU1353" s="28" t="s">
        <v>1960</v>
      </c>
      <c r="AV1353" s="28" t="s">
        <v>162</v>
      </c>
      <c r="AW1353" s="28" t="s">
        <v>138</v>
      </c>
      <c r="AX1353" s="28" t="s">
        <v>138</v>
      </c>
      <c r="AY1353" s="28" t="s">
        <v>26089</v>
      </c>
      <c r="AZ1353" s="28" t="s">
        <v>164</v>
      </c>
      <c r="BA1353" s="28" t="s">
        <v>165</v>
      </c>
      <c r="BB1353" s="28" t="s">
        <v>26090</v>
      </c>
      <c r="BC1353" s="28" t="s">
        <v>26091</v>
      </c>
      <c r="BD1353" s="33">
        <v>21</v>
      </c>
      <c r="BE1353" s="28" t="s">
        <v>138</v>
      </c>
      <c r="BF1353" s="28" t="s">
        <v>138</v>
      </c>
      <c r="BG1353" s="28" t="s">
        <v>138</v>
      </c>
      <c r="BH1353" s="28" t="s">
        <v>26092</v>
      </c>
      <c r="BI1353" s="28" t="s">
        <v>138</v>
      </c>
      <c r="BJ1353" s="28" t="s">
        <v>138</v>
      </c>
      <c r="BK1353" s="28" t="s">
        <v>138</v>
      </c>
      <c r="BL1353" s="28" t="s">
        <v>138</v>
      </c>
      <c r="BM1353" s="34">
        <v>42815</v>
      </c>
      <c r="BN1353" s="29">
        <v>0.12</v>
      </c>
      <c r="BO1353" s="28" t="s">
        <v>172</v>
      </c>
      <c r="BP1353" s="29">
        <v>1.71</v>
      </c>
      <c r="BQ1353" s="28" t="s">
        <v>172</v>
      </c>
      <c r="BR1353" s="28" t="s">
        <v>316</v>
      </c>
      <c r="BS1353" s="28" t="s">
        <v>138</v>
      </c>
      <c r="BT1353" s="28" t="s">
        <v>138</v>
      </c>
      <c r="BU1353" s="28" t="s">
        <v>177</v>
      </c>
      <c r="BV1353" s="28" t="s">
        <v>138</v>
      </c>
      <c r="BW1353" s="28" t="s">
        <v>138</v>
      </c>
      <c r="BX1353" s="28" t="s">
        <v>138</v>
      </c>
      <c r="BY1353" s="28" t="s">
        <v>175</v>
      </c>
      <c r="BZ1353" s="34" t="s">
        <v>138</v>
      </c>
      <c r="CA1353" s="29" t="s">
        <v>138</v>
      </c>
      <c r="CB1353" s="28" t="s">
        <v>138</v>
      </c>
      <c r="CC1353" s="29" t="s">
        <v>138</v>
      </c>
      <c r="CD1353" s="28" t="s">
        <v>138</v>
      </c>
      <c r="CE1353" s="28" t="s">
        <v>205</v>
      </c>
      <c r="CF1353" s="28" t="s">
        <v>138</v>
      </c>
      <c r="CG1353" s="28" t="s">
        <v>138</v>
      </c>
      <c r="CH1353" s="28" t="s">
        <v>174</v>
      </c>
      <c r="CI1353" s="28" t="s">
        <v>138</v>
      </c>
      <c r="CJ1353" s="28" t="s">
        <v>138</v>
      </c>
      <c r="CK1353" s="28" t="s">
        <v>138</v>
      </c>
      <c r="CL1353" s="28" t="s">
        <v>175</v>
      </c>
      <c r="CM1353" s="34" t="s">
        <v>138</v>
      </c>
      <c r="CN1353" s="29" t="s">
        <v>138</v>
      </c>
      <c r="CO1353" s="35">
        <v>0.22</v>
      </c>
      <c r="CP1353" s="36">
        <v>93</v>
      </c>
      <c r="CQ1353" s="35">
        <v>-0.02</v>
      </c>
      <c r="CR1353" s="35">
        <v>-8.4600000000000009</v>
      </c>
      <c r="CS1353" s="35">
        <v>-0.27</v>
      </c>
      <c r="CT1353" s="36">
        <v>21</v>
      </c>
      <c r="CU1353" s="35">
        <v>0.71</v>
      </c>
      <c r="CV1353" s="36">
        <v>96</v>
      </c>
      <c r="CW1353" s="35">
        <v>-1.49</v>
      </c>
      <c r="CX1353" s="36">
        <v>8</v>
      </c>
      <c r="CY1353" s="35">
        <v>0.94</v>
      </c>
      <c r="CZ1353" s="36">
        <v>99</v>
      </c>
      <c r="DA1353" s="35">
        <v>0.43</v>
      </c>
      <c r="DB1353" s="36">
        <v>93</v>
      </c>
      <c r="DC1353" s="37">
        <v>10.73</v>
      </c>
      <c r="DD1353" s="36">
        <v>91</v>
      </c>
      <c r="DE1353" s="37">
        <v>-0.76</v>
      </c>
      <c r="DF1353" s="35">
        <v>-6.62</v>
      </c>
      <c r="DG1353" s="37">
        <v>18.47</v>
      </c>
      <c r="DH1353" s="36">
        <v>94</v>
      </c>
      <c r="DI1353" s="37">
        <v>2.99</v>
      </c>
      <c r="DJ1353" s="36">
        <v>69</v>
      </c>
      <c r="DK1353" s="37">
        <v>23.56</v>
      </c>
      <c r="DL1353" s="36">
        <v>93</v>
      </c>
      <c r="DM1353" s="37">
        <v>13.38</v>
      </c>
      <c r="DN1353" s="36">
        <v>91</v>
      </c>
      <c r="DO1353" s="37">
        <v>5.7</v>
      </c>
      <c r="DP1353" s="36">
        <v>81</v>
      </c>
      <c r="DQ1353" s="36">
        <v>8010</v>
      </c>
      <c r="DR1353" s="38">
        <v>214</v>
      </c>
      <c r="DS1353" s="35">
        <v>2.74</v>
      </c>
      <c r="DT1353" s="36">
        <v>388</v>
      </c>
      <c r="DU1353" s="38">
        <v>0</v>
      </c>
      <c r="DV1353" s="35">
        <v>0</v>
      </c>
      <c r="DW1353" s="36">
        <v>2036</v>
      </c>
      <c r="DX1353" s="39">
        <v>8</v>
      </c>
      <c r="DY1353" s="35">
        <v>0.39</v>
      </c>
      <c r="DZ1353" s="28" t="s">
        <v>178</v>
      </c>
      <c r="EA1353" s="34">
        <v>43510</v>
      </c>
      <c r="EB1353" s="29">
        <v>1.71</v>
      </c>
      <c r="EC1353" s="34">
        <v>42815</v>
      </c>
      <c r="ED1353" s="28" t="s">
        <v>316</v>
      </c>
      <c r="EE1353" s="40" t="str">
        <f>HYPERLINK("https://my.pitchbook.com?c=170988-94", "View company online")</f>
        <v>View company online</v>
      </c>
    </row>
    <row r="1354" spans="1:135">
      <c r="A1354" s="15" t="s">
        <v>26093</v>
      </c>
      <c r="B1354" s="15" t="s">
        <v>26094</v>
      </c>
      <c r="C1354" s="15" t="s">
        <v>138</v>
      </c>
      <c r="D1354" s="15" t="s">
        <v>26095</v>
      </c>
      <c r="E1354" s="15" t="s">
        <v>138</v>
      </c>
      <c r="F1354" s="15" t="s">
        <v>26093</v>
      </c>
      <c r="G1354" s="15" t="s">
        <v>26096</v>
      </c>
      <c r="H1354" s="15" t="s">
        <v>141</v>
      </c>
      <c r="I1354" s="15" t="s">
        <v>142</v>
      </c>
      <c r="J1354" s="15" t="s">
        <v>4910</v>
      </c>
      <c r="K1354" s="15" t="s">
        <v>26097</v>
      </c>
      <c r="L1354" s="15" t="s">
        <v>7679</v>
      </c>
      <c r="M1354" s="15" t="s">
        <v>26098</v>
      </c>
      <c r="N1354" s="15" t="s">
        <v>147</v>
      </c>
      <c r="O1354" s="17">
        <v>3.33</v>
      </c>
      <c r="P1354" s="15" t="s">
        <v>148</v>
      </c>
      <c r="Q1354" s="15" t="s">
        <v>149</v>
      </c>
      <c r="R1354" s="15" t="s">
        <v>328</v>
      </c>
      <c r="S1354" s="15" t="s">
        <v>26099</v>
      </c>
      <c r="T1354" s="18">
        <v>15</v>
      </c>
      <c r="U1354" s="15" t="s">
        <v>26100</v>
      </c>
      <c r="V1354" s="15" t="s">
        <v>138</v>
      </c>
      <c r="W1354" s="15" t="s">
        <v>138</v>
      </c>
      <c r="X1354" s="19">
        <v>2011</v>
      </c>
      <c r="Y1354" s="15" t="s">
        <v>138</v>
      </c>
      <c r="Z1354" s="15" t="s">
        <v>138</v>
      </c>
      <c r="AA1354" s="15" t="s">
        <v>138</v>
      </c>
      <c r="AB1354" s="20" t="s">
        <v>138</v>
      </c>
      <c r="AC1354" s="20" t="s">
        <v>138</v>
      </c>
      <c r="AD1354" s="20" t="s">
        <v>138</v>
      </c>
      <c r="AE1354" s="20" t="s">
        <v>138</v>
      </c>
      <c r="AF1354" s="20" t="s">
        <v>138</v>
      </c>
      <c r="AG1354" s="15" t="s">
        <v>138</v>
      </c>
      <c r="AH1354" s="20" t="s">
        <v>138</v>
      </c>
      <c r="AI1354" s="20" t="s">
        <v>138</v>
      </c>
      <c r="AJ1354" s="20" t="s">
        <v>138</v>
      </c>
      <c r="AK1354" s="15" t="s">
        <v>26101</v>
      </c>
      <c r="AL1354" s="15" t="s">
        <v>26102</v>
      </c>
      <c r="AM1354" s="15" t="s">
        <v>5468</v>
      </c>
      <c r="AN1354" s="15" t="s">
        <v>26103</v>
      </c>
      <c r="AO1354" s="15" t="s">
        <v>26104</v>
      </c>
      <c r="AP1354" s="15" t="s">
        <v>26105</v>
      </c>
      <c r="AQ1354" s="15" t="s">
        <v>26106</v>
      </c>
      <c r="AR1354" s="15" t="s">
        <v>138</v>
      </c>
      <c r="AS1354" s="15" t="s">
        <v>26107</v>
      </c>
      <c r="AT1354" s="15" t="s">
        <v>138</v>
      </c>
      <c r="AU1354" s="15" t="s">
        <v>26108</v>
      </c>
      <c r="AV1354" s="15" t="s">
        <v>946</v>
      </c>
      <c r="AW1354" s="15" t="s">
        <v>26104</v>
      </c>
      <c r="AX1354" s="15" t="s">
        <v>26109</v>
      </c>
      <c r="AY1354" s="15" t="s">
        <v>26110</v>
      </c>
      <c r="AZ1354" s="15" t="s">
        <v>530</v>
      </c>
      <c r="BA1354" s="15" t="s">
        <v>531</v>
      </c>
      <c r="BB1354" s="15" t="s">
        <v>26111</v>
      </c>
      <c r="BC1354" s="15" t="s">
        <v>26112</v>
      </c>
      <c r="BD1354" s="21">
        <v>4</v>
      </c>
      <c r="BE1354" s="15" t="s">
        <v>138</v>
      </c>
      <c r="BF1354" s="15" t="s">
        <v>138</v>
      </c>
      <c r="BG1354" s="15" t="s">
        <v>138</v>
      </c>
      <c r="BH1354" s="15" t="s">
        <v>26113</v>
      </c>
      <c r="BI1354" s="15" t="s">
        <v>138</v>
      </c>
      <c r="BJ1354" s="15" t="s">
        <v>138</v>
      </c>
      <c r="BK1354" s="15" t="s">
        <v>26114</v>
      </c>
      <c r="BL1354" s="15" t="s">
        <v>26115</v>
      </c>
      <c r="BM1354" s="22">
        <v>40603</v>
      </c>
      <c r="BN1354" s="17" t="s">
        <v>138</v>
      </c>
      <c r="BO1354" s="15" t="s">
        <v>138</v>
      </c>
      <c r="BP1354" s="17" t="s">
        <v>138</v>
      </c>
      <c r="BQ1354" s="15" t="s">
        <v>138</v>
      </c>
      <c r="BR1354" s="15" t="s">
        <v>173</v>
      </c>
      <c r="BS1354" s="15" t="s">
        <v>138</v>
      </c>
      <c r="BT1354" s="15" t="s">
        <v>138</v>
      </c>
      <c r="BU1354" s="15" t="s">
        <v>174</v>
      </c>
      <c r="BV1354" s="15" t="s">
        <v>138</v>
      </c>
      <c r="BW1354" s="15" t="s">
        <v>138</v>
      </c>
      <c r="BX1354" s="15" t="s">
        <v>138</v>
      </c>
      <c r="BY1354" s="15" t="s">
        <v>175</v>
      </c>
      <c r="BZ1354" s="22">
        <v>43291</v>
      </c>
      <c r="CA1354" s="17" t="s">
        <v>138</v>
      </c>
      <c r="CB1354" s="15" t="s">
        <v>138</v>
      </c>
      <c r="CC1354" s="17" t="s">
        <v>138</v>
      </c>
      <c r="CD1354" s="15" t="s">
        <v>138</v>
      </c>
      <c r="CE1354" s="15" t="s">
        <v>173</v>
      </c>
      <c r="CF1354" s="15" t="s">
        <v>317</v>
      </c>
      <c r="CG1354" s="15" t="s">
        <v>138</v>
      </c>
      <c r="CH1354" s="15" t="s">
        <v>174</v>
      </c>
      <c r="CI1354" s="15" t="s">
        <v>138</v>
      </c>
      <c r="CJ1354" s="15" t="s">
        <v>138</v>
      </c>
      <c r="CK1354" s="15" t="s">
        <v>138</v>
      </c>
      <c r="CL1354" s="15" t="s">
        <v>175</v>
      </c>
      <c r="CM1354" s="22">
        <v>42401</v>
      </c>
      <c r="CN1354" s="17">
        <v>3.33</v>
      </c>
      <c r="CO1354" s="23">
        <v>0</v>
      </c>
      <c r="CP1354" s="24">
        <v>26</v>
      </c>
      <c r="CQ1354" s="23">
        <v>0</v>
      </c>
      <c r="CR1354" s="23">
        <v>0</v>
      </c>
      <c r="CS1354" s="23">
        <v>0</v>
      </c>
      <c r="CT1354" s="24">
        <v>23</v>
      </c>
      <c r="CU1354" s="23" t="s">
        <v>138</v>
      </c>
      <c r="CV1354" s="24" t="s">
        <v>138</v>
      </c>
      <c r="CW1354" s="23" t="s">
        <v>138</v>
      </c>
      <c r="CX1354" s="24" t="s">
        <v>138</v>
      </c>
      <c r="CY1354" s="23">
        <v>0</v>
      </c>
      <c r="CZ1354" s="24">
        <v>25</v>
      </c>
      <c r="DA1354" s="23" t="s">
        <v>138</v>
      </c>
      <c r="DB1354" s="24" t="s">
        <v>138</v>
      </c>
      <c r="DC1354" s="25">
        <v>0.76</v>
      </c>
      <c r="DD1354" s="24">
        <v>44</v>
      </c>
      <c r="DE1354" s="25">
        <v>0</v>
      </c>
      <c r="DF1354" s="23">
        <v>0</v>
      </c>
      <c r="DG1354" s="25">
        <v>0.76</v>
      </c>
      <c r="DH1354" s="24">
        <v>44</v>
      </c>
      <c r="DI1354" s="25" t="s">
        <v>138</v>
      </c>
      <c r="DJ1354" s="24" t="s">
        <v>138</v>
      </c>
      <c r="DK1354" s="25" t="s">
        <v>138</v>
      </c>
      <c r="DL1354" s="24" t="s">
        <v>138</v>
      </c>
      <c r="DM1354" s="25">
        <v>0.76</v>
      </c>
      <c r="DN1354" s="24">
        <v>44</v>
      </c>
      <c r="DO1354" s="25" t="s">
        <v>138</v>
      </c>
      <c r="DP1354" s="24" t="s">
        <v>138</v>
      </c>
      <c r="DQ1354" s="24" t="s">
        <v>138</v>
      </c>
      <c r="DR1354" s="26" t="s">
        <v>138</v>
      </c>
      <c r="DS1354" s="23" t="s">
        <v>138</v>
      </c>
      <c r="DT1354" s="24">
        <v>22</v>
      </c>
      <c r="DU1354" s="26">
        <v>0</v>
      </c>
      <c r="DV1354" s="23">
        <v>0</v>
      </c>
      <c r="DW1354" s="24" t="s">
        <v>138</v>
      </c>
      <c r="DX1354" s="27" t="s">
        <v>138</v>
      </c>
      <c r="DY1354" s="23" t="s">
        <v>138</v>
      </c>
      <c r="DZ1354" s="15" t="s">
        <v>178</v>
      </c>
      <c r="EA1354" s="22">
        <v>43448</v>
      </c>
      <c r="EB1354" s="17" t="s">
        <v>138</v>
      </c>
      <c r="EC1354" s="22" t="s">
        <v>138</v>
      </c>
      <c r="ED1354" s="15" t="s">
        <v>138</v>
      </c>
      <c r="EE1354" s="14" t="str">
        <f>HYPERLINK("https://my.pitchbook.com?c=163118-17", "View company online")</f>
        <v>View company online</v>
      </c>
    </row>
    <row r="1355" spans="1:135">
      <c r="A1355" s="28" t="s">
        <v>26116</v>
      </c>
      <c r="B1355" s="28" t="s">
        <v>26117</v>
      </c>
      <c r="C1355" s="28" t="s">
        <v>138</v>
      </c>
      <c r="D1355" s="28" t="s">
        <v>26118</v>
      </c>
      <c r="E1355" s="28" t="s">
        <v>138</v>
      </c>
      <c r="F1355" s="28" t="s">
        <v>26116</v>
      </c>
      <c r="G1355" s="28" t="s">
        <v>26119</v>
      </c>
      <c r="H1355" s="28" t="s">
        <v>322</v>
      </c>
      <c r="I1355" s="28" t="s">
        <v>323</v>
      </c>
      <c r="J1355" s="28" t="s">
        <v>461</v>
      </c>
      <c r="K1355" s="28" t="s">
        <v>26120</v>
      </c>
      <c r="L1355" s="28" t="s">
        <v>20572</v>
      </c>
      <c r="M1355" s="28" t="s">
        <v>26121</v>
      </c>
      <c r="N1355" s="28" t="s">
        <v>147</v>
      </c>
      <c r="O1355" s="29" t="s">
        <v>138</v>
      </c>
      <c r="P1355" s="28" t="s">
        <v>148</v>
      </c>
      <c r="Q1355" s="28" t="s">
        <v>149</v>
      </c>
      <c r="R1355" s="28" t="s">
        <v>174</v>
      </c>
      <c r="S1355" s="28" t="s">
        <v>26122</v>
      </c>
      <c r="T1355" s="30" t="s">
        <v>138</v>
      </c>
      <c r="U1355" s="28" t="s">
        <v>138</v>
      </c>
      <c r="V1355" s="28" t="s">
        <v>138</v>
      </c>
      <c r="W1355" s="28" t="s">
        <v>138</v>
      </c>
      <c r="X1355" s="31">
        <v>2016</v>
      </c>
      <c r="Y1355" s="28" t="s">
        <v>138</v>
      </c>
      <c r="Z1355" s="28" t="s">
        <v>138</v>
      </c>
      <c r="AA1355" s="28" t="s">
        <v>138</v>
      </c>
      <c r="AB1355" s="32" t="s">
        <v>138</v>
      </c>
      <c r="AC1355" s="32" t="s">
        <v>138</v>
      </c>
      <c r="AD1355" s="32" t="s">
        <v>138</v>
      </c>
      <c r="AE1355" s="32" t="s">
        <v>138</v>
      </c>
      <c r="AF1355" s="32" t="s">
        <v>138</v>
      </c>
      <c r="AG1355" s="28" t="s">
        <v>138</v>
      </c>
      <c r="AH1355" s="32" t="s">
        <v>138</v>
      </c>
      <c r="AI1355" s="32" t="s">
        <v>138</v>
      </c>
      <c r="AJ1355" s="32" t="s">
        <v>138</v>
      </c>
      <c r="AK1355" s="28" t="s">
        <v>26123</v>
      </c>
      <c r="AL1355" s="28" t="s">
        <v>26124</v>
      </c>
      <c r="AM1355" s="28" t="s">
        <v>916</v>
      </c>
      <c r="AN1355" s="28" t="s">
        <v>26125</v>
      </c>
      <c r="AO1355" s="28" t="s">
        <v>26126</v>
      </c>
      <c r="AP1355" s="28" t="s">
        <v>446</v>
      </c>
      <c r="AQ1355" s="28" t="s">
        <v>26127</v>
      </c>
      <c r="AR1355" s="28" t="s">
        <v>26128</v>
      </c>
      <c r="AS1355" s="28" t="s">
        <v>449</v>
      </c>
      <c r="AT1355" s="28" t="s">
        <v>26129</v>
      </c>
      <c r="AU1355" s="28" t="s">
        <v>138</v>
      </c>
      <c r="AV1355" s="28" t="s">
        <v>450</v>
      </c>
      <c r="AW1355" s="28" t="s">
        <v>26126</v>
      </c>
      <c r="AX1355" s="28" t="s">
        <v>138</v>
      </c>
      <c r="AY1355" s="28" t="s">
        <v>26130</v>
      </c>
      <c r="AZ1355" s="28" t="s">
        <v>452</v>
      </c>
      <c r="BA1355" s="28" t="s">
        <v>453</v>
      </c>
      <c r="BB1355" s="28" t="s">
        <v>26131</v>
      </c>
      <c r="BC1355" s="28" t="s">
        <v>26132</v>
      </c>
      <c r="BD1355" s="33">
        <v>3</v>
      </c>
      <c r="BE1355" s="28" t="s">
        <v>138</v>
      </c>
      <c r="BF1355" s="28" t="s">
        <v>138</v>
      </c>
      <c r="BG1355" s="28" t="s">
        <v>138</v>
      </c>
      <c r="BH1355" s="28" t="s">
        <v>26133</v>
      </c>
      <c r="BI1355" s="28" t="s">
        <v>138</v>
      </c>
      <c r="BJ1355" s="28" t="s">
        <v>138</v>
      </c>
      <c r="BK1355" s="28" t="s">
        <v>138</v>
      </c>
      <c r="BL1355" s="28" t="s">
        <v>138</v>
      </c>
      <c r="BM1355" s="34" t="s">
        <v>138</v>
      </c>
      <c r="BN1355" s="29" t="s">
        <v>138</v>
      </c>
      <c r="BO1355" s="28" t="s">
        <v>138</v>
      </c>
      <c r="BP1355" s="29" t="s">
        <v>138</v>
      </c>
      <c r="BQ1355" s="28" t="s">
        <v>138</v>
      </c>
      <c r="BR1355" s="28" t="s">
        <v>316</v>
      </c>
      <c r="BS1355" s="28" t="s">
        <v>138</v>
      </c>
      <c r="BT1355" s="28" t="s">
        <v>138</v>
      </c>
      <c r="BU1355" s="28" t="s">
        <v>177</v>
      </c>
      <c r="BV1355" s="28" t="s">
        <v>138</v>
      </c>
      <c r="BW1355" s="28" t="s">
        <v>138</v>
      </c>
      <c r="BX1355" s="28" t="s">
        <v>138</v>
      </c>
      <c r="BY1355" s="28" t="s">
        <v>175</v>
      </c>
      <c r="BZ1355" s="34">
        <v>43282</v>
      </c>
      <c r="CA1355" s="29" t="s">
        <v>138</v>
      </c>
      <c r="CB1355" s="28" t="s">
        <v>138</v>
      </c>
      <c r="CC1355" s="29" t="s">
        <v>138</v>
      </c>
      <c r="CD1355" s="28" t="s">
        <v>138</v>
      </c>
      <c r="CE1355" s="28" t="s">
        <v>205</v>
      </c>
      <c r="CF1355" s="28" t="s">
        <v>206</v>
      </c>
      <c r="CG1355" s="28" t="s">
        <v>138</v>
      </c>
      <c r="CH1355" s="28" t="s">
        <v>174</v>
      </c>
      <c r="CI1355" s="28" t="s">
        <v>138</v>
      </c>
      <c r="CJ1355" s="28" t="s">
        <v>138</v>
      </c>
      <c r="CK1355" s="28" t="s">
        <v>138</v>
      </c>
      <c r="CL1355" s="28" t="s">
        <v>175</v>
      </c>
      <c r="CM1355" s="34" t="s">
        <v>138</v>
      </c>
      <c r="CN1355" s="29" t="s">
        <v>138</v>
      </c>
      <c r="CO1355" s="35">
        <v>0</v>
      </c>
      <c r="CP1355" s="36">
        <v>26</v>
      </c>
      <c r="CQ1355" s="35">
        <v>0</v>
      </c>
      <c r="CR1355" s="35">
        <v>0</v>
      </c>
      <c r="CS1355" s="35">
        <v>0</v>
      </c>
      <c r="CT1355" s="36">
        <v>23</v>
      </c>
      <c r="CU1355" s="35" t="s">
        <v>138</v>
      </c>
      <c r="CV1355" s="36" t="s">
        <v>138</v>
      </c>
      <c r="CW1355" s="35" t="s">
        <v>138</v>
      </c>
      <c r="CX1355" s="36" t="s">
        <v>138</v>
      </c>
      <c r="CY1355" s="35">
        <v>0</v>
      </c>
      <c r="CZ1355" s="36">
        <v>25</v>
      </c>
      <c r="DA1355" s="35" t="s">
        <v>138</v>
      </c>
      <c r="DB1355" s="36" t="s">
        <v>138</v>
      </c>
      <c r="DC1355" s="37">
        <v>0.38</v>
      </c>
      <c r="DD1355" s="36">
        <v>27</v>
      </c>
      <c r="DE1355" s="37">
        <v>0.03</v>
      </c>
      <c r="DF1355" s="35">
        <v>10</v>
      </c>
      <c r="DG1355" s="37">
        <v>0.38</v>
      </c>
      <c r="DH1355" s="36">
        <v>27</v>
      </c>
      <c r="DI1355" s="37" t="s">
        <v>138</v>
      </c>
      <c r="DJ1355" s="36" t="s">
        <v>138</v>
      </c>
      <c r="DK1355" s="37" t="s">
        <v>138</v>
      </c>
      <c r="DL1355" s="36" t="s">
        <v>138</v>
      </c>
      <c r="DM1355" s="37">
        <v>0.38</v>
      </c>
      <c r="DN1355" s="36">
        <v>28</v>
      </c>
      <c r="DO1355" s="37" t="s">
        <v>138</v>
      </c>
      <c r="DP1355" s="36" t="s">
        <v>138</v>
      </c>
      <c r="DQ1355" s="36" t="s">
        <v>138</v>
      </c>
      <c r="DR1355" s="38" t="s">
        <v>138</v>
      </c>
      <c r="DS1355" s="35" t="s">
        <v>138</v>
      </c>
      <c r="DT1355" s="36">
        <v>10</v>
      </c>
      <c r="DU1355" s="38">
        <v>1</v>
      </c>
      <c r="DV1355" s="35">
        <v>11.11</v>
      </c>
      <c r="DW1355" s="36" t="s">
        <v>138</v>
      </c>
      <c r="DX1355" s="39" t="s">
        <v>138</v>
      </c>
      <c r="DY1355" s="35" t="s">
        <v>138</v>
      </c>
      <c r="DZ1355" s="28" t="s">
        <v>178</v>
      </c>
      <c r="EA1355" s="34">
        <v>43429</v>
      </c>
      <c r="EB1355" s="29" t="s">
        <v>138</v>
      </c>
      <c r="EC1355" s="34" t="s">
        <v>138</v>
      </c>
      <c r="ED1355" s="28" t="s">
        <v>138</v>
      </c>
      <c r="EE1355" s="40" t="str">
        <f>HYPERLINK("https://my.pitchbook.com?c=231911-29", "View company online")</f>
        <v>View company online</v>
      </c>
    </row>
    <row r="1356" spans="1:135">
      <c r="A1356" s="15" t="s">
        <v>26134</v>
      </c>
      <c r="B1356" s="15" t="s">
        <v>26135</v>
      </c>
      <c r="C1356" s="15" t="s">
        <v>26136</v>
      </c>
      <c r="D1356" s="15" t="s">
        <v>26137</v>
      </c>
      <c r="E1356" s="15" t="s">
        <v>26138</v>
      </c>
      <c r="F1356" s="15" t="s">
        <v>26134</v>
      </c>
      <c r="G1356" s="15" t="s">
        <v>26139</v>
      </c>
      <c r="H1356" s="15" t="s">
        <v>238</v>
      </c>
      <c r="I1356" s="15" t="s">
        <v>239</v>
      </c>
      <c r="J1356" s="15" t="s">
        <v>240</v>
      </c>
      <c r="K1356" s="15" t="s">
        <v>26140</v>
      </c>
      <c r="L1356" s="15" t="s">
        <v>415</v>
      </c>
      <c r="M1356" s="15" t="s">
        <v>26141</v>
      </c>
      <c r="N1356" s="15" t="s">
        <v>147</v>
      </c>
      <c r="O1356" s="17">
        <v>79.2</v>
      </c>
      <c r="P1356" s="15" t="s">
        <v>148</v>
      </c>
      <c r="Q1356" s="15" t="s">
        <v>149</v>
      </c>
      <c r="R1356" s="15" t="s">
        <v>244</v>
      </c>
      <c r="S1356" s="15" t="s">
        <v>26142</v>
      </c>
      <c r="T1356" s="18">
        <v>250</v>
      </c>
      <c r="U1356" s="15" t="s">
        <v>26143</v>
      </c>
      <c r="V1356" s="15" t="s">
        <v>138</v>
      </c>
      <c r="W1356" s="15" t="s">
        <v>138</v>
      </c>
      <c r="X1356" s="19">
        <v>2006</v>
      </c>
      <c r="Y1356" s="15" t="s">
        <v>138</v>
      </c>
      <c r="Z1356" s="15" t="s">
        <v>1163</v>
      </c>
      <c r="AA1356" s="15" t="s">
        <v>26144</v>
      </c>
      <c r="AB1356" s="20">
        <v>9.02</v>
      </c>
      <c r="AC1356" s="20" t="s">
        <v>138</v>
      </c>
      <c r="AD1356" s="20" t="s">
        <v>138</v>
      </c>
      <c r="AE1356" s="20" t="s">
        <v>138</v>
      </c>
      <c r="AF1356" s="20" t="s">
        <v>138</v>
      </c>
      <c r="AG1356" s="15" t="s">
        <v>563</v>
      </c>
      <c r="AH1356" s="20" t="s">
        <v>138</v>
      </c>
      <c r="AI1356" s="20" t="s">
        <v>138</v>
      </c>
      <c r="AJ1356" s="20" t="s">
        <v>138</v>
      </c>
      <c r="AK1356" s="15" t="s">
        <v>26145</v>
      </c>
      <c r="AL1356" s="15" t="s">
        <v>26146</v>
      </c>
      <c r="AM1356" s="15" t="s">
        <v>938</v>
      </c>
      <c r="AN1356" s="15" t="s">
        <v>26147</v>
      </c>
      <c r="AO1356" s="15" t="s">
        <v>26148</v>
      </c>
      <c r="AP1356" s="15" t="s">
        <v>639</v>
      </c>
      <c r="AQ1356" s="15" t="s">
        <v>26149</v>
      </c>
      <c r="AR1356" s="15" t="s">
        <v>4422</v>
      </c>
      <c r="AS1356" s="15" t="s">
        <v>642</v>
      </c>
      <c r="AT1356" s="15" t="s">
        <v>474</v>
      </c>
      <c r="AU1356" s="15" t="s">
        <v>14668</v>
      </c>
      <c r="AV1356" s="15" t="s">
        <v>162</v>
      </c>
      <c r="AW1356" s="15" t="s">
        <v>26148</v>
      </c>
      <c r="AX1356" s="15" t="s">
        <v>138</v>
      </c>
      <c r="AY1356" s="15" t="s">
        <v>138</v>
      </c>
      <c r="AZ1356" s="15" t="s">
        <v>164</v>
      </c>
      <c r="BA1356" s="15" t="s">
        <v>165</v>
      </c>
      <c r="BB1356" s="15" t="s">
        <v>26150</v>
      </c>
      <c r="BC1356" s="15" t="s">
        <v>26151</v>
      </c>
      <c r="BD1356" s="21">
        <v>7</v>
      </c>
      <c r="BE1356" s="15" t="s">
        <v>138</v>
      </c>
      <c r="BF1356" s="15" t="s">
        <v>138</v>
      </c>
      <c r="BG1356" s="15" t="s">
        <v>138</v>
      </c>
      <c r="BH1356" s="15" t="s">
        <v>26152</v>
      </c>
      <c r="BI1356" s="15" t="s">
        <v>138</v>
      </c>
      <c r="BJ1356" s="15" t="s">
        <v>138</v>
      </c>
      <c r="BK1356" s="15" t="s">
        <v>23729</v>
      </c>
      <c r="BL1356" s="15" t="s">
        <v>26153</v>
      </c>
      <c r="BM1356" s="22">
        <v>41872</v>
      </c>
      <c r="BN1356" s="17">
        <v>8</v>
      </c>
      <c r="BO1356" s="15" t="s">
        <v>172</v>
      </c>
      <c r="BP1356" s="17">
        <v>39.44</v>
      </c>
      <c r="BQ1356" s="15" t="s">
        <v>172</v>
      </c>
      <c r="BR1356" s="15" t="s">
        <v>173</v>
      </c>
      <c r="BS1356" s="15" t="s">
        <v>206</v>
      </c>
      <c r="BT1356" s="15" t="s">
        <v>138</v>
      </c>
      <c r="BU1356" s="15" t="s">
        <v>174</v>
      </c>
      <c r="BV1356" s="15" t="s">
        <v>138</v>
      </c>
      <c r="BW1356" s="15" t="s">
        <v>138</v>
      </c>
      <c r="BX1356" s="15" t="s">
        <v>138</v>
      </c>
      <c r="BY1356" s="15" t="s">
        <v>175</v>
      </c>
      <c r="BZ1356" s="22">
        <v>43619</v>
      </c>
      <c r="CA1356" s="17">
        <v>47</v>
      </c>
      <c r="CB1356" s="15" t="s">
        <v>172</v>
      </c>
      <c r="CC1356" s="17">
        <v>260</v>
      </c>
      <c r="CD1356" s="15" t="s">
        <v>172</v>
      </c>
      <c r="CE1356" s="15" t="s">
        <v>173</v>
      </c>
      <c r="CF1356" s="15" t="s">
        <v>317</v>
      </c>
      <c r="CG1356" s="15" t="s">
        <v>138</v>
      </c>
      <c r="CH1356" s="15" t="s">
        <v>174</v>
      </c>
      <c r="CI1356" s="15" t="s">
        <v>138</v>
      </c>
      <c r="CJ1356" s="15" t="s">
        <v>138</v>
      </c>
      <c r="CK1356" s="15" t="s">
        <v>138</v>
      </c>
      <c r="CL1356" s="15" t="s">
        <v>175</v>
      </c>
      <c r="CM1356" s="22">
        <v>42158</v>
      </c>
      <c r="CN1356" s="17">
        <v>3</v>
      </c>
      <c r="CO1356" s="23">
        <v>0.37</v>
      </c>
      <c r="CP1356" s="24">
        <v>94</v>
      </c>
      <c r="CQ1356" s="23">
        <v>0.02</v>
      </c>
      <c r="CR1356" s="23">
        <v>6.25</v>
      </c>
      <c r="CS1356" s="23">
        <v>-1.31</v>
      </c>
      <c r="CT1356" s="24">
        <v>13</v>
      </c>
      <c r="CU1356" s="23">
        <v>0.92</v>
      </c>
      <c r="CV1356" s="24">
        <v>98</v>
      </c>
      <c r="CW1356" s="23">
        <v>-1.06</v>
      </c>
      <c r="CX1356" s="24">
        <v>9</v>
      </c>
      <c r="CY1356" s="23">
        <v>-1.56</v>
      </c>
      <c r="CZ1356" s="24">
        <v>14</v>
      </c>
      <c r="DA1356" s="23">
        <v>0.92</v>
      </c>
      <c r="DB1356" s="24">
        <v>98</v>
      </c>
      <c r="DC1356" s="25">
        <v>22.18</v>
      </c>
      <c r="DD1356" s="24">
        <v>95</v>
      </c>
      <c r="DE1356" s="25">
        <v>-0.81</v>
      </c>
      <c r="DF1356" s="23">
        <v>-3.54</v>
      </c>
      <c r="DG1356" s="25">
        <v>44.66</v>
      </c>
      <c r="DH1356" s="24">
        <v>98</v>
      </c>
      <c r="DI1356" s="25">
        <v>17.63</v>
      </c>
      <c r="DJ1356" s="24">
        <v>90</v>
      </c>
      <c r="DK1356" s="25">
        <v>46.32</v>
      </c>
      <c r="DL1356" s="24">
        <v>96</v>
      </c>
      <c r="DM1356" s="25">
        <v>43</v>
      </c>
      <c r="DN1356" s="24">
        <v>98</v>
      </c>
      <c r="DO1356" s="25">
        <v>17.63</v>
      </c>
      <c r="DP1356" s="24">
        <v>92</v>
      </c>
      <c r="DQ1356" s="24">
        <v>15484</v>
      </c>
      <c r="DR1356" s="26">
        <v>1215</v>
      </c>
      <c r="DS1356" s="23">
        <v>8.51</v>
      </c>
      <c r="DT1356" s="24">
        <v>1244</v>
      </c>
      <c r="DU1356" s="26">
        <v>2</v>
      </c>
      <c r="DV1356" s="23">
        <v>0.16</v>
      </c>
      <c r="DW1356" s="24">
        <v>6305</v>
      </c>
      <c r="DX1356" s="27">
        <v>45</v>
      </c>
      <c r="DY1356" s="23">
        <v>0.72</v>
      </c>
      <c r="DZ1356" s="15" t="s">
        <v>178</v>
      </c>
      <c r="EA1356" s="22">
        <v>43622</v>
      </c>
      <c r="EB1356" s="17">
        <v>260</v>
      </c>
      <c r="EC1356" s="22">
        <v>43619</v>
      </c>
      <c r="ED1356" s="15" t="s">
        <v>173</v>
      </c>
      <c r="EE1356" s="14" t="str">
        <f>HYPERLINK("https://my.pitchbook.com?c=87416-65", "View company online")</f>
        <v>View company online</v>
      </c>
    </row>
    <row r="1357" spans="1:135">
      <c r="A1357" s="28" t="s">
        <v>26154</v>
      </c>
      <c r="B1357" s="28" t="s">
        <v>26155</v>
      </c>
      <c r="C1357" s="28" t="s">
        <v>138</v>
      </c>
      <c r="D1357" s="28" t="s">
        <v>138</v>
      </c>
      <c r="E1357" s="28" t="s">
        <v>26156</v>
      </c>
      <c r="F1357" s="28" t="s">
        <v>26154</v>
      </c>
      <c r="G1357" s="28" t="s">
        <v>26157</v>
      </c>
      <c r="H1357" s="28" t="s">
        <v>322</v>
      </c>
      <c r="I1357" s="28" t="s">
        <v>323</v>
      </c>
      <c r="J1357" s="28" t="s">
        <v>954</v>
      </c>
      <c r="K1357" s="28" t="s">
        <v>26158</v>
      </c>
      <c r="L1357" s="28" t="s">
        <v>415</v>
      </c>
      <c r="M1357" s="28" t="s">
        <v>26159</v>
      </c>
      <c r="N1357" s="28" t="s">
        <v>147</v>
      </c>
      <c r="O1357" s="29">
        <v>240.99</v>
      </c>
      <c r="P1357" s="28" t="s">
        <v>148</v>
      </c>
      <c r="Q1357" s="28" t="s">
        <v>149</v>
      </c>
      <c r="R1357" s="28" t="s">
        <v>174</v>
      </c>
      <c r="S1357" s="28" t="s">
        <v>26160</v>
      </c>
      <c r="T1357" s="30">
        <v>204</v>
      </c>
      <c r="U1357" s="28" t="s">
        <v>26161</v>
      </c>
      <c r="V1357" s="28" t="s">
        <v>138</v>
      </c>
      <c r="W1357" s="28" t="s">
        <v>138</v>
      </c>
      <c r="X1357" s="31">
        <v>2010</v>
      </c>
      <c r="Y1357" s="28" t="s">
        <v>138</v>
      </c>
      <c r="Z1357" s="28" t="s">
        <v>138</v>
      </c>
      <c r="AA1357" s="28" t="s">
        <v>1163</v>
      </c>
      <c r="AB1357" s="32">
        <v>31</v>
      </c>
      <c r="AC1357" s="32" t="s">
        <v>138</v>
      </c>
      <c r="AD1357" s="32" t="s">
        <v>138</v>
      </c>
      <c r="AE1357" s="32" t="s">
        <v>138</v>
      </c>
      <c r="AF1357" s="32" t="s">
        <v>138</v>
      </c>
      <c r="AG1357" s="28" t="s">
        <v>707</v>
      </c>
      <c r="AH1357" s="32" t="s">
        <v>138</v>
      </c>
      <c r="AI1357" s="32" t="s">
        <v>138</v>
      </c>
      <c r="AJ1357" s="32" t="s">
        <v>138</v>
      </c>
      <c r="AK1357" s="28" t="s">
        <v>26162</v>
      </c>
      <c r="AL1357" s="28" t="s">
        <v>26163</v>
      </c>
      <c r="AM1357" s="28" t="s">
        <v>938</v>
      </c>
      <c r="AN1357" s="28" t="s">
        <v>26164</v>
      </c>
      <c r="AO1357" s="28" t="s">
        <v>26165</v>
      </c>
      <c r="AP1357" s="28" t="s">
        <v>1168</v>
      </c>
      <c r="AQ1357" s="28" t="s">
        <v>26166</v>
      </c>
      <c r="AR1357" s="28" t="s">
        <v>138</v>
      </c>
      <c r="AS1357" s="28" t="s">
        <v>1171</v>
      </c>
      <c r="AT1357" s="28" t="s">
        <v>200</v>
      </c>
      <c r="AU1357" s="28" t="s">
        <v>4152</v>
      </c>
      <c r="AV1357" s="28" t="s">
        <v>162</v>
      </c>
      <c r="AW1357" s="28" t="s">
        <v>26165</v>
      </c>
      <c r="AX1357" s="28" t="s">
        <v>138</v>
      </c>
      <c r="AY1357" s="28" t="s">
        <v>26167</v>
      </c>
      <c r="AZ1357" s="28" t="s">
        <v>164</v>
      </c>
      <c r="BA1357" s="28" t="s">
        <v>165</v>
      </c>
      <c r="BB1357" s="28" t="s">
        <v>26168</v>
      </c>
      <c r="BC1357" s="28" t="s">
        <v>26169</v>
      </c>
      <c r="BD1357" s="33">
        <v>20</v>
      </c>
      <c r="BE1357" s="28" t="s">
        <v>138</v>
      </c>
      <c r="BF1357" s="28" t="s">
        <v>138</v>
      </c>
      <c r="BG1357" s="28" t="s">
        <v>138</v>
      </c>
      <c r="BH1357" s="28" t="s">
        <v>26170</v>
      </c>
      <c r="BI1357" s="28" t="s">
        <v>138</v>
      </c>
      <c r="BJ1357" s="28" t="s">
        <v>138</v>
      </c>
      <c r="BK1357" s="28" t="s">
        <v>3541</v>
      </c>
      <c r="BL1357" s="28" t="s">
        <v>26171</v>
      </c>
      <c r="BM1357" s="34">
        <v>40380</v>
      </c>
      <c r="BN1357" s="29">
        <v>10.49</v>
      </c>
      <c r="BO1357" s="28" t="s">
        <v>172</v>
      </c>
      <c r="BP1357" s="29">
        <v>33.590000000000003</v>
      </c>
      <c r="BQ1357" s="28" t="s">
        <v>172</v>
      </c>
      <c r="BR1357" s="28" t="s">
        <v>205</v>
      </c>
      <c r="BS1357" s="28" t="s">
        <v>206</v>
      </c>
      <c r="BT1357" s="28" t="s">
        <v>138</v>
      </c>
      <c r="BU1357" s="28" t="s">
        <v>174</v>
      </c>
      <c r="BV1357" s="28" t="s">
        <v>138</v>
      </c>
      <c r="BW1357" s="28" t="s">
        <v>138</v>
      </c>
      <c r="BX1357" s="28" t="s">
        <v>138</v>
      </c>
      <c r="BY1357" s="28" t="s">
        <v>175</v>
      </c>
      <c r="BZ1357" s="34">
        <v>42209</v>
      </c>
      <c r="CA1357" s="29">
        <v>50</v>
      </c>
      <c r="CB1357" s="28" t="s">
        <v>172</v>
      </c>
      <c r="CC1357" s="29">
        <v>900</v>
      </c>
      <c r="CD1357" s="28" t="s">
        <v>172</v>
      </c>
      <c r="CE1357" s="28" t="s">
        <v>173</v>
      </c>
      <c r="CF1357" s="28" t="s">
        <v>433</v>
      </c>
      <c r="CG1357" s="28" t="s">
        <v>138</v>
      </c>
      <c r="CH1357" s="28" t="s">
        <v>174</v>
      </c>
      <c r="CI1357" s="28" t="s">
        <v>138</v>
      </c>
      <c r="CJ1357" s="28" t="s">
        <v>138</v>
      </c>
      <c r="CK1357" s="28" t="s">
        <v>138</v>
      </c>
      <c r="CL1357" s="28" t="s">
        <v>175</v>
      </c>
      <c r="CM1357" s="34" t="s">
        <v>138</v>
      </c>
      <c r="CN1357" s="29" t="s">
        <v>138</v>
      </c>
      <c r="CO1357" s="35">
        <v>0.04</v>
      </c>
      <c r="CP1357" s="36">
        <v>87</v>
      </c>
      <c r="CQ1357" s="35">
        <v>0</v>
      </c>
      <c r="CR1357" s="35">
        <v>-9.07</v>
      </c>
      <c r="CS1357" s="35">
        <v>-0.25</v>
      </c>
      <c r="CT1357" s="36">
        <v>21</v>
      </c>
      <c r="CU1357" s="35">
        <v>-0.01</v>
      </c>
      <c r="CV1357" s="36">
        <v>20</v>
      </c>
      <c r="CW1357" s="35">
        <v>1.74</v>
      </c>
      <c r="CX1357" s="36">
        <v>87</v>
      </c>
      <c r="CY1357" s="35">
        <v>-2.2400000000000002</v>
      </c>
      <c r="CZ1357" s="36">
        <v>10</v>
      </c>
      <c r="DA1357" s="35">
        <v>-0.01</v>
      </c>
      <c r="DB1357" s="36">
        <v>21</v>
      </c>
      <c r="DC1357" s="37">
        <v>2668.34</v>
      </c>
      <c r="DD1357" s="36">
        <v>100</v>
      </c>
      <c r="DE1357" s="37">
        <v>60</v>
      </c>
      <c r="DF1357" s="35">
        <v>2.2999999999999998</v>
      </c>
      <c r="DG1357" s="37">
        <v>995.3</v>
      </c>
      <c r="DH1357" s="36">
        <v>100</v>
      </c>
      <c r="DI1357" s="37">
        <v>808.71</v>
      </c>
      <c r="DJ1357" s="36">
        <v>100</v>
      </c>
      <c r="DK1357" s="37">
        <v>1871.26</v>
      </c>
      <c r="DL1357" s="36">
        <v>100</v>
      </c>
      <c r="DM1357" s="37">
        <v>119.34</v>
      </c>
      <c r="DN1357" s="36">
        <v>100</v>
      </c>
      <c r="DO1357" s="37">
        <v>1428.62</v>
      </c>
      <c r="DP1357" s="36">
        <v>100</v>
      </c>
      <c r="DQ1357" s="36">
        <v>634857</v>
      </c>
      <c r="DR1357" s="38">
        <v>20953</v>
      </c>
      <c r="DS1357" s="35">
        <v>3.41</v>
      </c>
      <c r="DT1357" s="36">
        <v>3462</v>
      </c>
      <c r="DU1357" s="38">
        <v>-3</v>
      </c>
      <c r="DV1357" s="35">
        <v>-0.09</v>
      </c>
      <c r="DW1357" s="36">
        <v>511483</v>
      </c>
      <c r="DX1357" s="39">
        <v>-73</v>
      </c>
      <c r="DY1357" s="35">
        <v>-0.01</v>
      </c>
      <c r="DZ1357" s="28" t="s">
        <v>178</v>
      </c>
      <c r="EA1357" s="34">
        <v>43622</v>
      </c>
      <c r="EB1357" s="29">
        <v>900</v>
      </c>
      <c r="EC1357" s="34">
        <v>42209</v>
      </c>
      <c r="ED1357" s="28" t="s">
        <v>173</v>
      </c>
      <c r="EE1357" s="40" t="str">
        <f>HYPERLINK("https://my.pitchbook.com?c=46488-25", "View company online")</f>
        <v>View company online</v>
      </c>
    </row>
    <row r="1358" spans="1:135">
      <c r="A1358" s="15" t="s">
        <v>26172</v>
      </c>
      <c r="B1358" s="15" t="s">
        <v>26173</v>
      </c>
      <c r="C1358" s="15" t="s">
        <v>138</v>
      </c>
      <c r="D1358" s="15" t="s">
        <v>138</v>
      </c>
      <c r="E1358" s="15" t="s">
        <v>138</v>
      </c>
      <c r="F1358" s="15" t="s">
        <v>26172</v>
      </c>
      <c r="G1358" s="15" t="s">
        <v>26174</v>
      </c>
      <c r="H1358" s="15" t="s">
        <v>322</v>
      </c>
      <c r="I1358" s="15" t="s">
        <v>323</v>
      </c>
      <c r="J1358" s="15" t="s">
        <v>324</v>
      </c>
      <c r="K1358" s="15" t="s">
        <v>1649</v>
      </c>
      <c r="L1358" s="15" t="s">
        <v>215</v>
      </c>
      <c r="M1358" s="15" t="s">
        <v>26175</v>
      </c>
      <c r="N1358" s="15" t="s">
        <v>147</v>
      </c>
      <c r="O1358" s="17" t="s">
        <v>138</v>
      </c>
      <c r="P1358" s="15" t="s">
        <v>148</v>
      </c>
      <c r="Q1358" s="15" t="s">
        <v>149</v>
      </c>
      <c r="R1358" s="15" t="s">
        <v>174</v>
      </c>
      <c r="S1358" s="15" t="s">
        <v>26176</v>
      </c>
      <c r="T1358" s="18">
        <v>51</v>
      </c>
      <c r="U1358" s="15" t="s">
        <v>26177</v>
      </c>
      <c r="V1358" s="15" t="s">
        <v>138</v>
      </c>
      <c r="W1358" s="15" t="s">
        <v>138</v>
      </c>
      <c r="X1358" s="19">
        <v>2000</v>
      </c>
      <c r="Y1358" s="15" t="s">
        <v>138</v>
      </c>
      <c r="Z1358" s="15" t="s">
        <v>138</v>
      </c>
      <c r="AA1358" s="15" t="s">
        <v>138</v>
      </c>
      <c r="AB1358" s="20" t="s">
        <v>138</v>
      </c>
      <c r="AC1358" s="20" t="s">
        <v>138</v>
      </c>
      <c r="AD1358" s="20" t="s">
        <v>138</v>
      </c>
      <c r="AE1358" s="20" t="s">
        <v>138</v>
      </c>
      <c r="AF1358" s="20" t="s">
        <v>138</v>
      </c>
      <c r="AG1358" s="15" t="s">
        <v>138</v>
      </c>
      <c r="AH1358" s="20" t="s">
        <v>138</v>
      </c>
      <c r="AI1358" s="20" t="s">
        <v>138</v>
      </c>
      <c r="AJ1358" s="20" t="s">
        <v>138</v>
      </c>
      <c r="AK1358" s="15" t="s">
        <v>26178</v>
      </c>
      <c r="AL1358" s="15" t="s">
        <v>26179</v>
      </c>
      <c r="AM1358" s="15" t="s">
        <v>249</v>
      </c>
      <c r="AN1358" s="15" t="s">
        <v>26180</v>
      </c>
      <c r="AO1358" s="15" t="s">
        <v>26181</v>
      </c>
      <c r="AP1358" s="15" t="s">
        <v>1006</v>
      </c>
      <c r="AQ1358" s="15" t="s">
        <v>26182</v>
      </c>
      <c r="AR1358" s="15" t="s">
        <v>138</v>
      </c>
      <c r="AS1358" s="15" t="s">
        <v>1008</v>
      </c>
      <c r="AT1358" s="15" t="s">
        <v>138</v>
      </c>
      <c r="AU1358" s="15" t="s">
        <v>26183</v>
      </c>
      <c r="AV1358" s="15" t="s">
        <v>946</v>
      </c>
      <c r="AW1358" s="15" t="s">
        <v>26181</v>
      </c>
      <c r="AX1358" s="15" t="s">
        <v>26184</v>
      </c>
      <c r="AY1358" s="15" t="s">
        <v>26185</v>
      </c>
      <c r="AZ1358" s="15" t="s">
        <v>530</v>
      </c>
      <c r="BA1358" s="15" t="s">
        <v>531</v>
      </c>
      <c r="BB1358" s="15" t="s">
        <v>26186</v>
      </c>
      <c r="BC1358" s="15" t="s">
        <v>3047</v>
      </c>
      <c r="BD1358" s="21">
        <v>1</v>
      </c>
      <c r="BE1358" s="15" t="s">
        <v>138</v>
      </c>
      <c r="BF1358" s="15" t="s">
        <v>138</v>
      </c>
      <c r="BG1358" s="15" t="s">
        <v>138</v>
      </c>
      <c r="BH1358" s="15" t="s">
        <v>3049</v>
      </c>
      <c r="BI1358" s="15" t="s">
        <v>138</v>
      </c>
      <c r="BJ1358" s="15" t="s">
        <v>138</v>
      </c>
      <c r="BK1358" s="15" t="s">
        <v>138</v>
      </c>
      <c r="BL1358" s="15" t="s">
        <v>138</v>
      </c>
      <c r="BM1358" s="22">
        <v>41222</v>
      </c>
      <c r="BN1358" s="17" t="s">
        <v>138</v>
      </c>
      <c r="BO1358" s="15" t="s">
        <v>138</v>
      </c>
      <c r="BP1358" s="17" t="s">
        <v>138</v>
      </c>
      <c r="BQ1358" s="15" t="s">
        <v>138</v>
      </c>
      <c r="BR1358" s="15" t="s">
        <v>173</v>
      </c>
      <c r="BS1358" s="15" t="s">
        <v>138</v>
      </c>
      <c r="BT1358" s="15" t="s">
        <v>138</v>
      </c>
      <c r="BU1358" s="15" t="s">
        <v>174</v>
      </c>
      <c r="BV1358" s="15" t="s">
        <v>138</v>
      </c>
      <c r="BW1358" s="15" t="s">
        <v>138</v>
      </c>
      <c r="BX1358" s="15" t="s">
        <v>138</v>
      </c>
      <c r="BY1358" s="15" t="s">
        <v>175</v>
      </c>
      <c r="BZ1358" s="22">
        <v>41222</v>
      </c>
      <c r="CA1358" s="17" t="s">
        <v>138</v>
      </c>
      <c r="CB1358" s="15" t="s">
        <v>138</v>
      </c>
      <c r="CC1358" s="17" t="s">
        <v>138</v>
      </c>
      <c r="CD1358" s="15" t="s">
        <v>138</v>
      </c>
      <c r="CE1358" s="15" t="s">
        <v>173</v>
      </c>
      <c r="CF1358" s="15" t="s">
        <v>138</v>
      </c>
      <c r="CG1358" s="15" t="s">
        <v>138</v>
      </c>
      <c r="CH1358" s="15" t="s">
        <v>174</v>
      </c>
      <c r="CI1358" s="15" t="s">
        <v>138</v>
      </c>
      <c r="CJ1358" s="15" t="s">
        <v>138</v>
      </c>
      <c r="CK1358" s="15" t="s">
        <v>138</v>
      </c>
      <c r="CL1358" s="15" t="s">
        <v>175</v>
      </c>
      <c r="CM1358" s="22" t="s">
        <v>138</v>
      </c>
      <c r="CN1358" s="17" t="s">
        <v>138</v>
      </c>
      <c r="CO1358" s="23">
        <v>0.43</v>
      </c>
      <c r="CP1358" s="24">
        <v>95</v>
      </c>
      <c r="CQ1358" s="23">
        <v>-0.14000000000000001</v>
      </c>
      <c r="CR1358" s="23">
        <v>-24.51</v>
      </c>
      <c r="CS1358" s="23">
        <v>0.7</v>
      </c>
      <c r="CT1358" s="24">
        <v>96</v>
      </c>
      <c r="CU1358" s="23">
        <v>0.16</v>
      </c>
      <c r="CV1358" s="24">
        <v>76</v>
      </c>
      <c r="CW1358" s="23" t="s">
        <v>138</v>
      </c>
      <c r="CX1358" s="24" t="s">
        <v>138</v>
      </c>
      <c r="CY1358" s="23">
        <v>0.7</v>
      </c>
      <c r="CZ1358" s="24">
        <v>99</v>
      </c>
      <c r="DA1358" s="23">
        <v>0.16</v>
      </c>
      <c r="DB1358" s="24">
        <v>79</v>
      </c>
      <c r="DC1358" s="25">
        <v>5.19</v>
      </c>
      <c r="DD1358" s="24">
        <v>83</v>
      </c>
      <c r="DE1358" s="25">
        <v>0</v>
      </c>
      <c r="DF1358" s="23">
        <v>7.0000000000000007E-2</v>
      </c>
      <c r="DG1358" s="25">
        <v>5.83</v>
      </c>
      <c r="DH1358" s="24">
        <v>84</v>
      </c>
      <c r="DI1358" s="25">
        <v>4.55</v>
      </c>
      <c r="DJ1358" s="24">
        <v>76</v>
      </c>
      <c r="DK1358" s="25" t="s">
        <v>138</v>
      </c>
      <c r="DL1358" s="24" t="s">
        <v>138</v>
      </c>
      <c r="DM1358" s="25">
        <v>5.83</v>
      </c>
      <c r="DN1358" s="24">
        <v>83</v>
      </c>
      <c r="DO1358" s="25">
        <v>4.55</v>
      </c>
      <c r="DP1358" s="24">
        <v>78</v>
      </c>
      <c r="DQ1358" s="24" t="s">
        <v>138</v>
      </c>
      <c r="DR1358" s="26" t="s">
        <v>138</v>
      </c>
      <c r="DS1358" s="23" t="s">
        <v>138</v>
      </c>
      <c r="DT1358" s="24">
        <v>169</v>
      </c>
      <c r="DU1358" s="26">
        <v>-1</v>
      </c>
      <c r="DV1358" s="23">
        <v>-0.59</v>
      </c>
      <c r="DW1358" s="24">
        <v>1626</v>
      </c>
      <c r="DX1358" s="27">
        <v>6</v>
      </c>
      <c r="DY1358" s="23">
        <v>0.37</v>
      </c>
      <c r="DZ1358" s="15" t="s">
        <v>178</v>
      </c>
      <c r="EA1358" s="22">
        <v>43448</v>
      </c>
      <c r="EB1358" s="17" t="s">
        <v>138</v>
      </c>
      <c r="EC1358" s="22" t="s">
        <v>138</v>
      </c>
      <c r="ED1358" s="15" t="s">
        <v>138</v>
      </c>
      <c r="EE1358" s="14" t="str">
        <f>HYPERLINK("https://my.pitchbook.com?c=60452-65", "View company online")</f>
        <v>View company online</v>
      </c>
    </row>
    <row r="1359" spans="1:135">
      <c r="A1359" s="28" t="s">
        <v>26187</v>
      </c>
      <c r="B1359" s="28" t="s">
        <v>26188</v>
      </c>
      <c r="C1359" s="28" t="s">
        <v>138</v>
      </c>
      <c r="D1359" s="28" t="s">
        <v>138</v>
      </c>
      <c r="E1359" s="28" t="s">
        <v>26189</v>
      </c>
      <c r="F1359" s="28" t="s">
        <v>26187</v>
      </c>
      <c r="G1359" s="28" t="s">
        <v>26190</v>
      </c>
      <c r="H1359" s="28" t="s">
        <v>385</v>
      </c>
      <c r="I1359" s="28" t="s">
        <v>1991</v>
      </c>
      <c r="J1359" s="28" t="s">
        <v>1992</v>
      </c>
      <c r="K1359" s="28" t="s">
        <v>26191</v>
      </c>
      <c r="L1359" s="28" t="s">
        <v>26192</v>
      </c>
      <c r="M1359" s="28" t="s">
        <v>26193</v>
      </c>
      <c r="N1359" s="28" t="s">
        <v>147</v>
      </c>
      <c r="O1359" s="29">
        <v>35.15</v>
      </c>
      <c r="P1359" s="28" t="s">
        <v>148</v>
      </c>
      <c r="Q1359" s="28" t="s">
        <v>149</v>
      </c>
      <c r="R1359" s="28" t="s">
        <v>174</v>
      </c>
      <c r="S1359" s="28" t="s">
        <v>26194</v>
      </c>
      <c r="T1359" s="30">
        <v>30</v>
      </c>
      <c r="U1359" s="28" t="s">
        <v>26195</v>
      </c>
      <c r="V1359" s="28" t="s">
        <v>138</v>
      </c>
      <c r="W1359" s="28" t="s">
        <v>138</v>
      </c>
      <c r="X1359" s="31">
        <v>2009</v>
      </c>
      <c r="Y1359" s="28" t="s">
        <v>138</v>
      </c>
      <c r="Z1359" s="28" t="s">
        <v>138</v>
      </c>
      <c r="AA1359" s="28" t="s">
        <v>138</v>
      </c>
      <c r="AB1359" s="32" t="s">
        <v>138</v>
      </c>
      <c r="AC1359" s="32" t="s">
        <v>138</v>
      </c>
      <c r="AD1359" s="32" t="s">
        <v>138</v>
      </c>
      <c r="AE1359" s="32" t="s">
        <v>138</v>
      </c>
      <c r="AF1359" s="32" t="s">
        <v>138</v>
      </c>
      <c r="AG1359" s="28" t="s">
        <v>138</v>
      </c>
      <c r="AH1359" s="32" t="s">
        <v>138</v>
      </c>
      <c r="AI1359" s="32" t="s">
        <v>138</v>
      </c>
      <c r="AJ1359" s="32" t="s">
        <v>138</v>
      </c>
      <c r="AK1359" s="28" t="s">
        <v>26196</v>
      </c>
      <c r="AL1359" s="28" t="s">
        <v>26197</v>
      </c>
      <c r="AM1359" s="28" t="s">
        <v>5401</v>
      </c>
      <c r="AN1359" s="28" t="s">
        <v>26198</v>
      </c>
      <c r="AO1359" s="28" t="s">
        <v>26199</v>
      </c>
      <c r="AP1359" s="28" t="s">
        <v>1457</v>
      </c>
      <c r="AQ1359" s="28" t="s">
        <v>26200</v>
      </c>
      <c r="AR1359" s="28" t="s">
        <v>1936</v>
      </c>
      <c r="AS1359" s="28" t="s">
        <v>1460</v>
      </c>
      <c r="AT1359" s="28" t="s">
        <v>474</v>
      </c>
      <c r="AU1359" s="28" t="s">
        <v>26201</v>
      </c>
      <c r="AV1359" s="28" t="s">
        <v>162</v>
      </c>
      <c r="AW1359" s="28" t="s">
        <v>26199</v>
      </c>
      <c r="AX1359" s="28" t="s">
        <v>138</v>
      </c>
      <c r="AY1359" s="28" t="s">
        <v>26202</v>
      </c>
      <c r="AZ1359" s="28" t="s">
        <v>164</v>
      </c>
      <c r="BA1359" s="28" t="s">
        <v>165</v>
      </c>
      <c r="BB1359" s="28" t="s">
        <v>26203</v>
      </c>
      <c r="BC1359" s="28" t="s">
        <v>26204</v>
      </c>
      <c r="BD1359" s="33">
        <v>3</v>
      </c>
      <c r="BE1359" s="28" t="s">
        <v>138</v>
      </c>
      <c r="BF1359" s="28" t="s">
        <v>138</v>
      </c>
      <c r="BG1359" s="28" t="s">
        <v>138</v>
      </c>
      <c r="BH1359" s="28" t="s">
        <v>26205</v>
      </c>
      <c r="BI1359" s="28" t="s">
        <v>138</v>
      </c>
      <c r="BJ1359" s="28" t="s">
        <v>138</v>
      </c>
      <c r="BK1359" s="28" t="s">
        <v>26206</v>
      </c>
      <c r="BL1359" s="28" t="s">
        <v>138</v>
      </c>
      <c r="BM1359" s="34">
        <v>42214</v>
      </c>
      <c r="BN1359" s="29">
        <v>25.5</v>
      </c>
      <c r="BO1359" s="28" t="s">
        <v>172</v>
      </c>
      <c r="BP1359" s="29">
        <v>88.2</v>
      </c>
      <c r="BQ1359" s="28" t="s">
        <v>172</v>
      </c>
      <c r="BR1359" s="28" t="s">
        <v>173</v>
      </c>
      <c r="BS1359" s="28" t="s">
        <v>206</v>
      </c>
      <c r="BT1359" s="28" t="s">
        <v>138</v>
      </c>
      <c r="BU1359" s="28" t="s">
        <v>174</v>
      </c>
      <c r="BV1359" s="28" t="s">
        <v>138</v>
      </c>
      <c r="BW1359" s="28" t="s">
        <v>138</v>
      </c>
      <c r="BX1359" s="28" t="s">
        <v>138</v>
      </c>
      <c r="BY1359" s="28" t="s">
        <v>175</v>
      </c>
      <c r="BZ1359" s="34">
        <v>43357</v>
      </c>
      <c r="CA1359" s="29">
        <v>9.65</v>
      </c>
      <c r="CB1359" s="28" t="s">
        <v>172</v>
      </c>
      <c r="CC1359" s="29" t="s">
        <v>138</v>
      </c>
      <c r="CD1359" s="28" t="s">
        <v>138</v>
      </c>
      <c r="CE1359" s="28" t="s">
        <v>173</v>
      </c>
      <c r="CF1359" s="28" t="s">
        <v>138</v>
      </c>
      <c r="CG1359" s="28" t="s">
        <v>138</v>
      </c>
      <c r="CH1359" s="28" t="s">
        <v>174</v>
      </c>
      <c r="CI1359" s="28" t="s">
        <v>264</v>
      </c>
      <c r="CJ1359" s="28" t="s">
        <v>138</v>
      </c>
      <c r="CK1359" s="28" t="s">
        <v>138</v>
      </c>
      <c r="CL1359" s="28" t="s">
        <v>175</v>
      </c>
      <c r="CM1359" s="34" t="s">
        <v>138</v>
      </c>
      <c r="CN1359" s="29" t="s">
        <v>138</v>
      </c>
      <c r="CO1359" s="35">
        <v>0.02</v>
      </c>
      <c r="CP1359" s="36">
        <v>85</v>
      </c>
      <c r="CQ1359" s="35">
        <v>0</v>
      </c>
      <c r="CR1359" s="35">
        <v>0</v>
      </c>
      <c r="CS1359" s="35">
        <v>0</v>
      </c>
      <c r="CT1359" s="36">
        <v>23</v>
      </c>
      <c r="CU1359" s="35">
        <v>0.03</v>
      </c>
      <c r="CV1359" s="36">
        <v>54</v>
      </c>
      <c r="CW1359" s="35" t="s">
        <v>138</v>
      </c>
      <c r="CX1359" s="36" t="s">
        <v>138</v>
      </c>
      <c r="CY1359" s="35">
        <v>0</v>
      </c>
      <c r="CZ1359" s="36">
        <v>25</v>
      </c>
      <c r="DA1359" s="35">
        <v>0.06</v>
      </c>
      <c r="DB1359" s="36">
        <v>65</v>
      </c>
      <c r="DC1359" s="37">
        <v>0.55000000000000004</v>
      </c>
      <c r="DD1359" s="36">
        <v>36</v>
      </c>
      <c r="DE1359" s="37">
        <v>0.02</v>
      </c>
      <c r="DF1359" s="35">
        <v>3.54</v>
      </c>
      <c r="DG1359" s="37">
        <v>0.52</v>
      </c>
      <c r="DH1359" s="36">
        <v>35</v>
      </c>
      <c r="DI1359" s="37">
        <v>0.57999999999999996</v>
      </c>
      <c r="DJ1359" s="36">
        <v>39</v>
      </c>
      <c r="DK1359" s="37" t="s">
        <v>138</v>
      </c>
      <c r="DL1359" s="36" t="s">
        <v>138</v>
      </c>
      <c r="DM1359" s="37">
        <v>0.52</v>
      </c>
      <c r="DN1359" s="36">
        <v>35</v>
      </c>
      <c r="DO1359" s="37">
        <v>1.0900000000000001</v>
      </c>
      <c r="DP1359" s="36">
        <v>52</v>
      </c>
      <c r="DQ1359" s="36" t="s">
        <v>138</v>
      </c>
      <c r="DR1359" s="38" t="s">
        <v>138</v>
      </c>
      <c r="DS1359" s="35" t="s">
        <v>138</v>
      </c>
      <c r="DT1359" s="36">
        <v>14</v>
      </c>
      <c r="DU1359" s="38">
        <v>1</v>
      </c>
      <c r="DV1359" s="35">
        <v>7.69</v>
      </c>
      <c r="DW1359" s="36">
        <v>391</v>
      </c>
      <c r="DX1359" s="39">
        <v>0</v>
      </c>
      <c r="DY1359" s="35">
        <v>0</v>
      </c>
      <c r="DZ1359" s="28" t="s">
        <v>178</v>
      </c>
      <c r="EA1359" s="34">
        <v>43622</v>
      </c>
      <c r="EB1359" s="29">
        <v>88.2</v>
      </c>
      <c r="EC1359" s="34">
        <v>42214</v>
      </c>
      <c r="ED1359" s="28" t="s">
        <v>173</v>
      </c>
      <c r="EE1359" s="40" t="str">
        <f>HYPERLINK("https://my.pitchbook.com?c=121115-53", "View company online")</f>
        <v>View company online</v>
      </c>
    </row>
    <row r="1360" spans="1:135">
      <c r="A1360" s="15" t="s">
        <v>26207</v>
      </c>
      <c r="B1360" s="15" t="s">
        <v>26208</v>
      </c>
      <c r="C1360" s="15" t="s">
        <v>138</v>
      </c>
      <c r="D1360" s="15" t="s">
        <v>138</v>
      </c>
      <c r="E1360" s="15" t="s">
        <v>138</v>
      </c>
      <c r="F1360" s="15" t="s">
        <v>26207</v>
      </c>
      <c r="G1360" s="15" t="s">
        <v>26209</v>
      </c>
      <c r="H1360" s="15" t="s">
        <v>238</v>
      </c>
      <c r="I1360" s="15" t="s">
        <v>1018</v>
      </c>
      <c r="J1360" s="15" t="s">
        <v>4780</v>
      </c>
      <c r="K1360" s="15" t="s">
        <v>4781</v>
      </c>
      <c r="L1360" s="15" t="s">
        <v>1796</v>
      </c>
      <c r="M1360" s="15" t="s">
        <v>26210</v>
      </c>
      <c r="N1360" s="15" t="s">
        <v>147</v>
      </c>
      <c r="O1360" s="17">
        <v>1.4</v>
      </c>
      <c r="P1360" s="15" t="s">
        <v>610</v>
      </c>
      <c r="Q1360" s="15" t="s">
        <v>149</v>
      </c>
      <c r="R1360" s="15" t="s">
        <v>174</v>
      </c>
      <c r="S1360" s="15" t="s">
        <v>26211</v>
      </c>
      <c r="T1360" s="18" t="s">
        <v>138</v>
      </c>
      <c r="U1360" s="15" t="s">
        <v>138</v>
      </c>
      <c r="V1360" s="15" t="s">
        <v>138</v>
      </c>
      <c r="W1360" s="15" t="s">
        <v>138</v>
      </c>
      <c r="X1360" s="19">
        <v>2012</v>
      </c>
      <c r="Y1360" s="15" t="s">
        <v>138</v>
      </c>
      <c r="Z1360" s="15" t="s">
        <v>138</v>
      </c>
      <c r="AA1360" s="15" t="s">
        <v>138</v>
      </c>
      <c r="AB1360" s="20" t="s">
        <v>138</v>
      </c>
      <c r="AC1360" s="20" t="s">
        <v>138</v>
      </c>
      <c r="AD1360" s="20" t="s">
        <v>138</v>
      </c>
      <c r="AE1360" s="20" t="s">
        <v>138</v>
      </c>
      <c r="AF1360" s="20" t="s">
        <v>138</v>
      </c>
      <c r="AG1360" s="15" t="s">
        <v>138</v>
      </c>
      <c r="AH1360" s="20" t="s">
        <v>138</v>
      </c>
      <c r="AI1360" s="20" t="s">
        <v>138</v>
      </c>
      <c r="AJ1360" s="20" t="s">
        <v>138</v>
      </c>
      <c r="AK1360" s="15" t="s">
        <v>26212</v>
      </c>
      <c r="AL1360" s="15" t="s">
        <v>26213</v>
      </c>
      <c r="AM1360" s="15" t="s">
        <v>365</v>
      </c>
      <c r="AN1360" s="15" t="s">
        <v>26214</v>
      </c>
      <c r="AO1360" s="15" t="s">
        <v>26215</v>
      </c>
      <c r="AP1360" s="15" t="s">
        <v>1195</v>
      </c>
      <c r="AQ1360" s="15" t="s">
        <v>26216</v>
      </c>
      <c r="AR1360" s="15" t="s">
        <v>138</v>
      </c>
      <c r="AS1360" s="15" t="s">
        <v>1198</v>
      </c>
      <c r="AT1360" s="15" t="s">
        <v>138</v>
      </c>
      <c r="AU1360" s="15" t="s">
        <v>138</v>
      </c>
      <c r="AV1360" s="15" t="s">
        <v>1200</v>
      </c>
      <c r="AW1360" s="15" t="s">
        <v>26215</v>
      </c>
      <c r="AX1360" s="15" t="s">
        <v>138</v>
      </c>
      <c r="AY1360" s="15" t="s">
        <v>26217</v>
      </c>
      <c r="AZ1360" s="15" t="s">
        <v>452</v>
      </c>
      <c r="BA1360" s="15" t="s">
        <v>453</v>
      </c>
      <c r="BB1360" s="15" t="s">
        <v>26218</v>
      </c>
      <c r="BC1360" s="15" t="s">
        <v>26219</v>
      </c>
      <c r="BD1360" s="21">
        <v>3</v>
      </c>
      <c r="BE1360" s="15" t="s">
        <v>138</v>
      </c>
      <c r="BF1360" s="15" t="s">
        <v>138</v>
      </c>
      <c r="BG1360" s="15" t="s">
        <v>138</v>
      </c>
      <c r="BH1360" s="15" t="s">
        <v>26220</v>
      </c>
      <c r="BI1360" s="15" t="s">
        <v>138</v>
      </c>
      <c r="BJ1360" s="15" t="s">
        <v>138</v>
      </c>
      <c r="BK1360" s="15" t="s">
        <v>138</v>
      </c>
      <c r="BL1360" s="15" t="s">
        <v>138</v>
      </c>
      <c r="BM1360" s="22">
        <v>41456</v>
      </c>
      <c r="BN1360" s="17" t="s">
        <v>138</v>
      </c>
      <c r="BO1360" s="15" t="s">
        <v>138</v>
      </c>
      <c r="BP1360" s="17" t="s">
        <v>138</v>
      </c>
      <c r="BQ1360" s="15" t="s">
        <v>138</v>
      </c>
      <c r="BR1360" s="15" t="s">
        <v>205</v>
      </c>
      <c r="BS1360" s="15" t="s">
        <v>138</v>
      </c>
      <c r="BT1360" s="15" t="s">
        <v>138</v>
      </c>
      <c r="BU1360" s="15" t="s">
        <v>174</v>
      </c>
      <c r="BV1360" s="15" t="s">
        <v>138</v>
      </c>
      <c r="BW1360" s="15" t="s">
        <v>138</v>
      </c>
      <c r="BX1360" s="15" t="s">
        <v>138</v>
      </c>
      <c r="BY1360" s="15" t="s">
        <v>175</v>
      </c>
      <c r="BZ1360" s="22">
        <v>42186</v>
      </c>
      <c r="CA1360" s="17">
        <v>1.4</v>
      </c>
      <c r="CB1360" s="15" t="s">
        <v>172</v>
      </c>
      <c r="CC1360" s="17" t="s">
        <v>138</v>
      </c>
      <c r="CD1360" s="15" t="s">
        <v>138</v>
      </c>
      <c r="CE1360" s="15" t="s">
        <v>205</v>
      </c>
      <c r="CF1360" s="15" t="s">
        <v>138</v>
      </c>
      <c r="CG1360" s="15" t="s">
        <v>138</v>
      </c>
      <c r="CH1360" s="15" t="s">
        <v>174</v>
      </c>
      <c r="CI1360" s="15" t="s">
        <v>138</v>
      </c>
      <c r="CJ1360" s="15" t="s">
        <v>138</v>
      </c>
      <c r="CK1360" s="15" t="s">
        <v>138</v>
      </c>
      <c r="CL1360" s="15" t="s">
        <v>175</v>
      </c>
      <c r="CM1360" s="22" t="s">
        <v>138</v>
      </c>
      <c r="CN1360" s="17" t="s">
        <v>138</v>
      </c>
      <c r="CO1360" s="23">
        <v>0</v>
      </c>
      <c r="CP1360" s="24">
        <v>26</v>
      </c>
      <c r="CQ1360" s="23">
        <v>0</v>
      </c>
      <c r="CR1360" s="23">
        <v>0</v>
      </c>
      <c r="CS1360" s="23">
        <v>0</v>
      </c>
      <c r="CT1360" s="24">
        <v>23</v>
      </c>
      <c r="CU1360" s="23">
        <v>0</v>
      </c>
      <c r="CV1360" s="24">
        <v>22</v>
      </c>
      <c r="CW1360" s="23" t="s">
        <v>138</v>
      </c>
      <c r="CX1360" s="24" t="s">
        <v>138</v>
      </c>
      <c r="CY1360" s="23">
        <v>0</v>
      </c>
      <c r="CZ1360" s="24">
        <v>25</v>
      </c>
      <c r="DA1360" s="23">
        <v>0</v>
      </c>
      <c r="DB1360" s="24">
        <v>22</v>
      </c>
      <c r="DC1360" s="25">
        <v>0.2</v>
      </c>
      <c r="DD1360" s="24">
        <v>15</v>
      </c>
      <c r="DE1360" s="25">
        <v>0</v>
      </c>
      <c r="DF1360" s="23">
        <v>0.05</v>
      </c>
      <c r="DG1360" s="25">
        <v>0.03</v>
      </c>
      <c r="DH1360" s="24">
        <v>1</v>
      </c>
      <c r="DI1360" s="25">
        <v>0.38</v>
      </c>
      <c r="DJ1360" s="24">
        <v>32</v>
      </c>
      <c r="DK1360" s="25" t="s">
        <v>138</v>
      </c>
      <c r="DL1360" s="24" t="s">
        <v>138</v>
      </c>
      <c r="DM1360" s="25">
        <v>0.03</v>
      </c>
      <c r="DN1360" s="24">
        <v>1</v>
      </c>
      <c r="DO1360" s="25">
        <v>0.19</v>
      </c>
      <c r="DP1360" s="24">
        <v>24</v>
      </c>
      <c r="DQ1360" s="24" t="s">
        <v>138</v>
      </c>
      <c r="DR1360" s="26" t="s">
        <v>138</v>
      </c>
      <c r="DS1360" s="23" t="s">
        <v>138</v>
      </c>
      <c r="DT1360" s="24">
        <v>1</v>
      </c>
      <c r="DU1360" s="26">
        <v>0</v>
      </c>
      <c r="DV1360" s="23">
        <v>0</v>
      </c>
      <c r="DW1360" s="24">
        <v>67</v>
      </c>
      <c r="DX1360" s="27">
        <v>0</v>
      </c>
      <c r="DY1360" s="23">
        <v>0</v>
      </c>
      <c r="DZ1360" s="15" t="s">
        <v>178</v>
      </c>
      <c r="EA1360" s="22">
        <v>43374</v>
      </c>
      <c r="EB1360" s="17" t="s">
        <v>138</v>
      </c>
      <c r="EC1360" s="22" t="s">
        <v>138</v>
      </c>
      <c r="ED1360" s="15" t="s">
        <v>138</v>
      </c>
      <c r="EE1360" s="14" t="str">
        <f>HYPERLINK("https://my.pitchbook.com?c=96070-87", "View company online")</f>
        <v>View company online</v>
      </c>
    </row>
    <row r="1361" spans="1:135">
      <c r="A1361" s="28" t="s">
        <v>26221</v>
      </c>
      <c r="B1361" s="28" t="s">
        <v>26222</v>
      </c>
      <c r="C1361" s="28" t="s">
        <v>138</v>
      </c>
      <c r="D1361" s="28" t="s">
        <v>138</v>
      </c>
      <c r="E1361" s="28" t="s">
        <v>138</v>
      </c>
      <c r="F1361" s="28" t="s">
        <v>26221</v>
      </c>
      <c r="G1361" s="28" t="s">
        <v>26223</v>
      </c>
      <c r="H1361" s="28" t="s">
        <v>322</v>
      </c>
      <c r="I1361" s="28" t="s">
        <v>323</v>
      </c>
      <c r="J1361" s="28" t="s">
        <v>413</v>
      </c>
      <c r="K1361" s="28" t="s">
        <v>4164</v>
      </c>
      <c r="L1361" s="28" t="s">
        <v>26224</v>
      </c>
      <c r="M1361" s="28" t="s">
        <v>26225</v>
      </c>
      <c r="N1361" s="28" t="s">
        <v>147</v>
      </c>
      <c r="O1361" s="29">
        <v>4.5599999999999996</v>
      </c>
      <c r="P1361" s="28" t="s">
        <v>148</v>
      </c>
      <c r="Q1361" s="28" t="s">
        <v>149</v>
      </c>
      <c r="R1361" s="28" t="s">
        <v>174</v>
      </c>
      <c r="S1361" s="28" t="s">
        <v>26226</v>
      </c>
      <c r="T1361" s="30">
        <v>75</v>
      </c>
      <c r="U1361" s="28" t="s">
        <v>26227</v>
      </c>
      <c r="V1361" s="28" t="s">
        <v>138</v>
      </c>
      <c r="W1361" s="28" t="s">
        <v>138</v>
      </c>
      <c r="X1361" s="31">
        <v>2005</v>
      </c>
      <c r="Y1361" s="28" t="s">
        <v>138</v>
      </c>
      <c r="Z1361" s="28" t="s">
        <v>138</v>
      </c>
      <c r="AA1361" s="28" t="s">
        <v>138</v>
      </c>
      <c r="AB1361" s="32" t="s">
        <v>138</v>
      </c>
      <c r="AC1361" s="32" t="s">
        <v>138</v>
      </c>
      <c r="AD1361" s="32" t="s">
        <v>138</v>
      </c>
      <c r="AE1361" s="32" t="s">
        <v>138</v>
      </c>
      <c r="AF1361" s="32" t="s">
        <v>138</v>
      </c>
      <c r="AG1361" s="28" t="s">
        <v>138</v>
      </c>
      <c r="AH1361" s="32" t="s">
        <v>138</v>
      </c>
      <c r="AI1361" s="32" t="s">
        <v>138</v>
      </c>
      <c r="AJ1361" s="32" t="s">
        <v>138</v>
      </c>
      <c r="AK1361" s="28" t="s">
        <v>26228</v>
      </c>
      <c r="AL1361" s="28" t="s">
        <v>26229</v>
      </c>
      <c r="AM1361" s="28" t="s">
        <v>566</v>
      </c>
      <c r="AN1361" s="28" t="s">
        <v>26230</v>
      </c>
      <c r="AO1361" s="28" t="s">
        <v>26231</v>
      </c>
      <c r="AP1361" s="28" t="s">
        <v>1195</v>
      </c>
      <c r="AQ1361" s="28" t="s">
        <v>26232</v>
      </c>
      <c r="AR1361" s="28" t="s">
        <v>26233</v>
      </c>
      <c r="AS1361" s="28" t="s">
        <v>1198</v>
      </c>
      <c r="AT1361" s="28" t="s">
        <v>138</v>
      </c>
      <c r="AU1361" s="28" t="s">
        <v>26234</v>
      </c>
      <c r="AV1361" s="28" t="s">
        <v>1200</v>
      </c>
      <c r="AW1361" s="28" t="s">
        <v>26231</v>
      </c>
      <c r="AX1361" s="28" t="s">
        <v>26235</v>
      </c>
      <c r="AY1361" s="28" t="s">
        <v>26236</v>
      </c>
      <c r="AZ1361" s="28" t="s">
        <v>452</v>
      </c>
      <c r="BA1361" s="28" t="s">
        <v>453</v>
      </c>
      <c r="BB1361" s="28" t="s">
        <v>26237</v>
      </c>
      <c r="BC1361" s="28" t="s">
        <v>5683</v>
      </c>
      <c r="BD1361" s="33">
        <v>2</v>
      </c>
      <c r="BE1361" s="28" t="s">
        <v>138</v>
      </c>
      <c r="BF1361" s="28" t="s">
        <v>138</v>
      </c>
      <c r="BG1361" s="28" t="s">
        <v>138</v>
      </c>
      <c r="BH1361" s="28" t="s">
        <v>5684</v>
      </c>
      <c r="BI1361" s="28" t="s">
        <v>138</v>
      </c>
      <c r="BJ1361" s="28" t="s">
        <v>138</v>
      </c>
      <c r="BK1361" s="28" t="s">
        <v>138</v>
      </c>
      <c r="BL1361" s="28" t="s">
        <v>138</v>
      </c>
      <c r="BM1361" s="34">
        <v>42338</v>
      </c>
      <c r="BN1361" s="29" t="s">
        <v>138</v>
      </c>
      <c r="BO1361" s="28" t="s">
        <v>138</v>
      </c>
      <c r="BP1361" s="29" t="s">
        <v>138</v>
      </c>
      <c r="BQ1361" s="28" t="s">
        <v>138</v>
      </c>
      <c r="BR1361" s="28" t="s">
        <v>173</v>
      </c>
      <c r="BS1361" s="28" t="s">
        <v>206</v>
      </c>
      <c r="BT1361" s="28" t="s">
        <v>138</v>
      </c>
      <c r="BU1361" s="28" t="s">
        <v>174</v>
      </c>
      <c r="BV1361" s="28" t="s">
        <v>138</v>
      </c>
      <c r="BW1361" s="28" t="s">
        <v>138</v>
      </c>
      <c r="BX1361" s="28" t="s">
        <v>138</v>
      </c>
      <c r="BY1361" s="28" t="s">
        <v>175</v>
      </c>
      <c r="BZ1361" s="34">
        <v>43227</v>
      </c>
      <c r="CA1361" s="29">
        <v>4.5599999999999996</v>
      </c>
      <c r="CB1361" s="28" t="s">
        <v>172</v>
      </c>
      <c r="CC1361" s="29" t="s">
        <v>138</v>
      </c>
      <c r="CD1361" s="28" t="s">
        <v>138</v>
      </c>
      <c r="CE1361" s="28" t="s">
        <v>173</v>
      </c>
      <c r="CF1361" s="28" t="s">
        <v>720</v>
      </c>
      <c r="CG1361" s="28" t="s">
        <v>138</v>
      </c>
      <c r="CH1361" s="28" t="s">
        <v>174</v>
      </c>
      <c r="CI1361" s="28" t="s">
        <v>138</v>
      </c>
      <c r="CJ1361" s="28" t="s">
        <v>138</v>
      </c>
      <c r="CK1361" s="28" t="s">
        <v>138</v>
      </c>
      <c r="CL1361" s="28" t="s">
        <v>175</v>
      </c>
      <c r="CM1361" s="34" t="s">
        <v>138</v>
      </c>
      <c r="CN1361" s="29" t="s">
        <v>138</v>
      </c>
      <c r="CO1361" s="35">
        <v>-3.14</v>
      </c>
      <c r="CP1361" s="36">
        <v>3</v>
      </c>
      <c r="CQ1361" s="35">
        <v>0</v>
      </c>
      <c r="CR1361" s="35">
        <v>-0.03</v>
      </c>
      <c r="CS1361" s="35">
        <v>-6.24</v>
      </c>
      <c r="CT1361" s="36">
        <v>2</v>
      </c>
      <c r="CU1361" s="35">
        <v>-0.05</v>
      </c>
      <c r="CV1361" s="36">
        <v>9</v>
      </c>
      <c r="CW1361" s="35" t="s">
        <v>138</v>
      </c>
      <c r="CX1361" s="36" t="s">
        <v>138</v>
      </c>
      <c r="CY1361" s="35">
        <v>-6.24</v>
      </c>
      <c r="CZ1361" s="36">
        <v>2</v>
      </c>
      <c r="DA1361" s="35">
        <v>-0.12</v>
      </c>
      <c r="DB1361" s="36">
        <v>5</v>
      </c>
      <c r="DC1361" s="37">
        <v>10.76</v>
      </c>
      <c r="DD1361" s="36">
        <v>91</v>
      </c>
      <c r="DE1361" s="37">
        <v>0.04</v>
      </c>
      <c r="DF1361" s="35">
        <v>0.39</v>
      </c>
      <c r="DG1361" s="37">
        <v>15.34</v>
      </c>
      <c r="DH1361" s="36">
        <v>93</v>
      </c>
      <c r="DI1361" s="37">
        <v>6.18</v>
      </c>
      <c r="DJ1361" s="36">
        <v>80</v>
      </c>
      <c r="DK1361" s="37" t="s">
        <v>138</v>
      </c>
      <c r="DL1361" s="36" t="s">
        <v>138</v>
      </c>
      <c r="DM1361" s="37">
        <v>15.34</v>
      </c>
      <c r="DN1361" s="36">
        <v>92</v>
      </c>
      <c r="DO1361" s="37">
        <v>11.44</v>
      </c>
      <c r="DP1361" s="36">
        <v>88</v>
      </c>
      <c r="DQ1361" s="36" t="s">
        <v>138</v>
      </c>
      <c r="DR1361" s="38" t="s">
        <v>138</v>
      </c>
      <c r="DS1361" s="35" t="s">
        <v>138</v>
      </c>
      <c r="DT1361" s="36">
        <v>444</v>
      </c>
      <c r="DU1361" s="38">
        <v>1</v>
      </c>
      <c r="DV1361" s="35">
        <v>0.23</v>
      </c>
      <c r="DW1361" s="36">
        <v>4103</v>
      </c>
      <c r="DX1361" s="39">
        <v>-6</v>
      </c>
      <c r="DY1361" s="35">
        <v>-0.15</v>
      </c>
      <c r="DZ1361" s="28" t="s">
        <v>178</v>
      </c>
      <c r="EA1361" s="34">
        <v>43351</v>
      </c>
      <c r="EB1361" s="29" t="s">
        <v>138</v>
      </c>
      <c r="EC1361" s="34" t="s">
        <v>138</v>
      </c>
      <c r="ED1361" s="28" t="s">
        <v>138</v>
      </c>
      <c r="EE1361" s="40" t="str">
        <f>HYPERLINK("https://my.pitchbook.com?c=166271-50", "View company online")</f>
        <v>View company online</v>
      </c>
    </row>
    <row r="1362" spans="1:135">
      <c r="A1362" s="15" t="s">
        <v>26238</v>
      </c>
      <c r="B1362" s="15" t="s">
        <v>26239</v>
      </c>
      <c r="C1362" s="15" t="s">
        <v>138</v>
      </c>
      <c r="D1362" s="15" t="s">
        <v>138</v>
      </c>
      <c r="E1362" s="15" t="s">
        <v>26240</v>
      </c>
      <c r="F1362" s="15" t="s">
        <v>26238</v>
      </c>
      <c r="G1362" s="15" t="s">
        <v>26241</v>
      </c>
      <c r="H1362" s="15" t="s">
        <v>322</v>
      </c>
      <c r="I1362" s="15" t="s">
        <v>323</v>
      </c>
      <c r="J1362" s="15" t="s">
        <v>461</v>
      </c>
      <c r="K1362" s="15" t="s">
        <v>2209</v>
      </c>
      <c r="L1362" s="15" t="s">
        <v>2210</v>
      </c>
      <c r="M1362" s="15" t="s">
        <v>26242</v>
      </c>
      <c r="N1362" s="15" t="s">
        <v>147</v>
      </c>
      <c r="O1362" s="17">
        <v>43</v>
      </c>
      <c r="P1362" s="15" t="s">
        <v>148</v>
      </c>
      <c r="Q1362" s="15" t="s">
        <v>149</v>
      </c>
      <c r="R1362" s="15" t="s">
        <v>174</v>
      </c>
      <c r="S1362" s="15" t="s">
        <v>26243</v>
      </c>
      <c r="T1362" s="18">
        <v>64</v>
      </c>
      <c r="U1362" s="15" t="s">
        <v>26244</v>
      </c>
      <c r="V1362" s="15" t="s">
        <v>138</v>
      </c>
      <c r="W1362" s="15" t="s">
        <v>138</v>
      </c>
      <c r="X1362" s="19">
        <v>2010</v>
      </c>
      <c r="Y1362" s="15" t="s">
        <v>138</v>
      </c>
      <c r="Z1362" s="15" t="s">
        <v>138</v>
      </c>
      <c r="AA1362" s="15" t="s">
        <v>26245</v>
      </c>
      <c r="AB1362" s="20" t="s">
        <v>138</v>
      </c>
      <c r="AC1362" s="20" t="s">
        <v>138</v>
      </c>
      <c r="AD1362" s="20" t="s">
        <v>138</v>
      </c>
      <c r="AE1362" s="20" t="s">
        <v>138</v>
      </c>
      <c r="AF1362" s="20" t="s">
        <v>138</v>
      </c>
      <c r="AG1362" s="15" t="s">
        <v>138</v>
      </c>
      <c r="AH1362" s="20" t="s">
        <v>138</v>
      </c>
      <c r="AI1362" s="20" t="s">
        <v>138</v>
      </c>
      <c r="AJ1362" s="20" t="s">
        <v>138</v>
      </c>
      <c r="AK1362" s="15" t="s">
        <v>26246</v>
      </c>
      <c r="AL1362" s="15" t="s">
        <v>26247</v>
      </c>
      <c r="AM1362" s="15" t="s">
        <v>566</v>
      </c>
      <c r="AN1362" s="15" t="s">
        <v>26248</v>
      </c>
      <c r="AO1362" s="15" t="s">
        <v>26249</v>
      </c>
      <c r="AP1362" s="15" t="s">
        <v>423</v>
      </c>
      <c r="AQ1362" s="15" t="s">
        <v>26250</v>
      </c>
      <c r="AR1362" s="15" t="s">
        <v>26251</v>
      </c>
      <c r="AS1362" s="15" t="s">
        <v>426</v>
      </c>
      <c r="AT1362" s="15" t="s">
        <v>426</v>
      </c>
      <c r="AU1362" s="15" t="s">
        <v>9264</v>
      </c>
      <c r="AV1362" s="15" t="s">
        <v>162</v>
      </c>
      <c r="AW1362" s="15" t="s">
        <v>26249</v>
      </c>
      <c r="AX1362" s="15" t="s">
        <v>138</v>
      </c>
      <c r="AY1362" s="15" t="s">
        <v>26252</v>
      </c>
      <c r="AZ1362" s="15" t="s">
        <v>164</v>
      </c>
      <c r="BA1362" s="15" t="s">
        <v>165</v>
      </c>
      <c r="BB1362" s="15" t="s">
        <v>26253</v>
      </c>
      <c r="BC1362" s="15" t="s">
        <v>26254</v>
      </c>
      <c r="BD1362" s="21">
        <v>8</v>
      </c>
      <c r="BE1362" s="15" t="s">
        <v>138</v>
      </c>
      <c r="BF1362" s="15" t="s">
        <v>138</v>
      </c>
      <c r="BG1362" s="15" t="s">
        <v>138</v>
      </c>
      <c r="BH1362" s="15" t="s">
        <v>26255</v>
      </c>
      <c r="BI1362" s="15" t="s">
        <v>138</v>
      </c>
      <c r="BJ1362" s="15" t="s">
        <v>138</v>
      </c>
      <c r="BK1362" s="15" t="s">
        <v>138</v>
      </c>
      <c r="BL1362" s="15" t="s">
        <v>138</v>
      </c>
      <c r="BM1362" s="22">
        <v>42111</v>
      </c>
      <c r="BN1362" s="17">
        <v>5</v>
      </c>
      <c r="BO1362" s="15" t="s">
        <v>172</v>
      </c>
      <c r="BP1362" s="17">
        <v>14.58</v>
      </c>
      <c r="BQ1362" s="15" t="s">
        <v>172</v>
      </c>
      <c r="BR1362" s="15" t="s">
        <v>205</v>
      </c>
      <c r="BS1362" s="15" t="s">
        <v>206</v>
      </c>
      <c r="BT1362" s="15" t="s">
        <v>138</v>
      </c>
      <c r="BU1362" s="15" t="s">
        <v>174</v>
      </c>
      <c r="BV1362" s="15" t="s">
        <v>138</v>
      </c>
      <c r="BW1362" s="15" t="s">
        <v>138</v>
      </c>
      <c r="BX1362" s="15" t="s">
        <v>138</v>
      </c>
      <c r="BY1362" s="15" t="s">
        <v>175</v>
      </c>
      <c r="BZ1362" s="22">
        <v>42928</v>
      </c>
      <c r="CA1362" s="17">
        <v>28</v>
      </c>
      <c r="CB1362" s="15" t="s">
        <v>172</v>
      </c>
      <c r="CC1362" s="17">
        <v>103</v>
      </c>
      <c r="CD1362" s="15" t="s">
        <v>172</v>
      </c>
      <c r="CE1362" s="15" t="s">
        <v>173</v>
      </c>
      <c r="CF1362" s="15" t="s">
        <v>317</v>
      </c>
      <c r="CG1362" s="15" t="s">
        <v>138</v>
      </c>
      <c r="CH1362" s="15" t="s">
        <v>174</v>
      </c>
      <c r="CI1362" s="15" t="s">
        <v>138</v>
      </c>
      <c r="CJ1362" s="15" t="s">
        <v>138</v>
      </c>
      <c r="CK1362" s="15" t="s">
        <v>138</v>
      </c>
      <c r="CL1362" s="15" t="s">
        <v>175</v>
      </c>
      <c r="CM1362" s="22" t="s">
        <v>138</v>
      </c>
      <c r="CN1362" s="17" t="s">
        <v>138</v>
      </c>
      <c r="CO1362" s="23">
        <v>-0.24</v>
      </c>
      <c r="CP1362" s="24">
        <v>19</v>
      </c>
      <c r="CQ1362" s="23">
        <v>0.03</v>
      </c>
      <c r="CR1362" s="23">
        <v>9.9499999999999993</v>
      </c>
      <c r="CS1362" s="23">
        <v>-0.59</v>
      </c>
      <c r="CT1362" s="24">
        <v>19</v>
      </c>
      <c r="CU1362" s="23">
        <v>0.12</v>
      </c>
      <c r="CV1362" s="24">
        <v>71</v>
      </c>
      <c r="CW1362" s="23">
        <v>-0.14000000000000001</v>
      </c>
      <c r="CX1362" s="24">
        <v>12</v>
      </c>
      <c r="CY1362" s="23">
        <v>-1.05</v>
      </c>
      <c r="CZ1362" s="24">
        <v>18</v>
      </c>
      <c r="DA1362" s="23">
        <v>0.13</v>
      </c>
      <c r="DB1362" s="24">
        <v>76</v>
      </c>
      <c r="DC1362" s="25">
        <v>34.11</v>
      </c>
      <c r="DD1362" s="24">
        <v>97</v>
      </c>
      <c r="DE1362" s="25">
        <v>-0.27</v>
      </c>
      <c r="DF1362" s="23">
        <v>-0.78</v>
      </c>
      <c r="DG1362" s="25">
        <v>51.91</v>
      </c>
      <c r="DH1362" s="24">
        <v>98</v>
      </c>
      <c r="DI1362" s="25">
        <v>16.309999999999999</v>
      </c>
      <c r="DJ1362" s="24">
        <v>89</v>
      </c>
      <c r="DK1362" s="25">
        <v>16.989999999999998</v>
      </c>
      <c r="DL1362" s="24">
        <v>91</v>
      </c>
      <c r="DM1362" s="25">
        <v>86.83</v>
      </c>
      <c r="DN1362" s="24">
        <v>99</v>
      </c>
      <c r="DO1362" s="25">
        <v>32.119999999999997</v>
      </c>
      <c r="DP1362" s="24">
        <v>95</v>
      </c>
      <c r="DQ1362" s="24">
        <v>5766</v>
      </c>
      <c r="DR1362" s="26">
        <v>183</v>
      </c>
      <c r="DS1362" s="23">
        <v>3.28</v>
      </c>
      <c r="DT1362" s="24">
        <v>2507</v>
      </c>
      <c r="DU1362" s="26">
        <v>20</v>
      </c>
      <c r="DV1362" s="23">
        <v>0.8</v>
      </c>
      <c r="DW1362" s="24">
        <v>11497</v>
      </c>
      <c r="DX1362" s="27">
        <v>1</v>
      </c>
      <c r="DY1362" s="23">
        <v>0.01</v>
      </c>
      <c r="DZ1362" s="15" t="s">
        <v>178</v>
      </c>
      <c r="EA1362" s="22">
        <v>43351</v>
      </c>
      <c r="EB1362" s="17">
        <v>103</v>
      </c>
      <c r="EC1362" s="22">
        <v>42928</v>
      </c>
      <c r="ED1362" s="15" t="s">
        <v>173</v>
      </c>
      <c r="EE1362" s="14" t="str">
        <f>HYPERLINK("https://my.pitchbook.com?c=111874-69", "View company online")</f>
        <v>View company online</v>
      </c>
    </row>
    <row r="1363" spans="1:135">
      <c r="A1363" s="28" t="s">
        <v>26256</v>
      </c>
      <c r="B1363" s="28" t="s">
        <v>26257</v>
      </c>
      <c r="C1363" s="28" t="s">
        <v>138</v>
      </c>
      <c r="D1363" s="28" t="s">
        <v>138</v>
      </c>
      <c r="E1363" s="28" t="s">
        <v>138</v>
      </c>
      <c r="F1363" s="28" t="s">
        <v>26256</v>
      </c>
      <c r="G1363" s="28" t="s">
        <v>26258</v>
      </c>
      <c r="H1363" s="28" t="s">
        <v>322</v>
      </c>
      <c r="I1363" s="28" t="s">
        <v>356</v>
      </c>
      <c r="J1363" s="28" t="s">
        <v>1901</v>
      </c>
      <c r="K1363" s="28" t="s">
        <v>26259</v>
      </c>
      <c r="L1363" s="28" t="s">
        <v>242</v>
      </c>
      <c r="M1363" s="28" t="s">
        <v>26260</v>
      </c>
      <c r="N1363" s="28" t="s">
        <v>147</v>
      </c>
      <c r="O1363" s="29">
        <v>30.5</v>
      </c>
      <c r="P1363" s="28" t="s">
        <v>148</v>
      </c>
      <c r="Q1363" s="28" t="s">
        <v>149</v>
      </c>
      <c r="R1363" s="28" t="s">
        <v>328</v>
      </c>
      <c r="S1363" s="28" t="s">
        <v>26261</v>
      </c>
      <c r="T1363" s="30">
        <v>223</v>
      </c>
      <c r="U1363" s="28" t="s">
        <v>26262</v>
      </c>
      <c r="V1363" s="28" t="s">
        <v>138</v>
      </c>
      <c r="W1363" s="28" t="s">
        <v>138</v>
      </c>
      <c r="X1363" s="31">
        <v>1996</v>
      </c>
      <c r="Y1363" s="28" t="s">
        <v>138</v>
      </c>
      <c r="Z1363" s="28" t="s">
        <v>138</v>
      </c>
      <c r="AA1363" s="28" t="s">
        <v>138</v>
      </c>
      <c r="AB1363" s="32" t="s">
        <v>138</v>
      </c>
      <c r="AC1363" s="32" t="s">
        <v>138</v>
      </c>
      <c r="AD1363" s="32" t="s">
        <v>138</v>
      </c>
      <c r="AE1363" s="32" t="s">
        <v>138</v>
      </c>
      <c r="AF1363" s="32" t="s">
        <v>138</v>
      </c>
      <c r="AG1363" s="28" t="s">
        <v>138</v>
      </c>
      <c r="AH1363" s="32" t="s">
        <v>138</v>
      </c>
      <c r="AI1363" s="32" t="s">
        <v>138</v>
      </c>
      <c r="AJ1363" s="32" t="s">
        <v>138</v>
      </c>
      <c r="AK1363" s="28" t="s">
        <v>26263</v>
      </c>
      <c r="AL1363" s="28" t="s">
        <v>26264</v>
      </c>
      <c r="AM1363" s="28" t="s">
        <v>566</v>
      </c>
      <c r="AN1363" s="28" t="s">
        <v>26265</v>
      </c>
      <c r="AO1363" s="28" t="s">
        <v>26266</v>
      </c>
      <c r="AP1363" s="28" t="s">
        <v>26267</v>
      </c>
      <c r="AQ1363" s="28" t="s">
        <v>26268</v>
      </c>
      <c r="AR1363" s="28" t="s">
        <v>26269</v>
      </c>
      <c r="AS1363" s="28" t="s">
        <v>26270</v>
      </c>
      <c r="AT1363" s="28" t="s">
        <v>138</v>
      </c>
      <c r="AU1363" s="28" t="s">
        <v>26271</v>
      </c>
      <c r="AV1363" s="28" t="s">
        <v>740</v>
      </c>
      <c r="AW1363" s="28" t="s">
        <v>26266</v>
      </c>
      <c r="AX1363" s="28" t="s">
        <v>26272</v>
      </c>
      <c r="AY1363" s="28" t="s">
        <v>26273</v>
      </c>
      <c r="AZ1363" s="28" t="s">
        <v>742</v>
      </c>
      <c r="BA1363" s="28" t="s">
        <v>742</v>
      </c>
      <c r="BB1363" s="28" t="s">
        <v>26274</v>
      </c>
      <c r="BC1363" s="28" t="s">
        <v>26275</v>
      </c>
      <c r="BD1363" s="33">
        <v>17</v>
      </c>
      <c r="BE1363" s="28" t="s">
        <v>138</v>
      </c>
      <c r="BF1363" s="28" t="s">
        <v>26276</v>
      </c>
      <c r="BG1363" s="28" t="s">
        <v>138</v>
      </c>
      <c r="BH1363" s="28" t="s">
        <v>26277</v>
      </c>
      <c r="BI1363" s="28" t="s">
        <v>26278</v>
      </c>
      <c r="BJ1363" s="28" t="s">
        <v>138</v>
      </c>
      <c r="BK1363" s="28" t="s">
        <v>26279</v>
      </c>
      <c r="BL1363" s="28" t="s">
        <v>26280</v>
      </c>
      <c r="BM1363" s="34" t="s">
        <v>138</v>
      </c>
      <c r="BN1363" s="29" t="s">
        <v>138</v>
      </c>
      <c r="BO1363" s="28" t="s">
        <v>138</v>
      </c>
      <c r="BP1363" s="29" t="s">
        <v>138</v>
      </c>
      <c r="BQ1363" s="28" t="s">
        <v>138</v>
      </c>
      <c r="BR1363" s="28" t="s">
        <v>205</v>
      </c>
      <c r="BS1363" s="28" t="s">
        <v>206</v>
      </c>
      <c r="BT1363" s="28" t="s">
        <v>138</v>
      </c>
      <c r="BU1363" s="28" t="s">
        <v>174</v>
      </c>
      <c r="BV1363" s="28" t="s">
        <v>138</v>
      </c>
      <c r="BW1363" s="28" t="s">
        <v>138</v>
      </c>
      <c r="BX1363" s="28" t="s">
        <v>138</v>
      </c>
      <c r="BY1363" s="28" t="s">
        <v>175</v>
      </c>
      <c r="BZ1363" s="34" t="s">
        <v>138</v>
      </c>
      <c r="CA1363" s="29" t="s">
        <v>138</v>
      </c>
      <c r="CB1363" s="28" t="s">
        <v>138</v>
      </c>
      <c r="CC1363" s="29" t="s">
        <v>138</v>
      </c>
      <c r="CD1363" s="28" t="s">
        <v>138</v>
      </c>
      <c r="CE1363" s="28" t="s">
        <v>379</v>
      </c>
      <c r="CF1363" s="28" t="s">
        <v>138</v>
      </c>
      <c r="CG1363" s="28" t="s">
        <v>138</v>
      </c>
      <c r="CH1363" s="28" t="s">
        <v>351</v>
      </c>
      <c r="CI1363" s="28" t="s">
        <v>138</v>
      </c>
      <c r="CJ1363" s="28" t="s">
        <v>138</v>
      </c>
      <c r="CK1363" s="28" t="s">
        <v>138</v>
      </c>
      <c r="CL1363" s="28" t="s">
        <v>175</v>
      </c>
      <c r="CM1363" s="34">
        <v>38880</v>
      </c>
      <c r="CN1363" s="29" t="s">
        <v>138</v>
      </c>
      <c r="CO1363" s="35">
        <v>-0.98</v>
      </c>
      <c r="CP1363" s="36">
        <v>11</v>
      </c>
      <c r="CQ1363" s="35">
        <v>0.06</v>
      </c>
      <c r="CR1363" s="35">
        <v>6.11</v>
      </c>
      <c r="CS1363" s="35">
        <v>-1.9</v>
      </c>
      <c r="CT1363" s="36">
        <v>9</v>
      </c>
      <c r="CU1363" s="35">
        <v>-0.06</v>
      </c>
      <c r="CV1363" s="36">
        <v>8</v>
      </c>
      <c r="CW1363" s="35" t="s">
        <v>138</v>
      </c>
      <c r="CX1363" s="36" t="s">
        <v>138</v>
      </c>
      <c r="CY1363" s="35">
        <v>-1.9</v>
      </c>
      <c r="CZ1363" s="36">
        <v>12</v>
      </c>
      <c r="DA1363" s="35">
        <v>-0.06</v>
      </c>
      <c r="DB1363" s="36">
        <v>11</v>
      </c>
      <c r="DC1363" s="37">
        <v>5.63</v>
      </c>
      <c r="DD1363" s="36">
        <v>84</v>
      </c>
      <c r="DE1363" s="37">
        <v>-0.01</v>
      </c>
      <c r="DF1363" s="35">
        <v>-0.2</v>
      </c>
      <c r="DG1363" s="37">
        <v>9.66</v>
      </c>
      <c r="DH1363" s="36">
        <v>89</v>
      </c>
      <c r="DI1363" s="37">
        <v>1.61</v>
      </c>
      <c r="DJ1363" s="36">
        <v>58</v>
      </c>
      <c r="DK1363" s="37" t="s">
        <v>138</v>
      </c>
      <c r="DL1363" s="36" t="s">
        <v>138</v>
      </c>
      <c r="DM1363" s="37">
        <v>9.66</v>
      </c>
      <c r="DN1363" s="36">
        <v>88</v>
      </c>
      <c r="DO1363" s="37">
        <v>1.61</v>
      </c>
      <c r="DP1363" s="36">
        <v>59</v>
      </c>
      <c r="DQ1363" s="36" t="s">
        <v>138</v>
      </c>
      <c r="DR1363" s="38" t="s">
        <v>138</v>
      </c>
      <c r="DS1363" s="35" t="s">
        <v>138</v>
      </c>
      <c r="DT1363" s="36">
        <v>280</v>
      </c>
      <c r="DU1363" s="38">
        <v>-1</v>
      </c>
      <c r="DV1363" s="35">
        <v>-0.36</v>
      </c>
      <c r="DW1363" s="36">
        <v>574</v>
      </c>
      <c r="DX1363" s="39">
        <v>0</v>
      </c>
      <c r="DY1363" s="35">
        <v>0</v>
      </c>
      <c r="DZ1363" s="28" t="s">
        <v>178</v>
      </c>
      <c r="EA1363" s="34">
        <v>43351</v>
      </c>
      <c r="EB1363" s="29" t="s">
        <v>138</v>
      </c>
      <c r="EC1363" s="34" t="s">
        <v>138</v>
      </c>
      <c r="ED1363" s="28" t="s">
        <v>138</v>
      </c>
      <c r="EE1363" s="40" t="str">
        <f>HYPERLINK("https://my.pitchbook.com?c=52142-05", "View company online")</f>
        <v>View company online</v>
      </c>
    </row>
    <row r="1364" spans="1:135">
      <c r="A1364" s="15" t="s">
        <v>26281</v>
      </c>
      <c r="B1364" s="15" t="s">
        <v>26282</v>
      </c>
      <c r="C1364" s="15" t="s">
        <v>138</v>
      </c>
      <c r="D1364" s="15" t="s">
        <v>138</v>
      </c>
      <c r="E1364" s="15" t="s">
        <v>26283</v>
      </c>
      <c r="F1364" s="15" t="s">
        <v>26281</v>
      </c>
      <c r="G1364" s="15" t="s">
        <v>26284</v>
      </c>
      <c r="H1364" s="15" t="s">
        <v>322</v>
      </c>
      <c r="I1364" s="15" t="s">
        <v>323</v>
      </c>
      <c r="J1364" s="15" t="s">
        <v>461</v>
      </c>
      <c r="K1364" s="15" t="s">
        <v>462</v>
      </c>
      <c r="L1364" s="15" t="s">
        <v>463</v>
      </c>
      <c r="M1364" s="15" t="s">
        <v>26285</v>
      </c>
      <c r="N1364" s="15" t="s">
        <v>1212</v>
      </c>
      <c r="O1364" s="17">
        <v>31.5</v>
      </c>
      <c r="P1364" s="15" t="s">
        <v>148</v>
      </c>
      <c r="Q1364" s="15" t="s">
        <v>149</v>
      </c>
      <c r="R1364" s="15" t="s">
        <v>174</v>
      </c>
      <c r="S1364" s="15" t="s">
        <v>26286</v>
      </c>
      <c r="T1364" s="18">
        <v>68</v>
      </c>
      <c r="U1364" s="15" t="s">
        <v>26287</v>
      </c>
      <c r="V1364" s="15" t="s">
        <v>138</v>
      </c>
      <c r="W1364" s="15" t="s">
        <v>138</v>
      </c>
      <c r="X1364" s="19">
        <v>2009</v>
      </c>
      <c r="Y1364" s="15" t="s">
        <v>138</v>
      </c>
      <c r="Z1364" s="15" t="s">
        <v>138</v>
      </c>
      <c r="AA1364" s="15" t="s">
        <v>138</v>
      </c>
      <c r="AB1364" s="20" t="s">
        <v>138</v>
      </c>
      <c r="AC1364" s="20" t="s">
        <v>138</v>
      </c>
      <c r="AD1364" s="20" t="s">
        <v>138</v>
      </c>
      <c r="AE1364" s="20" t="s">
        <v>138</v>
      </c>
      <c r="AF1364" s="20" t="s">
        <v>138</v>
      </c>
      <c r="AG1364" s="15" t="s">
        <v>138</v>
      </c>
      <c r="AH1364" s="20" t="s">
        <v>138</v>
      </c>
      <c r="AI1364" s="20" t="s">
        <v>138</v>
      </c>
      <c r="AJ1364" s="20" t="s">
        <v>138</v>
      </c>
      <c r="AK1364" s="15" t="s">
        <v>26288</v>
      </c>
      <c r="AL1364" s="15" t="s">
        <v>26289</v>
      </c>
      <c r="AM1364" s="15" t="s">
        <v>26290</v>
      </c>
      <c r="AN1364" s="15" t="s">
        <v>26291</v>
      </c>
      <c r="AO1364" s="15" t="s">
        <v>138</v>
      </c>
      <c r="AP1364" s="15" t="s">
        <v>3905</v>
      </c>
      <c r="AQ1364" s="15" t="s">
        <v>26292</v>
      </c>
      <c r="AR1364" s="15" t="s">
        <v>26293</v>
      </c>
      <c r="AS1364" s="15" t="s">
        <v>3907</v>
      </c>
      <c r="AT1364" s="15" t="s">
        <v>2740</v>
      </c>
      <c r="AU1364" s="15" t="s">
        <v>26294</v>
      </c>
      <c r="AV1364" s="15" t="s">
        <v>2742</v>
      </c>
      <c r="AW1364" s="15" t="s">
        <v>138</v>
      </c>
      <c r="AX1364" s="15" t="s">
        <v>138</v>
      </c>
      <c r="AY1364" s="15" t="s">
        <v>26295</v>
      </c>
      <c r="AZ1364" s="15" t="s">
        <v>164</v>
      </c>
      <c r="BA1364" s="15" t="s">
        <v>165</v>
      </c>
      <c r="BB1364" s="15" t="s">
        <v>26296</v>
      </c>
      <c r="BC1364" s="15" t="s">
        <v>138</v>
      </c>
      <c r="BD1364" s="21" t="s">
        <v>138</v>
      </c>
      <c r="BE1364" s="15" t="s">
        <v>26297</v>
      </c>
      <c r="BF1364" s="15" t="s">
        <v>26298</v>
      </c>
      <c r="BG1364" s="15" t="s">
        <v>138</v>
      </c>
      <c r="BH1364" s="15" t="s">
        <v>138</v>
      </c>
      <c r="BI1364" s="15" t="s">
        <v>26299</v>
      </c>
      <c r="BJ1364" s="15" t="s">
        <v>138</v>
      </c>
      <c r="BK1364" s="15" t="s">
        <v>138</v>
      </c>
      <c r="BL1364" s="15" t="s">
        <v>26300</v>
      </c>
      <c r="BM1364" s="22" t="s">
        <v>138</v>
      </c>
      <c r="BN1364" s="17" t="s">
        <v>138</v>
      </c>
      <c r="BO1364" s="15" t="s">
        <v>138</v>
      </c>
      <c r="BP1364" s="17" t="s">
        <v>138</v>
      </c>
      <c r="BQ1364" s="15" t="s">
        <v>138</v>
      </c>
      <c r="BR1364" s="15" t="s">
        <v>205</v>
      </c>
      <c r="BS1364" s="15" t="s">
        <v>138</v>
      </c>
      <c r="BT1364" s="15" t="s">
        <v>138</v>
      </c>
      <c r="BU1364" s="15" t="s">
        <v>174</v>
      </c>
      <c r="BV1364" s="15" t="s">
        <v>138</v>
      </c>
      <c r="BW1364" s="15" t="s">
        <v>138</v>
      </c>
      <c r="BX1364" s="15" t="s">
        <v>138</v>
      </c>
      <c r="BY1364" s="15" t="s">
        <v>175</v>
      </c>
      <c r="BZ1364" s="22">
        <v>41793</v>
      </c>
      <c r="CA1364" s="17" t="s">
        <v>138</v>
      </c>
      <c r="CB1364" s="15" t="s">
        <v>138</v>
      </c>
      <c r="CC1364" s="17" t="s">
        <v>138</v>
      </c>
      <c r="CD1364" s="15" t="s">
        <v>138</v>
      </c>
      <c r="CE1364" s="15" t="s">
        <v>2228</v>
      </c>
      <c r="CF1364" s="15" t="s">
        <v>138</v>
      </c>
      <c r="CG1364" s="15" t="s">
        <v>138</v>
      </c>
      <c r="CH1364" s="15" t="s">
        <v>780</v>
      </c>
      <c r="CI1364" s="15" t="s">
        <v>138</v>
      </c>
      <c r="CJ1364" s="15" t="s">
        <v>138</v>
      </c>
      <c r="CK1364" s="15" t="s">
        <v>138</v>
      </c>
      <c r="CL1364" s="15" t="s">
        <v>175</v>
      </c>
      <c r="CM1364" s="22" t="s">
        <v>138</v>
      </c>
      <c r="CN1364" s="17" t="s">
        <v>138</v>
      </c>
      <c r="CO1364" s="23" t="s">
        <v>138</v>
      </c>
      <c r="CP1364" s="24" t="s">
        <v>138</v>
      </c>
      <c r="CQ1364" s="23" t="s">
        <v>138</v>
      </c>
      <c r="CR1364" s="23" t="s">
        <v>138</v>
      </c>
      <c r="CS1364" s="23" t="s">
        <v>138</v>
      </c>
      <c r="CT1364" s="24" t="s">
        <v>138</v>
      </c>
      <c r="CU1364" s="23" t="s">
        <v>138</v>
      </c>
      <c r="CV1364" s="24" t="s">
        <v>138</v>
      </c>
      <c r="CW1364" s="23" t="s">
        <v>138</v>
      </c>
      <c r="CX1364" s="24" t="s">
        <v>138</v>
      </c>
      <c r="CY1364" s="23" t="s">
        <v>138</v>
      </c>
      <c r="CZ1364" s="24" t="s">
        <v>138</v>
      </c>
      <c r="DA1364" s="23" t="s">
        <v>138</v>
      </c>
      <c r="DB1364" s="24" t="s">
        <v>138</v>
      </c>
      <c r="DC1364" s="25" t="s">
        <v>138</v>
      </c>
      <c r="DD1364" s="24" t="s">
        <v>138</v>
      </c>
      <c r="DE1364" s="25" t="s">
        <v>138</v>
      </c>
      <c r="DF1364" s="23" t="s">
        <v>138</v>
      </c>
      <c r="DG1364" s="25" t="s">
        <v>138</v>
      </c>
      <c r="DH1364" s="24" t="s">
        <v>138</v>
      </c>
      <c r="DI1364" s="25" t="s">
        <v>138</v>
      </c>
      <c r="DJ1364" s="24" t="s">
        <v>138</v>
      </c>
      <c r="DK1364" s="25" t="s">
        <v>138</v>
      </c>
      <c r="DL1364" s="24" t="s">
        <v>138</v>
      </c>
      <c r="DM1364" s="25" t="s">
        <v>138</v>
      </c>
      <c r="DN1364" s="24" t="s">
        <v>138</v>
      </c>
      <c r="DO1364" s="25" t="s">
        <v>138</v>
      </c>
      <c r="DP1364" s="24" t="s">
        <v>138</v>
      </c>
      <c r="DQ1364" s="24" t="s">
        <v>138</v>
      </c>
      <c r="DR1364" s="26" t="s">
        <v>138</v>
      </c>
      <c r="DS1364" s="23" t="s">
        <v>138</v>
      </c>
      <c r="DT1364" s="24" t="s">
        <v>138</v>
      </c>
      <c r="DU1364" s="26" t="s">
        <v>138</v>
      </c>
      <c r="DV1364" s="23" t="s">
        <v>138</v>
      </c>
      <c r="DW1364" s="24" t="s">
        <v>138</v>
      </c>
      <c r="DX1364" s="27" t="s">
        <v>138</v>
      </c>
      <c r="DY1364" s="23" t="s">
        <v>138</v>
      </c>
      <c r="DZ1364" s="15" t="s">
        <v>178</v>
      </c>
      <c r="EA1364" s="22">
        <v>43351</v>
      </c>
      <c r="EB1364" s="17" t="s">
        <v>138</v>
      </c>
      <c r="EC1364" s="22" t="s">
        <v>138</v>
      </c>
      <c r="ED1364" s="15" t="s">
        <v>138</v>
      </c>
      <c r="EE1364" s="14" t="str">
        <f>HYPERLINK("https://my.pitchbook.com?c=52239-70", "View company online")</f>
        <v>View company online</v>
      </c>
    </row>
    <row r="1365" spans="1:135">
      <c r="A1365" s="28" t="s">
        <v>26301</v>
      </c>
      <c r="B1365" s="28" t="s">
        <v>26302</v>
      </c>
      <c r="C1365" s="28" t="s">
        <v>138</v>
      </c>
      <c r="D1365" s="28" t="s">
        <v>138</v>
      </c>
      <c r="E1365" s="28" t="s">
        <v>138</v>
      </c>
      <c r="F1365" s="28" t="s">
        <v>26301</v>
      </c>
      <c r="G1365" s="28" t="s">
        <v>26303</v>
      </c>
      <c r="H1365" s="28" t="s">
        <v>322</v>
      </c>
      <c r="I1365" s="28" t="s">
        <v>1208</v>
      </c>
      <c r="J1365" s="28" t="s">
        <v>1209</v>
      </c>
      <c r="K1365" s="28" t="s">
        <v>11520</v>
      </c>
      <c r="L1365" s="28" t="s">
        <v>359</v>
      </c>
      <c r="M1365" s="28" t="s">
        <v>26304</v>
      </c>
      <c r="N1365" s="28" t="s">
        <v>147</v>
      </c>
      <c r="O1365" s="29" t="s">
        <v>138</v>
      </c>
      <c r="P1365" s="28" t="s">
        <v>148</v>
      </c>
      <c r="Q1365" s="28" t="s">
        <v>149</v>
      </c>
      <c r="R1365" s="28" t="s">
        <v>174</v>
      </c>
      <c r="S1365" s="28" t="s">
        <v>26305</v>
      </c>
      <c r="T1365" s="30" t="s">
        <v>138</v>
      </c>
      <c r="U1365" s="28" t="s">
        <v>138</v>
      </c>
      <c r="V1365" s="28" t="s">
        <v>138</v>
      </c>
      <c r="W1365" s="28" t="s">
        <v>138</v>
      </c>
      <c r="X1365" s="31">
        <v>2003</v>
      </c>
      <c r="Y1365" s="28" t="s">
        <v>138</v>
      </c>
      <c r="Z1365" s="28" t="s">
        <v>138</v>
      </c>
      <c r="AA1365" s="28" t="s">
        <v>138</v>
      </c>
      <c r="AB1365" s="32" t="s">
        <v>138</v>
      </c>
      <c r="AC1365" s="32" t="s">
        <v>138</v>
      </c>
      <c r="AD1365" s="32" t="s">
        <v>138</v>
      </c>
      <c r="AE1365" s="32" t="s">
        <v>138</v>
      </c>
      <c r="AF1365" s="32" t="s">
        <v>138</v>
      </c>
      <c r="AG1365" s="28" t="s">
        <v>138</v>
      </c>
      <c r="AH1365" s="32" t="s">
        <v>138</v>
      </c>
      <c r="AI1365" s="32" t="s">
        <v>138</v>
      </c>
      <c r="AJ1365" s="32" t="s">
        <v>138</v>
      </c>
      <c r="AK1365" s="28" t="s">
        <v>138</v>
      </c>
      <c r="AL1365" s="28" t="s">
        <v>138</v>
      </c>
      <c r="AM1365" s="28" t="s">
        <v>138</v>
      </c>
      <c r="AN1365" s="28" t="s">
        <v>138</v>
      </c>
      <c r="AO1365" s="28" t="s">
        <v>138</v>
      </c>
      <c r="AP1365" s="28" t="s">
        <v>26306</v>
      </c>
      <c r="AQ1365" s="28" t="s">
        <v>26307</v>
      </c>
      <c r="AR1365" s="28" t="s">
        <v>26308</v>
      </c>
      <c r="AS1365" s="28" t="s">
        <v>26309</v>
      </c>
      <c r="AT1365" s="28" t="s">
        <v>26310</v>
      </c>
      <c r="AU1365" s="28" t="s">
        <v>138</v>
      </c>
      <c r="AV1365" s="28" t="s">
        <v>2071</v>
      </c>
      <c r="AW1365" s="28" t="s">
        <v>26311</v>
      </c>
      <c r="AX1365" s="28" t="s">
        <v>26312</v>
      </c>
      <c r="AY1365" s="28" t="s">
        <v>138</v>
      </c>
      <c r="AZ1365" s="28" t="s">
        <v>452</v>
      </c>
      <c r="BA1365" s="28" t="s">
        <v>453</v>
      </c>
      <c r="BB1365" s="28" t="s">
        <v>26313</v>
      </c>
      <c r="BC1365" s="28" t="s">
        <v>26314</v>
      </c>
      <c r="BD1365" s="33">
        <v>2</v>
      </c>
      <c r="BE1365" s="28" t="s">
        <v>138</v>
      </c>
      <c r="BF1365" s="28" t="s">
        <v>138</v>
      </c>
      <c r="BG1365" s="28" t="s">
        <v>138</v>
      </c>
      <c r="BH1365" s="28" t="s">
        <v>22726</v>
      </c>
      <c r="BI1365" s="28" t="s">
        <v>138</v>
      </c>
      <c r="BJ1365" s="28" t="s">
        <v>138</v>
      </c>
      <c r="BK1365" s="28" t="s">
        <v>138</v>
      </c>
      <c r="BL1365" s="28" t="s">
        <v>138</v>
      </c>
      <c r="BM1365" s="34">
        <v>40179</v>
      </c>
      <c r="BN1365" s="29" t="s">
        <v>138</v>
      </c>
      <c r="BO1365" s="28" t="s">
        <v>138</v>
      </c>
      <c r="BP1365" s="29" t="s">
        <v>138</v>
      </c>
      <c r="BQ1365" s="28" t="s">
        <v>138</v>
      </c>
      <c r="BR1365" s="28" t="s">
        <v>173</v>
      </c>
      <c r="BS1365" s="28" t="s">
        <v>138</v>
      </c>
      <c r="BT1365" s="28" t="s">
        <v>138</v>
      </c>
      <c r="BU1365" s="28" t="s">
        <v>174</v>
      </c>
      <c r="BV1365" s="28" t="s">
        <v>138</v>
      </c>
      <c r="BW1365" s="28" t="s">
        <v>138</v>
      </c>
      <c r="BX1365" s="28" t="s">
        <v>138</v>
      </c>
      <c r="BY1365" s="28" t="s">
        <v>175</v>
      </c>
      <c r="BZ1365" s="34">
        <v>40544</v>
      </c>
      <c r="CA1365" s="29" t="s">
        <v>138</v>
      </c>
      <c r="CB1365" s="28" t="s">
        <v>138</v>
      </c>
      <c r="CC1365" s="29" t="s">
        <v>138</v>
      </c>
      <c r="CD1365" s="28" t="s">
        <v>138</v>
      </c>
      <c r="CE1365" s="28" t="s">
        <v>173</v>
      </c>
      <c r="CF1365" s="28" t="s">
        <v>138</v>
      </c>
      <c r="CG1365" s="28" t="s">
        <v>138</v>
      </c>
      <c r="CH1365" s="28" t="s">
        <v>174</v>
      </c>
      <c r="CI1365" s="28" t="s">
        <v>138</v>
      </c>
      <c r="CJ1365" s="28" t="s">
        <v>138</v>
      </c>
      <c r="CK1365" s="28" t="s">
        <v>138</v>
      </c>
      <c r="CL1365" s="28" t="s">
        <v>175</v>
      </c>
      <c r="CM1365" s="34" t="s">
        <v>138</v>
      </c>
      <c r="CN1365" s="29" t="s">
        <v>138</v>
      </c>
      <c r="CO1365" s="35">
        <v>0</v>
      </c>
      <c r="CP1365" s="36">
        <v>26</v>
      </c>
      <c r="CQ1365" s="35">
        <v>0</v>
      </c>
      <c r="CR1365" s="35">
        <v>0</v>
      </c>
      <c r="CS1365" s="35">
        <v>0</v>
      </c>
      <c r="CT1365" s="36">
        <v>23</v>
      </c>
      <c r="CU1365" s="35" t="s">
        <v>138</v>
      </c>
      <c r="CV1365" s="36" t="s">
        <v>138</v>
      </c>
      <c r="CW1365" s="35" t="s">
        <v>138</v>
      </c>
      <c r="CX1365" s="36" t="s">
        <v>138</v>
      </c>
      <c r="CY1365" s="35">
        <v>0</v>
      </c>
      <c r="CZ1365" s="36">
        <v>25</v>
      </c>
      <c r="DA1365" s="35" t="s">
        <v>138</v>
      </c>
      <c r="DB1365" s="36" t="s">
        <v>138</v>
      </c>
      <c r="DC1365" s="37">
        <v>0.1</v>
      </c>
      <c r="DD1365" s="36">
        <v>7</v>
      </c>
      <c r="DE1365" s="37">
        <v>0</v>
      </c>
      <c r="DF1365" s="35">
        <v>0</v>
      </c>
      <c r="DG1365" s="37">
        <v>0.1</v>
      </c>
      <c r="DH1365" s="36">
        <v>7</v>
      </c>
      <c r="DI1365" s="37" t="s">
        <v>138</v>
      </c>
      <c r="DJ1365" s="36" t="s">
        <v>138</v>
      </c>
      <c r="DK1365" s="37" t="s">
        <v>138</v>
      </c>
      <c r="DL1365" s="36" t="s">
        <v>138</v>
      </c>
      <c r="DM1365" s="37">
        <v>0.1</v>
      </c>
      <c r="DN1365" s="36">
        <v>8</v>
      </c>
      <c r="DO1365" s="37" t="s">
        <v>138</v>
      </c>
      <c r="DP1365" s="36" t="s">
        <v>138</v>
      </c>
      <c r="DQ1365" s="36" t="s">
        <v>138</v>
      </c>
      <c r="DR1365" s="38" t="s">
        <v>138</v>
      </c>
      <c r="DS1365" s="35" t="s">
        <v>138</v>
      </c>
      <c r="DT1365" s="36">
        <v>3</v>
      </c>
      <c r="DU1365" s="38">
        <v>0</v>
      </c>
      <c r="DV1365" s="35">
        <v>0</v>
      </c>
      <c r="DW1365" s="36" t="s">
        <v>138</v>
      </c>
      <c r="DX1365" s="39" t="s">
        <v>138</v>
      </c>
      <c r="DY1365" s="35" t="s">
        <v>138</v>
      </c>
      <c r="DZ1365" s="28" t="s">
        <v>178</v>
      </c>
      <c r="EA1365" s="34">
        <v>43351</v>
      </c>
      <c r="EB1365" s="29" t="s">
        <v>138</v>
      </c>
      <c r="EC1365" s="34" t="s">
        <v>138</v>
      </c>
      <c r="ED1365" s="28" t="s">
        <v>138</v>
      </c>
      <c r="EE1365" s="40" t="str">
        <f>HYPERLINK("https://my.pitchbook.com?c=107206-48", "View company online")</f>
        <v>View company online</v>
      </c>
    </row>
    <row r="1366" spans="1:135">
      <c r="A1366" s="15" t="s">
        <v>26315</v>
      </c>
      <c r="B1366" s="15" t="s">
        <v>26316</v>
      </c>
      <c r="C1366" s="15" t="s">
        <v>138</v>
      </c>
      <c r="D1366" s="15" t="s">
        <v>138</v>
      </c>
      <c r="E1366" s="15" t="s">
        <v>138</v>
      </c>
      <c r="F1366" s="15" t="s">
        <v>26315</v>
      </c>
      <c r="G1366" s="15" t="s">
        <v>26317</v>
      </c>
      <c r="H1366" s="15" t="s">
        <v>238</v>
      </c>
      <c r="I1366" s="15" t="s">
        <v>269</v>
      </c>
      <c r="J1366" s="15" t="s">
        <v>296</v>
      </c>
      <c r="K1366" s="15" t="s">
        <v>2187</v>
      </c>
      <c r="L1366" s="15" t="s">
        <v>26318</v>
      </c>
      <c r="M1366" s="15" t="s">
        <v>26319</v>
      </c>
      <c r="N1366" s="15" t="s">
        <v>147</v>
      </c>
      <c r="O1366" s="17">
        <v>16</v>
      </c>
      <c r="P1366" s="15" t="s">
        <v>148</v>
      </c>
      <c r="Q1366" s="15" t="s">
        <v>149</v>
      </c>
      <c r="R1366" s="15" t="s">
        <v>150</v>
      </c>
      <c r="S1366" s="15" t="s">
        <v>26320</v>
      </c>
      <c r="T1366" s="18" t="s">
        <v>138</v>
      </c>
      <c r="U1366" s="15" t="s">
        <v>138</v>
      </c>
      <c r="V1366" s="15" t="s">
        <v>138</v>
      </c>
      <c r="W1366" s="15" t="s">
        <v>138</v>
      </c>
      <c r="X1366" s="19">
        <v>2016</v>
      </c>
      <c r="Y1366" s="15" t="s">
        <v>138</v>
      </c>
      <c r="Z1366" s="15" t="s">
        <v>138</v>
      </c>
      <c r="AA1366" s="15" t="s">
        <v>138</v>
      </c>
      <c r="AB1366" s="20" t="s">
        <v>138</v>
      </c>
      <c r="AC1366" s="20" t="s">
        <v>138</v>
      </c>
      <c r="AD1366" s="20" t="s">
        <v>138</v>
      </c>
      <c r="AE1366" s="20" t="s">
        <v>138</v>
      </c>
      <c r="AF1366" s="20" t="s">
        <v>138</v>
      </c>
      <c r="AG1366" s="15" t="s">
        <v>138</v>
      </c>
      <c r="AH1366" s="20" t="s">
        <v>138</v>
      </c>
      <c r="AI1366" s="20" t="s">
        <v>138</v>
      </c>
      <c r="AJ1366" s="20" t="s">
        <v>138</v>
      </c>
      <c r="AK1366" s="15" t="s">
        <v>26321</v>
      </c>
      <c r="AL1366" s="15" t="s">
        <v>26322</v>
      </c>
      <c r="AM1366" s="15" t="s">
        <v>26323</v>
      </c>
      <c r="AN1366" s="15" t="s">
        <v>26324</v>
      </c>
      <c r="AO1366" s="15" t="s">
        <v>138</v>
      </c>
      <c r="AP1366" s="15" t="s">
        <v>1870</v>
      </c>
      <c r="AQ1366" s="15" t="s">
        <v>26325</v>
      </c>
      <c r="AR1366" s="15" t="s">
        <v>26326</v>
      </c>
      <c r="AS1366" s="15" t="s">
        <v>1872</v>
      </c>
      <c r="AT1366" s="15" t="s">
        <v>200</v>
      </c>
      <c r="AU1366" s="15" t="s">
        <v>24628</v>
      </c>
      <c r="AV1366" s="15" t="s">
        <v>162</v>
      </c>
      <c r="AW1366" s="15" t="s">
        <v>138</v>
      </c>
      <c r="AX1366" s="15" t="s">
        <v>138</v>
      </c>
      <c r="AY1366" s="15" t="s">
        <v>138</v>
      </c>
      <c r="AZ1366" s="15" t="s">
        <v>164</v>
      </c>
      <c r="BA1366" s="15" t="s">
        <v>165</v>
      </c>
      <c r="BB1366" s="15" t="s">
        <v>26327</v>
      </c>
      <c r="BC1366" s="15" t="s">
        <v>26328</v>
      </c>
      <c r="BD1366" s="21">
        <v>3</v>
      </c>
      <c r="BE1366" s="15" t="s">
        <v>26329</v>
      </c>
      <c r="BF1366" s="15" t="s">
        <v>138</v>
      </c>
      <c r="BG1366" s="15" t="s">
        <v>138</v>
      </c>
      <c r="BH1366" s="15" t="s">
        <v>26330</v>
      </c>
      <c r="BI1366" s="15" t="s">
        <v>138</v>
      </c>
      <c r="BJ1366" s="15" t="s">
        <v>138</v>
      </c>
      <c r="BK1366" s="15" t="s">
        <v>3482</v>
      </c>
      <c r="BL1366" s="15" t="s">
        <v>3482</v>
      </c>
      <c r="BM1366" s="22">
        <v>42709</v>
      </c>
      <c r="BN1366" s="17">
        <v>6</v>
      </c>
      <c r="BO1366" s="15" t="s">
        <v>1178</v>
      </c>
      <c r="BP1366" s="17">
        <v>24</v>
      </c>
      <c r="BQ1366" s="15" t="s">
        <v>1178</v>
      </c>
      <c r="BR1366" s="15" t="s">
        <v>205</v>
      </c>
      <c r="BS1366" s="15" t="s">
        <v>138</v>
      </c>
      <c r="BT1366" s="15" t="s">
        <v>138</v>
      </c>
      <c r="BU1366" s="15" t="s">
        <v>174</v>
      </c>
      <c r="BV1366" s="15" t="s">
        <v>138</v>
      </c>
      <c r="BW1366" s="15" t="s">
        <v>138</v>
      </c>
      <c r="BX1366" s="15" t="s">
        <v>138</v>
      </c>
      <c r="BY1366" s="15" t="s">
        <v>175</v>
      </c>
      <c r="BZ1366" s="22">
        <v>43396</v>
      </c>
      <c r="CA1366" s="17">
        <v>10</v>
      </c>
      <c r="CB1366" s="15" t="s">
        <v>1178</v>
      </c>
      <c r="CC1366" s="17">
        <v>200</v>
      </c>
      <c r="CD1366" s="15" t="s">
        <v>1178</v>
      </c>
      <c r="CE1366" s="15" t="s">
        <v>205</v>
      </c>
      <c r="CF1366" s="15" t="s">
        <v>720</v>
      </c>
      <c r="CG1366" s="15" t="s">
        <v>138</v>
      </c>
      <c r="CH1366" s="15" t="s">
        <v>174</v>
      </c>
      <c r="CI1366" s="15" t="s">
        <v>138</v>
      </c>
      <c r="CJ1366" s="15" t="s">
        <v>138</v>
      </c>
      <c r="CK1366" s="15" t="s">
        <v>138</v>
      </c>
      <c r="CL1366" s="15" t="s">
        <v>175</v>
      </c>
      <c r="CM1366" s="22" t="s">
        <v>138</v>
      </c>
      <c r="CN1366" s="17" t="s">
        <v>138</v>
      </c>
      <c r="CO1366" s="23">
        <v>0.1</v>
      </c>
      <c r="CP1366" s="24">
        <v>90</v>
      </c>
      <c r="CQ1366" s="23">
        <v>0</v>
      </c>
      <c r="CR1366" s="23">
        <v>5.1100000000000003</v>
      </c>
      <c r="CS1366" s="23">
        <v>0.19</v>
      </c>
      <c r="CT1366" s="24">
        <v>94</v>
      </c>
      <c r="CU1366" s="23">
        <v>0</v>
      </c>
      <c r="CV1366" s="24">
        <v>22</v>
      </c>
      <c r="CW1366" s="23">
        <v>-0.69</v>
      </c>
      <c r="CX1366" s="24">
        <v>11</v>
      </c>
      <c r="CY1366" s="23">
        <v>1.08</v>
      </c>
      <c r="CZ1366" s="24">
        <v>99</v>
      </c>
      <c r="DA1366" s="23">
        <v>0</v>
      </c>
      <c r="DB1366" s="24">
        <v>22</v>
      </c>
      <c r="DC1366" s="25">
        <v>13.89</v>
      </c>
      <c r="DD1366" s="24">
        <v>93</v>
      </c>
      <c r="DE1366" s="25">
        <v>-0.35</v>
      </c>
      <c r="DF1366" s="23">
        <v>-2.48</v>
      </c>
      <c r="DG1366" s="25">
        <v>27.71</v>
      </c>
      <c r="DH1366" s="24">
        <v>96</v>
      </c>
      <c r="DI1366" s="25">
        <v>7.0000000000000007E-2</v>
      </c>
      <c r="DJ1366" s="24">
        <v>11</v>
      </c>
      <c r="DK1366" s="25">
        <v>17.73</v>
      </c>
      <c r="DL1366" s="24">
        <v>91</v>
      </c>
      <c r="DM1366" s="25">
        <v>37.69</v>
      </c>
      <c r="DN1366" s="24">
        <v>97</v>
      </c>
      <c r="DO1366" s="25">
        <v>7.0000000000000007E-2</v>
      </c>
      <c r="DP1366" s="24">
        <v>13</v>
      </c>
      <c r="DQ1366" s="24">
        <v>5941</v>
      </c>
      <c r="DR1366" s="26">
        <v>415</v>
      </c>
      <c r="DS1366" s="23">
        <v>7.51</v>
      </c>
      <c r="DT1366" s="24">
        <v>1082</v>
      </c>
      <c r="DU1366" s="26">
        <v>19</v>
      </c>
      <c r="DV1366" s="23">
        <v>1.79</v>
      </c>
      <c r="DW1366" s="24">
        <v>26</v>
      </c>
      <c r="DX1366" s="27">
        <v>0</v>
      </c>
      <c r="DY1366" s="23">
        <v>0</v>
      </c>
      <c r="DZ1366" s="15" t="s">
        <v>178</v>
      </c>
      <c r="EA1366" s="22">
        <v>43572</v>
      </c>
      <c r="EB1366" s="17">
        <v>200</v>
      </c>
      <c r="EC1366" s="22">
        <v>43396</v>
      </c>
      <c r="ED1366" s="15" t="s">
        <v>205</v>
      </c>
      <c r="EE1366" s="14" t="str">
        <f>HYPERLINK("https://my.pitchbook.com?c=233983-00", "View company online")</f>
        <v>View company online</v>
      </c>
    </row>
    <row r="1367" spans="1:135">
      <c r="A1367" s="28" t="s">
        <v>26331</v>
      </c>
      <c r="B1367" s="28" t="s">
        <v>26332</v>
      </c>
      <c r="C1367" s="28" t="s">
        <v>138</v>
      </c>
      <c r="D1367" s="28" t="s">
        <v>138</v>
      </c>
      <c r="E1367" s="28" t="s">
        <v>26333</v>
      </c>
      <c r="F1367" s="28" t="s">
        <v>26331</v>
      </c>
      <c r="G1367" s="28" t="s">
        <v>26334</v>
      </c>
      <c r="H1367" s="28" t="s">
        <v>322</v>
      </c>
      <c r="I1367" s="28" t="s">
        <v>323</v>
      </c>
      <c r="J1367" s="28" t="s">
        <v>954</v>
      </c>
      <c r="K1367" s="28" t="s">
        <v>26335</v>
      </c>
      <c r="L1367" s="28" t="s">
        <v>242</v>
      </c>
      <c r="M1367" s="28" t="s">
        <v>26336</v>
      </c>
      <c r="N1367" s="28" t="s">
        <v>147</v>
      </c>
      <c r="O1367" s="29">
        <v>29.08</v>
      </c>
      <c r="P1367" s="28" t="s">
        <v>148</v>
      </c>
      <c r="Q1367" s="28" t="s">
        <v>149</v>
      </c>
      <c r="R1367" s="28" t="s">
        <v>174</v>
      </c>
      <c r="S1367" s="28" t="s">
        <v>26337</v>
      </c>
      <c r="T1367" s="30">
        <v>30</v>
      </c>
      <c r="U1367" s="28" t="s">
        <v>26338</v>
      </c>
      <c r="V1367" s="28" t="s">
        <v>138</v>
      </c>
      <c r="W1367" s="28" t="s">
        <v>138</v>
      </c>
      <c r="X1367" s="31">
        <v>2010</v>
      </c>
      <c r="Y1367" s="28" t="s">
        <v>138</v>
      </c>
      <c r="Z1367" s="28" t="s">
        <v>138</v>
      </c>
      <c r="AA1367" s="28" t="s">
        <v>138</v>
      </c>
      <c r="AB1367" s="32">
        <v>0.95</v>
      </c>
      <c r="AC1367" s="32" t="s">
        <v>138</v>
      </c>
      <c r="AD1367" s="32">
        <v>-4</v>
      </c>
      <c r="AE1367" s="32" t="s">
        <v>138</v>
      </c>
      <c r="AF1367" s="32">
        <v>-4</v>
      </c>
      <c r="AG1367" s="28" t="s">
        <v>707</v>
      </c>
      <c r="AH1367" s="32" t="s">
        <v>138</v>
      </c>
      <c r="AI1367" s="32" t="s">
        <v>138</v>
      </c>
      <c r="AJ1367" s="32" t="s">
        <v>138</v>
      </c>
      <c r="AK1367" s="28" t="s">
        <v>26339</v>
      </c>
      <c r="AL1367" s="28" t="s">
        <v>26340</v>
      </c>
      <c r="AM1367" s="28" t="s">
        <v>304</v>
      </c>
      <c r="AN1367" s="28" t="s">
        <v>26341</v>
      </c>
      <c r="AO1367" s="28" t="s">
        <v>26342</v>
      </c>
      <c r="AP1367" s="28" t="s">
        <v>4440</v>
      </c>
      <c r="AQ1367" s="28" t="s">
        <v>26343</v>
      </c>
      <c r="AR1367" s="28" t="s">
        <v>138</v>
      </c>
      <c r="AS1367" s="28" t="s">
        <v>4442</v>
      </c>
      <c r="AT1367" s="28" t="s">
        <v>138</v>
      </c>
      <c r="AU1367" s="28" t="s">
        <v>26344</v>
      </c>
      <c r="AV1367" s="28" t="s">
        <v>4444</v>
      </c>
      <c r="AW1367" s="28" t="s">
        <v>138</v>
      </c>
      <c r="AX1367" s="28" t="s">
        <v>138</v>
      </c>
      <c r="AY1367" s="28" t="s">
        <v>138</v>
      </c>
      <c r="AZ1367" s="28" t="s">
        <v>530</v>
      </c>
      <c r="BA1367" s="28" t="s">
        <v>577</v>
      </c>
      <c r="BB1367" s="28" t="s">
        <v>26345</v>
      </c>
      <c r="BC1367" s="28" t="s">
        <v>26346</v>
      </c>
      <c r="BD1367" s="33">
        <v>23</v>
      </c>
      <c r="BE1367" s="28" t="s">
        <v>138</v>
      </c>
      <c r="BF1367" s="28" t="s">
        <v>138</v>
      </c>
      <c r="BG1367" s="28" t="s">
        <v>138</v>
      </c>
      <c r="BH1367" s="28" t="s">
        <v>26347</v>
      </c>
      <c r="BI1367" s="28" t="s">
        <v>138</v>
      </c>
      <c r="BJ1367" s="28" t="s">
        <v>138</v>
      </c>
      <c r="BK1367" s="28" t="s">
        <v>26348</v>
      </c>
      <c r="BL1367" s="28" t="s">
        <v>138</v>
      </c>
      <c r="BM1367" s="34">
        <v>41275</v>
      </c>
      <c r="BN1367" s="29" t="s">
        <v>138</v>
      </c>
      <c r="BO1367" s="28" t="s">
        <v>138</v>
      </c>
      <c r="BP1367" s="29" t="s">
        <v>138</v>
      </c>
      <c r="BQ1367" s="28" t="s">
        <v>138</v>
      </c>
      <c r="BR1367" s="28" t="s">
        <v>316</v>
      </c>
      <c r="BS1367" s="28" t="s">
        <v>138</v>
      </c>
      <c r="BT1367" s="28" t="s">
        <v>138</v>
      </c>
      <c r="BU1367" s="28" t="s">
        <v>177</v>
      </c>
      <c r="BV1367" s="28" t="s">
        <v>138</v>
      </c>
      <c r="BW1367" s="28" t="s">
        <v>138</v>
      </c>
      <c r="BX1367" s="28" t="s">
        <v>138</v>
      </c>
      <c r="BY1367" s="28" t="s">
        <v>175</v>
      </c>
      <c r="BZ1367" s="34">
        <v>43166</v>
      </c>
      <c r="CA1367" s="29">
        <v>13.5</v>
      </c>
      <c r="CB1367" s="28" t="s">
        <v>172</v>
      </c>
      <c r="CC1367" s="29" t="s">
        <v>138</v>
      </c>
      <c r="CD1367" s="28" t="s">
        <v>138</v>
      </c>
      <c r="CE1367" s="28" t="s">
        <v>173</v>
      </c>
      <c r="CF1367" s="28" t="s">
        <v>720</v>
      </c>
      <c r="CG1367" s="28" t="s">
        <v>138</v>
      </c>
      <c r="CH1367" s="28" t="s">
        <v>174</v>
      </c>
      <c r="CI1367" s="28" t="s">
        <v>138</v>
      </c>
      <c r="CJ1367" s="28" t="s">
        <v>138</v>
      </c>
      <c r="CK1367" s="28" t="s">
        <v>138</v>
      </c>
      <c r="CL1367" s="28" t="s">
        <v>175</v>
      </c>
      <c r="CM1367" s="34" t="s">
        <v>138</v>
      </c>
      <c r="CN1367" s="29" t="s">
        <v>138</v>
      </c>
      <c r="CO1367" s="35">
        <v>0.51</v>
      </c>
      <c r="CP1367" s="36">
        <v>95</v>
      </c>
      <c r="CQ1367" s="35">
        <v>0</v>
      </c>
      <c r="CR1367" s="35">
        <v>7.0000000000000007E-2</v>
      </c>
      <c r="CS1367" s="35">
        <v>0.92</v>
      </c>
      <c r="CT1367" s="36">
        <v>96</v>
      </c>
      <c r="CU1367" s="35">
        <v>-0.04</v>
      </c>
      <c r="CV1367" s="36">
        <v>12</v>
      </c>
      <c r="CW1367" s="35">
        <v>2.96</v>
      </c>
      <c r="CX1367" s="36">
        <v>91</v>
      </c>
      <c r="CY1367" s="35">
        <v>-1.1200000000000001</v>
      </c>
      <c r="CZ1367" s="36">
        <v>18</v>
      </c>
      <c r="DA1367" s="35" t="s">
        <v>138</v>
      </c>
      <c r="DB1367" s="36" t="s">
        <v>138</v>
      </c>
      <c r="DC1367" s="37">
        <v>185.79</v>
      </c>
      <c r="DD1367" s="36">
        <v>100</v>
      </c>
      <c r="DE1367" s="37">
        <v>2.37</v>
      </c>
      <c r="DF1367" s="35">
        <v>1.29</v>
      </c>
      <c r="DG1367" s="37">
        <v>17.02</v>
      </c>
      <c r="DH1367" s="36">
        <v>94</v>
      </c>
      <c r="DI1367" s="37">
        <v>368.25</v>
      </c>
      <c r="DJ1367" s="36">
        <v>99</v>
      </c>
      <c r="DK1367" s="37">
        <v>19.38</v>
      </c>
      <c r="DL1367" s="36">
        <v>92</v>
      </c>
      <c r="DM1367" s="37">
        <v>14.66</v>
      </c>
      <c r="DN1367" s="36">
        <v>92</v>
      </c>
      <c r="DO1367" s="37" t="s">
        <v>138</v>
      </c>
      <c r="DP1367" s="36" t="s">
        <v>138</v>
      </c>
      <c r="DQ1367" s="36">
        <v>6514</v>
      </c>
      <c r="DR1367" s="38">
        <v>399</v>
      </c>
      <c r="DS1367" s="35">
        <v>6.52</v>
      </c>
      <c r="DT1367" s="36">
        <v>424</v>
      </c>
      <c r="DU1367" s="38">
        <v>1</v>
      </c>
      <c r="DV1367" s="35">
        <v>0.24</v>
      </c>
      <c r="DW1367" s="36">
        <v>6889</v>
      </c>
      <c r="DX1367" s="39">
        <v>-2</v>
      </c>
      <c r="DY1367" s="35">
        <v>-0.03</v>
      </c>
      <c r="DZ1367" s="28" t="s">
        <v>178</v>
      </c>
      <c r="EA1367" s="34">
        <v>43622</v>
      </c>
      <c r="EB1367" s="29">
        <v>20.059999999999999</v>
      </c>
      <c r="EC1367" s="34">
        <v>42838</v>
      </c>
      <c r="ED1367" s="28" t="s">
        <v>173</v>
      </c>
      <c r="EE1367" s="40" t="str">
        <f>HYPERLINK("https://my.pitchbook.com?c=58873-60", "View company online")</f>
        <v>View company online</v>
      </c>
    </row>
    <row r="1368" spans="1:135">
      <c r="A1368" s="15" t="s">
        <v>26349</v>
      </c>
      <c r="B1368" s="15" t="s">
        <v>26350</v>
      </c>
      <c r="C1368" s="15" t="s">
        <v>138</v>
      </c>
      <c r="D1368" s="15" t="s">
        <v>138</v>
      </c>
      <c r="E1368" s="15" t="s">
        <v>26351</v>
      </c>
      <c r="F1368" s="15" t="s">
        <v>26349</v>
      </c>
      <c r="G1368" s="15" t="s">
        <v>26352</v>
      </c>
      <c r="H1368" s="15" t="s">
        <v>322</v>
      </c>
      <c r="I1368" s="15" t="s">
        <v>323</v>
      </c>
      <c r="J1368" s="15" t="s">
        <v>324</v>
      </c>
      <c r="K1368" s="15" t="s">
        <v>1543</v>
      </c>
      <c r="L1368" s="15" t="s">
        <v>26353</v>
      </c>
      <c r="M1368" s="15" t="s">
        <v>26354</v>
      </c>
      <c r="N1368" s="15" t="s">
        <v>1452</v>
      </c>
      <c r="O1368" s="17">
        <v>19.8</v>
      </c>
      <c r="P1368" s="15" t="s">
        <v>148</v>
      </c>
      <c r="Q1368" s="15" t="s">
        <v>149</v>
      </c>
      <c r="R1368" s="15" t="s">
        <v>328</v>
      </c>
      <c r="S1368" s="15" t="s">
        <v>26355</v>
      </c>
      <c r="T1368" s="18">
        <v>199</v>
      </c>
      <c r="U1368" s="15" t="s">
        <v>26356</v>
      </c>
      <c r="V1368" s="15" t="s">
        <v>138</v>
      </c>
      <c r="W1368" s="15" t="s">
        <v>138</v>
      </c>
      <c r="X1368" s="19">
        <v>2000</v>
      </c>
      <c r="Y1368" s="15" t="s">
        <v>138</v>
      </c>
      <c r="Z1368" s="15" t="s">
        <v>138</v>
      </c>
      <c r="AA1368" s="15" t="s">
        <v>138</v>
      </c>
      <c r="AB1368" s="20">
        <v>10.29</v>
      </c>
      <c r="AC1368" s="20" t="s">
        <v>138</v>
      </c>
      <c r="AD1368" s="20" t="s">
        <v>138</v>
      </c>
      <c r="AE1368" s="20" t="s">
        <v>138</v>
      </c>
      <c r="AF1368" s="20" t="s">
        <v>138</v>
      </c>
      <c r="AG1368" s="15" t="s">
        <v>5263</v>
      </c>
      <c r="AH1368" s="20" t="s">
        <v>138</v>
      </c>
      <c r="AI1368" s="20" t="s">
        <v>138</v>
      </c>
      <c r="AJ1368" s="20" t="s">
        <v>138</v>
      </c>
      <c r="AK1368" s="15" t="s">
        <v>26357</v>
      </c>
      <c r="AL1368" s="15" t="s">
        <v>26358</v>
      </c>
      <c r="AM1368" s="15" t="s">
        <v>249</v>
      </c>
      <c r="AN1368" s="15" t="s">
        <v>26359</v>
      </c>
      <c r="AO1368" s="15" t="s">
        <v>26360</v>
      </c>
      <c r="AP1368" s="15" t="s">
        <v>5204</v>
      </c>
      <c r="AQ1368" s="15" t="s">
        <v>26361</v>
      </c>
      <c r="AR1368" s="15" t="s">
        <v>6298</v>
      </c>
      <c r="AS1368" s="15" t="s">
        <v>5207</v>
      </c>
      <c r="AT1368" s="15" t="s">
        <v>339</v>
      </c>
      <c r="AU1368" s="15" t="s">
        <v>5208</v>
      </c>
      <c r="AV1368" s="15" t="s">
        <v>162</v>
      </c>
      <c r="AW1368" s="15" t="s">
        <v>26360</v>
      </c>
      <c r="AX1368" s="15" t="s">
        <v>138</v>
      </c>
      <c r="AY1368" s="15" t="s">
        <v>138</v>
      </c>
      <c r="AZ1368" s="15" t="s">
        <v>164</v>
      </c>
      <c r="BA1368" s="15" t="s">
        <v>165</v>
      </c>
      <c r="BB1368" s="15" t="s">
        <v>26362</v>
      </c>
      <c r="BC1368" s="15" t="s">
        <v>26363</v>
      </c>
      <c r="BD1368" s="21">
        <v>1</v>
      </c>
      <c r="BE1368" s="15" t="s">
        <v>138</v>
      </c>
      <c r="BF1368" s="15" t="s">
        <v>26364</v>
      </c>
      <c r="BG1368" s="15" t="s">
        <v>138</v>
      </c>
      <c r="BH1368" s="15" t="s">
        <v>26365</v>
      </c>
      <c r="BI1368" s="15" t="s">
        <v>26366</v>
      </c>
      <c r="BJ1368" s="15" t="s">
        <v>138</v>
      </c>
      <c r="BK1368" s="15" t="s">
        <v>26367</v>
      </c>
      <c r="BL1368" s="15" t="s">
        <v>26368</v>
      </c>
      <c r="BM1368" s="22">
        <v>39185</v>
      </c>
      <c r="BN1368" s="17">
        <v>7.3</v>
      </c>
      <c r="BO1368" s="15" t="s">
        <v>172</v>
      </c>
      <c r="BP1368" s="17" t="s">
        <v>138</v>
      </c>
      <c r="BQ1368" s="15" t="s">
        <v>138</v>
      </c>
      <c r="BR1368" s="15" t="s">
        <v>205</v>
      </c>
      <c r="BS1368" s="15" t="s">
        <v>138</v>
      </c>
      <c r="BT1368" s="15" t="s">
        <v>138</v>
      </c>
      <c r="BU1368" s="15" t="s">
        <v>174</v>
      </c>
      <c r="BV1368" s="15" t="s">
        <v>138</v>
      </c>
      <c r="BW1368" s="15" t="s">
        <v>138</v>
      </c>
      <c r="BX1368" s="15" t="s">
        <v>138</v>
      </c>
      <c r="BY1368" s="15" t="s">
        <v>175</v>
      </c>
      <c r="BZ1368" s="22">
        <v>42762</v>
      </c>
      <c r="CA1368" s="17" t="s">
        <v>138</v>
      </c>
      <c r="CB1368" s="15" t="s">
        <v>138</v>
      </c>
      <c r="CC1368" s="17" t="s">
        <v>138</v>
      </c>
      <c r="CD1368" s="15" t="s">
        <v>138</v>
      </c>
      <c r="CE1368" s="15" t="s">
        <v>349</v>
      </c>
      <c r="CF1368" s="15" t="s">
        <v>138</v>
      </c>
      <c r="CG1368" s="15" t="s">
        <v>138</v>
      </c>
      <c r="CH1368" s="15" t="s">
        <v>351</v>
      </c>
      <c r="CI1368" s="15" t="s">
        <v>1497</v>
      </c>
      <c r="CJ1368" s="15" t="s">
        <v>138</v>
      </c>
      <c r="CK1368" s="15" t="s">
        <v>138</v>
      </c>
      <c r="CL1368" s="15" t="s">
        <v>175</v>
      </c>
      <c r="CM1368" s="22">
        <v>42762</v>
      </c>
      <c r="CN1368" s="17">
        <v>18.43</v>
      </c>
      <c r="CO1368" s="23">
        <v>-0.24</v>
      </c>
      <c r="CP1368" s="24">
        <v>19</v>
      </c>
      <c r="CQ1368" s="23">
        <v>0</v>
      </c>
      <c r="CR1368" s="23">
        <v>7.0000000000000007E-2</v>
      </c>
      <c r="CS1368" s="23">
        <v>-0.49</v>
      </c>
      <c r="CT1368" s="24">
        <v>19</v>
      </c>
      <c r="CU1368" s="23">
        <v>0</v>
      </c>
      <c r="CV1368" s="24">
        <v>22</v>
      </c>
      <c r="CW1368" s="23">
        <v>2.9</v>
      </c>
      <c r="CX1368" s="24">
        <v>91</v>
      </c>
      <c r="CY1368" s="23">
        <v>-3.87</v>
      </c>
      <c r="CZ1368" s="24">
        <v>5</v>
      </c>
      <c r="DA1368" s="23">
        <v>0</v>
      </c>
      <c r="DB1368" s="24">
        <v>22</v>
      </c>
      <c r="DC1368" s="25">
        <v>21.02</v>
      </c>
      <c r="DD1368" s="24">
        <v>95</v>
      </c>
      <c r="DE1368" s="25">
        <v>-0.59</v>
      </c>
      <c r="DF1368" s="23">
        <v>-2.73</v>
      </c>
      <c r="DG1368" s="25">
        <v>30.81</v>
      </c>
      <c r="DH1368" s="24">
        <v>97</v>
      </c>
      <c r="DI1368" s="25">
        <v>11.24</v>
      </c>
      <c r="DJ1368" s="24">
        <v>86</v>
      </c>
      <c r="DK1368" s="25">
        <v>18.75</v>
      </c>
      <c r="DL1368" s="24">
        <v>91</v>
      </c>
      <c r="DM1368" s="25">
        <v>42.86</v>
      </c>
      <c r="DN1368" s="24">
        <v>98</v>
      </c>
      <c r="DO1368" s="25">
        <v>11.24</v>
      </c>
      <c r="DP1368" s="24">
        <v>88</v>
      </c>
      <c r="DQ1368" s="24">
        <v>6252</v>
      </c>
      <c r="DR1368" s="26">
        <v>537</v>
      </c>
      <c r="DS1368" s="23">
        <v>9.4</v>
      </c>
      <c r="DT1368" s="24">
        <v>1244</v>
      </c>
      <c r="DU1368" s="26">
        <v>-5</v>
      </c>
      <c r="DV1368" s="23">
        <v>-0.4</v>
      </c>
      <c r="DW1368" s="24">
        <v>4022</v>
      </c>
      <c r="DX1368" s="27">
        <v>1</v>
      </c>
      <c r="DY1368" s="23">
        <v>0.02</v>
      </c>
      <c r="DZ1368" s="15" t="s">
        <v>178</v>
      </c>
      <c r="EA1368" s="22">
        <v>43577</v>
      </c>
      <c r="EB1368" s="17">
        <v>35.76</v>
      </c>
      <c r="EC1368" s="22">
        <v>42292</v>
      </c>
      <c r="ED1368" s="15" t="s">
        <v>173</v>
      </c>
      <c r="EE1368" s="14" t="str">
        <f>HYPERLINK("https://my.pitchbook.com?c=44069-59", "View company online")</f>
        <v>View company online</v>
      </c>
    </row>
    <row r="1369" spans="1:135">
      <c r="A1369" s="28" t="s">
        <v>26369</v>
      </c>
      <c r="B1369" s="28" t="s">
        <v>26370</v>
      </c>
      <c r="C1369" s="28" t="s">
        <v>26371</v>
      </c>
      <c r="D1369" s="28" t="s">
        <v>26372</v>
      </c>
      <c r="E1369" s="28" t="s">
        <v>26373</v>
      </c>
      <c r="F1369" s="28" t="s">
        <v>26369</v>
      </c>
      <c r="G1369" s="28" t="s">
        <v>26374</v>
      </c>
      <c r="H1369" s="28" t="s">
        <v>322</v>
      </c>
      <c r="I1369" s="28" t="s">
        <v>323</v>
      </c>
      <c r="J1369" s="28" t="s">
        <v>324</v>
      </c>
      <c r="K1369" s="28" t="s">
        <v>325</v>
      </c>
      <c r="L1369" s="28" t="s">
        <v>215</v>
      </c>
      <c r="M1369" s="28" t="s">
        <v>26375</v>
      </c>
      <c r="N1369" s="28" t="s">
        <v>147</v>
      </c>
      <c r="O1369" s="29">
        <v>45</v>
      </c>
      <c r="P1369" s="28" t="s">
        <v>148</v>
      </c>
      <c r="Q1369" s="28" t="s">
        <v>149</v>
      </c>
      <c r="R1369" s="28" t="s">
        <v>174</v>
      </c>
      <c r="S1369" s="28" t="s">
        <v>26376</v>
      </c>
      <c r="T1369" s="30">
        <v>101</v>
      </c>
      <c r="U1369" s="28" t="s">
        <v>26377</v>
      </c>
      <c r="V1369" s="28" t="s">
        <v>138</v>
      </c>
      <c r="W1369" s="28" t="s">
        <v>138</v>
      </c>
      <c r="X1369" s="31">
        <v>2010</v>
      </c>
      <c r="Y1369" s="28" t="s">
        <v>138</v>
      </c>
      <c r="Z1369" s="28" t="s">
        <v>138</v>
      </c>
      <c r="AA1369" s="28" t="s">
        <v>138</v>
      </c>
      <c r="AB1369" s="32" t="s">
        <v>138</v>
      </c>
      <c r="AC1369" s="32" t="s">
        <v>138</v>
      </c>
      <c r="AD1369" s="32" t="s">
        <v>138</v>
      </c>
      <c r="AE1369" s="32" t="s">
        <v>138</v>
      </c>
      <c r="AF1369" s="32" t="s">
        <v>138</v>
      </c>
      <c r="AG1369" s="28" t="s">
        <v>138</v>
      </c>
      <c r="AH1369" s="32" t="s">
        <v>138</v>
      </c>
      <c r="AI1369" s="32" t="s">
        <v>138</v>
      </c>
      <c r="AJ1369" s="32" t="s">
        <v>138</v>
      </c>
      <c r="AK1369" s="28" t="s">
        <v>26378</v>
      </c>
      <c r="AL1369" s="28" t="s">
        <v>26379</v>
      </c>
      <c r="AM1369" s="28" t="s">
        <v>1783</v>
      </c>
      <c r="AN1369" s="28" t="s">
        <v>26380</v>
      </c>
      <c r="AO1369" s="28" t="s">
        <v>26381</v>
      </c>
      <c r="AP1369" s="28" t="s">
        <v>26382</v>
      </c>
      <c r="AQ1369" s="28" t="s">
        <v>26383</v>
      </c>
      <c r="AR1369" s="28" t="s">
        <v>1459</v>
      </c>
      <c r="AS1369" s="28" t="s">
        <v>10653</v>
      </c>
      <c r="AT1369" s="28" t="s">
        <v>864</v>
      </c>
      <c r="AU1369" s="28" t="s">
        <v>26384</v>
      </c>
      <c r="AV1369" s="28" t="s">
        <v>162</v>
      </c>
      <c r="AW1369" s="28" t="s">
        <v>26381</v>
      </c>
      <c r="AX1369" s="28" t="s">
        <v>138</v>
      </c>
      <c r="AY1369" s="28" t="s">
        <v>26385</v>
      </c>
      <c r="AZ1369" s="28" t="s">
        <v>164</v>
      </c>
      <c r="BA1369" s="28" t="s">
        <v>165</v>
      </c>
      <c r="BB1369" s="28" t="s">
        <v>26386</v>
      </c>
      <c r="BC1369" s="28" t="s">
        <v>26387</v>
      </c>
      <c r="BD1369" s="33">
        <v>11</v>
      </c>
      <c r="BE1369" s="28" t="s">
        <v>138</v>
      </c>
      <c r="BF1369" s="28" t="s">
        <v>138</v>
      </c>
      <c r="BG1369" s="28" t="s">
        <v>138</v>
      </c>
      <c r="BH1369" s="28" t="s">
        <v>26388</v>
      </c>
      <c r="BI1369" s="28" t="s">
        <v>138</v>
      </c>
      <c r="BJ1369" s="28" t="s">
        <v>138</v>
      </c>
      <c r="BK1369" s="28" t="s">
        <v>26389</v>
      </c>
      <c r="BL1369" s="28" t="s">
        <v>1691</v>
      </c>
      <c r="BM1369" s="34">
        <v>40808</v>
      </c>
      <c r="BN1369" s="29">
        <v>2.59</v>
      </c>
      <c r="BO1369" s="28" t="s">
        <v>172</v>
      </c>
      <c r="BP1369" s="29">
        <v>12.23</v>
      </c>
      <c r="BQ1369" s="28" t="s">
        <v>172</v>
      </c>
      <c r="BR1369" s="28" t="s">
        <v>234</v>
      </c>
      <c r="BS1369" s="28" t="s">
        <v>234</v>
      </c>
      <c r="BT1369" s="28" t="s">
        <v>138</v>
      </c>
      <c r="BU1369" s="28" t="s">
        <v>174</v>
      </c>
      <c r="BV1369" s="28" t="s">
        <v>138</v>
      </c>
      <c r="BW1369" s="28" t="s">
        <v>138</v>
      </c>
      <c r="BX1369" s="28" t="s">
        <v>138</v>
      </c>
      <c r="BY1369" s="28" t="s">
        <v>175</v>
      </c>
      <c r="BZ1369" s="34">
        <v>42292</v>
      </c>
      <c r="CA1369" s="29" t="s">
        <v>138</v>
      </c>
      <c r="CB1369" s="28" t="s">
        <v>138</v>
      </c>
      <c r="CC1369" s="29" t="s">
        <v>138</v>
      </c>
      <c r="CD1369" s="28" t="s">
        <v>138</v>
      </c>
      <c r="CE1369" s="28" t="s">
        <v>176</v>
      </c>
      <c r="CF1369" s="28" t="s">
        <v>138</v>
      </c>
      <c r="CG1369" s="28" t="s">
        <v>138</v>
      </c>
      <c r="CH1369" s="28" t="s">
        <v>177</v>
      </c>
      <c r="CI1369" s="28" t="s">
        <v>138</v>
      </c>
      <c r="CJ1369" s="28" t="s">
        <v>138</v>
      </c>
      <c r="CK1369" s="28" t="s">
        <v>138</v>
      </c>
      <c r="CL1369" s="28" t="s">
        <v>175</v>
      </c>
      <c r="CM1369" s="34" t="s">
        <v>138</v>
      </c>
      <c r="CN1369" s="29" t="s">
        <v>138</v>
      </c>
      <c r="CO1369" s="35">
        <v>-0.12</v>
      </c>
      <c r="CP1369" s="36">
        <v>21</v>
      </c>
      <c r="CQ1369" s="35">
        <v>-7.0000000000000007E-2</v>
      </c>
      <c r="CR1369" s="35">
        <v>-129.55000000000001</v>
      </c>
      <c r="CS1369" s="35">
        <v>-0.27</v>
      </c>
      <c r="CT1369" s="36">
        <v>21</v>
      </c>
      <c r="CU1369" s="35">
        <v>0.04</v>
      </c>
      <c r="CV1369" s="36">
        <v>56</v>
      </c>
      <c r="CW1369" s="35">
        <v>0</v>
      </c>
      <c r="CX1369" s="36">
        <v>13</v>
      </c>
      <c r="CY1369" s="35">
        <v>-0.54</v>
      </c>
      <c r="CZ1369" s="36">
        <v>22</v>
      </c>
      <c r="DA1369" s="35">
        <v>0.04</v>
      </c>
      <c r="DB1369" s="36">
        <v>62</v>
      </c>
      <c r="DC1369" s="37">
        <v>4.68</v>
      </c>
      <c r="DD1369" s="36">
        <v>82</v>
      </c>
      <c r="DE1369" s="37">
        <v>-7.0000000000000007E-2</v>
      </c>
      <c r="DF1369" s="35">
        <v>-1.44</v>
      </c>
      <c r="DG1369" s="37">
        <v>5.59</v>
      </c>
      <c r="DH1369" s="36">
        <v>84</v>
      </c>
      <c r="DI1369" s="37">
        <v>3.77</v>
      </c>
      <c r="DJ1369" s="36">
        <v>73</v>
      </c>
      <c r="DK1369" s="37">
        <v>1.66</v>
      </c>
      <c r="DL1369" s="36">
        <v>61</v>
      </c>
      <c r="DM1369" s="37">
        <v>9.52</v>
      </c>
      <c r="DN1369" s="36">
        <v>88</v>
      </c>
      <c r="DO1369" s="37">
        <v>3.77</v>
      </c>
      <c r="DP1369" s="36">
        <v>75</v>
      </c>
      <c r="DQ1369" s="36">
        <v>580</v>
      </c>
      <c r="DR1369" s="38">
        <v>-39</v>
      </c>
      <c r="DS1369" s="35">
        <v>-6.3</v>
      </c>
      <c r="DT1369" s="36">
        <v>277</v>
      </c>
      <c r="DU1369" s="38">
        <v>-2</v>
      </c>
      <c r="DV1369" s="35">
        <v>-0.72</v>
      </c>
      <c r="DW1369" s="36">
        <v>1348</v>
      </c>
      <c r="DX1369" s="39">
        <v>1</v>
      </c>
      <c r="DY1369" s="35">
        <v>7.0000000000000007E-2</v>
      </c>
      <c r="DZ1369" s="28" t="s">
        <v>178</v>
      </c>
      <c r="EA1369" s="34">
        <v>43622</v>
      </c>
      <c r="EB1369" s="29">
        <v>93.04</v>
      </c>
      <c r="EC1369" s="34">
        <v>42090</v>
      </c>
      <c r="ED1369" s="28" t="s">
        <v>173</v>
      </c>
      <c r="EE1369" s="40" t="str">
        <f>HYPERLINK("https://my.pitchbook.com?c=52838-29", "View company online")</f>
        <v>View company online</v>
      </c>
    </row>
    <row r="1370" spans="1:135">
      <c r="A1370" s="15" t="s">
        <v>26390</v>
      </c>
      <c r="B1370" s="15" t="s">
        <v>26391</v>
      </c>
      <c r="C1370" s="15" t="s">
        <v>138</v>
      </c>
      <c r="D1370" s="15" t="s">
        <v>26392</v>
      </c>
      <c r="E1370" s="15" t="s">
        <v>138</v>
      </c>
      <c r="F1370" s="15" t="s">
        <v>26390</v>
      </c>
      <c r="G1370" s="15" t="s">
        <v>26393</v>
      </c>
      <c r="H1370" s="15" t="s">
        <v>238</v>
      </c>
      <c r="I1370" s="15" t="s">
        <v>239</v>
      </c>
      <c r="J1370" s="15" t="s">
        <v>2578</v>
      </c>
      <c r="K1370" s="15" t="s">
        <v>2579</v>
      </c>
      <c r="L1370" s="15" t="s">
        <v>415</v>
      </c>
      <c r="M1370" s="15" t="s">
        <v>26394</v>
      </c>
      <c r="N1370" s="15" t="s">
        <v>147</v>
      </c>
      <c r="O1370" s="17">
        <v>5</v>
      </c>
      <c r="P1370" s="15" t="s">
        <v>148</v>
      </c>
      <c r="Q1370" s="15" t="s">
        <v>149</v>
      </c>
      <c r="R1370" s="15" t="s">
        <v>174</v>
      </c>
      <c r="S1370" s="15" t="s">
        <v>26395</v>
      </c>
      <c r="T1370" s="18" t="s">
        <v>138</v>
      </c>
      <c r="U1370" s="15" t="s">
        <v>138</v>
      </c>
      <c r="V1370" s="15" t="s">
        <v>138</v>
      </c>
      <c r="W1370" s="15" t="s">
        <v>138</v>
      </c>
      <c r="X1370" s="19">
        <v>2008</v>
      </c>
      <c r="Y1370" s="15" t="s">
        <v>138</v>
      </c>
      <c r="Z1370" s="15" t="s">
        <v>138</v>
      </c>
      <c r="AA1370" s="15" t="s">
        <v>138</v>
      </c>
      <c r="AB1370" s="20" t="s">
        <v>138</v>
      </c>
      <c r="AC1370" s="20" t="s">
        <v>138</v>
      </c>
      <c r="AD1370" s="20" t="s">
        <v>138</v>
      </c>
      <c r="AE1370" s="20" t="s">
        <v>138</v>
      </c>
      <c r="AF1370" s="20" t="s">
        <v>138</v>
      </c>
      <c r="AG1370" s="15" t="s">
        <v>138</v>
      </c>
      <c r="AH1370" s="20" t="s">
        <v>138</v>
      </c>
      <c r="AI1370" s="20" t="s">
        <v>138</v>
      </c>
      <c r="AJ1370" s="20" t="s">
        <v>138</v>
      </c>
      <c r="AK1370" s="15" t="s">
        <v>26396</v>
      </c>
      <c r="AL1370" s="15" t="s">
        <v>26397</v>
      </c>
      <c r="AM1370" s="15" t="s">
        <v>986</v>
      </c>
      <c r="AN1370" s="15" t="s">
        <v>26398</v>
      </c>
      <c r="AO1370" s="15" t="s">
        <v>138</v>
      </c>
      <c r="AP1370" s="15" t="s">
        <v>423</v>
      </c>
      <c r="AQ1370" s="15" t="s">
        <v>26399</v>
      </c>
      <c r="AR1370" s="15" t="s">
        <v>26400</v>
      </c>
      <c r="AS1370" s="15" t="s">
        <v>426</v>
      </c>
      <c r="AT1370" s="15" t="s">
        <v>426</v>
      </c>
      <c r="AU1370" s="15" t="s">
        <v>18111</v>
      </c>
      <c r="AV1370" s="15" t="s">
        <v>162</v>
      </c>
      <c r="AW1370" s="15" t="s">
        <v>138</v>
      </c>
      <c r="AX1370" s="15" t="s">
        <v>138</v>
      </c>
      <c r="AY1370" s="15" t="s">
        <v>138</v>
      </c>
      <c r="AZ1370" s="15" t="s">
        <v>164</v>
      </c>
      <c r="BA1370" s="15" t="s">
        <v>165</v>
      </c>
      <c r="BB1370" s="15" t="s">
        <v>26401</v>
      </c>
      <c r="BC1370" s="15" t="s">
        <v>26402</v>
      </c>
      <c r="BD1370" s="21">
        <v>3</v>
      </c>
      <c r="BE1370" s="15" t="s">
        <v>138</v>
      </c>
      <c r="BF1370" s="15" t="s">
        <v>138</v>
      </c>
      <c r="BG1370" s="15" t="s">
        <v>138</v>
      </c>
      <c r="BH1370" s="15" t="s">
        <v>26403</v>
      </c>
      <c r="BI1370" s="15" t="s">
        <v>138</v>
      </c>
      <c r="BJ1370" s="15" t="s">
        <v>138</v>
      </c>
      <c r="BK1370" s="15" t="s">
        <v>138</v>
      </c>
      <c r="BL1370" s="15" t="s">
        <v>138</v>
      </c>
      <c r="BM1370" s="22">
        <v>39489</v>
      </c>
      <c r="BN1370" s="17">
        <v>5</v>
      </c>
      <c r="BO1370" s="15" t="s">
        <v>172</v>
      </c>
      <c r="BP1370" s="17">
        <v>11.17</v>
      </c>
      <c r="BQ1370" s="15" t="s">
        <v>172</v>
      </c>
      <c r="BR1370" s="15" t="s">
        <v>205</v>
      </c>
      <c r="BS1370" s="15" t="s">
        <v>206</v>
      </c>
      <c r="BT1370" s="15" t="s">
        <v>138</v>
      </c>
      <c r="BU1370" s="15" t="s">
        <v>174</v>
      </c>
      <c r="BV1370" s="15" t="s">
        <v>138</v>
      </c>
      <c r="BW1370" s="15" t="s">
        <v>138</v>
      </c>
      <c r="BX1370" s="15" t="s">
        <v>138</v>
      </c>
      <c r="BY1370" s="15" t="s">
        <v>175</v>
      </c>
      <c r="BZ1370" s="22">
        <v>39489</v>
      </c>
      <c r="CA1370" s="17">
        <v>5</v>
      </c>
      <c r="CB1370" s="15" t="s">
        <v>172</v>
      </c>
      <c r="CC1370" s="17">
        <v>11.17</v>
      </c>
      <c r="CD1370" s="15" t="s">
        <v>172</v>
      </c>
      <c r="CE1370" s="15" t="s">
        <v>205</v>
      </c>
      <c r="CF1370" s="15" t="s">
        <v>206</v>
      </c>
      <c r="CG1370" s="15" t="s">
        <v>138</v>
      </c>
      <c r="CH1370" s="15" t="s">
        <v>174</v>
      </c>
      <c r="CI1370" s="15" t="s">
        <v>138</v>
      </c>
      <c r="CJ1370" s="15" t="s">
        <v>138</v>
      </c>
      <c r="CK1370" s="15" t="s">
        <v>138</v>
      </c>
      <c r="CL1370" s="15" t="s">
        <v>175</v>
      </c>
      <c r="CM1370" s="22" t="s">
        <v>138</v>
      </c>
      <c r="CN1370" s="17" t="s">
        <v>138</v>
      </c>
      <c r="CO1370" s="23">
        <v>-1.21</v>
      </c>
      <c r="CP1370" s="24">
        <v>9</v>
      </c>
      <c r="CQ1370" s="23">
        <v>0.01</v>
      </c>
      <c r="CR1370" s="23">
        <v>0.65</v>
      </c>
      <c r="CS1370" s="23">
        <v>-2.44</v>
      </c>
      <c r="CT1370" s="24">
        <v>7</v>
      </c>
      <c r="CU1370" s="23">
        <v>0.03</v>
      </c>
      <c r="CV1370" s="24">
        <v>54</v>
      </c>
      <c r="CW1370" s="23">
        <v>0</v>
      </c>
      <c r="CX1370" s="24">
        <v>13</v>
      </c>
      <c r="CY1370" s="23">
        <v>-4.88</v>
      </c>
      <c r="CZ1370" s="24">
        <v>3</v>
      </c>
      <c r="DA1370" s="23">
        <v>0.03</v>
      </c>
      <c r="DB1370" s="24">
        <v>60</v>
      </c>
      <c r="DC1370" s="25">
        <v>10.87</v>
      </c>
      <c r="DD1370" s="24">
        <v>91</v>
      </c>
      <c r="DE1370" s="25">
        <v>-0.02</v>
      </c>
      <c r="DF1370" s="23">
        <v>-0.17</v>
      </c>
      <c r="DG1370" s="25">
        <v>13.57</v>
      </c>
      <c r="DH1370" s="24">
        <v>92</v>
      </c>
      <c r="DI1370" s="25">
        <v>8.16</v>
      </c>
      <c r="DJ1370" s="24">
        <v>83</v>
      </c>
      <c r="DK1370" s="25">
        <v>1.56</v>
      </c>
      <c r="DL1370" s="24">
        <v>60</v>
      </c>
      <c r="DM1370" s="25">
        <v>25.59</v>
      </c>
      <c r="DN1370" s="24">
        <v>95</v>
      </c>
      <c r="DO1370" s="25">
        <v>8.16</v>
      </c>
      <c r="DP1370" s="24">
        <v>85</v>
      </c>
      <c r="DQ1370" s="24">
        <v>526</v>
      </c>
      <c r="DR1370" s="26">
        <v>27</v>
      </c>
      <c r="DS1370" s="23">
        <v>5.41</v>
      </c>
      <c r="DT1370" s="24">
        <v>741</v>
      </c>
      <c r="DU1370" s="26">
        <v>3</v>
      </c>
      <c r="DV1370" s="23">
        <v>0.41</v>
      </c>
      <c r="DW1370" s="24">
        <v>2922</v>
      </c>
      <c r="DX1370" s="27">
        <v>1</v>
      </c>
      <c r="DY1370" s="23">
        <v>0.03</v>
      </c>
      <c r="DZ1370" s="15" t="s">
        <v>178</v>
      </c>
      <c r="EA1370" s="22">
        <v>43440</v>
      </c>
      <c r="EB1370" s="17">
        <v>11.17</v>
      </c>
      <c r="EC1370" s="22">
        <v>39489</v>
      </c>
      <c r="ED1370" s="15" t="s">
        <v>205</v>
      </c>
      <c r="EE1370" s="14" t="str">
        <f>HYPERLINK("https://my.pitchbook.com?c=53489-71", "View company online")</f>
        <v>View company online</v>
      </c>
    </row>
    <row r="1371" spans="1:135">
      <c r="A1371" s="28" t="s">
        <v>26404</v>
      </c>
      <c r="B1371" s="28" t="s">
        <v>26405</v>
      </c>
      <c r="C1371" s="28" t="s">
        <v>138</v>
      </c>
      <c r="D1371" s="28" t="s">
        <v>138</v>
      </c>
      <c r="E1371" s="28" t="s">
        <v>138</v>
      </c>
      <c r="F1371" s="28" t="s">
        <v>26404</v>
      </c>
      <c r="G1371" s="28" t="s">
        <v>26406</v>
      </c>
      <c r="H1371" s="28" t="s">
        <v>141</v>
      </c>
      <c r="I1371" s="28" t="s">
        <v>142</v>
      </c>
      <c r="J1371" s="28" t="s">
        <v>508</v>
      </c>
      <c r="K1371" s="28" t="s">
        <v>26407</v>
      </c>
      <c r="L1371" s="28" t="s">
        <v>7679</v>
      </c>
      <c r="M1371" s="28" t="s">
        <v>26408</v>
      </c>
      <c r="N1371" s="28" t="s">
        <v>147</v>
      </c>
      <c r="O1371" s="29" t="s">
        <v>138</v>
      </c>
      <c r="P1371" s="28" t="s">
        <v>148</v>
      </c>
      <c r="Q1371" s="28" t="s">
        <v>149</v>
      </c>
      <c r="R1371" s="28" t="s">
        <v>174</v>
      </c>
      <c r="S1371" s="28" t="s">
        <v>26409</v>
      </c>
      <c r="T1371" s="30" t="s">
        <v>138</v>
      </c>
      <c r="U1371" s="28" t="s">
        <v>138</v>
      </c>
      <c r="V1371" s="28" t="s">
        <v>138</v>
      </c>
      <c r="W1371" s="28" t="s">
        <v>138</v>
      </c>
      <c r="X1371" s="31">
        <v>1980</v>
      </c>
      <c r="Y1371" s="28" t="s">
        <v>138</v>
      </c>
      <c r="Z1371" s="28" t="s">
        <v>138</v>
      </c>
      <c r="AA1371" s="28" t="s">
        <v>138</v>
      </c>
      <c r="AB1371" s="32" t="s">
        <v>138</v>
      </c>
      <c r="AC1371" s="32" t="s">
        <v>138</v>
      </c>
      <c r="AD1371" s="32" t="s">
        <v>138</v>
      </c>
      <c r="AE1371" s="32" t="s">
        <v>138</v>
      </c>
      <c r="AF1371" s="32" t="s">
        <v>138</v>
      </c>
      <c r="AG1371" s="28" t="s">
        <v>138</v>
      </c>
      <c r="AH1371" s="32" t="s">
        <v>138</v>
      </c>
      <c r="AI1371" s="32" t="s">
        <v>138</v>
      </c>
      <c r="AJ1371" s="32" t="s">
        <v>138</v>
      </c>
      <c r="AK1371" s="28" t="s">
        <v>26410</v>
      </c>
      <c r="AL1371" s="28" t="s">
        <v>26411</v>
      </c>
      <c r="AM1371" s="28" t="s">
        <v>26412</v>
      </c>
      <c r="AN1371" s="28" t="s">
        <v>138</v>
      </c>
      <c r="AO1371" s="28" t="s">
        <v>26413</v>
      </c>
      <c r="AP1371" s="28" t="s">
        <v>15152</v>
      </c>
      <c r="AQ1371" s="28" t="s">
        <v>26414</v>
      </c>
      <c r="AR1371" s="28" t="s">
        <v>26415</v>
      </c>
      <c r="AS1371" s="28" t="s">
        <v>15154</v>
      </c>
      <c r="AT1371" s="28" t="s">
        <v>138</v>
      </c>
      <c r="AU1371" s="28" t="s">
        <v>26416</v>
      </c>
      <c r="AV1371" s="28" t="s">
        <v>2071</v>
      </c>
      <c r="AW1371" s="28" t="s">
        <v>26413</v>
      </c>
      <c r="AX1371" s="28" t="s">
        <v>26417</v>
      </c>
      <c r="AY1371" s="28" t="s">
        <v>26418</v>
      </c>
      <c r="AZ1371" s="28" t="s">
        <v>452</v>
      </c>
      <c r="BA1371" s="28" t="s">
        <v>453</v>
      </c>
      <c r="BB1371" s="28" t="s">
        <v>26419</v>
      </c>
      <c r="BC1371" s="28" t="s">
        <v>26420</v>
      </c>
      <c r="BD1371" s="33">
        <v>2</v>
      </c>
      <c r="BE1371" s="28" t="s">
        <v>138</v>
      </c>
      <c r="BF1371" s="28" t="s">
        <v>138</v>
      </c>
      <c r="BG1371" s="28" t="s">
        <v>138</v>
      </c>
      <c r="BH1371" s="28" t="s">
        <v>26421</v>
      </c>
      <c r="BI1371" s="28" t="s">
        <v>138</v>
      </c>
      <c r="BJ1371" s="28" t="s">
        <v>138</v>
      </c>
      <c r="BK1371" s="28" t="s">
        <v>138</v>
      </c>
      <c r="BL1371" s="28" t="s">
        <v>138</v>
      </c>
      <c r="BM1371" s="34" t="s">
        <v>138</v>
      </c>
      <c r="BN1371" s="29" t="s">
        <v>138</v>
      </c>
      <c r="BO1371" s="28" t="s">
        <v>138</v>
      </c>
      <c r="BP1371" s="29" t="s">
        <v>138</v>
      </c>
      <c r="BQ1371" s="28" t="s">
        <v>138</v>
      </c>
      <c r="BR1371" s="28" t="s">
        <v>205</v>
      </c>
      <c r="BS1371" s="28" t="s">
        <v>138</v>
      </c>
      <c r="BT1371" s="28" t="s">
        <v>138</v>
      </c>
      <c r="BU1371" s="28" t="s">
        <v>174</v>
      </c>
      <c r="BV1371" s="28" t="s">
        <v>138</v>
      </c>
      <c r="BW1371" s="28" t="s">
        <v>138</v>
      </c>
      <c r="BX1371" s="28" t="s">
        <v>138</v>
      </c>
      <c r="BY1371" s="28" t="s">
        <v>175</v>
      </c>
      <c r="BZ1371" s="34" t="s">
        <v>138</v>
      </c>
      <c r="CA1371" s="29" t="s">
        <v>138</v>
      </c>
      <c r="CB1371" s="28" t="s">
        <v>138</v>
      </c>
      <c r="CC1371" s="29" t="s">
        <v>138</v>
      </c>
      <c r="CD1371" s="28" t="s">
        <v>138</v>
      </c>
      <c r="CE1371" s="28" t="s">
        <v>205</v>
      </c>
      <c r="CF1371" s="28" t="s">
        <v>138</v>
      </c>
      <c r="CG1371" s="28" t="s">
        <v>138</v>
      </c>
      <c r="CH1371" s="28" t="s">
        <v>174</v>
      </c>
      <c r="CI1371" s="28" t="s">
        <v>138</v>
      </c>
      <c r="CJ1371" s="28" t="s">
        <v>138</v>
      </c>
      <c r="CK1371" s="28" t="s">
        <v>138</v>
      </c>
      <c r="CL1371" s="28" t="s">
        <v>175</v>
      </c>
      <c r="CM1371" s="34" t="s">
        <v>138</v>
      </c>
      <c r="CN1371" s="29" t="s">
        <v>138</v>
      </c>
      <c r="CO1371" s="35">
        <v>0</v>
      </c>
      <c r="CP1371" s="36">
        <v>26</v>
      </c>
      <c r="CQ1371" s="35">
        <v>0</v>
      </c>
      <c r="CR1371" s="35">
        <v>0</v>
      </c>
      <c r="CS1371" s="35">
        <v>0</v>
      </c>
      <c r="CT1371" s="36">
        <v>23</v>
      </c>
      <c r="CU1371" s="35" t="s">
        <v>138</v>
      </c>
      <c r="CV1371" s="36" t="s">
        <v>138</v>
      </c>
      <c r="CW1371" s="35" t="s">
        <v>138</v>
      </c>
      <c r="CX1371" s="36" t="s">
        <v>138</v>
      </c>
      <c r="CY1371" s="35">
        <v>0</v>
      </c>
      <c r="CZ1371" s="36">
        <v>25</v>
      </c>
      <c r="DA1371" s="35" t="s">
        <v>138</v>
      </c>
      <c r="DB1371" s="36" t="s">
        <v>138</v>
      </c>
      <c r="DC1371" s="37">
        <v>1.1000000000000001</v>
      </c>
      <c r="DD1371" s="36">
        <v>53</v>
      </c>
      <c r="DE1371" s="37">
        <v>0</v>
      </c>
      <c r="DF1371" s="35">
        <v>0</v>
      </c>
      <c r="DG1371" s="37">
        <v>1.1000000000000001</v>
      </c>
      <c r="DH1371" s="36">
        <v>53</v>
      </c>
      <c r="DI1371" s="37" t="s">
        <v>138</v>
      </c>
      <c r="DJ1371" s="36" t="s">
        <v>138</v>
      </c>
      <c r="DK1371" s="37" t="s">
        <v>138</v>
      </c>
      <c r="DL1371" s="36" t="s">
        <v>138</v>
      </c>
      <c r="DM1371" s="37">
        <v>1.1000000000000001</v>
      </c>
      <c r="DN1371" s="36">
        <v>52</v>
      </c>
      <c r="DO1371" s="37" t="s">
        <v>138</v>
      </c>
      <c r="DP1371" s="36" t="s">
        <v>138</v>
      </c>
      <c r="DQ1371" s="36" t="s">
        <v>138</v>
      </c>
      <c r="DR1371" s="38" t="s">
        <v>138</v>
      </c>
      <c r="DS1371" s="35" t="s">
        <v>138</v>
      </c>
      <c r="DT1371" s="36">
        <v>32</v>
      </c>
      <c r="DU1371" s="38">
        <v>0</v>
      </c>
      <c r="DV1371" s="35">
        <v>0</v>
      </c>
      <c r="DW1371" s="36" t="s">
        <v>138</v>
      </c>
      <c r="DX1371" s="39" t="s">
        <v>138</v>
      </c>
      <c r="DY1371" s="35" t="s">
        <v>138</v>
      </c>
      <c r="DZ1371" s="28" t="s">
        <v>178</v>
      </c>
      <c r="EA1371" s="34">
        <v>43351</v>
      </c>
      <c r="EB1371" s="29" t="s">
        <v>138</v>
      </c>
      <c r="EC1371" s="34" t="s">
        <v>138</v>
      </c>
      <c r="ED1371" s="28" t="s">
        <v>138</v>
      </c>
      <c r="EE1371" s="40" t="str">
        <f>HYPERLINK("https://my.pitchbook.com?c=107206-39", "View company online")</f>
        <v>View company online</v>
      </c>
    </row>
    <row r="1372" spans="1:135">
      <c r="A1372" s="15" t="s">
        <v>26422</v>
      </c>
      <c r="B1372" s="15" t="s">
        <v>26423</v>
      </c>
      <c r="C1372" s="15" t="s">
        <v>138</v>
      </c>
      <c r="D1372" s="15" t="s">
        <v>138</v>
      </c>
      <c r="E1372" s="15" t="s">
        <v>26424</v>
      </c>
      <c r="F1372" s="15" t="s">
        <v>26422</v>
      </c>
      <c r="G1372" s="15" t="s">
        <v>26425</v>
      </c>
      <c r="H1372" s="15" t="s">
        <v>322</v>
      </c>
      <c r="I1372" s="15" t="s">
        <v>323</v>
      </c>
      <c r="J1372" s="15" t="s">
        <v>324</v>
      </c>
      <c r="K1372" s="15" t="s">
        <v>325</v>
      </c>
      <c r="L1372" s="15" t="s">
        <v>215</v>
      </c>
      <c r="M1372" s="15" t="s">
        <v>26426</v>
      </c>
      <c r="N1372" s="15" t="s">
        <v>147</v>
      </c>
      <c r="O1372" s="17">
        <v>283.10000000000002</v>
      </c>
      <c r="P1372" s="15" t="s">
        <v>148</v>
      </c>
      <c r="Q1372" s="15" t="s">
        <v>149</v>
      </c>
      <c r="R1372" s="15" t="s">
        <v>26427</v>
      </c>
      <c r="S1372" s="15" t="s">
        <v>26428</v>
      </c>
      <c r="T1372" s="18">
        <v>650</v>
      </c>
      <c r="U1372" s="15" t="s">
        <v>26429</v>
      </c>
      <c r="V1372" s="15" t="s">
        <v>138</v>
      </c>
      <c r="W1372" s="15" t="s">
        <v>138</v>
      </c>
      <c r="X1372" s="19">
        <v>2009</v>
      </c>
      <c r="Y1372" s="15" t="s">
        <v>138</v>
      </c>
      <c r="Z1372" s="15" t="s">
        <v>138</v>
      </c>
      <c r="AA1372" s="15" t="s">
        <v>7276</v>
      </c>
      <c r="AB1372" s="20">
        <v>100</v>
      </c>
      <c r="AC1372" s="20" t="s">
        <v>138</v>
      </c>
      <c r="AD1372" s="20" t="s">
        <v>138</v>
      </c>
      <c r="AE1372" s="20" t="s">
        <v>138</v>
      </c>
      <c r="AF1372" s="20" t="s">
        <v>138</v>
      </c>
      <c r="AG1372" s="15" t="s">
        <v>815</v>
      </c>
      <c r="AH1372" s="20" t="s">
        <v>138</v>
      </c>
      <c r="AI1372" s="20" t="s">
        <v>138</v>
      </c>
      <c r="AJ1372" s="20" t="s">
        <v>138</v>
      </c>
      <c r="AK1372" s="15" t="s">
        <v>26430</v>
      </c>
      <c r="AL1372" s="15" t="s">
        <v>26431</v>
      </c>
      <c r="AM1372" s="15" t="s">
        <v>249</v>
      </c>
      <c r="AN1372" s="15" t="s">
        <v>26432</v>
      </c>
      <c r="AO1372" s="15" t="s">
        <v>26433</v>
      </c>
      <c r="AP1372" s="15" t="s">
        <v>665</v>
      </c>
      <c r="AQ1372" s="15" t="s">
        <v>26434</v>
      </c>
      <c r="AR1372" s="15" t="s">
        <v>26435</v>
      </c>
      <c r="AS1372" s="15" t="s">
        <v>668</v>
      </c>
      <c r="AT1372" s="15" t="s">
        <v>200</v>
      </c>
      <c r="AU1372" s="15" t="s">
        <v>669</v>
      </c>
      <c r="AV1372" s="15" t="s">
        <v>162</v>
      </c>
      <c r="AW1372" s="15" t="s">
        <v>26433</v>
      </c>
      <c r="AX1372" s="15" t="s">
        <v>138</v>
      </c>
      <c r="AY1372" s="15" t="s">
        <v>26436</v>
      </c>
      <c r="AZ1372" s="15" t="s">
        <v>164</v>
      </c>
      <c r="BA1372" s="15" t="s">
        <v>165</v>
      </c>
      <c r="BB1372" s="15" t="s">
        <v>26437</v>
      </c>
      <c r="BC1372" s="15" t="s">
        <v>26438</v>
      </c>
      <c r="BD1372" s="21">
        <v>6</v>
      </c>
      <c r="BE1372" s="15" t="s">
        <v>138</v>
      </c>
      <c r="BF1372" s="15" t="s">
        <v>138</v>
      </c>
      <c r="BG1372" s="15" t="s">
        <v>138</v>
      </c>
      <c r="BH1372" s="15" t="s">
        <v>26439</v>
      </c>
      <c r="BI1372" s="15" t="s">
        <v>138</v>
      </c>
      <c r="BJ1372" s="15" t="s">
        <v>138</v>
      </c>
      <c r="BK1372" s="15" t="s">
        <v>26440</v>
      </c>
      <c r="BL1372" s="15" t="s">
        <v>26441</v>
      </c>
      <c r="BM1372" s="22">
        <v>40065</v>
      </c>
      <c r="BN1372" s="17">
        <v>7.64</v>
      </c>
      <c r="BO1372" s="15" t="s">
        <v>172</v>
      </c>
      <c r="BP1372" s="17">
        <v>20.64</v>
      </c>
      <c r="BQ1372" s="15" t="s">
        <v>172</v>
      </c>
      <c r="BR1372" s="15" t="s">
        <v>205</v>
      </c>
      <c r="BS1372" s="15" t="s">
        <v>206</v>
      </c>
      <c r="BT1372" s="15" t="s">
        <v>138</v>
      </c>
      <c r="BU1372" s="15" t="s">
        <v>174</v>
      </c>
      <c r="BV1372" s="15" t="s">
        <v>138</v>
      </c>
      <c r="BW1372" s="15" t="s">
        <v>138</v>
      </c>
      <c r="BX1372" s="15" t="s">
        <v>138</v>
      </c>
      <c r="BY1372" s="15" t="s">
        <v>175</v>
      </c>
      <c r="BZ1372" s="22">
        <v>43555</v>
      </c>
      <c r="CA1372" s="17">
        <v>21.29</v>
      </c>
      <c r="CB1372" s="15" t="s">
        <v>172</v>
      </c>
      <c r="CC1372" s="17" t="s">
        <v>138</v>
      </c>
      <c r="CD1372" s="15" t="s">
        <v>138</v>
      </c>
      <c r="CE1372" s="15" t="s">
        <v>1644</v>
      </c>
      <c r="CF1372" s="15" t="s">
        <v>138</v>
      </c>
      <c r="CG1372" s="15" t="s">
        <v>138</v>
      </c>
      <c r="CH1372" s="15" t="s">
        <v>1327</v>
      </c>
      <c r="CI1372" s="15" t="s">
        <v>1497</v>
      </c>
      <c r="CJ1372" s="15" t="s">
        <v>1498</v>
      </c>
      <c r="CK1372" s="15" t="s">
        <v>138</v>
      </c>
      <c r="CL1372" s="15" t="s">
        <v>175</v>
      </c>
      <c r="CM1372" s="22">
        <v>43555</v>
      </c>
      <c r="CN1372" s="17">
        <v>21</v>
      </c>
      <c r="CO1372" s="23">
        <v>-0.15</v>
      </c>
      <c r="CP1372" s="24">
        <v>20</v>
      </c>
      <c r="CQ1372" s="23">
        <v>-0.02</v>
      </c>
      <c r="CR1372" s="23">
        <v>-18.34</v>
      </c>
      <c r="CS1372" s="23">
        <v>-0.3</v>
      </c>
      <c r="CT1372" s="24">
        <v>21</v>
      </c>
      <c r="CU1372" s="23">
        <v>-0.01</v>
      </c>
      <c r="CV1372" s="24">
        <v>20</v>
      </c>
      <c r="CW1372" s="23">
        <v>2.1</v>
      </c>
      <c r="CX1372" s="24">
        <v>88</v>
      </c>
      <c r="CY1372" s="23">
        <v>-2.7</v>
      </c>
      <c r="CZ1372" s="24">
        <v>8</v>
      </c>
      <c r="DA1372" s="23">
        <v>0.01</v>
      </c>
      <c r="DB1372" s="24">
        <v>57</v>
      </c>
      <c r="DC1372" s="25">
        <v>32.200000000000003</v>
      </c>
      <c r="DD1372" s="24">
        <v>97</v>
      </c>
      <c r="DE1372" s="25">
        <v>-0.63</v>
      </c>
      <c r="DF1372" s="23">
        <v>-1.92</v>
      </c>
      <c r="DG1372" s="25">
        <v>38.340000000000003</v>
      </c>
      <c r="DH1372" s="24">
        <v>97</v>
      </c>
      <c r="DI1372" s="25">
        <v>26.06</v>
      </c>
      <c r="DJ1372" s="24">
        <v>92</v>
      </c>
      <c r="DK1372" s="25">
        <v>20.54</v>
      </c>
      <c r="DL1372" s="24">
        <v>92</v>
      </c>
      <c r="DM1372" s="25">
        <v>56.14</v>
      </c>
      <c r="DN1372" s="24">
        <v>98</v>
      </c>
      <c r="DO1372" s="25">
        <v>39.299999999999997</v>
      </c>
      <c r="DP1372" s="24">
        <v>96</v>
      </c>
      <c r="DQ1372" s="24">
        <v>7038</v>
      </c>
      <c r="DR1372" s="26">
        <v>22</v>
      </c>
      <c r="DS1372" s="23">
        <v>0.31</v>
      </c>
      <c r="DT1372" s="24">
        <v>1629</v>
      </c>
      <c r="DU1372" s="26">
        <v>-2</v>
      </c>
      <c r="DV1372" s="23">
        <v>-0.12</v>
      </c>
      <c r="DW1372" s="24">
        <v>14065</v>
      </c>
      <c r="DX1372" s="27">
        <v>3</v>
      </c>
      <c r="DY1372" s="23">
        <v>0.02</v>
      </c>
      <c r="DZ1372" s="15" t="s">
        <v>178</v>
      </c>
      <c r="EA1372" s="22">
        <v>43622</v>
      </c>
      <c r="EB1372" s="17">
        <v>700</v>
      </c>
      <c r="EC1372" s="22">
        <v>43003</v>
      </c>
      <c r="ED1372" s="15" t="s">
        <v>173</v>
      </c>
      <c r="EE1372" s="14" t="str">
        <f>HYPERLINK("https://my.pitchbook.com?c=62619-40", "View company online")</f>
        <v>View company online</v>
      </c>
    </row>
    <row r="1373" spans="1:135">
      <c r="A1373" s="28" t="s">
        <v>26442</v>
      </c>
      <c r="B1373" s="28" t="s">
        <v>26443</v>
      </c>
      <c r="C1373" s="28" t="s">
        <v>138</v>
      </c>
      <c r="D1373" s="28" t="s">
        <v>138</v>
      </c>
      <c r="E1373" s="28" t="s">
        <v>26444</v>
      </c>
      <c r="F1373" s="28" t="s">
        <v>26442</v>
      </c>
      <c r="G1373" s="28" t="s">
        <v>26445</v>
      </c>
      <c r="H1373" s="28" t="s">
        <v>141</v>
      </c>
      <c r="I1373" s="28" t="s">
        <v>212</v>
      </c>
      <c r="J1373" s="28" t="s">
        <v>11306</v>
      </c>
      <c r="K1373" s="28" t="s">
        <v>26446</v>
      </c>
      <c r="L1373" s="28" t="s">
        <v>26447</v>
      </c>
      <c r="M1373" s="28" t="s">
        <v>26448</v>
      </c>
      <c r="N1373" s="28" t="s">
        <v>147</v>
      </c>
      <c r="O1373" s="29">
        <v>66.349999999999994</v>
      </c>
      <c r="P1373" s="28" t="s">
        <v>148</v>
      </c>
      <c r="Q1373" s="28" t="s">
        <v>149</v>
      </c>
      <c r="R1373" s="28" t="s">
        <v>174</v>
      </c>
      <c r="S1373" s="28" t="s">
        <v>26449</v>
      </c>
      <c r="T1373" s="30">
        <v>170</v>
      </c>
      <c r="U1373" s="28" t="s">
        <v>26450</v>
      </c>
      <c r="V1373" s="28" t="s">
        <v>138</v>
      </c>
      <c r="W1373" s="28" t="s">
        <v>138</v>
      </c>
      <c r="X1373" s="31">
        <v>2007</v>
      </c>
      <c r="Y1373" s="28" t="s">
        <v>138</v>
      </c>
      <c r="Z1373" s="28" t="s">
        <v>138</v>
      </c>
      <c r="AA1373" s="28" t="s">
        <v>138</v>
      </c>
      <c r="AB1373" s="32">
        <v>19.36</v>
      </c>
      <c r="AC1373" s="32" t="s">
        <v>138</v>
      </c>
      <c r="AD1373" s="32" t="s">
        <v>138</v>
      </c>
      <c r="AE1373" s="32" t="s">
        <v>138</v>
      </c>
      <c r="AF1373" s="32" t="s">
        <v>138</v>
      </c>
      <c r="AG1373" s="28" t="s">
        <v>707</v>
      </c>
      <c r="AH1373" s="32" t="s">
        <v>138</v>
      </c>
      <c r="AI1373" s="32" t="s">
        <v>138</v>
      </c>
      <c r="AJ1373" s="32" t="s">
        <v>138</v>
      </c>
      <c r="AK1373" s="28" t="s">
        <v>26451</v>
      </c>
      <c r="AL1373" s="28" t="s">
        <v>26452</v>
      </c>
      <c r="AM1373" s="28" t="s">
        <v>10648</v>
      </c>
      <c r="AN1373" s="28" t="s">
        <v>26453</v>
      </c>
      <c r="AO1373" s="28" t="s">
        <v>26454</v>
      </c>
      <c r="AP1373" s="28" t="s">
        <v>2692</v>
      </c>
      <c r="AQ1373" s="28" t="s">
        <v>26455</v>
      </c>
      <c r="AR1373" s="28" t="s">
        <v>26456</v>
      </c>
      <c r="AS1373" s="28" t="s">
        <v>2694</v>
      </c>
      <c r="AT1373" s="28" t="s">
        <v>138</v>
      </c>
      <c r="AU1373" s="28" t="s">
        <v>26457</v>
      </c>
      <c r="AV1373" s="28" t="s">
        <v>1054</v>
      </c>
      <c r="AW1373" s="28" t="s">
        <v>26454</v>
      </c>
      <c r="AX1373" s="28" t="s">
        <v>138</v>
      </c>
      <c r="AY1373" s="28" t="s">
        <v>138</v>
      </c>
      <c r="AZ1373" s="28" t="s">
        <v>530</v>
      </c>
      <c r="BA1373" s="28" t="s">
        <v>531</v>
      </c>
      <c r="BB1373" s="28" t="s">
        <v>26458</v>
      </c>
      <c r="BC1373" s="28" t="s">
        <v>26459</v>
      </c>
      <c r="BD1373" s="33">
        <v>8</v>
      </c>
      <c r="BE1373" s="28" t="s">
        <v>138</v>
      </c>
      <c r="BF1373" s="28" t="s">
        <v>138</v>
      </c>
      <c r="BG1373" s="28" t="s">
        <v>138</v>
      </c>
      <c r="BH1373" s="28" t="s">
        <v>26460</v>
      </c>
      <c r="BI1373" s="28" t="s">
        <v>138</v>
      </c>
      <c r="BJ1373" s="28" t="s">
        <v>138</v>
      </c>
      <c r="BK1373" s="28" t="s">
        <v>138</v>
      </c>
      <c r="BL1373" s="28" t="s">
        <v>26461</v>
      </c>
      <c r="BM1373" s="34">
        <v>41815</v>
      </c>
      <c r="BN1373" s="29">
        <v>2.85</v>
      </c>
      <c r="BO1373" s="28" t="s">
        <v>172</v>
      </c>
      <c r="BP1373" s="29">
        <v>8.2899999999999991</v>
      </c>
      <c r="BQ1373" s="28" t="s">
        <v>172</v>
      </c>
      <c r="BR1373" s="28" t="s">
        <v>173</v>
      </c>
      <c r="BS1373" s="28" t="s">
        <v>206</v>
      </c>
      <c r="BT1373" s="28" t="s">
        <v>138</v>
      </c>
      <c r="BU1373" s="28" t="s">
        <v>174</v>
      </c>
      <c r="BV1373" s="28" t="s">
        <v>138</v>
      </c>
      <c r="BW1373" s="28" t="s">
        <v>138</v>
      </c>
      <c r="BX1373" s="28" t="s">
        <v>138</v>
      </c>
      <c r="BY1373" s="28" t="s">
        <v>175</v>
      </c>
      <c r="BZ1373" s="34">
        <v>43447</v>
      </c>
      <c r="CA1373" s="29">
        <v>41.36</v>
      </c>
      <c r="CB1373" s="28" t="s">
        <v>172</v>
      </c>
      <c r="CC1373" s="29">
        <v>117.16</v>
      </c>
      <c r="CD1373" s="28" t="s">
        <v>172</v>
      </c>
      <c r="CE1373" s="28" t="s">
        <v>173</v>
      </c>
      <c r="CF1373" s="28" t="s">
        <v>317</v>
      </c>
      <c r="CG1373" s="28" t="s">
        <v>138</v>
      </c>
      <c r="CH1373" s="28" t="s">
        <v>174</v>
      </c>
      <c r="CI1373" s="28" t="s">
        <v>138</v>
      </c>
      <c r="CJ1373" s="28" t="s">
        <v>138</v>
      </c>
      <c r="CK1373" s="28" t="s">
        <v>138</v>
      </c>
      <c r="CL1373" s="28" t="s">
        <v>175</v>
      </c>
      <c r="CM1373" s="34" t="s">
        <v>138</v>
      </c>
      <c r="CN1373" s="29" t="s">
        <v>138</v>
      </c>
      <c r="CO1373" s="35">
        <v>2.5099999999999998</v>
      </c>
      <c r="CP1373" s="36">
        <v>99</v>
      </c>
      <c r="CQ1373" s="35">
        <v>0.01</v>
      </c>
      <c r="CR1373" s="35">
        <v>0.5</v>
      </c>
      <c r="CS1373" s="35" t="s">
        <v>138</v>
      </c>
      <c r="CT1373" s="36" t="s">
        <v>138</v>
      </c>
      <c r="CU1373" s="35">
        <v>0.2</v>
      </c>
      <c r="CV1373" s="36">
        <v>80</v>
      </c>
      <c r="CW1373" s="35" t="s">
        <v>138</v>
      </c>
      <c r="CX1373" s="36" t="s">
        <v>138</v>
      </c>
      <c r="CY1373" s="35" t="s">
        <v>138</v>
      </c>
      <c r="CZ1373" s="36" t="s">
        <v>138</v>
      </c>
      <c r="DA1373" s="35">
        <v>0.2</v>
      </c>
      <c r="DB1373" s="36">
        <v>82</v>
      </c>
      <c r="DC1373" s="37">
        <v>2.33</v>
      </c>
      <c r="DD1373" s="36">
        <v>70</v>
      </c>
      <c r="DE1373" s="37">
        <v>0.02</v>
      </c>
      <c r="DF1373" s="35">
        <v>0.75</v>
      </c>
      <c r="DG1373" s="37" t="s">
        <v>138</v>
      </c>
      <c r="DH1373" s="36" t="s">
        <v>138</v>
      </c>
      <c r="DI1373" s="37">
        <v>6.51</v>
      </c>
      <c r="DJ1373" s="36">
        <v>81</v>
      </c>
      <c r="DK1373" s="37" t="s">
        <v>138</v>
      </c>
      <c r="DL1373" s="36" t="s">
        <v>138</v>
      </c>
      <c r="DM1373" s="37" t="s">
        <v>138</v>
      </c>
      <c r="DN1373" s="36" t="s">
        <v>138</v>
      </c>
      <c r="DO1373" s="37">
        <v>6.51</v>
      </c>
      <c r="DP1373" s="36">
        <v>83</v>
      </c>
      <c r="DQ1373" s="36">
        <v>59</v>
      </c>
      <c r="DR1373" s="38">
        <v>0</v>
      </c>
      <c r="DS1373" s="35">
        <v>0</v>
      </c>
      <c r="DT1373" s="36" t="s">
        <v>138</v>
      </c>
      <c r="DU1373" s="38" t="s">
        <v>138</v>
      </c>
      <c r="DV1373" s="35" t="s">
        <v>138</v>
      </c>
      <c r="DW1373" s="36">
        <v>2329</v>
      </c>
      <c r="DX1373" s="39">
        <v>6</v>
      </c>
      <c r="DY1373" s="35">
        <v>0.26</v>
      </c>
      <c r="DZ1373" s="28" t="s">
        <v>178</v>
      </c>
      <c r="EA1373" s="34">
        <v>43613</v>
      </c>
      <c r="EB1373" s="29">
        <v>117.16</v>
      </c>
      <c r="EC1373" s="34">
        <v>43447</v>
      </c>
      <c r="ED1373" s="28" t="s">
        <v>173</v>
      </c>
      <c r="EE1373" s="40" t="str">
        <f>HYPERLINK("https://my.pitchbook.com?c=98174-71", "View company online")</f>
        <v>View company online</v>
      </c>
    </row>
    <row r="1374" spans="1:135">
      <c r="A1374" s="15" t="s">
        <v>26462</v>
      </c>
      <c r="B1374" s="15" t="s">
        <v>26463</v>
      </c>
      <c r="C1374" s="15" t="s">
        <v>26464</v>
      </c>
      <c r="D1374" s="15" t="s">
        <v>138</v>
      </c>
      <c r="E1374" s="15" t="s">
        <v>26465</v>
      </c>
      <c r="F1374" s="15" t="s">
        <v>26462</v>
      </c>
      <c r="G1374" s="15" t="s">
        <v>26466</v>
      </c>
      <c r="H1374" s="15" t="s">
        <v>322</v>
      </c>
      <c r="I1374" s="15" t="s">
        <v>323</v>
      </c>
      <c r="J1374" s="15" t="s">
        <v>461</v>
      </c>
      <c r="K1374" s="15" t="s">
        <v>26467</v>
      </c>
      <c r="L1374" s="15" t="s">
        <v>26468</v>
      </c>
      <c r="M1374" s="15" t="s">
        <v>26469</v>
      </c>
      <c r="N1374" s="15" t="s">
        <v>147</v>
      </c>
      <c r="O1374" s="17">
        <v>21.89</v>
      </c>
      <c r="P1374" s="15" t="s">
        <v>148</v>
      </c>
      <c r="Q1374" s="15" t="s">
        <v>149</v>
      </c>
      <c r="R1374" s="15" t="s">
        <v>174</v>
      </c>
      <c r="S1374" s="15" t="s">
        <v>26470</v>
      </c>
      <c r="T1374" s="18">
        <v>15</v>
      </c>
      <c r="U1374" s="15" t="s">
        <v>26471</v>
      </c>
      <c r="V1374" s="15" t="s">
        <v>138</v>
      </c>
      <c r="W1374" s="15" t="s">
        <v>138</v>
      </c>
      <c r="X1374" s="19">
        <v>2012</v>
      </c>
      <c r="Y1374" s="15" t="s">
        <v>138</v>
      </c>
      <c r="Z1374" s="15" t="s">
        <v>138</v>
      </c>
      <c r="AA1374" s="15" t="s">
        <v>138</v>
      </c>
      <c r="AB1374" s="20">
        <v>0.12</v>
      </c>
      <c r="AC1374" s="20" t="s">
        <v>138</v>
      </c>
      <c r="AD1374" s="20" t="s">
        <v>138</v>
      </c>
      <c r="AE1374" s="20" t="s">
        <v>138</v>
      </c>
      <c r="AF1374" s="20" t="s">
        <v>138</v>
      </c>
      <c r="AG1374" s="15" t="s">
        <v>2214</v>
      </c>
      <c r="AH1374" s="20" t="s">
        <v>138</v>
      </c>
      <c r="AI1374" s="20" t="s">
        <v>138</v>
      </c>
      <c r="AJ1374" s="20" t="s">
        <v>138</v>
      </c>
      <c r="AK1374" s="15" t="s">
        <v>26472</v>
      </c>
      <c r="AL1374" s="15" t="s">
        <v>26473</v>
      </c>
      <c r="AM1374" s="15" t="s">
        <v>20596</v>
      </c>
      <c r="AN1374" s="15" t="s">
        <v>26474</v>
      </c>
      <c r="AO1374" s="15" t="s">
        <v>26475</v>
      </c>
      <c r="AP1374" s="15" t="s">
        <v>26476</v>
      </c>
      <c r="AQ1374" s="15" t="s">
        <v>26477</v>
      </c>
      <c r="AR1374" s="15" t="s">
        <v>26478</v>
      </c>
      <c r="AS1374" s="15" t="s">
        <v>26479</v>
      </c>
      <c r="AT1374" s="15" t="s">
        <v>6576</v>
      </c>
      <c r="AU1374" s="15" t="s">
        <v>26480</v>
      </c>
      <c r="AV1374" s="15" t="s">
        <v>162</v>
      </c>
      <c r="AW1374" s="15" t="s">
        <v>26475</v>
      </c>
      <c r="AX1374" s="15" t="s">
        <v>138</v>
      </c>
      <c r="AY1374" s="15" t="s">
        <v>26481</v>
      </c>
      <c r="AZ1374" s="15" t="s">
        <v>164</v>
      </c>
      <c r="BA1374" s="15" t="s">
        <v>165</v>
      </c>
      <c r="BB1374" s="15" t="s">
        <v>26482</v>
      </c>
      <c r="BC1374" s="15" t="s">
        <v>26483</v>
      </c>
      <c r="BD1374" s="21">
        <v>28</v>
      </c>
      <c r="BE1374" s="15" t="s">
        <v>138</v>
      </c>
      <c r="BF1374" s="15" t="s">
        <v>138</v>
      </c>
      <c r="BG1374" s="15" t="s">
        <v>138</v>
      </c>
      <c r="BH1374" s="15" t="s">
        <v>26484</v>
      </c>
      <c r="BI1374" s="15" t="s">
        <v>138</v>
      </c>
      <c r="BJ1374" s="15" t="s">
        <v>138</v>
      </c>
      <c r="BK1374" s="15" t="s">
        <v>26485</v>
      </c>
      <c r="BL1374" s="15" t="s">
        <v>138</v>
      </c>
      <c r="BM1374" s="22">
        <v>41505</v>
      </c>
      <c r="BN1374" s="17">
        <v>1</v>
      </c>
      <c r="BO1374" s="15" t="s">
        <v>172</v>
      </c>
      <c r="BP1374" s="17">
        <v>3.75</v>
      </c>
      <c r="BQ1374" s="15" t="s">
        <v>172</v>
      </c>
      <c r="BR1374" s="15" t="s">
        <v>234</v>
      </c>
      <c r="BS1374" s="15" t="s">
        <v>234</v>
      </c>
      <c r="BT1374" s="15" t="s">
        <v>138</v>
      </c>
      <c r="BU1374" s="15" t="s">
        <v>174</v>
      </c>
      <c r="BV1374" s="15" t="s">
        <v>138</v>
      </c>
      <c r="BW1374" s="15" t="s">
        <v>138</v>
      </c>
      <c r="BX1374" s="15" t="s">
        <v>138</v>
      </c>
      <c r="BY1374" s="15" t="s">
        <v>175</v>
      </c>
      <c r="BZ1374" s="22">
        <v>42824</v>
      </c>
      <c r="CA1374" s="17">
        <v>15</v>
      </c>
      <c r="CB1374" s="15" t="s">
        <v>172</v>
      </c>
      <c r="CC1374" s="17">
        <v>42.86</v>
      </c>
      <c r="CD1374" s="15" t="s">
        <v>172</v>
      </c>
      <c r="CE1374" s="15" t="s">
        <v>205</v>
      </c>
      <c r="CF1374" s="15" t="s">
        <v>623</v>
      </c>
      <c r="CG1374" s="15" t="s">
        <v>138</v>
      </c>
      <c r="CH1374" s="15" t="s">
        <v>174</v>
      </c>
      <c r="CI1374" s="15" t="s">
        <v>138</v>
      </c>
      <c r="CJ1374" s="15" t="s">
        <v>138</v>
      </c>
      <c r="CK1374" s="15" t="s">
        <v>138</v>
      </c>
      <c r="CL1374" s="15" t="s">
        <v>175</v>
      </c>
      <c r="CM1374" s="22" t="s">
        <v>138</v>
      </c>
      <c r="CN1374" s="17" t="s">
        <v>138</v>
      </c>
      <c r="CO1374" s="23">
        <v>0.3</v>
      </c>
      <c r="CP1374" s="24">
        <v>94</v>
      </c>
      <c r="CQ1374" s="23">
        <v>-0.03</v>
      </c>
      <c r="CR1374" s="23">
        <v>-8.0299999999999994</v>
      </c>
      <c r="CS1374" s="23">
        <v>0.15</v>
      </c>
      <c r="CT1374" s="24">
        <v>94</v>
      </c>
      <c r="CU1374" s="23">
        <v>0.45</v>
      </c>
      <c r="CV1374" s="24">
        <v>92</v>
      </c>
      <c r="CW1374" s="23">
        <v>0.3</v>
      </c>
      <c r="CX1374" s="24">
        <v>82</v>
      </c>
      <c r="CY1374" s="23">
        <v>0</v>
      </c>
      <c r="CZ1374" s="24">
        <v>25</v>
      </c>
      <c r="DA1374" s="23">
        <v>0.45</v>
      </c>
      <c r="DB1374" s="24">
        <v>93</v>
      </c>
      <c r="DC1374" s="25">
        <v>4.71</v>
      </c>
      <c r="DD1374" s="24">
        <v>82</v>
      </c>
      <c r="DE1374" s="25">
        <v>-0.09</v>
      </c>
      <c r="DF1374" s="23">
        <v>-1.8</v>
      </c>
      <c r="DG1374" s="25">
        <v>2.96</v>
      </c>
      <c r="DH1374" s="24">
        <v>74</v>
      </c>
      <c r="DI1374" s="25">
        <v>6.45</v>
      </c>
      <c r="DJ1374" s="24">
        <v>81</v>
      </c>
      <c r="DK1374" s="25">
        <v>3.34</v>
      </c>
      <c r="DL1374" s="24">
        <v>73</v>
      </c>
      <c r="DM1374" s="25">
        <v>2.59</v>
      </c>
      <c r="DN1374" s="24">
        <v>71</v>
      </c>
      <c r="DO1374" s="25">
        <v>6.45</v>
      </c>
      <c r="DP1374" s="24">
        <v>83</v>
      </c>
      <c r="DQ1374" s="24">
        <v>1135</v>
      </c>
      <c r="DR1374" s="26">
        <v>31</v>
      </c>
      <c r="DS1374" s="23">
        <v>2.81</v>
      </c>
      <c r="DT1374" s="24">
        <v>75</v>
      </c>
      <c r="DU1374" s="26">
        <v>2</v>
      </c>
      <c r="DV1374" s="23">
        <v>2.74</v>
      </c>
      <c r="DW1374" s="24">
        <v>2310</v>
      </c>
      <c r="DX1374" s="27">
        <v>8</v>
      </c>
      <c r="DY1374" s="23">
        <v>0.35</v>
      </c>
      <c r="DZ1374" s="15" t="s">
        <v>178</v>
      </c>
      <c r="EA1374" s="22">
        <v>43481</v>
      </c>
      <c r="EB1374" s="17">
        <v>42.86</v>
      </c>
      <c r="EC1374" s="22">
        <v>42824</v>
      </c>
      <c r="ED1374" s="15" t="s">
        <v>205</v>
      </c>
      <c r="EE1374" s="14" t="str">
        <f>HYPERLINK("https://my.pitchbook.com?c=58693-51", "View company online")</f>
        <v>View company online</v>
      </c>
    </row>
    <row r="1375" spans="1:135">
      <c r="A1375" s="28" t="s">
        <v>26486</v>
      </c>
      <c r="B1375" s="28" t="s">
        <v>26487</v>
      </c>
      <c r="C1375" s="28" t="s">
        <v>26488</v>
      </c>
      <c r="D1375" s="28" t="s">
        <v>138</v>
      </c>
      <c r="E1375" s="28" t="s">
        <v>138</v>
      </c>
      <c r="F1375" s="28" t="s">
        <v>26486</v>
      </c>
      <c r="G1375" s="28" t="s">
        <v>26489</v>
      </c>
      <c r="H1375" s="28" t="s">
        <v>322</v>
      </c>
      <c r="I1375" s="28" t="s">
        <v>323</v>
      </c>
      <c r="J1375" s="28" t="s">
        <v>324</v>
      </c>
      <c r="K1375" s="28" t="s">
        <v>1543</v>
      </c>
      <c r="L1375" s="28" t="s">
        <v>2641</v>
      </c>
      <c r="M1375" s="28" t="s">
        <v>26490</v>
      </c>
      <c r="N1375" s="28" t="s">
        <v>1212</v>
      </c>
      <c r="O1375" s="29">
        <v>58</v>
      </c>
      <c r="P1375" s="28" t="s">
        <v>148</v>
      </c>
      <c r="Q1375" s="28" t="s">
        <v>149</v>
      </c>
      <c r="R1375" s="28" t="s">
        <v>174</v>
      </c>
      <c r="S1375" s="28" t="s">
        <v>26491</v>
      </c>
      <c r="T1375" s="30">
        <v>108</v>
      </c>
      <c r="U1375" s="28" t="s">
        <v>26492</v>
      </c>
      <c r="V1375" s="28" t="s">
        <v>138</v>
      </c>
      <c r="W1375" s="28" t="s">
        <v>138</v>
      </c>
      <c r="X1375" s="31">
        <v>2008</v>
      </c>
      <c r="Y1375" s="28" t="s">
        <v>138</v>
      </c>
      <c r="Z1375" s="28" t="s">
        <v>138</v>
      </c>
      <c r="AA1375" s="28" t="s">
        <v>1163</v>
      </c>
      <c r="AB1375" s="32">
        <v>7.5</v>
      </c>
      <c r="AC1375" s="32" t="s">
        <v>138</v>
      </c>
      <c r="AD1375" s="32" t="s">
        <v>138</v>
      </c>
      <c r="AE1375" s="32" t="s">
        <v>138</v>
      </c>
      <c r="AF1375" s="32" t="s">
        <v>138</v>
      </c>
      <c r="AG1375" s="28" t="s">
        <v>3077</v>
      </c>
      <c r="AH1375" s="32" t="s">
        <v>138</v>
      </c>
      <c r="AI1375" s="32" t="s">
        <v>138</v>
      </c>
      <c r="AJ1375" s="32" t="s">
        <v>138</v>
      </c>
      <c r="AK1375" s="28" t="s">
        <v>26493</v>
      </c>
      <c r="AL1375" s="28" t="s">
        <v>26494</v>
      </c>
      <c r="AM1375" s="28" t="s">
        <v>4567</v>
      </c>
      <c r="AN1375" s="28" t="s">
        <v>26495</v>
      </c>
      <c r="AO1375" s="28" t="s">
        <v>26496</v>
      </c>
      <c r="AP1375" s="28" t="s">
        <v>665</v>
      </c>
      <c r="AQ1375" s="28" t="s">
        <v>26497</v>
      </c>
      <c r="AR1375" s="28" t="s">
        <v>138</v>
      </c>
      <c r="AS1375" s="28" t="s">
        <v>668</v>
      </c>
      <c r="AT1375" s="28" t="s">
        <v>200</v>
      </c>
      <c r="AU1375" s="28" t="s">
        <v>691</v>
      </c>
      <c r="AV1375" s="28" t="s">
        <v>162</v>
      </c>
      <c r="AW1375" s="28" t="s">
        <v>26496</v>
      </c>
      <c r="AX1375" s="28" t="s">
        <v>138</v>
      </c>
      <c r="AY1375" s="28" t="s">
        <v>26498</v>
      </c>
      <c r="AZ1375" s="28" t="s">
        <v>164</v>
      </c>
      <c r="BA1375" s="28" t="s">
        <v>165</v>
      </c>
      <c r="BB1375" s="28" t="s">
        <v>26499</v>
      </c>
      <c r="BC1375" s="28" t="s">
        <v>138</v>
      </c>
      <c r="BD1375" s="33" t="s">
        <v>138</v>
      </c>
      <c r="BE1375" s="28" t="s">
        <v>26500</v>
      </c>
      <c r="BF1375" s="28" t="s">
        <v>26501</v>
      </c>
      <c r="BG1375" s="28" t="s">
        <v>138</v>
      </c>
      <c r="BH1375" s="28" t="s">
        <v>138</v>
      </c>
      <c r="BI1375" s="28" t="s">
        <v>26502</v>
      </c>
      <c r="BJ1375" s="28" t="s">
        <v>138</v>
      </c>
      <c r="BK1375" s="28" t="s">
        <v>26503</v>
      </c>
      <c r="BL1375" s="28" t="s">
        <v>26504</v>
      </c>
      <c r="BM1375" s="34">
        <v>40141</v>
      </c>
      <c r="BN1375" s="29">
        <v>1.1499999999999999</v>
      </c>
      <c r="BO1375" s="28" t="s">
        <v>172</v>
      </c>
      <c r="BP1375" s="29">
        <v>3.35</v>
      </c>
      <c r="BQ1375" s="28" t="s">
        <v>172</v>
      </c>
      <c r="BR1375" s="28" t="s">
        <v>205</v>
      </c>
      <c r="BS1375" s="28" t="s">
        <v>206</v>
      </c>
      <c r="BT1375" s="28" t="s">
        <v>138</v>
      </c>
      <c r="BU1375" s="28" t="s">
        <v>174</v>
      </c>
      <c r="BV1375" s="28" t="s">
        <v>138</v>
      </c>
      <c r="BW1375" s="28" t="s">
        <v>138</v>
      </c>
      <c r="BX1375" s="28" t="s">
        <v>138</v>
      </c>
      <c r="BY1375" s="28" t="s">
        <v>175</v>
      </c>
      <c r="BZ1375" s="34">
        <v>43572</v>
      </c>
      <c r="CA1375" s="29">
        <v>300</v>
      </c>
      <c r="CB1375" s="28" t="s">
        <v>172</v>
      </c>
      <c r="CC1375" s="29">
        <v>300</v>
      </c>
      <c r="CD1375" s="28" t="s">
        <v>172</v>
      </c>
      <c r="CE1375" s="28" t="s">
        <v>2228</v>
      </c>
      <c r="CF1375" s="28" t="s">
        <v>138</v>
      </c>
      <c r="CG1375" s="28" t="s">
        <v>138</v>
      </c>
      <c r="CH1375" s="28" t="s">
        <v>780</v>
      </c>
      <c r="CI1375" s="28" t="s">
        <v>138</v>
      </c>
      <c r="CJ1375" s="28" t="s">
        <v>138</v>
      </c>
      <c r="CK1375" s="28" t="s">
        <v>138</v>
      </c>
      <c r="CL1375" s="28" t="s">
        <v>175</v>
      </c>
      <c r="CM1375" s="34" t="s">
        <v>138</v>
      </c>
      <c r="CN1375" s="29" t="s">
        <v>138</v>
      </c>
      <c r="CO1375" s="35">
        <v>-2.16</v>
      </c>
      <c r="CP1375" s="36">
        <v>5</v>
      </c>
      <c r="CQ1375" s="35">
        <v>2.19</v>
      </c>
      <c r="CR1375" s="35">
        <v>50.39</v>
      </c>
      <c r="CS1375" s="35">
        <v>-4.3499999999999996</v>
      </c>
      <c r="CT1375" s="36">
        <v>3</v>
      </c>
      <c r="CU1375" s="35">
        <v>0.03</v>
      </c>
      <c r="CV1375" s="36">
        <v>54</v>
      </c>
      <c r="CW1375" s="35">
        <v>-4.3499999999999996</v>
      </c>
      <c r="CX1375" s="36">
        <v>3</v>
      </c>
      <c r="CY1375" s="35" t="s">
        <v>138</v>
      </c>
      <c r="CZ1375" s="36" t="s">
        <v>138</v>
      </c>
      <c r="DA1375" s="35">
        <v>0.03</v>
      </c>
      <c r="DB1375" s="36">
        <v>60</v>
      </c>
      <c r="DC1375" s="37">
        <v>44.89</v>
      </c>
      <c r="DD1375" s="36">
        <v>98</v>
      </c>
      <c r="DE1375" s="37">
        <v>-1.05</v>
      </c>
      <c r="DF1375" s="35">
        <v>-2.2799999999999998</v>
      </c>
      <c r="DG1375" s="37">
        <v>40.71</v>
      </c>
      <c r="DH1375" s="36">
        <v>98</v>
      </c>
      <c r="DI1375" s="37">
        <v>49.06</v>
      </c>
      <c r="DJ1375" s="36">
        <v>95</v>
      </c>
      <c r="DK1375" s="37">
        <v>40.71</v>
      </c>
      <c r="DL1375" s="36">
        <v>95</v>
      </c>
      <c r="DM1375" s="37" t="s">
        <v>138</v>
      </c>
      <c r="DN1375" s="36" t="s">
        <v>138</v>
      </c>
      <c r="DO1375" s="37">
        <v>49.06</v>
      </c>
      <c r="DP1375" s="36">
        <v>96</v>
      </c>
      <c r="DQ1375" s="36">
        <v>14042</v>
      </c>
      <c r="DR1375" s="38">
        <v>-233</v>
      </c>
      <c r="DS1375" s="35">
        <v>-1.63</v>
      </c>
      <c r="DT1375" s="36" t="s">
        <v>138</v>
      </c>
      <c r="DU1375" s="38" t="s">
        <v>138</v>
      </c>
      <c r="DV1375" s="35" t="s">
        <v>138</v>
      </c>
      <c r="DW1375" s="36">
        <v>17569</v>
      </c>
      <c r="DX1375" s="39">
        <v>2</v>
      </c>
      <c r="DY1375" s="35">
        <v>0.01</v>
      </c>
      <c r="DZ1375" s="28" t="s">
        <v>178</v>
      </c>
      <c r="EA1375" s="34">
        <v>43620</v>
      </c>
      <c r="EB1375" s="29">
        <v>300</v>
      </c>
      <c r="EC1375" s="34">
        <v>43572</v>
      </c>
      <c r="ED1375" s="28" t="s">
        <v>2228</v>
      </c>
      <c r="EE1375" s="40" t="str">
        <f>HYPERLINK("https://my.pitchbook.com?c=51704-92", "View company online")</f>
        <v>View company online</v>
      </c>
    </row>
    <row r="1376" spans="1:135">
      <c r="A1376" s="15" t="s">
        <v>26505</v>
      </c>
      <c r="B1376" s="15" t="s">
        <v>26506</v>
      </c>
      <c r="C1376" s="15" t="s">
        <v>26507</v>
      </c>
      <c r="D1376" s="15" t="s">
        <v>138</v>
      </c>
      <c r="E1376" s="15" t="s">
        <v>26508</v>
      </c>
      <c r="F1376" s="15" t="s">
        <v>26505</v>
      </c>
      <c r="G1376" s="15" t="s">
        <v>26509</v>
      </c>
      <c r="H1376" s="15" t="s">
        <v>322</v>
      </c>
      <c r="I1376" s="15" t="s">
        <v>323</v>
      </c>
      <c r="J1376" s="15" t="s">
        <v>954</v>
      </c>
      <c r="K1376" s="15" t="s">
        <v>23543</v>
      </c>
      <c r="L1376" s="15" t="s">
        <v>703</v>
      </c>
      <c r="M1376" s="15" t="s">
        <v>26510</v>
      </c>
      <c r="N1376" s="15" t="s">
        <v>147</v>
      </c>
      <c r="O1376" s="17">
        <v>20.88</v>
      </c>
      <c r="P1376" s="15" t="s">
        <v>148</v>
      </c>
      <c r="Q1376" s="15" t="s">
        <v>149</v>
      </c>
      <c r="R1376" s="15" t="s">
        <v>174</v>
      </c>
      <c r="S1376" s="15" t="s">
        <v>26511</v>
      </c>
      <c r="T1376" s="18">
        <v>85</v>
      </c>
      <c r="U1376" s="15" t="s">
        <v>26512</v>
      </c>
      <c r="V1376" s="15" t="s">
        <v>138</v>
      </c>
      <c r="W1376" s="15" t="s">
        <v>138</v>
      </c>
      <c r="X1376" s="19">
        <v>2012</v>
      </c>
      <c r="Y1376" s="15" t="s">
        <v>138</v>
      </c>
      <c r="Z1376" s="15" t="s">
        <v>138</v>
      </c>
      <c r="AA1376" s="15" t="s">
        <v>138</v>
      </c>
      <c r="AB1376" s="20" t="s">
        <v>138</v>
      </c>
      <c r="AC1376" s="20" t="s">
        <v>138</v>
      </c>
      <c r="AD1376" s="20" t="s">
        <v>138</v>
      </c>
      <c r="AE1376" s="20" t="s">
        <v>138</v>
      </c>
      <c r="AF1376" s="20" t="s">
        <v>138</v>
      </c>
      <c r="AG1376" s="15" t="s">
        <v>138</v>
      </c>
      <c r="AH1376" s="20" t="s">
        <v>138</v>
      </c>
      <c r="AI1376" s="20" t="s">
        <v>138</v>
      </c>
      <c r="AJ1376" s="20" t="s">
        <v>138</v>
      </c>
      <c r="AK1376" s="15" t="s">
        <v>26513</v>
      </c>
      <c r="AL1376" s="15" t="s">
        <v>26514</v>
      </c>
      <c r="AM1376" s="15" t="s">
        <v>304</v>
      </c>
      <c r="AN1376" s="15" t="s">
        <v>26515</v>
      </c>
      <c r="AO1376" s="15" t="s">
        <v>138</v>
      </c>
      <c r="AP1376" s="15" t="s">
        <v>3905</v>
      </c>
      <c r="AQ1376" s="15" t="s">
        <v>26516</v>
      </c>
      <c r="AR1376" s="15" t="s">
        <v>226</v>
      </c>
      <c r="AS1376" s="15" t="s">
        <v>3907</v>
      </c>
      <c r="AT1376" s="15" t="s">
        <v>2740</v>
      </c>
      <c r="AU1376" s="15" t="s">
        <v>26517</v>
      </c>
      <c r="AV1376" s="15" t="s">
        <v>2742</v>
      </c>
      <c r="AW1376" s="15" t="s">
        <v>138</v>
      </c>
      <c r="AX1376" s="15" t="s">
        <v>138</v>
      </c>
      <c r="AY1376" s="15" t="s">
        <v>26518</v>
      </c>
      <c r="AZ1376" s="15" t="s">
        <v>164</v>
      </c>
      <c r="BA1376" s="15" t="s">
        <v>165</v>
      </c>
      <c r="BB1376" s="15" t="s">
        <v>26519</v>
      </c>
      <c r="BC1376" s="15" t="s">
        <v>26520</v>
      </c>
      <c r="BD1376" s="21">
        <v>16</v>
      </c>
      <c r="BE1376" s="15" t="s">
        <v>138</v>
      </c>
      <c r="BF1376" s="15" t="s">
        <v>138</v>
      </c>
      <c r="BG1376" s="15" t="s">
        <v>138</v>
      </c>
      <c r="BH1376" s="15" t="s">
        <v>26521</v>
      </c>
      <c r="BI1376" s="15" t="s">
        <v>138</v>
      </c>
      <c r="BJ1376" s="15" t="s">
        <v>138</v>
      </c>
      <c r="BK1376" s="15" t="s">
        <v>138</v>
      </c>
      <c r="BL1376" s="15" t="s">
        <v>26522</v>
      </c>
      <c r="BM1376" s="22">
        <v>41275</v>
      </c>
      <c r="BN1376" s="17" t="s">
        <v>138</v>
      </c>
      <c r="BO1376" s="15" t="s">
        <v>138</v>
      </c>
      <c r="BP1376" s="17" t="s">
        <v>138</v>
      </c>
      <c r="BQ1376" s="15" t="s">
        <v>138</v>
      </c>
      <c r="BR1376" s="15" t="s">
        <v>316</v>
      </c>
      <c r="BS1376" s="15" t="s">
        <v>138</v>
      </c>
      <c r="BT1376" s="15" t="s">
        <v>138</v>
      </c>
      <c r="BU1376" s="15" t="s">
        <v>177</v>
      </c>
      <c r="BV1376" s="15" t="s">
        <v>138</v>
      </c>
      <c r="BW1376" s="15" t="s">
        <v>138</v>
      </c>
      <c r="BX1376" s="15" t="s">
        <v>138</v>
      </c>
      <c r="BY1376" s="15" t="s">
        <v>175</v>
      </c>
      <c r="BZ1376" s="22">
        <v>42899</v>
      </c>
      <c r="CA1376" s="17">
        <v>10</v>
      </c>
      <c r="CB1376" s="15" t="s">
        <v>172</v>
      </c>
      <c r="CC1376" s="17" t="s">
        <v>138</v>
      </c>
      <c r="CD1376" s="15" t="s">
        <v>138</v>
      </c>
      <c r="CE1376" s="15" t="s">
        <v>205</v>
      </c>
      <c r="CF1376" s="15" t="s">
        <v>720</v>
      </c>
      <c r="CG1376" s="15" t="s">
        <v>138</v>
      </c>
      <c r="CH1376" s="15" t="s">
        <v>174</v>
      </c>
      <c r="CI1376" s="15" t="s">
        <v>138</v>
      </c>
      <c r="CJ1376" s="15" t="s">
        <v>138</v>
      </c>
      <c r="CK1376" s="15" t="s">
        <v>138</v>
      </c>
      <c r="CL1376" s="15" t="s">
        <v>175</v>
      </c>
      <c r="CM1376" s="22" t="s">
        <v>138</v>
      </c>
      <c r="CN1376" s="17" t="s">
        <v>138</v>
      </c>
      <c r="CO1376" s="23">
        <v>0.37</v>
      </c>
      <c r="CP1376" s="24">
        <v>94</v>
      </c>
      <c r="CQ1376" s="23">
        <v>-0.01</v>
      </c>
      <c r="CR1376" s="23">
        <v>-2.64</v>
      </c>
      <c r="CS1376" s="23">
        <v>0.72</v>
      </c>
      <c r="CT1376" s="24">
        <v>96</v>
      </c>
      <c r="CU1376" s="23">
        <v>0.08</v>
      </c>
      <c r="CV1376" s="24">
        <v>64</v>
      </c>
      <c r="CW1376" s="23">
        <v>2.39</v>
      </c>
      <c r="CX1376" s="24">
        <v>89</v>
      </c>
      <c r="CY1376" s="23">
        <v>-0.95</v>
      </c>
      <c r="CZ1376" s="24">
        <v>19</v>
      </c>
      <c r="DA1376" s="23">
        <v>0.08</v>
      </c>
      <c r="DB1376" s="24">
        <v>69</v>
      </c>
      <c r="DC1376" s="25">
        <v>24.75</v>
      </c>
      <c r="DD1376" s="24">
        <v>96</v>
      </c>
      <c r="DE1376" s="25">
        <v>0.3</v>
      </c>
      <c r="DF1376" s="23">
        <v>1.23</v>
      </c>
      <c r="DG1376" s="25">
        <v>7.85</v>
      </c>
      <c r="DH1376" s="24">
        <v>87</v>
      </c>
      <c r="DI1376" s="25">
        <v>32.75</v>
      </c>
      <c r="DJ1376" s="24">
        <v>93</v>
      </c>
      <c r="DK1376" s="25">
        <v>12.4</v>
      </c>
      <c r="DL1376" s="24">
        <v>88</v>
      </c>
      <c r="DM1376" s="25">
        <v>3.31</v>
      </c>
      <c r="DN1376" s="24">
        <v>75</v>
      </c>
      <c r="DO1376" s="25">
        <v>32.75</v>
      </c>
      <c r="DP1376" s="24">
        <v>95</v>
      </c>
      <c r="DQ1376" s="24">
        <v>4149</v>
      </c>
      <c r="DR1376" s="26">
        <v>310</v>
      </c>
      <c r="DS1376" s="23">
        <v>8.08</v>
      </c>
      <c r="DT1376" s="24">
        <v>96</v>
      </c>
      <c r="DU1376" s="26">
        <v>1</v>
      </c>
      <c r="DV1376" s="23">
        <v>1.05</v>
      </c>
      <c r="DW1376" s="24">
        <v>11726</v>
      </c>
      <c r="DX1376" s="27">
        <v>-1</v>
      </c>
      <c r="DY1376" s="23">
        <v>-0.01</v>
      </c>
      <c r="DZ1376" s="15" t="s">
        <v>178</v>
      </c>
      <c r="EA1376" s="22">
        <v>43351</v>
      </c>
      <c r="EB1376" s="17">
        <v>5.78</v>
      </c>
      <c r="EC1376" s="22">
        <v>41617</v>
      </c>
      <c r="ED1376" s="15" t="s">
        <v>234</v>
      </c>
      <c r="EE1376" s="14" t="str">
        <f>HYPERLINK("https://my.pitchbook.com?c=60633-82", "View company online")</f>
        <v>View company online</v>
      </c>
    </row>
    <row r="1377" spans="1:135">
      <c r="A1377" s="28" t="s">
        <v>26523</v>
      </c>
      <c r="B1377" s="28" t="s">
        <v>26524</v>
      </c>
      <c r="C1377" s="28" t="s">
        <v>138</v>
      </c>
      <c r="D1377" s="28" t="s">
        <v>138</v>
      </c>
      <c r="E1377" s="28" t="s">
        <v>138</v>
      </c>
      <c r="F1377" s="28" t="s">
        <v>26523</v>
      </c>
      <c r="G1377" s="28" t="s">
        <v>26525</v>
      </c>
      <c r="H1377" s="28" t="s">
        <v>183</v>
      </c>
      <c r="I1377" s="28" t="s">
        <v>184</v>
      </c>
      <c r="J1377" s="28" t="s">
        <v>10687</v>
      </c>
      <c r="K1377" s="28" t="s">
        <v>26526</v>
      </c>
      <c r="L1377" s="28" t="s">
        <v>272</v>
      </c>
      <c r="M1377" s="28" t="s">
        <v>26527</v>
      </c>
      <c r="N1377" s="28" t="s">
        <v>147</v>
      </c>
      <c r="O1377" s="29">
        <v>5.32</v>
      </c>
      <c r="P1377" s="28" t="s">
        <v>610</v>
      </c>
      <c r="Q1377" s="28" t="s">
        <v>149</v>
      </c>
      <c r="R1377" s="28" t="s">
        <v>174</v>
      </c>
      <c r="S1377" s="28" t="s">
        <v>26528</v>
      </c>
      <c r="T1377" s="30" t="s">
        <v>138</v>
      </c>
      <c r="U1377" s="28" t="s">
        <v>138</v>
      </c>
      <c r="V1377" s="28" t="s">
        <v>138</v>
      </c>
      <c r="W1377" s="28" t="s">
        <v>138</v>
      </c>
      <c r="X1377" s="31">
        <v>2011</v>
      </c>
      <c r="Y1377" s="28" t="s">
        <v>138</v>
      </c>
      <c r="Z1377" s="28" t="s">
        <v>138</v>
      </c>
      <c r="AA1377" s="28" t="s">
        <v>138</v>
      </c>
      <c r="AB1377" s="32" t="s">
        <v>138</v>
      </c>
      <c r="AC1377" s="32" t="s">
        <v>138</v>
      </c>
      <c r="AD1377" s="32" t="s">
        <v>138</v>
      </c>
      <c r="AE1377" s="32" t="s">
        <v>138</v>
      </c>
      <c r="AF1377" s="32" t="s">
        <v>138</v>
      </c>
      <c r="AG1377" s="28" t="s">
        <v>138</v>
      </c>
      <c r="AH1377" s="32" t="s">
        <v>138</v>
      </c>
      <c r="AI1377" s="32" t="s">
        <v>138</v>
      </c>
      <c r="AJ1377" s="32" t="s">
        <v>138</v>
      </c>
      <c r="AK1377" s="28" t="s">
        <v>26529</v>
      </c>
      <c r="AL1377" s="28" t="s">
        <v>26530</v>
      </c>
      <c r="AM1377" s="28" t="s">
        <v>12471</v>
      </c>
      <c r="AN1377" s="28" t="s">
        <v>26531</v>
      </c>
      <c r="AO1377" s="28" t="s">
        <v>26532</v>
      </c>
      <c r="AP1377" s="28" t="s">
        <v>6402</v>
      </c>
      <c r="AQ1377" s="28" t="s">
        <v>26533</v>
      </c>
      <c r="AR1377" s="28" t="s">
        <v>138</v>
      </c>
      <c r="AS1377" s="28" t="s">
        <v>6404</v>
      </c>
      <c r="AT1377" s="28" t="s">
        <v>200</v>
      </c>
      <c r="AU1377" s="28" t="s">
        <v>20378</v>
      </c>
      <c r="AV1377" s="28" t="s">
        <v>162</v>
      </c>
      <c r="AW1377" s="28" t="s">
        <v>26532</v>
      </c>
      <c r="AX1377" s="28" t="s">
        <v>26534</v>
      </c>
      <c r="AY1377" s="28" t="s">
        <v>26535</v>
      </c>
      <c r="AZ1377" s="28" t="s">
        <v>164</v>
      </c>
      <c r="BA1377" s="28" t="s">
        <v>165</v>
      </c>
      <c r="BB1377" s="28" t="s">
        <v>26536</v>
      </c>
      <c r="BC1377" s="28" t="s">
        <v>26537</v>
      </c>
      <c r="BD1377" s="33">
        <v>2</v>
      </c>
      <c r="BE1377" s="28" t="s">
        <v>138</v>
      </c>
      <c r="BF1377" s="28" t="s">
        <v>138</v>
      </c>
      <c r="BG1377" s="28" t="s">
        <v>138</v>
      </c>
      <c r="BH1377" s="28" t="s">
        <v>26538</v>
      </c>
      <c r="BI1377" s="28" t="s">
        <v>138</v>
      </c>
      <c r="BJ1377" s="28" t="s">
        <v>138</v>
      </c>
      <c r="BK1377" s="28" t="s">
        <v>13313</v>
      </c>
      <c r="BL1377" s="28" t="s">
        <v>13313</v>
      </c>
      <c r="BM1377" s="34">
        <v>42613</v>
      </c>
      <c r="BN1377" s="29">
        <v>5.32</v>
      </c>
      <c r="BO1377" s="28" t="s">
        <v>172</v>
      </c>
      <c r="BP1377" s="29">
        <v>20.97</v>
      </c>
      <c r="BQ1377" s="28" t="s">
        <v>172</v>
      </c>
      <c r="BR1377" s="28" t="s">
        <v>205</v>
      </c>
      <c r="BS1377" s="28" t="s">
        <v>206</v>
      </c>
      <c r="BT1377" s="28" t="s">
        <v>138</v>
      </c>
      <c r="BU1377" s="28" t="s">
        <v>174</v>
      </c>
      <c r="BV1377" s="28" t="s">
        <v>138</v>
      </c>
      <c r="BW1377" s="28" t="s">
        <v>138</v>
      </c>
      <c r="BX1377" s="28" t="s">
        <v>138</v>
      </c>
      <c r="BY1377" s="28" t="s">
        <v>175</v>
      </c>
      <c r="BZ1377" s="34">
        <v>42613</v>
      </c>
      <c r="CA1377" s="29">
        <v>5.32</v>
      </c>
      <c r="CB1377" s="28" t="s">
        <v>172</v>
      </c>
      <c r="CC1377" s="29">
        <v>20.97</v>
      </c>
      <c r="CD1377" s="28" t="s">
        <v>172</v>
      </c>
      <c r="CE1377" s="28" t="s">
        <v>205</v>
      </c>
      <c r="CF1377" s="28" t="s">
        <v>206</v>
      </c>
      <c r="CG1377" s="28" t="s">
        <v>138</v>
      </c>
      <c r="CH1377" s="28" t="s">
        <v>174</v>
      </c>
      <c r="CI1377" s="28" t="s">
        <v>138</v>
      </c>
      <c r="CJ1377" s="28" t="s">
        <v>138</v>
      </c>
      <c r="CK1377" s="28" t="s">
        <v>138</v>
      </c>
      <c r="CL1377" s="28" t="s">
        <v>175</v>
      </c>
      <c r="CM1377" s="34" t="s">
        <v>138</v>
      </c>
      <c r="CN1377" s="29" t="s">
        <v>138</v>
      </c>
      <c r="CO1377" s="35">
        <v>-3.14</v>
      </c>
      <c r="CP1377" s="36">
        <v>3</v>
      </c>
      <c r="CQ1377" s="35">
        <v>0</v>
      </c>
      <c r="CR1377" s="35">
        <v>0</v>
      </c>
      <c r="CS1377" s="35">
        <v>-3.14</v>
      </c>
      <c r="CT1377" s="36">
        <v>5</v>
      </c>
      <c r="CU1377" s="35" t="s">
        <v>138</v>
      </c>
      <c r="CV1377" s="36" t="s">
        <v>138</v>
      </c>
      <c r="CW1377" s="35" t="s">
        <v>138</v>
      </c>
      <c r="CX1377" s="36" t="s">
        <v>138</v>
      </c>
      <c r="CY1377" s="35">
        <v>-3.14</v>
      </c>
      <c r="CZ1377" s="36">
        <v>6</v>
      </c>
      <c r="DA1377" s="35" t="s">
        <v>138</v>
      </c>
      <c r="DB1377" s="36" t="s">
        <v>138</v>
      </c>
      <c r="DC1377" s="37">
        <v>9.93</v>
      </c>
      <c r="DD1377" s="36">
        <v>90</v>
      </c>
      <c r="DE1377" s="37">
        <v>7.0000000000000007E-2</v>
      </c>
      <c r="DF1377" s="35">
        <v>0.7</v>
      </c>
      <c r="DG1377" s="37">
        <v>9.93</v>
      </c>
      <c r="DH1377" s="36">
        <v>89</v>
      </c>
      <c r="DI1377" s="37" t="s">
        <v>138</v>
      </c>
      <c r="DJ1377" s="36" t="s">
        <v>138</v>
      </c>
      <c r="DK1377" s="37" t="s">
        <v>138</v>
      </c>
      <c r="DL1377" s="36" t="s">
        <v>138</v>
      </c>
      <c r="DM1377" s="37">
        <v>9.93</v>
      </c>
      <c r="DN1377" s="36">
        <v>89</v>
      </c>
      <c r="DO1377" s="37" t="s">
        <v>138</v>
      </c>
      <c r="DP1377" s="36" t="s">
        <v>138</v>
      </c>
      <c r="DQ1377" s="36" t="s">
        <v>138</v>
      </c>
      <c r="DR1377" s="38" t="s">
        <v>138</v>
      </c>
      <c r="DS1377" s="35" t="s">
        <v>138</v>
      </c>
      <c r="DT1377" s="36">
        <v>287</v>
      </c>
      <c r="DU1377" s="38">
        <v>0</v>
      </c>
      <c r="DV1377" s="35">
        <v>0</v>
      </c>
      <c r="DW1377" s="36" t="s">
        <v>138</v>
      </c>
      <c r="DX1377" s="39" t="s">
        <v>138</v>
      </c>
      <c r="DY1377" s="35" t="s">
        <v>138</v>
      </c>
      <c r="DZ1377" s="28" t="s">
        <v>178</v>
      </c>
      <c r="EA1377" s="34">
        <v>43433</v>
      </c>
      <c r="EB1377" s="29">
        <v>20.97</v>
      </c>
      <c r="EC1377" s="34">
        <v>42613</v>
      </c>
      <c r="ED1377" s="28" t="s">
        <v>205</v>
      </c>
      <c r="EE1377" s="40" t="str">
        <f>HYPERLINK("https://my.pitchbook.com?c=166511-35", "View company online")</f>
        <v>View company online</v>
      </c>
    </row>
    <row r="1378" spans="1:135">
      <c r="A1378" s="15" t="s">
        <v>26539</v>
      </c>
      <c r="B1378" s="15" t="s">
        <v>26540</v>
      </c>
      <c r="C1378" s="15" t="s">
        <v>138</v>
      </c>
      <c r="D1378" s="15" t="s">
        <v>138</v>
      </c>
      <c r="E1378" s="15" t="s">
        <v>26541</v>
      </c>
      <c r="F1378" s="15" t="s">
        <v>26539</v>
      </c>
      <c r="G1378" s="15" t="s">
        <v>26542</v>
      </c>
      <c r="H1378" s="15" t="s">
        <v>238</v>
      </c>
      <c r="I1378" s="15" t="s">
        <v>239</v>
      </c>
      <c r="J1378" s="15" t="s">
        <v>240</v>
      </c>
      <c r="K1378" s="15" t="s">
        <v>26140</v>
      </c>
      <c r="L1378" s="15" t="s">
        <v>6111</v>
      </c>
      <c r="M1378" s="15" t="s">
        <v>26543</v>
      </c>
      <c r="N1378" s="15" t="s">
        <v>1452</v>
      </c>
      <c r="O1378" s="17">
        <v>9.1</v>
      </c>
      <c r="P1378" s="15" t="s">
        <v>148</v>
      </c>
      <c r="Q1378" s="15" t="s">
        <v>149</v>
      </c>
      <c r="R1378" s="15" t="s">
        <v>328</v>
      </c>
      <c r="S1378" s="15" t="s">
        <v>26544</v>
      </c>
      <c r="T1378" s="18">
        <v>65</v>
      </c>
      <c r="U1378" s="15" t="s">
        <v>26545</v>
      </c>
      <c r="V1378" s="15" t="s">
        <v>138</v>
      </c>
      <c r="W1378" s="15" t="s">
        <v>138</v>
      </c>
      <c r="X1378" s="19">
        <v>2013</v>
      </c>
      <c r="Y1378" s="15" t="s">
        <v>138</v>
      </c>
      <c r="Z1378" s="15" t="s">
        <v>138</v>
      </c>
      <c r="AA1378" s="15" t="s">
        <v>138</v>
      </c>
      <c r="AB1378" s="20" t="s">
        <v>138</v>
      </c>
      <c r="AC1378" s="20" t="s">
        <v>138</v>
      </c>
      <c r="AD1378" s="20" t="s">
        <v>138</v>
      </c>
      <c r="AE1378" s="20" t="s">
        <v>138</v>
      </c>
      <c r="AF1378" s="20" t="s">
        <v>138</v>
      </c>
      <c r="AG1378" s="15" t="s">
        <v>138</v>
      </c>
      <c r="AH1378" s="20" t="s">
        <v>138</v>
      </c>
      <c r="AI1378" s="20" t="s">
        <v>138</v>
      </c>
      <c r="AJ1378" s="20" t="s">
        <v>138</v>
      </c>
      <c r="AK1378" s="15" t="s">
        <v>26546</v>
      </c>
      <c r="AL1378" s="15" t="s">
        <v>26547</v>
      </c>
      <c r="AM1378" s="15" t="s">
        <v>26548</v>
      </c>
      <c r="AN1378" s="15" t="s">
        <v>138</v>
      </c>
      <c r="AO1378" s="15" t="s">
        <v>26549</v>
      </c>
      <c r="AP1378" s="15" t="s">
        <v>14127</v>
      </c>
      <c r="AQ1378" s="15" t="s">
        <v>26550</v>
      </c>
      <c r="AR1378" s="15" t="s">
        <v>158</v>
      </c>
      <c r="AS1378" s="15" t="s">
        <v>14129</v>
      </c>
      <c r="AT1378" s="15" t="s">
        <v>14130</v>
      </c>
      <c r="AU1378" s="15" t="s">
        <v>26551</v>
      </c>
      <c r="AV1378" s="15" t="s">
        <v>2742</v>
      </c>
      <c r="AW1378" s="15" t="s">
        <v>26549</v>
      </c>
      <c r="AX1378" s="15" t="s">
        <v>138</v>
      </c>
      <c r="AY1378" s="15" t="s">
        <v>26552</v>
      </c>
      <c r="AZ1378" s="15" t="s">
        <v>164</v>
      </c>
      <c r="BA1378" s="15" t="s">
        <v>165</v>
      </c>
      <c r="BB1378" s="15" t="s">
        <v>26553</v>
      </c>
      <c r="BC1378" s="15" t="s">
        <v>26554</v>
      </c>
      <c r="BD1378" s="21">
        <v>6</v>
      </c>
      <c r="BE1378" s="15" t="s">
        <v>138</v>
      </c>
      <c r="BF1378" s="15" t="s">
        <v>138</v>
      </c>
      <c r="BG1378" s="15" t="s">
        <v>138</v>
      </c>
      <c r="BH1378" s="15" t="s">
        <v>26555</v>
      </c>
      <c r="BI1378" s="15" t="s">
        <v>138</v>
      </c>
      <c r="BJ1378" s="15" t="s">
        <v>138</v>
      </c>
      <c r="BK1378" s="15" t="s">
        <v>138</v>
      </c>
      <c r="BL1378" s="15" t="s">
        <v>2748</v>
      </c>
      <c r="BM1378" s="22" t="s">
        <v>138</v>
      </c>
      <c r="BN1378" s="17">
        <v>2.2999999999999998</v>
      </c>
      <c r="BO1378" s="15" t="s">
        <v>172</v>
      </c>
      <c r="BP1378" s="17" t="s">
        <v>138</v>
      </c>
      <c r="BQ1378" s="15" t="s">
        <v>138</v>
      </c>
      <c r="BR1378" s="15" t="s">
        <v>1673</v>
      </c>
      <c r="BS1378" s="15" t="s">
        <v>138</v>
      </c>
      <c r="BT1378" s="15" t="s">
        <v>138</v>
      </c>
      <c r="BU1378" s="15" t="s">
        <v>351</v>
      </c>
      <c r="BV1378" s="15" t="s">
        <v>138</v>
      </c>
      <c r="BW1378" s="15" t="s">
        <v>138</v>
      </c>
      <c r="BX1378" s="15" t="s">
        <v>138</v>
      </c>
      <c r="BY1378" s="15" t="s">
        <v>175</v>
      </c>
      <c r="BZ1378" s="22">
        <v>42536</v>
      </c>
      <c r="CA1378" s="17">
        <v>6.8</v>
      </c>
      <c r="CB1378" s="15" t="s">
        <v>172</v>
      </c>
      <c r="CC1378" s="17" t="s">
        <v>138</v>
      </c>
      <c r="CD1378" s="15" t="s">
        <v>138</v>
      </c>
      <c r="CE1378" s="15" t="s">
        <v>205</v>
      </c>
      <c r="CF1378" s="15" t="s">
        <v>206</v>
      </c>
      <c r="CG1378" s="15" t="s">
        <v>138</v>
      </c>
      <c r="CH1378" s="15" t="s">
        <v>174</v>
      </c>
      <c r="CI1378" s="15" t="s">
        <v>138</v>
      </c>
      <c r="CJ1378" s="15" t="s">
        <v>138</v>
      </c>
      <c r="CK1378" s="15" t="s">
        <v>138</v>
      </c>
      <c r="CL1378" s="15" t="s">
        <v>175</v>
      </c>
      <c r="CM1378" s="22" t="s">
        <v>138</v>
      </c>
      <c r="CN1378" s="17" t="s">
        <v>138</v>
      </c>
      <c r="CO1378" s="23">
        <v>-0.19</v>
      </c>
      <c r="CP1378" s="24">
        <v>20</v>
      </c>
      <c r="CQ1378" s="23">
        <v>-0.16</v>
      </c>
      <c r="CR1378" s="23">
        <v>-602.38</v>
      </c>
      <c r="CS1378" s="23">
        <v>-0.66</v>
      </c>
      <c r="CT1378" s="24">
        <v>18</v>
      </c>
      <c r="CU1378" s="23">
        <v>0.27</v>
      </c>
      <c r="CV1378" s="24">
        <v>86</v>
      </c>
      <c r="CW1378" s="23" t="s">
        <v>138</v>
      </c>
      <c r="CX1378" s="24" t="s">
        <v>138</v>
      </c>
      <c r="CY1378" s="23">
        <v>-0.66</v>
      </c>
      <c r="CZ1378" s="24">
        <v>21</v>
      </c>
      <c r="DA1378" s="23">
        <v>0.46</v>
      </c>
      <c r="DB1378" s="24">
        <v>93</v>
      </c>
      <c r="DC1378" s="25">
        <v>19.829999999999998</v>
      </c>
      <c r="DD1378" s="24">
        <v>95</v>
      </c>
      <c r="DE1378" s="25">
        <v>5.54</v>
      </c>
      <c r="DF1378" s="23">
        <v>38.75</v>
      </c>
      <c r="DG1378" s="25">
        <v>23.66</v>
      </c>
      <c r="DH1378" s="24">
        <v>96</v>
      </c>
      <c r="DI1378" s="25">
        <v>16.010000000000002</v>
      </c>
      <c r="DJ1378" s="24">
        <v>89</v>
      </c>
      <c r="DK1378" s="25" t="s">
        <v>138</v>
      </c>
      <c r="DL1378" s="24" t="s">
        <v>138</v>
      </c>
      <c r="DM1378" s="25">
        <v>23.66</v>
      </c>
      <c r="DN1378" s="24">
        <v>95</v>
      </c>
      <c r="DO1378" s="25">
        <v>14.86</v>
      </c>
      <c r="DP1378" s="24">
        <v>90</v>
      </c>
      <c r="DQ1378" s="24">
        <v>524</v>
      </c>
      <c r="DR1378" s="26">
        <v>-96</v>
      </c>
      <c r="DS1378" s="23">
        <v>-15.48</v>
      </c>
      <c r="DT1378" s="24">
        <v>686</v>
      </c>
      <c r="DU1378" s="26">
        <v>2</v>
      </c>
      <c r="DV1378" s="23">
        <v>0.28999999999999998</v>
      </c>
      <c r="DW1378" s="24">
        <v>5312</v>
      </c>
      <c r="DX1378" s="27">
        <v>11</v>
      </c>
      <c r="DY1378" s="23">
        <v>0.21</v>
      </c>
      <c r="DZ1378" s="15" t="s">
        <v>178</v>
      </c>
      <c r="EA1378" s="22">
        <v>43607</v>
      </c>
      <c r="EB1378" s="17" t="s">
        <v>138</v>
      </c>
      <c r="EC1378" s="22" t="s">
        <v>138</v>
      </c>
      <c r="ED1378" s="15" t="s">
        <v>138</v>
      </c>
      <c r="EE1378" s="14" t="str">
        <f>HYPERLINK("https://my.pitchbook.com?c=161268-31", "View company online")</f>
        <v>View company online</v>
      </c>
    </row>
    <row r="1379" spans="1:135">
      <c r="A1379" s="28" t="s">
        <v>26556</v>
      </c>
      <c r="B1379" s="28" t="s">
        <v>26557</v>
      </c>
      <c r="C1379" s="28" t="s">
        <v>138</v>
      </c>
      <c r="D1379" s="28" t="s">
        <v>26558</v>
      </c>
      <c r="E1379" s="28" t="s">
        <v>26559</v>
      </c>
      <c r="F1379" s="28" t="s">
        <v>26556</v>
      </c>
      <c r="G1379" s="28" t="s">
        <v>26560</v>
      </c>
      <c r="H1379" s="28" t="s">
        <v>183</v>
      </c>
      <c r="I1379" s="28" t="s">
        <v>4681</v>
      </c>
      <c r="J1379" s="28" t="s">
        <v>9676</v>
      </c>
      <c r="K1379" s="28" t="s">
        <v>12222</v>
      </c>
      <c r="L1379" s="28" t="s">
        <v>138</v>
      </c>
      <c r="M1379" s="28" t="s">
        <v>26561</v>
      </c>
      <c r="N1379" s="28" t="s">
        <v>147</v>
      </c>
      <c r="O1379" s="29">
        <v>15.89</v>
      </c>
      <c r="P1379" s="28" t="s">
        <v>148</v>
      </c>
      <c r="Q1379" s="28" t="s">
        <v>149</v>
      </c>
      <c r="R1379" s="28" t="s">
        <v>174</v>
      </c>
      <c r="S1379" s="28" t="s">
        <v>26562</v>
      </c>
      <c r="T1379" s="30" t="s">
        <v>138</v>
      </c>
      <c r="U1379" s="28" t="s">
        <v>138</v>
      </c>
      <c r="V1379" s="28" t="s">
        <v>138</v>
      </c>
      <c r="W1379" s="28" t="s">
        <v>138</v>
      </c>
      <c r="X1379" s="31">
        <v>2007</v>
      </c>
      <c r="Y1379" s="28" t="s">
        <v>138</v>
      </c>
      <c r="Z1379" s="28" t="s">
        <v>138</v>
      </c>
      <c r="AA1379" s="28" t="s">
        <v>138</v>
      </c>
      <c r="AB1379" s="32" t="s">
        <v>138</v>
      </c>
      <c r="AC1379" s="32" t="s">
        <v>138</v>
      </c>
      <c r="AD1379" s="32" t="s">
        <v>138</v>
      </c>
      <c r="AE1379" s="32" t="s">
        <v>138</v>
      </c>
      <c r="AF1379" s="32" t="s">
        <v>138</v>
      </c>
      <c r="AG1379" s="28" t="s">
        <v>138</v>
      </c>
      <c r="AH1379" s="32" t="s">
        <v>138</v>
      </c>
      <c r="AI1379" s="32" t="s">
        <v>138</v>
      </c>
      <c r="AJ1379" s="32" t="s">
        <v>138</v>
      </c>
      <c r="AK1379" s="28" t="s">
        <v>26563</v>
      </c>
      <c r="AL1379" s="28" t="s">
        <v>26564</v>
      </c>
      <c r="AM1379" s="28" t="s">
        <v>221</v>
      </c>
      <c r="AN1379" s="28" t="s">
        <v>138</v>
      </c>
      <c r="AO1379" s="28" t="s">
        <v>26565</v>
      </c>
      <c r="AP1379" s="28" t="s">
        <v>26566</v>
      </c>
      <c r="AQ1379" s="28" t="s">
        <v>26567</v>
      </c>
      <c r="AR1379" s="28" t="s">
        <v>158</v>
      </c>
      <c r="AS1379" s="28" t="s">
        <v>14130</v>
      </c>
      <c r="AT1379" s="28" t="s">
        <v>14130</v>
      </c>
      <c r="AU1379" s="28" t="s">
        <v>26568</v>
      </c>
      <c r="AV1379" s="28" t="s">
        <v>2742</v>
      </c>
      <c r="AW1379" s="28" t="s">
        <v>26565</v>
      </c>
      <c r="AX1379" s="28" t="s">
        <v>26569</v>
      </c>
      <c r="AY1379" s="28" t="s">
        <v>26570</v>
      </c>
      <c r="AZ1379" s="28" t="s">
        <v>164</v>
      </c>
      <c r="BA1379" s="28" t="s">
        <v>165</v>
      </c>
      <c r="BB1379" s="28" t="s">
        <v>26571</v>
      </c>
      <c r="BC1379" s="28" t="s">
        <v>26572</v>
      </c>
      <c r="BD1379" s="33">
        <v>6</v>
      </c>
      <c r="BE1379" s="28" t="s">
        <v>138</v>
      </c>
      <c r="BF1379" s="28" t="s">
        <v>138</v>
      </c>
      <c r="BG1379" s="28" t="s">
        <v>138</v>
      </c>
      <c r="BH1379" s="28" t="s">
        <v>26573</v>
      </c>
      <c r="BI1379" s="28" t="s">
        <v>138</v>
      </c>
      <c r="BJ1379" s="28" t="s">
        <v>138</v>
      </c>
      <c r="BK1379" s="28" t="s">
        <v>26574</v>
      </c>
      <c r="BL1379" s="28" t="s">
        <v>138</v>
      </c>
      <c r="BM1379" s="34">
        <v>40814</v>
      </c>
      <c r="BN1379" s="29">
        <v>0.39</v>
      </c>
      <c r="BO1379" s="28" t="s">
        <v>1178</v>
      </c>
      <c r="BP1379" s="29" t="s">
        <v>138</v>
      </c>
      <c r="BQ1379" s="28" t="s">
        <v>138</v>
      </c>
      <c r="BR1379" s="28" t="s">
        <v>262</v>
      </c>
      <c r="BS1379" s="28" t="s">
        <v>262</v>
      </c>
      <c r="BT1379" s="28" t="s">
        <v>138</v>
      </c>
      <c r="BU1379" s="28" t="s">
        <v>263</v>
      </c>
      <c r="BV1379" s="28" t="s">
        <v>138</v>
      </c>
      <c r="BW1379" s="28" t="s">
        <v>138</v>
      </c>
      <c r="BX1379" s="28" t="s">
        <v>138</v>
      </c>
      <c r="BY1379" s="28" t="s">
        <v>175</v>
      </c>
      <c r="BZ1379" s="34">
        <v>43385</v>
      </c>
      <c r="CA1379" s="29">
        <v>2</v>
      </c>
      <c r="CB1379" s="28" t="s">
        <v>172</v>
      </c>
      <c r="CC1379" s="29" t="s">
        <v>138</v>
      </c>
      <c r="CD1379" s="28" t="s">
        <v>138</v>
      </c>
      <c r="CE1379" s="28" t="s">
        <v>176</v>
      </c>
      <c r="CF1379" s="28" t="s">
        <v>138</v>
      </c>
      <c r="CG1379" s="28" t="s">
        <v>138</v>
      </c>
      <c r="CH1379" s="28" t="s">
        <v>177</v>
      </c>
      <c r="CI1379" s="28" t="s">
        <v>138</v>
      </c>
      <c r="CJ1379" s="28" t="s">
        <v>138</v>
      </c>
      <c r="CK1379" s="28" t="s">
        <v>138</v>
      </c>
      <c r="CL1379" s="28" t="s">
        <v>175</v>
      </c>
      <c r="CM1379" s="34" t="s">
        <v>138</v>
      </c>
      <c r="CN1379" s="29" t="s">
        <v>138</v>
      </c>
      <c r="CO1379" s="35">
        <v>0.05</v>
      </c>
      <c r="CP1379" s="36">
        <v>88</v>
      </c>
      <c r="CQ1379" s="35">
        <v>0.03</v>
      </c>
      <c r="CR1379" s="35">
        <v>99.39</v>
      </c>
      <c r="CS1379" s="35" t="s">
        <v>138</v>
      </c>
      <c r="CT1379" s="36" t="s">
        <v>138</v>
      </c>
      <c r="CU1379" s="35">
        <v>0.05</v>
      </c>
      <c r="CV1379" s="36">
        <v>58</v>
      </c>
      <c r="CW1379" s="35" t="s">
        <v>138</v>
      </c>
      <c r="CX1379" s="36" t="s">
        <v>138</v>
      </c>
      <c r="CY1379" s="35" t="s">
        <v>138</v>
      </c>
      <c r="CZ1379" s="36" t="s">
        <v>138</v>
      </c>
      <c r="DA1379" s="35">
        <v>0.05</v>
      </c>
      <c r="DB1379" s="36">
        <v>64</v>
      </c>
      <c r="DC1379" s="37">
        <v>1.37</v>
      </c>
      <c r="DD1379" s="36">
        <v>59</v>
      </c>
      <c r="DE1379" s="37">
        <v>0.01</v>
      </c>
      <c r="DF1379" s="35">
        <v>0.56000000000000005</v>
      </c>
      <c r="DG1379" s="37" t="s">
        <v>138</v>
      </c>
      <c r="DH1379" s="36" t="s">
        <v>138</v>
      </c>
      <c r="DI1379" s="37">
        <v>1.37</v>
      </c>
      <c r="DJ1379" s="36">
        <v>55</v>
      </c>
      <c r="DK1379" s="37" t="s">
        <v>138</v>
      </c>
      <c r="DL1379" s="36" t="s">
        <v>138</v>
      </c>
      <c r="DM1379" s="37" t="s">
        <v>138</v>
      </c>
      <c r="DN1379" s="36" t="s">
        <v>138</v>
      </c>
      <c r="DO1379" s="37">
        <v>1.37</v>
      </c>
      <c r="DP1379" s="36">
        <v>56</v>
      </c>
      <c r="DQ1379" s="36" t="s">
        <v>138</v>
      </c>
      <c r="DR1379" s="38" t="s">
        <v>138</v>
      </c>
      <c r="DS1379" s="35" t="s">
        <v>138</v>
      </c>
      <c r="DT1379" s="36" t="s">
        <v>138</v>
      </c>
      <c r="DU1379" s="38" t="s">
        <v>138</v>
      </c>
      <c r="DV1379" s="35" t="s">
        <v>138</v>
      </c>
      <c r="DW1379" s="36">
        <v>491</v>
      </c>
      <c r="DX1379" s="39">
        <v>0</v>
      </c>
      <c r="DY1379" s="35">
        <v>0</v>
      </c>
      <c r="DZ1379" s="28" t="s">
        <v>178</v>
      </c>
      <c r="EA1379" s="34">
        <v>43495</v>
      </c>
      <c r="EB1379" s="29" t="s">
        <v>138</v>
      </c>
      <c r="EC1379" s="34" t="s">
        <v>138</v>
      </c>
      <c r="ED1379" s="28" t="s">
        <v>138</v>
      </c>
      <c r="EE1379" s="40" t="str">
        <f>HYPERLINK("https://my.pitchbook.com?c=111782-62", "View company online")</f>
        <v>View company online</v>
      </c>
    </row>
    <row r="1380" spans="1:135">
      <c r="A1380" s="15" t="s">
        <v>26575</v>
      </c>
      <c r="B1380" s="15" t="s">
        <v>26576</v>
      </c>
      <c r="C1380" s="15" t="s">
        <v>138</v>
      </c>
      <c r="D1380" s="15" t="s">
        <v>138</v>
      </c>
      <c r="E1380" s="15" t="s">
        <v>138</v>
      </c>
      <c r="F1380" s="15" t="s">
        <v>26575</v>
      </c>
      <c r="G1380" s="15" t="s">
        <v>26577</v>
      </c>
      <c r="H1380" s="15" t="s">
        <v>322</v>
      </c>
      <c r="I1380" s="15" t="s">
        <v>323</v>
      </c>
      <c r="J1380" s="15" t="s">
        <v>1184</v>
      </c>
      <c r="K1380" s="15" t="s">
        <v>6678</v>
      </c>
      <c r="L1380" s="15" t="s">
        <v>15401</v>
      </c>
      <c r="M1380" s="15" t="s">
        <v>26578</v>
      </c>
      <c r="N1380" s="15" t="s">
        <v>147</v>
      </c>
      <c r="O1380" s="17" t="s">
        <v>138</v>
      </c>
      <c r="P1380" s="15" t="s">
        <v>148</v>
      </c>
      <c r="Q1380" s="15" t="s">
        <v>149</v>
      </c>
      <c r="R1380" s="15" t="s">
        <v>174</v>
      </c>
      <c r="S1380" s="15" t="s">
        <v>26579</v>
      </c>
      <c r="T1380" s="18" t="s">
        <v>138</v>
      </c>
      <c r="U1380" s="15" t="s">
        <v>138</v>
      </c>
      <c r="V1380" s="15" t="s">
        <v>138</v>
      </c>
      <c r="W1380" s="15" t="s">
        <v>138</v>
      </c>
      <c r="X1380" s="19">
        <v>2015</v>
      </c>
      <c r="Y1380" s="15" t="s">
        <v>138</v>
      </c>
      <c r="Z1380" s="15" t="s">
        <v>138</v>
      </c>
      <c r="AA1380" s="15" t="s">
        <v>138</v>
      </c>
      <c r="AB1380" s="20" t="s">
        <v>138</v>
      </c>
      <c r="AC1380" s="20" t="s">
        <v>138</v>
      </c>
      <c r="AD1380" s="20" t="s">
        <v>138</v>
      </c>
      <c r="AE1380" s="20" t="s">
        <v>138</v>
      </c>
      <c r="AF1380" s="20" t="s">
        <v>138</v>
      </c>
      <c r="AG1380" s="15" t="s">
        <v>138</v>
      </c>
      <c r="AH1380" s="20" t="s">
        <v>138</v>
      </c>
      <c r="AI1380" s="20" t="s">
        <v>138</v>
      </c>
      <c r="AJ1380" s="20" t="s">
        <v>138</v>
      </c>
      <c r="AK1380" s="15" t="s">
        <v>26580</v>
      </c>
      <c r="AL1380" s="15" t="s">
        <v>26581</v>
      </c>
      <c r="AM1380" s="15" t="s">
        <v>986</v>
      </c>
      <c r="AN1380" s="15" t="s">
        <v>26582</v>
      </c>
      <c r="AO1380" s="15" t="s">
        <v>26583</v>
      </c>
      <c r="AP1380" s="15" t="s">
        <v>3108</v>
      </c>
      <c r="AQ1380" s="15" t="s">
        <v>26584</v>
      </c>
      <c r="AR1380" s="15" t="s">
        <v>3084</v>
      </c>
      <c r="AS1380" s="15" t="s">
        <v>3111</v>
      </c>
      <c r="AT1380" s="15" t="s">
        <v>3112</v>
      </c>
      <c r="AU1380" s="15" t="s">
        <v>26585</v>
      </c>
      <c r="AV1380" s="15" t="s">
        <v>2742</v>
      </c>
      <c r="AW1380" s="15" t="s">
        <v>26586</v>
      </c>
      <c r="AX1380" s="15" t="s">
        <v>138</v>
      </c>
      <c r="AY1380" s="15" t="s">
        <v>26587</v>
      </c>
      <c r="AZ1380" s="15" t="s">
        <v>164</v>
      </c>
      <c r="BA1380" s="15" t="s">
        <v>165</v>
      </c>
      <c r="BB1380" s="15" t="s">
        <v>26588</v>
      </c>
      <c r="BC1380" s="15" t="s">
        <v>26589</v>
      </c>
      <c r="BD1380" s="21">
        <v>3</v>
      </c>
      <c r="BE1380" s="15" t="s">
        <v>138</v>
      </c>
      <c r="BF1380" s="15" t="s">
        <v>138</v>
      </c>
      <c r="BG1380" s="15" t="s">
        <v>138</v>
      </c>
      <c r="BH1380" s="15" t="s">
        <v>26590</v>
      </c>
      <c r="BI1380" s="15" t="s">
        <v>138</v>
      </c>
      <c r="BJ1380" s="15" t="s">
        <v>138</v>
      </c>
      <c r="BK1380" s="15" t="s">
        <v>138</v>
      </c>
      <c r="BL1380" s="15" t="s">
        <v>138</v>
      </c>
      <c r="BM1380" s="22" t="s">
        <v>138</v>
      </c>
      <c r="BN1380" s="17" t="s">
        <v>138</v>
      </c>
      <c r="BO1380" s="15" t="s">
        <v>138</v>
      </c>
      <c r="BP1380" s="17" t="s">
        <v>138</v>
      </c>
      <c r="BQ1380" s="15" t="s">
        <v>138</v>
      </c>
      <c r="BR1380" s="15" t="s">
        <v>205</v>
      </c>
      <c r="BS1380" s="15" t="s">
        <v>138</v>
      </c>
      <c r="BT1380" s="15" t="s">
        <v>138</v>
      </c>
      <c r="BU1380" s="15" t="s">
        <v>174</v>
      </c>
      <c r="BV1380" s="15" t="s">
        <v>138</v>
      </c>
      <c r="BW1380" s="15" t="s">
        <v>138</v>
      </c>
      <c r="BX1380" s="15" t="s">
        <v>138</v>
      </c>
      <c r="BY1380" s="15" t="s">
        <v>175</v>
      </c>
      <c r="BZ1380" s="22" t="s">
        <v>138</v>
      </c>
      <c r="CA1380" s="17" t="s">
        <v>138</v>
      </c>
      <c r="CB1380" s="15" t="s">
        <v>138</v>
      </c>
      <c r="CC1380" s="17" t="s">
        <v>138</v>
      </c>
      <c r="CD1380" s="15" t="s">
        <v>138</v>
      </c>
      <c r="CE1380" s="15" t="s">
        <v>205</v>
      </c>
      <c r="CF1380" s="15" t="s">
        <v>138</v>
      </c>
      <c r="CG1380" s="15" t="s">
        <v>138</v>
      </c>
      <c r="CH1380" s="15" t="s">
        <v>174</v>
      </c>
      <c r="CI1380" s="15" t="s">
        <v>138</v>
      </c>
      <c r="CJ1380" s="15" t="s">
        <v>138</v>
      </c>
      <c r="CK1380" s="15" t="s">
        <v>138</v>
      </c>
      <c r="CL1380" s="15" t="s">
        <v>175</v>
      </c>
      <c r="CM1380" s="22" t="s">
        <v>138</v>
      </c>
      <c r="CN1380" s="17" t="s">
        <v>138</v>
      </c>
      <c r="CO1380" s="23">
        <v>-7.0000000000000007E-2</v>
      </c>
      <c r="CP1380" s="24">
        <v>21</v>
      </c>
      <c r="CQ1380" s="23">
        <v>-0.05</v>
      </c>
      <c r="CR1380" s="23">
        <v>-200.59</v>
      </c>
      <c r="CS1380" s="23">
        <v>0</v>
      </c>
      <c r="CT1380" s="24">
        <v>23</v>
      </c>
      <c r="CU1380" s="23">
        <v>-0.15</v>
      </c>
      <c r="CV1380" s="24">
        <v>2</v>
      </c>
      <c r="CW1380" s="23" t="s">
        <v>138</v>
      </c>
      <c r="CX1380" s="24" t="s">
        <v>138</v>
      </c>
      <c r="CY1380" s="23">
        <v>0</v>
      </c>
      <c r="CZ1380" s="24">
        <v>25</v>
      </c>
      <c r="DA1380" s="23">
        <v>-0.15</v>
      </c>
      <c r="DB1380" s="24">
        <v>3</v>
      </c>
      <c r="DC1380" s="25">
        <v>1.41</v>
      </c>
      <c r="DD1380" s="24">
        <v>59</v>
      </c>
      <c r="DE1380" s="25">
        <v>0.17</v>
      </c>
      <c r="DF1380" s="23">
        <v>13.66</v>
      </c>
      <c r="DG1380" s="25">
        <v>2.1</v>
      </c>
      <c r="DH1380" s="24">
        <v>68</v>
      </c>
      <c r="DI1380" s="25">
        <v>0.71</v>
      </c>
      <c r="DJ1380" s="24">
        <v>43</v>
      </c>
      <c r="DK1380" s="25" t="s">
        <v>138</v>
      </c>
      <c r="DL1380" s="24" t="s">
        <v>138</v>
      </c>
      <c r="DM1380" s="25">
        <v>2.1</v>
      </c>
      <c r="DN1380" s="24">
        <v>67</v>
      </c>
      <c r="DO1380" s="25">
        <v>0.71</v>
      </c>
      <c r="DP1380" s="24">
        <v>44</v>
      </c>
      <c r="DQ1380" s="24" t="s">
        <v>138</v>
      </c>
      <c r="DR1380" s="26" t="s">
        <v>138</v>
      </c>
      <c r="DS1380" s="23" t="s">
        <v>138</v>
      </c>
      <c r="DT1380" s="24">
        <v>61</v>
      </c>
      <c r="DU1380" s="26">
        <v>1</v>
      </c>
      <c r="DV1380" s="23">
        <v>1.67</v>
      </c>
      <c r="DW1380" s="24">
        <v>254</v>
      </c>
      <c r="DX1380" s="27">
        <v>0</v>
      </c>
      <c r="DY1380" s="23">
        <v>0</v>
      </c>
      <c r="DZ1380" s="15" t="s">
        <v>178</v>
      </c>
      <c r="EA1380" s="22">
        <v>43622</v>
      </c>
      <c r="EB1380" s="17" t="s">
        <v>138</v>
      </c>
      <c r="EC1380" s="22" t="s">
        <v>138</v>
      </c>
      <c r="ED1380" s="15" t="s">
        <v>138</v>
      </c>
      <c r="EE1380" s="14" t="str">
        <f>HYPERLINK("https://my.pitchbook.com?c=180866-89", "View company online")</f>
        <v>View company online</v>
      </c>
    </row>
    <row r="1381" spans="1:135">
      <c r="A1381" s="28" t="s">
        <v>26591</v>
      </c>
      <c r="B1381" s="28" t="s">
        <v>26592</v>
      </c>
      <c r="C1381" s="28" t="s">
        <v>138</v>
      </c>
      <c r="D1381" s="28" t="s">
        <v>138</v>
      </c>
      <c r="E1381" s="28" t="s">
        <v>26593</v>
      </c>
      <c r="F1381" s="28" t="s">
        <v>26591</v>
      </c>
      <c r="G1381" s="28" t="s">
        <v>26594</v>
      </c>
      <c r="H1381" s="28" t="s">
        <v>238</v>
      </c>
      <c r="I1381" s="28" t="s">
        <v>239</v>
      </c>
      <c r="J1381" s="28" t="s">
        <v>2578</v>
      </c>
      <c r="K1381" s="28" t="s">
        <v>9863</v>
      </c>
      <c r="L1381" s="28" t="s">
        <v>415</v>
      </c>
      <c r="M1381" s="28" t="s">
        <v>26595</v>
      </c>
      <c r="N1381" s="28" t="s">
        <v>147</v>
      </c>
      <c r="O1381" s="29">
        <v>8.48</v>
      </c>
      <c r="P1381" s="28" t="s">
        <v>812</v>
      </c>
      <c r="Q1381" s="28" t="s">
        <v>149</v>
      </c>
      <c r="R1381" s="28" t="s">
        <v>244</v>
      </c>
      <c r="S1381" s="28" t="s">
        <v>26596</v>
      </c>
      <c r="T1381" s="30">
        <v>60</v>
      </c>
      <c r="U1381" s="28" t="s">
        <v>26597</v>
      </c>
      <c r="V1381" s="28" t="s">
        <v>138</v>
      </c>
      <c r="W1381" s="28" t="s">
        <v>138</v>
      </c>
      <c r="X1381" s="31">
        <v>2014</v>
      </c>
      <c r="Y1381" s="28" t="s">
        <v>138</v>
      </c>
      <c r="Z1381" s="28" t="s">
        <v>138</v>
      </c>
      <c r="AA1381" s="28" t="s">
        <v>138</v>
      </c>
      <c r="AB1381" s="32">
        <v>5</v>
      </c>
      <c r="AC1381" s="32" t="s">
        <v>138</v>
      </c>
      <c r="AD1381" s="32" t="s">
        <v>138</v>
      </c>
      <c r="AE1381" s="32" t="s">
        <v>138</v>
      </c>
      <c r="AF1381" s="32" t="s">
        <v>138</v>
      </c>
      <c r="AG1381" s="28" t="s">
        <v>419</v>
      </c>
      <c r="AH1381" s="32" t="s">
        <v>138</v>
      </c>
      <c r="AI1381" s="32" t="s">
        <v>138</v>
      </c>
      <c r="AJ1381" s="32" t="s">
        <v>138</v>
      </c>
      <c r="AK1381" s="28" t="s">
        <v>26598</v>
      </c>
      <c r="AL1381" s="28" t="s">
        <v>26599</v>
      </c>
      <c r="AM1381" s="28" t="s">
        <v>2024</v>
      </c>
      <c r="AN1381" s="28" t="s">
        <v>26600</v>
      </c>
      <c r="AO1381" s="28" t="s">
        <v>26601</v>
      </c>
      <c r="AP1381" s="28" t="s">
        <v>423</v>
      </c>
      <c r="AQ1381" s="28" t="s">
        <v>26602</v>
      </c>
      <c r="AR1381" s="28" t="s">
        <v>713</v>
      </c>
      <c r="AS1381" s="28" t="s">
        <v>426</v>
      </c>
      <c r="AT1381" s="28" t="s">
        <v>426</v>
      </c>
      <c r="AU1381" s="28" t="s">
        <v>921</v>
      </c>
      <c r="AV1381" s="28" t="s">
        <v>162</v>
      </c>
      <c r="AW1381" s="28" t="s">
        <v>26601</v>
      </c>
      <c r="AX1381" s="28" t="s">
        <v>138</v>
      </c>
      <c r="AY1381" s="28" t="s">
        <v>26603</v>
      </c>
      <c r="AZ1381" s="28" t="s">
        <v>164</v>
      </c>
      <c r="BA1381" s="28" t="s">
        <v>165</v>
      </c>
      <c r="BB1381" s="28" t="s">
        <v>26604</v>
      </c>
      <c r="BC1381" s="28" t="s">
        <v>26605</v>
      </c>
      <c r="BD1381" s="33">
        <v>12</v>
      </c>
      <c r="BE1381" s="28" t="s">
        <v>138</v>
      </c>
      <c r="BF1381" s="28" t="s">
        <v>138</v>
      </c>
      <c r="BG1381" s="28" t="s">
        <v>138</v>
      </c>
      <c r="BH1381" s="28" t="s">
        <v>26606</v>
      </c>
      <c r="BI1381" s="28" t="s">
        <v>138</v>
      </c>
      <c r="BJ1381" s="28" t="s">
        <v>138</v>
      </c>
      <c r="BK1381" s="28" t="s">
        <v>26607</v>
      </c>
      <c r="BL1381" s="28" t="s">
        <v>26608</v>
      </c>
      <c r="BM1381" s="34">
        <v>41990</v>
      </c>
      <c r="BN1381" s="29">
        <v>0.69</v>
      </c>
      <c r="BO1381" s="28" t="s">
        <v>172</v>
      </c>
      <c r="BP1381" s="29" t="s">
        <v>138</v>
      </c>
      <c r="BQ1381" s="28" t="s">
        <v>138</v>
      </c>
      <c r="BR1381" s="28" t="s">
        <v>205</v>
      </c>
      <c r="BS1381" s="28" t="s">
        <v>138</v>
      </c>
      <c r="BT1381" s="28" t="s">
        <v>138</v>
      </c>
      <c r="BU1381" s="28" t="s">
        <v>174</v>
      </c>
      <c r="BV1381" s="28" t="s">
        <v>138</v>
      </c>
      <c r="BW1381" s="28" t="s">
        <v>138</v>
      </c>
      <c r="BX1381" s="28" t="s">
        <v>138</v>
      </c>
      <c r="BY1381" s="28" t="s">
        <v>175</v>
      </c>
      <c r="BZ1381" s="34">
        <v>43539</v>
      </c>
      <c r="CA1381" s="29">
        <v>1.79</v>
      </c>
      <c r="CB1381" s="28" t="s">
        <v>172</v>
      </c>
      <c r="CC1381" s="29" t="s">
        <v>138</v>
      </c>
      <c r="CD1381" s="28" t="s">
        <v>138</v>
      </c>
      <c r="CE1381" s="28" t="s">
        <v>205</v>
      </c>
      <c r="CF1381" s="28" t="s">
        <v>138</v>
      </c>
      <c r="CG1381" s="28" t="s">
        <v>138</v>
      </c>
      <c r="CH1381" s="28" t="s">
        <v>174</v>
      </c>
      <c r="CI1381" s="28" t="s">
        <v>264</v>
      </c>
      <c r="CJ1381" s="28" t="s">
        <v>138</v>
      </c>
      <c r="CK1381" s="28" t="s">
        <v>138</v>
      </c>
      <c r="CL1381" s="28" t="s">
        <v>175</v>
      </c>
      <c r="CM1381" s="34">
        <v>42790</v>
      </c>
      <c r="CN1381" s="29" t="s">
        <v>138</v>
      </c>
      <c r="CO1381" s="35">
        <v>0.13</v>
      </c>
      <c r="CP1381" s="36">
        <v>91</v>
      </c>
      <c r="CQ1381" s="35">
        <v>-0.02</v>
      </c>
      <c r="CR1381" s="35">
        <v>-15.56</v>
      </c>
      <c r="CS1381" s="35">
        <v>-0.56000000000000005</v>
      </c>
      <c r="CT1381" s="36">
        <v>19</v>
      </c>
      <c r="CU1381" s="35">
        <v>0.08</v>
      </c>
      <c r="CV1381" s="36">
        <v>64</v>
      </c>
      <c r="CW1381" s="35">
        <v>-1.64</v>
      </c>
      <c r="CX1381" s="36">
        <v>8</v>
      </c>
      <c r="CY1381" s="35">
        <v>0.51</v>
      </c>
      <c r="CZ1381" s="36">
        <v>98</v>
      </c>
      <c r="DA1381" s="35">
        <v>0.21</v>
      </c>
      <c r="DB1381" s="36">
        <v>83</v>
      </c>
      <c r="DC1381" s="37">
        <v>872.61</v>
      </c>
      <c r="DD1381" s="36">
        <v>100</v>
      </c>
      <c r="DE1381" s="37">
        <v>-34.619999999999997</v>
      </c>
      <c r="DF1381" s="35">
        <v>-3.82</v>
      </c>
      <c r="DG1381" s="37">
        <v>943.19</v>
      </c>
      <c r="DH1381" s="36">
        <v>100</v>
      </c>
      <c r="DI1381" s="37">
        <v>1674.52</v>
      </c>
      <c r="DJ1381" s="36">
        <v>100</v>
      </c>
      <c r="DK1381" s="37">
        <v>1605.63</v>
      </c>
      <c r="DL1381" s="36">
        <v>100</v>
      </c>
      <c r="DM1381" s="37">
        <v>280.76</v>
      </c>
      <c r="DN1381" s="36">
        <v>100</v>
      </c>
      <c r="DO1381" s="37">
        <v>52.14</v>
      </c>
      <c r="DP1381" s="36">
        <v>97</v>
      </c>
      <c r="DQ1381" s="36">
        <v>554263</v>
      </c>
      <c r="DR1381" s="38">
        <v>-10599</v>
      </c>
      <c r="DS1381" s="35">
        <v>-1.88</v>
      </c>
      <c r="DT1381" s="36">
        <v>8123</v>
      </c>
      <c r="DU1381" s="38">
        <v>48</v>
      </c>
      <c r="DV1381" s="35">
        <v>0.59</v>
      </c>
      <c r="DW1381" s="36">
        <v>18662</v>
      </c>
      <c r="DX1381" s="39">
        <v>30</v>
      </c>
      <c r="DY1381" s="35">
        <v>0.16</v>
      </c>
      <c r="DZ1381" s="28" t="s">
        <v>178</v>
      </c>
      <c r="EA1381" s="34">
        <v>43573</v>
      </c>
      <c r="EB1381" s="29" t="s">
        <v>138</v>
      </c>
      <c r="EC1381" s="34" t="s">
        <v>138</v>
      </c>
      <c r="ED1381" s="28" t="s">
        <v>138</v>
      </c>
      <c r="EE1381" s="40" t="str">
        <f>HYPERLINK("https://my.pitchbook.com?c=111392-65", "View company online")</f>
        <v>View company online</v>
      </c>
    </row>
    <row r="1382" spans="1:135">
      <c r="A1382" s="15" t="s">
        <v>26609</v>
      </c>
      <c r="B1382" s="15" t="s">
        <v>26610</v>
      </c>
      <c r="C1382" s="15" t="s">
        <v>138</v>
      </c>
      <c r="D1382" s="15" t="s">
        <v>138</v>
      </c>
      <c r="E1382" s="15" t="s">
        <v>26611</v>
      </c>
      <c r="F1382" s="15" t="s">
        <v>26609</v>
      </c>
      <c r="G1382" s="15" t="s">
        <v>26612</v>
      </c>
      <c r="H1382" s="15" t="s">
        <v>322</v>
      </c>
      <c r="I1382" s="15" t="s">
        <v>323</v>
      </c>
      <c r="J1382" s="15" t="s">
        <v>461</v>
      </c>
      <c r="K1382" s="15" t="s">
        <v>26613</v>
      </c>
      <c r="L1382" s="15" t="s">
        <v>4341</v>
      </c>
      <c r="M1382" s="15" t="s">
        <v>26614</v>
      </c>
      <c r="N1382" s="15" t="s">
        <v>147</v>
      </c>
      <c r="O1382" s="17">
        <v>6.5</v>
      </c>
      <c r="P1382" s="15" t="s">
        <v>148</v>
      </c>
      <c r="Q1382" s="15" t="s">
        <v>149</v>
      </c>
      <c r="R1382" s="15" t="s">
        <v>174</v>
      </c>
      <c r="S1382" s="15" t="s">
        <v>26615</v>
      </c>
      <c r="T1382" s="18">
        <v>10</v>
      </c>
      <c r="U1382" s="15" t="s">
        <v>6343</v>
      </c>
      <c r="V1382" s="15" t="s">
        <v>138</v>
      </c>
      <c r="W1382" s="15" t="s">
        <v>138</v>
      </c>
      <c r="X1382" s="19">
        <v>2016</v>
      </c>
      <c r="Y1382" s="15" t="s">
        <v>138</v>
      </c>
      <c r="Z1382" s="15" t="s">
        <v>138</v>
      </c>
      <c r="AA1382" s="15" t="s">
        <v>26616</v>
      </c>
      <c r="AB1382" s="20" t="s">
        <v>138</v>
      </c>
      <c r="AC1382" s="20" t="s">
        <v>138</v>
      </c>
      <c r="AD1382" s="20" t="s">
        <v>138</v>
      </c>
      <c r="AE1382" s="20" t="s">
        <v>138</v>
      </c>
      <c r="AF1382" s="20" t="s">
        <v>138</v>
      </c>
      <c r="AG1382" s="15" t="s">
        <v>138</v>
      </c>
      <c r="AH1382" s="20" t="s">
        <v>138</v>
      </c>
      <c r="AI1382" s="20" t="s">
        <v>138</v>
      </c>
      <c r="AJ1382" s="20" t="s">
        <v>138</v>
      </c>
      <c r="AK1382" s="15" t="s">
        <v>26617</v>
      </c>
      <c r="AL1382" s="15" t="s">
        <v>26618</v>
      </c>
      <c r="AM1382" s="15" t="s">
        <v>5161</v>
      </c>
      <c r="AN1382" s="15" t="s">
        <v>26619</v>
      </c>
      <c r="AO1382" s="15" t="s">
        <v>26620</v>
      </c>
      <c r="AP1382" s="15" t="s">
        <v>4898</v>
      </c>
      <c r="AQ1382" s="15" t="s">
        <v>26621</v>
      </c>
      <c r="AR1382" s="15" t="s">
        <v>26622</v>
      </c>
      <c r="AS1382" s="15" t="s">
        <v>4900</v>
      </c>
      <c r="AT1382" s="15" t="s">
        <v>200</v>
      </c>
      <c r="AU1382" s="15" t="s">
        <v>5813</v>
      </c>
      <c r="AV1382" s="15" t="s">
        <v>162</v>
      </c>
      <c r="AW1382" s="15" t="s">
        <v>26620</v>
      </c>
      <c r="AX1382" s="15" t="s">
        <v>138</v>
      </c>
      <c r="AY1382" s="15" t="s">
        <v>26623</v>
      </c>
      <c r="AZ1382" s="15" t="s">
        <v>164</v>
      </c>
      <c r="BA1382" s="15" t="s">
        <v>165</v>
      </c>
      <c r="BB1382" s="15" t="s">
        <v>26624</v>
      </c>
      <c r="BC1382" s="15" t="s">
        <v>26625</v>
      </c>
      <c r="BD1382" s="21">
        <v>4</v>
      </c>
      <c r="BE1382" s="15" t="s">
        <v>138</v>
      </c>
      <c r="BF1382" s="15" t="s">
        <v>138</v>
      </c>
      <c r="BG1382" s="15" t="s">
        <v>138</v>
      </c>
      <c r="BH1382" s="15" t="s">
        <v>26626</v>
      </c>
      <c r="BI1382" s="15" t="s">
        <v>138</v>
      </c>
      <c r="BJ1382" s="15" t="s">
        <v>138</v>
      </c>
      <c r="BK1382" s="15" t="s">
        <v>26627</v>
      </c>
      <c r="BL1382" s="15" t="s">
        <v>138</v>
      </c>
      <c r="BM1382" s="22">
        <v>43339</v>
      </c>
      <c r="BN1382" s="17">
        <v>6.5</v>
      </c>
      <c r="BO1382" s="15" t="s">
        <v>172</v>
      </c>
      <c r="BP1382" s="17">
        <v>15</v>
      </c>
      <c r="BQ1382" s="15" t="s">
        <v>172</v>
      </c>
      <c r="BR1382" s="15" t="s">
        <v>234</v>
      </c>
      <c r="BS1382" s="15" t="s">
        <v>234</v>
      </c>
      <c r="BT1382" s="15" t="s">
        <v>138</v>
      </c>
      <c r="BU1382" s="15" t="s">
        <v>174</v>
      </c>
      <c r="BV1382" s="15" t="s">
        <v>138</v>
      </c>
      <c r="BW1382" s="15" t="s">
        <v>138</v>
      </c>
      <c r="BX1382" s="15" t="s">
        <v>138</v>
      </c>
      <c r="BY1382" s="15" t="s">
        <v>175</v>
      </c>
      <c r="BZ1382" s="22">
        <v>43201</v>
      </c>
      <c r="CA1382" s="17" t="s">
        <v>138</v>
      </c>
      <c r="CB1382" s="15" t="s">
        <v>138</v>
      </c>
      <c r="CC1382" s="17" t="s">
        <v>138</v>
      </c>
      <c r="CD1382" s="15" t="s">
        <v>138</v>
      </c>
      <c r="CE1382" s="15" t="s">
        <v>205</v>
      </c>
      <c r="CF1382" s="15" t="s">
        <v>138</v>
      </c>
      <c r="CG1382" s="15" t="s">
        <v>138</v>
      </c>
      <c r="CH1382" s="15" t="s">
        <v>174</v>
      </c>
      <c r="CI1382" s="15" t="s">
        <v>138</v>
      </c>
      <c r="CJ1382" s="15" t="s">
        <v>138</v>
      </c>
      <c r="CK1382" s="15" t="s">
        <v>138</v>
      </c>
      <c r="CL1382" s="15" t="s">
        <v>352</v>
      </c>
      <c r="CM1382" s="22" t="s">
        <v>138</v>
      </c>
      <c r="CN1382" s="17" t="s">
        <v>138</v>
      </c>
      <c r="CO1382" s="23">
        <v>-0.04</v>
      </c>
      <c r="CP1382" s="24">
        <v>23</v>
      </c>
      <c r="CQ1382" s="23">
        <v>0.01</v>
      </c>
      <c r="CR1382" s="23">
        <v>16.309999999999999</v>
      </c>
      <c r="CS1382" s="23">
        <v>0</v>
      </c>
      <c r="CT1382" s="24">
        <v>23</v>
      </c>
      <c r="CU1382" s="23">
        <v>-0.08</v>
      </c>
      <c r="CV1382" s="24">
        <v>5</v>
      </c>
      <c r="CW1382" s="23">
        <v>0</v>
      </c>
      <c r="CX1382" s="24">
        <v>13</v>
      </c>
      <c r="CY1382" s="23" t="s">
        <v>138</v>
      </c>
      <c r="CZ1382" s="24" t="s">
        <v>138</v>
      </c>
      <c r="DA1382" s="23">
        <v>-0.16</v>
      </c>
      <c r="DB1382" s="24">
        <v>3</v>
      </c>
      <c r="DC1382" s="25">
        <v>1.28</v>
      </c>
      <c r="DD1382" s="24">
        <v>57</v>
      </c>
      <c r="DE1382" s="25">
        <v>-0.03</v>
      </c>
      <c r="DF1382" s="23">
        <v>-2.14</v>
      </c>
      <c r="DG1382" s="25">
        <v>0.42</v>
      </c>
      <c r="DH1382" s="24">
        <v>31</v>
      </c>
      <c r="DI1382" s="25">
        <v>2.13</v>
      </c>
      <c r="DJ1382" s="24">
        <v>64</v>
      </c>
      <c r="DK1382" s="25">
        <v>0.42</v>
      </c>
      <c r="DL1382" s="24">
        <v>29</v>
      </c>
      <c r="DM1382" s="25" t="s">
        <v>138</v>
      </c>
      <c r="DN1382" s="24" t="s">
        <v>138</v>
      </c>
      <c r="DO1382" s="25">
        <v>4.22</v>
      </c>
      <c r="DP1382" s="24">
        <v>77</v>
      </c>
      <c r="DQ1382" s="24">
        <v>144</v>
      </c>
      <c r="DR1382" s="26">
        <v>2</v>
      </c>
      <c r="DS1382" s="23">
        <v>1.41</v>
      </c>
      <c r="DT1382" s="24" t="s">
        <v>138</v>
      </c>
      <c r="DU1382" s="26" t="s">
        <v>138</v>
      </c>
      <c r="DV1382" s="23" t="s">
        <v>138</v>
      </c>
      <c r="DW1382" s="24">
        <v>1517</v>
      </c>
      <c r="DX1382" s="27">
        <v>-4</v>
      </c>
      <c r="DY1382" s="23">
        <v>-0.26</v>
      </c>
      <c r="DZ1382" s="15" t="s">
        <v>178</v>
      </c>
      <c r="EA1382" s="22">
        <v>43489</v>
      </c>
      <c r="EB1382" s="17">
        <v>15</v>
      </c>
      <c r="EC1382" s="22">
        <v>43339</v>
      </c>
      <c r="ED1382" s="15" t="s">
        <v>234</v>
      </c>
      <c r="EE1382" s="14" t="str">
        <f>HYPERLINK("https://my.pitchbook.com?c=168559-57", "View company online")</f>
        <v>View company online</v>
      </c>
    </row>
    <row r="1383" spans="1:135">
      <c r="A1383" s="28" t="s">
        <v>26628</v>
      </c>
      <c r="B1383" s="28" t="s">
        <v>26629</v>
      </c>
      <c r="C1383" s="28" t="s">
        <v>26630</v>
      </c>
      <c r="D1383" s="28" t="s">
        <v>138</v>
      </c>
      <c r="E1383" s="28" t="s">
        <v>138</v>
      </c>
      <c r="F1383" s="28" t="s">
        <v>26628</v>
      </c>
      <c r="G1383" s="28" t="s">
        <v>26631</v>
      </c>
      <c r="H1383" s="28" t="s">
        <v>141</v>
      </c>
      <c r="I1383" s="28" t="s">
        <v>142</v>
      </c>
      <c r="J1383" s="28" t="s">
        <v>143</v>
      </c>
      <c r="K1383" s="28" t="s">
        <v>144</v>
      </c>
      <c r="L1383" s="28" t="s">
        <v>26632</v>
      </c>
      <c r="M1383" s="28" t="s">
        <v>26633</v>
      </c>
      <c r="N1383" s="28" t="s">
        <v>147</v>
      </c>
      <c r="O1383" s="29">
        <v>61.26</v>
      </c>
      <c r="P1383" s="28" t="s">
        <v>148</v>
      </c>
      <c r="Q1383" s="28" t="s">
        <v>149</v>
      </c>
      <c r="R1383" s="28" t="s">
        <v>174</v>
      </c>
      <c r="S1383" s="28" t="s">
        <v>26634</v>
      </c>
      <c r="T1383" s="30" t="s">
        <v>138</v>
      </c>
      <c r="U1383" s="28" t="s">
        <v>138</v>
      </c>
      <c r="V1383" s="28" t="s">
        <v>138</v>
      </c>
      <c r="W1383" s="28" t="s">
        <v>138</v>
      </c>
      <c r="X1383" s="31">
        <v>2014</v>
      </c>
      <c r="Y1383" s="28" t="s">
        <v>138</v>
      </c>
      <c r="Z1383" s="28" t="s">
        <v>138</v>
      </c>
      <c r="AA1383" s="28" t="s">
        <v>138</v>
      </c>
      <c r="AB1383" s="32" t="s">
        <v>138</v>
      </c>
      <c r="AC1383" s="32" t="s">
        <v>138</v>
      </c>
      <c r="AD1383" s="32" t="s">
        <v>138</v>
      </c>
      <c r="AE1383" s="32" t="s">
        <v>138</v>
      </c>
      <c r="AF1383" s="32" t="s">
        <v>138</v>
      </c>
      <c r="AG1383" s="28" t="s">
        <v>138</v>
      </c>
      <c r="AH1383" s="32" t="s">
        <v>138</v>
      </c>
      <c r="AI1383" s="32" t="s">
        <v>138</v>
      </c>
      <c r="AJ1383" s="32" t="s">
        <v>138</v>
      </c>
      <c r="AK1383" s="28" t="s">
        <v>26635</v>
      </c>
      <c r="AL1383" s="28" t="s">
        <v>26636</v>
      </c>
      <c r="AM1383" s="28" t="s">
        <v>221</v>
      </c>
      <c r="AN1383" s="28" t="s">
        <v>26637</v>
      </c>
      <c r="AO1383" s="28" t="s">
        <v>26638</v>
      </c>
      <c r="AP1383" s="28" t="s">
        <v>3136</v>
      </c>
      <c r="AQ1383" s="28" t="s">
        <v>26639</v>
      </c>
      <c r="AR1383" s="28" t="s">
        <v>138</v>
      </c>
      <c r="AS1383" s="28" t="s">
        <v>3139</v>
      </c>
      <c r="AT1383" s="28" t="s">
        <v>3140</v>
      </c>
      <c r="AU1383" s="28" t="s">
        <v>3141</v>
      </c>
      <c r="AV1383" s="28" t="s">
        <v>162</v>
      </c>
      <c r="AW1383" s="28" t="s">
        <v>26640</v>
      </c>
      <c r="AX1383" s="28" t="s">
        <v>138</v>
      </c>
      <c r="AY1383" s="28" t="s">
        <v>26641</v>
      </c>
      <c r="AZ1383" s="28" t="s">
        <v>164</v>
      </c>
      <c r="BA1383" s="28" t="s">
        <v>165</v>
      </c>
      <c r="BB1383" s="28" t="s">
        <v>26642</v>
      </c>
      <c r="BC1383" s="28" t="s">
        <v>26643</v>
      </c>
      <c r="BD1383" s="33">
        <v>8</v>
      </c>
      <c r="BE1383" s="28" t="s">
        <v>138</v>
      </c>
      <c r="BF1383" s="28" t="s">
        <v>138</v>
      </c>
      <c r="BG1383" s="28" t="s">
        <v>138</v>
      </c>
      <c r="BH1383" s="28" t="s">
        <v>26644</v>
      </c>
      <c r="BI1383" s="28" t="s">
        <v>138</v>
      </c>
      <c r="BJ1383" s="28" t="s">
        <v>138</v>
      </c>
      <c r="BK1383" s="28" t="s">
        <v>204</v>
      </c>
      <c r="BL1383" s="28" t="s">
        <v>204</v>
      </c>
      <c r="BM1383" s="34">
        <v>42377</v>
      </c>
      <c r="BN1383" s="29">
        <v>4.38</v>
      </c>
      <c r="BO1383" s="28" t="s">
        <v>1178</v>
      </c>
      <c r="BP1383" s="29">
        <v>32.86</v>
      </c>
      <c r="BQ1383" s="28" t="s">
        <v>1178</v>
      </c>
      <c r="BR1383" s="28" t="s">
        <v>234</v>
      </c>
      <c r="BS1383" s="28" t="s">
        <v>234</v>
      </c>
      <c r="BT1383" s="28" t="s">
        <v>138</v>
      </c>
      <c r="BU1383" s="28" t="s">
        <v>174</v>
      </c>
      <c r="BV1383" s="28" t="s">
        <v>138</v>
      </c>
      <c r="BW1383" s="28" t="s">
        <v>138</v>
      </c>
      <c r="BX1383" s="28" t="s">
        <v>138</v>
      </c>
      <c r="BY1383" s="28" t="s">
        <v>175</v>
      </c>
      <c r="BZ1383" s="34">
        <v>43557</v>
      </c>
      <c r="CA1383" s="29">
        <v>48</v>
      </c>
      <c r="CB1383" s="28" t="s">
        <v>172</v>
      </c>
      <c r="CC1383" s="29">
        <v>400</v>
      </c>
      <c r="CD1383" s="28" t="s">
        <v>172</v>
      </c>
      <c r="CE1383" s="28" t="s">
        <v>205</v>
      </c>
      <c r="CF1383" s="28" t="s">
        <v>720</v>
      </c>
      <c r="CG1383" s="28" t="s">
        <v>138</v>
      </c>
      <c r="CH1383" s="28" t="s">
        <v>174</v>
      </c>
      <c r="CI1383" s="28" t="s">
        <v>138</v>
      </c>
      <c r="CJ1383" s="28" t="s">
        <v>138</v>
      </c>
      <c r="CK1383" s="28" t="s">
        <v>138</v>
      </c>
      <c r="CL1383" s="28" t="s">
        <v>175</v>
      </c>
      <c r="CM1383" s="34" t="s">
        <v>138</v>
      </c>
      <c r="CN1383" s="29" t="s">
        <v>138</v>
      </c>
      <c r="CO1383" s="35">
        <v>2.4500000000000002</v>
      </c>
      <c r="CP1383" s="36">
        <v>99</v>
      </c>
      <c r="CQ1383" s="35">
        <v>0.13</v>
      </c>
      <c r="CR1383" s="35">
        <v>5.49</v>
      </c>
      <c r="CS1383" s="35">
        <v>2.48</v>
      </c>
      <c r="CT1383" s="36">
        <v>99</v>
      </c>
      <c r="CU1383" s="35">
        <v>2.42</v>
      </c>
      <c r="CV1383" s="36">
        <v>100</v>
      </c>
      <c r="CW1383" s="35">
        <v>2.48</v>
      </c>
      <c r="CX1383" s="36">
        <v>90</v>
      </c>
      <c r="CY1383" s="35" t="s">
        <v>138</v>
      </c>
      <c r="CZ1383" s="36" t="s">
        <v>138</v>
      </c>
      <c r="DA1383" s="35">
        <v>2.42</v>
      </c>
      <c r="DB1383" s="36">
        <v>100</v>
      </c>
      <c r="DC1383" s="37">
        <v>3.49</v>
      </c>
      <c r="DD1383" s="36">
        <v>78</v>
      </c>
      <c r="DE1383" s="37">
        <v>-0.36</v>
      </c>
      <c r="DF1383" s="35">
        <v>-9.3000000000000007</v>
      </c>
      <c r="DG1383" s="37">
        <v>5.86</v>
      </c>
      <c r="DH1383" s="36">
        <v>84</v>
      </c>
      <c r="DI1383" s="37">
        <v>1.1100000000000001</v>
      </c>
      <c r="DJ1383" s="36">
        <v>51</v>
      </c>
      <c r="DK1383" s="37">
        <v>5.86</v>
      </c>
      <c r="DL1383" s="36">
        <v>81</v>
      </c>
      <c r="DM1383" s="37" t="s">
        <v>138</v>
      </c>
      <c r="DN1383" s="36" t="s">
        <v>138</v>
      </c>
      <c r="DO1383" s="37">
        <v>1.1100000000000001</v>
      </c>
      <c r="DP1383" s="36">
        <v>52</v>
      </c>
      <c r="DQ1383" s="36">
        <v>1966</v>
      </c>
      <c r="DR1383" s="38">
        <v>134</v>
      </c>
      <c r="DS1383" s="35">
        <v>7.31</v>
      </c>
      <c r="DT1383" s="36" t="s">
        <v>138</v>
      </c>
      <c r="DU1383" s="38" t="s">
        <v>138</v>
      </c>
      <c r="DV1383" s="35" t="s">
        <v>138</v>
      </c>
      <c r="DW1383" s="36">
        <v>393</v>
      </c>
      <c r="DX1383" s="39">
        <v>16</v>
      </c>
      <c r="DY1383" s="35">
        <v>4.24</v>
      </c>
      <c r="DZ1383" s="28" t="s">
        <v>178</v>
      </c>
      <c r="EA1383" s="34">
        <v>43622</v>
      </c>
      <c r="EB1383" s="29">
        <v>400</v>
      </c>
      <c r="EC1383" s="34">
        <v>43557</v>
      </c>
      <c r="ED1383" s="28" t="s">
        <v>205</v>
      </c>
      <c r="EE1383" s="40" t="str">
        <f>HYPERLINK("https://my.pitchbook.com?c=151200-19", "View company online")</f>
        <v>View company online</v>
      </c>
    </row>
    <row r="1384" spans="1:135">
      <c r="A1384" s="15" t="s">
        <v>26645</v>
      </c>
      <c r="B1384" s="15" t="s">
        <v>26646</v>
      </c>
      <c r="C1384" s="15" t="s">
        <v>138</v>
      </c>
      <c r="D1384" s="15" t="s">
        <v>138</v>
      </c>
      <c r="E1384" s="15" t="s">
        <v>26647</v>
      </c>
      <c r="F1384" s="15" t="s">
        <v>26645</v>
      </c>
      <c r="G1384" s="15" t="s">
        <v>26648</v>
      </c>
      <c r="H1384" s="15" t="s">
        <v>238</v>
      </c>
      <c r="I1384" s="15" t="s">
        <v>749</v>
      </c>
      <c r="J1384" s="15" t="s">
        <v>750</v>
      </c>
      <c r="K1384" s="15" t="s">
        <v>26649</v>
      </c>
      <c r="L1384" s="15" t="s">
        <v>26650</v>
      </c>
      <c r="M1384" s="15" t="s">
        <v>26651</v>
      </c>
      <c r="N1384" s="15" t="s">
        <v>147</v>
      </c>
      <c r="O1384" s="17">
        <v>9.0399999999999991</v>
      </c>
      <c r="P1384" s="15" t="s">
        <v>148</v>
      </c>
      <c r="Q1384" s="15" t="s">
        <v>149</v>
      </c>
      <c r="R1384" s="15" t="s">
        <v>174</v>
      </c>
      <c r="S1384" s="15" t="s">
        <v>26652</v>
      </c>
      <c r="T1384" s="18">
        <v>25</v>
      </c>
      <c r="U1384" s="15" t="s">
        <v>26653</v>
      </c>
      <c r="V1384" s="15" t="s">
        <v>138</v>
      </c>
      <c r="W1384" s="15" t="s">
        <v>138</v>
      </c>
      <c r="X1384" s="19">
        <v>2012</v>
      </c>
      <c r="Y1384" s="15" t="s">
        <v>138</v>
      </c>
      <c r="Z1384" s="15" t="s">
        <v>138</v>
      </c>
      <c r="AA1384" s="15" t="s">
        <v>138</v>
      </c>
      <c r="AB1384" s="20" t="s">
        <v>138</v>
      </c>
      <c r="AC1384" s="20" t="s">
        <v>138</v>
      </c>
      <c r="AD1384" s="20" t="s">
        <v>138</v>
      </c>
      <c r="AE1384" s="20" t="s">
        <v>138</v>
      </c>
      <c r="AF1384" s="20" t="s">
        <v>138</v>
      </c>
      <c r="AG1384" s="15" t="s">
        <v>138</v>
      </c>
      <c r="AH1384" s="20" t="s">
        <v>138</v>
      </c>
      <c r="AI1384" s="20" t="s">
        <v>138</v>
      </c>
      <c r="AJ1384" s="20" t="s">
        <v>138</v>
      </c>
      <c r="AK1384" s="15" t="s">
        <v>26654</v>
      </c>
      <c r="AL1384" s="15" t="s">
        <v>26655</v>
      </c>
      <c r="AM1384" s="15" t="s">
        <v>10648</v>
      </c>
      <c r="AN1384" s="15" t="s">
        <v>26656</v>
      </c>
      <c r="AO1384" s="15" t="s">
        <v>26657</v>
      </c>
      <c r="AP1384" s="15" t="s">
        <v>25399</v>
      </c>
      <c r="AQ1384" s="15" t="s">
        <v>26658</v>
      </c>
      <c r="AR1384" s="15" t="s">
        <v>26659</v>
      </c>
      <c r="AS1384" s="15" t="s">
        <v>25401</v>
      </c>
      <c r="AT1384" s="15" t="s">
        <v>2740</v>
      </c>
      <c r="AU1384" s="15" t="s">
        <v>26660</v>
      </c>
      <c r="AV1384" s="15" t="s">
        <v>2742</v>
      </c>
      <c r="AW1384" s="15" t="s">
        <v>26657</v>
      </c>
      <c r="AX1384" s="15" t="s">
        <v>138</v>
      </c>
      <c r="AY1384" s="15" t="s">
        <v>26661</v>
      </c>
      <c r="AZ1384" s="15" t="s">
        <v>164</v>
      </c>
      <c r="BA1384" s="15" t="s">
        <v>165</v>
      </c>
      <c r="BB1384" s="15" t="s">
        <v>26662</v>
      </c>
      <c r="BC1384" s="15" t="s">
        <v>26663</v>
      </c>
      <c r="BD1384" s="21">
        <v>8</v>
      </c>
      <c r="BE1384" s="15" t="s">
        <v>138</v>
      </c>
      <c r="BF1384" s="15" t="s">
        <v>138</v>
      </c>
      <c r="BG1384" s="15" t="s">
        <v>138</v>
      </c>
      <c r="BH1384" s="15" t="s">
        <v>26664</v>
      </c>
      <c r="BI1384" s="15" t="s">
        <v>138</v>
      </c>
      <c r="BJ1384" s="15" t="s">
        <v>138</v>
      </c>
      <c r="BK1384" s="15" t="s">
        <v>26665</v>
      </c>
      <c r="BL1384" s="15" t="s">
        <v>26666</v>
      </c>
      <c r="BM1384" s="22">
        <v>41579</v>
      </c>
      <c r="BN1384" s="17">
        <v>0.24</v>
      </c>
      <c r="BO1384" s="15" t="s">
        <v>172</v>
      </c>
      <c r="BP1384" s="17" t="s">
        <v>138</v>
      </c>
      <c r="BQ1384" s="15" t="s">
        <v>138</v>
      </c>
      <c r="BR1384" s="15" t="s">
        <v>262</v>
      </c>
      <c r="BS1384" s="15" t="s">
        <v>262</v>
      </c>
      <c r="BT1384" s="15" t="s">
        <v>138</v>
      </c>
      <c r="BU1384" s="15" t="s">
        <v>263</v>
      </c>
      <c r="BV1384" s="15" t="s">
        <v>138</v>
      </c>
      <c r="BW1384" s="15" t="s">
        <v>138</v>
      </c>
      <c r="BX1384" s="15" t="s">
        <v>138</v>
      </c>
      <c r="BY1384" s="15" t="s">
        <v>175</v>
      </c>
      <c r="BZ1384" s="22">
        <v>43523</v>
      </c>
      <c r="CA1384" s="17">
        <v>1.76</v>
      </c>
      <c r="CB1384" s="15" t="s">
        <v>172</v>
      </c>
      <c r="CC1384" s="17" t="s">
        <v>138</v>
      </c>
      <c r="CD1384" s="15" t="s">
        <v>138</v>
      </c>
      <c r="CE1384" s="15" t="s">
        <v>173</v>
      </c>
      <c r="CF1384" s="15" t="s">
        <v>138</v>
      </c>
      <c r="CG1384" s="15" t="s">
        <v>138</v>
      </c>
      <c r="CH1384" s="15" t="s">
        <v>174</v>
      </c>
      <c r="CI1384" s="15" t="s">
        <v>264</v>
      </c>
      <c r="CJ1384" s="15" t="s">
        <v>138</v>
      </c>
      <c r="CK1384" s="15" t="s">
        <v>138</v>
      </c>
      <c r="CL1384" s="15" t="s">
        <v>175</v>
      </c>
      <c r="CM1384" s="22" t="s">
        <v>138</v>
      </c>
      <c r="CN1384" s="17" t="s">
        <v>138</v>
      </c>
      <c r="CO1384" s="23">
        <v>-0.9</v>
      </c>
      <c r="CP1384" s="24">
        <v>12</v>
      </c>
      <c r="CQ1384" s="23">
        <v>0</v>
      </c>
      <c r="CR1384" s="23">
        <v>-0.14000000000000001</v>
      </c>
      <c r="CS1384" s="23">
        <v>-2.84</v>
      </c>
      <c r="CT1384" s="24">
        <v>6</v>
      </c>
      <c r="CU1384" s="23">
        <v>0.13</v>
      </c>
      <c r="CV1384" s="24">
        <v>73</v>
      </c>
      <c r="CW1384" s="23">
        <v>-5.68</v>
      </c>
      <c r="CX1384" s="24">
        <v>2</v>
      </c>
      <c r="CY1384" s="23">
        <v>0</v>
      </c>
      <c r="CZ1384" s="24">
        <v>25</v>
      </c>
      <c r="DA1384" s="23">
        <v>0.2</v>
      </c>
      <c r="DB1384" s="24">
        <v>82</v>
      </c>
      <c r="DC1384" s="25">
        <v>5.57</v>
      </c>
      <c r="DD1384" s="24">
        <v>84</v>
      </c>
      <c r="DE1384" s="25">
        <v>-0.06</v>
      </c>
      <c r="DF1384" s="23">
        <v>-1.02</v>
      </c>
      <c r="DG1384" s="25">
        <v>3.01</v>
      </c>
      <c r="DH1384" s="24">
        <v>75</v>
      </c>
      <c r="DI1384" s="25">
        <v>13.6</v>
      </c>
      <c r="DJ1384" s="24">
        <v>88</v>
      </c>
      <c r="DK1384" s="25">
        <v>3.57</v>
      </c>
      <c r="DL1384" s="24">
        <v>74</v>
      </c>
      <c r="DM1384" s="25">
        <v>2.4500000000000002</v>
      </c>
      <c r="DN1384" s="24">
        <v>70</v>
      </c>
      <c r="DO1384" s="25">
        <v>23.66</v>
      </c>
      <c r="DP1384" s="24">
        <v>93</v>
      </c>
      <c r="DQ1384" s="24">
        <v>1225</v>
      </c>
      <c r="DR1384" s="26">
        <v>-7</v>
      </c>
      <c r="DS1384" s="23">
        <v>-0.56999999999999995</v>
      </c>
      <c r="DT1384" s="24">
        <v>71</v>
      </c>
      <c r="DU1384" s="26">
        <v>-1</v>
      </c>
      <c r="DV1384" s="23">
        <v>-1.39</v>
      </c>
      <c r="DW1384" s="24">
        <v>8470</v>
      </c>
      <c r="DX1384" s="27">
        <v>7</v>
      </c>
      <c r="DY1384" s="23">
        <v>0.08</v>
      </c>
      <c r="DZ1384" s="15" t="s">
        <v>178</v>
      </c>
      <c r="EA1384" s="22">
        <v>43578</v>
      </c>
      <c r="EB1384" s="17" t="s">
        <v>138</v>
      </c>
      <c r="EC1384" s="22" t="s">
        <v>138</v>
      </c>
      <c r="ED1384" s="15" t="s">
        <v>138</v>
      </c>
      <c r="EE1384" s="14" t="str">
        <f>HYPERLINK("https://my.pitchbook.com?c=86923-36", "View company online")</f>
        <v>View company online</v>
      </c>
    </row>
    <row r="1385" spans="1:135">
      <c r="A1385" s="28" t="s">
        <v>26667</v>
      </c>
      <c r="B1385" s="28" t="s">
        <v>26668</v>
      </c>
      <c r="C1385" s="28" t="s">
        <v>138</v>
      </c>
      <c r="D1385" s="28" t="s">
        <v>138</v>
      </c>
      <c r="E1385" s="28" t="s">
        <v>26669</v>
      </c>
      <c r="F1385" s="28" t="s">
        <v>26667</v>
      </c>
      <c r="G1385" s="28" t="s">
        <v>26670</v>
      </c>
      <c r="H1385" s="28" t="s">
        <v>238</v>
      </c>
      <c r="I1385" s="28" t="s">
        <v>749</v>
      </c>
      <c r="J1385" s="28" t="s">
        <v>750</v>
      </c>
      <c r="K1385" s="28" t="s">
        <v>18495</v>
      </c>
      <c r="L1385" s="28" t="s">
        <v>26671</v>
      </c>
      <c r="M1385" s="28" t="s">
        <v>26672</v>
      </c>
      <c r="N1385" s="28" t="s">
        <v>147</v>
      </c>
      <c r="O1385" s="29">
        <v>19.239999999999998</v>
      </c>
      <c r="P1385" s="28" t="s">
        <v>148</v>
      </c>
      <c r="Q1385" s="28" t="s">
        <v>149</v>
      </c>
      <c r="R1385" s="28" t="s">
        <v>244</v>
      </c>
      <c r="S1385" s="28" t="s">
        <v>26673</v>
      </c>
      <c r="T1385" s="30">
        <v>27</v>
      </c>
      <c r="U1385" s="28" t="s">
        <v>26674</v>
      </c>
      <c r="V1385" s="28" t="s">
        <v>138</v>
      </c>
      <c r="W1385" s="28" t="s">
        <v>138</v>
      </c>
      <c r="X1385" s="31">
        <v>2008</v>
      </c>
      <c r="Y1385" s="28" t="s">
        <v>138</v>
      </c>
      <c r="Z1385" s="28" t="s">
        <v>138</v>
      </c>
      <c r="AA1385" s="28" t="s">
        <v>138</v>
      </c>
      <c r="AB1385" s="32" t="s">
        <v>138</v>
      </c>
      <c r="AC1385" s="32" t="s">
        <v>138</v>
      </c>
      <c r="AD1385" s="32" t="s">
        <v>138</v>
      </c>
      <c r="AE1385" s="32" t="s">
        <v>138</v>
      </c>
      <c r="AF1385" s="32" t="s">
        <v>138</v>
      </c>
      <c r="AG1385" s="28" t="s">
        <v>138</v>
      </c>
      <c r="AH1385" s="32" t="s">
        <v>138</v>
      </c>
      <c r="AI1385" s="32" t="s">
        <v>138</v>
      </c>
      <c r="AJ1385" s="32" t="s">
        <v>138</v>
      </c>
      <c r="AK1385" s="28" t="s">
        <v>26675</v>
      </c>
      <c r="AL1385" s="28" t="s">
        <v>26676</v>
      </c>
      <c r="AM1385" s="28" t="s">
        <v>566</v>
      </c>
      <c r="AN1385" s="28" t="s">
        <v>26677</v>
      </c>
      <c r="AO1385" s="28" t="s">
        <v>26678</v>
      </c>
      <c r="AP1385" s="28" t="s">
        <v>26679</v>
      </c>
      <c r="AQ1385" s="28" t="s">
        <v>26680</v>
      </c>
      <c r="AR1385" s="28" t="s">
        <v>138</v>
      </c>
      <c r="AS1385" s="28" t="s">
        <v>26681</v>
      </c>
      <c r="AT1385" s="28" t="s">
        <v>200</v>
      </c>
      <c r="AU1385" s="28" t="s">
        <v>26682</v>
      </c>
      <c r="AV1385" s="28" t="s">
        <v>162</v>
      </c>
      <c r="AW1385" s="28" t="s">
        <v>26678</v>
      </c>
      <c r="AX1385" s="28" t="s">
        <v>138</v>
      </c>
      <c r="AY1385" s="28" t="s">
        <v>26683</v>
      </c>
      <c r="AZ1385" s="28" t="s">
        <v>164</v>
      </c>
      <c r="BA1385" s="28" t="s">
        <v>165</v>
      </c>
      <c r="BB1385" s="28" t="s">
        <v>26684</v>
      </c>
      <c r="BC1385" s="28" t="s">
        <v>26685</v>
      </c>
      <c r="BD1385" s="33">
        <v>6</v>
      </c>
      <c r="BE1385" s="28" t="s">
        <v>138</v>
      </c>
      <c r="BF1385" s="28" t="s">
        <v>138</v>
      </c>
      <c r="BG1385" s="28" t="s">
        <v>138</v>
      </c>
      <c r="BH1385" s="28" t="s">
        <v>26686</v>
      </c>
      <c r="BI1385" s="28" t="s">
        <v>138</v>
      </c>
      <c r="BJ1385" s="28" t="s">
        <v>138</v>
      </c>
      <c r="BK1385" s="28" t="s">
        <v>26687</v>
      </c>
      <c r="BL1385" s="28" t="s">
        <v>26688</v>
      </c>
      <c r="BM1385" s="34">
        <v>41817</v>
      </c>
      <c r="BN1385" s="29">
        <v>0.41</v>
      </c>
      <c r="BO1385" s="28" t="s">
        <v>1178</v>
      </c>
      <c r="BP1385" s="29">
        <v>2.33</v>
      </c>
      <c r="BQ1385" s="28" t="s">
        <v>172</v>
      </c>
      <c r="BR1385" s="28" t="s">
        <v>173</v>
      </c>
      <c r="BS1385" s="28" t="s">
        <v>206</v>
      </c>
      <c r="BT1385" s="28" t="s">
        <v>138</v>
      </c>
      <c r="BU1385" s="28" t="s">
        <v>174</v>
      </c>
      <c r="BV1385" s="28" t="s">
        <v>138</v>
      </c>
      <c r="BW1385" s="28" t="s">
        <v>138</v>
      </c>
      <c r="BX1385" s="28" t="s">
        <v>138</v>
      </c>
      <c r="BY1385" s="28" t="s">
        <v>175</v>
      </c>
      <c r="BZ1385" s="34">
        <v>43103</v>
      </c>
      <c r="CA1385" s="29">
        <v>13.49</v>
      </c>
      <c r="CB1385" s="28" t="s">
        <v>172</v>
      </c>
      <c r="CC1385" s="29">
        <v>38.49</v>
      </c>
      <c r="CD1385" s="28" t="s">
        <v>172</v>
      </c>
      <c r="CE1385" s="28" t="s">
        <v>173</v>
      </c>
      <c r="CF1385" s="28" t="s">
        <v>433</v>
      </c>
      <c r="CG1385" s="28" t="s">
        <v>138</v>
      </c>
      <c r="CH1385" s="28" t="s">
        <v>174</v>
      </c>
      <c r="CI1385" s="28" t="s">
        <v>138</v>
      </c>
      <c r="CJ1385" s="28" t="s">
        <v>138</v>
      </c>
      <c r="CK1385" s="28" t="s">
        <v>138</v>
      </c>
      <c r="CL1385" s="28" t="s">
        <v>175</v>
      </c>
      <c r="CM1385" s="34">
        <v>42369</v>
      </c>
      <c r="CN1385" s="29" t="s">
        <v>138</v>
      </c>
      <c r="CO1385" s="35">
        <v>2.25</v>
      </c>
      <c r="CP1385" s="36">
        <v>99</v>
      </c>
      <c r="CQ1385" s="35">
        <v>-0.03</v>
      </c>
      <c r="CR1385" s="35">
        <v>-1.1000000000000001</v>
      </c>
      <c r="CS1385" s="35">
        <v>4.3499999999999996</v>
      </c>
      <c r="CT1385" s="36">
        <v>100</v>
      </c>
      <c r="CU1385" s="35">
        <v>0.14000000000000001</v>
      </c>
      <c r="CV1385" s="36">
        <v>74</v>
      </c>
      <c r="CW1385" s="35">
        <v>9.4499999999999993</v>
      </c>
      <c r="CX1385" s="36">
        <v>99</v>
      </c>
      <c r="CY1385" s="35">
        <v>-0.74</v>
      </c>
      <c r="CZ1385" s="36">
        <v>21</v>
      </c>
      <c r="DA1385" s="35">
        <v>0.14000000000000001</v>
      </c>
      <c r="DB1385" s="36">
        <v>77</v>
      </c>
      <c r="DC1385" s="37">
        <v>12.22</v>
      </c>
      <c r="DD1385" s="36">
        <v>92</v>
      </c>
      <c r="DE1385" s="37">
        <v>-0.45</v>
      </c>
      <c r="DF1385" s="35">
        <v>-3.59</v>
      </c>
      <c r="DG1385" s="37">
        <v>15.19</v>
      </c>
      <c r="DH1385" s="36">
        <v>93</v>
      </c>
      <c r="DI1385" s="37">
        <v>9.25</v>
      </c>
      <c r="DJ1385" s="36">
        <v>84</v>
      </c>
      <c r="DK1385" s="37">
        <v>14.17</v>
      </c>
      <c r="DL1385" s="36">
        <v>89</v>
      </c>
      <c r="DM1385" s="37">
        <v>16.21</v>
      </c>
      <c r="DN1385" s="36">
        <v>93</v>
      </c>
      <c r="DO1385" s="37">
        <v>9.25</v>
      </c>
      <c r="DP1385" s="36">
        <v>86</v>
      </c>
      <c r="DQ1385" s="36">
        <v>4645</v>
      </c>
      <c r="DR1385" s="38">
        <v>649</v>
      </c>
      <c r="DS1385" s="35">
        <v>16.239999999999998</v>
      </c>
      <c r="DT1385" s="36">
        <v>471</v>
      </c>
      <c r="DU1385" s="38">
        <v>-4</v>
      </c>
      <c r="DV1385" s="35">
        <v>-0.84</v>
      </c>
      <c r="DW1385" s="36">
        <v>3313</v>
      </c>
      <c r="DX1385" s="39">
        <v>3</v>
      </c>
      <c r="DY1385" s="35">
        <v>0.09</v>
      </c>
      <c r="DZ1385" s="28" t="s">
        <v>178</v>
      </c>
      <c r="EA1385" s="34">
        <v>43609</v>
      </c>
      <c r="EB1385" s="29">
        <v>38.49</v>
      </c>
      <c r="EC1385" s="34">
        <v>43103</v>
      </c>
      <c r="ED1385" s="28" t="s">
        <v>173</v>
      </c>
      <c r="EE1385" s="40" t="str">
        <f>HYPERLINK("https://my.pitchbook.com?c=149763-25", "View company online")</f>
        <v>View company online</v>
      </c>
    </row>
    <row r="1386" spans="1:135">
      <c r="A1386" s="15" t="s">
        <v>26689</v>
      </c>
      <c r="B1386" s="15" t="s">
        <v>26690</v>
      </c>
      <c r="C1386" s="15" t="s">
        <v>138</v>
      </c>
      <c r="D1386" s="15" t="s">
        <v>138</v>
      </c>
      <c r="E1386" s="15" t="s">
        <v>138</v>
      </c>
      <c r="F1386" s="15" t="s">
        <v>26689</v>
      </c>
      <c r="G1386" s="15" t="s">
        <v>26691</v>
      </c>
      <c r="H1386" s="15" t="s">
        <v>238</v>
      </c>
      <c r="I1386" s="15" t="s">
        <v>749</v>
      </c>
      <c r="J1386" s="15" t="s">
        <v>750</v>
      </c>
      <c r="K1386" s="15" t="s">
        <v>26692</v>
      </c>
      <c r="L1386" s="15" t="s">
        <v>26693</v>
      </c>
      <c r="M1386" s="15" t="s">
        <v>26694</v>
      </c>
      <c r="N1386" s="15" t="s">
        <v>147</v>
      </c>
      <c r="O1386" s="17">
        <v>59.2</v>
      </c>
      <c r="P1386" s="15" t="s">
        <v>148</v>
      </c>
      <c r="Q1386" s="15" t="s">
        <v>149</v>
      </c>
      <c r="R1386" s="15" t="s">
        <v>174</v>
      </c>
      <c r="S1386" s="15" t="s">
        <v>26695</v>
      </c>
      <c r="T1386" s="18">
        <v>130</v>
      </c>
      <c r="U1386" s="15" t="s">
        <v>26696</v>
      </c>
      <c r="V1386" s="15" t="s">
        <v>138</v>
      </c>
      <c r="W1386" s="15" t="s">
        <v>138</v>
      </c>
      <c r="X1386" s="19">
        <v>2013</v>
      </c>
      <c r="Y1386" s="15" t="s">
        <v>138</v>
      </c>
      <c r="Z1386" s="15" t="s">
        <v>138</v>
      </c>
      <c r="AA1386" s="15" t="s">
        <v>138</v>
      </c>
      <c r="AB1386" s="20" t="s">
        <v>138</v>
      </c>
      <c r="AC1386" s="20" t="s">
        <v>138</v>
      </c>
      <c r="AD1386" s="20" t="s">
        <v>138</v>
      </c>
      <c r="AE1386" s="20" t="s">
        <v>138</v>
      </c>
      <c r="AF1386" s="20" t="s">
        <v>138</v>
      </c>
      <c r="AG1386" s="15" t="s">
        <v>138</v>
      </c>
      <c r="AH1386" s="20" t="s">
        <v>138</v>
      </c>
      <c r="AI1386" s="20" t="s">
        <v>138</v>
      </c>
      <c r="AJ1386" s="20" t="s">
        <v>138</v>
      </c>
      <c r="AK1386" s="15" t="s">
        <v>26697</v>
      </c>
      <c r="AL1386" s="15" t="s">
        <v>26698</v>
      </c>
      <c r="AM1386" s="15" t="s">
        <v>21393</v>
      </c>
      <c r="AN1386" s="15" t="s">
        <v>26699</v>
      </c>
      <c r="AO1386" s="15" t="s">
        <v>138</v>
      </c>
      <c r="AP1386" s="15" t="s">
        <v>3136</v>
      </c>
      <c r="AQ1386" s="15" t="s">
        <v>26700</v>
      </c>
      <c r="AR1386" s="15" t="s">
        <v>26701</v>
      </c>
      <c r="AS1386" s="15" t="s">
        <v>3139</v>
      </c>
      <c r="AT1386" s="15" t="s">
        <v>3140</v>
      </c>
      <c r="AU1386" s="15" t="s">
        <v>9926</v>
      </c>
      <c r="AV1386" s="15" t="s">
        <v>162</v>
      </c>
      <c r="AW1386" s="15" t="s">
        <v>138</v>
      </c>
      <c r="AX1386" s="15" t="s">
        <v>138</v>
      </c>
      <c r="AY1386" s="15" t="s">
        <v>26702</v>
      </c>
      <c r="AZ1386" s="15" t="s">
        <v>164</v>
      </c>
      <c r="BA1386" s="15" t="s">
        <v>165</v>
      </c>
      <c r="BB1386" s="15" t="s">
        <v>26703</v>
      </c>
      <c r="BC1386" s="15" t="s">
        <v>26704</v>
      </c>
      <c r="BD1386" s="21">
        <v>11</v>
      </c>
      <c r="BE1386" s="15" t="s">
        <v>138</v>
      </c>
      <c r="BF1386" s="15" t="s">
        <v>138</v>
      </c>
      <c r="BG1386" s="15" t="s">
        <v>138</v>
      </c>
      <c r="BH1386" s="15" t="s">
        <v>26705</v>
      </c>
      <c r="BI1386" s="15" t="s">
        <v>138</v>
      </c>
      <c r="BJ1386" s="15" t="s">
        <v>138</v>
      </c>
      <c r="BK1386" s="15" t="s">
        <v>204</v>
      </c>
      <c r="BL1386" s="15" t="s">
        <v>26706</v>
      </c>
      <c r="BM1386" s="22">
        <v>42153</v>
      </c>
      <c r="BN1386" s="17">
        <v>0.63</v>
      </c>
      <c r="BO1386" s="15" t="s">
        <v>172</v>
      </c>
      <c r="BP1386" s="17">
        <v>5.62</v>
      </c>
      <c r="BQ1386" s="15" t="s">
        <v>172</v>
      </c>
      <c r="BR1386" s="15" t="s">
        <v>205</v>
      </c>
      <c r="BS1386" s="15" t="s">
        <v>206</v>
      </c>
      <c r="BT1386" s="15" t="s">
        <v>138</v>
      </c>
      <c r="BU1386" s="15" t="s">
        <v>174</v>
      </c>
      <c r="BV1386" s="15" t="s">
        <v>138</v>
      </c>
      <c r="BW1386" s="15" t="s">
        <v>138</v>
      </c>
      <c r="BX1386" s="15" t="s">
        <v>138</v>
      </c>
      <c r="BY1386" s="15" t="s">
        <v>175</v>
      </c>
      <c r="BZ1386" s="22">
        <v>43608</v>
      </c>
      <c r="CA1386" s="17">
        <v>18.57</v>
      </c>
      <c r="CB1386" s="15" t="s">
        <v>172</v>
      </c>
      <c r="CC1386" s="17" t="s">
        <v>138</v>
      </c>
      <c r="CD1386" s="15" t="s">
        <v>138</v>
      </c>
      <c r="CE1386" s="15" t="s">
        <v>173</v>
      </c>
      <c r="CF1386" s="15" t="s">
        <v>138</v>
      </c>
      <c r="CG1386" s="15" t="s">
        <v>138</v>
      </c>
      <c r="CH1386" s="15" t="s">
        <v>174</v>
      </c>
      <c r="CI1386" s="15" t="s">
        <v>264</v>
      </c>
      <c r="CJ1386" s="15" t="s">
        <v>138</v>
      </c>
      <c r="CK1386" s="15" t="s">
        <v>138</v>
      </c>
      <c r="CL1386" s="15" t="s">
        <v>175</v>
      </c>
      <c r="CM1386" s="22" t="s">
        <v>138</v>
      </c>
      <c r="CN1386" s="17" t="s">
        <v>138</v>
      </c>
      <c r="CO1386" s="23">
        <v>1.39</v>
      </c>
      <c r="CP1386" s="24">
        <v>98</v>
      </c>
      <c r="CQ1386" s="23">
        <v>0.12</v>
      </c>
      <c r="CR1386" s="23">
        <v>9.4</v>
      </c>
      <c r="CS1386" s="23">
        <v>2.6</v>
      </c>
      <c r="CT1386" s="24">
        <v>99</v>
      </c>
      <c r="CU1386" s="23">
        <v>0.15</v>
      </c>
      <c r="CV1386" s="24">
        <v>75</v>
      </c>
      <c r="CW1386" s="23">
        <v>5.87</v>
      </c>
      <c r="CX1386" s="24">
        <v>97</v>
      </c>
      <c r="CY1386" s="23">
        <v>-0.67</v>
      </c>
      <c r="CZ1386" s="24">
        <v>21</v>
      </c>
      <c r="DA1386" s="23">
        <v>0.28000000000000003</v>
      </c>
      <c r="DB1386" s="24">
        <v>88</v>
      </c>
      <c r="DC1386" s="25">
        <v>14.12</v>
      </c>
      <c r="DD1386" s="24">
        <v>93</v>
      </c>
      <c r="DE1386" s="25">
        <v>-0.36</v>
      </c>
      <c r="DF1386" s="23">
        <v>-2.46</v>
      </c>
      <c r="DG1386" s="25">
        <v>22.75</v>
      </c>
      <c r="DH1386" s="24">
        <v>95</v>
      </c>
      <c r="DI1386" s="25">
        <v>18.690000000000001</v>
      </c>
      <c r="DJ1386" s="24">
        <v>90</v>
      </c>
      <c r="DK1386" s="25">
        <v>21.8</v>
      </c>
      <c r="DL1386" s="24">
        <v>92</v>
      </c>
      <c r="DM1386" s="25">
        <v>23.69</v>
      </c>
      <c r="DN1386" s="24">
        <v>95</v>
      </c>
      <c r="DO1386" s="25">
        <v>9.5500000000000007</v>
      </c>
      <c r="DP1386" s="24">
        <v>87</v>
      </c>
      <c r="DQ1386" s="24">
        <v>7194</v>
      </c>
      <c r="DR1386" s="26">
        <v>852</v>
      </c>
      <c r="DS1386" s="23">
        <v>13.43</v>
      </c>
      <c r="DT1386" s="24">
        <v>680</v>
      </c>
      <c r="DU1386" s="26">
        <v>11</v>
      </c>
      <c r="DV1386" s="23">
        <v>1.64</v>
      </c>
      <c r="DW1386" s="24">
        <v>3418</v>
      </c>
      <c r="DX1386" s="27">
        <v>7</v>
      </c>
      <c r="DY1386" s="23">
        <v>0.21</v>
      </c>
      <c r="DZ1386" s="15" t="s">
        <v>178</v>
      </c>
      <c r="EA1386" s="22">
        <v>43613</v>
      </c>
      <c r="EB1386" s="17">
        <v>57.3</v>
      </c>
      <c r="EC1386" s="22">
        <v>43348</v>
      </c>
      <c r="ED1386" s="15" t="s">
        <v>173</v>
      </c>
      <c r="EE1386" s="14" t="str">
        <f>HYPERLINK("https://my.pitchbook.com?c=114700-51", "View company online")</f>
        <v>View company online</v>
      </c>
    </row>
    <row r="1387" spans="1:135">
      <c r="A1387" s="28" t="s">
        <v>26707</v>
      </c>
      <c r="B1387" s="28" t="s">
        <v>26708</v>
      </c>
      <c r="C1387" s="28" t="s">
        <v>138</v>
      </c>
      <c r="D1387" s="28" t="s">
        <v>138</v>
      </c>
      <c r="E1387" s="28" t="s">
        <v>138</v>
      </c>
      <c r="F1387" s="28" t="s">
        <v>26707</v>
      </c>
      <c r="G1387" s="28" t="s">
        <v>26709</v>
      </c>
      <c r="H1387" s="28" t="s">
        <v>322</v>
      </c>
      <c r="I1387" s="28" t="s">
        <v>323</v>
      </c>
      <c r="J1387" s="28" t="s">
        <v>413</v>
      </c>
      <c r="K1387" s="28" t="s">
        <v>2254</v>
      </c>
      <c r="L1387" s="28" t="s">
        <v>18394</v>
      </c>
      <c r="M1387" s="28" t="s">
        <v>26710</v>
      </c>
      <c r="N1387" s="28" t="s">
        <v>147</v>
      </c>
      <c r="O1387" s="29" t="s">
        <v>138</v>
      </c>
      <c r="P1387" s="28" t="s">
        <v>610</v>
      </c>
      <c r="Q1387" s="28" t="s">
        <v>149</v>
      </c>
      <c r="R1387" s="28" t="s">
        <v>174</v>
      </c>
      <c r="S1387" s="28" t="s">
        <v>26711</v>
      </c>
      <c r="T1387" s="30">
        <v>20</v>
      </c>
      <c r="U1387" s="28" t="s">
        <v>14206</v>
      </c>
      <c r="V1387" s="28" t="s">
        <v>138</v>
      </c>
      <c r="W1387" s="28" t="s">
        <v>138</v>
      </c>
      <c r="X1387" s="31">
        <v>2016</v>
      </c>
      <c r="Y1387" s="28" t="s">
        <v>138</v>
      </c>
      <c r="Z1387" s="28" t="s">
        <v>138</v>
      </c>
      <c r="AA1387" s="28" t="s">
        <v>26712</v>
      </c>
      <c r="AB1387" s="32" t="s">
        <v>138</v>
      </c>
      <c r="AC1387" s="32" t="s">
        <v>138</v>
      </c>
      <c r="AD1387" s="32" t="s">
        <v>138</v>
      </c>
      <c r="AE1387" s="32" t="s">
        <v>138</v>
      </c>
      <c r="AF1387" s="32" t="s">
        <v>138</v>
      </c>
      <c r="AG1387" s="28" t="s">
        <v>138</v>
      </c>
      <c r="AH1387" s="32" t="s">
        <v>138</v>
      </c>
      <c r="AI1387" s="32" t="s">
        <v>138</v>
      </c>
      <c r="AJ1387" s="32" t="s">
        <v>138</v>
      </c>
      <c r="AK1387" s="28" t="s">
        <v>138</v>
      </c>
      <c r="AL1387" s="28" t="s">
        <v>138</v>
      </c>
      <c r="AM1387" s="28" t="s">
        <v>138</v>
      </c>
      <c r="AN1387" s="28" t="s">
        <v>138</v>
      </c>
      <c r="AO1387" s="28" t="s">
        <v>138</v>
      </c>
      <c r="AP1387" s="28" t="s">
        <v>820</v>
      </c>
      <c r="AQ1387" s="28" t="s">
        <v>26713</v>
      </c>
      <c r="AR1387" s="28" t="s">
        <v>26714</v>
      </c>
      <c r="AS1387" s="28" t="s">
        <v>823</v>
      </c>
      <c r="AT1387" s="28" t="s">
        <v>824</v>
      </c>
      <c r="AU1387" s="28" t="s">
        <v>26715</v>
      </c>
      <c r="AV1387" s="28" t="s">
        <v>526</v>
      </c>
      <c r="AW1387" s="28" t="s">
        <v>138</v>
      </c>
      <c r="AX1387" s="28" t="s">
        <v>138</v>
      </c>
      <c r="AY1387" s="28" t="s">
        <v>26716</v>
      </c>
      <c r="AZ1387" s="28" t="s">
        <v>530</v>
      </c>
      <c r="BA1387" s="28" t="s">
        <v>531</v>
      </c>
      <c r="BB1387" s="28" t="s">
        <v>26717</v>
      </c>
      <c r="BC1387" s="28" t="s">
        <v>26718</v>
      </c>
      <c r="BD1387" s="33">
        <v>2</v>
      </c>
      <c r="BE1387" s="28" t="s">
        <v>138</v>
      </c>
      <c r="BF1387" s="28" t="s">
        <v>138</v>
      </c>
      <c r="BG1387" s="28" t="s">
        <v>138</v>
      </c>
      <c r="BH1387" s="28" t="s">
        <v>26719</v>
      </c>
      <c r="BI1387" s="28" t="s">
        <v>138</v>
      </c>
      <c r="BJ1387" s="28" t="s">
        <v>138</v>
      </c>
      <c r="BK1387" s="28" t="s">
        <v>138</v>
      </c>
      <c r="BL1387" s="28" t="s">
        <v>138</v>
      </c>
      <c r="BM1387" s="34">
        <v>42745</v>
      </c>
      <c r="BN1387" s="29" t="s">
        <v>138</v>
      </c>
      <c r="BO1387" s="28" t="s">
        <v>138</v>
      </c>
      <c r="BP1387" s="29" t="s">
        <v>138</v>
      </c>
      <c r="BQ1387" s="28" t="s">
        <v>138</v>
      </c>
      <c r="BR1387" s="28" t="s">
        <v>205</v>
      </c>
      <c r="BS1387" s="28" t="s">
        <v>138</v>
      </c>
      <c r="BT1387" s="28" t="s">
        <v>138</v>
      </c>
      <c r="BU1387" s="28" t="s">
        <v>174</v>
      </c>
      <c r="BV1387" s="28" t="s">
        <v>138</v>
      </c>
      <c r="BW1387" s="28" t="s">
        <v>138</v>
      </c>
      <c r="BX1387" s="28" t="s">
        <v>138</v>
      </c>
      <c r="BY1387" s="28" t="s">
        <v>175</v>
      </c>
      <c r="BZ1387" s="34">
        <v>42745</v>
      </c>
      <c r="CA1387" s="29" t="s">
        <v>138</v>
      </c>
      <c r="CB1387" s="28" t="s">
        <v>138</v>
      </c>
      <c r="CC1387" s="29" t="s">
        <v>138</v>
      </c>
      <c r="CD1387" s="28" t="s">
        <v>138</v>
      </c>
      <c r="CE1387" s="28" t="s">
        <v>205</v>
      </c>
      <c r="CF1387" s="28" t="s">
        <v>138</v>
      </c>
      <c r="CG1387" s="28" t="s">
        <v>138</v>
      </c>
      <c r="CH1387" s="28" t="s">
        <v>174</v>
      </c>
      <c r="CI1387" s="28" t="s">
        <v>138</v>
      </c>
      <c r="CJ1387" s="28" t="s">
        <v>138</v>
      </c>
      <c r="CK1387" s="28" t="s">
        <v>138</v>
      </c>
      <c r="CL1387" s="28" t="s">
        <v>175</v>
      </c>
      <c r="CM1387" s="34" t="s">
        <v>138</v>
      </c>
      <c r="CN1387" s="29" t="s">
        <v>138</v>
      </c>
      <c r="CO1387" s="35">
        <v>2.4300000000000002</v>
      </c>
      <c r="CP1387" s="36">
        <v>99</v>
      </c>
      <c r="CQ1387" s="35">
        <v>-0.28000000000000003</v>
      </c>
      <c r="CR1387" s="35">
        <v>-10.27</v>
      </c>
      <c r="CS1387" s="35">
        <v>0</v>
      </c>
      <c r="CT1387" s="36">
        <v>23</v>
      </c>
      <c r="CU1387" s="35">
        <v>3.05</v>
      </c>
      <c r="CV1387" s="36">
        <v>100</v>
      </c>
      <c r="CW1387" s="35">
        <v>0</v>
      </c>
      <c r="CX1387" s="36">
        <v>13</v>
      </c>
      <c r="CY1387" s="35">
        <v>0</v>
      </c>
      <c r="CZ1387" s="36">
        <v>25</v>
      </c>
      <c r="DA1387" s="35">
        <v>3.05</v>
      </c>
      <c r="DB1387" s="36">
        <v>100</v>
      </c>
      <c r="DC1387" s="37">
        <v>10.18</v>
      </c>
      <c r="DD1387" s="36">
        <v>90</v>
      </c>
      <c r="DE1387" s="37">
        <v>0.59</v>
      </c>
      <c r="DF1387" s="35">
        <v>6.21</v>
      </c>
      <c r="DG1387" s="37">
        <v>1.62</v>
      </c>
      <c r="DH1387" s="36">
        <v>62</v>
      </c>
      <c r="DI1387" s="37">
        <v>1.56</v>
      </c>
      <c r="DJ1387" s="36">
        <v>58</v>
      </c>
      <c r="DK1387" s="37">
        <v>1.66</v>
      </c>
      <c r="DL1387" s="36">
        <v>61</v>
      </c>
      <c r="DM1387" s="37">
        <v>1.59</v>
      </c>
      <c r="DN1387" s="36">
        <v>61</v>
      </c>
      <c r="DO1387" s="37">
        <v>1.56</v>
      </c>
      <c r="DP1387" s="36">
        <v>59</v>
      </c>
      <c r="DQ1387" s="36">
        <v>537</v>
      </c>
      <c r="DR1387" s="38">
        <v>97</v>
      </c>
      <c r="DS1387" s="35">
        <v>22.05</v>
      </c>
      <c r="DT1387" s="36">
        <v>46</v>
      </c>
      <c r="DU1387" s="38">
        <v>-1</v>
      </c>
      <c r="DV1387" s="35">
        <v>-2.13</v>
      </c>
      <c r="DW1387" s="36">
        <v>554</v>
      </c>
      <c r="DX1387" s="39">
        <v>10</v>
      </c>
      <c r="DY1387" s="35">
        <v>1.84</v>
      </c>
      <c r="DZ1387" s="28" t="s">
        <v>178</v>
      </c>
      <c r="EA1387" s="34">
        <v>43616</v>
      </c>
      <c r="EB1387" s="29" t="s">
        <v>138</v>
      </c>
      <c r="EC1387" s="34" t="s">
        <v>138</v>
      </c>
      <c r="ED1387" s="28" t="s">
        <v>138</v>
      </c>
      <c r="EE1387" s="40" t="str">
        <f>HYPERLINK("https://my.pitchbook.com?c=182312-47", "View company online")</f>
        <v>View company online</v>
      </c>
    </row>
    <row r="1388" spans="1:135">
      <c r="A1388" s="15" t="s">
        <v>26720</v>
      </c>
      <c r="B1388" s="15" t="s">
        <v>26721</v>
      </c>
      <c r="C1388" s="15" t="s">
        <v>138</v>
      </c>
      <c r="D1388" s="15" t="s">
        <v>138</v>
      </c>
      <c r="E1388" s="15" t="s">
        <v>138</v>
      </c>
      <c r="F1388" s="15" t="s">
        <v>26720</v>
      </c>
      <c r="G1388" s="15" t="s">
        <v>26722</v>
      </c>
      <c r="H1388" s="15" t="s">
        <v>322</v>
      </c>
      <c r="I1388" s="15" t="s">
        <v>323</v>
      </c>
      <c r="J1388" s="15" t="s">
        <v>324</v>
      </c>
      <c r="K1388" s="15" t="s">
        <v>26723</v>
      </c>
      <c r="L1388" s="15" t="s">
        <v>415</v>
      </c>
      <c r="M1388" s="15" t="s">
        <v>26724</v>
      </c>
      <c r="N1388" s="15" t="s">
        <v>147</v>
      </c>
      <c r="O1388" s="17">
        <v>0.25</v>
      </c>
      <c r="P1388" s="15" t="s">
        <v>148</v>
      </c>
      <c r="Q1388" s="15" t="s">
        <v>149</v>
      </c>
      <c r="R1388" s="15" t="s">
        <v>174</v>
      </c>
      <c r="S1388" s="15" t="s">
        <v>26725</v>
      </c>
      <c r="T1388" s="18" t="s">
        <v>138</v>
      </c>
      <c r="U1388" s="15" t="s">
        <v>138</v>
      </c>
      <c r="V1388" s="15" t="s">
        <v>138</v>
      </c>
      <c r="W1388" s="15" t="s">
        <v>138</v>
      </c>
      <c r="X1388" s="19">
        <v>2001</v>
      </c>
      <c r="Y1388" s="15" t="s">
        <v>138</v>
      </c>
      <c r="Z1388" s="15" t="s">
        <v>138</v>
      </c>
      <c r="AA1388" s="15" t="s">
        <v>138</v>
      </c>
      <c r="AB1388" s="20" t="s">
        <v>138</v>
      </c>
      <c r="AC1388" s="20" t="s">
        <v>138</v>
      </c>
      <c r="AD1388" s="20" t="s">
        <v>138</v>
      </c>
      <c r="AE1388" s="20" t="s">
        <v>138</v>
      </c>
      <c r="AF1388" s="20" t="s">
        <v>138</v>
      </c>
      <c r="AG1388" s="15" t="s">
        <v>138</v>
      </c>
      <c r="AH1388" s="20" t="s">
        <v>138</v>
      </c>
      <c r="AI1388" s="20" t="s">
        <v>138</v>
      </c>
      <c r="AJ1388" s="20" t="s">
        <v>138</v>
      </c>
      <c r="AK1388" s="15" t="s">
        <v>26726</v>
      </c>
      <c r="AL1388" s="15" t="s">
        <v>26727</v>
      </c>
      <c r="AM1388" s="15" t="s">
        <v>26728</v>
      </c>
      <c r="AN1388" s="15" t="s">
        <v>26729</v>
      </c>
      <c r="AO1388" s="15" t="s">
        <v>26730</v>
      </c>
      <c r="AP1388" s="15" t="s">
        <v>1195</v>
      </c>
      <c r="AQ1388" s="15" t="s">
        <v>26731</v>
      </c>
      <c r="AR1388" s="15" t="s">
        <v>26732</v>
      </c>
      <c r="AS1388" s="15" t="s">
        <v>1198</v>
      </c>
      <c r="AT1388" s="15" t="s">
        <v>138</v>
      </c>
      <c r="AU1388" s="15" t="s">
        <v>26733</v>
      </c>
      <c r="AV1388" s="15" t="s">
        <v>1200</v>
      </c>
      <c r="AW1388" s="15" t="s">
        <v>26730</v>
      </c>
      <c r="AX1388" s="15" t="s">
        <v>26734</v>
      </c>
      <c r="AY1388" s="15" t="s">
        <v>26735</v>
      </c>
      <c r="AZ1388" s="15" t="s">
        <v>452</v>
      </c>
      <c r="BA1388" s="15" t="s">
        <v>453</v>
      </c>
      <c r="BB1388" s="15" t="s">
        <v>26736</v>
      </c>
      <c r="BC1388" s="15" t="s">
        <v>26737</v>
      </c>
      <c r="BD1388" s="21">
        <v>3</v>
      </c>
      <c r="BE1388" s="15" t="s">
        <v>138</v>
      </c>
      <c r="BF1388" s="15" t="s">
        <v>138</v>
      </c>
      <c r="BG1388" s="15" t="s">
        <v>138</v>
      </c>
      <c r="BH1388" s="15" t="s">
        <v>26738</v>
      </c>
      <c r="BI1388" s="15" t="s">
        <v>138</v>
      </c>
      <c r="BJ1388" s="15" t="s">
        <v>138</v>
      </c>
      <c r="BK1388" s="15" t="s">
        <v>138</v>
      </c>
      <c r="BL1388" s="15" t="s">
        <v>138</v>
      </c>
      <c r="BM1388" s="22">
        <v>37722</v>
      </c>
      <c r="BN1388" s="17">
        <v>0.25</v>
      </c>
      <c r="BO1388" s="15" t="s">
        <v>172</v>
      </c>
      <c r="BP1388" s="17" t="s">
        <v>138</v>
      </c>
      <c r="BQ1388" s="15" t="s">
        <v>138</v>
      </c>
      <c r="BR1388" s="15" t="s">
        <v>205</v>
      </c>
      <c r="BS1388" s="15" t="s">
        <v>138</v>
      </c>
      <c r="BT1388" s="15" t="s">
        <v>138</v>
      </c>
      <c r="BU1388" s="15" t="s">
        <v>174</v>
      </c>
      <c r="BV1388" s="15" t="s">
        <v>138</v>
      </c>
      <c r="BW1388" s="15" t="s">
        <v>138</v>
      </c>
      <c r="BX1388" s="15" t="s">
        <v>138</v>
      </c>
      <c r="BY1388" s="15" t="s">
        <v>175</v>
      </c>
      <c r="BZ1388" s="22">
        <v>37722</v>
      </c>
      <c r="CA1388" s="17">
        <v>0.25</v>
      </c>
      <c r="CB1388" s="15" t="s">
        <v>172</v>
      </c>
      <c r="CC1388" s="17" t="s">
        <v>138</v>
      </c>
      <c r="CD1388" s="15" t="s">
        <v>138</v>
      </c>
      <c r="CE1388" s="15" t="s">
        <v>205</v>
      </c>
      <c r="CF1388" s="15" t="s">
        <v>138</v>
      </c>
      <c r="CG1388" s="15" t="s">
        <v>138</v>
      </c>
      <c r="CH1388" s="15" t="s">
        <v>174</v>
      </c>
      <c r="CI1388" s="15" t="s">
        <v>138</v>
      </c>
      <c r="CJ1388" s="15" t="s">
        <v>138</v>
      </c>
      <c r="CK1388" s="15" t="s">
        <v>138</v>
      </c>
      <c r="CL1388" s="15" t="s">
        <v>175</v>
      </c>
      <c r="CM1388" s="22" t="s">
        <v>138</v>
      </c>
      <c r="CN1388" s="17" t="s">
        <v>138</v>
      </c>
      <c r="CO1388" s="23">
        <v>0</v>
      </c>
      <c r="CP1388" s="24">
        <v>26</v>
      </c>
      <c r="CQ1388" s="23">
        <v>0</v>
      </c>
      <c r="CR1388" s="23">
        <v>0</v>
      </c>
      <c r="CS1388" s="23">
        <v>0</v>
      </c>
      <c r="CT1388" s="24">
        <v>23</v>
      </c>
      <c r="CU1388" s="23" t="s">
        <v>138</v>
      </c>
      <c r="CV1388" s="24" t="s">
        <v>138</v>
      </c>
      <c r="CW1388" s="23" t="s">
        <v>138</v>
      </c>
      <c r="CX1388" s="24" t="s">
        <v>138</v>
      </c>
      <c r="CY1388" s="23">
        <v>0</v>
      </c>
      <c r="CZ1388" s="24">
        <v>25</v>
      </c>
      <c r="DA1388" s="23" t="s">
        <v>138</v>
      </c>
      <c r="DB1388" s="24" t="s">
        <v>138</v>
      </c>
      <c r="DC1388" s="25">
        <v>0.55000000000000004</v>
      </c>
      <c r="DD1388" s="24">
        <v>36</v>
      </c>
      <c r="DE1388" s="25">
        <v>0</v>
      </c>
      <c r="DF1388" s="23">
        <v>0</v>
      </c>
      <c r="DG1388" s="25">
        <v>0.55000000000000004</v>
      </c>
      <c r="DH1388" s="24">
        <v>36</v>
      </c>
      <c r="DI1388" s="25" t="s">
        <v>138</v>
      </c>
      <c r="DJ1388" s="24" t="s">
        <v>138</v>
      </c>
      <c r="DK1388" s="25" t="s">
        <v>138</v>
      </c>
      <c r="DL1388" s="24" t="s">
        <v>138</v>
      </c>
      <c r="DM1388" s="25">
        <v>0.55000000000000004</v>
      </c>
      <c r="DN1388" s="24">
        <v>36</v>
      </c>
      <c r="DO1388" s="25" t="s">
        <v>138</v>
      </c>
      <c r="DP1388" s="24" t="s">
        <v>138</v>
      </c>
      <c r="DQ1388" s="24" t="s">
        <v>138</v>
      </c>
      <c r="DR1388" s="26" t="s">
        <v>138</v>
      </c>
      <c r="DS1388" s="23" t="s">
        <v>138</v>
      </c>
      <c r="DT1388" s="24">
        <v>16</v>
      </c>
      <c r="DU1388" s="26">
        <v>0</v>
      </c>
      <c r="DV1388" s="23">
        <v>0</v>
      </c>
      <c r="DW1388" s="24" t="s">
        <v>138</v>
      </c>
      <c r="DX1388" s="27" t="s">
        <v>138</v>
      </c>
      <c r="DY1388" s="23" t="s">
        <v>138</v>
      </c>
      <c r="DZ1388" s="15" t="s">
        <v>178</v>
      </c>
      <c r="EA1388" s="22">
        <v>43351</v>
      </c>
      <c r="EB1388" s="17" t="s">
        <v>138</v>
      </c>
      <c r="EC1388" s="22" t="s">
        <v>138</v>
      </c>
      <c r="ED1388" s="15" t="s">
        <v>138</v>
      </c>
      <c r="EE1388" s="14" t="str">
        <f>HYPERLINK("https://my.pitchbook.com?c=55541-08", "View company online")</f>
        <v>View company online</v>
      </c>
    </row>
    <row r="1389" spans="1:135">
      <c r="A1389" s="28" t="s">
        <v>26739</v>
      </c>
      <c r="B1389" s="28" t="s">
        <v>26740</v>
      </c>
      <c r="C1389" s="28" t="s">
        <v>26741</v>
      </c>
      <c r="D1389" s="28" t="s">
        <v>26742</v>
      </c>
      <c r="E1389" s="28" t="s">
        <v>26743</v>
      </c>
      <c r="F1389" s="28" t="s">
        <v>26739</v>
      </c>
      <c r="G1389" s="28" t="s">
        <v>26744</v>
      </c>
      <c r="H1389" s="28" t="s">
        <v>322</v>
      </c>
      <c r="I1389" s="28" t="s">
        <v>323</v>
      </c>
      <c r="J1389" s="28" t="s">
        <v>1235</v>
      </c>
      <c r="K1389" s="28" t="s">
        <v>26745</v>
      </c>
      <c r="L1389" s="28" t="s">
        <v>2274</v>
      </c>
      <c r="M1389" s="28" t="s">
        <v>26746</v>
      </c>
      <c r="N1389" s="28" t="s">
        <v>147</v>
      </c>
      <c r="O1389" s="29">
        <v>36.9</v>
      </c>
      <c r="P1389" s="28" t="s">
        <v>610</v>
      </c>
      <c r="Q1389" s="28" t="s">
        <v>149</v>
      </c>
      <c r="R1389" s="28" t="s">
        <v>174</v>
      </c>
      <c r="S1389" s="28" t="s">
        <v>26747</v>
      </c>
      <c r="T1389" s="30">
        <v>17</v>
      </c>
      <c r="U1389" s="28" t="s">
        <v>26748</v>
      </c>
      <c r="V1389" s="28" t="s">
        <v>138</v>
      </c>
      <c r="W1389" s="28" t="s">
        <v>138</v>
      </c>
      <c r="X1389" s="31">
        <v>2011</v>
      </c>
      <c r="Y1389" s="28" t="s">
        <v>138</v>
      </c>
      <c r="Z1389" s="28" t="s">
        <v>138</v>
      </c>
      <c r="AA1389" s="28" t="s">
        <v>138</v>
      </c>
      <c r="AB1389" s="32" t="s">
        <v>138</v>
      </c>
      <c r="AC1389" s="32" t="s">
        <v>138</v>
      </c>
      <c r="AD1389" s="32" t="s">
        <v>138</v>
      </c>
      <c r="AE1389" s="32" t="s">
        <v>138</v>
      </c>
      <c r="AF1389" s="32" t="s">
        <v>138</v>
      </c>
      <c r="AG1389" s="28" t="s">
        <v>138</v>
      </c>
      <c r="AH1389" s="32" t="s">
        <v>138</v>
      </c>
      <c r="AI1389" s="32" t="s">
        <v>138</v>
      </c>
      <c r="AJ1389" s="32" t="s">
        <v>138</v>
      </c>
      <c r="AK1389" s="28" t="s">
        <v>26749</v>
      </c>
      <c r="AL1389" s="28" t="s">
        <v>26750</v>
      </c>
      <c r="AM1389" s="28" t="s">
        <v>304</v>
      </c>
      <c r="AN1389" s="28" t="s">
        <v>26751</v>
      </c>
      <c r="AO1389" s="28" t="s">
        <v>26752</v>
      </c>
      <c r="AP1389" s="28" t="s">
        <v>665</v>
      </c>
      <c r="AQ1389" s="28" t="s">
        <v>26753</v>
      </c>
      <c r="AR1389" s="28" t="s">
        <v>26754</v>
      </c>
      <c r="AS1389" s="28" t="s">
        <v>668</v>
      </c>
      <c r="AT1389" s="28" t="s">
        <v>200</v>
      </c>
      <c r="AU1389" s="28" t="s">
        <v>3557</v>
      </c>
      <c r="AV1389" s="28" t="s">
        <v>162</v>
      </c>
      <c r="AW1389" s="28" t="s">
        <v>26755</v>
      </c>
      <c r="AX1389" s="28" t="s">
        <v>138</v>
      </c>
      <c r="AY1389" s="28" t="s">
        <v>26756</v>
      </c>
      <c r="AZ1389" s="28" t="s">
        <v>164</v>
      </c>
      <c r="BA1389" s="28" t="s">
        <v>165</v>
      </c>
      <c r="BB1389" s="28" t="s">
        <v>26757</v>
      </c>
      <c r="BC1389" s="28" t="s">
        <v>26758</v>
      </c>
      <c r="BD1389" s="33">
        <v>13</v>
      </c>
      <c r="BE1389" s="28" t="s">
        <v>138</v>
      </c>
      <c r="BF1389" s="28" t="s">
        <v>138</v>
      </c>
      <c r="BG1389" s="28" t="s">
        <v>138</v>
      </c>
      <c r="BH1389" s="28" t="s">
        <v>26759</v>
      </c>
      <c r="BI1389" s="28" t="s">
        <v>138</v>
      </c>
      <c r="BJ1389" s="28" t="s">
        <v>138</v>
      </c>
      <c r="BK1389" s="28" t="s">
        <v>138</v>
      </c>
      <c r="BL1389" s="28" t="s">
        <v>1710</v>
      </c>
      <c r="BM1389" s="34">
        <v>40787</v>
      </c>
      <c r="BN1389" s="29">
        <v>1.1000000000000001</v>
      </c>
      <c r="BO1389" s="28" t="s">
        <v>172</v>
      </c>
      <c r="BP1389" s="29" t="s">
        <v>138</v>
      </c>
      <c r="BQ1389" s="28" t="s">
        <v>138</v>
      </c>
      <c r="BR1389" s="28" t="s">
        <v>234</v>
      </c>
      <c r="BS1389" s="28" t="s">
        <v>234</v>
      </c>
      <c r="BT1389" s="28" t="s">
        <v>138</v>
      </c>
      <c r="BU1389" s="28" t="s">
        <v>174</v>
      </c>
      <c r="BV1389" s="28" t="s">
        <v>138</v>
      </c>
      <c r="BW1389" s="28" t="s">
        <v>138</v>
      </c>
      <c r="BX1389" s="28" t="s">
        <v>138</v>
      </c>
      <c r="BY1389" s="28" t="s">
        <v>175</v>
      </c>
      <c r="BZ1389" s="34" t="s">
        <v>138</v>
      </c>
      <c r="CA1389" s="29">
        <v>0.9</v>
      </c>
      <c r="CB1389" s="28" t="s">
        <v>172</v>
      </c>
      <c r="CC1389" s="29" t="s">
        <v>138</v>
      </c>
      <c r="CD1389" s="28" t="s">
        <v>138</v>
      </c>
      <c r="CE1389" s="28" t="s">
        <v>205</v>
      </c>
      <c r="CF1389" s="28" t="s">
        <v>138</v>
      </c>
      <c r="CG1389" s="28" t="s">
        <v>138</v>
      </c>
      <c r="CH1389" s="28" t="s">
        <v>174</v>
      </c>
      <c r="CI1389" s="28" t="s">
        <v>138</v>
      </c>
      <c r="CJ1389" s="28" t="s">
        <v>138</v>
      </c>
      <c r="CK1389" s="28" t="s">
        <v>138</v>
      </c>
      <c r="CL1389" s="28" t="s">
        <v>175</v>
      </c>
      <c r="CM1389" s="34" t="s">
        <v>138</v>
      </c>
      <c r="CN1389" s="29" t="s">
        <v>138</v>
      </c>
      <c r="CO1389" s="35">
        <v>-0.02</v>
      </c>
      <c r="CP1389" s="36">
        <v>24</v>
      </c>
      <c r="CQ1389" s="35">
        <v>0.01</v>
      </c>
      <c r="CR1389" s="35">
        <v>30.51</v>
      </c>
      <c r="CS1389" s="35">
        <v>0</v>
      </c>
      <c r="CT1389" s="36">
        <v>23</v>
      </c>
      <c r="CU1389" s="35">
        <v>-0.04</v>
      </c>
      <c r="CV1389" s="36">
        <v>12</v>
      </c>
      <c r="CW1389" s="35" t="s">
        <v>138</v>
      </c>
      <c r="CX1389" s="36" t="s">
        <v>138</v>
      </c>
      <c r="CY1389" s="35">
        <v>0</v>
      </c>
      <c r="CZ1389" s="36">
        <v>25</v>
      </c>
      <c r="DA1389" s="35">
        <v>-0.04</v>
      </c>
      <c r="DB1389" s="36">
        <v>15</v>
      </c>
      <c r="DC1389" s="37">
        <v>44.69</v>
      </c>
      <c r="DD1389" s="36">
        <v>98</v>
      </c>
      <c r="DE1389" s="37">
        <v>0.23</v>
      </c>
      <c r="DF1389" s="35">
        <v>0.52</v>
      </c>
      <c r="DG1389" s="37">
        <v>0.1</v>
      </c>
      <c r="DH1389" s="36">
        <v>7</v>
      </c>
      <c r="DI1389" s="37">
        <v>89.28</v>
      </c>
      <c r="DJ1389" s="36">
        <v>97</v>
      </c>
      <c r="DK1389" s="37" t="s">
        <v>138</v>
      </c>
      <c r="DL1389" s="36" t="s">
        <v>138</v>
      </c>
      <c r="DM1389" s="37">
        <v>0.1</v>
      </c>
      <c r="DN1389" s="36">
        <v>8</v>
      </c>
      <c r="DO1389" s="37">
        <v>89.28</v>
      </c>
      <c r="DP1389" s="36">
        <v>98</v>
      </c>
      <c r="DQ1389" s="36">
        <v>59</v>
      </c>
      <c r="DR1389" s="38">
        <v>1</v>
      </c>
      <c r="DS1389" s="35">
        <v>1.72</v>
      </c>
      <c r="DT1389" s="36">
        <v>3</v>
      </c>
      <c r="DU1389" s="38">
        <v>0</v>
      </c>
      <c r="DV1389" s="35">
        <v>0</v>
      </c>
      <c r="DW1389" s="36">
        <v>31967</v>
      </c>
      <c r="DX1389" s="39">
        <v>4</v>
      </c>
      <c r="DY1389" s="35">
        <v>0.01</v>
      </c>
      <c r="DZ1389" s="28" t="s">
        <v>178</v>
      </c>
      <c r="EA1389" s="34">
        <v>43351</v>
      </c>
      <c r="EB1389" s="29">
        <v>96.16</v>
      </c>
      <c r="EC1389" s="34">
        <v>41864</v>
      </c>
      <c r="ED1389" s="28" t="s">
        <v>205</v>
      </c>
      <c r="EE1389" s="40" t="str">
        <f>HYPERLINK("https://my.pitchbook.com?c=54694-36", "View company online")</f>
        <v>View company online</v>
      </c>
    </row>
    <row r="1390" spans="1:135">
      <c r="A1390" s="15" t="s">
        <v>26760</v>
      </c>
      <c r="B1390" s="15" t="s">
        <v>26761</v>
      </c>
      <c r="C1390" s="15" t="s">
        <v>138</v>
      </c>
      <c r="D1390" s="15" t="s">
        <v>138</v>
      </c>
      <c r="E1390" s="15" t="s">
        <v>26762</v>
      </c>
      <c r="F1390" s="15" t="s">
        <v>26760</v>
      </c>
      <c r="G1390" s="15" t="s">
        <v>26763</v>
      </c>
      <c r="H1390" s="15" t="s">
        <v>322</v>
      </c>
      <c r="I1390" s="15" t="s">
        <v>323</v>
      </c>
      <c r="J1390" s="15" t="s">
        <v>2984</v>
      </c>
      <c r="K1390" s="15" t="s">
        <v>16462</v>
      </c>
      <c r="L1390" s="15" t="s">
        <v>26764</v>
      </c>
      <c r="M1390" s="15" t="s">
        <v>26765</v>
      </c>
      <c r="N1390" s="15" t="s">
        <v>147</v>
      </c>
      <c r="O1390" s="17">
        <v>11.26</v>
      </c>
      <c r="P1390" s="15" t="s">
        <v>610</v>
      </c>
      <c r="Q1390" s="15" t="s">
        <v>149</v>
      </c>
      <c r="R1390" s="15" t="s">
        <v>174</v>
      </c>
      <c r="S1390" s="15" t="s">
        <v>26766</v>
      </c>
      <c r="T1390" s="18">
        <v>12</v>
      </c>
      <c r="U1390" s="15" t="s">
        <v>4523</v>
      </c>
      <c r="V1390" s="15" t="s">
        <v>138</v>
      </c>
      <c r="W1390" s="15" t="s">
        <v>138</v>
      </c>
      <c r="X1390" s="19">
        <v>2012</v>
      </c>
      <c r="Y1390" s="15" t="s">
        <v>138</v>
      </c>
      <c r="Z1390" s="15" t="s">
        <v>138</v>
      </c>
      <c r="AA1390" s="15" t="s">
        <v>138</v>
      </c>
      <c r="AB1390" s="20" t="s">
        <v>138</v>
      </c>
      <c r="AC1390" s="20" t="s">
        <v>138</v>
      </c>
      <c r="AD1390" s="20" t="s">
        <v>138</v>
      </c>
      <c r="AE1390" s="20" t="s">
        <v>138</v>
      </c>
      <c r="AF1390" s="20" t="s">
        <v>138</v>
      </c>
      <c r="AG1390" s="15" t="s">
        <v>138</v>
      </c>
      <c r="AH1390" s="20" t="s">
        <v>138</v>
      </c>
      <c r="AI1390" s="20" t="s">
        <v>138</v>
      </c>
      <c r="AJ1390" s="20" t="s">
        <v>138</v>
      </c>
      <c r="AK1390" s="15" t="s">
        <v>26767</v>
      </c>
      <c r="AL1390" s="15" t="s">
        <v>26768</v>
      </c>
      <c r="AM1390" s="15" t="s">
        <v>5401</v>
      </c>
      <c r="AN1390" s="15" t="s">
        <v>26769</v>
      </c>
      <c r="AO1390" s="15" t="s">
        <v>26770</v>
      </c>
      <c r="AP1390" s="15" t="s">
        <v>1244</v>
      </c>
      <c r="AQ1390" s="15" t="s">
        <v>26771</v>
      </c>
      <c r="AR1390" s="15" t="s">
        <v>26772</v>
      </c>
      <c r="AS1390" s="15" t="s">
        <v>1246</v>
      </c>
      <c r="AT1390" s="15" t="s">
        <v>200</v>
      </c>
      <c r="AU1390" s="15" t="s">
        <v>26773</v>
      </c>
      <c r="AV1390" s="15" t="s">
        <v>162</v>
      </c>
      <c r="AW1390" s="15" t="s">
        <v>26774</v>
      </c>
      <c r="AX1390" s="15" t="s">
        <v>138</v>
      </c>
      <c r="AY1390" s="15" t="s">
        <v>138</v>
      </c>
      <c r="AZ1390" s="15" t="s">
        <v>164</v>
      </c>
      <c r="BA1390" s="15" t="s">
        <v>165</v>
      </c>
      <c r="BB1390" s="15" t="s">
        <v>26775</v>
      </c>
      <c r="BC1390" s="15" t="s">
        <v>26776</v>
      </c>
      <c r="BD1390" s="21">
        <v>8</v>
      </c>
      <c r="BE1390" s="15" t="s">
        <v>138</v>
      </c>
      <c r="BF1390" s="15" t="s">
        <v>138</v>
      </c>
      <c r="BG1390" s="15" t="s">
        <v>138</v>
      </c>
      <c r="BH1390" s="15" t="s">
        <v>26777</v>
      </c>
      <c r="BI1390" s="15" t="s">
        <v>138</v>
      </c>
      <c r="BJ1390" s="15" t="s">
        <v>138</v>
      </c>
      <c r="BK1390" s="15" t="s">
        <v>290</v>
      </c>
      <c r="BL1390" s="15" t="s">
        <v>290</v>
      </c>
      <c r="BM1390" s="22">
        <v>42693</v>
      </c>
      <c r="BN1390" s="17">
        <v>1.34</v>
      </c>
      <c r="BO1390" s="15" t="s">
        <v>1178</v>
      </c>
      <c r="BP1390" s="17" t="s">
        <v>138</v>
      </c>
      <c r="BQ1390" s="15" t="s">
        <v>138</v>
      </c>
      <c r="BR1390" s="15" t="s">
        <v>316</v>
      </c>
      <c r="BS1390" s="15" t="s">
        <v>138</v>
      </c>
      <c r="BT1390" s="15" t="s">
        <v>138</v>
      </c>
      <c r="BU1390" s="15" t="s">
        <v>177</v>
      </c>
      <c r="BV1390" s="15" t="s">
        <v>138</v>
      </c>
      <c r="BW1390" s="15" t="s">
        <v>138</v>
      </c>
      <c r="BX1390" s="15" t="s">
        <v>138</v>
      </c>
      <c r="BY1390" s="15" t="s">
        <v>175</v>
      </c>
      <c r="BZ1390" s="22">
        <v>43270</v>
      </c>
      <c r="CA1390" s="17">
        <v>4.5999999999999996</v>
      </c>
      <c r="CB1390" s="15" t="s">
        <v>172</v>
      </c>
      <c r="CC1390" s="17">
        <v>37.1</v>
      </c>
      <c r="CD1390" s="15" t="s">
        <v>172</v>
      </c>
      <c r="CE1390" s="15" t="s">
        <v>205</v>
      </c>
      <c r="CF1390" s="15" t="s">
        <v>206</v>
      </c>
      <c r="CG1390" s="15" t="s">
        <v>138</v>
      </c>
      <c r="CH1390" s="15" t="s">
        <v>174</v>
      </c>
      <c r="CI1390" s="15" t="s">
        <v>138</v>
      </c>
      <c r="CJ1390" s="15" t="s">
        <v>138</v>
      </c>
      <c r="CK1390" s="15" t="s">
        <v>138</v>
      </c>
      <c r="CL1390" s="15" t="s">
        <v>175</v>
      </c>
      <c r="CM1390" s="22" t="s">
        <v>138</v>
      </c>
      <c r="CN1390" s="17" t="s">
        <v>138</v>
      </c>
      <c r="CO1390" s="23">
        <v>1.97</v>
      </c>
      <c r="CP1390" s="24">
        <v>99</v>
      </c>
      <c r="CQ1390" s="23">
        <v>-0.01</v>
      </c>
      <c r="CR1390" s="23">
        <v>-0.54</v>
      </c>
      <c r="CS1390" s="23">
        <v>3.67</v>
      </c>
      <c r="CT1390" s="24">
        <v>100</v>
      </c>
      <c r="CU1390" s="23">
        <v>0.27</v>
      </c>
      <c r="CV1390" s="24">
        <v>86</v>
      </c>
      <c r="CW1390" s="23">
        <v>7.34</v>
      </c>
      <c r="CX1390" s="24">
        <v>98</v>
      </c>
      <c r="CY1390" s="23">
        <v>0</v>
      </c>
      <c r="CZ1390" s="24">
        <v>25</v>
      </c>
      <c r="DA1390" s="23">
        <v>0.54</v>
      </c>
      <c r="DB1390" s="24">
        <v>95</v>
      </c>
      <c r="DC1390" s="25">
        <v>2.06</v>
      </c>
      <c r="DD1390" s="24">
        <v>68</v>
      </c>
      <c r="DE1390" s="25">
        <v>-0.19</v>
      </c>
      <c r="DF1390" s="23">
        <v>-8.35</v>
      </c>
      <c r="DG1390" s="25">
        <v>3.62</v>
      </c>
      <c r="DH1390" s="24">
        <v>78</v>
      </c>
      <c r="DI1390" s="25">
        <v>0.51</v>
      </c>
      <c r="DJ1390" s="24">
        <v>37</v>
      </c>
      <c r="DK1390" s="25">
        <v>5.99</v>
      </c>
      <c r="DL1390" s="24">
        <v>81</v>
      </c>
      <c r="DM1390" s="25">
        <v>1.24</v>
      </c>
      <c r="DN1390" s="24">
        <v>55</v>
      </c>
      <c r="DO1390" s="25">
        <v>0.94</v>
      </c>
      <c r="DP1390" s="24">
        <v>49</v>
      </c>
      <c r="DQ1390" s="24">
        <v>1993</v>
      </c>
      <c r="DR1390" s="26">
        <v>185</v>
      </c>
      <c r="DS1390" s="23">
        <v>10.23</v>
      </c>
      <c r="DT1390" s="24">
        <v>36</v>
      </c>
      <c r="DU1390" s="26">
        <v>0</v>
      </c>
      <c r="DV1390" s="23">
        <v>0</v>
      </c>
      <c r="DW1390" s="24">
        <v>333</v>
      </c>
      <c r="DX1390" s="27">
        <v>2</v>
      </c>
      <c r="DY1390" s="23">
        <v>0.6</v>
      </c>
      <c r="DZ1390" s="15" t="s">
        <v>178</v>
      </c>
      <c r="EA1390" s="22">
        <v>43493</v>
      </c>
      <c r="EB1390" s="17">
        <v>37.1</v>
      </c>
      <c r="EC1390" s="22">
        <v>43270</v>
      </c>
      <c r="ED1390" s="15" t="s">
        <v>205</v>
      </c>
      <c r="EE1390" s="14" t="str">
        <f>HYPERLINK("https://my.pitchbook.com?c=168367-33", "View company online")</f>
        <v>View company online</v>
      </c>
    </row>
    <row r="1391" spans="1:135">
      <c r="A1391" s="28" t="s">
        <v>26778</v>
      </c>
      <c r="B1391" s="28" t="s">
        <v>26779</v>
      </c>
      <c r="C1391" s="28" t="s">
        <v>138</v>
      </c>
      <c r="D1391" s="28" t="s">
        <v>26780</v>
      </c>
      <c r="E1391" s="28" t="s">
        <v>138</v>
      </c>
      <c r="F1391" s="28" t="s">
        <v>26778</v>
      </c>
      <c r="G1391" s="28" t="s">
        <v>26781</v>
      </c>
      <c r="H1391" s="28" t="s">
        <v>322</v>
      </c>
      <c r="I1391" s="28" t="s">
        <v>807</v>
      </c>
      <c r="J1391" s="28" t="s">
        <v>2534</v>
      </c>
      <c r="K1391" s="28" t="s">
        <v>26782</v>
      </c>
      <c r="L1391" s="28" t="s">
        <v>26783</v>
      </c>
      <c r="M1391" s="28" t="s">
        <v>26784</v>
      </c>
      <c r="N1391" s="28" t="s">
        <v>147</v>
      </c>
      <c r="O1391" s="29">
        <v>9.5500000000000007</v>
      </c>
      <c r="P1391" s="28" t="s">
        <v>148</v>
      </c>
      <c r="Q1391" s="28" t="s">
        <v>149</v>
      </c>
      <c r="R1391" s="28" t="s">
        <v>174</v>
      </c>
      <c r="S1391" s="28" t="s">
        <v>26785</v>
      </c>
      <c r="T1391" s="30">
        <v>2</v>
      </c>
      <c r="U1391" s="28" t="s">
        <v>12834</v>
      </c>
      <c r="V1391" s="28" t="s">
        <v>138</v>
      </c>
      <c r="W1391" s="28" t="s">
        <v>138</v>
      </c>
      <c r="X1391" s="31" t="s">
        <v>138</v>
      </c>
      <c r="Y1391" s="28" t="s">
        <v>138</v>
      </c>
      <c r="Z1391" s="28" t="s">
        <v>138</v>
      </c>
      <c r="AA1391" s="28" t="s">
        <v>138</v>
      </c>
      <c r="AB1391" s="32" t="s">
        <v>138</v>
      </c>
      <c r="AC1391" s="32" t="s">
        <v>138</v>
      </c>
      <c r="AD1391" s="32" t="s">
        <v>138</v>
      </c>
      <c r="AE1391" s="32" t="s">
        <v>138</v>
      </c>
      <c r="AF1391" s="32" t="s">
        <v>138</v>
      </c>
      <c r="AG1391" s="28" t="s">
        <v>138</v>
      </c>
      <c r="AH1391" s="32" t="s">
        <v>138</v>
      </c>
      <c r="AI1391" s="32" t="s">
        <v>138</v>
      </c>
      <c r="AJ1391" s="32" t="s">
        <v>138</v>
      </c>
      <c r="AK1391" s="28" t="s">
        <v>26786</v>
      </c>
      <c r="AL1391" s="28" t="s">
        <v>26787</v>
      </c>
      <c r="AM1391" s="28" t="s">
        <v>26788</v>
      </c>
      <c r="AN1391" s="28" t="s">
        <v>26789</v>
      </c>
      <c r="AO1391" s="28" t="s">
        <v>26790</v>
      </c>
      <c r="AP1391" s="28" t="s">
        <v>3839</v>
      </c>
      <c r="AQ1391" s="28" t="s">
        <v>26791</v>
      </c>
      <c r="AR1391" s="28" t="s">
        <v>26792</v>
      </c>
      <c r="AS1391" s="28" t="s">
        <v>3841</v>
      </c>
      <c r="AT1391" s="28" t="s">
        <v>200</v>
      </c>
      <c r="AU1391" s="28" t="s">
        <v>3842</v>
      </c>
      <c r="AV1391" s="28" t="s">
        <v>162</v>
      </c>
      <c r="AW1391" s="28" t="s">
        <v>26790</v>
      </c>
      <c r="AX1391" s="28" t="s">
        <v>138</v>
      </c>
      <c r="AY1391" s="28" t="s">
        <v>26793</v>
      </c>
      <c r="AZ1391" s="28" t="s">
        <v>164</v>
      </c>
      <c r="BA1391" s="28" t="s">
        <v>165</v>
      </c>
      <c r="BB1391" s="28" t="s">
        <v>26794</v>
      </c>
      <c r="BC1391" s="28" t="s">
        <v>26795</v>
      </c>
      <c r="BD1391" s="33">
        <v>6</v>
      </c>
      <c r="BE1391" s="28" t="s">
        <v>138</v>
      </c>
      <c r="BF1391" s="28" t="s">
        <v>138</v>
      </c>
      <c r="BG1391" s="28" t="s">
        <v>138</v>
      </c>
      <c r="BH1391" s="28" t="s">
        <v>26796</v>
      </c>
      <c r="BI1391" s="28" t="s">
        <v>138</v>
      </c>
      <c r="BJ1391" s="28" t="s">
        <v>138</v>
      </c>
      <c r="BK1391" s="28" t="s">
        <v>6434</v>
      </c>
      <c r="BL1391" s="28" t="s">
        <v>138</v>
      </c>
      <c r="BM1391" s="34">
        <v>39814</v>
      </c>
      <c r="BN1391" s="29">
        <v>10</v>
      </c>
      <c r="BO1391" s="28" t="s">
        <v>172</v>
      </c>
      <c r="BP1391" s="29" t="s">
        <v>138</v>
      </c>
      <c r="BQ1391" s="28" t="s">
        <v>138</v>
      </c>
      <c r="BR1391" s="28" t="s">
        <v>176</v>
      </c>
      <c r="BS1391" s="28" t="s">
        <v>138</v>
      </c>
      <c r="BT1391" s="28" t="s">
        <v>138</v>
      </c>
      <c r="BU1391" s="28" t="s">
        <v>177</v>
      </c>
      <c r="BV1391" s="28" t="s">
        <v>138</v>
      </c>
      <c r="BW1391" s="28" t="s">
        <v>138</v>
      </c>
      <c r="BX1391" s="28" t="s">
        <v>138</v>
      </c>
      <c r="BY1391" s="28" t="s">
        <v>175</v>
      </c>
      <c r="BZ1391" s="34">
        <v>42829</v>
      </c>
      <c r="CA1391" s="29">
        <v>8</v>
      </c>
      <c r="CB1391" s="28" t="s">
        <v>172</v>
      </c>
      <c r="CC1391" s="29">
        <v>24</v>
      </c>
      <c r="CD1391" s="28" t="s">
        <v>172</v>
      </c>
      <c r="CE1391" s="28" t="s">
        <v>205</v>
      </c>
      <c r="CF1391" s="28" t="s">
        <v>720</v>
      </c>
      <c r="CG1391" s="28" t="s">
        <v>138</v>
      </c>
      <c r="CH1391" s="28" t="s">
        <v>174</v>
      </c>
      <c r="CI1391" s="28" t="s">
        <v>138</v>
      </c>
      <c r="CJ1391" s="28" t="s">
        <v>138</v>
      </c>
      <c r="CK1391" s="28" t="s">
        <v>138</v>
      </c>
      <c r="CL1391" s="28" t="s">
        <v>175</v>
      </c>
      <c r="CM1391" s="34" t="s">
        <v>138</v>
      </c>
      <c r="CN1391" s="29" t="s">
        <v>138</v>
      </c>
      <c r="CO1391" s="35">
        <v>0.12</v>
      </c>
      <c r="CP1391" s="36">
        <v>91</v>
      </c>
      <c r="CQ1391" s="35">
        <v>0.06</v>
      </c>
      <c r="CR1391" s="35">
        <v>99.01</v>
      </c>
      <c r="CS1391" s="35">
        <v>0</v>
      </c>
      <c r="CT1391" s="36">
        <v>23</v>
      </c>
      <c r="CU1391" s="35">
        <v>0.25</v>
      </c>
      <c r="CV1391" s="36">
        <v>84</v>
      </c>
      <c r="CW1391" s="35">
        <v>0</v>
      </c>
      <c r="CX1391" s="36">
        <v>13</v>
      </c>
      <c r="CY1391" s="35" t="s">
        <v>138</v>
      </c>
      <c r="CZ1391" s="36" t="s">
        <v>138</v>
      </c>
      <c r="DA1391" s="35">
        <v>0.25</v>
      </c>
      <c r="DB1391" s="36">
        <v>86</v>
      </c>
      <c r="DC1391" s="37">
        <v>0.46</v>
      </c>
      <c r="DD1391" s="36">
        <v>32</v>
      </c>
      <c r="DE1391" s="37">
        <v>-0.04</v>
      </c>
      <c r="DF1391" s="35">
        <v>-7.74</v>
      </c>
      <c r="DG1391" s="37">
        <v>0.64</v>
      </c>
      <c r="DH1391" s="36">
        <v>40</v>
      </c>
      <c r="DI1391" s="37">
        <v>0.28000000000000003</v>
      </c>
      <c r="DJ1391" s="36">
        <v>27</v>
      </c>
      <c r="DK1391" s="37">
        <v>0.64</v>
      </c>
      <c r="DL1391" s="36">
        <v>40</v>
      </c>
      <c r="DM1391" s="37" t="s">
        <v>138</v>
      </c>
      <c r="DN1391" s="36" t="s">
        <v>138</v>
      </c>
      <c r="DO1391" s="37">
        <v>0.28000000000000003</v>
      </c>
      <c r="DP1391" s="36">
        <v>29</v>
      </c>
      <c r="DQ1391" s="36">
        <v>212</v>
      </c>
      <c r="DR1391" s="38">
        <v>15</v>
      </c>
      <c r="DS1391" s="35">
        <v>7.61</v>
      </c>
      <c r="DT1391" s="36" t="s">
        <v>138</v>
      </c>
      <c r="DU1391" s="38" t="s">
        <v>138</v>
      </c>
      <c r="DV1391" s="35" t="s">
        <v>138</v>
      </c>
      <c r="DW1391" s="36">
        <v>102</v>
      </c>
      <c r="DX1391" s="39">
        <v>1</v>
      </c>
      <c r="DY1391" s="35">
        <v>0.99</v>
      </c>
      <c r="DZ1391" s="28" t="s">
        <v>178</v>
      </c>
      <c r="EA1391" s="34">
        <v>43584</v>
      </c>
      <c r="EB1391" s="29">
        <v>24</v>
      </c>
      <c r="EC1391" s="34">
        <v>42829</v>
      </c>
      <c r="ED1391" s="28" t="s">
        <v>205</v>
      </c>
      <c r="EE1391" s="40" t="str">
        <f>HYPERLINK("https://my.pitchbook.com?c=149617-18", "View company online")</f>
        <v>View company online</v>
      </c>
    </row>
    <row r="1392" spans="1:135">
      <c r="A1392" s="15" t="s">
        <v>26797</v>
      </c>
      <c r="B1392" s="15" t="s">
        <v>26798</v>
      </c>
      <c r="C1392" s="15" t="s">
        <v>138</v>
      </c>
      <c r="D1392" s="15" t="s">
        <v>138</v>
      </c>
      <c r="E1392" s="15" t="s">
        <v>26799</v>
      </c>
      <c r="F1392" s="15" t="s">
        <v>26797</v>
      </c>
      <c r="G1392" s="15" t="s">
        <v>26800</v>
      </c>
      <c r="H1392" s="15" t="s">
        <v>322</v>
      </c>
      <c r="I1392" s="15" t="s">
        <v>323</v>
      </c>
      <c r="J1392" s="15" t="s">
        <v>1084</v>
      </c>
      <c r="K1392" s="15" t="s">
        <v>26801</v>
      </c>
      <c r="L1392" s="15" t="s">
        <v>26802</v>
      </c>
      <c r="M1392" s="15" t="s">
        <v>26803</v>
      </c>
      <c r="N1392" s="15" t="s">
        <v>147</v>
      </c>
      <c r="O1392" s="17">
        <v>1557.9</v>
      </c>
      <c r="P1392" s="15" t="s">
        <v>148</v>
      </c>
      <c r="Q1392" s="15" t="s">
        <v>149</v>
      </c>
      <c r="R1392" s="15" t="s">
        <v>244</v>
      </c>
      <c r="S1392" s="15" t="s">
        <v>26804</v>
      </c>
      <c r="T1392" s="18">
        <v>400</v>
      </c>
      <c r="U1392" s="15" t="s">
        <v>26805</v>
      </c>
      <c r="V1392" s="15" t="s">
        <v>138</v>
      </c>
      <c r="W1392" s="15" t="s">
        <v>138</v>
      </c>
      <c r="X1392" s="19">
        <v>2016</v>
      </c>
      <c r="Y1392" s="15" t="s">
        <v>138</v>
      </c>
      <c r="Z1392" s="15" t="s">
        <v>138</v>
      </c>
      <c r="AA1392" s="15" t="s">
        <v>138</v>
      </c>
      <c r="AB1392" s="20" t="s">
        <v>138</v>
      </c>
      <c r="AC1392" s="20" t="s">
        <v>138</v>
      </c>
      <c r="AD1392" s="20" t="s">
        <v>138</v>
      </c>
      <c r="AE1392" s="20" t="s">
        <v>138</v>
      </c>
      <c r="AF1392" s="20" t="s">
        <v>138</v>
      </c>
      <c r="AG1392" s="15" t="s">
        <v>138</v>
      </c>
      <c r="AH1392" s="20" t="s">
        <v>138</v>
      </c>
      <c r="AI1392" s="20" t="s">
        <v>138</v>
      </c>
      <c r="AJ1392" s="20" t="s">
        <v>138</v>
      </c>
      <c r="AK1392" s="15" t="s">
        <v>26806</v>
      </c>
      <c r="AL1392" s="15" t="s">
        <v>26807</v>
      </c>
      <c r="AM1392" s="15" t="s">
        <v>5401</v>
      </c>
      <c r="AN1392" s="15" t="s">
        <v>26808</v>
      </c>
      <c r="AO1392" s="15" t="s">
        <v>26809</v>
      </c>
      <c r="AP1392" s="15" t="s">
        <v>4898</v>
      </c>
      <c r="AQ1392" s="15" t="s">
        <v>26810</v>
      </c>
      <c r="AR1392" s="15" t="s">
        <v>713</v>
      </c>
      <c r="AS1392" s="15" t="s">
        <v>4900</v>
      </c>
      <c r="AT1392" s="15" t="s">
        <v>200</v>
      </c>
      <c r="AU1392" s="15" t="s">
        <v>10934</v>
      </c>
      <c r="AV1392" s="15" t="s">
        <v>162</v>
      </c>
      <c r="AW1392" s="15" t="s">
        <v>26811</v>
      </c>
      <c r="AX1392" s="15" t="s">
        <v>138</v>
      </c>
      <c r="AY1392" s="15" t="s">
        <v>138</v>
      </c>
      <c r="AZ1392" s="15" t="s">
        <v>164</v>
      </c>
      <c r="BA1392" s="15" t="s">
        <v>165</v>
      </c>
      <c r="BB1392" s="15" t="s">
        <v>26812</v>
      </c>
      <c r="BC1392" s="15" t="s">
        <v>26813</v>
      </c>
      <c r="BD1392" s="21">
        <v>31</v>
      </c>
      <c r="BE1392" s="15" t="s">
        <v>138</v>
      </c>
      <c r="BF1392" s="15" t="s">
        <v>138</v>
      </c>
      <c r="BG1392" s="15" t="s">
        <v>138</v>
      </c>
      <c r="BH1392" s="15" t="s">
        <v>26814</v>
      </c>
      <c r="BI1392" s="15" t="s">
        <v>138</v>
      </c>
      <c r="BJ1392" s="15" t="s">
        <v>138</v>
      </c>
      <c r="BK1392" s="15" t="s">
        <v>26815</v>
      </c>
      <c r="BL1392" s="15" t="s">
        <v>26816</v>
      </c>
      <c r="BM1392" s="22">
        <v>42632</v>
      </c>
      <c r="BN1392" s="17">
        <v>16</v>
      </c>
      <c r="BO1392" s="15" t="s">
        <v>172</v>
      </c>
      <c r="BP1392" s="17">
        <v>58</v>
      </c>
      <c r="BQ1392" s="15" t="s">
        <v>172</v>
      </c>
      <c r="BR1392" s="15" t="s">
        <v>234</v>
      </c>
      <c r="BS1392" s="15" t="s">
        <v>234</v>
      </c>
      <c r="BT1392" s="15" t="s">
        <v>138</v>
      </c>
      <c r="BU1392" s="15" t="s">
        <v>174</v>
      </c>
      <c r="BV1392" s="15" t="s">
        <v>138</v>
      </c>
      <c r="BW1392" s="15" t="s">
        <v>138</v>
      </c>
      <c r="BX1392" s="15" t="s">
        <v>138</v>
      </c>
      <c r="BY1392" s="15" t="s">
        <v>175</v>
      </c>
      <c r="BZ1392" s="22">
        <v>43482</v>
      </c>
      <c r="CA1392" s="17">
        <v>50</v>
      </c>
      <c r="CB1392" s="15" t="s">
        <v>172</v>
      </c>
      <c r="CC1392" s="17" t="s">
        <v>138</v>
      </c>
      <c r="CD1392" s="15" t="s">
        <v>138</v>
      </c>
      <c r="CE1392" s="15" t="s">
        <v>1326</v>
      </c>
      <c r="CF1392" s="15" t="s">
        <v>138</v>
      </c>
      <c r="CG1392" s="15" t="s">
        <v>138</v>
      </c>
      <c r="CH1392" s="15" t="s">
        <v>1327</v>
      </c>
      <c r="CI1392" s="15" t="s">
        <v>1397</v>
      </c>
      <c r="CJ1392" s="15" t="s">
        <v>138</v>
      </c>
      <c r="CK1392" s="15" t="s">
        <v>138</v>
      </c>
      <c r="CL1392" s="15" t="s">
        <v>175</v>
      </c>
      <c r="CM1392" s="22">
        <v>43482</v>
      </c>
      <c r="CN1392" s="17">
        <v>50</v>
      </c>
      <c r="CO1392" s="23">
        <v>1.75</v>
      </c>
      <c r="CP1392" s="24">
        <v>99</v>
      </c>
      <c r="CQ1392" s="23">
        <v>-0.11</v>
      </c>
      <c r="CR1392" s="23">
        <v>-5.97</v>
      </c>
      <c r="CS1392" s="23">
        <v>1.91</v>
      </c>
      <c r="CT1392" s="24">
        <v>98</v>
      </c>
      <c r="CU1392" s="23">
        <v>1.58</v>
      </c>
      <c r="CV1392" s="24">
        <v>99</v>
      </c>
      <c r="CW1392" s="23">
        <v>3.91</v>
      </c>
      <c r="CX1392" s="24">
        <v>93</v>
      </c>
      <c r="CY1392" s="23">
        <v>-0.09</v>
      </c>
      <c r="CZ1392" s="24">
        <v>24</v>
      </c>
      <c r="DA1392" s="23">
        <v>2.59</v>
      </c>
      <c r="DB1392" s="24">
        <v>100</v>
      </c>
      <c r="DC1392" s="25">
        <v>67.709999999999994</v>
      </c>
      <c r="DD1392" s="24">
        <v>99</v>
      </c>
      <c r="DE1392" s="25">
        <v>-7.35</v>
      </c>
      <c r="DF1392" s="23">
        <v>-9.8000000000000007</v>
      </c>
      <c r="DG1392" s="25">
        <v>123.72</v>
      </c>
      <c r="DH1392" s="24">
        <v>100</v>
      </c>
      <c r="DI1392" s="25">
        <v>11.7</v>
      </c>
      <c r="DJ1392" s="24">
        <v>87</v>
      </c>
      <c r="DK1392" s="25">
        <v>229.19</v>
      </c>
      <c r="DL1392" s="24">
        <v>99</v>
      </c>
      <c r="DM1392" s="25">
        <v>18.239999999999998</v>
      </c>
      <c r="DN1392" s="24">
        <v>94</v>
      </c>
      <c r="DO1392" s="25">
        <v>4.83</v>
      </c>
      <c r="DP1392" s="24">
        <v>79</v>
      </c>
      <c r="DQ1392" s="24">
        <v>78178</v>
      </c>
      <c r="DR1392" s="26">
        <v>1300</v>
      </c>
      <c r="DS1392" s="23">
        <v>1.69</v>
      </c>
      <c r="DT1392" s="24">
        <v>529</v>
      </c>
      <c r="DU1392" s="26">
        <v>1</v>
      </c>
      <c r="DV1392" s="23">
        <v>0.19</v>
      </c>
      <c r="DW1392" s="24">
        <v>1725</v>
      </c>
      <c r="DX1392" s="27">
        <v>1</v>
      </c>
      <c r="DY1392" s="23">
        <v>0.06</v>
      </c>
      <c r="DZ1392" s="15" t="s">
        <v>178</v>
      </c>
      <c r="EA1392" s="22">
        <v>43602</v>
      </c>
      <c r="EB1392" s="17">
        <v>1196</v>
      </c>
      <c r="EC1392" s="22">
        <v>43451</v>
      </c>
      <c r="ED1392" s="15" t="s">
        <v>205</v>
      </c>
      <c r="EE1392" s="14" t="str">
        <f>HYPERLINK("https://my.pitchbook.com?c=168773-32", "View company online")</f>
        <v>View company online</v>
      </c>
    </row>
    <row r="1393" spans="1:135">
      <c r="A1393" s="28" t="s">
        <v>26817</v>
      </c>
      <c r="B1393" s="28" t="s">
        <v>26818</v>
      </c>
      <c r="C1393" s="28" t="s">
        <v>138</v>
      </c>
      <c r="D1393" s="28" t="s">
        <v>138</v>
      </c>
      <c r="E1393" s="28" t="s">
        <v>26819</v>
      </c>
      <c r="F1393" s="28" t="s">
        <v>26817</v>
      </c>
      <c r="G1393" s="28" t="s">
        <v>26820</v>
      </c>
      <c r="H1393" s="28" t="s">
        <v>322</v>
      </c>
      <c r="I1393" s="28" t="s">
        <v>323</v>
      </c>
      <c r="J1393" s="28" t="s">
        <v>1184</v>
      </c>
      <c r="K1393" s="28" t="s">
        <v>6678</v>
      </c>
      <c r="L1393" s="28" t="s">
        <v>415</v>
      </c>
      <c r="M1393" s="28" t="s">
        <v>26821</v>
      </c>
      <c r="N1393" s="28" t="s">
        <v>147</v>
      </c>
      <c r="O1393" s="29" t="s">
        <v>138</v>
      </c>
      <c r="P1393" s="28" t="s">
        <v>148</v>
      </c>
      <c r="Q1393" s="28" t="s">
        <v>149</v>
      </c>
      <c r="R1393" s="28" t="s">
        <v>174</v>
      </c>
      <c r="S1393" s="28" t="s">
        <v>26822</v>
      </c>
      <c r="T1393" s="30">
        <v>100</v>
      </c>
      <c r="U1393" s="28" t="s">
        <v>26823</v>
      </c>
      <c r="V1393" s="28" t="s">
        <v>138</v>
      </c>
      <c r="W1393" s="28" t="s">
        <v>138</v>
      </c>
      <c r="X1393" s="31">
        <v>1998</v>
      </c>
      <c r="Y1393" s="28" t="s">
        <v>138</v>
      </c>
      <c r="Z1393" s="28" t="s">
        <v>138</v>
      </c>
      <c r="AA1393" s="28" t="s">
        <v>138</v>
      </c>
      <c r="AB1393" s="32" t="s">
        <v>138</v>
      </c>
      <c r="AC1393" s="32" t="s">
        <v>138</v>
      </c>
      <c r="AD1393" s="32" t="s">
        <v>138</v>
      </c>
      <c r="AE1393" s="32" t="s">
        <v>138</v>
      </c>
      <c r="AF1393" s="32" t="s">
        <v>138</v>
      </c>
      <c r="AG1393" s="28" t="s">
        <v>138</v>
      </c>
      <c r="AH1393" s="32" t="s">
        <v>138</v>
      </c>
      <c r="AI1393" s="32" t="s">
        <v>138</v>
      </c>
      <c r="AJ1393" s="32" t="s">
        <v>138</v>
      </c>
      <c r="AK1393" s="28" t="s">
        <v>26824</v>
      </c>
      <c r="AL1393" s="28" t="s">
        <v>26825</v>
      </c>
      <c r="AM1393" s="28" t="s">
        <v>15705</v>
      </c>
      <c r="AN1393" s="28" t="s">
        <v>26826</v>
      </c>
      <c r="AO1393" s="28" t="s">
        <v>26827</v>
      </c>
      <c r="AP1393" s="28" t="s">
        <v>22869</v>
      </c>
      <c r="AQ1393" s="28" t="s">
        <v>26828</v>
      </c>
      <c r="AR1393" s="28" t="s">
        <v>138</v>
      </c>
      <c r="AS1393" s="28" t="s">
        <v>22871</v>
      </c>
      <c r="AT1393" s="28" t="s">
        <v>138</v>
      </c>
      <c r="AU1393" s="28" t="s">
        <v>22872</v>
      </c>
      <c r="AV1393" s="28" t="s">
        <v>946</v>
      </c>
      <c r="AW1393" s="28" t="s">
        <v>26829</v>
      </c>
      <c r="AX1393" s="28" t="s">
        <v>26830</v>
      </c>
      <c r="AY1393" s="28" t="s">
        <v>26831</v>
      </c>
      <c r="AZ1393" s="28" t="s">
        <v>530</v>
      </c>
      <c r="BA1393" s="28" t="s">
        <v>531</v>
      </c>
      <c r="BB1393" s="28" t="s">
        <v>26832</v>
      </c>
      <c r="BC1393" s="28" t="s">
        <v>26833</v>
      </c>
      <c r="BD1393" s="33">
        <v>2</v>
      </c>
      <c r="BE1393" s="28" t="s">
        <v>138</v>
      </c>
      <c r="BF1393" s="28" t="s">
        <v>138</v>
      </c>
      <c r="BG1393" s="28" t="s">
        <v>138</v>
      </c>
      <c r="BH1393" s="28" t="s">
        <v>26834</v>
      </c>
      <c r="BI1393" s="28" t="s">
        <v>138</v>
      </c>
      <c r="BJ1393" s="28" t="s">
        <v>138</v>
      </c>
      <c r="BK1393" s="28" t="s">
        <v>138</v>
      </c>
      <c r="BL1393" s="28" t="s">
        <v>26835</v>
      </c>
      <c r="BM1393" s="34">
        <v>38718</v>
      </c>
      <c r="BN1393" s="29" t="s">
        <v>138</v>
      </c>
      <c r="BO1393" s="28" t="s">
        <v>138</v>
      </c>
      <c r="BP1393" s="29" t="s">
        <v>138</v>
      </c>
      <c r="BQ1393" s="28" t="s">
        <v>138</v>
      </c>
      <c r="BR1393" s="28" t="s">
        <v>173</v>
      </c>
      <c r="BS1393" s="28" t="s">
        <v>138</v>
      </c>
      <c r="BT1393" s="28" t="s">
        <v>138</v>
      </c>
      <c r="BU1393" s="28" t="s">
        <v>174</v>
      </c>
      <c r="BV1393" s="28" t="s">
        <v>138</v>
      </c>
      <c r="BW1393" s="28" t="s">
        <v>138</v>
      </c>
      <c r="BX1393" s="28" t="s">
        <v>138</v>
      </c>
      <c r="BY1393" s="28" t="s">
        <v>175</v>
      </c>
      <c r="BZ1393" s="34">
        <v>38718</v>
      </c>
      <c r="CA1393" s="29" t="s">
        <v>138</v>
      </c>
      <c r="CB1393" s="28" t="s">
        <v>138</v>
      </c>
      <c r="CC1393" s="29" t="s">
        <v>138</v>
      </c>
      <c r="CD1393" s="28" t="s">
        <v>138</v>
      </c>
      <c r="CE1393" s="28" t="s">
        <v>173</v>
      </c>
      <c r="CF1393" s="28" t="s">
        <v>138</v>
      </c>
      <c r="CG1393" s="28" t="s">
        <v>138</v>
      </c>
      <c r="CH1393" s="28" t="s">
        <v>174</v>
      </c>
      <c r="CI1393" s="28" t="s">
        <v>138</v>
      </c>
      <c r="CJ1393" s="28" t="s">
        <v>138</v>
      </c>
      <c r="CK1393" s="28" t="s">
        <v>138</v>
      </c>
      <c r="CL1393" s="28" t="s">
        <v>175</v>
      </c>
      <c r="CM1393" s="34" t="s">
        <v>138</v>
      </c>
      <c r="CN1393" s="29" t="s">
        <v>138</v>
      </c>
      <c r="CO1393" s="35">
        <v>-1.1399999999999999</v>
      </c>
      <c r="CP1393" s="36">
        <v>10</v>
      </c>
      <c r="CQ1393" s="35">
        <v>-0.1</v>
      </c>
      <c r="CR1393" s="35">
        <v>-9.2799999999999994</v>
      </c>
      <c r="CS1393" s="35">
        <v>-2.2400000000000002</v>
      </c>
      <c r="CT1393" s="36">
        <v>8</v>
      </c>
      <c r="CU1393" s="35">
        <v>-0.04</v>
      </c>
      <c r="CV1393" s="36">
        <v>12</v>
      </c>
      <c r="CW1393" s="35" t="s">
        <v>138</v>
      </c>
      <c r="CX1393" s="36" t="s">
        <v>138</v>
      </c>
      <c r="CY1393" s="35">
        <v>-2.2400000000000002</v>
      </c>
      <c r="CZ1393" s="36">
        <v>10</v>
      </c>
      <c r="DA1393" s="35">
        <v>-0.04</v>
      </c>
      <c r="DB1393" s="36">
        <v>15</v>
      </c>
      <c r="DC1393" s="37">
        <v>4.3600000000000003</v>
      </c>
      <c r="DD1393" s="36">
        <v>81</v>
      </c>
      <c r="DE1393" s="37">
        <v>0.03</v>
      </c>
      <c r="DF1393" s="35">
        <v>0.62</v>
      </c>
      <c r="DG1393" s="37">
        <v>7.21</v>
      </c>
      <c r="DH1393" s="36">
        <v>86</v>
      </c>
      <c r="DI1393" s="37">
        <v>1.52</v>
      </c>
      <c r="DJ1393" s="36">
        <v>57</v>
      </c>
      <c r="DK1393" s="37" t="s">
        <v>138</v>
      </c>
      <c r="DL1393" s="36" t="s">
        <v>138</v>
      </c>
      <c r="DM1393" s="37">
        <v>7.21</v>
      </c>
      <c r="DN1393" s="36">
        <v>86</v>
      </c>
      <c r="DO1393" s="37">
        <v>1.52</v>
      </c>
      <c r="DP1393" s="36">
        <v>58</v>
      </c>
      <c r="DQ1393" s="36" t="s">
        <v>138</v>
      </c>
      <c r="DR1393" s="38" t="s">
        <v>138</v>
      </c>
      <c r="DS1393" s="35" t="s">
        <v>138</v>
      </c>
      <c r="DT1393" s="36">
        <v>208</v>
      </c>
      <c r="DU1393" s="38">
        <v>-1</v>
      </c>
      <c r="DV1393" s="35">
        <v>-0.48</v>
      </c>
      <c r="DW1393" s="36">
        <v>542</v>
      </c>
      <c r="DX1393" s="39">
        <v>2</v>
      </c>
      <c r="DY1393" s="35">
        <v>0.37</v>
      </c>
      <c r="DZ1393" s="28" t="s">
        <v>178</v>
      </c>
      <c r="EA1393" s="34">
        <v>43622</v>
      </c>
      <c r="EB1393" s="29" t="s">
        <v>138</v>
      </c>
      <c r="EC1393" s="34" t="s">
        <v>138</v>
      </c>
      <c r="ED1393" s="28" t="s">
        <v>138</v>
      </c>
      <c r="EE1393" s="40" t="str">
        <f>HYPERLINK("https://my.pitchbook.com?c=64306-99", "View company online")</f>
        <v>View company online</v>
      </c>
    </row>
    <row r="1394" spans="1:135">
      <c r="A1394" s="15" t="s">
        <v>26836</v>
      </c>
      <c r="B1394" s="15" t="s">
        <v>26837</v>
      </c>
      <c r="C1394" s="15" t="s">
        <v>138</v>
      </c>
      <c r="D1394" s="15" t="s">
        <v>138</v>
      </c>
      <c r="E1394" s="15" t="s">
        <v>138</v>
      </c>
      <c r="F1394" s="15" t="s">
        <v>26836</v>
      </c>
      <c r="G1394" s="15" t="s">
        <v>26838</v>
      </c>
      <c r="H1394" s="15" t="s">
        <v>322</v>
      </c>
      <c r="I1394" s="15" t="s">
        <v>1503</v>
      </c>
      <c r="J1394" s="15" t="s">
        <v>2377</v>
      </c>
      <c r="K1394" s="15" t="s">
        <v>2729</v>
      </c>
      <c r="L1394" s="15" t="s">
        <v>19165</v>
      </c>
      <c r="M1394" s="15" t="s">
        <v>26839</v>
      </c>
      <c r="N1394" s="15" t="s">
        <v>147</v>
      </c>
      <c r="O1394" s="17">
        <v>4.05</v>
      </c>
      <c r="P1394" s="15" t="s">
        <v>148</v>
      </c>
      <c r="Q1394" s="15" t="s">
        <v>149</v>
      </c>
      <c r="R1394" s="15" t="s">
        <v>174</v>
      </c>
      <c r="S1394" s="15" t="s">
        <v>26840</v>
      </c>
      <c r="T1394" s="18" t="s">
        <v>138</v>
      </c>
      <c r="U1394" s="15" t="s">
        <v>138</v>
      </c>
      <c r="V1394" s="15" t="s">
        <v>138</v>
      </c>
      <c r="W1394" s="15" t="s">
        <v>138</v>
      </c>
      <c r="X1394" s="19">
        <v>2015</v>
      </c>
      <c r="Y1394" s="15" t="s">
        <v>138</v>
      </c>
      <c r="Z1394" s="15" t="s">
        <v>138</v>
      </c>
      <c r="AA1394" s="15" t="s">
        <v>138</v>
      </c>
      <c r="AB1394" s="20" t="s">
        <v>138</v>
      </c>
      <c r="AC1394" s="20" t="s">
        <v>138</v>
      </c>
      <c r="AD1394" s="20" t="s">
        <v>138</v>
      </c>
      <c r="AE1394" s="20" t="s">
        <v>138</v>
      </c>
      <c r="AF1394" s="20" t="s">
        <v>138</v>
      </c>
      <c r="AG1394" s="15" t="s">
        <v>138</v>
      </c>
      <c r="AH1394" s="20" t="s">
        <v>138</v>
      </c>
      <c r="AI1394" s="20" t="s">
        <v>138</v>
      </c>
      <c r="AJ1394" s="20" t="s">
        <v>138</v>
      </c>
      <c r="AK1394" s="15" t="s">
        <v>26841</v>
      </c>
      <c r="AL1394" s="15" t="s">
        <v>26842</v>
      </c>
      <c r="AM1394" s="15" t="s">
        <v>221</v>
      </c>
      <c r="AN1394" s="15" t="s">
        <v>26843</v>
      </c>
      <c r="AO1394" s="15" t="s">
        <v>26844</v>
      </c>
      <c r="AP1394" s="15" t="s">
        <v>7215</v>
      </c>
      <c r="AQ1394" s="15" t="s">
        <v>26845</v>
      </c>
      <c r="AR1394" s="15" t="s">
        <v>1459</v>
      </c>
      <c r="AS1394" s="15" t="s">
        <v>7217</v>
      </c>
      <c r="AT1394" s="15" t="s">
        <v>200</v>
      </c>
      <c r="AU1394" s="15" t="s">
        <v>7218</v>
      </c>
      <c r="AV1394" s="15" t="s">
        <v>162</v>
      </c>
      <c r="AW1394" s="15" t="s">
        <v>26844</v>
      </c>
      <c r="AX1394" s="15" t="s">
        <v>138</v>
      </c>
      <c r="AY1394" s="15" t="s">
        <v>26846</v>
      </c>
      <c r="AZ1394" s="15" t="s">
        <v>164</v>
      </c>
      <c r="BA1394" s="15" t="s">
        <v>165</v>
      </c>
      <c r="BB1394" s="15" t="s">
        <v>26847</v>
      </c>
      <c r="BC1394" s="15" t="s">
        <v>26848</v>
      </c>
      <c r="BD1394" s="21">
        <v>8</v>
      </c>
      <c r="BE1394" s="15" t="s">
        <v>138</v>
      </c>
      <c r="BF1394" s="15" t="s">
        <v>138</v>
      </c>
      <c r="BG1394" s="15" t="s">
        <v>138</v>
      </c>
      <c r="BH1394" s="15" t="s">
        <v>26849</v>
      </c>
      <c r="BI1394" s="15" t="s">
        <v>138</v>
      </c>
      <c r="BJ1394" s="15" t="s">
        <v>138</v>
      </c>
      <c r="BK1394" s="15" t="s">
        <v>138</v>
      </c>
      <c r="BL1394" s="15" t="s">
        <v>138</v>
      </c>
      <c r="BM1394" s="22">
        <v>42736</v>
      </c>
      <c r="BN1394" s="17" t="s">
        <v>138</v>
      </c>
      <c r="BO1394" s="15" t="s">
        <v>138</v>
      </c>
      <c r="BP1394" s="17" t="s">
        <v>138</v>
      </c>
      <c r="BQ1394" s="15" t="s">
        <v>138</v>
      </c>
      <c r="BR1394" s="15" t="s">
        <v>316</v>
      </c>
      <c r="BS1394" s="15" t="s">
        <v>138</v>
      </c>
      <c r="BT1394" s="15" t="s">
        <v>138</v>
      </c>
      <c r="BU1394" s="15" t="s">
        <v>177</v>
      </c>
      <c r="BV1394" s="15" t="s">
        <v>138</v>
      </c>
      <c r="BW1394" s="15" t="s">
        <v>138</v>
      </c>
      <c r="BX1394" s="15" t="s">
        <v>138</v>
      </c>
      <c r="BY1394" s="15" t="s">
        <v>175</v>
      </c>
      <c r="BZ1394" s="22">
        <v>43250</v>
      </c>
      <c r="CA1394" s="17">
        <v>4.05</v>
      </c>
      <c r="CB1394" s="15" t="s">
        <v>172</v>
      </c>
      <c r="CC1394" s="17">
        <v>33.369999999999997</v>
      </c>
      <c r="CD1394" s="15" t="s">
        <v>172</v>
      </c>
      <c r="CE1394" s="15" t="s">
        <v>205</v>
      </c>
      <c r="CF1394" s="15" t="s">
        <v>206</v>
      </c>
      <c r="CG1394" s="15" t="s">
        <v>138</v>
      </c>
      <c r="CH1394" s="15" t="s">
        <v>174</v>
      </c>
      <c r="CI1394" s="15" t="s">
        <v>138</v>
      </c>
      <c r="CJ1394" s="15" t="s">
        <v>138</v>
      </c>
      <c r="CK1394" s="15" t="s">
        <v>138</v>
      </c>
      <c r="CL1394" s="15" t="s">
        <v>175</v>
      </c>
      <c r="CM1394" s="22" t="s">
        <v>138</v>
      </c>
      <c r="CN1394" s="17" t="s">
        <v>138</v>
      </c>
      <c r="CO1394" s="23" t="s">
        <v>138</v>
      </c>
      <c r="CP1394" s="24" t="s">
        <v>138</v>
      </c>
      <c r="CQ1394" s="23" t="s">
        <v>138</v>
      </c>
      <c r="CR1394" s="23" t="s">
        <v>138</v>
      </c>
      <c r="CS1394" s="23" t="s">
        <v>138</v>
      </c>
      <c r="CT1394" s="24" t="s">
        <v>138</v>
      </c>
      <c r="CU1394" s="23" t="s">
        <v>138</v>
      </c>
      <c r="CV1394" s="24" t="s">
        <v>138</v>
      </c>
      <c r="CW1394" s="23" t="s">
        <v>138</v>
      </c>
      <c r="CX1394" s="24" t="s">
        <v>138</v>
      </c>
      <c r="CY1394" s="23" t="s">
        <v>138</v>
      </c>
      <c r="CZ1394" s="24" t="s">
        <v>138</v>
      </c>
      <c r="DA1394" s="23" t="s">
        <v>138</v>
      </c>
      <c r="DB1394" s="24" t="s">
        <v>138</v>
      </c>
      <c r="DC1394" s="25" t="s">
        <v>138</v>
      </c>
      <c r="DD1394" s="24" t="s">
        <v>138</v>
      </c>
      <c r="DE1394" s="25" t="s">
        <v>138</v>
      </c>
      <c r="DF1394" s="23" t="s">
        <v>138</v>
      </c>
      <c r="DG1394" s="25" t="s">
        <v>138</v>
      </c>
      <c r="DH1394" s="24" t="s">
        <v>138</v>
      </c>
      <c r="DI1394" s="25" t="s">
        <v>138</v>
      </c>
      <c r="DJ1394" s="24" t="s">
        <v>138</v>
      </c>
      <c r="DK1394" s="25" t="s">
        <v>138</v>
      </c>
      <c r="DL1394" s="24" t="s">
        <v>138</v>
      </c>
      <c r="DM1394" s="25" t="s">
        <v>138</v>
      </c>
      <c r="DN1394" s="24" t="s">
        <v>138</v>
      </c>
      <c r="DO1394" s="25" t="s">
        <v>138</v>
      </c>
      <c r="DP1394" s="24" t="s">
        <v>138</v>
      </c>
      <c r="DQ1394" s="24" t="s">
        <v>138</v>
      </c>
      <c r="DR1394" s="26" t="s">
        <v>138</v>
      </c>
      <c r="DS1394" s="23" t="s">
        <v>138</v>
      </c>
      <c r="DT1394" s="24" t="s">
        <v>138</v>
      </c>
      <c r="DU1394" s="26" t="s">
        <v>138</v>
      </c>
      <c r="DV1394" s="23" t="s">
        <v>138</v>
      </c>
      <c r="DW1394" s="24" t="s">
        <v>138</v>
      </c>
      <c r="DX1394" s="27" t="s">
        <v>138</v>
      </c>
      <c r="DY1394" s="23" t="s">
        <v>138</v>
      </c>
      <c r="DZ1394" s="15" t="s">
        <v>178</v>
      </c>
      <c r="EA1394" s="22">
        <v>43521</v>
      </c>
      <c r="EB1394" s="17">
        <v>33.369999999999997</v>
      </c>
      <c r="EC1394" s="22">
        <v>43250</v>
      </c>
      <c r="ED1394" s="15" t="s">
        <v>205</v>
      </c>
      <c r="EE1394" s="14" t="str">
        <f>HYPERLINK("https://my.pitchbook.com?c=171411-85", "View company online")</f>
        <v>View company online</v>
      </c>
    </row>
    <row r="1395" spans="1:135">
      <c r="A1395" s="28" t="s">
        <v>26850</v>
      </c>
      <c r="B1395" s="28" t="s">
        <v>26851</v>
      </c>
      <c r="C1395" s="28" t="s">
        <v>138</v>
      </c>
      <c r="D1395" s="28" t="s">
        <v>138</v>
      </c>
      <c r="E1395" s="28" t="s">
        <v>138</v>
      </c>
      <c r="F1395" s="28" t="s">
        <v>26850</v>
      </c>
      <c r="G1395" s="28" t="s">
        <v>26852</v>
      </c>
      <c r="H1395" s="28" t="s">
        <v>183</v>
      </c>
      <c r="I1395" s="28" t="s">
        <v>4681</v>
      </c>
      <c r="J1395" s="28" t="s">
        <v>12487</v>
      </c>
      <c r="K1395" s="28" t="s">
        <v>26853</v>
      </c>
      <c r="L1395" s="28" t="s">
        <v>138</v>
      </c>
      <c r="M1395" s="28" t="s">
        <v>26854</v>
      </c>
      <c r="N1395" s="28" t="s">
        <v>147</v>
      </c>
      <c r="O1395" s="29" t="s">
        <v>138</v>
      </c>
      <c r="P1395" s="28" t="s">
        <v>148</v>
      </c>
      <c r="Q1395" s="28" t="s">
        <v>149</v>
      </c>
      <c r="R1395" s="28" t="s">
        <v>174</v>
      </c>
      <c r="S1395" s="28" t="s">
        <v>26855</v>
      </c>
      <c r="T1395" s="30" t="s">
        <v>138</v>
      </c>
      <c r="U1395" s="28" t="s">
        <v>138</v>
      </c>
      <c r="V1395" s="28" t="s">
        <v>138</v>
      </c>
      <c r="W1395" s="28" t="s">
        <v>138</v>
      </c>
      <c r="X1395" s="31">
        <v>2010</v>
      </c>
      <c r="Y1395" s="28" t="s">
        <v>138</v>
      </c>
      <c r="Z1395" s="28" t="s">
        <v>138</v>
      </c>
      <c r="AA1395" s="28" t="s">
        <v>138</v>
      </c>
      <c r="AB1395" s="32" t="s">
        <v>138</v>
      </c>
      <c r="AC1395" s="32" t="s">
        <v>138</v>
      </c>
      <c r="AD1395" s="32" t="s">
        <v>138</v>
      </c>
      <c r="AE1395" s="32" t="s">
        <v>138</v>
      </c>
      <c r="AF1395" s="32" t="s">
        <v>138</v>
      </c>
      <c r="AG1395" s="28" t="s">
        <v>138</v>
      </c>
      <c r="AH1395" s="32" t="s">
        <v>138</v>
      </c>
      <c r="AI1395" s="32" t="s">
        <v>138</v>
      </c>
      <c r="AJ1395" s="32" t="s">
        <v>138</v>
      </c>
      <c r="AK1395" s="28" t="s">
        <v>26856</v>
      </c>
      <c r="AL1395" s="28" t="s">
        <v>26857</v>
      </c>
      <c r="AM1395" s="28" t="s">
        <v>221</v>
      </c>
      <c r="AN1395" s="28" t="s">
        <v>26858</v>
      </c>
      <c r="AO1395" s="28" t="s">
        <v>26859</v>
      </c>
      <c r="AP1395" s="28" t="s">
        <v>9682</v>
      </c>
      <c r="AQ1395" s="28" t="s">
        <v>26860</v>
      </c>
      <c r="AR1395" s="28" t="s">
        <v>138</v>
      </c>
      <c r="AS1395" s="28" t="s">
        <v>9684</v>
      </c>
      <c r="AT1395" s="28" t="s">
        <v>138</v>
      </c>
      <c r="AU1395" s="28" t="s">
        <v>9685</v>
      </c>
      <c r="AV1395" s="28" t="s">
        <v>9686</v>
      </c>
      <c r="AW1395" s="28" t="s">
        <v>26859</v>
      </c>
      <c r="AX1395" s="28" t="s">
        <v>138</v>
      </c>
      <c r="AY1395" s="28" t="s">
        <v>138</v>
      </c>
      <c r="AZ1395" s="28" t="s">
        <v>530</v>
      </c>
      <c r="BA1395" s="28" t="s">
        <v>9687</v>
      </c>
      <c r="BB1395" s="28" t="s">
        <v>26861</v>
      </c>
      <c r="BC1395" s="28" t="s">
        <v>26862</v>
      </c>
      <c r="BD1395" s="33">
        <v>4</v>
      </c>
      <c r="BE1395" s="28" t="s">
        <v>138</v>
      </c>
      <c r="BF1395" s="28" t="s">
        <v>138</v>
      </c>
      <c r="BG1395" s="28" t="s">
        <v>138</v>
      </c>
      <c r="BH1395" s="28" t="s">
        <v>26863</v>
      </c>
      <c r="BI1395" s="28" t="s">
        <v>138</v>
      </c>
      <c r="BJ1395" s="28" t="s">
        <v>138</v>
      </c>
      <c r="BK1395" s="28" t="s">
        <v>138</v>
      </c>
      <c r="BL1395" s="28" t="s">
        <v>138</v>
      </c>
      <c r="BM1395" s="34" t="s">
        <v>138</v>
      </c>
      <c r="BN1395" s="29" t="s">
        <v>138</v>
      </c>
      <c r="BO1395" s="28" t="s">
        <v>138</v>
      </c>
      <c r="BP1395" s="29" t="s">
        <v>138</v>
      </c>
      <c r="BQ1395" s="28" t="s">
        <v>138</v>
      </c>
      <c r="BR1395" s="28" t="s">
        <v>176</v>
      </c>
      <c r="BS1395" s="28" t="s">
        <v>138</v>
      </c>
      <c r="BT1395" s="28" t="s">
        <v>138</v>
      </c>
      <c r="BU1395" s="28" t="s">
        <v>177</v>
      </c>
      <c r="BV1395" s="28" t="s">
        <v>138</v>
      </c>
      <c r="BW1395" s="28" t="s">
        <v>138</v>
      </c>
      <c r="BX1395" s="28" t="s">
        <v>138</v>
      </c>
      <c r="BY1395" s="28" t="s">
        <v>175</v>
      </c>
      <c r="BZ1395" s="34" t="s">
        <v>138</v>
      </c>
      <c r="CA1395" s="29" t="s">
        <v>138</v>
      </c>
      <c r="CB1395" s="28" t="s">
        <v>138</v>
      </c>
      <c r="CC1395" s="29" t="s">
        <v>138</v>
      </c>
      <c r="CD1395" s="28" t="s">
        <v>138</v>
      </c>
      <c r="CE1395" s="28" t="s">
        <v>205</v>
      </c>
      <c r="CF1395" s="28" t="s">
        <v>138</v>
      </c>
      <c r="CG1395" s="28" t="s">
        <v>138</v>
      </c>
      <c r="CH1395" s="28" t="s">
        <v>174</v>
      </c>
      <c r="CI1395" s="28" t="s">
        <v>138</v>
      </c>
      <c r="CJ1395" s="28" t="s">
        <v>138</v>
      </c>
      <c r="CK1395" s="28" t="s">
        <v>138</v>
      </c>
      <c r="CL1395" s="28" t="s">
        <v>175</v>
      </c>
      <c r="CM1395" s="34" t="s">
        <v>138</v>
      </c>
      <c r="CN1395" s="29" t="s">
        <v>138</v>
      </c>
      <c r="CO1395" s="35">
        <v>0</v>
      </c>
      <c r="CP1395" s="36">
        <v>26</v>
      </c>
      <c r="CQ1395" s="35">
        <v>0</v>
      </c>
      <c r="CR1395" s="35">
        <v>0</v>
      </c>
      <c r="CS1395" s="35">
        <v>0</v>
      </c>
      <c r="CT1395" s="36">
        <v>23</v>
      </c>
      <c r="CU1395" s="35" t="s">
        <v>138</v>
      </c>
      <c r="CV1395" s="36" t="s">
        <v>138</v>
      </c>
      <c r="CW1395" s="35" t="s">
        <v>138</v>
      </c>
      <c r="CX1395" s="36" t="s">
        <v>138</v>
      </c>
      <c r="CY1395" s="35">
        <v>0</v>
      </c>
      <c r="CZ1395" s="36">
        <v>25</v>
      </c>
      <c r="DA1395" s="35" t="s">
        <v>138</v>
      </c>
      <c r="DB1395" s="36" t="s">
        <v>138</v>
      </c>
      <c r="DC1395" s="37">
        <v>0.41</v>
      </c>
      <c r="DD1395" s="36">
        <v>29</v>
      </c>
      <c r="DE1395" s="37">
        <v>0</v>
      </c>
      <c r="DF1395" s="35">
        <v>0</v>
      </c>
      <c r="DG1395" s="37">
        <v>0.41</v>
      </c>
      <c r="DH1395" s="36">
        <v>29</v>
      </c>
      <c r="DI1395" s="37" t="s">
        <v>138</v>
      </c>
      <c r="DJ1395" s="36" t="s">
        <v>138</v>
      </c>
      <c r="DK1395" s="37" t="s">
        <v>138</v>
      </c>
      <c r="DL1395" s="36" t="s">
        <v>138</v>
      </c>
      <c r="DM1395" s="37">
        <v>0.41</v>
      </c>
      <c r="DN1395" s="36">
        <v>30</v>
      </c>
      <c r="DO1395" s="37" t="s">
        <v>138</v>
      </c>
      <c r="DP1395" s="36" t="s">
        <v>138</v>
      </c>
      <c r="DQ1395" s="36" t="s">
        <v>138</v>
      </c>
      <c r="DR1395" s="38" t="s">
        <v>138</v>
      </c>
      <c r="DS1395" s="35" t="s">
        <v>138</v>
      </c>
      <c r="DT1395" s="36">
        <v>12</v>
      </c>
      <c r="DU1395" s="38">
        <v>1</v>
      </c>
      <c r="DV1395" s="35">
        <v>9.09</v>
      </c>
      <c r="DW1395" s="36" t="s">
        <v>138</v>
      </c>
      <c r="DX1395" s="39" t="s">
        <v>138</v>
      </c>
      <c r="DY1395" s="35" t="s">
        <v>138</v>
      </c>
      <c r="DZ1395" s="28" t="s">
        <v>178</v>
      </c>
      <c r="EA1395" s="34">
        <v>43622</v>
      </c>
      <c r="EB1395" s="29" t="s">
        <v>138</v>
      </c>
      <c r="EC1395" s="34" t="s">
        <v>138</v>
      </c>
      <c r="ED1395" s="28" t="s">
        <v>138</v>
      </c>
      <c r="EE1395" s="40" t="str">
        <f>HYPERLINK("https://my.pitchbook.com?c=56670-94", "View company online")</f>
        <v>View company online</v>
      </c>
    </row>
    <row r="1396" spans="1:135">
      <c r="A1396" s="15" t="s">
        <v>26864</v>
      </c>
      <c r="B1396" s="15" t="s">
        <v>26865</v>
      </c>
      <c r="C1396" s="15" t="s">
        <v>138</v>
      </c>
      <c r="D1396" s="15" t="s">
        <v>138</v>
      </c>
      <c r="E1396" s="15" t="s">
        <v>26866</v>
      </c>
      <c r="F1396" s="15" t="s">
        <v>26864</v>
      </c>
      <c r="G1396" s="15" t="s">
        <v>26867</v>
      </c>
      <c r="H1396" s="15" t="s">
        <v>322</v>
      </c>
      <c r="I1396" s="15" t="s">
        <v>323</v>
      </c>
      <c r="J1396" s="15" t="s">
        <v>413</v>
      </c>
      <c r="K1396" s="15" t="s">
        <v>9879</v>
      </c>
      <c r="L1396" s="15" t="s">
        <v>1544</v>
      </c>
      <c r="M1396" s="15" t="s">
        <v>26868</v>
      </c>
      <c r="N1396" s="15" t="s">
        <v>147</v>
      </c>
      <c r="O1396" s="17">
        <v>10.46</v>
      </c>
      <c r="P1396" s="15" t="s">
        <v>812</v>
      </c>
      <c r="Q1396" s="15" t="s">
        <v>149</v>
      </c>
      <c r="R1396" s="15" t="s">
        <v>1652</v>
      </c>
      <c r="S1396" s="15" t="s">
        <v>26869</v>
      </c>
      <c r="T1396" s="18">
        <v>19</v>
      </c>
      <c r="U1396" s="15" t="s">
        <v>26870</v>
      </c>
      <c r="V1396" s="15" t="s">
        <v>138</v>
      </c>
      <c r="W1396" s="15" t="s">
        <v>138</v>
      </c>
      <c r="X1396" s="19">
        <v>1999</v>
      </c>
      <c r="Y1396" s="15" t="s">
        <v>138</v>
      </c>
      <c r="Z1396" s="15" t="s">
        <v>138</v>
      </c>
      <c r="AA1396" s="15" t="s">
        <v>138</v>
      </c>
      <c r="AB1396" s="20">
        <v>5.92</v>
      </c>
      <c r="AC1396" s="20">
        <v>5.58</v>
      </c>
      <c r="AD1396" s="20">
        <v>0.96</v>
      </c>
      <c r="AE1396" s="20" t="s">
        <v>138</v>
      </c>
      <c r="AF1396" s="20">
        <v>2.64</v>
      </c>
      <c r="AG1396" s="15" t="s">
        <v>419</v>
      </c>
      <c r="AH1396" s="20" t="s">
        <v>138</v>
      </c>
      <c r="AI1396" s="20" t="s">
        <v>138</v>
      </c>
      <c r="AJ1396" s="20" t="s">
        <v>138</v>
      </c>
      <c r="AK1396" s="15" t="s">
        <v>26871</v>
      </c>
      <c r="AL1396" s="15" t="s">
        <v>26872</v>
      </c>
      <c r="AM1396" s="15" t="s">
        <v>26873</v>
      </c>
      <c r="AN1396" s="15" t="s">
        <v>26874</v>
      </c>
      <c r="AO1396" s="15" t="s">
        <v>26875</v>
      </c>
      <c r="AP1396" s="15" t="s">
        <v>26876</v>
      </c>
      <c r="AQ1396" s="15" t="s">
        <v>26877</v>
      </c>
      <c r="AR1396" s="15" t="s">
        <v>138</v>
      </c>
      <c r="AS1396" s="15" t="s">
        <v>26878</v>
      </c>
      <c r="AT1396" s="15" t="s">
        <v>138</v>
      </c>
      <c r="AU1396" s="15" t="s">
        <v>26879</v>
      </c>
      <c r="AV1396" s="15" t="s">
        <v>573</v>
      </c>
      <c r="AW1396" s="15" t="s">
        <v>26875</v>
      </c>
      <c r="AX1396" s="15" t="s">
        <v>138</v>
      </c>
      <c r="AY1396" s="15" t="s">
        <v>26880</v>
      </c>
      <c r="AZ1396" s="15" t="s">
        <v>530</v>
      </c>
      <c r="BA1396" s="15" t="s">
        <v>577</v>
      </c>
      <c r="BB1396" s="15" t="s">
        <v>5315</v>
      </c>
      <c r="BC1396" s="15" t="s">
        <v>26881</v>
      </c>
      <c r="BD1396" s="21">
        <v>5</v>
      </c>
      <c r="BE1396" s="15" t="s">
        <v>138</v>
      </c>
      <c r="BF1396" s="15" t="s">
        <v>26882</v>
      </c>
      <c r="BG1396" s="15" t="s">
        <v>138</v>
      </c>
      <c r="BH1396" s="15" t="s">
        <v>26883</v>
      </c>
      <c r="BI1396" s="15" t="s">
        <v>26884</v>
      </c>
      <c r="BJ1396" s="15" t="s">
        <v>138</v>
      </c>
      <c r="BK1396" s="15" t="s">
        <v>26885</v>
      </c>
      <c r="BL1396" s="15" t="s">
        <v>26886</v>
      </c>
      <c r="BM1396" s="22">
        <v>39204</v>
      </c>
      <c r="BN1396" s="17">
        <v>2.0299999999999998</v>
      </c>
      <c r="BO1396" s="15" t="s">
        <v>172</v>
      </c>
      <c r="BP1396" s="17" t="s">
        <v>138</v>
      </c>
      <c r="BQ1396" s="15" t="s">
        <v>138</v>
      </c>
      <c r="BR1396" s="15" t="s">
        <v>173</v>
      </c>
      <c r="BS1396" s="15" t="s">
        <v>138</v>
      </c>
      <c r="BT1396" s="15" t="s">
        <v>138</v>
      </c>
      <c r="BU1396" s="15" t="s">
        <v>174</v>
      </c>
      <c r="BV1396" s="15" t="s">
        <v>138</v>
      </c>
      <c r="BW1396" s="15" t="s">
        <v>138</v>
      </c>
      <c r="BX1396" s="15" t="s">
        <v>138</v>
      </c>
      <c r="BY1396" s="15" t="s">
        <v>175</v>
      </c>
      <c r="BZ1396" s="22" t="s">
        <v>138</v>
      </c>
      <c r="CA1396" s="17" t="s">
        <v>138</v>
      </c>
      <c r="CB1396" s="15" t="s">
        <v>138</v>
      </c>
      <c r="CC1396" s="17" t="s">
        <v>138</v>
      </c>
      <c r="CD1396" s="15" t="s">
        <v>138</v>
      </c>
      <c r="CE1396" s="15" t="s">
        <v>3026</v>
      </c>
      <c r="CF1396" s="15" t="s">
        <v>138</v>
      </c>
      <c r="CG1396" s="15" t="s">
        <v>138</v>
      </c>
      <c r="CH1396" s="15" t="s">
        <v>1327</v>
      </c>
      <c r="CI1396" s="15" t="s">
        <v>138</v>
      </c>
      <c r="CJ1396" s="15" t="s">
        <v>138</v>
      </c>
      <c r="CK1396" s="15" t="s">
        <v>138</v>
      </c>
      <c r="CL1396" s="15" t="s">
        <v>175</v>
      </c>
      <c r="CM1396" s="22" t="s">
        <v>138</v>
      </c>
      <c r="CN1396" s="17" t="s">
        <v>138</v>
      </c>
      <c r="CO1396" s="23">
        <v>-1.84</v>
      </c>
      <c r="CP1396" s="24">
        <v>6</v>
      </c>
      <c r="CQ1396" s="23">
        <v>0.02</v>
      </c>
      <c r="CR1396" s="23">
        <v>0.89</v>
      </c>
      <c r="CS1396" s="23">
        <v>-3.64</v>
      </c>
      <c r="CT1396" s="24">
        <v>4</v>
      </c>
      <c r="CU1396" s="23">
        <v>-0.04</v>
      </c>
      <c r="CV1396" s="24">
        <v>12</v>
      </c>
      <c r="CW1396" s="23">
        <v>-3.5</v>
      </c>
      <c r="CX1396" s="24">
        <v>5</v>
      </c>
      <c r="CY1396" s="23">
        <v>-3.79</v>
      </c>
      <c r="CZ1396" s="24">
        <v>5</v>
      </c>
      <c r="DA1396" s="23">
        <v>-0.04</v>
      </c>
      <c r="DB1396" s="24">
        <v>15</v>
      </c>
      <c r="DC1396" s="25">
        <v>12.77</v>
      </c>
      <c r="DD1396" s="24">
        <v>92</v>
      </c>
      <c r="DE1396" s="25">
        <v>-0.05</v>
      </c>
      <c r="DF1396" s="23">
        <v>-0.38</v>
      </c>
      <c r="DG1396" s="25">
        <v>20.91</v>
      </c>
      <c r="DH1396" s="24">
        <v>95</v>
      </c>
      <c r="DI1396" s="25">
        <v>4.63</v>
      </c>
      <c r="DJ1396" s="24">
        <v>76</v>
      </c>
      <c r="DK1396" s="25">
        <v>3.27</v>
      </c>
      <c r="DL1396" s="24">
        <v>73</v>
      </c>
      <c r="DM1396" s="25">
        <v>38.549999999999997</v>
      </c>
      <c r="DN1396" s="24">
        <v>97</v>
      </c>
      <c r="DO1396" s="25">
        <v>4.63</v>
      </c>
      <c r="DP1396" s="24">
        <v>78</v>
      </c>
      <c r="DQ1396" s="24">
        <v>1105</v>
      </c>
      <c r="DR1396" s="26">
        <v>51</v>
      </c>
      <c r="DS1396" s="23">
        <v>4.84</v>
      </c>
      <c r="DT1396" s="24">
        <v>1115</v>
      </c>
      <c r="DU1396" s="26">
        <v>3</v>
      </c>
      <c r="DV1396" s="23">
        <v>0.27</v>
      </c>
      <c r="DW1396" s="24">
        <v>1656</v>
      </c>
      <c r="DX1396" s="27">
        <v>0</v>
      </c>
      <c r="DY1396" s="23">
        <v>0</v>
      </c>
      <c r="DZ1396" s="15" t="s">
        <v>178</v>
      </c>
      <c r="EA1396" s="22">
        <v>43448</v>
      </c>
      <c r="EB1396" s="17" t="s">
        <v>138</v>
      </c>
      <c r="EC1396" s="22" t="s">
        <v>138</v>
      </c>
      <c r="ED1396" s="15" t="s">
        <v>138</v>
      </c>
      <c r="EE1396" s="14" t="str">
        <f>HYPERLINK("https://my.pitchbook.com?c=57443-95", "View company online")</f>
        <v>View company online</v>
      </c>
    </row>
    <row r="1397" spans="1:135">
      <c r="A1397" s="28" t="s">
        <v>26887</v>
      </c>
      <c r="B1397" s="28" t="s">
        <v>26888</v>
      </c>
      <c r="C1397" s="28" t="s">
        <v>138</v>
      </c>
      <c r="D1397" s="28" t="s">
        <v>138</v>
      </c>
      <c r="E1397" s="28" t="s">
        <v>138</v>
      </c>
      <c r="F1397" s="28" t="s">
        <v>26887</v>
      </c>
      <c r="G1397" s="28" t="s">
        <v>26889</v>
      </c>
      <c r="H1397" s="28" t="s">
        <v>322</v>
      </c>
      <c r="I1397" s="28" t="s">
        <v>323</v>
      </c>
      <c r="J1397" s="28" t="s">
        <v>324</v>
      </c>
      <c r="K1397" s="28" t="s">
        <v>325</v>
      </c>
      <c r="L1397" s="28" t="s">
        <v>26890</v>
      </c>
      <c r="M1397" s="28" t="s">
        <v>26891</v>
      </c>
      <c r="N1397" s="28" t="s">
        <v>147</v>
      </c>
      <c r="O1397" s="29">
        <v>3.8</v>
      </c>
      <c r="P1397" s="28" t="s">
        <v>148</v>
      </c>
      <c r="Q1397" s="28" t="s">
        <v>149</v>
      </c>
      <c r="R1397" s="28" t="s">
        <v>174</v>
      </c>
      <c r="S1397" s="28" t="s">
        <v>26892</v>
      </c>
      <c r="T1397" s="30" t="s">
        <v>138</v>
      </c>
      <c r="U1397" s="28" t="s">
        <v>138</v>
      </c>
      <c r="V1397" s="28" t="s">
        <v>138</v>
      </c>
      <c r="W1397" s="28" t="s">
        <v>138</v>
      </c>
      <c r="X1397" s="31">
        <v>2015</v>
      </c>
      <c r="Y1397" s="28" t="s">
        <v>138</v>
      </c>
      <c r="Z1397" s="28" t="s">
        <v>138</v>
      </c>
      <c r="AA1397" s="28" t="s">
        <v>138</v>
      </c>
      <c r="AB1397" s="32" t="s">
        <v>138</v>
      </c>
      <c r="AC1397" s="32" t="s">
        <v>138</v>
      </c>
      <c r="AD1397" s="32" t="s">
        <v>138</v>
      </c>
      <c r="AE1397" s="32" t="s">
        <v>138</v>
      </c>
      <c r="AF1397" s="32" t="s">
        <v>138</v>
      </c>
      <c r="AG1397" s="28" t="s">
        <v>138</v>
      </c>
      <c r="AH1397" s="32" t="s">
        <v>138</v>
      </c>
      <c r="AI1397" s="32" t="s">
        <v>138</v>
      </c>
      <c r="AJ1397" s="32" t="s">
        <v>138</v>
      </c>
      <c r="AK1397" s="28" t="s">
        <v>26893</v>
      </c>
      <c r="AL1397" s="28" t="s">
        <v>26894</v>
      </c>
      <c r="AM1397" s="28" t="s">
        <v>15966</v>
      </c>
      <c r="AN1397" s="28" t="s">
        <v>26895</v>
      </c>
      <c r="AO1397" s="28" t="s">
        <v>26896</v>
      </c>
      <c r="AP1397" s="28" t="s">
        <v>2819</v>
      </c>
      <c r="AQ1397" s="28" t="s">
        <v>26897</v>
      </c>
      <c r="AR1397" s="28" t="s">
        <v>10476</v>
      </c>
      <c r="AS1397" s="28" t="s">
        <v>284</v>
      </c>
      <c r="AT1397" s="28" t="s">
        <v>2822</v>
      </c>
      <c r="AU1397" s="28" t="s">
        <v>26898</v>
      </c>
      <c r="AV1397" s="28" t="s">
        <v>162</v>
      </c>
      <c r="AW1397" s="28" t="s">
        <v>26896</v>
      </c>
      <c r="AX1397" s="28" t="s">
        <v>138</v>
      </c>
      <c r="AY1397" s="28" t="s">
        <v>26899</v>
      </c>
      <c r="AZ1397" s="28" t="s">
        <v>164</v>
      </c>
      <c r="BA1397" s="28" t="s">
        <v>165</v>
      </c>
      <c r="BB1397" s="28" t="s">
        <v>26900</v>
      </c>
      <c r="BC1397" s="28" t="s">
        <v>26901</v>
      </c>
      <c r="BD1397" s="33">
        <v>5</v>
      </c>
      <c r="BE1397" s="28" t="s">
        <v>138</v>
      </c>
      <c r="BF1397" s="28" t="s">
        <v>138</v>
      </c>
      <c r="BG1397" s="28" t="s">
        <v>138</v>
      </c>
      <c r="BH1397" s="28" t="s">
        <v>26902</v>
      </c>
      <c r="BI1397" s="28" t="s">
        <v>138</v>
      </c>
      <c r="BJ1397" s="28" t="s">
        <v>138</v>
      </c>
      <c r="BK1397" s="28" t="s">
        <v>138</v>
      </c>
      <c r="BL1397" s="28" t="s">
        <v>138</v>
      </c>
      <c r="BM1397" s="34">
        <v>42005</v>
      </c>
      <c r="BN1397" s="29">
        <v>2.2000000000000002</v>
      </c>
      <c r="BO1397" s="28" t="s">
        <v>172</v>
      </c>
      <c r="BP1397" s="29" t="s">
        <v>138</v>
      </c>
      <c r="BQ1397" s="28" t="s">
        <v>138</v>
      </c>
      <c r="BR1397" s="28" t="s">
        <v>234</v>
      </c>
      <c r="BS1397" s="28" t="s">
        <v>234</v>
      </c>
      <c r="BT1397" s="28" t="s">
        <v>138</v>
      </c>
      <c r="BU1397" s="28" t="s">
        <v>174</v>
      </c>
      <c r="BV1397" s="28" t="s">
        <v>138</v>
      </c>
      <c r="BW1397" s="28" t="s">
        <v>138</v>
      </c>
      <c r="BX1397" s="28" t="s">
        <v>138</v>
      </c>
      <c r="BY1397" s="28" t="s">
        <v>175</v>
      </c>
      <c r="BZ1397" s="34">
        <v>43405</v>
      </c>
      <c r="CA1397" s="29">
        <v>0.5</v>
      </c>
      <c r="CB1397" s="28" t="s">
        <v>172</v>
      </c>
      <c r="CC1397" s="29" t="s">
        <v>138</v>
      </c>
      <c r="CD1397" s="28" t="s">
        <v>138</v>
      </c>
      <c r="CE1397" s="28" t="s">
        <v>205</v>
      </c>
      <c r="CF1397" s="28" t="s">
        <v>138</v>
      </c>
      <c r="CG1397" s="28" t="s">
        <v>138</v>
      </c>
      <c r="CH1397" s="28" t="s">
        <v>174</v>
      </c>
      <c r="CI1397" s="28" t="s">
        <v>138</v>
      </c>
      <c r="CJ1397" s="28" t="s">
        <v>138</v>
      </c>
      <c r="CK1397" s="28" t="s">
        <v>138</v>
      </c>
      <c r="CL1397" s="28" t="s">
        <v>175</v>
      </c>
      <c r="CM1397" s="34" t="s">
        <v>138</v>
      </c>
      <c r="CN1397" s="29" t="s">
        <v>138</v>
      </c>
      <c r="CO1397" s="35">
        <v>0</v>
      </c>
      <c r="CP1397" s="36">
        <v>26</v>
      </c>
      <c r="CQ1397" s="35">
        <v>0</v>
      </c>
      <c r="CR1397" s="35">
        <v>0</v>
      </c>
      <c r="CS1397" s="35">
        <v>0</v>
      </c>
      <c r="CT1397" s="36">
        <v>23</v>
      </c>
      <c r="CU1397" s="35">
        <v>0</v>
      </c>
      <c r="CV1397" s="36">
        <v>22</v>
      </c>
      <c r="CW1397" s="35" t="s">
        <v>138</v>
      </c>
      <c r="CX1397" s="36" t="s">
        <v>138</v>
      </c>
      <c r="CY1397" s="35">
        <v>0</v>
      </c>
      <c r="CZ1397" s="36">
        <v>25</v>
      </c>
      <c r="DA1397" s="35">
        <v>0</v>
      </c>
      <c r="DB1397" s="36">
        <v>22</v>
      </c>
      <c r="DC1397" s="37">
        <v>0.36</v>
      </c>
      <c r="DD1397" s="36">
        <v>27</v>
      </c>
      <c r="DE1397" s="37">
        <v>0</v>
      </c>
      <c r="DF1397" s="35">
        <v>7.0000000000000007E-2</v>
      </c>
      <c r="DG1397" s="37">
        <v>0.62</v>
      </c>
      <c r="DH1397" s="36">
        <v>39</v>
      </c>
      <c r="DI1397" s="37">
        <v>0.09</v>
      </c>
      <c r="DJ1397" s="36">
        <v>13</v>
      </c>
      <c r="DK1397" s="37" t="s">
        <v>138</v>
      </c>
      <c r="DL1397" s="36" t="s">
        <v>138</v>
      </c>
      <c r="DM1397" s="37">
        <v>0.62</v>
      </c>
      <c r="DN1397" s="36">
        <v>39</v>
      </c>
      <c r="DO1397" s="37">
        <v>0.09</v>
      </c>
      <c r="DP1397" s="36">
        <v>15</v>
      </c>
      <c r="DQ1397" s="36">
        <v>163</v>
      </c>
      <c r="DR1397" s="38">
        <v>-25</v>
      </c>
      <c r="DS1397" s="35">
        <v>-13.3</v>
      </c>
      <c r="DT1397" s="36">
        <v>18</v>
      </c>
      <c r="DU1397" s="38">
        <v>0</v>
      </c>
      <c r="DV1397" s="35">
        <v>0</v>
      </c>
      <c r="DW1397" s="36">
        <v>32</v>
      </c>
      <c r="DX1397" s="39">
        <v>1</v>
      </c>
      <c r="DY1397" s="35">
        <v>3.23</v>
      </c>
      <c r="DZ1397" s="28" t="s">
        <v>178</v>
      </c>
      <c r="EA1397" s="34">
        <v>43467</v>
      </c>
      <c r="EB1397" s="29" t="s">
        <v>138</v>
      </c>
      <c r="EC1397" s="34" t="s">
        <v>138</v>
      </c>
      <c r="ED1397" s="28" t="s">
        <v>138</v>
      </c>
      <c r="EE1397" s="40" t="str">
        <f>HYPERLINK("https://my.pitchbook.com?c=234730-36", "View company online")</f>
        <v>View company online</v>
      </c>
    </row>
    <row r="1398" spans="1:135">
      <c r="A1398" s="15" t="s">
        <v>26903</v>
      </c>
      <c r="B1398" s="15" t="s">
        <v>26904</v>
      </c>
      <c r="C1398" s="15" t="s">
        <v>138</v>
      </c>
      <c r="D1398" s="15" t="s">
        <v>138</v>
      </c>
      <c r="E1398" s="15" t="s">
        <v>138</v>
      </c>
      <c r="F1398" s="15" t="s">
        <v>26903</v>
      </c>
      <c r="G1398" s="15" t="s">
        <v>26905</v>
      </c>
      <c r="H1398" s="15" t="s">
        <v>183</v>
      </c>
      <c r="I1398" s="15" t="s">
        <v>184</v>
      </c>
      <c r="J1398" s="15" t="s">
        <v>26906</v>
      </c>
      <c r="K1398" s="15" t="s">
        <v>26907</v>
      </c>
      <c r="L1398" s="15" t="s">
        <v>4684</v>
      </c>
      <c r="M1398" s="15" t="s">
        <v>26908</v>
      </c>
      <c r="N1398" s="15" t="s">
        <v>147</v>
      </c>
      <c r="O1398" s="17">
        <v>13</v>
      </c>
      <c r="P1398" s="15" t="s">
        <v>148</v>
      </c>
      <c r="Q1398" s="15" t="s">
        <v>149</v>
      </c>
      <c r="R1398" s="15" t="s">
        <v>244</v>
      </c>
      <c r="S1398" s="15" t="s">
        <v>26909</v>
      </c>
      <c r="T1398" s="18">
        <v>10</v>
      </c>
      <c r="U1398" s="15" t="s">
        <v>26910</v>
      </c>
      <c r="V1398" s="15" t="s">
        <v>138</v>
      </c>
      <c r="W1398" s="15" t="s">
        <v>138</v>
      </c>
      <c r="X1398" s="19">
        <v>2007</v>
      </c>
      <c r="Y1398" s="15" t="s">
        <v>138</v>
      </c>
      <c r="Z1398" s="15" t="s">
        <v>138</v>
      </c>
      <c r="AA1398" s="15" t="s">
        <v>138</v>
      </c>
      <c r="AB1398" s="20" t="s">
        <v>138</v>
      </c>
      <c r="AC1398" s="20" t="s">
        <v>138</v>
      </c>
      <c r="AD1398" s="20" t="s">
        <v>138</v>
      </c>
      <c r="AE1398" s="20" t="s">
        <v>138</v>
      </c>
      <c r="AF1398" s="20" t="s">
        <v>138</v>
      </c>
      <c r="AG1398" s="15" t="s">
        <v>138</v>
      </c>
      <c r="AH1398" s="20" t="s">
        <v>138</v>
      </c>
      <c r="AI1398" s="20" t="s">
        <v>138</v>
      </c>
      <c r="AJ1398" s="20" t="s">
        <v>138</v>
      </c>
      <c r="AK1398" s="15" t="s">
        <v>26911</v>
      </c>
      <c r="AL1398" s="15" t="s">
        <v>26912</v>
      </c>
      <c r="AM1398" s="15" t="s">
        <v>636</v>
      </c>
      <c r="AN1398" s="15" t="s">
        <v>26913</v>
      </c>
      <c r="AO1398" s="15" t="s">
        <v>26914</v>
      </c>
      <c r="AP1398" s="15" t="s">
        <v>26915</v>
      </c>
      <c r="AQ1398" s="15" t="s">
        <v>26916</v>
      </c>
      <c r="AR1398" s="15" t="s">
        <v>138</v>
      </c>
      <c r="AS1398" s="15" t="s">
        <v>26917</v>
      </c>
      <c r="AT1398" s="15" t="s">
        <v>138</v>
      </c>
      <c r="AU1398" s="15" t="s">
        <v>26918</v>
      </c>
      <c r="AV1398" s="15" t="s">
        <v>946</v>
      </c>
      <c r="AW1398" s="15" t="s">
        <v>26914</v>
      </c>
      <c r="AX1398" s="15" t="s">
        <v>26919</v>
      </c>
      <c r="AY1398" s="15" t="s">
        <v>26920</v>
      </c>
      <c r="AZ1398" s="15" t="s">
        <v>530</v>
      </c>
      <c r="BA1398" s="15" t="s">
        <v>531</v>
      </c>
      <c r="BB1398" s="15" t="s">
        <v>26921</v>
      </c>
      <c r="BC1398" s="15" t="s">
        <v>26922</v>
      </c>
      <c r="BD1398" s="21">
        <v>10</v>
      </c>
      <c r="BE1398" s="15" t="s">
        <v>138</v>
      </c>
      <c r="BF1398" s="15" t="s">
        <v>138</v>
      </c>
      <c r="BG1398" s="15" t="s">
        <v>138</v>
      </c>
      <c r="BH1398" s="15" t="s">
        <v>26923</v>
      </c>
      <c r="BI1398" s="15" t="s">
        <v>138</v>
      </c>
      <c r="BJ1398" s="15" t="s">
        <v>138</v>
      </c>
      <c r="BK1398" s="15" t="s">
        <v>138</v>
      </c>
      <c r="BL1398" s="15" t="s">
        <v>26924</v>
      </c>
      <c r="BM1398" s="22">
        <v>39448</v>
      </c>
      <c r="BN1398" s="17" t="s">
        <v>138</v>
      </c>
      <c r="BO1398" s="15" t="s">
        <v>138</v>
      </c>
      <c r="BP1398" s="17" t="s">
        <v>138</v>
      </c>
      <c r="BQ1398" s="15" t="s">
        <v>138</v>
      </c>
      <c r="BR1398" s="15" t="s">
        <v>176</v>
      </c>
      <c r="BS1398" s="15" t="s">
        <v>138</v>
      </c>
      <c r="BT1398" s="15" t="s">
        <v>138</v>
      </c>
      <c r="BU1398" s="15" t="s">
        <v>177</v>
      </c>
      <c r="BV1398" s="15" t="s">
        <v>138</v>
      </c>
      <c r="BW1398" s="15" t="s">
        <v>138</v>
      </c>
      <c r="BX1398" s="15" t="s">
        <v>138</v>
      </c>
      <c r="BY1398" s="15" t="s">
        <v>175</v>
      </c>
      <c r="BZ1398" s="22">
        <v>42956</v>
      </c>
      <c r="CA1398" s="17">
        <v>3.54</v>
      </c>
      <c r="CB1398" s="15" t="s">
        <v>172</v>
      </c>
      <c r="CC1398" s="17" t="s">
        <v>138</v>
      </c>
      <c r="CD1398" s="15" t="s">
        <v>138</v>
      </c>
      <c r="CE1398" s="15" t="s">
        <v>1326</v>
      </c>
      <c r="CF1398" s="15" t="s">
        <v>138</v>
      </c>
      <c r="CG1398" s="15" t="s">
        <v>138</v>
      </c>
      <c r="CH1398" s="15" t="s">
        <v>1327</v>
      </c>
      <c r="CI1398" s="15" t="s">
        <v>1080</v>
      </c>
      <c r="CJ1398" s="15" t="s">
        <v>138</v>
      </c>
      <c r="CK1398" s="15" t="s">
        <v>138</v>
      </c>
      <c r="CL1398" s="15" t="s">
        <v>175</v>
      </c>
      <c r="CM1398" s="22">
        <v>42956</v>
      </c>
      <c r="CN1398" s="17">
        <v>3.54</v>
      </c>
      <c r="CO1398" s="23">
        <v>0</v>
      </c>
      <c r="CP1398" s="24">
        <v>26</v>
      </c>
      <c r="CQ1398" s="23">
        <v>0</v>
      </c>
      <c r="CR1398" s="23">
        <v>0</v>
      </c>
      <c r="CS1398" s="23" t="s">
        <v>138</v>
      </c>
      <c r="CT1398" s="24" t="s">
        <v>138</v>
      </c>
      <c r="CU1398" s="23">
        <v>0</v>
      </c>
      <c r="CV1398" s="24">
        <v>22</v>
      </c>
      <c r="CW1398" s="23" t="s">
        <v>138</v>
      </c>
      <c r="CX1398" s="24" t="s">
        <v>138</v>
      </c>
      <c r="CY1398" s="23" t="s">
        <v>138</v>
      </c>
      <c r="CZ1398" s="24" t="s">
        <v>138</v>
      </c>
      <c r="DA1398" s="23">
        <v>0</v>
      </c>
      <c r="DB1398" s="24">
        <v>22</v>
      </c>
      <c r="DC1398" s="25">
        <v>7.0000000000000007E-2</v>
      </c>
      <c r="DD1398" s="24">
        <v>4</v>
      </c>
      <c r="DE1398" s="25">
        <v>0</v>
      </c>
      <c r="DF1398" s="23">
        <v>0.56000000000000005</v>
      </c>
      <c r="DG1398" s="25" t="s">
        <v>138</v>
      </c>
      <c r="DH1398" s="24" t="s">
        <v>138</v>
      </c>
      <c r="DI1398" s="25">
        <v>7.0000000000000007E-2</v>
      </c>
      <c r="DJ1398" s="24">
        <v>11</v>
      </c>
      <c r="DK1398" s="25" t="s">
        <v>138</v>
      </c>
      <c r="DL1398" s="24" t="s">
        <v>138</v>
      </c>
      <c r="DM1398" s="25" t="s">
        <v>138</v>
      </c>
      <c r="DN1398" s="24" t="s">
        <v>138</v>
      </c>
      <c r="DO1398" s="25">
        <v>7.0000000000000007E-2</v>
      </c>
      <c r="DP1398" s="24">
        <v>13</v>
      </c>
      <c r="DQ1398" s="24" t="s">
        <v>138</v>
      </c>
      <c r="DR1398" s="26" t="s">
        <v>138</v>
      </c>
      <c r="DS1398" s="23" t="s">
        <v>138</v>
      </c>
      <c r="DT1398" s="24" t="s">
        <v>138</v>
      </c>
      <c r="DU1398" s="26" t="s">
        <v>138</v>
      </c>
      <c r="DV1398" s="23" t="s">
        <v>138</v>
      </c>
      <c r="DW1398" s="24">
        <v>24</v>
      </c>
      <c r="DX1398" s="27">
        <v>0</v>
      </c>
      <c r="DY1398" s="23">
        <v>0</v>
      </c>
      <c r="DZ1398" s="15" t="s">
        <v>178</v>
      </c>
      <c r="EA1398" s="22">
        <v>43448</v>
      </c>
      <c r="EB1398" s="17" t="s">
        <v>138</v>
      </c>
      <c r="EC1398" s="22" t="s">
        <v>138</v>
      </c>
      <c r="ED1398" s="15" t="s">
        <v>138</v>
      </c>
      <c r="EE1398" s="14" t="str">
        <f>HYPERLINK("https://my.pitchbook.com?c=57224-08", "View company online")</f>
        <v>View company online</v>
      </c>
    </row>
    <row r="1399" spans="1:135">
      <c r="A1399" s="28" t="s">
        <v>26925</v>
      </c>
      <c r="B1399" s="28" t="s">
        <v>26926</v>
      </c>
      <c r="C1399" s="28" t="s">
        <v>138</v>
      </c>
      <c r="D1399" s="28" t="s">
        <v>138</v>
      </c>
      <c r="E1399" s="28" t="s">
        <v>138</v>
      </c>
      <c r="F1399" s="28" t="s">
        <v>26925</v>
      </c>
      <c r="G1399" s="28" t="s">
        <v>26927</v>
      </c>
      <c r="H1399" s="28" t="s">
        <v>322</v>
      </c>
      <c r="I1399" s="28" t="s">
        <v>1503</v>
      </c>
      <c r="J1399" s="28" t="s">
        <v>1504</v>
      </c>
      <c r="K1399" s="28" t="s">
        <v>26928</v>
      </c>
      <c r="L1399" s="28" t="s">
        <v>415</v>
      </c>
      <c r="M1399" s="28" t="s">
        <v>26929</v>
      </c>
      <c r="N1399" s="28" t="s">
        <v>147</v>
      </c>
      <c r="O1399" s="29">
        <v>0.13</v>
      </c>
      <c r="P1399" s="28" t="s">
        <v>148</v>
      </c>
      <c r="Q1399" s="28" t="s">
        <v>149</v>
      </c>
      <c r="R1399" s="28" t="s">
        <v>174</v>
      </c>
      <c r="S1399" s="28" t="s">
        <v>26930</v>
      </c>
      <c r="T1399" s="30">
        <v>11</v>
      </c>
      <c r="U1399" s="28" t="s">
        <v>25927</v>
      </c>
      <c r="V1399" s="28" t="s">
        <v>138</v>
      </c>
      <c r="W1399" s="28" t="s">
        <v>138</v>
      </c>
      <c r="X1399" s="31">
        <v>2009</v>
      </c>
      <c r="Y1399" s="28" t="s">
        <v>138</v>
      </c>
      <c r="Z1399" s="28" t="s">
        <v>138</v>
      </c>
      <c r="AA1399" s="28" t="s">
        <v>138</v>
      </c>
      <c r="AB1399" s="32" t="s">
        <v>138</v>
      </c>
      <c r="AC1399" s="32" t="s">
        <v>138</v>
      </c>
      <c r="AD1399" s="32" t="s">
        <v>138</v>
      </c>
      <c r="AE1399" s="32" t="s">
        <v>138</v>
      </c>
      <c r="AF1399" s="32" t="s">
        <v>138</v>
      </c>
      <c r="AG1399" s="28" t="s">
        <v>138</v>
      </c>
      <c r="AH1399" s="32" t="s">
        <v>138</v>
      </c>
      <c r="AI1399" s="32" t="s">
        <v>138</v>
      </c>
      <c r="AJ1399" s="32" t="s">
        <v>138</v>
      </c>
      <c r="AK1399" s="28" t="s">
        <v>26931</v>
      </c>
      <c r="AL1399" s="28" t="s">
        <v>26932</v>
      </c>
      <c r="AM1399" s="28" t="s">
        <v>1004</v>
      </c>
      <c r="AN1399" s="28" t="s">
        <v>26933</v>
      </c>
      <c r="AO1399" s="28" t="s">
        <v>26934</v>
      </c>
      <c r="AP1399" s="28" t="s">
        <v>26935</v>
      </c>
      <c r="AQ1399" s="28" t="s">
        <v>26936</v>
      </c>
      <c r="AR1399" s="28" t="s">
        <v>138</v>
      </c>
      <c r="AS1399" s="28" t="s">
        <v>26937</v>
      </c>
      <c r="AT1399" s="28" t="s">
        <v>138</v>
      </c>
      <c r="AU1399" s="28" t="s">
        <v>26938</v>
      </c>
      <c r="AV1399" s="28" t="s">
        <v>946</v>
      </c>
      <c r="AW1399" s="28" t="s">
        <v>26934</v>
      </c>
      <c r="AX1399" s="28" t="s">
        <v>26939</v>
      </c>
      <c r="AY1399" s="28" t="s">
        <v>26940</v>
      </c>
      <c r="AZ1399" s="28" t="s">
        <v>530</v>
      </c>
      <c r="BA1399" s="28" t="s">
        <v>531</v>
      </c>
      <c r="BB1399" s="28" t="s">
        <v>26941</v>
      </c>
      <c r="BC1399" s="28" t="s">
        <v>26942</v>
      </c>
      <c r="BD1399" s="33">
        <v>3</v>
      </c>
      <c r="BE1399" s="28" t="s">
        <v>138</v>
      </c>
      <c r="BF1399" s="28" t="s">
        <v>138</v>
      </c>
      <c r="BG1399" s="28" t="s">
        <v>138</v>
      </c>
      <c r="BH1399" s="28" t="s">
        <v>26943</v>
      </c>
      <c r="BI1399" s="28" t="s">
        <v>138</v>
      </c>
      <c r="BJ1399" s="28" t="s">
        <v>138</v>
      </c>
      <c r="BK1399" s="28" t="s">
        <v>138</v>
      </c>
      <c r="BL1399" s="28" t="s">
        <v>138</v>
      </c>
      <c r="BM1399" s="34" t="s">
        <v>138</v>
      </c>
      <c r="BN1399" s="29" t="s">
        <v>138</v>
      </c>
      <c r="BO1399" s="28" t="s">
        <v>138</v>
      </c>
      <c r="BP1399" s="29" t="s">
        <v>138</v>
      </c>
      <c r="BQ1399" s="28" t="s">
        <v>138</v>
      </c>
      <c r="BR1399" s="28" t="s">
        <v>205</v>
      </c>
      <c r="BS1399" s="28" t="s">
        <v>138</v>
      </c>
      <c r="BT1399" s="28" t="s">
        <v>138</v>
      </c>
      <c r="BU1399" s="28" t="s">
        <v>174</v>
      </c>
      <c r="BV1399" s="28" t="s">
        <v>138</v>
      </c>
      <c r="BW1399" s="28" t="s">
        <v>138</v>
      </c>
      <c r="BX1399" s="28" t="s">
        <v>138</v>
      </c>
      <c r="BY1399" s="28" t="s">
        <v>175</v>
      </c>
      <c r="BZ1399" s="34">
        <v>42481</v>
      </c>
      <c r="CA1399" s="29" t="s">
        <v>138</v>
      </c>
      <c r="CB1399" s="28" t="s">
        <v>138</v>
      </c>
      <c r="CC1399" s="29" t="s">
        <v>138</v>
      </c>
      <c r="CD1399" s="28" t="s">
        <v>138</v>
      </c>
      <c r="CE1399" s="28" t="s">
        <v>205</v>
      </c>
      <c r="CF1399" s="28" t="s">
        <v>138</v>
      </c>
      <c r="CG1399" s="28" t="s">
        <v>138</v>
      </c>
      <c r="CH1399" s="28" t="s">
        <v>174</v>
      </c>
      <c r="CI1399" s="28" t="s">
        <v>138</v>
      </c>
      <c r="CJ1399" s="28" t="s">
        <v>138</v>
      </c>
      <c r="CK1399" s="28" t="s">
        <v>138</v>
      </c>
      <c r="CL1399" s="28" t="s">
        <v>175</v>
      </c>
      <c r="CM1399" s="34" t="s">
        <v>138</v>
      </c>
      <c r="CN1399" s="29" t="s">
        <v>138</v>
      </c>
      <c r="CO1399" s="35">
        <v>-7.0000000000000007E-2</v>
      </c>
      <c r="CP1399" s="36">
        <v>21</v>
      </c>
      <c r="CQ1399" s="35">
        <v>0.09</v>
      </c>
      <c r="CR1399" s="35">
        <v>57.95</v>
      </c>
      <c r="CS1399" s="35">
        <v>-0.16</v>
      </c>
      <c r="CT1399" s="36">
        <v>22</v>
      </c>
      <c r="CU1399" s="35">
        <v>0.03</v>
      </c>
      <c r="CV1399" s="36">
        <v>54</v>
      </c>
      <c r="CW1399" s="35" t="s">
        <v>138</v>
      </c>
      <c r="CX1399" s="36" t="s">
        <v>138</v>
      </c>
      <c r="CY1399" s="35">
        <v>-0.16</v>
      </c>
      <c r="CZ1399" s="36">
        <v>24</v>
      </c>
      <c r="DA1399" s="35">
        <v>0.08</v>
      </c>
      <c r="DB1399" s="36">
        <v>69</v>
      </c>
      <c r="DC1399" s="37">
        <v>5.99</v>
      </c>
      <c r="DD1399" s="36">
        <v>85</v>
      </c>
      <c r="DE1399" s="37">
        <v>0.04</v>
      </c>
      <c r="DF1399" s="35">
        <v>0.63</v>
      </c>
      <c r="DG1399" s="37">
        <v>10.1</v>
      </c>
      <c r="DH1399" s="36">
        <v>90</v>
      </c>
      <c r="DI1399" s="37">
        <v>1.88</v>
      </c>
      <c r="DJ1399" s="36">
        <v>61</v>
      </c>
      <c r="DK1399" s="37" t="s">
        <v>138</v>
      </c>
      <c r="DL1399" s="36" t="s">
        <v>138</v>
      </c>
      <c r="DM1399" s="37">
        <v>10.1</v>
      </c>
      <c r="DN1399" s="36">
        <v>89</v>
      </c>
      <c r="DO1399" s="37">
        <v>2.09</v>
      </c>
      <c r="DP1399" s="36">
        <v>64</v>
      </c>
      <c r="DQ1399" s="36">
        <v>281</v>
      </c>
      <c r="DR1399" s="38">
        <v>7</v>
      </c>
      <c r="DS1399" s="35">
        <v>2.5499999999999998</v>
      </c>
      <c r="DT1399" s="36">
        <v>292</v>
      </c>
      <c r="DU1399" s="38">
        <v>3</v>
      </c>
      <c r="DV1399" s="35">
        <v>1.04</v>
      </c>
      <c r="DW1399" s="36">
        <v>748</v>
      </c>
      <c r="DX1399" s="39">
        <v>0</v>
      </c>
      <c r="DY1399" s="35">
        <v>0</v>
      </c>
      <c r="DZ1399" s="28" t="s">
        <v>178</v>
      </c>
      <c r="EA1399" s="34">
        <v>43448</v>
      </c>
      <c r="EB1399" s="29" t="s">
        <v>138</v>
      </c>
      <c r="EC1399" s="34" t="s">
        <v>138</v>
      </c>
      <c r="ED1399" s="28" t="s">
        <v>138</v>
      </c>
      <c r="EE1399" s="40" t="str">
        <f>HYPERLINK("https://my.pitchbook.com?c=60124-33", "View company online")</f>
        <v>View company online</v>
      </c>
    </row>
    <row r="1400" spans="1:135">
      <c r="A1400" s="15" t="s">
        <v>26944</v>
      </c>
      <c r="B1400" s="15" t="s">
        <v>26945</v>
      </c>
      <c r="C1400" s="15" t="s">
        <v>138</v>
      </c>
      <c r="D1400" s="15" t="s">
        <v>138</v>
      </c>
      <c r="E1400" s="15" t="s">
        <v>138</v>
      </c>
      <c r="F1400" s="15" t="s">
        <v>26944</v>
      </c>
      <c r="G1400" s="15" t="s">
        <v>26946</v>
      </c>
      <c r="H1400" s="15" t="s">
        <v>322</v>
      </c>
      <c r="I1400" s="15" t="s">
        <v>323</v>
      </c>
      <c r="J1400" s="15" t="s">
        <v>437</v>
      </c>
      <c r="K1400" s="15" t="s">
        <v>6110</v>
      </c>
      <c r="L1400" s="15" t="s">
        <v>26947</v>
      </c>
      <c r="M1400" s="15" t="s">
        <v>26948</v>
      </c>
      <c r="N1400" s="15" t="s">
        <v>147</v>
      </c>
      <c r="O1400" s="17" t="s">
        <v>138</v>
      </c>
      <c r="P1400" s="15" t="s">
        <v>610</v>
      </c>
      <c r="Q1400" s="15" t="s">
        <v>149</v>
      </c>
      <c r="R1400" s="15" t="s">
        <v>174</v>
      </c>
      <c r="S1400" s="15" t="s">
        <v>26949</v>
      </c>
      <c r="T1400" s="18" t="s">
        <v>138</v>
      </c>
      <c r="U1400" s="15" t="s">
        <v>138</v>
      </c>
      <c r="V1400" s="15" t="s">
        <v>138</v>
      </c>
      <c r="W1400" s="15" t="s">
        <v>138</v>
      </c>
      <c r="X1400" s="19">
        <v>2015</v>
      </c>
      <c r="Y1400" s="15" t="s">
        <v>138</v>
      </c>
      <c r="Z1400" s="15" t="s">
        <v>138</v>
      </c>
      <c r="AA1400" s="15" t="s">
        <v>138</v>
      </c>
      <c r="AB1400" s="20" t="s">
        <v>138</v>
      </c>
      <c r="AC1400" s="20" t="s">
        <v>138</v>
      </c>
      <c r="AD1400" s="20" t="s">
        <v>138</v>
      </c>
      <c r="AE1400" s="20" t="s">
        <v>138</v>
      </c>
      <c r="AF1400" s="20" t="s">
        <v>138</v>
      </c>
      <c r="AG1400" s="15" t="s">
        <v>138</v>
      </c>
      <c r="AH1400" s="20" t="s">
        <v>138</v>
      </c>
      <c r="AI1400" s="20" t="s">
        <v>138</v>
      </c>
      <c r="AJ1400" s="20" t="s">
        <v>138</v>
      </c>
      <c r="AK1400" s="15" t="s">
        <v>26950</v>
      </c>
      <c r="AL1400" s="15" t="s">
        <v>26951</v>
      </c>
      <c r="AM1400" s="15" t="s">
        <v>26952</v>
      </c>
      <c r="AN1400" s="15" t="s">
        <v>138</v>
      </c>
      <c r="AO1400" s="15" t="s">
        <v>138</v>
      </c>
      <c r="AP1400" s="15" t="s">
        <v>423</v>
      </c>
      <c r="AQ1400" s="15" t="s">
        <v>26953</v>
      </c>
      <c r="AR1400" s="15" t="s">
        <v>10715</v>
      </c>
      <c r="AS1400" s="15" t="s">
        <v>426</v>
      </c>
      <c r="AT1400" s="15" t="s">
        <v>426</v>
      </c>
      <c r="AU1400" s="15" t="s">
        <v>26954</v>
      </c>
      <c r="AV1400" s="15" t="s">
        <v>162</v>
      </c>
      <c r="AW1400" s="15" t="s">
        <v>26955</v>
      </c>
      <c r="AX1400" s="15" t="s">
        <v>138</v>
      </c>
      <c r="AY1400" s="15" t="s">
        <v>26956</v>
      </c>
      <c r="AZ1400" s="15" t="s">
        <v>164</v>
      </c>
      <c r="BA1400" s="15" t="s">
        <v>165</v>
      </c>
      <c r="BB1400" s="15" t="s">
        <v>26957</v>
      </c>
      <c r="BC1400" s="15" t="s">
        <v>26958</v>
      </c>
      <c r="BD1400" s="21">
        <v>3</v>
      </c>
      <c r="BE1400" s="15" t="s">
        <v>138</v>
      </c>
      <c r="BF1400" s="15" t="s">
        <v>138</v>
      </c>
      <c r="BG1400" s="15" t="s">
        <v>138</v>
      </c>
      <c r="BH1400" s="15" t="s">
        <v>26959</v>
      </c>
      <c r="BI1400" s="15" t="s">
        <v>138</v>
      </c>
      <c r="BJ1400" s="15" t="s">
        <v>138</v>
      </c>
      <c r="BK1400" s="15" t="s">
        <v>138</v>
      </c>
      <c r="BL1400" s="15" t="s">
        <v>138</v>
      </c>
      <c r="BM1400" s="22">
        <v>42401</v>
      </c>
      <c r="BN1400" s="17" t="s">
        <v>138</v>
      </c>
      <c r="BO1400" s="15" t="s">
        <v>138</v>
      </c>
      <c r="BP1400" s="17" t="s">
        <v>138</v>
      </c>
      <c r="BQ1400" s="15" t="s">
        <v>138</v>
      </c>
      <c r="BR1400" s="15" t="s">
        <v>234</v>
      </c>
      <c r="BS1400" s="15" t="s">
        <v>234</v>
      </c>
      <c r="BT1400" s="15" t="s">
        <v>138</v>
      </c>
      <c r="BU1400" s="15" t="s">
        <v>174</v>
      </c>
      <c r="BV1400" s="15" t="s">
        <v>138</v>
      </c>
      <c r="BW1400" s="15" t="s">
        <v>138</v>
      </c>
      <c r="BX1400" s="15" t="s">
        <v>138</v>
      </c>
      <c r="BY1400" s="15" t="s">
        <v>175</v>
      </c>
      <c r="BZ1400" s="22">
        <v>42401</v>
      </c>
      <c r="CA1400" s="17" t="s">
        <v>138</v>
      </c>
      <c r="CB1400" s="15" t="s">
        <v>138</v>
      </c>
      <c r="CC1400" s="17" t="s">
        <v>138</v>
      </c>
      <c r="CD1400" s="15" t="s">
        <v>138</v>
      </c>
      <c r="CE1400" s="15" t="s">
        <v>234</v>
      </c>
      <c r="CF1400" s="15" t="s">
        <v>234</v>
      </c>
      <c r="CG1400" s="15" t="s">
        <v>138</v>
      </c>
      <c r="CH1400" s="15" t="s">
        <v>174</v>
      </c>
      <c r="CI1400" s="15" t="s">
        <v>138</v>
      </c>
      <c r="CJ1400" s="15" t="s">
        <v>138</v>
      </c>
      <c r="CK1400" s="15" t="s">
        <v>138</v>
      </c>
      <c r="CL1400" s="15" t="s">
        <v>175</v>
      </c>
      <c r="CM1400" s="22" t="s">
        <v>138</v>
      </c>
      <c r="CN1400" s="17" t="s">
        <v>138</v>
      </c>
      <c r="CO1400" s="23">
        <v>7.0000000000000007E-2</v>
      </c>
      <c r="CP1400" s="24">
        <v>89</v>
      </c>
      <c r="CQ1400" s="23">
        <v>0</v>
      </c>
      <c r="CR1400" s="23">
        <v>-0.75</v>
      </c>
      <c r="CS1400" s="23">
        <v>0</v>
      </c>
      <c r="CT1400" s="24">
        <v>23</v>
      </c>
      <c r="CU1400" s="23">
        <v>0.14000000000000001</v>
      </c>
      <c r="CV1400" s="24">
        <v>74</v>
      </c>
      <c r="CW1400" s="23">
        <v>0</v>
      </c>
      <c r="CX1400" s="24">
        <v>13</v>
      </c>
      <c r="CY1400" s="23" t="s">
        <v>138</v>
      </c>
      <c r="CZ1400" s="24" t="s">
        <v>138</v>
      </c>
      <c r="DA1400" s="23">
        <v>0.32</v>
      </c>
      <c r="DB1400" s="24">
        <v>89</v>
      </c>
      <c r="DC1400" s="25">
        <v>0.8</v>
      </c>
      <c r="DD1400" s="24">
        <v>46</v>
      </c>
      <c r="DE1400" s="25">
        <v>-0.05</v>
      </c>
      <c r="DF1400" s="23">
        <v>-6.3</v>
      </c>
      <c r="DG1400" s="25">
        <v>0.87</v>
      </c>
      <c r="DH1400" s="24">
        <v>48</v>
      </c>
      <c r="DI1400" s="25">
        <v>0.73</v>
      </c>
      <c r="DJ1400" s="24">
        <v>43</v>
      </c>
      <c r="DK1400" s="25">
        <v>0.87</v>
      </c>
      <c r="DL1400" s="24">
        <v>47</v>
      </c>
      <c r="DM1400" s="25" t="s">
        <v>138</v>
      </c>
      <c r="DN1400" s="24" t="s">
        <v>138</v>
      </c>
      <c r="DO1400" s="25">
        <v>0.88</v>
      </c>
      <c r="DP1400" s="24">
        <v>48</v>
      </c>
      <c r="DQ1400" s="24">
        <v>297</v>
      </c>
      <c r="DR1400" s="26">
        <v>-2</v>
      </c>
      <c r="DS1400" s="23">
        <v>-0.67</v>
      </c>
      <c r="DT1400" s="24" t="s">
        <v>138</v>
      </c>
      <c r="DU1400" s="26" t="s">
        <v>138</v>
      </c>
      <c r="DV1400" s="23" t="s">
        <v>138</v>
      </c>
      <c r="DW1400" s="24">
        <v>316</v>
      </c>
      <c r="DX1400" s="27">
        <v>2</v>
      </c>
      <c r="DY1400" s="23">
        <v>0.64</v>
      </c>
      <c r="DZ1400" s="15" t="s">
        <v>178</v>
      </c>
      <c r="EA1400" s="22">
        <v>43376</v>
      </c>
      <c r="EB1400" s="17" t="s">
        <v>138</v>
      </c>
      <c r="EC1400" s="22" t="s">
        <v>138</v>
      </c>
      <c r="ED1400" s="15" t="s">
        <v>138</v>
      </c>
      <c r="EE1400" s="14" t="str">
        <f>HYPERLINK("https://my.pitchbook.com?c=164096-20", "View company online")</f>
        <v>View company online</v>
      </c>
    </row>
    <row r="1401" spans="1:135">
      <c r="A1401" s="28" t="s">
        <v>26960</v>
      </c>
      <c r="B1401" s="28" t="s">
        <v>26961</v>
      </c>
      <c r="C1401" s="28" t="s">
        <v>138</v>
      </c>
      <c r="D1401" s="28" t="s">
        <v>138</v>
      </c>
      <c r="E1401" s="28" t="s">
        <v>26962</v>
      </c>
      <c r="F1401" s="28" t="s">
        <v>26960</v>
      </c>
      <c r="G1401" s="28" t="s">
        <v>26963</v>
      </c>
      <c r="H1401" s="28" t="s">
        <v>183</v>
      </c>
      <c r="I1401" s="28" t="s">
        <v>184</v>
      </c>
      <c r="J1401" s="28" t="s">
        <v>185</v>
      </c>
      <c r="K1401" s="28" t="s">
        <v>10136</v>
      </c>
      <c r="L1401" s="28" t="s">
        <v>4186</v>
      </c>
      <c r="M1401" s="28" t="s">
        <v>26964</v>
      </c>
      <c r="N1401" s="28" t="s">
        <v>147</v>
      </c>
      <c r="O1401" s="29">
        <v>46.83</v>
      </c>
      <c r="P1401" s="28" t="s">
        <v>189</v>
      </c>
      <c r="Q1401" s="28" t="s">
        <v>149</v>
      </c>
      <c r="R1401" s="28" t="s">
        <v>174</v>
      </c>
      <c r="S1401" s="28" t="s">
        <v>26965</v>
      </c>
      <c r="T1401" s="30">
        <v>23</v>
      </c>
      <c r="U1401" s="28" t="s">
        <v>26966</v>
      </c>
      <c r="V1401" s="28" t="s">
        <v>138</v>
      </c>
      <c r="W1401" s="28" t="s">
        <v>138</v>
      </c>
      <c r="X1401" s="31">
        <v>2015</v>
      </c>
      <c r="Y1401" s="28" t="s">
        <v>138</v>
      </c>
      <c r="Z1401" s="28" t="s">
        <v>138</v>
      </c>
      <c r="AA1401" s="28" t="s">
        <v>26967</v>
      </c>
      <c r="AB1401" s="32" t="s">
        <v>138</v>
      </c>
      <c r="AC1401" s="32" t="s">
        <v>138</v>
      </c>
      <c r="AD1401" s="32" t="s">
        <v>138</v>
      </c>
      <c r="AE1401" s="32" t="s">
        <v>138</v>
      </c>
      <c r="AF1401" s="32" t="s">
        <v>138</v>
      </c>
      <c r="AG1401" s="28" t="s">
        <v>138</v>
      </c>
      <c r="AH1401" s="32" t="s">
        <v>138</v>
      </c>
      <c r="AI1401" s="32" t="s">
        <v>138</v>
      </c>
      <c r="AJ1401" s="32" t="s">
        <v>138</v>
      </c>
      <c r="AK1401" s="28" t="s">
        <v>26968</v>
      </c>
      <c r="AL1401" s="28" t="s">
        <v>26969</v>
      </c>
      <c r="AM1401" s="28" t="s">
        <v>26970</v>
      </c>
      <c r="AN1401" s="28" t="s">
        <v>26971</v>
      </c>
      <c r="AO1401" s="28" t="s">
        <v>26972</v>
      </c>
      <c r="AP1401" s="28" t="s">
        <v>307</v>
      </c>
      <c r="AQ1401" s="28" t="s">
        <v>26973</v>
      </c>
      <c r="AR1401" s="28" t="s">
        <v>26974</v>
      </c>
      <c r="AS1401" s="28" t="s">
        <v>310</v>
      </c>
      <c r="AT1401" s="28" t="s">
        <v>200</v>
      </c>
      <c r="AU1401" s="28" t="s">
        <v>311</v>
      </c>
      <c r="AV1401" s="28" t="s">
        <v>162</v>
      </c>
      <c r="AW1401" s="28" t="s">
        <v>26972</v>
      </c>
      <c r="AX1401" s="28" t="s">
        <v>138</v>
      </c>
      <c r="AY1401" s="28" t="s">
        <v>26975</v>
      </c>
      <c r="AZ1401" s="28" t="s">
        <v>164</v>
      </c>
      <c r="BA1401" s="28" t="s">
        <v>165</v>
      </c>
      <c r="BB1401" s="28" t="s">
        <v>26976</v>
      </c>
      <c r="BC1401" s="28" t="s">
        <v>26977</v>
      </c>
      <c r="BD1401" s="33">
        <v>5</v>
      </c>
      <c r="BE1401" s="28" t="s">
        <v>138</v>
      </c>
      <c r="BF1401" s="28" t="s">
        <v>138</v>
      </c>
      <c r="BG1401" s="28" t="s">
        <v>138</v>
      </c>
      <c r="BH1401" s="28" t="s">
        <v>26978</v>
      </c>
      <c r="BI1401" s="28" t="s">
        <v>138</v>
      </c>
      <c r="BJ1401" s="28" t="s">
        <v>138</v>
      </c>
      <c r="BK1401" s="28" t="s">
        <v>290</v>
      </c>
      <c r="BL1401" s="28" t="s">
        <v>290</v>
      </c>
      <c r="BM1401" s="34">
        <v>43027</v>
      </c>
      <c r="BN1401" s="29">
        <v>14.4</v>
      </c>
      <c r="BO1401" s="28" t="s">
        <v>172</v>
      </c>
      <c r="BP1401" s="29" t="s">
        <v>138</v>
      </c>
      <c r="BQ1401" s="28" t="s">
        <v>138</v>
      </c>
      <c r="BR1401" s="28" t="s">
        <v>205</v>
      </c>
      <c r="BS1401" s="28" t="s">
        <v>206</v>
      </c>
      <c r="BT1401" s="28" t="s">
        <v>138</v>
      </c>
      <c r="BU1401" s="28" t="s">
        <v>174</v>
      </c>
      <c r="BV1401" s="28" t="s">
        <v>138</v>
      </c>
      <c r="BW1401" s="28" t="s">
        <v>138</v>
      </c>
      <c r="BX1401" s="28" t="s">
        <v>138</v>
      </c>
      <c r="BY1401" s="28" t="s">
        <v>175</v>
      </c>
      <c r="BZ1401" s="34">
        <v>43616</v>
      </c>
      <c r="CA1401" s="29">
        <v>32.43</v>
      </c>
      <c r="CB1401" s="28" t="s">
        <v>172</v>
      </c>
      <c r="CC1401" s="29" t="s">
        <v>138</v>
      </c>
      <c r="CD1401" s="28" t="s">
        <v>138</v>
      </c>
      <c r="CE1401" s="28" t="s">
        <v>205</v>
      </c>
      <c r="CF1401" s="28" t="s">
        <v>138</v>
      </c>
      <c r="CG1401" s="28" t="s">
        <v>138</v>
      </c>
      <c r="CH1401" s="28" t="s">
        <v>174</v>
      </c>
      <c r="CI1401" s="28" t="s">
        <v>138</v>
      </c>
      <c r="CJ1401" s="28" t="s">
        <v>138</v>
      </c>
      <c r="CK1401" s="28" t="s">
        <v>138</v>
      </c>
      <c r="CL1401" s="28" t="s">
        <v>175</v>
      </c>
      <c r="CM1401" s="34" t="s">
        <v>138</v>
      </c>
      <c r="CN1401" s="29" t="s">
        <v>138</v>
      </c>
      <c r="CO1401" s="35">
        <v>2.4500000000000002</v>
      </c>
      <c r="CP1401" s="36">
        <v>99</v>
      </c>
      <c r="CQ1401" s="35">
        <v>0</v>
      </c>
      <c r="CR1401" s="35">
        <v>0</v>
      </c>
      <c r="CS1401" s="35" t="s">
        <v>138</v>
      </c>
      <c r="CT1401" s="36" t="s">
        <v>138</v>
      </c>
      <c r="CU1401" s="35" t="s">
        <v>138</v>
      </c>
      <c r="CV1401" s="36" t="s">
        <v>138</v>
      </c>
      <c r="CW1401" s="35" t="s">
        <v>138</v>
      </c>
      <c r="CX1401" s="36" t="s">
        <v>138</v>
      </c>
      <c r="CY1401" s="35" t="s">
        <v>138</v>
      </c>
      <c r="CZ1401" s="36" t="s">
        <v>138</v>
      </c>
      <c r="DA1401" s="35" t="s">
        <v>138</v>
      </c>
      <c r="DB1401" s="36" t="s">
        <v>138</v>
      </c>
      <c r="DC1401" s="37">
        <v>0.04</v>
      </c>
      <c r="DD1401" s="36">
        <v>4</v>
      </c>
      <c r="DE1401" s="37">
        <v>0</v>
      </c>
      <c r="DF1401" s="35">
        <v>0</v>
      </c>
      <c r="DG1401" s="37" t="s">
        <v>138</v>
      </c>
      <c r="DH1401" s="36" t="s">
        <v>138</v>
      </c>
      <c r="DI1401" s="37" t="s">
        <v>138</v>
      </c>
      <c r="DJ1401" s="36" t="s">
        <v>138</v>
      </c>
      <c r="DK1401" s="37" t="s">
        <v>138</v>
      </c>
      <c r="DL1401" s="36" t="s">
        <v>138</v>
      </c>
      <c r="DM1401" s="37" t="s">
        <v>138</v>
      </c>
      <c r="DN1401" s="36" t="s">
        <v>138</v>
      </c>
      <c r="DO1401" s="37" t="s">
        <v>138</v>
      </c>
      <c r="DP1401" s="36" t="s">
        <v>138</v>
      </c>
      <c r="DQ1401" s="36" t="s">
        <v>138</v>
      </c>
      <c r="DR1401" s="38" t="s">
        <v>138</v>
      </c>
      <c r="DS1401" s="35" t="s">
        <v>138</v>
      </c>
      <c r="DT1401" s="36" t="s">
        <v>138</v>
      </c>
      <c r="DU1401" s="38" t="s">
        <v>138</v>
      </c>
      <c r="DV1401" s="35" t="s">
        <v>138</v>
      </c>
      <c r="DW1401" s="36" t="s">
        <v>138</v>
      </c>
      <c r="DX1401" s="39" t="s">
        <v>138</v>
      </c>
      <c r="DY1401" s="35" t="s">
        <v>138</v>
      </c>
      <c r="DZ1401" s="28" t="s">
        <v>178</v>
      </c>
      <c r="EA1401" s="34">
        <v>43622</v>
      </c>
      <c r="EB1401" s="29" t="s">
        <v>138</v>
      </c>
      <c r="EC1401" s="34" t="s">
        <v>138</v>
      </c>
      <c r="ED1401" s="28" t="s">
        <v>138</v>
      </c>
      <c r="EE1401" s="40" t="str">
        <f>HYPERLINK("https://my.pitchbook.com?c=164065-96", "View company online")</f>
        <v>View company online</v>
      </c>
    </row>
    <row r="1402" spans="1:135">
      <c r="A1402" s="15" t="s">
        <v>26979</v>
      </c>
      <c r="B1402" s="15" t="s">
        <v>26980</v>
      </c>
      <c r="C1402" s="15" t="s">
        <v>138</v>
      </c>
      <c r="D1402" s="15" t="s">
        <v>138</v>
      </c>
      <c r="E1402" s="15" t="s">
        <v>138</v>
      </c>
      <c r="F1402" s="15" t="s">
        <v>26979</v>
      </c>
      <c r="G1402" s="15" t="s">
        <v>26981</v>
      </c>
      <c r="H1402" s="15" t="s">
        <v>322</v>
      </c>
      <c r="I1402" s="15" t="s">
        <v>1208</v>
      </c>
      <c r="J1402" s="15" t="s">
        <v>6030</v>
      </c>
      <c r="K1402" s="15" t="s">
        <v>26982</v>
      </c>
      <c r="L1402" s="15" t="s">
        <v>415</v>
      </c>
      <c r="M1402" s="15" t="s">
        <v>26983</v>
      </c>
      <c r="N1402" s="15" t="s">
        <v>147</v>
      </c>
      <c r="O1402" s="17">
        <v>2</v>
      </c>
      <c r="P1402" s="15" t="s">
        <v>610</v>
      </c>
      <c r="Q1402" s="15" t="s">
        <v>149</v>
      </c>
      <c r="R1402" s="15" t="s">
        <v>174</v>
      </c>
      <c r="S1402" s="15" t="s">
        <v>26984</v>
      </c>
      <c r="T1402" s="18">
        <v>2</v>
      </c>
      <c r="U1402" s="15" t="s">
        <v>4417</v>
      </c>
      <c r="V1402" s="15" t="s">
        <v>138</v>
      </c>
      <c r="W1402" s="15" t="s">
        <v>138</v>
      </c>
      <c r="X1402" s="19">
        <v>2014</v>
      </c>
      <c r="Y1402" s="15" t="s">
        <v>138</v>
      </c>
      <c r="Z1402" s="15" t="s">
        <v>138</v>
      </c>
      <c r="AA1402" s="15" t="s">
        <v>138</v>
      </c>
      <c r="AB1402" s="20" t="s">
        <v>138</v>
      </c>
      <c r="AC1402" s="20" t="s">
        <v>138</v>
      </c>
      <c r="AD1402" s="20" t="s">
        <v>138</v>
      </c>
      <c r="AE1402" s="20" t="s">
        <v>138</v>
      </c>
      <c r="AF1402" s="20" t="s">
        <v>138</v>
      </c>
      <c r="AG1402" s="15" t="s">
        <v>138</v>
      </c>
      <c r="AH1402" s="20" t="s">
        <v>138</v>
      </c>
      <c r="AI1402" s="20" t="s">
        <v>138</v>
      </c>
      <c r="AJ1402" s="20" t="s">
        <v>138</v>
      </c>
      <c r="AK1402" s="15" t="s">
        <v>26985</v>
      </c>
      <c r="AL1402" s="15" t="s">
        <v>26986</v>
      </c>
      <c r="AM1402" s="15" t="s">
        <v>304</v>
      </c>
      <c r="AN1402" s="15" t="s">
        <v>26987</v>
      </c>
      <c r="AO1402" s="15" t="s">
        <v>138</v>
      </c>
      <c r="AP1402" s="15" t="s">
        <v>5380</v>
      </c>
      <c r="AQ1402" s="15" t="s">
        <v>26988</v>
      </c>
      <c r="AR1402" s="15" t="s">
        <v>138</v>
      </c>
      <c r="AS1402" s="15" t="s">
        <v>5382</v>
      </c>
      <c r="AT1402" s="15" t="s">
        <v>200</v>
      </c>
      <c r="AU1402" s="15" t="s">
        <v>5383</v>
      </c>
      <c r="AV1402" s="15" t="s">
        <v>162</v>
      </c>
      <c r="AW1402" s="15" t="s">
        <v>138</v>
      </c>
      <c r="AX1402" s="15" t="s">
        <v>138</v>
      </c>
      <c r="AY1402" s="15" t="s">
        <v>26989</v>
      </c>
      <c r="AZ1402" s="15" t="s">
        <v>164</v>
      </c>
      <c r="BA1402" s="15" t="s">
        <v>165</v>
      </c>
      <c r="BB1402" s="15" t="s">
        <v>26990</v>
      </c>
      <c r="BC1402" s="15" t="s">
        <v>26991</v>
      </c>
      <c r="BD1402" s="21">
        <v>4</v>
      </c>
      <c r="BE1402" s="15" t="s">
        <v>138</v>
      </c>
      <c r="BF1402" s="15" t="s">
        <v>138</v>
      </c>
      <c r="BG1402" s="15" t="s">
        <v>138</v>
      </c>
      <c r="BH1402" s="15" t="s">
        <v>26992</v>
      </c>
      <c r="BI1402" s="15" t="s">
        <v>138</v>
      </c>
      <c r="BJ1402" s="15" t="s">
        <v>138</v>
      </c>
      <c r="BK1402" s="15" t="s">
        <v>138</v>
      </c>
      <c r="BL1402" s="15" t="s">
        <v>138</v>
      </c>
      <c r="BM1402" s="22">
        <v>42675</v>
      </c>
      <c r="BN1402" s="17">
        <v>2</v>
      </c>
      <c r="BO1402" s="15" t="s">
        <v>172</v>
      </c>
      <c r="BP1402" s="17" t="s">
        <v>138</v>
      </c>
      <c r="BQ1402" s="15" t="s">
        <v>138</v>
      </c>
      <c r="BR1402" s="15" t="s">
        <v>234</v>
      </c>
      <c r="BS1402" s="15" t="s">
        <v>234</v>
      </c>
      <c r="BT1402" s="15" t="s">
        <v>138</v>
      </c>
      <c r="BU1402" s="15" t="s">
        <v>174</v>
      </c>
      <c r="BV1402" s="15" t="s">
        <v>138</v>
      </c>
      <c r="BW1402" s="15" t="s">
        <v>138</v>
      </c>
      <c r="BX1402" s="15" t="s">
        <v>138</v>
      </c>
      <c r="BY1402" s="15" t="s">
        <v>175</v>
      </c>
      <c r="BZ1402" s="22">
        <v>42675</v>
      </c>
      <c r="CA1402" s="17">
        <v>2</v>
      </c>
      <c r="CB1402" s="15" t="s">
        <v>172</v>
      </c>
      <c r="CC1402" s="17" t="s">
        <v>138</v>
      </c>
      <c r="CD1402" s="15" t="s">
        <v>138</v>
      </c>
      <c r="CE1402" s="15" t="s">
        <v>234</v>
      </c>
      <c r="CF1402" s="15" t="s">
        <v>234</v>
      </c>
      <c r="CG1402" s="15" t="s">
        <v>138</v>
      </c>
      <c r="CH1402" s="15" t="s">
        <v>174</v>
      </c>
      <c r="CI1402" s="15" t="s">
        <v>138</v>
      </c>
      <c r="CJ1402" s="15" t="s">
        <v>138</v>
      </c>
      <c r="CK1402" s="15" t="s">
        <v>138</v>
      </c>
      <c r="CL1402" s="15" t="s">
        <v>175</v>
      </c>
      <c r="CM1402" s="22" t="s">
        <v>138</v>
      </c>
      <c r="CN1402" s="17" t="s">
        <v>138</v>
      </c>
      <c r="CO1402" s="23">
        <v>0</v>
      </c>
      <c r="CP1402" s="24">
        <v>26</v>
      </c>
      <c r="CQ1402" s="23">
        <v>0</v>
      </c>
      <c r="CR1402" s="23">
        <v>0</v>
      </c>
      <c r="CS1402" s="23">
        <v>0</v>
      </c>
      <c r="CT1402" s="24">
        <v>23</v>
      </c>
      <c r="CU1402" s="23">
        <v>0</v>
      </c>
      <c r="CV1402" s="24">
        <v>22</v>
      </c>
      <c r="CW1402" s="23" t="s">
        <v>138</v>
      </c>
      <c r="CX1402" s="24" t="s">
        <v>138</v>
      </c>
      <c r="CY1402" s="23">
        <v>0</v>
      </c>
      <c r="CZ1402" s="24">
        <v>25</v>
      </c>
      <c r="DA1402" s="23">
        <v>0</v>
      </c>
      <c r="DB1402" s="24">
        <v>22</v>
      </c>
      <c r="DC1402" s="25">
        <v>0.11</v>
      </c>
      <c r="DD1402" s="24">
        <v>9</v>
      </c>
      <c r="DE1402" s="25">
        <v>0</v>
      </c>
      <c r="DF1402" s="23">
        <v>0.78</v>
      </c>
      <c r="DG1402" s="25">
        <v>0.14000000000000001</v>
      </c>
      <c r="DH1402" s="24">
        <v>10</v>
      </c>
      <c r="DI1402" s="25">
        <v>0.08</v>
      </c>
      <c r="DJ1402" s="24">
        <v>12</v>
      </c>
      <c r="DK1402" s="25" t="s">
        <v>138</v>
      </c>
      <c r="DL1402" s="24" t="s">
        <v>138</v>
      </c>
      <c r="DM1402" s="25">
        <v>0.14000000000000001</v>
      </c>
      <c r="DN1402" s="24">
        <v>11</v>
      </c>
      <c r="DO1402" s="25">
        <v>0.12</v>
      </c>
      <c r="DP1402" s="24">
        <v>18</v>
      </c>
      <c r="DQ1402" s="24" t="s">
        <v>138</v>
      </c>
      <c r="DR1402" s="26" t="s">
        <v>138</v>
      </c>
      <c r="DS1402" s="23" t="s">
        <v>138</v>
      </c>
      <c r="DT1402" s="24">
        <v>4</v>
      </c>
      <c r="DU1402" s="26">
        <v>0</v>
      </c>
      <c r="DV1402" s="23">
        <v>0</v>
      </c>
      <c r="DW1402" s="24">
        <v>41</v>
      </c>
      <c r="DX1402" s="27">
        <v>0</v>
      </c>
      <c r="DY1402" s="23">
        <v>0</v>
      </c>
      <c r="DZ1402" s="15" t="s">
        <v>178</v>
      </c>
      <c r="EA1402" s="22">
        <v>43351</v>
      </c>
      <c r="EB1402" s="17" t="s">
        <v>138</v>
      </c>
      <c r="EC1402" s="22" t="s">
        <v>138</v>
      </c>
      <c r="ED1402" s="15" t="s">
        <v>138</v>
      </c>
      <c r="EE1402" s="14" t="str">
        <f>HYPERLINK("https://my.pitchbook.com?c=113526-46", "View company online")</f>
        <v>View company online</v>
      </c>
    </row>
    <row r="1403" spans="1:135">
      <c r="A1403" s="28" t="s">
        <v>26993</v>
      </c>
      <c r="B1403" s="28" t="s">
        <v>26994</v>
      </c>
      <c r="C1403" s="28" t="s">
        <v>26995</v>
      </c>
      <c r="D1403" s="28" t="s">
        <v>138</v>
      </c>
      <c r="E1403" s="28" t="s">
        <v>26996</v>
      </c>
      <c r="F1403" s="28" t="s">
        <v>26993</v>
      </c>
      <c r="G1403" s="28" t="s">
        <v>26997</v>
      </c>
      <c r="H1403" s="28" t="s">
        <v>322</v>
      </c>
      <c r="I1403" s="28" t="s">
        <v>323</v>
      </c>
      <c r="J1403" s="28" t="s">
        <v>437</v>
      </c>
      <c r="K1403" s="28" t="s">
        <v>6110</v>
      </c>
      <c r="L1403" s="28" t="s">
        <v>4804</v>
      </c>
      <c r="M1403" s="28" t="s">
        <v>26998</v>
      </c>
      <c r="N1403" s="28" t="s">
        <v>147</v>
      </c>
      <c r="O1403" s="29">
        <v>33.5</v>
      </c>
      <c r="P1403" s="28" t="s">
        <v>148</v>
      </c>
      <c r="Q1403" s="28" t="s">
        <v>149</v>
      </c>
      <c r="R1403" s="28" t="s">
        <v>174</v>
      </c>
      <c r="S1403" s="28" t="s">
        <v>26999</v>
      </c>
      <c r="T1403" s="30">
        <v>54</v>
      </c>
      <c r="U1403" s="28" t="s">
        <v>27000</v>
      </c>
      <c r="V1403" s="28" t="s">
        <v>138</v>
      </c>
      <c r="W1403" s="28" t="s">
        <v>138</v>
      </c>
      <c r="X1403" s="31">
        <v>1992</v>
      </c>
      <c r="Y1403" s="28" t="s">
        <v>138</v>
      </c>
      <c r="Z1403" s="28" t="s">
        <v>138</v>
      </c>
      <c r="AA1403" s="28" t="s">
        <v>138</v>
      </c>
      <c r="AB1403" s="32">
        <v>1.4</v>
      </c>
      <c r="AC1403" s="32" t="s">
        <v>138</v>
      </c>
      <c r="AD1403" s="32" t="s">
        <v>138</v>
      </c>
      <c r="AE1403" s="32" t="s">
        <v>138</v>
      </c>
      <c r="AF1403" s="32" t="s">
        <v>138</v>
      </c>
      <c r="AG1403" s="28" t="s">
        <v>27001</v>
      </c>
      <c r="AH1403" s="32" t="s">
        <v>138</v>
      </c>
      <c r="AI1403" s="32" t="s">
        <v>138</v>
      </c>
      <c r="AJ1403" s="32" t="s">
        <v>138</v>
      </c>
      <c r="AK1403" s="28" t="s">
        <v>27002</v>
      </c>
      <c r="AL1403" s="28" t="s">
        <v>27003</v>
      </c>
      <c r="AM1403" s="28" t="s">
        <v>27004</v>
      </c>
      <c r="AN1403" s="28" t="s">
        <v>27005</v>
      </c>
      <c r="AO1403" s="28" t="s">
        <v>27006</v>
      </c>
      <c r="AP1403" s="28" t="s">
        <v>27007</v>
      </c>
      <c r="AQ1403" s="28" t="s">
        <v>27008</v>
      </c>
      <c r="AR1403" s="28" t="s">
        <v>27009</v>
      </c>
      <c r="AS1403" s="28" t="s">
        <v>27010</v>
      </c>
      <c r="AT1403" s="28" t="s">
        <v>138</v>
      </c>
      <c r="AU1403" s="28" t="s">
        <v>27011</v>
      </c>
      <c r="AV1403" s="28" t="s">
        <v>740</v>
      </c>
      <c r="AW1403" s="28" t="s">
        <v>27006</v>
      </c>
      <c r="AX1403" s="28" t="s">
        <v>27012</v>
      </c>
      <c r="AY1403" s="28" t="s">
        <v>27013</v>
      </c>
      <c r="AZ1403" s="28" t="s">
        <v>742</v>
      </c>
      <c r="BA1403" s="28" t="s">
        <v>742</v>
      </c>
      <c r="BB1403" s="28" t="s">
        <v>27014</v>
      </c>
      <c r="BC1403" s="28" t="s">
        <v>27015</v>
      </c>
      <c r="BD1403" s="33">
        <v>12</v>
      </c>
      <c r="BE1403" s="28" t="s">
        <v>138</v>
      </c>
      <c r="BF1403" s="28" t="s">
        <v>27016</v>
      </c>
      <c r="BG1403" s="28" t="s">
        <v>138</v>
      </c>
      <c r="BH1403" s="28" t="s">
        <v>27017</v>
      </c>
      <c r="BI1403" s="28" t="s">
        <v>27018</v>
      </c>
      <c r="BJ1403" s="28" t="s">
        <v>138</v>
      </c>
      <c r="BK1403" s="28" t="s">
        <v>138</v>
      </c>
      <c r="BL1403" s="28" t="s">
        <v>138</v>
      </c>
      <c r="BM1403" s="34">
        <v>36161</v>
      </c>
      <c r="BN1403" s="29">
        <v>4</v>
      </c>
      <c r="BO1403" s="28" t="s">
        <v>172</v>
      </c>
      <c r="BP1403" s="29" t="s">
        <v>138</v>
      </c>
      <c r="BQ1403" s="28" t="s">
        <v>138</v>
      </c>
      <c r="BR1403" s="28" t="s">
        <v>173</v>
      </c>
      <c r="BS1403" s="28" t="s">
        <v>138</v>
      </c>
      <c r="BT1403" s="28" t="s">
        <v>138</v>
      </c>
      <c r="BU1403" s="28" t="s">
        <v>174</v>
      </c>
      <c r="BV1403" s="28" t="s">
        <v>138</v>
      </c>
      <c r="BW1403" s="28" t="s">
        <v>138</v>
      </c>
      <c r="BX1403" s="28" t="s">
        <v>138</v>
      </c>
      <c r="BY1403" s="28" t="s">
        <v>175</v>
      </c>
      <c r="BZ1403" s="34" t="s">
        <v>138</v>
      </c>
      <c r="CA1403" s="29" t="s">
        <v>138</v>
      </c>
      <c r="CB1403" s="28" t="s">
        <v>138</v>
      </c>
      <c r="CC1403" s="29" t="s">
        <v>138</v>
      </c>
      <c r="CD1403" s="28" t="s">
        <v>138</v>
      </c>
      <c r="CE1403" s="28" t="s">
        <v>379</v>
      </c>
      <c r="CF1403" s="28" t="s">
        <v>138</v>
      </c>
      <c r="CG1403" s="28" t="s">
        <v>138</v>
      </c>
      <c r="CH1403" s="28" t="s">
        <v>138</v>
      </c>
      <c r="CI1403" s="28" t="s">
        <v>138</v>
      </c>
      <c r="CJ1403" s="28" t="s">
        <v>138</v>
      </c>
      <c r="CK1403" s="28" t="s">
        <v>138</v>
      </c>
      <c r="CL1403" s="28" t="s">
        <v>175</v>
      </c>
      <c r="CM1403" s="34" t="s">
        <v>138</v>
      </c>
      <c r="CN1403" s="29" t="s">
        <v>138</v>
      </c>
      <c r="CO1403" s="35">
        <v>-5.77</v>
      </c>
      <c r="CP1403" s="36">
        <v>1</v>
      </c>
      <c r="CQ1403" s="35">
        <v>-0.05</v>
      </c>
      <c r="CR1403" s="35">
        <v>-0.82</v>
      </c>
      <c r="CS1403" s="35">
        <v>-5.77</v>
      </c>
      <c r="CT1403" s="36">
        <v>2</v>
      </c>
      <c r="CU1403" s="35" t="s">
        <v>138</v>
      </c>
      <c r="CV1403" s="36" t="s">
        <v>138</v>
      </c>
      <c r="CW1403" s="35" t="s">
        <v>138</v>
      </c>
      <c r="CX1403" s="36" t="s">
        <v>138</v>
      </c>
      <c r="CY1403" s="35">
        <v>-5.77</v>
      </c>
      <c r="CZ1403" s="36">
        <v>2</v>
      </c>
      <c r="DA1403" s="35" t="s">
        <v>138</v>
      </c>
      <c r="DB1403" s="36" t="s">
        <v>138</v>
      </c>
      <c r="DC1403" s="37">
        <v>18.34</v>
      </c>
      <c r="DD1403" s="36">
        <v>94</v>
      </c>
      <c r="DE1403" s="37">
        <v>-0.1</v>
      </c>
      <c r="DF1403" s="35">
        <v>-0.56000000000000005</v>
      </c>
      <c r="DG1403" s="37">
        <v>18.34</v>
      </c>
      <c r="DH1403" s="36">
        <v>94</v>
      </c>
      <c r="DI1403" s="37" t="s">
        <v>138</v>
      </c>
      <c r="DJ1403" s="36" t="s">
        <v>138</v>
      </c>
      <c r="DK1403" s="37" t="s">
        <v>138</v>
      </c>
      <c r="DL1403" s="36" t="s">
        <v>138</v>
      </c>
      <c r="DM1403" s="37">
        <v>18.34</v>
      </c>
      <c r="DN1403" s="36">
        <v>94</v>
      </c>
      <c r="DO1403" s="37" t="s">
        <v>138</v>
      </c>
      <c r="DP1403" s="36" t="s">
        <v>138</v>
      </c>
      <c r="DQ1403" s="36" t="s">
        <v>138</v>
      </c>
      <c r="DR1403" s="38" t="s">
        <v>138</v>
      </c>
      <c r="DS1403" s="35" t="s">
        <v>138</v>
      </c>
      <c r="DT1403" s="36">
        <v>533</v>
      </c>
      <c r="DU1403" s="38">
        <v>-2</v>
      </c>
      <c r="DV1403" s="35">
        <v>-0.37</v>
      </c>
      <c r="DW1403" s="36" t="s">
        <v>138</v>
      </c>
      <c r="DX1403" s="39" t="s">
        <v>138</v>
      </c>
      <c r="DY1403" s="35" t="s">
        <v>138</v>
      </c>
      <c r="DZ1403" s="28" t="s">
        <v>178</v>
      </c>
      <c r="EA1403" s="34">
        <v>43622</v>
      </c>
      <c r="EB1403" s="29">
        <v>80</v>
      </c>
      <c r="EC1403" s="34">
        <v>36724</v>
      </c>
      <c r="ED1403" s="28" t="s">
        <v>173</v>
      </c>
      <c r="EE1403" s="40" t="str">
        <f>HYPERLINK("https://my.pitchbook.com?c=51333-76", "View company online")</f>
        <v>View company online</v>
      </c>
    </row>
    <row r="1404" spans="1:135">
      <c r="A1404" s="15" t="s">
        <v>27019</v>
      </c>
      <c r="B1404" s="15" t="s">
        <v>27020</v>
      </c>
      <c r="C1404" s="15" t="s">
        <v>138</v>
      </c>
      <c r="D1404" s="15" t="s">
        <v>138</v>
      </c>
      <c r="E1404" s="15" t="s">
        <v>27021</v>
      </c>
      <c r="F1404" s="15" t="s">
        <v>27019</v>
      </c>
      <c r="G1404" s="15" t="s">
        <v>27022</v>
      </c>
      <c r="H1404" s="15" t="s">
        <v>322</v>
      </c>
      <c r="I1404" s="15" t="s">
        <v>323</v>
      </c>
      <c r="J1404" s="15" t="s">
        <v>324</v>
      </c>
      <c r="K1404" s="15" t="s">
        <v>325</v>
      </c>
      <c r="L1404" s="15" t="s">
        <v>27023</v>
      </c>
      <c r="M1404" s="15" t="s">
        <v>27024</v>
      </c>
      <c r="N1404" s="15" t="s">
        <v>147</v>
      </c>
      <c r="O1404" s="17">
        <v>14.64</v>
      </c>
      <c r="P1404" s="15" t="s">
        <v>148</v>
      </c>
      <c r="Q1404" s="15" t="s">
        <v>149</v>
      </c>
      <c r="R1404" s="15" t="s">
        <v>174</v>
      </c>
      <c r="S1404" s="15" t="s">
        <v>27025</v>
      </c>
      <c r="T1404" s="18">
        <v>14</v>
      </c>
      <c r="U1404" s="15" t="s">
        <v>27026</v>
      </c>
      <c r="V1404" s="15" t="s">
        <v>138</v>
      </c>
      <c r="W1404" s="15" t="s">
        <v>138</v>
      </c>
      <c r="X1404" s="19">
        <v>2008</v>
      </c>
      <c r="Y1404" s="15" t="s">
        <v>138</v>
      </c>
      <c r="Z1404" s="15" t="s">
        <v>138</v>
      </c>
      <c r="AA1404" s="15" t="s">
        <v>138</v>
      </c>
      <c r="AB1404" s="20" t="s">
        <v>138</v>
      </c>
      <c r="AC1404" s="20" t="s">
        <v>138</v>
      </c>
      <c r="AD1404" s="20" t="s">
        <v>138</v>
      </c>
      <c r="AE1404" s="20" t="s">
        <v>138</v>
      </c>
      <c r="AF1404" s="20" t="s">
        <v>138</v>
      </c>
      <c r="AG1404" s="15" t="s">
        <v>138</v>
      </c>
      <c r="AH1404" s="20" t="s">
        <v>138</v>
      </c>
      <c r="AI1404" s="20" t="s">
        <v>138</v>
      </c>
      <c r="AJ1404" s="20" t="s">
        <v>138</v>
      </c>
      <c r="AK1404" s="15" t="s">
        <v>27027</v>
      </c>
      <c r="AL1404" s="15" t="s">
        <v>27028</v>
      </c>
      <c r="AM1404" s="15" t="s">
        <v>221</v>
      </c>
      <c r="AN1404" s="15" t="s">
        <v>27029</v>
      </c>
      <c r="AO1404" s="15" t="s">
        <v>27030</v>
      </c>
      <c r="AP1404" s="15" t="s">
        <v>5380</v>
      </c>
      <c r="AQ1404" s="15" t="s">
        <v>27031</v>
      </c>
      <c r="AR1404" s="15" t="s">
        <v>1459</v>
      </c>
      <c r="AS1404" s="15" t="s">
        <v>5382</v>
      </c>
      <c r="AT1404" s="15" t="s">
        <v>200</v>
      </c>
      <c r="AU1404" s="15" t="s">
        <v>5383</v>
      </c>
      <c r="AV1404" s="15" t="s">
        <v>162</v>
      </c>
      <c r="AW1404" s="15" t="s">
        <v>27030</v>
      </c>
      <c r="AX1404" s="15" t="s">
        <v>138</v>
      </c>
      <c r="AY1404" s="15" t="s">
        <v>27032</v>
      </c>
      <c r="AZ1404" s="15" t="s">
        <v>164</v>
      </c>
      <c r="BA1404" s="15" t="s">
        <v>165</v>
      </c>
      <c r="BB1404" s="15" t="s">
        <v>27033</v>
      </c>
      <c r="BC1404" s="15" t="s">
        <v>27034</v>
      </c>
      <c r="BD1404" s="21">
        <v>2</v>
      </c>
      <c r="BE1404" s="15" t="s">
        <v>138</v>
      </c>
      <c r="BF1404" s="15" t="s">
        <v>138</v>
      </c>
      <c r="BG1404" s="15" t="s">
        <v>138</v>
      </c>
      <c r="BH1404" s="15" t="s">
        <v>27035</v>
      </c>
      <c r="BI1404" s="15" t="s">
        <v>138</v>
      </c>
      <c r="BJ1404" s="15" t="s">
        <v>138</v>
      </c>
      <c r="BK1404" s="15" t="s">
        <v>138</v>
      </c>
      <c r="BL1404" s="15" t="s">
        <v>138</v>
      </c>
      <c r="BM1404" s="22">
        <v>42612</v>
      </c>
      <c r="BN1404" s="17">
        <v>10.64</v>
      </c>
      <c r="BO1404" s="15" t="s">
        <v>172</v>
      </c>
      <c r="BP1404" s="17" t="s">
        <v>138</v>
      </c>
      <c r="BQ1404" s="15" t="s">
        <v>138</v>
      </c>
      <c r="BR1404" s="15" t="s">
        <v>173</v>
      </c>
      <c r="BS1404" s="15" t="s">
        <v>138</v>
      </c>
      <c r="BT1404" s="15" t="s">
        <v>138</v>
      </c>
      <c r="BU1404" s="15" t="s">
        <v>174</v>
      </c>
      <c r="BV1404" s="15" t="s">
        <v>138</v>
      </c>
      <c r="BW1404" s="15" t="s">
        <v>138</v>
      </c>
      <c r="BX1404" s="15" t="s">
        <v>138</v>
      </c>
      <c r="BY1404" s="15" t="s">
        <v>175</v>
      </c>
      <c r="BZ1404" s="22">
        <v>43343</v>
      </c>
      <c r="CA1404" s="17">
        <v>4</v>
      </c>
      <c r="CB1404" s="15" t="s">
        <v>172</v>
      </c>
      <c r="CC1404" s="17" t="s">
        <v>138</v>
      </c>
      <c r="CD1404" s="15" t="s">
        <v>138</v>
      </c>
      <c r="CE1404" s="15" t="s">
        <v>173</v>
      </c>
      <c r="CF1404" s="15" t="s">
        <v>138</v>
      </c>
      <c r="CG1404" s="15" t="s">
        <v>138</v>
      </c>
      <c r="CH1404" s="15" t="s">
        <v>174</v>
      </c>
      <c r="CI1404" s="15" t="s">
        <v>138</v>
      </c>
      <c r="CJ1404" s="15" t="s">
        <v>138</v>
      </c>
      <c r="CK1404" s="15" t="s">
        <v>138</v>
      </c>
      <c r="CL1404" s="15" t="s">
        <v>175</v>
      </c>
      <c r="CM1404" s="22" t="s">
        <v>138</v>
      </c>
      <c r="CN1404" s="17" t="s">
        <v>138</v>
      </c>
      <c r="CO1404" s="23">
        <v>-0.1</v>
      </c>
      <c r="CP1404" s="24">
        <v>21</v>
      </c>
      <c r="CQ1404" s="23">
        <v>0.03</v>
      </c>
      <c r="CR1404" s="23">
        <v>20.7</v>
      </c>
      <c r="CS1404" s="23">
        <v>-0.41</v>
      </c>
      <c r="CT1404" s="24">
        <v>20</v>
      </c>
      <c r="CU1404" s="23">
        <v>0.21</v>
      </c>
      <c r="CV1404" s="24">
        <v>81</v>
      </c>
      <c r="CW1404" s="23">
        <v>0</v>
      </c>
      <c r="CX1404" s="24">
        <v>13</v>
      </c>
      <c r="CY1404" s="23">
        <v>-0.82</v>
      </c>
      <c r="CZ1404" s="24">
        <v>20</v>
      </c>
      <c r="DA1404" s="23">
        <v>0.21</v>
      </c>
      <c r="DB1404" s="24">
        <v>83</v>
      </c>
      <c r="DC1404" s="25">
        <v>1.17</v>
      </c>
      <c r="DD1404" s="24">
        <v>55</v>
      </c>
      <c r="DE1404" s="25">
        <v>0</v>
      </c>
      <c r="DF1404" s="23">
        <v>0.33</v>
      </c>
      <c r="DG1404" s="25">
        <v>1.83</v>
      </c>
      <c r="DH1404" s="24">
        <v>65</v>
      </c>
      <c r="DI1404" s="25">
        <v>0.51</v>
      </c>
      <c r="DJ1404" s="24">
        <v>37</v>
      </c>
      <c r="DK1404" s="25">
        <v>0.6</v>
      </c>
      <c r="DL1404" s="24">
        <v>38</v>
      </c>
      <c r="DM1404" s="25">
        <v>3.07</v>
      </c>
      <c r="DN1404" s="24">
        <v>74</v>
      </c>
      <c r="DO1404" s="25">
        <v>0.51</v>
      </c>
      <c r="DP1404" s="24">
        <v>38</v>
      </c>
      <c r="DQ1404" s="24">
        <v>217</v>
      </c>
      <c r="DR1404" s="26">
        <v>-36</v>
      </c>
      <c r="DS1404" s="23">
        <v>-14.23</v>
      </c>
      <c r="DT1404" s="24">
        <v>89</v>
      </c>
      <c r="DU1404" s="26">
        <v>-1</v>
      </c>
      <c r="DV1404" s="23">
        <v>-1.1100000000000001</v>
      </c>
      <c r="DW1404" s="24">
        <v>182</v>
      </c>
      <c r="DX1404" s="27">
        <v>-1</v>
      </c>
      <c r="DY1404" s="23">
        <v>-0.55000000000000004</v>
      </c>
      <c r="DZ1404" s="15" t="s">
        <v>178</v>
      </c>
      <c r="EA1404" s="22">
        <v>43622</v>
      </c>
      <c r="EB1404" s="17" t="s">
        <v>138</v>
      </c>
      <c r="EC1404" s="22" t="s">
        <v>138</v>
      </c>
      <c r="ED1404" s="15" t="s">
        <v>138</v>
      </c>
      <c r="EE1404" s="14" t="str">
        <f>HYPERLINK("https://my.pitchbook.com?c=84793-15", "View company online")</f>
        <v>View company online</v>
      </c>
    </row>
    <row r="1405" spans="1:135">
      <c r="A1405" s="28" t="s">
        <v>27036</v>
      </c>
      <c r="B1405" s="28" t="s">
        <v>21481</v>
      </c>
      <c r="C1405" s="28" t="s">
        <v>138</v>
      </c>
      <c r="D1405" s="28" t="s">
        <v>138</v>
      </c>
      <c r="E1405" s="28" t="s">
        <v>27037</v>
      </c>
      <c r="F1405" s="28" t="s">
        <v>27036</v>
      </c>
      <c r="G1405" s="28" t="s">
        <v>27038</v>
      </c>
      <c r="H1405" s="28" t="s">
        <v>322</v>
      </c>
      <c r="I1405" s="28" t="s">
        <v>1503</v>
      </c>
      <c r="J1405" s="28" t="s">
        <v>11677</v>
      </c>
      <c r="K1405" s="28" t="s">
        <v>21549</v>
      </c>
      <c r="L1405" s="28" t="s">
        <v>2835</v>
      </c>
      <c r="M1405" s="28" t="s">
        <v>27039</v>
      </c>
      <c r="N1405" s="28" t="s">
        <v>147</v>
      </c>
      <c r="O1405" s="29">
        <v>42.5</v>
      </c>
      <c r="P1405" s="28" t="s">
        <v>148</v>
      </c>
      <c r="Q1405" s="28" t="s">
        <v>149</v>
      </c>
      <c r="R1405" s="28" t="s">
        <v>174</v>
      </c>
      <c r="S1405" s="28" t="s">
        <v>27040</v>
      </c>
      <c r="T1405" s="30">
        <v>45</v>
      </c>
      <c r="U1405" s="28" t="s">
        <v>27041</v>
      </c>
      <c r="V1405" s="28" t="s">
        <v>138</v>
      </c>
      <c r="W1405" s="28" t="s">
        <v>138</v>
      </c>
      <c r="X1405" s="31">
        <v>2014</v>
      </c>
      <c r="Y1405" s="28" t="s">
        <v>138</v>
      </c>
      <c r="Z1405" s="28" t="s">
        <v>138</v>
      </c>
      <c r="AA1405" s="28" t="s">
        <v>138</v>
      </c>
      <c r="AB1405" s="32" t="s">
        <v>138</v>
      </c>
      <c r="AC1405" s="32" t="s">
        <v>138</v>
      </c>
      <c r="AD1405" s="32" t="s">
        <v>138</v>
      </c>
      <c r="AE1405" s="32" t="s">
        <v>138</v>
      </c>
      <c r="AF1405" s="32" t="s">
        <v>138</v>
      </c>
      <c r="AG1405" s="28" t="s">
        <v>138</v>
      </c>
      <c r="AH1405" s="32" t="s">
        <v>138</v>
      </c>
      <c r="AI1405" s="32" t="s">
        <v>138</v>
      </c>
      <c r="AJ1405" s="32" t="s">
        <v>138</v>
      </c>
      <c r="AK1405" s="28" t="s">
        <v>27042</v>
      </c>
      <c r="AL1405" s="28" t="s">
        <v>27043</v>
      </c>
      <c r="AM1405" s="28" t="s">
        <v>221</v>
      </c>
      <c r="AN1405" s="28" t="s">
        <v>27044</v>
      </c>
      <c r="AO1405" s="28" t="s">
        <v>27045</v>
      </c>
      <c r="AP1405" s="28" t="s">
        <v>1220</v>
      </c>
      <c r="AQ1405" s="28" t="s">
        <v>18401</v>
      </c>
      <c r="AR1405" s="28" t="s">
        <v>27046</v>
      </c>
      <c r="AS1405" s="28" t="s">
        <v>1223</v>
      </c>
      <c r="AT1405" s="28" t="s">
        <v>200</v>
      </c>
      <c r="AU1405" s="28" t="s">
        <v>18402</v>
      </c>
      <c r="AV1405" s="28" t="s">
        <v>162</v>
      </c>
      <c r="AW1405" s="28" t="s">
        <v>27045</v>
      </c>
      <c r="AX1405" s="28" t="s">
        <v>138</v>
      </c>
      <c r="AY1405" s="28" t="s">
        <v>27047</v>
      </c>
      <c r="AZ1405" s="28" t="s">
        <v>164</v>
      </c>
      <c r="BA1405" s="28" t="s">
        <v>165</v>
      </c>
      <c r="BB1405" s="28" t="s">
        <v>27048</v>
      </c>
      <c r="BC1405" s="28" t="s">
        <v>27049</v>
      </c>
      <c r="BD1405" s="33">
        <v>9</v>
      </c>
      <c r="BE1405" s="28" t="s">
        <v>138</v>
      </c>
      <c r="BF1405" s="28" t="s">
        <v>138</v>
      </c>
      <c r="BG1405" s="28" t="s">
        <v>138</v>
      </c>
      <c r="BH1405" s="28" t="s">
        <v>27050</v>
      </c>
      <c r="BI1405" s="28" t="s">
        <v>138</v>
      </c>
      <c r="BJ1405" s="28" t="s">
        <v>138</v>
      </c>
      <c r="BK1405" s="28" t="s">
        <v>138</v>
      </c>
      <c r="BL1405" s="28" t="s">
        <v>138</v>
      </c>
      <c r="BM1405" s="34">
        <v>41640</v>
      </c>
      <c r="BN1405" s="29">
        <v>5.5</v>
      </c>
      <c r="BO1405" s="28" t="s">
        <v>172</v>
      </c>
      <c r="BP1405" s="29" t="s">
        <v>138</v>
      </c>
      <c r="BQ1405" s="28" t="s">
        <v>138</v>
      </c>
      <c r="BR1405" s="28" t="s">
        <v>205</v>
      </c>
      <c r="BS1405" s="28" t="s">
        <v>206</v>
      </c>
      <c r="BT1405" s="28" t="s">
        <v>138</v>
      </c>
      <c r="BU1405" s="28" t="s">
        <v>174</v>
      </c>
      <c r="BV1405" s="28" t="s">
        <v>138</v>
      </c>
      <c r="BW1405" s="28" t="s">
        <v>138</v>
      </c>
      <c r="BX1405" s="28" t="s">
        <v>138</v>
      </c>
      <c r="BY1405" s="28" t="s">
        <v>175</v>
      </c>
      <c r="BZ1405" s="34">
        <v>43328</v>
      </c>
      <c r="CA1405" s="29" t="s">
        <v>138</v>
      </c>
      <c r="CB1405" s="28" t="s">
        <v>138</v>
      </c>
      <c r="CC1405" s="29" t="s">
        <v>138</v>
      </c>
      <c r="CD1405" s="28" t="s">
        <v>138</v>
      </c>
      <c r="CE1405" s="28" t="s">
        <v>205</v>
      </c>
      <c r="CF1405" s="28" t="s">
        <v>138</v>
      </c>
      <c r="CG1405" s="28" t="s">
        <v>138</v>
      </c>
      <c r="CH1405" s="28" t="s">
        <v>174</v>
      </c>
      <c r="CI1405" s="28" t="s">
        <v>138</v>
      </c>
      <c r="CJ1405" s="28" t="s">
        <v>138</v>
      </c>
      <c r="CK1405" s="28" t="s">
        <v>138</v>
      </c>
      <c r="CL1405" s="28" t="s">
        <v>175</v>
      </c>
      <c r="CM1405" s="34" t="s">
        <v>138</v>
      </c>
      <c r="CN1405" s="29" t="s">
        <v>138</v>
      </c>
      <c r="CO1405" s="35">
        <v>0.11</v>
      </c>
      <c r="CP1405" s="36">
        <v>90</v>
      </c>
      <c r="CQ1405" s="35">
        <v>0.06</v>
      </c>
      <c r="CR1405" s="35">
        <v>95.25</v>
      </c>
      <c r="CS1405" s="35">
        <v>-0.2</v>
      </c>
      <c r="CT1405" s="36">
        <v>22</v>
      </c>
      <c r="CU1405" s="35">
        <v>0.42</v>
      </c>
      <c r="CV1405" s="36">
        <v>92</v>
      </c>
      <c r="CW1405" s="35">
        <v>0</v>
      </c>
      <c r="CX1405" s="36">
        <v>13</v>
      </c>
      <c r="CY1405" s="35">
        <v>-0.39</v>
      </c>
      <c r="CZ1405" s="36">
        <v>23</v>
      </c>
      <c r="DA1405" s="35">
        <v>0.51</v>
      </c>
      <c r="DB1405" s="36">
        <v>94</v>
      </c>
      <c r="DC1405" s="37">
        <v>2.6</v>
      </c>
      <c r="DD1405" s="36">
        <v>72</v>
      </c>
      <c r="DE1405" s="37">
        <v>-0.01</v>
      </c>
      <c r="DF1405" s="35">
        <v>-0.49</v>
      </c>
      <c r="DG1405" s="37">
        <v>4.53</v>
      </c>
      <c r="DH1405" s="36">
        <v>81</v>
      </c>
      <c r="DI1405" s="37">
        <v>0.68</v>
      </c>
      <c r="DJ1405" s="36">
        <v>42</v>
      </c>
      <c r="DK1405" s="37">
        <v>0.99</v>
      </c>
      <c r="DL1405" s="36">
        <v>50</v>
      </c>
      <c r="DM1405" s="37">
        <v>8.07</v>
      </c>
      <c r="DN1405" s="36">
        <v>87</v>
      </c>
      <c r="DO1405" s="37">
        <v>1.2</v>
      </c>
      <c r="DP1405" s="36">
        <v>54</v>
      </c>
      <c r="DQ1405" s="36">
        <v>338</v>
      </c>
      <c r="DR1405" s="38">
        <v>-3</v>
      </c>
      <c r="DS1405" s="35">
        <v>-0.88</v>
      </c>
      <c r="DT1405" s="36">
        <v>233</v>
      </c>
      <c r="DU1405" s="38">
        <v>2</v>
      </c>
      <c r="DV1405" s="35">
        <v>0.87</v>
      </c>
      <c r="DW1405" s="36">
        <v>429</v>
      </c>
      <c r="DX1405" s="39">
        <v>1</v>
      </c>
      <c r="DY1405" s="35">
        <v>0.23</v>
      </c>
      <c r="DZ1405" s="28" t="s">
        <v>178</v>
      </c>
      <c r="EA1405" s="34">
        <v>43351</v>
      </c>
      <c r="EB1405" s="29" t="s">
        <v>138</v>
      </c>
      <c r="EC1405" s="34" t="s">
        <v>138</v>
      </c>
      <c r="ED1405" s="28" t="s">
        <v>138</v>
      </c>
      <c r="EE1405" s="40" t="str">
        <f>HYPERLINK("https://my.pitchbook.com?c=151408-72", "View company online")</f>
        <v>View company online</v>
      </c>
    </row>
    <row r="1406" spans="1:135">
      <c r="A1406" s="15" t="s">
        <v>27051</v>
      </c>
      <c r="B1406" s="15" t="s">
        <v>27052</v>
      </c>
      <c r="C1406" s="15" t="s">
        <v>27053</v>
      </c>
      <c r="D1406" s="15" t="s">
        <v>27054</v>
      </c>
      <c r="E1406" s="15" t="s">
        <v>138</v>
      </c>
      <c r="F1406" s="15" t="s">
        <v>27051</v>
      </c>
      <c r="G1406" s="15" t="s">
        <v>27055</v>
      </c>
      <c r="H1406" s="15" t="s">
        <v>322</v>
      </c>
      <c r="I1406" s="15" t="s">
        <v>1503</v>
      </c>
      <c r="J1406" s="15" t="s">
        <v>1836</v>
      </c>
      <c r="K1406" s="15" t="s">
        <v>27056</v>
      </c>
      <c r="L1406" s="15" t="s">
        <v>415</v>
      </c>
      <c r="M1406" s="15" t="s">
        <v>27057</v>
      </c>
      <c r="N1406" s="15" t="s">
        <v>147</v>
      </c>
      <c r="O1406" s="17">
        <v>244.53</v>
      </c>
      <c r="P1406" s="15" t="s">
        <v>148</v>
      </c>
      <c r="Q1406" s="15" t="s">
        <v>149</v>
      </c>
      <c r="R1406" s="15" t="s">
        <v>174</v>
      </c>
      <c r="S1406" s="15" t="s">
        <v>27058</v>
      </c>
      <c r="T1406" s="18">
        <v>116</v>
      </c>
      <c r="U1406" s="15" t="s">
        <v>27059</v>
      </c>
      <c r="V1406" s="15" t="s">
        <v>138</v>
      </c>
      <c r="W1406" s="15" t="s">
        <v>138</v>
      </c>
      <c r="X1406" s="19">
        <v>2005</v>
      </c>
      <c r="Y1406" s="15" t="s">
        <v>138</v>
      </c>
      <c r="Z1406" s="15" t="s">
        <v>138</v>
      </c>
      <c r="AA1406" s="15" t="s">
        <v>138</v>
      </c>
      <c r="AB1406" s="20" t="s">
        <v>138</v>
      </c>
      <c r="AC1406" s="20" t="s">
        <v>138</v>
      </c>
      <c r="AD1406" s="20" t="s">
        <v>138</v>
      </c>
      <c r="AE1406" s="20" t="s">
        <v>138</v>
      </c>
      <c r="AF1406" s="20" t="s">
        <v>138</v>
      </c>
      <c r="AG1406" s="15" t="s">
        <v>138</v>
      </c>
      <c r="AH1406" s="20" t="s">
        <v>138</v>
      </c>
      <c r="AI1406" s="20" t="s">
        <v>138</v>
      </c>
      <c r="AJ1406" s="20" t="s">
        <v>138</v>
      </c>
      <c r="AK1406" s="15" t="s">
        <v>27060</v>
      </c>
      <c r="AL1406" s="15" t="s">
        <v>27061</v>
      </c>
      <c r="AM1406" s="15" t="s">
        <v>249</v>
      </c>
      <c r="AN1406" s="15" t="s">
        <v>138</v>
      </c>
      <c r="AO1406" s="15" t="s">
        <v>27062</v>
      </c>
      <c r="AP1406" s="15" t="s">
        <v>27063</v>
      </c>
      <c r="AQ1406" s="15" t="s">
        <v>27064</v>
      </c>
      <c r="AR1406" s="15" t="s">
        <v>138</v>
      </c>
      <c r="AS1406" s="15" t="s">
        <v>27065</v>
      </c>
      <c r="AT1406" s="15" t="s">
        <v>138</v>
      </c>
      <c r="AU1406" s="15" t="s">
        <v>27066</v>
      </c>
      <c r="AV1406" s="15" t="s">
        <v>740</v>
      </c>
      <c r="AW1406" s="15" t="s">
        <v>27067</v>
      </c>
      <c r="AX1406" s="15" t="s">
        <v>138</v>
      </c>
      <c r="AY1406" s="15" t="s">
        <v>27068</v>
      </c>
      <c r="AZ1406" s="15" t="s">
        <v>742</v>
      </c>
      <c r="BA1406" s="15" t="s">
        <v>742</v>
      </c>
      <c r="BB1406" s="15" t="s">
        <v>27069</v>
      </c>
      <c r="BC1406" s="15" t="s">
        <v>27070</v>
      </c>
      <c r="BD1406" s="21">
        <v>11</v>
      </c>
      <c r="BE1406" s="15" t="s">
        <v>138</v>
      </c>
      <c r="BF1406" s="15" t="s">
        <v>138</v>
      </c>
      <c r="BG1406" s="15" t="s">
        <v>138</v>
      </c>
      <c r="BH1406" s="15" t="s">
        <v>27071</v>
      </c>
      <c r="BI1406" s="15" t="s">
        <v>138</v>
      </c>
      <c r="BJ1406" s="15" t="s">
        <v>138</v>
      </c>
      <c r="BK1406" s="15" t="s">
        <v>138</v>
      </c>
      <c r="BL1406" s="15" t="s">
        <v>138</v>
      </c>
      <c r="BM1406" s="22" t="s">
        <v>138</v>
      </c>
      <c r="BN1406" s="17">
        <v>35</v>
      </c>
      <c r="BO1406" s="15" t="s">
        <v>1178</v>
      </c>
      <c r="BP1406" s="17" t="s">
        <v>138</v>
      </c>
      <c r="BQ1406" s="15" t="s">
        <v>138</v>
      </c>
      <c r="BR1406" s="15" t="s">
        <v>205</v>
      </c>
      <c r="BS1406" s="15" t="s">
        <v>138</v>
      </c>
      <c r="BT1406" s="15" t="s">
        <v>138</v>
      </c>
      <c r="BU1406" s="15" t="s">
        <v>174</v>
      </c>
      <c r="BV1406" s="15" t="s">
        <v>138</v>
      </c>
      <c r="BW1406" s="15" t="s">
        <v>138</v>
      </c>
      <c r="BX1406" s="15" t="s">
        <v>138</v>
      </c>
      <c r="BY1406" s="15" t="s">
        <v>175</v>
      </c>
      <c r="BZ1406" s="22">
        <v>41958</v>
      </c>
      <c r="CA1406" s="17">
        <v>25</v>
      </c>
      <c r="CB1406" s="15" t="s">
        <v>172</v>
      </c>
      <c r="CC1406" s="17" t="s">
        <v>138</v>
      </c>
      <c r="CD1406" s="15" t="s">
        <v>138</v>
      </c>
      <c r="CE1406" s="15" t="s">
        <v>173</v>
      </c>
      <c r="CF1406" s="15" t="s">
        <v>2830</v>
      </c>
      <c r="CG1406" s="15" t="s">
        <v>138</v>
      </c>
      <c r="CH1406" s="15" t="s">
        <v>174</v>
      </c>
      <c r="CI1406" s="15" t="s">
        <v>138</v>
      </c>
      <c r="CJ1406" s="15" t="s">
        <v>138</v>
      </c>
      <c r="CK1406" s="15" t="s">
        <v>138</v>
      </c>
      <c r="CL1406" s="15" t="s">
        <v>175</v>
      </c>
      <c r="CM1406" s="22" t="s">
        <v>138</v>
      </c>
      <c r="CN1406" s="17" t="s">
        <v>138</v>
      </c>
      <c r="CO1406" s="23">
        <v>0.1</v>
      </c>
      <c r="CP1406" s="24">
        <v>90</v>
      </c>
      <c r="CQ1406" s="23">
        <v>0</v>
      </c>
      <c r="CR1406" s="23">
        <v>0</v>
      </c>
      <c r="CS1406" s="23" t="s">
        <v>138</v>
      </c>
      <c r="CT1406" s="24" t="s">
        <v>138</v>
      </c>
      <c r="CU1406" s="23">
        <v>0.1</v>
      </c>
      <c r="CV1406" s="24">
        <v>68</v>
      </c>
      <c r="CW1406" s="23" t="s">
        <v>138</v>
      </c>
      <c r="CX1406" s="24" t="s">
        <v>138</v>
      </c>
      <c r="CY1406" s="23" t="s">
        <v>138</v>
      </c>
      <c r="CZ1406" s="24" t="s">
        <v>138</v>
      </c>
      <c r="DA1406" s="23">
        <v>0.1</v>
      </c>
      <c r="DB1406" s="24">
        <v>72</v>
      </c>
      <c r="DC1406" s="25">
        <v>0.37</v>
      </c>
      <c r="DD1406" s="24">
        <v>27</v>
      </c>
      <c r="DE1406" s="25">
        <v>0</v>
      </c>
      <c r="DF1406" s="23">
        <v>0.56000000000000005</v>
      </c>
      <c r="DG1406" s="25" t="s">
        <v>138</v>
      </c>
      <c r="DH1406" s="24" t="s">
        <v>138</v>
      </c>
      <c r="DI1406" s="25">
        <v>0.37</v>
      </c>
      <c r="DJ1406" s="24">
        <v>31</v>
      </c>
      <c r="DK1406" s="25" t="s">
        <v>138</v>
      </c>
      <c r="DL1406" s="24" t="s">
        <v>138</v>
      </c>
      <c r="DM1406" s="25" t="s">
        <v>138</v>
      </c>
      <c r="DN1406" s="24" t="s">
        <v>138</v>
      </c>
      <c r="DO1406" s="25">
        <v>0.37</v>
      </c>
      <c r="DP1406" s="24">
        <v>33</v>
      </c>
      <c r="DQ1406" s="24" t="s">
        <v>138</v>
      </c>
      <c r="DR1406" s="26" t="s">
        <v>138</v>
      </c>
      <c r="DS1406" s="23" t="s">
        <v>138</v>
      </c>
      <c r="DT1406" s="24" t="s">
        <v>138</v>
      </c>
      <c r="DU1406" s="26" t="s">
        <v>138</v>
      </c>
      <c r="DV1406" s="23" t="s">
        <v>138</v>
      </c>
      <c r="DW1406" s="24">
        <v>131</v>
      </c>
      <c r="DX1406" s="27">
        <v>0</v>
      </c>
      <c r="DY1406" s="23">
        <v>0</v>
      </c>
      <c r="DZ1406" s="15" t="s">
        <v>178</v>
      </c>
      <c r="EA1406" s="22">
        <v>43351</v>
      </c>
      <c r="EB1406" s="17" t="s">
        <v>138</v>
      </c>
      <c r="EC1406" s="22" t="s">
        <v>138</v>
      </c>
      <c r="ED1406" s="15" t="s">
        <v>138</v>
      </c>
      <c r="EE1406" s="14" t="str">
        <f>HYPERLINK("https://my.pitchbook.com?c=52952-68", "View company online")</f>
        <v>View company online</v>
      </c>
    </row>
    <row r="1407" spans="1:135">
      <c r="A1407" s="28" t="s">
        <v>27072</v>
      </c>
      <c r="B1407" s="28" t="s">
        <v>27073</v>
      </c>
      <c r="C1407" s="28" t="s">
        <v>138</v>
      </c>
      <c r="D1407" s="28" t="s">
        <v>138</v>
      </c>
      <c r="E1407" s="28" t="s">
        <v>27074</v>
      </c>
      <c r="F1407" s="28" t="s">
        <v>27072</v>
      </c>
      <c r="G1407" s="28" t="s">
        <v>27075</v>
      </c>
      <c r="H1407" s="28" t="s">
        <v>322</v>
      </c>
      <c r="I1407" s="28" t="s">
        <v>323</v>
      </c>
      <c r="J1407" s="28" t="s">
        <v>461</v>
      </c>
      <c r="K1407" s="28" t="s">
        <v>462</v>
      </c>
      <c r="L1407" s="28" t="s">
        <v>13461</v>
      </c>
      <c r="M1407" s="28" t="s">
        <v>27076</v>
      </c>
      <c r="N1407" s="28" t="s">
        <v>147</v>
      </c>
      <c r="O1407" s="29">
        <v>193</v>
      </c>
      <c r="P1407" s="28" t="s">
        <v>148</v>
      </c>
      <c r="Q1407" s="28" t="s">
        <v>149</v>
      </c>
      <c r="R1407" s="28" t="s">
        <v>174</v>
      </c>
      <c r="S1407" s="28" t="s">
        <v>27077</v>
      </c>
      <c r="T1407" s="30">
        <v>350</v>
      </c>
      <c r="U1407" s="28" t="s">
        <v>27078</v>
      </c>
      <c r="V1407" s="28" t="s">
        <v>138</v>
      </c>
      <c r="W1407" s="28" t="s">
        <v>138</v>
      </c>
      <c r="X1407" s="31">
        <v>2013</v>
      </c>
      <c r="Y1407" s="28" t="s">
        <v>138</v>
      </c>
      <c r="Z1407" s="28" t="s">
        <v>138</v>
      </c>
      <c r="AA1407" s="28" t="s">
        <v>138</v>
      </c>
      <c r="AB1407" s="32">
        <v>18.8</v>
      </c>
      <c r="AC1407" s="32" t="s">
        <v>138</v>
      </c>
      <c r="AD1407" s="32" t="s">
        <v>138</v>
      </c>
      <c r="AE1407" s="32" t="s">
        <v>138</v>
      </c>
      <c r="AF1407" s="32" t="s">
        <v>138</v>
      </c>
      <c r="AG1407" s="28" t="s">
        <v>419</v>
      </c>
      <c r="AH1407" s="32" t="s">
        <v>138</v>
      </c>
      <c r="AI1407" s="32" t="s">
        <v>138</v>
      </c>
      <c r="AJ1407" s="32" t="s">
        <v>138</v>
      </c>
      <c r="AK1407" s="28" t="s">
        <v>27079</v>
      </c>
      <c r="AL1407" s="28" t="s">
        <v>27080</v>
      </c>
      <c r="AM1407" s="28" t="s">
        <v>818</v>
      </c>
      <c r="AN1407" s="28" t="s">
        <v>27081</v>
      </c>
      <c r="AO1407" s="28" t="s">
        <v>27082</v>
      </c>
      <c r="AP1407" s="28" t="s">
        <v>3668</v>
      </c>
      <c r="AQ1407" s="28" t="s">
        <v>27083</v>
      </c>
      <c r="AR1407" s="28" t="s">
        <v>1459</v>
      </c>
      <c r="AS1407" s="28" t="s">
        <v>3670</v>
      </c>
      <c r="AT1407" s="28" t="s">
        <v>200</v>
      </c>
      <c r="AU1407" s="28" t="s">
        <v>20130</v>
      </c>
      <c r="AV1407" s="28" t="s">
        <v>162</v>
      </c>
      <c r="AW1407" s="28" t="s">
        <v>27082</v>
      </c>
      <c r="AX1407" s="28" t="s">
        <v>138</v>
      </c>
      <c r="AY1407" s="28" t="s">
        <v>27084</v>
      </c>
      <c r="AZ1407" s="28" t="s">
        <v>164</v>
      </c>
      <c r="BA1407" s="28" t="s">
        <v>165</v>
      </c>
      <c r="BB1407" s="28" t="s">
        <v>27085</v>
      </c>
      <c r="BC1407" s="28" t="s">
        <v>27086</v>
      </c>
      <c r="BD1407" s="33">
        <v>8</v>
      </c>
      <c r="BE1407" s="28" t="s">
        <v>138</v>
      </c>
      <c r="BF1407" s="28" t="s">
        <v>138</v>
      </c>
      <c r="BG1407" s="28" t="s">
        <v>138</v>
      </c>
      <c r="BH1407" s="28" t="s">
        <v>27087</v>
      </c>
      <c r="BI1407" s="28" t="s">
        <v>138</v>
      </c>
      <c r="BJ1407" s="28" t="s">
        <v>138</v>
      </c>
      <c r="BK1407" s="28" t="s">
        <v>27088</v>
      </c>
      <c r="BL1407" s="28" t="s">
        <v>27089</v>
      </c>
      <c r="BM1407" s="34">
        <v>41430</v>
      </c>
      <c r="BN1407" s="29">
        <v>3</v>
      </c>
      <c r="BO1407" s="28" t="s">
        <v>172</v>
      </c>
      <c r="BP1407" s="29">
        <v>7.5</v>
      </c>
      <c r="BQ1407" s="28" t="s">
        <v>172</v>
      </c>
      <c r="BR1407" s="28" t="s">
        <v>205</v>
      </c>
      <c r="BS1407" s="28" t="s">
        <v>206</v>
      </c>
      <c r="BT1407" s="28" t="s">
        <v>138</v>
      </c>
      <c r="BU1407" s="28" t="s">
        <v>174</v>
      </c>
      <c r="BV1407" s="28" t="s">
        <v>138</v>
      </c>
      <c r="BW1407" s="28" t="s">
        <v>138</v>
      </c>
      <c r="BX1407" s="28" t="s">
        <v>138</v>
      </c>
      <c r="BY1407" s="28" t="s">
        <v>175</v>
      </c>
      <c r="BZ1407" s="34">
        <v>43592</v>
      </c>
      <c r="CA1407" s="29">
        <v>75</v>
      </c>
      <c r="CB1407" s="28" t="s">
        <v>172</v>
      </c>
      <c r="CC1407" s="29">
        <v>820</v>
      </c>
      <c r="CD1407" s="28" t="s">
        <v>172</v>
      </c>
      <c r="CE1407" s="28" t="s">
        <v>173</v>
      </c>
      <c r="CF1407" s="28" t="s">
        <v>482</v>
      </c>
      <c r="CG1407" s="28" t="s">
        <v>138</v>
      </c>
      <c r="CH1407" s="28" t="s">
        <v>174</v>
      </c>
      <c r="CI1407" s="28" t="s">
        <v>138</v>
      </c>
      <c r="CJ1407" s="28" t="s">
        <v>138</v>
      </c>
      <c r="CK1407" s="28" t="s">
        <v>138</v>
      </c>
      <c r="CL1407" s="28" t="s">
        <v>175</v>
      </c>
      <c r="CM1407" s="34" t="s">
        <v>138</v>
      </c>
      <c r="CN1407" s="29" t="s">
        <v>138</v>
      </c>
      <c r="CO1407" s="35">
        <v>1</v>
      </c>
      <c r="CP1407" s="36">
        <v>97</v>
      </c>
      <c r="CQ1407" s="35">
        <v>0.02</v>
      </c>
      <c r="CR1407" s="35">
        <v>2.2799999999999998</v>
      </c>
      <c r="CS1407" s="35">
        <v>1.64</v>
      </c>
      <c r="CT1407" s="36">
        <v>98</v>
      </c>
      <c r="CU1407" s="35">
        <v>0.36</v>
      </c>
      <c r="CV1407" s="36">
        <v>90</v>
      </c>
      <c r="CW1407" s="35">
        <v>3.12</v>
      </c>
      <c r="CX1407" s="36">
        <v>91</v>
      </c>
      <c r="CY1407" s="35">
        <v>0.17</v>
      </c>
      <c r="CZ1407" s="36">
        <v>98</v>
      </c>
      <c r="DA1407" s="35">
        <v>0.36</v>
      </c>
      <c r="DB1407" s="36">
        <v>91</v>
      </c>
      <c r="DC1407" s="37">
        <v>21.29</v>
      </c>
      <c r="DD1407" s="36">
        <v>95</v>
      </c>
      <c r="DE1407" s="37">
        <v>-0.94</v>
      </c>
      <c r="DF1407" s="35">
        <v>-4.25</v>
      </c>
      <c r="DG1407" s="37">
        <v>32.44</v>
      </c>
      <c r="DH1407" s="36">
        <v>97</v>
      </c>
      <c r="DI1407" s="37">
        <v>10.130000000000001</v>
      </c>
      <c r="DJ1407" s="36">
        <v>85</v>
      </c>
      <c r="DK1407" s="37">
        <v>32.01</v>
      </c>
      <c r="DL1407" s="36">
        <v>94</v>
      </c>
      <c r="DM1407" s="37">
        <v>32.86</v>
      </c>
      <c r="DN1407" s="36">
        <v>97</v>
      </c>
      <c r="DO1407" s="37">
        <v>10.130000000000001</v>
      </c>
      <c r="DP1407" s="36">
        <v>87</v>
      </c>
      <c r="DQ1407" s="36">
        <v>10716</v>
      </c>
      <c r="DR1407" s="38">
        <v>795</v>
      </c>
      <c r="DS1407" s="35">
        <v>8.01</v>
      </c>
      <c r="DT1407" s="36">
        <v>950</v>
      </c>
      <c r="DU1407" s="38">
        <v>9</v>
      </c>
      <c r="DV1407" s="35">
        <v>0.96</v>
      </c>
      <c r="DW1407" s="36">
        <v>3624</v>
      </c>
      <c r="DX1407" s="39">
        <v>9</v>
      </c>
      <c r="DY1407" s="35">
        <v>0.25</v>
      </c>
      <c r="DZ1407" s="28" t="s">
        <v>178</v>
      </c>
      <c r="EA1407" s="34">
        <v>43622</v>
      </c>
      <c r="EB1407" s="29">
        <v>820</v>
      </c>
      <c r="EC1407" s="34">
        <v>43592</v>
      </c>
      <c r="ED1407" s="28" t="s">
        <v>173</v>
      </c>
      <c r="EE1407" s="40" t="str">
        <f>HYPERLINK("https://my.pitchbook.com?c=63778-96", "View company online")</f>
        <v>View company online</v>
      </c>
    </row>
    <row r="1408" spans="1:135">
      <c r="A1408" s="15" t="s">
        <v>27090</v>
      </c>
      <c r="B1408" s="15" t="s">
        <v>27091</v>
      </c>
      <c r="C1408" s="15" t="s">
        <v>138</v>
      </c>
      <c r="D1408" s="15" t="s">
        <v>27092</v>
      </c>
      <c r="E1408" s="15" t="s">
        <v>27093</v>
      </c>
      <c r="F1408" s="15" t="s">
        <v>27090</v>
      </c>
      <c r="G1408" s="15" t="s">
        <v>27094</v>
      </c>
      <c r="H1408" s="15" t="s">
        <v>322</v>
      </c>
      <c r="I1408" s="15" t="s">
        <v>323</v>
      </c>
      <c r="J1408" s="15" t="s">
        <v>324</v>
      </c>
      <c r="K1408" s="15" t="s">
        <v>325</v>
      </c>
      <c r="L1408" s="15" t="s">
        <v>1972</v>
      </c>
      <c r="M1408" s="15" t="s">
        <v>27095</v>
      </c>
      <c r="N1408" s="15" t="s">
        <v>147</v>
      </c>
      <c r="O1408" s="17">
        <v>42.3</v>
      </c>
      <c r="P1408" s="15" t="s">
        <v>148</v>
      </c>
      <c r="Q1408" s="15" t="s">
        <v>149</v>
      </c>
      <c r="R1408" s="15" t="s">
        <v>174</v>
      </c>
      <c r="S1408" s="15" t="s">
        <v>27096</v>
      </c>
      <c r="T1408" s="18">
        <v>58</v>
      </c>
      <c r="U1408" s="15" t="s">
        <v>27097</v>
      </c>
      <c r="V1408" s="15" t="s">
        <v>138</v>
      </c>
      <c r="W1408" s="15" t="s">
        <v>138</v>
      </c>
      <c r="X1408" s="19">
        <v>2011</v>
      </c>
      <c r="Y1408" s="15" t="s">
        <v>138</v>
      </c>
      <c r="Z1408" s="15" t="s">
        <v>138</v>
      </c>
      <c r="AA1408" s="15" t="s">
        <v>138</v>
      </c>
      <c r="AB1408" s="20" t="s">
        <v>138</v>
      </c>
      <c r="AC1408" s="20" t="s">
        <v>138</v>
      </c>
      <c r="AD1408" s="20" t="s">
        <v>138</v>
      </c>
      <c r="AE1408" s="20" t="s">
        <v>138</v>
      </c>
      <c r="AF1408" s="20" t="s">
        <v>138</v>
      </c>
      <c r="AG1408" s="15" t="s">
        <v>138</v>
      </c>
      <c r="AH1408" s="20" t="s">
        <v>138</v>
      </c>
      <c r="AI1408" s="20" t="s">
        <v>138</v>
      </c>
      <c r="AJ1408" s="20" t="s">
        <v>138</v>
      </c>
      <c r="AK1408" s="15" t="s">
        <v>27098</v>
      </c>
      <c r="AL1408" s="15" t="s">
        <v>27099</v>
      </c>
      <c r="AM1408" s="15" t="s">
        <v>2413</v>
      </c>
      <c r="AN1408" s="15" t="s">
        <v>27100</v>
      </c>
      <c r="AO1408" s="15" t="s">
        <v>27101</v>
      </c>
      <c r="AP1408" s="15" t="s">
        <v>820</v>
      </c>
      <c r="AQ1408" s="15" t="s">
        <v>27102</v>
      </c>
      <c r="AR1408" s="15" t="s">
        <v>27103</v>
      </c>
      <c r="AS1408" s="15" t="s">
        <v>823</v>
      </c>
      <c r="AT1408" s="15" t="s">
        <v>824</v>
      </c>
      <c r="AU1408" s="15" t="s">
        <v>27104</v>
      </c>
      <c r="AV1408" s="15" t="s">
        <v>526</v>
      </c>
      <c r="AW1408" s="15" t="s">
        <v>138</v>
      </c>
      <c r="AX1408" s="15" t="s">
        <v>138</v>
      </c>
      <c r="AY1408" s="15" t="s">
        <v>27105</v>
      </c>
      <c r="AZ1408" s="15" t="s">
        <v>530</v>
      </c>
      <c r="BA1408" s="15" t="s">
        <v>531</v>
      </c>
      <c r="BB1408" s="15" t="s">
        <v>27106</v>
      </c>
      <c r="BC1408" s="15" t="s">
        <v>27107</v>
      </c>
      <c r="BD1408" s="21">
        <v>15</v>
      </c>
      <c r="BE1408" s="15" t="s">
        <v>138</v>
      </c>
      <c r="BF1408" s="15" t="s">
        <v>138</v>
      </c>
      <c r="BG1408" s="15" t="s">
        <v>138</v>
      </c>
      <c r="BH1408" s="15" t="s">
        <v>27108</v>
      </c>
      <c r="BI1408" s="15" t="s">
        <v>138</v>
      </c>
      <c r="BJ1408" s="15" t="s">
        <v>138</v>
      </c>
      <c r="BK1408" s="15" t="s">
        <v>138</v>
      </c>
      <c r="BL1408" s="15" t="s">
        <v>27109</v>
      </c>
      <c r="BM1408" s="22">
        <v>40817</v>
      </c>
      <c r="BN1408" s="17">
        <v>1</v>
      </c>
      <c r="BO1408" s="15" t="s">
        <v>172</v>
      </c>
      <c r="BP1408" s="17" t="s">
        <v>138</v>
      </c>
      <c r="BQ1408" s="15" t="s">
        <v>138</v>
      </c>
      <c r="BR1408" s="15" t="s">
        <v>234</v>
      </c>
      <c r="BS1408" s="15" t="s">
        <v>234</v>
      </c>
      <c r="BT1408" s="15" t="s">
        <v>138</v>
      </c>
      <c r="BU1408" s="15" t="s">
        <v>174</v>
      </c>
      <c r="BV1408" s="15" t="s">
        <v>138</v>
      </c>
      <c r="BW1408" s="15" t="s">
        <v>138</v>
      </c>
      <c r="BX1408" s="15" t="s">
        <v>138</v>
      </c>
      <c r="BY1408" s="15" t="s">
        <v>175</v>
      </c>
      <c r="BZ1408" s="22" t="s">
        <v>138</v>
      </c>
      <c r="CA1408" s="17" t="s">
        <v>138</v>
      </c>
      <c r="CB1408" s="15" t="s">
        <v>138</v>
      </c>
      <c r="CC1408" s="17" t="s">
        <v>138</v>
      </c>
      <c r="CD1408" s="15" t="s">
        <v>138</v>
      </c>
      <c r="CE1408" s="15" t="s">
        <v>316</v>
      </c>
      <c r="CF1408" s="15" t="s">
        <v>138</v>
      </c>
      <c r="CG1408" s="15" t="s">
        <v>138</v>
      </c>
      <c r="CH1408" s="15" t="s">
        <v>177</v>
      </c>
      <c r="CI1408" s="15" t="s">
        <v>138</v>
      </c>
      <c r="CJ1408" s="15" t="s">
        <v>138</v>
      </c>
      <c r="CK1408" s="15" t="s">
        <v>138</v>
      </c>
      <c r="CL1408" s="15" t="s">
        <v>175</v>
      </c>
      <c r="CM1408" s="22" t="s">
        <v>138</v>
      </c>
      <c r="CN1408" s="17" t="s">
        <v>138</v>
      </c>
      <c r="CO1408" s="23">
        <v>0.1</v>
      </c>
      <c r="CP1408" s="24">
        <v>90</v>
      </c>
      <c r="CQ1408" s="23">
        <v>0</v>
      </c>
      <c r="CR1408" s="23">
        <v>-2.81</v>
      </c>
      <c r="CS1408" s="23">
        <v>0.19</v>
      </c>
      <c r="CT1408" s="24">
        <v>94</v>
      </c>
      <c r="CU1408" s="23">
        <v>0.01</v>
      </c>
      <c r="CV1408" s="24">
        <v>49</v>
      </c>
      <c r="CW1408" s="23">
        <v>2.11</v>
      </c>
      <c r="CX1408" s="24">
        <v>88</v>
      </c>
      <c r="CY1408" s="23">
        <v>-1.73</v>
      </c>
      <c r="CZ1408" s="24">
        <v>13</v>
      </c>
      <c r="DA1408" s="23">
        <v>0.01</v>
      </c>
      <c r="DB1408" s="24">
        <v>57</v>
      </c>
      <c r="DC1408" s="25">
        <v>18.68</v>
      </c>
      <c r="DD1408" s="24">
        <v>94</v>
      </c>
      <c r="DE1408" s="25">
        <v>-0.02</v>
      </c>
      <c r="DF1408" s="23">
        <v>-0.09</v>
      </c>
      <c r="DG1408" s="25">
        <v>6.25</v>
      </c>
      <c r="DH1408" s="24">
        <v>85</v>
      </c>
      <c r="DI1408" s="25">
        <v>31.12</v>
      </c>
      <c r="DJ1408" s="24">
        <v>93</v>
      </c>
      <c r="DK1408" s="25">
        <v>3.57</v>
      </c>
      <c r="DL1408" s="24">
        <v>74</v>
      </c>
      <c r="DM1408" s="25">
        <v>8.93</v>
      </c>
      <c r="DN1408" s="24">
        <v>88</v>
      </c>
      <c r="DO1408" s="25">
        <v>31.12</v>
      </c>
      <c r="DP1408" s="24">
        <v>95</v>
      </c>
      <c r="DQ1408" s="24">
        <v>1173</v>
      </c>
      <c r="DR1408" s="26">
        <v>152</v>
      </c>
      <c r="DS1408" s="23">
        <v>14.89</v>
      </c>
      <c r="DT1408" s="24">
        <v>258</v>
      </c>
      <c r="DU1408" s="26">
        <v>0</v>
      </c>
      <c r="DV1408" s="23">
        <v>0</v>
      </c>
      <c r="DW1408" s="24">
        <v>11138</v>
      </c>
      <c r="DX1408" s="27">
        <v>-3</v>
      </c>
      <c r="DY1408" s="23">
        <v>-0.03</v>
      </c>
      <c r="DZ1408" s="15" t="s">
        <v>178</v>
      </c>
      <c r="EA1408" s="22">
        <v>43622</v>
      </c>
      <c r="EB1408" s="17" t="s">
        <v>138</v>
      </c>
      <c r="EC1408" s="22" t="s">
        <v>138</v>
      </c>
      <c r="ED1408" s="15" t="s">
        <v>138</v>
      </c>
      <c r="EE1408" s="14" t="str">
        <f>HYPERLINK("https://my.pitchbook.com?c=55477-54", "View company online")</f>
        <v>View company online</v>
      </c>
    </row>
    <row r="1409" spans="1:135">
      <c r="A1409" s="28" t="s">
        <v>27110</v>
      </c>
      <c r="B1409" s="28" t="s">
        <v>27111</v>
      </c>
      <c r="C1409" s="28" t="s">
        <v>138</v>
      </c>
      <c r="D1409" s="28" t="s">
        <v>27112</v>
      </c>
      <c r="E1409" s="28" t="s">
        <v>27113</v>
      </c>
      <c r="F1409" s="28" t="s">
        <v>27110</v>
      </c>
      <c r="G1409" s="28" t="s">
        <v>27114</v>
      </c>
      <c r="H1409" s="28" t="s">
        <v>322</v>
      </c>
      <c r="I1409" s="28" t="s">
        <v>323</v>
      </c>
      <c r="J1409" s="28" t="s">
        <v>1184</v>
      </c>
      <c r="K1409" s="28" t="s">
        <v>27115</v>
      </c>
      <c r="L1409" s="28" t="s">
        <v>27116</v>
      </c>
      <c r="M1409" s="28" t="s">
        <v>27117</v>
      </c>
      <c r="N1409" s="28" t="s">
        <v>147</v>
      </c>
      <c r="O1409" s="29">
        <v>19</v>
      </c>
      <c r="P1409" s="28" t="s">
        <v>148</v>
      </c>
      <c r="Q1409" s="28" t="s">
        <v>149</v>
      </c>
      <c r="R1409" s="28" t="s">
        <v>174</v>
      </c>
      <c r="S1409" s="28" t="s">
        <v>27118</v>
      </c>
      <c r="T1409" s="30" t="s">
        <v>138</v>
      </c>
      <c r="U1409" s="28" t="s">
        <v>138</v>
      </c>
      <c r="V1409" s="28" t="s">
        <v>138</v>
      </c>
      <c r="W1409" s="28" t="s">
        <v>138</v>
      </c>
      <c r="X1409" s="31">
        <v>2017</v>
      </c>
      <c r="Y1409" s="28" t="s">
        <v>138</v>
      </c>
      <c r="Z1409" s="28" t="s">
        <v>138</v>
      </c>
      <c r="AA1409" s="28" t="s">
        <v>138</v>
      </c>
      <c r="AB1409" s="32" t="s">
        <v>138</v>
      </c>
      <c r="AC1409" s="32" t="s">
        <v>138</v>
      </c>
      <c r="AD1409" s="32" t="s">
        <v>138</v>
      </c>
      <c r="AE1409" s="32" t="s">
        <v>138</v>
      </c>
      <c r="AF1409" s="32" t="s">
        <v>138</v>
      </c>
      <c r="AG1409" s="28" t="s">
        <v>138</v>
      </c>
      <c r="AH1409" s="32" t="s">
        <v>138</v>
      </c>
      <c r="AI1409" s="32" t="s">
        <v>138</v>
      </c>
      <c r="AJ1409" s="32" t="s">
        <v>138</v>
      </c>
      <c r="AK1409" s="28" t="s">
        <v>27119</v>
      </c>
      <c r="AL1409" s="28" t="s">
        <v>27120</v>
      </c>
      <c r="AM1409" s="28" t="s">
        <v>27121</v>
      </c>
      <c r="AN1409" s="28" t="s">
        <v>27122</v>
      </c>
      <c r="AO1409" s="28" t="s">
        <v>27123</v>
      </c>
      <c r="AP1409" s="28" t="s">
        <v>27124</v>
      </c>
      <c r="AQ1409" s="28" t="s">
        <v>27125</v>
      </c>
      <c r="AR1409" s="28" t="s">
        <v>7603</v>
      </c>
      <c r="AS1409" s="28" t="s">
        <v>27126</v>
      </c>
      <c r="AT1409" s="28" t="s">
        <v>760</v>
      </c>
      <c r="AU1409" s="28" t="s">
        <v>27127</v>
      </c>
      <c r="AV1409" s="28" t="s">
        <v>162</v>
      </c>
      <c r="AW1409" s="28" t="s">
        <v>27123</v>
      </c>
      <c r="AX1409" s="28" t="s">
        <v>138</v>
      </c>
      <c r="AY1409" s="28" t="s">
        <v>27128</v>
      </c>
      <c r="AZ1409" s="28" t="s">
        <v>164</v>
      </c>
      <c r="BA1409" s="28" t="s">
        <v>165</v>
      </c>
      <c r="BB1409" s="28" t="s">
        <v>27129</v>
      </c>
      <c r="BC1409" s="28" t="s">
        <v>24320</v>
      </c>
      <c r="BD1409" s="33">
        <v>1</v>
      </c>
      <c r="BE1409" s="28" t="s">
        <v>138</v>
      </c>
      <c r="BF1409" s="28" t="s">
        <v>138</v>
      </c>
      <c r="BG1409" s="28" t="s">
        <v>138</v>
      </c>
      <c r="BH1409" s="28" t="s">
        <v>3002</v>
      </c>
      <c r="BI1409" s="28" t="s">
        <v>138</v>
      </c>
      <c r="BJ1409" s="28" t="s">
        <v>138</v>
      </c>
      <c r="BK1409" s="28" t="s">
        <v>138</v>
      </c>
      <c r="BL1409" s="28" t="s">
        <v>138</v>
      </c>
      <c r="BM1409" s="34">
        <v>43528</v>
      </c>
      <c r="BN1409" s="29">
        <v>19</v>
      </c>
      <c r="BO1409" s="28" t="s">
        <v>172</v>
      </c>
      <c r="BP1409" s="29" t="s">
        <v>138</v>
      </c>
      <c r="BQ1409" s="28" t="s">
        <v>138</v>
      </c>
      <c r="BR1409" s="28" t="s">
        <v>205</v>
      </c>
      <c r="BS1409" s="28" t="s">
        <v>138</v>
      </c>
      <c r="BT1409" s="28" t="s">
        <v>138</v>
      </c>
      <c r="BU1409" s="28" t="s">
        <v>174</v>
      </c>
      <c r="BV1409" s="28" t="s">
        <v>138</v>
      </c>
      <c r="BW1409" s="28" t="s">
        <v>138</v>
      </c>
      <c r="BX1409" s="28" t="s">
        <v>138</v>
      </c>
      <c r="BY1409" s="28" t="s">
        <v>175</v>
      </c>
      <c r="BZ1409" s="34">
        <v>43528</v>
      </c>
      <c r="CA1409" s="29">
        <v>19</v>
      </c>
      <c r="CB1409" s="28" t="s">
        <v>172</v>
      </c>
      <c r="CC1409" s="29" t="s">
        <v>138</v>
      </c>
      <c r="CD1409" s="28" t="s">
        <v>138</v>
      </c>
      <c r="CE1409" s="28" t="s">
        <v>205</v>
      </c>
      <c r="CF1409" s="28" t="s">
        <v>138</v>
      </c>
      <c r="CG1409" s="28" t="s">
        <v>138</v>
      </c>
      <c r="CH1409" s="28" t="s">
        <v>174</v>
      </c>
      <c r="CI1409" s="28" t="s">
        <v>138</v>
      </c>
      <c r="CJ1409" s="28" t="s">
        <v>138</v>
      </c>
      <c r="CK1409" s="28" t="s">
        <v>138</v>
      </c>
      <c r="CL1409" s="28" t="s">
        <v>175</v>
      </c>
      <c r="CM1409" s="34" t="s">
        <v>138</v>
      </c>
      <c r="CN1409" s="29" t="s">
        <v>138</v>
      </c>
      <c r="CO1409" s="35">
        <v>0.88</v>
      </c>
      <c r="CP1409" s="36">
        <v>97</v>
      </c>
      <c r="CQ1409" s="35">
        <v>0.05</v>
      </c>
      <c r="CR1409" s="35">
        <v>6.16</v>
      </c>
      <c r="CS1409" s="35">
        <v>0.25</v>
      </c>
      <c r="CT1409" s="36">
        <v>95</v>
      </c>
      <c r="CU1409" s="35">
        <v>1.5</v>
      </c>
      <c r="CV1409" s="36">
        <v>99</v>
      </c>
      <c r="CW1409" s="35">
        <v>0</v>
      </c>
      <c r="CX1409" s="36">
        <v>13</v>
      </c>
      <c r="CY1409" s="35">
        <v>0.5</v>
      </c>
      <c r="CZ1409" s="36">
        <v>98</v>
      </c>
      <c r="DA1409" s="35">
        <v>1.5</v>
      </c>
      <c r="DB1409" s="36">
        <v>99</v>
      </c>
      <c r="DC1409" s="37">
        <v>1.23</v>
      </c>
      <c r="DD1409" s="36">
        <v>56</v>
      </c>
      <c r="DE1409" s="37">
        <v>0.01</v>
      </c>
      <c r="DF1409" s="35">
        <v>0.94</v>
      </c>
      <c r="DG1409" s="37">
        <v>1.9</v>
      </c>
      <c r="DH1409" s="36">
        <v>66</v>
      </c>
      <c r="DI1409" s="37">
        <v>0.55000000000000004</v>
      </c>
      <c r="DJ1409" s="36">
        <v>38</v>
      </c>
      <c r="DK1409" s="37">
        <v>0.18</v>
      </c>
      <c r="DL1409" s="36">
        <v>3</v>
      </c>
      <c r="DM1409" s="37">
        <v>3.62</v>
      </c>
      <c r="DN1409" s="36">
        <v>77</v>
      </c>
      <c r="DO1409" s="37">
        <v>0.55000000000000004</v>
      </c>
      <c r="DP1409" s="36">
        <v>40</v>
      </c>
      <c r="DQ1409" s="36">
        <v>90</v>
      </c>
      <c r="DR1409" s="38">
        <v>-89</v>
      </c>
      <c r="DS1409" s="35">
        <v>-49.72</v>
      </c>
      <c r="DT1409" s="36">
        <v>104</v>
      </c>
      <c r="DU1409" s="38">
        <v>1</v>
      </c>
      <c r="DV1409" s="35">
        <v>0.97</v>
      </c>
      <c r="DW1409" s="36">
        <v>196</v>
      </c>
      <c r="DX1409" s="39">
        <v>4</v>
      </c>
      <c r="DY1409" s="35">
        <v>2.08</v>
      </c>
      <c r="DZ1409" s="28" t="s">
        <v>178</v>
      </c>
      <c r="EA1409" s="34">
        <v>43622</v>
      </c>
      <c r="EB1409" s="29" t="s">
        <v>138</v>
      </c>
      <c r="EC1409" s="34" t="s">
        <v>138</v>
      </c>
      <c r="ED1409" s="28" t="s">
        <v>138</v>
      </c>
      <c r="EE1409" s="40" t="str">
        <f>HYPERLINK("https://my.pitchbook.com?c=227156-68", "View company online")</f>
        <v>View company online</v>
      </c>
    </row>
    <row r="1410" spans="1:135">
      <c r="A1410" s="15" t="s">
        <v>27130</v>
      </c>
      <c r="B1410" s="15" t="s">
        <v>27131</v>
      </c>
      <c r="C1410" s="15" t="s">
        <v>27132</v>
      </c>
      <c r="D1410" s="15" t="s">
        <v>138</v>
      </c>
      <c r="E1410" s="15" t="s">
        <v>27133</v>
      </c>
      <c r="F1410" s="15" t="s">
        <v>27130</v>
      </c>
      <c r="G1410" s="15" t="s">
        <v>27134</v>
      </c>
      <c r="H1410" s="15" t="s">
        <v>322</v>
      </c>
      <c r="I1410" s="15" t="s">
        <v>323</v>
      </c>
      <c r="J1410" s="15" t="s">
        <v>954</v>
      </c>
      <c r="K1410" s="15" t="s">
        <v>1715</v>
      </c>
      <c r="L1410" s="15" t="s">
        <v>2274</v>
      </c>
      <c r="M1410" s="15" t="s">
        <v>27135</v>
      </c>
      <c r="N1410" s="15" t="s">
        <v>147</v>
      </c>
      <c r="O1410" s="17">
        <v>296</v>
      </c>
      <c r="P1410" s="15" t="s">
        <v>148</v>
      </c>
      <c r="Q1410" s="15" t="s">
        <v>149</v>
      </c>
      <c r="R1410" s="15" t="s">
        <v>244</v>
      </c>
      <c r="S1410" s="15" t="s">
        <v>27136</v>
      </c>
      <c r="T1410" s="18">
        <v>435</v>
      </c>
      <c r="U1410" s="15" t="s">
        <v>27137</v>
      </c>
      <c r="V1410" s="15" t="s">
        <v>138</v>
      </c>
      <c r="W1410" s="15" t="s">
        <v>138</v>
      </c>
      <c r="X1410" s="19">
        <v>2004</v>
      </c>
      <c r="Y1410" s="15" t="s">
        <v>138</v>
      </c>
      <c r="Z1410" s="15" t="s">
        <v>138</v>
      </c>
      <c r="AA1410" s="15" t="s">
        <v>138</v>
      </c>
      <c r="AB1410" s="20" t="s">
        <v>138</v>
      </c>
      <c r="AC1410" s="20" t="s">
        <v>138</v>
      </c>
      <c r="AD1410" s="20" t="s">
        <v>138</v>
      </c>
      <c r="AE1410" s="20" t="s">
        <v>138</v>
      </c>
      <c r="AF1410" s="20" t="s">
        <v>138</v>
      </c>
      <c r="AG1410" s="15" t="s">
        <v>138</v>
      </c>
      <c r="AH1410" s="20" t="s">
        <v>138</v>
      </c>
      <c r="AI1410" s="20" t="s">
        <v>138</v>
      </c>
      <c r="AJ1410" s="20" t="s">
        <v>138</v>
      </c>
      <c r="AK1410" s="15" t="s">
        <v>27138</v>
      </c>
      <c r="AL1410" s="15" t="s">
        <v>27139</v>
      </c>
      <c r="AM1410" s="15" t="s">
        <v>566</v>
      </c>
      <c r="AN1410" s="15" t="s">
        <v>27140</v>
      </c>
      <c r="AO1410" s="15" t="s">
        <v>138</v>
      </c>
      <c r="AP1410" s="15" t="s">
        <v>307</v>
      </c>
      <c r="AQ1410" s="15" t="s">
        <v>27141</v>
      </c>
      <c r="AR1410" s="15" t="s">
        <v>138</v>
      </c>
      <c r="AS1410" s="15" t="s">
        <v>310</v>
      </c>
      <c r="AT1410" s="15" t="s">
        <v>200</v>
      </c>
      <c r="AU1410" s="15" t="s">
        <v>798</v>
      </c>
      <c r="AV1410" s="15" t="s">
        <v>162</v>
      </c>
      <c r="AW1410" s="15" t="s">
        <v>138</v>
      </c>
      <c r="AX1410" s="15" t="s">
        <v>138</v>
      </c>
      <c r="AY1410" s="15" t="s">
        <v>138</v>
      </c>
      <c r="AZ1410" s="15" t="s">
        <v>164</v>
      </c>
      <c r="BA1410" s="15" t="s">
        <v>165</v>
      </c>
      <c r="BB1410" s="15" t="s">
        <v>27142</v>
      </c>
      <c r="BC1410" s="15" t="s">
        <v>138</v>
      </c>
      <c r="BD1410" s="21" t="s">
        <v>138</v>
      </c>
      <c r="BE1410" s="15" t="s">
        <v>138</v>
      </c>
      <c r="BF1410" s="15" t="s">
        <v>27143</v>
      </c>
      <c r="BG1410" s="15" t="s">
        <v>138</v>
      </c>
      <c r="BH1410" s="15" t="s">
        <v>138</v>
      </c>
      <c r="BI1410" s="15" t="s">
        <v>27144</v>
      </c>
      <c r="BJ1410" s="15" t="s">
        <v>138</v>
      </c>
      <c r="BK1410" s="15" t="s">
        <v>27145</v>
      </c>
      <c r="BL1410" s="15" t="s">
        <v>27146</v>
      </c>
      <c r="BM1410" s="22">
        <v>39326</v>
      </c>
      <c r="BN1410" s="17">
        <v>9</v>
      </c>
      <c r="BO1410" s="15" t="s">
        <v>172</v>
      </c>
      <c r="BP1410" s="17">
        <v>30.6</v>
      </c>
      <c r="BQ1410" s="15" t="s">
        <v>172</v>
      </c>
      <c r="BR1410" s="15" t="s">
        <v>205</v>
      </c>
      <c r="BS1410" s="15" t="s">
        <v>206</v>
      </c>
      <c r="BT1410" s="15" t="s">
        <v>138</v>
      </c>
      <c r="BU1410" s="15" t="s">
        <v>174</v>
      </c>
      <c r="BV1410" s="15" t="s">
        <v>138</v>
      </c>
      <c r="BW1410" s="15" t="s">
        <v>138</v>
      </c>
      <c r="BX1410" s="15" t="s">
        <v>138</v>
      </c>
      <c r="BY1410" s="15" t="s">
        <v>175</v>
      </c>
      <c r="BZ1410" s="22">
        <v>42643</v>
      </c>
      <c r="CA1410" s="17">
        <v>6</v>
      </c>
      <c r="CB1410" s="15" t="s">
        <v>172</v>
      </c>
      <c r="CC1410" s="17" t="s">
        <v>138</v>
      </c>
      <c r="CD1410" s="15" t="s">
        <v>138</v>
      </c>
      <c r="CE1410" s="15" t="s">
        <v>1326</v>
      </c>
      <c r="CF1410" s="15" t="s">
        <v>138</v>
      </c>
      <c r="CG1410" s="15" t="s">
        <v>138</v>
      </c>
      <c r="CH1410" s="15" t="s">
        <v>1327</v>
      </c>
      <c r="CI1410" s="15" t="s">
        <v>1397</v>
      </c>
      <c r="CJ1410" s="15" t="s">
        <v>138</v>
      </c>
      <c r="CK1410" s="15" t="s">
        <v>138</v>
      </c>
      <c r="CL1410" s="15" t="s">
        <v>175</v>
      </c>
      <c r="CM1410" s="22">
        <v>42643</v>
      </c>
      <c r="CN1410" s="17">
        <v>6</v>
      </c>
      <c r="CO1410" s="23">
        <v>-0.05</v>
      </c>
      <c r="CP1410" s="24">
        <v>22</v>
      </c>
      <c r="CQ1410" s="23">
        <v>0</v>
      </c>
      <c r="CR1410" s="23">
        <v>8.08</v>
      </c>
      <c r="CS1410" s="23">
        <v>-0.22</v>
      </c>
      <c r="CT1410" s="24">
        <v>21</v>
      </c>
      <c r="CU1410" s="23">
        <v>-0.01</v>
      </c>
      <c r="CV1410" s="24">
        <v>20</v>
      </c>
      <c r="CW1410" s="23">
        <v>0.55000000000000004</v>
      </c>
      <c r="CX1410" s="24">
        <v>83</v>
      </c>
      <c r="CY1410" s="23">
        <v>-0.99</v>
      </c>
      <c r="CZ1410" s="24">
        <v>19</v>
      </c>
      <c r="DA1410" s="23">
        <v>-0.01</v>
      </c>
      <c r="DB1410" s="24">
        <v>21</v>
      </c>
      <c r="DC1410" s="25">
        <v>3231.05</v>
      </c>
      <c r="DD1410" s="24">
        <v>100</v>
      </c>
      <c r="DE1410" s="25">
        <v>-153.77000000000001</v>
      </c>
      <c r="DF1410" s="23">
        <v>-4.54</v>
      </c>
      <c r="DG1410" s="25">
        <v>6068.08</v>
      </c>
      <c r="DH1410" s="24">
        <v>100</v>
      </c>
      <c r="DI1410" s="25">
        <v>934.88</v>
      </c>
      <c r="DJ1410" s="24">
        <v>100</v>
      </c>
      <c r="DK1410" s="25">
        <v>9290.61</v>
      </c>
      <c r="DL1410" s="24">
        <v>100</v>
      </c>
      <c r="DM1410" s="25">
        <v>2845.55</v>
      </c>
      <c r="DN1410" s="24">
        <v>100</v>
      </c>
      <c r="DO1410" s="25">
        <v>1214.18</v>
      </c>
      <c r="DP1410" s="24">
        <v>100</v>
      </c>
      <c r="DQ1410" s="24">
        <v>3176551</v>
      </c>
      <c r="DR1410" s="26">
        <v>30380</v>
      </c>
      <c r="DS1410" s="23">
        <v>0.97</v>
      </c>
      <c r="DT1410" s="24">
        <v>82408</v>
      </c>
      <c r="DU1410" s="26">
        <v>296</v>
      </c>
      <c r="DV1410" s="23">
        <v>0.36</v>
      </c>
      <c r="DW1410" s="24">
        <v>434725</v>
      </c>
      <c r="DX1410" s="27">
        <v>-26</v>
      </c>
      <c r="DY1410" s="23">
        <v>-0.01</v>
      </c>
      <c r="DZ1410" s="15" t="s">
        <v>178</v>
      </c>
      <c r="EA1410" s="22">
        <v>43581</v>
      </c>
      <c r="EB1410" s="17">
        <v>1225.32</v>
      </c>
      <c r="EC1410" s="22">
        <v>41596</v>
      </c>
      <c r="ED1410" s="15" t="s">
        <v>173</v>
      </c>
      <c r="EE1410" s="14" t="str">
        <f>HYPERLINK("https://my.pitchbook.com?c=42706-63", "View company online")</f>
        <v>View company online</v>
      </c>
    </row>
    <row r="1411" spans="1:135">
      <c r="A1411" s="28" t="s">
        <v>27147</v>
      </c>
      <c r="B1411" s="28" t="s">
        <v>27148</v>
      </c>
      <c r="C1411" s="28" t="s">
        <v>138</v>
      </c>
      <c r="D1411" s="28" t="s">
        <v>27149</v>
      </c>
      <c r="E1411" s="28" t="s">
        <v>138</v>
      </c>
      <c r="F1411" s="28" t="s">
        <v>27147</v>
      </c>
      <c r="G1411" s="28" t="s">
        <v>27150</v>
      </c>
      <c r="H1411" s="28" t="s">
        <v>322</v>
      </c>
      <c r="I1411" s="28" t="s">
        <v>356</v>
      </c>
      <c r="J1411" s="28" t="s">
        <v>3852</v>
      </c>
      <c r="K1411" s="28" t="s">
        <v>14078</v>
      </c>
      <c r="L1411" s="28" t="s">
        <v>138</v>
      </c>
      <c r="M1411" s="28" t="s">
        <v>27151</v>
      </c>
      <c r="N1411" s="28" t="s">
        <v>147</v>
      </c>
      <c r="O1411" s="29" t="s">
        <v>138</v>
      </c>
      <c r="P1411" s="28" t="s">
        <v>148</v>
      </c>
      <c r="Q1411" s="28" t="s">
        <v>149</v>
      </c>
      <c r="R1411" s="28" t="s">
        <v>174</v>
      </c>
      <c r="S1411" s="28" t="s">
        <v>27152</v>
      </c>
      <c r="T1411" s="30" t="s">
        <v>138</v>
      </c>
      <c r="U1411" s="28" t="s">
        <v>138</v>
      </c>
      <c r="V1411" s="28" t="s">
        <v>138</v>
      </c>
      <c r="W1411" s="28" t="s">
        <v>138</v>
      </c>
      <c r="X1411" s="31">
        <v>2014</v>
      </c>
      <c r="Y1411" s="28" t="s">
        <v>138</v>
      </c>
      <c r="Z1411" s="28" t="s">
        <v>138</v>
      </c>
      <c r="AA1411" s="28" t="s">
        <v>138</v>
      </c>
      <c r="AB1411" s="32" t="s">
        <v>138</v>
      </c>
      <c r="AC1411" s="32" t="s">
        <v>138</v>
      </c>
      <c r="AD1411" s="32" t="s">
        <v>138</v>
      </c>
      <c r="AE1411" s="32" t="s">
        <v>138</v>
      </c>
      <c r="AF1411" s="32" t="s">
        <v>138</v>
      </c>
      <c r="AG1411" s="28" t="s">
        <v>138</v>
      </c>
      <c r="AH1411" s="32" t="s">
        <v>138</v>
      </c>
      <c r="AI1411" s="32" t="s">
        <v>138</v>
      </c>
      <c r="AJ1411" s="32" t="s">
        <v>138</v>
      </c>
      <c r="AK1411" s="28" t="s">
        <v>27153</v>
      </c>
      <c r="AL1411" s="28" t="s">
        <v>27154</v>
      </c>
      <c r="AM1411" s="28" t="s">
        <v>15149</v>
      </c>
      <c r="AN1411" s="28" t="s">
        <v>27155</v>
      </c>
      <c r="AO1411" s="28" t="s">
        <v>27156</v>
      </c>
      <c r="AP1411" s="28" t="s">
        <v>964</v>
      </c>
      <c r="AQ1411" s="28" t="s">
        <v>27157</v>
      </c>
      <c r="AR1411" s="28" t="s">
        <v>138</v>
      </c>
      <c r="AS1411" s="28" t="s">
        <v>966</v>
      </c>
      <c r="AT1411" s="28" t="s">
        <v>200</v>
      </c>
      <c r="AU1411" s="28" t="s">
        <v>967</v>
      </c>
      <c r="AV1411" s="28" t="s">
        <v>162</v>
      </c>
      <c r="AW1411" s="28" t="s">
        <v>27156</v>
      </c>
      <c r="AX1411" s="28" t="s">
        <v>138</v>
      </c>
      <c r="AY1411" s="28" t="s">
        <v>27158</v>
      </c>
      <c r="AZ1411" s="28" t="s">
        <v>164</v>
      </c>
      <c r="BA1411" s="28" t="s">
        <v>165</v>
      </c>
      <c r="BB1411" s="28" t="s">
        <v>27159</v>
      </c>
      <c r="BC1411" s="28" t="s">
        <v>27160</v>
      </c>
      <c r="BD1411" s="33">
        <v>1</v>
      </c>
      <c r="BE1411" s="28" t="s">
        <v>138</v>
      </c>
      <c r="BF1411" s="28" t="s">
        <v>138</v>
      </c>
      <c r="BG1411" s="28" t="s">
        <v>138</v>
      </c>
      <c r="BH1411" s="28" t="s">
        <v>27161</v>
      </c>
      <c r="BI1411" s="28" t="s">
        <v>138</v>
      </c>
      <c r="BJ1411" s="28" t="s">
        <v>138</v>
      </c>
      <c r="BK1411" s="28" t="s">
        <v>138</v>
      </c>
      <c r="BL1411" s="28" t="s">
        <v>138</v>
      </c>
      <c r="BM1411" s="34" t="s">
        <v>138</v>
      </c>
      <c r="BN1411" s="29" t="s">
        <v>138</v>
      </c>
      <c r="BO1411" s="28" t="s">
        <v>138</v>
      </c>
      <c r="BP1411" s="29" t="s">
        <v>138</v>
      </c>
      <c r="BQ1411" s="28" t="s">
        <v>138</v>
      </c>
      <c r="BR1411" s="28" t="s">
        <v>205</v>
      </c>
      <c r="BS1411" s="28" t="s">
        <v>138</v>
      </c>
      <c r="BT1411" s="28" t="s">
        <v>138</v>
      </c>
      <c r="BU1411" s="28" t="s">
        <v>174</v>
      </c>
      <c r="BV1411" s="28" t="s">
        <v>138</v>
      </c>
      <c r="BW1411" s="28" t="s">
        <v>138</v>
      </c>
      <c r="BX1411" s="28" t="s">
        <v>138</v>
      </c>
      <c r="BY1411" s="28" t="s">
        <v>175</v>
      </c>
      <c r="BZ1411" s="34" t="s">
        <v>138</v>
      </c>
      <c r="CA1411" s="29" t="s">
        <v>138</v>
      </c>
      <c r="CB1411" s="28" t="s">
        <v>138</v>
      </c>
      <c r="CC1411" s="29" t="s">
        <v>138</v>
      </c>
      <c r="CD1411" s="28" t="s">
        <v>138</v>
      </c>
      <c r="CE1411" s="28" t="s">
        <v>205</v>
      </c>
      <c r="CF1411" s="28" t="s">
        <v>138</v>
      </c>
      <c r="CG1411" s="28" t="s">
        <v>138</v>
      </c>
      <c r="CH1411" s="28" t="s">
        <v>174</v>
      </c>
      <c r="CI1411" s="28" t="s">
        <v>138</v>
      </c>
      <c r="CJ1411" s="28" t="s">
        <v>138</v>
      </c>
      <c r="CK1411" s="28" t="s">
        <v>138</v>
      </c>
      <c r="CL1411" s="28" t="s">
        <v>175</v>
      </c>
      <c r="CM1411" s="34" t="s">
        <v>138</v>
      </c>
      <c r="CN1411" s="29" t="s">
        <v>138</v>
      </c>
      <c r="CO1411" s="35">
        <v>0</v>
      </c>
      <c r="CP1411" s="36">
        <v>26</v>
      </c>
      <c r="CQ1411" s="35" t="s">
        <v>138</v>
      </c>
      <c r="CR1411" s="35" t="s">
        <v>138</v>
      </c>
      <c r="CS1411" s="35">
        <v>0</v>
      </c>
      <c r="CT1411" s="36">
        <v>23</v>
      </c>
      <c r="CU1411" s="35">
        <v>0</v>
      </c>
      <c r="CV1411" s="36">
        <v>22</v>
      </c>
      <c r="CW1411" s="35" t="s">
        <v>138</v>
      </c>
      <c r="CX1411" s="36" t="s">
        <v>138</v>
      </c>
      <c r="CY1411" s="35">
        <v>0</v>
      </c>
      <c r="CZ1411" s="36">
        <v>25</v>
      </c>
      <c r="DA1411" s="35">
        <v>0</v>
      </c>
      <c r="DB1411" s="36">
        <v>22</v>
      </c>
      <c r="DC1411" s="37">
        <v>0.5</v>
      </c>
      <c r="DD1411" s="36">
        <v>34</v>
      </c>
      <c r="DE1411" s="37" t="s">
        <v>138</v>
      </c>
      <c r="DF1411" s="35" t="s">
        <v>138</v>
      </c>
      <c r="DG1411" s="37">
        <v>0.72</v>
      </c>
      <c r="DH1411" s="36">
        <v>43</v>
      </c>
      <c r="DI1411" s="37">
        <v>0.27</v>
      </c>
      <c r="DJ1411" s="36">
        <v>26</v>
      </c>
      <c r="DK1411" s="37" t="s">
        <v>138</v>
      </c>
      <c r="DL1411" s="36" t="s">
        <v>138</v>
      </c>
      <c r="DM1411" s="37">
        <v>0.72</v>
      </c>
      <c r="DN1411" s="36">
        <v>42</v>
      </c>
      <c r="DO1411" s="37">
        <v>0.27</v>
      </c>
      <c r="DP1411" s="36">
        <v>28</v>
      </c>
      <c r="DQ1411" s="36" t="s">
        <v>138</v>
      </c>
      <c r="DR1411" s="38" t="s">
        <v>138</v>
      </c>
      <c r="DS1411" s="35" t="s">
        <v>138</v>
      </c>
      <c r="DT1411" s="36">
        <v>21</v>
      </c>
      <c r="DU1411" s="38">
        <v>0</v>
      </c>
      <c r="DV1411" s="35">
        <v>0</v>
      </c>
      <c r="DW1411" s="36">
        <v>95</v>
      </c>
      <c r="DX1411" s="39">
        <v>2</v>
      </c>
      <c r="DY1411" s="35">
        <v>2.15</v>
      </c>
      <c r="DZ1411" s="28" t="s">
        <v>178</v>
      </c>
      <c r="EA1411" s="34">
        <v>43535</v>
      </c>
      <c r="EB1411" s="29" t="s">
        <v>138</v>
      </c>
      <c r="EC1411" s="34" t="s">
        <v>138</v>
      </c>
      <c r="ED1411" s="28" t="s">
        <v>138</v>
      </c>
      <c r="EE1411" s="40" t="str">
        <f>HYPERLINK("https://my.pitchbook.com?c=265376-62", "View company online")</f>
        <v>View company online</v>
      </c>
    </row>
    <row r="1412" spans="1:135">
      <c r="A1412" s="15" t="s">
        <v>27162</v>
      </c>
      <c r="B1412" s="15" t="s">
        <v>27163</v>
      </c>
      <c r="C1412" s="15" t="s">
        <v>138</v>
      </c>
      <c r="D1412" s="15" t="s">
        <v>138</v>
      </c>
      <c r="E1412" s="15" t="s">
        <v>27164</v>
      </c>
      <c r="F1412" s="15" t="s">
        <v>27162</v>
      </c>
      <c r="G1412" s="15" t="s">
        <v>27165</v>
      </c>
      <c r="H1412" s="15" t="s">
        <v>322</v>
      </c>
      <c r="I1412" s="15" t="s">
        <v>323</v>
      </c>
      <c r="J1412" s="15" t="s">
        <v>2984</v>
      </c>
      <c r="K1412" s="15" t="s">
        <v>27166</v>
      </c>
      <c r="L1412" s="15" t="s">
        <v>27167</v>
      </c>
      <c r="M1412" s="15" t="s">
        <v>27168</v>
      </c>
      <c r="N1412" s="15" t="s">
        <v>147</v>
      </c>
      <c r="O1412" s="17">
        <v>89.77</v>
      </c>
      <c r="P1412" s="15" t="s">
        <v>148</v>
      </c>
      <c r="Q1412" s="15" t="s">
        <v>149</v>
      </c>
      <c r="R1412" s="15" t="s">
        <v>244</v>
      </c>
      <c r="S1412" s="15" t="s">
        <v>27169</v>
      </c>
      <c r="T1412" s="18" t="s">
        <v>138</v>
      </c>
      <c r="U1412" s="15" t="s">
        <v>138</v>
      </c>
      <c r="V1412" s="15" t="s">
        <v>138</v>
      </c>
      <c r="W1412" s="15" t="s">
        <v>138</v>
      </c>
      <c r="X1412" s="19">
        <v>2008</v>
      </c>
      <c r="Y1412" s="15" t="s">
        <v>138</v>
      </c>
      <c r="Z1412" s="15" t="s">
        <v>138</v>
      </c>
      <c r="AA1412" s="15" t="s">
        <v>138</v>
      </c>
      <c r="AB1412" s="20" t="s">
        <v>138</v>
      </c>
      <c r="AC1412" s="20" t="s">
        <v>138</v>
      </c>
      <c r="AD1412" s="20" t="s">
        <v>138</v>
      </c>
      <c r="AE1412" s="20" t="s">
        <v>138</v>
      </c>
      <c r="AF1412" s="20" t="s">
        <v>138</v>
      </c>
      <c r="AG1412" s="15" t="s">
        <v>138</v>
      </c>
      <c r="AH1412" s="20" t="s">
        <v>138</v>
      </c>
      <c r="AI1412" s="20" t="s">
        <v>138</v>
      </c>
      <c r="AJ1412" s="20" t="s">
        <v>138</v>
      </c>
      <c r="AK1412" s="15" t="s">
        <v>27170</v>
      </c>
      <c r="AL1412" s="15" t="s">
        <v>27171</v>
      </c>
      <c r="AM1412" s="15" t="s">
        <v>2949</v>
      </c>
      <c r="AN1412" s="15" t="s">
        <v>27172</v>
      </c>
      <c r="AO1412" s="15" t="s">
        <v>27173</v>
      </c>
      <c r="AP1412" s="15" t="s">
        <v>27174</v>
      </c>
      <c r="AQ1412" s="15" t="s">
        <v>27175</v>
      </c>
      <c r="AR1412" s="15" t="s">
        <v>138</v>
      </c>
      <c r="AS1412" s="15" t="s">
        <v>27176</v>
      </c>
      <c r="AT1412" s="15" t="s">
        <v>3712</v>
      </c>
      <c r="AU1412" s="15" t="s">
        <v>27177</v>
      </c>
      <c r="AV1412" s="15" t="s">
        <v>162</v>
      </c>
      <c r="AW1412" s="15" t="s">
        <v>27173</v>
      </c>
      <c r="AX1412" s="15" t="s">
        <v>138</v>
      </c>
      <c r="AY1412" s="15" t="s">
        <v>138</v>
      </c>
      <c r="AZ1412" s="15" t="s">
        <v>164</v>
      </c>
      <c r="BA1412" s="15" t="s">
        <v>165</v>
      </c>
      <c r="BB1412" s="15" t="s">
        <v>27178</v>
      </c>
      <c r="BC1412" s="15" t="s">
        <v>27179</v>
      </c>
      <c r="BD1412" s="21">
        <v>6</v>
      </c>
      <c r="BE1412" s="15" t="s">
        <v>138</v>
      </c>
      <c r="BF1412" s="15" t="s">
        <v>138</v>
      </c>
      <c r="BG1412" s="15" t="s">
        <v>138</v>
      </c>
      <c r="BH1412" s="15" t="s">
        <v>27180</v>
      </c>
      <c r="BI1412" s="15" t="s">
        <v>138</v>
      </c>
      <c r="BJ1412" s="15" t="s">
        <v>138</v>
      </c>
      <c r="BK1412" s="15" t="s">
        <v>27181</v>
      </c>
      <c r="BL1412" s="15" t="s">
        <v>27182</v>
      </c>
      <c r="BM1412" s="22">
        <v>40868</v>
      </c>
      <c r="BN1412" s="17">
        <v>5.3</v>
      </c>
      <c r="BO1412" s="15" t="s">
        <v>172</v>
      </c>
      <c r="BP1412" s="17">
        <v>19.54</v>
      </c>
      <c r="BQ1412" s="15" t="s">
        <v>172</v>
      </c>
      <c r="BR1412" s="15" t="s">
        <v>205</v>
      </c>
      <c r="BS1412" s="15" t="s">
        <v>206</v>
      </c>
      <c r="BT1412" s="15" t="s">
        <v>138</v>
      </c>
      <c r="BU1412" s="15" t="s">
        <v>174</v>
      </c>
      <c r="BV1412" s="15" t="s">
        <v>138</v>
      </c>
      <c r="BW1412" s="15" t="s">
        <v>138</v>
      </c>
      <c r="BX1412" s="15" t="s">
        <v>138</v>
      </c>
      <c r="BY1412" s="15" t="s">
        <v>175</v>
      </c>
      <c r="BZ1412" s="22">
        <v>42803</v>
      </c>
      <c r="CA1412" s="17">
        <v>63.53</v>
      </c>
      <c r="CB1412" s="15" t="s">
        <v>172</v>
      </c>
      <c r="CC1412" s="17">
        <v>186</v>
      </c>
      <c r="CD1412" s="15" t="s">
        <v>172</v>
      </c>
      <c r="CE1412" s="15" t="s">
        <v>173</v>
      </c>
      <c r="CF1412" s="15" t="s">
        <v>317</v>
      </c>
      <c r="CG1412" s="15" t="s">
        <v>138</v>
      </c>
      <c r="CH1412" s="15" t="s">
        <v>174</v>
      </c>
      <c r="CI1412" s="15" t="s">
        <v>138</v>
      </c>
      <c r="CJ1412" s="15" t="s">
        <v>138</v>
      </c>
      <c r="CK1412" s="15" t="s">
        <v>138</v>
      </c>
      <c r="CL1412" s="15" t="s">
        <v>175</v>
      </c>
      <c r="CM1412" s="22">
        <v>42102</v>
      </c>
      <c r="CN1412" s="17" t="s">
        <v>138</v>
      </c>
      <c r="CO1412" s="23">
        <v>0.56000000000000005</v>
      </c>
      <c r="CP1412" s="24">
        <v>95</v>
      </c>
      <c r="CQ1412" s="23">
        <v>-0.01</v>
      </c>
      <c r="CR1412" s="23">
        <v>-1.43</v>
      </c>
      <c r="CS1412" s="23">
        <v>0.98</v>
      </c>
      <c r="CT1412" s="24">
        <v>97</v>
      </c>
      <c r="CU1412" s="23">
        <v>0.13</v>
      </c>
      <c r="CV1412" s="24">
        <v>73</v>
      </c>
      <c r="CW1412" s="23">
        <v>2.2400000000000002</v>
      </c>
      <c r="CX1412" s="24">
        <v>89</v>
      </c>
      <c r="CY1412" s="23">
        <v>-0.28000000000000003</v>
      </c>
      <c r="CZ1412" s="24">
        <v>23</v>
      </c>
      <c r="DA1412" s="23">
        <v>-0.01</v>
      </c>
      <c r="DB1412" s="24">
        <v>21</v>
      </c>
      <c r="DC1412" s="25">
        <v>9.39</v>
      </c>
      <c r="DD1412" s="24">
        <v>89</v>
      </c>
      <c r="DE1412" s="25">
        <v>-0.34</v>
      </c>
      <c r="DF1412" s="23">
        <v>-3.54</v>
      </c>
      <c r="DG1412" s="25">
        <v>12.82</v>
      </c>
      <c r="DH1412" s="24">
        <v>92</v>
      </c>
      <c r="DI1412" s="25">
        <v>5.95</v>
      </c>
      <c r="DJ1412" s="24">
        <v>80</v>
      </c>
      <c r="DK1412" s="25">
        <v>11.24</v>
      </c>
      <c r="DL1412" s="24">
        <v>88</v>
      </c>
      <c r="DM1412" s="25">
        <v>14.41</v>
      </c>
      <c r="DN1412" s="24">
        <v>92</v>
      </c>
      <c r="DO1412" s="25">
        <v>11.54</v>
      </c>
      <c r="DP1412" s="24">
        <v>88</v>
      </c>
      <c r="DQ1412" s="24">
        <v>3822</v>
      </c>
      <c r="DR1412" s="26">
        <v>94</v>
      </c>
      <c r="DS1412" s="23">
        <v>2.52</v>
      </c>
      <c r="DT1412" s="24">
        <v>418</v>
      </c>
      <c r="DU1412" s="26">
        <v>0</v>
      </c>
      <c r="DV1412" s="23">
        <v>0</v>
      </c>
      <c r="DW1412" s="24">
        <v>4131</v>
      </c>
      <c r="DX1412" s="27">
        <v>1</v>
      </c>
      <c r="DY1412" s="23">
        <v>0.02</v>
      </c>
      <c r="DZ1412" s="15" t="s">
        <v>178</v>
      </c>
      <c r="EA1412" s="22">
        <v>43351</v>
      </c>
      <c r="EB1412" s="17">
        <v>186</v>
      </c>
      <c r="EC1412" s="22">
        <v>42803</v>
      </c>
      <c r="ED1412" s="15" t="s">
        <v>173</v>
      </c>
      <c r="EE1412" s="14" t="str">
        <f>HYPERLINK("https://my.pitchbook.com?c=53401-42", "View company online")</f>
        <v>View company online</v>
      </c>
    </row>
    <row r="1413" spans="1:135">
      <c r="A1413" s="28" t="s">
        <v>27183</v>
      </c>
      <c r="B1413" s="28" t="s">
        <v>27184</v>
      </c>
      <c r="C1413" s="28" t="s">
        <v>138</v>
      </c>
      <c r="D1413" s="28" t="s">
        <v>138</v>
      </c>
      <c r="E1413" s="28" t="s">
        <v>138</v>
      </c>
      <c r="F1413" s="28" t="s">
        <v>27183</v>
      </c>
      <c r="G1413" s="28" t="s">
        <v>27185</v>
      </c>
      <c r="H1413" s="28" t="s">
        <v>322</v>
      </c>
      <c r="I1413" s="28" t="s">
        <v>807</v>
      </c>
      <c r="J1413" s="28" t="s">
        <v>1102</v>
      </c>
      <c r="K1413" s="28" t="s">
        <v>27186</v>
      </c>
      <c r="L1413" s="28" t="s">
        <v>215</v>
      </c>
      <c r="M1413" s="28" t="s">
        <v>27187</v>
      </c>
      <c r="N1413" s="28" t="s">
        <v>147</v>
      </c>
      <c r="O1413" s="29" t="s">
        <v>138</v>
      </c>
      <c r="P1413" s="28" t="s">
        <v>148</v>
      </c>
      <c r="Q1413" s="28" t="s">
        <v>149</v>
      </c>
      <c r="R1413" s="28" t="s">
        <v>13812</v>
      </c>
      <c r="S1413" s="28" t="s">
        <v>27188</v>
      </c>
      <c r="T1413" s="30">
        <v>198</v>
      </c>
      <c r="U1413" s="28" t="s">
        <v>27189</v>
      </c>
      <c r="V1413" s="28" t="s">
        <v>138</v>
      </c>
      <c r="W1413" s="28" t="s">
        <v>138</v>
      </c>
      <c r="X1413" s="31">
        <v>1991</v>
      </c>
      <c r="Y1413" s="28" t="s">
        <v>138</v>
      </c>
      <c r="Z1413" s="28" t="s">
        <v>138</v>
      </c>
      <c r="AA1413" s="28" t="s">
        <v>138</v>
      </c>
      <c r="AB1413" s="32" t="s">
        <v>138</v>
      </c>
      <c r="AC1413" s="32" t="s">
        <v>138</v>
      </c>
      <c r="AD1413" s="32" t="s">
        <v>138</v>
      </c>
      <c r="AE1413" s="32" t="s">
        <v>138</v>
      </c>
      <c r="AF1413" s="32" t="s">
        <v>138</v>
      </c>
      <c r="AG1413" s="28" t="s">
        <v>138</v>
      </c>
      <c r="AH1413" s="32" t="s">
        <v>138</v>
      </c>
      <c r="AI1413" s="32" t="s">
        <v>138</v>
      </c>
      <c r="AJ1413" s="32" t="s">
        <v>138</v>
      </c>
      <c r="AK1413" s="28" t="s">
        <v>27190</v>
      </c>
      <c r="AL1413" s="28" t="s">
        <v>27191</v>
      </c>
      <c r="AM1413" s="28" t="s">
        <v>566</v>
      </c>
      <c r="AN1413" s="28" t="s">
        <v>138</v>
      </c>
      <c r="AO1413" s="28" t="s">
        <v>27192</v>
      </c>
      <c r="AP1413" s="28" t="s">
        <v>27193</v>
      </c>
      <c r="AQ1413" s="28" t="s">
        <v>27194</v>
      </c>
      <c r="AR1413" s="28" t="s">
        <v>138</v>
      </c>
      <c r="AS1413" s="28" t="s">
        <v>27195</v>
      </c>
      <c r="AT1413" s="28" t="s">
        <v>138</v>
      </c>
      <c r="AU1413" s="28" t="s">
        <v>138</v>
      </c>
      <c r="AV1413" s="28" t="s">
        <v>27196</v>
      </c>
      <c r="AW1413" s="28" t="s">
        <v>27192</v>
      </c>
      <c r="AX1413" s="28" t="s">
        <v>27197</v>
      </c>
      <c r="AY1413" s="28" t="s">
        <v>138</v>
      </c>
      <c r="AZ1413" s="28" t="s">
        <v>742</v>
      </c>
      <c r="BA1413" s="28" t="s">
        <v>742</v>
      </c>
      <c r="BB1413" s="28" t="s">
        <v>27198</v>
      </c>
      <c r="BC1413" s="28" t="s">
        <v>27199</v>
      </c>
      <c r="BD1413" s="33">
        <v>2</v>
      </c>
      <c r="BE1413" s="28" t="s">
        <v>138</v>
      </c>
      <c r="BF1413" s="28" t="s">
        <v>27200</v>
      </c>
      <c r="BG1413" s="28" t="s">
        <v>138</v>
      </c>
      <c r="BH1413" s="28" t="s">
        <v>27201</v>
      </c>
      <c r="BI1413" s="28" t="s">
        <v>27202</v>
      </c>
      <c r="BJ1413" s="28" t="s">
        <v>138</v>
      </c>
      <c r="BK1413" s="28" t="s">
        <v>138</v>
      </c>
      <c r="BL1413" s="28" t="s">
        <v>27203</v>
      </c>
      <c r="BM1413" s="34">
        <v>33239</v>
      </c>
      <c r="BN1413" s="29" t="s">
        <v>138</v>
      </c>
      <c r="BO1413" s="28" t="s">
        <v>138</v>
      </c>
      <c r="BP1413" s="29" t="s">
        <v>138</v>
      </c>
      <c r="BQ1413" s="28" t="s">
        <v>138</v>
      </c>
      <c r="BR1413" s="28" t="s">
        <v>1423</v>
      </c>
      <c r="BS1413" s="28" t="s">
        <v>138</v>
      </c>
      <c r="BT1413" s="28" t="s">
        <v>138</v>
      </c>
      <c r="BU1413" s="28" t="s">
        <v>780</v>
      </c>
      <c r="BV1413" s="28" t="s">
        <v>138</v>
      </c>
      <c r="BW1413" s="28" t="s">
        <v>138</v>
      </c>
      <c r="BX1413" s="28" t="s">
        <v>138</v>
      </c>
      <c r="BY1413" s="28" t="s">
        <v>175</v>
      </c>
      <c r="BZ1413" s="34" t="s">
        <v>138</v>
      </c>
      <c r="CA1413" s="29" t="s">
        <v>138</v>
      </c>
      <c r="CB1413" s="28" t="s">
        <v>138</v>
      </c>
      <c r="CC1413" s="29" t="s">
        <v>138</v>
      </c>
      <c r="CD1413" s="28" t="s">
        <v>138</v>
      </c>
      <c r="CE1413" s="28" t="s">
        <v>379</v>
      </c>
      <c r="CF1413" s="28" t="s">
        <v>138</v>
      </c>
      <c r="CG1413" s="28" t="s">
        <v>138</v>
      </c>
      <c r="CH1413" s="28" t="s">
        <v>174</v>
      </c>
      <c r="CI1413" s="28" t="s">
        <v>138</v>
      </c>
      <c r="CJ1413" s="28" t="s">
        <v>138</v>
      </c>
      <c r="CK1413" s="28" t="s">
        <v>138</v>
      </c>
      <c r="CL1413" s="28" t="s">
        <v>175</v>
      </c>
      <c r="CM1413" s="34" t="s">
        <v>138</v>
      </c>
      <c r="CN1413" s="29" t="s">
        <v>138</v>
      </c>
      <c r="CO1413" s="35">
        <v>0.16</v>
      </c>
      <c r="CP1413" s="36">
        <v>92</v>
      </c>
      <c r="CQ1413" s="35">
        <v>-0.01</v>
      </c>
      <c r="CR1413" s="35">
        <v>-4.2300000000000004</v>
      </c>
      <c r="CS1413" s="35">
        <v>0</v>
      </c>
      <c r="CT1413" s="36">
        <v>23</v>
      </c>
      <c r="CU1413" s="35">
        <v>0.32</v>
      </c>
      <c r="CV1413" s="36">
        <v>88</v>
      </c>
      <c r="CW1413" s="35" t="s">
        <v>138</v>
      </c>
      <c r="CX1413" s="36" t="s">
        <v>138</v>
      </c>
      <c r="CY1413" s="35">
        <v>0</v>
      </c>
      <c r="CZ1413" s="36">
        <v>25</v>
      </c>
      <c r="DA1413" s="35">
        <v>0.03</v>
      </c>
      <c r="DB1413" s="36">
        <v>60</v>
      </c>
      <c r="DC1413" s="37">
        <v>2.74</v>
      </c>
      <c r="DD1413" s="36">
        <v>73</v>
      </c>
      <c r="DE1413" s="37">
        <v>-0.05</v>
      </c>
      <c r="DF1413" s="35">
        <v>-1.86</v>
      </c>
      <c r="DG1413" s="37">
        <v>1.17</v>
      </c>
      <c r="DH1413" s="36">
        <v>55</v>
      </c>
      <c r="DI1413" s="37">
        <v>4.3099999999999996</v>
      </c>
      <c r="DJ1413" s="36">
        <v>75</v>
      </c>
      <c r="DK1413" s="37" t="s">
        <v>138</v>
      </c>
      <c r="DL1413" s="36" t="s">
        <v>138</v>
      </c>
      <c r="DM1413" s="37">
        <v>1.17</v>
      </c>
      <c r="DN1413" s="36">
        <v>54</v>
      </c>
      <c r="DO1413" s="37">
        <v>1.23</v>
      </c>
      <c r="DP1413" s="36">
        <v>54</v>
      </c>
      <c r="DQ1413" s="36" t="s">
        <v>138</v>
      </c>
      <c r="DR1413" s="38" t="s">
        <v>138</v>
      </c>
      <c r="DS1413" s="35" t="s">
        <v>138</v>
      </c>
      <c r="DT1413" s="36">
        <v>35</v>
      </c>
      <c r="DU1413" s="38">
        <v>-2</v>
      </c>
      <c r="DV1413" s="35">
        <v>-5.41</v>
      </c>
      <c r="DW1413" s="36">
        <v>439</v>
      </c>
      <c r="DX1413" s="39">
        <v>0</v>
      </c>
      <c r="DY1413" s="35">
        <v>0</v>
      </c>
      <c r="DZ1413" s="28" t="s">
        <v>178</v>
      </c>
      <c r="EA1413" s="34">
        <v>43571</v>
      </c>
      <c r="EB1413" s="29" t="s">
        <v>138</v>
      </c>
      <c r="EC1413" s="34" t="s">
        <v>138</v>
      </c>
      <c r="ED1413" s="28" t="s">
        <v>138</v>
      </c>
      <c r="EE1413" s="40" t="str">
        <f>HYPERLINK("https://my.pitchbook.com?c=58913-92", "View company online")</f>
        <v>View company online</v>
      </c>
    </row>
    <row r="1414" spans="1:135">
      <c r="A1414" s="15" t="s">
        <v>27204</v>
      </c>
      <c r="B1414" s="15" t="s">
        <v>27205</v>
      </c>
      <c r="C1414" s="15" t="s">
        <v>138</v>
      </c>
      <c r="D1414" s="15" t="s">
        <v>138</v>
      </c>
      <c r="E1414" s="15" t="s">
        <v>27206</v>
      </c>
      <c r="F1414" s="15" t="s">
        <v>27204</v>
      </c>
      <c r="G1414" s="15" t="s">
        <v>27207</v>
      </c>
      <c r="H1414" s="15" t="s">
        <v>238</v>
      </c>
      <c r="I1414" s="15" t="s">
        <v>1351</v>
      </c>
      <c r="J1414" s="15" t="s">
        <v>1352</v>
      </c>
      <c r="K1414" s="15" t="s">
        <v>11328</v>
      </c>
      <c r="L1414" s="15" t="s">
        <v>27208</v>
      </c>
      <c r="M1414" s="15" t="s">
        <v>27209</v>
      </c>
      <c r="N1414" s="15" t="s">
        <v>147</v>
      </c>
      <c r="O1414" s="17">
        <v>330</v>
      </c>
      <c r="P1414" s="15" t="s">
        <v>148</v>
      </c>
      <c r="Q1414" s="15" t="s">
        <v>149</v>
      </c>
      <c r="R1414" s="15" t="s">
        <v>174</v>
      </c>
      <c r="S1414" s="15" t="s">
        <v>27210</v>
      </c>
      <c r="T1414" s="18">
        <v>120</v>
      </c>
      <c r="U1414" s="15" t="s">
        <v>27211</v>
      </c>
      <c r="V1414" s="15" t="s">
        <v>138</v>
      </c>
      <c r="W1414" s="15" t="s">
        <v>138</v>
      </c>
      <c r="X1414" s="19">
        <v>2015</v>
      </c>
      <c r="Y1414" s="15" t="s">
        <v>138</v>
      </c>
      <c r="Z1414" s="15" t="s">
        <v>138</v>
      </c>
      <c r="AA1414" s="15" t="s">
        <v>1163</v>
      </c>
      <c r="AB1414" s="20" t="s">
        <v>138</v>
      </c>
      <c r="AC1414" s="20" t="s">
        <v>138</v>
      </c>
      <c r="AD1414" s="20" t="s">
        <v>138</v>
      </c>
      <c r="AE1414" s="20" t="s">
        <v>138</v>
      </c>
      <c r="AF1414" s="20" t="s">
        <v>138</v>
      </c>
      <c r="AG1414" s="15" t="s">
        <v>138</v>
      </c>
      <c r="AH1414" s="20" t="s">
        <v>138</v>
      </c>
      <c r="AI1414" s="20" t="s">
        <v>138</v>
      </c>
      <c r="AJ1414" s="20" t="s">
        <v>138</v>
      </c>
      <c r="AK1414" s="15" t="s">
        <v>27212</v>
      </c>
      <c r="AL1414" s="15" t="s">
        <v>27213</v>
      </c>
      <c r="AM1414" s="15" t="s">
        <v>249</v>
      </c>
      <c r="AN1414" s="15" t="s">
        <v>138</v>
      </c>
      <c r="AO1414" s="15" t="s">
        <v>27214</v>
      </c>
      <c r="AP1414" s="15" t="s">
        <v>1168</v>
      </c>
      <c r="AQ1414" s="15" t="s">
        <v>4919</v>
      </c>
      <c r="AR1414" s="15" t="s">
        <v>138</v>
      </c>
      <c r="AS1414" s="15" t="s">
        <v>1171</v>
      </c>
      <c r="AT1414" s="15" t="s">
        <v>200</v>
      </c>
      <c r="AU1414" s="15" t="s">
        <v>1172</v>
      </c>
      <c r="AV1414" s="15" t="s">
        <v>162</v>
      </c>
      <c r="AW1414" s="15" t="s">
        <v>27214</v>
      </c>
      <c r="AX1414" s="15" t="s">
        <v>138</v>
      </c>
      <c r="AY1414" s="15" t="s">
        <v>27215</v>
      </c>
      <c r="AZ1414" s="15" t="s">
        <v>164</v>
      </c>
      <c r="BA1414" s="15" t="s">
        <v>165</v>
      </c>
      <c r="BB1414" s="15" t="s">
        <v>27216</v>
      </c>
      <c r="BC1414" s="15" t="s">
        <v>27217</v>
      </c>
      <c r="BD1414" s="21">
        <v>10</v>
      </c>
      <c r="BE1414" s="15" t="s">
        <v>138</v>
      </c>
      <c r="BF1414" s="15" t="s">
        <v>138</v>
      </c>
      <c r="BG1414" s="15" t="s">
        <v>138</v>
      </c>
      <c r="BH1414" s="15" t="s">
        <v>27218</v>
      </c>
      <c r="BI1414" s="15" t="s">
        <v>138</v>
      </c>
      <c r="BJ1414" s="15" t="s">
        <v>138</v>
      </c>
      <c r="BK1414" s="15" t="s">
        <v>138</v>
      </c>
      <c r="BL1414" s="15" t="s">
        <v>27219</v>
      </c>
      <c r="BM1414" s="22">
        <v>42418</v>
      </c>
      <c r="BN1414" s="17">
        <v>30</v>
      </c>
      <c r="BO1414" s="15" t="s">
        <v>172</v>
      </c>
      <c r="BP1414" s="17">
        <v>120</v>
      </c>
      <c r="BQ1414" s="15" t="s">
        <v>172</v>
      </c>
      <c r="BR1414" s="15" t="s">
        <v>205</v>
      </c>
      <c r="BS1414" s="15" t="s">
        <v>206</v>
      </c>
      <c r="BT1414" s="15" t="s">
        <v>138</v>
      </c>
      <c r="BU1414" s="15" t="s">
        <v>174</v>
      </c>
      <c r="BV1414" s="15" t="s">
        <v>138</v>
      </c>
      <c r="BW1414" s="15" t="s">
        <v>138</v>
      </c>
      <c r="BX1414" s="15" t="s">
        <v>138</v>
      </c>
      <c r="BY1414" s="15" t="s">
        <v>175</v>
      </c>
      <c r="BZ1414" s="22" t="s">
        <v>138</v>
      </c>
      <c r="CA1414" s="17" t="s">
        <v>138</v>
      </c>
      <c r="CB1414" s="15" t="s">
        <v>138</v>
      </c>
      <c r="CC1414" s="17" t="s">
        <v>138</v>
      </c>
      <c r="CD1414" s="15" t="s">
        <v>138</v>
      </c>
      <c r="CE1414" s="15" t="s">
        <v>2228</v>
      </c>
      <c r="CF1414" s="15" t="s">
        <v>138</v>
      </c>
      <c r="CG1414" s="15" t="s">
        <v>138</v>
      </c>
      <c r="CH1414" s="15" t="s">
        <v>780</v>
      </c>
      <c r="CI1414" s="15" t="s">
        <v>138</v>
      </c>
      <c r="CJ1414" s="15" t="s">
        <v>138</v>
      </c>
      <c r="CK1414" s="15" t="s">
        <v>138</v>
      </c>
      <c r="CL1414" s="15" t="s">
        <v>3093</v>
      </c>
      <c r="CM1414" s="22" t="s">
        <v>138</v>
      </c>
      <c r="CN1414" s="17" t="s">
        <v>138</v>
      </c>
      <c r="CO1414" s="23">
        <v>-2.13</v>
      </c>
      <c r="CP1414" s="24">
        <v>5</v>
      </c>
      <c r="CQ1414" s="23">
        <v>-0.01</v>
      </c>
      <c r="CR1414" s="23">
        <v>-0.42</v>
      </c>
      <c r="CS1414" s="23">
        <v>-4.25</v>
      </c>
      <c r="CT1414" s="24">
        <v>3</v>
      </c>
      <c r="CU1414" s="23">
        <v>-0.02</v>
      </c>
      <c r="CV1414" s="24">
        <v>17</v>
      </c>
      <c r="CW1414" s="23">
        <v>-6.75</v>
      </c>
      <c r="CX1414" s="24">
        <v>2</v>
      </c>
      <c r="CY1414" s="23">
        <v>-1.75</v>
      </c>
      <c r="CZ1414" s="24">
        <v>13</v>
      </c>
      <c r="DA1414" s="23">
        <v>-0.02</v>
      </c>
      <c r="DB1414" s="24">
        <v>19</v>
      </c>
      <c r="DC1414" s="25">
        <v>139.66</v>
      </c>
      <c r="DD1414" s="24">
        <v>99</v>
      </c>
      <c r="DE1414" s="25">
        <v>-3.24</v>
      </c>
      <c r="DF1414" s="23">
        <v>-2.27</v>
      </c>
      <c r="DG1414" s="25">
        <v>122.5</v>
      </c>
      <c r="DH1414" s="24">
        <v>100</v>
      </c>
      <c r="DI1414" s="25">
        <v>156.82</v>
      </c>
      <c r="DJ1414" s="24">
        <v>98</v>
      </c>
      <c r="DK1414" s="25">
        <v>112.24</v>
      </c>
      <c r="DL1414" s="24">
        <v>98</v>
      </c>
      <c r="DM1414" s="25">
        <v>132.76</v>
      </c>
      <c r="DN1414" s="24">
        <v>100</v>
      </c>
      <c r="DO1414" s="25">
        <v>156.82</v>
      </c>
      <c r="DP1414" s="24">
        <v>99</v>
      </c>
      <c r="DQ1414" s="24">
        <v>39025</v>
      </c>
      <c r="DR1414" s="26">
        <v>-1583</v>
      </c>
      <c r="DS1414" s="23">
        <v>-3.9</v>
      </c>
      <c r="DT1414" s="24">
        <v>3850</v>
      </c>
      <c r="DU1414" s="26">
        <v>-2</v>
      </c>
      <c r="DV1414" s="23">
        <v>-0.05</v>
      </c>
      <c r="DW1414" s="24">
        <v>56172</v>
      </c>
      <c r="DX1414" s="27">
        <v>-12</v>
      </c>
      <c r="DY1414" s="23">
        <v>-0.02</v>
      </c>
      <c r="DZ1414" s="15" t="s">
        <v>178</v>
      </c>
      <c r="EA1414" s="22">
        <v>43523</v>
      </c>
      <c r="EB1414" s="17">
        <v>1000</v>
      </c>
      <c r="EC1414" s="22">
        <v>43020</v>
      </c>
      <c r="ED1414" s="15" t="s">
        <v>205</v>
      </c>
      <c r="EE1414" s="14" t="str">
        <f>HYPERLINK("https://my.pitchbook.com?c=181930-42", "View company online")</f>
        <v>View company online</v>
      </c>
    </row>
    <row r="1415" spans="1:135">
      <c r="A1415" s="28" t="s">
        <v>27220</v>
      </c>
      <c r="B1415" s="28" t="s">
        <v>27221</v>
      </c>
      <c r="C1415" s="28" t="s">
        <v>138</v>
      </c>
      <c r="D1415" s="28" t="s">
        <v>27222</v>
      </c>
      <c r="E1415" s="28" t="s">
        <v>138</v>
      </c>
      <c r="F1415" s="28" t="s">
        <v>27220</v>
      </c>
      <c r="G1415" s="28" t="s">
        <v>27223</v>
      </c>
      <c r="H1415" s="28" t="s">
        <v>322</v>
      </c>
      <c r="I1415" s="28" t="s">
        <v>1503</v>
      </c>
      <c r="J1415" s="28" t="s">
        <v>3679</v>
      </c>
      <c r="K1415" s="28" t="s">
        <v>27224</v>
      </c>
      <c r="L1415" s="28" t="s">
        <v>27225</v>
      </c>
      <c r="M1415" s="28" t="s">
        <v>27226</v>
      </c>
      <c r="N1415" s="28" t="s">
        <v>147</v>
      </c>
      <c r="O1415" s="29">
        <v>63.6</v>
      </c>
      <c r="P1415" s="28" t="s">
        <v>610</v>
      </c>
      <c r="Q1415" s="28" t="s">
        <v>149</v>
      </c>
      <c r="R1415" s="28" t="s">
        <v>174</v>
      </c>
      <c r="S1415" s="28" t="s">
        <v>27227</v>
      </c>
      <c r="T1415" s="30">
        <v>100</v>
      </c>
      <c r="U1415" s="28" t="s">
        <v>25881</v>
      </c>
      <c r="V1415" s="28" t="s">
        <v>138</v>
      </c>
      <c r="W1415" s="28" t="s">
        <v>138</v>
      </c>
      <c r="X1415" s="31">
        <v>2014</v>
      </c>
      <c r="Y1415" s="28" t="s">
        <v>138</v>
      </c>
      <c r="Z1415" s="28" t="s">
        <v>138</v>
      </c>
      <c r="AA1415" s="28" t="s">
        <v>138</v>
      </c>
      <c r="AB1415" s="32" t="s">
        <v>138</v>
      </c>
      <c r="AC1415" s="32" t="s">
        <v>138</v>
      </c>
      <c r="AD1415" s="32" t="s">
        <v>138</v>
      </c>
      <c r="AE1415" s="32" t="s">
        <v>138</v>
      </c>
      <c r="AF1415" s="32" t="s">
        <v>138</v>
      </c>
      <c r="AG1415" s="28" t="s">
        <v>138</v>
      </c>
      <c r="AH1415" s="32" t="s">
        <v>138</v>
      </c>
      <c r="AI1415" s="32" t="s">
        <v>138</v>
      </c>
      <c r="AJ1415" s="32" t="s">
        <v>138</v>
      </c>
      <c r="AK1415" s="28" t="s">
        <v>27228</v>
      </c>
      <c r="AL1415" s="28" t="s">
        <v>27229</v>
      </c>
      <c r="AM1415" s="28" t="s">
        <v>27230</v>
      </c>
      <c r="AN1415" s="28" t="s">
        <v>27231</v>
      </c>
      <c r="AO1415" s="28" t="s">
        <v>138</v>
      </c>
      <c r="AP1415" s="28" t="s">
        <v>964</v>
      </c>
      <c r="AQ1415" s="28" t="s">
        <v>138</v>
      </c>
      <c r="AR1415" s="28" t="s">
        <v>138</v>
      </c>
      <c r="AS1415" s="28" t="s">
        <v>966</v>
      </c>
      <c r="AT1415" s="28" t="s">
        <v>200</v>
      </c>
      <c r="AU1415" s="28" t="s">
        <v>138</v>
      </c>
      <c r="AV1415" s="28" t="s">
        <v>162</v>
      </c>
      <c r="AW1415" s="28" t="s">
        <v>138</v>
      </c>
      <c r="AX1415" s="28" t="s">
        <v>138</v>
      </c>
      <c r="AY1415" s="28" t="s">
        <v>27232</v>
      </c>
      <c r="AZ1415" s="28" t="s">
        <v>164</v>
      </c>
      <c r="BA1415" s="28" t="s">
        <v>165</v>
      </c>
      <c r="BB1415" s="28" t="s">
        <v>27233</v>
      </c>
      <c r="BC1415" s="28" t="s">
        <v>27234</v>
      </c>
      <c r="BD1415" s="33">
        <v>4</v>
      </c>
      <c r="BE1415" s="28" t="s">
        <v>138</v>
      </c>
      <c r="BF1415" s="28" t="s">
        <v>138</v>
      </c>
      <c r="BG1415" s="28" t="s">
        <v>138</v>
      </c>
      <c r="BH1415" s="28" t="s">
        <v>27235</v>
      </c>
      <c r="BI1415" s="28" t="s">
        <v>138</v>
      </c>
      <c r="BJ1415" s="28" t="s">
        <v>138</v>
      </c>
      <c r="BK1415" s="28" t="s">
        <v>2936</v>
      </c>
      <c r="BL1415" s="28" t="s">
        <v>2936</v>
      </c>
      <c r="BM1415" s="34">
        <v>43011</v>
      </c>
      <c r="BN1415" s="29">
        <v>5.6</v>
      </c>
      <c r="BO1415" s="28" t="s">
        <v>172</v>
      </c>
      <c r="BP1415" s="29">
        <v>45.6</v>
      </c>
      <c r="BQ1415" s="28" t="s">
        <v>172</v>
      </c>
      <c r="BR1415" s="28" t="s">
        <v>205</v>
      </c>
      <c r="BS1415" s="28" t="s">
        <v>206</v>
      </c>
      <c r="BT1415" s="28" t="s">
        <v>138</v>
      </c>
      <c r="BU1415" s="28" t="s">
        <v>174</v>
      </c>
      <c r="BV1415" s="28" t="s">
        <v>138</v>
      </c>
      <c r="BW1415" s="28" t="s">
        <v>138</v>
      </c>
      <c r="BX1415" s="28" t="s">
        <v>138</v>
      </c>
      <c r="BY1415" s="28" t="s">
        <v>175</v>
      </c>
      <c r="BZ1415" s="34">
        <v>43409</v>
      </c>
      <c r="CA1415" s="29">
        <v>58</v>
      </c>
      <c r="CB1415" s="28" t="s">
        <v>1178</v>
      </c>
      <c r="CC1415" s="29">
        <v>158.02000000000001</v>
      </c>
      <c r="CD1415" s="28" t="s">
        <v>172</v>
      </c>
      <c r="CE1415" s="28" t="s">
        <v>205</v>
      </c>
      <c r="CF1415" s="28" t="s">
        <v>720</v>
      </c>
      <c r="CG1415" s="28" t="s">
        <v>138</v>
      </c>
      <c r="CH1415" s="28" t="s">
        <v>174</v>
      </c>
      <c r="CI1415" s="28" t="s">
        <v>138</v>
      </c>
      <c r="CJ1415" s="28" t="s">
        <v>138</v>
      </c>
      <c r="CK1415" s="28" t="s">
        <v>138</v>
      </c>
      <c r="CL1415" s="28" t="s">
        <v>175</v>
      </c>
      <c r="CM1415" s="34" t="s">
        <v>138</v>
      </c>
      <c r="CN1415" s="29" t="s">
        <v>138</v>
      </c>
      <c r="CO1415" s="35">
        <v>-1.21</v>
      </c>
      <c r="CP1415" s="36">
        <v>9</v>
      </c>
      <c r="CQ1415" s="35">
        <v>0.03</v>
      </c>
      <c r="CR1415" s="35">
        <v>2.2599999999999998</v>
      </c>
      <c r="CS1415" s="35">
        <v>-3.63</v>
      </c>
      <c r="CT1415" s="36">
        <v>4</v>
      </c>
      <c r="CU1415" s="35">
        <v>1.22</v>
      </c>
      <c r="CV1415" s="36">
        <v>99</v>
      </c>
      <c r="CW1415" s="35">
        <v>-5.96</v>
      </c>
      <c r="CX1415" s="36">
        <v>2</v>
      </c>
      <c r="CY1415" s="35">
        <v>-1.31</v>
      </c>
      <c r="CZ1415" s="36">
        <v>16</v>
      </c>
      <c r="DA1415" s="35">
        <v>1.22</v>
      </c>
      <c r="DB1415" s="36">
        <v>99</v>
      </c>
      <c r="DC1415" s="37">
        <v>3.17</v>
      </c>
      <c r="DD1415" s="36">
        <v>76</v>
      </c>
      <c r="DE1415" s="37">
        <v>-7.0000000000000007E-2</v>
      </c>
      <c r="DF1415" s="35">
        <v>-2.23</v>
      </c>
      <c r="DG1415" s="37">
        <v>4.3899999999999997</v>
      </c>
      <c r="DH1415" s="36">
        <v>81</v>
      </c>
      <c r="DI1415" s="37">
        <v>1.94</v>
      </c>
      <c r="DJ1415" s="36">
        <v>62</v>
      </c>
      <c r="DK1415" s="37">
        <v>2.95</v>
      </c>
      <c r="DL1415" s="36">
        <v>71</v>
      </c>
      <c r="DM1415" s="37">
        <v>5.83</v>
      </c>
      <c r="DN1415" s="36">
        <v>83</v>
      </c>
      <c r="DO1415" s="37">
        <v>1.94</v>
      </c>
      <c r="DP1415" s="36">
        <v>63</v>
      </c>
      <c r="DQ1415" s="36">
        <v>1006</v>
      </c>
      <c r="DR1415" s="38">
        <v>16</v>
      </c>
      <c r="DS1415" s="35">
        <v>1.62</v>
      </c>
      <c r="DT1415" s="36">
        <v>168</v>
      </c>
      <c r="DU1415" s="38">
        <v>0</v>
      </c>
      <c r="DV1415" s="35">
        <v>0</v>
      </c>
      <c r="DW1415" s="36">
        <v>694</v>
      </c>
      <c r="DX1415" s="39">
        <v>6</v>
      </c>
      <c r="DY1415" s="35">
        <v>0.87</v>
      </c>
      <c r="DZ1415" s="28" t="s">
        <v>178</v>
      </c>
      <c r="EA1415" s="34">
        <v>43587</v>
      </c>
      <c r="EB1415" s="29">
        <v>158.02000000000001</v>
      </c>
      <c r="EC1415" s="34">
        <v>43409</v>
      </c>
      <c r="ED1415" s="28" t="s">
        <v>205</v>
      </c>
      <c r="EE1415" s="40" t="str">
        <f>HYPERLINK("https://my.pitchbook.com?c=226305-82", "View company online")</f>
        <v>View company online</v>
      </c>
    </row>
    <row r="1416" spans="1:135">
      <c r="A1416" s="15" t="s">
        <v>27236</v>
      </c>
      <c r="B1416" s="15" t="s">
        <v>27237</v>
      </c>
      <c r="C1416" s="15" t="s">
        <v>138</v>
      </c>
      <c r="D1416" s="15" t="s">
        <v>138</v>
      </c>
      <c r="E1416" s="15" t="s">
        <v>27238</v>
      </c>
      <c r="F1416" s="15" t="s">
        <v>27236</v>
      </c>
      <c r="G1416" s="15" t="s">
        <v>27239</v>
      </c>
      <c r="H1416" s="15" t="s">
        <v>322</v>
      </c>
      <c r="I1416" s="15" t="s">
        <v>1208</v>
      </c>
      <c r="J1416" s="15" t="s">
        <v>6030</v>
      </c>
      <c r="K1416" s="15" t="s">
        <v>26982</v>
      </c>
      <c r="L1416" s="15" t="s">
        <v>359</v>
      </c>
      <c r="M1416" s="15" t="s">
        <v>27240</v>
      </c>
      <c r="N1416" s="15" t="s">
        <v>147</v>
      </c>
      <c r="O1416" s="17">
        <v>184.21</v>
      </c>
      <c r="P1416" s="15" t="s">
        <v>610</v>
      </c>
      <c r="Q1416" s="15" t="s">
        <v>149</v>
      </c>
      <c r="R1416" s="15" t="s">
        <v>244</v>
      </c>
      <c r="S1416" s="15" t="s">
        <v>27241</v>
      </c>
      <c r="T1416" s="18">
        <v>322</v>
      </c>
      <c r="U1416" s="15" t="s">
        <v>27242</v>
      </c>
      <c r="V1416" s="15" t="s">
        <v>138</v>
      </c>
      <c r="W1416" s="15" t="s">
        <v>138</v>
      </c>
      <c r="X1416" s="19">
        <v>2000</v>
      </c>
      <c r="Y1416" s="15" t="s">
        <v>138</v>
      </c>
      <c r="Z1416" s="15" t="s">
        <v>138</v>
      </c>
      <c r="AA1416" s="15" t="s">
        <v>1163</v>
      </c>
      <c r="AB1416" s="20">
        <v>91.13</v>
      </c>
      <c r="AC1416" s="20" t="s">
        <v>138</v>
      </c>
      <c r="AD1416" s="20" t="s">
        <v>138</v>
      </c>
      <c r="AE1416" s="20" t="s">
        <v>138</v>
      </c>
      <c r="AF1416" s="20" t="s">
        <v>138</v>
      </c>
      <c r="AG1416" s="15" t="s">
        <v>27243</v>
      </c>
      <c r="AH1416" s="20" t="s">
        <v>138</v>
      </c>
      <c r="AI1416" s="20" t="s">
        <v>138</v>
      </c>
      <c r="AJ1416" s="20" t="s">
        <v>138</v>
      </c>
      <c r="AK1416" s="15" t="s">
        <v>27244</v>
      </c>
      <c r="AL1416" s="15" t="s">
        <v>27245</v>
      </c>
      <c r="AM1416" s="15" t="s">
        <v>249</v>
      </c>
      <c r="AN1416" s="15" t="s">
        <v>27246</v>
      </c>
      <c r="AO1416" s="15" t="s">
        <v>27247</v>
      </c>
      <c r="AP1416" s="15" t="s">
        <v>1220</v>
      </c>
      <c r="AQ1416" s="15" t="s">
        <v>27248</v>
      </c>
      <c r="AR1416" s="15" t="s">
        <v>158</v>
      </c>
      <c r="AS1416" s="15" t="s">
        <v>1223</v>
      </c>
      <c r="AT1416" s="15" t="s">
        <v>200</v>
      </c>
      <c r="AU1416" s="15" t="s">
        <v>14068</v>
      </c>
      <c r="AV1416" s="15" t="s">
        <v>162</v>
      </c>
      <c r="AW1416" s="15" t="s">
        <v>27247</v>
      </c>
      <c r="AX1416" s="15" t="s">
        <v>27249</v>
      </c>
      <c r="AY1416" s="15" t="s">
        <v>27250</v>
      </c>
      <c r="AZ1416" s="15" t="s">
        <v>164</v>
      </c>
      <c r="BA1416" s="15" t="s">
        <v>165</v>
      </c>
      <c r="BB1416" s="15" t="s">
        <v>27251</v>
      </c>
      <c r="BC1416" s="15" t="s">
        <v>27252</v>
      </c>
      <c r="BD1416" s="21">
        <v>14</v>
      </c>
      <c r="BE1416" s="15" t="s">
        <v>138</v>
      </c>
      <c r="BF1416" s="15" t="s">
        <v>138</v>
      </c>
      <c r="BG1416" s="15" t="s">
        <v>138</v>
      </c>
      <c r="BH1416" s="15" t="s">
        <v>27253</v>
      </c>
      <c r="BI1416" s="15" t="s">
        <v>138</v>
      </c>
      <c r="BJ1416" s="15" t="s">
        <v>138</v>
      </c>
      <c r="BK1416" s="15" t="s">
        <v>138</v>
      </c>
      <c r="BL1416" s="15" t="s">
        <v>27254</v>
      </c>
      <c r="BM1416" s="22">
        <v>36871</v>
      </c>
      <c r="BN1416" s="17">
        <v>5.05</v>
      </c>
      <c r="BO1416" s="15" t="s">
        <v>172</v>
      </c>
      <c r="BP1416" s="17">
        <v>15</v>
      </c>
      <c r="BQ1416" s="15" t="s">
        <v>172</v>
      </c>
      <c r="BR1416" s="15" t="s">
        <v>205</v>
      </c>
      <c r="BS1416" s="15" t="s">
        <v>206</v>
      </c>
      <c r="BT1416" s="15" t="s">
        <v>138</v>
      </c>
      <c r="BU1416" s="15" t="s">
        <v>174</v>
      </c>
      <c r="BV1416" s="15" t="s">
        <v>138</v>
      </c>
      <c r="BW1416" s="15" t="s">
        <v>138</v>
      </c>
      <c r="BX1416" s="15" t="s">
        <v>138</v>
      </c>
      <c r="BY1416" s="15" t="s">
        <v>175</v>
      </c>
      <c r="BZ1416" s="22">
        <v>42941</v>
      </c>
      <c r="CA1416" s="17">
        <v>46.5</v>
      </c>
      <c r="CB1416" s="15" t="s">
        <v>1178</v>
      </c>
      <c r="CC1416" s="17">
        <v>310</v>
      </c>
      <c r="CD1416" s="15" t="s">
        <v>172</v>
      </c>
      <c r="CE1416" s="15" t="s">
        <v>173</v>
      </c>
      <c r="CF1416" s="15" t="s">
        <v>1897</v>
      </c>
      <c r="CG1416" s="15" t="s">
        <v>138</v>
      </c>
      <c r="CH1416" s="15" t="s">
        <v>174</v>
      </c>
      <c r="CI1416" s="15" t="s">
        <v>138</v>
      </c>
      <c r="CJ1416" s="15" t="s">
        <v>138</v>
      </c>
      <c r="CK1416" s="15" t="s">
        <v>138</v>
      </c>
      <c r="CL1416" s="15" t="s">
        <v>175</v>
      </c>
      <c r="CM1416" s="22">
        <v>42917</v>
      </c>
      <c r="CN1416" s="17">
        <v>15</v>
      </c>
      <c r="CO1416" s="23">
        <v>0.06</v>
      </c>
      <c r="CP1416" s="24">
        <v>88</v>
      </c>
      <c r="CQ1416" s="23">
        <v>0.05</v>
      </c>
      <c r="CR1416" s="23">
        <v>323.8</v>
      </c>
      <c r="CS1416" s="23">
        <v>-0.67</v>
      </c>
      <c r="CT1416" s="24">
        <v>18</v>
      </c>
      <c r="CU1416" s="23">
        <v>0.8</v>
      </c>
      <c r="CV1416" s="24">
        <v>97</v>
      </c>
      <c r="CW1416" s="23">
        <v>0</v>
      </c>
      <c r="CX1416" s="24">
        <v>13</v>
      </c>
      <c r="CY1416" s="23">
        <v>-1.34</v>
      </c>
      <c r="CZ1416" s="24">
        <v>16</v>
      </c>
      <c r="DA1416" s="23">
        <v>0.95</v>
      </c>
      <c r="DB1416" s="24">
        <v>98</v>
      </c>
      <c r="DC1416" s="25">
        <v>4.1399999999999997</v>
      </c>
      <c r="DD1416" s="24">
        <v>80</v>
      </c>
      <c r="DE1416" s="25">
        <v>-0.04</v>
      </c>
      <c r="DF1416" s="23">
        <v>-1.05</v>
      </c>
      <c r="DG1416" s="25">
        <v>7.79</v>
      </c>
      <c r="DH1416" s="24">
        <v>87</v>
      </c>
      <c r="DI1416" s="25">
        <v>0.5</v>
      </c>
      <c r="DJ1416" s="24">
        <v>36</v>
      </c>
      <c r="DK1416" s="25">
        <v>1.44</v>
      </c>
      <c r="DL1416" s="24">
        <v>58</v>
      </c>
      <c r="DM1416" s="25">
        <v>14.14</v>
      </c>
      <c r="DN1416" s="24">
        <v>92</v>
      </c>
      <c r="DO1416" s="25">
        <v>0.5</v>
      </c>
      <c r="DP1416" s="24">
        <v>38</v>
      </c>
      <c r="DQ1416" s="24">
        <v>489</v>
      </c>
      <c r="DR1416" s="26">
        <v>12</v>
      </c>
      <c r="DS1416" s="23">
        <v>2.52</v>
      </c>
      <c r="DT1416" s="24">
        <v>410</v>
      </c>
      <c r="DU1416" s="26">
        <v>0</v>
      </c>
      <c r="DV1416" s="23">
        <v>0</v>
      </c>
      <c r="DW1416" s="24">
        <v>179</v>
      </c>
      <c r="DX1416" s="27">
        <v>3</v>
      </c>
      <c r="DY1416" s="23">
        <v>1.7</v>
      </c>
      <c r="DZ1416" s="15" t="s">
        <v>178</v>
      </c>
      <c r="EA1416" s="22">
        <v>43602</v>
      </c>
      <c r="EB1416" s="17">
        <v>310</v>
      </c>
      <c r="EC1416" s="22">
        <v>42941</v>
      </c>
      <c r="ED1416" s="15" t="s">
        <v>173</v>
      </c>
      <c r="EE1416" s="14" t="str">
        <f>HYPERLINK("https://my.pitchbook.com?c=11971-81", "View company online")</f>
        <v>View company online</v>
      </c>
    </row>
    <row r="1417" spans="1:135">
      <c r="A1417" s="28" t="s">
        <v>27255</v>
      </c>
      <c r="B1417" s="28" t="s">
        <v>27256</v>
      </c>
      <c r="C1417" s="28" t="s">
        <v>138</v>
      </c>
      <c r="D1417" s="28" t="s">
        <v>138</v>
      </c>
      <c r="E1417" s="28" t="s">
        <v>27257</v>
      </c>
      <c r="F1417" s="28" t="s">
        <v>27255</v>
      </c>
      <c r="G1417" s="28" t="s">
        <v>27258</v>
      </c>
      <c r="H1417" s="28" t="s">
        <v>322</v>
      </c>
      <c r="I1417" s="28" t="s">
        <v>323</v>
      </c>
      <c r="J1417" s="28" t="s">
        <v>461</v>
      </c>
      <c r="K1417" s="28" t="s">
        <v>27259</v>
      </c>
      <c r="L1417" s="28" t="s">
        <v>2210</v>
      </c>
      <c r="M1417" s="28" t="s">
        <v>27260</v>
      </c>
      <c r="N1417" s="28" t="s">
        <v>1452</v>
      </c>
      <c r="O1417" s="29">
        <v>47.56</v>
      </c>
      <c r="P1417" s="28" t="s">
        <v>812</v>
      </c>
      <c r="Q1417" s="28" t="s">
        <v>149</v>
      </c>
      <c r="R1417" s="28" t="s">
        <v>328</v>
      </c>
      <c r="S1417" s="28" t="s">
        <v>27261</v>
      </c>
      <c r="T1417" s="30">
        <v>450</v>
      </c>
      <c r="U1417" s="28" t="s">
        <v>27262</v>
      </c>
      <c r="V1417" s="28" t="s">
        <v>138</v>
      </c>
      <c r="W1417" s="28" t="s">
        <v>138</v>
      </c>
      <c r="X1417" s="31">
        <v>2001</v>
      </c>
      <c r="Y1417" s="28" t="s">
        <v>138</v>
      </c>
      <c r="Z1417" s="28" t="s">
        <v>138</v>
      </c>
      <c r="AA1417" s="28" t="s">
        <v>4306</v>
      </c>
      <c r="AB1417" s="32">
        <v>21</v>
      </c>
      <c r="AC1417" s="32" t="s">
        <v>138</v>
      </c>
      <c r="AD1417" s="32" t="s">
        <v>138</v>
      </c>
      <c r="AE1417" s="32" t="s">
        <v>138</v>
      </c>
      <c r="AF1417" s="32" t="s">
        <v>138</v>
      </c>
      <c r="AG1417" s="28" t="s">
        <v>707</v>
      </c>
      <c r="AH1417" s="32" t="s">
        <v>138</v>
      </c>
      <c r="AI1417" s="32" t="s">
        <v>138</v>
      </c>
      <c r="AJ1417" s="32" t="s">
        <v>138</v>
      </c>
      <c r="AK1417" s="28" t="s">
        <v>27263</v>
      </c>
      <c r="AL1417" s="28" t="s">
        <v>27264</v>
      </c>
      <c r="AM1417" s="28" t="s">
        <v>249</v>
      </c>
      <c r="AN1417" s="28" t="s">
        <v>27265</v>
      </c>
      <c r="AO1417" s="28" t="s">
        <v>27266</v>
      </c>
      <c r="AP1417" s="28" t="s">
        <v>27267</v>
      </c>
      <c r="AQ1417" s="28" t="s">
        <v>27268</v>
      </c>
      <c r="AR1417" s="28" t="s">
        <v>8976</v>
      </c>
      <c r="AS1417" s="28" t="s">
        <v>863</v>
      </c>
      <c r="AT1417" s="28" t="s">
        <v>2740</v>
      </c>
      <c r="AU1417" s="28" t="s">
        <v>27269</v>
      </c>
      <c r="AV1417" s="28" t="s">
        <v>2742</v>
      </c>
      <c r="AW1417" s="28" t="s">
        <v>27266</v>
      </c>
      <c r="AX1417" s="28" t="s">
        <v>138</v>
      </c>
      <c r="AY1417" s="28" t="s">
        <v>27270</v>
      </c>
      <c r="AZ1417" s="28" t="s">
        <v>164</v>
      </c>
      <c r="BA1417" s="28" t="s">
        <v>165</v>
      </c>
      <c r="BB1417" s="28" t="s">
        <v>27271</v>
      </c>
      <c r="BC1417" s="28" t="s">
        <v>27272</v>
      </c>
      <c r="BD1417" s="33">
        <v>4</v>
      </c>
      <c r="BE1417" s="28" t="s">
        <v>138</v>
      </c>
      <c r="BF1417" s="28" t="s">
        <v>27273</v>
      </c>
      <c r="BG1417" s="28" t="s">
        <v>138</v>
      </c>
      <c r="BH1417" s="28" t="s">
        <v>27274</v>
      </c>
      <c r="BI1417" s="28" t="s">
        <v>27275</v>
      </c>
      <c r="BJ1417" s="28" t="s">
        <v>138</v>
      </c>
      <c r="BK1417" s="28" t="s">
        <v>27276</v>
      </c>
      <c r="BL1417" s="28" t="s">
        <v>27277</v>
      </c>
      <c r="BM1417" s="34">
        <v>40067</v>
      </c>
      <c r="BN1417" s="29">
        <v>0.1</v>
      </c>
      <c r="BO1417" s="28" t="s">
        <v>172</v>
      </c>
      <c r="BP1417" s="29" t="s">
        <v>138</v>
      </c>
      <c r="BQ1417" s="28" t="s">
        <v>138</v>
      </c>
      <c r="BR1417" s="28" t="s">
        <v>176</v>
      </c>
      <c r="BS1417" s="28" t="s">
        <v>138</v>
      </c>
      <c r="BT1417" s="28" t="s">
        <v>138</v>
      </c>
      <c r="BU1417" s="28" t="s">
        <v>177</v>
      </c>
      <c r="BV1417" s="28" t="s">
        <v>138</v>
      </c>
      <c r="BW1417" s="28" t="s">
        <v>138</v>
      </c>
      <c r="BX1417" s="28" t="s">
        <v>138</v>
      </c>
      <c r="BY1417" s="28" t="s">
        <v>175</v>
      </c>
      <c r="BZ1417" s="34">
        <v>43528</v>
      </c>
      <c r="CA1417" s="29">
        <v>47.56</v>
      </c>
      <c r="CB1417" s="28" t="s">
        <v>172</v>
      </c>
      <c r="CC1417" s="29" t="s">
        <v>138</v>
      </c>
      <c r="CD1417" s="28" t="s">
        <v>138</v>
      </c>
      <c r="CE1417" s="28" t="s">
        <v>1673</v>
      </c>
      <c r="CF1417" s="28" t="s">
        <v>138</v>
      </c>
      <c r="CG1417" s="28" t="s">
        <v>138</v>
      </c>
      <c r="CH1417" s="28" t="s">
        <v>351</v>
      </c>
      <c r="CI1417" s="28" t="s">
        <v>138</v>
      </c>
      <c r="CJ1417" s="28" t="s">
        <v>138</v>
      </c>
      <c r="CK1417" s="28" t="s">
        <v>138</v>
      </c>
      <c r="CL1417" s="28" t="s">
        <v>175</v>
      </c>
      <c r="CM1417" s="34" t="s">
        <v>138</v>
      </c>
      <c r="CN1417" s="29" t="s">
        <v>138</v>
      </c>
      <c r="CO1417" s="35">
        <v>1.87</v>
      </c>
      <c r="CP1417" s="36">
        <v>99</v>
      </c>
      <c r="CQ1417" s="35">
        <v>0</v>
      </c>
      <c r="CR1417" s="35">
        <v>-0.15</v>
      </c>
      <c r="CS1417" s="35">
        <v>0.34</v>
      </c>
      <c r="CT1417" s="36">
        <v>95</v>
      </c>
      <c r="CU1417" s="35">
        <v>0.1</v>
      </c>
      <c r="CV1417" s="36">
        <v>68</v>
      </c>
      <c r="CW1417" s="35">
        <v>-3.43</v>
      </c>
      <c r="CX1417" s="36">
        <v>5</v>
      </c>
      <c r="CY1417" s="35">
        <v>4.12</v>
      </c>
      <c r="CZ1417" s="36">
        <v>100</v>
      </c>
      <c r="DA1417" s="35">
        <v>0.19</v>
      </c>
      <c r="DB1417" s="36">
        <v>82</v>
      </c>
      <c r="DC1417" s="37">
        <v>10.36</v>
      </c>
      <c r="DD1417" s="36">
        <v>90</v>
      </c>
      <c r="DE1417" s="37">
        <v>-0.13</v>
      </c>
      <c r="DF1417" s="35">
        <v>-1.28</v>
      </c>
      <c r="DG1417" s="37">
        <v>21.99</v>
      </c>
      <c r="DH1417" s="36">
        <v>95</v>
      </c>
      <c r="DI1417" s="37">
        <v>8.24</v>
      </c>
      <c r="DJ1417" s="36">
        <v>83</v>
      </c>
      <c r="DK1417" s="37">
        <v>6.47</v>
      </c>
      <c r="DL1417" s="36">
        <v>82</v>
      </c>
      <c r="DM1417" s="37">
        <v>37.520000000000003</v>
      </c>
      <c r="DN1417" s="36">
        <v>97</v>
      </c>
      <c r="DO1417" s="37">
        <v>16.48</v>
      </c>
      <c r="DP1417" s="36">
        <v>91</v>
      </c>
      <c r="DQ1417" s="36">
        <v>2329</v>
      </c>
      <c r="DR1417" s="38">
        <v>-334</v>
      </c>
      <c r="DS1417" s="35">
        <v>-12.54</v>
      </c>
      <c r="DT1417" s="36">
        <v>1089</v>
      </c>
      <c r="DU1417" s="38">
        <v>-2</v>
      </c>
      <c r="DV1417" s="35">
        <v>-0.18</v>
      </c>
      <c r="DW1417" s="36">
        <v>5892</v>
      </c>
      <c r="DX1417" s="39">
        <v>10</v>
      </c>
      <c r="DY1417" s="35">
        <v>0.17</v>
      </c>
      <c r="DZ1417" s="28" t="s">
        <v>178</v>
      </c>
      <c r="EA1417" s="34">
        <v>43622</v>
      </c>
      <c r="EB1417" s="29">
        <v>100</v>
      </c>
      <c r="EC1417" s="34">
        <v>42993</v>
      </c>
      <c r="ED1417" s="28" t="s">
        <v>349</v>
      </c>
      <c r="EE1417" s="40" t="str">
        <f>HYPERLINK("https://my.pitchbook.com?c=53308-00", "View company online")</f>
        <v>View company online</v>
      </c>
    </row>
    <row r="1418" spans="1:135">
      <c r="A1418" s="15" t="s">
        <v>27278</v>
      </c>
      <c r="B1418" s="15" t="s">
        <v>27279</v>
      </c>
      <c r="C1418" s="15" t="s">
        <v>138</v>
      </c>
      <c r="D1418" s="15" t="s">
        <v>138</v>
      </c>
      <c r="E1418" s="15" t="s">
        <v>27280</v>
      </c>
      <c r="F1418" s="15" t="s">
        <v>27278</v>
      </c>
      <c r="G1418" s="15" t="s">
        <v>27281</v>
      </c>
      <c r="H1418" s="15" t="s">
        <v>890</v>
      </c>
      <c r="I1418" s="15" t="s">
        <v>5099</v>
      </c>
      <c r="J1418" s="15" t="s">
        <v>5688</v>
      </c>
      <c r="K1418" s="15" t="s">
        <v>8194</v>
      </c>
      <c r="L1418" s="15" t="s">
        <v>27282</v>
      </c>
      <c r="M1418" s="15" t="s">
        <v>27283</v>
      </c>
      <c r="N1418" s="15" t="s">
        <v>147</v>
      </c>
      <c r="O1418" s="17">
        <v>27.5</v>
      </c>
      <c r="P1418" s="15" t="s">
        <v>610</v>
      </c>
      <c r="Q1418" s="15" t="s">
        <v>149</v>
      </c>
      <c r="R1418" s="15" t="s">
        <v>174</v>
      </c>
      <c r="S1418" s="15" t="s">
        <v>27284</v>
      </c>
      <c r="T1418" s="18" t="s">
        <v>138</v>
      </c>
      <c r="U1418" s="15" t="s">
        <v>138</v>
      </c>
      <c r="V1418" s="15" t="s">
        <v>138</v>
      </c>
      <c r="W1418" s="15" t="s">
        <v>138</v>
      </c>
      <c r="X1418" s="19">
        <v>2018</v>
      </c>
      <c r="Y1418" s="15" t="s">
        <v>138</v>
      </c>
      <c r="Z1418" s="15" t="s">
        <v>138</v>
      </c>
      <c r="AA1418" s="15" t="s">
        <v>138</v>
      </c>
      <c r="AB1418" s="20" t="s">
        <v>138</v>
      </c>
      <c r="AC1418" s="20" t="s">
        <v>138</v>
      </c>
      <c r="AD1418" s="20" t="s">
        <v>138</v>
      </c>
      <c r="AE1418" s="20" t="s">
        <v>138</v>
      </c>
      <c r="AF1418" s="20" t="s">
        <v>138</v>
      </c>
      <c r="AG1418" s="15" t="s">
        <v>138</v>
      </c>
      <c r="AH1418" s="20" t="s">
        <v>138</v>
      </c>
      <c r="AI1418" s="20" t="s">
        <v>138</v>
      </c>
      <c r="AJ1418" s="20" t="s">
        <v>138</v>
      </c>
      <c r="AK1418" s="15" t="s">
        <v>27285</v>
      </c>
      <c r="AL1418" s="15" t="s">
        <v>27286</v>
      </c>
      <c r="AM1418" s="15" t="s">
        <v>2949</v>
      </c>
      <c r="AN1418" s="15" t="s">
        <v>27287</v>
      </c>
      <c r="AO1418" s="15" t="s">
        <v>138</v>
      </c>
      <c r="AP1418" s="15" t="s">
        <v>3136</v>
      </c>
      <c r="AQ1418" s="15" t="s">
        <v>27288</v>
      </c>
      <c r="AR1418" s="15" t="s">
        <v>27289</v>
      </c>
      <c r="AS1418" s="15" t="s">
        <v>3139</v>
      </c>
      <c r="AT1418" s="15" t="s">
        <v>3140</v>
      </c>
      <c r="AU1418" s="15" t="s">
        <v>11245</v>
      </c>
      <c r="AV1418" s="15" t="s">
        <v>162</v>
      </c>
      <c r="AW1418" s="15" t="s">
        <v>138</v>
      </c>
      <c r="AX1418" s="15" t="s">
        <v>138</v>
      </c>
      <c r="AY1418" s="15" t="s">
        <v>27290</v>
      </c>
      <c r="AZ1418" s="15" t="s">
        <v>164</v>
      </c>
      <c r="BA1418" s="15" t="s">
        <v>165</v>
      </c>
      <c r="BB1418" s="15" t="s">
        <v>27291</v>
      </c>
      <c r="BC1418" s="15" t="s">
        <v>27292</v>
      </c>
      <c r="BD1418" s="21">
        <v>22</v>
      </c>
      <c r="BE1418" s="15" t="s">
        <v>138</v>
      </c>
      <c r="BF1418" s="15" t="s">
        <v>138</v>
      </c>
      <c r="BG1418" s="15" t="s">
        <v>138</v>
      </c>
      <c r="BH1418" s="15" t="s">
        <v>27293</v>
      </c>
      <c r="BI1418" s="15" t="s">
        <v>138</v>
      </c>
      <c r="BJ1418" s="15" t="s">
        <v>138</v>
      </c>
      <c r="BK1418" s="15" t="s">
        <v>138</v>
      </c>
      <c r="BL1418" s="15" t="s">
        <v>138</v>
      </c>
      <c r="BM1418" s="22">
        <v>43376</v>
      </c>
      <c r="BN1418" s="17" t="s">
        <v>138</v>
      </c>
      <c r="BO1418" s="15" t="s">
        <v>138</v>
      </c>
      <c r="BP1418" s="17" t="s">
        <v>138</v>
      </c>
      <c r="BQ1418" s="15" t="s">
        <v>138</v>
      </c>
      <c r="BR1418" s="15" t="s">
        <v>205</v>
      </c>
      <c r="BS1418" s="15" t="s">
        <v>138</v>
      </c>
      <c r="BT1418" s="15" t="s">
        <v>138</v>
      </c>
      <c r="BU1418" s="15" t="s">
        <v>174</v>
      </c>
      <c r="BV1418" s="15" t="s">
        <v>138</v>
      </c>
      <c r="BW1418" s="15" t="s">
        <v>138</v>
      </c>
      <c r="BX1418" s="15" t="s">
        <v>138</v>
      </c>
      <c r="BY1418" s="15" t="s">
        <v>175</v>
      </c>
      <c r="BZ1418" s="22">
        <v>43438</v>
      </c>
      <c r="CA1418" s="17">
        <v>27.5</v>
      </c>
      <c r="CB1418" s="15" t="s">
        <v>172</v>
      </c>
      <c r="CC1418" s="17" t="s">
        <v>138</v>
      </c>
      <c r="CD1418" s="15" t="s">
        <v>138</v>
      </c>
      <c r="CE1418" s="15" t="s">
        <v>205</v>
      </c>
      <c r="CF1418" s="15" t="s">
        <v>720</v>
      </c>
      <c r="CG1418" s="15" t="s">
        <v>138</v>
      </c>
      <c r="CH1418" s="15" t="s">
        <v>174</v>
      </c>
      <c r="CI1418" s="15" t="s">
        <v>138</v>
      </c>
      <c r="CJ1418" s="15" t="s">
        <v>138</v>
      </c>
      <c r="CK1418" s="15" t="s">
        <v>138</v>
      </c>
      <c r="CL1418" s="15" t="s">
        <v>175</v>
      </c>
      <c r="CM1418" s="22" t="s">
        <v>138</v>
      </c>
      <c r="CN1418" s="17" t="s">
        <v>138</v>
      </c>
      <c r="CO1418" s="23">
        <v>2.56</v>
      </c>
      <c r="CP1418" s="24">
        <v>99</v>
      </c>
      <c r="CQ1418" s="23">
        <v>-0.18</v>
      </c>
      <c r="CR1418" s="23">
        <v>-6.4</v>
      </c>
      <c r="CS1418" s="23">
        <v>2.39</v>
      </c>
      <c r="CT1418" s="24">
        <v>99</v>
      </c>
      <c r="CU1418" s="23">
        <v>2.74</v>
      </c>
      <c r="CV1418" s="24">
        <v>100</v>
      </c>
      <c r="CW1418" s="23">
        <v>4.78</v>
      </c>
      <c r="CX1418" s="24">
        <v>95</v>
      </c>
      <c r="CY1418" s="23">
        <v>0</v>
      </c>
      <c r="CZ1418" s="24">
        <v>25</v>
      </c>
      <c r="DA1418" s="23">
        <v>2.74</v>
      </c>
      <c r="DB1418" s="24">
        <v>100</v>
      </c>
      <c r="DC1418" s="25">
        <v>6.53</v>
      </c>
      <c r="DD1418" s="24">
        <v>86</v>
      </c>
      <c r="DE1418" s="25">
        <v>-0.06</v>
      </c>
      <c r="DF1418" s="23">
        <v>-0.96</v>
      </c>
      <c r="DG1418" s="25">
        <v>3.54</v>
      </c>
      <c r="DH1418" s="24">
        <v>77</v>
      </c>
      <c r="DI1418" s="25">
        <v>9.51</v>
      </c>
      <c r="DJ1418" s="24">
        <v>85</v>
      </c>
      <c r="DK1418" s="25">
        <v>5.43</v>
      </c>
      <c r="DL1418" s="24">
        <v>80</v>
      </c>
      <c r="DM1418" s="25">
        <v>1.66</v>
      </c>
      <c r="DN1418" s="24">
        <v>62</v>
      </c>
      <c r="DO1418" s="25">
        <v>9.51</v>
      </c>
      <c r="DP1418" s="24">
        <v>87</v>
      </c>
      <c r="DQ1418" s="24">
        <v>1843</v>
      </c>
      <c r="DR1418" s="26">
        <v>54</v>
      </c>
      <c r="DS1418" s="23">
        <v>3.02</v>
      </c>
      <c r="DT1418" s="24">
        <v>47</v>
      </c>
      <c r="DU1418" s="26">
        <v>3</v>
      </c>
      <c r="DV1418" s="23">
        <v>6.82</v>
      </c>
      <c r="DW1418" s="24">
        <v>3390</v>
      </c>
      <c r="DX1418" s="27">
        <v>53</v>
      </c>
      <c r="DY1418" s="23">
        <v>1.59</v>
      </c>
      <c r="DZ1418" s="15" t="s">
        <v>178</v>
      </c>
      <c r="EA1418" s="22">
        <v>43605</v>
      </c>
      <c r="EB1418" s="17" t="s">
        <v>138</v>
      </c>
      <c r="EC1418" s="22" t="s">
        <v>138</v>
      </c>
      <c r="ED1418" s="15" t="s">
        <v>138</v>
      </c>
      <c r="EE1418" s="14" t="str">
        <f>HYPERLINK("https://my.pitchbook.com?c=233613-73", "View company online")</f>
        <v>View company online</v>
      </c>
    </row>
    <row r="1419" spans="1:135">
      <c r="A1419" s="28" t="s">
        <v>27294</v>
      </c>
      <c r="B1419" s="28" t="s">
        <v>27295</v>
      </c>
      <c r="C1419" s="28" t="s">
        <v>138</v>
      </c>
      <c r="D1419" s="28" t="s">
        <v>138</v>
      </c>
      <c r="E1419" s="28" t="s">
        <v>138</v>
      </c>
      <c r="F1419" s="28" t="s">
        <v>27294</v>
      </c>
      <c r="G1419" s="28" t="s">
        <v>27296</v>
      </c>
      <c r="H1419" s="28" t="s">
        <v>385</v>
      </c>
      <c r="I1419" s="28" t="s">
        <v>386</v>
      </c>
      <c r="J1419" s="28" t="s">
        <v>558</v>
      </c>
      <c r="K1419" s="28" t="s">
        <v>27297</v>
      </c>
      <c r="L1419" s="28" t="s">
        <v>560</v>
      </c>
      <c r="M1419" s="28" t="s">
        <v>27298</v>
      </c>
      <c r="N1419" s="28" t="s">
        <v>147</v>
      </c>
      <c r="O1419" s="29" t="s">
        <v>138</v>
      </c>
      <c r="P1419" s="28" t="s">
        <v>610</v>
      </c>
      <c r="Q1419" s="28" t="s">
        <v>149</v>
      </c>
      <c r="R1419" s="28" t="s">
        <v>174</v>
      </c>
      <c r="S1419" s="28" t="s">
        <v>27299</v>
      </c>
      <c r="T1419" s="30">
        <v>145</v>
      </c>
      <c r="U1419" s="28" t="s">
        <v>27300</v>
      </c>
      <c r="V1419" s="28" t="s">
        <v>138</v>
      </c>
      <c r="W1419" s="28" t="s">
        <v>138</v>
      </c>
      <c r="X1419" s="31">
        <v>1998</v>
      </c>
      <c r="Y1419" s="28" t="s">
        <v>138</v>
      </c>
      <c r="Z1419" s="28" t="s">
        <v>138</v>
      </c>
      <c r="AA1419" s="28" t="s">
        <v>138</v>
      </c>
      <c r="AB1419" s="32" t="s">
        <v>138</v>
      </c>
      <c r="AC1419" s="32" t="s">
        <v>138</v>
      </c>
      <c r="AD1419" s="32" t="s">
        <v>138</v>
      </c>
      <c r="AE1419" s="32" t="s">
        <v>138</v>
      </c>
      <c r="AF1419" s="32" t="s">
        <v>138</v>
      </c>
      <c r="AG1419" s="28" t="s">
        <v>138</v>
      </c>
      <c r="AH1419" s="32" t="s">
        <v>138</v>
      </c>
      <c r="AI1419" s="32" t="s">
        <v>138</v>
      </c>
      <c r="AJ1419" s="32" t="s">
        <v>138</v>
      </c>
      <c r="AK1419" s="28" t="s">
        <v>27301</v>
      </c>
      <c r="AL1419" s="28" t="s">
        <v>27302</v>
      </c>
      <c r="AM1419" s="28" t="s">
        <v>365</v>
      </c>
      <c r="AN1419" s="28" t="s">
        <v>27303</v>
      </c>
      <c r="AO1419" s="28" t="s">
        <v>27304</v>
      </c>
      <c r="AP1419" s="28" t="s">
        <v>1457</v>
      </c>
      <c r="AQ1419" s="28" t="s">
        <v>27305</v>
      </c>
      <c r="AR1419" s="28" t="s">
        <v>3180</v>
      </c>
      <c r="AS1419" s="28" t="s">
        <v>1460</v>
      </c>
      <c r="AT1419" s="28" t="s">
        <v>474</v>
      </c>
      <c r="AU1419" s="28" t="s">
        <v>27306</v>
      </c>
      <c r="AV1419" s="28" t="s">
        <v>162</v>
      </c>
      <c r="AW1419" s="28" t="s">
        <v>27304</v>
      </c>
      <c r="AX1419" s="28" t="s">
        <v>27307</v>
      </c>
      <c r="AY1419" s="28" t="s">
        <v>27308</v>
      </c>
      <c r="AZ1419" s="28" t="s">
        <v>164</v>
      </c>
      <c r="BA1419" s="28" t="s">
        <v>165</v>
      </c>
      <c r="BB1419" s="28" t="s">
        <v>27309</v>
      </c>
      <c r="BC1419" s="28" t="s">
        <v>27310</v>
      </c>
      <c r="BD1419" s="33">
        <v>3</v>
      </c>
      <c r="BE1419" s="28" t="s">
        <v>138</v>
      </c>
      <c r="BF1419" s="28" t="s">
        <v>138</v>
      </c>
      <c r="BG1419" s="28" t="s">
        <v>138</v>
      </c>
      <c r="BH1419" s="28" t="s">
        <v>27311</v>
      </c>
      <c r="BI1419" s="28" t="s">
        <v>138</v>
      </c>
      <c r="BJ1419" s="28" t="s">
        <v>138</v>
      </c>
      <c r="BK1419" s="28" t="s">
        <v>27312</v>
      </c>
      <c r="BL1419" s="28" t="s">
        <v>138</v>
      </c>
      <c r="BM1419" s="34">
        <v>35796</v>
      </c>
      <c r="BN1419" s="29" t="s">
        <v>138</v>
      </c>
      <c r="BO1419" s="28" t="s">
        <v>138</v>
      </c>
      <c r="BP1419" s="29" t="s">
        <v>138</v>
      </c>
      <c r="BQ1419" s="28" t="s">
        <v>138</v>
      </c>
      <c r="BR1419" s="28" t="s">
        <v>1465</v>
      </c>
      <c r="BS1419" s="28" t="s">
        <v>138</v>
      </c>
      <c r="BT1419" s="28" t="s">
        <v>138</v>
      </c>
      <c r="BU1419" s="28" t="s">
        <v>177</v>
      </c>
      <c r="BV1419" s="28" t="s">
        <v>138</v>
      </c>
      <c r="BW1419" s="28" t="s">
        <v>138</v>
      </c>
      <c r="BX1419" s="28" t="s">
        <v>138</v>
      </c>
      <c r="BY1419" s="28" t="s">
        <v>175</v>
      </c>
      <c r="BZ1419" s="34" t="s">
        <v>138</v>
      </c>
      <c r="CA1419" s="29" t="s">
        <v>138</v>
      </c>
      <c r="CB1419" s="28" t="s">
        <v>138</v>
      </c>
      <c r="CC1419" s="29" t="s">
        <v>138</v>
      </c>
      <c r="CD1419" s="28" t="s">
        <v>138</v>
      </c>
      <c r="CE1419" s="28" t="s">
        <v>173</v>
      </c>
      <c r="CF1419" s="28" t="s">
        <v>138</v>
      </c>
      <c r="CG1419" s="28" t="s">
        <v>138</v>
      </c>
      <c r="CH1419" s="28" t="s">
        <v>174</v>
      </c>
      <c r="CI1419" s="28" t="s">
        <v>138</v>
      </c>
      <c r="CJ1419" s="28" t="s">
        <v>138</v>
      </c>
      <c r="CK1419" s="28" t="s">
        <v>138</v>
      </c>
      <c r="CL1419" s="28" t="s">
        <v>175</v>
      </c>
      <c r="CM1419" s="34" t="s">
        <v>138</v>
      </c>
      <c r="CN1419" s="29" t="s">
        <v>138</v>
      </c>
      <c r="CO1419" s="35">
        <v>-0.48</v>
      </c>
      <c r="CP1419" s="36">
        <v>16</v>
      </c>
      <c r="CQ1419" s="35">
        <v>0.02</v>
      </c>
      <c r="CR1419" s="35">
        <v>4.16</v>
      </c>
      <c r="CS1419" s="35">
        <v>-1.04</v>
      </c>
      <c r="CT1419" s="36">
        <v>15</v>
      </c>
      <c r="CU1419" s="35">
        <v>0.08</v>
      </c>
      <c r="CV1419" s="36">
        <v>64</v>
      </c>
      <c r="CW1419" s="35" t="s">
        <v>138</v>
      </c>
      <c r="CX1419" s="36" t="s">
        <v>138</v>
      </c>
      <c r="CY1419" s="35">
        <v>-1.04</v>
      </c>
      <c r="CZ1419" s="36">
        <v>18</v>
      </c>
      <c r="DA1419" s="35">
        <v>0.08</v>
      </c>
      <c r="DB1419" s="36">
        <v>69</v>
      </c>
      <c r="DC1419" s="37">
        <v>3.35</v>
      </c>
      <c r="DD1419" s="36">
        <v>77</v>
      </c>
      <c r="DE1419" s="37">
        <v>0</v>
      </c>
      <c r="DF1419" s="35">
        <v>7.0000000000000007E-2</v>
      </c>
      <c r="DG1419" s="37">
        <v>5.86</v>
      </c>
      <c r="DH1419" s="36">
        <v>84</v>
      </c>
      <c r="DI1419" s="37">
        <v>0.85</v>
      </c>
      <c r="DJ1419" s="36">
        <v>46</v>
      </c>
      <c r="DK1419" s="37" t="s">
        <v>138</v>
      </c>
      <c r="DL1419" s="36" t="s">
        <v>138</v>
      </c>
      <c r="DM1419" s="37">
        <v>5.86</v>
      </c>
      <c r="DN1419" s="36">
        <v>83</v>
      </c>
      <c r="DO1419" s="37">
        <v>0.85</v>
      </c>
      <c r="DP1419" s="36">
        <v>47</v>
      </c>
      <c r="DQ1419" s="36">
        <v>97</v>
      </c>
      <c r="DR1419" s="38">
        <v>-97</v>
      </c>
      <c r="DS1419" s="35">
        <v>-50</v>
      </c>
      <c r="DT1419" s="36">
        <v>170</v>
      </c>
      <c r="DU1419" s="38">
        <v>0</v>
      </c>
      <c r="DV1419" s="35">
        <v>0</v>
      </c>
      <c r="DW1419" s="36">
        <v>303</v>
      </c>
      <c r="DX1419" s="39">
        <v>1</v>
      </c>
      <c r="DY1419" s="35">
        <v>0.33</v>
      </c>
      <c r="DZ1419" s="28" t="s">
        <v>178</v>
      </c>
      <c r="EA1419" s="34">
        <v>43351</v>
      </c>
      <c r="EB1419" s="29" t="s">
        <v>138</v>
      </c>
      <c r="EC1419" s="34" t="s">
        <v>138</v>
      </c>
      <c r="ED1419" s="28" t="s">
        <v>138</v>
      </c>
      <c r="EE1419" s="40" t="str">
        <f>HYPERLINK("https://my.pitchbook.com?c=56408-32", "View company online")</f>
        <v>View company online</v>
      </c>
    </row>
    <row r="1420" spans="1:135">
      <c r="A1420" s="15" t="s">
        <v>27313</v>
      </c>
      <c r="B1420" s="15" t="s">
        <v>27314</v>
      </c>
      <c r="C1420" s="15" t="s">
        <v>138</v>
      </c>
      <c r="D1420" s="15" t="s">
        <v>138</v>
      </c>
      <c r="E1420" s="15" t="s">
        <v>27315</v>
      </c>
      <c r="F1420" s="15" t="s">
        <v>27313</v>
      </c>
      <c r="G1420" s="15" t="s">
        <v>27316</v>
      </c>
      <c r="H1420" s="15" t="s">
        <v>322</v>
      </c>
      <c r="I1420" s="15" t="s">
        <v>323</v>
      </c>
      <c r="J1420" s="15" t="s">
        <v>413</v>
      </c>
      <c r="K1420" s="15" t="s">
        <v>414</v>
      </c>
      <c r="L1420" s="15" t="s">
        <v>6111</v>
      </c>
      <c r="M1420" s="15" t="s">
        <v>27317</v>
      </c>
      <c r="N1420" s="15" t="s">
        <v>147</v>
      </c>
      <c r="O1420" s="17">
        <v>2</v>
      </c>
      <c r="P1420" s="15" t="s">
        <v>148</v>
      </c>
      <c r="Q1420" s="15" t="s">
        <v>149</v>
      </c>
      <c r="R1420" s="15" t="s">
        <v>174</v>
      </c>
      <c r="S1420" s="15" t="s">
        <v>27318</v>
      </c>
      <c r="T1420" s="18">
        <v>8</v>
      </c>
      <c r="U1420" s="15" t="s">
        <v>27319</v>
      </c>
      <c r="V1420" s="15" t="s">
        <v>138</v>
      </c>
      <c r="W1420" s="15" t="s">
        <v>138</v>
      </c>
      <c r="X1420" s="19">
        <v>2016</v>
      </c>
      <c r="Y1420" s="15" t="s">
        <v>138</v>
      </c>
      <c r="Z1420" s="15" t="s">
        <v>138</v>
      </c>
      <c r="AA1420" s="15" t="s">
        <v>138</v>
      </c>
      <c r="AB1420" s="20" t="s">
        <v>138</v>
      </c>
      <c r="AC1420" s="20" t="s">
        <v>138</v>
      </c>
      <c r="AD1420" s="20" t="s">
        <v>138</v>
      </c>
      <c r="AE1420" s="20" t="s">
        <v>138</v>
      </c>
      <c r="AF1420" s="20" t="s">
        <v>138</v>
      </c>
      <c r="AG1420" s="15" t="s">
        <v>138</v>
      </c>
      <c r="AH1420" s="20" t="s">
        <v>138</v>
      </c>
      <c r="AI1420" s="20" t="s">
        <v>138</v>
      </c>
      <c r="AJ1420" s="20" t="s">
        <v>138</v>
      </c>
      <c r="AK1420" s="15" t="s">
        <v>138</v>
      </c>
      <c r="AL1420" s="15" t="s">
        <v>138</v>
      </c>
      <c r="AM1420" s="15" t="s">
        <v>138</v>
      </c>
      <c r="AN1420" s="15" t="s">
        <v>138</v>
      </c>
      <c r="AO1420" s="15" t="s">
        <v>138</v>
      </c>
      <c r="AP1420" s="15" t="s">
        <v>423</v>
      </c>
      <c r="AQ1420" s="15" t="s">
        <v>27320</v>
      </c>
      <c r="AR1420" s="15" t="s">
        <v>138</v>
      </c>
      <c r="AS1420" s="15" t="s">
        <v>426</v>
      </c>
      <c r="AT1420" s="15" t="s">
        <v>426</v>
      </c>
      <c r="AU1420" s="15" t="s">
        <v>18111</v>
      </c>
      <c r="AV1420" s="15" t="s">
        <v>162</v>
      </c>
      <c r="AW1420" s="15" t="s">
        <v>138</v>
      </c>
      <c r="AX1420" s="15" t="s">
        <v>138</v>
      </c>
      <c r="AY1420" s="15" t="s">
        <v>138</v>
      </c>
      <c r="AZ1420" s="15" t="s">
        <v>164</v>
      </c>
      <c r="BA1420" s="15" t="s">
        <v>165</v>
      </c>
      <c r="BB1420" s="15" t="s">
        <v>27321</v>
      </c>
      <c r="BC1420" s="15" t="s">
        <v>27322</v>
      </c>
      <c r="BD1420" s="21">
        <v>10</v>
      </c>
      <c r="BE1420" s="15" t="s">
        <v>138</v>
      </c>
      <c r="BF1420" s="15" t="s">
        <v>138</v>
      </c>
      <c r="BG1420" s="15" t="s">
        <v>138</v>
      </c>
      <c r="BH1420" s="15" t="s">
        <v>27323</v>
      </c>
      <c r="BI1420" s="15" t="s">
        <v>138</v>
      </c>
      <c r="BJ1420" s="15" t="s">
        <v>138</v>
      </c>
      <c r="BK1420" s="15" t="s">
        <v>138</v>
      </c>
      <c r="BL1420" s="15" t="s">
        <v>138</v>
      </c>
      <c r="BM1420" s="22">
        <v>42762</v>
      </c>
      <c r="BN1420" s="17">
        <v>2</v>
      </c>
      <c r="BO1420" s="15" t="s">
        <v>172</v>
      </c>
      <c r="BP1420" s="17">
        <v>8</v>
      </c>
      <c r="BQ1420" s="15" t="s">
        <v>172</v>
      </c>
      <c r="BR1420" s="15" t="s">
        <v>234</v>
      </c>
      <c r="BS1420" s="15" t="s">
        <v>234</v>
      </c>
      <c r="BT1420" s="15" t="s">
        <v>138</v>
      </c>
      <c r="BU1420" s="15" t="s">
        <v>174</v>
      </c>
      <c r="BV1420" s="15" t="s">
        <v>138</v>
      </c>
      <c r="BW1420" s="15" t="s">
        <v>138</v>
      </c>
      <c r="BX1420" s="15" t="s">
        <v>138</v>
      </c>
      <c r="BY1420" s="15" t="s">
        <v>175</v>
      </c>
      <c r="BZ1420" s="22">
        <v>42762</v>
      </c>
      <c r="CA1420" s="17">
        <v>2</v>
      </c>
      <c r="CB1420" s="15" t="s">
        <v>172</v>
      </c>
      <c r="CC1420" s="17">
        <v>8</v>
      </c>
      <c r="CD1420" s="15" t="s">
        <v>172</v>
      </c>
      <c r="CE1420" s="15" t="s">
        <v>234</v>
      </c>
      <c r="CF1420" s="15" t="s">
        <v>234</v>
      </c>
      <c r="CG1420" s="15" t="s">
        <v>138</v>
      </c>
      <c r="CH1420" s="15" t="s">
        <v>174</v>
      </c>
      <c r="CI1420" s="15" t="s">
        <v>138</v>
      </c>
      <c r="CJ1420" s="15" t="s">
        <v>138</v>
      </c>
      <c r="CK1420" s="15" t="s">
        <v>138</v>
      </c>
      <c r="CL1420" s="15" t="s">
        <v>175</v>
      </c>
      <c r="CM1420" s="22" t="s">
        <v>138</v>
      </c>
      <c r="CN1420" s="17" t="s">
        <v>138</v>
      </c>
      <c r="CO1420" s="23">
        <v>-0.03</v>
      </c>
      <c r="CP1420" s="24">
        <v>23</v>
      </c>
      <c r="CQ1420" s="23">
        <v>0</v>
      </c>
      <c r="CR1420" s="23">
        <v>-0.47</v>
      </c>
      <c r="CS1420" s="23">
        <v>0</v>
      </c>
      <c r="CT1420" s="24">
        <v>23</v>
      </c>
      <c r="CU1420" s="23">
        <v>-0.06</v>
      </c>
      <c r="CV1420" s="24">
        <v>8</v>
      </c>
      <c r="CW1420" s="23">
        <v>0</v>
      </c>
      <c r="CX1420" s="24">
        <v>13</v>
      </c>
      <c r="CY1420" s="23" t="s">
        <v>138</v>
      </c>
      <c r="CZ1420" s="24" t="s">
        <v>138</v>
      </c>
      <c r="DA1420" s="23">
        <v>-0.06</v>
      </c>
      <c r="DB1420" s="24">
        <v>11</v>
      </c>
      <c r="DC1420" s="25">
        <v>0.51</v>
      </c>
      <c r="DD1420" s="24">
        <v>34</v>
      </c>
      <c r="DE1420" s="25">
        <v>-0.03</v>
      </c>
      <c r="DF1420" s="23">
        <v>-5.0999999999999996</v>
      </c>
      <c r="DG1420" s="25">
        <v>0.43</v>
      </c>
      <c r="DH1420" s="24">
        <v>31</v>
      </c>
      <c r="DI1420" s="25">
        <v>0.59</v>
      </c>
      <c r="DJ1420" s="24">
        <v>39</v>
      </c>
      <c r="DK1420" s="25">
        <v>0.43</v>
      </c>
      <c r="DL1420" s="24">
        <v>30</v>
      </c>
      <c r="DM1420" s="25" t="s">
        <v>138</v>
      </c>
      <c r="DN1420" s="24" t="s">
        <v>138</v>
      </c>
      <c r="DO1420" s="25">
        <v>0.59</v>
      </c>
      <c r="DP1420" s="24">
        <v>41</v>
      </c>
      <c r="DQ1420" s="24">
        <v>150</v>
      </c>
      <c r="DR1420" s="26">
        <v>-4</v>
      </c>
      <c r="DS1420" s="23">
        <v>-2.6</v>
      </c>
      <c r="DT1420" s="24" t="s">
        <v>138</v>
      </c>
      <c r="DU1420" s="26" t="s">
        <v>138</v>
      </c>
      <c r="DV1420" s="23" t="s">
        <v>138</v>
      </c>
      <c r="DW1420" s="24">
        <v>212</v>
      </c>
      <c r="DX1420" s="27">
        <v>-1</v>
      </c>
      <c r="DY1420" s="23">
        <v>-0.47</v>
      </c>
      <c r="DZ1420" s="15" t="s">
        <v>178</v>
      </c>
      <c r="EA1420" s="22">
        <v>43351</v>
      </c>
      <c r="EB1420" s="17">
        <v>8</v>
      </c>
      <c r="EC1420" s="22">
        <v>42762</v>
      </c>
      <c r="ED1420" s="15" t="s">
        <v>234</v>
      </c>
      <c r="EE1420" s="14" t="str">
        <f>HYPERLINK("https://my.pitchbook.com?c=169289-11", "View company online")</f>
        <v>View company online</v>
      </c>
    </row>
    <row r="1421" spans="1:135">
      <c r="A1421" s="28" t="s">
        <v>27324</v>
      </c>
      <c r="B1421" s="28" t="s">
        <v>27325</v>
      </c>
      <c r="C1421" s="28" t="s">
        <v>138</v>
      </c>
      <c r="D1421" s="28" t="s">
        <v>138</v>
      </c>
      <c r="E1421" s="28" t="s">
        <v>138</v>
      </c>
      <c r="F1421" s="28" t="s">
        <v>27324</v>
      </c>
      <c r="G1421" s="28" t="s">
        <v>27326</v>
      </c>
      <c r="H1421" s="28" t="s">
        <v>141</v>
      </c>
      <c r="I1421" s="28" t="s">
        <v>142</v>
      </c>
      <c r="J1421" s="28" t="s">
        <v>4042</v>
      </c>
      <c r="K1421" s="28" t="s">
        <v>4043</v>
      </c>
      <c r="L1421" s="28" t="s">
        <v>7679</v>
      </c>
      <c r="M1421" s="28" t="s">
        <v>27327</v>
      </c>
      <c r="N1421" s="28" t="s">
        <v>147</v>
      </c>
      <c r="O1421" s="29">
        <v>11.15</v>
      </c>
      <c r="P1421" s="28" t="s">
        <v>148</v>
      </c>
      <c r="Q1421" s="28" t="s">
        <v>149</v>
      </c>
      <c r="R1421" s="28" t="s">
        <v>174</v>
      </c>
      <c r="S1421" s="28" t="s">
        <v>27328</v>
      </c>
      <c r="T1421" s="30">
        <v>51</v>
      </c>
      <c r="U1421" s="28" t="s">
        <v>12556</v>
      </c>
      <c r="V1421" s="28" t="s">
        <v>138</v>
      </c>
      <c r="W1421" s="28" t="s">
        <v>138</v>
      </c>
      <c r="X1421" s="31">
        <v>2003</v>
      </c>
      <c r="Y1421" s="28" t="s">
        <v>138</v>
      </c>
      <c r="Z1421" s="28" t="s">
        <v>138</v>
      </c>
      <c r="AA1421" s="28" t="s">
        <v>138</v>
      </c>
      <c r="AB1421" s="32" t="s">
        <v>138</v>
      </c>
      <c r="AC1421" s="32" t="s">
        <v>138</v>
      </c>
      <c r="AD1421" s="32" t="s">
        <v>138</v>
      </c>
      <c r="AE1421" s="32" t="s">
        <v>138</v>
      </c>
      <c r="AF1421" s="32" t="s">
        <v>138</v>
      </c>
      <c r="AG1421" s="28" t="s">
        <v>138</v>
      </c>
      <c r="AH1421" s="32" t="s">
        <v>138</v>
      </c>
      <c r="AI1421" s="32" t="s">
        <v>138</v>
      </c>
      <c r="AJ1421" s="32" t="s">
        <v>138</v>
      </c>
      <c r="AK1421" s="28" t="s">
        <v>27329</v>
      </c>
      <c r="AL1421" s="28" t="s">
        <v>27330</v>
      </c>
      <c r="AM1421" s="28" t="s">
        <v>6092</v>
      </c>
      <c r="AN1421" s="28" t="s">
        <v>27331</v>
      </c>
      <c r="AO1421" s="28" t="s">
        <v>27332</v>
      </c>
      <c r="AP1421" s="28" t="s">
        <v>27333</v>
      </c>
      <c r="AQ1421" s="28" t="s">
        <v>27334</v>
      </c>
      <c r="AR1421" s="28" t="s">
        <v>27335</v>
      </c>
      <c r="AS1421" s="28" t="s">
        <v>27336</v>
      </c>
      <c r="AT1421" s="28" t="s">
        <v>6099</v>
      </c>
      <c r="AU1421" s="28" t="s">
        <v>27337</v>
      </c>
      <c r="AV1421" s="28" t="s">
        <v>27338</v>
      </c>
      <c r="AW1421" s="28" t="s">
        <v>27332</v>
      </c>
      <c r="AX1421" s="28" t="s">
        <v>138</v>
      </c>
      <c r="AY1421" s="28" t="s">
        <v>138</v>
      </c>
      <c r="AZ1421" s="28" t="s">
        <v>401</v>
      </c>
      <c r="BA1421" s="28" t="s">
        <v>27339</v>
      </c>
      <c r="BB1421" s="28" t="s">
        <v>27340</v>
      </c>
      <c r="BC1421" s="28" t="s">
        <v>27341</v>
      </c>
      <c r="BD1421" s="33">
        <v>5</v>
      </c>
      <c r="BE1421" s="28" t="s">
        <v>138</v>
      </c>
      <c r="BF1421" s="28" t="s">
        <v>138</v>
      </c>
      <c r="BG1421" s="28" t="s">
        <v>138</v>
      </c>
      <c r="BH1421" s="28" t="s">
        <v>27342</v>
      </c>
      <c r="BI1421" s="28" t="s">
        <v>138</v>
      </c>
      <c r="BJ1421" s="28" t="s">
        <v>138</v>
      </c>
      <c r="BK1421" s="28" t="s">
        <v>138</v>
      </c>
      <c r="BL1421" s="28" t="s">
        <v>138</v>
      </c>
      <c r="BM1421" s="34">
        <v>39203</v>
      </c>
      <c r="BN1421" s="29">
        <v>4.8499999999999996</v>
      </c>
      <c r="BO1421" s="28" t="s">
        <v>172</v>
      </c>
      <c r="BP1421" s="29" t="s">
        <v>138</v>
      </c>
      <c r="BQ1421" s="28" t="s">
        <v>138</v>
      </c>
      <c r="BR1421" s="28" t="s">
        <v>205</v>
      </c>
      <c r="BS1421" s="28" t="s">
        <v>138</v>
      </c>
      <c r="BT1421" s="28" t="s">
        <v>138</v>
      </c>
      <c r="BU1421" s="28" t="s">
        <v>174</v>
      </c>
      <c r="BV1421" s="28" t="s">
        <v>138</v>
      </c>
      <c r="BW1421" s="28" t="s">
        <v>138</v>
      </c>
      <c r="BX1421" s="28" t="s">
        <v>138</v>
      </c>
      <c r="BY1421" s="28" t="s">
        <v>175</v>
      </c>
      <c r="BZ1421" s="34">
        <v>41061</v>
      </c>
      <c r="CA1421" s="29">
        <v>4.5</v>
      </c>
      <c r="CB1421" s="28" t="s">
        <v>172</v>
      </c>
      <c r="CC1421" s="29" t="s">
        <v>138</v>
      </c>
      <c r="CD1421" s="28" t="s">
        <v>138</v>
      </c>
      <c r="CE1421" s="28" t="s">
        <v>173</v>
      </c>
      <c r="CF1421" s="28" t="s">
        <v>138</v>
      </c>
      <c r="CG1421" s="28" t="s">
        <v>138</v>
      </c>
      <c r="CH1421" s="28" t="s">
        <v>174</v>
      </c>
      <c r="CI1421" s="28" t="s">
        <v>138</v>
      </c>
      <c r="CJ1421" s="28" t="s">
        <v>138</v>
      </c>
      <c r="CK1421" s="28" t="s">
        <v>138</v>
      </c>
      <c r="CL1421" s="28" t="s">
        <v>175</v>
      </c>
      <c r="CM1421" s="34" t="s">
        <v>138</v>
      </c>
      <c r="CN1421" s="29" t="s">
        <v>138</v>
      </c>
      <c r="CO1421" s="35">
        <v>0</v>
      </c>
      <c r="CP1421" s="36">
        <v>26</v>
      </c>
      <c r="CQ1421" s="35">
        <v>0</v>
      </c>
      <c r="CR1421" s="35">
        <v>0</v>
      </c>
      <c r="CS1421" s="35">
        <v>0</v>
      </c>
      <c r="CT1421" s="36">
        <v>23</v>
      </c>
      <c r="CU1421" s="35" t="s">
        <v>138</v>
      </c>
      <c r="CV1421" s="36" t="s">
        <v>138</v>
      </c>
      <c r="CW1421" s="35" t="s">
        <v>138</v>
      </c>
      <c r="CX1421" s="36" t="s">
        <v>138</v>
      </c>
      <c r="CY1421" s="35">
        <v>0</v>
      </c>
      <c r="CZ1421" s="36">
        <v>25</v>
      </c>
      <c r="DA1421" s="35" t="s">
        <v>138</v>
      </c>
      <c r="DB1421" s="36" t="s">
        <v>138</v>
      </c>
      <c r="DC1421" s="37">
        <v>0.38</v>
      </c>
      <c r="DD1421" s="36">
        <v>27</v>
      </c>
      <c r="DE1421" s="37">
        <v>0</v>
      </c>
      <c r="DF1421" s="35">
        <v>0</v>
      </c>
      <c r="DG1421" s="37">
        <v>0.38</v>
      </c>
      <c r="DH1421" s="36">
        <v>27</v>
      </c>
      <c r="DI1421" s="37" t="s">
        <v>138</v>
      </c>
      <c r="DJ1421" s="36" t="s">
        <v>138</v>
      </c>
      <c r="DK1421" s="37" t="s">
        <v>138</v>
      </c>
      <c r="DL1421" s="36" t="s">
        <v>138</v>
      </c>
      <c r="DM1421" s="37">
        <v>0.38</v>
      </c>
      <c r="DN1421" s="36">
        <v>28</v>
      </c>
      <c r="DO1421" s="37" t="s">
        <v>138</v>
      </c>
      <c r="DP1421" s="36" t="s">
        <v>138</v>
      </c>
      <c r="DQ1421" s="36" t="s">
        <v>138</v>
      </c>
      <c r="DR1421" s="38" t="s">
        <v>138</v>
      </c>
      <c r="DS1421" s="35" t="s">
        <v>138</v>
      </c>
      <c r="DT1421" s="36">
        <v>11</v>
      </c>
      <c r="DU1421" s="38">
        <v>0</v>
      </c>
      <c r="DV1421" s="35">
        <v>0</v>
      </c>
      <c r="DW1421" s="36" t="s">
        <v>138</v>
      </c>
      <c r="DX1421" s="39" t="s">
        <v>138</v>
      </c>
      <c r="DY1421" s="35" t="s">
        <v>138</v>
      </c>
      <c r="DZ1421" s="28" t="s">
        <v>178</v>
      </c>
      <c r="EA1421" s="34">
        <v>43607</v>
      </c>
      <c r="EB1421" s="29" t="s">
        <v>138</v>
      </c>
      <c r="EC1421" s="34" t="s">
        <v>138</v>
      </c>
      <c r="ED1421" s="28" t="s">
        <v>138</v>
      </c>
      <c r="EE1421" s="40" t="str">
        <f>HYPERLINK("https://my.pitchbook.com?c=54824-32", "View company online")</f>
        <v>View company online</v>
      </c>
    </row>
    <row r="1422" spans="1:135">
      <c r="A1422" s="15" t="s">
        <v>27343</v>
      </c>
      <c r="B1422" s="15" t="s">
        <v>27344</v>
      </c>
      <c r="C1422" s="15" t="s">
        <v>138</v>
      </c>
      <c r="D1422" s="15" t="s">
        <v>138</v>
      </c>
      <c r="E1422" s="15" t="s">
        <v>27345</v>
      </c>
      <c r="F1422" s="15" t="s">
        <v>27343</v>
      </c>
      <c r="G1422" s="15" t="s">
        <v>27346</v>
      </c>
      <c r="H1422" s="15" t="s">
        <v>385</v>
      </c>
      <c r="I1422" s="15" t="s">
        <v>1448</v>
      </c>
      <c r="J1422" s="15" t="s">
        <v>4108</v>
      </c>
      <c r="K1422" s="15" t="s">
        <v>27347</v>
      </c>
      <c r="L1422" s="15" t="s">
        <v>27348</v>
      </c>
      <c r="M1422" s="15" t="s">
        <v>27349</v>
      </c>
      <c r="N1422" s="15" t="s">
        <v>147</v>
      </c>
      <c r="O1422" s="17">
        <v>47.46</v>
      </c>
      <c r="P1422" s="15" t="s">
        <v>148</v>
      </c>
      <c r="Q1422" s="15" t="s">
        <v>149</v>
      </c>
      <c r="R1422" s="15" t="s">
        <v>174</v>
      </c>
      <c r="S1422" s="15" t="s">
        <v>27350</v>
      </c>
      <c r="T1422" s="18">
        <v>36</v>
      </c>
      <c r="U1422" s="15" t="s">
        <v>27351</v>
      </c>
      <c r="V1422" s="15" t="s">
        <v>138</v>
      </c>
      <c r="W1422" s="15" t="s">
        <v>138</v>
      </c>
      <c r="X1422" s="19">
        <v>1984</v>
      </c>
      <c r="Y1422" s="15" t="s">
        <v>138</v>
      </c>
      <c r="Z1422" s="15" t="s">
        <v>138</v>
      </c>
      <c r="AA1422" s="15" t="s">
        <v>138</v>
      </c>
      <c r="AB1422" s="20" t="s">
        <v>138</v>
      </c>
      <c r="AC1422" s="20" t="s">
        <v>138</v>
      </c>
      <c r="AD1422" s="20" t="s">
        <v>138</v>
      </c>
      <c r="AE1422" s="20" t="s">
        <v>138</v>
      </c>
      <c r="AF1422" s="20" t="s">
        <v>138</v>
      </c>
      <c r="AG1422" s="15" t="s">
        <v>138</v>
      </c>
      <c r="AH1422" s="20" t="s">
        <v>138</v>
      </c>
      <c r="AI1422" s="20" t="s">
        <v>138</v>
      </c>
      <c r="AJ1422" s="20" t="s">
        <v>138</v>
      </c>
      <c r="AK1422" s="15" t="s">
        <v>27352</v>
      </c>
      <c r="AL1422" s="15" t="s">
        <v>27353</v>
      </c>
      <c r="AM1422" s="15" t="s">
        <v>27354</v>
      </c>
      <c r="AN1422" s="15" t="s">
        <v>27355</v>
      </c>
      <c r="AO1422" s="15" t="s">
        <v>27356</v>
      </c>
      <c r="AP1422" s="15" t="s">
        <v>25399</v>
      </c>
      <c r="AQ1422" s="15" t="s">
        <v>27357</v>
      </c>
      <c r="AR1422" s="15" t="s">
        <v>3159</v>
      </c>
      <c r="AS1422" s="15" t="s">
        <v>25401</v>
      </c>
      <c r="AT1422" s="15" t="s">
        <v>2740</v>
      </c>
      <c r="AU1422" s="15" t="s">
        <v>27358</v>
      </c>
      <c r="AV1422" s="15" t="s">
        <v>2742</v>
      </c>
      <c r="AW1422" s="15" t="s">
        <v>27356</v>
      </c>
      <c r="AX1422" s="15" t="s">
        <v>27359</v>
      </c>
      <c r="AY1422" s="15" t="s">
        <v>27360</v>
      </c>
      <c r="AZ1422" s="15" t="s">
        <v>164</v>
      </c>
      <c r="BA1422" s="15" t="s">
        <v>165</v>
      </c>
      <c r="BB1422" s="15" t="s">
        <v>27361</v>
      </c>
      <c r="BC1422" s="15" t="s">
        <v>27362</v>
      </c>
      <c r="BD1422" s="21">
        <v>11</v>
      </c>
      <c r="BE1422" s="15" t="s">
        <v>138</v>
      </c>
      <c r="BF1422" s="15" t="s">
        <v>138</v>
      </c>
      <c r="BG1422" s="15" t="s">
        <v>138</v>
      </c>
      <c r="BH1422" s="15" t="s">
        <v>27363</v>
      </c>
      <c r="BI1422" s="15" t="s">
        <v>138</v>
      </c>
      <c r="BJ1422" s="15" t="s">
        <v>138</v>
      </c>
      <c r="BK1422" s="15" t="s">
        <v>138</v>
      </c>
      <c r="BL1422" s="15" t="s">
        <v>27364</v>
      </c>
      <c r="BM1422" s="22">
        <v>37770</v>
      </c>
      <c r="BN1422" s="17">
        <v>8.9</v>
      </c>
      <c r="BO1422" s="15" t="s">
        <v>172</v>
      </c>
      <c r="BP1422" s="17" t="s">
        <v>138</v>
      </c>
      <c r="BQ1422" s="15" t="s">
        <v>138</v>
      </c>
      <c r="BR1422" s="15" t="s">
        <v>176</v>
      </c>
      <c r="BS1422" s="15" t="s">
        <v>138</v>
      </c>
      <c r="BT1422" s="15" t="s">
        <v>138</v>
      </c>
      <c r="BU1422" s="15" t="s">
        <v>177</v>
      </c>
      <c r="BV1422" s="15" t="s">
        <v>138</v>
      </c>
      <c r="BW1422" s="15" t="s">
        <v>138</v>
      </c>
      <c r="BX1422" s="15" t="s">
        <v>138</v>
      </c>
      <c r="BY1422" s="15" t="s">
        <v>175</v>
      </c>
      <c r="BZ1422" s="22">
        <v>42381</v>
      </c>
      <c r="CA1422" s="17">
        <v>7.26</v>
      </c>
      <c r="CB1422" s="15" t="s">
        <v>172</v>
      </c>
      <c r="CC1422" s="17" t="s">
        <v>138</v>
      </c>
      <c r="CD1422" s="15" t="s">
        <v>138</v>
      </c>
      <c r="CE1422" s="15" t="s">
        <v>173</v>
      </c>
      <c r="CF1422" s="15" t="s">
        <v>138</v>
      </c>
      <c r="CG1422" s="15" t="s">
        <v>138</v>
      </c>
      <c r="CH1422" s="15" t="s">
        <v>174</v>
      </c>
      <c r="CI1422" s="15" t="s">
        <v>138</v>
      </c>
      <c r="CJ1422" s="15" t="s">
        <v>138</v>
      </c>
      <c r="CK1422" s="15" t="s">
        <v>138</v>
      </c>
      <c r="CL1422" s="15" t="s">
        <v>175</v>
      </c>
      <c r="CM1422" s="22" t="s">
        <v>138</v>
      </c>
      <c r="CN1422" s="17" t="s">
        <v>138</v>
      </c>
      <c r="CO1422" s="23">
        <v>-2.37</v>
      </c>
      <c r="CP1422" s="24">
        <v>4</v>
      </c>
      <c r="CQ1422" s="23">
        <v>-1.1599999999999999</v>
      </c>
      <c r="CR1422" s="23">
        <v>-96.47</v>
      </c>
      <c r="CS1422" s="23">
        <v>-2.37</v>
      </c>
      <c r="CT1422" s="24">
        <v>7</v>
      </c>
      <c r="CU1422" s="23" t="s">
        <v>138</v>
      </c>
      <c r="CV1422" s="24" t="s">
        <v>138</v>
      </c>
      <c r="CW1422" s="23" t="s">
        <v>138</v>
      </c>
      <c r="CX1422" s="24" t="s">
        <v>138</v>
      </c>
      <c r="CY1422" s="23">
        <v>-2.37</v>
      </c>
      <c r="CZ1422" s="24">
        <v>9</v>
      </c>
      <c r="DA1422" s="23" t="s">
        <v>138</v>
      </c>
      <c r="DB1422" s="24" t="s">
        <v>138</v>
      </c>
      <c r="DC1422" s="25">
        <v>6.48</v>
      </c>
      <c r="DD1422" s="24">
        <v>86</v>
      </c>
      <c r="DE1422" s="25">
        <v>2.8</v>
      </c>
      <c r="DF1422" s="23">
        <v>76.099999999999994</v>
      </c>
      <c r="DG1422" s="25">
        <v>6.48</v>
      </c>
      <c r="DH1422" s="24">
        <v>85</v>
      </c>
      <c r="DI1422" s="25" t="s">
        <v>138</v>
      </c>
      <c r="DJ1422" s="24" t="s">
        <v>138</v>
      </c>
      <c r="DK1422" s="25" t="s">
        <v>138</v>
      </c>
      <c r="DL1422" s="24" t="s">
        <v>138</v>
      </c>
      <c r="DM1422" s="25">
        <v>6.48</v>
      </c>
      <c r="DN1422" s="24">
        <v>85</v>
      </c>
      <c r="DO1422" s="25" t="s">
        <v>138</v>
      </c>
      <c r="DP1422" s="24" t="s">
        <v>138</v>
      </c>
      <c r="DQ1422" s="24">
        <v>245</v>
      </c>
      <c r="DR1422" s="26">
        <v>29</v>
      </c>
      <c r="DS1422" s="23">
        <v>13.43</v>
      </c>
      <c r="DT1422" s="24">
        <v>188</v>
      </c>
      <c r="DU1422" s="26">
        <v>-1</v>
      </c>
      <c r="DV1422" s="23">
        <v>-0.53</v>
      </c>
      <c r="DW1422" s="24" t="s">
        <v>138</v>
      </c>
      <c r="DX1422" s="27" t="s">
        <v>138</v>
      </c>
      <c r="DY1422" s="23" t="s">
        <v>138</v>
      </c>
      <c r="DZ1422" s="15" t="s">
        <v>178</v>
      </c>
      <c r="EA1422" s="22">
        <v>43440</v>
      </c>
      <c r="EB1422" s="17">
        <v>425.02</v>
      </c>
      <c r="EC1422" s="22">
        <v>42003</v>
      </c>
      <c r="ED1422" s="15" t="s">
        <v>173</v>
      </c>
      <c r="EE1422" s="14" t="str">
        <f>HYPERLINK("https://my.pitchbook.com?c=56500-48", "View company online")</f>
        <v>View company online</v>
      </c>
    </row>
    <row r="1423" spans="1:135">
      <c r="A1423" s="28" t="s">
        <v>27365</v>
      </c>
      <c r="B1423" s="28" t="s">
        <v>27366</v>
      </c>
      <c r="C1423" s="28" t="s">
        <v>27367</v>
      </c>
      <c r="D1423" s="28" t="s">
        <v>138</v>
      </c>
      <c r="E1423" s="28" t="s">
        <v>138</v>
      </c>
      <c r="F1423" s="28" t="s">
        <v>27365</v>
      </c>
      <c r="G1423" s="28" t="s">
        <v>27368</v>
      </c>
      <c r="H1423" s="28" t="s">
        <v>322</v>
      </c>
      <c r="I1423" s="28" t="s">
        <v>323</v>
      </c>
      <c r="J1423" s="28" t="s">
        <v>413</v>
      </c>
      <c r="K1423" s="28" t="s">
        <v>9879</v>
      </c>
      <c r="L1423" s="28" t="s">
        <v>1134</v>
      </c>
      <c r="M1423" s="28" t="s">
        <v>27369</v>
      </c>
      <c r="N1423" s="28" t="s">
        <v>147</v>
      </c>
      <c r="O1423" s="29" t="s">
        <v>138</v>
      </c>
      <c r="P1423" s="28" t="s">
        <v>148</v>
      </c>
      <c r="Q1423" s="28" t="s">
        <v>149</v>
      </c>
      <c r="R1423" s="28" t="s">
        <v>174</v>
      </c>
      <c r="S1423" s="28" t="s">
        <v>27370</v>
      </c>
      <c r="T1423" s="30">
        <v>16</v>
      </c>
      <c r="U1423" s="28" t="s">
        <v>27371</v>
      </c>
      <c r="V1423" s="28" t="s">
        <v>138</v>
      </c>
      <c r="W1423" s="28" t="s">
        <v>138</v>
      </c>
      <c r="X1423" s="31">
        <v>2005</v>
      </c>
      <c r="Y1423" s="28" t="s">
        <v>138</v>
      </c>
      <c r="Z1423" s="28" t="s">
        <v>138</v>
      </c>
      <c r="AA1423" s="28" t="s">
        <v>1163</v>
      </c>
      <c r="AB1423" s="32" t="s">
        <v>138</v>
      </c>
      <c r="AC1423" s="32" t="s">
        <v>138</v>
      </c>
      <c r="AD1423" s="32" t="s">
        <v>138</v>
      </c>
      <c r="AE1423" s="32" t="s">
        <v>138</v>
      </c>
      <c r="AF1423" s="32" t="s">
        <v>138</v>
      </c>
      <c r="AG1423" s="28" t="s">
        <v>138</v>
      </c>
      <c r="AH1423" s="32" t="s">
        <v>138</v>
      </c>
      <c r="AI1423" s="32" t="s">
        <v>138</v>
      </c>
      <c r="AJ1423" s="32" t="s">
        <v>138</v>
      </c>
      <c r="AK1423" s="28" t="s">
        <v>27372</v>
      </c>
      <c r="AL1423" s="28" t="s">
        <v>27373</v>
      </c>
      <c r="AM1423" s="28" t="s">
        <v>5161</v>
      </c>
      <c r="AN1423" s="28" t="s">
        <v>27374</v>
      </c>
      <c r="AO1423" s="28" t="s">
        <v>27375</v>
      </c>
      <c r="AP1423" s="28" t="s">
        <v>3905</v>
      </c>
      <c r="AQ1423" s="28" t="s">
        <v>27376</v>
      </c>
      <c r="AR1423" s="28" t="s">
        <v>27377</v>
      </c>
      <c r="AS1423" s="28" t="s">
        <v>3907</v>
      </c>
      <c r="AT1423" s="28" t="s">
        <v>2740</v>
      </c>
      <c r="AU1423" s="28" t="s">
        <v>27378</v>
      </c>
      <c r="AV1423" s="28" t="s">
        <v>2742</v>
      </c>
      <c r="AW1423" s="28" t="s">
        <v>27375</v>
      </c>
      <c r="AX1423" s="28" t="s">
        <v>27379</v>
      </c>
      <c r="AY1423" s="28" t="s">
        <v>27380</v>
      </c>
      <c r="AZ1423" s="28" t="s">
        <v>164</v>
      </c>
      <c r="BA1423" s="28" t="s">
        <v>165</v>
      </c>
      <c r="BB1423" s="28" t="s">
        <v>27381</v>
      </c>
      <c r="BC1423" s="28" t="s">
        <v>27382</v>
      </c>
      <c r="BD1423" s="33">
        <v>3</v>
      </c>
      <c r="BE1423" s="28" t="s">
        <v>138</v>
      </c>
      <c r="BF1423" s="28" t="s">
        <v>138</v>
      </c>
      <c r="BG1423" s="28" t="s">
        <v>138</v>
      </c>
      <c r="BH1423" s="28" t="s">
        <v>27383</v>
      </c>
      <c r="BI1423" s="28" t="s">
        <v>138</v>
      </c>
      <c r="BJ1423" s="28" t="s">
        <v>138</v>
      </c>
      <c r="BK1423" s="28" t="s">
        <v>138</v>
      </c>
      <c r="BL1423" s="28" t="s">
        <v>138</v>
      </c>
      <c r="BM1423" s="34">
        <v>38614</v>
      </c>
      <c r="BN1423" s="29" t="s">
        <v>138</v>
      </c>
      <c r="BO1423" s="28" t="s">
        <v>138</v>
      </c>
      <c r="BP1423" s="29" t="s">
        <v>138</v>
      </c>
      <c r="BQ1423" s="28" t="s">
        <v>138</v>
      </c>
      <c r="BR1423" s="28" t="s">
        <v>1465</v>
      </c>
      <c r="BS1423" s="28" t="s">
        <v>138</v>
      </c>
      <c r="BT1423" s="28" t="s">
        <v>138</v>
      </c>
      <c r="BU1423" s="28" t="s">
        <v>177</v>
      </c>
      <c r="BV1423" s="28" t="s">
        <v>138</v>
      </c>
      <c r="BW1423" s="28" t="s">
        <v>138</v>
      </c>
      <c r="BX1423" s="28" t="s">
        <v>138</v>
      </c>
      <c r="BY1423" s="28" t="s">
        <v>175</v>
      </c>
      <c r="BZ1423" s="34">
        <v>38614</v>
      </c>
      <c r="CA1423" s="29" t="s">
        <v>138</v>
      </c>
      <c r="CB1423" s="28" t="s">
        <v>138</v>
      </c>
      <c r="CC1423" s="29" t="s">
        <v>138</v>
      </c>
      <c r="CD1423" s="28" t="s">
        <v>138</v>
      </c>
      <c r="CE1423" s="28" t="s">
        <v>1465</v>
      </c>
      <c r="CF1423" s="28" t="s">
        <v>138</v>
      </c>
      <c r="CG1423" s="28" t="s">
        <v>138</v>
      </c>
      <c r="CH1423" s="28" t="s">
        <v>177</v>
      </c>
      <c r="CI1423" s="28" t="s">
        <v>138</v>
      </c>
      <c r="CJ1423" s="28" t="s">
        <v>138</v>
      </c>
      <c r="CK1423" s="28" t="s">
        <v>138</v>
      </c>
      <c r="CL1423" s="28" t="s">
        <v>175</v>
      </c>
      <c r="CM1423" s="34" t="s">
        <v>138</v>
      </c>
      <c r="CN1423" s="29" t="s">
        <v>138</v>
      </c>
      <c r="CO1423" s="35">
        <v>-0.7</v>
      </c>
      <c r="CP1423" s="36">
        <v>14</v>
      </c>
      <c r="CQ1423" s="35">
        <v>0</v>
      </c>
      <c r="CR1423" s="35">
        <v>0</v>
      </c>
      <c r="CS1423" s="35">
        <v>-1.39</v>
      </c>
      <c r="CT1423" s="36">
        <v>12</v>
      </c>
      <c r="CU1423" s="35">
        <v>0</v>
      </c>
      <c r="CV1423" s="36">
        <v>22</v>
      </c>
      <c r="CW1423" s="35" t="s">
        <v>138</v>
      </c>
      <c r="CX1423" s="36" t="s">
        <v>138</v>
      </c>
      <c r="CY1423" s="35">
        <v>-1.39</v>
      </c>
      <c r="CZ1423" s="36">
        <v>16</v>
      </c>
      <c r="DA1423" s="35">
        <v>0</v>
      </c>
      <c r="DB1423" s="36">
        <v>22</v>
      </c>
      <c r="DC1423" s="37">
        <v>1.75</v>
      </c>
      <c r="DD1423" s="36">
        <v>64</v>
      </c>
      <c r="DE1423" s="37">
        <v>0</v>
      </c>
      <c r="DF1423" s="35">
        <v>-0.05</v>
      </c>
      <c r="DG1423" s="37">
        <v>3.31</v>
      </c>
      <c r="DH1423" s="36">
        <v>76</v>
      </c>
      <c r="DI1423" s="37">
        <v>0.18</v>
      </c>
      <c r="DJ1423" s="36">
        <v>21</v>
      </c>
      <c r="DK1423" s="37" t="s">
        <v>138</v>
      </c>
      <c r="DL1423" s="36" t="s">
        <v>138</v>
      </c>
      <c r="DM1423" s="37">
        <v>3.31</v>
      </c>
      <c r="DN1423" s="36">
        <v>75</v>
      </c>
      <c r="DO1423" s="37">
        <v>0.18</v>
      </c>
      <c r="DP1423" s="36">
        <v>23</v>
      </c>
      <c r="DQ1423" s="36" t="s">
        <v>138</v>
      </c>
      <c r="DR1423" s="38" t="s">
        <v>138</v>
      </c>
      <c r="DS1423" s="35" t="s">
        <v>138</v>
      </c>
      <c r="DT1423" s="36">
        <v>96</v>
      </c>
      <c r="DU1423" s="38">
        <v>0</v>
      </c>
      <c r="DV1423" s="35">
        <v>0</v>
      </c>
      <c r="DW1423" s="36">
        <v>66</v>
      </c>
      <c r="DX1423" s="39">
        <v>-1</v>
      </c>
      <c r="DY1423" s="35">
        <v>-1.49</v>
      </c>
      <c r="DZ1423" s="28" t="s">
        <v>178</v>
      </c>
      <c r="EA1423" s="34">
        <v>43351</v>
      </c>
      <c r="EB1423" s="29" t="s">
        <v>138</v>
      </c>
      <c r="EC1423" s="34" t="s">
        <v>138</v>
      </c>
      <c r="ED1423" s="28" t="s">
        <v>138</v>
      </c>
      <c r="EE1423" s="40" t="str">
        <f>HYPERLINK("https://my.pitchbook.com?c=58246-66", "View company online")</f>
        <v>View company online</v>
      </c>
    </row>
    <row r="1424" spans="1:135">
      <c r="A1424" s="15" t="s">
        <v>27384</v>
      </c>
      <c r="B1424" s="15" t="s">
        <v>27385</v>
      </c>
      <c r="C1424" s="15" t="s">
        <v>138</v>
      </c>
      <c r="D1424" s="15" t="s">
        <v>138</v>
      </c>
      <c r="E1424" s="15" t="s">
        <v>27386</v>
      </c>
      <c r="F1424" s="15" t="s">
        <v>27384</v>
      </c>
      <c r="G1424" s="15" t="s">
        <v>27387</v>
      </c>
      <c r="H1424" s="15" t="s">
        <v>322</v>
      </c>
      <c r="I1424" s="15" t="s">
        <v>356</v>
      </c>
      <c r="J1424" s="15" t="s">
        <v>3852</v>
      </c>
      <c r="K1424" s="15" t="s">
        <v>27388</v>
      </c>
      <c r="L1424" s="15" t="s">
        <v>27389</v>
      </c>
      <c r="M1424" s="15" t="s">
        <v>27390</v>
      </c>
      <c r="N1424" s="15" t="s">
        <v>147</v>
      </c>
      <c r="O1424" s="17">
        <v>45.49</v>
      </c>
      <c r="P1424" s="15" t="s">
        <v>148</v>
      </c>
      <c r="Q1424" s="15" t="s">
        <v>149</v>
      </c>
      <c r="R1424" s="15" t="s">
        <v>328</v>
      </c>
      <c r="S1424" s="15" t="s">
        <v>27391</v>
      </c>
      <c r="T1424" s="18">
        <v>50</v>
      </c>
      <c r="U1424" s="15" t="s">
        <v>27392</v>
      </c>
      <c r="V1424" s="15" t="s">
        <v>138</v>
      </c>
      <c r="W1424" s="15" t="s">
        <v>138</v>
      </c>
      <c r="X1424" s="19">
        <v>2001</v>
      </c>
      <c r="Y1424" s="15" t="s">
        <v>138</v>
      </c>
      <c r="Z1424" s="15" t="s">
        <v>138</v>
      </c>
      <c r="AA1424" s="15" t="s">
        <v>138</v>
      </c>
      <c r="AB1424" s="20" t="s">
        <v>138</v>
      </c>
      <c r="AC1424" s="20" t="s">
        <v>138</v>
      </c>
      <c r="AD1424" s="20" t="s">
        <v>138</v>
      </c>
      <c r="AE1424" s="20" t="s">
        <v>138</v>
      </c>
      <c r="AF1424" s="20" t="s">
        <v>138</v>
      </c>
      <c r="AG1424" s="15" t="s">
        <v>138</v>
      </c>
      <c r="AH1424" s="20" t="s">
        <v>138</v>
      </c>
      <c r="AI1424" s="20" t="s">
        <v>138</v>
      </c>
      <c r="AJ1424" s="20" t="s">
        <v>138</v>
      </c>
      <c r="AK1424" s="15" t="s">
        <v>27393</v>
      </c>
      <c r="AL1424" s="15" t="s">
        <v>27394</v>
      </c>
      <c r="AM1424" s="15" t="s">
        <v>27395</v>
      </c>
      <c r="AN1424" s="15" t="s">
        <v>27396</v>
      </c>
      <c r="AO1424" s="15" t="s">
        <v>27397</v>
      </c>
      <c r="AP1424" s="15" t="s">
        <v>27398</v>
      </c>
      <c r="AQ1424" s="15" t="s">
        <v>27399</v>
      </c>
      <c r="AR1424" s="15" t="s">
        <v>138</v>
      </c>
      <c r="AS1424" s="15" t="s">
        <v>27400</v>
      </c>
      <c r="AT1424" s="15" t="s">
        <v>138</v>
      </c>
      <c r="AU1424" s="15" t="s">
        <v>27401</v>
      </c>
      <c r="AV1424" s="15" t="s">
        <v>946</v>
      </c>
      <c r="AW1424" s="15" t="s">
        <v>27397</v>
      </c>
      <c r="AX1424" s="15" t="s">
        <v>27402</v>
      </c>
      <c r="AY1424" s="15" t="s">
        <v>27403</v>
      </c>
      <c r="AZ1424" s="15" t="s">
        <v>530</v>
      </c>
      <c r="BA1424" s="15" t="s">
        <v>531</v>
      </c>
      <c r="BB1424" s="15" t="s">
        <v>27404</v>
      </c>
      <c r="BC1424" s="15" t="s">
        <v>27405</v>
      </c>
      <c r="BD1424" s="21">
        <v>8</v>
      </c>
      <c r="BE1424" s="15" t="s">
        <v>138</v>
      </c>
      <c r="BF1424" s="15" t="s">
        <v>27406</v>
      </c>
      <c r="BG1424" s="15" t="s">
        <v>138</v>
      </c>
      <c r="BH1424" s="15" t="s">
        <v>27407</v>
      </c>
      <c r="BI1424" s="15" t="s">
        <v>27408</v>
      </c>
      <c r="BJ1424" s="15" t="s">
        <v>138</v>
      </c>
      <c r="BK1424" s="15" t="s">
        <v>27409</v>
      </c>
      <c r="BL1424" s="15" t="s">
        <v>138</v>
      </c>
      <c r="BM1424" s="22">
        <v>37364</v>
      </c>
      <c r="BN1424" s="17">
        <v>4.43</v>
      </c>
      <c r="BO1424" s="15" t="s">
        <v>172</v>
      </c>
      <c r="BP1424" s="17" t="s">
        <v>138</v>
      </c>
      <c r="BQ1424" s="15" t="s">
        <v>138</v>
      </c>
      <c r="BR1424" s="15" t="s">
        <v>205</v>
      </c>
      <c r="BS1424" s="15" t="s">
        <v>138</v>
      </c>
      <c r="BT1424" s="15" t="s">
        <v>138</v>
      </c>
      <c r="BU1424" s="15" t="s">
        <v>174</v>
      </c>
      <c r="BV1424" s="15" t="s">
        <v>138</v>
      </c>
      <c r="BW1424" s="15" t="s">
        <v>138</v>
      </c>
      <c r="BX1424" s="15" t="s">
        <v>138</v>
      </c>
      <c r="BY1424" s="15" t="s">
        <v>175</v>
      </c>
      <c r="BZ1424" s="22">
        <v>42124</v>
      </c>
      <c r="CA1424" s="17" t="s">
        <v>138</v>
      </c>
      <c r="CB1424" s="15" t="s">
        <v>138</v>
      </c>
      <c r="CC1424" s="17" t="s">
        <v>138</v>
      </c>
      <c r="CD1424" s="15" t="s">
        <v>138</v>
      </c>
      <c r="CE1424" s="15" t="s">
        <v>173</v>
      </c>
      <c r="CF1424" s="15" t="s">
        <v>433</v>
      </c>
      <c r="CG1424" s="15" t="s">
        <v>138</v>
      </c>
      <c r="CH1424" s="15" t="s">
        <v>174</v>
      </c>
      <c r="CI1424" s="15" t="s">
        <v>138</v>
      </c>
      <c r="CJ1424" s="15" t="s">
        <v>138</v>
      </c>
      <c r="CK1424" s="15" t="s">
        <v>138</v>
      </c>
      <c r="CL1424" s="15" t="s">
        <v>175</v>
      </c>
      <c r="CM1424" s="22" t="s">
        <v>138</v>
      </c>
      <c r="CN1424" s="17" t="s">
        <v>138</v>
      </c>
      <c r="CO1424" s="23">
        <v>-1.02</v>
      </c>
      <c r="CP1424" s="24">
        <v>11</v>
      </c>
      <c r="CQ1424" s="23">
        <v>-0.01</v>
      </c>
      <c r="CR1424" s="23">
        <v>-1.39</v>
      </c>
      <c r="CS1424" s="23">
        <v>-2.13</v>
      </c>
      <c r="CT1424" s="24">
        <v>8</v>
      </c>
      <c r="CU1424" s="23">
        <v>0.08</v>
      </c>
      <c r="CV1424" s="24">
        <v>64</v>
      </c>
      <c r="CW1424" s="23">
        <v>-2.27</v>
      </c>
      <c r="CX1424" s="24">
        <v>7</v>
      </c>
      <c r="CY1424" s="23">
        <v>-2</v>
      </c>
      <c r="CZ1424" s="24">
        <v>11</v>
      </c>
      <c r="DA1424" s="23">
        <v>0.08</v>
      </c>
      <c r="DB1424" s="24">
        <v>69</v>
      </c>
      <c r="DC1424" s="25">
        <v>23.85</v>
      </c>
      <c r="DD1424" s="24">
        <v>96</v>
      </c>
      <c r="DE1424" s="25">
        <v>-0.08</v>
      </c>
      <c r="DF1424" s="23">
        <v>-0.35</v>
      </c>
      <c r="DG1424" s="25">
        <v>40.11</v>
      </c>
      <c r="DH1424" s="24">
        <v>98</v>
      </c>
      <c r="DI1424" s="25">
        <v>7.6</v>
      </c>
      <c r="DJ1424" s="24">
        <v>82</v>
      </c>
      <c r="DK1424" s="25">
        <v>3.35</v>
      </c>
      <c r="DL1424" s="24">
        <v>73</v>
      </c>
      <c r="DM1424" s="25">
        <v>76.86</v>
      </c>
      <c r="DN1424" s="24">
        <v>99</v>
      </c>
      <c r="DO1424" s="25">
        <v>7.6</v>
      </c>
      <c r="DP1424" s="24">
        <v>84</v>
      </c>
      <c r="DQ1424" s="24">
        <v>1158</v>
      </c>
      <c r="DR1424" s="26">
        <v>-25</v>
      </c>
      <c r="DS1424" s="23">
        <v>-2.11</v>
      </c>
      <c r="DT1424" s="24">
        <v>2228</v>
      </c>
      <c r="DU1424" s="26">
        <v>5</v>
      </c>
      <c r="DV1424" s="23">
        <v>0.22</v>
      </c>
      <c r="DW1424" s="24">
        <v>2721</v>
      </c>
      <c r="DX1424" s="27">
        <v>0</v>
      </c>
      <c r="DY1424" s="23">
        <v>0</v>
      </c>
      <c r="DZ1424" s="15" t="s">
        <v>178</v>
      </c>
      <c r="EA1424" s="22">
        <v>43539</v>
      </c>
      <c r="EB1424" s="17" t="s">
        <v>138</v>
      </c>
      <c r="EC1424" s="22" t="s">
        <v>138</v>
      </c>
      <c r="ED1424" s="15" t="s">
        <v>138</v>
      </c>
      <c r="EE1424" s="14" t="str">
        <f>HYPERLINK("https://my.pitchbook.com?c=12874-42", "View company online")</f>
        <v>View company online</v>
      </c>
    </row>
    <row r="1425" spans="1:135">
      <c r="A1425" s="28" t="s">
        <v>27410</v>
      </c>
      <c r="B1425" s="28" t="s">
        <v>27411</v>
      </c>
      <c r="C1425" s="28" t="s">
        <v>27412</v>
      </c>
      <c r="D1425" s="28" t="s">
        <v>138</v>
      </c>
      <c r="E1425" s="28" t="s">
        <v>27413</v>
      </c>
      <c r="F1425" s="28" t="s">
        <v>27410</v>
      </c>
      <c r="G1425" s="28" t="s">
        <v>27414</v>
      </c>
      <c r="H1425" s="28" t="s">
        <v>322</v>
      </c>
      <c r="I1425" s="28" t="s">
        <v>323</v>
      </c>
      <c r="J1425" s="28" t="s">
        <v>324</v>
      </c>
      <c r="K1425" s="28" t="s">
        <v>27415</v>
      </c>
      <c r="L1425" s="28" t="s">
        <v>4503</v>
      </c>
      <c r="M1425" s="28" t="s">
        <v>27416</v>
      </c>
      <c r="N1425" s="28" t="s">
        <v>147</v>
      </c>
      <c r="O1425" s="29">
        <v>7.18</v>
      </c>
      <c r="P1425" s="28" t="s">
        <v>148</v>
      </c>
      <c r="Q1425" s="28" t="s">
        <v>149</v>
      </c>
      <c r="R1425" s="28" t="s">
        <v>174</v>
      </c>
      <c r="S1425" s="28" t="s">
        <v>27417</v>
      </c>
      <c r="T1425" s="30">
        <v>11</v>
      </c>
      <c r="U1425" s="28" t="s">
        <v>3406</v>
      </c>
      <c r="V1425" s="28" t="s">
        <v>138</v>
      </c>
      <c r="W1425" s="28" t="s">
        <v>138</v>
      </c>
      <c r="X1425" s="31">
        <v>2010</v>
      </c>
      <c r="Y1425" s="28" t="s">
        <v>138</v>
      </c>
      <c r="Z1425" s="28" t="s">
        <v>138</v>
      </c>
      <c r="AA1425" s="28" t="s">
        <v>138</v>
      </c>
      <c r="AB1425" s="32" t="s">
        <v>138</v>
      </c>
      <c r="AC1425" s="32" t="s">
        <v>138</v>
      </c>
      <c r="AD1425" s="32" t="s">
        <v>138</v>
      </c>
      <c r="AE1425" s="32" t="s">
        <v>138</v>
      </c>
      <c r="AF1425" s="32" t="s">
        <v>138</v>
      </c>
      <c r="AG1425" s="28" t="s">
        <v>138</v>
      </c>
      <c r="AH1425" s="32" t="s">
        <v>138</v>
      </c>
      <c r="AI1425" s="32" t="s">
        <v>138</v>
      </c>
      <c r="AJ1425" s="32" t="s">
        <v>138</v>
      </c>
      <c r="AK1425" s="28" t="s">
        <v>27418</v>
      </c>
      <c r="AL1425" s="28" t="s">
        <v>27419</v>
      </c>
      <c r="AM1425" s="28" t="s">
        <v>1632</v>
      </c>
      <c r="AN1425" s="28" t="s">
        <v>27420</v>
      </c>
      <c r="AO1425" s="28" t="s">
        <v>27421</v>
      </c>
      <c r="AP1425" s="28" t="s">
        <v>7077</v>
      </c>
      <c r="AQ1425" s="28" t="s">
        <v>27422</v>
      </c>
      <c r="AR1425" s="28" t="s">
        <v>138</v>
      </c>
      <c r="AS1425" s="28" t="s">
        <v>7079</v>
      </c>
      <c r="AT1425" s="28" t="s">
        <v>200</v>
      </c>
      <c r="AU1425" s="28" t="s">
        <v>7080</v>
      </c>
      <c r="AV1425" s="28" t="s">
        <v>162</v>
      </c>
      <c r="AW1425" s="28" t="s">
        <v>27421</v>
      </c>
      <c r="AX1425" s="28" t="s">
        <v>138</v>
      </c>
      <c r="AY1425" s="28" t="s">
        <v>27423</v>
      </c>
      <c r="AZ1425" s="28" t="s">
        <v>164</v>
      </c>
      <c r="BA1425" s="28" t="s">
        <v>165</v>
      </c>
      <c r="BB1425" s="28" t="s">
        <v>27424</v>
      </c>
      <c r="BC1425" s="28" t="s">
        <v>27425</v>
      </c>
      <c r="BD1425" s="33">
        <v>6</v>
      </c>
      <c r="BE1425" s="28" t="s">
        <v>138</v>
      </c>
      <c r="BF1425" s="28" t="s">
        <v>138</v>
      </c>
      <c r="BG1425" s="28" t="s">
        <v>138</v>
      </c>
      <c r="BH1425" s="28" t="s">
        <v>27426</v>
      </c>
      <c r="BI1425" s="28" t="s">
        <v>138</v>
      </c>
      <c r="BJ1425" s="28" t="s">
        <v>138</v>
      </c>
      <c r="BK1425" s="28" t="s">
        <v>138</v>
      </c>
      <c r="BL1425" s="28" t="s">
        <v>138</v>
      </c>
      <c r="BM1425" s="34">
        <v>40821</v>
      </c>
      <c r="BN1425" s="29">
        <v>0.5</v>
      </c>
      <c r="BO1425" s="28" t="s">
        <v>172</v>
      </c>
      <c r="BP1425" s="29" t="s">
        <v>138</v>
      </c>
      <c r="BQ1425" s="28" t="s">
        <v>138</v>
      </c>
      <c r="BR1425" s="28" t="s">
        <v>262</v>
      </c>
      <c r="BS1425" s="28" t="s">
        <v>262</v>
      </c>
      <c r="BT1425" s="28" t="s">
        <v>138</v>
      </c>
      <c r="BU1425" s="28" t="s">
        <v>263</v>
      </c>
      <c r="BV1425" s="28" t="s">
        <v>138</v>
      </c>
      <c r="BW1425" s="28" t="s">
        <v>138</v>
      </c>
      <c r="BX1425" s="28" t="s">
        <v>138</v>
      </c>
      <c r="BY1425" s="28" t="s">
        <v>175</v>
      </c>
      <c r="BZ1425" s="34">
        <v>43474</v>
      </c>
      <c r="CA1425" s="29">
        <v>1.97</v>
      </c>
      <c r="CB1425" s="28" t="s">
        <v>172</v>
      </c>
      <c r="CC1425" s="29" t="s">
        <v>138</v>
      </c>
      <c r="CD1425" s="28" t="s">
        <v>138</v>
      </c>
      <c r="CE1425" s="28" t="s">
        <v>173</v>
      </c>
      <c r="CF1425" s="28" t="s">
        <v>138</v>
      </c>
      <c r="CG1425" s="28" t="s">
        <v>138</v>
      </c>
      <c r="CH1425" s="28" t="s">
        <v>174</v>
      </c>
      <c r="CI1425" s="28" t="s">
        <v>264</v>
      </c>
      <c r="CJ1425" s="28" t="s">
        <v>138</v>
      </c>
      <c r="CK1425" s="28" t="s">
        <v>138</v>
      </c>
      <c r="CL1425" s="28" t="s">
        <v>175</v>
      </c>
      <c r="CM1425" s="34" t="s">
        <v>138</v>
      </c>
      <c r="CN1425" s="29" t="s">
        <v>138</v>
      </c>
      <c r="CO1425" s="35">
        <v>-0.73</v>
      </c>
      <c r="CP1425" s="36">
        <v>13</v>
      </c>
      <c r="CQ1425" s="35">
        <v>7.0000000000000007E-2</v>
      </c>
      <c r="CR1425" s="35">
        <v>9.23</v>
      </c>
      <c r="CS1425" s="35">
        <v>-1.6</v>
      </c>
      <c r="CT1425" s="36">
        <v>11</v>
      </c>
      <c r="CU1425" s="35">
        <v>0.14000000000000001</v>
      </c>
      <c r="CV1425" s="36">
        <v>74</v>
      </c>
      <c r="CW1425" s="35" t="s">
        <v>138</v>
      </c>
      <c r="CX1425" s="36" t="s">
        <v>138</v>
      </c>
      <c r="CY1425" s="35">
        <v>-1.6</v>
      </c>
      <c r="CZ1425" s="36">
        <v>14</v>
      </c>
      <c r="DA1425" s="35">
        <v>0.28000000000000003</v>
      </c>
      <c r="DB1425" s="36">
        <v>88</v>
      </c>
      <c r="DC1425" s="37">
        <v>3.36</v>
      </c>
      <c r="DD1425" s="36">
        <v>77</v>
      </c>
      <c r="DE1425" s="37">
        <v>0</v>
      </c>
      <c r="DF1425" s="35">
        <v>0</v>
      </c>
      <c r="DG1425" s="37">
        <v>6.45</v>
      </c>
      <c r="DH1425" s="36">
        <v>85</v>
      </c>
      <c r="DI1425" s="37">
        <v>0.27</v>
      </c>
      <c r="DJ1425" s="36">
        <v>26</v>
      </c>
      <c r="DK1425" s="37" t="s">
        <v>138</v>
      </c>
      <c r="DL1425" s="36" t="s">
        <v>138</v>
      </c>
      <c r="DM1425" s="37">
        <v>6.45</v>
      </c>
      <c r="DN1425" s="36">
        <v>85</v>
      </c>
      <c r="DO1425" s="37">
        <v>0.51</v>
      </c>
      <c r="DP1425" s="36">
        <v>38</v>
      </c>
      <c r="DQ1425" s="36" t="s">
        <v>138</v>
      </c>
      <c r="DR1425" s="38" t="s">
        <v>138</v>
      </c>
      <c r="DS1425" s="35" t="s">
        <v>138</v>
      </c>
      <c r="DT1425" s="36">
        <v>187</v>
      </c>
      <c r="DU1425" s="38">
        <v>1</v>
      </c>
      <c r="DV1425" s="35">
        <v>0.54</v>
      </c>
      <c r="DW1425" s="36">
        <v>182</v>
      </c>
      <c r="DX1425" s="39">
        <v>0</v>
      </c>
      <c r="DY1425" s="35">
        <v>0</v>
      </c>
      <c r="DZ1425" s="28" t="s">
        <v>178</v>
      </c>
      <c r="EA1425" s="34">
        <v>43571</v>
      </c>
      <c r="EB1425" s="29" t="s">
        <v>138</v>
      </c>
      <c r="EC1425" s="34" t="s">
        <v>138</v>
      </c>
      <c r="ED1425" s="28" t="s">
        <v>138</v>
      </c>
      <c r="EE1425" s="40" t="str">
        <f>HYPERLINK("https://my.pitchbook.com?c=86639-50", "View company online")</f>
        <v>View company online</v>
      </c>
    </row>
    <row r="1426" spans="1:135">
      <c r="A1426" s="15" t="s">
        <v>27427</v>
      </c>
      <c r="B1426" s="15" t="s">
        <v>27428</v>
      </c>
      <c r="C1426" s="15" t="s">
        <v>138</v>
      </c>
      <c r="D1426" s="15" t="s">
        <v>138</v>
      </c>
      <c r="E1426" s="15" t="s">
        <v>27429</v>
      </c>
      <c r="F1426" s="15" t="s">
        <v>27427</v>
      </c>
      <c r="G1426" s="15" t="s">
        <v>27430</v>
      </c>
      <c r="H1426" s="15" t="s">
        <v>322</v>
      </c>
      <c r="I1426" s="15" t="s">
        <v>323</v>
      </c>
      <c r="J1426" s="15" t="s">
        <v>324</v>
      </c>
      <c r="K1426" s="15" t="s">
        <v>8585</v>
      </c>
      <c r="L1426" s="15" t="s">
        <v>215</v>
      </c>
      <c r="M1426" s="15" t="s">
        <v>27431</v>
      </c>
      <c r="N1426" s="15" t="s">
        <v>147</v>
      </c>
      <c r="O1426" s="17">
        <v>155.55000000000001</v>
      </c>
      <c r="P1426" s="15" t="s">
        <v>148</v>
      </c>
      <c r="Q1426" s="15" t="s">
        <v>149</v>
      </c>
      <c r="R1426" s="15" t="s">
        <v>174</v>
      </c>
      <c r="S1426" s="15" t="s">
        <v>27432</v>
      </c>
      <c r="T1426" s="18">
        <v>115</v>
      </c>
      <c r="U1426" s="15" t="s">
        <v>27433</v>
      </c>
      <c r="V1426" s="15" t="s">
        <v>138</v>
      </c>
      <c r="W1426" s="15" t="s">
        <v>138</v>
      </c>
      <c r="X1426" s="19">
        <v>2011</v>
      </c>
      <c r="Y1426" s="15" t="s">
        <v>138</v>
      </c>
      <c r="Z1426" s="15" t="s">
        <v>138</v>
      </c>
      <c r="AA1426" s="15" t="s">
        <v>138</v>
      </c>
      <c r="AB1426" s="20" t="s">
        <v>138</v>
      </c>
      <c r="AC1426" s="20" t="s">
        <v>138</v>
      </c>
      <c r="AD1426" s="20" t="s">
        <v>138</v>
      </c>
      <c r="AE1426" s="20" t="s">
        <v>138</v>
      </c>
      <c r="AF1426" s="20" t="s">
        <v>138</v>
      </c>
      <c r="AG1426" s="15" t="s">
        <v>138</v>
      </c>
      <c r="AH1426" s="20" t="s">
        <v>138</v>
      </c>
      <c r="AI1426" s="20" t="s">
        <v>138</v>
      </c>
      <c r="AJ1426" s="20" t="s">
        <v>138</v>
      </c>
      <c r="AK1426" s="15" t="s">
        <v>27434</v>
      </c>
      <c r="AL1426" s="15" t="s">
        <v>27435</v>
      </c>
      <c r="AM1426" s="15" t="s">
        <v>1955</v>
      </c>
      <c r="AN1426" s="15" t="s">
        <v>27436</v>
      </c>
      <c r="AO1426" s="15" t="s">
        <v>27437</v>
      </c>
      <c r="AP1426" s="15" t="s">
        <v>423</v>
      </c>
      <c r="AQ1426" s="15" t="s">
        <v>27438</v>
      </c>
      <c r="AR1426" s="15" t="s">
        <v>27439</v>
      </c>
      <c r="AS1426" s="15" t="s">
        <v>426</v>
      </c>
      <c r="AT1426" s="15" t="s">
        <v>426</v>
      </c>
      <c r="AU1426" s="15" t="s">
        <v>619</v>
      </c>
      <c r="AV1426" s="15" t="s">
        <v>162</v>
      </c>
      <c r="AW1426" s="15" t="s">
        <v>27437</v>
      </c>
      <c r="AX1426" s="15" t="s">
        <v>138</v>
      </c>
      <c r="AY1426" s="15" t="s">
        <v>27440</v>
      </c>
      <c r="AZ1426" s="15" t="s">
        <v>164</v>
      </c>
      <c r="BA1426" s="15" t="s">
        <v>165</v>
      </c>
      <c r="BB1426" s="15" t="s">
        <v>27441</v>
      </c>
      <c r="BC1426" s="15" t="s">
        <v>27442</v>
      </c>
      <c r="BD1426" s="21">
        <v>26</v>
      </c>
      <c r="BE1426" s="15" t="s">
        <v>138</v>
      </c>
      <c r="BF1426" s="15" t="s">
        <v>138</v>
      </c>
      <c r="BG1426" s="15" t="s">
        <v>138</v>
      </c>
      <c r="BH1426" s="15" t="s">
        <v>27443</v>
      </c>
      <c r="BI1426" s="15" t="s">
        <v>138</v>
      </c>
      <c r="BJ1426" s="15" t="s">
        <v>138</v>
      </c>
      <c r="BK1426" s="15" t="s">
        <v>138</v>
      </c>
      <c r="BL1426" s="15" t="s">
        <v>138</v>
      </c>
      <c r="BM1426" s="22">
        <v>41015</v>
      </c>
      <c r="BN1426" s="17">
        <v>0.82</v>
      </c>
      <c r="BO1426" s="15" t="s">
        <v>172</v>
      </c>
      <c r="BP1426" s="17">
        <v>6.38</v>
      </c>
      <c r="BQ1426" s="15" t="s">
        <v>172</v>
      </c>
      <c r="BR1426" s="15" t="s">
        <v>234</v>
      </c>
      <c r="BS1426" s="15" t="s">
        <v>206</v>
      </c>
      <c r="BT1426" s="15" t="s">
        <v>138</v>
      </c>
      <c r="BU1426" s="15" t="s">
        <v>174</v>
      </c>
      <c r="BV1426" s="15" t="s">
        <v>138</v>
      </c>
      <c r="BW1426" s="15" t="s">
        <v>138</v>
      </c>
      <c r="BX1426" s="15" t="s">
        <v>138</v>
      </c>
      <c r="BY1426" s="15" t="s">
        <v>175</v>
      </c>
      <c r="BZ1426" s="22">
        <v>43361</v>
      </c>
      <c r="CA1426" s="17">
        <v>95</v>
      </c>
      <c r="CB1426" s="15" t="s">
        <v>172</v>
      </c>
      <c r="CC1426" s="17">
        <v>400</v>
      </c>
      <c r="CD1426" s="15" t="s">
        <v>172</v>
      </c>
      <c r="CE1426" s="15" t="s">
        <v>173</v>
      </c>
      <c r="CF1426" s="15" t="s">
        <v>27444</v>
      </c>
      <c r="CG1426" s="15" t="s">
        <v>138</v>
      </c>
      <c r="CH1426" s="15" t="s">
        <v>174</v>
      </c>
      <c r="CI1426" s="15" t="s">
        <v>177</v>
      </c>
      <c r="CJ1426" s="15" t="s">
        <v>138</v>
      </c>
      <c r="CK1426" s="15" t="s">
        <v>138</v>
      </c>
      <c r="CL1426" s="15" t="s">
        <v>175</v>
      </c>
      <c r="CM1426" s="22" t="s">
        <v>138</v>
      </c>
      <c r="CN1426" s="17" t="s">
        <v>138</v>
      </c>
      <c r="CO1426" s="23">
        <v>-7.0000000000000007E-2</v>
      </c>
      <c r="CP1426" s="24">
        <v>21</v>
      </c>
      <c r="CQ1426" s="23">
        <v>0</v>
      </c>
      <c r="CR1426" s="23">
        <v>0</v>
      </c>
      <c r="CS1426" s="23">
        <v>-0.13</v>
      </c>
      <c r="CT1426" s="24">
        <v>22</v>
      </c>
      <c r="CU1426" s="23">
        <v>0</v>
      </c>
      <c r="CV1426" s="24">
        <v>22</v>
      </c>
      <c r="CW1426" s="23">
        <v>-0.13</v>
      </c>
      <c r="CX1426" s="24">
        <v>12</v>
      </c>
      <c r="CY1426" s="23" t="s">
        <v>138</v>
      </c>
      <c r="CZ1426" s="24" t="s">
        <v>138</v>
      </c>
      <c r="DA1426" s="23">
        <v>0</v>
      </c>
      <c r="DB1426" s="24">
        <v>22</v>
      </c>
      <c r="DC1426" s="25">
        <v>16.940000000000001</v>
      </c>
      <c r="DD1426" s="24">
        <v>94</v>
      </c>
      <c r="DE1426" s="25">
        <v>-2.17</v>
      </c>
      <c r="DF1426" s="23">
        <v>-11.35</v>
      </c>
      <c r="DG1426" s="25">
        <v>33.81</v>
      </c>
      <c r="DH1426" s="24">
        <v>97</v>
      </c>
      <c r="DI1426" s="25">
        <v>0.08</v>
      </c>
      <c r="DJ1426" s="24">
        <v>12</v>
      </c>
      <c r="DK1426" s="25">
        <v>33.81</v>
      </c>
      <c r="DL1426" s="24">
        <v>94</v>
      </c>
      <c r="DM1426" s="25" t="s">
        <v>138</v>
      </c>
      <c r="DN1426" s="24" t="s">
        <v>138</v>
      </c>
      <c r="DO1426" s="25">
        <v>0.08</v>
      </c>
      <c r="DP1426" s="24">
        <v>14</v>
      </c>
      <c r="DQ1426" s="24">
        <v>11269</v>
      </c>
      <c r="DR1426" s="26">
        <v>981</v>
      </c>
      <c r="DS1426" s="23">
        <v>9.5399999999999991</v>
      </c>
      <c r="DT1426" s="24" t="s">
        <v>138</v>
      </c>
      <c r="DU1426" s="26" t="s">
        <v>138</v>
      </c>
      <c r="DV1426" s="23" t="s">
        <v>138</v>
      </c>
      <c r="DW1426" s="24">
        <v>28</v>
      </c>
      <c r="DX1426" s="27">
        <v>0</v>
      </c>
      <c r="DY1426" s="23">
        <v>0</v>
      </c>
      <c r="DZ1426" s="15" t="s">
        <v>178</v>
      </c>
      <c r="EA1426" s="22">
        <v>43581</v>
      </c>
      <c r="EB1426" s="17">
        <v>400</v>
      </c>
      <c r="EC1426" s="22">
        <v>43361</v>
      </c>
      <c r="ED1426" s="15" t="s">
        <v>173</v>
      </c>
      <c r="EE1426" s="14" t="str">
        <f>HYPERLINK("https://my.pitchbook.com?c=56212-03", "View company online")</f>
        <v>View company online</v>
      </c>
    </row>
    <row r="1427" spans="1:135">
      <c r="A1427" s="28" t="s">
        <v>27445</v>
      </c>
      <c r="B1427" s="28" t="s">
        <v>27446</v>
      </c>
      <c r="C1427" s="28" t="s">
        <v>138</v>
      </c>
      <c r="D1427" s="28" t="s">
        <v>138</v>
      </c>
      <c r="E1427" s="28" t="s">
        <v>27447</v>
      </c>
      <c r="F1427" s="28" t="s">
        <v>27445</v>
      </c>
      <c r="G1427" s="28" t="s">
        <v>27448</v>
      </c>
      <c r="H1427" s="28" t="s">
        <v>183</v>
      </c>
      <c r="I1427" s="28" t="s">
        <v>4681</v>
      </c>
      <c r="J1427" s="28" t="s">
        <v>9676</v>
      </c>
      <c r="K1427" s="28" t="s">
        <v>27449</v>
      </c>
      <c r="L1427" s="28" t="s">
        <v>27450</v>
      </c>
      <c r="M1427" s="28" t="s">
        <v>27451</v>
      </c>
      <c r="N1427" s="28" t="s">
        <v>147</v>
      </c>
      <c r="O1427" s="29">
        <v>10</v>
      </c>
      <c r="P1427" s="28" t="s">
        <v>610</v>
      </c>
      <c r="Q1427" s="28" t="s">
        <v>149</v>
      </c>
      <c r="R1427" s="28" t="s">
        <v>174</v>
      </c>
      <c r="S1427" s="28" t="s">
        <v>27452</v>
      </c>
      <c r="T1427" s="30">
        <v>6</v>
      </c>
      <c r="U1427" s="28" t="s">
        <v>27453</v>
      </c>
      <c r="V1427" s="28" t="s">
        <v>138</v>
      </c>
      <c r="W1427" s="28" t="s">
        <v>138</v>
      </c>
      <c r="X1427" s="31">
        <v>2014</v>
      </c>
      <c r="Y1427" s="28" t="s">
        <v>138</v>
      </c>
      <c r="Z1427" s="28" t="s">
        <v>138</v>
      </c>
      <c r="AA1427" s="28" t="s">
        <v>138</v>
      </c>
      <c r="AB1427" s="32" t="s">
        <v>138</v>
      </c>
      <c r="AC1427" s="32" t="s">
        <v>138</v>
      </c>
      <c r="AD1427" s="32" t="s">
        <v>138</v>
      </c>
      <c r="AE1427" s="32" t="s">
        <v>138</v>
      </c>
      <c r="AF1427" s="32" t="s">
        <v>138</v>
      </c>
      <c r="AG1427" s="28" t="s">
        <v>138</v>
      </c>
      <c r="AH1427" s="32" t="s">
        <v>138</v>
      </c>
      <c r="AI1427" s="32" t="s">
        <v>138</v>
      </c>
      <c r="AJ1427" s="32" t="s">
        <v>138</v>
      </c>
      <c r="AK1427" s="28" t="s">
        <v>27454</v>
      </c>
      <c r="AL1427" s="28" t="s">
        <v>27455</v>
      </c>
      <c r="AM1427" s="28" t="s">
        <v>27456</v>
      </c>
      <c r="AN1427" s="28" t="s">
        <v>27457</v>
      </c>
      <c r="AO1427" s="28" t="s">
        <v>138</v>
      </c>
      <c r="AP1427" s="28" t="s">
        <v>6492</v>
      </c>
      <c r="AQ1427" s="28" t="s">
        <v>27458</v>
      </c>
      <c r="AR1427" s="28" t="s">
        <v>27459</v>
      </c>
      <c r="AS1427" s="28" t="s">
        <v>6495</v>
      </c>
      <c r="AT1427" s="28" t="s">
        <v>138</v>
      </c>
      <c r="AU1427" s="28" t="s">
        <v>27460</v>
      </c>
      <c r="AV1427" s="28" t="s">
        <v>6495</v>
      </c>
      <c r="AW1427" s="28" t="s">
        <v>138</v>
      </c>
      <c r="AX1427" s="28" t="s">
        <v>138</v>
      </c>
      <c r="AY1427" s="28" t="s">
        <v>27461</v>
      </c>
      <c r="AZ1427" s="28" t="s">
        <v>452</v>
      </c>
      <c r="BA1427" s="28" t="s">
        <v>1748</v>
      </c>
      <c r="BB1427" s="28" t="s">
        <v>27462</v>
      </c>
      <c r="BC1427" s="28" t="s">
        <v>27463</v>
      </c>
      <c r="BD1427" s="33">
        <v>12</v>
      </c>
      <c r="BE1427" s="28" t="s">
        <v>138</v>
      </c>
      <c r="BF1427" s="28" t="s">
        <v>138</v>
      </c>
      <c r="BG1427" s="28" t="s">
        <v>138</v>
      </c>
      <c r="BH1427" s="28" t="s">
        <v>27464</v>
      </c>
      <c r="BI1427" s="28" t="s">
        <v>138</v>
      </c>
      <c r="BJ1427" s="28" t="s">
        <v>138</v>
      </c>
      <c r="BK1427" s="28" t="s">
        <v>138</v>
      </c>
      <c r="BL1427" s="28" t="s">
        <v>138</v>
      </c>
      <c r="BM1427" s="34">
        <v>41640</v>
      </c>
      <c r="BN1427" s="29" t="s">
        <v>138</v>
      </c>
      <c r="BO1427" s="28" t="s">
        <v>138</v>
      </c>
      <c r="BP1427" s="29" t="s">
        <v>138</v>
      </c>
      <c r="BQ1427" s="28" t="s">
        <v>138</v>
      </c>
      <c r="BR1427" s="28" t="s">
        <v>234</v>
      </c>
      <c r="BS1427" s="28" t="s">
        <v>234</v>
      </c>
      <c r="BT1427" s="28" t="s">
        <v>138</v>
      </c>
      <c r="BU1427" s="28" t="s">
        <v>174</v>
      </c>
      <c r="BV1427" s="28" t="s">
        <v>138</v>
      </c>
      <c r="BW1427" s="28" t="s">
        <v>138</v>
      </c>
      <c r="BX1427" s="28" t="s">
        <v>138</v>
      </c>
      <c r="BY1427" s="28" t="s">
        <v>175</v>
      </c>
      <c r="BZ1427" s="34">
        <v>43131</v>
      </c>
      <c r="CA1427" s="29">
        <v>10</v>
      </c>
      <c r="CB1427" s="28" t="s">
        <v>172</v>
      </c>
      <c r="CC1427" s="29" t="s">
        <v>138</v>
      </c>
      <c r="CD1427" s="28" t="s">
        <v>138</v>
      </c>
      <c r="CE1427" s="28" t="s">
        <v>234</v>
      </c>
      <c r="CF1427" s="28" t="s">
        <v>234</v>
      </c>
      <c r="CG1427" s="28" t="s">
        <v>138</v>
      </c>
      <c r="CH1427" s="28" t="s">
        <v>174</v>
      </c>
      <c r="CI1427" s="28" t="s">
        <v>138</v>
      </c>
      <c r="CJ1427" s="28" t="s">
        <v>138</v>
      </c>
      <c r="CK1427" s="28" t="s">
        <v>138</v>
      </c>
      <c r="CL1427" s="28" t="s">
        <v>175</v>
      </c>
      <c r="CM1427" s="34" t="s">
        <v>138</v>
      </c>
      <c r="CN1427" s="29" t="s">
        <v>138</v>
      </c>
      <c r="CO1427" s="35">
        <v>-2.33</v>
      </c>
      <c r="CP1427" s="36">
        <v>4</v>
      </c>
      <c r="CQ1427" s="35">
        <v>0.1</v>
      </c>
      <c r="CR1427" s="35">
        <v>4.22</v>
      </c>
      <c r="CS1427" s="35">
        <v>-2.33</v>
      </c>
      <c r="CT1427" s="36">
        <v>7</v>
      </c>
      <c r="CU1427" s="35" t="s">
        <v>138</v>
      </c>
      <c r="CV1427" s="36" t="s">
        <v>138</v>
      </c>
      <c r="CW1427" s="35" t="s">
        <v>138</v>
      </c>
      <c r="CX1427" s="36" t="s">
        <v>138</v>
      </c>
      <c r="CY1427" s="35">
        <v>-2.33</v>
      </c>
      <c r="CZ1427" s="36">
        <v>9</v>
      </c>
      <c r="DA1427" s="35" t="s">
        <v>138</v>
      </c>
      <c r="DB1427" s="36" t="s">
        <v>138</v>
      </c>
      <c r="DC1427" s="37">
        <v>3.31</v>
      </c>
      <c r="DD1427" s="36">
        <v>77</v>
      </c>
      <c r="DE1427" s="37">
        <v>0</v>
      </c>
      <c r="DF1427" s="35">
        <v>0</v>
      </c>
      <c r="DG1427" s="37">
        <v>3.31</v>
      </c>
      <c r="DH1427" s="36">
        <v>76</v>
      </c>
      <c r="DI1427" s="37" t="s">
        <v>138</v>
      </c>
      <c r="DJ1427" s="36" t="s">
        <v>138</v>
      </c>
      <c r="DK1427" s="37" t="s">
        <v>138</v>
      </c>
      <c r="DL1427" s="36" t="s">
        <v>138</v>
      </c>
      <c r="DM1427" s="37">
        <v>3.31</v>
      </c>
      <c r="DN1427" s="36">
        <v>75</v>
      </c>
      <c r="DO1427" s="37" t="s">
        <v>138</v>
      </c>
      <c r="DP1427" s="36" t="s">
        <v>138</v>
      </c>
      <c r="DQ1427" s="36" t="s">
        <v>138</v>
      </c>
      <c r="DR1427" s="38" t="s">
        <v>138</v>
      </c>
      <c r="DS1427" s="35" t="s">
        <v>138</v>
      </c>
      <c r="DT1427" s="36">
        <v>96</v>
      </c>
      <c r="DU1427" s="38">
        <v>0</v>
      </c>
      <c r="DV1427" s="35">
        <v>0</v>
      </c>
      <c r="DW1427" s="36" t="s">
        <v>138</v>
      </c>
      <c r="DX1427" s="39" t="s">
        <v>138</v>
      </c>
      <c r="DY1427" s="35" t="s">
        <v>138</v>
      </c>
      <c r="DZ1427" s="28" t="s">
        <v>178</v>
      </c>
      <c r="EA1427" s="34">
        <v>43591</v>
      </c>
      <c r="EB1427" s="29" t="s">
        <v>138</v>
      </c>
      <c r="EC1427" s="34" t="s">
        <v>138</v>
      </c>
      <c r="ED1427" s="28" t="s">
        <v>138</v>
      </c>
      <c r="EE1427" s="40" t="str">
        <f>HYPERLINK("https://my.pitchbook.com?c=163649-71", "View company online")</f>
        <v>View company online</v>
      </c>
    </row>
    <row r="1428" spans="1:135">
      <c r="A1428" s="15" t="s">
        <v>27465</v>
      </c>
      <c r="B1428" s="15" t="s">
        <v>27466</v>
      </c>
      <c r="C1428" s="15" t="s">
        <v>27467</v>
      </c>
      <c r="D1428" s="15" t="s">
        <v>138</v>
      </c>
      <c r="E1428" s="15" t="s">
        <v>27468</v>
      </c>
      <c r="F1428" s="15" t="s">
        <v>27465</v>
      </c>
      <c r="G1428" s="15" t="s">
        <v>27469</v>
      </c>
      <c r="H1428" s="15" t="s">
        <v>385</v>
      </c>
      <c r="I1428" s="15" t="s">
        <v>1991</v>
      </c>
      <c r="J1428" s="15" t="s">
        <v>1992</v>
      </c>
      <c r="K1428" s="15" t="s">
        <v>27470</v>
      </c>
      <c r="L1428" s="15" t="s">
        <v>27471</v>
      </c>
      <c r="M1428" s="15" t="s">
        <v>27472</v>
      </c>
      <c r="N1428" s="15" t="s">
        <v>147</v>
      </c>
      <c r="O1428" s="17">
        <v>117.06</v>
      </c>
      <c r="P1428" s="15" t="s">
        <v>148</v>
      </c>
      <c r="Q1428" s="15" t="s">
        <v>149</v>
      </c>
      <c r="R1428" s="15" t="s">
        <v>174</v>
      </c>
      <c r="S1428" s="15" t="s">
        <v>27473</v>
      </c>
      <c r="T1428" s="18">
        <v>50</v>
      </c>
      <c r="U1428" s="15" t="s">
        <v>27474</v>
      </c>
      <c r="V1428" s="15" t="s">
        <v>138</v>
      </c>
      <c r="W1428" s="15" t="s">
        <v>138</v>
      </c>
      <c r="X1428" s="19">
        <v>2005</v>
      </c>
      <c r="Y1428" s="15" t="s">
        <v>138</v>
      </c>
      <c r="Z1428" s="15" t="s">
        <v>138</v>
      </c>
      <c r="AA1428" s="15" t="s">
        <v>138</v>
      </c>
      <c r="AB1428" s="20" t="s">
        <v>138</v>
      </c>
      <c r="AC1428" s="20" t="s">
        <v>138</v>
      </c>
      <c r="AD1428" s="20" t="s">
        <v>138</v>
      </c>
      <c r="AE1428" s="20" t="s">
        <v>138</v>
      </c>
      <c r="AF1428" s="20" t="s">
        <v>138</v>
      </c>
      <c r="AG1428" s="15" t="s">
        <v>138</v>
      </c>
      <c r="AH1428" s="20" t="s">
        <v>138</v>
      </c>
      <c r="AI1428" s="20" t="s">
        <v>138</v>
      </c>
      <c r="AJ1428" s="20" t="s">
        <v>138</v>
      </c>
      <c r="AK1428" s="15" t="s">
        <v>27475</v>
      </c>
      <c r="AL1428" s="15" t="s">
        <v>27476</v>
      </c>
      <c r="AM1428" s="15" t="s">
        <v>249</v>
      </c>
      <c r="AN1428" s="15" t="s">
        <v>27477</v>
      </c>
      <c r="AO1428" s="15" t="s">
        <v>27478</v>
      </c>
      <c r="AP1428" s="15" t="s">
        <v>6402</v>
      </c>
      <c r="AQ1428" s="15" t="s">
        <v>27479</v>
      </c>
      <c r="AR1428" s="15" t="s">
        <v>1459</v>
      </c>
      <c r="AS1428" s="15" t="s">
        <v>6404</v>
      </c>
      <c r="AT1428" s="15" t="s">
        <v>200</v>
      </c>
      <c r="AU1428" s="15" t="s">
        <v>27480</v>
      </c>
      <c r="AV1428" s="15" t="s">
        <v>162</v>
      </c>
      <c r="AW1428" s="15" t="s">
        <v>27481</v>
      </c>
      <c r="AX1428" s="15" t="s">
        <v>138</v>
      </c>
      <c r="AY1428" s="15" t="s">
        <v>27482</v>
      </c>
      <c r="AZ1428" s="15" t="s">
        <v>164</v>
      </c>
      <c r="BA1428" s="15" t="s">
        <v>165</v>
      </c>
      <c r="BB1428" s="15" t="s">
        <v>27483</v>
      </c>
      <c r="BC1428" s="15" t="s">
        <v>27484</v>
      </c>
      <c r="BD1428" s="21">
        <v>15</v>
      </c>
      <c r="BE1428" s="15" t="s">
        <v>138</v>
      </c>
      <c r="BF1428" s="15" t="s">
        <v>138</v>
      </c>
      <c r="BG1428" s="15" t="s">
        <v>138</v>
      </c>
      <c r="BH1428" s="15" t="s">
        <v>27485</v>
      </c>
      <c r="BI1428" s="15" t="s">
        <v>138</v>
      </c>
      <c r="BJ1428" s="15" t="s">
        <v>138</v>
      </c>
      <c r="BK1428" s="15" t="s">
        <v>27486</v>
      </c>
      <c r="BL1428" s="15" t="s">
        <v>27487</v>
      </c>
      <c r="BM1428" s="22">
        <v>38887</v>
      </c>
      <c r="BN1428" s="17">
        <v>0.5</v>
      </c>
      <c r="BO1428" s="15" t="s">
        <v>172</v>
      </c>
      <c r="BP1428" s="17" t="s">
        <v>138</v>
      </c>
      <c r="BQ1428" s="15" t="s">
        <v>138</v>
      </c>
      <c r="BR1428" s="15" t="s">
        <v>234</v>
      </c>
      <c r="BS1428" s="15" t="s">
        <v>234</v>
      </c>
      <c r="BT1428" s="15" t="s">
        <v>138</v>
      </c>
      <c r="BU1428" s="15" t="s">
        <v>263</v>
      </c>
      <c r="BV1428" s="15" t="s">
        <v>138</v>
      </c>
      <c r="BW1428" s="15" t="s">
        <v>138</v>
      </c>
      <c r="BX1428" s="15" t="s">
        <v>138</v>
      </c>
      <c r="BY1428" s="15" t="s">
        <v>175</v>
      </c>
      <c r="BZ1428" s="22">
        <v>43571</v>
      </c>
      <c r="CA1428" s="17" t="s">
        <v>138</v>
      </c>
      <c r="CB1428" s="15" t="s">
        <v>138</v>
      </c>
      <c r="CC1428" s="17" t="s">
        <v>138</v>
      </c>
      <c r="CD1428" s="15" t="s">
        <v>138</v>
      </c>
      <c r="CE1428" s="15" t="s">
        <v>780</v>
      </c>
      <c r="CF1428" s="15" t="s">
        <v>780</v>
      </c>
      <c r="CG1428" s="15" t="s">
        <v>138</v>
      </c>
      <c r="CH1428" s="15" t="s">
        <v>780</v>
      </c>
      <c r="CI1428" s="15" t="s">
        <v>138</v>
      </c>
      <c r="CJ1428" s="15" t="s">
        <v>138</v>
      </c>
      <c r="CK1428" s="15" t="s">
        <v>138</v>
      </c>
      <c r="CL1428" s="15" t="s">
        <v>175</v>
      </c>
      <c r="CM1428" s="22" t="s">
        <v>138</v>
      </c>
      <c r="CN1428" s="17" t="s">
        <v>138</v>
      </c>
      <c r="CO1428" s="23">
        <v>-0.36</v>
      </c>
      <c r="CP1428" s="24">
        <v>18</v>
      </c>
      <c r="CQ1428" s="23">
        <v>0.03</v>
      </c>
      <c r="CR1428" s="23">
        <v>8.4700000000000006</v>
      </c>
      <c r="CS1428" s="23">
        <v>-0.36</v>
      </c>
      <c r="CT1428" s="24">
        <v>20</v>
      </c>
      <c r="CU1428" s="23" t="s">
        <v>138</v>
      </c>
      <c r="CV1428" s="24" t="s">
        <v>138</v>
      </c>
      <c r="CW1428" s="23">
        <v>0</v>
      </c>
      <c r="CX1428" s="24">
        <v>13</v>
      </c>
      <c r="CY1428" s="23">
        <v>-0.71</v>
      </c>
      <c r="CZ1428" s="24">
        <v>21</v>
      </c>
      <c r="DA1428" s="23" t="s">
        <v>138</v>
      </c>
      <c r="DB1428" s="24" t="s">
        <v>138</v>
      </c>
      <c r="DC1428" s="25">
        <v>7.1</v>
      </c>
      <c r="DD1428" s="24">
        <v>87</v>
      </c>
      <c r="DE1428" s="25">
        <v>-0.1</v>
      </c>
      <c r="DF1428" s="23">
        <v>-1.32</v>
      </c>
      <c r="DG1428" s="25">
        <v>7.1</v>
      </c>
      <c r="DH1428" s="24">
        <v>86</v>
      </c>
      <c r="DI1428" s="25" t="s">
        <v>138</v>
      </c>
      <c r="DJ1428" s="24" t="s">
        <v>138</v>
      </c>
      <c r="DK1428" s="25">
        <v>1.48</v>
      </c>
      <c r="DL1428" s="24">
        <v>58</v>
      </c>
      <c r="DM1428" s="25">
        <v>12.72</v>
      </c>
      <c r="DN1428" s="24">
        <v>91</v>
      </c>
      <c r="DO1428" s="25" t="s">
        <v>138</v>
      </c>
      <c r="DP1428" s="24" t="s">
        <v>138</v>
      </c>
      <c r="DQ1428" s="24">
        <v>486</v>
      </c>
      <c r="DR1428" s="26">
        <v>69</v>
      </c>
      <c r="DS1428" s="23">
        <v>16.55</v>
      </c>
      <c r="DT1428" s="24">
        <v>369</v>
      </c>
      <c r="DU1428" s="26">
        <v>1</v>
      </c>
      <c r="DV1428" s="23">
        <v>0.27</v>
      </c>
      <c r="DW1428" s="24" t="s">
        <v>138</v>
      </c>
      <c r="DX1428" s="27" t="s">
        <v>138</v>
      </c>
      <c r="DY1428" s="23" t="s">
        <v>138</v>
      </c>
      <c r="DZ1428" s="15" t="s">
        <v>178</v>
      </c>
      <c r="EA1428" s="22">
        <v>43607</v>
      </c>
      <c r="EB1428" s="17">
        <v>251</v>
      </c>
      <c r="EC1428" s="22">
        <v>43313</v>
      </c>
      <c r="ED1428" s="15" t="s">
        <v>173</v>
      </c>
      <c r="EE1428" s="14" t="str">
        <f>HYPERLINK("https://my.pitchbook.com?c=51224-41", "View company online")</f>
        <v>View company online</v>
      </c>
    </row>
    <row r="1429" spans="1:135">
      <c r="A1429" s="28" t="s">
        <v>27488</v>
      </c>
      <c r="B1429" s="28" t="s">
        <v>27489</v>
      </c>
      <c r="C1429" s="28" t="s">
        <v>138</v>
      </c>
      <c r="D1429" s="28" t="s">
        <v>138</v>
      </c>
      <c r="E1429" s="28" t="s">
        <v>138</v>
      </c>
      <c r="F1429" s="28" t="s">
        <v>27488</v>
      </c>
      <c r="G1429" s="28" t="s">
        <v>27490</v>
      </c>
      <c r="H1429" s="28" t="s">
        <v>322</v>
      </c>
      <c r="I1429" s="28" t="s">
        <v>1503</v>
      </c>
      <c r="J1429" s="28" t="s">
        <v>1836</v>
      </c>
      <c r="K1429" s="28" t="s">
        <v>27491</v>
      </c>
      <c r="L1429" s="28" t="s">
        <v>359</v>
      </c>
      <c r="M1429" s="28" t="s">
        <v>27492</v>
      </c>
      <c r="N1429" s="28" t="s">
        <v>147</v>
      </c>
      <c r="O1429" s="29">
        <v>5</v>
      </c>
      <c r="P1429" s="28" t="s">
        <v>610</v>
      </c>
      <c r="Q1429" s="28" t="s">
        <v>149</v>
      </c>
      <c r="R1429" s="28" t="s">
        <v>174</v>
      </c>
      <c r="S1429" s="28" t="s">
        <v>27493</v>
      </c>
      <c r="T1429" s="30" t="s">
        <v>138</v>
      </c>
      <c r="U1429" s="28" t="s">
        <v>138</v>
      </c>
      <c r="V1429" s="28" t="s">
        <v>138</v>
      </c>
      <c r="W1429" s="28" t="s">
        <v>138</v>
      </c>
      <c r="X1429" s="31">
        <v>2004</v>
      </c>
      <c r="Y1429" s="28" t="s">
        <v>138</v>
      </c>
      <c r="Z1429" s="28" t="s">
        <v>138</v>
      </c>
      <c r="AA1429" s="28" t="s">
        <v>138</v>
      </c>
      <c r="AB1429" s="32" t="s">
        <v>138</v>
      </c>
      <c r="AC1429" s="32" t="s">
        <v>138</v>
      </c>
      <c r="AD1429" s="32" t="s">
        <v>138</v>
      </c>
      <c r="AE1429" s="32" t="s">
        <v>138</v>
      </c>
      <c r="AF1429" s="32" t="s">
        <v>138</v>
      </c>
      <c r="AG1429" s="28" t="s">
        <v>138</v>
      </c>
      <c r="AH1429" s="32" t="s">
        <v>138</v>
      </c>
      <c r="AI1429" s="32" t="s">
        <v>138</v>
      </c>
      <c r="AJ1429" s="32" t="s">
        <v>138</v>
      </c>
      <c r="AK1429" s="28" t="s">
        <v>27494</v>
      </c>
      <c r="AL1429" s="28" t="s">
        <v>27495</v>
      </c>
      <c r="AM1429" s="28" t="s">
        <v>566</v>
      </c>
      <c r="AN1429" s="28" t="s">
        <v>27496</v>
      </c>
      <c r="AO1429" s="28" t="s">
        <v>27497</v>
      </c>
      <c r="AP1429" s="28" t="s">
        <v>27498</v>
      </c>
      <c r="AQ1429" s="28" t="s">
        <v>27499</v>
      </c>
      <c r="AR1429" s="28" t="s">
        <v>27500</v>
      </c>
      <c r="AS1429" s="28" t="s">
        <v>27501</v>
      </c>
      <c r="AT1429" s="28" t="s">
        <v>27502</v>
      </c>
      <c r="AU1429" s="28" t="s">
        <v>27503</v>
      </c>
      <c r="AV1429" s="28" t="s">
        <v>2071</v>
      </c>
      <c r="AW1429" s="28" t="s">
        <v>27497</v>
      </c>
      <c r="AX1429" s="28" t="s">
        <v>27504</v>
      </c>
      <c r="AY1429" s="28" t="s">
        <v>27505</v>
      </c>
      <c r="AZ1429" s="28" t="s">
        <v>452</v>
      </c>
      <c r="BA1429" s="28" t="s">
        <v>453</v>
      </c>
      <c r="BB1429" s="28" t="s">
        <v>27506</v>
      </c>
      <c r="BC1429" s="28" t="s">
        <v>2075</v>
      </c>
      <c r="BD1429" s="33">
        <v>1</v>
      </c>
      <c r="BE1429" s="28" t="s">
        <v>138</v>
      </c>
      <c r="BF1429" s="28" t="s">
        <v>138</v>
      </c>
      <c r="BG1429" s="28" t="s">
        <v>138</v>
      </c>
      <c r="BH1429" s="28" t="s">
        <v>2077</v>
      </c>
      <c r="BI1429" s="28" t="s">
        <v>138</v>
      </c>
      <c r="BJ1429" s="28" t="s">
        <v>138</v>
      </c>
      <c r="BK1429" s="28" t="s">
        <v>138</v>
      </c>
      <c r="BL1429" s="28" t="s">
        <v>138</v>
      </c>
      <c r="BM1429" s="34">
        <v>38718</v>
      </c>
      <c r="BN1429" s="29">
        <v>5</v>
      </c>
      <c r="BO1429" s="28" t="s">
        <v>172</v>
      </c>
      <c r="BP1429" s="29" t="s">
        <v>138</v>
      </c>
      <c r="BQ1429" s="28" t="s">
        <v>138</v>
      </c>
      <c r="BR1429" s="28" t="s">
        <v>205</v>
      </c>
      <c r="BS1429" s="28" t="s">
        <v>138</v>
      </c>
      <c r="BT1429" s="28" t="s">
        <v>138</v>
      </c>
      <c r="BU1429" s="28" t="s">
        <v>174</v>
      </c>
      <c r="BV1429" s="28" t="s">
        <v>138</v>
      </c>
      <c r="BW1429" s="28" t="s">
        <v>138</v>
      </c>
      <c r="BX1429" s="28" t="s">
        <v>138</v>
      </c>
      <c r="BY1429" s="28" t="s">
        <v>175</v>
      </c>
      <c r="BZ1429" s="34">
        <v>39448</v>
      </c>
      <c r="CA1429" s="29">
        <v>5</v>
      </c>
      <c r="CB1429" s="28" t="s">
        <v>172</v>
      </c>
      <c r="CC1429" s="29" t="s">
        <v>138</v>
      </c>
      <c r="CD1429" s="28" t="s">
        <v>138</v>
      </c>
      <c r="CE1429" s="28" t="s">
        <v>176</v>
      </c>
      <c r="CF1429" s="28" t="s">
        <v>138</v>
      </c>
      <c r="CG1429" s="28" t="s">
        <v>138</v>
      </c>
      <c r="CH1429" s="28" t="s">
        <v>177</v>
      </c>
      <c r="CI1429" s="28" t="s">
        <v>138</v>
      </c>
      <c r="CJ1429" s="28" t="s">
        <v>138</v>
      </c>
      <c r="CK1429" s="28" t="s">
        <v>138</v>
      </c>
      <c r="CL1429" s="28" t="s">
        <v>175</v>
      </c>
      <c r="CM1429" s="34" t="s">
        <v>138</v>
      </c>
      <c r="CN1429" s="29" t="s">
        <v>138</v>
      </c>
      <c r="CO1429" s="35">
        <v>0</v>
      </c>
      <c r="CP1429" s="36">
        <v>26</v>
      </c>
      <c r="CQ1429" s="35">
        <v>0</v>
      </c>
      <c r="CR1429" s="35">
        <v>0</v>
      </c>
      <c r="CS1429" s="35">
        <v>0</v>
      </c>
      <c r="CT1429" s="36">
        <v>23</v>
      </c>
      <c r="CU1429" s="35" t="s">
        <v>138</v>
      </c>
      <c r="CV1429" s="36" t="s">
        <v>138</v>
      </c>
      <c r="CW1429" s="35" t="s">
        <v>138</v>
      </c>
      <c r="CX1429" s="36" t="s">
        <v>138</v>
      </c>
      <c r="CY1429" s="35">
        <v>0</v>
      </c>
      <c r="CZ1429" s="36">
        <v>25</v>
      </c>
      <c r="DA1429" s="35" t="s">
        <v>138</v>
      </c>
      <c r="DB1429" s="36" t="s">
        <v>138</v>
      </c>
      <c r="DC1429" s="37">
        <v>0.34</v>
      </c>
      <c r="DD1429" s="36">
        <v>25</v>
      </c>
      <c r="DE1429" s="37">
        <v>0</v>
      </c>
      <c r="DF1429" s="35">
        <v>0</v>
      </c>
      <c r="DG1429" s="37">
        <v>0.34</v>
      </c>
      <c r="DH1429" s="36">
        <v>25</v>
      </c>
      <c r="DI1429" s="37" t="s">
        <v>138</v>
      </c>
      <c r="DJ1429" s="36" t="s">
        <v>138</v>
      </c>
      <c r="DK1429" s="37" t="s">
        <v>138</v>
      </c>
      <c r="DL1429" s="36" t="s">
        <v>138</v>
      </c>
      <c r="DM1429" s="37">
        <v>0.34</v>
      </c>
      <c r="DN1429" s="36">
        <v>26</v>
      </c>
      <c r="DO1429" s="37" t="s">
        <v>138</v>
      </c>
      <c r="DP1429" s="36" t="s">
        <v>138</v>
      </c>
      <c r="DQ1429" s="36" t="s">
        <v>138</v>
      </c>
      <c r="DR1429" s="38" t="s">
        <v>138</v>
      </c>
      <c r="DS1429" s="35" t="s">
        <v>138</v>
      </c>
      <c r="DT1429" s="36">
        <v>10</v>
      </c>
      <c r="DU1429" s="38">
        <v>0</v>
      </c>
      <c r="DV1429" s="35">
        <v>0</v>
      </c>
      <c r="DW1429" s="36" t="s">
        <v>138</v>
      </c>
      <c r="DX1429" s="39" t="s">
        <v>138</v>
      </c>
      <c r="DY1429" s="35" t="s">
        <v>138</v>
      </c>
      <c r="DZ1429" s="28" t="s">
        <v>178</v>
      </c>
      <c r="EA1429" s="34">
        <v>43360</v>
      </c>
      <c r="EB1429" s="29" t="s">
        <v>138</v>
      </c>
      <c r="EC1429" s="34" t="s">
        <v>138</v>
      </c>
      <c r="ED1429" s="28" t="s">
        <v>138</v>
      </c>
      <c r="EE1429" s="40" t="str">
        <f>HYPERLINK("https://my.pitchbook.com?c=54826-39", "View company online")</f>
        <v>View company online</v>
      </c>
    </row>
    <row r="1430" spans="1:135">
      <c r="A1430" s="15" t="s">
        <v>27507</v>
      </c>
      <c r="B1430" s="15" t="s">
        <v>27508</v>
      </c>
      <c r="C1430" s="15" t="s">
        <v>138</v>
      </c>
      <c r="D1430" s="15" t="s">
        <v>138</v>
      </c>
      <c r="E1430" s="15" t="s">
        <v>27509</v>
      </c>
      <c r="F1430" s="15" t="s">
        <v>27507</v>
      </c>
      <c r="G1430" s="15" t="s">
        <v>27510</v>
      </c>
      <c r="H1430" s="15" t="s">
        <v>385</v>
      </c>
      <c r="I1430" s="15" t="s">
        <v>1991</v>
      </c>
      <c r="J1430" s="15" t="s">
        <v>1992</v>
      </c>
      <c r="K1430" s="15" t="s">
        <v>27511</v>
      </c>
      <c r="L1430" s="15" t="s">
        <v>1994</v>
      </c>
      <c r="M1430" s="15" t="s">
        <v>27512</v>
      </c>
      <c r="N1430" s="15" t="s">
        <v>147</v>
      </c>
      <c r="O1430" s="17">
        <v>26</v>
      </c>
      <c r="P1430" s="15" t="s">
        <v>148</v>
      </c>
      <c r="Q1430" s="15" t="s">
        <v>149</v>
      </c>
      <c r="R1430" s="15" t="s">
        <v>174</v>
      </c>
      <c r="S1430" s="15" t="s">
        <v>27513</v>
      </c>
      <c r="T1430" s="18">
        <v>11</v>
      </c>
      <c r="U1430" s="15" t="s">
        <v>27514</v>
      </c>
      <c r="V1430" s="15" t="s">
        <v>138</v>
      </c>
      <c r="W1430" s="15" t="s">
        <v>138</v>
      </c>
      <c r="X1430" s="19">
        <v>2008</v>
      </c>
      <c r="Y1430" s="15" t="s">
        <v>138</v>
      </c>
      <c r="Z1430" s="15" t="s">
        <v>138</v>
      </c>
      <c r="AA1430" s="15" t="s">
        <v>138</v>
      </c>
      <c r="AB1430" s="20" t="s">
        <v>138</v>
      </c>
      <c r="AC1430" s="20" t="s">
        <v>138</v>
      </c>
      <c r="AD1430" s="20" t="s">
        <v>138</v>
      </c>
      <c r="AE1430" s="20" t="s">
        <v>138</v>
      </c>
      <c r="AF1430" s="20" t="s">
        <v>138</v>
      </c>
      <c r="AG1430" s="15" t="s">
        <v>138</v>
      </c>
      <c r="AH1430" s="20" t="s">
        <v>138</v>
      </c>
      <c r="AI1430" s="20" t="s">
        <v>138</v>
      </c>
      <c r="AJ1430" s="20" t="s">
        <v>138</v>
      </c>
      <c r="AK1430" s="15" t="s">
        <v>27515</v>
      </c>
      <c r="AL1430" s="15" t="s">
        <v>27516</v>
      </c>
      <c r="AM1430" s="15" t="s">
        <v>249</v>
      </c>
      <c r="AN1430" s="15" t="s">
        <v>27517</v>
      </c>
      <c r="AO1430" s="15" t="s">
        <v>27518</v>
      </c>
      <c r="AP1430" s="15" t="s">
        <v>1244</v>
      </c>
      <c r="AQ1430" s="15" t="s">
        <v>27519</v>
      </c>
      <c r="AR1430" s="15" t="s">
        <v>138</v>
      </c>
      <c r="AS1430" s="15" t="s">
        <v>1246</v>
      </c>
      <c r="AT1430" s="15" t="s">
        <v>200</v>
      </c>
      <c r="AU1430" s="15" t="s">
        <v>2437</v>
      </c>
      <c r="AV1430" s="15" t="s">
        <v>162</v>
      </c>
      <c r="AW1430" s="15" t="s">
        <v>27518</v>
      </c>
      <c r="AX1430" s="15" t="s">
        <v>138</v>
      </c>
      <c r="AY1430" s="15" t="s">
        <v>27520</v>
      </c>
      <c r="AZ1430" s="15" t="s">
        <v>164</v>
      </c>
      <c r="BA1430" s="15" t="s">
        <v>165</v>
      </c>
      <c r="BB1430" s="15" t="s">
        <v>27521</v>
      </c>
      <c r="BC1430" s="15" t="s">
        <v>27522</v>
      </c>
      <c r="BD1430" s="21">
        <v>7</v>
      </c>
      <c r="BE1430" s="15" t="s">
        <v>138</v>
      </c>
      <c r="BF1430" s="15" t="s">
        <v>27523</v>
      </c>
      <c r="BG1430" s="15" t="s">
        <v>138</v>
      </c>
      <c r="BH1430" s="15" t="s">
        <v>27524</v>
      </c>
      <c r="BI1430" s="15" t="s">
        <v>27525</v>
      </c>
      <c r="BJ1430" s="15" t="s">
        <v>138</v>
      </c>
      <c r="BK1430" s="15" t="s">
        <v>3826</v>
      </c>
      <c r="BL1430" s="15" t="s">
        <v>3826</v>
      </c>
      <c r="BM1430" s="22">
        <v>40220</v>
      </c>
      <c r="BN1430" s="17">
        <v>3.5</v>
      </c>
      <c r="BO1430" s="15" t="s">
        <v>172</v>
      </c>
      <c r="BP1430" s="17">
        <v>6.99</v>
      </c>
      <c r="BQ1430" s="15" t="s">
        <v>172</v>
      </c>
      <c r="BR1430" s="15" t="s">
        <v>205</v>
      </c>
      <c r="BS1430" s="15" t="s">
        <v>206</v>
      </c>
      <c r="BT1430" s="15" t="s">
        <v>138</v>
      </c>
      <c r="BU1430" s="15" t="s">
        <v>174</v>
      </c>
      <c r="BV1430" s="15" t="s">
        <v>138</v>
      </c>
      <c r="BW1430" s="15" t="s">
        <v>138</v>
      </c>
      <c r="BX1430" s="15" t="s">
        <v>138</v>
      </c>
      <c r="BY1430" s="15" t="s">
        <v>175</v>
      </c>
      <c r="BZ1430" s="22" t="s">
        <v>138</v>
      </c>
      <c r="CA1430" s="17" t="s">
        <v>138</v>
      </c>
      <c r="CB1430" s="15" t="s">
        <v>138</v>
      </c>
      <c r="CC1430" s="17" t="s">
        <v>138</v>
      </c>
      <c r="CD1430" s="15" t="s">
        <v>138</v>
      </c>
      <c r="CE1430" s="15" t="s">
        <v>379</v>
      </c>
      <c r="CF1430" s="15" t="s">
        <v>138</v>
      </c>
      <c r="CG1430" s="15" t="s">
        <v>138</v>
      </c>
      <c r="CH1430" s="15" t="s">
        <v>174</v>
      </c>
      <c r="CI1430" s="15" t="s">
        <v>138</v>
      </c>
      <c r="CJ1430" s="15" t="s">
        <v>138</v>
      </c>
      <c r="CK1430" s="15" t="s">
        <v>138</v>
      </c>
      <c r="CL1430" s="15" t="s">
        <v>175</v>
      </c>
      <c r="CM1430" s="22" t="s">
        <v>138</v>
      </c>
      <c r="CN1430" s="17" t="s">
        <v>138</v>
      </c>
      <c r="CO1430" s="23">
        <v>0.26</v>
      </c>
      <c r="CP1430" s="24">
        <v>93</v>
      </c>
      <c r="CQ1430" s="23">
        <v>0</v>
      </c>
      <c r="CR1430" s="23">
        <v>0</v>
      </c>
      <c r="CS1430" s="23">
        <v>0</v>
      </c>
      <c r="CT1430" s="24">
        <v>23</v>
      </c>
      <c r="CU1430" s="23">
        <v>0.51</v>
      </c>
      <c r="CV1430" s="24">
        <v>94</v>
      </c>
      <c r="CW1430" s="23" t="s">
        <v>138</v>
      </c>
      <c r="CX1430" s="24" t="s">
        <v>138</v>
      </c>
      <c r="CY1430" s="23">
        <v>0</v>
      </c>
      <c r="CZ1430" s="24">
        <v>25</v>
      </c>
      <c r="DA1430" s="23">
        <v>0.51</v>
      </c>
      <c r="DB1430" s="24">
        <v>94</v>
      </c>
      <c r="DC1430" s="25">
        <v>0.88</v>
      </c>
      <c r="DD1430" s="24">
        <v>48</v>
      </c>
      <c r="DE1430" s="25">
        <v>0</v>
      </c>
      <c r="DF1430" s="23">
        <v>0.13</v>
      </c>
      <c r="DG1430" s="25">
        <v>1.34</v>
      </c>
      <c r="DH1430" s="24">
        <v>58</v>
      </c>
      <c r="DI1430" s="25">
        <v>0.42</v>
      </c>
      <c r="DJ1430" s="24">
        <v>33</v>
      </c>
      <c r="DK1430" s="25" t="s">
        <v>138</v>
      </c>
      <c r="DL1430" s="24" t="s">
        <v>138</v>
      </c>
      <c r="DM1430" s="25">
        <v>1.34</v>
      </c>
      <c r="DN1430" s="24">
        <v>57</v>
      </c>
      <c r="DO1430" s="25">
        <v>0.42</v>
      </c>
      <c r="DP1430" s="24">
        <v>35</v>
      </c>
      <c r="DQ1430" s="24" t="s">
        <v>138</v>
      </c>
      <c r="DR1430" s="26" t="s">
        <v>138</v>
      </c>
      <c r="DS1430" s="23" t="s">
        <v>138</v>
      </c>
      <c r="DT1430" s="24">
        <v>39</v>
      </c>
      <c r="DU1430" s="26">
        <v>0</v>
      </c>
      <c r="DV1430" s="23">
        <v>0</v>
      </c>
      <c r="DW1430" s="24">
        <v>151</v>
      </c>
      <c r="DX1430" s="27">
        <v>0</v>
      </c>
      <c r="DY1430" s="23">
        <v>0</v>
      </c>
      <c r="DZ1430" s="15" t="s">
        <v>178</v>
      </c>
      <c r="EA1430" s="22">
        <v>43497</v>
      </c>
      <c r="EB1430" s="17">
        <v>32.130000000000003</v>
      </c>
      <c r="EC1430" s="22">
        <v>40962</v>
      </c>
      <c r="ED1430" s="15" t="s">
        <v>205</v>
      </c>
      <c r="EE1430" s="14" t="str">
        <f>HYPERLINK("https://my.pitchbook.com?c=53906-32", "View company online")</f>
        <v>View company online</v>
      </c>
    </row>
    <row r="1431" spans="1:135">
      <c r="A1431" s="28" t="s">
        <v>27526</v>
      </c>
      <c r="B1431" s="28" t="s">
        <v>27527</v>
      </c>
      <c r="C1431" s="28" t="s">
        <v>138</v>
      </c>
      <c r="D1431" s="28" t="s">
        <v>138</v>
      </c>
      <c r="E1431" s="28" t="s">
        <v>138</v>
      </c>
      <c r="F1431" s="28" t="s">
        <v>27526</v>
      </c>
      <c r="G1431" s="28" t="s">
        <v>27528</v>
      </c>
      <c r="H1431" s="28" t="s">
        <v>322</v>
      </c>
      <c r="I1431" s="28" t="s">
        <v>323</v>
      </c>
      <c r="J1431" s="28" t="s">
        <v>324</v>
      </c>
      <c r="K1431" s="28" t="s">
        <v>27529</v>
      </c>
      <c r="L1431" s="28" t="s">
        <v>27530</v>
      </c>
      <c r="M1431" s="28" t="s">
        <v>27531</v>
      </c>
      <c r="N1431" s="28" t="s">
        <v>147</v>
      </c>
      <c r="O1431" s="29">
        <v>4.49</v>
      </c>
      <c r="P1431" s="28" t="s">
        <v>148</v>
      </c>
      <c r="Q1431" s="28" t="s">
        <v>149</v>
      </c>
      <c r="R1431" s="28" t="s">
        <v>174</v>
      </c>
      <c r="S1431" s="28" t="s">
        <v>27532</v>
      </c>
      <c r="T1431" s="30">
        <v>10</v>
      </c>
      <c r="U1431" s="28" t="s">
        <v>6343</v>
      </c>
      <c r="V1431" s="28" t="s">
        <v>138</v>
      </c>
      <c r="W1431" s="28" t="s">
        <v>138</v>
      </c>
      <c r="X1431" s="31">
        <v>2013</v>
      </c>
      <c r="Y1431" s="28" t="s">
        <v>138</v>
      </c>
      <c r="Z1431" s="28" t="s">
        <v>138</v>
      </c>
      <c r="AA1431" s="28" t="s">
        <v>138</v>
      </c>
      <c r="AB1431" s="32">
        <v>0.78</v>
      </c>
      <c r="AC1431" s="32" t="s">
        <v>138</v>
      </c>
      <c r="AD1431" s="32" t="s">
        <v>138</v>
      </c>
      <c r="AE1431" s="32" t="s">
        <v>138</v>
      </c>
      <c r="AF1431" s="32" t="s">
        <v>138</v>
      </c>
      <c r="AG1431" s="28" t="s">
        <v>514</v>
      </c>
      <c r="AH1431" s="32" t="s">
        <v>138</v>
      </c>
      <c r="AI1431" s="32" t="s">
        <v>138</v>
      </c>
      <c r="AJ1431" s="32" t="s">
        <v>138</v>
      </c>
      <c r="AK1431" s="28" t="s">
        <v>27533</v>
      </c>
      <c r="AL1431" s="28" t="s">
        <v>27534</v>
      </c>
      <c r="AM1431" s="28" t="s">
        <v>986</v>
      </c>
      <c r="AN1431" s="28" t="s">
        <v>27535</v>
      </c>
      <c r="AO1431" s="28" t="s">
        <v>27536</v>
      </c>
      <c r="AP1431" s="28" t="s">
        <v>27537</v>
      </c>
      <c r="AQ1431" s="28" t="s">
        <v>27538</v>
      </c>
      <c r="AR1431" s="28" t="s">
        <v>27539</v>
      </c>
      <c r="AS1431" s="28" t="s">
        <v>27540</v>
      </c>
      <c r="AT1431" s="28" t="s">
        <v>138</v>
      </c>
      <c r="AU1431" s="28" t="s">
        <v>27541</v>
      </c>
      <c r="AV1431" s="28" t="s">
        <v>10418</v>
      </c>
      <c r="AW1431" s="28" t="s">
        <v>27536</v>
      </c>
      <c r="AX1431" s="28" t="s">
        <v>138</v>
      </c>
      <c r="AY1431" s="28" t="s">
        <v>27542</v>
      </c>
      <c r="AZ1431" s="28" t="s">
        <v>530</v>
      </c>
      <c r="BA1431" s="28" t="s">
        <v>531</v>
      </c>
      <c r="BB1431" s="28" t="s">
        <v>27543</v>
      </c>
      <c r="BC1431" s="28" t="s">
        <v>27544</v>
      </c>
      <c r="BD1431" s="33">
        <v>5</v>
      </c>
      <c r="BE1431" s="28" t="s">
        <v>138</v>
      </c>
      <c r="BF1431" s="28" t="s">
        <v>138</v>
      </c>
      <c r="BG1431" s="28" t="s">
        <v>138</v>
      </c>
      <c r="BH1431" s="28" t="s">
        <v>27545</v>
      </c>
      <c r="BI1431" s="28" t="s">
        <v>138</v>
      </c>
      <c r="BJ1431" s="28" t="s">
        <v>138</v>
      </c>
      <c r="BK1431" s="28" t="s">
        <v>138</v>
      </c>
      <c r="BL1431" s="28" t="s">
        <v>27546</v>
      </c>
      <c r="BM1431" s="34">
        <v>41791</v>
      </c>
      <c r="BN1431" s="29" t="s">
        <v>138</v>
      </c>
      <c r="BO1431" s="28" t="s">
        <v>138</v>
      </c>
      <c r="BP1431" s="29" t="s">
        <v>138</v>
      </c>
      <c r="BQ1431" s="28" t="s">
        <v>138</v>
      </c>
      <c r="BR1431" s="28" t="s">
        <v>316</v>
      </c>
      <c r="BS1431" s="28" t="s">
        <v>138</v>
      </c>
      <c r="BT1431" s="28" t="s">
        <v>138</v>
      </c>
      <c r="BU1431" s="28" t="s">
        <v>177</v>
      </c>
      <c r="BV1431" s="28" t="s">
        <v>138</v>
      </c>
      <c r="BW1431" s="28" t="s">
        <v>138</v>
      </c>
      <c r="BX1431" s="28" t="s">
        <v>138</v>
      </c>
      <c r="BY1431" s="28" t="s">
        <v>175</v>
      </c>
      <c r="BZ1431" s="34">
        <v>42844</v>
      </c>
      <c r="CA1431" s="29">
        <v>4.49</v>
      </c>
      <c r="CB1431" s="28" t="s">
        <v>172</v>
      </c>
      <c r="CC1431" s="29" t="s">
        <v>138</v>
      </c>
      <c r="CD1431" s="28" t="s">
        <v>138</v>
      </c>
      <c r="CE1431" s="28" t="s">
        <v>205</v>
      </c>
      <c r="CF1431" s="28" t="s">
        <v>138</v>
      </c>
      <c r="CG1431" s="28" t="s">
        <v>138</v>
      </c>
      <c r="CH1431" s="28" t="s">
        <v>174</v>
      </c>
      <c r="CI1431" s="28" t="s">
        <v>138</v>
      </c>
      <c r="CJ1431" s="28" t="s">
        <v>138</v>
      </c>
      <c r="CK1431" s="28" t="s">
        <v>138</v>
      </c>
      <c r="CL1431" s="28" t="s">
        <v>175</v>
      </c>
      <c r="CM1431" s="34" t="s">
        <v>138</v>
      </c>
      <c r="CN1431" s="29" t="s">
        <v>138</v>
      </c>
      <c r="CO1431" s="35">
        <v>0</v>
      </c>
      <c r="CP1431" s="36">
        <v>26</v>
      </c>
      <c r="CQ1431" s="35">
        <v>0</v>
      </c>
      <c r="CR1431" s="35">
        <v>0</v>
      </c>
      <c r="CS1431" s="35">
        <v>0</v>
      </c>
      <c r="CT1431" s="36">
        <v>23</v>
      </c>
      <c r="CU1431" s="35" t="s">
        <v>138</v>
      </c>
      <c r="CV1431" s="36" t="s">
        <v>138</v>
      </c>
      <c r="CW1431" s="35" t="s">
        <v>138</v>
      </c>
      <c r="CX1431" s="36" t="s">
        <v>138</v>
      </c>
      <c r="CY1431" s="35">
        <v>0</v>
      </c>
      <c r="CZ1431" s="36">
        <v>25</v>
      </c>
      <c r="DA1431" s="35" t="s">
        <v>138</v>
      </c>
      <c r="DB1431" s="36" t="s">
        <v>138</v>
      </c>
      <c r="DC1431" s="37">
        <v>2.31</v>
      </c>
      <c r="DD1431" s="36">
        <v>70</v>
      </c>
      <c r="DE1431" s="37">
        <v>0</v>
      </c>
      <c r="DF1431" s="35">
        <v>0</v>
      </c>
      <c r="DG1431" s="37">
        <v>2.31</v>
      </c>
      <c r="DH1431" s="36">
        <v>70</v>
      </c>
      <c r="DI1431" s="37" t="s">
        <v>138</v>
      </c>
      <c r="DJ1431" s="36" t="s">
        <v>138</v>
      </c>
      <c r="DK1431" s="37" t="s">
        <v>138</v>
      </c>
      <c r="DL1431" s="36" t="s">
        <v>138</v>
      </c>
      <c r="DM1431" s="37">
        <v>2.31</v>
      </c>
      <c r="DN1431" s="36">
        <v>68</v>
      </c>
      <c r="DO1431" s="37" t="s">
        <v>138</v>
      </c>
      <c r="DP1431" s="36" t="s">
        <v>138</v>
      </c>
      <c r="DQ1431" s="36" t="s">
        <v>138</v>
      </c>
      <c r="DR1431" s="38" t="s">
        <v>138</v>
      </c>
      <c r="DS1431" s="35" t="s">
        <v>138</v>
      </c>
      <c r="DT1431" s="36">
        <v>67</v>
      </c>
      <c r="DU1431" s="38">
        <v>0</v>
      </c>
      <c r="DV1431" s="35">
        <v>0</v>
      </c>
      <c r="DW1431" s="36" t="s">
        <v>138</v>
      </c>
      <c r="DX1431" s="39" t="s">
        <v>138</v>
      </c>
      <c r="DY1431" s="35" t="s">
        <v>138</v>
      </c>
      <c r="DZ1431" s="28" t="s">
        <v>178</v>
      </c>
      <c r="EA1431" s="34">
        <v>43573</v>
      </c>
      <c r="EB1431" s="29" t="s">
        <v>138</v>
      </c>
      <c r="EC1431" s="34" t="s">
        <v>138</v>
      </c>
      <c r="ED1431" s="28" t="s">
        <v>138</v>
      </c>
      <c r="EE1431" s="40" t="str">
        <f>HYPERLINK("https://my.pitchbook.com?c=161885-35", "View company online")</f>
        <v>View company online</v>
      </c>
    </row>
    <row r="1432" spans="1:135">
      <c r="A1432" s="15" t="s">
        <v>27547</v>
      </c>
      <c r="B1432" s="15" t="s">
        <v>27548</v>
      </c>
      <c r="C1432" s="15" t="s">
        <v>138</v>
      </c>
      <c r="D1432" s="15" t="s">
        <v>138</v>
      </c>
      <c r="E1432" s="15" t="s">
        <v>27549</v>
      </c>
      <c r="F1432" s="15" t="s">
        <v>27547</v>
      </c>
      <c r="G1432" s="15" t="s">
        <v>27550</v>
      </c>
      <c r="H1432" s="15" t="s">
        <v>238</v>
      </c>
      <c r="I1432" s="15" t="s">
        <v>1351</v>
      </c>
      <c r="J1432" s="15" t="s">
        <v>1352</v>
      </c>
      <c r="K1432" s="15" t="s">
        <v>27551</v>
      </c>
      <c r="L1432" s="15" t="s">
        <v>11919</v>
      </c>
      <c r="M1432" s="15" t="s">
        <v>27552</v>
      </c>
      <c r="N1432" s="15" t="s">
        <v>147</v>
      </c>
      <c r="O1432" s="17">
        <v>5.27</v>
      </c>
      <c r="P1432" s="15" t="s">
        <v>148</v>
      </c>
      <c r="Q1432" s="15" t="s">
        <v>149</v>
      </c>
      <c r="R1432" s="15" t="s">
        <v>174</v>
      </c>
      <c r="S1432" s="15" t="s">
        <v>27553</v>
      </c>
      <c r="T1432" s="18">
        <v>13</v>
      </c>
      <c r="U1432" s="15" t="s">
        <v>27554</v>
      </c>
      <c r="V1432" s="15" t="s">
        <v>138</v>
      </c>
      <c r="W1432" s="15" t="s">
        <v>138</v>
      </c>
      <c r="X1432" s="19">
        <v>2014</v>
      </c>
      <c r="Y1432" s="15" t="s">
        <v>138</v>
      </c>
      <c r="Z1432" s="15" t="s">
        <v>138</v>
      </c>
      <c r="AA1432" s="15" t="s">
        <v>138</v>
      </c>
      <c r="AB1432" s="20">
        <v>0.06</v>
      </c>
      <c r="AC1432" s="20" t="s">
        <v>138</v>
      </c>
      <c r="AD1432" s="20">
        <v>-0.16</v>
      </c>
      <c r="AE1432" s="20" t="s">
        <v>138</v>
      </c>
      <c r="AF1432" s="20" t="s">
        <v>138</v>
      </c>
      <c r="AG1432" s="15" t="s">
        <v>707</v>
      </c>
      <c r="AH1432" s="20" t="s">
        <v>138</v>
      </c>
      <c r="AI1432" s="20" t="s">
        <v>138</v>
      </c>
      <c r="AJ1432" s="20" t="s">
        <v>138</v>
      </c>
      <c r="AK1432" s="15" t="s">
        <v>27555</v>
      </c>
      <c r="AL1432" s="15" t="s">
        <v>27556</v>
      </c>
      <c r="AM1432" s="15" t="s">
        <v>566</v>
      </c>
      <c r="AN1432" s="15" t="s">
        <v>27557</v>
      </c>
      <c r="AO1432" s="15" t="s">
        <v>27558</v>
      </c>
      <c r="AP1432" s="15" t="s">
        <v>4347</v>
      </c>
      <c r="AQ1432" s="15" t="s">
        <v>27559</v>
      </c>
      <c r="AR1432" s="15" t="s">
        <v>27560</v>
      </c>
      <c r="AS1432" s="15" t="s">
        <v>4349</v>
      </c>
      <c r="AT1432" s="15" t="s">
        <v>27561</v>
      </c>
      <c r="AU1432" s="15" t="s">
        <v>27562</v>
      </c>
      <c r="AV1432" s="15" t="s">
        <v>1054</v>
      </c>
      <c r="AW1432" s="15" t="s">
        <v>27558</v>
      </c>
      <c r="AX1432" s="15" t="s">
        <v>138</v>
      </c>
      <c r="AY1432" s="15" t="s">
        <v>27563</v>
      </c>
      <c r="AZ1432" s="15" t="s">
        <v>530</v>
      </c>
      <c r="BA1432" s="15" t="s">
        <v>531</v>
      </c>
      <c r="BB1432" s="15" t="s">
        <v>27564</v>
      </c>
      <c r="BC1432" s="15" t="s">
        <v>27565</v>
      </c>
      <c r="BD1432" s="21">
        <v>7</v>
      </c>
      <c r="BE1432" s="15" t="s">
        <v>138</v>
      </c>
      <c r="BF1432" s="15" t="s">
        <v>138</v>
      </c>
      <c r="BG1432" s="15" t="s">
        <v>138</v>
      </c>
      <c r="BH1432" s="15" t="s">
        <v>27566</v>
      </c>
      <c r="BI1432" s="15" t="s">
        <v>138</v>
      </c>
      <c r="BJ1432" s="15" t="s">
        <v>138</v>
      </c>
      <c r="BK1432" s="15" t="s">
        <v>138</v>
      </c>
      <c r="BL1432" s="15" t="s">
        <v>27567</v>
      </c>
      <c r="BM1432" s="22">
        <v>42075</v>
      </c>
      <c r="BN1432" s="17">
        <v>2.71</v>
      </c>
      <c r="BO1432" s="15" t="s">
        <v>172</v>
      </c>
      <c r="BP1432" s="17" t="s">
        <v>138</v>
      </c>
      <c r="BQ1432" s="15" t="s">
        <v>138</v>
      </c>
      <c r="BR1432" s="15" t="s">
        <v>205</v>
      </c>
      <c r="BS1432" s="15" t="s">
        <v>206</v>
      </c>
      <c r="BT1432" s="15" t="s">
        <v>138</v>
      </c>
      <c r="BU1432" s="15" t="s">
        <v>174</v>
      </c>
      <c r="BV1432" s="15" t="s">
        <v>1328</v>
      </c>
      <c r="BW1432" s="15" t="s">
        <v>138</v>
      </c>
      <c r="BX1432" s="15" t="s">
        <v>138</v>
      </c>
      <c r="BY1432" s="15" t="s">
        <v>175</v>
      </c>
      <c r="BZ1432" s="22">
        <v>43404</v>
      </c>
      <c r="CA1432" s="17">
        <v>2.56</v>
      </c>
      <c r="CB1432" s="15" t="s">
        <v>172</v>
      </c>
      <c r="CC1432" s="17" t="s">
        <v>138</v>
      </c>
      <c r="CD1432" s="15" t="s">
        <v>138</v>
      </c>
      <c r="CE1432" s="15" t="s">
        <v>205</v>
      </c>
      <c r="CF1432" s="15" t="s">
        <v>138</v>
      </c>
      <c r="CG1432" s="15" t="s">
        <v>138</v>
      </c>
      <c r="CH1432" s="15" t="s">
        <v>174</v>
      </c>
      <c r="CI1432" s="15" t="s">
        <v>138</v>
      </c>
      <c r="CJ1432" s="15" t="s">
        <v>138</v>
      </c>
      <c r="CK1432" s="15" t="s">
        <v>138</v>
      </c>
      <c r="CL1432" s="15" t="s">
        <v>175</v>
      </c>
      <c r="CM1432" s="22">
        <v>42075</v>
      </c>
      <c r="CN1432" s="17">
        <v>0.98</v>
      </c>
      <c r="CO1432" s="23">
        <v>-1.1000000000000001</v>
      </c>
      <c r="CP1432" s="24">
        <v>10</v>
      </c>
      <c r="CQ1432" s="23">
        <v>-0.14000000000000001</v>
      </c>
      <c r="CR1432" s="23">
        <v>-14.87</v>
      </c>
      <c r="CS1432" s="23">
        <v>-2.5099999999999998</v>
      </c>
      <c r="CT1432" s="24">
        <v>7</v>
      </c>
      <c r="CU1432" s="23">
        <v>0.3</v>
      </c>
      <c r="CV1432" s="24">
        <v>87</v>
      </c>
      <c r="CW1432" s="23" t="s">
        <v>138</v>
      </c>
      <c r="CX1432" s="24" t="s">
        <v>138</v>
      </c>
      <c r="CY1432" s="23">
        <v>-2.5099999999999998</v>
      </c>
      <c r="CZ1432" s="24">
        <v>9</v>
      </c>
      <c r="DA1432" s="23">
        <v>0.3</v>
      </c>
      <c r="DB1432" s="24">
        <v>88</v>
      </c>
      <c r="DC1432" s="25">
        <v>3.01</v>
      </c>
      <c r="DD1432" s="24">
        <v>75</v>
      </c>
      <c r="DE1432" s="25">
        <v>-0.02</v>
      </c>
      <c r="DF1432" s="23">
        <v>-0.61</v>
      </c>
      <c r="DG1432" s="25">
        <v>4.97</v>
      </c>
      <c r="DH1432" s="24">
        <v>82</v>
      </c>
      <c r="DI1432" s="25">
        <v>1.05</v>
      </c>
      <c r="DJ1432" s="24">
        <v>50</v>
      </c>
      <c r="DK1432" s="25" t="s">
        <v>138</v>
      </c>
      <c r="DL1432" s="24" t="s">
        <v>138</v>
      </c>
      <c r="DM1432" s="25">
        <v>4.97</v>
      </c>
      <c r="DN1432" s="24">
        <v>81</v>
      </c>
      <c r="DO1432" s="25">
        <v>1.05</v>
      </c>
      <c r="DP1432" s="24">
        <v>51</v>
      </c>
      <c r="DQ1432" s="24" t="s">
        <v>138</v>
      </c>
      <c r="DR1432" s="26" t="s">
        <v>138</v>
      </c>
      <c r="DS1432" s="23" t="s">
        <v>138</v>
      </c>
      <c r="DT1432" s="24">
        <v>144</v>
      </c>
      <c r="DU1432" s="26">
        <v>0</v>
      </c>
      <c r="DV1432" s="23">
        <v>0</v>
      </c>
      <c r="DW1432" s="24">
        <v>376</v>
      </c>
      <c r="DX1432" s="27">
        <v>1</v>
      </c>
      <c r="DY1432" s="23">
        <v>0.27</v>
      </c>
      <c r="DZ1432" s="15" t="s">
        <v>178</v>
      </c>
      <c r="EA1432" s="22">
        <v>43448</v>
      </c>
      <c r="EB1432" s="17" t="s">
        <v>138</v>
      </c>
      <c r="EC1432" s="22" t="s">
        <v>138</v>
      </c>
      <c r="ED1432" s="15" t="s">
        <v>138</v>
      </c>
      <c r="EE1432" s="14" t="str">
        <f>HYPERLINK("https://my.pitchbook.com?c=96017-32", "View company online")</f>
        <v>View company online</v>
      </c>
    </row>
    <row r="1433" spans="1:135">
      <c r="A1433" s="28" t="s">
        <v>27568</v>
      </c>
      <c r="B1433" s="28" t="s">
        <v>27569</v>
      </c>
      <c r="C1433" s="28" t="s">
        <v>27570</v>
      </c>
      <c r="D1433" s="28" t="s">
        <v>138</v>
      </c>
      <c r="E1433" s="28" t="s">
        <v>138</v>
      </c>
      <c r="F1433" s="28" t="s">
        <v>27568</v>
      </c>
      <c r="G1433" s="28" t="s">
        <v>27571</v>
      </c>
      <c r="H1433" s="28" t="s">
        <v>141</v>
      </c>
      <c r="I1433" s="28" t="s">
        <v>212</v>
      </c>
      <c r="J1433" s="28" t="s">
        <v>2483</v>
      </c>
      <c r="K1433" s="28" t="s">
        <v>27572</v>
      </c>
      <c r="L1433" s="28" t="s">
        <v>27573</v>
      </c>
      <c r="M1433" s="28" t="s">
        <v>27574</v>
      </c>
      <c r="N1433" s="28" t="s">
        <v>147</v>
      </c>
      <c r="O1433" s="29">
        <v>198.69</v>
      </c>
      <c r="P1433" s="28" t="s">
        <v>148</v>
      </c>
      <c r="Q1433" s="28" t="s">
        <v>149</v>
      </c>
      <c r="R1433" s="28" t="s">
        <v>244</v>
      </c>
      <c r="S1433" s="28" t="s">
        <v>27575</v>
      </c>
      <c r="T1433" s="30">
        <v>106</v>
      </c>
      <c r="U1433" s="28" t="s">
        <v>27576</v>
      </c>
      <c r="V1433" s="28" t="s">
        <v>138</v>
      </c>
      <c r="W1433" s="28" t="s">
        <v>138</v>
      </c>
      <c r="X1433" s="31">
        <v>2005</v>
      </c>
      <c r="Y1433" s="28" t="s">
        <v>138</v>
      </c>
      <c r="Z1433" s="28" t="s">
        <v>138</v>
      </c>
      <c r="AA1433" s="28" t="s">
        <v>138</v>
      </c>
      <c r="AB1433" s="32">
        <v>6.67</v>
      </c>
      <c r="AC1433" s="32" t="s">
        <v>138</v>
      </c>
      <c r="AD1433" s="32">
        <v>-14.54</v>
      </c>
      <c r="AE1433" s="32" t="s">
        <v>138</v>
      </c>
      <c r="AF1433" s="32" t="s">
        <v>138</v>
      </c>
      <c r="AG1433" s="28" t="s">
        <v>2900</v>
      </c>
      <c r="AH1433" s="32" t="s">
        <v>138</v>
      </c>
      <c r="AI1433" s="32" t="s">
        <v>138</v>
      </c>
      <c r="AJ1433" s="32" t="s">
        <v>138</v>
      </c>
      <c r="AK1433" s="28" t="s">
        <v>27577</v>
      </c>
      <c r="AL1433" s="28" t="s">
        <v>27578</v>
      </c>
      <c r="AM1433" s="28" t="s">
        <v>221</v>
      </c>
      <c r="AN1433" s="28" t="s">
        <v>27579</v>
      </c>
      <c r="AO1433" s="28" t="s">
        <v>138</v>
      </c>
      <c r="AP1433" s="28" t="s">
        <v>3817</v>
      </c>
      <c r="AQ1433" s="28" t="s">
        <v>27580</v>
      </c>
      <c r="AR1433" s="28" t="s">
        <v>158</v>
      </c>
      <c r="AS1433" s="28" t="s">
        <v>3820</v>
      </c>
      <c r="AT1433" s="28" t="s">
        <v>864</v>
      </c>
      <c r="AU1433" s="28" t="s">
        <v>4311</v>
      </c>
      <c r="AV1433" s="28" t="s">
        <v>162</v>
      </c>
      <c r="AW1433" s="28" t="s">
        <v>27581</v>
      </c>
      <c r="AX1433" s="28" t="s">
        <v>27582</v>
      </c>
      <c r="AY1433" s="28" t="s">
        <v>27583</v>
      </c>
      <c r="AZ1433" s="28" t="s">
        <v>164</v>
      </c>
      <c r="BA1433" s="28" t="s">
        <v>165</v>
      </c>
      <c r="BB1433" s="28" t="s">
        <v>27584</v>
      </c>
      <c r="BC1433" s="28" t="s">
        <v>27585</v>
      </c>
      <c r="BD1433" s="33">
        <v>17</v>
      </c>
      <c r="BE1433" s="28" t="s">
        <v>138</v>
      </c>
      <c r="BF1433" s="28" t="s">
        <v>27586</v>
      </c>
      <c r="BG1433" s="28" t="s">
        <v>138</v>
      </c>
      <c r="BH1433" s="28" t="s">
        <v>27587</v>
      </c>
      <c r="BI1433" s="28" t="s">
        <v>27588</v>
      </c>
      <c r="BJ1433" s="28" t="s">
        <v>138</v>
      </c>
      <c r="BK1433" s="28" t="s">
        <v>27589</v>
      </c>
      <c r="BL1433" s="28" t="s">
        <v>27590</v>
      </c>
      <c r="BM1433" s="34">
        <v>38777</v>
      </c>
      <c r="BN1433" s="29">
        <v>4</v>
      </c>
      <c r="BO1433" s="28" t="s">
        <v>172</v>
      </c>
      <c r="BP1433" s="29">
        <v>8</v>
      </c>
      <c r="BQ1433" s="28" t="s">
        <v>172</v>
      </c>
      <c r="BR1433" s="28" t="s">
        <v>205</v>
      </c>
      <c r="BS1433" s="28" t="s">
        <v>206</v>
      </c>
      <c r="BT1433" s="28" t="s">
        <v>138</v>
      </c>
      <c r="BU1433" s="28" t="s">
        <v>174</v>
      </c>
      <c r="BV1433" s="28" t="s">
        <v>138</v>
      </c>
      <c r="BW1433" s="28" t="s">
        <v>138</v>
      </c>
      <c r="BX1433" s="28" t="s">
        <v>138</v>
      </c>
      <c r="BY1433" s="28" t="s">
        <v>175</v>
      </c>
      <c r="BZ1433" s="34" t="s">
        <v>138</v>
      </c>
      <c r="CA1433" s="29" t="s">
        <v>138</v>
      </c>
      <c r="CB1433" s="28" t="s">
        <v>138</v>
      </c>
      <c r="CC1433" s="29" t="s">
        <v>138</v>
      </c>
      <c r="CD1433" s="28" t="s">
        <v>138</v>
      </c>
      <c r="CE1433" s="28" t="s">
        <v>379</v>
      </c>
      <c r="CF1433" s="28" t="s">
        <v>138</v>
      </c>
      <c r="CG1433" s="28" t="s">
        <v>138</v>
      </c>
      <c r="CH1433" s="28" t="s">
        <v>174</v>
      </c>
      <c r="CI1433" s="28" t="s">
        <v>138</v>
      </c>
      <c r="CJ1433" s="28" t="s">
        <v>138</v>
      </c>
      <c r="CK1433" s="28" t="s">
        <v>138</v>
      </c>
      <c r="CL1433" s="28" t="s">
        <v>175</v>
      </c>
      <c r="CM1433" s="34">
        <v>39520</v>
      </c>
      <c r="CN1433" s="29">
        <v>20</v>
      </c>
      <c r="CO1433" s="35">
        <v>0</v>
      </c>
      <c r="CP1433" s="36">
        <v>26</v>
      </c>
      <c r="CQ1433" s="35">
        <v>0</v>
      </c>
      <c r="CR1433" s="35">
        <v>0</v>
      </c>
      <c r="CS1433" s="35">
        <v>0</v>
      </c>
      <c r="CT1433" s="36">
        <v>23</v>
      </c>
      <c r="CU1433" s="35" t="s">
        <v>138</v>
      </c>
      <c r="CV1433" s="36" t="s">
        <v>138</v>
      </c>
      <c r="CW1433" s="35" t="s">
        <v>138</v>
      </c>
      <c r="CX1433" s="36" t="s">
        <v>138</v>
      </c>
      <c r="CY1433" s="35">
        <v>0</v>
      </c>
      <c r="CZ1433" s="36">
        <v>25</v>
      </c>
      <c r="DA1433" s="35" t="s">
        <v>138</v>
      </c>
      <c r="DB1433" s="36" t="s">
        <v>138</v>
      </c>
      <c r="DC1433" s="37">
        <v>0.24</v>
      </c>
      <c r="DD1433" s="36">
        <v>18</v>
      </c>
      <c r="DE1433" s="37">
        <v>0</v>
      </c>
      <c r="DF1433" s="35">
        <v>0</v>
      </c>
      <c r="DG1433" s="37">
        <v>0.24</v>
      </c>
      <c r="DH1433" s="36">
        <v>18</v>
      </c>
      <c r="DI1433" s="37" t="s">
        <v>138</v>
      </c>
      <c r="DJ1433" s="36" t="s">
        <v>138</v>
      </c>
      <c r="DK1433" s="37" t="s">
        <v>138</v>
      </c>
      <c r="DL1433" s="36" t="s">
        <v>138</v>
      </c>
      <c r="DM1433" s="37">
        <v>0.24</v>
      </c>
      <c r="DN1433" s="36">
        <v>19</v>
      </c>
      <c r="DO1433" s="37" t="s">
        <v>138</v>
      </c>
      <c r="DP1433" s="36" t="s">
        <v>138</v>
      </c>
      <c r="DQ1433" s="36" t="s">
        <v>138</v>
      </c>
      <c r="DR1433" s="38" t="s">
        <v>138</v>
      </c>
      <c r="DS1433" s="35" t="s">
        <v>138</v>
      </c>
      <c r="DT1433" s="36">
        <v>7</v>
      </c>
      <c r="DU1433" s="38">
        <v>0</v>
      </c>
      <c r="DV1433" s="35">
        <v>0</v>
      </c>
      <c r="DW1433" s="36" t="s">
        <v>138</v>
      </c>
      <c r="DX1433" s="39" t="s">
        <v>138</v>
      </c>
      <c r="DY1433" s="35" t="s">
        <v>138</v>
      </c>
      <c r="DZ1433" s="28" t="s">
        <v>178</v>
      </c>
      <c r="EA1433" s="34">
        <v>43607</v>
      </c>
      <c r="EB1433" s="29">
        <v>227.77</v>
      </c>
      <c r="EC1433" s="34">
        <v>40550</v>
      </c>
      <c r="ED1433" s="28" t="s">
        <v>173</v>
      </c>
      <c r="EE1433" s="40" t="str">
        <f>HYPERLINK("https://my.pitchbook.com?c=42185-89", "View company online")</f>
        <v>View company online</v>
      </c>
    </row>
    <row r="1434" spans="1:135">
      <c r="A1434" s="15" t="s">
        <v>27591</v>
      </c>
      <c r="B1434" s="15" t="s">
        <v>27592</v>
      </c>
      <c r="C1434" s="15" t="s">
        <v>138</v>
      </c>
      <c r="D1434" s="15" t="s">
        <v>27593</v>
      </c>
      <c r="E1434" s="15" t="s">
        <v>138</v>
      </c>
      <c r="F1434" s="15" t="s">
        <v>27591</v>
      </c>
      <c r="G1434" s="15" t="s">
        <v>27594</v>
      </c>
      <c r="H1434" s="15" t="s">
        <v>385</v>
      </c>
      <c r="I1434" s="15" t="s">
        <v>1991</v>
      </c>
      <c r="J1434" s="15" t="s">
        <v>27595</v>
      </c>
      <c r="K1434" s="15" t="s">
        <v>27596</v>
      </c>
      <c r="L1434" s="15" t="s">
        <v>560</v>
      </c>
      <c r="M1434" s="15" t="s">
        <v>27597</v>
      </c>
      <c r="N1434" s="15" t="s">
        <v>1452</v>
      </c>
      <c r="O1434" s="17">
        <v>36.51</v>
      </c>
      <c r="P1434" s="15" t="s">
        <v>148</v>
      </c>
      <c r="Q1434" s="15" t="s">
        <v>149</v>
      </c>
      <c r="R1434" s="15" t="s">
        <v>351</v>
      </c>
      <c r="S1434" s="15" t="s">
        <v>27598</v>
      </c>
      <c r="T1434" s="18">
        <v>40</v>
      </c>
      <c r="U1434" s="15" t="s">
        <v>27599</v>
      </c>
      <c r="V1434" s="15" t="s">
        <v>138</v>
      </c>
      <c r="W1434" s="15" t="s">
        <v>138</v>
      </c>
      <c r="X1434" s="19">
        <v>2006</v>
      </c>
      <c r="Y1434" s="15" t="s">
        <v>138</v>
      </c>
      <c r="Z1434" s="15" t="s">
        <v>138</v>
      </c>
      <c r="AA1434" s="15" t="s">
        <v>138</v>
      </c>
      <c r="AB1434" s="20" t="s">
        <v>138</v>
      </c>
      <c r="AC1434" s="20" t="s">
        <v>138</v>
      </c>
      <c r="AD1434" s="20" t="s">
        <v>138</v>
      </c>
      <c r="AE1434" s="20" t="s">
        <v>138</v>
      </c>
      <c r="AF1434" s="20" t="s">
        <v>138</v>
      </c>
      <c r="AG1434" s="15" t="s">
        <v>138</v>
      </c>
      <c r="AH1434" s="20" t="s">
        <v>138</v>
      </c>
      <c r="AI1434" s="20" t="s">
        <v>138</v>
      </c>
      <c r="AJ1434" s="20" t="s">
        <v>138</v>
      </c>
      <c r="AK1434" s="15" t="s">
        <v>27600</v>
      </c>
      <c r="AL1434" s="15" t="s">
        <v>27601</v>
      </c>
      <c r="AM1434" s="15" t="s">
        <v>12471</v>
      </c>
      <c r="AN1434" s="15" t="s">
        <v>27602</v>
      </c>
      <c r="AO1434" s="15" t="s">
        <v>27603</v>
      </c>
      <c r="AP1434" s="15" t="s">
        <v>1457</v>
      </c>
      <c r="AQ1434" s="15" t="s">
        <v>27604</v>
      </c>
      <c r="AR1434" s="15" t="s">
        <v>27605</v>
      </c>
      <c r="AS1434" s="15" t="s">
        <v>1460</v>
      </c>
      <c r="AT1434" s="15" t="s">
        <v>474</v>
      </c>
      <c r="AU1434" s="15" t="s">
        <v>24484</v>
      </c>
      <c r="AV1434" s="15" t="s">
        <v>162</v>
      </c>
      <c r="AW1434" s="15" t="s">
        <v>27603</v>
      </c>
      <c r="AX1434" s="15" t="s">
        <v>138</v>
      </c>
      <c r="AY1434" s="15" t="s">
        <v>27606</v>
      </c>
      <c r="AZ1434" s="15" t="s">
        <v>164</v>
      </c>
      <c r="BA1434" s="15" t="s">
        <v>165</v>
      </c>
      <c r="BB1434" s="15" t="s">
        <v>27607</v>
      </c>
      <c r="BC1434" s="15" t="s">
        <v>27608</v>
      </c>
      <c r="BD1434" s="21">
        <v>1</v>
      </c>
      <c r="BE1434" s="15" t="s">
        <v>138</v>
      </c>
      <c r="BF1434" s="15" t="s">
        <v>138</v>
      </c>
      <c r="BG1434" s="15" t="s">
        <v>138</v>
      </c>
      <c r="BH1434" s="15" t="s">
        <v>27609</v>
      </c>
      <c r="BI1434" s="15" t="s">
        <v>138</v>
      </c>
      <c r="BJ1434" s="15" t="s">
        <v>138</v>
      </c>
      <c r="BK1434" s="15" t="s">
        <v>138</v>
      </c>
      <c r="BL1434" s="15" t="s">
        <v>138</v>
      </c>
      <c r="BM1434" s="22">
        <v>41709</v>
      </c>
      <c r="BN1434" s="17">
        <v>1.5</v>
      </c>
      <c r="BO1434" s="15" t="s">
        <v>172</v>
      </c>
      <c r="BP1434" s="17" t="s">
        <v>138</v>
      </c>
      <c r="BQ1434" s="15" t="s">
        <v>138</v>
      </c>
      <c r="BR1434" s="15" t="s">
        <v>262</v>
      </c>
      <c r="BS1434" s="15" t="s">
        <v>262</v>
      </c>
      <c r="BT1434" s="15" t="s">
        <v>138</v>
      </c>
      <c r="BU1434" s="15" t="s">
        <v>263</v>
      </c>
      <c r="BV1434" s="15" t="s">
        <v>138</v>
      </c>
      <c r="BW1434" s="15" t="s">
        <v>138</v>
      </c>
      <c r="BX1434" s="15" t="s">
        <v>138</v>
      </c>
      <c r="BY1434" s="15" t="s">
        <v>175</v>
      </c>
      <c r="BZ1434" s="22">
        <v>43297</v>
      </c>
      <c r="CA1434" s="17">
        <v>23.58</v>
      </c>
      <c r="CB1434" s="15" t="s">
        <v>172</v>
      </c>
      <c r="CC1434" s="17" t="s">
        <v>138</v>
      </c>
      <c r="CD1434" s="15" t="s">
        <v>138</v>
      </c>
      <c r="CE1434" s="15" t="s">
        <v>780</v>
      </c>
      <c r="CF1434" s="15" t="s">
        <v>780</v>
      </c>
      <c r="CG1434" s="15" t="s">
        <v>138</v>
      </c>
      <c r="CH1434" s="15" t="s">
        <v>780</v>
      </c>
      <c r="CI1434" s="15" t="s">
        <v>138</v>
      </c>
      <c r="CJ1434" s="15" t="s">
        <v>138</v>
      </c>
      <c r="CK1434" s="15" t="s">
        <v>138</v>
      </c>
      <c r="CL1434" s="15" t="s">
        <v>175</v>
      </c>
      <c r="CM1434" s="22" t="s">
        <v>138</v>
      </c>
      <c r="CN1434" s="17" t="s">
        <v>138</v>
      </c>
      <c r="CO1434" s="23">
        <v>0.16</v>
      </c>
      <c r="CP1434" s="24">
        <v>92</v>
      </c>
      <c r="CQ1434" s="23">
        <v>0</v>
      </c>
      <c r="CR1434" s="23">
        <v>0</v>
      </c>
      <c r="CS1434" s="23">
        <v>0</v>
      </c>
      <c r="CT1434" s="24">
        <v>23</v>
      </c>
      <c r="CU1434" s="23">
        <v>0.31</v>
      </c>
      <c r="CV1434" s="24">
        <v>88</v>
      </c>
      <c r="CW1434" s="23">
        <v>0</v>
      </c>
      <c r="CX1434" s="24">
        <v>13</v>
      </c>
      <c r="CY1434" s="23" t="s">
        <v>138</v>
      </c>
      <c r="CZ1434" s="24" t="s">
        <v>138</v>
      </c>
      <c r="DA1434" s="23" t="s">
        <v>138</v>
      </c>
      <c r="DB1434" s="24" t="s">
        <v>138</v>
      </c>
      <c r="DC1434" s="25">
        <v>1.1499999999999999</v>
      </c>
      <c r="DD1434" s="24">
        <v>54</v>
      </c>
      <c r="DE1434" s="25">
        <v>-0.14000000000000001</v>
      </c>
      <c r="DF1434" s="23">
        <v>-10.59</v>
      </c>
      <c r="DG1434" s="25">
        <v>2.13</v>
      </c>
      <c r="DH1434" s="24">
        <v>68</v>
      </c>
      <c r="DI1434" s="25">
        <v>0.18</v>
      </c>
      <c r="DJ1434" s="24">
        <v>21</v>
      </c>
      <c r="DK1434" s="25">
        <v>2.13</v>
      </c>
      <c r="DL1434" s="24">
        <v>65</v>
      </c>
      <c r="DM1434" s="25" t="s">
        <v>138</v>
      </c>
      <c r="DN1434" s="24" t="s">
        <v>138</v>
      </c>
      <c r="DO1434" s="25" t="s">
        <v>138</v>
      </c>
      <c r="DP1434" s="24" t="s">
        <v>138</v>
      </c>
      <c r="DQ1434" s="24">
        <v>720</v>
      </c>
      <c r="DR1434" s="26">
        <v>32</v>
      </c>
      <c r="DS1434" s="23">
        <v>4.6500000000000004</v>
      </c>
      <c r="DT1434" s="24" t="s">
        <v>138</v>
      </c>
      <c r="DU1434" s="26" t="s">
        <v>138</v>
      </c>
      <c r="DV1434" s="23" t="s">
        <v>138</v>
      </c>
      <c r="DW1434" s="24">
        <v>100</v>
      </c>
      <c r="DX1434" s="27">
        <v>1</v>
      </c>
      <c r="DY1434" s="23">
        <v>1.01</v>
      </c>
      <c r="DZ1434" s="15" t="s">
        <v>178</v>
      </c>
      <c r="EA1434" s="22">
        <v>43622</v>
      </c>
      <c r="EB1434" s="17" t="s">
        <v>138</v>
      </c>
      <c r="EC1434" s="22" t="s">
        <v>138</v>
      </c>
      <c r="ED1434" s="15" t="s">
        <v>138</v>
      </c>
      <c r="EE1434" s="14" t="str">
        <f>HYPERLINK("https://my.pitchbook.com?c=153472-06", "View company online")</f>
        <v>View company online</v>
      </c>
    </row>
    <row r="1435" spans="1:135">
      <c r="A1435" s="28" t="s">
        <v>27610</v>
      </c>
      <c r="B1435" s="28" t="s">
        <v>27611</v>
      </c>
      <c r="C1435" s="28" t="s">
        <v>27612</v>
      </c>
      <c r="D1435" s="28" t="s">
        <v>27613</v>
      </c>
      <c r="E1435" s="28" t="s">
        <v>27614</v>
      </c>
      <c r="F1435" s="28" t="s">
        <v>27610</v>
      </c>
      <c r="G1435" s="28" t="s">
        <v>27615</v>
      </c>
      <c r="H1435" s="28" t="s">
        <v>385</v>
      </c>
      <c r="I1435" s="28" t="s">
        <v>5325</v>
      </c>
      <c r="J1435" s="28" t="s">
        <v>27616</v>
      </c>
      <c r="K1435" s="28" t="s">
        <v>27617</v>
      </c>
      <c r="L1435" s="28" t="s">
        <v>1994</v>
      </c>
      <c r="M1435" s="28" t="s">
        <v>27618</v>
      </c>
      <c r="N1435" s="28" t="s">
        <v>147</v>
      </c>
      <c r="O1435" s="29">
        <v>67.349999999999994</v>
      </c>
      <c r="P1435" s="28" t="s">
        <v>148</v>
      </c>
      <c r="Q1435" s="28" t="s">
        <v>149</v>
      </c>
      <c r="R1435" s="28" t="s">
        <v>174</v>
      </c>
      <c r="S1435" s="28" t="s">
        <v>27619</v>
      </c>
      <c r="T1435" s="30" t="s">
        <v>138</v>
      </c>
      <c r="U1435" s="28" t="s">
        <v>138</v>
      </c>
      <c r="V1435" s="28" t="s">
        <v>138</v>
      </c>
      <c r="W1435" s="28" t="s">
        <v>138</v>
      </c>
      <c r="X1435" s="31">
        <v>2003</v>
      </c>
      <c r="Y1435" s="28" t="s">
        <v>138</v>
      </c>
      <c r="Z1435" s="28" t="s">
        <v>138</v>
      </c>
      <c r="AA1435" s="28" t="s">
        <v>138</v>
      </c>
      <c r="AB1435" s="32" t="s">
        <v>138</v>
      </c>
      <c r="AC1435" s="32" t="s">
        <v>138</v>
      </c>
      <c r="AD1435" s="32" t="s">
        <v>138</v>
      </c>
      <c r="AE1435" s="32" t="s">
        <v>138</v>
      </c>
      <c r="AF1435" s="32" t="s">
        <v>138</v>
      </c>
      <c r="AG1435" s="28" t="s">
        <v>138</v>
      </c>
      <c r="AH1435" s="32" t="s">
        <v>138</v>
      </c>
      <c r="AI1435" s="32" t="s">
        <v>138</v>
      </c>
      <c r="AJ1435" s="32" t="s">
        <v>138</v>
      </c>
      <c r="AK1435" s="28" t="s">
        <v>27620</v>
      </c>
      <c r="AL1435" s="28" t="s">
        <v>27621</v>
      </c>
      <c r="AM1435" s="28" t="s">
        <v>27622</v>
      </c>
      <c r="AN1435" s="28" t="s">
        <v>27623</v>
      </c>
      <c r="AO1435" s="28" t="s">
        <v>27624</v>
      </c>
      <c r="AP1435" s="28" t="s">
        <v>27625</v>
      </c>
      <c r="AQ1435" s="28" t="s">
        <v>27626</v>
      </c>
      <c r="AR1435" s="28" t="s">
        <v>24004</v>
      </c>
      <c r="AS1435" s="28" t="s">
        <v>27627</v>
      </c>
      <c r="AT1435" s="28" t="s">
        <v>3112</v>
      </c>
      <c r="AU1435" s="28" t="s">
        <v>27628</v>
      </c>
      <c r="AV1435" s="28" t="s">
        <v>2742</v>
      </c>
      <c r="AW1435" s="28" t="s">
        <v>27624</v>
      </c>
      <c r="AX1435" s="28" t="s">
        <v>138</v>
      </c>
      <c r="AY1435" s="28" t="s">
        <v>27629</v>
      </c>
      <c r="AZ1435" s="28" t="s">
        <v>164</v>
      </c>
      <c r="BA1435" s="28" t="s">
        <v>165</v>
      </c>
      <c r="BB1435" s="28" t="s">
        <v>27630</v>
      </c>
      <c r="BC1435" s="28" t="s">
        <v>27631</v>
      </c>
      <c r="BD1435" s="33">
        <v>13</v>
      </c>
      <c r="BE1435" s="28" t="s">
        <v>138</v>
      </c>
      <c r="BF1435" s="28" t="s">
        <v>138</v>
      </c>
      <c r="BG1435" s="28" t="s">
        <v>138</v>
      </c>
      <c r="BH1435" s="28" t="s">
        <v>27632</v>
      </c>
      <c r="BI1435" s="28" t="s">
        <v>138</v>
      </c>
      <c r="BJ1435" s="28" t="s">
        <v>138</v>
      </c>
      <c r="BK1435" s="28" t="s">
        <v>27633</v>
      </c>
      <c r="BL1435" s="28" t="s">
        <v>23466</v>
      </c>
      <c r="BM1435" s="34" t="s">
        <v>138</v>
      </c>
      <c r="BN1435" s="29" t="s">
        <v>138</v>
      </c>
      <c r="BO1435" s="28" t="s">
        <v>138</v>
      </c>
      <c r="BP1435" s="29" t="s">
        <v>138</v>
      </c>
      <c r="BQ1435" s="28" t="s">
        <v>138</v>
      </c>
      <c r="BR1435" s="28" t="s">
        <v>205</v>
      </c>
      <c r="BS1435" s="28" t="s">
        <v>138</v>
      </c>
      <c r="BT1435" s="28" t="s">
        <v>138</v>
      </c>
      <c r="BU1435" s="28" t="s">
        <v>174</v>
      </c>
      <c r="BV1435" s="28" t="s">
        <v>138</v>
      </c>
      <c r="BW1435" s="28" t="s">
        <v>138</v>
      </c>
      <c r="BX1435" s="28" t="s">
        <v>138</v>
      </c>
      <c r="BY1435" s="28" t="s">
        <v>175</v>
      </c>
      <c r="BZ1435" s="34">
        <v>42948</v>
      </c>
      <c r="CA1435" s="29">
        <v>17.5</v>
      </c>
      <c r="CB1435" s="28" t="s">
        <v>172</v>
      </c>
      <c r="CC1435" s="29" t="s">
        <v>138</v>
      </c>
      <c r="CD1435" s="28" t="s">
        <v>138</v>
      </c>
      <c r="CE1435" s="28" t="s">
        <v>173</v>
      </c>
      <c r="CF1435" s="28" t="s">
        <v>720</v>
      </c>
      <c r="CG1435" s="28" t="s">
        <v>138</v>
      </c>
      <c r="CH1435" s="28" t="s">
        <v>174</v>
      </c>
      <c r="CI1435" s="28" t="s">
        <v>138</v>
      </c>
      <c r="CJ1435" s="28" t="s">
        <v>138</v>
      </c>
      <c r="CK1435" s="28" t="s">
        <v>138</v>
      </c>
      <c r="CL1435" s="28" t="s">
        <v>175</v>
      </c>
      <c r="CM1435" s="34" t="s">
        <v>138</v>
      </c>
      <c r="CN1435" s="29" t="s">
        <v>138</v>
      </c>
      <c r="CO1435" s="35">
        <v>-0.26</v>
      </c>
      <c r="CP1435" s="36">
        <v>19</v>
      </c>
      <c r="CQ1435" s="35">
        <v>-0.05</v>
      </c>
      <c r="CR1435" s="35">
        <v>-23.8</v>
      </c>
      <c r="CS1435" s="35">
        <v>-0.7</v>
      </c>
      <c r="CT1435" s="36">
        <v>18</v>
      </c>
      <c r="CU1435" s="35">
        <v>0.18</v>
      </c>
      <c r="CV1435" s="36">
        <v>78</v>
      </c>
      <c r="CW1435" s="35">
        <v>0</v>
      </c>
      <c r="CX1435" s="36">
        <v>13</v>
      </c>
      <c r="CY1435" s="35">
        <v>-1.41</v>
      </c>
      <c r="CZ1435" s="36">
        <v>15</v>
      </c>
      <c r="DA1435" s="35">
        <v>0.18</v>
      </c>
      <c r="DB1435" s="36">
        <v>81</v>
      </c>
      <c r="DC1435" s="37">
        <v>4.79</v>
      </c>
      <c r="DD1435" s="36">
        <v>82</v>
      </c>
      <c r="DE1435" s="37">
        <v>-0.05</v>
      </c>
      <c r="DF1435" s="35">
        <v>-1.07</v>
      </c>
      <c r="DG1435" s="37">
        <v>5.57</v>
      </c>
      <c r="DH1435" s="36">
        <v>84</v>
      </c>
      <c r="DI1435" s="37">
        <v>4.0199999999999996</v>
      </c>
      <c r="DJ1435" s="36">
        <v>74</v>
      </c>
      <c r="DK1435" s="37">
        <v>1.83</v>
      </c>
      <c r="DL1435" s="36">
        <v>63</v>
      </c>
      <c r="DM1435" s="37">
        <v>9.31</v>
      </c>
      <c r="DN1435" s="36">
        <v>88</v>
      </c>
      <c r="DO1435" s="37">
        <v>4.0199999999999996</v>
      </c>
      <c r="DP1435" s="36">
        <v>76</v>
      </c>
      <c r="DQ1435" s="36">
        <v>649</v>
      </c>
      <c r="DR1435" s="38">
        <v>-70</v>
      </c>
      <c r="DS1435" s="35">
        <v>-9.74</v>
      </c>
      <c r="DT1435" s="36">
        <v>270</v>
      </c>
      <c r="DU1435" s="38">
        <v>0</v>
      </c>
      <c r="DV1435" s="35">
        <v>0</v>
      </c>
      <c r="DW1435" s="36">
        <v>1436</v>
      </c>
      <c r="DX1435" s="39">
        <v>3</v>
      </c>
      <c r="DY1435" s="35">
        <v>0.21</v>
      </c>
      <c r="DZ1435" s="28" t="s">
        <v>178</v>
      </c>
      <c r="EA1435" s="34">
        <v>43581</v>
      </c>
      <c r="EB1435" s="29" t="s">
        <v>138</v>
      </c>
      <c r="EC1435" s="34" t="s">
        <v>138</v>
      </c>
      <c r="ED1435" s="28" t="s">
        <v>138</v>
      </c>
      <c r="EE1435" s="40" t="str">
        <f>HYPERLINK("https://my.pitchbook.com?c=53673-13", "View company online")</f>
        <v>View company online</v>
      </c>
    </row>
    <row r="1436" spans="1:135">
      <c r="A1436" s="15" t="s">
        <v>27634</v>
      </c>
      <c r="B1436" s="15" t="s">
        <v>27635</v>
      </c>
      <c r="C1436" s="15" t="s">
        <v>138</v>
      </c>
      <c r="D1436" s="15" t="s">
        <v>27636</v>
      </c>
      <c r="E1436" s="15" t="s">
        <v>138</v>
      </c>
      <c r="F1436" s="15" t="s">
        <v>27634</v>
      </c>
      <c r="G1436" s="15" t="s">
        <v>27637</v>
      </c>
      <c r="H1436" s="15" t="s">
        <v>322</v>
      </c>
      <c r="I1436" s="15" t="s">
        <v>1503</v>
      </c>
      <c r="J1436" s="15" t="s">
        <v>1836</v>
      </c>
      <c r="K1436" s="15" t="s">
        <v>9275</v>
      </c>
      <c r="L1436" s="15" t="s">
        <v>4341</v>
      </c>
      <c r="M1436" s="15" t="s">
        <v>27638</v>
      </c>
      <c r="N1436" s="15" t="s">
        <v>147</v>
      </c>
      <c r="O1436" s="17">
        <v>16.489999999999998</v>
      </c>
      <c r="P1436" s="15" t="s">
        <v>148</v>
      </c>
      <c r="Q1436" s="15" t="s">
        <v>149</v>
      </c>
      <c r="R1436" s="15" t="s">
        <v>174</v>
      </c>
      <c r="S1436" s="15" t="s">
        <v>27639</v>
      </c>
      <c r="T1436" s="18">
        <v>9</v>
      </c>
      <c r="U1436" s="15" t="s">
        <v>4748</v>
      </c>
      <c r="V1436" s="15" t="s">
        <v>138</v>
      </c>
      <c r="W1436" s="15" t="s">
        <v>138</v>
      </c>
      <c r="X1436" s="19">
        <v>2004</v>
      </c>
      <c r="Y1436" s="15" t="s">
        <v>138</v>
      </c>
      <c r="Z1436" s="15" t="s">
        <v>138</v>
      </c>
      <c r="AA1436" s="15" t="s">
        <v>138</v>
      </c>
      <c r="AB1436" s="20" t="s">
        <v>138</v>
      </c>
      <c r="AC1436" s="20" t="s">
        <v>138</v>
      </c>
      <c r="AD1436" s="20" t="s">
        <v>138</v>
      </c>
      <c r="AE1436" s="20" t="s">
        <v>138</v>
      </c>
      <c r="AF1436" s="20" t="s">
        <v>138</v>
      </c>
      <c r="AG1436" s="15" t="s">
        <v>138</v>
      </c>
      <c r="AH1436" s="20" t="s">
        <v>138</v>
      </c>
      <c r="AI1436" s="20" t="s">
        <v>138</v>
      </c>
      <c r="AJ1436" s="20" t="s">
        <v>138</v>
      </c>
      <c r="AK1436" s="15" t="s">
        <v>27640</v>
      </c>
      <c r="AL1436" s="15" t="s">
        <v>27641</v>
      </c>
      <c r="AM1436" s="15" t="s">
        <v>2605</v>
      </c>
      <c r="AN1436" s="15" t="s">
        <v>27642</v>
      </c>
      <c r="AO1436" s="15" t="s">
        <v>27643</v>
      </c>
      <c r="AP1436" s="15" t="s">
        <v>423</v>
      </c>
      <c r="AQ1436" s="15" t="s">
        <v>27644</v>
      </c>
      <c r="AR1436" s="15" t="s">
        <v>16471</v>
      </c>
      <c r="AS1436" s="15" t="s">
        <v>426</v>
      </c>
      <c r="AT1436" s="15" t="s">
        <v>426</v>
      </c>
      <c r="AU1436" s="15" t="s">
        <v>2610</v>
      </c>
      <c r="AV1436" s="15" t="s">
        <v>162</v>
      </c>
      <c r="AW1436" s="15" t="s">
        <v>27643</v>
      </c>
      <c r="AX1436" s="15" t="s">
        <v>138</v>
      </c>
      <c r="AY1436" s="15" t="s">
        <v>27645</v>
      </c>
      <c r="AZ1436" s="15" t="s">
        <v>164</v>
      </c>
      <c r="BA1436" s="15" t="s">
        <v>165</v>
      </c>
      <c r="BB1436" s="15" t="s">
        <v>27646</v>
      </c>
      <c r="BC1436" s="15" t="s">
        <v>27647</v>
      </c>
      <c r="BD1436" s="21">
        <v>6</v>
      </c>
      <c r="BE1436" s="15" t="s">
        <v>138</v>
      </c>
      <c r="BF1436" s="15" t="s">
        <v>138</v>
      </c>
      <c r="BG1436" s="15" t="s">
        <v>138</v>
      </c>
      <c r="BH1436" s="15" t="s">
        <v>27648</v>
      </c>
      <c r="BI1436" s="15" t="s">
        <v>138</v>
      </c>
      <c r="BJ1436" s="15" t="s">
        <v>138</v>
      </c>
      <c r="BK1436" s="15" t="s">
        <v>138</v>
      </c>
      <c r="BL1436" s="15" t="s">
        <v>138</v>
      </c>
      <c r="BM1436" s="22">
        <v>41789</v>
      </c>
      <c r="BN1436" s="17">
        <v>2.5</v>
      </c>
      <c r="BO1436" s="15" t="s">
        <v>172</v>
      </c>
      <c r="BP1436" s="17">
        <v>11.5</v>
      </c>
      <c r="BQ1436" s="15" t="s">
        <v>172</v>
      </c>
      <c r="BR1436" s="15" t="s">
        <v>173</v>
      </c>
      <c r="BS1436" s="15" t="s">
        <v>206</v>
      </c>
      <c r="BT1436" s="15" t="s">
        <v>138</v>
      </c>
      <c r="BU1436" s="15" t="s">
        <v>174</v>
      </c>
      <c r="BV1436" s="15" t="s">
        <v>138</v>
      </c>
      <c r="BW1436" s="15" t="s">
        <v>138</v>
      </c>
      <c r="BX1436" s="15" t="s">
        <v>138</v>
      </c>
      <c r="BY1436" s="15" t="s">
        <v>175</v>
      </c>
      <c r="BZ1436" s="22">
        <v>43420</v>
      </c>
      <c r="CA1436" s="17">
        <v>3.01</v>
      </c>
      <c r="CB1436" s="15" t="s">
        <v>172</v>
      </c>
      <c r="CC1436" s="17" t="s">
        <v>138</v>
      </c>
      <c r="CD1436" s="15" t="s">
        <v>138</v>
      </c>
      <c r="CE1436" s="15" t="s">
        <v>173</v>
      </c>
      <c r="CF1436" s="15" t="s">
        <v>138</v>
      </c>
      <c r="CG1436" s="15" t="s">
        <v>138</v>
      </c>
      <c r="CH1436" s="15" t="s">
        <v>174</v>
      </c>
      <c r="CI1436" s="15" t="s">
        <v>264</v>
      </c>
      <c r="CJ1436" s="15" t="s">
        <v>138</v>
      </c>
      <c r="CK1436" s="15" t="s">
        <v>138</v>
      </c>
      <c r="CL1436" s="15" t="s">
        <v>175</v>
      </c>
      <c r="CM1436" s="22" t="s">
        <v>138</v>
      </c>
      <c r="CN1436" s="17" t="s">
        <v>138</v>
      </c>
      <c r="CO1436" s="23">
        <v>0</v>
      </c>
      <c r="CP1436" s="24">
        <v>26</v>
      </c>
      <c r="CQ1436" s="23">
        <v>0</v>
      </c>
      <c r="CR1436" s="23">
        <v>0</v>
      </c>
      <c r="CS1436" s="23">
        <v>0</v>
      </c>
      <c r="CT1436" s="24">
        <v>23</v>
      </c>
      <c r="CU1436" s="23" t="s">
        <v>138</v>
      </c>
      <c r="CV1436" s="24" t="s">
        <v>138</v>
      </c>
      <c r="CW1436" s="23" t="s">
        <v>138</v>
      </c>
      <c r="CX1436" s="24" t="s">
        <v>138</v>
      </c>
      <c r="CY1436" s="23">
        <v>0</v>
      </c>
      <c r="CZ1436" s="24">
        <v>25</v>
      </c>
      <c r="DA1436" s="23" t="s">
        <v>138</v>
      </c>
      <c r="DB1436" s="24" t="s">
        <v>138</v>
      </c>
      <c r="DC1436" s="25">
        <v>1.38</v>
      </c>
      <c r="DD1436" s="24">
        <v>59</v>
      </c>
      <c r="DE1436" s="25">
        <v>0</v>
      </c>
      <c r="DF1436" s="23">
        <v>0</v>
      </c>
      <c r="DG1436" s="25">
        <v>1.38</v>
      </c>
      <c r="DH1436" s="24">
        <v>58</v>
      </c>
      <c r="DI1436" s="25" t="s">
        <v>138</v>
      </c>
      <c r="DJ1436" s="24" t="s">
        <v>138</v>
      </c>
      <c r="DK1436" s="25" t="s">
        <v>138</v>
      </c>
      <c r="DL1436" s="24" t="s">
        <v>138</v>
      </c>
      <c r="DM1436" s="25">
        <v>1.38</v>
      </c>
      <c r="DN1436" s="24">
        <v>58</v>
      </c>
      <c r="DO1436" s="25" t="s">
        <v>138</v>
      </c>
      <c r="DP1436" s="24" t="s">
        <v>138</v>
      </c>
      <c r="DQ1436" s="24">
        <v>146</v>
      </c>
      <c r="DR1436" s="26">
        <v>-54</v>
      </c>
      <c r="DS1436" s="23">
        <v>-27</v>
      </c>
      <c r="DT1436" s="24">
        <v>40</v>
      </c>
      <c r="DU1436" s="26">
        <v>0</v>
      </c>
      <c r="DV1436" s="23">
        <v>0</v>
      </c>
      <c r="DW1436" s="24" t="s">
        <v>138</v>
      </c>
      <c r="DX1436" s="27" t="s">
        <v>138</v>
      </c>
      <c r="DY1436" s="23" t="s">
        <v>138</v>
      </c>
      <c r="DZ1436" s="15" t="s">
        <v>178</v>
      </c>
      <c r="EA1436" s="22">
        <v>43458</v>
      </c>
      <c r="EB1436" s="17">
        <v>19.11</v>
      </c>
      <c r="EC1436" s="22">
        <v>43076</v>
      </c>
      <c r="ED1436" s="15" t="s">
        <v>173</v>
      </c>
      <c r="EE1436" s="14" t="str">
        <f>HYPERLINK("https://my.pitchbook.com?c=66145-33", "View company online")</f>
        <v>View company online</v>
      </c>
    </row>
    <row r="1437" spans="1:135">
      <c r="A1437" s="28" t="s">
        <v>27649</v>
      </c>
      <c r="B1437" s="28" t="s">
        <v>27650</v>
      </c>
      <c r="C1437" s="28" t="s">
        <v>27651</v>
      </c>
      <c r="D1437" s="28" t="s">
        <v>138</v>
      </c>
      <c r="E1437" s="28" t="s">
        <v>138</v>
      </c>
      <c r="F1437" s="28" t="s">
        <v>27649</v>
      </c>
      <c r="G1437" s="28" t="s">
        <v>27652</v>
      </c>
      <c r="H1437" s="28" t="s">
        <v>385</v>
      </c>
      <c r="I1437" s="28" t="s">
        <v>386</v>
      </c>
      <c r="J1437" s="28" t="s">
        <v>387</v>
      </c>
      <c r="K1437" s="28" t="s">
        <v>27653</v>
      </c>
      <c r="L1437" s="28" t="s">
        <v>1994</v>
      </c>
      <c r="M1437" s="28" t="s">
        <v>27654</v>
      </c>
      <c r="N1437" s="28" t="s">
        <v>147</v>
      </c>
      <c r="O1437" s="29">
        <v>7.5</v>
      </c>
      <c r="P1437" s="28" t="s">
        <v>148</v>
      </c>
      <c r="Q1437" s="28" t="s">
        <v>149</v>
      </c>
      <c r="R1437" s="28" t="s">
        <v>174</v>
      </c>
      <c r="S1437" s="28" t="s">
        <v>27655</v>
      </c>
      <c r="T1437" s="30">
        <v>23</v>
      </c>
      <c r="U1437" s="28" t="s">
        <v>27656</v>
      </c>
      <c r="V1437" s="28" t="s">
        <v>138</v>
      </c>
      <c r="W1437" s="28" t="s">
        <v>138</v>
      </c>
      <c r="X1437" s="31">
        <v>2010</v>
      </c>
      <c r="Y1437" s="28" t="s">
        <v>138</v>
      </c>
      <c r="Z1437" s="28" t="s">
        <v>138</v>
      </c>
      <c r="AA1437" s="28" t="s">
        <v>1163</v>
      </c>
      <c r="AB1437" s="32" t="s">
        <v>138</v>
      </c>
      <c r="AC1437" s="32" t="s">
        <v>138</v>
      </c>
      <c r="AD1437" s="32" t="s">
        <v>138</v>
      </c>
      <c r="AE1437" s="32" t="s">
        <v>138</v>
      </c>
      <c r="AF1437" s="32" t="s">
        <v>138</v>
      </c>
      <c r="AG1437" s="28" t="s">
        <v>138</v>
      </c>
      <c r="AH1437" s="32" t="s">
        <v>138</v>
      </c>
      <c r="AI1437" s="32" t="s">
        <v>138</v>
      </c>
      <c r="AJ1437" s="32" t="s">
        <v>138</v>
      </c>
      <c r="AK1437" s="28" t="s">
        <v>27657</v>
      </c>
      <c r="AL1437" s="28" t="s">
        <v>27658</v>
      </c>
      <c r="AM1437" s="28" t="s">
        <v>27659</v>
      </c>
      <c r="AN1437" s="28" t="s">
        <v>27660</v>
      </c>
      <c r="AO1437" s="28" t="s">
        <v>27661</v>
      </c>
      <c r="AP1437" s="28" t="s">
        <v>27662</v>
      </c>
      <c r="AQ1437" s="28" t="s">
        <v>27663</v>
      </c>
      <c r="AR1437" s="28" t="s">
        <v>3235</v>
      </c>
      <c r="AS1437" s="28" t="s">
        <v>27664</v>
      </c>
      <c r="AT1437" s="28" t="s">
        <v>597</v>
      </c>
      <c r="AU1437" s="28" t="s">
        <v>27665</v>
      </c>
      <c r="AV1437" s="28" t="s">
        <v>162</v>
      </c>
      <c r="AW1437" s="28" t="s">
        <v>27661</v>
      </c>
      <c r="AX1437" s="28" t="s">
        <v>138</v>
      </c>
      <c r="AY1437" s="28" t="s">
        <v>27666</v>
      </c>
      <c r="AZ1437" s="28" t="s">
        <v>164</v>
      </c>
      <c r="BA1437" s="28" t="s">
        <v>165</v>
      </c>
      <c r="BB1437" s="28" t="s">
        <v>27667</v>
      </c>
      <c r="BC1437" s="28" t="s">
        <v>5015</v>
      </c>
      <c r="BD1437" s="33">
        <v>1</v>
      </c>
      <c r="BE1437" s="28" t="s">
        <v>138</v>
      </c>
      <c r="BF1437" s="28" t="s">
        <v>138</v>
      </c>
      <c r="BG1437" s="28" t="s">
        <v>138</v>
      </c>
      <c r="BH1437" s="28" t="s">
        <v>5017</v>
      </c>
      <c r="BI1437" s="28" t="s">
        <v>138</v>
      </c>
      <c r="BJ1437" s="28" t="s">
        <v>138</v>
      </c>
      <c r="BK1437" s="28" t="s">
        <v>27668</v>
      </c>
      <c r="BL1437" s="28" t="s">
        <v>27669</v>
      </c>
      <c r="BM1437" s="34">
        <v>40752</v>
      </c>
      <c r="BN1437" s="29">
        <v>7.5</v>
      </c>
      <c r="BO1437" s="28" t="s">
        <v>172</v>
      </c>
      <c r="BP1437" s="29" t="s">
        <v>138</v>
      </c>
      <c r="BQ1437" s="28" t="s">
        <v>138</v>
      </c>
      <c r="BR1437" s="28" t="s">
        <v>205</v>
      </c>
      <c r="BS1437" s="28" t="s">
        <v>138</v>
      </c>
      <c r="BT1437" s="28" t="s">
        <v>138</v>
      </c>
      <c r="BU1437" s="28" t="s">
        <v>174</v>
      </c>
      <c r="BV1437" s="28" t="s">
        <v>138</v>
      </c>
      <c r="BW1437" s="28" t="s">
        <v>138</v>
      </c>
      <c r="BX1437" s="28" t="s">
        <v>138</v>
      </c>
      <c r="BY1437" s="28" t="s">
        <v>175</v>
      </c>
      <c r="BZ1437" s="34">
        <v>40752</v>
      </c>
      <c r="CA1437" s="29">
        <v>7.5</v>
      </c>
      <c r="CB1437" s="28" t="s">
        <v>172</v>
      </c>
      <c r="CC1437" s="29" t="s">
        <v>138</v>
      </c>
      <c r="CD1437" s="28" t="s">
        <v>138</v>
      </c>
      <c r="CE1437" s="28" t="s">
        <v>205</v>
      </c>
      <c r="CF1437" s="28" t="s">
        <v>138</v>
      </c>
      <c r="CG1437" s="28" t="s">
        <v>138</v>
      </c>
      <c r="CH1437" s="28" t="s">
        <v>174</v>
      </c>
      <c r="CI1437" s="28" t="s">
        <v>138</v>
      </c>
      <c r="CJ1437" s="28" t="s">
        <v>138</v>
      </c>
      <c r="CK1437" s="28" t="s">
        <v>138</v>
      </c>
      <c r="CL1437" s="28" t="s">
        <v>175</v>
      </c>
      <c r="CM1437" s="34" t="s">
        <v>138</v>
      </c>
      <c r="CN1437" s="29" t="s">
        <v>138</v>
      </c>
      <c r="CO1437" s="35">
        <v>-0.02</v>
      </c>
      <c r="CP1437" s="36">
        <v>24</v>
      </c>
      <c r="CQ1437" s="35">
        <v>0.02</v>
      </c>
      <c r="CR1437" s="35">
        <v>49.9</v>
      </c>
      <c r="CS1437" s="35">
        <v>0</v>
      </c>
      <c r="CT1437" s="36">
        <v>23</v>
      </c>
      <c r="CU1437" s="35">
        <v>-0.04</v>
      </c>
      <c r="CV1437" s="36">
        <v>12</v>
      </c>
      <c r="CW1437" s="35">
        <v>0</v>
      </c>
      <c r="CX1437" s="36">
        <v>13</v>
      </c>
      <c r="CY1437" s="35">
        <v>0</v>
      </c>
      <c r="CZ1437" s="36">
        <v>25</v>
      </c>
      <c r="DA1437" s="35">
        <v>-0.08</v>
      </c>
      <c r="DB1437" s="36">
        <v>8</v>
      </c>
      <c r="DC1437" s="37">
        <v>1.1299999999999999</v>
      </c>
      <c r="DD1437" s="36">
        <v>54</v>
      </c>
      <c r="DE1437" s="37">
        <v>-0.02</v>
      </c>
      <c r="DF1437" s="35">
        <v>-1.8</v>
      </c>
      <c r="DG1437" s="37">
        <v>1.57</v>
      </c>
      <c r="DH1437" s="36">
        <v>62</v>
      </c>
      <c r="DI1437" s="37">
        <v>0.69</v>
      </c>
      <c r="DJ1437" s="36">
        <v>42</v>
      </c>
      <c r="DK1437" s="37">
        <v>0.41</v>
      </c>
      <c r="DL1437" s="36">
        <v>28</v>
      </c>
      <c r="DM1437" s="37">
        <v>2.72</v>
      </c>
      <c r="DN1437" s="36">
        <v>72</v>
      </c>
      <c r="DO1437" s="37">
        <v>1.32</v>
      </c>
      <c r="DP1437" s="36">
        <v>56</v>
      </c>
      <c r="DQ1437" s="36">
        <v>136</v>
      </c>
      <c r="DR1437" s="38">
        <v>12</v>
      </c>
      <c r="DS1437" s="35">
        <v>9.68</v>
      </c>
      <c r="DT1437" s="36">
        <v>79</v>
      </c>
      <c r="DU1437" s="38">
        <v>-1</v>
      </c>
      <c r="DV1437" s="35">
        <v>-1.25</v>
      </c>
      <c r="DW1437" s="36">
        <v>473</v>
      </c>
      <c r="DX1437" s="39">
        <v>0</v>
      </c>
      <c r="DY1437" s="35">
        <v>0</v>
      </c>
      <c r="DZ1437" s="28" t="s">
        <v>178</v>
      </c>
      <c r="EA1437" s="34">
        <v>43622</v>
      </c>
      <c r="EB1437" s="29" t="s">
        <v>138</v>
      </c>
      <c r="EC1437" s="34" t="s">
        <v>138</v>
      </c>
      <c r="ED1437" s="28" t="s">
        <v>138</v>
      </c>
      <c r="EE1437" s="40" t="str">
        <f>HYPERLINK("https://my.pitchbook.com?c=52597-63", "View company online")</f>
        <v>View company online</v>
      </c>
    </row>
    <row r="1438" spans="1:135">
      <c r="A1438" s="15" t="s">
        <v>27670</v>
      </c>
      <c r="B1438" s="15" t="s">
        <v>27671</v>
      </c>
      <c r="C1438" s="15" t="s">
        <v>138</v>
      </c>
      <c r="D1438" s="15" t="s">
        <v>138</v>
      </c>
      <c r="E1438" s="15" t="s">
        <v>27672</v>
      </c>
      <c r="F1438" s="15" t="s">
        <v>27670</v>
      </c>
      <c r="G1438" s="15" t="s">
        <v>27673</v>
      </c>
      <c r="H1438" s="15" t="s">
        <v>141</v>
      </c>
      <c r="I1438" s="15" t="s">
        <v>212</v>
      </c>
      <c r="J1438" s="15" t="s">
        <v>3169</v>
      </c>
      <c r="K1438" s="15" t="s">
        <v>21169</v>
      </c>
      <c r="L1438" s="15" t="s">
        <v>5412</v>
      </c>
      <c r="M1438" s="15" t="s">
        <v>27674</v>
      </c>
      <c r="N1438" s="15" t="s">
        <v>147</v>
      </c>
      <c r="O1438" s="17" t="s">
        <v>138</v>
      </c>
      <c r="P1438" s="15" t="s">
        <v>148</v>
      </c>
      <c r="Q1438" s="15" t="s">
        <v>149</v>
      </c>
      <c r="R1438" s="15" t="s">
        <v>174</v>
      </c>
      <c r="S1438" s="15" t="s">
        <v>27675</v>
      </c>
      <c r="T1438" s="18">
        <v>47</v>
      </c>
      <c r="U1438" s="15" t="s">
        <v>27676</v>
      </c>
      <c r="V1438" s="15" t="s">
        <v>138</v>
      </c>
      <c r="W1438" s="15" t="s">
        <v>138</v>
      </c>
      <c r="X1438" s="19">
        <v>2014</v>
      </c>
      <c r="Y1438" s="15" t="s">
        <v>138</v>
      </c>
      <c r="Z1438" s="15" t="s">
        <v>138</v>
      </c>
      <c r="AA1438" s="15" t="s">
        <v>138</v>
      </c>
      <c r="AB1438" s="20" t="s">
        <v>138</v>
      </c>
      <c r="AC1438" s="20" t="s">
        <v>138</v>
      </c>
      <c r="AD1438" s="20" t="s">
        <v>138</v>
      </c>
      <c r="AE1438" s="20" t="s">
        <v>138</v>
      </c>
      <c r="AF1438" s="20" t="s">
        <v>138</v>
      </c>
      <c r="AG1438" s="15" t="s">
        <v>138</v>
      </c>
      <c r="AH1438" s="20" t="s">
        <v>138</v>
      </c>
      <c r="AI1438" s="20" t="s">
        <v>138</v>
      </c>
      <c r="AJ1438" s="20" t="s">
        <v>138</v>
      </c>
      <c r="AK1438" s="15" t="s">
        <v>27677</v>
      </c>
      <c r="AL1438" s="15" t="s">
        <v>27678</v>
      </c>
      <c r="AM1438" s="15" t="s">
        <v>27679</v>
      </c>
      <c r="AN1438" s="15" t="s">
        <v>27680</v>
      </c>
      <c r="AO1438" s="15" t="s">
        <v>2565</v>
      </c>
      <c r="AP1438" s="15" t="s">
        <v>941</v>
      </c>
      <c r="AQ1438" s="15" t="s">
        <v>2566</v>
      </c>
      <c r="AR1438" s="15" t="s">
        <v>138</v>
      </c>
      <c r="AS1438" s="15" t="s">
        <v>944</v>
      </c>
      <c r="AT1438" s="15" t="s">
        <v>138</v>
      </c>
      <c r="AU1438" s="15" t="s">
        <v>2567</v>
      </c>
      <c r="AV1438" s="15" t="s">
        <v>946</v>
      </c>
      <c r="AW1438" s="15" t="s">
        <v>27681</v>
      </c>
      <c r="AX1438" s="15" t="s">
        <v>138</v>
      </c>
      <c r="AY1438" s="15" t="s">
        <v>27682</v>
      </c>
      <c r="AZ1438" s="15" t="s">
        <v>530</v>
      </c>
      <c r="BA1438" s="15" t="s">
        <v>531</v>
      </c>
      <c r="BB1438" s="15" t="s">
        <v>27683</v>
      </c>
      <c r="BC1438" s="15" t="s">
        <v>3186</v>
      </c>
      <c r="BD1438" s="21">
        <v>1</v>
      </c>
      <c r="BE1438" s="15" t="s">
        <v>138</v>
      </c>
      <c r="BF1438" s="15" t="s">
        <v>138</v>
      </c>
      <c r="BG1438" s="15" t="s">
        <v>138</v>
      </c>
      <c r="BH1438" s="15" t="s">
        <v>138</v>
      </c>
      <c r="BI1438" s="15" t="s">
        <v>138</v>
      </c>
      <c r="BJ1438" s="15" t="s">
        <v>138</v>
      </c>
      <c r="BK1438" s="15" t="s">
        <v>138</v>
      </c>
      <c r="BL1438" s="15" t="s">
        <v>27684</v>
      </c>
      <c r="BM1438" s="22">
        <v>42527</v>
      </c>
      <c r="BN1438" s="17" t="s">
        <v>138</v>
      </c>
      <c r="BO1438" s="15" t="s">
        <v>138</v>
      </c>
      <c r="BP1438" s="17" t="s">
        <v>138</v>
      </c>
      <c r="BQ1438" s="15" t="s">
        <v>138</v>
      </c>
      <c r="BR1438" s="15" t="s">
        <v>234</v>
      </c>
      <c r="BS1438" s="15" t="s">
        <v>234</v>
      </c>
      <c r="BT1438" s="15" t="s">
        <v>138</v>
      </c>
      <c r="BU1438" s="15" t="s">
        <v>174</v>
      </c>
      <c r="BV1438" s="15" t="s">
        <v>138</v>
      </c>
      <c r="BW1438" s="15" t="s">
        <v>138</v>
      </c>
      <c r="BX1438" s="15" t="s">
        <v>138</v>
      </c>
      <c r="BY1438" s="15" t="s">
        <v>175</v>
      </c>
      <c r="BZ1438" s="22">
        <v>42527</v>
      </c>
      <c r="CA1438" s="17" t="s">
        <v>138</v>
      </c>
      <c r="CB1438" s="15" t="s">
        <v>138</v>
      </c>
      <c r="CC1438" s="17" t="s">
        <v>138</v>
      </c>
      <c r="CD1438" s="15" t="s">
        <v>138</v>
      </c>
      <c r="CE1438" s="15" t="s">
        <v>234</v>
      </c>
      <c r="CF1438" s="15" t="s">
        <v>234</v>
      </c>
      <c r="CG1438" s="15" t="s">
        <v>138</v>
      </c>
      <c r="CH1438" s="15" t="s">
        <v>174</v>
      </c>
      <c r="CI1438" s="15" t="s">
        <v>138</v>
      </c>
      <c r="CJ1438" s="15" t="s">
        <v>138</v>
      </c>
      <c r="CK1438" s="15" t="s">
        <v>138</v>
      </c>
      <c r="CL1438" s="15" t="s">
        <v>175</v>
      </c>
      <c r="CM1438" s="22" t="s">
        <v>138</v>
      </c>
      <c r="CN1438" s="17" t="s">
        <v>138</v>
      </c>
      <c r="CO1438" s="23">
        <v>0.19</v>
      </c>
      <c r="CP1438" s="24">
        <v>92</v>
      </c>
      <c r="CQ1438" s="23">
        <v>0.09</v>
      </c>
      <c r="CR1438" s="23">
        <v>87.65</v>
      </c>
      <c r="CS1438" s="23" t="s">
        <v>138</v>
      </c>
      <c r="CT1438" s="24" t="s">
        <v>138</v>
      </c>
      <c r="CU1438" s="23">
        <v>0.19</v>
      </c>
      <c r="CV1438" s="24">
        <v>79</v>
      </c>
      <c r="CW1438" s="23" t="s">
        <v>138</v>
      </c>
      <c r="CX1438" s="24" t="s">
        <v>138</v>
      </c>
      <c r="CY1438" s="23" t="s">
        <v>138</v>
      </c>
      <c r="CZ1438" s="24" t="s">
        <v>138</v>
      </c>
      <c r="DA1438" s="23">
        <v>0.19</v>
      </c>
      <c r="DB1438" s="24">
        <v>82</v>
      </c>
      <c r="DC1438" s="25">
        <v>2.27</v>
      </c>
      <c r="DD1438" s="24">
        <v>70</v>
      </c>
      <c r="DE1438" s="25">
        <v>0.78</v>
      </c>
      <c r="DF1438" s="23">
        <v>52.38</v>
      </c>
      <c r="DG1438" s="25" t="s">
        <v>138</v>
      </c>
      <c r="DH1438" s="24" t="s">
        <v>138</v>
      </c>
      <c r="DI1438" s="25">
        <v>2.27</v>
      </c>
      <c r="DJ1438" s="24">
        <v>65</v>
      </c>
      <c r="DK1438" s="25" t="s">
        <v>138</v>
      </c>
      <c r="DL1438" s="24" t="s">
        <v>138</v>
      </c>
      <c r="DM1438" s="25" t="s">
        <v>138</v>
      </c>
      <c r="DN1438" s="24" t="s">
        <v>138</v>
      </c>
      <c r="DO1438" s="25">
        <v>2.27</v>
      </c>
      <c r="DP1438" s="24">
        <v>66</v>
      </c>
      <c r="DQ1438" s="24" t="s">
        <v>138</v>
      </c>
      <c r="DR1438" s="26" t="s">
        <v>138</v>
      </c>
      <c r="DS1438" s="23" t="s">
        <v>138</v>
      </c>
      <c r="DT1438" s="24" t="s">
        <v>138</v>
      </c>
      <c r="DU1438" s="26" t="s">
        <v>138</v>
      </c>
      <c r="DV1438" s="23" t="s">
        <v>138</v>
      </c>
      <c r="DW1438" s="24">
        <v>812</v>
      </c>
      <c r="DX1438" s="27">
        <v>0</v>
      </c>
      <c r="DY1438" s="23">
        <v>0</v>
      </c>
      <c r="DZ1438" s="15" t="s">
        <v>178</v>
      </c>
      <c r="EA1438" s="22">
        <v>43559</v>
      </c>
      <c r="EB1438" s="17" t="s">
        <v>138</v>
      </c>
      <c r="EC1438" s="22" t="s">
        <v>138</v>
      </c>
      <c r="ED1438" s="15" t="s">
        <v>138</v>
      </c>
      <c r="EE1438" s="14" t="str">
        <f>HYPERLINK("https://my.pitchbook.com?c=160742-98", "View company online")</f>
        <v>View company online</v>
      </c>
    </row>
    <row r="1439" spans="1:135">
      <c r="A1439" s="28" t="s">
        <v>27685</v>
      </c>
      <c r="B1439" s="28" t="s">
        <v>27686</v>
      </c>
      <c r="C1439" s="28" t="s">
        <v>138</v>
      </c>
      <c r="D1439" s="28" t="s">
        <v>138</v>
      </c>
      <c r="E1439" s="28" t="s">
        <v>138</v>
      </c>
      <c r="F1439" s="28" t="s">
        <v>27685</v>
      </c>
      <c r="G1439" s="28" t="s">
        <v>27687</v>
      </c>
      <c r="H1439" s="28" t="s">
        <v>890</v>
      </c>
      <c r="I1439" s="28" t="s">
        <v>891</v>
      </c>
      <c r="J1439" s="28" t="s">
        <v>27688</v>
      </c>
      <c r="K1439" s="28" t="s">
        <v>27689</v>
      </c>
      <c r="L1439" s="28" t="s">
        <v>138</v>
      </c>
      <c r="M1439" s="28" t="s">
        <v>27690</v>
      </c>
      <c r="N1439" s="28" t="s">
        <v>147</v>
      </c>
      <c r="O1439" s="29">
        <v>27</v>
      </c>
      <c r="P1439" s="28" t="s">
        <v>148</v>
      </c>
      <c r="Q1439" s="28" t="s">
        <v>149</v>
      </c>
      <c r="R1439" s="28" t="s">
        <v>174</v>
      </c>
      <c r="S1439" s="28" t="s">
        <v>27691</v>
      </c>
      <c r="T1439" s="30">
        <v>18</v>
      </c>
      <c r="U1439" s="28" t="s">
        <v>27692</v>
      </c>
      <c r="V1439" s="28" t="s">
        <v>138</v>
      </c>
      <c r="W1439" s="28" t="s">
        <v>138</v>
      </c>
      <c r="X1439" s="31">
        <v>1989</v>
      </c>
      <c r="Y1439" s="28" t="s">
        <v>138</v>
      </c>
      <c r="Z1439" s="28" t="s">
        <v>138</v>
      </c>
      <c r="AA1439" s="28" t="s">
        <v>138</v>
      </c>
      <c r="AB1439" s="32" t="s">
        <v>138</v>
      </c>
      <c r="AC1439" s="32" t="s">
        <v>138</v>
      </c>
      <c r="AD1439" s="32" t="s">
        <v>138</v>
      </c>
      <c r="AE1439" s="32" t="s">
        <v>138</v>
      </c>
      <c r="AF1439" s="32" t="s">
        <v>138</v>
      </c>
      <c r="AG1439" s="28" t="s">
        <v>138</v>
      </c>
      <c r="AH1439" s="32" t="s">
        <v>138</v>
      </c>
      <c r="AI1439" s="32" t="s">
        <v>138</v>
      </c>
      <c r="AJ1439" s="32" t="s">
        <v>138</v>
      </c>
      <c r="AK1439" s="28" t="s">
        <v>27693</v>
      </c>
      <c r="AL1439" s="28" t="s">
        <v>27694</v>
      </c>
      <c r="AM1439" s="28" t="s">
        <v>27695</v>
      </c>
      <c r="AN1439" s="28" t="s">
        <v>27696</v>
      </c>
      <c r="AO1439" s="28" t="s">
        <v>27697</v>
      </c>
      <c r="AP1439" s="28" t="s">
        <v>639</v>
      </c>
      <c r="AQ1439" s="28" t="s">
        <v>27698</v>
      </c>
      <c r="AR1439" s="28" t="s">
        <v>27699</v>
      </c>
      <c r="AS1439" s="28" t="s">
        <v>642</v>
      </c>
      <c r="AT1439" s="28" t="s">
        <v>474</v>
      </c>
      <c r="AU1439" s="28" t="s">
        <v>27700</v>
      </c>
      <c r="AV1439" s="28" t="s">
        <v>162</v>
      </c>
      <c r="AW1439" s="28" t="s">
        <v>27697</v>
      </c>
      <c r="AX1439" s="28" t="s">
        <v>27701</v>
      </c>
      <c r="AY1439" s="28" t="s">
        <v>27702</v>
      </c>
      <c r="AZ1439" s="28" t="s">
        <v>164</v>
      </c>
      <c r="BA1439" s="28" t="s">
        <v>165</v>
      </c>
      <c r="BB1439" s="28" t="s">
        <v>27703</v>
      </c>
      <c r="BC1439" s="28" t="s">
        <v>27704</v>
      </c>
      <c r="BD1439" s="33">
        <v>6</v>
      </c>
      <c r="BE1439" s="28" t="s">
        <v>138</v>
      </c>
      <c r="BF1439" s="28" t="s">
        <v>138</v>
      </c>
      <c r="BG1439" s="28" t="s">
        <v>138</v>
      </c>
      <c r="BH1439" s="28" t="s">
        <v>27705</v>
      </c>
      <c r="BI1439" s="28" t="s">
        <v>138</v>
      </c>
      <c r="BJ1439" s="28" t="s">
        <v>138</v>
      </c>
      <c r="BK1439" s="28" t="s">
        <v>138</v>
      </c>
      <c r="BL1439" s="28" t="s">
        <v>138</v>
      </c>
      <c r="BM1439" s="34">
        <v>39209</v>
      </c>
      <c r="BN1439" s="29">
        <v>27</v>
      </c>
      <c r="BO1439" s="28" t="s">
        <v>172</v>
      </c>
      <c r="BP1439" s="29" t="s">
        <v>138</v>
      </c>
      <c r="BQ1439" s="28" t="s">
        <v>138</v>
      </c>
      <c r="BR1439" s="28" t="s">
        <v>173</v>
      </c>
      <c r="BS1439" s="28" t="s">
        <v>433</v>
      </c>
      <c r="BT1439" s="28" t="s">
        <v>138</v>
      </c>
      <c r="BU1439" s="28" t="s">
        <v>174</v>
      </c>
      <c r="BV1439" s="28" t="s">
        <v>138</v>
      </c>
      <c r="BW1439" s="28" t="s">
        <v>138</v>
      </c>
      <c r="BX1439" s="28" t="s">
        <v>138</v>
      </c>
      <c r="BY1439" s="28" t="s">
        <v>175</v>
      </c>
      <c r="BZ1439" s="34">
        <v>39862</v>
      </c>
      <c r="CA1439" s="29" t="s">
        <v>138</v>
      </c>
      <c r="CB1439" s="28" t="s">
        <v>138</v>
      </c>
      <c r="CC1439" s="29" t="s">
        <v>138</v>
      </c>
      <c r="CD1439" s="28" t="s">
        <v>138</v>
      </c>
      <c r="CE1439" s="28" t="s">
        <v>173</v>
      </c>
      <c r="CF1439" s="28" t="s">
        <v>482</v>
      </c>
      <c r="CG1439" s="28" t="s">
        <v>138</v>
      </c>
      <c r="CH1439" s="28" t="s">
        <v>174</v>
      </c>
      <c r="CI1439" s="28" t="s">
        <v>138</v>
      </c>
      <c r="CJ1439" s="28" t="s">
        <v>138</v>
      </c>
      <c r="CK1439" s="28" t="s">
        <v>138</v>
      </c>
      <c r="CL1439" s="28" t="s">
        <v>175</v>
      </c>
      <c r="CM1439" s="34" t="s">
        <v>138</v>
      </c>
      <c r="CN1439" s="29" t="s">
        <v>138</v>
      </c>
      <c r="CO1439" s="35">
        <v>0.62</v>
      </c>
      <c r="CP1439" s="36">
        <v>96</v>
      </c>
      <c r="CQ1439" s="35">
        <v>-7.0000000000000007E-2</v>
      </c>
      <c r="CR1439" s="35">
        <v>-10.210000000000001</v>
      </c>
      <c r="CS1439" s="35">
        <v>1.31</v>
      </c>
      <c r="CT1439" s="36">
        <v>97</v>
      </c>
      <c r="CU1439" s="35">
        <v>-0.06</v>
      </c>
      <c r="CV1439" s="36">
        <v>8</v>
      </c>
      <c r="CW1439" s="35">
        <v>0</v>
      </c>
      <c r="CX1439" s="36">
        <v>13</v>
      </c>
      <c r="CY1439" s="35">
        <v>2.63</v>
      </c>
      <c r="CZ1439" s="36">
        <v>100</v>
      </c>
      <c r="DA1439" s="35">
        <v>-0.06</v>
      </c>
      <c r="DB1439" s="36">
        <v>11</v>
      </c>
      <c r="DC1439" s="37">
        <v>2.4700000000000002</v>
      </c>
      <c r="DD1439" s="36">
        <v>71</v>
      </c>
      <c r="DE1439" s="37">
        <v>-0.05</v>
      </c>
      <c r="DF1439" s="35">
        <v>-2.15</v>
      </c>
      <c r="DG1439" s="37">
        <v>2.75</v>
      </c>
      <c r="DH1439" s="36">
        <v>73</v>
      </c>
      <c r="DI1439" s="37">
        <v>2.2000000000000002</v>
      </c>
      <c r="DJ1439" s="36">
        <v>64</v>
      </c>
      <c r="DK1439" s="37">
        <v>1.08</v>
      </c>
      <c r="DL1439" s="36">
        <v>52</v>
      </c>
      <c r="DM1439" s="37">
        <v>4.41</v>
      </c>
      <c r="DN1439" s="36">
        <v>80</v>
      </c>
      <c r="DO1439" s="37">
        <v>2.2000000000000002</v>
      </c>
      <c r="DP1439" s="36">
        <v>65</v>
      </c>
      <c r="DQ1439" s="36">
        <v>351</v>
      </c>
      <c r="DR1439" s="38">
        <v>60</v>
      </c>
      <c r="DS1439" s="35">
        <v>20.62</v>
      </c>
      <c r="DT1439" s="36">
        <v>129</v>
      </c>
      <c r="DU1439" s="38">
        <v>-3</v>
      </c>
      <c r="DV1439" s="35">
        <v>-2.27</v>
      </c>
      <c r="DW1439" s="36">
        <v>787</v>
      </c>
      <c r="DX1439" s="39">
        <v>0</v>
      </c>
      <c r="DY1439" s="35">
        <v>0</v>
      </c>
      <c r="DZ1439" s="28" t="s">
        <v>178</v>
      </c>
      <c r="EA1439" s="34">
        <v>43351</v>
      </c>
      <c r="EB1439" s="29" t="s">
        <v>138</v>
      </c>
      <c r="EC1439" s="34" t="s">
        <v>138</v>
      </c>
      <c r="ED1439" s="28" t="s">
        <v>138</v>
      </c>
      <c r="EE1439" s="40" t="str">
        <f>HYPERLINK("https://my.pitchbook.com?c=56413-45", "View company online")</f>
        <v>View company online</v>
      </c>
    </row>
    <row r="1440" spans="1:135">
      <c r="A1440" s="15" t="s">
        <v>27706</v>
      </c>
      <c r="B1440" s="15" t="s">
        <v>27707</v>
      </c>
      <c r="C1440" s="15" t="s">
        <v>138</v>
      </c>
      <c r="D1440" s="15" t="s">
        <v>27708</v>
      </c>
      <c r="E1440" s="15" t="s">
        <v>138</v>
      </c>
      <c r="F1440" s="15" t="s">
        <v>27706</v>
      </c>
      <c r="G1440" s="15" t="s">
        <v>27709</v>
      </c>
      <c r="H1440" s="15" t="s">
        <v>238</v>
      </c>
      <c r="I1440" s="15" t="s">
        <v>1351</v>
      </c>
      <c r="J1440" s="15" t="s">
        <v>1352</v>
      </c>
      <c r="K1440" s="15" t="s">
        <v>27710</v>
      </c>
      <c r="L1440" s="15" t="s">
        <v>2143</v>
      </c>
      <c r="M1440" s="15" t="s">
        <v>27711</v>
      </c>
      <c r="N1440" s="15" t="s">
        <v>147</v>
      </c>
      <c r="O1440" s="17">
        <v>5.12</v>
      </c>
      <c r="P1440" s="15" t="s">
        <v>148</v>
      </c>
      <c r="Q1440" s="15" t="s">
        <v>149</v>
      </c>
      <c r="R1440" s="15" t="s">
        <v>174</v>
      </c>
      <c r="S1440" s="15" t="s">
        <v>27712</v>
      </c>
      <c r="T1440" s="18">
        <v>4</v>
      </c>
      <c r="U1440" s="15" t="s">
        <v>27713</v>
      </c>
      <c r="V1440" s="15" t="s">
        <v>138</v>
      </c>
      <c r="W1440" s="15" t="s">
        <v>138</v>
      </c>
      <c r="X1440" s="19">
        <v>2014</v>
      </c>
      <c r="Y1440" s="15" t="s">
        <v>138</v>
      </c>
      <c r="Z1440" s="15" t="s">
        <v>138</v>
      </c>
      <c r="AA1440" s="15" t="s">
        <v>138</v>
      </c>
      <c r="AB1440" s="20" t="s">
        <v>138</v>
      </c>
      <c r="AC1440" s="20" t="s">
        <v>138</v>
      </c>
      <c r="AD1440" s="20" t="s">
        <v>138</v>
      </c>
      <c r="AE1440" s="20" t="s">
        <v>138</v>
      </c>
      <c r="AF1440" s="20" t="s">
        <v>138</v>
      </c>
      <c r="AG1440" s="15" t="s">
        <v>138</v>
      </c>
      <c r="AH1440" s="20" t="s">
        <v>138</v>
      </c>
      <c r="AI1440" s="20" t="s">
        <v>138</v>
      </c>
      <c r="AJ1440" s="20" t="s">
        <v>138</v>
      </c>
      <c r="AK1440" s="15" t="s">
        <v>27714</v>
      </c>
      <c r="AL1440" s="15" t="s">
        <v>27715</v>
      </c>
      <c r="AM1440" s="15" t="s">
        <v>27716</v>
      </c>
      <c r="AN1440" s="15" t="s">
        <v>27717</v>
      </c>
      <c r="AO1440" s="15" t="s">
        <v>27718</v>
      </c>
      <c r="AP1440" s="15" t="s">
        <v>861</v>
      </c>
      <c r="AQ1440" s="15" t="s">
        <v>27719</v>
      </c>
      <c r="AR1440" s="15" t="s">
        <v>27720</v>
      </c>
      <c r="AS1440" s="15" t="s">
        <v>863</v>
      </c>
      <c r="AT1440" s="15" t="s">
        <v>864</v>
      </c>
      <c r="AU1440" s="15" t="s">
        <v>865</v>
      </c>
      <c r="AV1440" s="15" t="s">
        <v>162</v>
      </c>
      <c r="AW1440" s="15" t="s">
        <v>27718</v>
      </c>
      <c r="AX1440" s="15" t="s">
        <v>138</v>
      </c>
      <c r="AY1440" s="15" t="s">
        <v>27721</v>
      </c>
      <c r="AZ1440" s="15" t="s">
        <v>164</v>
      </c>
      <c r="BA1440" s="15" t="s">
        <v>165</v>
      </c>
      <c r="BB1440" s="15" t="s">
        <v>27722</v>
      </c>
      <c r="BC1440" s="15" t="s">
        <v>27723</v>
      </c>
      <c r="BD1440" s="21">
        <v>10</v>
      </c>
      <c r="BE1440" s="15" t="s">
        <v>138</v>
      </c>
      <c r="BF1440" s="15" t="s">
        <v>138</v>
      </c>
      <c r="BG1440" s="15" t="s">
        <v>138</v>
      </c>
      <c r="BH1440" s="15" t="s">
        <v>27724</v>
      </c>
      <c r="BI1440" s="15" t="s">
        <v>138</v>
      </c>
      <c r="BJ1440" s="15" t="s">
        <v>138</v>
      </c>
      <c r="BK1440" s="15" t="s">
        <v>27725</v>
      </c>
      <c r="BL1440" s="15" t="s">
        <v>27726</v>
      </c>
      <c r="BM1440" s="22" t="s">
        <v>138</v>
      </c>
      <c r="BN1440" s="17" t="s">
        <v>138</v>
      </c>
      <c r="BO1440" s="15" t="s">
        <v>138</v>
      </c>
      <c r="BP1440" s="17" t="s">
        <v>138</v>
      </c>
      <c r="BQ1440" s="15" t="s">
        <v>138</v>
      </c>
      <c r="BR1440" s="15" t="s">
        <v>316</v>
      </c>
      <c r="BS1440" s="15" t="s">
        <v>138</v>
      </c>
      <c r="BT1440" s="15" t="s">
        <v>138</v>
      </c>
      <c r="BU1440" s="15" t="s">
        <v>177</v>
      </c>
      <c r="BV1440" s="15" t="s">
        <v>138</v>
      </c>
      <c r="BW1440" s="15" t="s">
        <v>138</v>
      </c>
      <c r="BX1440" s="15" t="s">
        <v>138</v>
      </c>
      <c r="BY1440" s="15" t="s">
        <v>175</v>
      </c>
      <c r="BZ1440" s="22">
        <v>43424</v>
      </c>
      <c r="CA1440" s="17">
        <v>2</v>
      </c>
      <c r="CB1440" s="15" t="s">
        <v>1178</v>
      </c>
      <c r="CC1440" s="17">
        <v>12.5</v>
      </c>
      <c r="CD1440" s="15" t="s">
        <v>172</v>
      </c>
      <c r="CE1440" s="15" t="s">
        <v>205</v>
      </c>
      <c r="CF1440" s="15" t="s">
        <v>623</v>
      </c>
      <c r="CG1440" s="15" t="s">
        <v>138</v>
      </c>
      <c r="CH1440" s="15" t="s">
        <v>174</v>
      </c>
      <c r="CI1440" s="15" t="s">
        <v>138</v>
      </c>
      <c r="CJ1440" s="15" t="s">
        <v>138</v>
      </c>
      <c r="CK1440" s="15" t="s">
        <v>138</v>
      </c>
      <c r="CL1440" s="15" t="s">
        <v>175</v>
      </c>
      <c r="CM1440" s="22" t="s">
        <v>138</v>
      </c>
      <c r="CN1440" s="17" t="s">
        <v>138</v>
      </c>
      <c r="CO1440" s="23">
        <v>6.44</v>
      </c>
      <c r="CP1440" s="24">
        <v>100</v>
      </c>
      <c r="CQ1440" s="23">
        <v>0</v>
      </c>
      <c r="CR1440" s="23">
        <v>0.06</v>
      </c>
      <c r="CS1440" s="23">
        <v>-2.25</v>
      </c>
      <c r="CT1440" s="24">
        <v>8</v>
      </c>
      <c r="CU1440" s="23">
        <v>0.32</v>
      </c>
      <c r="CV1440" s="24">
        <v>88</v>
      </c>
      <c r="CW1440" s="23">
        <v>-4.38</v>
      </c>
      <c r="CX1440" s="24">
        <v>3</v>
      </c>
      <c r="CY1440" s="23">
        <v>-0.12</v>
      </c>
      <c r="CZ1440" s="24">
        <v>24</v>
      </c>
      <c r="DA1440" s="23">
        <v>0.31</v>
      </c>
      <c r="DB1440" s="24">
        <v>89</v>
      </c>
      <c r="DC1440" s="25">
        <v>14.47</v>
      </c>
      <c r="DD1440" s="24">
        <v>93</v>
      </c>
      <c r="DE1440" s="25">
        <v>-1.04</v>
      </c>
      <c r="DF1440" s="23">
        <v>-6.73</v>
      </c>
      <c r="DG1440" s="25">
        <v>29.61</v>
      </c>
      <c r="DH1440" s="24">
        <v>97</v>
      </c>
      <c r="DI1440" s="25">
        <v>11.24</v>
      </c>
      <c r="DJ1440" s="24">
        <v>86</v>
      </c>
      <c r="DK1440" s="25">
        <v>52.32</v>
      </c>
      <c r="DL1440" s="24">
        <v>96</v>
      </c>
      <c r="DM1440" s="25">
        <v>6.9</v>
      </c>
      <c r="DN1440" s="24">
        <v>85</v>
      </c>
      <c r="DO1440" s="25">
        <v>4.18</v>
      </c>
      <c r="DP1440" s="24">
        <v>76</v>
      </c>
      <c r="DQ1440" s="24">
        <v>20610</v>
      </c>
      <c r="DR1440" s="26">
        <v>-7994</v>
      </c>
      <c r="DS1440" s="23">
        <v>-27.95</v>
      </c>
      <c r="DT1440" s="24">
        <v>200</v>
      </c>
      <c r="DU1440" s="26">
        <v>0</v>
      </c>
      <c r="DV1440" s="23">
        <v>0</v>
      </c>
      <c r="DW1440" s="24">
        <v>1497</v>
      </c>
      <c r="DX1440" s="27">
        <v>3</v>
      </c>
      <c r="DY1440" s="23">
        <v>0.2</v>
      </c>
      <c r="DZ1440" s="15" t="s">
        <v>178</v>
      </c>
      <c r="EA1440" s="22">
        <v>43523</v>
      </c>
      <c r="EB1440" s="17">
        <v>12.5</v>
      </c>
      <c r="EC1440" s="22">
        <v>43424</v>
      </c>
      <c r="ED1440" s="15" t="s">
        <v>205</v>
      </c>
      <c r="EE1440" s="14" t="str">
        <f>HYPERLINK("https://my.pitchbook.com?c=101504-35", "View company online")</f>
        <v>View company online</v>
      </c>
    </row>
    <row r="1441" spans="1:135">
      <c r="A1441" s="28" t="s">
        <v>27727</v>
      </c>
      <c r="B1441" s="28" t="s">
        <v>27728</v>
      </c>
      <c r="C1441" s="28" t="s">
        <v>27729</v>
      </c>
      <c r="D1441" s="28" t="s">
        <v>138</v>
      </c>
      <c r="E1441" s="28" t="s">
        <v>27730</v>
      </c>
      <c r="F1441" s="28" t="s">
        <v>27727</v>
      </c>
      <c r="G1441" s="28" t="s">
        <v>27731</v>
      </c>
      <c r="H1441" s="28" t="s">
        <v>238</v>
      </c>
      <c r="I1441" s="28" t="s">
        <v>1351</v>
      </c>
      <c r="J1441" s="28" t="s">
        <v>1352</v>
      </c>
      <c r="K1441" s="28" t="s">
        <v>17930</v>
      </c>
      <c r="L1441" s="28" t="s">
        <v>3811</v>
      </c>
      <c r="M1441" s="28" t="s">
        <v>27732</v>
      </c>
      <c r="N1441" s="28" t="s">
        <v>147</v>
      </c>
      <c r="O1441" s="29">
        <v>25.79</v>
      </c>
      <c r="P1441" s="28" t="s">
        <v>610</v>
      </c>
      <c r="Q1441" s="28" t="s">
        <v>149</v>
      </c>
      <c r="R1441" s="28" t="s">
        <v>174</v>
      </c>
      <c r="S1441" s="28" t="s">
        <v>27733</v>
      </c>
      <c r="T1441" s="30">
        <v>2</v>
      </c>
      <c r="U1441" s="28" t="s">
        <v>4417</v>
      </c>
      <c r="V1441" s="28" t="s">
        <v>138</v>
      </c>
      <c r="W1441" s="28" t="s">
        <v>138</v>
      </c>
      <c r="X1441" s="31">
        <v>2016</v>
      </c>
      <c r="Y1441" s="28" t="s">
        <v>138</v>
      </c>
      <c r="Z1441" s="28" t="s">
        <v>138</v>
      </c>
      <c r="AA1441" s="28" t="s">
        <v>138</v>
      </c>
      <c r="AB1441" s="32" t="s">
        <v>138</v>
      </c>
      <c r="AC1441" s="32" t="s">
        <v>138</v>
      </c>
      <c r="AD1441" s="32" t="s">
        <v>138</v>
      </c>
      <c r="AE1441" s="32" t="s">
        <v>138</v>
      </c>
      <c r="AF1441" s="32" t="s">
        <v>138</v>
      </c>
      <c r="AG1441" s="28" t="s">
        <v>138</v>
      </c>
      <c r="AH1441" s="32" t="s">
        <v>138</v>
      </c>
      <c r="AI1441" s="32" t="s">
        <v>138</v>
      </c>
      <c r="AJ1441" s="32" t="s">
        <v>138</v>
      </c>
      <c r="AK1441" s="28" t="s">
        <v>27734</v>
      </c>
      <c r="AL1441" s="28" t="s">
        <v>27735</v>
      </c>
      <c r="AM1441" s="28" t="s">
        <v>25264</v>
      </c>
      <c r="AN1441" s="28" t="s">
        <v>27736</v>
      </c>
      <c r="AO1441" s="28" t="s">
        <v>27737</v>
      </c>
      <c r="AP1441" s="28" t="s">
        <v>4876</v>
      </c>
      <c r="AQ1441" s="28" t="s">
        <v>27738</v>
      </c>
      <c r="AR1441" s="28" t="s">
        <v>138</v>
      </c>
      <c r="AS1441" s="28" t="s">
        <v>4878</v>
      </c>
      <c r="AT1441" s="28" t="s">
        <v>200</v>
      </c>
      <c r="AU1441" s="28" t="s">
        <v>4879</v>
      </c>
      <c r="AV1441" s="28" t="s">
        <v>162</v>
      </c>
      <c r="AW1441" s="28" t="s">
        <v>27737</v>
      </c>
      <c r="AX1441" s="28" t="s">
        <v>138</v>
      </c>
      <c r="AY1441" s="28" t="s">
        <v>138</v>
      </c>
      <c r="AZ1441" s="28" t="s">
        <v>164</v>
      </c>
      <c r="BA1441" s="28" t="s">
        <v>165</v>
      </c>
      <c r="BB1441" s="28" t="s">
        <v>27739</v>
      </c>
      <c r="BC1441" s="28" t="s">
        <v>27740</v>
      </c>
      <c r="BD1441" s="33">
        <v>9</v>
      </c>
      <c r="BE1441" s="28" t="s">
        <v>138</v>
      </c>
      <c r="BF1441" s="28" t="s">
        <v>138</v>
      </c>
      <c r="BG1441" s="28" t="s">
        <v>138</v>
      </c>
      <c r="BH1441" s="28" t="s">
        <v>27741</v>
      </c>
      <c r="BI1441" s="28" t="s">
        <v>138</v>
      </c>
      <c r="BJ1441" s="28" t="s">
        <v>138</v>
      </c>
      <c r="BK1441" s="28" t="s">
        <v>8250</v>
      </c>
      <c r="BL1441" s="28" t="s">
        <v>8250</v>
      </c>
      <c r="BM1441" s="34">
        <v>42887</v>
      </c>
      <c r="BN1441" s="29">
        <v>3.79</v>
      </c>
      <c r="BO1441" s="28" t="s">
        <v>172</v>
      </c>
      <c r="BP1441" s="29">
        <v>13.15</v>
      </c>
      <c r="BQ1441" s="28" t="s">
        <v>172</v>
      </c>
      <c r="BR1441" s="28" t="s">
        <v>205</v>
      </c>
      <c r="BS1441" s="28" t="s">
        <v>206</v>
      </c>
      <c r="BT1441" s="28" t="s">
        <v>138</v>
      </c>
      <c r="BU1441" s="28" t="s">
        <v>174</v>
      </c>
      <c r="BV1441" s="28" t="s">
        <v>138</v>
      </c>
      <c r="BW1441" s="28" t="s">
        <v>138</v>
      </c>
      <c r="BX1441" s="28" t="s">
        <v>138</v>
      </c>
      <c r="BY1441" s="28" t="s">
        <v>175</v>
      </c>
      <c r="BZ1441" s="34">
        <v>43269</v>
      </c>
      <c r="CA1441" s="29">
        <v>22</v>
      </c>
      <c r="CB1441" s="28" t="s">
        <v>172</v>
      </c>
      <c r="CC1441" s="29">
        <v>52</v>
      </c>
      <c r="CD1441" s="28" t="s">
        <v>172</v>
      </c>
      <c r="CE1441" s="28" t="s">
        <v>205</v>
      </c>
      <c r="CF1441" s="28" t="s">
        <v>206</v>
      </c>
      <c r="CG1441" s="28" t="s">
        <v>138</v>
      </c>
      <c r="CH1441" s="28" t="s">
        <v>174</v>
      </c>
      <c r="CI1441" s="28" t="s">
        <v>138</v>
      </c>
      <c r="CJ1441" s="28" t="s">
        <v>138</v>
      </c>
      <c r="CK1441" s="28" t="s">
        <v>138</v>
      </c>
      <c r="CL1441" s="28" t="s">
        <v>175</v>
      </c>
      <c r="CM1441" s="34" t="s">
        <v>138</v>
      </c>
      <c r="CN1441" s="29" t="s">
        <v>138</v>
      </c>
      <c r="CO1441" s="35">
        <v>-5.74</v>
      </c>
      <c r="CP1441" s="36">
        <v>1</v>
      </c>
      <c r="CQ1441" s="35">
        <v>0</v>
      </c>
      <c r="CR1441" s="35">
        <v>0</v>
      </c>
      <c r="CS1441" s="35">
        <v>-5.74</v>
      </c>
      <c r="CT1441" s="36">
        <v>2</v>
      </c>
      <c r="CU1441" s="35" t="s">
        <v>138</v>
      </c>
      <c r="CV1441" s="36" t="s">
        <v>138</v>
      </c>
      <c r="CW1441" s="35">
        <v>-5.74</v>
      </c>
      <c r="CX1441" s="36">
        <v>2</v>
      </c>
      <c r="CY1441" s="35" t="s">
        <v>138</v>
      </c>
      <c r="CZ1441" s="36" t="s">
        <v>138</v>
      </c>
      <c r="DA1441" s="35" t="s">
        <v>138</v>
      </c>
      <c r="DB1441" s="36" t="s">
        <v>138</v>
      </c>
      <c r="DC1441" s="37">
        <v>2.68</v>
      </c>
      <c r="DD1441" s="36">
        <v>73</v>
      </c>
      <c r="DE1441" s="37">
        <v>-0.34</v>
      </c>
      <c r="DF1441" s="35">
        <v>-11.37</v>
      </c>
      <c r="DG1441" s="37">
        <v>2.68</v>
      </c>
      <c r="DH1441" s="36">
        <v>72</v>
      </c>
      <c r="DI1441" s="37" t="s">
        <v>138</v>
      </c>
      <c r="DJ1441" s="36" t="s">
        <v>138</v>
      </c>
      <c r="DK1441" s="37">
        <v>2.68</v>
      </c>
      <c r="DL1441" s="36">
        <v>70</v>
      </c>
      <c r="DM1441" s="37" t="s">
        <v>138</v>
      </c>
      <c r="DN1441" s="36" t="s">
        <v>138</v>
      </c>
      <c r="DO1441" s="37" t="s">
        <v>138</v>
      </c>
      <c r="DP1441" s="36" t="s">
        <v>138</v>
      </c>
      <c r="DQ1441" s="36">
        <v>893</v>
      </c>
      <c r="DR1441" s="38">
        <v>75</v>
      </c>
      <c r="DS1441" s="35">
        <v>9.17</v>
      </c>
      <c r="DT1441" s="36" t="s">
        <v>138</v>
      </c>
      <c r="DU1441" s="38" t="s">
        <v>138</v>
      </c>
      <c r="DV1441" s="35" t="s">
        <v>138</v>
      </c>
      <c r="DW1441" s="36" t="s">
        <v>138</v>
      </c>
      <c r="DX1441" s="39" t="s">
        <v>138</v>
      </c>
      <c r="DY1441" s="35" t="s">
        <v>138</v>
      </c>
      <c r="DZ1441" s="28" t="s">
        <v>178</v>
      </c>
      <c r="EA1441" s="34">
        <v>43385</v>
      </c>
      <c r="EB1441" s="29">
        <v>52</v>
      </c>
      <c r="EC1441" s="34">
        <v>43269</v>
      </c>
      <c r="ED1441" s="28" t="s">
        <v>205</v>
      </c>
      <c r="EE1441" s="40" t="str">
        <f>HYPERLINK("https://my.pitchbook.com?c=164396-62", "View company online")</f>
        <v>View company online</v>
      </c>
    </row>
    <row r="1442" spans="1:135">
      <c r="A1442" s="15" t="s">
        <v>27742</v>
      </c>
      <c r="B1442" s="15" t="s">
        <v>27743</v>
      </c>
      <c r="C1442" s="15" t="s">
        <v>138</v>
      </c>
      <c r="D1442" s="15" t="s">
        <v>138</v>
      </c>
      <c r="E1442" s="15" t="s">
        <v>27744</v>
      </c>
      <c r="F1442" s="15" t="s">
        <v>27742</v>
      </c>
      <c r="G1442" s="15" t="s">
        <v>27745</v>
      </c>
      <c r="H1442" s="15" t="s">
        <v>322</v>
      </c>
      <c r="I1442" s="15" t="s">
        <v>323</v>
      </c>
      <c r="J1442" s="15" t="s">
        <v>461</v>
      </c>
      <c r="K1442" s="15" t="s">
        <v>462</v>
      </c>
      <c r="L1442" s="15" t="s">
        <v>27746</v>
      </c>
      <c r="M1442" s="15" t="s">
        <v>27747</v>
      </c>
      <c r="N1442" s="15" t="s">
        <v>147</v>
      </c>
      <c r="O1442" s="17">
        <v>55.68</v>
      </c>
      <c r="P1442" s="15" t="s">
        <v>812</v>
      </c>
      <c r="Q1442" s="15" t="s">
        <v>149</v>
      </c>
      <c r="R1442" s="15" t="s">
        <v>174</v>
      </c>
      <c r="S1442" s="15" t="s">
        <v>27748</v>
      </c>
      <c r="T1442" s="18">
        <v>100</v>
      </c>
      <c r="U1442" s="15" t="s">
        <v>25881</v>
      </c>
      <c r="V1442" s="15" t="s">
        <v>138</v>
      </c>
      <c r="W1442" s="15" t="s">
        <v>138</v>
      </c>
      <c r="X1442" s="19">
        <v>2012</v>
      </c>
      <c r="Y1442" s="15" t="s">
        <v>138</v>
      </c>
      <c r="Z1442" s="15" t="s">
        <v>1163</v>
      </c>
      <c r="AA1442" s="15" t="s">
        <v>1163</v>
      </c>
      <c r="AB1442" s="20">
        <v>16.600000000000001</v>
      </c>
      <c r="AC1442" s="20" t="s">
        <v>138</v>
      </c>
      <c r="AD1442" s="20" t="s">
        <v>138</v>
      </c>
      <c r="AE1442" s="20" t="s">
        <v>138</v>
      </c>
      <c r="AF1442" s="20" t="s">
        <v>138</v>
      </c>
      <c r="AG1442" s="15" t="s">
        <v>419</v>
      </c>
      <c r="AH1442" s="20" t="s">
        <v>138</v>
      </c>
      <c r="AI1442" s="20" t="s">
        <v>138</v>
      </c>
      <c r="AJ1442" s="20" t="s">
        <v>138</v>
      </c>
      <c r="AK1442" s="15" t="s">
        <v>27749</v>
      </c>
      <c r="AL1442" s="15" t="s">
        <v>27750</v>
      </c>
      <c r="AM1442" s="15" t="s">
        <v>5401</v>
      </c>
      <c r="AN1442" s="15" t="s">
        <v>27751</v>
      </c>
      <c r="AO1442" s="15" t="s">
        <v>27752</v>
      </c>
      <c r="AP1442" s="15" t="s">
        <v>19917</v>
      </c>
      <c r="AQ1442" s="15" t="s">
        <v>27753</v>
      </c>
      <c r="AR1442" s="15" t="s">
        <v>6688</v>
      </c>
      <c r="AS1442" s="15" t="s">
        <v>19919</v>
      </c>
      <c r="AT1442" s="15" t="s">
        <v>10615</v>
      </c>
      <c r="AU1442" s="15" t="s">
        <v>27754</v>
      </c>
      <c r="AV1442" s="15" t="s">
        <v>162</v>
      </c>
      <c r="AW1442" s="15" t="s">
        <v>27752</v>
      </c>
      <c r="AX1442" s="15" t="s">
        <v>138</v>
      </c>
      <c r="AY1442" s="15" t="s">
        <v>27755</v>
      </c>
      <c r="AZ1442" s="15" t="s">
        <v>164</v>
      </c>
      <c r="BA1442" s="15" t="s">
        <v>165</v>
      </c>
      <c r="BB1442" s="15" t="s">
        <v>27756</v>
      </c>
      <c r="BC1442" s="15" t="s">
        <v>27757</v>
      </c>
      <c r="BD1442" s="21">
        <v>12</v>
      </c>
      <c r="BE1442" s="15" t="s">
        <v>138</v>
      </c>
      <c r="BF1442" s="15" t="s">
        <v>138</v>
      </c>
      <c r="BG1442" s="15" t="s">
        <v>138</v>
      </c>
      <c r="BH1442" s="15" t="s">
        <v>27758</v>
      </c>
      <c r="BI1442" s="15" t="s">
        <v>138</v>
      </c>
      <c r="BJ1442" s="15" t="s">
        <v>138</v>
      </c>
      <c r="BK1442" s="15" t="s">
        <v>1275</v>
      </c>
      <c r="BL1442" s="15" t="s">
        <v>1275</v>
      </c>
      <c r="BM1442" s="22">
        <v>41662</v>
      </c>
      <c r="BN1442" s="17" t="s">
        <v>138</v>
      </c>
      <c r="BO1442" s="15" t="s">
        <v>138</v>
      </c>
      <c r="BP1442" s="17" t="s">
        <v>138</v>
      </c>
      <c r="BQ1442" s="15" t="s">
        <v>138</v>
      </c>
      <c r="BR1442" s="15" t="s">
        <v>316</v>
      </c>
      <c r="BS1442" s="15" t="s">
        <v>138</v>
      </c>
      <c r="BT1442" s="15" t="s">
        <v>138</v>
      </c>
      <c r="BU1442" s="15" t="s">
        <v>177</v>
      </c>
      <c r="BV1442" s="15" t="s">
        <v>138</v>
      </c>
      <c r="BW1442" s="15" t="s">
        <v>138</v>
      </c>
      <c r="BX1442" s="15" t="s">
        <v>138</v>
      </c>
      <c r="BY1442" s="15" t="s">
        <v>175</v>
      </c>
      <c r="BZ1442" s="22">
        <v>43270</v>
      </c>
      <c r="CA1442" s="17">
        <v>50</v>
      </c>
      <c r="CB1442" s="15" t="s">
        <v>172</v>
      </c>
      <c r="CC1442" s="17">
        <v>215</v>
      </c>
      <c r="CD1442" s="15" t="s">
        <v>172</v>
      </c>
      <c r="CE1442" s="15" t="s">
        <v>205</v>
      </c>
      <c r="CF1442" s="15" t="s">
        <v>720</v>
      </c>
      <c r="CG1442" s="15" t="s">
        <v>138</v>
      </c>
      <c r="CH1442" s="15" t="s">
        <v>174</v>
      </c>
      <c r="CI1442" s="15" t="s">
        <v>138</v>
      </c>
      <c r="CJ1442" s="15" t="s">
        <v>138</v>
      </c>
      <c r="CK1442" s="15" t="s">
        <v>138</v>
      </c>
      <c r="CL1442" s="15" t="s">
        <v>175</v>
      </c>
      <c r="CM1442" s="22" t="s">
        <v>138</v>
      </c>
      <c r="CN1442" s="17" t="s">
        <v>138</v>
      </c>
      <c r="CO1442" s="23">
        <v>0.2</v>
      </c>
      <c r="CP1442" s="24">
        <v>92</v>
      </c>
      <c r="CQ1442" s="23">
        <v>-0.01</v>
      </c>
      <c r="CR1442" s="23">
        <v>-3.31</v>
      </c>
      <c r="CS1442" s="23">
        <v>-0.12</v>
      </c>
      <c r="CT1442" s="24">
        <v>22</v>
      </c>
      <c r="CU1442" s="23">
        <v>0.51</v>
      </c>
      <c r="CV1442" s="24">
        <v>94</v>
      </c>
      <c r="CW1442" s="23">
        <v>-0.75</v>
      </c>
      <c r="CX1442" s="24">
        <v>10</v>
      </c>
      <c r="CY1442" s="23">
        <v>0.51</v>
      </c>
      <c r="CZ1442" s="24">
        <v>98</v>
      </c>
      <c r="DA1442" s="23">
        <v>0.51</v>
      </c>
      <c r="DB1442" s="24">
        <v>94</v>
      </c>
      <c r="DC1442" s="25">
        <v>3.45</v>
      </c>
      <c r="DD1442" s="24">
        <v>77</v>
      </c>
      <c r="DE1442" s="25">
        <v>-0.15</v>
      </c>
      <c r="DF1442" s="23">
        <v>-4.2300000000000004</v>
      </c>
      <c r="DG1442" s="25">
        <v>5.63</v>
      </c>
      <c r="DH1442" s="24">
        <v>84</v>
      </c>
      <c r="DI1442" s="25">
        <v>1.26</v>
      </c>
      <c r="DJ1442" s="24">
        <v>54</v>
      </c>
      <c r="DK1442" s="25">
        <v>5.17</v>
      </c>
      <c r="DL1442" s="24">
        <v>80</v>
      </c>
      <c r="DM1442" s="25">
        <v>6.1</v>
      </c>
      <c r="DN1442" s="24">
        <v>84</v>
      </c>
      <c r="DO1442" s="25">
        <v>1.26</v>
      </c>
      <c r="DP1442" s="24">
        <v>55</v>
      </c>
      <c r="DQ1442" s="24">
        <v>1722</v>
      </c>
      <c r="DR1442" s="26">
        <v>148</v>
      </c>
      <c r="DS1442" s="23">
        <v>9.4</v>
      </c>
      <c r="DT1442" s="24">
        <v>176</v>
      </c>
      <c r="DU1442" s="26">
        <v>1</v>
      </c>
      <c r="DV1442" s="23">
        <v>0.56999999999999995</v>
      </c>
      <c r="DW1442" s="24">
        <v>451</v>
      </c>
      <c r="DX1442" s="27">
        <v>3</v>
      </c>
      <c r="DY1442" s="23">
        <v>0.67</v>
      </c>
      <c r="DZ1442" s="15" t="s">
        <v>178</v>
      </c>
      <c r="EA1442" s="22">
        <v>43595</v>
      </c>
      <c r="EB1442" s="17">
        <v>215</v>
      </c>
      <c r="EC1442" s="22">
        <v>43270</v>
      </c>
      <c r="ED1442" s="15" t="s">
        <v>205</v>
      </c>
      <c r="EE1442" s="14" t="str">
        <f>HYPERLINK("https://my.pitchbook.com?c=88463-35", "View company online")</f>
        <v>View company online</v>
      </c>
    </row>
    <row r="1443" spans="1:135">
      <c r="A1443" s="28" t="s">
        <v>27759</v>
      </c>
      <c r="B1443" s="28" t="s">
        <v>27760</v>
      </c>
      <c r="C1443" s="28" t="s">
        <v>27761</v>
      </c>
      <c r="D1443" s="28" t="s">
        <v>27762</v>
      </c>
      <c r="E1443" s="28" t="s">
        <v>138</v>
      </c>
      <c r="F1443" s="28" t="s">
        <v>27759</v>
      </c>
      <c r="G1443" s="28" t="s">
        <v>27763</v>
      </c>
      <c r="H1443" s="28" t="s">
        <v>141</v>
      </c>
      <c r="I1443" s="28" t="s">
        <v>142</v>
      </c>
      <c r="J1443" s="28" t="s">
        <v>1924</v>
      </c>
      <c r="K1443" s="28" t="s">
        <v>7029</v>
      </c>
      <c r="L1443" s="28" t="s">
        <v>17950</v>
      </c>
      <c r="M1443" s="28" t="s">
        <v>27764</v>
      </c>
      <c r="N1443" s="28" t="s">
        <v>147</v>
      </c>
      <c r="O1443" s="29" t="s">
        <v>138</v>
      </c>
      <c r="P1443" s="28" t="s">
        <v>148</v>
      </c>
      <c r="Q1443" s="28" t="s">
        <v>149</v>
      </c>
      <c r="R1443" s="28" t="s">
        <v>174</v>
      </c>
      <c r="S1443" s="28" t="s">
        <v>27765</v>
      </c>
      <c r="T1443" s="30">
        <v>54</v>
      </c>
      <c r="U1443" s="28" t="s">
        <v>27766</v>
      </c>
      <c r="V1443" s="28" t="s">
        <v>138</v>
      </c>
      <c r="W1443" s="28" t="s">
        <v>138</v>
      </c>
      <c r="X1443" s="31">
        <v>2002</v>
      </c>
      <c r="Y1443" s="28" t="s">
        <v>138</v>
      </c>
      <c r="Z1443" s="28" t="s">
        <v>138</v>
      </c>
      <c r="AA1443" s="28" t="s">
        <v>138</v>
      </c>
      <c r="AB1443" s="32" t="s">
        <v>138</v>
      </c>
      <c r="AC1443" s="32" t="s">
        <v>138</v>
      </c>
      <c r="AD1443" s="32" t="s">
        <v>138</v>
      </c>
      <c r="AE1443" s="32" t="s">
        <v>138</v>
      </c>
      <c r="AF1443" s="32" t="s">
        <v>138</v>
      </c>
      <c r="AG1443" s="28" t="s">
        <v>138</v>
      </c>
      <c r="AH1443" s="32" t="s">
        <v>138</v>
      </c>
      <c r="AI1443" s="32" t="s">
        <v>138</v>
      </c>
      <c r="AJ1443" s="32" t="s">
        <v>138</v>
      </c>
      <c r="AK1443" s="28" t="s">
        <v>27767</v>
      </c>
      <c r="AL1443" s="28" t="s">
        <v>27768</v>
      </c>
      <c r="AM1443" s="28" t="s">
        <v>566</v>
      </c>
      <c r="AN1443" s="28" t="s">
        <v>138</v>
      </c>
      <c r="AO1443" s="28" t="s">
        <v>27769</v>
      </c>
      <c r="AP1443" s="28" t="s">
        <v>27770</v>
      </c>
      <c r="AQ1443" s="28" t="s">
        <v>27771</v>
      </c>
      <c r="AR1443" s="28" t="s">
        <v>27772</v>
      </c>
      <c r="AS1443" s="28" t="s">
        <v>27773</v>
      </c>
      <c r="AT1443" s="28" t="s">
        <v>138</v>
      </c>
      <c r="AU1443" s="28" t="s">
        <v>27774</v>
      </c>
      <c r="AV1443" s="28" t="s">
        <v>2071</v>
      </c>
      <c r="AW1443" s="28" t="s">
        <v>27769</v>
      </c>
      <c r="AX1443" s="28" t="s">
        <v>27775</v>
      </c>
      <c r="AY1443" s="28" t="s">
        <v>138</v>
      </c>
      <c r="AZ1443" s="28" t="s">
        <v>452</v>
      </c>
      <c r="BA1443" s="28" t="s">
        <v>453</v>
      </c>
      <c r="BB1443" s="28" t="s">
        <v>17329</v>
      </c>
      <c r="BC1443" s="28" t="s">
        <v>2075</v>
      </c>
      <c r="BD1443" s="33">
        <v>1</v>
      </c>
      <c r="BE1443" s="28" t="s">
        <v>138</v>
      </c>
      <c r="BF1443" s="28" t="s">
        <v>138</v>
      </c>
      <c r="BG1443" s="28" t="s">
        <v>138</v>
      </c>
      <c r="BH1443" s="28" t="s">
        <v>2077</v>
      </c>
      <c r="BI1443" s="28" t="s">
        <v>138</v>
      </c>
      <c r="BJ1443" s="28" t="s">
        <v>138</v>
      </c>
      <c r="BK1443" s="28" t="s">
        <v>138</v>
      </c>
      <c r="BL1443" s="28" t="s">
        <v>138</v>
      </c>
      <c r="BM1443" s="34" t="s">
        <v>138</v>
      </c>
      <c r="BN1443" s="29" t="s">
        <v>138</v>
      </c>
      <c r="BO1443" s="28" t="s">
        <v>138</v>
      </c>
      <c r="BP1443" s="29" t="s">
        <v>138</v>
      </c>
      <c r="BQ1443" s="28" t="s">
        <v>138</v>
      </c>
      <c r="BR1443" s="28" t="s">
        <v>173</v>
      </c>
      <c r="BS1443" s="28" t="s">
        <v>138</v>
      </c>
      <c r="BT1443" s="28" t="s">
        <v>138</v>
      </c>
      <c r="BU1443" s="28" t="s">
        <v>174</v>
      </c>
      <c r="BV1443" s="28" t="s">
        <v>138</v>
      </c>
      <c r="BW1443" s="28" t="s">
        <v>138</v>
      </c>
      <c r="BX1443" s="28" t="s">
        <v>138</v>
      </c>
      <c r="BY1443" s="28" t="s">
        <v>175</v>
      </c>
      <c r="BZ1443" s="34" t="s">
        <v>138</v>
      </c>
      <c r="CA1443" s="29" t="s">
        <v>138</v>
      </c>
      <c r="CB1443" s="28" t="s">
        <v>138</v>
      </c>
      <c r="CC1443" s="29" t="s">
        <v>138</v>
      </c>
      <c r="CD1443" s="28" t="s">
        <v>138</v>
      </c>
      <c r="CE1443" s="28" t="s">
        <v>173</v>
      </c>
      <c r="CF1443" s="28" t="s">
        <v>138</v>
      </c>
      <c r="CG1443" s="28" t="s">
        <v>138</v>
      </c>
      <c r="CH1443" s="28" t="s">
        <v>174</v>
      </c>
      <c r="CI1443" s="28" t="s">
        <v>138</v>
      </c>
      <c r="CJ1443" s="28" t="s">
        <v>138</v>
      </c>
      <c r="CK1443" s="28" t="s">
        <v>138</v>
      </c>
      <c r="CL1443" s="28" t="s">
        <v>175</v>
      </c>
      <c r="CM1443" s="34" t="s">
        <v>138</v>
      </c>
      <c r="CN1443" s="29" t="s">
        <v>138</v>
      </c>
      <c r="CO1443" s="35">
        <v>0</v>
      </c>
      <c r="CP1443" s="36">
        <v>26</v>
      </c>
      <c r="CQ1443" s="35">
        <v>0</v>
      </c>
      <c r="CR1443" s="35">
        <v>0</v>
      </c>
      <c r="CS1443" s="35">
        <v>0</v>
      </c>
      <c r="CT1443" s="36">
        <v>23</v>
      </c>
      <c r="CU1443" s="35" t="s">
        <v>138</v>
      </c>
      <c r="CV1443" s="36" t="s">
        <v>138</v>
      </c>
      <c r="CW1443" s="35" t="s">
        <v>138</v>
      </c>
      <c r="CX1443" s="36" t="s">
        <v>138</v>
      </c>
      <c r="CY1443" s="35">
        <v>0</v>
      </c>
      <c r="CZ1443" s="36">
        <v>25</v>
      </c>
      <c r="DA1443" s="35" t="s">
        <v>138</v>
      </c>
      <c r="DB1443" s="36" t="s">
        <v>138</v>
      </c>
      <c r="DC1443" s="37">
        <v>0.21</v>
      </c>
      <c r="DD1443" s="36">
        <v>15</v>
      </c>
      <c r="DE1443" s="37">
        <v>0</v>
      </c>
      <c r="DF1443" s="35">
        <v>0</v>
      </c>
      <c r="DG1443" s="37">
        <v>0.21</v>
      </c>
      <c r="DH1443" s="36">
        <v>16</v>
      </c>
      <c r="DI1443" s="37" t="s">
        <v>138</v>
      </c>
      <c r="DJ1443" s="36" t="s">
        <v>138</v>
      </c>
      <c r="DK1443" s="37" t="s">
        <v>138</v>
      </c>
      <c r="DL1443" s="36" t="s">
        <v>138</v>
      </c>
      <c r="DM1443" s="37">
        <v>0.21</v>
      </c>
      <c r="DN1443" s="36">
        <v>16</v>
      </c>
      <c r="DO1443" s="37" t="s">
        <v>138</v>
      </c>
      <c r="DP1443" s="36" t="s">
        <v>138</v>
      </c>
      <c r="DQ1443" s="36" t="s">
        <v>138</v>
      </c>
      <c r="DR1443" s="38" t="s">
        <v>138</v>
      </c>
      <c r="DS1443" s="35" t="s">
        <v>138</v>
      </c>
      <c r="DT1443" s="36">
        <v>6</v>
      </c>
      <c r="DU1443" s="38">
        <v>0</v>
      </c>
      <c r="DV1443" s="35">
        <v>0</v>
      </c>
      <c r="DW1443" s="36" t="s">
        <v>138</v>
      </c>
      <c r="DX1443" s="39" t="s">
        <v>138</v>
      </c>
      <c r="DY1443" s="35" t="s">
        <v>138</v>
      </c>
      <c r="DZ1443" s="28" t="s">
        <v>178</v>
      </c>
      <c r="EA1443" s="34">
        <v>43551</v>
      </c>
      <c r="EB1443" s="29" t="s">
        <v>138</v>
      </c>
      <c r="EC1443" s="34" t="s">
        <v>138</v>
      </c>
      <c r="ED1443" s="28" t="s">
        <v>138</v>
      </c>
      <c r="EE1443" s="40" t="str">
        <f>HYPERLINK("https://my.pitchbook.com?c=54830-62", "View company online")</f>
        <v>View company online</v>
      </c>
    </row>
    <row r="1444" spans="1:135">
      <c r="A1444" s="15" t="s">
        <v>27776</v>
      </c>
      <c r="B1444" s="15" t="s">
        <v>27777</v>
      </c>
      <c r="C1444" s="15" t="s">
        <v>27778</v>
      </c>
      <c r="D1444" s="15" t="s">
        <v>138</v>
      </c>
      <c r="E1444" s="15" t="s">
        <v>27779</v>
      </c>
      <c r="F1444" s="15" t="s">
        <v>27776</v>
      </c>
      <c r="G1444" s="15" t="s">
        <v>27780</v>
      </c>
      <c r="H1444" s="15" t="s">
        <v>322</v>
      </c>
      <c r="I1444" s="15" t="s">
        <v>323</v>
      </c>
      <c r="J1444" s="15" t="s">
        <v>1132</v>
      </c>
      <c r="K1444" s="15" t="s">
        <v>27781</v>
      </c>
      <c r="L1444" s="15" t="s">
        <v>27782</v>
      </c>
      <c r="M1444" s="15" t="s">
        <v>27783</v>
      </c>
      <c r="N1444" s="15" t="s">
        <v>147</v>
      </c>
      <c r="O1444" s="17">
        <v>72.650000000000006</v>
      </c>
      <c r="P1444" s="15" t="s">
        <v>148</v>
      </c>
      <c r="Q1444" s="15" t="s">
        <v>149</v>
      </c>
      <c r="R1444" s="15" t="s">
        <v>174</v>
      </c>
      <c r="S1444" s="15" t="s">
        <v>27784</v>
      </c>
      <c r="T1444" s="18">
        <v>38</v>
      </c>
      <c r="U1444" s="15" t="s">
        <v>27785</v>
      </c>
      <c r="V1444" s="15" t="s">
        <v>138</v>
      </c>
      <c r="W1444" s="15" t="s">
        <v>138</v>
      </c>
      <c r="X1444" s="19">
        <v>2014</v>
      </c>
      <c r="Y1444" s="15" t="s">
        <v>138</v>
      </c>
      <c r="Z1444" s="15" t="s">
        <v>138</v>
      </c>
      <c r="AA1444" s="15" t="s">
        <v>138</v>
      </c>
      <c r="AB1444" s="20" t="s">
        <v>138</v>
      </c>
      <c r="AC1444" s="20" t="s">
        <v>138</v>
      </c>
      <c r="AD1444" s="20" t="s">
        <v>138</v>
      </c>
      <c r="AE1444" s="20" t="s">
        <v>138</v>
      </c>
      <c r="AF1444" s="20" t="s">
        <v>138</v>
      </c>
      <c r="AG1444" s="15" t="s">
        <v>138</v>
      </c>
      <c r="AH1444" s="20" t="s">
        <v>138</v>
      </c>
      <c r="AI1444" s="20" t="s">
        <v>138</v>
      </c>
      <c r="AJ1444" s="20" t="s">
        <v>138</v>
      </c>
      <c r="AK1444" s="15" t="s">
        <v>27786</v>
      </c>
      <c r="AL1444" s="15" t="s">
        <v>27787</v>
      </c>
      <c r="AM1444" s="15" t="s">
        <v>9482</v>
      </c>
      <c r="AN1444" s="15" t="s">
        <v>27788</v>
      </c>
      <c r="AO1444" s="15" t="s">
        <v>27789</v>
      </c>
      <c r="AP1444" s="15" t="s">
        <v>423</v>
      </c>
      <c r="AQ1444" s="15" t="s">
        <v>27790</v>
      </c>
      <c r="AR1444" s="15" t="s">
        <v>6874</v>
      </c>
      <c r="AS1444" s="15" t="s">
        <v>426</v>
      </c>
      <c r="AT1444" s="15" t="s">
        <v>426</v>
      </c>
      <c r="AU1444" s="15" t="s">
        <v>1074</v>
      </c>
      <c r="AV1444" s="15" t="s">
        <v>162</v>
      </c>
      <c r="AW1444" s="15" t="s">
        <v>27789</v>
      </c>
      <c r="AX1444" s="15" t="s">
        <v>138</v>
      </c>
      <c r="AY1444" s="15" t="s">
        <v>138</v>
      </c>
      <c r="AZ1444" s="15" t="s">
        <v>164</v>
      </c>
      <c r="BA1444" s="15" t="s">
        <v>165</v>
      </c>
      <c r="BB1444" s="15" t="s">
        <v>27791</v>
      </c>
      <c r="BC1444" s="15" t="s">
        <v>27792</v>
      </c>
      <c r="BD1444" s="21">
        <v>36</v>
      </c>
      <c r="BE1444" s="15" t="s">
        <v>138</v>
      </c>
      <c r="BF1444" s="15" t="s">
        <v>138</v>
      </c>
      <c r="BG1444" s="15" t="s">
        <v>138</v>
      </c>
      <c r="BH1444" s="15" t="s">
        <v>27793</v>
      </c>
      <c r="BI1444" s="15" t="s">
        <v>138</v>
      </c>
      <c r="BJ1444" s="15" t="s">
        <v>138</v>
      </c>
      <c r="BK1444" s="15" t="s">
        <v>27794</v>
      </c>
      <c r="BL1444" s="15" t="s">
        <v>27795</v>
      </c>
      <c r="BM1444" s="22">
        <v>42275</v>
      </c>
      <c r="BN1444" s="17">
        <v>10</v>
      </c>
      <c r="BO1444" s="15" t="s">
        <v>172</v>
      </c>
      <c r="BP1444" s="17" t="s">
        <v>138</v>
      </c>
      <c r="BQ1444" s="15" t="s">
        <v>138</v>
      </c>
      <c r="BR1444" s="15" t="s">
        <v>234</v>
      </c>
      <c r="BS1444" s="15" t="s">
        <v>234</v>
      </c>
      <c r="BT1444" s="15" t="s">
        <v>138</v>
      </c>
      <c r="BU1444" s="15" t="s">
        <v>174</v>
      </c>
      <c r="BV1444" s="15" t="s">
        <v>138</v>
      </c>
      <c r="BW1444" s="15" t="s">
        <v>138</v>
      </c>
      <c r="BX1444" s="15" t="s">
        <v>138</v>
      </c>
      <c r="BY1444" s="15" t="s">
        <v>175</v>
      </c>
      <c r="BZ1444" s="22">
        <v>43550</v>
      </c>
      <c r="CA1444" s="17">
        <v>28.05</v>
      </c>
      <c r="CB1444" s="15" t="s">
        <v>172</v>
      </c>
      <c r="CC1444" s="17">
        <v>140.05000000000001</v>
      </c>
      <c r="CD1444" s="15" t="s">
        <v>172</v>
      </c>
      <c r="CE1444" s="15" t="s">
        <v>205</v>
      </c>
      <c r="CF1444" s="15" t="s">
        <v>623</v>
      </c>
      <c r="CG1444" s="15" t="s">
        <v>138</v>
      </c>
      <c r="CH1444" s="15" t="s">
        <v>174</v>
      </c>
      <c r="CI1444" s="15" t="s">
        <v>138</v>
      </c>
      <c r="CJ1444" s="15" t="s">
        <v>138</v>
      </c>
      <c r="CK1444" s="15" t="s">
        <v>138</v>
      </c>
      <c r="CL1444" s="15" t="s">
        <v>175</v>
      </c>
      <c r="CM1444" s="22" t="s">
        <v>138</v>
      </c>
      <c r="CN1444" s="17" t="s">
        <v>138</v>
      </c>
      <c r="CO1444" s="23">
        <v>1.51</v>
      </c>
      <c r="CP1444" s="24">
        <v>98</v>
      </c>
      <c r="CQ1444" s="23">
        <v>0.01</v>
      </c>
      <c r="CR1444" s="23">
        <v>0.53</v>
      </c>
      <c r="CS1444" s="23">
        <v>2.6</v>
      </c>
      <c r="CT1444" s="24">
        <v>99</v>
      </c>
      <c r="CU1444" s="23">
        <v>0.42</v>
      </c>
      <c r="CV1444" s="24">
        <v>92</v>
      </c>
      <c r="CW1444" s="23">
        <v>4.5</v>
      </c>
      <c r="CX1444" s="24">
        <v>95</v>
      </c>
      <c r="CY1444" s="23">
        <v>0.7</v>
      </c>
      <c r="CZ1444" s="24">
        <v>99</v>
      </c>
      <c r="DA1444" s="23">
        <v>0.7</v>
      </c>
      <c r="DB1444" s="24">
        <v>96</v>
      </c>
      <c r="DC1444" s="25">
        <v>73.680000000000007</v>
      </c>
      <c r="DD1444" s="24">
        <v>99</v>
      </c>
      <c r="DE1444" s="25">
        <v>-3.13</v>
      </c>
      <c r="DF1444" s="23">
        <v>-4.07</v>
      </c>
      <c r="DG1444" s="25">
        <v>79.16</v>
      </c>
      <c r="DH1444" s="24">
        <v>99</v>
      </c>
      <c r="DI1444" s="25">
        <v>68.2</v>
      </c>
      <c r="DJ1444" s="24">
        <v>96</v>
      </c>
      <c r="DK1444" s="25">
        <v>101.91</v>
      </c>
      <c r="DL1444" s="24">
        <v>98</v>
      </c>
      <c r="DM1444" s="25">
        <v>56.41</v>
      </c>
      <c r="DN1444" s="24">
        <v>98</v>
      </c>
      <c r="DO1444" s="25">
        <v>47.39</v>
      </c>
      <c r="DP1444" s="24">
        <v>96</v>
      </c>
      <c r="DQ1444" s="24">
        <v>34324</v>
      </c>
      <c r="DR1444" s="26">
        <v>1889</v>
      </c>
      <c r="DS1444" s="23">
        <v>5.82</v>
      </c>
      <c r="DT1444" s="24">
        <v>1634</v>
      </c>
      <c r="DU1444" s="26">
        <v>28</v>
      </c>
      <c r="DV1444" s="23">
        <v>1.74</v>
      </c>
      <c r="DW1444" s="24">
        <v>16913</v>
      </c>
      <c r="DX1444" s="27">
        <v>100</v>
      </c>
      <c r="DY1444" s="23">
        <v>0.59</v>
      </c>
      <c r="DZ1444" s="15" t="s">
        <v>178</v>
      </c>
      <c r="EA1444" s="22">
        <v>43601</v>
      </c>
      <c r="EB1444" s="17">
        <v>140.05000000000001</v>
      </c>
      <c r="EC1444" s="22">
        <v>43550</v>
      </c>
      <c r="ED1444" s="15" t="s">
        <v>205</v>
      </c>
      <c r="EE1444" s="14" t="str">
        <f>HYPERLINK("https://my.pitchbook.com?c=124926-04", "View company online")</f>
        <v>View company online</v>
      </c>
    </row>
    <row r="1445" spans="1:135">
      <c r="A1445" s="28" t="s">
        <v>27796</v>
      </c>
      <c r="B1445" s="28" t="s">
        <v>27797</v>
      </c>
      <c r="C1445" s="28" t="s">
        <v>27798</v>
      </c>
      <c r="D1445" s="28" t="s">
        <v>138</v>
      </c>
      <c r="E1445" s="28" t="s">
        <v>27799</v>
      </c>
      <c r="F1445" s="28" t="s">
        <v>27796</v>
      </c>
      <c r="G1445" s="28" t="s">
        <v>27800</v>
      </c>
      <c r="H1445" s="28" t="s">
        <v>5219</v>
      </c>
      <c r="I1445" s="28" t="s">
        <v>6415</v>
      </c>
      <c r="J1445" s="28" t="s">
        <v>6416</v>
      </c>
      <c r="K1445" s="28" t="s">
        <v>27801</v>
      </c>
      <c r="L1445" s="28" t="s">
        <v>138</v>
      </c>
      <c r="M1445" s="28" t="s">
        <v>27802</v>
      </c>
      <c r="N1445" s="28" t="s">
        <v>147</v>
      </c>
      <c r="O1445" s="29">
        <v>461.32</v>
      </c>
      <c r="P1445" s="28" t="s">
        <v>148</v>
      </c>
      <c r="Q1445" s="28" t="s">
        <v>149</v>
      </c>
      <c r="R1445" s="28" t="s">
        <v>174</v>
      </c>
      <c r="S1445" s="28" t="s">
        <v>27803</v>
      </c>
      <c r="T1445" s="30">
        <v>332</v>
      </c>
      <c r="U1445" s="28" t="s">
        <v>27804</v>
      </c>
      <c r="V1445" s="28" t="s">
        <v>138</v>
      </c>
      <c r="W1445" s="28" t="s">
        <v>138</v>
      </c>
      <c r="X1445" s="31">
        <v>2007</v>
      </c>
      <c r="Y1445" s="28" t="s">
        <v>138</v>
      </c>
      <c r="Z1445" s="28" t="s">
        <v>138</v>
      </c>
      <c r="AA1445" s="28" t="s">
        <v>138</v>
      </c>
      <c r="AB1445" s="32" t="s">
        <v>138</v>
      </c>
      <c r="AC1445" s="32" t="s">
        <v>138</v>
      </c>
      <c r="AD1445" s="32" t="s">
        <v>138</v>
      </c>
      <c r="AE1445" s="32" t="s">
        <v>138</v>
      </c>
      <c r="AF1445" s="32" t="s">
        <v>138</v>
      </c>
      <c r="AG1445" s="28" t="s">
        <v>138</v>
      </c>
      <c r="AH1445" s="32" t="s">
        <v>138</v>
      </c>
      <c r="AI1445" s="32" t="s">
        <v>138</v>
      </c>
      <c r="AJ1445" s="32" t="s">
        <v>138</v>
      </c>
      <c r="AK1445" s="28" t="s">
        <v>27805</v>
      </c>
      <c r="AL1445" s="28" t="s">
        <v>27806</v>
      </c>
      <c r="AM1445" s="28" t="s">
        <v>4269</v>
      </c>
      <c r="AN1445" s="28" t="s">
        <v>27807</v>
      </c>
      <c r="AO1445" s="28" t="s">
        <v>27808</v>
      </c>
      <c r="AP1445" s="28" t="s">
        <v>27809</v>
      </c>
      <c r="AQ1445" s="28" t="s">
        <v>27810</v>
      </c>
      <c r="AR1445" s="28" t="s">
        <v>138</v>
      </c>
      <c r="AS1445" s="28" t="s">
        <v>27811</v>
      </c>
      <c r="AT1445" s="28" t="s">
        <v>3140</v>
      </c>
      <c r="AU1445" s="28" t="s">
        <v>27812</v>
      </c>
      <c r="AV1445" s="28" t="s">
        <v>162</v>
      </c>
      <c r="AW1445" s="28" t="s">
        <v>27813</v>
      </c>
      <c r="AX1445" s="28" t="s">
        <v>27814</v>
      </c>
      <c r="AY1445" s="28" t="s">
        <v>27815</v>
      </c>
      <c r="AZ1445" s="28" t="s">
        <v>164</v>
      </c>
      <c r="BA1445" s="28" t="s">
        <v>165</v>
      </c>
      <c r="BB1445" s="28" t="s">
        <v>27816</v>
      </c>
      <c r="BC1445" s="28" t="s">
        <v>27817</v>
      </c>
      <c r="BD1445" s="33">
        <v>9</v>
      </c>
      <c r="BE1445" s="28" t="s">
        <v>138</v>
      </c>
      <c r="BF1445" s="28" t="s">
        <v>138</v>
      </c>
      <c r="BG1445" s="28" t="s">
        <v>138</v>
      </c>
      <c r="BH1445" s="28" t="s">
        <v>27818</v>
      </c>
      <c r="BI1445" s="28" t="s">
        <v>138</v>
      </c>
      <c r="BJ1445" s="28" t="s">
        <v>138</v>
      </c>
      <c r="BK1445" s="28" t="s">
        <v>27668</v>
      </c>
      <c r="BL1445" s="28" t="s">
        <v>27819</v>
      </c>
      <c r="BM1445" s="34">
        <v>39601</v>
      </c>
      <c r="BN1445" s="29">
        <v>88.77</v>
      </c>
      <c r="BO1445" s="28" t="s">
        <v>172</v>
      </c>
      <c r="BP1445" s="29">
        <v>133.22</v>
      </c>
      <c r="BQ1445" s="28" t="s">
        <v>172</v>
      </c>
      <c r="BR1445" s="28" t="s">
        <v>205</v>
      </c>
      <c r="BS1445" s="28" t="s">
        <v>720</v>
      </c>
      <c r="BT1445" s="28" t="s">
        <v>138</v>
      </c>
      <c r="BU1445" s="28" t="s">
        <v>174</v>
      </c>
      <c r="BV1445" s="28" t="s">
        <v>138</v>
      </c>
      <c r="BW1445" s="28" t="s">
        <v>138</v>
      </c>
      <c r="BX1445" s="28" t="s">
        <v>138</v>
      </c>
      <c r="BY1445" s="28" t="s">
        <v>175</v>
      </c>
      <c r="BZ1445" s="34">
        <v>43262</v>
      </c>
      <c r="CA1445" s="29">
        <v>89.68</v>
      </c>
      <c r="CB1445" s="28" t="s">
        <v>172</v>
      </c>
      <c r="CC1445" s="29">
        <v>1489.79</v>
      </c>
      <c r="CD1445" s="28" t="s">
        <v>172</v>
      </c>
      <c r="CE1445" s="28" t="s">
        <v>173</v>
      </c>
      <c r="CF1445" s="28" t="s">
        <v>5037</v>
      </c>
      <c r="CG1445" s="28" t="s">
        <v>138</v>
      </c>
      <c r="CH1445" s="28" t="s">
        <v>174</v>
      </c>
      <c r="CI1445" s="28" t="s">
        <v>138</v>
      </c>
      <c r="CJ1445" s="28" t="s">
        <v>138</v>
      </c>
      <c r="CK1445" s="28" t="s">
        <v>138</v>
      </c>
      <c r="CL1445" s="28" t="s">
        <v>175</v>
      </c>
      <c r="CM1445" s="34" t="s">
        <v>138</v>
      </c>
      <c r="CN1445" s="29" t="s">
        <v>138</v>
      </c>
      <c r="CO1445" s="35">
        <v>-0.45</v>
      </c>
      <c r="CP1445" s="36">
        <v>17</v>
      </c>
      <c r="CQ1445" s="35">
        <v>0.01</v>
      </c>
      <c r="CR1445" s="35">
        <v>2.3199999999999998</v>
      </c>
      <c r="CS1445" s="35">
        <v>-0.95</v>
      </c>
      <c r="CT1445" s="36">
        <v>15</v>
      </c>
      <c r="CU1445" s="35">
        <v>0.06</v>
      </c>
      <c r="CV1445" s="36">
        <v>60</v>
      </c>
      <c r="CW1445" s="35">
        <v>0</v>
      </c>
      <c r="CX1445" s="36">
        <v>13</v>
      </c>
      <c r="CY1445" s="35">
        <v>-1.91</v>
      </c>
      <c r="CZ1445" s="36">
        <v>12</v>
      </c>
      <c r="DA1445" s="35">
        <v>0.06</v>
      </c>
      <c r="DB1445" s="36">
        <v>65</v>
      </c>
      <c r="DC1445" s="37">
        <v>3.84</v>
      </c>
      <c r="DD1445" s="36">
        <v>79</v>
      </c>
      <c r="DE1445" s="37">
        <v>-0.1</v>
      </c>
      <c r="DF1445" s="35">
        <v>-2.5</v>
      </c>
      <c r="DG1445" s="37">
        <v>7.07</v>
      </c>
      <c r="DH1445" s="36">
        <v>86</v>
      </c>
      <c r="DI1445" s="37">
        <v>0.62</v>
      </c>
      <c r="DJ1445" s="36">
        <v>40</v>
      </c>
      <c r="DK1445" s="37">
        <v>2.9</v>
      </c>
      <c r="DL1445" s="36">
        <v>71</v>
      </c>
      <c r="DM1445" s="37">
        <v>11.24</v>
      </c>
      <c r="DN1445" s="36">
        <v>90</v>
      </c>
      <c r="DO1445" s="37">
        <v>0.62</v>
      </c>
      <c r="DP1445" s="36">
        <v>42</v>
      </c>
      <c r="DQ1445" s="36">
        <v>942</v>
      </c>
      <c r="DR1445" s="38">
        <v>153</v>
      </c>
      <c r="DS1445" s="35">
        <v>19.39</v>
      </c>
      <c r="DT1445" s="36">
        <v>326</v>
      </c>
      <c r="DU1445" s="38">
        <v>-1</v>
      </c>
      <c r="DV1445" s="35">
        <v>-0.31</v>
      </c>
      <c r="DW1445" s="36">
        <v>221</v>
      </c>
      <c r="DX1445" s="39">
        <v>1</v>
      </c>
      <c r="DY1445" s="35">
        <v>0.45</v>
      </c>
      <c r="DZ1445" s="28" t="s">
        <v>178</v>
      </c>
      <c r="EA1445" s="34">
        <v>43622</v>
      </c>
      <c r="EB1445" s="29">
        <v>1489.79</v>
      </c>
      <c r="EC1445" s="34">
        <v>43262</v>
      </c>
      <c r="ED1445" s="28" t="s">
        <v>173</v>
      </c>
      <c r="EE1445" s="40" t="str">
        <f>HYPERLINK("https://my.pitchbook.com?c=42881-32", "View company online")</f>
        <v>View company online</v>
      </c>
    </row>
    <row r="1446" spans="1:135">
      <c r="A1446" s="15" t="s">
        <v>27820</v>
      </c>
      <c r="B1446" s="15" t="s">
        <v>27821</v>
      </c>
      <c r="C1446" s="15" t="s">
        <v>138</v>
      </c>
      <c r="D1446" s="15" t="s">
        <v>138</v>
      </c>
      <c r="E1446" s="15" t="s">
        <v>27822</v>
      </c>
      <c r="F1446" s="15" t="s">
        <v>27820</v>
      </c>
      <c r="G1446" s="15" t="s">
        <v>27823</v>
      </c>
      <c r="H1446" s="15" t="s">
        <v>141</v>
      </c>
      <c r="I1446" s="15" t="s">
        <v>142</v>
      </c>
      <c r="J1446" s="15" t="s">
        <v>4042</v>
      </c>
      <c r="K1446" s="15" t="s">
        <v>27824</v>
      </c>
      <c r="L1446" s="15" t="s">
        <v>3811</v>
      </c>
      <c r="M1446" s="15" t="s">
        <v>27825</v>
      </c>
      <c r="N1446" s="15" t="s">
        <v>147</v>
      </c>
      <c r="O1446" s="17">
        <v>4.8499999999999996</v>
      </c>
      <c r="P1446" s="15" t="s">
        <v>610</v>
      </c>
      <c r="Q1446" s="15" t="s">
        <v>149</v>
      </c>
      <c r="R1446" s="15" t="s">
        <v>174</v>
      </c>
      <c r="S1446" s="15" t="s">
        <v>27826</v>
      </c>
      <c r="T1446" s="18" t="s">
        <v>138</v>
      </c>
      <c r="U1446" s="15" t="s">
        <v>138</v>
      </c>
      <c r="V1446" s="15" t="s">
        <v>138</v>
      </c>
      <c r="W1446" s="15" t="s">
        <v>138</v>
      </c>
      <c r="X1446" s="19">
        <v>2017</v>
      </c>
      <c r="Y1446" s="15" t="s">
        <v>138</v>
      </c>
      <c r="Z1446" s="15" t="s">
        <v>138</v>
      </c>
      <c r="AA1446" s="15" t="s">
        <v>138</v>
      </c>
      <c r="AB1446" s="20" t="s">
        <v>138</v>
      </c>
      <c r="AC1446" s="20" t="s">
        <v>138</v>
      </c>
      <c r="AD1446" s="20" t="s">
        <v>138</v>
      </c>
      <c r="AE1446" s="20" t="s">
        <v>138</v>
      </c>
      <c r="AF1446" s="20" t="s">
        <v>138</v>
      </c>
      <c r="AG1446" s="15" t="s">
        <v>138</v>
      </c>
      <c r="AH1446" s="20" t="s">
        <v>138</v>
      </c>
      <c r="AI1446" s="20" t="s">
        <v>138</v>
      </c>
      <c r="AJ1446" s="20" t="s">
        <v>138</v>
      </c>
      <c r="AK1446" s="15" t="s">
        <v>27827</v>
      </c>
      <c r="AL1446" s="15" t="s">
        <v>27828</v>
      </c>
      <c r="AM1446" s="15" t="s">
        <v>221</v>
      </c>
      <c r="AN1446" s="15" t="s">
        <v>27829</v>
      </c>
      <c r="AO1446" s="15" t="s">
        <v>138</v>
      </c>
      <c r="AP1446" s="15" t="s">
        <v>4876</v>
      </c>
      <c r="AQ1446" s="15" t="s">
        <v>4877</v>
      </c>
      <c r="AR1446" s="15" t="s">
        <v>138</v>
      </c>
      <c r="AS1446" s="15" t="s">
        <v>4878</v>
      </c>
      <c r="AT1446" s="15" t="s">
        <v>200</v>
      </c>
      <c r="AU1446" s="15" t="s">
        <v>4879</v>
      </c>
      <c r="AV1446" s="15" t="s">
        <v>162</v>
      </c>
      <c r="AW1446" s="15" t="s">
        <v>138</v>
      </c>
      <c r="AX1446" s="15" t="s">
        <v>138</v>
      </c>
      <c r="AY1446" s="15" t="s">
        <v>27830</v>
      </c>
      <c r="AZ1446" s="15" t="s">
        <v>164</v>
      </c>
      <c r="BA1446" s="15" t="s">
        <v>165</v>
      </c>
      <c r="BB1446" s="15" t="s">
        <v>27831</v>
      </c>
      <c r="BC1446" s="15" t="s">
        <v>27832</v>
      </c>
      <c r="BD1446" s="21">
        <v>12</v>
      </c>
      <c r="BE1446" s="15" t="s">
        <v>138</v>
      </c>
      <c r="BF1446" s="15" t="s">
        <v>138</v>
      </c>
      <c r="BG1446" s="15" t="s">
        <v>138</v>
      </c>
      <c r="BH1446" s="15" t="s">
        <v>27833</v>
      </c>
      <c r="BI1446" s="15" t="s">
        <v>138</v>
      </c>
      <c r="BJ1446" s="15" t="s">
        <v>138</v>
      </c>
      <c r="BK1446" s="15" t="s">
        <v>1275</v>
      </c>
      <c r="BL1446" s="15" t="s">
        <v>1275</v>
      </c>
      <c r="BM1446" s="22">
        <v>43181</v>
      </c>
      <c r="BN1446" s="17">
        <v>1.25</v>
      </c>
      <c r="BO1446" s="15" t="s">
        <v>1178</v>
      </c>
      <c r="BP1446" s="17">
        <v>6.25</v>
      </c>
      <c r="BQ1446" s="15" t="s">
        <v>172</v>
      </c>
      <c r="BR1446" s="15" t="s">
        <v>205</v>
      </c>
      <c r="BS1446" s="15" t="s">
        <v>138</v>
      </c>
      <c r="BT1446" s="15" t="s">
        <v>138</v>
      </c>
      <c r="BU1446" s="15" t="s">
        <v>174</v>
      </c>
      <c r="BV1446" s="15" t="s">
        <v>138</v>
      </c>
      <c r="BW1446" s="15" t="s">
        <v>138</v>
      </c>
      <c r="BX1446" s="15" t="s">
        <v>138</v>
      </c>
      <c r="BY1446" s="15" t="s">
        <v>175</v>
      </c>
      <c r="BZ1446" s="22">
        <v>43453</v>
      </c>
      <c r="CA1446" s="17">
        <v>3.6</v>
      </c>
      <c r="CB1446" s="15" t="s">
        <v>1178</v>
      </c>
      <c r="CC1446" s="17">
        <v>12.1</v>
      </c>
      <c r="CD1446" s="15" t="s">
        <v>172</v>
      </c>
      <c r="CE1446" s="15" t="s">
        <v>234</v>
      </c>
      <c r="CF1446" s="15" t="s">
        <v>234</v>
      </c>
      <c r="CG1446" s="15" t="s">
        <v>138</v>
      </c>
      <c r="CH1446" s="15" t="s">
        <v>174</v>
      </c>
      <c r="CI1446" s="15" t="s">
        <v>138</v>
      </c>
      <c r="CJ1446" s="15" t="s">
        <v>138</v>
      </c>
      <c r="CK1446" s="15" t="s">
        <v>138</v>
      </c>
      <c r="CL1446" s="15" t="s">
        <v>175</v>
      </c>
      <c r="CM1446" s="22" t="s">
        <v>138</v>
      </c>
      <c r="CN1446" s="17" t="s">
        <v>138</v>
      </c>
      <c r="CO1446" s="23">
        <v>0.92</v>
      </c>
      <c r="CP1446" s="24">
        <v>97</v>
      </c>
      <c r="CQ1446" s="23">
        <v>-0.01</v>
      </c>
      <c r="CR1446" s="23">
        <v>-0.91</v>
      </c>
      <c r="CS1446" s="23">
        <v>0.92</v>
      </c>
      <c r="CT1446" s="24">
        <v>96</v>
      </c>
      <c r="CU1446" s="23" t="s">
        <v>138</v>
      </c>
      <c r="CV1446" s="24" t="s">
        <v>138</v>
      </c>
      <c r="CW1446" s="23">
        <v>0</v>
      </c>
      <c r="CX1446" s="24">
        <v>13</v>
      </c>
      <c r="CY1446" s="23">
        <v>1.84</v>
      </c>
      <c r="CZ1446" s="24">
        <v>100</v>
      </c>
      <c r="DA1446" s="23" t="s">
        <v>138</v>
      </c>
      <c r="DB1446" s="24" t="s">
        <v>138</v>
      </c>
      <c r="DC1446" s="25">
        <v>3.33</v>
      </c>
      <c r="DD1446" s="24">
        <v>77</v>
      </c>
      <c r="DE1446" s="25">
        <v>-0.15</v>
      </c>
      <c r="DF1446" s="23">
        <v>-4.21</v>
      </c>
      <c r="DG1446" s="25">
        <v>3.33</v>
      </c>
      <c r="DH1446" s="24">
        <v>76</v>
      </c>
      <c r="DI1446" s="25" t="s">
        <v>138</v>
      </c>
      <c r="DJ1446" s="24" t="s">
        <v>138</v>
      </c>
      <c r="DK1446" s="25">
        <v>2.5499999999999998</v>
      </c>
      <c r="DL1446" s="24">
        <v>69</v>
      </c>
      <c r="DM1446" s="25">
        <v>4.0999999999999996</v>
      </c>
      <c r="DN1446" s="24">
        <v>79</v>
      </c>
      <c r="DO1446" s="25" t="s">
        <v>138</v>
      </c>
      <c r="DP1446" s="24" t="s">
        <v>138</v>
      </c>
      <c r="DQ1446" s="24">
        <v>856</v>
      </c>
      <c r="DR1446" s="26">
        <v>51</v>
      </c>
      <c r="DS1446" s="23">
        <v>6.34</v>
      </c>
      <c r="DT1446" s="24">
        <v>118</v>
      </c>
      <c r="DU1446" s="26">
        <v>1</v>
      </c>
      <c r="DV1446" s="23">
        <v>0.85</v>
      </c>
      <c r="DW1446" s="24" t="s">
        <v>138</v>
      </c>
      <c r="DX1446" s="27" t="s">
        <v>138</v>
      </c>
      <c r="DY1446" s="23" t="s">
        <v>138</v>
      </c>
      <c r="DZ1446" s="15" t="s">
        <v>178</v>
      </c>
      <c r="EA1446" s="22">
        <v>43600</v>
      </c>
      <c r="EB1446" s="17">
        <v>12.1</v>
      </c>
      <c r="EC1446" s="22">
        <v>43453</v>
      </c>
      <c r="ED1446" s="15" t="s">
        <v>234</v>
      </c>
      <c r="EE1446" s="14" t="str">
        <f>HYPERLINK("https://my.pitchbook.com?c=231773-14", "View company online")</f>
        <v>View company online</v>
      </c>
    </row>
    <row r="1447" spans="1:135">
      <c r="A1447" s="28" t="s">
        <v>27834</v>
      </c>
      <c r="B1447" s="28" t="s">
        <v>27835</v>
      </c>
      <c r="C1447" s="28" t="s">
        <v>138</v>
      </c>
      <c r="D1447" s="28" t="s">
        <v>138</v>
      </c>
      <c r="E1447" s="28" t="s">
        <v>27836</v>
      </c>
      <c r="F1447" s="28" t="s">
        <v>27834</v>
      </c>
      <c r="G1447" s="28" t="s">
        <v>27837</v>
      </c>
      <c r="H1447" s="28" t="s">
        <v>141</v>
      </c>
      <c r="I1447" s="28" t="s">
        <v>212</v>
      </c>
      <c r="J1447" s="28" t="s">
        <v>213</v>
      </c>
      <c r="K1447" s="28" t="s">
        <v>1064</v>
      </c>
      <c r="L1447" s="28" t="s">
        <v>8586</v>
      </c>
      <c r="M1447" s="28" t="s">
        <v>27838</v>
      </c>
      <c r="N1447" s="28" t="s">
        <v>147</v>
      </c>
      <c r="O1447" s="29">
        <v>22</v>
      </c>
      <c r="P1447" s="28" t="s">
        <v>148</v>
      </c>
      <c r="Q1447" s="28" t="s">
        <v>149</v>
      </c>
      <c r="R1447" s="28" t="s">
        <v>174</v>
      </c>
      <c r="S1447" s="28" t="s">
        <v>27839</v>
      </c>
      <c r="T1447" s="30">
        <v>30</v>
      </c>
      <c r="U1447" s="28" t="s">
        <v>27840</v>
      </c>
      <c r="V1447" s="28" t="s">
        <v>138</v>
      </c>
      <c r="W1447" s="28" t="s">
        <v>138</v>
      </c>
      <c r="X1447" s="31">
        <v>2015</v>
      </c>
      <c r="Y1447" s="28" t="s">
        <v>138</v>
      </c>
      <c r="Z1447" s="28" t="s">
        <v>138</v>
      </c>
      <c r="AA1447" s="28" t="s">
        <v>138</v>
      </c>
      <c r="AB1447" s="32" t="s">
        <v>138</v>
      </c>
      <c r="AC1447" s="32" t="s">
        <v>138</v>
      </c>
      <c r="AD1447" s="32" t="s">
        <v>138</v>
      </c>
      <c r="AE1447" s="32" t="s">
        <v>138</v>
      </c>
      <c r="AF1447" s="32" t="s">
        <v>138</v>
      </c>
      <c r="AG1447" s="28" t="s">
        <v>138</v>
      </c>
      <c r="AH1447" s="32" t="s">
        <v>138</v>
      </c>
      <c r="AI1447" s="32" t="s">
        <v>138</v>
      </c>
      <c r="AJ1447" s="32" t="s">
        <v>138</v>
      </c>
      <c r="AK1447" s="28" t="s">
        <v>27841</v>
      </c>
      <c r="AL1447" s="28" t="s">
        <v>27842</v>
      </c>
      <c r="AM1447" s="28" t="s">
        <v>2949</v>
      </c>
      <c r="AN1447" s="28" t="s">
        <v>27843</v>
      </c>
      <c r="AO1447" s="28" t="s">
        <v>27844</v>
      </c>
      <c r="AP1447" s="28" t="s">
        <v>665</v>
      </c>
      <c r="AQ1447" s="28" t="s">
        <v>27845</v>
      </c>
      <c r="AR1447" s="28" t="s">
        <v>6688</v>
      </c>
      <c r="AS1447" s="28" t="s">
        <v>668</v>
      </c>
      <c r="AT1447" s="28" t="s">
        <v>200</v>
      </c>
      <c r="AU1447" s="28" t="s">
        <v>3557</v>
      </c>
      <c r="AV1447" s="28" t="s">
        <v>162</v>
      </c>
      <c r="AW1447" s="28" t="s">
        <v>27844</v>
      </c>
      <c r="AX1447" s="28" t="s">
        <v>138</v>
      </c>
      <c r="AY1447" s="28" t="s">
        <v>27846</v>
      </c>
      <c r="AZ1447" s="28" t="s">
        <v>164</v>
      </c>
      <c r="BA1447" s="28" t="s">
        <v>165</v>
      </c>
      <c r="BB1447" s="28" t="s">
        <v>27847</v>
      </c>
      <c r="BC1447" s="28" t="s">
        <v>27848</v>
      </c>
      <c r="BD1447" s="33">
        <v>6</v>
      </c>
      <c r="BE1447" s="28" t="s">
        <v>138</v>
      </c>
      <c r="BF1447" s="28" t="s">
        <v>27849</v>
      </c>
      <c r="BG1447" s="28" t="s">
        <v>138</v>
      </c>
      <c r="BH1447" s="28" t="s">
        <v>27850</v>
      </c>
      <c r="BI1447" s="28" t="s">
        <v>27851</v>
      </c>
      <c r="BJ1447" s="28" t="s">
        <v>138</v>
      </c>
      <c r="BK1447" s="28" t="s">
        <v>138</v>
      </c>
      <c r="BL1447" s="28" t="s">
        <v>138</v>
      </c>
      <c r="BM1447" s="34">
        <v>42309</v>
      </c>
      <c r="BN1447" s="29">
        <v>2.5</v>
      </c>
      <c r="BO1447" s="28" t="s">
        <v>172</v>
      </c>
      <c r="BP1447" s="29">
        <v>10</v>
      </c>
      <c r="BQ1447" s="28" t="s">
        <v>172</v>
      </c>
      <c r="BR1447" s="28" t="s">
        <v>234</v>
      </c>
      <c r="BS1447" s="28" t="s">
        <v>234</v>
      </c>
      <c r="BT1447" s="28" t="s">
        <v>138</v>
      </c>
      <c r="BU1447" s="28" t="s">
        <v>174</v>
      </c>
      <c r="BV1447" s="28" t="s">
        <v>138</v>
      </c>
      <c r="BW1447" s="28" t="s">
        <v>138</v>
      </c>
      <c r="BX1447" s="28" t="s">
        <v>138</v>
      </c>
      <c r="BY1447" s="28" t="s">
        <v>175</v>
      </c>
      <c r="BZ1447" s="34" t="s">
        <v>138</v>
      </c>
      <c r="CA1447" s="29" t="s">
        <v>138</v>
      </c>
      <c r="CB1447" s="28" t="s">
        <v>138</v>
      </c>
      <c r="CC1447" s="29" t="s">
        <v>138</v>
      </c>
      <c r="CD1447" s="28" t="s">
        <v>138</v>
      </c>
      <c r="CE1447" s="28" t="s">
        <v>379</v>
      </c>
      <c r="CF1447" s="28" t="s">
        <v>138</v>
      </c>
      <c r="CG1447" s="28" t="s">
        <v>138</v>
      </c>
      <c r="CH1447" s="28" t="s">
        <v>138</v>
      </c>
      <c r="CI1447" s="28" t="s">
        <v>138</v>
      </c>
      <c r="CJ1447" s="28" t="s">
        <v>138</v>
      </c>
      <c r="CK1447" s="28" t="s">
        <v>138</v>
      </c>
      <c r="CL1447" s="28" t="s">
        <v>175</v>
      </c>
      <c r="CM1447" s="34" t="s">
        <v>138</v>
      </c>
      <c r="CN1447" s="29" t="s">
        <v>138</v>
      </c>
      <c r="CO1447" s="35">
        <v>0.11</v>
      </c>
      <c r="CP1447" s="36">
        <v>90</v>
      </c>
      <c r="CQ1447" s="35">
        <v>-0.06</v>
      </c>
      <c r="CR1447" s="35">
        <v>-35.409999999999997</v>
      </c>
      <c r="CS1447" s="35">
        <v>-0.17</v>
      </c>
      <c r="CT1447" s="36">
        <v>22</v>
      </c>
      <c r="CU1447" s="35">
        <v>0.39</v>
      </c>
      <c r="CV1447" s="36">
        <v>91</v>
      </c>
      <c r="CW1447" s="35">
        <v>0</v>
      </c>
      <c r="CX1447" s="36">
        <v>13</v>
      </c>
      <c r="CY1447" s="35">
        <v>-0.34</v>
      </c>
      <c r="CZ1447" s="36">
        <v>23</v>
      </c>
      <c r="DA1447" s="35">
        <v>0.42</v>
      </c>
      <c r="DB1447" s="36">
        <v>92</v>
      </c>
      <c r="DC1447" s="37">
        <v>2.13</v>
      </c>
      <c r="DD1447" s="36">
        <v>68</v>
      </c>
      <c r="DE1447" s="37">
        <v>-7.0000000000000007E-2</v>
      </c>
      <c r="DF1447" s="35">
        <v>-3.29</v>
      </c>
      <c r="DG1447" s="37">
        <v>3.7</v>
      </c>
      <c r="DH1447" s="36">
        <v>78</v>
      </c>
      <c r="DI1447" s="37">
        <v>0.56999999999999995</v>
      </c>
      <c r="DJ1447" s="36">
        <v>39</v>
      </c>
      <c r="DK1447" s="37">
        <v>2.39</v>
      </c>
      <c r="DL1447" s="36">
        <v>68</v>
      </c>
      <c r="DM1447" s="37">
        <v>5</v>
      </c>
      <c r="DN1447" s="36">
        <v>81</v>
      </c>
      <c r="DO1447" s="37">
        <v>1.02</v>
      </c>
      <c r="DP1447" s="36">
        <v>51</v>
      </c>
      <c r="DQ1447" s="36">
        <v>781</v>
      </c>
      <c r="DR1447" s="38">
        <v>120</v>
      </c>
      <c r="DS1447" s="35">
        <v>18.149999999999999</v>
      </c>
      <c r="DT1447" s="36">
        <v>145</v>
      </c>
      <c r="DU1447" s="38">
        <v>1</v>
      </c>
      <c r="DV1447" s="35">
        <v>0.69</v>
      </c>
      <c r="DW1447" s="36">
        <v>362</v>
      </c>
      <c r="DX1447" s="39">
        <v>2</v>
      </c>
      <c r="DY1447" s="35">
        <v>0.56000000000000005</v>
      </c>
      <c r="DZ1447" s="28" t="s">
        <v>178</v>
      </c>
      <c r="EA1447" s="34">
        <v>43621</v>
      </c>
      <c r="EB1447" s="29">
        <v>34.5</v>
      </c>
      <c r="EC1447" s="34">
        <v>43112</v>
      </c>
      <c r="ED1447" s="28" t="s">
        <v>205</v>
      </c>
      <c r="EE1447" s="40" t="str">
        <f>HYPERLINK("https://my.pitchbook.com?c=169690-51", "View company online")</f>
        <v>View company online</v>
      </c>
    </row>
    <row r="1448" spans="1:135">
      <c r="A1448" s="15" t="s">
        <v>27852</v>
      </c>
      <c r="B1448" s="15" t="s">
        <v>27853</v>
      </c>
      <c r="C1448" s="15" t="s">
        <v>138</v>
      </c>
      <c r="D1448" s="15" t="s">
        <v>138</v>
      </c>
      <c r="E1448" s="15" t="s">
        <v>138</v>
      </c>
      <c r="F1448" s="15" t="s">
        <v>27852</v>
      </c>
      <c r="G1448" s="15" t="s">
        <v>27854</v>
      </c>
      <c r="H1448" s="15" t="s">
        <v>322</v>
      </c>
      <c r="I1448" s="15" t="s">
        <v>807</v>
      </c>
      <c r="J1448" s="15" t="s">
        <v>1102</v>
      </c>
      <c r="K1448" s="15" t="s">
        <v>27855</v>
      </c>
      <c r="L1448" s="15" t="s">
        <v>4640</v>
      </c>
      <c r="M1448" s="15" t="s">
        <v>27856</v>
      </c>
      <c r="N1448" s="15" t="s">
        <v>147</v>
      </c>
      <c r="O1448" s="17">
        <v>102</v>
      </c>
      <c r="P1448" s="15" t="s">
        <v>148</v>
      </c>
      <c r="Q1448" s="15" t="s">
        <v>149</v>
      </c>
      <c r="R1448" s="15" t="s">
        <v>174</v>
      </c>
      <c r="S1448" s="15" t="s">
        <v>27857</v>
      </c>
      <c r="T1448" s="18">
        <v>420</v>
      </c>
      <c r="U1448" s="15" t="s">
        <v>27858</v>
      </c>
      <c r="V1448" s="15" t="s">
        <v>138</v>
      </c>
      <c r="W1448" s="15" t="s">
        <v>138</v>
      </c>
      <c r="X1448" s="19">
        <v>2016</v>
      </c>
      <c r="Y1448" s="15" t="s">
        <v>138</v>
      </c>
      <c r="Z1448" s="15" t="s">
        <v>138</v>
      </c>
      <c r="AA1448" s="15" t="s">
        <v>138</v>
      </c>
      <c r="AB1448" s="20" t="s">
        <v>138</v>
      </c>
      <c r="AC1448" s="20" t="s">
        <v>138</v>
      </c>
      <c r="AD1448" s="20" t="s">
        <v>138</v>
      </c>
      <c r="AE1448" s="20" t="s">
        <v>138</v>
      </c>
      <c r="AF1448" s="20" t="s">
        <v>138</v>
      </c>
      <c r="AG1448" s="15" t="s">
        <v>138</v>
      </c>
      <c r="AH1448" s="20" t="s">
        <v>138</v>
      </c>
      <c r="AI1448" s="20" t="s">
        <v>138</v>
      </c>
      <c r="AJ1448" s="20" t="s">
        <v>138</v>
      </c>
      <c r="AK1448" s="15" t="s">
        <v>27859</v>
      </c>
      <c r="AL1448" s="15" t="s">
        <v>27860</v>
      </c>
      <c r="AM1448" s="15" t="s">
        <v>221</v>
      </c>
      <c r="AN1448" s="15" t="s">
        <v>27861</v>
      </c>
      <c r="AO1448" s="15" t="s">
        <v>27862</v>
      </c>
      <c r="AP1448" s="15" t="s">
        <v>14127</v>
      </c>
      <c r="AQ1448" s="15" t="s">
        <v>27863</v>
      </c>
      <c r="AR1448" s="15" t="s">
        <v>6298</v>
      </c>
      <c r="AS1448" s="15" t="s">
        <v>14129</v>
      </c>
      <c r="AT1448" s="15" t="s">
        <v>14130</v>
      </c>
      <c r="AU1448" s="15" t="s">
        <v>27864</v>
      </c>
      <c r="AV1448" s="15" t="s">
        <v>2742</v>
      </c>
      <c r="AW1448" s="15" t="s">
        <v>27862</v>
      </c>
      <c r="AX1448" s="15" t="s">
        <v>138</v>
      </c>
      <c r="AY1448" s="15" t="s">
        <v>138</v>
      </c>
      <c r="AZ1448" s="15" t="s">
        <v>164</v>
      </c>
      <c r="BA1448" s="15" t="s">
        <v>165</v>
      </c>
      <c r="BB1448" s="15" t="s">
        <v>27865</v>
      </c>
      <c r="BC1448" s="15" t="s">
        <v>27866</v>
      </c>
      <c r="BD1448" s="21">
        <v>12</v>
      </c>
      <c r="BE1448" s="15" t="s">
        <v>138</v>
      </c>
      <c r="BF1448" s="15" t="s">
        <v>138</v>
      </c>
      <c r="BG1448" s="15" t="s">
        <v>138</v>
      </c>
      <c r="BH1448" s="15" t="s">
        <v>27867</v>
      </c>
      <c r="BI1448" s="15" t="s">
        <v>138</v>
      </c>
      <c r="BJ1448" s="15" t="s">
        <v>138</v>
      </c>
      <c r="BK1448" s="15" t="s">
        <v>27868</v>
      </c>
      <c r="BL1448" s="15" t="s">
        <v>27869</v>
      </c>
      <c r="BM1448" s="22">
        <v>42716</v>
      </c>
      <c r="BN1448" s="17" t="s">
        <v>138</v>
      </c>
      <c r="BO1448" s="15" t="s">
        <v>138</v>
      </c>
      <c r="BP1448" s="17" t="s">
        <v>138</v>
      </c>
      <c r="BQ1448" s="15" t="s">
        <v>138</v>
      </c>
      <c r="BR1448" s="15" t="s">
        <v>234</v>
      </c>
      <c r="BS1448" s="15" t="s">
        <v>234</v>
      </c>
      <c r="BT1448" s="15" t="s">
        <v>138</v>
      </c>
      <c r="BU1448" s="15" t="s">
        <v>174</v>
      </c>
      <c r="BV1448" s="15" t="s">
        <v>138</v>
      </c>
      <c r="BW1448" s="15" t="s">
        <v>138</v>
      </c>
      <c r="BX1448" s="15" t="s">
        <v>138</v>
      </c>
      <c r="BY1448" s="15" t="s">
        <v>175</v>
      </c>
      <c r="BZ1448" s="22">
        <v>42900</v>
      </c>
      <c r="CA1448" s="17">
        <v>102</v>
      </c>
      <c r="CB1448" s="15" t="s">
        <v>172</v>
      </c>
      <c r="CC1448" s="17">
        <v>300</v>
      </c>
      <c r="CD1448" s="15" t="s">
        <v>1178</v>
      </c>
      <c r="CE1448" s="15" t="s">
        <v>205</v>
      </c>
      <c r="CF1448" s="15" t="s">
        <v>206</v>
      </c>
      <c r="CG1448" s="15" t="s">
        <v>138</v>
      </c>
      <c r="CH1448" s="15" t="s">
        <v>174</v>
      </c>
      <c r="CI1448" s="15" t="s">
        <v>138</v>
      </c>
      <c r="CJ1448" s="15" t="s">
        <v>138</v>
      </c>
      <c r="CK1448" s="15" t="s">
        <v>138</v>
      </c>
      <c r="CL1448" s="15" t="s">
        <v>175</v>
      </c>
      <c r="CM1448" s="22" t="s">
        <v>138</v>
      </c>
      <c r="CN1448" s="17" t="s">
        <v>138</v>
      </c>
      <c r="CO1448" s="23">
        <v>-0.66</v>
      </c>
      <c r="CP1448" s="24">
        <v>14</v>
      </c>
      <c r="CQ1448" s="23">
        <v>0.03</v>
      </c>
      <c r="CR1448" s="23">
        <v>3.69</v>
      </c>
      <c r="CS1448" s="23">
        <v>-3.98</v>
      </c>
      <c r="CT1448" s="24">
        <v>3</v>
      </c>
      <c r="CU1448" s="23">
        <v>0.88</v>
      </c>
      <c r="CV1448" s="24">
        <v>97</v>
      </c>
      <c r="CW1448" s="23">
        <v>-7.7</v>
      </c>
      <c r="CX1448" s="24">
        <v>1</v>
      </c>
      <c r="CY1448" s="23">
        <v>-0.27</v>
      </c>
      <c r="CZ1448" s="24">
        <v>23</v>
      </c>
      <c r="DA1448" s="23">
        <v>0.88</v>
      </c>
      <c r="DB1448" s="24">
        <v>98</v>
      </c>
      <c r="DC1448" s="25">
        <v>20.63</v>
      </c>
      <c r="DD1448" s="24">
        <v>95</v>
      </c>
      <c r="DE1448" s="25">
        <v>0.02</v>
      </c>
      <c r="DF1448" s="23">
        <v>0.11</v>
      </c>
      <c r="DG1448" s="25">
        <v>22.72</v>
      </c>
      <c r="DH1448" s="24">
        <v>95</v>
      </c>
      <c r="DI1448" s="25">
        <v>38.380000000000003</v>
      </c>
      <c r="DJ1448" s="24">
        <v>94</v>
      </c>
      <c r="DK1448" s="25">
        <v>10.92</v>
      </c>
      <c r="DL1448" s="24">
        <v>87</v>
      </c>
      <c r="DM1448" s="25">
        <v>34.520000000000003</v>
      </c>
      <c r="DN1448" s="24">
        <v>97</v>
      </c>
      <c r="DO1448" s="25">
        <v>38.380000000000003</v>
      </c>
      <c r="DP1448" s="24">
        <v>96</v>
      </c>
      <c r="DQ1448" s="24">
        <v>3868</v>
      </c>
      <c r="DR1448" s="26">
        <v>-364</v>
      </c>
      <c r="DS1448" s="23">
        <v>-8.6</v>
      </c>
      <c r="DT1448" s="24">
        <v>995</v>
      </c>
      <c r="DU1448" s="26">
        <v>9</v>
      </c>
      <c r="DV1448" s="23">
        <v>0.91</v>
      </c>
      <c r="DW1448" s="24">
        <v>13693</v>
      </c>
      <c r="DX1448" s="27">
        <v>114</v>
      </c>
      <c r="DY1448" s="23">
        <v>0.84</v>
      </c>
      <c r="DZ1448" s="15" t="s">
        <v>178</v>
      </c>
      <c r="EA1448" s="22">
        <v>43622</v>
      </c>
      <c r="EB1448" s="17">
        <v>300</v>
      </c>
      <c r="EC1448" s="22">
        <v>42900</v>
      </c>
      <c r="ED1448" s="15" t="s">
        <v>205</v>
      </c>
      <c r="EE1448" s="14" t="str">
        <f>HYPERLINK("https://my.pitchbook.com?c=168852-25", "View company online")</f>
        <v>View company online</v>
      </c>
    </row>
    <row r="1449" spans="1:135">
      <c r="A1449" s="28" t="s">
        <v>27870</v>
      </c>
      <c r="B1449" s="28" t="s">
        <v>27871</v>
      </c>
      <c r="C1449" s="28" t="s">
        <v>138</v>
      </c>
      <c r="D1449" s="28" t="s">
        <v>138</v>
      </c>
      <c r="E1449" s="28" t="s">
        <v>27872</v>
      </c>
      <c r="F1449" s="28" t="s">
        <v>27870</v>
      </c>
      <c r="G1449" s="28" t="s">
        <v>27873</v>
      </c>
      <c r="H1449" s="28" t="s">
        <v>322</v>
      </c>
      <c r="I1449" s="28" t="s">
        <v>323</v>
      </c>
      <c r="J1449" s="28" t="s">
        <v>324</v>
      </c>
      <c r="K1449" s="28" t="s">
        <v>3192</v>
      </c>
      <c r="L1449" s="28" t="s">
        <v>2274</v>
      </c>
      <c r="M1449" s="28" t="s">
        <v>27874</v>
      </c>
      <c r="N1449" s="28" t="s">
        <v>147</v>
      </c>
      <c r="O1449" s="29">
        <v>12</v>
      </c>
      <c r="P1449" s="28" t="s">
        <v>148</v>
      </c>
      <c r="Q1449" s="28" t="s">
        <v>149</v>
      </c>
      <c r="R1449" s="28" t="s">
        <v>174</v>
      </c>
      <c r="S1449" s="28" t="s">
        <v>27875</v>
      </c>
      <c r="T1449" s="30" t="s">
        <v>138</v>
      </c>
      <c r="U1449" s="28" t="s">
        <v>138</v>
      </c>
      <c r="V1449" s="28" t="s">
        <v>138</v>
      </c>
      <c r="W1449" s="28" t="s">
        <v>138</v>
      </c>
      <c r="X1449" s="31">
        <v>2012</v>
      </c>
      <c r="Y1449" s="28" t="s">
        <v>138</v>
      </c>
      <c r="Z1449" s="28" t="s">
        <v>138</v>
      </c>
      <c r="AA1449" s="28" t="s">
        <v>138</v>
      </c>
      <c r="AB1449" s="32" t="s">
        <v>138</v>
      </c>
      <c r="AC1449" s="32" t="s">
        <v>138</v>
      </c>
      <c r="AD1449" s="32" t="s">
        <v>138</v>
      </c>
      <c r="AE1449" s="32" t="s">
        <v>138</v>
      </c>
      <c r="AF1449" s="32" t="s">
        <v>138</v>
      </c>
      <c r="AG1449" s="28" t="s">
        <v>138</v>
      </c>
      <c r="AH1449" s="32" t="s">
        <v>138</v>
      </c>
      <c r="AI1449" s="32" t="s">
        <v>138</v>
      </c>
      <c r="AJ1449" s="32" t="s">
        <v>138</v>
      </c>
      <c r="AK1449" s="28" t="s">
        <v>27876</v>
      </c>
      <c r="AL1449" s="28" t="s">
        <v>27877</v>
      </c>
      <c r="AM1449" s="28" t="s">
        <v>6092</v>
      </c>
      <c r="AN1449" s="28" t="s">
        <v>138</v>
      </c>
      <c r="AO1449" s="28" t="s">
        <v>27878</v>
      </c>
      <c r="AP1449" s="28" t="s">
        <v>423</v>
      </c>
      <c r="AQ1449" s="28" t="s">
        <v>27879</v>
      </c>
      <c r="AR1449" s="28" t="s">
        <v>138</v>
      </c>
      <c r="AS1449" s="28" t="s">
        <v>426</v>
      </c>
      <c r="AT1449" s="28" t="s">
        <v>426</v>
      </c>
      <c r="AU1449" s="28" t="s">
        <v>1804</v>
      </c>
      <c r="AV1449" s="28" t="s">
        <v>162</v>
      </c>
      <c r="AW1449" s="28" t="s">
        <v>27878</v>
      </c>
      <c r="AX1449" s="28" t="s">
        <v>138</v>
      </c>
      <c r="AY1449" s="28" t="s">
        <v>27880</v>
      </c>
      <c r="AZ1449" s="28" t="s">
        <v>164</v>
      </c>
      <c r="BA1449" s="28" t="s">
        <v>165</v>
      </c>
      <c r="BB1449" s="28" t="s">
        <v>27881</v>
      </c>
      <c r="BC1449" s="28" t="s">
        <v>27882</v>
      </c>
      <c r="BD1449" s="33">
        <v>7</v>
      </c>
      <c r="BE1449" s="28" t="s">
        <v>138</v>
      </c>
      <c r="BF1449" s="28" t="s">
        <v>138</v>
      </c>
      <c r="BG1449" s="28" t="s">
        <v>138</v>
      </c>
      <c r="BH1449" s="28" t="s">
        <v>27883</v>
      </c>
      <c r="BI1449" s="28" t="s">
        <v>138</v>
      </c>
      <c r="BJ1449" s="28" t="s">
        <v>138</v>
      </c>
      <c r="BK1449" s="28" t="s">
        <v>138</v>
      </c>
      <c r="BL1449" s="28" t="s">
        <v>138</v>
      </c>
      <c r="BM1449" s="34">
        <v>43201</v>
      </c>
      <c r="BN1449" s="29">
        <v>12</v>
      </c>
      <c r="BO1449" s="28" t="s">
        <v>172</v>
      </c>
      <c r="BP1449" s="29">
        <v>32</v>
      </c>
      <c r="BQ1449" s="28" t="s">
        <v>172</v>
      </c>
      <c r="BR1449" s="28" t="s">
        <v>205</v>
      </c>
      <c r="BS1449" s="28" t="s">
        <v>623</v>
      </c>
      <c r="BT1449" s="28" t="s">
        <v>138</v>
      </c>
      <c r="BU1449" s="28" t="s">
        <v>174</v>
      </c>
      <c r="BV1449" s="28" t="s">
        <v>138</v>
      </c>
      <c r="BW1449" s="28" t="s">
        <v>138</v>
      </c>
      <c r="BX1449" s="28" t="s">
        <v>138</v>
      </c>
      <c r="BY1449" s="28" t="s">
        <v>175</v>
      </c>
      <c r="BZ1449" s="34">
        <v>43201</v>
      </c>
      <c r="CA1449" s="29">
        <v>12</v>
      </c>
      <c r="CB1449" s="28" t="s">
        <v>172</v>
      </c>
      <c r="CC1449" s="29">
        <v>32</v>
      </c>
      <c r="CD1449" s="28" t="s">
        <v>172</v>
      </c>
      <c r="CE1449" s="28" t="s">
        <v>205</v>
      </c>
      <c r="CF1449" s="28" t="s">
        <v>623</v>
      </c>
      <c r="CG1449" s="28" t="s">
        <v>138</v>
      </c>
      <c r="CH1449" s="28" t="s">
        <v>174</v>
      </c>
      <c r="CI1449" s="28" t="s">
        <v>138</v>
      </c>
      <c r="CJ1449" s="28" t="s">
        <v>138</v>
      </c>
      <c r="CK1449" s="28" t="s">
        <v>138</v>
      </c>
      <c r="CL1449" s="28" t="s">
        <v>175</v>
      </c>
      <c r="CM1449" s="34" t="s">
        <v>138</v>
      </c>
      <c r="CN1449" s="29" t="s">
        <v>138</v>
      </c>
      <c r="CO1449" s="35">
        <v>-1.36</v>
      </c>
      <c r="CP1449" s="36">
        <v>8</v>
      </c>
      <c r="CQ1449" s="35">
        <v>-0.02</v>
      </c>
      <c r="CR1449" s="35">
        <v>-1.78</v>
      </c>
      <c r="CS1449" s="35">
        <v>-1.36</v>
      </c>
      <c r="CT1449" s="36">
        <v>12</v>
      </c>
      <c r="CU1449" s="35" t="s">
        <v>138</v>
      </c>
      <c r="CV1449" s="36" t="s">
        <v>138</v>
      </c>
      <c r="CW1449" s="35">
        <v>0</v>
      </c>
      <c r="CX1449" s="36">
        <v>13</v>
      </c>
      <c r="CY1449" s="35">
        <v>-2.71</v>
      </c>
      <c r="CZ1449" s="36">
        <v>8</v>
      </c>
      <c r="DA1449" s="35" t="s">
        <v>138</v>
      </c>
      <c r="DB1449" s="36" t="s">
        <v>138</v>
      </c>
      <c r="DC1449" s="37">
        <v>2.63</v>
      </c>
      <c r="DD1449" s="36">
        <v>73</v>
      </c>
      <c r="DE1449" s="37">
        <v>-0.15</v>
      </c>
      <c r="DF1449" s="35">
        <v>-5.36</v>
      </c>
      <c r="DG1449" s="37">
        <v>2.63</v>
      </c>
      <c r="DH1449" s="36">
        <v>72</v>
      </c>
      <c r="DI1449" s="37" t="s">
        <v>138</v>
      </c>
      <c r="DJ1449" s="36" t="s">
        <v>138</v>
      </c>
      <c r="DK1449" s="37">
        <v>1.79</v>
      </c>
      <c r="DL1449" s="36">
        <v>62</v>
      </c>
      <c r="DM1449" s="37">
        <v>3.48</v>
      </c>
      <c r="DN1449" s="36">
        <v>76</v>
      </c>
      <c r="DO1449" s="37" t="s">
        <v>138</v>
      </c>
      <c r="DP1449" s="36" t="s">
        <v>138</v>
      </c>
      <c r="DQ1449" s="36">
        <v>590</v>
      </c>
      <c r="DR1449" s="38">
        <v>66</v>
      </c>
      <c r="DS1449" s="35">
        <v>12.6</v>
      </c>
      <c r="DT1449" s="36">
        <v>101</v>
      </c>
      <c r="DU1449" s="38">
        <v>-2</v>
      </c>
      <c r="DV1449" s="35">
        <v>-1.94</v>
      </c>
      <c r="DW1449" s="36" t="s">
        <v>138</v>
      </c>
      <c r="DX1449" s="39" t="s">
        <v>138</v>
      </c>
      <c r="DY1449" s="35" t="s">
        <v>138</v>
      </c>
      <c r="DZ1449" s="28" t="s">
        <v>178</v>
      </c>
      <c r="EA1449" s="34">
        <v>43608</v>
      </c>
      <c r="EB1449" s="29">
        <v>32</v>
      </c>
      <c r="EC1449" s="34">
        <v>43201</v>
      </c>
      <c r="ED1449" s="28" t="s">
        <v>205</v>
      </c>
      <c r="EE1449" s="40" t="str">
        <f>HYPERLINK("https://my.pitchbook.com?c=113060-44", "View company online")</f>
        <v>View company online</v>
      </c>
    </row>
    <row r="1450" spans="1:135">
      <c r="A1450" s="15" t="s">
        <v>27884</v>
      </c>
      <c r="B1450" s="15" t="s">
        <v>27885</v>
      </c>
      <c r="C1450" s="15" t="s">
        <v>138</v>
      </c>
      <c r="D1450" s="15" t="s">
        <v>138</v>
      </c>
      <c r="E1450" s="15" t="s">
        <v>27886</v>
      </c>
      <c r="F1450" s="15" t="s">
        <v>27884</v>
      </c>
      <c r="G1450" s="15" t="s">
        <v>27887</v>
      </c>
      <c r="H1450" s="15" t="s">
        <v>322</v>
      </c>
      <c r="I1450" s="15" t="s">
        <v>1503</v>
      </c>
      <c r="J1450" s="15" t="s">
        <v>1836</v>
      </c>
      <c r="K1450" s="15" t="s">
        <v>27888</v>
      </c>
      <c r="L1450" s="15" t="s">
        <v>415</v>
      </c>
      <c r="M1450" s="15" t="s">
        <v>27889</v>
      </c>
      <c r="N1450" s="15" t="s">
        <v>147</v>
      </c>
      <c r="O1450" s="17">
        <v>3.8</v>
      </c>
      <c r="P1450" s="15" t="s">
        <v>610</v>
      </c>
      <c r="Q1450" s="15" t="s">
        <v>149</v>
      </c>
      <c r="R1450" s="15" t="s">
        <v>174</v>
      </c>
      <c r="S1450" s="15" t="s">
        <v>27890</v>
      </c>
      <c r="T1450" s="18">
        <v>14</v>
      </c>
      <c r="U1450" s="15" t="s">
        <v>27891</v>
      </c>
      <c r="V1450" s="15" t="s">
        <v>138</v>
      </c>
      <c r="W1450" s="15" t="s">
        <v>138</v>
      </c>
      <c r="X1450" s="19">
        <v>2013</v>
      </c>
      <c r="Y1450" s="15" t="s">
        <v>138</v>
      </c>
      <c r="Z1450" s="15" t="s">
        <v>138</v>
      </c>
      <c r="AA1450" s="15" t="s">
        <v>138</v>
      </c>
      <c r="AB1450" s="20" t="s">
        <v>138</v>
      </c>
      <c r="AC1450" s="20" t="s">
        <v>138</v>
      </c>
      <c r="AD1450" s="20" t="s">
        <v>138</v>
      </c>
      <c r="AE1450" s="20" t="s">
        <v>138</v>
      </c>
      <c r="AF1450" s="20" t="s">
        <v>138</v>
      </c>
      <c r="AG1450" s="15" t="s">
        <v>138</v>
      </c>
      <c r="AH1450" s="20" t="s">
        <v>138</v>
      </c>
      <c r="AI1450" s="20" t="s">
        <v>138</v>
      </c>
      <c r="AJ1450" s="20" t="s">
        <v>138</v>
      </c>
      <c r="AK1450" s="15" t="s">
        <v>27892</v>
      </c>
      <c r="AL1450" s="15" t="s">
        <v>27893</v>
      </c>
      <c r="AM1450" s="15" t="s">
        <v>938</v>
      </c>
      <c r="AN1450" s="15" t="s">
        <v>27894</v>
      </c>
      <c r="AO1450" s="15" t="s">
        <v>27895</v>
      </c>
      <c r="AP1450" s="15" t="s">
        <v>639</v>
      </c>
      <c r="AQ1450" s="15" t="s">
        <v>27896</v>
      </c>
      <c r="AR1450" s="15" t="s">
        <v>22839</v>
      </c>
      <c r="AS1450" s="15" t="s">
        <v>642</v>
      </c>
      <c r="AT1450" s="15" t="s">
        <v>474</v>
      </c>
      <c r="AU1450" s="15" t="s">
        <v>27897</v>
      </c>
      <c r="AV1450" s="15" t="s">
        <v>162</v>
      </c>
      <c r="AW1450" s="15" t="s">
        <v>27895</v>
      </c>
      <c r="AX1450" s="15" t="s">
        <v>138</v>
      </c>
      <c r="AY1450" s="15" t="s">
        <v>27898</v>
      </c>
      <c r="AZ1450" s="15" t="s">
        <v>164</v>
      </c>
      <c r="BA1450" s="15" t="s">
        <v>165</v>
      </c>
      <c r="BB1450" s="15" t="s">
        <v>27899</v>
      </c>
      <c r="BC1450" s="15" t="s">
        <v>27900</v>
      </c>
      <c r="BD1450" s="21">
        <v>3</v>
      </c>
      <c r="BE1450" s="15" t="s">
        <v>138</v>
      </c>
      <c r="BF1450" s="15" t="s">
        <v>138</v>
      </c>
      <c r="BG1450" s="15" t="s">
        <v>138</v>
      </c>
      <c r="BH1450" s="15" t="s">
        <v>27901</v>
      </c>
      <c r="BI1450" s="15" t="s">
        <v>138</v>
      </c>
      <c r="BJ1450" s="15" t="s">
        <v>138</v>
      </c>
      <c r="BK1450" s="15" t="s">
        <v>204</v>
      </c>
      <c r="BL1450" s="15" t="s">
        <v>19576</v>
      </c>
      <c r="BM1450" s="22">
        <v>41640</v>
      </c>
      <c r="BN1450" s="17">
        <v>0.67</v>
      </c>
      <c r="BO1450" s="15" t="s">
        <v>172</v>
      </c>
      <c r="BP1450" s="17" t="s">
        <v>138</v>
      </c>
      <c r="BQ1450" s="15" t="s">
        <v>138</v>
      </c>
      <c r="BR1450" s="15" t="s">
        <v>1830</v>
      </c>
      <c r="BS1450" s="15" t="s">
        <v>138</v>
      </c>
      <c r="BT1450" s="15" t="s">
        <v>138</v>
      </c>
      <c r="BU1450" s="15" t="s">
        <v>263</v>
      </c>
      <c r="BV1450" s="15" t="s">
        <v>138</v>
      </c>
      <c r="BW1450" s="15" t="s">
        <v>138</v>
      </c>
      <c r="BX1450" s="15" t="s">
        <v>138</v>
      </c>
      <c r="BY1450" s="15" t="s">
        <v>175</v>
      </c>
      <c r="BZ1450" s="22">
        <v>42309</v>
      </c>
      <c r="CA1450" s="17">
        <v>3.8</v>
      </c>
      <c r="CB1450" s="15" t="s">
        <v>172</v>
      </c>
      <c r="CC1450" s="17">
        <v>12.18</v>
      </c>
      <c r="CD1450" s="15" t="s">
        <v>172</v>
      </c>
      <c r="CE1450" s="15" t="s">
        <v>205</v>
      </c>
      <c r="CF1450" s="15" t="s">
        <v>206</v>
      </c>
      <c r="CG1450" s="15" t="s">
        <v>138</v>
      </c>
      <c r="CH1450" s="15" t="s">
        <v>174</v>
      </c>
      <c r="CI1450" s="15" t="s">
        <v>138</v>
      </c>
      <c r="CJ1450" s="15" t="s">
        <v>138</v>
      </c>
      <c r="CK1450" s="15" t="s">
        <v>138</v>
      </c>
      <c r="CL1450" s="15" t="s">
        <v>175</v>
      </c>
      <c r="CM1450" s="22" t="s">
        <v>138</v>
      </c>
      <c r="CN1450" s="17" t="s">
        <v>138</v>
      </c>
      <c r="CO1450" s="23">
        <v>-0.62</v>
      </c>
      <c r="CP1450" s="24">
        <v>15</v>
      </c>
      <c r="CQ1450" s="23">
        <v>-0.01</v>
      </c>
      <c r="CR1450" s="23">
        <v>-2.08</v>
      </c>
      <c r="CS1450" s="23">
        <v>-0.46</v>
      </c>
      <c r="CT1450" s="24">
        <v>20</v>
      </c>
      <c r="CU1450" s="23">
        <v>-0.77</v>
      </c>
      <c r="CV1450" s="24">
        <v>1</v>
      </c>
      <c r="CW1450" s="23">
        <v>0</v>
      </c>
      <c r="CX1450" s="24">
        <v>13</v>
      </c>
      <c r="CY1450" s="23">
        <v>-0.92</v>
      </c>
      <c r="CZ1450" s="24">
        <v>19</v>
      </c>
      <c r="DA1450" s="23">
        <v>-1.54</v>
      </c>
      <c r="DB1450" s="24">
        <v>1</v>
      </c>
      <c r="DC1450" s="25">
        <v>12.1</v>
      </c>
      <c r="DD1450" s="24">
        <v>91</v>
      </c>
      <c r="DE1450" s="25">
        <v>-0.02</v>
      </c>
      <c r="DF1450" s="23">
        <v>-0.16</v>
      </c>
      <c r="DG1450" s="25">
        <v>4.78</v>
      </c>
      <c r="DH1450" s="24">
        <v>82</v>
      </c>
      <c r="DI1450" s="25">
        <v>19.43</v>
      </c>
      <c r="DJ1450" s="24">
        <v>90</v>
      </c>
      <c r="DK1450" s="25">
        <v>0.66</v>
      </c>
      <c r="DL1450" s="24">
        <v>41</v>
      </c>
      <c r="DM1450" s="25">
        <v>8.9</v>
      </c>
      <c r="DN1450" s="24">
        <v>88</v>
      </c>
      <c r="DO1450" s="25">
        <v>33.19</v>
      </c>
      <c r="DP1450" s="24">
        <v>95</v>
      </c>
      <c r="DQ1450" s="24">
        <v>224</v>
      </c>
      <c r="DR1450" s="26">
        <v>7</v>
      </c>
      <c r="DS1450" s="23">
        <v>3.23</v>
      </c>
      <c r="DT1450" s="24">
        <v>257</v>
      </c>
      <c r="DU1450" s="26">
        <v>0</v>
      </c>
      <c r="DV1450" s="23">
        <v>0</v>
      </c>
      <c r="DW1450" s="24">
        <v>11909</v>
      </c>
      <c r="DX1450" s="27">
        <v>-96</v>
      </c>
      <c r="DY1450" s="23">
        <v>-0.8</v>
      </c>
      <c r="DZ1450" s="15" t="s">
        <v>178</v>
      </c>
      <c r="EA1450" s="22">
        <v>43351</v>
      </c>
      <c r="EB1450" s="17">
        <v>12.18</v>
      </c>
      <c r="EC1450" s="22">
        <v>42309</v>
      </c>
      <c r="ED1450" s="15" t="s">
        <v>205</v>
      </c>
      <c r="EE1450" s="14" t="str">
        <f>HYPERLINK("https://my.pitchbook.com?c=135410-32", "View company online")</f>
        <v>View company online</v>
      </c>
    </row>
    <row r="1451" spans="1:135">
      <c r="A1451" s="28" t="s">
        <v>27902</v>
      </c>
      <c r="B1451" s="28" t="s">
        <v>27903</v>
      </c>
      <c r="C1451" s="28" t="s">
        <v>138</v>
      </c>
      <c r="D1451" s="28" t="s">
        <v>138</v>
      </c>
      <c r="E1451" s="28" t="s">
        <v>138</v>
      </c>
      <c r="F1451" s="28" t="s">
        <v>27902</v>
      </c>
      <c r="G1451" s="28" t="s">
        <v>27904</v>
      </c>
      <c r="H1451" s="28" t="s">
        <v>238</v>
      </c>
      <c r="I1451" s="28" t="s">
        <v>749</v>
      </c>
      <c r="J1451" s="28" t="s">
        <v>4261</v>
      </c>
      <c r="K1451" s="28" t="s">
        <v>7738</v>
      </c>
      <c r="L1451" s="28" t="s">
        <v>138</v>
      </c>
      <c r="M1451" s="28" t="s">
        <v>27905</v>
      </c>
      <c r="N1451" s="28" t="s">
        <v>147</v>
      </c>
      <c r="O1451" s="29" t="s">
        <v>138</v>
      </c>
      <c r="P1451" s="28" t="s">
        <v>148</v>
      </c>
      <c r="Q1451" s="28" t="s">
        <v>149</v>
      </c>
      <c r="R1451" s="28" t="s">
        <v>150</v>
      </c>
      <c r="S1451" s="28" t="s">
        <v>27906</v>
      </c>
      <c r="T1451" s="30" t="s">
        <v>138</v>
      </c>
      <c r="U1451" s="28" t="s">
        <v>138</v>
      </c>
      <c r="V1451" s="28" t="s">
        <v>138</v>
      </c>
      <c r="W1451" s="28" t="s">
        <v>138</v>
      </c>
      <c r="X1451" s="31">
        <v>2016</v>
      </c>
      <c r="Y1451" s="28" t="s">
        <v>138</v>
      </c>
      <c r="Z1451" s="28" t="s">
        <v>138</v>
      </c>
      <c r="AA1451" s="28" t="s">
        <v>138</v>
      </c>
      <c r="AB1451" s="32" t="s">
        <v>138</v>
      </c>
      <c r="AC1451" s="32" t="s">
        <v>138</v>
      </c>
      <c r="AD1451" s="32" t="s">
        <v>138</v>
      </c>
      <c r="AE1451" s="32" t="s">
        <v>138</v>
      </c>
      <c r="AF1451" s="32" t="s">
        <v>138</v>
      </c>
      <c r="AG1451" s="28" t="s">
        <v>138</v>
      </c>
      <c r="AH1451" s="32" t="s">
        <v>138</v>
      </c>
      <c r="AI1451" s="32" t="s">
        <v>138</v>
      </c>
      <c r="AJ1451" s="32" t="s">
        <v>138</v>
      </c>
      <c r="AK1451" s="28" t="s">
        <v>27907</v>
      </c>
      <c r="AL1451" s="28" t="s">
        <v>27908</v>
      </c>
      <c r="AM1451" s="28" t="s">
        <v>27909</v>
      </c>
      <c r="AN1451" s="28" t="s">
        <v>138</v>
      </c>
      <c r="AO1451" s="28" t="s">
        <v>138</v>
      </c>
      <c r="AP1451" s="28" t="s">
        <v>4898</v>
      </c>
      <c r="AQ1451" s="28" t="s">
        <v>138</v>
      </c>
      <c r="AR1451" s="28" t="s">
        <v>138</v>
      </c>
      <c r="AS1451" s="28" t="s">
        <v>4900</v>
      </c>
      <c r="AT1451" s="28" t="s">
        <v>200</v>
      </c>
      <c r="AU1451" s="28" t="s">
        <v>138</v>
      </c>
      <c r="AV1451" s="28" t="s">
        <v>162</v>
      </c>
      <c r="AW1451" s="28" t="s">
        <v>138</v>
      </c>
      <c r="AX1451" s="28" t="s">
        <v>138</v>
      </c>
      <c r="AY1451" s="28" t="s">
        <v>138</v>
      </c>
      <c r="AZ1451" s="28" t="s">
        <v>164</v>
      </c>
      <c r="BA1451" s="28" t="s">
        <v>165</v>
      </c>
      <c r="BB1451" s="28" t="s">
        <v>27910</v>
      </c>
      <c r="BC1451" s="28" t="s">
        <v>27911</v>
      </c>
      <c r="BD1451" s="33">
        <v>3</v>
      </c>
      <c r="BE1451" s="28" t="s">
        <v>138</v>
      </c>
      <c r="BF1451" s="28" t="s">
        <v>138</v>
      </c>
      <c r="BG1451" s="28" t="s">
        <v>138</v>
      </c>
      <c r="BH1451" s="28" t="s">
        <v>27912</v>
      </c>
      <c r="BI1451" s="28" t="s">
        <v>138</v>
      </c>
      <c r="BJ1451" s="28" t="s">
        <v>138</v>
      </c>
      <c r="BK1451" s="28" t="s">
        <v>138</v>
      </c>
      <c r="BL1451" s="28" t="s">
        <v>138</v>
      </c>
      <c r="BM1451" s="34">
        <v>42370</v>
      </c>
      <c r="BN1451" s="29" t="s">
        <v>138</v>
      </c>
      <c r="BO1451" s="28" t="s">
        <v>138</v>
      </c>
      <c r="BP1451" s="29" t="s">
        <v>138</v>
      </c>
      <c r="BQ1451" s="28" t="s">
        <v>138</v>
      </c>
      <c r="BR1451" s="28" t="s">
        <v>1465</v>
      </c>
      <c r="BS1451" s="28" t="s">
        <v>138</v>
      </c>
      <c r="BT1451" s="28" t="s">
        <v>138</v>
      </c>
      <c r="BU1451" s="28" t="s">
        <v>780</v>
      </c>
      <c r="BV1451" s="28" t="s">
        <v>138</v>
      </c>
      <c r="BW1451" s="28" t="s">
        <v>138</v>
      </c>
      <c r="BX1451" s="28" t="s">
        <v>138</v>
      </c>
      <c r="BY1451" s="28" t="s">
        <v>175</v>
      </c>
      <c r="BZ1451" s="34">
        <v>43101</v>
      </c>
      <c r="CA1451" s="29" t="s">
        <v>138</v>
      </c>
      <c r="CB1451" s="28" t="s">
        <v>138</v>
      </c>
      <c r="CC1451" s="29" t="s">
        <v>138</v>
      </c>
      <c r="CD1451" s="28" t="s">
        <v>138</v>
      </c>
      <c r="CE1451" s="28" t="s">
        <v>205</v>
      </c>
      <c r="CF1451" s="28" t="s">
        <v>138</v>
      </c>
      <c r="CG1451" s="28" t="s">
        <v>138</v>
      </c>
      <c r="CH1451" s="28" t="s">
        <v>174</v>
      </c>
      <c r="CI1451" s="28" t="s">
        <v>138</v>
      </c>
      <c r="CJ1451" s="28" t="s">
        <v>138</v>
      </c>
      <c r="CK1451" s="28" t="s">
        <v>138</v>
      </c>
      <c r="CL1451" s="28" t="s">
        <v>175</v>
      </c>
      <c r="CM1451" s="34" t="s">
        <v>138</v>
      </c>
      <c r="CN1451" s="29" t="s">
        <v>138</v>
      </c>
      <c r="CO1451" s="35">
        <v>0</v>
      </c>
      <c r="CP1451" s="36">
        <v>26</v>
      </c>
      <c r="CQ1451" s="35">
        <v>0.03</v>
      </c>
      <c r="CR1451" s="35">
        <v>100.94</v>
      </c>
      <c r="CS1451" s="35">
        <v>0</v>
      </c>
      <c r="CT1451" s="36">
        <v>23</v>
      </c>
      <c r="CU1451" s="35">
        <v>0</v>
      </c>
      <c r="CV1451" s="36">
        <v>22</v>
      </c>
      <c r="CW1451" s="35" t="s">
        <v>138</v>
      </c>
      <c r="CX1451" s="36" t="s">
        <v>138</v>
      </c>
      <c r="CY1451" s="35">
        <v>0</v>
      </c>
      <c r="CZ1451" s="36">
        <v>25</v>
      </c>
      <c r="DA1451" s="35">
        <v>0</v>
      </c>
      <c r="DB1451" s="36">
        <v>22</v>
      </c>
      <c r="DC1451" s="37">
        <v>1.51</v>
      </c>
      <c r="DD1451" s="36">
        <v>61</v>
      </c>
      <c r="DE1451" s="37">
        <v>0.02</v>
      </c>
      <c r="DF1451" s="35">
        <v>1.18</v>
      </c>
      <c r="DG1451" s="37">
        <v>2.41</v>
      </c>
      <c r="DH1451" s="36">
        <v>70</v>
      </c>
      <c r="DI1451" s="37">
        <v>0.61</v>
      </c>
      <c r="DJ1451" s="36">
        <v>40</v>
      </c>
      <c r="DK1451" s="37" t="s">
        <v>138</v>
      </c>
      <c r="DL1451" s="36" t="s">
        <v>138</v>
      </c>
      <c r="DM1451" s="37">
        <v>2.41</v>
      </c>
      <c r="DN1451" s="36">
        <v>69</v>
      </c>
      <c r="DO1451" s="37">
        <v>0.61</v>
      </c>
      <c r="DP1451" s="36">
        <v>41</v>
      </c>
      <c r="DQ1451" s="36">
        <v>455</v>
      </c>
      <c r="DR1451" s="38">
        <v>59</v>
      </c>
      <c r="DS1451" s="35">
        <v>14.9</v>
      </c>
      <c r="DT1451" s="36">
        <v>69</v>
      </c>
      <c r="DU1451" s="38">
        <v>0</v>
      </c>
      <c r="DV1451" s="35">
        <v>0</v>
      </c>
      <c r="DW1451" s="36">
        <v>217</v>
      </c>
      <c r="DX1451" s="39">
        <v>0</v>
      </c>
      <c r="DY1451" s="35">
        <v>0</v>
      </c>
      <c r="DZ1451" s="28" t="s">
        <v>178</v>
      </c>
      <c r="EA1451" s="34">
        <v>43619</v>
      </c>
      <c r="EB1451" s="29" t="s">
        <v>138</v>
      </c>
      <c r="EC1451" s="34" t="s">
        <v>138</v>
      </c>
      <c r="ED1451" s="28" t="s">
        <v>138</v>
      </c>
      <c r="EE1451" s="40" t="str">
        <f>HYPERLINK("https://my.pitchbook.com?c=107235-19", "View company online")</f>
        <v>View company online</v>
      </c>
    </row>
    <row r="1452" spans="1:135">
      <c r="A1452" s="15" t="s">
        <v>27913</v>
      </c>
      <c r="B1452" s="15" t="s">
        <v>27914</v>
      </c>
      <c r="C1452" s="15" t="s">
        <v>138</v>
      </c>
      <c r="D1452" s="15" t="s">
        <v>138</v>
      </c>
      <c r="E1452" s="15" t="s">
        <v>27915</v>
      </c>
      <c r="F1452" s="15" t="s">
        <v>27913</v>
      </c>
      <c r="G1452" s="15" t="s">
        <v>27916</v>
      </c>
      <c r="H1452" s="15" t="s">
        <v>322</v>
      </c>
      <c r="I1452" s="15" t="s">
        <v>1503</v>
      </c>
      <c r="J1452" s="15" t="s">
        <v>11677</v>
      </c>
      <c r="K1452" s="15" t="s">
        <v>27917</v>
      </c>
      <c r="L1452" s="15" t="s">
        <v>215</v>
      </c>
      <c r="M1452" s="15" t="s">
        <v>27918</v>
      </c>
      <c r="N1452" s="15" t="s">
        <v>147</v>
      </c>
      <c r="O1452" s="17">
        <v>74</v>
      </c>
      <c r="P1452" s="15" t="s">
        <v>148</v>
      </c>
      <c r="Q1452" s="15" t="s">
        <v>149</v>
      </c>
      <c r="R1452" s="15" t="s">
        <v>174</v>
      </c>
      <c r="S1452" s="15" t="s">
        <v>27919</v>
      </c>
      <c r="T1452" s="18">
        <v>100</v>
      </c>
      <c r="U1452" s="15" t="s">
        <v>27920</v>
      </c>
      <c r="V1452" s="15" t="s">
        <v>138</v>
      </c>
      <c r="W1452" s="15" t="s">
        <v>138</v>
      </c>
      <c r="X1452" s="19">
        <v>2013</v>
      </c>
      <c r="Y1452" s="15" t="s">
        <v>138</v>
      </c>
      <c r="Z1452" s="15" t="s">
        <v>138</v>
      </c>
      <c r="AA1452" s="15" t="s">
        <v>27921</v>
      </c>
      <c r="AB1452" s="20" t="s">
        <v>138</v>
      </c>
      <c r="AC1452" s="20" t="s">
        <v>138</v>
      </c>
      <c r="AD1452" s="20" t="s">
        <v>138</v>
      </c>
      <c r="AE1452" s="20" t="s">
        <v>138</v>
      </c>
      <c r="AF1452" s="20" t="s">
        <v>138</v>
      </c>
      <c r="AG1452" s="15" t="s">
        <v>138</v>
      </c>
      <c r="AH1452" s="20" t="s">
        <v>138</v>
      </c>
      <c r="AI1452" s="20" t="s">
        <v>138</v>
      </c>
      <c r="AJ1452" s="20" t="s">
        <v>138</v>
      </c>
      <c r="AK1452" s="15" t="s">
        <v>27922</v>
      </c>
      <c r="AL1452" s="15" t="s">
        <v>27923</v>
      </c>
      <c r="AM1452" s="15" t="s">
        <v>304</v>
      </c>
      <c r="AN1452" s="15" t="s">
        <v>27924</v>
      </c>
      <c r="AO1452" s="15" t="s">
        <v>27925</v>
      </c>
      <c r="AP1452" s="15" t="s">
        <v>3839</v>
      </c>
      <c r="AQ1452" s="15" t="s">
        <v>27926</v>
      </c>
      <c r="AR1452" s="15" t="s">
        <v>27927</v>
      </c>
      <c r="AS1452" s="15" t="s">
        <v>3841</v>
      </c>
      <c r="AT1452" s="15" t="s">
        <v>200</v>
      </c>
      <c r="AU1452" s="15" t="s">
        <v>3842</v>
      </c>
      <c r="AV1452" s="15" t="s">
        <v>162</v>
      </c>
      <c r="AW1452" s="15" t="s">
        <v>138</v>
      </c>
      <c r="AX1452" s="15" t="s">
        <v>138</v>
      </c>
      <c r="AY1452" s="15" t="s">
        <v>27928</v>
      </c>
      <c r="AZ1452" s="15" t="s">
        <v>164</v>
      </c>
      <c r="BA1452" s="15" t="s">
        <v>165</v>
      </c>
      <c r="BB1452" s="15" t="s">
        <v>27929</v>
      </c>
      <c r="BC1452" s="15" t="s">
        <v>27930</v>
      </c>
      <c r="BD1452" s="21">
        <v>8</v>
      </c>
      <c r="BE1452" s="15" t="s">
        <v>138</v>
      </c>
      <c r="BF1452" s="15" t="s">
        <v>138</v>
      </c>
      <c r="BG1452" s="15" t="s">
        <v>138</v>
      </c>
      <c r="BH1452" s="15" t="s">
        <v>27931</v>
      </c>
      <c r="BI1452" s="15" t="s">
        <v>138</v>
      </c>
      <c r="BJ1452" s="15" t="s">
        <v>138</v>
      </c>
      <c r="BK1452" s="15" t="s">
        <v>4081</v>
      </c>
      <c r="BL1452" s="15" t="s">
        <v>138</v>
      </c>
      <c r="BM1452" s="22">
        <v>41653</v>
      </c>
      <c r="BN1452" s="17">
        <v>8</v>
      </c>
      <c r="BO1452" s="15" t="s">
        <v>172</v>
      </c>
      <c r="BP1452" s="17" t="s">
        <v>138</v>
      </c>
      <c r="BQ1452" s="15" t="s">
        <v>138</v>
      </c>
      <c r="BR1452" s="15" t="s">
        <v>205</v>
      </c>
      <c r="BS1452" s="15" t="s">
        <v>206</v>
      </c>
      <c r="BT1452" s="15" t="s">
        <v>138</v>
      </c>
      <c r="BU1452" s="15" t="s">
        <v>174</v>
      </c>
      <c r="BV1452" s="15" t="s">
        <v>138</v>
      </c>
      <c r="BW1452" s="15" t="s">
        <v>138</v>
      </c>
      <c r="BX1452" s="15" t="s">
        <v>138</v>
      </c>
      <c r="BY1452" s="15" t="s">
        <v>175</v>
      </c>
      <c r="BZ1452" s="22">
        <v>42984</v>
      </c>
      <c r="CA1452" s="17">
        <v>16</v>
      </c>
      <c r="CB1452" s="15" t="s">
        <v>172</v>
      </c>
      <c r="CC1452" s="17" t="s">
        <v>138</v>
      </c>
      <c r="CD1452" s="15" t="s">
        <v>138</v>
      </c>
      <c r="CE1452" s="15" t="s">
        <v>205</v>
      </c>
      <c r="CF1452" s="15" t="s">
        <v>138</v>
      </c>
      <c r="CG1452" s="15" t="s">
        <v>138</v>
      </c>
      <c r="CH1452" s="15" t="s">
        <v>174</v>
      </c>
      <c r="CI1452" s="15" t="s">
        <v>138</v>
      </c>
      <c r="CJ1452" s="15" t="s">
        <v>138</v>
      </c>
      <c r="CK1452" s="15" t="s">
        <v>138</v>
      </c>
      <c r="CL1452" s="15" t="s">
        <v>175</v>
      </c>
      <c r="CM1452" s="22" t="s">
        <v>138</v>
      </c>
      <c r="CN1452" s="17" t="s">
        <v>138</v>
      </c>
      <c r="CO1452" s="23">
        <v>0.08</v>
      </c>
      <c r="CP1452" s="24">
        <v>89</v>
      </c>
      <c r="CQ1452" s="23">
        <v>-0.28000000000000003</v>
      </c>
      <c r="CR1452" s="23">
        <v>-77.78</v>
      </c>
      <c r="CS1452" s="23">
        <v>-0.21</v>
      </c>
      <c r="CT1452" s="24">
        <v>22</v>
      </c>
      <c r="CU1452" s="23">
        <v>0.37</v>
      </c>
      <c r="CV1452" s="24">
        <v>90</v>
      </c>
      <c r="CW1452" s="23">
        <v>0</v>
      </c>
      <c r="CX1452" s="24">
        <v>13</v>
      </c>
      <c r="CY1452" s="23">
        <v>-0.41</v>
      </c>
      <c r="CZ1452" s="24">
        <v>23</v>
      </c>
      <c r="DA1452" s="23">
        <v>0.73</v>
      </c>
      <c r="DB1452" s="24">
        <v>97</v>
      </c>
      <c r="DC1452" s="25">
        <v>2.93</v>
      </c>
      <c r="DD1452" s="24">
        <v>75</v>
      </c>
      <c r="DE1452" s="25">
        <v>-0.04</v>
      </c>
      <c r="DF1452" s="23">
        <v>-1.51</v>
      </c>
      <c r="DG1452" s="25">
        <v>4.75</v>
      </c>
      <c r="DH1452" s="24">
        <v>82</v>
      </c>
      <c r="DI1452" s="25">
        <v>1.1200000000000001</v>
      </c>
      <c r="DJ1452" s="24">
        <v>51</v>
      </c>
      <c r="DK1452" s="25">
        <v>1.4</v>
      </c>
      <c r="DL1452" s="24">
        <v>57</v>
      </c>
      <c r="DM1452" s="25">
        <v>8.1</v>
      </c>
      <c r="DN1452" s="24">
        <v>87</v>
      </c>
      <c r="DO1452" s="25">
        <v>2.16</v>
      </c>
      <c r="DP1452" s="24">
        <v>65</v>
      </c>
      <c r="DQ1452" s="24">
        <v>473</v>
      </c>
      <c r="DR1452" s="26">
        <v>18</v>
      </c>
      <c r="DS1452" s="23">
        <v>3.96</v>
      </c>
      <c r="DT1452" s="24">
        <v>235</v>
      </c>
      <c r="DU1452" s="26">
        <v>-1</v>
      </c>
      <c r="DV1452" s="23">
        <v>-0.42</v>
      </c>
      <c r="DW1452" s="24">
        <v>771</v>
      </c>
      <c r="DX1452" s="27">
        <v>4</v>
      </c>
      <c r="DY1452" s="23">
        <v>0.52</v>
      </c>
      <c r="DZ1452" s="15" t="s">
        <v>178</v>
      </c>
      <c r="EA1452" s="22">
        <v>43587</v>
      </c>
      <c r="EB1452" s="17" t="s">
        <v>138</v>
      </c>
      <c r="EC1452" s="22" t="s">
        <v>138</v>
      </c>
      <c r="ED1452" s="15" t="s">
        <v>138</v>
      </c>
      <c r="EE1452" s="14" t="str">
        <f>HYPERLINK("https://my.pitchbook.com?c=61080-94", "View company online")</f>
        <v>View company online</v>
      </c>
    </row>
    <row r="1453" spans="1:135">
      <c r="A1453" s="28" t="s">
        <v>27932</v>
      </c>
      <c r="B1453" s="28" t="s">
        <v>27933</v>
      </c>
      <c r="C1453" s="28" t="s">
        <v>27934</v>
      </c>
      <c r="D1453" s="28" t="s">
        <v>138</v>
      </c>
      <c r="E1453" s="28" t="s">
        <v>138</v>
      </c>
      <c r="F1453" s="28" t="s">
        <v>27932</v>
      </c>
      <c r="G1453" s="28" t="s">
        <v>27935</v>
      </c>
      <c r="H1453" s="28" t="s">
        <v>322</v>
      </c>
      <c r="I1453" s="28" t="s">
        <v>323</v>
      </c>
      <c r="J1453" s="28" t="s">
        <v>437</v>
      </c>
      <c r="K1453" s="28" t="s">
        <v>27936</v>
      </c>
      <c r="L1453" s="28" t="s">
        <v>215</v>
      </c>
      <c r="M1453" s="28" t="s">
        <v>27937</v>
      </c>
      <c r="N1453" s="28" t="s">
        <v>147</v>
      </c>
      <c r="O1453" s="29">
        <v>112.4</v>
      </c>
      <c r="P1453" s="28" t="s">
        <v>148</v>
      </c>
      <c r="Q1453" s="28" t="s">
        <v>149</v>
      </c>
      <c r="R1453" s="28" t="s">
        <v>174</v>
      </c>
      <c r="S1453" s="28" t="s">
        <v>27938</v>
      </c>
      <c r="T1453" s="30">
        <v>60</v>
      </c>
      <c r="U1453" s="28" t="s">
        <v>27939</v>
      </c>
      <c r="V1453" s="28" t="s">
        <v>138</v>
      </c>
      <c r="W1453" s="28" t="s">
        <v>138</v>
      </c>
      <c r="X1453" s="31">
        <v>2009</v>
      </c>
      <c r="Y1453" s="28" t="s">
        <v>138</v>
      </c>
      <c r="Z1453" s="28" t="s">
        <v>138</v>
      </c>
      <c r="AA1453" s="28" t="s">
        <v>138</v>
      </c>
      <c r="AB1453" s="32" t="s">
        <v>138</v>
      </c>
      <c r="AC1453" s="32" t="s">
        <v>138</v>
      </c>
      <c r="AD1453" s="32" t="s">
        <v>138</v>
      </c>
      <c r="AE1453" s="32" t="s">
        <v>138</v>
      </c>
      <c r="AF1453" s="32" t="s">
        <v>138</v>
      </c>
      <c r="AG1453" s="28" t="s">
        <v>138</v>
      </c>
      <c r="AH1453" s="32" t="s">
        <v>138</v>
      </c>
      <c r="AI1453" s="32" t="s">
        <v>138</v>
      </c>
      <c r="AJ1453" s="32" t="s">
        <v>138</v>
      </c>
      <c r="AK1453" s="28" t="s">
        <v>27940</v>
      </c>
      <c r="AL1453" s="28" t="s">
        <v>27941</v>
      </c>
      <c r="AM1453" s="28" t="s">
        <v>916</v>
      </c>
      <c r="AN1453" s="28" t="s">
        <v>27942</v>
      </c>
      <c r="AO1453" s="28" t="s">
        <v>138</v>
      </c>
      <c r="AP1453" s="28" t="s">
        <v>423</v>
      </c>
      <c r="AQ1453" s="28" t="s">
        <v>27943</v>
      </c>
      <c r="AR1453" s="28" t="s">
        <v>138</v>
      </c>
      <c r="AS1453" s="28" t="s">
        <v>426</v>
      </c>
      <c r="AT1453" s="28" t="s">
        <v>426</v>
      </c>
      <c r="AU1453" s="28" t="s">
        <v>9264</v>
      </c>
      <c r="AV1453" s="28" t="s">
        <v>162</v>
      </c>
      <c r="AW1453" s="28" t="s">
        <v>138</v>
      </c>
      <c r="AX1453" s="28" t="s">
        <v>138</v>
      </c>
      <c r="AY1453" s="28" t="s">
        <v>138</v>
      </c>
      <c r="AZ1453" s="28" t="s">
        <v>164</v>
      </c>
      <c r="BA1453" s="28" t="s">
        <v>165</v>
      </c>
      <c r="BB1453" s="28" t="s">
        <v>27944</v>
      </c>
      <c r="BC1453" s="28" t="s">
        <v>27945</v>
      </c>
      <c r="BD1453" s="33">
        <v>11</v>
      </c>
      <c r="BE1453" s="28" t="s">
        <v>138</v>
      </c>
      <c r="BF1453" s="28" t="s">
        <v>138</v>
      </c>
      <c r="BG1453" s="28" t="s">
        <v>138</v>
      </c>
      <c r="BH1453" s="28" t="s">
        <v>27946</v>
      </c>
      <c r="BI1453" s="28" t="s">
        <v>138</v>
      </c>
      <c r="BJ1453" s="28" t="s">
        <v>138</v>
      </c>
      <c r="BK1453" s="28" t="s">
        <v>138</v>
      </c>
      <c r="BL1453" s="28" t="s">
        <v>27947</v>
      </c>
      <c r="BM1453" s="34">
        <v>40544</v>
      </c>
      <c r="BN1453" s="29">
        <v>3.2</v>
      </c>
      <c r="BO1453" s="28" t="s">
        <v>172</v>
      </c>
      <c r="BP1453" s="29" t="s">
        <v>138</v>
      </c>
      <c r="BQ1453" s="28" t="s">
        <v>138</v>
      </c>
      <c r="BR1453" s="28" t="s">
        <v>205</v>
      </c>
      <c r="BS1453" s="28" t="s">
        <v>138</v>
      </c>
      <c r="BT1453" s="28" t="s">
        <v>138</v>
      </c>
      <c r="BU1453" s="28" t="s">
        <v>174</v>
      </c>
      <c r="BV1453" s="28" t="s">
        <v>138</v>
      </c>
      <c r="BW1453" s="28" t="s">
        <v>138</v>
      </c>
      <c r="BX1453" s="28" t="s">
        <v>138</v>
      </c>
      <c r="BY1453" s="28" t="s">
        <v>175</v>
      </c>
      <c r="BZ1453" s="34">
        <v>42537</v>
      </c>
      <c r="CA1453" s="29">
        <v>75</v>
      </c>
      <c r="CB1453" s="28" t="s">
        <v>172</v>
      </c>
      <c r="CC1453" s="29" t="s">
        <v>138</v>
      </c>
      <c r="CD1453" s="28" t="s">
        <v>138</v>
      </c>
      <c r="CE1453" s="28" t="s">
        <v>780</v>
      </c>
      <c r="CF1453" s="28" t="s">
        <v>780</v>
      </c>
      <c r="CG1453" s="28" t="s">
        <v>138</v>
      </c>
      <c r="CH1453" s="28" t="s">
        <v>780</v>
      </c>
      <c r="CI1453" s="28" t="s">
        <v>138</v>
      </c>
      <c r="CJ1453" s="28" t="s">
        <v>138</v>
      </c>
      <c r="CK1453" s="28" t="s">
        <v>138</v>
      </c>
      <c r="CL1453" s="28" t="s">
        <v>175</v>
      </c>
      <c r="CM1453" s="34" t="s">
        <v>138</v>
      </c>
      <c r="CN1453" s="29" t="s">
        <v>138</v>
      </c>
      <c r="CO1453" s="35">
        <v>2.02</v>
      </c>
      <c r="CP1453" s="36">
        <v>99</v>
      </c>
      <c r="CQ1453" s="35">
        <v>0.01</v>
      </c>
      <c r="CR1453" s="35">
        <v>0.45</v>
      </c>
      <c r="CS1453" s="35">
        <v>4.07</v>
      </c>
      <c r="CT1453" s="36">
        <v>100</v>
      </c>
      <c r="CU1453" s="35">
        <v>-0.03</v>
      </c>
      <c r="CV1453" s="36">
        <v>14</v>
      </c>
      <c r="CW1453" s="35">
        <v>4.07</v>
      </c>
      <c r="CX1453" s="36">
        <v>94</v>
      </c>
      <c r="CY1453" s="35" t="s">
        <v>138</v>
      </c>
      <c r="CZ1453" s="36" t="s">
        <v>138</v>
      </c>
      <c r="DA1453" s="35">
        <v>-7.0000000000000007E-2</v>
      </c>
      <c r="DB1453" s="36">
        <v>9</v>
      </c>
      <c r="DC1453" s="37">
        <v>5.29</v>
      </c>
      <c r="DD1453" s="36">
        <v>83</v>
      </c>
      <c r="DE1453" s="37">
        <v>-0.28999999999999998</v>
      </c>
      <c r="DF1453" s="35">
        <v>-5.13</v>
      </c>
      <c r="DG1453" s="37">
        <v>4.59</v>
      </c>
      <c r="DH1453" s="36">
        <v>81</v>
      </c>
      <c r="DI1453" s="37">
        <v>6</v>
      </c>
      <c r="DJ1453" s="36">
        <v>80</v>
      </c>
      <c r="DK1453" s="37">
        <v>4.59</v>
      </c>
      <c r="DL1453" s="36">
        <v>78</v>
      </c>
      <c r="DM1453" s="37" t="s">
        <v>138</v>
      </c>
      <c r="DN1453" s="36" t="s">
        <v>138</v>
      </c>
      <c r="DO1453" s="37">
        <v>6.72</v>
      </c>
      <c r="DP1453" s="36">
        <v>83</v>
      </c>
      <c r="DQ1453" s="36">
        <v>1591</v>
      </c>
      <c r="DR1453" s="38">
        <v>-57</v>
      </c>
      <c r="DS1453" s="35">
        <v>-3.46</v>
      </c>
      <c r="DT1453" s="36" t="s">
        <v>138</v>
      </c>
      <c r="DU1453" s="38" t="s">
        <v>138</v>
      </c>
      <c r="DV1453" s="35" t="s">
        <v>138</v>
      </c>
      <c r="DW1453" s="36">
        <v>2407</v>
      </c>
      <c r="DX1453" s="39">
        <v>1</v>
      </c>
      <c r="DY1453" s="35">
        <v>0.04</v>
      </c>
      <c r="DZ1453" s="28" t="s">
        <v>178</v>
      </c>
      <c r="EA1453" s="34">
        <v>43622</v>
      </c>
      <c r="EB1453" s="29" t="s">
        <v>138</v>
      </c>
      <c r="EC1453" s="34" t="s">
        <v>138</v>
      </c>
      <c r="ED1453" s="28" t="s">
        <v>138</v>
      </c>
      <c r="EE1453" s="40" t="str">
        <f>HYPERLINK("https://my.pitchbook.com?c=57082-96", "View company online")</f>
        <v>View company online</v>
      </c>
    </row>
    <row r="1454" spans="1:135">
      <c r="A1454" s="15" t="s">
        <v>27948</v>
      </c>
      <c r="B1454" s="15" t="s">
        <v>27949</v>
      </c>
      <c r="C1454" s="15" t="s">
        <v>27950</v>
      </c>
      <c r="D1454" s="15" t="s">
        <v>138</v>
      </c>
      <c r="E1454" s="15" t="s">
        <v>27951</v>
      </c>
      <c r="F1454" s="15" t="s">
        <v>27948</v>
      </c>
      <c r="G1454" s="15" t="s">
        <v>27952</v>
      </c>
      <c r="H1454" s="15" t="s">
        <v>238</v>
      </c>
      <c r="I1454" s="15" t="s">
        <v>1351</v>
      </c>
      <c r="J1454" s="15" t="s">
        <v>1352</v>
      </c>
      <c r="K1454" s="15" t="s">
        <v>27953</v>
      </c>
      <c r="L1454" s="15" t="s">
        <v>27954</v>
      </c>
      <c r="M1454" s="15" t="s">
        <v>27955</v>
      </c>
      <c r="N1454" s="15" t="s">
        <v>147</v>
      </c>
      <c r="O1454" s="17">
        <v>33.03</v>
      </c>
      <c r="P1454" s="15" t="s">
        <v>148</v>
      </c>
      <c r="Q1454" s="15" t="s">
        <v>149</v>
      </c>
      <c r="R1454" s="15" t="s">
        <v>174</v>
      </c>
      <c r="S1454" s="15" t="s">
        <v>27956</v>
      </c>
      <c r="T1454" s="18">
        <v>35</v>
      </c>
      <c r="U1454" s="15" t="s">
        <v>27957</v>
      </c>
      <c r="V1454" s="15" t="s">
        <v>138</v>
      </c>
      <c r="W1454" s="15" t="s">
        <v>138</v>
      </c>
      <c r="X1454" s="19">
        <v>2014</v>
      </c>
      <c r="Y1454" s="15" t="s">
        <v>138</v>
      </c>
      <c r="Z1454" s="15" t="s">
        <v>138</v>
      </c>
      <c r="AA1454" s="15" t="s">
        <v>138</v>
      </c>
      <c r="AB1454" s="20" t="s">
        <v>138</v>
      </c>
      <c r="AC1454" s="20" t="s">
        <v>138</v>
      </c>
      <c r="AD1454" s="20" t="s">
        <v>138</v>
      </c>
      <c r="AE1454" s="20" t="s">
        <v>138</v>
      </c>
      <c r="AF1454" s="20" t="s">
        <v>138</v>
      </c>
      <c r="AG1454" s="15" t="s">
        <v>138</v>
      </c>
      <c r="AH1454" s="20" t="s">
        <v>138</v>
      </c>
      <c r="AI1454" s="20" t="s">
        <v>138</v>
      </c>
      <c r="AJ1454" s="20" t="s">
        <v>138</v>
      </c>
      <c r="AK1454" s="15" t="s">
        <v>27958</v>
      </c>
      <c r="AL1454" s="15" t="s">
        <v>27959</v>
      </c>
      <c r="AM1454" s="15" t="s">
        <v>221</v>
      </c>
      <c r="AN1454" s="15" t="s">
        <v>27960</v>
      </c>
      <c r="AO1454" s="15" t="s">
        <v>27961</v>
      </c>
      <c r="AP1454" s="15" t="s">
        <v>423</v>
      </c>
      <c r="AQ1454" s="15" t="s">
        <v>27962</v>
      </c>
      <c r="AR1454" s="15" t="s">
        <v>3084</v>
      </c>
      <c r="AS1454" s="15" t="s">
        <v>426</v>
      </c>
      <c r="AT1454" s="15" t="s">
        <v>426</v>
      </c>
      <c r="AU1454" s="15" t="s">
        <v>921</v>
      </c>
      <c r="AV1454" s="15" t="s">
        <v>162</v>
      </c>
      <c r="AW1454" s="15" t="s">
        <v>27961</v>
      </c>
      <c r="AX1454" s="15" t="s">
        <v>138</v>
      </c>
      <c r="AY1454" s="15" t="s">
        <v>138</v>
      </c>
      <c r="AZ1454" s="15" t="s">
        <v>164</v>
      </c>
      <c r="BA1454" s="15" t="s">
        <v>165</v>
      </c>
      <c r="BB1454" s="15" t="s">
        <v>27963</v>
      </c>
      <c r="BC1454" s="15" t="s">
        <v>27964</v>
      </c>
      <c r="BD1454" s="21">
        <v>43</v>
      </c>
      <c r="BE1454" s="15" t="s">
        <v>138</v>
      </c>
      <c r="BF1454" s="15" t="s">
        <v>138</v>
      </c>
      <c r="BG1454" s="15" t="s">
        <v>138</v>
      </c>
      <c r="BH1454" s="15" t="s">
        <v>27965</v>
      </c>
      <c r="BI1454" s="15" t="s">
        <v>138</v>
      </c>
      <c r="BJ1454" s="15" t="s">
        <v>138</v>
      </c>
      <c r="BK1454" s="15" t="s">
        <v>27966</v>
      </c>
      <c r="BL1454" s="15" t="s">
        <v>1370</v>
      </c>
      <c r="BM1454" s="22">
        <v>41961</v>
      </c>
      <c r="BN1454" s="17" t="s">
        <v>138</v>
      </c>
      <c r="BO1454" s="15" t="s">
        <v>138</v>
      </c>
      <c r="BP1454" s="17" t="s">
        <v>138</v>
      </c>
      <c r="BQ1454" s="15" t="s">
        <v>138</v>
      </c>
      <c r="BR1454" s="15" t="s">
        <v>262</v>
      </c>
      <c r="BS1454" s="15" t="s">
        <v>262</v>
      </c>
      <c r="BT1454" s="15" t="s">
        <v>138</v>
      </c>
      <c r="BU1454" s="15" t="s">
        <v>263</v>
      </c>
      <c r="BV1454" s="15" t="s">
        <v>138</v>
      </c>
      <c r="BW1454" s="15" t="s">
        <v>138</v>
      </c>
      <c r="BX1454" s="15" t="s">
        <v>138</v>
      </c>
      <c r="BY1454" s="15" t="s">
        <v>175</v>
      </c>
      <c r="BZ1454" s="22">
        <v>43167</v>
      </c>
      <c r="CA1454" s="17">
        <v>14</v>
      </c>
      <c r="CB1454" s="15" t="s">
        <v>172</v>
      </c>
      <c r="CC1454" s="17">
        <v>45.45</v>
      </c>
      <c r="CD1454" s="15" t="s">
        <v>172</v>
      </c>
      <c r="CE1454" s="15" t="s">
        <v>205</v>
      </c>
      <c r="CF1454" s="15" t="s">
        <v>720</v>
      </c>
      <c r="CG1454" s="15" t="s">
        <v>138</v>
      </c>
      <c r="CH1454" s="15" t="s">
        <v>174</v>
      </c>
      <c r="CI1454" s="15" t="s">
        <v>177</v>
      </c>
      <c r="CJ1454" s="15" t="s">
        <v>138</v>
      </c>
      <c r="CK1454" s="15" t="s">
        <v>138</v>
      </c>
      <c r="CL1454" s="15" t="s">
        <v>175</v>
      </c>
      <c r="CM1454" s="22" t="s">
        <v>138</v>
      </c>
      <c r="CN1454" s="17" t="s">
        <v>138</v>
      </c>
      <c r="CO1454" s="23">
        <v>0.55000000000000004</v>
      </c>
      <c r="CP1454" s="24">
        <v>95</v>
      </c>
      <c r="CQ1454" s="23">
        <v>-0.36</v>
      </c>
      <c r="CR1454" s="23">
        <v>-39.6</v>
      </c>
      <c r="CS1454" s="23" t="s">
        <v>138</v>
      </c>
      <c r="CT1454" s="24" t="s">
        <v>138</v>
      </c>
      <c r="CU1454" s="23">
        <v>1.02</v>
      </c>
      <c r="CV1454" s="24">
        <v>98</v>
      </c>
      <c r="CW1454" s="23" t="s">
        <v>138</v>
      </c>
      <c r="CX1454" s="24" t="s">
        <v>138</v>
      </c>
      <c r="CY1454" s="23" t="s">
        <v>138</v>
      </c>
      <c r="CZ1454" s="24" t="s">
        <v>138</v>
      </c>
      <c r="DA1454" s="23">
        <v>1.02</v>
      </c>
      <c r="DB1454" s="24">
        <v>98</v>
      </c>
      <c r="DC1454" s="25">
        <v>15.93</v>
      </c>
      <c r="DD1454" s="24">
        <v>93</v>
      </c>
      <c r="DE1454" s="25">
        <v>-37.01</v>
      </c>
      <c r="DF1454" s="23">
        <v>-69.91</v>
      </c>
      <c r="DG1454" s="25" t="s">
        <v>138</v>
      </c>
      <c r="DH1454" s="24" t="s">
        <v>138</v>
      </c>
      <c r="DI1454" s="25">
        <v>21.92</v>
      </c>
      <c r="DJ1454" s="24">
        <v>91</v>
      </c>
      <c r="DK1454" s="25" t="s">
        <v>138</v>
      </c>
      <c r="DL1454" s="24" t="s">
        <v>138</v>
      </c>
      <c r="DM1454" s="25" t="s">
        <v>138</v>
      </c>
      <c r="DN1454" s="24" t="s">
        <v>138</v>
      </c>
      <c r="DO1454" s="25">
        <v>21.92</v>
      </c>
      <c r="DP1454" s="24">
        <v>93</v>
      </c>
      <c r="DQ1454" s="24">
        <v>38563</v>
      </c>
      <c r="DR1454" s="26">
        <v>534</v>
      </c>
      <c r="DS1454" s="23">
        <v>1.4</v>
      </c>
      <c r="DT1454" s="24" t="s">
        <v>138</v>
      </c>
      <c r="DU1454" s="26" t="s">
        <v>138</v>
      </c>
      <c r="DV1454" s="23" t="s">
        <v>138</v>
      </c>
      <c r="DW1454" s="24">
        <v>7844</v>
      </c>
      <c r="DX1454" s="27">
        <v>13</v>
      </c>
      <c r="DY1454" s="23">
        <v>0.17</v>
      </c>
      <c r="DZ1454" s="15" t="s">
        <v>178</v>
      </c>
      <c r="EA1454" s="22">
        <v>43602</v>
      </c>
      <c r="EB1454" s="17">
        <v>45.45</v>
      </c>
      <c r="EC1454" s="22">
        <v>43167</v>
      </c>
      <c r="ED1454" s="15" t="s">
        <v>205</v>
      </c>
      <c r="EE1454" s="14" t="str">
        <f>HYPERLINK("https://my.pitchbook.com?c=112941-64", "View company online")</f>
        <v>View company online</v>
      </c>
    </row>
    <row r="1455" spans="1:135">
      <c r="A1455" s="28" t="s">
        <v>27967</v>
      </c>
      <c r="B1455" s="28" t="s">
        <v>27968</v>
      </c>
      <c r="C1455" s="28" t="s">
        <v>138</v>
      </c>
      <c r="D1455" s="28" t="s">
        <v>27969</v>
      </c>
      <c r="E1455" s="28" t="s">
        <v>138</v>
      </c>
      <c r="F1455" s="28" t="s">
        <v>27967</v>
      </c>
      <c r="G1455" s="28" t="s">
        <v>27970</v>
      </c>
      <c r="H1455" s="28" t="s">
        <v>183</v>
      </c>
      <c r="I1455" s="28" t="s">
        <v>184</v>
      </c>
      <c r="J1455" s="28" t="s">
        <v>26906</v>
      </c>
      <c r="K1455" s="28" t="s">
        <v>27971</v>
      </c>
      <c r="L1455" s="28" t="s">
        <v>752</v>
      </c>
      <c r="M1455" s="28" t="s">
        <v>27972</v>
      </c>
      <c r="N1455" s="28" t="s">
        <v>147</v>
      </c>
      <c r="O1455" s="29">
        <v>0.26</v>
      </c>
      <c r="P1455" s="28" t="s">
        <v>148</v>
      </c>
      <c r="Q1455" s="28" t="s">
        <v>149</v>
      </c>
      <c r="R1455" s="28" t="s">
        <v>174</v>
      </c>
      <c r="S1455" s="28" t="s">
        <v>27973</v>
      </c>
      <c r="T1455" s="30">
        <v>6</v>
      </c>
      <c r="U1455" s="28" t="s">
        <v>27974</v>
      </c>
      <c r="V1455" s="28" t="s">
        <v>138</v>
      </c>
      <c r="W1455" s="28" t="s">
        <v>138</v>
      </c>
      <c r="X1455" s="31">
        <v>2010</v>
      </c>
      <c r="Y1455" s="28" t="s">
        <v>138</v>
      </c>
      <c r="Z1455" s="28" t="s">
        <v>138</v>
      </c>
      <c r="AA1455" s="28" t="s">
        <v>138</v>
      </c>
      <c r="AB1455" s="32" t="s">
        <v>138</v>
      </c>
      <c r="AC1455" s="32" t="s">
        <v>138</v>
      </c>
      <c r="AD1455" s="32" t="s">
        <v>138</v>
      </c>
      <c r="AE1455" s="32" t="s">
        <v>138</v>
      </c>
      <c r="AF1455" s="32" t="s">
        <v>138</v>
      </c>
      <c r="AG1455" s="28" t="s">
        <v>138</v>
      </c>
      <c r="AH1455" s="32" t="s">
        <v>138</v>
      </c>
      <c r="AI1455" s="32" t="s">
        <v>138</v>
      </c>
      <c r="AJ1455" s="32" t="s">
        <v>138</v>
      </c>
      <c r="AK1455" s="28" t="s">
        <v>27975</v>
      </c>
      <c r="AL1455" s="28" t="s">
        <v>27976</v>
      </c>
      <c r="AM1455" s="28" t="s">
        <v>444</v>
      </c>
      <c r="AN1455" s="28" t="s">
        <v>27977</v>
      </c>
      <c r="AO1455" s="28" t="s">
        <v>27978</v>
      </c>
      <c r="AP1455" s="28" t="s">
        <v>27979</v>
      </c>
      <c r="AQ1455" s="28" t="s">
        <v>27980</v>
      </c>
      <c r="AR1455" s="28" t="s">
        <v>138</v>
      </c>
      <c r="AS1455" s="28" t="s">
        <v>27981</v>
      </c>
      <c r="AT1455" s="28" t="s">
        <v>138</v>
      </c>
      <c r="AU1455" s="28" t="s">
        <v>27982</v>
      </c>
      <c r="AV1455" s="28" t="s">
        <v>9686</v>
      </c>
      <c r="AW1455" s="28" t="s">
        <v>27978</v>
      </c>
      <c r="AX1455" s="28" t="s">
        <v>138</v>
      </c>
      <c r="AY1455" s="28" t="s">
        <v>27983</v>
      </c>
      <c r="AZ1455" s="28" t="s">
        <v>530</v>
      </c>
      <c r="BA1455" s="28" t="s">
        <v>9687</v>
      </c>
      <c r="BB1455" s="28" t="s">
        <v>27984</v>
      </c>
      <c r="BC1455" s="28" t="s">
        <v>27985</v>
      </c>
      <c r="BD1455" s="33">
        <v>8</v>
      </c>
      <c r="BE1455" s="28" t="s">
        <v>138</v>
      </c>
      <c r="BF1455" s="28" t="s">
        <v>138</v>
      </c>
      <c r="BG1455" s="28" t="s">
        <v>138</v>
      </c>
      <c r="BH1455" s="28" t="s">
        <v>27986</v>
      </c>
      <c r="BI1455" s="28" t="s">
        <v>138</v>
      </c>
      <c r="BJ1455" s="28" t="s">
        <v>138</v>
      </c>
      <c r="BK1455" s="28" t="s">
        <v>138</v>
      </c>
      <c r="BL1455" s="28" t="s">
        <v>138</v>
      </c>
      <c r="BM1455" s="34">
        <v>40544</v>
      </c>
      <c r="BN1455" s="29">
        <v>0.06</v>
      </c>
      <c r="BO1455" s="28" t="s">
        <v>172</v>
      </c>
      <c r="BP1455" s="29" t="s">
        <v>138</v>
      </c>
      <c r="BQ1455" s="28" t="s">
        <v>138</v>
      </c>
      <c r="BR1455" s="28" t="s">
        <v>176</v>
      </c>
      <c r="BS1455" s="28" t="s">
        <v>138</v>
      </c>
      <c r="BT1455" s="28" t="s">
        <v>138</v>
      </c>
      <c r="BU1455" s="28" t="s">
        <v>177</v>
      </c>
      <c r="BV1455" s="28" t="s">
        <v>138</v>
      </c>
      <c r="BW1455" s="28" t="s">
        <v>138</v>
      </c>
      <c r="BX1455" s="28" t="s">
        <v>138</v>
      </c>
      <c r="BY1455" s="28" t="s">
        <v>175</v>
      </c>
      <c r="BZ1455" s="34">
        <v>43070</v>
      </c>
      <c r="CA1455" s="29" t="s">
        <v>138</v>
      </c>
      <c r="CB1455" s="28" t="s">
        <v>138</v>
      </c>
      <c r="CC1455" s="29" t="s">
        <v>138</v>
      </c>
      <c r="CD1455" s="28" t="s">
        <v>138</v>
      </c>
      <c r="CE1455" s="28" t="s">
        <v>173</v>
      </c>
      <c r="CF1455" s="28" t="s">
        <v>138</v>
      </c>
      <c r="CG1455" s="28" t="s">
        <v>138</v>
      </c>
      <c r="CH1455" s="28" t="s">
        <v>174</v>
      </c>
      <c r="CI1455" s="28" t="s">
        <v>138</v>
      </c>
      <c r="CJ1455" s="28" t="s">
        <v>138</v>
      </c>
      <c r="CK1455" s="28" t="s">
        <v>138</v>
      </c>
      <c r="CL1455" s="28" t="s">
        <v>175</v>
      </c>
      <c r="CM1455" s="34" t="s">
        <v>138</v>
      </c>
      <c r="CN1455" s="29" t="s">
        <v>138</v>
      </c>
      <c r="CO1455" s="35">
        <v>0.01</v>
      </c>
      <c r="CP1455" s="36">
        <v>84</v>
      </c>
      <c r="CQ1455" s="35">
        <v>0</v>
      </c>
      <c r="CR1455" s="35">
        <v>0</v>
      </c>
      <c r="CS1455" s="35">
        <v>0</v>
      </c>
      <c r="CT1455" s="36">
        <v>23</v>
      </c>
      <c r="CU1455" s="35">
        <v>0.02</v>
      </c>
      <c r="CV1455" s="36">
        <v>51</v>
      </c>
      <c r="CW1455" s="35" t="s">
        <v>138</v>
      </c>
      <c r="CX1455" s="36" t="s">
        <v>138</v>
      </c>
      <c r="CY1455" s="35">
        <v>0</v>
      </c>
      <c r="CZ1455" s="36">
        <v>25</v>
      </c>
      <c r="DA1455" s="35">
        <v>-0.11</v>
      </c>
      <c r="DB1455" s="36">
        <v>5</v>
      </c>
      <c r="DC1455" s="37">
        <v>1.29</v>
      </c>
      <c r="DD1455" s="36">
        <v>57</v>
      </c>
      <c r="DE1455" s="37">
        <v>-0.02</v>
      </c>
      <c r="DF1455" s="35">
        <v>-1.31</v>
      </c>
      <c r="DG1455" s="37">
        <v>1.79</v>
      </c>
      <c r="DH1455" s="36">
        <v>64</v>
      </c>
      <c r="DI1455" s="37">
        <v>0.78</v>
      </c>
      <c r="DJ1455" s="36">
        <v>44</v>
      </c>
      <c r="DK1455" s="37" t="s">
        <v>138</v>
      </c>
      <c r="DL1455" s="36" t="s">
        <v>138</v>
      </c>
      <c r="DM1455" s="37">
        <v>1.79</v>
      </c>
      <c r="DN1455" s="36">
        <v>63</v>
      </c>
      <c r="DO1455" s="37">
        <v>0.32</v>
      </c>
      <c r="DP1455" s="36">
        <v>31</v>
      </c>
      <c r="DQ1455" s="36" t="s">
        <v>138</v>
      </c>
      <c r="DR1455" s="38" t="s">
        <v>138</v>
      </c>
      <c r="DS1455" s="35" t="s">
        <v>138</v>
      </c>
      <c r="DT1455" s="36">
        <v>52</v>
      </c>
      <c r="DU1455" s="38">
        <v>-1</v>
      </c>
      <c r="DV1455" s="35">
        <v>-1.89</v>
      </c>
      <c r="DW1455" s="36">
        <v>113</v>
      </c>
      <c r="DX1455" s="39">
        <v>0</v>
      </c>
      <c r="DY1455" s="35">
        <v>0</v>
      </c>
      <c r="DZ1455" s="28" t="s">
        <v>178</v>
      </c>
      <c r="EA1455" s="34">
        <v>43417</v>
      </c>
      <c r="EB1455" s="29" t="s">
        <v>138</v>
      </c>
      <c r="EC1455" s="34" t="s">
        <v>138</v>
      </c>
      <c r="ED1455" s="28" t="s">
        <v>138</v>
      </c>
      <c r="EE1455" s="40" t="str">
        <f>HYPERLINK("https://my.pitchbook.com?c=99071-20", "View company online")</f>
        <v>View company online</v>
      </c>
    </row>
    <row r="1456" spans="1:135">
      <c r="A1456" s="15" t="s">
        <v>27987</v>
      </c>
      <c r="B1456" s="15" t="s">
        <v>27988</v>
      </c>
      <c r="C1456" s="15" t="s">
        <v>138</v>
      </c>
      <c r="D1456" s="15" t="s">
        <v>138</v>
      </c>
      <c r="E1456" s="15" t="s">
        <v>27989</v>
      </c>
      <c r="F1456" s="15" t="s">
        <v>27987</v>
      </c>
      <c r="G1456" s="15" t="s">
        <v>27990</v>
      </c>
      <c r="H1456" s="15" t="s">
        <v>322</v>
      </c>
      <c r="I1456" s="15" t="s">
        <v>323</v>
      </c>
      <c r="J1456" s="15" t="s">
        <v>413</v>
      </c>
      <c r="K1456" s="15" t="s">
        <v>6827</v>
      </c>
      <c r="L1456" s="15" t="s">
        <v>415</v>
      </c>
      <c r="M1456" s="15" t="s">
        <v>27991</v>
      </c>
      <c r="N1456" s="15" t="s">
        <v>147</v>
      </c>
      <c r="O1456" s="17">
        <v>16.149999999999999</v>
      </c>
      <c r="P1456" s="15" t="s">
        <v>148</v>
      </c>
      <c r="Q1456" s="15" t="s">
        <v>149</v>
      </c>
      <c r="R1456" s="15" t="s">
        <v>174</v>
      </c>
      <c r="S1456" s="15" t="s">
        <v>27992</v>
      </c>
      <c r="T1456" s="18">
        <v>22</v>
      </c>
      <c r="U1456" s="15" t="s">
        <v>27993</v>
      </c>
      <c r="V1456" s="15" t="s">
        <v>138</v>
      </c>
      <c r="W1456" s="15" t="s">
        <v>138</v>
      </c>
      <c r="X1456" s="19">
        <v>2012</v>
      </c>
      <c r="Y1456" s="15" t="s">
        <v>138</v>
      </c>
      <c r="Z1456" s="15" t="s">
        <v>138</v>
      </c>
      <c r="AA1456" s="15" t="s">
        <v>1163</v>
      </c>
      <c r="AB1456" s="20" t="s">
        <v>138</v>
      </c>
      <c r="AC1456" s="20" t="s">
        <v>138</v>
      </c>
      <c r="AD1456" s="20" t="s">
        <v>138</v>
      </c>
      <c r="AE1456" s="20" t="s">
        <v>138</v>
      </c>
      <c r="AF1456" s="20" t="s">
        <v>138</v>
      </c>
      <c r="AG1456" s="15" t="s">
        <v>138</v>
      </c>
      <c r="AH1456" s="20" t="s">
        <v>138</v>
      </c>
      <c r="AI1456" s="20" t="s">
        <v>138</v>
      </c>
      <c r="AJ1456" s="20" t="s">
        <v>138</v>
      </c>
      <c r="AK1456" s="15" t="s">
        <v>27994</v>
      </c>
      <c r="AL1456" s="15" t="s">
        <v>27995</v>
      </c>
      <c r="AM1456" s="15" t="s">
        <v>27996</v>
      </c>
      <c r="AN1456" s="15" t="s">
        <v>27997</v>
      </c>
      <c r="AO1456" s="15" t="s">
        <v>27998</v>
      </c>
      <c r="AP1456" s="15" t="s">
        <v>3839</v>
      </c>
      <c r="AQ1456" s="15" t="s">
        <v>13397</v>
      </c>
      <c r="AR1456" s="15" t="s">
        <v>19654</v>
      </c>
      <c r="AS1456" s="15" t="s">
        <v>3841</v>
      </c>
      <c r="AT1456" s="15" t="s">
        <v>200</v>
      </c>
      <c r="AU1456" s="15" t="s">
        <v>11035</v>
      </c>
      <c r="AV1456" s="15" t="s">
        <v>162</v>
      </c>
      <c r="AW1456" s="15" t="s">
        <v>27998</v>
      </c>
      <c r="AX1456" s="15" t="s">
        <v>138</v>
      </c>
      <c r="AY1456" s="15" t="s">
        <v>138</v>
      </c>
      <c r="AZ1456" s="15" t="s">
        <v>164</v>
      </c>
      <c r="BA1456" s="15" t="s">
        <v>165</v>
      </c>
      <c r="BB1456" s="15" t="s">
        <v>27999</v>
      </c>
      <c r="BC1456" s="15" t="s">
        <v>28000</v>
      </c>
      <c r="BD1456" s="21">
        <v>8</v>
      </c>
      <c r="BE1456" s="15" t="s">
        <v>138</v>
      </c>
      <c r="BF1456" s="15" t="s">
        <v>138</v>
      </c>
      <c r="BG1456" s="15" t="s">
        <v>138</v>
      </c>
      <c r="BH1456" s="15" t="s">
        <v>28001</v>
      </c>
      <c r="BI1456" s="15" t="s">
        <v>138</v>
      </c>
      <c r="BJ1456" s="15" t="s">
        <v>138</v>
      </c>
      <c r="BK1456" s="15" t="s">
        <v>315</v>
      </c>
      <c r="BL1456" s="15" t="s">
        <v>315</v>
      </c>
      <c r="BM1456" s="22">
        <v>41609</v>
      </c>
      <c r="BN1456" s="17">
        <v>1</v>
      </c>
      <c r="BO1456" s="15" t="s">
        <v>172</v>
      </c>
      <c r="BP1456" s="17" t="s">
        <v>138</v>
      </c>
      <c r="BQ1456" s="15" t="s">
        <v>138</v>
      </c>
      <c r="BR1456" s="15" t="s">
        <v>234</v>
      </c>
      <c r="BS1456" s="15" t="s">
        <v>234</v>
      </c>
      <c r="BT1456" s="15" t="s">
        <v>138</v>
      </c>
      <c r="BU1456" s="15" t="s">
        <v>263</v>
      </c>
      <c r="BV1456" s="15" t="s">
        <v>264</v>
      </c>
      <c r="BW1456" s="15" t="s">
        <v>138</v>
      </c>
      <c r="BX1456" s="15" t="s">
        <v>138</v>
      </c>
      <c r="BY1456" s="15" t="s">
        <v>175</v>
      </c>
      <c r="BZ1456" s="22">
        <v>43004</v>
      </c>
      <c r="CA1456" s="17">
        <v>9.5</v>
      </c>
      <c r="CB1456" s="15" t="s">
        <v>172</v>
      </c>
      <c r="CC1456" s="17" t="s">
        <v>138</v>
      </c>
      <c r="CD1456" s="15" t="s">
        <v>138</v>
      </c>
      <c r="CE1456" s="15" t="s">
        <v>173</v>
      </c>
      <c r="CF1456" s="15" t="s">
        <v>138</v>
      </c>
      <c r="CG1456" s="15" t="s">
        <v>138</v>
      </c>
      <c r="CH1456" s="15" t="s">
        <v>174</v>
      </c>
      <c r="CI1456" s="15" t="s">
        <v>138</v>
      </c>
      <c r="CJ1456" s="15" t="s">
        <v>138</v>
      </c>
      <c r="CK1456" s="15" t="s">
        <v>138</v>
      </c>
      <c r="CL1456" s="15" t="s">
        <v>175</v>
      </c>
      <c r="CM1456" s="22" t="s">
        <v>138</v>
      </c>
      <c r="CN1456" s="17" t="s">
        <v>138</v>
      </c>
      <c r="CO1456" s="23">
        <v>4.04</v>
      </c>
      <c r="CP1456" s="24">
        <v>100</v>
      </c>
      <c r="CQ1456" s="23">
        <v>1.73</v>
      </c>
      <c r="CR1456" s="23">
        <v>75.13</v>
      </c>
      <c r="CS1456" s="23">
        <v>7.84</v>
      </c>
      <c r="CT1456" s="24">
        <v>100</v>
      </c>
      <c r="CU1456" s="23">
        <v>0.23</v>
      </c>
      <c r="CV1456" s="24">
        <v>83</v>
      </c>
      <c r="CW1456" s="23" t="s">
        <v>138</v>
      </c>
      <c r="CX1456" s="24" t="s">
        <v>138</v>
      </c>
      <c r="CY1456" s="23">
        <v>7.84</v>
      </c>
      <c r="CZ1456" s="24">
        <v>100</v>
      </c>
      <c r="DA1456" s="23">
        <v>0.23</v>
      </c>
      <c r="DB1456" s="24">
        <v>85</v>
      </c>
      <c r="DC1456" s="25">
        <v>3.96</v>
      </c>
      <c r="DD1456" s="24">
        <v>79</v>
      </c>
      <c r="DE1456" s="25">
        <v>0.44</v>
      </c>
      <c r="DF1456" s="23">
        <v>12.63</v>
      </c>
      <c r="DG1456" s="25">
        <v>7.59</v>
      </c>
      <c r="DH1456" s="24">
        <v>87</v>
      </c>
      <c r="DI1456" s="25">
        <v>0.33</v>
      </c>
      <c r="DJ1456" s="24">
        <v>30</v>
      </c>
      <c r="DK1456" s="25" t="s">
        <v>138</v>
      </c>
      <c r="DL1456" s="24" t="s">
        <v>138</v>
      </c>
      <c r="DM1456" s="25">
        <v>7.59</v>
      </c>
      <c r="DN1456" s="24">
        <v>86</v>
      </c>
      <c r="DO1456" s="25">
        <v>0.33</v>
      </c>
      <c r="DP1456" s="24">
        <v>31</v>
      </c>
      <c r="DQ1456" s="24" t="s">
        <v>138</v>
      </c>
      <c r="DR1456" s="26" t="s">
        <v>138</v>
      </c>
      <c r="DS1456" s="23" t="s">
        <v>138</v>
      </c>
      <c r="DT1456" s="24">
        <v>211</v>
      </c>
      <c r="DU1456" s="26">
        <v>42</v>
      </c>
      <c r="DV1456" s="23">
        <v>24.85</v>
      </c>
      <c r="DW1456" s="24">
        <v>119</v>
      </c>
      <c r="DX1456" s="27">
        <v>3</v>
      </c>
      <c r="DY1456" s="23">
        <v>2.59</v>
      </c>
      <c r="DZ1456" s="15" t="s">
        <v>178</v>
      </c>
      <c r="EA1456" s="22">
        <v>43375</v>
      </c>
      <c r="EB1456" s="17">
        <v>20.25</v>
      </c>
      <c r="EC1456" s="22">
        <v>41913</v>
      </c>
      <c r="ED1456" s="15" t="s">
        <v>205</v>
      </c>
      <c r="EE1456" s="14" t="str">
        <f>HYPERLINK("https://my.pitchbook.com?c=62199-82", "View company online")</f>
        <v>View company online</v>
      </c>
    </row>
    <row r="1457" spans="1:135">
      <c r="A1457" s="28" t="s">
        <v>28002</v>
      </c>
      <c r="B1457" s="28" t="s">
        <v>28003</v>
      </c>
      <c r="C1457" s="28" t="s">
        <v>138</v>
      </c>
      <c r="D1457" s="28" t="s">
        <v>28004</v>
      </c>
      <c r="E1457" s="28" t="s">
        <v>28005</v>
      </c>
      <c r="F1457" s="28" t="s">
        <v>28002</v>
      </c>
      <c r="G1457" s="28" t="s">
        <v>28006</v>
      </c>
      <c r="H1457" s="28" t="s">
        <v>322</v>
      </c>
      <c r="I1457" s="28" t="s">
        <v>323</v>
      </c>
      <c r="J1457" s="28" t="s">
        <v>324</v>
      </c>
      <c r="K1457" s="28" t="s">
        <v>28007</v>
      </c>
      <c r="L1457" s="28" t="s">
        <v>28008</v>
      </c>
      <c r="M1457" s="28" t="s">
        <v>28009</v>
      </c>
      <c r="N1457" s="28" t="s">
        <v>147</v>
      </c>
      <c r="O1457" s="29">
        <v>10</v>
      </c>
      <c r="P1457" s="28" t="s">
        <v>148</v>
      </c>
      <c r="Q1457" s="28" t="s">
        <v>149</v>
      </c>
      <c r="R1457" s="28" t="s">
        <v>174</v>
      </c>
      <c r="S1457" s="28" t="s">
        <v>28010</v>
      </c>
      <c r="T1457" s="30">
        <v>18</v>
      </c>
      <c r="U1457" s="28" t="s">
        <v>28011</v>
      </c>
      <c r="V1457" s="28" t="s">
        <v>138</v>
      </c>
      <c r="W1457" s="28" t="s">
        <v>138</v>
      </c>
      <c r="X1457" s="31">
        <v>2016</v>
      </c>
      <c r="Y1457" s="28" t="s">
        <v>138</v>
      </c>
      <c r="Z1457" s="28" t="s">
        <v>138</v>
      </c>
      <c r="AA1457" s="28" t="s">
        <v>138</v>
      </c>
      <c r="AB1457" s="32" t="s">
        <v>138</v>
      </c>
      <c r="AC1457" s="32" t="s">
        <v>138</v>
      </c>
      <c r="AD1457" s="32" t="s">
        <v>138</v>
      </c>
      <c r="AE1457" s="32" t="s">
        <v>138</v>
      </c>
      <c r="AF1457" s="32" t="s">
        <v>138</v>
      </c>
      <c r="AG1457" s="28" t="s">
        <v>138</v>
      </c>
      <c r="AH1457" s="32" t="s">
        <v>138</v>
      </c>
      <c r="AI1457" s="32" t="s">
        <v>138</v>
      </c>
      <c r="AJ1457" s="32" t="s">
        <v>138</v>
      </c>
      <c r="AK1457" s="28" t="s">
        <v>28012</v>
      </c>
      <c r="AL1457" s="28" t="s">
        <v>28013</v>
      </c>
      <c r="AM1457" s="28" t="s">
        <v>2605</v>
      </c>
      <c r="AN1457" s="28" t="s">
        <v>28014</v>
      </c>
      <c r="AO1457" s="28" t="s">
        <v>138</v>
      </c>
      <c r="AP1457" s="28" t="s">
        <v>1168</v>
      </c>
      <c r="AQ1457" s="28" t="s">
        <v>28015</v>
      </c>
      <c r="AR1457" s="28" t="s">
        <v>138</v>
      </c>
      <c r="AS1457" s="28" t="s">
        <v>1171</v>
      </c>
      <c r="AT1457" s="28" t="s">
        <v>200</v>
      </c>
      <c r="AU1457" s="28" t="s">
        <v>4152</v>
      </c>
      <c r="AV1457" s="28" t="s">
        <v>162</v>
      </c>
      <c r="AW1457" s="28" t="s">
        <v>138</v>
      </c>
      <c r="AX1457" s="28" t="s">
        <v>138</v>
      </c>
      <c r="AY1457" s="28" t="s">
        <v>28016</v>
      </c>
      <c r="AZ1457" s="28" t="s">
        <v>164</v>
      </c>
      <c r="BA1457" s="28" t="s">
        <v>165</v>
      </c>
      <c r="BB1457" s="28" t="s">
        <v>28017</v>
      </c>
      <c r="BC1457" s="28" t="s">
        <v>28018</v>
      </c>
      <c r="BD1457" s="33">
        <v>7</v>
      </c>
      <c r="BE1457" s="28" t="s">
        <v>138</v>
      </c>
      <c r="BF1457" s="28" t="s">
        <v>138</v>
      </c>
      <c r="BG1457" s="28" t="s">
        <v>138</v>
      </c>
      <c r="BH1457" s="28" t="s">
        <v>28019</v>
      </c>
      <c r="BI1457" s="28" t="s">
        <v>138</v>
      </c>
      <c r="BJ1457" s="28" t="s">
        <v>138</v>
      </c>
      <c r="BK1457" s="28" t="s">
        <v>138</v>
      </c>
      <c r="BL1457" s="28" t="s">
        <v>138</v>
      </c>
      <c r="BM1457" s="34" t="s">
        <v>138</v>
      </c>
      <c r="BN1457" s="29">
        <v>4.5</v>
      </c>
      <c r="BO1457" s="28" t="s">
        <v>172</v>
      </c>
      <c r="BP1457" s="29" t="s">
        <v>138</v>
      </c>
      <c r="BQ1457" s="28" t="s">
        <v>138</v>
      </c>
      <c r="BR1457" s="28" t="s">
        <v>262</v>
      </c>
      <c r="BS1457" s="28" t="s">
        <v>262</v>
      </c>
      <c r="BT1457" s="28" t="s">
        <v>138</v>
      </c>
      <c r="BU1457" s="28" t="s">
        <v>263</v>
      </c>
      <c r="BV1457" s="28" t="s">
        <v>138</v>
      </c>
      <c r="BW1457" s="28" t="s">
        <v>138</v>
      </c>
      <c r="BX1457" s="28" t="s">
        <v>138</v>
      </c>
      <c r="BY1457" s="28" t="s">
        <v>175</v>
      </c>
      <c r="BZ1457" s="34">
        <v>43159</v>
      </c>
      <c r="CA1457" s="29">
        <v>5.5</v>
      </c>
      <c r="CB1457" s="28" t="s">
        <v>172</v>
      </c>
      <c r="CC1457" s="29" t="s">
        <v>138</v>
      </c>
      <c r="CD1457" s="28" t="s">
        <v>138</v>
      </c>
      <c r="CE1457" s="28" t="s">
        <v>234</v>
      </c>
      <c r="CF1457" s="28" t="s">
        <v>234</v>
      </c>
      <c r="CG1457" s="28" t="s">
        <v>138</v>
      </c>
      <c r="CH1457" s="28" t="s">
        <v>174</v>
      </c>
      <c r="CI1457" s="28" t="s">
        <v>138</v>
      </c>
      <c r="CJ1457" s="28" t="s">
        <v>138</v>
      </c>
      <c r="CK1457" s="28" t="s">
        <v>138</v>
      </c>
      <c r="CL1457" s="28" t="s">
        <v>175</v>
      </c>
      <c r="CM1457" s="34" t="s">
        <v>138</v>
      </c>
      <c r="CN1457" s="29" t="s">
        <v>138</v>
      </c>
      <c r="CO1457" s="35">
        <v>0.73</v>
      </c>
      <c r="CP1457" s="36">
        <v>96</v>
      </c>
      <c r="CQ1457" s="35">
        <v>-7.0000000000000007E-2</v>
      </c>
      <c r="CR1457" s="35">
        <v>-8.9</v>
      </c>
      <c r="CS1457" s="35">
        <v>-0.1</v>
      </c>
      <c r="CT1457" s="36">
        <v>22</v>
      </c>
      <c r="CU1457" s="35">
        <v>1.55</v>
      </c>
      <c r="CV1457" s="36">
        <v>99</v>
      </c>
      <c r="CW1457" s="35">
        <v>-0.04</v>
      </c>
      <c r="CX1457" s="36">
        <v>13</v>
      </c>
      <c r="CY1457" s="35">
        <v>-0.16</v>
      </c>
      <c r="CZ1457" s="36">
        <v>24</v>
      </c>
      <c r="DA1457" s="35">
        <v>1.55</v>
      </c>
      <c r="DB1457" s="36">
        <v>99</v>
      </c>
      <c r="DC1457" s="37">
        <v>1.33</v>
      </c>
      <c r="DD1457" s="36">
        <v>58</v>
      </c>
      <c r="DE1457" s="37">
        <v>-0.03</v>
      </c>
      <c r="DF1457" s="35">
        <v>-2.31</v>
      </c>
      <c r="DG1457" s="37">
        <v>3.03</v>
      </c>
      <c r="DH1457" s="36">
        <v>75</v>
      </c>
      <c r="DI1457" s="37">
        <v>0.92</v>
      </c>
      <c r="DJ1457" s="36">
        <v>48</v>
      </c>
      <c r="DK1457" s="37">
        <v>1.5</v>
      </c>
      <c r="DL1457" s="36">
        <v>59</v>
      </c>
      <c r="DM1457" s="37">
        <v>4.55</v>
      </c>
      <c r="DN1457" s="36">
        <v>80</v>
      </c>
      <c r="DO1457" s="37">
        <v>0.92</v>
      </c>
      <c r="DP1457" s="36">
        <v>49</v>
      </c>
      <c r="DQ1457" s="36">
        <v>514</v>
      </c>
      <c r="DR1457" s="38">
        <v>6</v>
      </c>
      <c r="DS1457" s="35">
        <v>1.18</v>
      </c>
      <c r="DT1457" s="36">
        <v>132</v>
      </c>
      <c r="DU1457" s="38">
        <v>0</v>
      </c>
      <c r="DV1457" s="35">
        <v>0</v>
      </c>
      <c r="DW1457" s="36">
        <v>330</v>
      </c>
      <c r="DX1457" s="39">
        <v>3</v>
      </c>
      <c r="DY1457" s="35">
        <v>0.92</v>
      </c>
      <c r="DZ1457" s="28" t="s">
        <v>178</v>
      </c>
      <c r="EA1457" s="34">
        <v>43602</v>
      </c>
      <c r="EB1457" s="29" t="s">
        <v>138</v>
      </c>
      <c r="EC1457" s="34" t="s">
        <v>138</v>
      </c>
      <c r="ED1457" s="28" t="s">
        <v>138</v>
      </c>
      <c r="EE1457" s="40" t="str">
        <f>HYPERLINK("https://my.pitchbook.com?c=185202-19", "View company online")</f>
        <v>View company online</v>
      </c>
    </row>
    <row r="1458" spans="1:135">
      <c r="A1458" s="15" t="s">
        <v>28020</v>
      </c>
      <c r="B1458" s="15" t="s">
        <v>28021</v>
      </c>
      <c r="C1458" s="15" t="s">
        <v>138</v>
      </c>
      <c r="D1458" s="15" t="s">
        <v>28022</v>
      </c>
      <c r="E1458" s="15" t="s">
        <v>138</v>
      </c>
      <c r="F1458" s="15" t="s">
        <v>28020</v>
      </c>
      <c r="G1458" s="15" t="s">
        <v>28023</v>
      </c>
      <c r="H1458" s="15" t="s">
        <v>322</v>
      </c>
      <c r="I1458" s="15" t="s">
        <v>323</v>
      </c>
      <c r="J1458" s="15" t="s">
        <v>1235</v>
      </c>
      <c r="K1458" s="15" t="s">
        <v>3763</v>
      </c>
      <c r="L1458" s="15" t="s">
        <v>28024</v>
      </c>
      <c r="M1458" s="15" t="s">
        <v>28025</v>
      </c>
      <c r="N1458" s="15" t="s">
        <v>147</v>
      </c>
      <c r="O1458" s="17" t="s">
        <v>138</v>
      </c>
      <c r="P1458" s="15" t="s">
        <v>148</v>
      </c>
      <c r="Q1458" s="15" t="s">
        <v>149</v>
      </c>
      <c r="R1458" s="15" t="s">
        <v>174</v>
      </c>
      <c r="S1458" s="15" t="s">
        <v>28026</v>
      </c>
      <c r="T1458" s="18" t="s">
        <v>138</v>
      </c>
      <c r="U1458" s="15" t="s">
        <v>138</v>
      </c>
      <c r="V1458" s="15" t="s">
        <v>138</v>
      </c>
      <c r="W1458" s="15" t="s">
        <v>138</v>
      </c>
      <c r="X1458" s="19">
        <v>2017</v>
      </c>
      <c r="Y1458" s="15" t="s">
        <v>138</v>
      </c>
      <c r="Z1458" s="15" t="s">
        <v>138</v>
      </c>
      <c r="AA1458" s="15" t="s">
        <v>138</v>
      </c>
      <c r="AB1458" s="20" t="s">
        <v>138</v>
      </c>
      <c r="AC1458" s="20" t="s">
        <v>138</v>
      </c>
      <c r="AD1458" s="20" t="s">
        <v>138</v>
      </c>
      <c r="AE1458" s="20" t="s">
        <v>138</v>
      </c>
      <c r="AF1458" s="20" t="s">
        <v>138</v>
      </c>
      <c r="AG1458" s="15" t="s">
        <v>138</v>
      </c>
      <c r="AH1458" s="20" t="s">
        <v>138</v>
      </c>
      <c r="AI1458" s="20" t="s">
        <v>138</v>
      </c>
      <c r="AJ1458" s="20" t="s">
        <v>138</v>
      </c>
      <c r="AK1458" s="15" t="s">
        <v>28027</v>
      </c>
      <c r="AL1458" s="15" t="s">
        <v>28028</v>
      </c>
      <c r="AM1458" s="15" t="s">
        <v>304</v>
      </c>
      <c r="AN1458" s="15" t="s">
        <v>28029</v>
      </c>
      <c r="AO1458" s="15" t="s">
        <v>138</v>
      </c>
      <c r="AP1458" s="15" t="s">
        <v>2842</v>
      </c>
      <c r="AQ1458" s="15" t="s">
        <v>28030</v>
      </c>
      <c r="AR1458" s="15" t="s">
        <v>138</v>
      </c>
      <c r="AS1458" s="15" t="s">
        <v>2845</v>
      </c>
      <c r="AT1458" s="15" t="s">
        <v>200</v>
      </c>
      <c r="AU1458" s="15" t="s">
        <v>28031</v>
      </c>
      <c r="AV1458" s="15" t="s">
        <v>162</v>
      </c>
      <c r="AW1458" s="15" t="s">
        <v>138</v>
      </c>
      <c r="AX1458" s="15" t="s">
        <v>138</v>
      </c>
      <c r="AY1458" s="15" t="s">
        <v>28032</v>
      </c>
      <c r="AZ1458" s="15" t="s">
        <v>164</v>
      </c>
      <c r="BA1458" s="15" t="s">
        <v>165</v>
      </c>
      <c r="BB1458" s="15" t="s">
        <v>28033</v>
      </c>
      <c r="BC1458" s="15" t="s">
        <v>28034</v>
      </c>
      <c r="BD1458" s="21">
        <v>3</v>
      </c>
      <c r="BE1458" s="15" t="s">
        <v>138</v>
      </c>
      <c r="BF1458" s="15" t="s">
        <v>138</v>
      </c>
      <c r="BG1458" s="15" t="s">
        <v>138</v>
      </c>
      <c r="BH1458" s="15" t="s">
        <v>28035</v>
      </c>
      <c r="BI1458" s="15" t="s">
        <v>138</v>
      </c>
      <c r="BJ1458" s="15" t="s">
        <v>138</v>
      </c>
      <c r="BK1458" s="15" t="s">
        <v>138</v>
      </c>
      <c r="BL1458" s="15" t="s">
        <v>138</v>
      </c>
      <c r="BM1458" s="22">
        <v>43403</v>
      </c>
      <c r="BN1458" s="17" t="s">
        <v>138</v>
      </c>
      <c r="BO1458" s="15" t="s">
        <v>138</v>
      </c>
      <c r="BP1458" s="17" t="s">
        <v>138</v>
      </c>
      <c r="BQ1458" s="15" t="s">
        <v>138</v>
      </c>
      <c r="BR1458" s="15" t="s">
        <v>205</v>
      </c>
      <c r="BS1458" s="15" t="s">
        <v>138</v>
      </c>
      <c r="BT1458" s="15" t="s">
        <v>138</v>
      </c>
      <c r="BU1458" s="15" t="s">
        <v>174</v>
      </c>
      <c r="BV1458" s="15" t="s">
        <v>138</v>
      </c>
      <c r="BW1458" s="15" t="s">
        <v>138</v>
      </c>
      <c r="BX1458" s="15" t="s">
        <v>138</v>
      </c>
      <c r="BY1458" s="15" t="s">
        <v>175</v>
      </c>
      <c r="BZ1458" s="22">
        <v>43403</v>
      </c>
      <c r="CA1458" s="17" t="s">
        <v>138</v>
      </c>
      <c r="CB1458" s="15" t="s">
        <v>138</v>
      </c>
      <c r="CC1458" s="17" t="s">
        <v>138</v>
      </c>
      <c r="CD1458" s="15" t="s">
        <v>138</v>
      </c>
      <c r="CE1458" s="15" t="s">
        <v>205</v>
      </c>
      <c r="CF1458" s="15" t="s">
        <v>138</v>
      </c>
      <c r="CG1458" s="15" t="s">
        <v>138</v>
      </c>
      <c r="CH1458" s="15" t="s">
        <v>174</v>
      </c>
      <c r="CI1458" s="15" t="s">
        <v>138</v>
      </c>
      <c r="CJ1458" s="15" t="s">
        <v>138</v>
      </c>
      <c r="CK1458" s="15" t="s">
        <v>138</v>
      </c>
      <c r="CL1458" s="15" t="s">
        <v>175</v>
      </c>
      <c r="CM1458" s="22" t="s">
        <v>138</v>
      </c>
      <c r="CN1458" s="17" t="s">
        <v>138</v>
      </c>
      <c r="CO1458" s="23">
        <v>-0.5</v>
      </c>
      <c r="CP1458" s="24">
        <v>16</v>
      </c>
      <c r="CQ1458" s="23">
        <v>-0.13</v>
      </c>
      <c r="CR1458" s="23">
        <v>-34.590000000000003</v>
      </c>
      <c r="CS1458" s="23" t="s">
        <v>138</v>
      </c>
      <c r="CT1458" s="24" t="s">
        <v>138</v>
      </c>
      <c r="CU1458" s="23">
        <v>-0.5</v>
      </c>
      <c r="CV1458" s="24">
        <v>1</v>
      </c>
      <c r="CW1458" s="23" t="s">
        <v>138</v>
      </c>
      <c r="CX1458" s="24" t="s">
        <v>138</v>
      </c>
      <c r="CY1458" s="23" t="s">
        <v>138</v>
      </c>
      <c r="CZ1458" s="24" t="s">
        <v>138</v>
      </c>
      <c r="DA1458" s="23">
        <v>-0.5</v>
      </c>
      <c r="DB1458" s="24">
        <v>1</v>
      </c>
      <c r="DC1458" s="25">
        <v>0.54</v>
      </c>
      <c r="DD1458" s="24">
        <v>36</v>
      </c>
      <c r="DE1458" s="25">
        <v>0</v>
      </c>
      <c r="DF1458" s="23">
        <v>0.04</v>
      </c>
      <c r="DG1458" s="25" t="s">
        <v>138</v>
      </c>
      <c r="DH1458" s="24" t="s">
        <v>138</v>
      </c>
      <c r="DI1458" s="25">
        <v>0.54</v>
      </c>
      <c r="DJ1458" s="24">
        <v>38</v>
      </c>
      <c r="DK1458" s="25" t="s">
        <v>138</v>
      </c>
      <c r="DL1458" s="24" t="s">
        <v>138</v>
      </c>
      <c r="DM1458" s="25" t="s">
        <v>138</v>
      </c>
      <c r="DN1458" s="24" t="s">
        <v>138</v>
      </c>
      <c r="DO1458" s="25">
        <v>0.54</v>
      </c>
      <c r="DP1458" s="24">
        <v>39</v>
      </c>
      <c r="DQ1458" s="24">
        <v>77</v>
      </c>
      <c r="DR1458" s="26">
        <v>-14</v>
      </c>
      <c r="DS1458" s="23">
        <v>-15.38</v>
      </c>
      <c r="DT1458" s="24" t="s">
        <v>138</v>
      </c>
      <c r="DU1458" s="26" t="s">
        <v>138</v>
      </c>
      <c r="DV1458" s="23" t="s">
        <v>138</v>
      </c>
      <c r="DW1458" s="24">
        <v>191</v>
      </c>
      <c r="DX1458" s="27">
        <v>-2</v>
      </c>
      <c r="DY1458" s="23">
        <v>-1.04</v>
      </c>
      <c r="DZ1458" s="15" t="s">
        <v>178</v>
      </c>
      <c r="EA1458" s="22">
        <v>43622</v>
      </c>
      <c r="EB1458" s="17" t="s">
        <v>138</v>
      </c>
      <c r="EC1458" s="22" t="s">
        <v>138</v>
      </c>
      <c r="ED1458" s="15" t="s">
        <v>138</v>
      </c>
      <c r="EE1458" s="14" t="str">
        <f>HYPERLINK("https://my.pitchbook.com?c=231918-85", "View company online")</f>
        <v>View company online</v>
      </c>
    </row>
    <row r="1459" spans="1:135">
      <c r="A1459" s="28" t="s">
        <v>28036</v>
      </c>
      <c r="B1459" s="28" t="s">
        <v>28037</v>
      </c>
      <c r="C1459" s="28" t="s">
        <v>138</v>
      </c>
      <c r="D1459" s="28" t="s">
        <v>138</v>
      </c>
      <c r="E1459" s="28" t="s">
        <v>28038</v>
      </c>
      <c r="F1459" s="28" t="s">
        <v>28036</v>
      </c>
      <c r="G1459" s="28" t="s">
        <v>28039</v>
      </c>
      <c r="H1459" s="28" t="s">
        <v>322</v>
      </c>
      <c r="I1459" s="28" t="s">
        <v>807</v>
      </c>
      <c r="J1459" s="28" t="s">
        <v>2534</v>
      </c>
      <c r="K1459" s="28" t="s">
        <v>28040</v>
      </c>
      <c r="L1459" s="28" t="s">
        <v>415</v>
      </c>
      <c r="M1459" s="28" t="s">
        <v>28041</v>
      </c>
      <c r="N1459" s="28" t="s">
        <v>147</v>
      </c>
      <c r="O1459" s="29">
        <v>97.01</v>
      </c>
      <c r="P1459" s="28" t="s">
        <v>148</v>
      </c>
      <c r="Q1459" s="28" t="s">
        <v>149</v>
      </c>
      <c r="R1459" s="28" t="s">
        <v>174</v>
      </c>
      <c r="S1459" s="28" t="s">
        <v>28042</v>
      </c>
      <c r="T1459" s="30">
        <v>86</v>
      </c>
      <c r="U1459" s="28" t="s">
        <v>28043</v>
      </c>
      <c r="V1459" s="28" t="s">
        <v>138</v>
      </c>
      <c r="W1459" s="28" t="s">
        <v>138</v>
      </c>
      <c r="X1459" s="31">
        <v>2009</v>
      </c>
      <c r="Y1459" s="28" t="s">
        <v>138</v>
      </c>
      <c r="Z1459" s="28" t="s">
        <v>138</v>
      </c>
      <c r="AA1459" s="28" t="s">
        <v>28044</v>
      </c>
      <c r="AB1459" s="32" t="s">
        <v>138</v>
      </c>
      <c r="AC1459" s="32" t="s">
        <v>138</v>
      </c>
      <c r="AD1459" s="32" t="s">
        <v>138</v>
      </c>
      <c r="AE1459" s="32" t="s">
        <v>138</v>
      </c>
      <c r="AF1459" s="32" t="s">
        <v>138</v>
      </c>
      <c r="AG1459" s="28" t="s">
        <v>138</v>
      </c>
      <c r="AH1459" s="32" t="s">
        <v>138</v>
      </c>
      <c r="AI1459" s="32" t="s">
        <v>138</v>
      </c>
      <c r="AJ1459" s="32" t="s">
        <v>138</v>
      </c>
      <c r="AK1459" s="28" t="s">
        <v>28045</v>
      </c>
      <c r="AL1459" s="28" t="s">
        <v>28046</v>
      </c>
      <c r="AM1459" s="28" t="s">
        <v>28047</v>
      </c>
      <c r="AN1459" s="28" t="s">
        <v>28048</v>
      </c>
      <c r="AO1459" s="28" t="s">
        <v>28049</v>
      </c>
      <c r="AP1459" s="28" t="s">
        <v>6296</v>
      </c>
      <c r="AQ1459" s="28" t="s">
        <v>28050</v>
      </c>
      <c r="AR1459" s="28" t="s">
        <v>6688</v>
      </c>
      <c r="AS1459" s="28" t="s">
        <v>6299</v>
      </c>
      <c r="AT1459" s="28" t="s">
        <v>339</v>
      </c>
      <c r="AU1459" s="28" t="s">
        <v>28051</v>
      </c>
      <c r="AV1459" s="28" t="s">
        <v>162</v>
      </c>
      <c r="AW1459" s="28" t="s">
        <v>28049</v>
      </c>
      <c r="AX1459" s="28" t="s">
        <v>138</v>
      </c>
      <c r="AY1459" s="28" t="s">
        <v>28052</v>
      </c>
      <c r="AZ1459" s="28" t="s">
        <v>164</v>
      </c>
      <c r="BA1459" s="28" t="s">
        <v>165</v>
      </c>
      <c r="BB1459" s="28" t="s">
        <v>28053</v>
      </c>
      <c r="BC1459" s="28" t="s">
        <v>28054</v>
      </c>
      <c r="BD1459" s="33">
        <v>8</v>
      </c>
      <c r="BE1459" s="28" t="s">
        <v>138</v>
      </c>
      <c r="BF1459" s="28" t="s">
        <v>138</v>
      </c>
      <c r="BG1459" s="28" t="s">
        <v>138</v>
      </c>
      <c r="BH1459" s="28" t="s">
        <v>28055</v>
      </c>
      <c r="BI1459" s="28" t="s">
        <v>138</v>
      </c>
      <c r="BJ1459" s="28" t="s">
        <v>138</v>
      </c>
      <c r="BK1459" s="28" t="s">
        <v>28056</v>
      </c>
      <c r="BL1459" s="28" t="s">
        <v>28057</v>
      </c>
      <c r="BM1459" s="34">
        <v>40340</v>
      </c>
      <c r="BN1459" s="29">
        <v>4.01</v>
      </c>
      <c r="BO1459" s="28" t="s">
        <v>172</v>
      </c>
      <c r="BP1459" s="29">
        <v>9.61</v>
      </c>
      <c r="BQ1459" s="28" t="s">
        <v>172</v>
      </c>
      <c r="BR1459" s="28" t="s">
        <v>205</v>
      </c>
      <c r="BS1459" s="28" t="s">
        <v>206</v>
      </c>
      <c r="BT1459" s="28" t="s">
        <v>138</v>
      </c>
      <c r="BU1459" s="28" t="s">
        <v>174</v>
      </c>
      <c r="BV1459" s="28" t="s">
        <v>138</v>
      </c>
      <c r="BW1459" s="28" t="s">
        <v>138</v>
      </c>
      <c r="BX1459" s="28" t="s">
        <v>138</v>
      </c>
      <c r="BY1459" s="28" t="s">
        <v>175</v>
      </c>
      <c r="BZ1459" s="34">
        <v>42038</v>
      </c>
      <c r="CA1459" s="29" t="s">
        <v>138</v>
      </c>
      <c r="CB1459" s="28" t="s">
        <v>138</v>
      </c>
      <c r="CC1459" s="29" t="s">
        <v>138</v>
      </c>
      <c r="CD1459" s="28" t="s">
        <v>138</v>
      </c>
      <c r="CE1459" s="28" t="s">
        <v>173</v>
      </c>
      <c r="CF1459" s="28" t="s">
        <v>138</v>
      </c>
      <c r="CG1459" s="28" t="s">
        <v>138</v>
      </c>
      <c r="CH1459" s="28" t="s">
        <v>174</v>
      </c>
      <c r="CI1459" s="28" t="s">
        <v>138</v>
      </c>
      <c r="CJ1459" s="28" t="s">
        <v>138</v>
      </c>
      <c r="CK1459" s="28" t="s">
        <v>138</v>
      </c>
      <c r="CL1459" s="28" t="s">
        <v>175</v>
      </c>
      <c r="CM1459" s="34" t="s">
        <v>138</v>
      </c>
      <c r="CN1459" s="29" t="s">
        <v>138</v>
      </c>
      <c r="CO1459" s="35">
        <v>1.51</v>
      </c>
      <c r="CP1459" s="36">
        <v>98</v>
      </c>
      <c r="CQ1459" s="35">
        <v>-0.04</v>
      </c>
      <c r="CR1459" s="35">
        <v>-2.6</v>
      </c>
      <c r="CS1459" s="35">
        <v>2.78</v>
      </c>
      <c r="CT1459" s="36">
        <v>99</v>
      </c>
      <c r="CU1459" s="35">
        <v>0.25</v>
      </c>
      <c r="CV1459" s="36">
        <v>84</v>
      </c>
      <c r="CW1459" s="35">
        <v>6.8</v>
      </c>
      <c r="CX1459" s="36">
        <v>98</v>
      </c>
      <c r="CY1459" s="35">
        <v>-1.25</v>
      </c>
      <c r="CZ1459" s="36">
        <v>17</v>
      </c>
      <c r="DA1459" s="35">
        <v>0.3</v>
      </c>
      <c r="DB1459" s="36">
        <v>88</v>
      </c>
      <c r="DC1459" s="37">
        <v>5.83</v>
      </c>
      <c r="DD1459" s="36">
        <v>85</v>
      </c>
      <c r="DE1459" s="37">
        <v>-0.17</v>
      </c>
      <c r="DF1459" s="35">
        <v>-2.9</v>
      </c>
      <c r="DG1459" s="37">
        <v>8.56</v>
      </c>
      <c r="DH1459" s="36">
        <v>88</v>
      </c>
      <c r="DI1459" s="37">
        <v>3.1</v>
      </c>
      <c r="DJ1459" s="36">
        <v>70</v>
      </c>
      <c r="DK1459" s="37">
        <v>5.01</v>
      </c>
      <c r="DL1459" s="36">
        <v>79</v>
      </c>
      <c r="DM1459" s="37">
        <v>12.1</v>
      </c>
      <c r="DN1459" s="36">
        <v>90</v>
      </c>
      <c r="DO1459" s="37">
        <v>5.99</v>
      </c>
      <c r="DP1459" s="36">
        <v>82</v>
      </c>
      <c r="DQ1459" s="36">
        <v>1653</v>
      </c>
      <c r="DR1459" s="38">
        <v>200</v>
      </c>
      <c r="DS1459" s="35">
        <v>13.76</v>
      </c>
      <c r="DT1459" s="36">
        <v>352</v>
      </c>
      <c r="DU1459" s="38">
        <v>-3</v>
      </c>
      <c r="DV1459" s="35">
        <v>-0.85</v>
      </c>
      <c r="DW1459" s="36">
        <v>2141</v>
      </c>
      <c r="DX1459" s="39">
        <v>6</v>
      </c>
      <c r="DY1459" s="35">
        <v>0.28000000000000003</v>
      </c>
      <c r="DZ1459" s="28" t="s">
        <v>178</v>
      </c>
      <c r="EA1459" s="34">
        <v>43622</v>
      </c>
      <c r="EB1459" s="29">
        <v>99.91</v>
      </c>
      <c r="EC1459" s="34">
        <v>41565</v>
      </c>
      <c r="ED1459" s="28" t="s">
        <v>173</v>
      </c>
      <c r="EE1459" s="40" t="str">
        <f>HYPERLINK("https://my.pitchbook.com?c=52793-20", "View company online")</f>
        <v>View company online</v>
      </c>
    </row>
    <row r="1460" spans="1:135">
      <c r="A1460" s="15" t="s">
        <v>28058</v>
      </c>
      <c r="B1460" s="15" t="s">
        <v>28059</v>
      </c>
      <c r="C1460" s="15" t="s">
        <v>28060</v>
      </c>
      <c r="D1460" s="15" t="s">
        <v>138</v>
      </c>
      <c r="E1460" s="15" t="s">
        <v>28061</v>
      </c>
      <c r="F1460" s="15" t="s">
        <v>28058</v>
      </c>
      <c r="G1460" s="15" t="s">
        <v>28062</v>
      </c>
      <c r="H1460" s="15" t="s">
        <v>322</v>
      </c>
      <c r="I1460" s="15" t="s">
        <v>323</v>
      </c>
      <c r="J1460" s="15" t="s">
        <v>413</v>
      </c>
      <c r="K1460" s="15" t="s">
        <v>2254</v>
      </c>
      <c r="L1460" s="15" t="s">
        <v>215</v>
      </c>
      <c r="M1460" s="15" t="s">
        <v>28063</v>
      </c>
      <c r="N1460" s="15" t="s">
        <v>147</v>
      </c>
      <c r="O1460" s="17">
        <v>16.73</v>
      </c>
      <c r="P1460" s="15" t="s">
        <v>1473</v>
      </c>
      <c r="Q1460" s="15" t="s">
        <v>149</v>
      </c>
      <c r="R1460" s="15" t="s">
        <v>174</v>
      </c>
      <c r="S1460" s="15" t="s">
        <v>28064</v>
      </c>
      <c r="T1460" s="18">
        <v>51</v>
      </c>
      <c r="U1460" s="15" t="s">
        <v>12556</v>
      </c>
      <c r="V1460" s="15" t="s">
        <v>138</v>
      </c>
      <c r="W1460" s="15" t="s">
        <v>138</v>
      </c>
      <c r="X1460" s="19">
        <v>2014</v>
      </c>
      <c r="Y1460" s="15" t="s">
        <v>138</v>
      </c>
      <c r="Z1460" s="15" t="s">
        <v>138</v>
      </c>
      <c r="AA1460" s="15" t="s">
        <v>138</v>
      </c>
      <c r="AB1460" s="20" t="s">
        <v>138</v>
      </c>
      <c r="AC1460" s="20" t="s">
        <v>138</v>
      </c>
      <c r="AD1460" s="20" t="s">
        <v>138</v>
      </c>
      <c r="AE1460" s="20" t="s">
        <v>138</v>
      </c>
      <c r="AF1460" s="20" t="s">
        <v>138</v>
      </c>
      <c r="AG1460" s="15" t="s">
        <v>138</v>
      </c>
      <c r="AH1460" s="20" t="s">
        <v>138</v>
      </c>
      <c r="AI1460" s="20" t="s">
        <v>138</v>
      </c>
      <c r="AJ1460" s="20" t="s">
        <v>138</v>
      </c>
      <c r="AK1460" s="15" t="s">
        <v>28065</v>
      </c>
      <c r="AL1460" s="15" t="s">
        <v>28066</v>
      </c>
      <c r="AM1460" s="15" t="s">
        <v>304</v>
      </c>
      <c r="AN1460" s="15" t="s">
        <v>28067</v>
      </c>
      <c r="AO1460" s="15" t="s">
        <v>28068</v>
      </c>
      <c r="AP1460" s="15" t="s">
        <v>665</v>
      </c>
      <c r="AQ1460" s="15" t="s">
        <v>28069</v>
      </c>
      <c r="AR1460" s="15" t="s">
        <v>138</v>
      </c>
      <c r="AS1460" s="15" t="s">
        <v>668</v>
      </c>
      <c r="AT1460" s="15" t="s">
        <v>200</v>
      </c>
      <c r="AU1460" s="15" t="s">
        <v>691</v>
      </c>
      <c r="AV1460" s="15" t="s">
        <v>162</v>
      </c>
      <c r="AW1460" s="15" t="s">
        <v>28068</v>
      </c>
      <c r="AX1460" s="15" t="s">
        <v>138</v>
      </c>
      <c r="AY1460" s="15" t="s">
        <v>138</v>
      </c>
      <c r="AZ1460" s="15" t="s">
        <v>164</v>
      </c>
      <c r="BA1460" s="15" t="s">
        <v>165</v>
      </c>
      <c r="BB1460" s="15" t="s">
        <v>28070</v>
      </c>
      <c r="BC1460" s="15" t="s">
        <v>28071</v>
      </c>
      <c r="BD1460" s="21">
        <v>26</v>
      </c>
      <c r="BE1460" s="15" t="s">
        <v>138</v>
      </c>
      <c r="BF1460" s="15" t="s">
        <v>138</v>
      </c>
      <c r="BG1460" s="15" t="s">
        <v>138</v>
      </c>
      <c r="BH1460" s="15" t="s">
        <v>28072</v>
      </c>
      <c r="BI1460" s="15" t="s">
        <v>138</v>
      </c>
      <c r="BJ1460" s="15" t="s">
        <v>138</v>
      </c>
      <c r="BK1460" s="15" t="s">
        <v>2936</v>
      </c>
      <c r="BL1460" s="15" t="s">
        <v>2936</v>
      </c>
      <c r="BM1460" s="22">
        <v>42235</v>
      </c>
      <c r="BN1460" s="17">
        <v>0.12</v>
      </c>
      <c r="BO1460" s="15" t="s">
        <v>172</v>
      </c>
      <c r="BP1460" s="17">
        <v>1.71</v>
      </c>
      <c r="BQ1460" s="15" t="s">
        <v>172</v>
      </c>
      <c r="BR1460" s="15" t="s">
        <v>316</v>
      </c>
      <c r="BS1460" s="15" t="s">
        <v>138</v>
      </c>
      <c r="BT1460" s="15" t="s">
        <v>138</v>
      </c>
      <c r="BU1460" s="15" t="s">
        <v>177</v>
      </c>
      <c r="BV1460" s="15" t="s">
        <v>138</v>
      </c>
      <c r="BW1460" s="15" t="s">
        <v>138</v>
      </c>
      <c r="BX1460" s="15" t="s">
        <v>138</v>
      </c>
      <c r="BY1460" s="15" t="s">
        <v>175</v>
      </c>
      <c r="BZ1460" s="22">
        <v>42926</v>
      </c>
      <c r="CA1460" s="17">
        <v>13.31</v>
      </c>
      <c r="CB1460" s="15" t="s">
        <v>172</v>
      </c>
      <c r="CC1460" s="17">
        <v>33.21</v>
      </c>
      <c r="CD1460" s="15" t="s">
        <v>172</v>
      </c>
      <c r="CE1460" s="15" t="s">
        <v>205</v>
      </c>
      <c r="CF1460" s="15" t="s">
        <v>206</v>
      </c>
      <c r="CG1460" s="15" t="s">
        <v>138</v>
      </c>
      <c r="CH1460" s="15" t="s">
        <v>174</v>
      </c>
      <c r="CI1460" s="15" t="s">
        <v>138</v>
      </c>
      <c r="CJ1460" s="15" t="s">
        <v>138</v>
      </c>
      <c r="CK1460" s="15" t="s">
        <v>138</v>
      </c>
      <c r="CL1460" s="15" t="s">
        <v>175</v>
      </c>
      <c r="CM1460" s="22" t="s">
        <v>138</v>
      </c>
      <c r="CN1460" s="17" t="s">
        <v>138</v>
      </c>
      <c r="CO1460" s="23">
        <v>0.17</v>
      </c>
      <c r="CP1460" s="24">
        <v>92</v>
      </c>
      <c r="CQ1460" s="23">
        <v>0.1</v>
      </c>
      <c r="CR1460" s="23">
        <v>156.49</v>
      </c>
      <c r="CS1460" s="23">
        <v>0.16</v>
      </c>
      <c r="CT1460" s="24">
        <v>94</v>
      </c>
      <c r="CU1460" s="23">
        <v>0.18</v>
      </c>
      <c r="CV1460" s="24">
        <v>78</v>
      </c>
      <c r="CW1460" s="23">
        <v>1.49</v>
      </c>
      <c r="CX1460" s="24">
        <v>86</v>
      </c>
      <c r="CY1460" s="23">
        <v>-1.18</v>
      </c>
      <c r="CZ1460" s="24">
        <v>17</v>
      </c>
      <c r="DA1460" s="23">
        <v>0.44</v>
      </c>
      <c r="DB1460" s="24">
        <v>93</v>
      </c>
      <c r="DC1460" s="25">
        <v>5.45</v>
      </c>
      <c r="DD1460" s="24">
        <v>84</v>
      </c>
      <c r="DE1460" s="25">
        <v>-0.34</v>
      </c>
      <c r="DF1460" s="23">
        <v>-5.8</v>
      </c>
      <c r="DG1460" s="25">
        <v>9.4600000000000009</v>
      </c>
      <c r="DH1460" s="24">
        <v>89</v>
      </c>
      <c r="DI1460" s="25">
        <v>1.45</v>
      </c>
      <c r="DJ1460" s="24">
        <v>56</v>
      </c>
      <c r="DK1460" s="25">
        <v>11.4</v>
      </c>
      <c r="DL1460" s="24">
        <v>88</v>
      </c>
      <c r="DM1460" s="25">
        <v>7.52</v>
      </c>
      <c r="DN1460" s="24">
        <v>86</v>
      </c>
      <c r="DO1460" s="25">
        <v>1.64</v>
      </c>
      <c r="DP1460" s="24">
        <v>60</v>
      </c>
      <c r="DQ1460" s="24">
        <v>3868</v>
      </c>
      <c r="DR1460" s="26">
        <v>121</v>
      </c>
      <c r="DS1460" s="23">
        <v>3.23</v>
      </c>
      <c r="DT1460" s="24">
        <v>217</v>
      </c>
      <c r="DU1460" s="26">
        <v>0</v>
      </c>
      <c r="DV1460" s="23">
        <v>0</v>
      </c>
      <c r="DW1460" s="24">
        <v>586</v>
      </c>
      <c r="DX1460" s="27">
        <v>9</v>
      </c>
      <c r="DY1460" s="23">
        <v>1.56</v>
      </c>
      <c r="DZ1460" s="15" t="s">
        <v>178</v>
      </c>
      <c r="EA1460" s="22">
        <v>43559</v>
      </c>
      <c r="EB1460" s="17">
        <v>33.21</v>
      </c>
      <c r="EC1460" s="22">
        <v>42926</v>
      </c>
      <c r="ED1460" s="15" t="s">
        <v>205</v>
      </c>
      <c r="EE1460" s="14" t="str">
        <f>HYPERLINK("https://my.pitchbook.com?c=113116-96", "View company online")</f>
        <v>View company online</v>
      </c>
    </row>
    <row r="1461" spans="1:135">
      <c r="A1461" s="28" t="s">
        <v>28073</v>
      </c>
      <c r="B1461" s="28" t="s">
        <v>28074</v>
      </c>
      <c r="C1461" s="28" t="s">
        <v>138</v>
      </c>
      <c r="D1461" s="28" t="s">
        <v>138</v>
      </c>
      <c r="E1461" s="28" t="s">
        <v>138</v>
      </c>
      <c r="F1461" s="28" t="s">
        <v>28073</v>
      </c>
      <c r="G1461" s="28" t="s">
        <v>28075</v>
      </c>
      <c r="H1461" s="28" t="s">
        <v>238</v>
      </c>
      <c r="I1461" s="28" t="s">
        <v>1351</v>
      </c>
      <c r="J1461" s="28" t="s">
        <v>1352</v>
      </c>
      <c r="K1461" s="28" t="s">
        <v>28076</v>
      </c>
      <c r="L1461" s="28" t="s">
        <v>28077</v>
      </c>
      <c r="M1461" s="28" t="s">
        <v>28078</v>
      </c>
      <c r="N1461" s="28" t="s">
        <v>147</v>
      </c>
      <c r="O1461" s="29">
        <v>0.26</v>
      </c>
      <c r="P1461" s="28" t="s">
        <v>148</v>
      </c>
      <c r="Q1461" s="28" t="s">
        <v>149</v>
      </c>
      <c r="R1461" s="28" t="s">
        <v>174</v>
      </c>
      <c r="S1461" s="28" t="s">
        <v>28079</v>
      </c>
      <c r="T1461" s="30">
        <v>7</v>
      </c>
      <c r="U1461" s="28" t="s">
        <v>28080</v>
      </c>
      <c r="V1461" s="28" t="s">
        <v>138</v>
      </c>
      <c r="W1461" s="28" t="s">
        <v>138</v>
      </c>
      <c r="X1461" s="31" t="s">
        <v>138</v>
      </c>
      <c r="Y1461" s="28" t="s">
        <v>138</v>
      </c>
      <c r="Z1461" s="28" t="s">
        <v>138</v>
      </c>
      <c r="AA1461" s="28" t="s">
        <v>138</v>
      </c>
      <c r="AB1461" s="32" t="s">
        <v>138</v>
      </c>
      <c r="AC1461" s="32" t="s">
        <v>138</v>
      </c>
      <c r="AD1461" s="32" t="s">
        <v>138</v>
      </c>
      <c r="AE1461" s="32" t="s">
        <v>138</v>
      </c>
      <c r="AF1461" s="32" t="s">
        <v>138</v>
      </c>
      <c r="AG1461" s="28" t="s">
        <v>138</v>
      </c>
      <c r="AH1461" s="32" t="s">
        <v>138</v>
      </c>
      <c r="AI1461" s="32" t="s">
        <v>138</v>
      </c>
      <c r="AJ1461" s="32" t="s">
        <v>138</v>
      </c>
      <c r="AK1461" s="28" t="s">
        <v>28081</v>
      </c>
      <c r="AL1461" s="28" t="s">
        <v>28082</v>
      </c>
      <c r="AM1461" s="28" t="s">
        <v>23607</v>
      </c>
      <c r="AN1461" s="28" t="s">
        <v>28083</v>
      </c>
      <c r="AO1461" s="28" t="s">
        <v>138</v>
      </c>
      <c r="AP1461" s="28" t="s">
        <v>820</v>
      </c>
      <c r="AQ1461" s="28" t="s">
        <v>28084</v>
      </c>
      <c r="AR1461" s="28" t="s">
        <v>28085</v>
      </c>
      <c r="AS1461" s="28" t="s">
        <v>823</v>
      </c>
      <c r="AT1461" s="28" t="s">
        <v>824</v>
      </c>
      <c r="AU1461" s="28" t="s">
        <v>28086</v>
      </c>
      <c r="AV1461" s="28" t="s">
        <v>526</v>
      </c>
      <c r="AW1461" s="28" t="s">
        <v>138</v>
      </c>
      <c r="AX1461" s="28" t="s">
        <v>138</v>
      </c>
      <c r="AY1461" s="28" t="s">
        <v>28087</v>
      </c>
      <c r="AZ1461" s="28" t="s">
        <v>530</v>
      </c>
      <c r="BA1461" s="28" t="s">
        <v>531</v>
      </c>
      <c r="BB1461" s="28" t="s">
        <v>28088</v>
      </c>
      <c r="BC1461" s="28" t="s">
        <v>28089</v>
      </c>
      <c r="BD1461" s="33">
        <v>14</v>
      </c>
      <c r="BE1461" s="28" t="s">
        <v>138</v>
      </c>
      <c r="BF1461" s="28" t="s">
        <v>138</v>
      </c>
      <c r="BG1461" s="28" t="s">
        <v>138</v>
      </c>
      <c r="BH1461" s="28" t="s">
        <v>28090</v>
      </c>
      <c r="BI1461" s="28" t="s">
        <v>138</v>
      </c>
      <c r="BJ1461" s="28" t="s">
        <v>138</v>
      </c>
      <c r="BK1461" s="28" t="s">
        <v>138</v>
      </c>
      <c r="BL1461" s="28" t="s">
        <v>1370</v>
      </c>
      <c r="BM1461" s="34">
        <v>41487</v>
      </c>
      <c r="BN1461" s="29" t="s">
        <v>138</v>
      </c>
      <c r="BO1461" s="28" t="s">
        <v>138</v>
      </c>
      <c r="BP1461" s="29" t="s">
        <v>138</v>
      </c>
      <c r="BQ1461" s="28" t="s">
        <v>138</v>
      </c>
      <c r="BR1461" s="28" t="s">
        <v>316</v>
      </c>
      <c r="BS1461" s="28" t="s">
        <v>138</v>
      </c>
      <c r="BT1461" s="28" t="s">
        <v>138</v>
      </c>
      <c r="BU1461" s="28" t="s">
        <v>177</v>
      </c>
      <c r="BV1461" s="28" t="s">
        <v>138</v>
      </c>
      <c r="BW1461" s="28" t="s">
        <v>138</v>
      </c>
      <c r="BX1461" s="28" t="s">
        <v>138</v>
      </c>
      <c r="BY1461" s="28" t="s">
        <v>175</v>
      </c>
      <c r="BZ1461" s="34">
        <v>43398</v>
      </c>
      <c r="CA1461" s="29" t="s">
        <v>138</v>
      </c>
      <c r="CB1461" s="28" t="s">
        <v>138</v>
      </c>
      <c r="CC1461" s="29" t="s">
        <v>138</v>
      </c>
      <c r="CD1461" s="28" t="s">
        <v>138</v>
      </c>
      <c r="CE1461" s="28" t="s">
        <v>205</v>
      </c>
      <c r="CF1461" s="28" t="s">
        <v>138</v>
      </c>
      <c r="CG1461" s="28" t="s">
        <v>138</v>
      </c>
      <c r="CH1461" s="28" t="s">
        <v>174</v>
      </c>
      <c r="CI1461" s="28" t="s">
        <v>138</v>
      </c>
      <c r="CJ1461" s="28" t="s">
        <v>138</v>
      </c>
      <c r="CK1461" s="28" t="s">
        <v>138</v>
      </c>
      <c r="CL1461" s="28" t="s">
        <v>175</v>
      </c>
      <c r="CM1461" s="34" t="s">
        <v>138</v>
      </c>
      <c r="CN1461" s="29" t="s">
        <v>138</v>
      </c>
      <c r="CO1461" s="35">
        <v>0.01</v>
      </c>
      <c r="CP1461" s="36">
        <v>84</v>
      </c>
      <c r="CQ1461" s="35">
        <v>0</v>
      </c>
      <c r="CR1461" s="35">
        <v>-24.86</v>
      </c>
      <c r="CS1461" s="35">
        <v>0</v>
      </c>
      <c r="CT1461" s="36">
        <v>23</v>
      </c>
      <c r="CU1461" s="35">
        <v>0.04</v>
      </c>
      <c r="CV1461" s="36">
        <v>56</v>
      </c>
      <c r="CW1461" s="35">
        <v>0</v>
      </c>
      <c r="CX1461" s="36">
        <v>13</v>
      </c>
      <c r="CY1461" s="35" t="s">
        <v>138</v>
      </c>
      <c r="CZ1461" s="36" t="s">
        <v>138</v>
      </c>
      <c r="DA1461" s="35">
        <v>0.04</v>
      </c>
      <c r="DB1461" s="36">
        <v>62</v>
      </c>
      <c r="DC1461" s="37">
        <v>1.4</v>
      </c>
      <c r="DD1461" s="36">
        <v>59</v>
      </c>
      <c r="DE1461" s="37">
        <v>-7.0000000000000007E-2</v>
      </c>
      <c r="DF1461" s="35">
        <v>-4.87</v>
      </c>
      <c r="DG1461" s="37">
        <v>1.76</v>
      </c>
      <c r="DH1461" s="36">
        <v>64</v>
      </c>
      <c r="DI1461" s="37">
        <v>2.4300000000000002</v>
      </c>
      <c r="DJ1461" s="36">
        <v>66</v>
      </c>
      <c r="DK1461" s="37">
        <v>1.76</v>
      </c>
      <c r="DL1461" s="36">
        <v>62</v>
      </c>
      <c r="DM1461" s="37" t="s">
        <v>138</v>
      </c>
      <c r="DN1461" s="36" t="s">
        <v>138</v>
      </c>
      <c r="DO1461" s="37">
        <v>2.4300000000000002</v>
      </c>
      <c r="DP1461" s="36">
        <v>67</v>
      </c>
      <c r="DQ1461" s="36">
        <v>578</v>
      </c>
      <c r="DR1461" s="38">
        <v>79</v>
      </c>
      <c r="DS1461" s="35">
        <v>15.83</v>
      </c>
      <c r="DT1461" s="36" t="s">
        <v>138</v>
      </c>
      <c r="DU1461" s="38" t="s">
        <v>138</v>
      </c>
      <c r="DV1461" s="35" t="s">
        <v>138</v>
      </c>
      <c r="DW1461" s="36">
        <v>870</v>
      </c>
      <c r="DX1461" s="39">
        <v>-1</v>
      </c>
      <c r="DY1461" s="35">
        <v>-0.11</v>
      </c>
      <c r="DZ1461" s="28" t="s">
        <v>178</v>
      </c>
      <c r="EA1461" s="34">
        <v>43622</v>
      </c>
      <c r="EB1461" s="29" t="s">
        <v>138</v>
      </c>
      <c r="EC1461" s="34" t="s">
        <v>138</v>
      </c>
      <c r="ED1461" s="28" t="s">
        <v>138</v>
      </c>
      <c r="EE1461" s="40" t="str">
        <f>HYPERLINK("https://my.pitchbook.com?c=105226-66", "View company online")</f>
        <v>View company online</v>
      </c>
    </row>
    <row r="1462" spans="1:135">
      <c r="A1462" s="15" t="s">
        <v>28091</v>
      </c>
      <c r="B1462" s="15" t="s">
        <v>28092</v>
      </c>
      <c r="C1462" s="15" t="s">
        <v>138</v>
      </c>
      <c r="D1462" s="15" t="s">
        <v>28093</v>
      </c>
      <c r="E1462" s="15" t="s">
        <v>138</v>
      </c>
      <c r="F1462" s="15" t="s">
        <v>28091</v>
      </c>
      <c r="G1462" s="15" t="s">
        <v>28094</v>
      </c>
      <c r="H1462" s="15" t="s">
        <v>322</v>
      </c>
      <c r="I1462" s="15" t="s">
        <v>323</v>
      </c>
      <c r="J1462" s="15" t="s">
        <v>954</v>
      </c>
      <c r="K1462" s="15" t="s">
        <v>28095</v>
      </c>
      <c r="L1462" s="15" t="s">
        <v>28077</v>
      </c>
      <c r="M1462" s="15" t="s">
        <v>28096</v>
      </c>
      <c r="N1462" s="15" t="s">
        <v>147</v>
      </c>
      <c r="O1462" s="17">
        <v>0.12</v>
      </c>
      <c r="P1462" s="15" t="s">
        <v>148</v>
      </c>
      <c r="Q1462" s="15" t="s">
        <v>149</v>
      </c>
      <c r="R1462" s="15" t="s">
        <v>174</v>
      </c>
      <c r="S1462" s="15" t="s">
        <v>28097</v>
      </c>
      <c r="T1462" s="18">
        <v>20</v>
      </c>
      <c r="U1462" s="15" t="s">
        <v>28098</v>
      </c>
      <c r="V1462" s="15" t="s">
        <v>138</v>
      </c>
      <c r="W1462" s="15" t="s">
        <v>138</v>
      </c>
      <c r="X1462" s="19">
        <v>2017</v>
      </c>
      <c r="Y1462" s="15" t="s">
        <v>138</v>
      </c>
      <c r="Z1462" s="15" t="s">
        <v>138</v>
      </c>
      <c r="AA1462" s="15" t="s">
        <v>138</v>
      </c>
      <c r="AB1462" s="20" t="s">
        <v>138</v>
      </c>
      <c r="AC1462" s="20" t="s">
        <v>138</v>
      </c>
      <c r="AD1462" s="20" t="s">
        <v>138</v>
      </c>
      <c r="AE1462" s="20" t="s">
        <v>138</v>
      </c>
      <c r="AF1462" s="20" t="s">
        <v>138</v>
      </c>
      <c r="AG1462" s="15" t="s">
        <v>138</v>
      </c>
      <c r="AH1462" s="20" t="s">
        <v>138</v>
      </c>
      <c r="AI1462" s="20" t="s">
        <v>138</v>
      </c>
      <c r="AJ1462" s="20" t="s">
        <v>138</v>
      </c>
      <c r="AK1462" s="15" t="s">
        <v>28099</v>
      </c>
      <c r="AL1462" s="15" t="s">
        <v>28100</v>
      </c>
      <c r="AM1462" s="15" t="s">
        <v>304</v>
      </c>
      <c r="AN1462" s="15" t="s">
        <v>28101</v>
      </c>
      <c r="AO1462" s="15" t="s">
        <v>138</v>
      </c>
      <c r="AP1462" s="15" t="s">
        <v>28102</v>
      </c>
      <c r="AQ1462" s="15" t="s">
        <v>28103</v>
      </c>
      <c r="AR1462" s="15" t="s">
        <v>138</v>
      </c>
      <c r="AS1462" s="15" t="s">
        <v>28104</v>
      </c>
      <c r="AT1462" s="15" t="s">
        <v>138</v>
      </c>
      <c r="AU1462" s="15" t="s">
        <v>28105</v>
      </c>
      <c r="AV1462" s="15" t="s">
        <v>946</v>
      </c>
      <c r="AW1462" s="15" t="s">
        <v>138</v>
      </c>
      <c r="AX1462" s="15" t="s">
        <v>138</v>
      </c>
      <c r="AY1462" s="15" t="s">
        <v>28106</v>
      </c>
      <c r="AZ1462" s="15" t="s">
        <v>530</v>
      </c>
      <c r="BA1462" s="15" t="s">
        <v>531</v>
      </c>
      <c r="BB1462" s="15" t="s">
        <v>28107</v>
      </c>
      <c r="BC1462" s="15" t="s">
        <v>28108</v>
      </c>
      <c r="BD1462" s="21">
        <v>3</v>
      </c>
      <c r="BE1462" s="15" t="s">
        <v>138</v>
      </c>
      <c r="BF1462" s="15" t="s">
        <v>138</v>
      </c>
      <c r="BG1462" s="15" t="s">
        <v>138</v>
      </c>
      <c r="BH1462" s="15" t="s">
        <v>28109</v>
      </c>
      <c r="BI1462" s="15" t="s">
        <v>138</v>
      </c>
      <c r="BJ1462" s="15" t="s">
        <v>138</v>
      </c>
      <c r="BK1462" s="15" t="s">
        <v>138</v>
      </c>
      <c r="BL1462" s="15" t="s">
        <v>138</v>
      </c>
      <c r="BM1462" s="22">
        <v>42887</v>
      </c>
      <c r="BN1462" s="17" t="s">
        <v>138</v>
      </c>
      <c r="BO1462" s="15" t="s">
        <v>138</v>
      </c>
      <c r="BP1462" s="17" t="s">
        <v>138</v>
      </c>
      <c r="BQ1462" s="15" t="s">
        <v>138</v>
      </c>
      <c r="BR1462" s="15" t="s">
        <v>205</v>
      </c>
      <c r="BS1462" s="15" t="s">
        <v>138</v>
      </c>
      <c r="BT1462" s="15" t="s">
        <v>138</v>
      </c>
      <c r="BU1462" s="15" t="s">
        <v>174</v>
      </c>
      <c r="BV1462" s="15" t="s">
        <v>138</v>
      </c>
      <c r="BW1462" s="15" t="s">
        <v>138</v>
      </c>
      <c r="BX1462" s="15" t="s">
        <v>138</v>
      </c>
      <c r="BY1462" s="15" t="s">
        <v>175</v>
      </c>
      <c r="BZ1462" s="22">
        <v>42933</v>
      </c>
      <c r="CA1462" s="17">
        <v>0.12</v>
      </c>
      <c r="CB1462" s="15" t="s">
        <v>172</v>
      </c>
      <c r="CC1462" s="17">
        <v>0.33</v>
      </c>
      <c r="CD1462" s="15" t="s">
        <v>172</v>
      </c>
      <c r="CE1462" s="15" t="s">
        <v>316</v>
      </c>
      <c r="CF1462" s="15" t="s">
        <v>138</v>
      </c>
      <c r="CG1462" s="15" t="s">
        <v>138</v>
      </c>
      <c r="CH1462" s="15" t="s">
        <v>177</v>
      </c>
      <c r="CI1462" s="15" t="s">
        <v>264</v>
      </c>
      <c r="CJ1462" s="15" t="s">
        <v>138</v>
      </c>
      <c r="CK1462" s="15" t="s">
        <v>138</v>
      </c>
      <c r="CL1462" s="15" t="s">
        <v>175</v>
      </c>
      <c r="CM1462" s="22" t="s">
        <v>138</v>
      </c>
      <c r="CN1462" s="17" t="s">
        <v>138</v>
      </c>
      <c r="CO1462" s="23">
        <v>0.24</v>
      </c>
      <c r="CP1462" s="24">
        <v>93</v>
      </c>
      <c r="CQ1462" s="23">
        <v>0</v>
      </c>
      <c r="CR1462" s="23">
        <v>1.49</v>
      </c>
      <c r="CS1462" s="23">
        <v>0</v>
      </c>
      <c r="CT1462" s="24">
        <v>23</v>
      </c>
      <c r="CU1462" s="23">
        <v>0.49</v>
      </c>
      <c r="CV1462" s="24">
        <v>93</v>
      </c>
      <c r="CW1462" s="23" t="s">
        <v>138</v>
      </c>
      <c r="CX1462" s="24" t="s">
        <v>138</v>
      </c>
      <c r="CY1462" s="23">
        <v>0</v>
      </c>
      <c r="CZ1462" s="24">
        <v>25</v>
      </c>
      <c r="DA1462" s="23">
        <v>0.39</v>
      </c>
      <c r="DB1462" s="24">
        <v>92</v>
      </c>
      <c r="DC1462" s="25">
        <v>0.53</v>
      </c>
      <c r="DD1462" s="24">
        <v>35</v>
      </c>
      <c r="DE1462" s="25">
        <v>0</v>
      </c>
      <c r="DF1462" s="23">
        <v>7.0000000000000007E-2</v>
      </c>
      <c r="DG1462" s="25">
        <v>0.86</v>
      </c>
      <c r="DH1462" s="24">
        <v>47</v>
      </c>
      <c r="DI1462" s="25">
        <v>0.21</v>
      </c>
      <c r="DJ1462" s="24">
        <v>23</v>
      </c>
      <c r="DK1462" s="25" t="s">
        <v>138</v>
      </c>
      <c r="DL1462" s="24" t="s">
        <v>138</v>
      </c>
      <c r="DM1462" s="25">
        <v>0.86</v>
      </c>
      <c r="DN1462" s="24">
        <v>47</v>
      </c>
      <c r="DO1462" s="25">
        <v>0.28999999999999998</v>
      </c>
      <c r="DP1462" s="24">
        <v>29</v>
      </c>
      <c r="DQ1462" s="24">
        <v>55</v>
      </c>
      <c r="DR1462" s="26">
        <v>2</v>
      </c>
      <c r="DS1462" s="23">
        <v>3.77</v>
      </c>
      <c r="DT1462" s="24">
        <v>25</v>
      </c>
      <c r="DU1462" s="26">
        <v>0</v>
      </c>
      <c r="DV1462" s="23">
        <v>0</v>
      </c>
      <c r="DW1462" s="24">
        <v>104</v>
      </c>
      <c r="DX1462" s="27">
        <v>1</v>
      </c>
      <c r="DY1462" s="23">
        <v>0.97</v>
      </c>
      <c r="DZ1462" s="15" t="s">
        <v>178</v>
      </c>
      <c r="EA1462" s="22">
        <v>43622</v>
      </c>
      <c r="EB1462" s="17">
        <v>0.33</v>
      </c>
      <c r="EC1462" s="22">
        <v>42933</v>
      </c>
      <c r="ED1462" s="15" t="s">
        <v>316</v>
      </c>
      <c r="EE1462" s="14" t="str">
        <f>HYPERLINK("https://my.pitchbook.com?c=184793-50", "View company online")</f>
        <v>View company online</v>
      </c>
    </row>
    <row r="1463" spans="1:135">
      <c r="A1463" s="28" t="s">
        <v>28110</v>
      </c>
      <c r="B1463" s="28" t="s">
        <v>28111</v>
      </c>
      <c r="C1463" s="28" t="s">
        <v>28112</v>
      </c>
      <c r="D1463" s="28" t="s">
        <v>138</v>
      </c>
      <c r="E1463" s="28" t="s">
        <v>28113</v>
      </c>
      <c r="F1463" s="28" t="s">
        <v>28110</v>
      </c>
      <c r="G1463" s="28" t="s">
        <v>28114</v>
      </c>
      <c r="H1463" s="28" t="s">
        <v>238</v>
      </c>
      <c r="I1463" s="28" t="s">
        <v>1351</v>
      </c>
      <c r="J1463" s="28" t="s">
        <v>1352</v>
      </c>
      <c r="K1463" s="28" t="s">
        <v>28115</v>
      </c>
      <c r="L1463" s="28" t="s">
        <v>27389</v>
      </c>
      <c r="M1463" s="28" t="s">
        <v>28116</v>
      </c>
      <c r="N1463" s="28" t="s">
        <v>147</v>
      </c>
      <c r="O1463" s="29">
        <v>159.80000000000001</v>
      </c>
      <c r="P1463" s="28" t="s">
        <v>148</v>
      </c>
      <c r="Q1463" s="28" t="s">
        <v>149</v>
      </c>
      <c r="R1463" s="28" t="s">
        <v>174</v>
      </c>
      <c r="S1463" s="28" t="s">
        <v>28117</v>
      </c>
      <c r="T1463" s="30">
        <v>350</v>
      </c>
      <c r="U1463" s="28" t="s">
        <v>28118</v>
      </c>
      <c r="V1463" s="28" t="s">
        <v>138</v>
      </c>
      <c r="W1463" s="28" t="s">
        <v>138</v>
      </c>
      <c r="X1463" s="31">
        <v>2007</v>
      </c>
      <c r="Y1463" s="28" t="s">
        <v>138</v>
      </c>
      <c r="Z1463" s="28" t="s">
        <v>138</v>
      </c>
      <c r="AA1463" s="28" t="s">
        <v>1163</v>
      </c>
      <c r="AB1463" s="32" t="s">
        <v>138</v>
      </c>
      <c r="AC1463" s="32" t="s">
        <v>138</v>
      </c>
      <c r="AD1463" s="32" t="s">
        <v>138</v>
      </c>
      <c r="AE1463" s="32" t="s">
        <v>138</v>
      </c>
      <c r="AF1463" s="32" t="s">
        <v>138</v>
      </c>
      <c r="AG1463" s="28" t="s">
        <v>138</v>
      </c>
      <c r="AH1463" s="32" t="s">
        <v>138</v>
      </c>
      <c r="AI1463" s="32" t="s">
        <v>138</v>
      </c>
      <c r="AJ1463" s="32" t="s">
        <v>138</v>
      </c>
      <c r="AK1463" s="28" t="s">
        <v>28119</v>
      </c>
      <c r="AL1463" s="28" t="s">
        <v>28120</v>
      </c>
      <c r="AM1463" s="28" t="s">
        <v>1632</v>
      </c>
      <c r="AN1463" s="28" t="s">
        <v>28121</v>
      </c>
      <c r="AO1463" s="28" t="s">
        <v>28122</v>
      </c>
      <c r="AP1463" s="28" t="s">
        <v>3905</v>
      </c>
      <c r="AQ1463" s="28" t="s">
        <v>28123</v>
      </c>
      <c r="AR1463" s="28" t="s">
        <v>226</v>
      </c>
      <c r="AS1463" s="28" t="s">
        <v>3907</v>
      </c>
      <c r="AT1463" s="28" t="s">
        <v>2740</v>
      </c>
      <c r="AU1463" s="28" t="s">
        <v>28124</v>
      </c>
      <c r="AV1463" s="28" t="s">
        <v>2742</v>
      </c>
      <c r="AW1463" s="28" t="s">
        <v>28122</v>
      </c>
      <c r="AX1463" s="28" t="s">
        <v>138</v>
      </c>
      <c r="AY1463" s="28" t="s">
        <v>28125</v>
      </c>
      <c r="AZ1463" s="28" t="s">
        <v>164</v>
      </c>
      <c r="BA1463" s="28" t="s">
        <v>165</v>
      </c>
      <c r="BB1463" s="28" t="s">
        <v>28126</v>
      </c>
      <c r="BC1463" s="28" t="s">
        <v>28127</v>
      </c>
      <c r="BD1463" s="33">
        <v>17</v>
      </c>
      <c r="BE1463" s="28" t="s">
        <v>138</v>
      </c>
      <c r="BF1463" s="28" t="s">
        <v>138</v>
      </c>
      <c r="BG1463" s="28" t="s">
        <v>138</v>
      </c>
      <c r="BH1463" s="28" t="s">
        <v>28128</v>
      </c>
      <c r="BI1463" s="28" t="s">
        <v>138</v>
      </c>
      <c r="BJ1463" s="28" t="s">
        <v>138</v>
      </c>
      <c r="BK1463" s="28" t="s">
        <v>28129</v>
      </c>
      <c r="BL1463" s="28" t="s">
        <v>28130</v>
      </c>
      <c r="BM1463" s="34">
        <v>39083</v>
      </c>
      <c r="BN1463" s="29">
        <v>2.2000000000000002</v>
      </c>
      <c r="BO1463" s="28" t="s">
        <v>172</v>
      </c>
      <c r="BP1463" s="29" t="s">
        <v>138</v>
      </c>
      <c r="BQ1463" s="28" t="s">
        <v>138</v>
      </c>
      <c r="BR1463" s="28" t="s">
        <v>205</v>
      </c>
      <c r="BS1463" s="28" t="s">
        <v>206</v>
      </c>
      <c r="BT1463" s="28" t="s">
        <v>138</v>
      </c>
      <c r="BU1463" s="28" t="s">
        <v>174</v>
      </c>
      <c r="BV1463" s="28" t="s">
        <v>138</v>
      </c>
      <c r="BW1463" s="28" t="s">
        <v>138</v>
      </c>
      <c r="BX1463" s="28" t="s">
        <v>138</v>
      </c>
      <c r="BY1463" s="28" t="s">
        <v>175</v>
      </c>
      <c r="BZ1463" s="34">
        <v>43251</v>
      </c>
      <c r="CA1463" s="29">
        <v>98</v>
      </c>
      <c r="CB1463" s="28" t="s">
        <v>172</v>
      </c>
      <c r="CC1463" s="29" t="s">
        <v>138</v>
      </c>
      <c r="CD1463" s="28" t="s">
        <v>138</v>
      </c>
      <c r="CE1463" s="28" t="s">
        <v>173</v>
      </c>
      <c r="CF1463" s="28" t="s">
        <v>317</v>
      </c>
      <c r="CG1463" s="28" t="s">
        <v>138</v>
      </c>
      <c r="CH1463" s="28" t="s">
        <v>174</v>
      </c>
      <c r="CI1463" s="28" t="s">
        <v>138</v>
      </c>
      <c r="CJ1463" s="28" t="s">
        <v>138</v>
      </c>
      <c r="CK1463" s="28" t="s">
        <v>138</v>
      </c>
      <c r="CL1463" s="28" t="s">
        <v>175</v>
      </c>
      <c r="CM1463" s="34" t="s">
        <v>138</v>
      </c>
      <c r="CN1463" s="29" t="s">
        <v>138</v>
      </c>
      <c r="CO1463" s="35">
        <v>0.48</v>
      </c>
      <c r="CP1463" s="36">
        <v>95</v>
      </c>
      <c r="CQ1463" s="35">
        <v>-0.03</v>
      </c>
      <c r="CR1463" s="35">
        <v>-6.01</v>
      </c>
      <c r="CS1463" s="35">
        <v>-1.95</v>
      </c>
      <c r="CT1463" s="36">
        <v>9</v>
      </c>
      <c r="CU1463" s="35">
        <v>0.08</v>
      </c>
      <c r="CV1463" s="36">
        <v>64</v>
      </c>
      <c r="CW1463" s="35">
        <v>-2.16</v>
      </c>
      <c r="CX1463" s="36">
        <v>7</v>
      </c>
      <c r="CY1463" s="35">
        <v>-1.74</v>
      </c>
      <c r="CZ1463" s="36">
        <v>13</v>
      </c>
      <c r="DA1463" s="35">
        <v>0.08</v>
      </c>
      <c r="DB1463" s="36">
        <v>69</v>
      </c>
      <c r="DC1463" s="37">
        <v>176.32</v>
      </c>
      <c r="DD1463" s="36">
        <v>100</v>
      </c>
      <c r="DE1463" s="37">
        <v>-10.14</v>
      </c>
      <c r="DF1463" s="35">
        <v>-5.44</v>
      </c>
      <c r="DG1463" s="37">
        <v>352.22</v>
      </c>
      <c r="DH1463" s="36">
        <v>100</v>
      </c>
      <c r="DI1463" s="37">
        <v>91.52</v>
      </c>
      <c r="DJ1463" s="36">
        <v>97</v>
      </c>
      <c r="DK1463" s="37">
        <v>569.1</v>
      </c>
      <c r="DL1463" s="36">
        <v>100</v>
      </c>
      <c r="DM1463" s="37">
        <v>135.34</v>
      </c>
      <c r="DN1463" s="36">
        <v>100</v>
      </c>
      <c r="DO1463" s="37">
        <v>91.52</v>
      </c>
      <c r="DP1463" s="36">
        <v>98</v>
      </c>
      <c r="DQ1463" s="36">
        <v>196005</v>
      </c>
      <c r="DR1463" s="38">
        <v>-2405</v>
      </c>
      <c r="DS1463" s="35">
        <v>-1.21</v>
      </c>
      <c r="DT1463" s="36">
        <v>3926</v>
      </c>
      <c r="DU1463" s="38">
        <v>13</v>
      </c>
      <c r="DV1463" s="35">
        <v>0.33</v>
      </c>
      <c r="DW1463" s="36">
        <v>32758</v>
      </c>
      <c r="DX1463" s="39">
        <v>19</v>
      </c>
      <c r="DY1463" s="35">
        <v>0.06</v>
      </c>
      <c r="DZ1463" s="28" t="s">
        <v>178</v>
      </c>
      <c r="EA1463" s="34">
        <v>43609</v>
      </c>
      <c r="EB1463" s="29" t="s">
        <v>138</v>
      </c>
      <c r="EC1463" s="34" t="s">
        <v>138</v>
      </c>
      <c r="ED1463" s="28" t="s">
        <v>138</v>
      </c>
      <c r="EE1463" s="40" t="str">
        <f>HYPERLINK("https://my.pitchbook.com?c=52917-94", "View company online")</f>
        <v>View company online</v>
      </c>
    </row>
    <row r="1464" spans="1:135">
      <c r="A1464" s="15" t="s">
        <v>28131</v>
      </c>
      <c r="B1464" s="15" t="s">
        <v>28132</v>
      </c>
      <c r="C1464" s="15" t="s">
        <v>138</v>
      </c>
      <c r="D1464" s="15" t="s">
        <v>138</v>
      </c>
      <c r="E1464" s="15" t="s">
        <v>28133</v>
      </c>
      <c r="F1464" s="15" t="s">
        <v>28131</v>
      </c>
      <c r="G1464" s="15" t="s">
        <v>28134</v>
      </c>
      <c r="H1464" s="15" t="s">
        <v>183</v>
      </c>
      <c r="I1464" s="15" t="s">
        <v>184</v>
      </c>
      <c r="J1464" s="15" t="s">
        <v>2141</v>
      </c>
      <c r="K1464" s="15" t="s">
        <v>3009</v>
      </c>
      <c r="L1464" s="15" t="s">
        <v>11063</v>
      </c>
      <c r="M1464" s="15" t="s">
        <v>28135</v>
      </c>
      <c r="N1464" s="15" t="s">
        <v>147</v>
      </c>
      <c r="O1464" s="17">
        <v>14.96</v>
      </c>
      <c r="P1464" s="15" t="s">
        <v>610</v>
      </c>
      <c r="Q1464" s="15" t="s">
        <v>149</v>
      </c>
      <c r="R1464" s="15" t="s">
        <v>244</v>
      </c>
      <c r="S1464" s="15" t="s">
        <v>28136</v>
      </c>
      <c r="T1464" s="18">
        <v>34</v>
      </c>
      <c r="U1464" s="15" t="s">
        <v>28137</v>
      </c>
      <c r="V1464" s="15" t="s">
        <v>138</v>
      </c>
      <c r="W1464" s="15" t="s">
        <v>138</v>
      </c>
      <c r="X1464" s="19">
        <v>2013</v>
      </c>
      <c r="Y1464" s="15" t="s">
        <v>138</v>
      </c>
      <c r="Z1464" s="15" t="s">
        <v>138</v>
      </c>
      <c r="AA1464" s="15" t="s">
        <v>138</v>
      </c>
      <c r="AB1464" s="20" t="s">
        <v>138</v>
      </c>
      <c r="AC1464" s="20" t="s">
        <v>138</v>
      </c>
      <c r="AD1464" s="20" t="s">
        <v>138</v>
      </c>
      <c r="AE1464" s="20" t="s">
        <v>138</v>
      </c>
      <c r="AF1464" s="20" t="s">
        <v>138</v>
      </c>
      <c r="AG1464" s="15" t="s">
        <v>138</v>
      </c>
      <c r="AH1464" s="20" t="s">
        <v>138</v>
      </c>
      <c r="AI1464" s="20" t="s">
        <v>138</v>
      </c>
      <c r="AJ1464" s="20" t="s">
        <v>138</v>
      </c>
      <c r="AK1464" s="15" t="s">
        <v>28138</v>
      </c>
      <c r="AL1464" s="15" t="s">
        <v>28139</v>
      </c>
      <c r="AM1464" s="15" t="s">
        <v>28140</v>
      </c>
      <c r="AN1464" s="15" t="s">
        <v>28141</v>
      </c>
      <c r="AO1464" s="15" t="s">
        <v>28142</v>
      </c>
      <c r="AP1464" s="15" t="s">
        <v>28143</v>
      </c>
      <c r="AQ1464" s="15" t="s">
        <v>28144</v>
      </c>
      <c r="AR1464" s="15" t="s">
        <v>138</v>
      </c>
      <c r="AS1464" s="15" t="s">
        <v>28145</v>
      </c>
      <c r="AT1464" s="15" t="s">
        <v>160</v>
      </c>
      <c r="AU1464" s="15" t="s">
        <v>28146</v>
      </c>
      <c r="AV1464" s="15" t="s">
        <v>162</v>
      </c>
      <c r="AW1464" s="15" t="s">
        <v>138</v>
      </c>
      <c r="AX1464" s="15" t="s">
        <v>138</v>
      </c>
      <c r="AY1464" s="15" t="s">
        <v>28147</v>
      </c>
      <c r="AZ1464" s="15" t="s">
        <v>164</v>
      </c>
      <c r="BA1464" s="15" t="s">
        <v>165</v>
      </c>
      <c r="BB1464" s="15" t="s">
        <v>28148</v>
      </c>
      <c r="BC1464" s="15" t="s">
        <v>28149</v>
      </c>
      <c r="BD1464" s="21">
        <v>5</v>
      </c>
      <c r="BE1464" s="15" t="s">
        <v>138</v>
      </c>
      <c r="BF1464" s="15" t="s">
        <v>138</v>
      </c>
      <c r="BG1464" s="15" t="s">
        <v>138</v>
      </c>
      <c r="BH1464" s="15" t="s">
        <v>28150</v>
      </c>
      <c r="BI1464" s="15" t="s">
        <v>138</v>
      </c>
      <c r="BJ1464" s="15" t="s">
        <v>138</v>
      </c>
      <c r="BK1464" s="15" t="s">
        <v>28151</v>
      </c>
      <c r="BL1464" s="15" t="s">
        <v>28152</v>
      </c>
      <c r="BM1464" s="22" t="s">
        <v>138</v>
      </c>
      <c r="BN1464" s="17">
        <v>0.33</v>
      </c>
      <c r="BO1464" s="15" t="s">
        <v>172</v>
      </c>
      <c r="BP1464" s="17">
        <v>2</v>
      </c>
      <c r="BQ1464" s="15" t="s">
        <v>172</v>
      </c>
      <c r="BR1464" s="15" t="s">
        <v>262</v>
      </c>
      <c r="BS1464" s="15" t="s">
        <v>623</v>
      </c>
      <c r="BT1464" s="15" t="s">
        <v>138</v>
      </c>
      <c r="BU1464" s="15" t="s">
        <v>263</v>
      </c>
      <c r="BV1464" s="15" t="s">
        <v>138</v>
      </c>
      <c r="BW1464" s="15" t="s">
        <v>138</v>
      </c>
      <c r="BX1464" s="15" t="s">
        <v>138</v>
      </c>
      <c r="BY1464" s="15" t="s">
        <v>175</v>
      </c>
      <c r="BZ1464" s="22">
        <v>43556</v>
      </c>
      <c r="CA1464" s="17">
        <v>6.63</v>
      </c>
      <c r="CB1464" s="15" t="s">
        <v>172</v>
      </c>
      <c r="CC1464" s="17">
        <v>27.63</v>
      </c>
      <c r="CD1464" s="15" t="s">
        <v>172</v>
      </c>
      <c r="CE1464" s="15" t="s">
        <v>205</v>
      </c>
      <c r="CF1464" s="15" t="s">
        <v>720</v>
      </c>
      <c r="CG1464" s="15" t="s">
        <v>138</v>
      </c>
      <c r="CH1464" s="15" t="s">
        <v>174</v>
      </c>
      <c r="CI1464" s="15" t="s">
        <v>138</v>
      </c>
      <c r="CJ1464" s="15" t="s">
        <v>138</v>
      </c>
      <c r="CK1464" s="15" t="s">
        <v>138</v>
      </c>
      <c r="CL1464" s="15" t="s">
        <v>175</v>
      </c>
      <c r="CM1464" s="22">
        <v>42166</v>
      </c>
      <c r="CN1464" s="17">
        <v>1</v>
      </c>
      <c r="CO1464" s="23">
        <v>-0.28999999999999998</v>
      </c>
      <c r="CP1464" s="24">
        <v>18</v>
      </c>
      <c r="CQ1464" s="23">
        <v>-0.08</v>
      </c>
      <c r="CR1464" s="23">
        <v>-38.44</v>
      </c>
      <c r="CS1464" s="23">
        <v>-0.73</v>
      </c>
      <c r="CT1464" s="24">
        <v>17</v>
      </c>
      <c r="CU1464" s="23">
        <v>0.16</v>
      </c>
      <c r="CV1464" s="24">
        <v>76</v>
      </c>
      <c r="CW1464" s="23">
        <v>0</v>
      </c>
      <c r="CX1464" s="24">
        <v>13</v>
      </c>
      <c r="CY1464" s="23">
        <v>-1.47</v>
      </c>
      <c r="CZ1464" s="24">
        <v>15</v>
      </c>
      <c r="DA1464" s="23">
        <v>0.31</v>
      </c>
      <c r="DB1464" s="24">
        <v>89</v>
      </c>
      <c r="DC1464" s="25">
        <v>1.75</v>
      </c>
      <c r="DD1464" s="24">
        <v>64</v>
      </c>
      <c r="DE1464" s="25">
        <v>-7.0000000000000007E-2</v>
      </c>
      <c r="DF1464" s="23">
        <v>-3.6</v>
      </c>
      <c r="DG1464" s="25">
        <v>3.05</v>
      </c>
      <c r="DH1464" s="24">
        <v>75</v>
      </c>
      <c r="DI1464" s="25">
        <v>0.45</v>
      </c>
      <c r="DJ1464" s="24">
        <v>35</v>
      </c>
      <c r="DK1464" s="25">
        <v>1.51</v>
      </c>
      <c r="DL1464" s="24">
        <v>59</v>
      </c>
      <c r="DM1464" s="25">
        <v>4.59</v>
      </c>
      <c r="DN1464" s="24">
        <v>80</v>
      </c>
      <c r="DO1464" s="25">
        <v>0.79</v>
      </c>
      <c r="DP1464" s="24">
        <v>46</v>
      </c>
      <c r="DQ1464" s="24">
        <v>538</v>
      </c>
      <c r="DR1464" s="26">
        <v>-63</v>
      </c>
      <c r="DS1464" s="23">
        <v>-10.48</v>
      </c>
      <c r="DT1464" s="24">
        <v>133</v>
      </c>
      <c r="DU1464" s="26">
        <v>-2</v>
      </c>
      <c r="DV1464" s="23">
        <v>-1.48</v>
      </c>
      <c r="DW1464" s="24">
        <v>283</v>
      </c>
      <c r="DX1464" s="27">
        <v>-1</v>
      </c>
      <c r="DY1464" s="23">
        <v>-0.35</v>
      </c>
      <c r="DZ1464" s="15" t="s">
        <v>178</v>
      </c>
      <c r="EA1464" s="22">
        <v>43588</v>
      </c>
      <c r="EB1464" s="17">
        <v>27.63</v>
      </c>
      <c r="EC1464" s="22">
        <v>43556</v>
      </c>
      <c r="ED1464" s="15" t="s">
        <v>205</v>
      </c>
      <c r="EE1464" s="14" t="str">
        <f>HYPERLINK("https://my.pitchbook.com?c=109342-99", "View company online")</f>
        <v>View company online</v>
      </c>
    </row>
    <row r="1465" spans="1:135">
      <c r="A1465" s="28" t="s">
        <v>28153</v>
      </c>
      <c r="B1465" s="28" t="s">
        <v>28154</v>
      </c>
      <c r="C1465" s="28" t="s">
        <v>138</v>
      </c>
      <c r="D1465" s="28" t="s">
        <v>138</v>
      </c>
      <c r="E1465" s="28" t="s">
        <v>28155</v>
      </c>
      <c r="F1465" s="28" t="s">
        <v>28153</v>
      </c>
      <c r="G1465" s="28" t="s">
        <v>28156</v>
      </c>
      <c r="H1465" s="28" t="s">
        <v>890</v>
      </c>
      <c r="I1465" s="28" t="s">
        <v>891</v>
      </c>
      <c r="J1465" s="28" t="s">
        <v>891</v>
      </c>
      <c r="K1465" s="28" t="s">
        <v>28157</v>
      </c>
      <c r="L1465" s="28" t="s">
        <v>1884</v>
      </c>
      <c r="M1465" s="28" t="s">
        <v>28158</v>
      </c>
      <c r="N1465" s="28" t="s">
        <v>147</v>
      </c>
      <c r="O1465" s="29">
        <v>10.199999999999999</v>
      </c>
      <c r="P1465" s="28" t="s">
        <v>148</v>
      </c>
      <c r="Q1465" s="28" t="s">
        <v>149</v>
      </c>
      <c r="R1465" s="28" t="s">
        <v>174</v>
      </c>
      <c r="S1465" s="28" t="s">
        <v>28159</v>
      </c>
      <c r="T1465" s="30">
        <v>18</v>
      </c>
      <c r="U1465" s="28" t="s">
        <v>28160</v>
      </c>
      <c r="V1465" s="28" t="s">
        <v>138</v>
      </c>
      <c r="W1465" s="28" t="s">
        <v>138</v>
      </c>
      <c r="X1465" s="31">
        <v>2015</v>
      </c>
      <c r="Y1465" s="28" t="s">
        <v>138</v>
      </c>
      <c r="Z1465" s="28" t="s">
        <v>138</v>
      </c>
      <c r="AA1465" s="28" t="s">
        <v>138</v>
      </c>
      <c r="AB1465" s="32" t="s">
        <v>138</v>
      </c>
      <c r="AC1465" s="32" t="s">
        <v>138</v>
      </c>
      <c r="AD1465" s="32" t="s">
        <v>138</v>
      </c>
      <c r="AE1465" s="32" t="s">
        <v>138</v>
      </c>
      <c r="AF1465" s="32" t="s">
        <v>138</v>
      </c>
      <c r="AG1465" s="28" t="s">
        <v>138</v>
      </c>
      <c r="AH1465" s="32" t="s">
        <v>138</v>
      </c>
      <c r="AI1465" s="32" t="s">
        <v>138</v>
      </c>
      <c r="AJ1465" s="32" t="s">
        <v>138</v>
      </c>
      <c r="AK1465" s="28" t="s">
        <v>28161</v>
      </c>
      <c r="AL1465" s="28" t="s">
        <v>28162</v>
      </c>
      <c r="AM1465" s="28" t="s">
        <v>916</v>
      </c>
      <c r="AN1465" s="28" t="s">
        <v>28163</v>
      </c>
      <c r="AO1465" s="28" t="s">
        <v>28164</v>
      </c>
      <c r="AP1465" s="28" t="s">
        <v>4898</v>
      </c>
      <c r="AQ1465" s="28" t="s">
        <v>10933</v>
      </c>
      <c r="AR1465" s="28" t="s">
        <v>138</v>
      </c>
      <c r="AS1465" s="28" t="s">
        <v>4900</v>
      </c>
      <c r="AT1465" s="28" t="s">
        <v>200</v>
      </c>
      <c r="AU1465" s="28" t="s">
        <v>10934</v>
      </c>
      <c r="AV1465" s="28" t="s">
        <v>162</v>
      </c>
      <c r="AW1465" s="28" t="s">
        <v>28164</v>
      </c>
      <c r="AX1465" s="28" t="s">
        <v>138</v>
      </c>
      <c r="AY1465" s="28" t="s">
        <v>28165</v>
      </c>
      <c r="AZ1465" s="28" t="s">
        <v>164</v>
      </c>
      <c r="BA1465" s="28" t="s">
        <v>165</v>
      </c>
      <c r="BB1465" s="28" t="s">
        <v>28166</v>
      </c>
      <c r="BC1465" s="28" t="s">
        <v>28167</v>
      </c>
      <c r="BD1465" s="33">
        <v>7</v>
      </c>
      <c r="BE1465" s="28" t="s">
        <v>138</v>
      </c>
      <c r="BF1465" s="28" t="s">
        <v>138</v>
      </c>
      <c r="BG1465" s="28" t="s">
        <v>138</v>
      </c>
      <c r="BH1465" s="28" t="s">
        <v>28168</v>
      </c>
      <c r="BI1465" s="28" t="s">
        <v>138</v>
      </c>
      <c r="BJ1465" s="28" t="s">
        <v>138</v>
      </c>
      <c r="BK1465" s="28" t="s">
        <v>138</v>
      </c>
      <c r="BL1465" s="28" t="s">
        <v>138</v>
      </c>
      <c r="BM1465" s="34">
        <v>42495</v>
      </c>
      <c r="BN1465" s="29">
        <v>1.2</v>
      </c>
      <c r="BO1465" s="28" t="s">
        <v>172</v>
      </c>
      <c r="BP1465" s="29" t="s">
        <v>138</v>
      </c>
      <c r="BQ1465" s="28" t="s">
        <v>138</v>
      </c>
      <c r="BR1465" s="28" t="s">
        <v>234</v>
      </c>
      <c r="BS1465" s="28" t="s">
        <v>234</v>
      </c>
      <c r="BT1465" s="28" t="s">
        <v>138</v>
      </c>
      <c r="BU1465" s="28" t="s">
        <v>174</v>
      </c>
      <c r="BV1465" s="28" t="s">
        <v>138</v>
      </c>
      <c r="BW1465" s="28" t="s">
        <v>138</v>
      </c>
      <c r="BX1465" s="28" t="s">
        <v>138</v>
      </c>
      <c r="BY1465" s="28" t="s">
        <v>175</v>
      </c>
      <c r="BZ1465" s="34">
        <v>43074</v>
      </c>
      <c r="CA1465" s="29">
        <v>9</v>
      </c>
      <c r="CB1465" s="28" t="s">
        <v>172</v>
      </c>
      <c r="CC1465" s="29">
        <v>24</v>
      </c>
      <c r="CD1465" s="28" t="s">
        <v>172</v>
      </c>
      <c r="CE1465" s="28" t="s">
        <v>205</v>
      </c>
      <c r="CF1465" s="28" t="s">
        <v>206</v>
      </c>
      <c r="CG1465" s="28" t="s">
        <v>138</v>
      </c>
      <c r="CH1465" s="28" t="s">
        <v>174</v>
      </c>
      <c r="CI1465" s="28" t="s">
        <v>138</v>
      </c>
      <c r="CJ1465" s="28" t="s">
        <v>138</v>
      </c>
      <c r="CK1465" s="28" t="s">
        <v>138</v>
      </c>
      <c r="CL1465" s="28" t="s">
        <v>175</v>
      </c>
      <c r="CM1465" s="34" t="s">
        <v>138</v>
      </c>
      <c r="CN1465" s="29" t="s">
        <v>138</v>
      </c>
      <c r="CO1465" s="35">
        <v>-1.17</v>
      </c>
      <c r="CP1465" s="36">
        <v>10</v>
      </c>
      <c r="CQ1465" s="35">
        <v>-0.02</v>
      </c>
      <c r="CR1465" s="35">
        <v>-1.91</v>
      </c>
      <c r="CS1465" s="35">
        <v>-3.97</v>
      </c>
      <c r="CT1465" s="36">
        <v>3</v>
      </c>
      <c r="CU1465" s="35">
        <v>0.1</v>
      </c>
      <c r="CV1465" s="36">
        <v>68</v>
      </c>
      <c r="CW1465" s="35">
        <v>-6.1</v>
      </c>
      <c r="CX1465" s="36">
        <v>2</v>
      </c>
      <c r="CY1465" s="35">
        <v>-1.83</v>
      </c>
      <c r="CZ1465" s="36">
        <v>12</v>
      </c>
      <c r="DA1465" s="35">
        <v>0.2</v>
      </c>
      <c r="DB1465" s="36">
        <v>82</v>
      </c>
      <c r="DC1465" s="37">
        <v>142.16</v>
      </c>
      <c r="DD1465" s="36">
        <v>99</v>
      </c>
      <c r="DE1465" s="37">
        <v>-3.76</v>
      </c>
      <c r="DF1465" s="35">
        <v>-2.58</v>
      </c>
      <c r="DG1465" s="37">
        <v>183.61</v>
      </c>
      <c r="DH1465" s="36">
        <v>100</v>
      </c>
      <c r="DI1465" s="37">
        <v>12.35</v>
      </c>
      <c r="DJ1465" s="36">
        <v>87</v>
      </c>
      <c r="DK1465" s="37">
        <v>345.18</v>
      </c>
      <c r="DL1465" s="36">
        <v>99</v>
      </c>
      <c r="DM1465" s="37">
        <v>22.03</v>
      </c>
      <c r="DN1465" s="36">
        <v>95</v>
      </c>
      <c r="DO1465" s="37">
        <v>3.43</v>
      </c>
      <c r="DP1465" s="36">
        <v>73</v>
      </c>
      <c r="DQ1465" s="36">
        <v>124499</v>
      </c>
      <c r="DR1465" s="38">
        <v>-18311</v>
      </c>
      <c r="DS1465" s="35">
        <v>-12.82</v>
      </c>
      <c r="DT1465" s="36">
        <v>639</v>
      </c>
      <c r="DU1465" s="38">
        <v>0</v>
      </c>
      <c r="DV1465" s="35">
        <v>0</v>
      </c>
      <c r="DW1465" s="36">
        <v>1227</v>
      </c>
      <c r="DX1465" s="39">
        <v>1</v>
      </c>
      <c r="DY1465" s="35">
        <v>0.08</v>
      </c>
      <c r="DZ1465" s="28" t="s">
        <v>178</v>
      </c>
      <c r="EA1465" s="34">
        <v>43351</v>
      </c>
      <c r="EB1465" s="29">
        <v>24</v>
      </c>
      <c r="EC1465" s="34">
        <v>43074</v>
      </c>
      <c r="ED1465" s="28" t="s">
        <v>205</v>
      </c>
      <c r="EE1465" s="40" t="str">
        <f>HYPERLINK("https://my.pitchbook.com?c=158591-89", "View company online")</f>
        <v>View company online</v>
      </c>
    </row>
    <row r="1466" spans="1:135">
      <c r="A1466" s="15" t="s">
        <v>28169</v>
      </c>
      <c r="B1466" s="15" t="s">
        <v>28170</v>
      </c>
      <c r="C1466" s="15" t="s">
        <v>138</v>
      </c>
      <c r="D1466" s="15" t="s">
        <v>138</v>
      </c>
      <c r="E1466" s="15" t="s">
        <v>28171</v>
      </c>
      <c r="F1466" s="15" t="s">
        <v>28169</v>
      </c>
      <c r="G1466" s="15" t="s">
        <v>28172</v>
      </c>
      <c r="H1466" s="15" t="s">
        <v>183</v>
      </c>
      <c r="I1466" s="15" t="s">
        <v>184</v>
      </c>
      <c r="J1466" s="15" t="s">
        <v>2141</v>
      </c>
      <c r="K1466" s="15" t="s">
        <v>28173</v>
      </c>
      <c r="L1466" s="15" t="s">
        <v>4186</v>
      </c>
      <c r="M1466" s="15" t="s">
        <v>28174</v>
      </c>
      <c r="N1466" s="15" t="s">
        <v>147</v>
      </c>
      <c r="O1466" s="17">
        <v>152</v>
      </c>
      <c r="P1466" s="15" t="s">
        <v>148</v>
      </c>
      <c r="Q1466" s="15" t="s">
        <v>149</v>
      </c>
      <c r="R1466" s="15" t="s">
        <v>174</v>
      </c>
      <c r="S1466" s="15" t="s">
        <v>28175</v>
      </c>
      <c r="T1466" s="18">
        <v>110</v>
      </c>
      <c r="U1466" s="15" t="s">
        <v>28176</v>
      </c>
      <c r="V1466" s="15" t="s">
        <v>138</v>
      </c>
      <c r="W1466" s="15" t="s">
        <v>138</v>
      </c>
      <c r="X1466" s="19">
        <v>2004</v>
      </c>
      <c r="Y1466" s="15" t="s">
        <v>138</v>
      </c>
      <c r="Z1466" s="15" t="s">
        <v>138</v>
      </c>
      <c r="AA1466" s="15" t="s">
        <v>138</v>
      </c>
      <c r="AB1466" s="20">
        <v>10</v>
      </c>
      <c r="AC1466" s="20" t="s">
        <v>138</v>
      </c>
      <c r="AD1466" s="20" t="s">
        <v>138</v>
      </c>
      <c r="AE1466" s="20" t="s">
        <v>138</v>
      </c>
      <c r="AF1466" s="20" t="s">
        <v>138</v>
      </c>
      <c r="AG1466" s="15" t="s">
        <v>563</v>
      </c>
      <c r="AH1466" s="20" t="s">
        <v>138</v>
      </c>
      <c r="AI1466" s="20" t="s">
        <v>138</v>
      </c>
      <c r="AJ1466" s="20" t="s">
        <v>138</v>
      </c>
      <c r="AK1466" s="15" t="s">
        <v>28177</v>
      </c>
      <c r="AL1466" s="15" t="s">
        <v>28178</v>
      </c>
      <c r="AM1466" s="15" t="s">
        <v>2194</v>
      </c>
      <c r="AN1466" s="15" t="s">
        <v>28179</v>
      </c>
      <c r="AO1466" s="15" t="s">
        <v>28180</v>
      </c>
      <c r="AP1466" s="15" t="s">
        <v>3970</v>
      </c>
      <c r="AQ1466" s="15" t="s">
        <v>28181</v>
      </c>
      <c r="AR1466" s="15" t="s">
        <v>138</v>
      </c>
      <c r="AS1466" s="15" t="s">
        <v>3972</v>
      </c>
      <c r="AT1466" s="15" t="s">
        <v>138</v>
      </c>
      <c r="AU1466" s="15" t="s">
        <v>28182</v>
      </c>
      <c r="AV1466" s="15" t="s">
        <v>740</v>
      </c>
      <c r="AW1466" s="15" t="s">
        <v>28183</v>
      </c>
      <c r="AX1466" s="15" t="s">
        <v>28184</v>
      </c>
      <c r="AY1466" s="15" t="s">
        <v>28185</v>
      </c>
      <c r="AZ1466" s="15" t="s">
        <v>742</v>
      </c>
      <c r="BA1466" s="15" t="s">
        <v>742</v>
      </c>
      <c r="BB1466" s="15" t="s">
        <v>28186</v>
      </c>
      <c r="BC1466" s="15" t="s">
        <v>28187</v>
      </c>
      <c r="BD1466" s="21">
        <v>24</v>
      </c>
      <c r="BE1466" s="15" t="s">
        <v>138</v>
      </c>
      <c r="BF1466" s="15" t="s">
        <v>138</v>
      </c>
      <c r="BG1466" s="15" t="s">
        <v>138</v>
      </c>
      <c r="BH1466" s="15" t="s">
        <v>28188</v>
      </c>
      <c r="BI1466" s="15" t="s">
        <v>138</v>
      </c>
      <c r="BJ1466" s="15" t="s">
        <v>138</v>
      </c>
      <c r="BK1466" s="15" t="s">
        <v>138</v>
      </c>
      <c r="BL1466" s="15" t="s">
        <v>28189</v>
      </c>
      <c r="BM1466" s="22">
        <v>37987</v>
      </c>
      <c r="BN1466" s="17" t="s">
        <v>138</v>
      </c>
      <c r="BO1466" s="15" t="s">
        <v>138</v>
      </c>
      <c r="BP1466" s="17" t="s">
        <v>138</v>
      </c>
      <c r="BQ1466" s="15" t="s">
        <v>138</v>
      </c>
      <c r="BR1466" s="15" t="s">
        <v>234</v>
      </c>
      <c r="BS1466" s="15" t="s">
        <v>234</v>
      </c>
      <c r="BT1466" s="15" t="s">
        <v>138</v>
      </c>
      <c r="BU1466" s="15" t="s">
        <v>174</v>
      </c>
      <c r="BV1466" s="15" t="s">
        <v>138</v>
      </c>
      <c r="BW1466" s="15" t="s">
        <v>138</v>
      </c>
      <c r="BX1466" s="15" t="s">
        <v>138</v>
      </c>
      <c r="BY1466" s="15" t="s">
        <v>175</v>
      </c>
      <c r="BZ1466" s="22">
        <v>43472</v>
      </c>
      <c r="CA1466" s="17">
        <v>39</v>
      </c>
      <c r="CB1466" s="15" t="s">
        <v>172</v>
      </c>
      <c r="CC1466" s="17" t="s">
        <v>138</v>
      </c>
      <c r="CD1466" s="15" t="s">
        <v>138</v>
      </c>
      <c r="CE1466" s="15" t="s">
        <v>173</v>
      </c>
      <c r="CF1466" s="15" t="s">
        <v>138</v>
      </c>
      <c r="CG1466" s="15" t="s">
        <v>138</v>
      </c>
      <c r="CH1466" s="15" t="s">
        <v>174</v>
      </c>
      <c r="CI1466" s="15" t="s">
        <v>138</v>
      </c>
      <c r="CJ1466" s="15" t="s">
        <v>138</v>
      </c>
      <c r="CK1466" s="15" t="s">
        <v>138</v>
      </c>
      <c r="CL1466" s="15" t="s">
        <v>175</v>
      </c>
      <c r="CM1466" s="22" t="s">
        <v>138</v>
      </c>
      <c r="CN1466" s="17" t="s">
        <v>138</v>
      </c>
      <c r="CO1466" s="23">
        <v>0.28999999999999998</v>
      </c>
      <c r="CP1466" s="24">
        <v>93</v>
      </c>
      <c r="CQ1466" s="23">
        <v>0.01</v>
      </c>
      <c r="CR1466" s="23">
        <v>2.1800000000000002</v>
      </c>
      <c r="CS1466" s="23">
        <v>-7.0000000000000007E-2</v>
      </c>
      <c r="CT1466" s="24">
        <v>22</v>
      </c>
      <c r="CU1466" s="23">
        <v>0.64</v>
      </c>
      <c r="CV1466" s="24">
        <v>95</v>
      </c>
      <c r="CW1466" s="23">
        <v>0.96</v>
      </c>
      <c r="CX1466" s="24">
        <v>84</v>
      </c>
      <c r="CY1466" s="23">
        <v>-1.1000000000000001</v>
      </c>
      <c r="CZ1466" s="24">
        <v>18</v>
      </c>
      <c r="DA1466" s="23">
        <v>0.01</v>
      </c>
      <c r="DB1466" s="24">
        <v>57</v>
      </c>
      <c r="DC1466" s="25">
        <v>8.1199999999999992</v>
      </c>
      <c r="DD1466" s="24">
        <v>88</v>
      </c>
      <c r="DE1466" s="25">
        <v>-7.0000000000000007E-2</v>
      </c>
      <c r="DF1466" s="23">
        <v>-0.82</v>
      </c>
      <c r="DG1466" s="25">
        <v>13.45</v>
      </c>
      <c r="DH1466" s="24">
        <v>92</v>
      </c>
      <c r="DI1466" s="25">
        <v>2.8</v>
      </c>
      <c r="DJ1466" s="24">
        <v>68</v>
      </c>
      <c r="DK1466" s="25">
        <v>3.18</v>
      </c>
      <c r="DL1466" s="24">
        <v>72</v>
      </c>
      <c r="DM1466" s="25">
        <v>23.72</v>
      </c>
      <c r="DN1466" s="24">
        <v>95</v>
      </c>
      <c r="DO1466" s="25">
        <v>4.92</v>
      </c>
      <c r="DP1466" s="24">
        <v>79</v>
      </c>
      <c r="DQ1466" s="24">
        <v>1078</v>
      </c>
      <c r="DR1466" s="26">
        <v>42</v>
      </c>
      <c r="DS1466" s="23">
        <v>4.05</v>
      </c>
      <c r="DT1466" s="24">
        <v>686</v>
      </c>
      <c r="DU1466" s="26">
        <v>2</v>
      </c>
      <c r="DV1466" s="23">
        <v>0.28999999999999998</v>
      </c>
      <c r="DW1466" s="24">
        <v>1762</v>
      </c>
      <c r="DX1466" s="27">
        <v>4</v>
      </c>
      <c r="DY1466" s="23">
        <v>0.23</v>
      </c>
      <c r="DZ1466" s="15" t="s">
        <v>178</v>
      </c>
      <c r="EA1466" s="22">
        <v>43573</v>
      </c>
      <c r="EB1466" s="17" t="s">
        <v>138</v>
      </c>
      <c r="EC1466" s="22" t="s">
        <v>138</v>
      </c>
      <c r="ED1466" s="15" t="s">
        <v>138</v>
      </c>
      <c r="EE1466" s="14" t="str">
        <f>HYPERLINK("https://my.pitchbook.com?c=54234-10", "View company online")</f>
        <v>View company online</v>
      </c>
    </row>
    <row r="1467" spans="1:135">
      <c r="A1467" s="28" t="s">
        <v>28190</v>
      </c>
      <c r="B1467" s="28" t="s">
        <v>28191</v>
      </c>
      <c r="C1467" s="28" t="s">
        <v>138</v>
      </c>
      <c r="D1467" s="28" t="s">
        <v>12007</v>
      </c>
      <c r="E1467" s="28" t="s">
        <v>138</v>
      </c>
      <c r="F1467" s="28" t="s">
        <v>28190</v>
      </c>
      <c r="G1467" s="28" t="s">
        <v>28192</v>
      </c>
      <c r="H1467" s="28" t="s">
        <v>141</v>
      </c>
      <c r="I1467" s="28" t="s">
        <v>142</v>
      </c>
      <c r="J1467" s="28" t="s">
        <v>143</v>
      </c>
      <c r="K1467" s="28" t="s">
        <v>28193</v>
      </c>
      <c r="L1467" s="28" t="s">
        <v>28194</v>
      </c>
      <c r="M1467" s="28" t="s">
        <v>28195</v>
      </c>
      <c r="N1467" s="28" t="s">
        <v>147</v>
      </c>
      <c r="O1467" s="29" t="s">
        <v>138</v>
      </c>
      <c r="P1467" s="28" t="s">
        <v>148</v>
      </c>
      <c r="Q1467" s="28" t="s">
        <v>149</v>
      </c>
      <c r="R1467" s="28" t="s">
        <v>174</v>
      </c>
      <c r="S1467" s="28" t="s">
        <v>28196</v>
      </c>
      <c r="T1467" s="30" t="s">
        <v>138</v>
      </c>
      <c r="U1467" s="28" t="s">
        <v>138</v>
      </c>
      <c r="V1467" s="28" t="s">
        <v>138</v>
      </c>
      <c r="W1467" s="28" t="s">
        <v>138</v>
      </c>
      <c r="X1467" s="31">
        <v>2007</v>
      </c>
      <c r="Y1467" s="28" t="s">
        <v>138</v>
      </c>
      <c r="Z1467" s="28" t="s">
        <v>138</v>
      </c>
      <c r="AA1467" s="28" t="s">
        <v>138</v>
      </c>
      <c r="AB1467" s="32" t="s">
        <v>138</v>
      </c>
      <c r="AC1467" s="32" t="s">
        <v>138</v>
      </c>
      <c r="AD1467" s="32" t="s">
        <v>138</v>
      </c>
      <c r="AE1467" s="32" t="s">
        <v>138</v>
      </c>
      <c r="AF1467" s="32" t="s">
        <v>138</v>
      </c>
      <c r="AG1467" s="28" t="s">
        <v>138</v>
      </c>
      <c r="AH1467" s="32" t="s">
        <v>138</v>
      </c>
      <c r="AI1467" s="32" t="s">
        <v>138</v>
      </c>
      <c r="AJ1467" s="32" t="s">
        <v>138</v>
      </c>
      <c r="AK1467" s="28" t="s">
        <v>28197</v>
      </c>
      <c r="AL1467" s="28" t="s">
        <v>28198</v>
      </c>
      <c r="AM1467" s="28" t="s">
        <v>13304</v>
      </c>
      <c r="AN1467" s="28" t="s">
        <v>28199</v>
      </c>
      <c r="AO1467" s="28" t="s">
        <v>28200</v>
      </c>
      <c r="AP1467" s="28" t="s">
        <v>28201</v>
      </c>
      <c r="AQ1467" s="28" t="s">
        <v>28202</v>
      </c>
      <c r="AR1467" s="28" t="s">
        <v>28203</v>
      </c>
      <c r="AS1467" s="28" t="s">
        <v>28204</v>
      </c>
      <c r="AT1467" s="28" t="s">
        <v>160</v>
      </c>
      <c r="AU1467" s="28" t="s">
        <v>28205</v>
      </c>
      <c r="AV1467" s="28" t="s">
        <v>162</v>
      </c>
      <c r="AW1467" s="28" t="s">
        <v>28200</v>
      </c>
      <c r="AX1467" s="28" t="s">
        <v>138</v>
      </c>
      <c r="AY1467" s="28" t="s">
        <v>138</v>
      </c>
      <c r="AZ1467" s="28" t="s">
        <v>164</v>
      </c>
      <c r="BA1467" s="28" t="s">
        <v>165</v>
      </c>
      <c r="BB1467" s="28" t="s">
        <v>28206</v>
      </c>
      <c r="BC1467" s="28" t="s">
        <v>3047</v>
      </c>
      <c r="BD1467" s="33">
        <v>1</v>
      </c>
      <c r="BE1467" s="28" t="s">
        <v>138</v>
      </c>
      <c r="BF1467" s="28" t="s">
        <v>138</v>
      </c>
      <c r="BG1467" s="28" t="s">
        <v>138</v>
      </c>
      <c r="BH1467" s="28" t="s">
        <v>3049</v>
      </c>
      <c r="BI1467" s="28" t="s">
        <v>138</v>
      </c>
      <c r="BJ1467" s="28" t="s">
        <v>138</v>
      </c>
      <c r="BK1467" s="28" t="s">
        <v>138</v>
      </c>
      <c r="BL1467" s="28" t="s">
        <v>28207</v>
      </c>
      <c r="BM1467" s="34">
        <v>42773</v>
      </c>
      <c r="BN1467" s="29" t="s">
        <v>138</v>
      </c>
      <c r="BO1467" s="28" t="s">
        <v>138</v>
      </c>
      <c r="BP1467" s="29" t="s">
        <v>138</v>
      </c>
      <c r="BQ1467" s="28" t="s">
        <v>138</v>
      </c>
      <c r="BR1467" s="28" t="s">
        <v>173</v>
      </c>
      <c r="BS1467" s="28" t="s">
        <v>206</v>
      </c>
      <c r="BT1467" s="28" t="s">
        <v>138</v>
      </c>
      <c r="BU1467" s="28" t="s">
        <v>174</v>
      </c>
      <c r="BV1467" s="28" t="s">
        <v>138</v>
      </c>
      <c r="BW1467" s="28" t="s">
        <v>138</v>
      </c>
      <c r="BX1467" s="28" t="s">
        <v>138</v>
      </c>
      <c r="BY1467" s="28" t="s">
        <v>175</v>
      </c>
      <c r="BZ1467" s="34">
        <v>42773</v>
      </c>
      <c r="CA1467" s="29" t="s">
        <v>138</v>
      </c>
      <c r="CB1467" s="28" t="s">
        <v>138</v>
      </c>
      <c r="CC1467" s="29" t="s">
        <v>138</v>
      </c>
      <c r="CD1467" s="28" t="s">
        <v>138</v>
      </c>
      <c r="CE1467" s="28" t="s">
        <v>173</v>
      </c>
      <c r="CF1467" s="28" t="s">
        <v>206</v>
      </c>
      <c r="CG1467" s="28" t="s">
        <v>138</v>
      </c>
      <c r="CH1467" s="28" t="s">
        <v>174</v>
      </c>
      <c r="CI1467" s="28" t="s">
        <v>138</v>
      </c>
      <c r="CJ1467" s="28" t="s">
        <v>138</v>
      </c>
      <c r="CK1467" s="28" t="s">
        <v>138</v>
      </c>
      <c r="CL1467" s="28" t="s">
        <v>175</v>
      </c>
      <c r="CM1467" s="34" t="s">
        <v>138</v>
      </c>
      <c r="CN1467" s="29" t="s">
        <v>138</v>
      </c>
      <c r="CO1467" s="35">
        <v>0</v>
      </c>
      <c r="CP1467" s="36">
        <v>26</v>
      </c>
      <c r="CQ1467" s="35">
        <v>0</v>
      </c>
      <c r="CR1467" s="35">
        <v>0</v>
      </c>
      <c r="CS1467" s="35">
        <v>0</v>
      </c>
      <c r="CT1467" s="36">
        <v>23</v>
      </c>
      <c r="CU1467" s="35">
        <v>0</v>
      </c>
      <c r="CV1467" s="36">
        <v>22</v>
      </c>
      <c r="CW1467" s="35" t="s">
        <v>138</v>
      </c>
      <c r="CX1467" s="36" t="s">
        <v>138</v>
      </c>
      <c r="CY1467" s="35">
        <v>0</v>
      </c>
      <c r="CZ1467" s="36">
        <v>25</v>
      </c>
      <c r="DA1467" s="35">
        <v>0</v>
      </c>
      <c r="DB1467" s="36">
        <v>22</v>
      </c>
      <c r="DC1467" s="37">
        <v>0.2</v>
      </c>
      <c r="DD1467" s="36">
        <v>15</v>
      </c>
      <c r="DE1467" s="37">
        <v>0</v>
      </c>
      <c r="DF1467" s="35">
        <v>0.05</v>
      </c>
      <c r="DG1467" s="37">
        <v>0.34</v>
      </c>
      <c r="DH1467" s="36">
        <v>25</v>
      </c>
      <c r="DI1467" s="37">
        <v>0.05</v>
      </c>
      <c r="DJ1467" s="36">
        <v>9</v>
      </c>
      <c r="DK1467" s="37" t="s">
        <v>138</v>
      </c>
      <c r="DL1467" s="36" t="s">
        <v>138</v>
      </c>
      <c r="DM1467" s="37">
        <v>0.34</v>
      </c>
      <c r="DN1467" s="36">
        <v>26</v>
      </c>
      <c r="DO1467" s="37">
        <v>0.08</v>
      </c>
      <c r="DP1467" s="36">
        <v>14</v>
      </c>
      <c r="DQ1467" s="36">
        <v>42</v>
      </c>
      <c r="DR1467" s="38">
        <v>-1</v>
      </c>
      <c r="DS1467" s="35">
        <v>-2.33</v>
      </c>
      <c r="DT1467" s="36">
        <v>10</v>
      </c>
      <c r="DU1467" s="38">
        <v>1</v>
      </c>
      <c r="DV1467" s="35">
        <v>11.11</v>
      </c>
      <c r="DW1467" s="36">
        <v>29</v>
      </c>
      <c r="DX1467" s="39">
        <v>0</v>
      </c>
      <c r="DY1467" s="35">
        <v>0</v>
      </c>
      <c r="DZ1467" s="28" t="s">
        <v>178</v>
      </c>
      <c r="EA1467" s="34">
        <v>43451</v>
      </c>
      <c r="EB1467" s="29" t="s">
        <v>138</v>
      </c>
      <c r="EC1467" s="34" t="s">
        <v>138</v>
      </c>
      <c r="ED1467" s="28" t="s">
        <v>138</v>
      </c>
      <c r="EE1467" s="40" t="str">
        <f>HYPERLINK("https://my.pitchbook.com?c=187664-68", "View company online")</f>
        <v>View company online</v>
      </c>
    </row>
    <row r="1468" spans="1:135">
      <c r="A1468" s="15" t="s">
        <v>28208</v>
      </c>
      <c r="B1468" s="15" t="s">
        <v>28209</v>
      </c>
      <c r="C1468" s="15" t="s">
        <v>138</v>
      </c>
      <c r="D1468" s="15" t="s">
        <v>138</v>
      </c>
      <c r="E1468" s="15" t="s">
        <v>138</v>
      </c>
      <c r="F1468" s="15" t="s">
        <v>28208</v>
      </c>
      <c r="G1468" s="15" t="s">
        <v>28210</v>
      </c>
      <c r="H1468" s="15" t="s">
        <v>322</v>
      </c>
      <c r="I1468" s="15" t="s">
        <v>1208</v>
      </c>
      <c r="J1468" s="15" t="s">
        <v>1209</v>
      </c>
      <c r="K1468" s="15" t="s">
        <v>28211</v>
      </c>
      <c r="L1468" s="15" t="s">
        <v>27389</v>
      </c>
      <c r="M1468" s="15" t="s">
        <v>28212</v>
      </c>
      <c r="N1468" s="15" t="s">
        <v>147</v>
      </c>
      <c r="O1468" s="17">
        <v>4.87</v>
      </c>
      <c r="P1468" s="15" t="s">
        <v>610</v>
      </c>
      <c r="Q1468" s="15" t="s">
        <v>149</v>
      </c>
      <c r="R1468" s="15" t="s">
        <v>174</v>
      </c>
      <c r="S1468" s="15" t="s">
        <v>28213</v>
      </c>
      <c r="T1468" s="18">
        <v>2</v>
      </c>
      <c r="U1468" s="15" t="s">
        <v>28214</v>
      </c>
      <c r="V1468" s="15" t="s">
        <v>138</v>
      </c>
      <c r="W1468" s="15" t="s">
        <v>138</v>
      </c>
      <c r="X1468" s="19">
        <v>2014</v>
      </c>
      <c r="Y1468" s="15" t="s">
        <v>138</v>
      </c>
      <c r="Z1468" s="15" t="s">
        <v>138</v>
      </c>
      <c r="AA1468" s="15" t="s">
        <v>138</v>
      </c>
      <c r="AB1468" s="20" t="s">
        <v>138</v>
      </c>
      <c r="AC1468" s="20" t="s">
        <v>138</v>
      </c>
      <c r="AD1468" s="20">
        <v>-0.18</v>
      </c>
      <c r="AE1468" s="20" t="s">
        <v>138</v>
      </c>
      <c r="AF1468" s="20">
        <v>-0.05</v>
      </c>
      <c r="AG1468" s="15" t="s">
        <v>707</v>
      </c>
      <c r="AH1468" s="20" t="s">
        <v>138</v>
      </c>
      <c r="AI1468" s="20" t="s">
        <v>138</v>
      </c>
      <c r="AJ1468" s="20" t="s">
        <v>138</v>
      </c>
      <c r="AK1468" s="15" t="s">
        <v>28215</v>
      </c>
      <c r="AL1468" s="15" t="s">
        <v>28216</v>
      </c>
      <c r="AM1468" s="15" t="s">
        <v>304</v>
      </c>
      <c r="AN1468" s="15" t="s">
        <v>28217</v>
      </c>
      <c r="AO1468" s="15" t="s">
        <v>28218</v>
      </c>
      <c r="AP1468" s="15" t="s">
        <v>28219</v>
      </c>
      <c r="AQ1468" s="15" t="s">
        <v>28220</v>
      </c>
      <c r="AR1468" s="15" t="s">
        <v>28221</v>
      </c>
      <c r="AS1468" s="15" t="s">
        <v>28222</v>
      </c>
      <c r="AT1468" s="15" t="s">
        <v>138</v>
      </c>
      <c r="AU1468" s="15" t="s">
        <v>28223</v>
      </c>
      <c r="AV1468" s="15" t="s">
        <v>10418</v>
      </c>
      <c r="AW1468" s="15" t="s">
        <v>28218</v>
      </c>
      <c r="AX1468" s="15" t="s">
        <v>138</v>
      </c>
      <c r="AY1468" s="15" t="s">
        <v>28224</v>
      </c>
      <c r="AZ1468" s="15" t="s">
        <v>530</v>
      </c>
      <c r="BA1468" s="15" t="s">
        <v>531</v>
      </c>
      <c r="BB1468" s="15" t="s">
        <v>28225</v>
      </c>
      <c r="BC1468" s="15" t="s">
        <v>28226</v>
      </c>
      <c r="BD1468" s="21">
        <v>9</v>
      </c>
      <c r="BE1468" s="15" t="s">
        <v>138</v>
      </c>
      <c r="BF1468" s="15" t="s">
        <v>138</v>
      </c>
      <c r="BG1468" s="15" t="s">
        <v>138</v>
      </c>
      <c r="BH1468" s="15" t="s">
        <v>28227</v>
      </c>
      <c r="BI1468" s="15" t="s">
        <v>138</v>
      </c>
      <c r="BJ1468" s="15" t="s">
        <v>138</v>
      </c>
      <c r="BK1468" s="15" t="s">
        <v>138</v>
      </c>
      <c r="BL1468" s="15" t="s">
        <v>138</v>
      </c>
      <c r="BM1468" s="22">
        <v>41640</v>
      </c>
      <c r="BN1468" s="17" t="s">
        <v>138</v>
      </c>
      <c r="BO1468" s="15" t="s">
        <v>138</v>
      </c>
      <c r="BP1468" s="17" t="s">
        <v>138</v>
      </c>
      <c r="BQ1468" s="15" t="s">
        <v>138</v>
      </c>
      <c r="BR1468" s="15" t="s">
        <v>176</v>
      </c>
      <c r="BS1468" s="15" t="s">
        <v>138</v>
      </c>
      <c r="BT1468" s="15" t="s">
        <v>138</v>
      </c>
      <c r="BU1468" s="15" t="s">
        <v>177</v>
      </c>
      <c r="BV1468" s="15" t="s">
        <v>138</v>
      </c>
      <c r="BW1468" s="15" t="s">
        <v>138</v>
      </c>
      <c r="BX1468" s="15" t="s">
        <v>138</v>
      </c>
      <c r="BY1468" s="15" t="s">
        <v>175</v>
      </c>
      <c r="BZ1468" s="22">
        <v>42948</v>
      </c>
      <c r="CA1468" s="17">
        <v>4.13</v>
      </c>
      <c r="CB1468" s="15" t="s">
        <v>172</v>
      </c>
      <c r="CC1468" s="17">
        <v>16.39</v>
      </c>
      <c r="CD1468" s="15" t="s">
        <v>172</v>
      </c>
      <c r="CE1468" s="15" t="s">
        <v>205</v>
      </c>
      <c r="CF1468" s="15" t="s">
        <v>138</v>
      </c>
      <c r="CG1468" s="15" t="s">
        <v>138</v>
      </c>
      <c r="CH1468" s="15" t="s">
        <v>174</v>
      </c>
      <c r="CI1468" s="15" t="s">
        <v>138</v>
      </c>
      <c r="CJ1468" s="15" t="s">
        <v>138</v>
      </c>
      <c r="CK1468" s="15" t="s">
        <v>138</v>
      </c>
      <c r="CL1468" s="15" t="s">
        <v>175</v>
      </c>
      <c r="CM1468" s="22" t="s">
        <v>138</v>
      </c>
      <c r="CN1468" s="17" t="s">
        <v>138</v>
      </c>
      <c r="CO1468" s="23">
        <v>0</v>
      </c>
      <c r="CP1468" s="24">
        <v>26</v>
      </c>
      <c r="CQ1468" s="23">
        <v>0</v>
      </c>
      <c r="CR1468" s="23">
        <v>0</v>
      </c>
      <c r="CS1468" s="23">
        <v>0</v>
      </c>
      <c r="CT1468" s="24">
        <v>23</v>
      </c>
      <c r="CU1468" s="23" t="s">
        <v>138</v>
      </c>
      <c r="CV1468" s="24" t="s">
        <v>138</v>
      </c>
      <c r="CW1468" s="23" t="s">
        <v>138</v>
      </c>
      <c r="CX1468" s="24" t="s">
        <v>138</v>
      </c>
      <c r="CY1468" s="23">
        <v>0</v>
      </c>
      <c r="CZ1468" s="24">
        <v>25</v>
      </c>
      <c r="DA1468" s="23" t="s">
        <v>138</v>
      </c>
      <c r="DB1468" s="24" t="s">
        <v>138</v>
      </c>
      <c r="DC1468" s="25">
        <v>1.62</v>
      </c>
      <c r="DD1468" s="24">
        <v>62</v>
      </c>
      <c r="DE1468" s="25">
        <v>0</v>
      </c>
      <c r="DF1468" s="23">
        <v>0</v>
      </c>
      <c r="DG1468" s="25">
        <v>1.62</v>
      </c>
      <c r="DH1468" s="24">
        <v>62</v>
      </c>
      <c r="DI1468" s="25" t="s">
        <v>138</v>
      </c>
      <c r="DJ1468" s="24" t="s">
        <v>138</v>
      </c>
      <c r="DK1468" s="25" t="s">
        <v>138</v>
      </c>
      <c r="DL1468" s="24" t="s">
        <v>138</v>
      </c>
      <c r="DM1468" s="25">
        <v>1.62</v>
      </c>
      <c r="DN1468" s="24">
        <v>61</v>
      </c>
      <c r="DO1468" s="25" t="s">
        <v>138</v>
      </c>
      <c r="DP1468" s="24" t="s">
        <v>138</v>
      </c>
      <c r="DQ1468" s="24" t="s">
        <v>138</v>
      </c>
      <c r="DR1468" s="26" t="s">
        <v>138</v>
      </c>
      <c r="DS1468" s="23" t="s">
        <v>138</v>
      </c>
      <c r="DT1468" s="24">
        <v>47</v>
      </c>
      <c r="DU1468" s="26">
        <v>1</v>
      </c>
      <c r="DV1468" s="23">
        <v>2.17</v>
      </c>
      <c r="DW1468" s="24" t="s">
        <v>138</v>
      </c>
      <c r="DX1468" s="27" t="s">
        <v>138</v>
      </c>
      <c r="DY1468" s="23" t="s">
        <v>138</v>
      </c>
      <c r="DZ1468" s="15" t="s">
        <v>178</v>
      </c>
      <c r="EA1468" s="22">
        <v>43448</v>
      </c>
      <c r="EB1468" s="17">
        <v>16.39</v>
      </c>
      <c r="EC1468" s="22">
        <v>42948</v>
      </c>
      <c r="ED1468" s="15" t="s">
        <v>205</v>
      </c>
      <c r="EE1468" s="14" t="str">
        <f>HYPERLINK("https://my.pitchbook.com?c=166354-30", "View company online")</f>
        <v>View company online</v>
      </c>
    </row>
    <row r="1469" spans="1:135">
      <c r="A1469" s="28" t="s">
        <v>28228</v>
      </c>
      <c r="B1469" s="28" t="s">
        <v>28229</v>
      </c>
      <c r="C1469" s="28" t="s">
        <v>28230</v>
      </c>
      <c r="D1469" s="28" t="s">
        <v>138</v>
      </c>
      <c r="E1469" s="28" t="s">
        <v>28231</v>
      </c>
      <c r="F1469" s="28" t="s">
        <v>28228</v>
      </c>
      <c r="G1469" s="28" t="s">
        <v>28232</v>
      </c>
      <c r="H1469" s="28" t="s">
        <v>322</v>
      </c>
      <c r="I1469" s="28" t="s">
        <v>323</v>
      </c>
      <c r="J1469" s="28" t="s">
        <v>324</v>
      </c>
      <c r="K1469" s="28" t="s">
        <v>28233</v>
      </c>
      <c r="L1469" s="28" t="s">
        <v>215</v>
      </c>
      <c r="M1469" s="28" t="s">
        <v>28234</v>
      </c>
      <c r="N1469" s="28" t="s">
        <v>147</v>
      </c>
      <c r="O1469" s="29">
        <v>113.35</v>
      </c>
      <c r="P1469" s="28" t="s">
        <v>148</v>
      </c>
      <c r="Q1469" s="28" t="s">
        <v>149</v>
      </c>
      <c r="R1469" s="28" t="s">
        <v>174</v>
      </c>
      <c r="S1469" s="28" t="s">
        <v>28235</v>
      </c>
      <c r="T1469" s="30">
        <v>200</v>
      </c>
      <c r="U1469" s="28" t="s">
        <v>28236</v>
      </c>
      <c r="V1469" s="28" t="s">
        <v>138</v>
      </c>
      <c r="W1469" s="28" t="s">
        <v>138</v>
      </c>
      <c r="X1469" s="31">
        <v>2010</v>
      </c>
      <c r="Y1469" s="28" t="s">
        <v>138</v>
      </c>
      <c r="Z1469" s="28" t="s">
        <v>138</v>
      </c>
      <c r="AA1469" s="28" t="s">
        <v>138</v>
      </c>
      <c r="AB1469" s="32" t="s">
        <v>138</v>
      </c>
      <c r="AC1469" s="32" t="s">
        <v>138</v>
      </c>
      <c r="AD1469" s="32" t="s">
        <v>138</v>
      </c>
      <c r="AE1469" s="32" t="s">
        <v>138</v>
      </c>
      <c r="AF1469" s="32" t="s">
        <v>138</v>
      </c>
      <c r="AG1469" s="28" t="s">
        <v>138</v>
      </c>
      <c r="AH1469" s="32" t="s">
        <v>138</v>
      </c>
      <c r="AI1469" s="32" t="s">
        <v>138</v>
      </c>
      <c r="AJ1469" s="32" t="s">
        <v>138</v>
      </c>
      <c r="AK1469" s="28" t="s">
        <v>28237</v>
      </c>
      <c r="AL1469" s="28" t="s">
        <v>28238</v>
      </c>
      <c r="AM1469" s="28" t="s">
        <v>249</v>
      </c>
      <c r="AN1469" s="28" t="s">
        <v>28239</v>
      </c>
      <c r="AO1469" s="28" t="s">
        <v>28240</v>
      </c>
      <c r="AP1469" s="28" t="s">
        <v>28241</v>
      </c>
      <c r="AQ1469" s="28" t="s">
        <v>28242</v>
      </c>
      <c r="AR1469" s="28" t="s">
        <v>28243</v>
      </c>
      <c r="AS1469" s="28" t="s">
        <v>28244</v>
      </c>
      <c r="AT1469" s="28" t="s">
        <v>200</v>
      </c>
      <c r="AU1469" s="28" t="s">
        <v>28245</v>
      </c>
      <c r="AV1469" s="28" t="s">
        <v>162</v>
      </c>
      <c r="AW1469" s="28" t="s">
        <v>28240</v>
      </c>
      <c r="AX1469" s="28" t="s">
        <v>28246</v>
      </c>
      <c r="AY1469" s="28" t="s">
        <v>28247</v>
      </c>
      <c r="AZ1469" s="28" t="s">
        <v>164</v>
      </c>
      <c r="BA1469" s="28" t="s">
        <v>165</v>
      </c>
      <c r="BB1469" s="28" t="s">
        <v>28248</v>
      </c>
      <c r="BC1469" s="28" t="s">
        <v>28249</v>
      </c>
      <c r="BD1469" s="33">
        <v>21</v>
      </c>
      <c r="BE1469" s="28" t="s">
        <v>138</v>
      </c>
      <c r="BF1469" s="28" t="s">
        <v>138</v>
      </c>
      <c r="BG1469" s="28" t="s">
        <v>138</v>
      </c>
      <c r="BH1469" s="28" t="s">
        <v>28250</v>
      </c>
      <c r="BI1469" s="28" t="s">
        <v>138</v>
      </c>
      <c r="BJ1469" s="28" t="s">
        <v>138</v>
      </c>
      <c r="BK1469" s="28" t="s">
        <v>13363</v>
      </c>
      <c r="BL1469" s="28" t="s">
        <v>2936</v>
      </c>
      <c r="BM1469" s="34">
        <v>40593</v>
      </c>
      <c r="BN1469" s="29">
        <v>8</v>
      </c>
      <c r="BO1469" s="28" t="s">
        <v>172</v>
      </c>
      <c r="BP1469" s="29">
        <v>29.41</v>
      </c>
      <c r="BQ1469" s="28" t="s">
        <v>172</v>
      </c>
      <c r="BR1469" s="28" t="s">
        <v>205</v>
      </c>
      <c r="BS1469" s="28" t="s">
        <v>206</v>
      </c>
      <c r="BT1469" s="28" t="s">
        <v>138</v>
      </c>
      <c r="BU1469" s="28" t="s">
        <v>174</v>
      </c>
      <c r="BV1469" s="28" t="s">
        <v>138</v>
      </c>
      <c r="BW1469" s="28" t="s">
        <v>138</v>
      </c>
      <c r="BX1469" s="28" t="s">
        <v>138</v>
      </c>
      <c r="BY1469" s="28" t="s">
        <v>175</v>
      </c>
      <c r="BZ1469" s="34">
        <v>43313</v>
      </c>
      <c r="CA1469" s="29">
        <v>46.5</v>
      </c>
      <c r="CB1469" s="28" t="s">
        <v>172</v>
      </c>
      <c r="CC1469" s="29" t="s">
        <v>138</v>
      </c>
      <c r="CD1469" s="28" t="s">
        <v>138</v>
      </c>
      <c r="CE1469" s="28" t="s">
        <v>173</v>
      </c>
      <c r="CF1469" s="28" t="s">
        <v>482</v>
      </c>
      <c r="CG1469" s="28" t="s">
        <v>138</v>
      </c>
      <c r="CH1469" s="28" t="s">
        <v>174</v>
      </c>
      <c r="CI1469" s="28" t="s">
        <v>138</v>
      </c>
      <c r="CJ1469" s="28" t="s">
        <v>138</v>
      </c>
      <c r="CK1469" s="28" t="s">
        <v>138</v>
      </c>
      <c r="CL1469" s="28" t="s">
        <v>175</v>
      </c>
      <c r="CM1469" s="34" t="s">
        <v>138</v>
      </c>
      <c r="CN1469" s="29" t="s">
        <v>138</v>
      </c>
      <c r="CO1469" s="35">
        <v>0.2</v>
      </c>
      <c r="CP1469" s="36">
        <v>92</v>
      </c>
      <c r="CQ1469" s="35">
        <v>-0.12</v>
      </c>
      <c r="CR1469" s="35">
        <v>-37.47</v>
      </c>
      <c r="CS1469" s="35">
        <v>-1.35</v>
      </c>
      <c r="CT1469" s="36">
        <v>12</v>
      </c>
      <c r="CU1469" s="35">
        <v>0.03</v>
      </c>
      <c r="CV1469" s="36">
        <v>54</v>
      </c>
      <c r="CW1469" s="35">
        <v>3.53</v>
      </c>
      <c r="CX1469" s="36">
        <v>92</v>
      </c>
      <c r="CY1469" s="35">
        <v>-6.22</v>
      </c>
      <c r="CZ1469" s="36">
        <v>2</v>
      </c>
      <c r="DA1469" s="35">
        <v>0</v>
      </c>
      <c r="DB1469" s="36">
        <v>22</v>
      </c>
      <c r="DC1469" s="37">
        <v>18.23</v>
      </c>
      <c r="DD1469" s="36">
        <v>94</v>
      </c>
      <c r="DE1469" s="37">
        <v>-0.08</v>
      </c>
      <c r="DF1469" s="35">
        <v>-0.42</v>
      </c>
      <c r="DG1469" s="37">
        <v>16.32</v>
      </c>
      <c r="DH1469" s="36">
        <v>93</v>
      </c>
      <c r="DI1469" s="37">
        <v>11.87</v>
      </c>
      <c r="DJ1469" s="36">
        <v>87</v>
      </c>
      <c r="DK1469" s="37">
        <v>17.36</v>
      </c>
      <c r="DL1469" s="36">
        <v>91</v>
      </c>
      <c r="DM1469" s="37">
        <v>15.28</v>
      </c>
      <c r="DN1469" s="36">
        <v>92</v>
      </c>
      <c r="DO1469" s="37">
        <v>20.7</v>
      </c>
      <c r="DP1469" s="36">
        <v>93</v>
      </c>
      <c r="DQ1469" s="36">
        <v>5916</v>
      </c>
      <c r="DR1469" s="38">
        <v>116</v>
      </c>
      <c r="DS1469" s="35">
        <v>2</v>
      </c>
      <c r="DT1469" s="36">
        <v>458</v>
      </c>
      <c r="DU1469" s="38">
        <v>-14</v>
      </c>
      <c r="DV1469" s="35">
        <v>-2.97</v>
      </c>
      <c r="DW1469" s="36">
        <v>7410</v>
      </c>
      <c r="DX1469" s="39">
        <v>2</v>
      </c>
      <c r="DY1469" s="35">
        <v>0.03</v>
      </c>
      <c r="DZ1469" s="28" t="s">
        <v>178</v>
      </c>
      <c r="EA1469" s="34">
        <v>43622</v>
      </c>
      <c r="EB1469" s="29">
        <v>147.52000000000001</v>
      </c>
      <c r="EC1469" s="34">
        <v>42716</v>
      </c>
      <c r="ED1469" s="28" t="s">
        <v>173</v>
      </c>
      <c r="EE1469" s="40" t="str">
        <f>HYPERLINK("https://my.pitchbook.com?c=51618-97", "View company online")</f>
        <v>View company online</v>
      </c>
    </row>
    <row r="1470" spans="1:135">
      <c r="A1470" s="15" t="s">
        <v>28251</v>
      </c>
      <c r="B1470" s="15" t="s">
        <v>28252</v>
      </c>
      <c r="C1470" s="15" t="s">
        <v>138</v>
      </c>
      <c r="D1470" s="15" t="s">
        <v>138</v>
      </c>
      <c r="E1470" s="15" t="s">
        <v>28253</v>
      </c>
      <c r="F1470" s="15" t="s">
        <v>28251</v>
      </c>
      <c r="G1470" s="15" t="s">
        <v>28254</v>
      </c>
      <c r="H1470" s="15" t="s">
        <v>322</v>
      </c>
      <c r="I1470" s="15" t="s">
        <v>323</v>
      </c>
      <c r="J1470" s="15" t="s">
        <v>1132</v>
      </c>
      <c r="K1470" s="15" t="s">
        <v>28255</v>
      </c>
      <c r="L1470" s="15" t="s">
        <v>28256</v>
      </c>
      <c r="M1470" s="15" t="s">
        <v>28257</v>
      </c>
      <c r="N1470" s="15" t="s">
        <v>147</v>
      </c>
      <c r="O1470" s="17">
        <v>51.26</v>
      </c>
      <c r="P1470" s="15" t="s">
        <v>148</v>
      </c>
      <c r="Q1470" s="15" t="s">
        <v>149</v>
      </c>
      <c r="R1470" s="15" t="s">
        <v>244</v>
      </c>
      <c r="S1470" s="15" t="s">
        <v>28258</v>
      </c>
      <c r="T1470" s="18">
        <v>81</v>
      </c>
      <c r="U1470" s="15" t="s">
        <v>28259</v>
      </c>
      <c r="V1470" s="15" t="s">
        <v>138</v>
      </c>
      <c r="W1470" s="15" t="s">
        <v>138</v>
      </c>
      <c r="X1470" s="19">
        <v>2009</v>
      </c>
      <c r="Y1470" s="15" t="s">
        <v>138</v>
      </c>
      <c r="Z1470" s="15" t="s">
        <v>138</v>
      </c>
      <c r="AA1470" s="15" t="s">
        <v>138</v>
      </c>
      <c r="AB1470" s="20" t="s">
        <v>138</v>
      </c>
      <c r="AC1470" s="20" t="s">
        <v>138</v>
      </c>
      <c r="AD1470" s="20" t="s">
        <v>138</v>
      </c>
      <c r="AE1470" s="20" t="s">
        <v>138</v>
      </c>
      <c r="AF1470" s="20" t="s">
        <v>138</v>
      </c>
      <c r="AG1470" s="15" t="s">
        <v>138</v>
      </c>
      <c r="AH1470" s="20" t="s">
        <v>138</v>
      </c>
      <c r="AI1470" s="20" t="s">
        <v>138</v>
      </c>
      <c r="AJ1470" s="20" t="s">
        <v>138</v>
      </c>
      <c r="AK1470" s="15" t="s">
        <v>28260</v>
      </c>
      <c r="AL1470" s="15" t="s">
        <v>28261</v>
      </c>
      <c r="AM1470" s="15" t="s">
        <v>2794</v>
      </c>
      <c r="AN1470" s="15" t="s">
        <v>28262</v>
      </c>
      <c r="AO1470" s="15" t="s">
        <v>28263</v>
      </c>
      <c r="AP1470" s="15" t="s">
        <v>28264</v>
      </c>
      <c r="AQ1470" s="15" t="s">
        <v>28265</v>
      </c>
      <c r="AR1470" s="15" t="s">
        <v>28266</v>
      </c>
      <c r="AS1470" s="15" t="s">
        <v>28267</v>
      </c>
      <c r="AT1470" s="15" t="s">
        <v>28268</v>
      </c>
      <c r="AU1470" s="15" t="s">
        <v>28269</v>
      </c>
      <c r="AV1470" s="15" t="s">
        <v>162</v>
      </c>
      <c r="AW1470" s="15" t="s">
        <v>28263</v>
      </c>
      <c r="AX1470" s="15" t="s">
        <v>138</v>
      </c>
      <c r="AY1470" s="15" t="s">
        <v>28270</v>
      </c>
      <c r="AZ1470" s="15" t="s">
        <v>164</v>
      </c>
      <c r="BA1470" s="15" t="s">
        <v>165</v>
      </c>
      <c r="BB1470" s="15" t="s">
        <v>28271</v>
      </c>
      <c r="BC1470" s="15" t="s">
        <v>28272</v>
      </c>
      <c r="BD1470" s="21">
        <v>20</v>
      </c>
      <c r="BE1470" s="15" t="s">
        <v>138</v>
      </c>
      <c r="BF1470" s="15" t="s">
        <v>138</v>
      </c>
      <c r="BG1470" s="15" t="s">
        <v>138</v>
      </c>
      <c r="BH1470" s="15" t="s">
        <v>28273</v>
      </c>
      <c r="BI1470" s="15" t="s">
        <v>138</v>
      </c>
      <c r="BJ1470" s="15" t="s">
        <v>138</v>
      </c>
      <c r="BK1470" s="15" t="s">
        <v>28274</v>
      </c>
      <c r="BL1470" s="15" t="s">
        <v>28275</v>
      </c>
      <c r="BM1470" s="22">
        <v>40118</v>
      </c>
      <c r="BN1470" s="17">
        <v>0.25</v>
      </c>
      <c r="BO1470" s="15" t="s">
        <v>172</v>
      </c>
      <c r="BP1470" s="17" t="s">
        <v>138</v>
      </c>
      <c r="BQ1470" s="15" t="s">
        <v>138</v>
      </c>
      <c r="BR1470" s="15" t="s">
        <v>262</v>
      </c>
      <c r="BS1470" s="15" t="s">
        <v>262</v>
      </c>
      <c r="BT1470" s="15" t="s">
        <v>138</v>
      </c>
      <c r="BU1470" s="15" t="s">
        <v>263</v>
      </c>
      <c r="BV1470" s="15" t="s">
        <v>138</v>
      </c>
      <c r="BW1470" s="15" t="s">
        <v>138</v>
      </c>
      <c r="BX1470" s="15" t="s">
        <v>138</v>
      </c>
      <c r="BY1470" s="15" t="s">
        <v>175</v>
      </c>
      <c r="BZ1470" s="22" t="s">
        <v>138</v>
      </c>
      <c r="CA1470" s="17" t="s">
        <v>138</v>
      </c>
      <c r="CB1470" s="15" t="s">
        <v>138</v>
      </c>
      <c r="CC1470" s="17" t="s">
        <v>138</v>
      </c>
      <c r="CD1470" s="15" t="s">
        <v>138</v>
      </c>
      <c r="CE1470" s="15" t="s">
        <v>173</v>
      </c>
      <c r="CF1470" s="15" t="s">
        <v>138</v>
      </c>
      <c r="CG1470" s="15" t="s">
        <v>138</v>
      </c>
      <c r="CH1470" s="15" t="s">
        <v>174</v>
      </c>
      <c r="CI1470" s="15" t="s">
        <v>138</v>
      </c>
      <c r="CJ1470" s="15" t="s">
        <v>138</v>
      </c>
      <c r="CK1470" s="15" t="s">
        <v>138</v>
      </c>
      <c r="CL1470" s="15" t="s">
        <v>175</v>
      </c>
      <c r="CM1470" s="22">
        <v>41495</v>
      </c>
      <c r="CN1470" s="17" t="s">
        <v>138</v>
      </c>
      <c r="CO1470" s="23">
        <v>-1.64</v>
      </c>
      <c r="CP1470" s="24">
        <v>7</v>
      </c>
      <c r="CQ1470" s="23">
        <v>0</v>
      </c>
      <c r="CR1470" s="23">
        <v>0.18</v>
      </c>
      <c r="CS1470" s="23">
        <v>-3.26</v>
      </c>
      <c r="CT1470" s="24">
        <v>5</v>
      </c>
      <c r="CU1470" s="23">
        <v>-0.03</v>
      </c>
      <c r="CV1470" s="24">
        <v>14</v>
      </c>
      <c r="CW1470" s="23">
        <v>-4.67</v>
      </c>
      <c r="CX1470" s="24">
        <v>3</v>
      </c>
      <c r="CY1470" s="23">
        <v>-1.84</v>
      </c>
      <c r="CZ1470" s="24">
        <v>12</v>
      </c>
      <c r="DA1470" s="23">
        <v>-0.03</v>
      </c>
      <c r="DB1470" s="24">
        <v>17</v>
      </c>
      <c r="DC1470" s="25">
        <v>83.25</v>
      </c>
      <c r="DD1470" s="24">
        <v>99</v>
      </c>
      <c r="DE1470" s="25">
        <v>-1.83</v>
      </c>
      <c r="DF1470" s="23">
        <v>-2.15</v>
      </c>
      <c r="DG1470" s="25">
        <v>93.4</v>
      </c>
      <c r="DH1470" s="24">
        <v>99</v>
      </c>
      <c r="DI1470" s="25">
        <v>73.09</v>
      </c>
      <c r="DJ1470" s="24">
        <v>96</v>
      </c>
      <c r="DK1470" s="25">
        <v>66.319999999999993</v>
      </c>
      <c r="DL1470" s="24">
        <v>97</v>
      </c>
      <c r="DM1470" s="25">
        <v>120.48</v>
      </c>
      <c r="DN1470" s="24">
        <v>100</v>
      </c>
      <c r="DO1470" s="25">
        <v>73.09</v>
      </c>
      <c r="DP1470" s="24">
        <v>97</v>
      </c>
      <c r="DQ1470" s="24">
        <v>22671</v>
      </c>
      <c r="DR1470" s="26">
        <v>228</v>
      </c>
      <c r="DS1470" s="23">
        <v>1.02</v>
      </c>
      <c r="DT1470" s="24">
        <v>3491</v>
      </c>
      <c r="DU1470" s="26">
        <v>6</v>
      </c>
      <c r="DV1470" s="23">
        <v>0.17</v>
      </c>
      <c r="DW1470" s="24">
        <v>26155</v>
      </c>
      <c r="DX1470" s="27">
        <v>9</v>
      </c>
      <c r="DY1470" s="23">
        <v>0.03</v>
      </c>
      <c r="DZ1470" s="15" t="s">
        <v>178</v>
      </c>
      <c r="EA1470" s="22">
        <v>43399</v>
      </c>
      <c r="EB1470" s="17">
        <v>45</v>
      </c>
      <c r="EC1470" s="22">
        <v>43143</v>
      </c>
      <c r="ED1470" s="15" t="s">
        <v>173</v>
      </c>
      <c r="EE1470" s="14" t="str">
        <f>HYPERLINK("https://my.pitchbook.com?c=53351-47", "View company online")</f>
        <v>View company online</v>
      </c>
    </row>
    <row r="1471" spans="1:135">
      <c r="A1471" s="28" t="s">
        <v>28276</v>
      </c>
      <c r="B1471" s="28" t="s">
        <v>28277</v>
      </c>
      <c r="C1471" s="28" t="s">
        <v>138</v>
      </c>
      <c r="D1471" s="28" t="s">
        <v>138</v>
      </c>
      <c r="E1471" s="28" t="s">
        <v>138</v>
      </c>
      <c r="F1471" s="28" t="s">
        <v>28276</v>
      </c>
      <c r="G1471" s="28" t="s">
        <v>28278</v>
      </c>
      <c r="H1471" s="28" t="s">
        <v>322</v>
      </c>
      <c r="I1471" s="28" t="s">
        <v>323</v>
      </c>
      <c r="J1471" s="28" t="s">
        <v>413</v>
      </c>
      <c r="K1471" s="28" t="s">
        <v>28279</v>
      </c>
      <c r="L1471" s="28" t="s">
        <v>7293</v>
      </c>
      <c r="M1471" s="28" t="s">
        <v>28280</v>
      </c>
      <c r="N1471" s="28" t="s">
        <v>147</v>
      </c>
      <c r="O1471" s="29">
        <v>80</v>
      </c>
      <c r="P1471" s="28" t="s">
        <v>148</v>
      </c>
      <c r="Q1471" s="28" t="s">
        <v>149</v>
      </c>
      <c r="R1471" s="28" t="s">
        <v>174</v>
      </c>
      <c r="S1471" s="28" t="s">
        <v>28281</v>
      </c>
      <c r="T1471" s="30">
        <v>201</v>
      </c>
      <c r="U1471" s="28" t="s">
        <v>16256</v>
      </c>
      <c r="V1471" s="28" t="s">
        <v>138</v>
      </c>
      <c r="W1471" s="28" t="s">
        <v>138</v>
      </c>
      <c r="X1471" s="31">
        <v>2015</v>
      </c>
      <c r="Y1471" s="28" t="s">
        <v>138</v>
      </c>
      <c r="Z1471" s="28" t="s">
        <v>138</v>
      </c>
      <c r="AA1471" s="28" t="s">
        <v>138</v>
      </c>
      <c r="AB1471" s="32" t="s">
        <v>138</v>
      </c>
      <c r="AC1471" s="32" t="s">
        <v>138</v>
      </c>
      <c r="AD1471" s="32" t="s">
        <v>138</v>
      </c>
      <c r="AE1471" s="32" t="s">
        <v>138</v>
      </c>
      <c r="AF1471" s="32" t="s">
        <v>138</v>
      </c>
      <c r="AG1471" s="28" t="s">
        <v>138</v>
      </c>
      <c r="AH1471" s="32" t="s">
        <v>138</v>
      </c>
      <c r="AI1471" s="32" t="s">
        <v>138</v>
      </c>
      <c r="AJ1471" s="32" t="s">
        <v>138</v>
      </c>
      <c r="AK1471" s="28" t="s">
        <v>28282</v>
      </c>
      <c r="AL1471" s="28" t="s">
        <v>28283</v>
      </c>
      <c r="AM1471" s="28" t="s">
        <v>10648</v>
      </c>
      <c r="AN1471" s="28" t="s">
        <v>28284</v>
      </c>
      <c r="AO1471" s="28" t="s">
        <v>28285</v>
      </c>
      <c r="AP1471" s="28" t="s">
        <v>446</v>
      </c>
      <c r="AQ1471" s="28" t="s">
        <v>138</v>
      </c>
      <c r="AR1471" s="28" t="s">
        <v>138</v>
      </c>
      <c r="AS1471" s="28" t="s">
        <v>449</v>
      </c>
      <c r="AT1471" s="28" t="s">
        <v>138</v>
      </c>
      <c r="AU1471" s="28" t="s">
        <v>138</v>
      </c>
      <c r="AV1471" s="28" t="s">
        <v>450</v>
      </c>
      <c r="AW1471" s="28" t="s">
        <v>28285</v>
      </c>
      <c r="AX1471" s="28" t="s">
        <v>138</v>
      </c>
      <c r="AY1471" s="28" t="s">
        <v>138</v>
      </c>
      <c r="AZ1471" s="28" t="s">
        <v>452</v>
      </c>
      <c r="BA1471" s="28" t="s">
        <v>453</v>
      </c>
      <c r="BB1471" s="28" t="s">
        <v>28286</v>
      </c>
      <c r="BC1471" s="28" t="s">
        <v>28287</v>
      </c>
      <c r="BD1471" s="33">
        <v>9</v>
      </c>
      <c r="BE1471" s="28" t="s">
        <v>138</v>
      </c>
      <c r="BF1471" s="28" t="s">
        <v>138</v>
      </c>
      <c r="BG1471" s="28" t="s">
        <v>138</v>
      </c>
      <c r="BH1471" s="28" t="s">
        <v>28288</v>
      </c>
      <c r="BI1471" s="28" t="s">
        <v>138</v>
      </c>
      <c r="BJ1471" s="28" t="s">
        <v>138</v>
      </c>
      <c r="BK1471" s="28" t="s">
        <v>138</v>
      </c>
      <c r="BL1471" s="28" t="s">
        <v>138</v>
      </c>
      <c r="BM1471" s="34">
        <v>42325</v>
      </c>
      <c r="BN1471" s="29">
        <v>40</v>
      </c>
      <c r="BO1471" s="28" t="s">
        <v>172</v>
      </c>
      <c r="BP1471" s="29" t="s">
        <v>138</v>
      </c>
      <c r="BQ1471" s="28" t="s">
        <v>138</v>
      </c>
      <c r="BR1471" s="28" t="s">
        <v>205</v>
      </c>
      <c r="BS1471" s="28" t="s">
        <v>206</v>
      </c>
      <c r="BT1471" s="28" t="s">
        <v>138</v>
      </c>
      <c r="BU1471" s="28" t="s">
        <v>174</v>
      </c>
      <c r="BV1471" s="28" t="s">
        <v>138</v>
      </c>
      <c r="BW1471" s="28" t="s">
        <v>138</v>
      </c>
      <c r="BX1471" s="28" t="s">
        <v>138</v>
      </c>
      <c r="BY1471" s="28" t="s">
        <v>175</v>
      </c>
      <c r="BZ1471" s="34">
        <v>42662</v>
      </c>
      <c r="CA1471" s="29">
        <v>40</v>
      </c>
      <c r="CB1471" s="28" t="s">
        <v>172</v>
      </c>
      <c r="CC1471" s="29" t="s">
        <v>138</v>
      </c>
      <c r="CD1471" s="28" t="s">
        <v>138</v>
      </c>
      <c r="CE1471" s="28" t="s">
        <v>205</v>
      </c>
      <c r="CF1471" s="28" t="s">
        <v>720</v>
      </c>
      <c r="CG1471" s="28" t="s">
        <v>138</v>
      </c>
      <c r="CH1471" s="28" t="s">
        <v>174</v>
      </c>
      <c r="CI1471" s="28" t="s">
        <v>138</v>
      </c>
      <c r="CJ1471" s="28" t="s">
        <v>138</v>
      </c>
      <c r="CK1471" s="28" t="s">
        <v>138</v>
      </c>
      <c r="CL1471" s="28" t="s">
        <v>175</v>
      </c>
      <c r="CM1471" s="34" t="s">
        <v>138</v>
      </c>
      <c r="CN1471" s="29" t="s">
        <v>138</v>
      </c>
      <c r="CO1471" s="35">
        <v>-0.59</v>
      </c>
      <c r="CP1471" s="36">
        <v>15</v>
      </c>
      <c r="CQ1471" s="35">
        <v>-0.01</v>
      </c>
      <c r="CR1471" s="35">
        <v>-2.12</v>
      </c>
      <c r="CS1471" s="35">
        <v>-0.59</v>
      </c>
      <c r="CT1471" s="36">
        <v>19</v>
      </c>
      <c r="CU1471" s="35" t="s">
        <v>138</v>
      </c>
      <c r="CV1471" s="36" t="s">
        <v>138</v>
      </c>
      <c r="CW1471" s="35">
        <v>1.42</v>
      </c>
      <c r="CX1471" s="36">
        <v>86</v>
      </c>
      <c r="CY1471" s="35">
        <v>-2.59</v>
      </c>
      <c r="CZ1471" s="36">
        <v>8</v>
      </c>
      <c r="DA1471" s="35" t="s">
        <v>138</v>
      </c>
      <c r="DB1471" s="36" t="s">
        <v>138</v>
      </c>
      <c r="DC1471" s="37">
        <v>18.8</v>
      </c>
      <c r="DD1471" s="36">
        <v>94</v>
      </c>
      <c r="DE1471" s="37">
        <v>-0.36</v>
      </c>
      <c r="DF1471" s="35">
        <v>-1.86</v>
      </c>
      <c r="DG1471" s="37">
        <v>18.8</v>
      </c>
      <c r="DH1471" s="36">
        <v>94</v>
      </c>
      <c r="DI1471" s="37" t="s">
        <v>138</v>
      </c>
      <c r="DJ1471" s="36" t="s">
        <v>138</v>
      </c>
      <c r="DK1471" s="37">
        <v>3.4</v>
      </c>
      <c r="DL1471" s="36">
        <v>74</v>
      </c>
      <c r="DM1471" s="37">
        <v>34.21</v>
      </c>
      <c r="DN1471" s="36">
        <v>97</v>
      </c>
      <c r="DO1471" s="37" t="s">
        <v>138</v>
      </c>
      <c r="DP1471" s="36" t="s">
        <v>138</v>
      </c>
      <c r="DQ1471" s="36">
        <v>1114</v>
      </c>
      <c r="DR1471" s="38">
        <v>153</v>
      </c>
      <c r="DS1471" s="35">
        <v>15.92</v>
      </c>
      <c r="DT1471" s="36">
        <v>995</v>
      </c>
      <c r="DU1471" s="38">
        <v>-6</v>
      </c>
      <c r="DV1471" s="35">
        <v>-0.6</v>
      </c>
      <c r="DW1471" s="36" t="s">
        <v>138</v>
      </c>
      <c r="DX1471" s="39" t="s">
        <v>138</v>
      </c>
      <c r="DY1471" s="35" t="s">
        <v>138</v>
      </c>
      <c r="DZ1471" s="28" t="s">
        <v>178</v>
      </c>
      <c r="EA1471" s="34">
        <v>43351</v>
      </c>
      <c r="EB1471" s="29" t="s">
        <v>138</v>
      </c>
      <c r="EC1471" s="34" t="s">
        <v>138</v>
      </c>
      <c r="ED1471" s="28" t="s">
        <v>138</v>
      </c>
      <c r="EE1471" s="40" t="str">
        <f>HYPERLINK("https://my.pitchbook.com?c=140800-42", "View company online")</f>
        <v>View company online</v>
      </c>
    </row>
    <row r="1472" spans="1:135">
      <c r="A1472" s="15" t="s">
        <v>28289</v>
      </c>
      <c r="B1472" s="15" t="s">
        <v>28290</v>
      </c>
      <c r="C1472" s="15" t="s">
        <v>138</v>
      </c>
      <c r="D1472" s="15" t="s">
        <v>138</v>
      </c>
      <c r="E1472" s="15" t="s">
        <v>28291</v>
      </c>
      <c r="F1472" s="15" t="s">
        <v>28289</v>
      </c>
      <c r="G1472" s="15" t="s">
        <v>28292</v>
      </c>
      <c r="H1472" s="15" t="s">
        <v>322</v>
      </c>
      <c r="I1472" s="15" t="s">
        <v>323</v>
      </c>
      <c r="J1472" s="15" t="s">
        <v>2084</v>
      </c>
      <c r="K1472" s="15" t="s">
        <v>28293</v>
      </c>
      <c r="L1472" s="15" t="s">
        <v>242</v>
      </c>
      <c r="M1472" s="15" t="s">
        <v>28294</v>
      </c>
      <c r="N1472" s="15" t="s">
        <v>147</v>
      </c>
      <c r="O1472" s="17">
        <v>15.23</v>
      </c>
      <c r="P1472" s="15" t="s">
        <v>148</v>
      </c>
      <c r="Q1472" s="15" t="s">
        <v>149</v>
      </c>
      <c r="R1472" s="15" t="s">
        <v>174</v>
      </c>
      <c r="S1472" s="15" t="s">
        <v>28295</v>
      </c>
      <c r="T1472" s="18">
        <v>27</v>
      </c>
      <c r="U1472" s="15" t="s">
        <v>28296</v>
      </c>
      <c r="V1472" s="15" t="s">
        <v>138</v>
      </c>
      <c r="W1472" s="15" t="s">
        <v>138</v>
      </c>
      <c r="X1472" s="19">
        <v>2013</v>
      </c>
      <c r="Y1472" s="15" t="s">
        <v>138</v>
      </c>
      <c r="Z1472" s="15" t="s">
        <v>138</v>
      </c>
      <c r="AA1472" s="15" t="s">
        <v>138</v>
      </c>
      <c r="AB1472" s="20" t="s">
        <v>138</v>
      </c>
      <c r="AC1472" s="20" t="s">
        <v>138</v>
      </c>
      <c r="AD1472" s="20" t="s">
        <v>138</v>
      </c>
      <c r="AE1472" s="20" t="s">
        <v>138</v>
      </c>
      <c r="AF1472" s="20" t="s">
        <v>138</v>
      </c>
      <c r="AG1472" s="15" t="s">
        <v>138</v>
      </c>
      <c r="AH1472" s="20" t="s">
        <v>138</v>
      </c>
      <c r="AI1472" s="20" t="s">
        <v>138</v>
      </c>
      <c r="AJ1472" s="20" t="s">
        <v>138</v>
      </c>
      <c r="AK1472" s="15" t="s">
        <v>28297</v>
      </c>
      <c r="AL1472" s="15" t="s">
        <v>28298</v>
      </c>
      <c r="AM1472" s="15" t="s">
        <v>5715</v>
      </c>
      <c r="AN1472" s="15" t="s">
        <v>28299</v>
      </c>
      <c r="AO1472" s="15" t="s">
        <v>138</v>
      </c>
      <c r="AP1472" s="15" t="s">
        <v>941</v>
      </c>
      <c r="AQ1472" s="15" t="s">
        <v>28300</v>
      </c>
      <c r="AR1472" s="15" t="s">
        <v>138</v>
      </c>
      <c r="AS1472" s="15" t="s">
        <v>944</v>
      </c>
      <c r="AT1472" s="15" t="s">
        <v>138</v>
      </c>
      <c r="AU1472" s="15" t="s">
        <v>28301</v>
      </c>
      <c r="AV1472" s="15" t="s">
        <v>946</v>
      </c>
      <c r="AW1472" s="15" t="s">
        <v>138</v>
      </c>
      <c r="AX1472" s="15" t="s">
        <v>28302</v>
      </c>
      <c r="AY1472" s="15" t="s">
        <v>28303</v>
      </c>
      <c r="AZ1472" s="15" t="s">
        <v>530</v>
      </c>
      <c r="BA1472" s="15" t="s">
        <v>531</v>
      </c>
      <c r="BB1472" s="15" t="s">
        <v>28304</v>
      </c>
      <c r="BC1472" s="15" t="s">
        <v>28305</v>
      </c>
      <c r="BD1472" s="21">
        <v>9</v>
      </c>
      <c r="BE1472" s="15" t="s">
        <v>138</v>
      </c>
      <c r="BF1472" s="15" t="s">
        <v>138</v>
      </c>
      <c r="BG1472" s="15" t="s">
        <v>138</v>
      </c>
      <c r="BH1472" s="15" t="s">
        <v>28306</v>
      </c>
      <c r="BI1472" s="15" t="s">
        <v>138</v>
      </c>
      <c r="BJ1472" s="15" t="s">
        <v>138</v>
      </c>
      <c r="BK1472" s="15" t="s">
        <v>3826</v>
      </c>
      <c r="BL1472" s="15" t="s">
        <v>3826</v>
      </c>
      <c r="BM1472" s="22" t="s">
        <v>138</v>
      </c>
      <c r="BN1472" s="17" t="s">
        <v>138</v>
      </c>
      <c r="BO1472" s="15" t="s">
        <v>138</v>
      </c>
      <c r="BP1472" s="17" t="s">
        <v>138</v>
      </c>
      <c r="BQ1472" s="15" t="s">
        <v>138</v>
      </c>
      <c r="BR1472" s="15" t="s">
        <v>234</v>
      </c>
      <c r="BS1472" s="15" t="s">
        <v>234</v>
      </c>
      <c r="BT1472" s="15" t="s">
        <v>138</v>
      </c>
      <c r="BU1472" s="15" t="s">
        <v>174</v>
      </c>
      <c r="BV1472" s="15" t="s">
        <v>138</v>
      </c>
      <c r="BW1472" s="15" t="s">
        <v>138</v>
      </c>
      <c r="BX1472" s="15" t="s">
        <v>138</v>
      </c>
      <c r="BY1472" s="15" t="s">
        <v>175</v>
      </c>
      <c r="BZ1472" s="22" t="s">
        <v>138</v>
      </c>
      <c r="CA1472" s="17" t="s">
        <v>138</v>
      </c>
      <c r="CB1472" s="15" t="s">
        <v>138</v>
      </c>
      <c r="CC1472" s="17" t="s">
        <v>138</v>
      </c>
      <c r="CD1472" s="15" t="s">
        <v>138</v>
      </c>
      <c r="CE1472" s="15" t="s">
        <v>316</v>
      </c>
      <c r="CF1472" s="15" t="s">
        <v>138</v>
      </c>
      <c r="CG1472" s="15" t="s">
        <v>138</v>
      </c>
      <c r="CH1472" s="15" t="s">
        <v>177</v>
      </c>
      <c r="CI1472" s="15" t="s">
        <v>138</v>
      </c>
      <c r="CJ1472" s="15" t="s">
        <v>138</v>
      </c>
      <c r="CK1472" s="15" t="s">
        <v>138</v>
      </c>
      <c r="CL1472" s="15" t="s">
        <v>175</v>
      </c>
      <c r="CM1472" s="22" t="s">
        <v>138</v>
      </c>
      <c r="CN1472" s="17" t="s">
        <v>138</v>
      </c>
      <c r="CO1472" s="23">
        <v>3.45</v>
      </c>
      <c r="CP1472" s="24">
        <v>100</v>
      </c>
      <c r="CQ1472" s="23">
        <v>-0.05</v>
      </c>
      <c r="CR1472" s="23">
        <v>-1.4</v>
      </c>
      <c r="CS1472" s="23">
        <v>6.88</v>
      </c>
      <c r="CT1472" s="24">
        <v>100</v>
      </c>
      <c r="CU1472" s="23">
        <v>-0.05</v>
      </c>
      <c r="CV1472" s="24">
        <v>9</v>
      </c>
      <c r="CW1472" s="23">
        <v>6.88</v>
      </c>
      <c r="CX1472" s="24">
        <v>98</v>
      </c>
      <c r="CY1472" s="23" t="s">
        <v>138</v>
      </c>
      <c r="CZ1472" s="24" t="s">
        <v>138</v>
      </c>
      <c r="DA1472" s="23">
        <v>-0.05</v>
      </c>
      <c r="DB1472" s="24">
        <v>13</v>
      </c>
      <c r="DC1472" s="25">
        <v>1041.96</v>
      </c>
      <c r="DD1472" s="24">
        <v>100</v>
      </c>
      <c r="DE1472" s="25">
        <v>21.12</v>
      </c>
      <c r="DF1472" s="23">
        <v>2.0699999999999998</v>
      </c>
      <c r="DG1472" s="25">
        <v>51.03</v>
      </c>
      <c r="DH1472" s="24">
        <v>98</v>
      </c>
      <c r="DI1472" s="25">
        <v>1927.06</v>
      </c>
      <c r="DJ1472" s="24">
        <v>100</v>
      </c>
      <c r="DK1472" s="25">
        <v>51.03</v>
      </c>
      <c r="DL1472" s="24">
        <v>96</v>
      </c>
      <c r="DM1472" s="25" t="s">
        <v>138</v>
      </c>
      <c r="DN1472" s="24" t="s">
        <v>138</v>
      </c>
      <c r="DO1472" s="25">
        <v>114.3</v>
      </c>
      <c r="DP1472" s="24">
        <v>98</v>
      </c>
      <c r="DQ1472" s="24">
        <v>17175</v>
      </c>
      <c r="DR1472" s="26">
        <v>978</v>
      </c>
      <c r="DS1472" s="23">
        <v>6.04</v>
      </c>
      <c r="DT1472" s="24" t="s">
        <v>138</v>
      </c>
      <c r="DU1472" s="26" t="s">
        <v>138</v>
      </c>
      <c r="DV1472" s="23" t="s">
        <v>138</v>
      </c>
      <c r="DW1472" s="24">
        <v>40930</v>
      </c>
      <c r="DX1472" s="27">
        <v>-7</v>
      </c>
      <c r="DY1472" s="23">
        <v>-0.02</v>
      </c>
      <c r="DZ1472" s="15" t="s">
        <v>178</v>
      </c>
      <c r="EA1472" s="22">
        <v>43448</v>
      </c>
      <c r="EB1472" s="17" t="s">
        <v>138</v>
      </c>
      <c r="EC1472" s="22" t="s">
        <v>138</v>
      </c>
      <c r="ED1472" s="15" t="s">
        <v>138</v>
      </c>
      <c r="EE1472" s="14" t="str">
        <f>HYPERLINK("https://my.pitchbook.com?c=99936-10", "View company online")</f>
        <v>View company online</v>
      </c>
    </row>
    <row r="1473" spans="1:135">
      <c r="A1473" s="28" t="s">
        <v>28307</v>
      </c>
      <c r="B1473" s="28" t="s">
        <v>28308</v>
      </c>
      <c r="C1473" s="28" t="s">
        <v>28309</v>
      </c>
      <c r="D1473" s="28" t="s">
        <v>138</v>
      </c>
      <c r="E1473" s="28" t="s">
        <v>28310</v>
      </c>
      <c r="F1473" s="28" t="s">
        <v>28307</v>
      </c>
      <c r="G1473" s="28" t="s">
        <v>28311</v>
      </c>
      <c r="H1473" s="28" t="s">
        <v>238</v>
      </c>
      <c r="I1473" s="28" t="s">
        <v>2662</v>
      </c>
      <c r="J1473" s="28" t="s">
        <v>4479</v>
      </c>
      <c r="K1473" s="28" t="s">
        <v>28312</v>
      </c>
      <c r="L1473" s="28" t="s">
        <v>4703</v>
      </c>
      <c r="M1473" s="28" t="s">
        <v>28313</v>
      </c>
      <c r="N1473" s="28" t="s">
        <v>147</v>
      </c>
      <c r="O1473" s="29">
        <v>14.62</v>
      </c>
      <c r="P1473" s="28" t="s">
        <v>148</v>
      </c>
      <c r="Q1473" s="28" t="s">
        <v>149</v>
      </c>
      <c r="R1473" s="28" t="s">
        <v>174</v>
      </c>
      <c r="S1473" s="28" t="s">
        <v>28314</v>
      </c>
      <c r="T1473" s="30">
        <v>15</v>
      </c>
      <c r="U1473" s="28" t="s">
        <v>28315</v>
      </c>
      <c r="V1473" s="28" t="s">
        <v>138</v>
      </c>
      <c r="W1473" s="28" t="s">
        <v>138</v>
      </c>
      <c r="X1473" s="31">
        <v>2012</v>
      </c>
      <c r="Y1473" s="28" t="s">
        <v>138</v>
      </c>
      <c r="Z1473" s="28" t="s">
        <v>138</v>
      </c>
      <c r="AA1473" s="28" t="s">
        <v>138</v>
      </c>
      <c r="AB1473" s="32">
        <v>15.8</v>
      </c>
      <c r="AC1473" s="32" t="s">
        <v>138</v>
      </c>
      <c r="AD1473" s="32" t="s">
        <v>138</v>
      </c>
      <c r="AE1473" s="32" t="s">
        <v>138</v>
      </c>
      <c r="AF1473" s="32" t="s">
        <v>138</v>
      </c>
      <c r="AG1473" s="28" t="s">
        <v>815</v>
      </c>
      <c r="AH1473" s="32" t="s">
        <v>138</v>
      </c>
      <c r="AI1473" s="32" t="s">
        <v>138</v>
      </c>
      <c r="AJ1473" s="32" t="s">
        <v>138</v>
      </c>
      <c r="AK1473" s="28" t="s">
        <v>28316</v>
      </c>
      <c r="AL1473" s="28" t="s">
        <v>28317</v>
      </c>
      <c r="AM1473" s="28" t="s">
        <v>28318</v>
      </c>
      <c r="AN1473" s="28" t="s">
        <v>28319</v>
      </c>
      <c r="AO1473" s="28" t="s">
        <v>28320</v>
      </c>
      <c r="AP1473" s="28" t="s">
        <v>1870</v>
      </c>
      <c r="AQ1473" s="28" t="s">
        <v>28321</v>
      </c>
      <c r="AR1473" s="28" t="s">
        <v>138</v>
      </c>
      <c r="AS1473" s="28" t="s">
        <v>1872</v>
      </c>
      <c r="AT1473" s="28" t="s">
        <v>200</v>
      </c>
      <c r="AU1473" s="28" t="s">
        <v>28322</v>
      </c>
      <c r="AV1473" s="28" t="s">
        <v>162</v>
      </c>
      <c r="AW1473" s="28" t="s">
        <v>28320</v>
      </c>
      <c r="AX1473" s="28" t="s">
        <v>138</v>
      </c>
      <c r="AY1473" s="28" t="s">
        <v>28323</v>
      </c>
      <c r="AZ1473" s="28" t="s">
        <v>164</v>
      </c>
      <c r="BA1473" s="28" t="s">
        <v>165</v>
      </c>
      <c r="BB1473" s="28" t="s">
        <v>28324</v>
      </c>
      <c r="BC1473" s="28" t="s">
        <v>28325</v>
      </c>
      <c r="BD1473" s="33">
        <v>25</v>
      </c>
      <c r="BE1473" s="28" t="s">
        <v>138</v>
      </c>
      <c r="BF1473" s="28" t="s">
        <v>138</v>
      </c>
      <c r="BG1473" s="28" t="s">
        <v>138</v>
      </c>
      <c r="BH1473" s="28" t="s">
        <v>28326</v>
      </c>
      <c r="BI1473" s="28" t="s">
        <v>138</v>
      </c>
      <c r="BJ1473" s="28" t="s">
        <v>138</v>
      </c>
      <c r="BK1473" s="28" t="s">
        <v>28327</v>
      </c>
      <c r="BL1473" s="28" t="s">
        <v>28328</v>
      </c>
      <c r="BM1473" s="34">
        <v>41153</v>
      </c>
      <c r="BN1473" s="29">
        <v>0.1</v>
      </c>
      <c r="BO1473" s="28" t="s">
        <v>172</v>
      </c>
      <c r="BP1473" s="29" t="s">
        <v>138</v>
      </c>
      <c r="BQ1473" s="28" t="s">
        <v>138</v>
      </c>
      <c r="BR1473" s="28" t="s">
        <v>262</v>
      </c>
      <c r="BS1473" s="28" t="s">
        <v>262</v>
      </c>
      <c r="BT1473" s="28" t="s">
        <v>138</v>
      </c>
      <c r="BU1473" s="28" t="s">
        <v>263</v>
      </c>
      <c r="BV1473" s="28" t="s">
        <v>138</v>
      </c>
      <c r="BW1473" s="28" t="s">
        <v>138</v>
      </c>
      <c r="BX1473" s="28" t="s">
        <v>138</v>
      </c>
      <c r="BY1473" s="28" t="s">
        <v>175</v>
      </c>
      <c r="BZ1473" s="34">
        <v>43397</v>
      </c>
      <c r="CA1473" s="29">
        <v>1.62</v>
      </c>
      <c r="CB1473" s="28" t="s">
        <v>172</v>
      </c>
      <c r="CC1473" s="29">
        <v>36.619999999999997</v>
      </c>
      <c r="CD1473" s="28" t="s">
        <v>172</v>
      </c>
      <c r="CE1473" s="28" t="s">
        <v>262</v>
      </c>
      <c r="CF1473" s="28" t="s">
        <v>7446</v>
      </c>
      <c r="CG1473" s="28" t="s">
        <v>138</v>
      </c>
      <c r="CH1473" s="28" t="s">
        <v>263</v>
      </c>
      <c r="CI1473" s="28" t="s">
        <v>138</v>
      </c>
      <c r="CJ1473" s="28" t="s">
        <v>138</v>
      </c>
      <c r="CK1473" s="28" t="s">
        <v>138</v>
      </c>
      <c r="CL1473" s="28" t="s">
        <v>175</v>
      </c>
      <c r="CM1473" s="34" t="s">
        <v>138</v>
      </c>
      <c r="CN1473" s="29" t="s">
        <v>138</v>
      </c>
      <c r="CO1473" s="35">
        <v>-0.92</v>
      </c>
      <c r="CP1473" s="36">
        <v>12</v>
      </c>
      <c r="CQ1473" s="35">
        <v>0.03</v>
      </c>
      <c r="CR1473" s="35">
        <v>3.26</v>
      </c>
      <c r="CS1473" s="35">
        <v>-1.9</v>
      </c>
      <c r="CT1473" s="36">
        <v>9</v>
      </c>
      <c r="CU1473" s="35">
        <v>7.0000000000000007E-2</v>
      </c>
      <c r="CV1473" s="36">
        <v>62</v>
      </c>
      <c r="CW1473" s="35">
        <v>-1.9</v>
      </c>
      <c r="CX1473" s="36">
        <v>7</v>
      </c>
      <c r="CY1473" s="35" t="s">
        <v>138</v>
      </c>
      <c r="CZ1473" s="36" t="s">
        <v>138</v>
      </c>
      <c r="DA1473" s="35">
        <v>7.0000000000000007E-2</v>
      </c>
      <c r="DB1473" s="36">
        <v>67</v>
      </c>
      <c r="DC1473" s="37">
        <v>62.35</v>
      </c>
      <c r="DD1473" s="36">
        <v>98</v>
      </c>
      <c r="DE1473" s="37">
        <v>-46.05</v>
      </c>
      <c r="DF1473" s="35">
        <v>-42.48</v>
      </c>
      <c r="DG1473" s="37">
        <v>119.11</v>
      </c>
      <c r="DH1473" s="36">
        <v>100</v>
      </c>
      <c r="DI1473" s="37">
        <v>5.59</v>
      </c>
      <c r="DJ1473" s="36">
        <v>79</v>
      </c>
      <c r="DK1473" s="37">
        <v>119.11</v>
      </c>
      <c r="DL1473" s="36">
        <v>98</v>
      </c>
      <c r="DM1473" s="37" t="s">
        <v>138</v>
      </c>
      <c r="DN1473" s="36" t="s">
        <v>138</v>
      </c>
      <c r="DO1473" s="37">
        <v>5.59</v>
      </c>
      <c r="DP1473" s="36">
        <v>81</v>
      </c>
      <c r="DQ1473" s="36">
        <v>41212</v>
      </c>
      <c r="DR1473" s="38">
        <v>-1071</v>
      </c>
      <c r="DS1473" s="35">
        <v>-2.5299999999999998</v>
      </c>
      <c r="DT1473" s="36" t="s">
        <v>138</v>
      </c>
      <c r="DU1473" s="38" t="s">
        <v>138</v>
      </c>
      <c r="DV1473" s="35" t="s">
        <v>138</v>
      </c>
      <c r="DW1473" s="36">
        <v>2001</v>
      </c>
      <c r="DX1473" s="39">
        <v>-1</v>
      </c>
      <c r="DY1473" s="35">
        <v>-0.05</v>
      </c>
      <c r="DZ1473" s="28" t="s">
        <v>178</v>
      </c>
      <c r="EA1473" s="34">
        <v>43432</v>
      </c>
      <c r="EB1473" s="29">
        <v>36.619999999999997</v>
      </c>
      <c r="EC1473" s="34">
        <v>43397</v>
      </c>
      <c r="ED1473" s="28" t="s">
        <v>262</v>
      </c>
      <c r="EE1473" s="40" t="str">
        <f>HYPERLINK("https://my.pitchbook.com?c=56611-00", "View company online")</f>
        <v>View company online</v>
      </c>
    </row>
    <row r="1474" spans="1:135">
      <c r="A1474" s="15" t="s">
        <v>28329</v>
      </c>
      <c r="B1474" s="15" t="s">
        <v>28330</v>
      </c>
      <c r="C1474" s="15" t="s">
        <v>138</v>
      </c>
      <c r="D1474" s="15" t="s">
        <v>138</v>
      </c>
      <c r="E1474" s="15" t="s">
        <v>28331</v>
      </c>
      <c r="F1474" s="15" t="s">
        <v>28329</v>
      </c>
      <c r="G1474" s="15" t="s">
        <v>28332</v>
      </c>
      <c r="H1474" s="15" t="s">
        <v>322</v>
      </c>
      <c r="I1474" s="15" t="s">
        <v>323</v>
      </c>
      <c r="J1474" s="15" t="s">
        <v>413</v>
      </c>
      <c r="K1474" s="15" t="s">
        <v>6827</v>
      </c>
      <c r="L1474" s="15" t="s">
        <v>8711</v>
      </c>
      <c r="M1474" s="15" t="s">
        <v>28333</v>
      </c>
      <c r="N1474" s="15" t="s">
        <v>147</v>
      </c>
      <c r="O1474" s="17">
        <v>10</v>
      </c>
      <c r="P1474" s="15" t="s">
        <v>148</v>
      </c>
      <c r="Q1474" s="15" t="s">
        <v>149</v>
      </c>
      <c r="R1474" s="15" t="s">
        <v>174</v>
      </c>
      <c r="S1474" s="15" t="s">
        <v>28334</v>
      </c>
      <c r="T1474" s="18">
        <v>25</v>
      </c>
      <c r="U1474" s="15" t="s">
        <v>4305</v>
      </c>
      <c r="V1474" s="15" t="s">
        <v>138</v>
      </c>
      <c r="W1474" s="15" t="s">
        <v>138</v>
      </c>
      <c r="X1474" s="19">
        <v>2003</v>
      </c>
      <c r="Y1474" s="15" t="s">
        <v>138</v>
      </c>
      <c r="Z1474" s="15" t="s">
        <v>138</v>
      </c>
      <c r="AA1474" s="15" t="s">
        <v>138</v>
      </c>
      <c r="AB1474" s="20" t="s">
        <v>138</v>
      </c>
      <c r="AC1474" s="20" t="s">
        <v>138</v>
      </c>
      <c r="AD1474" s="20" t="s">
        <v>138</v>
      </c>
      <c r="AE1474" s="20" t="s">
        <v>138</v>
      </c>
      <c r="AF1474" s="20" t="s">
        <v>138</v>
      </c>
      <c r="AG1474" s="15" t="s">
        <v>138</v>
      </c>
      <c r="AH1474" s="20" t="s">
        <v>138</v>
      </c>
      <c r="AI1474" s="20" t="s">
        <v>138</v>
      </c>
      <c r="AJ1474" s="20" t="s">
        <v>138</v>
      </c>
      <c r="AK1474" s="15" t="s">
        <v>28335</v>
      </c>
      <c r="AL1474" s="15" t="s">
        <v>28336</v>
      </c>
      <c r="AM1474" s="15" t="s">
        <v>28337</v>
      </c>
      <c r="AN1474" s="15" t="s">
        <v>28338</v>
      </c>
      <c r="AO1474" s="15" t="s">
        <v>28339</v>
      </c>
      <c r="AP1474" s="15" t="s">
        <v>3839</v>
      </c>
      <c r="AQ1474" s="15" t="s">
        <v>28340</v>
      </c>
      <c r="AR1474" s="15" t="s">
        <v>28341</v>
      </c>
      <c r="AS1474" s="15" t="s">
        <v>3841</v>
      </c>
      <c r="AT1474" s="15" t="s">
        <v>200</v>
      </c>
      <c r="AU1474" s="15" t="s">
        <v>3842</v>
      </c>
      <c r="AV1474" s="15" t="s">
        <v>162</v>
      </c>
      <c r="AW1474" s="15" t="s">
        <v>28339</v>
      </c>
      <c r="AX1474" s="15" t="s">
        <v>138</v>
      </c>
      <c r="AY1474" s="15" t="s">
        <v>28342</v>
      </c>
      <c r="AZ1474" s="15" t="s">
        <v>164</v>
      </c>
      <c r="BA1474" s="15" t="s">
        <v>165</v>
      </c>
      <c r="BB1474" s="15" t="s">
        <v>28343</v>
      </c>
      <c r="BC1474" s="15" t="s">
        <v>28344</v>
      </c>
      <c r="BD1474" s="21">
        <v>3</v>
      </c>
      <c r="BE1474" s="15" t="s">
        <v>138</v>
      </c>
      <c r="BF1474" s="15" t="s">
        <v>138</v>
      </c>
      <c r="BG1474" s="15" t="s">
        <v>138</v>
      </c>
      <c r="BH1474" s="15" t="s">
        <v>28345</v>
      </c>
      <c r="BI1474" s="15" t="s">
        <v>138</v>
      </c>
      <c r="BJ1474" s="15" t="s">
        <v>138</v>
      </c>
      <c r="BK1474" s="15" t="s">
        <v>28346</v>
      </c>
      <c r="BL1474" s="15" t="s">
        <v>138</v>
      </c>
      <c r="BM1474" s="22">
        <v>42997</v>
      </c>
      <c r="BN1474" s="17">
        <v>10</v>
      </c>
      <c r="BO1474" s="15" t="s">
        <v>172</v>
      </c>
      <c r="BP1474" s="17">
        <v>33</v>
      </c>
      <c r="BQ1474" s="15" t="s">
        <v>172</v>
      </c>
      <c r="BR1474" s="15" t="s">
        <v>173</v>
      </c>
      <c r="BS1474" s="15" t="s">
        <v>206</v>
      </c>
      <c r="BT1474" s="15" t="s">
        <v>138</v>
      </c>
      <c r="BU1474" s="15" t="s">
        <v>174</v>
      </c>
      <c r="BV1474" s="15" t="s">
        <v>138</v>
      </c>
      <c r="BW1474" s="15" t="s">
        <v>138</v>
      </c>
      <c r="BX1474" s="15" t="s">
        <v>138</v>
      </c>
      <c r="BY1474" s="15" t="s">
        <v>175</v>
      </c>
      <c r="BZ1474" s="22">
        <v>42997</v>
      </c>
      <c r="CA1474" s="17">
        <v>10</v>
      </c>
      <c r="CB1474" s="15" t="s">
        <v>172</v>
      </c>
      <c r="CC1474" s="17">
        <v>33</v>
      </c>
      <c r="CD1474" s="15" t="s">
        <v>172</v>
      </c>
      <c r="CE1474" s="15" t="s">
        <v>173</v>
      </c>
      <c r="CF1474" s="15" t="s">
        <v>206</v>
      </c>
      <c r="CG1474" s="15" t="s">
        <v>138</v>
      </c>
      <c r="CH1474" s="15" t="s">
        <v>174</v>
      </c>
      <c r="CI1474" s="15" t="s">
        <v>138</v>
      </c>
      <c r="CJ1474" s="15" t="s">
        <v>138</v>
      </c>
      <c r="CK1474" s="15" t="s">
        <v>138</v>
      </c>
      <c r="CL1474" s="15" t="s">
        <v>175</v>
      </c>
      <c r="CM1474" s="22" t="s">
        <v>138</v>
      </c>
      <c r="CN1474" s="17" t="s">
        <v>138</v>
      </c>
      <c r="CO1474" s="23">
        <v>-0.03</v>
      </c>
      <c r="CP1474" s="24">
        <v>23</v>
      </c>
      <c r="CQ1474" s="23">
        <v>0</v>
      </c>
      <c r="CR1474" s="23">
        <v>0</v>
      </c>
      <c r="CS1474" s="23">
        <v>-0.06</v>
      </c>
      <c r="CT1474" s="24">
        <v>22</v>
      </c>
      <c r="CU1474" s="23">
        <v>0</v>
      </c>
      <c r="CV1474" s="24">
        <v>22</v>
      </c>
      <c r="CW1474" s="23">
        <v>0</v>
      </c>
      <c r="CX1474" s="24">
        <v>13</v>
      </c>
      <c r="CY1474" s="23">
        <v>-0.12</v>
      </c>
      <c r="CZ1474" s="24">
        <v>24</v>
      </c>
      <c r="DA1474" s="23">
        <v>0</v>
      </c>
      <c r="DB1474" s="24">
        <v>22</v>
      </c>
      <c r="DC1474" s="25">
        <v>1.08</v>
      </c>
      <c r="DD1474" s="24">
        <v>53</v>
      </c>
      <c r="DE1474" s="25">
        <v>-0.05</v>
      </c>
      <c r="DF1474" s="23">
        <v>-4.08</v>
      </c>
      <c r="DG1474" s="25">
        <v>2.08</v>
      </c>
      <c r="DH1474" s="24">
        <v>68</v>
      </c>
      <c r="DI1474" s="25">
        <v>0.09</v>
      </c>
      <c r="DJ1474" s="24">
        <v>13</v>
      </c>
      <c r="DK1474" s="25">
        <v>1.44</v>
      </c>
      <c r="DL1474" s="24">
        <v>58</v>
      </c>
      <c r="DM1474" s="25">
        <v>2.72</v>
      </c>
      <c r="DN1474" s="24">
        <v>72</v>
      </c>
      <c r="DO1474" s="25">
        <v>0.13</v>
      </c>
      <c r="DP1474" s="24">
        <v>19</v>
      </c>
      <c r="DQ1474" s="24">
        <v>516</v>
      </c>
      <c r="DR1474" s="26">
        <v>-65</v>
      </c>
      <c r="DS1474" s="23">
        <v>-11.19</v>
      </c>
      <c r="DT1474" s="24">
        <v>79</v>
      </c>
      <c r="DU1474" s="26">
        <v>0</v>
      </c>
      <c r="DV1474" s="23">
        <v>0</v>
      </c>
      <c r="DW1474" s="24">
        <v>48</v>
      </c>
      <c r="DX1474" s="27">
        <v>0</v>
      </c>
      <c r="DY1474" s="23">
        <v>0</v>
      </c>
      <c r="DZ1474" s="15" t="s">
        <v>178</v>
      </c>
      <c r="EA1474" s="22">
        <v>43567</v>
      </c>
      <c r="EB1474" s="17">
        <v>33</v>
      </c>
      <c r="EC1474" s="22">
        <v>42997</v>
      </c>
      <c r="ED1474" s="15" t="s">
        <v>173</v>
      </c>
      <c r="EE1474" s="14" t="str">
        <f>HYPERLINK("https://my.pitchbook.com?c=172924-03", "View company online")</f>
        <v>View company online</v>
      </c>
    </row>
    <row r="1475" spans="1:135">
      <c r="A1475" s="28" t="s">
        <v>28347</v>
      </c>
      <c r="B1475" s="28" t="s">
        <v>28348</v>
      </c>
      <c r="C1475" s="28" t="s">
        <v>138</v>
      </c>
      <c r="D1475" s="28" t="s">
        <v>28349</v>
      </c>
      <c r="E1475" s="28" t="s">
        <v>28350</v>
      </c>
      <c r="F1475" s="28" t="s">
        <v>28347</v>
      </c>
      <c r="G1475" s="28" t="s">
        <v>28351</v>
      </c>
      <c r="H1475" s="28" t="s">
        <v>238</v>
      </c>
      <c r="I1475" s="28" t="s">
        <v>749</v>
      </c>
      <c r="J1475" s="28" t="s">
        <v>4261</v>
      </c>
      <c r="K1475" s="28" t="s">
        <v>5732</v>
      </c>
      <c r="L1475" s="28" t="s">
        <v>138</v>
      </c>
      <c r="M1475" s="28" t="s">
        <v>28352</v>
      </c>
      <c r="N1475" s="28" t="s">
        <v>147</v>
      </c>
      <c r="O1475" s="29">
        <v>9.07</v>
      </c>
      <c r="P1475" s="28" t="s">
        <v>148</v>
      </c>
      <c r="Q1475" s="28" t="s">
        <v>149</v>
      </c>
      <c r="R1475" s="28" t="s">
        <v>174</v>
      </c>
      <c r="S1475" s="28" t="s">
        <v>28353</v>
      </c>
      <c r="T1475" s="30">
        <v>35</v>
      </c>
      <c r="U1475" s="28" t="s">
        <v>28354</v>
      </c>
      <c r="V1475" s="28" t="s">
        <v>138</v>
      </c>
      <c r="W1475" s="28" t="s">
        <v>138</v>
      </c>
      <c r="X1475" s="31">
        <v>2008</v>
      </c>
      <c r="Y1475" s="28" t="s">
        <v>138</v>
      </c>
      <c r="Z1475" s="28" t="s">
        <v>138</v>
      </c>
      <c r="AA1475" s="28" t="s">
        <v>138</v>
      </c>
      <c r="AB1475" s="32">
        <v>5.96</v>
      </c>
      <c r="AC1475" s="32" t="s">
        <v>138</v>
      </c>
      <c r="AD1475" s="32" t="s">
        <v>138</v>
      </c>
      <c r="AE1475" s="32" t="s">
        <v>138</v>
      </c>
      <c r="AF1475" s="32" t="s">
        <v>138</v>
      </c>
      <c r="AG1475" s="28" t="s">
        <v>419</v>
      </c>
      <c r="AH1475" s="32" t="s">
        <v>138</v>
      </c>
      <c r="AI1475" s="32" t="s">
        <v>138</v>
      </c>
      <c r="AJ1475" s="32" t="s">
        <v>138</v>
      </c>
      <c r="AK1475" s="28" t="s">
        <v>28355</v>
      </c>
      <c r="AL1475" s="28" t="s">
        <v>28356</v>
      </c>
      <c r="AM1475" s="28" t="s">
        <v>304</v>
      </c>
      <c r="AN1475" s="28" t="s">
        <v>28357</v>
      </c>
      <c r="AO1475" s="28" t="s">
        <v>138</v>
      </c>
      <c r="AP1475" s="28" t="s">
        <v>3449</v>
      </c>
      <c r="AQ1475" s="28" t="s">
        <v>28358</v>
      </c>
      <c r="AR1475" s="28" t="s">
        <v>28359</v>
      </c>
      <c r="AS1475" s="28" t="s">
        <v>3452</v>
      </c>
      <c r="AT1475" s="28" t="s">
        <v>28360</v>
      </c>
      <c r="AU1475" s="28" t="s">
        <v>28361</v>
      </c>
      <c r="AV1475" s="28" t="s">
        <v>2333</v>
      </c>
      <c r="AW1475" s="28" t="s">
        <v>138</v>
      </c>
      <c r="AX1475" s="28" t="s">
        <v>138</v>
      </c>
      <c r="AY1475" s="28" t="s">
        <v>28362</v>
      </c>
      <c r="AZ1475" s="28" t="s">
        <v>452</v>
      </c>
      <c r="BA1475" s="28" t="s">
        <v>2335</v>
      </c>
      <c r="BB1475" s="28" t="s">
        <v>28363</v>
      </c>
      <c r="BC1475" s="28" t="s">
        <v>28364</v>
      </c>
      <c r="BD1475" s="33">
        <v>11</v>
      </c>
      <c r="BE1475" s="28" t="s">
        <v>138</v>
      </c>
      <c r="BF1475" s="28" t="s">
        <v>138</v>
      </c>
      <c r="BG1475" s="28" t="s">
        <v>138</v>
      </c>
      <c r="BH1475" s="28" t="s">
        <v>28365</v>
      </c>
      <c r="BI1475" s="28" t="s">
        <v>138</v>
      </c>
      <c r="BJ1475" s="28" t="s">
        <v>138</v>
      </c>
      <c r="BK1475" s="28" t="s">
        <v>138</v>
      </c>
      <c r="BL1475" s="28" t="s">
        <v>28366</v>
      </c>
      <c r="BM1475" s="34" t="s">
        <v>138</v>
      </c>
      <c r="BN1475" s="29" t="s">
        <v>138</v>
      </c>
      <c r="BO1475" s="28" t="s">
        <v>138</v>
      </c>
      <c r="BP1475" s="29" t="s">
        <v>138</v>
      </c>
      <c r="BQ1475" s="28" t="s">
        <v>138</v>
      </c>
      <c r="BR1475" s="28" t="s">
        <v>316</v>
      </c>
      <c r="BS1475" s="28" t="s">
        <v>138</v>
      </c>
      <c r="BT1475" s="28" t="s">
        <v>138</v>
      </c>
      <c r="BU1475" s="28" t="s">
        <v>177</v>
      </c>
      <c r="BV1475" s="28" t="s">
        <v>138</v>
      </c>
      <c r="BW1475" s="28" t="s">
        <v>138</v>
      </c>
      <c r="BX1475" s="28" t="s">
        <v>138</v>
      </c>
      <c r="BY1475" s="28" t="s">
        <v>175</v>
      </c>
      <c r="BZ1475" s="34">
        <v>43481</v>
      </c>
      <c r="CA1475" s="29">
        <v>25.6</v>
      </c>
      <c r="CB1475" s="28" t="s">
        <v>172</v>
      </c>
      <c r="CC1475" s="29" t="s">
        <v>138</v>
      </c>
      <c r="CD1475" s="28" t="s">
        <v>138</v>
      </c>
      <c r="CE1475" s="28" t="s">
        <v>173</v>
      </c>
      <c r="CF1475" s="28" t="s">
        <v>317</v>
      </c>
      <c r="CG1475" s="28" t="s">
        <v>138</v>
      </c>
      <c r="CH1475" s="28" t="s">
        <v>174</v>
      </c>
      <c r="CI1475" s="28" t="s">
        <v>1328</v>
      </c>
      <c r="CJ1475" s="28" t="s">
        <v>138</v>
      </c>
      <c r="CK1475" s="28" t="s">
        <v>138</v>
      </c>
      <c r="CL1475" s="28" t="s">
        <v>175</v>
      </c>
      <c r="CM1475" s="34">
        <v>43481</v>
      </c>
      <c r="CN1475" s="29" t="s">
        <v>138</v>
      </c>
      <c r="CO1475" s="35">
        <v>-0.03</v>
      </c>
      <c r="CP1475" s="36">
        <v>23</v>
      </c>
      <c r="CQ1475" s="35">
        <v>0</v>
      </c>
      <c r="CR1475" s="35">
        <v>8.08</v>
      </c>
      <c r="CS1475" s="35">
        <v>0</v>
      </c>
      <c r="CT1475" s="36">
        <v>23</v>
      </c>
      <c r="CU1475" s="35">
        <v>-0.05</v>
      </c>
      <c r="CV1475" s="36">
        <v>9</v>
      </c>
      <c r="CW1475" s="35" t="s">
        <v>138</v>
      </c>
      <c r="CX1475" s="36" t="s">
        <v>138</v>
      </c>
      <c r="CY1475" s="35">
        <v>0</v>
      </c>
      <c r="CZ1475" s="36">
        <v>25</v>
      </c>
      <c r="DA1475" s="35">
        <v>-7.0000000000000007E-2</v>
      </c>
      <c r="DB1475" s="36">
        <v>9</v>
      </c>
      <c r="DC1475" s="37">
        <v>31.75</v>
      </c>
      <c r="DD1475" s="36">
        <v>97</v>
      </c>
      <c r="DE1475" s="37">
        <v>-0.02</v>
      </c>
      <c r="DF1475" s="35">
        <v>-7.0000000000000007E-2</v>
      </c>
      <c r="DG1475" s="37">
        <v>0.59</v>
      </c>
      <c r="DH1475" s="36">
        <v>38</v>
      </c>
      <c r="DI1475" s="37">
        <v>62.91</v>
      </c>
      <c r="DJ1475" s="36">
        <v>96</v>
      </c>
      <c r="DK1475" s="37" t="s">
        <v>138</v>
      </c>
      <c r="DL1475" s="36" t="s">
        <v>138</v>
      </c>
      <c r="DM1475" s="37">
        <v>0.59</v>
      </c>
      <c r="DN1475" s="36">
        <v>37</v>
      </c>
      <c r="DO1475" s="37">
        <v>7.82</v>
      </c>
      <c r="DP1475" s="36">
        <v>85</v>
      </c>
      <c r="DQ1475" s="36" t="s">
        <v>138</v>
      </c>
      <c r="DR1475" s="38" t="s">
        <v>138</v>
      </c>
      <c r="DS1475" s="35" t="s">
        <v>138</v>
      </c>
      <c r="DT1475" s="36">
        <v>17</v>
      </c>
      <c r="DU1475" s="38">
        <v>0</v>
      </c>
      <c r="DV1475" s="35">
        <v>0</v>
      </c>
      <c r="DW1475" s="36">
        <v>2802</v>
      </c>
      <c r="DX1475" s="39">
        <v>-1</v>
      </c>
      <c r="DY1475" s="35">
        <v>-0.04</v>
      </c>
      <c r="DZ1475" s="28" t="s">
        <v>178</v>
      </c>
      <c r="EA1475" s="34">
        <v>43593</v>
      </c>
      <c r="EB1475" s="29" t="s">
        <v>138</v>
      </c>
      <c r="EC1475" s="34" t="s">
        <v>138</v>
      </c>
      <c r="ED1475" s="28" t="s">
        <v>138</v>
      </c>
      <c r="EE1475" s="40" t="str">
        <f>HYPERLINK("https://my.pitchbook.com?c=87851-35", "View company online")</f>
        <v>View company online</v>
      </c>
    </row>
    <row r="1476" spans="1:135">
      <c r="A1476" s="15" t="s">
        <v>28367</v>
      </c>
      <c r="B1476" s="15" t="s">
        <v>28368</v>
      </c>
      <c r="C1476" s="15" t="s">
        <v>138</v>
      </c>
      <c r="D1476" s="15" t="s">
        <v>138</v>
      </c>
      <c r="E1476" s="15" t="s">
        <v>28369</v>
      </c>
      <c r="F1476" s="15" t="s">
        <v>28367</v>
      </c>
      <c r="G1476" s="15" t="s">
        <v>28370</v>
      </c>
      <c r="H1476" s="15" t="s">
        <v>141</v>
      </c>
      <c r="I1476" s="15" t="s">
        <v>142</v>
      </c>
      <c r="J1476" s="15" t="s">
        <v>4910</v>
      </c>
      <c r="K1476" s="15" t="s">
        <v>11582</v>
      </c>
      <c r="L1476" s="15" t="s">
        <v>7549</v>
      </c>
      <c r="M1476" s="15" t="s">
        <v>28371</v>
      </c>
      <c r="N1476" s="15" t="s">
        <v>147</v>
      </c>
      <c r="O1476" s="17">
        <v>23.96</v>
      </c>
      <c r="P1476" s="15" t="s">
        <v>148</v>
      </c>
      <c r="Q1476" s="15" t="s">
        <v>149</v>
      </c>
      <c r="R1476" s="15" t="s">
        <v>174</v>
      </c>
      <c r="S1476" s="15" t="s">
        <v>28372</v>
      </c>
      <c r="T1476" s="18" t="s">
        <v>138</v>
      </c>
      <c r="U1476" s="15" t="s">
        <v>138</v>
      </c>
      <c r="V1476" s="15" t="s">
        <v>138</v>
      </c>
      <c r="W1476" s="15" t="s">
        <v>138</v>
      </c>
      <c r="X1476" s="19">
        <v>2014</v>
      </c>
      <c r="Y1476" s="15" t="s">
        <v>138</v>
      </c>
      <c r="Z1476" s="15" t="s">
        <v>138</v>
      </c>
      <c r="AA1476" s="15" t="s">
        <v>138</v>
      </c>
      <c r="AB1476" s="20" t="s">
        <v>138</v>
      </c>
      <c r="AC1476" s="20" t="s">
        <v>138</v>
      </c>
      <c r="AD1476" s="20" t="s">
        <v>138</v>
      </c>
      <c r="AE1476" s="20" t="s">
        <v>138</v>
      </c>
      <c r="AF1476" s="20" t="s">
        <v>138</v>
      </c>
      <c r="AG1476" s="15" t="s">
        <v>138</v>
      </c>
      <c r="AH1476" s="20" t="s">
        <v>138</v>
      </c>
      <c r="AI1476" s="20" t="s">
        <v>138</v>
      </c>
      <c r="AJ1476" s="20" t="s">
        <v>138</v>
      </c>
      <c r="AK1476" s="15" t="s">
        <v>28373</v>
      </c>
      <c r="AL1476" s="15" t="s">
        <v>28374</v>
      </c>
      <c r="AM1476" s="15" t="s">
        <v>28375</v>
      </c>
      <c r="AN1476" s="15" t="s">
        <v>28376</v>
      </c>
      <c r="AO1476" s="15" t="s">
        <v>138</v>
      </c>
      <c r="AP1476" s="15" t="s">
        <v>4898</v>
      </c>
      <c r="AQ1476" s="15" t="s">
        <v>28377</v>
      </c>
      <c r="AR1476" s="15" t="s">
        <v>713</v>
      </c>
      <c r="AS1476" s="15" t="s">
        <v>4900</v>
      </c>
      <c r="AT1476" s="15" t="s">
        <v>200</v>
      </c>
      <c r="AU1476" s="15" t="s">
        <v>5813</v>
      </c>
      <c r="AV1476" s="15" t="s">
        <v>162</v>
      </c>
      <c r="AW1476" s="15" t="s">
        <v>138</v>
      </c>
      <c r="AX1476" s="15" t="s">
        <v>138</v>
      </c>
      <c r="AY1476" s="15" t="s">
        <v>28378</v>
      </c>
      <c r="AZ1476" s="15" t="s">
        <v>164</v>
      </c>
      <c r="BA1476" s="15" t="s">
        <v>165</v>
      </c>
      <c r="BB1476" s="15" t="s">
        <v>28379</v>
      </c>
      <c r="BC1476" s="15" t="s">
        <v>28380</v>
      </c>
      <c r="BD1476" s="21">
        <v>11</v>
      </c>
      <c r="BE1476" s="15" t="s">
        <v>138</v>
      </c>
      <c r="BF1476" s="15" t="s">
        <v>138</v>
      </c>
      <c r="BG1476" s="15" t="s">
        <v>138</v>
      </c>
      <c r="BH1476" s="15" t="s">
        <v>28381</v>
      </c>
      <c r="BI1476" s="15" t="s">
        <v>138</v>
      </c>
      <c r="BJ1476" s="15" t="s">
        <v>138</v>
      </c>
      <c r="BK1476" s="15" t="s">
        <v>28382</v>
      </c>
      <c r="BL1476" s="15" t="s">
        <v>28382</v>
      </c>
      <c r="BM1476" s="22">
        <v>42087</v>
      </c>
      <c r="BN1476" s="17">
        <v>0.12</v>
      </c>
      <c r="BO1476" s="15" t="s">
        <v>172</v>
      </c>
      <c r="BP1476" s="17">
        <v>1.71</v>
      </c>
      <c r="BQ1476" s="15" t="s">
        <v>172</v>
      </c>
      <c r="BR1476" s="15" t="s">
        <v>316</v>
      </c>
      <c r="BS1476" s="15" t="s">
        <v>138</v>
      </c>
      <c r="BT1476" s="15" t="s">
        <v>138</v>
      </c>
      <c r="BU1476" s="15" t="s">
        <v>177</v>
      </c>
      <c r="BV1476" s="15" t="s">
        <v>138</v>
      </c>
      <c r="BW1476" s="15" t="s">
        <v>138</v>
      </c>
      <c r="BX1476" s="15" t="s">
        <v>138</v>
      </c>
      <c r="BY1476" s="15" t="s">
        <v>175</v>
      </c>
      <c r="BZ1476" s="22">
        <v>43565</v>
      </c>
      <c r="CA1476" s="17">
        <v>5</v>
      </c>
      <c r="CB1476" s="15" t="s">
        <v>1178</v>
      </c>
      <c r="CC1476" s="17">
        <v>50</v>
      </c>
      <c r="CD1476" s="15" t="s">
        <v>172</v>
      </c>
      <c r="CE1476" s="15" t="s">
        <v>780</v>
      </c>
      <c r="CF1476" s="15" t="s">
        <v>207</v>
      </c>
      <c r="CG1476" s="15" t="s">
        <v>138</v>
      </c>
      <c r="CH1476" s="15" t="s">
        <v>780</v>
      </c>
      <c r="CI1476" s="15" t="s">
        <v>138</v>
      </c>
      <c r="CJ1476" s="15" t="s">
        <v>138</v>
      </c>
      <c r="CK1476" s="15" t="s">
        <v>138</v>
      </c>
      <c r="CL1476" s="15" t="s">
        <v>175</v>
      </c>
      <c r="CM1476" s="22" t="s">
        <v>138</v>
      </c>
      <c r="CN1476" s="17" t="s">
        <v>138</v>
      </c>
      <c r="CO1476" s="23">
        <v>0.04</v>
      </c>
      <c r="CP1476" s="24">
        <v>87</v>
      </c>
      <c r="CQ1476" s="23">
        <v>0.1</v>
      </c>
      <c r="CR1476" s="23">
        <v>158.94999999999999</v>
      </c>
      <c r="CS1476" s="23">
        <v>-0.75</v>
      </c>
      <c r="CT1476" s="24">
        <v>17</v>
      </c>
      <c r="CU1476" s="23">
        <v>0.13</v>
      </c>
      <c r="CV1476" s="24">
        <v>73</v>
      </c>
      <c r="CW1476" s="23">
        <v>-0.92</v>
      </c>
      <c r="CX1476" s="24">
        <v>10</v>
      </c>
      <c r="CY1476" s="23">
        <v>-0.57999999999999996</v>
      </c>
      <c r="CZ1476" s="24">
        <v>22</v>
      </c>
      <c r="DA1476" s="23">
        <v>0.23</v>
      </c>
      <c r="DB1476" s="24">
        <v>85</v>
      </c>
      <c r="DC1476" s="25">
        <v>8.61</v>
      </c>
      <c r="DD1476" s="24">
        <v>89</v>
      </c>
      <c r="DE1476" s="25">
        <v>-0.08</v>
      </c>
      <c r="DF1476" s="23">
        <v>-0.89</v>
      </c>
      <c r="DG1476" s="25">
        <v>13.13</v>
      </c>
      <c r="DH1476" s="24">
        <v>92</v>
      </c>
      <c r="DI1476" s="25">
        <v>11.59</v>
      </c>
      <c r="DJ1476" s="24">
        <v>86</v>
      </c>
      <c r="DK1476" s="25">
        <v>12.26</v>
      </c>
      <c r="DL1476" s="24">
        <v>88</v>
      </c>
      <c r="DM1476" s="25">
        <v>14</v>
      </c>
      <c r="DN1476" s="24">
        <v>92</v>
      </c>
      <c r="DO1476" s="25">
        <v>9.1300000000000008</v>
      </c>
      <c r="DP1476" s="24">
        <v>86</v>
      </c>
      <c r="DQ1476" s="24">
        <v>4167</v>
      </c>
      <c r="DR1476" s="26">
        <v>111</v>
      </c>
      <c r="DS1476" s="23">
        <v>2.74</v>
      </c>
      <c r="DT1476" s="24">
        <v>395</v>
      </c>
      <c r="DU1476" s="26">
        <v>19</v>
      </c>
      <c r="DV1476" s="23">
        <v>5.05</v>
      </c>
      <c r="DW1476" s="24">
        <v>3255</v>
      </c>
      <c r="DX1476" s="27">
        <v>17</v>
      </c>
      <c r="DY1476" s="23">
        <v>0.53</v>
      </c>
      <c r="DZ1476" s="15" t="s">
        <v>178</v>
      </c>
      <c r="EA1476" s="22">
        <v>43598</v>
      </c>
      <c r="EB1476" s="17">
        <v>50</v>
      </c>
      <c r="EC1476" s="22">
        <v>43565</v>
      </c>
      <c r="ED1476" s="15" t="s">
        <v>780</v>
      </c>
      <c r="EE1476" s="14" t="str">
        <f>HYPERLINK("https://my.pitchbook.com?c=110585-80", "View company online")</f>
        <v>View company online</v>
      </c>
    </row>
    <row r="1477" spans="1:135">
      <c r="A1477" s="28" t="s">
        <v>28383</v>
      </c>
      <c r="B1477" s="28" t="s">
        <v>28384</v>
      </c>
      <c r="C1477" s="28" t="s">
        <v>138</v>
      </c>
      <c r="D1477" s="28" t="s">
        <v>28385</v>
      </c>
      <c r="E1477" s="28" t="s">
        <v>138</v>
      </c>
      <c r="F1477" s="28" t="s">
        <v>28383</v>
      </c>
      <c r="G1477" s="28" t="s">
        <v>28386</v>
      </c>
      <c r="H1477" s="28" t="s">
        <v>238</v>
      </c>
      <c r="I1477" s="28" t="s">
        <v>997</v>
      </c>
      <c r="J1477" s="28" t="s">
        <v>28387</v>
      </c>
      <c r="K1477" s="28" t="s">
        <v>28388</v>
      </c>
      <c r="L1477" s="28" t="s">
        <v>3681</v>
      </c>
      <c r="M1477" s="28" t="s">
        <v>28389</v>
      </c>
      <c r="N1477" s="28" t="s">
        <v>147</v>
      </c>
      <c r="O1477" s="29">
        <v>36.96</v>
      </c>
      <c r="P1477" s="28" t="s">
        <v>610</v>
      </c>
      <c r="Q1477" s="28" t="s">
        <v>149</v>
      </c>
      <c r="R1477" s="28" t="s">
        <v>174</v>
      </c>
      <c r="S1477" s="28" t="s">
        <v>28390</v>
      </c>
      <c r="T1477" s="30">
        <v>8</v>
      </c>
      <c r="U1477" s="28" t="s">
        <v>28391</v>
      </c>
      <c r="V1477" s="28" t="s">
        <v>138</v>
      </c>
      <c r="W1477" s="28" t="s">
        <v>138</v>
      </c>
      <c r="X1477" s="31">
        <v>2015</v>
      </c>
      <c r="Y1477" s="28" t="s">
        <v>138</v>
      </c>
      <c r="Z1477" s="28" t="s">
        <v>138</v>
      </c>
      <c r="AA1477" s="28" t="s">
        <v>138</v>
      </c>
      <c r="AB1477" s="32" t="s">
        <v>138</v>
      </c>
      <c r="AC1477" s="32" t="s">
        <v>138</v>
      </c>
      <c r="AD1477" s="32" t="s">
        <v>138</v>
      </c>
      <c r="AE1477" s="32" t="s">
        <v>138</v>
      </c>
      <c r="AF1477" s="32" t="s">
        <v>138</v>
      </c>
      <c r="AG1477" s="28" t="s">
        <v>138</v>
      </c>
      <c r="AH1477" s="32" t="s">
        <v>138</v>
      </c>
      <c r="AI1477" s="32" t="s">
        <v>138</v>
      </c>
      <c r="AJ1477" s="32" t="s">
        <v>138</v>
      </c>
      <c r="AK1477" s="28" t="s">
        <v>28392</v>
      </c>
      <c r="AL1477" s="28" t="s">
        <v>28393</v>
      </c>
      <c r="AM1477" s="28" t="s">
        <v>986</v>
      </c>
      <c r="AN1477" s="28" t="s">
        <v>28394</v>
      </c>
      <c r="AO1477" s="28" t="s">
        <v>28395</v>
      </c>
      <c r="AP1477" s="28" t="s">
        <v>423</v>
      </c>
      <c r="AQ1477" s="28" t="s">
        <v>28396</v>
      </c>
      <c r="AR1477" s="28" t="s">
        <v>28397</v>
      </c>
      <c r="AS1477" s="28" t="s">
        <v>426</v>
      </c>
      <c r="AT1477" s="28" t="s">
        <v>426</v>
      </c>
      <c r="AU1477" s="28" t="s">
        <v>2130</v>
      </c>
      <c r="AV1477" s="28" t="s">
        <v>162</v>
      </c>
      <c r="AW1477" s="28" t="s">
        <v>28395</v>
      </c>
      <c r="AX1477" s="28" t="s">
        <v>138</v>
      </c>
      <c r="AY1477" s="28" t="s">
        <v>138</v>
      </c>
      <c r="AZ1477" s="28" t="s">
        <v>164</v>
      </c>
      <c r="BA1477" s="28" t="s">
        <v>165</v>
      </c>
      <c r="BB1477" s="28" t="s">
        <v>28398</v>
      </c>
      <c r="BC1477" s="28" t="s">
        <v>28399</v>
      </c>
      <c r="BD1477" s="33">
        <v>24</v>
      </c>
      <c r="BE1477" s="28" t="s">
        <v>138</v>
      </c>
      <c r="BF1477" s="28" t="s">
        <v>138</v>
      </c>
      <c r="BG1477" s="28" t="s">
        <v>138</v>
      </c>
      <c r="BH1477" s="28" t="s">
        <v>28400</v>
      </c>
      <c r="BI1477" s="28" t="s">
        <v>138</v>
      </c>
      <c r="BJ1477" s="28" t="s">
        <v>138</v>
      </c>
      <c r="BK1477" s="28" t="s">
        <v>28401</v>
      </c>
      <c r="BL1477" s="28" t="s">
        <v>28402</v>
      </c>
      <c r="BM1477" s="34">
        <v>42247</v>
      </c>
      <c r="BN1477" s="29">
        <v>2</v>
      </c>
      <c r="BO1477" s="28" t="s">
        <v>172</v>
      </c>
      <c r="BP1477" s="29">
        <v>9.91</v>
      </c>
      <c r="BQ1477" s="28" t="s">
        <v>172</v>
      </c>
      <c r="BR1477" s="28" t="s">
        <v>205</v>
      </c>
      <c r="BS1477" s="28" t="s">
        <v>206</v>
      </c>
      <c r="BT1477" s="28" t="s">
        <v>138</v>
      </c>
      <c r="BU1477" s="28" t="s">
        <v>174</v>
      </c>
      <c r="BV1477" s="28" t="s">
        <v>138</v>
      </c>
      <c r="BW1477" s="28" t="s">
        <v>138</v>
      </c>
      <c r="BX1477" s="28" t="s">
        <v>138</v>
      </c>
      <c r="BY1477" s="28" t="s">
        <v>175</v>
      </c>
      <c r="BZ1477" s="34">
        <v>42898</v>
      </c>
      <c r="CA1477" s="29">
        <v>24.5</v>
      </c>
      <c r="CB1477" s="28" t="s">
        <v>1178</v>
      </c>
      <c r="CC1477" s="29">
        <v>104.5</v>
      </c>
      <c r="CD1477" s="28" t="s">
        <v>172</v>
      </c>
      <c r="CE1477" s="28" t="s">
        <v>173</v>
      </c>
      <c r="CF1477" s="28" t="s">
        <v>720</v>
      </c>
      <c r="CG1477" s="28" t="s">
        <v>138</v>
      </c>
      <c r="CH1477" s="28" t="s">
        <v>174</v>
      </c>
      <c r="CI1477" s="28" t="s">
        <v>138</v>
      </c>
      <c r="CJ1477" s="28" t="s">
        <v>138</v>
      </c>
      <c r="CK1477" s="28" t="s">
        <v>138</v>
      </c>
      <c r="CL1477" s="28" t="s">
        <v>175</v>
      </c>
      <c r="CM1477" s="34" t="s">
        <v>138</v>
      </c>
      <c r="CN1477" s="29" t="s">
        <v>138</v>
      </c>
      <c r="CO1477" s="35">
        <v>-0.01</v>
      </c>
      <c r="CP1477" s="36">
        <v>25</v>
      </c>
      <c r="CQ1477" s="35">
        <v>-0.08</v>
      </c>
      <c r="CR1477" s="35">
        <v>-107.9</v>
      </c>
      <c r="CS1477" s="35">
        <v>-0.09</v>
      </c>
      <c r="CT1477" s="36">
        <v>22</v>
      </c>
      <c r="CU1477" s="35">
        <v>0.08</v>
      </c>
      <c r="CV1477" s="36">
        <v>64</v>
      </c>
      <c r="CW1477" s="35">
        <v>0.77</v>
      </c>
      <c r="CX1477" s="36">
        <v>84</v>
      </c>
      <c r="CY1477" s="35">
        <v>-0.95</v>
      </c>
      <c r="CZ1477" s="36">
        <v>19</v>
      </c>
      <c r="DA1477" s="35">
        <v>0.21</v>
      </c>
      <c r="DB1477" s="36">
        <v>83</v>
      </c>
      <c r="DC1477" s="37">
        <v>422.26</v>
      </c>
      <c r="DD1477" s="36">
        <v>100</v>
      </c>
      <c r="DE1477" s="37">
        <v>-0.93</v>
      </c>
      <c r="DF1477" s="35">
        <v>-0.22</v>
      </c>
      <c r="DG1477" s="37">
        <v>13.93</v>
      </c>
      <c r="DH1477" s="36">
        <v>92</v>
      </c>
      <c r="DI1477" s="37">
        <v>830.58</v>
      </c>
      <c r="DJ1477" s="36">
        <v>100</v>
      </c>
      <c r="DK1477" s="37">
        <v>25.28</v>
      </c>
      <c r="DL1477" s="36">
        <v>93</v>
      </c>
      <c r="DM1477" s="37">
        <v>2.59</v>
      </c>
      <c r="DN1477" s="36">
        <v>71</v>
      </c>
      <c r="DO1477" s="37">
        <v>97.04</v>
      </c>
      <c r="DP1477" s="36">
        <v>98</v>
      </c>
      <c r="DQ1477" s="36">
        <v>8600</v>
      </c>
      <c r="DR1477" s="38">
        <v>211</v>
      </c>
      <c r="DS1477" s="35">
        <v>2.52</v>
      </c>
      <c r="DT1477" s="36">
        <v>75</v>
      </c>
      <c r="DU1477" s="38">
        <v>1</v>
      </c>
      <c r="DV1477" s="35">
        <v>1.35</v>
      </c>
      <c r="DW1477" s="36">
        <v>34663</v>
      </c>
      <c r="DX1477" s="39">
        <v>187</v>
      </c>
      <c r="DY1477" s="35">
        <v>0.54</v>
      </c>
      <c r="DZ1477" s="28" t="s">
        <v>178</v>
      </c>
      <c r="EA1477" s="34">
        <v>43426</v>
      </c>
      <c r="EB1477" s="29">
        <v>104.5</v>
      </c>
      <c r="EC1477" s="34">
        <v>42898</v>
      </c>
      <c r="ED1477" s="28" t="s">
        <v>173</v>
      </c>
      <c r="EE1477" s="40" t="str">
        <f>HYPERLINK("https://my.pitchbook.com?c=123676-66", "View company online")</f>
        <v>View company online</v>
      </c>
    </row>
    <row r="1478" spans="1:135">
      <c r="A1478" s="15" t="s">
        <v>28403</v>
      </c>
      <c r="B1478" s="15" t="s">
        <v>28404</v>
      </c>
      <c r="C1478" s="15" t="s">
        <v>138</v>
      </c>
      <c r="D1478" s="15" t="s">
        <v>138</v>
      </c>
      <c r="E1478" s="15" t="s">
        <v>138</v>
      </c>
      <c r="F1478" s="15" t="s">
        <v>28403</v>
      </c>
      <c r="G1478" s="15" t="s">
        <v>28405</v>
      </c>
      <c r="H1478" s="15" t="s">
        <v>322</v>
      </c>
      <c r="I1478" s="15" t="s">
        <v>323</v>
      </c>
      <c r="J1478" s="15" t="s">
        <v>1132</v>
      </c>
      <c r="K1478" s="15" t="s">
        <v>28406</v>
      </c>
      <c r="L1478" s="15" t="s">
        <v>4025</v>
      </c>
      <c r="M1478" s="15" t="s">
        <v>28407</v>
      </c>
      <c r="N1478" s="15" t="s">
        <v>147</v>
      </c>
      <c r="O1478" s="17">
        <v>16</v>
      </c>
      <c r="P1478" s="15" t="s">
        <v>148</v>
      </c>
      <c r="Q1478" s="15" t="s">
        <v>149</v>
      </c>
      <c r="R1478" s="15" t="s">
        <v>174</v>
      </c>
      <c r="S1478" s="15" t="s">
        <v>28408</v>
      </c>
      <c r="T1478" s="18">
        <v>14</v>
      </c>
      <c r="U1478" s="15" t="s">
        <v>28409</v>
      </c>
      <c r="V1478" s="15" t="s">
        <v>138</v>
      </c>
      <c r="W1478" s="15" t="s">
        <v>138</v>
      </c>
      <c r="X1478" s="19">
        <v>2012</v>
      </c>
      <c r="Y1478" s="15" t="s">
        <v>138</v>
      </c>
      <c r="Z1478" s="15" t="s">
        <v>138</v>
      </c>
      <c r="AA1478" s="15" t="s">
        <v>138</v>
      </c>
      <c r="AB1478" s="20" t="s">
        <v>138</v>
      </c>
      <c r="AC1478" s="20" t="s">
        <v>138</v>
      </c>
      <c r="AD1478" s="20" t="s">
        <v>138</v>
      </c>
      <c r="AE1478" s="20" t="s">
        <v>138</v>
      </c>
      <c r="AF1478" s="20" t="s">
        <v>138</v>
      </c>
      <c r="AG1478" s="15" t="s">
        <v>138</v>
      </c>
      <c r="AH1478" s="20" t="s">
        <v>138</v>
      </c>
      <c r="AI1478" s="20" t="s">
        <v>138</v>
      </c>
      <c r="AJ1478" s="20" t="s">
        <v>138</v>
      </c>
      <c r="AK1478" s="15" t="s">
        <v>28410</v>
      </c>
      <c r="AL1478" s="15" t="s">
        <v>28411</v>
      </c>
      <c r="AM1478" s="15" t="s">
        <v>304</v>
      </c>
      <c r="AN1478" s="15" t="s">
        <v>28412</v>
      </c>
      <c r="AO1478" s="15" t="s">
        <v>28413</v>
      </c>
      <c r="AP1478" s="15" t="s">
        <v>423</v>
      </c>
      <c r="AQ1478" s="15" t="s">
        <v>28414</v>
      </c>
      <c r="AR1478" s="15" t="s">
        <v>6978</v>
      </c>
      <c r="AS1478" s="15" t="s">
        <v>426</v>
      </c>
      <c r="AT1478" s="15" t="s">
        <v>426</v>
      </c>
      <c r="AU1478" s="15" t="s">
        <v>8757</v>
      </c>
      <c r="AV1478" s="15" t="s">
        <v>162</v>
      </c>
      <c r="AW1478" s="15" t="s">
        <v>28413</v>
      </c>
      <c r="AX1478" s="15" t="s">
        <v>138</v>
      </c>
      <c r="AY1478" s="15" t="s">
        <v>28415</v>
      </c>
      <c r="AZ1478" s="15" t="s">
        <v>164</v>
      </c>
      <c r="BA1478" s="15" t="s">
        <v>165</v>
      </c>
      <c r="BB1478" s="15" t="s">
        <v>28416</v>
      </c>
      <c r="BC1478" s="15" t="s">
        <v>28417</v>
      </c>
      <c r="BD1478" s="21">
        <v>5</v>
      </c>
      <c r="BE1478" s="15" t="s">
        <v>138</v>
      </c>
      <c r="BF1478" s="15" t="s">
        <v>138</v>
      </c>
      <c r="BG1478" s="15" t="s">
        <v>138</v>
      </c>
      <c r="BH1478" s="15" t="s">
        <v>28418</v>
      </c>
      <c r="BI1478" s="15" t="s">
        <v>138</v>
      </c>
      <c r="BJ1478" s="15" t="s">
        <v>138</v>
      </c>
      <c r="BK1478" s="15" t="s">
        <v>138</v>
      </c>
      <c r="BL1478" s="15" t="s">
        <v>138</v>
      </c>
      <c r="BM1478" s="22">
        <v>42644</v>
      </c>
      <c r="BN1478" s="17">
        <v>16</v>
      </c>
      <c r="BO1478" s="15" t="s">
        <v>172</v>
      </c>
      <c r="BP1478" s="17">
        <v>43</v>
      </c>
      <c r="BQ1478" s="15" t="s">
        <v>172</v>
      </c>
      <c r="BR1478" s="15" t="s">
        <v>205</v>
      </c>
      <c r="BS1478" s="15" t="s">
        <v>206</v>
      </c>
      <c r="BT1478" s="15" t="s">
        <v>138</v>
      </c>
      <c r="BU1478" s="15" t="s">
        <v>174</v>
      </c>
      <c r="BV1478" s="15" t="s">
        <v>138</v>
      </c>
      <c r="BW1478" s="15" t="s">
        <v>138</v>
      </c>
      <c r="BX1478" s="15" t="s">
        <v>138</v>
      </c>
      <c r="BY1478" s="15" t="s">
        <v>175</v>
      </c>
      <c r="BZ1478" s="22">
        <v>42644</v>
      </c>
      <c r="CA1478" s="17">
        <v>16</v>
      </c>
      <c r="CB1478" s="15" t="s">
        <v>172</v>
      </c>
      <c r="CC1478" s="17">
        <v>43</v>
      </c>
      <c r="CD1478" s="15" t="s">
        <v>172</v>
      </c>
      <c r="CE1478" s="15" t="s">
        <v>205</v>
      </c>
      <c r="CF1478" s="15" t="s">
        <v>206</v>
      </c>
      <c r="CG1478" s="15" t="s">
        <v>138</v>
      </c>
      <c r="CH1478" s="15" t="s">
        <v>174</v>
      </c>
      <c r="CI1478" s="15" t="s">
        <v>138</v>
      </c>
      <c r="CJ1478" s="15" t="s">
        <v>138</v>
      </c>
      <c r="CK1478" s="15" t="s">
        <v>138</v>
      </c>
      <c r="CL1478" s="15" t="s">
        <v>175</v>
      </c>
      <c r="CM1478" s="22" t="s">
        <v>138</v>
      </c>
      <c r="CN1478" s="17" t="s">
        <v>138</v>
      </c>
      <c r="CO1478" s="23">
        <v>0</v>
      </c>
      <c r="CP1478" s="24">
        <v>26</v>
      </c>
      <c r="CQ1478" s="23">
        <v>0</v>
      </c>
      <c r="CR1478" s="23">
        <v>0</v>
      </c>
      <c r="CS1478" s="23" t="s">
        <v>138</v>
      </c>
      <c r="CT1478" s="24" t="s">
        <v>138</v>
      </c>
      <c r="CU1478" s="23">
        <v>0</v>
      </c>
      <c r="CV1478" s="24">
        <v>22</v>
      </c>
      <c r="CW1478" s="23" t="s">
        <v>138</v>
      </c>
      <c r="CX1478" s="24" t="s">
        <v>138</v>
      </c>
      <c r="CY1478" s="23" t="s">
        <v>138</v>
      </c>
      <c r="CZ1478" s="24" t="s">
        <v>138</v>
      </c>
      <c r="DA1478" s="23">
        <v>0</v>
      </c>
      <c r="DB1478" s="24">
        <v>22</v>
      </c>
      <c r="DC1478" s="25">
        <v>0.27</v>
      </c>
      <c r="DD1478" s="24">
        <v>20</v>
      </c>
      <c r="DE1478" s="25">
        <v>0</v>
      </c>
      <c r="DF1478" s="23">
        <v>1.62</v>
      </c>
      <c r="DG1478" s="25" t="s">
        <v>138</v>
      </c>
      <c r="DH1478" s="24" t="s">
        <v>138</v>
      </c>
      <c r="DI1478" s="25">
        <v>0.27</v>
      </c>
      <c r="DJ1478" s="24">
        <v>26</v>
      </c>
      <c r="DK1478" s="25" t="s">
        <v>138</v>
      </c>
      <c r="DL1478" s="24" t="s">
        <v>138</v>
      </c>
      <c r="DM1478" s="25" t="s">
        <v>138</v>
      </c>
      <c r="DN1478" s="24" t="s">
        <v>138</v>
      </c>
      <c r="DO1478" s="25">
        <v>0.27</v>
      </c>
      <c r="DP1478" s="24">
        <v>28</v>
      </c>
      <c r="DQ1478" s="24">
        <v>150</v>
      </c>
      <c r="DR1478" s="26">
        <v>7</v>
      </c>
      <c r="DS1478" s="23">
        <v>4.9000000000000004</v>
      </c>
      <c r="DT1478" s="24" t="s">
        <v>138</v>
      </c>
      <c r="DU1478" s="26" t="s">
        <v>138</v>
      </c>
      <c r="DV1478" s="23" t="s">
        <v>138</v>
      </c>
      <c r="DW1478" s="24">
        <v>95</v>
      </c>
      <c r="DX1478" s="27">
        <v>2</v>
      </c>
      <c r="DY1478" s="23">
        <v>2.15</v>
      </c>
      <c r="DZ1478" s="15" t="s">
        <v>178</v>
      </c>
      <c r="EA1478" s="22">
        <v>43509</v>
      </c>
      <c r="EB1478" s="17">
        <v>43</v>
      </c>
      <c r="EC1478" s="22">
        <v>42644</v>
      </c>
      <c r="ED1478" s="15" t="s">
        <v>205</v>
      </c>
      <c r="EE1478" s="14" t="str">
        <f>HYPERLINK("https://my.pitchbook.com?c=125129-80", "View company online")</f>
        <v>View company online</v>
      </c>
    </row>
    <row r="1479" spans="1:135">
      <c r="A1479" s="28" t="s">
        <v>28419</v>
      </c>
      <c r="B1479" s="28" t="s">
        <v>28420</v>
      </c>
      <c r="C1479" s="28" t="s">
        <v>28421</v>
      </c>
      <c r="D1479" s="28" t="s">
        <v>138</v>
      </c>
      <c r="E1479" s="28" t="s">
        <v>28422</v>
      </c>
      <c r="F1479" s="28" t="s">
        <v>28419</v>
      </c>
      <c r="G1479" s="28" t="s">
        <v>28423</v>
      </c>
      <c r="H1479" s="28" t="s">
        <v>322</v>
      </c>
      <c r="I1479" s="28" t="s">
        <v>323</v>
      </c>
      <c r="J1479" s="28" t="s">
        <v>413</v>
      </c>
      <c r="K1479" s="28" t="s">
        <v>28424</v>
      </c>
      <c r="L1479" s="28" t="s">
        <v>28425</v>
      </c>
      <c r="M1479" s="28" t="s">
        <v>28426</v>
      </c>
      <c r="N1479" s="28" t="s">
        <v>147</v>
      </c>
      <c r="O1479" s="29">
        <v>144.37</v>
      </c>
      <c r="P1479" s="28" t="s">
        <v>148</v>
      </c>
      <c r="Q1479" s="28" t="s">
        <v>149</v>
      </c>
      <c r="R1479" s="28" t="s">
        <v>174</v>
      </c>
      <c r="S1479" s="28" t="s">
        <v>28427</v>
      </c>
      <c r="T1479" s="30">
        <v>11</v>
      </c>
      <c r="U1479" s="28" t="s">
        <v>28428</v>
      </c>
      <c r="V1479" s="28" t="s">
        <v>138</v>
      </c>
      <c r="W1479" s="28" t="s">
        <v>138</v>
      </c>
      <c r="X1479" s="31">
        <v>2015</v>
      </c>
      <c r="Y1479" s="28" t="s">
        <v>138</v>
      </c>
      <c r="Z1479" s="28" t="s">
        <v>138</v>
      </c>
      <c r="AA1479" s="28" t="s">
        <v>138</v>
      </c>
      <c r="AB1479" s="32" t="s">
        <v>138</v>
      </c>
      <c r="AC1479" s="32" t="s">
        <v>138</v>
      </c>
      <c r="AD1479" s="32" t="s">
        <v>138</v>
      </c>
      <c r="AE1479" s="32" t="s">
        <v>138</v>
      </c>
      <c r="AF1479" s="32" t="s">
        <v>138</v>
      </c>
      <c r="AG1479" s="28" t="s">
        <v>138</v>
      </c>
      <c r="AH1479" s="32" t="s">
        <v>138</v>
      </c>
      <c r="AI1479" s="32" t="s">
        <v>138</v>
      </c>
      <c r="AJ1479" s="32" t="s">
        <v>138</v>
      </c>
      <c r="AK1479" s="28" t="s">
        <v>28429</v>
      </c>
      <c r="AL1479" s="28" t="s">
        <v>28430</v>
      </c>
      <c r="AM1479" s="28" t="s">
        <v>1264</v>
      </c>
      <c r="AN1479" s="28" t="s">
        <v>28431</v>
      </c>
      <c r="AO1479" s="28" t="s">
        <v>28432</v>
      </c>
      <c r="AP1479" s="28" t="s">
        <v>8142</v>
      </c>
      <c r="AQ1479" s="28" t="s">
        <v>28433</v>
      </c>
      <c r="AR1479" s="28" t="s">
        <v>28434</v>
      </c>
      <c r="AS1479" s="28" t="s">
        <v>8145</v>
      </c>
      <c r="AT1479" s="28" t="s">
        <v>2331</v>
      </c>
      <c r="AU1479" s="28" t="s">
        <v>28435</v>
      </c>
      <c r="AV1479" s="28" t="s">
        <v>2333</v>
      </c>
      <c r="AW1479" s="28" t="s">
        <v>28432</v>
      </c>
      <c r="AX1479" s="28" t="s">
        <v>138</v>
      </c>
      <c r="AY1479" s="28" t="s">
        <v>28436</v>
      </c>
      <c r="AZ1479" s="28" t="s">
        <v>452</v>
      </c>
      <c r="BA1479" s="28" t="s">
        <v>2335</v>
      </c>
      <c r="BB1479" s="28" t="s">
        <v>28437</v>
      </c>
      <c r="BC1479" s="28" t="s">
        <v>28438</v>
      </c>
      <c r="BD1479" s="33">
        <v>29</v>
      </c>
      <c r="BE1479" s="28" t="s">
        <v>138</v>
      </c>
      <c r="BF1479" s="28" t="s">
        <v>138</v>
      </c>
      <c r="BG1479" s="28" t="s">
        <v>138</v>
      </c>
      <c r="BH1479" s="28" t="s">
        <v>28439</v>
      </c>
      <c r="BI1479" s="28" t="s">
        <v>138</v>
      </c>
      <c r="BJ1479" s="28" t="s">
        <v>138</v>
      </c>
      <c r="BK1479" s="28" t="s">
        <v>138</v>
      </c>
      <c r="BL1479" s="28" t="s">
        <v>138</v>
      </c>
      <c r="BM1479" s="34">
        <v>42221</v>
      </c>
      <c r="BN1479" s="29">
        <v>1</v>
      </c>
      <c r="BO1479" s="28" t="s">
        <v>172</v>
      </c>
      <c r="BP1479" s="29" t="s">
        <v>138</v>
      </c>
      <c r="BQ1479" s="28" t="s">
        <v>138</v>
      </c>
      <c r="BR1479" s="28" t="s">
        <v>234</v>
      </c>
      <c r="BS1479" s="28" t="s">
        <v>234</v>
      </c>
      <c r="BT1479" s="28" t="s">
        <v>138</v>
      </c>
      <c r="BU1479" s="28" t="s">
        <v>174</v>
      </c>
      <c r="BV1479" s="28" t="s">
        <v>138</v>
      </c>
      <c r="BW1479" s="28" t="s">
        <v>138</v>
      </c>
      <c r="BX1479" s="28" t="s">
        <v>138</v>
      </c>
      <c r="BY1479" s="28" t="s">
        <v>175</v>
      </c>
      <c r="BZ1479" s="34">
        <v>43537</v>
      </c>
      <c r="CA1479" s="29">
        <v>100</v>
      </c>
      <c r="CB1479" s="28" t="s">
        <v>172</v>
      </c>
      <c r="CC1479" s="29">
        <v>400</v>
      </c>
      <c r="CD1479" s="28" t="s">
        <v>172</v>
      </c>
      <c r="CE1479" s="28" t="s">
        <v>173</v>
      </c>
      <c r="CF1479" s="28" t="s">
        <v>317</v>
      </c>
      <c r="CG1479" s="28" t="s">
        <v>138</v>
      </c>
      <c r="CH1479" s="28" t="s">
        <v>174</v>
      </c>
      <c r="CI1479" s="28" t="s">
        <v>138</v>
      </c>
      <c r="CJ1479" s="28" t="s">
        <v>138</v>
      </c>
      <c r="CK1479" s="28" t="s">
        <v>138</v>
      </c>
      <c r="CL1479" s="28" t="s">
        <v>352</v>
      </c>
      <c r="CM1479" s="34" t="s">
        <v>138</v>
      </c>
      <c r="CN1479" s="29" t="s">
        <v>138</v>
      </c>
      <c r="CO1479" s="35">
        <v>0.27</v>
      </c>
      <c r="CP1479" s="36">
        <v>93</v>
      </c>
      <c r="CQ1479" s="35">
        <v>0.01</v>
      </c>
      <c r="CR1479" s="35">
        <v>3.34</v>
      </c>
      <c r="CS1479" s="35">
        <v>0.04</v>
      </c>
      <c r="CT1479" s="36">
        <v>94</v>
      </c>
      <c r="CU1479" s="35">
        <v>0.49</v>
      </c>
      <c r="CV1479" s="36">
        <v>93</v>
      </c>
      <c r="CW1479" s="35">
        <v>0.04</v>
      </c>
      <c r="CX1479" s="36">
        <v>80</v>
      </c>
      <c r="CY1479" s="35" t="s">
        <v>138</v>
      </c>
      <c r="CZ1479" s="36" t="s">
        <v>138</v>
      </c>
      <c r="DA1479" s="35">
        <v>0.21</v>
      </c>
      <c r="DB1479" s="36">
        <v>83</v>
      </c>
      <c r="DC1479" s="37">
        <v>50.59</v>
      </c>
      <c r="DD1479" s="36">
        <v>98</v>
      </c>
      <c r="DE1479" s="37">
        <v>-0.15</v>
      </c>
      <c r="DF1479" s="35">
        <v>-0.3</v>
      </c>
      <c r="DG1479" s="37">
        <v>2.21</v>
      </c>
      <c r="DH1479" s="36">
        <v>69</v>
      </c>
      <c r="DI1479" s="37">
        <v>98.97</v>
      </c>
      <c r="DJ1479" s="36">
        <v>97</v>
      </c>
      <c r="DK1479" s="37">
        <v>2.21</v>
      </c>
      <c r="DL1479" s="36">
        <v>66</v>
      </c>
      <c r="DM1479" s="37" t="s">
        <v>138</v>
      </c>
      <c r="DN1479" s="36" t="s">
        <v>138</v>
      </c>
      <c r="DO1479" s="37">
        <v>20.22</v>
      </c>
      <c r="DP1479" s="36">
        <v>92</v>
      </c>
      <c r="DQ1479" s="36">
        <v>780</v>
      </c>
      <c r="DR1479" s="38">
        <v>-67</v>
      </c>
      <c r="DS1479" s="35">
        <v>-7.91</v>
      </c>
      <c r="DT1479" s="36" t="s">
        <v>138</v>
      </c>
      <c r="DU1479" s="38" t="s">
        <v>138</v>
      </c>
      <c r="DV1479" s="35" t="s">
        <v>138</v>
      </c>
      <c r="DW1479" s="36">
        <v>7231</v>
      </c>
      <c r="DX1479" s="39">
        <v>22</v>
      </c>
      <c r="DY1479" s="35">
        <v>0.31</v>
      </c>
      <c r="DZ1479" s="28" t="s">
        <v>178</v>
      </c>
      <c r="EA1479" s="34">
        <v>43622</v>
      </c>
      <c r="EB1479" s="29">
        <v>400</v>
      </c>
      <c r="EC1479" s="34">
        <v>43537</v>
      </c>
      <c r="ED1479" s="28" t="s">
        <v>173</v>
      </c>
      <c r="EE1479" s="40" t="str">
        <f>HYPERLINK("https://my.pitchbook.com?c=121085-11", "View company online")</f>
        <v>View company online</v>
      </c>
    </row>
    <row r="1480" spans="1:135">
      <c r="A1480" s="15" t="s">
        <v>28440</v>
      </c>
      <c r="B1480" s="15" t="s">
        <v>28441</v>
      </c>
      <c r="C1480" s="15" t="s">
        <v>138</v>
      </c>
      <c r="D1480" s="15" t="s">
        <v>138</v>
      </c>
      <c r="E1480" s="15" t="s">
        <v>28442</v>
      </c>
      <c r="F1480" s="15" t="s">
        <v>28440</v>
      </c>
      <c r="G1480" s="15" t="s">
        <v>28443</v>
      </c>
      <c r="H1480" s="15" t="s">
        <v>322</v>
      </c>
      <c r="I1480" s="15" t="s">
        <v>807</v>
      </c>
      <c r="J1480" s="15" t="s">
        <v>1102</v>
      </c>
      <c r="K1480" s="15" t="s">
        <v>28444</v>
      </c>
      <c r="L1480" s="15" t="s">
        <v>215</v>
      </c>
      <c r="M1480" s="15" t="s">
        <v>28445</v>
      </c>
      <c r="N1480" s="15" t="s">
        <v>147</v>
      </c>
      <c r="O1480" s="17">
        <v>10.81</v>
      </c>
      <c r="P1480" s="15" t="s">
        <v>148</v>
      </c>
      <c r="Q1480" s="15" t="s">
        <v>149</v>
      </c>
      <c r="R1480" s="15" t="s">
        <v>174</v>
      </c>
      <c r="S1480" s="15" t="s">
        <v>28446</v>
      </c>
      <c r="T1480" s="18">
        <v>250</v>
      </c>
      <c r="U1480" s="15" t="s">
        <v>28447</v>
      </c>
      <c r="V1480" s="15" t="s">
        <v>138</v>
      </c>
      <c r="W1480" s="15" t="s">
        <v>138</v>
      </c>
      <c r="X1480" s="19">
        <v>2001</v>
      </c>
      <c r="Y1480" s="15" t="s">
        <v>138</v>
      </c>
      <c r="Z1480" s="15" t="s">
        <v>138</v>
      </c>
      <c r="AA1480" s="15" t="s">
        <v>138</v>
      </c>
      <c r="AB1480" s="20">
        <v>20.5</v>
      </c>
      <c r="AC1480" s="20" t="s">
        <v>138</v>
      </c>
      <c r="AD1480" s="20" t="s">
        <v>138</v>
      </c>
      <c r="AE1480" s="20" t="s">
        <v>138</v>
      </c>
      <c r="AF1480" s="20" t="s">
        <v>138</v>
      </c>
      <c r="AG1480" s="15" t="s">
        <v>707</v>
      </c>
      <c r="AH1480" s="20" t="s">
        <v>138</v>
      </c>
      <c r="AI1480" s="20" t="s">
        <v>138</v>
      </c>
      <c r="AJ1480" s="20" t="s">
        <v>138</v>
      </c>
      <c r="AK1480" s="15" t="s">
        <v>28448</v>
      </c>
      <c r="AL1480" s="15" t="s">
        <v>28449</v>
      </c>
      <c r="AM1480" s="15" t="s">
        <v>11924</v>
      </c>
      <c r="AN1480" s="15" t="s">
        <v>28450</v>
      </c>
      <c r="AO1480" s="15" t="s">
        <v>28451</v>
      </c>
      <c r="AP1480" s="15" t="s">
        <v>22277</v>
      </c>
      <c r="AQ1480" s="15" t="s">
        <v>28452</v>
      </c>
      <c r="AR1480" s="15" t="s">
        <v>1936</v>
      </c>
      <c r="AS1480" s="15" t="s">
        <v>22280</v>
      </c>
      <c r="AT1480" s="15" t="s">
        <v>339</v>
      </c>
      <c r="AU1480" s="15" t="s">
        <v>28453</v>
      </c>
      <c r="AV1480" s="15" t="s">
        <v>162</v>
      </c>
      <c r="AW1480" s="15" t="s">
        <v>28451</v>
      </c>
      <c r="AX1480" s="15" t="s">
        <v>28454</v>
      </c>
      <c r="AY1480" s="15" t="s">
        <v>28455</v>
      </c>
      <c r="AZ1480" s="15" t="s">
        <v>164</v>
      </c>
      <c r="BA1480" s="15" t="s">
        <v>165</v>
      </c>
      <c r="BB1480" s="15" t="s">
        <v>28456</v>
      </c>
      <c r="BC1480" s="15" t="s">
        <v>5703</v>
      </c>
      <c r="BD1480" s="21">
        <v>1</v>
      </c>
      <c r="BE1480" s="15" t="s">
        <v>138</v>
      </c>
      <c r="BF1480" s="15" t="s">
        <v>138</v>
      </c>
      <c r="BG1480" s="15" t="s">
        <v>138</v>
      </c>
      <c r="BH1480" s="15" t="s">
        <v>138</v>
      </c>
      <c r="BI1480" s="15" t="s">
        <v>138</v>
      </c>
      <c r="BJ1480" s="15" t="s">
        <v>138</v>
      </c>
      <c r="BK1480" s="15" t="s">
        <v>138</v>
      </c>
      <c r="BL1480" s="15" t="s">
        <v>6617</v>
      </c>
      <c r="BM1480" s="22">
        <v>42094</v>
      </c>
      <c r="BN1480" s="17">
        <v>10</v>
      </c>
      <c r="BO1480" s="15" t="s">
        <v>172</v>
      </c>
      <c r="BP1480" s="17" t="s">
        <v>138</v>
      </c>
      <c r="BQ1480" s="15" t="s">
        <v>138</v>
      </c>
      <c r="BR1480" s="15" t="s">
        <v>173</v>
      </c>
      <c r="BS1480" s="15" t="s">
        <v>138</v>
      </c>
      <c r="BT1480" s="15" t="s">
        <v>138</v>
      </c>
      <c r="BU1480" s="15" t="s">
        <v>174</v>
      </c>
      <c r="BV1480" s="15" t="s">
        <v>138</v>
      </c>
      <c r="BW1480" s="15" t="s">
        <v>138</v>
      </c>
      <c r="BX1480" s="15" t="s">
        <v>138</v>
      </c>
      <c r="BY1480" s="15" t="s">
        <v>175</v>
      </c>
      <c r="BZ1480" s="22">
        <v>42899</v>
      </c>
      <c r="CA1480" s="17">
        <v>0.81</v>
      </c>
      <c r="CB1480" s="15" t="s">
        <v>172</v>
      </c>
      <c r="CC1480" s="17" t="s">
        <v>138</v>
      </c>
      <c r="CD1480" s="15" t="s">
        <v>138</v>
      </c>
      <c r="CE1480" s="15" t="s">
        <v>173</v>
      </c>
      <c r="CF1480" s="15" t="s">
        <v>138</v>
      </c>
      <c r="CG1480" s="15" t="s">
        <v>138</v>
      </c>
      <c r="CH1480" s="15" t="s">
        <v>174</v>
      </c>
      <c r="CI1480" s="15" t="s">
        <v>138</v>
      </c>
      <c r="CJ1480" s="15" t="s">
        <v>138</v>
      </c>
      <c r="CK1480" s="15" t="s">
        <v>138</v>
      </c>
      <c r="CL1480" s="15" t="s">
        <v>175</v>
      </c>
      <c r="CM1480" s="22" t="s">
        <v>138</v>
      </c>
      <c r="CN1480" s="17" t="s">
        <v>138</v>
      </c>
      <c r="CO1480" s="23">
        <v>0.03</v>
      </c>
      <c r="CP1480" s="24">
        <v>86</v>
      </c>
      <c r="CQ1480" s="23">
        <v>0.03</v>
      </c>
      <c r="CR1480" s="23">
        <v>0</v>
      </c>
      <c r="CS1480" s="23">
        <v>0</v>
      </c>
      <c r="CT1480" s="24">
        <v>23</v>
      </c>
      <c r="CU1480" s="23">
        <v>0.06</v>
      </c>
      <c r="CV1480" s="24">
        <v>60</v>
      </c>
      <c r="CW1480" s="23">
        <v>0</v>
      </c>
      <c r="CX1480" s="24">
        <v>13</v>
      </c>
      <c r="CY1480" s="23">
        <v>0</v>
      </c>
      <c r="CZ1480" s="24">
        <v>25</v>
      </c>
      <c r="DA1480" s="23">
        <v>0.06</v>
      </c>
      <c r="DB1480" s="24">
        <v>65</v>
      </c>
      <c r="DC1480" s="25">
        <v>0.88</v>
      </c>
      <c r="DD1480" s="24">
        <v>48</v>
      </c>
      <c r="DE1480" s="25">
        <v>0</v>
      </c>
      <c r="DF1480" s="23">
        <v>-0.55000000000000004</v>
      </c>
      <c r="DG1480" s="25">
        <v>1.2</v>
      </c>
      <c r="DH1480" s="24">
        <v>55</v>
      </c>
      <c r="DI1480" s="25">
        <v>0.56000000000000005</v>
      </c>
      <c r="DJ1480" s="24">
        <v>38</v>
      </c>
      <c r="DK1480" s="25">
        <v>0.2</v>
      </c>
      <c r="DL1480" s="24">
        <v>9</v>
      </c>
      <c r="DM1480" s="25">
        <v>2.21</v>
      </c>
      <c r="DN1480" s="24">
        <v>68</v>
      </c>
      <c r="DO1480" s="25">
        <v>0.56000000000000005</v>
      </c>
      <c r="DP1480" s="24">
        <v>40</v>
      </c>
      <c r="DQ1480" s="24">
        <v>77</v>
      </c>
      <c r="DR1480" s="26">
        <v>-24</v>
      </c>
      <c r="DS1480" s="23">
        <v>-23.76</v>
      </c>
      <c r="DT1480" s="24">
        <v>64</v>
      </c>
      <c r="DU1480" s="26">
        <v>0</v>
      </c>
      <c r="DV1480" s="23">
        <v>0</v>
      </c>
      <c r="DW1480" s="24">
        <v>200</v>
      </c>
      <c r="DX1480" s="27">
        <v>1</v>
      </c>
      <c r="DY1480" s="23">
        <v>0.5</v>
      </c>
      <c r="DZ1480" s="15" t="s">
        <v>178</v>
      </c>
      <c r="EA1480" s="22">
        <v>43549</v>
      </c>
      <c r="EB1480" s="17" t="s">
        <v>138</v>
      </c>
      <c r="EC1480" s="22" t="s">
        <v>138</v>
      </c>
      <c r="ED1480" s="15" t="s">
        <v>138</v>
      </c>
      <c r="EE1480" s="14" t="str">
        <f>HYPERLINK("https://my.pitchbook.com?c=110150-20", "View company online")</f>
        <v>View company online</v>
      </c>
    </row>
    <row r="1481" spans="1:135">
      <c r="A1481" s="28" t="s">
        <v>28457</v>
      </c>
      <c r="B1481" s="28" t="s">
        <v>28458</v>
      </c>
      <c r="C1481" s="28" t="s">
        <v>138</v>
      </c>
      <c r="D1481" s="28" t="s">
        <v>138</v>
      </c>
      <c r="E1481" s="28" t="s">
        <v>28459</v>
      </c>
      <c r="F1481" s="28" t="s">
        <v>28457</v>
      </c>
      <c r="G1481" s="28" t="s">
        <v>28460</v>
      </c>
      <c r="H1481" s="28" t="s">
        <v>238</v>
      </c>
      <c r="I1481" s="28" t="s">
        <v>269</v>
      </c>
      <c r="J1481" s="28" t="s">
        <v>296</v>
      </c>
      <c r="K1481" s="28" t="s">
        <v>297</v>
      </c>
      <c r="L1481" s="28" t="s">
        <v>28461</v>
      </c>
      <c r="M1481" s="28" t="s">
        <v>28462</v>
      </c>
      <c r="N1481" s="28" t="s">
        <v>147</v>
      </c>
      <c r="O1481" s="29">
        <v>77.05</v>
      </c>
      <c r="P1481" s="28" t="s">
        <v>148</v>
      </c>
      <c r="Q1481" s="28" t="s">
        <v>149</v>
      </c>
      <c r="R1481" s="28" t="s">
        <v>174</v>
      </c>
      <c r="S1481" s="28" t="s">
        <v>28463</v>
      </c>
      <c r="T1481" s="30">
        <v>150</v>
      </c>
      <c r="U1481" s="28" t="s">
        <v>28464</v>
      </c>
      <c r="V1481" s="28" t="s">
        <v>138</v>
      </c>
      <c r="W1481" s="28" t="s">
        <v>138</v>
      </c>
      <c r="X1481" s="31">
        <v>2015</v>
      </c>
      <c r="Y1481" s="28" t="s">
        <v>138</v>
      </c>
      <c r="Z1481" s="28" t="s">
        <v>138</v>
      </c>
      <c r="AA1481" s="28" t="s">
        <v>138</v>
      </c>
      <c r="AB1481" s="32" t="s">
        <v>138</v>
      </c>
      <c r="AC1481" s="32" t="s">
        <v>138</v>
      </c>
      <c r="AD1481" s="32" t="s">
        <v>138</v>
      </c>
      <c r="AE1481" s="32" t="s">
        <v>138</v>
      </c>
      <c r="AF1481" s="32" t="s">
        <v>138</v>
      </c>
      <c r="AG1481" s="28" t="s">
        <v>138</v>
      </c>
      <c r="AH1481" s="32" t="s">
        <v>138</v>
      </c>
      <c r="AI1481" s="32" t="s">
        <v>138</v>
      </c>
      <c r="AJ1481" s="32" t="s">
        <v>138</v>
      </c>
      <c r="AK1481" s="28" t="s">
        <v>28465</v>
      </c>
      <c r="AL1481" s="28" t="s">
        <v>28466</v>
      </c>
      <c r="AM1481" s="28" t="s">
        <v>9482</v>
      </c>
      <c r="AN1481" s="28" t="s">
        <v>28467</v>
      </c>
      <c r="AO1481" s="28" t="s">
        <v>138</v>
      </c>
      <c r="AP1481" s="28" t="s">
        <v>964</v>
      </c>
      <c r="AQ1481" s="28" t="s">
        <v>28468</v>
      </c>
      <c r="AR1481" s="28" t="s">
        <v>138</v>
      </c>
      <c r="AS1481" s="28" t="s">
        <v>966</v>
      </c>
      <c r="AT1481" s="28" t="s">
        <v>200</v>
      </c>
      <c r="AU1481" s="28" t="s">
        <v>967</v>
      </c>
      <c r="AV1481" s="28" t="s">
        <v>162</v>
      </c>
      <c r="AW1481" s="28" t="s">
        <v>138</v>
      </c>
      <c r="AX1481" s="28" t="s">
        <v>138</v>
      </c>
      <c r="AY1481" s="28" t="s">
        <v>28469</v>
      </c>
      <c r="AZ1481" s="28" t="s">
        <v>164</v>
      </c>
      <c r="BA1481" s="28" t="s">
        <v>165</v>
      </c>
      <c r="BB1481" s="28" t="s">
        <v>28470</v>
      </c>
      <c r="BC1481" s="28" t="s">
        <v>28471</v>
      </c>
      <c r="BD1481" s="33">
        <v>9</v>
      </c>
      <c r="BE1481" s="28" t="s">
        <v>138</v>
      </c>
      <c r="BF1481" s="28" t="s">
        <v>138</v>
      </c>
      <c r="BG1481" s="28" t="s">
        <v>138</v>
      </c>
      <c r="BH1481" s="28" t="s">
        <v>28472</v>
      </c>
      <c r="BI1481" s="28" t="s">
        <v>138</v>
      </c>
      <c r="BJ1481" s="28" t="s">
        <v>138</v>
      </c>
      <c r="BK1481" s="28" t="s">
        <v>28473</v>
      </c>
      <c r="BL1481" s="28" t="s">
        <v>28474</v>
      </c>
      <c r="BM1481" s="34">
        <v>42095</v>
      </c>
      <c r="BN1481" s="29">
        <v>0.05</v>
      </c>
      <c r="BO1481" s="28" t="s">
        <v>172</v>
      </c>
      <c r="BP1481" s="29" t="s">
        <v>138</v>
      </c>
      <c r="BQ1481" s="28" t="s">
        <v>138</v>
      </c>
      <c r="BR1481" s="28" t="s">
        <v>234</v>
      </c>
      <c r="BS1481" s="28" t="s">
        <v>234</v>
      </c>
      <c r="BT1481" s="28" t="s">
        <v>138</v>
      </c>
      <c r="BU1481" s="28" t="s">
        <v>263</v>
      </c>
      <c r="BV1481" s="28" t="s">
        <v>138</v>
      </c>
      <c r="BW1481" s="28" t="s">
        <v>138</v>
      </c>
      <c r="BX1481" s="28" t="s">
        <v>138</v>
      </c>
      <c r="BY1481" s="28" t="s">
        <v>175</v>
      </c>
      <c r="BZ1481" s="34" t="s">
        <v>138</v>
      </c>
      <c r="CA1481" s="29" t="s">
        <v>138</v>
      </c>
      <c r="CB1481" s="28" t="s">
        <v>138</v>
      </c>
      <c r="CC1481" s="29" t="s">
        <v>138</v>
      </c>
      <c r="CD1481" s="28" t="s">
        <v>138</v>
      </c>
      <c r="CE1481" s="28" t="s">
        <v>2228</v>
      </c>
      <c r="CF1481" s="28" t="s">
        <v>138</v>
      </c>
      <c r="CG1481" s="28" t="s">
        <v>138</v>
      </c>
      <c r="CH1481" s="28" t="s">
        <v>780</v>
      </c>
      <c r="CI1481" s="28" t="s">
        <v>138</v>
      </c>
      <c r="CJ1481" s="28" t="s">
        <v>138</v>
      </c>
      <c r="CK1481" s="28" t="s">
        <v>138</v>
      </c>
      <c r="CL1481" s="28" t="s">
        <v>3093</v>
      </c>
      <c r="CM1481" s="34" t="s">
        <v>138</v>
      </c>
      <c r="CN1481" s="29" t="s">
        <v>138</v>
      </c>
      <c r="CO1481" s="35">
        <v>0.63</v>
      </c>
      <c r="CP1481" s="36">
        <v>96</v>
      </c>
      <c r="CQ1481" s="35">
        <v>0.16</v>
      </c>
      <c r="CR1481" s="35">
        <v>35.380000000000003</v>
      </c>
      <c r="CS1481" s="35">
        <v>0.45</v>
      </c>
      <c r="CT1481" s="36">
        <v>95</v>
      </c>
      <c r="CU1481" s="35">
        <v>0.48</v>
      </c>
      <c r="CV1481" s="36">
        <v>93</v>
      </c>
      <c r="CW1481" s="35">
        <v>2.08</v>
      </c>
      <c r="CX1481" s="36">
        <v>88</v>
      </c>
      <c r="CY1481" s="35">
        <v>-1.18</v>
      </c>
      <c r="CZ1481" s="36">
        <v>17</v>
      </c>
      <c r="DA1481" s="35">
        <v>0.75</v>
      </c>
      <c r="DB1481" s="36">
        <v>97</v>
      </c>
      <c r="DC1481" s="37">
        <v>12.66</v>
      </c>
      <c r="DD1481" s="36">
        <v>92</v>
      </c>
      <c r="DE1481" s="37">
        <v>-6.92</v>
      </c>
      <c r="DF1481" s="35">
        <v>-35.33</v>
      </c>
      <c r="DG1481" s="37">
        <v>25.88</v>
      </c>
      <c r="DH1481" s="36">
        <v>96</v>
      </c>
      <c r="DI1481" s="37">
        <v>11.83</v>
      </c>
      <c r="DJ1481" s="36">
        <v>87</v>
      </c>
      <c r="DK1481" s="37">
        <v>24.32</v>
      </c>
      <c r="DL1481" s="36">
        <v>93</v>
      </c>
      <c r="DM1481" s="37">
        <v>27.45</v>
      </c>
      <c r="DN1481" s="36">
        <v>96</v>
      </c>
      <c r="DO1481" s="37">
        <v>20.83</v>
      </c>
      <c r="DP1481" s="36">
        <v>93</v>
      </c>
      <c r="DQ1481" s="36">
        <v>8309</v>
      </c>
      <c r="DR1481" s="38">
        <v>98</v>
      </c>
      <c r="DS1481" s="35">
        <v>1.19</v>
      </c>
      <c r="DT1481" s="36">
        <v>796</v>
      </c>
      <c r="DU1481" s="38">
        <v>0</v>
      </c>
      <c r="DV1481" s="35">
        <v>0</v>
      </c>
      <c r="DW1481" s="36">
        <v>7435</v>
      </c>
      <c r="DX1481" s="39">
        <v>50</v>
      </c>
      <c r="DY1481" s="35">
        <v>0.68</v>
      </c>
      <c r="DZ1481" s="28" t="s">
        <v>178</v>
      </c>
      <c r="EA1481" s="34">
        <v>43551</v>
      </c>
      <c r="EB1481" s="29">
        <v>200</v>
      </c>
      <c r="EC1481" s="34">
        <v>42913</v>
      </c>
      <c r="ED1481" s="28" t="s">
        <v>205</v>
      </c>
      <c r="EE1481" s="40" t="str">
        <f>HYPERLINK("https://my.pitchbook.com?c=125620-39", "View company online")</f>
        <v>View company online</v>
      </c>
    </row>
    <row r="1482" spans="1:135">
      <c r="A1482" s="15" t="s">
        <v>28475</v>
      </c>
      <c r="B1482" s="15" t="s">
        <v>28476</v>
      </c>
      <c r="C1482" s="15" t="s">
        <v>138</v>
      </c>
      <c r="D1482" s="15" t="s">
        <v>138</v>
      </c>
      <c r="E1482" s="15" t="s">
        <v>138</v>
      </c>
      <c r="F1482" s="15" t="s">
        <v>28475</v>
      </c>
      <c r="G1482" s="15" t="s">
        <v>28477</v>
      </c>
      <c r="H1482" s="15" t="s">
        <v>238</v>
      </c>
      <c r="I1482" s="15" t="s">
        <v>749</v>
      </c>
      <c r="J1482" s="15" t="s">
        <v>4261</v>
      </c>
      <c r="K1482" s="15" t="s">
        <v>28478</v>
      </c>
      <c r="L1482" s="15" t="s">
        <v>4703</v>
      </c>
      <c r="M1482" s="15" t="s">
        <v>28479</v>
      </c>
      <c r="N1482" s="15" t="s">
        <v>147</v>
      </c>
      <c r="O1482" s="17">
        <v>0.12</v>
      </c>
      <c r="P1482" s="15" t="s">
        <v>610</v>
      </c>
      <c r="Q1482" s="15" t="s">
        <v>149</v>
      </c>
      <c r="R1482" s="15" t="s">
        <v>174</v>
      </c>
      <c r="S1482" s="15" t="s">
        <v>28480</v>
      </c>
      <c r="T1482" s="18">
        <v>3</v>
      </c>
      <c r="U1482" s="15" t="s">
        <v>19687</v>
      </c>
      <c r="V1482" s="15" t="s">
        <v>138</v>
      </c>
      <c r="W1482" s="15" t="s">
        <v>138</v>
      </c>
      <c r="X1482" s="19">
        <v>2015</v>
      </c>
      <c r="Y1482" s="15" t="s">
        <v>138</v>
      </c>
      <c r="Z1482" s="15" t="s">
        <v>138</v>
      </c>
      <c r="AA1482" s="15" t="s">
        <v>138</v>
      </c>
      <c r="AB1482" s="20" t="s">
        <v>138</v>
      </c>
      <c r="AC1482" s="20" t="s">
        <v>138</v>
      </c>
      <c r="AD1482" s="20" t="s">
        <v>138</v>
      </c>
      <c r="AE1482" s="20" t="s">
        <v>138</v>
      </c>
      <c r="AF1482" s="20" t="s">
        <v>138</v>
      </c>
      <c r="AG1482" s="15" t="s">
        <v>138</v>
      </c>
      <c r="AH1482" s="20" t="s">
        <v>138</v>
      </c>
      <c r="AI1482" s="20" t="s">
        <v>138</v>
      </c>
      <c r="AJ1482" s="20" t="s">
        <v>138</v>
      </c>
      <c r="AK1482" s="15" t="s">
        <v>28481</v>
      </c>
      <c r="AL1482" s="15" t="s">
        <v>28482</v>
      </c>
      <c r="AM1482" s="15" t="s">
        <v>304</v>
      </c>
      <c r="AN1482" s="15" t="s">
        <v>28483</v>
      </c>
      <c r="AO1482" s="15" t="s">
        <v>28484</v>
      </c>
      <c r="AP1482" s="15" t="s">
        <v>423</v>
      </c>
      <c r="AQ1482" s="15" t="s">
        <v>138</v>
      </c>
      <c r="AR1482" s="15" t="s">
        <v>138</v>
      </c>
      <c r="AS1482" s="15" t="s">
        <v>426</v>
      </c>
      <c r="AT1482" s="15" t="s">
        <v>426</v>
      </c>
      <c r="AU1482" s="15" t="s">
        <v>138</v>
      </c>
      <c r="AV1482" s="15" t="s">
        <v>162</v>
      </c>
      <c r="AW1482" s="15" t="s">
        <v>28484</v>
      </c>
      <c r="AX1482" s="15" t="s">
        <v>138</v>
      </c>
      <c r="AY1482" s="15" t="s">
        <v>138</v>
      </c>
      <c r="AZ1482" s="15" t="s">
        <v>164</v>
      </c>
      <c r="BA1482" s="15" t="s">
        <v>165</v>
      </c>
      <c r="BB1482" s="15" t="s">
        <v>28485</v>
      </c>
      <c r="BC1482" s="15" t="s">
        <v>14231</v>
      </c>
      <c r="BD1482" s="21">
        <v>3</v>
      </c>
      <c r="BE1482" s="15" t="s">
        <v>138</v>
      </c>
      <c r="BF1482" s="15" t="s">
        <v>138</v>
      </c>
      <c r="BG1482" s="15" t="s">
        <v>138</v>
      </c>
      <c r="BH1482" s="15" t="s">
        <v>14232</v>
      </c>
      <c r="BI1482" s="15" t="s">
        <v>138</v>
      </c>
      <c r="BJ1482" s="15" t="s">
        <v>138</v>
      </c>
      <c r="BK1482" s="15" t="s">
        <v>138</v>
      </c>
      <c r="BL1482" s="15" t="s">
        <v>138</v>
      </c>
      <c r="BM1482" s="22">
        <v>42370</v>
      </c>
      <c r="BN1482" s="17" t="s">
        <v>138</v>
      </c>
      <c r="BO1482" s="15" t="s">
        <v>138</v>
      </c>
      <c r="BP1482" s="17" t="s">
        <v>138</v>
      </c>
      <c r="BQ1482" s="15" t="s">
        <v>138</v>
      </c>
      <c r="BR1482" s="15" t="s">
        <v>205</v>
      </c>
      <c r="BS1482" s="15" t="s">
        <v>138</v>
      </c>
      <c r="BT1482" s="15" t="s">
        <v>138</v>
      </c>
      <c r="BU1482" s="15" t="s">
        <v>174</v>
      </c>
      <c r="BV1482" s="15" t="s">
        <v>138</v>
      </c>
      <c r="BW1482" s="15" t="s">
        <v>138</v>
      </c>
      <c r="BX1482" s="15" t="s">
        <v>138</v>
      </c>
      <c r="BY1482" s="15" t="s">
        <v>175</v>
      </c>
      <c r="BZ1482" s="22">
        <v>42646</v>
      </c>
      <c r="CA1482" s="17">
        <v>0.12</v>
      </c>
      <c r="CB1482" s="15" t="s">
        <v>172</v>
      </c>
      <c r="CC1482" s="17">
        <v>0.33</v>
      </c>
      <c r="CD1482" s="15" t="s">
        <v>172</v>
      </c>
      <c r="CE1482" s="15" t="s">
        <v>316</v>
      </c>
      <c r="CF1482" s="15" t="s">
        <v>138</v>
      </c>
      <c r="CG1482" s="15" t="s">
        <v>138</v>
      </c>
      <c r="CH1482" s="15" t="s">
        <v>263</v>
      </c>
      <c r="CI1482" s="15" t="s">
        <v>264</v>
      </c>
      <c r="CJ1482" s="15" t="s">
        <v>138</v>
      </c>
      <c r="CK1482" s="15" t="s">
        <v>138</v>
      </c>
      <c r="CL1482" s="15" t="s">
        <v>175</v>
      </c>
      <c r="CM1482" s="22" t="s">
        <v>138</v>
      </c>
      <c r="CN1482" s="17" t="s">
        <v>138</v>
      </c>
      <c r="CO1482" s="23">
        <v>0</v>
      </c>
      <c r="CP1482" s="24">
        <v>26</v>
      </c>
      <c r="CQ1482" s="23">
        <v>0</v>
      </c>
      <c r="CR1482" s="23">
        <v>0</v>
      </c>
      <c r="CS1482" s="23">
        <v>0</v>
      </c>
      <c r="CT1482" s="24">
        <v>23</v>
      </c>
      <c r="CU1482" s="23">
        <v>0</v>
      </c>
      <c r="CV1482" s="24">
        <v>22</v>
      </c>
      <c r="CW1482" s="23" t="s">
        <v>138</v>
      </c>
      <c r="CX1482" s="24" t="s">
        <v>138</v>
      </c>
      <c r="CY1482" s="23">
        <v>0</v>
      </c>
      <c r="CZ1482" s="24">
        <v>25</v>
      </c>
      <c r="DA1482" s="23">
        <v>0</v>
      </c>
      <c r="DB1482" s="24">
        <v>22</v>
      </c>
      <c r="DC1482" s="25">
        <v>0.63</v>
      </c>
      <c r="DD1482" s="24">
        <v>40</v>
      </c>
      <c r="DE1482" s="25">
        <v>0</v>
      </c>
      <c r="DF1482" s="23">
        <v>0.27</v>
      </c>
      <c r="DG1482" s="25">
        <v>0.66</v>
      </c>
      <c r="DH1482" s="24">
        <v>41</v>
      </c>
      <c r="DI1482" s="25">
        <v>0.61</v>
      </c>
      <c r="DJ1482" s="24">
        <v>40</v>
      </c>
      <c r="DK1482" s="25" t="s">
        <v>138</v>
      </c>
      <c r="DL1482" s="24" t="s">
        <v>138</v>
      </c>
      <c r="DM1482" s="25">
        <v>0.66</v>
      </c>
      <c r="DN1482" s="24">
        <v>40</v>
      </c>
      <c r="DO1482" s="25">
        <v>0.61</v>
      </c>
      <c r="DP1482" s="24">
        <v>41</v>
      </c>
      <c r="DQ1482" s="24" t="s">
        <v>138</v>
      </c>
      <c r="DR1482" s="26" t="s">
        <v>138</v>
      </c>
      <c r="DS1482" s="23" t="s">
        <v>138</v>
      </c>
      <c r="DT1482" s="24">
        <v>19</v>
      </c>
      <c r="DU1482" s="26">
        <v>1</v>
      </c>
      <c r="DV1482" s="23">
        <v>5.56</v>
      </c>
      <c r="DW1482" s="24">
        <v>218</v>
      </c>
      <c r="DX1482" s="27">
        <v>0</v>
      </c>
      <c r="DY1482" s="23">
        <v>0</v>
      </c>
      <c r="DZ1482" s="15" t="s">
        <v>178</v>
      </c>
      <c r="EA1482" s="22">
        <v>43375</v>
      </c>
      <c r="EB1482" s="17">
        <v>0.33</v>
      </c>
      <c r="EC1482" s="22">
        <v>42646</v>
      </c>
      <c r="ED1482" s="15" t="s">
        <v>316</v>
      </c>
      <c r="EE1482" s="14" t="str">
        <f>HYPERLINK("https://my.pitchbook.com?c=178727-86", "View company online")</f>
        <v>View company online</v>
      </c>
    </row>
    <row r="1483" spans="1:135">
      <c r="A1483" s="28" t="s">
        <v>28486</v>
      </c>
      <c r="B1483" s="28" t="s">
        <v>28487</v>
      </c>
      <c r="C1483" s="28" t="s">
        <v>138</v>
      </c>
      <c r="D1483" s="28" t="s">
        <v>138</v>
      </c>
      <c r="E1483" s="28" t="s">
        <v>28488</v>
      </c>
      <c r="F1483" s="28" t="s">
        <v>28486</v>
      </c>
      <c r="G1483" s="28" t="s">
        <v>28489</v>
      </c>
      <c r="H1483" s="28" t="s">
        <v>322</v>
      </c>
      <c r="I1483" s="28" t="s">
        <v>323</v>
      </c>
      <c r="J1483" s="28" t="s">
        <v>324</v>
      </c>
      <c r="K1483" s="28" t="s">
        <v>8585</v>
      </c>
      <c r="L1483" s="28" t="s">
        <v>326</v>
      </c>
      <c r="M1483" s="28" t="s">
        <v>28490</v>
      </c>
      <c r="N1483" s="28" t="s">
        <v>147</v>
      </c>
      <c r="O1483" s="29">
        <v>45</v>
      </c>
      <c r="P1483" s="28" t="s">
        <v>148</v>
      </c>
      <c r="Q1483" s="28" t="s">
        <v>149</v>
      </c>
      <c r="R1483" s="28" t="s">
        <v>174</v>
      </c>
      <c r="S1483" s="28" t="s">
        <v>28491</v>
      </c>
      <c r="T1483" s="30">
        <v>70</v>
      </c>
      <c r="U1483" s="28" t="s">
        <v>28492</v>
      </c>
      <c r="V1483" s="28" t="s">
        <v>138</v>
      </c>
      <c r="W1483" s="28" t="s">
        <v>138</v>
      </c>
      <c r="X1483" s="31">
        <v>2015</v>
      </c>
      <c r="Y1483" s="28" t="s">
        <v>138</v>
      </c>
      <c r="Z1483" s="28" t="s">
        <v>138</v>
      </c>
      <c r="AA1483" s="28" t="s">
        <v>138</v>
      </c>
      <c r="AB1483" s="32" t="s">
        <v>138</v>
      </c>
      <c r="AC1483" s="32" t="s">
        <v>138</v>
      </c>
      <c r="AD1483" s="32" t="s">
        <v>138</v>
      </c>
      <c r="AE1483" s="32" t="s">
        <v>138</v>
      </c>
      <c r="AF1483" s="32" t="s">
        <v>138</v>
      </c>
      <c r="AG1483" s="28" t="s">
        <v>138</v>
      </c>
      <c r="AH1483" s="32" t="s">
        <v>138</v>
      </c>
      <c r="AI1483" s="32" t="s">
        <v>138</v>
      </c>
      <c r="AJ1483" s="32" t="s">
        <v>138</v>
      </c>
      <c r="AK1483" s="28" t="s">
        <v>28493</v>
      </c>
      <c r="AL1483" s="28" t="s">
        <v>28494</v>
      </c>
      <c r="AM1483" s="28" t="s">
        <v>2605</v>
      </c>
      <c r="AN1483" s="28" t="s">
        <v>28495</v>
      </c>
      <c r="AO1483" s="28" t="s">
        <v>28496</v>
      </c>
      <c r="AP1483" s="28" t="s">
        <v>3839</v>
      </c>
      <c r="AQ1483" s="28" t="s">
        <v>28497</v>
      </c>
      <c r="AR1483" s="28" t="s">
        <v>28498</v>
      </c>
      <c r="AS1483" s="28" t="s">
        <v>3841</v>
      </c>
      <c r="AT1483" s="28" t="s">
        <v>200</v>
      </c>
      <c r="AU1483" s="28" t="s">
        <v>3842</v>
      </c>
      <c r="AV1483" s="28" t="s">
        <v>162</v>
      </c>
      <c r="AW1483" s="28" t="s">
        <v>28496</v>
      </c>
      <c r="AX1483" s="28" t="s">
        <v>138</v>
      </c>
      <c r="AY1483" s="28" t="s">
        <v>28499</v>
      </c>
      <c r="AZ1483" s="28" t="s">
        <v>164</v>
      </c>
      <c r="BA1483" s="28" t="s">
        <v>165</v>
      </c>
      <c r="BB1483" s="28" t="s">
        <v>28500</v>
      </c>
      <c r="BC1483" s="28" t="s">
        <v>28501</v>
      </c>
      <c r="BD1483" s="33">
        <v>4</v>
      </c>
      <c r="BE1483" s="28" t="s">
        <v>138</v>
      </c>
      <c r="BF1483" s="28" t="s">
        <v>138</v>
      </c>
      <c r="BG1483" s="28" t="s">
        <v>138</v>
      </c>
      <c r="BH1483" s="28" t="s">
        <v>28502</v>
      </c>
      <c r="BI1483" s="28" t="s">
        <v>138</v>
      </c>
      <c r="BJ1483" s="28" t="s">
        <v>138</v>
      </c>
      <c r="BK1483" s="28" t="s">
        <v>28503</v>
      </c>
      <c r="BL1483" s="28" t="s">
        <v>28504</v>
      </c>
      <c r="BM1483" s="34">
        <v>42272</v>
      </c>
      <c r="BN1483" s="29">
        <v>12</v>
      </c>
      <c r="BO1483" s="28" t="s">
        <v>172</v>
      </c>
      <c r="BP1483" s="29">
        <v>32</v>
      </c>
      <c r="BQ1483" s="28" t="s">
        <v>172</v>
      </c>
      <c r="BR1483" s="28" t="s">
        <v>205</v>
      </c>
      <c r="BS1483" s="28" t="s">
        <v>206</v>
      </c>
      <c r="BT1483" s="28" t="s">
        <v>138</v>
      </c>
      <c r="BU1483" s="28" t="s">
        <v>174</v>
      </c>
      <c r="BV1483" s="28" t="s">
        <v>138</v>
      </c>
      <c r="BW1483" s="28" t="s">
        <v>138</v>
      </c>
      <c r="BX1483" s="28" t="s">
        <v>138</v>
      </c>
      <c r="BY1483" s="28" t="s">
        <v>175</v>
      </c>
      <c r="BZ1483" s="34">
        <v>43312</v>
      </c>
      <c r="CA1483" s="29">
        <v>30</v>
      </c>
      <c r="CB1483" s="28" t="s">
        <v>172</v>
      </c>
      <c r="CC1483" s="29">
        <v>110</v>
      </c>
      <c r="CD1483" s="28" t="s">
        <v>172</v>
      </c>
      <c r="CE1483" s="28" t="s">
        <v>205</v>
      </c>
      <c r="CF1483" s="28" t="s">
        <v>720</v>
      </c>
      <c r="CG1483" s="28" t="s">
        <v>138</v>
      </c>
      <c r="CH1483" s="28" t="s">
        <v>174</v>
      </c>
      <c r="CI1483" s="28" t="s">
        <v>138</v>
      </c>
      <c r="CJ1483" s="28" t="s">
        <v>138</v>
      </c>
      <c r="CK1483" s="28" t="s">
        <v>138</v>
      </c>
      <c r="CL1483" s="28" t="s">
        <v>175</v>
      </c>
      <c r="CM1483" s="34" t="s">
        <v>138</v>
      </c>
      <c r="CN1483" s="29" t="s">
        <v>138</v>
      </c>
      <c r="CO1483" s="35">
        <v>0.17</v>
      </c>
      <c r="CP1483" s="36">
        <v>92</v>
      </c>
      <c r="CQ1483" s="35">
        <v>-0.02</v>
      </c>
      <c r="CR1483" s="35">
        <v>-9.73</v>
      </c>
      <c r="CS1483" s="35">
        <v>0.33</v>
      </c>
      <c r="CT1483" s="36">
        <v>95</v>
      </c>
      <c r="CU1483" s="35">
        <v>0.01</v>
      </c>
      <c r="CV1483" s="36">
        <v>49</v>
      </c>
      <c r="CW1483" s="35">
        <v>0.13</v>
      </c>
      <c r="CX1483" s="36">
        <v>81</v>
      </c>
      <c r="CY1483" s="35">
        <v>0.52</v>
      </c>
      <c r="CZ1483" s="36">
        <v>98</v>
      </c>
      <c r="DA1483" s="35" t="s">
        <v>138</v>
      </c>
      <c r="DB1483" s="36" t="s">
        <v>138</v>
      </c>
      <c r="DC1483" s="37">
        <v>11.16</v>
      </c>
      <c r="DD1483" s="36">
        <v>91</v>
      </c>
      <c r="DE1483" s="37">
        <v>-0.85</v>
      </c>
      <c r="DF1483" s="35">
        <v>-7.1</v>
      </c>
      <c r="DG1483" s="37">
        <v>20.309999999999999</v>
      </c>
      <c r="DH1483" s="36">
        <v>95</v>
      </c>
      <c r="DI1483" s="37">
        <v>2.02</v>
      </c>
      <c r="DJ1483" s="36">
        <v>63</v>
      </c>
      <c r="DK1483" s="37">
        <v>27.37</v>
      </c>
      <c r="DL1483" s="36">
        <v>93</v>
      </c>
      <c r="DM1483" s="37">
        <v>13.24</v>
      </c>
      <c r="DN1483" s="36">
        <v>91</v>
      </c>
      <c r="DO1483" s="37" t="s">
        <v>138</v>
      </c>
      <c r="DP1483" s="36" t="s">
        <v>138</v>
      </c>
      <c r="DQ1483" s="36">
        <v>9170</v>
      </c>
      <c r="DR1483" s="38">
        <v>657</v>
      </c>
      <c r="DS1483" s="35">
        <v>7.72</v>
      </c>
      <c r="DT1483" s="36">
        <v>382</v>
      </c>
      <c r="DU1483" s="38">
        <v>3</v>
      </c>
      <c r="DV1483" s="35">
        <v>0.79</v>
      </c>
      <c r="DW1483" s="36">
        <v>1037</v>
      </c>
      <c r="DX1483" s="39">
        <v>6</v>
      </c>
      <c r="DY1483" s="35">
        <v>0.57999999999999996</v>
      </c>
      <c r="DZ1483" s="28" t="s">
        <v>178</v>
      </c>
      <c r="EA1483" s="34">
        <v>43622</v>
      </c>
      <c r="EB1483" s="29">
        <v>110</v>
      </c>
      <c r="EC1483" s="34">
        <v>43312</v>
      </c>
      <c r="ED1483" s="28" t="s">
        <v>205</v>
      </c>
      <c r="EE1483" s="40" t="str">
        <f>HYPERLINK("https://my.pitchbook.com?c=124851-34", "View company online")</f>
        <v>View company online</v>
      </c>
    </row>
    <row r="1484" spans="1:135">
      <c r="A1484" s="15" t="s">
        <v>28505</v>
      </c>
      <c r="B1484" s="15" t="s">
        <v>28506</v>
      </c>
      <c r="C1484" s="15" t="s">
        <v>28507</v>
      </c>
      <c r="D1484" s="15" t="s">
        <v>138</v>
      </c>
      <c r="E1484" s="15" t="s">
        <v>28508</v>
      </c>
      <c r="F1484" s="15" t="s">
        <v>28505</v>
      </c>
      <c r="G1484" s="15" t="s">
        <v>28509</v>
      </c>
      <c r="H1484" s="15" t="s">
        <v>238</v>
      </c>
      <c r="I1484" s="15" t="s">
        <v>997</v>
      </c>
      <c r="J1484" s="15" t="s">
        <v>6149</v>
      </c>
      <c r="K1484" s="15" t="s">
        <v>28510</v>
      </c>
      <c r="L1484" s="15" t="s">
        <v>4703</v>
      </c>
      <c r="M1484" s="15" t="s">
        <v>28511</v>
      </c>
      <c r="N1484" s="15" t="s">
        <v>147</v>
      </c>
      <c r="O1484" s="17">
        <v>145.55000000000001</v>
      </c>
      <c r="P1484" s="15" t="s">
        <v>148</v>
      </c>
      <c r="Q1484" s="15" t="s">
        <v>149</v>
      </c>
      <c r="R1484" s="15" t="s">
        <v>244</v>
      </c>
      <c r="S1484" s="15" t="s">
        <v>28512</v>
      </c>
      <c r="T1484" s="18">
        <v>600</v>
      </c>
      <c r="U1484" s="15" t="s">
        <v>28513</v>
      </c>
      <c r="V1484" s="15" t="s">
        <v>138</v>
      </c>
      <c r="W1484" s="15" t="s">
        <v>138</v>
      </c>
      <c r="X1484" s="19">
        <v>2012</v>
      </c>
      <c r="Y1484" s="15" t="s">
        <v>138</v>
      </c>
      <c r="Z1484" s="15" t="s">
        <v>138</v>
      </c>
      <c r="AA1484" s="15" t="s">
        <v>138</v>
      </c>
      <c r="AB1484" s="20">
        <v>9.73</v>
      </c>
      <c r="AC1484" s="20">
        <v>3.11</v>
      </c>
      <c r="AD1484" s="20">
        <v>-10.75</v>
      </c>
      <c r="AE1484" s="20" t="s">
        <v>138</v>
      </c>
      <c r="AF1484" s="20">
        <v>-10.96</v>
      </c>
      <c r="AG1484" s="15" t="s">
        <v>514</v>
      </c>
      <c r="AH1484" s="20" t="s">
        <v>138</v>
      </c>
      <c r="AI1484" s="20" t="s">
        <v>138</v>
      </c>
      <c r="AJ1484" s="20" t="s">
        <v>138</v>
      </c>
      <c r="AK1484" s="15" t="s">
        <v>28514</v>
      </c>
      <c r="AL1484" s="15" t="s">
        <v>28515</v>
      </c>
      <c r="AM1484" s="15" t="s">
        <v>2194</v>
      </c>
      <c r="AN1484" s="15" t="s">
        <v>28516</v>
      </c>
      <c r="AO1484" s="15" t="s">
        <v>138</v>
      </c>
      <c r="AP1484" s="15" t="s">
        <v>2905</v>
      </c>
      <c r="AQ1484" s="15" t="s">
        <v>28517</v>
      </c>
      <c r="AR1484" s="15" t="s">
        <v>138</v>
      </c>
      <c r="AS1484" s="15" t="s">
        <v>2907</v>
      </c>
      <c r="AT1484" s="15" t="s">
        <v>138</v>
      </c>
      <c r="AU1484" s="15" t="s">
        <v>28518</v>
      </c>
      <c r="AV1484" s="15" t="s">
        <v>946</v>
      </c>
      <c r="AW1484" s="15" t="s">
        <v>28519</v>
      </c>
      <c r="AX1484" s="15" t="s">
        <v>28520</v>
      </c>
      <c r="AY1484" s="15" t="s">
        <v>28521</v>
      </c>
      <c r="AZ1484" s="15" t="s">
        <v>530</v>
      </c>
      <c r="BA1484" s="15" t="s">
        <v>531</v>
      </c>
      <c r="BB1484" s="15" t="s">
        <v>28522</v>
      </c>
      <c r="BC1484" s="15" t="s">
        <v>28523</v>
      </c>
      <c r="BD1484" s="21">
        <v>14</v>
      </c>
      <c r="BE1484" s="15" t="s">
        <v>138</v>
      </c>
      <c r="BF1484" s="15" t="s">
        <v>28524</v>
      </c>
      <c r="BG1484" s="15" t="s">
        <v>138</v>
      </c>
      <c r="BH1484" s="15" t="s">
        <v>28525</v>
      </c>
      <c r="BI1484" s="15" t="s">
        <v>28526</v>
      </c>
      <c r="BJ1484" s="15" t="s">
        <v>138</v>
      </c>
      <c r="BK1484" s="15" t="s">
        <v>138</v>
      </c>
      <c r="BL1484" s="15" t="s">
        <v>28527</v>
      </c>
      <c r="BM1484" s="22">
        <v>41122</v>
      </c>
      <c r="BN1484" s="17">
        <v>2.72</v>
      </c>
      <c r="BO1484" s="15" t="s">
        <v>172</v>
      </c>
      <c r="BP1484" s="17" t="s">
        <v>138</v>
      </c>
      <c r="BQ1484" s="15" t="s">
        <v>138</v>
      </c>
      <c r="BR1484" s="15" t="s">
        <v>205</v>
      </c>
      <c r="BS1484" s="15" t="s">
        <v>206</v>
      </c>
      <c r="BT1484" s="15" t="s">
        <v>138</v>
      </c>
      <c r="BU1484" s="15" t="s">
        <v>174</v>
      </c>
      <c r="BV1484" s="15" t="s">
        <v>138</v>
      </c>
      <c r="BW1484" s="15" t="s">
        <v>138</v>
      </c>
      <c r="BX1484" s="15" t="s">
        <v>138</v>
      </c>
      <c r="BY1484" s="15" t="s">
        <v>175</v>
      </c>
      <c r="BZ1484" s="22">
        <v>43258</v>
      </c>
      <c r="CA1484" s="17">
        <v>15.18</v>
      </c>
      <c r="CB1484" s="15" t="s">
        <v>172</v>
      </c>
      <c r="CC1484" s="17" t="s">
        <v>138</v>
      </c>
      <c r="CD1484" s="15" t="s">
        <v>138</v>
      </c>
      <c r="CE1484" s="15" t="s">
        <v>1326</v>
      </c>
      <c r="CF1484" s="15" t="s">
        <v>138</v>
      </c>
      <c r="CG1484" s="15" t="s">
        <v>138</v>
      </c>
      <c r="CH1484" s="15" t="s">
        <v>1327</v>
      </c>
      <c r="CI1484" s="15" t="s">
        <v>265</v>
      </c>
      <c r="CJ1484" s="15" t="s">
        <v>138</v>
      </c>
      <c r="CK1484" s="15" t="s">
        <v>138</v>
      </c>
      <c r="CL1484" s="15" t="s">
        <v>175</v>
      </c>
      <c r="CM1484" s="22">
        <v>42353</v>
      </c>
      <c r="CN1484" s="17">
        <v>1.0900000000000001</v>
      </c>
      <c r="CO1484" s="23">
        <v>-1.83</v>
      </c>
      <c r="CP1484" s="24">
        <v>6</v>
      </c>
      <c r="CQ1484" s="23">
        <v>0.09</v>
      </c>
      <c r="CR1484" s="23">
        <v>4.58</v>
      </c>
      <c r="CS1484" s="23">
        <v>-4.07</v>
      </c>
      <c r="CT1484" s="24">
        <v>3</v>
      </c>
      <c r="CU1484" s="23">
        <v>0.42</v>
      </c>
      <c r="CV1484" s="24">
        <v>92</v>
      </c>
      <c r="CW1484" s="23" t="s">
        <v>138</v>
      </c>
      <c r="CX1484" s="24" t="s">
        <v>138</v>
      </c>
      <c r="CY1484" s="23">
        <v>-4.07</v>
      </c>
      <c r="CZ1484" s="24">
        <v>4</v>
      </c>
      <c r="DA1484" s="23">
        <v>0.42</v>
      </c>
      <c r="DB1484" s="24">
        <v>92</v>
      </c>
      <c r="DC1484" s="25">
        <v>21.45</v>
      </c>
      <c r="DD1484" s="24">
        <v>95</v>
      </c>
      <c r="DE1484" s="25">
        <v>0.1</v>
      </c>
      <c r="DF1484" s="23">
        <v>0.49</v>
      </c>
      <c r="DG1484" s="25">
        <v>42.38</v>
      </c>
      <c r="DH1484" s="24">
        <v>98</v>
      </c>
      <c r="DI1484" s="25">
        <v>0.51</v>
      </c>
      <c r="DJ1484" s="24">
        <v>37</v>
      </c>
      <c r="DK1484" s="25" t="s">
        <v>138</v>
      </c>
      <c r="DL1484" s="24" t="s">
        <v>138</v>
      </c>
      <c r="DM1484" s="25">
        <v>42.38</v>
      </c>
      <c r="DN1484" s="24">
        <v>98</v>
      </c>
      <c r="DO1484" s="25">
        <v>0.51</v>
      </c>
      <c r="DP1484" s="24">
        <v>38</v>
      </c>
      <c r="DQ1484" s="24" t="s">
        <v>138</v>
      </c>
      <c r="DR1484" s="26" t="s">
        <v>138</v>
      </c>
      <c r="DS1484" s="23" t="s">
        <v>138</v>
      </c>
      <c r="DT1484" s="24">
        <v>1226</v>
      </c>
      <c r="DU1484" s="26">
        <v>5</v>
      </c>
      <c r="DV1484" s="23">
        <v>0.41</v>
      </c>
      <c r="DW1484" s="24">
        <v>183</v>
      </c>
      <c r="DX1484" s="27">
        <v>1</v>
      </c>
      <c r="DY1484" s="23">
        <v>0.55000000000000004</v>
      </c>
      <c r="DZ1484" s="15" t="s">
        <v>178</v>
      </c>
      <c r="EA1484" s="22">
        <v>43605</v>
      </c>
      <c r="EB1484" s="17">
        <v>234.02</v>
      </c>
      <c r="EC1484" s="22">
        <v>43228</v>
      </c>
      <c r="ED1484" s="15" t="s">
        <v>173</v>
      </c>
      <c r="EE1484" s="14" t="str">
        <f>HYPERLINK("https://my.pitchbook.com?c=57698-74", "View company online")</f>
        <v>View company online</v>
      </c>
    </row>
    <row r="1485" spans="1:135">
      <c r="A1485" s="28" t="s">
        <v>28528</v>
      </c>
      <c r="B1485" s="28" t="s">
        <v>28529</v>
      </c>
      <c r="C1485" s="28" t="s">
        <v>138</v>
      </c>
      <c r="D1485" s="28" t="s">
        <v>28530</v>
      </c>
      <c r="E1485" s="28" t="s">
        <v>28531</v>
      </c>
      <c r="F1485" s="28" t="s">
        <v>28528</v>
      </c>
      <c r="G1485" s="28" t="s">
        <v>28532</v>
      </c>
      <c r="H1485" s="28" t="s">
        <v>322</v>
      </c>
      <c r="I1485" s="28" t="s">
        <v>3488</v>
      </c>
      <c r="J1485" s="28" t="s">
        <v>3488</v>
      </c>
      <c r="K1485" s="28" t="s">
        <v>28533</v>
      </c>
      <c r="L1485" s="28" t="s">
        <v>3681</v>
      </c>
      <c r="M1485" s="28" t="s">
        <v>28534</v>
      </c>
      <c r="N1485" s="28" t="s">
        <v>147</v>
      </c>
      <c r="O1485" s="29">
        <v>11.63</v>
      </c>
      <c r="P1485" s="28" t="s">
        <v>2922</v>
      </c>
      <c r="Q1485" s="28" t="s">
        <v>149</v>
      </c>
      <c r="R1485" s="28" t="s">
        <v>244</v>
      </c>
      <c r="S1485" s="28" t="s">
        <v>28535</v>
      </c>
      <c r="T1485" s="30">
        <v>51</v>
      </c>
      <c r="U1485" s="28" t="s">
        <v>12556</v>
      </c>
      <c r="V1485" s="28" t="s">
        <v>138</v>
      </c>
      <c r="W1485" s="28" t="s">
        <v>138</v>
      </c>
      <c r="X1485" s="31">
        <v>2011</v>
      </c>
      <c r="Y1485" s="28" t="s">
        <v>138</v>
      </c>
      <c r="Z1485" s="28" t="s">
        <v>138</v>
      </c>
      <c r="AA1485" s="28" t="s">
        <v>138</v>
      </c>
      <c r="AB1485" s="32" t="s">
        <v>138</v>
      </c>
      <c r="AC1485" s="32" t="s">
        <v>138</v>
      </c>
      <c r="AD1485" s="32" t="s">
        <v>138</v>
      </c>
      <c r="AE1485" s="32" t="s">
        <v>138</v>
      </c>
      <c r="AF1485" s="32" t="s">
        <v>138</v>
      </c>
      <c r="AG1485" s="28" t="s">
        <v>138</v>
      </c>
      <c r="AH1485" s="32" t="s">
        <v>138</v>
      </c>
      <c r="AI1485" s="32" t="s">
        <v>138</v>
      </c>
      <c r="AJ1485" s="32" t="s">
        <v>138</v>
      </c>
      <c r="AK1485" s="28" t="s">
        <v>28536</v>
      </c>
      <c r="AL1485" s="28" t="s">
        <v>28537</v>
      </c>
      <c r="AM1485" s="28" t="s">
        <v>249</v>
      </c>
      <c r="AN1485" s="28" t="s">
        <v>138</v>
      </c>
      <c r="AO1485" s="28" t="s">
        <v>28538</v>
      </c>
      <c r="AP1485" s="28" t="s">
        <v>2002</v>
      </c>
      <c r="AQ1485" s="28" t="s">
        <v>28539</v>
      </c>
      <c r="AR1485" s="28" t="s">
        <v>3630</v>
      </c>
      <c r="AS1485" s="28" t="s">
        <v>2005</v>
      </c>
      <c r="AT1485" s="28" t="s">
        <v>200</v>
      </c>
      <c r="AU1485" s="28" t="s">
        <v>2006</v>
      </c>
      <c r="AV1485" s="28" t="s">
        <v>162</v>
      </c>
      <c r="AW1485" s="28" t="s">
        <v>28538</v>
      </c>
      <c r="AX1485" s="28" t="s">
        <v>138</v>
      </c>
      <c r="AY1485" s="28" t="s">
        <v>28540</v>
      </c>
      <c r="AZ1485" s="28" t="s">
        <v>164</v>
      </c>
      <c r="BA1485" s="28" t="s">
        <v>165</v>
      </c>
      <c r="BB1485" s="28" t="s">
        <v>28541</v>
      </c>
      <c r="BC1485" s="28" t="s">
        <v>24320</v>
      </c>
      <c r="BD1485" s="33">
        <v>1</v>
      </c>
      <c r="BE1485" s="28" t="s">
        <v>138</v>
      </c>
      <c r="BF1485" s="28" t="s">
        <v>138</v>
      </c>
      <c r="BG1485" s="28" t="s">
        <v>138</v>
      </c>
      <c r="BH1485" s="28" t="s">
        <v>3002</v>
      </c>
      <c r="BI1485" s="28" t="s">
        <v>138</v>
      </c>
      <c r="BJ1485" s="28" t="s">
        <v>138</v>
      </c>
      <c r="BK1485" s="28" t="s">
        <v>3164</v>
      </c>
      <c r="BL1485" s="28" t="s">
        <v>3164</v>
      </c>
      <c r="BM1485" s="34">
        <v>41493</v>
      </c>
      <c r="BN1485" s="29">
        <v>0.71</v>
      </c>
      <c r="BO1485" s="28" t="s">
        <v>172</v>
      </c>
      <c r="BP1485" s="29" t="s">
        <v>138</v>
      </c>
      <c r="BQ1485" s="28" t="s">
        <v>138</v>
      </c>
      <c r="BR1485" s="28" t="s">
        <v>262</v>
      </c>
      <c r="BS1485" s="28" t="s">
        <v>262</v>
      </c>
      <c r="BT1485" s="28" t="s">
        <v>138</v>
      </c>
      <c r="BU1485" s="28" t="s">
        <v>263</v>
      </c>
      <c r="BV1485" s="28" t="s">
        <v>138</v>
      </c>
      <c r="BW1485" s="28" t="s">
        <v>138</v>
      </c>
      <c r="BX1485" s="28" t="s">
        <v>138</v>
      </c>
      <c r="BY1485" s="28" t="s">
        <v>175</v>
      </c>
      <c r="BZ1485" s="34">
        <v>43412</v>
      </c>
      <c r="CA1485" s="29">
        <v>8.74</v>
      </c>
      <c r="CB1485" s="28" t="s">
        <v>172</v>
      </c>
      <c r="CC1485" s="29" t="s">
        <v>138</v>
      </c>
      <c r="CD1485" s="28" t="s">
        <v>138</v>
      </c>
      <c r="CE1485" s="28" t="s">
        <v>205</v>
      </c>
      <c r="CF1485" s="28" t="s">
        <v>138</v>
      </c>
      <c r="CG1485" s="28" t="s">
        <v>138</v>
      </c>
      <c r="CH1485" s="28" t="s">
        <v>174</v>
      </c>
      <c r="CI1485" s="28" t="s">
        <v>138</v>
      </c>
      <c r="CJ1485" s="28" t="s">
        <v>138</v>
      </c>
      <c r="CK1485" s="28" t="s">
        <v>138</v>
      </c>
      <c r="CL1485" s="28" t="s">
        <v>175</v>
      </c>
      <c r="CM1485" s="34" t="s">
        <v>138</v>
      </c>
      <c r="CN1485" s="29" t="s">
        <v>138</v>
      </c>
      <c r="CO1485" s="35">
        <v>-7.0000000000000007E-2</v>
      </c>
      <c r="CP1485" s="36">
        <v>21</v>
      </c>
      <c r="CQ1485" s="35">
        <v>0.02</v>
      </c>
      <c r="CR1485" s="35">
        <v>19.91</v>
      </c>
      <c r="CS1485" s="35">
        <v>0</v>
      </c>
      <c r="CT1485" s="36">
        <v>23</v>
      </c>
      <c r="CU1485" s="35">
        <v>-0.13</v>
      </c>
      <c r="CV1485" s="36">
        <v>3</v>
      </c>
      <c r="CW1485" s="35" t="s">
        <v>138</v>
      </c>
      <c r="CX1485" s="36" t="s">
        <v>138</v>
      </c>
      <c r="CY1485" s="35">
        <v>0</v>
      </c>
      <c r="CZ1485" s="36">
        <v>25</v>
      </c>
      <c r="DA1485" s="35">
        <v>-0.13</v>
      </c>
      <c r="DB1485" s="36">
        <v>4</v>
      </c>
      <c r="DC1485" s="37">
        <v>1.62</v>
      </c>
      <c r="DD1485" s="36">
        <v>62</v>
      </c>
      <c r="DE1485" s="37">
        <v>-0.01</v>
      </c>
      <c r="DF1485" s="35">
        <v>-0.88</v>
      </c>
      <c r="DG1485" s="37">
        <v>2.21</v>
      </c>
      <c r="DH1485" s="36">
        <v>69</v>
      </c>
      <c r="DI1485" s="37">
        <v>1.03</v>
      </c>
      <c r="DJ1485" s="36">
        <v>50</v>
      </c>
      <c r="DK1485" s="37" t="s">
        <v>138</v>
      </c>
      <c r="DL1485" s="36" t="s">
        <v>138</v>
      </c>
      <c r="DM1485" s="37">
        <v>2.21</v>
      </c>
      <c r="DN1485" s="36">
        <v>68</v>
      </c>
      <c r="DO1485" s="37">
        <v>1.03</v>
      </c>
      <c r="DP1485" s="36">
        <v>51</v>
      </c>
      <c r="DQ1485" s="36" t="s">
        <v>138</v>
      </c>
      <c r="DR1485" s="38" t="s">
        <v>138</v>
      </c>
      <c r="DS1485" s="35" t="s">
        <v>138</v>
      </c>
      <c r="DT1485" s="36">
        <v>64</v>
      </c>
      <c r="DU1485" s="38">
        <v>-1</v>
      </c>
      <c r="DV1485" s="35">
        <v>-1.54</v>
      </c>
      <c r="DW1485" s="36">
        <v>369</v>
      </c>
      <c r="DX1485" s="39">
        <v>0</v>
      </c>
      <c r="DY1485" s="35">
        <v>0</v>
      </c>
      <c r="DZ1485" s="28" t="s">
        <v>178</v>
      </c>
      <c r="EA1485" s="34">
        <v>43424</v>
      </c>
      <c r="EB1485" s="29" t="s">
        <v>138</v>
      </c>
      <c r="EC1485" s="34" t="s">
        <v>138</v>
      </c>
      <c r="ED1485" s="28" t="s">
        <v>138</v>
      </c>
      <c r="EE1485" s="40" t="str">
        <f>HYPERLINK("https://my.pitchbook.com?c=58361-68", "View company online")</f>
        <v>View company online</v>
      </c>
    </row>
    <row r="1486" spans="1:135">
      <c r="A1486" s="15" t="s">
        <v>28542</v>
      </c>
      <c r="B1486" s="15" t="s">
        <v>28543</v>
      </c>
      <c r="C1486" s="15" t="s">
        <v>138</v>
      </c>
      <c r="D1486" s="15" t="s">
        <v>138</v>
      </c>
      <c r="E1486" s="15" t="s">
        <v>28544</v>
      </c>
      <c r="F1486" s="15" t="s">
        <v>28542</v>
      </c>
      <c r="G1486" s="15" t="s">
        <v>28545</v>
      </c>
      <c r="H1486" s="15" t="s">
        <v>141</v>
      </c>
      <c r="I1486" s="15" t="s">
        <v>212</v>
      </c>
      <c r="J1486" s="15" t="s">
        <v>213</v>
      </c>
      <c r="K1486" s="15" t="s">
        <v>28546</v>
      </c>
      <c r="L1486" s="15" t="s">
        <v>10085</v>
      </c>
      <c r="M1486" s="15" t="s">
        <v>28547</v>
      </c>
      <c r="N1486" s="15" t="s">
        <v>147</v>
      </c>
      <c r="O1486" s="17">
        <v>5.92</v>
      </c>
      <c r="P1486" s="15" t="s">
        <v>148</v>
      </c>
      <c r="Q1486" s="15" t="s">
        <v>149</v>
      </c>
      <c r="R1486" s="15" t="s">
        <v>174</v>
      </c>
      <c r="S1486" s="15" t="s">
        <v>28548</v>
      </c>
      <c r="T1486" s="18" t="s">
        <v>138</v>
      </c>
      <c r="U1486" s="15" t="s">
        <v>138</v>
      </c>
      <c r="V1486" s="15" t="s">
        <v>138</v>
      </c>
      <c r="W1486" s="15" t="s">
        <v>138</v>
      </c>
      <c r="X1486" s="19">
        <v>2014</v>
      </c>
      <c r="Y1486" s="15" t="s">
        <v>138</v>
      </c>
      <c r="Z1486" s="15" t="s">
        <v>138</v>
      </c>
      <c r="AA1486" s="15" t="s">
        <v>138</v>
      </c>
      <c r="AB1486" s="20" t="s">
        <v>138</v>
      </c>
      <c r="AC1486" s="20" t="s">
        <v>138</v>
      </c>
      <c r="AD1486" s="20" t="s">
        <v>138</v>
      </c>
      <c r="AE1486" s="20" t="s">
        <v>138</v>
      </c>
      <c r="AF1486" s="20" t="s">
        <v>138</v>
      </c>
      <c r="AG1486" s="15" t="s">
        <v>138</v>
      </c>
      <c r="AH1486" s="20" t="s">
        <v>138</v>
      </c>
      <c r="AI1486" s="20" t="s">
        <v>138</v>
      </c>
      <c r="AJ1486" s="20" t="s">
        <v>138</v>
      </c>
      <c r="AK1486" s="15" t="s">
        <v>28549</v>
      </c>
      <c r="AL1486" s="15" t="s">
        <v>28550</v>
      </c>
      <c r="AM1486" s="15" t="s">
        <v>938</v>
      </c>
      <c r="AN1486" s="15" t="s">
        <v>28551</v>
      </c>
      <c r="AO1486" s="15" t="s">
        <v>28552</v>
      </c>
      <c r="AP1486" s="15" t="s">
        <v>28553</v>
      </c>
      <c r="AQ1486" s="15" t="s">
        <v>28554</v>
      </c>
      <c r="AR1486" s="15" t="s">
        <v>138</v>
      </c>
      <c r="AS1486" s="15" t="s">
        <v>28555</v>
      </c>
      <c r="AT1486" s="15" t="s">
        <v>4493</v>
      </c>
      <c r="AU1486" s="15" t="s">
        <v>28556</v>
      </c>
      <c r="AV1486" s="15" t="s">
        <v>162</v>
      </c>
      <c r="AW1486" s="15" t="s">
        <v>28552</v>
      </c>
      <c r="AX1486" s="15" t="s">
        <v>138</v>
      </c>
      <c r="AY1486" s="15" t="s">
        <v>28557</v>
      </c>
      <c r="AZ1486" s="15" t="s">
        <v>164</v>
      </c>
      <c r="BA1486" s="15" t="s">
        <v>165</v>
      </c>
      <c r="BB1486" s="15" t="s">
        <v>28558</v>
      </c>
      <c r="BC1486" s="15" t="s">
        <v>28559</v>
      </c>
      <c r="BD1486" s="21">
        <v>3</v>
      </c>
      <c r="BE1486" s="15" t="s">
        <v>138</v>
      </c>
      <c r="BF1486" s="15" t="s">
        <v>138</v>
      </c>
      <c r="BG1486" s="15" t="s">
        <v>138</v>
      </c>
      <c r="BH1486" s="15" t="s">
        <v>28560</v>
      </c>
      <c r="BI1486" s="15" t="s">
        <v>138</v>
      </c>
      <c r="BJ1486" s="15" t="s">
        <v>138</v>
      </c>
      <c r="BK1486" s="15" t="s">
        <v>138</v>
      </c>
      <c r="BL1486" s="15" t="s">
        <v>138</v>
      </c>
      <c r="BM1486" s="22">
        <v>42790</v>
      </c>
      <c r="BN1486" s="17">
        <v>0.17</v>
      </c>
      <c r="BO1486" s="15" t="s">
        <v>172</v>
      </c>
      <c r="BP1486" s="17">
        <v>2.42</v>
      </c>
      <c r="BQ1486" s="15" t="s">
        <v>172</v>
      </c>
      <c r="BR1486" s="15" t="s">
        <v>234</v>
      </c>
      <c r="BS1486" s="15" t="s">
        <v>234</v>
      </c>
      <c r="BT1486" s="15" t="s">
        <v>138</v>
      </c>
      <c r="BU1486" s="15" t="s">
        <v>174</v>
      </c>
      <c r="BV1486" s="15" t="s">
        <v>138</v>
      </c>
      <c r="BW1486" s="15" t="s">
        <v>138</v>
      </c>
      <c r="BX1486" s="15" t="s">
        <v>138</v>
      </c>
      <c r="BY1486" s="15" t="s">
        <v>175</v>
      </c>
      <c r="BZ1486" s="22">
        <v>43339</v>
      </c>
      <c r="CA1486" s="17">
        <v>5</v>
      </c>
      <c r="CB1486" s="15" t="s">
        <v>172</v>
      </c>
      <c r="CC1486" s="17">
        <v>17.5</v>
      </c>
      <c r="CD1486" s="15" t="s">
        <v>172</v>
      </c>
      <c r="CE1486" s="15" t="s">
        <v>205</v>
      </c>
      <c r="CF1486" s="15" t="s">
        <v>206</v>
      </c>
      <c r="CG1486" s="15" t="s">
        <v>138</v>
      </c>
      <c r="CH1486" s="15" t="s">
        <v>174</v>
      </c>
      <c r="CI1486" s="15" t="s">
        <v>138</v>
      </c>
      <c r="CJ1486" s="15" t="s">
        <v>138</v>
      </c>
      <c r="CK1486" s="15" t="s">
        <v>138</v>
      </c>
      <c r="CL1486" s="15" t="s">
        <v>175</v>
      </c>
      <c r="CM1486" s="22" t="s">
        <v>138</v>
      </c>
      <c r="CN1486" s="17" t="s">
        <v>138</v>
      </c>
      <c r="CO1486" s="23">
        <v>0.16</v>
      </c>
      <c r="CP1486" s="24">
        <v>92</v>
      </c>
      <c r="CQ1486" s="23">
        <v>-0.11</v>
      </c>
      <c r="CR1486" s="23">
        <v>-40.56</v>
      </c>
      <c r="CS1486" s="23">
        <v>0</v>
      </c>
      <c r="CT1486" s="24">
        <v>23</v>
      </c>
      <c r="CU1486" s="23">
        <v>0.32</v>
      </c>
      <c r="CV1486" s="24">
        <v>88</v>
      </c>
      <c r="CW1486" s="23">
        <v>0</v>
      </c>
      <c r="CX1486" s="24">
        <v>13</v>
      </c>
      <c r="CY1486" s="23">
        <v>0</v>
      </c>
      <c r="CZ1486" s="24">
        <v>25</v>
      </c>
      <c r="DA1486" s="23">
        <v>0.32</v>
      </c>
      <c r="DB1486" s="24">
        <v>89</v>
      </c>
      <c r="DC1486" s="25">
        <v>0.64</v>
      </c>
      <c r="DD1486" s="24">
        <v>40</v>
      </c>
      <c r="DE1486" s="25">
        <v>-0.04</v>
      </c>
      <c r="DF1486" s="23">
        <v>-5.84</v>
      </c>
      <c r="DG1486" s="25">
        <v>0.94</v>
      </c>
      <c r="DH1486" s="24">
        <v>50</v>
      </c>
      <c r="DI1486" s="25">
        <v>0.33</v>
      </c>
      <c r="DJ1486" s="24">
        <v>30</v>
      </c>
      <c r="DK1486" s="25">
        <v>0.68</v>
      </c>
      <c r="DL1486" s="24">
        <v>42</v>
      </c>
      <c r="DM1486" s="25">
        <v>1.21</v>
      </c>
      <c r="DN1486" s="24">
        <v>54</v>
      </c>
      <c r="DO1486" s="25">
        <v>0.33</v>
      </c>
      <c r="DP1486" s="24">
        <v>31</v>
      </c>
      <c r="DQ1486" s="24">
        <v>231</v>
      </c>
      <c r="DR1486" s="26">
        <v>2</v>
      </c>
      <c r="DS1486" s="23">
        <v>0.87</v>
      </c>
      <c r="DT1486" s="24">
        <v>35</v>
      </c>
      <c r="DU1486" s="26">
        <v>-2</v>
      </c>
      <c r="DV1486" s="23">
        <v>-5.41</v>
      </c>
      <c r="DW1486" s="24">
        <v>118</v>
      </c>
      <c r="DX1486" s="27">
        <v>0</v>
      </c>
      <c r="DY1486" s="23">
        <v>0</v>
      </c>
      <c r="DZ1486" s="15" t="s">
        <v>178</v>
      </c>
      <c r="EA1486" s="22">
        <v>43551</v>
      </c>
      <c r="EB1486" s="17">
        <v>17.5</v>
      </c>
      <c r="EC1486" s="22">
        <v>43339</v>
      </c>
      <c r="ED1486" s="15" t="s">
        <v>205</v>
      </c>
      <c r="EE1486" s="14" t="str">
        <f>HYPERLINK("https://my.pitchbook.com?c=180939-61", "View company online")</f>
        <v>View company online</v>
      </c>
    </row>
    <row r="1487" spans="1:135">
      <c r="A1487" s="28" t="s">
        <v>28561</v>
      </c>
      <c r="B1487" s="28" t="s">
        <v>28562</v>
      </c>
      <c r="C1487" s="28" t="s">
        <v>138</v>
      </c>
      <c r="D1487" s="28" t="s">
        <v>138</v>
      </c>
      <c r="E1487" s="28" t="s">
        <v>28563</v>
      </c>
      <c r="F1487" s="28" t="s">
        <v>28561</v>
      </c>
      <c r="G1487" s="28" t="s">
        <v>28564</v>
      </c>
      <c r="H1487" s="28" t="s">
        <v>322</v>
      </c>
      <c r="I1487" s="28" t="s">
        <v>323</v>
      </c>
      <c r="J1487" s="28" t="s">
        <v>324</v>
      </c>
      <c r="K1487" s="28" t="s">
        <v>1543</v>
      </c>
      <c r="L1487" s="28" t="s">
        <v>3343</v>
      </c>
      <c r="M1487" s="28" t="s">
        <v>28565</v>
      </c>
      <c r="N1487" s="28" t="s">
        <v>147</v>
      </c>
      <c r="O1487" s="29">
        <v>68.5</v>
      </c>
      <c r="P1487" s="28" t="s">
        <v>148</v>
      </c>
      <c r="Q1487" s="28" t="s">
        <v>149</v>
      </c>
      <c r="R1487" s="28" t="s">
        <v>8692</v>
      </c>
      <c r="S1487" s="28" t="s">
        <v>28566</v>
      </c>
      <c r="T1487" s="30">
        <v>100</v>
      </c>
      <c r="U1487" s="28" t="s">
        <v>28567</v>
      </c>
      <c r="V1487" s="28" t="s">
        <v>138</v>
      </c>
      <c r="W1487" s="28" t="s">
        <v>138</v>
      </c>
      <c r="X1487" s="31">
        <v>2011</v>
      </c>
      <c r="Y1487" s="28" t="s">
        <v>138</v>
      </c>
      <c r="Z1487" s="28" t="s">
        <v>138</v>
      </c>
      <c r="AA1487" s="28" t="s">
        <v>28568</v>
      </c>
      <c r="AB1487" s="32">
        <v>66.08</v>
      </c>
      <c r="AC1487" s="32" t="s">
        <v>138</v>
      </c>
      <c r="AD1487" s="32" t="s">
        <v>138</v>
      </c>
      <c r="AE1487" s="32" t="s">
        <v>138</v>
      </c>
      <c r="AF1487" s="32" t="s">
        <v>138</v>
      </c>
      <c r="AG1487" s="28" t="s">
        <v>514</v>
      </c>
      <c r="AH1487" s="32" t="s">
        <v>138</v>
      </c>
      <c r="AI1487" s="32" t="s">
        <v>138</v>
      </c>
      <c r="AJ1487" s="32" t="s">
        <v>138</v>
      </c>
      <c r="AK1487" s="28" t="s">
        <v>28569</v>
      </c>
      <c r="AL1487" s="28" t="s">
        <v>28570</v>
      </c>
      <c r="AM1487" s="28" t="s">
        <v>444</v>
      </c>
      <c r="AN1487" s="28" t="s">
        <v>28571</v>
      </c>
      <c r="AO1487" s="28" t="s">
        <v>28572</v>
      </c>
      <c r="AP1487" s="28" t="s">
        <v>3668</v>
      </c>
      <c r="AQ1487" s="28" t="s">
        <v>20129</v>
      </c>
      <c r="AR1487" s="28" t="s">
        <v>3138</v>
      </c>
      <c r="AS1487" s="28" t="s">
        <v>3670</v>
      </c>
      <c r="AT1487" s="28" t="s">
        <v>200</v>
      </c>
      <c r="AU1487" s="28" t="s">
        <v>20130</v>
      </c>
      <c r="AV1487" s="28" t="s">
        <v>162</v>
      </c>
      <c r="AW1487" s="28" t="s">
        <v>28572</v>
      </c>
      <c r="AX1487" s="28" t="s">
        <v>138</v>
      </c>
      <c r="AY1487" s="28" t="s">
        <v>138</v>
      </c>
      <c r="AZ1487" s="28" t="s">
        <v>164</v>
      </c>
      <c r="BA1487" s="28" t="s">
        <v>165</v>
      </c>
      <c r="BB1487" s="28" t="s">
        <v>28573</v>
      </c>
      <c r="BC1487" s="28" t="s">
        <v>28574</v>
      </c>
      <c r="BD1487" s="33">
        <v>7</v>
      </c>
      <c r="BE1487" s="28" t="s">
        <v>138</v>
      </c>
      <c r="BF1487" s="28" t="s">
        <v>138</v>
      </c>
      <c r="BG1487" s="28" t="s">
        <v>28575</v>
      </c>
      <c r="BH1487" s="28" t="s">
        <v>28576</v>
      </c>
      <c r="BI1487" s="28" t="s">
        <v>138</v>
      </c>
      <c r="BJ1487" s="28" t="s">
        <v>28577</v>
      </c>
      <c r="BK1487" s="28" t="s">
        <v>28578</v>
      </c>
      <c r="BL1487" s="28" t="s">
        <v>28579</v>
      </c>
      <c r="BM1487" s="34">
        <v>41039</v>
      </c>
      <c r="BN1487" s="29">
        <v>6.5</v>
      </c>
      <c r="BO1487" s="28" t="s">
        <v>172</v>
      </c>
      <c r="BP1487" s="29">
        <v>15.84</v>
      </c>
      <c r="BQ1487" s="28" t="s">
        <v>1178</v>
      </c>
      <c r="BR1487" s="28" t="s">
        <v>205</v>
      </c>
      <c r="BS1487" s="28" t="s">
        <v>206</v>
      </c>
      <c r="BT1487" s="28" t="s">
        <v>138</v>
      </c>
      <c r="BU1487" s="28" t="s">
        <v>174</v>
      </c>
      <c r="BV1487" s="28" t="s">
        <v>138</v>
      </c>
      <c r="BW1487" s="28" t="s">
        <v>138</v>
      </c>
      <c r="BX1487" s="28" t="s">
        <v>138</v>
      </c>
      <c r="BY1487" s="28" t="s">
        <v>175</v>
      </c>
      <c r="BZ1487" s="34">
        <v>43613</v>
      </c>
      <c r="CA1487" s="29" t="s">
        <v>138</v>
      </c>
      <c r="CB1487" s="28" t="s">
        <v>138</v>
      </c>
      <c r="CC1487" s="29" t="s">
        <v>138</v>
      </c>
      <c r="CD1487" s="28" t="s">
        <v>138</v>
      </c>
      <c r="CE1487" s="28" t="s">
        <v>2228</v>
      </c>
      <c r="CF1487" s="28" t="s">
        <v>138</v>
      </c>
      <c r="CG1487" s="28" t="s">
        <v>138</v>
      </c>
      <c r="CH1487" s="28" t="s">
        <v>780</v>
      </c>
      <c r="CI1487" s="28" t="s">
        <v>138</v>
      </c>
      <c r="CJ1487" s="28" t="s">
        <v>138</v>
      </c>
      <c r="CK1487" s="28" t="s">
        <v>138</v>
      </c>
      <c r="CL1487" s="28" t="s">
        <v>352</v>
      </c>
      <c r="CM1487" s="34">
        <v>43333</v>
      </c>
      <c r="CN1487" s="29">
        <v>15</v>
      </c>
      <c r="CO1487" s="35">
        <v>0.22</v>
      </c>
      <c r="CP1487" s="36">
        <v>93</v>
      </c>
      <c r="CQ1487" s="35">
        <v>-0.01</v>
      </c>
      <c r="CR1487" s="35">
        <v>-5.96</v>
      </c>
      <c r="CS1487" s="35">
        <v>-0.04</v>
      </c>
      <c r="CT1487" s="36">
        <v>23</v>
      </c>
      <c r="CU1487" s="35">
        <v>0.04</v>
      </c>
      <c r="CV1487" s="36">
        <v>56</v>
      </c>
      <c r="CW1487" s="35">
        <v>-0.04</v>
      </c>
      <c r="CX1487" s="36">
        <v>13</v>
      </c>
      <c r="CY1487" s="35" t="s">
        <v>138</v>
      </c>
      <c r="CZ1487" s="36" t="s">
        <v>138</v>
      </c>
      <c r="DA1487" s="35">
        <v>0.04</v>
      </c>
      <c r="DB1487" s="36">
        <v>62</v>
      </c>
      <c r="DC1487" s="37">
        <v>5.36</v>
      </c>
      <c r="DD1487" s="36">
        <v>84</v>
      </c>
      <c r="DE1487" s="37">
        <v>0.66</v>
      </c>
      <c r="DF1487" s="35">
        <v>14.06</v>
      </c>
      <c r="DG1487" s="37">
        <v>8.77</v>
      </c>
      <c r="DH1487" s="36">
        <v>88</v>
      </c>
      <c r="DI1487" s="37">
        <v>7.13</v>
      </c>
      <c r="DJ1487" s="36">
        <v>82</v>
      </c>
      <c r="DK1487" s="37">
        <v>8.77</v>
      </c>
      <c r="DL1487" s="36">
        <v>85</v>
      </c>
      <c r="DM1487" s="37" t="s">
        <v>138</v>
      </c>
      <c r="DN1487" s="36" t="s">
        <v>138</v>
      </c>
      <c r="DO1487" s="37">
        <v>7.13</v>
      </c>
      <c r="DP1487" s="36">
        <v>84</v>
      </c>
      <c r="DQ1487" s="36">
        <v>2998</v>
      </c>
      <c r="DR1487" s="38">
        <v>26</v>
      </c>
      <c r="DS1487" s="35">
        <v>0.87</v>
      </c>
      <c r="DT1487" s="36" t="s">
        <v>138</v>
      </c>
      <c r="DU1487" s="38" t="s">
        <v>138</v>
      </c>
      <c r="DV1487" s="35" t="s">
        <v>138</v>
      </c>
      <c r="DW1487" s="36">
        <v>2553</v>
      </c>
      <c r="DX1487" s="39">
        <v>-4</v>
      </c>
      <c r="DY1487" s="35">
        <v>-0.16</v>
      </c>
      <c r="DZ1487" s="28" t="s">
        <v>178</v>
      </c>
      <c r="EA1487" s="34">
        <v>43622</v>
      </c>
      <c r="EB1487" s="29">
        <v>200</v>
      </c>
      <c r="EC1487" s="34">
        <v>43333</v>
      </c>
      <c r="ED1487" s="28" t="s">
        <v>173</v>
      </c>
      <c r="EE1487" s="40" t="str">
        <f>HYPERLINK("https://my.pitchbook.com?c=54463-24", "View company online")</f>
        <v>View company online</v>
      </c>
    </row>
    <row r="1488" spans="1:135">
      <c r="A1488" s="15" t="s">
        <v>28580</v>
      </c>
      <c r="B1488" s="15" t="s">
        <v>28581</v>
      </c>
      <c r="C1488" s="15" t="s">
        <v>28582</v>
      </c>
      <c r="D1488" s="15" t="s">
        <v>138</v>
      </c>
      <c r="E1488" s="15" t="s">
        <v>138</v>
      </c>
      <c r="F1488" s="15" t="s">
        <v>28580</v>
      </c>
      <c r="G1488" s="15" t="s">
        <v>28583</v>
      </c>
      <c r="H1488" s="15" t="s">
        <v>322</v>
      </c>
      <c r="I1488" s="15" t="s">
        <v>807</v>
      </c>
      <c r="J1488" s="15" t="s">
        <v>808</v>
      </c>
      <c r="K1488" s="15" t="s">
        <v>28584</v>
      </c>
      <c r="L1488" s="15" t="s">
        <v>2210</v>
      </c>
      <c r="M1488" s="15" t="s">
        <v>28585</v>
      </c>
      <c r="N1488" s="15" t="s">
        <v>147</v>
      </c>
      <c r="O1488" s="17">
        <v>48.2</v>
      </c>
      <c r="P1488" s="15" t="s">
        <v>148</v>
      </c>
      <c r="Q1488" s="15" t="s">
        <v>149</v>
      </c>
      <c r="R1488" s="15" t="s">
        <v>174</v>
      </c>
      <c r="S1488" s="15" t="s">
        <v>28586</v>
      </c>
      <c r="T1488" s="18" t="s">
        <v>138</v>
      </c>
      <c r="U1488" s="15" t="s">
        <v>138</v>
      </c>
      <c r="V1488" s="15" t="s">
        <v>138</v>
      </c>
      <c r="W1488" s="15" t="s">
        <v>138</v>
      </c>
      <c r="X1488" s="19">
        <v>2016</v>
      </c>
      <c r="Y1488" s="15" t="s">
        <v>138</v>
      </c>
      <c r="Z1488" s="15" t="s">
        <v>138</v>
      </c>
      <c r="AA1488" s="15" t="s">
        <v>1163</v>
      </c>
      <c r="AB1488" s="20" t="s">
        <v>138</v>
      </c>
      <c r="AC1488" s="20" t="s">
        <v>138</v>
      </c>
      <c r="AD1488" s="20" t="s">
        <v>138</v>
      </c>
      <c r="AE1488" s="20" t="s">
        <v>138</v>
      </c>
      <c r="AF1488" s="20" t="s">
        <v>138</v>
      </c>
      <c r="AG1488" s="15" t="s">
        <v>138</v>
      </c>
      <c r="AH1488" s="20" t="s">
        <v>138</v>
      </c>
      <c r="AI1488" s="20" t="s">
        <v>138</v>
      </c>
      <c r="AJ1488" s="20" t="s">
        <v>138</v>
      </c>
      <c r="AK1488" s="15" t="s">
        <v>28587</v>
      </c>
      <c r="AL1488" s="15" t="s">
        <v>28588</v>
      </c>
      <c r="AM1488" s="15" t="s">
        <v>2605</v>
      </c>
      <c r="AN1488" s="15" t="s">
        <v>28589</v>
      </c>
      <c r="AO1488" s="15" t="s">
        <v>28590</v>
      </c>
      <c r="AP1488" s="15" t="s">
        <v>28591</v>
      </c>
      <c r="AQ1488" s="15" t="s">
        <v>28592</v>
      </c>
      <c r="AR1488" s="15" t="s">
        <v>28593</v>
      </c>
      <c r="AS1488" s="15" t="s">
        <v>28594</v>
      </c>
      <c r="AT1488" s="15" t="s">
        <v>597</v>
      </c>
      <c r="AU1488" s="15" t="s">
        <v>28595</v>
      </c>
      <c r="AV1488" s="15" t="s">
        <v>162</v>
      </c>
      <c r="AW1488" s="15" t="s">
        <v>28590</v>
      </c>
      <c r="AX1488" s="15" t="s">
        <v>138</v>
      </c>
      <c r="AY1488" s="15" t="s">
        <v>138</v>
      </c>
      <c r="AZ1488" s="15" t="s">
        <v>164</v>
      </c>
      <c r="BA1488" s="15" t="s">
        <v>165</v>
      </c>
      <c r="BB1488" s="15" t="s">
        <v>28596</v>
      </c>
      <c r="BC1488" s="15" t="s">
        <v>28597</v>
      </c>
      <c r="BD1488" s="21">
        <v>8</v>
      </c>
      <c r="BE1488" s="15" t="s">
        <v>138</v>
      </c>
      <c r="BF1488" s="15" t="s">
        <v>138</v>
      </c>
      <c r="BG1488" s="15" t="s">
        <v>138</v>
      </c>
      <c r="BH1488" s="15" t="s">
        <v>28598</v>
      </c>
      <c r="BI1488" s="15" t="s">
        <v>138</v>
      </c>
      <c r="BJ1488" s="15" t="s">
        <v>138</v>
      </c>
      <c r="BK1488" s="15" t="s">
        <v>204</v>
      </c>
      <c r="BL1488" s="15" t="s">
        <v>5628</v>
      </c>
      <c r="BM1488" s="22">
        <v>42637</v>
      </c>
      <c r="BN1488" s="17">
        <v>1.2</v>
      </c>
      <c r="BO1488" s="15" t="s">
        <v>172</v>
      </c>
      <c r="BP1488" s="17">
        <v>4.2</v>
      </c>
      <c r="BQ1488" s="15" t="s">
        <v>172</v>
      </c>
      <c r="BR1488" s="15" t="s">
        <v>234</v>
      </c>
      <c r="BS1488" s="15" t="s">
        <v>234</v>
      </c>
      <c r="BT1488" s="15" t="s">
        <v>138</v>
      </c>
      <c r="BU1488" s="15" t="s">
        <v>174</v>
      </c>
      <c r="BV1488" s="15" t="s">
        <v>138</v>
      </c>
      <c r="BW1488" s="15" t="s">
        <v>138</v>
      </c>
      <c r="BX1488" s="15" t="s">
        <v>138</v>
      </c>
      <c r="BY1488" s="15" t="s">
        <v>175</v>
      </c>
      <c r="BZ1488" s="22">
        <v>43418</v>
      </c>
      <c r="CA1488" s="17">
        <v>37</v>
      </c>
      <c r="CB1488" s="15" t="s">
        <v>172</v>
      </c>
      <c r="CC1488" s="17">
        <v>137</v>
      </c>
      <c r="CD1488" s="15" t="s">
        <v>172</v>
      </c>
      <c r="CE1488" s="15" t="s">
        <v>205</v>
      </c>
      <c r="CF1488" s="15" t="s">
        <v>720</v>
      </c>
      <c r="CG1488" s="15" t="s">
        <v>138</v>
      </c>
      <c r="CH1488" s="15" t="s">
        <v>174</v>
      </c>
      <c r="CI1488" s="15" t="s">
        <v>138</v>
      </c>
      <c r="CJ1488" s="15" t="s">
        <v>138</v>
      </c>
      <c r="CK1488" s="15" t="s">
        <v>138</v>
      </c>
      <c r="CL1488" s="15" t="s">
        <v>175</v>
      </c>
      <c r="CM1488" s="22" t="s">
        <v>138</v>
      </c>
      <c r="CN1488" s="17" t="s">
        <v>138</v>
      </c>
      <c r="CO1488" s="23">
        <v>0</v>
      </c>
      <c r="CP1488" s="24">
        <v>26</v>
      </c>
      <c r="CQ1488" s="23">
        <v>-0.01</v>
      </c>
      <c r="CR1488" s="23">
        <v>-237.78</v>
      </c>
      <c r="CS1488" s="23">
        <v>-1.17</v>
      </c>
      <c r="CT1488" s="24">
        <v>14</v>
      </c>
      <c r="CU1488" s="23">
        <v>1.1599999999999999</v>
      </c>
      <c r="CV1488" s="24">
        <v>98</v>
      </c>
      <c r="CW1488" s="23">
        <v>-1.17</v>
      </c>
      <c r="CX1488" s="24">
        <v>9</v>
      </c>
      <c r="CY1488" s="23" t="s">
        <v>138</v>
      </c>
      <c r="CZ1488" s="24" t="s">
        <v>138</v>
      </c>
      <c r="DA1488" s="23">
        <v>1.1599999999999999</v>
      </c>
      <c r="DB1488" s="24">
        <v>99</v>
      </c>
      <c r="DC1488" s="25">
        <v>19.079999999999998</v>
      </c>
      <c r="DD1488" s="24">
        <v>94</v>
      </c>
      <c r="DE1488" s="25">
        <v>-0.53</v>
      </c>
      <c r="DF1488" s="23">
        <v>-2.68</v>
      </c>
      <c r="DG1488" s="25">
        <v>10.199999999999999</v>
      </c>
      <c r="DH1488" s="24">
        <v>90</v>
      </c>
      <c r="DI1488" s="25">
        <v>27.97</v>
      </c>
      <c r="DJ1488" s="24">
        <v>93</v>
      </c>
      <c r="DK1488" s="25">
        <v>10.199999999999999</v>
      </c>
      <c r="DL1488" s="24">
        <v>87</v>
      </c>
      <c r="DM1488" s="25" t="s">
        <v>138</v>
      </c>
      <c r="DN1488" s="24" t="s">
        <v>138</v>
      </c>
      <c r="DO1488" s="25">
        <v>27.97</v>
      </c>
      <c r="DP1488" s="24">
        <v>94</v>
      </c>
      <c r="DQ1488" s="24">
        <v>3516</v>
      </c>
      <c r="DR1488" s="26">
        <v>-57</v>
      </c>
      <c r="DS1488" s="23">
        <v>-1.6</v>
      </c>
      <c r="DT1488" s="24" t="s">
        <v>138</v>
      </c>
      <c r="DU1488" s="26" t="s">
        <v>138</v>
      </c>
      <c r="DV1488" s="23" t="s">
        <v>138</v>
      </c>
      <c r="DW1488" s="24">
        <v>9992</v>
      </c>
      <c r="DX1488" s="27">
        <v>89</v>
      </c>
      <c r="DY1488" s="23">
        <v>0.9</v>
      </c>
      <c r="DZ1488" s="15" t="s">
        <v>178</v>
      </c>
      <c r="EA1488" s="22">
        <v>43549</v>
      </c>
      <c r="EB1488" s="17">
        <v>137</v>
      </c>
      <c r="EC1488" s="22">
        <v>43418</v>
      </c>
      <c r="ED1488" s="15" t="s">
        <v>205</v>
      </c>
      <c r="EE1488" s="14" t="str">
        <f>HYPERLINK("https://my.pitchbook.com?c=120194-29", "View company online")</f>
        <v>View company online</v>
      </c>
    </row>
    <row r="1489" spans="1:135">
      <c r="A1489" s="28" t="s">
        <v>28599</v>
      </c>
      <c r="B1489" s="28" t="s">
        <v>28600</v>
      </c>
      <c r="C1489" s="28" t="s">
        <v>138</v>
      </c>
      <c r="D1489" s="28" t="s">
        <v>138</v>
      </c>
      <c r="E1489" s="28" t="s">
        <v>28601</v>
      </c>
      <c r="F1489" s="28" t="s">
        <v>28599</v>
      </c>
      <c r="G1489" s="28" t="s">
        <v>28602</v>
      </c>
      <c r="H1489" s="28" t="s">
        <v>322</v>
      </c>
      <c r="I1489" s="28" t="s">
        <v>323</v>
      </c>
      <c r="J1489" s="28" t="s">
        <v>437</v>
      </c>
      <c r="K1489" s="28" t="s">
        <v>4803</v>
      </c>
      <c r="L1489" s="28" t="s">
        <v>4374</v>
      </c>
      <c r="M1489" s="28" t="s">
        <v>28603</v>
      </c>
      <c r="N1489" s="28" t="s">
        <v>147</v>
      </c>
      <c r="O1489" s="29">
        <v>898.84</v>
      </c>
      <c r="P1489" s="28" t="s">
        <v>1473</v>
      </c>
      <c r="Q1489" s="28" t="s">
        <v>149</v>
      </c>
      <c r="R1489" s="28" t="s">
        <v>150</v>
      </c>
      <c r="S1489" s="28" t="s">
        <v>28604</v>
      </c>
      <c r="T1489" s="30">
        <v>700</v>
      </c>
      <c r="U1489" s="28" t="s">
        <v>28605</v>
      </c>
      <c r="V1489" s="28" t="s">
        <v>138</v>
      </c>
      <c r="W1489" s="28" t="s">
        <v>138</v>
      </c>
      <c r="X1489" s="31">
        <v>2012</v>
      </c>
      <c r="Y1489" s="28" t="s">
        <v>138</v>
      </c>
      <c r="Z1489" s="28" t="s">
        <v>138</v>
      </c>
      <c r="AA1489" s="28" t="s">
        <v>1163</v>
      </c>
      <c r="AB1489" s="32">
        <v>192</v>
      </c>
      <c r="AC1489" s="32" t="s">
        <v>138</v>
      </c>
      <c r="AD1489" s="32" t="s">
        <v>138</v>
      </c>
      <c r="AE1489" s="32" t="s">
        <v>138</v>
      </c>
      <c r="AF1489" s="32" t="s">
        <v>138</v>
      </c>
      <c r="AG1489" s="28" t="s">
        <v>419</v>
      </c>
      <c r="AH1489" s="32" t="s">
        <v>138</v>
      </c>
      <c r="AI1489" s="32" t="s">
        <v>138</v>
      </c>
      <c r="AJ1489" s="32" t="s">
        <v>138</v>
      </c>
      <c r="AK1489" s="28" t="s">
        <v>28606</v>
      </c>
      <c r="AL1489" s="28" t="s">
        <v>28607</v>
      </c>
      <c r="AM1489" s="28" t="s">
        <v>28608</v>
      </c>
      <c r="AN1489" s="28" t="s">
        <v>28609</v>
      </c>
      <c r="AO1489" s="28" t="s">
        <v>28610</v>
      </c>
      <c r="AP1489" s="28" t="s">
        <v>1292</v>
      </c>
      <c r="AQ1489" s="28" t="s">
        <v>28611</v>
      </c>
      <c r="AR1489" s="28" t="s">
        <v>618</v>
      </c>
      <c r="AS1489" s="28" t="s">
        <v>1294</v>
      </c>
      <c r="AT1489" s="28" t="s">
        <v>864</v>
      </c>
      <c r="AU1489" s="28" t="s">
        <v>3579</v>
      </c>
      <c r="AV1489" s="28" t="s">
        <v>162</v>
      </c>
      <c r="AW1489" s="28" t="s">
        <v>28610</v>
      </c>
      <c r="AX1489" s="28" t="s">
        <v>138</v>
      </c>
      <c r="AY1489" s="28" t="s">
        <v>28612</v>
      </c>
      <c r="AZ1489" s="28" t="s">
        <v>164</v>
      </c>
      <c r="BA1489" s="28" t="s">
        <v>165</v>
      </c>
      <c r="BB1489" s="28" t="s">
        <v>28613</v>
      </c>
      <c r="BC1489" s="28" t="s">
        <v>28614</v>
      </c>
      <c r="BD1489" s="33">
        <v>45</v>
      </c>
      <c r="BE1489" s="28" t="s">
        <v>138</v>
      </c>
      <c r="BF1489" s="28" t="s">
        <v>138</v>
      </c>
      <c r="BG1489" s="28" t="s">
        <v>138</v>
      </c>
      <c r="BH1489" s="28" t="s">
        <v>28615</v>
      </c>
      <c r="BI1489" s="28" t="s">
        <v>138</v>
      </c>
      <c r="BJ1489" s="28" t="s">
        <v>138</v>
      </c>
      <c r="BK1489" s="28" t="s">
        <v>28616</v>
      </c>
      <c r="BL1489" s="28" t="s">
        <v>28617</v>
      </c>
      <c r="BM1489" s="34">
        <v>41109</v>
      </c>
      <c r="BN1489" s="29">
        <v>1.4</v>
      </c>
      <c r="BO1489" s="28" t="s">
        <v>172</v>
      </c>
      <c r="BP1489" s="29" t="s">
        <v>138</v>
      </c>
      <c r="BQ1489" s="28" t="s">
        <v>138</v>
      </c>
      <c r="BR1489" s="28" t="s">
        <v>234</v>
      </c>
      <c r="BS1489" s="28" t="s">
        <v>234</v>
      </c>
      <c r="BT1489" s="28" t="s">
        <v>138</v>
      </c>
      <c r="BU1489" s="28" t="s">
        <v>174</v>
      </c>
      <c r="BV1489" s="28" t="s">
        <v>138</v>
      </c>
      <c r="BW1489" s="28" t="s">
        <v>138</v>
      </c>
      <c r="BX1489" s="28" t="s">
        <v>138</v>
      </c>
      <c r="BY1489" s="28" t="s">
        <v>175</v>
      </c>
      <c r="BZ1489" s="34" t="s">
        <v>138</v>
      </c>
      <c r="CA1489" s="29">
        <v>175</v>
      </c>
      <c r="CB1489" s="28" t="s">
        <v>1178</v>
      </c>
      <c r="CC1489" s="29" t="s">
        <v>138</v>
      </c>
      <c r="CD1489" s="28" t="s">
        <v>138</v>
      </c>
      <c r="CE1489" s="28" t="s">
        <v>173</v>
      </c>
      <c r="CF1489" s="28" t="s">
        <v>138</v>
      </c>
      <c r="CG1489" s="28" t="s">
        <v>138</v>
      </c>
      <c r="CH1489" s="28" t="s">
        <v>174</v>
      </c>
      <c r="CI1489" s="28" t="s">
        <v>138</v>
      </c>
      <c r="CJ1489" s="28" t="s">
        <v>138</v>
      </c>
      <c r="CK1489" s="28" t="s">
        <v>138</v>
      </c>
      <c r="CL1489" s="28" t="s">
        <v>3093</v>
      </c>
      <c r="CM1489" s="34" t="s">
        <v>138</v>
      </c>
      <c r="CN1489" s="29" t="s">
        <v>138</v>
      </c>
      <c r="CO1489" s="35">
        <v>-0.61</v>
      </c>
      <c r="CP1489" s="36">
        <v>15</v>
      </c>
      <c r="CQ1489" s="35">
        <v>-0.04</v>
      </c>
      <c r="CR1489" s="35">
        <v>-6.74</v>
      </c>
      <c r="CS1489" s="35">
        <v>-2.88</v>
      </c>
      <c r="CT1489" s="36">
        <v>6</v>
      </c>
      <c r="CU1489" s="35">
        <v>0.02</v>
      </c>
      <c r="CV1489" s="36">
        <v>51</v>
      </c>
      <c r="CW1489" s="35">
        <v>-3.6</v>
      </c>
      <c r="CX1489" s="36">
        <v>4</v>
      </c>
      <c r="CY1489" s="35">
        <v>-2.16</v>
      </c>
      <c r="CZ1489" s="36">
        <v>10</v>
      </c>
      <c r="DA1489" s="35">
        <v>0.06</v>
      </c>
      <c r="DB1489" s="36">
        <v>65</v>
      </c>
      <c r="DC1489" s="37">
        <v>1505.96</v>
      </c>
      <c r="DD1489" s="36">
        <v>100</v>
      </c>
      <c r="DE1489" s="37">
        <v>37.51</v>
      </c>
      <c r="DF1489" s="35">
        <v>2.5499999999999998</v>
      </c>
      <c r="DG1489" s="37">
        <v>449.76</v>
      </c>
      <c r="DH1489" s="36">
        <v>100</v>
      </c>
      <c r="DI1489" s="37">
        <v>909.39</v>
      </c>
      <c r="DJ1489" s="36">
        <v>100</v>
      </c>
      <c r="DK1489" s="37">
        <v>776.8</v>
      </c>
      <c r="DL1489" s="36">
        <v>100</v>
      </c>
      <c r="DM1489" s="37">
        <v>122.72</v>
      </c>
      <c r="DN1489" s="36">
        <v>100</v>
      </c>
      <c r="DO1489" s="37">
        <v>698.73</v>
      </c>
      <c r="DP1489" s="36">
        <v>100</v>
      </c>
      <c r="DQ1489" s="36">
        <v>271603</v>
      </c>
      <c r="DR1489" s="38">
        <v>-15487</v>
      </c>
      <c r="DS1489" s="35">
        <v>-5.39</v>
      </c>
      <c r="DT1489" s="36">
        <v>3547</v>
      </c>
      <c r="DU1489" s="38">
        <v>27</v>
      </c>
      <c r="DV1489" s="35">
        <v>0.77</v>
      </c>
      <c r="DW1489" s="36">
        <v>250061</v>
      </c>
      <c r="DX1489" s="39">
        <v>134</v>
      </c>
      <c r="DY1489" s="35">
        <v>0.05</v>
      </c>
      <c r="DZ1489" s="28" t="s">
        <v>178</v>
      </c>
      <c r="EA1489" s="34">
        <v>43607</v>
      </c>
      <c r="EB1489" s="29">
        <v>1068.6500000000001</v>
      </c>
      <c r="EC1489" s="34">
        <v>42810</v>
      </c>
      <c r="ED1489" s="28" t="s">
        <v>173</v>
      </c>
      <c r="EE1489" s="40" t="str">
        <f>HYPERLINK("https://my.pitchbook.com?c=54846-28", "View company online")</f>
        <v>View company online</v>
      </c>
    </row>
    <row r="1490" spans="1:135">
      <c r="A1490" s="15" t="s">
        <v>28618</v>
      </c>
      <c r="B1490" s="15" t="s">
        <v>28619</v>
      </c>
      <c r="C1490" s="15" t="s">
        <v>138</v>
      </c>
      <c r="D1490" s="15" t="s">
        <v>138</v>
      </c>
      <c r="E1490" s="15" t="s">
        <v>138</v>
      </c>
      <c r="F1490" s="15" t="s">
        <v>28618</v>
      </c>
      <c r="G1490" s="15" t="s">
        <v>28620</v>
      </c>
      <c r="H1490" s="15" t="s">
        <v>322</v>
      </c>
      <c r="I1490" s="15" t="s">
        <v>323</v>
      </c>
      <c r="J1490" s="15" t="s">
        <v>413</v>
      </c>
      <c r="K1490" s="15" t="s">
        <v>28621</v>
      </c>
      <c r="L1490" s="15" t="s">
        <v>28622</v>
      </c>
      <c r="M1490" s="15" t="s">
        <v>28623</v>
      </c>
      <c r="N1490" s="15" t="s">
        <v>147</v>
      </c>
      <c r="O1490" s="17">
        <v>10</v>
      </c>
      <c r="P1490" s="15" t="s">
        <v>148</v>
      </c>
      <c r="Q1490" s="15" t="s">
        <v>149</v>
      </c>
      <c r="R1490" s="15" t="s">
        <v>174</v>
      </c>
      <c r="S1490" s="15" t="s">
        <v>28624</v>
      </c>
      <c r="T1490" s="18" t="s">
        <v>138</v>
      </c>
      <c r="U1490" s="15" t="s">
        <v>138</v>
      </c>
      <c r="V1490" s="15" t="s">
        <v>138</v>
      </c>
      <c r="W1490" s="15" t="s">
        <v>138</v>
      </c>
      <c r="X1490" s="19">
        <v>2015</v>
      </c>
      <c r="Y1490" s="15" t="s">
        <v>138</v>
      </c>
      <c r="Z1490" s="15" t="s">
        <v>138</v>
      </c>
      <c r="AA1490" s="15" t="s">
        <v>138</v>
      </c>
      <c r="AB1490" s="20" t="s">
        <v>138</v>
      </c>
      <c r="AC1490" s="20" t="s">
        <v>138</v>
      </c>
      <c r="AD1490" s="20" t="s">
        <v>138</v>
      </c>
      <c r="AE1490" s="20" t="s">
        <v>138</v>
      </c>
      <c r="AF1490" s="20" t="s">
        <v>138</v>
      </c>
      <c r="AG1490" s="15" t="s">
        <v>138</v>
      </c>
      <c r="AH1490" s="20" t="s">
        <v>138</v>
      </c>
      <c r="AI1490" s="20" t="s">
        <v>138</v>
      </c>
      <c r="AJ1490" s="20" t="s">
        <v>138</v>
      </c>
      <c r="AK1490" s="15" t="s">
        <v>138</v>
      </c>
      <c r="AL1490" s="15" t="s">
        <v>138</v>
      </c>
      <c r="AM1490" s="15" t="s">
        <v>138</v>
      </c>
      <c r="AN1490" s="15" t="s">
        <v>138</v>
      </c>
      <c r="AO1490" s="15" t="s">
        <v>138</v>
      </c>
      <c r="AP1490" s="15" t="s">
        <v>496</v>
      </c>
      <c r="AQ1490" s="15" t="s">
        <v>28625</v>
      </c>
      <c r="AR1490" s="15" t="s">
        <v>28626</v>
      </c>
      <c r="AS1490" s="15" t="s">
        <v>499</v>
      </c>
      <c r="AT1490" s="15" t="s">
        <v>138</v>
      </c>
      <c r="AU1490" s="15" t="s">
        <v>138</v>
      </c>
      <c r="AV1490" s="15" t="s">
        <v>450</v>
      </c>
      <c r="AW1490" s="15" t="s">
        <v>28627</v>
      </c>
      <c r="AX1490" s="15" t="s">
        <v>138</v>
      </c>
      <c r="AY1490" s="15" t="s">
        <v>138</v>
      </c>
      <c r="AZ1490" s="15" t="s">
        <v>452</v>
      </c>
      <c r="BA1490" s="15" t="s">
        <v>453</v>
      </c>
      <c r="BB1490" s="15" t="s">
        <v>28628</v>
      </c>
      <c r="BC1490" s="15" t="s">
        <v>28629</v>
      </c>
      <c r="BD1490" s="21">
        <v>5</v>
      </c>
      <c r="BE1490" s="15" t="s">
        <v>138</v>
      </c>
      <c r="BF1490" s="15" t="s">
        <v>138</v>
      </c>
      <c r="BG1490" s="15" t="s">
        <v>138</v>
      </c>
      <c r="BH1490" s="15" t="s">
        <v>28630</v>
      </c>
      <c r="BI1490" s="15" t="s">
        <v>138</v>
      </c>
      <c r="BJ1490" s="15" t="s">
        <v>138</v>
      </c>
      <c r="BK1490" s="15" t="s">
        <v>138</v>
      </c>
      <c r="BL1490" s="15" t="s">
        <v>138</v>
      </c>
      <c r="BM1490" s="22">
        <v>42370</v>
      </c>
      <c r="BN1490" s="17" t="s">
        <v>138</v>
      </c>
      <c r="BO1490" s="15" t="s">
        <v>138</v>
      </c>
      <c r="BP1490" s="17" t="s">
        <v>138</v>
      </c>
      <c r="BQ1490" s="15" t="s">
        <v>138</v>
      </c>
      <c r="BR1490" s="15" t="s">
        <v>316</v>
      </c>
      <c r="BS1490" s="15" t="s">
        <v>138</v>
      </c>
      <c r="BT1490" s="15" t="s">
        <v>138</v>
      </c>
      <c r="BU1490" s="15" t="s">
        <v>177</v>
      </c>
      <c r="BV1490" s="15" t="s">
        <v>138</v>
      </c>
      <c r="BW1490" s="15" t="s">
        <v>138</v>
      </c>
      <c r="BX1490" s="15" t="s">
        <v>138</v>
      </c>
      <c r="BY1490" s="15" t="s">
        <v>175</v>
      </c>
      <c r="BZ1490" s="22">
        <v>43105</v>
      </c>
      <c r="CA1490" s="17">
        <v>10</v>
      </c>
      <c r="CB1490" s="15" t="s">
        <v>172</v>
      </c>
      <c r="CC1490" s="17" t="s">
        <v>138</v>
      </c>
      <c r="CD1490" s="15" t="s">
        <v>138</v>
      </c>
      <c r="CE1490" s="15" t="s">
        <v>205</v>
      </c>
      <c r="CF1490" s="15" t="s">
        <v>720</v>
      </c>
      <c r="CG1490" s="15" t="s">
        <v>138</v>
      </c>
      <c r="CH1490" s="15" t="s">
        <v>174</v>
      </c>
      <c r="CI1490" s="15" t="s">
        <v>138</v>
      </c>
      <c r="CJ1490" s="15" t="s">
        <v>138</v>
      </c>
      <c r="CK1490" s="15" t="s">
        <v>138</v>
      </c>
      <c r="CL1490" s="15" t="s">
        <v>175</v>
      </c>
      <c r="CM1490" s="22" t="s">
        <v>138</v>
      </c>
      <c r="CN1490" s="17" t="s">
        <v>138</v>
      </c>
      <c r="CO1490" s="23" t="s">
        <v>138</v>
      </c>
      <c r="CP1490" s="24" t="s">
        <v>138</v>
      </c>
      <c r="CQ1490" s="23" t="s">
        <v>138</v>
      </c>
      <c r="CR1490" s="23" t="s">
        <v>138</v>
      </c>
      <c r="CS1490" s="23" t="s">
        <v>138</v>
      </c>
      <c r="CT1490" s="24" t="s">
        <v>138</v>
      </c>
      <c r="CU1490" s="23" t="s">
        <v>138</v>
      </c>
      <c r="CV1490" s="24" t="s">
        <v>138</v>
      </c>
      <c r="CW1490" s="23" t="s">
        <v>138</v>
      </c>
      <c r="CX1490" s="24" t="s">
        <v>138</v>
      </c>
      <c r="CY1490" s="23" t="s">
        <v>138</v>
      </c>
      <c r="CZ1490" s="24" t="s">
        <v>138</v>
      </c>
      <c r="DA1490" s="23" t="s">
        <v>138</v>
      </c>
      <c r="DB1490" s="24" t="s">
        <v>138</v>
      </c>
      <c r="DC1490" s="25" t="s">
        <v>138</v>
      </c>
      <c r="DD1490" s="24" t="s">
        <v>138</v>
      </c>
      <c r="DE1490" s="25" t="s">
        <v>138</v>
      </c>
      <c r="DF1490" s="23" t="s">
        <v>138</v>
      </c>
      <c r="DG1490" s="25" t="s">
        <v>138</v>
      </c>
      <c r="DH1490" s="24" t="s">
        <v>138</v>
      </c>
      <c r="DI1490" s="25" t="s">
        <v>138</v>
      </c>
      <c r="DJ1490" s="24" t="s">
        <v>138</v>
      </c>
      <c r="DK1490" s="25" t="s">
        <v>138</v>
      </c>
      <c r="DL1490" s="24" t="s">
        <v>138</v>
      </c>
      <c r="DM1490" s="25" t="s">
        <v>138</v>
      </c>
      <c r="DN1490" s="24" t="s">
        <v>138</v>
      </c>
      <c r="DO1490" s="25" t="s">
        <v>138</v>
      </c>
      <c r="DP1490" s="24" t="s">
        <v>138</v>
      </c>
      <c r="DQ1490" s="24" t="s">
        <v>138</v>
      </c>
      <c r="DR1490" s="26" t="s">
        <v>138</v>
      </c>
      <c r="DS1490" s="23" t="s">
        <v>138</v>
      </c>
      <c r="DT1490" s="24" t="s">
        <v>138</v>
      </c>
      <c r="DU1490" s="26" t="s">
        <v>138</v>
      </c>
      <c r="DV1490" s="23" t="s">
        <v>138</v>
      </c>
      <c r="DW1490" s="24" t="s">
        <v>138</v>
      </c>
      <c r="DX1490" s="27" t="s">
        <v>138</v>
      </c>
      <c r="DY1490" s="23" t="s">
        <v>138</v>
      </c>
      <c r="DZ1490" s="15" t="s">
        <v>178</v>
      </c>
      <c r="EA1490" s="22">
        <v>43549</v>
      </c>
      <c r="EB1490" s="17" t="s">
        <v>138</v>
      </c>
      <c r="EC1490" s="22" t="s">
        <v>138</v>
      </c>
      <c r="ED1490" s="15" t="s">
        <v>138</v>
      </c>
      <c r="EE1490" s="14" t="str">
        <f>HYPERLINK("https://my.pitchbook.com?c=221996-98", "View company online")</f>
        <v>View company online</v>
      </c>
    </row>
    <row r="1491" spans="1:135">
      <c r="A1491" s="28" t="s">
        <v>28631</v>
      </c>
      <c r="B1491" s="28" t="s">
        <v>28632</v>
      </c>
      <c r="C1491" s="28" t="s">
        <v>138</v>
      </c>
      <c r="D1491" s="28" t="s">
        <v>138</v>
      </c>
      <c r="E1491" s="28" t="s">
        <v>138</v>
      </c>
      <c r="F1491" s="28" t="s">
        <v>28631</v>
      </c>
      <c r="G1491" s="28" t="s">
        <v>28633</v>
      </c>
      <c r="H1491" s="28" t="s">
        <v>238</v>
      </c>
      <c r="I1491" s="28" t="s">
        <v>1351</v>
      </c>
      <c r="J1491" s="28" t="s">
        <v>1352</v>
      </c>
      <c r="K1491" s="28" t="s">
        <v>28634</v>
      </c>
      <c r="L1491" s="28" t="s">
        <v>415</v>
      </c>
      <c r="M1491" s="28" t="s">
        <v>28635</v>
      </c>
      <c r="N1491" s="28" t="s">
        <v>147</v>
      </c>
      <c r="O1491" s="29" t="s">
        <v>138</v>
      </c>
      <c r="P1491" s="28" t="s">
        <v>148</v>
      </c>
      <c r="Q1491" s="28" t="s">
        <v>149</v>
      </c>
      <c r="R1491" s="28" t="s">
        <v>174</v>
      </c>
      <c r="S1491" s="28" t="s">
        <v>28636</v>
      </c>
      <c r="T1491" s="30" t="s">
        <v>138</v>
      </c>
      <c r="U1491" s="28" t="s">
        <v>138</v>
      </c>
      <c r="V1491" s="28" t="s">
        <v>138</v>
      </c>
      <c r="W1491" s="28" t="s">
        <v>138</v>
      </c>
      <c r="X1491" s="31">
        <v>2006</v>
      </c>
      <c r="Y1491" s="28" t="s">
        <v>138</v>
      </c>
      <c r="Z1491" s="28" t="s">
        <v>138</v>
      </c>
      <c r="AA1491" s="28" t="s">
        <v>138</v>
      </c>
      <c r="AB1491" s="32" t="s">
        <v>138</v>
      </c>
      <c r="AC1491" s="32" t="s">
        <v>138</v>
      </c>
      <c r="AD1491" s="32" t="s">
        <v>138</v>
      </c>
      <c r="AE1491" s="32" t="s">
        <v>138</v>
      </c>
      <c r="AF1491" s="32" t="s">
        <v>138</v>
      </c>
      <c r="AG1491" s="28" t="s">
        <v>138</v>
      </c>
      <c r="AH1491" s="32" t="s">
        <v>138</v>
      </c>
      <c r="AI1491" s="32" t="s">
        <v>138</v>
      </c>
      <c r="AJ1491" s="32" t="s">
        <v>138</v>
      </c>
      <c r="AK1491" s="28" t="s">
        <v>28637</v>
      </c>
      <c r="AL1491" s="28" t="s">
        <v>28638</v>
      </c>
      <c r="AM1491" s="28" t="s">
        <v>28639</v>
      </c>
      <c r="AN1491" s="28" t="s">
        <v>28640</v>
      </c>
      <c r="AO1491" s="28" t="s">
        <v>28641</v>
      </c>
      <c r="AP1491" s="28" t="s">
        <v>28642</v>
      </c>
      <c r="AQ1491" s="28" t="s">
        <v>28643</v>
      </c>
      <c r="AR1491" s="28" t="s">
        <v>28644</v>
      </c>
      <c r="AS1491" s="28" t="s">
        <v>28645</v>
      </c>
      <c r="AT1491" s="28" t="s">
        <v>14130</v>
      </c>
      <c r="AU1491" s="28" t="s">
        <v>28646</v>
      </c>
      <c r="AV1491" s="28" t="s">
        <v>2742</v>
      </c>
      <c r="AW1491" s="28" t="s">
        <v>28647</v>
      </c>
      <c r="AX1491" s="28" t="s">
        <v>28648</v>
      </c>
      <c r="AY1491" s="28" t="s">
        <v>28649</v>
      </c>
      <c r="AZ1491" s="28" t="s">
        <v>164</v>
      </c>
      <c r="BA1491" s="28" t="s">
        <v>165</v>
      </c>
      <c r="BB1491" s="28" t="s">
        <v>28650</v>
      </c>
      <c r="BC1491" s="28" t="s">
        <v>28651</v>
      </c>
      <c r="BD1491" s="33">
        <v>2</v>
      </c>
      <c r="BE1491" s="28" t="s">
        <v>138</v>
      </c>
      <c r="BF1491" s="28" t="s">
        <v>138</v>
      </c>
      <c r="BG1491" s="28" t="s">
        <v>138</v>
      </c>
      <c r="BH1491" s="28" t="s">
        <v>28652</v>
      </c>
      <c r="BI1491" s="28" t="s">
        <v>138</v>
      </c>
      <c r="BJ1491" s="28" t="s">
        <v>138</v>
      </c>
      <c r="BK1491" s="28" t="s">
        <v>138</v>
      </c>
      <c r="BL1491" s="28" t="s">
        <v>138</v>
      </c>
      <c r="BM1491" s="34">
        <v>40827</v>
      </c>
      <c r="BN1491" s="29" t="s">
        <v>138</v>
      </c>
      <c r="BO1491" s="28" t="s">
        <v>138</v>
      </c>
      <c r="BP1491" s="29" t="s">
        <v>138</v>
      </c>
      <c r="BQ1491" s="28" t="s">
        <v>138</v>
      </c>
      <c r="BR1491" s="28" t="s">
        <v>780</v>
      </c>
      <c r="BS1491" s="28" t="s">
        <v>780</v>
      </c>
      <c r="BT1491" s="28" t="s">
        <v>138</v>
      </c>
      <c r="BU1491" s="28" t="s">
        <v>780</v>
      </c>
      <c r="BV1491" s="28" t="s">
        <v>138</v>
      </c>
      <c r="BW1491" s="28" t="s">
        <v>138</v>
      </c>
      <c r="BX1491" s="28" t="s">
        <v>138</v>
      </c>
      <c r="BY1491" s="28" t="s">
        <v>175</v>
      </c>
      <c r="BZ1491" s="34">
        <v>42403</v>
      </c>
      <c r="CA1491" s="29" t="s">
        <v>138</v>
      </c>
      <c r="CB1491" s="28" t="s">
        <v>138</v>
      </c>
      <c r="CC1491" s="29" t="s">
        <v>138</v>
      </c>
      <c r="CD1491" s="28" t="s">
        <v>138</v>
      </c>
      <c r="CE1491" s="28" t="s">
        <v>379</v>
      </c>
      <c r="CF1491" s="28" t="s">
        <v>138</v>
      </c>
      <c r="CG1491" s="28" t="s">
        <v>138</v>
      </c>
      <c r="CH1491" s="28" t="s">
        <v>780</v>
      </c>
      <c r="CI1491" s="28" t="s">
        <v>138</v>
      </c>
      <c r="CJ1491" s="28" t="s">
        <v>138</v>
      </c>
      <c r="CK1491" s="28" t="s">
        <v>138</v>
      </c>
      <c r="CL1491" s="28" t="s">
        <v>175</v>
      </c>
      <c r="CM1491" s="34" t="s">
        <v>138</v>
      </c>
      <c r="CN1491" s="29" t="s">
        <v>138</v>
      </c>
      <c r="CO1491" s="35">
        <v>0</v>
      </c>
      <c r="CP1491" s="36">
        <v>26</v>
      </c>
      <c r="CQ1491" s="35">
        <v>0</v>
      </c>
      <c r="CR1491" s="35">
        <v>0</v>
      </c>
      <c r="CS1491" s="35">
        <v>0</v>
      </c>
      <c r="CT1491" s="36">
        <v>23</v>
      </c>
      <c r="CU1491" s="35">
        <v>0</v>
      </c>
      <c r="CV1491" s="36">
        <v>22</v>
      </c>
      <c r="CW1491" s="35" t="s">
        <v>138</v>
      </c>
      <c r="CX1491" s="36" t="s">
        <v>138</v>
      </c>
      <c r="CY1491" s="35">
        <v>0</v>
      </c>
      <c r="CZ1491" s="36">
        <v>25</v>
      </c>
      <c r="DA1491" s="35">
        <v>0</v>
      </c>
      <c r="DB1491" s="36">
        <v>22</v>
      </c>
      <c r="DC1491" s="37">
        <v>0.42</v>
      </c>
      <c r="DD1491" s="36">
        <v>30</v>
      </c>
      <c r="DE1491" s="37">
        <v>0.01</v>
      </c>
      <c r="DF1491" s="35">
        <v>1.62</v>
      </c>
      <c r="DG1491" s="37">
        <v>0.79</v>
      </c>
      <c r="DH1491" s="36">
        <v>45</v>
      </c>
      <c r="DI1491" s="37">
        <v>0.05</v>
      </c>
      <c r="DJ1491" s="36">
        <v>9</v>
      </c>
      <c r="DK1491" s="37" t="s">
        <v>138</v>
      </c>
      <c r="DL1491" s="36" t="s">
        <v>138</v>
      </c>
      <c r="DM1491" s="37">
        <v>0.79</v>
      </c>
      <c r="DN1491" s="36">
        <v>45</v>
      </c>
      <c r="DO1491" s="37">
        <v>0.05</v>
      </c>
      <c r="DP1491" s="36">
        <v>10</v>
      </c>
      <c r="DQ1491" s="36" t="s">
        <v>138</v>
      </c>
      <c r="DR1491" s="38" t="s">
        <v>138</v>
      </c>
      <c r="DS1491" s="35" t="s">
        <v>138</v>
      </c>
      <c r="DT1491" s="36">
        <v>23</v>
      </c>
      <c r="DU1491" s="38">
        <v>0</v>
      </c>
      <c r="DV1491" s="35">
        <v>0</v>
      </c>
      <c r="DW1491" s="36">
        <v>19</v>
      </c>
      <c r="DX1491" s="39">
        <v>0</v>
      </c>
      <c r="DY1491" s="35">
        <v>0</v>
      </c>
      <c r="DZ1491" s="28" t="s">
        <v>178</v>
      </c>
      <c r="EA1491" s="34">
        <v>43351</v>
      </c>
      <c r="EB1491" s="29" t="s">
        <v>138</v>
      </c>
      <c r="EC1491" s="34" t="s">
        <v>138</v>
      </c>
      <c r="ED1491" s="28" t="s">
        <v>138</v>
      </c>
      <c r="EE1491" s="40" t="str">
        <f>HYPERLINK("https://my.pitchbook.com?c=138596-23", "View company online")</f>
        <v>View company online</v>
      </c>
    </row>
    <row r="1492" spans="1:135">
      <c r="A1492" s="15" t="s">
        <v>28653</v>
      </c>
      <c r="B1492" s="15" t="s">
        <v>28654</v>
      </c>
      <c r="C1492" s="15" t="s">
        <v>138</v>
      </c>
      <c r="D1492" s="15" t="s">
        <v>28655</v>
      </c>
      <c r="E1492" s="15" t="s">
        <v>138</v>
      </c>
      <c r="F1492" s="15" t="s">
        <v>28653</v>
      </c>
      <c r="G1492" s="15" t="s">
        <v>28656</v>
      </c>
      <c r="H1492" s="15" t="s">
        <v>322</v>
      </c>
      <c r="I1492" s="15" t="s">
        <v>323</v>
      </c>
      <c r="J1492" s="15" t="s">
        <v>324</v>
      </c>
      <c r="K1492" s="15" t="s">
        <v>1543</v>
      </c>
      <c r="L1492" s="15" t="s">
        <v>1544</v>
      </c>
      <c r="M1492" s="15" t="s">
        <v>28657</v>
      </c>
      <c r="N1492" s="15" t="s">
        <v>147</v>
      </c>
      <c r="O1492" s="17">
        <v>15.99</v>
      </c>
      <c r="P1492" s="15" t="s">
        <v>148</v>
      </c>
      <c r="Q1492" s="15" t="s">
        <v>149</v>
      </c>
      <c r="R1492" s="15" t="s">
        <v>174</v>
      </c>
      <c r="S1492" s="15" t="s">
        <v>28658</v>
      </c>
      <c r="T1492" s="18">
        <v>100</v>
      </c>
      <c r="U1492" s="15" t="s">
        <v>25881</v>
      </c>
      <c r="V1492" s="15" t="s">
        <v>138</v>
      </c>
      <c r="W1492" s="15" t="s">
        <v>138</v>
      </c>
      <c r="X1492" s="19">
        <v>2011</v>
      </c>
      <c r="Y1492" s="15" t="s">
        <v>138</v>
      </c>
      <c r="Z1492" s="15" t="s">
        <v>138</v>
      </c>
      <c r="AA1492" s="15" t="s">
        <v>138</v>
      </c>
      <c r="AB1492" s="20" t="s">
        <v>138</v>
      </c>
      <c r="AC1492" s="20" t="s">
        <v>138</v>
      </c>
      <c r="AD1492" s="20" t="s">
        <v>138</v>
      </c>
      <c r="AE1492" s="20" t="s">
        <v>138</v>
      </c>
      <c r="AF1492" s="20" t="s">
        <v>138</v>
      </c>
      <c r="AG1492" s="15" t="s">
        <v>138</v>
      </c>
      <c r="AH1492" s="20" t="s">
        <v>138</v>
      </c>
      <c r="AI1492" s="20" t="s">
        <v>138</v>
      </c>
      <c r="AJ1492" s="20" t="s">
        <v>138</v>
      </c>
      <c r="AK1492" s="15" t="s">
        <v>28659</v>
      </c>
      <c r="AL1492" s="15" t="s">
        <v>28660</v>
      </c>
      <c r="AM1492" s="15" t="s">
        <v>916</v>
      </c>
      <c r="AN1492" s="15" t="s">
        <v>28661</v>
      </c>
      <c r="AO1492" s="15" t="s">
        <v>28662</v>
      </c>
      <c r="AP1492" s="15" t="s">
        <v>28663</v>
      </c>
      <c r="AQ1492" s="15" t="s">
        <v>28664</v>
      </c>
      <c r="AR1492" s="15" t="s">
        <v>28665</v>
      </c>
      <c r="AS1492" s="15" t="s">
        <v>28666</v>
      </c>
      <c r="AT1492" s="15" t="s">
        <v>138</v>
      </c>
      <c r="AU1492" s="15" t="s">
        <v>28667</v>
      </c>
      <c r="AV1492" s="15" t="s">
        <v>1054</v>
      </c>
      <c r="AW1492" s="15" t="s">
        <v>28662</v>
      </c>
      <c r="AX1492" s="15" t="s">
        <v>138</v>
      </c>
      <c r="AY1492" s="15" t="s">
        <v>28668</v>
      </c>
      <c r="AZ1492" s="15" t="s">
        <v>530</v>
      </c>
      <c r="BA1492" s="15" t="s">
        <v>531</v>
      </c>
      <c r="BB1492" s="15" t="s">
        <v>28669</v>
      </c>
      <c r="BC1492" s="15" t="s">
        <v>28670</v>
      </c>
      <c r="BD1492" s="21">
        <v>4</v>
      </c>
      <c r="BE1492" s="15" t="s">
        <v>138</v>
      </c>
      <c r="BF1492" s="15" t="s">
        <v>138</v>
      </c>
      <c r="BG1492" s="15" t="s">
        <v>138</v>
      </c>
      <c r="BH1492" s="15" t="s">
        <v>28671</v>
      </c>
      <c r="BI1492" s="15" t="s">
        <v>138</v>
      </c>
      <c r="BJ1492" s="15" t="s">
        <v>138</v>
      </c>
      <c r="BK1492" s="15" t="s">
        <v>138</v>
      </c>
      <c r="BL1492" s="15" t="s">
        <v>28672</v>
      </c>
      <c r="BM1492" s="22">
        <v>40987</v>
      </c>
      <c r="BN1492" s="17" t="s">
        <v>138</v>
      </c>
      <c r="BO1492" s="15" t="s">
        <v>138</v>
      </c>
      <c r="BP1492" s="17" t="s">
        <v>138</v>
      </c>
      <c r="BQ1492" s="15" t="s">
        <v>138</v>
      </c>
      <c r="BR1492" s="15" t="s">
        <v>316</v>
      </c>
      <c r="BS1492" s="15" t="s">
        <v>138</v>
      </c>
      <c r="BT1492" s="15" t="s">
        <v>138</v>
      </c>
      <c r="BU1492" s="15" t="s">
        <v>177</v>
      </c>
      <c r="BV1492" s="15" t="s">
        <v>138</v>
      </c>
      <c r="BW1492" s="15" t="s">
        <v>138</v>
      </c>
      <c r="BX1492" s="15" t="s">
        <v>138</v>
      </c>
      <c r="BY1492" s="15" t="s">
        <v>175</v>
      </c>
      <c r="BZ1492" s="22">
        <v>43504</v>
      </c>
      <c r="CA1492" s="17">
        <v>10.49</v>
      </c>
      <c r="CB1492" s="15" t="s">
        <v>172</v>
      </c>
      <c r="CC1492" s="17" t="s">
        <v>138</v>
      </c>
      <c r="CD1492" s="15" t="s">
        <v>138</v>
      </c>
      <c r="CE1492" s="15" t="s">
        <v>173</v>
      </c>
      <c r="CF1492" s="15" t="s">
        <v>138</v>
      </c>
      <c r="CG1492" s="15" t="s">
        <v>138</v>
      </c>
      <c r="CH1492" s="15" t="s">
        <v>174</v>
      </c>
      <c r="CI1492" s="15" t="s">
        <v>138</v>
      </c>
      <c r="CJ1492" s="15" t="s">
        <v>138</v>
      </c>
      <c r="CK1492" s="15" t="s">
        <v>138</v>
      </c>
      <c r="CL1492" s="15" t="s">
        <v>175</v>
      </c>
      <c r="CM1492" s="22" t="s">
        <v>138</v>
      </c>
      <c r="CN1492" s="17" t="s">
        <v>138</v>
      </c>
      <c r="CO1492" s="23">
        <v>-0.16</v>
      </c>
      <c r="CP1492" s="24">
        <v>20</v>
      </c>
      <c r="CQ1492" s="23">
        <v>-0.22</v>
      </c>
      <c r="CR1492" s="23">
        <v>-332.79</v>
      </c>
      <c r="CS1492" s="23">
        <v>-0.37</v>
      </c>
      <c r="CT1492" s="24">
        <v>20</v>
      </c>
      <c r="CU1492" s="23">
        <v>0.06</v>
      </c>
      <c r="CV1492" s="24">
        <v>60</v>
      </c>
      <c r="CW1492" s="23" t="s">
        <v>138</v>
      </c>
      <c r="CX1492" s="24" t="s">
        <v>138</v>
      </c>
      <c r="CY1492" s="23">
        <v>-0.37</v>
      </c>
      <c r="CZ1492" s="24">
        <v>23</v>
      </c>
      <c r="DA1492" s="23">
        <v>-0.03</v>
      </c>
      <c r="DB1492" s="24">
        <v>17</v>
      </c>
      <c r="DC1492" s="25">
        <v>3.91</v>
      </c>
      <c r="DD1492" s="24">
        <v>79</v>
      </c>
      <c r="DE1492" s="25">
        <v>0.01</v>
      </c>
      <c r="DF1492" s="23">
        <v>0.2</v>
      </c>
      <c r="DG1492" s="25">
        <v>4.3099999999999996</v>
      </c>
      <c r="DH1492" s="24">
        <v>80</v>
      </c>
      <c r="DI1492" s="25">
        <v>3.52</v>
      </c>
      <c r="DJ1492" s="24">
        <v>72</v>
      </c>
      <c r="DK1492" s="25" t="s">
        <v>138</v>
      </c>
      <c r="DL1492" s="24" t="s">
        <v>138</v>
      </c>
      <c r="DM1492" s="25">
        <v>4.3099999999999996</v>
      </c>
      <c r="DN1492" s="24">
        <v>79</v>
      </c>
      <c r="DO1492" s="25">
        <v>6.35</v>
      </c>
      <c r="DP1492" s="24">
        <v>82</v>
      </c>
      <c r="DQ1492" s="24" t="s">
        <v>138</v>
      </c>
      <c r="DR1492" s="26" t="s">
        <v>138</v>
      </c>
      <c r="DS1492" s="23" t="s">
        <v>138</v>
      </c>
      <c r="DT1492" s="24">
        <v>125</v>
      </c>
      <c r="DU1492" s="26">
        <v>-1</v>
      </c>
      <c r="DV1492" s="23">
        <v>-0.79</v>
      </c>
      <c r="DW1492" s="24">
        <v>2274</v>
      </c>
      <c r="DX1492" s="27">
        <v>-3</v>
      </c>
      <c r="DY1492" s="23">
        <v>-0.13</v>
      </c>
      <c r="DZ1492" s="15" t="s">
        <v>178</v>
      </c>
      <c r="EA1492" s="22">
        <v>43622</v>
      </c>
      <c r="EB1492" s="17" t="s">
        <v>138</v>
      </c>
      <c r="EC1492" s="22" t="s">
        <v>138</v>
      </c>
      <c r="ED1492" s="15" t="s">
        <v>138</v>
      </c>
      <c r="EE1492" s="14" t="str">
        <f>HYPERLINK("https://my.pitchbook.com?c=151974-37", "View company online")</f>
        <v>View company online</v>
      </c>
    </row>
    <row r="1493" spans="1:135">
      <c r="A1493" s="28" t="s">
        <v>28673</v>
      </c>
      <c r="B1493" s="28" t="s">
        <v>28674</v>
      </c>
      <c r="C1493" s="28" t="s">
        <v>28675</v>
      </c>
      <c r="D1493" s="28" t="s">
        <v>138</v>
      </c>
      <c r="E1493" s="28" t="s">
        <v>28676</v>
      </c>
      <c r="F1493" s="28" t="s">
        <v>28673</v>
      </c>
      <c r="G1493" s="28" t="s">
        <v>28677</v>
      </c>
      <c r="H1493" s="28" t="s">
        <v>322</v>
      </c>
      <c r="I1493" s="28" t="s">
        <v>323</v>
      </c>
      <c r="J1493" s="28" t="s">
        <v>324</v>
      </c>
      <c r="K1493" s="28" t="s">
        <v>28678</v>
      </c>
      <c r="L1493" s="28" t="s">
        <v>215</v>
      </c>
      <c r="M1493" s="28" t="s">
        <v>28679</v>
      </c>
      <c r="N1493" s="28" t="s">
        <v>1452</v>
      </c>
      <c r="O1493" s="29" t="s">
        <v>138</v>
      </c>
      <c r="P1493" s="28" t="s">
        <v>812</v>
      </c>
      <c r="Q1493" s="28" t="s">
        <v>149</v>
      </c>
      <c r="R1493" s="28" t="s">
        <v>328</v>
      </c>
      <c r="S1493" s="28" t="s">
        <v>28680</v>
      </c>
      <c r="T1493" s="30" t="s">
        <v>138</v>
      </c>
      <c r="U1493" s="28" t="s">
        <v>138</v>
      </c>
      <c r="V1493" s="28" t="s">
        <v>138</v>
      </c>
      <c r="W1493" s="28" t="s">
        <v>138</v>
      </c>
      <c r="X1493" s="31">
        <v>1999</v>
      </c>
      <c r="Y1493" s="28" t="s">
        <v>138</v>
      </c>
      <c r="Z1493" s="28" t="s">
        <v>138</v>
      </c>
      <c r="AA1493" s="28" t="s">
        <v>138</v>
      </c>
      <c r="AB1493" s="32">
        <v>9.56</v>
      </c>
      <c r="AC1493" s="32" t="s">
        <v>138</v>
      </c>
      <c r="AD1493" s="32" t="s">
        <v>138</v>
      </c>
      <c r="AE1493" s="32" t="s">
        <v>138</v>
      </c>
      <c r="AF1493" s="32" t="s">
        <v>138</v>
      </c>
      <c r="AG1493" s="28" t="s">
        <v>5263</v>
      </c>
      <c r="AH1493" s="32" t="s">
        <v>138</v>
      </c>
      <c r="AI1493" s="32" t="s">
        <v>138</v>
      </c>
      <c r="AJ1493" s="32" t="s">
        <v>138</v>
      </c>
      <c r="AK1493" s="28" t="s">
        <v>28681</v>
      </c>
      <c r="AL1493" s="28" t="s">
        <v>28682</v>
      </c>
      <c r="AM1493" s="28" t="s">
        <v>11604</v>
      </c>
      <c r="AN1493" s="28" t="s">
        <v>28683</v>
      </c>
      <c r="AO1493" s="28" t="s">
        <v>28684</v>
      </c>
      <c r="AP1493" s="28" t="s">
        <v>28685</v>
      </c>
      <c r="AQ1493" s="28" t="s">
        <v>28686</v>
      </c>
      <c r="AR1493" s="28" t="s">
        <v>28687</v>
      </c>
      <c r="AS1493" s="28" t="s">
        <v>28688</v>
      </c>
      <c r="AT1493" s="28" t="s">
        <v>2883</v>
      </c>
      <c r="AU1493" s="28" t="s">
        <v>28689</v>
      </c>
      <c r="AV1493" s="28" t="s">
        <v>162</v>
      </c>
      <c r="AW1493" s="28" t="s">
        <v>28684</v>
      </c>
      <c r="AX1493" s="28" t="s">
        <v>28690</v>
      </c>
      <c r="AY1493" s="28" t="s">
        <v>28691</v>
      </c>
      <c r="AZ1493" s="28" t="s">
        <v>164</v>
      </c>
      <c r="BA1493" s="28" t="s">
        <v>165</v>
      </c>
      <c r="BB1493" s="28" t="s">
        <v>28692</v>
      </c>
      <c r="BC1493" s="28" t="s">
        <v>28693</v>
      </c>
      <c r="BD1493" s="33">
        <v>2</v>
      </c>
      <c r="BE1493" s="28" t="s">
        <v>138</v>
      </c>
      <c r="BF1493" s="28" t="s">
        <v>138</v>
      </c>
      <c r="BG1493" s="28" t="s">
        <v>138</v>
      </c>
      <c r="BH1493" s="28" t="s">
        <v>28694</v>
      </c>
      <c r="BI1493" s="28" t="s">
        <v>138</v>
      </c>
      <c r="BJ1493" s="28" t="s">
        <v>138</v>
      </c>
      <c r="BK1493" s="28" t="s">
        <v>138</v>
      </c>
      <c r="BL1493" s="28" t="s">
        <v>138</v>
      </c>
      <c r="BM1493" s="34" t="s">
        <v>138</v>
      </c>
      <c r="BN1493" s="29" t="s">
        <v>138</v>
      </c>
      <c r="BO1493" s="28" t="s">
        <v>138</v>
      </c>
      <c r="BP1493" s="29" t="s">
        <v>138</v>
      </c>
      <c r="BQ1493" s="28" t="s">
        <v>138</v>
      </c>
      <c r="BR1493" s="28" t="s">
        <v>1673</v>
      </c>
      <c r="BS1493" s="28" t="s">
        <v>138</v>
      </c>
      <c r="BT1493" s="28" t="s">
        <v>138</v>
      </c>
      <c r="BU1493" s="28" t="s">
        <v>351</v>
      </c>
      <c r="BV1493" s="28" t="s">
        <v>138</v>
      </c>
      <c r="BW1493" s="28" t="s">
        <v>138</v>
      </c>
      <c r="BX1493" s="28" t="s">
        <v>138</v>
      </c>
      <c r="BY1493" s="28" t="s">
        <v>175</v>
      </c>
      <c r="BZ1493" s="34" t="s">
        <v>138</v>
      </c>
      <c r="CA1493" s="29" t="s">
        <v>138</v>
      </c>
      <c r="CB1493" s="28" t="s">
        <v>138</v>
      </c>
      <c r="CC1493" s="29" t="s">
        <v>138</v>
      </c>
      <c r="CD1493" s="28" t="s">
        <v>138</v>
      </c>
      <c r="CE1493" s="28" t="s">
        <v>1673</v>
      </c>
      <c r="CF1493" s="28" t="s">
        <v>138</v>
      </c>
      <c r="CG1493" s="28" t="s">
        <v>138</v>
      </c>
      <c r="CH1493" s="28" t="s">
        <v>351</v>
      </c>
      <c r="CI1493" s="28" t="s">
        <v>138</v>
      </c>
      <c r="CJ1493" s="28" t="s">
        <v>138</v>
      </c>
      <c r="CK1493" s="28" t="s">
        <v>138</v>
      </c>
      <c r="CL1493" s="28" t="s">
        <v>175</v>
      </c>
      <c r="CM1493" s="34" t="s">
        <v>138</v>
      </c>
      <c r="CN1493" s="29" t="s">
        <v>138</v>
      </c>
      <c r="CO1493" s="35">
        <v>1.85</v>
      </c>
      <c r="CP1493" s="36">
        <v>99</v>
      </c>
      <c r="CQ1493" s="35">
        <v>0</v>
      </c>
      <c r="CR1493" s="35">
        <v>0</v>
      </c>
      <c r="CS1493" s="35">
        <v>1.85</v>
      </c>
      <c r="CT1493" s="36">
        <v>98</v>
      </c>
      <c r="CU1493" s="35" t="s">
        <v>138</v>
      </c>
      <c r="CV1493" s="36" t="s">
        <v>138</v>
      </c>
      <c r="CW1493" s="35">
        <v>3.81</v>
      </c>
      <c r="CX1493" s="36">
        <v>93</v>
      </c>
      <c r="CY1493" s="35">
        <v>-0.11</v>
      </c>
      <c r="CZ1493" s="36">
        <v>24</v>
      </c>
      <c r="DA1493" s="35" t="s">
        <v>138</v>
      </c>
      <c r="DB1493" s="36" t="s">
        <v>138</v>
      </c>
      <c r="DC1493" s="37">
        <v>6.45</v>
      </c>
      <c r="DD1493" s="36">
        <v>86</v>
      </c>
      <c r="DE1493" s="37">
        <v>-0.27</v>
      </c>
      <c r="DF1493" s="35">
        <v>-4.05</v>
      </c>
      <c r="DG1493" s="37">
        <v>6.45</v>
      </c>
      <c r="DH1493" s="36">
        <v>85</v>
      </c>
      <c r="DI1493" s="37" t="s">
        <v>138</v>
      </c>
      <c r="DJ1493" s="36" t="s">
        <v>138</v>
      </c>
      <c r="DK1493" s="37">
        <v>4.24</v>
      </c>
      <c r="DL1493" s="36">
        <v>77</v>
      </c>
      <c r="DM1493" s="37">
        <v>8.66</v>
      </c>
      <c r="DN1493" s="36">
        <v>87</v>
      </c>
      <c r="DO1493" s="37" t="s">
        <v>138</v>
      </c>
      <c r="DP1493" s="36" t="s">
        <v>138</v>
      </c>
      <c r="DQ1493" s="36">
        <v>1402</v>
      </c>
      <c r="DR1493" s="38">
        <v>151</v>
      </c>
      <c r="DS1493" s="35">
        <v>12.07</v>
      </c>
      <c r="DT1493" s="36">
        <v>251</v>
      </c>
      <c r="DU1493" s="38">
        <v>0</v>
      </c>
      <c r="DV1493" s="35">
        <v>0</v>
      </c>
      <c r="DW1493" s="36" t="s">
        <v>138</v>
      </c>
      <c r="DX1493" s="39" t="s">
        <v>138</v>
      </c>
      <c r="DY1493" s="35" t="s">
        <v>138</v>
      </c>
      <c r="DZ1493" s="28" t="s">
        <v>178</v>
      </c>
      <c r="EA1493" s="34">
        <v>43405</v>
      </c>
      <c r="EB1493" s="29" t="s">
        <v>138</v>
      </c>
      <c r="EC1493" s="34" t="s">
        <v>138</v>
      </c>
      <c r="ED1493" s="28" t="s">
        <v>138</v>
      </c>
      <c r="EE1493" s="40" t="str">
        <f>HYPERLINK("https://my.pitchbook.com?c=54986-50", "View company online")</f>
        <v>View company online</v>
      </c>
    </row>
    <row r="1494" spans="1:135">
      <c r="A1494" s="15" t="s">
        <v>28695</v>
      </c>
      <c r="B1494" s="15" t="s">
        <v>28696</v>
      </c>
      <c r="C1494" s="15" t="s">
        <v>28697</v>
      </c>
      <c r="D1494" s="15" t="s">
        <v>138</v>
      </c>
      <c r="E1494" s="15" t="s">
        <v>28698</v>
      </c>
      <c r="F1494" s="15" t="s">
        <v>28695</v>
      </c>
      <c r="G1494" s="15" t="s">
        <v>28699</v>
      </c>
      <c r="H1494" s="15" t="s">
        <v>322</v>
      </c>
      <c r="I1494" s="15" t="s">
        <v>323</v>
      </c>
      <c r="J1494" s="15" t="s">
        <v>1184</v>
      </c>
      <c r="K1494" s="15" t="s">
        <v>6678</v>
      </c>
      <c r="L1494" s="15" t="s">
        <v>215</v>
      </c>
      <c r="M1494" s="15" t="s">
        <v>28700</v>
      </c>
      <c r="N1494" s="15" t="s">
        <v>147</v>
      </c>
      <c r="O1494" s="17">
        <v>279.81</v>
      </c>
      <c r="P1494" s="15" t="s">
        <v>148</v>
      </c>
      <c r="Q1494" s="15" t="s">
        <v>149</v>
      </c>
      <c r="R1494" s="15" t="s">
        <v>150</v>
      </c>
      <c r="S1494" s="15" t="s">
        <v>28701</v>
      </c>
      <c r="T1494" s="18">
        <v>430</v>
      </c>
      <c r="U1494" s="15" t="s">
        <v>28702</v>
      </c>
      <c r="V1494" s="15" t="s">
        <v>138</v>
      </c>
      <c r="W1494" s="15" t="s">
        <v>138</v>
      </c>
      <c r="X1494" s="19">
        <v>2008</v>
      </c>
      <c r="Y1494" s="15" t="s">
        <v>138</v>
      </c>
      <c r="Z1494" s="15" t="s">
        <v>138</v>
      </c>
      <c r="AA1494" s="15" t="s">
        <v>1163</v>
      </c>
      <c r="AB1494" s="20">
        <v>10</v>
      </c>
      <c r="AC1494" s="20" t="s">
        <v>138</v>
      </c>
      <c r="AD1494" s="20" t="s">
        <v>138</v>
      </c>
      <c r="AE1494" s="20" t="s">
        <v>138</v>
      </c>
      <c r="AF1494" s="20" t="s">
        <v>138</v>
      </c>
      <c r="AG1494" s="15" t="s">
        <v>707</v>
      </c>
      <c r="AH1494" s="20" t="s">
        <v>138</v>
      </c>
      <c r="AI1494" s="20" t="s">
        <v>138</v>
      </c>
      <c r="AJ1494" s="20" t="s">
        <v>138</v>
      </c>
      <c r="AK1494" s="15" t="s">
        <v>28703</v>
      </c>
      <c r="AL1494" s="15" t="s">
        <v>28704</v>
      </c>
      <c r="AM1494" s="15" t="s">
        <v>10390</v>
      </c>
      <c r="AN1494" s="15" t="s">
        <v>28705</v>
      </c>
      <c r="AO1494" s="15" t="s">
        <v>28706</v>
      </c>
      <c r="AP1494" s="15" t="s">
        <v>665</v>
      </c>
      <c r="AQ1494" s="15" t="s">
        <v>28707</v>
      </c>
      <c r="AR1494" s="15" t="s">
        <v>138</v>
      </c>
      <c r="AS1494" s="15" t="s">
        <v>668</v>
      </c>
      <c r="AT1494" s="15" t="s">
        <v>200</v>
      </c>
      <c r="AU1494" s="15" t="s">
        <v>3557</v>
      </c>
      <c r="AV1494" s="15" t="s">
        <v>162</v>
      </c>
      <c r="AW1494" s="15" t="s">
        <v>28706</v>
      </c>
      <c r="AX1494" s="15" t="s">
        <v>138</v>
      </c>
      <c r="AY1494" s="15" t="s">
        <v>138</v>
      </c>
      <c r="AZ1494" s="15" t="s">
        <v>164</v>
      </c>
      <c r="BA1494" s="15" t="s">
        <v>165</v>
      </c>
      <c r="BB1494" s="15" t="s">
        <v>28708</v>
      </c>
      <c r="BC1494" s="15" t="s">
        <v>28709</v>
      </c>
      <c r="BD1494" s="21">
        <v>39</v>
      </c>
      <c r="BE1494" s="15" t="s">
        <v>138</v>
      </c>
      <c r="BF1494" s="15" t="s">
        <v>138</v>
      </c>
      <c r="BG1494" s="15" t="s">
        <v>138</v>
      </c>
      <c r="BH1494" s="15" t="s">
        <v>28710</v>
      </c>
      <c r="BI1494" s="15" t="s">
        <v>138</v>
      </c>
      <c r="BJ1494" s="15" t="s">
        <v>138</v>
      </c>
      <c r="BK1494" s="15" t="s">
        <v>28711</v>
      </c>
      <c r="BL1494" s="15" t="s">
        <v>28712</v>
      </c>
      <c r="BM1494" s="22">
        <v>40534</v>
      </c>
      <c r="BN1494" s="17" t="s">
        <v>138</v>
      </c>
      <c r="BO1494" s="15" t="s">
        <v>138</v>
      </c>
      <c r="BP1494" s="17" t="s">
        <v>138</v>
      </c>
      <c r="BQ1494" s="15" t="s">
        <v>138</v>
      </c>
      <c r="BR1494" s="15" t="s">
        <v>316</v>
      </c>
      <c r="BS1494" s="15" t="s">
        <v>138</v>
      </c>
      <c r="BT1494" s="15" t="s">
        <v>138</v>
      </c>
      <c r="BU1494" s="15" t="s">
        <v>174</v>
      </c>
      <c r="BV1494" s="15" t="s">
        <v>138</v>
      </c>
      <c r="BW1494" s="15" t="s">
        <v>138</v>
      </c>
      <c r="BX1494" s="15" t="s">
        <v>138</v>
      </c>
      <c r="BY1494" s="15" t="s">
        <v>175</v>
      </c>
      <c r="BZ1494" s="22">
        <v>43419</v>
      </c>
      <c r="CA1494" s="17" t="s">
        <v>138</v>
      </c>
      <c r="CB1494" s="15" t="s">
        <v>138</v>
      </c>
      <c r="CC1494" s="17" t="s">
        <v>138</v>
      </c>
      <c r="CD1494" s="15" t="s">
        <v>138</v>
      </c>
      <c r="CE1494" s="15" t="s">
        <v>780</v>
      </c>
      <c r="CF1494" s="15" t="s">
        <v>780</v>
      </c>
      <c r="CG1494" s="15" t="s">
        <v>138</v>
      </c>
      <c r="CH1494" s="15" t="s">
        <v>780</v>
      </c>
      <c r="CI1494" s="15" t="s">
        <v>138</v>
      </c>
      <c r="CJ1494" s="15" t="s">
        <v>138</v>
      </c>
      <c r="CK1494" s="15" t="s">
        <v>138</v>
      </c>
      <c r="CL1494" s="15" t="s">
        <v>175</v>
      </c>
      <c r="CM1494" s="22" t="s">
        <v>138</v>
      </c>
      <c r="CN1494" s="17" t="s">
        <v>138</v>
      </c>
      <c r="CO1494" s="23">
        <v>0.53</v>
      </c>
      <c r="CP1494" s="24">
        <v>95</v>
      </c>
      <c r="CQ1494" s="23">
        <v>-0.05</v>
      </c>
      <c r="CR1494" s="23">
        <v>-8.07</v>
      </c>
      <c r="CS1494" s="23">
        <v>0.73</v>
      </c>
      <c r="CT1494" s="24">
        <v>96</v>
      </c>
      <c r="CU1494" s="23">
        <v>0.32</v>
      </c>
      <c r="CV1494" s="24">
        <v>88</v>
      </c>
      <c r="CW1494" s="23">
        <v>1.94</v>
      </c>
      <c r="CX1494" s="24">
        <v>88</v>
      </c>
      <c r="CY1494" s="23">
        <v>-0.47</v>
      </c>
      <c r="CZ1494" s="24">
        <v>22</v>
      </c>
      <c r="DA1494" s="23">
        <v>0.32</v>
      </c>
      <c r="DB1494" s="24">
        <v>89</v>
      </c>
      <c r="DC1494" s="25">
        <v>806.94</v>
      </c>
      <c r="DD1494" s="24">
        <v>100</v>
      </c>
      <c r="DE1494" s="25">
        <v>-19.440000000000001</v>
      </c>
      <c r="DF1494" s="23">
        <v>-2.35</v>
      </c>
      <c r="DG1494" s="25">
        <v>673.48</v>
      </c>
      <c r="DH1494" s="24">
        <v>100</v>
      </c>
      <c r="DI1494" s="25">
        <v>940.4</v>
      </c>
      <c r="DJ1494" s="24">
        <v>100</v>
      </c>
      <c r="DK1494" s="25">
        <v>565.41</v>
      </c>
      <c r="DL1494" s="24">
        <v>100</v>
      </c>
      <c r="DM1494" s="25">
        <v>781.55</v>
      </c>
      <c r="DN1494" s="24">
        <v>100</v>
      </c>
      <c r="DO1494" s="25">
        <v>940.4</v>
      </c>
      <c r="DP1494" s="24">
        <v>100</v>
      </c>
      <c r="DQ1494" s="24">
        <v>191347</v>
      </c>
      <c r="DR1494" s="26">
        <v>7760</v>
      </c>
      <c r="DS1494" s="23">
        <v>4.2300000000000004</v>
      </c>
      <c r="DT1494" s="24">
        <v>22908</v>
      </c>
      <c r="DU1494" s="26">
        <v>-380</v>
      </c>
      <c r="DV1494" s="23">
        <v>-1.63</v>
      </c>
      <c r="DW1494" s="24">
        <v>336319</v>
      </c>
      <c r="DX1494" s="27">
        <v>833</v>
      </c>
      <c r="DY1494" s="23">
        <v>0.25</v>
      </c>
      <c r="DZ1494" s="15" t="s">
        <v>178</v>
      </c>
      <c r="EA1494" s="22">
        <v>43622</v>
      </c>
      <c r="EB1494" s="17">
        <v>1316.94</v>
      </c>
      <c r="EC1494" s="22">
        <v>43388</v>
      </c>
      <c r="ED1494" s="15" t="s">
        <v>173</v>
      </c>
      <c r="EE1494" s="14" t="str">
        <f>HYPERLINK("https://my.pitchbook.com?c=51655-06", "View company online")</f>
        <v>View company online</v>
      </c>
    </row>
    <row r="1495" spans="1:135">
      <c r="A1495" s="28" t="s">
        <v>28713</v>
      </c>
      <c r="B1495" s="28" t="s">
        <v>28714</v>
      </c>
      <c r="C1495" s="28" t="s">
        <v>138</v>
      </c>
      <c r="D1495" s="28" t="s">
        <v>28715</v>
      </c>
      <c r="E1495" s="28" t="s">
        <v>138</v>
      </c>
      <c r="F1495" s="28" t="s">
        <v>28713</v>
      </c>
      <c r="G1495" s="28" t="s">
        <v>28716</v>
      </c>
      <c r="H1495" s="28" t="s">
        <v>322</v>
      </c>
      <c r="I1495" s="28" t="s">
        <v>323</v>
      </c>
      <c r="J1495" s="28" t="s">
        <v>324</v>
      </c>
      <c r="K1495" s="28" t="s">
        <v>17584</v>
      </c>
      <c r="L1495" s="28" t="s">
        <v>2835</v>
      </c>
      <c r="M1495" s="28" t="s">
        <v>28717</v>
      </c>
      <c r="N1495" s="28" t="s">
        <v>2487</v>
      </c>
      <c r="O1495" s="29">
        <v>2.2999999999999998</v>
      </c>
      <c r="P1495" s="28" t="s">
        <v>148</v>
      </c>
      <c r="Q1495" s="28" t="s">
        <v>149</v>
      </c>
      <c r="R1495" s="28" t="s">
        <v>543</v>
      </c>
      <c r="S1495" s="28" t="s">
        <v>28718</v>
      </c>
      <c r="T1495" s="30">
        <v>16</v>
      </c>
      <c r="U1495" s="28" t="s">
        <v>11368</v>
      </c>
      <c r="V1495" s="28" t="s">
        <v>138</v>
      </c>
      <c r="W1495" s="28" t="s">
        <v>138</v>
      </c>
      <c r="X1495" s="31">
        <v>2007</v>
      </c>
      <c r="Y1495" s="28" t="s">
        <v>138</v>
      </c>
      <c r="Z1495" s="28" t="s">
        <v>138</v>
      </c>
      <c r="AA1495" s="28" t="s">
        <v>138</v>
      </c>
      <c r="AB1495" s="32" t="s">
        <v>138</v>
      </c>
      <c r="AC1495" s="32" t="s">
        <v>138</v>
      </c>
      <c r="AD1495" s="32" t="s">
        <v>138</v>
      </c>
      <c r="AE1495" s="32" t="s">
        <v>138</v>
      </c>
      <c r="AF1495" s="32" t="s">
        <v>138</v>
      </c>
      <c r="AG1495" s="28" t="s">
        <v>138</v>
      </c>
      <c r="AH1495" s="32" t="s">
        <v>138</v>
      </c>
      <c r="AI1495" s="32" t="s">
        <v>138</v>
      </c>
      <c r="AJ1495" s="32" t="s">
        <v>138</v>
      </c>
      <c r="AK1495" s="28" t="s">
        <v>28719</v>
      </c>
      <c r="AL1495" s="28" t="s">
        <v>28720</v>
      </c>
      <c r="AM1495" s="28" t="s">
        <v>28721</v>
      </c>
      <c r="AN1495" s="28" t="s">
        <v>28722</v>
      </c>
      <c r="AO1495" s="28" t="s">
        <v>138</v>
      </c>
      <c r="AP1495" s="28" t="s">
        <v>4463</v>
      </c>
      <c r="AQ1495" s="28" t="s">
        <v>28723</v>
      </c>
      <c r="AR1495" s="28" t="s">
        <v>138</v>
      </c>
      <c r="AS1495" s="28" t="s">
        <v>4466</v>
      </c>
      <c r="AT1495" s="28" t="s">
        <v>426</v>
      </c>
      <c r="AU1495" s="28" t="s">
        <v>14192</v>
      </c>
      <c r="AV1495" s="28" t="s">
        <v>162</v>
      </c>
      <c r="AW1495" s="28" t="s">
        <v>138</v>
      </c>
      <c r="AX1495" s="28" t="s">
        <v>138</v>
      </c>
      <c r="AY1495" s="28" t="s">
        <v>28724</v>
      </c>
      <c r="AZ1495" s="28" t="s">
        <v>164</v>
      </c>
      <c r="BA1495" s="28" t="s">
        <v>165</v>
      </c>
      <c r="BB1495" s="28" t="s">
        <v>28725</v>
      </c>
      <c r="BC1495" s="28" t="s">
        <v>28726</v>
      </c>
      <c r="BD1495" s="33">
        <v>5</v>
      </c>
      <c r="BE1495" s="28" t="s">
        <v>138</v>
      </c>
      <c r="BF1495" s="28" t="s">
        <v>138</v>
      </c>
      <c r="BG1495" s="28" t="s">
        <v>138</v>
      </c>
      <c r="BH1495" s="28" t="s">
        <v>28727</v>
      </c>
      <c r="BI1495" s="28" t="s">
        <v>138</v>
      </c>
      <c r="BJ1495" s="28" t="s">
        <v>138</v>
      </c>
      <c r="BK1495" s="28" t="s">
        <v>138</v>
      </c>
      <c r="BL1495" s="28" t="s">
        <v>138</v>
      </c>
      <c r="BM1495" s="34">
        <v>40544</v>
      </c>
      <c r="BN1495" s="29">
        <v>2.2999999999999998</v>
      </c>
      <c r="BO1495" s="28" t="s">
        <v>172</v>
      </c>
      <c r="BP1495" s="29" t="s">
        <v>138</v>
      </c>
      <c r="BQ1495" s="28" t="s">
        <v>138</v>
      </c>
      <c r="BR1495" s="28" t="s">
        <v>262</v>
      </c>
      <c r="BS1495" s="28" t="s">
        <v>262</v>
      </c>
      <c r="BT1495" s="28" t="s">
        <v>138</v>
      </c>
      <c r="BU1495" s="28" t="s">
        <v>263</v>
      </c>
      <c r="BV1495" s="28" t="s">
        <v>138</v>
      </c>
      <c r="BW1495" s="28" t="s">
        <v>138</v>
      </c>
      <c r="BX1495" s="28" t="s">
        <v>138</v>
      </c>
      <c r="BY1495" s="28" t="s">
        <v>175</v>
      </c>
      <c r="BZ1495" s="34">
        <v>43327</v>
      </c>
      <c r="CA1495" s="29" t="s">
        <v>138</v>
      </c>
      <c r="CB1495" s="28" t="s">
        <v>138</v>
      </c>
      <c r="CC1495" s="29" t="s">
        <v>138</v>
      </c>
      <c r="CD1495" s="28" t="s">
        <v>138</v>
      </c>
      <c r="CE1495" s="28" t="s">
        <v>316</v>
      </c>
      <c r="CF1495" s="28" t="s">
        <v>138</v>
      </c>
      <c r="CG1495" s="28" t="s">
        <v>138</v>
      </c>
      <c r="CH1495" s="28" t="s">
        <v>177</v>
      </c>
      <c r="CI1495" s="28" t="s">
        <v>138</v>
      </c>
      <c r="CJ1495" s="28" t="s">
        <v>138</v>
      </c>
      <c r="CK1495" s="28" t="s">
        <v>138</v>
      </c>
      <c r="CL1495" s="28" t="s">
        <v>175</v>
      </c>
      <c r="CM1495" s="34" t="s">
        <v>138</v>
      </c>
      <c r="CN1495" s="29" t="s">
        <v>138</v>
      </c>
      <c r="CO1495" s="35">
        <v>0</v>
      </c>
      <c r="CP1495" s="36">
        <v>26</v>
      </c>
      <c r="CQ1495" s="35">
        <v>0</v>
      </c>
      <c r="CR1495" s="35">
        <v>0</v>
      </c>
      <c r="CS1495" s="35">
        <v>0</v>
      </c>
      <c r="CT1495" s="36">
        <v>23</v>
      </c>
      <c r="CU1495" s="35">
        <v>0</v>
      </c>
      <c r="CV1495" s="36">
        <v>22</v>
      </c>
      <c r="CW1495" s="35">
        <v>0</v>
      </c>
      <c r="CX1495" s="36">
        <v>13</v>
      </c>
      <c r="CY1495" s="35">
        <v>0</v>
      </c>
      <c r="CZ1495" s="36">
        <v>25</v>
      </c>
      <c r="DA1495" s="35">
        <v>0</v>
      </c>
      <c r="DB1495" s="36">
        <v>22</v>
      </c>
      <c r="DC1495" s="37">
        <v>0.42</v>
      </c>
      <c r="DD1495" s="36">
        <v>30</v>
      </c>
      <c r="DE1495" s="37">
        <v>-0.04</v>
      </c>
      <c r="DF1495" s="35">
        <v>-9.0299999999999994</v>
      </c>
      <c r="DG1495" s="37">
        <v>0.76</v>
      </c>
      <c r="DH1495" s="36">
        <v>44</v>
      </c>
      <c r="DI1495" s="37">
        <v>0.08</v>
      </c>
      <c r="DJ1495" s="36">
        <v>12</v>
      </c>
      <c r="DK1495" s="37">
        <v>1.31</v>
      </c>
      <c r="DL1495" s="36">
        <v>56</v>
      </c>
      <c r="DM1495" s="37">
        <v>0.21</v>
      </c>
      <c r="DN1495" s="36">
        <v>16</v>
      </c>
      <c r="DO1495" s="37">
        <v>0.14000000000000001</v>
      </c>
      <c r="DP1495" s="36">
        <v>20</v>
      </c>
      <c r="DQ1495" s="36">
        <v>432</v>
      </c>
      <c r="DR1495" s="38">
        <v>55</v>
      </c>
      <c r="DS1495" s="35">
        <v>14.59</v>
      </c>
      <c r="DT1495" s="36">
        <v>6</v>
      </c>
      <c r="DU1495" s="38">
        <v>0</v>
      </c>
      <c r="DV1495" s="35">
        <v>0</v>
      </c>
      <c r="DW1495" s="36">
        <v>50</v>
      </c>
      <c r="DX1495" s="39">
        <v>0</v>
      </c>
      <c r="DY1495" s="35">
        <v>0</v>
      </c>
      <c r="DZ1495" s="28" t="s">
        <v>178</v>
      </c>
      <c r="EA1495" s="34">
        <v>43595</v>
      </c>
      <c r="EB1495" s="29" t="s">
        <v>138</v>
      </c>
      <c r="EC1495" s="34" t="s">
        <v>138</v>
      </c>
      <c r="ED1495" s="28" t="s">
        <v>138</v>
      </c>
      <c r="EE1495" s="40" t="str">
        <f>HYPERLINK("https://my.pitchbook.com?c=84449-53", "View company online")</f>
        <v>View company online</v>
      </c>
    </row>
    <row r="1496" spans="1:135">
      <c r="A1496" s="15" t="s">
        <v>28728</v>
      </c>
      <c r="B1496" s="15" t="s">
        <v>28729</v>
      </c>
      <c r="C1496" s="15" t="s">
        <v>138</v>
      </c>
      <c r="D1496" s="15" t="s">
        <v>138</v>
      </c>
      <c r="E1496" s="15" t="s">
        <v>28730</v>
      </c>
      <c r="F1496" s="15" t="s">
        <v>28728</v>
      </c>
      <c r="G1496" s="15" t="s">
        <v>28731</v>
      </c>
      <c r="H1496" s="15" t="s">
        <v>238</v>
      </c>
      <c r="I1496" s="15" t="s">
        <v>239</v>
      </c>
      <c r="J1496" s="15" t="s">
        <v>8328</v>
      </c>
      <c r="K1496" s="15" t="s">
        <v>28732</v>
      </c>
      <c r="L1496" s="15" t="s">
        <v>415</v>
      </c>
      <c r="M1496" s="15" t="s">
        <v>28733</v>
      </c>
      <c r="N1496" s="15" t="s">
        <v>147</v>
      </c>
      <c r="O1496" s="17">
        <v>7</v>
      </c>
      <c r="P1496" s="15" t="s">
        <v>610</v>
      </c>
      <c r="Q1496" s="15" t="s">
        <v>149</v>
      </c>
      <c r="R1496" s="15" t="s">
        <v>174</v>
      </c>
      <c r="S1496" s="15" t="s">
        <v>28734</v>
      </c>
      <c r="T1496" s="18">
        <v>34</v>
      </c>
      <c r="U1496" s="15" t="s">
        <v>28735</v>
      </c>
      <c r="V1496" s="15" t="s">
        <v>138</v>
      </c>
      <c r="W1496" s="15" t="s">
        <v>138</v>
      </c>
      <c r="X1496" s="19">
        <v>2013</v>
      </c>
      <c r="Y1496" s="15" t="s">
        <v>138</v>
      </c>
      <c r="Z1496" s="15" t="s">
        <v>138</v>
      </c>
      <c r="AA1496" s="15" t="s">
        <v>138</v>
      </c>
      <c r="AB1496" s="20" t="s">
        <v>138</v>
      </c>
      <c r="AC1496" s="20" t="s">
        <v>138</v>
      </c>
      <c r="AD1496" s="20" t="s">
        <v>138</v>
      </c>
      <c r="AE1496" s="20" t="s">
        <v>138</v>
      </c>
      <c r="AF1496" s="20" t="s">
        <v>138</v>
      </c>
      <c r="AG1496" s="15" t="s">
        <v>138</v>
      </c>
      <c r="AH1496" s="20" t="s">
        <v>138</v>
      </c>
      <c r="AI1496" s="20" t="s">
        <v>138</v>
      </c>
      <c r="AJ1496" s="20" t="s">
        <v>138</v>
      </c>
      <c r="AK1496" s="15" t="s">
        <v>28736</v>
      </c>
      <c r="AL1496" s="15" t="s">
        <v>28737</v>
      </c>
      <c r="AM1496" s="15" t="s">
        <v>304</v>
      </c>
      <c r="AN1496" s="15" t="s">
        <v>28738</v>
      </c>
      <c r="AO1496" s="15" t="s">
        <v>138</v>
      </c>
      <c r="AP1496" s="15" t="s">
        <v>423</v>
      </c>
      <c r="AQ1496" s="15" t="s">
        <v>138</v>
      </c>
      <c r="AR1496" s="15" t="s">
        <v>138</v>
      </c>
      <c r="AS1496" s="15" t="s">
        <v>426</v>
      </c>
      <c r="AT1496" s="15" t="s">
        <v>426</v>
      </c>
      <c r="AU1496" s="15" t="s">
        <v>138</v>
      </c>
      <c r="AV1496" s="15" t="s">
        <v>162</v>
      </c>
      <c r="AW1496" s="15" t="s">
        <v>138</v>
      </c>
      <c r="AX1496" s="15" t="s">
        <v>138</v>
      </c>
      <c r="AY1496" s="15" t="s">
        <v>138</v>
      </c>
      <c r="AZ1496" s="15" t="s">
        <v>164</v>
      </c>
      <c r="BA1496" s="15" t="s">
        <v>165</v>
      </c>
      <c r="BB1496" s="15" t="s">
        <v>28739</v>
      </c>
      <c r="BC1496" s="15" t="s">
        <v>28740</v>
      </c>
      <c r="BD1496" s="21">
        <v>4</v>
      </c>
      <c r="BE1496" s="15" t="s">
        <v>138</v>
      </c>
      <c r="BF1496" s="15" t="s">
        <v>138</v>
      </c>
      <c r="BG1496" s="15" t="s">
        <v>138</v>
      </c>
      <c r="BH1496" s="15" t="s">
        <v>28741</v>
      </c>
      <c r="BI1496" s="15" t="s">
        <v>138</v>
      </c>
      <c r="BJ1496" s="15" t="s">
        <v>138</v>
      </c>
      <c r="BK1496" s="15" t="s">
        <v>138</v>
      </c>
      <c r="BL1496" s="15" t="s">
        <v>1710</v>
      </c>
      <c r="BM1496" s="22">
        <v>41813</v>
      </c>
      <c r="BN1496" s="17">
        <v>7</v>
      </c>
      <c r="BO1496" s="15" t="s">
        <v>172</v>
      </c>
      <c r="BP1496" s="17">
        <v>25.88</v>
      </c>
      <c r="BQ1496" s="15" t="s">
        <v>172</v>
      </c>
      <c r="BR1496" s="15" t="s">
        <v>205</v>
      </c>
      <c r="BS1496" s="15" t="s">
        <v>206</v>
      </c>
      <c r="BT1496" s="15" t="s">
        <v>138</v>
      </c>
      <c r="BU1496" s="15" t="s">
        <v>174</v>
      </c>
      <c r="BV1496" s="15" t="s">
        <v>138</v>
      </c>
      <c r="BW1496" s="15" t="s">
        <v>138</v>
      </c>
      <c r="BX1496" s="15" t="s">
        <v>138</v>
      </c>
      <c r="BY1496" s="15" t="s">
        <v>175</v>
      </c>
      <c r="BZ1496" s="22">
        <v>41813</v>
      </c>
      <c r="CA1496" s="17">
        <v>7</v>
      </c>
      <c r="CB1496" s="15" t="s">
        <v>172</v>
      </c>
      <c r="CC1496" s="17">
        <v>25.88</v>
      </c>
      <c r="CD1496" s="15" t="s">
        <v>172</v>
      </c>
      <c r="CE1496" s="15" t="s">
        <v>205</v>
      </c>
      <c r="CF1496" s="15" t="s">
        <v>206</v>
      </c>
      <c r="CG1496" s="15" t="s">
        <v>138</v>
      </c>
      <c r="CH1496" s="15" t="s">
        <v>174</v>
      </c>
      <c r="CI1496" s="15" t="s">
        <v>138</v>
      </c>
      <c r="CJ1496" s="15" t="s">
        <v>138</v>
      </c>
      <c r="CK1496" s="15" t="s">
        <v>138</v>
      </c>
      <c r="CL1496" s="15" t="s">
        <v>175</v>
      </c>
      <c r="CM1496" s="22" t="s">
        <v>138</v>
      </c>
      <c r="CN1496" s="17" t="s">
        <v>138</v>
      </c>
      <c r="CO1496" s="23">
        <v>2.7</v>
      </c>
      <c r="CP1496" s="24">
        <v>99</v>
      </c>
      <c r="CQ1496" s="23">
        <v>0.05</v>
      </c>
      <c r="CR1496" s="23">
        <v>1.95</v>
      </c>
      <c r="CS1496" s="23">
        <v>5.43</v>
      </c>
      <c r="CT1496" s="24">
        <v>100</v>
      </c>
      <c r="CU1496" s="23">
        <v>-0.03</v>
      </c>
      <c r="CV1496" s="24">
        <v>14</v>
      </c>
      <c r="CW1496" s="23">
        <v>11.53</v>
      </c>
      <c r="CX1496" s="24">
        <v>100</v>
      </c>
      <c r="CY1496" s="23">
        <v>-0.67</v>
      </c>
      <c r="CZ1496" s="24">
        <v>21</v>
      </c>
      <c r="DA1496" s="23">
        <v>-0.03</v>
      </c>
      <c r="DB1496" s="24">
        <v>17</v>
      </c>
      <c r="DC1496" s="25">
        <v>1395.07</v>
      </c>
      <c r="DD1496" s="24">
        <v>100</v>
      </c>
      <c r="DE1496" s="25">
        <v>-33.450000000000003</v>
      </c>
      <c r="DF1496" s="23">
        <v>-2.34</v>
      </c>
      <c r="DG1496" s="25">
        <v>560.74</v>
      </c>
      <c r="DH1496" s="24">
        <v>100</v>
      </c>
      <c r="DI1496" s="25">
        <v>2229.39</v>
      </c>
      <c r="DJ1496" s="24">
        <v>100</v>
      </c>
      <c r="DK1496" s="25">
        <v>1017.9</v>
      </c>
      <c r="DL1496" s="24">
        <v>100</v>
      </c>
      <c r="DM1496" s="25">
        <v>103.59</v>
      </c>
      <c r="DN1496" s="24">
        <v>99</v>
      </c>
      <c r="DO1496" s="25">
        <v>251.5</v>
      </c>
      <c r="DP1496" s="24">
        <v>99</v>
      </c>
      <c r="DQ1496" s="24">
        <v>338080</v>
      </c>
      <c r="DR1496" s="26">
        <v>33176</v>
      </c>
      <c r="DS1496" s="23">
        <v>10.88</v>
      </c>
      <c r="DT1496" s="24">
        <v>2987</v>
      </c>
      <c r="DU1496" s="26">
        <v>46</v>
      </c>
      <c r="DV1496" s="23">
        <v>1.56</v>
      </c>
      <c r="DW1496" s="24">
        <v>90056</v>
      </c>
      <c r="DX1496" s="27">
        <v>-19</v>
      </c>
      <c r="DY1496" s="23">
        <v>-0.02</v>
      </c>
      <c r="DZ1496" s="15" t="s">
        <v>178</v>
      </c>
      <c r="EA1496" s="22">
        <v>43622</v>
      </c>
      <c r="EB1496" s="17">
        <v>25.88</v>
      </c>
      <c r="EC1496" s="22">
        <v>41813</v>
      </c>
      <c r="ED1496" s="15" t="s">
        <v>205</v>
      </c>
      <c r="EE1496" s="14" t="str">
        <f>HYPERLINK("https://my.pitchbook.com?c=64213-39", "View company online")</f>
        <v>View company online</v>
      </c>
    </row>
    <row r="1497" spans="1:135">
      <c r="A1497" s="28" t="s">
        <v>28742</v>
      </c>
      <c r="B1497" s="28" t="s">
        <v>28743</v>
      </c>
      <c r="C1497" s="28" t="s">
        <v>28744</v>
      </c>
      <c r="D1497" s="28" t="s">
        <v>138</v>
      </c>
      <c r="E1497" s="28" t="s">
        <v>138</v>
      </c>
      <c r="F1497" s="28" t="s">
        <v>28742</v>
      </c>
      <c r="G1497" s="28" t="s">
        <v>28745</v>
      </c>
      <c r="H1497" s="28" t="s">
        <v>322</v>
      </c>
      <c r="I1497" s="28" t="s">
        <v>356</v>
      </c>
      <c r="J1497" s="28" t="s">
        <v>3030</v>
      </c>
      <c r="K1497" s="28" t="s">
        <v>28746</v>
      </c>
      <c r="L1497" s="28" t="s">
        <v>415</v>
      </c>
      <c r="M1497" s="28" t="s">
        <v>28747</v>
      </c>
      <c r="N1497" s="28" t="s">
        <v>147</v>
      </c>
      <c r="O1497" s="29">
        <v>87.77</v>
      </c>
      <c r="P1497" s="28" t="s">
        <v>812</v>
      </c>
      <c r="Q1497" s="28" t="s">
        <v>149</v>
      </c>
      <c r="R1497" s="28" t="s">
        <v>244</v>
      </c>
      <c r="S1497" s="28" t="s">
        <v>28748</v>
      </c>
      <c r="T1497" s="30">
        <v>14</v>
      </c>
      <c r="U1497" s="28" t="s">
        <v>28749</v>
      </c>
      <c r="V1497" s="28" t="s">
        <v>138</v>
      </c>
      <c r="W1497" s="28" t="s">
        <v>138</v>
      </c>
      <c r="X1497" s="31">
        <v>2003</v>
      </c>
      <c r="Y1497" s="28" t="s">
        <v>138</v>
      </c>
      <c r="Z1497" s="28" t="s">
        <v>138</v>
      </c>
      <c r="AA1497" s="28" t="s">
        <v>138</v>
      </c>
      <c r="AB1497" s="32">
        <v>39.380000000000003</v>
      </c>
      <c r="AC1497" s="32" t="s">
        <v>138</v>
      </c>
      <c r="AD1497" s="32">
        <v>6.7</v>
      </c>
      <c r="AE1497" s="32" t="s">
        <v>138</v>
      </c>
      <c r="AF1497" s="32" t="s">
        <v>138</v>
      </c>
      <c r="AG1497" s="28" t="s">
        <v>514</v>
      </c>
      <c r="AH1497" s="32" t="s">
        <v>138</v>
      </c>
      <c r="AI1497" s="32" t="s">
        <v>138</v>
      </c>
      <c r="AJ1497" s="32" t="s">
        <v>138</v>
      </c>
      <c r="AK1497" s="28" t="s">
        <v>28750</v>
      </c>
      <c r="AL1497" s="28" t="s">
        <v>28751</v>
      </c>
      <c r="AM1497" s="28" t="s">
        <v>249</v>
      </c>
      <c r="AN1497" s="28" t="s">
        <v>28752</v>
      </c>
      <c r="AO1497" s="28" t="s">
        <v>28753</v>
      </c>
      <c r="AP1497" s="28" t="s">
        <v>1168</v>
      </c>
      <c r="AQ1497" s="28" t="s">
        <v>28754</v>
      </c>
      <c r="AR1497" s="28" t="s">
        <v>28755</v>
      </c>
      <c r="AS1497" s="28" t="s">
        <v>1171</v>
      </c>
      <c r="AT1497" s="28" t="s">
        <v>200</v>
      </c>
      <c r="AU1497" s="28" t="s">
        <v>1172</v>
      </c>
      <c r="AV1497" s="28" t="s">
        <v>162</v>
      </c>
      <c r="AW1497" s="28" t="s">
        <v>28756</v>
      </c>
      <c r="AX1497" s="28" t="s">
        <v>28757</v>
      </c>
      <c r="AY1497" s="28" t="s">
        <v>138</v>
      </c>
      <c r="AZ1497" s="28" t="s">
        <v>164</v>
      </c>
      <c r="BA1497" s="28" t="s">
        <v>165</v>
      </c>
      <c r="BB1497" s="28" t="s">
        <v>28758</v>
      </c>
      <c r="BC1497" s="28" t="s">
        <v>28759</v>
      </c>
      <c r="BD1497" s="33">
        <v>10</v>
      </c>
      <c r="BE1497" s="28" t="s">
        <v>138</v>
      </c>
      <c r="BF1497" s="28" t="s">
        <v>138</v>
      </c>
      <c r="BG1497" s="28" t="s">
        <v>138</v>
      </c>
      <c r="BH1497" s="28" t="s">
        <v>28760</v>
      </c>
      <c r="BI1497" s="28" t="s">
        <v>138</v>
      </c>
      <c r="BJ1497" s="28" t="s">
        <v>138</v>
      </c>
      <c r="BK1497" s="28" t="s">
        <v>28761</v>
      </c>
      <c r="BL1497" s="28" t="s">
        <v>28762</v>
      </c>
      <c r="BM1497" s="34">
        <v>38473</v>
      </c>
      <c r="BN1497" s="29">
        <v>8</v>
      </c>
      <c r="BO1497" s="28" t="s">
        <v>172</v>
      </c>
      <c r="BP1497" s="29" t="s">
        <v>138</v>
      </c>
      <c r="BQ1497" s="28" t="s">
        <v>138</v>
      </c>
      <c r="BR1497" s="28" t="s">
        <v>205</v>
      </c>
      <c r="BS1497" s="28" t="s">
        <v>720</v>
      </c>
      <c r="BT1497" s="28" t="s">
        <v>138</v>
      </c>
      <c r="BU1497" s="28" t="s">
        <v>174</v>
      </c>
      <c r="BV1497" s="28" t="s">
        <v>1397</v>
      </c>
      <c r="BW1497" s="28" t="s">
        <v>138</v>
      </c>
      <c r="BX1497" s="28" t="s">
        <v>138</v>
      </c>
      <c r="BY1497" s="28" t="s">
        <v>175</v>
      </c>
      <c r="BZ1497" s="34">
        <v>41163</v>
      </c>
      <c r="CA1497" s="29">
        <v>10.4</v>
      </c>
      <c r="CB1497" s="28" t="s">
        <v>172</v>
      </c>
      <c r="CC1497" s="29" t="s">
        <v>138</v>
      </c>
      <c r="CD1497" s="28" t="s">
        <v>138</v>
      </c>
      <c r="CE1497" s="28" t="s">
        <v>173</v>
      </c>
      <c r="CF1497" s="28" t="s">
        <v>138</v>
      </c>
      <c r="CG1497" s="28" t="s">
        <v>138</v>
      </c>
      <c r="CH1497" s="28" t="s">
        <v>174</v>
      </c>
      <c r="CI1497" s="28" t="s">
        <v>1397</v>
      </c>
      <c r="CJ1497" s="28" t="s">
        <v>138</v>
      </c>
      <c r="CK1497" s="28" t="s">
        <v>138</v>
      </c>
      <c r="CL1497" s="28" t="s">
        <v>175</v>
      </c>
      <c r="CM1497" s="34">
        <v>41163</v>
      </c>
      <c r="CN1497" s="29" t="s">
        <v>138</v>
      </c>
      <c r="CO1497" s="35">
        <v>-0.2</v>
      </c>
      <c r="CP1497" s="36">
        <v>20</v>
      </c>
      <c r="CQ1497" s="35">
        <v>0.01</v>
      </c>
      <c r="CR1497" s="35">
        <v>2.89</v>
      </c>
      <c r="CS1497" s="35">
        <v>-0.42</v>
      </c>
      <c r="CT1497" s="36">
        <v>20</v>
      </c>
      <c r="CU1497" s="35">
        <v>0.03</v>
      </c>
      <c r="CV1497" s="36">
        <v>54</v>
      </c>
      <c r="CW1497" s="35">
        <v>0.76</v>
      </c>
      <c r="CX1497" s="36">
        <v>84</v>
      </c>
      <c r="CY1497" s="35">
        <v>-1.61</v>
      </c>
      <c r="CZ1497" s="36">
        <v>14</v>
      </c>
      <c r="DA1497" s="35">
        <v>0.1</v>
      </c>
      <c r="DB1497" s="36">
        <v>72</v>
      </c>
      <c r="DC1497" s="37">
        <v>78.52</v>
      </c>
      <c r="DD1497" s="36">
        <v>99</v>
      </c>
      <c r="DE1497" s="37">
        <v>-6.39</v>
      </c>
      <c r="DF1497" s="35">
        <v>-7.52</v>
      </c>
      <c r="DG1497" s="37">
        <v>146.66</v>
      </c>
      <c r="DH1497" s="36">
        <v>100</v>
      </c>
      <c r="DI1497" s="37">
        <v>10.37</v>
      </c>
      <c r="DJ1497" s="36">
        <v>85</v>
      </c>
      <c r="DK1497" s="37">
        <v>201.36</v>
      </c>
      <c r="DL1497" s="36">
        <v>99</v>
      </c>
      <c r="DM1497" s="37">
        <v>91.97</v>
      </c>
      <c r="DN1497" s="36">
        <v>99</v>
      </c>
      <c r="DO1497" s="37">
        <v>3.53</v>
      </c>
      <c r="DP1497" s="36">
        <v>74</v>
      </c>
      <c r="DQ1497" s="36">
        <v>69209</v>
      </c>
      <c r="DR1497" s="38">
        <v>-425</v>
      </c>
      <c r="DS1497" s="35">
        <v>-0.61</v>
      </c>
      <c r="DT1497" s="36">
        <v>2663</v>
      </c>
      <c r="DU1497" s="38">
        <v>8</v>
      </c>
      <c r="DV1497" s="35">
        <v>0.3</v>
      </c>
      <c r="DW1497" s="36">
        <v>1262</v>
      </c>
      <c r="DX1497" s="39">
        <v>0</v>
      </c>
      <c r="DY1497" s="35">
        <v>0</v>
      </c>
      <c r="DZ1497" s="28" t="s">
        <v>178</v>
      </c>
      <c r="EA1497" s="34">
        <v>43593</v>
      </c>
      <c r="EB1497" s="29" t="s">
        <v>138</v>
      </c>
      <c r="EC1497" s="34" t="s">
        <v>138</v>
      </c>
      <c r="ED1497" s="28" t="s">
        <v>138</v>
      </c>
      <c r="EE1497" s="40" t="str">
        <f>HYPERLINK("https://my.pitchbook.com?c=52279-93", "View company online")</f>
        <v>View company online</v>
      </c>
    </row>
    <row r="1498" spans="1:135">
      <c r="A1498" s="15" t="s">
        <v>28763</v>
      </c>
      <c r="B1498" s="15" t="s">
        <v>28764</v>
      </c>
      <c r="C1498" s="15" t="s">
        <v>138</v>
      </c>
      <c r="D1498" s="15" t="s">
        <v>138</v>
      </c>
      <c r="E1498" s="15" t="s">
        <v>28765</v>
      </c>
      <c r="F1498" s="15" t="s">
        <v>28763</v>
      </c>
      <c r="G1498" s="15" t="s">
        <v>28766</v>
      </c>
      <c r="H1498" s="15" t="s">
        <v>322</v>
      </c>
      <c r="I1498" s="15" t="s">
        <v>323</v>
      </c>
      <c r="J1498" s="15" t="s">
        <v>413</v>
      </c>
      <c r="K1498" s="15" t="s">
        <v>2254</v>
      </c>
      <c r="L1498" s="15" t="s">
        <v>215</v>
      </c>
      <c r="M1498" s="15" t="s">
        <v>28767</v>
      </c>
      <c r="N1498" s="15" t="s">
        <v>147</v>
      </c>
      <c r="O1498" s="17">
        <v>18.100000000000001</v>
      </c>
      <c r="P1498" s="15" t="s">
        <v>148</v>
      </c>
      <c r="Q1498" s="15" t="s">
        <v>149</v>
      </c>
      <c r="R1498" s="15" t="s">
        <v>174</v>
      </c>
      <c r="S1498" s="15" t="s">
        <v>28768</v>
      </c>
      <c r="T1498" s="18">
        <v>77</v>
      </c>
      <c r="U1498" s="15" t="s">
        <v>28769</v>
      </c>
      <c r="V1498" s="15" t="s">
        <v>138</v>
      </c>
      <c r="W1498" s="15" t="s">
        <v>138</v>
      </c>
      <c r="X1498" s="19">
        <v>2013</v>
      </c>
      <c r="Y1498" s="15" t="s">
        <v>138</v>
      </c>
      <c r="Z1498" s="15" t="s">
        <v>138</v>
      </c>
      <c r="AA1498" s="15" t="s">
        <v>138</v>
      </c>
      <c r="AB1498" s="20" t="s">
        <v>138</v>
      </c>
      <c r="AC1498" s="20" t="s">
        <v>138</v>
      </c>
      <c r="AD1498" s="20" t="s">
        <v>138</v>
      </c>
      <c r="AE1498" s="20" t="s">
        <v>138</v>
      </c>
      <c r="AF1498" s="20" t="s">
        <v>138</v>
      </c>
      <c r="AG1498" s="15" t="s">
        <v>138</v>
      </c>
      <c r="AH1498" s="20" t="s">
        <v>138</v>
      </c>
      <c r="AI1498" s="20" t="s">
        <v>138</v>
      </c>
      <c r="AJ1498" s="20" t="s">
        <v>138</v>
      </c>
      <c r="AK1498" s="15" t="s">
        <v>28770</v>
      </c>
      <c r="AL1498" s="15" t="s">
        <v>28771</v>
      </c>
      <c r="AM1498" s="15" t="s">
        <v>422</v>
      </c>
      <c r="AN1498" s="15" t="s">
        <v>28772</v>
      </c>
      <c r="AO1498" s="15" t="s">
        <v>138</v>
      </c>
      <c r="AP1498" s="15" t="s">
        <v>1292</v>
      </c>
      <c r="AQ1498" s="15" t="s">
        <v>28773</v>
      </c>
      <c r="AR1498" s="15" t="s">
        <v>713</v>
      </c>
      <c r="AS1498" s="15" t="s">
        <v>1294</v>
      </c>
      <c r="AT1498" s="15" t="s">
        <v>864</v>
      </c>
      <c r="AU1498" s="15" t="s">
        <v>12317</v>
      </c>
      <c r="AV1498" s="15" t="s">
        <v>162</v>
      </c>
      <c r="AW1498" s="15" t="s">
        <v>28774</v>
      </c>
      <c r="AX1498" s="15" t="s">
        <v>138</v>
      </c>
      <c r="AY1498" s="15" t="s">
        <v>138</v>
      </c>
      <c r="AZ1498" s="15" t="s">
        <v>164</v>
      </c>
      <c r="BA1498" s="15" t="s">
        <v>165</v>
      </c>
      <c r="BB1498" s="15" t="s">
        <v>28775</v>
      </c>
      <c r="BC1498" s="15" t="s">
        <v>28776</v>
      </c>
      <c r="BD1498" s="21">
        <v>15</v>
      </c>
      <c r="BE1498" s="15" t="s">
        <v>138</v>
      </c>
      <c r="BF1498" s="15" t="s">
        <v>138</v>
      </c>
      <c r="BG1498" s="15" t="s">
        <v>138</v>
      </c>
      <c r="BH1498" s="15" t="s">
        <v>28777</v>
      </c>
      <c r="BI1498" s="15" t="s">
        <v>138</v>
      </c>
      <c r="BJ1498" s="15" t="s">
        <v>138</v>
      </c>
      <c r="BK1498" s="15" t="s">
        <v>138</v>
      </c>
      <c r="BL1498" s="15" t="s">
        <v>138</v>
      </c>
      <c r="BM1498" s="22">
        <v>41961</v>
      </c>
      <c r="BN1498" s="17">
        <v>3.1</v>
      </c>
      <c r="BO1498" s="15" t="s">
        <v>172</v>
      </c>
      <c r="BP1498" s="17">
        <v>10</v>
      </c>
      <c r="BQ1498" s="15" t="s">
        <v>172</v>
      </c>
      <c r="BR1498" s="15" t="s">
        <v>234</v>
      </c>
      <c r="BS1498" s="15" t="s">
        <v>234</v>
      </c>
      <c r="BT1498" s="15" t="s">
        <v>138</v>
      </c>
      <c r="BU1498" s="15" t="s">
        <v>174</v>
      </c>
      <c r="BV1498" s="15" t="s">
        <v>138</v>
      </c>
      <c r="BW1498" s="15" t="s">
        <v>138</v>
      </c>
      <c r="BX1498" s="15" t="s">
        <v>138</v>
      </c>
      <c r="BY1498" s="15" t="s">
        <v>175</v>
      </c>
      <c r="BZ1498" s="22">
        <v>43360</v>
      </c>
      <c r="CA1498" s="17" t="s">
        <v>138</v>
      </c>
      <c r="CB1498" s="15" t="s">
        <v>138</v>
      </c>
      <c r="CC1498" s="17" t="s">
        <v>138</v>
      </c>
      <c r="CD1498" s="15" t="s">
        <v>138</v>
      </c>
      <c r="CE1498" s="15" t="s">
        <v>205</v>
      </c>
      <c r="CF1498" s="15" t="s">
        <v>138</v>
      </c>
      <c r="CG1498" s="15" t="s">
        <v>138</v>
      </c>
      <c r="CH1498" s="15" t="s">
        <v>174</v>
      </c>
      <c r="CI1498" s="15" t="s">
        <v>138</v>
      </c>
      <c r="CJ1498" s="15" t="s">
        <v>138</v>
      </c>
      <c r="CK1498" s="15" t="s">
        <v>138</v>
      </c>
      <c r="CL1498" s="15" t="s">
        <v>175</v>
      </c>
      <c r="CM1498" s="22" t="s">
        <v>138</v>
      </c>
      <c r="CN1498" s="17" t="s">
        <v>138</v>
      </c>
      <c r="CO1498" s="23">
        <v>2.0699999999999998</v>
      </c>
      <c r="CP1498" s="24">
        <v>99</v>
      </c>
      <c r="CQ1498" s="23">
        <v>0.01</v>
      </c>
      <c r="CR1498" s="23">
        <v>0.49</v>
      </c>
      <c r="CS1498" s="23">
        <v>4.12</v>
      </c>
      <c r="CT1498" s="24">
        <v>100</v>
      </c>
      <c r="CU1498" s="23">
        <v>0.02</v>
      </c>
      <c r="CV1498" s="24">
        <v>51</v>
      </c>
      <c r="CW1498" s="23">
        <v>4.12</v>
      </c>
      <c r="CX1498" s="24">
        <v>94</v>
      </c>
      <c r="CY1498" s="23" t="s">
        <v>138</v>
      </c>
      <c r="CZ1498" s="24" t="s">
        <v>138</v>
      </c>
      <c r="DA1498" s="23">
        <v>0.02</v>
      </c>
      <c r="DB1498" s="24">
        <v>58</v>
      </c>
      <c r="DC1498" s="25">
        <v>8.94</v>
      </c>
      <c r="DD1498" s="24">
        <v>89</v>
      </c>
      <c r="DE1498" s="25">
        <v>-1.03</v>
      </c>
      <c r="DF1498" s="23">
        <v>-10.32</v>
      </c>
      <c r="DG1498" s="25">
        <v>16.13</v>
      </c>
      <c r="DH1498" s="24">
        <v>93</v>
      </c>
      <c r="DI1498" s="25">
        <v>1.74</v>
      </c>
      <c r="DJ1498" s="24">
        <v>60</v>
      </c>
      <c r="DK1498" s="25">
        <v>16.13</v>
      </c>
      <c r="DL1498" s="24">
        <v>90</v>
      </c>
      <c r="DM1498" s="25" t="s">
        <v>138</v>
      </c>
      <c r="DN1498" s="24" t="s">
        <v>138</v>
      </c>
      <c r="DO1498" s="25">
        <v>1.74</v>
      </c>
      <c r="DP1498" s="24">
        <v>61</v>
      </c>
      <c r="DQ1498" s="24">
        <v>5441</v>
      </c>
      <c r="DR1498" s="26">
        <v>271</v>
      </c>
      <c r="DS1498" s="23">
        <v>5.24</v>
      </c>
      <c r="DT1498" s="24" t="s">
        <v>138</v>
      </c>
      <c r="DU1498" s="26" t="s">
        <v>138</v>
      </c>
      <c r="DV1498" s="23" t="s">
        <v>138</v>
      </c>
      <c r="DW1498" s="24">
        <v>623</v>
      </c>
      <c r="DX1498" s="27">
        <v>0</v>
      </c>
      <c r="DY1498" s="23">
        <v>0</v>
      </c>
      <c r="DZ1498" s="15" t="s">
        <v>178</v>
      </c>
      <c r="EA1498" s="22">
        <v>43564</v>
      </c>
      <c r="EB1498" s="17">
        <v>42</v>
      </c>
      <c r="EC1498" s="22">
        <v>42900</v>
      </c>
      <c r="ED1498" s="15" t="s">
        <v>205</v>
      </c>
      <c r="EE1498" s="14" t="str">
        <f>HYPERLINK("https://my.pitchbook.com?c=99383-05", "View company online")</f>
        <v>View company online</v>
      </c>
    </row>
    <row r="1499" spans="1:135">
      <c r="A1499" s="28" t="s">
        <v>28778</v>
      </c>
      <c r="B1499" s="28" t="s">
        <v>28779</v>
      </c>
      <c r="C1499" s="28" t="s">
        <v>138</v>
      </c>
      <c r="D1499" s="28" t="s">
        <v>138</v>
      </c>
      <c r="E1499" s="28" t="s">
        <v>28780</v>
      </c>
      <c r="F1499" s="28" t="s">
        <v>28778</v>
      </c>
      <c r="G1499" s="28" t="s">
        <v>28781</v>
      </c>
      <c r="H1499" s="28" t="s">
        <v>322</v>
      </c>
      <c r="I1499" s="28" t="s">
        <v>323</v>
      </c>
      <c r="J1499" s="28" t="s">
        <v>413</v>
      </c>
      <c r="K1499" s="28" t="s">
        <v>28279</v>
      </c>
      <c r="L1499" s="28" t="s">
        <v>28782</v>
      </c>
      <c r="M1499" s="28" t="s">
        <v>28783</v>
      </c>
      <c r="N1499" s="28" t="s">
        <v>147</v>
      </c>
      <c r="O1499" s="29">
        <v>1.75</v>
      </c>
      <c r="P1499" s="28" t="s">
        <v>148</v>
      </c>
      <c r="Q1499" s="28" t="s">
        <v>149</v>
      </c>
      <c r="R1499" s="28" t="s">
        <v>174</v>
      </c>
      <c r="S1499" s="28" t="s">
        <v>28784</v>
      </c>
      <c r="T1499" s="30">
        <v>3</v>
      </c>
      <c r="U1499" s="28" t="s">
        <v>28785</v>
      </c>
      <c r="V1499" s="28" t="s">
        <v>138</v>
      </c>
      <c r="W1499" s="28" t="s">
        <v>138</v>
      </c>
      <c r="X1499" s="31">
        <v>2012</v>
      </c>
      <c r="Y1499" s="28" t="s">
        <v>138</v>
      </c>
      <c r="Z1499" s="28" t="s">
        <v>138</v>
      </c>
      <c r="AA1499" s="28" t="s">
        <v>138</v>
      </c>
      <c r="AB1499" s="32" t="s">
        <v>138</v>
      </c>
      <c r="AC1499" s="32" t="s">
        <v>138</v>
      </c>
      <c r="AD1499" s="32" t="s">
        <v>138</v>
      </c>
      <c r="AE1499" s="32" t="s">
        <v>138</v>
      </c>
      <c r="AF1499" s="32" t="s">
        <v>138</v>
      </c>
      <c r="AG1499" s="28" t="s">
        <v>138</v>
      </c>
      <c r="AH1499" s="32" t="s">
        <v>138</v>
      </c>
      <c r="AI1499" s="32" t="s">
        <v>138</v>
      </c>
      <c r="AJ1499" s="32" t="s">
        <v>138</v>
      </c>
      <c r="AK1499" s="28" t="s">
        <v>138</v>
      </c>
      <c r="AL1499" s="28" t="s">
        <v>138</v>
      </c>
      <c r="AM1499" s="28" t="s">
        <v>138</v>
      </c>
      <c r="AN1499" s="28" t="s">
        <v>138</v>
      </c>
      <c r="AO1499" s="28" t="s">
        <v>138</v>
      </c>
      <c r="AP1499" s="28" t="s">
        <v>665</v>
      </c>
      <c r="AQ1499" s="28" t="s">
        <v>28786</v>
      </c>
      <c r="AR1499" s="28" t="s">
        <v>138</v>
      </c>
      <c r="AS1499" s="28" t="s">
        <v>668</v>
      </c>
      <c r="AT1499" s="28" t="s">
        <v>200</v>
      </c>
      <c r="AU1499" s="28" t="s">
        <v>3928</v>
      </c>
      <c r="AV1499" s="28" t="s">
        <v>162</v>
      </c>
      <c r="AW1499" s="28" t="s">
        <v>138</v>
      </c>
      <c r="AX1499" s="28" t="s">
        <v>138</v>
      </c>
      <c r="AY1499" s="28" t="s">
        <v>138</v>
      </c>
      <c r="AZ1499" s="28" t="s">
        <v>164</v>
      </c>
      <c r="BA1499" s="28" t="s">
        <v>165</v>
      </c>
      <c r="BB1499" s="28" t="s">
        <v>28787</v>
      </c>
      <c r="BC1499" s="28" t="s">
        <v>28788</v>
      </c>
      <c r="BD1499" s="33">
        <v>10</v>
      </c>
      <c r="BE1499" s="28" t="s">
        <v>138</v>
      </c>
      <c r="BF1499" s="28" t="s">
        <v>138</v>
      </c>
      <c r="BG1499" s="28" t="s">
        <v>138</v>
      </c>
      <c r="BH1499" s="28" t="s">
        <v>28789</v>
      </c>
      <c r="BI1499" s="28" t="s">
        <v>138</v>
      </c>
      <c r="BJ1499" s="28" t="s">
        <v>138</v>
      </c>
      <c r="BK1499" s="28" t="s">
        <v>1251</v>
      </c>
      <c r="BL1499" s="28" t="s">
        <v>1251</v>
      </c>
      <c r="BM1499" s="34">
        <v>41339</v>
      </c>
      <c r="BN1499" s="29">
        <v>0.75</v>
      </c>
      <c r="BO1499" s="28" t="s">
        <v>172</v>
      </c>
      <c r="BP1499" s="29" t="s">
        <v>138</v>
      </c>
      <c r="BQ1499" s="28" t="s">
        <v>138</v>
      </c>
      <c r="BR1499" s="28" t="s">
        <v>234</v>
      </c>
      <c r="BS1499" s="28" t="s">
        <v>234</v>
      </c>
      <c r="BT1499" s="28" t="s">
        <v>138</v>
      </c>
      <c r="BU1499" s="28" t="s">
        <v>174</v>
      </c>
      <c r="BV1499" s="28" t="s">
        <v>138</v>
      </c>
      <c r="BW1499" s="28" t="s">
        <v>138</v>
      </c>
      <c r="BX1499" s="28" t="s">
        <v>138</v>
      </c>
      <c r="BY1499" s="28" t="s">
        <v>175</v>
      </c>
      <c r="BZ1499" s="34">
        <v>41864</v>
      </c>
      <c r="CA1499" s="29">
        <v>1</v>
      </c>
      <c r="CB1499" s="28" t="s">
        <v>172</v>
      </c>
      <c r="CC1499" s="29">
        <v>8</v>
      </c>
      <c r="CD1499" s="28" t="s">
        <v>172</v>
      </c>
      <c r="CE1499" s="28" t="s">
        <v>234</v>
      </c>
      <c r="CF1499" s="28" t="s">
        <v>234</v>
      </c>
      <c r="CG1499" s="28" t="s">
        <v>138</v>
      </c>
      <c r="CH1499" s="28" t="s">
        <v>174</v>
      </c>
      <c r="CI1499" s="28" t="s">
        <v>138</v>
      </c>
      <c r="CJ1499" s="28" t="s">
        <v>138</v>
      </c>
      <c r="CK1499" s="28" t="s">
        <v>138</v>
      </c>
      <c r="CL1499" s="28" t="s">
        <v>175</v>
      </c>
      <c r="CM1499" s="34" t="s">
        <v>138</v>
      </c>
      <c r="CN1499" s="29" t="s">
        <v>138</v>
      </c>
      <c r="CO1499" s="35">
        <v>0.28000000000000003</v>
      </c>
      <c r="CP1499" s="36">
        <v>93</v>
      </c>
      <c r="CQ1499" s="35">
        <v>0</v>
      </c>
      <c r="CR1499" s="35">
        <v>0</v>
      </c>
      <c r="CS1499" s="35">
        <v>0.53</v>
      </c>
      <c r="CT1499" s="36">
        <v>95</v>
      </c>
      <c r="CU1499" s="35">
        <v>0.04</v>
      </c>
      <c r="CV1499" s="36">
        <v>56</v>
      </c>
      <c r="CW1499" s="35">
        <v>1.05</v>
      </c>
      <c r="CX1499" s="36">
        <v>85</v>
      </c>
      <c r="CY1499" s="35">
        <v>0</v>
      </c>
      <c r="CZ1499" s="36">
        <v>25</v>
      </c>
      <c r="DA1499" s="35">
        <v>0.04</v>
      </c>
      <c r="DB1499" s="36">
        <v>62</v>
      </c>
      <c r="DC1499" s="37">
        <v>7.01</v>
      </c>
      <c r="DD1499" s="36">
        <v>87</v>
      </c>
      <c r="DE1499" s="37">
        <v>-0.74</v>
      </c>
      <c r="DF1499" s="35">
        <v>-9.59</v>
      </c>
      <c r="DG1499" s="37">
        <v>12.39</v>
      </c>
      <c r="DH1499" s="36">
        <v>91</v>
      </c>
      <c r="DI1499" s="37">
        <v>1.63</v>
      </c>
      <c r="DJ1499" s="36">
        <v>58</v>
      </c>
      <c r="DK1499" s="37">
        <v>23.64</v>
      </c>
      <c r="DL1499" s="36">
        <v>93</v>
      </c>
      <c r="DM1499" s="37">
        <v>1.1399999999999999</v>
      </c>
      <c r="DN1499" s="36">
        <v>53</v>
      </c>
      <c r="DO1499" s="37">
        <v>1.63</v>
      </c>
      <c r="DP1499" s="36">
        <v>60</v>
      </c>
      <c r="DQ1499" s="36">
        <v>8014</v>
      </c>
      <c r="DR1499" s="38">
        <v>280</v>
      </c>
      <c r="DS1499" s="35">
        <v>3.62</v>
      </c>
      <c r="DT1499" s="36">
        <v>32</v>
      </c>
      <c r="DU1499" s="38">
        <v>0</v>
      </c>
      <c r="DV1499" s="35">
        <v>0</v>
      </c>
      <c r="DW1499" s="36">
        <v>584</v>
      </c>
      <c r="DX1499" s="39">
        <v>0</v>
      </c>
      <c r="DY1499" s="35">
        <v>0</v>
      </c>
      <c r="DZ1499" s="28" t="s">
        <v>178</v>
      </c>
      <c r="EA1499" s="34">
        <v>43351</v>
      </c>
      <c r="EB1499" s="29">
        <v>8</v>
      </c>
      <c r="EC1499" s="34">
        <v>41864</v>
      </c>
      <c r="ED1499" s="28" t="s">
        <v>234</v>
      </c>
      <c r="EE1499" s="40" t="str">
        <f>HYPERLINK("https://my.pitchbook.com?c=56226-43", "View company online")</f>
        <v>View company online</v>
      </c>
    </row>
    <row r="1500" spans="1:135">
      <c r="A1500" s="15" t="s">
        <v>28790</v>
      </c>
      <c r="B1500" s="15" t="s">
        <v>28791</v>
      </c>
      <c r="C1500" s="15" t="s">
        <v>28792</v>
      </c>
      <c r="D1500" s="15" t="s">
        <v>138</v>
      </c>
      <c r="E1500" s="15" t="s">
        <v>138</v>
      </c>
      <c r="F1500" s="15" t="s">
        <v>28790</v>
      </c>
      <c r="G1500" s="15" t="s">
        <v>28793</v>
      </c>
      <c r="H1500" s="15" t="s">
        <v>322</v>
      </c>
      <c r="I1500" s="15" t="s">
        <v>323</v>
      </c>
      <c r="J1500" s="15" t="s">
        <v>5827</v>
      </c>
      <c r="K1500" s="15" t="s">
        <v>28794</v>
      </c>
      <c r="L1500" s="15" t="s">
        <v>28795</v>
      </c>
      <c r="M1500" s="15" t="s">
        <v>28796</v>
      </c>
      <c r="N1500" s="15" t="s">
        <v>147</v>
      </c>
      <c r="O1500" s="17" t="s">
        <v>138</v>
      </c>
      <c r="P1500" s="15" t="s">
        <v>148</v>
      </c>
      <c r="Q1500" s="15" t="s">
        <v>149</v>
      </c>
      <c r="R1500" s="15" t="s">
        <v>174</v>
      </c>
      <c r="S1500" s="15" t="s">
        <v>28797</v>
      </c>
      <c r="T1500" s="18">
        <v>189</v>
      </c>
      <c r="U1500" s="15" t="s">
        <v>28798</v>
      </c>
      <c r="V1500" s="15" t="s">
        <v>138</v>
      </c>
      <c r="W1500" s="15" t="s">
        <v>138</v>
      </c>
      <c r="X1500" s="19">
        <v>2004</v>
      </c>
      <c r="Y1500" s="15" t="s">
        <v>138</v>
      </c>
      <c r="Z1500" s="15" t="s">
        <v>138</v>
      </c>
      <c r="AA1500" s="15" t="s">
        <v>138</v>
      </c>
      <c r="AB1500" s="20" t="s">
        <v>138</v>
      </c>
      <c r="AC1500" s="20" t="s">
        <v>138</v>
      </c>
      <c r="AD1500" s="20" t="s">
        <v>138</v>
      </c>
      <c r="AE1500" s="20" t="s">
        <v>138</v>
      </c>
      <c r="AF1500" s="20" t="s">
        <v>138</v>
      </c>
      <c r="AG1500" s="15" t="s">
        <v>138</v>
      </c>
      <c r="AH1500" s="20" t="s">
        <v>138</v>
      </c>
      <c r="AI1500" s="20" t="s">
        <v>138</v>
      </c>
      <c r="AJ1500" s="20" t="s">
        <v>138</v>
      </c>
      <c r="AK1500" s="15" t="s">
        <v>28799</v>
      </c>
      <c r="AL1500" s="15" t="s">
        <v>28800</v>
      </c>
      <c r="AM1500" s="15" t="s">
        <v>304</v>
      </c>
      <c r="AN1500" s="15" t="s">
        <v>28801</v>
      </c>
      <c r="AO1500" s="15" t="s">
        <v>28802</v>
      </c>
      <c r="AP1500" s="15" t="s">
        <v>28803</v>
      </c>
      <c r="AQ1500" s="15" t="s">
        <v>28804</v>
      </c>
      <c r="AR1500" s="15" t="s">
        <v>28805</v>
      </c>
      <c r="AS1500" s="15" t="s">
        <v>28806</v>
      </c>
      <c r="AT1500" s="15" t="s">
        <v>138</v>
      </c>
      <c r="AU1500" s="15" t="s">
        <v>28807</v>
      </c>
      <c r="AV1500" s="15" t="s">
        <v>28808</v>
      </c>
      <c r="AW1500" s="15" t="s">
        <v>28802</v>
      </c>
      <c r="AX1500" s="15" t="s">
        <v>138</v>
      </c>
      <c r="AY1500" s="15" t="s">
        <v>28809</v>
      </c>
      <c r="AZ1500" s="15" t="s">
        <v>452</v>
      </c>
      <c r="BA1500" s="15" t="s">
        <v>1748</v>
      </c>
      <c r="BB1500" s="15" t="s">
        <v>28810</v>
      </c>
      <c r="BC1500" s="15" t="s">
        <v>28811</v>
      </c>
      <c r="BD1500" s="21">
        <v>5</v>
      </c>
      <c r="BE1500" s="15" t="s">
        <v>138</v>
      </c>
      <c r="BF1500" s="15" t="s">
        <v>138</v>
      </c>
      <c r="BG1500" s="15" t="s">
        <v>138</v>
      </c>
      <c r="BH1500" s="15" t="s">
        <v>28812</v>
      </c>
      <c r="BI1500" s="15" t="s">
        <v>138</v>
      </c>
      <c r="BJ1500" s="15" t="s">
        <v>138</v>
      </c>
      <c r="BK1500" s="15" t="s">
        <v>138</v>
      </c>
      <c r="BL1500" s="15" t="s">
        <v>138</v>
      </c>
      <c r="BM1500" s="22" t="s">
        <v>138</v>
      </c>
      <c r="BN1500" s="17" t="s">
        <v>138</v>
      </c>
      <c r="BO1500" s="15" t="s">
        <v>138</v>
      </c>
      <c r="BP1500" s="17" t="s">
        <v>138</v>
      </c>
      <c r="BQ1500" s="15" t="s">
        <v>138</v>
      </c>
      <c r="BR1500" s="15" t="s">
        <v>205</v>
      </c>
      <c r="BS1500" s="15" t="s">
        <v>138</v>
      </c>
      <c r="BT1500" s="15" t="s">
        <v>138</v>
      </c>
      <c r="BU1500" s="15" t="s">
        <v>174</v>
      </c>
      <c r="BV1500" s="15" t="s">
        <v>138</v>
      </c>
      <c r="BW1500" s="15" t="s">
        <v>138</v>
      </c>
      <c r="BX1500" s="15" t="s">
        <v>138</v>
      </c>
      <c r="BY1500" s="15" t="s">
        <v>175</v>
      </c>
      <c r="BZ1500" s="22" t="s">
        <v>138</v>
      </c>
      <c r="CA1500" s="17" t="s">
        <v>138</v>
      </c>
      <c r="CB1500" s="15" t="s">
        <v>138</v>
      </c>
      <c r="CC1500" s="17" t="s">
        <v>138</v>
      </c>
      <c r="CD1500" s="15" t="s">
        <v>138</v>
      </c>
      <c r="CE1500" s="15" t="s">
        <v>205</v>
      </c>
      <c r="CF1500" s="15" t="s">
        <v>138</v>
      </c>
      <c r="CG1500" s="15" t="s">
        <v>138</v>
      </c>
      <c r="CH1500" s="15" t="s">
        <v>174</v>
      </c>
      <c r="CI1500" s="15" t="s">
        <v>138</v>
      </c>
      <c r="CJ1500" s="15" t="s">
        <v>138</v>
      </c>
      <c r="CK1500" s="15" t="s">
        <v>138</v>
      </c>
      <c r="CL1500" s="15" t="s">
        <v>175</v>
      </c>
      <c r="CM1500" s="22" t="s">
        <v>138</v>
      </c>
      <c r="CN1500" s="17" t="s">
        <v>138</v>
      </c>
      <c r="CO1500" s="23">
        <v>-3.43</v>
      </c>
      <c r="CP1500" s="24">
        <v>2</v>
      </c>
      <c r="CQ1500" s="23">
        <v>-7.0000000000000007E-2</v>
      </c>
      <c r="CR1500" s="23">
        <v>-1.98</v>
      </c>
      <c r="CS1500" s="23">
        <v>-6.8</v>
      </c>
      <c r="CT1500" s="24">
        <v>1</v>
      </c>
      <c r="CU1500" s="23">
        <v>-0.06</v>
      </c>
      <c r="CV1500" s="24">
        <v>8</v>
      </c>
      <c r="CW1500" s="23" t="s">
        <v>138</v>
      </c>
      <c r="CX1500" s="24" t="s">
        <v>138</v>
      </c>
      <c r="CY1500" s="23">
        <v>-6.8</v>
      </c>
      <c r="CZ1500" s="24">
        <v>1</v>
      </c>
      <c r="DA1500" s="23">
        <v>-0.1</v>
      </c>
      <c r="DB1500" s="24">
        <v>6</v>
      </c>
      <c r="DC1500" s="25">
        <v>7.89</v>
      </c>
      <c r="DD1500" s="24">
        <v>88</v>
      </c>
      <c r="DE1500" s="25">
        <v>-0.03</v>
      </c>
      <c r="DF1500" s="23">
        <v>-0.39</v>
      </c>
      <c r="DG1500" s="25">
        <v>13.28</v>
      </c>
      <c r="DH1500" s="24">
        <v>92</v>
      </c>
      <c r="DI1500" s="25">
        <v>2.5099999999999998</v>
      </c>
      <c r="DJ1500" s="24">
        <v>66</v>
      </c>
      <c r="DK1500" s="25" t="s">
        <v>138</v>
      </c>
      <c r="DL1500" s="24" t="s">
        <v>138</v>
      </c>
      <c r="DM1500" s="25">
        <v>13.28</v>
      </c>
      <c r="DN1500" s="24">
        <v>91</v>
      </c>
      <c r="DO1500" s="25">
        <v>3.65</v>
      </c>
      <c r="DP1500" s="24">
        <v>74</v>
      </c>
      <c r="DQ1500" s="24" t="s">
        <v>138</v>
      </c>
      <c r="DR1500" s="26" t="s">
        <v>138</v>
      </c>
      <c r="DS1500" s="23" t="s">
        <v>138</v>
      </c>
      <c r="DT1500" s="24">
        <v>385</v>
      </c>
      <c r="DU1500" s="26">
        <v>-2</v>
      </c>
      <c r="DV1500" s="23">
        <v>-0.52</v>
      </c>
      <c r="DW1500" s="24">
        <v>1307</v>
      </c>
      <c r="DX1500" s="27">
        <v>-3</v>
      </c>
      <c r="DY1500" s="23">
        <v>-0.23</v>
      </c>
      <c r="DZ1500" s="15" t="s">
        <v>178</v>
      </c>
      <c r="EA1500" s="22">
        <v>43441</v>
      </c>
      <c r="EB1500" s="17" t="s">
        <v>138</v>
      </c>
      <c r="EC1500" s="22" t="s">
        <v>138</v>
      </c>
      <c r="ED1500" s="15" t="s">
        <v>138</v>
      </c>
      <c r="EE1500" s="14" t="str">
        <f>HYPERLINK("https://my.pitchbook.com?c=55401-22", "View company online")</f>
        <v>View company online</v>
      </c>
    </row>
    <row r="1501" spans="1:135">
      <c r="A1501" s="28" t="s">
        <v>28813</v>
      </c>
      <c r="B1501" s="28" t="s">
        <v>28814</v>
      </c>
      <c r="C1501" s="28" t="s">
        <v>28815</v>
      </c>
      <c r="D1501" s="28" t="s">
        <v>138</v>
      </c>
      <c r="E1501" s="28" t="s">
        <v>28816</v>
      </c>
      <c r="F1501" s="28" t="s">
        <v>28813</v>
      </c>
      <c r="G1501" s="28" t="s">
        <v>28817</v>
      </c>
      <c r="H1501" s="28" t="s">
        <v>322</v>
      </c>
      <c r="I1501" s="28" t="s">
        <v>323</v>
      </c>
      <c r="J1501" s="28" t="s">
        <v>324</v>
      </c>
      <c r="K1501" s="28" t="s">
        <v>2464</v>
      </c>
      <c r="L1501" s="28" t="s">
        <v>855</v>
      </c>
      <c r="M1501" s="28" t="s">
        <v>28818</v>
      </c>
      <c r="N1501" s="28" t="s">
        <v>147</v>
      </c>
      <c r="O1501" s="29">
        <v>36</v>
      </c>
      <c r="P1501" s="28" t="s">
        <v>148</v>
      </c>
      <c r="Q1501" s="28" t="s">
        <v>149</v>
      </c>
      <c r="R1501" s="28" t="s">
        <v>174</v>
      </c>
      <c r="S1501" s="28" t="s">
        <v>28819</v>
      </c>
      <c r="T1501" s="30">
        <v>56</v>
      </c>
      <c r="U1501" s="28" t="s">
        <v>28820</v>
      </c>
      <c r="V1501" s="28" t="s">
        <v>138</v>
      </c>
      <c r="W1501" s="28" t="s">
        <v>138</v>
      </c>
      <c r="X1501" s="31">
        <v>2011</v>
      </c>
      <c r="Y1501" s="28" t="s">
        <v>138</v>
      </c>
      <c r="Z1501" s="28" t="s">
        <v>138</v>
      </c>
      <c r="AA1501" s="28" t="s">
        <v>138</v>
      </c>
      <c r="AB1501" s="32" t="s">
        <v>138</v>
      </c>
      <c r="AC1501" s="32" t="s">
        <v>138</v>
      </c>
      <c r="AD1501" s="32" t="s">
        <v>138</v>
      </c>
      <c r="AE1501" s="32" t="s">
        <v>138</v>
      </c>
      <c r="AF1501" s="32" t="s">
        <v>138</v>
      </c>
      <c r="AG1501" s="28" t="s">
        <v>138</v>
      </c>
      <c r="AH1501" s="32" t="s">
        <v>138</v>
      </c>
      <c r="AI1501" s="32" t="s">
        <v>138</v>
      </c>
      <c r="AJ1501" s="32" t="s">
        <v>138</v>
      </c>
      <c r="AK1501" s="28" t="s">
        <v>28821</v>
      </c>
      <c r="AL1501" s="28" t="s">
        <v>28822</v>
      </c>
      <c r="AM1501" s="28" t="s">
        <v>221</v>
      </c>
      <c r="AN1501" s="28" t="s">
        <v>28823</v>
      </c>
      <c r="AO1501" s="28" t="s">
        <v>28824</v>
      </c>
      <c r="AP1501" s="28" t="s">
        <v>665</v>
      </c>
      <c r="AQ1501" s="28" t="s">
        <v>28825</v>
      </c>
      <c r="AR1501" s="28" t="s">
        <v>2095</v>
      </c>
      <c r="AS1501" s="28" t="s">
        <v>668</v>
      </c>
      <c r="AT1501" s="28" t="s">
        <v>200</v>
      </c>
      <c r="AU1501" s="28" t="s">
        <v>3557</v>
      </c>
      <c r="AV1501" s="28" t="s">
        <v>162</v>
      </c>
      <c r="AW1501" s="28" t="s">
        <v>28824</v>
      </c>
      <c r="AX1501" s="28" t="s">
        <v>138</v>
      </c>
      <c r="AY1501" s="28" t="s">
        <v>28826</v>
      </c>
      <c r="AZ1501" s="28" t="s">
        <v>164</v>
      </c>
      <c r="BA1501" s="28" t="s">
        <v>165</v>
      </c>
      <c r="BB1501" s="28" t="s">
        <v>28827</v>
      </c>
      <c r="BC1501" s="28" t="s">
        <v>28828</v>
      </c>
      <c r="BD1501" s="33">
        <v>23</v>
      </c>
      <c r="BE1501" s="28" t="s">
        <v>138</v>
      </c>
      <c r="BF1501" s="28" t="s">
        <v>138</v>
      </c>
      <c r="BG1501" s="28" t="s">
        <v>138</v>
      </c>
      <c r="BH1501" s="28" t="s">
        <v>28829</v>
      </c>
      <c r="BI1501" s="28" t="s">
        <v>138</v>
      </c>
      <c r="BJ1501" s="28" t="s">
        <v>138</v>
      </c>
      <c r="BK1501" s="28" t="s">
        <v>28830</v>
      </c>
      <c r="BL1501" s="28" t="s">
        <v>650</v>
      </c>
      <c r="BM1501" s="34">
        <v>41487</v>
      </c>
      <c r="BN1501" s="29">
        <v>1.75</v>
      </c>
      <c r="BO1501" s="28" t="s">
        <v>172</v>
      </c>
      <c r="BP1501" s="29">
        <v>3.5</v>
      </c>
      <c r="BQ1501" s="28" t="s">
        <v>172</v>
      </c>
      <c r="BR1501" s="28" t="s">
        <v>234</v>
      </c>
      <c r="BS1501" s="28" t="s">
        <v>234</v>
      </c>
      <c r="BT1501" s="28" t="s">
        <v>138</v>
      </c>
      <c r="BU1501" s="28" t="s">
        <v>174</v>
      </c>
      <c r="BV1501" s="28" t="s">
        <v>138</v>
      </c>
      <c r="BW1501" s="28" t="s">
        <v>138</v>
      </c>
      <c r="BX1501" s="28" t="s">
        <v>138</v>
      </c>
      <c r="BY1501" s="28" t="s">
        <v>175</v>
      </c>
      <c r="BZ1501" s="34">
        <v>43200</v>
      </c>
      <c r="CA1501" s="29">
        <v>20</v>
      </c>
      <c r="CB1501" s="28" t="s">
        <v>172</v>
      </c>
      <c r="CC1501" s="29">
        <v>57</v>
      </c>
      <c r="CD1501" s="28" t="s">
        <v>172</v>
      </c>
      <c r="CE1501" s="28" t="s">
        <v>173</v>
      </c>
      <c r="CF1501" s="28" t="s">
        <v>720</v>
      </c>
      <c r="CG1501" s="28" t="s">
        <v>138</v>
      </c>
      <c r="CH1501" s="28" t="s">
        <v>174</v>
      </c>
      <c r="CI1501" s="28" t="s">
        <v>177</v>
      </c>
      <c r="CJ1501" s="28" t="s">
        <v>138</v>
      </c>
      <c r="CK1501" s="28" t="s">
        <v>138</v>
      </c>
      <c r="CL1501" s="28" t="s">
        <v>175</v>
      </c>
      <c r="CM1501" s="34">
        <v>43200</v>
      </c>
      <c r="CN1501" s="29">
        <v>3</v>
      </c>
      <c r="CO1501" s="35">
        <v>0.49</v>
      </c>
      <c r="CP1501" s="36">
        <v>95</v>
      </c>
      <c r="CQ1501" s="35">
        <v>-0.01</v>
      </c>
      <c r="CR1501" s="35">
        <v>-2.19</v>
      </c>
      <c r="CS1501" s="35">
        <v>0.24</v>
      </c>
      <c r="CT1501" s="36">
        <v>94</v>
      </c>
      <c r="CU1501" s="35">
        <v>1.21</v>
      </c>
      <c r="CV1501" s="36">
        <v>99</v>
      </c>
      <c r="CW1501" s="35">
        <v>3.18</v>
      </c>
      <c r="CX1501" s="36">
        <v>92</v>
      </c>
      <c r="CY1501" s="35">
        <v>-2.69</v>
      </c>
      <c r="CZ1501" s="36">
        <v>8</v>
      </c>
      <c r="DA1501" s="35">
        <v>0.78</v>
      </c>
      <c r="DB1501" s="36">
        <v>97</v>
      </c>
      <c r="DC1501" s="37">
        <v>10.15</v>
      </c>
      <c r="DD1501" s="36">
        <v>90</v>
      </c>
      <c r="DE1501" s="37">
        <v>-0.8</v>
      </c>
      <c r="DF1501" s="35">
        <v>-7.33</v>
      </c>
      <c r="DG1501" s="37">
        <v>28.43</v>
      </c>
      <c r="DH1501" s="36">
        <v>96</v>
      </c>
      <c r="DI1501" s="37">
        <v>1.86</v>
      </c>
      <c r="DJ1501" s="36">
        <v>61</v>
      </c>
      <c r="DK1501" s="37">
        <v>37.479999999999997</v>
      </c>
      <c r="DL1501" s="36">
        <v>95</v>
      </c>
      <c r="DM1501" s="37">
        <v>19.38</v>
      </c>
      <c r="DN1501" s="36">
        <v>94</v>
      </c>
      <c r="DO1501" s="37">
        <v>2.09</v>
      </c>
      <c r="DP1501" s="36">
        <v>64</v>
      </c>
      <c r="DQ1501" s="36">
        <v>12563</v>
      </c>
      <c r="DR1501" s="38">
        <v>874</v>
      </c>
      <c r="DS1501" s="35">
        <v>7.48</v>
      </c>
      <c r="DT1501" s="36">
        <v>562</v>
      </c>
      <c r="DU1501" s="38">
        <v>-2</v>
      </c>
      <c r="DV1501" s="35">
        <v>-0.35</v>
      </c>
      <c r="DW1501" s="36">
        <v>746</v>
      </c>
      <c r="DX1501" s="39">
        <v>3</v>
      </c>
      <c r="DY1501" s="35">
        <v>0.4</v>
      </c>
      <c r="DZ1501" s="28" t="s">
        <v>178</v>
      </c>
      <c r="EA1501" s="34">
        <v>43622</v>
      </c>
      <c r="EB1501" s="29">
        <v>57</v>
      </c>
      <c r="EC1501" s="34">
        <v>43200</v>
      </c>
      <c r="ED1501" s="28" t="s">
        <v>173</v>
      </c>
      <c r="EE1501" s="40" t="str">
        <f>HYPERLINK("https://my.pitchbook.com?c=54040-96", "View company online")</f>
        <v>View company online</v>
      </c>
    </row>
    <row r="1502" spans="1:135">
      <c r="A1502" s="15" t="s">
        <v>28831</v>
      </c>
      <c r="B1502" s="15" t="s">
        <v>28832</v>
      </c>
      <c r="C1502" s="15" t="s">
        <v>138</v>
      </c>
      <c r="D1502" s="15" t="s">
        <v>138</v>
      </c>
      <c r="E1502" s="15" t="s">
        <v>138</v>
      </c>
      <c r="F1502" s="15" t="s">
        <v>28831</v>
      </c>
      <c r="G1502" s="15" t="s">
        <v>28833</v>
      </c>
      <c r="H1502" s="15" t="s">
        <v>238</v>
      </c>
      <c r="I1502" s="15" t="s">
        <v>1351</v>
      </c>
      <c r="J1502" s="15" t="s">
        <v>1352</v>
      </c>
      <c r="K1502" s="15" t="s">
        <v>13979</v>
      </c>
      <c r="L1502" s="15" t="s">
        <v>415</v>
      </c>
      <c r="M1502" s="15" t="s">
        <v>28834</v>
      </c>
      <c r="N1502" s="15" t="s">
        <v>147</v>
      </c>
      <c r="O1502" s="17" t="s">
        <v>138</v>
      </c>
      <c r="P1502" s="15" t="s">
        <v>610</v>
      </c>
      <c r="Q1502" s="15" t="s">
        <v>149</v>
      </c>
      <c r="R1502" s="15" t="s">
        <v>174</v>
      </c>
      <c r="S1502" s="15" t="s">
        <v>28835</v>
      </c>
      <c r="T1502" s="18" t="s">
        <v>138</v>
      </c>
      <c r="U1502" s="15" t="s">
        <v>138</v>
      </c>
      <c r="V1502" s="15" t="s">
        <v>138</v>
      </c>
      <c r="W1502" s="15" t="s">
        <v>138</v>
      </c>
      <c r="X1502" s="19">
        <v>1999</v>
      </c>
      <c r="Y1502" s="15" t="s">
        <v>138</v>
      </c>
      <c r="Z1502" s="15" t="s">
        <v>138</v>
      </c>
      <c r="AA1502" s="15" t="s">
        <v>138</v>
      </c>
      <c r="AB1502" s="20" t="s">
        <v>138</v>
      </c>
      <c r="AC1502" s="20" t="s">
        <v>138</v>
      </c>
      <c r="AD1502" s="20" t="s">
        <v>138</v>
      </c>
      <c r="AE1502" s="20" t="s">
        <v>138</v>
      </c>
      <c r="AF1502" s="20" t="s">
        <v>138</v>
      </c>
      <c r="AG1502" s="15" t="s">
        <v>138</v>
      </c>
      <c r="AH1502" s="20" t="s">
        <v>138</v>
      </c>
      <c r="AI1502" s="20" t="s">
        <v>138</v>
      </c>
      <c r="AJ1502" s="20" t="s">
        <v>138</v>
      </c>
      <c r="AK1502" s="15" t="s">
        <v>28836</v>
      </c>
      <c r="AL1502" s="15" t="s">
        <v>28837</v>
      </c>
      <c r="AM1502" s="15" t="s">
        <v>28838</v>
      </c>
      <c r="AN1502" s="15" t="s">
        <v>28839</v>
      </c>
      <c r="AO1502" s="15" t="s">
        <v>28840</v>
      </c>
      <c r="AP1502" s="15" t="s">
        <v>496</v>
      </c>
      <c r="AQ1502" s="15" t="s">
        <v>28841</v>
      </c>
      <c r="AR1502" s="15" t="s">
        <v>138</v>
      </c>
      <c r="AS1502" s="15" t="s">
        <v>499</v>
      </c>
      <c r="AT1502" s="15" t="s">
        <v>28842</v>
      </c>
      <c r="AU1502" s="15" t="s">
        <v>28843</v>
      </c>
      <c r="AV1502" s="15" t="s">
        <v>450</v>
      </c>
      <c r="AW1502" s="15" t="s">
        <v>28840</v>
      </c>
      <c r="AX1502" s="15" t="s">
        <v>28844</v>
      </c>
      <c r="AY1502" s="15" t="s">
        <v>28845</v>
      </c>
      <c r="AZ1502" s="15" t="s">
        <v>452</v>
      </c>
      <c r="BA1502" s="15" t="s">
        <v>453</v>
      </c>
      <c r="BB1502" s="15" t="s">
        <v>28846</v>
      </c>
      <c r="BC1502" s="15" t="s">
        <v>28847</v>
      </c>
      <c r="BD1502" s="21">
        <v>3</v>
      </c>
      <c r="BE1502" s="15" t="s">
        <v>138</v>
      </c>
      <c r="BF1502" s="15" t="s">
        <v>138</v>
      </c>
      <c r="BG1502" s="15" t="s">
        <v>138</v>
      </c>
      <c r="BH1502" s="15" t="s">
        <v>28848</v>
      </c>
      <c r="BI1502" s="15" t="s">
        <v>138</v>
      </c>
      <c r="BJ1502" s="15" t="s">
        <v>138</v>
      </c>
      <c r="BK1502" s="15" t="s">
        <v>138</v>
      </c>
      <c r="BL1502" s="15" t="s">
        <v>138</v>
      </c>
      <c r="BM1502" s="22">
        <v>36404</v>
      </c>
      <c r="BN1502" s="17" t="s">
        <v>138</v>
      </c>
      <c r="BO1502" s="15" t="s">
        <v>138</v>
      </c>
      <c r="BP1502" s="17" t="s">
        <v>138</v>
      </c>
      <c r="BQ1502" s="15" t="s">
        <v>138</v>
      </c>
      <c r="BR1502" s="15" t="s">
        <v>1465</v>
      </c>
      <c r="BS1502" s="15" t="s">
        <v>138</v>
      </c>
      <c r="BT1502" s="15" t="s">
        <v>138</v>
      </c>
      <c r="BU1502" s="15" t="s">
        <v>174</v>
      </c>
      <c r="BV1502" s="15" t="s">
        <v>138</v>
      </c>
      <c r="BW1502" s="15" t="s">
        <v>138</v>
      </c>
      <c r="BX1502" s="15" t="s">
        <v>138</v>
      </c>
      <c r="BY1502" s="15" t="s">
        <v>175</v>
      </c>
      <c r="BZ1502" s="22">
        <v>36404</v>
      </c>
      <c r="CA1502" s="17" t="s">
        <v>138</v>
      </c>
      <c r="CB1502" s="15" t="s">
        <v>138</v>
      </c>
      <c r="CC1502" s="17" t="s">
        <v>138</v>
      </c>
      <c r="CD1502" s="15" t="s">
        <v>138</v>
      </c>
      <c r="CE1502" s="15" t="s">
        <v>1465</v>
      </c>
      <c r="CF1502" s="15" t="s">
        <v>138</v>
      </c>
      <c r="CG1502" s="15" t="s">
        <v>138</v>
      </c>
      <c r="CH1502" s="15" t="s">
        <v>174</v>
      </c>
      <c r="CI1502" s="15" t="s">
        <v>138</v>
      </c>
      <c r="CJ1502" s="15" t="s">
        <v>138</v>
      </c>
      <c r="CK1502" s="15" t="s">
        <v>138</v>
      </c>
      <c r="CL1502" s="15" t="s">
        <v>175</v>
      </c>
      <c r="CM1502" s="22" t="s">
        <v>138</v>
      </c>
      <c r="CN1502" s="17" t="s">
        <v>138</v>
      </c>
      <c r="CO1502" s="23">
        <v>0</v>
      </c>
      <c r="CP1502" s="24">
        <v>26</v>
      </c>
      <c r="CQ1502" s="23">
        <v>0</v>
      </c>
      <c r="CR1502" s="23">
        <v>0</v>
      </c>
      <c r="CS1502" s="23">
        <v>0</v>
      </c>
      <c r="CT1502" s="24">
        <v>23</v>
      </c>
      <c r="CU1502" s="23" t="s">
        <v>138</v>
      </c>
      <c r="CV1502" s="24" t="s">
        <v>138</v>
      </c>
      <c r="CW1502" s="23" t="s">
        <v>138</v>
      </c>
      <c r="CX1502" s="24" t="s">
        <v>138</v>
      </c>
      <c r="CY1502" s="23">
        <v>0</v>
      </c>
      <c r="CZ1502" s="24">
        <v>25</v>
      </c>
      <c r="DA1502" s="23" t="s">
        <v>138</v>
      </c>
      <c r="DB1502" s="24" t="s">
        <v>138</v>
      </c>
      <c r="DC1502" s="25">
        <v>2.5499999999999998</v>
      </c>
      <c r="DD1502" s="24">
        <v>72</v>
      </c>
      <c r="DE1502" s="25">
        <v>0.03</v>
      </c>
      <c r="DF1502" s="23">
        <v>1.37</v>
      </c>
      <c r="DG1502" s="25">
        <v>2.5499999999999998</v>
      </c>
      <c r="DH1502" s="24">
        <v>71</v>
      </c>
      <c r="DI1502" s="25" t="s">
        <v>138</v>
      </c>
      <c r="DJ1502" s="24" t="s">
        <v>138</v>
      </c>
      <c r="DK1502" s="25" t="s">
        <v>138</v>
      </c>
      <c r="DL1502" s="24" t="s">
        <v>138</v>
      </c>
      <c r="DM1502" s="25">
        <v>2.5499999999999998</v>
      </c>
      <c r="DN1502" s="24">
        <v>70</v>
      </c>
      <c r="DO1502" s="25" t="s">
        <v>138</v>
      </c>
      <c r="DP1502" s="24" t="s">
        <v>138</v>
      </c>
      <c r="DQ1502" s="24" t="s">
        <v>138</v>
      </c>
      <c r="DR1502" s="26" t="s">
        <v>138</v>
      </c>
      <c r="DS1502" s="23" t="s">
        <v>138</v>
      </c>
      <c r="DT1502" s="24">
        <v>73</v>
      </c>
      <c r="DU1502" s="26">
        <v>0</v>
      </c>
      <c r="DV1502" s="23">
        <v>0</v>
      </c>
      <c r="DW1502" s="24" t="s">
        <v>138</v>
      </c>
      <c r="DX1502" s="27" t="s">
        <v>138</v>
      </c>
      <c r="DY1502" s="23" t="s">
        <v>138</v>
      </c>
      <c r="DZ1502" s="15" t="s">
        <v>178</v>
      </c>
      <c r="EA1502" s="22">
        <v>43351</v>
      </c>
      <c r="EB1502" s="17" t="s">
        <v>138</v>
      </c>
      <c r="EC1502" s="22" t="s">
        <v>138</v>
      </c>
      <c r="ED1502" s="15" t="s">
        <v>138</v>
      </c>
      <c r="EE1502" s="14" t="str">
        <f>HYPERLINK("https://my.pitchbook.com?c=97410-43", "View company online")</f>
        <v>View company online</v>
      </c>
    </row>
    <row r="1503" spans="1:135">
      <c r="A1503" s="28" t="s">
        <v>28849</v>
      </c>
      <c r="B1503" s="28" t="s">
        <v>28850</v>
      </c>
      <c r="C1503" s="28" t="s">
        <v>138</v>
      </c>
      <c r="D1503" s="28" t="s">
        <v>138</v>
      </c>
      <c r="E1503" s="28" t="s">
        <v>28851</v>
      </c>
      <c r="F1503" s="28" t="s">
        <v>28849</v>
      </c>
      <c r="G1503" s="28" t="s">
        <v>28852</v>
      </c>
      <c r="H1503" s="28" t="s">
        <v>322</v>
      </c>
      <c r="I1503" s="28" t="s">
        <v>807</v>
      </c>
      <c r="J1503" s="28" t="s">
        <v>2534</v>
      </c>
      <c r="K1503" s="28" t="s">
        <v>28853</v>
      </c>
      <c r="L1503" s="28" t="s">
        <v>215</v>
      </c>
      <c r="M1503" s="28" t="s">
        <v>28854</v>
      </c>
      <c r="N1503" s="28" t="s">
        <v>147</v>
      </c>
      <c r="O1503" s="29">
        <v>198.6</v>
      </c>
      <c r="P1503" s="28" t="s">
        <v>148</v>
      </c>
      <c r="Q1503" s="28" t="s">
        <v>149</v>
      </c>
      <c r="R1503" s="28" t="s">
        <v>244</v>
      </c>
      <c r="S1503" s="28" t="s">
        <v>28855</v>
      </c>
      <c r="T1503" s="30">
        <v>450</v>
      </c>
      <c r="U1503" s="28" t="s">
        <v>28856</v>
      </c>
      <c r="V1503" s="28" t="s">
        <v>138</v>
      </c>
      <c r="W1503" s="28" t="s">
        <v>138</v>
      </c>
      <c r="X1503" s="31">
        <v>2011</v>
      </c>
      <c r="Y1503" s="28" t="s">
        <v>138</v>
      </c>
      <c r="Z1503" s="28" t="s">
        <v>138</v>
      </c>
      <c r="AA1503" s="28" t="s">
        <v>138</v>
      </c>
      <c r="AB1503" s="32">
        <v>175</v>
      </c>
      <c r="AC1503" s="32" t="s">
        <v>138</v>
      </c>
      <c r="AD1503" s="32" t="s">
        <v>138</v>
      </c>
      <c r="AE1503" s="32" t="s">
        <v>138</v>
      </c>
      <c r="AF1503" s="32" t="s">
        <v>138</v>
      </c>
      <c r="AG1503" s="28" t="s">
        <v>419</v>
      </c>
      <c r="AH1503" s="32" t="s">
        <v>138</v>
      </c>
      <c r="AI1503" s="32" t="s">
        <v>138</v>
      </c>
      <c r="AJ1503" s="32" t="s">
        <v>138</v>
      </c>
      <c r="AK1503" s="28" t="s">
        <v>28857</v>
      </c>
      <c r="AL1503" s="28" t="s">
        <v>28858</v>
      </c>
      <c r="AM1503" s="28" t="s">
        <v>2194</v>
      </c>
      <c r="AN1503" s="28" t="s">
        <v>28859</v>
      </c>
      <c r="AO1503" s="28" t="s">
        <v>138</v>
      </c>
      <c r="AP1503" s="28" t="s">
        <v>423</v>
      </c>
      <c r="AQ1503" s="28" t="s">
        <v>28860</v>
      </c>
      <c r="AR1503" s="28" t="s">
        <v>138</v>
      </c>
      <c r="AS1503" s="28" t="s">
        <v>426</v>
      </c>
      <c r="AT1503" s="28" t="s">
        <v>426</v>
      </c>
      <c r="AU1503" s="28" t="s">
        <v>921</v>
      </c>
      <c r="AV1503" s="28" t="s">
        <v>162</v>
      </c>
      <c r="AW1503" s="28" t="s">
        <v>138</v>
      </c>
      <c r="AX1503" s="28" t="s">
        <v>138</v>
      </c>
      <c r="AY1503" s="28" t="s">
        <v>28861</v>
      </c>
      <c r="AZ1503" s="28" t="s">
        <v>164</v>
      </c>
      <c r="BA1503" s="28" t="s">
        <v>165</v>
      </c>
      <c r="BB1503" s="28" t="s">
        <v>28862</v>
      </c>
      <c r="BC1503" s="28" t="s">
        <v>28863</v>
      </c>
      <c r="BD1503" s="33">
        <v>13</v>
      </c>
      <c r="BE1503" s="28" t="s">
        <v>138</v>
      </c>
      <c r="BF1503" s="28" t="s">
        <v>28864</v>
      </c>
      <c r="BG1503" s="28" t="s">
        <v>138</v>
      </c>
      <c r="BH1503" s="28" t="s">
        <v>28865</v>
      </c>
      <c r="BI1503" s="28" t="s">
        <v>28866</v>
      </c>
      <c r="BJ1503" s="28" t="s">
        <v>138</v>
      </c>
      <c r="BK1503" s="28" t="s">
        <v>28867</v>
      </c>
      <c r="BL1503" s="28" t="s">
        <v>28868</v>
      </c>
      <c r="BM1503" s="34">
        <v>41046</v>
      </c>
      <c r="BN1503" s="29" t="s">
        <v>138</v>
      </c>
      <c r="BO1503" s="28" t="s">
        <v>138</v>
      </c>
      <c r="BP1503" s="29" t="s">
        <v>138</v>
      </c>
      <c r="BQ1503" s="28" t="s">
        <v>138</v>
      </c>
      <c r="BR1503" s="28" t="s">
        <v>234</v>
      </c>
      <c r="BS1503" s="28" t="s">
        <v>234</v>
      </c>
      <c r="BT1503" s="28" t="s">
        <v>138</v>
      </c>
      <c r="BU1503" s="28" t="s">
        <v>174</v>
      </c>
      <c r="BV1503" s="28" t="s">
        <v>138</v>
      </c>
      <c r="BW1503" s="28" t="s">
        <v>138</v>
      </c>
      <c r="BX1503" s="28" t="s">
        <v>138</v>
      </c>
      <c r="BY1503" s="28" t="s">
        <v>175</v>
      </c>
      <c r="BZ1503" s="34">
        <v>43051</v>
      </c>
      <c r="CA1503" s="29" t="s">
        <v>138</v>
      </c>
      <c r="CB1503" s="28" t="s">
        <v>138</v>
      </c>
      <c r="CC1503" s="29" t="s">
        <v>138</v>
      </c>
      <c r="CD1503" s="28" t="s">
        <v>138</v>
      </c>
      <c r="CE1503" s="28" t="s">
        <v>173</v>
      </c>
      <c r="CF1503" s="28" t="s">
        <v>138</v>
      </c>
      <c r="CG1503" s="28" t="s">
        <v>138</v>
      </c>
      <c r="CH1503" s="28" t="s">
        <v>174</v>
      </c>
      <c r="CI1503" s="28" t="s">
        <v>138</v>
      </c>
      <c r="CJ1503" s="28" t="s">
        <v>138</v>
      </c>
      <c r="CK1503" s="28" t="s">
        <v>138</v>
      </c>
      <c r="CL1503" s="28" t="s">
        <v>175</v>
      </c>
      <c r="CM1503" s="34">
        <v>42467</v>
      </c>
      <c r="CN1503" s="29">
        <v>130</v>
      </c>
      <c r="CO1503" s="35">
        <v>0.04</v>
      </c>
      <c r="CP1503" s="36">
        <v>87</v>
      </c>
      <c r="CQ1503" s="35">
        <v>0</v>
      </c>
      <c r="CR1503" s="35">
        <v>-7.63</v>
      </c>
      <c r="CS1503" s="35">
        <v>-0.08</v>
      </c>
      <c r="CT1503" s="36">
        <v>22</v>
      </c>
      <c r="CU1503" s="35">
        <v>0.17</v>
      </c>
      <c r="CV1503" s="36">
        <v>77</v>
      </c>
      <c r="CW1503" s="35">
        <v>0.39</v>
      </c>
      <c r="CX1503" s="36">
        <v>82</v>
      </c>
      <c r="CY1503" s="35">
        <v>-0.55000000000000004</v>
      </c>
      <c r="CZ1503" s="36">
        <v>22</v>
      </c>
      <c r="DA1503" s="35">
        <v>0.15</v>
      </c>
      <c r="DB1503" s="36">
        <v>78</v>
      </c>
      <c r="DC1503" s="37">
        <v>1264.3599999999999</v>
      </c>
      <c r="DD1503" s="36">
        <v>100</v>
      </c>
      <c r="DE1503" s="37">
        <v>-94.1</v>
      </c>
      <c r="DF1503" s="35">
        <v>-6.93</v>
      </c>
      <c r="DG1503" s="37">
        <v>2183.48</v>
      </c>
      <c r="DH1503" s="36">
        <v>100</v>
      </c>
      <c r="DI1503" s="37">
        <v>345.25</v>
      </c>
      <c r="DJ1503" s="36">
        <v>99</v>
      </c>
      <c r="DK1503" s="37">
        <v>3006.75</v>
      </c>
      <c r="DL1503" s="36">
        <v>100</v>
      </c>
      <c r="DM1503" s="37">
        <v>1360.21</v>
      </c>
      <c r="DN1503" s="36">
        <v>100</v>
      </c>
      <c r="DO1503" s="37">
        <v>487.28</v>
      </c>
      <c r="DP1503" s="36">
        <v>100</v>
      </c>
      <c r="DQ1503" s="36">
        <v>1025822</v>
      </c>
      <c r="DR1503" s="38">
        <v>16479</v>
      </c>
      <c r="DS1503" s="35">
        <v>1.63</v>
      </c>
      <c r="DT1503" s="36">
        <v>39370</v>
      </c>
      <c r="DU1503" s="38">
        <v>193</v>
      </c>
      <c r="DV1503" s="35">
        <v>0.49</v>
      </c>
      <c r="DW1503" s="36">
        <v>174362</v>
      </c>
      <c r="DX1503" s="39">
        <v>237</v>
      </c>
      <c r="DY1503" s="35">
        <v>0.14000000000000001</v>
      </c>
      <c r="DZ1503" s="28" t="s">
        <v>178</v>
      </c>
      <c r="EA1503" s="34">
        <v>43622</v>
      </c>
      <c r="EB1503" s="29">
        <v>683</v>
      </c>
      <c r="EC1503" s="34">
        <v>42187</v>
      </c>
      <c r="ED1503" s="28" t="s">
        <v>173</v>
      </c>
      <c r="EE1503" s="40" t="str">
        <f>HYPERLINK("https://my.pitchbook.com?c=58199-41", "View company online")</f>
        <v>View company online</v>
      </c>
    </row>
    <row r="1504" spans="1:135">
      <c r="A1504" s="15" t="s">
        <v>28869</v>
      </c>
      <c r="B1504" s="15" t="s">
        <v>28870</v>
      </c>
      <c r="C1504" s="15" t="s">
        <v>138</v>
      </c>
      <c r="D1504" s="15" t="s">
        <v>138</v>
      </c>
      <c r="E1504" s="15" t="s">
        <v>28871</v>
      </c>
      <c r="F1504" s="15" t="s">
        <v>28869</v>
      </c>
      <c r="G1504" s="15" t="s">
        <v>28872</v>
      </c>
      <c r="H1504" s="15" t="s">
        <v>322</v>
      </c>
      <c r="I1504" s="15" t="s">
        <v>323</v>
      </c>
      <c r="J1504" s="15" t="s">
        <v>1184</v>
      </c>
      <c r="K1504" s="15" t="s">
        <v>6678</v>
      </c>
      <c r="L1504" s="15" t="s">
        <v>2835</v>
      </c>
      <c r="M1504" s="15" t="s">
        <v>28873</v>
      </c>
      <c r="N1504" s="15" t="s">
        <v>147</v>
      </c>
      <c r="O1504" s="17">
        <v>25.75</v>
      </c>
      <c r="P1504" s="15" t="s">
        <v>148</v>
      </c>
      <c r="Q1504" s="15" t="s">
        <v>149</v>
      </c>
      <c r="R1504" s="15" t="s">
        <v>174</v>
      </c>
      <c r="S1504" s="15" t="s">
        <v>28874</v>
      </c>
      <c r="T1504" s="18">
        <v>65</v>
      </c>
      <c r="U1504" s="15" t="s">
        <v>28875</v>
      </c>
      <c r="V1504" s="15" t="s">
        <v>138</v>
      </c>
      <c r="W1504" s="15" t="s">
        <v>138</v>
      </c>
      <c r="X1504" s="19">
        <v>2013</v>
      </c>
      <c r="Y1504" s="15" t="s">
        <v>138</v>
      </c>
      <c r="Z1504" s="15" t="s">
        <v>138</v>
      </c>
      <c r="AA1504" s="15" t="s">
        <v>138</v>
      </c>
      <c r="AB1504" s="20" t="s">
        <v>138</v>
      </c>
      <c r="AC1504" s="20" t="s">
        <v>138</v>
      </c>
      <c r="AD1504" s="20" t="s">
        <v>138</v>
      </c>
      <c r="AE1504" s="20" t="s">
        <v>138</v>
      </c>
      <c r="AF1504" s="20" t="s">
        <v>138</v>
      </c>
      <c r="AG1504" s="15" t="s">
        <v>138</v>
      </c>
      <c r="AH1504" s="20" t="s">
        <v>138</v>
      </c>
      <c r="AI1504" s="20" t="s">
        <v>138</v>
      </c>
      <c r="AJ1504" s="20" t="s">
        <v>138</v>
      </c>
      <c r="AK1504" s="15" t="s">
        <v>28876</v>
      </c>
      <c r="AL1504" s="15" t="s">
        <v>28877</v>
      </c>
      <c r="AM1504" s="15" t="s">
        <v>5401</v>
      </c>
      <c r="AN1504" s="15" t="s">
        <v>28878</v>
      </c>
      <c r="AO1504" s="15" t="s">
        <v>138</v>
      </c>
      <c r="AP1504" s="15" t="s">
        <v>665</v>
      </c>
      <c r="AQ1504" s="15" t="s">
        <v>28879</v>
      </c>
      <c r="AR1504" s="15" t="s">
        <v>138</v>
      </c>
      <c r="AS1504" s="15" t="s">
        <v>668</v>
      </c>
      <c r="AT1504" s="15" t="s">
        <v>200</v>
      </c>
      <c r="AU1504" s="15" t="s">
        <v>1893</v>
      </c>
      <c r="AV1504" s="15" t="s">
        <v>162</v>
      </c>
      <c r="AW1504" s="15" t="s">
        <v>138</v>
      </c>
      <c r="AX1504" s="15" t="s">
        <v>138</v>
      </c>
      <c r="AY1504" s="15" t="s">
        <v>28880</v>
      </c>
      <c r="AZ1504" s="15" t="s">
        <v>164</v>
      </c>
      <c r="BA1504" s="15" t="s">
        <v>165</v>
      </c>
      <c r="BB1504" s="15" t="s">
        <v>28881</v>
      </c>
      <c r="BC1504" s="15" t="s">
        <v>28882</v>
      </c>
      <c r="BD1504" s="21">
        <v>18</v>
      </c>
      <c r="BE1504" s="15" t="s">
        <v>138</v>
      </c>
      <c r="BF1504" s="15" t="s">
        <v>138</v>
      </c>
      <c r="BG1504" s="15" t="s">
        <v>138</v>
      </c>
      <c r="BH1504" s="15" t="s">
        <v>28883</v>
      </c>
      <c r="BI1504" s="15" t="s">
        <v>138</v>
      </c>
      <c r="BJ1504" s="15" t="s">
        <v>138</v>
      </c>
      <c r="BK1504" s="15" t="s">
        <v>3825</v>
      </c>
      <c r="BL1504" s="15" t="s">
        <v>1275</v>
      </c>
      <c r="BM1504" s="22">
        <v>42145</v>
      </c>
      <c r="BN1504" s="17">
        <v>3</v>
      </c>
      <c r="BO1504" s="15" t="s">
        <v>172</v>
      </c>
      <c r="BP1504" s="17" t="s">
        <v>138</v>
      </c>
      <c r="BQ1504" s="15" t="s">
        <v>138</v>
      </c>
      <c r="BR1504" s="15" t="s">
        <v>234</v>
      </c>
      <c r="BS1504" s="15" t="s">
        <v>234</v>
      </c>
      <c r="BT1504" s="15" t="s">
        <v>138</v>
      </c>
      <c r="BU1504" s="15" t="s">
        <v>174</v>
      </c>
      <c r="BV1504" s="15" t="s">
        <v>138</v>
      </c>
      <c r="BW1504" s="15" t="s">
        <v>138</v>
      </c>
      <c r="BX1504" s="15" t="s">
        <v>138</v>
      </c>
      <c r="BY1504" s="15" t="s">
        <v>175</v>
      </c>
      <c r="BZ1504" s="22">
        <v>43088</v>
      </c>
      <c r="CA1504" s="17">
        <v>14.75</v>
      </c>
      <c r="CB1504" s="15" t="s">
        <v>172</v>
      </c>
      <c r="CC1504" s="17" t="s">
        <v>138</v>
      </c>
      <c r="CD1504" s="15" t="s">
        <v>138</v>
      </c>
      <c r="CE1504" s="15" t="s">
        <v>205</v>
      </c>
      <c r="CF1504" s="15" t="s">
        <v>206</v>
      </c>
      <c r="CG1504" s="15" t="s">
        <v>138</v>
      </c>
      <c r="CH1504" s="15" t="s">
        <v>174</v>
      </c>
      <c r="CI1504" s="15" t="s">
        <v>138</v>
      </c>
      <c r="CJ1504" s="15" t="s">
        <v>138</v>
      </c>
      <c r="CK1504" s="15" t="s">
        <v>138</v>
      </c>
      <c r="CL1504" s="15" t="s">
        <v>175</v>
      </c>
      <c r="CM1504" s="22" t="s">
        <v>138</v>
      </c>
      <c r="CN1504" s="17" t="s">
        <v>138</v>
      </c>
      <c r="CO1504" s="23">
        <v>-0.06</v>
      </c>
      <c r="CP1504" s="24">
        <v>22</v>
      </c>
      <c r="CQ1504" s="23">
        <v>-0.01</v>
      </c>
      <c r="CR1504" s="23">
        <v>-26.37</v>
      </c>
      <c r="CS1504" s="23">
        <v>-0.18</v>
      </c>
      <c r="CT1504" s="24">
        <v>22</v>
      </c>
      <c r="CU1504" s="23">
        <v>0.06</v>
      </c>
      <c r="CV1504" s="24">
        <v>60</v>
      </c>
      <c r="CW1504" s="23">
        <v>0</v>
      </c>
      <c r="CX1504" s="24">
        <v>13</v>
      </c>
      <c r="CY1504" s="23">
        <v>-0.36</v>
      </c>
      <c r="CZ1504" s="24">
        <v>23</v>
      </c>
      <c r="DA1504" s="23">
        <v>0.14000000000000001</v>
      </c>
      <c r="DB1504" s="24">
        <v>77</v>
      </c>
      <c r="DC1504" s="25">
        <v>8.27</v>
      </c>
      <c r="DD1504" s="24">
        <v>88</v>
      </c>
      <c r="DE1504" s="25">
        <v>-0.11</v>
      </c>
      <c r="DF1504" s="23">
        <v>-1.31</v>
      </c>
      <c r="DG1504" s="25">
        <v>10.63</v>
      </c>
      <c r="DH1504" s="24">
        <v>90</v>
      </c>
      <c r="DI1504" s="25">
        <v>5.92</v>
      </c>
      <c r="DJ1504" s="24">
        <v>79</v>
      </c>
      <c r="DK1504" s="25">
        <v>2.78</v>
      </c>
      <c r="DL1504" s="24">
        <v>70</v>
      </c>
      <c r="DM1504" s="25">
        <v>18.48</v>
      </c>
      <c r="DN1504" s="24">
        <v>94</v>
      </c>
      <c r="DO1504" s="25">
        <v>5.68</v>
      </c>
      <c r="DP1504" s="24">
        <v>81</v>
      </c>
      <c r="DQ1504" s="24">
        <v>934</v>
      </c>
      <c r="DR1504" s="26">
        <v>60</v>
      </c>
      <c r="DS1504" s="23">
        <v>6.86</v>
      </c>
      <c r="DT1504" s="24">
        <v>537</v>
      </c>
      <c r="DU1504" s="26">
        <v>0</v>
      </c>
      <c r="DV1504" s="23">
        <v>0</v>
      </c>
      <c r="DW1504" s="24">
        <v>2035</v>
      </c>
      <c r="DX1504" s="27">
        <v>-2</v>
      </c>
      <c r="DY1504" s="23">
        <v>-0.1</v>
      </c>
      <c r="DZ1504" s="15" t="s">
        <v>178</v>
      </c>
      <c r="EA1504" s="22">
        <v>43622</v>
      </c>
      <c r="EB1504" s="17" t="s">
        <v>138</v>
      </c>
      <c r="EC1504" s="22" t="s">
        <v>138</v>
      </c>
      <c r="ED1504" s="15" t="s">
        <v>138</v>
      </c>
      <c r="EE1504" s="14" t="str">
        <f>HYPERLINK("https://my.pitchbook.com?c=86593-15", "View company online")</f>
        <v>View company online</v>
      </c>
    </row>
    <row r="1505" spans="1:135">
      <c r="A1505" s="28" t="s">
        <v>28884</v>
      </c>
      <c r="B1505" s="28" t="s">
        <v>28885</v>
      </c>
      <c r="C1505" s="28" t="s">
        <v>28886</v>
      </c>
      <c r="D1505" s="28" t="s">
        <v>28887</v>
      </c>
      <c r="E1505" s="28" t="s">
        <v>138</v>
      </c>
      <c r="F1505" s="28" t="s">
        <v>28884</v>
      </c>
      <c r="G1505" s="28" t="s">
        <v>28888</v>
      </c>
      <c r="H1505" s="28" t="s">
        <v>322</v>
      </c>
      <c r="I1505" s="28" t="s">
        <v>323</v>
      </c>
      <c r="J1505" s="28" t="s">
        <v>1132</v>
      </c>
      <c r="K1505" s="28" t="s">
        <v>1777</v>
      </c>
      <c r="L1505" s="28" t="s">
        <v>4025</v>
      </c>
      <c r="M1505" s="28" t="s">
        <v>28889</v>
      </c>
      <c r="N1505" s="28" t="s">
        <v>147</v>
      </c>
      <c r="O1505" s="29">
        <v>1.08</v>
      </c>
      <c r="P1505" s="28" t="s">
        <v>610</v>
      </c>
      <c r="Q1505" s="28" t="s">
        <v>149</v>
      </c>
      <c r="R1505" s="28" t="s">
        <v>174</v>
      </c>
      <c r="S1505" s="28" t="s">
        <v>28890</v>
      </c>
      <c r="T1505" s="30">
        <v>11</v>
      </c>
      <c r="U1505" s="28" t="s">
        <v>28891</v>
      </c>
      <c r="V1505" s="28" t="s">
        <v>138</v>
      </c>
      <c r="W1505" s="28" t="s">
        <v>138</v>
      </c>
      <c r="X1505" s="31">
        <v>2015</v>
      </c>
      <c r="Y1505" s="28" t="s">
        <v>138</v>
      </c>
      <c r="Z1505" s="28" t="s">
        <v>138</v>
      </c>
      <c r="AA1505" s="28" t="s">
        <v>138</v>
      </c>
      <c r="AB1505" s="32" t="s">
        <v>138</v>
      </c>
      <c r="AC1505" s="32" t="s">
        <v>138</v>
      </c>
      <c r="AD1505" s="32" t="s">
        <v>138</v>
      </c>
      <c r="AE1505" s="32" t="s">
        <v>138</v>
      </c>
      <c r="AF1505" s="32" t="s">
        <v>138</v>
      </c>
      <c r="AG1505" s="28" t="s">
        <v>138</v>
      </c>
      <c r="AH1505" s="32" t="s">
        <v>138</v>
      </c>
      <c r="AI1505" s="32" t="s">
        <v>138</v>
      </c>
      <c r="AJ1505" s="32" t="s">
        <v>138</v>
      </c>
      <c r="AK1505" s="28" t="s">
        <v>28892</v>
      </c>
      <c r="AL1505" s="28" t="s">
        <v>28893</v>
      </c>
      <c r="AM1505" s="28" t="s">
        <v>1632</v>
      </c>
      <c r="AN1505" s="28" t="s">
        <v>28894</v>
      </c>
      <c r="AO1505" s="28" t="s">
        <v>28895</v>
      </c>
      <c r="AP1505" s="28" t="s">
        <v>1292</v>
      </c>
      <c r="AQ1505" s="28" t="s">
        <v>25549</v>
      </c>
      <c r="AR1505" s="28" t="s">
        <v>2245</v>
      </c>
      <c r="AS1505" s="28" t="s">
        <v>1294</v>
      </c>
      <c r="AT1505" s="28" t="s">
        <v>864</v>
      </c>
      <c r="AU1505" s="28" t="s">
        <v>9304</v>
      </c>
      <c r="AV1505" s="28" t="s">
        <v>162</v>
      </c>
      <c r="AW1505" s="28" t="s">
        <v>28896</v>
      </c>
      <c r="AX1505" s="28" t="s">
        <v>138</v>
      </c>
      <c r="AY1505" s="28" t="s">
        <v>28897</v>
      </c>
      <c r="AZ1505" s="28" t="s">
        <v>164</v>
      </c>
      <c r="BA1505" s="28" t="s">
        <v>165</v>
      </c>
      <c r="BB1505" s="28" t="s">
        <v>28898</v>
      </c>
      <c r="BC1505" s="28" t="s">
        <v>28899</v>
      </c>
      <c r="BD1505" s="33">
        <v>5</v>
      </c>
      <c r="BE1505" s="28" t="s">
        <v>138</v>
      </c>
      <c r="BF1505" s="28" t="s">
        <v>138</v>
      </c>
      <c r="BG1505" s="28" t="s">
        <v>138</v>
      </c>
      <c r="BH1505" s="28" t="s">
        <v>28900</v>
      </c>
      <c r="BI1505" s="28" t="s">
        <v>138</v>
      </c>
      <c r="BJ1505" s="28" t="s">
        <v>138</v>
      </c>
      <c r="BK1505" s="28" t="s">
        <v>138</v>
      </c>
      <c r="BL1505" s="28" t="s">
        <v>138</v>
      </c>
      <c r="BM1505" s="34">
        <v>42736</v>
      </c>
      <c r="BN1505" s="29" t="s">
        <v>138</v>
      </c>
      <c r="BO1505" s="28" t="s">
        <v>138</v>
      </c>
      <c r="BP1505" s="29" t="s">
        <v>138</v>
      </c>
      <c r="BQ1505" s="28" t="s">
        <v>138</v>
      </c>
      <c r="BR1505" s="28" t="s">
        <v>316</v>
      </c>
      <c r="BS1505" s="28" t="s">
        <v>138</v>
      </c>
      <c r="BT1505" s="28" t="s">
        <v>138</v>
      </c>
      <c r="BU1505" s="28" t="s">
        <v>177</v>
      </c>
      <c r="BV1505" s="28" t="s">
        <v>138</v>
      </c>
      <c r="BW1505" s="28" t="s">
        <v>138</v>
      </c>
      <c r="BX1505" s="28" t="s">
        <v>138</v>
      </c>
      <c r="BY1505" s="28" t="s">
        <v>175</v>
      </c>
      <c r="BZ1505" s="34">
        <v>43587</v>
      </c>
      <c r="CA1505" s="29" t="s">
        <v>138</v>
      </c>
      <c r="CB1505" s="28" t="s">
        <v>138</v>
      </c>
      <c r="CC1505" s="29" t="s">
        <v>138</v>
      </c>
      <c r="CD1505" s="28" t="s">
        <v>138</v>
      </c>
      <c r="CE1505" s="28" t="s">
        <v>316</v>
      </c>
      <c r="CF1505" s="28" t="s">
        <v>138</v>
      </c>
      <c r="CG1505" s="28" t="s">
        <v>138</v>
      </c>
      <c r="CH1505" s="28" t="s">
        <v>177</v>
      </c>
      <c r="CI1505" s="28" t="s">
        <v>138</v>
      </c>
      <c r="CJ1505" s="28" t="s">
        <v>138</v>
      </c>
      <c r="CK1505" s="28" t="s">
        <v>138</v>
      </c>
      <c r="CL1505" s="28" t="s">
        <v>175</v>
      </c>
      <c r="CM1505" s="34" t="s">
        <v>138</v>
      </c>
      <c r="CN1505" s="29" t="s">
        <v>138</v>
      </c>
      <c r="CO1505" s="35">
        <v>0.32</v>
      </c>
      <c r="CP1505" s="36">
        <v>94</v>
      </c>
      <c r="CQ1505" s="35">
        <v>-0.23</v>
      </c>
      <c r="CR1505" s="35">
        <v>-41.14</v>
      </c>
      <c r="CS1505" s="35" t="s">
        <v>138</v>
      </c>
      <c r="CT1505" s="36" t="s">
        <v>138</v>
      </c>
      <c r="CU1505" s="35">
        <v>0.32</v>
      </c>
      <c r="CV1505" s="36">
        <v>88</v>
      </c>
      <c r="CW1505" s="35" t="s">
        <v>138</v>
      </c>
      <c r="CX1505" s="36" t="s">
        <v>138</v>
      </c>
      <c r="CY1505" s="35" t="s">
        <v>138</v>
      </c>
      <c r="CZ1505" s="36" t="s">
        <v>138</v>
      </c>
      <c r="DA1505" s="35">
        <v>0.32</v>
      </c>
      <c r="DB1505" s="36">
        <v>89</v>
      </c>
      <c r="DC1505" s="37">
        <v>0.33</v>
      </c>
      <c r="DD1505" s="36">
        <v>25</v>
      </c>
      <c r="DE1505" s="37">
        <v>0</v>
      </c>
      <c r="DF1505" s="35">
        <v>-0.28000000000000003</v>
      </c>
      <c r="DG1505" s="37" t="s">
        <v>138</v>
      </c>
      <c r="DH1505" s="36" t="s">
        <v>138</v>
      </c>
      <c r="DI1505" s="37">
        <v>0.33</v>
      </c>
      <c r="DJ1505" s="36">
        <v>30</v>
      </c>
      <c r="DK1505" s="37" t="s">
        <v>138</v>
      </c>
      <c r="DL1505" s="36" t="s">
        <v>138</v>
      </c>
      <c r="DM1505" s="37" t="s">
        <v>138</v>
      </c>
      <c r="DN1505" s="36" t="s">
        <v>138</v>
      </c>
      <c r="DO1505" s="37">
        <v>0.33</v>
      </c>
      <c r="DP1505" s="36">
        <v>31</v>
      </c>
      <c r="DQ1505" s="36">
        <v>73</v>
      </c>
      <c r="DR1505" s="38">
        <v>2</v>
      </c>
      <c r="DS1505" s="35">
        <v>2.82</v>
      </c>
      <c r="DT1505" s="36" t="s">
        <v>138</v>
      </c>
      <c r="DU1505" s="38" t="s">
        <v>138</v>
      </c>
      <c r="DV1505" s="35" t="s">
        <v>138</v>
      </c>
      <c r="DW1505" s="36">
        <v>119</v>
      </c>
      <c r="DX1505" s="39">
        <v>1</v>
      </c>
      <c r="DY1505" s="35">
        <v>0.85</v>
      </c>
      <c r="DZ1505" s="28" t="s">
        <v>178</v>
      </c>
      <c r="EA1505" s="34">
        <v>43622</v>
      </c>
      <c r="EB1505" s="29">
        <v>2.58</v>
      </c>
      <c r="EC1505" s="34">
        <v>43517</v>
      </c>
      <c r="ED1505" s="28" t="s">
        <v>234</v>
      </c>
      <c r="EE1505" s="40" t="str">
        <f>HYPERLINK("https://my.pitchbook.com?c=176443-30", "View company online")</f>
        <v>View company online</v>
      </c>
    </row>
    <row r="1506" spans="1:135">
      <c r="A1506" s="15" t="s">
        <v>28901</v>
      </c>
      <c r="B1506" s="15" t="s">
        <v>28902</v>
      </c>
      <c r="C1506" s="15" t="s">
        <v>28903</v>
      </c>
      <c r="D1506" s="15" t="s">
        <v>138</v>
      </c>
      <c r="E1506" s="15" t="s">
        <v>28904</v>
      </c>
      <c r="F1506" s="15" t="s">
        <v>28901</v>
      </c>
      <c r="G1506" s="15" t="s">
        <v>28905</v>
      </c>
      <c r="H1506" s="15" t="s">
        <v>322</v>
      </c>
      <c r="I1506" s="15" t="s">
        <v>323</v>
      </c>
      <c r="J1506" s="15" t="s">
        <v>461</v>
      </c>
      <c r="K1506" s="15" t="s">
        <v>462</v>
      </c>
      <c r="L1506" s="15" t="s">
        <v>2210</v>
      </c>
      <c r="M1506" s="15" t="s">
        <v>28906</v>
      </c>
      <c r="N1506" s="15" t="s">
        <v>147</v>
      </c>
      <c r="O1506" s="17">
        <v>208.78</v>
      </c>
      <c r="P1506" s="15" t="s">
        <v>812</v>
      </c>
      <c r="Q1506" s="15" t="s">
        <v>149</v>
      </c>
      <c r="R1506" s="15" t="s">
        <v>1652</v>
      </c>
      <c r="S1506" s="15" t="s">
        <v>28907</v>
      </c>
      <c r="T1506" s="18">
        <v>375</v>
      </c>
      <c r="U1506" s="15" t="s">
        <v>28908</v>
      </c>
      <c r="V1506" s="15" t="s">
        <v>138</v>
      </c>
      <c r="W1506" s="15" t="s">
        <v>138</v>
      </c>
      <c r="X1506" s="19">
        <v>2003</v>
      </c>
      <c r="Y1506" s="15" t="s">
        <v>138</v>
      </c>
      <c r="Z1506" s="15" t="s">
        <v>138</v>
      </c>
      <c r="AA1506" s="15" t="s">
        <v>138</v>
      </c>
      <c r="AB1506" s="20">
        <v>75</v>
      </c>
      <c r="AC1506" s="20" t="s">
        <v>138</v>
      </c>
      <c r="AD1506" s="20" t="s">
        <v>138</v>
      </c>
      <c r="AE1506" s="20" t="s">
        <v>138</v>
      </c>
      <c r="AF1506" s="20" t="s">
        <v>138</v>
      </c>
      <c r="AG1506" s="15" t="s">
        <v>707</v>
      </c>
      <c r="AH1506" s="20" t="s">
        <v>138</v>
      </c>
      <c r="AI1506" s="20" t="s">
        <v>138</v>
      </c>
      <c r="AJ1506" s="20" t="s">
        <v>138</v>
      </c>
      <c r="AK1506" s="15" t="s">
        <v>28909</v>
      </c>
      <c r="AL1506" s="15" t="s">
        <v>28910</v>
      </c>
      <c r="AM1506" s="15" t="s">
        <v>4810</v>
      </c>
      <c r="AN1506" s="15" t="s">
        <v>28911</v>
      </c>
      <c r="AO1506" s="15" t="s">
        <v>28912</v>
      </c>
      <c r="AP1506" s="15" t="s">
        <v>3817</v>
      </c>
      <c r="AQ1506" s="15" t="s">
        <v>28913</v>
      </c>
      <c r="AR1506" s="15" t="s">
        <v>2095</v>
      </c>
      <c r="AS1506" s="15" t="s">
        <v>3820</v>
      </c>
      <c r="AT1506" s="15" t="s">
        <v>864</v>
      </c>
      <c r="AU1506" s="15" t="s">
        <v>4311</v>
      </c>
      <c r="AV1506" s="15" t="s">
        <v>162</v>
      </c>
      <c r="AW1506" s="15" t="s">
        <v>28912</v>
      </c>
      <c r="AX1506" s="15" t="s">
        <v>28914</v>
      </c>
      <c r="AY1506" s="15" t="s">
        <v>28915</v>
      </c>
      <c r="AZ1506" s="15" t="s">
        <v>164</v>
      </c>
      <c r="BA1506" s="15" t="s">
        <v>165</v>
      </c>
      <c r="BB1506" s="15" t="s">
        <v>28916</v>
      </c>
      <c r="BC1506" s="15" t="s">
        <v>28917</v>
      </c>
      <c r="BD1506" s="21">
        <v>14</v>
      </c>
      <c r="BE1506" s="15" t="s">
        <v>138</v>
      </c>
      <c r="BF1506" s="15" t="s">
        <v>138</v>
      </c>
      <c r="BG1506" s="15" t="s">
        <v>138</v>
      </c>
      <c r="BH1506" s="15" t="s">
        <v>28918</v>
      </c>
      <c r="BI1506" s="15" t="s">
        <v>138</v>
      </c>
      <c r="BJ1506" s="15" t="s">
        <v>138</v>
      </c>
      <c r="BK1506" s="15" t="s">
        <v>28919</v>
      </c>
      <c r="BL1506" s="15" t="s">
        <v>28920</v>
      </c>
      <c r="BM1506" s="22">
        <v>37776</v>
      </c>
      <c r="BN1506" s="17">
        <v>6.7</v>
      </c>
      <c r="BO1506" s="15" t="s">
        <v>172</v>
      </c>
      <c r="BP1506" s="17">
        <v>12.76</v>
      </c>
      <c r="BQ1506" s="15" t="s">
        <v>172</v>
      </c>
      <c r="BR1506" s="15" t="s">
        <v>205</v>
      </c>
      <c r="BS1506" s="15" t="s">
        <v>206</v>
      </c>
      <c r="BT1506" s="15" t="s">
        <v>138</v>
      </c>
      <c r="BU1506" s="15" t="s">
        <v>174</v>
      </c>
      <c r="BV1506" s="15" t="s">
        <v>138</v>
      </c>
      <c r="BW1506" s="15" t="s">
        <v>138</v>
      </c>
      <c r="BX1506" s="15" t="s">
        <v>138</v>
      </c>
      <c r="BY1506" s="15" t="s">
        <v>175</v>
      </c>
      <c r="BZ1506" s="22">
        <v>43579</v>
      </c>
      <c r="CA1506" s="17">
        <v>30</v>
      </c>
      <c r="CB1506" s="15" t="s">
        <v>172</v>
      </c>
      <c r="CC1506" s="17" t="s">
        <v>138</v>
      </c>
      <c r="CD1506" s="15" t="s">
        <v>138</v>
      </c>
      <c r="CE1506" s="15" t="s">
        <v>1673</v>
      </c>
      <c r="CF1506" s="15" t="s">
        <v>138</v>
      </c>
      <c r="CG1506" s="15" t="s">
        <v>138</v>
      </c>
      <c r="CH1506" s="15" t="s">
        <v>351</v>
      </c>
      <c r="CI1506" s="15" t="s">
        <v>138</v>
      </c>
      <c r="CJ1506" s="15" t="s">
        <v>138</v>
      </c>
      <c r="CK1506" s="15" t="s">
        <v>138</v>
      </c>
      <c r="CL1506" s="15" t="s">
        <v>175</v>
      </c>
      <c r="CM1506" s="22">
        <v>43273</v>
      </c>
      <c r="CN1506" s="17">
        <v>50</v>
      </c>
      <c r="CO1506" s="23">
        <v>-0.15</v>
      </c>
      <c r="CP1506" s="24">
        <v>20</v>
      </c>
      <c r="CQ1506" s="23">
        <v>0.03</v>
      </c>
      <c r="CR1506" s="23">
        <v>15.35</v>
      </c>
      <c r="CS1506" s="23">
        <v>-0.3</v>
      </c>
      <c r="CT1506" s="24">
        <v>21</v>
      </c>
      <c r="CU1506" s="23">
        <v>-0.01</v>
      </c>
      <c r="CV1506" s="24">
        <v>20</v>
      </c>
      <c r="CW1506" s="23">
        <v>1.1499999999999999</v>
      </c>
      <c r="CX1506" s="24">
        <v>85</v>
      </c>
      <c r="CY1506" s="23">
        <v>-1.75</v>
      </c>
      <c r="CZ1506" s="24">
        <v>13</v>
      </c>
      <c r="DA1506" s="23">
        <v>-0.01</v>
      </c>
      <c r="DB1506" s="24">
        <v>21</v>
      </c>
      <c r="DC1506" s="25">
        <v>57.9</v>
      </c>
      <c r="DD1506" s="24">
        <v>98</v>
      </c>
      <c r="DE1506" s="25">
        <v>-5.21</v>
      </c>
      <c r="DF1506" s="23">
        <v>-8.26</v>
      </c>
      <c r="DG1506" s="25">
        <v>85.72</v>
      </c>
      <c r="DH1506" s="24">
        <v>99</v>
      </c>
      <c r="DI1506" s="25">
        <v>30.08</v>
      </c>
      <c r="DJ1506" s="24">
        <v>93</v>
      </c>
      <c r="DK1506" s="25">
        <v>164.58</v>
      </c>
      <c r="DL1506" s="24">
        <v>99</v>
      </c>
      <c r="DM1506" s="25">
        <v>6.86</v>
      </c>
      <c r="DN1506" s="24">
        <v>85</v>
      </c>
      <c r="DO1506" s="25">
        <v>53.96</v>
      </c>
      <c r="DP1506" s="24">
        <v>97</v>
      </c>
      <c r="DQ1506" s="24">
        <v>55700</v>
      </c>
      <c r="DR1506" s="26">
        <v>2256</v>
      </c>
      <c r="DS1506" s="23">
        <v>4.22</v>
      </c>
      <c r="DT1506" s="24">
        <v>199</v>
      </c>
      <c r="DU1506" s="26">
        <v>1</v>
      </c>
      <c r="DV1506" s="23">
        <v>0.51</v>
      </c>
      <c r="DW1506" s="24">
        <v>19322</v>
      </c>
      <c r="DX1506" s="27">
        <v>-11</v>
      </c>
      <c r="DY1506" s="23">
        <v>-0.06</v>
      </c>
      <c r="DZ1506" s="15" t="s">
        <v>178</v>
      </c>
      <c r="EA1506" s="22">
        <v>43584</v>
      </c>
      <c r="EB1506" s="17">
        <v>94.92</v>
      </c>
      <c r="EC1506" s="22">
        <v>41717</v>
      </c>
      <c r="ED1506" s="15" t="s">
        <v>173</v>
      </c>
      <c r="EE1506" s="14" t="str">
        <f>HYPERLINK("https://my.pitchbook.com?c=51772-51", "View company online")</f>
        <v>View company online</v>
      </c>
    </row>
    <row r="1507" spans="1:135">
      <c r="A1507" s="28" t="s">
        <v>28921</v>
      </c>
      <c r="B1507" s="28" t="s">
        <v>28922</v>
      </c>
      <c r="C1507" s="28" t="s">
        <v>28923</v>
      </c>
      <c r="D1507" s="28" t="s">
        <v>28924</v>
      </c>
      <c r="E1507" s="28" t="s">
        <v>138</v>
      </c>
      <c r="F1507" s="28" t="s">
        <v>28921</v>
      </c>
      <c r="G1507" s="28" t="s">
        <v>28925</v>
      </c>
      <c r="H1507" s="28" t="s">
        <v>890</v>
      </c>
      <c r="I1507" s="28" t="s">
        <v>891</v>
      </c>
      <c r="J1507" s="28" t="s">
        <v>7528</v>
      </c>
      <c r="K1507" s="28" t="s">
        <v>28926</v>
      </c>
      <c r="L1507" s="28" t="s">
        <v>9641</v>
      </c>
      <c r="M1507" s="28" t="s">
        <v>28927</v>
      </c>
      <c r="N1507" s="28" t="s">
        <v>147</v>
      </c>
      <c r="O1507" s="29" t="s">
        <v>138</v>
      </c>
      <c r="P1507" s="28" t="s">
        <v>812</v>
      </c>
      <c r="Q1507" s="28" t="s">
        <v>149</v>
      </c>
      <c r="R1507" s="28" t="s">
        <v>174</v>
      </c>
      <c r="S1507" s="28" t="s">
        <v>28928</v>
      </c>
      <c r="T1507" s="30">
        <v>12</v>
      </c>
      <c r="U1507" s="28" t="s">
        <v>28929</v>
      </c>
      <c r="V1507" s="28" t="s">
        <v>138</v>
      </c>
      <c r="W1507" s="28" t="s">
        <v>138</v>
      </c>
      <c r="X1507" s="31">
        <v>2015</v>
      </c>
      <c r="Y1507" s="28" t="s">
        <v>138</v>
      </c>
      <c r="Z1507" s="28" t="s">
        <v>138</v>
      </c>
      <c r="AA1507" s="28" t="s">
        <v>138</v>
      </c>
      <c r="AB1507" s="32" t="s">
        <v>138</v>
      </c>
      <c r="AC1507" s="32" t="s">
        <v>138</v>
      </c>
      <c r="AD1507" s="32" t="s">
        <v>138</v>
      </c>
      <c r="AE1507" s="32" t="s">
        <v>138</v>
      </c>
      <c r="AF1507" s="32" t="s">
        <v>138</v>
      </c>
      <c r="AG1507" s="28" t="s">
        <v>138</v>
      </c>
      <c r="AH1507" s="32" t="s">
        <v>138</v>
      </c>
      <c r="AI1507" s="32" t="s">
        <v>138</v>
      </c>
      <c r="AJ1507" s="32" t="s">
        <v>138</v>
      </c>
      <c r="AK1507" s="28" t="s">
        <v>28930</v>
      </c>
      <c r="AL1507" s="28" t="s">
        <v>28931</v>
      </c>
      <c r="AM1507" s="28" t="s">
        <v>28932</v>
      </c>
      <c r="AN1507" s="28" t="s">
        <v>28933</v>
      </c>
      <c r="AO1507" s="28" t="s">
        <v>138</v>
      </c>
      <c r="AP1507" s="28" t="s">
        <v>423</v>
      </c>
      <c r="AQ1507" s="28" t="s">
        <v>28934</v>
      </c>
      <c r="AR1507" s="28" t="s">
        <v>138</v>
      </c>
      <c r="AS1507" s="28" t="s">
        <v>426</v>
      </c>
      <c r="AT1507" s="28" t="s">
        <v>426</v>
      </c>
      <c r="AU1507" s="28" t="s">
        <v>549</v>
      </c>
      <c r="AV1507" s="28" t="s">
        <v>162</v>
      </c>
      <c r="AW1507" s="28" t="s">
        <v>138</v>
      </c>
      <c r="AX1507" s="28" t="s">
        <v>138</v>
      </c>
      <c r="AY1507" s="28" t="s">
        <v>28935</v>
      </c>
      <c r="AZ1507" s="28" t="s">
        <v>164</v>
      </c>
      <c r="BA1507" s="28" t="s">
        <v>165</v>
      </c>
      <c r="BB1507" s="28" t="s">
        <v>28936</v>
      </c>
      <c r="BC1507" s="28" t="s">
        <v>28937</v>
      </c>
      <c r="BD1507" s="33">
        <v>21</v>
      </c>
      <c r="BE1507" s="28" t="s">
        <v>138</v>
      </c>
      <c r="BF1507" s="28" t="s">
        <v>28938</v>
      </c>
      <c r="BG1507" s="28" t="s">
        <v>138</v>
      </c>
      <c r="BH1507" s="28" t="s">
        <v>28939</v>
      </c>
      <c r="BI1507" s="28" t="s">
        <v>138</v>
      </c>
      <c r="BJ1507" s="28" t="s">
        <v>138</v>
      </c>
      <c r="BK1507" s="28" t="s">
        <v>3825</v>
      </c>
      <c r="BL1507" s="28" t="s">
        <v>3825</v>
      </c>
      <c r="BM1507" s="34">
        <v>42430</v>
      </c>
      <c r="BN1507" s="29" t="s">
        <v>138</v>
      </c>
      <c r="BO1507" s="28" t="s">
        <v>138</v>
      </c>
      <c r="BP1507" s="29" t="s">
        <v>138</v>
      </c>
      <c r="BQ1507" s="28" t="s">
        <v>138</v>
      </c>
      <c r="BR1507" s="28" t="s">
        <v>205</v>
      </c>
      <c r="BS1507" s="28" t="s">
        <v>138</v>
      </c>
      <c r="BT1507" s="28" t="s">
        <v>138</v>
      </c>
      <c r="BU1507" s="28" t="s">
        <v>174</v>
      </c>
      <c r="BV1507" s="28" t="s">
        <v>138</v>
      </c>
      <c r="BW1507" s="28" t="s">
        <v>138</v>
      </c>
      <c r="BX1507" s="28" t="s">
        <v>138</v>
      </c>
      <c r="BY1507" s="28" t="s">
        <v>175</v>
      </c>
      <c r="BZ1507" s="34">
        <v>43111</v>
      </c>
      <c r="CA1507" s="29" t="s">
        <v>138</v>
      </c>
      <c r="CB1507" s="28" t="s">
        <v>138</v>
      </c>
      <c r="CC1507" s="29" t="s">
        <v>138</v>
      </c>
      <c r="CD1507" s="28" t="s">
        <v>138</v>
      </c>
      <c r="CE1507" s="28" t="s">
        <v>5547</v>
      </c>
      <c r="CF1507" s="28" t="s">
        <v>138</v>
      </c>
      <c r="CG1507" s="28" t="s">
        <v>138</v>
      </c>
      <c r="CH1507" s="28" t="s">
        <v>177</v>
      </c>
      <c r="CI1507" s="28" t="s">
        <v>138</v>
      </c>
      <c r="CJ1507" s="28" t="s">
        <v>138</v>
      </c>
      <c r="CK1507" s="28" t="s">
        <v>138</v>
      </c>
      <c r="CL1507" s="28" t="s">
        <v>175</v>
      </c>
      <c r="CM1507" s="34" t="s">
        <v>138</v>
      </c>
      <c r="CN1507" s="29" t="s">
        <v>138</v>
      </c>
      <c r="CO1507" s="35">
        <v>-1.51</v>
      </c>
      <c r="CP1507" s="36">
        <v>7</v>
      </c>
      <c r="CQ1507" s="35">
        <v>0</v>
      </c>
      <c r="CR1507" s="35">
        <v>-0.2</v>
      </c>
      <c r="CS1507" s="35">
        <v>-3.2</v>
      </c>
      <c r="CT1507" s="36">
        <v>5</v>
      </c>
      <c r="CU1507" s="35">
        <v>0.18</v>
      </c>
      <c r="CV1507" s="36">
        <v>78</v>
      </c>
      <c r="CW1507" s="35">
        <v>-6.4</v>
      </c>
      <c r="CX1507" s="36">
        <v>2</v>
      </c>
      <c r="CY1507" s="35">
        <v>0</v>
      </c>
      <c r="CZ1507" s="36">
        <v>25</v>
      </c>
      <c r="DA1507" s="35">
        <v>0.18</v>
      </c>
      <c r="DB1507" s="36">
        <v>81</v>
      </c>
      <c r="DC1507" s="37">
        <v>57.04</v>
      </c>
      <c r="DD1507" s="36">
        <v>98</v>
      </c>
      <c r="DE1507" s="37">
        <v>0.26</v>
      </c>
      <c r="DF1507" s="35">
        <v>0.46</v>
      </c>
      <c r="DG1507" s="37">
        <v>3.09</v>
      </c>
      <c r="DH1507" s="36">
        <v>75</v>
      </c>
      <c r="DI1507" s="37">
        <v>110.98</v>
      </c>
      <c r="DJ1507" s="36">
        <v>97</v>
      </c>
      <c r="DK1507" s="37">
        <v>3.67</v>
      </c>
      <c r="DL1507" s="36">
        <v>75</v>
      </c>
      <c r="DM1507" s="37">
        <v>2.52</v>
      </c>
      <c r="DN1507" s="36">
        <v>70</v>
      </c>
      <c r="DO1507" s="37">
        <v>110.98</v>
      </c>
      <c r="DP1507" s="36">
        <v>98</v>
      </c>
      <c r="DQ1507" s="36">
        <v>1349</v>
      </c>
      <c r="DR1507" s="38">
        <v>-270</v>
      </c>
      <c r="DS1507" s="35">
        <v>-16.68</v>
      </c>
      <c r="DT1507" s="36">
        <v>73</v>
      </c>
      <c r="DU1507" s="38">
        <v>0</v>
      </c>
      <c r="DV1507" s="35">
        <v>0</v>
      </c>
      <c r="DW1507" s="36">
        <v>39715</v>
      </c>
      <c r="DX1507" s="39">
        <v>78</v>
      </c>
      <c r="DY1507" s="35">
        <v>0.2</v>
      </c>
      <c r="DZ1507" s="28" t="s">
        <v>178</v>
      </c>
      <c r="EA1507" s="34">
        <v>43622</v>
      </c>
      <c r="EB1507" s="29" t="s">
        <v>138</v>
      </c>
      <c r="EC1507" s="34" t="s">
        <v>138</v>
      </c>
      <c r="ED1507" s="28" t="s">
        <v>138</v>
      </c>
      <c r="EE1507" s="40" t="str">
        <f>HYPERLINK("https://my.pitchbook.com?c=56560-42", "View company online")</f>
        <v>View company online</v>
      </c>
    </row>
    <row r="1508" spans="1:135">
      <c r="A1508" s="15" t="s">
        <v>28940</v>
      </c>
      <c r="B1508" s="15" t="s">
        <v>28941</v>
      </c>
      <c r="C1508" s="15" t="s">
        <v>138</v>
      </c>
      <c r="D1508" s="15" t="s">
        <v>138</v>
      </c>
      <c r="E1508" s="15" t="s">
        <v>28942</v>
      </c>
      <c r="F1508" s="15" t="s">
        <v>28940</v>
      </c>
      <c r="G1508" s="15" t="s">
        <v>28943</v>
      </c>
      <c r="H1508" s="15" t="s">
        <v>322</v>
      </c>
      <c r="I1508" s="15" t="s">
        <v>323</v>
      </c>
      <c r="J1508" s="15" t="s">
        <v>1132</v>
      </c>
      <c r="K1508" s="15" t="s">
        <v>3918</v>
      </c>
      <c r="L1508" s="15" t="s">
        <v>9641</v>
      </c>
      <c r="M1508" s="15" t="s">
        <v>28944</v>
      </c>
      <c r="N1508" s="15" t="s">
        <v>147</v>
      </c>
      <c r="O1508" s="17">
        <v>107.2</v>
      </c>
      <c r="P1508" s="15" t="s">
        <v>148</v>
      </c>
      <c r="Q1508" s="15" t="s">
        <v>149</v>
      </c>
      <c r="R1508" s="15" t="s">
        <v>174</v>
      </c>
      <c r="S1508" s="15" t="s">
        <v>28945</v>
      </c>
      <c r="T1508" s="18">
        <v>170</v>
      </c>
      <c r="U1508" s="15" t="s">
        <v>28946</v>
      </c>
      <c r="V1508" s="15" t="s">
        <v>138</v>
      </c>
      <c r="W1508" s="15" t="s">
        <v>138</v>
      </c>
      <c r="X1508" s="19">
        <v>2014</v>
      </c>
      <c r="Y1508" s="15" t="s">
        <v>138</v>
      </c>
      <c r="Z1508" s="15" t="s">
        <v>138</v>
      </c>
      <c r="AA1508" s="15" t="s">
        <v>138</v>
      </c>
      <c r="AB1508" s="20" t="s">
        <v>138</v>
      </c>
      <c r="AC1508" s="20" t="s">
        <v>138</v>
      </c>
      <c r="AD1508" s="20" t="s">
        <v>138</v>
      </c>
      <c r="AE1508" s="20" t="s">
        <v>138</v>
      </c>
      <c r="AF1508" s="20" t="s">
        <v>138</v>
      </c>
      <c r="AG1508" s="15" t="s">
        <v>138</v>
      </c>
      <c r="AH1508" s="20" t="s">
        <v>138</v>
      </c>
      <c r="AI1508" s="20" t="s">
        <v>138</v>
      </c>
      <c r="AJ1508" s="20" t="s">
        <v>138</v>
      </c>
      <c r="AK1508" s="15" t="s">
        <v>28947</v>
      </c>
      <c r="AL1508" s="15" t="s">
        <v>28948</v>
      </c>
      <c r="AM1508" s="15" t="s">
        <v>4399</v>
      </c>
      <c r="AN1508" s="15" t="s">
        <v>28949</v>
      </c>
      <c r="AO1508" s="15" t="s">
        <v>138</v>
      </c>
      <c r="AP1508" s="15" t="s">
        <v>423</v>
      </c>
      <c r="AQ1508" s="15" t="s">
        <v>18819</v>
      </c>
      <c r="AR1508" s="15" t="s">
        <v>28950</v>
      </c>
      <c r="AS1508" s="15" t="s">
        <v>426</v>
      </c>
      <c r="AT1508" s="15" t="s">
        <v>426</v>
      </c>
      <c r="AU1508" s="15" t="s">
        <v>1804</v>
      </c>
      <c r="AV1508" s="15" t="s">
        <v>162</v>
      </c>
      <c r="AW1508" s="15" t="s">
        <v>138</v>
      </c>
      <c r="AX1508" s="15" t="s">
        <v>138</v>
      </c>
      <c r="AY1508" s="15" t="s">
        <v>138</v>
      </c>
      <c r="AZ1508" s="15" t="s">
        <v>164</v>
      </c>
      <c r="BA1508" s="15" t="s">
        <v>165</v>
      </c>
      <c r="BB1508" s="15" t="s">
        <v>28951</v>
      </c>
      <c r="BC1508" s="15" t="s">
        <v>28952</v>
      </c>
      <c r="BD1508" s="21">
        <v>23</v>
      </c>
      <c r="BE1508" s="15" t="s">
        <v>138</v>
      </c>
      <c r="BF1508" s="15" t="s">
        <v>138</v>
      </c>
      <c r="BG1508" s="15" t="s">
        <v>138</v>
      </c>
      <c r="BH1508" s="15" t="s">
        <v>28953</v>
      </c>
      <c r="BI1508" s="15" t="s">
        <v>138</v>
      </c>
      <c r="BJ1508" s="15" t="s">
        <v>138</v>
      </c>
      <c r="BK1508" s="15" t="s">
        <v>28954</v>
      </c>
      <c r="BL1508" s="15" t="s">
        <v>28955</v>
      </c>
      <c r="BM1508" s="22">
        <v>42180</v>
      </c>
      <c r="BN1508" s="17" t="s">
        <v>138</v>
      </c>
      <c r="BO1508" s="15" t="s">
        <v>138</v>
      </c>
      <c r="BP1508" s="17" t="s">
        <v>138</v>
      </c>
      <c r="BQ1508" s="15" t="s">
        <v>138</v>
      </c>
      <c r="BR1508" s="15" t="s">
        <v>316</v>
      </c>
      <c r="BS1508" s="15" t="s">
        <v>138</v>
      </c>
      <c r="BT1508" s="15" t="s">
        <v>138</v>
      </c>
      <c r="BU1508" s="15" t="s">
        <v>177</v>
      </c>
      <c r="BV1508" s="15" t="s">
        <v>138</v>
      </c>
      <c r="BW1508" s="15" t="s">
        <v>138</v>
      </c>
      <c r="BX1508" s="15" t="s">
        <v>138</v>
      </c>
      <c r="BY1508" s="15" t="s">
        <v>175</v>
      </c>
      <c r="BZ1508" s="22">
        <v>43024</v>
      </c>
      <c r="CA1508" s="17">
        <v>40</v>
      </c>
      <c r="CB1508" s="15" t="s">
        <v>172</v>
      </c>
      <c r="CC1508" s="17" t="s">
        <v>138</v>
      </c>
      <c r="CD1508" s="15" t="s">
        <v>138</v>
      </c>
      <c r="CE1508" s="15" t="s">
        <v>205</v>
      </c>
      <c r="CF1508" s="15" t="s">
        <v>720</v>
      </c>
      <c r="CG1508" s="15" t="s">
        <v>138</v>
      </c>
      <c r="CH1508" s="15" t="s">
        <v>174</v>
      </c>
      <c r="CI1508" s="15" t="s">
        <v>138</v>
      </c>
      <c r="CJ1508" s="15" t="s">
        <v>138</v>
      </c>
      <c r="CK1508" s="15" t="s">
        <v>138</v>
      </c>
      <c r="CL1508" s="15" t="s">
        <v>175</v>
      </c>
      <c r="CM1508" s="22" t="s">
        <v>138</v>
      </c>
      <c r="CN1508" s="17" t="s">
        <v>138</v>
      </c>
      <c r="CO1508" s="23">
        <v>0.79</v>
      </c>
      <c r="CP1508" s="24">
        <v>96</v>
      </c>
      <c r="CQ1508" s="23">
        <v>-0.01</v>
      </c>
      <c r="CR1508" s="23">
        <v>-1.74</v>
      </c>
      <c r="CS1508" s="23">
        <v>1.17</v>
      </c>
      <c r="CT1508" s="24">
        <v>97</v>
      </c>
      <c r="CU1508" s="23">
        <v>0.41</v>
      </c>
      <c r="CV1508" s="24">
        <v>91</v>
      </c>
      <c r="CW1508" s="23">
        <v>2.25</v>
      </c>
      <c r="CX1508" s="24">
        <v>89</v>
      </c>
      <c r="CY1508" s="23">
        <v>0.09</v>
      </c>
      <c r="CZ1508" s="24">
        <v>98</v>
      </c>
      <c r="DA1508" s="23">
        <v>0.41</v>
      </c>
      <c r="DB1508" s="24">
        <v>92</v>
      </c>
      <c r="DC1508" s="25">
        <v>19.73</v>
      </c>
      <c r="DD1508" s="24">
        <v>95</v>
      </c>
      <c r="DE1508" s="25">
        <v>-0.11</v>
      </c>
      <c r="DF1508" s="23">
        <v>-0.53</v>
      </c>
      <c r="DG1508" s="25">
        <v>19.100000000000001</v>
      </c>
      <c r="DH1508" s="24">
        <v>94</v>
      </c>
      <c r="DI1508" s="25">
        <v>20.37</v>
      </c>
      <c r="DJ1508" s="24">
        <v>91</v>
      </c>
      <c r="DK1508" s="25">
        <v>8.09</v>
      </c>
      <c r="DL1508" s="24">
        <v>85</v>
      </c>
      <c r="DM1508" s="25">
        <v>30.1</v>
      </c>
      <c r="DN1508" s="24">
        <v>96</v>
      </c>
      <c r="DO1508" s="25">
        <v>20.37</v>
      </c>
      <c r="DP1508" s="24">
        <v>93</v>
      </c>
      <c r="DQ1508" s="24">
        <v>2719</v>
      </c>
      <c r="DR1508" s="26">
        <v>167</v>
      </c>
      <c r="DS1508" s="23">
        <v>6.54</v>
      </c>
      <c r="DT1508" s="24">
        <v>872</v>
      </c>
      <c r="DU1508" s="26">
        <v>4</v>
      </c>
      <c r="DV1508" s="23">
        <v>0.46</v>
      </c>
      <c r="DW1508" s="24">
        <v>7264</v>
      </c>
      <c r="DX1508" s="27">
        <v>49</v>
      </c>
      <c r="DY1508" s="23">
        <v>0.68</v>
      </c>
      <c r="DZ1508" s="15" t="s">
        <v>178</v>
      </c>
      <c r="EA1508" s="22">
        <v>43622</v>
      </c>
      <c r="EB1508" s="17">
        <v>205.71</v>
      </c>
      <c r="EC1508" s="22">
        <v>42543</v>
      </c>
      <c r="ED1508" s="15" t="s">
        <v>780</v>
      </c>
      <c r="EE1508" s="14" t="str">
        <f>HYPERLINK("https://my.pitchbook.com?c=118818-37", "View company online")</f>
        <v>View company online</v>
      </c>
    </row>
    <row r="1509" spans="1:135">
      <c r="A1509" s="28" t="s">
        <v>28956</v>
      </c>
      <c r="B1509" s="28" t="s">
        <v>28957</v>
      </c>
      <c r="C1509" s="28" t="s">
        <v>138</v>
      </c>
      <c r="D1509" s="28" t="s">
        <v>138</v>
      </c>
      <c r="E1509" s="28" t="s">
        <v>28958</v>
      </c>
      <c r="F1509" s="28" t="s">
        <v>28956</v>
      </c>
      <c r="G1509" s="28" t="s">
        <v>28959</v>
      </c>
      <c r="H1509" s="28" t="s">
        <v>322</v>
      </c>
      <c r="I1509" s="28" t="s">
        <v>1503</v>
      </c>
      <c r="J1509" s="28" t="s">
        <v>2377</v>
      </c>
      <c r="K1509" s="28" t="s">
        <v>28960</v>
      </c>
      <c r="L1509" s="28" t="s">
        <v>19165</v>
      </c>
      <c r="M1509" s="28" t="s">
        <v>28961</v>
      </c>
      <c r="N1509" s="28" t="s">
        <v>147</v>
      </c>
      <c r="O1509" s="29">
        <v>17.899999999999999</v>
      </c>
      <c r="P1509" s="28" t="s">
        <v>148</v>
      </c>
      <c r="Q1509" s="28" t="s">
        <v>149</v>
      </c>
      <c r="R1509" s="28" t="s">
        <v>174</v>
      </c>
      <c r="S1509" s="28" t="s">
        <v>28962</v>
      </c>
      <c r="T1509" s="30">
        <v>24</v>
      </c>
      <c r="U1509" s="28" t="s">
        <v>28963</v>
      </c>
      <c r="V1509" s="28" t="s">
        <v>138</v>
      </c>
      <c r="W1509" s="28" t="s">
        <v>138</v>
      </c>
      <c r="X1509" s="31">
        <v>2017</v>
      </c>
      <c r="Y1509" s="28" t="s">
        <v>138</v>
      </c>
      <c r="Z1509" s="28" t="s">
        <v>138</v>
      </c>
      <c r="AA1509" s="28" t="s">
        <v>138</v>
      </c>
      <c r="AB1509" s="32" t="s">
        <v>138</v>
      </c>
      <c r="AC1509" s="32" t="s">
        <v>138</v>
      </c>
      <c r="AD1509" s="32" t="s">
        <v>138</v>
      </c>
      <c r="AE1509" s="32" t="s">
        <v>138</v>
      </c>
      <c r="AF1509" s="32" t="s">
        <v>138</v>
      </c>
      <c r="AG1509" s="28" t="s">
        <v>138</v>
      </c>
      <c r="AH1509" s="32" t="s">
        <v>138</v>
      </c>
      <c r="AI1509" s="32" t="s">
        <v>138</v>
      </c>
      <c r="AJ1509" s="32" t="s">
        <v>138</v>
      </c>
      <c r="AK1509" s="28" t="s">
        <v>28964</v>
      </c>
      <c r="AL1509" s="28" t="s">
        <v>28965</v>
      </c>
      <c r="AM1509" s="28" t="s">
        <v>566</v>
      </c>
      <c r="AN1509" s="28" t="s">
        <v>28966</v>
      </c>
      <c r="AO1509" s="28" t="s">
        <v>28967</v>
      </c>
      <c r="AP1509" s="28" t="s">
        <v>3772</v>
      </c>
      <c r="AQ1509" s="28" t="s">
        <v>28968</v>
      </c>
      <c r="AR1509" s="28" t="s">
        <v>138</v>
      </c>
      <c r="AS1509" s="28" t="s">
        <v>3774</v>
      </c>
      <c r="AT1509" s="28" t="s">
        <v>864</v>
      </c>
      <c r="AU1509" s="28" t="s">
        <v>3775</v>
      </c>
      <c r="AV1509" s="28" t="s">
        <v>162</v>
      </c>
      <c r="AW1509" s="28" t="s">
        <v>28967</v>
      </c>
      <c r="AX1509" s="28" t="s">
        <v>138</v>
      </c>
      <c r="AY1509" s="28" t="s">
        <v>28969</v>
      </c>
      <c r="AZ1509" s="28" t="s">
        <v>164</v>
      </c>
      <c r="BA1509" s="28" t="s">
        <v>165</v>
      </c>
      <c r="BB1509" s="28" t="s">
        <v>28970</v>
      </c>
      <c r="BC1509" s="28" t="s">
        <v>28971</v>
      </c>
      <c r="BD1509" s="33">
        <v>5</v>
      </c>
      <c r="BE1509" s="28" t="s">
        <v>138</v>
      </c>
      <c r="BF1509" s="28" t="s">
        <v>138</v>
      </c>
      <c r="BG1509" s="28" t="s">
        <v>138</v>
      </c>
      <c r="BH1509" s="28" t="s">
        <v>28972</v>
      </c>
      <c r="BI1509" s="28" t="s">
        <v>138</v>
      </c>
      <c r="BJ1509" s="28" t="s">
        <v>138</v>
      </c>
      <c r="BK1509" s="28" t="s">
        <v>28973</v>
      </c>
      <c r="BL1509" s="28" t="s">
        <v>138</v>
      </c>
      <c r="BM1509" s="34">
        <v>42795</v>
      </c>
      <c r="BN1509" s="29">
        <v>5</v>
      </c>
      <c r="BO1509" s="28" t="s">
        <v>172</v>
      </c>
      <c r="BP1509" s="29">
        <v>10</v>
      </c>
      <c r="BQ1509" s="28" t="s">
        <v>172</v>
      </c>
      <c r="BR1509" s="28" t="s">
        <v>205</v>
      </c>
      <c r="BS1509" s="28" t="s">
        <v>206</v>
      </c>
      <c r="BT1509" s="28" t="s">
        <v>138</v>
      </c>
      <c r="BU1509" s="28" t="s">
        <v>174</v>
      </c>
      <c r="BV1509" s="28" t="s">
        <v>138</v>
      </c>
      <c r="BW1509" s="28" t="s">
        <v>138</v>
      </c>
      <c r="BX1509" s="28" t="s">
        <v>138</v>
      </c>
      <c r="BY1509" s="28" t="s">
        <v>175</v>
      </c>
      <c r="BZ1509" s="34">
        <v>43319</v>
      </c>
      <c r="CA1509" s="29">
        <v>12.9</v>
      </c>
      <c r="CB1509" s="28" t="s">
        <v>172</v>
      </c>
      <c r="CC1509" s="29">
        <v>34.9</v>
      </c>
      <c r="CD1509" s="28" t="s">
        <v>172</v>
      </c>
      <c r="CE1509" s="28" t="s">
        <v>205</v>
      </c>
      <c r="CF1509" s="28" t="s">
        <v>720</v>
      </c>
      <c r="CG1509" s="28" t="s">
        <v>138</v>
      </c>
      <c r="CH1509" s="28" t="s">
        <v>174</v>
      </c>
      <c r="CI1509" s="28" t="s">
        <v>138</v>
      </c>
      <c r="CJ1509" s="28" t="s">
        <v>138</v>
      </c>
      <c r="CK1509" s="28" t="s">
        <v>138</v>
      </c>
      <c r="CL1509" s="28" t="s">
        <v>175</v>
      </c>
      <c r="CM1509" s="34" t="s">
        <v>138</v>
      </c>
      <c r="CN1509" s="29" t="s">
        <v>138</v>
      </c>
      <c r="CO1509" s="35">
        <v>2.74</v>
      </c>
      <c r="CP1509" s="36">
        <v>99</v>
      </c>
      <c r="CQ1509" s="35">
        <v>-1.08</v>
      </c>
      <c r="CR1509" s="35">
        <v>-28.22</v>
      </c>
      <c r="CS1509" s="35">
        <v>3.58</v>
      </c>
      <c r="CT1509" s="36">
        <v>99</v>
      </c>
      <c r="CU1509" s="35">
        <v>4.09</v>
      </c>
      <c r="CV1509" s="36">
        <v>100</v>
      </c>
      <c r="CW1509" s="35" t="s">
        <v>138</v>
      </c>
      <c r="CX1509" s="36" t="s">
        <v>138</v>
      </c>
      <c r="CY1509" s="35">
        <v>3.58</v>
      </c>
      <c r="CZ1509" s="36">
        <v>100</v>
      </c>
      <c r="DA1509" s="35">
        <v>4.09</v>
      </c>
      <c r="DB1509" s="36">
        <v>100</v>
      </c>
      <c r="DC1509" s="37">
        <v>2.42</v>
      </c>
      <c r="DD1509" s="36">
        <v>71</v>
      </c>
      <c r="DE1509" s="37">
        <v>0.05</v>
      </c>
      <c r="DF1509" s="35">
        <v>2.2999999999999998</v>
      </c>
      <c r="DG1509" s="37">
        <v>5.72</v>
      </c>
      <c r="DH1509" s="36">
        <v>84</v>
      </c>
      <c r="DI1509" s="37">
        <v>1.48</v>
      </c>
      <c r="DJ1509" s="36">
        <v>57</v>
      </c>
      <c r="DK1509" s="37" t="s">
        <v>138</v>
      </c>
      <c r="DL1509" s="36" t="s">
        <v>138</v>
      </c>
      <c r="DM1509" s="37">
        <v>5.72</v>
      </c>
      <c r="DN1509" s="36">
        <v>83</v>
      </c>
      <c r="DO1509" s="37">
        <v>1.48</v>
      </c>
      <c r="DP1509" s="36">
        <v>58</v>
      </c>
      <c r="DQ1509" s="36" t="s">
        <v>138</v>
      </c>
      <c r="DR1509" s="38" t="s">
        <v>138</v>
      </c>
      <c r="DS1509" s="35" t="s">
        <v>138</v>
      </c>
      <c r="DT1509" s="36">
        <v>164</v>
      </c>
      <c r="DU1509" s="38">
        <v>5</v>
      </c>
      <c r="DV1509" s="35">
        <v>3.14</v>
      </c>
      <c r="DW1509" s="36">
        <v>526</v>
      </c>
      <c r="DX1509" s="39">
        <v>4</v>
      </c>
      <c r="DY1509" s="35">
        <v>0.77</v>
      </c>
      <c r="DZ1509" s="28" t="s">
        <v>178</v>
      </c>
      <c r="EA1509" s="34">
        <v>43545</v>
      </c>
      <c r="EB1509" s="29">
        <v>34.9</v>
      </c>
      <c r="EC1509" s="34">
        <v>43319</v>
      </c>
      <c r="ED1509" s="28" t="s">
        <v>205</v>
      </c>
      <c r="EE1509" s="40" t="str">
        <f>HYPERLINK("https://my.pitchbook.com?c=175779-64", "View company online")</f>
        <v>View company online</v>
      </c>
    </row>
    <row r="1510" spans="1:135">
      <c r="A1510" s="15" t="s">
        <v>28974</v>
      </c>
      <c r="B1510" s="15" t="s">
        <v>28975</v>
      </c>
      <c r="C1510" s="15" t="s">
        <v>28976</v>
      </c>
      <c r="D1510" s="15" t="s">
        <v>138</v>
      </c>
      <c r="E1510" s="15" t="s">
        <v>28977</v>
      </c>
      <c r="F1510" s="15" t="s">
        <v>28974</v>
      </c>
      <c r="G1510" s="15" t="s">
        <v>28978</v>
      </c>
      <c r="H1510" s="15" t="s">
        <v>141</v>
      </c>
      <c r="I1510" s="15" t="s">
        <v>142</v>
      </c>
      <c r="J1510" s="15" t="s">
        <v>4042</v>
      </c>
      <c r="K1510" s="15" t="s">
        <v>4043</v>
      </c>
      <c r="L1510" s="15" t="s">
        <v>28979</v>
      </c>
      <c r="M1510" s="15" t="s">
        <v>28980</v>
      </c>
      <c r="N1510" s="15" t="s">
        <v>147</v>
      </c>
      <c r="O1510" s="17">
        <v>80.650000000000006</v>
      </c>
      <c r="P1510" s="15" t="s">
        <v>148</v>
      </c>
      <c r="Q1510" s="15" t="s">
        <v>149</v>
      </c>
      <c r="R1510" s="15" t="s">
        <v>244</v>
      </c>
      <c r="S1510" s="15" t="s">
        <v>28981</v>
      </c>
      <c r="T1510" s="18">
        <v>42</v>
      </c>
      <c r="U1510" s="15" t="s">
        <v>28982</v>
      </c>
      <c r="V1510" s="15" t="s">
        <v>138</v>
      </c>
      <c r="W1510" s="15" t="s">
        <v>138</v>
      </c>
      <c r="X1510" s="19">
        <v>2003</v>
      </c>
      <c r="Y1510" s="15" t="s">
        <v>138</v>
      </c>
      <c r="Z1510" s="15" t="s">
        <v>138</v>
      </c>
      <c r="AA1510" s="15" t="s">
        <v>138</v>
      </c>
      <c r="AB1510" s="20" t="s">
        <v>138</v>
      </c>
      <c r="AC1510" s="20" t="s">
        <v>138</v>
      </c>
      <c r="AD1510" s="20" t="s">
        <v>138</v>
      </c>
      <c r="AE1510" s="20" t="s">
        <v>138</v>
      </c>
      <c r="AF1510" s="20" t="s">
        <v>138</v>
      </c>
      <c r="AG1510" s="15" t="s">
        <v>138</v>
      </c>
      <c r="AH1510" s="20" t="s">
        <v>138</v>
      </c>
      <c r="AI1510" s="20" t="s">
        <v>138</v>
      </c>
      <c r="AJ1510" s="20" t="s">
        <v>138</v>
      </c>
      <c r="AK1510" s="15" t="s">
        <v>28983</v>
      </c>
      <c r="AL1510" s="15" t="s">
        <v>28984</v>
      </c>
      <c r="AM1510" s="15" t="s">
        <v>28985</v>
      </c>
      <c r="AN1510" s="15" t="s">
        <v>28986</v>
      </c>
      <c r="AO1510" s="15" t="s">
        <v>138</v>
      </c>
      <c r="AP1510" s="15" t="s">
        <v>1244</v>
      </c>
      <c r="AQ1510" s="15" t="s">
        <v>28987</v>
      </c>
      <c r="AR1510" s="15" t="s">
        <v>138</v>
      </c>
      <c r="AS1510" s="15" t="s">
        <v>1246</v>
      </c>
      <c r="AT1510" s="15" t="s">
        <v>200</v>
      </c>
      <c r="AU1510" s="15" t="s">
        <v>2437</v>
      </c>
      <c r="AV1510" s="15" t="s">
        <v>162</v>
      </c>
      <c r="AW1510" s="15" t="s">
        <v>138</v>
      </c>
      <c r="AX1510" s="15" t="s">
        <v>138</v>
      </c>
      <c r="AY1510" s="15" t="s">
        <v>28988</v>
      </c>
      <c r="AZ1510" s="15" t="s">
        <v>164</v>
      </c>
      <c r="BA1510" s="15" t="s">
        <v>165</v>
      </c>
      <c r="BB1510" s="15" t="s">
        <v>28989</v>
      </c>
      <c r="BC1510" s="15" t="s">
        <v>28990</v>
      </c>
      <c r="BD1510" s="21">
        <v>22</v>
      </c>
      <c r="BE1510" s="15" t="s">
        <v>138</v>
      </c>
      <c r="BF1510" s="15" t="s">
        <v>138</v>
      </c>
      <c r="BG1510" s="15" t="s">
        <v>138</v>
      </c>
      <c r="BH1510" s="15" t="s">
        <v>28991</v>
      </c>
      <c r="BI1510" s="15" t="s">
        <v>138</v>
      </c>
      <c r="BJ1510" s="15" t="s">
        <v>138</v>
      </c>
      <c r="BK1510" s="15" t="s">
        <v>28992</v>
      </c>
      <c r="BL1510" s="15" t="s">
        <v>28993</v>
      </c>
      <c r="BM1510" s="22">
        <v>38334</v>
      </c>
      <c r="BN1510" s="17">
        <v>1.05</v>
      </c>
      <c r="BO1510" s="15" t="s">
        <v>172</v>
      </c>
      <c r="BP1510" s="17" t="s">
        <v>138</v>
      </c>
      <c r="BQ1510" s="15" t="s">
        <v>138</v>
      </c>
      <c r="BR1510" s="15" t="s">
        <v>265</v>
      </c>
      <c r="BS1510" s="15" t="s">
        <v>138</v>
      </c>
      <c r="BT1510" s="15" t="s">
        <v>138</v>
      </c>
      <c r="BU1510" s="15" t="s">
        <v>1327</v>
      </c>
      <c r="BV1510" s="15" t="s">
        <v>264</v>
      </c>
      <c r="BW1510" s="15" t="s">
        <v>138</v>
      </c>
      <c r="BX1510" s="15" t="s">
        <v>138</v>
      </c>
      <c r="BY1510" s="15" t="s">
        <v>175</v>
      </c>
      <c r="BZ1510" s="22">
        <v>43599</v>
      </c>
      <c r="CA1510" s="17">
        <v>50</v>
      </c>
      <c r="CB1510" s="15" t="s">
        <v>172</v>
      </c>
      <c r="CC1510" s="17" t="s">
        <v>138</v>
      </c>
      <c r="CD1510" s="15" t="s">
        <v>138</v>
      </c>
      <c r="CE1510" s="15" t="s">
        <v>173</v>
      </c>
      <c r="CF1510" s="15" t="s">
        <v>317</v>
      </c>
      <c r="CG1510" s="15" t="s">
        <v>138</v>
      </c>
      <c r="CH1510" s="15" t="s">
        <v>174</v>
      </c>
      <c r="CI1510" s="15" t="s">
        <v>138</v>
      </c>
      <c r="CJ1510" s="15" t="s">
        <v>138</v>
      </c>
      <c r="CK1510" s="15" t="s">
        <v>138</v>
      </c>
      <c r="CL1510" s="15" t="s">
        <v>175</v>
      </c>
      <c r="CM1510" s="22">
        <v>42169</v>
      </c>
      <c r="CN1510" s="17" t="s">
        <v>138</v>
      </c>
      <c r="CO1510" s="23">
        <v>0.34</v>
      </c>
      <c r="CP1510" s="24">
        <v>94</v>
      </c>
      <c r="CQ1510" s="23">
        <v>-0.04</v>
      </c>
      <c r="CR1510" s="23">
        <v>-9.92</v>
      </c>
      <c r="CS1510" s="23">
        <v>0</v>
      </c>
      <c r="CT1510" s="24">
        <v>23</v>
      </c>
      <c r="CU1510" s="23">
        <v>0.69</v>
      </c>
      <c r="CV1510" s="24">
        <v>96</v>
      </c>
      <c r="CW1510" s="23">
        <v>0</v>
      </c>
      <c r="CX1510" s="24">
        <v>13</v>
      </c>
      <c r="CY1510" s="23" t="s">
        <v>138</v>
      </c>
      <c r="CZ1510" s="24" t="s">
        <v>138</v>
      </c>
      <c r="DA1510" s="23">
        <v>0.68</v>
      </c>
      <c r="DB1510" s="24">
        <v>96</v>
      </c>
      <c r="DC1510" s="25">
        <v>1.4</v>
      </c>
      <c r="DD1510" s="24">
        <v>59</v>
      </c>
      <c r="DE1510" s="25">
        <v>-0.14000000000000001</v>
      </c>
      <c r="DF1510" s="23">
        <v>-9.0500000000000007</v>
      </c>
      <c r="DG1510" s="25">
        <v>2.21</v>
      </c>
      <c r="DH1510" s="24">
        <v>69</v>
      </c>
      <c r="DI1510" s="25">
        <v>0.6</v>
      </c>
      <c r="DJ1510" s="24">
        <v>40</v>
      </c>
      <c r="DK1510" s="25">
        <v>2.21</v>
      </c>
      <c r="DL1510" s="24">
        <v>66</v>
      </c>
      <c r="DM1510" s="25" t="s">
        <v>138</v>
      </c>
      <c r="DN1510" s="24" t="s">
        <v>138</v>
      </c>
      <c r="DO1510" s="25">
        <v>1.01</v>
      </c>
      <c r="DP1510" s="24">
        <v>51</v>
      </c>
      <c r="DQ1510" s="24">
        <v>736</v>
      </c>
      <c r="DR1510" s="26">
        <v>62</v>
      </c>
      <c r="DS1510" s="23">
        <v>9.1999999999999993</v>
      </c>
      <c r="DT1510" s="24" t="s">
        <v>138</v>
      </c>
      <c r="DU1510" s="26" t="s">
        <v>138</v>
      </c>
      <c r="DV1510" s="23" t="s">
        <v>138</v>
      </c>
      <c r="DW1510" s="24">
        <v>360</v>
      </c>
      <c r="DX1510" s="27">
        <v>1</v>
      </c>
      <c r="DY1510" s="23">
        <v>0.28000000000000003</v>
      </c>
      <c r="DZ1510" s="15" t="s">
        <v>178</v>
      </c>
      <c r="EA1510" s="22">
        <v>43600</v>
      </c>
      <c r="EB1510" s="17" t="s">
        <v>138</v>
      </c>
      <c r="EC1510" s="22" t="s">
        <v>138</v>
      </c>
      <c r="ED1510" s="15" t="s">
        <v>138</v>
      </c>
      <c r="EE1510" s="14" t="str">
        <f>HYPERLINK("https://my.pitchbook.com?c=55605-88", "View company online")</f>
        <v>View company online</v>
      </c>
    </row>
    <row r="1511" spans="1:135">
      <c r="A1511" s="28" t="s">
        <v>28994</v>
      </c>
      <c r="B1511" s="28" t="s">
        <v>28995</v>
      </c>
      <c r="C1511" s="28" t="s">
        <v>138</v>
      </c>
      <c r="D1511" s="28" t="s">
        <v>138</v>
      </c>
      <c r="E1511" s="28" t="s">
        <v>138</v>
      </c>
      <c r="F1511" s="28" t="s">
        <v>28994</v>
      </c>
      <c r="G1511" s="28" t="s">
        <v>28996</v>
      </c>
      <c r="H1511" s="28" t="s">
        <v>238</v>
      </c>
      <c r="I1511" s="28" t="s">
        <v>997</v>
      </c>
      <c r="J1511" s="28" t="s">
        <v>2683</v>
      </c>
      <c r="K1511" s="28" t="s">
        <v>28997</v>
      </c>
      <c r="L1511" s="28" t="s">
        <v>16646</v>
      </c>
      <c r="M1511" s="28" t="s">
        <v>28998</v>
      </c>
      <c r="N1511" s="28" t="s">
        <v>147</v>
      </c>
      <c r="O1511" s="29">
        <v>1.25</v>
      </c>
      <c r="P1511" s="28" t="s">
        <v>610</v>
      </c>
      <c r="Q1511" s="28" t="s">
        <v>149</v>
      </c>
      <c r="R1511" s="28" t="s">
        <v>174</v>
      </c>
      <c r="S1511" s="28" t="s">
        <v>28999</v>
      </c>
      <c r="T1511" s="30">
        <v>3</v>
      </c>
      <c r="U1511" s="28" t="s">
        <v>1334</v>
      </c>
      <c r="V1511" s="28" t="s">
        <v>138</v>
      </c>
      <c r="W1511" s="28" t="s">
        <v>138</v>
      </c>
      <c r="X1511" s="31">
        <v>2015</v>
      </c>
      <c r="Y1511" s="28" t="s">
        <v>138</v>
      </c>
      <c r="Z1511" s="28" t="s">
        <v>138</v>
      </c>
      <c r="AA1511" s="28" t="s">
        <v>138</v>
      </c>
      <c r="AB1511" s="32" t="s">
        <v>138</v>
      </c>
      <c r="AC1511" s="32" t="s">
        <v>138</v>
      </c>
      <c r="AD1511" s="32" t="s">
        <v>138</v>
      </c>
      <c r="AE1511" s="32" t="s">
        <v>138</v>
      </c>
      <c r="AF1511" s="32" t="s">
        <v>138</v>
      </c>
      <c r="AG1511" s="28" t="s">
        <v>138</v>
      </c>
      <c r="AH1511" s="32" t="s">
        <v>138</v>
      </c>
      <c r="AI1511" s="32" t="s">
        <v>138</v>
      </c>
      <c r="AJ1511" s="32" t="s">
        <v>138</v>
      </c>
      <c r="AK1511" s="28" t="s">
        <v>29000</v>
      </c>
      <c r="AL1511" s="28" t="s">
        <v>29001</v>
      </c>
      <c r="AM1511" s="28" t="s">
        <v>986</v>
      </c>
      <c r="AN1511" s="28" t="s">
        <v>29002</v>
      </c>
      <c r="AO1511" s="28" t="s">
        <v>29003</v>
      </c>
      <c r="AP1511" s="28" t="s">
        <v>423</v>
      </c>
      <c r="AQ1511" s="28" t="s">
        <v>7418</v>
      </c>
      <c r="AR1511" s="28" t="s">
        <v>138</v>
      </c>
      <c r="AS1511" s="28" t="s">
        <v>426</v>
      </c>
      <c r="AT1511" s="28" t="s">
        <v>426</v>
      </c>
      <c r="AU1511" s="28" t="s">
        <v>138</v>
      </c>
      <c r="AV1511" s="28" t="s">
        <v>162</v>
      </c>
      <c r="AW1511" s="28" t="s">
        <v>29003</v>
      </c>
      <c r="AX1511" s="28" t="s">
        <v>138</v>
      </c>
      <c r="AY1511" s="28" t="s">
        <v>29004</v>
      </c>
      <c r="AZ1511" s="28" t="s">
        <v>164</v>
      </c>
      <c r="BA1511" s="28" t="s">
        <v>165</v>
      </c>
      <c r="BB1511" s="28" t="s">
        <v>29005</v>
      </c>
      <c r="BC1511" s="28" t="s">
        <v>29006</v>
      </c>
      <c r="BD1511" s="33">
        <v>6</v>
      </c>
      <c r="BE1511" s="28" t="s">
        <v>138</v>
      </c>
      <c r="BF1511" s="28" t="s">
        <v>138</v>
      </c>
      <c r="BG1511" s="28" t="s">
        <v>138</v>
      </c>
      <c r="BH1511" s="28" t="s">
        <v>29007</v>
      </c>
      <c r="BI1511" s="28" t="s">
        <v>138</v>
      </c>
      <c r="BJ1511" s="28" t="s">
        <v>138</v>
      </c>
      <c r="BK1511" s="28" t="s">
        <v>138</v>
      </c>
      <c r="BL1511" s="28" t="s">
        <v>138</v>
      </c>
      <c r="BM1511" s="34">
        <v>42005</v>
      </c>
      <c r="BN1511" s="29">
        <v>0.23</v>
      </c>
      <c r="BO1511" s="28" t="s">
        <v>172</v>
      </c>
      <c r="BP1511" s="29" t="s">
        <v>138</v>
      </c>
      <c r="BQ1511" s="28" t="s">
        <v>138</v>
      </c>
      <c r="BR1511" s="28" t="s">
        <v>262</v>
      </c>
      <c r="BS1511" s="28" t="s">
        <v>262</v>
      </c>
      <c r="BT1511" s="28" t="s">
        <v>138</v>
      </c>
      <c r="BU1511" s="28" t="s">
        <v>263</v>
      </c>
      <c r="BV1511" s="28" t="s">
        <v>138</v>
      </c>
      <c r="BW1511" s="28" t="s">
        <v>138</v>
      </c>
      <c r="BX1511" s="28" t="s">
        <v>138</v>
      </c>
      <c r="BY1511" s="28" t="s">
        <v>175</v>
      </c>
      <c r="BZ1511" s="34">
        <v>42373</v>
      </c>
      <c r="CA1511" s="29">
        <v>1</v>
      </c>
      <c r="CB1511" s="28" t="s">
        <v>172</v>
      </c>
      <c r="CC1511" s="29" t="s">
        <v>138</v>
      </c>
      <c r="CD1511" s="28" t="s">
        <v>138</v>
      </c>
      <c r="CE1511" s="28" t="s">
        <v>234</v>
      </c>
      <c r="CF1511" s="28" t="s">
        <v>234</v>
      </c>
      <c r="CG1511" s="28" t="s">
        <v>138</v>
      </c>
      <c r="CH1511" s="28" t="s">
        <v>174</v>
      </c>
      <c r="CI1511" s="28" t="s">
        <v>138</v>
      </c>
      <c r="CJ1511" s="28" t="s">
        <v>138</v>
      </c>
      <c r="CK1511" s="28" t="s">
        <v>138</v>
      </c>
      <c r="CL1511" s="28" t="s">
        <v>175</v>
      </c>
      <c r="CM1511" s="34" t="s">
        <v>138</v>
      </c>
      <c r="CN1511" s="29" t="s">
        <v>138</v>
      </c>
      <c r="CO1511" s="35">
        <v>-0.08</v>
      </c>
      <c r="CP1511" s="36">
        <v>21</v>
      </c>
      <c r="CQ1511" s="35">
        <v>0.02</v>
      </c>
      <c r="CR1511" s="35">
        <v>16.739999999999998</v>
      </c>
      <c r="CS1511" s="35">
        <v>0</v>
      </c>
      <c r="CT1511" s="36">
        <v>23</v>
      </c>
      <c r="CU1511" s="35">
        <v>-0.23</v>
      </c>
      <c r="CV1511" s="36">
        <v>1</v>
      </c>
      <c r="CW1511" s="35">
        <v>0</v>
      </c>
      <c r="CX1511" s="36">
        <v>13</v>
      </c>
      <c r="CY1511" s="35">
        <v>0</v>
      </c>
      <c r="CZ1511" s="36">
        <v>25</v>
      </c>
      <c r="DA1511" s="35">
        <v>-0.23</v>
      </c>
      <c r="DB1511" s="36">
        <v>2</v>
      </c>
      <c r="DC1511" s="37">
        <v>0.93</v>
      </c>
      <c r="DD1511" s="36">
        <v>49</v>
      </c>
      <c r="DE1511" s="37">
        <v>-0.48</v>
      </c>
      <c r="DF1511" s="35">
        <v>-34.21</v>
      </c>
      <c r="DG1511" s="37">
        <v>1.95</v>
      </c>
      <c r="DH1511" s="36">
        <v>66</v>
      </c>
      <c r="DI1511" s="37">
        <v>0.75</v>
      </c>
      <c r="DJ1511" s="36">
        <v>44</v>
      </c>
      <c r="DK1511" s="37">
        <v>2.36</v>
      </c>
      <c r="DL1511" s="36">
        <v>67</v>
      </c>
      <c r="DM1511" s="37">
        <v>1.55</v>
      </c>
      <c r="DN1511" s="36">
        <v>60</v>
      </c>
      <c r="DO1511" s="37">
        <v>0.75</v>
      </c>
      <c r="DP1511" s="36">
        <v>45</v>
      </c>
      <c r="DQ1511" s="36">
        <v>793</v>
      </c>
      <c r="DR1511" s="38">
        <v>45</v>
      </c>
      <c r="DS1511" s="35">
        <v>6.02</v>
      </c>
      <c r="DT1511" s="36">
        <v>44</v>
      </c>
      <c r="DU1511" s="38">
        <v>0</v>
      </c>
      <c r="DV1511" s="35">
        <v>0</v>
      </c>
      <c r="DW1511" s="36">
        <v>267</v>
      </c>
      <c r="DX1511" s="39">
        <v>0</v>
      </c>
      <c r="DY1511" s="35">
        <v>0</v>
      </c>
      <c r="DZ1511" s="28" t="s">
        <v>178</v>
      </c>
      <c r="EA1511" s="34">
        <v>43351</v>
      </c>
      <c r="EB1511" s="29" t="s">
        <v>138</v>
      </c>
      <c r="EC1511" s="34" t="s">
        <v>138</v>
      </c>
      <c r="ED1511" s="28" t="s">
        <v>138</v>
      </c>
      <c r="EE1511" s="40" t="str">
        <f>HYPERLINK("https://my.pitchbook.com?c=121187-26", "View company online")</f>
        <v>View company online</v>
      </c>
    </row>
    <row r="1512" spans="1:135">
      <c r="A1512" s="15" t="s">
        <v>29008</v>
      </c>
      <c r="B1512" s="15" t="s">
        <v>29009</v>
      </c>
      <c r="C1512" s="15" t="s">
        <v>29010</v>
      </c>
      <c r="D1512" s="15" t="s">
        <v>138</v>
      </c>
      <c r="E1512" s="15" t="s">
        <v>29011</v>
      </c>
      <c r="F1512" s="15" t="s">
        <v>29008</v>
      </c>
      <c r="G1512" s="15" t="s">
        <v>29012</v>
      </c>
      <c r="H1512" s="15" t="s">
        <v>322</v>
      </c>
      <c r="I1512" s="15" t="s">
        <v>323</v>
      </c>
      <c r="J1512" s="15" t="s">
        <v>2084</v>
      </c>
      <c r="K1512" s="15" t="s">
        <v>21572</v>
      </c>
      <c r="L1512" s="15" t="s">
        <v>4640</v>
      </c>
      <c r="M1512" s="15" t="s">
        <v>29013</v>
      </c>
      <c r="N1512" s="15" t="s">
        <v>147</v>
      </c>
      <c r="O1512" s="17">
        <v>120</v>
      </c>
      <c r="P1512" s="15" t="s">
        <v>148</v>
      </c>
      <c r="Q1512" s="15" t="s">
        <v>149</v>
      </c>
      <c r="R1512" s="15" t="s">
        <v>174</v>
      </c>
      <c r="S1512" s="15" t="s">
        <v>29014</v>
      </c>
      <c r="T1512" s="18">
        <v>275</v>
      </c>
      <c r="U1512" s="15" t="s">
        <v>29015</v>
      </c>
      <c r="V1512" s="15" t="s">
        <v>138</v>
      </c>
      <c r="W1512" s="15" t="s">
        <v>138</v>
      </c>
      <c r="X1512" s="19">
        <v>2011</v>
      </c>
      <c r="Y1512" s="15" t="s">
        <v>138</v>
      </c>
      <c r="Z1512" s="15" t="s">
        <v>138</v>
      </c>
      <c r="AA1512" s="15" t="s">
        <v>138</v>
      </c>
      <c r="AB1512" s="20" t="s">
        <v>138</v>
      </c>
      <c r="AC1512" s="20" t="s">
        <v>138</v>
      </c>
      <c r="AD1512" s="20" t="s">
        <v>138</v>
      </c>
      <c r="AE1512" s="20" t="s">
        <v>138</v>
      </c>
      <c r="AF1512" s="20" t="s">
        <v>138</v>
      </c>
      <c r="AG1512" s="15" t="s">
        <v>138</v>
      </c>
      <c r="AH1512" s="20" t="s">
        <v>138</v>
      </c>
      <c r="AI1512" s="20" t="s">
        <v>138</v>
      </c>
      <c r="AJ1512" s="20" t="s">
        <v>138</v>
      </c>
      <c r="AK1512" s="15" t="s">
        <v>29016</v>
      </c>
      <c r="AL1512" s="15" t="s">
        <v>29017</v>
      </c>
      <c r="AM1512" s="15" t="s">
        <v>221</v>
      </c>
      <c r="AN1512" s="15" t="s">
        <v>29018</v>
      </c>
      <c r="AO1512" s="15" t="s">
        <v>29019</v>
      </c>
      <c r="AP1512" s="15" t="s">
        <v>665</v>
      </c>
      <c r="AQ1512" s="15" t="s">
        <v>29020</v>
      </c>
      <c r="AR1512" s="15" t="s">
        <v>6298</v>
      </c>
      <c r="AS1512" s="15" t="s">
        <v>668</v>
      </c>
      <c r="AT1512" s="15" t="s">
        <v>200</v>
      </c>
      <c r="AU1512" s="15" t="s">
        <v>2052</v>
      </c>
      <c r="AV1512" s="15" t="s">
        <v>162</v>
      </c>
      <c r="AW1512" s="15" t="s">
        <v>29019</v>
      </c>
      <c r="AX1512" s="15" t="s">
        <v>138</v>
      </c>
      <c r="AY1512" s="15" t="s">
        <v>138</v>
      </c>
      <c r="AZ1512" s="15" t="s">
        <v>164</v>
      </c>
      <c r="BA1512" s="15" t="s">
        <v>165</v>
      </c>
      <c r="BB1512" s="15" t="s">
        <v>29021</v>
      </c>
      <c r="BC1512" s="15" t="s">
        <v>29022</v>
      </c>
      <c r="BD1512" s="21">
        <v>14</v>
      </c>
      <c r="BE1512" s="15" t="s">
        <v>138</v>
      </c>
      <c r="BF1512" s="15" t="s">
        <v>138</v>
      </c>
      <c r="BG1512" s="15" t="s">
        <v>138</v>
      </c>
      <c r="BH1512" s="15" t="s">
        <v>29023</v>
      </c>
      <c r="BI1512" s="15" t="s">
        <v>138</v>
      </c>
      <c r="BJ1512" s="15" t="s">
        <v>138</v>
      </c>
      <c r="BK1512" s="15" t="s">
        <v>29024</v>
      </c>
      <c r="BL1512" s="15" t="s">
        <v>1251</v>
      </c>
      <c r="BM1512" s="22">
        <v>41275</v>
      </c>
      <c r="BN1512" s="17">
        <v>3</v>
      </c>
      <c r="BO1512" s="15" t="s">
        <v>172</v>
      </c>
      <c r="BP1512" s="17">
        <v>14.64</v>
      </c>
      <c r="BQ1512" s="15" t="s">
        <v>172</v>
      </c>
      <c r="BR1512" s="15" t="s">
        <v>205</v>
      </c>
      <c r="BS1512" s="15" t="s">
        <v>206</v>
      </c>
      <c r="BT1512" s="15" t="s">
        <v>138</v>
      </c>
      <c r="BU1512" s="15" t="s">
        <v>174</v>
      </c>
      <c r="BV1512" s="15" t="s">
        <v>138</v>
      </c>
      <c r="BW1512" s="15" t="s">
        <v>138</v>
      </c>
      <c r="BX1512" s="15" t="s">
        <v>138</v>
      </c>
      <c r="BY1512" s="15" t="s">
        <v>175</v>
      </c>
      <c r="BZ1512" s="22">
        <v>43298</v>
      </c>
      <c r="CA1512" s="17">
        <v>50</v>
      </c>
      <c r="CB1512" s="15" t="s">
        <v>172</v>
      </c>
      <c r="CC1512" s="17">
        <v>500</v>
      </c>
      <c r="CD1512" s="15" t="s">
        <v>172</v>
      </c>
      <c r="CE1512" s="15" t="s">
        <v>173</v>
      </c>
      <c r="CF1512" s="15" t="s">
        <v>433</v>
      </c>
      <c r="CG1512" s="15" t="s">
        <v>138</v>
      </c>
      <c r="CH1512" s="15" t="s">
        <v>174</v>
      </c>
      <c r="CI1512" s="15" t="s">
        <v>138</v>
      </c>
      <c r="CJ1512" s="15" t="s">
        <v>138</v>
      </c>
      <c r="CK1512" s="15" t="s">
        <v>138</v>
      </c>
      <c r="CL1512" s="15" t="s">
        <v>175</v>
      </c>
      <c r="CM1512" s="22" t="s">
        <v>138</v>
      </c>
      <c r="CN1512" s="17" t="s">
        <v>138</v>
      </c>
      <c r="CO1512" s="23">
        <v>1.31</v>
      </c>
      <c r="CP1512" s="24">
        <v>98</v>
      </c>
      <c r="CQ1512" s="23">
        <v>-0.02</v>
      </c>
      <c r="CR1512" s="23">
        <v>-1.7</v>
      </c>
      <c r="CS1512" s="23">
        <v>3.3</v>
      </c>
      <c r="CT1512" s="24">
        <v>99</v>
      </c>
      <c r="CU1512" s="23">
        <v>0.28000000000000003</v>
      </c>
      <c r="CV1512" s="24">
        <v>86</v>
      </c>
      <c r="CW1512" s="23">
        <v>3.3</v>
      </c>
      <c r="CX1512" s="24">
        <v>92</v>
      </c>
      <c r="CY1512" s="23" t="s">
        <v>138</v>
      </c>
      <c r="CZ1512" s="24" t="s">
        <v>138</v>
      </c>
      <c r="DA1512" s="23">
        <v>0.28000000000000003</v>
      </c>
      <c r="DB1512" s="24">
        <v>88</v>
      </c>
      <c r="DC1512" s="25">
        <v>55.58</v>
      </c>
      <c r="DD1512" s="24">
        <v>98</v>
      </c>
      <c r="DE1512" s="25">
        <v>-6.48</v>
      </c>
      <c r="DF1512" s="23">
        <v>-10.44</v>
      </c>
      <c r="DG1512" s="25">
        <v>153.22</v>
      </c>
      <c r="DH1512" s="24">
        <v>100</v>
      </c>
      <c r="DI1512" s="25">
        <v>10.52</v>
      </c>
      <c r="DJ1512" s="24">
        <v>86</v>
      </c>
      <c r="DK1512" s="25">
        <v>153.22</v>
      </c>
      <c r="DL1512" s="24">
        <v>98</v>
      </c>
      <c r="DM1512" s="25" t="s">
        <v>138</v>
      </c>
      <c r="DN1512" s="24" t="s">
        <v>138</v>
      </c>
      <c r="DO1512" s="25">
        <v>10.52</v>
      </c>
      <c r="DP1512" s="24">
        <v>88</v>
      </c>
      <c r="DQ1512" s="24">
        <v>51757</v>
      </c>
      <c r="DR1512" s="26">
        <v>2388</v>
      </c>
      <c r="DS1512" s="23">
        <v>4.84</v>
      </c>
      <c r="DT1512" s="24" t="s">
        <v>138</v>
      </c>
      <c r="DU1512" s="26" t="s">
        <v>138</v>
      </c>
      <c r="DV1512" s="23" t="s">
        <v>138</v>
      </c>
      <c r="DW1512" s="24">
        <v>3765</v>
      </c>
      <c r="DX1512" s="27">
        <v>11</v>
      </c>
      <c r="DY1512" s="23">
        <v>0.28999999999999998</v>
      </c>
      <c r="DZ1512" s="15" t="s">
        <v>178</v>
      </c>
      <c r="EA1512" s="22">
        <v>43622</v>
      </c>
      <c r="EB1512" s="17">
        <v>500</v>
      </c>
      <c r="EC1512" s="22">
        <v>43298</v>
      </c>
      <c r="ED1512" s="15" t="s">
        <v>173</v>
      </c>
      <c r="EE1512" s="14" t="str">
        <f>HYPERLINK("https://my.pitchbook.com?c=102522-43", "View company online")</f>
        <v>View company online</v>
      </c>
    </row>
    <row r="1513" spans="1:135">
      <c r="A1513" s="28" t="s">
        <v>29025</v>
      </c>
      <c r="B1513" s="28" t="s">
        <v>29026</v>
      </c>
      <c r="C1513" s="28" t="s">
        <v>138</v>
      </c>
      <c r="D1513" s="28" t="s">
        <v>138</v>
      </c>
      <c r="E1513" s="28" t="s">
        <v>29027</v>
      </c>
      <c r="F1513" s="28" t="s">
        <v>29025</v>
      </c>
      <c r="G1513" s="28" t="s">
        <v>29028</v>
      </c>
      <c r="H1513" s="28" t="s">
        <v>141</v>
      </c>
      <c r="I1513" s="28" t="s">
        <v>142</v>
      </c>
      <c r="J1513" s="28" t="s">
        <v>4042</v>
      </c>
      <c r="K1513" s="28" t="s">
        <v>29029</v>
      </c>
      <c r="L1513" s="28" t="s">
        <v>29030</v>
      </c>
      <c r="M1513" s="28" t="s">
        <v>29031</v>
      </c>
      <c r="N1513" s="28" t="s">
        <v>147</v>
      </c>
      <c r="O1513" s="29">
        <v>456.98</v>
      </c>
      <c r="P1513" s="28" t="s">
        <v>148</v>
      </c>
      <c r="Q1513" s="28" t="s">
        <v>149</v>
      </c>
      <c r="R1513" s="28" t="s">
        <v>244</v>
      </c>
      <c r="S1513" s="28" t="s">
        <v>29032</v>
      </c>
      <c r="T1513" s="30">
        <v>225</v>
      </c>
      <c r="U1513" s="28" t="s">
        <v>29033</v>
      </c>
      <c r="V1513" s="28" t="s">
        <v>138</v>
      </c>
      <c r="W1513" s="28" t="s">
        <v>138</v>
      </c>
      <c r="X1513" s="31">
        <v>2015</v>
      </c>
      <c r="Y1513" s="28" t="s">
        <v>138</v>
      </c>
      <c r="Z1513" s="28" t="s">
        <v>138</v>
      </c>
      <c r="AA1513" s="28" t="s">
        <v>1163</v>
      </c>
      <c r="AB1513" s="32" t="s">
        <v>138</v>
      </c>
      <c r="AC1513" s="32" t="s">
        <v>138</v>
      </c>
      <c r="AD1513" s="32" t="s">
        <v>138</v>
      </c>
      <c r="AE1513" s="32" t="s">
        <v>138</v>
      </c>
      <c r="AF1513" s="32" t="s">
        <v>138</v>
      </c>
      <c r="AG1513" s="28" t="s">
        <v>138</v>
      </c>
      <c r="AH1513" s="32" t="s">
        <v>138</v>
      </c>
      <c r="AI1513" s="32" t="s">
        <v>138</v>
      </c>
      <c r="AJ1513" s="32" t="s">
        <v>138</v>
      </c>
      <c r="AK1513" s="28" t="s">
        <v>29034</v>
      </c>
      <c r="AL1513" s="28" t="s">
        <v>29035</v>
      </c>
      <c r="AM1513" s="28" t="s">
        <v>19074</v>
      </c>
      <c r="AN1513" s="28" t="s">
        <v>29036</v>
      </c>
      <c r="AO1513" s="28" t="s">
        <v>29037</v>
      </c>
      <c r="AP1513" s="28" t="s">
        <v>3772</v>
      </c>
      <c r="AQ1513" s="28" t="s">
        <v>29038</v>
      </c>
      <c r="AR1513" s="28" t="s">
        <v>138</v>
      </c>
      <c r="AS1513" s="28" t="s">
        <v>3774</v>
      </c>
      <c r="AT1513" s="28" t="s">
        <v>864</v>
      </c>
      <c r="AU1513" s="28" t="s">
        <v>3775</v>
      </c>
      <c r="AV1513" s="28" t="s">
        <v>162</v>
      </c>
      <c r="AW1513" s="28" t="s">
        <v>29037</v>
      </c>
      <c r="AX1513" s="28" t="s">
        <v>138</v>
      </c>
      <c r="AY1513" s="28" t="s">
        <v>29039</v>
      </c>
      <c r="AZ1513" s="28" t="s">
        <v>164</v>
      </c>
      <c r="BA1513" s="28" t="s">
        <v>165</v>
      </c>
      <c r="BB1513" s="28" t="s">
        <v>29040</v>
      </c>
      <c r="BC1513" s="28" t="s">
        <v>29041</v>
      </c>
      <c r="BD1513" s="33">
        <v>33</v>
      </c>
      <c r="BE1513" s="28" t="s">
        <v>138</v>
      </c>
      <c r="BF1513" s="28" t="s">
        <v>138</v>
      </c>
      <c r="BG1513" s="28" t="s">
        <v>138</v>
      </c>
      <c r="BH1513" s="28" t="s">
        <v>29042</v>
      </c>
      <c r="BI1513" s="28" t="s">
        <v>138</v>
      </c>
      <c r="BJ1513" s="28" t="s">
        <v>138</v>
      </c>
      <c r="BK1513" s="28" t="s">
        <v>3826</v>
      </c>
      <c r="BL1513" s="28" t="s">
        <v>3826</v>
      </c>
      <c r="BM1513" s="34">
        <v>42305</v>
      </c>
      <c r="BN1513" s="29">
        <v>13.98</v>
      </c>
      <c r="BO1513" s="28" t="s">
        <v>172</v>
      </c>
      <c r="BP1513" s="29">
        <v>31.98</v>
      </c>
      <c r="BQ1513" s="28" t="s">
        <v>172</v>
      </c>
      <c r="BR1513" s="28" t="s">
        <v>205</v>
      </c>
      <c r="BS1513" s="28" t="s">
        <v>206</v>
      </c>
      <c r="BT1513" s="28" t="s">
        <v>138</v>
      </c>
      <c r="BU1513" s="28" t="s">
        <v>174</v>
      </c>
      <c r="BV1513" s="28" t="s">
        <v>138</v>
      </c>
      <c r="BW1513" s="28" t="s">
        <v>138</v>
      </c>
      <c r="BX1513" s="28" t="s">
        <v>138</v>
      </c>
      <c r="BY1513" s="28" t="s">
        <v>175</v>
      </c>
      <c r="BZ1513" s="34">
        <v>43488</v>
      </c>
      <c r="CA1513" s="29">
        <v>160</v>
      </c>
      <c r="CB1513" s="28" t="s">
        <v>172</v>
      </c>
      <c r="CC1513" s="29">
        <v>1500</v>
      </c>
      <c r="CD1513" s="28" t="s">
        <v>172</v>
      </c>
      <c r="CE1513" s="28" t="s">
        <v>173</v>
      </c>
      <c r="CF1513" s="28" t="s">
        <v>482</v>
      </c>
      <c r="CG1513" s="28" t="s">
        <v>138</v>
      </c>
      <c r="CH1513" s="28" t="s">
        <v>174</v>
      </c>
      <c r="CI1513" s="28" t="s">
        <v>177</v>
      </c>
      <c r="CJ1513" s="28" t="s">
        <v>138</v>
      </c>
      <c r="CK1513" s="28" t="s">
        <v>138</v>
      </c>
      <c r="CL1513" s="28" t="s">
        <v>175</v>
      </c>
      <c r="CM1513" s="34">
        <v>43270</v>
      </c>
      <c r="CN1513" s="29">
        <v>20</v>
      </c>
      <c r="CO1513" s="35">
        <v>2.16</v>
      </c>
      <c r="CP1513" s="36">
        <v>99</v>
      </c>
      <c r="CQ1513" s="35">
        <v>0.04</v>
      </c>
      <c r="CR1513" s="35">
        <v>1.88</v>
      </c>
      <c r="CS1513" s="35">
        <v>3.35</v>
      </c>
      <c r="CT1513" s="36">
        <v>99</v>
      </c>
      <c r="CU1513" s="35">
        <v>0.96</v>
      </c>
      <c r="CV1513" s="36">
        <v>98</v>
      </c>
      <c r="CW1513" s="35">
        <v>6.76</v>
      </c>
      <c r="CX1513" s="36">
        <v>98</v>
      </c>
      <c r="CY1513" s="35">
        <v>-0.05</v>
      </c>
      <c r="CZ1513" s="36">
        <v>24</v>
      </c>
      <c r="DA1513" s="35">
        <v>0.81</v>
      </c>
      <c r="DB1513" s="36">
        <v>97</v>
      </c>
      <c r="DC1513" s="37">
        <v>20.14</v>
      </c>
      <c r="DD1513" s="36">
        <v>95</v>
      </c>
      <c r="DE1513" s="37">
        <v>-0.91</v>
      </c>
      <c r="DF1513" s="35">
        <v>-4.34</v>
      </c>
      <c r="DG1513" s="37">
        <v>34.270000000000003</v>
      </c>
      <c r="DH1513" s="36">
        <v>97</v>
      </c>
      <c r="DI1513" s="37">
        <v>6.02</v>
      </c>
      <c r="DJ1513" s="36">
        <v>80</v>
      </c>
      <c r="DK1513" s="37">
        <v>33.229999999999997</v>
      </c>
      <c r="DL1513" s="36">
        <v>94</v>
      </c>
      <c r="DM1513" s="37">
        <v>35.31</v>
      </c>
      <c r="DN1513" s="36">
        <v>97</v>
      </c>
      <c r="DO1513" s="37">
        <v>10.6</v>
      </c>
      <c r="DP1513" s="36">
        <v>88</v>
      </c>
      <c r="DQ1513" s="36">
        <v>11023</v>
      </c>
      <c r="DR1513" s="38">
        <v>1129</v>
      </c>
      <c r="DS1513" s="35">
        <v>11.41</v>
      </c>
      <c r="DT1513" s="36">
        <v>1018</v>
      </c>
      <c r="DU1513" s="38">
        <v>17</v>
      </c>
      <c r="DV1513" s="35">
        <v>1.7</v>
      </c>
      <c r="DW1513" s="36">
        <v>3786</v>
      </c>
      <c r="DX1513" s="39">
        <v>30</v>
      </c>
      <c r="DY1513" s="35">
        <v>0.8</v>
      </c>
      <c r="DZ1513" s="28" t="s">
        <v>178</v>
      </c>
      <c r="EA1513" s="34">
        <v>43601</v>
      </c>
      <c r="EB1513" s="29">
        <v>1500</v>
      </c>
      <c r="EC1513" s="34">
        <v>43488</v>
      </c>
      <c r="ED1513" s="28" t="s">
        <v>173</v>
      </c>
      <c r="EE1513" s="40" t="str">
        <f>HYPERLINK("https://my.pitchbook.com?c=126395-56", "View company online")</f>
        <v>View company online</v>
      </c>
    </row>
    <row r="1514" spans="1:135">
      <c r="A1514" s="15" t="s">
        <v>29043</v>
      </c>
      <c r="B1514" s="15" t="s">
        <v>29044</v>
      </c>
      <c r="C1514" s="15" t="s">
        <v>138</v>
      </c>
      <c r="D1514" s="15" t="s">
        <v>138</v>
      </c>
      <c r="E1514" s="15" t="s">
        <v>29045</v>
      </c>
      <c r="F1514" s="15" t="s">
        <v>29043</v>
      </c>
      <c r="G1514" s="15" t="s">
        <v>29046</v>
      </c>
      <c r="H1514" s="15" t="s">
        <v>322</v>
      </c>
      <c r="I1514" s="15" t="s">
        <v>323</v>
      </c>
      <c r="J1514" s="15" t="s">
        <v>324</v>
      </c>
      <c r="K1514" s="15" t="s">
        <v>2964</v>
      </c>
      <c r="L1514" s="15" t="s">
        <v>215</v>
      </c>
      <c r="M1514" s="15" t="s">
        <v>29047</v>
      </c>
      <c r="N1514" s="15" t="s">
        <v>1452</v>
      </c>
      <c r="O1514" s="17">
        <v>80.56</v>
      </c>
      <c r="P1514" s="15" t="s">
        <v>812</v>
      </c>
      <c r="Q1514" s="15" t="s">
        <v>149</v>
      </c>
      <c r="R1514" s="15" t="s">
        <v>1652</v>
      </c>
      <c r="S1514" s="15" t="s">
        <v>29048</v>
      </c>
      <c r="T1514" s="18">
        <v>300</v>
      </c>
      <c r="U1514" s="15" t="s">
        <v>29049</v>
      </c>
      <c r="V1514" s="15" t="s">
        <v>138</v>
      </c>
      <c r="W1514" s="15" t="s">
        <v>138</v>
      </c>
      <c r="X1514" s="19">
        <v>2008</v>
      </c>
      <c r="Y1514" s="15" t="s">
        <v>138</v>
      </c>
      <c r="Z1514" s="15" t="s">
        <v>138</v>
      </c>
      <c r="AA1514" s="15" t="s">
        <v>138</v>
      </c>
      <c r="AB1514" s="20">
        <v>100</v>
      </c>
      <c r="AC1514" s="20" t="s">
        <v>138</v>
      </c>
      <c r="AD1514" s="20" t="s">
        <v>138</v>
      </c>
      <c r="AE1514" s="20" t="s">
        <v>138</v>
      </c>
      <c r="AF1514" s="20" t="s">
        <v>138</v>
      </c>
      <c r="AG1514" s="15" t="s">
        <v>419</v>
      </c>
      <c r="AH1514" s="20" t="s">
        <v>138</v>
      </c>
      <c r="AI1514" s="20" t="s">
        <v>138</v>
      </c>
      <c r="AJ1514" s="20" t="s">
        <v>138</v>
      </c>
      <c r="AK1514" s="15" t="s">
        <v>29050</v>
      </c>
      <c r="AL1514" s="15" t="s">
        <v>29051</v>
      </c>
      <c r="AM1514" s="15" t="s">
        <v>249</v>
      </c>
      <c r="AN1514" s="15" t="s">
        <v>138</v>
      </c>
      <c r="AO1514" s="15" t="s">
        <v>29052</v>
      </c>
      <c r="AP1514" s="15" t="s">
        <v>6492</v>
      </c>
      <c r="AQ1514" s="15" t="s">
        <v>29053</v>
      </c>
      <c r="AR1514" s="15" t="s">
        <v>29054</v>
      </c>
      <c r="AS1514" s="15" t="s">
        <v>6495</v>
      </c>
      <c r="AT1514" s="15" t="s">
        <v>138</v>
      </c>
      <c r="AU1514" s="15" t="s">
        <v>29055</v>
      </c>
      <c r="AV1514" s="15" t="s">
        <v>6495</v>
      </c>
      <c r="AW1514" s="15" t="s">
        <v>29052</v>
      </c>
      <c r="AX1514" s="15" t="s">
        <v>29056</v>
      </c>
      <c r="AY1514" s="15" t="s">
        <v>29057</v>
      </c>
      <c r="AZ1514" s="15" t="s">
        <v>452</v>
      </c>
      <c r="BA1514" s="15" t="s">
        <v>1748</v>
      </c>
      <c r="BB1514" s="15" t="s">
        <v>29058</v>
      </c>
      <c r="BC1514" s="15" t="s">
        <v>29059</v>
      </c>
      <c r="BD1514" s="21">
        <v>9</v>
      </c>
      <c r="BE1514" s="15" t="s">
        <v>138</v>
      </c>
      <c r="BF1514" s="15" t="s">
        <v>138</v>
      </c>
      <c r="BG1514" s="15" t="s">
        <v>138</v>
      </c>
      <c r="BH1514" s="15" t="s">
        <v>29060</v>
      </c>
      <c r="BI1514" s="15" t="s">
        <v>138</v>
      </c>
      <c r="BJ1514" s="15" t="s">
        <v>138</v>
      </c>
      <c r="BK1514" s="15" t="s">
        <v>138</v>
      </c>
      <c r="BL1514" s="15" t="s">
        <v>138</v>
      </c>
      <c r="BM1514" s="22">
        <v>42375</v>
      </c>
      <c r="BN1514" s="17">
        <v>20</v>
      </c>
      <c r="BO1514" s="15" t="s">
        <v>172</v>
      </c>
      <c r="BP1514" s="17" t="s">
        <v>138</v>
      </c>
      <c r="BQ1514" s="15" t="s">
        <v>138</v>
      </c>
      <c r="BR1514" s="15" t="s">
        <v>265</v>
      </c>
      <c r="BS1514" s="15" t="s">
        <v>138</v>
      </c>
      <c r="BT1514" s="15" t="s">
        <v>138</v>
      </c>
      <c r="BU1514" s="15" t="s">
        <v>1327</v>
      </c>
      <c r="BV1514" s="15" t="s">
        <v>264</v>
      </c>
      <c r="BW1514" s="15" t="s">
        <v>138</v>
      </c>
      <c r="BX1514" s="15" t="s">
        <v>138</v>
      </c>
      <c r="BY1514" s="15" t="s">
        <v>175</v>
      </c>
      <c r="BZ1514" s="22">
        <v>43432</v>
      </c>
      <c r="CA1514" s="17">
        <v>60</v>
      </c>
      <c r="CB1514" s="15" t="s">
        <v>172</v>
      </c>
      <c r="CC1514" s="17" t="s">
        <v>138</v>
      </c>
      <c r="CD1514" s="15" t="s">
        <v>138</v>
      </c>
      <c r="CE1514" s="15" t="s">
        <v>1673</v>
      </c>
      <c r="CF1514" s="15" t="s">
        <v>138</v>
      </c>
      <c r="CG1514" s="15" t="s">
        <v>138</v>
      </c>
      <c r="CH1514" s="15" t="s">
        <v>351</v>
      </c>
      <c r="CI1514" s="15" t="s">
        <v>138</v>
      </c>
      <c r="CJ1514" s="15" t="s">
        <v>138</v>
      </c>
      <c r="CK1514" s="15" t="s">
        <v>138</v>
      </c>
      <c r="CL1514" s="15" t="s">
        <v>175</v>
      </c>
      <c r="CM1514" s="22" t="s">
        <v>138</v>
      </c>
      <c r="CN1514" s="17" t="s">
        <v>138</v>
      </c>
      <c r="CO1514" s="23">
        <v>-0.04</v>
      </c>
      <c r="CP1514" s="24">
        <v>23</v>
      </c>
      <c r="CQ1514" s="23">
        <v>-0.03</v>
      </c>
      <c r="CR1514" s="23">
        <v>-271.02</v>
      </c>
      <c r="CS1514" s="23">
        <v>0.06</v>
      </c>
      <c r="CT1514" s="24">
        <v>94</v>
      </c>
      <c r="CU1514" s="23">
        <v>0.15</v>
      </c>
      <c r="CV1514" s="24">
        <v>75</v>
      </c>
      <c r="CW1514" s="23">
        <v>4.91</v>
      </c>
      <c r="CX1514" s="24">
        <v>95</v>
      </c>
      <c r="CY1514" s="23">
        <v>-4.8</v>
      </c>
      <c r="CZ1514" s="24">
        <v>3</v>
      </c>
      <c r="DA1514" s="23">
        <v>0.33</v>
      </c>
      <c r="DB1514" s="24">
        <v>90</v>
      </c>
      <c r="DC1514" s="25">
        <v>8.3000000000000007</v>
      </c>
      <c r="DD1514" s="24">
        <v>88</v>
      </c>
      <c r="DE1514" s="25">
        <v>-0.13</v>
      </c>
      <c r="DF1514" s="23">
        <v>-1.57</v>
      </c>
      <c r="DG1514" s="25">
        <v>13.53</v>
      </c>
      <c r="DH1514" s="24">
        <v>92</v>
      </c>
      <c r="DI1514" s="25">
        <v>10.81</v>
      </c>
      <c r="DJ1514" s="24">
        <v>86</v>
      </c>
      <c r="DK1514" s="25">
        <v>4.4800000000000004</v>
      </c>
      <c r="DL1514" s="24">
        <v>78</v>
      </c>
      <c r="DM1514" s="25">
        <v>22.59</v>
      </c>
      <c r="DN1514" s="24">
        <v>95</v>
      </c>
      <c r="DO1514" s="25">
        <v>1.0900000000000001</v>
      </c>
      <c r="DP1514" s="24">
        <v>52</v>
      </c>
      <c r="DQ1514" s="24">
        <v>1478</v>
      </c>
      <c r="DR1514" s="26">
        <v>171</v>
      </c>
      <c r="DS1514" s="23">
        <v>13.08</v>
      </c>
      <c r="DT1514" s="24">
        <v>657</v>
      </c>
      <c r="DU1514" s="26">
        <v>-4</v>
      </c>
      <c r="DV1514" s="23">
        <v>-0.61</v>
      </c>
      <c r="DW1514" s="24">
        <v>389</v>
      </c>
      <c r="DX1514" s="27">
        <v>2</v>
      </c>
      <c r="DY1514" s="23">
        <v>0.52</v>
      </c>
      <c r="DZ1514" s="15" t="s">
        <v>178</v>
      </c>
      <c r="EA1514" s="22">
        <v>43434</v>
      </c>
      <c r="EB1514" s="17" t="s">
        <v>138</v>
      </c>
      <c r="EC1514" s="22" t="s">
        <v>138</v>
      </c>
      <c r="ED1514" s="15" t="s">
        <v>138</v>
      </c>
      <c r="EE1514" s="14" t="str">
        <f>HYPERLINK("https://my.pitchbook.com?c=83721-61", "View company online")</f>
        <v>View company online</v>
      </c>
    </row>
    <row r="1515" spans="1:135">
      <c r="A1515" s="28" t="s">
        <v>29061</v>
      </c>
      <c r="B1515" s="28" t="s">
        <v>29062</v>
      </c>
      <c r="C1515" s="28" t="s">
        <v>138</v>
      </c>
      <c r="D1515" s="28" t="s">
        <v>138</v>
      </c>
      <c r="E1515" s="28" t="s">
        <v>138</v>
      </c>
      <c r="F1515" s="28" t="s">
        <v>29061</v>
      </c>
      <c r="G1515" s="28" t="s">
        <v>29063</v>
      </c>
      <c r="H1515" s="28" t="s">
        <v>322</v>
      </c>
      <c r="I1515" s="28" t="s">
        <v>356</v>
      </c>
      <c r="J1515" s="28" t="s">
        <v>357</v>
      </c>
      <c r="K1515" s="28" t="s">
        <v>29064</v>
      </c>
      <c r="L1515" s="28" t="s">
        <v>1104</v>
      </c>
      <c r="M1515" s="28" t="s">
        <v>29065</v>
      </c>
      <c r="N1515" s="28" t="s">
        <v>147</v>
      </c>
      <c r="O1515" s="29">
        <v>5.12</v>
      </c>
      <c r="P1515" s="28" t="s">
        <v>148</v>
      </c>
      <c r="Q1515" s="28" t="s">
        <v>149</v>
      </c>
      <c r="R1515" s="28" t="s">
        <v>174</v>
      </c>
      <c r="S1515" s="28" t="s">
        <v>29066</v>
      </c>
      <c r="T1515" s="30">
        <v>11</v>
      </c>
      <c r="U1515" s="28" t="s">
        <v>29067</v>
      </c>
      <c r="V1515" s="28" t="s">
        <v>138</v>
      </c>
      <c r="W1515" s="28" t="s">
        <v>138</v>
      </c>
      <c r="X1515" s="31">
        <v>2004</v>
      </c>
      <c r="Y1515" s="28" t="s">
        <v>138</v>
      </c>
      <c r="Z1515" s="28" t="s">
        <v>138</v>
      </c>
      <c r="AA1515" s="28" t="s">
        <v>138</v>
      </c>
      <c r="AB1515" s="32" t="s">
        <v>138</v>
      </c>
      <c r="AC1515" s="32" t="s">
        <v>138</v>
      </c>
      <c r="AD1515" s="32" t="s">
        <v>138</v>
      </c>
      <c r="AE1515" s="32" t="s">
        <v>138</v>
      </c>
      <c r="AF1515" s="32" t="s">
        <v>138</v>
      </c>
      <c r="AG1515" s="28" t="s">
        <v>138</v>
      </c>
      <c r="AH1515" s="32" t="s">
        <v>138</v>
      </c>
      <c r="AI1515" s="32" t="s">
        <v>138</v>
      </c>
      <c r="AJ1515" s="32" t="s">
        <v>138</v>
      </c>
      <c r="AK1515" s="28" t="s">
        <v>29068</v>
      </c>
      <c r="AL1515" s="28" t="s">
        <v>29069</v>
      </c>
      <c r="AM1515" s="28" t="s">
        <v>2878</v>
      </c>
      <c r="AN1515" s="28" t="s">
        <v>29070</v>
      </c>
      <c r="AO1515" s="28" t="s">
        <v>29071</v>
      </c>
      <c r="AP1515" s="28" t="s">
        <v>29072</v>
      </c>
      <c r="AQ1515" s="28" t="s">
        <v>29073</v>
      </c>
      <c r="AR1515" s="28" t="s">
        <v>29074</v>
      </c>
      <c r="AS1515" s="28" t="s">
        <v>29075</v>
      </c>
      <c r="AT1515" s="28" t="s">
        <v>524</v>
      </c>
      <c r="AU1515" s="28" t="s">
        <v>29076</v>
      </c>
      <c r="AV1515" s="28" t="s">
        <v>526</v>
      </c>
      <c r="AW1515" s="28" t="s">
        <v>29071</v>
      </c>
      <c r="AX1515" s="28" t="s">
        <v>29077</v>
      </c>
      <c r="AY1515" s="28" t="s">
        <v>29078</v>
      </c>
      <c r="AZ1515" s="28" t="s">
        <v>530</v>
      </c>
      <c r="BA1515" s="28" t="s">
        <v>531</v>
      </c>
      <c r="BB1515" s="28" t="s">
        <v>29079</v>
      </c>
      <c r="BC1515" s="28" t="s">
        <v>29080</v>
      </c>
      <c r="BD1515" s="33">
        <v>8</v>
      </c>
      <c r="BE1515" s="28" t="s">
        <v>138</v>
      </c>
      <c r="BF1515" s="28" t="s">
        <v>138</v>
      </c>
      <c r="BG1515" s="28" t="s">
        <v>138</v>
      </c>
      <c r="BH1515" s="28" t="s">
        <v>29081</v>
      </c>
      <c r="BI1515" s="28" t="s">
        <v>138</v>
      </c>
      <c r="BJ1515" s="28" t="s">
        <v>138</v>
      </c>
      <c r="BK1515" s="28" t="s">
        <v>138</v>
      </c>
      <c r="BL1515" s="28" t="s">
        <v>138</v>
      </c>
      <c r="BM1515" s="34">
        <v>38353</v>
      </c>
      <c r="BN1515" s="29">
        <v>0.1</v>
      </c>
      <c r="BO1515" s="28" t="s">
        <v>172</v>
      </c>
      <c r="BP1515" s="29">
        <v>0.46</v>
      </c>
      <c r="BQ1515" s="28" t="s">
        <v>172</v>
      </c>
      <c r="BR1515" s="28" t="s">
        <v>262</v>
      </c>
      <c r="BS1515" s="28" t="s">
        <v>262</v>
      </c>
      <c r="BT1515" s="28" t="s">
        <v>138</v>
      </c>
      <c r="BU1515" s="28" t="s">
        <v>263</v>
      </c>
      <c r="BV1515" s="28" t="s">
        <v>138</v>
      </c>
      <c r="BW1515" s="28" t="s">
        <v>138</v>
      </c>
      <c r="BX1515" s="28" t="s">
        <v>138</v>
      </c>
      <c r="BY1515" s="28" t="s">
        <v>175</v>
      </c>
      <c r="BZ1515" s="34">
        <v>41932</v>
      </c>
      <c r="CA1515" s="29">
        <v>1.64</v>
      </c>
      <c r="CB1515" s="28" t="s">
        <v>172</v>
      </c>
      <c r="CC1515" s="29">
        <v>4.51</v>
      </c>
      <c r="CD1515" s="28" t="s">
        <v>172</v>
      </c>
      <c r="CE1515" s="28" t="s">
        <v>173</v>
      </c>
      <c r="CF1515" s="28" t="s">
        <v>138</v>
      </c>
      <c r="CG1515" s="28" t="s">
        <v>138</v>
      </c>
      <c r="CH1515" s="28" t="s">
        <v>174</v>
      </c>
      <c r="CI1515" s="28" t="s">
        <v>138</v>
      </c>
      <c r="CJ1515" s="28" t="s">
        <v>138</v>
      </c>
      <c r="CK1515" s="28" t="s">
        <v>138</v>
      </c>
      <c r="CL1515" s="28" t="s">
        <v>175</v>
      </c>
      <c r="CM1515" s="34" t="s">
        <v>138</v>
      </c>
      <c r="CN1515" s="29" t="s">
        <v>138</v>
      </c>
      <c r="CO1515" s="35" t="s">
        <v>138</v>
      </c>
      <c r="CP1515" s="36" t="s">
        <v>138</v>
      </c>
      <c r="CQ1515" s="35" t="s">
        <v>138</v>
      </c>
      <c r="CR1515" s="35" t="s">
        <v>138</v>
      </c>
      <c r="CS1515" s="35" t="s">
        <v>138</v>
      </c>
      <c r="CT1515" s="36" t="s">
        <v>138</v>
      </c>
      <c r="CU1515" s="35" t="s">
        <v>138</v>
      </c>
      <c r="CV1515" s="36" t="s">
        <v>138</v>
      </c>
      <c r="CW1515" s="35" t="s">
        <v>138</v>
      </c>
      <c r="CX1515" s="36" t="s">
        <v>138</v>
      </c>
      <c r="CY1515" s="35" t="s">
        <v>138</v>
      </c>
      <c r="CZ1515" s="36" t="s">
        <v>138</v>
      </c>
      <c r="DA1515" s="35" t="s">
        <v>138</v>
      </c>
      <c r="DB1515" s="36" t="s">
        <v>138</v>
      </c>
      <c r="DC1515" s="37" t="s">
        <v>138</v>
      </c>
      <c r="DD1515" s="36" t="s">
        <v>138</v>
      </c>
      <c r="DE1515" s="37" t="s">
        <v>138</v>
      </c>
      <c r="DF1515" s="35" t="s">
        <v>138</v>
      </c>
      <c r="DG1515" s="37" t="s">
        <v>138</v>
      </c>
      <c r="DH1515" s="36" t="s">
        <v>138</v>
      </c>
      <c r="DI1515" s="37" t="s">
        <v>138</v>
      </c>
      <c r="DJ1515" s="36" t="s">
        <v>138</v>
      </c>
      <c r="DK1515" s="37" t="s">
        <v>138</v>
      </c>
      <c r="DL1515" s="36" t="s">
        <v>138</v>
      </c>
      <c r="DM1515" s="37" t="s">
        <v>138</v>
      </c>
      <c r="DN1515" s="36" t="s">
        <v>138</v>
      </c>
      <c r="DO1515" s="37" t="s">
        <v>138</v>
      </c>
      <c r="DP1515" s="36" t="s">
        <v>138</v>
      </c>
      <c r="DQ1515" s="36" t="s">
        <v>138</v>
      </c>
      <c r="DR1515" s="38" t="s">
        <v>138</v>
      </c>
      <c r="DS1515" s="35" t="s">
        <v>138</v>
      </c>
      <c r="DT1515" s="36" t="s">
        <v>138</v>
      </c>
      <c r="DU1515" s="38" t="s">
        <v>138</v>
      </c>
      <c r="DV1515" s="35" t="s">
        <v>138</v>
      </c>
      <c r="DW1515" s="36" t="s">
        <v>138</v>
      </c>
      <c r="DX1515" s="39" t="s">
        <v>138</v>
      </c>
      <c r="DY1515" s="35" t="s">
        <v>138</v>
      </c>
      <c r="DZ1515" s="28" t="s">
        <v>178</v>
      </c>
      <c r="EA1515" s="34">
        <v>43448</v>
      </c>
      <c r="EB1515" s="29">
        <v>4.51</v>
      </c>
      <c r="EC1515" s="34">
        <v>41932</v>
      </c>
      <c r="ED1515" s="28" t="s">
        <v>173</v>
      </c>
      <c r="EE1515" s="40" t="str">
        <f>HYPERLINK("https://my.pitchbook.com?c=60196-60", "View company online")</f>
        <v>View company online</v>
      </c>
    </row>
    <row r="1516" spans="1:135">
      <c r="A1516" s="15" t="s">
        <v>29082</v>
      </c>
      <c r="B1516" s="15" t="s">
        <v>29083</v>
      </c>
      <c r="C1516" s="15" t="s">
        <v>29084</v>
      </c>
      <c r="D1516" s="15" t="s">
        <v>138</v>
      </c>
      <c r="E1516" s="15" t="s">
        <v>29085</v>
      </c>
      <c r="F1516" s="15" t="s">
        <v>29082</v>
      </c>
      <c r="G1516" s="15" t="s">
        <v>29086</v>
      </c>
      <c r="H1516" s="15" t="s">
        <v>322</v>
      </c>
      <c r="I1516" s="15" t="s">
        <v>323</v>
      </c>
      <c r="J1516" s="15" t="s">
        <v>413</v>
      </c>
      <c r="K1516" s="15" t="s">
        <v>2254</v>
      </c>
      <c r="L1516" s="15" t="s">
        <v>29087</v>
      </c>
      <c r="M1516" s="15" t="s">
        <v>29088</v>
      </c>
      <c r="N1516" s="15" t="s">
        <v>1452</v>
      </c>
      <c r="O1516" s="17">
        <v>12.02</v>
      </c>
      <c r="P1516" s="15" t="s">
        <v>148</v>
      </c>
      <c r="Q1516" s="15" t="s">
        <v>149</v>
      </c>
      <c r="R1516" s="15" t="s">
        <v>1652</v>
      </c>
      <c r="S1516" s="15" t="s">
        <v>29089</v>
      </c>
      <c r="T1516" s="18">
        <v>51</v>
      </c>
      <c r="U1516" s="15" t="s">
        <v>29090</v>
      </c>
      <c r="V1516" s="15" t="s">
        <v>138</v>
      </c>
      <c r="W1516" s="15" t="s">
        <v>138</v>
      </c>
      <c r="X1516" s="19">
        <v>2004</v>
      </c>
      <c r="Y1516" s="15" t="s">
        <v>138</v>
      </c>
      <c r="Z1516" s="15" t="s">
        <v>138</v>
      </c>
      <c r="AA1516" s="15" t="s">
        <v>138</v>
      </c>
      <c r="AB1516" s="20">
        <v>2</v>
      </c>
      <c r="AC1516" s="20" t="s">
        <v>138</v>
      </c>
      <c r="AD1516" s="20" t="s">
        <v>138</v>
      </c>
      <c r="AE1516" s="20" t="s">
        <v>138</v>
      </c>
      <c r="AF1516" s="20" t="s">
        <v>138</v>
      </c>
      <c r="AG1516" s="15" t="s">
        <v>18967</v>
      </c>
      <c r="AH1516" s="20" t="s">
        <v>138</v>
      </c>
      <c r="AI1516" s="20" t="s">
        <v>138</v>
      </c>
      <c r="AJ1516" s="20" t="s">
        <v>138</v>
      </c>
      <c r="AK1516" s="15" t="s">
        <v>29091</v>
      </c>
      <c r="AL1516" s="15" t="s">
        <v>29092</v>
      </c>
      <c r="AM1516" s="15" t="s">
        <v>2949</v>
      </c>
      <c r="AN1516" s="15" t="s">
        <v>29093</v>
      </c>
      <c r="AO1516" s="15" t="s">
        <v>29094</v>
      </c>
      <c r="AP1516" s="15" t="s">
        <v>8500</v>
      </c>
      <c r="AQ1516" s="15" t="s">
        <v>29095</v>
      </c>
      <c r="AR1516" s="15" t="s">
        <v>1459</v>
      </c>
      <c r="AS1516" s="15" t="s">
        <v>8502</v>
      </c>
      <c r="AT1516" s="15" t="s">
        <v>2883</v>
      </c>
      <c r="AU1516" s="15" t="s">
        <v>8503</v>
      </c>
      <c r="AV1516" s="15" t="s">
        <v>162</v>
      </c>
      <c r="AW1516" s="15" t="s">
        <v>29094</v>
      </c>
      <c r="AX1516" s="15" t="s">
        <v>29096</v>
      </c>
      <c r="AY1516" s="15" t="s">
        <v>29097</v>
      </c>
      <c r="AZ1516" s="15" t="s">
        <v>164</v>
      </c>
      <c r="BA1516" s="15" t="s">
        <v>165</v>
      </c>
      <c r="BB1516" s="15" t="s">
        <v>29098</v>
      </c>
      <c r="BC1516" s="15" t="s">
        <v>29099</v>
      </c>
      <c r="BD1516" s="21">
        <v>1</v>
      </c>
      <c r="BE1516" s="15" t="s">
        <v>138</v>
      </c>
      <c r="BF1516" s="15" t="s">
        <v>138</v>
      </c>
      <c r="BG1516" s="15" t="s">
        <v>138</v>
      </c>
      <c r="BH1516" s="15" t="s">
        <v>138</v>
      </c>
      <c r="BI1516" s="15" t="s">
        <v>138</v>
      </c>
      <c r="BJ1516" s="15" t="s">
        <v>138</v>
      </c>
      <c r="BK1516" s="15" t="s">
        <v>138</v>
      </c>
      <c r="BL1516" s="15" t="s">
        <v>138</v>
      </c>
      <c r="BM1516" s="22">
        <v>38544</v>
      </c>
      <c r="BN1516" s="17">
        <v>0.35</v>
      </c>
      <c r="BO1516" s="15" t="s">
        <v>172</v>
      </c>
      <c r="BP1516" s="17" t="s">
        <v>138</v>
      </c>
      <c r="BQ1516" s="15" t="s">
        <v>138</v>
      </c>
      <c r="BR1516" s="15" t="s">
        <v>262</v>
      </c>
      <c r="BS1516" s="15" t="s">
        <v>262</v>
      </c>
      <c r="BT1516" s="15" t="s">
        <v>138</v>
      </c>
      <c r="BU1516" s="15" t="s">
        <v>263</v>
      </c>
      <c r="BV1516" s="15" t="s">
        <v>138</v>
      </c>
      <c r="BW1516" s="15" t="s">
        <v>138</v>
      </c>
      <c r="BX1516" s="15" t="s">
        <v>138</v>
      </c>
      <c r="BY1516" s="15" t="s">
        <v>175</v>
      </c>
      <c r="BZ1516" s="22">
        <v>43404</v>
      </c>
      <c r="CA1516" s="17">
        <v>9</v>
      </c>
      <c r="CB1516" s="15" t="s">
        <v>172</v>
      </c>
      <c r="CC1516" s="17" t="s">
        <v>138</v>
      </c>
      <c r="CD1516" s="15" t="s">
        <v>138</v>
      </c>
      <c r="CE1516" s="15" t="s">
        <v>1673</v>
      </c>
      <c r="CF1516" s="15" t="s">
        <v>138</v>
      </c>
      <c r="CG1516" s="15" t="s">
        <v>138</v>
      </c>
      <c r="CH1516" s="15" t="s">
        <v>351</v>
      </c>
      <c r="CI1516" s="15" t="s">
        <v>138</v>
      </c>
      <c r="CJ1516" s="15" t="s">
        <v>138</v>
      </c>
      <c r="CK1516" s="15" t="s">
        <v>138</v>
      </c>
      <c r="CL1516" s="15" t="s">
        <v>352</v>
      </c>
      <c r="CM1516" s="22" t="s">
        <v>138</v>
      </c>
      <c r="CN1516" s="17" t="s">
        <v>138</v>
      </c>
      <c r="CO1516" s="23">
        <v>0.78</v>
      </c>
      <c r="CP1516" s="24">
        <v>96</v>
      </c>
      <c r="CQ1516" s="23">
        <v>0.01</v>
      </c>
      <c r="CR1516" s="23">
        <v>0.73</v>
      </c>
      <c r="CS1516" s="23">
        <v>1.52</v>
      </c>
      <c r="CT1516" s="24">
        <v>98</v>
      </c>
      <c r="CU1516" s="23">
        <v>0.03</v>
      </c>
      <c r="CV1516" s="24">
        <v>54</v>
      </c>
      <c r="CW1516" s="23">
        <v>3.05</v>
      </c>
      <c r="CX1516" s="24">
        <v>91</v>
      </c>
      <c r="CY1516" s="23">
        <v>0</v>
      </c>
      <c r="CZ1516" s="24">
        <v>25</v>
      </c>
      <c r="DA1516" s="23">
        <v>0.03</v>
      </c>
      <c r="DB1516" s="24">
        <v>60</v>
      </c>
      <c r="DC1516" s="25">
        <v>3.01</v>
      </c>
      <c r="DD1516" s="24">
        <v>75</v>
      </c>
      <c r="DE1516" s="25">
        <v>-0.11</v>
      </c>
      <c r="DF1516" s="23">
        <v>-3.56</v>
      </c>
      <c r="DG1516" s="25">
        <v>2.94</v>
      </c>
      <c r="DH1516" s="24">
        <v>74</v>
      </c>
      <c r="DI1516" s="25">
        <v>3.07</v>
      </c>
      <c r="DJ1516" s="24">
        <v>70</v>
      </c>
      <c r="DK1516" s="25">
        <v>3.81</v>
      </c>
      <c r="DL1516" s="24">
        <v>75</v>
      </c>
      <c r="DM1516" s="25">
        <v>2.0699999999999998</v>
      </c>
      <c r="DN1516" s="24">
        <v>66</v>
      </c>
      <c r="DO1516" s="25">
        <v>3.07</v>
      </c>
      <c r="DP1516" s="24">
        <v>71</v>
      </c>
      <c r="DQ1516" s="24">
        <v>1259</v>
      </c>
      <c r="DR1516" s="26">
        <v>144</v>
      </c>
      <c r="DS1516" s="23">
        <v>12.91</v>
      </c>
      <c r="DT1516" s="24">
        <v>60</v>
      </c>
      <c r="DU1516" s="26">
        <v>0</v>
      </c>
      <c r="DV1516" s="23">
        <v>0</v>
      </c>
      <c r="DW1516" s="24">
        <v>1098</v>
      </c>
      <c r="DX1516" s="27">
        <v>4</v>
      </c>
      <c r="DY1516" s="23">
        <v>0.37</v>
      </c>
      <c r="DZ1516" s="15" t="s">
        <v>178</v>
      </c>
      <c r="EA1516" s="22">
        <v>43622</v>
      </c>
      <c r="EB1516" s="17" t="s">
        <v>138</v>
      </c>
      <c r="EC1516" s="22" t="s">
        <v>138</v>
      </c>
      <c r="ED1516" s="15" t="s">
        <v>138</v>
      </c>
      <c r="EE1516" s="14" t="str">
        <f>HYPERLINK("https://my.pitchbook.com?c=13325-50", "View company online")</f>
        <v>View company online</v>
      </c>
    </row>
    <row r="1517" spans="1:135">
      <c r="A1517" s="28" t="s">
        <v>29100</v>
      </c>
      <c r="B1517" s="28" t="s">
        <v>29101</v>
      </c>
      <c r="C1517" s="28" t="s">
        <v>29102</v>
      </c>
      <c r="D1517" s="28" t="s">
        <v>138</v>
      </c>
      <c r="E1517" s="28" t="s">
        <v>138</v>
      </c>
      <c r="F1517" s="28" t="s">
        <v>29100</v>
      </c>
      <c r="G1517" s="28" t="s">
        <v>29103</v>
      </c>
      <c r="H1517" s="28" t="s">
        <v>385</v>
      </c>
      <c r="I1517" s="28" t="s">
        <v>1991</v>
      </c>
      <c r="J1517" s="28" t="s">
        <v>4454</v>
      </c>
      <c r="K1517" s="28" t="s">
        <v>13771</v>
      </c>
      <c r="L1517" s="28" t="s">
        <v>6542</v>
      </c>
      <c r="M1517" s="28" t="s">
        <v>29104</v>
      </c>
      <c r="N1517" s="28" t="s">
        <v>147</v>
      </c>
      <c r="O1517" s="29">
        <v>10.39</v>
      </c>
      <c r="P1517" s="28" t="s">
        <v>148</v>
      </c>
      <c r="Q1517" s="28" t="s">
        <v>149</v>
      </c>
      <c r="R1517" s="28" t="s">
        <v>174</v>
      </c>
      <c r="S1517" s="28" t="s">
        <v>29105</v>
      </c>
      <c r="T1517" s="30">
        <v>14</v>
      </c>
      <c r="U1517" s="28" t="s">
        <v>29106</v>
      </c>
      <c r="V1517" s="28" t="s">
        <v>138</v>
      </c>
      <c r="W1517" s="28" t="s">
        <v>138</v>
      </c>
      <c r="X1517" s="31">
        <v>2011</v>
      </c>
      <c r="Y1517" s="28" t="s">
        <v>138</v>
      </c>
      <c r="Z1517" s="28" t="s">
        <v>138</v>
      </c>
      <c r="AA1517" s="28" t="s">
        <v>138</v>
      </c>
      <c r="AB1517" s="32" t="s">
        <v>138</v>
      </c>
      <c r="AC1517" s="32" t="s">
        <v>138</v>
      </c>
      <c r="AD1517" s="32" t="s">
        <v>138</v>
      </c>
      <c r="AE1517" s="32" t="s">
        <v>138</v>
      </c>
      <c r="AF1517" s="32" t="s">
        <v>138</v>
      </c>
      <c r="AG1517" s="28" t="s">
        <v>138</v>
      </c>
      <c r="AH1517" s="32" t="s">
        <v>138</v>
      </c>
      <c r="AI1517" s="32" t="s">
        <v>138</v>
      </c>
      <c r="AJ1517" s="32" t="s">
        <v>138</v>
      </c>
      <c r="AK1517" s="28" t="s">
        <v>29107</v>
      </c>
      <c r="AL1517" s="28" t="s">
        <v>29108</v>
      </c>
      <c r="AM1517" s="28" t="s">
        <v>566</v>
      </c>
      <c r="AN1517" s="28" t="s">
        <v>29109</v>
      </c>
      <c r="AO1517" s="28" t="s">
        <v>138</v>
      </c>
      <c r="AP1517" s="28" t="s">
        <v>1845</v>
      </c>
      <c r="AQ1517" s="28" t="s">
        <v>19173</v>
      </c>
      <c r="AR1517" s="28" t="s">
        <v>29110</v>
      </c>
      <c r="AS1517" s="28" t="s">
        <v>1847</v>
      </c>
      <c r="AT1517" s="28" t="s">
        <v>864</v>
      </c>
      <c r="AU1517" s="28" t="s">
        <v>1848</v>
      </c>
      <c r="AV1517" s="28" t="s">
        <v>162</v>
      </c>
      <c r="AW1517" s="28" t="s">
        <v>29111</v>
      </c>
      <c r="AX1517" s="28" t="s">
        <v>138</v>
      </c>
      <c r="AY1517" s="28" t="s">
        <v>29112</v>
      </c>
      <c r="AZ1517" s="28" t="s">
        <v>164</v>
      </c>
      <c r="BA1517" s="28" t="s">
        <v>165</v>
      </c>
      <c r="BB1517" s="28" t="s">
        <v>29113</v>
      </c>
      <c r="BC1517" s="28" t="s">
        <v>29114</v>
      </c>
      <c r="BD1517" s="33">
        <v>8</v>
      </c>
      <c r="BE1517" s="28" t="s">
        <v>138</v>
      </c>
      <c r="BF1517" s="28" t="s">
        <v>138</v>
      </c>
      <c r="BG1517" s="28" t="s">
        <v>138</v>
      </c>
      <c r="BH1517" s="28" t="s">
        <v>29115</v>
      </c>
      <c r="BI1517" s="28" t="s">
        <v>138</v>
      </c>
      <c r="BJ1517" s="28" t="s">
        <v>138</v>
      </c>
      <c r="BK1517" s="28" t="s">
        <v>29116</v>
      </c>
      <c r="BL1517" s="28" t="s">
        <v>29117</v>
      </c>
      <c r="BM1517" s="34">
        <v>41814</v>
      </c>
      <c r="BN1517" s="29">
        <v>3.64</v>
      </c>
      <c r="BO1517" s="28" t="s">
        <v>172</v>
      </c>
      <c r="BP1517" s="29">
        <v>8.5</v>
      </c>
      <c r="BQ1517" s="28" t="s">
        <v>172</v>
      </c>
      <c r="BR1517" s="28" t="s">
        <v>205</v>
      </c>
      <c r="BS1517" s="28" t="s">
        <v>206</v>
      </c>
      <c r="BT1517" s="28" t="s">
        <v>138</v>
      </c>
      <c r="BU1517" s="28" t="s">
        <v>174</v>
      </c>
      <c r="BV1517" s="28" t="s">
        <v>138</v>
      </c>
      <c r="BW1517" s="28" t="s">
        <v>138</v>
      </c>
      <c r="BX1517" s="28" t="s">
        <v>138</v>
      </c>
      <c r="BY1517" s="28" t="s">
        <v>175</v>
      </c>
      <c r="BZ1517" s="34">
        <v>43298</v>
      </c>
      <c r="CA1517" s="29">
        <v>3.75</v>
      </c>
      <c r="CB1517" s="28" t="s">
        <v>172</v>
      </c>
      <c r="CC1517" s="29">
        <v>7.75</v>
      </c>
      <c r="CD1517" s="28" t="s">
        <v>172</v>
      </c>
      <c r="CE1517" s="28" t="s">
        <v>173</v>
      </c>
      <c r="CF1517" s="28" t="s">
        <v>1727</v>
      </c>
      <c r="CG1517" s="28" t="s">
        <v>138</v>
      </c>
      <c r="CH1517" s="28" t="s">
        <v>174</v>
      </c>
      <c r="CI1517" s="28" t="s">
        <v>138</v>
      </c>
      <c r="CJ1517" s="28" t="s">
        <v>138</v>
      </c>
      <c r="CK1517" s="28" t="s">
        <v>138</v>
      </c>
      <c r="CL1517" s="28" t="s">
        <v>175</v>
      </c>
      <c r="CM1517" s="34" t="s">
        <v>138</v>
      </c>
      <c r="CN1517" s="29" t="s">
        <v>138</v>
      </c>
      <c r="CO1517" s="35">
        <v>0.04</v>
      </c>
      <c r="CP1517" s="36">
        <v>87</v>
      </c>
      <c r="CQ1517" s="35">
        <v>0</v>
      </c>
      <c r="CR1517" s="35">
        <v>0</v>
      </c>
      <c r="CS1517" s="35">
        <v>0</v>
      </c>
      <c r="CT1517" s="36">
        <v>23</v>
      </c>
      <c r="CU1517" s="35">
        <v>7.0000000000000007E-2</v>
      </c>
      <c r="CV1517" s="36">
        <v>62</v>
      </c>
      <c r="CW1517" s="35" t="s">
        <v>138</v>
      </c>
      <c r="CX1517" s="36" t="s">
        <v>138</v>
      </c>
      <c r="CY1517" s="35">
        <v>0</v>
      </c>
      <c r="CZ1517" s="36">
        <v>25</v>
      </c>
      <c r="DA1517" s="35">
        <v>7.0000000000000007E-2</v>
      </c>
      <c r="DB1517" s="36">
        <v>67</v>
      </c>
      <c r="DC1517" s="37">
        <v>0.83</v>
      </c>
      <c r="DD1517" s="36">
        <v>46</v>
      </c>
      <c r="DE1517" s="37">
        <v>0</v>
      </c>
      <c r="DF1517" s="35">
        <v>0.16</v>
      </c>
      <c r="DG1517" s="37">
        <v>1.17</v>
      </c>
      <c r="DH1517" s="36">
        <v>55</v>
      </c>
      <c r="DI1517" s="37">
        <v>0.49</v>
      </c>
      <c r="DJ1517" s="36">
        <v>36</v>
      </c>
      <c r="DK1517" s="37" t="s">
        <v>138</v>
      </c>
      <c r="DL1517" s="36" t="s">
        <v>138</v>
      </c>
      <c r="DM1517" s="37">
        <v>1.17</v>
      </c>
      <c r="DN1517" s="36">
        <v>54</v>
      </c>
      <c r="DO1517" s="37">
        <v>0.49</v>
      </c>
      <c r="DP1517" s="36">
        <v>38</v>
      </c>
      <c r="DQ1517" s="36" t="s">
        <v>138</v>
      </c>
      <c r="DR1517" s="38" t="s">
        <v>138</v>
      </c>
      <c r="DS1517" s="35" t="s">
        <v>138</v>
      </c>
      <c r="DT1517" s="36">
        <v>34</v>
      </c>
      <c r="DU1517" s="38">
        <v>0</v>
      </c>
      <c r="DV1517" s="35">
        <v>0</v>
      </c>
      <c r="DW1517" s="36">
        <v>176</v>
      </c>
      <c r="DX1517" s="39">
        <v>0</v>
      </c>
      <c r="DY1517" s="35">
        <v>0</v>
      </c>
      <c r="DZ1517" s="28" t="s">
        <v>178</v>
      </c>
      <c r="EA1517" s="34">
        <v>43622</v>
      </c>
      <c r="EB1517" s="29">
        <v>7.75</v>
      </c>
      <c r="EC1517" s="34">
        <v>43298</v>
      </c>
      <c r="ED1517" s="28" t="s">
        <v>173</v>
      </c>
      <c r="EE1517" s="40" t="str">
        <f>HYPERLINK("https://my.pitchbook.com?c=63354-97", "View company online")</f>
        <v>View company online</v>
      </c>
    </row>
    <row r="1518" spans="1:135">
      <c r="A1518" s="15" t="s">
        <v>29118</v>
      </c>
      <c r="B1518" s="15" t="s">
        <v>29119</v>
      </c>
      <c r="C1518" s="15" t="s">
        <v>138</v>
      </c>
      <c r="D1518" s="15" t="s">
        <v>138</v>
      </c>
      <c r="E1518" s="15" t="s">
        <v>29120</v>
      </c>
      <c r="F1518" s="15" t="s">
        <v>29118</v>
      </c>
      <c r="G1518" s="15" t="s">
        <v>29121</v>
      </c>
      <c r="H1518" s="15" t="s">
        <v>322</v>
      </c>
      <c r="I1518" s="15" t="s">
        <v>323</v>
      </c>
      <c r="J1518" s="15" t="s">
        <v>324</v>
      </c>
      <c r="K1518" s="15" t="s">
        <v>1543</v>
      </c>
      <c r="L1518" s="15" t="s">
        <v>1544</v>
      </c>
      <c r="M1518" s="15" t="s">
        <v>29122</v>
      </c>
      <c r="N1518" s="15" t="s">
        <v>147</v>
      </c>
      <c r="O1518" s="17">
        <v>147.28</v>
      </c>
      <c r="P1518" s="15" t="s">
        <v>148</v>
      </c>
      <c r="Q1518" s="15" t="s">
        <v>149</v>
      </c>
      <c r="R1518" s="15" t="s">
        <v>174</v>
      </c>
      <c r="S1518" s="15" t="s">
        <v>29123</v>
      </c>
      <c r="T1518" s="18">
        <v>250</v>
      </c>
      <c r="U1518" s="15" t="s">
        <v>29124</v>
      </c>
      <c r="V1518" s="15" t="s">
        <v>138</v>
      </c>
      <c r="W1518" s="15" t="s">
        <v>138</v>
      </c>
      <c r="X1518" s="19">
        <v>2006</v>
      </c>
      <c r="Y1518" s="15" t="s">
        <v>138</v>
      </c>
      <c r="Z1518" s="15" t="s">
        <v>138</v>
      </c>
      <c r="AA1518" s="15" t="s">
        <v>138</v>
      </c>
      <c r="AB1518" s="20" t="s">
        <v>138</v>
      </c>
      <c r="AC1518" s="20" t="s">
        <v>138</v>
      </c>
      <c r="AD1518" s="20" t="s">
        <v>138</v>
      </c>
      <c r="AE1518" s="20" t="s">
        <v>138</v>
      </c>
      <c r="AF1518" s="20" t="s">
        <v>138</v>
      </c>
      <c r="AG1518" s="15" t="s">
        <v>138</v>
      </c>
      <c r="AH1518" s="20" t="s">
        <v>138</v>
      </c>
      <c r="AI1518" s="20" t="s">
        <v>138</v>
      </c>
      <c r="AJ1518" s="20" t="s">
        <v>138</v>
      </c>
      <c r="AK1518" s="15" t="s">
        <v>29125</v>
      </c>
      <c r="AL1518" s="15" t="s">
        <v>29126</v>
      </c>
      <c r="AM1518" s="15" t="s">
        <v>5401</v>
      </c>
      <c r="AN1518" s="15" t="s">
        <v>29127</v>
      </c>
      <c r="AO1518" s="15" t="s">
        <v>29128</v>
      </c>
      <c r="AP1518" s="15" t="s">
        <v>665</v>
      </c>
      <c r="AQ1518" s="15" t="s">
        <v>29129</v>
      </c>
      <c r="AR1518" s="15" t="s">
        <v>6688</v>
      </c>
      <c r="AS1518" s="15" t="s">
        <v>668</v>
      </c>
      <c r="AT1518" s="15" t="s">
        <v>200</v>
      </c>
      <c r="AU1518" s="15" t="s">
        <v>3557</v>
      </c>
      <c r="AV1518" s="15" t="s">
        <v>162</v>
      </c>
      <c r="AW1518" s="15" t="s">
        <v>29128</v>
      </c>
      <c r="AX1518" s="15" t="s">
        <v>138</v>
      </c>
      <c r="AY1518" s="15" t="s">
        <v>29130</v>
      </c>
      <c r="AZ1518" s="15" t="s">
        <v>164</v>
      </c>
      <c r="BA1518" s="15" t="s">
        <v>165</v>
      </c>
      <c r="BB1518" s="15" t="s">
        <v>29131</v>
      </c>
      <c r="BC1518" s="15" t="s">
        <v>29132</v>
      </c>
      <c r="BD1518" s="21">
        <v>13</v>
      </c>
      <c r="BE1518" s="15" t="s">
        <v>138</v>
      </c>
      <c r="BF1518" s="15" t="s">
        <v>138</v>
      </c>
      <c r="BG1518" s="15" t="s">
        <v>138</v>
      </c>
      <c r="BH1518" s="15" t="s">
        <v>29133</v>
      </c>
      <c r="BI1518" s="15" t="s">
        <v>138</v>
      </c>
      <c r="BJ1518" s="15" t="s">
        <v>138</v>
      </c>
      <c r="BK1518" s="15" t="s">
        <v>29134</v>
      </c>
      <c r="BL1518" s="15" t="s">
        <v>12760</v>
      </c>
      <c r="BM1518" s="22" t="s">
        <v>138</v>
      </c>
      <c r="BN1518" s="17">
        <v>0.98</v>
      </c>
      <c r="BO1518" s="15" t="s">
        <v>172</v>
      </c>
      <c r="BP1518" s="17">
        <v>16.2</v>
      </c>
      <c r="BQ1518" s="15" t="s">
        <v>172</v>
      </c>
      <c r="BR1518" s="15" t="s">
        <v>205</v>
      </c>
      <c r="BS1518" s="15" t="s">
        <v>206</v>
      </c>
      <c r="BT1518" s="15" t="s">
        <v>138</v>
      </c>
      <c r="BU1518" s="15" t="s">
        <v>174</v>
      </c>
      <c r="BV1518" s="15" t="s">
        <v>1397</v>
      </c>
      <c r="BW1518" s="15" t="s">
        <v>138</v>
      </c>
      <c r="BX1518" s="15" t="s">
        <v>138</v>
      </c>
      <c r="BY1518" s="15" t="s">
        <v>175</v>
      </c>
      <c r="BZ1518" s="22">
        <v>42877</v>
      </c>
      <c r="CA1518" s="17">
        <v>65</v>
      </c>
      <c r="CB1518" s="15" t="s">
        <v>172</v>
      </c>
      <c r="CC1518" s="17">
        <v>350</v>
      </c>
      <c r="CD1518" s="15" t="s">
        <v>1178</v>
      </c>
      <c r="CE1518" s="15" t="s">
        <v>173</v>
      </c>
      <c r="CF1518" s="15" t="s">
        <v>1897</v>
      </c>
      <c r="CG1518" s="15" t="s">
        <v>138</v>
      </c>
      <c r="CH1518" s="15" t="s">
        <v>174</v>
      </c>
      <c r="CI1518" s="15" t="s">
        <v>1080</v>
      </c>
      <c r="CJ1518" s="15" t="s">
        <v>138</v>
      </c>
      <c r="CK1518" s="15" t="s">
        <v>138</v>
      </c>
      <c r="CL1518" s="15" t="s">
        <v>175</v>
      </c>
      <c r="CM1518" s="22" t="s">
        <v>138</v>
      </c>
      <c r="CN1518" s="17" t="s">
        <v>138</v>
      </c>
      <c r="CO1518" s="23">
        <v>-7.0000000000000007E-2</v>
      </c>
      <c r="CP1518" s="24">
        <v>21</v>
      </c>
      <c r="CQ1518" s="23">
        <v>-0.02</v>
      </c>
      <c r="CR1518" s="23">
        <v>-49.7</v>
      </c>
      <c r="CS1518" s="23">
        <v>-0.24</v>
      </c>
      <c r="CT1518" s="24">
        <v>21</v>
      </c>
      <c r="CU1518" s="23">
        <v>0.09</v>
      </c>
      <c r="CV1518" s="24">
        <v>66</v>
      </c>
      <c r="CW1518" s="23">
        <v>0.22</v>
      </c>
      <c r="CX1518" s="24">
        <v>81</v>
      </c>
      <c r="CY1518" s="23">
        <v>-0.71</v>
      </c>
      <c r="CZ1518" s="24">
        <v>21</v>
      </c>
      <c r="DA1518" s="23">
        <v>0.06</v>
      </c>
      <c r="DB1518" s="24">
        <v>65</v>
      </c>
      <c r="DC1518" s="25">
        <v>58.3</v>
      </c>
      <c r="DD1518" s="24">
        <v>98</v>
      </c>
      <c r="DE1518" s="25">
        <v>-0.69</v>
      </c>
      <c r="DF1518" s="23">
        <v>-1.17</v>
      </c>
      <c r="DG1518" s="25">
        <v>83.26</v>
      </c>
      <c r="DH1518" s="24">
        <v>99</v>
      </c>
      <c r="DI1518" s="25">
        <v>33.340000000000003</v>
      </c>
      <c r="DJ1518" s="24">
        <v>93</v>
      </c>
      <c r="DK1518" s="25">
        <v>23.8</v>
      </c>
      <c r="DL1518" s="24">
        <v>93</v>
      </c>
      <c r="DM1518" s="25">
        <v>142.72</v>
      </c>
      <c r="DN1518" s="24">
        <v>100</v>
      </c>
      <c r="DO1518" s="25">
        <v>65.540000000000006</v>
      </c>
      <c r="DP1518" s="24">
        <v>97</v>
      </c>
      <c r="DQ1518" s="24">
        <v>8018</v>
      </c>
      <c r="DR1518" s="26">
        <v>436</v>
      </c>
      <c r="DS1518" s="23">
        <v>5.75</v>
      </c>
      <c r="DT1518" s="24">
        <v>4140</v>
      </c>
      <c r="DU1518" s="26">
        <v>3</v>
      </c>
      <c r="DV1518" s="23">
        <v>7.0000000000000007E-2</v>
      </c>
      <c r="DW1518" s="24">
        <v>23460</v>
      </c>
      <c r="DX1518" s="27">
        <v>8</v>
      </c>
      <c r="DY1518" s="23">
        <v>0.03</v>
      </c>
      <c r="DZ1518" s="15" t="s">
        <v>178</v>
      </c>
      <c r="EA1518" s="22">
        <v>43424</v>
      </c>
      <c r="EB1518" s="17">
        <v>350</v>
      </c>
      <c r="EC1518" s="22">
        <v>42877</v>
      </c>
      <c r="ED1518" s="15" t="s">
        <v>173</v>
      </c>
      <c r="EE1518" s="14" t="str">
        <f>HYPERLINK("https://my.pitchbook.com?c=52175-26", "View company online")</f>
        <v>View company online</v>
      </c>
    </row>
    <row r="1519" spans="1:135">
      <c r="A1519" s="28" t="s">
        <v>29135</v>
      </c>
      <c r="B1519" s="28" t="s">
        <v>29136</v>
      </c>
      <c r="C1519" s="28" t="s">
        <v>29137</v>
      </c>
      <c r="D1519" s="28" t="s">
        <v>138</v>
      </c>
      <c r="E1519" s="28" t="s">
        <v>29138</v>
      </c>
      <c r="F1519" s="28" t="s">
        <v>29135</v>
      </c>
      <c r="G1519" s="28" t="s">
        <v>29139</v>
      </c>
      <c r="H1519" s="28" t="s">
        <v>141</v>
      </c>
      <c r="I1519" s="28" t="s">
        <v>212</v>
      </c>
      <c r="J1519" s="28" t="s">
        <v>486</v>
      </c>
      <c r="K1519" s="28" t="s">
        <v>29140</v>
      </c>
      <c r="L1519" s="28" t="s">
        <v>7930</v>
      </c>
      <c r="M1519" s="28" t="s">
        <v>29141</v>
      </c>
      <c r="N1519" s="28" t="s">
        <v>147</v>
      </c>
      <c r="O1519" s="29">
        <v>84.84</v>
      </c>
      <c r="P1519" s="28" t="s">
        <v>812</v>
      </c>
      <c r="Q1519" s="28" t="s">
        <v>149</v>
      </c>
      <c r="R1519" s="28" t="s">
        <v>174</v>
      </c>
      <c r="S1519" s="28" t="s">
        <v>29142</v>
      </c>
      <c r="T1519" s="30" t="s">
        <v>138</v>
      </c>
      <c r="U1519" s="28" t="s">
        <v>138</v>
      </c>
      <c r="V1519" s="28" t="s">
        <v>138</v>
      </c>
      <c r="W1519" s="28" t="s">
        <v>138</v>
      </c>
      <c r="X1519" s="31">
        <v>2012</v>
      </c>
      <c r="Y1519" s="28" t="s">
        <v>138</v>
      </c>
      <c r="Z1519" s="28" t="s">
        <v>138</v>
      </c>
      <c r="AA1519" s="28" t="s">
        <v>29143</v>
      </c>
      <c r="AB1519" s="32" t="s">
        <v>138</v>
      </c>
      <c r="AC1519" s="32" t="s">
        <v>138</v>
      </c>
      <c r="AD1519" s="32" t="s">
        <v>138</v>
      </c>
      <c r="AE1519" s="32" t="s">
        <v>138</v>
      </c>
      <c r="AF1519" s="32" t="s">
        <v>138</v>
      </c>
      <c r="AG1519" s="28" t="s">
        <v>138</v>
      </c>
      <c r="AH1519" s="32" t="s">
        <v>138</v>
      </c>
      <c r="AI1519" s="32" t="s">
        <v>138</v>
      </c>
      <c r="AJ1519" s="32" t="s">
        <v>138</v>
      </c>
      <c r="AK1519" s="28" t="s">
        <v>29144</v>
      </c>
      <c r="AL1519" s="28" t="s">
        <v>29145</v>
      </c>
      <c r="AM1519" s="28" t="s">
        <v>29146</v>
      </c>
      <c r="AN1519" s="28" t="s">
        <v>29147</v>
      </c>
      <c r="AO1519" s="28" t="s">
        <v>29148</v>
      </c>
      <c r="AP1519" s="28" t="s">
        <v>2928</v>
      </c>
      <c r="AQ1519" s="28" t="s">
        <v>29149</v>
      </c>
      <c r="AR1519" s="28" t="s">
        <v>4422</v>
      </c>
      <c r="AS1519" s="28" t="s">
        <v>2931</v>
      </c>
      <c r="AT1519" s="28" t="s">
        <v>200</v>
      </c>
      <c r="AU1519" s="28" t="s">
        <v>2932</v>
      </c>
      <c r="AV1519" s="28" t="s">
        <v>162</v>
      </c>
      <c r="AW1519" s="28" t="s">
        <v>29148</v>
      </c>
      <c r="AX1519" s="28" t="s">
        <v>138</v>
      </c>
      <c r="AY1519" s="28" t="s">
        <v>138</v>
      </c>
      <c r="AZ1519" s="28" t="s">
        <v>164</v>
      </c>
      <c r="BA1519" s="28" t="s">
        <v>165</v>
      </c>
      <c r="BB1519" s="28" t="s">
        <v>29150</v>
      </c>
      <c r="BC1519" s="28" t="s">
        <v>29151</v>
      </c>
      <c r="BD1519" s="33">
        <v>25</v>
      </c>
      <c r="BE1519" s="28" t="s">
        <v>138</v>
      </c>
      <c r="BF1519" s="28" t="s">
        <v>138</v>
      </c>
      <c r="BG1519" s="28" t="s">
        <v>138</v>
      </c>
      <c r="BH1519" s="28" t="s">
        <v>29152</v>
      </c>
      <c r="BI1519" s="28" t="s">
        <v>138</v>
      </c>
      <c r="BJ1519" s="28" t="s">
        <v>138</v>
      </c>
      <c r="BK1519" s="28" t="s">
        <v>29153</v>
      </c>
      <c r="BL1519" s="28" t="s">
        <v>2936</v>
      </c>
      <c r="BM1519" s="34">
        <v>41361</v>
      </c>
      <c r="BN1519" s="29">
        <v>1</v>
      </c>
      <c r="BO1519" s="28" t="s">
        <v>172</v>
      </c>
      <c r="BP1519" s="29" t="s">
        <v>138</v>
      </c>
      <c r="BQ1519" s="28" t="s">
        <v>138</v>
      </c>
      <c r="BR1519" s="28" t="s">
        <v>234</v>
      </c>
      <c r="BS1519" s="28" t="s">
        <v>234</v>
      </c>
      <c r="BT1519" s="28" t="s">
        <v>138</v>
      </c>
      <c r="BU1519" s="28" t="s">
        <v>174</v>
      </c>
      <c r="BV1519" s="28" t="s">
        <v>138</v>
      </c>
      <c r="BW1519" s="28" t="s">
        <v>138</v>
      </c>
      <c r="BX1519" s="28" t="s">
        <v>138</v>
      </c>
      <c r="BY1519" s="28" t="s">
        <v>175</v>
      </c>
      <c r="BZ1519" s="34">
        <v>43403</v>
      </c>
      <c r="CA1519" s="29">
        <v>40</v>
      </c>
      <c r="CB1519" s="28" t="s">
        <v>172</v>
      </c>
      <c r="CC1519" s="29">
        <v>190</v>
      </c>
      <c r="CD1519" s="28" t="s">
        <v>172</v>
      </c>
      <c r="CE1519" s="28" t="s">
        <v>173</v>
      </c>
      <c r="CF1519" s="28" t="s">
        <v>317</v>
      </c>
      <c r="CG1519" s="28" t="s">
        <v>138</v>
      </c>
      <c r="CH1519" s="28" t="s">
        <v>174</v>
      </c>
      <c r="CI1519" s="28" t="s">
        <v>138</v>
      </c>
      <c r="CJ1519" s="28" t="s">
        <v>138</v>
      </c>
      <c r="CK1519" s="28" t="s">
        <v>138</v>
      </c>
      <c r="CL1519" s="28" t="s">
        <v>175</v>
      </c>
      <c r="CM1519" s="34" t="s">
        <v>138</v>
      </c>
      <c r="CN1519" s="29" t="s">
        <v>138</v>
      </c>
      <c r="CO1519" s="35">
        <v>-1.64</v>
      </c>
      <c r="CP1519" s="36">
        <v>7</v>
      </c>
      <c r="CQ1519" s="35">
        <v>-0.15</v>
      </c>
      <c r="CR1519" s="35">
        <v>-10.19</v>
      </c>
      <c r="CS1519" s="35">
        <v>-3.32</v>
      </c>
      <c r="CT1519" s="36">
        <v>4</v>
      </c>
      <c r="CU1519" s="35">
        <v>0.04</v>
      </c>
      <c r="CV1519" s="36">
        <v>56</v>
      </c>
      <c r="CW1519" s="35">
        <v>-5.19</v>
      </c>
      <c r="CX1519" s="36">
        <v>3</v>
      </c>
      <c r="CY1519" s="35">
        <v>-1.44</v>
      </c>
      <c r="CZ1519" s="36">
        <v>15</v>
      </c>
      <c r="DA1519" s="35">
        <v>0.04</v>
      </c>
      <c r="DB1519" s="36">
        <v>62</v>
      </c>
      <c r="DC1519" s="37">
        <v>15.35</v>
      </c>
      <c r="DD1519" s="36">
        <v>93</v>
      </c>
      <c r="DE1519" s="37">
        <v>-0.77</v>
      </c>
      <c r="DF1519" s="35">
        <v>-4.8</v>
      </c>
      <c r="DG1519" s="37">
        <v>26.7</v>
      </c>
      <c r="DH1519" s="36">
        <v>96</v>
      </c>
      <c r="DI1519" s="37">
        <v>4.01</v>
      </c>
      <c r="DJ1519" s="36">
        <v>74</v>
      </c>
      <c r="DK1519" s="37">
        <v>24.92</v>
      </c>
      <c r="DL1519" s="36">
        <v>93</v>
      </c>
      <c r="DM1519" s="37">
        <v>28.48</v>
      </c>
      <c r="DN1519" s="36">
        <v>96</v>
      </c>
      <c r="DO1519" s="37">
        <v>4.01</v>
      </c>
      <c r="DP1519" s="36">
        <v>76</v>
      </c>
      <c r="DQ1519" s="36">
        <v>8656</v>
      </c>
      <c r="DR1519" s="38">
        <v>-328</v>
      </c>
      <c r="DS1519" s="35">
        <v>-3.65</v>
      </c>
      <c r="DT1519" s="36">
        <v>825</v>
      </c>
      <c r="DU1519" s="38">
        <v>4</v>
      </c>
      <c r="DV1519" s="35">
        <v>0.49</v>
      </c>
      <c r="DW1519" s="36">
        <v>1435</v>
      </c>
      <c r="DX1519" s="39">
        <v>-1</v>
      </c>
      <c r="DY1519" s="35">
        <v>-7.0000000000000007E-2</v>
      </c>
      <c r="DZ1519" s="28" t="s">
        <v>178</v>
      </c>
      <c r="EA1519" s="34">
        <v>43621</v>
      </c>
      <c r="EB1519" s="29">
        <v>190</v>
      </c>
      <c r="EC1519" s="34">
        <v>43403</v>
      </c>
      <c r="ED1519" s="28" t="s">
        <v>173</v>
      </c>
      <c r="EE1519" s="40" t="str">
        <f>HYPERLINK("https://my.pitchbook.com?c=56052-82", "View company online")</f>
        <v>View company online</v>
      </c>
    </row>
    <row r="1520" spans="1:135">
      <c r="A1520" s="15" t="s">
        <v>29154</v>
      </c>
      <c r="B1520" s="15" t="s">
        <v>29155</v>
      </c>
      <c r="C1520" s="15" t="s">
        <v>138</v>
      </c>
      <c r="D1520" s="15" t="s">
        <v>138</v>
      </c>
      <c r="E1520" s="15" t="s">
        <v>29156</v>
      </c>
      <c r="F1520" s="15" t="s">
        <v>29154</v>
      </c>
      <c r="G1520" s="15" t="s">
        <v>29157</v>
      </c>
      <c r="H1520" s="15" t="s">
        <v>322</v>
      </c>
      <c r="I1520" s="15" t="s">
        <v>323</v>
      </c>
      <c r="J1520" s="15" t="s">
        <v>413</v>
      </c>
      <c r="K1520" s="15" t="s">
        <v>29158</v>
      </c>
      <c r="L1520" s="15" t="s">
        <v>29159</v>
      </c>
      <c r="M1520" s="15" t="s">
        <v>29160</v>
      </c>
      <c r="N1520" s="15" t="s">
        <v>147</v>
      </c>
      <c r="O1520" s="17">
        <v>21</v>
      </c>
      <c r="P1520" s="15" t="s">
        <v>148</v>
      </c>
      <c r="Q1520" s="15" t="s">
        <v>149</v>
      </c>
      <c r="R1520" s="15" t="s">
        <v>174</v>
      </c>
      <c r="S1520" s="15" t="s">
        <v>29161</v>
      </c>
      <c r="T1520" s="18">
        <v>30</v>
      </c>
      <c r="U1520" s="15" t="s">
        <v>29162</v>
      </c>
      <c r="V1520" s="15" t="s">
        <v>138</v>
      </c>
      <c r="W1520" s="15" t="s">
        <v>138</v>
      </c>
      <c r="X1520" s="19">
        <v>2015</v>
      </c>
      <c r="Y1520" s="15" t="s">
        <v>138</v>
      </c>
      <c r="Z1520" s="15" t="s">
        <v>138</v>
      </c>
      <c r="AA1520" s="15" t="s">
        <v>138</v>
      </c>
      <c r="AB1520" s="20" t="s">
        <v>138</v>
      </c>
      <c r="AC1520" s="20" t="s">
        <v>138</v>
      </c>
      <c r="AD1520" s="20" t="s">
        <v>138</v>
      </c>
      <c r="AE1520" s="20" t="s">
        <v>138</v>
      </c>
      <c r="AF1520" s="20" t="s">
        <v>138</v>
      </c>
      <c r="AG1520" s="15" t="s">
        <v>138</v>
      </c>
      <c r="AH1520" s="20" t="s">
        <v>138</v>
      </c>
      <c r="AI1520" s="20" t="s">
        <v>138</v>
      </c>
      <c r="AJ1520" s="20" t="s">
        <v>138</v>
      </c>
      <c r="AK1520" s="15" t="s">
        <v>29163</v>
      </c>
      <c r="AL1520" s="15" t="s">
        <v>29164</v>
      </c>
      <c r="AM1520" s="15" t="s">
        <v>304</v>
      </c>
      <c r="AN1520" s="15" t="s">
        <v>29165</v>
      </c>
      <c r="AO1520" s="15" t="s">
        <v>29166</v>
      </c>
      <c r="AP1520" s="15" t="s">
        <v>964</v>
      </c>
      <c r="AQ1520" s="15" t="s">
        <v>29167</v>
      </c>
      <c r="AR1520" s="15" t="s">
        <v>29168</v>
      </c>
      <c r="AS1520" s="15" t="s">
        <v>966</v>
      </c>
      <c r="AT1520" s="15" t="s">
        <v>200</v>
      </c>
      <c r="AU1520" s="15" t="s">
        <v>967</v>
      </c>
      <c r="AV1520" s="15" t="s">
        <v>162</v>
      </c>
      <c r="AW1520" s="15" t="s">
        <v>138</v>
      </c>
      <c r="AX1520" s="15" t="s">
        <v>138</v>
      </c>
      <c r="AY1520" s="15" t="s">
        <v>29169</v>
      </c>
      <c r="AZ1520" s="15" t="s">
        <v>164</v>
      </c>
      <c r="BA1520" s="15" t="s">
        <v>165</v>
      </c>
      <c r="BB1520" s="15" t="s">
        <v>29170</v>
      </c>
      <c r="BC1520" s="15" t="s">
        <v>29171</v>
      </c>
      <c r="BD1520" s="21">
        <v>17</v>
      </c>
      <c r="BE1520" s="15" t="s">
        <v>138</v>
      </c>
      <c r="BF1520" s="15" t="s">
        <v>138</v>
      </c>
      <c r="BG1520" s="15" t="s">
        <v>138</v>
      </c>
      <c r="BH1520" s="15" t="s">
        <v>29172</v>
      </c>
      <c r="BI1520" s="15" t="s">
        <v>138</v>
      </c>
      <c r="BJ1520" s="15" t="s">
        <v>138</v>
      </c>
      <c r="BK1520" s="15" t="s">
        <v>1275</v>
      </c>
      <c r="BL1520" s="15" t="s">
        <v>1275</v>
      </c>
      <c r="BM1520" s="22">
        <v>42736</v>
      </c>
      <c r="BN1520" s="17">
        <v>0.23</v>
      </c>
      <c r="BO1520" s="15" t="s">
        <v>172</v>
      </c>
      <c r="BP1520" s="17" t="s">
        <v>138</v>
      </c>
      <c r="BQ1520" s="15" t="s">
        <v>138</v>
      </c>
      <c r="BR1520" s="15" t="s">
        <v>176</v>
      </c>
      <c r="BS1520" s="15" t="s">
        <v>138</v>
      </c>
      <c r="BT1520" s="15" t="s">
        <v>138</v>
      </c>
      <c r="BU1520" s="15" t="s">
        <v>177</v>
      </c>
      <c r="BV1520" s="15" t="s">
        <v>138</v>
      </c>
      <c r="BW1520" s="15" t="s">
        <v>138</v>
      </c>
      <c r="BX1520" s="15" t="s">
        <v>138</v>
      </c>
      <c r="BY1520" s="15" t="s">
        <v>175</v>
      </c>
      <c r="BZ1520" s="22">
        <v>43215</v>
      </c>
      <c r="CA1520" s="17">
        <v>0.75</v>
      </c>
      <c r="CB1520" s="15" t="s">
        <v>172</v>
      </c>
      <c r="CC1520" s="17" t="s">
        <v>138</v>
      </c>
      <c r="CD1520" s="15" t="s">
        <v>138</v>
      </c>
      <c r="CE1520" s="15" t="s">
        <v>176</v>
      </c>
      <c r="CF1520" s="15" t="s">
        <v>138</v>
      </c>
      <c r="CG1520" s="15" t="s">
        <v>138</v>
      </c>
      <c r="CH1520" s="15" t="s">
        <v>177</v>
      </c>
      <c r="CI1520" s="15" t="s">
        <v>138</v>
      </c>
      <c r="CJ1520" s="15" t="s">
        <v>138</v>
      </c>
      <c r="CK1520" s="15" t="s">
        <v>138</v>
      </c>
      <c r="CL1520" s="15" t="s">
        <v>175</v>
      </c>
      <c r="CM1520" s="22" t="s">
        <v>138</v>
      </c>
      <c r="CN1520" s="17" t="s">
        <v>138</v>
      </c>
      <c r="CO1520" s="23">
        <v>2.61</v>
      </c>
      <c r="CP1520" s="24">
        <v>99</v>
      </c>
      <c r="CQ1520" s="23">
        <v>0.02</v>
      </c>
      <c r="CR1520" s="23">
        <v>0.68</v>
      </c>
      <c r="CS1520" s="23">
        <v>5.95</v>
      </c>
      <c r="CT1520" s="24">
        <v>100</v>
      </c>
      <c r="CU1520" s="23">
        <v>1.01</v>
      </c>
      <c r="CV1520" s="24">
        <v>98</v>
      </c>
      <c r="CW1520" s="23">
        <v>11.91</v>
      </c>
      <c r="CX1520" s="24">
        <v>100</v>
      </c>
      <c r="CY1520" s="23">
        <v>0</v>
      </c>
      <c r="CZ1520" s="24">
        <v>25</v>
      </c>
      <c r="DA1520" s="23">
        <v>1.01</v>
      </c>
      <c r="DB1520" s="24">
        <v>98</v>
      </c>
      <c r="DC1520" s="25">
        <v>2.0699999999999998</v>
      </c>
      <c r="DD1520" s="24">
        <v>68</v>
      </c>
      <c r="DE1520" s="25">
        <v>-0.2</v>
      </c>
      <c r="DF1520" s="23">
        <v>-8.76</v>
      </c>
      <c r="DG1520" s="25">
        <v>5.0199999999999996</v>
      </c>
      <c r="DH1520" s="24">
        <v>82</v>
      </c>
      <c r="DI1520" s="25">
        <v>1.1299999999999999</v>
      </c>
      <c r="DJ1520" s="24">
        <v>51</v>
      </c>
      <c r="DK1520" s="25">
        <v>9.41</v>
      </c>
      <c r="DL1520" s="24">
        <v>86</v>
      </c>
      <c r="DM1520" s="25">
        <v>0.62</v>
      </c>
      <c r="DN1520" s="24">
        <v>39</v>
      </c>
      <c r="DO1520" s="25">
        <v>1.1299999999999999</v>
      </c>
      <c r="DP1520" s="24">
        <v>53</v>
      </c>
      <c r="DQ1520" s="24">
        <v>3086</v>
      </c>
      <c r="DR1520" s="26">
        <v>428</v>
      </c>
      <c r="DS1520" s="23">
        <v>16.100000000000001</v>
      </c>
      <c r="DT1520" s="24">
        <v>18</v>
      </c>
      <c r="DU1520" s="26">
        <v>-1</v>
      </c>
      <c r="DV1520" s="23">
        <v>-5.26</v>
      </c>
      <c r="DW1520" s="24">
        <v>402</v>
      </c>
      <c r="DX1520" s="27">
        <v>6</v>
      </c>
      <c r="DY1520" s="23">
        <v>1.52</v>
      </c>
      <c r="DZ1520" s="15" t="s">
        <v>178</v>
      </c>
      <c r="EA1520" s="22">
        <v>43517</v>
      </c>
      <c r="EB1520" s="17">
        <v>53</v>
      </c>
      <c r="EC1520" s="22">
        <v>43140</v>
      </c>
      <c r="ED1520" s="15" t="s">
        <v>205</v>
      </c>
      <c r="EE1520" s="14" t="str">
        <f>HYPERLINK("https://my.pitchbook.com?c=167312-44", "View company online")</f>
        <v>View company online</v>
      </c>
    </row>
    <row r="1521" spans="1:135">
      <c r="A1521" s="28" t="s">
        <v>29173</v>
      </c>
      <c r="B1521" s="28" t="s">
        <v>29174</v>
      </c>
      <c r="C1521" s="28" t="s">
        <v>29175</v>
      </c>
      <c r="D1521" s="28" t="s">
        <v>138</v>
      </c>
      <c r="E1521" s="28" t="s">
        <v>29176</v>
      </c>
      <c r="F1521" s="28" t="s">
        <v>29173</v>
      </c>
      <c r="G1521" s="28" t="s">
        <v>29177</v>
      </c>
      <c r="H1521" s="28" t="s">
        <v>322</v>
      </c>
      <c r="I1521" s="28" t="s">
        <v>323</v>
      </c>
      <c r="J1521" s="28" t="s">
        <v>539</v>
      </c>
      <c r="K1521" s="28" t="s">
        <v>19824</v>
      </c>
      <c r="L1521" s="28" t="s">
        <v>29178</v>
      </c>
      <c r="M1521" s="28" t="s">
        <v>29179</v>
      </c>
      <c r="N1521" s="28" t="s">
        <v>147</v>
      </c>
      <c r="O1521" s="29">
        <v>8.6999999999999993</v>
      </c>
      <c r="P1521" s="28" t="s">
        <v>148</v>
      </c>
      <c r="Q1521" s="28" t="s">
        <v>149</v>
      </c>
      <c r="R1521" s="28" t="s">
        <v>174</v>
      </c>
      <c r="S1521" s="28" t="s">
        <v>29180</v>
      </c>
      <c r="T1521" s="30">
        <v>20</v>
      </c>
      <c r="U1521" s="28" t="s">
        <v>29181</v>
      </c>
      <c r="V1521" s="28" t="s">
        <v>138</v>
      </c>
      <c r="W1521" s="28" t="s">
        <v>138</v>
      </c>
      <c r="X1521" s="31">
        <v>2014</v>
      </c>
      <c r="Y1521" s="28" t="s">
        <v>138</v>
      </c>
      <c r="Z1521" s="28" t="s">
        <v>138</v>
      </c>
      <c r="AA1521" s="28" t="s">
        <v>138</v>
      </c>
      <c r="AB1521" s="32" t="s">
        <v>138</v>
      </c>
      <c r="AC1521" s="32" t="s">
        <v>138</v>
      </c>
      <c r="AD1521" s="32" t="s">
        <v>138</v>
      </c>
      <c r="AE1521" s="32" t="s">
        <v>138</v>
      </c>
      <c r="AF1521" s="32" t="s">
        <v>138</v>
      </c>
      <c r="AG1521" s="28" t="s">
        <v>138</v>
      </c>
      <c r="AH1521" s="32" t="s">
        <v>138</v>
      </c>
      <c r="AI1521" s="32" t="s">
        <v>138</v>
      </c>
      <c r="AJ1521" s="32" t="s">
        <v>138</v>
      </c>
      <c r="AK1521" s="28" t="s">
        <v>29182</v>
      </c>
      <c r="AL1521" s="28" t="s">
        <v>29183</v>
      </c>
      <c r="AM1521" s="28" t="s">
        <v>5401</v>
      </c>
      <c r="AN1521" s="28" t="s">
        <v>29184</v>
      </c>
      <c r="AO1521" s="28" t="s">
        <v>138</v>
      </c>
      <c r="AP1521" s="28" t="s">
        <v>307</v>
      </c>
      <c r="AQ1521" s="28" t="s">
        <v>5791</v>
      </c>
      <c r="AR1521" s="28" t="s">
        <v>29185</v>
      </c>
      <c r="AS1521" s="28" t="s">
        <v>310</v>
      </c>
      <c r="AT1521" s="28" t="s">
        <v>200</v>
      </c>
      <c r="AU1521" s="28" t="s">
        <v>311</v>
      </c>
      <c r="AV1521" s="28" t="s">
        <v>162</v>
      </c>
      <c r="AW1521" s="28" t="s">
        <v>138</v>
      </c>
      <c r="AX1521" s="28" t="s">
        <v>138</v>
      </c>
      <c r="AY1521" s="28" t="s">
        <v>29186</v>
      </c>
      <c r="AZ1521" s="28" t="s">
        <v>164</v>
      </c>
      <c r="BA1521" s="28" t="s">
        <v>165</v>
      </c>
      <c r="BB1521" s="28" t="s">
        <v>29187</v>
      </c>
      <c r="BC1521" s="28" t="s">
        <v>29188</v>
      </c>
      <c r="BD1521" s="33">
        <v>6</v>
      </c>
      <c r="BE1521" s="28" t="s">
        <v>138</v>
      </c>
      <c r="BF1521" s="28" t="s">
        <v>138</v>
      </c>
      <c r="BG1521" s="28" t="s">
        <v>138</v>
      </c>
      <c r="BH1521" s="28" t="s">
        <v>29189</v>
      </c>
      <c r="BI1521" s="28" t="s">
        <v>138</v>
      </c>
      <c r="BJ1521" s="28" t="s">
        <v>138</v>
      </c>
      <c r="BK1521" s="28" t="s">
        <v>3825</v>
      </c>
      <c r="BL1521" s="28" t="s">
        <v>290</v>
      </c>
      <c r="BM1521" s="34">
        <v>42478</v>
      </c>
      <c r="BN1521" s="29">
        <v>2.5</v>
      </c>
      <c r="BO1521" s="28" t="s">
        <v>172</v>
      </c>
      <c r="BP1521" s="29">
        <v>9.5</v>
      </c>
      <c r="BQ1521" s="28" t="s">
        <v>172</v>
      </c>
      <c r="BR1521" s="28" t="s">
        <v>205</v>
      </c>
      <c r="BS1521" s="28" t="s">
        <v>206</v>
      </c>
      <c r="BT1521" s="28" t="s">
        <v>138</v>
      </c>
      <c r="BU1521" s="28" t="s">
        <v>174</v>
      </c>
      <c r="BV1521" s="28" t="s">
        <v>138</v>
      </c>
      <c r="BW1521" s="28" t="s">
        <v>138</v>
      </c>
      <c r="BX1521" s="28" t="s">
        <v>138</v>
      </c>
      <c r="BY1521" s="28" t="s">
        <v>175</v>
      </c>
      <c r="BZ1521" s="34">
        <v>43544</v>
      </c>
      <c r="CA1521" s="29">
        <v>2.2000000000000002</v>
      </c>
      <c r="CB1521" s="28" t="s">
        <v>172</v>
      </c>
      <c r="CC1521" s="29" t="s">
        <v>138</v>
      </c>
      <c r="CD1521" s="28" t="s">
        <v>138</v>
      </c>
      <c r="CE1521" s="28" t="s">
        <v>205</v>
      </c>
      <c r="CF1521" s="28" t="s">
        <v>138</v>
      </c>
      <c r="CG1521" s="28" t="s">
        <v>138</v>
      </c>
      <c r="CH1521" s="28" t="s">
        <v>174</v>
      </c>
      <c r="CI1521" s="28" t="s">
        <v>138</v>
      </c>
      <c r="CJ1521" s="28" t="s">
        <v>138</v>
      </c>
      <c r="CK1521" s="28" t="s">
        <v>138</v>
      </c>
      <c r="CL1521" s="28" t="s">
        <v>175</v>
      </c>
      <c r="CM1521" s="34" t="s">
        <v>138</v>
      </c>
      <c r="CN1521" s="29" t="s">
        <v>138</v>
      </c>
      <c r="CO1521" s="35">
        <v>-0.48</v>
      </c>
      <c r="CP1521" s="36">
        <v>16</v>
      </c>
      <c r="CQ1521" s="35">
        <v>-0.08</v>
      </c>
      <c r="CR1521" s="35">
        <v>-19.260000000000002</v>
      </c>
      <c r="CS1521" s="35">
        <v>-1.59</v>
      </c>
      <c r="CT1521" s="36">
        <v>11</v>
      </c>
      <c r="CU1521" s="35">
        <v>0.62</v>
      </c>
      <c r="CV1521" s="36">
        <v>95</v>
      </c>
      <c r="CW1521" s="35">
        <v>-5.0599999999999996</v>
      </c>
      <c r="CX1521" s="36">
        <v>3</v>
      </c>
      <c r="CY1521" s="35">
        <v>1.88</v>
      </c>
      <c r="CZ1521" s="36">
        <v>100</v>
      </c>
      <c r="DA1521" s="35">
        <v>1.25</v>
      </c>
      <c r="DB1521" s="36">
        <v>99</v>
      </c>
      <c r="DC1521" s="37">
        <v>1.95</v>
      </c>
      <c r="DD1521" s="36">
        <v>67</v>
      </c>
      <c r="DE1521" s="37">
        <v>-0.09</v>
      </c>
      <c r="DF1521" s="35">
        <v>-4.46</v>
      </c>
      <c r="DG1521" s="37">
        <v>3.31</v>
      </c>
      <c r="DH1521" s="36">
        <v>76</v>
      </c>
      <c r="DI1521" s="37">
        <v>0.59</v>
      </c>
      <c r="DJ1521" s="36">
        <v>39</v>
      </c>
      <c r="DK1521" s="37">
        <v>2.59</v>
      </c>
      <c r="DL1521" s="36">
        <v>69</v>
      </c>
      <c r="DM1521" s="37">
        <v>4.03</v>
      </c>
      <c r="DN1521" s="36">
        <v>78</v>
      </c>
      <c r="DO1521" s="37">
        <v>1.06</v>
      </c>
      <c r="DP1521" s="36">
        <v>52</v>
      </c>
      <c r="DQ1521" s="36">
        <v>896</v>
      </c>
      <c r="DR1521" s="38">
        <v>-23</v>
      </c>
      <c r="DS1521" s="35">
        <v>-2.5</v>
      </c>
      <c r="DT1521" s="36">
        <v>117</v>
      </c>
      <c r="DU1521" s="38">
        <v>-1</v>
      </c>
      <c r="DV1521" s="35">
        <v>-0.85</v>
      </c>
      <c r="DW1521" s="36">
        <v>382</v>
      </c>
      <c r="DX1521" s="39">
        <v>2</v>
      </c>
      <c r="DY1521" s="35">
        <v>0.53</v>
      </c>
      <c r="DZ1521" s="28" t="s">
        <v>178</v>
      </c>
      <c r="EA1521" s="34">
        <v>43560</v>
      </c>
      <c r="EB1521" s="29">
        <v>14</v>
      </c>
      <c r="EC1521" s="34">
        <v>42585</v>
      </c>
      <c r="ED1521" s="28" t="s">
        <v>205</v>
      </c>
      <c r="EE1521" s="40" t="str">
        <f>HYPERLINK("https://my.pitchbook.com?c=228614-41", "View company online")</f>
        <v>View company online</v>
      </c>
    </row>
    <row r="1522" spans="1:135">
      <c r="A1522" s="15" t="s">
        <v>29190</v>
      </c>
      <c r="B1522" s="15" t="s">
        <v>29191</v>
      </c>
      <c r="C1522" s="15" t="s">
        <v>138</v>
      </c>
      <c r="D1522" s="15" t="s">
        <v>138</v>
      </c>
      <c r="E1522" s="15" t="s">
        <v>29192</v>
      </c>
      <c r="F1522" s="15" t="s">
        <v>29190</v>
      </c>
      <c r="G1522" s="15" t="s">
        <v>29193</v>
      </c>
      <c r="H1522" s="15" t="s">
        <v>322</v>
      </c>
      <c r="I1522" s="15" t="s">
        <v>323</v>
      </c>
      <c r="J1522" s="15" t="s">
        <v>413</v>
      </c>
      <c r="K1522" s="15" t="s">
        <v>414</v>
      </c>
      <c r="L1522" s="15" t="s">
        <v>22946</v>
      </c>
      <c r="M1522" s="15" t="s">
        <v>29194</v>
      </c>
      <c r="N1522" s="15" t="s">
        <v>147</v>
      </c>
      <c r="O1522" s="17">
        <v>91.47</v>
      </c>
      <c r="P1522" s="15" t="s">
        <v>148</v>
      </c>
      <c r="Q1522" s="15" t="s">
        <v>149</v>
      </c>
      <c r="R1522" s="15" t="s">
        <v>174</v>
      </c>
      <c r="S1522" s="15" t="s">
        <v>29195</v>
      </c>
      <c r="T1522" s="18">
        <v>75</v>
      </c>
      <c r="U1522" s="15" t="s">
        <v>29196</v>
      </c>
      <c r="V1522" s="15" t="s">
        <v>138</v>
      </c>
      <c r="W1522" s="15" t="s">
        <v>138</v>
      </c>
      <c r="X1522" s="19">
        <v>2016</v>
      </c>
      <c r="Y1522" s="15" t="s">
        <v>138</v>
      </c>
      <c r="Z1522" s="15" t="s">
        <v>138</v>
      </c>
      <c r="AA1522" s="15" t="s">
        <v>1163</v>
      </c>
      <c r="AB1522" s="20">
        <v>10</v>
      </c>
      <c r="AC1522" s="20" t="s">
        <v>138</v>
      </c>
      <c r="AD1522" s="20" t="s">
        <v>138</v>
      </c>
      <c r="AE1522" s="20" t="s">
        <v>138</v>
      </c>
      <c r="AF1522" s="20" t="s">
        <v>138</v>
      </c>
      <c r="AG1522" s="15" t="s">
        <v>419</v>
      </c>
      <c r="AH1522" s="20" t="s">
        <v>138</v>
      </c>
      <c r="AI1522" s="20" t="s">
        <v>138</v>
      </c>
      <c r="AJ1522" s="20" t="s">
        <v>138</v>
      </c>
      <c r="AK1522" s="15" t="s">
        <v>29197</v>
      </c>
      <c r="AL1522" s="15" t="s">
        <v>29198</v>
      </c>
      <c r="AM1522" s="15" t="s">
        <v>304</v>
      </c>
      <c r="AN1522" s="15" t="s">
        <v>29199</v>
      </c>
      <c r="AO1522" s="15" t="s">
        <v>29200</v>
      </c>
      <c r="AP1522" s="15" t="s">
        <v>1168</v>
      </c>
      <c r="AQ1522" s="15" t="s">
        <v>17683</v>
      </c>
      <c r="AR1522" s="15" t="s">
        <v>29201</v>
      </c>
      <c r="AS1522" s="15" t="s">
        <v>1171</v>
      </c>
      <c r="AT1522" s="15" t="s">
        <v>200</v>
      </c>
      <c r="AU1522" s="15" t="s">
        <v>10793</v>
      </c>
      <c r="AV1522" s="15" t="s">
        <v>162</v>
      </c>
      <c r="AW1522" s="15" t="s">
        <v>138</v>
      </c>
      <c r="AX1522" s="15" t="s">
        <v>138</v>
      </c>
      <c r="AY1522" s="15" t="s">
        <v>29202</v>
      </c>
      <c r="AZ1522" s="15" t="s">
        <v>164</v>
      </c>
      <c r="BA1522" s="15" t="s">
        <v>165</v>
      </c>
      <c r="BB1522" s="15" t="s">
        <v>29203</v>
      </c>
      <c r="BC1522" s="15" t="s">
        <v>29204</v>
      </c>
      <c r="BD1522" s="21">
        <v>9</v>
      </c>
      <c r="BE1522" s="15" t="s">
        <v>138</v>
      </c>
      <c r="BF1522" s="15" t="s">
        <v>138</v>
      </c>
      <c r="BG1522" s="15" t="s">
        <v>138</v>
      </c>
      <c r="BH1522" s="15" t="s">
        <v>29205</v>
      </c>
      <c r="BI1522" s="15" t="s">
        <v>138</v>
      </c>
      <c r="BJ1522" s="15" t="s">
        <v>138</v>
      </c>
      <c r="BK1522" s="15" t="s">
        <v>290</v>
      </c>
      <c r="BL1522" s="15" t="s">
        <v>290</v>
      </c>
      <c r="BM1522" s="22">
        <v>42601</v>
      </c>
      <c r="BN1522" s="17">
        <v>6.47</v>
      </c>
      <c r="BO1522" s="15" t="s">
        <v>172</v>
      </c>
      <c r="BP1522" s="17">
        <v>25.88</v>
      </c>
      <c r="BQ1522" s="15" t="s">
        <v>172</v>
      </c>
      <c r="BR1522" s="15" t="s">
        <v>205</v>
      </c>
      <c r="BS1522" s="15" t="s">
        <v>138</v>
      </c>
      <c r="BT1522" s="15" t="s">
        <v>138</v>
      </c>
      <c r="BU1522" s="15" t="s">
        <v>174</v>
      </c>
      <c r="BV1522" s="15" t="s">
        <v>138</v>
      </c>
      <c r="BW1522" s="15" t="s">
        <v>138</v>
      </c>
      <c r="BX1522" s="15" t="s">
        <v>138</v>
      </c>
      <c r="BY1522" s="15" t="s">
        <v>175</v>
      </c>
      <c r="BZ1522" s="22">
        <v>43326</v>
      </c>
      <c r="CA1522" s="17">
        <v>60</v>
      </c>
      <c r="CB1522" s="15" t="s">
        <v>1178</v>
      </c>
      <c r="CC1522" s="17">
        <v>440</v>
      </c>
      <c r="CD1522" s="15" t="s">
        <v>172</v>
      </c>
      <c r="CE1522" s="15" t="s">
        <v>205</v>
      </c>
      <c r="CF1522" s="15" t="s">
        <v>720</v>
      </c>
      <c r="CG1522" s="15" t="s">
        <v>138</v>
      </c>
      <c r="CH1522" s="15" t="s">
        <v>174</v>
      </c>
      <c r="CI1522" s="15" t="s">
        <v>138</v>
      </c>
      <c r="CJ1522" s="15" t="s">
        <v>138</v>
      </c>
      <c r="CK1522" s="15" t="s">
        <v>138</v>
      </c>
      <c r="CL1522" s="15" t="s">
        <v>175</v>
      </c>
      <c r="CM1522" s="22" t="s">
        <v>138</v>
      </c>
      <c r="CN1522" s="17" t="s">
        <v>138</v>
      </c>
      <c r="CO1522" s="23">
        <v>-2.78</v>
      </c>
      <c r="CP1522" s="24">
        <v>4</v>
      </c>
      <c r="CQ1522" s="23">
        <v>-0.12</v>
      </c>
      <c r="CR1522" s="23">
        <v>-4.5599999999999996</v>
      </c>
      <c r="CS1522" s="23">
        <v>-6.3</v>
      </c>
      <c r="CT1522" s="24">
        <v>2</v>
      </c>
      <c r="CU1522" s="23">
        <v>0.73</v>
      </c>
      <c r="CV1522" s="24">
        <v>96</v>
      </c>
      <c r="CW1522" s="23">
        <v>-11.09</v>
      </c>
      <c r="CX1522" s="24">
        <v>1</v>
      </c>
      <c r="CY1522" s="23">
        <v>-1.51</v>
      </c>
      <c r="CZ1522" s="24">
        <v>15</v>
      </c>
      <c r="DA1522" s="23">
        <v>1.46</v>
      </c>
      <c r="DB1522" s="24">
        <v>99</v>
      </c>
      <c r="DC1522" s="25">
        <v>3.66</v>
      </c>
      <c r="DD1522" s="24">
        <v>78</v>
      </c>
      <c r="DE1522" s="25">
        <v>-0.19</v>
      </c>
      <c r="DF1522" s="23">
        <v>-5</v>
      </c>
      <c r="DG1522" s="25">
        <v>5.88</v>
      </c>
      <c r="DH1522" s="24">
        <v>84</v>
      </c>
      <c r="DI1522" s="25">
        <v>1.45</v>
      </c>
      <c r="DJ1522" s="24">
        <v>56</v>
      </c>
      <c r="DK1522" s="25">
        <v>4.6100000000000003</v>
      </c>
      <c r="DL1522" s="24">
        <v>78</v>
      </c>
      <c r="DM1522" s="25">
        <v>7.14</v>
      </c>
      <c r="DN1522" s="24">
        <v>86</v>
      </c>
      <c r="DO1522" s="25">
        <v>2.82</v>
      </c>
      <c r="DP1522" s="24">
        <v>70</v>
      </c>
      <c r="DQ1522" s="24">
        <v>1688</v>
      </c>
      <c r="DR1522" s="26">
        <v>-319</v>
      </c>
      <c r="DS1522" s="23">
        <v>-15.89</v>
      </c>
      <c r="DT1522" s="24">
        <v>209</v>
      </c>
      <c r="DU1522" s="26">
        <v>-4</v>
      </c>
      <c r="DV1522" s="23">
        <v>-1.88</v>
      </c>
      <c r="DW1522" s="24">
        <v>1009</v>
      </c>
      <c r="DX1522" s="27">
        <v>4</v>
      </c>
      <c r="DY1522" s="23">
        <v>0.4</v>
      </c>
      <c r="DZ1522" s="15" t="s">
        <v>178</v>
      </c>
      <c r="EA1522" s="22">
        <v>43622</v>
      </c>
      <c r="EB1522" s="17">
        <v>440</v>
      </c>
      <c r="EC1522" s="22">
        <v>43326</v>
      </c>
      <c r="ED1522" s="15" t="s">
        <v>205</v>
      </c>
      <c r="EE1522" s="14" t="str">
        <f>HYPERLINK("https://my.pitchbook.com?c=167432-32", "View company online")</f>
        <v>View company online</v>
      </c>
    </row>
    <row r="1523" spans="1:135">
      <c r="A1523" s="28" t="s">
        <v>29206</v>
      </c>
      <c r="B1523" s="28" t="s">
        <v>29207</v>
      </c>
      <c r="C1523" s="28" t="s">
        <v>138</v>
      </c>
      <c r="D1523" s="28" t="s">
        <v>138</v>
      </c>
      <c r="E1523" s="28" t="s">
        <v>29208</v>
      </c>
      <c r="F1523" s="28" t="s">
        <v>29206</v>
      </c>
      <c r="G1523" s="28" t="s">
        <v>29209</v>
      </c>
      <c r="H1523" s="28" t="s">
        <v>322</v>
      </c>
      <c r="I1523" s="28" t="s">
        <v>323</v>
      </c>
      <c r="J1523" s="28" t="s">
        <v>539</v>
      </c>
      <c r="K1523" s="28" t="s">
        <v>29210</v>
      </c>
      <c r="L1523" s="28" t="s">
        <v>4640</v>
      </c>
      <c r="M1523" s="28" t="s">
        <v>29211</v>
      </c>
      <c r="N1523" s="28" t="s">
        <v>147</v>
      </c>
      <c r="O1523" s="29">
        <v>1.92</v>
      </c>
      <c r="P1523" s="28" t="s">
        <v>610</v>
      </c>
      <c r="Q1523" s="28" t="s">
        <v>149</v>
      </c>
      <c r="R1523" s="28" t="s">
        <v>174</v>
      </c>
      <c r="S1523" s="28" t="s">
        <v>29212</v>
      </c>
      <c r="T1523" s="30">
        <v>15</v>
      </c>
      <c r="U1523" s="28" t="s">
        <v>29213</v>
      </c>
      <c r="V1523" s="28" t="s">
        <v>138</v>
      </c>
      <c r="W1523" s="28" t="s">
        <v>138</v>
      </c>
      <c r="X1523" s="31">
        <v>2015</v>
      </c>
      <c r="Y1523" s="28" t="s">
        <v>138</v>
      </c>
      <c r="Z1523" s="28" t="s">
        <v>138</v>
      </c>
      <c r="AA1523" s="28" t="s">
        <v>138</v>
      </c>
      <c r="AB1523" s="32" t="s">
        <v>138</v>
      </c>
      <c r="AC1523" s="32" t="s">
        <v>138</v>
      </c>
      <c r="AD1523" s="32" t="s">
        <v>138</v>
      </c>
      <c r="AE1523" s="32" t="s">
        <v>138</v>
      </c>
      <c r="AF1523" s="32" t="s">
        <v>138</v>
      </c>
      <c r="AG1523" s="28" t="s">
        <v>138</v>
      </c>
      <c r="AH1523" s="32" t="s">
        <v>138</v>
      </c>
      <c r="AI1523" s="32" t="s">
        <v>138</v>
      </c>
      <c r="AJ1523" s="32" t="s">
        <v>138</v>
      </c>
      <c r="AK1523" s="28" t="s">
        <v>29214</v>
      </c>
      <c r="AL1523" s="28" t="s">
        <v>29215</v>
      </c>
      <c r="AM1523" s="28" t="s">
        <v>304</v>
      </c>
      <c r="AN1523" s="28" t="s">
        <v>29216</v>
      </c>
      <c r="AO1523" s="28" t="s">
        <v>29217</v>
      </c>
      <c r="AP1523" s="28" t="s">
        <v>665</v>
      </c>
      <c r="AQ1523" s="28" t="s">
        <v>29218</v>
      </c>
      <c r="AR1523" s="28" t="s">
        <v>138</v>
      </c>
      <c r="AS1523" s="28" t="s">
        <v>668</v>
      </c>
      <c r="AT1523" s="28" t="s">
        <v>200</v>
      </c>
      <c r="AU1523" s="28" t="s">
        <v>3557</v>
      </c>
      <c r="AV1523" s="28" t="s">
        <v>162</v>
      </c>
      <c r="AW1523" s="28" t="s">
        <v>29217</v>
      </c>
      <c r="AX1523" s="28" t="s">
        <v>138</v>
      </c>
      <c r="AY1523" s="28" t="s">
        <v>138</v>
      </c>
      <c r="AZ1523" s="28" t="s">
        <v>164</v>
      </c>
      <c r="BA1523" s="28" t="s">
        <v>165</v>
      </c>
      <c r="BB1523" s="28" t="s">
        <v>29219</v>
      </c>
      <c r="BC1523" s="28" t="s">
        <v>29220</v>
      </c>
      <c r="BD1523" s="33">
        <v>9</v>
      </c>
      <c r="BE1523" s="28" t="s">
        <v>138</v>
      </c>
      <c r="BF1523" s="28" t="s">
        <v>138</v>
      </c>
      <c r="BG1523" s="28" t="s">
        <v>138</v>
      </c>
      <c r="BH1523" s="28" t="s">
        <v>29221</v>
      </c>
      <c r="BI1523" s="28" t="s">
        <v>138</v>
      </c>
      <c r="BJ1523" s="28" t="s">
        <v>138</v>
      </c>
      <c r="BK1523" s="28" t="s">
        <v>1251</v>
      </c>
      <c r="BL1523" s="28" t="s">
        <v>1251</v>
      </c>
      <c r="BM1523" s="34">
        <v>42285</v>
      </c>
      <c r="BN1523" s="29" t="s">
        <v>138</v>
      </c>
      <c r="BO1523" s="28" t="s">
        <v>138</v>
      </c>
      <c r="BP1523" s="29" t="s">
        <v>138</v>
      </c>
      <c r="BQ1523" s="28" t="s">
        <v>138</v>
      </c>
      <c r="BR1523" s="28" t="s">
        <v>316</v>
      </c>
      <c r="BS1523" s="28" t="s">
        <v>138</v>
      </c>
      <c r="BT1523" s="28" t="s">
        <v>138</v>
      </c>
      <c r="BU1523" s="28" t="s">
        <v>177</v>
      </c>
      <c r="BV1523" s="28" t="s">
        <v>138</v>
      </c>
      <c r="BW1523" s="28" t="s">
        <v>138</v>
      </c>
      <c r="BX1523" s="28" t="s">
        <v>138</v>
      </c>
      <c r="BY1523" s="28" t="s">
        <v>175</v>
      </c>
      <c r="BZ1523" s="34">
        <v>43185</v>
      </c>
      <c r="CA1523" s="29" t="s">
        <v>138</v>
      </c>
      <c r="CB1523" s="28" t="s">
        <v>138</v>
      </c>
      <c r="CC1523" s="29" t="s">
        <v>138</v>
      </c>
      <c r="CD1523" s="28" t="s">
        <v>138</v>
      </c>
      <c r="CE1523" s="28" t="s">
        <v>205</v>
      </c>
      <c r="CF1523" s="28" t="s">
        <v>138</v>
      </c>
      <c r="CG1523" s="28" t="s">
        <v>138</v>
      </c>
      <c r="CH1523" s="28" t="s">
        <v>174</v>
      </c>
      <c r="CI1523" s="28" t="s">
        <v>138</v>
      </c>
      <c r="CJ1523" s="28" t="s">
        <v>138</v>
      </c>
      <c r="CK1523" s="28" t="s">
        <v>138</v>
      </c>
      <c r="CL1523" s="28" t="s">
        <v>175</v>
      </c>
      <c r="CM1523" s="34" t="s">
        <v>138</v>
      </c>
      <c r="CN1523" s="29" t="s">
        <v>138</v>
      </c>
      <c r="CO1523" s="35">
        <v>0.38</v>
      </c>
      <c r="CP1523" s="36">
        <v>94</v>
      </c>
      <c r="CQ1523" s="35">
        <v>0.05</v>
      </c>
      <c r="CR1523" s="35">
        <v>15.87</v>
      </c>
      <c r="CS1523" s="35">
        <v>0.71</v>
      </c>
      <c r="CT1523" s="36">
        <v>96</v>
      </c>
      <c r="CU1523" s="35">
        <v>0.05</v>
      </c>
      <c r="CV1523" s="36">
        <v>58</v>
      </c>
      <c r="CW1523" s="35">
        <v>2.48</v>
      </c>
      <c r="CX1523" s="36">
        <v>90</v>
      </c>
      <c r="CY1523" s="35">
        <v>-1.06</v>
      </c>
      <c r="CZ1523" s="36">
        <v>18</v>
      </c>
      <c r="DA1523" s="35">
        <v>0.05</v>
      </c>
      <c r="DB1523" s="36">
        <v>64</v>
      </c>
      <c r="DC1523" s="37">
        <v>3.84</v>
      </c>
      <c r="DD1523" s="36">
        <v>79</v>
      </c>
      <c r="DE1523" s="37">
        <v>0.52</v>
      </c>
      <c r="DF1523" s="35">
        <v>15.8</v>
      </c>
      <c r="DG1523" s="37">
        <v>4.93</v>
      </c>
      <c r="DH1523" s="36">
        <v>82</v>
      </c>
      <c r="DI1523" s="37">
        <v>2.75</v>
      </c>
      <c r="DJ1523" s="36">
        <v>68</v>
      </c>
      <c r="DK1523" s="37">
        <v>2.59</v>
      </c>
      <c r="DL1523" s="36">
        <v>69</v>
      </c>
      <c r="DM1523" s="37">
        <v>7.28</v>
      </c>
      <c r="DN1523" s="36">
        <v>86</v>
      </c>
      <c r="DO1523" s="37">
        <v>2.75</v>
      </c>
      <c r="DP1523" s="36">
        <v>69</v>
      </c>
      <c r="DQ1523" s="36">
        <v>988</v>
      </c>
      <c r="DR1523" s="38">
        <v>-300</v>
      </c>
      <c r="DS1523" s="35">
        <v>-23.29</v>
      </c>
      <c r="DT1523" s="36">
        <v>212</v>
      </c>
      <c r="DU1523" s="38">
        <v>-1</v>
      </c>
      <c r="DV1523" s="35">
        <v>-0.47</v>
      </c>
      <c r="DW1523" s="36">
        <v>982</v>
      </c>
      <c r="DX1523" s="39">
        <v>0</v>
      </c>
      <c r="DY1523" s="35">
        <v>0</v>
      </c>
      <c r="DZ1523" s="28" t="s">
        <v>178</v>
      </c>
      <c r="EA1523" s="34">
        <v>43381</v>
      </c>
      <c r="EB1523" s="29">
        <v>1.71</v>
      </c>
      <c r="EC1523" s="34">
        <v>42452</v>
      </c>
      <c r="ED1523" s="28" t="s">
        <v>316</v>
      </c>
      <c r="EE1523" s="40" t="str">
        <f>HYPERLINK("https://my.pitchbook.com?c=154437-04", "View company online")</f>
        <v>View company online</v>
      </c>
    </row>
    <row r="1524" spans="1:135">
      <c r="A1524" s="15" t="s">
        <v>29222</v>
      </c>
      <c r="B1524" s="15" t="s">
        <v>29223</v>
      </c>
      <c r="C1524" s="15" t="s">
        <v>138</v>
      </c>
      <c r="D1524" s="15" t="s">
        <v>138</v>
      </c>
      <c r="E1524" s="15" t="s">
        <v>29224</v>
      </c>
      <c r="F1524" s="15" t="s">
        <v>29222</v>
      </c>
      <c r="G1524" s="15" t="s">
        <v>29225</v>
      </c>
      <c r="H1524" s="15" t="s">
        <v>322</v>
      </c>
      <c r="I1524" s="15" t="s">
        <v>323</v>
      </c>
      <c r="J1524" s="15" t="s">
        <v>461</v>
      </c>
      <c r="K1524" s="15" t="s">
        <v>10119</v>
      </c>
      <c r="L1524" s="15" t="s">
        <v>29226</v>
      </c>
      <c r="M1524" s="15" t="s">
        <v>29227</v>
      </c>
      <c r="N1524" s="15" t="s">
        <v>147</v>
      </c>
      <c r="O1524" s="17">
        <v>82</v>
      </c>
      <c r="P1524" s="15" t="s">
        <v>148</v>
      </c>
      <c r="Q1524" s="15" t="s">
        <v>149</v>
      </c>
      <c r="R1524" s="15" t="s">
        <v>174</v>
      </c>
      <c r="S1524" s="15" t="s">
        <v>29228</v>
      </c>
      <c r="T1524" s="18">
        <v>65</v>
      </c>
      <c r="U1524" s="15" t="s">
        <v>29229</v>
      </c>
      <c r="V1524" s="15" t="s">
        <v>138</v>
      </c>
      <c r="W1524" s="15" t="s">
        <v>138</v>
      </c>
      <c r="X1524" s="19">
        <v>2014</v>
      </c>
      <c r="Y1524" s="15" t="s">
        <v>138</v>
      </c>
      <c r="Z1524" s="15" t="s">
        <v>138</v>
      </c>
      <c r="AA1524" s="15" t="s">
        <v>138</v>
      </c>
      <c r="AB1524" s="20">
        <v>10</v>
      </c>
      <c r="AC1524" s="20" t="s">
        <v>138</v>
      </c>
      <c r="AD1524" s="20" t="s">
        <v>138</v>
      </c>
      <c r="AE1524" s="20" t="s">
        <v>138</v>
      </c>
      <c r="AF1524" s="20" t="s">
        <v>138</v>
      </c>
      <c r="AG1524" s="15" t="s">
        <v>419</v>
      </c>
      <c r="AH1524" s="20" t="s">
        <v>138</v>
      </c>
      <c r="AI1524" s="20" t="s">
        <v>138</v>
      </c>
      <c r="AJ1524" s="20" t="s">
        <v>138</v>
      </c>
      <c r="AK1524" s="15" t="s">
        <v>29230</v>
      </c>
      <c r="AL1524" s="15" t="s">
        <v>29231</v>
      </c>
      <c r="AM1524" s="15" t="s">
        <v>249</v>
      </c>
      <c r="AN1524" s="15" t="s">
        <v>29232</v>
      </c>
      <c r="AO1524" s="15" t="s">
        <v>29233</v>
      </c>
      <c r="AP1524" s="15" t="s">
        <v>5697</v>
      </c>
      <c r="AQ1524" s="15" t="s">
        <v>29234</v>
      </c>
      <c r="AR1524" s="15" t="s">
        <v>29235</v>
      </c>
      <c r="AS1524" s="15" t="s">
        <v>5700</v>
      </c>
      <c r="AT1524" s="15" t="s">
        <v>138</v>
      </c>
      <c r="AU1524" s="15" t="s">
        <v>29236</v>
      </c>
      <c r="AV1524" s="15" t="s">
        <v>740</v>
      </c>
      <c r="AW1524" s="15" t="s">
        <v>29233</v>
      </c>
      <c r="AX1524" s="15" t="s">
        <v>138</v>
      </c>
      <c r="AY1524" s="15" t="s">
        <v>29237</v>
      </c>
      <c r="AZ1524" s="15" t="s">
        <v>742</v>
      </c>
      <c r="BA1524" s="15" t="s">
        <v>742</v>
      </c>
      <c r="BB1524" s="15" t="s">
        <v>29238</v>
      </c>
      <c r="BC1524" s="15" t="s">
        <v>29239</v>
      </c>
      <c r="BD1524" s="21">
        <v>13</v>
      </c>
      <c r="BE1524" s="15" t="s">
        <v>138</v>
      </c>
      <c r="BF1524" s="15" t="s">
        <v>138</v>
      </c>
      <c r="BG1524" s="15" t="s">
        <v>138</v>
      </c>
      <c r="BH1524" s="15" t="s">
        <v>29240</v>
      </c>
      <c r="BI1524" s="15" t="s">
        <v>138</v>
      </c>
      <c r="BJ1524" s="15" t="s">
        <v>138</v>
      </c>
      <c r="BK1524" s="15" t="s">
        <v>138</v>
      </c>
      <c r="BL1524" s="15" t="s">
        <v>138</v>
      </c>
      <c r="BM1524" s="22" t="s">
        <v>138</v>
      </c>
      <c r="BN1524" s="17">
        <v>50</v>
      </c>
      <c r="BO1524" s="15" t="s">
        <v>172</v>
      </c>
      <c r="BP1524" s="17" t="s">
        <v>138</v>
      </c>
      <c r="BQ1524" s="15" t="s">
        <v>138</v>
      </c>
      <c r="BR1524" s="15" t="s">
        <v>205</v>
      </c>
      <c r="BS1524" s="15" t="s">
        <v>138</v>
      </c>
      <c r="BT1524" s="15" t="s">
        <v>138</v>
      </c>
      <c r="BU1524" s="15" t="s">
        <v>174</v>
      </c>
      <c r="BV1524" s="15" t="s">
        <v>138</v>
      </c>
      <c r="BW1524" s="15" t="s">
        <v>138</v>
      </c>
      <c r="BX1524" s="15" t="s">
        <v>138</v>
      </c>
      <c r="BY1524" s="15" t="s">
        <v>175</v>
      </c>
      <c r="BZ1524" s="22">
        <v>42928</v>
      </c>
      <c r="CA1524" s="17">
        <v>32</v>
      </c>
      <c r="CB1524" s="15" t="s">
        <v>172</v>
      </c>
      <c r="CC1524" s="17" t="s">
        <v>138</v>
      </c>
      <c r="CD1524" s="15" t="s">
        <v>138</v>
      </c>
      <c r="CE1524" s="15" t="s">
        <v>205</v>
      </c>
      <c r="CF1524" s="15" t="s">
        <v>720</v>
      </c>
      <c r="CG1524" s="15" t="s">
        <v>138</v>
      </c>
      <c r="CH1524" s="15" t="s">
        <v>174</v>
      </c>
      <c r="CI1524" s="15" t="s">
        <v>138</v>
      </c>
      <c r="CJ1524" s="15" t="s">
        <v>138</v>
      </c>
      <c r="CK1524" s="15" t="s">
        <v>138</v>
      </c>
      <c r="CL1524" s="15" t="s">
        <v>175</v>
      </c>
      <c r="CM1524" s="22" t="s">
        <v>138</v>
      </c>
      <c r="CN1524" s="17" t="s">
        <v>138</v>
      </c>
      <c r="CO1524" s="23">
        <v>0.9</v>
      </c>
      <c r="CP1524" s="24">
        <v>97</v>
      </c>
      <c r="CQ1524" s="23">
        <v>-0.14000000000000001</v>
      </c>
      <c r="CR1524" s="23">
        <v>-13.25</v>
      </c>
      <c r="CS1524" s="23">
        <v>1.34</v>
      </c>
      <c r="CT1524" s="24">
        <v>97</v>
      </c>
      <c r="CU1524" s="23">
        <v>0.47</v>
      </c>
      <c r="CV1524" s="24">
        <v>93</v>
      </c>
      <c r="CW1524" s="23">
        <v>3.29</v>
      </c>
      <c r="CX1524" s="24">
        <v>92</v>
      </c>
      <c r="CY1524" s="23">
        <v>-0.62</v>
      </c>
      <c r="CZ1524" s="24">
        <v>21</v>
      </c>
      <c r="DA1524" s="23">
        <v>0.47</v>
      </c>
      <c r="DB1524" s="24">
        <v>93</v>
      </c>
      <c r="DC1524" s="25">
        <v>12.71</v>
      </c>
      <c r="DD1524" s="24">
        <v>92</v>
      </c>
      <c r="DE1524" s="25">
        <v>-0.16</v>
      </c>
      <c r="DF1524" s="23">
        <v>-1.23</v>
      </c>
      <c r="DG1524" s="25">
        <v>16.95</v>
      </c>
      <c r="DH1524" s="24">
        <v>94</v>
      </c>
      <c r="DI1524" s="25">
        <v>8.4600000000000009</v>
      </c>
      <c r="DJ1524" s="24">
        <v>83</v>
      </c>
      <c r="DK1524" s="25">
        <v>6.08</v>
      </c>
      <c r="DL1524" s="24">
        <v>82</v>
      </c>
      <c r="DM1524" s="25">
        <v>27.83</v>
      </c>
      <c r="DN1524" s="24">
        <v>96</v>
      </c>
      <c r="DO1524" s="25">
        <v>8.4600000000000009</v>
      </c>
      <c r="DP1524" s="24">
        <v>86</v>
      </c>
      <c r="DQ1524" s="24">
        <v>2098</v>
      </c>
      <c r="DR1524" s="26">
        <v>-35</v>
      </c>
      <c r="DS1524" s="23">
        <v>-1.64</v>
      </c>
      <c r="DT1524" s="24">
        <v>807</v>
      </c>
      <c r="DU1524" s="26">
        <v>3</v>
      </c>
      <c r="DV1524" s="23">
        <v>0.37</v>
      </c>
      <c r="DW1524" s="24">
        <v>3024</v>
      </c>
      <c r="DX1524" s="27">
        <v>10</v>
      </c>
      <c r="DY1524" s="23">
        <v>0.33</v>
      </c>
      <c r="DZ1524" s="15" t="s">
        <v>178</v>
      </c>
      <c r="EA1524" s="22">
        <v>43622</v>
      </c>
      <c r="EB1524" s="17" t="s">
        <v>138</v>
      </c>
      <c r="EC1524" s="22" t="s">
        <v>138</v>
      </c>
      <c r="ED1524" s="15" t="s">
        <v>138</v>
      </c>
      <c r="EE1524" s="14" t="str">
        <f>HYPERLINK("https://my.pitchbook.com?c=151111-81", "View company online")</f>
        <v>View company online</v>
      </c>
    </row>
    <row r="1525" spans="1:135">
      <c r="A1525" s="28" t="s">
        <v>29241</v>
      </c>
      <c r="B1525" s="28" t="s">
        <v>29242</v>
      </c>
      <c r="C1525" s="28" t="s">
        <v>138</v>
      </c>
      <c r="D1525" s="28" t="s">
        <v>138</v>
      </c>
      <c r="E1525" s="28" t="s">
        <v>138</v>
      </c>
      <c r="F1525" s="28" t="s">
        <v>29241</v>
      </c>
      <c r="G1525" s="28" t="s">
        <v>29243</v>
      </c>
      <c r="H1525" s="28" t="s">
        <v>322</v>
      </c>
      <c r="I1525" s="28" t="s">
        <v>323</v>
      </c>
      <c r="J1525" s="28" t="s">
        <v>413</v>
      </c>
      <c r="K1525" s="28" t="s">
        <v>2254</v>
      </c>
      <c r="L1525" s="28" t="s">
        <v>2255</v>
      </c>
      <c r="M1525" s="28" t="s">
        <v>29244</v>
      </c>
      <c r="N1525" s="28" t="s">
        <v>147</v>
      </c>
      <c r="O1525" s="29">
        <v>0.55000000000000004</v>
      </c>
      <c r="P1525" s="28" t="s">
        <v>148</v>
      </c>
      <c r="Q1525" s="28" t="s">
        <v>149</v>
      </c>
      <c r="R1525" s="28" t="s">
        <v>174</v>
      </c>
      <c r="S1525" s="28" t="s">
        <v>29245</v>
      </c>
      <c r="T1525" s="30" t="s">
        <v>138</v>
      </c>
      <c r="U1525" s="28" t="s">
        <v>138</v>
      </c>
      <c r="V1525" s="28" t="s">
        <v>138</v>
      </c>
      <c r="W1525" s="28" t="s">
        <v>138</v>
      </c>
      <c r="X1525" s="31">
        <v>2017</v>
      </c>
      <c r="Y1525" s="28" t="s">
        <v>138</v>
      </c>
      <c r="Z1525" s="28" t="s">
        <v>138</v>
      </c>
      <c r="AA1525" s="28" t="s">
        <v>138</v>
      </c>
      <c r="AB1525" s="32" t="s">
        <v>138</v>
      </c>
      <c r="AC1525" s="32" t="s">
        <v>138</v>
      </c>
      <c r="AD1525" s="32" t="s">
        <v>138</v>
      </c>
      <c r="AE1525" s="32" t="s">
        <v>138</v>
      </c>
      <c r="AF1525" s="32" t="s">
        <v>138</v>
      </c>
      <c r="AG1525" s="28" t="s">
        <v>138</v>
      </c>
      <c r="AH1525" s="32" t="s">
        <v>138</v>
      </c>
      <c r="AI1525" s="32" t="s">
        <v>138</v>
      </c>
      <c r="AJ1525" s="32" t="s">
        <v>138</v>
      </c>
      <c r="AK1525" s="28" t="s">
        <v>29246</v>
      </c>
      <c r="AL1525" s="28" t="s">
        <v>29247</v>
      </c>
      <c r="AM1525" s="28" t="s">
        <v>29248</v>
      </c>
      <c r="AN1525" s="28" t="s">
        <v>29249</v>
      </c>
      <c r="AO1525" s="28" t="s">
        <v>138</v>
      </c>
      <c r="AP1525" s="28" t="s">
        <v>1168</v>
      </c>
      <c r="AQ1525" s="28" t="s">
        <v>5146</v>
      </c>
      <c r="AR1525" s="28" t="s">
        <v>1459</v>
      </c>
      <c r="AS1525" s="28" t="s">
        <v>1171</v>
      </c>
      <c r="AT1525" s="28" t="s">
        <v>200</v>
      </c>
      <c r="AU1525" s="28" t="s">
        <v>4152</v>
      </c>
      <c r="AV1525" s="28" t="s">
        <v>162</v>
      </c>
      <c r="AW1525" s="28" t="s">
        <v>138</v>
      </c>
      <c r="AX1525" s="28" t="s">
        <v>138</v>
      </c>
      <c r="AY1525" s="28" t="s">
        <v>29250</v>
      </c>
      <c r="AZ1525" s="28" t="s">
        <v>164</v>
      </c>
      <c r="BA1525" s="28" t="s">
        <v>165</v>
      </c>
      <c r="BB1525" s="28" t="s">
        <v>29251</v>
      </c>
      <c r="BC1525" s="28" t="s">
        <v>29252</v>
      </c>
      <c r="BD1525" s="33">
        <v>5</v>
      </c>
      <c r="BE1525" s="28" t="s">
        <v>138</v>
      </c>
      <c r="BF1525" s="28" t="s">
        <v>138</v>
      </c>
      <c r="BG1525" s="28" t="s">
        <v>138</v>
      </c>
      <c r="BH1525" s="28" t="s">
        <v>29253</v>
      </c>
      <c r="BI1525" s="28" t="s">
        <v>138</v>
      </c>
      <c r="BJ1525" s="28" t="s">
        <v>138</v>
      </c>
      <c r="BK1525" s="28" t="s">
        <v>204</v>
      </c>
      <c r="BL1525" s="28" t="s">
        <v>204</v>
      </c>
      <c r="BM1525" s="34">
        <v>42944</v>
      </c>
      <c r="BN1525" s="29">
        <v>0.55000000000000004</v>
      </c>
      <c r="BO1525" s="28" t="s">
        <v>172</v>
      </c>
      <c r="BP1525" s="29">
        <v>3.3</v>
      </c>
      <c r="BQ1525" s="28" t="s">
        <v>172</v>
      </c>
      <c r="BR1525" s="28" t="s">
        <v>234</v>
      </c>
      <c r="BS1525" s="28" t="s">
        <v>234</v>
      </c>
      <c r="BT1525" s="28" t="s">
        <v>138</v>
      </c>
      <c r="BU1525" s="28" t="s">
        <v>174</v>
      </c>
      <c r="BV1525" s="28" t="s">
        <v>138</v>
      </c>
      <c r="BW1525" s="28" t="s">
        <v>138</v>
      </c>
      <c r="BX1525" s="28" t="s">
        <v>138</v>
      </c>
      <c r="BY1525" s="28" t="s">
        <v>175</v>
      </c>
      <c r="BZ1525" s="34">
        <v>43435</v>
      </c>
      <c r="CA1525" s="29" t="s">
        <v>138</v>
      </c>
      <c r="CB1525" s="28" t="s">
        <v>138</v>
      </c>
      <c r="CC1525" s="29" t="s">
        <v>138</v>
      </c>
      <c r="CD1525" s="28" t="s">
        <v>138</v>
      </c>
      <c r="CE1525" s="28" t="s">
        <v>234</v>
      </c>
      <c r="CF1525" s="28" t="s">
        <v>234</v>
      </c>
      <c r="CG1525" s="28" t="s">
        <v>138</v>
      </c>
      <c r="CH1525" s="28" t="s">
        <v>174</v>
      </c>
      <c r="CI1525" s="28" t="s">
        <v>264</v>
      </c>
      <c r="CJ1525" s="28" t="s">
        <v>138</v>
      </c>
      <c r="CK1525" s="28" t="s">
        <v>138</v>
      </c>
      <c r="CL1525" s="28" t="s">
        <v>175</v>
      </c>
      <c r="CM1525" s="34" t="s">
        <v>138</v>
      </c>
      <c r="CN1525" s="29" t="s">
        <v>138</v>
      </c>
      <c r="CO1525" s="35">
        <v>0</v>
      </c>
      <c r="CP1525" s="36">
        <v>26</v>
      </c>
      <c r="CQ1525" s="35">
        <v>0</v>
      </c>
      <c r="CR1525" s="35">
        <v>0</v>
      </c>
      <c r="CS1525" s="35">
        <v>0</v>
      </c>
      <c r="CT1525" s="36">
        <v>23</v>
      </c>
      <c r="CU1525" s="35">
        <v>0</v>
      </c>
      <c r="CV1525" s="36">
        <v>22</v>
      </c>
      <c r="CW1525" s="35" t="s">
        <v>138</v>
      </c>
      <c r="CX1525" s="36" t="s">
        <v>138</v>
      </c>
      <c r="CY1525" s="35">
        <v>0</v>
      </c>
      <c r="CZ1525" s="36">
        <v>25</v>
      </c>
      <c r="DA1525" s="35">
        <v>0</v>
      </c>
      <c r="DB1525" s="36">
        <v>22</v>
      </c>
      <c r="DC1525" s="37">
        <v>0.51</v>
      </c>
      <c r="DD1525" s="36">
        <v>34</v>
      </c>
      <c r="DE1525" s="37">
        <v>0</v>
      </c>
      <c r="DF1525" s="35">
        <v>-0.15</v>
      </c>
      <c r="DG1525" s="37">
        <v>0.79</v>
      </c>
      <c r="DH1525" s="36">
        <v>45</v>
      </c>
      <c r="DI1525" s="37">
        <v>0.22</v>
      </c>
      <c r="DJ1525" s="36">
        <v>23</v>
      </c>
      <c r="DK1525" s="37" t="s">
        <v>138</v>
      </c>
      <c r="DL1525" s="36" t="s">
        <v>138</v>
      </c>
      <c r="DM1525" s="37">
        <v>0.79</v>
      </c>
      <c r="DN1525" s="36">
        <v>45</v>
      </c>
      <c r="DO1525" s="37">
        <v>0.22</v>
      </c>
      <c r="DP1525" s="36">
        <v>26</v>
      </c>
      <c r="DQ1525" s="36">
        <v>175</v>
      </c>
      <c r="DR1525" s="38">
        <v>11</v>
      </c>
      <c r="DS1525" s="35">
        <v>6.71</v>
      </c>
      <c r="DT1525" s="36">
        <v>23</v>
      </c>
      <c r="DU1525" s="38">
        <v>0</v>
      </c>
      <c r="DV1525" s="35">
        <v>0</v>
      </c>
      <c r="DW1525" s="36">
        <v>80</v>
      </c>
      <c r="DX1525" s="39">
        <v>-1</v>
      </c>
      <c r="DY1525" s="35">
        <v>-1.23</v>
      </c>
      <c r="DZ1525" s="28" t="s">
        <v>178</v>
      </c>
      <c r="EA1525" s="34">
        <v>43613</v>
      </c>
      <c r="EB1525" s="29">
        <v>3.3</v>
      </c>
      <c r="EC1525" s="34">
        <v>42944</v>
      </c>
      <c r="ED1525" s="28" t="s">
        <v>234</v>
      </c>
      <c r="EE1525" s="40" t="str">
        <f>HYPERLINK("https://my.pitchbook.com?c=185675-95", "View company online")</f>
        <v>View company online</v>
      </c>
    </row>
    <row r="1526" spans="1:135">
      <c r="A1526" s="15" t="s">
        <v>29254</v>
      </c>
      <c r="B1526" s="15" t="s">
        <v>29255</v>
      </c>
      <c r="C1526" s="15" t="s">
        <v>138</v>
      </c>
      <c r="D1526" s="15" t="s">
        <v>138</v>
      </c>
      <c r="E1526" s="15" t="s">
        <v>29256</v>
      </c>
      <c r="F1526" s="15" t="s">
        <v>29254</v>
      </c>
      <c r="G1526" s="15" t="s">
        <v>29257</v>
      </c>
      <c r="H1526" s="15" t="s">
        <v>322</v>
      </c>
      <c r="I1526" s="15" t="s">
        <v>323</v>
      </c>
      <c r="J1526" s="15" t="s">
        <v>2984</v>
      </c>
      <c r="K1526" s="15" t="s">
        <v>29258</v>
      </c>
      <c r="L1526" s="15" t="s">
        <v>415</v>
      </c>
      <c r="M1526" s="15" t="s">
        <v>29259</v>
      </c>
      <c r="N1526" s="15" t="s">
        <v>147</v>
      </c>
      <c r="O1526" s="17">
        <v>169.74</v>
      </c>
      <c r="P1526" s="15" t="s">
        <v>148</v>
      </c>
      <c r="Q1526" s="15" t="s">
        <v>149</v>
      </c>
      <c r="R1526" s="15" t="s">
        <v>174</v>
      </c>
      <c r="S1526" s="15" t="s">
        <v>29260</v>
      </c>
      <c r="T1526" s="18">
        <v>140</v>
      </c>
      <c r="U1526" s="15" t="s">
        <v>29261</v>
      </c>
      <c r="V1526" s="15" t="s">
        <v>138</v>
      </c>
      <c r="W1526" s="15" t="s">
        <v>138</v>
      </c>
      <c r="X1526" s="19">
        <v>2012</v>
      </c>
      <c r="Y1526" s="15" t="s">
        <v>138</v>
      </c>
      <c r="Z1526" s="15" t="s">
        <v>138</v>
      </c>
      <c r="AA1526" s="15" t="s">
        <v>138</v>
      </c>
      <c r="AB1526" s="20" t="s">
        <v>138</v>
      </c>
      <c r="AC1526" s="20" t="s">
        <v>138</v>
      </c>
      <c r="AD1526" s="20" t="s">
        <v>138</v>
      </c>
      <c r="AE1526" s="20" t="s">
        <v>138</v>
      </c>
      <c r="AF1526" s="20" t="s">
        <v>138</v>
      </c>
      <c r="AG1526" s="15" t="s">
        <v>138</v>
      </c>
      <c r="AH1526" s="20" t="s">
        <v>138</v>
      </c>
      <c r="AI1526" s="20" t="s">
        <v>138</v>
      </c>
      <c r="AJ1526" s="20" t="s">
        <v>138</v>
      </c>
      <c r="AK1526" s="15" t="s">
        <v>29262</v>
      </c>
      <c r="AL1526" s="15" t="s">
        <v>29263</v>
      </c>
      <c r="AM1526" s="15" t="s">
        <v>23607</v>
      </c>
      <c r="AN1526" s="15" t="s">
        <v>29264</v>
      </c>
      <c r="AO1526" s="15" t="s">
        <v>29265</v>
      </c>
      <c r="AP1526" s="15" t="s">
        <v>1244</v>
      </c>
      <c r="AQ1526" s="15" t="s">
        <v>29266</v>
      </c>
      <c r="AR1526" s="15" t="s">
        <v>138</v>
      </c>
      <c r="AS1526" s="15" t="s">
        <v>1246</v>
      </c>
      <c r="AT1526" s="15" t="s">
        <v>200</v>
      </c>
      <c r="AU1526" s="15" t="s">
        <v>2437</v>
      </c>
      <c r="AV1526" s="15" t="s">
        <v>162</v>
      </c>
      <c r="AW1526" s="15" t="s">
        <v>29265</v>
      </c>
      <c r="AX1526" s="15" t="s">
        <v>138</v>
      </c>
      <c r="AY1526" s="15" t="s">
        <v>29267</v>
      </c>
      <c r="AZ1526" s="15" t="s">
        <v>164</v>
      </c>
      <c r="BA1526" s="15" t="s">
        <v>165</v>
      </c>
      <c r="BB1526" s="15" t="s">
        <v>29268</v>
      </c>
      <c r="BC1526" s="15" t="s">
        <v>29269</v>
      </c>
      <c r="BD1526" s="21">
        <v>9</v>
      </c>
      <c r="BE1526" s="15" t="s">
        <v>138</v>
      </c>
      <c r="BF1526" s="15" t="s">
        <v>138</v>
      </c>
      <c r="BG1526" s="15" t="s">
        <v>138</v>
      </c>
      <c r="BH1526" s="15" t="s">
        <v>29270</v>
      </c>
      <c r="BI1526" s="15" t="s">
        <v>138</v>
      </c>
      <c r="BJ1526" s="15" t="s">
        <v>138</v>
      </c>
      <c r="BK1526" s="15" t="s">
        <v>1251</v>
      </c>
      <c r="BL1526" s="15" t="s">
        <v>1251</v>
      </c>
      <c r="BM1526" s="22">
        <v>41218</v>
      </c>
      <c r="BN1526" s="17">
        <v>15.5</v>
      </c>
      <c r="BO1526" s="15" t="s">
        <v>172</v>
      </c>
      <c r="BP1526" s="17">
        <v>60.78</v>
      </c>
      <c r="BQ1526" s="15" t="s">
        <v>172</v>
      </c>
      <c r="BR1526" s="15" t="s">
        <v>205</v>
      </c>
      <c r="BS1526" s="15" t="s">
        <v>206</v>
      </c>
      <c r="BT1526" s="15" t="s">
        <v>138</v>
      </c>
      <c r="BU1526" s="15" t="s">
        <v>174</v>
      </c>
      <c r="BV1526" s="15" t="s">
        <v>138</v>
      </c>
      <c r="BW1526" s="15" t="s">
        <v>138</v>
      </c>
      <c r="BX1526" s="15" t="s">
        <v>138</v>
      </c>
      <c r="BY1526" s="15" t="s">
        <v>175</v>
      </c>
      <c r="BZ1526" s="22">
        <v>43356</v>
      </c>
      <c r="CA1526" s="17">
        <v>59.24</v>
      </c>
      <c r="CB1526" s="15" t="s">
        <v>172</v>
      </c>
      <c r="CC1526" s="17">
        <v>209.24</v>
      </c>
      <c r="CD1526" s="15" t="s">
        <v>172</v>
      </c>
      <c r="CE1526" s="15" t="s">
        <v>173</v>
      </c>
      <c r="CF1526" s="15" t="s">
        <v>433</v>
      </c>
      <c r="CG1526" s="15" t="s">
        <v>138</v>
      </c>
      <c r="CH1526" s="15" t="s">
        <v>174</v>
      </c>
      <c r="CI1526" s="15" t="s">
        <v>138</v>
      </c>
      <c r="CJ1526" s="15" t="s">
        <v>138</v>
      </c>
      <c r="CK1526" s="15" t="s">
        <v>138</v>
      </c>
      <c r="CL1526" s="15" t="s">
        <v>175</v>
      </c>
      <c r="CM1526" s="22" t="s">
        <v>138</v>
      </c>
      <c r="CN1526" s="17" t="s">
        <v>138</v>
      </c>
      <c r="CO1526" s="23">
        <v>-0.12</v>
      </c>
      <c r="CP1526" s="24">
        <v>21</v>
      </c>
      <c r="CQ1526" s="23">
        <v>0.01</v>
      </c>
      <c r="CR1526" s="23">
        <v>7.85</v>
      </c>
      <c r="CS1526" s="23">
        <v>-0.43</v>
      </c>
      <c r="CT1526" s="24">
        <v>20</v>
      </c>
      <c r="CU1526" s="23">
        <v>0.18</v>
      </c>
      <c r="CV1526" s="24">
        <v>78</v>
      </c>
      <c r="CW1526" s="23">
        <v>0.42</v>
      </c>
      <c r="CX1526" s="24">
        <v>82</v>
      </c>
      <c r="CY1526" s="23">
        <v>-1.28</v>
      </c>
      <c r="CZ1526" s="24">
        <v>17</v>
      </c>
      <c r="DA1526" s="23">
        <v>0.18</v>
      </c>
      <c r="DB1526" s="24">
        <v>81</v>
      </c>
      <c r="DC1526" s="25">
        <v>9.1999999999999993</v>
      </c>
      <c r="DD1526" s="24">
        <v>89</v>
      </c>
      <c r="DE1526" s="25">
        <v>-0.22</v>
      </c>
      <c r="DF1526" s="23">
        <v>-2.35</v>
      </c>
      <c r="DG1526" s="25">
        <v>10.54</v>
      </c>
      <c r="DH1526" s="24">
        <v>90</v>
      </c>
      <c r="DI1526" s="25">
        <v>7.86</v>
      </c>
      <c r="DJ1526" s="24">
        <v>83</v>
      </c>
      <c r="DK1526" s="25">
        <v>7.84</v>
      </c>
      <c r="DL1526" s="24">
        <v>84</v>
      </c>
      <c r="DM1526" s="25">
        <v>13.24</v>
      </c>
      <c r="DN1526" s="24">
        <v>91</v>
      </c>
      <c r="DO1526" s="25">
        <v>7.86</v>
      </c>
      <c r="DP1526" s="24">
        <v>85</v>
      </c>
      <c r="DQ1526" s="24">
        <v>2647</v>
      </c>
      <c r="DR1526" s="26">
        <v>125</v>
      </c>
      <c r="DS1526" s="23">
        <v>4.96</v>
      </c>
      <c r="DT1526" s="24">
        <v>384</v>
      </c>
      <c r="DU1526" s="26">
        <v>1</v>
      </c>
      <c r="DV1526" s="23">
        <v>0.26</v>
      </c>
      <c r="DW1526" s="24">
        <v>2809</v>
      </c>
      <c r="DX1526" s="27">
        <v>4</v>
      </c>
      <c r="DY1526" s="23">
        <v>0.14000000000000001</v>
      </c>
      <c r="DZ1526" s="15" t="s">
        <v>178</v>
      </c>
      <c r="EA1526" s="22">
        <v>43622</v>
      </c>
      <c r="EB1526" s="17">
        <v>209.24</v>
      </c>
      <c r="EC1526" s="22">
        <v>43356</v>
      </c>
      <c r="ED1526" s="15" t="s">
        <v>173</v>
      </c>
      <c r="EE1526" s="14" t="str">
        <f>HYPERLINK("https://my.pitchbook.com?c=58261-87", "View company online")</f>
        <v>View company online</v>
      </c>
    </row>
    <row r="1527" spans="1:135">
      <c r="A1527" s="28" t="s">
        <v>29271</v>
      </c>
      <c r="B1527" s="28" t="s">
        <v>29272</v>
      </c>
      <c r="C1527" s="28" t="s">
        <v>138</v>
      </c>
      <c r="D1527" s="28" t="s">
        <v>29273</v>
      </c>
      <c r="E1527" s="28" t="s">
        <v>29274</v>
      </c>
      <c r="F1527" s="28" t="s">
        <v>29271</v>
      </c>
      <c r="G1527" s="28" t="s">
        <v>29275</v>
      </c>
      <c r="H1527" s="28" t="s">
        <v>322</v>
      </c>
      <c r="I1527" s="28" t="s">
        <v>323</v>
      </c>
      <c r="J1527" s="28" t="s">
        <v>461</v>
      </c>
      <c r="K1527" s="28" t="s">
        <v>2209</v>
      </c>
      <c r="L1527" s="28" t="s">
        <v>29276</v>
      </c>
      <c r="M1527" s="28" t="s">
        <v>29277</v>
      </c>
      <c r="N1527" s="28" t="s">
        <v>147</v>
      </c>
      <c r="O1527" s="29" t="s">
        <v>138</v>
      </c>
      <c r="P1527" s="28" t="s">
        <v>148</v>
      </c>
      <c r="Q1527" s="28" t="s">
        <v>149</v>
      </c>
      <c r="R1527" s="28" t="s">
        <v>150</v>
      </c>
      <c r="S1527" s="28" t="s">
        <v>29278</v>
      </c>
      <c r="T1527" s="30" t="s">
        <v>138</v>
      </c>
      <c r="U1527" s="28" t="s">
        <v>138</v>
      </c>
      <c r="V1527" s="28" t="s">
        <v>138</v>
      </c>
      <c r="W1527" s="28" t="s">
        <v>138</v>
      </c>
      <c r="X1527" s="31">
        <v>2016</v>
      </c>
      <c r="Y1527" s="28" t="s">
        <v>138</v>
      </c>
      <c r="Z1527" s="28" t="s">
        <v>138</v>
      </c>
      <c r="AA1527" s="28" t="s">
        <v>138</v>
      </c>
      <c r="AB1527" s="32" t="s">
        <v>138</v>
      </c>
      <c r="AC1527" s="32" t="s">
        <v>138</v>
      </c>
      <c r="AD1527" s="32" t="s">
        <v>138</v>
      </c>
      <c r="AE1527" s="32" t="s">
        <v>138</v>
      </c>
      <c r="AF1527" s="32" t="s">
        <v>138</v>
      </c>
      <c r="AG1527" s="28" t="s">
        <v>138</v>
      </c>
      <c r="AH1527" s="32" t="s">
        <v>138</v>
      </c>
      <c r="AI1527" s="32" t="s">
        <v>138</v>
      </c>
      <c r="AJ1527" s="32" t="s">
        <v>138</v>
      </c>
      <c r="AK1527" s="28" t="s">
        <v>29279</v>
      </c>
      <c r="AL1527" s="28" t="s">
        <v>29280</v>
      </c>
      <c r="AM1527" s="28" t="s">
        <v>986</v>
      </c>
      <c r="AN1527" s="28" t="s">
        <v>29281</v>
      </c>
      <c r="AO1527" s="28" t="s">
        <v>138</v>
      </c>
      <c r="AP1527" s="28" t="s">
        <v>6492</v>
      </c>
      <c r="AQ1527" s="28" t="s">
        <v>29282</v>
      </c>
      <c r="AR1527" s="28" t="s">
        <v>29283</v>
      </c>
      <c r="AS1527" s="28" t="s">
        <v>6495</v>
      </c>
      <c r="AT1527" s="28" t="s">
        <v>138</v>
      </c>
      <c r="AU1527" s="28" t="s">
        <v>29284</v>
      </c>
      <c r="AV1527" s="28" t="s">
        <v>6495</v>
      </c>
      <c r="AW1527" s="28" t="s">
        <v>138</v>
      </c>
      <c r="AX1527" s="28" t="s">
        <v>138</v>
      </c>
      <c r="AY1527" s="28" t="s">
        <v>29285</v>
      </c>
      <c r="AZ1527" s="28" t="s">
        <v>452</v>
      </c>
      <c r="BA1527" s="28" t="s">
        <v>1748</v>
      </c>
      <c r="BB1527" s="28" t="s">
        <v>29286</v>
      </c>
      <c r="BC1527" s="28" t="s">
        <v>29287</v>
      </c>
      <c r="BD1527" s="33">
        <v>6</v>
      </c>
      <c r="BE1527" s="28" t="s">
        <v>138</v>
      </c>
      <c r="BF1527" s="28" t="s">
        <v>138</v>
      </c>
      <c r="BG1527" s="28" t="s">
        <v>138</v>
      </c>
      <c r="BH1527" s="28" t="s">
        <v>29288</v>
      </c>
      <c r="BI1527" s="28" t="s">
        <v>138</v>
      </c>
      <c r="BJ1527" s="28" t="s">
        <v>138</v>
      </c>
      <c r="BK1527" s="28" t="s">
        <v>138</v>
      </c>
      <c r="BL1527" s="28" t="s">
        <v>138</v>
      </c>
      <c r="BM1527" s="34" t="s">
        <v>138</v>
      </c>
      <c r="BN1527" s="29" t="s">
        <v>138</v>
      </c>
      <c r="BO1527" s="28" t="s">
        <v>138</v>
      </c>
      <c r="BP1527" s="29" t="s">
        <v>138</v>
      </c>
      <c r="BQ1527" s="28" t="s">
        <v>138</v>
      </c>
      <c r="BR1527" s="28" t="s">
        <v>780</v>
      </c>
      <c r="BS1527" s="28" t="s">
        <v>780</v>
      </c>
      <c r="BT1527" s="28" t="s">
        <v>138</v>
      </c>
      <c r="BU1527" s="28" t="s">
        <v>780</v>
      </c>
      <c r="BV1527" s="28" t="s">
        <v>138</v>
      </c>
      <c r="BW1527" s="28" t="s">
        <v>138</v>
      </c>
      <c r="BX1527" s="28" t="s">
        <v>138</v>
      </c>
      <c r="BY1527" s="28" t="s">
        <v>175</v>
      </c>
      <c r="BZ1527" s="34">
        <v>43549</v>
      </c>
      <c r="CA1527" s="29" t="s">
        <v>138</v>
      </c>
      <c r="CB1527" s="28" t="s">
        <v>138</v>
      </c>
      <c r="CC1527" s="29" t="s">
        <v>138</v>
      </c>
      <c r="CD1527" s="28" t="s">
        <v>138</v>
      </c>
      <c r="CE1527" s="28" t="s">
        <v>205</v>
      </c>
      <c r="CF1527" s="28" t="s">
        <v>138</v>
      </c>
      <c r="CG1527" s="28" t="s">
        <v>138</v>
      </c>
      <c r="CH1527" s="28" t="s">
        <v>174</v>
      </c>
      <c r="CI1527" s="28" t="s">
        <v>138</v>
      </c>
      <c r="CJ1527" s="28" t="s">
        <v>138</v>
      </c>
      <c r="CK1527" s="28" t="s">
        <v>138</v>
      </c>
      <c r="CL1527" s="28" t="s">
        <v>175</v>
      </c>
      <c r="CM1527" s="34" t="s">
        <v>138</v>
      </c>
      <c r="CN1527" s="29" t="s">
        <v>138</v>
      </c>
      <c r="CO1527" s="35">
        <v>0.43</v>
      </c>
      <c r="CP1527" s="36">
        <v>95</v>
      </c>
      <c r="CQ1527" s="35">
        <v>0.1</v>
      </c>
      <c r="CR1527" s="35">
        <v>31.21</v>
      </c>
      <c r="CS1527" s="35">
        <v>0</v>
      </c>
      <c r="CT1527" s="36">
        <v>23</v>
      </c>
      <c r="CU1527" s="35">
        <v>0.87</v>
      </c>
      <c r="CV1527" s="36">
        <v>97</v>
      </c>
      <c r="CW1527" s="35" t="s">
        <v>138</v>
      </c>
      <c r="CX1527" s="36" t="s">
        <v>138</v>
      </c>
      <c r="CY1527" s="35">
        <v>0</v>
      </c>
      <c r="CZ1527" s="36">
        <v>25</v>
      </c>
      <c r="DA1527" s="35">
        <v>1.74</v>
      </c>
      <c r="DB1527" s="36">
        <v>99</v>
      </c>
      <c r="DC1527" s="37">
        <v>1.17</v>
      </c>
      <c r="DD1527" s="36">
        <v>55</v>
      </c>
      <c r="DE1527" s="37">
        <v>0.02</v>
      </c>
      <c r="DF1527" s="35">
        <v>1.85</v>
      </c>
      <c r="DG1527" s="37">
        <v>2.1</v>
      </c>
      <c r="DH1527" s="36">
        <v>68</v>
      </c>
      <c r="DI1527" s="37">
        <v>0.23</v>
      </c>
      <c r="DJ1527" s="36">
        <v>24</v>
      </c>
      <c r="DK1527" s="37" t="s">
        <v>138</v>
      </c>
      <c r="DL1527" s="36" t="s">
        <v>138</v>
      </c>
      <c r="DM1527" s="37">
        <v>2.1</v>
      </c>
      <c r="DN1527" s="36">
        <v>67</v>
      </c>
      <c r="DO1527" s="37">
        <v>0.36</v>
      </c>
      <c r="DP1527" s="36">
        <v>33</v>
      </c>
      <c r="DQ1527" s="36" t="s">
        <v>138</v>
      </c>
      <c r="DR1527" s="38" t="s">
        <v>138</v>
      </c>
      <c r="DS1527" s="35" t="s">
        <v>138</v>
      </c>
      <c r="DT1527" s="36">
        <v>60</v>
      </c>
      <c r="DU1527" s="38">
        <v>1</v>
      </c>
      <c r="DV1527" s="35">
        <v>1.69</v>
      </c>
      <c r="DW1527" s="36">
        <v>125</v>
      </c>
      <c r="DX1527" s="39">
        <v>4</v>
      </c>
      <c r="DY1527" s="35">
        <v>3.31</v>
      </c>
      <c r="DZ1527" s="28" t="s">
        <v>178</v>
      </c>
      <c r="EA1527" s="34">
        <v>43591</v>
      </c>
      <c r="EB1527" s="29" t="s">
        <v>138</v>
      </c>
      <c r="EC1527" s="34" t="s">
        <v>138</v>
      </c>
      <c r="ED1527" s="28" t="s">
        <v>138</v>
      </c>
      <c r="EE1527" s="40" t="str">
        <f>HYPERLINK("https://my.pitchbook.com?c=168983-29", "View company online")</f>
        <v>View company online</v>
      </c>
    </row>
    <row r="1528" spans="1:135">
      <c r="A1528" s="15" t="s">
        <v>29289</v>
      </c>
      <c r="B1528" s="15" t="s">
        <v>29290</v>
      </c>
      <c r="C1528" s="15" t="s">
        <v>29291</v>
      </c>
      <c r="D1528" s="15" t="s">
        <v>138</v>
      </c>
      <c r="E1528" s="15" t="s">
        <v>29292</v>
      </c>
      <c r="F1528" s="15" t="s">
        <v>29289</v>
      </c>
      <c r="G1528" s="15" t="s">
        <v>29293</v>
      </c>
      <c r="H1528" s="15" t="s">
        <v>322</v>
      </c>
      <c r="I1528" s="15" t="s">
        <v>807</v>
      </c>
      <c r="J1528" s="15" t="s">
        <v>2534</v>
      </c>
      <c r="K1528" s="15" t="s">
        <v>29294</v>
      </c>
      <c r="L1528" s="15" t="s">
        <v>215</v>
      </c>
      <c r="M1528" s="15" t="s">
        <v>29295</v>
      </c>
      <c r="N1528" s="15" t="s">
        <v>147</v>
      </c>
      <c r="O1528" s="17">
        <v>40</v>
      </c>
      <c r="P1528" s="15" t="s">
        <v>148</v>
      </c>
      <c r="Q1528" s="15" t="s">
        <v>149</v>
      </c>
      <c r="R1528" s="15" t="s">
        <v>244</v>
      </c>
      <c r="S1528" s="15" t="s">
        <v>29296</v>
      </c>
      <c r="T1528" s="18">
        <v>50</v>
      </c>
      <c r="U1528" s="15" t="s">
        <v>29297</v>
      </c>
      <c r="V1528" s="15" t="s">
        <v>138</v>
      </c>
      <c r="W1528" s="15" t="s">
        <v>138</v>
      </c>
      <c r="X1528" s="19">
        <v>2013</v>
      </c>
      <c r="Y1528" s="15" t="s">
        <v>138</v>
      </c>
      <c r="Z1528" s="15" t="s">
        <v>138</v>
      </c>
      <c r="AA1528" s="15" t="s">
        <v>138</v>
      </c>
      <c r="AB1528" s="20" t="s">
        <v>138</v>
      </c>
      <c r="AC1528" s="20" t="s">
        <v>138</v>
      </c>
      <c r="AD1528" s="20" t="s">
        <v>138</v>
      </c>
      <c r="AE1528" s="20" t="s">
        <v>138</v>
      </c>
      <c r="AF1528" s="20" t="s">
        <v>138</v>
      </c>
      <c r="AG1528" s="15" t="s">
        <v>138</v>
      </c>
      <c r="AH1528" s="20" t="s">
        <v>138</v>
      </c>
      <c r="AI1528" s="20" t="s">
        <v>138</v>
      </c>
      <c r="AJ1528" s="20" t="s">
        <v>138</v>
      </c>
      <c r="AK1528" s="15" t="s">
        <v>29298</v>
      </c>
      <c r="AL1528" s="15" t="s">
        <v>29299</v>
      </c>
      <c r="AM1528" s="15" t="s">
        <v>12280</v>
      </c>
      <c r="AN1528" s="15" t="s">
        <v>29300</v>
      </c>
      <c r="AO1528" s="15" t="s">
        <v>29301</v>
      </c>
      <c r="AP1528" s="15" t="s">
        <v>1244</v>
      </c>
      <c r="AQ1528" s="15" t="s">
        <v>29302</v>
      </c>
      <c r="AR1528" s="15" t="s">
        <v>1637</v>
      </c>
      <c r="AS1528" s="15" t="s">
        <v>1246</v>
      </c>
      <c r="AT1528" s="15" t="s">
        <v>200</v>
      </c>
      <c r="AU1528" s="15" t="s">
        <v>2437</v>
      </c>
      <c r="AV1528" s="15" t="s">
        <v>162</v>
      </c>
      <c r="AW1528" s="15" t="s">
        <v>29303</v>
      </c>
      <c r="AX1528" s="15" t="s">
        <v>29301</v>
      </c>
      <c r="AY1528" s="15" t="s">
        <v>138</v>
      </c>
      <c r="AZ1528" s="15" t="s">
        <v>164</v>
      </c>
      <c r="BA1528" s="15" t="s">
        <v>165</v>
      </c>
      <c r="BB1528" s="15" t="s">
        <v>29304</v>
      </c>
      <c r="BC1528" s="15" t="s">
        <v>29305</v>
      </c>
      <c r="BD1528" s="21">
        <v>4</v>
      </c>
      <c r="BE1528" s="15" t="s">
        <v>138</v>
      </c>
      <c r="BF1528" s="15" t="s">
        <v>138</v>
      </c>
      <c r="BG1528" s="15" t="s">
        <v>138</v>
      </c>
      <c r="BH1528" s="15" t="s">
        <v>29306</v>
      </c>
      <c r="BI1528" s="15" t="s">
        <v>138</v>
      </c>
      <c r="BJ1528" s="15" t="s">
        <v>138</v>
      </c>
      <c r="BK1528" s="15" t="s">
        <v>1251</v>
      </c>
      <c r="BL1528" s="15" t="s">
        <v>25992</v>
      </c>
      <c r="BM1528" s="22">
        <v>41426</v>
      </c>
      <c r="BN1528" s="17" t="s">
        <v>138</v>
      </c>
      <c r="BO1528" s="15" t="s">
        <v>138</v>
      </c>
      <c r="BP1528" s="17" t="s">
        <v>138</v>
      </c>
      <c r="BQ1528" s="15" t="s">
        <v>138</v>
      </c>
      <c r="BR1528" s="15" t="s">
        <v>205</v>
      </c>
      <c r="BS1528" s="15" t="s">
        <v>206</v>
      </c>
      <c r="BT1528" s="15" t="s">
        <v>138</v>
      </c>
      <c r="BU1528" s="15" t="s">
        <v>174</v>
      </c>
      <c r="BV1528" s="15" t="s">
        <v>138</v>
      </c>
      <c r="BW1528" s="15" t="s">
        <v>138</v>
      </c>
      <c r="BX1528" s="15" t="s">
        <v>138</v>
      </c>
      <c r="BY1528" s="15" t="s">
        <v>175</v>
      </c>
      <c r="BZ1528" s="22">
        <v>42472</v>
      </c>
      <c r="CA1528" s="17">
        <v>40</v>
      </c>
      <c r="CB1528" s="15" t="s">
        <v>172</v>
      </c>
      <c r="CC1528" s="17" t="s">
        <v>138</v>
      </c>
      <c r="CD1528" s="15" t="s">
        <v>138</v>
      </c>
      <c r="CE1528" s="15" t="s">
        <v>205</v>
      </c>
      <c r="CF1528" s="15" t="s">
        <v>138</v>
      </c>
      <c r="CG1528" s="15" t="s">
        <v>138</v>
      </c>
      <c r="CH1528" s="15" t="s">
        <v>174</v>
      </c>
      <c r="CI1528" s="15" t="s">
        <v>138</v>
      </c>
      <c r="CJ1528" s="15" t="s">
        <v>138</v>
      </c>
      <c r="CK1528" s="15" t="s">
        <v>138</v>
      </c>
      <c r="CL1528" s="15" t="s">
        <v>175</v>
      </c>
      <c r="CM1528" s="22">
        <v>42319</v>
      </c>
      <c r="CN1528" s="17">
        <v>7.5</v>
      </c>
      <c r="CO1528" s="23">
        <v>0.02</v>
      </c>
      <c r="CP1528" s="24">
        <v>85</v>
      </c>
      <c r="CQ1528" s="23">
        <v>0</v>
      </c>
      <c r="CR1528" s="23">
        <v>-12</v>
      </c>
      <c r="CS1528" s="23">
        <v>0</v>
      </c>
      <c r="CT1528" s="24">
        <v>23</v>
      </c>
      <c r="CU1528" s="23">
        <v>0.04</v>
      </c>
      <c r="CV1528" s="24">
        <v>56</v>
      </c>
      <c r="CW1528" s="23">
        <v>0</v>
      </c>
      <c r="CX1528" s="24">
        <v>13</v>
      </c>
      <c r="CY1528" s="23">
        <v>0</v>
      </c>
      <c r="CZ1528" s="24">
        <v>25</v>
      </c>
      <c r="DA1528" s="23">
        <v>0.08</v>
      </c>
      <c r="DB1528" s="24">
        <v>69</v>
      </c>
      <c r="DC1528" s="25">
        <v>3</v>
      </c>
      <c r="DD1528" s="24">
        <v>75</v>
      </c>
      <c r="DE1528" s="25">
        <v>-0.06</v>
      </c>
      <c r="DF1528" s="23">
        <v>-1.84</v>
      </c>
      <c r="DG1528" s="25">
        <v>2.59</v>
      </c>
      <c r="DH1528" s="24">
        <v>72</v>
      </c>
      <c r="DI1528" s="25">
        <v>3.41</v>
      </c>
      <c r="DJ1528" s="24">
        <v>72</v>
      </c>
      <c r="DK1528" s="25">
        <v>2.36</v>
      </c>
      <c r="DL1528" s="24">
        <v>67</v>
      </c>
      <c r="DM1528" s="25">
        <v>2.83</v>
      </c>
      <c r="DN1528" s="24">
        <v>72</v>
      </c>
      <c r="DO1528" s="25">
        <v>6.78</v>
      </c>
      <c r="DP1528" s="24">
        <v>83</v>
      </c>
      <c r="DQ1528" s="24">
        <v>806</v>
      </c>
      <c r="DR1528" s="26">
        <v>9</v>
      </c>
      <c r="DS1528" s="23">
        <v>1.1299999999999999</v>
      </c>
      <c r="DT1528" s="24">
        <v>81</v>
      </c>
      <c r="DU1528" s="26">
        <v>0</v>
      </c>
      <c r="DV1528" s="23">
        <v>0</v>
      </c>
      <c r="DW1528" s="24">
        <v>2427</v>
      </c>
      <c r="DX1528" s="27">
        <v>5</v>
      </c>
      <c r="DY1528" s="23">
        <v>0.21</v>
      </c>
      <c r="DZ1528" s="15" t="s">
        <v>178</v>
      </c>
      <c r="EA1528" s="22">
        <v>43622</v>
      </c>
      <c r="EB1528" s="17">
        <v>130</v>
      </c>
      <c r="EC1528" s="22">
        <v>42038</v>
      </c>
      <c r="ED1528" s="15" t="s">
        <v>205</v>
      </c>
      <c r="EE1528" s="14" t="str">
        <f>HYPERLINK("https://my.pitchbook.com?c=63509-23", "View company online")</f>
        <v>View company online</v>
      </c>
    </row>
    <row r="1529" spans="1:135">
      <c r="A1529" s="28" t="s">
        <v>29307</v>
      </c>
      <c r="B1529" s="28" t="s">
        <v>29308</v>
      </c>
      <c r="C1529" s="28" t="s">
        <v>138</v>
      </c>
      <c r="D1529" s="28" t="s">
        <v>138</v>
      </c>
      <c r="E1529" s="28" t="s">
        <v>29309</v>
      </c>
      <c r="F1529" s="28" t="s">
        <v>29307</v>
      </c>
      <c r="G1529" s="28" t="s">
        <v>29310</v>
      </c>
      <c r="H1529" s="28" t="s">
        <v>322</v>
      </c>
      <c r="I1529" s="28" t="s">
        <v>323</v>
      </c>
      <c r="J1529" s="28" t="s">
        <v>324</v>
      </c>
      <c r="K1529" s="28" t="s">
        <v>1543</v>
      </c>
      <c r="L1529" s="28" t="s">
        <v>326</v>
      </c>
      <c r="M1529" s="28" t="s">
        <v>29311</v>
      </c>
      <c r="N1529" s="28" t="s">
        <v>147</v>
      </c>
      <c r="O1529" s="29">
        <v>27.64</v>
      </c>
      <c r="P1529" s="28" t="s">
        <v>148</v>
      </c>
      <c r="Q1529" s="28" t="s">
        <v>149</v>
      </c>
      <c r="R1529" s="28" t="s">
        <v>174</v>
      </c>
      <c r="S1529" s="28" t="s">
        <v>29312</v>
      </c>
      <c r="T1529" s="30" t="s">
        <v>138</v>
      </c>
      <c r="U1529" s="28" t="s">
        <v>138</v>
      </c>
      <c r="V1529" s="28" t="s">
        <v>138</v>
      </c>
      <c r="W1529" s="28" t="s">
        <v>138</v>
      </c>
      <c r="X1529" s="31">
        <v>2011</v>
      </c>
      <c r="Y1529" s="28" t="s">
        <v>138</v>
      </c>
      <c r="Z1529" s="28" t="s">
        <v>138</v>
      </c>
      <c r="AA1529" s="28" t="s">
        <v>138</v>
      </c>
      <c r="AB1529" s="32" t="s">
        <v>138</v>
      </c>
      <c r="AC1529" s="32" t="s">
        <v>138</v>
      </c>
      <c r="AD1529" s="32" t="s">
        <v>138</v>
      </c>
      <c r="AE1529" s="32" t="s">
        <v>138</v>
      </c>
      <c r="AF1529" s="32" t="s">
        <v>138</v>
      </c>
      <c r="AG1529" s="28" t="s">
        <v>138</v>
      </c>
      <c r="AH1529" s="32" t="s">
        <v>138</v>
      </c>
      <c r="AI1529" s="32" t="s">
        <v>138</v>
      </c>
      <c r="AJ1529" s="32" t="s">
        <v>138</v>
      </c>
      <c r="AK1529" s="28" t="s">
        <v>29313</v>
      </c>
      <c r="AL1529" s="28" t="s">
        <v>29314</v>
      </c>
      <c r="AM1529" s="28" t="s">
        <v>818</v>
      </c>
      <c r="AN1529" s="28" t="s">
        <v>29315</v>
      </c>
      <c r="AO1529" s="28" t="s">
        <v>29316</v>
      </c>
      <c r="AP1529" s="28" t="s">
        <v>8142</v>
      </c>
      <c r="AQ1529" s="28" t="s">
        <v>29317</v>
      </c>
      <c r="AR1529" s="28" t="s">
        <v>29318</v>
      </c>
      <c r="AS1529" s="28" t="s">
        <v>8145</v>
      </c>
      <c r="AT1529" s="28" t="s">
        <v>2331</v>
      </c>
      <c r="AU1529" s="28" t="s">
        <v>29319</v>
      </c>
      <c r="AV1529" s="28" t="s">
        <v>2333</v>
      </c>
      <c r="AW1529" s="28" t="s">
        <v>29320</v>
      </c>
      <c r="AX1529" s="28" t="s">
        <v>138</v>
      </c>
      <c r="AY1529" s="28" t="s">
        <v>29321</v>
      </c>
      <c r="AZ1529" s="28" t="s">
        <v>452</v>
      </c>
      <c r="BA1529" s="28" t="s">
        <v>2335</v>
      </c>
      <c r="BB1529" s="28" t="s">
        <v>29322</v>
      </c>
      <c r="BC1529" s="28" t="s">
        <v>29323</v>
      </c>
      <c r="BD1529" s="33">
        <v>19</v>
      </c>
      <c r="BE1529" s="28" t="s">
        <v>138</v>
      </c>
      <c r="BF1529" s="28" t="s">
        <v>138</v>
      </c>
      <c r="BG1529" s="28" t="s">
        <v>138</v>
      </c>
      <c r="BH1529" s="28" t="s">
        <v>29324</v>
      </c>
      <c r="BI1529" s="28" t="s">
        <v>138</v>
      </c>
      <c r="BJ1529" s="28" t="s">
        <v>138</v>
      </c>
      <c r="BK1529" s="28" t="s">
        <v>138</v>
      </c>
      <c r="BL1529" s="28" t="s">
        <v>138</v>
      </c>
      <c r="BM1529" s="34">
        <v>40940</v>
      </c>
      <c r="BN1529" s="29" t="s">
        <v>138</v>
      </c>
      <c r="BO1529" s="28" t="s">
        <v>138</v>
      </c>
      <c r="BP1529" s="29" t="s">
        <v>138</v>
      </c>
      <c r="BQ1529" s="28" t="s">
        <v>138</v>
      </c>
      <c r="BR1529" s="28" t="s">
        <v>316</v>
      </c>
      <c r="BS1529" s="28" t="s">
        <v>138</v>
      </c>
      <c r="BT1529" s="28" t="s">
        <v>138</v>
      </c>
      <c r="BU1529" s="28" t="s">
        <v>177</v>
      </c>
      <c r="BV1529" s="28" t="s">
        <v>138</v>
      </c>
      <c r="BW1529" s="28" t="s">
        <v>138</v>
      </c>
      <c r="BX1529" s="28" t="s">
        <v>138</v>
      </c>
      <c r="BY1529" s="28" t="s">
        <v>175</v>
      </c>
      <c r="BZ1529" s="34">
        <v>42831</v>
      </c>
      <c r="CA1529" s="29" t="s">
        <v>138</v>
      </c>
      <c r="CB1529" s="28" t="s">
        <v>138</v>
      </c>
      <c r="CC1529" s="29" t="s">
        <v>138</v>
      </c>
      <c r="CD1529" s="28" t="s">
        <v>138</v>
      </c>
      <c r="CE1529" s="28" t="s">
        <v>205</v>
      </c>
      <c r="CF1529" s="28" t="s">
        <v>206</v>
      </c>
      <c r="CG1529" s="28" t="s">
        <v>138</v>
      </c>
      <c r="CH1529" s="28" t="s">
        <v>174</v>
      </c>
      <c r="CI1529" s="28" t="s">
        <v>138</v>
      </c>
      <c r="CJ1529" s="28" t="s">
        <v>138</v>
      </c>
      <c r="CK1529" s="28" t="s">
        <v>138</v>
      </c>
      <c r="CL1529" s="28" t="s">
        <v>175</v>
      </c>
      <c r="CM1529" s="34" t="s">
        <v>138</v>
      </c>
      <c r="CN1529" s="29" t="s">
        <v>138</v>
      </c>
      <c r="CO1529" s="35">
        <v>0.49</v>
      </c>
      <c r="CP1529" s="36">
        <v>95</v>
      </c>
      <c r="CQ1529" s="35">
        <v>0.25</v>
      </c>
      <c r="CR1529" s="35">
        <v>104.93</v>
      </c>
      <c r="CS1529" s="35" t="s">
        <v>138</v>
      </c>
      <c r="CT1529" s="36" t="s">
        <v>138</v>
      </c>
      <c r="CU1529" s="35">
        <v>0.49</v>
      </c>
      <c r="CV1529" s="36">
        <v>93</v>
      </c>
      <c r="CW1529" s="35" t="s">
        <v>138</v>
      </c>
      <c r="CX1529" s="36" t="s">
        <v>138</v>
      </c>
      <c r="CY1529" s="35" t="s">
        <v>138</v>
      </c>
      <c r="CZ1529" s="36" t="s">
        <v>138</v>
      </c>
      <c r="DA1529" s="35">
        <v>0.96</v>
      </c>
      <c r="DB1529" s="36">
        <v>98</v>
      </c>
      <c r="DC1529" s="37">
        <v>1.6</v>
      </c>
      <c r="DD1529" s="36">
        <v>62</v>
      </c>
      <c r="DE1529" s="37">
        <v>0.54</v>
      </c>
      <c r="DF1529" s="35">
        <v>51.41</v>
      </c>
      <c r="DG1529" s="37" t="s">
        <v>138</v>
      </c>
      <c r="DH1529" s="36" t="s">
        <v>138</v>
      </c>
      <c r="DI1529" s="37">
        <v>1.6</v>
      </c>
      <c r="DJ1529" s="36">
        <v>58</v>
      </c>
      <c r="DK1529" s="37" t="s">
        <v>138</v>
      </c>
      <c r="DL1529" s="36" t="s">
        <v>138</v>
      </c>
      <c r="DM1529" s="37" t="s">
        <v>138</v>
      </c>
      <c r="DN1529" s="36" t="s">
        <v>138</v>
      </c>
      <c r="DO1529" s="37">
        <v>2.17</v>
      </c>
      <c r="DP1529" s="36">
        <v>65</v>
      </c>
      <c r="DQ1529" s="36">
        <v>189</v>
      </c>
      <c r="DR1529" s="38">
        <v>-76</v>
      </c>
      <c r="DS1529" s="35">
        <v>-28.68</v>
      </c>
      <c r="DT1529" s="36" t="s">
        <v>138</v>
      </c>
      <c r="DU1529" s="38" t="s">
        <v>138</v>
      </c>
      <c r="DV1529" s="35" t="s">
        <v>138</v>
      </c>
      <c r="DW1529" s="36">
        <v>776</v>
      </c>
      <c r="DX1529" s="39">
        <v>9</v>
      </c>
      <c r="DY1529" s="35">
        <v>1.17</v>
      </c>
      <c r="DZ1529" s="28" t="s">
        <v>178</v>
      </c>
      <c r="EA1529" s="34">
        <v>43521</v>
      </c>
      <c r="EB1529" s="29" t="s">
        <v>138</v>
      </c>
      <c r="EC1529" s="34" t="s">
        <v>138</v>
      </c>
      <c r="ED1529" s="28" t="s">
        <v>138</v>
      </c>
      <c r="EE1529" s="40" t="str">
        <f>HYPERLINK("https://my.pitchbook.com?c=57824-02", "View company online")</f>
        <v>View company online</v>
      </c>
    </row>
    <row r="1530" spans="1:135">
      <c r="A1530" s="15" t="s">
        <v>29325</v>
      </c>
      <c r="B1530" s="15" t="s">
        <v>29326</v>
      </c>
      <c r="C1530" s="15" t="s">
        <v>29327</v>
      </c>
      <c r="D1530" s="15" t="s">
        <v>138</v>
      </c>
      <c r="E1530" s="15" t="s">
        <v>29328</v>
      </c>
      <c r="F1530" s="15" t="s">
        <v>29325</v>
      </c>
      <c r="G1530" s="15" t="s">
        <v>29329</v>
      </c>
      <c r="H1530" s="15" t="s">
        <v>322</v>
      </c>
      <c r="I1530" s="15" t="s">
        <v>807</v>
      </c>
      <c r="J1530" s="15" t="s">
        <v>1102</v>
      </c>
      <c r="K1530" s="15" t="s">
        <v>29330</v>
      </c>
      <c r="L1530" s="15" t="s">
        <v>326</v>
      </c>
      <c r="M1530" s="15" t="s">
        <v>29331</v>
      </c>
      <c r="N1530" s="15" t="s">
        <v>147</v>
      </c>
      <c r="O1530" s="17">
        <v>70.69</v>
      </c>
      <c r="P1530" s="15" t="s">
        <v>148</v>
      </c>
      <c r="Q1530" s="15" t="s">
        <v>149</v>
      </c>
      <c r="R1530" s="15" t="s">
        <v>244</v>
      </c>
      <c r="S1530" s="15" t="s">
        <v>29332</v>
      </c>
      <c r="T1530" s="18">
        <v>1000</v>
      </c>
      <c r="U1530" s="15" t="s">
        <v>29333</v>
      </c>
      <c r="V1530" s="15" t="s">
        <v>138</v>
      </c>
      <c r="W1530" s="15" t="s">
        <v>138</v>
      </c>
      <c r="X1530" s="19">
        <v>2008</v>
      </c>
      <c r="Y1530" s="15" t="s">
        <v>138</v>
      </c>
      <c r="Z1530" s="15" t="s">
        <v>138</v>
      </c>
      <c r="AA1530" s="15" t="s">
        <v>138</v>
      </c>
      <c r="AB1530" s="20">
        <v>39.090000000000003</v>
      </c>
      <c r="AC1530" s="20" t="s">
        <v>138</v>
      </c>
      <c r="AD1530" s="20" t="s">
        <v>138</v>
      </c>
      <c r="AE1530" s="20" t="s">
        <v>138</v>
      </c>
      <c r="AF1530" s="20" t="s">
        <v>138</v>
      </c>
      <c r="AG1530" s="15" t="s">
        <v>707</v>
      </c>
      <c r="AH1530" s="20" t="s">
        <v>138</v>
      </c>
      <c r="AI1530" s="20" t="s">
        <v>138</v>
      </c>
      <c r="AJ1530" s="20" t="s">
        <v>138</v>
      </c>
      <c r="AK1530" s="15" t="s">
        <v>29334</v>
      </c>
      <c r="AL1530" s="15" t="s">
        <v>29335</v>
      </c>
      <c r="AM1530" s="15" t="s">
        <v>249</v>
      </c>
      <c r="AN1530" s="15" t="s">
        <v>29336</v>
      </c>
      <c r="AO1530" s="15" t="s">
        <v>29337</v>
      </c>
      <c r="AP1530" s="15" t="s">
        <v>29338</v>
      </c>
      <c r="AQ1530" s="15" t="s">
        <v>29339</v>
      </c>
      <c r="AR1530" s="15" t="s">
        <v>28243</v>
      </c>
      <c r="AS1530" s="15" t="s">
        <v>29340</v>
      </c>
      <c r="AT1530" s="15" t="s">
        <v>371</v>
      </c>
      <c r="AU1530" s="15" t="s">
        <v>29341</v>
      </c>
      <c r="AV1530" s="15" t="s">
        <v>162</v>
      </c>
      <c r="AW1530" s="15" t="s">
        <v>29337</v>
      </c>
      <c r="AX1530" s="15" t="s">
        <v>29342</v>
      </c>
      <c r="AY1530" s="15" t="s">
        <v>29343</v>
      </c>
      <c r="AZ1530" s="15" t="s">
        <v>164</v>
      </c>
      <c r="BA1530" s="15" t="s">
        <v>165</v>
      </c>
      <c r="BB1530" s="15" t="s">
        <v>29344</v>
      </c>
      <c r="BC1530" s="15" t="s">
        <v>29345</v>
      </c>
      <c r="BD1530" s="21">
        <v>7</v>
      </c>
      <c r="BE1530" s="15" t="s">
        <v>138</v>
      </c>
      <c r="BF1530" s="15" t="s">
        <v>29346</v>
      </c>
      <c r="BG1530" s="15" t="s">
        <v>138</v>
      </c>
      <c r="BH1530" s="15" t="s">
        <v>29347</v>
      </c>
      <c r="BI1530" s="15" t="s">
        <v>29348</v>
      </c>
      <c r="BJ1530" s="15" t="s">
        <v>138</v>
      </c>
      <c r="BK1530" s="15" t="s">
        <v>138</v>
      </c>
      <c r="BL1530" s="15" t="s">
        <v>29349</v>
      </c>
      <c r="BM1530" s="22">
        <v>39471</v>
      </c>
      <c r="BN1530" s="17">
        <v>5.83</v>
      </c>
      <c r="BO1530" s="15" t="s">
        <v>172</v>
      </c>
      <c r="BP1530" s="17">
        <v>7.39</v>
      </c>
      <c r="BQ1530" s="15" t="s">
        <v>172</v>
      </c>
      <c r="BR1530" s="15" t="s">
        <v>205</v>
      </c>
      <c r="BS1530" s="15" t="s">
        <v>206</v>
      </c>
      <c r="BT1530" s="15" t="s">
        <v>138</v>
      </c>
      <c r="BU1530" s="15" t="s">
        <v>174</v>
      </c>
      <c r="BV1530" s="15" t="s">
        <v>138</v>
      </c>
      <c r="BW1530" s="15" t="s">
        <v>138</v>
      </c>
      <c r="BX1530" s="15" t="s">
        <v>138</v>
      </c>
      <c r="BY1530" s="15" t="s">
        <v>175</v>
      </c>
      <c r="BZ1530" s="22">
        <v>42943</v>
      </c>
      <c r="CA1530" s="17">
        <v>10</v>
      </c>
      <c r="CB1530" s="15" t="s">
        <v>172</v>
      </c>
      <c r="CC1530" s="17">
        <v>90</v>
      </c>
      <c r="CD1530" s="15" t="s">
        <v>172</v>
      </c>
      <c r="CE1530" s="15" t="s">
        <v>173</v>
      </c>
      <c r="CF1530" s="15" t="s">
        <v>408</v>
      </c>
      <c r="CG1530" s="15" t="s">
        <v>138</v>
      </c>
      <c r="CH1530" s="15" t="s">
        <v>174</v>
      </c>
      <c r="CI1530" s="15" t="s">
        <v>138</v>
      </c>
      <c r="CJ1530" s="15" t="s">
        <v>138</v>
      </c>
      <c r="CK1530" s="15" t="s">
        <v>138</v>
      </c>
      <c r="CL1530" s="15" t="s">
        <v>175</v>
      </c>
      <c r="CM1530" s="22">
        <v>42116</v>
      </c>
      <c r="CN1530" s="17" t="s">
        <v>138</v>
      </c>
      <c r="CO1530" s="23">
        <v>-2.88</v>
      </c>
      <c r="CP1530" s="24">
        <v>3</v>
      </c>
      <c r="CQ1530" s="23">
        <v>-0.03</v>
      </c>
      <c r="CR1530" s="23">
        <v>-1.06</v>
      </c>
      <c r="CS1530" s="23">
        <v>-2.88</v>
      </c>
      <c r="CT1530" s="24">
        <v>6</v>
      </c>
      <c r="CU1530" s="23" t="s">
        <v>138</v>
      </c>
      <c r="CV1530" s="24" t="s">
        <v>138</v>
      </c>
      <c r="CW1530" s="23">
        <v>-4.1100000000000003</v>
      </c>
      <c r="CX1530" s="24">
        <v>4</v>
      </c>
      <c r="CY1530" s="23">
        <v>-1.65</v>
      </c>
      <c r="CZ1530" s="24">
        <v>14</v>
      </c>
      <c r="DA1530" s="23" t="s">
        <v>138</v>
      </c>
      <c r="DB1530" s="24" t="s">
        <v>138</v>
      </c>
      <c r="DC1530" s="25">
        <v>20.76</v>
      </c>
      <c r="DD1530" s="24">
        <v>95</v>
      </c>
      <c r="DE1530" s="25">
        <v>-1.3</v>
      </c>
      <c r="DF1530" s="23">
        <v>-5.87</v>
      </c>
      <c r="DG1530" s="25">
        <v>20.76</v>
      </c>
      <c r="DH1530" s="24">
        <v>95</v>
      </c>
      <c r="DI1530" s="25" t="s">
        <v>138</v>
      </c>
      <c r="DJ1530" s="24" t="s">
        <v>138</v>
      </c>
      <c r="DK1530" s="25">
        <v>23.42</v>
      </c>
      <c r="DL1530" s="24">
        <v>93</v>
      </c>
      <c r="DM1530" s="25">
        <v>18.100000000000001</v>
      </c>
      <c r="DN1530" s="24">
        <v>93</v>
      </c>
      <c r="DO1530" s="25" t="s">
        <v>138</v>
      </c>
      <c r="DP1530" s="24" t="s">
        <v>138</v>
      </c>
      <c r="DQ1530" s="24">
        <v>8034</v>
      </c>
      <c r="DR1530" s="26">
        <v>-9</v>
      </c>
      <c r="DS1530" s="23">
        <v>-0.11</v>
      </c>
      <c r="DT1530" s="24">
        <v>520</v>
      </c>
      <c r="DU1530" s="26">
        <v>1</v>
      </c>
      <c r="DV1530" s="23">
        <v>0.19</v>
      </c>
      <c r="DW1530" s="24" t="s">
        <v>138</v>
      </c>
      <c r="DX1530" s="27" t="s">
        <v>138</v>
      </c>
      <c r="DY1530" s="23" t="s">
        <v>138</v>
      </c>
      <c r="DZ1530" s="15" t="s">
        <v>178</v>
      </c>
      <c r="EA1530" s="22">
        <v>43622</v>
      </c>
      <c r="EB1530" s="17">
        <v>90</v>
      </c>
      <c r="EC1530" s="22">
        <v>42943</v>
      </c>
      <c r="ED1530" s="15" t="s">
        <v>173</v>
      </c>
      <c r="EE1530" s="14" t="str">
        <f>HYPERLINK("https://my.pitchbook.com?c=53839-09", "View company online")</f>
        <v>View company online</v>
      </c>
    </row>
    <row r="1531" spans="1:135">
      <c r="A1531" s="28" t="s">
        <v>29350</v>
      </c>
      <c r="B1531" s="28" t="s">
        <v>24162</v>
      </c>
      <c r="C1531" s="28" t="s">
        <v>29351</v>
      </c>
      <c r="D1531" s="28" t="s">
        <v>138</v>
      </c>
      <c r="E1531" s="28" t="s">
        <v>29352</v>
      </c>
      <c r="F1531" s="28" t="s">
        <v>29350</v>
      </c>
      <c r="G1531" s="28" t="s">
        <v>29353</v>
      </c>
      <c r="H1531" s="28" t="s">
        <v>322</v>
      </c>
      <c r="I1531" s="28" t="s">
        <v>323</v>
      </c>
      <c r="J1531" s="28" t="s">
        <v>1184</v>
      </c>
      <c r="K1531" s="28" t="s">
        <v>29354</v>
      </c>
      <c r="L1531" s="28" t="s">
        <v>2641</v>
      </c>
      <c r="M1531" s="28" t="s">
        <v>29355</v>
      </c>
      <c r="N1531" s="28" t="s">
        <v>147</v>
      </c>
      <c r="O1531" s="29">
        <v>225.11</v>
      </c>
      <c r="P1531" s="28" t="s">
        <v>148</v>
      </c>
      <c r="Q1531" s="28" t="s">
        <v>149</v>
      </c>
      <c r="R1531" s="28" t="s">
        <v>174</v>
      </c>
      <c r="S1531" s="28" t="s">
        <v>29356</v>
      </c>
      <c r="T1531" s="30">
        <v>150</v>
      </c>
      <c r="U1531" s="28" t="s">
        <v>29357</v>
      </c>
      <c r="V1531" s="28" t="s">
        <v>138</v>
      </c>
      <c r="W1531" s="28" t="s">
        <v>138</v>
      </c>
      <c r="X1531" s="31">
        <v>2012</v>
      </c>
      <c r="Y1531" s="28" t="s">
        <v>138</v>
      </c>
      <c r="Z1531" s="28" t="s">
        <v>138</v>
      </c>
      <c r="AA1531" s="28" t="s">
        <v>138</v>
      </c>
      <c r="AB1531" s="32">
        <v>20</v>
      </c>
      <c r="AC1531" s="32" t="s">
        <v>138</v>
      </c>
      <c r="AD1531" s="32" t="s">
        <v>138</v>
      </c>
      <c r="AE1531" s="32" t="s">
        <v>138</v>
      </c>
      <c r="AF1531" s="32" t="s">
        <v>138</v>
      </c>
      <c r="AG1531" s="28" t="s">
        <v>707</v>
      </c>
      <c r="AH1531" s="32" t="s">
        <v>138</v>
      </c>
      <c r="AI1531" s="32" t="s">
        <v>138</v>
      </c>
      <c r="AJ1531" s="32" t="s">
        <v>138</v>
      </c>
      <c r="AK1531" s="28" t="s">
        <v>29358</v>
      </c>
      <c r="AL1531" s="28" t="s">
        <v>29359</v>
      </c>
      <c r="AM1531" s="28" t="s">
        <v>4622</v>
      </c>
      <c r="AN1531" s="28" t="s">
        <v>29360</v>
      </c>
      <c r="AO1531" s="28" t="s">
        <v>138</v>
      </c>
      <c r="AP1531" s="28" t="s">
        <v>1292</v>
      </c>
      <c r="AQ1531" s="28" t="s">
        <v>29361</v>
      </c>
      <c r="AR1531" s="28" t="s">
        <v>618</v>
      </c>
      <c r="AS1531" s="28" t="s">
        <v>1294</v>
      </c>
      <c r="AT1531" s="28" t="s">
        <v>864</v>
      </c>
      <c r="AU1531" s="28" t="s">
        <v>3579</v>
      </c>
      <c r="AV1531" s="28" t="s">
        <v>162</v>
      </c>
      <c r="AW1531" s="28" t="s">
        <v>138</v>
      </c>
      <c r="AX1531" s="28" t="s">
        <v>138</v>
      </c>
      <c r="AY1531" s="28" t="s">
        <v>29362</v>
      </c>
      <c r="AZ1531" s="28" t="s">
        <v>164</v>
      </c>
      <c r="BA1531" s="28" t="s">
        <v>165</v>
      </c>
      <c r="BB1531" s="28" t="s">
        <v>29363</v>
      </c>
      <c r="BC1531" s="28" t="s">
        <v>29364</v>
      </c>
      <c r="BD1531" s="33">
        <v>22</v>
      </c>
      <c r="BE1531" s="28" t="s">
        <v>138</v>
      </c>
      <c r="BF1531" s="28" t="s">
        <v>138</v>
      </c>
      <c r="BG1531" s="28" t="s">
        <v>138</v>
      </c>
      <c r="BH1531" s="28" t="s">
        <v>29365</v>
      </c>
      <c r="BI1531" s="28" t="s">
        <v>138</v>
      </c>
      <c r="BJ1531" s="28" t="s">
        <v>138</v>
      </c>
      <c r="BK1531" s="28" t="s">
        <v>29366</v>
      </c>
      <c r="BL1531" s="28" t="s">
        <v>29367</v>
      </c>
      <c r="BM1531" s="34">
        <v>41384</v>
      </c>
      <c r="BN1531" s="29">
        <v>0.12</v>
      </c>
      <c r="BO1531" s="28" t="s">
        <v>172</v>
      </c>
      <c r="BP1531" s="29" t="s">
        <v>138</v>
      </c>
      <c r="BQ1531" s="28" t="s">
        <v>138</v>
      </c>
      <c r="BR1531" s="28" t="s">
        <v>316</v>
      </c>
      <c r="BS1531" s="28" t="s">
        <v>138</v>
      </c>
      <c r="BT1531" s="28" t="s">
        <v>138</v>
      </c>
      <c r="BU1531" s="28" t="s">
        <v>177</v>
      </c>
      <c r="BV1531" s="28" t="s">
        <v>138</v>
      </c>
      <c r="BW1531" s="28" t="s">
        <v>138</v>
      </c>
      <c r="BX1531" s="28" t="s">
        <v>138</v>
      </c>
      <c r="BY1531" s="28" t="s">
        <v>175</v>
      </c>
      <c r="BZ1531" s="34">
        <v>43398</v>
      </c>
      <c r="CA1531" s="29">
        <v>100</v>
      </c>
      <c r="CB1531" s="28" t="s">
        <v>172</v>
      </c>
      <c r="CC1531" s="29">
        <v>725</v>
      </c>
      <c r="CD1531" s="28" t="s">
        <v>172</v>
      </c>
      <c r="CE1531" s="28" t="s">
        <v>173</v>
      </c>
      <c r="CF1531" s="28" t="s">
        <v>433</v>
      </c>
      <c r="CG1531" s="28" t="s">
        <v>138</v>
      </c>
      <c r="CH1531" s="28" t="s">
        <v>174</v>
      </c>
      <c r="CI1531" s="28" t="s">
        <v>138</v>
      </c>
      <c r="CJ1531" s="28" t="s">
        <v>138</v>
      </c>
      <c r="CK1531" s="28" t="s">
        <v>138</v>
      </c>
      <c r="CL1531" s="28" t="s">
        <v>175</v>
      </c>
      <c r="CM1531" s="34" t="s">
        <v>138</v>
      </c>
      <c r="CN1531" s="29" t="s">
        <v>138</v>
      </c>
      <c r="CO1531" s="35">
        <v>1.06</v>
      </c>
      <c r="CP1531" s="36">
        <v>97</v>
      </c>
      <c r="CQ1531" s="35">
        <v>-0.01</v>
      </c>
      <c r="CR1531" s="35">
        <v>-1.19</v>
      </c>
      <c r="CS1531" s="35">
        <v>1.71</v>
      </c>
      <c r="CT1531" s="36">
        <v>98</v>
      </c>
      <c r="CU1531" s="35">
        <v>0.41</v>
      </c>
      <c r="CV1531" s="36">
        <v>91</v>
      </c>
      <c r="CW1531" s="35">
        <v>3.17</v>
      </c>
      <c r="CX1531" s="36">
        <v>92</v>
      </c>
      <c r="CY1531" s="35">
        <v>0.26</v>
      </c>
      <c r="CZ1531" s="36">
        <v>98</v>
      </c>
      <c r="DA1531" s="35">
        <v>0.5</v>
      </c>
      <c r="DB1531" s="36">
        <v>94</v>
      </c>
      <c r="DC1531" s="37">
        <v>44.09</v>
      </c>
      <c r="DD1531" s="36">
        <v>98</v>
      </c>
      <c r="DE1531" s="37">
        <v>-2.37</v>
      </c>
      <c r="DF1531" s="35">
        <v>-5.0999999999999996</v>
      </c>
      <c r="DG1531" s="37">
        <v>67.64</v>
      </c>
      <c r="DH1531" s="36">
        <v>99</v>
      </c>
      <c r="DI1531" s="37">
        <v>20.54</v>
      </c>
      <c r="DJ1531" s="36">
        <v>91</v>
      </c>
      <c r="DK1531" s="37">
        <v>75.900000000000006</v>
      </c>
      <c r="DL1531" s="36">
        <v>97</v>
      </c>
      <c r="DM1531" s="37">
        <v>59.38</v>
      </c>
      <c r="DN1531" s="36">
        <v>98</v>
      </c>
      <c r="DO1531" s="37">
        <v>36.83</v>
      </c>
      <c r="DP1531" s="36">
        <v>95</v>
      </c>
      <c r="DQ1531" s="36">
        <v>26096</v>
      </c>
      <c r="DR1531" s="38">
        <v>-183</v>
      </c>
      <c r="DS1531" s="35">
        <v>-0.7</v>
      </c>
      <c r="DT1531" s="36">
        <v>1723</v>
      </c>
      <c r="DU1531" s="38">
        <v>2</v>
      </c>
      <c r="DV1531" s="35">
        <v>0.12</v>
      </c>
      <c r="DW1531" s="36">
        <v>13168</v>
      </c>
      <c r="DX1531" s="39">
        <v>84</v>
      </c>
      <c r="DY1531" s="35">
        <v>0.64</v>
      </c>
      <c r="DZ1531" s="28" t="s">
        <v>178</v>
      </c>
      <c r="EA1531" s="34">
        <v>43622</v>
      </c>
      <c r="EB1531" s="29">
        <v>725</v>
      </c>
      <c r="EC1531" s="34">
        <v>43398</v>
      </c>
      <c r="ED1531" s="28" t="s">
        <v>173</v>
      </c>
      <c r="EE1531" s="40" t="str">
        <f>HYPERLINK("https://my.pitchbook.com?c=57523-60", "View company online")</f>
        <v>View company online</v>
      </c>
    </row>
    <row r="1532" spans="1:135">
      <c r="A1532" s="15" t="s">
        <v>29368</v>
      </c>
      <c r="B1532" s="15" t="s">
        <v>29369</v>
      </c>
      <c r="C1532" s="15" t="s">
        <v>138</v>
      </c>
      <c r="D1532" s="15" t="s">
        <v>138</v>
      </c>
      <c r="E1532" s="15" t="s">
        <v>29370</v>
      </c>
      <c r="F1532" s="15" t="s">
        <v>29368</v>
      </c>
      <c r="G1532" s="15" t="s">
        <v>29371</v>
      </c>
      <c r="H1532" s="15" t="s">
        <v>322</v>
      </c>
      <c r="I1532" s="15" t="s">
        <v>323</v>
      </c>
      <c r="J1532" s="15" t="s">
        <v>324</v>
      </c>
      <c r="K1532" s="15" t="s">
        <v>1159</v>
      </c>
      <c r="L1532" s="15" t="s">
        <v>2835</v>
      </c>
      <c r="M1532" s="15" t="s">
        <v>29372</v>
      </c>
      <c r="N1532" s="15" t="s">
        <v>147</v>
      </c>
      <c r="O1532" s="17">
        <v>6.33</v>
      </c>
      <c r="P1532" s="15" t="s">
        <v>148</v>
      </c>
      <c r="Q1532" s="15" t="s">
        <v>149</v>
      </c>
      <c r="R1532" s="15" t="s">
        <v>174</v>
      </c>
      <c r="S1532" s="15" t="s">
        <v>29373</v>
      </c>
      <c r="T1532" s="18">
        <v>5</v>
      </c>
      <c r="U1532" s="15" t="s">
        <v>18712</v>
      </c>
      <c r="V1532" s="15" t="s">
        <v>138</v>
      </c>
      <c r="W1532" s="15" t="s">
        <v>138</v>
      </c>
      <c r="X1532" s="19">
        <v>2016</v>
      </c>
      <c r="Y1532" s="15" t="s">
        <v>138</v>
      </c>
      <c r="Z1532" s="15" t="s">
        <v>138</v>
      </c>
      <c r="AA1532" s="15" t="s">
        <v>138</v>
      </c>
      <c r="AB1532" s="20" t="s">
        <v>138</v>
      </c>
      <c r="AC1532" s="20" t="s">
        <v>138</v>
      </c>
      <c r="AD1532" s="20" t="s">
        <v>138</v>
      </c>
      <c r="AE1532" s="20" t="s">
        <v>138</v>
      </c>
      <c r="AF1532" s="20" t="s">
        <v>138</v>
      </c>
      <c r="AG1532" s="15" t="s">
        <v>138</v>
      </c>
      <c r="AH1532" s="20" t="s">
        <v>138</v>
      </c>
      <c r="AI1532" s="20" t="s">
        <v>138</v>
      </c>
      <c r="AJ1532" s="20" t="s">
        <v>138</v>
      </c>
      <c r="AK1532" s="15" t="s">
        <v>29374</v>
      </c>
      <c r="AL1532" s="15" t="s">
        <v>29375</v>
      </c>
      <c r="AM1532" s="15" t="s">
        <v>818</v>
      </c>
      <c r="AN1532" s="15" t="s">
        <v>29376</v>
      </c>
      <c r="AO1532" s="15" t="s">
        <v>29377</v>
      </c>
      <c r="AP1532" s="15" t="s">
        <v>423</v>
      </c>
      <c r="AQ1532" s="15" t="s">
        <v>29378</v>
      </c>
      <c r="AR1532" s="15" t="s">
        <v>10873</v>
      </c>
      <c r="AS1532" s="15" t="s">
        <v>426</v>
      </c>
      <c r="AT1532" s="15" t="s">
        <v>426</v>
      </c>
      <c r="AU1532" s="15" t="s">
        <v>549</v>
      </c>
      <c r="AV1532" s="15" t="s">
        <v>162</v>
      </c>
      <c r="AW1532" s="15" t="s">
        <v>29377</v>
      </c>
      <c r="AX1532" s="15" t="s">
        <v>138</v>
      </c>
      <c r="AY1532" s="15" t="s">
        <v>29379</v>
      </c>
      <c r="AZ1532" s="15" t="s">
        <v>164</v>
      </c>
      <c r="BA1532" s="15" t="s">
        <v>165</v>
      </c>
      <c r="BB1532" s="15" t="s">
        <v>29380</v>
      </c>
      <c r="BC1532" s="15" t="s">
        <v>29381</v>
      </c>
      <c r="BD1532" s="21">
        <v>8</v>
      </c>
      <c r="BE1532" s="15" t="s">
        <v>138</v>
      </c>
      <c r="BF1532" s="15" t="s">
        <v>138</v>
      </c>
      <c r="BG1532" s="15" t="s">
        <v>138</v>
      </c>
      <c r="BH1532" s="15" t="s">
        <v>29382</v>
      </c>
      <c r="BI1532" s="15" t="s">
        <v>138</v>
      </c>
      <c r="BJ1532" s="15" t="s">
        <v>138</v>
      </c>
      <c r="BK1532" s="15" t="s">
        <v>1275</v>
      </c>
      <c r="BL1532" s="15" t="s">
        <v>1275</v>
      </c>
      <c r="BM1532" s="22">
        <v>42401</v>
      </c>
      <c r="BN1532" s="17">
        <v>0.01</v>
      </c>
      <c r="BO1532" s="15" t="s">
        <v>172</v>
      </c>
      <c r="BP1532" s="17" t="s">
        <v>138</v>
      </c>
      <c r="BQ1532" s="15" t="s">
        <v>138</v>
      </c>
      <c r="BR1532" s="15" t="s">
        <v>316</v>
      </c>
      <c r="BS1532" s="15" t="s">
        <v>138</v>
      </c>
      <c r="BT1532" s="15" t="s">
        <v>138</v>
      </c>
      <c r="BU1532" s="15" t="s">
        <v>177</v>
      </c>
      <c r="BV1532" s="15" t="s">
        <v>138</v>
      </c>
      <c r="BW1532" s="15" t="s">
        <v>138</v>
      </c>
      <c r="BX1532" s="15" t="s">
        <v>138</v>
      </c>
      <c r="BY1532" s="15" t="s">
        <v>175</v>
      </c>
      <c r="BZ1532" s="22">
        <v>43382</v>
      </c>
      <c r="CA1532" s="17">
        <v>4.8</v>
      </c>
      <c r="CB1532" s="15" t="s">
        <v>172</v>
      </c>
      <c r="CC1532" s="17">
        <v>24.8</v>
      </c>
      <c r="CD1532" s="15" t="s">
        <v>172</v>
      </c>
      <c r="CE1532" s="15" t="s">
        <v>234</v>
      </c>
      <c r="CF1532" s="15" t="s">
        <v>234</v>
      </c>
      <c r="CG1532" s="15" t="s">
        <v>138</v>
      </c>
      <c r="CH1532" s="15" t="s">
        <v>174</v>
      </c>
      <c r="CI1532" s="15" t="s">
        <v>138</v>
      </c>
      <c r="CJ1532" s="15" t="s">
        <v>138</v>
      </c>
      <c r="CK1532" s="15" t="s">
        <v>138</v>
      </c>
      <c r="CL1532" s="15" t="s">
        <v>175</v>
      </c>
      <c r="CM1532" s="22" t="s">
        <v>138</v>
      </c>
      <c r="CN1532" s="17" t="s">
        <v>138</v>
      </c>
      <c r="CO1532" s="23">
        <v>0</v>
      </c>
      <c r="CP1532" s="24">
        <v>26</v>
      </c>
      <c r="CQ1532" s="23">
        <v>0</v>
      </c>
      <c r="CR1532" s="23">
        <v>0</v>
      </c>
      <c r="CS1532" s="23">
        <v>0</v>
      </c>
      <c r="CT1532" s="24">
        <v>23</v>
      </c>
      <c r="CU1532" s="23">
        <v>0</v>
      </c>
      <c r="CV1532" s="24">
        <v>22</v>
      </c>
      <c r="CW1532" s="23">
        <v>0</v>
      </c>
      <c r="CX1532" s="24">
        <v>13</v>
      </c>
      <c r="CY1532" s="23" t="s">
        <v>138</v>
      </c>
      <c r="CZ1532" s="24" t="s">
        <v>138</v>
      </c>
      <c r="DA1532" s="23" t="s">
        <v>138</v>
      </c>
      <c r="DB1532" s="24" t="s">
        <v>138</v>
      </c>
      <c r="DC1532" s="25">
        <v>0.23</v>
      </c>
      <c r="DD1532" s="24">
        <v>18</v>
      </c>
      <c r="DE1532" s="25">
        <v>-0.02</v>
      </c>
      <c r="DF1532" s="23">
        <v>-9.3800000000000008</v>
      </c>
      <c r="DG1532" s="25">
        <v>0.37</v>
      </c>
      <c r="DH1532" s="24">
        <v>27</v>
      </c>
      <c r="DI1532" s="25">
        <v>0.09</v>
      </c>
      <c r="DJ1532" s="24">
        <v>13</v>
      </c>
      <c r="DK1532" s="25">
        <v>0.37</v>
      </c>
      <c r="DL1532" s="24">
        <v>25</v>
      </c>
      <c r="DM1532" s="25" t="s">
        <v>138</v>
      </c>
      <c r="DN1532" s="24" t="s">
        <v>138</v>
      </c>
      <c r="DO1532" s="25" t="s">
        <v>138</v>
      </c>
      <c r="DP1532" s="24" t="s">
        <v>138</v>
      </c>
      <c r="DQ1532" s="24">
        <v>135</v>
      </c>
      <c r="DR1532" s="26">
        <v>-21</v>
      </c>
      <c r="DS1532" s="23">
        <v>-13.46</v>
      </c>
      <c r="DT1532" s="24" t="s">
        <v>138</v>
      </c>
      <c r="DU1532" s="26" t="s">
        <v>138</v>
      </c>
      <c r="DV1532" s="23" t="s">
        <v>138</v>
      </c>
      <c r="DW1532" s="24" t="s">
        <v>138</v>
      </c>
      <c r="DX1532" s="27" t="s">
        <v>138</v>
      </c>
      <c r="DY1532" s="23" t="s">
        <v>138</v>
      </c>
      <c r="DZ1532" s="15" t="s">
        <v>178</v>
      </c>
      <c r="EA1532" s="22">
        <v>43622</v>
      </c>
      <c r="EB1532" s="17">
        <v>24.8</v>
      </c>
      <c r="EC1532" s="22">
        <v>43382</v>
      </c>
      <c r="ED1532" s="15" t="s">
        <v>234</v>
      </c>
      <c r="EE1532" s="14" t="str">
        <f>HYPERLINK("https://my.pitchbook.com?c=169539-67", "View company online")</f>
        <v>View company online</v>
      </c>
    </row>
    <row r="1533" spans="1:135">
      <c r="A1533" s="28" t="s">
        <v>29383</v>
      </c>
      <c r="B1533" s="28" t="s">
        <v>29384</v>
      </c>
      <c r="C1533" s="28" t="s">
        <v>138</v>
      </c>
      <c r="D1533" s="28" t="s">
        <v>138</v>
      </c>
      <c r="E1533" s="28" t="s">
        <v>29385</v>
      </c>
      <c r="F1533" s="28" t="s">
        <v>29383</v>
      </c>
      <c r="G1533" s="28" t="s">
        <v>29386</v>
      </c>
      <c r="H1533" s="28" t="s">
        <v>322</v>
      </c>
      <c r="I1533" s="28" t="s">
        <v>323</v>
      </c>
      <c r="J1533" s="28" t="s">
        <v>461</v>
      </c>
      <c r="K1533" s="28" t="s">
        <v>10119</v>
      </c>
      <c r="L1533" s="28" t="s">
        <v>6052</v>
      </c>
      <c r="M1533" s="28" t="s">
        <v>29387</v>
      </c>
      <c r="N1533" s="28" t="s">
        <v>147</v>
      </c>
      <c r="O1533" s="29">
        <v>33.270000000000003</v>
      </c>
      <c r="P1533" s="28" t="s">
        <v>148</v>
      </c>
      <c r="Q1533" s="28" t="s">
        <v>149</v>
      </c>
      <c r="R1533" s="28" t="s">
        <v>174</v>
      </c>
      <c r="S1533" s="28" t="s">
        <v>29388</v>
      </c>
      <c r="T1533" s="30">
        <v>95</v>
      </c>
      <c r="U1533" s="28" t="s">
        <v>29389</v>
      </c>
      <c r="V1533" s="28" t="s">
        <v>138</v>
      </c>
      <c r="W1533" s="28" t="s">
        <v>138</v>
      </c>
      <c r="X1533" s="31">
        <v>2006</v>
      </c>
      <c r="Y1533" s="28" t="s">
        <v>138</v>
      </c>
      <c r="Z1533" s="28" t="s">
        <v>138</v>
      </c>
      <c r="AA1533" s="28" t="s">
        <v>138</v>
      </c>
      <c r="AB1533" s="32" t="s">
        <v>138</v>
      </c>
      <c r="AC1533" s="32" t="s">
        <v>138</v>
      </c>
      <c r="AD1533" s="32" t="s">
        <v>138</v>
      </c>
      <c r="AE1533" s="32" t="s">
        <v>138</v>
      </c>
      <c r="AF1533" s="32" t="s">
        <v>138</v>
      </c>
      <c r="AG1533" s="28" t="s">
        <v>138</v>
      </c>
      <c r="AH1533" s="32" t="s">
        <v>138</v>
      </c>
      <c r="AI1533" s="32" t="s">
        <v>138</v>
      </c>
      <c r="AJ1533" s="32" t="s">
        <v>138</v>
      </c>
      <c r="AK1533" s="28" t="s">
        <v>29390</v>
      </c>
      <c r="AL1533" s="28" t="s">
        <v>29391</v>
      </c>
      <c r="AM1533" s="28" t="s">
        <v>221</v>
      </c>
      <c r="AN1533" s="28" t="s">
        <v>138</v>
      </c>
      <c r="AO1533" s="28" t="s">
        <v>29392</v>
      </c>
      <c r="AP1533" s="28" t="s">
        <v>5380</v>
      </c>
      <c r="AQ1533" s="28" t="s">
        <v>29393</v>
      </c>
      <c r="AR1533" s="28" t="s">
        <v>3630</v>
      </c>
      <c r="AS1533" s="28" t="s">
        <v>5382</v>
      </c>
      <c r="AT1533" s="28" t="s">
        <v>200</v>
      </c>
      <c r="AU1533" s="28" t="s">
        <v>5383</v>
      </c>
      <c r="AV1533" s="28" t="s">
        <v>162</v>
      </c>
      <c r="AW1533" s="28" t="s">
        <v>29392</v>
      </c>
      <c r="AX1533" s="28" t="s">
        <v>138</v>
      </c>
      <c r="AY1533" s="28" t="s">
        <v>138</v>
      </c>
      <c r="AZ1533" s="28" t="s">
        <v>164</v>
      </c>
      <c r="BA1533" s="28" t="s">
        <v>165</v>
      </c>
      <c r="BB1533" s="28" t="s">
        <v>29394</v>
      </c>
      <c r="BC1533" s="28" t="s">
        <v>29395</v>
      </c>
      <c r="BD1533" s="33">
        <v>3</v>
      </c>
      <c r="BE1533" s="28" t="s">
        <v>138</v>
      </c>
      <c r="BF1533" s="28" t="s">
        <v>138</v>
      </c>
      <c r="BG1533" s="28" t="s">
        <v>138</v>
      </c>
      <c r="BH1533" s="28" t="s">
        <v>29396</v>
      </c>
      <c r="BI1533" s="28" t="s">
        <v>138</v>
      </c>
      <c r="BJ1533" s="28" t="s">
        <v>138</v>
      </c>
      <c r="BK1533" s="28" t="s">
        <v>29397</v>
      </c>
      <c r="BL1533" s="28" t="s">
        <v>1251</v>
      </c>
      <c r="BM1533" s="34">
        <v>39567</v>
      </c>
      <c r="BN1533" s="29">
        <v>0.83</v>
      </c>
      <c r="BO1533" s="28" t="s">
        <v>172</v>
      </c>
      <c r="BP1533" s="29">
        <v>4.16</v>
      </c>
      <c r="BQ1533" s="28" t="s">
        <v>172</v>
      </c>
      <c r="BR1533" s="28" t="s">
        <v>205</v>
      </c>
      <c r="BS1533" s="28" t="s">
        <v>206</v>
      </c>
      <c r="BT1533" s="28" t="s">
        <v>138</v>
      </c>
      <c r="BU1533" s="28" t="s">
        <v>174</v>
      </c>
      <c r="BV1533" s="28" t="s">
        <v>138</v>
      </c>
      <c r="BW1533" s="28" t="s">
        <v>138</v>
      </c>
      <c r="BX1533" s="28" t="s">
        <v>138</v>
      </c>
      <c r="BY1533" s="28" t="s">
        <v>175</v>
      </c>
      <c r="BZ1533" s="34">
        <v>42491</v>
      </c>
      <c r="CA1533" s="29" t="s">
        <v>138</v>
      </c>
      <c r="CB1533" s="28" t="s">
        <v>138</v>
      </c>
      <c r="CC1533" s="29" t="s">
        <v>138</v>
      </c>
      <c r="CD1533" s="28" t="s">
        <v>138</v>
      </c>
      <c r="CE1533" s="28" t="s">
        <v>173</v>
      </c>
      <c r="CF1533" s="28" t="s">
        <v>138</v>
      </c>
      <c r="CG1533" s="28" t="s">
        <v>138</v>
      </c>
      <c r="CH1533" s="28" t="s">
        <v>174</v>
      </c>
      <c r="CI1533" s="28" t="s">
        <v>138</v>
      </c>
      <c r="CJ1533" s="28" t="s">
        <v>138</v>
      </c>
      <c r="CK1533" s="28" t="s">
        <v>138</v>
      </c>
      <c r="CL1533" s="28" t="s">
        <v>175</v>
      </c>
      <c r="CM1533" s="34" t="s">
        <v>138</v>
      </c>
      <c r="CN1533" s="29" t="s">
        <v>138</v>
      </c>
      <c r="CO1533" s="35">
        <v>-1.45</v>
      </c>
      <c r="CP1533" s="36">
        <v>8</v>
      </c>
      <c r="CQ1533" s="35">
        <v>-0.05</v>
      </c>
      <c r="CR1533" s="35">
        <v>-3.93</v>
      </c>
      <c r="CS1533" s="35">
        <v>-3.1</v>
      </c>
      <c r="CT1533" s="36">
        <v>5</v>
      </c>
      <c r="CU1533" s="35">
        <v>0.19</v>
      </c>
      <c r="CV1533" s="36">
        <v>79</v>
      </c>
      <c r="CW1533" s="35">
        <v>-5.39</v>
      </c>
      <c r="CX1533" s="36">
        <v>2</v>
      </c>
      <c r="CY1533" s="35">
        <v>-0.81</v>
      </c>
      <c r="CZ1533" s="36">
        <v>20</v>
      </c>
      <c r="DA1533" s="35">
        <v>0.19</v>
      </c>
      <c r="DB1533" s="36">
        <v>82</v>
      </c>
      <c r="DC1533" s="37">
        <v>7.98</v>
      </c>
      <c r="DD1533" s="36">
        <v>88</v>
      </c>
      <c r="DE1533" s="37">
        <v>0.28999999999999998</v>
      </c>
      <c r="DF1533" s="35">
        <v>3.78</v>
      </c>
      <c r="DG1533" s="37">
        <v>13.95</v>
      </c>
      <c r="DH1533" s="36">
        <v>92</v>
      </c>
      <c r="DI1533" s="37">
        <v>2</v>
      </c>
      <c r="DJ1533" s="36">
        <v>62</v>
      </c>
      <c r="DK1533" s="37">
        <v>3.01</v>
      </c>
      <c r="DL1533" s="36">
        <v>72</v>
      </c>
      <c r="DM1533" s="37">
        <v>24.9</v>
      </c>
      <c r="DN1533" s="36">
        <v>95</v>
      </c>
      <c r="DO1533" s="37">
        <v>2</v>
      </c>
      <c r="DP1533" s="36">
        <v>64</v>
      </c>
      <c r="DQ1533" s="36">
        <v>1058</v>
      </c>
      <c r="DR1533" s="38">
        <v>-76</v>
      </c>
      <c r="DS1533" s="35">
        <v>-6.7</v>
      </c>
      <c r="DT1533" s="36">
        <v>723</v>
      </c>
      <c r="DU1533" s="38">
        <v>3</v>
      </c>
      <c r="DV1533" s="35">
        <v>0.42</v>
      </c>
      <c r="DW1533" s="36">
        <v>715</v>
      </c>
      <c r="DX1533" s="39">
        <v>-1</v>
      </c>
      <c r="DY1533" s="35">
        <v>-0.14000000000000001</v>
      </c>
      <c r="DZ1533" s="28" t="s">
        <v>178</v>
      </c>
      <c r="EA1533" s="34">
        <v>43607</v>
      </c>
      <c r="EB1533" s="29">
        <v>60</v>
      </c>
      <c r="EC1533" s="34">
        <v>42191</v>
      </c>
      <c r="ED1533" s="28" t="s">
        <v>173</v>
      </c>
      <c r="EE1533" s="40" t="str">
        <f>HYPERLINK("https://my.pitchbook.com?c=56924-29", "View company online")</f>
        <v>View company online</v>
      </c>
    </row>
    <row r="1534" spans="1:135">
      <c r="A1534" s="15" t="s">
        <v>29398</v>
      </c>
      <c r="B1534" s="15" t="s">
        <v>29399</v>
      </c>
      <c r="C1534" s="15" t="s">
        <v>138</v>
      </c>
      <c r="D1534" s="15" t="s">
        <v>138</v>
      </c>
      <c r="E1534" s="15" t="s">
        <v>138</v>
      </c>
      <c r="F1534" s="15" t="s">
        <v>29398</v>
      </c>
      <c r="G1534" s="15" t="s">
        <v>29400</v>
      </c>
      <c r="H1534" s="15" t="s">
        <v>322</v>
      </c>
      <c r="I1534" s="15" t="s">
        <v>323</v>
      </c>
      <c r="J1534" s="15" t="s">
        <v>2984</v>
      </c>
      <c r="K1534" s="15" t="s">
        <v>29401</v>
      </c>
      <c r="L1534" s="15" t="s">
        <v>415</v>
      </c>
      <c r="M1534" s="15" t="s">
        <v>29402</v>
      </c>
      <c r="N1534" s="15" t="s">
        <v>147</v>
      </c>
      <c r="O1534" s="17">
        <v>44.7</v>
      </c>
      <c r="P1534" s="15" t="s">
        <v>148</v>
      </c>
      <c r="Q1534" s="15" t="s">
        <v>149</v>
      </c>
      <c r="R1534" s="15" t="s">
        <v>174</v>
      </c>
      <c r="S1534" s="15" t="s">
        <v>29403</v>
      </c>
      <c r="T1534" s="18">
        <v>39</v>
      </c>
      <c r="U1534" s="15" t="s">
        <v>29404</v>
      </c>
      <c r="V1534" s="15" t="s">
        <v>138</v>
      </c>
      <c r="W1534" s="15" t="s">
        <v>138</v>
      </c>
      <c r="X1534" s="19">
        <v>2015</v>
      </c>
      <c r="Y1534" s="15" t="s">
        <v>138</v>
      </c>
      <c r="Z1534" s="15" t="s">
        <v>138</v>
      </c>
      <c r="AA1534" s="15" t="s">
        <v>138</v>
      </c>
      <c r="AB1534" s="20" t="s">
        <v>138</v>
      </c>
      <c r="AC1534" s="20" t="s">
        <v>138</v>
      </c>
      <c r="AD1534" s="20" t="s">
        <v>138</v>
      </c>
      <c r="AE1534" s="20" t="s">
        <v>138</v>
      </c>
      <c r="AF1534" s="20" t="s">
        <v>138</v>
      </c>
      <c r="AG1534" s="15" t="s">
        <v>138</v>
      </c>
      <c r="AH1534" s="20" t="s">
        <v>138</v>
      </c>
      <c r="AI1534" s="20" t="s">
        <v>138</v>
      </c>
      <c r="AJ1534" s="20" t="s">
        <v>138</v>
      </c>
      <c r="AK1534" s="15" t="s">
        <v>29405</v>
      </c>
      <c r="AL1534" s="15" t="s">
        <v>29406</v>
      </c>
      <c r="AM1534" s="15" t="s">
        <v>304</v>
      </c>
      <c r="AN1534" s="15" t="s">
        <v>29407</v>
      </c>
      <c r="AO1534" s="15" t="s">
        <v>138</v>
      </c>
      <c r="AP1534" s="15" t="s">
        <v>639</v>
      </c>
      <c r="AQ1534" s="15" t="s">
        <v>29408</v>
      </c>
      <c r="AR1534" s="15" t="s">
        <v>29409</v>
      </c>
      <c r="AS1534" s="15" t="s">
        <v>642</v>
      </c>
      <c r="AT1534" s="15" t="s">
        <v>474</v>
      </c>
      <c r="AU1534" s="15" t="s">
        <v>3649</v>
      </c>
      <c r="AV1534" s="15" t="s">
        <v>162</v>
      </c>
      <c r="AW1534" s="15" t="s">
        <v>138</v>
      </c>
      <c r="AX1534" s="15" t="s">
        <v>138</v>
      </c>
      <c r="AY1534" s="15" t="s">
        <v>29410</v>
      </c>
      <c r="AZ1534" s="15" t="s">
        <v>164</v>
      </c>
      <c r="BA1534" s="15" t="s">
        <v>165</v>
      </c>
      <c r="BB1534" s="15" t="s">
        <v>29411</v>
      </c>
      <c r="BC1534" s="15" t="s">
        <v>29412</v>
      </c>
      <c r="BD1534" s="21">
        <v>35</v>
      </c>
      <c r="BE1534" s="15" t="s">
        <v>138</v>
      </c>
      <c r="BF1534" s="15" t="s">
        <v>138</v>
      </c>
      <c r="BG1534" s="15" t="s">
        <v>138</v>
      </c>
      <c r="BH1534" s="15" t="s">
        <v>29413</v>
      </c>
      <c r="BI1534" s="15" t="s">
        <v>138</v>
      </c>
      <c r="BJ1534" s="15" t="s">
        <v>138</v>
      </c>
      <c r="BK1534" s="15" t="s">
        <v>138</v>
      </c>
      <c r="BL1534" s="15" t="s">
        <v>138</v>
      </c>
      <c r="BM1534" s="22">
        <v>42562</v>
      </c>
      <c r="BN1534" s="17">
        <v>14</v>
      </c>
      <c r="BO1534" s="15" t="s">
        <v>172</v>
      </c>
      <c r="BP1534" s="17">
        <v>49</v>
      </c>
      <c r="BQ1534" s="15" t="s">
        <v>172</v>
      </c>
      <c r="BR1534" s="15" t="s">
        <v>205</v>
      </c>
      <c r="BS1534" s="15" t="s">
        <v>206</v>
      </c>
      <c r="BT1534" s="15" t="s">
        <v>138</v>
      </c>
      <c r="BU1534" s="15" t="s">
        <v>174</v>
      </c>
      <c r="BV1534" s="15" t="s">
        <v>138</v>
      </c>
      <c r="BW1534" s="15" t="s">
        <v>138</v>
      </c>
      <c r="BX1534" s="15" t="s">
        <v>138</v>
      </c>
      <c r="BY1534" s="15" t="s">
        <v>175</v>
      </c>
      <c r="BZ1534" s="22">
        <v>43368</v>
      </c>
      <c r="CA1534" s="17">
        <v>12</v>
      </c>
      <c r="CB1534" s="15" t="s">
        <v>172</v>
      </c>
      <c r="CC1534" s="17" t="s">
        <v>138</v>
      </c>
      <c r="CD1534" s="15" t="s">
        <v>138</v>
      </c>
      <c r="CE1534" s="15" t="s">
        <v>173</v>
      </c>
      <c r="CF1534" s="15" t="s">
        <v>317</v>
      </c>
      <c r="CG1534" s="15" t="s">
        <v>138</v>
      </c>
      <c r="CH1534" s="15" t="s">
        <v>174</v>
      </c>
      <c r="CI1534" s="15" t="s">
        <v>138</v>
      </c>
      <c r="CJ1534" s="15" t="s">
        <v>138</v>
      </c>
      <c r="CK1534" s="15" t="s">
        <v>138</v>
      </c>
      <c r="CL1534" s="15" t="s">
        <v>175</v>
      </c>
      <c r="CM1534" s="22" t="s">
        <v>138</v>
      </c>
      <c r="CN1534" s="17" t="s">
        <v>138</v>
      </c>
      <c r="CO1534" s="23">
        <v>0.17</v>
      </c>
      <c r="CP1534" s="24">
        <v>92</v>
      </c>
      <c r="CQ1534" s="23">
        <v>0.01</v>
      </c>
      <c r="CR1534" s="23">
        <v>5.19</v>
      </c>
      <c r="CS1534" s="23">
        <v>0</v>
      </c>
      <c r="CT1534" s="24">
        <v>23</v>
      </c>
      <c r="CU1534" s="23">
        <v>0.34</v>
      </c>
      <c r="CV1534" s="24">
        <v>89</v>
      </c>
      <c r="CW1534" s="23" t="s">
        <v>138</v>
      </c>
      <c r="CX1534" s="24" t="s">
        <v>138</v>
      </c>
      <c r="CY1534" s="23">
        <v>0</v>
      </c>
      <c r="CZ1534" s="24">
        <v>25</v>
      </c>
      <c r="DA1534" s="23">
        <v>0.34</v>
      </c>
      <c r="DB1534" s="24">
        <v>90</v>
      </c>
      <c r="DC1534" s="25">
        <v>8.24</v>
      </c>
      <c r="DD1534" s="24">
        <v>88</v>
      </c>
      <c r="DE1534" s="25">
        <v>0.04</v>
      </c>
      <c r="DF1534" s="23">
        <v>0.5</v>
      </c>
      <c r="DG1534" s="25">
        <v>2.14</v>
      </c>
      <c r="DH1534" s="24">
        <v>68</v>
      </c>
      <c r="DI1534" s="25">
        <v>14.34</v>
      </c>
      <c r="DJ1534" s="24">
        <v>88</v>
      </c>
      <c r="DK1534" s="25" t="s">
        <v>138</v>
      </c>
      <c r="DL1534" s="24" t="s">
        <v>138</v>
      </c>
      <c r="DM1534" s="25">
        <v>2.14</v>
      </c>
      <c r="DN1534" s="24">
        <v>67</v>
      </c>
      <c r="DO1534" s="25">
        <v>14.34</v>
      </c>
      <c r="DP1534" s="24">
        <v>90</v>
      </c>
      <c r="DQ1534" s="24" t="s">
        <v>138</v>
      </c>
      <c r="DR1534" s="26" t="s">
        <v>138</v>
      </c>
      <c r="DS1534" s="23" t="s">
        <v>138</v>
      </c>
      <c r="DT1534" s="24">
        <v>62</v>
      </c>
      <c r="DU1534" s="26">
        <v>0</v>
      </c>
      <c r="DV1534" s="23">
        <v>0</v>
      </c>
      <c r="DW1534" s="24">
        <v>5128</v>
      </c>
      <c r="DX1534" s="27">
        <v>15</v>
      </c>
      <c r="DY1534" s="23">
        <v>0.28999999999999998</v>
      </c>
      <c r="DZ1534" s="15" t="s">
        <v>178</v>
      </c>
      <c r="EA1534" s="22">
        <v>43559</v>
      </c>
      <c r="EB1534" s="17">
        <v>105</v>
      </c>
      <c r="EC1534" s="22">
        <v>42787</v>
      </c>
      <c r="ED1534" s="15" t="s">
        <v>205</v>
      </c>
      <c r="EE1534" s="14" t="str">
        <f>HYPERLINK("https://my.pitchbook.com?c=154775-53", "View company online")</f>
        <v>View company online</v>
      </c>
    </row>
    <row r="1535" spans="1:135">
      <c r="A1535" s="28" t="s">
        <v>29414</v>
      </c>
      <c r="B1535" s="28" t="s">
        <v>29415</v>
      </c>
      <c r="C1535" s="28" t="s">
        <v>138</v>
      </c>
      <c r="D1535" s="28" t="s">
        <v>138</v>
      </c>
      <c r="E1535" s="28" t="s">
        <v>138</v>
      </c>
      <c r="F1535" s="28" t="s">
        <v>29414</v>
      </c>
      <c r="G1535" s="28" t="s">
        <v>29416</v>
      </c>
      <c r="H1535" s="28" t="s">
        <v>141</v>
      </c>
      <c r="I1535" s="28" t="s">
        <v>212</v>
      </c>
      <c r="J1535" s="28" t="s">
        <v>213</v>
      </c>
      <c r="K1535" s="28" t="s">
        <v>12744</v>
      </c>
      <c r="L1535" s="28" t="s">
        <v>8348</v>
      </c>
      <c r="M1535" s="28" t="s">
        <v>29417</v>
      </c>
      <c r="N1535" s="28" t="s">
        <v>147</v>
      </c>
      <c r="O1535" s="29">
        <v>7.5</v>
      </c>
      <c r="P1535" s="28" t="s">
        <v>148</v>
      </c>
      <c r="Q1535" s="28" t="s">
        <v>149</v>
      </c>
      <c r="R1535" s="28" t="s">
        <v>174</v>
      </c>
      <c r="S1535" s="28" t="s">
        <v>29418</v>
      </c>
      <c r="T1535" s="30" t="s">
        <v>138</v>
      </c>
      <c r="U1535" s="28" t="s">
        <v>138</v>
      </c>
      <c r="V1535" s="28" t="s">
        <v>138</v>
      </c>
      <c r="W1535" s="28" t="s">
        <v>138</v>
      </c>
      <c r="X1535" s="31">
        <v>2016</v>
      </c>
      <c r="Y1535" s="28" t="s">
        <v>138</v>
      </c>
      <c r="Z1535" s="28" t="s">
        <v>138</v>
      </c>
      <c r="AA1535" s="28" t="s">
        <v>138</v>
      </c>
      <c r="AB1535" s="32" t="s">
        <v>138</v>
      </c>
      <c r="AC1535" s="32" t="s">
        <v>138</v>
      </c>
      <c r="AD1535" s="32" t="s">
        <v>138</v>
      </c>
      <c r="AE1535" s="32" t="s">
        <v>138</v>
      </c>
      <c r="AF1535" s="32" t="s">
        <v>138</v>
      </c>
      <c r="AG1535" s="28" t="s">
        <v>138</v>
      </c>
      <c r="AH1535" s="32" t="s">
        <v>138</v>
      </c>
      <c r="AI1535" s="32" t="s">
        <v>138</v>
      </c>
      <c r="AJ1535" s="32" t="s">
        <v>138</v>
      </c>
      <c r="AK1535" s="28" t="s">
        <v>29419</v>
      </c>
      <c r="AL1535" s="28" t="s">
        <v>29420</v>
      </c>
      <c r="AM1535" s="28" t="s">
        <v>818</v>
      </c>
      <c r="AN1535" s="28" t="s">
        <v>29421</v>
      </c>
      <c r="AO1535" s="28" t="s">
        <v>138</v>
      </c>
      <c r="AP1535" s="28" t="s">
        <v>1292</v>
      </c>
      <c r="AQ1535" s="28" t="s">
        <v>29422</v>
      </c>
      <c r="AR1535" s="28" t="s">
        <v>138</v>
      </c>
      <c r="AS1535" s="28" t="s">
        <v>1294</v>
      </c>
      <c r="AT1535" s="28" t="s">
        <v>864</v>
      </c>
      <c r="AU1535" s="28" t="s">
        <v>8420</v>
      </c>
      <c r="AV1535" s="28" t="s">
        <v>162</v>
      </c>
      <c r="AW1535" s="28" t="s">
        <v>138</v>
      </c>
      <c r="AX1535" s="28" t="s">
        <v>138</v>
      </c>
      <c r="AY1535" s="28" t="s">
        <v>29423</v>
      </c>
      <c r="AZ1535" s="28" t="s">
        <v>164</v>
      </c>
      <c r="BA1535" s="28" t="s">
        <v>165</v>
      </c>
      <c r="BB1535" s="28" t="s">
        <v>29424</v>
      </c>
      <c r="BC1535" s="28" t="s">
        <v>29425</v>
      </c>
      <c r="BD1535" s="33">
        <v>2</v>
      </c>
      <c r="BE1535" s="28" t="s">
        <v>138</v>
      </c>
      <c r="BF1535" s="28" t="s">
        <v>138</v>
      </c>
      <c r="BG1535" s="28" t="s">
        <v>138</v>
      </c>
      <c r="BH1535" s="28" t="s">
        <v>29426</v>
      </c>
      <c r="BI1535" s="28" t="s">
        <v>138</v>
      </c>
      <c r="BJ1535" s="28" t="s">
        <v>138</v>
      </c>
      <c r="BK1535" s="28" t="s">
        <v>138</v>
      </c>
      <c r="BL1535" s="28" t="s">
        <v>138</v>
      </c>
      <c r="BM1535" s="34">
        <v>42622</v>
      </c>
      <c r="BN1535" s="29">
        <v>3</v>
      </c>
      <c r="BO1535" s="28" t="s">
        <v>172</v>
      </c>
      <c r="BP1535" s="29">
        <v>10</v>
      </c>
      <c r="BQ1535" s="28" t="s">
        <v>172</v>
      </c>
      <c r="BR1535" s="28" t="s">
        <v>234</v>
      </c>
      <c r="BS1535" s="28" t="s">
        <v>234</v>
      </c>
      <c r="BT1535" s="28" t="s">
        <v>138</v>
      </c>
      <c r="BU1535" s="28" t="s">
        <v>174</v>
      </c>
      <c r="BV1535" s="28" t="s">
        <v>138</v>
      </c>
      <c r="BW1535" s="28" t="s">
        <v>138</v>
      </c>
      <c r="BX1535" s="28" t="s">
        <v>138</v>
      </c>
      <c r="BY1535" s="28" t="s">
        <v>175</v>
      </c>
      <c r="BZ1535" s="34">
        <v>43216</v>
      </c>
      <c r="CA1535" s="29">
        <v>4.5</v>
      </c>
      <c r="CB1535" s="28" t="s">
        <v>172</v>
      </c>
      <c r="CC1535" s="29">
        <v>24.5</v>
      </c>
      <c r="CD1535" s="28" t="s">
        <v>172</v>
      </c>
      <c r="CE1535" s="28" t="s">
        <v>205</v>
      </c>
      <c r="CF1535" s="28" t="s">
        <v>206</v>
      </c>
      <c r="CG1535" s="28" t="s">
        <v>138</v>
      </c>
      <c r="CH1535" s="28" t="s">
        <v>174</v>
      </c>
      <c r="CI1535" s="28" t="s">
        <v>138</v>
      </c>
      <c r="CJ1535" s="28" t="s">
        <v>138</v>
      </c>
      <c r="CK1535" s="28" t="s">
        <v>138</v>
      </c>
      <c r="CL1535" s="28" t="s">
        <v>175</v>
      </c>
      <c r="CM1535" s="34" t="s">
        <v>138</v>
      </c>
      <c r="CN1535" s="29" t="s">
        <v>138</v>
      </c>
      <c r="CO1535" s="35">
        <v>0</v>
      </c>
      <c r="CP1535" s="36">
        <v>26</v>
      </c>
      <c r="CQ1535" s="35">
        <v>0</v>
      </c>
      <c r="CR1535" s="35">
        <v>0</v>
      </c>
      <c r="CS1535" s="35">
        <v>0</v>
      </c>
      <c r="CT1535" s="36">
        <v>23</v>
      </c>
      <c r="CU1535" s="35">
        <v>0</v>
      </c>
      <c r="CV1535" s="36">
        <v>22</v>
      </c>
      <c r="CW1535" s="35">
        <v>0</v>
      </c>
      <c r="CX1535" s="36">
        <v>13</v>
      </c>
      <c r="CY1535" s="35">
        <v>0</v>
      </c>
      <c r="CZ1535" s="36">
        <v>25</v>
      </c>
      <c r="DA1535" s="35">
        <v>0</v>
      </c>
      <c r="DB1535" s="36">
        <v>22</v>
      </c>
      <c r="DC1535" s="37">
        <v>0.5</v>
      </c>
      <c r="DD1535" s="36">
        <v>34</v>
      </c>
      <c r="DE1535" s="37">
        <v>-0.03</v>
      </c>
      <c r="DF1535" s="35">
        <v>-5.05</v>
      </c>
      <c r="DG1535" s="37">
        <v>0.91</v>
      </c>
      <c r="DH1535" s="36">
        <v>49</v>
      </c>
      <c r="DI1535" s="37">
        <v>0.09</v>
      </c>
      <c r="DJ1535" s="36">
        <v>13</v>
      </c>
      <c r="DK1535" s="37">
        <v>0.61</v>
      </c>
      <c r="DL1535" s="36">
        <v>38</v>
      </c>
      <c r="DM1535" s="37">
        <v>1.21</v>
      </c>
      <c r="DN1535" s="36">
        <v>54</v>
      </c>
      <c r="DO1535" s="37">
        <v>0.09</v>
      </c>
      <c r="DP1535" s="36">
        <v>15</v>
      </c>
      <c r="DQ1535" s="36">
        <v>207</v>
      </c>
      <c r="DR1535" s="38">
        <v>1</v>
      </c>
      <c r="DS1535" s="35">
        <v>0.49</v>
      </c>
      <c r="DT1535" s="36">
        <v>35</v>
      </c>
      <c r="DU1535" s="38">
        <v>-1</v>
      </c>
      <c r="DV1535" s="35">
        <v>-2.78</v>
      </c>
      <c r="DW1535" s="36">
        <v>31</v>
      </c>
      <c r="DX1535" s="39">
        <v>2</v>
      </c>
      <c r="DY1535" s="35">
        <v>6.9</v>
      </c>
      <c r="DZ1535" s="28" t="s">
        <v>178</v>
      </c>
      <c r="EA1535" s="34">
        <v>43622</v>
      </c>
      <c r="EB1535" s="29">
        <v>24.5</v>
      </c>
      <c r="EC1535" s="34">
        <v>43216</v>
      </c>
      <c r="ED1535" s="28" t="s">
        <v>205</v>
      </c>
      <c r="EE1535" s="40" t="str">
        <f>HYPERLINK("https://my.pitchbook.com?c=166335-13", "View company online")</f>
        <v>View company online</v>
      </c>
    </row>
    <row r="1536" spans="1:135">
      <c r="A1536" s="15" t="s">
        <v>29427</v>
      </c>
      <c r="B1536" s="15" t="s">
        <v>29428</v>
      </c>
      <c r="C1536" s="15" t="s">
        <v>138</v>
      </c>
      <c r="D1536" s="15" t="s">
        <v>138</v>
      </c>
      <c r="E1536" s="15" t="s">
        <v>29429</v>
      </c>
      <c r="F1536" s="15" t="s">
        <v>29427</v>
      </c>
      <c r="G1536" s="15" t="s">
        <v>29430</v>
      </c>
      <c r="H1536" s="15" t="s">
        <v>322</v>
      </c>
      <c r="I1536" s="15" t="s">
        <v>323</v>
      </c>
      <c r="J1536" s="15" t="s">
        <v>1235</v>
      </c>
      <c r="K1536" s="15" t="s">
        <v>29431</v>
      </c>
      <c r="L1536" s="15" t="s">
        <v>855</v>
      </c>
      <c r="M1536" s="15" t="s">
        <v>29432</v>
      </c>
      <c r="N1536" s="15" t="s">
        <v>147</v>
      </c>
      <c r="O1536" s="17">
        <v>6.28</v>
      </c>
      <c r="P1536" s="15" t="s">
        <v>148</v>
      </c>
      <c r="Q1536" s="15" t="s">
        <v>149</v>
      </c>
      <c r="R1536" s="15" t="s">
        <v>174</v>
      </c>
      <c r="S1536" s="15" t="s">
        <v>29433</v>
      </c>
      <c r="T1536" s="18" t="s">
        <v>138</v>
      </c>
      <c r="U1536" s="15" t="s">
        <v>138</v>
      </c>
      <c r="V1536" s="15" t="s">
        <v>138</v>
      </c>
      <c r="W1536" s="15" t="s">
        <v>138</v>
      </c>
      <c r="X1536" s="19">
        <v>2016</v>
      </c>
      <c r="Y1536" s="15" t="s">
        <v>138</v>
      </c>
      <c r="Z1536" s="15" t="s">
        <v>138</v>
      </c>
      <c r="AA1536" s="15" t="s">
        <v>138</v>
      </c>
      <c r="AB1536" s="20" t="s">
        <v>138</v>
      </c>
      <c r="AC1536" s="20" t="s">
        <v>138</v>
      </c>
      <c r="AD1536" s="20" t="s">
        <v>138</v>
      </c>
      <c r="AE1536" s="20" t="s">
        <v>138</v>
      </c>
      <c r="AF1536" s="20" t="s">
        <v>138</v>
      </c>
      <c r="AG1536" s="15" t="s">
        <v>138</v>
      </c>
      <c r="AH1536" s="20" t="s">
        <v>138</v>
      </c>
      <c r="AI1536" s="20" t="s">
        <v>138</v>
      </c>
      <c r="AJ1536" s="20" t="s">
        <v>138</v>
      </c>
      <c r="AK1536" s="15" t="s">
        <v>29434</v>
      </c>
      <c r="AL1536" s="15" t="s">
        <v>29435</v>
      </c>
      <c r="AM1536" s="15" t="s">
        <v>221</v>
      </c>
      <c r="AN1536" s="15" t="s">
        <v>29436</v>
      </c>
      <c r="AO1536" s="15" t="s">
        <v>29437</v>
      </c>
      <c r="AP1536" s="15" t="s">
        <v>665</v>
      </c>
      <c r="AQ1536" s="15" t="s">
        <v>13211</v>
      </c>
      <c r="AR1536" s="15" t="s">
        <v>12857</v>
      </c>
      <c r="AS1536" s="15" t="s">
        <v>668</v>
      </c>
      <c r="AT1536" s="15" t="s">
        <v>200</v>
      </c>
      <c r="AU1536" s="15" t="s">
        <v>669</v>
      </c>
      <c r="AV1536" s="15" t="s">
        <v>162</v>
      </c>
      <c r="AW1536" s="15" t="s">
        <v>29437</v>
      </c>
      <c r="AX1536" s="15" t="s">
        <v>138</v>
      </c>
      <c r="AY1536" s="15" t="s">
        <v>29438</v>
      </c>
      <c r="AZ1536" s="15" t="s">
        <v>164</v>
      </c>
      <c r="BA1536" s="15" t="s">
        <v>165</v>
      </c>
      <c r="BB1536" s="15" t="s">
        <v>29439</v>
      </c>
      <c r="BC1536" s="15" t="s">
        <v>29440</v>
      </c>
      <c r="BD1536" s="21">
        <v>10</v>
      </c>
      <c r="BE1536" s="15" t="s">
        <v>138</v>
      </c>
      <c r="BF1536" s="15" t="s">
        <v>138</v>
      </c>
      <c r="BG1536" s="15" t="s">
        <v>138</v>
      </c>
      <c r="BH1536" s="15" t="s">
        <v>29441</v>
      </c>
      <c r="BI1536" s="15" t="s">
        <v>138</v>
      </c>
      <c r="BJ1536" s="15" t="s">
        <v>138</v>
      </c>
      <c r="BK1536" s="15" t="s">
        <v>3482</v>
      </c>
      <c r="BL1536" s="15" t="s">
        <v>3482</v>
      </c>
      <c r="BM1536" s="22">
        <v>42963</v>
      </c>
      <c r="BN1536" s="17">
        <v>2</v>
      </c>
      <c r="BO1536" s="15" t="s">
        <v>172</v>
      </c>
      <c r="BP1536" s="17">
        <v>7.84</v>
      </c>
      <c r="BQ1536" s="15" t="s">
        <v>172</v>
      </c>
      <c r="BR1536" s="15" t="s">
        <v>234</v>
      </c>
      <c r="BS1536" s="15" t="s">
        <v>234</v>
      </c>
      <c r="BT1536" s="15" t="s">
        <v>138</v>
      </c>
      <c r="BU1536" s="15" t="s">
        <v>174</v>
      </c>
      <c r="BV1536" s="15" t="s">
        <v>138</v>
      </c>
      <c r="BW1536" s="15" t="s">
        <v>138</v>
      </c>
      <c r="BX1536" s="15" t="s">
        <v>138</v>
      </c>
      <c r="BY1536" s="15" t="s">
        <v>175</v>
      </c>
      <c r="BZ1536" s="22">
        <v>43469</v>
      </c>
      <c r="CA1536" s="17">
        <v>4.28</v>
      </c>
      <c r="CB1536" s="15" t="s">
        <v>172</v>
      </c>
      <c r="CC1536" s="17">
        <v>14.78</v>
      </c>
      <c r="CD1536" s="15" t="s">
        <v>172</v>
      </c>
      <c r="CE1536" s="15" t="s">
        <v>234</v>
      </c>
      <c r="CF1536" s="15" t="s">
        <v>234</v>
      </c>
      <c r="CG1536" s="15" t="s">
        <v>138</v>
      </c>
      <c r="CH1536" s="15" t="s">
        <v>174</v>
      </c>
      <c r="CI1536" s="15" t="s">
        <v>138</v>
      </c>
      <c r="CJ1536" s="15" t="s">
        <v>138</v>
      </c>
      <c r="CK1536" s="15" t="s">
        <v>138</v>
      </c>
      <c r="CL1536" s="15" t="s">
        <v>175</v>
      </c>
      <c r="CM1536" s="22" t="s">
        <v>138</v>
      </c>
      <c r="CN1536" s="17" t="s">
        <v>138</v>
      </c>
      <c r="CO1536" s="23">
        <v>1.45</v>
      </c>
      <c r="CP1536" s="24">
        <v>98</v>
      </c>
      <c r="CQ1536" s="23">
        <v>0.06</v>
      </c>
      <c r="CR1536" s="23">
        <v>4.3600000000000003</v>
      </c>
      <c r="CS1536" s="23">
        <v>2.33</v>
      </c>
      <c r="CT1536" s="24">
        <v>99</v>
      </c>
      <c r="CU1536" s="23">
        <v>0.56000000000000005</v>
      </c>
      <c r="CV1536" s="24">
        <v>94</v>
      </c>
      <c r="CW1536" s="23">
        <v>5.52</v>
      </c>
      <c r="CX1536" s="24">
        <v>96</v>
      </c>
      <c r="CY1536" s="23">
        <v>-0.85</v>
      </c>
      <c r="CZ1536" s="24">
        <v>20</v>
      </c>
      <c r="DA1536" s="23">
        <v>0.87</v>
      </c>
      <c r="DB1536" s="24">
        <v>97</v>
      </c>
      <c r="DC1536" s="25">
        <v>5.26</v>
      </c>
      <c r="DD1536" s="24">
        <v>83</v>
      </c>
      <c r="DE1536" s="25">
        <v>-0.05</v>
      </c>
      <c r="DF1536" s="23">
        <v>-0.96</v>
      </c>
      <c r="DG1536" s="25">
        <v>8.17</v>
      </c>
      <c r="DH1536" s="24">
        <v>88</v>
      </c>
      <c r="DI1536" s="25">
        <v>2.35</v>
      </c>
      <c r="DJ1536" s="24">
        <v>65</v>
      </c>
      <c r="DK1536" s="25">
        <v>4.3099999999999996</v>
      </c>
      <c r="DL1536" s="24">
        <v>77</v>
      </c>
      <c r="DM1536" s="25">
        <v>12.03</v>
      </c>
      <c r="DN1536" s="24">
        <v>90</v>
      </c>
      <c r="DO1536" s="25">
        <v>4.08</v>
      </c>
      <c r="DP1536" s="24">
        <v>76</v>
      </c>
      <c r="DQ1536" s="24">
        <v>1509</v>
      </c>
      <c r="DR1536" s="26">
        <v>-91</v>
      </c>
      <c r="DS1536" s="23">
        <v>-5.69</v>
      </c>
      <c r="DT1536" s="24">
        <v>345</v>
      </c>
      <c r="DU1536" s="26">
        <v>8</v>
      </c>
      <c r="DV1536" s="23">
        <v>2.37</v>
      </c>
      <c r="DW1536" s="24">
        <v>1457</v>
      </c>
      <c r="DX1536" s="27">
        <v>15</v>
      </c>
      <c r="DY1536" s="23">
        <v>1.04</v>
      </c>
      <c r="DZ1536" s="15" t="s">
        <v>178</v>
      </c>
      <c r="EA1536" s="22">
        <v>43622</v>
      </c>
      <c r="EB1536" s="17">
        <v>14.78</v>
      </c>
      <c r="EC1536" s="22">
        <v>43469</v>
      </c>
      <c r="ED1536" s="15" t="s">
        <v>234</v>
      </c>
      <c r="EE1536" s="14" t="str">
        <f>HYPERLINK("https://my.pitchbook.com?c=168599-89", "View company online")</f>
        <v>View company online</v>
      </c>
    </row>
    <row r="1537" spans="1:135">
      <c r="A1537" s="28" t="s">
        <v>29442</v>
      </c>
      <c r="B1537" s="28" t="s">
        <v>29443</v>
      </c>
      <c r="C1537" s="28" t="s">
        <v>138</v>
      </c>
      <c r="D1537" s="28" t="s">
        <v>138</v>
      </c>
      <c r="E1537" s="28" t="s">
        <v>29444</v>
      </c>
      <c r="F1537" s="28" t="s">
        <v>29442</v>
      </c>
      <c r="G1537" s="28" t="s">
        <v>29445</v>
      </c>
      <c r="H1537" s="28" t="s">
        <v>322</v>
      </c>
      <c r="I1537" s="28" t="s">
        <v>323</v>
      </c>
      <c r="J1537" s="28" t="s">
        <v>461</v>
      </c>
      <c r="K1537" s="28" t="s">
        <v>29446</v>
      </c>
      <c r="L1537" s="28" t="s">
        <v>29226</v>
      </c>
      <c r="M1537" s="28" t="s">
        <v>29447</v>
      </c>
      <c r="N1537" s="28" t="s">
        <v>147</v>
      </c>
      <c r="O1537" s="29">
        <v>234.2</v>
      </c>
      <c r="P1537" s="28" t="s">
        <v>148</v>
      </c>
      <c r="Q1537" s="28" t="s">
        <v>149</v>
      </c>
      <c r="R1537" s="28" t="s">
        <v>328</v>
      </c>
      <c r="S1537" s="28" t="s">
        <v>29448</v>
      </c>
      <c r="T1537" s="30">
        <v>900</v>
      </c>
      <c r="U1537" s="28" t="s">
        <v>29449</v>
      </c>
      <c r="V1537" s="28" t="s">
        <v>138</v>
      </c>
      <c r="W1537" s="28" t="s">
        <v>138</v>
      </c>
      <c r="X1537" s="31">
        <v>2013</v>
      </c>
      <c r="Y1537" s="28" t="s">
        <v>138</v>
      </c>
      <c r="Z1537" s="28" t="s">
        <v>138</v>
      </c>
      <c r="AA1537" s="28" t="s">
        <v>138</v>
      </c>
      <c r="AB1537" s="32">
        <v>80.05</v>
      </c>
      <c r="AC1537" s="32">
        <v>65.55</v>
      </c>
      <c r="AD1537" s="32">
        <v>-52.75</v>
      </c>
      <c r="AE1537" s="32" t="s">
        <v>138</v>
      </c>
      <c r="AF1537" s="32">
        <v>-51.39</v>
      </c>
      <c r="AG1537" s="28" t="s">
        <v>815</v>
      </c>
      <c r="AH1537" s="32">
        <v>-51.87</v>
      </c>
      <c r="AI1537" s="32" t="s">
        <v>138</v>
      </c>
      <c r="AJ1537" s="32">
        <v>0</v>
      </c>
      <c r="AK1537" s="28" t="s">
        <v>29450</v>
      </c>
      <c r="AL1537" s="28" t="s">
        <v>29451</v>
      </c>
      <c r="AM1537" s="28" t="s">
        <v>29452</v>
      </c>
      <c r="AN1537" s="28" t="s">
        <v>29453</v>
      </c>
      <c r="AO1537" s="28" t="s">
        <v>29454</v>
      </c>
      <c r="AP1537" s="28" t="s">
        <v>6449</v>
      </c>
      <c r="AQ1537" s="28" t="s">
        <v>29455</v>
      </c>
      <c r="AR1537" s="28" t="s">
        <v>29456</v>
      </c>
      <c r="AS1537" s="28" t="s">
        <v>863</v>
      </c>
      <c r="AT1537" s="28" t="s">
        <v>824</v>
      </c>
      <c r="AU1537" s="28" t="s">
        <v>6452</v>
      </c>
      <c r="AV1537" s="28" t="s">
        <v>526</v>
      </c>
      <c r="AW1537" s="28" t="s">
        <v>29454</v>
      </c>
      <c r="AX1537" s="28" t="s">
        <v>138</v>
      </c>
      <c r="AY1537" s="28" t="s">
        <v>29457</v>
      </c>
      <c r="AZ1537" s="28" t="s">
        <v>530</v>
      </c>
      <c r="BA1537" s="28" t="s">
        <v>531</v>
      </c>
      <c r="BB1537" s="28" t="s">
        <v>29458</v>
      </c>
      <c r="BC1537" s="28" t="s">
        <v>29459</v>
      </c>
      <c r="BD1537" s="33">
        <v>13</v>
      </c>
      <c r="BE1537" s="28" t="s">
        <v>138</v>
      </c>
      <c r="BF1537" s="28" t="s">
        <v>138</v>
      </c>
      <c r="BG1537" s="28" t="s">
        <v>138</v>
      </c>
      <c r="BH1537" s="28" t="s">
        <v>29460</v>
      </c>
      <c r="BI1537" s="28" t="s">
        <v>138</v>
      </c>
      <c r="BJ1537" s="28" t="s">
        <v>138</v>
      </c>
      <c r="BK1537" s="28" t="s">
        <v>29461</v>
      </c>
      <c r="BL1537" s="28" t="s">
        <v>29462</v>
      </c>
      <c r="BM1537" s="34">
        <v>41533</v>
      </c>
      <c r="BN1537" s="29" t="s">
        <v>138</v>
      </c>
      <c r="BO1537" s="28" t="s">
        <v>138</v>
      </c>
      <c r="BP1537" s="29" t="s">
        <v>138</v>
      </c>
      <c r="BQ1537" s="28" t="s">
        <v>138</v>
      </c>
      <c r="BR1537" s="28" t="s">
        <v>205</v>
      </c>
      <c r="BS1537" s="28" t="s">
        <v>138</v>
      </c>
      <c r="BT1537" s="28" t="s">
        <v>138</v>
      </c>
      <c r="BU1537" s="28" t="s">
        <v>174</v>
      </c>
      <c r="BV1537" s="28" t="s">
        <v>138</v>
      </c>
      <c r="BW1537" s="28" t="s">
        <v>138</v>
      </c>
      <c r="BX1537" s="28" t="s">
        <v>138</v>
      </c>
      <c r="BY1537" s="28" t="s">
        <v>175</v>
      </c>
      <c r="BZ1537" s="34" t="s">
        <v>138</v>
      </c>
      <c r="CA1537" s="29" t="s">
        <v>138</v>
      </c>
      <c r="CB1537" s="28" t="s">
        <v>138</v>
      </c>
      <c r="CC1537" s="29" t="s">
        <v>138</v>
      </c>
      <c r="CD1537" s="28" t="s">
        <v>138</v>
      </c>
      <c r="CE1537" s="28" t="s">
        <v>173</v>
      </c>
      <c r="CF1537" s="28" t="s">
        <v>138</v>
      </c>
      <c r="CG1537" s="28" t="s">
        <v>138</v>
      </c>
      <c r="CH1537" s="28" t="s">
        <v>174</v>
      </c>
      <c r="CI1537" s="28" t="s">
        <v>138</v>
      </c>
      <c r="CJ1537" s="28" t="s">
        <v>138</v>
      </c>
      <c r="CK1537" s="28" t="s">
        <v>138</v>
      </c>
      <c r="CL1537" s="28" t="s">
        <v>175</v>
      </c>
      <c r="CM1537" s="34" t="s">
        <v>138</v>
      </c>
      <c r="CN1537" s="29" t="s">
        <v>138</v>
      </c>
      <c r="CO1537" s="35">
        <v>1.07</v>
      </c>
      <c r="CP1537" s="36">
        <v>97</v>
      </c>
      <c r="CQ1537" s="35">
        <v>-0.02</v>
      </c>
      <c r="CR1537" s="35">
        <v>-1.56</v>
      </c>
      <c r="CS1537" s="35">
        <v>2.0499999999999998</v>
      </c>
      <c r="CT1537" s="36">
        <v>98</v>
      </c>
      <c r="CU1537" s="35">
        <v>0.64</v>
      </c>
      <c r="CV1537" s="36">
        <v>95</v>
      </c>
      <c r="CW1537" s="35">
        <v>4.16</v>
      </c>
      <c r="CX1537" s="36">
        <v>94</v>
      </c>
      <c r="CY1537" s="35">
        <v>-0.06</v>
      </c>
      <c r="CZ1537" s="36">
        <v>24</v>
      </c>
      <c r="DA1537" s="35">
        <v>0.64</v>
      </c>
      <c r="DB1537" s="36">
        <v>96</v>
      </c>
      <c r="DC1537" s="37">
        <v>27.43</v>
      </c>
      <c r="DD1537" s="36">
        <v>96</v>
      </c>
      <c r="DE1537" s="37">
        <v>-0.66</v>
      </c>
      <c r="DF1537" s="35">
        <v>-2.36</v>
      </c>
      <c r="DG1537" s="37">
        <v>54.86</v>
      </c>
      <c r="DH1537" s="36">
        <v>98</v>
      </c>
      <c r="DI1537" s="37">
        <v>25.94</v>
      </c>
      <c r="DJ1537" s="36">
        <v>92</v>
      </c>
      <c r="DK1537" s="37">
        <v>37.450000000000003</v>
      </c>
      <c r="DL1537" s="36">
        <v>95</v>
      </c>
      <c r="DM1537" s="37">
        <v>72.28</v>
      </c>
      <c r="DN1537" s="36">
        <v>99</v>
      </c>
      <c r="DO1537" s="37">
        <v>25.94</v>
      </c>
      <c r="DP1537" s="36">
        <v>94</v>
      </c>
      <c r="DQ1537" s="36">
        <v>12604</v>
      </c>
      <c r="DR1537" s="38">
        <v>720</v>
      </c>
      <c r="DS1537" s="35">
        <v>6.06</v>
      </c>
      <c r="DT1537" s="36">
        <v>2090</v>
      </c>
      <c r="DU1537" s="38">
        <v>19</v>
      </c>
      <c r="DV1537" s="35">
        <v>0.92</v>
      </c>
      <c r="DW1537" s="36">
        <v>9281</v>
      </c>
      <c r="DX1537" s="39">
        <v>34</v>
      </c>
      <c r="DY1537" s="35">
        <v>0.37</v>
      </c>
      <c r="DZ1537" s="28" t="s">
        <v>178</v>
      </c>
      <c r="EA1537" s="34">
        <v>43622</v>
      </c>
      <c r="EB1537" s="29">
        <v>1605.1</v>
      </c>
      <c r="EC1537" s="34">
        <v>43369</v>
      </c>
      <c r="ED1537" s="28" t="s">
        <v>173</v>
      </c>
      <c r="EE1537" s="40" t="str">
        <f>HYPERLINK("https://my.pitchbook.com?c=108316-45", "View company online")</f>
        <v>View company online</v>
      </c>
    </row>
    <row r="1538" spans="1:135">
      <c r="A1538" s="15" t="s">
        <v>29463</v>
      </c>
      <c r="B1538" s="15" t="s">
        <v>29464</v>
      </c>
      <c r="C1538" s="15" t="s">
        <v>138</v>
      </c>
      <c r="D1538" s="15" t="s">
        <v>29465</v>
      </c>
      <c r="E1538" s="15" t="s">
        <v>138</v>
      </c>
      <c r="F1538" s="15" t="s">
        <v>29463</v>
      </c>
      <c r="G1538" s="15" t="s">
        <v>29466</v>
      </c>
      <c r="H1538" s="15" t="s">
        <v>385</v>
      </c>
      <c r="I1538" s="15" t="s">
        <v>386</v>
      </c>
      <c r="J1538" s="15" t="s">
        <v>387</v>
      </c>
      <c r="K1538" s="15" t="s">
        <v>388</v>
      </c>
      <c r="L1538" s="15" t="s">
        <v>138</v>
      </c>
      <c r="M1538" s="15" t="s">
        <v>29467</v>
      </c>
      <c r="N1538" s="15" t="s">
        <v>147</v>
      </c>
      <c r="O1538" s="17">
        <v>22.89</v>
      </c>
      <c r="P1538" s="15" t="s">
        <v>148</v>
      </c>
      <c r="Q1538" s="15" t="s">
        <v>149</v>
      </c>
      <c r="R1538" s="15" t="s">
        <v>174</v>
      </c>
      <c r="S1538" s="15" t="s">
        <v>29468</v>
      </c>
      <c r="T1538" s="18">
        <v>17</v>
      </c>
      <c r="U1538" s="15" t="s">
        <v>29469</v>
      </c>
      <c r="V1538" s="15" t="s">
        <v>138</v>
      </c>
      <c r="W1538" s="15" t="s">
        <v>138</v>
      </c>
      <c r="X1538" s="19">
        <v>2017</v>
      </c>
      <c r="Y1538" s="15" t="s">
        <v>138</v>
      </c>
      <c r="Z1538" s="15" t="s">
        <v>138</v>
      </c>
      <c r="AA1538" s="15" t="s">
        <v>138</v>
      </c>
      <c r="AB1538" s="20" t="s">
        <v>138</v>
      </c>
      <c r="AC1538" s="20" t="s">
        <v>138</v>
      </c>
      <c r="AD1538" s="20" t="s">
        <v>138</v>
      </c>
      <c r="AE1538" s="20" t="s">
        <v>138</v>
      </c>
      <c r="AF1538" s="20" t="s">
        <v>138</v>
      </c>
      <c r="AG1538" s="15" t="s">
        <v>138</v>
      </c>
      <c r="AH1538" s="20" t="s">
        <v>138</v>
      </c>
      <c r="AI1538" s="20" t="s">
        <v>138</v>
      </c>
      <c r="AJ1538" s="20" t="s">
        <v>138</v>
      </c>
      <c r="AK1538" s="15" t="s">
        <v>29470</v>
      </c>
      <c r="AL1538" s="15" t="s">
        <v>29471</v>
      </c>
      <c r="AM1538" s="15" t="s">
        <v>818</v>
      </c>
      <c r="AN1538" s="15" t="s">
        <v>29472</v>
      </c>
      <c r="AO1538" s="15" t="s">
        <v>29473</v>
      </c>
      <c r="AP1538" s="15" t="s">
        <v>423</v>
      </c>
      <c r="AQ1538" s="15" t="s">
        <v>138</v>
      </c>
      <c r="AR1538" s="15" t="s">
        <v>138</v>
      </c>
      <c r="AS1538" s="15" t="s">
        <v>426</v>
      </c>
      <c r="AT1538" s="15" t="s">
        <v>426</v>
      </c>
      <c r="AU1538" s="15" t="s">
        <v>138</v>
      </c>
      <c r="AV1538" s="15" t="s">
        <v>162</v>
      </c>
      <c r="AW1538" s="15" t="s">
        <v>29473</v>
      </c>
      <c r="AX1538" s="15" t="s">
        <v>138</v>
      </c>
      <c r="AY1538" s="15" t="s">
        <v>29474</v>
      </c>
      <c r="AZ1538" s="15" t="s">
        <v>164</v>
      </c>
      <c r="BA1538" s="15" t="s">
        <v>165</v>
      </c>
      <c r="BB1538" s="15" t="s">
        <v>29475</v>
      </c>
      <c r="BC1538" s="15" t="s">
        <v>29476</v>
      </c>
      <c r="BD1538" s="21">
        <v>15</v>
      </c>
      <c r="BE1538" s="15" t="s">
        <v>138</v>
      </c>
      <c r="BF1538" s="15" t="s">
        <v>138</v>
      </c>
      <c r="BG1538" s="15" t="s">
        <v>138</v>
      </c>
      <c r="BH1538" s="15" t="s">
        <v>29477</v>
      </c>
      <c r="BI1538" s="15" t="s">
        <v>138</v>
      </c>
      <c r="BJ1538" s="15" t="s">
        <v>138</v>
      </c>
      <c r="BK1538" s="15" t="s">
        <v>12137</v>
      </c>
      <c r="BL1538" s="15" t="s">
        <v>3482</v>
      </c>
      <c r="BM1538" s="22" t="s">
        <v>138</v>
      </c>
      <c r="BN1538" s="17" t="s">
        <v>138</v>
      </c>
      <c r="BO1538" s="15" t="s">
        <v>138</v>
      </c>
      <c r="BP1538" s="17" t="s">
        <v>138</v>
      </c>
      <c r="BQ1538" s="15" t="s">
        <v>138</v>
      </c>
      <c r="BR1538" s="15" t="s">
        <v>316</v>
      </c>
      <c r="BS1538" s="15" t="s">
        <v>138</v>
      </c>
      <c r="BT1538" s="15" t="s">
        <v>138</v>
      </c>
      <c r="BU1538" s="15" t="s">
        <v>177</v>
      </c>
      <c r="BV1538" s="15" t="s">
        <v>138</v>
      </c>
      <c r="BW1538" s="15" t="s">
        <v>138</v>
      </c>
      <c r="BX1538" s="15" t="s">
        <v>138</v>
      </c>
      <c r="BY1538" s="15" t="s">
        <v>175</v>
      </c>
      <c r="BZ1538" s="22">
        <v>43508</v>
      </c>
      <c r="CA1538" s="17">
        <v>16</v>
      </c>
      <c r="CB1538" s="15" t="s">
        <v>172</v>
      </c>
      <c r="CC1538" s="17">
        <v>64</v>
      </c>
      <c r="CD1538" s="15" t="s">
        <v>172</v>
      </c>
      <c r="CE1538" s="15" t="s">
        <v>205</v>
      </c>
      <c r="CF1538" s="15" t="s">
        <v>206</v>
      </c>
      <c r="CG1538" s="15" t="s">
        <v>138</v>
      </c>
      <c r="CH1538" s="15" t="s">
        <v>174</v>
      </c>
      <c r="CI1538" s="15" t="s">
        <v>138</v>
      </c>
      <c r="CJ1538" s="15" t="s">
        <v>138</v>
      </c>
      <c r="CK1538" s="15" t="s">
        <v>138</v>
      </c>
      <c r="CL1538" s="15" t="s">
        <v>175</v>
      </c>
      <c r="CM1538" s="22" t="s">
        <v>138</v>
      </c>
      <c r="CN1538" s="17" t="s">
        <v>138</v>
      </c>
      <c r="CO1538" s="23">
        <v>-1.87</v>
      </c>
      <c r="CP1538" s="24">
        <v>6</v>
      </c>
      <c r="CQ1538" s="23">
        <v>-0.08</v>
      </c>
      <c r="CR1538" s="23">
        <v>-4.2</v>
      </c>
      <c r="CS1538" s="23">
        <v>-5.31</v>
      </c>
      <c r="CT1538" s="24">
        <v>2</v>
      </c>
      <c r="CU1538" s="23">
        <v>1.57</v>
      </c>
      <c r="CV1538" s="24">
        <v>99</v>
      </c>
      <c r="CW1538" s="23">
        <v>-5.31</v>
      </c>
      <c r="CX1538" s="24">
        <v>3</v>
      </c>
      <c r="CY1538" s="23" t="s">
        <v>138</v>
      </c>
      <c r="CZ1538" s="24" t="s">
        <v>138</v>
      </c>
      <c r="DA1538" s="23">
        <v>2.06</v>
      </c>
      <c r="DB1538" s="24">
        <v>100</v>
      </c>
      <c r="DC1538" s="25">
        <v>5.99</v>
      </c>
      <c r="DD1538" s="24">
        <v>85</v>
      </c>
      <c r="DE1538" s="25">
        <v>-0.59</v>
      </c>
      <c r="DF1538" s="23">
        <v>-9.0299999999999994</v>
      </c>
      <c r="DG1538" s="25">
        <v>9.5</v>
      </c>
      <c r="DH1538" s="24">
        <v>89</v>
      </c>
      <c r="DI1538" s="25">
        <v>2.4900000000000002</v>
      </c>
      <c r="DJ1538" s="24">
        <v>66</v>
      </c>
      <c r="DK1538" s="25">
        <v>9.5</v>
      </c>
      <c r="DL1538" s="24">
        <v>86</v>
      </c>
      <c r="DM1538" s="25" t="s">
        <v>138</v>
      </c>
      <c r="DN1538" s="24" t="s">
        <v>138</v>
      </c>
      <c r="DO1538" s="25">
        <v>2.4700000000000002</v>
      </c>
      <c r="DP1538" s="24">
        <v>68</v>
      </c>
      <c r="DQ1538" s="24">
        <v>3336</v>
      </c>
      <c r="DR1538" s="26">
        <v>-235</v>
      </c>
      <c r="DS1538" s="23">
        <v>-6.58</v>
      </c>
      <c r="DT1538" s="24" t="s">
        <v>138</v>
      </c>
      <c r="DU1538" s="26" t="s">
        <v>138</v>
      </c>
      <c r="DV1538" s="23" t="s">
        <v>138</v>
      </c>
      <c r="DW1538" s="24">
        <v>873</v>
      </c>
      <c r="DX1538" s="27">
        <v>13</v>
      </c>
      <c r="DY1538" s="23">
        <v>1.51</v>
      </c>
      <c r="DZ1538" s="15" t="s">
        <v>178</v>
      </c>
      <c r="EA1538" s="22">
        <v>43580</v>
      </c>
      <c r="EB1538" s="17">
        <v>64</v>
      </c>
      <c r="EC1538" s="22">
        <v>43508</v>
      </c>
      <c r="ED1538" s="15" t="s">
        <v>205</v>
      </c>
      <c r="EE1538" s="14" t="str">
        <f>HYPERLINK("https://my.pitchbook.com?c=182049-85", "View company online")</f>
        <v>View company online</v>
      </c>
    </row>
    <row r="1539" spans="1:135">
      <c r="A1539" s="28" t="s">
        <v>29478</v>
      </c>
      <c r="B1539" s="28" t="s">
        <v>29479</v>
      </c>
      <c r="C1539" s="28" t="s">
        <v>138</v>
      </c>
      <c r="D1539" s="28" t="s">
        <v>138</v>
      </c>
      <c r="E1539" s="28" t="s">
        <v>29480</v>
      </c>
      <c r="F1539" s="28" t="s">
        <v>29478</v>
      </c>
      <c r="G1539" s="28" t="s">
        <v>29481</v>
      </c>
      <c r="H1539" s="28" t="s">
        <v>238</v>
      </c>
      <c r="I1539" s="28" t="s">
        <v>749</v>
      </c>
      <c r="J1539" s="28" t="s">
        <v>750</v>
      </c>
      <c r="K1539" s="28" t="s">
        <v>25314</v>
      </c>
      <c r="L1539" s="28" t="s">
        <v>1732</v>
      </c>
      <c r="M1539" s="28" t="s">
        <v>29482</v>
      </c>
      <c r="N1539" s="28" t="s">
        <v>147</v>
      </c>
      <c r="O1539" s="29">
        <v>47.58</v>
      </c>
      <c r="P1539" s="28" t="s">
        <v>148</v>
      </c>
      <c r="Q1539" s="28" t="s">
        <v>149</v>
      </c>
      <c r="R1539" s="28" t="s">
        <v>174</v>
      </c>
      <c r="S1539" s="28" t="s">
        <v>29483</v>
      </c>
      <c r="T1539" s="30">
        <v>20</v>
      </c>
      <c r="U1539" s="28" t="s">
        <v>29484</v>
      </c>
      <c r="V1539" s="28" t="s">
        <v>138</v>
      </c>
      <c r="W1539" s="28" t="s">
        <v>138</v>
      </c>
      <c r="X1539" s="31">
        <v>2015</v>
      </c>
      <c r="Y1539" s="28" t="s">
        <v>138</v>
      </c>
      <c r="Z1539" s="28" t="s">
        <v>138</v>
      </c>
      <c r="AA1539" s="28" t="s">
        <v>138</v>
      </c>
      <c r="AB1539" s="32" t="s">
        <v>138</v>
      </c>
      <c r="AC1539" s="32" t="s">
        <v>138</v>
      </c>
      <c r="AD1539" s="32" t="s">
        <v>138</v>
      </c>
      <c r="AE1539" s="32" t="s">
        <v>138</v>
      </c>
      <c r="AF1539" s="32" t="s">
        <v>138</v>
      </c>
      <c r="AG1539" s="28" t="s">
        <v>138</v>
      </c>
      <c r="AH1539" s="32" t="s">
        <v>138</v>
      </c>
      <c r="AI1539" s="32" t="s">
        <v>138</v>
      </c>
      <c r="AJ1539" s="32" t="s">
        <v>138</v>
      </c>
      <c r="AK1539" s="28" t="s">
        <v>29485</v>
      </c>
      <c r="AL1539" s="28" t="s">
        <v>29486</v>
      </c>
      <c r="AM1539" s="28" t="s">
        <v>986</v>
      </c>
      <c r="AN1539" s="28" t="s">
        <v>29487</v>
      </c>
      <c r="AO1539" s="28" t="s">
        <v>29488</v>
      </c>
      <c r="AP1539" s="28" t="s">
        <v>423</v>
      </c>
      <c r="AQ1539" s="28" t="s">
        <v>29489</v>
      </c>
      <c r="AR1539" s="28" t="s">
        <v>5294</v>
      </c>
      <c r="AS1539" s="28" t="s">
        <v>426</v>
      </c>
      <c r="AT1539" s="28" t="s">
        <v>426</v>
      </c>
      <c r="AU1539" s="28" t="s">
        <v>9264</v>
      </c>
      <c r="AV1539" s="28" t="s">
        <v>162</v>
      </c>
      <c r="AW1539" s="28" t="s">
        <v>29488</v>
      </c>
      <c r="AX1539" s="28" t="s">
        <v>138</v>
      </c>
      <c r="AY1539" s="28" t="s">
        <v>29490</v>
      </c>
      <c r="AZ1539" s="28" t="s">
        <v>164</v>
      </c>
      <c r="BA1539" s="28" t="s">
        <v>165</v>
      </c>
      <c r="BB1539" s="28" t="s">
        <v>29491</v>
      </c>
      <c r="BC1539" s="28" t="s">
        <v>29492</v>
      </c>
      <c r="BD1539" s="33">
        <v>22</v>
      </c>
      <c r="BE1539" s="28" t="s">
        <v>138</v>
      </c>
      <c r="BF1539" s="28" t="s">
        <v>138</v>
      </c>
      <c r="BG1539" s="28" t="s">
        <v>138</v>
      </c>
      <c r="BH1539" s="28" t="s">
        <v>29493</v>
      </c>
      <c r="BI1539" s="28" t="s">
        <v>138</v>
      </c>
      <c r="BJ1539" s="28" t="s">
        <v>138</v>
      </c>
      <c r="BK1539" s="28" t="s">
        <v>29494</v>
      </c>
      <c r="BL1539" s="28" t="s">
        <v>29494</v>
      </c>
      <c r="BM1539" s="34">
        <v>42491</v>
      </c>
      <c r="BN1539" s="29">
        <v>0.98</v>
      </c>
      <c r="BO1539" s="28" t="s">
        <v>172</v>
      </c>
      <c r="BP1539" s="29">
        <v>4.9800000000000004</v>
      </c>
      <c r="BQ1539" s="28" t="s">
        <v>172</v>
      </c>
      <c r="BR1539" s="28" t="s">
        <v>234</v>
      </c>
      <c r="BS1539" s="28" t="s">
        <v>234</v>
      </c>
      <c r="BT1539" s="28" t="s">
        <v>138</v>
      </c>
      <c r="BU1539" s="28" t="s">
        <v>174</v>
      </c>
      <c r="BV1539" s="28" t="s">
        <v>138</v>
      </c>
      <c r="BW1539" s="28" t="s">
        <v>138</v>
      </c>
      <c r="BX1539" s="28" t="s">
        <v>138</v>
      </c>
      <c r="BY1539" s="28" t="s">
        <v>175</v>
      </c>
      <c r="BZ1539" s="34">
        <v>43088</v>
      </c>
      <c r="CA1539" s="29">
        <v>43</v>
      </c>
      <c r="CB1539" s="28" t="s">
        <v>172</v>
      </c>
      <c r="CC1539" s="29">
        <v>163</v>
      </c>
      <c r="CD1539" s="28" t="s">
        <v>172</v>
      </c>
      <c r="CE1539" s="28" t="s">
        <v>205</v>
      </c>
      <c r="CF1539" s="28" t="s">
        <v>720</v>
      </c>
      <c r="CG1539" s="28" t="s">
        <v>138</v>
      </c>
      <c r="CH1539" s="28" t="s">
        <v>174</v>
      </c>
      <c r="CI1539" s="28" t="s">
        <v>264</v>
      </c>
      <c r="CJ1539" s="28" t="s">
        <v>138</v>
      </c>
      <c r="CK1539" s="28" t="s">
        <v>138</v>
      </c>
      <c r="CL1539" s="28" t="s">
        <v>175</v>
      </c>
      <c r="CM1539" s="34" t="s">
        <v>138</v>
      </c>
      <c r="CN1539" s="29" t="s">
        <v>138</v>
      </c>
      <c r="CO1539" s="35">
        <v>2.8</v>
      </c>
      <c r="CP1539" s="36">
        <v>100</v>
      </c>
      <c r="CQ1539" s="35">
        <v>-0.55000000000000004</v>
      </c>
      <c r="CR1539" s="35">
        <v>-16.43</v>
      </c>
      <c r="CS1539" s="35">
        <v>5.0199999999999996</v>
      </c>
      <c r="CT1539" s="36">
        <v>100</v>
      </c>
      <c r="CU1539" s="35">
        <v>0.45</v>
      </c>
      <c r="CV1539" s="36">
        <v>92</v>
      </c>
      <c r="CW1539" s="35">
        <v>8.4499999999999993</v>
      </c>
      <c r="CX1539" s="36">
        <v>99</v>
      </c>
      <c r="CY1539" s="35">
        <v>1.59</v>
      </c>
      <c r="CZ1539" s="36">
        <v>99</v>
      </c>
      <c r="DA1539" s="35">
        <v>0.52</v>
      </c>
      <c r="DB1539" s="36">
        <v>94</v>
      </c>
      <c r="DC1539" s="37">
        <v>116.47</v>
      </c>
      <c r="DD1539" s="36">
        <v>99</v>
      </c>
      <c r="DE1539" s="37">
        <v>-7.88</v>
      </c>
      <c r="DF1539" s="35">
        <v>-6.33</v>
      </c>
      <c r="DG1539" s="37">
        <v>206.1</v>
      </c>
      <c r="DH1539" s="36">
        <v>100</v>
      </c>
      <c r="DI1539" s="37">
        <v>142.58000000000001</v>
      </c>
      <c r="DJ1539" s="36">
        <v>98</v>
      </c>
      <c r="DK1539" s="37">
        <v>368.07</v>
      </c>
      <c r="DL1539" s="36">
        <v>99</v>
      </c>
      <c r="DM1539" s="37">
        <v>44.14</v>
      </c>
      <c r="DN1539" s="36">
        <v>98</v>
      </c>
      <c r="DO1539" s="37">
        <v>9.75</v>
      </c>
      <c r="DP1539" s="36">
        <v>87</v>
      </c>
      <c r="DQ1539" s="36">
        <v>121786</v>
      </c>
      <c r="DR1539" s="38">
        <v>13383</v>
      </c>
      <c r="DS1539" s="35">
        <v>12.35</v>
      </c>
      <c r="DT1539" s="36">
        <v>1279</v>
      </c>
      <c r="DU1539" s="38">
        <v>1</v>
      </c>
      <c r="DV1539" s="35">
        <v>0.08</v>
      </c>
      <c r="DW1539" s="36">
        <v>3486</v>
      </c>
      <c r="DX1539" s="39">
        <v>18</v>
      </c>
      <c r="DY1539" s="35">
        <v>0.52</v>
      </c>
      <c r="DZ1539" s="28" t="s">
        <v>178</v>
      </c>
      <c r="EA1539" s="34">
        <v>43578</v>
      </c>
      <c r="EB1539" s="29">
        <v>163</v>
      </c>
      <c r="EC1539" s="34">
        <v>43088</v>
      </c>
      <c r="ED1539" s="28" t="s">
        <v>205</v>
      </c>
      <c r="EE1539" s="40" t="str">
        <f>HYPERLINK("https://my.pitchbook.com?c=85706-92", "View company online")</f>
        <v>View company online</v>
      </c>
    </row>
    <row r="1540" spans="1:135">
      <c r="A1540" s="15" t="s">
        <v>29495</v>
      </c>
      <c r="B1540" s="15" t="s">
        <v>29496</v>
      </c>
      <c r="C1540" s="15" t="s">
        <v>29497</v>
      </c>
      <c r="D1540" s="15" t="s">
        <v>138</v>
      </c>
      <c r="E1540" s="15" t="s">
        <v>29498</v>
      </c>
      <c r="F1540" s="15" t="s">
        <v>29495</v>
      </c>
      <c r="G1540" s="15" t="s">
        <v>29499</v>
      </c>
      <c r="H1540" s="15" t="s">
        <v>322</v>
      </c>
      <c r="I1540" s="15" t="s">
        <v>323</v>
      </c>
      <c r="J1540" s="15" t="s">
        <v>413</v>
      </c>
      <c r="K1540" s="15" t="s">
        <v>29500</v>
      </c>
      <c r="L1540" s="15" t="s">
        <v>29501</v>
      </c>
      <c r="M1540" s="15" t="s">
        <v>29502</v>
      </c>
      <c r="N1540" s="15" t="s">
        <v>147</v>
      </c>
      <c r="O1540" s="17">
        <v>25</v>
      </c>
      <c r="P1540" s="15" t="s">
        <v>148</v>
      </c>
      <c r="Q1540" s="15" t="s">
        <v>149</v>
      </c>
      <c r="R1540" s="15" t="s">
        <v>174</v>
      </c>
      <c r="S1540" s="15" t="s">
        <v>29503</v>
      </c>
      <c r="T1540" s="18">
        <v>31</v>
      </c>
      <c r="U1540" s="15" t="s">
        <v>29504</v>
      </c>
      <c r="V1540" s="15" t="s">
        <v>138</v>
      </c>
      <c r="W1540" s="15" t="s">
        <v>138</v>
      </c>
      <c r="X1540" s="19">
        <v>2010</v>
      </c>
      <c r="Y1540" s="15" t="s">
        <v>138</v>
      </c>
      <c r="Z1540" s="15" t="s">
        <v>138</v>
      </c>
      <c r="AA1540" s="15" t="s">
        <v>138</v>
      </c>
      <c r="AB1540" s="20" t="s">
        <v>138</v>
      </c>
      <c r="AC1540" s="20" t="s">
        <v>138</v>
      </c>
      <c r="AD1540" s="20" t="s">
        <v>138</v>
      </c>
      <c r="AE1540" s="20" t="s">
        <v>138</v>
      </c>
      <c r="AF1540" s="20" t="s">
        <v>138</v>
      </c>
      <c r="AG1540" s="15" t="s">
        <v>138</v>
      </c>
      <c r="AH1540" s="20" t="s">
        <v>138</v>
      </c>
      <c r="AI1540" s="20" t="s">
        <v>138</v>
      </c>
      <c r="AJ1540" s="20" t="s">
        <v>138</v>
      </c>
      <c r="AK1540" s="15" t="s">
        <v>29505</v>
      </c>
      <c r="AL1540" s="15" t="s">
        <v>29506</v>
      </c>
      <c r="AM1540" s="15" t="s">
        <v>29507</v>
      </c>
      <c r="AN1540" s="15" t="s">
        <v>29508</v>
      </c>
      <c r="AO1540" s="15" t="s">
        <v>29509</v>
      </c>
      <c r="AP1540" s="15" t="s">
        <v>3689</v>
      </c>
      <c r="AQ1540" s="15" t="s">
        <v>29510</v>
      </c>
      <c r="AR1540" s="15" t="s">
        <v>138</v>
      </c>
      <c r="AS1540" s="15" t="s">
        <v>3691</v>
      </c>
      <c r="AT1540" s="15" t="s">
        <v>138</v>
      </c>
      <c r="AU1540" s="15" t="s">
        <v>29511</v>
      </c>
      <c r="AV1540" s="15" t="s">
        <v>3693</v>
      </c>
      <c r="AW1540" s="15" t="s">
        <v>29509</v>
      </c>
      <c r="AX1540" s="15" t="s">
        <v>29512</v>
      </c>
      <c r="AY1540" s="15" t="s">
        <v>29513</v>
      </c>
      <c r="AZ1540" s="15" t="s">
        <v>530</v>
      </c>
      <c r="BA1540" s="15" t="s">
        <v>531</v>
      </c>
      <c r="BB1540" s="15" t="s">
        <v>29514</v>
      </c>
      <c r="BC1540" s="15" t="s">
        <v>29515</v>
      </c>
      <c r="BD1540" s="21">
        <v>3</v>
      </c>
      <c r="BE1540" s="15" t="s">
        <v>138</v>
      </c>
      <c r="BF1540" s="15" t="s">
        <v>138</v>
      </c>
      <c r="BG1540" s="15" t="s">
        <v>138</v>
      </c>
      <c r="BH1540" s="15" t="s">
        <v>29516</v>
      </c>
      <c r="BI1540" s="15" t="s">
        <v>138</v>
      </c>
      <c r="BJ1540" s="15" t="s">
        <v>138</v>
      </c>
      <c r="BK1540" s="15" t="s">
        <v>138</v>
      </c>
      <c r="BL1540" s="15" t="s">
        <v>29517</v>
      </c>
      <c r="BM1540" s="22">
        <v>41709</v>
      </c>
      <c r="BN1540" s="17" t="s">
        <v>138</v>
      </c>
      <c r="BO1540" s="15" t="s">
        <v>138</v>
      </c>
      <c r="BP1540" s="17" t="s">
        <v>138</v>
      </c>
      <c r="BQ1540" s="15" t="s">
        <v>138</v>
      </c>
      <c r="BR1540" s="15" t="s">
        <v>205</v>
      </c>
      <c r="BS1540" s="15" t="s">
        <v>138</v>
      </c>
      <c r="BT1540" s="15" t="s">
        <v>138</v>
      </c>
      <c r="BU1540" s="15" t="s">
        <v>174</v>
      </c>
      <c r="BV1540" s="15" t="s">
        <v>138</v>
      </c>
      <c r="BW1540" s="15" t="s">
        <v>138</v>
      </c>
      <c r="BX1540" s="15" t="s">
        <v>138</v>
      </c>
      <c r="BY1540" s="15" t="s">
        <v>175</v>
      </c>
      <c r="BZ1540" s="22">
        <v>43221</v>
      </c>
      <c r="CA1540" s="17" t="s">
        <v>138</v>
      </c>
      <c r="CB1540" s="15" t="s">
        <v>138</v>
      </c>
      <c r="CC1540" s="17" t="s">
        <v>138</v>
      </c>
      <c r="CD1540" s="15" t="s">
        <v>138</v>
      </c>
      <c r="CE1540" s="15" t="s">
        <v>173</v>
      </c>
      <c r="CF1540" s="15" t="s">
        <v>720</v>
      </c>
      <c r="CG1540" s="15" t="s">
        <v>138</v>
      </c>
      <c r="CH1540" s="15" t="s">
        <v>174</v>
      </c>
      <c r="CI1540" s="15" t="s">
        <v>138</v>
      </c>
      <c r="CJ1540" s="15" t="s">
        <v>138</v>
      </c>
      <c r="CK1540" s="15" t="s">
        <v>138</v>
      </c>
      <c r="CL1540" s="15" t="s">
        <v>175</v>
      </c>
      <c r="CM1540" s="22" t="s">
        <v>138</v>
      </c>
      <c r="CN1540" s="17" t="s">
        <v>138</v>
      </c>
      <c r="CO1540" s="23">
        <v>-0.32</v>
      </c>
      <c r="CP1540" s="24">
        <v>18</v>
      </c>
      <c r="CQ1540" s="23">
        <v>0.21</v>
      </c>
      <c r="CR1540" s="23">
        <v>38.880000000000003</v>
      </c>
      <c r="CS1540" s="23">
        <v>-1.07</v>
      </c>
      <c r="CT1540" s="24">
        <v>14</v>
      </c>
      <c r="CU1540" s="23">
        <v>-0.32</v>
      </c>
      <c r="CV1540" s="24">
        <v>1</v>
      </c>
      <c r="CW1540" s="23" t="s">
        <v>138</v>
      </c>
      <c r="CX1540" s="24" t="s">
        <v>138</v>
      </c>
      <c r="CY1540" s="23">
        <v>-1.07</v>
      </c>
      <c r="CZ1540" s="24">
        <v>18</v>
      </c>
      <c r="DA1540" s="23">
        <v>-0.32</v>
      </c>
      <c r="DB1540" s="24">
        <v>1</v>
      </c>
      <c r="DC1540" s="25">
        <v>32.1</v>
      </c>
      <c r="DD1540" s="24">
        <v>97</v>
      </c>
      <c r="DE1540" s="25">
        <v>0.16</v>
      </c>
      <c r="DF1540" s="23">
        <v>0.49</v>
      </c>
      <c r="DG1540" s="25">
        <v>13.31</v>
      </c>
      <c r="DH1540" s="24">
        <v>92</v>
      </c>
      <c r="DI1540" s="25">
        <v>82.51</v>
      </c>
      <c r="DJ1540" s="24">
        <v>97</v>
      </c>
      <c r="DK1540" s="25" t="s">
        <v>138</v>
      </c>
      <c r="DL1540" s="24" t="s">
        <v>138</v>
      </c>
      <c r="DM1540" s="25">
        <v>13.31</v>
      </c>
      <c r="DN1540" s="24">
        <v>91</v>
      </c>
      <c r="DO1540" s="25">
        <v>82.51</v>
      </c>
      <c r="DP1540" s="24">
        <v>98</v>
      </c>
      <c r="DQ1540" s="24">
        <v>140</v>
      </c>
      <c r="DR1540" s="26">
        <v>10</v>
      </c>
      <c r="DS1540" s="23">
        <v>7.69</v>
      </c>
      <c r="DT1540" s="24">
        <v>385</v>
      </c>
      <c r="DU1540" s="26">
        <v>3</v>
      </c>
      <c r="DV1540" s="23">
        <v>0.79</v>
      </c>
      <c r="DW1540" s="24">
        <v>29548</v>
      </c>
      <c r="DX1540" s="27">
        <v>-6</v>
      </c>
      <c r="DY1540" s="23">
        <v>-0.02</v>
      </c>
      <c r="DZ1540" s="15" t="s">
        <v>178</v>
      </c>
      <c r="EA1540" s="22">
        <v>43622</v>
      </c>
      <c r="EB1540" s="17" t="s">
        <v>138</v>
      </c>
      <c r="EC1540" s="22" t="s">
        <v>138</v>
      </c>
      <c r="ED1540" s="15" t="s">
        <v>138</v>
      </c>
      <c r="EE1540" s="14" t="str">
        <f>HYPERLINK("https://my.pitchbook.com?c=83544-22", "View company online")</f>
        <v>View company online</v>
      </c>
    </row>
    <row r="1541" spans="1:135">
      <c r="A1541" s="28" t="s">
        <v>29518</v>
      </c>
      <c r="B1541" s="28" t="s">
        <v>29519</v>
      </c>
      <c r="C1541" s="28" t="s">
        <v>138</v>
      </c>
      <c r="D1541" s="28" t="s">
        <v>138</v>
      </c>
      <c r="E1541" s="28" t="s">
        <v>138</v>
      </c>
      <c r="F1541" s="28" t="s">
        <v>29518</v>
      </c>
      <c r="G1541" s="28" t="s">
        <v>29520</v>
      </c>
      <c r="H1541" s="28" t="s">
        <v>322</v>
      </c>
      <c r="I1541" s="28" t="s">
        <v>323</v>
      </c>
      <c r="J1541" s="28" t="s">
        <v>1084</v>
      </c>
      <c r="K1541" s="28" t="s">
        <v>1085</v>
      </c>
      <c r="L1541" s="28" t="s">
        <v>415</v>
      </c>
      <c r="M1541" s="28" t="s">
        <v>29521</v>
      </c>
      <c r="N1541" s="28" t="s">
        <v>147</v>
      </c>
      <c r="O1541" s="29">
        <v>6.89</v>
      </c>
      <c r="P1541" s="28" t="s">
        <v>148</v>
      </c>
      <c r="Q1541" s="28" t="s">
        <v>149</v>
      </c>
      <c r="R1541" s="28" t="s">
        <v>174</v>
      </c>
      <c r="S1541" s="28" t="s">
        <v>29522</v>
      </c>
      <c r="T1541" s="30">
        <v>34</v>
      </c>
      <c r="U1541" s="28" t="s">
        <v>29523</v>
      </c>
      <c r="V1541" s="28" t="s">
        <v>138</v>
      </c>
      <c r="W1541" s="28" t="s">
        <v>138</v>
      </c>
      <c r="X1541" s="31">
        <v>2015</v>
      </c>
      <c r="Y1541" s="28" t="s">
        <v>138</v>
      </c>
      <c r="Z1541" s="28" t="s">
        <v>138</v>
      </c>
      <c r="AA1541" s="28" t="s">
        <v>138</v>
      </c>
      <c r="AB1541" s="32">
        <v>7.8</v>
      </c>
      <c r="AC1541" s="32" t="s">
        <v>138</v>
      </c>
      <c r="AD1541" s="32" t="s">
        <v>138</v>
      </c>
      <c r="AE1541" s="32" t="s">
        <v>138</v>
      </c>
      <c r="AF1541" s="32" t="s">
        <v>138</v>
      </c>
      <c r="AG1541" s="28" t="s">
        <v>419</v>
      </c>
      <c r="AH1541" s="32" t="s">
        <v>138</v>
      </c>
      <c r="AI1541" s="32" t="s">
        <v>138</v>
      </c>
      <c r="AJ1541" s="32" t="s">
        <v>138</v>
      </c>
      <c r="AK1541" s="28" t="s">
        <v>29524</v>
      </c>
      <c r="AL1541" s="28" t="s">
        <v>29525</v>
      </c>
      <c r="AM1541" s="28" t="s">
        <v>304</v>
      </c>
      <c r="AN1541" s="28" t="s">
        <v>29526</v>
      </c>
      <c r="AO1541" s="28" t="s">
        <v>29527</v>
      </c>
      <c r="AP1541" s="28" t="s">
        <v>4601</v>
      </c>
      <c r="AQ1541" s="28" t="s">
        <v>29528</v>
      </c>
      <c r="AR1541" s="28" t="s">
        <v>138</v>
      </c>
      <c r="AS1541" s="28" t="s">
        <v>4604</v>
      </c>
      <c r="AT1541" s="28" t="s">
        <v>17451</v>
      </c>
      <c r="AU1541" s="28" t="s">
        <v>138</v>
      </c>
      <c r="AV1541" s="28" t="s">
        <v>2071</v>
      </c>
      <c r="AW1541" s="28" t="s">
        <v>29527</v>
      </c>
      <c r="AX1541" s="28" t="s">
        <v>138</v>
      </c>
      <c r="AY1541" s="28" t="s">
        <v>29529</v>
      </c>
      <c r="AZ1541" s="28" t="s">
        <v>452</v>
      </c>
      <c r="BA1541" s="28" t="s">
        <v>453</v>
      </c>
      <c r="BB1541" s="28" t="s">
        <v>29530</v>
      </c>
      <c r="BC1541" s="28" t="s">
        <v>29531</v>
      </c>
      <c r="BD1541" s="33">
        <v>6</v>
      </c>
      <c r="BE1541" s="28" t="s">
        <v>138</v>
      </c>
      <c r="BF1541" s="28" t="s">
        <v>138</v>
      </c>
      <c r="BG1541" s="28" t="s">
        <v>138</v>
      </c>
      <c r="BH1541" s="28" t="s">
        <v>29532</v>
      </c>
      <c r="BI1541" s="28" t="s">
        <v>138</v>
      </c>
      <c r="BJ1541" s="28" t="s">
        <v>138</v>
      </c>
      <c r="BK1541" s="28" t="s">
        <v>29533</v>
      </c>
      <c r="BL1541" s="28" t="s">
        <v>138</v>
      </c>
      <c r="BM1541" s="34">
        <v>42125</v>
      </c>
      <c r="BN1541" s="29">
        <v>0.27</v>
      </c>
      <c r="BO1541" s="28" t="s">
        <v>172</v>
      </c>
      <c r="BP1541" s="29" t="s">
        <v>138</v>
      </c>
      <c r="BQ1541" s="28" t="s">
        <v>138</v>
      </c>
      <c r="BR1541" s="28" t="s">
        <v>316</v>
      </c>
      <c r="BS1541" s="28" t="s">
        <v>138</v>
      </c>
      <c r="BT1541" s="28" t="s">
        <v>138</v>
      </c>
      <c r="BU1541" s="28" t="s">
        <v>177</v>
      </c>
      <c r="BV1541" s="28" t="s">
        <v>138</v>
      </c>
      <c r="BW1541" s="28" t="s">
        <v>138</v>
      </c>
      <c r="BX1541" s="28" t="s">
        <v>138</v>
      </c>
      <c r="BY1541" s="28" t="s">
        <v>175</v>
      </c>
      <c r="BZ1541" s="34">
        <v>43207</v>
      </c>
      <c r="CA1541" s="29">
        <v>5.62</v>
      </c>
      <c r="CB1541" s="28" t="s">
        <v>172</v>
      </c>
      <c r="CC1541" s="29" t="s">
        <v>138</v>
      </c>
      <c r="CD1541" s="28" t="s">
        <v>138</v>
      </c>
      <c r="CE1541" s="28" t="s">
        <v>205</v>
      </c>
      <c r="CF1541" s="28" t="s">
        <v>138</v>
      </c>
      <c r="CG1541" s="28" t="s">
        <v>138</v>
      </c>
      <c r="CH1541" s="28" t="s">
        <v>174</v>
      </c>
      <c r="CI1541" s="28" t="s">
        <v>138</v>
      </c>
      <c r="CJ1541" s="28" t="s">
        <v>138</v>
      </c>
      <c r="CK1541" s="28" t="s">
        <v>138</v>
      </c>
      <c r="CL1541" s="28" t="s">
        <v>175</v>
      </c>
      <c r="CM1541" s="34" t="s">
        <v>138</v>
      </c>
      <c r="CN1541" s="29" t="s">
        <v>138</v>
      </c>
      <c r="CO1541" s="35">
        <v>0</v>
      </c>
      <c r="CP1541" s="36">
        <v>26</v>
      </c>
      <c r="CQ1541" s="35">
        <v>0</v>
      </c>
      <c r="CR1541" s="35">
        <v>0</v>
      </c>
      <c r="CS1541" s="35">
        <v>0</v>
      </c>
      <c r="CT1541" s="36">
        <v>23</v>
      </c>
      <c r="CU1541" s="35" t="s">
        <v>138</v>
      </c>
      <c r="CV1541" s="36" t="s">
        <v>138</v>
      </c>
      <c r="CW1541" s="35" t="s">
        <v>138</v>
      </c>
      <c r="CX1541" s="36" t="s">
        <v>138</v>
      </c>
      <c r="CY1541" s="35">
        <v>0</v>
      </c>
      <c r="CZ1541" s="36">
        <v>25</v>
      </c>
      <c r="DA1541" s="35" t="s">
        <v>138</v>
      </c>
      <c r="DB1541" s="36" t="s">
        <v>138</v>
      </c>
      <c r="DC1541" s="37">
        <v>0.17</v>
      </c>
      <c r="DD1541" s="36">
        <v>13</v>
      </c>
      <c r="DE1541" s="37">
        <v>0</v>
      </c>
      <c r="DF1541" s="35">
        <v>0</v>
      </c>
      <c r="DG1541" s="37">
        <v>0.17</v>
      </c>
      <c r="DH1541" s="36">
        <v>13</v>
      </c>
      <c r="DI1541" s="37" t="s">
        <v>138</v>
      </c>
      <c r="DJ1541" s="36" t="s">
        <v>138</v>
      </c>
      <c r="DK1541" s="37" t="s">
        <v>138</v>
      </c>
      <c r="DL1541" s="36" t="s">
        <v>138</v>
      </c>
      <c r="DM1541" s="37">
        <v>0.17</v>
      </c>
      <c r="DN1541" s="36">
        <v>14</v>
      </c>
      <c r="DO1541" s="37" t="s">
        <v>138</v>
      </c>
      <c r="DP1541" s="36" t="s">
        <v>138</v>
      </c>
      <c r="DQ1541" s="36" t="s">
        <v>138</v>
      </c>
      <c r="DR1541" s="38" t="s">
        <v>138</v>
      </c>
      <c r="DS1541" s="35" t="s">
        <v>138</v>
      </c>
      <c r="DT1541" s="36">
        <v>5</v>
      </c>
      <c r="DU1541" s="38">
        <v>0</v>
      </c>
      <c r="DV1541" s="35">
        <v>0</v>
      </c>
      <c r="DW1541" s="36" t="s">
        <v>138</v>
      </c>
      <c r="DX1541" s="39" t="s">
        <v>138</v>
      </c>
      <c r="DY1541" s="35" t="s">
        <v>138</v>
      </c>
      <c r="DZ1541" s="28" t="s">
        <v>178</v>
      </c>
      <c r="EA1541" s="34">
        <v>43622</v>
      </c>
      <c r="EB1541" s="29" t="s">
        <v>138</v>
      </c>
      <c r="EC1541" s="34" t="s">
        <v>138</v>
      </c>
      <c r="ED1541" s="28" t="s">
        <v>138</v>
      </c>
      <c r="EE1541" s="40" t="str">
        <f>HYPERLINK("https://my.pitchbook.com?c=164088-37", "View company online")</f>
        <v>View company online</v>
      </c>
    </row>
    <row r="1542" spans="1:135">
      <c r="A1542" s="15" t="s">
        <v>29534</v>
      </c>
      <c r="B1542" s="15" t="s">
        <v>29535</v>
      </c>
      <c r="C1542" s="15" t="s">
        <v>29536</v>
      </c>
      <c r="D1542" s="15" t="s">
        <v>138</v>
      </c>
      <c r="E1542" s="15" t="s">
        <v>29537</v>
      </c>
      <c r="F1542" s="15" t="s">
        <v>29534</v>
      </c>
      <c r="G1542" s="15" t="s">
        <v>29538</v>
      </c>
      <c r="H1542" s="15" t="s">
        <v>322</v>
      </c>
      <c r="I1542" s="15" t="s">
        <v>1208</v>
      </c>
      <c r="J1542" s="15" t="s">
        <v>1209</v>
      </c>
      <c r="K1542" s="15" t="s">
        <v>29539</v>
      </c>
      <c r="L1542" s="15" t="s">
        <v>415</v>
      </c>
      <c r="M1542" s="15" t="s">
        <v>29540</v>
      </c>
      <c r="N1542" s="15" t="s">
        <v>147</v>
      </c>
      <c r="O1542" s="17">
        <v>30.82</v>
      </c>
      <c r="P1542" s="15" t="s">
        <v>610</v>
      </c>
      <c r="Q1542" s="15" t="s">
        <v>149</v>
      </c>
      <c r="R1542" s="15" t="s">
        <v>174</v>
      </c>
      <c r="S1542" s="15" t="s">
        <v>29541</v>
      </c>
      <c r="T1542" s="18">
        <v>33</v>
      </c>
      <c r="U1542" s="15" t="s">
        <v>29542</v>
      </c>
      <c r="V1542" s="15" t="s">
        <v>138</v>
      </c>
      <c r="W1542" s="15" t="s">
        <v>138</v>
      </c>
      <c r="X1542" s="19">
        <v>2007</v>
      </c>
      <c r="Y1542" s="15" t="s">
        <v>138</v>
      </c>
      <c r="Z1542" s="15" t="s">
        <v>138</v>
      </c>
      <c r="AA1542" s="15" t="s">
        <v>138</v>
      </c>
      <c r="AB1542" s="20" t="s">
        <v>138</v>
      </c>
      <c r="AC1542" s="20" t="s">
        <v>138</v>
      </c>
      <c r="AD1542" s="20" t="s">
        <v>138</v>
      </c>
      <c r="AE1542" s="20" t="s">
        <v>138</v>
      </c>
      <c r="AF1542" s="20" t="s">
        <v>138</v>
      </c>
      <c r="AG1542" s="15" t="s">
        <v>138</v>
      </c>
      <c r="AH1542" s="20" t="s">
        <v>138</v>
      </c>
      <c r="AI1542" s="20" t="s">
        <v>138</v>
      </c>
      <c r="AJ1542" s="20" t="s">
        <v>138</v>
      </c>
      <c r="AK1542" s="15" t="s">
        <v>29543</v>
      </c>
      <c r="AL1542" s="15" t="s">
        <v>29544</v>
      </c>
      <c r="AM1542" s="15" t="s">
        <v>15705</v>
      </c>
      <c r="AN1542" s="15" t="s">
        <v>29545</v>
      </c>
      <c r="AO1542" s="15" t="s">
        <v>29546</v>
      </c>
      <c r="AP1542" s="15" t="s">
        <v>1220</v>
      </c>
      <c r="AQ1542" s="15" t="s">
        <v>29547</v>
      </c>
      <c r="AR1542" s="15" t="s">
        <v>2095</v>
      </c>
      <c r="AS1542" s="15" t="s">
        <v>1223</v>
      </c>
      <c r="AT1542" s="15" t="s">
        <v>200</v>
      </c>
      <c r="AU1542" s="15" t="s">
        <v>29548</v>
      </c>
      <c r="AV1542" s="15" t="s">
        <v>162</v>
      </c>
      <c r="AW1542" s="15" t="s">
        <v>29546</v>
      </c>
      <c r="AX1542" s="15" t="s">
        <v>138</v>
      </c>
      <c r="AY1542" s="15" t="s">
        <v>138</v>
      </c>
      <c r="AZ1542" s="15" t="s">
        <v>164</v>
      </c>
      <c r="BA1542" s="15" t="s">
        <v>165</v>
      </c>
      <c r="BB1542" s="15" t="s">
        <v>29549</v>
      </c>
      <c r="BC1542" s="15" t="s">
        <v>29550</v>
      </c>
      <c r="BD1542" s="21">
        <v>7</v>
      </c>
      <c r="BE1542" s="15" t="s">
        <v>138</v>
      </c>
      <c r="BF1542" s="15" t="s">
        <v>138</v>
      </c>
      <c r="BG1542" s="15" t="s">
        <v>138</v>
      </c>
      <c r="BH1542" s="15" t="s">
        <v>29551</v>
      </c>
      <c r="BI1542" s="15" t="s">
        <v>138</v>
      </c>
      <c r="BJ1542" s="15" t="s">
        <v>138</v>
      </c>
      <c r="BK1542" s="15" t="s">
        <v>29552</v>
      </c>
      <c r="BL1542" s="15" t="s">
        <v>2936</v>
      </c>
      <c r="BM1542" s="22">
        <v>39385</v>
      </c>
      <c r="BN1542" s="17">
        <v>9.16</v>
      </c>
      <c r="BO1542" s="15" t="s">
        <v>172</v>
      </c>
      <c r="BP1542" s="17">
        <v>15.5</v>
      </c>
      <c r="BQ1542" s="15" t="s">
        <v>172</v>
      </c>
      <c r="BR1542" s="15" t="s">
        <v>205</v>
      </c>
      <c r="BS1542" s="15" t="s">
        <v>206</v>
      </c>
      <c r="BT1542" s="15" t="s">
        <v>138</v>
      </c>
      <c r="BU1542" s="15" t="s">
        <v>174</v>
      </c>
      <c r="BV1542" s="15" t="s">
        <v>138</v>
      </c>
      <c r="BW1542" s="15" t="s">
        <v>138</v>
      </c>
      <c r="BX1542" s="15" t="s">
        <v>138</v>
      </c>
      <c r="BY1542" s="15" t="s">
        <v>175</v>
      </c>
      <c r="BZ1542" s="22">
        <v>40980</v>
      </c>
      <c r="CA1542" s="17">
        <v>12.66</v>
      </c>
      <c r="CB1542" s="15" t="s">
        <v>172</v>
      </c>
      <c r="CC1542" s="17">
        <v>63.87</v>
      </c>
      <c r="CD1542" s="15" t="s">
        <v>172</v>
      </c>
      <c r="CE1542" s="15" t="s">
        <v>173</v>
      </c>
      <c r="CF1542" s="15" t="s">
        <v>317</v>
      </c>
      <c r="CG1542" s="15" t="s">
        <v>138</v>
      </c>
      <c r="CH1542" s="15" t="s">
        <v>174</v>
      </c>
      <c r="CI1542" s="15" t="s">
        <v>264</v>
      </c>
      <c r="CJ1542" s="15" t="s">
        <v>138</v>
      </c>
      <c r="CK1542" s="15" t="s">
        <v>138</v>
      </c>
      <c r="CL1542" s="15" t="s">
        <v>175</v>
      </c>
      <c r="CM1542" s="22" t="s">
        <v>138</v>
      </c>
      <c r="CN1542" s="17" t="s">
        <v>138</v>
      </c>
      <c r="CO1542" s="23">
        <v>0</v>
      </c>
      <c r="CP1542" s="24">
        <v>26</v>
      </c>
      <c r="CQ1542" s="23">
        <v>0</v>
      </c>
      <c r="CR1542" s="23">
        <v>0</v>
      </c>
      <c r="CS1542" s="23">
        <v>0</v>
      </c>
      <c r="CT1542" s="24">
        <v>23</v>
      </c>
      <c r="CU1542" s="23" t="s">
        <v>138</v>
      </c>
      <c r="CV1542" s="24" t="s">
        <v>138</v>
      </c>
      <c r="CW1542" s="23" t="s">
        <v>138</v>
      </c>
      <c r="CX1542" s="24" t="s">
        <v>138</v>
      </c>
      <c r="CY1542" s="23">
        <v>0</v>
      </c>
      <c r="CZ1542" s="24">
        <v>25</v>
      </c>
      <c r="DA1542" s="23" t="s">
        <v>138</v>
      </c>
      <c r="DB1542" s="24" t="s">
        <v>138</v>
      </c>
      <c r="DC1542" s="25">
        <v>1.52</v>
      </c>
      <c r="DD1542" s="24">
        <v>61</v>
      </c>
      <c r="DE1542" s="25">
        <v>0</v>
      </c>
      <c r="DF1542" s="23">
        <v>0</v>
      </c>
      <c r="DG1542" s="25">
        <v>1.52</v>
      </c>
      <c r="DH1542" s="24">
        <v>61</v>
      </c>
      <c r="DI1542" s="25" t="s">
        <v>138</v>
      </c>
      <c r="DJ1542" s="24" t="s">
        <v>138</v>
      </c>
      <c r="DK1542" s="25" t="s">
        <v>138</v>
      </c>
      <c r="DL1542" s="24" t="s">
        <v>138</v>
      </c>
      <c r="DM1542" s="25">
        <v>1.52</v>
      </c>
      <c r="DN1542" s="24">
        <v>60</v>
      </c>
      <c r="DO1542" s="25" t="s">
        <v>138</v>
      </c>
      <c r="DP1542" s="24" t="s">
        <v>138</v>
      </c>
      <c r="DQ1542" s="24">
        <v>131</v>
      </c>
      <c r="DR1542" s="26">
        <v>-21</v>
      </c>
      <c r="DS1542" s="23">
        <v>-13.82</v>
      </c>
      <c r="DT1542" s="24">
        <v>44</v>
      </c>
      <c r="DU1542" s="26">
        <v>0</v>
      </c>
      <c r="DV1542" s="23">
        <v>0</v>
      </c>
      <c r="DW1542" s="24" t="s">
        <v>138</v>
      </c>
      <c r="DX1542" s="27" t="s">
        <v>138</v>
      </c>
      <c r="DY1542" s="23" t="s">
        <v>138</v>
      </c>
      <c r="DZ1542" s="15" t="s">
        <v>178</v>
      </c>
      <c r="EA1542" s="22">
        <v>43580</v>
      </c>
      <c r="EB1542" s="17">
        <v>63.87</v>
      </c>
      <c r="EC1542" s="22">
        <v>40980</v>
      </c>
      <c r="ED1542" s="15" t="s">
        <v>173</v>
      </c>
      <c r="EE1542" s="14" t="str">
        <f>HYPERLINK("https://my.pitchbook.com?c=52812-19", "View company online")</f>
        <v>View company online</v>
      </c>
    </row>
    <row r="1543" spans="1:135">
      <c r="A1543" s="28" t="s">
        <v>29553</v>
      </c>
      <c r="B1543" s="28" t="s">
        <v>29554</v>
      </c>
      <c r="C1543" s="28" t="s">
        <v>138</v>
      </c>
      <c r="D1543" s="28" t="s">
        <v>138</v>
      </c>
      <c r="E1543" s="28" t="s">
        <v>29555</v>
      </c>
      <c r="F1543" s="28" t="s">
        <v>29553</v>
      </c>
      <c r="G1543" s="28" t="s">
        <v>29556</v>
      </c>
      <c r="H1543" s="28" t="s">
        <v>322</v>
      </c>
      <c r="I1543" s="28" t="s">
        <v>1503</v>
      </c>
      <c r="J1543" s="28" t="s">
        <v>2377</v>
      </c>
      <c r="K1543" s="28" t="s">
        <v>17387</v>
      </c>
      <c r="L1543" s="28" t="s">
        <v>415</v>
      </c>
      <c r="M1543" s="28" t="s">
        <v>29557</v>
      </c>
      <c r="N1543" s="28" t="s">
        <v>147</v>
      </c>
      <c r="O1543" s="29">
        <v>162.66</v>
      </c>
      <c r="P1543" s="28" t="s">
        <v>148</v>
      </c>
      <c r="Q1543" s="28" t="s">
        <v>149</v>
      </c>
      <c r="R1543" s="28" t="s">
        <v>174</v>
      </c>
      <c r="S1543" s="28" t="s">
        <v>29558</v>
      </c>
      <c r="T1543" s="30">
        <v>120</v>
      </c>
      <c r="U1543" s="28" t="s">
        <v>29559</v>
      </c>
      <c r="V1543" s="28" t="s">
        <v>138</v>
      </c>
      <c r="W1543" s="28" t="s">
        <v>138</v>
      </c>
      <c r="X1543" s="31">
        <v>1999</v>
      </c>
      <c r="Y1543" s="28" t="s">
        <v>138</v>
      </c>
      <c r="Z1543" s="28" t="s">
        <v>138</v>
      </c>
      <c r="AA1543" s="28" t="s">
        <v>138</v>
      </c>
      <c r="AB1543" s="32" t="s">
        <v>138</v>
      </c>
      <c r="AC1543" s="32" t="s">
        <v>138</v>
      </c>
      <c r="AD1543" s="32" t="s">
        <v>138</v>
      </c>
      <c r="AE1543" s="32" t="s">
        <v>138</v>
      </c>
      <c r="AF1543" s="32" t="s">
        <v>138</v>
      </c>
      <c r="AG1543" s="28" t="s">
        <v>138</v>
      </c>
      <c r="AH1543" s="32" t="s">
        <v>138</v>
      </c>
      <c r="AI1543" s="32" t="s">
        <v>138</v>
      </c>
      <c r="AJ1543" s="32" t="s">
        <v>138</v>
      </c>
      <c r="AK1543" s="28" t="s">
        <v>29560</v>
      </c>
      <c r="AL1543" s="28" t="s">
        <v>29561</v>
      </c>
      <c r="AM1543" s="28" t="s">
        <v>29562</v>
      </c>
      <c r="AN1543" s="28" t="s">
        <v>29563</v>
      </c>
      <c r="AO1543" s="28" t="s">
        <v>29564</v>
      </c>
      <c r="AP1543" s="28" t="s">
        <v>5471</v>
      </c>
      <c r="AQ1543" s="28" t="s">
        <v>29565</v>
      </c>
      <c r="AR1543" s="28" t="s">
        <v>138</v>
      </c>
      <c r="AS1543" s="28" t="s">
        <v>5473</v>
      </c>
      <c r="AT1543" s="28" t="s">
        <v>3112</v>
      </c>
      <c r="AU1543" s="28" t="s">
        <v>29566</v>
      </c>
      <c r="AV1543" s="28" t="s">
        <v>2742</v>
      </c>
      <c r="AW1543" s="28" t="s">
        <v>29564</v>
      </c>
      <c r="AX1543" s="28" t="s">
        <v>29567</v>
      </c>
      <c r="AY1543" s="28" t="s">
        <v>29568</v>
      </c>
      <c r="AZ1543" s="28" t="s">
        <v>164</v>
      </c>
      <c r="BA1543" s="28" t="s">
        <v>165</v>
      </c>
      <c r="BB1543" s="28" t="s">
        <v>29569</v>
      </c>
      <c r="BC1543" s="28" t="s">
        <v>29570</v>
      </c>
      <c r="BD1543" s="33">
        <v>25</v>
      </c>
      <c r="BE1543" s="28" t="s">
        <v>138</v>
      </c>
      <c r="BF1543" s="28" t="s">
        <v>6477</v>
      </c>
      <c r="BG1543" s="28" t="s">
        <v>138</v>
      </c>
      <c r="BH1543" s="28" t="s">
        <v>29571</v>
      </c>
      <c r="BI1543" s="28" t="s">
        <v>6479</v>
      </c>
      <c r="BJ1543" s="28" t="s">
        <v>138</v>
      </c>
      <c r="BK1543" s="28" t="s">
        <v>29572</v>
      </c>
      <c r="BL1543" s="28" t="s">
        <v>29573</v>
      </c>
      <c r="BM1543" s="34">
        <v>37987</v>
      </c>
      <c r="BN1543" s="29" t="s">
        <v>138</v>
      </c>
      <c r="BO1543" s="28" t="s">
        <v>138</v>
      </c>
      <c r="BP1543" s="29" t="s">
        <v>138</v>
      </c>
      <c r="BQ1543" s="28" t="s">
        <v>138</v>
      </c>
      <c r="BR1543" s="28" t="s">
        <v>205</v>
      </c>
      <c r="BS1543" s="28" t="s">
        <v>206</v>
      </c>
      <c r="BT1543" s="28" t="s">
        <v>138</v>
      </c>
      <c r="BU1543" s="28" t="s">
        <v>174</v>
      </c>
      <c r="BV1543" s="28" t="s">
        <v>138</v>
      </c>
      <c r="BW1543" s="28" t="s">
        <v>138</v>
      </c>
      <c r="BX1543" s="28" t="s">
        <v>138</v>
      </c>
      <c r="BY1543" s="28" t="s">
        <v>175</v>
      </c>
      <c r="BZ1543" s="34">
        <v>43525</v>
      </c>
      <c r="CA1543" s="29" t="s">
        <v>138</v>
      </c>
      <c r="CB1543" s="28" t="s">
        <v>138</v>
      </c>
      <c r="CC1543" s="29" t="s">
        <v>138</v>
      </c>
      <c r="CD1543" s="28" t="s">
        <v>138</v>
      </c>
      <c r="CE1543" s="28" t="s">
        <v>379</v>
      </c>
      <c r="CF1543" s="28" t="s">
        <v>138</v>
      </c>
      <c r="CG1543" s="28" t="s">
        <v>138</v>
      </c>
      <c r="CH1543" s="28" t="s">
        <v>138</v>
      </c>
      <c r="CI1543" s="28" t="s">
        <v>138</v>
      </c>
      <c r="CJ1543" s="28" t="s">
        <v>138</v>
      </c>
      <c r="CK1543" s="28" t="s">
        <v>138</v>
      </c>
      <c r="CL1543" s="28" t="s">
        <v>175</v>
      </c>
      <c r="CM1543" s="34">
        <v>38853</v>
      </c>
      <c r="CN1543" s="29" t="s">
        <v>138</v>
      </c>
      <c r="CO1543" s="35">
        <v>-1.03</v>
      </c>
      <c r="CP1543" s="36">
        <v>11</v>
      </c>
      <c r="CQ1543" s="35">
        <v>0</v>
      </c>
      <c r="CR1543" s="35">
        <v>-0.15</v>
      </c>
      <c r="CS1543" s="35">
        <v>-2.4300000000000002</v>
      </c>
      <c r="CT1543" s="36">
        <v>7</v>
      </c>
      <c r="CU1543" s="35">
        <v>0.37</v>
      </c>
      <c r="CV1543" s="36">
        <v>90</v>
      </c>
      <c r="CW1543" s="35">
        <v>-3.31</v>
      </c>
      <c r="CX1543" s="36">
        <v>5</v>
      </c>
      <c r="CY1543" s="35">
        <v>-1.55</v>
      </c>
      <c r="CZ1543" s="36">
        <v>14</v>
      </c>
      <c r="DA1543" s="35">
        <v>0.37</v>
      </c>
      <c r="DB1543" s="36">
        <v>91</v>
      </c>
      <c r="DC1543" s="37">
        <v>64.510000000000005</v>
      </c>
      <c r="DD1543" s="36">
        <v>98</v>
      </c>
      <c r="DE1543" s="37">
        <v>-0.87</v>
      </c>
      <c r="DF1543" s="35">
        <v>-1.34</v>
      </c>
      <c r="DG1543" s="37">
        <v>97.23</v>
      </c>
      <c r="DH1543" s="36">
        <v>99</v>
      </c>
      <c r="DI1543" s="37">
        <v>31.78</v>
      </c>
      <c r="DJ1543" s="36">
        <v>93</v>
      </c>
      <c r="DK1543" s="37">
        <v>28.53</v>
      </c>
      <c r="DL1543" s="36">
        <v>94</v>
      </c>
      <c r="DM1543" s="37">
        <v>165.93</v>
      </c>
      <c r="DN1543" s="36">
        <v>100</v>
      </c>
      <c r="DO1543" s="37">
        <v>31.78</v>
      </c>
      <c r="DP1543" s="36">
        <v>95</v>
      </c>
      <c r="DQ1543" s="36">
        <v>9741</v>
      </c>
      <c r="DR1543" s="38">
        <v>131</v>
      </c>
      <c r="DS1543" s="35">
        <v>1.36</v>
      </c>
      <c r="DT1543" s="36">
        <v>4815</v>
      </c>
      <c r="DU1543" s="38">
        <v>1</v>
      </c>
      <c r="DV1543" s="35">
        <v>0.02</v>
      </c>
      <c r="DW1543" s="36">
        <v>11370</v>
      </c>
      <c r="DX1543" s="39">
        <v>29</v>
      </c>
      <c r="DY1543" s="35">
        <v>0.26</v>
      </c>
      <c r="DZ1543" s="28" t="s">
        <v>178</v>
      </c>
      <c r="EA1543" s="34">
        <v>43622</v>
      </c>
      <c r="EB1543" s="29" t="s">
        <v>138</v>
      </c>
      <c r="EC1543" s="34" t="s">
        <v>138</v>
      </c>
      <c r="ED1543" s="28" t="s">
        <v>138</v>
      </c>
      <c r="EE1543" s="40" t="str">
        <f>HYPERLINK("https://my.pitchbook.com?c=51244-57", "View company online")</f>
        <v>View company online</v>
      </c>
    </row>
    <row r="1544" spans="1:135">
      <c r="A1544" s="15" t="s">
        <v>29574</v>
      </c>
      <c r="B1544" s="15" t="s">
        <v>29575</v>
      </c>
      <c r="C1544" s="15" t="s">
        <v>138</v>
      </c>
      <c r="D1544" s="15" t="s">
        <v>138</v>
      </c>
      <c r="E1544" s="15" t="s">
        <v>138</v>
      </c>
      <c r="F1544" s="15" t="s">
        <v>29574</v>
      </c>
      <c r="G1544" s="15" t="s">
        <v>29576</v>
      </c>
      <c r="H1544" s="15" t="s">
        <v>141</v>
      </c>
      <c r="I1544" s="15" t="s">
        <v>212</v>
      </c>
      <c r="J1544" s="15" t="s">
        <v>1257</v>
      </c>
      <c r="K1544" s="15" t="s">
        <v>29577</v>
      </c>
      <c r="L1544" s="15" t="s">
        <v>5412</v>
      </c>
      <c r="M1544" s="15" t="s">
        <v>29578</v>
      </c>
      <c r="N1544" s="15" t="s">
        <v>147</v>
      </c>
      <c r="O1544" s="17" t="s">
        <v>138</v>
      </c>
      <c r="P1544" s="15" t="s">
        <v>148</v>
      </c>
      <c r="Q1544" s="15" t="s">
        <v>149</v>
      </c>
      <c r="R1544" s="15" t="s">
        <v>174</v>
      </c>
      <c r="S1544" s="15" t="s">
        <v>29579</v>
      </c>
      <c r="T1544" s="18">
        <v>18</v>
      </c>
      <c r="U1544" s="15" t="s">
        <v>29580</v>
      </c>
      <c r="V1544" s="15" t="s">
        <v>138</v>
      </c>
      <c r="W1544" s="15" t="s">
        <v>138</v>
      </c>
      <c r="X1544" s="19">
        <v>2006</v>
      </c>
      <c r="Y1544" s="15" t="s">
        <v>138</v>
      </c>
      <c r="Z1544" s="15" t="s">
        <v>138</v>
      </c>
      <c r="AA1544" s="15" t="s">
        <v>138</v>
      </c>
      <c r="AB1544" s="20" t="s">
        <v>138</v>
      </c>
      <c r="AC1544" s="20" t="s">
        <v>138</v>
      </c>
      <c r="AD1544" s="20" t="s">
        <v>138</v>
      </c>
      <c r="AE1544" s="20" t="s">
        <v>138</v>
      </c>
      <c r="AF1544" s="20" t="s">
        <v>138</v>
      </c>
      <c r="AG1544" s="15" t="s">
        <v>138</v>
      </c>
      <c r="AH1544" s="20" t="s">
        <v>138</v>
      </c>
      <c r="AI1544" s="20" t="s">
        <v>138</v>
      </c>
      <c r="AJ1544" s="20" t="s">
        <v>138</v>
      </c>
      <c r="AK1544" s="15" t="s">
        <v>29581</v>
      </c>
      <c r="AL1544" s="15" t="s">
        <v>29582</v>
      </c>
      <c r="AM1544" s="15" t="s">
        <v>938</v>
      </c>
      <c r="AN1544" s="15" t="s">
        <v>29583</v>
      </c>
      <c r="AO1544" s="15" t="s">
        <v>29584</v>
      </c>
      <c r="AP1544" s="15" t="s">
        <v>22869</v>
      </c>
      <c r="AQ1544" s="15" t="s">
        <v>29585</v>
      </c>
      <c r="AR1544" s="15" t="s">
        <v>29586</v>
      </c>
      <c r="AS1544" s="15" t="s">
        <v>22871</v>
      </c>
      <c r="AT1544" s="15" t="s">
        <v>138</v>
      </c>
      <c r="AU1544" s="15" t="s">
        <v>22872</v>
      </c>
      <c r="AV1544" s="15" t="s">
        <v>946</v>
      </c>
      <c r="AW1544" s="15" t="s">
        <v>29584</v>
      </c>
      <c r="AX1544" s="15" t="s">
        <v>29587</v>
      </c>
      <c r="AY1544" s="15" t="s">
        <v>29588</v>
      </c>
      <c r="AZ1544" s="15" t="s">
        <v>530</v>
      </c>
      <c r="BA1544" s="15" t="s">
        <v>531</v>
      </c>
      <c r="BB1544" s="15" t="s">
        <v>29589</v>
      </c>
      <c r="BC1544" s="15" t="s">
        <v>2912</v>
      </c>
      <c r="BD1544" s="21">
        <v>1</v>
      </c>
      <c r="BE1544" s="15" t="s">
        <v>138</v>
      </c>
      <c r="BF1544" s="15" t="s">
        <v>138</v>
      </c>
      <c r="BG1544" s="15" t="s">
        <v>138</v>
      </c>
      <c r="BH1544" s="15" t="s">
        <v>2914</v>
      </c>
      <c r="BI1544" s="15" t="s">
        <v>138</v>
      </c>
      <c r="BJ1544" s="15" t="s">
        <v>138</v>
      </c>
      <c r="BK1544" s="15" t="s">
        <v>138</v>
      </c>
      <c r="BL1544" s="15" t="s">
        <v>138</v>
      </c>
      <c r="BM1544" s="22" t="s">
        <v>138</v>
      </c>
      <c r="BN1544" s="17" t="s">
        <v>138</v>
      </c>
      <c r="BO1544" s="15" t="s">
        <v>138</v>
      </c>
      <c r="BP1544" s="17" t="s">
        <v>138</v>
      </c>
      <c r="BQ1544" s="15" t="s">
        <v>138</v>
      </c>
      <c r="BR1544" s="15" t="s">
        <v>205</v>
      </c>
      <c r="BS1544" s="15" t="s">
        <v>138</v>
      </c>
      <c r="BT1544" s="15" t="s">
        <v>138</v>
      </c>
      <c r="BU1544" s="15" t="s">
        <v>174</v>
      </c>
      <c r="BV1544" s="15" t="s">
        <v>138</v>
      </c>
      <c r="BW1544" s="15" t="s">
        <v>138</v>
      </c>
      <c r="BX1544" s="15" t="s">
        <v>138</v>
      </c>
      <c r="BY1544" s="15" t="s">
        <v>175</v>
      </c>
      <c r="BZ1544" s="22" t="s">
        <v>138</v>
      </c>
      <c r="CA1544" s="17" t="s">
        <v>138</v>
      </c>
      <c r="CB1544" s="15" t="s">
        <v>138</v>
      </c>
      <c r="CC1544" s="17" t="s">
        <v>138</v>
      </c>
      <c r="CD1544" s="15" t="s">
        <v>138</v>
      </c>
      <c r="CE1544" s="15" t="s">
        <v>205</v>
      </c>
      <c r="CF1544" s="15" t="s">
        <v>138</v>
      </c>
      <c r="CG1544" s="15" t="s">
        <v>138</v>
      </c>
      <c r="CH1544" s="15" t="s">
        <v>174</v>
      </c>
      <c r="CI1544" s="15" t="s">
        <v>138</v>
      </c>
      <c r="CJ1544" s="15" t="s">
        <v>138</v>
      </c>
      <c r="CK1544" s="15" t="s">
        <v>138</v>
      </c>
      <c r="CL1544" s="15" t="s">
        <v>175</v>
      </c>
      <c r="CM1544" s="22" t="s">
        <v>138</v>
      </c>
      <c r="CN1544" s="17" t="s">
        <v>138</v>
      </c>
      <c r="CO1544" s="23">
        <v>7.0000000000000007E-2</v>
      </c>
      <c r="CP1544" s="24">
        <v>89</v>
      </c>
      <c r="CQ1544" s="23">
        <v>-0.03</v>
      </c>
      <c r="CR1544" s="23">
        <v>-29.24</v>
      </c>
      <c r="CS1544" s="23">
        <v>-0.38</v>
      </c>
      <c r="CT1544" s="24">
        <v>20</v>
      </c>
      <c r="CU1544" s="23">
        <v>0.51</v>
      </c>
      <c r="CV1544" s="24">
        <v>94</v>
      </c>
      <c r="CW1544" s="23" t="s">
        <v>138</v>
      </c>
      <c r="CX1544" s="24" t="s">
        <v>138</v>
      </c>
      <c r="CY1544" s="23">
        <v>-0.38</v>
      </c>
      <c r="CZ1544" s="24">
        <v>23</v>
      </c>
      <c r="DA1544" s="23">
        <v>0.51</v>
      </c>
      <c r="DB1544" s="24">
        <v>94</v>
      </c>
      <c r="DC1544" s="25">
        <v>3.06</v>
      </c>
      <c r="DD1544" s="24">
        <v>75</v>
      </c>
      <c r="DE1544" s="25">
        <v>0.04</v>
      </c>
      <c r="DF1544" s="23">
        <v>1.17</v>
      </c>
      <c r="DG1544" s="25">
        <v>5.34</v>
      </c>
      <c r="DH1544" s="24">
        <v>83</v>
      </c>
      <c r="DI1544" s="25">
        <v>0.77</v>
      </c>
      <c r="DJ1544" s="24">
        <v>44</v>
      </c>
      <c r="DK1544" s="25" t="s">
        <v>138</v>
      </c>
      <c r="DL1544" s="24" t="s">
        <v>138</v>
      </c>
      <c r="DM1544" s="25">
        <v>5.34</v>
      </c>
      <c r="DN1544" s="24">
        <v>82</v>
      </c>
      <c r="DO1544" s="25">
        <v>0.77</v>
      </c>
      <c r="DP1544" s="24">
        <v>46</v>
      </c>
      <c r="DQ1544" s="24" t="s">
        <v>138</v>
      </c>
      <c r="DR1544" s="26" t="s">
        <v>138</v>
      </c>
      <c r="DS1544" s="23" t="s">
        <v>138</v>
      </c>
      <c r="DT1544" s="24">
        <v>154</v>
      </c>
      <c r="DU1544" s="26">
        <v>3</v>
      </c>
      <c r="DV1544" s="23">
        <v>1.99</v>
      </c>
      <c r="DW1544" s="24">
        <v>274</v>
      </c>
      <c r="DX1544" s="27">
        <v>0</v>
      </c>
      <c r="DY1544" s="23">
        <v>0</v>
      </c>
      <c r="DZ1544" s="15" t="s">
        <v>178</v>
      </c>
      <c r="EA1544" s="22">
        <v>43448</v>
      </c>
      <c r="EB1544" s="17" t="s">
        <v>138</v>
      </c>
      <c r="EC1544" s="22" t="s">
        <v>138</v>
      </c>
      <c r="ED1544" s="15" t="s">
        <v>138</v>
      </c>
      <c r="EE1544" s="14" t="str">
        <f>HYPERLINK("https://my.pitchbook.com?c=64306-54", "View company online")</f>
        <v>View company online</v>
      </c>
    </row>
    <row r="1545" spans="1:135">
      <c r="A1545" s="28" t="s">
        <v>29590</v>
      </c>
      <c r="B1545" s="28" t="s">
        <v>29591</v>
      </c>
      <c r="C1545" s="28" t="s">
        <v>138</v>
      </c>
      <c r="D1545" s="28" t="s">
        <v>29592</v>
      </c>
      <c r="E1545" s="28" t="s">
        <v>138</v>
      </c>
      <c r="F1545" s="28" t="s">
        <v>29590</v>
      </c>
      <c r="G1545" s="28" t="s">
        <v>29593</v>
      </c>
      <c r="H1545" s="28" t="s">
        <v>141</v>
      </c>
      <c r="I1545" s="28" t="s">
        <v>212</v>
      </c>
      <c r="J1545" s="28" t="s">
        <v>1257</v>
      </c>
      <c r="K1545" s="28" t="s">
        <v>29594</v>
      </c>
      <c r="L1545" s="28" t="s">
        <v>138</v>
      </c>
      <c r="M1545" s="28" t="s">
        <v>29595</v>
      </c>
      <c r="N1545" s="28" t="s">
        <v>147</v>
      </c>
      <c r="O1545" s="29">
        <v>9.52</v>
      </c>
      <c r="P1545" s="28" t="s">
        <v>148</v>
      </c>
      <c r="Q1545" s="28" t="s">
        <v>149</v>
      </c>
      <c r="R1545" s="28" t="s">
        <v>174</v>
      </c>
      <c r="S1545" s="28" t="s">
        <v>29596</v>
      </c>
      <c r="T1545" s="30">
        <v>51</v>
      </c>
      <c r="U1545" s="28" t="s">
        <v>29597</v>
      </c>
      <c r="V1545" s="28" t="s">
        <v>138</v>
      </c>
      <c r="W1545" s="28" t="s">
        <v>138</v>
      </c>
      <c r="X1545" s="31">
        <v>2000</v>
      </c>
      <c r="Y1545" s="28" t="s">
        <v>138</v>
      </c>
      <c r="Z1545" s="28" t="s">
        <v>138</v>
      </c>
      <c r="AA1545" s="28" t="s">
        <v>138</v>
      </c>
      <c r="AB1545" s="32" t="s">
        <v>138</v>
      </c>
      <c r="AC1545" s="32" t="s">
        <v>138</v>
      </c>
      <c r="AD1545" s="32" t="s">
        <v>138</v>
      </c>
      <c r="AE1545" s="32" t="s">
        <v>138</v>
      </c>
      <c r="AF1545" s="32" t="s">
        <v>138</v>
      </c>
      <c r="AG1545" s="28" t="s">
        <v>138</v>
      </c>
      <c r="AH1545" s="32" t="s">
        <v>138</v>
      </c>
      <c r="AI1545" s="32" t="s">
        <v>138</v>
      </c>
      <c r="AJ1545" s="32" t="s">
        <v>138</v>
      </c>
      <c r="AK1545" s="28" t="s">
        <v>29598</v>
      </c>
      <c r="AL1545" s="28" t="s">
        <v>29599</v>
      </c>
      <c r="AM1545" s="28" t="s">
        <v>27121</v>
      </c>
      <c r="AN1545" s="28" t="s">
        <v>29600</v>
      </c>
      <c r="AO1545" s="28" t="s">
        <v>29601</v>
      </c>
      <c r="AP1545" s="28" t="s">
        <v>4601</v>
      </c>
      <c r="AQ1545" s="28" t="s">
        <v>29602</v>
      </c>
      <c r="AR1545" s="28" t="s">
        <v>29603</v>
      </c>
      <c r="AS1545" s="28" t="s">
        <v>4604</v>
      </c>
      <c r="AT1545" s="28" t="s">
        <v>17451</v>
      </c>
      <c r="AU1545" s="28" t="s">
        <v>138</v>
      </c>
      <c r="AV1545" s="28" t="s">
        <v>2071</v>
      </c>
      <c r="AW1545" s="28" t="s">
        <v>29601</v>
      </c>
      <c r="AX1545" s="28" t="s">
        <v>29604</v>
      </c>
      <c r="AY1545" s="28" t="s">
        <v>29605</v>
      </c>
      <c r="AZ1545" s="28" t="s">
        <v>452</v>
      </c>
      <c r="BA1545" s="28" t="s">
        <v>453</v>
      </c>
      <c r="BB1545" s="28" t="s">
        <v>29606</v>
      </c>
      <c r="BC1545" s="28" t="s">
        <v>29607</v>
      </c>
      <c r="BD1545" s="33">
        <v>4</v>
      </c>
      <c r="BE1545" s="28" t="s">
        <v>138</v>
      </c>
      <c r="BF1545" s="28" t="s">
        <v>138</v>
      </c>
      <c r="BG1545" s="28" t="s">
        <v>138</v>
      </c>
      <c r="BH1545" s="28" t="s">
        <v>29608</v>
      </c>
      <c r="BI1545" s="28" t="s">
        <v>138</v>
      </c>
      <c r="BJ1545" s="28" t="s">
        <v>138</v>
      </c>
      <c r="BK1545" s="28" t="s">
        <v>29609</v>
      </c>
      <c r="BL1545" s="28" t="s">
        <v>138</v>
      </c>
      <c r="BM1545" s="34">
        <v>39630</v>
      </c>
      <c r="BN1545" s="29">
        <v>2.91</v>
      </c>
      <c r="BO1545" s="28" t="s">
        <v>172</v>
      </c>
      <c r="BP1545" s="29" t="s">
        <v>138</v>
      </c>
      <c r="BQ1545" s="28" t="s">
        <v>138</v>
      </c>
      <c r="BR1545" s="28" t="s">
        <v>173</v>
      </c>
      <c r="BS1545" s="28" t="s">
        <v>138</v>
      </c>
      <c r="BT1545" s="28" t="s">
        <v>138</v>
      </c>
      <c r="BU1545" s="28" t="s">
        <v>174</v>
      </c>
      <c r="BV1545" s="28" t="s">
        <v>138</v>
      </c>
      <c r="BW1545" s="28" t="s">
        <v>138</v>
      </c>
      <c r="BX1545" s="28" t="s">
        <v>138</v>
      </c>
      <c r="BY1545" s="28" t="s">
        <v>175</v>
      </c>
      <c r="BZ1545" s="34">
        <v>40848</v>
      </c>
      <c r="CA1545" s="29">
        <v>6.62</v>
      </c>
      <c r="CB1545" s="28" t="s">
        <v>172</v>
      </c>
      <c r="CC1545" s="29" t="s">
        <v>138</v>
      </c>
      <c r="CD1545" s="28" t="s">
        <v>138</v>
      </c>
      <c r="CE1545" s="28" t="s">
        <v>173</v>
      </c>
      <c r="CF1545" s="28" t="s">
        <v>138</v>
      </c>
      <c r="CG1545" s="28" t="s">
        <v>138</v>
      </c>
      <c r="CH1545" s="28" t="s">
        <v>174</v>
      </c>
      <c r="CI1545" s="28" t="s">
        <v>138</v>
      </c>
      <c r="CJ1545" s="28" t="s">
        <v>138</v>
      </c>
      <c r="CK1545" s="28" t="s">
        <v>138</v>
      </c>
      <c r="CL1545" s="28" t="s">
        <v>175</v>
      </c>
      <c r="CM1545" s="34" t="s">
        <v>138</v>
      </c>
      <c r="CN1545" s="29" t="s">
        <v>138</v>
      </c>
      <c r="CO1545" s="35">
        <v>-0.03</v>
      </c>
      <c r="CP1545" s="36">
        <v>23</v>
      </c>
      <c r="CQ1545" s="35">
        <v>0</v>
      </c>
      <c r="CR1545" s="35">
        <v>0</v>
      </c>
      <c r="CS1545" s="35" t="s">
        <v>138</v>
      </c>
      <c r="CT1545" s="36" t="s">
        <v>138</v>
      </c>
      <c r="CU1545" s="35">
        <v>-0.03</v>
      </c>
      <c r="CV1545" s="36">
        <v>14</v>
      </c>
      <c r="CW1545" s="35" t="s">
        <v>138</v>
      </c>
      <c r="CX1545" s="36" t="s">
        <v>138</v>
      </c>
      <c r="CY1545" s="35" t="s">
        <v>138</v>
      </c>
      <c r="CZ1545" s="36" t="s">
        <v>138</v>
      </c>
      <c r="DA1545" s="35" t="s">
        <v>138</v>
      </c>
      <c r="DB1545" s="36" t="s">
        <v>138</v>
      </c>
      <c r="DC1545" s="37">
        <v>6.73</v>
      </c>
      <c r="DD1545" s="36">
        <v>86</v>
      </c>
      <c r="DE1545" s="37">
        <v>-0.01</v>
      </c>
      <c r="DF1545" s="35">
        <v>-0.11</v>
      </c>
      <c r="DG1545" s="37" t="s">
        <v>138</v>
      </c>
      <c r="DH1545" s="36" t="s">
        <v>138</v>
      </c>
      <c r="DI1545" s="37">
        <v>6.73</v>
      </c>
      <c r="DJ1545" s="36">
        <v>81</v>
      </c>
      <c r="DK1545" s="37" t="s">
        <v>138</v>
      </c>
      <c r="DL1545" s="36" t="s">
        <v>138</v>
      </c>
      <c r="DM1545" s="37" t="s">
        <v>138</v>
      </c>
      <c r="DN1545" s="36" t="s">
        <v>138</v>
      </c>
      <c r="DO1545" s="37" t="s">
        <v>138</v>
      </c>
      <c r="DP1545" s="36" t="s">
        <v>138</v>
      </c>
      <c r="DQ1545" s="36" t="s">
        <v>138</v>
      </c>
      <c r="DR1545" s="38" t="s">
        <v>138</v>
      </c>
      <c r="DS1545" s="35" t="s">
        <v>138</v>
      </c>
      <c r="DT1545" s="36" t="s">
        <v>138</v>
      </c>
      <c r="DU1545" s="38" t="s">
        <v>138</v>
      </c>
      <c r="DV1545" s="35" t="s">
        <v>138</v>
      </c>
      <c r="DW1545" s="36" t="s">
        <v>138</v>
      </c>
      <c r="DX1545" s="39" t="s">
        <v>138</v>
      </c>
      <c r="DY1545" s="35" t="s">
        <v>138</v>
      </c>
      <c r="DZ1545" s="28" t="s">
        <v>178</v>
      </c>
      <c r="EA1545" s="34">
        <v>43351</v>
      </c>
      <c r="EB1545" s="29" t="s">
        <v>138</v>
      </c>
      <c r="EC1545" s="34" t="s">
        <v>138</v>
      </c>
      <c r="ED1545" s="28" t="s">
        <v>138</v>
      </c>
      <c r="EE1545" s="40" t="str">
        <f>HYPERLINK("https://my.pitchbook.com?c=54829-00", "View company online")</f>
        <v>View company online</v>
      </c>
    </row>
    <row r="1546" spans="1:135">
      <c r="A1546" s="15" t="s">
        <v>29610</v>
      </c>
      <c r="B1546" s="15" t="s">
        <v>29611</v>
      </c>
      <c r="C1546" s="15" t="s">
        <v>138</v>
      </c>
      <c r="D1546" s="15" t="s">
        <v>138</v>
      </c>
      <c r="E1546" s="15" t="s">
        <v>138</v>
      </c>
      <c r="F1546" s="15" t="s">
        <v>29610</v>
      </c>
      <c r="G1546" s="15" t="s">
        <v>29612</v>
      </c>
      <c r="H1546" s="15" t="s">
        <v>183</v>
      </c>
      <c r="I1546" s="15" t="s">
        <v>4681</v>
      </c>
      <c r="J1546" s="15" t="s">
        <v>9676</v>
      </c>
      <c r="K1546" s="15" t="s">
        <v>25558</v>
      </c>
      <c r="L1546" s="15" t="s">
        <v>4684</v>
      </c>
      <c r="M1546" s="15" t="s">
        <v>29613</v>
      </c>
      <c r="N1546" s="15" t="s">
        <v>147</v>
      </c>
      <c r="O1546" s="17">
        <v>11.55</v>
      </c>
      <c r="P1546" s="15" t="s">
        <v>148</v>
      </c>
      <c r="Q1546" s="15" t="s">
        <v>149</v>
      </c>
      <c r="R1546" s="15" t="s">
        <v>174</v>
      </c>
      <c r="S1546" s="15" t="s">
        <v>29614</v>
      </c>
      <c r="T1546" s="18">
        <v>5</v>
      </c>
      <c r="U1546" s="15" t="s">
        <v>29615</v>
      </c>
      <c r="V1546" s="15" t="s">
        <v>138</v>
      </c>
      <c r="W1546" s="15" t="s">
        <v>138</v>
      </c>
      <c r="X1546" s="19">
        <v>2013</v>
      </c>
      <c r="Y1546" s="15" t="s">
        <v>138</v>
      </c>
      <c r="Z1546" s="15" t="s">
        <v>138</v>
      </c>
      <c r="AA1546" s="15" t="s">
        <v>138</v>
      </c>
      <c r="AB1546" s="20" t="s">
        <v>138</v>
      </c>
      <c r="AC1546" s="20" t="s">
        <v>138</v>
      </c>
      <c r="AD1546" s="20" t="s">
        <v>138</v>
      </c>
      <c r="AE1546" s="20" t="s">
        <v>138</v>
      </c>
      <c r="AF1546" s="20" t="s">
        <v>138</v>
      </c>
      <c r="AG1546" s="15" t="s">
        <v>138</v>
      </c>
      <c r="AH1546" s="20" t="s">
        <v>138</v>
      </c>
      <c r="AI1546" s="20" t="s">
        <v>138</v>
      </c>
      <c r="AJ1546" s="20" t="s">
        <v>138</v>
      </c>
      <c r="AK1546" s="15" t="s">
        <v>29616</v>
      </c>
      <c r="AL1546" s="15" t="s">
        <v>29617</v>
      </c>
      <c r="AM1546" s="15" t="s">
        <v>221</v>
      </c>
      <c r="AN1546" s="15" t="s">
        <v>29618</v>
      </c>
      <c r="AO1546" s="15" t="s">
        <v>138</v>
      </c>
      <c r="AP1546" s="15" t="s">
        <v>665</v>
      </c>
      <c r="AQ1546" s="15" t="s">
        <v>29619</v>
      </c>
      <c r="AR1546" s="15" t="s">
        <v>29620</v>
      </c>
      <c r="AS1546" s="15" t="s">
        <v>668</v>
      </c>
      <c r="AT1546" s="15" t="s">
        <v>200</v>
      </c>
      <c r="AU1546" s="15" t="s">
        <v>29621</v>
      </c>
      <c r="AV1546" s="15" t="s">
        <v>162</v>
      </c>
      <c r="AW1546" s="15" t="s">
        <v>138</v>
      </c>
      <c r="AX1546" s="15" t="s">
        <v>138</v>
      </c>
      <c r="AY1546" s="15" t="s">
        <v>29622</v>
      </c>
      <c r="AZ1546" s="15" t="s">
        <v>164</v>
      </c>
      <c r="BA1546" s="15" t="s">
        <v>165</v>
      </c>
      <c r="BB1546" s="15" t="s">
        <v>29623</v>
      </c>
      <c r="BC1546" s="15" t="s">
        <v>29624</v>
      </c>
      <c r="BD1546" s="21">
        <v>12</v>
      </c>
      <c r="BE1546" s="15" t="s">
        <v>138</v>
      </c>
      <c r="BF1546" s="15" t="s">
        <v>138</v>
      </c>
      <c r="BG1546" s="15" t="s">
        <v>138</v>
      </c>
      <c r="BH1546" s="15" t="s">
        <v>29625</v>
      </c>
      <c r="BI1546" s="15" t="s">
        <v>138</v>
      </c>
      <c r="BJ1546" s="15" t="s">
        <v>138</v>
      </c>
      <c r="BK1546" s="15" t="s">
        <v>3482</v>
      </c>
      <c r="BL1546" s="15" t="s">
        <v>3482</v>
      </c>
      <c r="BM1546" s="22">
        <v>41593</v>
      </c>
      <c r="BN1546" s="17" t="s">
        <v>138</v>
      </c>
      <c r="BO1546" s="15" t="s">
        <v>138</v>
      </c>
      <c r="BP1546" s="17" t="s">
        <v>138</v>
      </c>
      <c r="BQ1546" s="15" t="s">
        <v>138</v>
      </c>
      <c r="BR1546" s="15" t="s">
        <v>205</v>
      </c>
      <c r="BS1546" s="15" t="s">
        <v>138</v>
      </c>
      <c r="BT1546" s="15" t="s">
        <v>138</v>
      </c>
      <c r="BU1546" s="15" t="s">
        <v>174</v>
      </c>
      <c r="BV1546" s="15" t="s">
        <v>138</v>
      </c>
      <c r="BW1546" s="15" t="s">
        <v>138</v>
      </c>
      <c r="BX1546" s="15" t="s">
        <v>138</v>
      </c>
      <c r="BY1546" s="15" t="s">
        <v>175</v>
      </c>
      <c r="BZ1546" s="22">
        <v>43282</v>
      </c>
      <c r="CA1546" s="17">
        <v>7.25</v>
      </c>
      <c r="CB1546" s="15" t="s">
        <v>172</v>
      </c>
      <c r="CC1546" s="17">
        <v>32.25</v>
      </c>
      <c r="CD1546" s="15" t="s">
        <v>172</v>
      </c>
      <c r="CE1546" s="15" t="s">
        <v>205</v>
      </c>
      <c r="CF1546" s="15" t="s">
        <v>720</v>
      </c>
      <c r="CG1546" s="15" t="s">
        <v>138</v>
      </c>
      <c r="CH1546" s="15" t="s">
        <v>174</v>
      </c>
      <c r="CI1546" s="15" t="s">
        <v>138</v>
      </c>
      <c r="CJ1546" s="15" t="s">
        <v>138</v>
      </c>
      <c r="CK1546" s="15" t="s">
        <v>138</v>
      </c>
      <c r="CL1546" s="15" t="s">
        <v>175</v>
      </c>
      <c r="CM1546" s="22" t="s">
        <v>138</v>
      </c>
      <c r="CN1546" s="17" t="s">
        <v>138</v>
      </c>
      <c r="CO1546" s="23">
        <v>0</v>
      </c>
      <c r="CP1546" s="24">
        <v>26</v>
      </c>
      <c r="CQ1546" s="23">
        <v>0</v>
      </c>
      <c r="CR1546" s="23">
        <v>0</v>
      </c>
      <c r="CS1546" s="23">
        <v>0</v>
      </c>
      <c r="CT1546" s="24">
        <v>23</v>
      </c>
      <c r="CU1546" s="23" t="s">
        <v>138</v>
      </c>
      <c r="CV1546" s="24" t="s">
        <v>138</v>
      </c>
      <c r="CW1546" s="23">
        <v>0</v>
      </c>
      <c r="CX1546" s="24">
        <v>13</v>
      </c>
      <c r="CY1546" s="23">
        <v>0</v>
      </c>
      <c r="CZ1546" s="24">
        <v>25</v>
      </c>
      <c r="DA1546" s="23" t="s">
        <v>138</v>
      </c>
      <c r="DB1546" s="24" t="s">
        <v>138</v>
      </c>
      <c r="DC1546" s="25">
        <v>0.39</v>
      </c>
      <c r="DD1546" s="24">
        <v>28</v>
      </c>
      <c r="DE1546" s="25">
        <v>-0.03</v>
      </c>
      <c r="DF1546" s="23">
        <v>-7.15</v>
      </c>
      <c r="DG1546" s="25">
        <v>0.39</v>
      </c>
      <c r="DH1546" s="24">
        <v>29</v>
      </c>
      <c r="DI1546" s="25" t="s">
        <v>138</v>
      </c>
      <c r="DJ1546" s="24" t="s">
        <v>138</v>
      </c>
      <c r="DK1546" s="25">
        <v>0.47</v>
      </c>
      <c r="DL1546" s="24">
        <v>34</v>
      </c>
      <c r="DM1546" s="25">
        <v>0.31</v>
      </c>
      <c r="DN1546" s="24">
        <v>24</v>
      </c>
      <c r="DO1546" s="25" t="s">
        <v>138</v>
      </c>
      <c r="DP1546" s="24" t="s">
        <v>138</v>
      </c>
      <c r="DQ1546" s="24">
        <v>167</v>
      </c>
      <c r="DR1546" s="26">
        <v>-21</v>
      </c>
      <c r="DS1546" s="23">
        <v>-11.17</v>
      </c>
      <c r="DT1546" s="24">
        <v>9</v>
      </c>
      <c r="DU1546" s="26">
        <v>1</v>
      </c>
      <c r="DV1546" s="23">
        <v>12.5</v>
      </c>
      <c r="DW1546" s="24" t="s">
        <v>138</v>
      </c>
      <c r="DX1546" s="27" t="s">
        <v>138</v>
      </c>
      <c r="DY1546" s="23" t="s">
        <v>138</v>
      </c>
      <c r="DZ1546" s="15" t="s">
        <v>178</v>
      </c>
      <c r="EA1546" s="22">
        <v>43622</v>
      </c>
      <c r="EB1546" s="17">
        <v>32.25</v>
      </c>
      <c r="EC1546" s="22">
        <v>43282</v>
      </c>
      <c r="ED1546" s="15" t="s">
        <v>205</v>
      </c>
      <c r="EE1546" s="14" t="str">
        <f>HYPERLINK("https://my.pitchbook.com?c=60304-15", "View company online")</f>
        <v>View company online</v>
      </c>
    </row>
    <row r="1547" spans="1:135">
      <c r="A1547" s="28" t="s">
        <v>29626</v>
      </c>
      <c r="B1547" s="28" t="s">
        <v>29627</v>
      </c>
      <c r="C1547" s="28" t="s">
        <v>138</v>
      </c>
      <c r="D1547" s="28" t="s">
        <v>138</v>
      </c>
      <c r="E1547" s="28" t="s">
        <v>29628</v>
      </c>
      <c r="F1547" s="28" t="s">
        <v>29626</v>
      </c>
      <c r="G1547" s="28" t="s">
        <v>29629</v>
      </c>
      <c r="H1547" s="28" t="s">
        <v>5219</v>
      </c>
      <c r="I1547" s="28" t="s">
        <v>6415</v>
      </c>
      <c r="J1547" s="28" t="s">
        <v>6416</v>
      </c>
      <c r="K1547" s="28" t="s">
        <v>29630</v>
      </c>
      <c r="L1547" s="28" t="s">
        <v>1994</v>
      </c>
      <c r="M1547" s="28" t="s">
        <v>29631</v>
      </c>
      <c r="N1547" s="28" t="s">
        <v>147</v>
      </c>
      <c r="O1547" s="29">
        <v>59.11</v>
      </c>
      <c r="P1547" s="28" t="s">
        <v>148</v>
      </c>
      <c r="Q1547" s="28" t="s">
        <v>149</v>
      </c>
      <c r="R1547" s="28" t="s">
        <v>328</v>
      </c>
      <c r="S1547" s="28" t="s">
        <v>29632</v>
      </c>
      <c r="T1547" s="30" t="s">
        <v>138</v>
      </c>
      <c r="U1547" s="28" t="s">
        <v>138</v>
      </c>
      <c r="V1547" s="28" t="s">
        <v>138</v>
      </c>
      <c r="W1547" s="28" t="s">
        <v>138</v>
      </c>
      <c r="X1547" s="31">
        <v>2003</v>
      </c>
      <c r="Y1547" s="28" t="s">
        <v>138</v>
      </c>
      <c r="Z1547" s="28" t="s">
        <v>138</v>
      </c>
      <c r="AA1547" s="28" t="s">
        <v>138</v>
      </c>
      <c r="AB1547" s="32" t="s">
        <v>138</v>
      </c>
      <c r="AC1547" s="32" t="s">
        <v>138</v>
      </c>
      <c r="AD1547" s="32" t="s">
        <v>138</v>
      </c>
      <c r="AE1547" s="32" t="s">
        <v>138</v>
      </c>
      <c r="AF1547" s="32" t="s">
        <v>138</v>
      </c>
      <c r="AG1547" s="28" t="s">
        <v>138</v>
      </c>
      <c r="AH1547" s="32" t="s">
        <v>138</v>
      </c>
      <c r="AI1547" s="32" t="s">
        <v>138</v>
      </c>
      <c r="AJ1547" s="32" t="s">
        <v>138</v>
      </c>
      <c r="AK1547" s="28" t="s">
        <v>29633</v>
      </c>
      <c r="AL1547" s="28" t="s">
        <v>29634</v>
      </c>
      <c r="AM1547" s="28" t="s">
        <v>17935</v>
      </c>
      <c r="AN1547" s="28" t="s">
        <v>29635</v>
      </c>
      <c r="AO1547" s="28" t="s">
        <v>29636</v>
      </c>
      <c r="AP1547" s="28" t="s">
        <v>29637</v>
      </c>
      <c r="AQ1547" s="28" t="s">
        <v>29638</v>
      </c>
      <c r="AR1547" s="28" t="s">
        <v>29639</v>
      </c>
      <c r="AS1547" s="28" t="s">
        <v>29640</v>
      </c>
      <c r="AT1547" s="28" t="s">
        <v>138</v>
      </c>
      <c r="AU1547" s="28" t="s">
        <v>29641</v>
      </c>
      <c r="AV1547" s="28" t="s">
        <v>946</v>
      </c>
      <c r="AW1547" s="28" t="s">
        <v>29636</v>
      </c>
      <c r="AX1547" s="28" t="s">
        <v>29642</v>
      </c>
      <c r="AY1547" s="28" t="s">
        <v>29643</v>
      </c>
      <c r="AZ1547" s="28" t="s">
        <v>530</v>
      </c>
      <c r="BA1547" s="28" t="s">
        <v>531</v>
      </c>
      <c r="BB1547" s="28" t="s">
        <v>29644</v>
      </c>
      <c r="BC1547" s="28" t="s">
        <v>29645</v>
      </c>
      <c r="BD1547" s="33">
        <v>9</v>
      </c>
      <c r="BE1547" s="28" t="s">
        <v>138</v>
      </c>
      <c r="BF1547" s="28" t="s">
        <v>29646</v>
      </c>
      <c r="BG1547" s="28" t="s">
        <v>138</v>
      </c>
      <c r="BH1547" s="28" t="s">
        <v>29647</v>
      </c>
      <c r="BI1547" s="28" t="s">
        <v>29648</v>
      </c>
      <c r="BJ1547" s="28" t="s">
        <v>138</v>
      </c>
      <c r="BK1547" s="28" t="s">
        <v>138</v>
      </c>
      <c r="BL1547" s="28" t="s">
        <v>26835</v>
      </c>
      <c r="BM1547" s="34" t="s">
        <v>138</v>
      </c>
      <c r="BN1547" s="29" t="s">
        <v>138</v>
      </c>
      <c r="BO1547" s="28" t="s">
        <v>138</v>
      </c>
      <c r="BP1547" s="29" t="s">
        <v>138</v>
      </c>
      <c r="BQ1547" s="28" t="s">
        <v>138</v>
      </c>
      <c r="BR1547" s="28" t="s">
        <v>205</v>
      </c>
      <c r="BS1547" s="28" t="s">
        <v>138</v>
      </c>
      <c r="BT1547" s="28" t="s">
        <v>138</v>
      </c>
      <c r="BU1547" s="28" t="s">
        <v>174</v>
      </c>
      <c r="BV1547" s="28" t="s">
        <v>138</v>
      </c>
      <c r="BW1547" s="28" t="s">
        <v>138</v>
      </c>
      <c r="BX1547" s="28" t="s">
        <v>138</v>
      </c>
      <c r="BY1547" s="28" t="s">
        <v>175</v>
      </c>
      <c r="BZ1547" s="34">
        <v>43598</v>
      </c>
      <c r="CA1547" s="29">
        <v>25</v>
      </c>
      <c r="CB1547" s="28" t="s">
        <v>172</v>
      </c>
      <c r="CC1547" s="29" t="s">
        <v>138</v>
      </c>
      <c r="CD1547" s="28" t="s">
        <v>138</v>
      </c>
      <c r="CE1547" s="28" t="s">
        <v>173</v>
      </c>
      <c r="CF1547" s="28" t="s">
        <v>317</v>
      </c>
      <c r="CG1547" s="28" t="s">
        <v>138</v>
      </c>
      <c r="CH1547" s="28" t="s">
        <v>174</v>
      </c>
      <c r="CI1547" s="28" t="s">
        <v>138</v>
      </c>
      <c r="CJ1547" s="28" t="s">
        <v>138</v>
      </c>
      <c r="CK1547" s="28" t="s">
        <v>138</v>
      </c>
      <c r="CL1547" s="28" t="s">
        <v>175</v>
      </c>
      <c r="CM1547" s="34" t="s">
        <v>138</v>
      </c>
      <c r="CN1547" s="29" t="s">
        <v>138</v>
      </c>
      <c r="CO1547" s="35">
        <v>0.02</v>
      </c>
      <c r="CP1547" s="36">
        <v>85</v>
      </c>
      <c r="CQ1547" s="35">
        <v>0.02</v>
      </c>
      <c r="CR1547" s="35">
        <v>11919.22</v>
      </c>
      <c r="CS1547" s="35">
        <v>-1.45</v>
      </c>
      <c r="CT1547" s="36">
        <v>12</v>
      </c>
      <c r="CU1547" s="35">
        <v>1.49</v>
      </c>
      <c r="CV1547" s="36">
        <v>99</v>
      </c>
      <c r="CW1547" s="35" t="s">
        <v>138</v>
      </c>
      <c r="CX1547" s="36" t="s">
        <v>138</v>
      </c>
      <c r="CY1547" s="35">
        <v>-1.45</v>
      </c>
      <c r="CZ1547" s="36">
        <v>15</v>
      </c>
      <c r="DA1547" s="35">
        <v>2.33</v>
      </c>
      <c r="DB1547" s="36">
        <v>100</v>
      </c>
      <c r="DC1547" s="37">
        <v>7.2</v>
      </c>
      <c r="DD1547" s="36">
        <v>87</v>
      </c>
      <c r="DE1547" s="37">
        <v>-0.02</v>
      </c>
      <c r="DF1547" s="35">
        <v>-0.23</v>
      </c>
      <c r="DG1547" s="37">
        <v>14.14</v>
      </c>
      <c r="DH1547" s="36">
        <v>92</v>
      </c>
      <c r="DI1547" s="37">
        <v>0.27</v>
      </c>
      <c r="DJ1547" s="36">
        <v>26</v>
      </c>
      <c r="DK1547" s="37" t="s">
        <v>138</v>
      </c>
      <c r="DL1547" s="36" t="s">
        <v>138</v>
      </c>
      <c r="DM1547" s="37">
        <v>14.14</v>
      </c>
      <c r="DN1547" s="36">
        <v>92</v>
      </c>
      <c r="DO1547" s="37">
        <v>0.37</v>
      </c>
      <c r="DP1547" s="36">
        <v>33</v>
      </c>
      <c r="DQ1547" s="36" t="s">
        <v>138</v>
      </c>
      <c r="DR1547" s="38" t="s">
        <v>138</v>
      </c>
      <c r="DS1547" s="35" t="s">
        <v>138</v>
      </c>
      <c r="DT1547" s="36">
        <v>410</v>
      </c>
      <c r="DU1547" s="38">
        <v>-1</v>
      </c>
      <c r="DV1547" s="35">
        <v>-0.24</v>
      </c>
      <c r="DW1547" s="36">
        <v>131</v>
      </c>
      <c r="DX1547" s="39">
        <v>1</v>
      </c>
      <c r="DY1547" s="35">
        <v>0.77</v>
      </c>
      <c r="DZ1547" s="28" t="s">
        <v>178</v>
      </c>
      <c r="EA1547" s="34">
        <v>43622</v>
      </c>
      <c r="EB1547" s="29" t="s">
        <v>138</v>
      </c>
      <c r="EC1547" s="34" t="s">
        <v>138</v>
      </c>
      <c r="ED1547" s="28" t="s">
        <v>138</v>
      </c>
      <c r="EE1547" s="40" t="str">
        <f>HYPERLINK("https://my.pitchbook.com?c=56858-23", "View company online")</f>
        <v>View company online</v>
      </c>
    </row>
    <row r="1548" spans="1:135">
      <c r="A1548" s="15" t="s">
        <v>29649</v>
      </c>
      <c r="B1548" s="15" t="s">
        <v>29650</v>
      </c>
      <c r="C1548" s="15" t="s">
        <v>29651</v>
      </c>
      <c r="D1548" s="15" t="s">
        <v>138</v>
      </c>
      <c r="E1548" s="15" t="s">
        <v>29652</v>
      </c>
      <c r="F1548" s="15" t="s">
        <v>29649</v>
      </c>
      <c r="G1548" s="15" t="s">
        <v>29653</v>
      </c>
      <c r="H1548" s="15" t="s">
        <v>322</v>
      </c>
      <c r="I1548" s="15" t="s">
        <v>323</v>
      </c>
      <c r="J1548" s="15" t="s">
        <v>1084</v>
      </c>
      <c r="K1548" s="15" t="s">
        <v>29654</v>
      </c>
      <c r="L1548" s="15" t="s">
        <v>29655</v>
      </c>
      <c r="M1548" s="15" t="s">
        <v>29656</v>
      </c>
      <c r="N1548" s="15" t="s">
        <v>147</v>
      </c>
      <c r="O1548" s="17">
        <v>115</v>
      </c>
      <c r="P1548" s="15" t="s">
        <v>148</v>
      </c>
      <c r="Q1548" s="15" t="s">
        <v>149</v>
      </c>
      <c r="R1548" s="15" t="s">
        <v>174</v>
      </c>
      <c r="S1548" s="15" t="s">
        <v>29657</v>
      </c>
      <c r="T1548" s="18">
        <v>40</v>
      </c>
      <c r="U1548" s="15" t="s">
        <v>29658</v>
      </c>
      <c r="V1548" s="15" t="s">
        <v>138</v>
      </c>
      <c r="W1548" s="15" t="s">
        <v>138</v>
      </c>
      <c r="X1548" s="19">
        <v>2012</v>
      </c>
      <c r="Y1548" s="15" t="s">
        <v>138</v>
      </c>
      <c r="Z1548" s="15" t="s">
        <v>138</v>
      </c>
      <c r="AA1548" s="15" t="s">
        <v>138</v>
      </c>
      <c r="AB1548" s="20">
        <v>10</v>
      </c>
      <c r="AC1548" s="20" t="s">
        <v>138</v>
      </c>
      <c r="AD1548" s="20" t="s">
        <v>138</v>
      </c>
      <c r="AE1548" s="20" t="s">
        <v>138</v>
      </c>
      <c r="AF1548" s="20" t="s">
        <v>138</v>
      </c>
      <c r="AG1548" s="15" t="s">
        <v>514</v>
      </c>
      <c r="AH1548" s="20" t="s">
        <v>138</v>
      </c>
      <c r="AI1548" s="20" t="s">
        <v>138</v>
      </c>
      <c r="AJ1548" s="20" t="s">
        <v>138</v>
      </c>
      <c r="AK1548" s="15" t="s">
        <v>29659</v>
      </c>
      <c r="AL1548" s="15" t="s">
        <v>29660</v>
      </c>
      <c r="AM1548" s="15" t="s">
        <v>566</v>
      </c>
      <c r="AN1548" s="15" t="s">
        <v>29661</v>
      </c>
      <c r="AO1548" s="15" t="s">
        <v>138</v>
      </c>
      <c r="AP1548" s="15" t="s">
        <v>1168</v>
      </c>
      <c r="AQ1548" s="15" t="s">
        <v>29662</v>
      </c>
      <c r="AR1548" s="15" t="s">
        <v>138</v>
      </c>
      <c r="AS1548" s="15" t="s">
        <v>1171</v>
      </c>
      <c r="AT1548" s="15" t="s">
        <v>200</v>
      </c>
      <c r="AU1548" s="15" t="s">
        <v>4152</v>
      </c>
      <c r="AV1548" s="15" t="s">
        <v>162</v>
      </c>
      <c r="AW1548" s="15" t="s">
        <v>138</v>
      </c>
      <c r="AX1548" s="15" t="s">
        <v>138</v>
      </c>
      <c r="AY1548" s="15" t="s">
        <v>29663</v>
      </c>
      <c r="AZ1548" s="15" t="s">
        <v>164</v>
      </c>
      <c r="BA1548" s="15" t="s">
        <v>165</v>
      </c>
      <c r="BB1548" s="15" t="s">
        <v>29664</v>
      </c>
      <c r="BC1548" s="15" t="s">
        <v>29665</v>
      </c>
      <c r="BD1548" s="21">
        <v>16</v>
      </c>
      <c r="BE1548" s="15" t="s">
        <v>138</v>
      </c>
      <c r="BF1548" s="15" t="s">
        <v>138</v>
      </c>
      <c r="BG1548" s="15" t="s">
        <v>138</v>
      </c>
      <c r="BH1548" s="15" t="s">
        <v>29666</v>
      </c>
      <c r="BI1548" s="15" t="s">
        <v>138</v>
      </c>
      <c r="BJ1548" s="15" t="s">
        <v>138</v>
      </c>
      <c r="BK1548" s="15" t="s">
        <v>29667</v>
      </c>
      <c r="BL1548" s="15" t="s">
        <v>5213</v>
      </c>
      <c r="BM1548" s="22">
        <v>41535</v>
      </c>
      <c r="BN1548" s="17">
        <v>6.95</v>
      </c>
      <c r="BO1548" s="15" t="s">
        <v>172</v>
      </c>
      <c r="BP1548" s="17">
        <v>19.54</v>
      </c>
      <c r="BQ1548" s="15" t="s">
        <v>172</v>
      </c>
      <c r="BR1548" s="15" t="s">
        <v>205</v>
      </c>
      <c r="BS1548" s="15" t="s">
        <v>206</v>
      </c>
      <c r="BT1548" s="15" t="s">
        <v>138</v>
      </c>
      <c r="BU1548" s="15" t="s">
        <v>174</v>
      </c>
      <c r="BV1548" s="15" t="s">
        <v>138</v>
      </c>
      <c r="BW1548" s="15" t="s">
        <v>138</v>
      </c>
      <c r="BX1548" s="15" t="s">
        <v>138</v>
      </c>
      <c r="BY1548" s="15" t="s">
        <v>175</v>
      </c>
      <c r="BZ1548" s="22">
        <v>42086</v>
      </c>
      <c r="CA1548" s="17">
        <v>80</v>
      </c>
      <c r="CB1548" s="15" t="s">
        <v>172</v>
      </c>
      <c r="CC1548" s="17">
        <v>640</v>
      </c>
      <c r="CD1548" s="15" t="s">
        <v>172</v>
      </c>
      <c r="CE1548" s="15" t="s">
        <v>173</v>
      </c>
      <c r="CF1548" s="15" t="s">
        <v>317</v>
      </c>
      <c r="CG1548" s="15" t="s">
        <v>138</v>
      </c>
      <c r="CH1548" s="15" t="s">
        <v>174</v>
      </c>
      <c r="CI1548" s="15" t="s">
        <v>138</v>
      </c>
      <c r="CJ1548" s="15" t="s">
        <v>138</v>
      </c>
      <c r="CK1548" s="15" t="s">
        <v>138</v>
      </c>
      <c r="CL1548" s="15" t="s">
        <v>175</v>
      </c>
      <c r="CM1548" s="22" t="s">
        <v>138</v>
      </c>
      <c r="CN1548" s="17" t="s">
        <v>138</v>
      </c>
      <c r="CO1548" s="23">
        <v>-0.78</v>
      </c>
      <c r="CP1548" s="24">
        <v>13</v>
      </c>
      <c r="CQ1548" s="23">
        <v>-0.04</v>
      </c>
      <c r="CR1548" s="23">
        <v>-5.21</v>
      </c>
      <c r="CS1548" s="23">
        <v>-1.49</v>
      </c>
      <c r="CT1548" s="24">
        <v>12</v>
      </c>
      <c r="CU1548" s="23">
        <v>-0.08</v>
      </c>
      <c r="CV1548" s="24">
        <v>5</v>
      </c>
      <c r="CW1548" s="23">
        <v>-1.72</v>
      </c>
      <c r="CX1548" s="24">
        <v>8</v>
      </c>
      <c r="CY1548" s="23">
        <v>-1.26</v>
      </c>
      <c r="CZ1548" s="24">
        <v>17</v>
      </c>
      <c r="DA1548" s="23">
        <v>-0.09</v>
      </c>
      <c r="DB1548" s="24">
        <v>7</v>
      </c>
      <c r="DC1548" s="25">
        <v>115.25</v>
      </c>
      <c r="DD1548" s="24">
        <v>99</v>
      </c>
      <c r="DE1548" s="25">
        <v>0.34</v>
      </c>
      <c r="DF1548" s="23">
        <v>0.3</v>
      </c>
      <c r="DG1548" s="25">
        <v>3.61</v>
      </c>
      <c r="DH1548" s="24">
        <v>78</v>
      </c>
      <c r="DI1548" s="25">
        <v>226.88</v>
      </c>
      <c r="DJ1548" s="24">
        <v>99</v>
      </c>
      <c r="DK1548" s="25">
        <v>2.13</v>
      </c>
      <c r="DL1548" s="24">
        <v>65</v>
      </c>
      <c r="DM1548" s="25">
        <v>5.0999999999999996</v>
      </c>
      <c r="DN1548" s="24">
        <v>82</v>
      </c>
      <c r="DO1548" s="25">
        <v>377.56</v>
      </c>
      <c r="DP1548" s="24">
        <v>100</v>
      </c>
      <c r="DQ1548" s="24">
        <v>764</v>
      </c>
      <c r="DR1548" s="26">
        <v>-107</v>
      </c>
      <c r="DS1548" s="23">
        <v>-12.28</v>
      </c>
      <c r="DT1548" s="24">
        <v>148</v>
      </c>
      <c r="DU1548" s="26">
        <v>-1</v>
      </c>
      <c r="DV1548" s="23">
        <v>-0.67</v>
      </c>
      <c r="DW1548" s="24">
        <v>135217</v>
      </c>
      <c r="DX1548" s="27">
        <v>-135</v>
      </c>
      <c r="DY1548" s="23">
        <v>-0.1</v>
      </c>
      <c r="DZ1548" s="15" t="s">
        <v>178</v>
      </c>
      <c r="EA1548" s="22">
        <v>43351</v>
      </c>
      <c r="EB1548" s="17">
        <v>640</v>
      </c>
      <c r="EC1548" s="22">
        <v>42086</v>
      </c>
      <c r="ED1548" s="15" t="s">
        <v>173</v>
      </c>
      <c r="EE1548" s="14" t="str">
        <f>HYPERLINK("https://my.pitchbook.com?c=59097-07", "View company online")</f>
        <v>View company online</v>
      </c>
    </row>
    <row r="1549" spans="1:135">
      <c r="A1549" s="28" t="s">
        <v>29668</v>
      </c>
      <c r="B1549" s="28" t="s">
        <v>29669</v>
      </c>
      <c r="C1549" s="28" t="s">
        <v>138</v>
      </c>
      <c r="D1549" s="28" t="s">
        <v>138</v>
      </c>
      <c r="E1549" s="28" t="s">
        <v>138</v>
      </c>
      <c r="F1549" s="28" t="s">
        <v>29668</v>
      </c>
      <c r="G1549" s="28" t="s">
        <v>29670</v>
      </c>
      <c r="H1549" s="28" t="s">
        <v>322</v>
      </c>
      <c r="I1549" s="28" t="s">
        <v>323</v>
      </c>
      <c r="J1549" s="28" t="s">
        <v>461</v>
      </c>
      <c r="K1549" s="28" t="s">
        <v>29671</v>
      </c>
      <c r="L1549" s="28" t="s">
        <v>29226</v>
      </c>
      <c r="M1549" s="28" t="s">
        <v>29672</v>
      </c>
      <c r="N1549" s="28" t="s">
        <v>147</v>
      </c>
      <c r="O1549" s="29">
        <v>5.5</v>
      </c>
      <c r="P1549" s="28" t="s">
        <v>610</v>
      </c>
      <c r="Q1549" s="28" t="s">
        <v>149</v>
      </c>
      <c r="R1549" s="28" t="s">
        <v>174</v>
      </c>
      <c r="S1549" s="28" t="s">
        <v>29673</v>
      </c>
      <c r="T1549" s="30">
        <v>11</v>
      </c>
      <c r="U1549" s="28" t="s">
        <v>29674</v>
      </c>
      <c r="V1549" s="28" t="s">
        <v>138</v>
      </c>
      <c r="W1549" s="28" t="s">
        <v>138</v>
      </c>
      <c r="X1549" s="31">
        <v>2017</v>
      </c>
      <c r="Y1549" s="28" t="s">
        <v>138</v>
      </c>
      <c r="Z1549" s="28" t="s">
        <v>138</v>
      </c>
      <c r="AA1549" s="28" t="s">
        <v>138</v>
      </c>
      <c r="AB1549" s="32" t="s">
        <v>138</v>
      </c>
      <c r="AC1549" s="32" t="s">
        <v>138</v>
      </c>
      <c r="AD1549" s="32" t="s">
        <v>138</v>
      </c>
      <c r="AE1549" s="32" t="s">
        <v>138</v>
      </c>
      <c r="AF1549" s="32" t="s">
        <v>138</v>
      </c>
      <c r="AG1549" s="28" t="s">
        <v>138</v>
      </c>
      <c r="AH1549" s="32" t="s">
        <v>138</v>
      </c>
      <c r="AI1549" s="32" t="s">
        <v>138</v>
      </c>
      <c r="AJ1549" s="32" t="s">
        <v>138</v>
      </c>
      <c r="AK1549" s="28" t="s">
        <v>29675</v>
      </c>
      <c r="AL1549" s="28" t="s">
        <v>29676</v>
      </c>
      <c r="AM1549" s="28" t="s">
        <v>221</v>
      </c>
      <c r="AN1549" s="28" t="s">
        <v>29677</v>
      </c>
      <c r="AO1549" s="28" t="s">
        <v>29678</v>
      </c>
      <c r="AP1549" s="28" t="s">
        <v>423</v>
      </c>
      <c r="AQ1549" s="28" t="s">
        <v>8280</v>
      </c>
      <c r="AR1549" s="28" t="s">
        <v>19780</v>
      </c>
      <c r="AS1549" s="28" t="s">
        <v>426</v>
      </c>
      <c r="AT1549" s="28" t="s">
        <v>426</v>
      </c>
      <c r="AU1549" s="28" t="s">
        <v>1074</v>
      </c>
      <c r="AV1549" s="28" t="s">
        <v>162</v>
      </c>
      <c r="AW1549" s="28" t="s">
        <v>29678</v>
      </c>
      <c r="AX1549" s="28" t="s">
        <v>138</v>
      </c>
      <c r="AY1549" s="28" t="s">
        <v>29679</v>
      </c>
      <c r="AZ1549" s="28" t="s">
        <v>164</v>
      </c>
      <c r="BA1549" s="28" t="s">
        <v>165</v>
      </c>
      <c r="BB1549" s="28" t="s">
        <v>29680</v>
      </c>
      <c r="BC1549" s="28" t="s">
        <v>29681</v>
      </c>
      <c r="BD1549" s="33">
        <v>7</v>
      </c>
      <c r="BE1549" s="28" t="s">
        <v>138</v>
      </c>
      <c r="BF1549" s="28" t="s">
        <v>138</v>
      </c>
      <c r="BG1549" s="28" t="s">
        <v>138</v>
      </c>
      <c r="BH1549" s="28" t="s">
        <v>29682</v>
      </c>
      <c r="BI1549" s="28" t="s">
        <v>138</v>
      </c>
      <c r="BJ1549" s="28" t="s">
        <v>138</v>
      </c>
      <c r="BK1549" s="28" t="s">
        <v>29683</v>
      </c>
      <c r="BL1549" s="28" t="s">
        <v>29684</v>
      </c>
      <c r="BM1549" s="34">
        <v>42821</v>
      </c>
      <c r="BN1549" s="29" t="s">
        <v>138</v>
      </c>
      <c r="BO1549" s="28" t="s">
        <v>138</v>
      </c>
      <c r="BP1549" s="29" t="s">
        <v>138</v>
      </c>
      <c r="BQ1549" s="28" t="s">
        <v>138</v>
      </c>
      <c r="BR1549" s="28" t="s">
        <v>316</v>
      </c>
      <c r="BS1549" s="28" t="s">
        <v>138</v>
      </c>
      <c r="BT1549" s="28" t="s">
        <v>138</v>
      </c>
      <c r="BU1549" s="28" t="s">
        <v>177</v>
      </c>
      <c r="BV1549" s="28" t="s">
        <v>138</v>
      </c>
      <c r="BW1549" s="28" t="s">
        <v>138</v>
      </c>
      <c r="BX1549" s="28" t="s">
        <v>138</v>
      </c>
      <c r="BY1549" s="28" t="s">
        <v>175</v>
      </c>
      <c r="BZ1549" s="34">
        <v>43347</v>
      </c>
      <c r="CA1549" s="29">
        <v>4.25</v>
      </c>
      <c r="CB1549" s="28" t="s">
        <v>172</v>
      </c>
      <c r="CC1549" s="29">
        <v>16.25</v>
      </c>
      <c r="CD1549" s="28" t="s">
        <v>172</v>
      </c>
      <c r="CE1549" s="28" t="s">
        <v>234</v>
      </c>
      <c r="CF1549" s="28" t="s">
        <v>234</v>
      </c>
      <c r="CG1549" s="28" t="s">
        <v>138</v>
      </c>
      <c r="CH1549" s="28" t="s">
        <v>174</v>
      </c>
      <c r="CI1549" s="28" t="s">
        <v>138</v>
      </c>
      <c r="CJ1549" s="28" t="s">
        <v>138</v>
      </c>
      <c r="CK1549" s="28" t="s">
        <v>138</v>
      </c>
      <c r="CL1549" s="28" t="s">
        <v>175</v>
      </c>
      <c r="CM1549" s="34" t="s">
        <v>138</v>
      </c>
      <c r="CN1549" s="29" t="s">
        <v>138</v>
      </c>
      <c r="CO1549" s="35">
        <v>0</v>
      </c>
      <c r="CP1549" s="36">
        <v>26</v>
      </c>
      <c r="CQ1549" s="35">
        <v>0</v>
      </c>
      <c r="CR1549" s="35">
        <v>0</v>
      </c>
      <c r="CS1549" s="35">
        <v>0</v>
      </c>
      <c r="CT1549" s="36">
        <v>23</v>
      </c>
      <c r="CU1549" s="35">
        <v>0</v>
      </c>
      <c r="CV1549" s="36">
        <v>22</v>
      </c>
      <c r="CW1549" s="35" t="s">
        <v>138</v>
      </c>
      <c r="CX1549" s="36" t="s">
        <v>138</v>
      </c>
      <c r="CY1549" s="35">
        <v>0</v>
      </c>
      <c r="CZ1549" s="36">
        <v>25</v>
      </c>
      <c r="DA1549" s="35">
        <v>0</v>
      </c>
      <c r="DB1549" s="36">
        <v>22</v>
      </c>
      <c r="DC1549" s="37">
        <v>0.39</v>
      </c>
      <c r="DD1549" s="36">
        <v>28</v>
      </c>
      <c r="DE1549" s="37">
        <v>0</v>
      </c>
      <c r="DF1549" s="35">
        <v>0.45</v>
      </c>
      <c r="DG1549" s="37">
        <v>0.66</v>
      </c>
      <c r="DH1549" s="36">
        <v>41</v>
      </c>
      <c r="DI1549" s="37">
        <v>0.12</v>
      </c>
      <c r="DJ1549" s="36">
        <v>16</v>
      </c>
      <c r="DK1549" s="37" t="s">
        <v>138</v>
      </c>
      <c r="DL1549" s="36" t="s">
        <v>138</v>
      </c>
      <c r="DM1549" s="37">
        <v>0.66</v>
      </c>
      <c r="DN1549" s="36">
        <v>40</v>
      </c>
      <c r="DO1549" s="37">
        <v>0.12</v>
      </c>
      <c r="DP1549" s="36">
        <v>18</v>
      </c>
      <c r="DQ1549" s="36" t="s">
        <v>138</v>
      </c>
      <c r="DR1549" s="38" t="s">
        <v>138</v>
      </c>
      <c r="DS1549" s="35" t="s">
        <v>138</v>
      </c>
      <c r="DT1549" s="36">
        <v>19</v>
      </c>
      <c r="DU1549" s="38">
        <v>0</v>
      </c>
      <c r="DV1549" s="35">
        <v>0</v>
      </c>
      <c r="DW1549" s="36">
        <v>43</v>
      </c>
      <c r="DX1549" s="39">
        <v>1</v>
      </c>
      <c r="DY1549" s="35">
        <v>2.38</v>
      </c>
      <c r="DZ1549" s="28" t="s">
        <v>178</v>
      </c>
      <c r="EA1549" s="34">
        <v>43494</v>
      </c>
      <c r="EB1549" s="29">
        <v>16.25</v>
      </c>
      <c r="EC1549" s="34">
        <v>43347</v>
      </c>
      <c r="ED1549" s="28" t="s">
        <v>234</v>
      </c>
      <c r="EE1549" s="40" t="str">
        <f>HYPERLINK("https://my.pitchbook.com?c=182055-61", "View company online")</f>
        <v>View company online</v>
      </c>
    </row>
    <row r="1550" spans="1:135">
      <c r="A1550" s="15" t="s">
        <v>29685</v>
      </c>
      <c r="B1550" s="15" t="s">
        <v>29686</v>
      </c>
      <c r="C1550" s="15" t="s">
        <v>138</v>
      </c>
      <c r="D1550" s="15" t="s">
        <v>138</v>
      </c>
      <c r="E1550" s="15" t="s">
        <v>138</v>
      </c>
      <c r="F1550" s="15" t="s">
        <v>29685</v>
      </c>
      <c r="G1550" s="15" t="s">
        <v>29687</v>
      </c>
      <c r="H1550" s="15" t="s">
        <v>141</v>
      </c>
      <c r="I1550" s="15" t="s">
        <v>212</v>
      </c>
      <c r="J1550" s="15" t="s">
        <v>655</v>
      </c>
      <c r="K1550" s="15" t="s">
        <v>656</v>
      </c>
      <c r="L1550" s="15" t="s">
        <v>5412</v>
      </c>
      <c r="M1550" s="15" t="s">
        <v>29688</v>
      </c>
      <c r="N1550" s="15" t="s">
        <v>147</v>
      </c>
      <c r="O1550" s="17" t="s">
        <v>138</v>
      </c>
      <c r="P1550" s="15" t="s">
        <v>148</v>
      </c>
      <c r="Q1550" s="15" t="s">
        <v>149</v>
      </c>
      <c r="R1550" s="15" t="s">
        <v>174</v>
      </c>
      <c r="S1550" s="15" t="s">
        <v>29689</v>
      </c>
      <c r="T1550" s="18" t="s">
        <v>138</v>
      </c>
      <c r="U1550" s="15" t="s">
        <v>138</v>
      </c>
      <c r="V1550" s="15" t="s">
        <v>138</v>
      </c>
      <c r="W1550" s="15" t="s">
        <v>138</v>
      </c>
      <c r="X1550" s="19">
        <v>2011</v>
      </c>
      <c r="Y1550" s="15" t="s">
        <v>138</v>
      </c>
      <c r="Z1550" s="15" t="s">
        <v>138</v>
      </c>
      <c r="AA1550" s="15" t="s">
        <v>138</v>
      </c>
      <c r="AB1550" s="20" t="s">
        <v>138</v>
      </c>
      <c r="AC1550" s="20" t="s">
        <v>138</v>
      </c>
      <c r="AD1550" s="20" t="s">
        <v>138</v>
      </c>
      <c r="AE1550" s="20" t="s">
        <v>138</v>
      </c>
      <c r="AF1550" s="20" t="s">
        <v>138</v>
      </c>
      <c r="AG1550" s="15" t="s">
        <v>138</v>
      </c>
      <c r="AH1550" s="20" t="s">
        <v>138</v>
      </c>
      <c r="AI1550" s="20" t="s">
        <v>138</v>
      </c>
      <c r="AJ1550" s="20" t="s">
        <v>138</v>
      </c>
      <c r="AK1550" s="15" t="s">
        <v>29690</v>
      </c>
      <c r="AL1550" s="15" t="s">
        <v>29691</v>
      </c>
      <c r="AM1550" s="15" t="s">
        <v>29692</v>
      </c>
      <c r="AN1550" s="15" t="s">
        <v>29693</v>
      </c>
      <c r="AO1550" s="15" t="s">
        <v>29694</v>
      </c>
      <c r="AP1550" s="15" t="s">
        <v>1195</v>
      </c>
      <c r="AQ1550" s="15" t="s">
        <v>29695</v>
      </c>
      <c r="AR1550" s="15" t="s">
        <v>8339</v>
      </c>
      <c r="AS1550" s="15" t="s">
        <v>1198</v>
      </c>
      <c r="AT1550" s="15" t="s">
        <v>138</v>
      </c>
      <c r="AU1550" s="15" t="s">
        <v>29696</v>
      </c>
      <c r="AV1550" s="15" t="s">
        <v>1200</v>
      </c>
      <c r="AW1550" s="15" t="s">
        <v>29694</v>
      </c>
      <c r="AX1550" s="15" t="s">
        <v>138</v>
      </c>
      <c r="AY1550" s="15" t="s">
        <v>29697</v>
      </c>
      <c r="AZ1550" s="15" t="s">
        <v>452</v>
      </c>
      <c r="BA1550" s="15" t="s">
        <v>453</v>
      </c>
      <c r="BB1550" s="15" t="s">
        <v>29698</v>
      </c>
      <c r="BC1550" s="15" t="s">
        <v>29699</v>
      </c>
      <c r="BD1550" s="21">
        <v>3</v>
      </c>
      <c r="BE1550" s="15" t="s">
        <v>138</v>
      </c>
      <c r="BF1550" s="15" t="s">
        <v>138</v>
      </c>
      <c r="BG1550" s="15" t="s">
        <v>138</v>
      </c>
      <c r="BH1550" s="15" t="s">
        <v>29700</v>
      </c>
      <c r="BI1550" s="15" t="s">
        <v>138</v>
      </c>
      <c r="BJ1550" s="15" t="s">
        <v>138</v>
      </c>
      <c r="BK1550" s="15" t="s">
        <v>29701</v>
      </c>
      <c r="BL1550" s="15" t="s">
        <v>138</v>
      </c>
      <c r="BM1550" s="22">
        <v>41677</v>
      </c>
      <c r="BN1550" s="17" t="s">
        <v>138</v>
      </c>
      <c r="BO1550" s="15" t="s">
        <v>138</v>
      </c>
      <c r="BP1550" s="17" t="s">
        <v>138</v>
      </c>
      <c r="BQ1550" s="15" t="s">
        <v>138</v>
      </c>
      <c r="BR1550" s="15" t="s">
        <v>205</v>
      </c>
      <c r="BS1550" s="15" t="s">
        <v>720</v>
      </c>
      <c r="BT1550" s="15" t="s">
        <v>138</v>
      </c>
      <c r="BU1550" s="15" t="s">
        <v>174</v>
      </c>
      <c r="BV1550" s="15" t="s">
        <v>138</v>
      </c>
      <c r="BW1550" s="15" t="s">
        <v>138</v>
      </c>
      <c r="BX1550" s="15" t="s">
        <v>138</v>
      </c>
      <c r="BY1550" s="15" t="s">
        <v>175</v>
      </c>
      <c r="BZ1550" s="22">
        <v>41677</v>
      </c>
      <c r="CA1550" s="17" t="s">
        <v>138</v>
      </c>
      <c r="CB1550" s="15" t="s">
        <v>138</v>
      </c>
      <c r="CC1550" s="17" t="s">
        <v>138</v>
      </c>
      <c r="CD1550" s="15" t="s">
        <v>138</v>
      </c>
      <c r="CE1550" s="15" t="s">
        <v>205</v>
      </c>
      <c r="CF1550" s="15" t="s">
        <v>720</v>
      </c>
      <c r="CG1550" s="15" t="s">
        <v>138</v>
      </c>
      <c r="CH1550" s="15" t="s">
        <v>174</v>
      </c>
      <c r="CI1550" s="15" t="s">
        <v>138</v>
      </c>
      <c r="CJ1550" s="15" t="s">
        <v>138</v>
      </c>
      <c r="CK1550" s="15" t="s">
        <v>138</v>
      </c>
      <c r="CL1550" s="15" t="s">
        <v>175</v>
      </c>
      <c r="CM1550" s="22" t="s">
        <v>138</v>
      </c>
      <c r="CN1550" s="17" t="s">
        <v>138</v>
      </c>
      <c r="CO1550" s="23" t="s">
        <v>138</v>
      </c>
      <c r="CP1550" s="24" t="s">
        <v>138</v>
      </c>
      <c r="CQ1550" s="23" t="s">
        <v>138</v>
      </c>
      <c r="CR1550" s="23" t="s">
        <v>138</v>
      </c>
      <c r="CS1550" s="23" t="s">
        <v>138</v>
      </c>
      <c r="CT1550" s="24" t="s">
        <v>138</v>
      </c>
      <c r="CU1550" s="23" t="s">
        <v>138</v>
      </c>
      <c r="CV1550" s="24" t="s">
        <v>138</v>
      </c>
      <c r="CW1550" s="23" t="s">
        <v>138</v>
      </c>
      <c r="CX1550" s="24" t="s">
        <v>138</v>
      </c>
      <c r="CY1550" s="23" t="s">
        <v>138</v>
      </c>
      <c r="CZ1550" s="24" t="s">
        <v>138</v>
      </c>
      <c r="DA1550" s="23" t="s">
        <v>138</v>
      </c>
      <c r="DB1550" s="24" t="s">
        <v>138</v>
      </c>
      <c r="DC1550" s="25" t="s">
        <v>138</v>
      </c>
      <c r="DD1550" s="24" t="s">
        <v>138</v>
      </c>
      <c r="DE1550" s="25" t="s">
        <v>138</v>
      </c>
      <c r="DF1550" s="23" t="s">
        <v>138</v>
      </c>
      <c r="DG1550" s="25" t="s">
        <v>138</v>
      </c>
      <c r="DH1550" s="24" t="s">
        <v>138</v>
      </c>
      <c r="DI1550" s="25" t="s">
        <v>138</v>
      </c>
      <c r="DJ1550" s="24" t="s">
        <v>138</v>
      </c>
      <c r="DK1550" s="25" t="s">
        <v>138</v>
      </c>
      <c r="DL1550" s="24" t="s">
        <v>138</v>
      </c>
      <c r="DM1550" s="25" t="s">
        <v>138</v>
      </c>
      <c r="DN1550" s="24" t="s">
        <v>138</v>
      </c>
      <c r="DO1550" s="25" t="s">
        <v>138</v>
      </c>
      <c r="DP1550" s="24" t="s">
        <v>138</v>
      </c>
      <c r="DQ1550" s="24" t="s">
        <v>138</v>
      </c>
      <c r="DR1550" s="26" t="s">
        <v>138</v>
      </c>
      <c r="DS1550" s="23" t="s">
        <v>138</v>
      </c>
      <c r="DT1550" s="24" t="s">
        <v>138</v>
      </c>
      <c r="DU1550" s="26" t="s">
        <v>138</v>
      </c>
      <c r="DV1550" s="23" t="s">
        <v>138</v>
      </c>
      <c r="DW1550" s="24" t="s">
        <v>138</v>
      </c>
      <c r="DX1550" s="27" t="s">
        <v>138</v>
      </c>
      <c r="DY1550" s="23" t="s">
        <v>138</v>
      </c>
      <c r="DZ1550" s="15" t="s">
        <v>178</v>
      </c>
      <c r="EA1550" s="22">
        <v>43370</v>
      </c>
      <c r="EB1550" s="17" t="s">
        <v>138</v>
      </c>
      <c r="EC1550" s="22" t="s">
        <v>138</v>
      </c>
      <c r="ED1550" s="15" t="s">
        <v>138</v>
      </c>
      <c r="EE1550" s="14" t="str">
        <f>HYPERLINK("https://my.pitchbook.com?c=108719-92", "View company online")</f>
        <v>View company online</v>
      </c>
    </row>
    <row r="1551" spans="1:135">
      <c r="A1551" s="28" t="s">
        <v>29702</v>
      </c>
      <c r="B1551" s="28" t="s">
        <v>29703</v>
      </c>
      <c r="C1551" s="28" t="s">
        <v>138</v>
      </c>
      <c r="D1551" s="28" t="s">
        <v>29704</v>
      </c>
      <c r="E1551" s="28" t="s">
        <v>138</v>
      </c>
      <c r="F1551" s="28" t="s">
        <v>29702</v>
      </c>
      <c r="G1551" s="28" t="s">
        <v>29705</v>
      </c>
      <c r="H1551" s="28" t="s">
        <v>322</v>
      </c>
      <c r="I1551" s="28" t="s">
        <v>1208</v>
      </c>
      <c r="J1551" s="28" t="s">
        <v>1209</v>
      </c>
      <c r="K1551" s="28" t="s">
        <v>11520</v>
      </c>
      <c r="L1551" s="28" t="s">
        <v>138</v>
      </c>
      <c r="M1551" s="28" t="s">
        <v>29706</v>
      </c>
      <c r="N1551" s="28" t="s">
        <v>147</v>
      </c>
      <c r="O1551" s="29">
        <v>1.97</v>
      </c>
      <c r="P1551" s="28" t="s">
        <v>148</v>
      </c>
      <c r="Q1551" s="28" t="s">
        <v>149</v>
      </c>
      <c r="R1551" s="28" t="s">
        <v>150</v>
      </c>
      <c r="S1551" s="28" t="s">
        <v>29707</v>
      </c>
      <c r="T1551" s="30" t="s">
        <v>138</v>
      </c>
      <c r="U1551" s="28" t="s">
        <v>138</v>
      </c>
      <c r="V1551" s="28" t="s">
        <v>138</v>
      </c>
      <c r="W1551" s="28" t="s">
        <v>138</v>
      </c>
      <c r="X1551" s="31">
        <v>2004</v>
      </c>
      <c r="Y1551" s="28" t="s">
        <v>138</v>
      </c>
      <c r="Z1551" s="28" t="s">
        <v>138</v>
      </c>
      <c r="AA1551" s="28" t="s">
        <v>138</v>
      </c>
      <c r="AB1551" s="32" t="s">
        <v>138</v>
      </c>
      <c r="AC1551" s="32" t="s">
        <v>138</v>
      </c>
      <c r="AD1551" s="32" t="s">
        <v>138</v>
      </c>
      <c r="AE1551" s="32" t="s">
        <v>138</v>
      </c>
      <c r="AF1551" s="32" t="s">
        <v>138</v>
      </c>
      <c r="AG1551" s="28" t="s">
        <v>138</v>
      </c>
      <c r="AH1551" s="32" t="s">
        <v>138</v>
      </c>
      <c r="AI1551" s="32" t="s">
        <v>138</v>
      </c>
      <c r="AJ1551" s="32" t="s">
        <v>138</v>
      </c>
      <c r="AK1551" s="28" t="s">
        <v>29708</v>
      </c>
      <c r="AL1551" s="28" t="s">
        <v>29709</v>
      </c>
      <c r="AM1551" s="28" t="s">
        <v>29710</v>
      </c>
      <c r="AN1551" s="28" t="s">
        <v>29711</v>
      </c>
      <c r="AO1551" s="28" t="s">
        <v>29712</v>
      </c>
      <c r="AP1551" s="28" t="s">
        <v>2842</v>
      </c>
      <c r="AQ1551" s="28" t="s">
        <v>29713</v>
      </c>
      <c r="AR1551" s="28" t="s">
        <v>29714</v>
      </c>
      <c r="AS1551" s="28" t="s">
        <v>2845</v>
      </c>
      <c r="AT1551" s="28" t="s">
        <v>200</v>
      </c>
      <c r="AU1551" s="28" t="s">
        <v>2846</v>
      </c>
      <c r="AV1551" s="28" t="s">
        <v>162</v>
      </c>
      <c r="AW1551" s="28" t="s">
        <v>29715</v>
      </c>
      <c r="AX1551" s="28" t="s">
        <v>29716</v>
      </c>
      <c r="AY1551" s="28" t="s">
        <v>138</v>
      </c>
      <c r="AZ1551" s="28" t="s">
        <v>164</v>
      </c>
      <c r="BA1551" s="28" t="s">
        <v>165</v>
      </c>
      <c r="BB1551" s="28" t="s">
        <v>29717</v>
      </c>
      <c r="BC1551" s="28" t="s">
        <v>29718</v>
      </c>
      <c r="BD1551" s="33">
        <v>4</v>
      </c>
      <c r="BE1551" s="28" t="s">
        <v>138</v>
      </c>
      <c r="BF1551" s="28" t="s">
        <v>138</v>
      </c>
      <c r="BG1551" s="28" t="s">
        <v>138</v>
      </c>
      <c r="BH1551" s="28" t="s">
        <v>29719</v>
      </c>
      <c r="BI1551" s="28" t="s">
        <v>138</v>
      </c>
      <c r="BJ1551" s="28" t="s">
        <v>138</v>
      </c>
      <c r="BK1551" s="28" t="s">
        <v>138</v>
      </c>
      <c r="BL1551" s="28" t="s">
        <v>138</v>
      </c>
      <c r="BM1551" s="34">
        <v>38353</v>
      </c>
      <c r="BN1551" s="29" t="s">
        <v>138</v>
      </c>
      <c r="BO1551" s="28" t="s">
        <v>138</v>
      </c>
      <c r="BP1551" s="29" t="s">
        <v>138</v>
      </c>
      <c r="BQ1551" s="28" t="s">
        <v>138</v>
      </c>
      <c r="BR1551" s="28" t="s">
        <v>234</v>
      </c>
      <c r="BS1551" s="28" t="s">
        <v>234</v>
      </c>
      <c r="BT1551" s="28" t="s">
        <v>138</v>
      </c>
      <c r="BU1551" s="28" t="s">
        <v>174</v>
      </c>
      <c r="BV1551" s="28" t="s">
        <v>138</v>
      </c>
      <c r="BW1551" s="28" t="s">
        <v>138</v>
      </c>
      <c r="BX1551" s="28" t="s">
        <v>138</v>
      </c>
      <c r="BY1551" s="28" t="s">
        <v>175</v>
      </c>
      <c r="BZ1551" s="34">
        <v>40148</v>
      </c>
      <c r="CA1551" s="29" t="s">
        <v>138</v>
      </c>
      <c r="CB1551" s="28" t="s">
        <v>138</v>
      </c>
      <c r="CC1551" s="29" t="s">
        <v>138</v>
      </c>
      <c r="CD1551" s="28" t="s">
        <v>138</v>
      </c>
      <c r="CE1551" s="28" t="s">
        <v>176</v>
      </c>
      <c r="CF1551" s="28" t="s">
        <v>138</v>
      </c>
      <c r="CG1551" s="28" t="s">
        <v>138</v>
      </c>
      <c r="CH1551" s="28" t="s">
        <v>177</v>
      </c>
      <c r="CI1551" s="28" t="s">
        <v>138</v>
      </c>
      <c r="CJ1551" s="28" t="s">
        <v>138</v>
      </c>
      <c r="CK1551" s="28" t="s">
        <v>138</v>
      </c>
      <c r="CL1551" s="28" t="s">
        <v>175</v>
      </c>
      <c r="CM1551" s="34" t="s">
        <v>138</v>
      </c>
      <c r="CN1551" s="29" t="s">
        <v>138</v>
      </c>
      <c r="CO1551" s="35">
        <v>0</v>
      </c>
      <c r="CP1551" s="36">
        <v>26</v>
      </c>
      <c r="CQ1551" s="35">
        <v>0</v>
      </c>
      <c r="CR1551" s="35">
        <v>0</v>
      </c>
      <c r="CS1551" s="35">
        <v>0</v>
      </c>
      <c r="CT1551" s="36">
        <v>23</v>
      </c>
      <c r="CU1551" s="35" t="s">
        <v>138</v>
      </c>
      <c r="CV1551" s="36" t="s">
        <v>138</v>
      </c>
      <c r="CW1551" s="35" t="s">
        <v>138</v>
      </c>
      <c r="CX1551" s="36" t="s">
        <v>138</v>
      </c>
      <c r="CY1551" s="35">
        <v>0</v>
      </c>
      <c r="CZ1551" s="36">
        <v>25</v>
      </c>
      <c r="DA1551" s="35" t="s">
        <v>138</v>
      </c>
      <c r="DB1551" s="36" t="s">
        <v>138</v>
      </c>
      <c r="DC1551" s="37">
        <v>2.34</v>
      </c>
      <c r="DD1551" s="36">
        <v>70</v>
      </c>
      <c r="DE1551" s="37">
        <v>7.0000000000000007E-2</v>
      </c>
      <c r="DF1551" s="35">
        <v>3.03</v>
      </c>
      <c r="DG1551" s="37">
        <v>2.34</v>
      </c>
      <c r="DH1551" s="36">
        <v>70</v>
      </c>
      <c r="DI1551" s="37" t="s">
        <v>138</v>
      </c>
      <c r="DJ1551" s="36" t="s">
        <v>138</v>
      </c>
      <c r="DK1551" s="37" t="s">
        <v>138</v>
      </c>
      <c r="DL1551" s="36" t="s">
        <v>138</v>
      </c>
      <c r="DM1551" s="37">
        <v>2.34</v>
      </c>
      <c r="DN1551" s="36">
        <v>69</v>
      </c>
      <c r="DO1551" s="37" t="s">
        <v>138</v>
      </c>
      <c r="DP1551" s="36" t="s">
        <v>138</v>
      </c>
      <c r="DQ1551" s="36" t="s">
        <v>138</v>
      </c>
      <c r="DR1551" s="38" t="s">
        <v>138</v>
      </c>
      <c r="DS1551" s="35" t="s">
        <v>138</v>
      </c>
      <c r="DT1551" s="36">
        <v>67</v>
      </c>
      <c r="DU1551" s="38">
        <v>3</v>
      </c>
      <c r="DV1551" s="35">
        <v>4.6900000000000004</v>
      </c>
      <c r="DW1551" s="36" t="s">
        <v>138</v>
      </c>
      <c r="DX1551" s="39" t="s">
        <v>138</v>
      </c>
      <c r="DY1551" s="35" t="s">
        <v>138</v>
      </c>
      <c r="DZ1551" s="28" t="s">
        <v>178</v>
      </c>
      <c r="EA1551" s="34">
        <v>43412</v>
      </c>
      <c r="EB1551" s="29">
        <v>2.9</v>
      </c>
      <c r="EC1551" s="34">
        <v>39995</v>
      </c>
      <c r="ED1551" s="28" t="s">
        <v>205</v>
      </c>
      <c r="EE1551" s="40" t="str">
        <f>HYPERLINK("https://my.pitchbook.com?c=87076-54", "View company online")</f>
        <v>View company online</v>
      </c>
    </row>
    <row r="1552" spans="1:135">
      <c r="A1552" s="15" t="s">
        <v>29720</v>
      </c>
      <c r="B1552" s="15" t="s">
        <v>29721</v>
      </c>
      <c r="C1552" s="15" t="s">
        <v>138</v>
      </c>
      <c r="D1552" s="15" t="s">
        <v>138</v>
      </c>
      <c r="E1552" s="15" t="s">
        <v>29722</v>
      </c>
      <c r="F1552" s="15" t="s">
        <v>29720</v>
      </c>
      <c r="G1552" s="15" t="s">
        <v>29723</v>
      </c>
      <c r="H1552" s="15" t="s">
        <v>322</v>
      </c>
      <c r="I1552" s="15" t="s">
        <v>323</v>
      </c>
      <c r="J1552" s="15" t="s">
        <v>461</v>
      </c>
      <c r="K1552" s="15" t="s">
        <v>2209</v>
      </c>
      <c r="L1552" s="15" t="s">
        <v>586</v>
      </c>
      <c r="M1552" s="15" t="s">
        <v>29724</v>
      </c>
      <c r="N1552" s="15" t="s">
        <v>147</v>
      </c>
      <c r="O1552" s="17">
        <v>190</v>
      </c>
      <c r="P1552" s="15" t="s">
        <v>148</v>
      </c>
      <c r="Q1552" s="15" t="s">
        <v>149</v>
      </c>
      <c r="R1552" s="15" t="s">
        <v>174</v>
      </c>
      <c r="S1552" s="15" t="s">
        <v>29725</v>
      </c>
      <c r="T1552" s="18">
        <v>450</v>
      </c>
      <c r="U1552" s="15" t="s">
        <v>29726</v>
      </c>
      <c r="V1552" s="15" t="s">
        <v>138</v>
      </c>
      <c r="W1552" s="15" t="s">
        <v>138</v>
      </c>
      <c r="X1552" s="19">
        <v>2012</v>
      </c>
      <c r="Y1552" s="15" t="s">
        <v>138</v>
      </c>
      <c r="Z1552" s="15" t="s">
        <v>138</v>
      </c>
      <c r="AA1552" s="15" t="s">
        <v>1163</v>
      </c>
      <c r="AB1552" s="20" t="s">
        <v>138</v>
      </c>
      <c r="AC1552" s="20" t="s">
        <v>138</v>
      </c>
      <c r="AD1552" s="20" t="s">
        <v>138</v>
      </c>
      <c r="AE1552" s="20" t="s">
        <v>138</v>
      </c>
      <c r="AF1552" s="20" t="s">
        <v>138</v>
      </c>
      <c r="AG1552" s="15" t="s">
        <v>138</v>
      </c>
      <c r="AH1552" s="20" t="s">
        <v>138</v>
      </c>
      <c r="AI1552" s="20" t="s">
        <v>138</v>
      </c>
      <c r="AJ1552" s="20" t="s">
        <v>138</v>
      </c>
      <c r="AK1552" s="15" t="s">
        <v>29727</v>
      </c>
      <c r="AL1552" s="15" t="s">
        <v>29728</v>
      </c>
      <c r="AM1552" s="15" t="s">
        <v>304</v>
      </c>
      <c r="AN1552" s="15" t="s">
        <v>29729</v>
      </c>
      <c r="AO1552" s="15" t="s">
        <v>29730</v>
      </c>
      <c r="AP1552" s="15" t="s">
        <v>1292</v>
      </c>
      <c r="AQ1552" s="15" t="s">
        <v>29731</v>
      </c>
      <c r="AR1552" s="15" t="s">
        <v>14248</v>
      </c>
      <c r="AS1552" s="15" t="s">
        <v>1294</v>
      </c>
      <c r="AT1552" s="15" t="s">
        <v>864</v>
      </c>
      <c r="AU1552" s="15" t="s">
        <v>4404</v>
      </c>
      <c r="AV1552" s="15" t="s">
        <v>162</v>
      </c>
      <c r="AW1552" s="15" t="s">
        <v>29730</v>
      </c>
      <c r="AX1552" s="15" t="s">
        <v>138</v>
      </c>
      <c r="AY1552" s="15" t="s">
        <v>29732</v>
      </c>
      <c r="AZ1552" s="15" t="s">
        <v>164</v>
      </c>
      <c r="BA1552" s="15" t="s">
        <v>165</v>
      </c>
      <c r="BB1552" s="15" t="s">
        <v>29733</v>
      </c>
      <c r="BC1552" s="15" t="s">
        <v>29734</v>
      </c>
      <c r="BD1552" s="21">
        <v>6</v>
      </c>
      <c r="BE1552" s="15" t="s">
        <v>138</v>
      </c>
      <c r="BF1552" s="15" t="s">
        <v>138</v>
      </c>
      <c r="BG1552" s="15" t="s">
        <v>138</v>
      </c>
      <c r="BH1552" s="15" t="s">
        <v>29735</v>
      </c>
      <c r="BI1552" s="15" t="s">
        <v>138</v>
      </c>
      <c r="BJ1552" s="15" t="s">
        <v>138</v>
      </c>
      <c r="BK1552" s="15" t="s">
        <v>16562</v>
      </c>
      <c r="BL1552" s="15" t="s">
        <v>1691</v>
      </c>
      <c r="BM1552" s="22">
        <v>41423</v>
      </c>
      <c r="BN1552" s="17">
        <v>4.63</v>
      </c>
      <c r="BO1552" s="15" t="s">
        <v>172</v>
      </c>
      <c r="BP1552" s="17">
        <v>11.67</v>
      </c>
      <c r="BQ1552" s="15" t="s">
        <v>172</v>
      </c>
      <c r="BR1552" s="15" t="s">
        <v>205</v>
      </c>
      <c r="BS1552" s="15" t="s">
        <v>206</v>
      </c>
      <c r="BT1552" s="15" t="s">
        <v>138</v>
      </c>
      <c r="BU1552" s="15" t="s">
        <v>174</v>
      </c>
      <c r="BV1552" s="15" t="s">
        <v>138</v>
      </c>
      <c r="BW1552" s="15" t="s">
        <v>138</v>
      </c>
      <c r="BX1552" s="15" t="s">
        <v>138</v>
      </c>
      <c r="BY1552" s="15" t="s">
        <v>175</v>
      </c>
      <c r="BZ1552" s="22">
        <v>42907</v>
      </c>
      <c r="CA1552" s="17">
        <v>100</v>
      </c>
      <c r="CB1552" s="15" t="s">
        <v>172</v>
      </c>
      <c r="CC1552" s="17">
        <v>625</v>
      </c>
      <c r="CD1552" s="15" t="s">
        <v>172</v>
      </c>
      <c r="CE1552" s="15" t="s">
        <v>173</v>
      </c>
      <c r="CF1552" s="15" t="s">
        <v>433</v>
      </c>
      <c r="CG1552" s="15" t="s">
        <v>138</v>
      </c>
      <c r="CH1552" s="15" t="s">
        <v>174</v>
      </c>
      <c r="CI1552" s="15" t="s">
        <v>138</v>
      </c>
      <c r="CJ1552" s="15" t="s">
        <v>138</v>
      </c>
      <c r="CK1552" s="15" t="s">
        <v>138</v>
      </c>
      <c r="CL1552" s="15" t="s">
        <v>175</v>
      </c>
      <c r="CM1552" s="22" t="s">
        <v>138</v>
      </c>
      <c r="CN1552" s="17" t="s">
        <v>138</v>
      </c>
      <c r="CO1552" s="23">
        <v>0.34</v>
      </c>
      <c r="CP1552" s="24">
        <v>94</v>
      </c>
      <c r="CQ1552" s="23">
        <v>0.01</v>
      </c>
      <c r="CR1552" s="23">
        <v>1.69</v>
      </c>
      <c r="CS1552" s="23">
        <v>0.47</v>
      </c>
      <c r="CT1552" s="24">
        <v>95</v>
      </c>
      <c r="CU1552" s="23">
        <v>0.21</v>
      </c>
      <c r="CV1552" s="24">
        <v>81</v>
      </c>
      <c r="CW1552" s="23">
        <v>1.82</v>
      </c>
      <c r="CX1552" s="24">
        <v>88</v>
      </c>
      <c r="CY1552" s="23">
        <v>-0.88</v>
      </c>
      <c r="CZ1552" s="24">
        <v>20</v>
      </c>
      <c r="DA1552" s="23">
        <v>0.39</v>
      </c>
      <c r="DB1552" s="24">
        <v>92</v>
      </c>
      <c r="DC1552" s="25">
        <v>38.58</v>
      </c>
      <c r="DD1552" s="24">
        <v>97</v>
      </c>
      <c r="DE1552" s="25">
        <v>-1.58</v>
      </c>
      <c r="DF1552" s="23">
        <v>-3.94</v>
      </c>
      <c r="DG1552" s="25">
        <v>63.08</v>
      </c>
      <c r="DH1552" s="24">
        <v>99</v>
      </c>
      <c r="DI1552" s="25">
        <v>14.07</v>
      </c>
      <c r="DJ1552" s="24">
        <v>88</v>
      </c>
      <c r="DK1552" s="25">
        <v>50.6</v>
      </c>
      <c r="DL1552" s="24">
        <v>96</v>
      </c>
      <c r="DM1552" s="25">
        <v>75.55</v>
      </c>
      <c r="DN1552" s="24">
        <v>99</v>
      </c>
      <c r="DO1552" s="25">
        <v>23.91</v>
      </c>
      <c r="DP1552" s="24">
        <v>93</v>
      </c>
      <c r="DQ1552" s="24">
        <v>17283</v>
      </c>
      <c r="DR1552" s="26">
        <v>222</v>
      </c>
      <c r="DS1552" s="23">
        <v>1.3</v>
      </c>
      <c r="DT1552" s="24">
        <v>2191</v>
      </c>
      <c r="DU1552" s="26">
        <v>0</v>
      </c>
      <c r="DV1552" s="23">
        <v>0</v>
      </c>
      <c r="DW1552" s="24">
        <v>8550</v>
      </c>
      <c r="DX1552" s="27">
        <v>31</v>
      </c>
      <c r="DY1552" s="23">
        <v>0.36</v>
      </c>
      <c r="DZ1552" s="15" t="s">
        <v>178</v>
      </c>
      <c r="EA1552" s="22">
        <v>43622</v>
      </c>
      <c r="EB1552" s="17">
        <v>625</v>
      </c>
      <c r="EC1552" s="22">
        <v>42907</v>
      </c>
      <c r="ED1552" s="15" t="s">
        <v>173</v>
      </c>
      <c r="EE1552" s="14" t="str">
        <f>HYPERLINK("https://my.pitchbook.com?c=57943-72", "View company online")</f>
        <v>View company online</v>
      </c>
    </row>
    <row r="1553" spans="1:135">
      <c r="A1553" s="28" t="s">
        <v>29736</v>
      </c>
      <c r="B1553" s="28" t="s">
        <v>29737</v>
      </c>
      <c r="C1553" s="28" t="s">
        <v>138</v>
      </c>
      <c r="D1553" s="28" t="s">
        <v>138</v>
      </c>
      <c r="E1553" s="28" t="s">
        <v>29738</v>
      </c>
      <c r="F1553" s="28" t="s">
        <v>29736</v>
      </c>
      <c r="G1553" s="28" t="s">
        <v>29739</v>
      </c>
      <c r="H1553" s="28" t="s">
        <v>238</v>
      </c>
      <c r="I1553" s="28" t="s">
        <v>785</v>
      </c>
      <c r="J1553" s="28" t="s">
        <v>786</v>
      </c>
      <c r="K1553" s="28" t="s">
        <v>29740</v>
      </c>
      <c r="L1553" s="28" t="s">
        <v>1884</v>
      </c>
      <c r="M1553" s="28" t="s">
        <v>29741</v>
      </c>
      <c r="N1553" s="28" t="s">
        <v>147</v>
      </c>
      <c r="O1553" s="29">
        <v>44.8</v>
      </c>
      <c r="P1553" s="28" t="s">
        <v>148</v>
      </c>
      <c r="Q1553" s="28" t="s">
        <v>149</v>
      </c>
      <c r="R1553" s="28" t="s">
        <v>174</v>
      </c>
      <c r="S1553" s="28" t="s">
        <v>29742</v>
      </c>
      <c r="T1553" s="30">
        <v>32</v>
      </c>
      <c r="U1553" s="28" t="s">
        <v>29743</v>
      </c>
      <c r="V1553" s="28" t="s">
        <v>138</v>
      </c>
      <c r="W1553" s="28" t="s">
        <v>138</v>
      </c>
      <c r="X1553" s="31">
        <v>2011</v>
      </c>
      <c r="Y1553" s="28" t="s">
        <v>138</v>
      </c>
      <c r="Z1553" s="28" t="s">
        <v>138</v>
      </c>
      <c r="AA1553" s="28" t="s">
        <v>138</v>
      </c>
      <c r="AB1553" s="32" t="s">
        <v>138</v>
      </c>
      <c r="AC1553" s="32" t="s">
        <v>138</v>
      </c>
      <c r="AD1553" s="32" t="s">
        <v>138</v>
      </c>
      <c r="AE1553" s="32" t="s">
        <v>138</v>
      </c>
      <c r="AF1553" s="32" t="s">
        <v>138</v>
      </c>
      <c r="AG1553" s="28" t="s">
        <v>138</v>
      </c>
      <c r="AH1553" s="32" t="s">
        <v>138</v>
      </c>
      <c r="AI1553" s="32" t="s">
        <v>138</v>
      </c>
      <c r="AJ1553" s="32" t="s">
        <v>138</v>
      </c>
      <c r="AK1553" s="28" t="s">
        <v>29744</v>
      </c>
      <c r="AL1553" s="28" t="s">
        <v>29745</v>
      </c>
      <c r="AM1553" s="28" t="s">
        <v>304</v>
      </c>
      <c r="AN1553" s="28" t="s">
        <v>29746</v>
      </c>
      <c r="AO1553" s="28" t="s">
        <v>29747</v>
      </c>
      <c r="AP1553" s="28" t="s">
        <v>665</v>
      </c>
      <c r="AQ1553" s="28" t="s">
        <v>29748</v>
      </c>
      <c r="AR1553" s="28" t="s">
        <v>713</v>
      </c>
      <c r="AS1553" s="28" t="s">
        <v>668</v>
      </c>
      <c r="AT1553" s="28" t="s">
        <v>200</v>
      </c>
      <c r="AU1553" s="28" t="s">
        <v>1960</v>
      </c>
      <c r="AV1553" s="28" t="s">
        <v>162</v>
      </c>
      <c r="AW1553" s="28" t="s">
        <v>29747</v>
      </c>
      <c r="AX1553" s="28" t="s">
        <v>138</v>
      </c>
      <c r="AY1553" s="28" t="s">
        <v>29749</v>
      </c>
      <c r="AZ1553" s="28" t="s">
        <v>164</v>
      </c>
      <c r="BA1553" s="28" t="s">
        <v>165</v>
      </c>
      <c r="BB1553" s="28" t="s">
        <v>29750</v>
      </c>
      <c r="BC1553" s="28" t="s">
        <v>29751</v>
      </c>
      <c r="BD1553" s="33">
        <v>7</v>
      </c>
      <c r="BE1553" s="28" t="s">
        <v>138</v>
      </c>
      <c r="BF1553" s="28" t="s">
        <v>138</v>
      </c>
      <c r="BG1553" s="28" t="s">
        <v>138</v>
      </c>
      <c r="BH1553" s="28" t="s">
        <v>29752</v>
      </c>
      <c r="BI1553" s="28" t="s">
        <v>138</v>
      </c>
      <c r="BJ1553" s="28" t="s">
        <v>138</v>
      </c>
      <c r="BK1553" s="28" t="s">
        <v>29753</v>
      </c>
      <c r="BL1553" s="28" t="s">
        <v>1251</v>
      </c>
      <c r="BM1553" s="34">
        <v>41431</v>
      </c>
      <c r="BN1553" s="29">
        <v>2.6</v>
      </c>
      <c r="BO1553" s="28" t="s">
        <v>172</v>
      </c>
      <c r="BP1553" s="29">
        <v>8.24</v>
      </c>
      <c r="BQ1553" s="28" t="s">
        <v>172</v>
      </c>
      <c r="BR1553" s="28" t="s">
        <v>234</v>
      </c>
      <c r="BS1553" s="28" t="s">
        <v>4410</v>
      </c>
      <c r="BT1553" s="28" t="s">
        <v>138</v>
      </c>
      <c r="BU1553" s="28" t="s">
        <v>174</v>
      </c>
      <c r="BV1553" s="28" t="s">
        <v>138</v>
      </c>
      <c r="BW1553" s="28" t="s">
        <v>138</v>
      </c>
      <c r="BX1553" s="28" t="s">
        <v>138</v>
      </c>
      <c r="BY1553" s="28" t="s">
        <v>175</v>
      </c>
      <c r="BZ1553" s="34">
        <v>43501</v>
      </c>
      <c r="CA1553" s="29">
        <v>30</v>
      </c>
      <c r="CB1553" s="28" t="s">
        <v>172</v>
      </c>
      <c r="CC1553" s="29">
        <v>124</v>
      </c>
      <c r="CD1553" s="28" t="s">
        <v>172</v>
      </c>
      <c r="CE1553" s="28" t="s">
        <v>173</v>
      </c>
      <c r="CF1553" s="28" t="s">
        <v>317</v>
      </c>
      <c r="CG1553" s="28" t="s">
        <v>138</v>
      </c>
      <c r="CH1553" s="28" t="s">
        <v>174</v>
      </c>
      <c r="CI1553" s="28" t="s">
        <v>138</v>
      </c>
      <c r="CJ1553" s="28" t="s">
        <v>138</v>
      </c>
      <c r="CK1553" s="28" t="s">
        <v>138</v>
      </c>
      <c r="CL1553" s="28" t="s">
        <v>175</v>
      </c>
      <c r="CM1553" s="34" t="s">
        <v>138</v>
      </c>
      <c r="CN1553" s="29" t="s">
        <v>138</v>
      </c>
      <c r="CO1553" s="35">
        <v>-0.55000000000000004</v>
      </c>
      <c r="CP1553" s="36">
        <v>15</v>
      </c>
      <c r="CQ1553" s="35">
        <v>-0.03</v>
      </c>
      <c r="CR1553" s="35">
        <v>-6.46</v>
      </c>
      <c r="CS1553" s="35">
        <v>-1.18</v>
      </c>
      <c r="CT1553" s="36">
        <v>14</v>
      </c>
      <c r="CU1553" s="35">
        <v>7.0000000000000007E-2</v>
      </c>
      <c r="CV1553" s="36">
        <v>62</v>
      </c>
      <c r="CW1553" s="35">
        <v>-2.0099999999999998</v>
      </c>
      <c r="CX1553" s="36">
        <v>7</v>
      </c>
      <c r="CY1553" s="35">
        <v>-0.35</v>
      </c>
      <c r="CZ1553" s="36">
        <v>23</v>
      </c>
      <c r="DA1553" s="35">
        <v>0.13</v>
      </c>
      <c r="DB1553" s="36">
        <v>76</v>
      </c>
      <c r="DC1553" s="37">
        <v>108.26</v>
      </c>
      <c r="DD1553" s="36">
        <v>99</v>
      </c>
      <c r="DE1553" s="37">
        <v>-6.86</v>
      </c>
      <c r="DF1553" s="35">
        <v>-5.96</v>
      </c>
      <c r="DG1553" s="37">
        <v>148.29</v>
      </c>
      <c r="DH1553" s="36">
        <v>100</v>
      </c>
      <c r="DI1553" s="37">
        <v>68.22</v>
      </c>
      <c r="DJ1553" s="36">
        <v>96</v>
      </c>
      <c r="DK1553" s="37">
        <v>211.92</v>
      </c>
      <c r="DL1553" s="36">
        <v>99</v>
      </c>
      <c r="DM1553" s="37">
        <v>84.66</v>
      </c>
      <c r="DN1553" s="36">
        <v>99</v>
      </c>
      <c r="DO1553" s="37">
        <v>38.01</v>
      </c>
      <c r="DP1553" s="36">
        <v>96</v>
      </c>
      <c r="DQ1553" s="36">
        <v>73272</v>
      </c>
      <c r="DR1553" s="38">
        <v>-1745</v>
      </c>
      <c r="DS1553" s="35">
        <v>-2.33</v>
      </c>
      <c r="DT1553" s="36">
        <v>2459</v>
      </c>
      <c r="DU1553" s="38">
        <v>-9</v>
      </c>
      <c r="DV1553" s="35">
        <v>-0.36</v>
      </c>
      <c r="DW1553" s="36">
        <v>13604</v>
      </c>
      <c r="DX1553" s="39">
        <v>28</v>
      </c>
      <c r="DY1553" s="35">
        <v>0.21</v>
      </c>
      <c r="DZ1553" s="28" t="s">
        <v>178</v>
      </c>
      <c r="EA1553" s="34">
        <v>43559</v>
      </c>
      <c r="EB1553" s="29">
        <v>124</v>
      </c>
      <c r="EC1553" s="34">
        <v>43501</v>
      </c>
      <c r="ED1553" s="28" t="s">
        <v>173</v>
      </c>
      <c r="EE1553" s="40" t="str">
        <f>HYPERLINK("https://my.pitchbook.com?c=54691-39", "View company online")</f>
        <v>View company online</v>
      </c>
    </row>
    <row r="1554" spans="1:135">
      <c r="A1554" s="15" t="s">
        <v>29754</v>
      </c>
      <c r="B1554" s="15" t="s">
        <v>29755</v>
      </c>
      <c r="C1554" s="15" t="s">
        <v>138</v>
      </c>
      <c r="D1554" s="15" t="s">
        <v>138</v>
      </c>
      <c r="E1554" s="15" t="s">
        <v>138</v>
      </c>
      <c r="F1554" s="15" t="s">
        <v>29754</v>
      </c>
      <c r="G1554" s="15" t="s">
        <v>29756</v>
      </c>
      <c r="H1554" s="15" t="s">
        <v>238</v>
      </c>
      <c r="I1554" s="15" t="s">
        <v>239</v>
      </c>
      <c r="J1554" s="15" t="s">
        <v>240</v>
      </c>
      <c r="K1554" s="15" t="s">
        <v>29757</v>
      </c>
      <c r="L1554" s="15" t="s">
        <v>415</v>
      </c>
      <c r="M1554" s="15" t="s">
        <v>29758</v>
      </c>
      <c r="N1554" s="15" t="s">
        <v>147</v>
      </c>
      <c r="O1554" s="17">
        <v>2.5</v>
      </c>
      <c r="P1554" s="15" t="s">
        <v>148</v>
      </c>
      <c r="Q1554" s="15" t="s">
        <v>149</v>
      </c>
      <c r="R1554" s="15" t="s">
        <v>174</v>
      </c>
      <c r="S1554" s="15" t="s">
        <v>29759</v>
      </c>
      <c r="T1554" s="18">
        <v>10</v>
      </c>
      <c r="U1554" s="15" t="s">
        <v>29760</v>
      </c>
      <c r="V1554" s="15" t="s">
        <v>138</v>
      </c>
      <c r="W1554" s="15" t="s">
        <v>138</v>
      </c>
      <c r="X1554" s="19">
        <v>2015</v>
      </c>
      <c r="Y1554" s="15" t="s">
        <v>138</v>
      </c>
      <c r="Z1554" s="15" t="s">
        <v>138</v>
      </c>
      <c r="AA1554" s="15" t="s">
        <v>138</v>
      </c>
      <c r="AB1554" s="20" t="s">
        <v>138</v>
      </c>
      <c r="AC1554" s="20" t="s">
        <v>138</v>
      </c>
      <c r="AD1554" s="20" t="s">
        <v>138</v>
      </c>
      <c r="AE1554" s="20" t="s">
        <v>138</v>
      </c>
      <c r="AF1554" s="20" t="s">
        <v>138</v>
      </c>
      <c r="AG1554" s="15" t="s">
        <v>138</v>
      </c>
      <c r="AH1554" s="20" t="s">
        <v>138</v>
      </c>
      <c r="AI1554" s="20" t="s">
        <v>138</v>
      </c>
      <c r="AJ1554" s="20" t="s">
        <v>138</v>
      </c>
      <c r="AK1554" s="15" t="s">
        <v>29761</v>
      </c>
      <c r="AL1554" s="15" t="s">
        <v>29762</v>
      </c>
      <c r="AM1554" s="15" t="s">
        <v>1632</v>
      </c>
      <c r="AN1554" s="15" t="s">
        <v>29763</v>
      </c>
      <c r="AO1554" s="15" t="s">
        <v>29764</v>
      </c>
      <c r="AP1554" s="15" t="s">
        <v>1514</v>
      </c>
      <c r="AQ1554" s="15" t="s">
        <v>29765</v>
      </c>
      <c r="AR1554" s="15" t="s">
        <v>138</v>
      </c>
      <c r="AS1554" s="15" t="s">
        <v>1516</v>
      </c>
      <c r="AT1554" s="15" t="s">
        <v>284</v>
      </c>
      <c r="AU1554" s="15" t="s">
        <v>10458</v>
      </c>
      <c r="AV1554" s="15" t="s">
        <v>162</v>
      </c>
      <c r="AW1554" s="15" t="s">
        <v>29764</v>
      </c>
      <c r="AX1554" s="15" t="s">
        <v>138</v>
      </c>
      <c r="AY1554" s="15" t="s">
        <v>29766</v>
      </c>
      <c r="AZ1554" s="15" t="s">
        <v>164</v>
      </c>
      <c r="BA1554" s="15" t="s">
        <v>165</v>
      </c>
      <c r="BB1554" s="15" t="s">
        <v>29767</v>
      </c>
      <c r="BC1554" s="15" t="s">
        <v>29768</v>
      </c>
      <c r="BD1554" s="21">
        <v>2</v>
      </c>
      <c r="BE1554" s="15" t="s">
        <v>138</v>
      </c>
      <c r="BF1554" s="15" t="s">
        <v>138</v>
      </c>
      <c r="BG1554" s="15" t="s">
        <v>138</v>
      </c>
      <c r="BH1554" s="15" t="s">
        <v>29769</v>
      </c>
      <c r="BI1554" s="15" t="s">
        <v>138</v>
      </c>
      <c r="BJ1554" s="15" t="s">
        <v>138</v>
      </c>
      <c r="BK1554" s="15" t="s">
        <v>138</v>
      </c>
      <c r="BL1554" s="15" t="s">
        <v>138</v>
      </c>
      <c r="BM1554" s="22">
        <v>42005</v>
      </c>
      <c r="BN1554" s="17">
        <v>1</v>
      </c>
      <c r="BO1554" s="15" t="s">
        <v>172</v>
      </c>
      <c r="BP1554" s="17" t="s">
        <v>138</v>
      </c>
      <c r="BQ1554" s="15" t="s">
        <v>138</v>
      </c>
      <c r="BR1554" s="15" t="s">
        <v>316</v>
      </c>
      <c r="BS1554" s="15" t="s">
        <v>138</v>
      </c>
      <c r="BT1554" s="15" t="s">
        <v>138</v>
      </c>
      <c r="BU1554" s="15" t="s">
        <v>177</v>
      </c>
      <c r="BV1554" s="15" t="s">
        <v>138</v>
      </c>
      <c r="BW1554" s="15" t="s">
        <v>138</v>
      </c>
      <c r="BX1554" s="15" t="s">
        <v>138</v>
      </c>
      <c r="BY1554" s="15" t="s">
        <v>175</v>
      </c>
      <c r="BZ1554" s="22">
        <v>42382</v>
      </c>
      <c r="CA1554" s="17">
        <v>1.5</v>
      </c>
      <c r="CB1554" s="15" t="s">
        <v>172</v>
      </c>
      <c r="CC1554" s="17">
        <v>8.0399999999999991</v>
      </c>
      <c r="CD1554" s="15" t="s">
        <v>172</v>
      </c>
      <c r="CE1554" s="15" t="s">
        <v>205</v>
      </c>
      <c r="CF1554" s="15" t="s">
        <v>206</v>
      </c>
      <c r="CG1554" s="15" t="s">
        <v>138</v>
      </c>
      <c r="CH1554" s="15" t="s">
        <v>174</v>
      </c>
      <c r="CI1554" s="15" t="s">
        <v>138</v>
      </c>
      <c r="CJ1554" s="15" t="s">
        <v>138</v>
      </c>
      <c r="CK1554" s="15" t="s">
        <v>138</v>
      </c>
      <c r="CL1554" s="15" t="s">
        <v>175</v>
      </c>
      <c r="CM1554" s="22" t="s">
        <v>138</v>
      </c>
      <c r="CN1554" s="17" t="s">
        <v>138</v>
      </c>
      <c r="CO1554" s="23">
        <v>0.92</v>
      </c>
      <c r="CP1554" s="24">
        <v>97</v>
      </c>
      <c r="CQ1554" s="23">
        <v>-0.01</v>
      </c>
      <c r="CR1554" s="23">
        <v>-1.57</v>
      </c>
      <c r="CS1554" s="23">
        <v>1.84</v>
      </c>
      <c r="CT1554" s="24">
        <v>98</v>
      </c>
      <c r="CU1554" s="23">
        <v>-0.01</v>
      </c>
      <c r="CV1554" s="24">
        <v>20</v>
      </c>
      <c r="CW1554" s="23">
        <v>4.0999999999999996</v>
      </c>
      <c r="CX1554" s="24">
        <v>94</v>
      </c>
      <c r="CY1554" s="23">
        <v>-0.42</v>
      </c>
      <c r="CZ1554" s="24">
        <v>23</v>
      </c>
      <c r="DA1554" s="23">
        <v>0</v>
      </c>
      <c r="DB1554" s="24">
        <v>22</v>
      </c>
      <c r="DC1554" s="25">
        <v>446.56</v>
      </c>
      <c r="DD1554" s="24">
        <v>100</v>
      </c>
      <c r="DE1554" s="25">
        <v>-2.4900000000000002</v>
      </c>
      <c r="DF1554" s="23">
        <v>-0.55000000000000004</v>
      </c>
      <c r="DG1554" s="25">
        <v>52.99</v>
      </c>
      <c r="DH1554" s="24">
        <v>98</v>
      </c>
      <c r="DI1554" s="25">
        <v>840.13</v>
      </c>
      <c r="DJ1554" s="24">
        <v>100</v>
      </c>
      <c r="DK1554" s="25">
        <v>64.7</v>
      </c>
      <c r="DL1554" s="24">
        <v>97</v>
      </c>
      <c r="DM1554" s="25">
        <v>41.28</v>
      </c>
      <c r="DN1554" s="24">
        <v>97</v>
      </c>
      <c r="DO1554" s="25">
        <v>0.09</v>
      </c>
      <c r="DP1554" s="24">
        <v>15</v>
      </c>
      <c r="DQ1554" s="24">
        <v>22251</v>
      </c>
      <c r="DR1554" s="26">
        <v>-183</v>
      </c>
      <c r="DS1554" s="23">
        <v>-0.82</v>
      </c>
      <c r="DT1554" s="24">
        <v>1194</v>
      </c>
      <c r="DU1554" s="26">
        <v>9</v>
      </c>
      <c r="DV1554" s="23">
        <v>0.76</v>
      </c>
      <c r="DW1554" s="24">
        <v>33</v>
      </c>
      <c r="DX1554" s="27">
        <v>0</v>
      </c>
      <c r="DY1554" s="23">
        <v>0</v>
      </c>
      <c r="DZ1554" s="15" t="s">
        <v>178</v>
      </c>
      <c r="EA1554" s="22">
        <v>43453</v>
      </c>
      <c r="EB1554" s="17">
        <v>8.0399999999999991</v>
      </c>
      <c r="EC1554" s="22">
        <v>42382</v>
      </c>
      <c r="ED1554" s="15" t="s">
        <v>205</v>
      </c>
      <c r="EE1554" s="14" t="str">
        <f>HYPERLINK("https://my.pitchbook.com?c=151469-29", "View company online")</f>
        <v>View company online</v>
      </c>
    </row>
    <row r="1555" spans="1:135">
      <c r="A1555" s="28" t="s">
        <v>29770</v>
      </c>
      <c r="B1555" s="28" t="s">
        <v>29771</v>
      </c>
      <c r="C1555" s="28" t="s">
        <v>138</v>
      </c>
      <c r="D1555" s="28" t="s">
        <v>138</v>
      </c>
      <c r="E1555" s="28" t="s">
        <v>29772</v>
      </c>
      <c r="F1555" s="28" t="s">
        <v>29770</v>
      </c>
      <c r="G1555" s="28" t="s">
        <v>29773</v>
      </c>
      <c r="H1555" s="28" t="s">
        <v>238</v>
      </c>
      <c r="I1555" s="28" t="s">
        <v>2662</v>
      </c>
      <c r="J1555" s="28" t="s">
        <v>4479</v>
      </c>
      <c r="K1555" s="28" t="s">
        <v>29774</v>
      </c>
      <c r="L1555" s="28" t="s">
        <v>4703</v>
      </c>
      <c r="M1555" s="28" t="s">
        <v>29775</v>
      </c>
      <c r="N1555" s="28" t="s">
        <v>147</v>
      </c>
      <c r="O1555" s="29">
        <v>46.08</v>
      </c>
      <c r="P1555" s="28" t="s">
        <v>812</v>
      </c>
      <c r="Q1555" s="28" t="s">
        <v>149</v>
      </c>
      <c r="R1555" s="28" t="s">
        <v>1652</v>
      </c>
      <c r="S1555" s="28" t="s">
        <v>29776</v>
      </c>
      <c r="T1555" s="30">
        <v>1500</v>
      </c>
      <c r="U1555" s="28" t="s">
        <v>29777</v>
      </c>
      <c r="V1555" s="28" t="s">
        <v>138</v>
      </c>
      <c r="W1555" s="28" t="s">
        <v>138</v>
      </c>
      <c r="X1555" s="31">
        <v>2000</v>
      </c>
      <c r="Y1555" s="28" t="s">
        <v>138</v>
      </c>
      <c r="Z1555" s="28" t="s">
        <v>138</v>
      </c>
      <c r="AA1555" s="28" t="s">
        <v>138</v>
      </c>
      <c r="AB1555" s="32">
        <v>300</v>
      </c>
      <c r="AC1555" s="32" t="s">
        <v>138</v>
      </c>
      <c r="AD1555" s="32" t="s">
        <v>138</v>
      </c>
      <c r="AE1555" s="32" t="s">
        <v>138</v>
      </c>
      <c r="AF1555" s="32" t="s">
        <v>138</v>
      </c>
      <c r="AG1555" s="28" t="s">
        <v>419</v>
      </c>
      <c r="AH1555" s="32" t="s">
        <v>138</v>
      </c>
      <c r="AI1555" s="32" t="s">
        <v>138</v>
      </c>
      <c r="AJ1555" s="32" t="s">
        <v>138</v>
      </c>
      <c r="AK1555" s="28" t="s">
        <v>29778</v>
      </c>
      <c r="AL1555" s="28" t="s">
        <v>29779</v>
      </c>
      <c r="AM1555" s="28" t="s">
        <v>249</v>
      </c>
      <c r="AN1555" s="28" t="s">
        <v>29780</v>
      </c>
      <c r="AO1555" s="28" t="s">
        <v>29781</v>
      </c>
      <c r="AP1555" s="28" t="s">
        <v>29782</v>
      </c>
      <c r="AQ1555" s="28" t="s">
        <v>29783</v>
      </c>
      <c r="AR1555" s="28" t="s">
        <v>1170</v>
      </c>
      <c r="AS1555" s="28" t="s">
        <v>29784</v>
      </c>
      <c r="AT1555" s="28" t="s">
        <v>339</v>
      </c>
      <c r="AU1555" s="28" t="s">
        <v>29785</v>
      </c>
      <c r="AV1555" s="28" t="s">
        <v>162</v>
      </c>
      <c r="AW1555" s="28" t="s">
        <v>29781</v>
      </c>
      <c r="AX1555" s="28" t="s">
        <v>138</v>
      </c>
      <c r="AY1555" s="28" t="s">
        <v>138</v>
      </c>
      <c r="AZ1555" s="28" t="s">
        <v>164</v>
      </c>
      <c r="BA1555" s="28" t="s">
        <v>165</v>
      </c>
      <c r="BB1555" s="28" t="s">
        <v>29786</v>
      </c>
      <c r="BC1555" s="28" t="s">
        <v>29787</v>
      </c>
      <c r="BD1555" s="33">
        <v>8</v>
      </c>
      <c r="BE1555" s="28" t="s">
        <v>138</v>
      </c>
      <c r="BF1555" s="28" t="s">
        <v>138</v>
      </c>
      <c r="BG1555" s="28" t="s">
        <v>29788</v>
      </c>
      <c r="BH1555" s="28" t="s">
        <v>29789</v>
      </c>
      <c r="BI1555" s="28" t="s">
        <v>138</v>
      </c>
      <c r="BJ1555" s="28" t="s">
        <v>29790</v>
      </c>
      <c r="BK1555" s="28" t="s">
        <v>29791</v>
      </c>
      <c r="BL1555" s="28" t="s">
        <v>29792</v>
      </c>
      <c r="BM1555" s="34" t="s">
        <v>138</v>
      </c>
      <c r="BN1555" s="29">
        <v>1</v>
      </c>
      <c r="BO1555" s="28" t="s">
        <v>172</v>
      </c>
      <c r="BP1555" s="29" t="s">
        <v>138</v>
      </c>
      <c r="BQ1555" s="28" t="s">
        <v>138</v>
      </c>
      <c r="BR1555" s="28" t="s">
        <v>262</v>
      </c>
      <c r="BS1555" s="28" t="s">
        <v>262</v>
      </c>
      <c r="BT1555" s="28" t="s">
        <v>138</v>
      </c>
      <c r="BU1555" s="28" t="s">
        <v>263</v>
      </c>
      <c r="BV1555" s="28" t="s">
        <v>138</v>
      </c>
      <c r="BW1555" s="28" t="s">
        <v>138</v>
      </c>
      <c r="BX1555" s="28" t="s">
        <v>138</v>
      </c>
      <c r="BY1555" s="28" t="s">
        <v>175</v>
      </c>
      <c r="BZ1555" s="34">
        <v>43559</v>
      </c>
      <c r="CA1555" s="29" t="s">
        <v>138</v>
      </c>
      <c r="CB1555" s="28" t="s">
        <v>138</v>
      </c>
      <c r="CC1555" s="29" t="s">
        <v>138</v>
      </c>
      <c r="CD1555" s="28" t="s">
        <v>138</v>
      </c>
      <c r="CE1555" s="28" t="s">
        <v>1673</v>
      </c>
      <c r="CF1555" s="28" t="s">
        <v>9447</v>
      </c>
      <c r="CG1555" s="28" t="s">
        <v>138</v>
      </c>
      <c r="CH1555" s="28" t="s">
        <v>351</v>
      </c>
      <c r="CI1555" s="28" t="s">
        <v>1328</v>
      </c>
      <c r="CJ1555" s="28" t="s">
        <v>138</v>
      </c>
      <c r="CK1555" s="28" t="s">
        <v>138</v>
      </c>
      <c r="CL1555" s="28" t="s">
        <v>352</v>
      </c>
      <c r="CM1555" s="34">
        <v>43559</v>
      </c>
      <c r="CN1555" s="29" t="s">
        <v>138</v>
      </c>
      <c r="CO1555" s="35">
        <v>-0.85</v>
      </c>
      <c r="CP1555" s="36">
        <v>12</v>
      </c>
      <c r="CQ1555" s="35">
        <v>0.01</v>
      </c>
      <c r="CR1555" s="35">
        <v>0.69</v>
      </c>
      <c r="CS1555" s="35">
        <v>-1.74</v>
      </c>
      <c r="CT1555" s="36">
        <v>10</v>
      </c>
      <c r="CU1555" s="35">
        <v>0.03</v>
      </c>
      <c r="CV1555" s="36">
        <v>54</v>
      </c>
      <c r="CW1555" s="35">
        <v>-1.93</v>
      </c>
      <c r="CX1555" s="36">
        <v>7</v>
      </c>
      <c r="CY1555" s="35">
        <v>-1.54</v>
      </c>
      <c r="CZ1555" s="36">
        <v>14</v>
      </c>
      <c r="DA1555" s="35">
        <v>0.03</v>
      </c>
      <c r="DB1555" s="36">
        <v>60</v>
      </c>
      <c r="DC1555" s="37">
        <v>651.99</v>
      </c>
      <c r="DD1555" s="36">
        <v>100</v>
      </c>
      <c r="DE1555" s="37">
        <v>-66.89</v>
      </c>
      <c r="DF1555" s="35">
        <v>-9.31</v>
      </c>
      <c r="DG1555" s="37">
        <v>1256.02</v>
      </c>
      <c r="DH1555" s="36">
        <v>100</v>
      </c>
      <c r="DI1555" s="37">
        <v>47.96</v>
      </c>
      <c r="DJ1555" s="36">
        <v>95</v>
      </c>
      <c r="DK1555" s="37">
        <v>2098.5100000000002</v>
      </c>
      <c r="DL1555" s="36">
        <v>100</v>
      </c>
      <c r="DM1555" s="37">
        <v>413.52</v>
      </c>
      <c r="DN1555" s="36">
        <v>100</v>
      </c>
      <c r="DO1555" s="37">
        <v>47.96</v>
      </c>
      <c r="DP1555" s="36">
        <v>96</v>
      </c>
      <c r="DQ1555" s="36">
        <v>721327</v>
      </c>
      <c r="DR1555" s="38">
        <v>-4613</v>
      </c>
      <c r="DS1555" s="35">
        <v>-0.64</v>
      </c>
      <c r="DT1555" s="36">
        <v>11978</v>
      </c>
      <c r="DU1555" s="38">
        <v>16</v>
      </c>
      <c r="DV1555" s="35">
        <v>0.13</v>
      </c>
      <c r="DW1555" s="36">
        <v>17169</v>
      </c>
      <c r="DX1555" s="39">
        <v>5</v>
      </c>
      <c r="DY1555" s="35">
        <v>0.03</v>
      </c>
      <c r="DZ1555" s="28" t="s">
        <v>178</v>
      </c>
      <c r="EA1555" s="34">
        <v>43620</v>
      </c>
      <c r="EB1555" s="29" t="s">
        <v>138</v>
      </c>
      <c r="EC1555" s="34" t="s">
        <v>138</v>
      </c>
      <c r="ED1555" s="28" t="s">
        <v>138</v>
      </c>
      <c r="EE1555" s="40" t="str">
        <f>HYPERLINK("https://my.pitchbook.com?c=60249-97", "View company online")</f>
        <v>View company online</v>
      </c>
    </row>
    <row r="1556" spans="1:135">
      <c r="A1556" s="15" t="s">
        <v>29793</v>
      </c>
      <c r="B1556" s="15" t="s">
        <v>29794</v>
      </c>
      <c r="C1556" s="15" t="s">
        <v>138</v>
      </c>
      <c r="D1556" s="15" t="s">
        <v>29795</v>
      </c>
      <c r="E1556" s="15" t="s">
        <v>29796</v>
      </c>
      <c r="F1556" s="15" t="s">
        <v>29793</v>
      </c>
      <c r="G1556" s="15" t="s">
        <v>29797</v>
      </c>
      <c r="H1556" s="15" t="s">
        <v>322</v>
      </c>
      <c r="I1556" s="15" t="s">
        <v>323</v>
      </c>
      <c r="J1556" s="15" t="s">
        <v>324</v>
      </c>
      <c r="K1556" s="15" t="s">
        <v>325</v>
      </c>
      <c r="L1556" s="15" t="s">
        <v>23792</v>
      </c>
      <c r="M1556" s="15" t="s">
        <v>29798</v>
      </c>
      <c r="N1556" s="15" t="s">
        <v>147</v>
      </c>
      <c r="O1556" s="17">
        <v>4.5</v>
      </c>
      <c r="P1556" s="15" t="s">
        <v>610</v>
      </c>
      <c r="Q1556" s="15" t="s">
        <v>149</v>
      </c>
      <c r="R1556" s="15" t="s">
        <v>174</v>
      </c>
      <c r="S1556" s="15" t="s">
        <v>29799</v>
      </c>
      <c r="T1556" s="18" t="s">
        <v>138</v>
      </c>
      <c r="U1556" s="15" t="s">
        <v>138</v>
      </c>
      <c r="V1556" s="15" t="s">
        <v>138</v>
      </c>
      <c r="W1556" s="15" t="s">
        <v>138</v>
      </c>
      <c r="X1556" s="19">
        <v>2018</v>
      </c>
      <c r="Y1556" s="15" t="s">
        <v>138</v>
      </c>
      <c r="Z1556" s="15" t="s">
        <v>138</v>
      </c>
      <c r="AA1556" s="15" t="s">
        <v>138</v>
      </c>
      <c r="AB1556" s="20" t="s">
        <v>138</v>
      </c>
      <c r="AC1556" s="20" t="s">
        <v>138</v>
      </c>
      <c r="AD1556" s="20" t="s">
        <v>138</v>
      </c>
      <c r="AE1556" s="20" t="s">
        <v>138</v>
      </c>
      <c r="AF1556" s="20" t="s">
        <v>138</v>
      </c>
      <c r="AG1556" s="15" t="s">
        <v>138</v>
      </c>
      <c r="AH1556" s="20" t="s">
        <v>138</v>
      </c>
      <c r="AI1556" s="20" t="s">
        <v>138</v>
      </c>
      <c r="AJ1556" s="20" t="s">
        <v>138</v>
      </c>
      <c r="AK1556" s="15" t="s">
        <v>29800</v>
      </c>
      <c r="AL1556" s="15" t="s">
        <v>29801</v>
      </c>
      <c r="AM1556" s="15" t="s">
        <v>566</v>
      </c>
      <c r="AN1556" s="15" t="s">
        <v>138</v>
      </c>
      <c r="AO1556" s="15" t="s">
        <v>29802</v>
      </c>
      <c r="AP1556" s="15" t="s">
        <v>861</v>
      </c>
      <c r="AQ1556" s="15" t="s">
        <v>29803</v>
      </c>
      <c r="AR1556" s="15" t="s">
        <v>1459</v>
      </c>
      <c r="AS1556" s="15" t="s">
        <v>863</v>
      </c>
      <c r="AT1556" s="15" t="s">
        <v>864</v>
      </c>
      <c r="AU1556" s="15" t="s">
        <v>865</v>
      </c>
      <c r="AV1556" s="15" t="s">
        <v>162</v>
      </c>
      <c r="AW1556" s="15" t="s">
        <v>138</v>
      </c>
      <c r="AX1556" s="15" t="s">
        <v>138</v>
      </c>
      <c r="AY1556" s="15" t="s">
        <v>138</v>
      </c>
      <c r="AZ1556" s="15" t="s">
        <v>164</v>
      </c>
      <c r="BA1556" s="15" t="s">
        <v>165</v>
      </c>
      <c r="BB1556" s="15" t="s">
        <v>29804</v>
      </c>
      <c r="BC1556" s="15" t="s">
        <v>29805</v>
      </c>
      <c r="BD1556" s="21">
        <v>3</v>
      </c>
      <c r="BE1556" s="15" t="s">
        <v>138</v>
      </c>
      <c r="BF1556" s="15" t="s">
        <v>138</v>
      </c>
      <c r="BG1556" s="15" t="s">
        <v>138</v>
      </c>
      <c r="BH1556" s="15" t="s">
        <v>29806</v>
      </c>
      <c r="BI1556" s="15" t="s">
        <v>138</v>
      </c>
      <c r="BJ1556" s="15" t="s">
        <v>138</v>
      </c>
      <c r="BK1556" s="15" t="s">
        <v>138</v>
      </c>
      <c r="BL1556" s="15" t="s">
        <v>3826</v>
      </c>
      <c r="BM1556" s="22">
        <v>43453</v>
      </c>
      <c r="BN1556" s="17">
        <v>4.5</v>
      </c>
      <c r="BO1556" s="15" t="s">
        <v>172</v>
      </c>
      <c r="BP1556" s="17">
        <v>11.25</v>
      </c>
      <c r="BQ1556" s="15" t="s">
        <v>172</v>
      </c>
      <c r="BR1556" s="15" t="s">
        <v>234</v>
      </c>
      <c r="BS1556" s="15" t="s">
        <v>234</v>
      </c>
      <c r="BT1556" s="15" t="s">
        <v>138</v>
      </c>
      <c r="BU1556" s="15" t="s">
        <v>174</v>
      </c>
      <c r="BV1556" s="15" t="s">
        <v>138</v>
      </c>
      <c r="BW1556" s="15" t="s">
        <v>138</v>
      </c>
      <c r="BX1556" s="15" t="s">
        <v>138</v>
      </c>
      <c r="BY1556" s="15" t="s">
        <v>175</v>
      </c>
      <c r="BZ1556" s="22">
        <v>43453</v>
      </c>
      <c r="CA1556" s="17">
        <v>4.5</v>
      </c>
      <c r="CB1556" s="15" t="s">
        <v>172</v>
      </c>
      <c r="CC1556" s="17">
        <v>11.25</v>
      </c>
      <c r="CD1556" s="15" t="s">
        <v>172</v>
      </c>
      <c r="CE1556" s="15" t="s">
        <v>234</v>
      </c>
      <c r="CF1556" s="15" t="s">
        <v>234</v>
      </c>
      <c r="CG1556" s="15" t="s">
        <v>138</v>
      </c>
      <c r="CH1556" s="15" t="s">
        <v>174</v>
      </c>
      <c r="CI1556" s="15" t="s">
        <v>138</v>
      </c>
      <c r="CJ1556" s="15" t="s">
        <v>138</v>
      </c>
      <c r="CK1556" s="15" t="s">
        <v>138</v>
      </c>
      <c r="CL1556" s="15" t="s">
        <v>175</v>
      </c>
      <c r="CM1556" s="22" t="s">
        <v>138</v>
      </c>
      <c r="CN1556" s="17" t="s">
        <v>138</v>
      </c>
      <c r="CO1556" s="23">
        <v>0</v>
      </c>
      <c r="CP1556" s="24">
        <v>26</v>
      </c>
      <c r="CQ1556" s="23">
        <v>0</v>
      </c>
      <c r="CR1556" s="23">
        <v>0</v>
      </c>
      <c r="CS1556" s="23">
        <v>0</v>
      </c>
      <c r="CT1556" s="24">
        <v>23</v>
      </c>
      <c r="CU1556" s="23" t="s">
        <v>138</v>
      </c>
      <c r="CV1556" s="24" t="s">
        <v>138</v>
      </c>
      <c r="CW1556" s="23">
        <v>0</v>
      </c>
      <c r="CX1556" s="24">
        <v>13</v>
      </c>
      <c r="CY1556" s="23" t="s">
        <v>138</v>
      </c>
      <c r="CZ1556" s="24" t="s">
        <v>138</v>
      </c>
      <c r="DA1556" s="23" t="s">
        <v>138</v>
      </c>
      <c r="DB1556" s="24" t="s">
        <v>138</v>
      </c>
      <c r="DC1556" s="25">
        <v>1.34</v>
      </c>
      <c r="DD1556" s="24">
        <v>58</v>
      </c>
      <c r="DE1556" s="25">
        <v>-0.17</v>
      </c>
      <c r="DF1556" s="23">
        <v>-11.37</v>
      </c>
      <c r="DG1556" s="25">
        <v>1.34</v>
      </c>
      <c r="DH1556" s="24">
        <v>58</v>
      </c>
      <c r="DI1556" s="25" t="s">
        <v>138</v>
      </c>
      <c r="DJ1556" s="24" t="s">
        <v>138</v>
      </c>
      <c r="DK1556" s="25">
        <v>1.34</v>
      </c>
      <c r="DL1556" s="24">
        <v>56</v>
      </c>
      <c r="DM1556" s="25" t="s">
        <v>138</v>
      </c>
      <c r="DN1556" s="24" t="s">
        <v>138</v>
      </c>
      <c r="DO1556" s="25" t="s">
        <v>138</v>
      </c>
      <c r="DP1556" s="24" t="s">
        <v>138</v>
      </c>
      <c r="DQ1556" s="24">
        <v>472</v>
      </c>
      <c r="DR1556" s="26">
        <v>-37</v>
      </c>
      <c r="DS1556" s="23">
        <v>-7.27</v>
      </c>
      <c r="DT1556" s="24" t="s">
        <v>138</v>
      </c>
      <c r="DU1556" s="26" t="s">
        <v>138</v>
      </c>
      <c r="DV1556" s="23" t="s">
        <v>138</v>
      </c>
      <c r="DW1556" s="24" t="s">
        <v>138</v>
      </c>
      <c r="DX1556" s="27" t="s">
        <v>138</v>
      </c>
      <c r="DY1556" s="23" t="s">
        <v>138</v>
      </c>
      <c r="DZ1556" s="15" t="s">
        <v>178</v>
      </c>
      <c r="EA1556" s="22">
        <v>43489</v>
      </c>
      <c r="EB1556" s="17">
        <v>11.25</v>
      </c>
      <c r="EC1556" s="22">
        <v>43453</v>
      </c>
      <c r="ED1556" s="15" t="s">
        <v>234</v>
      </c>
      <c r="EE1556" s="14" t="str">
        <f>HYPERLINK("https://my.pitchbook.com?c=234030-07", "View company online")</f>
        <v>View company online</v>
      </c>
    </row>
    <row r="1557" spans="1:135">
      <c r="A1557" s="28" t="s">
        <v>29807</v>
      </c>
      <c r="B1557" s="28" t="s">
        <v>29808</v>
      </c>
      <c r="C1557" s="28" t="s">
        <v>138</v>
      </c>
      <c r="D1557" s="28" t="s">
        <v>29809</v>
      </c>
      <c r="E1557" s="28" t="s">
        <v>138</v>
      </c>
      <c r="F1557" s="28" t="s">
        <v>29807</v>
      </c>
      <c r="G1557" s="28" t="s">
        <v>29810</v>
      </c>
      <c r="H1557" s="28" t="s">
        <v>322</v>
      </c>
      <c r="I1557" s="28" t="s">
        <v>323</v>
      </c>
      <c r="J1557" s="28" t="s">
        <v>9497</v>
      </c>
      <c r="K1557" s="28" t="s">
        <v>17918</v>
      </c>
      <c r="L1557" s="28" t="s">
        <v>2255</v>
      </c>
      <c r="M1557" s="28" t="s">
        <v>29811</v>
      </c>
      <c r="N1557" s="28" t="s">
        <v>147</v>
      </c>
      <c r="O1557" s="29">
        <v>2</v>
      </c>
      <c r="P1557" s="28" t="s">
        <v>148</v>
      </c>
      <c r="Q1557" s="28" t="s">
        <v>149</v>
      </c>
      <c r="R1557" s="28" t="s">
        <v>174</v>
      </c>
      <c r="S1557" s="28" t="s">
        <v>29812</v>
      </c>
      <c r="T1557" s="30" t="s">
        <v>138</v>
      </c>
      <c r="U1557" s="28" t="s">
        <v>138</v>
      </c>
      <c r="V1557" s="28" t="s">
        <v>138</v>
      </c>
      <c r="W1557" s="28" t="s">
        <v>138</v>
      </c>
      <c r="X1557" s="31">
        <v>2017</v>
      </c>
      <c r="Y1557" s="28" t="s">
        <v>138</v>
      </c>
      <c r="Z1557" s="28" t="s">
        <v>138</v>
      </c>
      <c r="AA1557" s="28" t="s">
        <v>138</v>
      </c>
      <c r="AB1557" s="32" t="s">
        <v>138</v>
      </c>
      <c r="AC1557" s="32" t="s">
        <v>138</v>
      </c>
      <c r="AD1557" s="32" t="s">
        <v>138</v>
      </c>
      <c r="AE1557" s="32" t="s">
        <v>138</v>
      </c>
      <c r="AF1557" s="32" t="s">
        <v>138</v>
      </c>
      <c r="AG1557" s="28" t="s">
        <v>138</v>
      </c>
      <c r="AH1557" s="32" t="s">
        <v>138</v>
      </c>
      <c r="AI1557" s="32" t="s">
        <v>138</v>
      </c>
      <c r="AJ1557" s="32" t="s">
        <v>138</v>
      </c>
      <c r="AK1557" s="28" t="s">
        <v>29813</v>
      </c>
      <c r="AL1557" s="28" t="s">
        <v>29814</v>
      </c>
      <c r="AM1557" s="28" t="s">
        <v>916</v>
      </c>
      <c r="AN1557" s="28" t="s">
        <v>29815</v>
      </c>
      <c r="AO1557" s="28" t="s">
        <v>138</v>
      </c>
      <c r="AP1557" s="28" t="s">
        <v>665</v>
      </c>
      <c r="AQ1557" s="28" t="s">
        <v>29816</v>
      </c>
      <c r="AR1557" s="28" t="s">
        <v>138</v>
      </c>
      <c r="AS1557" s="28" t="s">
        <v>668</v>
      </c>
      <c r="AT1557" s="28" t="s">
        <v>200</v>
      </c>
      <c r="AU1557" s="28" t="s">
        <v>2052</v>
      </c>
      <c r="AV1557" s="28" t="s">
        <v>162</v>
      </c>
      <c r="AW1557" s="28" t="s">
        <v>138</v>
      </c>
      <c r="AX1557" s="28" t="s">
        <v>138</v>
      </c>
      <c r="AY1557" s="28" t="s">
        <v>29817</v>
      </c>
      <c r="AZ1557" s="28" t="s">
        <v>164</v>
      </c>
      <c r="BA1557" s="28" t="s">
        <v>165</v>
      </c>
      <c r="BB1557" s="28" t="s">
        <v>29818</v>
      </c>
      <c r="BC1557" s="28" t="s">
        <v>29819</v>
      </c>
      <c r="BD1557" s="33">
        <v>4</v>
      </c>
      <c r="BE1557" s="28" t="s">
        <v>138</v>
      </c>
      <c r="BF1557" s="28" t="s">
        <v>138</v>
      </c>
      <c r="BG1557" s="28" t="s">
        <v>138</v>
      </c>
      <c r="BH1557" s="28" t="s">
        <v>29820</v>
      </c>
      <c r="BI1557" s="28" t="s">
        <v>138</v>
      </c>
      <c r="BJ1557" s="28" t="s">
        <v>138</v>
      </c>
      <c r="BK1557" s="28" t="s">
        <v>138</v>
      </c>
      <c r="BL1557" s="28" t="s">
        <v>138</v>
      </c>
      <c r="BM1557" s="34">
        <v>43437</v>
      </c>
      <c r="BN1557" s="29">
        <v>2</v>
      </c>
      <c r="BO1557" s="28" t="s">
        <v>172</v>
      </c>
      <c r="BP1557" s="29">
        <v>6</v>
      </c>
      <c r="BQ1557" s="28" t="s">
        <v>172</v>
      </c>
      <c r="BR1557" s="28" t="s">
        <v>234</v>
      </c>
      <c r="BS1557" s="28" t="s">
        <v>234</v>
      </c>
      <c r="BT1557" s="28" t="s">
        <v>138</v>
      </c>
      <c r="BU1557" s="28" t="s">
        <v>174</v>
      </c>
      <c r="BV1557" s="28" t="s">
        <v>138</v>
      </c>
      <c r="BW1557" s="28" t="s">
        <v>138</v>
      </c>
      <c r="BX1557" s="28" t="s">
        <v>138</v>
      </c>
      <c r="BY1557" s="28" t="s">
        <v>175</v>
      </c>
      <c r="BZ1557" s="34">
        <v>43437</v>
      </c>
      <c r="CA1557" s="29">
        <v>2</v>
      </c>
      <c r="CB1557" s="28" t="s">
        <v>172</v>
      </c>
      <c r="CC1557" s="29">
        <v>6</v>
      </c>
      <c r="CD1557" s="28" t="s">
        <v>172</v>
      </c>
      <c r="CE1557" s="28" t="s">
        <v>234</v>
      </c>
      <c r="CF1557" s="28" t="s">
        <v>234</v>
      </c>
      <c r="CG1557" s="28" t="s">
        <v>138</v>
      </c>
      <c r="CH1557" s="28" t="s">
        <v>174</v>
      </c>
      <c r="CI1557" s="28" t="s">
        <v>138</v>
      </c>
      <c r="CJ1557" s="28" t="s">
        <v>138</v>
      </c>
      <c r="CK1557" s="28" t="s">
        <v>138</v>
      </c>
      <c r="CL1557" s="28" t="s">
        <v>175</v>
      </c>
      <c r="CM1557" s="34" t="s">
        <v>138</v>
      </c>
      <c r="CN1557" s="29" t="s">
        <v>138</v>
      </c>
      <c r="CO1557" s="35" t="s">
        <v>138</v>
      </c>
      <c r="CP1557" s="36" t="s">
        <v>138</v>
      </c>
      <c r="CQ1557" s="35" t="s">
        <v>138</v>
      </c>
      <c r="CR1557" s="35" t="s">
        <v>138</v>
      </c>
      <c r="CS1557" s="35" t="s">
        <v>138</v>
      </c>
      <c r="CT1557" s="36" t="s">
        <v>138</v>
      </c>
      <c r="CU1557" s="35" t="s">
        <v>138</v>
      </c>
      <c r="CV1557" s="36" t="s">
        <v>138</v>
      </c>
      <c r="CW1557" s="35" t="s">
        <v>138</v>
      </c>
      <c r="CX1557" s="36" t="s">
        <v>138</v>
      </c>
      <c r="CY1557" s="35" t="s">
        <v>138</v>
      </c>
      <c r="CZ1557" s="36" t="s">
        <v>138</v>
      </c>
      <c r="DA1557" s="35" t="s">
        <v>138</v>
      </c>
      <c r="DB1557" s="36" t="s">
        <v>138</v>
      </c>
      <c r="DC1557" s="37" t="s">
        <v>138</v>
      </c>
      <c r="DD1557" s="36" t="s">
        <v>138</v>
      </c>
      <c r="DE1557" s="37" t="s">
        <v>138</v>
      </c>
      <c r="DF1557" s="35" t="s">
        <v>138</v>
      </c>
      <c r="DG1557" s="37" t="s">
        <v>138</v>
      </c>
      <c r="DH1557" s="36" t="s">
        <v>138</v>
      </c>
      <c r="DI1557" s="37" t="s">
        <v>138</v>
      </c>
      <c r="DJ1557" s="36" t="s">
        <v>138</v>
      </c>
      <c r="DK1557" s="37" t="s">
        <v>138</v>
      </c>
      <c r="DL1557" s="36" t="s">
        <v>138</v>
      </c>
      <c r="DM1557" s="37" t="s">
        <v>138</v>
      </c>
      <c r="DN1557" s="36" t="s">
        <v>138</v>
      </c>
      <c r="DO1557" s="37" t="s">
        <v>138</v>
      </c>
      <c r="DP1557" s="36" t="s">
        <v>138</v>
      </c>
      <c r="DQ1557" s="36" t="s">
        <v>138</v>
      </c>
      <c r="DR1557" s="38" t="s">
        <v>138</v>
      </c>
      <c r="DS1557" s="35" t="s">
        <v>138</v>
      </c>
      <c r="DT1557" s="36" t="s">
        <v>138</v>
      </c>
      <c r="DU1557" s="38" t="s">
        <v>138</v>
      </c>
      <c r="DV1557" s="35" t="s">
        <v>138</v>
      </c>
      <c r="DW1557" s="36" t="s">
        <v>138</v>
      </c>
      <c r="DX1557" s="39" t="s">
        <v>138</v>
      </c>
      <c r="DY1557" s="35" t="s">
        <v>138</v>
      </c>
      <c r="DZ1557" s="28" t="s">
        <v>178</v>
      </c>
      <c r="EA1557" s="34">
        <v>43566</v>
      </c>
      <c r="EB1557" s="29">
        <v>6</v>
      </c>
      <c r="EC1557" s="34">
        <v>43437</v>
      </c>
      <c r="ED1557" s="28" t="s">
        <v>234</v>
      </c>
      <c r="EE1557" s="40" t="str">
        <f>HYPERLINK("https://my.pitchbook.com?c=264537-46", "View company online")</f>
        <v>View company online</v>
      </c>
    </row>
    <row r="1558" spans="1:135">
      <c r="A1558" s="15" t="s">
        <v>29821</v>
      </c>
      <c r="B1558" s="15" t="s">
        <v>29822</v>
      </c>
      <c r="C1558" s="15" t="s">
        <v>29823</v>
      </c>
      <c r="D1558" s="15" t="s">
        <v>138</v>
      </c>
      <c r="E1558" s="15" t="s">
        <v>29824</v>
      </c>
      <c r="F1558" s="15" t="s">
        <v>29821</v>
      </c>
      <c r="G1558" s="15" t="s">
        <v>29825</v>
      </c>
      <c r="H1558" s="15" t="s">
        <v>322</v>
      </c>
      <c r="I1558" s="15" t="s">
        <v>323</v>
      </c>
      <c r="J1558" s="15" t="s">
        <v>324</v>
      </c>
      <c r="K1558" s="15" t="s">
        <v>325</v>
      </c>
      <c r="L1558" s="15" t="s">
        <v>2986</v>
      </c>
      <c r="M1558" s="15" t="s">
        <v>29826</v>
      </c>
      <c r="N1558" s="15" t="s">
        <v>147</v>
      </c>
      <c r="O1558" s="17">
        <v>41.88</v>
      </c>
      <c r="P1558" s="15" t="s">
        <v>148</v>
      </c>
      <c r="Q1558" s="15" t="s">
        <v>149</v>
      </c>
      <c r="R1558" s="15" t="s">
        <v>244</v>
      </c>
      <c r="S1558" s="15" t="s">
        <v>29827</v>
      </c>
      <c r="T1558" s="18">
        <v>168</v>
      </c>
      <c r="U1558" s="15" t="s">
        <v>29828</v>
      </c>
      <c r="V1558" s="15" t="s">
        <v>138</v>
      </c>
      <c r="W1558" s="15" t="s">
        <v>138</v>
      </c>
      <c r="X1558" s="19">
        <v>2015</v>
      </c>
      <c r="Y1558" s="15" t="s">
        <v>138</v>
      </c>
      <c r="Z1558" s="15" t="s">
        <v>138</v>
      </c>
      <c r="AA1558" s="15" t="s">
        <v>29829</v>
      </c>
      <c r="AB1558" s="20" t="s">
        <v>138</v>
      </c>
      <c r="AC1558" s="20" t="s">
        <v>138</v>
      </c>
      <c r="AD1558" s="20" t="s">
        <v>138</v>
      </c>
      <c r="AE1558" s="20" t="s">
        <v>138</v>
      </c>
      <c r="AF1558" s="20" t="s">
        <v>138</v>
      </c>
      <c r="AG1558" s="15" t="s">
        <v>138</v>
      </c>
      <c r="AH1558" s="20" t="s">
        <v>138</v>
      </c>
      <c r="AI1558" s="20" t="s">
        <v>138</v>
      </c>
      <c r="AJ1558" s="20" t="s">
        <v>138</v>
      </c>
      <c r="AK1558" s="15" t="s">
        <v>29830</v>
      </c>
      <c r="AL1558" s="15" t="s">
        <v>29831</v>
      </c>
      <c r="AM1558" s="15" t="s">
        <v>221</v>
      </c>
      <c r="AN1558" s="15" t="s">
        <v>29832</v>
      </c>
      <c r="AO1558" s="15" t="s">
        <v>138</v>
      </c>
      <c r="AP1558" s="15" t="s">
        <v>423</v>
      </c>
      <c r="AQ1558" s="15" t="s">
        <v>29833</v>
      </c>
      <c r="AR1558" s="15" t="s">
        <v>29834</v>
      </c>
      <c r="AS1558" s="15" t="s">
        <v>426</v>
      </c>
      <c r="AT1558" s="15" t="s">
        <v>426</v>
      </c>
      <c r="AU1558" s="15" t="s">
        <v>8757</v>
      </c>
      <c r="AV1558" s="15" t="s">
        <v>162</v>
      </c>
      <c r="AW1558" s="15" t="s">
        <v>138</v>
      </c>
      <c r="AX1558" s="15" t="s">
        <v>138</v>
      </c>
      <c r="AY1558" s="15" t="s">
        <v>138</v>
      </c>
      <c r="AZ1558" s="15" t="s">
        <v>164</v>
      </c>
      <c r="BA1558" s="15" t="s">
        <v>165</v>
      </c>
      <c r="BB1558" s="15" t="s">
        <v>29835</v>
      </c>
      <c r="BC1558" s="15" t="s">
        <v>29836</v>
      </c>
      <c r="BD1558" s="21">
        <v>11</v>
      </c>
      <c r="BE1558" s="15" t="s">
        <v>138</v>
      </c>
      <c r="BF1558" s="15" t="s">
        <v>138</v>
      </c>
      <c r="BG1558" s="15" t="s">
        <v>138</v>
      </c>
      <c r="BH1558" s="15" t="s">
        <v>29837</v>
      </c>
      <c r="BI1558" s="15" t="s">
        <v>138</v>
      </c>
      <c r="BJ1558" s="15" t="s">
        <v>138</v>
      </c>
      <c r="BK1558" s="15" t="s">
        <v>29838</v>
      </c>
      <c r="BL1558" s="15" t="s">
        <v>138</v>
      </c>
      <c r="BM1558" s="22">
        <v>42024</v>
      </c>
      <c r="BN1558" s="17">
        <v>3</v>
      </c>
      <c r="BO1558" s="15" t="s">
        <v>172</v>
      </c>
      <c r="BP1558" s="17" t="s">
        <v>138</v>
      </c>
      <c r="BQ1558" s="15" t="s">
        <v>138</v>
      </c>
      <c r="BR1558" s="15" t="s">
        <v>265</v>
      </c>
      <c r="BS1558" s="15" t="s">
        <v>138</v>
      </c>
      <c r="BT1558" s="15" t="s">
        <v>138</v>
      </c>
      <c r="BU1558" s="15" t="s">
        <v>1327</v>
      </c>
      <c r="BV1558" s="15" t="s">
        <v>264</v>
      </c>
      <c r="BW1558" s="15" t="s">
        <v>138</v>
      </c>
      <c r="BX1558" s="15" t="s">
        <v>138</v>
      </c>
      <c r="BY1558" s="15" t="s">
        <v>175</v>
      </c>
      <c r="BZ1558" s="22">
        <v>43236</v>
      </c>
      <c r="CA1558" s="17">
        <v>32.83</v>
      </c>
      <c r="CB1558" s="15" t="s">
        <v>172</v>
      </c>
      <c r="CC1558" s="17">
        <v>72.83</v>
      </c>
      <c r="CD1558" s="15" t="s">
        <v>172</v>
      </c>
      <c r="CE1558" s="15" t="s">
        <v>205</v>
      </c>
      <c r="CF1558" s="15" t="s">
        <v>720</v>
      </c>
      <c r="CG1558" s="15" t="s">
        <v>138</v>
      </c>
      <c r="CH1558" s="15" t="s">
        <v>174</v>
      </c>
      <c r="CI1558" s="15" t="s">
        <v>138</v>
      </c>
      <c r="CJ1558" s="15" t="s">
        <v>138</v>
      </c>
      <c r="CK1558" s="15" t="s">
        <v>138</v>
      </c>
      <c r="CL1558" s="15" t="s">
        <v>175</v>
      </c>
      <c r="CM1558" s="22" t="s">
        <v>138</v>
      </c>
      <c r="CN1558" s="17" t="s">
        <v>138</v>
      </c>
      <c r="CO1558" s="23">
        <v>2.0299999999999998</v>
      </c>
      <c r="CP1558" s="24">
        <v>99</v>
      </c>
      <c r="CQ1558" s="23">
        <v>-0.02</v>
      </c>
      <c r="CR1558" s="23">
        <v>-1.0900000000000001</v>
      </c>
      <c r="CS1558" s="23">
        <v>3.82</v>
      </c>
      <c r="CT1558" s="24">
        <v>100</v>
      </c>
      <c r="CU1558" s="23">
        <v>0.24</v>
      </c>
      <c r="CV1558" s="24">
        <v>84</v>
      </c>
      <c r="CW1558" s="23">
        <v>6.61</v>
      </c>
      <c r="CX1558" s="24">
        <v>98</v>
      </c>
      <c r="CY1558" s="23">
        <v>1.03</v>
      </c>
      <c r="CZ1558" s="24">
        <v>99</v>
      </c>
      <c r="DA1558" s="23">
        <v>0.24</v>
      </c>
      <c r="DB1558" s="24">
        <v>85</v>
      </c>
      <c r="DC1558" s="25">
        <v>16.64</v>
      </c>
      <c r="DD1558" s="24">
        <v>94</v>
      </c>
      <c r="DE1558" s="25">
        <v>-0.17</v>
      </c>
      <c r="DF1558" s="23">
        <v>-1.04</v>
      </c>
      <c r="DG1558" s="25">
        <v>28.94</v>
      </c>
      <c r="DH1558" s="24">
        <v>96</v>
      </c>
      <c r="DI1558" s="25">
        <v>4.3499999999999996</v>
      </c>
      <c r="DJ1558" s="24">
        <v>75</v>
      </c>
      <c r="DK1558" s="25">
        <v>7.01</v>
      </c>
      <c r="DL1558" s="24">
        <v>83</v>
      </c>
      <c r="DM1558" s="25">
        <v>50.86</v>
      </c>
      <c r="DN1558" s="24">
        <v>98</v>
      </c>
      <c r="DO1558" s="25">
        <v>4.3499999999999996</v>
      </c>
      <c r="DP1558" s="24">
        <v>77</v>
      </c>
      <c r="DQ1558" s="24">
        <v>2309</v>
      </c>
      <c r="DR1558" s="26">
        <v>288</v>
      </c>
      <c r="DS1558" s="23">
        <v>14.25</v>
      </c>
      <c r="DT1558" s="24">
        <v>1473</v>
      </c>
      <c r="DU1558" s="26">
        <v>10</v>
      </c>
      <c r="DV1558" s="23">
        <v>0.68</v>
      </c>
      <c r="DW1558" s="24">
        <v>1551</v>
      </c>
      <c r="DX1558" s="27">
        <v>7</v>
      </c>
      <c r="DY1558" s="23">
        <v>0.45</v>
      </c>
      <c r="DZ1558" s="15" t="s">
        <v>178</v>
      </c>
      <c r="EA1558" s="22">
        <v>43622</v>
      </c>
      <c r="EB1558" s="17">
        <v>72.83</v>
      </c>
      <c r="EC1558" s="22">
        <v>43236</v>
      </c>
      <c r="ED1558" s="15" t="s">
        <v>205</v>
      </c>
      <c r="EE1558" s="14" t="str">
        <f>HYPERLINK("https://my.pitchbook.com?c=166478-32", "View company online")</f>
        <v>View company online</v>
      </c>
    </row>
    <row r="1559" spans="1:135">
      <c r="A1559" s="28" t="s">
        <v>29839</v>
      </c>
      <c r="B1559" s="28" t="s">
        <v>29840</v>
      </c>
      <c r="C1559" s="28" t="s">
        <v>29841</v>
      </c>
      <c r="D1559" s="28" t="s">
        <v>138</v>
      </c>
      <c r="E1559" s="28" t="s">
        <v>138</v>
      </c>
      <c r="F1559" s="28" t="s">
        <v>29839</v>
      </c>
      <c r="G1559" s="28" t="s">
        <v>29842</v>
      </c>
      <c r="H1559" s="28" t="s">
        <v>385</v>
      </c>
      <c r="I1559" s="28" t="s">
        <v>386</v>
      </c>
      <c r="J1559" s="28" t="s">
        <v>558</v>
      </c>
      <c r="K1559" s="28" t="s">
        <v>23735</v>
      </c>
      <c r="L1559" s="28" t="s">
        <v>29843</v>
      </c>
      <c r="M1559" s="28" t="s">
        <v>29844</v>
      </c>
      <c r="N1559" s="28" t="s">
        <v>1452</v>
      </c>
      <c r="O1559" s="29">
        <v>6.5</v>
      </c>
      <c r="P1559" s="28" t="s">
        <v>148</v>
      </c>
      <c r="Q1559" s="28" t="s">
        <v>149</v>
      </c>
      <c r="R1559" s="28" t="s">
        <v>328</v>
      </c>
      <c r="S1559" s="28" t="s">
        <v>29845</v>
      </c>
      <c r="T1559" s="30">
        <v>38</v>
      </c>
      <c r="U1559" s="28" t="s">
        <v>29846</v>
      </c>
      <c r="V1559" s="28" t="s">
        <v>138</v>
      </c>
      <c r="W1559" s="28" t="s">
        <v>138</v>
      </c>
      <c r="X1559" s="31">
        <v>2005</v>
      </c>
      <c r="Y1559" s="28" t="s">
        <v>138</v>
      </c>
      <c r="Z1559" s="28" t="s">
        <v>138</v>
      </c>
      <c r="AA1559" s="28" t="s">
        <v>29847</v>
      </c>
      <c r="AB1559" s="32" t="s">
        <v>138</v>
      </c>
      <c r="AC1559" s="32" t="s">
        <v>138</v>
      </c>
      <c r="AD1559" s="32" t="s">
        <v>138</v>
      </c>
      <c r="AE1559" s="32" t="s">
        <v>138</v>
      </c>
      <c r="AF1559" s="32" t="s">
        <v>138</v>
      </c>
      <c r="AG1559" s="28" t="s">
        <v>138</v>
      </c>
      <c r="AH1559" s="32" t="s">
        <v>138</v>
      </c>
      <c r="AI1559" s="32" t="s">
        <v>138</v>
      </c>
      <c r="AJ1559" s="32" t="s">
        <v>138</v>
      </c>
      <c r="AK1559" s="28" t="s">
        <v>29848</v>
      </c>
      <c r="AL1559" s="28" t="s">
        <v>29849</v>
      </c>
      <c r="AM1559" s="28" t="s">
        <v>566</v>
      </c>
      <c r="AN1559" s="28" t="s">
        <v>29850</v>
      </c>
      <c r="AO1559" s="28" t="s">
        <v>29851</v>
      </c>
      <c r="AP1559" s="28" t="s">
        <v>29852</v>
      </c>
      <c r="AQ1559" s="28" t="s">
        <v>29853</v>
      </c>
      <c r="AR1559" s="28" t="s">
        <v>29854</v>
      </c>
      <c r="AS1559" s="28" t="s">
        <v>29855</v>
      </c>
      <c r="AT1559" s="28" t="s">
        <v>138</v>
      </c>
      <c r="AU1559" s="28" t="s">
        <v>29856</v>
      </c>
      <c r="AV1559" s="28" t="s">
        <v>573</v>
      </c>
      <c r="AW1559" s="28" t="s">
        <v>29857</v>
      </c>
      <c r="AX1559" s="28" t="s">
        <v>138</v>
      </c>
      <c r="AY1559" s="28" t="s">
        <v>29858</v>
      </c>
      <c r="AZ1559" s="28" t="s">
        <v>530</v>
      </c>
      <c r="BA1559" s="28" t="s">
        <v>577</v>
      </c>
      <c r="BB1559" s="28" t="s">
        <v>29859</v>
      </c>
      <c r="BC1559" s="28" t="s">
        <v>29860</v>
      </c>
      <c r="BD1559" s="33">
        <v>1</v>
      </c>
      <c r="BE1559" s="28" t="s">
        <v>138</v>
      </c>
      <c r="BF1559" s="28" t="s">
        <v>29861</v>
      </c>
      <c r="BG1559" s="28" t="s">
        <v>138</v>
      </c>
      <c r="BH1559" s="28" t="s">
        <v>29862</v>
      </c>
      <c r="BI1559" s="28" t="s">
        <v>29863</v>
      </c>
      <c r="BJ1559" s="28" t="s">
        <v>138</v>
      </c>
      <c r="BK1559" s="28" t="s">
        <v>138</v>
      </c>
      <c r="BL1559" s="28" t="s">
        <v>29864</v>
      </c>
      <c r="BM1559" s="34">
        <v>39156</v>
      </c>
      <c r="BN1559" s="29">
        <v>6.5</v>
      </c>
      <c r="BO1559" s="28" t="s">
        <v>172</v>
      </c>
      <c r="BP1559" s="29" t="s">
        <v>138</v>
      </c>
      <c r="BQ1559" s="28" t="s">
        <v>138</v>
      </c>
      <c r="BR1559" s="28" t="s">
        <v>205</v>
      </c>
      <c r="BS1559" s="28" t="s">
        <v>138</v>
      </c>
      <c r="BT1559" s="28" t="s">
        <v>138</v>
      </c>
      <c r="BU1559" s="28" t="s">
        <v>174</v>
      </c>
      <c r="BV1559" s="28" t="s">
        <v>138</v>
      </c>
      <c r="BW1559" s="28" t="s">
        <v>138</v>
      </c>
      <c r="BX1559" s="28" t="s">
        <v>138</v>
      </c>
      <c r="BY1559" s="28" t="s">
        <v>175</v>
      </c>
      <c r="BZ1559" s="34">
        <v>41723</v>
      </c>
      <c r="CA1559" s="29" t="s">
        <v>138</v>
      </c>
      <c r="CB1559" s="28" t="s">
        <v>138</v>
      </c>
      <c r="CC1559" s="29" t="s">
        <v>138</v>
      </c>
      <c r="CD1559" s="28" t="s">
        <v>138</v>
      </c>
      <c r="CE1559" s="28" t="s">
        <v>349</v>
      </c>
      <c r="CF1559" s="28" t="s">
        <v>138</v>
      </c>
      <c r="CG1559" s="28" t="s">
        <v>138</v>
      </c>
      <c r="CH1559" s="28" t="s">
        <v>351</v>
      </c>
      <c r="CI1559" s="28" t="s">
        <v>138</v>
      </c>
      <c r="CJ1559" s="28" t="s">
        <v>138</v>
      </c>
      <c r="CK1559" s="28" t="s">
        <v>138</v>
      </c>
      <c r="CL1559" s="28" t="s">
        <v>175</v>
      </c>
      <c r="CM1559" s="34" t="s">
        <v>138</v>
      </c>
      <c r="CN1559" s="29" t="s">
        <v>138</v>
      </c>
      <c r="CO1559" s="35">
        <v>0.08</v>
      </c>
      <c r="CP1559" s="36">
        <v>89</v>
      </c>
      <c r="CQ1559" s="35">
        <v>0</v>
      </c>
      <c r="CR1559" s="35">
        <v>0</v>
      </c>
      <c r="CS1559" s="35">
        <v>0</v>
      </c>
      <c r="CT1559" s="36">
        <v>23</v>
      </c>
      <c r="CU1559" s="35">
        <v>0.16</v>
      </c>
      <c r="CV1559" s="36">
        <v>76</v>
      </c>
      <c r="CW1559" s="35" t="s">
        <v>138</v>
      </c>
      <c r="CX1559" s="36" t="s">
        <v>138</v>
      </c>
      <c r="CY1559" s="35">
        <v>0</v>
      </c>
      <c r="CZ1559" s="36">
        <v>25</v>
      </c>
      <c r="DA1559" s="35" t="s">
        <v>138</v>
      </c>
      <c r="DB1559" s="36" t="s">
        <v>138</v>
      </c>
      <c r="DC1559" s="37">
        <v>0.82</v>
      </c>
      <c r="DD1559" s="36">
        <v>46</v>
      </c>
      <c r="DE1559" s="37">
        <v>0</v>
      </c>
      <c r="DF1559" s="35">
        <v>-0.02</v>
      </c>
      <c r="DG1559" s="37">
        <v>1.28</v>
      </c>
      <c r="DH1559" s="36">
        <v>57</v>
      </c>
      <c r="DI1559" s="37">
        <v>0.36</v>
      </c>
      <c r="DJ1559" s="36">
        <v>31</v>
      </c>
      <c r="DK1559" s="37" t="s">
        <v>138</v>
      </c>
      <c r="DL1559" s="36" t="s">
        <v>138</v>
      </c>
      <c r="DM1559" s="37">
        <v>1.28</v>
      </c>
      <c r="DN1559" s="36">
        <v>56</v>
      </c>
      <c r="DO1559" s="37" t="s">
        <v>138</v>
      </c>
      <c r="DP1559" s="36" t="s">
        <v>138</v>
      </c>
      <c r="DQ1559" s="36" t="s">
        <v>138</v>
      </c>
      <c r="DR1559" s="38" t="s">
        <v>138</v>
      </c>
      <c r="DS1559" s="35" t="s">
        <v>138</v>
      </c>
      <c r="DT1559" s="36">
        <v>37</v>
      </c>
      <c r="DU1559" s="38">
        <v>0</v>
      </c>
      <c r="DV1559" s="35">
        <v>0</v>
      </c>
      <c r="DW1559" s="36" t="s">
        <v>138</v>
      </c>
      <c r="DX1559" s="39" t="s">
        <v>138</v>
      </c>
      <c r="DY1559" s="35" t="s">
        <v>138</v>
      </c>
      <c r="DZ1559" s="28" t="s">
        <v>178</v>
      </c>
      <c r="EA1559" s="34">
        <v>43616</v>
      </c>
      <c r="EB1559" s="29" t="s">
        <v>138</v>
      </c>
      <c r="EC1559" s="34" t="s">
        <v>138</v>
      </c>
      <c r="ED1559" s="28" t="s">
        <v>138</v>
      </c>
      <c r="EE1559" s="40" t="str">
        <f>HYPERLINK("https://my.pitchbook.com?c=54032-32", "View company online")</f>
        <v>View company online</v>
      </c>
    </row>
    <row r="1560" spans="1:135">
      <c r="A1560" s="15" t="s">
        <v>29865</v>
      </c>
      <c r="B1560" s="15" t="s">
        <v>29866</v>
      </c>
      <c r="C1560" s="15" t="s">
        <v>138</v>
      </c>
      <c r="D1560" s="15" t="s">
        <v>138</v>
      </c>
      <c r="E1560" s="15" t="s">
        <v>138</v>
      </c>
      <c r="F1560" s="15" t="s">
        <v>29865</v>
      </c>
      <c r="G1560" s="15" t="s">
        <v>29867</v>
      </c>
      <c r="H1560" s="15" t="s">
        <v>385</v>
      </c>
      <c r="I1560" s="15" t="s">
        <v>386</v>
      </c>
      <c r="J1560" s="15" t="s">
        <v>387</v>
      </c>
      <c r="K1560" s="15" t="s">
        <v>29868</v>
      </c>
      <c r="L1560" s="15" t="s">
        <v>1994</v>
      </c>
      <c r="M1560" s="15" t="s">
        <v>29869</v>
      </c>
      <c r="N1560" s="15" t="s">
        <v>147</v>
      </c>
      <c r="O1560" s="17">
        <v>3.4</v>
      </c>
      <c r="P1560" s="15" t="s">
        <v>610</v>
      </c>
      <c r="Q1560" s="15" t="s">
        <v>149</v>
      </c>
      <c r="R1560" s="15" t="s">
        <v>174</v>
      </c>
      <c r="S1560" s="15" t="s">
        <v>29870</v>
      </c>
      <c r="T1560" s="18">
        <v>7</v>
      </c>
      <c r="U1560" s="15" t="s">
        <v>29871</v>
      </c>
      <c r="V1560" s="15" t="s">
        <v>138</v>
      </c>
      <c r="W1560" s="15" t="s">
        <v>138</v>
      </c>
      <c r="X1560" s="19" t="s">
        <v>138</v>
      </c>
      <c r="Y1560" s="15" t="s">
        <v>138</v>
      </c>
      <c r="Z1560" s="15" t="s">
        <v>138</v>
      </c>
      <c r="AA1560" s="15" t="s">
        <v>138</v>
      </c>
      <c r="AB1560" s="20" t="s">
        <v>138</v>
      </c>
      <c r="AC1560" s="20" t="s">
        <v>138</v>
      </c>
      <c r="AD1560" s="20" t="s">
        <v>138</v>
      </c>
      <c r="AE1560" s="20" t="s">
        <v>138</v>
      </c>
      <c r="AF1560" s="20" t="s">
        <v>138</v>
      </c>
      <c r="AG1560" s="15" t="s">
        <v>138</v>
      </c>
      <c r="AH1560" s="20" t="s">
        <v>138</v>
      </c>
      <c r="AI1560" s="20" t="s">
        <v>138</v>
      </c>
      <c r="AJ1560" s="20" t="s">
        <v>138</v>
      </c>
      <c r="AK1560" s="15" t="s">
        <v>29872</v>
      </c>
      <c r="AL1560" s="15" t="s">
        <v>29873</v>
      </c>
      <c r="AM1560" s="15" t="s">
        <v>304</v>
      </c>
      <c r="AN1560" s="15" t="s">
        <v>29874</v>
      </c>
      <c r="AO1560" s="15" t="s">
        <v>138</v>
      </c>
      <c r="AP1560" s="15" t="s">
        <v>2842</v>
      </c>
      <c r="AQ1560" s="15" t="s">
        <v>29875</v>
      </c>
      <c r="AR1560" s="15" t="s">
        <v>138</v>
      </c>
      <c r="AS1560" s="15" t="s">
        <v>2845</v>
      </c>
      <c r="AT1560" s="15" t="s">
        <v>200</v>
      </c>
      <c r="AU1560" s="15" t="s">
        <v>10437</v>
      </c>
      <c r="AV1560" s="15" t="s">
        <v>162</v>
      </c>
      <c r="AW1560" s="15" t="s">
        <v>138</v>
      </c>
      <c r="AX1560" s="15" t="s">
        <v>138</v>
      </c>
      <c r="AY1560" s="15" t="s">
        <v>29876</v>
      </c>
      <c r="AZ1560" s="15" t="s">
        <v>164</v>
      </c>
      <c r="BA1560" s="15" t="s">
        <v>165</v>
      </c>
      <c r="BB1560" s="15" t="s">
        <v>29877</v>
      </c>
      <c r="BC1560" s="15" t="s">
        <v>29878</v>
      </c>
      <c r="BD1560" s="21">
        <v>6</v>
      </c>
      <c r="BE1560" s="15" t="s">
        <v>138</v>
      </c>
      <c r="BF1560" s="15" t="s">
        <v>138</v>
      </c>
      <c r="BG1560" s="15" t="s">
        <v>138</v>
      </c>
      <c r="BH1560" s="15" t="s">
        <v>29879</v>
      </c>
      <c r="BI1560" s="15" t="s">
        <v>138</v>
      </c>
      <c r="BJ1560" s="15" t="s">
        <v>138</v>
      </c>
      <c r="BK1560" s="15" t="s">
        <v>2936</v>
      </c>
      <c r="BL1560" s="15" t="s">
        <v>2936</v>
      </c>
      <c r="BM1560" s="22">
        <v>42064</v>
      </c>
      <c r="BN1560" s="17" t="s">
        <v>138</v>
      </c>
      <c r="BO1560" s="15" t="s">
        <v>138</v>
      </c>
      <c r="BP1560" s="17" t="s">
        <v>138</v>
      </c>
      <c r="BQ1560" s="15" t="s">
        <v>138</v>
      </c>
      <c r="BR1560" s="15" t="s">
        <v>176</v>
      </c>
      <c r="BS1560" s="15" t="s">
        <v>138</v>
      </c>
      <c r="BT1560" s="15" t="s">
        <v>138</v>
      </c>
      <c r="BU1560" s="15" t="s">
        <v>177</v>
      </c>
      <c r="BV1560" s="15" t="s">
        <v>138</v>
      </c>
      <c r="BW1560" s="15" t="s">
        <v>138</v>
      </c>
      <c r="BX1560" s="15" t="s">
        <v>138</v>
      </c>
      <c r="BY1560" s="15" t="s">
        <v>175</v>
      </c>
      <c r="BZ1560" s="22">
        <v>43129</v>
      </c>
      <c r="CA1560" s="17">
        <v>2</v>
      </c>
      <c r="CB1560" s="15" t="s">
        <v>172</v>
      </c>
      <c r="CC1560" s="17">
        <v>9</v>
      </c>
      <c r="CD1560" s="15" t="s">
        <v>172</v>
      </c>
      <c r="CE1560" s="15" t="s">
        <v>234</v>
      </c>
      <c r="CF1560" s="15" t="s">
        <v>234</v>
      </c>
      <c r="CG1560" s="15" t="s">
        <v>138</v>
      </c>
      <c r="CH1560" s="15" t="s">
        <v>174</v>
      </c>
      <c r="CI1560" s="15" t="s">
        <v>138</v>
      </c>
      <c r="CJ1560" s="15" t="s">
        <v>138</v>
      </c>
      <c r="CK1560" s="15" t="s">
        <v>138</v>
      </c>
      <c r="CL1560" s="15" t="s">
        <v>175</v>
      </c>
      <c r="CM1560" s="22" t="s">
        <v>138</v>
      </c>
      <c r="CN1560" s="17" t="s">
        <v>138</v>
      </c>
      <c r="CO1560" s="23">
        <v>0</v>
      </c>
      <c r="CP1560" s="24">
        <v>26</v>
      </c>
      <c r="CQ1560" s="23">
        <v>0</v>
      </c>
      <c r="CR1560" s="23">
        <v>0</v>
      </c>
      <c r="CS1560" s="23">
        <v>0</v>
      </c>
      <c r="CT1560" s="24">
        <v>23</v>
      </c>
      <c r="CU1560" s="23">
        <v>0</v>
      </c>
      <c r="CV1560" s="24">
        <v>22</v>
      </c>
      <c r="CW1560" s="23" t="s">
        <v>138</v>
      </c>
      <c r="CX1560" s="24" t="s">
        <v>138</v>
      </c>
      <c r="CY1560" s="23">
        <v>0</v>
      </c>
      <c r="CZ1560" s="24">
        <v>25</v>
      </c>
      <c r="DA1560" s="23" t="s">
        <v>138</v>
      </c>
      <c r="DB1560" s="24" t="s">
        <v>138</v>
      </c>
      <c r="DC1560" s="25">
        <v>0.94</v>
      </c>
      <c r="DD1560" s="24">
        <v>50</v>
      </c>
      <c r="DE1560" s="25">
        <v>0</v>
      </c>
      <c r="DF1560" s="23">
        <v>0</v>
      </c>
      <c r="DG1560" s="25">
        <v>1.79</v>
      </c>
      <c r="DH1560" s="24">
        <v>64</v>
      </c>
      <c r="DI1560" s="25">
        <v>0.08</v>
      </c>
      <c r="DJ1560" s="24">
        <v>12</v>
      </c>
      <c r="DK1560" s="25" t="s">
        <v>138</v>
      </c>
      <c r="DL1560" s="24" t="s">
        <v>138</v>
      </c>
      <c r="DM1560" s="25">
        <v>1.79</v>
      </c>
      <c r="DN1560" s="24">
        <v>63</v>
      </c>
      <c r="DO1560" s="25" t="s">
        <v>138</v>
      </c>
      <c r="DP1560" s="24" t="s">
        <v>138</v>
      </c>
      <c r="DQ1560" s="24" t="s">
        <v>138</v>
      </c>
      <c r="DR1560" s="26" t="s">
        <v>138</v>
      </c>
      <c r="DS1560" s="23" t="s">
        <v>138</v>
      </c>
      <c r="DT1560" s="24">
        <v>52</v>
      </c>
      <c r="DU1560" s="26">
        <v>0</v>
      </c>
      <c r="DV1560" s="23">
        <v>0</v>
      </c>
      <c r="DW1560" s="24" t="s">
        <v>138</v>
      </c>
      <c r="DX1560" s="27" t="s">
        <v>138</v>
      </c>
      <c r="DY1560" s="23" t="s">
        <v>138</v>
      </c>
      <c r="DZ1560" s="15" t="s">
        <v>178</v>
      </c>
      <c r="EA1560" s="22">
        <v>43475</v>
      </c>
      <c r="EB1560" s="17">
        <v>9</v>
      </c>
      <c r="EC1560" s="22">
        <v>43129</v>
      </c>
      <c r="ED1560" s="15" t="s">
        <v>234</v>
      </c>
      <c r="EE1560" s="14" t="str">
        <f>HYPERLINK("https://my.pitchbook.com?c=171088-30", "View company online")</f>
        <v>View company online</v>
      </c>
    </row>
    <row r="1561" spans="1:135">
      <c r="A1561" s="28" t="s">
        <v>29880</v>
      </c>
      <c r="B1561" s="28" t="s">
        <v>29881</v>
      </c>
      <c r="C1561" s="28" t="s">
        <v>138</v>
      </c>
      <c r="D1561" s="28" t="s">
        <v>138</v>
      </c>
      <c r="E1561" s="28" t="s">
        <v>138</v>
      </c>
      <c r="F1561" s="28" t="s">
        <v>29880</v>
      </c>
      <c r="G1561" s="28" t="s">
        <v>29882</v>
      </c>
      <c r="H1561" s="28" t="s">
        <v>238</v>
      </c>
      <c r="I1561" s="28" t="s">
        <v>2662</v>
      </c>
      <c r="J1561" s="28" t="s">
        <v>4479</v>
      </c>
      <c r="K1561" s="28" t="s">
        <v>29883</v>
      </c>
      <c r="L1561" s="28" t="s">
        <v>138</v>
      </c>
      <c r="M1561" s="28" t="s">
        <v>29884</v>
      </c>
      <c r="N1561" s="28" t="s">
        <v>147</v>
      </c>
      <c r="O1561" s="29">
        <v>4.8499999999999996</v>
      </c>
      <c r="P1561" s="28" t="s">
        <v>148</v>
      </c>
      <c r="Q1561" s="28" t="s">
        <v>149</v>
      </c>
      <c r="R1561" s="28" t="s">
        <v>174</v>
      </c>
      <c r="S1561" s="28" t="s">
        <v>29885</v>
      </c>
      <c r="T1561" s="30" t="s">
        <v>138</v>
      </c>
      <c r="U1561" s="28" t="s">
        <v>138</v>
      </c>
      <c r="V1561" s="28" t="s">
        <v>138</v>
      </c>
      <c r="W1561" s="28" t="s">
        <v>138</v>
      </c>
      <c r="X1561" s="31">
        <v>2017</v>
      </c>
      <c r="Y1561" s="28" t="s">
        <v>138</v>
      </c>
      <c r="Z1561" s="28" t="s">
        <v>138</v>
      </c>
      <c r="AA1561" s="28" t="s">
        <v>138</v>
      </c>
      <c r="AB1561" s="32">
        <v>7.5</v>
      </c>
      <c r="AC1561" s="32" t="s">
        <v>138</v>
      </c>
      <c r="AD1561" s="32" t="s">
        <v>138</v>
      </c>
      <c r="AE1561" s="32" t="s">
        <v>138</v>
      </c>
      <c r="AF1561" s="32" t="s">
        <v>138</v>
      </c>
      <c r="AG1561" s="28" t="s">
        <v>815</v>
      </c>
      <c r="AH1561" s="32" t="s">
        <v>138</v>
      </c>
      <c r="AI1561" s="32" t="s">
        <v>138</v>
      </c>
      <c r="AJ1561" s="32" t="s">
        <v>138</v>
      </c>
      <c r="AK1561" s="28" t="s">
        <v>29886</v>
      </c>
      <c r="AL1561" s="28" t="s">
        <v>29887</v>
      </c>
      <c r="AM1561" s="28" t="s">
        <v>18618</v>
      </c>
      <c r="AN1561" s="28" t="s">
        <v>29888</v>
      </c>
      <c r="AO1561" s="28" t="s">
        <v>29889</v>
      </c>
      <c r="AP1561" s="28" t="s">
        <v>1870</v>
      </c>
      <c r="AQ1561" s="28" t="s">
        <v>29890</v>
      </c>
      <c r="AR1561" s="28" t="s">
        <v>138</v>
      </c>
      <c r="AS1561" s="28" t="s">
        <v>1872</v>
      </c>
      <c r="AT1561" s="28" t="s">
        <v>200</v>
      </c>
      <c r="AU1561" s="28" t="s">
        <v>4383</v>
      </c>
      <c r="AV1561" s="28" t="s">
        <v>162</v>
      </c>
      <c r="AW1561" s="28" t="s">
        <v>29889</v>
      </c>
      <c r="AX1561" s="28" t="s">
        <v>138</v>
      </c>
      <c r="AY1561" s="28" t="s">
        <v>29891</v>
      </c>
      <c r="AZ1561" s="28" t="s">
        <v>164</v>
      </c>
      <c r="BA1561" s="28" t="s">
        <v>165</v>
      </c>
      <c r="BB1561" s="28" t="s">
        <v>29892</v>
      </c>
      <c r="BC1561" s="28" t="s">
        <v>29893</v>
      </c>
      <c r="BD1561" s="33">
        <v>9</v>
      </c>
      <c r="BE1561" s="28" t="s">
        <v>138</v>
      </c>
      <c r="BF1561" s="28" t="s">
        <v>138</v>
      </c>
      <c r="BG1561" s="28" t="s">
        <v>138</v>
      </c>
      <c r="BH1561" s="28" t="s">
        <v>29894</v>
      </c>
      <c r="BI1561" s="28" t="s">
        <v>138</v>
      </c>
      <c r="BJ1561" s="28" t="s">
        <v>138</v>
      </c>
      <c r="BK1561" s="28" t="s">
        <v>138</v>
      </c>
      <c r="BL1561" s="28" t="s">
        <v>138</v>
      </c>
      <c r="BM1561" s="34" t="s">
        <v>138</v>
      </c>
      <c r="BN1561" s="29" t="s">
        <v>138</v>
      </c>
      <c r="BO1561" s="28" t="s">
        <v>138</v>
      </c>
      <c r="BP1561" s="29" t="s">
        <v>138</v>
      </c>
      <c r="BQ1561" s="28" t="s">
        <v>138</v>
      </c>
      <c r="BR1561" s="28" t="s">
        <v>205</v>
      </c>
      <c r="BS1561" s="28" t="s">
        <v>138</v>
      </c>
      <c r="BT1561" s="28" t="s">
        <v>138</v>
      </c>
      <c r="BU1561" s="28" t="s">
        <v>174</v>
      </c>
      <c r="BV1561" s="28" t="s">
        <v>138</v>
      </c>
      <c r="BW1561" s="28" t="s">
        <v>138</v>
      </c>
      <c r="BX1561" s="28" t="s">
        <v>138</v>
      </c>
      <c r="BY1561" s="28" t="s">
        <v>175</v>
      </c>
      <c r="BZ1561" s="34">
        <v>43406</v>
      </c>
      <c r="CA1561" s="29">
        <v>4.8499999999999996</v>
      </c>
      <c r="CB1561" s="28" t="s">
        <v>172</v>
      </c>
      <c r="CC1561" s="29" t="s">
        <v>138</v>
      </c>
      <c r="CD1561" s="28" t="s">
        <v>138</v>
      </c>
      <c r="CE1561" s="28" t="s">
        <v>234</v>
      </c>
      <c r="CF1561" s="28" t="s">
        <v>234</v>
      </c>
      <c r="CG1561" s="28" t="s">
        <v>138</v>
      </c>
      <c r="CH1561" s="28" t="s">
        <v>174</v>
      </c>
      <c r="CI1561" s="28" t="s">
        <v>138</v>
      </c>
      <c r="CJ1561" s="28" t="s">
        <v>138</v>
      </c>
      <c r="CK1561" s="28" t="s">
        <v>138</v>
      </c>
      <c r="CL1561" s="28" t="s">
        <v>175</v>
      </c>
      <c r="CM1561" s="34" t="s">
        <v>138</v>
      </c>
      <c r="CN1561" s="29" t="s">
        <v>138</v>
      </c>
      <c r="CO1561" s="35">
        <v>-1.63</v>
      </c>
      <c r="CP1561" s="36">
        <v>7</v>
      </c>
      <c r="CQ1561" s="35">
        <v>-0.04</v>
      </c>
      <c r="CR1561" s="35">
        <v>-2.4900000000000002</v>
      </c>
      <c r="CS1561" s="35">
        <v>-5.91</v>
      </c>
      <c r="CT1561" s="36">
        <v>2</v>
      </c>
      <c r="CU1561" s="35">
        <v>2.64</v>
      </c>
      <c r="CV1561" s="36">
        <v>100</v>
      </c>
      <c r="CW1561" s="35">
        <v>-11.82</v>
      </c>
      <c r="CX1561" s="36">
        <v>1</v>
      </c>
      <c r="CY1561" s="35">
        <v>0</v>
      </c>
      <c r="CZ1561" s="36">
        <v>25</v>
      </c>
      <c r="DA1561" s="35">
        <v>0.55000000000000004</v>
      </c>
      <c r="DB1561" s="36">
        <v>95</v>
      </c>
      <c r="DC1561" s="37">
        <v>24.72</v>
      </c>
      <c r="DD1561" s="36">
        <v>96</v>
      </c>
      <c r="DE1561" s="37">
        <v>-1.1000000000000001</v>
      </c>
      <c r="DF1561" s="35">
        <v>-4.26</v>
      </c>
      <c r="DG1561" s="37">
        <v>17.440000000000001</v>
      </c>
      <c r="DH1561" s="36">
        <v>94</v>
      </c>
      <c r="DI1561" s="37">
        <v>32</v>
      </c>
      <c r="DJ1561" s="36">
        <v>93</v>
      </c>
      <c r="DK1561" s="37">
        <v>33.770000000000003</v>
      </c>
      <c r="DL1561" s="36">
        <v>94</v>
      </c>
      <c r="DM1561" s="37">
        <v>1.1000000000000001</v>
      </c>
      <c r="DN1561" s="36">
        <v>52</v>
      </c>
      <c r="DO1561" s="37">
        <v>0.72</v>
      </c>
      <c r="DP1561" s="36">
        <v>44</v>
      </c>
      <c r="DQ1561" s="36">
        <v>12938</v>
      </c>
      <c r="DR1561" s="38">
        <v>-4070</v>
      </c>
      <c r="DS1561" s="35">
        <v>-23.93</v>
      </c>
      <c r="DT1561" s="36">
        <v>32</v>
      </c>
      <c r="DU1561" s="38">
        <v>1</v>
      </c>
      <c r="DV1561" s="35">
        <v>3.23</v>
      </c>
      <c r="DW1561" s="36">
        <v>256</v>
      </c>
      <c r="DX1561" s="39">
        <v>1</v>
      </c>
      <c r="DY1561" s="35">
        <v>0.39</v>
      </c>
      <c r="DZ1561" s="28" t="s">
        <v>178</v>
      </c>
      <c r="EA1561" s="34">
        <v>43412</v>
      </c>
      <c r="EB1561" s="29" t="s">
        <v>138</v>
      </c>
      <c r="EC1561" s="34" t="s">
        <v>138</v>
      </c>
      <c r="ED1561" s="28" t="s">
        <v>138</v>
      </c>
      <c r="EE1561" s="40" t="str">
        <f>HYPERLINK("https://my.pitchbook.com?c=232520-23", "View company online")</f>
        <v>View company online</v>
      </c>
    </row>
    <row r="1562" spans="1:135">
      <c r="A1562" s="15" t="s">
        <v>29895</v>
      </c>
      <c r="B1562" s="15" t="s">
        <v>29896</v>
      </c>
      <c r="C1562" s="15" t="s">
        <v>138</v>
      </c>
      <c r="D1562" s="15" t="s">
        <v>138</v>
      </c>
      <c r="E1562" s="15" t="s">
        <v>29897</v>
      </c>
      <c r="F1562" s="15" t="s">
        <v>29895</v>
      </c>
      <c r="G1562" s="15" t="s">
        <v>29898</v>
      </c>
      <c r="H1562" s="15" t="s">
        <v>322</v>
      </c>
      <c r="I1562" s="15" t="s">
        <v>356</v>
      </c>
      <c r="J1562" s="15" t="s">
        <v>3852</v>
      </c>
      <c r="K1562" s="15" t="s">
        <v>5258</v>
      </c>
      <c r="L1562" s="15" t="s">
        <v>415</v>
      </c>
      <c r="M1562" s="15" t="s">
        <v>29899</v>
      </c>
      <c r="N1562" s="15" t="s">
        <v>147</v>
      </c>
      <c r="O1562" s="17">
        <v>75</v>
      </c>
      <c r="P1562" s="15" t="s">
        <v>148</v>
      </c>
      <c r="Q1562" s="15" t="s">
        <v>149</v>
      </c>
      <c r="R1562" s="15" t="s">
        <v>244</v>
      </c>
      <c r="S1562" s="15" t="s">
        <v>29900</v>
      </c>
      <c r="T1562" s="18">
        <v>18</v>
      </c>
      <c r="U1562" s="15" t="s">
        <v>29901</v>
      </c>
      <c r="V1562" s="15" t="s">
        <v>138</v>
      </c>
      <c r="W1562" s="15" t="s">
        <v>138</v>
      </c>
      <c r="X1562" s="19">
        <v>2011</v>
      </c>
      <c r="Y1562" s="15" t="s">
        <v>138</v>
      </c>
      <c r="Z1562" s="15" t="s">
        <v>138</v>
      </c>
      <c r="AA1562" s="15" t="s">
        <v>138</v>
      </c>
      <c r="AB1562" s="20" t="s">
        <v>138</v>
      </c>
      <c r="AC1562" s="20" t="s">
        <v>138</v>
      </c>
      <c r="AD1562" s="20" t="s">
        <v>138</v>
      </c>
      <c r="AE1562" s="20" t="s">
        <v>138</v>
      </c>
      <c r="AF1562" s="20" t="s">
        <v>138</v>
      </c>
      <c r="AG1562" s="15" t="s">
        <v>138</v>
      </c>
      <c r="AH1562" s="20" t="s">
        <v>138</v>
      </c>
      <c r="AI1562" s="20" t="s">
        <v>138</v>
      </c>
      <c r="AJ1562" s="20" t="s">
        <v>138</v>
      </c>
      <c r="AK1562" s="15" t="s">
        <v>29902</v>
      </c>
      <c r="AL1562" s="15" t="s">
        <v>29903</v>
      </c>
      <c r="AM1562" s="15" t="s">
        <v>249</v>
      </c>
      <c r="AN1562" s="15" t="s">
        <v>29904</v>
      </c>
      <c r="AO1562" s="15" t="s">
        <v>29905</v>
      </c>
      <c r="AP1562" s="15" t="s">
        <v>22351</v>
      </c>
      <c r="AQ1562" s="15" t="s">
        <v>29906</v>
      </c>
      <c r="AR1562" s="15" t="s">
        <v>28755</v>
      </c>
      <c r="AS1562" s="15" t="s">
        <v>22353</v>
      </c>
      <c r="AT1562" s="15" t="s">
        <v>864</v>
      </c>
      <c r="AU1562" s="15" t="s">
        <v>22354</v>
      </c>
      <c r="AV1562" s="15" t="s">
        <v>162</v>
      </c>
      <c r="AW1562" s="15" t="s">
        <v>29905</v>
      </c>
      <c r="AX1562" s="15" t="s">
        <v>29907</v>
      </c>
      <c r="AY1562" s="15" t="s">
        <v>29908</v>
      </c>
      <c r="AZ1562" s="15" t="s">
        <v>164</v>
      </c>
      <c r="BA1562" s="15" t="s">
        <v>165</v>
      </c>
      <c r="BB1562" s="15" t="s">
        <v>29909</v>
      </c>
      <c r="BC1562" s="15" t="s">
        <v>25482</v>
      </c>
      <c r="BD1562" s="21">
        <v>1</v>
      </c>
      <c r="BE1562" s="15" t="s">
        <v>138</v>
      </c>
      <c r="BF1562" s="15" t="s">
        <v>138</v>
      </c>
      <c r="BG1562" s="15" t="s">
        <v>138</v>
      </c>
      <c r="BH1562" s="15" t="s">
        <v>25483</v>
      </c>
      <c r="BI1562" s="15" t="s">
        <v>138</v>
      </c>
      <c r="BJ1562" s="15" t="s">
        <v>138</v>
      </c>
      <c r="BK1562" s="15" t="s">
        <v>138</v>
      </c>
      <c r="BL1562" s="15" t="s">
        <v>29910</v>
      </c>
      <c r="BM1562" s="22">
        <v>40814</v>
      </c>
      <c r="BN1562" s="17">
        <v>25</v>
      </c>
      <c r="BO1562" s="15" t="s">
        <v>1178</v>
      </c>
      <c r="BP1562" s="17">
        <v>45</v>
      </c>
      <c r="BQ1562" s="15" t="s">
        <v>172</v>
      </c>
      <c r="BR1562" s="15" t="s">
        <v>205</v>
      </c>
      <c r="BS1562" s="15" t="s">
        <v>206</v>
      </c>
      <c r="BT1562" s="15" t="s">
        <v>138</v>
      </c>
      <c r="BU1562" s="15" t="s">
        <v>174</v>
      </c>
      <c r="BV1562" s="15" t="s">
        <v>138</v>
      </c>
      <c r="BW1562" s="15" t="s">
        <v>138</v>
      </c>
      <c r="BX1562" s="15" t="s">
        <v>138</v>
      </c>
      <c r="BY1562" s="15" t="s">
        <v>175</v>
      </c>
      <c r="BZ1562" s="22">
        <v>42929</v>
      </c>
      <c r="CA1562" s="17">
        <v>20</v>
      </c>
      <c r="CB1562" s="15" t="s">
        <v>172</v>
      </c>
      <c r="CC1562" s="17" t="s">
        <v>138</v>
      </c>
      <c r="CD1562" s="15" t="s">
        <v>138</v>
      </c>
      <c r="CE1562" s="15" t="s">
        <v>1326</v>
      </c>
      <c r="CF1562" s="15" t="s">
        <v>138</v>
      </c>
      <c r="CG1562" s="15" t="s">
        <v>138</v>
      </c>
      <c r="CH1562" s="15" t="s">
        <v>1327</v>
      </c>
      <c r="CI1562" s="15" t="s">
        <v>1080</v>
      </c>
      <c r="CJ1562" s="15" t="s">
        <v>138</v>
      </c>
      <c r="CK1562" s="15" t="s">
        <v>138</v>
      </c>
      <c r="CL1562" s="15" t="s">
        <v>175</v>
      </c>
      <c r="CM1562" s="22">
        <v>42929</v>
      </c>
      <c r="CN1562" s="17">
        <v>20</v>
      </c>
      <c r="CO1562" s="23">
        <v>0.09</v>
      </c>
      <c r="CP1562" s="24">
        <v>90</v>
      </c>
      <c r="CQ1562" s="23">
        <v>-0.09</v>
      </c>
      <c r="CR1562" s="23">
        <v>-50.46</v>
      </c>
      <c r="CS1562" s="23">
        <v>0</v>
      </c>
      <c r="CT1562" s="24">
        <v>23</v>
      </c>
      <c r="CU1562" s="23">
        <v>0.18</v>
      </c>
      <c r="CV1562" s="24">
        <v>78</v>
      </c>
      <c r="CW1562" s="23" t="s">
        <v>138</v>
      </c>
      <c r="CX1562" s="24" t="s">
        <v>138</v>
      </c>
      <c r="CY1562" s="23">
        <v>0</v>
      </c>
      <c r="CZ1562" s="24">
        <v>25</v>
      </c>
      <c r="DA1562" s="23">
        <v>0.18</v>
      </c>
      <c r="DB1562" s="24">
        <v>81</v>
      </c>
      <c r="DC1562" s="25">
        <v>1.04</v>
      </c>
      <c r="DD1562" s="24">
        <v>52</v>
      </c>
      <c r="DE1562" s="25">
        <v>-0.02</v>
      </c>
      <c r="DF1562" s="23">
        <v>-1.53</v>
      </c>
      <c r="DG1562" s="25">
        <v>1.69</v>
      </c>
      <c r="DH1562" s="24">
        <v>63</v>
      </c>
      <c r="DI1562" s="25">
        <v>0.39</v>
      </c>
      <c r="DJ1562" s="24">
        <v>32</v>
      </c>
      <c r="DK1562" s="25" t="s">
        <v>138</v>
      </c>
      <c r="DL1562" s="24" t="s">
        <v>138</v>
      </c>
      <c r="DM1562" s="25">
        <v>1.69</v>
      </c>
      <c r="DN1562" s="24">
        <v>62</v>
      </c>
      <c r="DO1562" s="25">
        <v>0.39</v>
      </c>
      <c r="DP1562" s="24">
        <v>34</v>
      </c>
      <c r="DQ1562" s="24" t="s">
        <v>138</v>
      </c>
      <c r="DR1562" s="26" t="s">
        <v>138</v>
      </c>
      <c r="DS1562" s="23" t="s">
        <v>138</v>
      </c>
      <c r="DT1562" s="24">
        <v>49</v>
      </c>
      <c r="DU1562" s="26">
        <v>-1</v>
      </c>
      <c r="DV1562" s="23">
        <v>-2</v>
      </c>
      <c r="DW1562" s="24">
        <v>139</v>
      </c>
      <c r="DX1562" s="27">
        <v>0</v>
      </c>
      <c r="DY1562" s="23">
        <v>0</v>
      </c>
      <c r="DZ1562" s="15" t="s">
        <v>178</v>
      </c>
      <c r="EA1562" s="22">
        <v>43351</v>
      </c>
      <c r="EB1562" s="17">
        <v>45</v>
      </c>
      <c r="EC1562" s="22">
        <v>40814</v>
      </c>
      <c r="ED1562" s="15" t="s">
        <v>205</v>
      </c>
      <c r="EE1562" s="14" t="str">
        <f>HYPERLINK("https://my.pitchbook.com?c=52894-81", "View company online")</f>
        <v>View company online</v>
      </c>
    </row>
    <row r="1563" spans="1:135">
      <c r="A1563" s="28" t="s">
        <v>29911</v>
      </c>
      <c r="B1563" s="28" t="s">
        <v>29912</v>
      </c>
      <c r="C1563" s="28" t="s">
        <v>138</v>
      </c>
      <c r="D1563" s="28" t="s">
        <v>138</v>
      </c>
      <c r="E1563" s="28" t="s">
        <v>29913</v>
      </c>
      <c r="F1563" s="28" t="s">
        <v>29911</v>
      </c>
      <c r="G1563" s="28" t="s">
        <v>29914</v>
      </c>
      <c r="H1563" s="28" t="s">
        <v>322</v>
      </c>
      <c r="I1563" s="28" t="s">
        <v>1503</v>
      </c>
      <c r="J1563" s="28" t="s">
        <v>11677</v>
      </c>
      <c r="K1563" s="28" t="s">
        <v>11678</v>
      </c>
      <c r="L1563" s="28" t="s">
        <v>215</v>
      </c>
      <c r="M1563" s="28" t="s">
        <v>29915</v>
      </c>
      <c r="N1563" s="28" t="s">
        <v>147</v>
      </c>
      <c r="O1563" s="29">
        <v>100</v>
      </c>
      <c r="P1563" s="28" t="s">
        <v>148</v>
      </c>
      <c r="Q1563" s="28" t="s">
        <v>149</v>
      </c>
      <c r="R1563" s="28" t="s">
        <v>244</v>
      </c>
      <c r="S1563" s="28" t="s">
        <v>29916</v>
      </c>
      <c r="T1563" s="30">
        <v>112</v>
      </c>
      <c r="U1563" s="28" t="s">
        <v>29917</v>
      </c>
      <c r="V1563" s="28" t="s">
        <v>138</v>
      </c>
      <c r="W1563" s="28" t="s">
        <v>138</v>
      </c>
      <c r="X1563" s="31">
        <v>2008</v>
      </c>
      <c r="Y1563" s="28" t="s">
        <v>138</v>
      </c>
      <c r="Z1563" s="28" t="s">
        <v>138</v>
      </c>
      <c r="AA1563" s="28" t="s">
        <v>138</v>
      </c>
      <c r="AB1563" s="32" t="s">
        <v>138</v>
      </c>
      <c r="AC1563" s="32" t="s">
        <v>138</v>
      </c>
      <c r="AD1563" s="32" t="s">
        <v>138</v>
      </c>
      <c r="AE1563" s="32" t="s">
        <v>138</v>
      </c>
      <c r="AF1563" s="32" t="s">
        <v>138</v>
      </c>
      <c r="AG1563" s="28" t="s">
        <v>138</v>
      </c>
      <c r="AH1563" s="32" t="s">
        <v>138</v>
      </c>
      <c r="AI1563" s="32" t="s">
        <v>138</v>
      </c>
      <c r="AJ1563" s="32" t="s">
        <v>138</v>
      </c>
      <c r="AK1563" s="28" t="s">
        <v>29918</v>
      </c>
      <c r="AL1563" s="28" t="s">
        <v>29919</v>
      </c>
      <c r="AM1563" s="28" t="s">
        <v>1586</v>
      </c>
      <c r="AN1563" s="28" t="s">
        <v>29920</v>
      </c>
      <c r="AO1563" s="28" t="s">
        <v>29921</v>
      </c>
      <c r="AP1563" s="28" t="s">
        <v>29922</v>
      </c>
      <c r="AQ1563" s="28" t="s">
        <v>29923</v>
      </c>
      <c r="AR1563" s="28" t="s">
        <v>138</v>
      </c>
      <c r="AS1563" s="28" t="s">
        <v>29924</v>
      </c>
      <c r="AT1563" s="28" t="s">
        <v>25570</v>
      </c>
      <c r="AU1563" s="28" t="s">
        <v>29925</v>
      </c>
      <c r="AV1563" s="28" t="s">
        <v>740</v>
      </c>
      <c r="AW1563" s="28" t="s">
        <v>29926</v>
      </c>
      <c r="AX1563" s="28" t="s">
        <v>138</v>
      </c>
      <c r="AY1563" s="28" t="s">
        <v>29927</v>
      </c>
      <c r="AZ1563" s="28" t="s">
        <v>742</v>
      </c>
      <c r="BA1563" s="28" t="s">
        <v>742</v>
      </c>
      <c r="BB1563" s="28" t="s">
        <v>29928</v>
      </c>
      <c r="BC1563" s="28" t="s">
        <v>29929</v>
      </c>
      <c r="BD1563" s="33">
        <v>10</v>
      </c>
      <c r="BE1563" s="28" t="s">
        <v>138</v>
      </c>
      <c r="BF1563" s="28" t="s">
        <v>138</v>
      </c>
      <c r="BG1563" s="28" t="s">
        <v>138</v>
      </c>
      <c r="BH1563" s="28" t="s">
        <v>29930</v>
      </c>
      <c r="BI1563" s="28" t="s">
        <v>138</v>
      </c>
      <c r="BJ1563" s="28" t="s">
        <v>138</v>
      </c>
      <c r="BK1563" s="28" t="s">
        <v>138</v>
      </c>
      <c r="BL1563" s="28" t="s">
        <v>29931</v>
      </c>
      <c r="BM1563" s="34">
        <v>39819</v>
      </c>
      <c r="BN1563" s="29" t="s">
        <v>138</v>
      </c>
      <c r="BO1563" s="28" t="s">
        <v>138</v>
      </c>
      <c r="BP1563" s="29" t="s">
        <v>138</v>
      </c>
      <c r="BQ1563" s="28" t="s">
        <v>138</v>
      </c>
      <c r="BR1563" s="28" t="s">
        <v>205</v>
      </c>
      <c r="BS1563" s="28" t="s">
        <v>206</v>
      </c>
      <c r="BT1563" s="28" t="s">
        <v>138</v>
      </c>
      <c r="BU1563" s="28" t="s">
        <v>174</v>
      </c>
      <c r="BV1563" s="28" t="s">
        <v>138</v>
      </c>
      <c r="BW1563" s="28" t="s">
        <v>138</v>
      </c>
      <c r="BX1563" s="28" t="s">
        <v>138</v>
      </c>
      <c r="BY1563" s="28" t="s">
        <v>175</v>
      </c>
      <c r="BZ1563" s="34">
        <v>43375</v>
      </c>
      <c r="CA1563" s="29">
        <v>30</v>
      </c>
      <c r="CB1563" s="28" t="s">
        <v>172</v>
      </c>
      <c r="CC1563" s="29" t="s">
        <v>138</v>
      </c>
      <c r="CD1563" s="28" t="s">
        <v>138</v>
      </c>
      <c r="CE1563" s="28" t="s">
        <v>173</v>
      </c>
      <c r="CF1563" s="28" t="s">
        <v>433</v>
      </c>
      <c r="CG1563" s="28" t="s">
        <v>138</v>
      </c>
      <c r="CH1563" s="28" t="s">
        <v>174</v>
      </c>
      <c r="CI1563" s="28" t="s">
        <v>138</v>
      </c>
      <c r="CJ1563" s="28" t="s">
        <v>138</v>
      </c>
      <c r="CK1563" s="28" t="s">
        <v>138</v>
      </c>
      <c r="CL1563" s="28" t="s">
        <v>175</v>
      </c>
      <c r="CM1563" s="34">
        <v>43101</v>
      </c>
      <c r="CN1563" s="29" t="s">
        <v>138</v>
      </c>
      <c r="CO1563" s="35">
        <v>-2.25</v>
      </c>
      <c r="CP1563" s="36">
        <v>5</v>
      </c>
      <c r="CQ1563" s="35">
        <v>-0.01</v>
      </c>
      <c r="CR1563" s="35">
        <v>-0.36</v>
      </c>
      <c r="CS1563" s="35">
        <v>-4.58</v>
      </c>
      <c r="CT1563" s="36">
        <v>3</v>
      </c>
      <c r="CU1563" s="35">
        <v>0.08</v>
      </c>
      <c r="CV1563" s="36">
        <v>64</v>
      </c>
      <c r="CW1563" s="35">
        <v>-5.7</v>
      </c>
      <c r="CX1563" s="36">
        <v>2</v>
      </c>
      <c r="CY1563" s="35">
        <v>-3.46</v>
      </c>
      <c r="CZ1563" s="36">
        <v>6</v>
      </c>
      <c r="DA1563" s="35">
        <v>0.1</v>
      </c>
      <c r="DB1563" s="36">
        <v>72</v>
      </c>
      <c r="DC1563" s="37">
        <v>11.52</v>
      </c>
      <c r="DD1563" s="36">
        <v>91</v>
      </c>
      <c r="DE1563" s="37">
        <v>-0.15</v>
      </c>
      <c r="DF1563" s="35">
        <v>-1.31</v>
      </c>
      <c r="DG1563" s="37">
        <v>20.420000000000002</v>
      </c>
      <c r="DH1563" s="36">
        <v>95</v>
      </c>
      <c r="DI1563" s="37">
        <v>2.62</v>
      </c>
      <c r="DJ1563" s="36">
        <v>67</v>
      </c>
      <c r="DK1563" s="37">
        <v>4.07</v>
      </c>
      <c r="DL1563" s="36">
        <v>76</v>
      </c>
      <c r="DM1563" s="37">
        <v>36.76</v>
      </c>
      <c r="DN1563" s="36">
        <v>97</v>
      </c>
      <c r="DO1563" s="37">
        <v>4.42</v>
      </c>
      <c r="DP1563" s="36">
        <v>77</v>
      </c>
      <c r="DQ1563" s="36">
        <v>1420</v>
      </c>
      <c r="DR1563" s="38">
        <v>-70</v>
      </c>
      <c r="DS1563" s="35">
        <v>-4.7</v>
      </c>
      <c r="DT1563" s="36">
        <v>1067</v>
      </c>
      <c r="DU1563" s="38">
        <v>0</v>
      </c>
      <c r="DV1563" s="35">
        <v>0</v>
      </c>
      <c r="DW1563" s="36">
        <v>1584</v>
      </c>
      <c r="DX1563" s="39">
        <v>-3</v>
      </c>
      <c r="DY1563" s="35">
        <v>-0.19</v>
      </c>
      <c r="DZ1563" s="28" t="s">
        <v>178</v>
      </c>
      <c r="EA1563" s="34">
        <v>43479</v>
      </c>
      <c r="EB1563" s="29" t="s">
        <v>138</v>
      </c>
      <c r="EC1563" s="34" t="s">
        <v>138</v>
      </c>
      <c r="ED1563" s="28" t="s">
        <v>138</v>
      </c>
      <c r="EE1563" s="40" t="str">
        <f>HYPERLINK("https://my.pitchbook.com?c=54097-12", "View company online")</f>
        <v>View company online</v>
      </c>
    </row>
    <row r="1564" spans="1:135">
      <c r="A1564" s="15" t="s">
        <v>29932</v>
      </c>
      <c r="B1564" s="15" t="s">
        <v>29933</v>
      </c>
      <c r="C1564" s="15" t="s">
        <v>138</v>
      </c>
      <c r="D1564" s="15" t="s">
        <v>138</v>
      </c>
      <c r="E1564" s="15" t="s">
        <v>138</v>
      </c>
      <c r="F1564" s="15" t="s">
        <v>29932</v>
      </c>
      <c r="G1564" s="15" t="s">
        <v>29934</v>
      </c>
      <c r="H1564" s="15" t="s">
        <v>322</v>
      </c>
      <c r="I1564" s="15" t="s">
        <v>1208</v>
      </c>
      <c r="J1564" s="15" t="s">
        <v>1209</v>
      </c>
      <c r="K1564" s="15" t="s">
        <v>11520</v>
      </c>
      <c r="L1564" s="15" t="s">
        <v>4828</v>
      </c>
      <c r="M1564" s="15" t="s">
        <v>29935</v>
      </c>
      <c r="N1564" s="15" t="s">
        <v>147</v>
      </c>
      <c r="O1564" s="17">
        <v>55</v>
      </c>
      <c r="P1564" s="15" t="s">
        <v>148</v>
      </c>
      <c r="Q1564" s="15" t="s">
        <v>149</v>
      </c>
      <c r="R1564" s="15" t="s">
        <v>174</v>
      </c>
      <c r="S1564" s="15" t="s">
        <v>29936</v>
      </c>
      <c r="T1564" s="18">
        <v>30</v>
      </c>
      <c r="U1564" s="15" t="s">
        <v>1431</v>
      </c>
      <c r="V1564" s="15" t="s">
        <v>138</v>
      </c>
      <c r="W1564" s="15" t="s">
        <v>138</v>
      </c>
      <c r="X1564" s="19">
        <v>2008</v>
      </c>
      <c r="Y1564" s="15" t="s">
        <v>138</v>
      </c>
      <c r="Z1564" s="15" t="s">
        <v>138</v>
      </c>
      <c r="AA1564" s="15" t="s">
        <v>138</v>
      </c>
      <c r="AB1564" s="20" t="s">
        <v>138</v>
      </c>
      <c r="AC1564" s="20" t="s">
        <v>138</v>
      </c>
      <c r="AD1564" s="20" t="s">
        <v>138</v>
      </c>
      <c r="AE1564" s="20" t="s">
        <v>138</v>
      </c>
      <c r="AF1564" s="20" t="s">
        <v>138</v>
      </c>
      <c r="AG1564" s="15" t="s">
        <v>138</v>
      </c>
      <c r="AH1564" s="20" t="s">
        <v>138</v>
      </c>
      <c r="AI1564" s="20" t="s">
        <v>138</v>
      </c>
      <c r="AJ1564" s="20" t="s">
        <v>138</v>
      </c>
      <c r="AK1564" s="15" t="s">
        <v>29937</v>
      </c>
      <c r="AL1564" s="15" t="s">
        <v>29938</v>
      </c>
      <c r="AM1564" s="15" t="s">
        <v>249</v>
      </c>
      <c r="AN1564" s="15" t="s">
        <v>29939</v>
      </c>
      <c r="AO1564" s="15" t="s">
        <v>29940</v>
      </c>
      <c r="AP1564" s="15" t="s">
        <v>3839</v>
      </c>
      <c r="AQ1564" s="15" t="s">
        <v>29941</v>
      </c>
      <c r="AR1564" s="15" t="s">
        <v>138</v>
      </c>
      <c r="AS1564" s="15" t="s">
        <v>3841</v>
      </c>
      <c r="AT1564" s="15" t="s">
        <v>200</v>
      </c>
      <c r="AU1564" s="15" t="s">
        <v>3842</v>
      </c>
      <c r="AV1564" s="15" t="s">
        <v>162</v>
      </c>
      <c r="AW1564" s="15" t="s">
        <v>29940</v>
      </c>
      <c r="AX1564" s="15" t="s">
        <v>29942</v>
      </c>
      <c r="AY1564" s="15" t="s">
        <v>29939</v>
      </c>
      <c r="AZ1564" s="15" t="s">
        <v>164</v>
      </c>
      <c r="BA1564" s="15" t="s">
        <v>165</v>
      </c>
      <c r="BB1564" s="15" t="s">
        <v>29943</v>
      </c>
      <c r="BC1564" s="15" t="s">
        <v>29944</v>
      </c>
      <c r="BD1564" s="21">
        <v>9</v>
      </c>
      <c r="BE1564" s="15" t="s">
        <v>138</v>
      </c>
      <c r="BF1564" s="15" t="s">
        <v>138</v>
      </c>
      <c r="BG1564" s="15" t="s">
        <v>138</v>
      </c>
      <c r="BH1564" s="15" t="s">
        <v>29945</v>
      </c>
      <c r="BI1564" s="15" t="s">
        <v>138</v>
      </c>
      <c r="BJ1564" s="15" t="s">
        <v>138</v>
      </c>
      <c r="BK1564" s="15" t="s">
        <v>25021</v>
      </c>
      <c r="BL1564" s="15" t="s">
        <v>3482</v>
      </c>
      <c r="BM1564" s="22">
        <v>39664</v>
      </c>
      <c r="BN1564" s="17">
        <v>10</v>
      </c>
      <c r="BO1564" s="15" t="s">
        <v>172</v>
      </c>
      <c r="BP1564" s="17">
        <v>26.78</v>
      </c>
      <c r="BQ1564" s="15" t="s">
        <v>172</v>
      </c>
      <c r="BR1564" s="15" t="s">
        <v>205</v>
      </c>
      <c r="BS1564" s="15" t="s">
        <v>206</v>
      </c>
      <c r="BT1564" s="15" t="s">
        <v>138</v>
      </c>
      <c r="BU1564" s="15" t="s">
        <v>174</v>
      </c>
      <c r="BV1564" s="15" t="s">
        <v>138</v>
      </c>
      <c r="BW1564" s="15" t="s">
        <v>138</v>
      </c>
      <c r="BX1564" s="15" t="s">
        <v>138</v>
      </c>
      <c r="BY1564" s="15" t="s">
        <v>175</v>
      </c>
      <c r="BZ1564" s="22">
        <v>42628</v>
      </c>
      <c r="CA1564" s="17">
        <v>3</v>
      </c>
      <c r="CB1564" s="15" t="s">
        <v>172</v>
      </c>
      <c r="CC1564" s="17" t="s">
        <v>138</v>
      </c>
      <c r="CD1564" s="15" t="s">
        <v>138</v>
      </c>
      <c r="CE1564" s="15" t="s">
        <v>176</v>
      </c>
      <c r="CF1564" s="15" t="s">
        <v>138</v>
      </c>
      <c r="CG1564" s="15" t="s">
        <v>138</v>
      </c>
      <c r="CH1564" s="15" t="s">
        <v>177</v>
      </c>
      <c r="CI1564" s="15" t="s">
        <v>138</v>
      </c>
      <c r="CJ1564" s="15" t="s">
        <v>138</v>
      </c>
      <c r="CK1564" s="15" t="s">
        <v>138</v>
      </c>
      <c r="CL1564" s="15" t="s">
        <v>175</v>
      </c>
      <c r="CM1564" s="22" t="s">
        <v>138</v>
      </c>
      <c r="CN1564" s="17" t="s">
        <v>138</v>
      </c>
      <c r="CO1564" s="23">
        <v>0</v>
      </c>
      <c r="CP1564" s="24">
        <v>26</v>
      </c>
      <c r="CQ1564" s="23">
        <v>0</v>
      </c>
      <c r="CR1564" s="23">
        <v>0</v>
      </c>
      <c r="CS1564" s="23">
        <v>0</v>
      </c>
      <c r="CT1564" s="24">
        <v>23</v>
      </c>
      <c r="CU1564" s="23">
        <v>0</v>
      </c>
      <c r="CV1564" s="24">
        <v>22</v>
      </c>
      <c r="CW1564" s="23" t="s">
        <v>138</v>
      </c>
      <c r="CX1564" s="24" t="s">
        <v>138</v>
      </c>
      <c r="CY1564" s="23">
        <v>0</v>
      </c>
      <c r="CZ1564" s="24">
        <v>25</v>
      </c>
      <c r="DA1564" s="23">
        <v>0</v>
      </c>
      <c r="DB1564" s="24">
        <v>22</v>
      </c>
      <c r="DC1564" s="25">
        <v>0.8</v>
      </c>
      <c r="DD1564" s="24">
        <v>46</v>
      </c>
      <c r="DE1564" s="25">
        <v>0</v>
      </c>
      <c r="DF1564" s="23">
        <v>0.01</v>
      </c>
      <c r="DG1564" s="25">
        <v>1.55</v>
      </c>
      <c r="DH1564" s="24">
        <v>61</v>
      </c>
      <c r="DI1564" s="25">
        <v>0.04</v>
      </c>
      <c r="DJ1564" s="24">
        <v>7</v>
      </c>
      <c r="DK1564" s="25" t="s">
        <v>138</v>
      </c>
      <c r="DL1564" s="24" t="s">
        <v>138</v>
      </c>
      <c r="DM1564" s="25">
        <v>1.55</v>
      </c>
      <c r="DN1564" s="24">
        <v>60</v>
      </c>
      <c r="DO1564" s="25">
        <v>0.04</v>
      </c>
      <c r="DP1564" s="24">
        <v>8</v>
      </c>
      <c r="DQ1564" s="24" t="s">
        <v>138</v>
      </c>
      <c r="DR1564" s="26" t="s">
        <v>138</v>
      </c>
      <c r="DS1564" s="23" t="s">
        <v>138</v>
      </c>
      <c r="DT1564" s="24">
        <v>45</v>
      </c>
      <c r="DU1564" s="26">
        <v>0</v>
      </c>
      <c r="DV1564" s="23">
        <v>0</v>
      </c>
      <c r="DW1564" s="24">
        <v>15</v>
      </c>
      <c r="DX1564" s="27">
        <v>0</v>
      </c>
      <c r="DY1564" s="23">
        <v>0</v>
      </c>
      <c r="DZ1564" s="15" t="s">
        <v>178</v>
      </c>
      <c r="EA1564" s="22">
        <v>43351</v>
      </c>
      <c r="EB1564" s="17">
        <v>110</v>
      </c>
      <c r="EC1564" s="22">
        <v>42339</v>
      </c>
      <c r="ED1564" s="15" t="s">
        <v>173</v>
      </c>
      <c r="EE1564" s="14" t="str">
        <f>HYPERLINK("https://my.pitchbook.com?c=53848-63", "View company online")</f>
        <v>View company online</v>
      </c>
    </row>
    <row r="1565" spans="1:135">
      <c r="A1565" s="28" t="s">
        <v>29946</v>
      </c>
      <c r="B1565" s="28" t="s">
        <v>29947</v>
      </c>
      <c r="C1565" s="28" t="s">
        <v>138</v>
      </c>
      <c r="D1565" s="28" t="s">
        <v>138</v>
      </c>
      <c r="E1565" s="28" t="s">
        <v>138</v>
      </c>
      <c r="F1565" s="28" t="s">
        <v>29946</v>
      </c>
      <c r="G1565" s="28" t="s">
        <v>29948</v>
      </c>
      <c r="H1565" s="28" t="s">
        <v>322</v>
      </c>
      <c r="I1565" s="28" t="s">
        <v>323</v>
      </c>
      <c r="J1565" s="28" t="s">
        <v>413</v>
      </c>
      <c r="K1565" s="28" t="s">
        <v>29949</v>
      </c>
      <c r="L1565" s="28" t="s">
        <v>242</v>
      </c>
      <c r="M1565" s="28" t="s">
        <v>29950</v>
      </c>
      <c r="N1565" s="28" t="s">
        <v>147</v>
      </c>
      <c r="O1565" s="29">
        <v>6.4</v>
      </c>
      <c r="P1565" s="28" t="s">
        <v>148</v>
      </c>
      <c r="Q1565" s="28" t="s">
        <v>149</v>
      </c>
      <c r="R1565" s="28" t="s">
        <v>244</v>
      </c>
      <c r="S1565" s="28" t="s">
        <v>29951</v>
      </c>
      <c r="T1565" s="30">
        <v>9</v>
      </c>
      <c r="U1565" s="28" t="s">
        <v>29952</v>
      </c>
      <c r="V1565" s="28" t="s">
        <v>138</v>
      </c>
      <c r="W1565" s="28" t="s">
        <v>138</v>
      </c>
      <c r="X1565" s="31">
        <v>2014</v>
      </c>
      <c r="Y1565" s="28" t="s">
        <v>138</v>
      </c>
      <c r="Z1565" s="28" t="s">
        <v>138</v>
      </c>
      <c r="AA1565" s="28" t="s">
        <v>138</v>
      </c>
      <c r="AB1565" s="32" t="s">
        <v>138</v>
      </c>
      <c r="AC1565" s="32" t="s">
        <v>138</v>
      </c>
      <c r="AD1565" s="32" t="s">
        <v>138</v>
      </c>
      <c r="AE1565" s="32" t="s">
        <v>138</v>
      </c>
      <c r="AF1565" s="32" t="s">
        <v>138</v>
      </c>
      <c r="AG1565" s="28" t="s">
        <v>138</v>
      </c>
      <c r="AH1565" s="32" t="s">
        <v>138</v>
      </c>
      <c r="AI1565" s="32" t="s">
        <v>138</v>
      </c>
      <c r="AJ1565" s="32" t="s">
        <v>138</v>
      </c>
      <c r="AK1565" s="28" t="s">
        <v>29953</v>
      </c>
      <c r="AL1565" s="28" t="s">
        <v>29954</v>
      </c>
      <c r="AM1565" s="28" t="s">
        <v>5737</v>
      </c>
      <c r="AN1565" s="28" t="s">
        <v>29955</v>
      </c>
      <c r="AO1565" s="28" t="s">
        <v>29956</v>
      </c>
      <c r="AP1565" s="28" t="s">
        <v>29957</v>
      </c>
      <c r="AQ1565" s="28" t="s">
        <v>29958</v>
      </c>
      <c r="AR1565" s="28" t="s">
        <v>138</v>
      </c>
      <c r="AS1565" s="28" t="s">
        <v>29959</v>
      </c>
      <c r="AT1565" s="28" t="s">
        <v>3182</v>
      </c>
      <c r="AU1565" s="28" t="s">
        <v>29960</v>
      </c>
      <c r="AV1565" s="28" t="s">
        <v>162</v>
      </c>
      <c r="AW1565" s="28" t="s">
        <v>29956</v>
      </c>
      <c r="AX1565" s="28" t="s">
        <v>138</v>
      </c>
      <c r="AY1565" s="28" t="s">
        <v>29961</v>
      </c>
      <c r="AZ1565" s="28" t="s">
        <v>164</v>
      </c>
      <c r="BA1565" s="28" t="s">
        <v>165</v>
      </c>
      <c r="BB1565" s="28" t="s">
        <v>29962</v>
      </c>
      <c r="BC1565" s="28" t="s">
        <v>29963</v>
      </c>
      <c r="BD1565" s="33">
        <v>15</v>
      </c>
      <c r="BE1565" s="28" t="s">
        <v>138</v>
      </c>
      <c r="BF1565" s="28" t="s">
        <v>138</v>
      </c>
      <c r="BG1565" s="28" t="s">
        <v>138</v>
      </c>
      <c r="BH1565" s="28" t="s">
        <v>29964</v>
      </c>
      <c r="BI1565" s="28" t="s">
        <v>138</v>
      </c>
      <c r="BJ1565" s="28" t="s">
        <v>138</v>
      </c>
      <c r="BK1565" s="28" t="s">
        <v>138</v>
      </c>
      <c r="BL1565" s="28" t="s">
        <v>138</v>
      </c>
      <c r="BM1565" s="34" t="s">
        <v>138</v>
      </c>
      <c r="BN1565" s="29" t="s">
        <v>138</v>
      </c>
      <c r="BO1565" s="28" t="s">
        <v>138</v>
      </c>
      <c r="BP1565" s="29" t="s">
        <v>138</v>
      </c>
      <c r="BQ1565" s="28" t="s">
        <v>138</v>
      </c>
      <c r="BR1565" s="28" t="s">
        <v>316</v>
      </c>
      <c r="BS1565" s="28" t="s">
        <v>138</v>
      </c>
      <c r="BT1565" s="28" t="s">
        <v>138</v>
      </c>
      <c r="BU1565" s="28" t="s">
        <v>177</v>
      </c>
      <c r="BV1565" s="28" t="s">
        <v>138</v>
      </c>
      <c r="BW1565" s="28" t="s">
        <v>138</v>
      </c>
      <c r="BX1565" s="28" t="s">
        <v>138</v>
      </c>
      <c r="BY1565" s="28" t="s">
        <v>175</v>
      </c>
      <c r="BZ1565" s="34">
        <v>43143</v>
      </c>
      <c r="CA1565" s="29">
        <v>5</v>
      </c>
      <c r="CB1565" s="28" t="s">
        <v>172</v>
      </c>
      <c r="CC1565" s="29" t="s">
        <v>138</v>
      </c>
      <c r="CD1565" s="28" t="s">
        <v>138</v>
      </c>
      <c r="CE1565" s="28" t="s">
        <v>205</v>
      </c>
      <c r="CF1565" s="28" t="s">
        <v>720</v>
      </c>
      <c r="CG1565" s="28" t="s">
        <v>138</v>
      </c>
      <c r="CH1565" s="28" t="s">
        <v>174</v>
      </c>
      <c r="CI1565" s="28" t="s">
        <v>138</v>
      </c>
      <c r="CJ1565" s="28" t="s">
        <v>138</v>
      </c>
      <c r="CK1565" s="28" t="s">
        <v>138</v>
      </c>
      <c r="CL1565" s="28" t="s">
        <v>175</v>
      </c>
      <c r="CM1565" s="34" t="s">
        <v>138</v>
      </c>
      <c r="CN1565" s="29" t="s">
        <v>138</v>
      </c>
      <c r="CO1565" s="35">
        <v>0.71</v>
      </c>
      <c r="CP1565" s="36">
        <v>96</v>
      </c>
      <c r="CQ1565" s="35">
        <v>0</v>
      </c>
      <c r="CR1565" s="35">
        <v>-0.63</v>
      </c>
      <c r="CS1565" s="35">
        <v>1.47</v>
      </c>
      <c r="CT1565" s="36">
        <v>97</v>
      </c>
      <c r="CU1565" s="35">
        <v>-0.06</v>
      </c>
      <c r="CV1565" s="36">
        <v>8</v>
      </c>
      <c r="CW1565" s="35">
        <v>3.87</v>
      </c>
      <c r="CX1565" s="36">
        <v>93</v>
      </c>
      <c r="CY1565" s="35">
        <v>-0.92</v>
      </c>
      <c r="CZ1565" s="36">
        <v>19</v>
      </c>
      <c r="DA1565" s="35">
        <v>-0.06</v>
      </c>
      <c r="DB1565" s="36">
        <v>11</v>
      </c>
      <c r="DC1565" s="37">
        <v>57.45</v>
      </c>
      <c r="DD1565" s="36">
        <v>98</v>
      </c>
      <c r="DE1565" s="37">
        <v>-0.89</v>
      </c>
      <c r="DF1565" s="35">
        <v>-1.53</v>
      </c>
      <c r="DG1565" s="37">
        <v>40.89</v>
      </c>
      <c r="DH1565" s="36">
        <v>98</v>
      </c>
      <c r="DI1565" s="37">
        <v>74.02</v>
      </c>
      <c r="DJ1565" s="36">
        <v>96</v>
      </c>
      <c r="DK1565" s="37">
        <v>33.85</v>
      </c>
      <c r="DL1565" s="36">
        <v>94</v>
      </c>
      <c r="DM1565" s="37">
        <v>47.93</v>
      </c>
      <c r="DN1565" s="36">
        <v>98</v>
      </c>
      <c r="DO1565" s="37">
        <v>74.02</v>
      </c>
      <c r="DP1565" s="36">
        <v>97</v>
      </c>
      <c r="DQ1565" s="36">
        <v>11391</v>
      </c>
      <c r="DR1565" s="38">
        <v>654</v>
      </c>
      <c r="DS1565" s="35">
        <v>6.09</v>
      </c>
      <c r="DT1565" s="36">
        <v>1390</v>
      </c>
      <c r="DU1565" s="38">
        <v>1</v>
      </c>
      <c r="DV1565" s="35">
        <v>7.0000000000000007E-2</v>
      </c>
      <c r="DW1565" s="36">
        <v>26500</v>
      </c>
      <c r="DX1565" s="39">
        <v>-12</v>
      </c>
      <c r="DY1565" s="35">
        <v>-0.05</v>
      </c>
      <c r="DZ1565" s="28" t="s">
        <v>178</v>
      </c>
      <c r="EA1565" s="34">
        <v>43375</v>
      </c>
      <c r="EB1565" s="29">
        <v>12.7</v>
      </c>
      <c r="EC1565" s="34">
        <v>42291</v>
      </c>
      <c r="ED1565" s="28" t="s">
        <v>205</v>
      </c>
      <c r="EE1565" s="40" t="str">
        <f>HYPERLINK("https://my.pitchbook.com?c=118157-50", "View company online")</f>
        <v>View company online</v>
      </c>
    </row>
    <row r="1566" spans="1:135">
      <c r="A1566" s="15" t="s">
        <v>29965</v>
      </c>
      <c r="B1566" s="15" t="s">
        <v>29966</v>
      </c>
      <c r="C1566" s="15" t="s">
        <v>138</v>
      </c>
      <c r="D1566" s="15" t="s">
        <v>29967</v>
      </c>
      <c r="E1566" s="15" t="s">
        <v>138</v>
      </c>
      <c r="F1566" s="15" t="s">
        <v>29965</v>
      </c>
      <c r="G1566" s="15" t="s">
        <v>29968</v>
      </c>
      <c r="H1566" s="15" t="s">
        <v>322</v>
      </c>
      <c r="I1566" s="15" t="s">
        <v>1503</v>
      </c>
      <c r="J1566" s="15" t="s">
        <v>1836</v>
      </c>
      <c r="K1566" s="15" t="s">
        <v>27888</v>
      </c>
      <c r="L1566" s="15" t="s">
        <v>17950</v>
      </c>
      <c r="M1566" s="15" t="s">
        <v>29969</v>
      </c>
      <c r="N1566" s="15" t="s">
        <v>1212</v>
      </c>
      <c r="O1566" s="17">
        <v>24.01</v>
      </c>
      <c r="P1566" s="15" t="s">
        <v>148</v>
      </c>
      <c r="Q1566" s="15" t="s">
        <v>149</v>
      </c>
      <c r="R1566" s="15" t="s">
        <v>244</v>
      </c>
      <c r="S1566" s="15" t="s">
        <v>29970</v>
      </c>
      <c r="T1566" s="18" t="s">
        <v>138</v>
      </c>
      <c r="U1566" s="15" t="s">
        <v>138</v>
      </c>
      <c r="V1566" s="15" t="s">
        <v>138</v>
      </c>
      <c r="W1566" s="15" t="s">
        <v>138</v>
      </c>
      <c r="X1566" s="19">
        <v>1997</v>
      </c>
      <c r="Y1566" s="15" t="s">
        <v>29971</v>
      </c>
      <c r="Z1566" s="15" t="s">
        <v>138</v>
      </c>
      <c r="AA1566" s="15" t="s">
        <v>138</v>
      </c>
      <c r="AB1566" s="20" t="s">
        <v>138</v>
      </c>
      <c r="AC1566" s="20" t="s">
        <v>138</v>
      </c>
      <c r="AD1566" s="20" t="s">
        <v>138</v>
      </c>
      <c r="AE1566" s="20" t="s">
        <v>138</v>
      </c>
      <c r="AF1566" s="20" t="s">
        <v>138</v>
      </c>
      <c r="AG1566" s="15" t="s">
        <v>138</v>
      </c>
      <c r="AH1566" s="20" t="s">
        <v>138</v>
      </c>
      <c r="AI1566" s="20" t="s">
        <v>138</v>
      </c>
      <c r="AJ1566" s="20" t="s">
        <v>138</v>
      </c>
      <c r="AK1566" s="15" t="s">
        <v>29972</v>
      </c>
      <c r="AL1566" s="15" t="s">
        <v>29973</v>
      </c>
      <c r="AM1566" s="15" t="s">
        <v>2605</v>
      </c>
      <c r="AN1566" s="15" t="s">
        <v>29974</v>
      </c>
      <c r="AO1566" s="15" t="s">
        <v>29975</v>
      </c>
      <c r="AP1566" s="15" t="s">
        <v>29976</v>
      </c>
      <c r="AQ1566" s="15" t="s">
        <v>29977</v>
      </c>
      <c r="AR1566" s="15" t="s">
        <v>138</v>
      </c>
      <c r="AS1566" s="15" t="s">
        <v>29978</v>
      </c>
      <c r="AT1566" s="15" t="s">
        <v>426</v>
      </c>
      <c r="AU1566" s="15" t="s">
        <v>29979</v>
      </c>
      <c r="AV1566" s="15" t="s">
        <v>162</v>
      </c>
      <c r="AW1566" s="15" t="s">
        <v>29975</v>
      </c>
      <c r="AX1566" s="15" t="s">
        <v>29980</v>
      </c>
      <c r="AY1566" s="15" t="s">
        <v>138</v>
      </c>
      <c r="AZ1566" s="15" t="s">
        <v>164</v>
      </c>
      <c r="BA1566" s="15" t="s">
        <v>165</v>
      </c>
      <c r="BB1566" s="15" t="s">
        <v>29981</v>
      </c>
      <c r="BC1566" s="15" t="s">
        <v>138</v>
      </c>
      <c r="BD1566" s="21" t="s">
        <v>138</v>
      </c>
      <c r="BE1566" s="15" t="s">
        <v>29971</v>
      </c>
      <c r="BF1566" s="15" t="s">
        <v>29982</v>
      </c>
      <c r="BG1566" s="15" t="s">
        <v>138</v>
      </c>
      <c r="BH1566" s="15" t="s">
        <v>138</v>
      </c>
      <c r="BI1566" s="15" t="s">
        <v>29983</v>
      </c>
      <c r="BJ1566" s="15" t="s">
        <v>138</v>
      </c>
      <c r="BK1566" s="15" t="s">
        <v>1691</v>
      </c>
      <c r="BL1566" s="15" t="s">
        <v>29984</v>
      </c>
      <c r="BM1566" s="22">
        <v>38259</v>
      </c>
      <c r="BN1566" s="17">
        <v>5.05</v>
      </c>
      <c r="BO1566" s="15" t="s">
        <v>172</v>
      </c>
      <c r="BP1566" s="17" t="s">
        <v>138</v>
      </c>
      <c r="BQ1566" s="15" t="s">
        <v>138</v>
      </c>
      <c r="BR1566" s="15" t="s">
        <v>205</v>
      </c>
      <c r="BS1566" s="15" t="s">
        <v>206</v>
      </c>
      <c r="BT1566" s="15" t="s">
        <v>138</v>
      </c>
      <c r="BU1566" s="15" t="s">
        <v>174</v>
      </c>
      <c r="BV1566" s="15" t="s">
        <v>138</v>
      </c>
      <c r="BW1566" s="15" t="s">
        <v>138</v>
      </c>
      <c r="BX1566" s="15" t="s">
        <v>138</v>
      </c>
      <c r="BY1566" s="15" t="s">
        <v>175</v>
      </c>
      <c r="BZ1566" s="22">
        <v>40919</v>
      </c>
      <c r="CA1566" s="17" t="s">
        <v>138</v>
      </c>
      <c r="CB1566" s="15" t="s">
        <v>138</v>
      </c>
      <c r="CC1566" s="17" t="s">
        <v>138</v>
      </c>
      <c r="CD1566" s="15" t="s">
        <v>138</v>
      </c>
      <c r="CE1566" s="15" t="s">
        <v>2228</v>
      </c>
      <c r="CF1566" s="15" t="s">
        <v>138</v>
      </c>
      <c r="CG1566" s="15" t="s">
        <v>138</v>
      </c>
      <c r="CH1566" s="15" t="s">
        <v>780</v>
      </c>
      <c r="CI1566" s="15" t="s">
        <v>138</v>
      </c>
      <c r="CJ1566" s="15" t="s">
        <v>138</v>
      </c>
      <c r="CK1566" s="15" t="s">
        <v>138</v>
      </c>
      <c r="CL1566" s="15" t="s">
        <v>175</v>
      </c>
      <c r="CM1566" s="22" t="s">
        <v>138</v>
      </c>
      <c r="CN1566" s="17" t="s">
        <v>138</v>
      </c>
      <c r="CO1566" s="23" t="s">
        <v>138</v>
      </c>
      <c r="CP1566" s="24" t="s">
        <v>138</v>
      </c>
      <c r="CQ1566" s="23" t="s">
        <v>138</v>
      </c>
      <c r="CR1566" s="23" t="s">
        <v>138</v>
      </c>
      <c r="CS1566" s="23" t="s">
        <v>138</v>
      </c>
      <c r="CT1566" s="24" t="s">
        <v>138</v>
      </c>
      <c r="CU1566" s="23" t="s">
        <v>138</v>
      </c>
      <c r="CV1566" s="24" t="s">
        <v>138</v>
      </c>
      <c r="CW1566" s="23" t="s">
        <v>138</v>
      </c>
      <c r="CX1566" s="24" t="s">
        <v>138</v>
      </c>
      <c r="CY1566" s="23" t="s">
        <v>138</v>
      </c>
      <c r="CZ1566" s="24" t="s">
        <v>138</v>
      </c>
      <c r="DA1566" s="23" t="s">
        <v>138</v>
      </c>
      <c r="DB1566" s="24" t="s">
        <v>138</v>
      </c>
      <c r="DC1566" s="25" t="s">
        <v>138</v>
      </c>
      <c r="DD1566" s="24" t="s">
        <v>138</v>
      </c>
      <c r="DE1566" s="25" t="s">
        <v>138</v>
      </c>
      <c r="DF1566" s="23" t="s">
        <v>138</v>
      </c>
      <c r="DG1566" s="25" t="s">
        <v>138</v>
      </c>
      <c r="DH1566" s="24" t="s">
        <v>138</v>
      </c>
      <c r="DI1566" s="25" t="s">
        <v>138</v>
      </c>
      <c r="DJ1566" s="24" t="s">
        <v>138</v>
      </c>
      <c r="DK1566" s="25" t="s">
        <v>138</v>
      </c>
      <c r="DL1566" s="24" t="s">
        <v>138</v>
      </c>
      <c r="DM1566" s="25" t="s">
        <v>138</v>
      </c>
      <c r="DN1566" s="24" t="s">
        <v>138</v>
      </c>
      <c r="DO1566" s="25" t="s">
        <v>138</v>
      </c>
      <c r="DP1566" s="24" t="s">
        <v>138</v>
      </c>
      <c r="DQ1566" s="24" t="s">
        <v>138</v>
      </c>
      <c r="DR1566" s="26" t="s">
        <v>138</v>
      </c>
      <c r="DS1566" s="23" t="s">
        <v>138</v>
      </c>
      <c r="DT1566" s="24" t="s">
        <v>138</v>
      </c>
      <c r="DU1566" s="26" t="s">
        <v>138</v>
      </c>
      <c r="DV1566" s="23" t="s">
        <v>138</v>
      </c>
      <c r="DW1566" s="24" t="s">
        <v>138</v>
      </c>
      <c r="DX1566" s="27" t="s">
        <v>138</v>
      </c>
      <c r="DY1566" s="23" t="s">
        <v>138</v>
      </c>
      <c r="DZ1566" s="15" t="s">
        <v>178</v>
      </c>
      <c r="EA1566" s="22">
        <v>43375</v>
      </c>
      <c r="EB1566" s="17" t="s">
        <v>138</v>
      </c>
      <c r="EC1566" s="22" t="s">
        <v>138</v>
      </c>
      <c r="ED1566" s="15" t="s">
        <v>138</v>
      </c>
      <c r="EE1566" s="14" t="str">
        <f>HYPERLINK("https://my.pitchbook.com?c=12871-18", "View company online")</f>
        <v>View company online</v>
      </c>
    </row>
    <row r="1567" spans="1:135">
      <c r="A1567" s="28" t="s">
        <v>29985</v>
      </c>
      <c r="B1567" s="28" t="s">
        <v>29986</v>
      </c>
      <c r="C1567" s="28" t="s">
        <v>138</v>
      </c>
      <c r="D1567" s="28" t="s">
        <v>138</v>
      </c>
      <c r="E1567" s="28" t="s">
        <v>29987</v>
      </c>
      <c r="F1567" s="28" t="s">
        <v>29985</v>
      </c>
      <c r="G1567" s="28" t="s">
        <v>29988</v>
      </c>
      <c r="H1567" s="28" t="s">
        <v>322</v>
      </c>
      <c r="I1567" s="28" t="s">
        <v>323</v>
      </c>
      <c r="J1567" s="28" t="s">
        <v>413</v>
      </c>
      <c r="K1567" s="28" t="s">
        <v>29989</v>
      </c>
      <c r="L1567" s="28" t="s">
        <v>29990</v>
      </c>
      <c r="M1567" s="28" t="s">
        <v>29991</v>
      </c>
      <c r="N1567" s="28" t="s">
        <v>147</v>
      </c>
      <c r="O1567" s="29">
        <v>27.3</v>
      </c>
      <c r="P1567" s="28" t="s">
        <v>148</v>
      </c>
      <c r="Q1567" s="28" t="s">
        <v>149</v>
      </c>
      <c r="R1567" s="28" t="s">
        <v>174</v>
      </c>
      <c r="S1567" s="28" t="s">
        <v>29992</v>
      </c>
      <c r="T1567" s="30">
        <v>70</v>
      </c>
      <c r="U1567" s="28" t="s">
        <v>29993</v>
      </c>
      <c r="V1567" s="28" t="s">
        <v>138</v>
      </c>
      <c r="W1567" s="28" t="s">
        <v>138</v>
      </c>
      <c r="X1567" s="31">
        <v>2017</v>
      </c>
      <c r="Y1567" s="28" t="s">
        <v>138</v>
      </c>
      <c r="Z1567" s="28" t="s">
        <v>138</v>
      </c>
      <c r="AA1567" s="28" t="s">
        <v>138</v>
      </c>
      <c r="AB1567" s="32" t="s">
        <v>138</v>
      </c>
      <c r="AC1567" s="32" t="s">
        <v>138</v>
      </c>
      <c r="AD1567" s="32" t="s">
        <v>138</v>
      </c>
      <c r="AE1567" s="32" t="s">
        <v>138</v>
      </c>
      <c r="AF1567" s="32" t="s">
        <v>138</v>
      </c>
      <c r="AG1567" s="28" t="s">
        <v>138</v>
      </c>
      <c r="AH1567" s="32" t="s">
        <v>138</v>
      </c>
      <c r="AI1567" s="32" t="s">
        <v>138</v>
      </c>
      <c r="AJ1567" s="32" t="s">
        <v>138</v>
      </c>
      <c r="AK1567" s="28" t="s">
        <v>29994</v>
      </c>
      <c r="AL1567" s="28" t="s">
        <v>29995</v>
      </c>
      <c r="AM1567" s="28" t="s">
        <v>29996</v>
      </c>
      <c r="AN1567" s="28" t="s">
        <v>29997</v>
      </c>
      <c r="AO1567" s="28" t="s">
        <v>138</v>
      </c>
      <c r="AP1567" s="28" t="s">
        <v>3108</v>
      </c>
      <c r="AQ1567" s="28" t="s">
        <v>138</v>
      </c>
      <c r="AR1567" s="28" t="s">
        <v>138</v>
      </c>
      <c r="AS1567" s="28" t="s">
        <v>3111</v>
      </c>
      <c r="AT1567" s="28" t="s">
        <v>3112</v>
      </c>
      <c r="AU1567" s="28" t="s">
        <v>138</v>
      </c>
      <c r="AV1567" s="28" t="s">
        <v>2742</v>
      </c>
      <c r="AW1567" s="28" t="s">
        <v>138</v>
      </c>
      <c r="AX1567" s="28" t="s">
        <v>138</v>
      </c>
      <c r="AY1567" s="28" t="s">
        <v>29998</v>
      </c>
      <c r="AZ1567" s="28" t="s">
        <v>164</v>
      </c>
      <c r="BA1567" s="28" t="s">
        <v>165</v>
      </c>
      <c r="BB1567" s="28" t="s">
        <v>29999</v>
      </c>
      <c r="BC1567" s="28" t="s">
        <v>30000</v>
      </c>
      <c r="BD1567" s="33">
        <v>35</v>
      </c>
      <c r="BE1567" s="28" t="s">
        <v>138</v>
      </c>
      <c r="BF1567" s="28" t="s">
        <v>138</v>
      </c>
      <c r="BG1567" s="28" t="s">
        <v>138</v>
      </c>
      <c r="BH1567" s="28" t="s">
        <v>30001</v>
      </c>
      <c r="BI1567" s="28" t="s">
        <v>138</v>
      </c>
      <c r="BJ1567" s="28" t="s">
        <v>138</v>
      </c>
      <c r="BK1567" s="28" t="s">
        <v>138</v>
      </c>
      <c r="BL1567" s="28" t="s">
        <v>2936</v>
      </c>
      <c r="BM1567" s="34" t="s">
        <v>138</v>
      </c>
      <c r="BN1567" s="29" t="s">
        <v>138</v>
      </c>
      <c r="BO1567" s="28" t="s">
        <v>138</v>
      </c>
      <c r="BP1567" s="29" t="s">
        <v>138</v>
      </c>
      <c r="BQ1567" s="28" t="s">
        <v>138</v>
      </c>
      <c r="BR1567" s="28" t="s">
        <v>234</v>
      </c>
      <c r="BS1567" s="28" t="s">
        <v>234</v>
      </c>
      <c r="BT1567" s="28" t="s">
        <v>138</v>
      </c>
      <c r="BU1567" s="28" t="s">
        <v>174</v>
      </c>
      <c r="BV1567" s="28" t="s">
        <v>138</v>
      </c>
      <c r="BW1567" s="28" t="s">
        <v>138</v>
      </c>
      <c r="BX1567" s="28" t="s">
        <v>138</v>
      </c>
      <c r="BY1567" s="28" t="s">
        <v>175</v>
      </c>
      <c r="BZ1567" s="34">
        <v>43405</v>
      </c>
      <c r="CA1567" s="29">
        <v>15</v>
      </c>
      <c r="CB1567" s="28" t="s">
        <v>172</v>
      </c>
      <c r="CC1567" s="29" t="s">
        <v>138</v>
      </c>
      <c r="CD1567" s="28" t="s">
        <v>138</v>
      </c>
      <c r="CE1567" s="28" t="s">
        <v>205</v>
      </c>
      <c r="CF1567" s="28" t="s">
        <v>1727</v>
      </c>
      <c r="CG1567" s="28" t="s">
        <v>138</v>
      </c>
      <c r="CH1567" s="28" t="s">
        <v>174</v>
      </c>
      <c r="CI1567" s="28" t="s">
        <v>138</v>
      </c>
      <c r="CJ1567" s="28" t="s">
        <v>138</v>
      </c>
      <c r="CK1567" s="28" t="s">
        <v>138</v>
      </c>
      <c r="CL1567" s="28" t="s">
        <v>175</v>
      </c>
      <c r="CM1567" s="34" t="s">
        <v>138</v>
      </c>
      <c r="CN1567" s="29" t="s">
        <v>138</v>
      </c>
      <c r="CO1567" s="35">
        <v>-1.87</v>
      </c>
      <c r="CP1567" s="36">
        <v>6</v>
      </c>
      <c r="CQ1567" s="35">
        <v>0</v>
      </c>
      <c r="CR1567" s="35">
        <v>0.16</v>
      </c>
      <c r="CS1567" s="35">
        <v>-3.93</v>
      </c>
      <c r="CT1567" s="36">
        <v>3</v>
      </c>
      <c r="CU1567" s="35">
        <v>0.19</v>
      </c>
      <c r="CV1567" s="36">
        <v>79</v>
      </c>
      <c r="CW1567" s="35">
        <v>-7.07</v>
      </c>
      <c r="CX1567" s="36">
        <v>2</v>
      </c>
      <c r="CY1567" s="35">
        <v>-0.79</v>
      </c>
      <c r="CZ1567" s="36">
        <v>20</v>
      </c>
      <c r="DA1567" s="35">
        <v>0.21</v>
      </c>
      <c r="DB1567" s="36">
        <v>83</v>
      </c>
      <c r="DC1567" s="37">
        <v>70.349999999999994</v>
      </c>
      <c r="DD1567" s="36">
        <v>99</v>
      </c>
      <c r="DE1567" s="37">
        <v>-1.37</v>
      </c>
      <c r="DF1567" s="35">
        <v>-1.91</v>
      </c>
      <c r="DG1567" s="37">
        <v>98.13</v>
      </c>
      <c r="DH1567" s="36">
        <v>99</v>
      </c>
      <c r="DI1567" s="37">
        <v>42.57</v>
      </c>
      <c r="DJ1567" s="36">
        <v>94</v>
      </c>
      <c r="DK1567" s="37">
        <v>44.41</v>
      </c>
      <c r="DL1567" s="36">
        <v>95</v>
      </c>
      <c r="DM1567" s="37">
        <v>151.86000000000001</v>
      </c>
      <c r="DN1567" s="36">
        <v>100</v>
      </c>
      <c r="DO1567" s="37">
        <v>77.16</v>
      </c>
      <c r="DP1567" s="36">
        <v>98</v>
      </c>
      <c r="DQ1567" s="36">
        <v>15436</v>
      </c>
      <c r="DR1567" s="38">
        <v>-615</v>
      </c>
      <c r="DS1567" s="35">
        <v>-3.83</v>
      </c>
      <c r="DT1567" s="36">
        <v>4409</v>
      </c>
      <c r="DU1567" s="38">
        <v>-3</v>
      </c>
      <c r="DV1567" s="35">
        <v>-7.0000000000000007E-2</v>
      </c>
      <c r="DW1567" s="36">
        <v>27596</v>
      </c>
      <c r="DX1567" s="39">
        <v>138</v>
      </c>
      <c r="DY1567" s="35">
        <v>0.5</v>
      </c>
      <c r="DZ1567" s="28" t="s">
        <v>178</v>
      </c>
      <c r="EA1567" s="34">
        <v>43549</v>
      </c>
      <c r="EB1567" s="29" t="s">
        <v>138</v>
      </c>
      <c r="EC1567" s="34" t="s">
        <v>138</v>
      </c>
      <c r="ED1567" s="28" t="s">
        <v>138</v>
      </c>
      <c r="EE1567" s="40" t="str">
        <f>HYPERLINK("https://my.pitchbook.com?c=226905-76", "View company online")</f>
        <v>View company online</v>
      </c>
    </row>
    <row r="1568" spans="1:135">
      <c r="A1568" s="15" t="s">
        <v>30002</v>
      </c>
      <c r="B1568" s="15" t="s">
        <v>30003</v>
      </c>
      <c r="C1568" s="15" t="s">
        <v>138</v>
      </c>
      <c r="D1568" s="15" t="s">
        <v>138</v>
      </c>
      <c r="E1568" s="15" t="s">
        <v>30004</v>
      </c>
      <c r="F1568" s="15" t="s">
        <v>30002</v>
      </c>
      <c r="G1568" s="15" t="s">
        <v>30005</v>
      </c>
      <c r="H1568" s="15" t="s">
        <v>141</v>
      </c>
      <c r="I1568" s="15" t="s">
        <v>212</v>
      </c>
      <c r="J1568" s="15" t="s">
        <v>213</v>
      </c>
      <c r="K1568" s="15" t="s">
        <v>30006</v>
      </c>
      <c r="L1568" s="15" t="s">
        <v>30007</v>
      </c>
      <c r="M1568" s="15" t="s">
        <v>30008</v>
      </c>
      <c r="N1568" s="15" t="s">
        <v>147</v>
      </c>
      <c r="O1568" s="17">
        <v>26.65</v>
      </c>
      <c r="P1568" s="15" t="s">
        <v>148</v>
      </c>
      <c r="Q1568" s="15" t="s">
        <v>149</v>
      </c>
      <c r="R1568" s="15" t="s">
        <v>174</v>
      </c>
      <c r="S1568" s="15" t="s">
        <v>30009</v>
      </c>
      <c r="T1568" s="18">
        <v>40</v>
      </c>
      <c r="U1568" s="15" t="s">
        <v>30010</v>
      </c>
      <c r="V1568" s="15" t="s">
        <v>138</v>
      </c>
      <c r="W1568" s="15" t="s">
        <v>138</v>
      </c>
      <c r="X1568" s="19">
        <v>2007</v>
      </c>
      <c r="Y1568" s="15" t="s">
        <v>138</v>
      </c>
      <c r="Z1568" s="15" t="s">
        <v>138</v>
      </c>
      <c r="AA1568" s="15" t="s">
        <v>138</v>
      </c>
      <c r="AB1568" s="20" t="s">
        <v>138</v>
      </c>
      <c r="AC1568" s="20" t="s">
        <v>138</v>
      </c>
      <c r="AD1568" s="20" t="s">
        <v>138</v>
      </c>
      <c r="AE1568" s="20" t="s">
        <v>138</v>
      </c>
      <c r="AF1568" s="20" t="s">
        <v>138</v>
      </c>
      <c r="AG1568" s="15" t="s">
        <v>138</v>
      </c>
      <c r="AH1568" s="20" t="s">
        <v>138</v>
      </c>
      <c r="AI1568" s="20" t="s">
        <v>138</v>
      </c>
      <c r="AJ1568" s="20" t="s">
        <v>138</v>
      </c>
      <c r="AK1568" s="15" t="s">
        <v>30011</v>
      </c>
      <c r="AL1568" s="15" t="s">
        <v>30012</v>
      </c>
      <c r="AM1568" s="15" t="s">
        <v>566</v>
      </c>
      <c r="AN1568" s="15" t="s">
        <v>30013</v>
      </c>
      <c r="AO1568" s="15" t="s">
        <v>138</v>
      </c>
      <c r="AP1568" s="15" t="s">
        <v>665</v>
      </c>
      <c r="AQ1568" s="15" t="s">
        <v>30014</v>
      </c>
      <c r="AR1568" s="15" t="s">
        <v>138</v>
      </c>
      <c r="AS1568" s="15" t="s">
        <v>668</v>
      </c>
      <c r="AT1568" s="15" t="s">
        <v>200</v>
      </c>
      <c r="AU1568" s="15" t="s">
        <v>3557</v>
      </c>
      <c r="AV1568" s="15" t="s">
        <v>162</v>
      </c>
      <c r="AW1568" s="15" t="s">
        <v>138</v>
      </c>
      <c r="AX1568" s="15" t="s">
        <v>138</v>
      </c>
      <c r="AY1568" s="15" t="s">
        <v>30015</v>
      </c>
      <c r="AZ1568" s="15" t="s">
        <v>164</v>
      </c>
      <c r="BA1568" s="15" t="s">
        <v>165</v>
      </c>
      <c r="BB1568" s="15" t="s">
        <v>30016</v>
      </c>
      <c r="BC1568" s="15" t="s">
        <v>30017</v>
      </c>
      <c r="BD1568" s="21">
        <v>9</v>
      </c>
      <c r="BE1568" s="15" t="s">
        <v>138</v>
      </c>
      <c r="BF1568" s="15" t="s">
        <v>138</v>
      </c>
      <c r="BG1568" s="15" t="s">
        <v>138</v>
      </c>
      <c r="BH1568" s="15" t="s">
        <v>30018</v>
      </c>
      <c r="BI1568" s="15" t="s">
        <v>138</v>
      </c>
      <c r="BJ1568" s="15" t="s">
        <v>138</v>
      </c>
      <c r="BK1568" s="15" t="s">
        <v>1251</v>
      </c>
      <c r="BL1568" s="15" t="s">
        <v>1251</v>
      </c>
      <c r="BM1568" s="22">
        <v>42269</v>
      </c>
      <c r="BN1568" s="17">
        <v>6.5</v>
      </c>
      <c r="BO1568" s="15" t="s">
        <v>172</v>
      </c>
      <c r="BP1568" s="17">
        <v>19.5</v>
      </c>
      <c r="BQ1568" s="15" t="s">
        <v>172</v>
      </c>
      <c r="BR1568" s="15" t="s">
        <v>173</v>
      </c>
      <c r="BS1568" s="15" t="s">
        <v>1727</v>
      </c>
      <c r="BT1568" s="15" t="s">
        <v>138</v>
      </c>
      <c r="BU1568" s="15" t="s">
        <v>174</v>
      </c>
      <c r="BV1568" s="15" t="s">
        <v>138</v>
      </c>
      <c r="BW1568" s="15" t="s">
        <v>138</v>
      </c>
      <c r="BX1568" s="15" t="s">
        <v>138</v>
      </c>
      <c r="BY1568" s="15" t="s">
        <v>175</v>
      </c>
      <c r="BZ1568" s="22">
        <v>42831</v>
      </c>
      <c r="CA1568" s="17">
        <v>18</v>
      </c>
      <c r="CB1568" s="15" t="s">
        <v>172</v>
      </c>
      <c r="CC1568" s="17">
        <v>70</v>
      </c>
      <c r="CD1568" s="15" t="s">
        <v>172</v>
      </c>
      <c r="CE1568" s="15" t="s">
        <v>173</v>
      </c>
      <c r="CF1568" s="15" t="s">
        <v>720</v>
      </c>
      <c r="CG1568" s="15" t="s">
        <v>138</v>
      </c>
      <c r="CH1568" s="15" t="s">
        <v>174</v>
      </c>
      <c r="CI1568" s="15" t="s">
        <v>138</v>
      </c>
      <c r="CJ1568" s="15" t="s">
        <v>138</v>
      </c>
      <c r="CK1568" s="15" t="s">
        <v>138</v>
      </c>
      <c r="CL1568" s="15" t="s">
        <v>175</v>
      </c>
      <c r="CM1568" s="22" t="s">
        <v>138</v>
      </c>
      <c r="CN1568" s="17" t="s">
        <v>138</v>
      </c>
      <c r="CO1568" s="23">
        <v>0.24</v>
      </c>
      <c r="CP1568" s="24">
        <v>93</v>
      </c>
      <c r="CQ1568" s="23">
        <v>0.06</v>
      </c>
      <c r="CR1568" s="23">
        <v>32.799999999999997</v>
      </c>
      <c r="CS1568" s="23">
        <v>-0.87</v>
      </c>
      <c r="CT1568" s="24">
        <v>16</v>
      </c>
      <c r="CU1568" s="23">
        <v>0.19</v>
      </c>
      <c r="CV1568" s="24">
        <v>79</v>
      </c>
      <c r="CW1568" s="23" t="s">
        <v>138</v>
      </c>
      <c r="CX1568" s="24" t="s">
        <v>138</v>
      </c>
      <c r="CY1568" s="23">
        <v>-0.87</v>
      </c>
      <c r="CZ1568" s="24">
        <v>20</v>
      </c>
      <c r="DA1568" s="23">
        <v>0.1</v>
      </c>
      <c r="DB1568" s="24">
        <v>72</v>
      </c>
      <c r="DC1568" s="25">
        <v>866.41</v>
      </c>
      <c r="DD1568" s="24">
        <v>100</v>
      </c>
      <c r="DE1568" s="25">
        <v>1.51</v>
      </c>
      <c r="DF1568" s="23">
        <v>0.17</v>
      </c>
      <c r="DG1568" s="25">
        <v>2395.0700000000002</v>
      </c>
      <c r="DH1568" s="24">
        <v>100</v>
      </c>
      <c r="DI1568" s="25">
        <v>203.27</v>
      </c>
      <c r="DJ1568" s="24">
        <v>98</v>
      </c>
      <c r="DK1568" s="25" t="s">
        <v>138</v>
      </c>
      <c r="DL1568" s="24" t="s">
        <v>138</v>
      </c>
      <c r="DM1568" s="25">
        <v>2395.0700000000002</v>
      </c>
      <c r="DN1568" s="24">
        <v>100</v>
      </c>
      <c r="DO1568" s="25">
        <v>377.55</v>
      </c>
      <c r="DP1568" s="24">
        <v>100</v>
      </c>
      <c r="DQ1568" s="24" t="s">
        <v>138</v>
      </c>
      <c r="DR1568" s="26" t="s">
        <v>138</v>
      </c>
      <c r="DS1568" s="23" t="s">
        <v>138</v>
      </c>
      <c r="DT1568" s="24">
        <v>69417</v>
      </c>
      <c r="DU1568" s="26">
        <v>173</v>
      </c>
      <c r="DV1568" s="23">
        <v>0.25</v>
      </c>
      <c r="DW1568" s="24">
        <v>135099</v>
      </c>
      <c r="DX1568" s="27">
        <v>130</v>
      </c>
      <c r="DY1568" s="23">
        <v>0.1</v>
      </c>
      <c r="DZ1568" s="15" t="s">
        <v>178</v>
      </c>
      <c r="EA1568" s="22">
        <v>43385</v>
      </c>
      <c r="EB1568" s="17">
        <v>70</v>
      </c>
      <c r="EC1568" s="22">
        <v>42831</v>
      </c>
      <c r="ED1568" s="15" t="s">
        <v>173</v>
      </c>
      <c r="EE1568" s="14" t="str">
        <f>HYPERLINK("https://my.pitchbook.com?c=85884-22", "View company online")</f>
        <v>View company online</v>
      </c>
    </row>
    <row r="1569" spans="1:135">
      <c r="A1569" s="28" t="s">
        <v>30019</v>
      </c>
      <c r="B1569" s="28" t="s">
        <v>30020</v>
      </c>
      <c r="C1569" s="28" t="s">
        <v>138</v>
      </c>
      <c r="D1569" s="28" t="s">
        <v>138</v>
      </c>
      <c r="E1569" s="28" t="s">
        <v>30021</v>
      </c>
      <c r="F1569" s="28" t="s">
        <v>30019</v>
      </c>
      <c r="G1569" s="28" t="s">
        <v>30022</v>
      </c>
      <c r="H1569" s="28" t="s">
        <v>141</v>
      </c>
      <c r="I1569" s="28" t="s">
        <v>212</v>
      </c>
      <c r="J1569" s="28" t="s">
        <v>213</v>
      </c>
      <c r="K1569" s="28" t="s">
        <v>30023</v>
      </c>
      <c r="L1569" s="28" t="s">
        <v>215</v>
      </c>
      <c r="M1569" s="28" t="s">
        <v>30024</v>
      </c>
      <c r="N1569" s="28" t="s">
        <v>147</v>
      </c>
      <c r="O1569" s="29">
        <v>20</v>
      </c>
      <c r="P1569" s="28" t="s">
        <v>148</v>
      </c>
      <c r="Q1569" s="28" t="s">
        <v>149</v>
      </c>
      <c r="R1569" s="28" t="s">
        <v>174</v>
      </c>
      <c r="S1569" s="28" t="s">
        <v>30025</v>
      </c>
      <c r="T1569" s="30">
        <v>58</v>
      </c>
      <c r="U1569" s="28" t="s">
        <v>19912</v>
      </c>
      <c r="V1569" s="28" t="s">
        <v>138</v>
      </c>
      <c r="W1569" s="28" t="s">
        <v>138</v>
      </c>
      <c r="X1569" s="31">
        <v>2009</v>
      </c>
      <c r="Y1569" s="28" t="s">
        <v>138</v>
      </c>
      <c r="Z1569" s="28" t="s">
        <v>138</v>
      </c>
      <c r="AA1569" s="28" t="s">
        <v>138</v>
      </c>
      <c r="AB1569" s="32" t="s">
        <v>138</v>
      </c>
      <c r="AC1569" s="32" t="s">
        <v>138</v>
      </c>
      <c r="AD1569" s="32" t="s">
        <v>138</v>
      </c>
      <c r="AE1569" s="32" t="s">
        <v>138</v>
      </c>
      <c r="AF1569" s="32" t="s">
        <v>138</v>
      </c>
      <c r="AG1569" s="28" t="s">
        <v>138</v>
      </c>
      <c r="AH1569" s="32" t="s">
        <v>138</v>
      </c>
      <c r="AI1569" s="32" t="s">
        <v>138</v>
      </c>
      <c r="AJ1569" s="32" t="s">
        <v>138</v>
      </c>
      <c r="AK1569" s="28" t="s">
        <v>30026</v>
      </c>
      <c r="AL1569" s="28" t="s">
        <v>30027</v>
      </c>
      <c r="AM1569" s="28" t="s">
        <v>566</v>
      </c>
      <c r="AN1569" s="28" t="s">
        <v>30028</v>
      </c>
      <c r="AO1569" s="28" t="s">
        <v>30029</v>
      </c>
      <c r="AP1569" s="28" t="s">
        <v>423</v>
      </c>
      <c r="AQ1569" s="28" t="s">
        <v>30030</v>
      </c>
      <c r="AR1569" s="28" t="s">
        <v>1073</v>
      </c>
      <c r="AS1569" s="28" t="s">
        <v>426</v>
      </c>
      <c r="AT1569" s="28" t="s">
        <v>426</v>
      </c>
      <c r="AU1569" s="28" t="s">
        <v>1074</v>
      </c>
      <c r="AV1569" s="28" t="s">
        <v>162</v>
      </c>
      <c r="AW1569" s="28" t="s">
        <v>30029</v>
      </c>
      <c r="AX1569" s="28" t="s">
        <v>138</v>
      </c>
      <c r="AY1569" s="28" t="s">
        <v>30031</v>
      </c>
      <c r="AZ1569" s="28" t="s">
        <v>164</v>
      </c>
      <c r="BA1569" s="28" t="s">
        <v>165</v>
      </c>
      <c r="BB1569" s="28" t="s">
        <v>30032</v>
      </c>
      <c r="BC1569" s="28" t="s">
        <v>30033</v>
      </c>
      <c r="BD1569" s="33">
        <v>19</v>
      </c>
      <c r="BE1569" s="28" t="s">
        <v>138</v>
      </c>
      <c r="BF1569" s="28" t="s">
        <v>138</v>
      </c>
      <c r="BG1569" s="28" t="s">
        <v>138</v>
      </c>
      <c r="BH1569" s="28" t="s">
        <v>30034</v>
      </c>
      <c r="BI1569" s="28" t="s">
        <v>138</v>
      </c>
      <c r="BJ1569" s="28" t="s">
        <v>138</v>
      </c>
      <c r="BK1569" s="28" t="s">
        <v>1251</v>
      </c>
      <c r="BL1569" s="28" t="s">
        <v>1251</v>
      </c>
      <c r="BM1569" s="34">
        <v>40436</v>
      </c>
      <c r="BN1569" s="29">
        <v>0.41</v>
      </c>
      <c r="BO1569" s="28" t="s">
        <v>172</v>
      </c>
      <c r="BP1569" s="29" t="s">
        <v>138</v>
      </c>
      <c r="BQ1569" s="28" t="s">
        <v>138</v>
      </c>
      <c r="BR1569" s="28" t="s">
        <v>262</v>
      </c>
      <c r="BS1569" s="28" t="s">
        <v>262</v>
      </c>
      <c r="BT1569" s="28" t="s">
        <v>138</v>
      </c>
      <c r="BU1569" s="28" t="s">
        <v>263</v>
      </c>
      <c r="BV1569" s="28" t="s">
        <v>138</v>
      </c>
      <c r="BW1569" s="28" t="s">
        <v>138</v>
      </c>
      <c r="BX1569" s="28" t="s">
        <v>138</v>
      </c>
      <c r="BY1569" s="28" t="s">
        <v>175</v>
      </c>
      <c r="BZ1569" s="34">
        <v>41816</v>
      </c>
      <c r="CA1569" s="29">
        <v>9</v>
      </c>
      <c r="CB1569" s="28" t="s">
        <v>172</v>
      </c>
      <c r="CC1569" s="29">
        <v>43.48</v>
      </c>
      <c r="CD1569" s="28" t="s">
        <v>172</v>
      </c>
      <c r="CE1569" s="28" t="s">
        <v>205</v>
      </c>
      <c r="CF1569" s="28" t="s">
        <v>720</v>
      </c>
      <c r="CG1569" s="28" t="s">
        <v>138</v>
      </c>
      <c r="CH1569" s="28" t="s">
        <v>174</v>
      </c>
      <c r="CI1569" s="28" t="s">
        <v>138</v>
      </c>
      <c r="CJ1569" s="28" t="s">
        <v>138</v>
      </c>
      <c r="CK1569" s="28" t="s">
        <v>138</v>
      </c>
      <c r="CL1569" s="28" t="s">
        <v>175</v>
      </c>
      <c r="CM1569" s="34" t="s">
        <v>138</v>
      </c>
      <c r="CN1569" s="29" t="s">
        <v>138</v>
      </c>
      <c r="CO1569" s="35">
        <v>-1.68</v>
      </c>
      <c r="CP1569" s="36">
        <v>7</v>
      </c>
      <c r="CQ1569" s="35">
        <v>0</v>
      </c>
      <c r="CR1569" s="35">
        <v>-0.21</v>
      </c>
      <c r="CS1569" s="35">
        <v>-3.35</v>
      </c>
      <c r="CT1569" s="36">
        <v>4</v>
      </c>
      <c r="CU1569" s="35">
        <v>-0.01</v>
      </c>
      <c r="CV1569" s="36">
        <v>20</v>
      </c>
      <c r="CW1569" s="35">
        <v>0</v>
      </c>
      <c r="CX1569" s="36">
        <v>13</v>
      </c>
      <c r="CY1569" s="35">
        <v>-6.7</v>
      </c>
      <c r="CZ1569" s="36">
        <v>2</v>
      </c>
      <c r="DA1569" s="35">
        <v>-0.01</v>
      </c>
      <c r="DB1569" s="36">
        <v>21</v>
      </c>
      <c r="DC1569" s="37">
        <v>5.74</v>
      </c>
      <c r="DD1569" s="36">
        <v>84</v>
      </c>
      <c r="DE1569" s="37">
        <v>-0.06</v>
      </c>
      <c r="DF1569" s="35">
        <v>-1.05</v>
      </c>
      <c r="DG1569" s="37">
        <v>8.3000000000000007</v>
      </c>
      <c r="DH1569" s="36">
        <v>88</v>
      </c>
      <c r="DI1569" s="37">
        <v>3.19</v>
      </c>
      <c r="DJ1569" s="36">
        <v>71</v>
      </c>
      <c r="DK1569" s="37">
        <v>2.08</v>
      </c>
      <c r="DL1569" s="36">
        <v>65</v>
      </c>
      <c r="DM1569" s="37">
        <v>14.52</v>
      </c>
      <c r="DN1569" s="36">
        <v>92</v>
      </c>
      <c r="DO1569" s="37">
        <v>5.0199999999999996</v>
      </c>
      <c r="DP1569" s="36">
        <v>79</v>
      </c>
      <c r="DQ1569" s="36">
        <v>705</v>
      </c>
      <c r="DR1569" s="38">
        <v>21</v>
      </c>
      <c r="DS1569" s="35">
        <v>3.07</v>
      </c>
      <c r="DT1569" s="36">
        <v>421</v>
      </c>
      <c r="DU1569" s="38">
        <v>0</v>
      </c>
      <c r="DV1569" s="35">
        <v>0</v>
      </c>
      <c r="DW1569" s="36">
        <v>1797</v>
      </c>
      <c r="DX1569" s="39">
        <v>-1</v>
      </c>
      <c r="DY1569" s="35">
        <v>-0.06</v>
      </c>
      <c r="DZ1569" s="28" t="s">
        <v>178</v>
      </c>
      <c r="EA1569" s="34">
        <v>43588</v>
      </c>
      <c r="EB1569" s="29">
        <v>43.48</v>
      </c>
      <c r="EC1569" s="34">
        <v>41816</v>
      </c>
      <c r="ED1569" s="28" t="s">
        <v>205</v>
      </c>
      <c r="EE1569" s="40" t="str">
        <f>HYPERLINK("https://my.pitchbook.com?c=52815-16", "View company online")</f>
        <v>View company online</v>
      </c>
    </row>
    <row r="1570" spans="1:135">
      <c r="A1570" s="15" t="s">
        <v>30035</v>
      </c>
      <c r="B1570" s="15" t="s">
        <v>30036</v>
      </c>
      <c r="C1570" s="15" t="s">
        <v>138</v>
      </c>
      <c r="D1570" s="15" t="s">
        <v>138</v>
      </c>
      <c r="E1570" s="15" t="s">
        <v>138</v>
      </c>
      <c r="F1570" s="15" t="s">
        <v>30035</v>
      </c>
      <c r="G1570" s="15" t="s">
        <v>30037</v>
      </c>
      <c r="H1570" s="15" t="s">
        <v>238</v>
      </c>
      <c r="I1570" s="15" t="s">
        <v>239</v>
      </c>
      <c r="J1570" s="15" t="s">
        <v>2578</v>
      </c>
      <c r="K1570" s="15" t="s">
        <v>2579</v>
      </c>
      <c r="L1570" s="15" t="s">
        <v>415</v>
      </c>
      <c r="M1570" s="15" t="s">
        <v>30038</v>
      </c>
      <c r="N1570" s="15" t="s">
        <v>147</v>
      </c>
      <c r="O1570" s="17">
        <v>13.87</v>
      </c>
      <c r="P1570" s="15" t="s">
        <v>148</v>
      </c>
      <c r="Q1570" s="15" t="s">
        <v>149</v>
      </c>
      <c r="R1570" s="15" t="s">
        <v>174</v>
      </c>
      <c r="S1570" s="15" t="s">
        <v>30039</v>
      </c>
      <c r="T1570" s="18">
        <v>18</v>
      </c>
      <c r="U1570" s="15" t="s">
        <v>30040</v>
      </c>
      <c r="V1570" s="15" t="s">
        <v>138</v>
      </c>
      <c r="W1570" s="15" t="s">
        <v>138</v>
      </c>
      <c r="X1570" s="19">
        <v>2013</v>
      </c>
      <c r="Y1570" s="15" t="s">
        <v>138</v>
      </c>
      <c r="Z1570" s="15" t="s">
        <v>138</v>
      </c>
      <c r="AA1570" s="15" t="s">
        <v>138</v>
      </c>
      <c r="AB1570" s="20" t="s">
        <v>138</v>
      </c>
      <c r="AC1570" s="20" t="s">
        <v>138</v>
      </c>
      <c r="AD1570" s="20" t="s">
        <v>138</v>
      </c>
      <c r="AE1570" s="20" t="s">
        <v>138</v>
      </c>
      <c r="AF1570" s="20" t="s">
        <v>138</v>
      </c>
      <c r="AG1570" s="15" t="s">
        <v>138</v>
      </c>
      <c r="AH1570" s="20" t="s">
        <v>138</v>
      </c>
      <c r="AI1570" s="20" t="s">
        <v>138</v>
      </c>
      <c r="AJ1570" s="20" t="s">
        <v>138</v>
      </c>
      <c r="AK1570" s="15" t="s">
        <v>30041</v>
      </c>
      <c r="AL1570" s="15" t="s">
        <v>30042</v>
      </c>
      <c r="AM1570" s="15" t="s">
        <v>2413</v>
      </c>
      <c r="AN1570" s="15" t="s">
        <v>138</v>
      </c>
      <c r="AO1570" s="15" t="s">
        <v>138</v>
      </c>
      <c r="AP1570" s="15" t="s">
        <v>665</v>
      </c>
      <c r="AQ1570" s="15" t="s">
        <v>30043</v>
      </c>
      <c r="AR1570" s="15" t="s">
        <v>138</v>
      </c>
      <c r="AS1570" s="15" t="s">
        <v>668</v>
      </c>
      <c r="AT1570" s="15" t="s">
        <v>200</v>
      </c>
      <c r="AU1570" s="15" t="s">
        <v>3557</v>
      </c>
      <c r="AV1570" s="15" t="s">
        <v>162</v>
      </c>
      <c r="AW1570" s="15" t="s">
        <v>138</v>
      </c>
      <c r="AX1570" s="15" t="s">
        <v>138</v>
      </c>
      <c r="AY1570" s="15" t="s">
        <v>30044</v>
      </c>
      <c r="AZ1570" s="15" t="s">
        <v>164</v>
      </c>
      <c r="BA1570" s="15" t="s">
        <v>165</v>
      </c>
      <c r="BB1570" s="15" t="s">
        <v>30045</v>
      </c>
      <c r="BC1570" s="15" t="s">
        <v>30046</v>
      </c>
      <c r="BD1570" s="21">
        <v>10</v>
      </c>
      <c r="BE1570" s="15" t="s">
        <v>138</v>
      </c>
      <c r="BF1570" s="15" t="s">
        <v>138</v>
      </c>
      <c r="BG1570" s="15" t="s">
        <v>138</v>
      </c>
      <c r="BH1570" s="15" t="s">
        <v>30047</v>
      </c>
      <c r="BI1570" s="15" t="s">
        <v>138</v>
      </c>
      <c r="BJ1570" s="15" t="s">
        <v>138</v>
      </c>
      <c r="BK1570" s="15" t="s">
        <v>30048</v>
      </c>
      <c r="BL1570" s="15" t="s">
        <v>3164</v>
      </c>
      <c r="BM1570" s="22">
        <v>41873</v>
      </c>
      <c r="BN1570" s="17">
        <v>2.52</v>
      </c>
      <c r="BO1570" s="15" t="s">
        <v>172</v>
      </c>
      <c r="BP1570" s="17">
        <v>11.47</v>
      </c>
      <c r="BQ1570" s="15" t="s">
        <v>172</v>
      </c>
      <c r="BR1570" s="15" t="s">
        <v>234</v>
      </c>
      <c r="BS1570" s="15" t="s">
        <v>234</v>
      </c>
      <c r="BT1570" s="15" t="s">
        <v>138</v>
      </c>
      <c r="BU1570" s="15" t="s">
        <v>174</v>
      </c>
      <c r="BV1570" s="15" t="s">
        <v>138</v>
      </c>
      <c r="BW1570" s="15" t="s">
        <v>138</v>
      </c>
      <c r="BX1570" s="15" t="s">
        <v>138</v>
      </c>
      <c r="BY1570" s="15" t="s">
        <v>175</v>
      </c>
      <c r="BZ1570" s="22">
        <v>43025</v>
      </c>
      <c r="CA1570" s="17">
        <v>11.35</v>
      </c>
      <c r="CB1570" s="15" t="s">
        <v>172</v>
      </c>
      <c r="CC1570" s="17">
        <v>25.79</v>
      </c>
      <c r="CD1570" s="15" t="s">
        <v>172</v>
      </c>
      <c r="CE1570" s="15" t="s">
        <v>205</v>
      </c>
      <c r="CF1570" s="15" t="s">
        <v>206</v>
      </c>
      <c r="CG1570" s="15" t="s">
        <v>138</v>
      </c>
      <c r="CH1570" s="15" t="s">
        <v>174</v>
      </c>
      <c r="CI1570" s="15" t="s">
        <v>177</v>
      </c>
      <c r="CJ1570" s="15" t="s">
        <v>138</v>
      </c>
      <c r="CK1570" s="15" t="s">
        <v>138</v>
      </c>
      <c r="CL1570" s="15" t="s">
        <v>175</v>
      </c>
      <c r="CM1570" s="22" t="s">
        <v>138</v>
      </c>
      <c r="CN1570" s="17" t="s">
        <v>138</v>
      </c>
      <c r="CO1570" s="23">
        <v>1.89</v>
      </c>
      <c r="CP1570" s="24">
        <v>99</v>
      </c>
      <c r="CQ1570" s="23">
        <v>0.09</v>
      </c>
      <c r="CR1570" s="23">
        <v>4.9000000000000004</v>
      </c>
      <c r="CS1570" s="23">
        <v>3.82</v>
      </c>
      <c r="CT1570" s="24">
        <v>100</v>
      </c>
      <c r="CU1570" s="23">
        <v>-0.05</v>
      </c>
      <c r="CV1570" s="24">
        <v>9</v>
      </c>
      <c r="CW1570" s="23">
        <v>8.66</v>
      </c>
      <c r="CX1570" s="24">
        <v>99</v>
      </c>
      <c r="CY1570" s="23">
        <v>-1.01</v>
      </c>
      <c r="CZ1570" s="24">
        <v>19</v>
      </c>
      <c r="DA1570" s="23">
        <v>-0.05</v>
      </c>
      <c r="DB1570" s="24">
        <v>13</v>
      </c>
      <c r="DC1570" s="25">
        <v>114.33</v>
      </c>
      <c r="DD1570" s="24">
        <v>99</v>
      </c>
      <c r="DE1570" s="25">
        <v>-1.94</v>
      </c>
      <c r="DF1570" s="23">
        <v>-1.67</v>
      </c>
      <c r="DG1570" s="25">
        <v>115.41</v>
      </c>
      <c r="DH1570" s="24">
        <v>99</v>
      </c>
      <c r="DI1570" s="25">
        <v>113.25</v>
      </c>
      <c r="DJ1570" s="24">
        <v>97</v>
      </c>
      <c r="DK1570" s="25">
        <v>98.78</v>
      </c>
      <c r="DL1570" s="24">
        <v>98</v>
      </c>
      <c r="DM1570" s="25">
        <v>132.03</v>
      </c>
      <c r="DN1570" s="24">
        <v>100</v>
      </c>
      <c r="DO1570" s="25">
        <v>113.25</v>
      </c>
      <c r="DP1570" s="24">
        <v>98</v>
      </c>
      <c r="DQ1570" s="24">
        <v>33578</v>
      </c>
      <c r="DR1570" s="26">
        <v>909</v>
      </c>
      <c r="DS1570" s="23">
        <v>2.78</v>
      </c>
      <c r="DT1570" s="24">
        <v>3783</v>
      </c>
      <c r="DU1570" s="26">
        <v>81</v>
      </c>
      <c r="DV1570" s="23">
        <v>2.19</v>
      </c>
      <c r="DW1570" s="24">
        <v>40555</v>
      </c>
      <c r="DX1570" s="27">
        <v>-20</v>
      </c>
      <c r="DY1570" s="23">
        <v>-0.05</v>
      </c>
      <c r="DZ1570" s="15" t="s">
        <v>178</v>
      </c>
      <c r="EA1570" s="22">
        <v>43622</v>
      </c>
      <c r="EB1570" s="17">
        <v>25.79</v>
      </c>
      <c r="EC1570" s="22">
        <v>43025</v>
      </c>
      <c r="ED1570" s="15" t="s">
        <v>205</v>
      </c>
      <c r="EE1570" s="14" t="str">
        <f>HYPERLINK("https://my.pitchbook.com?c=97025-32", "View company online")</f>
        <v>View company online</v>
      </c>
    </row>
    <row r="1571" spans="1:135">
      <c r="A1571" s="28" t="s">
        <v>30049</v>
      </c>
      <c r="B1571" s="28" t="s">
        <v>30050</v>
      </c>
      <c r="C1571" s="28" t="s">
        <v>138</v>
      </c>
      <c r="D1571" s="28" t="s">
        <v>138</v>
      </c>
      <c r="E1571" s="28" t="s">
        <v>30051</v>
      </c>
      <c r="F1571" s="28" t="s">
        <v>30049</v>
      </c>
      <c r="G1571" s="28" t="s">
        <v>30052</v>
      </c>
      <c r="H1571" s="28" t="s">
        <v>322</v>
      </c>
      <c r="I1571" s="28" t="s">
        <v>323</v>
      </c>
      <c r="J1571" s="28" t="s">
        <v>1132</v>
      </c>
      <c r="K1571" s="28" t="s">
        <v>30053</v>
      </c>
      <c r="L1571" s="28" t="s">
        <v>5101</v>
      </c>
      <c r="M1571" s="28" t="s">
        <v>30054</v>
      </c>
      <c r="N1571" s="28" t="s">
        <v>147</v>
      </c>
      <c r="O1571" s="29">
        <v>18.510000000000002</v>
      </c>
      <c r="P1571" s="28" t="s">
        <v>148</v>
      </c>
      <c r="Q1571" s="28" t="s">
        <v>149</v>
      </c>
      <c r="R1571" s="28" t="s">
        <v>174</v>
      </c>
      <c r="S1571" s="28" t="s">
        <v>30055</v>
      </c>
      <c r="T1571" s="30">
        <v>40</v>
      </c>
      <c r="U1571" s="28" t="s">
        <v>30056</v>
      </c>
      <c r="V1571" s="28" t="s">
        <v>138</v>
      </c>
      <c r="W1571" s="28" t="s">
        <v>138</v>
      </c>
      <c r="X1571" s="31">
        <v>2014</v>
      </c>
      <c r="Y1571" s="28" t="s">
        <v>138</v>
      </c>
      <c r="Z1571" s="28" t="s">
        <v>138</v>
      </c>
      <c r="AA1571" s="28" t="s">
        <v>138</v>
      </c>
      <c r="AB1571" s="32" t="s">
        <v>138</v>
      </c>
      <c r="AC1571" s="32" t="s">
        <v>138</v>
      </c>
      <c r="AD1571" s="32" t="s">
        <v>138</v>
      </c>
      <c r="AE1571" s="32" t="s">
        <v>138</v>
      </c>
      <c r="AF1571" s="32" t="s">
        <v>138</v>
      </c>
      <c r="AG1571" s="28" t="s">
        <v>138</v>
      </c>
      <c r="AH1571" s="32" t="s">
        <v>138</v>
      </c>
      <c r="AI1571" s="32" t="s">
        <v>138</v>
      </c>
      <c r="AJ1571" s="32" t="s">
        <v>138</v>
      </c>
      <c r="AK1571" s="28" t="s">
        <v>30057</v>
      </c>
      <c r="AL1571" s="28" t="s">
        <v>30058</v>
      </c>
      <c r="AM1571" s="28" t="s">
        <v>938</v>
      </c>
      <c r="AN1571" s="28" t="s">
        <v>30059</v>
      </c>
      <c r="AO1571" s="28" t="s">
        <v>30060</v>
      </c>
      <c r="AP1571" s="28" t="s">
        <v>941</v>
      </c>
      <c r="AQ1571" s="28" t="s">
        <v>30061</v>
      </c>
      <c r="AR1571" s="28" t="s">
        <v>138</v>
      </c>
      <c r="AS1571" s="28" t="s">
        <v>944</v>
      </c>
      <c r="AT1571" s="28" t="s">
        <v>138</v>
      </c>
      <c r="AU1571" s="28" t="s">
        <v>30062</v>
      </c>
      <c r="AV1571" s="28" t="s">
        <v>946</v>
      </c>
      <c r="AW1571" s="28" t="s">
        <v>30060</v>
      </c>
      <c r="AX1571" s="28" t="s">
        <v>138</v>
      </c>
      <c r="AY1571" s="28" t="s">
        <v>30063</v>
      </c>
      <c r="AZ1571" s="28" t="s">
        <v>530</v>
      </c>
      <c r="BA1571" s="28" t="s">
        <v>531</v>
      </c>
      <c r="BB1571" s="28" t="s">
        <v>30064</v>
      </c>
      <c r="BC1571" s="28" t="s">
        <v>30065</v>
      </c>
      <c r="BD1571" s="33">
        <v>12</v>
      </c>
      <c r="BE1571" s="28" t="s">
        <v>138</v>
      </c>
      <c r="BF1571" s="28" t="s">
        <v>138</v>
      </c>
      <c r="BG1571" s="28" t="s">
        <v>138</v>
      </c>
      <c r="BH1571" s="28" t="s">
        <v>30066</v>
      </c>
      <c r="BI1571" s="28" t="s">
        <v>138</v>
      </c>
      <c r="BJ1571" s="28" t="s">
        <v>138</v>
      </c>
      <c r="BK1571" s="28" t="s">
        <v>138</v>
      </c>
      <c r="BL1571" s="28" t="s">
        <v>9800</v>
      </c>
      <c r="BM1571" s="34">
        <v>41640</v>
      </c>
      <c r="BN1571" s="29" t="s">
        <v>138</v>
      </c>
      <c r="BO1571" s="28" t="s">
        <v>138</v>
      </c>
      <c r="BP1571" s="29" t="s">
        <v>138</v>
      </c>
      <c r="BQ1571" s="28" t="s">
        <v>138</v>
      </c>
      <c r="BR1571" s="28" t="s">
        <v>205</v>
      </c>
      <c r="BS1571" s="28" t="s">
        <v>138</v>
      </c>
      <c r="BT1571" s="28" t="s">
        <v>138</v>
      </c>
      <c r="BU1571" s="28" t="s">
        <v>174</v>
      </c>
      <c r="BV1571" s="28" t="s">
        <v>1397</v>
      </c>
      <c r="BW1571" s="28" t="s">
        <v>138</v>
      </c>
      <c r="BX1571" s="28" t="s">
        <v>138</v>
      </c>
      <c r="BY1571" s="28" t="s">
        <v>175</v>
      </c>
      <c r="BZ1571" s="34">
        <v>43349</v>
      </c>
      <c r="CA1571" s="29">
        <v>16.309999999999999</v>
      </c>
      <c r="CB1571" s="28" t="s">
        <v>172</v>
      </c>
      <c r="CC1571" s="29" t="s">
        <v>138</v>
      </c>
      <c r="CD1571" s="28" t="s">
        <v>138</v>
      </c>
      <c r="CE1571" s="28" t="s">
        <v>205</v>
      </c>
      <c r="CF1571" s="28" t="s">
        <v>138</v>
      </c>
      <c r="CG1571" s="28" t="s">
        <v>138</v>
      </c>
      <c r="CH1571" s="28" t="s">
        <v>174</v>
      </c>
      <c r="CI1571" s="28" t="s">
        <v>138</v>
      </c>
      <c r="CJ1571" s="28" t="s">
        <v>138</v>
      </c>
      <c r="CK1571" s="28" t="s">
        <v>138</v>
      </c>
      <c r="CL1571" s="28" t="s">
        <v>175</v>
      </c>
      <c r="CM1571" s="34">
        <v>41640</v>
      </c>
      <c r="CN1571" s="29" t="s">
        <v>138</v>
      </c>
      <c r="CO1571" s="35">
        <v>0.02</v>
      </c>
      <c r="CP1571" s="36">
        <v>85</v>
      </c>
      <c r="CQ1571" s="35">
        <v>0.06</v>
      </c>
      <c r="CR1571" s="35">
        <v>135.44999999999999</v>
      </c>
      <c r="CS1571" s="35">
        <v>-0.1</v>
      </c>
      <c r="CT1571" s="36">
        <v>22</v>
      </c>
      <c r="CU1571" s="35">
        <v>0.13</v>
      </c>
      <c r="CV1571" s="36">
        <v>73</v>
      </c>
      <c r="CW1571" s="35" t="s">
        <v>138</v>
      </c>
      <c r="CX1571" s="36" t="s">
        <v>138</v>
      </c>
      <c r="CY1571" s="35">
        <v>-0.1</v>
      </c>
      <c r="CZ1571" s="36">
        <v>24</v>
      </c>
      <c r="DA1571" s="35">
        <v>0.13</v>
      </c>
      <c r="DB1571" s="36">
        <v>76</v>
      </c>
      <c r="DC1571" s="37">
        <v>2.23</v>
      </c>
      <c r="DD1571" s="36">
        <v>69</v>
      </c>
      <c r="DE1571" s="37">
        <v>0.02</v>
      </c>
      <c r="DF1571" s="35">
        <v>1.07</v>
      </c>
      <c r="DG1571" s="37">
        <v>3.66</v>
      </c>
      <c r="DH1571" s="36">
        <v>78</v>
      </c>
      <c r="DI1571" s="37">
        <v>0.8</v>
      </c>
      <c r="DJ1571" s="36">
        <v>45</v>
      </c>
      <c r="DK1571" s="37" t="s">
        <v>138</v>
      </c>
      <c r="DL1571" s="36" t="s">
        <v>138</v>
      </c>
      <c r="DM1571" s="37">
        <v>3.66</v>
      </c>
      <c r="DN1571" s="36">
        <v>77</v>
      </c>
      <c r="DO1571" s="37">
        <v>0.8</v>
      </c>
      <c r="DP1571" s="36">
        <v>46</v>
      </c>
      <c r="DQ1571" s="36" t="s">
        <v>138</v>
      </c>
      <c r="DR1571" s="38" t="s">
        <v>138</v>
      </c>
      <c r="DS1571" s="35" t="s">
        <v>138</v>
      </c>
      <c r="DT1571" s="36">
        <v>105</v>
      </c>
      <c r="DU1571" s="38">
        <v>1</v>
      </c>
      <c r="DV1571" s="35">
        <v>0.96</v>
      </c>
      <c r="DW1571" s="36">
        <v>285</v>
      </c>
      <c r="DX1571" s="39">
        <v>1</v>
      </c>
      <c r="DY1571" s="35">
        <v>0.35</v>
      </c>
      <c r="DZ1571" s="28" t="s">
        <v>178</v>
      </c>
      <c r="EA1571" s="34">
        <v>43601</v>
      </c>
      <c r="EB1571" s="29" t="s">
        <v>138</v>
      </c>
      <c r="EC1571" s="34" t="s">
        <v>138</v>
      </c>
      <c r="ED1571" s="28" t="s">
        <v>138</v>
      </c>
      <c r="EE1571" s="40" t="str">
        <f>HYPERLINK("https://my.pitchbook.com?c=153333-55", "View company online")</f>
        <v>View company online</v>
      </c>
    </row>
    <row r="1572" spans="1:135">
      <c r="A1572" s="15" t="s">
        <v>30067</v>
      </c>
      <c r="B1572" s="15" t="s">
        <v>30068</v>
      </c>
      <c r="C1572" s="15" t="s">
        <v>138</v>
      </c>
      <c r="D1572" s="15" t="s">
        <v>138</v>
      </c>
      <c r="E1572" s="15" t="s">
        <v>138</v>
      </c>
      <c r="F1572" s="15" t="s">
        <v>30067</v>
      </c>
      <c r="G1572" s="15" t="s">
        <v>30069</v>
      </c>
      <c r="H1572" s="15" t="s">
        <v>322</v>
      </c>
      <c r="I1572" s="15" t="s">
        <v>323</v>
      </c>
      <c r="J1572" s="15" t="s">
        <v>954</v>
      </c>
      <c r="K1572" s="15" t="s">
        <v>10641</v>
      </c>
      <c r="L1572" s="15" t="s">
        <v>4762</v>
      </c>
      <c r="M1572" s="15" t="s">
        <v>30070</v>
      </c>
      <c r="N1572" s="15" t="s">
        <v>147</v>
      </c>
      <c r="O1572" s="17">
        <v>3.5</v>
      </c>
      <c r="P1572" s="15" t="s">
        <v>2922</v>
      </c>
      <c r="Q1572" s="15" t="s">
        <v>149</v>
      </c>
      <c r="R1572" s="15" t="s">
        <v>174</v>
      </c>
      <c r="S1572" s="15" t="s">
        <v>30071</v>
      </c>
      <c r="T1572" s="18" t="s">
        <v>138</v>
      </c>
      <c r="U1572" s="15" t="s">
        <v>138</v>
      </c>
      <c r="V1572" s="15" t="s">
        <v>138</v>
      </c>
      <c r="W1572" s="15" t="s">
        <v>138</v>
      </c>
      <c r="X1572" s="19">
        <v>2016</v>
      </c>
      <c r="Y1572" s="15" t="s">
        <v>138</v>
      </c>
      <c r="Z1572" s="15" t="s">
        <v>138</v>
      </c>
      <c r="AA1572" s="15" t="s">
        <v>138</v>
      </c>
      <c r="AB1572" s="20" t="s">
        <v>138</v>
      </c>
      <c r="AC1572" s="20" t="s">
        <v>138</v>
      </c>
      <c r="AD1572" s="20" t="s">
        <v>138</v>
      </c>
      <c r="AE1572" s="20" t="s">
        <v>138</v>
      </c>
      <c r="AF1572" s="20" t="s">
        <v>138</v>
      </c>
      <c r="AG1572" s="15" t="s">
        <v>138</v>
      </c>
      <c r="AH1572" s="20" t="s">
        <v>138</v>
      </c>
      <c r="AI1572" s="20" t="s">
        <v>138</v>
      </c>
      <c r="AJ1572" s="20" t="s">
        <v>138</v>
      </c>
      <c r="AK1572" s="15" t="s">
        <v>30072</v>
      </c>
      <c r="AL1572" s="15" t="s">
        <v>30073</v>
      </c>
      <c r="AM1572" s="15" t="s">
        <v>304</v>
      </c>
      <c r="AN1572" s="15" t="s">
        <v>30074</v>
      </c>
      <c r="AO1572" s="15" t="s">
        <v>138</v>
      </c>
      <c r="AP1572" s="15" t="s">
        <v>30075</v>
      </c>
      <c r="AQ1572" s="15" t="s">
        <v>30076</v>
      </c>
      <c r="AR1572" s="15" t="s">
        <v>138</v>
      </c>
      <c r="AS1572" s="15" t="s">
        <v>30077</v>
      </c>
      <c r="AT1572" s="15" t="s">
        <v>200</v>
      </c>
      <c r="AU1572" s="15" t="s">
        <v>30078</v>
      </c>
      <c r="AV1572" s="15" t="s">
        <v>162</v>
      </c>
      <c r="AW1572" s="15" t="s">
        <v>138</v>
      </c>
      <c r="AX1572" s="15" t="s">
        <v>138</v>
      </c>
      <c r="AY1572" s="15" t="s">
        <v>30079</v>
      </c>
      <c r="AZ1572" s="15" t="s">
        <v>164</v>
      </c>
      <c r="BA1572" s="15" t="s">
        <v>165</v>
      </c>
      <c r="BB1572" s="15" t="s">
        <v>30080</v>
      </c>
      <c r="BC1572" s="15" t="s">
        <v>30081</v>
      </c>
      <c r="BD1572" s="21">
        <v>5</v>
      </c>
      <c r="BE1572" s="15" t="s">
        <v>138</v>
      </c>
      <c r="BF1572" s="15" t="s">
        <v>138</v>
      </c>
      <c r="BG1572" s="15" t="s">
        <v>138</v>
      </c>
      <c r="BH1572" s="15" t="s">
        <v>30082</v>
      </c>
      <c r="BI1572" s="15" t="s">
        <v>138</v>
      </c>
      <c r="BJ1572" s="15" t="s">
        <v>138</v>
      </c>
      <c r="BK1572" s="15" t="s">
        <v>138</v>
      </c>
      <c r="BL1572" s="15" t="s">
        <v>2936</v>
      </c>
      <c r="BM1572" s="22" t="s">
        <v>138</v>
      </c>
      <c r="BN1572" s="17" t="s">
        <v>138</v>
      </c>
      <c r="BO1572" s="15" t="s">
        <v>138</v>
      </c>
      <c r="BP1572" s="17" t="s">
        <v>138</v>
      </c>
      <c r="BQ1572" s="15" t="s">
        <v>138</v>
      </c>
      <c r="BR1572" s="15" t="s">
        <v>316</v>
      </c>
      <c r="BS1572" s="15" t="s">
        <v>138</v>
      </c>
      <c r="BT1572" s="15" t="s">
        <v>138</v>
      </c>
      <c r="BU1572" s="15" t="s">
        <v>177</v>
      </c>
      <c r="BV1572" s="15" t="s">
        <v>138</v>
      </c>
      <c r="BW1572" s="15" t="s">
        <v>138</v>
      </c>
      <c r="BX1572" s="15" t="s">
        <v>138</v>
      </c>
      <c r="BY1572" s="15" t="s">
        <v>175</v>
      </c>
      <c r="BZ1572" s="22">
        <v>42931</v>
      </c>
      <c r="CA1572" s="17">
        <v>3.5</v>
      </c>
      <c r="CB1572" s="15" t="s">
        <v>172</v>
      </c>
      <c r="CC1572" s="17">
        <v>16.5</v>
      </c>
      <c r="CD1572" s="15" t="s">
        <v>172</v>
      </c>
      <c r="CE1572" s="15" t="s">
        <v>234</v>
      </c>
      <c r="CF1572" s="15" t="s">
        <v>234</v>
      </c>
      <c r="CG1572" s="15" t="s">
        <v>138</v>
      </c>
      <c r="CH1572" s="15" t="s">
        <v>174</v>
      </c>
      <c r="CI1572" s="15" t="s">
        <v>138</v>
      </c>
      <c r="CJ1572" s="15" t="s">
        <v>138</v>
      </c>
      <c r="CK1572" s="15" t="s">
        <v>138</v>
      </c>
      <c r="CL1572" s="15" t="s">
        <v>175</v>
      </c>
      <c r="CM1572" s="22" t="s">
        <v>138</v>
      </c>
      <c r="CN1572" s="17" t="s">
        <v>138</v>
      </c>
      <c r="CO1572" s="23">
        <v>0</v>
      </c>
      <c r="CP1572" s="24">
        <v>26</v>
      </c>
      <c r="CQ1572" s="23">
        <v>0</v>
      </c>
      <c r="CR1572" s="23">
        <v>0</v>
      </c>
      <c r="CS1572" s="23">
        <v>0</v>
      </c>
      <c r="CT1572" s="24">
        <v>23</v>
      </c>
      <c r="CU1572" s="23" t="s">
        <v>138</v>
      </c>
      <c r="CV1572" s="24" t="s">
        <v>138</v>
      </c>
      <c r="CW1572" s="23" t="s">
        <v>138</v>
      </c>
      <c r="CX1572" s="24" t="s">
        <v>138</v>
      </c>
      <c r="CY1572" s="23">
        <v>0</v>
      </c>
      <c r="CZ1572" s="24">
        <v>25</v>
      </c>
      <c r="DA1572" s="23" t="s">
        <v>138</v>
      </c>
      <c r="DB1572" s="24" t="s">
        <v>138</v>
      </c>
      <c r="DC1572" s="25">
        <v>0.31</v>
      </c>
      <c r="DD1572" s="24">
        <v>23</v>
      </c>
      <c r="DE1572" s="25">
        <v>0.12</v>
      </c>
      <c r="DF1572" s="23">
        <v>60.66</v>
      </c>
      <c r="DG1572" s="25">
        <v>0.31</v>
      </c>
      <c r="DH1572" s="24">
        <v>23</v>
      </c>
      <c r="DI1572" s="25" t="s">
        <v>138</v>
      </c>
      <c r="DJ1572" s="24" t="s">
        <v>138</v>
      </c>
      <c r="DK1572" s="25" t="s">
        <v>138</v>
      </c>
      <c r="DL1572" s="24" t="s">
        <v>138</v>
      </c>
      <c r="DM1572" s="25">
        <v>0.31</v>
      </c>
      <c r="DN1572" s="24">
        <v>24</v>
      </c>
      <c r="DO1572" s="25" t="s">
        <v>138</v>
      </c>
      <c r="DP1572" s="24" t="s">
        <v>138</v>
      </c>
      <c r="DQ1572" s="24" t="s">
        <v>138</v>
      </c>
      <c r="DR1572" s="26" t="s">
        <v>138</v>
      </c>
      <c r="DS1572" s="23" t="s">
        <v>138</v>
      </c>
      <c r="DT1572" s="24">
        <v>9</v>
      </c>
      <c r="DU1572" s="26">
        <v>0</v>
      </c>
      <c r="DV1572" s="23">
        <v>0</v>
      </c>
      <c r="DW1572" s="24" t="s">
        <v>138</v>
      </c>
      <c r="DX1572" s="27" t="s">
        <v>138</v>
      </c>
      <c r="DY1572" s="23" t="s">
        <v>138</v>
      </c>
      <c r="DZ1572" s="15" t="s">
        <v>178</v>
      </c>
      <c r="EA1572" s="22">
        <v>43581</v>
      </c>
      <c r="EB1572" s="17">
        <v>16.5</v>
      </c>
      <c r="EC1572" s="22">
        <v>42931</v>
      </c>
      <c r="ED1572" s="15" t="s">
        <v>234</v>
      </c>
      <c r="EE1572" s="14" t="str">
        <f>HYPERLINK("https://my.pitchbook.com?c=172148-23", "View company online")</f>
        <v>View company online</v>
      </c>
    </row>
    <row r="1573" spans="1:135">
      <c r="A1573" s="28" t="s">
        <v>30083</v>
      </c>
      <c r="B1573" s="28" t="s">
        <v>30084</v>
      </c>
      <c r="C1573" s="28" t="s">
        <v>138</v>
      </c>
      <c r="D1573" s="28" t="s">
        <v>138</v>
      </c>
      <c r="E1573" s="28" t="s">
        <v>30085</v>
      </c>
      <c r="F1573" s="28" t="s">
        <v>30083</v>
      </c>
      <c r="G1573" s="28" t="s">
        <v>30086</v>
      </c>
      <c r="H1573" s="28" t="s">
        <v>141</v>
      </c>
      <c r="I1573" s="28" t="s">
        <v>212</v>
      </c>
      <c r="J1573" s="28" t="s">
        <v>213</v>
      </c>
      <c r="K1573" s="28" t="s">
        <v>1064</v>
      </c>
      <c r="L1573" s="28" t="s">
        <v>2043</v>
      </c>
      <c r="M1573" s="28" t="s">
        <v>30087</v>
      </c>
      <c r="N1573" s="28" t="s">
        <v>147</v>
      </c>
      <c r="O1573" s="29">
        <v>1.8</v>
      </c>
      <c r="P1573" s="28" t="s">
        <v>610</v>
      </c>
      <c r="Q1573" s="28" t="s">
        <v>149</v>
      </c>
      <c r="R1573" s="28" t="s">
        <v>244</v>
      </c>
      <c r="S1573" s="28" t="s">
        <v>30088</v>
      </c>
      <c r="T1573" s="30" t="s">
        <v>138</v>
      </c>
      <c r="U1573" s="28" t="s">
        <v>138</v>
      </c>
      <c r="V1573" s="28" t="s">
        <v>138</v>
      </c>
      <c r="W1573" s="28" t="s">
        <v>138</v>
      </c>
      <c r="X1573" s="31">
        <v>2010</v>
      </c>
      <c r="Y1573" s="28" t="s">
        <v>138</v>
      </c>
      <c r="Z1573" s="28" t="s">
        <v>138</v>
      </c>
      <c r="AA1573" s="28" t="s">
        <v>138</v>
      </c>
      <c r="AB1573" s="32" t="s">
        <v>138</v>
      </c>
      <c r="AC1573" s="32" t="s">
        <v>138</v>
      </c>
      <c r="AD1573" s="32" t="s">
        <v>138</v>
      </c>
      <c r="AE1573" s="32" t="s">
        <v>138</v>
      </c>
      <c r="AF1573" s="32" t="s">
        <v>138</v>
      </c>
      <c r="AG1573" s="28" t="s">
        <v>138</v>
      </c>
      <c r="AH1573" s="32" t="s">
        <v>138</v>
      </c>
      <c r="AI1573" s="32" t="s">
        <v>138</v>
      </c>
      <c r="AJ1573" s="32" t="s">
        <v>138</v>
      </c>
      <c r="AK1573" s="28" t="s">
        <v>30089</v>
      </c>
      <c r="AL1573" s="28" t="s">
        <v>30090</v>
      </c>
      <c r="AM1573" s="28" t="s">
        <v>938</v>
      </c>
      <c r="AN1573" s="28" t="s">
        <v>30091</v>
      </c>
      <c r="AO1573" s="28" t="s">
        <v>30092</v>
      </c>
      <c r="AP1573" s="28" t="s">
        <v>423</v>
      </c>
      <c r="AQ1573" s="28" t="s">
        <v>16618</v>
      </c>
      <c r="AR1573" s="28" t="s">
        <v>138</v>
      </c>
      <c r="AS1573" s="28" t="s">
        <v>426</v>
      </c>
      <c r="AT1573" s="28" t="s">
        <v>426</v>
      </c>
      <c r="AU1573" s="28" t="s">
        <v>8757</v>
      </c>
      <c r="AV1573" s="28" t="s">
        <v>162</v>
      </c>
      <c r="AW1573" s="28" t="s">
        <v>30092</v>
      </c>
      <c r="AX1573" s="28" t="s">
        <v>138</v>
      </c>
      <c r="AY1573" s="28" t="s">
        <v>30093</v>
      </c>
      <c r="AZ1573" s="28" t="s">
        <v>164</v>
      </c>
      <c r="BA1573" s="28" t="s">
        <v>165</v>
      </c>
      <c r="BB1573" s="28" t="s">
        <v>30094</v>
      </c>
      <c r="BC1573" s="28" t="s">
        <v>30095</v>
      </c>
      <c r="BD1573" s="33">
        <v>1</v>
      </c>
      <c r="BE1573" s="28" t="s">
        <v>138</v>
      </c>
      <c r="BF1573" s="28" t="s">
        <v>138</v>
      </c>
      <c r="BG1573" s="28" t="s">
        <v>138</v>
      </c>
      <c r="BH1573" s="28" t="s">
        <v>30096</v>
      </c>
      <c r="BI1573" s="28" t="s">
        <v>138</v>
      </c>
      <c r="BJ1573" s="28" t="s">
        <v>138</v>
      </c>
      <c r="BK1573" s="28" t="s">
        <v>138</v>
      </c>
      <c r="BL1573" s="28" t="s">
        <v>30097</v>
      </c>
      <c r="BM1573" s="34">
        <v>40331</v>
      </c>
      <c r="BN1573" s="29">
        <v>0.3</v>
      </c>
      <c r="BO1573" s="28" t="s">
        <v>172</v>
      </c>
      <c r="BP1573" s="29" t="s">
        <v>138</v>
      </c>
      <c r="BQ1573" s="28" t="s">
        <v>138</v>
      </c>
      <c r="BR1573" s="28" t="s">
        <v>234</v>
      </c>
      <c r="BS1573" s="28" t="s">
        <v>234</v>
      </c>
      <c r="BT1573" s="28" t="s">
        <v>138</v>
      </c>
      <c r="BU1573" s="28" t="s">
        <v>174</v>
      </c>
      <c r="BV1573" s="28" t="s">
        <v>138</v>
      </c>
      <c r="BW1573" s="28" t="s">
        <v>138</v>
      </c>
      <c r="BX1573" s="28" t="s">
        <v>138</v>
      </c>
      <c r="BY1573" s="28" t="s">
        <v>175</v>
      </c>
      <c r="BZ1573" s="34">
        <v>41257</v>
      </c>
      <c r="CA1573" s="29" t="s">
        <v>138</v>
      </c>
      <c r="CB1573" s="28" t="s">
        <v>138</v>
      </c>
      <c r="CC1573" s="29" t="s">
        <v>138</v>
      </c>
      <c r="CD1573" s="28" t="s">
        <v>138</v>
      </c>
      <c r="CE1573" s="28" t="s">
        <v>1326</v>
      </c>
      <c r="CF1573" s="28" t="s">
        <v>138</v>
      </c>
      <c r="CG1573" s="28" t="s">
        <v>138</v>
      </c>
      <c r="CH1573" s="28" t="s">
        <v>1327</v>
      </c>
      <c r="CI1573" s="28" t="s">
        <v>2528</v>
      </c>
      <c r="CJ1573" s="28" t="s">
        <v>138</v>
      </c>
      <c r="CK1573" s="28" t="s">
        <v>138</v>
      </c>
      <c r="CL1573" s="28" t="s">
        <v>175</v>
      </c>
      <c r="CM1573" s="34">
        <v>41257</v>
      </c>
      <c r="CN1573" s="29" t="s">
        <v>138</v>
      </c>
      <c r="CO1573" s="35">
        <v>0</v>
      </c>
      <c r="CP1573" s="36">
        <v>26</v>
      </c>
      <c r="CQ1573" s="35">
        <v>-0.01</v>
      </c>
      <c r="CR1573" s="35">
        <v>-98.56</v>
      </c>
      <c r="CS1573" s="35">
        <v>0</v>
      </c>
      <c r="CT1573" s="36">
        <v>23</v>
      </c>
      <c r="CU1573" s="35">
        <v>0</v>
      </c>
      <c r="CV1573" s="36">
        <v>22</v>
      </c>
      <c r="CW1573" s="35">
        <v>0</v>
      </c>
      <c r="CX1573" s="36">
        <v>13</v>
      </c>
      <c r="CY1573" s="35">
        <v>0</v>
      </c>
      <c r="CZ1573" s="36">
        <v>25</v>
      </c>
      <c r="DA1573" s="35">
        <v>0</v>
      </c>
      <c r="DB1573" s="36">
        <v>22</v>
      </c>
      <c r="DC1573" s="37">
        <v>0.89</v>
      </c>
      <c r="DD1573" s="36">
        <v>48</v>
      </c>
      <c r="DE1573" s="37">
        <v>-0.04</v>
      </c>
      <c r="DF1573" s="35">
        <v>-4.6100000000000003</v>
      </c>
      <c r="DG1573" s="37">
        <v>1.37</v>
      </c>
      <c r="DH1573" s="36">
        <v>58</v>
      </c>
      <c r="DI1573" s="37">
        <v>0.41</v>
      </c>
      <c r="DJ1573" s="36">
        <v>33</v>
      </c>
      <c r="DK1573" s="37">
        <v>1.08</v>
      </c>
      <c r="DL1573" s="36">
        <v>52</v>
      </c>
      <c r="DM1573" s="37">
        <v>1.66</v>
      </c>
      <c r="DN1573" s="36">
        <v>62</v>
      </c>
      <c r="DO1573" s="37">
        <v>0.77</v>
      </c>
      <c r="DP1573" s="36">
        <v>46</v>
      </c>
      <c r="DQ1573" s="36">
        <v>358</v>
      </c>
      <c r="DR1573" s="38">
        <v>38</v>
      </c>
      <c r="DS1573" s="35">
        <v>11.88</v>
      </c>
      <c r="DT1573" s="36">
        <v>48</v>
      </c>
      <c r="DU1573" s="38">
        <v>-1</v>
      </c>
      <c r="DV1573" s="35">
        <v>-2.04</v>
      </c>
      <c r="DW1573" s="36">
        <v>274</v>
      </c>
      <c r="DX1573" s="39">
        <v>-1</v>
      </c>
      <c r="DY1573" s="35">
        <v>-0.36</v>
      </c>
      <c r="DZ1573" s="28" t="s">
        <v>178</v>
      </c>
      <c r="EA1573" s="34">
        <v>43622</v>
      </c>
      <c r="EB1573" s="29" t="s">
        <v>138</v>
      </c>
      <c r="EC1573" s="34" t="s">
        <v>138</v>
      </c>
      <c r="ED1573" s="28" t="s">
        <v>138</v>
      </c>
      <c r="EE1573" s="40" t="str">
        <f>HYPERLINK("https://my.pitchbook.com?c=53461-00", "View company online")</f>
        <v>View company online</v>
      </c>
    </row>
    <row r="1574" spans="1:135">
      <c r="A1574" s="15" t="s">
        <v>30098</v>
      </c>
      <c r="B1574" s="15" t="s">
        <v>30099</v>
      </c>
      <c r="C1574" s="15" t="s">
        <v>138</v>
      </c>
      <c r="D1574" s="15" t="s">
        <v>138</v>
      </c>
      <c r="E1574" s="15" t="s">
        <v>30100</v>
      </c>
      <c r="F1574" s="15" t="s">
        <v>30098</v>
      </c>
      <c r="G1574" s="15" t="s">
        <v>30101</v>
      </c>
      <c r="H1574" s="15" t="s">
        <v>238</v>
      </c>
      <c r="I1574" s="15" t="s">
        <v>2662</v>
      </c>
      <c r="J1574" s="15" t="s">
        <v>4479</v>
      </c>
      <c r="K1574" s="15" t="s">
        <v>30102</v>
      </c>
      <c r="L1574" s="15" t="s">
        <v>138</v>
      </c>
      <c r="M1574" s="15" t="s">
        <v>30103</v>
      </c>
      <c r="N1574" s="15" t="s">
        <v>147</v>
      </c>
      <c r="O1574" s="17">
        <v>2.38</v>
      </c>
      <c r="P1574" s="15" t="s">
        <v>148</v>
      </c>
      <c r="Q1574" s="15" t="s">
        <v>149</v>
      </c>
      <c r="R1574" s="15" t="s">
        <v>244</v>
      </c>
      <c r="S1574" s="15" t="s">
        <v>30104</v>
      </c>
      <c r="T1574" s="18">
        <v>10</v>
      </c>
      <c r="U1574" s="15" t="s">
        <v>30105</v>
      </c>
      <c r="V1574" s="15" t="s">
        <v>138</v>
      </c>
      <c r="W1574" s="15" t="s">
        <v>138</v>
      </c>
      <c r="X1574" s="19">
        <v>2010</v>
      </c>
      <c r="Y1574" s="15" t="s">
        <v>138</v>
      </c>
      <c r="Z1574" s="15" t="s">
        <v>138</v>
      </c>
      <c r="AA1574" s="15" t="s">
        <v>138</v>
      </c>
      <c r="AB1574" s="20">
        <v>1</v>
      </c>
      <c r="AC1574" s="20" t="s">
        <v>138</v>
      </c>
      <c r="AD1574" s="20" t="s">
        <v>138</v>
      </c>
      <c r="AE1574" s="20" t="s">
        <v>138</v>
      </c>
      <c r="AF1574" s="20" t="s">
        <v>138</v>
      </c>
      <c r="AG1574" s="15" t="s">
        <v>633</v>
      </c>
      <c r="AH1574" s="20" t="s">
        <v>138</v>
      </c>
      <c r="AI1574" s="20" t="s">
        <v>138</v>
      </c>
      <c r="AJ1574" s="20" t="s">
        <v>138</v>
      </c>
      <c r="AK1574" s="15" t="s">
        <v>30106</v>
      </c>
      <c r="AL1574" s="15" t="s">
        <v>30107</v>
      </c>
      <c r="AM1574" s="15" t="s">
        <v>30108</v>
      </c>
      <c r="AN1574" s="15" t="s">
        <v>30109</v>
      </c>
      <c r="AO1574" s="15" t="s">
        <v>30110</v>
      </c>
      <c r="AP1574" s="15" t="s">
        <v>639</v>
      </c>
      <c r="AQ1574" s="15" t="s">
        <v>30111</v>
      </c>
      <c r="AR1574" s="15" t="s">
        <v>138</v>
      </c>
      <c r="AS1574" s="15" t="s">
        <v>642</v>
      </c>
      <c r="AT1574" s="15" t="s">
        <v>474</v>
      </c>
      <c r="AU1574" s="15" t="s">
        <v>11909</v>
      </c>
      <c r="AV1574" s="15" t="s">
        <v>162</v>
      </c>
      <c r="AW1574" s="15" t="s">
        <v>30112</v>
      </c>
      <c r="AX1574" s="15" t="s">
        <v>138</v>
      </c>
      <c r="AY1574" s="15" t="s">
        <v>138</v>
      </c>
      <c r="AZ1574" s="15" t="s">
        <v>164</v>
      </c>
      <c r="BA1574" s="15" t="s">
        <v>165</v>
      </c>
      <c r="BB1574" s="15" t="s">
        <v>30113</v>
      </c>
      <c r="BC1574" s="15" t="s">
        <v>30114</v>
      </c>
      <c r="BD1574" s="21">
        <v>4</v>
      </c>
      <c r="BE1574" s="15" t="s">
        <v>138</v>
      </c>
      <c r="BF1574" s="15" t="s">
        <v>138</v>
      </c>
      <c r="BG1574" s="15" t="s">
        <v>138</v>
      </c>
      <c r="BH1574" s="15" t="s">
        <v>30115</v>
      </c>
      <c r="BI1574" s="15" t="s">
        <v>138</v>
      </c>
      <c r="BJ1574" s="15" t="s">
        <v>138</v>
      </c>
      <c r="BK1574" s="15" t="s">
        <v>6179</v>
      </c>
      <c r="BL1574" s="15" t="s">
        <v>138</v>
      </c>
      <c r="BM1574" s="22">
        <v>41204</v>
      </c>
      <c r="BN1574" s="17">
        <v>0.1</v>
      </c>
      <c r="BO1574" s="15" t="s">
        <v>172</v>
      </c>
      <c r="BP1574" s="17" t="s">
        <v>138</v>
      </c>
      <c r="BQ1574" s="15" t="s">
        <v>138</v>
      </c>
      <c r="BR1574" s="15" t="s">
        <v>205</v>
      </c>
      <c r="BS1574" s="15" t="s">
        <v>138</v>
      </c>
      <c r="BT1574" s="15" t="s">
        <v>138</v>
      </c>
      <c r="BU1574" s="15" t="s">
        <v>174</v>
      </c>
      <c r="BV1574" s="15" t="s">
        <v>138</v>
      </c>
      <c r="BW1574" s="15" t="s">
        <v>138</v>
      </c>
      <c r="BX1574" s="15" t="s">
        <v>138</v>
      </c>
      <c r="BY1574" s="15" t="s">
        <v>175</v>
      </c>
      <c r="BZ1574" s="22">
        <v>43102</v>
      </c>
      <c r="CA1574" s="17">
        <v>0.28000000000000003</v>
      </c>
      <c r="CB1574" s="15" t="s">
        <v>172</v>
      </c>
      <c r="CC1574" s="17" t="s">
        <v>138</v>
      </c>
      <c r="CD1574" s="15" t="s">
        <v>138</v>
      </c>
      <c r="CE1574" s="15" t="s">
        <v>173</v>
      </c>
      <c r="CF1574" s="15" t="s">
        <v>138</v>
      </c>
      <c r="CG1574" s="15" t="s">
        <v>138</v>
      </c>
      <c r="CH1574" s="15" t="s">
        <v>174</v>
      </c>
      <c r="CI1574" s="15" t="s">
        <v>264</v>
      </c>
      <c r="CJ1574" s="15" t="s">
        <v>138</v>
      </c>
      <c r="CK1574" s="15" t="s">
        <v>138</v>
      </c>
      <c r="CL1574" s="15" t="s">
        <v>352</v>
      </c>
      <c r="CM1574" s="22" t="s">
        <v>138</v>
      </c>
      <c r="CN1574" s="17" t="s">
        <v>138</v>
      </c>
      <c r="CO1574" s="23">
        <v>-1.72</v>
      </c>
      <c r="CP1574" s="24">
        <v>6</v>
      </c>
      <c r="CQ1574" s="23">
        <v>0.01</v>
      </c>
      <c r="CR1574" s="23">
        <v>0.85</v>
      </c>
      <c r="CS1574" s="23">
        <v>-3.62</v>
      </c>
      <c r="CT1574" s="24">
        <v>4</v>
      </c>
      <c r="CU1574" s="23">
        <v>0.19</v>
      </c>
      <c r="CV1574" s="24">
        <v>79</v>
      </c>
      <c r="CW1574" s="23">
        <v>-6</v>
      </c>
      <c r="CX1574" s="24">
        <v>2</v>
      </c>
      <c r="CY1574" s="23">
        <v>-1.23</v>
      </c>
      <c r="CZ1574" s="24">
        <v>17</v>
      </c>
      <c r="DA1574" s="23">
        <v>0.22</v>
      </c>
      <c r="DB1574" s="24">
        <v>84</v>
      </c>
      <c r="DC1574" s="25">
        <v>18.96</v>
      </c>
      <c r="DD1574" s="24">
        <v>94</v>
      </c>
      <c r="DE1574" s="25">
        <v>-0.54</v>
      </c>
      <c r="DF1574" s="23">
        <v>-2.79</v>
      </c>
      <c r="DG1574" s="25">
        <v>13.88</v>
      </c>
      <c r="DH1574" s="24">
        <v>92</v>
      </c>
      <c r="DI1574" s="25">
        <v>24.05</v>
      </c>
      <c r="DJ1574" s="24">
        <v>92</v>
      </c>
      <c r="DK1574" s="25">
        <v>17.62</v>
      </c>
      <c r="DL1574" s="24">
        <v>91</v>
      </c>
      <c r="DM1574" s="25">
        <v>10.14</v>
      </c>
      <c r="DN1574" s="24">
        <v>89</v>
      </c>
      <c r="DO1574" s="25">
        <v>9.51</v>
      </c>
      <c r="DP1574" s="24">
        <v>87</v>
      </c>
      <c r="DQ1574" s="24">
        <v>6133</v>
      </c>
      <c r="DR1574" s="26">
        <v>-274</v>
      </c>
      <c r="DS1574" s="23">
        <v>-4.28</v>
      </c>
      <c r="DT1574" s="24">
        <v>294</v>
      </c>
      <c r="DU1574" s="26">
        <v>0</v>
      </c>
      <c r="DV1574" s="23">
        <v>0</v>
      </c>
      <c r="DW1574" s="24">
        <v>3392</v>
      </c>
      <c r="DX1574" s="27">
        <v>20</v>
      </c>
      <c r="DY1574" s="23">
        <v>0.59</v>
      </c>
      <c r="DZ1574" s="15" t="s">
        <v>178</v>
      </c>
      <c r="EA1574" s="22">
        <v>43375</v>
      </c>
      <c r="EB1574" s="17" t="s">
        <v>138</v>
      </c>
      <c r="EC1574" s="22" t="s">
        <v>138</v>
      </c>
      <c r="ED1574" s="15" t="s">
        <v>138</v>
      </c>
      <c r="EE1574" s="14" t="str">
        <f>HYPERLINK("https://my.pitchbook.com?c=55493-65", "View company online")</f>
        <v>View company online</v>
      </c>
    </row>
    <row r="1575" spans="1:135">
      <c r="A1575" s="28" t="s">
        <v>30116</v>
      </c>
      <c r="B1575" s="28" t="s">
        <v>30117</v>
      </c>
      <c r="C1575" s="28" t="s">
        <v>30118</v>
      </c>
      <c r="D1575" s="28" t="s">
        <v>138</v>
      </c>
      <c r="E1575" s="28" t="s">
        <v>30119</v>
      </c>
      <c r="F1575" s="28" t="s">
        <v>30116</v>
      </c>
      <c r="G1575" s="28" t="s">
        <v>30120</v>
      </c>
      <c r="H1575" s="28" t="s">
        <v>322</v>
      </c>
      <c r="I1575" s="28" t="s">
        <v>323</v>
      </c>
      <c r="J1575" s="28" t="s">
        <v>461</v>
      </c>
      <c r="K1575" s="28" t="s">
        <v>462</v>
      </c>
      <c r="L1575" s="28" t="s">
        <v>2210</v>
      </c>
      <c r="M1575" s="28" t="s">
        <v>30121</v>
      </c>
      <c r="N1575" s="28" t="s">
        <v>2109</v>
      </c>
      <c r="O1575" s="29">
        <v>45</v>
      </c>
      <c r="P1575" s="28" t="s">
        <v>1473</v>
      </c>
      <c r="Q1575" s="28" t="s">
        <v>149</v>
      </c>
      <c r="R1575" s="28" t="s">
        <v>8692</v>
      </c>
      <c r="S1575" s="28" t="s">
        <v>30122</v>
      </c>
      <c r="T1575" s="30">
        <v>139</v>
      </c>
      <c r="U1575" s="28" t="s">
        <v>30123</v>
      </c>
      <c r="V1575" s="28" t="s">
        <v>138</v>
      </c>
      <c r="W1575" s="28" t="s">
        <v>138</v>
      </c>
      <c r="X1575" s="31">
        <v>2001</v>
      </c>
      <c r="Y1575" s="28" t="s">
        <v>138</v>
      </c>
      <c r="Z1575" s="28" t="s">
        <v>138</v>
      </c>
      <c r="AA1575" s="28" t="s">
        <v>138</v>
      </c>
      <c r="AB1575" s="32">
        <v>21</v>
      </c>
      <c r="AC1575" s="32" t="s">
        <v>138</v>
      </c>
      <c r="AD1575" s="32" t="s">
        <v>138</v>
      </c>
      <c r="AE1575" s="32" t="s">
        <v>138</v>
      </c>
      <c r="AF1575" s="32" t="s">
        <v>138</v>
      </c>
      <c r="AG1575" s="28" t="s">
        <v>3077</v>
      </c>
      <c r="AH1575" s="32" t="s">
        <v>138</v>
      </c>
      <c r="AI1575" s="32" t="s">
        <v>138</v>
      </c>
      <c r="AJ1575" s="32" t="s">
        <v>138</v>
      </c>
      <c r="AK1575" s="28" t="s">
        <v>30124</v>
      </c>
      <c r="AL1575" s="28" t="s">
        <v>30125</v>
      </c>
      <c r="AM1575" s="28" t="s">
        <v>249</v>
      </c>
      <c r="AN1575" s="28" t="s">
        <v>30126</v>
      </c>
      <c r="AO1575" s="28" t="s">
        <v>30127</v>
      </c>
      <c r="AP1575" s="28" t="s">
        <v>30128</v>
      </c>
      <c r="AQ1575" s="28" t="s">
        <v>30129</v>
      </c>
      <c r="AR1575" s="28" t="s">
        <v>30130</v>
      </c>
      <c r="AS1575" s="28" t="s">
        <v>30131</v>
      </c>
      <c r="AT1575" s="28" t="s">
        <v>474</v>
      </c>
      <c r="AU1575" s="28" t="s">
        <v>30132</v>
      </c>
      <c r="AV1575" s="28" t="s">
        <v>162</v>
      </c>
      <c r="AW1575" s="28" t="s">
        <v>30127</v>
      </c>
      <c r="AX1575" s="28" t="s">
        <v>30133</v>
      </c>
      <c r="AY1575" s="28" t="s">
        <v>30134</v>
      </c>
      <c r="AZ1575" s="28" t="s">
        <v>164</v>
      </c>
      <c r="BA1575" s="28" t="s">
        <v>165</v>
      </c>
      <c r="BB1575" s="28" t="s">
        <v>30135</v>
      </c>
      <c r="BC1575" s="28" t="s">
        <v>138</v>
      </c>
      <c r="BD1575" s="33" t="s">
        <v>138</v>
      </c>
      <c r="BE1575" s="28" t="s">
        <v>30136</v>
      </c>
      <c r="BF1575" s="28" t="s">
        <v>30137</v>
      </c>
      <c r="BG1575" s="28" t="s">
        <v>138</v>
      </c>
      <c r="BH1575" s="28" t="s">
        <v>138</v>
      </c>
      <c r="BI1575" s="28" t="s">
        <v>30138</v>
      </c>
      <c r="BJ1575" s="28" t="s">
        <v>138</v>
      </c>
      <c r="BK1575" s="28" t="s">
        <v>138</v>
      </c>
      <c r="BL1575" s="28" t="s">
        <v>22430</v>
      </c>
      <c r="BM1575" s="34">
        <v>37733</v>
      </c>
      <c r="BN1575" s="29">
        <v>22</v>
      </c>
      <c r="BO1575" s="28" t="s">
        <v>1178</v>
      </c>
      <c r="BP1575" s="29" t="s">
        <v>138</v>
      </c>
      <c r="BQ1575" s="28" t="s">
        <v>138</v>
      </c>
      <c r="BR1575" s="28" t="s">
        <v>205</v>
      </c>
      <c r="BS1575" s="28" t="s">
        <v>206</v>
      </c>
      <c r="BT1575" s="28" t="s">
        <v>138</v>
      </c>
      <c r="BU1575" s="28" t="s">
        <v>174</v>
      </c>
      <c r="BV1575" s="28" t="s">
        <v>138</v>
      </c>
      <c r="BW1575" s="28" t="s">
        <v>138</v>
      </c>
      <c r="BX1575" s="28" t="s">
        <v>138</v>
      </c>
      <c r="BY1575" s="28" t="s">
        <v>175</v>
      </c>
      <c r="BZ1575" s="34">
        <v>41263</v>
      </c>
      <c r="CA1575" s="29" t="s">
        <v>138</v>
      </c>
      <c r="CB1575" s="28" t="s">
        <v>138</v>
      </c>
      <c r="CC1575" s="29" t="s">
        <v>138</v>
      </c>
      <c r="CD1575" s="28" t="s">
        <v>138</v>
      </c>
      <c r="CE1575" s="28" t="s">
        <v>2228</v>
      </c>
      <c r="CF1575" s="28" t="s">
        <v>138</v>
      </c>
      <c r="CG1575" s="28" t="s">
        <v>138</v>
      </c>
      <c r="CH1575" s="28" t="s">
        <v>780</v>
      </c>
      <c r="CI1575" s="28" t="s">
        <v>138</v>
      </c>
      <c r="CJ1575" s="28" t="s">
        <v>138</v>
      </c>
      <c r="CK1575" s="28" t="s">
        <v>138</v>
      </c>
      <c r="CL1575" s="28" t="s">
        <v>175</v>
      </c>
      <c r="CM1575" s="34" t="s">
        <v>138</v>
      </c>
      <c r="CN1575" s="29" t="s">
        <v>138</v>
      </c>
      <c r="CO1575" s="35">
        <v>-1.1399999999999999</v>
      </c>
      <c r="CP1575" s="36">
        <v>10</v>
      </c>
      <c r="CQ1575" s="35">
        <v>-0.02</v>
      </c>
      <c r="CR1575" s="35">
        <v>-1.75</v>
      </c>
      <c r="CS1575" s="35">
        <v>-2.27</v>
      </c>
      <c r="CT1575" s="36">
        <v>8</v>
      </c>
      <c r="CU1575" s="35">
        <v>0</v>
      </c>
      <c r="CV1575" s="36">
        <v>22</v>
      </c>
      <c r="CW1575" s="35" t="s">
        <v>138</v>
      </c>
      <c r="CX1575" s="36" t="s">
        <v>138</v>
      </c>
      <c r="CY1575" s="35">
        <v>-2.27</v>
      </c>
      <c r="CZ1575" s="36">
        <v>10</v>
      </c>
      <c r="DA1575" s="35">
        <v>0</v>
      </c>
      <c r="DB1575" s="36">
        <v>22</v>
      </c>
      <c r="DC1575" s="37">
        <v>7.78</v>
      </c>
      <c r="DD1575" s="36">
        <v>88</v>
      </c>
      <c r="DE1575" s="37">
        <v>-0.03</v>
      </c>
      <c r="DF1575" s="35">
        <v>-0.41</v>
      </c>
      <c r="DG1575" s="37">
        <v>14.59</v>
      </c>
      <c r="DH1575" s="36">
        <v>93</v>
      </c>
      <c r="DI1575" s="37">
        <v>0.97</v>
      </c>
      <c r="DJ1575" s="36">
        <v>49</v>
      </c>
      <c r="DK1575" s="37" t="s">
        <v>138</v>
      </c>
      <c r="DL1575" s="36" t="s">
        <v>138</v>
      </c>
      <c r="DM1575" s="37">
        <v>14.59</v>
      </c>
      <c r="DN1575" s="36">
        <v>92</v>
      </c>
      <c r="DO1575" s="37">
        <v>0.97</v>
      </c>
      <c r="DP1575" s="36">
        <v>50</v>
      </c>
      <c r="DQ1575" s="36" t="s">
        <v>138</v>
      </c>
      <c r="DR1575" s="38" t="s">
        <v>138</v>
      </c>
      <c r="DS1575" s="35" t="s">
        <v>138</v>
      </c>
      <c r="DT1575" s="36">
        <v>423</v>
      </c>
      <c r="DU1575" s="38">
        <v>-3</v>
      </c>
      <c r="DV1575" s="35">
        <v>-0.7</v>
      </c>
      <c r="DW1575" s="36">
        <v>346</v>
      </c>
      <c r="DX1575" s="39">
        <v>1</v>
      </c>
      <c r="DY1575" s="35">
        <v>0.28999999999999998</v>
      </c>
      <c r="DZ1575" s="28" t="s">
        <v>178</v>
      </c>
      <c r="EA1575" s="34">
        <v>43375</v>
      </c>
      <c r="EB1575" s="29" t="s">
        <v>138</v>
      </c>
      <c r="EC1575" s="34" t="s">
        <v>138</v>
      </c>
      <c r="ED1575" s="28" t="s">
        <v>138</v>
      </c>
      <c r="EE1575" s="40" t="str">
        <f>HYPERLINK("https://my.pitchbook.com?c=42531-94", "View company online")</f>
        <v>View company online</v>
      </c>
    </row>
    <row r="1576" spans="1:135">
      <c r="A1576" s="15" t="s">
        <v>30139</v>
      </c>
      <c r="B1576" s="15" t="s">
        <v>30140</v>
      </c>
      <c r="C1576" s="15" t="s">
        <v>138</v>
      </c>
      <c r="D1576" s="15" t="s">
        <v>138</v>
      </c>
      <c r="E1576" s="15" t="s">
        <v>30141</v>
      </c>
      <c r="F1576" s="15" t="s">
        <v>30139</v>
      </c>
      <c r="G1576" s="15" t="s">
        <v>30142</v>
      </c>
      <c r="H1576" s="15" t="s">
        <v>238</v>
      </c>
      <c r="I1576" s="15" t="s">
        <v>1018</v>
      </c>
      <c r="J1576" s="15" t="s">
        <v>4780</v>
      </c>
      <c r="K1576" s="15" t="s">
        <v>4781</v>
      </c>
      <c r="L1576" s="15" t="s">
        <v>1796</v>
      </c>
      <c r="M1576" s="15" t="s">
        <v>30143</v>
      </c>
      <c r="N1576" s="15" t="s">
        <v>147</v>
      </c>
      <c r="O1576" s="17">
        <v>58.8</v>
      </c>
      <c r="P1576" s="15" t="s">
        <v>148</v>
      </c>
      <c r="Q1576" s="15" t="s">
        <v>149</v>
      </c>
      <c r="R1576" s="15" t="s">
        <v>174</v>
      </c>
      <c r="S1576" s="15" t="s">
        <v>30144</v>
      </c>
      <c r="T1576" s="18">
        <v>139</v>
      </c>
      <c r="U1576" s="15" t="s">
        <v>30145</v>
      </c>
      <c r="V1576" s="15" t="s">
        <v>138</v>
      </c>
      <c r="W1576" s="15" t="s">
        <v>138</v>
      </c>
      <c r="X1576" s="19">
        <v>2008</v>
      </c>
      <c r="Y1576" s="15" t="s">
        <v>138</v>
      </c>
      <c r="Z1576" s="15" t="s">
        <v>138</v>
      </c>
      <c r="AA1576" s="15" t="s">
        <v>138</v>
      </c>
      <c r="AB1576" s="20" t="s">
        <v>138</v>
      </c>
      <c r="AC1576" s="20" t="s">
        <v>138</v>
      </c>
      <c r="AD1576" s="20" t="s">
        <v>138</v>
      </c>
      <c r="AE1576" s="20" t="s">
        <v>138</v>
      </c>
      <c r="AF1576" s="20" t="s">
        <v>138</v>
      </c>
      <c r="AG1576" s="15" t="s">
        <v>138</v>
      </c>
      <c r="AH1576" s="20" t="s">
        <v>138</v>
      </c>
      <c r="AI1576" s="20" t="s">
        <v>138</v>
      </c>
      <c r="AJ1576" s="20" t="s">
        <v>138</v>
      </c>
      <c r="AK1576" s="15" t="s">
        <v>30146</v>
      </c>
      <c r="AL1576" s="15" t="s">
        <v>30147</v>
      </c>
      <c r="AM1576" s="15" t="s">
        <v>304</v>
      </c>
      <c r="AN1576" s="15" t="s">
        <v>30148</v>
      </c>
      <c r="AO1576" s="15" t="s">
        <v>30149</v>
      </c>
      <c r="AP1576" s="15" t="s">
        <v>1514</v>
      </c>
      <c r="AQ1576" s="15" t="s">
        <v>30150</v>
      </c>
      <c r="AR1576" s="15" t="s">
        <v>138</v>
      </c>
      <c r="AS1576" s="15" t="s">
        <v>1516</v>
      </c>
      <c r="AT1576" s="15" t="s">
        <v>284</v>
      </c>
      <c r="AU1576" s="15" t="s">
        <v>10458</v>
      </c>
      <c r="AV1576" s="15" t="s">
        <v>162</v>
      </c>
      <c r="AW1576" s="15" t="s">
        <v>30149</v>
      </c>
      <c r="AX1576" s="15" t="s">
        <v>30151</v>
      </c>
      <c r="AY1576" s="15" t="s">
        <v>30152</v>
      </c>
      <c r="AZ1576" s="15" t="s">
        <v>164</v>
      </c>
      <c r="BA1576" s="15" t="s">
        <v>165</v>
      </c>
      <c r="BB1576" s="15" t="s">
        <v>30153</v>
      </c>
      <c r="BC1576" s="15" t="s">
        <v>30154</v>
      </c>
      <c r="BD1576" s="21">
        <v>20</v>
      </c>
      <c r="BE1576" s="15" t="s">
        <v>138</v>
      </c>
      <c r="BF1576" s="15" t="s">
        <v>138</v>
      </c>
      <c r="BG1576" s="15" t="s">
        <v>138</v>
      </c>
      <c r="BH1576" s="15" t="s">
        <v>30155</v>
      </c>
      <c r="BI1576" s="15" t="s">
        <v>138</v>
      </c>
      <c r="BJ1576" s="15" t="s">
        <v>138</v>
      </c>
      <c r="BK1576" s="15" t="s">
        <v>30156</v>
      </c>
      <c r="BL1576" s="15" t="s">
        <v>30156</v>
      </c>
      <c r="BM1576" s="22">
        <v>41344</v>
      </c>
      <c r="BN1576" s="17">
        <v>8</v>
      </c>
      <c r="BO1576" s="15" t="s">
        <v>172</v>
      </c>
      <c r="BP1576" s="17">
        <v>32</v>
      </c>
      <c r="BQ1576" s="15" t="s">
        <v>172</v>
      </c>
      <c r="BR1576" s="15" t="s">
        <v>205</v>
      </c>
      <c r="BS1576" s="15" t="s">
        <v>206</v>
      </c>
      <c r="BT1576" s="15" t="s">
        <v>138</v>
      </c>
      <c r="BU1576" s="15" t="s">
        <v>174</v>
      </c>
      <c r="BV1576" s="15" t="s">
        <v>138</v>
      </c>
      <c r="BW1576" s="15" t="s">
        <v>138</v>
      </c>
      <c r="BX1576" s="15" t="s">
        <v>138</v>
      </c>
      <c r="BY1576" s="15" t="s">
        <v>175</v>
      </c>
      <c r="BZ1576" s="22">
        <v>42872</v>
      </c>
      <c r="CA1576" s="17">
        <v>25</v>
      </c>
      <c r="CB1576" s="15" t="s">
        <v>172</v>
      </c>
      <c r="CC1576" s="17">
        <v>135</v>
      </c>
      <c r="CD1576" s="15" t="s">
        <v>172</v>
      </c>
      <c r="CE1576" s="15" t="s">
        <v>173</v>
      </c>
      <c r="CF1576" s="15" t="s">
        <v>317</v>
      </c>
      <c r="CG1576" s="15" t="s">
        <v>138</v>
      </c>
      <c r="CH1576" s="15" t="s">
        <v>174</v>
      </c>
      <c r="CI1576" s="15" t="s">
        <v>138</v>
      </c>
      <c r="CJ1576" s="15" t="s">
        <v>138</v>
      </c>
      <c r="CK1576" s="15" t="s">
        <v>138</v>
      </c>
      <c r="CL1576" s="15" t="s">
        <v>175</v>
      </c>
      <c r="CM1576" s="22" t="s">
        <v>138</v>
      </c>
      <c r="CN1576" s="17" t="s">
        <v>138</v>
      </c>
      <c r="CO1576" s="23">
        <v>0.33</v>
      </c>
      <c r="CP1576" s="24">
        <v>94</v>
      </c>
      <c r="CQ1576" s="23">
        <v>-0.02</v>
      </c>
      <c r="CR1576" s="23">
        <v>-4.9400000000000004</v>
      </c>
      <c r="CS1576" s="23">
        <v>-0.52</v>
      </c>
      <c r="CT1576" s="24">
        <v>19</v>
      </c>
      <c r="CU1576" s="23">
        <v>0.01</v>
      </c>
      <c r="CV1576" s="24">
        <v>49</v>
      </c>
      <c r="CW1576" s="23">
        <v>-7.0000000000000007E-2</v>
      </c>
      <c r="CX1576" s="24">
        <v>13</v>
      </c>
      <c r="CY1576" s="23">
        <v>-0.97</v>
      </c>
      <c r="CZ1576" s="24">
        <v>19</v>
      </c>
      <c r="DA1576" s="23">
        <v>0.01</v>
      </c>
      <c r="DB1576" s="24">
        <v>57</v>
      </c>
      <c r="DC1576" s="25">
        <v>396.82</v>
      </c>
      <c r="DD1576" s="24">
        <v>100</v>
      </c>
      <c r="DE1576" s="25">
        <v>-12.74</v>
      </c>
      <c r="DF1576" s="23">
        <v>-3.11</v>
      </c>
      <c r="DG1576" s="25">
        <v>599.02</v>
      </c>
      <c r="DH1576" s="24">
        <v>100</v>
      </c>
      <c r="DI1576" s="25">
        <v>475.1</v>
      </c>
      <c r="DJ1576" s="24">
        <v>99</v>
      </c>
      <c r="DK1576" s="25">
        <v>746.51</v>
      </c>
      <c r="DL1576" s="24">
        <v>100</v>
      </c>
      <c r="DM1576" s="25">
        <v>451.52</v>
      </c>
      <c r="DN1576" s="24">
        <v>100</v>
      </c>
      <c r="DO1576" s="25">
        <v>475.1</v>
      </c>
      <c r="DP1576" s="24">
        <v>100</v>
      </c>
      <c r="DQ1576" s="24">
        <v>256431</v>
      </c>
      <c r="DR1576" s="26">
        <v>-1133</v>
      </c>
      <c r="DS1576" s="23">
        <v>-0.44</v>
      </c>
      <c r="DT1576" s="24">
        <v>13073</v>
      </c>
      <c r="DU1576" s="26">
        <v>50</v>
      </c>
      <c r="DV1576" s="23">
        <v>0.38</v>
      </c>
      <c r="DW1576" s="24">
        <v>170088</v>
      </c>
      <c r="DX1576" s="27">
        <v>20</v>
      </c>
      <c r="DY1576" s="23">
        <v>0.01</v>
      </c>
      <c r="DZ1576" s="15" t="s">
        <v>178</v>
      </c>
      <c r="EA1576" s="22">
        <v>43440</v>
      </c>
      <c r="EB1576" s="17">
        <v>135</v>
      </c>
      <c r="EC1576" s="22">
        <v>42872</v>
      </c>
      <c r="ED1576" s="15" t="s">
        <v>173</v>
      </c>
      <c r="EE1576" s="14" t="str">
        <f>HYPERLINK("https://my.pitchbook.com?c=55400-50", "View company online")</f>
        <v>View company online</v>
      </c>
    </row>
    <row r="1577" spans="1:135">
      <c r="A1577" s="28" t="s">
        <v>30157</v>
      </c>
      <c r="B1577" s="28" t="s">
        <v>30158</v>
      </c>
      <c r="C1577" s="28" t="s">
        <v>138</v>
      </c>
      <c r="D1577" s="28" t="s">
        <v>138</v>
      </c>
      <c r="E1577" s="28" t="s">
        <v>30159</v>
      </c>
      <c r="F1577" s="28" t="s">
        <v>30157</v>
      </c>
      <c r="G1577" s="28" t="s">
        <v>30160</v>
      </c>
      <c r="H1577" s="28" t="s">
        <v>238</v>
      </c>
      <c r="I1577" s="28" t="s">
        <v>1351</v>
      </c>
      <c r="J1577" s="28" t="s">
        <v>5633</v>
      </c>
      <c r="K1577" s="28" t="s">
        <v>30161</v>
      </c>
      <c r="L1577" s="28" t="s">
        <v>30162</v>
      </c>
      <c r="M1577" s="28" t="s">
        <v>30163</v>
      </c>
      <c r="N1577" s="28" t="s">
        <v>2487</v>
      </c>
      <c r="O1577" s="29">
        <v>4.12</v>
      </c>
      <c r="P1577" s="28" t="s">
        <v>148</v>
      </c>
      <c r="Q1577" s="28" t="s">
        <v>149</v>
      </c>
      <c r="R1577" s="28" t="s">
        <v>174</v>
      </c>
      <c r="S1577" s="28" t="s">
        <v>30164</v>
      </c>
      <c r="T1577" s="30">
        <v>12</v>
      </c>
      <c r="U1577" s="28" t="s">
        <v>30165</v>
      </c>
      <c r="V1577" s="28" t="s">
        <v>138</v>
      </c>
      <c r="W1577" s="28" t="s">
        <v>138</v>
      </c>
      <c r="X1577" s="31">
        <v>2010</v>
      </c>
      <c r="Y1577" s="28" t="s">
        <v>138</v>
      </c>
      <c r="Z1577" s="28" t="s">
        <v>138</v>
      </c>
      <c r="AA1577" s="28" t="s">
        <v>138</v>
      </c>
      <c r="AB1577" s="32" t="s">
        <v>138</v>
      </c>
      <c r="AC1577" s="32" t="s">
        <v>138</v>
      </c>
      <c r="AD1577" s="32" t="s">
        <v>138</v>
      </c>
      <c r="AE1577" s="32" t="s">
        <v>138</v>
      </c>
      <c r="AF1577" s="32" t="s">
        <v>138</v>
      </c>
      <c r="AG1577" s="28" t="s">
        <v>138</v>
      </c>
      <c r="AH1577" s="32" t="s">
        <v>138</v>
      </c>
      <c r="AI1577" s="32" t="s">
        <v>138</v>
      </c>
      <c r="AJ1577" s="32" t="s">
        <v>138</v>
      </c>
      <c r="AK1577" s="28" t="s">
        <v>30166</v>
      </c>
      <c r="AL1577" s="28" t="s">
        <v>30167</v>
      </c>
      <c r="AM1577" s="28" t="s">
        <v>304</v>
      </c>
      <c r="AN1577" s="28" t="s">
        <v>30168</v>
      </c>
      <c r="AO1577" s="28" t="s">
        <v>138</v>
      </c>
      <c r="AP1577" s="28" t="s">
        <v>665</v>
      </c>
      <c r="AQ1577" s="28" t="s">
        <v>30169</v>
      </c>
      <c r="AR1577" s="28" t="s">
        <v>138</v>
      </c>
      <c r="AS1577" s="28" t="s">
        <v>668</v>
      </c>
      <c r="AT1577" s="28" t="s">
        <v>200</v>
      </c>
      <c r="AU1577" s="28" t="s">
        <v>691</v>
      </c>
      <c r="AV1577" s="28" t="s">
        <v>162</v>
      </c>
      <c r="AW1577" s="28" t="s">
        <v>138</v>
      </c>
      <c r="AX1577" s="28" t="s">
        <v>138</v>
      </c>
      <c r="AY1577" s="28" t="s">
        <v>138</v>
      </c>
      <c r="AZ1577" s="28" t="s">
        <v>164</v>
      </c>
      <c r="BA1577" s="28" t="s">
        <v>165</v>
      </c>
      <c r="BB1577" s="28" t="s">
        <v>30170</v>
      </c>
      <c r="BC1577" s="28" t="s">
        <v>30171</v>
      </c>
      <c r="BD1577" s="33">
        <v>6</v>
      </c>
      <c r="BE1577" s="28" t="s">
        <v>138</v>
      </c>
      <c r="BF1577" s="28" t="s">
        <v>138</v>
      </c>
      <c r="BG1577" s="28" t="s">
        <v>138</v>
      </c>
      <c r="BH1577" s="28" t="s">
        <v>30172</v>
      </c>
      <c r="BI1577" s="28" t="s">
        <v>138</v>
      </c>
      <c r="BJ1577" s="28" t="s">
        <v>138</v>
      </c>
      <c r="BK1577" s="28" t="s">
        <v>30173</v>
      </c>
      <c r="BL1577" s="28" t="s">
        <v>138</v>
      </c>
      <c r="BM1577" s="34">
        <v>41536</v>
      </c>
      <c r="BN1577" s="29">
        <v>2.46</v>
      </c>
      <c r="BO1577" s="28" t="s">
        <v>172</v>
      </c>
      <c r="BP1577" s="29">
        <v>13.4</v>
      </c>
      <c r="BQ1577" s="28" t="s">
        <v>172</v>
      </c>
      <c r="BR1577" s="28" t="s">
        <v>262</v>
      </c>
      <c r="BS1577" s="28" t="s">
        <v>206</v>
      </c>
      <c r="BT1577" s="28" t="s">
        <v>138</v>
      </c>
      <c r="BU1577" s="28" t="s">
        <v>263</v>
      </c>
      <c r="BV1577" s="28" t="s">
        <v>264</v>
      </c>
      <c r="BW1577" s="28" t="s">
        <v>138</v>
      </c>
      <c r="BX1577" s="28" t="s">
        <v>138</v>
      </c>
      <c r="BY1577" s="28" t="s">
        <v>175</v>
      </c>
      <c r="BZ1577" s="34">
        <v>42548</v>
      </c>
      <c r="CA1577" s="29">
        <v>1.3</v>
      </c>
      <c r="CB1577" s="28" t="s">
        <v>172</v>
      </c>
      <c r="CC1577" s="29" t="s">
        <v>138</v>
      </c>
      <c r="CD1577" s="28" t="s">
        <v>138</v>
      </c>
      <c r="CE1577" s="28" t="s">
        <v>262</v>
      </c>
      <c r="CF1577" s="28" t="s">
        <v>720</v>
      </c>
      <c r="CG1577" s="28" t="s">
        <v>138</v>
      </c>
      <c r="CH1577" s="28" t="s">
        <v>263</v>
      </c>
      <c r="CI1577" s="28" t="s">
        <v>138</v>
      </c>
      <c r="CJ1577" s="28" t="s">
        <v>138</v>
      </c>
      <c r="CK1577" s="28" t="s">
        <v>138</v>
      </c>
      <c r="CL1577" s="28" t="s">
        <v>175</v>
      </c>
      <c r="CM1577" s="34" t="s">
        <v>138</v>
      </c>
      <c r="CN1577" s="29" t="s">
        <v>138</v>
      </c>
      <c r="CO1577" s="35">
        <v>-1.96</v>
      </c>
      <c r="CP1577" s="36">
        <v>6</v>
      </c>
      <c r="CQ1577" s="35">
        <v>-0.06</v>
      </c>
      <c r="CR1577" s="35">
        <v>-3.24</v>
      </c>
      <c r="CS1577" s="35">
        <v>-4.12</v>
      </c>
      <c r="CT1577" s="36">
        <v>3</v>
      </c>
      <c r="CU1577" s="35">
        <v>0.19</v>
      </c>
      <c r="CV1577" s="36">
        <v>79</v>
      </c>
      <c r="CW1577" s="35">
        <v>-4.32</v>
      </c>
      <c r="CX1577" s="36">
        <v>3</v>
      </c>
      <c r="CY1577" s="35">
        <v>-3.91</v>
      </c>
      <c r="CZ1577" s="36">
        <v>5</v>
      </c>
      <c r="DA1577" s="35">
        <v>0.19</v>
      </c>
      <c r="DB1577" s="36">
        <v>82</v>
      </c>
      <c r="DC1577" s="37">
        <v>17.600000000000001</v>
      </c>
      <c r="DD1577" s="36">
        <v>94</v>
      </c>
      <c r="DE1577" s="37">
        <v>-0.64</v>
      </c>
      <c r="DF1577" s="35">
        <v>-3.53</v>
      </c>
      <c r="DG1577" s="37">
        <v>26.81</v>
      </c>
      <c r="DH1577" s="36">
        <v>96</v>
      </c>
      <c r="DI1577" s="37">
        <v>8.39</v>
      </c>
      <c r="DJ1577" s="36">
        <v>83</v>
      </c>
      <c r="DK1577" s="37">
        <v>19.48</v>
      </c>
      <c r="DL1577" s="36">
        <v>92</v>
      </c>
      <c r="DM1577" s="37">
        <v>34.14</v>
      </c>
      <c r="DN1577" s="36">
        <v>97</v>
      </c>
      <c r="DO1577" s="37">
        <v>8.39</v>
      </c>
      <c r="DP1577" s="36">
        <v>85</v>
      </c>
      <c r="DQ1577" s="36">
        <v>6729</v>
      </c>
      <c r="DR1577" s="38">
        <v>-147</v>
      </c>
      <c r="DS1577" s="35">
        <v>-2.14</v>
      </c>
      <c r="DT1577" s="36">
        <v>992</v>
      </c>
      <c r="DU1577" s="38">
        <v>-6</v>
      </c>
      <c r="DV1577" s="35">
        <v>-0.6</v>
      </c>
      <c r="DW1577" s="36">
        <v>3002</v>
      </c>
      <c r="DX1577" s="39">
        <v>10</v>
      </c>
      <c r="DY1577" s="35">
        <v>0.33</v>
      </c>
      <c r="DZ1577" s="28" t="s">
        <v>178</v>
      </c>
      <c r="EA1577" s="34">
        <v>43351</v>
      </c>
      <c r="EB1577" s="29">
        <v>13.4</v>
      </c>
      <c r="EC1577" s="34">
        <v>41536</v>
      </c>
      <c r="ED1577" s="28" t="s">
        <v>262</v>
      </c>
      <c r="EE1577" s="40" t="str">
        <f>HYPERLINK("https://my.pitchbook.com?c=59116-33", "View company online")</f>
        <v>View company online</v>
      </c>
    </row>
    <row r="1578" spans="1:135">
      <c r="A1578" s="15" t="s">
        <v>30174</v>
      </c>
      <c r="B1578" s="15" t="s">
        <v>30175</v>
      </c>
      <c r="C1578" s="15" t="s">
        <v>138</v>
      </c>
      <c r="D1578" s="15" t="s">
        <v>30176</v>
      </c>
      <c r="E1578" s="15" t="s">
        <v>30177</v>
      </c>
      <c r="F1578" s="15" t="s">
        <v>30174</v>
      </c>
      <c r="G1578" s="15" t="s">
        <v>30178</v>
      </c>
      <c r="H1578" s="15" t="s">
        <v>238</v>
      </c>
      <c r="I1578" s="15" t="s">
        <v>239</v>
      </c>
      <c r="J1578" s="15" t="s">
        <v>2578</v>
      </c>
      <c r="K1578" s="15" t="s">
        <v>30179</v>
      </c>
      <c r="L1578" s="15" t="s">
        <v>30180</v>
      </c>
      <c r="M1578" s="15" t="s">
        <v>30181</v>
      </c>
      <c r="N1578" s="15" t="s">
        <v>147</v>
      </c>
      <c r="O1578" s="17">
        <v>114.23</v>
      </c>
      <c r="P1578" s="15" t="s">
        <v>148</v>
      </c>
      <c r="Q1578" s="15" t="s">
        <v>149</v>
      </c>
      <c r="R1578" s="15" t="s">
        <v>174</v>
      </c>
      <c r="S1578" s="15" t="s">
        <v>30182</v>
      </c>
      <c r="T1578" s="18">
        <v>162</v>
      </c>
      <c r="U1578" s="15" t="s">
        <v>30183</v>
      </c>
      <c r="V1578" s="15" t="s">
        <v>138</v>
      </c>
      <c r="W1578" s="15" t="s">
        <v>138</v>
      </c>
      <c r="X1578" s="19">
        <v>2010</v>
      </c>
      <c r="Y1578" s="15" t="s">
        <v>138</v>
      </c>
      <c r="Z1578" s="15" t="s">
        <v>138</v>
      </c>
      <c r="AA1578" s="15" t="s">
        <v>138</v>
      </c>
      <c r="AB1578" s="20" t="s">
        <v>138</v>
      </c>
      <c r="AC1578" s="20" t="s">
        <v>138</v>
      </c>
      <c r="AD1578" s="20" t="s">
        <v>138</v>
      </c>
      <c r="AE1578" s="20" t="s">
        <v>138</v>
      </c>
      <c r="AF1578" s="20" t="s">
        <v>138</v>
      </c>
      <c r="AG1578" s="15" t="s">
        <v>138</v>
      </c>
      <c r="AH1578" s="20" t="s">
        <v>138</v>
      </c>
      <c r="AI1578" s="20" t="s">
        <v>138</v>
      </c>
      <c r="AJ1578" s="20" t="s">
        <v>138</v>
      </c>
      <c r="AK1578" s="15" t="s">
        <v>30184</v>
      </c>
      <c r="AL1578" s="15" t="s">
        <v>30185</v>
      </c>
      <c r="AM1578" s="15" t="s">
        <v>30186</v>
      </c>
      <c r="AN1578" s="15" t="s">
        <v>30187</v>
      </c>
      <c r="AO1578" s="15" t="s">
        <v>30188</v>
      </c>
      <c r="AP1578" s="15" t="s">
        <v>665</v>
      </c>
      <c r="AQ1578" s="15" t="s">
        <v>30189</v>
      </c>
      <c r="AR1578" s="15" t="s">
        <v>30190</v>
      </c>
      <c r="AS1578" s="15" t="s">
        <v>668</v>
      </c>
      <c r="AT1578" s="15" t="s">
        <v>200</v>
      </c>
      <c r="AU1578" s="15" t="s">
        <v>2052</v>
      </c>
      <c r="AV1578" s="15" t="s">
        <v>162</v>
      </c>
      <c r="AW1578" s="15" t="s">
        <v>30191</v>
      </c>
      <c r="AX1578" s="15" t="s">
        <v>138</v>
      </c>
      <c r="AY1578" s="15" t="s">
        <v>138</v>
      </c>
      <c r="AZ1578" s="15" t="s">
        <v>164</v>
      </c>
      <c r="BA1578" s="15" t="s">
        <v>165</v>
      </c>
      <c r="BB1578" s="15" t="s">
        <v>30192</v>
      </c>
      <c r="BC1578" s="15" t="s">
        <v>30193</v>
      </c>
      <c r="BD1578" s="21">
        <v>18</v>
      </c>
      <c r="BE1578" s="15" t="s">
        <v>138</v>
      </c>
      <c r="BF1578" s="15" t="s">
        <v>138</v>
      </c>
      <c r="BG1578" s="15" t="s">
        <v>138</v>
      </c>
      <c r="BH1578" s="15" t="s">
        <v>30194</v>
      </c>
      <c r="BI1578" s="15" t="s">
        <v>138</v>
      </c>
      <c r="BJ1578" s="15" t="s">
        <v>138</v>
      </c>
      <c r="BK1578" s="15" t="s">
        <v>16562</v>
      </c>
      <c r="BL1578" s="15" t="s">
        <v>26706</v>
      </c>
      <c r="BM1578" s="22">
        <v>40696</v>
      </c>
      <c r="BN1578" s="17" t="s">
        <v>138</v>
      </c>
      <c r="BO1578" s="15" t="s">
        <v>138</v>
      </c>
      <c r="BP1578" s="17" t="s">
        <v>138</v>
      </c>
      <c r="BQ1578" s="15" t="s">
        <v>138</v>
      </c>
      <c r="BR1578" s="15" t="s">
        <v>316</v>
      </c>
      <c r="BS1578" s="15" t="s">
        <v>138</v>
      </c>
      <c r="BT1578" s="15" t="s">
        <v>138</v>
      </c>
      <c r="BU1578" s="15" t="s">
        <v>177</v>
      </c>
      <c r="BV1578" s="15" t="s">
        <v>138</v>
      </c>
      <c r="BW1578" s="15" t="s">
        <v>138</v>
      </c>
      <c r="BX1578" s="15" t="s">
        <v>138</v>
      </c>
      <c r="BY1578" s="15" t="s">
        <v>175</v>
      </c>
      <c r="BZ1578" s="22">
        <v>43494</v>
      </c>
      <c r="CA1578" s="17">
        <v>58</v>
      </c>
      <c r="CB1578" s="15" t="s">
        <v>172</v>
      </c>
      <c r="CC1578" s="17">
        <v>155</v>
      </c>
      <c r="CD1578" s="15" t="s">
        <v>172</v>
      </c>
      <c r="CE1578" s="15" t="s">
        <v>173</v>
      </c>
      <c r="CF1578" s="15" t="s">
        <v>433</v>
      </c>
      <c r="CG1578" s="15" t="s">
        <v>138</v>
      </c>
      <c r="CH1578" s="15" t="s">
        <v>174</v>
      </c>
      <c r="CI1578" s="15" t="s">
        <v>138</v>
      </c>
      <c r="CJ1578" s="15" t="s">
        <v>138</v>
      </c>
      <c r="CK1578" s="15" t="s">
        <v>138</v>
      </c>
      <c r="CL1578" s="15" t="s">
        <v>175</v>
      </c>
      <c r="CM1578" s="22" t="s">
        <v>138</v>
      </c>
      <c r="CN1578" s="17" t="s">
        <v>138</v>
      </c>
      <c r="CO1578" s="23">
        <v>-0.41</v>
      </c>
      <c r="CP1578" s="24">
        <v>17</v>
      </c>
      <c r="CQ1578" s="23">
        <v>0</v>
      </c>
      <c r="CR1578" s="23">
        <v>-0.34</v>
      </c>
      <c r="CS1578" s="23">
        <v>-0.8</v>
      </c>
      <c r="CT1578" s="24">
        <v>17</v>
      </c>
      <c r="CU1578" s="23">
        <v>-0.03</v>
      </c>
      <c r="CV1578" s="24">
        <v>14</v>
      </c>
      <c r="CW1578" s="23">
        <v>0.5</v>
      </c>
      <c r="CX1578" s="24">
        <v>83</v>
      </c>
      <c r="CY1578" s="23">
        <v>-2.1</v>
      </c>
      <c r="CZ1578" s="24">
        <v>11</v>
      </c>
      <c r="DA1578" s="23">
        <v>-0.01</v>
      </c>
      <c r="DB1578" s="24">
        <v>21</v>
      </c>
      <c r="DC1578" s="25">
        <v>23.54</v>
      </c>
      <c r="DD1578" s="24">
        <v>95</v>
      </c>
      <c r="DE1578" s="25">
        <v>-2.2799999999999998</v>
      </c>
      <c r="DF1578" s="23">
        <v>-8.82</v>
      </c>
      <c r="DG1578" s="25">
        <v>37.85</v>
      </c>
      <c r="DH1578" s="24">
        <v>97</v>
      </c>
      <c r="DI1578" s="25">
        <v>9.23</v>
      </c>
      <c r="DJ1578" s="24">
        <v>84</v>
      </c>
      <c r="DK1578" s="25">
        <v>71.87</v>
      </c>
      <c r="DL1578" s="24">
        <v>97</v>
      </c>
      <c r="DM1578" s="25">
        <v>3.83</v>
      </c>
      <c r="DN1578" s="24">
        <v>77</v>
      </c>
      <c r="DO1578" s="25">
        <v>8.73</v>
      </c>
      <c r="DP1578" s="24">
        <v>86</v>
      </c>
      <c r="DQ1578" s="24">
        <v>24369</v>
      </c>
      <c r="DR1578" s="26">
        <v>848</v>
      </c>
      <c r="DS1578" s="23">
        <v>3.61</v>
      </c>
      <c r="DT1578" s="24">
        <v>110</v>
      </c>
      <c r="DU1578" s="26">
        <v>1</v>
      </c>
      <c r="DV1578" s="23">
        <v>0.92</v>
      </c>
      <c r="DW1578" s="24">
        <v>3124</v>
      </c>
      <c r="DX1578" s="27">
        <v>2</v>
      </c>
      <c r="DY1578" s="23">
        <v>0.06</v>
      </c>
      <c r="DZ1578" s="15" t="s">
        <v>178</v>
      </c>
      <c r="EA1578" s="22">
        <v>43501</v>
      </c>
      <c r="EB1578" s="17">
        <v>155</v>
      </c>
      <c r="EC1578" s="22">
        <v>43494</v>
      </c>
      <c r="ED1578" s="15" t="s">
        <v>173</v>
      </c>
      <c r="EE1578" s="14" t="str">
        <f>HYPERLINK("https://my.pitchbook.com?c=52250-68", "View company online")</f>
        <v>View company online</v>
      </c>
    </row>
    <row r="1579" spans="1:135">
      <c r="A1579" s="28" t="s">
        <v>30195</v>
      </c>
      <c r="B1579" s="28" t="s">
        <v>30196</v>
      </c>
      <c r="C1579" s="28" t="s">
        <v>30197</v>
      </c>
      <c r="D1579" s="28" t="s">
        <v>138</v>
      </c>
      <c r="E1579" s="28" t="s">
        <v>30198</v>
      </c>
      <c r="F1579" s="28" t="s">
        <v>30195</v>
      </c>
      <c r="G1579" s="28" t="s">
        <v>30199</v>
      </c>
      <c r="H1579" s="28" t="s">
        <v>5219</v>
      </c>
      <c r="I1579" s="28" t="s">
        <v>5220</v>
      </c>
      <c r="J1579" s="28" t="s">
        <v>5221</v>
      </c>
      <c r="K1579" s="28" t="s">
        <v>30200</v>
      </c>
      <c r="L1579" s="28" t="s">
        <v>5223</v>
      </c>
      <c r="M1579" s="28" t="s">
        <v>30201</v>
      </c>
      <c r="N1579" s="28" t="s">
        <v>147</v>
      </c>
      <c r="O1579" s="29">
        <v>8.2200000000000006</v>
      </c>
      <c r="P1579" s="28" t="s">
        <v>2922</v>
      </c>
      <c r="Q1579" s="28" t="s">
        <v>149</v>
      </c>
      <c r="R1579" s="28" t="s">
        <v>174</v>
      </c>
      <c r="S1579" s="28" t="s">
        <v>30202</v>
      </c>
      <c r="T1579" s="30">
        <v>13</v>
      </c>
      <c r="U1579" s="28" t="s">
        <v>30203</v>
      </c>
      <c r="V1579" s="28" t="s">
        <v>138</v>
      </c>
      <c r="W1579" s="28" t="s">
        <v>138</v>
      </c>
      <c r="X1579" s="31">
        <v>2013</v>
      </c>
      <c r="Y1579" s="28" t="s">
        <v>138</v>
      </c>
      <c r="Z1579" s="28" t="s">
        <v>138</v>
      </c>
      <c r="AA1579" s="28" t="s">
        <v>138</v>
      </c>
      <c r="AB1579" s="32" t="s">
        <v>138</v>
      </c>
      <c r="AC1579" s="32" t="s">
        <v>138</v>
      </c>
      <c r="AD1579" s="32" t="s">
        <v>138</v>
      </c>
      <c r="AE1579" s="32" t="s">
        <v>138</v>
      </c>
      <c r="AF1579" s="32" t="s">
        <v>138</v>
      </c>
      <c r="AG1579" s="28" t="s">
        <v>138</v>
      </c>
      <c r="AH1579" s="32" t="s">
        <v>138</v>
      </c>
      <c r="AI1579" s="32" t="s">
        <v>138</v>
      </c>
      <c r="AJ1579" s="32" t="s">
        <v>138</v>
      </c>
      <c r="AK1579" s="28" t="s">
        <v>30204</v>
      </c>
      <c r="AL1579" s="28" t="s">
        <v>30205</v>
      </c>
      <c r="AM1579" s="28" t="s">
        <v>2949</v>
      </c>
      <c r="AN1579" s="28" t="s">
        <v>30206</v>
      </c>
      <c r="AO1579" s="28" t="s">
        <v>30207</v>
      </c>
      <c r="AP1579" s="28" t="s">
        <v>16912</v>
      </c>
      <c r="AQ1579" s="28" t="s">
        <v>30208</v>
      </c>
      <c r="AR1579" s="28" t="s">
        <v>30209</v>
      </c>
      <c r="AS1579" s="28" t="s">
        <v>16915</v>
      </c>
      <c r="AT1579" s="28" t="s">
        <v>7605</v>
      </c>
      <c r="AU1579" s="28" t="s">
        <v>16916</v>
      </c>
      <c r="AV1579" s="28" t="s">
        <v>162</v>
      </c>
      <c r="AW1579" s="28" t="s">
        <v>30207</v>
      </c>
      <c r="AX1579" s="28" t="s">
        <v>138</v>
      </c>
      <c r="AY1579" s="28" t="s">
        <v>30210</v>
      </c>
      <c r="AZ1579" s="28" t="s">
        <v>164</v>
      </c>
      <c r="BA1579" s="28" t="s">
        <v>165</v>
      </c>
      <c r="BB1579" s="28" t="s">
        <v>30211</v>
      </c>
      <c r="BC1579" s="28" t="s">
        <v>30212</v>
      </c>
      <c r="BD1579" s="33">
        <v>14</v>
      </c>
      <c r="BE1579" s="28" t="s">
        <v>138</v>
      </c>
      <c r="BF1579" s="28" t="s">
        <v>138</v>
      </c>
      <c r="BG1579" s="28" t="s">
        <v>138</v>
      </c>
      <c r="BH1579" s="28" t="s">
        <v>30213</v>
      </c>
      <c r="BI1579" s="28" t="s">
        <v>138</v>
      </c>
      <c r="BJ1579" s="28" t="s">
        <v>138</v>
      </c>
      <c r="BK1579" s="28" t="s">
        <v>30214</v>
      </c>
      <c r="BL1579" s="28" t="s">
        <v>30215</v>
      </c>
      <c r="BM1579" s="34">
        <v>42005</v>
      </c>
      <c r="BN1579" s="29">
        <v>0.3</v>
      </c>
      <c r="BO1579" s="28" t="s">
        <v>172</v>
      </c>
      <c r="BP1579" s="29" t="s">
        <v>138</v>
      </c>
      <c r="BQ1579" s="28" t="s">
        <v>138</v>
      </c>
      <c r="BR1579" s="28" t="s">
        <v>205</v>
      </c>
      <c r="BS1579" s="28" t="s">
        <v>138</v>
      </c>
      <c r="BT1579" s="28" t="s">
        <v>138</v>
      </c>
      <c r="BU1579" s="28" t="s">
        <v>174</v>
      </c>
      <c r="BV1579" s="28" t="s">
        <v>138</v>
      </c>
      <c r="BW1579" s="28" t="s">
        <v>138</v>
      </c>
      <c r="BX1579" s="28" t="s">
        <v>138</v>
      </c>
      <c r="BY1579" s="28" t="s">
        <v>175</v>
      </c>
      <c r="BZ1579" s="34">
        <v>43455</v>
      </c>
      <c r="CA1579" s="29">
        <v>2.92</v>
      </c>
      <c r="CB1579" s="28" t="s">
        <v>172</v>
      </c>
      <c r="CC1579" s="29">
        <v>13.52</v>
      </c>
      <c r="CD1579" s="28" t="s">
        <v>172</v>
      </c>
      <c r="CE1579" s="28" t="s">
        <v>205</v>
      </c>
      <c r="CF1579" s="28" t="s">
        <v>623</v>
      </c>
      <c r="CG1579" s="28" t="s">
        <v>138</v>
      </c>
      <c r="CH1579" s="28" t="s">
        <v>174</v>
      </c>
      <c r="CI1579" s="28" t="s">
        <v>138</v>
      </c>
      <c r="CJ1579" s="28" t="s">
        <v>138</v>
      </c>
      <c r="CK1579" s="28" t="s">
        <v>138</v>
      </c>
      <c r="CL1579" s="28" t="s">
        <v>175</v>
      </c>
      <c r="CM1579" s="34" t="s">
        <v>138</v>
      </c>
      <c r="CN1579" s="29" t="s">
        <v>138</v>
      </c>
      <c r="CO1579" s="35">
        <v>-0.05</v>
      </c>
      <c r="CP1579" s="36">
        <v>22</v>
      </c>
      <c r="CQ1579" s="35">
        <v>0.02</v>
      </c>
      <c r="CR1579" s="35">
        <v>24.04</v>
      </c>
      <c r="CS1579" s="35">
        <v>0</v>
      </c>
      <c r="CT1579" s="36">
        <v>23</v>
      </c>
      <c r="CU1579" s="35">
        <v>-0.16</v>
      </c>
      <c r="CV1579" s="36">
        <v>2</v>
      </c>
      <c r="CW1579" s="35">
        <v>0</v>
      </c>
      <c r="CX1579" s="36">
        <v>13</v>
      </c>
      <c r="CY1579" s="35">
        <v>0</v>
      </c>
      <c r="CZ1579" s="36">
        <v>25</v>
      </c>
      <c r="DA1579" s="35">
        <v>-0.1</v>
      </c>
      <c r="DB1579" s="36">
        <v>6</v>
      </c>
      <c r="DC1579" s="37">
        <v>0.55000000000000004</v>
      </c>
      <c r="DD1579" s="36">
        <v>36</v>
      </c>
      <c r="DE1579" s="37">
        <v>-0.01</v>
      </c>
      <c r="DF1579" s="35">
        <v>-2.0099999999999998</v>
      </c>
      <c r="DG1579" s="37">
        <v>1.39</v>
      </c>
      <c r="DH1579" s="36">
        <v>59</v>
      </c>
      <c r="DI1579" s="37">
        <v>0.23</v>
      </c>
      <c r="DJ1579" s="36">
        <v>24</v>
      </c>
      <c r="DK1579" s="37">
        <v>0.54</v>
      </c>
      <c r="DL1579" s="36">
        <v>37</v>
      </c>
      <c r="DM1579" s="37">
        <v>2.2400000000000002</v>
      </c>
      <c r="DN1579" s="36">
        <v>68</v>
      </c>
      <c r="DO1579" s="37">
        <v>0.34</v>
      </c>
      <c r="DP1579" s="36">
        <v>32</v>
      </c>
      <c r="DQ1579" s="36">
        <v>177</v>
      </c>
      <c r="DR1579" s="38">
        <v>21</v>
      </c>
      <c r="DS1579" s="35">
        <v>13.46</v>
      </c>
      <c r="DT1579" s="36">
        <v>65</v>
      </c>
      <c r="DU1579" s="38">
        <v>1</v>
      </c>
      <c r="DV1579" s="35">
        <v>1.56</v>
      </c>
      <c r="DW1579" s="36">
        <v>121</v>
      </c>
      <c r="DX1579" s="39">
        <v>1</v>
      </c>
      <c r="DY1579" s="35">
        <v>0.83</v>
      </c>
      <c r="DZ1579" s="28" t="s">
        <v>178</v>
      </c>
      <c r="EA1579" s="34">
        <v>43550</v>
      </c>
      <c r="EB1579" s="29">
        <v>13.52</v>
      </c>
      <c r="EC1579" s="34">
        <v>43455</v>
      </c>
      <c r="ED1579" s="28" t="s">
        <v>205</v>
      </c>
      <c r="EE1579" s="40" t="str">
        <f>HYPERLINK("https://my.pitchbook.com?c=107449-57", "View company online")</f>
        <v>View company online</v>
      </c>
    </row>
    <row r="1580" spans="1:135">
      <c r="A1580" s="15" t="s">
        <v>30216</v>
      </c>
      <c r="B1580" s="15" t="s">
        <v>30217</v>
      </c>
      <c r="C1580" s="15" t="s">
        <v>138</v>
      </c>
      <c r="D1580" s="15" t="s">
        <v>138</v>
      </c>
      <c r="E1580" s="15" t="s">
        <v>138</v>
      </c>
      <c r="F1580" s="15" t="s">
        <v>30216</v>
      </c>
      <c r="G1580" s="15" t="s">
        <v>30218</v>
      </c>
      <c r="H1580" s="15" t="s">
        <v>322</v>
      </c>
      <c r="I1580" s="15" t="s">
        <v>323</v>
      </c>
      <c r="J1580" s="15" t="s">
        <v>1132</v>
      </c>
      <c r="K1580" s="15" t="s">
        <v>30219</v>
      </c>
      <c r="L1580" s="15" t="s">
        <v>30220</v>
      </c>
      <c r="M1580" s="15" t="s">
        <v>30221</v>
      </c>
      <c r="N1580" s="15" t="s">
        <v>147</v>
      </c>
      <c r="O1580" s="17">
        <v>26.88</v>
      </c>
      <c r="P1580" s="15" t="s">
        <v>148</v>
      </c>
      <c r="Q1580" s="15" t="s">
        <v>149</v>
      </c>
      <c r="R1580" s="15" t="s">
        <v>174</v>
      </c>
      <c r="S1580" s="15" t="s">
        <v>30222</v>
      </c>
      <c r="T1580" s="18" t="s">
        <v>138</v>
      </c>
      <c r="U1580" s="15" t="s">
        <v>138</v>
      </c>
      <c r="V1580" s="15" t="s">
        <v>138</v>
      </c>
      <c r="W1580" s="15" t="s">
        <v>138</v>
      </c>
      <c r="X1580" s="19">
        <v>2015</v>
      </c>
      <c r="Y1580" s="15" t="s">
        <v>138</v>
      </c>
      <c r="Z1580" s="15" t="s">
        <v>138</v>
      </c>
      <c r="AA1580" s="15" t="s">
        <v>138</v>
      </c>
      <c r="AB1580" s="20" t="s">
        <v>138</v>
      </c>
      <c r="AC1580" s="20" t="s">
        <v>138</v>
      </c>
      <c r="AD1580" s="20" t="s">
        <v>138</v>
      </c>
      <c r="AE1580" s="20" t="s">
        <v>138</v>
      </c>
      <c r="AF1580" s="20" t="s">
        <v>138</v>
      </c>
      <c r="AG1580" s="15" t="s">
        <v>138</v>
      </c>
      <c r="AH1580" s="20" t="s">
        <v>138</v>
      </c>
      <c r="AI1580" s="20" t="s">
        <v>138</v>
      </c>
      <c r="AJ1580" s="20" t="s">
        <v>138</v>
      </c>
      <c r="AK1580" s="15" t="s">
        <v>30223</v>
      </c>
      <c r="AL1580" s="15" t="s">
        <v>30224</v>
      </c>
      <c r="AM1580" s="15" t="s">
        <v>304</v>
      </c>
      <c r="AN1580" s="15" t="s">
        <v>30225</v>
      </c>
      <c r="AO1580" s="15" t="s">
        <v>138</v>
      </c>
      <c r="AP1580" s="15" t="s">
        <v>665</v>
      </c>
      <c r="AQ1580" s="15" t="s">
        <v>30226</v>
      </c>
      <c r="AR1580" s="15" t="s">
        <v>138</v>
      </c>
      <c r="AS1580" s="15" t="s">
        <v>668</v>
      </c>
      <c r="AT1580" s="15" t="s">
        <v>200</v>
      </c>
      <c r="AU1580" s="15" t="s">
        <v>9995</v>
      </c>
      <c r="AV1580" s="15" t="s">
        <v>162</v>
      </c>
      <c r="AW1580" s="15" t="s">
        <v>138</v>
      </c>
      <c r="AX1580" s="15" t="s">
        <v>138</v>
      </c>
      <c r="AY1580" s="15" t="s">
        <v>30227</v>
      </c>
      <c r="AZ1580" s="15" t="s">
        <v>164</v>
      </c>
      <c r="BA1580" s="15" t="s">
        <v>165</v>
      </c>
      <c r="BB1580" s="15" t="s">
        <v>30228</v>
      </c>
      <c r="BC1580" s="15" t="s">
        <v>30229</v>
      </c>
      <c r="BD1580" s="21">
        <v>17</v>
      </c>
      <c r="BE1580" s="15" t="s">
        <v>138</v>
      </c>
      <c r="BF1580" s="15" t="s">
        <v>138</v>
      </c>
      <c r="BG1580" s="15" t="s">
        <v>138</v>
      </c>
      <c r="BH1580" s="15" t="s">
        <v>30230</v>
      </c>
      <c r="BI1580" s="15" t="s">
        <v>138</v>
      </c>
      <c r="BJ1580" s="15" t="s">
        <v>138</v>
      </c>
      <c r="BK1580" s="15" t="s">
        <v>1251</v>
      </c>
      <c r="BL1580" s="15" t="s">
        <v>14847</v>
      </c>
      <c r="BM1580" s="22">
        <v>42430</v>
      </c>
      <c r="BN1580" s="17">
        <v>3</v>
      </c>
      <c r="BO1580" s="15" t="s">
        <v>172</v>
      </c>
      <c r="BP1580" s="17" t="s">
        <v>138</v>
      </c>
      <c r="BQ1580" s="15" t="s">
        <v>138</v>
      </c>
      <c r="BR1580" s="15" t="s">
        <v>234</v>
      </c>
      <c r="BS1580" s="15" t="s">
        <v>234</v>
      </c>
      <c r="BT1580" s="15" t="s">
        <v>138</v>
      </c>
      <c r="BU1580" s="15" t="s">
        <v>174</v>
      </c>
      <c r="BV1580" s="15" t="s">
        <v>138</v>
      </c>
      <c r="BW1580" s="15" t="s">
        <v>138</v>
      </c>
      <c r="BX1580" s="15" t="s">
        <v>138</v>
      </c>
      <c r="BY1580" s="15" t="s">
        <v>175</v>
      </c>
      <c r="BZ1580" s="22">
        <v>43375</v>
      </c>
      <c r="CA1580" s="17">
        <v>16</v>
      </c>
      <c r="CB1580" s="15" t="s">
        <v>172</v>
      </c>
      <c r="CC1580" s="17">
        <v>91</v>
      </c>
      <c r="CD1580" s="15" t="s">
        <v>172</v>
      </c>
      <c r="CE1580" s="15" t="s">
        <v>205</v>
      </c>
      <c r="CF1580" s="15" t="s">
        <v>720</v>
      </c>
      <c r="CG1580" s="15" t="s">
        <v>138</v>
      </c>
      <c r="CH1580" s="15" t="s">
        <v>174</v>
      </c>
      <c r="CI1580" s="15" t="s">
        <v>138</v>
      </c>
      <c r="CJ1580" s="15" t="s">
        <v>138</v>
      </c>
      <c r="CK1580" s="15" t="s">
        <v>138</v>
      </c>
      <c r="CL1580" s="15" t="s">
        <v>175</v>
      </c>
      <c r="CM1580" s="22" t="s">
        <v>138</v>
      </c>
      <c r="CN1580" s="17" t="s">
        <v>138</v>
      </c>
      <c r="CO1580" s="23">
        <v>2.46</v>
      </c>
      <c r="CP1580" s="24">
        <v>99</v>
      </c>
      <c r="CQ1580" s="23">
        <v>-0.18</v>
      </c>
      <c r="CR1580" s="23">
        <v>-6.68</v>
      </c>
      <c r="CS1580" s="23">
        <v>2.91</v>
      </c>
      <c r="CT1580" s="24">
        <v>99</v>
      </c>
      <c r="CU1580" s="23">
        <v>0.69</v>
      </c>
      <c r="CV1580" s="24">
        <v>96</v>
      </c>
      <c r="CW1580" s="23">
        <v>2.91</v>
      </c>
      <c r="CX1580" s="24">
        <v>91</v>
      </c>
      <c r="CY1580" s="23" t="s">
        <v>138</v>
      </c>
      <c r="CZ1580" s="24" t="s">
        <v>138</v>
      </c>
      <c r="DA1580" s="23">
        <v>0.69</v>
      </c>
      <c r="DB1580" s="24">
        <v>96</v>
      </c>
      <c r="DC1580" s="25">
        <v>23.74</v>
      </c>
      <c r="DD1580" s="24">
        <v>95</v>
      </c>
      <c r="DE1580" s="25">
        <v>-0.72</v>
      </c>
      <c r="DF1580" s="23">
        <v>-2.96</v>
      </c>
      <c r="DG1580" s="25">
        <v>32.51</v>
      </c>
      <c r="DH1580" s="24">
        <v>97</v>
      </c>
      <c r="DI1580" s="25">
        <v>6.17</v>
      </c>
      <c r="DJ1580" s="24">
        <v>80</v>
      </c>
      <c r="DK1580" s="25">
        <v>32.51</v>
      </c>
      <c r="DL1580" s="24">
        <v>94</v>
      </c>
      <c r="DM1580" s="25" t="s">
        <v>138</v>
      </c>
      <c r="DN1580" s="24" t="s">
        <v>138</v>
      </c>
      <c r="DO1580" s="25">
        <v>6.17</v>
      </c>
      <c r="DP1580" s="24">
        <v>82</v>
      </c>
      <c r="DQ1580" s="24">
        <v>10914</v>
      </c>
      <c r="DR1580" s="26">
        <v>706</v>
      </c>
      <c r="DS1580" s="23">
        <v>6.92</v>
      </c>
      <c r="DT1580" s="24" t="s">
        <v>138</v>
      </c>
      <c r="DU1580" s="26" t="s">
        <v>138</v>
      </c>
      <c r="DV1580" s="23" t="s">
        <v>138</v>
      </c>
      <c r="DW1580" s="24">
        <v>2205</v>
      </c>
      <c r="DX1580" s="27">
        <v>4</v>
      </c>
      <c r="DY1580" s="23">
        <v>0.18</v>
      </c>
      <c r="DZ1580" s="15" t="s">
        <v>178</v>
      </c>
      <c r="EA1580" s="22">
        <v>43479</v>
      </c>
      <c r="EB1580" s="17">
        <v>91</v>
      </c>
      <c r="EC1580" s="22">
        <v>43375</v>
      </c>
      <c r="ED1580" s="15" t="s">
        <v>205</v>
      </c>
      <c r="EE1580" s="14" t="str">
        <f>HYPERLINK("https://my.pitchbook.com?c=154897-84", "View company online")</f>
        <v>View company online</v>
      </c>
    </row>
    <row r="1581" spans="1:135">
      <c r="A1581" s="28" t="s">
        <v>30231</v>
      </c>
      <c r="B1581" s="28" t="s">
        <v>30232</v>
      </c>
      <c r="C1581" s="28" t="s">
        <v>30233</v>
      </c>
      <c r="D1581" s="28" t="s">
        <v>138</v>
      </c>
      <c r="E1581" s="28" t="s">
        <v>138</v>
      </c>
      <c r="F1581" s="28" t="s">
        <v>30231</v>
      </c>
      <c r="G1581" s="28" t="s">
        <v>30234</v>
      </c>
      <c r="H1581" s="28" t="s">
        <v>322</v>
      </c>
      <c r="I1581" s="28" t="s">
        <v>323</v>
      </c>
      <c r="J1581" s="28" t="s">
        <v>1084</v>
      </c>
      <c r="K1581" s="28" t="s">
        <v>30235</v>
      </c>
      <c r="L1581" s="28" t="s">
        <v>30236</v>
      </c>
      <c r="M1581" s="28" t="s">
        <v>30237</v>
      </c>
      <c r="N1581" s="28" t="s">
        <v>147</v>
      </c>
      <c r="O1581" s="29">
        <v>7</v>
      </c>
      <c r="P1581" s="28" t="s">
        <v>148</v>
      </c>
      <c r="Q1581" s="28" t="s">
        <v>149</v>
      </c>
      <c r="R1581" s="28" t="s">
        <v>174</v>
      </c>
      <c r="S1581" s="28" t="s">
        <v>30238</v>
      </c>
      <c r="T1581" s="30" t="s">
        <v>138</v>
      </c>
      <c r="U1581" s="28" t="s">
        <v>138</v>
      </c>
      <c r="V1581" s="28" t="s">
        <v>138</v>
      </c>
      <c r="W1581" s="28" t="s">
        <v>138</v>
      </c>
      <c r="X1581" s="31" t="s">
        <v>138</v>
      </c>
      <c r="Y1581" s="28" t="s">
        <v>138</v>
      </c>
      <c r="Z1581" s="28" t="s">
        <v>138</v>
      </c>
      <c r="AA1581" s="28" t="s">
        <v>138</v>
      </c>
      <c r="AB1581" s="32" t="s">
        <v>138</v>
      </c>
      <c r="AC1581" s="32" t="s">
        <v>138</v>
      </c>
      <c r="AD1581" s="32" t="s">
        <v>138</v>
      </c>
      <c r="AE1581" s="32" t="s">
        <v>138</v>
      </c>
      <c r="AF1581" s="32" t="s">
        <v>138</v>
      </c>
      <c r="AG1581" s="28" t="s">
        <v>138</v>
      </c>
      <c r="AH1581" s="32" t="s">
        <v>138</v>
      </c>
      <c r="AI1581" s="32" t="s">
        <v>138</v>
      </c>
      <c r="AJ1581" s="32" t="s">
        <v>138</v>
      </c>
      <c r="AK1581" s="28" t="s">
        <v>30239</v>
      </c>
      <c r="AL1581" s="28" t="s">
        <v>30240</v>
      </c>
      <c r="AM1581" s="28" t="s">
        <v>938</v>
      </c>
      <c r="AN1581" s="28" t="s">
        <v>30241</v>
      </c>
      <c r="AO1581" s="28" t="s">
        <v>138</v>
      </c>
      <c r="AP1581" s="28" t="s">
        <v>12391</v>
      </c>
      <c r="AQ1581" s="28" t="s">
        <v>138</v>
      </c>
      <c r="AR1581" s="28" t="s">
        <v>138</v>
      </c>
      <c r="AS1581" s="28" t="s">
        <v>12394</v>
      </c>
      <c r="AT1581" s="28" t="s">
        <v>200</v>
      </c>
      <c r="AU1581" s="28" t="s">
        <v>138</v>
      </c>
      <c r="AV1581" s="28" t="s">
        <v>162</v>
      </c>
      <c r="AW1581" s="28" t="s">
        <v>138</v>
      </c>
      <c r="AX1581" s="28" t="s">
        <v>138</v>
      </c>
      <c r="AY1581" s="28" t="s">
        <v>30242</v>
      </c>
      <c r="AZ1581" s="28" t="s">
        <v>164</v>
      </c>
      <c r="BA1581" s="28" t="s">
        <v>165</v>
      </c>
      <c r="BB1581" s="28" t="s">
        <v>30243</v>
      </c>
      <c r="BC1581" s="28" t="s">
        <v>30244</v>
      </c>
      <c r="BD1581" s="33">
        <v>8</v>
      </c>
      <c r="BE1581" s="28" t="s">
        <v>138</v>
      </c>
      <c r="BF1581" s="28" t="s">
        <v>138</v>
      </c>
      <c r="BG1581" s="28" t="s">
        <v>138</v>
      </c>
      <c r="BH1581" s="28" t="s">
        <v>30245</v>
      </c>
      <c r="BI1581" s="28" t="s">
        <v>138</v>
      </c>
      <c r="BJ1581" s="28" t="s">
        <v>138</v>
      </c>
      <c r="BK1581" s="28" t="s">
        <v>138</v>
      </c>
      <c r="BL1581" s="28" t="s">
        <v>1275</v>
      </c>
      <c r="BM1581" s="34">
        <v>43282</v>
      </c>
      <c r="BN1581" s="29">
        <v>7</v>
      </c>
      <c r="BO1581" s="28" t="s">
        <v>172</v>
      </c>
      <c r="BP1581" s="29">
        <v>42</v>
      </c>
      <c r="BQ1581" s="28" t="s">
        <v>172</v>
      </c>
      <c r="BR1581" s="28" t="s">
        <v>234</v>
      </c>
      <c r="BS1581" s="28" t="s">
        <v>234</v>
      </c>
      <c r="BT1581" s="28" t="s">
        <v>138</v>
      </c>
      <c r="BU1581" s="28" t="s">
        <v>174</v>
      </c>
      <c r="BV1581" s="28" t="s">
        <v>138</v>
      </c>
      <c r="BW1581" s="28" t="s">
        <v>138</v>
      </c>
      <c r="BX1581" s="28" t="s">
        <v>138</v>
      </c>
      <c r="BY1581" s="28" t="s">
        <v>175</v>
      </c>
      <c r="BZ1581" s="34">
        <v>43282</v>
      </c>
      <c r="CA1581" s="29">
        <v>7</v>
      </c>
      <c r="CB1581" s="28" t="s">
        <v>172</v>
      </c>
      <c r="CC1581" s="29">
        <v>42</v>
      </c>
      <c r="CD1581" s="28" t="s">
        <v>172</v>
      </c>
      <c r="CE1581" s="28" t="s">
        <v>234</v>
      </c>
      <c r="CF1581" s="28" t="s">
        <v>234</v>
      </c>
      <c r="CG1581" s="28" t="s">
        <v>138</v>
      </c>
      <c r="CH1581" s="28" t="s">
        <v>174</v>
      </c>
      <c r="CI1581" s="28" t="s">
        <v>138</v>
      </c>
      <c r="CJ1581" s="28" t="s">
        <v>138</v>
      </c>
      <c r="CK1581" s="28" t="s">
        <v>138</v>
      </c>
      <c r="CL1581" s="28" t="s">
        <v>175</v>
      </c>
      <c r="CM1581" s="34" t="s">
        <v>138</v>
      </c>
      <c r="CN1581" s="29" t="s">
        <v>138</v>
      </c>
      <c r="CO1581" s="35">
        <v>5.1100000000000003</v>
      </c>
      <c r="CP1581" s="36">
        <v>100</v>
      </c>
      <c r="CQ1581" s="35">
        <v>0</v>
      </c>
      <c r="CR1581" s="35">
        <v>0</v>
      </c>
      <c r="CS1581" s="35">
        <v>5.1100000000000003</v>
      </c>
      <c r="CT1581" s="36">
        <v>100</v>
      </c>
      <c r="CU1581" s="35" t="s">
        <v>138</v>
      </c>
      <c r="CV1581" s="36" t="s">
        <v>138</v>
      </c>
      <c r="CW1581" s="35">
        <v>5.1100000000000003</v>
      </c>
      <c r="CX1581" s="36">
        <v>96</v>
      </c>
      <c r="CY1581" s="35" t="s">
        <v>138</v>
      </c>
      <c r="CZ1581" s="36" t="s">
        <v>138</v>
      </c>
      <c r="DA1581" s="35" t="s">
        <v>138</v>
      </c>
      <c r="DB1581" s="36" t="s">
        <v>138</v>
      </c>
      <c r="DC1581" s="37">
        <v>12.39</v>
      </c>
      <c r="DD1581" s="36">
        <v>92</v>
      </c>
      <c r="DE1581" s="37">
        <v>-1.59</v>
      </c>
      <c r="DF1581" s="35">
        <v>-11.37</v>
      </c>
      <c r="DG1581" s="37">
        <v>12.39</v>
      </c>
      <c r="DH1581" s="36">
        <v>91</v>
      </c>
      <c r="DI1581" s="37" t="s">
        <v>138</v>
      </c>
      <c r="DJ1581" s="36" t="s">
        <v>138</v>
      </c>
      <c r="DK1581" s="37">
        <v>12.39</v>
      </c>
      <c r="DL1581" s="36">
        <v>88</v>
      </c>
      <c r="DM1581" s="37" t="s">
        <v>138</v>
      </c>
      <c r="DN1581" s="36" t="s">
        <v>138</v>
      </c>
      <c r="DO1581" s="37" t="s">
        <v>138</v>
      </c>
      <c r="DP1581" s="36" t="s">
        <v>138</v>
      </c>
      <c r="DQ1581" s="36">
        <v>4229</v>
      </c>
      <c r="DR1581" s="38">
        <v>62</v>
      </c>
      <c r="DS1581" s="35">
        <v>1.49</v>
      </c>
      <c r="DT1581" s="36" t="s">
        <v>138</v>
      </c>
      <c r="DU1581" s="38" t="s">
        <v>138</v>
      </c>
      <c r="DV1581" s="35" t="s">
        <v>138</v>
      </c>
      <c r="DW1581" s="36" t="s">
        <v>138</v>
      </c>
      <c r="DX1581" s="39" t="s">
        <v>138</v>
      </c>
      <c r="DY1581" s="35" t="s">
        <v>138</v>
      </c>
      <c r="DZ1581" s="28" t="s">
        <v>178</v>
      </c>
      <c r="EA1581" s="34">
        <v>43622</v>
      </c>
      <c r="EB1581" s="29">
        <v>42</v>
      </c>
      <c r="EC1581" s="34">
        <v>43282</v>
      </c>
      <c r="ED1581" s="28" t="s">
        <v>234</v>
      </c>
      <c r="EE1581" s="40" t="str">
        <f>HYPERLINK("https://my.pitchbook.com?c=222161-32", "View company online")</f>
        <v>View company online</v>
      </c>
    </row>
    <row r="1582" spans="1:135">
      <c r="A1582" s="15" t="s">
        <v>30246</v>
      </c>
      <c r="B1582" s="15" t="s">
        <v>30247</v>
      </c>
      <c r="C1582" s="15" t="s">
        <v>138</v>
      </c>
      <c r="D1582" s="15" t="s">
        <v>138</v>
      </c>
      <c r="E1582" s="15" t="s">
        <v>30248</v>
      </c>
      <c r="F1582" s="15" t="s">
        <v>30246</v>
      </c>
      <c r="G1582" s="15" t="s">
        <v>30249</v>
      </c>
      <c r="H1582" s="15" t="s">
        <v>322</v>
      </c>
      <c r="I1582" s="15" t="s">
        <v>323</v>
      </c>
      <c r="J1582" s="15" t="s">
        <v>324</v>
      </c>
      <c r="K1582" s="15" t="s">
        <v>5902</v>
      </c>
      <c r="L1582" s="15" t="s">
        <v>30250</v>
      </c>
      <c r="M1582" s="15" t="s">
        <v>30251</v>
      </c>
      <c r="N1582" s="15" t="s">
        <v>147</v>
      </c>
      <c r="O1582" s="17">
        <v>24.96</v>
      </c>
      <c r="P1582" s="15" t="s">
        <v>148</v>
      </c>
      <c r="Q1582" s="15" t="s">
        <v>149</v>
      </c>
      <c r="R1582" s="15" t="s">
        <v>174</v>
      </c>
      <c r="S1582" s="15" t="s">
        <v>30252</v>
      </c>
      <c r="T1582" s="18">
        <v>45</v>
      </c>
      <c r="U1582" s="15" t="s">
        <v>30253</v>
      </c>
      <c r="V1582" s="15" t="s">
        <v>138</v>
      </c>
      <c r="W1582" s="15" t="s">
        <v>138</v>
      </c>
      <c r="X1582" s="19">
        <v>2009</v>
      </c>
      <c r="Y1582" s="15" t="s">
        <v>138</v>
      </c>
      <c r="Z1582" s="15" t="s">
        <v>138</v>
      </c>
      <c r="AA1582" s="15" t="s">
        <v>138</v>
      </c>
      <c r="AB1582" s="20" t="s">
        <v>138</v>
      </c>
      <c r="AC1582" s="20" t="s">
        <v>138</v>
      </c>
      <c r="AD1582" s="20" t="s">
        <v>138</v>
      </c>
      <c r="AE1582" s="20" t="s">
        <v>138</v>
      </c>
      <c r="AF1582" s="20" t="s">
        <v>138</v>
      </c>
      <c r="AG1582" s="15" t="s">
        <v>138</v>
      </c>
      <c r="AH1582" s="20" t="s">
        <v>138</v>
      </c>
      <c r="AI1582" s="20" t="s">
        <v>138</v>
      </c>
      <c r="AJ1582" s="20" t="s">
        <v>138</v>
      </c>
      <c r="AK1582" s="15" t="s">
        <v>30254</v>
      </c>
      <c r="AL1582" s="15" t="s">
        <v>30255</v>
      </c>
      <c r="AM1582" s="15" t="s">
        <v>818</v>
      </c>
      <c r="AN1582" s="15" t="s">
        <v>30256</v>
      </c>
      <c r="AO1582" s="15" t="s">
        <v>30257</v>
      </c>
      <c r="AP1582" s="15" t="s">
        <v>3449</v>
      </c>
      <c r="AQ1582" s="15" t="s">
        <v>30258</v>
      </c>
      <c r="AR1582" s="15" t="s">
        <v>30259</v>
      </c>
      <c r="AS1582" s="15" t="s">
        <v>3452</v>
      </c>
      <c r="AT1582" s="15" t="s">
        <v>3453</v>
      </c>
      <c r="AU1582" s="15" t="s">
        <v>30260</v>
      </c>
      <c r="AV1582" s="15" t="s">
        <v>2333</v>
      </c>
      <c r="AW1582" s="15" t="s">
        <v>30261</v>
      </c>
      <c r="AX1582" s="15" t="s">
        <v>138</v>
      </c>
      <c r="AY1582" s="15" t="s">
        <v>138</v>
      </c>
      <c r="AZ1582" s="15" t="s">
        <v>452</v>
      </c>
      <c r="BA1582" s="15" t="s">
        <v>2335</v>
      </c>
      <c r="BB1582" s="15" t="s">
        <v>30262</v>
      </c>
      <c r="BC1582" s="15" t="s">
        <v>30263</v>
      </c>
      <c r="BD1582" s="21">
        <v>5</v>
      </c>
      <c r="BE1582" s="15" t="s">
        <v>138</v>
      </c>
      <c r="BF1582" s="15" t="s">
        <v>138</v>
      </c>
      <c r="BG1582" s="15" t="s">
        <v>138</v>
      </c>
      <c r="BH1582" s="15" t="s">
        <v>30264</v>
      </c>
      <c r="BI1582" s="15" t="s">
        <v>138</v>
      </c>
      <c r="BJ1582" s="15" t="s">
        <v>138</v>
      </c>
      <c r="BK1582" s="15" t="s">
        <v>138</v>
      </c>
      <c r="BL1582" s="15" t="s">
        <v>138</v>
      </c>
      <c r="BM1582" s="22">
        <v>39814</v>
      </c>
      <c r="BN1582" s="17">
        <v>24.5</v>
      </c>
      <c r="BO1582" s="15" t="s">
        <v>172</v>
      </c>
      <c r="BP1582" s="17" t="s">
        <v>138</v>
      </c>
      <c r="BQ1582" s="15" t="s">
        <v>138</v>
      </c>
      <c r="BR1582" s="15" t="s">
        <v>234</v>
      </c>
      <c r="BS1582" s="15" t="s">
        <v>234</v>
      </c>
      <c r="BT1582" s="15" t="s">
        <v>138</v>
      </c>
      <c r="BU1582" s="15" t="s">
        <v>174</v>
      </c>
      <c r="BV1582" s="15" t="s">
        <v>138</v>
      </c>
      <c r="BW1582" s="15" t="s">
        <v>138</v>
      </c>
      <c r="BX1582" s="15" t="s">
        <v>138</v>
      </c>
      <c r="BY1582" s="15" t="s">
        <v>175</v>
      </c>
      <c r="BZ1582" s="22">
        <v>41792</v>
      </c>
      <c r="CA1582" s="17" t="s">
        <v>138</v>
      </c>
      <c r="CB1582" s="15" t="s">
        <v>138</v>
      </c>
      <c r="CC1582" s="17" t="s">
        <v>138</v>
      </c>
      <c r="CD1582" s="15" t="s">
        <v>138</v>
      </c>
      <c r="CE1582" s="15" t="s">
        <v>205</v>
      </c>
      <c r="CF1582" s="15" t="s">
        <v>138</v>
      </c>
      <c r="CG1582" s="15" t="s">
        <v>138</v>
      </c>
      <c r="CH1582" s="15" t="s">
        <v>174</v>
      </c>
      <c r="CI1582" s="15" t="s">
        <v>138</v>
      </c>
      <c r="CJ1582" s="15" t="s">
        <v>138</v>
      </c>
      <c r="CK1582" s="15" t="s">
        <v>138</v>
      </c>
      <c r="CL1582" s="15" t="s">
        <v>175</v>
      </c>
      <c r="CM1582" s="22" t="s">
        <v>138</v>
      </c>
      <c r="CN1582" s="17" t="s">
        <v>138</v>
      </c>
      <c r="CO1582" s="23">
        <v>-0.11</v>
      </c>
      <c r="CP1582" s="24">
        <v>21</v>
      </c>
      <c r="CQ1582" s="23">
        <v>-0.23</v>
      </c>
      <c r="CR1582" s="23">
        <v>-194.67</v>
      </c>
      <c r="CS1582" s="23" t="s">
        <v>138</v>
      </c>
      <c r="CT1582" s="24" t="s">
        <v>138</v>
      </c>
      <c r="CU1582" s="23">
        <v>-0.11</v>
      </c>
      <c r="CV1582" s="24">
        <v>3</v>
      </c>
      <c r="CW1582" s="23" t="s">
        <v>138</v>
      </c>
      <c r="CX1582" s="24" t="s">
        <v>138</v>
      </c>
      <c r="CY1582" s="23" t="s">
        <v>138</v>
      </c>
      <c r="CZ1582" s="24" t="s">
        <v>138</v>
      </c>
      <c r="DA1582" s="23">
        <v>-0.11</v>
      </c>
      <c r="DB1582" s="24">
        <v>5</v>
      </c>
      <c r="DC1582" s="25">
        <v>0.3</v>
      </c>
      <c r="DD1582" s="24">
        <v>22</v>
      </c>
      <c r="DE1582" s="25">
        <v>0</v>
      </c>
      <c r="DF1582" s="23">
        <v>0.56000000000000005</v>
      </c>
      <c r="DG1582" s="25" t="s">
        <v>138</v>
      </c>
      <c r="DH1582" s="24" t="s">
        <v>138</v>
      </c>
      <c r="DI1582" s="25">
        <v>0.3</v>
      </c>
      <c r="DJ1582" s="24">
        <v>28</v>
      </c>
      <c r="DK1582" s="25" t="s">
        <v>138</v>
      </c>
      <c r="DL1582" s="24" t="s">
        <v>138</v>
      </c>
      <c r="DM1582" s="25" t="s">
        <v>138</v>
      </c>
      <c r="DN1582" s="24" t="s">
        <v>138</v>
      </c>
      <c r="DO1582" s="25">
        <v>0.3</v>
      </c>
      <c r="DP1582" s="24">
        <v>30</v>
      </c>
      <c r="DQ1582" s="24" t="s">
        <v>138</v>
      </c>
      <c r="DR1582" s="26" t="s">
        <v>138</v>
      </c>
      <c r="DS1582" s="23" t="s">
        <v>138</v>
      </c>
      <c r="DT1582" s="24" t="s">
        <v>138</v>
      </c>
      <c r="DU1582" s="26" t="s">
        <v>138</v>
      </c>
      <c r="DV1582" s="23" t="s">
        <v>138</v>
      </c>
      <c r="DW1582" s="24">
        <v>109</v>
      </c>
      <c r="DX1582" s="27">
        <v>0</v>
      </c>
      <c r="DY1582" s="23">
        <v>0</v>
      </c>
      <c r="DZ1582" s="15" t="s">
        <v>178</v>
      </c>
      <c r="EA1582" s="22">
        <v>43518</v>
      </c>
      <c r="EB1582" s="17" t="s">
        <v>138</v>
      </c>
      <c r="EC1582" s="22" t="s">
        <v>138</v>
      </c>
      <c r="ED1582" s="15" t="s">
        <v>138</v>
      </c>
      <c r="EE1582" s="14" t="str">
        <f>HYPERLINK("https://my.pitchbook.com?c=63560-62", "View company online")</f>
        <v>View company online</v>
      </c>
    </row>
    <row r="1583" spans="1:135">
      <c r="A1583" s="28" t="s">
        <v>30265</v>
      </c>
      <c r="B1583" s="28" t="s">
        <v>30266</v>
      </c>
      <c r="C1583" s="28" t="s">
        <v>138</v>
      </c>
      <c r="D1583" s="28" t="s">
        <v>138</v>
      </c>
      <c r="E1583" s="28" t="s">
        <v>30267</v>
      </c>
      <c r="F1583" s="28" t="s">
        <v>30265</v>
      </c>
      <c r="G1583" s="28" t="s">
        <v>30268</v>
      </c>
      <c r="H1583" s="28" t="s">
        <v>238</v>
      </c>
      <c r="I1583" s="28" t="s">
        <v>785</v>
      </c>
      <c r="J1583" s="28" t="s">
        <v>786</v>
      </c>
      <c r="K1583" s="28" t="s">
        <v>30269</v>
      </c>
      <c r="L1583" s="28" t="s">
        <v>4703</v>
      </c>
      <c r="M1583" s="28" t="s">
        <v>30270</v>
      </c>
      <c r="N1583" s="28" t="s">
        <v>2063</v>
      </c>
      <c r="O1583" s="29">
        <v>54</v>
      </c>
      <c r="P1583" s="28" t="s">
        <v>812</v>
      </c>
      <c r="Q1583" s="28" t="s">
        <v>149</v>
      </c>
      <c r="R1583" s="28" t="s">
        <v>328</v>
      </c>
      <c r="S1583" s="28" t="s">
        <v>30271</v>
      </c>
      <c r="T1583" s="30">
        <v>51</v>
      </c>
      <c r="U1583" s="28" t="s">
        <v>30272</v>
      </c>
      <c r="V1583" s="28" t="s">
        <v>138</v>
      </c>
      <c r="W1583" s="28" t="s">
        <v>138</v>
      </c>
      <c r="X1583" s="31">
        <v>2003</v>
      </c>
      <c r="Y1583" s="28" t="s">
        <v>138</v>
      </c>
      <c r="Z1583" s="28" t="s">
        <v>138</v>
      </c>
      <c r="AA1583" s="28" t="s">
        <v>138</v>
      </c>
      <c r="AB1583" s="32">
        <v>1.2</v>
      </c>
      <c r="AC1583" s="32" t="s">
        <v>138</v>
      </c>
      <c r="AD1583" s="32" t="s">
        <v>138</v>
      </c>
      <c r="AE1583" s="32" t="s">
        <v>138</v>
      </c>
      <c r="AF1583" s="32" t="s">
        <v>138</v>
      </c>
      <c r="AG1583" s="28" t="s">
        <v>3077</v>
      </c>
      <c r="AH1583" s="32" t="s">
        <v>138</v>
      </c>
      <c r="AI1583" s="32" t="s">
        <v>138</v>
      </c>
      <c r="AJ1583" s="32" t="s">
        <v>138</v>
      </c>
      <c r="AK1583" s="28" t="s">
        <v>30273</v>
      </c>
      <c r="AL1583" s="28" t="s">
        <v>30274</v>
      </c>
      <c r="AM1583" s="28" t="s">
        <v>30275</v>
      </c>
      <c r="AN1583" s="28" t="s">
        <v>30276</v>
      </c>
      <c r="AO1583" s="28" t="s">
        <v>30277</v>
      </c>
      <c r="AP1583" s="28" t="s">
        <v>30278</v>
      </c>
      <c r="AQ1583" s="28" t="s">
        <v>30279</v>
      </c>
      <c r="AR1583" s="28" t="s">
        <v>30280</v>
      </c>
      <c r="AS1583" s="28" t="s">
        <v>30281</v>
      </c>
      <c r="AT1583" s="28" t="s">
        <v>228</v>
      </c>
      <c r="AU1583" s="28" t="s">
        <v>30282</v>
      </c>
      <c r="AV1583" s="28" t="s">
        <v>162</v>
      </c>
      <c r="AW1583" s="28" t="s">
        <v>138</v>
      </c>
      <c r="AX1583" s="28" t="s">
        <v>138</v>
      </c>
      <c r="AY1583" s="28" t="s">
        <v>138</v>
      </c>
      <c r="AZ1583" s="28" t="s">
        <v>164</v>
      </c>
      <c r="BA1583" s="28" t="s">
        <v>165</v>
      </c>
      <c r="BB1583" s="28" t="s">
        <v>30283</v>
      </c>
      <c r="BC1583" s="28" t="s">
        <v>138</v>
      </c>
      <c r="BD1583" s="33" t="s">
        <v>138</v>
      </c>
      <c r="BE1583" s="28" t="s">
        <v>138</v>
      </c>
      <c r="BF1583" s="28" t="s">
        <v>30284</v>
      </c>
      <c r="BG1583" s="28" t="s">
        <v>138</v>
      </c>
      <c r="BH1583" s="28" t="s">
        <v>138</v>
      </c>
      <c r="BI1583" s="28" t="s">
        <v>30285</v>
      </c>
      <c r="BJ1583" s="28" t="s">
        <v>138</v>
      </c>
      <c r="BK1583" s="28" t="s">
        <v>138</v>
      </c>
      <c r="BL1583" s="28" t="s">
        <v>30286</v>
      </c>
      <c r="BM1583" s="34">
        <v>40836</v>
      </c>
      <c r="BN1583" s="29">
        <v>54</v>
      </c>
      <c r="BO1583" s="28" t="s">
        <v>172</v>
      </c>
      <c r="BP1583" s="29" t="s">
        <v>138</v>
      </c>
      <c r="BQ1583" s="28" t="s">
        <v>138</v>
      </c>
      <c r="BR1583" s="28" t="s">
        <v>1673</v>
      </c>
      <c r="BS1583" s="28" t="s">
        <v>138</v>
      </c>
      <c r="BT1583" s="28" t="s">
        <v>138</v>
      </c>
      <c r="BU1583" s="28" t="s">
        <v>351</v>
      </c>
      <c r="BV1583" s="28" t="s">
        <v>138</v>
      </c>
      <c r="BW1583" s="28" t="s">
        <v>138</v>
      </c>
      <c r="BX1583" s="28" t="s">
        <v>138</v>
      </c>
      <c r="BY1583" s="28" t="s">
        <v>175</v>
      </c>
      <c r="BZ1583" s="34" t="s">
        <v>138</v>
      </c>
      <c r="CA1583" s="29" t="s">
        <v>138</v>
      </c>
      <c r="CB1583" s="28" t="s">
        <v>138</v>
      </c>
      <c r="CC1583" s="29" t="s">
        <v>138</v>
      </c>
      <c r="CD1583" s="28" t="s">
        <v>138</v>
      </c>
      <c r="CE1583" s="28" t="s">
        <v>379</v>
      </c>
      <c r="CF1583" s="28" t="s">
        <v>138</v>
      </c>
      <c r="CG1583" s="28" t="s">
        <v>138</v>
      </c>
      <c r="CH1583" s="28" t="s">
        <v>351</v>
      </c>
      <c r="CI1583" s="28" t="s">
        <v>138</v>
      </c>
      <c r="CJ1583" s="28" t="s">
        <v>138</v>
      </c>
      <c r="CK1583" s="28" t="s">
        <v>138</v>
      </c>
      <c r="CL1583" s="28" t="s">
        <v>175</v>
      </c>
      <c r="CM1583" s="34" t="s">
        <v>138</v>
      </c>
      <c r="CN1583" s="29" t="s">
        <v>138</v>
      </c>
      <c r="CO1583" s="35" t="s">
        <v>138</v>
      </c>
      <c r="CP1583" s="36" t="s">
        <v>138</v>
      </c>
      <c r="CQ1583" s="35" t="s">
        <v>138</v>
      </c>
      <c r="CR1583" s="35" t="s">
        <v>138</v>
      </c>
      <c r="CS1583" s="35" t="s">
        <v>138</v>
      </c>
      <c r="CT1583" s="36" t="s">
        <v>138</v>
      </c>
      <c r="CU1583" s="35" t="s">
        <v>138</v>
      </c>
      <c r="CV1583" s="36" t="s">
        <v>138</v>
      </c>
      <c r="CW1583" s="35" t="s">
        <v>138</v>
      </c>
      <c r="CX1583" s="36" t="s">
        <v>138</v>
      </c>
      <c r="CY1583" s="35" t="s">
        <v>138</v>
      </c>
      <c r="CZ1583" s="36" t="s">
        <v>138</v>
      </c>
      <c r="DA1583" s="35" t="s">
        <v>138</v>
      </c>
      <c r="DB1583" s="36" t="s">
        <v>138</v>
      </c>
      <c r="DC1583" s="37" t="s">
        <v>138</v>
      </c>
      <c r="DD1583" s="36" t="s">
        <v>138</v>
      </c>
      <c r="DE1583" s="37" t="s">
        <v>138</v>
      </c>
      <c r="DF1583" s="35" t="s">
        <v>138</v>
      </c>
      <c r="DG1583" s="37" t="s">
        <v>138</v>
      </c>
      <c r="DH1583" s="36" t="s">
        <v>138</v>
      </c>
      <c r="DI1583" s="37" t="s">
        <v>138</v>
      </c>
      <c r="DJ1583" s="36" t="s">
        <v>138</v>
      </c>
      <c r="DK1583" s="37" t="s">
        <v>138</v>
      </c>
      <c r="DL1583" s="36" t="s">
        <v>138</v>
      </c>
      <c r="DM1583" s="37" t="s">
        <v>138</v>
      </c>
      <c r="DN1583" s="36" t="s">
        <v>138</v>
      </c>
      <c r="DO1583" s="37" t="s">
        <v>138</v>
      </c>
      <c r="DP1583" s="36" t="s">
        <v>138</v>
      </c>
      <c r="DQ1583" s="36" t="s">
        <v>138</v>
      </c>
      <c r="DR1583" s="38" t="s">
        <v>138</v>
      </c>
      <c r="DS1583" s="35" t="s">
        <v>138</v>
      </c>
      <c r="DT1583" s="36" t="s">
        <v>138</v>
      </c>
      <c r="DU1583" s="38" t="s">
        <v>138</v>
      </c>
      <c r="DV1583" s="35" t="s">
        <v>138</v>
      </c>
      <c r="DW1583" s="36" t="s">
        <v>138</v>
      </c>
      <c r="DX1583" s="39" t="s">
        <v>138</v>
      </c>
      <c r="DY1583" s="35" t="s">
        <v>138</v>
      </c>
      <c r="DZ1583" s="28" t="s">
        <v>178</v>
      </c>
      <c r="EA1583" s="34">
        <v>43529</v>
      </c>
      <c r="EB1583" s="29" t="s">
        <v>138</v>
      </c>
      <c r="EC1583" s="34" t="s">
        <v>138</v>
      </c>
      <c r="ED1583" s="28" t="s">
        <v>138</v>
      </c>
      <c r="EE1583" s="40" t="str">
        <f>HYPERLINK("https://my.pitchbook.com?c=53014-15", "View company online")</f>
        <v>View company online</v>
      </c>
    </row>
    <row r="1584" spans="1:135">
      <c r="A1584" s="15" t="s">
        <v>30287</v>
      </c>
      <c r="B1584" s="15" t="s">
        <v>30288</v>
      </c>
      <c r="C1584" s="15" t="s">
        <v>30289</v>
      </c>
      <c r="D1584" s="15" t="s">
        <v>138</v>
      </c>
      <c r="E1584" s="15" t="s">
        <v>30290</v>
      </c>
      <c r="F1584" s="15" t="s">
        <v>30287</v>
      </c>
      <c r="G1584" s="15" t="s">
        <v>30291</v>
      </c>
      <c r="H1584" s="15" t="s">
        <v>322</v>
      </c>
      <c r="I1584" s="15" t="s">
        <v>323</v>
      </c>
      <c r="J1584" s="15" t="s">
        <v>461</v>
      </c>
      <c r="K1584" s="15" t="s">
        <v>2209</v>
      </c>
      <c r="L1584" s="15" t="s">
        <v>586</v>
      </c>
      <c r="M1584" s="15" t="s">
        <v>30292</v>
      </c>
      <c r="N1584" s="15" t="s">
        <v>147</v>
      </c>
      <c r="O1584" s="17">
        <v>92.76</v>
      </c>
      <c r="P1584" s="15" t="s">
        <v>148</v>
      </c>
      <c r="Q1584" s="15" t="s">
        <v>149</v>
      </c>
      <c r="R1584" s="15" t="s">
        <v>244</v>
      </c>
      <c r="S1584" s="15" t="s">
        <v>30293</v>
      </c>
      <c r="T1584" s="18">
        <v>85</v>
      </c>
      <c r="U1584" s="15" t="s">
        <v>30294</v>
      </c>
      <c r="V1584" s="15" t="s">
        <v>138</v>
      </c>
      <c r="W1584" s="15" t="s">
        <v>138</v>
      </c>
      <c r="X1584" s="19">
        <v>2004</v>
      </c>
      <c r="Y1584" s="15" t="s">
        <v>138</v>
      </c>
      <c r="Z1584" s="15" t="s">
        <v>138</v>
      </c>
      <c r="AA1584" s="15" t="s">
        <v>138</v>
      </c>
      <c r="AB1584" s="20" t="s">
        <v>138</v>
      </c>
      <c r="AC1584" s="20" t="s">
        <v>138</v>
      </c>
      <c r="AD1584" s="20" t="s">
        <v>138</v>
      </c>
      <c r="AE1584" s="20" t="s">
        <v>138</v>
      </c>
      <c r="AF1584" s="20" t="s">
        <v>138</v>
      </c>
      <c r="AG1584" s="15" t="s">
        <v>138</v>
      </c>
      <c r="AH1584" s="20" t="s">
        <v>138</v>
      </c>
      <c r="AI1584" s="20" t="s">
        <v>138</v>
      </c>
      <c r="AJ1584" s="20" t="s">
        <v>138</v>
      </c>
      <c r="AK1584" s="15" t="s">
        <v>30295</v>
      </c>
      <c r="AL1584" s="15" t="s">
        <v>30296</v>
      </c>
      <c r="AM1584" s="15" t="s">
        <v>249</v>
      </c>
      <c r="AN1584" s="15" t="s">
        <v>30297</v>
      </c>
      <c r="AO1584" s="15" t="s">
        <v>30298</v>
      </c>
      <c r="AP1584" s="15" t="s">
        <v>3817</v>
      </c>
      <c r="AQ1584" s="15" t="s">
        <v>30299</v>
      </c>
      <c r="AR1584" s="15" t="s">
        <v>14974</v>
      </c>
      <c r="AS1584" s="15" t="s">
        <v>3820</v>
      </c>
      <c r="AT1584" s="15" t="s">
        <v>864</v>
      </c>
      <c r="AU1584" s="15" t="s">
        <v>4311</v>
      </c>
      <c r="AV1584" s="15" t="s">
        <v>162</v>
      </c>
      <c r="AW1584" s="15" t="s">
        <v>30298</v>
      </c>
      <c r="AX1584" s="15" t="s">
        <v>138</v>
      </c>
      <c r="AY1584" s="15" t="s">
        <v>138</v>
      </c>
      <c r="AZ1584" s="15" t="s">
        <v>164</v>
      </c>
      <c r="BA1584" s="15" t="s">
        <v>165</v>
      </c>
      <c r="BB1584" s="15" t="s">
        <v>30300</v>
      </c>
      <c r="BC1584" s="15" t="s">
        <v>30301</v>
      </c>
      <c r="BD1584" s="21">
        <v>16</v>
      </c>
      <c r="BE1584" s="15" t="s">
        <v>138</v>
      </c>
      <c r="BF1584" s="15" t="s">
        <v>30302</v>
      </c>
      <c r="BG1584" s="15" t="s">
        <v>138</v>
      </c>
      <c r="BH1584" s="15" t="s">
        <v>30303</v>
      </c>
      <c r="BI1584" s="15" t="s">
        <v>30304</v>
      </c>
      <c r="BJ1584" s="15" t="s">
        <v>138</v>
      </c>
      <c r="BK1584" s="15" t="s">
        <v>30305</v>
      </c>
      <c r="BL1584" s="15" t="s">
        <v>30306</v>
      </c>
      <c r="BM1584" s="22">
        <v>40864</v>
      </c>
      <c r="BN1584" s="17">
        <v>9.5</v>
      </c>
      <c r="BO1584" s="15" t="s">
        <v>172</v>
      </c>
      <c r="BP1584" s="17">
        <v>17.5</v>
      </c>
      <c r="BQ1584" s="15" t="s">
        <v>172</v>
      </c>
      <c r="BR1584" s="15" t="s">
        <v>173</v>
      </c>
      <c r="BS1584" s="15" t="s">
        <v>623</v>
      </c>
      <c r="BT1584" s="15" t="s">
        <v>138</v>
      </c>
      <c r="BU1584" s="15" t="s">
        <v>174</v>
      </c>
      <c r="BV1584" s="15" t="s">
        <v>138</v>
      </c>
      <c r="BW1584" s="15" t="s">
        <v>138</v>
      </c>
      <c r="BX1584" s="15" t="s">
        <v>138</v>
      </c>
      <c r="BY1584" s="15" t="s">
        <v>175</v>
      </c>
      <c r="BZ1584" s="22" t="s">
        <v>138</v>
      </c>
      <c r="CA1584" s="17">
        <v>29.5</v>
      </c>
      <c r="CB1584" s="15" t="s">
        <v>1178</v>
      </c>
      <c r="CC1584" s="17">
        <v>189.5</v>
      </c>
      <c r="CD1584" s="15" t="s">
        <v>172</v>
      </c>
      <c r="CE1584" s="15" t="s">
        <v>173</v>
      </c>
      <c r="CF1584" s="15" t="s">
        <v>9579</v>
      </c>
      <c r="CG1584" s="15" t="s">
        <v>138</v>
      </c>
      <c r="CH1584" s="15" t="s">
        <v>174</v>
      </c>
      <c r="CI1584" s="15" t="s">
        <v>138</v>
      </c>
      <c r="CJ1584" s="15" t="s">
        <v>138</v>
      </c>
      <c r="CK1584" s="15" t="s">
        <v>138</v>
      </c>
      <c r="CL1584" s="15" t="s">
        <v>3093</v>
      </c>
      <c r="CM1584" s="22">
        <v>43291</v>
      </c>
      <c r="CN1584" s="17">
        <v>8</v>
      </c>
      <c r="CO1584" s="23">
        <v>-0.53</v>
      </c>
      <c r="CP1584" s="24">
        <v>16</v>
      </c>
      <c r="CQ1584" s="23">
        <v>-0.01</v>
      </c>
      <c r="CR1584" s="23">
        <v>-1.69</v>
      </c>
      <c r="CS1584" s="23">
        <v>-1.23</v>
      </c>
      <c r="CT1584" s="24">
        <v>13</v>
      </c>
      <c r="CU1584" s="23">
        <v>0.18</v>
      </c>
      <c r="CV1584" s="24">
        <v>78</v>
      </c>
      <c r="CW1584" s="23">
        <v>-0.09</v>
      </c>
      <c r="CX1584" s="24">
        <v>13</v>
      </c>
      <c r="CY1584" s="23">
        <v>-2.37</v>
      </c>
      <c r="CZ1584" s="24">
        <v>9</v>
      </c>
      <c r="DA1584" s="23">
        <v>7.0000000000000007E-2</v>
      </c>
      <c r="DB1584" s="24">
        <v>67</v>
      </c>
      <c r="DC1584" s="25">
        <v>5.39</v>
      </c>
      <c r="DD1584" s="24">
        <v>84</v>
      </c>
      <c r="DE1584" s="25">
        <v>-7.0000000000000007E-2</v>
      </c>
      <c r="DF1584" s="23">
        <v>-1.35</v>
      </c>
      <c r="DG1584" s="25">
        <v>8.58</v>
      </c>
      <c r="DH1584" s="24">
        <v>88</v>
      </c>
      <c r="DI1584" s="25">
        <v>2.2000000000000002</v>
      </c>
      <c r="DJ1584" s="24">
        <v>64</v>
      </c>
      <c r="DK1584" s="25">
        <v>1.95</v>
      </c>
      <c r="DL1584" s="24">
        <v>64</v>
      </c>
      <c r="DM1584" s="25">
        <v>15.21</v>
      </c>
      <c r="DN1584" s="24">
        <v>92</v>
      </c>
      <c r="DO1584" s="25">
        <v>4.22</v>
      </c>
      <c r="DP1584" s="24">
        <v>77</v>
      </c>
      <c r="DQ1584" s="24">
        <v>677</v>
      </c>
      <c r="DR1584" s="26">
        <v>-24</v>
      </c>
      <c r="DS1584" s="23">
        <v>-3.42</v>
      </c>
      <c r="DT1584" s="24">
        <v>441</v>
      </c>
      <c r="DU1584" s="26">
        <v>-1</v>
      </c>
      <c r="DV1584" s="23">
        <v>-0.23</v>
      </c>
      <c r="DW1584" s="24">
        <v>1510</v>
      </c>
      <c r="DX1584" s="27">
        <v>2</v>
      </c>
      <c r="DY1584" s="23">
        <v>0.13</v>
      </c>
      <c r="DZ1584" s="15" t="s">
        <v>178</v>
      </c>
      <c r="EA1584" s="22">
        <v>43606</v>
      </c>
      <c r="EB1584" s="17">
        <v>135</v>
      </c>
      <c r="EC1584" s="22">
        <v>42879</v>
      </c>
      <c r="ED1584" s="15" t="s">
        <v>173</v>
      </c>
      <c r="EE1584" s="14" t="str">
        <f>HYPERLINK("https://my.pitchbook.com?c=53389-36", "View company online")</f>
        <v>View company online</v>
      </c>
    </row>
    <row r="1585" spans="1:135">
      <c r="A1585" s="28" t="s">
        <v>30307</v>
      </c>
      <c r="B1585" s="28" t="s">
        <v>30308</v>
      </c>
      <c r="C1585" s="28" t="s">
        <v>30309</v>
      </c>
      <c r="D1585" s="28" t="s">
        <v>138</v>
      </c>
      <c r="E1585" s="28" t="s">
        <v>30310</v>
      </c>
      <c r="F1585" s="28" t="s">
        <v>30307</v>
      </c>
      <c r="G1585" s="28" t="s">
        <v>30311</v>
      </c>
      <c r="H1585" s="28" t="s">
        <v>322</v>
      </c>
      <c r="I1585" s="28" t="s">
        <v>323</v>
      </c>
      <c r="J1585" s="28" t="s">
        <v>324</v>
      </c>
      <c r="K1585" s="28" t="s">
        <v>325</v>
      </c>
      <c r="L1585" s="28" t="s">
        <v>16054</v>
      </c>
      <c r="M1585" s="28" t="s">
        <v>30312</v>
      </c>
      <c r="N1585" s="28" t="s">
        <v>147</v>
      </c>
      <c r="O1585" s="29">
        <v>32.770000000000003</v>
      </c>
      <c r="P1585" s="28" t="s">
        <v>148</v>
      </c>
      <c r="Q1585" s="28" t="s">
        <v>149</v>
      </c>
      <c r="R1585" s="28" t="s">
        <v>174</v>
      </c>
      <c r="S1585" s="28" t="s">
        <v>30313</v>
      </c>
      <c r="T1585" s="30">
        <v>70</v>
      </c>
      <c r="U1585" s="28" t="s">
        <v>30314</v>
      </c>
      <c r="V1585" s="28" t="s">
        <v>138</v>
      </c>
      <c r="W1585" s="28" t="s">
        <v>138</v>
      </c>
      <c r="X1585" s="31">
        <v>2010</v>
      </c>
      <c r="Y1585" s="28" t="s">
        <v>138</v>
      </c>
      <c r="Z1585" s="28" t="s">
        <v>138</v>
      </c>
      <c r="AA1585" s="28" t="s">
        <v>138</v>
      </c>
      <c r="AB1585" s="32">
        <v>7.38</v>
      </c>
      <c r="AC1585" s="32">
        <v>4.93</v>
      </c>
      <c r="AD1585" s="32">
        <v>-0.46</v>
      </c>
      <c r="AE1585" s="32" t="s">
        <v>138</v>
      </c>
      <c r="AF1585" s="32">
        <v>0.06</v>
      </c>
      <c r="AG1585" s="28" t="s">
        <v>419</v>
      </c>
      <c r="AH1585" s="32" t="s">
        <v>138</v>
      </c>
      <c r="AI1585" s="32" t="s">
        <v>138</v>
      </c>
      <c r="AJ1585" s="32" t="s">
        <v>138</v>
      </c>
      <c r="AK1585" s="28" t="s">
        <v>30315</v>
      </c>
      <c r="AL1585" s="28" t="s">
        <v>30316</v>
      </c>
      <c r="AM1585" s="28" t="s">
        <v>249</v>
      </c>
      <c r="AN1585" s="28" t="s">
        <v>30317</v>
      </c>
      <c r="AO1585" s="28" t="s">
        <v>30318</v>
      </c>
      <c r="AP1585" s="28" t="s">
        <v>30319</v>
      </c>
      <c r="AQ1585" s="28" t="s">
        <v>30320</v>
      </c>
      <c r="AR1585" s="28" t="s">
        <v>138</v>
      </c>
      <c r="AS1585" s="28" t="s">
        <v>30321</v>
      </c>
      <c r="AT1585" s="28" t="s">
        <v>138</v>
      </c>
      <c r="AU1585" s="28" t="s">
        <v>30322</v>
      </c>
      <c r="AV1585" s="28" t="s">
        <v>1054</v>
      </c>
      <c r="AW1585" s="28" t="s">
        <v>30318</v>
      </c>
      <c r="AX1585" s="28" t="s">
        <v>138</v>
      </c>
      <c r="AY1585" s="28" t="s">
        <v>138</v>
      </c>
      <c r="AZ1585" s="28" t="s">
        <v>530</v>
      </c>
      <c r="BA1585" s="28" t="s">
        <v>531</v>
      </c>
      <c r="BB1585" s="28" t="s">
        <v>30323</v>
      </c>
      <c r="BC1585" s="28" t="s">
        <v>30324</v>
      </c>
      <c r="BD1585" s="33">
        <v>10</v>
      </c>
      <c r="BE1585" s="28" t="s">
        <v>138</v>
      </c>
      <c r="BF1585" s="28" t="s">
        <v>138</v>
      </c>
      <c r="BG1585" s="28" t="s">
        <v>138</v>
      </c>
      <c r="BH1585" s="28" t="s">
        <v>30325</v>
      </c>
      <c r="BI1585" s="28" t="s">
        <v>138</v>
      </c>
      <c r="BJ1585" s="28" t="s">
        <v>138</v>
      </c>
      <c r="BK1585" s="28" t="s">
        <v>30326</v>
      </c>
      <c r="BL1585" s="28" t="s">
        <v>30327</v>
      </c>
      <c r="BM1585" s="34">
        <v>40179</v>
      </c>
      <c r="BN1585" s="29" t="s">
        <v>138</v>
      </c>
      <c r="BO1585" s="28" t="s">
        <v>138</v>
      </c>
      <c r="BP1585" s="29" t="s">
        <v>138</v>
      </c>
      <c r="BQ1585" s="28" t="s">
        <v>138</v>
      </c>
      <c r="BR1585" s="28" t="s">
        <v>316</v>
      </c>
      <c r="BS1585" s="28" t="s">
        <v>138</v>
      </c>
      <c r="BT1585" s="28" t="s">
        <v>138</v>
      </c>
      <c r="BU1585" s="28" t="s">
        <v>177</v>
      </c>
      <c r="BV1585" s="28" t="s">
        <v>138</v>
      </c>
      <c r="BW1585" s="28" t="s">
        <v>138</v>
      </c>
      <c r="BX1585" s="28" t="s">
        <v>138</v>
      </c>
      <c r="BY1585" s="28" t="s">
        <v>175</v>
      </c>
      <c r="BZ1585" s="34">
        <v>43354</v>
      </c>
      <c r="CA1585" s="29">
        <v>24.47</v>
      </c>
      <c r="CB1585" s="28" t="s">
        <v>172</v>
      </c>
      <c r="CC1585" s="29" t="s">
        <v>138</v>
      </c>
      <c r="CD1585" s="28" t="s">
        <v>138</v>
      </c>
      <c r="CE1585" s="28" t="s">
        <v>173</v>
      </c>
      <c r="CF1585" s="28" t="s">
        <v>720</v>
      </c>
      <c r="CG1585" s="28" t="s">
        <v>138</v>
      </c>
      <c r="CH1585" s="28" t="s">
        <v>174</v>
      </c>
      <c r="CI1585" s="28" t="s">
        <v>138</v>
      </c>
      <c r="CJ1585" s="28" t="s">
        <v>138</v>
      </c>
      <c r="CK1585" s="28" t="s">
        <v>138</v>
      </c>
      <c r="CL1585" s="28" t="s">
        <v>175</v>
      </c>
      <c r="CM1585" s="34" t="s">
        <v>138</v>
      </c>
      <c r="CN1585" s="29" t="s">
        <v>138</v>
      </c>
      <c r="CO1585" s="35">
        <v>0.84</v>
      </c>
      <c r="CP1585" s="36">
        <v>97</v>
      </c>
      <c r="CQ1585" s="35">
        <v>0.85</v>
      </c>
      <c r="CR1585" s="35">
        <v>8797.6</v>
      </c>
      <c r="CS1585" s="35">
        <v>1.62</v>
      </c>
      <c r="CT1585" s="36">
        <v>98</v>
      </c>
      <c r="CU1585" s="35">
        <v>0.06</v>
      </c>
      <c r="CV1585" s="36">
        <v>60</v>
      </c>
      <c r="CW1585" s="35" t="s">
        <v>138</v>
      </c>
      <c r="CX1585" s="36" t="s">
        <v>138</v>
      </c>
      <c r="CY1585" s="35">
        <v>1.62</v>
      </c>
      <c r="CZ1585" s="36">
        <v>99</v>
      </c>
      <c r="DA1585" s="35">
        <v>-0.01</v>
      </c>
      <c r="DB1585" s="36">
        <v>21</v>
      </c>
      <c r="DC1585" s="37">
        <v>5.45</v>
      </c>
      <c r="DD1585" s="36">
        <v>84</v>
      </c>
      <c r="DE1585" s="37">
        <v>1.45</v>
      </c>
      <c r="DF1585" s="35">
        <v>36.15</v>
      </c>
      <c r="DG1585" s="37">
        <v>4.62</v>
      </c>
      <c r="DH1585" s="36">
        <v>81</v>
      </c>
      <c r="DI1585" s="37">
        <v>6.28</v>
      </c>
      <c r="DJ1585" s="36">
        <v>80</v>
      </c>
      <c r="DK1585" s="37" t="s">
        <v>138</v>
      </c>
      <c r="DL1585" s="36" t="s">
        <v>138</v>
      </c>
      <c r="DM1585" s="37">
        <v>4.62</v>
      </c>
      <c r="DN1585" s="36">
        <v>80</v>
      </c>
      <c r="DO1585" s="37">
        <v>12.34</v>
      </c>
      <c r="DP1585" s="36">
        <v>89</v>
      </c>
      <c r="DQ1585" s="36" t="s">
        <v>138</v>
      </c>
      <c r="DR1585" s="38" t="s">
        <v>138</v>
      </c>
      <c r="DS1585" s="35" t="s">
        <v>138</v>
      </c>
      <c r="DT1585" s="36">
        <v>99</v>
      </c>
      <c r="DU1585" s="38">
        <v>31</v>
      </c>
      <c r="DV1585" s="35">
        <v>45.59</v>
      </c>
      <c r="DW1585" s="36">
        <v>4418</v>
      </c>
      <c r="DX1585" s="39">
        <v>-2</v>
      </c>
      <c r="DY1585" s="35">
        <v>-0.05</v>
      </c>
      <c r="DZ1585" s="28" t="s">
        <v>178</v>
      </c>
      <c r="EA1585" s="34">
        <v>43602</v>
      </c>
      <c r="EB1585" s="29" t="s">
        <v>138</v>
      </c>
      <c r="EC1585" s="34" t="s">
        <v>138</v>
      </c>
      <c r="ED1585" s="28" t="s">
        <v>138</v>
      </c>
      <c r="EE1585" s="40" t="str">
        <f>HYPERLINK("https://my.pitchbook.com?c=62205-58", "View company online")</f>
        <v>View company online</v>
      </c>
    </row>
    <row r="1586" spans="1:135">
      <c r="A1586" s="15" t="s">
        <v>30328</v>
      </c>
      <c r="B1586" s="15" t="s">
        <v>30329</v>
      </c>
      <c r="C1586" s="15" t="s">
        <v>30330</v>
      </c>
      <c r="D1586" s="15" t="s">
        <v>138</v>
      </c>
      <c r="E1586" s="15" t="s">
        <v>138</v>
      </c>
      <c r="F1586" s="15" t="s">
        <v>30328</v>
      </c>
      <c r="G1586" s="15" t="s">
        <v>30331</v>
      </c>
      <c r="H1586" s="15" t="s">
        <v>183</v>
      </c>
      <c r="I1586" s="15" t="s">
        <v>4681</v>
      </c>
      <c r="J1586" s="15" t="s">
        <v>9676</v>
      </c>
      <c r="K1586" s="15" t="s">
        <v>15904</v>
      </c>
      <c r="L1586" s="15" t="s">
        <v>30332</v>
      </c>
      <c r="M1586" s="15" t="s">
        <v>30333</v>
      </c>
      <c r="N1586" s="15" t="s">
        <v>147</v>
      </c>
      <c r="O1586" s="17">
        <v>32.79</v>
      </c>
      <c r="P1586" s="15" t="s">
        <v>148</v>
      </c>
      <c r="Q1586" s="15" t="s">
        <v>149</v>
      </c>
      <c r="R1586" s="15" t="s">
        <v>244</v>
      </c>
      <c r="S1586" s="15" t="s">
        <v>30334</v>
      </c>
      <c r="T1586" s="18">
        <v>20</v>
      </c>
      <c r="U1586" s="15" t="s">
        <v>30335</v>
      </c>
      <c r="V1586" s="15" t="s">
        <v>138</v>
      </c>
      <c r="W1586" s="15" t="s">
        <v>138</v>
      </c>
      <c r="X1586" s="19">
        <v>2009</v>
      </c>
      <c r="Y1586" s="15" t="s">
        <v>138</v>
      </c>
      <c r="Z1586" s="15" t="s">
        <v>138</v>
      </c>
      <c r="AA1586" s="15" t="s">
        <v>138</v>
      </c>
      <c r="AB1586" s="20" t="s">
        <v>138</v>
      </c>
      <c r="AC1586" s="20" t="s">
        <v>138</v>
      </c>
      <c r="AD1586" s="20" t="s">
        <v>138</v>
      </c>
      <c r="AE1586" s="20" t="s">
        <v>138</v>
      </c>
      <c r="AF1586" s="20" t="s">
        <v>138</v>
      </c>
      <c r="AG1586" s="15" t="s">
        <v>138</v>
      </c>
      <c r="AH1586" s="20" t="s">
        <v>138</v>
      </c>
      <c r="AI1586" s="20" t="s">
        <v>138</v>
      </c>
      <c r="AJ1586" s="20" t="s">
        <v>138</v>
      </c>
      <c r="AK1586" s="15" t="s">
        <v>30336</v>
      </c>
      <c r="AL1586" s="15" t="s">
        <v>30337</v>
      </c>
      <c r="AM1586" s="15" t="s">
        <v>30338</v>
      </c>
      <c r="AN1586" s="15" t="s">
        <v>30339</v>
      </c>
      <c r="AO1586" s="15" t="s">
        <v>138</v>
      </c>
      <c r="AP1586" s="15" t="s">
        <v>8835</v>
      </c>
      <c r="AQ1586" s="15" t="s">
        <v>30340</v>
      </c>
      <c r="AR1586" s="15" t="s">
        <v>138</v>
      </c>
      <c r="AS1586" s="15" t="s">
        <v>8837</v>
      </c>
      <c r="AT1586" s="15" t="s">
        <v>864</v>
      </c>
      <c r="AU1586" s="15" t="s">
        <v>8838</v>
      </c>
      <c r="AV1586" s="15" t="s">
        <v>162</v>
      </c>
      <c r="AW1586" s="15" t="s">
        <v>138</v>
      </c>
      <c r="AX1586" s="15" t="s">
        <v>138</v>
      </c>
      <c r="AY1586" s="15" t="s">
        <v>30341</v>
      </c>
      <c r="AZ1586" s="15" t="s">
        <v>164</v>
      </c>
      <c r="BA1586" s="15" t="s">
        <v>165</v>
      </c>
      <c r="BB1586" s="15" t="s">
        <v>30342</v>
      </c>
      <c r="BC1586" s="15" t="s">
        <v>30343</v>
      </c>
      <c r="BD1586" s="21">
        <v>12</v>
      </c>
      <c r="BE1586" s="15" t="s">
        <v>138</v>
      </c>
      <c r="BF1586" s="15" t="s">
        <v>138</v>
      </c>
      <c r="BG1586" s="15" t="s">
        <v>138</v>
      </c>
      <c r="BH1586" s="15" t="s">
        <v>30344</v>
      </c>
      <c r="BI1586" s="15" t="s">
        <v>138</v>
      </c>
      <c r="BJ1586" s="15" t="s">
        <v>138</v>
      </c>
      <c r="BK1586" s="15" t="s">
        <v>138</v>
      </c>
      <c r="BL1586" s="15" t="s">
        <v>30345</v>
      </c>
      <c r="BM1586" s="22" t="s">
        <v>138</v>
      </c>
      <c r="BN1586" s="17" t="s">
        <v>138</v>
      </c>
      <c r="BO1586" s="15" t="s">
        <v>138</v>
      </c>
      <c r="BP1586" s="17" t="s">
        <v>138</v>
      </c>
      <c r="BQ1586" s="15" t="s">
        <v>138</v>
      </c>
      <c r="BR1586" s="15" t="s">
        <v>316</v>
      </c>
      <c r="BS1586" s="15" t="s">
        <v>138</v>
      </c>
      <c r="BT1586" s="15" t="s">
        <v>138</v>
      </c>
      <c r="BU1586" s="15" t="s">
        <v>174</v>
      </c>
      <c r="BV1586" s="15" t="s">
        <v>138</v>
      </c>
      <c r="BW1586" s="15" t="s">
        <v>138</v>
      </c>
      <c r="BX1586" s="15" t="s">
        <v>138</v>
      </c>
      <c r="BY1586" s="15" t="s">
        <v>175</v>
      </c>
      <c r="BZ1586" s="22">
        <v>42604</v>
      </c>
      <c r="CA1586" s="17">
        <v>12.7</v>
      </c>
      <c r="CB1586" s="15" t="s">
        <v>172</v>
      </c>
      <c r="CC1586" s="17" t="s">
        <v>138</v>
      </c>
      <c r="CD1586" s="15" t="s">
        <v>138</v>
      </c>
      <c r="CE1586" s="15" t="s">
        <v>173</v>
      </c>
      <c r="CF1586" s="15" t="s">
        <v>317</v>
      </c>
      <c r="CG1586" s="15" t="s">
        <v>138</v>
      </c>
      <c r="CH1586" s="15" t="s">
        <v>174</v>
      </c>
      <c r="CI1586" s="15" t="s">
        <v>138</v>
      </c>
      <c r="CJ1586" s="15" t="s">
        <v>138</v>
      </c>
      <c r="CK1586" s="15" t="s">
        <v>138</v>
      </c>
      <c r="CL1586" s="15" t="s">
        <v>175</v>
      </c>
      <c r="CM1586" s="22">
        <v>41064</v>
      </c>
      <c r="CN1586" s="17">
        <v>2.5</v>
      </c>
      <c r="CO1586" s="23">
        <v>0</v>
      </c>
      <c r="CP1586" s="24">
        <v>26</v>
      </c>
      <c r="CQ1586" s="23">
        <v>0</v>
      </c>
      <c r="CR1586" s="23">
        <v>0</v>
      </c>
      <c r="CS1586" s="23">
        <v>0</v>
      </c>
      <c r="CT1586" s="24">
        <v>23</v>
      </c>
      <c r="CU1586" s="23" t="s">
        <v>138</v>
      </c>
      <c r="CV1586" s="24" t="s">
        <v>138</v>
      </c>
      <c r="CW1586" s="23">
        <v>0</v>
      </c>
      <c r="CX1586" s="24">
        <v>13</v>
      </c>
      <c r="CY1586" s="23" t="s">
        <v>138</v>
      </c>
      <c r="CZ1586" s="24" t="s">
        <v>138</v>
      </c>
      <c r="DA1586" s="23" t="s">
        <v>138</v>
      </c>
      <c r="DB1586" s="24" t="s">
        <v>138</v>
      </c>
      <c r="DC1586" s="25">
        <v>1.33</v>
      </c>
      <c r="DD1586" s="24">
        <v>58</v>
      </c>
      <c r="DE1586" s="25">
        <v>-0.17</v>
      </c>
      <c r="DF1586" s="23">
        <v>-11.37</v>
      </c>
      <c r="DG1586" s="25">
        <v>1.33</v>
      </c>
      <c r="DH1586" s="24">
        <v>58</v>
      </c>
      <c r="DI1586" s="25" t="s">
        <v>138</v>
      </c>
      <c r="DJ1586" s="24" t="s">
        <v>138</v>
      </c>
      <c r="DK1586" s="25">
        <v>1.33</v>
      </c>
      <c r="DL1586" s="24">
        <v>56</v>
      </c>
      <c r="DM1586" s="25" t="s">
        <v>138</v>
      </c>
      <c r="DN1586" s="24" t="s">
        <v>138</v>
      </c>
      <c r="DO1586" s="25" t="s">
        <v>138</v>
      </c>
      <c r="DP1586" s="24" t="s">
        <v>138</v>
      </c>
      <c r="DQ1586" s="24">
        <v>431</v>
      </c>
      <c r="DR1586" s="26">
        <v>75</v>
      </c>
      <c r="DS1586" s="23">
        <v>21.07</v>
      </c>
      <c r="DT1586" s="24" t="s">
        <v>138</v>
      </c>
      <c r="DU1586" s="26" t="s">
        <v>138</v>
      </c>
      <c r="DV1586" s="23" t="s">
        <v>138</v>
      </c>
      <c r="DW1586" s="24">
        <v>971</v>
      </c>
      <c r="DX1586" s="27">
        <v>-2</v>
      </c>
      <c r="DY1586" s="23">
        <v>-0.21</v>
      </c>
      <c r="DZ1586" s="15" t="s">
        <v>178</v>
      </c>
      <c r="EA1586" s="22">
        <v>43542</v>
      </c>
      <c r="EB1586" s="17">
        <v>27.71</v>
      </c>
      <c r="EC1586" s="22">
        <v>41955</v>
      </c>
      <c r="ED1586" s="15" t="s">
        <v>173</v>
      </c>
      <c r="EE1586" s="14" t="str">
        <f>HYPERLINK("https://my.pitchbook.com?c=52237-81", "View company online")</f>
        <v>View company online</v>
      </c>
    </row>
    <row r="1587" spans="1:135">
      <c r="A1587" s="28" t="s">
        <v>30346</v>
      </c>
      <c r="B1587" s="28" t="s">
        <v>30347</v>
      </c>
      <c r="C1587" s="28" t="s">
        <v>30348</v>
      </c>
      <c r="D1587" s="28" t="s">
        <v>138</v>
      </c>
      <c r="E1587" s="28" t="s">
        <v>30349</v>
      </c>
      <c r="F1587" s="28" t="s">
        <v>30346</v>
      </c>
      <c r="G1587" s="28" t="s">
        <v>30350</v>
      </c>
      <c r="H1587" s="28" t="s">
        <v>322</v>
      </c>
      <c r="I1587" s="28" t="s">
        <v>323</v>
      </c>
      <c r="J1587" s="28" t="s">
        <v>461</v>
      </c>
      <c r="K1587" s="28" t="s">
        <v>2209</v>
      </c>
      <c r="L1587" s="28" t="s">
        <v>215</v>
      </c>
      <c r="M1587" s="28" t="s">
        <v>30351</v>
      </c>
      <c r="N1587" s="28" t="s">
        <v>147</v>
      </c>
      <c r="O1587" s="29">
        <v>49</v>
      </c>
      <c r="P1587" s="28" t="s">
        <v>148</v>
      </c>
      <c r="Q1587" s="28" t="s">
        <v>149</v>
      </c>
      <c r="R1587" s="28" t="s">
        <v>328</v>
      </c>
      <c r="S1587" s="28" t="s">
        <v>30352</v>
      </c>
      <c r="T1587" s="30">
        <v>138</v>
      </c>
      <c r="U1587" s="28" t="s">
        <v>30353</v>
      </c>
      <c r="V1587" s="28" t="s">
        <v>138</v>
      </c>
      <c r="W1587" s="28" t="s">
        <v>138</v>
      </c>
      <c r="X1587" s="31">
        <v>2000</v>
      </c>
      <c r="Y1587" s="28" t="s">
        <v>138</v>
      </c>
      <c r="Z1587" s="28" t="s">
        <v>1163</v>
      </c>
      <c r="AA1587" s="28" t="s">
        <v>1163</v>
      </c>
      <c r="AB1587" s="32">
        <v>36.11</v>
      </c>
      <c r="AC1587" s="32">
        <v>32.520000000000003</v>
      </c>
      <c r="AD1587" s="32">
        <v>-6.88</v>
      </c>
      <c r="AE1587" s="32" t="s">
        <v>138</v>
      </c>
      <c r="AF1587" s="32">
        <v>-4.05</v>
      </c>
      <c r="AG1587" s="28" t="s">
        <v>419</v>
      </c>
      <c r="AH1587" s="32" t="s">
        <v>138</v>
      </c>
      <c r="AI1587" s="32" t="s">
        <v>138</v>
      </c>
      <c r="AJ1587" s="32" t="s">
        <v>138</v>
      </c>
      <c r="AK1587" s="28" t="s">
        <v>30354</v>
      </c>
      <c r="AL1587" s="28" t="s">
        <v>30355</v>
      </c>
      <c r="AM1587" s="28" t="s">
        <v>30356</v>
      </c>
      <c r="AN1587" s="28" t="s">
        <v>30357</v>
      </c>
      <c r="AO1587" s="28" t="s">
        <v>30358</v>
      </c>
      <c r="AP1587" s="28" t="s">
        <v>7016</v>
      </c>
      <c r="AQ1587" s="28" t="s">
        <v>30359</v>
      </c>
      <c r="AR1587" s="28" t="s">
        <v>30360</v>
      </c>
      <c r="AS1587" s="28" t="s">
        <v>7019</v>
      </c>
      <c r="AT1587" s="28" t="s">
        <v>138</v>
      </c>
      <c r="AU1587" s="28" t="s">
        <v>30361</v>
      </c>
      <c r="AV1587" s="28" t="s">
        <v>7021</v>
      </c>
      <c r="AW1587" s="28" t="s">
        <v>30362</v>
      </c>
      <c r="AX1587" s="28" t="s">
        <v>30363</v>
      </c>
      <c r="AY1587" s="28" t="s">
        <v>30364</v>
      </c>
      <c r="AZ1587" s="28" t="s">
        <v>530</v>
      </c>
      <c r="BA1587" s="28" t="s">
        <v>531</v>
      </c>
      <c r="BB1587" s="28" t="s">
        <v>30365</v>
      </c>
      <c r="BC1587" s="28" t="s">
        <v>30366</v>
      </c>
      <c r="BD1587" s="33">
        <v>5</v>
      </c>
      <c r="BE1587" s="28" t="s">
        <v>138</v>
      </c>
      <c r="BF1587" s="28" t="s">
        <v>30367</v>
      </c>
      <c r="BG1587" s="28" t="s">
        <v>138</v>
      </c>
      <c r="BH1587" s="28" t="s">
        <v>30368</v>
      </c>
      <c r="BI1587" s="28" t="s">
        <v>30369</v>
      </c>
      <c r="BJ1587" s="28" t="s">
        <v>138</v>
      </c>
      <c r="BK1587" s="28" t="s">
        <v>138</v>
      </c>
      <c r="BL1587" s="28" t="s">
        <v>30370</v>
      </c>
      <c r="BM1587" s="34">
        <v>36617</v>
      </c>
      <c r="BN1587" s="29">
        <v>6</v>
      </c>
      <c r="BO1587" s="28" t="s">
        <v>172</v>
      </c>
      <c r="BP1587" s="29" t="s">
        <v>138</v>
      </c>
      <c r="BQ1587" s="28" t="s">
        <v>138</v>
      </c>
      <c r="BR1587" s="28" t="s">
        <v>234</v>
      </c>
      <c r="BS1587" s="28" t="s">
        <v>234</v>
      </c>
      <c r="BT1587" s="28" t="s">
        <v>138</v>
      </c>
      <c r="BU1587" s="28" t="s">
        <v>174</v>
      </c>
      <c r="BV1587" s="28" t="s">
        <v>138</v>
      </c>
      <c r="BW1587" s="28" t="s">
        <v>138</v>
      </c>
      <c r="BX1587" s="28" t="s">
        <v>138</v>
      </c>
      <c r="BY1587" s="28" t="s">
        <v>175</v>
      </c>
      <c r="BZ1587" s="34">
        <v>40490</v>
      </c>
      <c r="CA1587" s="29" t="s">
        <v>138</v>
      </c>
      <c r="CB1587" s="28" t="s">
        <v>138</v>
      </c>
      <c r="CC1587" s="29" t="s">
        <v>138</v>
      </c>
      <c r="CD1587" s="28" t="s">
        <v>138</v>
      </c>
      <c r="CE1587" s="28" t="s">
        <v>379</v>
      </c>
      <c r="CF1587" s="28" t="s">
        <v>138</v>
      </c>
      <c r="CG1587" s="28" t="s">
        <v>138</v>
      </c>
      <c r="CH1587" s="28" t="s">
        <v>351</v>
      </c>
      <c r="CI1587" s="28" t="s">
        <v>138</v>
      </c>
      <c r="CJ1587" s="28" t="s">
        <v>138</v>
      </c>
      <c r="CK1587" s="28" t="s">
        <v>138</v>
      </c>
      <c r="CL1587" s="28" t="s">
        <v>175</v>
      </c>
      <c r="CM1587" s="34" t="s">
        <v>138</v>
      </c>
      <c r="CN1587" s="29" t="s">
        <v>138</v>
      </c>
      <c r="CO1587" s="35">
        <v>0.69</v>
      </c>
      <c r="CP1587" s="36">
        <v>96</v>
      </c>
      <c r="CQ1587" s="35">
        <v>-0.01</v>
      </c>
      <c r="CR1587" s="35">
        <v>-1.3</v>
      </c>
      <c r="CS1587" s="35">
        <v>1.07</v>
      </c>
      <c r="CT1587" s="36">
        <v>97</v>
      </c>
      <c r="CU1587" s="35">
        <v>0.3</v>
      </c>
      <c r="CV1587" s="36">
        <v>87</v>
      </c>
      <c r="CW1587" s="35">
        <v>3.04</v>
      </c>
      <c r="CX1587" s="36">
        <v>91</v>
      </c>
      <c r="CY1587" s="35">
        <v>-0.89</v>
      </c>
      <c r="CZ1587" s="36">
        <v>20</v>
      </c>
      <c r="DA1587" s="35">
        <v>0.3</v>
      </c>
      <c r="DB1587" s="36">
        <v>88</v>
      </c>
      <c r="DC1587" s="37">
        <v>7.34</v>
      </c>
      <c r="DD1587" s="36">
        <v>87</v>
      </c>
      <c r="DE1587" s="37">
        <v>-0.28999999999999998</v>
      </c>
      <c r="DF1587" s="35">
        <v>-3.79</v>
      </c>
      <c r="DG1587" s="37">
        <v>10.130000000000001</v>
      </c>
      <c r="DH1587" s="36">
        <v>90</v>
      </c>
      <c r="DI1587" s="37">
        <v>4.55</v>
      </c>
      <c r="DJ1587" s="36">
        <v>76</v>
      </c>
      <c r="DK1587" s="37">
        <v>7.99</v>
      </c>
      <c r="DL1587" s="36">
        <v>85</v>
      </c>
      <c r="DM1587" s="37">
        <v>12.28</v>
      </c>
      <c r="DN1587" s="36">
        <v>91</v>
      </c>
      <c r="DO1587" s="37">
        <v>4.55</v>
      </c>
      <c r="DP1587" s="36">
        <v>78</v>
      </c>
      <c r="DQ1587" s="36">
        <v>2678</v>
      </c>
      <c r="DR1587" s="38">
        <v>187</v>
      </c>
      <c r="DS1587" s="35">
        <v>7.51</v>
      </c>
      <c r="DT1587" s="36">
        <v>358</v>
      </c>
      <c r="DU1587" s="38">
        <v>-2</v>
      </c>
      <c r="DV1587" s="35">
        <v>-0.56000000000000005</v>
      </c>
      <c r="DW1587" s="36">
        <v>1630</v>
      </c>
      <c r="DX1587" s="39">
        <v>0</v>
      </c>
      <c r="DY1587" s="35">
        <v>0</v>
      </c>
      <c r="DZ1587" s="28" t="s">
        <v>178</v>
      </c>
      <c r="EA1587" s="34">
        <v>43351</v>
      </c>
      <c r="EB1587" s="29" t="s">
        <v>138</v>
      </c>
      <c r="EC1587" s="34" t="s">
        <v>138</v>
      </c>
      <c r="ED1587" s="28" t="s">
        <v>138</v>
      </c>
      <c r="EE1587" s="40" t="str">
        <f>HYPERLINK("https://my.pitchbook.com?c=52362-10", "View company online")</f>
        <v>View company online</v>
      </c>
    </row>
    <row r="1588" spans="1:135">
      <c r="A1588" s="15" t="s">
        <v>30371</v>
      </c>
      <c r="B1588" s="15" t="s">
        <v>30372</v>
      </c>
      <c r="C1588" s="15" t="s">
        <v>138</v>
      </c>
      <c r="D1588" s="15" t="s">
        <v>138</v>
      </c>
      <c r="E1588" s="15" t="s">
        <v>30373</v>
      </c>
      <c r="F1588" s="15" t="s">
        <v>30371</v>
      </c>
      <c r="G1588" s="15" t="s">
        <v>30374</v>
      </c>
      <c r="H1588" s="15" t="s">
        <v>322</v>
      </c>
      <c r="I1588" s="15" t="s">
        <v>1503</v>
      </c>
      <c r="J1588" s="15" t="s">
        <v>2377</v>
      </c>
      <c r="K1588" s="15" t="s">
        <v>30375</v>
      </c>
      <c r="L1588" s="15" t="s">
        <v>415</v>
      </c>
      <c r="M1588" s="15" t="s">
        <v>30376</v>
      </c>
      <c r="N1588" s="15" t="s">
        <v>147</v>
      </c>
      <c r="O1588" s="17">
        <v>11.33</v>
      </c>
      <c r="P1588" s="15" t="s">
        <v>934</v>
      </c>
      <c r="Q1588" s="15" t="s">
        <v>149</v>
      </c>
      <c r="R1588" s="15" t="s">
        <v>174</v>
      </c>
      <c r="S1588" s="15" t="s">
        <v>30377</v>
      </c>
      <c r="T1588" s="18">
        <v>11</v>
      </c>
      <c r="U1588" s="15" t="s">
        <v>3406</v>
      </c>
      <c r="V1588" s="15" t="s">
        <v>138</v>
      </c>
      <c r="W1588" s="15" t="s">
        <v>138</v>
      </c>
      <c r="X1588" s="19">
        <v>1988</v>
      </c>
      <c r="Y1588" s="15" t="s">
        <v>138</v>
      </c>
      <c r="Z1588" s="15" t="s">
        <v>138</v>
      </c>
      <c r="AA1588" s="15" t="s">
        <v>138</v>
      </c>
      <c r="AB1588" s="20">
        <v>2.02</v>
      </c>
      <c r="AC1588" s="20" t="s">
        <v>138</v>
      </c>
      <c r="AD1588" s="20" t="s">
        <v>138</v>
      </c>
      <c r="AE1588" s="20" t="s">
        <v>138</v>
      </c>
      <c r="AF1588" s="20" t="s">
        <v>138</v>
      </c>
      <c r="AG1588" s="15" t="s">
        <v>419</v>
      </c>
      <c r="AH1588" s="20" t="s">
        <v>138</v>
      </c>
      <c r="AI1588" s="20" t="s">
        <v>138</v>
      </c>
      <c r="AJ1588" s="20" t="s">
        <v>138</v>
      </c>
      <c r="AK1588" s="15" t="s">
        <v>30378</v>
      </c>
      <c r="AL1588" s="15" t="s">
        <v>30379</v>
      </c>
      <c r="AM1588" s="15" t="s">
        <v>444</v>
      </c>
      <c r="AN1588" s="15" t="s">
        <v>30380</v>
      </c>
      <c r="AO1588" s="15" t="s">
        <v>30381</v>
      </c>
      <c r="AP1588" s="15" t="s">
        <v>7016</v>
      </c>
      <c r="AQ1588" s="15" t="s">
        <v>30382</v>
      </c>
      <c r="AR1588" s="15" t="s">
        <v>30383</v>
      </c>
      <c r="AS1588" s="15" t="s">
        <v>7019</v>
      </c>
      <c r="AT1588" s="15" t="s">
        <v>138</v>
      </c>
      <c r="AU1588" s="15" t="s">
        <v>138</v>
      </c>
      <c r="AV1588" s="15" t="s">
        <v>7021</v>
      </c>
      <c r="AW1588" s="15" t="s">
        <v>30381</v>
      </c>
      <c r="AX1588" s="15" t="s">
        <v>30384</v>
      </c>
      <c r="AY1588" s="15" t="s">
        <v>30385</v>
      </c>
      <c r="AZ1588" s="15" t="s">
        <v>530</v>
      </c>
      <c r="BA1588" s="15" t="s">
        <v>531</v>
      </c>
      <c r="BB1588" s="15" t="s">
        <v>30386</v>
      </c>
      <c r="BC1588" s="15" t="s">
        <v>30387</v>
      </c>
      <c r="BD1588" s="21">
        <v>3</v>
      </c>
      <c r="BE1588" s="15" t="s">
        <v>138</v>
      </c>
      <c r="BF1588" s="15" t="s">
        <v>138</v>
      </c>
      <c r="BG1588" s="15" t="s">
        <v>138</v>
      </c>
      <c r="BH1588" s="15" t="s">
        <v>30388</v>
      </c>
      <c r="BI1588" s="15" t="s">
        <v>138</v>
      </c>
      <c r="BJ1588" s="15" t="s">
        <v>138</v>
      </c>
      <c r="BK1588" s="15" t="s">
        <v>138</v>
      </c>
      <c r="BL1588" s="15" t="s">
        <v>138</v>
      </c>
      <c r="BM1588" s="22">
        <v>39170</v>
      </c>
      <c r="BN1588" s="17">
        <v>3.5</v>
      </c>
      <c r="BO1588" s="15" t="s">
        <v>172</v>
      </c>
      <c r="BP1588" s="17" t="s">
        <v>138</v>
      </c>
      <c r="BQ1588" s="15" t="s">
        <v>138</v>
      </c>
      <c r="BR1588" s="15" t="s">
        <v>173</v>
      </c>
      <c r="BS1588" s="15" t="s">
        <v>138</v>
      </c>
      <c r="BT1588" s="15" t="s">
        <v>138</v>
      </c>
      <c r="BU1588" s="15" t="s">
        <v>174</v>
      </c>
      <c r="BV1588" s="15" t="s">
        <v>138</v>
      </c>
      <c r="BW1588" s="15" t="s">
        <v>138</v>
      </c>
      <c r="BX1588" s="15" t="s">
        <v>138</v>
      </c>
      <c r="BY1588" s="15" t="s">
        <v>175</v>
      </c>
      <c r="BZ1588" s="22">
        <v>42313</v>
      </c>
      <c r="CA1588" s="17" t="s">
        <v>138</v>
      </c>
      <c r="CB1588" s="15" t="s">
        <v>138</v>
      </c>
      <c r="CC1588" s="17" t="s">
        <v>138</v>
      </c>
      <c r="CD1588" s="15" t="s">
        <v>138</v>
      </c>
      <c r="CE1588" s="15" t="s">
        <v>173</v>
      </c>
      <c r="CF1588" s="15" t="s">
        <v>206</v>
      </c>
      <c r="CG1588" s="15" t="s">
        <v>138</v>
      </c>
      <c r="CH1588" s="15" t="s">
        <v>174</v>
      </c>
      <c r="CI1588" s="15" t="s">
        <v>138</v>
      </c>
      <c r="CJ1588" s="15" t="s">
        <v>138</v>
      </c>
      <c r="CK1588" s="15" t="s">
        <v>138</v>
      </c>
      <c r="CL1588" s="15" t="s">
        <v>175</v>
      </c>
      <c r="CM1588" s="22" t="s">
        <v>138</v>
      </c>
      <c r="CN1588" s="17" t="s">
        <v>138</v>
      </c>
      <c r="CO1588" s="23">
        <v>-0.43</v>
      </c>
      <c r="CP1588" s="24">
        <v>17</v>
      </c>
      <c r="CQ1588" s="23">
        <v>0.01</v>
      </c>
      <c r="CR1588" s="23">
        <v>2.41</v>
      </c>
      <c r="CS1588" s="23">
        <v>-1.3</v>
      </c>
      <c r="CT1588" s="24">
        <v>13</v>
      </c>
      <c r="CU1588" s="23">
        <v>0</v>
      </c>
      <c r="CV1588" s="24">
        <v>22</v>
      </c>
      <c r="CW1588" s="23">
        <v>0.86</v>
      </c>
      <c r="CX1588" s="24">
        <v>84</v>
      </c>
      <c r="CY1588" s="23">
        <v>-3.47</v>
      </c>
      <c r="CZ1588" s="24">
        <v>6</v>
      </c>
      <c r="DA1588" s="23">
        <v>0</v>
      </c>
      <c r="DB1588" s="24">
        <v>22</v>
      </c>
      <c r="DC1588" s="25">
        <v>7.71</v>
      </c>
      <c r="DD1588" s="24">
        <v>88</v>
      </c>
      <c r="DE1588" s="25">
        <v>-0.05</v>
      </c>
      <c r="DF1588" s="23">
        <v>-0.66</v>
      </c>
      <c r="DG1588" s="25">
        <v>22.79</v>
      </c>
      <c r="DH1588" s="24">
        <v>95</v>
      </c>
      <c r="DI1588" s="25">
        <v>0.27</v>
      </c>
      <c r="DJ1588" s="24">
        <v>26</v>
      </c>
      <c r="DK1588" s="25">
        <v>3.82</v>
      </c>
      <c r="DL1588" s="24">
        <v>75</v>
      </c>
      <c r="DM1588" s="25">
        <v>41.76</v>
      </c>
      <c r="DN1588" s="24">
        <v>97</v>
      </c>
      <c r="DO1588" s="25">
        <v>0.27</v>
      </c>
      <c r="DP1588" s="24">
        <v>28</v>
      </c>
      <c r="DQ1588" s="24">
        <v>1283</v>
      </c>
      <c r="DR1588" s="26">
        <v>84</v>
      </c>
      <c r="DS1588" s="23">
        <v>7.01</v>
      </c>
      <c r="DT1588" s="24">
        <v>1208</v>
      </c>
      <c r="DU1588" s="26">
        <v>1</v>
      </c>
      <c r="DV1588" s="23">
        <v>0.08</v>
      </c>
      <c r="DW1588" s="24">
        <v>96</v>
      </c>
      <c r="DX1588" s="27">
        <v>0</v>
      </c>
      <c r="DY1588" s="23">
        <v>0</v>
      </c>
      <c r="DZ1588" s="15" t="s">
        <v>178</v>
      </c>
      <c r="EA1588" s="22">
        <v>43445</v>
      </c>
      <c r="EB1588" s="17" t="s">
        <v>138</v>
      </c>
      <c r="EC1588" s="22" t="s">
        <v>138</v>
      </c>
      <c r="ED1588" s="15" t="s">
        <v>138</v>
      </c>
      <c r="EE1588" s="14" t="str">
        <f>HYPERLINK("https://my.pitchbook.com?c=86504-05", "View company online")</f>
        <v>View company online</v>
      </c>
    </row>
    <row r="1589" spans="1:135">
      <c r="A1589" s="28" t="s">
        <v>30389</v>
      </c>
      <c r="B1589" s="28" t="s">
        <v>30390</v>
      </c>
      <c r="C1589" s="28" t="s">
        <v>30391</v>
      </c>
      <c r="D1589" s="28" t="s">
        <v>138</v>
      </c>
      <c r="E1589" s="28" t="s">
        <v>30392</v>
      </c>
      <c r="F1589" s="28" t="s">
        <v>30389</v>
      </c>
      <c r="G1589" s="28" t="s">
        <v>30393</v>
      </c>
      <c r="H1589" s="28" t="s">
        <v>322</v>
      </c>
      <c r="I1589" s="28" t="s">
        <v>323</v>
      </c>
      <c r="J1589" s="28" t="s">
        <v>324</v>
      </c>
      <c r="K1589" s="28" t="s">
        <v>1543</v>
      </c>
      <c r="L1589" s="28" t="s">
        <v>22765</v>
      </c>
      <c r="M1589" s="28" t="s">
        <v>30394</v>
      </c>
      <c r="N1589" s="28" t="s">
        <v>147</v>
      </c>
      <c r="O1589" s="29">
        <v>62.7</v>
      </c>
      <c r="P1589" s="28" t="s">
        <v>148</v>
      </c>
      <c r="Q1589" s="28" t="s">
        <v>149</v>
      </c>
      <c r="R1589" s="28" t="s">
        <v>244</v>
      </c>
      <c r="S1589" s="28" t="s">
        <v>30395</v>
      </c>
      <c r="T1589" s="30">
        <v>136</v>
      </c>
      <c r="U1589" s="28" t="s">
        <v>30396</v>
      </c>
      <c r="V1589" s="28" t="s">
        <v>138</v>
      </c>
      <c r="W1589" s="28" t="s">
        <v>138</v>
      </c>
      <c r="X1589" s="31">
        <v>1993</v>
      </c>
      <c r="Y1589" s="28" t="s">
        <v>138</v>
      </c>
      <c r="Z1589" s="28" t="s">
        <v>138</v>
      </c>
      <c r="AA1589" s="28" t="s">
        <v>138</v>
      </c>
      <c r="AB1589" s="32" t="s">
        <v>138</v>
      </c>
      <c r="AC1589" s="32" t="s">
        <v>138</v>
      </c>
      <c r="AD1589" s="32" t="s">
        <v>138</v>
      </c>
      <c r="AE1589" s="32" t="s">
        <v>138</v>
      </c>
      <c r="AF1589" s="32" t="s">
        <v>138</v>
      </c>
      <c r="AG1589" s="28" t="s">
        <v>138</v>
      </c>
      <c r="AH1589" s="32" t="s">
        <v>138</v>
      </c>
      <c r="AI1589" s="32" t="s">
        <v>138</v>
      </c>
      <c r="AJ1589" s="32" t="s">
        <v>138</v>
      </c>
      <c r="AK1589" s="28" t="s">
        <v>30397</v>
      </c>
      <c r="AL1589" s="28" t="s">
        <v>30398</v>
      </c>
      <c r="AM1589" s="28" t="s">
        <v>249</v>
      </c>
      <c r="AN1589" s="28" t="s">
        <v>30399</v>
      </c>
      <c r="AO1589" s="28" t="s">
        <v>30400</v>
      </c>
      <c r="AP1589" s="28" t="s">
        <v>14300</v>
      </c>
      <c r="AQ1589" s="28" t="s">
        <v>30401</v>
      </c>
      <c r="AR1589" s="28" t="s">
        <v>30402</v>
      </c>
      <c r="AS1589" s="28" t="s">
        <v>14302</v>
      </c>
      <c r="AT1589" s="28" t="s">
        <v>1146</v>
      </c>
      <c r="AU1589" s="28" t="s">
        <v>14303</v>
      </c>
      <c r="AV1589" s="28" t="s">
        <v>162</v>
      </c>
      <c r="AW1589" s="28" t="s">
        <v>30403</v>
      </c>
      <c r="AX1589" s="28" t="s">
        <v>30404</v>
      </c>
      <c r="AY1589" s="28" t="s">
        <v>138</v>
      </c>
      <c r="AZ1589" s="28" t="s">
        <v>164</v>
      </c>
      <c r="BA1589" s="28" t="s">
        <v>165</v>
      </c>
      <c r="BB1589" s="28" t="s">
        <v>30405</v>
      </c>
      <c r="BC1589" s="28" t="s">
        <v>30406</v>
      </c>
      <c r="BD1589" s="33">
        <v>11</v>
      </c>
      <c r="BE1589" s="28" t="s">
        <v>138</v>
      </c>
      <c r="BF1589" s="28" t="s">
        <v>30407</v>
      </c>
      <c r="BG1589" s="28" t="s">
        <v>138</v>
      </c>
      <c r="BH1589" s="28" t="s">
        <v>30408</v>
      </c>
      <c r="BI1589" s="28" t="s">
        <v>30409</v>
      </c>
      <c r="BJ1589" s="28" t="s">
        <v>138</v>
      </c>
      <c r="BK1589" s="28" t="s">
        <v>4884</v>
      </c>
      <c r="BL1589" s="28" t="s">
        <v>30410</v>
      </c>
      <c r="BM1589" s="34">
        <v>34876</v>
      </c>
      <c r="BN1589" s="29">
        <v>2.2200000000000002</v>
      </c>
      <c r="BO1589" s="28" t="s">
        <v>1178</v>
      </c>
      <c r="BP1589" s="29">
        <v>4.57</v>
      </c>
      <c r="BQ1589" s="28" t="s">
        <v>172</v>
      </c>
      <c r="BR1589" s="28" t="s">
        <v>205</v>
      </c>
      <c r="BS1589" s="28" t="s">
        <v>206</v>
      </c>
      <c r="BT1589" s="28" t="s">
        <v>138</v>
      </c>
      <c r="BU1589" s="28" t="s">
        <v>174</v>
      </c>
      <c r="BV1589" s="28" t="s">
        <v>138</v>
      </c>
      <c r="BW1589" s="28" t="s">
        <v>138</v>
      </c>
      <c r="BX1589" s="28" t="s">
        <v>138</v>
      </c>
      <c r="BY1589" s="28" t="s">
        <v>175</v>
      </c>
      <c r="BZ1589" s="34">
        <v>43363</v>
      </c>
      <c r="CA1589" s="29">
        <v>10</v>
      </c>
      <c r="CB1589" s="28" t="s">
        <v>172</v>
      </c>
      <c r="CC1589" s="29">
        <v>105</v>
      </c>
      <c r="CD1589" s="28" t="s">
        <v>172</v>
      </c>
      <c r="CE1589" s="28" t="s">
        <v>173</v>
      </c>
      <c r="CF1589" s="28" t="s">
        <v>720</v>
      </c>
      <c r="CG1589" s="28" t="s">
        <v>138</v>
      </c>
      <c r="CH1589" s="28" t="s">
        <v>174</v>
      </c>
      <c r="CI1589" s="28" t="s">
        <v>138</v>
      </c>
      <c r="CJ1589" s="28" t="s">
        <v>138</v>
      </c>
      <c r="CK1589" s="28" t="s">
        <v>138</v>
      </c>
      <c r="CL1589" s="28" t="s">
        <v>175</v>
      </c>
      <c r="CM1589" s="34">
        <v>42465</v>
      </c>
      <c r="CN1589" s="29" t="s">
        <v>138</v>
      </c>
      <c r="CO1589" s="35">
        <v>-1.25</v>
      </c>
      <c r="CP1589" s="36">
        <v>9</v>
      </c>
      <c r="CQ1589" s="35">
        <v>-0.11</v>
      </c>
      <c r="CR1589" s="35">
        <v>-9.56</v>
      </c>
      <c r="CS1589" s="35">
        <v>-2.92</v>
      </c>
      <c r="CT1589" s="36">
        <v>5</v>
      </c>
      <c r="CU1589" s="35">
        <v>0.43</v>
      </c>
      <c r="CV1589" s="36">
        <v>92</v>
      </c>
      <c r="CW1589" s="35">
        <v>-1.31</v>
      </c>
      <c r="CX1589" s="36">
        <v>9</v>
      </c>
      <c r="CY1589" s="35">
        <v>-4.5199999999999996</v>
      </c>
      <c r="CZ1589" s="36">
        <v>4</v>
      </c>
      <c r="DA1589" s="35">
        <v>0.43</v>
      </c>
      <c r="DB1589" s="36">
        <v>93</v>
      </c>
      <c r="DC1589" s="37">
        <v>10</v>
      </c>
      <c r="DD1589" s="36">
        <v>90</v>
      </c>
      <c r="DE1589" s="37">
        <v>-0.22</v>
      </c>
      <c r="DF1589" s="35">
        <v>-2.19</v>
      </c>
      <c r="DG1589" s="37">
        <v>17.079999999999998</v>
      </c>
      <c r="DH1589" s="36">
        <v>94</v>
      </c>
      <c r="DI1589" s="37">
        <v>2.93</v>
      </c>
      <c r="DJ1589" s="36">
        <v>69</v>
      </c>
      <c r="DK1589" s="37">
        <v>6.5</v>
      </c>
      <c r="DL1589" s="36">
        <v>82</v>
      </c>
      <c r="DM1589" s="37">
        <v>27.66</v>
      </c>
      <c r="DN1589" s="36">
        <v>96</v>
      </c>
      <c r="DO1589" s="37">
        <v>2.93</v>
      </c>
      <c r="DP1589" s="36">
        <v>70</v>
      </c>
      <c r="DQ1589" s="36">
        <v>2174</v>
      </c>
      <c r="DR1589" s="38">
        <v>171</v>
      </c>
      <c r="DS1589" s="35">
        <v>8.5399999999999991</v>
      </c>
      <c r="DT1589" s="36">
        <v>803</v>
      </c>
      <c r="DU1589" s="38">
        <v>-3</v>
      </c>
      <c r="DV1589" s="35">
        <v>-0.37</v>
      </c>
      <c r="DW1589" s="36">
        <v>1047</v>
      </c>
      <c r="DX1589" s="39">
        <v>1</v>
      </c>
      <c r="DY1589" s="35">
        <v>0.1</v>
      </c>
      <c r="DZ1589" s="28" t="s">
        <v>178</v>
      </c>
      <c r="EA1589" s="34">
        <v>43622</v>
      </c>
      <c r="EB1589" s="29">
        <v>105</v>
      </c>
      <c r="EC1589" s="34">
        <v>43363</v>
      </c>
      <c r="ED1589" s="28" t="s">
        <v>173</v>
      </c>
      <c r="EE1589" s="40" t="str">
        <f>HYPERLINK("https://my.pitchbook.com?c=10862-02", "View company online")</f>
        <v>View company online</v>
      </c>
    </row>
    <row r="1590" spans="1:135">
      <c r="A1590" s="15" t="s">
        <v>30411</v>
      </c>
      <c r="B1590" s="15" t="s">
        <v>30412</v>
      </c>
      <c r="C1590" s="15" t="s">
        <v>138</v>
      </c>
      <c r="D1590" s="15" t="s">
        <v>30413</v>
      </c>
      <c r="E1590" s="15" t="s">
        <v>138</v>
      </c>
      <c r="F1590" s="15" t="s">
        <v>30411</v>
      </c>
      <c r="G1590" s="15" t="s">
        <v>30414</v>
      </c>
      <c r="H1590" s="15" t="s">
        <v>238</v>
      </c>
      <c r="I1590" s="15" t="s">
        <v>1351</v>
      </c>
      <c r="J1590" s="15" t="s">
        <v>5633</v>
      </c>
      <c r="K1590" s="15" t="s">
        <v>30415</v>
      </c>
      <c r="L1590" s="15" t="s">
        <v>2143</v>
      </c>
      <c r="M1590" s="15" t="s">
        <v>30416</v>
      </c>
      <c r="N1590" s="15" t="s">
        <v>147</v>
      </c>
      <c r="O1590" s="17">
        <v>4</v>
      </c>
      <c r="P1590" s="15" t="s">
        <v>148</v>
      </c>
      <c r="Q1590" s="15" t="s">
        <v>149</v>
      </c>
      <c r="R1590" s="15" t="s">
        <v>174</v>
      </c>
      <c r="S1590" s="15" t="s">
        <v>30417</v>
      </c>
      <c r="T1590" s="18">
        <v>2</v>
      </c>
      <c r="U1590" s="15" t="s">
        <v>30418</v>
      </c>
      <c r="V1590" s="15" t="s">
        <v>138</v>
      </c>
      <c r="W1590" s="15" t="s">
        <v>138</v>
      </c>
      <c r="X1590" s="19">
        <v>2015</v>
      </c>
      <c r="Y1590" s="15" t="s">
        <v>138</v>
      </c>
      <c r="Z1590" s="15" t="s">
        <v>138</v>
      </c>
      <c r="AA1590" s="15" t="s">
        <v>138</v>
      </c>
      <c r="AB1590" s="20" t="s">
        <v>138</v>
      </c>
      <c r="AC1590" s="20" t="s">
        <v>138</v>
      </c>
      <c r="AD1590" s="20" t="s">
        <v>138</v>
      </c>
      <c r="AE1590" s="20" t="s">
        <v>138</v>
      </c>
      <c r="AF1590" s="20" t="s">
        <v>138</v>
      </c>
      <c r="AG1590" s="15" t="s">
        <v>138</v>
      </c>
      <c r="AH1590" s="20" t="s">
        <v>138</v>
      </c>
      <c r="AI1590" s="20" t="s">
        <v>138</v>
      </c>
      <c r="AJ1590" s="20" t="s">
        <v>138</v>
      </c>
      <c r="AK1590" s="15" t="s">
        <v>30419</v>
      </c>
      <c r="AL1590" s="15" t="s">
        <v>30420</v>
      </c>
      <c r="AM1590" s="15" t="s">
        <v>938</v>
      </c>
      <c r="AN1590" s="15" t="s">
        <v>30421</v>
      </c>
      <c r="AO1590" s="15" t="s">
        <v>138</v>
      </c>
      <c r="AP1590" s="15" t="s">
        <v>665</v>
      </c>
      <c r="AQ1590" s="15" t="s">
        <v>138</v>
      </c>
      <c r="AR1590" s="15" t="s">
        <v>138</v>
      </c>
      <c r="AS1590" s="15" t="s">
        <v>668</v>
      </c>
      <c r="AT1590" s="15" t="s">
        <v>200</v>
      </c>
      <c r="AU1590" s="15" t="s">
        <v>138</v>
      </c>
      <c r="AV1590" s="15" t="s">
        <v>162</v>
      </c>
      <c r="AW1590" s="15" t="s">
        <v>138</v>
      </c>
      <c r="AX1590" s="15" t="s">
        <v>138</v>
      </c>
      <c r="AY1590" s="15" t="s">
        <v>30422</v>
      </c>
      <c r="AZ1590" s="15" t="s">
        <v>164</v>
      </c>
      <c r="BA1590" s="15" t="s">
        <v>165</v>
      </c>
      <c r="BB1590" s="15" t="s">
        <v>30423</v>
      </c>
      <c r="BC1590" s="15" t="s">
        <v>30424</v>
      </c>
      <c r="BD1590" s="21">
        <v>7</v>
      </c>
      <c r="BE1590" s="15" t="s">
        <v>138</v>
      </c>
      <c r="BF1590" s="15" t="s">
        <v>138</v>
      </c>
      <c r="BG1590" s="15" t="s">
        <v>138</v>
      </c>
      <c r="BH1590" s="15" t="s">
        <v>30425</v>
      </c>
      <c r="BI1590" s="15" t="s">
        <v>138</v>
      </c>
      <c r="BJ1590" s="15" t="s">
        <v>138</v>
      </c>
      <c r="BK1590" s="15" t="s">
        <v>1251</v>
      </c>
      <c r="BL1590" s="15" t="s">
        <v>138</v>
      </c>
      <c r="BM1590" s="22">
        <v>43601</v>
      </c>
      <c r="BN1590" s="17">
        <v>4</v>
      </c>
      <c r="BO1590" s="15" t="s">
        <v>172</v>
      </c>
      <c r="BP1590" s="17" t="s">
        <v>138</v>
      </c>
      <c r="BQ1590" s="15" t="s">
        <v>138</v>
      </c>
      <c r="BR1590" s="15" t="s">
        <v>234</v>
      </c>
      <c r="BS1590" s="15" t="s">
        <v>234</v>
      </c>
      <c r="BT1590" s="15" t="s">
        <v>138</v>
      </c>
      <c r="BU1590" s="15" t="s">
        <v>174</v>
      </c>
      <c r="BV1590" s="15" t="s">
        <v>138</v>
      </c>
      <c r="BW1590" s="15" t="s">
        <v>138</v>
      </c>
      <c r="BX1590" s="15" t="s">
        <v>138</v>
      </c>
      <c r="BY1590" s="15" t="s">
        <v>175</v>
      </c>
      <c r="BZ1590" s="22">
        <v>43601</v>
      </c>
      <c r="CA1590" s="17">
        <v>4</v>
      </c>
      <c r="CB1590" s="15" t="s">
        <v>172</v>
      </c>
      <c r="CC1590" s="17" t="s">
        <v>138</v>
      </c>
      <c r="CD1590" s="15" t="s">
        <v>138</v>
      </c>
      <c r="CE1590" s="15" t="s">
        <v>234</v>
      </c>
      <c r="CF1590" s="15" t="s">
        <v>234</v>
      </c>
      <c r="CG1590" s="15" t="s">
        <v>138</v>
      </c>
      <c r="CH1590" s="15" t="s">
        <v>174</v>
      </c>
      <c r="CI1590" s="15" t="s">
        <v>138</v>
      </c>
      <c r="CJ1590" s="15" t="s">
        <v>138</v>
      </c>
      <c r="CK1590" s="15" t="s">
        <v>138</v>
      </c>
      <c r="CL1590" s="15" t="s">
        <v>175</v>
      </c>
      <c r="CM1590" s="22" t="s">
        <v>138</v>
      </c>
      <c r="CN1590" s="17" t="s">
        <v>138</v>
      </c>
      <c r="CO1590" s="23">
        <v>-0.34</v>
      </c>
      <c r="CP1590" s="24">
        <v>18</v>
      </c>
      <c r="CQ1590" s="23">
        <v>-0.24</v>
      </c>
      <c r="CR1590" s="23">
        <v>-226.8</v>
      </c>
      <c r="CS1590" s="23">
        <v>0</v>
      </c>
      <c r="CT1590" s="24">
        <v>23</v>
      </c>
      <c r="CU1590" s="23">
        <v>-0.68</v>
      </c>
      <c r="CV1590" s="24">
        <v>1</v>
      </c>
      <c r="CW1590" s="23">
        <v>0</v>
      </c>
      <c r="CX1590" s="24">
        <v>13</v>
      </c>
      <c r="CY1590" s="23" t="s">
        <v>138</v>
      </c>
      <c r="CZ1590" s="24" t="s">
        <v>138</v>
      </c>
      <c r="DA1590" s="23">
        <v>-0.68</v>
      </c>
      <c r="DB1590" s="24">
        <v>1</v>
      </c>
      <c r="DC1590" s="25">
        <v>0.65</v>
      </c>
      <c r="DD1590" s="24">
        <v>40</v>
      </c>
      <c r="DE1590" s="25">
        <v>-0.17</v>
      </c>
      <c r="DF1590" s="23">
        <v>-21.25</v>
      </c>
      <c r="DG1590" s="25">
        <v>0.94</v>
      </c>
      <c r="DH1590" s="24">
        <v>50</v>
      </c>
      <c r="DI1590" s="25">
        <v>0.35</v>
      </c>
      <c r="DJ1590" s="24">
        <v>30</v>
      </c>
      <c r="DK1590" s="25">
        <v>0.94</v>
      </c>
      <c r="DL1590" s="24">
        <v>49</v>
      </c>
      <c r="DM1590" s="25" t="s">
        <v>138</v>
      </c>
      <c r="DN1590" s="24" t="s">
        <v>138</v>
      </c>
      <c r="DO1590" s="25">
        <v>0.35</v>
      </c>
      <c r="DP1590" s="24">
        <v>32</v>
      </c>
      <c r="DQ1590" s="24">
        <v>311</v>
      </c>
      <c r="DR1590" s="26">
        <v>35</v>
      </c>
      <c r="DS1590" s="23">
        <v>12.68</v>
      </c>
      <c r="DT1590" s="24" t="s">
        <v>138</v>
      </c>
      <c r="DU1590" s="26" t="s">
        <v>138</v>
      </c>
      <c r="DV1590" s="23" t="s">
        <v>138</v>
      </c>
      <c r="DW1590" s="24">
        <v>124</v>
      </c>
      <c r="DX1590" s="27">
        <v>-1</v>
      </c>
      <c r="DY1590" s="23">
        <v>-0.8</v>
      </c>
      <c r="DZ1590" s="15" t="s">
        <v>178</v>
      </c>
      <c r="EA1590" s="22">
        <v>43606</v>
      </c>
      <c r="EB1590" s="17" t="s">
        <v>138</v>
      </c>
      <c r="EC1590" s="22" t="s">
        <v>138</v>
      </c>
      <c r="ED1590" s="15" t="s">
        <v>138</v>
      </c>
      <c r="EE1590" s="14" t="str">
        <f>HYPERLINK("https://my.pitchbook.com?c=166730-86", "View company online")</f>
        <v>View company online</v>
      </c>
    </row>
    <row r="1591" spans="1:135">
      <c r="A1591" s="28" t="s">
        <v>30426</v>
      </c>
      <c r="B1591" s="28" t="s">
        <v>30427</v>
      </c>
      <c r="C1591" s="28" t="s">
        <v>138</v>
      </c>
      <c r="D1591" s="28" t="s">
        <v>138</v>
      </c>
      <c r="E1591" s="28" t="s">
        <v>138</v>
      </c>
      <c r="F1591" s="28" t="s">
        <v>30426</v>
      </c>
      <c r="G1591" s="28" t="s">
        <v>30428</v>
      </c>
      <c r="H1591" s="28" t="s">
        <v>322</v>
      </c>
      <c r="I1591" s="28" t="s">
        <v>323</v>
      </c>
      <c r="J1591" s="28" t="s">
        <v>324</v>
      </c>
      <c r="K1591" s="28" t="s">
        <v>3226</v>
      </c>
      <c r="L1591" s="28" t="s">
        <v>30429</v>
      </c>
      <c r="M1591" s="28" t="s">
        <v>30430</v>
      </c>
      <c r="N1591" s="28" t="s">
        <v>147</v>
      </c>
      <c r="O1591" s="29">
        <v>8.74</v>
      </c>
      <c r="P1591" s="28" t="s">
        <v>148</v>
      </c>
      <c r="Q1591" s="28" t="s">
        <v>149</v>
      </c>
      <c r="R1591" s="28" t="s">
        <v>174</v>
      </c>
      <c r="S1591" s="28" t="s">
        <v>30431</v>
      </c>
      <c r="T1591" s="30" t="s">
        <v>138</v>
      </c>
      <c r="U1591" s="28" t="s">
        <v>138</v>
      </c>
      <c r="V1591" s="28" t="s">
        <v>138</v>
      </c>
      <c r="W1591" s="28" t="s">
        <v>138</v>
      </c>
      <c r="X1591" s="31">
        <v>2013</v>
      </c>
      <c r="Y1591" s="28" t="s">
        <v>138</v>
      </c>
      <c r="Z1591" s="28" t="s">
        <v>138</v>
      </c>
      <c r="AA1591" s="28" t="s">
        <v>138</v>
      </c>
      <c r="AB1591" s="32" t="s">
        <v>138</v>
      </c>
      <c r="AC1591" s="32" t="s">
        <v>138</v>
      </c>
      <c r="AD1591" s="32" t="s">
        <v>138</v>
      </c>
      <c r="AE1591" s="32" t="s">
        <v>138</v>
      </c>
      <c r="AF1591" s="32" t="s">
        <v>138</v>
      </c>
      <c r="AG1591" s="28" t="s">
        <v>138</v>
      </c>
      <c r="AH1591" s="32" t="s">
        <v>138</v>
      </c>
      <c r="AI1591" s="32" t="s">
        <v>138</v>
      </c>
      <c r="AJ1591" s="32" t="s">
        <v>138</v>
      </c>
      <c r="AK1591" s="28" t="s">
        <v>30432</v>
      </c>
      <c r="AL1591" s="28" t="s">
        <v>30433</v>
      </c>
      <c r="AM1591" s="28" t="s">
        <v>30434</v>
      </c>
      <c r="AN1591" s="28" t="s">
        <v>30435</v>
      </c>
      <c r="AO1591" s="28" t="s">
        <v>30436</v>
      </c>
      <c r="AP1591" s="28" t="s">
        <v>6608</v>
      </c>
      <c r="AQ1591" s="28" t="s">
        <v>30437</v>
      </c>
      <c r="AR1591" s="28" t="s">
        <v>138</v>
      </c>
      <c r="AS1591" s="28" t="s">
        <v>6611</v>
      </c>
      <c r="AT1591" s="28" t="s">
        <v>138</v>
      </c>
      <c r="AU1591" s="28" t="s">
        <v>30438</v>
      </c>
      <c r="AV1591" s="28" t="s">
        <v>1614</v>
      </c>
      <c r="AW1591" s="28" t="s">
        <v>30436</v>
      </c>
      <c r="AX1591" s="28" t="s">
        <v>138</v>
      </c>
      <c r="AY1591" s="28" t="s">
        <v>138</v>
      </c>
      <c r="AZ1591" s="28" t="s">
        <v>530</v>
      </c>
      <c r="BA1591" s="28" t="s">
        <v>1616</v>
      </c>
      <c r="BB1591" s="28" t="s">
        <v>30439</v>
      </c>
      <c r="BC1591" s="28" t="s">
        <v>30440</v>
      </c>
      <c r="BD1591" s="33">
        <v>2</v>
      </c>
      <c r="BE1591" s="28" t="s">
        <v>138</v>
      </c>
      <c r="BF1591" s="28" t="s">
        <v>138</v>
      </c>
      <c r="BG1591" s="28" t="s">
        <v>138</v>
      </c>
      <c r="BH1591" s="28" t="s">
        <v>30441</v>
      </c>
      <c r="BI1591" s="28" t="s">
        <v>138</v>
      </c>
      <c r="BJ1591" s="28" t="s">
        <v>138</v>
      </c>
      <c r="BK1591" s="28" t="s">
        <v>138</v>
      </c>
      <c r="BL1591" s="28" t="s">
        <v>138</v>
      </c>
      <c r="BM1591" s="34">
        <v>43363</v>
      </c>
      <c r="BN1591" s="29">
        <v>8.74</v>
      </c>
      <c r="BO1591" s="28" t="s">
        <v>172</v>
      </c>
      <c r="BP1591" s="29" t="s">
        <v>138</v>
      </c>
      <c r="BQ1591" s="28" t="s">
        <v>138</v>
      </c>
      <c r="BR1591" s="28" t="s">
        <v>205</v>
      </c>
      <c r="BS1591" s="28" t="s">
        <v>206</v>
      </c>
      <c r="BT1591" s="28" t="s">
        <v>138</v>
      </c>
      <c r="BU1591" s="28" t="s">
        <v>174</v>
      </c>
      <c r="BV1591" s="28" t="s">
        <v>138</v>
      </c>
      <c r="BW1591" s="28" t="s">
        <v>138</v>
      </c>
      <c r="BX1591" s="28" t="s">
        <v>138</v>
      </c>
      <c r="BY1591" s="28" t="s">
        <v>175</v>
      </c>
      <c r="BZ1591" s="34">
        <v>43363</v>
      </c>
      <c r="CA1591" s="29">
        <v>8.74</v>
      </c>
      <c r="CB1591" s="28" t="s">
        <v>172</v>
      </c>
      <c r="CC1591" s="29" t="s">
        <v>138</v>
      </c>
      <c r="CD1591" s="28" t="s">
        <v>138</v>
      </c>
      <c r="CE1591" s="28" t="s">
        <v>205</v>
      </c>
      <c r="CF1591" s="28" t="s">
        <v>206</v>
      </c>
      <c r="CG1591" s="28" t="s">
        <v>138</v>
      </c>
      <c r="CH1591" s="28" t="s">
        <v>174</v>
      </c>
      <c r="CI1591" s="28" t="s">
        <v>138</v>
      </c>
      <c r="CJ1591" s="28" t="s">
        <v>138</v>
      </c>
      <c r="CK1591" s="28" t="s">
        <v>138</v>
      </c>
      <c r="CL1591" s="28" t="s">
        <v>175</v>
      </c>
      <c r="CM1591" s="34" t="s">
        <v>138</v>
      </c>
      <c r="CN1591" s="29" t="s">
        <v>138</v>
      </c>
      <c r="CO1591" s="35">
        <v>0.24</v>
      </c>
      <c r="CP1591" s="36">
        <v>93</v>
      </c>
      <c r="CQ1591" s="35">
        <v>-0.02</v>
      </c>
      <c r="CR1591" s="35">
        <v>-7.54</v>
      </c>
      <c r="CS1591" s="35">
        <v>0</v>
      </c>
      <c r="CT1591" s="36">
        <v>23</v>
      </c>
      <c r="CU1591" s="35">
        <v>0.47</v>
      </c>
      <c r="CV1591" s="36">
        <v>93</v>
      </c>
      <c r="CW1591" s="35">
        <v>0</v>
      </c>
      <c r="CX1591" s="36">
        <v>13</v>
      </c>
      <c r="CY1591" s="35">
        <v>0</v>
      </c>
      <c r="CZ1591" s="36">
        <v>25</v>
      </c>
      <c r="DA1591" s="35">
        <v>0.47</v>
      </c>
      <c r="DB1591" s="36">
        <v>93</v>
      </c>
      <c r="DC1591" s="37">
        <v>1.8</v>
      </c>
      <c r="DD1591" s="36">
        <v>65</v>
      </c>
      <c r="DE1591" s="37">
        <v>0.12</v>
      </c>
      <c r="DF1591" s="35">
        <v>7.16</v>
      </c>
      <c r="DG1591" s="37">
        <v>2.61</v>
      </c>
      <c r="DH1591" s="36">
        <v>72</v>
      </c>
      <c r="DI1591" s="37">
        <v>0.99</v>
      </c>
      <c r="DJ1591" s="36">
        <v>49</v>
      </c>
      <c r="DK1591" s="37">
        <v>2.78</v>
      </c>
      <c r="DL1591" s="36">
        <v>70</v>
      </c>
      <c r="DM1591" s="37">
        <v>2.4500000000000002</v>
      </c>
      <c r="DN1591" s="36">
        <v>70</v>
      </c>
      <c r="DO1591" s="37">
        <v>0.99</v>
      </c>
      <c r="DP1591" s="36">
        <v>50</v>
      </c>
      <c r="DQ1591" s="36">
        <v>948</v>
      </c>
      <c r="DR1591" s="38">
        <v>17</v>
      </c>
      <c r="DS1591" s="35">
        <v>1.83</v>
      </c>
      <c r="DT1591" s="36">
        <v>61</v>
      </c>
      <c r="DU1591" s="38">
        <v>23</v>
      </c>
      <c r="DV1591" s="35">
        <v>60.53</v>
      </c>
      <c r="DW1591" s="36">
        <v>354</v>
      </c>
      <c r="DX1591" s="39">
        <v>1</v>
      </c>
      <c r="DY1591" s="35">
        <v>0.28000000000000003</v>
      </c>
      <c r="DZ1591" s="28" t="s">
        <v>178</v>
      </c>
      <c r="EA1591" s="34">
        <v>43490</v>
      </c>
      <c r="EB1591" s="29" t="s">
        <v>138</v>
      </c>
      <c r="EC1591" s="34" t="s">
        <v>138</v>
      </c>
      <c r="ED1591" s="28" t="s">
        <v>138</v>
      </c>
      <c r="EE1591" s="40" t="str">
        <f>HYPERLINK("https://my.pitchbook.com?c=233120-17", "View company online")</f>
        <v>View company online</v>
      </c>
    </row>
    <row r="1592" spans="1:135">
      <c r="A1592" s="15" t="s">
        <v>30442</v>
      </c>
      <c r="B1592" s="15" t="s">
        <v>30443</v>
      </c>
      <c r="C1592" s="15" t="s">
        <v>138</v>
      </c>
      <c r="D1592" s="15" t="s">
        <v>138</v>
      </c>
      <c r="E1592" s="15" t="s">
        <v>30444</v>
      </c>
      <c r="F1592" s="15" t="s">
        <v>30442</v>
      </c>
      <c r="G1592" s="15" t="s">
        <v>30445</v>
      </c>
      <c r="H1592" s="15" t="s">
        <v>322</v>
      </c>
      <c r="I1592" s="15" t="s">
        <v>323</v>
      </c>
      <c r="J1592" s="15" t="s">
        <v>2984</v>
      </c>
      <c r="K1592" s="15" t="s">
        <v>5285</v>
      </c>
      <c r="L1592" s="15" t="s">
        <v>4433</v>
      </c>
      <c r="M1592" s="15" t="s">
        <v>30446</v>
      </c>
      <c r="N1592" s="15" t="s">
        <v>147</v>
      </c>
      <c r="O1592" s="17">
        <v>13</v>
      </c>
      <c r="P1592" s="15" t="s">
        <v>148</v>
      </c>
      <c r="Q1592" s="15" t="s">
        <v>149</v>
      </c>
      <c r="R1592" s="15" t="s">
        <v>174</v>
      </c>
      <c r="S1592" s="15" t="s">
        <v>30447</v>
      </c>
      <c r="T1592" s="18">
        <v>32</v>
      </c>
      <c r="U1592" s="15" t="s">
        <v>30448</v>
      </c>
      <c r="V1592" s="15" t="s">
        <v>138</v>
      </c>
      <c r="W1592" s="15" t="s">
        <v>138</v>
      </c>
      <c r="X1592" s="19">
        <v>2012</v>
      </c>
      <c r="Y1592" s="15" t="s">
        <v>138</v>
      </c>
      <c r="Z1592" s="15" t="s">
        <v>138</v>
      </c>
      <c r="AA1592" s="15" t="s">
        <v>1163</v>
      </c>
      <c r="AB1592" s="20" t="s">
        <v>138</v>
      </c>
      <c r="AC1592" s="20" t="s">
        <v>138</v>
      </c>
      <c r="AD1592" s="20" t="s">
        <v>138</v>
      </c>
      <c r="AE1592" s="20" t="s">
        <v>138</v>
      </c>
      <c r="AF1592" s="20" t="s">
        <v>138</v>
      </c>
      <c r="AG1592" s="15" t="s">
        <v>138</v>
      </c>
      <c r="AH1592" s="20" t="s">
        <v>138</v>
      </c>
      <c r="AI1592" s="20" t="s">
        <v>138</v>
      </c>
      <c r="AJ1592" s="20" t="s">
        <v>138</v>
      </c>
      <c r="AK1592" s="15" t="s">
        <v>30449</v>
      </c>
      <c r="AL1592" s="15" t="s">
        <v>30450</v>
      </c>
      <c r="AM1592" s="15" t="s">
        <v>1955</v>
      </c>
      <c r="AN1592" s="15" t="s">
        <v>30451</v>
      </c>
      <c r="AO1592" s="15" t="s">
        <v>138</v>
      </c>
      <c r="AP1592" s="15" t="s">
        <v>3970</v>
      </c>
      <c r="AQ1592" s="15" t="s">
        <v>30452</v>
      </c>
      <c r="AR1592" s="15" t="s">
        <v>138</v>
      </c>
      <c r="AS1592" s="15" t="s">
        <v>3972</v>
      </c>
      <c r="AT1592" s="15" t="s">
        <v>138</v>
      </c>
      <c r="AU1592" s="15" t="s">
        <v>138</v>
      </c>
      <c r="AV1592" s="15" t="s">
        <v>740</v>
      </c>
      <c r="AW1592" s="15" t="s">
        <v>138</v>
      </c>
      <c r="AX1592" s="15" t="s">
        <v>138</v>
      </c>
      <c r="AY1592" s="15" t="s">
        <v>30453</v>
      </c>
      <c r="AZ1592" s="15" t="s">
        <v>742</v>
      </c>
      <c r="BA1592" s="15" t="s">
        <v>742</v>
      </c>
      <c r="BB1592" s="15" t="s">
        <v>30454</v>
      </c>
      <c r="BC1592" s="15" t="s">
        <v>30455</v>
      </c>
      <c r="BD1592" s="21">
        <v>6</v>
      </c>
      <c r="BE1592" s="15" t="s">
        <v>138</v>
      </c>
      <c r="BF1592" s="15" t="s">
        <v>138</v>
      </c>
      <c r="BG1592" s="15" t="s">
        <v>138</v>
      </c>
      <c r="BH1592" s="15" t="s">
        <v>30456</v>
      </c>
      <c r="BI1592" s="15" t="s">
        <v>138</v>
      </c>
      <c r="BJ1592" s="15" t="s">
        <v>138</v>
      </c>
      <c r="BK1592" s="15" t="s">
        <v>138</v>
      </c>
      <c r="BL1592" s="15" t="s">
        <v>138</v>
      </c>
      <c r="BM1592" s="22">
        <v>41787</v>
      </c>
      <c r="BN1592" s="17">
        <v>7.4</v>
      </c>
      <c r="BO1592" s="15" t="s">
        <v>172</v>
      </c>
      <c r="BP1592" s="17" t="s">
        <v>138</v>
      </c>
      <c r="BQ1592" s="15" t="s">
        <v>138</v>
      </c>
      <c r="BR1592" s="15" t="s">
        <v>205</v>
      </c>
      <c r="BS1592" s="15" t="s">
        <v>206</v>
      </c>
      <c r="BT1592" s="15" t="s">
        <v>138</v>
      </c>
      <c r="BU1592" s="15" t="s">
        <v>174</v>
      </c>
      <c r="BV1592" s="15" t="s">
        <v>138</v>
      </c>
      <c r="BW1592" s="15" t="s">
        <v>138</v>
      </c>
      <c r="BX1592" s="15" t="s">
        <v>138</v>
      </c>
      <c r="BY1592" s="15" t="s">
        <v>175</v>
      </c>
      <c r="BZ1592" s="22">
        <v>42856</v>
      </c>
      <c r="CA1592" s="17" t="s">
        <v>138</v>
      </c>
      <c r="CB1592" s="15" t="s">
        <v>138</v>
      </c>
      <c r="CC1592" s="17" t="s">
        <v>138</v>
      </c>
      <c r="CD1592" s="15" t="s">
        <v>138</v>
      </c>
      <c r="CE1592" s="15" t="s">
        <v>205</v>
      </c>
      <c r="CF1592" s="15" t="s">
        <v>138</v>
      </c>
      <c r="CG1592" s="15" t="s">
        <v>138</v>
      </c>
      <c r="CH1592" s="15" t="s">
        <v>174</v>
      </c>
      <c r="CI1592" s="15" t="s">
        <v>264</v>
      </c>
      <c r="CJ1592" s="15" t="s">
        <v>138</v>
      </c>
      <c r="CK1592" s="15" t="s">
        <v>138</v>
      </c>
      <c r="CL1592" s="15" t="s">
        <v>175</v>
      </c>
      <c r="CM1592" s="22" t="s">
        <v>138</v>
      </c>
      <c r="CN1592" s="17" t="s">
        <v>138</v>
      </c>
      <c r="CO1592" s="23">
        <v>-0.44</v>
      </c>
      <c r="CP1592" s="24">
        <v>17</v>
      </c>
      <c r="CQ1592" s="23">
        <v>0.02</v>
      </c>
      <c r="CR1592" s="23">
        <v>4.8099999999999996</v>
      </c>
      <c r="CS1592" s="23">
        <v>-0.69</v>
      </c>
      <c r="CT1592" s="24">
        <v>18</v>
      </c>
      <c r="CU1592" s="23">
        <v>-0.19</v>
      </c>
      <c r="CV1592" s="24">
        <v>2</v>
      </c>
      <c r="CW1592" s="23">
        <v>-0.85</v>
      </c>
      <c r="CX1592" s="24">
        <v>10</v>
      </c>
      <c r="CY1592" s="23">
        <v>-0.52</v>
      </c>
      <c r="CZ1592" s="24">
        <v>22</v>
      </c>
      <c r="DA1592" s="23">
        <v>-0.19</v>
      </c>
      <c r="DB1592" s="24">
        <v>2</v>
      </c>
      <c r="DC1592" s="25">
        <v>6.49</v>
      </c>
      <c r="DD1592" s="24">
        <v>86</v>
      </c>
      <c r="DE1592" s="25">
        <v>-0.16</v>
      </c>
      <c r="DF1592" s="23">
        <v>-2.39</v>
      </c>
      <c r="DG1592" s="25">
        <v>10.47</v>
      </c>
      <c r="DH1592" s="24">
        <v>90</v>
      </c>
      <c r="DI1592" s="25">
        <v>2.52</v>
      </c>
      <c r="DJ1592" s="24">
        <v>67</v>
      </c>
      <c r="DK1592" s="25">
        <v>6.03</v>
      </c>
      <c r="DL1592" s="24">
        <v>81</v>
      </c>
      <c r="DM1592" s="25">
        <v>14.9</v>
      </c>
      <c r="DN1592" s="24">
        <v>92</v>
      </c>
      <c r="DO1592" s="25">
        <v>2.52</v>
      </c>
      <c r="DP1592" s="24">
        <v>68</v>
      </c>
      <c r="DQ1592" s="24">
        <v>2007</v>
      </c>
      <c r="DR1592" s="26">
        <v>186</v>
      </c>
      <c r="DS1592" s="23">
        <v>10.210000000000001</v>
      </c>
      <c r="DT1592" s="24">
        <v>431</v>
      </c>
      <c r="DU1592" s="26">
        <v>4</v>
      </c>
      <c r="DV1592" s="23">
        <v>0.94</v>
      </c>
      <c r="DW1592" s="24">
        <v>903</v>
      </c>
      <c r="DX1592" s="27">
        <v>0</v>
      </c>
      <c r="DY1592" s="23">
        <v>0</v>
      </c>
      <c r="DZ1592" s="15" t="s">
        <v>178</v>
      </c>
      <c r="EA1592" s="22">
        <v>43600</v>
      </c>
      <c r="EB1592" s="17" t="s">
        <v>138</v>
      </c>
      <c r="EC1592" s="22" t="s">
        <v>138</v>
      </c>
      <c r="ED1592" s="15" t="s">
        <v>138</v>
      </c>
      <c r="EE1592" s="14" t="str">
        <f>HYPERLINK("https://my.pitchbook.com?c=60032-08", "View company online")</f>
        <v>View company online</v>
      </c>
    </row>
    <row r="1593" spans="1:135">
      <c r="A1593" s="28" t="s">
        <v>30457</v>
      </c>
      <c r="B1593" s="28" t="s">
        <v>30458</v>
      </c>
      <c r="C1593" s="28" t="s">
        <v>30459</v>
      </c>
      <c r="D1593" s="28" t="s">
        <v>138</v>
      </c>
      <c r="E1593" s="28" t="s">
        <v>30460</v>
      </c>
      <c r="F1593" s="28" t="s">
        <v>30457</v>
      </c>
      <c r="G1593" s="28" t="s">
        <v>30461</v>
      </c>
      <c r="H1593" s="28" t="s">
        <v>385</v>
      </c>
      <c r="I1593" s="28" t="s">
        <v>1448</v>
      </c>
      <c r="J1593" s="28" t="s">
        <v>4108</v>
      </c>
      <c r="K1593" s="28" t="s">
        <v>30462</v>
      </c>
      <c r="L1593" s="28" t="s">
        <v>30463</v>
      </c>
      <c r="M1593" s="28" t="s">
        <v>30464</v>
      </c>
      <c r="N1593" s="28" t="s">
        <v>147</v>
      </c>
      <c r="O1593" s="29">
        <v>169.62</v>
      </c>
      <c r="P1593" s="28" t="s">
        <v>148</v>
      </c>
      <c r="Q1593" s="28" t="s">
        <v>149</v>
      </c>
      <c r="R1593" s="28" t="s">
        <v>244</v>
      </c>
      <c r="S1593" s="28" t="s">
        <v>30465</v>
      </c>
      <c r="T1593" s="30">
        <v>40</v>
      </c>
      <c r="U1593" s="28" t="s">
        <v>30466</v>
      </c>
      <c r="V1593" s="28" t="s">
        <v>138</v>
      </c>
      <c r="W1593" s="28" t="s">
        <v>138</v>
      </c>
      <c r="X1593" s="31">
        <v>2009</v>
      </c>
      <c r="Y1593" s="28" t="s">
        <v>138</v>
      </c>
      <c r="Z1593" s="28" t="s">
        <v>138</v>
      </c>
      <c r="AA1593" s="28" t="s">
        <v>138</v>
      </c>
      <c r="AB1593" s="32" t="s">
        <v>138</v>
      </c>
      <c r="AC1593" s="32" t="s">
        <v>138</v>
      </c>
      <c r="AD1593" s="32" t="s">
        <v>138</v>
      </c>
      <c r="AE1593" s="32" t="s">
        <v>138</v>
      </c>
      <c r="AF1593" s="32" t="s">
        <v>138</v>
      </c>
      <c r="AG1593" s="28" t="s">
        <v>138</v>
      </c>
      <c r="AH1593" s="32" t="s">
        <v>138</v>
      </c>
      <c r="AI1593" s="32" t="s">
        <v>138</v>
      </c>
      <c r="AJ1593" s="32" t="s">
        <v>138</v>
      </c>
      <c r="AK1593" s="28" t="s">
        <v>30467</v>
      </c>
      <c r="AL1593" s="28" t="s">
        <v>30468</v>
      </c>
      <c r="AM1593" s="28" t="s">
        <v>365</v>
      </c>
      <c r="AN1593" s="28" t="s">
        <v>30469</v>
      </c>
      <c r="AO1593" s="28" t="s">
        <v>30470</v>
      </c>
      <c r="AP1593" s="28" t="s">
        <v>30471</v>
      </c>
      <c r="AQ1593" s="28" t="s">
        <v>14879</v>
      </c>
      <c r="AR1593" s="28" t="s">
        <v>25036</v>
      </c>
      <c r="AS1593" s="28" t="s">
        <v>30472</v>
      </c>
      <c r="AT1593" s="28" t="s">
        <v>371</v>
      </c>
      <c r="AU1593" s="28" t="s">
        <v>14882</v>
      </c>
      <c r="AV1593" s="28" t="s">
        <v>162</v>
      </c>
      <c r="AW1593" s="28" t="s">
        <v>30470</v>
      </c>
      <c r="AX1593" s="28" t="s">
        <v>138</v>
      </c>
      <c r="AY1593" s="28" t="s">
        <v>30473</v>
      </c>
      <c r="AZ1593" s="28" t="s">
        <v>164</v>
      </c>
      <c r="BA1593" s="28" t="s">
        <v>165</v>
      </c>
      <c r="BB1593" s="28" t="s">
        <v>30474</v>
      </c>
      <c r="BC1593" s="28" t="s">
        <v>30475</v>
      </c>
      <c r="BD1593" s="33">
        <v>19</v>
      </c>
      <c r="BE1593" s="28" t="s">
        <v>138</v>
      </c>
      <c r="BF1593" s="28" t="s">
        <v>138</v>
      </c>
      <c r="BG1593" s="28" t="s">
        <v>138</v>
      </c>
      <c r="BH1593" s="28" t="s">
        <v>30476</v>
      </c>
      <c r="BI1593" s="28" t="s">
        <v>138</v>
      </c>
      <c r="BJ1593" s="28" t="s">
        <v>138</v>
      </c>
      <c r="BK1593" s="28" t="s">
        <v>30477</v>
      </c>
      <c r="BL1593" s="28" t="s">
        <v>30478</v>
      </c>
      <c r="BM1593" s="34">
        <v>40142</v>
      </c>
      <c r="BN1593" s="29">
        <v>3.04</v>
      </c>
      <c r="BO1593" s="28" t="s">
        <v>172</v>
      </c>
      <c r="BP1593" s="29">
        <v>8.5399999999999991</v>
      </c>
      <c r="BQ1593" s="28" t="s">
        <v>172</v>
      </c>
      <c r="BR1593" s="28" t="s">
        <v>205</v>
      </c>
      <c r="BS1593" s="28" t="s">
        <v>206</v>
      </c>
      <c r="BT1593" s="28" t="s">
        <v>138</v>
      </c>
      <c r="BU1593" s="28" t="s">
        <v>174</v>
      </c>
      <c r="BV1593" s="28" t="s">
        <v>138</v>
      </c>
      <c r="BW1593" s="28" t="s">
        <v>138</v>
      </c>
      <c r="BX1593" s="28" t="s">
        <v>138</v>
      </c>
      <c r="BY1593" s="28" t="s">
        <v>175</v>
      </c>
      <c r="BZ1593" s="34">
        <v>43306</v>
      </c>
      <c r="CA1593" s="29">
        <v>39.6</v>
      </c>
      <c r="CB1593" s="28" t="s">
        <v>172</v>
      </c>
      <c r="CC1593" s="29" t="s">
        <v>138</v>
      </c>
      <c r="CD1593" s="28" t="s">
        <v>138</v>
      </c>
      <c r="CE1593" s="28" t="s">
        <v>173</v>
      </c>
      <c r="CF1593" s="28" t="s">
        <v>206</v>
      </c>
      <c r="CG1593" s="28" t="s">
        <v>138</v>
      </c>
      <c r="CH1593" s="28" t="s">
        <v>174</v>
      </c>
      <c r="CI1593" s="28" t="s">
        <v>138</v>
      </c>
      <c r="CJ1593" s="28" t="s">
        <v>138</v>
      </c>
      <c r="CK1593" s="28" t="s">
        <v>138</v>
      </c>
      <c r="CL1593" s="28" t="s">
        <v>175</v>
      </c>
      <c r="CM1593" s="34">
        <v>42835</v>
      </c>
      <c r="CN1593" s="29" t="s">
        <v>138</v>
      </c>
      <c r="CO1593" s="35">
        <v>0.32</v>
      </c>
      <c r="CP1593" s="36">
        <v>94</v>
      </c>
      <c r="CQ1593" s="35">
        <v>0</v>
      </c>
      <c r="CR1593" s="35">
        <v>0.54</v>
      </c>
      <c r="CS1593" s="35">
        <v>0.09</v>
      </c>
      <c r="CT1593" s="36">
        <v>94</v>
      </c>
      <c r="CU1593" s="35">
        <v>0.56000000000000005</v>
      </c>
      <c r="CV1593" s="36">
        <v>94</v>
      </c>
      <c r="CW1593" s="35">
        <v>0</v>
      </c>
      <c r="CX1593" s="36">
        <v>13</v>
      </c>
      <c r="CY1593" s="35">
        <v>0.17</v>
      </c>
      <c r="CZ1593" s="36">
        <v>98</v>
      </c>
      <c r="DA1593" s="35">
        <v>0.43</v>
      </c>
      <c r="DB1593" s="36">
        <v>93</v>
      </c>
      <c r="DC1593" s="37">
        <v>4.7</v>
      </c>
      <c r="DD1593" s="36">
        <v>82</v>
      </c>
      <c r="DE1593" s="37">
        <v>-0.03</v>
      </c>
      <c r="DF1593" s="35">
        <v>-0.65</v>
      </c>
      <c r="DG1593" s="37">
        <v>6.83</v>
      </c>
      <c r="DH1593" s="36">
        <v>86</v>
      </c>
      <c r="DI1593" s="37">
        <v>2.58</v>
      </c>
      <c r="DJ1593" s="36">
        <v>67</v>
      </c>
      <c r="DK1593" s="37">
        <v>0.69</v>
      </c>
      <c r="DL1593" s="36">
        <v>42</v>
      </c>
      <c r="DM1593" s="37">
        <v>12.97</v>
      </c>
      <c r="DN1593" s="36">
        <v>91</v>
      </c>
      <c r="DO1593" s="37">
        <v>3.09</v>
      </c>
      <c r="DP1593" s="36">
        <v>71</v>
      </c>
      <c r="DQ1593" s="36">
        <v>241</v>
      </c>
      <c r="DR1593" s="38">
        <v>-18</v>
      </c>
      <c r="DS1593" s="35">
        <v>-6.95</v>
      </c>
      <c r="DT1593" s="36">
        <v>376</v>
      </c>
      <c r="DU1593" s="38">
        <v>-2</v>
      </c>
      <c r="DV1593" s="35">
        <v>-0.53</v>
      </c>
      <c r="DW1593" s="36">
        <v>1106</v>
      </c>
      <c r="DX1593" s="39">
        <v>5</v>
      </c>
      <c r="DY1593" s="35">
        <v>0.45</v>
      </c>
      <c r="DZ1593" s="28" t="s">
        <v>178</v>
      </c>
      <c r="EA1593" s="34">
        <v>43529</v>
      </c>
      <c r="EB1593" s="29">
        <v>33</v>
      </c>
      <c r="EC1593" s="34">
        <v>42397</v>
      </c>
      <c r="ED1593" s="28" t="s">
        <v>173</v>
      </c>
      <c r="EE1593" s="40" t="str">
        <f>HYPERLINK("https://my.pitchbook.com?c=51277-24", "View company online")</f>
        <v>View company online</v>
      </c>
    </row>
    <row r="1594" spans="1:135">
      <c r="A1594" s="15" t="s">
        <v>30479</v>
      </c>
      <c r="B1594" s="15" t="s">
        <v>30480</v>
      </c>
      <c r="C1594" s="15" t="s">
        <v>138</v>
      </c>
      <c r="D1594" s="15" t="s">
        <v>138</v>
      </c>
      <c r="E1594" s="15" t="s">
        <v>138</v>
      </c>
      <c r="F1594" s="15" t="s">
        <v>30479</v>
      </c>
      <c r="G1594" s="15" t="s">
        <v>30481</v>
      </c>
      <c r="H1594" s="15" t="s">
        <v>141</v>
      </c>
      <c r="I1594" s="15" t="s">
        <v>142</v>
      </c>
      <c r="J1594" s="15" t="s">
        <v>4042</v>
      </c>
      <c r="K1594" s="15" t="s">
        <v>19789</v>
      </c>
      <c r="L1594" s="15" t="s">
        <v>1104</v>
      </c>
      <c r="M1594" s="15" t="s">
        <v>30482</v>
      </c>
      <c r="N1594" s="15" t="s">
        <v>147</v>
      </c>
      <c r="O1594" s="17">
        <v>3</v>
      </c>
      <c r="P1594" s="15" t="s">
        <v>148</v>
      </c>
      <c r="Q1594" s="15" t="s">
        <v>149</v>
      </c>
      <c r="R1594" s="15" t="s">
        <v>174</v>
      </c>
      <c r="S1594" s="15" t="s">
        <v>30483</v>
      </c>
      <c r="T1594" s="18" t="s">
        <v>138</v>
      </c>
      <c r="U1594" s="15" t="s">
        <v>138</v>
      </c>
      <c r="V1594" s="15" t="s">
        <v>138</v>
      </c>
      <c r="W1594" s="15" t="s">
        <v>138</v>
      </c>
      <c r="X1594" s="19">
        <v>2010</v>
      </c>
      <c r="Y1594" s="15" t="s">
        <v>138</v>
      </c>
      <c r="Z1594" s="15" t="s">
        <v>138</v>
      </c>
      <c r="AA1594" s="15" t="s">
        <v>138</v>
      </c>
      <c r="AB1594" s="20" t="s">
        <v>138</v>
      </c>
      <c r="AC1594" s="20" t="s">
        <v>138</v>
      </c>
      <c r="AD1594" s="20" t="s">
        <v>138</v>
      </c>
      <c r="AE1594" s="20" t="s">
        <v>138</v>
      </c>
      <c r="AF1594" s="20" t="s">
        <v>138</v>
      </c>
      <c r="AG1594" s="15" t="s">
        <v>138</v>
      </c>
      <c r="AH1594" s="20" t="s">
        <v>138</v>
      </c>
      <c r="AI1594" s="20" t="s">
        <v>138</v>
      </c>
      <c r="AJ1594" s="20" t="s">
        <v>138</v>
      </c>
      <c r="AK1594" s="15" t="s">
        <v>30484</v>
      </c>
      <c r="AL1594" s="15" t="s">
        <v>30485</v>
      </c>
      <c r="AM1594" s="15" t="s">
        <v>916</v>
      </c>
      <c r="AN1594" s="15" t="s">
        <v>30486</v>
      </c>
      <c r="AO1594" s="15" t="s">
        <v>30487</v>
      </c>
      <c r="AP1594" s="15" t="s">
        <v>30488</v>
      </c>
      <c r="AQ1594" s="15" t="s">
        <v>30489</v>
      </c>
      <c r="AR1594" s="15" t="s">
        <v>138</v>
      </c>
      <c r="AS1594" s="15" t="s">
        <v>30490</v>
      </c>
      <c r="AT1594" s="15" t="s">
        <v>200</v>
      </c>
      <c r="AU1594" s="15" t="s">
        <v>30491</v>
      </c>
      <c r="AV1594" s="15" t="s">
        <v>162</v>
      </c>
      <c r="AW1594" s="15" t="s">
        <v>30487</v>
      </c>
      <c r="AX1594" s="15" t="s">
        <v>138</v>
      </c>
      <c r="AY1594" s="15" t="s">
        <v>30492</v>
      </c>
      <c r="AZ1594" s="15" t="s">
        <v>164</v>
      </c>
      <c r="BA1594" s="15" t="s">
        <v>165</v>
      </c>
      <c r="BB1594" s="15" t="s">
        <v>30493</v>
      </c>
      <c r="BC1594" s="15" t="s">
        <v>2075</v>
      </c>
      <c r="BD1594" s="21">
        <v>1</v>
      </c>
      <c r="BE1594" s="15" t="s">
        <v>138</v>
      </c>
      <c r="BF1594" s="15" t="s">
        <v>138</v>
      </c>
      <c r="BG1594" s="15" t="s">
        <v>138</v>
      </c>
      <c r="BH1594" s="15" t="s">
        <v>2077</v>
      </c>
      <c r="BI1594" s="15" t="s">
        <v>138</v>
      </c>
      <c r="BJ1594" s="15" t="s">
        <v>138</v>
      </c>
      <c r="BK1594" s="15" t="s">
        <v>138</v>
      </c>
      <c r="BL1594" s="15" t="s">
        <v>138</v>
      </c>
      <c r="BM1594" s="22">
        <v>42073</v>
      </c>
      <c r="BN1594" s="17">
        <v>3</v>
      </c>
      <c r="BO1594" s="15" t="s">
        <v>172</v>
      </c>
      <c r="BP1594" s="17" t="s">
        <v>138</v>
      </c>
      <c r="BQ1594" s="15" t="s">
        <v>138</v>
      </c>
      <c r="BR1594" s="15" t="s">
        <v>205</v>
      </c>
      <c r="BS1594" s="15" t="s">
        <v>138</v>
      </c>
      <c r="BT1594" s="15" t="s">
        <v>138</v>
      </c>
      <c r="BU1594" s="15" t="s">
        <v>174</v>
      </c>
      <c r="BV1594" s="15" t="s">
        <v>264</v>
      </c>
      <c r="BW1594" s="15" t="s">
        <v>138</v>
      </c>
      <c r="BX1594" s="15" t="s">
        <v>138</v>
      </c>
      <c r="BY1594" s="15" t="s">
        <v>175</v>
      </c>
      <c r="BZ1594" s="22">
        <v>42073</v>
      </c>
      <c r="CA1594" s="17">
        <v>3</v>
      </c>
      <c r="CB1594" s="15" t="s">
        <v>172</v>
      </c>
      <c r="CC1594" s="17" t="s">
        <v>138</v>
      </c>
      <c r="CD1594" s="15" t="s">
        <v>138</v>
      </c>
      <c r="CE1594" s="15" t="s">
        <v>205</v>
      </c>
      <c r="CF1594" s="15" t="s">
        <v>138</v>
      </c>
      <c r="CG1594" s="15" t="s">
        <v>138</v>
      </c>
      <c r="CH1594" s="15" t="s">
        <v>174</v>
      </c>
      <c r="CI1594" s="15" t="s">
        <v>264</v>
      </c>
      <c r="CJ1594" s="15" t="s">
        <v>138</v>
      </c>
      <c r="CK1594" s="15" t="s">
        <v>138</v>
      </c>
      <c r="CL1594" s="15" t="s">
        <v>175</v>
      </c>
      <c r="CM1594" s="22" t="s">
        <v>138</v>
      </c>
      <c r="CN1594" s="17" t="s">
        <v>138</v>
      </c>
      <c r="CO1594" s="23" t="s">
        <v>138</v>
      </c>
      <c r="CP1594" s="24" t="s">
        <v>138</v>
      </c>
      <c r="CQ1594" s="23" t="s">
        <v>138</v>
      </c>
      <c r="CR1594" s="23" t="s">
        <v>138</v>
      </c>
      <c r="CS1594" s="23" t="s">
        <v>138</v>
      </c>
      <c r="CT1594" s="24" t="s">
        <v>138</v>
      </c>
      <c r="CU1594" s="23" t="s">
        <v>138</v>
      </c>
      <c r="CV1594" s="24" t="s">
        <v>138</v>
      </c>
      <c r="CW1594" s="23" t="s">
        <v>138</v>
      </c>
      <c r="CX1594" s="24" t="s">
        <v>138</v>
      </c>
      <c r="CY1594" s="23" t="s">
        <v>138</v>
      </c>
      <c r="CZ1594" s="24" t="s">
        <v>138</v>
      </c>
      <c r="DA1594" s="23" t="s">
        <v>138</v>
      </c>
      <c r="DB1594" s="24" t="s">
        <v>138</v>
      </c>
      <c r="DC1594" s="25" t="s">
        <v>138</v>
      </c>
      <c r="DD1594" s="24" t="s">
        <v>138</v>
      </c>
      <c r="DE1594" s="25" t="s">
        <v>138</v>
      </c>
      <c r="DF1594" s="23" t="s">
        <v>138</v>
      </c>
      <c r="DG1594" s="25" t="s">
        <v>138</v>
      </c>
      <c r="DH1594" s="24" t="s">
        <v>138</v>
      </c>
      <c r="DI1594" s="25" t="s">
        <v>138</v>
      </c>
      <c r="DJ1594" s="24" t="s">
        <v>138</v>
      </c>
      <c r="DK1594" s="25" t="s">
        <v>138</v>
      </c>
      <c r="DL1594" s="24" t="s">
        <v>138</v>
      </c>
      <c r="DM1594" s="25" t="s">
        <v>138</v>
      </c>
      <c r="DN1594" s="24" t="s">
        <v>138</v>
      </c>
      <c r="DO1594" s="25" t="s">
        <v>138</v>
      </c>
      <c r="DP1594" s="24" t="s">
        <v>138</v>
      </c>
      <c r="DQ1594" s="24" t="s">
        <v>138</v>
      </c>
      <c r="DR1594" s="26" t="s">
        <v>138</v>
      </c>
      <c r="DS1594" s="23" t="s">
        <v>138</v>
      </c>
      <c r="DT1594" s="24" t="s">
        <v>138</v>
      </c>
      <c r="DU1594" s="26" t="s">
        <v>138</v>
      </c>
      <c r="DV1594" s="23" t="s">
        <v>138</v>
      </c>
      <c r="DW1594" s="24" t="s">
        <v>138</v>
      </c>
      <c r="DX1594" s="27" t="s">
        <v>138</v>
      </c>
      <c r="DY1594" s="23" t="s">
        <v>138</v>
      </c>
      <c r="DZ1594" s="15" t="s">
        <v>178</v>
      </c>
      <c r="EA1594" s="22">
        <v>43375</v>
      </c>
      <c r="EB1594" s="17" t="s">
        <v>138</v>
      </c>
      <c r="EC1594" s="22" t="s">
        <v>138</v>
      </c>
      <c r="ED1594" s="15" t="s">
        <v>138</v>
      </c>
      <c r="EE1594" s="14" t="str">
        <f>HYPERLINK("https://my.pitchbook.com?c=111324-25", "View company online")</f>
        <v>View company online</v>
      </c>
    </row>
    <row r="1595" spans="1:135">
      <c r="A1595" s="28" t="s">
        <v>30494</v>
      </c>
      <c r="B1595" s="28" t="s">
        <v>30495</v>
      </c>
      <c r="C1595" s="28" t="s">
        <v>138</v>
      </c>
      <c r="D1595" s="28" t="s">
        <v>30496</v>
      </c>
      <c r="E1595" s="28" t="s">
        <v>30497</v>
      </c>
      <c r="F1595" s="28" t="s">
        <v>30494</v>
      </c>
      <c r="G1595" s="28" t="s">
        <v>30498</v>
      </c>
      <c r="H1595" s="28" t="s">
        <v>141</v>
      </c>
      <c r="I1595" s="28" t="s">
        <v>142</v>
      </c>
      <c r="J1595" s="28" t="s">
        <v>4910</v>
      </c>
      <c r="K1595" s="28" t="s">
        <v>11537</v>
      </c>
      <c r="L1595" s="28" t="s">
        <v>4912</v>
      </c>
      <c r="M1595" s="28" t="s">
        <v>30499</v>
      </c>
      <c r="N1595" s="28" t="s">
        <v>147</v>
      </c>
      <c r="O1595" s="29">
        <v>0.87</v>
      </c>
      <c r="P1595" s="28" t="s">
        <v>148</v>
      </c>
      <c r="Q1595" s="28" t="s">
        <v>149</v>
      </c>
      <c r="R1595" s="28" t="s">
        <v>174</v>
      </c>
      <c r="S1595" s="28" t="s">
        <v>30500</v>
      </c>
      <c r="T1595" s="30">
        <v>3</v>
      </c>
      <c r="U1595" s="28" t="s">
        <v>5398</v>
      </c>
      <c r="V1595" s="28" t="s">
        <v>138</v>
      </c>
      <c r="W1595" s="28" t="s">
        <v>138</v>
      </c>
      <c r="X1595" s="31">
        <v>2014</v>
      </c>
      <c r="Y1595" s="28" t="s">
        <v>138</v>
      </c>
      <c r="Z1595" s="28" t="s">
        <v>138</v>
      </c>
      <c r="AA1595" s="28" t="s">
        <v>138</v>
      </c>
      <c r="AB1595" s="32" t="s">
        <v>138</v>
      </c>
      <c r="AC1595" s="32" t="s">
        <v>138</v>
      </c>
      <c r="AD1595" s="32" t="s">
        <v>138</v>
      </c>
      <c r="AE1595" s="32" t="s">
        <v>138</v>
      </c>
      <c r="AF1595" s="32" t="s">
        <v>138</v>
      </c>
      <c r="AG1595" s="28" t="s">
        <v>138</v>
      </c>
      <c r="AH1595" s="32" t="s">
        <v>138</v>
      </c>
      <c r="AI1595" s="32" t="s">
        <v>138</v>
      </c>
      <c r="AJ1595" s="32" t="s">
        <v>138</v>
      </c>
      <c r="AK1595" s="28" t="s">
        <v>30501</v>
      </c>
      <c r="AL1595" s="28" t="s">
        <v>30502</v>
      </c>
      <c r="AM1595" s="28" t="s">
        <v>221</v>
      </c>
      <c r="AN1595" s="28" t="s">
        <v>30503</v>
      </c>
      <c r="AO1595" s="28" t="s">
        <v>30504</v>
      </c>
      <c r="AP1595" s="28" t="s">
        <v>665</v>
      </c>
      <c r="AQ1595" s="28" t="s">
        <v>842</v>
      </c>
      <c r="AR1595" s="28" t="s">
        <v>30505</v>
      </c>
      <c r="AS1595" s="28" t="s">
        <v>668</v>
      </c>
      <c r="AT1595" s="28" t="s">
        <v>200</v>
      </c>
      <c r="AU1595" s="28" t="s">
        <v>1893</v>
      </c>
      <c r="AV1595" s="28" t="s">
        <v>162</v>
      </c>
      <c r="AW1595" s="28" t="s">
        <v>30504</v>
      </c>
      <c r="AX1595" s="28" t="s">
        <v>138</v>
      </c>
      <c r="AY1595" s="28" t="s">
        <v>30506</v>
      </c>
      <c r="AZ1595" s="28" t="s">
        <v>164</v>
      </c>
      <c r="BA1595" s="28" t="s">
        <v>165</v>
      </c>
      <c r="BB1595" s="28" t="s">
        <v>30507</v>
      </c>
      <c r="BC1595" s="28" t="s">
        <v>30508</v>
      </c>
      <c r="BD1595" s="33">
        <v>4</v>
      </c>
      <c r="BE1595" s="28" t="s">
        <v>138</v>
      </c>
      <c r="BF1595" s="28" t="s">
        <v>138</v>
      </c>
      <c r="BG1595" s="28" t="s">
        <v>138</v>
      </c>
      <c r="BH1595" s="28" t="s">
        <v>30509</v>
      </c>
      <c r="BI1595" s="28" t="s">
        <v>138</v>
      </c>
      <c r="BJ1595" s="28" t="s">
        <v>138</v>
      </c>
      <c r="BK1595" s="28" t="s">
        <v>1275</v>
      </c>
      <c r="BL1595" s="28" t="s">
        <v>1275</v>
      </c>
      <c r="BM1595" s="34">
        <v>42418</v>
      </c>
      <c r="BN1595" s="29">
        <v>0.12</v>
      </c>
      <c r="BO1595" s="28" t="s">
        <v>172</v>
      </c>
      <c r="BP1595" s="29" t="s">
        <v>138</v>
      </c>
      <c r="BQ1595" s="28" t="s">
        <v>138</v>
      </c>
      <c r="BR1595" s="28" t="s">
        <v>316</v>
      </c>
      <c r="BS1595" s="28" t="s">
        <v>138</v>
      </c>
      <c r="BT1595" s="28" t="s">
        <v>138</v>
      </c>
      <c r="BU1595" s="28" t="s">
        <v>177</v>
      </c>
      <c r="BV1595" s="28" t="s">
        <v>264</v>
      </c>
      <c r="BW1595" s="28" t="s">
        <v>138</v>
      </c>
      <c r="BX1595" s="28" t="s">
        <v>138</v>
      </c>
      <c r="BY1595" s="28" t="s">
        <v>175</v>
      </c>
      <c r="BZ1595" s="34">
        <v>43125</v>
      </c>
      <c r="CA1595" s="29">
        <v>0.75</v>
      </c>
      <c r="CB1595" s="28" t="s">
        <v>1178</v>
      </c>
      <c r="CC1595" s="29" t="s">
        <v>138</v>
      </c>
      <c r="CD1595" s="28" t="s">
        <v>138</v>
      </c>
      <c r="CE1595" s="28" t="s">
        <v>234</v>
      </c>
      <c r="CF1595" s="28" t="s">
        <v>234</v>
      </c>
      <c r="CG1595" s="28" t="s">
        <v>138</v>
      </c>
      <c r="CH1595" s="28" t="s">
        <v>174</v>
      </c>
      <c r="CI1595" s="28" t="s">
        <v>138</v>
      </c>
      <c r="CJ1595" s="28" t="s">
        <v>138</v>
      </c>
      <c r="CK1595" s="28" t="s">
        <v>138</v>
      </c>
      <c r="CL1595" s="28" t="s">
        <v>175</v>
      </c>
      <c r="CM1595" s="34" t="s">
        <v>138</v>
      </c>
      <c r="CN1595" s="29" t="s">
        <v>138</v>
      </c>
      <c r="CO1595" s="35">
        <v>0.08</v>
      </c>
      <c r="CP1595" s="36">
        <v>89</v>
      </c>
      <c r="CQ1595" s="35">
        <v>-0.08</v>
      </c>
      <c r="CR1595" s="35">
        <v>-50</v>
      </c>
      <c r="CS1595" s="35" t="s">
        <v>138</v>
      </c>
      <c r="CT1595" s="36" t="s">
        <v>138</v>
      </c>
      <c r="CU1595" s="35">
        <v>0.08</v>
      </c>
      <c r="CV1595" s="36">
        <v>64</v>
      </c>
      <c r="CW1595" s="35" t="s">
        <v>138</v>
      </c>
      <c r="CX1595" s="36" t="s">
        <v>138</v>
      </c>
      <c r="CY1595" s="35" t="s">
        <v>138</v>
      </c>
      <c r="CZ1595" s="36" t="s">
        <v>138</v>
      </c>
      <c r="DA1595" s="35">
        <v>0.08</v>
      </c>
      <c r="DB1595" s="36">
        <v>69</v>
      </c>
      <c r="DC1595" s="37">
        <v>0.47</v>
      </c>
      <c r="DD1595" s="36">
        <v>32</v>
      </c>
      <c r="DE1595" s="37">
        <v>0.01</v>
      </c>
      <c r="DF1595" s="35">
        <v>1.1599999999999999</v>
      </c>
      <c r="DG1595" s="37" t="s">
        <v>138</v>
      </c>
      <c r="DH1595" s="36" t="s">
        <v>138</v>
      </c>
      <c r="DI1595" s="37">
        <v>0.47</v>
      </c>
      <c r="DJ1595" s="36">
        <v>35</v>
      </c>
      <c r="DK1595" s="37" t="s">
        <v>138</v>
      </c>
      <c r="DL1595" s="36" t="s">
        <v>138</v>
      </c>
      <c r="DM1595" s="37" t="s">
        <v>138</v>
      </c>
      <c r="DN1595" s="36" t="s">
        <v>138</v>
      </c>
      <c r="DO1595" s="37">
        <v>0.47</v>
      </c>
      <c r="DP1595" s="36">
        <v>37</v>
      </c>
      <c r="DQ1595" s="36" t="s">
        <v>138</v>
      </c>
      <c r="DR1595" s="38" t="s">
        <v>138</v>
      </c>
      <c r="DS1595" s="35" t="s">
        <v>138</v>
      </c>
      <c r="DT1595" s="36" t="s">
        <v>138</v>
      </c>
      <c r="DU1595" s="38" t="s">
        <v>138</v>
      </c>
      <c r="DV1595" s="35" t="s">
        <v>138</v>
      </c>
      <c r="DW1595" s="36">
        <v>168</v>
      </c>
      <c r="DX1595" s="39">
        <v>0</v>
      </c>
      <c r="DY1595" s="35">
        <v>0</v>
      </c>
      <c r="DZ1595" s="28" t="s">
        <v>178</v>
      </c>
      <c r="EA1595" s="34">
        <v>43375</v>
      </c>
      <c r="EB1595" s="29" t="s">
        <v>138</v>
      </c>
      <c r="EC1595" s="34" t="s">
        <v>138</v>
      </c>
      <c r="ED1595" s="28" t="s">
        <v>138</v>
      </c>
      <c r="EE1595" s="40" t="str">
        <f>HYPERLINK("https://my.pitchbook.com?c=154044-55", "View company online")</f>
        <v>View company online</v>
      </c>
    </row>
    <row r="1596" spans="1:135">
      <c r="A1596" s="15" t="s">
        <v>30510</v>
      </c>
      <c r="B1596" s="15" t="s">
        <v>30511</v>
      </c>
      <c r="C1596" s="15" t="s">
        <v>138</v>
      </c>
      <c r="D1596" s="15" t="s">
        <v>138</v>
      </c>
      <c r="E1596" s="15" t="s">
        <v>138</v>
      </c>
      <c r="F1596" s="15" t="s">
        <v>30510</v>
      </c>
      <c r="G1596" s="15" t="s">
        <v>30512</v>
      </c>
      <c r="H1596" s="15" t="s">
        <v>322</v>
      </c>
      <c r="I1596" s="15" t="s">
        <v>323</v>
      </c>
      <c r="J1596" s="15" t="s">
        <v>324</v>
      </c>
      <c r="K1596" s="15" t="s">
        <v>30513</v>
      </c>
      <c r="L1596" s="15" t="s">
        <v>2835</v>
      </c>
      <c r="M1596" s="15" t="s">
        <v>30514</v>
      </c>
      <c r="N1596" s="15" t="s">
        <v>147</v>
      </c>
      <c r="O1596" s="17">
        <v>5.75</v>
      </c>
      <c r="P1596" s="15" t="s">
        <v>148</v>
      </c>
      <c r="Q1596" s="15" t="s">
        <v>149</v>
      </c>
      <c r="R1596" s="15" t="s">
        <v>174</v>
      </c>
      <c r="S1596" s="15" t="s">
        <v>30515</v>
      </c>
      <c r="T1596" s="18" t="s">
        <v>138</v>
      </c>
      <c r="U1596" s="15" t="s">
        <v>138</v>
      </c>
      <c r="V1596" s="15" t="s">
        <v>138</v>
      </c>
      <c r="W1596" s="15" t="s">
        <v>138</v>
      </c>
      <c r="X1596" s="19">
        <v>2016</v>
      </c>
      <c r="Y1596" s="15" t="s">
        <v>138</v>
      </c>
      <c r="Z1596" s="15" t="s">
        <v>138</v>
      </c>
      <c r="AA1596" s="15" t="s">
        <v>138</v>
      </c>
      <c r="AB1596" s="20" t="s">
        <v>138</v>
      </c>
      <c r="AC1596" s="20" t="s">
        <v>138</v>
      </c>
      <c r="AD1596" s="20" t="s">
        <v>138</v>
      </c>
      <c r="AE1596" s="20" t="s">
        <v>138</v>
      </c>
      <c r="AF1596" s="20" t="s">
        <v>138</v>
      </c>
      <c r="AG1596" s="15" t="s">
        <v>138</v>
      </c>
      <c r="AH1596" s="20" t="s">
        <v>138</v>
      </c>
      <c r="AI1596" s="20" t="s">
        <v>138</v>
      </c>
      <c r="AJ1596" s="20" t="s">
        <v>138</v>
      </c>
      <c r="AK1596" s="15" t="s">
        <v>30516</v>
      </c>
      <c r="AL1596" s="15" t="s">
        <v>30517</v>
      </c>
      <c r="AM1596" s="15" t="s">
        <v>30518</v>
      </c>
      <c r="AN1596" s="15" t="s">
        <v>30519</v>
      </c>
      <c r="AO1596" s="15" t="s">
        <v>30520</v>
      </c>
      <c r="AP1596" s="15" t="s">
        <v>3668</v>
      </c>
      <c r="AQ1596" s="15" t="s">
        <v>30521</v>
      </c>
      <c r="AR1596" s="15" t="s">
        <v>138</v>
      </c>
      <c r="AS1596" s="15" t="s">
        <v>3670</v>
      </c>
      <c r="AT1596" s="15" t="s">
        <v>200</v>
      </c>
      <c r="AU1596" s="15" t="s">
        <v>8773</v>
      </c>
      <c r="AV1596" s="15" t="s">
        <v>162</v>
      </c>
      <c r="AW1596" s="15" t="s">
        <v>30520</v>
      </c>
      <c r="AX1596" s="15" t="s">
        <v>138</v>
      </c>
      <c r="AY1596" s="15" t="s">
        <v>138</v>
      </c>
      <c r="AZ1596" s="15" t="s">
        <v>164</v>
      </c>
      <c r="BA1596" s="15" t="s">
        <v>165</v>
      </c>
      <c r="BB1596" s="15" t="s">
        <v>30522</v>
      </c>
      <c r="BC1596" s="15" t="s">
        <v>30523</v>
      </c>
      <c r="BD1596" s="21">
        <v>10</v>
      </c>
      <c r="BE1596" s="15" t="s">
        <v>138</v>
      </c>
      <c r="BF1596" s="15" t="s">
        <v>138</v>
      </c>
      <c r="BG1596" s="15" t="s">
        <v>138</v>
      </c>
      <c r="BH1596" s="15" t="s">
        <v>30524</v>
      </c>
      <c r="BI1596" s="15" t="s">
        <v>138</v>
      </c>
      <c r="BJ1596" s="15" t="s">
        <v>138</v>
      </c>
      <c r="BK1596" s="15" t="s">
        <v>3164</v>
      </c>
      <c r="BL1596" s="15" t="s">
        <v>3164</v>
      </c>
      <c r="BM1596" s="22">
        <v>42934</v>
      </c>
      <c r="BN1596" s="17" t="s">
        <v>138</v>
      </c>
      <c r="BO1596" s="15" t="s">
        <v>138</v>
      </c>
      <c r="BP1596" s="17" t="s">
        <v>138</v>
      </c>
      <c r="BQ1596" s="15" t="s">
        <v>138</v>
      </c>
      <c r="BR1596" s="15" t="s">
        <v>316</v>
      </c>
      <c r="BS1596" s="15" t="s">
        <v>138</v>
      </c>
      <c r="BT1596" s="15" t="s">
        <v>138</v>
      </c>
      <c r="BU1596" s="15" t="s">
        <v>177</v>
      </c>
      <c r="BV1596" s="15" t="s">
        <v>138</v>
      </c>
      <c r="BW1596" s="15" t="s">
        <v>138</v>
      </c>
      <c r="BX1596" s="15" t="s">
        <v>138</v>
      </c>
      <c r="BY1596" s="15" t="s">
        <v>175</v>
      </c>
      <c r="BZ1596" s="22">
        <v>43370</v>
      </c>
      <c r="CA1596" s="17" t="s">
        <v>138</v>
      </c>
      <c r="CB1596" s="15" t="s">
        <v>138</v>
      </c>
      <c r="CC1596" s="17" t="s">
        <v>138</v>
      </c>
      <c r="CD1596" s="15" t="s">
        <v>138</v>
      </c>
      <c r="CE1596" s="15" t="s">
        <v>316</v>
      </c>
      <c r="CF1596" s="15" t="s">
        <v>138</v>
      </c>
      <c r="CG1596" s="15" t="s">
        <v>138</v>
      </c>
      <c r="CH1596" s="15" t="s">
        <v>177</v>
      </c>
      <c r="CI1596" s="15" t="s">
        <v>138</v>
      </c>
      <c r="CJ1596" s="15" t="s">
        <v>138</v>
      </c>
      <c r="CK1596" s="15" t="s">
        <v>138</v>
      </c>
      <c r="CL1596" s="15" t="s">
        <v>175</v>
      </c>
      <c r="CM1596" s="22" t="s">
        <v>138</v>
      </c>
      <c r="CN1596" s="17" t="s">
        <v>138</v>
      </c>
      <c r="CO1596" s="23">
        <v>0</v>
      </c>
      <c r="CP1596" s="24">
        <v>26</v>
      </c>
      <c r="CQ1596" s="23">
        <v>0</v>
      </c>
      <c r="CR1596" s="23">
        <v>0</v>
      </c>
      <c r="CS1596" s="23" t="s">
        <v>138</v>
      </c>
      <c r="CT1596" s="24" t="s">
        <v>138</v>
      </c>
      <c r="CU1596" s="23">
        <v>0</v>
      </c>
      <c r="CV1596" s="24">
        <v>22</v>
      </c>
      <c r="CW1596" s="23" t="s">
        <v>138</v>
      </c>
      <c r="CX1596" s="24" t="s">
        <v>138</v>
      </c>
      <c r="CY1596" s="23" t="s">
        <v>138</v>
      </c>
      <c r="CZ1596" s="24" t="s">
        <v>138</v>
      </c>
      <c r="DA1596" s="23">
        <v>0</v>
      </c>
      <c r="DB1596" s="24">
        <v>22</v>
      </c>
      <c r="DC1596" s="25">
        <v>0.06</v>
      </c>
      <c r="DD1596" s="24">
        <v>4</v>
      </c>
      <c r="DE1596" s="25">
        <v>-0.08</v>
      </c>
      <c r="DF1596" s="23">
        <v>-54.47</v>
      </c>
      <c r="DG1596" s="25" t="s">
        <v>138</v>
      </c>
      <c r="DH1596" s="24" t="s">
        <v>138</v>
      </c>
      <c r="DI1596" s="25">
        <v>0.06</v>
      </c>
      <c r="DJ1596" s="24">
        <v>10</v>
      </c>
      <c r="DK1596" s="25" t="s">
        <v>138</v>
      </c>
      <c r="DL1596" s="24" t="s">
        <v>138</v>
      </c>
      <c r="DM1596" s="25" t="s">
        <v>138</v>
      </c>
      <c r="DN1596" s="24" t="s">
        <v>138</v>
      </c>
      <c r="DO1596" s="25">
        <v>0.1</v>
      </c>
      <c r="DP1596" s="24">
        <v>16</v>
      </c>
      <c r="DQ1596" s="24">
        <v>86</v>
      </c>
      <c r="DR1596" s="26">
        <v>-49</v>
      </c>
      <c r="DS1596" s="23">
        <v>-36.299999999999997</v>
      </c>
      <c r="DT1596" s="24" t="s">
        <v>138</v>
      </c>
      <c r="DU1596" s="26" t="s">
        <v>138</v>
      </c>
      <c r="DV1596" s="23" t="s">
        <v>138</v>
      </c>
      <c r="DW1596" s="24">
        <v>37</v>
      </c>
      <c r="DX1596" s="27">
        <v>0</v>
      </c>
      <c r="DY1596" s="23">
        <v>0</v>
      </c>
      <c r="DZ1596" s="15" t="s">
        <v>178</v>
      </c>
      <c r="EA1596" s="22">
        <v>43622</v>
      </c>
      <c r="EB1596" s="17">
        <v>9.0500000000000007</v>
      </c>
      <c r="EC1596" s="22">
        <v>43269</v>
      </c>
      <c r="ED1596" s="15" t="s">
        <v>234</v>
      </c>
      <c r="EE1596" s="14" t="str">
        <f>HYPERLINK("https://my.pitchbook.com?c=231522-67", "View company online")</f>
        <v>View company online</v>
      </c>
    </row>
    <row r="1597" spans="1:135">
      <c r="A1597" s="28" t="s">
        <v>30525</v>
      </c>
      <c r="B1597" s="28" t="s">
        <v>30526</v>
      </c>
      <c r="C1597" s="28" t="s">
        <v>30527</v>
      </c>
      <c r="D1597" s="28" t="s">
        <v>138</v>
      </c>
      <c r="E1597" s="28" t="s">
        <v>30528</v>
      </c>
      <c r="F1597" s="28" t="s">
        <v>30525</v>
      </c>
      <c r="G1597" s="28" t="s">
        <v>30529</v>
      </c>
      <c r="H1597" s="28" t="s">
        <v>322</v>
      </c>
      <c r="I1597" s="28" t="s">
        <v>323</v>
      </c>
      <c r="J1597" s="28" t="s">
        <v>324</v>
      </c>
      <c r="K1597" s="28" t="s">
        <v>325</v>
      </c>
      <c r="L1597" s="28" t="s">
        <v>2274</v>
      </c>
      <c r="M1597" s="28" t="s">
        <v>30530</v>
      </c>
      <c r="N1597" s="28" t="s">
        <v>147</v>
      </c>
      <c r="O1597" s="29">
        <v>79.930000000000007</v>
      </c>
      <c r="P1597" s="28" t="s">
        <v>148</v>
      </c>
      <c r="Q1597" s="28" t="s">
        <v>149</v>
      </c>
      <c r="R1597" s="28" t="s">
        <v>244</v>
      </c>
      <c r="S1597" s="28" t="s">
        <v>30531</v>
      </c>
      <c r="T1597" s="30">
        <v>205</v>
      </c>
      <c r="U1597" s="28" t="s">
        <v>30532</v>
      </c>
      <c r="V1597" s="28" t="s">
        <v>138</v>
      </c>
      <c r="W1597" s="28" t="s">
        <v>138</v>
      </c>
      <c r="X1597" s="31">
        <v>2013</v>
      </c>
      <c r="Y1597" s="28" t="s">
        <v>138</v>
      </c>
      <c r="Z1597" s="28" t="s">
        <v>138</v>
      </c>
      <c r="AA1597" s="28" t="s">
        <v>138</v>
      </c>
      <c r="AB1597" s="32" t="s">
        <v>138</v>
      </c>
      <c r="AC1597" s="32" t="s">
        <v>138</v>
      </c>
      <c r="AD1597" s="32" t="s">
        <v>138</v>
      </c>
      <c r="AE1597" s="32" t="s">
        <v>138</v>
      </c>
      <c r="AF1597" s="32" t="s">
        <v>138</v>
      </c>
      <c r="AG1597" s="28" t="s">
        <v>138</v>
      </c>
      <c r="AH1597" s="32" t="s">
        <v>138</v>
      </c>
      <c r="AI1597" s="32" t="s">
        <v>138</v>
      </c>
      <c r="AJ1597" s="32" t="s">
        <v>138</v>
      </c>
      <c r="AK1597" s="28" t="s">
        <v>30533</v>
      </c>
      <c r="AL1597" s="28" t="s">
        <v>30534</v>
      </c>
      <c r="AM1597" s="28" t="s">
        <v>304</v>
      </c>
      <c r="AN1597" s="28" t="s">
        <v>30535</v>
      </c>
      <c r="AO1597" s="28" t="s">
        <v>30536</v>
      </c>
      <c r="AP1597" s="28" t="s">
        <v>941</v>
      </c>
      <c r="AQ1597" s="28" t="s">
        <v>30537</v>
      </c>
      <c r="AR1597" s="28" t="s">
        <v>138</v>
      </c>
      <c r="AS1597" s="28" t="s">
        <v>944</v>
      </c>
      <c r="AT1597" s="28" t="s">
        <v>138</v>
      </c>
      <c r="AU1597" s="28" t="s">
        <v>15500</v>
      </c>
      <c r="AV1597" s="28" t="s">
        <v>946</v>
      </c>
      <c r="AW1597" s="28" t="s">
        <v>30536</v>
      </c>
      <c r="AX1597" s="28" t="s">
        <v>138</v>
      </c>
      <c r="AY1597" s="28" t="s">
        <v>138</v>
      </c>
      <c r="AZ1597" s="28" t="s">
        <v>530</v>
      </c>
      <c r="BA1597" s="28" t="s">
        <v>531</v>
      </c>
      <c r="BB1597" s="28" t="s">
        <v>30538</v>
      </c>
      <c r="BC1597" s="28" t="s">
        <v>30539</v>
      </c>
      <c r="BD1597" s="33">
        <v>14</v>
      </c>
      <c r="BE1597" s="28" t="s">
        <v>138</v>
      </c>
      <c r="BF1597" s="28" t="s">
        <v>138</v>
      </c>
      <c r="BG1597" s="28" t="s">
        <v>138</v>
      </c>
      <c r="BH1597" s="28" t="s">
        <v>30540</v>
      </c>
      <c r="BI1597" s="28" t="s">
        <v>138</v>
      </c>
      <c r="BJ1597" s="28" t="s">
        <v>138</v>
      </c>
      <c r="BK1597" s="28" t="s">
        <v>30541</v>
      </c>
      <c r="BL1597" s="28" t="s">
        <v>30542</v>
      </c>
      <c r="BM1597" s="34">
        <v>41451</v>
      </c>
      <c r="BN1597" s="29">
        <v>1.32</v>
      </c>
      <c r="BO1597" s="28" t="s">
        <v>172</v>
      </c>
      <c r="BP1597" s="29">
        <v>4.66</v>
      </c>
      <c r="BQ1597" s="28" t="s">
        <v>1178</v>
      </c>
      <c r="BR1597" s="28" t="s">
        <v>234</v>
      </c>
      <c r="BS1597" s="28" t="s">
        <v>234</v>
      </c>
      <c r="BT1597" s="28" t="s">
        <v>138</v>
      </c>
      <c r="BU1597" s="28" t="s">
        <v>174</v>
      </c>
      <c r="BV1597" s="28" t="s">
        <v>138</v>
      </c>
      <c r="BW1597" s="28" t="s">
        <v>138</v>
      </c>
      <c r="BX1597" s="28" t="s">
        <v>138</v>
      </c>
      <c r="BY1597" s="28" t="s">
        <v>175</v>
      </c>
      <c r="BZ1597" s="34">
        <v>43439</v>
      </c>
      <c r="CA1597" s="29">
        <v>33.5</v>
      </c>
      <c r="CB1597" s="28" t="s">
        <v>172</v>
      </c>
      <c r="CC1597" s="29">
        <v>250.85</v>
      </c>
      <c r="CD1597" s="28" t="s">
        <v>1178</v>
      </c>
      <c r="CE1597" s="28" t="s">
        <v>173</v>
      </c>
      <c r="CF1597" s="28" t="s">
        <v>433</v>
      </c>
      <c r="CG1597" s="28" t="s">
        <v>138</v>
      </c>
      <c r="CH1597" s="28" t="s">
        <v>174</v>
      </c>
      <c r="CI1597" s="28" t="s">
        <v>138</v>
      </c>
      <c r="CJ1597" s="28" t="s">
        <v>138</v>
      </c>
      <c r="CK1597" s="28" t="s">
        <v>138</v>
      </c>
      <c r="CL1597" s="28" t="s">
        <v>175</v>
      </c>
      <c r="CM1597" s="34" t="s">
        <v>138</v>
      </c>
      <c r="CN1597" s="29" t="s">
        <v>138</v>
      </c>
      <c r="CO1597" s="35">
        <v>0.49</v>
      </c>
      <c r="CP1597" s="36">
        <v>95</v>
      </c>
      <c r="CQ1597" s="35">
        <v>-0.02</v>
      </c>
      <c r="CR1597" s="35">
        <v>-3.46</v>
      </c>
      <c r="CS1597" s="35">
        <v>0.84</v>
      </c>
      <c r="CT1597" s="36">
        <v>96</v>
      </c>
      <c r="CU1597" s="35">
        <v>0.06</v>
      </c>
      <c r="CV1597" s="36">
        <v>60</v>
      </c>
      <c r="CW1597" s="35">
        <v>1.56</v>
      </c>
      <c r="CX1597" s="36">
        <v>87</v>
      </c>
      <c r="CY1597" s="35">
        <v>0.13</v>
      </c>
      <c r="CZ1597" s="36">
        <v>98</v>
      </c>
      <c r="DA1597" s="35">
        <v>0.02</v>
      </c>
      <c r="DB1597" s="36">
        <v>58</v>
      </c>
      <c r="DC1597" s="37">
        <v>47.15</v>
      </c>
      <c r="DD1597" s="36">
        <v>98</v>
      </c>
      <c r="DE1597" s="37">
        <v>-2.11</v>
      </c>
      <c r="DF1597" s="35">
        <v>-4.28</v>
      </c>
      <c r="DG1597" s="37">
        <v>92.8</v>
      </c>
      <c r="DH1597" s="36">
        <v>99</v>
      </c>
      <c r="DI1597" s="37">
        <v>48.27</v>
      </c>
      <c r="DJ1597" s="36">
        <v>95</v>
      </c>
      <c r="DK1597" s="37">
        <v>99.19</v>
      </c>
      <c r="DL1597" s="36">
        <v>98</v>
      </c>
      <c r="DM1597" s="37">
        <v>86.41</v>
      </c>
      <c r="DN1597" s="36">
        <v>99</v>
      </c>
      <c r="DO1597" s="37">
        <v>94.18</v>
      </c>
      <c r="DP1597" s="36">
        <v>98</v>
      </c>
      <c r="DQ1597" s="36">
        <v>33923</v>
      </c>
      <c r="DR1597" s="38">
        <v>299</v>
      </c>
      <c r="DS1597" s="35">
        <v>0.89</v>
      </c>
      <c r="DT1597" s="36">
        <v>2511</v>
      </c>
      <c r="DU1597" s="38">
        <v>-8</v>
      </c>
      <c r="DV1597" s="35">
        <v>-0.32</v>
      </c>
      <c r="DW1597" s="36">
        <v>33713</v>
      </c>
      <c r="DX1597" s="39">
        <v>10</v>
      </c>
      <c r="DY1597" s="35">
        <v>0.03</v>
      </c>
      <c r="DZ1597" s="28" t="s">
        <v>178</v>
      </c>
      <c r="EA1597" s="34">
        <v>43600</v>
      </c>
      <c r="EB1597" s="29">
        <v>250.85</v>
      </c>
      <c r="EC1597" s="34">
        <v>43439</v>
      </c>
      <c r="ED1597" s="28" t="s">
        <v>173</v>
      </c>
      <c r="EE1597" s="40" t="str">
        <f>HYPERLINK("https://my.pitchbook.com?c=58213-54", "View company online")</f>
        <v>View company online</v>
      </c>
    </row>
    <row r="1598" spans="1:135">
      <c r="A1598" s="15" t="s">
        <v>30543</v>
      </c>
      <c r="B1598" s="15" t="s">
        <v>30544</v>
      </c>
      <c r="C1598" s="15" t="s">
        <v>138</v>
      </c>
      <c r="D1598" s="15" t="s">
        <v>138</v>
      </c>
      <c r="E1598" s="15" t="s">
        <v>30545</v>
      </c>
      <c r="F1598" s="15" t="s">
        <v>30543</v>
      </c>
      <c r="G1598" s="15" t="s">
        <v>30546</v>
      </c>
      <c r="H1598" s="15" t="s">
        <v>5219</v>
      </c>
      <c r="I1598" s="15" t="s">
        <v>23084</v>
      </c>
      <c r="J1598" s="15" t="s">
        <v>23084</v>
      </c>
      <c r="K1598" s="15" t="s">
        <v>30547</v>
      </c>
      <c r="L1598" s="15" t="s">
        <v>5328</v>
      </c>
      <c r="M1598" s="15" t="s">
        <v>30548</v>
      </c>
      <c r="N1598" s="15" t="s">
        <v>147</v>
      </c>
      <c r="O1598" s="17">
        <v>0.85</v>
      </c>
      <c r="P1598" s="15" t="s">
        <v>610</v>
      </c>
      <c r="Q1598" s="15" t="s">
        <v>149</v>
      </c>
      <c r="R1598" s="15" t="s">
        <v>174</v>
      </c>
      <c r="S1598" s="15" t="s">
        <v>30549</v>
      </c>
      <c r="T1598" s="18">
        <v>6</v>
      </c>
      <c r="U1598" s="15" t="s">
        <v>30550</v>
      </c>
      <c r="V1598" s="15" t="s">
        <v>138</v>
      </c>
      <c r="W1598" s="15" t="s">
        <v>138</v>
      </c>
      <c r="X1598" s="19">
        <v>2011</v>
      </c>
      <c r="Y1598" s="15" t="s">
        <v>138</v>
      </c>
      <c r="Z1598" s="15" t="s">
        <v>138</v>
      </c>
      <c r="AA1598" s="15" t="s">
        <v>138</v>
      </c>
      <c r="AB1598" s="20" t="s">
        <v>138</v>
      </c>
      <c r="AC1598" s="20" t="s">
        <v>138</v>
      </c>
      <c r="AD1598" s="20" t="s">
        <v>138</v>
      </c>
      <c r="AE1598" s="20" t="s">
        <v>138</v>
      </c>
      <c r="AF1598" s="20" t="s">
        <v>138</v>
      </c>
      <c r="AG1598" s="15" t="s">
        <v>138</v>
      </c>
      <c r="AH1598" s="20" t="s">
        <v>138</v>
      </c>
      <c r="AI1598" s="20" t="s">
        <v>138</v>
      </c>
      <c r="AJ1598" s="20" t="s">
        <v>138</v>
      </c>
      <c r="AK1598" s="15" t="s">
        <v>30551</v>
      </c>
      <c r="AL1598" s="15" t="s">
        <v>30552</v>
      </c>
      <c r="AM1598" s="15" t="s">
        <v>566</v>
      </c>
      <c r="AN1598" s="15" t="s">
        <v>30553</v>
      </c>
      <c r="AO1598" s="15" t="s">
        <v>30554</v>
      </c>
      <c r="AP1598" s="15" t="s">
        <v>11748</v>
      </c>
      <c r="AQ1598" s="15" t="s">
        <v>30555</v>
      </c>
      <c r="AR1598" s="15" t="s">
        <v>138</v>
      </c>
      <c r="AS1598" s="15" t="s">
        <v>11750</v>
      </c>
      <c r="AT1598" s="15" t="s">
        <v>200</v>
      </c>
      <c r="AU1598" s="15" t="s">
        <v>16207</v>
      </c>
      <c r="AV1598" s="15" t="s">
        <v>162</v>
      </c>
      <c r="AW1598" s="15" t="s">
        <v>30556</v>
      </c>
      <c r="AX1598" s="15" t="s">
        <v>138</v>
      </c>
      <c r="AY1598" s="15" t="s">
        <v>30557</v>
      </c>
      <c r="AZ1598" s="15" t="s">
        <v>164</v>
      </c>
      <c r="BA1598" s="15" t="s">
        <v>165</v>
      </c>
      <c r="BB1598" s="15" t="s">
        <v>30558</v>
      </c>
      <c r="BC1598" s="15" t="s">
        <v>30559</v>
      </c>
      <c r="BD1598" s="21">
        <v>7</v>
      </c>
      <c r="BE1598" s="15" t="s">
        <v>138</v>
      </c>
      <c r="BF1598" s="15" t="s">
        <v>138</v>
      </c>
      <c r="BG1598" s="15" t="s">
        <v>138</v>
      </c>
      <c r="BH1598" s="15" t="s">
        <v>30560</v>
      </c>
      <c r="BI1598" s="15" t="s">
        <v>138</v>
      </c>
      <c r="BJ1598" s="15" t="s">
        <v>138</v>
      </c>
      <c r="BK1598" s="15" t="s">
        <v>30561</v>
      </c>
      <c r="BL1598" s="15" t="s">
        <v>30562</v>
      </c>
      <c r="BM1598" s="22">
        <v>41976</v>
      </c>
      <c r="BN1598" s="17">
        <v>0.85</v>
      </c>
      <c r="BO1598" s="15" t="s">
        <v>1178</v>
      </c>
      <c r="BP1598" s="17">
        <v>2.5</v>
      </c>
      <c r="BQ1598" s="15" t="s">
        <v>172</v>
      </c>
      <c r="BR1598" s="15" t="s">
        <v>205</v>
      </c>
      <c r="BS1598" s="15" t="s">
        <v>206</v>
      </c>
      <c r="BT1598" s="15" t="s">
        <v>138</v>
      </c>
      <c r="BU1598" s="15" t="s">
        <v>174</v>
      </c>
      <c r="BV1598" s="15" t="s">
        <v>138</v>
      </c>
      <c r="BW1598" s="15" t="s">
        <v>138</v>
      </c>
      <c r="BX1598" s="15" t="s">
        <v>138</v>
      </c>
      <c r="BY1598" s="15" t="s">
        <v>175</v>
      </c>
      <c r="BZ1598" s="22">
        <v>42661</v>
      </c>
      <c r="CA1598" s="17">
        <v>0.73</v>
      </c>
      <c r="CB1598" s="15" t="s">
        <v>172</v>
      </c>
      <c r="CC1598" s="17" t="s">
        <v>138</v>
      </c>
      <c r="CD1598" s="15" t="s">
        <v>138</v>
      </c>
      <c r="CE1598" s="15" t="s">
        <v>176</v>
      </c>
      <c r="CF1598" s="15" t="s">
        <v>138</v>
      </c>
      <c r="CG1598" s="15" t="s">
        <v>138</v>
      </c>
      <c r="CH1598" s="15" t="s">
        <v>177</v>
      </c>
      <c r="CI1598" s="15" t="s">
        <v>138</v>
      </c>
      <c r="CJ1598" s="15" t="s">
        <v>138</v>
      </c>
      <c r="CK1598" s="15" t="s">
        <v>138</v>
      </c>
      <c r="CL1598" s="15" t="s">
        <v>175</v>
      </c>
      <c r="CM1598" s="22" t="s">
        <v>138</v>
      </c>
      <c r="CN1598" s="17" t="s">
        <v>138</v>
      </c>
      <c r="CO1598" s="23">
        <v>-1.3</v>
      </c>
      <c r="CP1598" s="24">
        <v>9</v>
      </c>
      <c r="CQ1598" s="23">
        <v>0.02</v>
      </c>
      <c r="CR1598" s="23">
        <v>1.47</v>
      </c>
      <c r="CS1598" s="23">
        <v>-2.4</v>
      </c>
      <c r="CT1598" s="24">
        <v>7</v>
      </c>
      <c r="CU1598" s="23">
        <v>-0.2</v>
      </c>
      <c r="CV1598" s="24">
        <v>1</v>
      </c>
      <c r="CW1598" s="23" t="s">
        <v>138</v>
      </c>
      <c r="CX1598" s="24" t="s">
        <v>138</v>
      </c>
      <c r="CY1598" s="23">
        <v>-2.4</v>
      </c>
      <c r="CZ1598" s="24">
        <v>9</v>
      </c>
      <c r="DA1598" s="23">
        <v>-0.2</v>
      </c>
      <c r="DB1598" s="24">
        <v>2</v>
      </c>
      <c r="DC1598" s="25">
        <v>19.809999999999999</v>
      </c>
      <c r="DD1598" s="24">
        <v>95</v>
      </c>
      <c r="DE1598" s="25">
        <v>0.03</v>
      </c>
      <c r="DF1598" s="23">
        <v>0.14000000000000001</v>
      </c>
      <c r="DG1598" s="25">
        <v>28.21</v>
      </c>
      <c r="DH1598" s="24">
        <v>96</v>
      </c>
      <c r="DI1598" s="25">
        <v>11.42</v>
      </c>
      <c r="DJ1598" s="24">
        <v>86</v>
      </c>
      <c r="DK1598" s="25" t="s">
        <v>138</v>
      </c>
      <c r="DL1598" s="24" t="s">
        <v>138</v>
      </c>
      <c r="DM1598" s="25">
        <v>28.21</v>
      </c>
      <c r="DN1598" s="24">
        <v>96</v>
      </c>
      <c r="DO1598" s="25">
        <v>11.42</v>
      </c>
      <c r="DP1598" s="24">
        <v>88</v>
      </c>
      <c r="DQ1598" s="24">
        <v>231</v>
      </c>
      <c r="DR1598" s="26">
        <v>39</v>
      </c>
      <c r="DS1598" s="23">
        <v>20.309999999999999</v>
      </c>
      <c r="DT1598" s="24">
        <v>817</v>
      </c>
      <c r="DU1598" s="26">
        <v>-3</v>
      </c>
      <c r="DV1598" s="23">
        <v>-0.37</v>
      </c>
      <c r="DW1598" s="24">
        <v>4089</v>
      </c>
      <c r="DX1598" s="27">
        <v>-3</v>
      </c>
      <c r="DY1598" s="23">
        <v>-7.0000000000000007E-2</v>
      </c>
      <c r="DZ1598" s="15" t="s">
        <v>178</v>
      </c>
      <c r="EA1598" s="22">
        <v>43388</v>
      </c>
      <c r="EB1598" s="17">
        <v>2.5</v>
      </c>
      <c r="EC1598" s="22">
        <v>41976</v>
      </c>
      <c r="ED1598" s="15" t="s">
        <v>205</v>
      </c>
      <c r="EE1598" s="14" t="str">
        <f>HYPERLINK("https://my.pitchbook.com?c=100097-02", "View company online")</f>
        <v>View company online</v>
      </c>
    </row>
    <row r="1599" spans="1:135">
      <c r="A1599" s="28" t="s">
        <v>30563</v>
      </c>
      <c r="B1599" s="28" t="s">
        <v>30564</v>
      </c>
      <c r="C1599" s="28" t="s">
        <v>30565</v>
      </c>
      <c r="D1599" s="28" t="s">
        <v>138</v>
      </c>
      <c r="E1599" s="28" t="s">
        <v>138</v>
      </c>
      <c r="F1599" s="28" t="s">
        <v>30563</v>
      </c>
      <c r="G1599" s="28" t="s">
        <v>30566</v>
      </c>
      <c r="H1599" s="28" t="s">
        <v>238</v>
      </c>
      <c r="I1599" s="28" t="s">
        <v>1351</v>
      </c>
      <c r="J1599" s="28" t="s">
        <v>1352</v>
      </c>
      <c r="K1599" s="28" t="s">
        <v>30567</v>
      </c>
      <c r="L1599" s="28" t="s">
        <v>1104</v>
      </c>
      <c r="M1599" s="28" t="s">
        <v>30568</v>
      </c>
      <c r="N1599" s="28" t="s">
        <v>147</v>
      </c>
      <c r="O1599" s="29">
        <v>2.52</v>
      </c>
      <c r="P1599" s="28" t="s">
        <v>148</v>
      </c>
      <c r="Q1599" s="28" t="s">
        <v>149</v>
      </c>
      <c r="R1599" s="28" t="s">
        <v>174</v>
      </c>
      <c r="S1599" s="28" t="s">
        <v>30569</v>
      </c>
      <c r="T1599" s="30">
        <v>3</v>
      </c>
      <c r="U1599" s="28" t="s">
        <v>30570</v>
      </c>
      <c r="V1599" s="28" t="s">
        <v>138</v>
      </c>
      <c r="W1599" s="28" t="s">
        <v>138</v>
      </c>
      <c r="X1599" s="31">
        <v>2007</v>
      </c>
      <c r="Y1599" s="28" t="s">
        <v>138</v>
      </c>
      <c r="Z1599" s="28" t="s">
        <v>138</v>
      </c>
      <c r="AA1599" s="28" t="s">
        <v>138</v>
      </c>
      <c r="AB1599" s="32" t="s">
        <v>138</v>
      </c>
      <c r="AC1599" s="32" t="s">
        <v>138</v>
      </c>
      <c r="AD1599" s="32" t="s">
        <v>138</v>
      </c>
      <c r="AE1599" s="32" t="s">
        <v>138</v>
      </c>
      <c r="AF1599" s="32" t="s">
        <v>138</v>
      </c>
      <c r="AG1599" s="28" t="s">
        <v>138</v>
      </c>
      <c r="AH1599" s="32" t="s">
        <v>138</v>
      </c>
      <c r="AI1599" s="32" t="s">
        <v>138</v>
      </c>
      <c r="AJ1599" s="32" t="s">
        <v>138</v>
      </c>
      <c r="AK1599" s="28" t="s">
        <v>30571</v>
      </c>
      <c r="AL1599" s="28" t="s">
        <v>30572</v>
      </c>
      <c r="AM1599" s="28" t="s">
        <v>986</v>
      </c>
      <c r="AN1599" s="28" t="s">
        <v>30573</v>
      </c>
      <c r="AO1599" s="28" t="s">
        <v>30574</v>
      </c>
      <c r="AP1599" s="28" t="s">
        <v>5380</v>
      </c>
      <c r="AQ1599" s="28" t="s">
        <v>138</v>
      </c>
      <c r="AR1599" s="28" t="s">
        <v>138</v>
      </c>
      <c r="AS1599" s="28" t="s">
        <v>5382</v>
      </c>
      <c r="AT1599" s="28" t="s">
        <v>200</v>
      </c>
      <c r="AU1599" s="28" t="s">
        <v>138</v>
      </c>
      <c r="AV1599" s="28" t="s">
        <v>162</v>
      </c>
      <c r="AW1599" s="28" t="s">
        <v>30574</v>
      </c>
      <c r="AX1599" s="28" t="s">
        <v>138</v>
      </c>
      <c r="AY1599" s="28" t="s">
        <v>30575</v>
      </c>
      <c r="AZ1599" s="28" t="s">
        <v>164</v>
      </c>
      <c r="BA1599" s="28" t="s">
        <v>165</v>
      </c>
      <c r="BB1599" s="28" t="s">
        <v>30576</v>
      </c>
      <c r="BC1599" s="28" t="s">
        <v>30577</v>
      </c>
      <c r="BD1599" s="33">
        <v>4</v>
      </c>
      <c r="BE1599" s="28" t="s">
        <v>138</v>
      </c>
      <c r="BF1599" s="28" t="s">
        <v>138</v>
      </c>
      <c r="BG1599" s="28" t="s">
        <v>138</v>
      </c>
      <c r="BH1599" s="28" t="s">
        <v>30578</v>
      </c>
      <c r="BI1599" s="28" t="s">
        <v>138</v>
      </c>
      <c r="BJ1599" s="28" t="s">
        <v>138</v>
      </c>
      <c r="BK1599" s="28" t="s">
        <v>30579</v>
      </c>
      <c r="BL1599" s="28" t="s">
        <v>138</v>
      </c>
      <c r="BM1599" s="34">
        <v>41431</v>
      </c>
      <c r="BN1599" s="29">
        <v>0.02</v>
      </c>
      <c r="BO1599" s="28" t="s">
        <v>172</v>
      </c>
      <c r="BP1599" s="29">
        <v>0.25</v>
      </c>
      <c r="BQ1599" s="28" t="s">
        <v>172</v>
      </c>
      <c r="BR1599" s="28" t="s">
        <v>316</v>
      </c>
      <c r="BS1599" s="28" t="s">
        <v>138</v>
      </c>
      <c r="BT1599" s="28" t="s">
        <v>138</v>
      </c>
      <c r="BU1599" s="28" t="s">
        <v>177</v>
      </c>
      <c r="BV1599" s="28" t="s">
        <v>138</v>
      </c>
      <c r="BW1599" s="28" t="s">
        <v>138</v>
      </c>
      <c r="BX1599" s="28" t="s">
        <v>138</v>
      </c>
      <c r="BY1599" s="28" t="s">
        <v>175</v>
      </c>
      <c r="BZ1599" s="34">
        <v>43145</v>
      </c>
      <c r="CA1599" s="29">
        <v>2.5</v>
      </c>
      <c r="CB1599" s="28" t="s">
        <v>172</v>
      </c>
      <c r="CC1599" s="29">
        <v>15</v>
      </c>
      <c r="CD1599" s="28" t="s">
        <v>172</v>
      </c>
      <c r="CE1599" s="28" t="s">
        <v>173</v>
      </c>
      <c r="CF1599" s="28" t="s">
        <v>206</v>
      </c>
      <c r="CG1599" s="28" t="s">
        <v>138</v>
      </c>
      <c r="CH1599" s="28" t="s">
        <v>174</v>
      </c>
      <c r="CI1599" s="28" t="s">
        <v>138</v>
      </c>
      <c r="CJ1599" s="28" t="s">
        <v>138</v>
      </c>
      <c r="CK1599" s="28" t="s">
        <v>138</v>
      </c>
      <c r="CL1599" s="28" t="s">
        <v>175</v>
      </c>
      <c r="CM1599" s="34" t="s">
        <v>138</v>
      </c>
      <c r="CN1599" s="29" t="s">
        <v>138</v>
      </c>
      <c r="CO1599" s="35">
        <v>0</v>
      </c>
      <c r="CP1599" s="36">
        <v>26</v>
      </c>
      <c r="CQ1599" s="35">
        <v>0</v>
      </c>
      <c r="CR1599" s="35">
        <v>0</v>
      </c>
      <c r="CS1599" s="35">
        <v>0</v>
      </c>
      <c r="CT1599" s="36">
        <v>23</v>
      </c>
      <c r="CU1599" s="35">
        <v>0</v>
      </c>
      <c r="CV1599" s="36">
        <v>22</v>
      </c>
      <c r="CW1599" s="35" t="s">
        <v>138</v>
      </c>
      <c r="CX1599" s="36" t="s">
        <v>138</v>
      </c>
      <c r="CY1599" s="35">
        <v>0</v>
      </c>
      <c r="CZ1599" s="36">
        <v>25</v>
      </c>
      <c r="DA1599" s="35">
        <v>0</v>
      </c>
      <c r="DB1599" s="36">
        <v>22</v>
      </c>
      <c r="DC1599" s="37">
        <v>0.59</v>
      </c>
      <c r="DD1599" s="36">
        <v>38</v>
      </c>
      <c r="DE1599" s="37">
        <v>0.12</v>
      </c>
      <c r="DF1599" s="35">
        <v>25.77</v>
      </c>
      <c r="DG1599" s="37">
        <v>1.07</v>
      </c>
      <c r="DH1599" s="36">
        <v>52</v>
      </c>
      <c r="DI1599" s="37">
        <v>0.11</v>
      </c>
      <c r="DJ1599" s="36">
        <v>15</v>
      </c>
      <c r="DK1599" s="37" t="s">
        <v>138</v>
      </c>
      <c r="DL1599" s="36" t="s">
        <v>138</v>
      </c>
      <c r="DM1599" s="37">
        <v>1.07</v>
      </c>
      <c r="DN1599" s="36">
        <v>52</v>
      </c>
      <c r="DO1599" s="37">
        <v>0.15</v>
      </c>
      <c r="DP1599" s="36">
        <v>21</v>
      </c>
      <c r="DQ1599" s="36" t="s">
        <v>138</v>
      </c>
      <c r="DR1599" s="38" t="s">
        <v>138</v>
      </c>
      <c r="DS1599" s="35" t="s">
        <v>138</v>
      </c>
      <c r="DT1599" s="36">
        <v>28</v>
      </c>
      <c r="DU1599" s="38">
        <v>5</v>
      </c>
      <c r="DV1599" s="35">
        <v>21.74</v>
      </c>
      <c r="DW1599" s="36">
        <v>53</v>
      </c>
      <c r="DX1599" s="39">
        <v>0</v>
      </c>
      <c r="DY1599" s="35">
        <v>0</v>
      </c>
      <c r="DZ1599" s="28" t="s">
        <v>178</v>
      </c>
      <c r="EA1599" s="34">
        <v>43595</v>
      </c>
      <c r="EB1599" s="29">
        <v>15</v>
      </c>
      <c r="EC1599" s="34">
        <v>43145</v>
      </c>
      <c r="ED1599" s="28" t="s">
        <v>173</v>
      </c>
      <c r="EE1599" s="40" t="str">
        <f>HYPERLINK("https://my.pitchbook.com?c=149194-63", "View company online")</f>
        <v>View company online</v>
      </c>
    </row>
    <row r="1600" spans="1:135">
      <c r="A1600" s="15" t="s">
        <v>30580</v>
      </c>
      <c r="B1600" s="15" t="s">
        <v>30581</v>
      </c>
      <c r="C1600" s="15" t="s">
        <v>30582</v>
      </c>
      <c r="D1600" s="15" t="s">
        <v>138</v>
      </c>
      <c r="E1600" s="15" t="s">
        <v>30583</v>
      </c>
      <c r="F1600" s="15" t="s">
        <v>30580</v>
      </c>
      <c r="G1600" s="15" t="s">
        <v>30584</v>
      </c>
      <c r="H1600" s="15" t="s">
        <v>322</v>
      </c>
      <c r="I1600" s="15" t="s">
        <v>323</v>
      </c>
      <c r="J1600" s="15" t="s">
        <v>413</v>
      </c>
      <c r="K1600" s="15" t="s">
        <v>30585</v>
      </c>
      <c r="L1600" s="15" t="s">
        <v>15062</v>
      </c>
      <c r="M1600" s="15" t="s">
        <v>30586</v>
      </c>
      <c r="N1600" s="15" t="s">
        <v>147</v>
      </c>
      <c r="O1600" s="17">
        <v>6.04</v>
      </c>
      <c r="P1600" s="15" t="s">
        <v>148</v>
      </c>
      <c r="Q1600" s="15" t="s">
        <v>149</v>
      </c>
      <c r="R1600" s="15" t="s">
        <v>174</v>
      </c>
      <c r="S1600" s="15" t="s">
        <v>30587</v>
      </c>
      <c r="T1600" s="18">
        <v>13</v>
      </c>
      <c r="U1600" s="15" t="s">
        <v>30588</v>
      </c>
      <c r="V1600" s="15" t="s">
        <v>138</v>
      </c>
      <c r="W1600" s="15" t="s">
        <v>138</v>
      </c>
      <c r="X1600" s="19">
        <v>2013</v>
      </c>
      <c r="Y1600" s="15" t="s">
        <v>138</v>
      </c>
      <c r="Z1600" s="15" t="s">
        <v>138</v>
      </c>
      <c r="AA1600" s="15" t="s">
        <v>138</v>
      </c>
      <c r="AB1600" s="20" t="s">
        <v>138</v>
      </c>
      <c r="AC1600" s="20" t="s">
        <v>138</v>
      </c>
      <c r="AD1600" s="20" t="s">
        <v>138</v>
      </c>
      <c r="AE1600" s="20" t="s">
        <v>138</v>
      </c>
      <c r="AF1600" s="20" t="s">
        <v>138</v>
      </c>
      <c r="AG1600" s="15" t="s">
        <v>138</v>
      </c>
      <c r="AH1600" s="20" t="s">
        <v>138</v>
      </c>
      <c r="AI1600" s="20" t="s">
        <v>138</v>
      </c>
      <c r="AJ1600" s="20" t="s">
        <v>138</v>
      </c>
      <c r="AK1600" s="15" t="s">
        <v>30589</v>
      </c>
      <c r="AL1600" s="15" t="s">
        <v>30590</v>
      </c>
      <c r="AM1600" s="15" t="s">
        <v>2451</v>
      </c>
      <c r="AN1600" s="15" t="s">
        <v>30591</v>
      </c>
      <c r="AO1600" s="15" t="s">
        <v>30592</v>
      </c>
      <c r="AP1600" s="15" t="s">
        <v>30593</v>
      </c>
      <c r="AQ1600" s="15" t="s">
        <v>30594</v>
      </c>
      <c r="AR1600" s="15" t="s">
        <v>1459</v>
      </c>
      <c r="AS1600" s="15" t="s">
        <v>30595</v>
      </c>
      <c r="AT1600" s="15" t="s">
        <v>2031</v>
      </c>
      <c r="AU1600" s="15" t="s">
        <v>30596</v>
      </c>
      <c r="AV1600" s="15" t="s">
        <v>162</v>
      </c>
      <c r="AW1600" s="15" t="s">
        <v>30592</v>
      </c>
      <c r="AX1600" s="15" t="s">
        <v>30597</v>
      </c>
      <c r="AY1600" s="15" t="s">
        <v>30598</v>
      </c>
      <c r="AZ1600" s="15" t="s">
        <v>164</v>
      </c>
      <c r="BA1600" s="15" t="s">
        <v>165</v>
      </c>
      <c r="BB1600" s="15" t="s">
        <v>30599</v>
      </c>
      <c r="BC1600" s="15" t="s">
        <v>30600</v>
      </c>
      <c r="BD1600" s="21">
        <v>22</v>
      </c>
      <c r="BE1600" s="15" t="s">
        <v>138</v>
      </c>
      <c r="BF1600" s="15" t="s">
        <v>138</v>
      </c>
      <c r="BG1600" s="15" t="s">
        <v>138</v>
      </c>
      <c r="BH1600" s="15" t="s">
        <v>30601</v>
      </c>
      <c r="BI1600" s="15" t="s">
        <v>138</v>
      </c>
      <c r="BJ1600" s="15" t="s">
        <v>138</v>
      </c>
      <c r="BK1600" s="15" t="s">
        <v>30602</v>
      </c>
      <c r="BL1600" s="15" t="s">
        <v>1275</v>
      </c>
      <c r="BM1600" s="22">
        <v>41522</v>
      </c>
      <c r="BN1600" s="17">
        <v>7.0000000000000007E-2</v>
      </c>
      <c r="BO1600" s="15" t="s">
        <v>172</v>
      </c>
      <c r="BP1600" s="17" t="s">
        <v>138</v>
      </c>
      <c r="BQ1600" s="15" t="s">
        <v>138</v>
      </c>
      <c r="BR1600" s="15" t="s">
        <v>205</v>
      </c>
      <c r="BS1600" s="15" t="s">
        <v>4410</v>
      </c>
      <c r="BT1600" s="15" t="s">
        <v>138</v>
      </c>
      <c r="BU1600" s="15" t="s">
        <v>174</v>
      </c>
      <c r="BV1600" s="15" t="s">
        <v>138</v>
      </c>
      <c r="BW1600" s="15" t="s">
        <v>138</v>
      </c>
      <c r="BX1600" s="15" t="s">
        <v>138</v>
      </c>
      <c r="BY1600" s="15" t="s">
        <v>175</v>
      </c>
      <c r="BZ1600" s="22">
        <v>43430</v>
      </c>
      <c r="CA1600" s="17">
        <v>1.8</v>
      </c>
      <c r="CB1600" s="15" t="s">
        <v>172</v>
      </c>
      <c r="CC1600" s="17" t="s">
        <v>138</v>
      </c>
      <c r="CD1600" s="15" t="s">
        <v>138</v>
      </c>
      <c r="CE1600" s="15" t="s">
        <v>173</v>
      </c>
      <c r="CF1600" s="15" t="s">
        <v>138</v>
      </c>
      <c r="CG1600" s="15" t="s">
        <v>138</v>
      </c>
      <c r="CH1600" s="15" t="s">
        <v>174</v>
      </c>
      <c r="CI1600" s="15" t="s">
        <v>264</v>
      </c>
      <c r="CJ1600" s="15" t="s">
        <v>138</v>
      </c>
      <c r="CK1600" s="15" t="s">
        <v>138</v>
      </c>
      <c r="CL1600" s="15" t="s">
        <v>175</v>
      </c>
      <c r="CM1600" s="22" t="s">
        <v>138</v>
      </c>
      <c r="CN1600" s="17" t="s">
        <v>138</v>
      </c>
      <c r="CO1600" s="23">
        <v>0.12</v>
      </c>
      <c r="CP1600" s="24">
        <v>91</v>
      </c>
      <c r="CQ1600" s="23">
        <v>-0.08</v>
      </c>
      <c r="CR1600" s="23">
        <v>-38.99</v>
      </c>
      <c r="CS1600" s="23">
        <v>0</v>
      </c>
      <c r="CT1600" s="24">
        <v>23</v>
      </c>
      <c r="CU1600" s="23">
        <v>0.14000000000000001</v>
      </c>
      <c r="CV1600" s="24">
        <v>74</v>
      </c>
      <c r="CW1600" s="23" t="s">
        <v>138</v>
      </c>
      <c r="CX1600" s="24" t="s">
        <v>138</v>
      </c>
      <c r="CY1600" s="23">
        <v>0</v>
      </c>
      <c r="CZ1600" s="24">
        <v>25</v>
      </c>
      <c r="DA1600" s="23">
        <v>0.14000000000000001</v>
      </c>
      <c r="DB1600" s="24">
        <v>77</v>
      </c>
      <c r="DC1600" s="25">
        <v>1.22</v>
      </c>
      <c r="DD1600" s="24">
        <v>56</v>
      </c>
      <c r="DE1600" s="25">
        <v>0.02</v>
      </c>
      <c r="DF1600" s="23">
        <v>1.78</v>
      </c>
      <c r="DG1600" s="25">
        <v>1.76</v>
      </c>
      <c r="DH1600" s="24">
        <v>64</v>
      </c>
      <c r="DI1600" s="25">
        <v>1.02</v>
      </c>
      <c r="DJ1600" s="24">
        <v>50</v>
      </c>
      <c r="DK1600" s="25" t="s">
        <v>138</v>
      </c>
      <c r="DL1600" s="24" t="s">
        <v>138</v>
      </c>
      <c r="DM1600" s="25">
        <v>1.76</v>
      </c>
      <c r="DN1600" s="24">
        <v>63</v>
      </c>
      <c r="DO1600" s="25">
        <v>1.02</v>
      </c>
      <c r="DP1600" s="24">
        <v>51</v>
      </c>
      <c r="DQ1600" s="24" t="s">
        <v>138</v>
      </c>
      <c r="DR1600" s="26" t="s">
        <v>138</v>
      </c>
      <c r="DS1600" s="23" t="s">
        <v>138</v>
      </c>
      <c r="DT1600" s="24">
        <v>51</v>
      </c>
      <c r="DU1600" s="26">
        <v>0</v>
      </c>
      <c r="DV1600" s="23">
        <v>0</v>
      </c>
      <c r="DW1600" s="24">
        <v>365</v>
      </c>
      <c r="DX1600" s="27">
        <v>1</v>
      </c>
      <c r="DY1600" s="23">
        <v>0.27</v>
      </c>
      <c r="DZ1600" s="15" t="s">
        <v>178</v>
      </c>
      <c r="EA1600" s="22">
        <v>43494</v>
      </c>
      <c r="EB1600" s="17">
        <v>10.45</v>
      </c>
      <c r="EC1600" s="22">
        <v>42607</v>
      </c>
      <c r="ED1600" s="15" t="s">
        <v>173</v>
      </c>
      <c r="EE1600" s="14" t="str">
        <f>HYPERLINK("https://my.pitchbook.com?c=125805-16", "View company online")</f>
        <v>View company online</v>
      </c>
    </row>
    <row r="1601" spans="1:135">
      <c r="A1601" s="28" t="s">
        <v>30603</v>
      </c>
      <c r="B1601" s="28" t="s">
        <v>30604</v>
      </c>
      <c r="C1601" s="28" t="s">
        <v>138</v>
      </c>
      <c r="D1601" s="28" t="s">
        <v>138</v>
      </c>
      <c r="E1601" s="28" t="s">
        <v>30605</v>
      </c>
      <c r="F1601" s="28" t="s">
        <v>30603</v>
      </c>
      <c r="G1601" s="28" t="s">
        <v>30606</v>
      </c>
      <c r="H1601" s="28" t="s">
        <v>322</v>
      </c>
      <c r="I1601" s="28" t="s">
        <v>323</v>
      </c>
      <c r="J1601" s="28" t="s">
        <v>1184</v>
      </c>
      <c r="K1601" s="28" t="s">
        <v>6678</v>
      </c>
      <c r="L1601" s="28" t="s">
        <v>215</v>
      </c>
      <c r="M1601" s="28" t="s">
        <v>30607</v>
      </c>
      <c r="N1601" s="28" t="s">
        <v>147</v>
      </c>
      <c r="O1601" s="29">
        <v>197</v>
      </c>
      <c r="P1601" s="28" t="s">
        <v>148</v>
      </c>
      <c r="Q1601" s="28" t="s">
        <v>149</v>
      </c>
      <c r="R1601" s="28" t="s">
        <v>244</v>
      </c>
      <c r="S1601" s="28" t="s">
        <v>30608</v>
      </c>
      <c r="T1601" s="30">
        <v>2500</v>
      </c>
      <c r="U1601" s="28" t="s">
        <v>30609</v>
      </c>
      <c r="V1601" s="28" t="s">
        <v>138</v>
      </c>
      <c r="W1601" s="28" t="s">
        <v>138</v>
      </c>
      <c r="X1601" s="31">
        <v>2006</v>
      </c>
      <c r="Y1601" s="28" t="s">
        <v>138</v>
      </c>
      <c r="Z1601" s="28" t="s">
        <v>138</v>
      </c>
      <c r="AA1601" s="28" t="s">
        <v>138</v>
      </c>
      <c r="AB1601" s="32">
        <v>100</v>
      </c>
      <c r="AC1601" s="32" t="s">
        <v>138</v>
      </c>
      <c r="AD1601" s="32" t="s">
        <v>138</v>
      </c>
      <c r="AE1601" s="32" t="s">
        <v>138</v>
      </c>
      <c r="AF1601" s="32" t="s">
        <v>138</v>
      </c>
      <c r="AG1601" s="28" t="s">
        <v>815</v>
      </c>
      <c r="AH1601" s="32" t="s">
        <v>138</v>
      </c>
      <c r="AI1601" s="32" t="s">
        <v>138</v>
      </c>
      <c r="AJ1601" s="32" t="s">
        <v>138</v>
      </c>
      <c r="AK1601" s="28" t="s">
        <v>30610</v>
      </c>
      <c r="AL1601" s="28" t="s">
        <v>30611</v>
      </c>
      <c r="AM1601" s="28" t="s">
        <v>2949</v>
      </c>
      <c r="AN1601" s="28" t="s">
        <v>30612</v>
      </c>
      <c r="AO1601" s="28" t="s">
        <v>30613</v>
      </c>
      <c r="AP1601" s="28" t="s">
        <v>30614</v>
      </c>
      <c r="AQ1601" s="28" t="s">
        <v>30615</v>
      </c>
      <c r="AR1601" s="28" t="s">
        <v>138</v>
      </c>
      <c r="AS1601" s="28" t="s">
        <v>30616</v>
      </c>
      <c r="AT1601" s="28" t="s">
        <v>371</v>
      </c>
      <c r="AU1601" s="28" t="s">
        <v>29341</v>
      </c>
      <c r="AV1601" s="28" t="s">
        <v>162</v>
      </c>
      <c r="AW1601" s="28" t="s">
        <v>30613</v>
      </c>
      <c r="AX1601" s="28" t="s">
        <v>138</v>
      </c>
      <c r="AY1601" s="28" t="s">
        <v>30617</v>
      </c>
      <c r="AZ1601" s="28" t="s">
        <v>164</v>
      </c>
      <c r="BA1601" s="28" t="s">
        <v>165</v>
      </c>
      <c r="BB1601" s="28" t="s">
        <v>30618</v>
      </c>
      <c r="BC1601" s="28" t="s">
        <v>30440</v>
      </c>
      <c r="BD1601" s="33">
        <v>2</v>
      </c>
      <c r="BE1601" s="28" t="s">
        <v>138</v>
      </c>
      <c r="BF1601" s="28" t="s">
        <v>138</v>
      </c>
      <c r="BG1601" s="28" t="s">
        <v>138</v>
      </c>
      <c r="BH1601" s="28" t="s">
        <v>30441</v>
      </c>
      <c r="BI1601" s="28" t="s">
        <v>138</v>
      </c>
      <c r="BJ1601" s="28" t="s">
        <v>138</v>
      </c>
      <c r="BK1601" s="28" t="s">
        <v>30619</v>
      </c>
      <c r="BL1601" s="28" t="s">
        <v>30620</v>
      </c>
      <c r="BM1601" s="34">
        <v>42180</v>
      </c>
      <c r="BN1601" s="29">
        <v>70</v>
      </c>
      <c r="BO1601" s="28" t="s">
        <v>172</v>
      </c>
      <c r="BP1601" s="29" t="s">
        <v>138</v>
      </c>
      <c r="BQ1601" s="28" t="s">
        <v>138</v>
      </c>
      <c r="BR1601" s="28" t="s">
        <v>173</v>
      </c>
      <c r="BS1601" s="28" t="s">
        <v>138</v>
      </c>
      <c r="BT1601" s="28" t="s">
        <v>138</v>
      </c>
      <c r="BU1601" s="28" t="s">
        <v>174</v>
      </c>
      <c r="BV1601" s="28" t="s">
        <v>138</v>
      </c>
      <c r="BW1601" s="28" t="s">
        <v>138</v>
      </c>
      <c r="BX1601" s="28" t="s">
        <v>138</v>
      </c>
      <c r="BY1601" s="28" t="s">
        <v>175</v>
      </c>
      <c r="BZ1601" s="34">
        <v>43329</v>
      </c>
      <c r="CA1601" s="29">
        <v>80</v>
      </c>
      <c r="CB1601" s="28" t="s">
        <v>172</v>
      </c>
      <c r="CC1601" s="29" t="s">
        <v>138</v>
      </c>
      <c r="CD1601" s="28" t="s">
        <v>138</v>
      </c>
      <c r="CE1601" s="28" t="s">
        <v>1326</v>
      </c>
      <c r="CF1601" s="28" t="s">
        <v>138</v>
      </c>
      <c r="CG1601" s="28" t="s">
        <v>138</v>
      </c>
      <c r="CH1601" s="28" t="s">
        <v>1327</v>
      </c>
      <c r="CI1601" s="28" t="s">
        <v>1498</v>
      </c>
      <c r="CJ1601" s="28" t="s">
        <v>30621</v>
      </c>
      <c r="CK1601" s="28" t="s">
        <v>138</v>
      </c>
      <c r="CL1601" s="28" t="s">
        <v>175</v>
      </c>
      <c r="CM1601" s="34">
        <v>43329</v>
      </c>
      <c r="CN1601" s="29">
        <v>10</v>
      </c>
      <c r="CO1601" s="35">
        <v>1.74</v>
      </c>
      <c r="CP1601" s="36">
        <v>99</v>
      </c>
      <c r="CQ1601" s="35">
        <v>-0.04</v>
      </c>
      <c r="CR1601" s="35">
        <v>-2</v>
      </c>
      <c r="CS1601" s="35">
        <v>3.21</v>
      </c>
      <c r="CT1601" s="36">
        <v>99</v>
      </c>
      <c r="CU1601" s="35">
        <v>0.27</v>
      </c>
      <c r="CV1601" s="36">
        <v>86</v>
      </c>
      <c r="CW1601" s="35">
        <v>3.21</v>
      </c>
      <c r="CX1601" s="36">
        <v>92</v>
      </c>
      <c r="CY1601" s="35" t="s">
        <v>138</v>
      </c>
      <c r="CZ1601" s="36" t="s">
        <v>138</v>
      </c>
      <c r="DA1601" s="35">
        <v>0.27</v>
      </c>
      <c r="DB1601" s="36">
        <v>87</v>
      </c>
      <c r="DC1601" s="37">
        <v>17.29</v>
      </c>
      <c r="DD1601" s="36">
        <v>94</v>
      </c>
      <c r="DE1601" s="37">
        <v>-1.76</v>
      </c>
      <c r="DF1601" s="35">
        <v>-9.23</v>
      </c>
      <c r="DG1601" s="37">
        <v>27.86</v>
      </c>
      <c r="DH1601" s="36">
        <v>96</v>
      </c>
      <c r="DI1601" s="37">
        <v>6.71</v>
      </c>
      <c r="DJ1601" s="36">
        <v>81</v>
      </c>
      <c r="DK1601" s="37">
        <v>27.86</v>
      </c>
      <c r="DL1601" s="36">
        <v>93</v>
      </c>
      <c r="DM1601" s="37" t="s">
        <v>138</v>
      </c>
      <c r="DN1601" s="36" t="s">
        <v>138</v>
      </c>
      <c r="DO1601" s="37">
        <v>6.71</v>
      </c>
      <c r="DP1601" s="36">
        <v>83</v>
      </c>
      <c r="DQ1601" s="36">
        <v>9412</v>
      </c>
      <c r="DR1601" s="38">
        <v>429</v>
      </c>
      <c r="DS1601" s="35">
        <v>4.78</v>
      </c>
      <c r="DT1601" s="36" t="s">
        <v>138</v>
      </c>
      <c r="DU1601" s="38" t="s">
        <v>138</v>
      </c>
      <c r="DV1601" s="35" t="s">
        <v>138</v>
      </c>
      <c r="DW1601" s="36">
        <v>2400</v>
      </c>
      <c r="DX1601" s="39">
        <v>8</v>
      </c>
      <c r="DY1601" s="35">
        <v>0.33</v>
      </c>
      <c r="DZ1601" s="28" t="s">
        <v>178</v>
      </c>
      <c r="EA1601" s="34">
        <v>43619</v>
      </c>
      <c r="EB1601" s="29" t="s">
        <v>138</v>
      </c>
      <c r="EC1601" s="34" t="s">
        <v>138</v>
      </c>
      <c r="ED1601" s="28" t="s">
        <v>138</v>
      </c>
      <c r="EE1601" s="40" t="str">
        <f>HYPERLINK("https://my.pitchbook.com?c=107933-50", "View company online")</f>
        <v>View company online</v>
      </c>
    </row>
    <row r="1602" spans="1:135">
      <c r="A1602" s="15" t="s">
        <v>30622</v>
      </c>
      <c r="B1602" s="15" t="s">
        <v>30623</v>
      </c>
      <c r="C1602" s="15" t="s">
        <v>138</v>
      </c>
      <c r="D1602" s="15" t="s">
        <v>30624</v>
      </c>
      <c r="E1602" s="15" t="s">
        <v>30625</v>
      </c>
      <c r="F1602" s="15" t="s">
        <v>30622</v>
      </c>
      <c r="G1602" s="15" t="s">
        <v>30626</v>
      </c>
      <c r="H1602" s="15" t="s">
        <v>322</v>
      </c>
      <c r="I1602" s="15" t="s">
        <v>323</v>
      </c>
      <c r="J1602" s="15" t="s">
        <v>1132</v>
      </c>
      <c r="K1602" s="15" t="s">
        <v>1777</v>
      </c>
      <c r="L1602" s="15" t="s">
        <v>138</v>
      </c>
      <c r="M1602" s="15" t="s">
        <v>30627</v>
      </c>
      <c r="N1602" s="15" t="s">
        <v>1452</v>
      </c>
      <c r="O1602" s="17" t="s">
        <v>138</v>
      </c>
      <c r="P1602" s="15" t="s">
        <v>148</v>
      </c>
      <c r="Q1602" s="15" t="s">
        <v>149</v>
      </c>
      <c r="R1602" s="15" t="s">
        <v>328</v>
      </c>
      <c r="S1602" s="15" t="s">
        <v>30628</v>
      </c>
      <c r="T1602" s="18">
        <v>501</v>
      </c>
      <c r="U1602" s="15" t="s">
        <v>30629</v>
      </c>
      <c r="V1602" s="15" t="s">
        <v>138</v>
      </c>
      <c r="W1602" s="15" t="s">
        <v>138</v>
      </c>
      <c r="X1602" s="19">
        <v>1997</v>
      </c>
      <c r="Y1602" s="15" t="s">
        <v>138</v>
      </c>
      <c r="Z1602" s="15" t="s">
        <v>138</v>
      </c>
      <c r="AA1602" s="15" t="s">
        <v>138</v>
      </c>
      <c r="AB1602" s="20" t="s">
        <v>138</v>
      </c>
      <c r="AC1602" s="20" t="s">
        <v>138</v>
      </c>
      <c r="AD1602" s="20" t="s">
        <v>138</v>
      </c>
      <c r="AE1602" s="20" t="s">
        <v>138</v>
      </c>
      <c r="AF1602" s="20" t="s">
        <v>138</v>
      </c>
      <c r="AG1602" s="15" t="s">
        <v>138</v>
      </c>
      <c r="AH1602" s="20" t="s">
        <v>138</v>
      </c>
      <c r="AI1602" s="20" t="s">
        <v>138</v>
      </c>
      <c r="AJ1602" s="20" t="s">
        <v>138</v>
      </c>
      <c r="AK1602" s="15" t="s">
        <v>30630</v>
      </c>
      <c r="AL1602" s="15" t="s">
        <v>30631</v>
      </c>
      <c r="AM1602" s="15" t="s">
        <v>30632</v>
      </c>
      <c r="AN1602" s="15" t="s">
        <v>30633</v>
      </c>
      <c r="AO1602" s="15" t="s">
        <v>30634</v>
      </c>
      <c r="AP1602" s="15" t="s">
        <v>2778</v>
      </c>
      <c r="AQ1602" s="15" t="s">
        <v>30635</v>
      </c>
      <c r="AR1602" s="15" t="s">
        <v>30636</v>
      </c>
      <c r="AS1602" s="15" t="s">
        <v>2779</v>
      </c>
      <c r="AT1602" s="15" t="s">
        <v>138</v>
      </c>
      <c r="AU1602" s="15" t="s">
        <v>30637</v>
      </c>
      <c r="AV1602" s="15" t="s">
        <v>2780</v>
      </c>
      <c r="AW1602" s="15" t="s">
        <v>30634</v>
      </c>
      <c r="AX1602" s="15" t="s">
        <v>30638</v>
      </c>
      <c r="AY1602" s="15" t="s">
        <v>138</v>
      </c>
      <c r="AZ1602" s="15" t="s">
        <v>164</v>
      </c>
      <c r="BA1602" s="15" t="s">
        <v>2781</v>
      </c>
      <c r="BB1602" s="15" t="s">
        <v>30639</v>
      </c>
      <c r="BC1602" s="15" t="s">
        <v>30640</v>
      </c>
      <c r="BD1602" s="21">
        <v>2</v>
      </c>
      <c r="BE1602" s="15" t="s">
        <v>138</v>
      </c>
      <c r="BF1602" s="15" t="s">
        <v>30641</v>
      </c>
      <c r="BG1602" s="15" t="s">
        <v>138</v>
      </c>
      <c r="BH1602" s="15" t="s">
        <v>30642</v>
      </c>
      <c r="BI1602" s="15" t="s">
        <v>30643</v>
      </c>
      <c r="BJ1602" s="15" t="s">
        <v>138</v>
      </c>
      <c r="BK1602" s="15" t="s">
        <v>30644</v>
      </c>
      <c r="BL1602" s="15" t="s">
        <v>30645</v>
      </c>
      <c r="BM1602" s="22">
        <v>36923</v>
      </c>
      <c r="BN1602" s="17" t="s">
        <v>138</v>
      </c>
      <c r="BO1602" s="15" t="s">
        <v>138</v>
      </c>
      <c r="BP1602" s="17" t="s">
        <v>138</v>
      </c>
      <c r="BQ1602" s="15" t="s">
        <v>138</v>
      </c>
      <c r="BR1602" s="15" t="s">
        <v>349</v>
      </c>
      <c r="BS1602" s="15" t="s">
        <v>138</v>
      </c>
      <c r="BT1602" s="15" t="s">
        <v>138</v>
      </c>
      <c r="BU1602" s="15" t="s">
        <v>351</v>
      </c>
      <c r="BV1602" s="15" t="s">
        <v>138</v>
      </c>
      <c r="BW1602" s="15" t="s">
        <v>138</v>
      </c>
      <c r="BX1602" s="15" t="s">
        <v>138</v>
      </c>
      <c r="BY1602" s="15" t="s">
        <v>175</v>
      </c>
      <c r="BZ1602" s="22">
        <v>43374</v>
      </c>
      <c r="CA1602" s="17" t="s">
        <v>138</v>
      </c>
      <c r="CB1602" s="15" t="s">
        <v>138</v>
      </c>
      <c r="CC1602" s="17" t="s">
        <v>138</v>
      </c>
      <c r="CD1602" s="15" t="s">
        <v>138</v>
      </c>
      <c r="CE1602" s="15" t="s">
        <v>173</v>
      </c>
      <c r="CF1602" s="15" t="s">
        <v>138</v>
      </c>
      <c r="CG1602" s="15" t="s">
        <v>138</v>
      </c>
      <c r="CH1602" s="15" t="s">
        <v>174</v>
      </c>
      <c r="CI1602" s="15" t="s">
        <v>138</v>
      </c>
      <c r="CJ1602" s="15" t="s">
        <v>138</v>
      </c>
      <c r="CK1602" s="15" t="s">
        <v>138</v>
      </c>
      <c r="CL1602" s="15" t="s">
        <v>175</v>
      </c>
      <c r="CM1602" s="22" t="s">
        <v>138</v>
      </c>
      <c r="CN1602" s="17" t="s">
        <v>138</v>
      </c>
      <c r="CO1602" s="23">
        <v>0.12</v>
      </c>
      <c r="CP1602" s="24">
        <v>91</v>
      </c>
      <c r="CQ1602" s="23">
        <v>0</v>
      </c>
      <c r="CR1602" s="23">
        <v>0</v>
      </c>
      <c r="CS1602" s="23">
        <v>0</v>
      </c>
      <c r="CT1602" s="24">
        <v>23</v>
      </c>
      <c r="CU1602" s="23">
        <v>0.25</v>
      </c>
      <c r="CV1602" s="24">
        <v>84</v>
      </c>
      <c r="CW1602" s="23" t="s">
        <v>138</v>
      </c>
      <c r="CX1602" s="24" t="s">
        <v>138</v>
      </c>
      <c r="CY1602" s="23">
        <v>0</v>
      </c>
      <c r="CZ1602" s="24">
        <v>25</v>
      </c>
      <c r="DA1602" s="23" t="s">
        <v>138</v>
      </c>
      <c r="DB1602" s="24" t="s">
        <v>138</v>
      </c>
      <c r="DC1602" s="25">
        <v>2.7</v>
      </c>
      <c r="DD1602" s="24">
        <v>73</v>
      </c>
      <c r="DE1602" s="25">
        <v>0</v>
      </c>
      <c r="DF1602" s="23">
        <v>-7.0000000000000007E-2</v>
      </c>
      <c r="DG1602" s="25">
        <v>2.21</v>
      </c>
      <c r="DH1602" s="24">
        <v>69</v>
      </c>
      <c r="DI1602" s="25">
        <v>3.19</v>
      </c>
      <c r="DJ1602" s="24">
        <v>71</v>
      </c>
      <c r="DK1602" s="25" t="s">
        <v>138</v>
      </c>
      <c r="DL1602" s="24" t="s">
        <v>138</v>
      </c>
      <c r="DM1602" s="25">
        <v>2.21</v>
      </c>
      <c r="DN1602" s="24">
        <v>68</v>
      </c>
      <c r="DO1602" s="25" t="s">
        <v>138</v>
      </c>
      <c r="DP1602" s="24" t="s">
        <v>138</v>
      </c>
      <c r="DQ1602" s="24" t="s">
        <v>138</v>
      </c>
      <c r="DR1602" s="26" t="s">
        <v>138</v>
      </c>
      <c r="DS1602" s="23" t="s">
        <v>138</v>
      </c>
      <c r="DT1602" s="24">
        <v>64</v>
      </c>
      <c r="DU1602" s="26">
        <v>0</v>
      </c>
      <c r="DV1602" s="23">
        <v>0</v>
      </c>
      <c r="DW1602" s="24" t="s">
        <v>138</v>
      </c>
      <c r="DX1602" s="27" t="s">
        <v>138</v>
      </c>
      <c r="DY1602" s="23" t="s">
        <v>138</v>
      </c>
      <c r="DZ1602" s="15" t="s">
        <v>178</v>
      </c>
      <c r="EA1602" s="22">
        <v>43508</v>
      </c>
      <c r="EB1602" s="17" t="s">
        <v>138</v>
      </c>
      <c r="EC1602" s="22" t="s">
        <v>138</v>
      </c>
      <c r="ED1602" s="15" t="s">
        <v>138</v>
      </c>
      <c r="EE1602" s="14" t="str">
        <f>HYPERLINK("https://my.pitchbook.com?c=99847-90", "View company online")</f>
        <v>View company online</v>
      </c>
    </row>
    <row r="1603" spans="1:135">
      <c r="A1603" s="28" t="s">
        <v>30646</v>
      </c>
      <c r="B1603" s="28" t="s">
        <v>30647</v>
      </c>
      <c r="C1603" s="28" t="s">
        <v>138</v>
      </c>
      <c r="D1603" s="28" t="s">
        <v>138</v>
      </c>
      <c r="E1603" s="28" t="s">
        <v>138</v>
      </c>
      <c r="F1603" s="28" t="s">
        <v>30646</v>
      </c>
      <c r="G1603" s="28" t="s">
        <v>30648</v>
      </c>
      <c r="H1603" s="28" t="s">
        <v>322</v>
      </c>
      <c r="I1603" s="28" t="s">
        <v>323</v>
      </c>
      <c r="J1603" s="28" t="s">
        <v>324</v>
      </c>
      <c r="K1603" s="28" t="s">
        <v>30649</v>
      </c>
      <c r="L1603" s="28" t="s">
        <v>7760</v>
      </c>
      <c r="M1603" s="28" t="s">
        <v>30650</v>
      </c>
      <c r="N1603" s="28" t="s">
        <v>147</v>
      </c>
      <c r="O1603" s="29">
        <v>0.09</v>
      </c>
      <c r="P1603" s="28" t="s">
        <v>148</v>
      </c>
      <c r="Q1603" s="28" t="s">
        <v>149</v>
      </c>
      <c r="R1603" s="28" t="s">
        <v>174</v>
      </c>
      <c r="S1603" s="28" t="s">
        <v>30651</v>
      </c>
      <c r="T1603" s="30" t="s">
        <v>138</v>
      </c>
      <c r="U1603" s="28" t="s">
        <v>138</v>
      </c>
      <c r="V1603" s="28" t="s">
        <v>138</v>
      </c>
      <c r="W1603" s="28" t="s">
        <v>138</v>
      </c>
      <c r="X1603" s="31">
        <v>2010</v>
      </c>
      <c r="Y1603" s="28" t="s">
        <v>138</v>
      </c>
      <c r="Z1603" s="28" t="s">
        <v>138</v>
      </c>
      <c r="AA1603" s="28" t="s">
        <v>138</v>
      </c>
      <c r="AB1603" s="32" t="s">
        <v>138</v>
      </c>
      <c r="AC1603" s="32" t="s">
        <v>138</v>
      </c>
      <c r="AD1603" s="32" t="s">
        <v>138</v>
      </c>
      <c r="AE1603" s="32" t="s">
        <v>138</v>
      </c>
      <c r="AF1603" s="32" t="s">
        <v>138</v>
      </c>
      <c r="AG1603" s="28" t="s">
        <v>138</v>
      </c>
      <c r="AH1603" s="32" t="s">
        <v>138</v>
      </c>
      <c r="AI1603" s="32" t="s">
        <v>138</v>
      </c>
      <c r="AJ1603" s="32" t="s">
        <v>138</v>
      </c>
      <c r="AK1603" s="28" t="s">
        <v>30652</v>
      </c>
      <c r="AL1603" s="28" t="s">
        <v>30653</v>
      </c>
      <c r="AM1603" s="28" t="s">
        <v>422</v>
      </c>
      <c r="AN1603" s="28" t="s">
        <v>30654</v>
      </c>
      <c r="AO1603" s="28" t="s">
        <v>30655</v>
      </c>
      <c r="AP1603" s="28" t="s">
        <v>17664</v>
      </c>
      <c r="AQ1603" s="28" t="s">
        <v>19960</v>
      </c>
      <c r="AR1603" s="28" t="s">
        <v>158</v>
      </c>
      <c r="AS1603" s="28" t="s">
        <v>17667</v>
      </c>
      <c r="AT1603" s="28" t="s">
        <v>339</v>
      </c>
      <c r="AU1603" s="28" t="s">
        <v>19961</v>
      </c>
      <c r="AV1603" s="28" t="s">
        <v>162</v>
      </c>
      <c r="AW1603" s="28" t="s">
        <v>30655</v>
      </c>
      <c r="AX1603" s="28" t="s">
        <v>30656</v>
      </c>
      <c r="AY1603" s="28" t="s">
        <v>30657</v>
      </c>
      <c r="AZ1603" s="28" t="s">
        <v>164</v>
      </c>
      <c r="BA1603" s="28" t="s">
        <v>165</v>
      </c>
      <c r="BB1603" s="28" t="s">
        <v>30658</v>
      </c>
      <c r="BC1603" s="28" t="s">
        <v>30659</v>
      </c>
      <c r="BD1603" s="33">
        <v>3</v>
      </c>
      <c r="BE1603" s="28" t="s">
        <v>138</v>
      </c>
      <c r="BF1603" s="28" t="s">
        <v>2912</v>
      </c>
      <c r="BG1603" s="28" t="s">
        <v>138</v>
      </c>
      <c r="BH1603" s="28" t="s">
        <v>30660</v>
      </c>
      <c r="BI1603" s="28" t="s">
        <v>2914</v>
      </c>
      <c r="BJ1603" s="28" t="s">
        <v>138</v>
      </c>
      <c r="BK1603" s="28" t="s">
        <v>138</v>
      </c>
      <c r="BL1603" s="28" t="s">
        <v>138</v>
      </c>
      <c r="BM1603" s="34">
        <v>41340</v>
      </c>
      <c r="BN1603" s="29">
        <v>0.06</v>
      </c>
      <c r="BO1603" s="28" t="s">
        <v>1178</v>
      </c>
      <c r="BP1603" s="29" t="s">
        <v>138</v>
      </c>
      <c r="BQ1603" s="28" t="s">
        <v>138</v>
      </c>
      <c r="BR1603" s="28" t="s">
        <v>234</v>
      </c>
      <c r="BS1603" s="28" t="s">
        <v>234</v>
      </c>
      <c r="BT1603" s="28" t="s">
        <v>138</v>
      </c>
      <c r="BU1603" s="28" t="s">
        <v>174</v>
      </c>
      <c r="BV1603" s="28" t="s">
        <v>138</v>
      </c>
      <c r="BW1603" s="28" t="s">
        <v>138</v>
      </c>
      <c r="BX1603" s="28" t="s">
        <v>138</v>
      </c>
      <c r="BY1603" s="28" t="s">
        <v>175</v>
      </c>
      <c r="BZ1603" s="34">
        <v>42639</v>
      </c>
      <c r="CA1603" s="29" t="s">
        <v>138</v>
      </c>
      <c r="CB1603" s="28" t="s">
        <v>138</v>
      </c>
      <c r="CC1603" s="29" t="s">
        <v>138</v>
      </c>
      <c r="CD1603" s="28" t="s">
        <v>138</v>
      </c>
      <c r="CE1603" s="28" t="s">
        <v>316</v>
      </c>
      <c r="CF1603" s="28" t="s">
        <v>138</v>
      </c>
      <c r="CG1603" s="28" t="s">
        <v>138</v>
      </c>
      <c r="CH1603" s="28" t="s">
        <v>177</v>
      </c>
      <c r="CI1603" s="28" t="s">
        <v>138</v>
      </c>
      <c r="CJ1603" s="28" t="s">
        <v>138</v>
      </c>
      <c r="CK1603" s="28" t="s">
        <v>138</v>
      </c>
      <c r="CL1603" s="28" t="s">
        <v>175</v>
      </c>
      <c r="CM1603" s="34" t="s">
        <v>138</v>
      </c>
      <c r="CN1603" s="29" t="s">
        <v>138</v>
      </c>
      <c r="CO1603" s="35">
        <v>0</v>
      </c>
      <c r="CP1603" s="36">
        <v>26</v>
      </c>
      <c r="CQ1603" s="35">
        <v>0</v>
      </c>
      <c r="CR1603" s="35">
        <v>0</v>
      </c>
      <c r="CS1603" s="35">
        <v>0</v>
      </c>
      <c r="CT1603" s="36">
        <v>23</v>
      </c>
      <c r="CU1603" s="35">
        <v>0</v>
      </c>
      <c r="CV1603" s="36">
        <v>22</v>
      </c>
      <c r="CW1603" s="35" t="s">
        <v>138</v>
      </c>
      <c r="CX1603" s="36" t="s">
        <v>138</v>
      </c>
      <c r="CY1603" s="35">
        <v>0</v>
      </c>
      <c r="CZ1603" s="36">
        <v>25</v>
      </c>
      <c r="DA1603" s="35">
        <v>0</v>
      </c>
      <c r="DB1603" s="36">
        <v>22</v>
      </c>
      <c r="DC1603" s="37">
        <v>0.53</v>
      </c>
      <c r="DD1603" s="36">
        <v>35</v>
      </c>
      <c r="DE1603" s="37">
        <v>0</v>
      </c>
      <c r="DF1603" s="35">
        <v>0.12</v>
      </c>
      <c r="DG1603" s="37">
        <v>0.83</v>
      </c>
      <c r="DH1603" s="36">
        <v>46</v>
      </c>
      <c r="DI1603" s="37">
        <v>0.23</v>
      </c>
      <c r="DJ1603" s="36">
        <v>24</v>
      </c>
      <c r="DK1603" s="37" t="s">
        <v>138</v>
      </c>
      <c r="DL1603" s="36" t="s">
        <v>138</v>
      </c>
      <c r="DM1603" s="37">
        <v>0.83</v>
      </c>
      <c r="DN1603" s="36">
        <v>46</v>
      </c>
      <c r="DO1603" s="37">
        <v>0.23</v>
      </c>
      <c r="DP1603" s="36">
        <v>26</v>
      </c>
      <c r="DQ1603" s="36" t="s">
        <v>138</v>
      </c>
      <c r="DR1603" s="38" t="s">
        <v>138</v>
      </c>
      <c r="DS1603" s="35" t="s">
        <v>138</v>
      </c>
      <c r="DT1603" s="36">
        <v>24</v>
      </c>
      <c r="DU1603" s="38">
        <v>1</v>
      </c>
      <c r="DV1603" s="35">
        <v>4.3499999999999996</v>
      </c>
      <c r="DW1603" s="36">
        <v>84</v>
      </c>
      <c r="DX1603" s="39">
        <v>0</v>
      </c>
      <c r="DY1603" s="35">
        <v>0</v>
      </c>
      <c r="DZ1603" s="28" t="s">
        <v>178</v>
      </c>
      <c r="EA1603" s="34">
        <v>43543</v>
      </c>
      <c r="EB1603" s="29" t="s">
        <v>138</v>
      </c>
      <c r="EC1603" s="34" t="s">
        <v>138</v>
      </c>
      <c r="ED1603" s="28" t="s">
        <v>138</v>
      </c>
      <c r="EE1603" s="40" t="str">
        <f>HYPERLINK("https://my.pitchbook.com?c=64308-43", "View company online")</f>
        <v>View company online</v>
      </c>
    </row>
    <row r="1604" spans="1:135">
      <c r="A1604" s="15" t="s">
        <v>30661</v>
      </c>
      <c r="B1604" s="15" t="s">
        <v>30662</v>
      </c>
      <c r="C1604" s="15" t="s">
        <v>138</v>
      </c>
      <c r="D1604" s="15" t="s">
        <v>138</v>
      </c>
      <c r="E1604" s="15" t="s">
        <v>30663</v>
      </c>
      <c r="F1604" s="15" t="s">
        <v>30661</v>
      </c>
      <c r="G1604" s="15" t="s">
        <v>30664</v>
      </c>
      <c r="H1604" s="15" t="s">
        <v>238</v>
      </c>
      <c r="I1604" s="15" t="s">
        <v>239</v>
      </c>
      <c r="J1604" s="15" t="s">
        <v>2578</v>
      </c>
      <c r="K1604" s="15" t="s">
        <v>21864</v>
      </c>
      <c r="L1604" s="15" t="s">
        <v>326</v>
      </c>
      <c r="M1604" s="15" t="s">
        <v>30665</v>
      </c>
      <c r="N1604" s="15" t="s">
        <v>147</v>
      </c>
      <c r="O1604" s="17">
        <v>13.75</v>
      </c>
      <c r="P1604" s="15" t="s">
        <v>148</v>
      </c>
      <c r="Q1604" s="15" t="s">
        <v>149</v>
      </c>
      <c r="R1604" s="15" t="s">
        <v>174</v>
      </c>
      <c r="S1604" s="15" t="s">
        <v>30666</v>
      </c>
      <c r="T1604" s="18">
        <v>12</v>
      </c>
      <c r="U1604" s="15" t="s">
        <v>7763</v>
      </c>
      <c r="V1604" s="15" t="s">
        <v>138</v>
      </c>
      <c r="W1604" s="15" t="s">
        <v>138</v>
      </c>
      <c r="X1604" s="19">
        <v>2015</v>
      </c>
      <c r="Y1604" s="15" t="s">
        <v>138</v>
      </c>
      <c r="Z1604" s="15" t="s">
        <v>138</v>
      </c>
      <c r="AA1604" s="15" t="s">
        <v>138</v>
      </c>
      <c r="AB1604" s="20" t="s">
        <v>138</v>
      </c>
      <c r="AC1604" s="20" t="s">
        <v>138</v>
      </c>
      <c r="AD1604" s="20" t="s">
        <v>138</v>
      </c>
      <c r="AE1604" s="20" t="s">
        <v>138</v>
      </c>
      <c r="AF1604" s="20" t="s">
        <v>138</v>
      </c>
      <c r="AG1604" s="15" t="s">
        <v>138</v>
      </c>
      <c r="AH1604" s="20" t="s">
        <v>138</v>
      </c>
      <c r="AI1604" s="20" t="s">
        <v>138</v>
      </c>
      <c r="AJ1604" s="20" t="s">
        <v>138</v>
      </c>
      <c r="AK1604" s="15" t="s">
        <v>30667</v>
      </c>
      <c r="AL1604" s="15" t="s">
        <v>30668</v>
      </c>
      <c r="AM1604" s="15" t="s">
        <v>221</v>
      </c>
      <c r="AN1604" s="15" t="s">
        <v>138</v>
      </c>
      <c r="AO1604" s="15" t="s">
        <v>138</v>
      </c>
      <c r="AP1604" s="15" t="s">
        <v>4898</v>
      </c>
      <c r="AQ1604" s="15" t="s">
        <v>30669</v>
      </c>
      <c r="AR1604" s="15" t="s">
        <v>11034</v>
      </c>
      <c r="AS1604" s="15" t="s">
        <v>4900</v>
      </c>
      <c r="AT1604" s="15" t="s">
        <v>200</v>
      </c>
      <c r="AU1604" s="15" t="s">
        <v>10934</v>
      </c>
      <c r="AV1604" s="15" t="s">
        <v>162</v>
      </c>
      <c r="AW1604" s="15" t="s">
        <v>138</v>
      </c>
      <c r="AX1604" s="15" t="s">
        <v>138</v>
      </c>
      <c r="AY1604" s="15" t="s">
        <v>30670</v>
      </c>
      <c r="AZ1604" s="15" t="s">
        <v>164</v>
      </c>
      <c r="BA1604" s="15" t="s">
        <v>165</v>
      </c>
      <c r="BB1604" s="15" t="s">
        <v>30671</v>
      </c>
      <c r="BC1604" s="15" t="s">
        <v>30672</v>
      </c>
      <c r="BD1604" s="21">
        <v>18</v>
      </c>
      <c r="BE1604" s="15" t="s">
        <v>138</v>
      </c>
      <c r="BF1604" s="15" t="s">
        <v>138</v>
      </c>
      <c r="BG1604" s="15" t="s">
        <v>138</v>
      </c>
      <c r="BH1604" s="15" t="s">
        <v>30673</v>
      </c>
      <c r="BI1604" s="15" t="s">
        <v>138</v>
      </c>
      <c r="BJ1604" s="15" t="s">
        <v>138</v>
      </c>
      <c r="BK1604" s="15" t="s">
        <v>1275</v>
      </c>
      <c r="BL1604" s="15" t="s">
        <v>1275</v>
      </c>
      <c r="BM1604" s="22">
        <v>42005</v>
      </c>
      <c r="BN1604" s="17">
        <v>6.5</v>
      </c>
      <c r="BO1604" s="15" t="s">
        <v>172</v>
      </c>
      <c r="BP1604" s="17">
        <v>21.5</v>
      </c>
      <c r="BQ1604" s="15" t="s">
        <v>172</v>
      </c>
      <c r="BR1604" s="15" t="s">
        <v>205</v>
      </c>
      <c r="BS1604" s="15" t="s">
        <v>206</v>
      </c>
      <c r="BT1604" s="15" t="s">
        <v>138</v>
      </c>
      <c r="BU1604" s="15" t="s">
        <v>174</v>
      </c>
      <c r="BV1604" s="15" t="s">
        <v>138</v>
      </c>
      <c r="BW1604" s="15" t="s">
        <v>138</v>
      </c>
      <c r="BX1604" s="15" t="s">
        <v>138</v>
      </c>
      <c r="BY1604" s="15" t="s">
        <v>175</v>
      </c>
      <c r="BZ1604" s="22">
        <v>42762</v>
      </c>
      <c r="CA1604" s="17">
        <v>7.25</v>
      </c>
      <c r="CB1604" s="15" t="s">
        <v>172</v>
      </c>
      <c r="CC1604" s="17">
        <v>32.729999999999997</v>
      </c>
      <c r="CD1604" s="15" t="s">
        <v>172</v>
      </c>
      <c r="CE1604" s="15" t="s">
        <v>205</v>
      </c>
      <c r="CF1604" s="15" t="s">
        <v>623</v>
      </c>
      <c r="CG1604" s="15" t="s">
        <v>138</v>
      </c>
      <c r="CH1604" s="15" t="s">
        <v>174</v>
      </c>
      <c r="CI1604" s="15" t="s">
        <v>138</v>
      </c>
      <c r="CJ1604" s="15" t="s">
        <v>138</v>
      </c>
      <c r="CK1604" s="15" t="s">
        <v>138</v>
      </c>
      <c r="CL1604" s="15" t="s">
        <v>175</v>
      </c>
      <c r="CM1604" s="22" t="s">
        <v>138</v>
      </c>
      <c r="CN1604" s="17" t="s">
        <v>138</v>
      </c>
      <c r="CO1604" s="23">
        <v>-0.57999999999999996</v>
      </c>
      <c r="CP1604" s="24">
        <v>15</v>
      </c>
      <c r="CQ1604" s="23">
        <v>0.06</v>
      </c>
      <c r="CR1604" s="23">
        <v>10.09</v>
      </c>
      <c r="CS1604" s="23">
        <v>-1.1399999999999999</v>
      </c>
      <c r="CT1604" s="24">
        <v>14</v>
      </c>
      <c r="CU1604" s="23">
        <v>-0.01</v>
      </c>
      <c r="CV1604" s="24">
        <v>20</v>
      </c>
      <c r="CW1604" s="23">
        <v>-1.43</v>
      </c>
      <c r="CX1604" s="24">
        <v>8</v>
      </c>
      <c r="CY1604" s="23">
        <v>-0.86</v>
      </c>
      <c r="CZ1604" s="24">
        <v>20</v>
      </c>
      <c r="DA1604" s="23">
        <v>-0.03</v>
      </c>
      <c r="DB1604" s="24">
        <v>17</v>
      </c>
      <c r="DC1604" s="25">
        <v>137.85</v>
      </c>
      <c r="DD1604" s="24">
        <v>99</v>
      </c>
      <c r="DE1604" s="25">
        <v>-12.93</v>
      </c>
      <c r="DF1604" s="23">
        <v>-8.58</v>
      </c>
      <c r="DG1604" s="25">
        <v>244.61</v>
      </c>
      <c r="DH1604" s="24">
        <v>100</v>
      </c>
      <c r="DI1604" s="25">
        <v>31.1</v>
      </c>
      <c r="DJ1604" s="24">
        <v>93</v>
      </c>
      <c r="DK1604" s="25">
        <v>411.22</v>
      </c>
      <c r="DL1604" s="24">
        <v>100</v>
      </c>
      <c r="DM1604" s="25">
        <v>78</v>
      </c>
      <c r="DN1604" s="24">
        <v>99</v>
      </c>
      <c r="DO1604" s="25">
        <v>54.38</v>
      </c>
      <c r="DP1604" s="24">
        <v>97</v>
      </c>
      <c r="DQ1604" s="24">
        <v>141157</v>
      </c>
      <c r="DR1604" s="26">
        <v>-328</v>
      </c>
      <c r="DS1604" s="23">
        <v>-0.23</v>
      </c>
      <c r="DT1604" s="24">
        <v>2253</v>
      </c>
      <c r="DU1604" s="26">
        <v>31</v>
      </c>
      <c r="DV1604" s="23">
        <v>1.4</v>
      </c>
      <c r="DW1604" s="24">
        <v>19468</v>
      </c>
      <c r="DX1604" s="27">
        <v>2</v>
      </c>
      <c r="DY1604" s="23">
        <v>0.01</v>
      </c>
      <c r="DZ1604" s="15" t="s">
        <v>178</v>
      </c>
      <c r="EA1604" s="22">
        <v>43452</v>
      </c>
      <c r="EB1604" s="17">
        <v>32.729999999999997</v>
      </c>
      <c r="EC1604" s="22">
        <v>42762</v>
      </c>
      <c r="ED1604" s="15" t="s">
        <v>205</v>
      </c>
      <c r="EE1604" s="14" t="str">
        <f>HYPERLINK("https://my.pitchbook.com?c=148824-28", "View company online")</f>
        <v>View company online</v>
      </c>
    </row>
    <row r="1605" spans="1:135">
      <c r="A1605" s="28" t="s">
        <v>30674</v>
      </c>
      <c r="B1605" s="28" t="s">
        <v>30675</v>
      </c>
      <c r="C1605" s="28" t="s">
        <v>138</v>
      </c>
      <c r="D1605" s="28" t="s">
        <v>138</v>
      </c>
      <c r="E1605" s="28" t="s">
        <v>30676</v>
      </c>
      <c r="F1605" s="28" t="s">
        <v>30674</v>
      </c>
      <c r="G1605" s="28" t="s">
        <v>30677</v>
      </c>
      <c r="H1605" s="28" t="s">
        <v>322</v>
      </c>
      <c r="I1605" s="28" t="s">
        <v>807</v>
      </c>
      <c r="J1605" s="28" t="s">
        <v>2534</v>
      </c>
      <c r="K1605" s="28" t="s">
        <v>30678</v>
      </c>
      <c r="L1605" s="28" t="s">
        <v>1580</v>
      </c>
      <c r="M1605" s="28" t="s">
        <v>30679</v>
      </c>
      <c r="N1605" s="28" t="s">
        <v>147</v>
      </c>
      <c r="O1605" s="29">
        <v>75.599999999999994</v>
      </c>
      <c r="P1605" s="28" t="s">
        <v>148</v>
      </c>
      <c r="Q1605" s="28" t="s">
        <v>149</v>
      </c>
      <c r="R1605" s="28" t="s">
        <v>174</v>
      </c>
      <c r="S1605" s="28" t="s">
        <v>30680</v>
      </c>
      <c r="T1605" s="30">
        <v>131</v>
      </c>
      <c r="U1605" s="28" t="s">
        <v>30681</v>
      </c>
      <c r="V1605" s="28" t="s">
        <v>138</v>
      </c>
      <c r="W1605" s="28" t="s">
        <v>138</v>
      </c>
      <c r="X1605" s="31">
        <v>1999</v>
      </c>
      <c r="Y1605" s="28" t="s">
        <v>138</v>
      </c>
      <c r="Z1605" s="28" t="s">
        <v>138</v>
      </c>
      <c r="AA1605" s="28" t="s">
        <v>138</v>
      </c>
      <c r="AB1605" s="32">
        <v>118.81</v>
      </c>
      <c r="AC1605" s="32" t="s">
        <v>138</v>
      </c>
      <c r="AD1605" s="32" t="s">
        <v>138</v>
      </c>
      <c r="AE1605" s="32" t="s">
        <v>138</v>
      </c>
      <c r="AF1605" s="32" t="s">
        <v>138</v>
      </c>
      <c r="AG1605" s="28" t="s">
        <v>2214</v>
      </c>
      <c r="AH1605" s="32" t="s">
        <v>138</v>
      </c>
      <c r="AI1605" s="32" t="s">
        <v>138</v>
      </c>
      <c r="AJ1605" s="32" t="s">
        <v>138</v>
      </c>
      <c r="AK1605" s="28" t="s">
        <v>30682</v>
      </c>
      <c r="AL1605" s="28" t="s">
        <v>30683</v>
      </c>
      <c r="AM1605" s="28" t="s">
        <v>30684</v>
      </c>
      <c r="AN1605" s="28" t="s">
        <v>138</v>
      </c>
      <c r="AO1605" s="28" t="s">
        <v>30685</v>
      </c>
      <c r="AP1605" s="28" t="s">
        <v>21193</v>
      </c>
      <c r="AQ1605" s="28" t="s">
        <v>30686</v>
      </c>
      <c r="AR1605" s="28" t="s">
        <v>30687</v>
      </c>
      <c r="AS1605" s="28" t="s">
        <v>21196</v>
      </c>
      <c r="AT1605" s="28" t="s">
        <v>138</v>
      </c>
      <c r="AU1605" s="28" t="s">
        <v>138</v>
      </c>
      <c r="AV1605" s="28" t="s">
        <v>21196</v>
      </c>
      <c r="AW1605" s="28" t="s">
        <v>30685</v>
      </c>
      <c r="AX1605" s="28" t="s">
        <v>30688</v>
      </c>
      <c r="AY1605" s="28" t="s">
        <v>30689</v>
      </c>
      <c r="AZ1605" s="28" t="s">
        <v>452</v>
      </c>
      <c r="BA1605" s="28" t="s">
        <v>453</v>
      </c>
      <c r="BB1605" s="28" t="s">
        <v>30690</v>
      </c>
      <c r="BC1605" s="28" t="s">
        <v>30691</v>
      </c>
      <c r="BD1605" s="33">
        <v>10</v>
      </c>
      <c r="BE1605" s="28" t="s">
        <v>138</v>
      </c>
      <c r="BF1605" s="28" t="s">
        <v>138</v>
      </c>
      <c r="BG1605" s="28" t="s">
        <v>138</v>
      </c>
      <c r="BH1605" s="28" t="s">
        <v>30692</v>
      </c>
      <c r="BI1605" s="28" t="s">
        <v>138</v>
      </c>
      <c r="BJ1605" s="28" t="s">
        <v>138</v>
      </c>
      <c r="BK1605" s="28" t="s">
        <v>138</v>
      </c>
      <c r="BL1605" s="28" t="s">
        <v>138</v>
      </c>
      <c r="BM1605" s="34" t="s">
        <v>138</v>
      </c>
      <c r="BN1605" s="29">
        <v>10</v>
      </c>
      <c r="BO1605" s="28" t="s">
        <v>1178</v>
      </c>
      <c r="BP1605" s="29" t="s">
        <v>138</v>
      </c>
      <c r="BQ1605" s="28" t="s">
        <v>138</v>
      </c>
      <c r="BR1605" s="28" t="s">
        <v>205</v>
      </c>
      <c r="BS1605" s="28" t="s">
        <v>206</v>
      </c>
      <c r="BT1605" s="28" t="s">
        <v>138</v>
      </c>
      <c r="BU1605" s="28" t="s">
        <v>174</v>
      </c>
      <c r="BV1605" s="28" t="s">
        <v>138</v>
      </c>
      <c r="BW1605" s="28" t="s">
        <v>138</v>
      </c>
      <c r="BX1605" s="28" t="s">
        <v>138</v>
      </c>
      <c r="BY1605" s="28" t="s">
        <v>175</v>
      </c>
      <c r="BZ1605" s="34">
        <v>37340</v>
      </c>
      <c r="CA1605" s="29">
        <v>45.6</v>
      </c>
      <c r="CB1605" s="28" t="s">
        <v>172</v>
      </c>
      <c r="CC1605" s="29" t="s">
        <v>138</v>
      </c>
      <c r="CD1605" s="28" t="s">
        <v>138</v>
      </c>
      <c r="CE1605" s="28" t="s">
        <v>173</v>
      </c>
      <c r="CF1605" s="28" t="s">
        <v>317</v>
      </c>
      <c r="CG1605" s="28" t="s">
        <v>138</v>
      </c>
      <c r="CH1605" s="28" t="s">
        <v>174</v>
      </c>
      <c r="CI1605" s="28" t="s">
        <v>138</v>
      </c>
      <c r="CJ1605" s="28" t="s">
        <v>138</v>
      </c>
      <c r="CK1605" s="28" t="s">
        <v>138</v>
      </c>
      <c r="CL1605" s="28" t="s">
        <v>175</v>
      </c>
      <c r="CM1605" s="34" t="s">
        <v>138</v>
      </c>
      <c r="CN1605" s="29" t="s">
        <v>138</v>
      </c>
      <c r="CO1605" s="35">
        <v>-1.27</v>
      </c>
      <c r="CP1605" s="36">
        <v>9</v>
      </c>
      <c r="CQ1605" s="35">
        <v>-0.22</v>
      </c>
      <c r="CR1605" s="35">
        <v>-21.27</v>
      </c>
      <c r="CS1605" s="35">
        <v>-2.54</v>
      </c>
      <c r="CT1605" s="36">
        <v>7</v>
      </c>
      <c r="CU1605" s="35">
        <v>0</v>
      </c>
      <c r="CV1605" s="36">
        <v>22</v>
      </c>
      <c r="CW1605" s="35" t="s">
        <v>138</v>
      </c>
      <c r="CX1605" s="36" t="s">
        <v>138</v>
      </c>
      <c r="CY1605" s="35">
        <v>-2.54</v>
      </c>
      <c r="CZ1605" s="36">
        <v>8</v>
      </c>
      <c r="DA1605" s="35" t="s">
        <v>138</v>
      </c>
      <c r="DB1605" s="36" t="s">
        <v>138</v>
      </c>
      <c r="DC1605" s="37">
        <v>4.9800000000000004</v>
      </c>
      <c r="DD1605" s="36">
        <v>83</v>
      </c>
      <c r="DE1605" s="37">
        <v>-0.17</v>
      </c>
      <c r="DF1605" s="35">
        <v>-3.35</v>
      </c>
      <c r="DG1605" s="37">
        <v>9.9</v>
      </c>
      <c r="DH1605" s="36">
        <v>89</v>
      </c>
      <c r="DI1605" s="37">
        <v>7.0000000000000007E-2</v>
      </c>
      <c r="DJ1605" s="36">
        <v>11</v>
      </c>
      <c r="DK1605" s="37" t="s">
        <v>138</v>
      </c>
      <c r="DL1605" s="36" t="s">
        <v>138</v>
      </c>
      <c r="DM1605" s="37">
        <v>9.9</v>
      </c>
      <c r="DN1605" s="36">
        <v>89</v>
      </c>
      <c r="DO1605" s="37" t="s">
        <v>138</v>
      </c>
      <c r="DP1605" s="36" t="s">
        <v>138</v>
      </c>
      <c r="DQ1605" s="36" t="s">
        <v>138</v>
      </c>
      <c r="DR1605" s="38" t="s">
        <v>138</v>
      </c>
      <c r="DS1605" s="35" t="s">
        <v>138</v>
      </c>
      <c r="DT1605" s="36">
        <v>291</v>
      </c>
      <c r="DU1605" s="38">
        <v>-9</v>
      </c>
      <c r="DV1605" s="35">
        <v>-3</v>
      </c>
      <c r="DW1605" s="36" t="s">
        <v>138</v>
      </c>
      <c r="DX1605" s="39" t="s">
        <v>138</v>
      </c>
      <c r="DY1605" s="35" t="s">
        <v>138</v>
      </c>
      <c r="DZ1605" s="28" t="s">
        <v>178</v>
      </c>
      <c r="EA1605" s="34">
        <v>43351</v>
      </c>
      <c r="EB1605" s="29" t="s">
        <v>138</v>
      </c>
      <c r="EC1605" s="34" t="s">
        <v>138</v>
      </c>
      <c r="ED1605" s="28" t="s">
        <v>138</v>
      </c>
      <c r="EE1605" s="40" t="str">
        <f>HYPERLINK("https://my.pitchbook.com?c=52919-56", "View company online")</f>
        <v>View company online</v>
      </c>
    </row>
    <row r="1606" spans="1:135">
      <c r="A1606" s="15" t="s">
        <v>30693</v>
      </c>
      <c r="B1606" s="15" t="s">
        <v>30694</v>
      </c>
      <c r="C1606" s="15" t="s">
        <v>30695</v>
      </c>
      <c r="D1606" s="15" t="s">
        <v>138</v>
      </c>
      <c r="E1606" s="15" t="s">
        <v>138</v>
      </c>
      <c r="F1606" s="15" t="s">
        <v>30693</v>
      </c>
      <c r="G1606" s="15" t="s">
        <v>30696</v>
      </c>
      <c r="H1606" s="15" t="s">
        <v>183</v>
      </c>
      <c r="I1606" s="15" t="s">
        <v>3466</v>
      </c>
      <c r="J1606" s="15" t="s">
        <v>3467</v>
      </c>
      <c r="K1606" s="15" t="s">
        <v>30697</v>
      </c>
      <c r="L1606" s="15" t="s">
        <v>30698</v>
      </c>
      <c r="M1606" s="15" t="s">
        <v>30699</v>
      </c>
      <c r="N1606" s="15" t="s">
        <v>147</v>
      </c>
      <c r="O1606" s="17">
        <v>190.44</v>
      </c>
      <c r="P1606" s="15" t="s">
        <v>148</v>
      </c>
      <c r="Q1606" s="15" t="s">
        <v>149</v>
      </c>
      <c r="R1606" s="15" t="s">
        <v>174</v>
      </c>
      <c r="S1606" s="15" t="s">
        <v>30700</v>
      </c>
      <c r="T1606" s="18">
        <v>50</v>
      </c>
      <c r="U1606" s="15" t="s">
        <v>30701</v>
      </c>
      <c r="V1606" s="15" t="s">
        <v>138</v>
      </c>
      <c r="W1606" s="15" t="s">
        <v>138</v>
      </c>
      <c r="X1606" s="19" t="s">
        <v>138</v>
      </c>
      <c r="Y1606" s="15" t="s">
        <v>138</v>
      </c>
      <c r="Z1606" s="15" t="s">
        <v>138</v>
      </c>
      <c r="AA1606" s="15" t="s">
        <v>138</v>
      </c>
      <c r="AB1606" s="20" t="s">
        <v>138</v>
      </c>
      <c r="AC1606" s="20" t="s">
        <v>138</v>
      </c>
      <c r="AD1606" s="20" t="s">
        <v>138</v>
      </c>
      <c r="AE1606" s="20" t="s">
        <v>138</v>
      </c>
      <c r="AF1606" s="20" t="s">
        <v>138</v>
      </c>
      <c r="AG1606" s="15" t="s">
        <v>138</v>
      </c>
      <c r="AH1606" s="20" t="s">
        <v>138</v>
      </c>
      <c r="AI1606" s="20" t="s">
        <v>138</v>
      </c>
      <c r="AJ1606" s="20" t="s">
        <v>138</v>
      </c>
      <c r="AK1606" s="15" t="s">
        <v>30702</v>
      </c>
      <c r="AL1606" s="15" t="s">
        <v>30703</v>
      </c>
      <c r="AM1606" s="15" t="s">
        <v>30704</v>
      </c>
      <c r="AN1606" s="15" t="s">
        <v>30705</v>
      </c>
      <c r="AO1606" s="15" t="s">
        <v>30706</v>
      </c>
      <c r="AP1606" s="15" t="s">
        <v>13355</v>
      </c>
      <c r="AQ1606" s="15" t="s">
        <v>30707</v>
      </c>
      <c r="AR1606" s="15" t="s">
        <v>30708</v>
      </c>
      <c r="AS1606" s="15" t="s">
        <v>13357</v>
      </c>
      <c r="AT1606" s="15" t="s">
        <v>200</v>
      </c>
      <c r="AU1606" s="15" t="s">
        <v>13358</v>
      </c>
      <c r="AV1606" s="15" t="s">
        <v>162</v>
      </c>
      <c r="AW1606" s="15" t="s">
        <v>30706</v>
      </c>
      <c r="AX1606" s="15" t="s">
        <v>138</v>
      </c>
      <c r="AY1606" s="15" t="s">
        <v>138</v>
      </c>
      <c r="AZ1606" s="15" t="s">
        <v>164</v>
      </c>
      <c r="BA1606" s="15" t="s">
        <v>165</v>
      </c>
      <c r="BB1606" s="15" t="s">
        <v>30709</v>
      </c>
      <c r="BC1606" s="15" t="s">
        <v>30710</v>
      </c>
      <c r="BD1606" s="21">
        <v>50</v>
      </c>
      <c r="BE1606" s="15" t="s">
        <v>138</v>
      </c>
      <c r="BF1606" s="15" t="s">
        <v>138</v>
      </c>
      <c r="BG1606" s="15" t="s">
        <v>138</v>
      </c>
      <c r="BH1606" s="15" t="s">
        <v>30711</v>
      </c>
      <c r="BI1606" s="15" t="s">
        <v>138</v>
      </c>
      <c r="BJ1606" s="15" t="s">
        <v>138</v>
      </c>
      <c r="BK1606" s="15" t="s">
        <v>290</v>
      </c>
      <c r="BL1606" s="15" t="s">
        <v>290</v>
      </c>
      <c r="BM1606" s="22">
        <v>40603</v>
      </c>
      <c r="BN1606" s="17">
        <v>41</v>
      </c>
      <c r="BO1606" s="15" t="s">
        <v>172</v>
      </c>
      <c r="BP1606" s="17" t="s">
        <v>138</v>
      </c>
      <c r="BQ1606" s="15" t="s">
        <v>138</v>
      </c>
      <c r="BR1606" s="15" t="s">
        <v>205</v>
      </c>
      <c r="BS1606" s="15" t="s">
        <v>138</v>
      </c>
      <c r="BT1606" s="15" t="s">
        <v>138</v>
      </c>
      <c r="BU1606" s="15" t="s">
        <v>174</v>
      </c>
      <c r="BV1606" s="15" t="s">
        <v>138</v>
      </c>
      <c r="BW1606" s="15" t="s">
        <v>138</v>
      </c>
      <c r="BX1606" s="15" t="s">
        <v>138</v>
      </c>
      <c r="BY1606" s="15" t="s">
        <v>175</v>
      </c>
      <c r="BZ1606" s="22">
        <v>42933</v>
      </c>
      <c r="CA1606" s="17">
        <v>89.44</v>
      </c>
      <c r="CB1606" s="15" t="s">
        <v>172</v>
      </c>
      <c r="CC1606" s="17">
        <v>399.44</v>
      </c>
      <c r="CD1606" s="15" t="s">
        <v>172</v>
      </c>
      <c r="CE1606" s="15" t="s">
        <v>173</v>
      </c>
      <c r="CF1606" s="15" t="s">
        <v>2359</v>
      </c>
      <c r="CG1606" s="15" t="s">
        <v>138</v>
      </c>
      <c r="CH1606" s="15" t="s">
        <v>174</v>
      </c>
      <c r="CI1606" s="15" t="s">
        <v>138</v>
      </c>
      <c r="CJ1606" s="15" t="s">
        <v>138</v>
      </c>
      <c r="CK1606" s="15" t="s">
        <v>138</v>
      </c>
      <c r="CL1606" s="15" t="s">
        <v>175</v>
      </c>
      <c r="CM1606" s="22" t="s">
        <v>138</v>
      </c>
      <c r="CN1606" s="17" t="s">
        <v>138</v>
      </c>
      <c r="CO1606" s="23">
        <v>-0.52</v>
      </c>
      <c r="CP1606" s="24">
        <v>16</v>
      </c>
      <c r="CQ1606" s="23">
        <v>0.63</v>
      </c>
      <c r="CR1606" s="23">
        <v>54.46</v>
      </c>
      <c r="CS1606" s="23">
        <v>-1.1599999999999999</v>
      </c>
      <c r="CT1606" s="24">
        <v>14</v>
      </c>
      <c r="CU1606" s="23">
        <v>0.11</v>
      </c>
      <c r="CV1606" s="24">
        <v>70</v>
      </c>
      <c r="CW1606" s="23">
        <v>0.64</v>
      </c>
      <c r="CX1606" s="24">
        <v>83</v>
      </c>
      <c r="CY1606" s="23">
        <v>-2.96</v>
      </c>
      <c r="CZ1606" s="24">
        <v>7</v>
      </c>
      <c r="DA1606" s="23">
        <v>0.11</v>
      </c>
      <c r="DB1606" s="24">
        <v>73</v>
      </c>
      <c r="DC1606" s="25">
        <v>46.25</v>
      </c>
      <c r="DD1606" s="24">
        <v>98</v>
      </c>
      <c r="DE1606" s="25">
        <v>-24.66</v>
      </c>
      <c r="DF1606" s="23">
        <v>-34.78</v>
      </c>
      <c r="DG1606" s="25">
        <v>66.72</v>
      </c>
      <c r="DH1606" s="24">
        <v>99</v>
      </c>
      <c r="DI1606" s="25">
        <v>25.77</v>
      </c>
      <c r="DJ1606" s="24">
        <v>92</v>
      </c>
      <c r="DK1606" s="25">
        <v>63.89</v>
      </c>
      <c r="DL1606" s="24">
        <v>97</v>
      </c>
      <c r="DM1606" s="25">
        <v>69.55</v>
      </c>
      <c r="DN1606" s="24">
        <v>99</v>
      </c>
      <c r="DO1606" s="25">
        <v>25.77</v>
      </c>
      <c r="DP1606" s="24">
        <v>94</v>
      </c>
      <c r="DQ1606" s="24">
        <v>22035</v>
      </c>
      <c r="DR1606" s="26">
        <v>-360</v>
      </c>
      <c r="DS1606" s="23">
        <v>-1.61</v>
      </c>
      <c r="DT1606" s="24">
        <v>2019</v>
      </c>
      <c r="DU1606" s="26">
        <v>-6</v>
      </c>
      <c r="DV1606" s="23">
        <v>-0.3</v>
      </c>
      <c r="DW1606" s="24">
        <v>9223</v>
      </c>
      <c r="DX1606" s="27">
        <v>5</v>
      </c>
      <c r="DY1606" s="23">
        <v>0.05</v>
      </c>
      <c r="DZ1606" s="15" t="s">
        <v>178</v>
      </c>
      <c r="EA1606" s="22">
        <v>43591</v>
      </c>
      <c r="EB1606" s="17">
        <v>399.44</v>
      </c>
      <c r="EC1606" s="22">
        <v>42933</v>
      </c>
      <c r="ED1606" s="15" t="s">
        <v>173</v>
      </c>
      <c r="EE1606" s="14" t="str">
        <f>HYPERLINK("https://my.pitchbook.com?c=100386-01", "View company online")</f>
        <v>View company online</v>
      </c>
    </row>
    <row r="1607" spans="1:135">
      <c r="A1607" s="28" t="s">
        <v>30712</v>
      </c>
      <c r="B1607" s="28" t="s">
        <v>30713</v>
      </c>
      <c r="C1607" s="28" t="s">
        <v>138</v>
      </c>
      <c r="D1607" s="28" t="s">
        <v>30714</v>
      </c>
      <c r="E1607" s="28" t="s">
        <v>30715</v>
      </c>
      <c r="F1607" s="28" t="s">
        <v>30712</v>
      </c>
      <c r="G1607" s="28" t="s">
        <v>30716</v>
      </c>
      <c r="H1607" s="28" t="s">
        <v>890</v>
      </c>
      <c r="I1607" s="28" t="s">
        <v>891</v>
      </c>
      <c r="J1607" s="28" t="s">
        <v>7528</v>
      </c>
      <c r="K1607" s="28" t="s">
        <v>30717</v>
      </c>
      <c r="L1607" s="28" t="s">
        <v>5101</v>
      </c>
      <c r="M1607" s="28" t="s">
        <v>30718</v>
      </c>
      <c r="N1607" s="28" t="s">
        <v>147</v>
      </c>
      <c r="O1607" s="29">
        <v>135</v>
      </c>
      <c r="P1607" s="28" t="s">
        <v>148</v>
      </c>
      <c r="Q1607" s="28" t="s">
        <v>149</v>
      </c>
      <c r="R1607" s="28" t="s">
        <v>244</v>
      </c>
      <c r="S1607" s="28" t="s">
        <v>30719</v>
      </c>
      <c r="T1607" s="30">
        <v>48</v>
      </c>
      <c r="U1607" s="28" t="s">
        <v>30720</v>
      </c>
      <c r="V1607" s="28" t="s">
        <v>138</v>
      </c>
      <c r="W1607" s="28" t="s">
        <v>138</v>
      </c>
      <c r="X1607" s="31">
        <v>2014</v>
      </c>
      <c r="Y1607" s="28" t="s">
        <v>138</v>
      </c>
      <c r="Z1607" s="28" t="s">
        <v>138</v>
      </c>
      <c r="AA1607" s="28" t="s">
        <v>138</v>
      </c>
      <c r="AB1607" s="32" t="s">
        <v>138</v>
      </c>
      <c r="AC1607" s="32" t="s">
        <v>138</v>
      </c>
      <c r="AD1607" s="32" t="s">
        <v>138</v>
      </c>
      <c r="AE1607" s="32" t="s">
        <v>138</v>
      </c>
      <c r="AF1607" s="32" t="s">
        <v>138</v>
      </c>
      <c r="AG1607" s="28" t="s">
        <v>138</v>
      </c>
      <c r="AH1607" s="32" t="s">
        <v>138</v>
      </c>
      <c r="AI1607" s="32" t="s">
        <v>138</v>
      </c>
      <c r="AJ1607" s="32" t="s">
        <v>138</v>
      </c>
      <c r="AK1607" s="28" t="s">
        <v>30721</v>
      </c>
      <c r="AL1607" s="28" t="s">
        <v>30722</v>
      </c>
      <c r="AM1607" s="28" t="s">
        <v>30723</v>
      </c>
      <c r="AN1607" s="28" t="s">
        <v>30724</v>
      </c>
      <c r="AO1607" s="28" t="s">
        <v>138</v>
      </c>
      <c r="AP1607" s="28" t="s">
        <v>1028</v>
      </c>
      <c r="AQ1607" s="28" t="s">
        <v>30725</v>
      </c>
      <c r="AR1607" s="28" t="s">
        <v>6688</v>
      </c>
      <c r="AS1607" s="28" t="s">
        <v>1031</v>
      </c>
      <c r="AT1607" s="28" t="s">
        <v>1032</v>
      </c>
      <c r="AU1607" s="28" t="s">
        <v>30726</v>
      </c>
      <c r="AV1607" s="28" t="s">
        <v>162</v>
      </c>
      <c r="AW1607" s="28" t="s">
        <v>138</v>
      </c>
      <c r="AX1607" s="28" t="s">
        <v>138</v>
      </c>
      <c r="AY1607" s="28" t="s">
        <v>138</v>
      </c>
      <c r="AZ1607" s="28" t="s">
        <v>164</v>
      </c>
      <c r="BA1607" s="28" t="s">
        <v>165</v>
      </c>
      <c r="BB1607" s="28" t="s">
        <v>30727</v>
      </c>
      <c r="BC1607" s="28" t="s">
        <v>30728</v>
      </c>
      <c r="BD1607" s="33">
        <v>8</v>
      </c>
      <c r="BE1607" s="28" t="s">
        <v>138</v>
      </c>
      <c r="BF1607" s="28" t="s">
        <v>138</v>
      </c>
      <c r="BG1607" s="28" t="s">
        <v>138</v>
      </c>
      <c r="BH1607" s="28" t="s">
        <v>30729</v>
      </c>
      <c r="BI1607" s="28" t="s">
        <v>138</v>
      </c>
      <c r="BJ1607" s="28" t="s">
        <v>138</v>
      </c>
      <c r="BK1607" s="28" t="s">
        <v>30730</v>
      </c>
      <c r="BL1607" s="28" t="s">
        <v>30731</v>
      </c>
      <c r="BM1607" s="34">
        <v>41873</v>
      </c>
      <c r="BN1607" s="29" t="s">
        <v>138</v>
      </c>
      <c r="BO1607" s="28" t="s">
        <v>138</v>
      </c>
      <c r="BP1607" s="29" t="s">
        <v>138</v>
      </c>
      <c r="BQ1607" s="28" t="s">
        <v>138</v>
      </c>
      <c r="BR1607" s="28" t="s">
        <v>205</v>
      </c>
      <c r="BS1607" s="28" t="s">
        <v>138</v>
      </c>
      <c r="BT1607" s="28" t="s">
        <v>138</v>
      </c>
      <c r="BU1607" s="28" t="s">
        <v>174</v>
      </c>
      <c r="BV1607" s="28" t="s">
        <v>138</v>
      </c>
      <c r="BW1607" s="28" t="s">
        <v>138</v>
      </c>
      <c r="BX1607" s="28" t="s">
        <v>138</v>
      </c>
      <c r="BY1607" s="28" t="s">
        <v>175</v>
      </c>
      <c r="BZ1607" s="34">
        <v>43517</v>
      </c>
      <c r="CA1607" s="29">
        <v>65</v>
      </c>
      <c r="CB1607" s="28" t="s">
        <v>172</v>
      </c>
      <c r="CC1607" s="29" t="s">
        <v>138</v>
      </c>
      <c r="CD1607" s="28" t="s">
        <v>138</v>
      </c>
      <c r="CE1607" s="28" t="s">
        <v>1326</v>
      </c>
      <c r="CF1607" s="28" t="s">
        <v>138</v>
      </c>
      <c r="CG1607" s="28" t="s">
        <v>138</v>
      </c>
      <c r="CH1607" s="28" t="s">
        <v>1327</v>
      </c>
      <c r="CI1607" s="28" t="s">
        <v>1328</v>
      </c>
      <c r="CJ1607" s="28" t="s">
        <v>138</v>
      </c>
      <c r="CK1607" s="28" t="s">
        <v>138</v>
      </c>
      <c r="CL1607" s="28" t="s">
        <v>175</v>
      </c>
      <c r="CM1607" s="34">
        <v>43517</v>
      </c>
      <c r="CN1607" s="29">
        <v>65</v>
      </c>
      <c r="CO1607" s="35">
        <v>1.86</v>
      </c>
      <c r="CP1607" s="36">
        <v>99</v>
      </c>
      <c r="CQ1607" s="35">
        <v>0.01</v>
      </c>
      <c r="CR1607" s="35">
        <v>0.42</v>
      </c>
      <c r="CS1607" s="35">
        <v>3.58</v>
      </c>
      <c r="CT1607" s="36">
        <v>99</v>
      </c>
      <c r="CU1607" s="35">
        <v>0.13</v>
      </c>
      <c r="CV1607" s="36">
        <v>73</v>
      </c>
      <c r="CW1607" s="35">
        <v>6.87</v>
      </c>
      <c r="CX1607" s="36">
        <v>98</v>
      </c>
      <c r="CY1607" s="35">
        <v>0.3</v>
      </c>
      <c r="CZ1607" s="36">
        <v>98</v>
      </c>
      <c r="DA1607" s="35">
        <v>0.17</v>
      </c>
      <c r="DB1607" s="36">
        <v>80</v>
      </c>
      <c r="DC1607" s="37">
        <v>53.74</v>
      </c>
      <c r="DD1607" s="36">
        <v>98</v>
      </c>
      <c r="DE1607" s="37">
        <v>-5.65</v>
      </c>
      <c r="DF1607" s="35">
        <v>-9.52</v>
      </c>
      <c r="DG1607" s="37">
        <v>102.96</v>
      </c>
      <c r="DH1607" s="36">
        <v>99</v>
      </c>
      <c r="DI1607" s="37">
        <v>4.51</v>
      </c>
      <c r="DJ1607" s="36">
        <v>76</v>
      </c>
      <c r="DK1607" s="37">
        <v>176.3</v>
      </c>
      <c r="DL1607" s="36">
        <v>99</v>
      </c>
      <c r="DM1607" s="37">
        <v>29.62</v>
      </c>
      <c r="DN1607" s="36">
        <v>96</v>
      </c>
      <c r="DO1607" s="37">
        <v>2.23</v>
      </c>
      <c r="DP1607" s="36">
        <v>66</v>
      </c>
      <c r="DQ1607" s="36">
        <v>59446</v>
      </c>
      <c r="DR1607" s="38">
        <v>3074</v>
      </c>
      <c r="DS1607" s="35">
        <v>5.45</v>
      </c>
      <c r="DT1607" s="36">
        <v>861</v>
      </c>
      <c r="DU1607" s="38">
        <v>-8</v>
      </c>
      <c r="DV1607" s="35">
        <v>-0.92</v>
      </c>
      <c r="DW1607" s="36">
        <v>798</v>
      </c>
      <c r="DX1607" s="39">
        <v>3</v>
      </c>
      <c r="DY1607" s="35">
        <v>0.38</v>
      </c>
      <c r="DZ1607" s="28" t="s">
        <v>178</v>
      </c>
      <c r="EA1607" s="34">
        <v>43577</v>
      </c>
      <c r="EB1607" s="29">
        <v>80</v>
      </c>
      <c r="EC1607" s="34">
        <v>42181</v>
      </c>
      <c r="ED1607" s="28" t="s">
        <v>205</v>
      </c>
      <c r="EE1607" s="40" t="str">
        <f>HYPERLINK("https://my.pitchbook.com?c=114568-30", "View company online")</f>
        <v>View company online</v>
      </c>
    </row>
    <row r="1608" spans="1:135">
      <c r="A1608" s="15" t="s">
        <v>30732</v>
      </c>
      <c r="B1608" s="15" t="s">
        <v>30733</v>
      </c>
      <c r="C1608" s="15" t="s">
        <v>138</v>
      </c>
      <c r="D1608" s="15" t="s">
        <v>138</v>
      </c>
      <c r="E1608" s="15" t="s">
        <v>30734</v>
      </c>
      <c r="F1608" s="15" t="s">
        <v>30732</v>
      </c>
      <c r="G1608" s="15" t="s">
        <v>30735</v>
      </c>
      <c r="H1608" s="15" t="s">
        <v>322</v>
      </c>
      <c r="I1608" s="15" t="s">
        <v>323</v>
      </c>
      <c r="J1608" s="15" t="s">
        <v>461</v>
      </c>
      <c r="K1608" s="15" t="s">
        <v>30736</v>
      </c>
      <c r="L1608" s="15" t="s">
        <v>215</v>
      </c>
      <c r="M1608" s="15" t="s">
        <v>30737</v>
      </c>
      <c r="N1608" s="15" t="s">
        <v>147</v>
      </c>
      <c r="O1608" s="17">
        <v>8.4</v>
      </c>
      <c r="P1608" s="15" t="s">
        <v>148</v>
      </c>
      <c r="Q1608" s="15" t="s">
        <v>149</v>
      </c>
      <c r="R1608" s="15" t="s">
        <v>174</v>
      </c>
      <c r="S1608" s="15" t="s">
        <v>30738</v>
      </c>
      <c r="T1608" s="18">
        <v>11</v>
      </c>
      <c r="U1608" s="15" t="s">
        <v>14479</v>
      </c>
      <c r="V1608" s="15" t="s">
        <v>138</v>
      </c>
      <c r="W1608" s="15" t="s">
        <v>138</v>
      </c>
      <c r="X1608" s="19">
        <v>2005</v>
      </c>
      <c r="Y1608" s="15" t="s">
        <v>138</v>
      </c>
      <c r="Z1608" s="15" t="s">
        <v>138</v>
      </c>
      <c r="AA1608" s="15" t="s">
        <v>138</v>
      </c>
      <c r="AB1608" s="20" t="s">
        <v>138</v>
      </c>
      <c r="AC1608" s="20" t="s">
        <v>138</v>
      </c>
      <c r="AD1608" s="20" t="s">
        <v>138</v>
      </c>
      <c r="AE1608" s="20" t="s">
        <v>138</v>
      </c>
      <c r="AF1608" s="20" t="s">
        <v>138</v>
      </c>
      <c r="AG1608" s="15" t="s">
        <v>138</v>
      </c>
      <c r="AH1608" s="20" t="s">
        <v>138</v>
      </c>
      <c r="AI1608" s="20" t="s">
        <v>138</v>
      </c>
      <c r="AJ1608" s="20" t="s">
        <v>138</v>
      </c>
      <c r="AK1608" s="15" t="s">
        <v>30739</v>
      </c>
      <c r="AL1608" s="15" t="s">
        <v>30740</v>
      </c>
      <c r="AM1608" s="15" t="s">
        <v>30741</v>
      </c>
      <c r="AN1608" s="15" t="s">
        <v>30742</v>
      </c>
      <c r="AO1608" s="15" t="s">
        <v>30743</v>
      </c>
      <c r="AP1608" s="15" t="s">
        <v>30744</v>
      </c>
      <c r="AQ1608" s="15" t="s">
        <v>30745</v>
      </c>
      <c r="AR1608" s="15" t="s">
        <v>138</v>
      </c>
      <c r="AS1608" s="15" t="s">
        <v>30746</v>
      </c>
      <c r="AT1608" s="15" t="s">
        <v>138</v>
      </c>
      <c r="AU1608" s="15" t="s">
        <v>30747</v>
      </c>
      <c r="AV1608" s="15" t="s">
        <v>946</v>
      </c>
      <c r="AW1608" s="15" t="s">
        <v>30743</v>
      </c>
      <c r="AX1608" s="15" t="s">
        <v>30748</v>
      </c>
      <c r="AY1608" s="15" t="s">
        <v>30749</v>
      </c>
      <c r="AZ1608" s="15" t="s">
        <v>530</v>
      </c>
      <c r="BA1608" s="15" t="s">
        <v>531</v>
      </c>
      <c r="BB1608" s="15" t="s">
        <v>30750</v>
      </c>
      <c r="BC1608" s="15" t="s">
        <v>30751</v>
      </c>
      <c r="BD1608" s="21">
        <v>6</v>
      </c>
      <c r="BE1608" s="15" t="s">
        <v>138</v>
      </c>
      <c r="BF1608" s="15" t="s">
        <v>2912</v>
      </c>
      <c r="BG1608" s="15" t="s">
        <v>138</v>
      </c>
      <c r="BH1608" s="15" t="s">
        <v>30752</v>
      </c>
      <c r="BI1608" s="15" t="s">
        <v>2914</v>
      </c>
      <c r="BJ1608" s="15" t="s">
        <v>138</v>
      </c>
      <c r="BK1608" s="15" t="s">
        <v>138</v>
      </c>
      <c r="BL1608" s="15" t="s">
        <v>138</v>
      </c>
      <c r="BM1608" s="22">
        <v>38755</v>
      </c>
      <c r="BN1608" s="17">
        <v>8.4</v>
      </c>
      <c r="BO1608" s="15" t="s">
        <v>172</v>
      </c>
      <c r="BP1608" s="17" t="s">
        <v>138</v>
      </c>
      <c r="BQ1608" s="15" t="s">
        <v>138</v>
      </c>
      <c r="BR1608" s="15" t="s">
        <v>205</v>
      </c>
      <c r="BS1608" s="15" t="s">
        <v>206</v>
      </c>
      <c r="BT1608" s="15" t="s">
        <v>138</v>
      </c>
      <c r="BU1608" s="15" t="s">
        <v>174</v>
      </c>
      <c r="BV1608" s="15" t="s">
        <v>138</v>
      </c>
      <c r="BW1608" s="15" t="s">
        <v>138</v>
      </c>
      <c r="BX1608" s="15" t="s">
        <v>138</v>
      </c>
      <c r="BY1608" s="15" t="s">
        <v>175</v>
      </c>
      <c r="BZ1608" s="22">
        <v>42356</v>
      </c>
      <c r="CA1608" s="17" t="s">
        <v>138</v>
      </c>
      <c r="CB1608" s="15" t="s">
        <v>138</v>
      </c>
      <c r="CC1608" s="17" t="s">
        <v>138</v>
      </c>
      <c r="CD1608" s="15" t="s">
        <v>138</v>
      </c>
      <c r="CE1608" s="15" t="s">
        <v>379</v>
      </c>
      <c r="CF1608" s="15" t="s">
        <v>138</v>
      </c>
      <c r="CG1608" s="15" t="s">
        <v>138</v>
      </c>
      <c r="CH1608" s="15" t="s">
        <v>174</v>
      </c>
      <c r="CI1608" s="15" t="s">
        <v>138</v>
      </c>
      <c r="CJ1608" s="15" t="s">
        <v>138</v>
      </c>
      <c r="CK1608" s="15" t="s">
        <v>138</v>
      </c>
      <c r="CL1608" s="15" t="s">
        <v>175</v>
      </c>
      <c r="CM1608" s="22" t="s">
        <v>138</v>
      </c>
      <c r="CN1608" s="17" t="s">
        <v>138</v>
      </c>
      <c r="CO1608" s="23">
        <v>-2.27</v>
      </c>
      <c r="CP1608" s="24">
        <v>5</v>
      </c>
      <c r="CQ1608" s="23">
        <v>0</v>
      </c>
      <c r="CR1608" s="23">
        <v>-0.13</v>
      </c>
      <c r="CS1608" s="23">
        <v>-4.54</v>
      </c>
      <c r="CT1608" s="24">
        <v>3</v>
      </c>
      <c r="CU1608" s="23">
        <v>0</v>
      </c>
      <c r="CV1608" s="24">
        <v>22</v>
      </c>
      <c r="CW1608" s="23" t="s">
        <v>138</v>
      </c>
      <c r="CX1608" s="24" t="s">
        <v>138</v>
      </c>
      <c r="CY1608" s="23">
        <v>-4.54</v>
      </c>
      <c r="CZ1608" s="24">
        <v>4</v>
      </c>
      <c r="DA1608" s="23">
        <v>0</v>
      </c>
      <c r="DB1608" s="24">
        <v>22</v>
      </c>
      <c r="DC1608" s="25">
        <v>13</v>
      </c>
      <c r="DD1608" s="24">
        <v>92</v>
      </c>
      <c r="DE1608" s="25">
        <v>-0.02</v>
      </c>
      <c r="DF1608" s="23">
        <v>-0.13</v>
      </c>
      <c r="DG1608" s="25">
        <v>25.9</v>
      </c>
      <c r="DH1608" s="24">
        <v>96</v>
      </c>
      <c r="DI1608" s="25">
        <v>0.11</v>
      </c>
      <c r="DJ1608" s="24">
        <v>15</v>
      </c>
      <c r="DK1608" s="25" t="s">
        <v>138</v>
      </c>
      <c r="DL1608" s="24" t="s">
        <v>138</v>
      </c>
      <c r="DM1608" s="25">
        <v>25.9</v>
      </c>
      <c r="DN1608" s="24">
        <v>96</v>
      </c>
      <c r="DO1608" s="25">
        <v>0.18</v>
      </c>
      <c r="DP1608" s="24">
        <v>23</v>
      </c>
      <c r="DQ1608" s="24" t="s">
        <v>138</v>
      </c>
      <c r="DR1608" s="26" t="s">
        <v>138</v>
      </c>
      <c r="DS1608" s="23" t="s">
        <v>138</v>
      </c>
      <c r="DT1608" s="24">
        <v>751</v>
      </c>
      <c r="DU1608" s="26">
        <v>1</v>
      </c>
      <c r="DV1608" s="23">
        <v>0.13</v>
      </c>
      <c r="DW1608" s="24">
        <v>65</v>
      </c>
      <c r="DX1608" s="27">
        <v>0</v>
      </c>
      <c r="DY1608" s="23">
        <v>0</v>
      </c>
      <c r="DZ1608" s="15" t="s">
        <v>178</v>
      </c>
      <c r="EA1608" s="22">
        <v>43448</v>
      </c>
      <c r="EB1608" s="17" t="s">
        <v>138</v>
      </c>
      <c r="EC1608" s="22" t="s">
        <v>138</v>
      </c>
      <c r="ED1608" s="15" t="s">
        <v>138</v>
      </c>
      <c r="EE1608" s="14" t="str">
        <f>HYPERLINK("https://my.pitchbook.com?c=83366-83", "View company online")</f>
        <v>View company online</v>
      </c>
    </row>
    <row r="1609" spans="1:135">
      <c r="A1609" s="28" t="s">
        <v>30753</v>
      </c>
      <c r="B1609" s="28" t="s">
        <v>30754</v>
      </c>
      <c r="C1609" s="28" t="s">
        <v>138</v>
      </c>
      <c r="D1609" s="28" t="s">
        <v>138</v>
      </c>
      <c r="E1609" s="28" t="s">
        <v>138</v>
      </c>
      <c r="F1609" s="28" t="s">
        <v>30753</v>
      </c>
      <c r="G1609" s="28" t="s">
        <v>30755</v>
      </c>
      <c r="H1609" s="28" t="s">
        <v>385</v>
      </c>
      <c r="I1609" s="28" t="s">
        <v>15620</v>
      </c>
      <c r="J1609" s="28" t="s">
        <v>15620</v>
      </c>
      <c r="K1609" s="28" t="s">
        <v>30756</v>
      </c>
      <c r="L1609" s="28" t="s">
        <v>415</v>
      </c>
      <c r="M1609" s="28" t="s">
        <v>30757</v>
      </c>
      <c r="N1609" s="28" t="s">
        <v>542</v>
      </c>
      <c r="O1609" s="29">
        <v>10.85</v>
      </c>
      <c r="P1609" s="28" t="s">
        <v>610</v>
      </c>
      <c r="Q1609" s="28" t="s">
        <v>149</v>
      </c>
      <c r="R1609" s="28" t="s">
        <v>543</v>
      </c>
      <c r="S1609" s="28" t="s">
        <v>30758</v>
      </c>
      <c r="T1609" s="30">
        <v>12</v>
      </c>
      <c r="U1609" s="28" t="s">
        <v>30759</v>
      </c>
      <c r="V1609" s="28" t="s">
        <v>138</v>
      </c>
      <c r="W1609" s="28" t="s">
        <v>138</v>
      </c>
      <c r="X1609" s="31">
        <v>2013</v>
      </c>
      <c r="Y1609" s="28" t="s">
        <v>138</v>
      </c>
      <c r="Z1609" s="28" t="s">
        <v>138</v>
      </c>
      <c r="AA1609" s="28" t="s">
        <v>138</v>
      </c>
      <c r="AB1609" s="32" t="s">
        <v>138</v>
      </c>
      <c r="AC1609" s="32" t="s">
        <v>138</v>
      </c>
      <c r="AD1609" s="32" t="s">
        <v>138</v>
      </c>
      <c r="AE1609" s="32" t="s">
        <v>138</v>
      </c>
      <c r="AF1609" s="32" t="s">
        <v>138</v>
      </c>
      <c r="AG1609" s="28" t="s">
        <v>138</v>
      </c>
      <c r="AH1609" s="32" t="s">
        <v>138</v>
      </c>
      <c r="AI1609" s="32" t="s">
        <v>138</v>
      </c>
      <c r="AJ1609" s="32" t="s">
        <v>138</v>
      </c>
      <c r="AK1609" s="28" t="s">
        <v>30760</v>
      </c>
      <c r="AL1609" s="28" t="s">
        <v>30761</v>
      </c>
      <c r="AM1609" s="28" t="s">
        <v>2451</v>
      </c>
      <c r="AN1609" s="28" t="s">
        <v>30762</v>
      </c>
      <c r="AO1609" s="28" t="s">
        <v>30763</v>
      </c>
      <c r="AP1609" s="28" t="s">
        <v>15408</v>
      </c>
      <c r="AQ1609" s="28" t="s">
        <v>30764</v>
      </c>
      <c r="AR1609" s="28" t="s">
        <v>1637</v>
      </c>
      <c r="AS1609" s="28" t="s">
        <v>15411</v>
      </c>
      <c r="AT1609" s="28" t="s">
        <v>15412</v>
      </c>
      <c r="AU1609" s="28" t="s">
        <v>30765</v>
      </c>
      <c r="AV1609" s="28" t="s">
        <v>2742</v>
      </c>
      <c r="AW1609" s="28" t="s">
        <v>30766</v>
      </c>
      <c r="AX1609" s="28" t="s">
        <v>138</v>
      </c>
      <c r="AY1609" s="28" t="s">
        <v>30767</v>
      </c>
      <c r="AZ1609" s="28" t="s">
        <v>164</v>
      </c>
      <c r="BA1609" s="28" t="s">
        <v>165</v>
      </c>
      <c r="BB1609" s="28" t="s">
        <v>30768</v>
      </c>
      <c r="BC1609" s="28" t="s">
        <v>30769</v>
      </c>
      <c r="BD1609" s="33">
        <v>3</v>
      </c>
      <c r="BE1609" s="28" t="s">
        <v>138</v>
      </c>
      <c r="BF1609" s="28" t="s">
        <v>138</v>
      </c>
      <c r="BG1609" s="28" t="s">
        <v>138</v>
      </c>
      <c r="BH1609" s="28" t="s">
        <v>30770</v>
      </c>
      <c r="BI1609" s="28" t="s">
        <v>138</v>
      </c>
      <c r="BJ1609" s="28" t="s">
        <v>138</v>
      </c>
      <c r="BK1609" s="28" t="s">
        <v>30771</v>
      </c>
      <c r="BL1609" s="28" t="s">
        <v>30772</v>
      </c>
      <c r="BM1609" s="34">
        <v>41275</v>
      </c>
      <c r="BN1609" s="29">
        <v>0.85</v>
      </c>
      <c r="BO1609" s="28" t="s">
        <v>172</v>
      </c>
      <c r="BP1609" s="29" t="s">
        <v>138</v>
      </c>
      <c r="BQ1609" s="28" t="s">
        <v>138</v>
      </c>
      <c r="BR1609" s="28" t="s">
        <v>234</v>
      </c>
      <c r="BS1609" s="28" t="s">
        <v>234</v>
      </c>
      <c r="BT1609" s="28" t="s">
        <v>138</v>
      </c>
      <c r="BU1609" s="28" t="s">
        <v>263</v>
      </c>
      <c r="BV1609" s="28" t="s">
        <v>138</v>
      </c>
      <c r="BW1609" s="28" t="s">
        <v>138</v>
      </c>
      <c r="BX1609" s="28" t="s">
        <v>138</v>
      </c>
      <c r="BY1609" s="28" t="s">
        <v>175</v>
      </c>
      <c r="BZ1609" s="34">
        <v>43397</v>
      </c>
      <c r="CA1609" s="29">
        <v>2.31</v>
      </c>
      <c r="CB1609" s="28" t="s">
        <v>172</v>
      </c>
      <c r="CC1609" s="29" t="s">
        <v>138</v>
      </c>
      <c r="CD1609" s="28" t="s">
        <v>138</v>
      </c>
      <c r="CE1609" s="28" t="s">
        <v>780</v>
      </c>
      <c r="CF1609" s="28" t="s">
        <v>780</v>
      </c>
      <c r="CG1609" s="28" t="s">
        <v>138</v>
      </c>
      <c r="CH1609" s="28" t="s">
        <v>780</v>
      </c>
      <c r="CI1609" s="28" t="s">
        <v>138</v>
      </c>
      <c r="CJ1609" s="28" t="s">
        <v>138</v>
      </c>
      <c r="CK1609" s="28" t="s">
        <v>138</v>
      </c>
      <c r="CL1609" s="28" t="s">
        <v>175</v>
      </c>
      <c r="CM1609" s="34" t="s">
        <v>138</v>
      </c>
      <c r="CN1609" s="29" t="s">
        <v>138</v>
      </c>
      <c r="CO1609" s="35">
        <v>0</v>
      </c>
      <c r="CP1609" s="36">
        <v>26</v>
      </c>
      <c r="CQ1609" s="35">
        <v>0</v>
      </c>
      <c r="CR1609" s="35">
        <v>0</v>
      </c>
      <c r="CS1609" s="35" t="s">
        <v>138</v>
      </c>
      <c r="CT1609" s="36" t="s">
        <v>138</v>
      </c>
      <c r="CU1609" s="35">
        <v>0</v>
      </c>
      <c r="CV1609" s="36">
        <v>22</v>
      </c>
      <c r="CW1609" s="35" t="s">
        <v>138</v>
      </c>
      <c r="CX1609" s="36" t="s">
        <v>138</v>
      </c>
      <c r="CY1609" s="35" t="s">
        <v>138</v>
      </c>
      <c r="CZ1609" s="36" t="s">
        <v>138</v>
      </c>
      <c r="DA1609" s="35">
        <v>0</v>
      </c>
      <c r="DB1609" s="36">
        <v>22</v>
      </c>
      <c r="DC1609" s="37">
        <v>0.04</v>
      </c>
      <c r="DD1609" s="36">
        <v>4</v>
      </c>
      <c r="DE1609" s="37">
        <v>0.01</v>
      </c>
      <c r="DF1609" s="35">
        <v>18.84</v>
      </c>
      <c r="DG1609" s="37" t="s">
        <v>138</v>
      </c>
      <c r="DH1609" s="36" t="s">
        <v>138</v>
      </c>
      <c r="DI1609" s="37">
        <v>0.04</v>
      </c>
      <c r="DJ1609" s="36">
        <v>7</v>
      </c>
      <c r="DK1609" s="37" t="s">
        <v>138</v>
      </c>
      <c r="DL1609" s="36" t="s">
        <v>138</v>
      </c>
      <c r="DM1609" s="37" t="s">
        <v>138</v>
      </c>
      <c r="DN1609" s="36" t="s">
        <v>138</v>
      </c>
      <c r="DO1609" s="37">
        <v>0.04</v>
      </c>
      <c r="DP1609" s="36">
        <v>8</v>
      </c>
      <c r="DQ1609" s="36" t="s">
        <v>138</v>
      </c>
      <c r="DR1609" s="38" t="s">
        <v>138</v>
      </c>
      <c r="DS1609" s="35" t="s">
        <v>138</v>
      </c>
      <c r="DT1609" s="36" t="s">
        <v>138</v>
      </c>
      <c r="DU1609" s="38" t="s">
        <v>138</v>
      </c>
      <c r="DV1609" s="35" t="s">
        <v>138</v>
      </c>
      <c r="DW1609" s="36">
        <v>11</v>
      </c>
      <c r="DX1609" s="39">
        <v>0</v>
      </c>
      <c r="DY1609" s="35">
        <v>0</v>
      </c>
      <c r="DZ1609" s="28" t="s">
        <v>178</v>
      </c>
      <c r="EA1609" s="34">
        <v>43412</v>
      </c>
      <c r="EB1609" s="29" t="s">
        <v>138</v>
      </c>
      <c r="EC1609" s="34" t="s">
        <v>138</v>
      </c>
      <c r="ED1609" s="28" t="s">
        <v>138</v>
      </c>
      <c r="EE1609" s="40" t="str">
        <f>HYPERLINK("https://my.pitchbook.com?c=97180-48", "View company online")</f>
        <v>View company online</v>
      </c>
    </row>
    <row r="1610" spans="1:135">
      <c r="A1610" s="15" t="s">
        <v>30773</v>
      </c>
      <c r="B1610" s="15" t="s">
        <v>30774</v>
      </c>
      <c r="C1610" s="15" t="s">
        <v>138</v>
      </c>
      <c r="D1610" s="15" t="s">
        <v>138</v>
      </c>
      <c r="E1610" s="15" t="s">
        <v>30775</v>
      </c>
      <c r="F1610" s="15" t="s">
        <v>30773</v>
      </c>
      <c r="G1610" s="15" t="s">
        <v>30776</v>
      </c>
      <c r="H1610" s="15" t="s">
        <v>322</v>
      </c>
      <c r="I1610" s="15" t="s">
        <v>323</v>
      </c>
      <c r="J1610" s="15" t="s">
        <v>413</v>
      </c>
      <c r="K1610" s="15" t="s">
        <v>30777</v>
      </c>
      <c r="L1610" s="15" t="s">
        <v>9641</v>
      </c>
      <c r="M1610" s="15" t="s">
        <v>30778</v>
      </c>
      <c r="N1610" s="15" t="s">
        <v>147</v>
      </c>
      <c r="O1610" s="17">
        <v>0.25</v>
      </c>
      <c r="P1610" s="15" t="s">
        <v>148</v>
      </c>
      <c r="Q1610" s="15" t="s">
        <v>149</v>
      </c>
      <c r="R1610" s="15" t="s">
        <v>174</v>
      </c>
      <c r="S1610" s="15" t="s">
        <v>30779</v>
      </c>
      <c r="T1610" s="18">
        <v>40</v>
      </c>
      <c r="U1610" s="15" t="s">
        <v>30780</v>
      </c>
      <c r="V1610" s="15" t="s">
        <v>138</v>
      </c>
      <c r="W1610" s="15" t="s">
        <v>138</v>
      </c>
      <c r="X1610" s="19">
        <v>2013</v>
      </c>
      <c r="Y1610" s="15" t="s">
        <v>138</v>
      </c>
      <c r="Z1610" s="15" t="s">
        <v>138</v>
      </c>
      <c r="AA1610" s="15" t="s">
        <v>138</v>
      </c>
      <c r="AB1610" s="20" t="s">
        <v>138</v>
      </c>
      <c r="AC1610" s="20" t="s">
        <v>138</v>
      </c>
      <c r="AD1610" s="20" t="s">
        <v>138</v>
      </c>
      <c r="AE1610" s="20" t="s">
        <v>138</v>
      </c>
      <c r="AF1610" s="20" t="s">
        <v>138</v>
      </c>
      <c r="AG1610" s="15" t="s">
        <v>563</v>
      </c>
      <c r="AH1610" s="20" t="s">
        <v>138</v>
      </c>
      <c r="AI1610" s="20" t="s">
        <v>138</v>
      </c>
      <c r="AJ1610" s="20" t="s">
        <v>138</v>
      </c>
      <c r="AK1610" s="15" t="s">
        <v>30781</v>
      </c>
      <c r="AL1610" s="15" t="s">
        <v>30782</v>
      </c>
      <c r="AM1610" s="15" t="s">
        <v>30783</v>
      </c>
      <c r="AN1610" s="15" t="s">
        <v>30784</v>
      </c>
      <c r="AO1610" s="15" t="s">
        <v>138</v>
      </c>
      <c r="AP1610" s="15" t="s">
        <v>820</v>
      </c>
      <c r="AQ1610" s="15" t="s">
        <v>30785</v>
      </c>
      <c r="AR1610" s="15" t="s">
        <v>138</v>
      </c>
      <c r="AS1610" s="15" t="s">
        <v>823</v>
      </c>
      <c r="AT1610" s="15" t="s">
        <v>824</v>
      </c>
      <c r="AU1610" s="15" t="s">
        <v>30786</v>
      </c>
      <c r="AV1610" s="15" t="s">
        <v>526</v>
      </c>
      <c r="AW1610" s="15" t="s">
        <v>138</v>
      </c>
      <c r="AX1610" s="15" t="s">
        <v>138</v>
      </c>
      <c r="AY1610" s="15" t="s">
        <v>30787</v>
      </c>
      <c r="AZ1610" s="15" t="s">
        <v>530</v>
      </c>
      <c r="BA1610" s="15" t="s">
        <v>531</v>
      </c>
      <c r="BB1610" s="15" t="s">
        <v>30788</v>
      </c>
      <c r="BC1610" s="15" t="s">
        <v>30789</v>
      </c>
      <c r="BD1610" s="21">
        <v>5</v>
      </c>
      <c r="BE1610" s="15" t="s">
        <v>138</v>
      </c>
      <c r="BF1610" s="15" t="s">
        <v>138</v>
      </c>
      <c r="BG1610" s="15" t="s">
        <v>138</v>
      </c>
      <c r="BH1610" s="15" t="s">
        <v>30790</v>
      </c>
      <c r="BI1610" s="15" t="s">
        <v>138</v>
      </c>
      <c r="BJ1610" s="15" t="s">
        <v>138</v>
      </c>
      <c r="BK1610" s="15" t="s">
        <v>30791</v>
      </c>
      <c r="BL1610" s="15" t="s">
        <v>138</v>
      </c>
      <c r="BM1610" s="22">
        <v>41435</v>
      </c>
      <c r="BN1610" s="17">
        <v>0.08</v>
      </c>
      <c r="BO1610" s="15" t="s">
        <v>172</v>
      </c>
      <c r="BP1610" s="17">
        <v>0.3</v>
      </c>
      <c r="BQ1610" s="15" t="s">
        <v>172</v>
      </c>
      <c r="BR1610" s="15" t="s">
        <v>205</v>
      </c>
      <c r="BS1610" s="15" t="s">
        <v>138</v>
      </c>
      <c r="BT1610" s="15" t="s">
        <v>138</v>
      </c>
      <c r="BU1610" s="15" t="s">
        <v>174</v>
      </c>
      <c r="BV1610" s="15" t="s">
        <v>138</v>
      </c>
      <c r="BW1610" s="15" t="s">
        <v>138</v>
      </c>
      <c r="BX1610" s="15" t="s">
        <v>138</v>
      </c>
      <c r="BY1610" s="15" t="s">
        <v>175</v>
      </c>
      <c r="BZ1610" s="22">
        <v>41576</v>
      </c>
      <c r="CA1610" s="17">
        <v>0.17</v>
      </c>
      <c r="CB1610" s="15" t="s">
        <v>172</v>
      </c>
      <c r="CC1610" s="17">
        <v>0.68</v>
      </c>
      <c r="CD1610" s="15" t="s">
        <v>172</v>
      </c>
      <c r="CE1610" s="15" t="s">
        <v>205</v>
      </c>
      <c r="CF1610" s="15" t="s">
        <v>138</v>
      </c>
      <c r="CG1610" s="15" t="s">
        <v>138</v>
      </c>
      <c r="CH1610" s="15" t="s">
        <v>174</v>
      </c>
      <c r="CI1610" s="15" t="s">
        <v>138</v>
      </c>
      <c r="CJ1610" s="15" t="s">
        <v>138</v>
      </c>
      <c r="CK1610" s="15" t="s">
        <v>138</v>
      </c>
      <c r="CL1610" s="15" t="s">
        <v>175</v>
      </c>
      <c r="CM1610" s="22" t="s">
        <v>138</v>
      </c>
      <c r="CN1610" s="17" t="s">
        <v>138</v>
      </c>
      <c r="CO1610" s="23">
        <v>-0.38</v>
      </c>
      <c r="CP1610" s="24">
        <v>17</v>
      </c>
      <c r="CQ1610" s="23">
        <v>0.03</v>
      </c>
      <c r="CR1610" s="23">
        <v>6.37</v>
      </c>
      <c r="CS1610" s="23">
        <v>-0.74</v>
      </c>
      <c r="CT1610" s="24">
        <v>17</v>
      </c>
      <c r="CU1610" s="23">
        <v>-0.02</v>
      </c>
      <c r="CV1610" s="24">
        <v>17</v>
      </c>
      <c r="CW1610" s="23">
        <v>0.2</v>
      </c>
      <c r="CX1610" s="24">
        <v>81</v>
      </c>
      <c r="CY1610" s="23">
        <v>-1.67</v>
      </c>
      <c r="CZ1610" s="24">
        <v>13</v>
      </c>
      <c r="DA1610" s="23">
        <v>-0.02</v>
      </c>
      <c r="DB1610" s="24">
        <v>19</v>
      </c>
      <c r="DC1610" s="25">
        <v>13.93</v>
      </c>
      <c r="DD1610" s="24">
        <v>93</v>
      </c>
      <c r="DE1610" s="25">
        <v>-0.03</v>
      </c>
      <c r="DF1610" s="23">
        <v>-0.18</v>
      </c>
      <c r="DG1610" s="25">
        <v>15.38</v>
      </c>
      <c r="DH1610" s="24">
        <v>93</v>
      </c>
      <c r="DI1610" s="25">
        <v>12.49</v>
      </c>
      <c r="DJ1610" s="24">
        <v>87</v>
      </c>
      <c r="DK1610" s="25">
        <v>1.83</v>
      </c>
      <c r="DL1610" s="24">
        <v>63</v>
      </c>
      <c r="DM1610" s="25">
        <v>28.93</v>
      </c>
      <c r="DN1610" s="24">
        <v>96</v>
      </c>
      <c r="DO1610" s="25">
        <v>12.49</v>
      </c>
      <c r="DP1610" s="24">
        <v>89</v>
      </c>
      <c r="DQ1610" s="24">
        <v>665</v>
      </c>
      <c r="DR1610" s="26">
        <v>-118</v>
      </c>
      <c r="DS1610" s="23">
        <v>-15.07</v>
      </c>
      <c r="DT1610" s="24">
        <v>839</v>
      </c>
      <c r="DU1610" s="26">
        <v>3</v>
      </c>
      <c r="DV1610" s="23">
        <v>0.36</v>
      </c>
      <c r="DW1610" s="24">
        <v>4473</v>
      </c>
      <c r="DX1610" s="27">
        <v>3</v>
      </c>
      <c r="DY1610" s="23">
        <v>7.0000000000000007E-2</v>
      </c>
      <c r="DZ1610" s="15" t="s">
        <v>178</v>
      </c>
      <c r="EA1610" s="22">
        <v>43448</v>
      </c>
      <c r="EB1610" s="17">
        <v>0.68</v>
      </c>
      <c r="EC1610" s="22">
        <v>41576</v>
      </c>
      <c r="ED1610" s="15" t="s">
        <v>205</v>
      </c>
      <c r="EE1610" s="14" t="str">
        <f>HYPERLINK("https://my.pitchbook.com?c=60101-47", "View company online")</f>
        <v>View company online</v>
      </c>
    </row>
    <row r="1611" spans="1:135">
      <c r="A1611" s="28" t="s">
        <v>30792</v>
      </c>
      <c r="B1611" s="28" t="s">
        <v>30793</v>
      </c>
      <c r="C1611" s="28" t="s">
        <v>138</v>
      </c>
      <c r="D1611" s="28" t="s">
        <v>138</v>
      </c>
      <c r="E1611" s="28" t="s">
        <v>138</v>
      </c>
      <c r="F1611" s="28" t="s">
        <v>30792</v>
      </c>
      <c r="G1611" s="28" t="s">
        <v>30794</v>
      </c>
      <c r="H1611" s="28" t="s">
        <v>322</v>
      </c>
      <c r="I1611" s="28" t="s">
        <v>323</v>
      </c>
      <c r="J1611" s="28" t="s">
        <v>413</v>
      </c>
      <c r="K1611" s="28" t="s">
        <v>30795</v>
      </c>
      <c r="L1611" s="28" t="s">
        <v>4025</v>
      </c>
      <c r="M1611" s="28" t="s">
        <v>30796</v>
      </c>
      <c r="N1611" s="28" t="s">
        <v>147</v>
      </c>
      <c r="O1611" s="29">
        <v>7.84</v>
      </c>
      <c r="P1611" s="28" t="s">
        <v>148</v>
      </c>
      <c r="Q1611" s="28" t="s">
        <v>149</v>
      </c>
      <c r="R1611" s="28" t="s">
        <v>174</v>
      </c>
      <c r="S1611" s="28" t="s">
        <v>30797</v>
      </c>
      <c r="T1611" s="30">
        <v>3</v>
      </c>
      <c r="U1611" s="28" t="s">
        <v>5398</v>
      </c>
      <c r="V1611" s="28" t="s">
        <v>138</v>
      </c>
      <c r="W1611" s="28" t="s">
        <v>138</v>
      </c>
      <c r="X1611" s="31">
        <v>2015</v>
      </c>
      <c r="Y1611" s="28" t="s">
        <v>138</v>
      </c>
      <c r="Z1611" s="28" t="s">
        <v>138</v>
      </c>
      <c r="AA1611" s="28" t="s">
        <v>138</v>
      </c>
      <c r="AB1611" s="32" t="s">
        <v>138</v>
      </c>
      <c r="AC1611" s="32" t="s">
        <v>138</v>
      </c>
      <c r="AD1611" s="32" t="s">
        <v>138</v>
      </c>
      <c r="AE1611" s="32" t="s">
        <v>138</v>
      </c>
      <c r="AF1611" s="32" t="s">
        <v>138</v>
      </c>
      <c r="AG1611" s="28" t="s">
        <v>138</v>
      </c>
      <c r="AH1611" s="32" t="s">
        <v>138</v>
      </c>
      <c r="AI1611" s="32" t="s">
        <v>138</v>
      </c>
      <c r="AJ1611" s="32" t="s">
        <v>138</v>
      </c>
      <c r="AK1611" s="28" t="s">
        <v>30798</v>
      </c>
      <c r="AL1611" s="28" t="s">
        <v>30799</v>
      </c>
      <c r="AM1611" s="28" t="s">
        <v>566</v>
      </c>
      <c r="AN1611" s="28" t="s">
        <v>30800</v>
      </c>
      <c r="AO1611" s="28" t="s">
        <v>30801</v>
      </c>
      <c r="AP1611" s="28" t="s">
        <v>1168</v>
      </c>
      <c r="AQ1611" s="28" t="s">
        <v>30802</v>
      </c>
      <c r="AR1611" s="28" t="s">
        <v>138</v>
      </c>
      <c r="AS1611" s="28" t="s">
        <v>1171</v>
      </c>
      <c r="AT1611" s="28" t="s">
        <v>200</v>
      </c>
      <c r="AU1611" s="28" t="s">
        <v>5913</v>
      </c>
      <c r="AV1611" s="28" t="s">
        <v>162</v>
      </c>
      <c r="AW1611" s="28" t="s">
        <v>138</v>
      </c>
      <c r="AX1611" s="28" t="s">
        <v>138</v>
      </c>
      <c r="AY1611" s="28" t="s">
        <v>30803</v>
      </c>
      <c r="AZ1611" s="28" t="s">
        <v>164</v>
      </c>
      <c r="BA1611" s="28" t="s">
        <v>165</v>
      </c>
      <c r="BB1611" s="28" t="s">
        <v>30804</v>
      </c>
      <c r="BC1611" s="28" t="s">
        <v>30805</v>
      </c>
      <c r="BD1611" s="33">
        <v>3</v>
      </c>
      <c r="BE1611" s="28" t="s">
        <v>138</v>
      </c>
      <c r="BF1611" s="28" t="s">
        <v>138</v>
      </c>
      <c r="BG1611" s="28" t="s">
        <v>138</v>
      </c>
      <c r="BH1611" s="28" t="s">
        <v>30806</v>
      </c>
      <c r="BI1611" s="28" t="s">
        <v>138</v>
      </c>
      <c r="BJ1611" s="28" t="s">
        <v>138</v>
      </c>
      <c r="BK1611" s="28" t="s">
        <v>5213</v>
      </c>
      <c r="BL1611" s="28" t="s">
        <v>5213</v>
      </c>
      <c r="BM1611" s="34">
        <v>42102</v>
      </c>
      <c r="BN1611" s="29" t="s">
        <v>138</v>
      </c>
      <c r="BO1611" s="28" t="s">
        <v>138</v>
      </c>
      <c r="BP1611" s="29" t="s">
        <v>138</v>
      </c>
      <c r="BQ1611" s="28" t="s">
        <v>138</v>
      </c>
      <c r="BR1611" s="28" t="s">
        <v>234</v>
      </c>
      <c r="BS1611" s="28" t="s">
        <v>234</v>
      </c>
      <c r="BT1611" s="28" t="s">
        <v>138</v>
      </c>
      <c r="BU1611" s="28" t="s">
        <v>174</v>
      </c>
      <c r="BV1611" s="28" t="s">
        <v>138</v>
      </c>
      <c r="BW1611" s="28" t="s">
        <v>138</v>
      </c>
      <c r="BX1611" s="28" t="s">
        <v>138</v>
      </c>
      <c r="BY1611" s="28" t="s">
        <v>175</v>
      </c>
      <c r="BZ1611" s="34">
        <v>43265</v>
      </c>
      <c r="CA1611" s="29">
        <v>6</v>
      </c>
      <c r="CB1611" s="28" t="s">
        <v>1178</v>
      </c>
      <c r="CC1611" s="29">
        <v>16</v>
      </c>
      <c r="CD1611" s="28" t="s">
        <v>172</v>
      </c>
      <c r="CE1611" s="28" t="s">
        <v>234</v>
      </c>
      <c r="CF1611" s="28" t="s">
        <v>234</v>
      </c>
      <c r="CG1611" s="28" t="s">
        <v>138</v>
      </c>
      <c r="CH1611" s="28" t="s">
        <v>174</v>
      </c>
      <c r="CI1611" s="28" t="s">
        <v>138</v>
      </c>
      <c r="CJ1611" s="28" t="s">
        <v>138</v>
      </c>
      <c r="CK1611" s="28" t="s">
        <v>138</v>
      </c>
      <c r="CL1611" s="28" t="s">
        <v>175</v>
      </c>
      <c r="CM1611" s="34" t="s">
        <v>138</v>
      </c>
      <c r="CN1611" s="29" t="s">
        <v>138</v>
      </c>
      <c r="CO1611" s="35" t="s">
        <v>138</v>
      </c>
      <c r="CP1611" s="36" t="s">
        <v>138</v>
      </c>
      <c r="CQ1611" s="35" t="s">
        <v>138</v>
      </c>
      <c r="CR1611" s="35" t="s">
        <v>138</v>
      </c>
      <c r="CS1611" s="35" t="s">
        <v>138</v>
      </c>
      <c r="CT1611" s="36" t="s">
        <v>138</v>
      </c>
      <c r="CU1611" s="35" t="s">
        <v>138</v>
      </c>
      <c r="CV1611" s="36" t="s">
        <v>138</v>
      </c>
      <c r="CW1611" s="35" t="s">
        <v>138</v>
      </c>
      <c r="CX1611" s="36" t="s">
        <v>138</v>
      </c>
      <c r="CY1611" s="35" t="s">
        <v>138</v>
      </c>
      <c r="CZ1611" s="36" t="s">
        <v>138</v>
      </c>
      <c r="DA1611" s="35" t="s">
        <v>138</v>
      </c>
      <c r="DB1611" s="36" t="s">
        <v>138</v>
      </c>
      <c r="DC1611" s="37" t="s">
        <v>138</v>
      </c>
      <c r="DD1611" s="36" t="s">
        <v>138</v>
      </c>
      <c r="DE1611" s="37" t="s">
        <v>138</v>
      </c>
      <c r="DF1611" s="35" t="s">
        <v>138</v>
      </c>
      <c r="DG1611" s="37" t="s">
        <v>138</v>
      </c>
      <c r="DH1611" s="36" t="s">
        <v>138</v>
      </c>
      <c r="DI1611" s="37" t="s">
        <v>138</v>
      </c>
      <c r="DJ1611" s="36" t="s">
        <v>138</v>
      </c>
      <c r="DK1611" s="37" t="s">
        <v>138</v>
      </c>
      <c r="DL1611" s="36" t="s">
        <v>138</v>
      </c>
      <c r="DM1611" s="37" t="s">
        <v>138</v>
      </c>
      <c r="DN1611" s="36" t="s">
        <v>138</v>
      </c>
      <c r="DO1611" s="37" t="s">
        <v>138</v>
      </c>
      <c r="DP1611" s="36" t="s">
        <v>138</v>
      </c>
      <c r="DQ1611" s="36" t="s">
        <v>138</v>
      </c>
      <c r="DR1611" s="38" t="s">
        <v>138</v>
      </c>
      <c r="DS1611" s="35" t="s">
        <v>138</v>
      </c>
      <c r="DT1611" s="36" t="s">
        <v>138</v>
      </c>
      <c r="DU1611" s="38" t="s">
        <v>138</v>
      </c>
      <c r="DV1611" s="35" t="s">
        <v>138</v>
      </c>
      <c r="DW1611" s="36" t="s">
        <v>138</v>
      </c>
      <c r="DX1611" s="39" t="s">
        <v>138</v>
      </c>
      <c r="DY1611" s="35" t="s">
        <v>138</v>
      </c>
      <c r="DZ1611" s="28" t="s">
        <v>178</v>
      </c>
      <c r="EA1611" s="34">
        <v>43607</v>
      </c>
      <c r="EB1611" s="29">
        <v>16</v>
      </c>
      <c r="EC1611" s="34">
        <v>43265</v>
      </c>
      <c r="ED1611" s="28" t="s">
        <v>234</v>
      </c>
      <c r="EE1611" s="40" t="str">
        <f>HYPERLINK("https://my.pitchbook.com?c=124838-11", "View company online")</f>
        <v>View company online</v>
      </c>
    </row>
    <row r="1612" spans="1:135">
      <c r="A1612" s="15" t="s">
        <v>30807</v>
      </c>
      <c r="B1612" s="15" t="s">
        <v>30808</v>
      </c>
      <c r="C1612" s="15" t="s">
        <v>138</v>
      </c>
      <c r="D1612" s="15" t="s">
        <v>138</v>
      </c>
      <c r="E1612" s="15" t="s">
        <v>30809</v>
      </c>
      <c r="F1612" s="15" t="s">
        <v>30807</v>
      </c>
      <c r="G1612" s="15" t="s">
        <v>30810</v>
      </c>
      <c r="H1612" s="15" t="s">
        <v>322</v>
      </c>
      <c r="I1612" s="15" t="s">
        <v>323</v>
      </c>
      <c r="J1612" s="15" t="s">
        <v>2984</v>
      </c>
      <c r="K1612" s="15" t="s">
        <v>5783</v>
      </c>
      <c r="L1612" s="15" t="s">
        <v>215</v>
      </c>
      <c r="M1612" s="15" t="s">
        <v>30811</v>
      </c>
      <c r="N1612" s="15" t="s">
        <v>147</v>
      </c>
      <c r="O1612" s="17">
        <v>411</v>
      </c>
      <c r="P1612" s="15" t="s">
        <v>148</v>
      </c>
      <c r="Q1612" s="15" t="s">
        <v>149</v>
      </c>
      <c r="R1612" s="15" t="s">
        <v>174</v>
      </c>
      <c r="S1612" s="15" t="s">
        <v>30812</v>
      </c>
      <c r="T1612" s="18">
        <v>1000</v>
      </c>
      <c r="U1612" s="15" t="s">
        <v>30813</v>
      </c>
      <c r="V1612" s="15" t="s">
        <v>138</v>
      </c>
      <c r="W1612" s="15" t="s">
        <v>138</v>
      </c>
      <c r="X1612" s="19">
        <v>2013</v>
      </c>
      <c r="Y1612" s="15" t="s">
        <v>138</v>
      </c>
      <c r="Z1612" s="15" t="s">
        <v>138</v>
      </c>
      <c r="AA1612" s="15" t="s">
        <v>138</v>
      </c>
      <c r="AB1612" s="20">
        <v>200</v>
      </c>
      <c r="AC1612" s="20" t="s">
        <v>138</v>
      </c>
      <c r="AD1612" s="20" t="s">
        <v>138</v>
      </c>
      <c r="AE1612" s="20" t="s">
        <v>138</v>
      </c>
      <c r="AF1612" s="20" t="s">
        <v>138</v>
      </c>
      <c r="AG1612" s="15" t="s">
        <v>815</v>
      </c>
      <c r="AH1612" s="20" t="s">
        <v>138</v>
      </c>
      <c r="AI1612" s="20" t="s">
        <v>138</v>
      </c>
      <c r="AJ1612" s="20" t="s">
        <v>138</v>
      </c>
      <c r="AK1612" s="15" t="s">
        <v>30814</v>
      </c>
      <c r="AL1612" s="15" t="s">
        <v>30815</v>
      </c>
      <c r="AM1612" s="15" t="s">
        <v>5401</v>
      </c>
      <c r="AN1612" s="15" t="s">
        <v>30816</v>
      </c>
      <c r="AO1612" s="15" t="s">
        <v>138</v>
      </c>
      <c r="AP1612" s="15" t="s">
        <v>1220</v>
      </c>
      <c r="AQ1612" s="15" t="s">
        <v>1482</v>
      </c>
      <c r="AR1612" s="15" t="s">
        <v>10476</v>
      </c>
      <c r="AS1612" s="15" t="s">
        <v>1223</v>
      </c>
      <c r="AT1612" s="15" t="s">
        <v>200</v>
      </c>
      <c r="AU1612" s="15" t="s">
        <v>1484</v>
      </c>
      <c r="AV1612" s="15" t="s">
        <v>162</v>
      </c>
      <c r="AW1612" s="15" t="s">
        <v>30817</v>
      </c>
      <c r="AX1612" s="15" t="s">
        <v>138</v>
      </c>
      <c r="AY1612" s="15" t="s">
        <v>30818</v>
      </c>
      <c r="AZ1612" s="15" t="s">
        <v>164</v>
      </c>
      <c r="BA1612" s="15" t="s">
        <v>165</v>
      </c>
      <c r="BB1612" s="15" t="s">
        <v>30819</v>
      </c>
      <c r="BC1612" s="15" t="s">
        <v>30820</v>
      </c>
      <c r="BD1612" s="21">
        <v>18</v>
      </c>
      <c r="BE1612" s="15" t="s">
        <v>138</v>
      </c>
      <c r="BF1612" s="15" t="s">
        <v>138</v>
      </c>
      <c r="BG1612" s="15" t="s">
        <v>138</v>
      </c>
      <c r="BH1612" s="15" t="s">
        <v>30821</v>
      </c>
      <c r="BI1612" s="15" t="s">
        <v>138</v>
      </c>
      <c r="BJ1612" s="15" t="s">
        <v>138</v>
      </c>
      <c r="BK1612" s="15" t="s">
        <v>30822</v>
      </c>
      <c r="BL1612" s="15" t="s">
        <v>30823</v>
      </c>
      <c r="BM1612" s="22">
        <v>41569</v>
      </c>
      <c r="BN1612" s="17">
        <v>15</v>
      </c>
      <c r="BO1612" s="15" t="s">
        <v>172</v>
      </c>
      <c r="BP1612" s="17">
        <v>40</v>
      </c>
      <c r="BQ1612" s="15" t="s">
        <v>172</v>
      </c>
      <c r="BR1612" s="15" t="s">
        <v>205</v>
      </c>
      <c r="BS1612" s="15" t="s">
        <v>206</v>
      </c>
      <c r="BT1612" s="15" t="s">
        <v>138</v>
      </c>
      <c r="BU1612" s="15" t="s">
        <v>174</v>
      </c>
      <c r="BV1612" s="15" t="s">
        <v>138</v>
      </c>
      <c r="BW1612" s="15" t="s">
        <v>138</v>
      </c>
      <c r="BX1612" s="15" t="s">
        <v>138</v>
      </c>
      <c r="BY1612" s="15" t="s">
        <v>175</v>
      </c>
      <c r="BZ1612" s="22">
        <v>43262</v>
      </c>
      <c r="CA1612" s="17">
        <v>250</v>
      </c>
      <c r="CB1612" s="15" t="s">
        <v>172</v>
      </c>
      <c r="CC1612" s="17">
        <v>1100</v>
      </c>
      <c r="CD1612" s="15" t="s">
        <v>172</v>
      </c>
      <c r="CE1612" s="15" t="s">
        <v>173</v>
      </c>
      <c r="CF1612" s="15" t="s">
        <v>433</v>
      </c>
      <c r="CG1612" s="15" t="s">
        <v>138</v>
      </c>
      <c r="CH1612" s="15" t="s">
        <v>174</v>
      </c>
      <c r="CI1612" s="15" t="s">
        <v>138</v>
      </c>
      <c r="CJ1612" s="15" t="s">
        <v>138</v>
      </c>
      <c r="CK1612" s="15" t="s">
        <v>138</v>
      </c>
      <c r="CL1612" s="15" t="s">
        <v>175</v>
      </c>
      <c r="CM1612" s="22" t="s">
        <v>138</v>
      </c>
      <c r="CN1612" s="17" t="s">
        <v>138</v>
      </c>
      <c r="CO1612" s="23">
        <v>0.3</v>
      </c>
      <c r="CP1612" s="24">
        <v>94</v>
      </c>
      <c r="CQ1612" s="23">
        <v>-0.01</v>
      </c>
      <c r="CR1612" s="23">
        <v>-2.08</v>
      </c>
      <c r="CS1612" s="23">
        <v>1.98</v>
      </c>
      <c r="CT1612" s="24">
        <v>98</v>
      </c>
      <c r="CU1612" s="23">
        <v>2.69</v>
      </c>
      <c r="CV1612" s="24">
        <v>100</v>
      </c>
      <c r="CW1612" s="23">
        <v>3.47</v>
      </c>
      <c r="CX1612" s="24">
        <v>92</v>
      </c>
      <c r="CY1612" s="23">
        <v>0.49</v>
      </c>
      <c r="CZ1612" s="24">
        <v>98</v>
      </c>
      <c r="DA1612" s="23">
        <v>4.79</v>
      </c>
      <c r="DB1612" s="24">
        <v>100</v>
      </c>
      <c r="DC1612" s="25">
        <v>21.9</v>
      </c>
      <c r="DD1612" s="24">
        <v>95</v>
      </c>
      <c r="DE1612" s="25">
        <v>-0.79</v>
      </c>
      <c r="DF1612" s="23">
        <v>-3.5</v>
      </c>
      <c r="DG1612" s="25">
        <v>47.78</v>
      </c>
      <c r="DH1612" s="24">
        <v>98</v>
      </c>
      <c r="DI1612" s="25">
        <v>17.73</v>
      </c>
      <c r="DJ1612" s="24">
        <v>90</v>
      </c>
      <c r="DK1612" s="25">
        <v>58.87</v>
      </c>
      <c r="DL1612" s="24">
        <v>96</v>
      </c>
      <c r="DM1612" s="25">
        <v>36.69</v>
      </c>
      <c r="DN1612" s="24">
        <v>97</v>
      </c>
      <c r="DO1612" s="25">
        <v>34.68</v>
      </c>
      <c r="DP1612" s="24">
        <v>95</v>
      </c>
      <c r="DQ1612" s="24">
        <v>19837</v>
      </c>
      <c r="DR1612" s="26">
        <v>1062</v>
      </c>
      <c r="DS1612" s="23">
        <v>5.66</v>
      </c>
      <c r="DT1612" s="24">
        <v>1068</v>
      </c>
      <c r="DU1612" s="26">
        <v>-6</v>
      </c>
      <c r="DV1612" s="23">
        <v>-0.56000000000000005</v>
      </c>
      <c r="DW1612" s="24">
        <v>11973</v>
      </c>
      <c r="DX1612" s="27">
        <v>811</v>
      </c>
      <c r="DY1612" s="23">
        <v>7.27</v>
      </c>
      <c r="DZ1612" s="15" t="s">
        <v>178</v>
      </c>
      <c r="EA1612" s="22">
        <v>43622</v>
      </c>
      <c r="EB1612" s="17">
        <v>1100</v>
      </c>
      <c r="EC1612" s="22">
        <v>43262</v>
      </c>
      <c r="ED1612" s="15" t="s">
        <v>173</v>
      </c>
      <c r="EE1612" s="14" t="str">
        <f>HYPERLINK("https://my.pitchbook.com?c=61488-73", "View company online")</f>
        <v>View company online</v>
      </c>
    </row>
    <row r="1613" spans="1:135">
      <c r="A1613" s="28" t="s">
        <v>30824</v>
      </c>
      <c r="B1613" s="28" t="s">
        <v>30825</v>
      </c>
      <c r="C1613" s="28" t="s">
        <v>30826</v>
      </c>
      <c r="D1613" s="28" t="s">
        <v>138</v>
      </c>
      <c r="E1613" s="28" t="s">
        <v>30827</v>
      </c>
      <c r="F1613" s="28" t="s">
        <v>30824</v>
      </c>
      <c r="G1613" s="28" t="s">
        <v>30828</v>
      </c>
      <c r="H1613" s="28" t="s">
        <v>183</v>
      </c>
      <c r="I1613" s="28" t="s">
        <v>184</v>
      </c>
      <c r="J1613" s="28" t="s">
        <v>2141</v>
      </c>
      <c r="K1613" s="28" t="s">
        <v>30829</v>
      </c>
      <c r="L1613" s="28" t="s">
        <v>14910</v>
      </c>
      <c r="M1613" s="28" t="s">
        <v>30830</v>
      </c>
      <c r="N1613" s="28" t="s">
        <v>147</v>
      </c>
      <c r="O1613" s="29">
        <v>21.35</v>
      </c>
      <c r="P1613" s="28" t="s">
        <v>148</v>
      </c>
      <c r="Q1613" s="28" t="s">
        <v>149</v>
      </c>
      <c r="R1613" s="28" t="s">
        <v>174</v>
      </c>
      <c r="S1613" s="28" t="s">
        <v>30831</v>
      </c>
      <c r="T1613" s="30">
        <v>17</v>
      </c>
      <c r="U1613" s="28" t="s">
        <v>19475</v>
      </c>
      <c r="V1613" s="28" t="s">
        <v>138</v>
      </c>
      <c r="W1613" s="28" t="s">
        <v>138</v>
      </c>
      <c r="X1613" s="31">
        <v>2012</v>
      </c>
      <c r="Y1613" s="28" t="s">
        <v>138</v>
      </c>
      <c r="Z1613" s="28" t="s">
        <v>138</v>
      </c>
      <c r="AA1613" s="28" t="s">
        <v>138</v>
      </c>
      <c r="AB1613" s="32" t="s">
        <v>138</v>
      </c>
      <c r="AC1613" s="32" t="s">
        <v>138</v>
      </c>
      <c r="AD1613" s="32" t="s">
        <v>138</v>
      </c>
      <c r="AE1613" s="32" t="s">
        <v>138</v>
      </c>
      <c r="AF1613" s="32" t="s">
        <v>138</v>
      </c>
      <c r="AG1613" s="28" t="s">
        <v>138</v>
      </c>
      <c r="AH1613" s="32" t="s">
        <v>138</v>
      </c>
      <c r="AI1613" s="32" t="s">
        <v>138</v>
      </c>
      <c r="AJ1613" s="32" t="s">
        <v>138</v>
      </c>
      <c r="AK1613" s="28" t="s">
        <v>30832</v>
      </c>
      <c r="AL1613" s="28" t="s">
        <v>30833</v>
      </c>
      <c r="AM1613" s="28" t="s">
        <v>17935</v>
      </c>
      <c r="AN1613" s="28" t="s">
        <v>30834</v>
      </c>
      <c r="AO1613" s="28" t="s">
        <v>138</v>
      </c>
      <c r="AP1613" s="28" t="s">
        <v>423</v>
      </c>
      <c r="AQ1613" s="28" t="s">
        <v>12773</v>
      </c>
      <c r="AR1613" s="28" t="s">
        <v>138</v>
      </c>
      <c r="AS1613" s="28" t="s">
        <v>426</v>
      </c>
      <c r="AT1613" s="28" t="s">
        <v>426</v>
      </c>
      <c r="AU1613" s="28" t="s">
        <v>9016</v>
      </c>
      <c r="AV1613" s="28" t="s">
        <v>162</v>
      </c>
      <c r="AW1613" s="28" t="s">
        <v>138</v>
      </c>
      <c r="AX1613" s="28" t="s">
        <v>138</v>
      </c>
      <c r="AY1613" s="28" t="s">
        <v>30835</v>
      </c>
      <c r="AZ1613" s="28" t="s">
        <v>164</v>
      </c>
      <c r="BA1613" s="28" t="s">
        <v>165</v>
      </c>
      <c r="BB1613" s="28" t="s">
        <v>30836</v>
      </c>
      <c r="BC1613" s="28" t="s">
        <v>30837</v>
      </c>
      <c r="BD1613" s="33">
        <v>16</v>
      </c>
      <c r="BE1613" s="28" t="s">
        <v>138</v>
      </c>
      <c r="BF1613" s="28" t="s">
        <v>138</v>
      </c>
      <c r="BG1613" s="28" t="s">
        <v>138</v>
      </c>
      <c r="BH1613" s="28" t="s">
        <v>30838</v>
      </c>
      <c r="BI1613" s="28" t="s">
        <v>138</v>
      </c>
      <c r="BJ1613" s="28" t="s">
        <v>138</v>
      </c>
      <c r="BK1613" s="28" t="s">
        <v>138</v>
      </c>
      <c r="BL1613" s="28" t="s">
        <v>138</v>
      </c>
      <c r="BM1613" s="34">
        <v>41275</v>
      </c>
      <c r="BN1613" s="29" t="s">
        <v>138</v>
      </c>
      <c r="BO1613" s="28" t="s">
        <v>138</v>
      </c>
      <c r="BP1613" s="29" t="s">
        <v>138</v>
      </c>
      <c r="BQ1613" s="28" t="s">
        <v>138</v>
      </c>
      <c r="BR1613" s="28" t="s">
        <v>316</v>
      </c>
      <c r="BS1613" s="28" t="s">
        <v>138</v>
      </c>
      <c r="BT1613" s="28" t="s">
        <v>138</v>
      </c>
      <c r="BU1613" s="28" t="s">
        <v>177</v>
      </c>
      <c r="BV1613" s="28" t="s">
        <v>138</v>
      </c>
      <c r="BW1613" s="28" t="s">
        <v>138</v>
      </c>
      <c r="BX1613" s="28" t="s">
        <v>138</v>
      </c>
      <c r="BY1613" s="28" t="s">
        <v>175</v>
      </c>
      <c r="BZ1613" s="34">
        <v>43308</v>
      </c>
      <c r="CA1613" s="29">
        <v>4</v>
      </c>
      <c r="CB1613" s="28" t="s">
        <v>172</v>
      </c>
      <c r="CC1613" s="29" t="s">
        <v>138</v>
      </c>
      <c r="CD1613" s="28" t="s">
        <v>138</v>
      </c>
      <c r="CE1613" s="28" t="s">
        <v>205</v>
      </c>
      <c r="CF1613" s="28" t="s">
        <v>138</v>
      </c>
      <c r="CG1613" s="28" t="s">
        <v>138</v>
      </c>
      <c r="CH1613" s="28" t="s">
        <v>174</v>
      </c>
      <c r="CI1613" s="28" t="s">
        <v>264</v>
      </c>
      <c r="CJ1613" s="28" t="s">
        <v>138</v>
      </c>
      <c r="CK1613" s="28" t="s">
        <v>138</v>
      </c>
      <c r="CL1613" s="28" t="s">
        <v>175</v>
      </c>
      <c r="CM1613" s="34" t="s">
        <v>138</v>
      </c>
      <c r="CN1613" s="29" t="s">
        <v>138</v>
      </c>
      <c r="CO1613" s="35">
        <v>-0.18</v>
      </c>
      <c r="CP1613" s="36">
        <v>20</v>
      </c>
      <c r="CQ1613" s="35">
        <v>-0.03</v>
      </c>
      <c r="CR1613" s="35">
        <v>-18.95</v>
      </c>
      <c r="CS1613" s="35">
        <v>-0.56000000000000005</v>
      </c>
      <c r="CT1613" s="36">
        <v>19</v>
      </c>
      <c r="CU1613" s="35">
        <v>0.03</v>
      </c>
      <c r="CV1613" s="36">
        <v>54</v>
      </c>
      <c r="CW1613" s="35">
        <v>0</v>
      </c>
      <c r="CX1613" s="36">
        <v>13</v>
      </c>
      <c r="CY1613" s="35">
        <v>-1.1200000000000001</v>
      </c>
      <c r="CZ1613" s="36">
        <v>18</v>
      </c>
      <c r="DA1613" s="35">
        <v>0.03</v>
      </c>
      <c r="DB1613" s="36">
        <v>60</v>
      </c>
      <c r="DC1613" s="37">
        <v>1.8</v>
      </c>
      <c r="DD1613" s="36">
        <v>65</v>
      </c>
      <c r="DE1613" s="37">
        <v>-0.01</v>
      </c>
      <c r="DF1613" s="35">
        <v>-0.6</v>
      </c>
      <c r="DG1613" s="37">
        <v>2.86</v>
      </c>
      <c r="DH1613" s="36">
        <v>74</v>
      </c>
      <c r="DI1613" s="37">
        <v>2.33</v>
      </c>
      <c r="DJ1613" s="36">
        <v>65</v>
      </c>
      <c r="DK1613" s="37">
        <v>0.68</v>
      </c>
      <c r="DL1613" s="36">
        <v>42</v>
      </c>
      <c r="DM1613" s="37">
        <v>5.03</v>
      </c>
      <c r="DN1613" s="36">
        <v>81</v>
      </c>
      <c r="DO1613" s="37">
        <v>2.33</v>
      </c>
      <c r="DP1613" s="36">
        <v>66</v>
      </c>
      <c r="DQ1613" s="36">
        <v>280</v>
      </c>
      <c r="DR1613" s="38">
        <v>-141</v>
      </c>
      <c r="DS1613" s="35">
        <v>-33.49</v>
      </c>
      <c r="DT1613" s="36">
        <v>146</v>
      </c>
      <c r="DU1613" s="38">
        <v>0</v>
      </c>
      <c r="DV1613" s="35">
        <v>0</v>
      </c>
      <c r="DW1613" s="36">
        <v>831</v>
      </c>
      <c r="DX1613" s="39">
        <v>0</v>
      </c>
      <c r="DY1613" s="35">
        <v>0</v>
      </c>
      <c r="DZ1613" s="28" t="s">
        <v>178</v>
      </c>
      <c r="EA1613" s="34">
        <v>43593</v>
      </c>
      <c r="EB1613" s="29">
        <v>29.66</v>
      </c>
      <c r="EC1613" s="34">
        <v>42767</v>
      </c>
      <c r="ED1613" s="28" t="s">
        <v>205</v>
      </c>
      <c r="EE1613" s="40" t="str">
        <f>HYPERLINK("https://my.pitchbook.com?c=97836-76", "View company online")</f>
        <v>View company online</v>
      </c>
    </row>
    <row r="1614" spans="1:135">
      <c r="A1614" s="15" t="s">
        <v>30839</v>
      </c>
      <c r="B1614" s="15" t="s">
        <v>30840</v>
      </c>
      <c r="C1614" s="15" t="s">
        <v>138</v>
      </c>
      <c r="D1614" s="15" t="s">
        <v>138</v>
      </c>
      <c r="E1614" s="15" t="s">
        <v>30841</v>
      </c>
      <c r="F1614" s="15" t="s">
        <v>30839</v>
      </c>
      <c r="G1614" s="15" t="s">
        <v>30842</v>
      </c>
      <c r="H1614" s="15" t="s">
        <v>141</v>
      </c>
      <c r="I1614" s="15" t="s">
        <v>212</v>
      </c>
      <c r="J1614" s="15" t="s">
        <v>213</v>
      </c>
      <c r="K1614" s="15" t="s">
        <v>1064</v>
      </c>
      <c r="L1614" s="15" t="s">
        <v>12992</v>
      </c>
      <c r="M1614" s="15" t="s">
        <v>30843</v>
      </c>
      <c r="N1614" s="15" t="s">
        <v>147</v>
      </c>
      <c r="O1614" s="17">
        <v>8</v>
      </c>
      <c r="P1614" s="15" t="s">
        <v>148</v>
      </c>
      <c r="Q1614" s="15" t="s">
        <v>149</v>
      </c>
      <c r="R1614" s="15" t="s">
        <v>174</v>
      </c>
      <c r="S1614" s="15" t="s">
        <v>30844</v>
      </c>
      <c r="T1614" s="18">
        <v>25</v>
      </c>
      <c r="U1614" s="15" t="s">
        <v>30845</v>
      </c>
      <c r="V1614" s="15" t="s">
        <v>138</v>
      </c>
      <c r="W1614" s="15" t="s">
        <v>138</v>
      </c>
      <c r="X1614" s="19">
        <v>2012</v>
      </c>
      <c r="Y1614" s="15" t="s">
        <v>138</v>
      </c>
      <c r="Z1614" s="15" t="s">
        <v>138</v>
      </c>
      <c r="AA1614" s="15" t="s">
        <v>138</v>
      </c>
      <c r="AB1614" s="20" t="s">
        <v>138</v>
      </c>
      <c r="AC1614" s="20" t="s">
        <v>138</v>
      </c>
      <c r="AD1614" s="20" t="s">
        <v>138</v>
      </c>
      <c r="AE1614" s="20" t="s">
        <v>138</v>
      </c>
      <c r="AF1614" s="20" t="s">
        <v>138</v>
      </c>
      <c r="AG1614" s="15" t="s">
        <v>138</v>
      </c>
      <c r="AH1614" s="20" t="s">
        <v>138</v>
      </c>
      <c r="AI1614" s="20" t="s">
        <v>138</v>
      </c>
      <c r="AJ1614" s="20" t="s">
        <v>138</v>
      </c>
      <c r="AK1614" s="15" t="s">
        <v>30846</v>
      </c>
      <c r="AL1614" s="15" t="s">
        <v>30847</v>
      </c>
      <c r="AM1614" s="15" t="s">
        <v>30848</v>
      </c>
      <c r="AN1614" s="15" t="s">
        <v>30849</v>
      </c>
      <c r="AO1614" s="15" t="s">
        <v>30850</v>
      </c>
      <c r="AP1614" s="15" t="s">
        <v>1292</v>
      </c>
      <c r="AQ1614" s="15" t="s">
        <v>28773</v>
      </c>
      <c r="AR1614" s="15" t="s">
        <v>30851</v>
      </c>
      <c r="AS1614" s="15" t="s">
        <v>1294</v>
      </c>
      <c r="AT1614" s="15" t="s">
        <v>864</v>
      </c>
      <c r="AU1614" s="15" t="s">
        <v>12317</v>
      </c>
      <c r="AV1614" s="15" t="s">
        <v>162</v>
      </c>
      <c r="AW1614" s="15" t="s">
        <v>30852</v>
      </c>
      <c r="AX1614" s="15" t="s">
        <v>138</v>
      </c>
      <c r="AY1614" s="15" t="s">
        <v>30853</v>
      </c>
      <c r="AZ1614" s="15" t="s">
        <v>164</v>
      </c>
      <c r="BA1614" s="15" t="s">
        <v>165</v>
      </c>
      <c r="BB1614" s="15" t="s">
        <v>30854</v>
      </c>
      <c r="BC1614" s="15" t="s">
        <v>30855</v>
      </c>
      <c r="BD1614" s="21">
        <v>9</v>
      </c>
      <c r="BE1614" s="15" t="s">
        <v>138</v>
      </c>
      <c r="BF1614" s="15" t="s">
        <v>138</v>
      </c>
      <c r="BG1614" s="15" t="s">
        <v>138</v>
      </c>
      <c r="BH1614" s="15" t="s">
        <v>30856</v>
      </c>
      <c r="BI1614" s="15" t="s">
        <v>138</v>
      </c>
      <c r="BJ1614" s="15" t="s">
        <v>138</v>
      </c>
      <c r="BK1614" s="15" t="s">
        <v>138</v>
      </c>
      <c r="BL1614" s="15" t="s">
        <v>138</v>
      </c>
      <c r="BM1614" s="22">
        <v>41464</v>
      </c>
      <c r="BN1614" s="17">
        <v>0.8</v>
      </c>
      <c r="BO1614" s="15" t="s">
        <v>172</v>
      </c>
      <c r="BP1614" s="17">
        <v>7.11</v>
      </c>
      <c r="BQ1614" s="15" t="s">
        <v>172</v>
      </c>
      <c r="BR1614" s="15" t="s">
        <v>234</v>
      </c>
      <c r="BS1614" s="15" t="s">
        <v>234</v>
      </c>
      <c r="BT1614" s="15" t="s">
        <v>138</v>
      </c>
      <c r="BU1614" s="15" t="s">
        <v>174</v>
      </c>
      <c r="BV1614" s="15" t="s">
        <v>138</v>
      </c>
      <c r="BW1614" s="15" t="s">
        <v>138</v>
      </c>
      <c r="BX1614" s="15" t="s">
        <v>138</v>
      </c>
      <c r="BY1614" s="15" t="s">
        <v>175</v>
      </c>
      <c r="BZ1614" s="22">
        <v>41815</v>
      </c>
      <c r="CA1614" s="17">
        <v>6.25</v>
      </c>
      <c r="CB1614" s="15" t="s">
        <v>172</v>
      </c>
      <c r="CC1614" s="17">
        <v>17.86</v>
      </c>
      <c r="CD1614" s="15" t="s">
        <v>172</v>
      </c>
      <c r="CE1614" s="15" t="s">
        <v>205</v>
      </c>
      <c r="CF1614" s="15" t="s">
        <v>206</v>
      </c>
      <c r="CG1614" s="15" t="s">
        <v>138</v>
      </c>
      <c r="CH1614" s="15" t="s">
        <v>174</v>
      </c>
      <c r="CI1614" s="15" t="s">
        <v>138</v>
      </c>
      <c r="CJ1614" s="15" t="s">
        <v>138</v>
      </c>
      <c r="CK1614" s="15" t="s">
        <v>138</v>
      </c>
      <c r="CL1614" s="15" t="s">
        <v>175</v>
      </c>
      <c r="CM1614" s="22" t="s">
        <v>138</v>
      </c>
      <c r="CN1614" s="17" t="s">
        <v>138</v>
      </c>
      <c r="CO1614" s="23">
        <v>-0.01</v>
      </c>
      <c r="CP1614" s="24">
        <v>25</v>
      </c>
      <c r="CQ1614" s="23">
        <v>-0.02</v>
      </c>
      <c r="CR1614" s="23">
        <v>-132.61000000000001</v>
      </c>
      <c r="CS1614" s="23">
        <v>0</v>
      </c>
      <c r="CT1614" s="24">
        <v>23</v>
      </c>
      <c r="CU1614" s="23">
        <v>-0.01</v>
      </c>
      <c r="CV1614" s="24">
        <v>20</v>
      </c>
      <c r="CW1614" s="23">
        <v>0</v>
      </c>
      <c r="CX1614" s="24">
        <v>13</v>
      </c>
      <c r="CY1614" s="23">
        <v>0</v>
      </c>
      <c r="CZ1614" s="24">
        <v>25</v>
      </c>
      <c r="DA1614" s="23">
        <v>-0.01</v>
      </c>
      <c r="DB1614" s="24">
        <v>21</v>
      </c>
      <c r="DC1614" s="25">
        <v>1.97</v>
      </c>
      <c r="DD1614" s="24">
        <v>67</v>
      </c>
      <c r="DE1614" s="25">
        <v>-0.03</v>
      </c>
      <c r="DF1614" s="23">
        <v>-1.43</v>
      </c>
      <c r="DG1614" s="25">
        <v>1.1100000000000001</v>
      </c>
      <c r="DH1614" s="24">
        <v>54</v>
      </c>
      <c r="DI1614" s="25">
        <v>2.82</v>
      </c>
      <c r="DJ1614" s="24">
        <v>68</v>
      </c>
      <c r="DK1614" s="25">
        <v>0.78</v>
      </c>
      <c r="DL1614" s="24">
        <v>45</v>
      </c>
      <c r="DM1614" s="25">
        <v>1.45</v>
      </c>
      <c r="DN1614" s="24">
        <v>59</v>
      </c>
      <c r="DO1614" s="25">
        <v>2.82</v>
      </c>
      <c r="DP1614" s="24">
        <v>70</v>
      </c>
      <c r="DQ1614" s="24">
        <v>260</v>
      </c>
      <c r="DR1614" s="26">
        <v>22</v>
      </c>
      <c r="DS1614" s="23">
        <v>9.24</v>
      </c>
      <c r="DT1614" s="24">
        <v>42</v>
      </c>
      <c r="DU1614" s="26">
        <v>-1</v>
      </c>
      <c r="DV1614" s="23">
        <v>-2.33</v>
      </c>
      <c r="DW1614" s="24">
        <v>1012</v>
      </c>
      <c r="DX1614" s="27">
        <v>-2</v>
      </c>
      <c r="DY1614" s="23">
        <v>-0.2</v>
      </c>
      <c r="DZ1614" s="15" t="s">
        <v>178</v>
      </c>
      <c r="EA1614" s="22">
        <v>43454</v>
      </c>
      <c r="EB1614" s="17">
        <v>17.86</v>
      </c>
      <c r="EC1614" s="22">
        <v>41815</v>
      </c>
      <c r="ED1614" s="15" t="s">
        <v>205</v>
      </c>
      <c r="EE1614" s="14" t="str">
        <f>HYPERLINK("https://my.pitchbook.com?c=57899-35", "View company online")</f>
        <v>View company online</v>
      </c>
    </row>
    <row r="1615" spans="1:135">
      <c r="A1615" s="28" t="s">
        <v>30857</v>
      </c>
      <c r="B1615" s="28" t="s">
        <v>30858</v>
      </c>
      <c r="C1615" s="28" t="s">
        <v>138</v>
      </c>
      <c r="D1615" s="28" t="s">
        <v>138</v>
      </c>
      <c r="E1615" s="28" t="s">
        <v>138</v>
      </c>
      <c r="F1615" s="28" t="s">
        <v>30857</v>
      </c>
      <c r="G1615" s="28" t="s">
        <v>30859</v>
      </c>
      <c r="H1615" s="28" t="s">
        <v>141</v>
      </c>
      <c r="I1615" s="28" t="s">
        <v>142</v>
      </c>
      <c r="J1615" s="28" t="s">
        <v>4042</v>
      </c>
      <c r="K1615" s="28" t="s">
        <v>4043</v>
      </c>
      <c r="L1615" s="28" t="s">
        <v>5139</v>
      </c>
      <c r="M1615" s="28" t="s">
        <v>30860</v>
      </c>
      <c r="N1615" s="28" t="s">
        <v>147</v>
      </c>
      <c r="O1615" s="29">
        <v>15.49</v>
      </c>
      <c r="P1615" s="28" t="s">
        <v>148</v>
      </c>
      <c r="Q1615" s="28" t="s">
        <v>149</v>
      </c>
      <c r="R1615" s="28" t="s">
        <v>174</v>
      </c>
      <c r="S1615" s="28" t="s">
        <v>30861</v>
      </c>
      <c r="T1615" s="30" t="s">
        <v>138</v>
      </c>
      <c r="U1615" s="28" t="s">
        <v>138</v>
      </c>
      <c r="V1615" s="28" t="s">
        <v>138</v>
      </c>
      <c r="W1615" s="28" t="s">
        <v>138</v>
      </c>
      <c r="X1615" s="31">
        <v>2017</v>
      </c>
      <c r="Y1615" s="28" t="s">
        <v>138</v>
      </c>
      <c r="Z1615" s="28" t="s">
        <v>138</v>
      </c>
      <c r="AA1615" s="28" t="s">
        <v>138</v>
      </c>
      <c r="AB1615" s="32" t="s">
        <v>138</v>
      </c>
      <c r="AC1615" s="32" t="s">
        <v>138</v>
      </c>
      <c r="AD1615" s="32" t="s">
        <v>138</v>
      </c>
      <c r="AE1615" s="32" t="s">
        <v>138</v>
      </c>
      <c r="AF1615" s="32" t="s">
        <v>138</v>
      </c>
      <c r="AG1615" s="28" t="s">
        <v>138</v>
      </c>
      <c r="AH1615" s="32" t="s">
        <v>138</v>
      </c>
      <c r="AI1615" s="32" t="s">
        <v>138</v>
      </c>
      <c r="AJ1615" s="32" t="s">
        <v>138</v>
      </c>
      <c r="AK1615" s="28" t="s">
        <v>30862</v>
      </c>
      <c r="AL1615" s="28" t="s">
        <v>30863</v>
      </c>
      <c r="AM1615" s="28" t="s">
        <v>4269</v>
      </c>
      <c r="AN1615" s="28" t="s">
        <v>30864</v>
      </c>
      <c r="AO1615" s="28" t="s">
        <v>138</v>
      </c>
      <c r="AP1615" s="28" t="s">
        <v>22888</v>
      </c>
      <c r="AQ1615" s="28" t="s">
        <v>30865</v>
      </c>
      <c r="AR1615" s="28" t="s">
        <v>138</v>
      </c>
      <c r="AS1615" s="28" t="s">
        <v>22891</v>
      </c>
      <c r="AT1615" s="28" t="s">
        <v>138</v>
      </c>
      <c r="AU1615" s="28" t="s">
        <v>138</v>
      </c>
      <c r="AV1615" s="28" t="s">
        <v>450</v>
      </c>
      <c r="AW1615" s="28" t="s">
        <v>138</v>
      </c>
      <c r="AX1615" s="28" t="s">
        <v>138</v>
      </c>
      <c r="AY1615" s="28" t="s">
        <v>30866</v>
      </c>
      <c r="AZ1615" s="28" t="s">
        <v>452</v>
      </c>
      <c r="BA1615" s="28" t="s">
        <v>453</v>
      </c>
      <c r="BB1615" s="28" t="s">
        <v>30867</v>
      </c>
      <c r="BC1615" s="28" t="s">
        <v>30868</v>
      </c>
      <c r="BD1615" s="33">
        <v>6</v>
      </c>
      <c r="BE1615" s="28" t="s">
        <v>138</v>
      </c>
      <c r="BF1615" s="28" t="s">
        <v>138</v>
      </c>
      <c r="BG1615" s="28" t="s">
        <v>138</v>
      </c>
      <c r="BH1615" s="28" t="s">
        <v>30869</v>
      </c>
      <c r="BI1615" s="28" t="s">
        <v>138</v>
      </c>
      <c r="BJ1615" s="28" t="s">
        <v>138</v>
      </c>
      <c r="BK1615" s="28" t="s">
        <v>138</v>
      </c>
      <c r="BL1615" s="28" t="s">
        <v>138</v>
      </c>
      <c r="BM1615" s="34">
        <v>43278</v>
      </c>
      <c r="BN1615" s="29">
        <v>15.49</v>
      </c>
      <c r="BO1615" s="28" t="s">
        <v>172</v>
      </c>
      <c r="BP1615" s="29">
        <v>154.87</v>
      </c>
      <c r="BQ1615" s="28" t="s">
        <v>172</v>
      </c>
      <c r="BR1615" s="28" t="s">
        <v>205</v>
      </c>
      <c r="BS1615" s="28" t="s">
        <v>206</v>
      </c>
      <c r="BT1615" s="28" t="s">
        <v>138</v>
      </c>
      <c r="BU1615" s="28" t="s">
        <v>174</v>
      </c>
      <c r="BV1615" s="28" t="s">
        <v>138</v>
      </c>
      <c r="BW1615" s="28" t="s">
        <v>138</v>
      </c>
      <c r="BX1615" s="28" t="s">
        <v>138</v>
      </c>
      <c r="BY1615" s="28" t="s">
        <v>175</v>
      </c>
      <c r="BZ1615" s="34">
        <v>43278</v>
      </c>
      <c r="CA1615" s="29">
        <v>15.49</v>
      </c>
      <c r="CB1615" s="28" t="s">
        <v>172</v>
      </c>
      <c r="CC1615" s="29">
        <v>154.87</v>
      </c>
      <c r="CD1615" s="28" t="s">
        <v>172</v>
      </c>
      <c r="CE1615" s="28" t="s">
        <v>205</v>
      </c>
      <c r="CF1615" s="28" t="s">
        <v>206</v>
      </c>
      <c r="CG1615" s="28" t="s">
        <v>138</v>
      </c>
      <c r="CH1615" s="28" t="s">
        <v>174</v>
      </c>
      <c r="CI1615" s="28" t="s">
        <v>138</v>
      </c>
      <c r="CJ1615" s="28" t="s">
        <v>138</v>
      </c>
      <c r="CK1615" s="28" t="s">
        <v>138</v>
      </c>
      <c r="CL1615" s="28" t="s">
        <v>175</v>
      </c>
      <c r="CM1615" s="34" t="s">
        <v>138</v>
      </c>
      <c r="CN1615" s="29" t="s">
        <v>138</v>
      </c>
      <c r="CO1615" s="35">
        <v>0</v>
      </c>
      <c r="CP1615" s="36">
        <v>26</v>
      </c>
      <c r="CQ1615" s="35">
        <v>0</v>
      </c>
      <c r="CR1615" s="35">
        <v>0</v>
      </c>
      <c r="CS1615" s="35">
        <v>0</v>
      </c>
      <c r="CT1615" s="36">
        <v>23</v>
      </c>
      <c r="CU1615" s="35" t="s">
        <v>138</v>
      </c>
      <c r="CV1615" s="36" t="s">
        <v>138</v>
      </c>
      <c r="CW1615" s="35">
        <v>0</v>
      </c>
      <c r="CX1615" s="36">
        <v>13</v>
      </c>
      <c r="CY1615" s="35">
        <v>0</v>
      </c>
      <c r="CZ1615" s="36">
        <v>25</v>
      </c>
      <c r="DA1615" s="35" t="s">
        <v>138</v>
      </c>
      <c r="DB1615" s="36" t="s">
        <v>138</v>
      </c>
      <c r="DC1615" s="37">
        <v>0.32</v>
      </c>
      <c r="DD1615" s="36">
        <v>24</v>
      </c>
      <c r="DE1615" s="37">
        <v>-0.01</v>
      </c>
      <c r="DF1615" s="35">
        <v>-4.28</v>
      </c>
      <c r="DG1615" s="37">
        <v>0.32</v>
      </c>
      <c r="DH1615" s="36">
        <v>25</v>
      </c>
      <c r="DI1615" s="37" t="s">
        <v>138</v>
      </c>
      <c r="DJ1615" s="36" t="s">
        <v>138</v>
      </c>
      <c r="DK1615" s="37">
        <v>0.22</v>
      </c>
      <c r="DL1615" s="36">
        <v>16</v>
      </c>
      <c r="DM1615" s="37">
        <v>0.41</v>
      </c>
      <c r="DN1615" s="36">
        <v>30</v>
      </c>
      <c r="DO1615" s="37" t="s">
        <v>138</v>
      </c>
      <c r="DP1615" s="36" t="s">
        <v>138</v>
      </c>
      <c r="DQ1615" s="36">
        <v>74</v>
      </c>
      <c r="DR1615" s="38">
        <v>3</v>
      </c>
      <c r="DS1615" s="35">
        <v>4.2300000000000004</v>
      </c>
      <c r="DT1615" s="36">
        <v>12</v>
      </c>
      <c r="DU1615" s="38">
        <v>0</v>
      </c>
      <c r="DV1615" s="35">
        <v>0</v>
      </c>
      <c r="DW1615" s="36" t="s">
        <v>138</v>
      </c>
      <c r="DX1615" s="39" t="s">
        <v>138</v>
      </c>
      <c r="DY1615" s="35" t="s">
        <v>138</v>
      </c>
      <c r="DZ1615" s="28" t="s">
        <v>178</v>
      </c>
      <c r="EA1615" s="34">
        <v>43351</v>
      </c>
      <c r="EB1615" s="29">
        <v>154.87</v>
      </c>
      <c r="EC1615" s="34">
        <v>43278</v>
      </c>
      <c r="ED1615" s="28" t="s">
        <v>205</v>
      </c>
      <c r="EE1615" s="40" t="str">
        <f>HYPERLINK("https://my.pitchbook.com?c=231935-32", "View company online")</f>
        <v>View company online</v>
      </c>
    </row>
    <row r="1616" spans="1:135">
      <c r="A1616" s="15" t="s">
        <v>30870</v>
      </c>
      <c r="B1616" s="15" t="s">
        <v>30871</v>
      </c>
      <c r="C1616" s="15" t="s">
        <v>138</v>
      </c>
      <c r="D1616" s="15" t="s">
        <v>138</v>
      </c>
      <c r="E1616" s="15" t="s">
        <v>30872</v>
      </c>
      <c r="F1616" s="15" t="s">
        <v>30870</v>
      </c>
      <c r="G1616" s="15" t="s">
        <v>30873</v>
      </c>
      <c r="H1616" s="15" t="s">
        <v>322</v>
      </c>
      <c r="I1616" s="15" t="s">
        <v>356</v>
      </c>
      <c r="J1616" s="15" t="s">
        <v>3852</v>
      </c>
      <c r="K1616" s="15" t="s">
        <v>5258</v>
      </c>
      <c r="L1616" s="15" t="s">
        <v>1972</v>
      </c>
      <c r="M1616" s="15" t="s">
        <v>30874</v>
      </c>
      <c r="N1616" s="15" t="s">
        <v>147</v>
      </c>
      <c r="O1616" s="17">
        <v>54.25</v>
      </c>
      <c r="P1616" s="15" t="s">
        <v>148</v>
      </c>
      <c r="Q1616" s="15" t="s">
        <v>149</v>
      </c>
      <c r="R1616" s="15" t="s">
        <v>174</v>
      </c>
      <c r="S1616" s="15" t="s">
        <v>30875</v>
      </c>
      <c r="T1616" s="18">
        <v>44</v>
      </c>
      <c r="U1616" s="15" t="s">
        <v>30876</v>
      </c>
      <c r="V1616" s="15" t="s">
        <v>138</v>
      </c>
      <c r="W1616" s="15" t="s">
        <v>138</v>
      </c>
      <c r="X1616" s="19">
        <v>2009</v>
      </c>
      <c r="Y1616" s="15" t="s">
        <v>138</v>
      </c>
      <c r="Z1616" s="15" t="s">
        <v>138</v>
      </c>
      <c r="AA1616" s="15" t="s">
        <v>138</v>
      </c>
      <c r="AB1616" s="20" t="s">
        <v>138</v>
      </c>
      <c r="AC1616" s="20" t="s">
        <v>138</v>
      </c>
      <c r="AD1616" s="20" t="s">
        <v>138</v>
      </c>
      <c r="AE1616" s="20" t="s">
        <v>138</v>
      </c>
      <c r="AF1616" s="20" t="s">
        <v>138</v>
      </c>
      <c r="AG1616" s="15" t="s">
        <v>138</v>
      </c>
      <c r="AH1616" s="20" t="s">
        <v>138</v>
      </c>
      <c r="AI1616" s="20" t="s">
        <v>138</v>
      </c>
      <c r="AJ1616" s="20" t="s">
        <v>138</v>
      </c>
      <c r="AK1616" s="15" t="s">
        <v>30877</v>
      </c>
      <c r="AL1616" s="15" t="s">
        <v>30878</v>
      </c>
      <c r="AM1616" s="15" t="s">
        <v>2605</v>
      </c>
      <c r="AN1616" s="15" t="s">
        <v>30879</v>
      </c>
      <c r="AO1616" s="15" t="s">
        <v>30880</v>
      </c>
      <c r="AP1616" s="15" t="s">
        <v>3839</v>
      </c>
      <c r="AQ1616" s="15" t="s">
        <v>30881</v>
      </c>
      <c r="AR1616" s="15" t="s">
        <v>1936</v>
      </c>
      <c r="AS1616" s="15" t="s">
        <v>3841</v>
      </c>
      <c r="AT1616" s="15" t="s">
        <v>200</v>
      </c>
      <c r="AU1616" s="15" t="s">
        <v>30882</v>
      </c>
      <c r="AV1616" s="15" t="s">
        <v>162</v>
      </c>
      <c r="AW1616" s="15" t="s">
        <v>30880</v>
      </c>
      <c r="AX1616" s="15" t="s">
        <v>138</v>
      </c>
      <c r="AY1616" s="15" t="s">
        <v>30883</v>
      </c>
      <c r="AZ1616" s="15" t="s">
        <v>164</v>
      </c>
      <c r="BA1616" s="15" t="s">
        <v>165</v>
      </c>
      <c r="BB1616" s="15" t="s">
        <v>30884</v>
      </c>
      <c r="BC1616" s="15" t="s">
        <v>30885</v>
      </c>
      <c r="BD1616" s="21">
        <v>8</v>
      </c>
      <c r="BE1616" s="15" t="s">
        <v>138</v>
      </c>
      <c r="BF1616" s="15" t="s">
        <v>138</v>
      </c>
      <c r="BG1616" s="15" t="s">
        <v>138</v>
      </c>
      <c r="BH1616" s="15" t="s">
        <v>30886</v>
      </c>
      <c r="BI1616" s="15" t="s">
        <v>138</v>
      </c>
      <c r="BJ1616" s="15" t="s">
        <v>138</v>
      </c>
      <c r="BK1616" s="15" t="s">
        <v>2936</v>
      </c>
      <c r="BL1616" s="15" t="s">
        <v>2936</v>
      </c>
      <c r="BM1616" s="22">
        <v>41275</v>
      </c>
      <c r="BN1616" s="17">
        <v>2.0299999999999998</v>
      </c>
      <c r="BO1616" s="15" t="s">
        <v>172</v>
      </c>
      <c r="BP1616" s="17">
        <v>21.18</v>
      </c>
      <c r="BQ1616" s="15" t="s">
        <v>172</v>
      </c>
      <c r="BR1616" s="15" t="s">
        <v>205</v>
      </c>
      <c r="BS1616" s="15" t="s">
        <v>206</v>
      </c>
      <c r="BT1616" s="15" t="s">
        <v>138</v>
      </c>
      <c r="BU1616" s="15" t="s">
        <v>174</v>
      </c>
      <c r="BV1616" s="15" t="s">
        <v>138</v>
      </c>
      <c r="BW1616" s="15" t="s">
        <v>138</v>
      </c>
      <c r="BX1616" s="15" t="s">
        <v>138</v>
      </c>
      <c r="BY1616" s="15" t="s">
        <v>175</v>
      </c>
      <c r="BZ1616" s="22">
        <v>43160</v>
      </c>
      <c r="CA1616" s="17" t="s">
        <v>138</v>
      </c>
      <c r="CB1616" s="15" t="s">
        <v>138</v>
      </c>
      <c r="CC1616" s="17" t="s">
        <v>138</v>
      </c>
      <c r="CD1616" s="15" t="s">
        <v>138</v>
      </c>
      <c r="CE1616" s="15" t="s">
        <v>173</v>
      </c>
      <c r="CF1616" s="15" t="s">
        <v>138</v>
      </c>
      <c r="CG1616" s="15" t="s">
        <v>138</v>
      </c>
      <c r="CH1616" s="15" t="s">
        <v>174</v>
      </c>
      <c r="CI1616" s="15" t="s">
        <v>138</v>
      </c>
      <c r="CJ1616" s="15" t="s">
        <v>138</v>
      </c>
      <c r="CK1616" s="15" t="s">
        <v>138</v>
      </c>
      <c r="CL1616" s="15" t="s">
        <v>175</v>
      </c>
      <c r="CM1616" s="22" t="s">
        <v>138</v>
      </c>
      <c r="CN1616" s="17" t="s">
        <v>138</v>
      </c>
      <c r="CO1616" s="23">
        <v>0.25</v>
      </c>
      <c r="CP1616" s="24">
        <v>93</v>
      </c>
      <c r="CQ1616" s="23">
        <v>0.01</v>
      </c>
      <c r="CR1616" s="23">
        <v>4.03</v>
      </c>
      <c r="CS1616" s="23">
        <v>0</v>
      </c>
      <c r="CT1616" s="24">
        <v>23</v>
      </c>
      <c r="CU1616" s="23">
        <v>0.51</v>
      </c>
      <c r="CV1616" s="24">
        <v>94</v>
      </c>
      <c r="CW1616" s="23" t="s">
        <v>138</v>
      </c>
      <c r="CX1616" s="24" t="s">
        <v>138</v>
      </c>
      <c r="CY1616" s="23">
        <v>0</v>
      </c>
      <c r="CZ1616" s="24">
        <v>25</v>
      </c>
      <c r="DA1616" s="23">
        <v>0.51</v>
      </c>
      <c r="DB1616" s="24">
        <v>94</v>
      </c>
      <c r="DC1616" s="25">
        <v>2.2999999999999998</v>
      </c>
      <c r="DD1616" s="24">
        <v>70</v>
      </c>
      <c r="DE1616" s="25">
        <v>0.02</v>
      </c>
      <c r="DF1616" s="23">
        <v>0.98</v>
      </c>
      <c r="DG1616" s="25">
        <v>2.76</v>
      </c>
      <c r="DH1616" s="24">
        <v>73</v>
      </c>
      <c r="DI1616" s="25">
        <v>1.84</v>
      </c>
      <c r="DJ1616" s="24">
        <v>61</v>
      </c>
      <c r="DK1616" s="25" t="s">
        <v>138</v>
      </c>
      <c r="DL1616" s="24" t="s">
        <v>138</v>
      </c>
      <c r="DM1616" s="25">
        <v>2.76</v>
      </c>
      <c r="DN1616" s="24">
        <v>72</v>
      </c>
      <c r="DO1616" s="25">
        <v>1.84</v>
      </c>
      <c r="DP1616" s="24">
        <v>62</v>
      </c>
      <c r="DQ1616" s="24">
        <v>98</v>
      </c>
      <c r="DR1616" s="26">
        <v>-112</v>
      </c>
      <c r="DS1616" s="23">
        <v>-53.33</v>
      </c>
      <c r="DT1616" s="24">
        <v>79</v>
      </c>
      <c r="DU1616" s="26">
        <v>0</v>
      </c>
      <c r="DV1616" s="23">
        <v>0</v>
      </c>
      <c r="DW1616" s="24">
        <v>660</v>
      </c>
      <c r="DX1616" s="27">
        <v>0</v>
      </c>
      <c r="DY1616" s="23">
        <v>0</v>
      </c>
      <c r="DZ1616" s="15" t="s">
        <v>178</v>
      </c>
      <c r="EA1616" s="22">
        <v>43595</v>
      </c>
      <c r="EB1616" s="17">
        <v>250.38</v>
      </c>
      <c r="EC1616" s="22">
        <v>42081</v>
      </c>
      <c r="ED1616" s="15" t="s">
        <v>173</v>
      </c>
      <c r="EE1616" s="14" t="str">
        <f>HYPERLINK("https://my.pitchbook.com?c=59043-79", "View company online")</f>
        <v>View company online</v>
      </c>
    </row>
    <row r="1617" spans="1:135">
      <c r="A1617" s="28" t="s">
        <v>30887</v>
      </c>
      <c r="B1617" s="28" t="s">
        <v>30888</v>
      </c>
      <c r="C1617" s="28" t="s">
        <v>138</v>
      </c>
      <c r="D1617" s="28" t="s">
        <v>138</v>
      </c>
      <c r="E1617" s="28" t="s">
        <v>11021</v>
      </c>
      <c r="F1617" s="28" t="s">
        <v>30887</v>
      </c>
      <c r="G1617" s="28" t="s">
        <v>30889</v>
      </c>
      <c r="H1617" s="28" t="s">
        <v>322</v>
      </c>
      <c r="I1617" s="28" t="s">
        <v>323</v>
      </c>
      <c r="J1617" s="28" t="s">
        <v>5827</v>
      </c>
      <c r="K1617" s="28" t="s">
        <v>30890</v>
      </c>
      <c r="L1617" s="28" t="s">
        <v>30891</v>
      </c>
      <c r="M1617" s="28" t="s">
        <v>30892</v>
      </c>
      <c r="N1617" s="28" t="s">
        <v>147</v>
      </c>
      <c r="O1617" s="29">
        <v>1.8</v>
      </c>
      <c r="P1617" s="28" t="s">
        <v>148</v>
      </c>
      <c r="Q1617" s="28" t="s">
        <v>149</v>
      </c>
      <c r="R1617" s="28" t="s">
        <v>174</v>
      </c>
      <c r="S1617" s="28" t="s">
        <v>30893</v>
      </c>
      <c r="T1617" s="30">
        <v>26</v>
      </c>
      <c r="U1617" s="28" t="s">
        <v>30894</v>
      </c>
      <c r="V1617" s="28" t="s">
        <v>138</v>
      </c>
      <c r="W1617" s="28" t="s">
        <v>138</v>
      </c>
      <c r="X1617" s="31">
        <v>2004</v>
      </c>
      <c r="Y1617" s="28" t="s">
        <v>138</v>
      </c>
      <c r="Z1617" s="28" t="s">
        <v>138</v>
      </c>
      <c r="AA1617" s="28" t="s">
        <v>138</v>
      </c>
      <c r="AB1617" s="32" t="s">
        <v>138</v>
      </c>
      <c r="AC1617" s="32" t="s">
        <v>138</v>
      </c>
      <c r="AD1617" s="32" t="s">
        <v>138</v>
      </c>
      <c r="AE1617" s="32" t="s">
        <v>138</v>
      </c>
      <c r="AF1617" s="32" t="s">
        <v>138</v>
      </c>
      <c r="AG1617" s="28" t="s">
        <v>138</v>
      </c>
      <c r="AH1617" s="32" t="s">
        <v>138</v>
      </c>
      <c r="AI1617" s="32" t="s">
        <v>138</v>
      </c>
      <c r="AJ1617" s="32" t="s">
        <v>138</v>
      </c>
      <c r="AK1617" s="28" t="s">
        <v>30895</v>
      </c>
      <c r="AL1617" s="28" t="s">
        <v>30896</v>
      </c>
      <c r="AM1617" s="28" t="s">
        <v>249</v>
      </c>
      <c r="AN1617" s="28" t="s">
        <v>138</v>
      </c>
      <c r="AO1617" s="28" t="s">
        <v>30897</v>
      </c>
      <c r="AP1617" s="28" t="s">
        <v>30898</v>
      </c>
      <c r="AQ1617" s="28" t="s">
        <v>30899</v>
      </c>
      <c r="AR1617" s="28" t="s">
        <v>138</v>
      </c>
      <c r="AS1617" s="28" t="s">
        <v>30900</v>
      </c>
      <c r="AT1617" s="28" t="s">
        <v>17430</v>
      </c>
      <c r="AU1617" s="28" t="s">
        <v>30901</v>
      </c>
      <c r="AV1617" s="28" t="s">
        <v>8999</v>
      </c>
      <c r="AW1617" s="28" t="s">
        <v>30897</v>
      </c>
      <c r="AX1617" s="28" t="s">
        <v>30902</v>
      </c>
      <c r="AY1617" s="28" t="s">
        <v>30903</v>
      </c>
      <c r="AZ1617" s="28" t="s">
        <v>9001</v>
      </c>
      <c r="BA1617" s="28" t="s">
        <v>9001</v>
      </c>
      <c r="BB1617" s="28" t="s">
        <v>30904</v>
      </c>
      <c r="BC1617" s="28" t="s">
        <v>30905</v>
      </c>
      <c r="BD1617" s="33">
        <v>7</v>
      </c>
      <c r="BE1617" s="28" t="s">
        <v>138</v>
      </c>
      <c r="BF1617" s="28" t="s">
        <v>138</v>
      </c>
      <c r="BG1617" s="28" t="s">
        <v>138</v>
      </c>
      <c r="BH1617" s="28" t="s">
        <v>30906</v>
      </c>
      <c r="BI1617" s="28" t="s">
        <v>138</v>
      </c>
      <c r="BJ1617" s="28" t="s">
        <v>138</v>
      </c>
      <c r="BK1617" s="28" t="s">
        <v>138</v>
      </c>
      <c r="BL1617" s="28" t="s">
        <v>138</v>
      </c>
      <c r="BM1617" s="34" t="s">
        <v>138</v>
      </c>
      <c r="BN1617" s="29" t="s">
        <v>138</v>
      </c>
      <c r="BO1617" s="28" t="s">
        <v>138</v>
      </c>
      <c r="BP1617" s="29" t="s">
        <v>138</v>
      </c>
      <c r="BQ1617" s="28" t="s">
        <v>138</v>
      </c>
      <c r="BR1617" s="28" t="s">
        <v>234</v>
      </c>
      <c r="BS1617" s="28" t="s">
        <v>234</v>
      </c>
      <c r="BT1617" s="28" t="s">
        <v>138</v>
      </c>
      <c r="BU1617" s="28" t="s">
        <v>174</v>
      </c>
      <c r="BV1617" s="28" t="s">
        <v>138</v>
      </c>
      <c r="BW1617" s="28" t="s">
        <v>138</v>
      </c>
      <c r="BX1617" s="28" t="s">
        <v>138</v>
      </c>
      <c r="BY1617" s="28" t="s">
        <v>175</v>
      </c>
      <c r="BZ1617" s="34">
        <v>41278</v>
      </c>
      <c r="CA1617" s="29" t="s">
        <v>138</v>
      </c>
      <c r="CB1617" s="28" t="s">
        <v>138</v>
      </c>
      <c r="CC1617" s="29" t="s">
        <v>138</v>
      </c>
      <c r="CD1617" s="28" t="s">
        <v>138</v>
      </c>
      <c r="CE1617" s="28" t="s">
        <v>173</v>
      </c>
      <c r="CF1617" s="28" t="s">
        <v>138</v>
      </c>
      <c r="CG1617" s="28" t="s">
        <v>138</v>
      </c>
      <c r="CH1617" s="28" t="s">
        <v>174</v>
      </c>
      <c r="CI1617" s="28" t="s">
        <v>138</v>
      </c>
      <c r="CJ1617" s="28" t="s">
        <v>138</v>
      </c>
      <c r="CK1617" s="28" t="s">
        <v>138</v>
      </c>
      <c r="CL1617" s="28" t="s">
        <v>175</v>
      </c>
      <c r="CM1617" s="34" t="s">
        <v>138</v>
      </c>
      <c r="CN1617" s="29" t="s">
        <v>138</v>
      </c>
      <c r="CO1617" s="35">
        <v>-0.44</v>
      </c>
      <c r="CP1617" s="36">
        <v>17</v>
      </c>
      <c r="CQ1617" s="35">
        <v>-0.19</v>
      </c>
      <c r="CR1617" s="35">
        <v>-73.62</v>
      </c>
      <c r="CS1617" s="35">
        <v>-1.06</v>
      </c>
      <c r="CT1617" s="36">
        <v>15</v>
      </c>
      <c r="CU1617" s="35">
        <v>0.18</v>
      </c>
      <c r="CV1617" s="36">
        <v>78</v>
      </c>
      <c r="CW1617" s="35" t="s">
        <v>138</v>
      </c>
      <c r="CX1617" s="36" t="s">
        <v>138</v>
      </c>
      <c r="CY1617" s="35">
        <v>-1.06</v>
      </c>
      <c r="CZ1617" s="36">
        <v>18</v>
      </c>
      <c r="DA1617" s="35">
        <v>0.18</v>
      </c>
      <c r="DB1617" s="36">
        <v>81</v>
      </c>
      <c r="DC1617" s="37">
        <v>6.02</v>
      </c>
      <c r="DD1617" s="36">
        <v>85</v>
      </c>
      <c r="DE1617" s="37">
        <v>0.04</v>
      </c>
      <c r="DF1617" s="35">
        <v>0.75</v>
      </c>
      <c r="DG1617" s="37">
        <v>9.83</v>
      </c>
      <c r="DH1617" s="36">
        <v>89</v>
      </c>
      <c r="DI1617" s="37">
        <v>2.21</v>
      </c>
      <c r="DJ1617" s="36">
        <v>64</v>
      </c>
      <c r="DK1617" s="37" t="s">
        <v>138</v>
      </c>
      <c r="DL1617" s="36" t="s">
        <v>138</v>
      </c>
      <c r="DM1617" s="37">
        <v>9.83</v>
      </c>
      <c r="DN1617" s="36">
        <v>88</v>
      </c>
      <c r="DO1617" s="37">
        <v>2.21</v>
      </c>
      <c r="DP1617" s="36">
        <v>66</v>
      </c>
      <c r="DQ1617" s="36">
        <v>248</v>
      </c>
      <c r="DR1617" s="38">
        <v>-51</v>
      </c>
      <c r="DS1617" s="35">
        <v>-17.059999999999999</v>
      </c>
      <c r="DT1617" s="36">
        <v>284</v>
      </c>
      <c r="DU1617" s="38">
        <v>2</v>
      </c>
      <c r="DV1617" s="35">
        <v>0.71</v>
      </c>
      <c r="DW1617" s="36">
        <v>789</v>
      </c>
      <c r="DX1617" s="39">
        <v>1</v>
      </c>
      <c r="DY1617" s="35">
        <v>0.13</v>
      </c>
      <c r="DZ1617" s="28" t="s">
        <v>178</v>
      </c>
      <c r="EA1617" s="34">
        <v>43622</v>
      </c>
      <c r="EB1617" s="29" t="s">
        <v>138</v>
      </c>
      <c r="EC1617" s="34" t="s">
        <v>138</v>
      </c>
      <c r="ED1617" s="28" t="s">
        <v>138</v>
      </c>
      <c r="EE1617" s="40" t="str">
        <f>HYPERLINK("https://my.pitchbook.com?c=55883-80", "View company online")</f>
        <v>View company online</v>
      </c>
    </row>
    <row r="1618" spans="1:135">
      <c r="A1618" s="15" t="s">
        <v>30907</v>
      </c>
      <c r="B1618" s="15" t="s">
        <v>30908</v>
      </c>
      <c r="C1618" s="15" t="s">
        <v>138</v>
      </c>
      <c r="D1618" s="15" t="s">
        <v>30909</v>
      </c>
      <c r="E1618" s="15" t="s">
        <v>30910</v>
      </c>
      <c r="F1618" s="15" t="s">
        <v>30907</v>
      </c>
      <c r="G1618" s="15" t="s">
        <v>30911</v>
      </c>
      <c r="H1618" s="15" t="s">
        <v>322</v>
      </c>
      <c r="I1618" s="15" t="s">
        <v>323</v>
      </c>
      <c r="J1618" s="15" t="s">
        <v>413</v>
      </c>
      <c r="K1618" s="15" t="s">
        <v>30912</v>
      </c>
      <c r="L1618" s="15" t="s">
        <v>415</v>
      </c>
      <c r="M1618" s="15" t="s">
        <v>30913</v>
      </c>
      <c r="N1618" s="15" t="s">
        <v>1452</v>
      </c>
      <c r="O1618" s="17" t="s">
        <v>138</v>
      </c>
      <c r="P1618" s="15" t="s">
        <v>148</v>
      </c>
      <c r="Q1618" s="15" t="s">
        <v>149</v>
      </c>
      <c r="R1618" s="15" t="s">
        <v>328</v>
      </c>
      <c r="S1618" s="15" t="s">
        <v>30914</v>
      </c>
      <c r="T1618" s="18">
        <v>51</v>
      </c>
      <c r="U1618" s="15" t="s">
        <v>30915</v>
      </c>
      <c r="V1618" s="15" t="s">
        <v>138</v>
      </c>
      <c r="W1618" s="15" t="s">
        <v>138</v>
      </c>
      <c r="X1618" s="19">
        <v>2002</v>
      </c>
      <c r="Y1618" s="15" t="s">
        <v>138</v>
      </c>
      <c r="Z1618" s="15" t="s">
        <v>138</v>
      </c>
      <c r="AA1618" s="15" t="s">
        <v>138</v>
      </c>
      <c r="AB1618" s="20">
        <v>7.61</v>
      </c>
      <c r="AC1618" s="20" t="s">
        <v>138</v>
      </c>
      <c r="AD1618" s="20" t="s">
        <v>138</v>
      </c>
      <c r="AE1618" s="20" t="s">
        <v>138</v>
      </c>
      <c r="AF1618" s="20" t="s">
        <v>138</v>
      </c>
      <c r="AG1618" s="15" t="s">
        <v>514</v>
      </c>
      <c r="AH1618" s="20" t="s">
        <v>138</v>
      </c>
      <c r="AI1618" s="20" t="s">
        <v>138</v>
      </c>
      <c r="AJ1618" s="20" t="s">
        <v>138</v>
      </c>
      <c r="AK1618" s="15" t="s">
        <v>30916</v>
      </c>
      <c r="AL1618" s="15" t="s">
        <v>30917</v>
      </c>
      <c r="AM1618" s="15" t="s">
        <v>422</v>
      </c>
      <c r="AN1618" s="15" t="s">
        <v>30918</v>
      </c>
      <c r="AO1618" s="15" t="s">
        <v>30919</v>
      </c>
      <c r="AP1618" s="15" t="s">
        <v>7576</v>
      </c>
      <c r="AQ1618" s="15" t="s">
        <v>30920</v>
      </c>
      <c r="AR1618" s="15" t="s">
        <v>138</v>
      </c>
      <c r="AS1618" s="15" t="s">
        <v>7578</v>
      </c>
      <c r="AT1618" s="15" t="s">
        <v>30921</v>
      </c>
      <c r="AU1618" s="15" t="s">
        <v>30922</v>
      </c>
      <c r="AV1618" s="15" t="s">
        <v>946</v>
      </c>
      <c r="AW1618" s="15" t="s">
        <v>30919</v>
      </c>
      <c r="AX1618" s="15" t="s">
        <v>30923</v>
      </c>
      <c r="AY1618" s="15" t="s">
        <v>30924</v>
      </c>
      <c r="AZ1618" s="15" t="s">
        <v>530</v>
      </c>
      <c r="BA1618" s="15" t="s">
        <v>531</v>
      </c>
      <c r="BB1618" s="15" t="s">
        <v>30925</v>
      </c>
      <c r="BC1618" s="15" t="s">
        <v>30926</v>
      </c>
      <c r="BD1618" s="21">
        <v>4</v>
      </c>
      <c r="BE1618" s="15" t="s">
        <v>138</v>
      </c>
      <c r="BF1618" s="15" t="s">
        <v>138</v>
      </c>
      <c r="BG1618" s="15" t="s">
        <v>138</v>
      </c>
      <c r="BH1618" s="15" t="s">
        <v>30927</v>
      </c>
      <c r="BI1618" s="15" t="s">
        <v>138</v>
      </c>
      <c r="BJ1618" s="15" t="s">
        <v>138</v>
      </c>
      <c r="BK1618" s="15" t="s">
        <v>138</v>
      </c>
      <c r="BL1618" s="15" t="s">
        <v>138</v>
      </c>
      <c r="BM1618" s="22">
        <v>38718</v>
      </c>
      <c r="BN1618" s="17" t="s">
        <v>138</v>
      </c>
      <c r="BO1618" s="15" t="s">
        <v>138</v>
      </c>
      <c r="BP1618" s="17" t="s">
        <v>138</v>
      </c>
      <c r="BQ1618" s="15" t="s">
        <v>138</v>
      </c>
      <c r="BR1618" s="15" t="s">
        <v>1673</v>
      </c>
      <c r="BS1618" s="15" t="s">
        <v>138</v>
      </c>
      <c r="BT1618" s="15" t="s">
        <v>138</v>
      </c>
      <c r="BU1618" s="15" t="s">
        <v>351</v>
      </c>
      <c r="BV1618" s="15" t="s">
        <v>138</v>
      </c>
      <c r="BW1618" s="15" t="s">
        <v>138</v>
      </c>
      <c r="BX1618" s="15" t="s">
        <v>138</v>
      </c>
      <c r="BY1618" s="15" t="s">
        <v>175</v>
      </c>
      <c r="BZ1618" s="22">
        <v>39252</v>
      </c>
      <c r="CA1618" s="17" t="s">
        <v>138</v>
      </c>
      <c r="CB1618" s="15" t="s">
        <v>138</v>
      </c>
      <c r="CC1618" s="17" t="s">
        <v>138</v>
      </c>
      <c r="CD1618" s="15" t="s">
        <v>138</v>
      </c>
      <c r="CE1618" s="15" t="s">
        <v>205</v>
      </c>
      <c r="CF1618" s="15" t="s">
        <v>138</v>
      </c>
      <c r="CG1618" s="15" t="s">
        <v>138</v>
      </c>
      <c r="CH1618" s="15" t="s">
        <v>174</v>
      </c>
      <c r="CI1618" s="15" t="s">
        <v>138</v>
      </c>
      <c r="CJ1618" s="15" t="s">
        <v>138</v>
      </c>
      <c r="CK1618" s="15" t="s">
        <v>138</v>
      </c>
      <c r="CL1618" s="15" t="s">
        <v>175</v>
      </c>
      <c r="CM1618" s="22" t="s">
        <v>138</v>
      </c>
      <c r="CN1618" s="17" t="s">
        <v>138</v>
      </c>
      <c r="CO1618" s="23">
        <v>0.27</v>
      </c>
      <c r="CP1618" s="24">
        <v>93</v>
      </c>
      <c r="CQ1618" s="23">
        <v>0.01</v>
      </c>
      <c r="CR1618" s="23">
        <v>3.43</v>
      </c>
      <c r="CS1618" s="23">
        <v>0.43</v>
      </c>
      <c r="CT1618" s="24">
        <v>95</v>
      </c>
      <c r="CU1618" s="23">
        <v>0.1</v>
      </c>
      <c r="CV1618" s="24">
        <v>68</v>
      </c>
      <c r="CW1618" s="23">
        <v>0</v>
      </c>
      <c r="CX1618" s="24">
        <v>13</v>
      </c>
      <c r="CY1618" s="23">
        <v>0.87</v>
      </c>
      <c r="CZ1618" s="24">
        <v>99</v>
      </c>
      <c r="DA1618" s="23">
        <v>0.1</v>
      </c>
      <c r="DB1618" s="24">
        <v>72</v>
      </c>
      <c r="DC1618" s="25">
        <v>8.16</v>
      </c>
      <c r="DD1618" s="24">
        <v>88</v>
      </c>
      <c r="DE1618" s="25">
        <v>0.03</v>
      </c>
      <c r="DF1618" s="23">
        <v>0.39</v>
      </c>
      <c r="DG1618" s="25">
        <v>14.2</v>
      </c>
      <c r="DH1618" s="24">
        <v>92</v>
      </c>
      <c r="DI1618" s="25">
        <v>2.12</v>
      </c>
      <c r="DJ1618" s="24">
        <v>63</v>
      </c>
      <c r="DK1618" s="25">
        <v>1.65</v>
      </c>
      <c r="DL1618" s="24">
        <v>61</v>
      </c>
      <c r="DM1618" s="25">
        <v>26.76</v>
      </c>
      <c r="DN1618" s="24">
        <v>96</v>
      </c>
      <c r="DO1618" s="25">
        <v>2.12</v>
      </c>
      <c r="DP1618" s="24">
        <v>65</v>
      </c>
      <c r="DQ1618" s="24">
        <v>538</v>
      </c>
      <c r="DR1618" s="26">
        <v>79</v>
      </c>
      <c r="DS1618" s="23">
        <v>17.21</v>
      </c>
      <c r="DT1618" s="24">
        <v>772</v>
      </c>
      <c r="DU1618" s="26">
        <v>13</v>
      </c>
      <c r="DV1618" s="23">
        <v>1.71</v>
      </c>
      <c r="DW1618" s="24">
        <v>758</v>
      </c>
      <c r="DX1618" s="27">
        <v>2</v>
      </c>
      <c r="DY1618" s="23">
        <v>0.26</v>
      </c>
      <c r="DZ1618" s="15" t="s">
        <v>178</v>
      </c>
      <c r="EA1618" s="22">
        <v>43448</v>
      </c>
      <c r="EB1618" s="17" t="s">
        <v>138</v>
      </c>
      <c r="EC1618" s="22" t="s">
        <v>138</v>
      </c>
      <c r="ED1618" s="15" t="s">
        <v>138</v>
      </c>
      <c r="EE1618" s="14" t="str">
        <f>HYPERLINK("https://my.pitchbook.com?c=124663-42", "View company online")</f>
        <v>View company online</v>
      </c>
    </row>
    <row r="1619" spans="1:135">
      <c r="A1619" s="28" t="s">
        <v>30928</v>
      </c>
      <c r="B1619" s="28" t="s">
        <v>30929</v>
      </c>
      <c r="C1619" s="28" t="s">
        <v>138</v>
      </c>
      <c r="D1619" s="28" t="s">
        <v>138</v>
      </c>
      <c r="E1619" s="28" t="s">
        <v>138</v>
      </c>
      <c r="F1619" s="28" t="s">
        <v>30928</v>
      </c>
      <c r="G1619" s="28" t="s">
        <v>30930</v>
      </c>
      <c r="H1619" s="28" t="s">
        <v>238</v>
      </c>
      <c r="I1619" s="28" t="s">
        <v>269</v>
      </c>
      <c r="J1619" s="28" t="s">
        <v>296</v>
      </c>
      <c r="K1619" s="28" t="s">
        <v>30931</v>
      </c>
      <c r="L1619" s="28" t="s">
        <v>30932</v>
      </c>
      <c r="M1619" s="28" t="s">
        <v>30933</v>
      </c>
      <c r="N1619" s="28" t="s">
        <v>147</v>
      </c>
      <c r="O1619" s="29">
        <v>23.5</v>
      </c>
      <c r="P1619" s="28" t="s">
        <v>148</v>
      </c>
      <c r="Q1619" s="28" t="s">
        <v>149</v>
      </c>
      <c r="R1619" s="28" t="s">
        <v>174</v>
      </c>
      <c r="S1619" s="28" t="s">
        <v>30934</v>
      </c>
      <c r="T1619" s="30">
        <v>28</v>
      </c>
      <c r="U1619" s="28" t="s">
        <v>30935</v>
      </c>
      <c r="V1619" s="28" t="s">
        <v>138</v>
      </c>
      <c r="W1619" s="28" t="s">
        <v>138</v>
      </c>
      <c r="X1619" s="31">
        <v>2016</v>
      </c>
      <c r="Y1619" s="28" t="s">
        <v>138</v>
      </c>
      <c r="Z1619" s="28" t="s">
        <v>138</v>
      </c>
      <c r="AA1619" s="28" t="s">
        <v>138</v>
      </c>
      <c r="AB1619" s="32" t="s">
        <v>138</v>
      </c>
      <c r="AC1619" s="32" t="s">
        <v>138</v>
      </c>
      <c r="AD1619" s="32" t="s">
        <v>138</v>
      </c>
      <c r="AE1619" s="32" t="s">
        <v>138</v>
      </c>
      <c r="AF1619" s="32" t="s">
        <v>138</v>
      </c>
      <c r="AG1619" s="28" t="s">
        <v>138</v>
      </c>
      <c r="AH1619" s="32" t="s">
        <v>138</v>
      </c>
      <c r="AI1619" s="32" t="s">
        <v>138</v>
      </c>
      <c r="AJ1619" s="32" t="s">
        <v>138</v>
      </c>
      <c r="AK1619" s="28" t="s">
        <v>30936</v>
      </c>
      <c r="AL1619" s="28" t="s">
        <v>30937</v>
      </c>
      <c r="AM1619" s="28" t="s">
        <v>304</v>
      </c>
      <c r="AN1619" s="28" t="s">
        <v>30938</v>
      </c>
      <c r="AO1619" s="28" t="s">
        <v>138</v>
      </c>
      <c r="AP1619" s="28" t="s">
        <v>14644</v>
      </c>
      <c r="AQ1619" s="28" t="s">
        <v>138</v>
      </c>
      <c r="AR1619" s="28" t="s">
        <v>138</v>
      </c>
      <c r="AS1619" s="28" t="s">
        <v>14647</v>
      </c>
      <c r="AT1619" s="28" t="s">
        <v>138</v>
      </c>
      <c r="AU1619" s="28" t="s">
        <v>138</v>
      </c>
      <c r="AV1619" s="28" t="s">
        <v>740</v>
      </c>
      <c r="AW1619" s="28" t="s">
        <v>138</v>
      </c>
      <c r="AX1619" s="28" t="s">
        <v>138</v>
      </c>
      <c r="AY1619" s="28" t="s">
        <v>138</v>
      </c>
      <c r="AZ1619" s="28" t="s">
        <v>742</v>
      </c>
      <c r="BA1619" s="28" t="s">
        <v>742</v>
      </c>
      <c r="BB1619" s="28" t="s">
        <v>30939</v>
      </c>
      <c r="BC1619" s="28" t="s">
        <v>30940</v>
      </c>
      <c r="BD1619" s="33">
        <v>6</v>
      </c>
      <c r="BE1619" s="28" t="s">
        <v>138</v>
      </c>
      <c r="BF1619" s="28" t="s">
        <v>138</v>
      </c>
      <c r="BG1619" s="28" t="s">
        <v>138</v>
      </c>
      <c r="BH1619" s="28" t="s">
        <v>30941</v>
      </c>
      <c r="BI1619" s="28" t="s">
        <v>138</v>
      </c>
      <c r="BJ1619" s="28" t="s">
        <v>138</v>
      </c>
      <c r="BK1619" s="28" t="s">
        <v>138</v>
      </c>
      <c r="BL1619" s="28" t="s">
        <v>927</v>
      </c>
      <c r="BM1619" s="34" t="s">
        <v>138</v>
      </c>
      <c r="BN1619" s="29" t="s">
        <v>138</v>
      </c>
      <c r="BO1619" s="28" t="s">
        <v>138</v>
      </c>
      <c r="BP1619" s="29" t="s">
        <v>138</v>
      </c>
      <c r="BQ1619" s="28" t="s">
        <v>138</v>
      </c>
      <c r="BR1619" s="28" t="s">
        <v>316</v>
      </c>
      <c r="BS1619" s="28" t="s">
        <v>138</v>
      </c>
      <c r="BT1619" s="28" t="s">
        <v>138</v>
      </c>
      <c r="BU1619" s="28" t="s">
        <v>177</v>
      </c>
      <c r="BV1619" s="28" t="s">
        <v>138</v>
      </c>
      <c r="BW1619" s="28" t="s">
        <v>138</v>
      </c>
      <c r="BX1619" s="28" t="s">
        <v>138</v>
      </c>
      <c r="BY1619" s="28" t="s">
        <v>175</v>
      </c>
      <c r="BZ1619" s="34">
        <v>43390</v>
      </c>
      <c r="CA1619" s="29">
        <v>18.5</v>
      </c>
      <c r="CB1619" s="28" t="s">
        <v>172</v>
      </c>
      <c r="CC1619" s="29" t="s">
        <v>138</v>
      </c>
      <c r="CD1619" s="28" t="s">
        <v>138</v>
      </c>
      <c r="CE1619" s="28" t="s">
        <v>205</v>
      </c>
      <c r="CF1619" s="28" t="s">
        <v>720</v>
      </c>
      <c r="CG1619" s="28" t="s">
        <v>138</v>
      </c>
      <c r="CH1619" s="28" t="s">
        <v>174</v>
      </c>
      <c r="CI1619" s="28" t="s">
        <v>138</v>
      </c>
      <c r="CJ1619" s="28" t="s">
        <v>138</v>
      </c>
      <c r="CK1619" s="28" t="s">
        <v>138</v>
      </c>
      <c r="CL1619" s="28" t="s">
        <v>175</v>
      </c>
      <c r="CM1619" s="34" t="s">
        <v>138</v>
      </c>
      <c r="CN1619" s="29" t="s">
        <v>138</v>
      </c>
      <c r="CO1619" s="35">
        <v>0.39</v>
      </c>
      <c r="CP1619" s="36">
        <v>94</v>
      </c>
      <c r="CQ1619" s="35">
        <v>-0.03</v>
      </c>
      <c r="CR1619" s="35">
        <v>-6.08</v>
      </c>
      <c r="CS1619" s="35">
        <v>0</v>
      </c>
      <c r="CT1619" s="36">
        <v>23</v>
      </c>
      <c r="CU1619" s="35">
        <v>0.78</v>
      </c>
      <c r="CV1619" s="36">
        <v>97</v>
      </c>
      <c r="CW1619" s="35">
        <v>0</v>
      </c>
      <c r="CX1619" s="36">
        <v>13</v>
      </c>
      <c r="CY1619" s="35" t="s">
        <v>138</v>
      </c>
      <c r="CZ1619" s="36" t="s">
        <v>138</v>
      </c>
      <c r="DA1619" s="35">
        <v>0.78</v>
      </c>
      <c r="DB1619" s="36">
        <v>97</v>
      </c>
      <c r="DC1619" s="37">
        <v>0.63</v>
      </c>
      <c r="DD1619" s="36">
        <v>40</v>
      </c>
      <c r="DE1619" s="37">
        <v>-0.03</v>
      </c>
      <c r="DF1619" s="35">
        <v>-4.0599999999999996</v>
      </c>
      <c r="DG1619" s="37">
        <v>0.47</v>
      </c>
      <c r="DH1619" s="36">
        <v>33</v>
      </c>
      <c r="DI1619" s="37">
        <v>0.79</v>
      </c>
      <c r="DJ1619" s="36">
        <v>45</v>
      </c>
      <c r="DK1619" s="37">
        <v>0.47</v>
      </c>
      <c r="DL1619" s="36">
        <v>34</v>
      </c>
      <c r="DM1619" s="37" t="s">
        <v>138</v>
      </c>
      <c r="DN1619" s="36" t="s">
        <v>138</v>
      </c>
      <c r="DO1619" s="37">
        <v>0.79</v>
      </c>
      <c r="DP1619" s="36">
        <v>46</v>
      </c>
      <c r="DQ1619" s="36">
        <v>160</v>
      </c>
      <c r="DR1619" s="38">
        <v>6</v>
      </c>
      <c r="DS1619" s="35">
        <v>3.9</v>
      </c>
      <c r="DT1619" s="36" t="s">
        <v>138</v>
      </c>
      <c r="DU1619" s="38" t="s">
        <v>138</v>
      </c>
      <c r="DV1619" s="35" t="s">
        <v>138</v>
      </c>
      <c r="DW1619" s="36">
        <v>282</v>
      </c>
      <c r="DX1619" s="39">
        <v>1</v>
      </c>
      <c r="DY1619" s="35">
        <v>0.36</v>
      </c>
      <c r="DZ1619" s="28" t="s">
        <v>178</v>
      </c>
      <c r="EA1619" s="34">
        <v>43426</v>
      </c>
      <c r="EB1619" s="29" t="s">
        <v>138</v>
      </c>
      <c r="EC1619" s="34" t="s">
        <v>138</v>
      </c>
      <c r="ED1619" s="28" t="s">
        <v>138</v>
      </c>
      <c r="EE1619" s="40" t="str">
        <f>HYPERLINK("https://my.pitchbook.com?c=181015-84", "View company online")</f>
        <v>View company online</v>
      </c>
    </row>
    <row r="1620" spans="1:135">
      <c r="A1620" s="15" t="s">
        <v>30942</v>
      </c>
      <c r="B1620" s="15" t="s">
        <v>30943</v>
      </c>
      <c r="C1620" s="15" t="s">
        <v>138</v>
      </c>
      <c r="D1620" s="15" t="s">
        <v>138</v>
      </c>
      <c r="E1620" s="15" t="s">
        <v>30944</v>
      </c>
      <c r="F1620" s="15" t="s">
        <v>30942</v>
      </c>
      <c r="G1620" s="15" t="s">
        <v>30945</v>
      </c>
      <c r="H1620" s="15" t="s">
        <v>322</v>
      </c>
      <c r="I1620" s="15" t="s">
        <v>323</v>
      </c>
      <c r="J1620" s="15" t="s">
        <v>324</v>
      </c>
      <c r="K1620" s="15" t="s">
        <v>325</v>
      </c>
      <c r="L1620" s="15" t="s">
        <v>2835</v>
      </c>
      <c r="M1620" s="15" t="s">
        <v>30946</v>
      </c>
      <c r="N1620" s="15" t="s">
        <v>147</v>
      </c>
      <c r="O1620" s="17">
        <v>67.5</v>
      </c>
      <c r="P1620" s="15" t="s">
        <v>148</v>
      </c>
      <c r="Q1620" s="15" t="s">
        <v>149</v>
      </c>
      <c r="R1620" s="15" t="s">
        <v>174</v>
      </c>
      <c r="S1620" s="15" t="s">
        <v>30947</v>
      </c>
      <c r="T1620" s="18">
        <v>117</v>
      </c>
      <c r="U1620" s="15" t="s">
        <v>30948</v>
      </c>
      <c r="V1620" s="15" t="s">
        <v>138</v>
      </c>
      <c r="W1620" s="15" t="s">
        <v>138</v>
      </c>
      <c r="X1620" s="19">
        <v>2007</v>
      </c>
      <c r="Y1620" s="15" t="s">
        <v>138</v>
      </c>
      <c r="Z1620" s="15" t="s">
        <v>138</v>
      </c>
      <c r="AA1620" s="15" t="s">
        <v>138</v>
      </c>
      <c r="AB1620" s="20">
        <v>2.52</v>
      </c>
      <c r="AC1620" s="20" t="s">
        <v>138</v>
      </c>
      <c r="AD1620" s="20" t="s">
        <v>138</v>
      </c>
      <c r="AE1620" s="20" t="s">
        <v>138</v>
      </c>
      <c r="AF1620" s="20" t="s">
        <v>138</v>
      </c>
      <c r="AG1620" s="15" t="s">
        <v>633</v>
      </c>
      <c r="AH1620" s="20" t="s">
        <v>138</v>
      </c>
      <c r="AI1620" s="20" t="s">
        <v>138</v>
      </c>
      <c r="AJ1620" s="20" t="s">
        <v>138</v>
      </c>
      <c r="AK1620" s="15" t="s">
        <v>30949</v>
      </c>
      <c r="AL1620" s="15" t="s">
        <v>30950</v>
      </c>
      <c r="AM1620" s="15" t="s">
        <v>2794</v>
      </c>
      <c r="AN1620" s="15" t="s">
        <v>30951</v>
      </c>
      <c r="AO1620" s="15" t="s">
        <v>30952</v>
      </c>
      <c r="AP1620" s="15" t="s">
        <v>1292</v>
      </c>
      <c r="AQ1620" s="15" t="s">
        <v>30953</v>
      </c>
      <c r="AR1620" s="15" t="s">
        <v>30954</v>
      </c>
      <c r="AS1620" s="15" t="s">
        <v>1294</v>
      </c>
      <c r="AT1620" s="15" t="s">
        <v>864</v>
      </c>
      <c r="AU1620" s="15" t="s">
        <v>3579</v>
      </c>
      <c r="AV1620" s="15" t="s">
        <v>162</v>
      </c>
      <c r="AW1620" s="15" t="s">
        <v>30952</v>
      </c>
      <c r="AX1620" s="15" t="s">
        <v>138</v>
      </c>
      <c r="AY1620" s="15" t="s">
        <v>30955</v>
      </c>
      <c r="AZ1620" s="15" t="s">
        <v>164</v>
      </c>
      <c r="BA1620" s="15" t="s">
        <v>165</v>
      </c>
      <c r="BB1620" s="15" t="s">
        <v>30956</v>
      </c>
      <c r="BC1620" s="15" t="s">
        <v>30957</v>
      </c>
      <c r="BD1620" s="21">
        <v>11</v>
      </c>
      <c r="BE1620" s="15" t="s">
        <v>138</v>
      </c>
      <c r="BF1620" s="15" t="s">
        <v>138</v>
      </c>
      <c r="BG1620" s="15" t="s">
        <v>138</v>
      </c>
      <c r="BH1620" s="15" t="s">
        <v>30958</v>
      </c>
      <c r="BI1620" s="15" t="s">
        <v>138</v>
      </c>
      <c r="BJ1620" s="15" t="s">
        <v>138</v>
      </c>
      <c r="BK1620" s="15" t="s">
        <v>30959</v>
      </c>
      <c r="BL1620" s="15" t="s">
        <v>30960</v>
      </c>
      <c r="BM1620" s="22" t="s">
        <v>138</v>
      </c>
      <c r="BN1620" s="17" t="s">
        <v>138</v>
      </c>
      <c r="BO1620" s="15" t="s">
        <v>138</v>
      </c>
      <c r="BP1620" s="17" t="s">
        <v>138</v>
      </c>
      <c r="BQ1620" s="15" t="s">
        <v>138</v>
      </c>
      <c r="BR1620" s="15" t="s">
        <v>176</v>
      </c>
      <c r="BS1620" s="15" t="s">
        <v>138</v>
      </c>
      <c r="BT1620" s="15" t="s">
        <v>138</v>
      </c>
      <c r="BU1620" s="15" t="s">
        <v>177</v>
      </c>
      <c r="BV1620" s="15" t="s">
        <v>138</v>
      </c>
      <c r="BW1620" s="15" t="s">
        <v>138</v>
      </c>
      <c r="BX1620" s="15" t="s">
        <v>138</v>
      </c>
      <c r="BY1620" s="15" t="s">
        <v>175</v>
      </c>
      <c r="BZ1620" s="22">
        <v>43430</v>
      </c>
      <c r="CA1620" s="17">
        <v>45</v>
      </c>
      <c r="CB1620" s="15" t="s">
        <v>172</v>
      </c>
      <c r="CC1620" s="17">
        <v>150</v>
      </c>
      <c r="CD1620" s="15" t="s">
        <v>172</v>
      </c>
      <c r="CE1620" s="15" t="s">
        <v>173</v>
      </c>
      <c r="CF1620" s="15" t="s">
        <v>317</v>
      </c>
      <c r="CG1620" s="15" t="s">
        <v>138</v>
      </c>
      <c r="CH1620" s="15" t="s">
        <v>174</v>
      </c>
      <c r="CI1620" s="15" t="s">
        <v>138</v>
      </c>
      <c r="CJ1620" s="15" t="s">
        <v>138</v>
      </c>
      <c r="CK1620" s="15" t="s">
        <v>138</v>
      </c>
      <c r="CL1620" s="15" t="s">
        <v>175</v>
      </c>
      <c r="CM1620" s="22">
        <v>41453</v>
      </c>
      <c r="CN1620" s="17" t="s">
        <v>138</v>
      </c>
      <c r="CO1620" s="23">
        <v>0.55000000000000004</v>
      </c>
      <c r="CP1620" s="24">
        <v>95</v>
      </c>
      <c r="CQ1620" s="23">
        <v>-0.01</v>
      </c>
      <c r="CR1620" s="23">
        <v>-1.57</v>
      </c>
      <c r="CS1620" s="23">
        <v>0.82</v>
      </c>
      <c r="CT1620" s="24">
        <v>96</v>
      </c>
      <c r="CU1620" s="23">
        <v>0.28999999999999998</v>
      </c>
      <c r="CV1620" s="24">
        <v>87</v>
      </c>
      <c r="CW1620" s="23">
        <v>2.19</v>
      </c>
      <c r="CX1620" s="24">
        <v>89</v>
      </c>
      <c r="CY1620" s="23">
        <v>-0.56000000000000005</v>
      </c>
      <c r="CZ1620" s="24">
        <v>22</v>
      </c>
      <c r="DA1620" s="23">
        <v>0.28999999999999998</v>
      </c>
      <c r="DB1620" s="24">
        <v>88</v>
      </c>
      <c r="DC1620" s="25">
        <v>11.13</v>
      </c>
      <c r="DD1620" s="24">
        <v>91</v>
      </c>
      <c r="DE1620" s="25">
        <v>-0.23</v>
      </c>
      <c r="DF1620" s="23">
        <v>-2.0099999999999998</v>
      </c>
      <c r="DG1620" s="25">
        <v>17.260000000000002</v>
      </c>
      <c r="DH1620" s="24">
        <v>94</v>
      </c>
      <c r="DI1620" s="25">
        <v>5.01</v>
      </c>
      <c r="DJ1620" s="24">
        <v>77</v>
      </c>
      <c r="DK1620" s="25">
        <v>6.98</v>
      </c>
      <c r="DL1620" s="24">
        <v>83</v>
      </c>
      <c r="DM1620" s="25">
        <v>27.55</v>
      </c>
      <c r="DN1620" s="24">
        <v>96</v>
      </c>
      <c r="DO1620" s="25">
        <v>5.01</v>
      </c>
      <c r="DP1620" s="24">
        <v>79</v>
      </c>
      <c r="DQ1620" s="24">
        <v>2392</v>
      </c>
      <c r="DR1620" s="26">
        <v>2</v>
      </c>
      <c r="DS1620" s="23">
        <v>0.08</v>
      </c>
      <c r="DT1620" s="24">
        <v>800</v>
      </c>
      <c r="DU1620" s="26">
        <v>-1</v>
      </c>
      <c r="DV1620" s="23">
        <v>-0.12</v>
      </c>
      <c r="DW1620" s="24">
        <v>1789</v>
      </c>
      <c r="DX1620" s="27">
        <v>6</v>
      </c>
      <c r="DY1620" s="23">
        <v>0.34</v>
      </c>
      <c r="DZ1620" s="15" t="s">
        <v>178</v>
      </c>
      <c r="EA1620" s="22">
        <v>43488</v>
      </c>
      <c r="EB1620" s="17">
        <v>150</v>
      </c>
      <c r="EC1620" s="22">
        <v>43430</v>
      </c>
      <c r="ED1620" s="15" t="s">
        <v>173</v>
      </c>
      <c r="EE1620" s="14" t="str">
        <f>HYPERLINK("https://my.pitchbook.com?c=62731-81", "View company online")</f>
        <v>View company online</v>
      </c>
    </row>
    <row r="1621" spans="1:135">
      <c r="A1621" s="28" t="s">
        <v>30961</v>
      </c>
      <c r="B1621" s="28" t="s">
        <v>30962</v>
      </c>
      <c r="C1621" s="28" t="s">
        <v>30963</v>
      </c>
      <c r="D1621" s="28" t="s">
        <v>138</v>
      </c>
      <c r="E1621" s="28" t="s">
        <v>138</v>
      </c>
      <c r="F1621" s="28" t="s">
        <v>30961</v>
      </c>
      <c r="G1621" s="28" t="s">
        <v>30964</v>
      </c>
      <c r="H1621" s="28" t="s">
        <v>322</v>
      </c>
      <c r="I1621" s="28" t="s">
        <v>323</v>
      </c>
      <c r="J1621" s="28" t="s">
        <v>413</v>
      </c>
      <c r="K1621" s="28" t="s">
        <v>30965</v>
      </c>
      <c r="L1621" s="28" t="s">
        <v>22132</v>
      </c>
      <c r="M1621" s="28" t="s">
        <v>30966</v>
      </c>
      <c r="N1621" s="28" t="s">
        <v>147</v>
      </c>
      <c r="O1621" s="29">
        <v>3.61</v>
      </c>
      <c r="P1621" s="28" t="s">
        <v>148</v>
      </c>
      <c r="Q1621" s="28" t="s">
        <v>149</v>
      </c>
      <c r="R1621" s="28" t="s">
        <v>174</v>
      </c>
      <c r="S1621" s="28" t="s">
        <v>30967</v>
      </c>
      <c r="T1621" s="30" t="s">
        <v>138</v>
      </c>
      <c r="U1621" s="28" t="s">
        <v>138</v>
      </c>
      <c r="V1621" s="28" t="s">
        <v>138</v>
      </c>
      <c r="W1621" s="28" t="s">
        <v>138</v>
      </c>
      <c r="X1621" s="31">
        <v>2012</v>
      </c>
      <c r="Y1621" s="28" t="s">
        <v>138</v>
      </c>
      <c r="Z1621" s="28" t="s">
        <v>138</v>
      </c>
      <c r="AA1621" s="28" t="s">
        <v>138</v>
      </c>
      <c r="AB1621" s="32" t="s">
        <v>138</v>
      </c>
      <c r="AC1621" s="32" t="s">
        <v>138</v>
      </c>
      <c r="AD1621" s="32" t="s">
        <v>138</v>
      </c>
      <c r="AE1621" s="32" t="s">
        <v>138</v>
      </c>
      <c r="AF1621" s="32" t="s">
        <v>138</v>
      </c>
      <c r="AG1621" s="28" t="s">
        <v>138</v>
      </c>
      <c r="AH1621" s="32" t="s">
        <v>138</v>
      </c>
      <c r="AI1621" s="32" t="s">
        <v>138</v>
      </c>
      <c r="AJ1621" s="32" t="s">
        <v>138</v>
      </c>
      <c r="AK1621" s="28" t="s">
        <v>30968</v>
      </c>
      <c r="AL1621" s="28" t="s">
        <v>30969</v>
      </c>
      <c r="AM1621" s="28" t="s">
        <v>2605</v>
      </c>
      <c r="AN1621" s="28" t="s">
        <v>138</v>
      </c>
      <c r="AO1621" s="28" t="s">
        <v>30970</v>
      </c>
      <c r="AP1621" s="28" t="s">
        <v>665</v>
      </c>
      <c r="AQ1621" s="28" t="s">
        <v>842</v>
      </c>
      <c r="AR1621" s="28" t="s">
        <v>30971</v>
      </c>
      <c r="AS1621" s="28" t="s">
        <v>668</v>
      </c>
      <c r="AT1621" s="28" t="s">
        <v>200</v>
      </c>
      <c r="AU1621" s="28" t="s">
        <v>30972</v>
      </c>
      <c r="AV1621" s="28" t="s">
        <v>162</v>
      </c>
      <c r="AW1621" s="28" t="s">
        <v>30970</v>
      </c>
      <c r="AX1621" s="28" t="s">
        <v>138</v>
      </c>
      <c r="AY1621" s="28" t="s">
        <v>30973</v>
      </c>
      <c r="AZ1621" s="28" t="s">
        <v>164</v>
      </c>
      <c r="BA1621" s="28" t="s">
        <v>165</v>
      </c>
      <c r="BB1621" s="28" t="s">
        <v>30974</v>
      </c>
      <c r="BC1621" s="28" t="s">
        <v>30975</v>
      </c>
      <c r="BD1621" s="33">
        <v>10</v>
      </c>
      <c r="BE1621" s="28" t="s">
        <v>138</v>
      </c>
      <c r="BF1621" s="28" t="s">
        <v>138</v>
      </c>
      <c r="BG1621" s="28" t="s">
        <v>138</v>
      </c>
      <c r="BH1621" s="28" t="s">
        <v>30976</v>
      </c>
      <c r="BI1621" s="28" t="s">
        <v>138</v>
      </c>
      <c r="BJ1621" s="28" t="s">
        <v>138</v>
      </c>
      <c r="BK1621" s="28" t="s">
        <v>1275</v>
      </c>
      <c r="BL1621" s="28" t="s">
        <v>1275</v>
      </c>
      <c r="BM1621" s="34">
        <v>40969</v>
      </c>
      <c r="BN1621" s="29" t="s">
        <v>138</v>
      </c>
      <c r="BO1621" s="28" t="s">
        <v>138</v>
      </c>
      <c r="BP1621" s="29" t="s">
        <v>138</v>
      </c>
      <c r="BQ1621" s="28" t="s">
        <v>138</v>
      </c>
      <c r="BR1621" s="28" t="s">
        <v>316</v>
      </c>
      <c r="BS1621" s="28" t="s">
        <v>138</v>
      </c>
      <c r="BT1621" s="28" t="s">
        <v>138</v>
      </c>
      <c r="BU1621" s="28" t="s">
        <v>174</v>
      </c>
      <c r="BV1621" s="28" t="s">
        <v>138</v>
      </c>
      <c r="BW1621" s="28" t="s">
        <v>138</v>
      </c>
      <c r="BX1621" s="28" t="s">
        <v>138</v>
      </c>
      <c r="BY1621" s="28" t="s">
        <v>175</v>
      </c>
      <c r="BZ1621" s="34" t="s">
        <v>138</v>
      </c>
      <c r="CA1621" s="29" t="s">
        <v>138</v>
      </c>
      <c r="CB1621" s="28" t="s">
        <v>138</v>
      </c>
      <c r="CC1621" s="29" t="s">
        <v>138</v>
      </c>
      <c r="CD1621" s="28" t="s">
        <v>138</v>
      </c>
      <c r="CE1621" s="28" t="s">
        <v>205</v>
      </c>
      <c r="CF1621" s="28" t="s">
        <v>138</v>
      </c>
      <c r="CG1621" s="28" t="s">
        <v>138</v>
      </c>
      <c r="CH1621" s="28" t="s">
        <v>174</v>
      </c>
      <c r="CI1621" s="28" t="s">
        <v>138</v>
      </c>
      <c r="CJ1621" s="28" t="s">
        <v>138</v>
      </c>
      <c r="CK1621" s="28" t="s">
        <v>138</v>
      </c>
      <c r="CL1621" s="28" t="s">
        <v>175</v>
      </c>
      <c r="CM1621" s="34" t="s">
        <v>138</v>
      </c>
      <c r="CN1621" s="29" t="s">
        <v>138</v>
      </c>
      <c r="CO1621" s="35">
        <v>-0.67</v>
      </c>
      <c r="CP1621" s="36">
        <v>14</v>
      </c>
      <c r="CQ1621" s="35">
        <v>0.03</v>
      </c>
      <c r="CR1621" s="35">
        <v>3.99</v>
      </c>
      <c r="CS1621" s="35">
        <v>-1.26</v>
      </c>
      <c r="CT1621" s="36">
        <v>13</v>
      </c>
      <c r="CU1621" s="35">
        <v>-0.09</v>
      </c>
      <c r="CV1621" s="36">
        <v>5</v>
      </c>
      <c r="CW1621" s="35">
        <v>1.22</v>
      </c>
      <c r="CX1621" s="36">
        <v>85</v>
      </c>
      <c r="CY1621" s="35">
        <v>-3.73</v>
      </c>
      <c r="CZ1621" s="36">
        <v>5</v>
      </c>
      <c r="DA1621" s="35">
        <v>-0.05</v>
      </c>
      <c r="DB1621" s="36">
        <v>13</v>
      </c>
      <c r="DC1621" s="37">
        <v>231</v>
      </c>
      <c r="DD1621" s="36">
        <v>100</v>
      </c>
      <c r="DE1621" s="37">
        <v>-27.43</v>
      </c>
      <c r="DF1621" s="35">
        <v>-10.61</v>
      </c>
      <c r="DG1621" s="37">
        <v>439.59</v>
      </c>
      <c r="DH1621" s="36">
        <v>100</v>
      </c>
      <c r="DI1621" s="37">
        <v>22.41</v>
      </c>
      <c r="DJ1621" s="36">
        <v>91</v>
      </c>
      <c r="DK1621" s="37">
        <v>859.11</v>
      </c>
      <c r="DL1621" s="36">
        <v>100</v>
      </c>
      <c r="DM1621" s="37">
        <v>20.07</v>
      </c>
      <c r="DN1621" s="36">
        <v>94</v>
      </c>
      <c r="DO1621" s="37">
        <v>44.12</v>
      </c>
      <c r="DP1621" s="36">
        <v>96</v>
      </c>
      <c r="DQ1621" s="36">
        <v>292103</v>
      </c>
      <c r="DR1621" s="38">
        <v>7719</v>
      </c>
      <c r="DS1621" s="35">
        <v>2.71</v>
      </c>
      <c r="DT1621" s="36">
        <v>578</v>
      </c>
      <c r="DU1621" s="38">
        <v>9</v>
      </c>
      <c r="DV1621" s="35">
        <v>1.58</v>
      </c>
      <c r="DW1621" s="36">
        <v>15797</v>
      </c>
      <c r="DX1621" s="39">
        <v>-9</v>
      </c>
      <c r="DY1621" s="35">
        <v>-0.06</v>
      </c>
      <c r="DZ1621" s="28" t="s">
        <v>178</v>
      </c>
      <c r="EA1621" s="34">
        <v>43608</v>
      </c>
      <c r="EB1621" s="29">
        <v>13.64</v>
      </c>
      <c r="EC1621" s="34">
        <v>41969</v>
      </c>
      <c r="ED1621" s="28" t="s">
        <v>205</v>
      </c>
      <c r="EE1621" s="40" t="str">
        <f>HYPERLINK("https://my.pitchbook.com?c=55353-34", "View company online")</f>
        <v>View company online</v>
      </c>
    </row>
    <row r="1622" spans="1:135">
      <c r="A1622" s="15" t="s">
        <v>30977</v>
      </c>
      <c r="B1622" s="15" t="s">
        <v>30978</v>
      </c>
      <c r="C1622" s="15" t="s">
        <v>138</v>
      </c>
      <c r="D1622" s="15" t="s">
        <v>30979</v>
      </c>
      <c r="E1622" s="15" t="s">
        <v>30980</v>
      </c>
      <c r="F1622" s="15" t="s">
        <v>30977</v>
      </c>
      <c r="G1622" s="15" t="s">
        <v>30981</v>
      </c>
      <c r="H1622" s="15" t="s">
        <v>322</v>
      </c>
      <c r="I1622" s="15" t="s">
        <v>1503</v>
      </c>
      <c r="J1622" s="15" t="s">
        <v>11677</v>
      </c>
      <c r="K1622" s="15" t="s">
        <v>12672</v>
      </c>
      <c r="L1622" s="15" t="s">
        <v>4341</v>
      </c>
      <c r="M1622" s="15" t="s">
        <v>30982</v>
      </c>
      <c r="N1622" s="15" t="s">
        <v>1452</v>
      </c>
      <c r="O1622" s="17">
        <v>87</v>
      </c>
      <c r="P1622" s="15" t="s">
        <v>148</v>
      </c>
      <c r="Q1622" s="15" t="s">
        <v>149</v>
      </c>
      <c r="R1622" s="15" t="s">
        <v>328</v>
      </c>
      <c r="S1622" s="15" t="s">
        <v>30983</v>
      </c>
      <c r="T1622" s="18">
        <v>67</v>
      </c>
      <c r="U1622" s="15" t="s">
        <v>30984</v>
      </c>
      <c r="V1622" s="15" t="s">
        <v>138</v>
      </c>
      <c r="W1622" s="15" t="s">
        <v>138</v>
      </c>
      <c r="X1622" s="19">
        <v>2013</v>
      </c>
      <c r="Y1622" s="15" t="s">
        <v>138</v>
      </c>
      <c r="Z1622" s="15" t="s">
        <v>138</v>
      </c>
      <c r="AA1622" s="15" t="s">
        <v>1163</v>
      </c>
      <c r="AB1622" s="20" t="s">
        <v>138</v>
      </c>
      <c r="AC1622" s="20" t="s">
        <v>138</v>
      </c>
      <c r="AD1622" s="20" t="s">
        <v>138</v>
      </c>
      <c r="AE1622" s="20" t="s">
        <v>138</v>
      </c>
      <c r="AF1622" s="20" t="s">
        <v>138</v>
      </c>
      <c r="AG1622" s="15" t="s">
        <v>138</v>
      </c>
      <c r="AH1622" s="20" t="s">
        <v>138</v>
      </c>
      <c r="AI1622" s="20" t="s">
        <v>138</v>
      </c>
      <c r="AJ1622" s="20" t="s">
        <v>138</v>
      </c>
      <c r="AK1622" s="15" t="s">
        <v>30985</v>
      </c>
      <c r="AL1622" s="15" t="s">
        <v>30986</v>
      </c>
      <c r="AM1622" s="15" t="s">
        <v>221</v>
      </c>
      <c r="AN1622" s="15" t="s">
        <v>30987</v>
      </c>
      <c r="AO1622" s="15" t="s">
        <v>30988</v>
      </c>
      <c r="AP1622" s="15" t="s">
        <v>1220</v>
      </c>
      <c r="AQ1622" s="15" t="s">
        <v>30989</v>
      </c>
      <c r="AR1622" s="15" t="s">
        <v>30990</v>
      </c>
      <c r="AS1622" s="15" t="s">
        <v>1223</v>
      </c>
      <c r="AT1622" s="15" t="s">
        <v>200</v>
      </c>
      <c r="AU1622" s="15" t="s">
        <v>3953</v>
      </c>
      <c r="AV1622" s="15" t="s">
        <v>162</v>
      </c>
      <c r="AW1622" s="15" t="s">
        <v>30988</v>
      </c>
      <c r="AX1622" s="15" t="s">
        <v>138</v>
      </c>
      <c r="AY1622" s="15" t="s">
        <v>30991</v>
      </c>
      <c r="AZ1622" s="15" t="s">
        <v>164</v>
      </c>
      <c r="BA1622" s="15" t="s">
        <v>165</v>
      </c>
      <c r="BB1622" s="15" t="s">
        <v>30992</v>
      </c>
      <c r="BC1622" s="15" t="s">
        <v>30993</v>
      </c>
      <c r="BD1622" s="21">
        <v>17</v>
      </c>
      <c r="BE1622" s="15" t="s">
        <v>138</v>
      </c>
      <c r="BF1622" s="15" t="s">
        <v>138</v>
      </c>
      <c r="BG1622" s="15" t="s">
        <v>138</v>
      </c>
      <c r="BH1622" s="15" t="s">
        <v>30994</v>
      </c>
      <c r="BI1622" s="15" t="s">
        <v>138</v>
      </c>
      <c r="BJ1622" s="15" t="s">
        <v>138</v>
      </c>
      <c r="BK1622" s="15" t="s">
        <v>30995</v>
      </c>
      <c r="BL1622" s="15" t="s">
        <v>2936</v>
      </c>
      <c r="BM1622" s="22">
        <v>41501</v>
      </c>
      <c r="BN1622" s="17">
        <v>2.5</v>
      </c>
      <c r="BO1622" s="15" t="s">
        <v>172</v>
      </c>
      <c r="BP1622" s="17">
        <v>8.25</v>
      </c>
      <c r="BQ1622" s="15" t="s">
        <v>172</v>
      </c>
      <c r="BR1622" s="15" t="s">
        <v>234</v>
      </c>
      <c r="BS1622" s="15" t="s">
        <v>234</v>
      </c>
      <c r="BT1622" s="15" t="s">
        <v>138</v>
      </c>
      <c r="BU1622" s="15" t="s">
        <v>263</v>
      </c>
      <c r="BV1622" s="15" t="s">
        <v>138</v>
      </c>
      <c r="BW1622" s="15" t="s">
        <v>138</v>
      </c>
      <c r="BX1622" s="15" t="s">
        <v>138</v>
      </c>
      <c r="BY1622" s="15" t="s">
        <v>175</v>
      </c>
      <c r="BZ1622" s="22" t="s">
        <v>138</v>
      </c>
      <c r="CA1622" s="17" t="s">
        <v>138</v>
      </c>
      <c r="CB1622" s="15" t="s">
        <v>138</v>
      </c>
      <c r="CC1622" s="17" t="s">
        <v>138</v>
      </c>
      <c r="CD1622" s="15" t="s">
        <v>138</v>
      </c>
      <c r="CE1622" s="15" t="s">
        <v>1673</v>
      </c>
      <c r="CF1622" s="15" t="s">
        <v>138</v>
      </c>
      <c r="CG1622" s="15" t="s">
        <v>138</v>
      </c>
      <c r="CH1622" s="15" t="s">
        <v>351</v>
      </c>
      <c r="CI1622" s="15" t="s">
        <v>138</v>
      </c>
      <c r="CJ1622" s="15" t="s">
        <v>138</v>
      </c>
      <c r="CK1622" s="15" t="s">
        <v>138</v>
      </c>
      <c r="CL1622" s="15" t="s">
        <v>175</v>
      </c>
      <c r="CM1622" s="22" t="s">
        <v>138</v>
      </c>
      <c r="CN1622" s="17" t="s">
        <v>138</v>
      </c>
      <c r="CO1622" s="23">
        <v>0</v>
      </c>
      <c r="CP1622" s="24">
        <v>26</v>
      </c>
      <c r="CQ1622" s="23">
        <v>0</v>
      </c>
      <c r="CR1622" s="23">
        <v>0</v>
      </c>
      <c r="CS1622" s="23">
        <v>0</v>
      </c>
      <c r="CT1622" s="24">
        <v>23</v>
      </c>
      <c r="CU1622" s="23" t="s">
        <v>138</v>
      </c>
      <c r="CV1622" s="24" t="s">
        <v>138</v>
      </c>
      <c r="CW1622" s="23">
        <v>0</v>
      </c>
      <c r="CX1622" s="24">
        <v>13</v>
      </c>
      <c r="CY1622" s="23">
        <v>0</v>
      </c>
      <c r="CZ1622" s="24">
        <v>25</v>
      </c>
      <c r="DA1622" s="23" t="s">
        <v>138</v>
      </c>
      <c r="DB1622" s="24" t="s">
        <v>138</v>
      </c>
      <c r="DC1622" s="25">
        <v>1.79</v>
      </c>
      <c r="DD1622" s="24">
        <v>65</v>
      </c>
      <c r="DE1622" s="25">
        <v>-7.0000000000000007E-2</v>
      </c>
      <c r="DF1622" s="23">
        <v>-4.01</v>
      </c>
      <c r="DG1622" s="25">
        <v>1.79</v>
      </c>
      <c r="DH1622" s="24">
        <v>64</v>
      </c>
      <c r="DI1622" s="25" t="s">
        <v>138</v>
      </c>
      <c r="DJ1622" s="24" t="s">
        <v>138</v>
      </c>
      <c r="DK1622" s="25">
        <v>0.9</v>
      </c>
      <c r="DL1622" s="24">
        <v>48</v>
      </c>
      <c r="DM1622" s="25">
        <v>2.69</v>
      </c>
      <c r="DN1622" s="24">
        <v>71</v>
      </c>
      <c r="DO1622" s="25" t="s">
        <v>138</v>
      </c>
      <c r="DP1622" s="24" t="s">
        <v>138</v>
      </c>
      <c r="DQ1622" s="24">
        <v>310</v>
      </c>
      <c r="DR1622" s="26">
        <v>-8</v>
      </c>
      <c r="DS1622" s="23">
        <v>-2.52</v>
      </c>
      <c r="DT1622" s="24">
        <v>78</v>
      </c>
      <c r="DU1622" s="26">
        <v>-1</v>
      </c>
      <c r="DV1622" s="23">
        <v>-1.27</v>
      </c>
      <c r="DW1622" s="24" t="s">
        <v>138</v>
      </c>
      <c r="DX1622" s="27" t="s">
        <v>138</v>
      </c>
      <c r="DY1622" s="23" t="s">
        <v>138</v>
      </c>
      <c r="DZ1622" s="15" t="s">
        <v>178</v>
      </c>
      <c r="EA1622" s="22">
        <v>43553</v>
      </c>
      <c r="EB1622" s="17">
        <v>226</v>
      </c>
      <c r="EC1622" s="22">
        <v>43399</v>
      </c>
      <c r="ED1622" s="15" t="s">
        <v>173</v>
      </c>
      <c r="EE1622" s="14" t="str">
        <f>HYPERLINK("https://my.pitchbook.com?c=63872-11", "View company online")</f>
        <v>View company online</v>
      </c>
    </row>
    <row r="1623" spans="1:135">
      <c r="A1623" s="28" t="s">
        <v>30996</v>
      </c>
      <c r="B1623" s="28" t="s">
        <v>30997</v>
      </c>
      <c r="C1623" s="28" t="s">
        <v>30998</v>
      </c>
      <c r="D1623" s="28" t="s">
        <v>30999</v>
      </c>
      <c r="E1623" s="28" t="s">
        <v>138</v>
      </c>
      <c r="F1623" s="28" t="s">
        <v>30996</v>
      </c>
      <c r="G1623" s="28" t="s">
        <v>31000</v>
      </c>
      <c r="H1623" s="28" t="s">
        <v>183</v>
      </c>
      <c r="I1623" s="28" t="s">
        <v>184</v>
      </c>
      <c r="J1623" s="28" t="s">
        <v>31001</v>
      </c>
      <c r="K1623" s="28" t="s">
        <v>31002</v>
      </c>
      <c r="L1623" s="28" t="s">
        <v>3681</v>
      </c>
      <c r="M1623" s="28" t="s">
        <v>31003</v>
      </c>
      <c r="N1623" s="28" t="s">
        <v>147</v>
      </c>
      <c r="O1623" s="29">
        <v>143.97</v>
      </c>
      <c r="P1623" s="28" t="s">
        <v>148</v>
      </c>
      <c r="Q1623" s="28" t="s">
        <v>149</v>
      </c>
      <c r="R1623" s="28" t="s">
        <v>150</v>
      </c>
      <c r="S1623" s="28" t="s">
        <v>31004</v>
      </c>
      <c r="T1623" s="30">
        <v>200</v>
      </c>
      <c r="U1623" s="28" t="s">
        <v>31005</v>
      </c>
      <c r="V1623" s="28" t="s">
        <v>138</v>
      </c>
      <c r="W1623" s="28" t="s">
        <v>138</v>
      </c>
      <c r="X1623" s="31">
        <v>2014</v>
      </c>
      <c r="Y1623" s="28" t="s">
        <v>138</v>
      </c>
      <c r="Z1623" s="28" t="s">
        <v>138</v>
      </c>
      <c r="AA1623" s="28" t="s">
        <v>138</v>
      </c>
      <c r="AB1623" s="32" t="s">
        <v>138</v>
      </c>
      <c r="AC1623" s="32" t="s">
        <v>138</v>
      </c>
      <c r="AD1623" s="32">
        <v>-7.17</v>
      </c>
      <c r="AE1623" s="32" t="s">
        <v>138</v>
      </c>
      <c r="AF1623" s="32">
        <v>-8.4499999999999993</v>
      </c>
      <c r="AG1623" s="28" t="s">
        <v>707</v>
      </c>
      <c r="AH1623" s="32" t="s">
        <v>138</v>
      </c>
      <c r="AI1623" s="32" t="s">
        <v>138</v>
      </c>
      <c r="AJ1623" s="32" t="s">
        <v>138</v>
      </c>
      <c r="AK1623" s="28" t="s">
        <v>31006</v>
      </c>
      <c r="AL1623" s="28" t="s">
        <v>31007</v>
      </c>
      <c r="AM1623" s="28" t="s">
        <v>2949</v>
      </c>
      <c r="AN1623" s="28" t="s">
        <v>31008</v>
      </c>
      <c r="AO1623" s="28" t="s">
        <v>31009</v>
      </c>
      <c r="AP1623" s="28" t="s">
        <v>6449</v>
      </c>
      <c r="AQ1623" s="28" t="s">
        <v>31010</v>
      </c>
      <c r="AR1623" s="28" t="s">
        <v>31011</v>
      </c>
      <c r="AS1623" s="28" t="s">
        <v>863</v>
      </c>
      <c r="AT1623" s="28" t="s">
        <v>824</v>
      </c>
      <c r="AU1623" s="28" t="s">
        <v>31012</v>
      </c>
      <c r="AV1623" s="28" t="s">
        <v>526</v>
      </c>
      <c r="AW1623" s="28" t="s">
        <v>31009</v>
      </c>
      <c r="AX1623" s="28" t="s">
        <v>138</v>
      </c>
      <c r="AY1623" s="28" t="s">
        <v>31013</v>
      </c>
      <c r="AZ1623" s="28" t="s">
        <v>530</v>
      </c>
      <c r="BA1623" s="28" t="s">
        <v>531</v>
      </c>
      <c r="BB1623" s="28" t="s">
        <v>31014</v>
      </c>
      <c r="BC1623" s="28" t="s">
        <v>31015</v>
      </c>
      <c r="BD1623" s="33">
        <v>6</v>
      </c>
      <c r="BE1623" s="28" t="s">
        <v>138</v>
      </c>
      <c r="BF1623" s="28" t="s">
        <v>138</v>
      </c>
      <c r="BG1623" s="28" t="s">
        <v>138</v>
      </c>
      <c r="BH1623" s="28" t="s">
        <v>31016</v>
      </c>
      <c r="BI1623" s="28" t="s">
        <v>138</v>
      </c>
      <c r="BJ1623" s="28" t="s">
        <v>138</v>
      </c>
      <c r="BK1623" s="28" t="s">
        <v>31017</v>
      </c>
      <c r="BL1623" s="28" t="s">
        <v>31018</v>
      </c>
      <c r="BM1623" s="34">
        <v>41943</v>
      </c>
      <c r="BN1623" s="29">
        <v>0.06</v>
      </c>
      <c r="BO1623" s="28" t="s">
        <v>172</v>
      </c>
      <c r="BP1623" s="29">
        <v>8.33</v>
      </c>
      <c r="BQ1623" s="28" t="s">
        <v>172</v>
      </c>
      <c r="BR1623" s="28" t="s">
        <v>234</v>
      </c>
      <c r="BS1623" s="28" t="s">
        <v>234</v>
      </c>
      <c r="BT1623" s="28" t="s">
        <v>138</v>
      </c>
      <c r="BU1623" s="28" t="s">
        <v>780</v>
      </c>
      <c r="BV1623" s="28" t="s">
        <v>138</v>
      </c>
      <c r="BW1623" s="28" t="s">
        <v>138</v>
      </c>
      <c r="BX1623" s="28" t="s">
        <v>138</v>
      </c>
      <c r="BY1623" s="28" t="s">
        <v>175</v>
      </c>
      <c r="BZ1623" s="34">
        <v>43255</v>
      </c>
      <c r="CA1623" s="29">
        <v>98.85</v>
      </c>
      <c r="CB1623" s="28" t="s">
        <v>172</v>
      </c>
      <c r="CC1623" s="29">
        <v>398.66</v>
      </c>
      <c r="CD1623" s="28" t="s">
        <v>172</v>
      </c>
      <c r="CE1623" s="28" t="s">
        <v>205</v>
      </c>
      <c r="CF1623" s="28" t="s">
        <v>720</v>
      </c>
      <c r="CG1623" s="28" t="s">
        <v>138</v>
      </c>
      <c r="CH1623" s="28" t="s">
        <v>174</v>
      </c>
      <c r="CI1623" s="28" t="s">
        <v>138</v>
      </c>
      <c r="CJ1623" s="28" t="s">
        <v>138</v>
      </c>
      <c r="CK1623" s="28" t="s">
        <v>138</v>
      </c>
      <c r="CL1623" s="28" t="s">
        <v>175</v>
      </c>
      <c r="CM1623" s="34" t="s">
        <v>138</v>
      </c>
      <c r="CN1623" s="29" t="s">
        <v>138</v>
      </c>
      <c r="CO1623" s="35">
        <v>0.77</v>
      </c>
      <c r="CP1623" s="36">
        <v>96</v>
      </c>
      <c r="CQ1623" s="35">
        <v>-0.02</v>
      </c>
      <c r="CR1623" s="35">
        <v>-2.36</v>
      </c>
      <c r="CS1623" s="35" t="s">
        <v>138</v>
      </c>
      <c r="CT1623" s="36" t="s">
        <v>138</v>
      </c>
      <c r="CU1623" s="35">
        <v>0.77</v>
      </c>
      <c r="CV1623" s="36">
        <v>97</v>
      </c>
      <c r="CW1623" s="35" t="s">
        <v>138</v>
      </c>
      <c r="CX1623" s="36" t="s">
        <v>138</v>
      </c>
      <c r="CY1623" s="35" t="s">
        <v>138</v>
      </c>
      <c r="CZ1623" s="36" t="s">
        <v>138</v>
      </c>
      <c r="DA1623" s="35">
        <v>0.77</v>
      </c>
      <c r="DB1623" s="36">
        <v>97</v>
      </c>
      <c r="DC1623" s="37">
        <v>2.54</v>
      </c>
      <c r="DD1623" s="36">
        <v>72</v>
      </c>
      <c r="DE1623" s="37">
        <v>0.03</v>
      </c>
      <c r="DF1623" s="35">
        <v>1.18</v>
      </c>
      <c r="DG1623" s="37" t="s">
        <v>138</v>
      </c>
      <c r="DH1623" s="36" t="s">
        <v>138</v>
      </c>
      <c r="DI1623" s="37">
        <v>2.54</v>
      </c>
      <c r="DJ1623" s="36">
        <v>67</v>
      </c>
      <c r="DK1623" s="37" t="s">
        <v>138</v>
      </c>
      <c r="DL1623" s="36" t="s">
        <v>138</v>
      </c>
      <c r="DM1623" s="37" t="s">
        <v>138</v>
      </c>
      <c r="DN1623" s="36" t="s">
        <v>138</v>
      </c>
      <c r="DO1623" s="37">
        <v>4.75</v>
      </c>
      <c r="DP1623" s="36">
        <v>78</v>
      </c>
      <c r="DQ1623" s="36" t="s">
        <v>138</v>
      </c>
      <c r="DR1623" s="38" t="s">
        <v>138</v>
      </c>
      <c r="DS1623" s="35" t="s">
        <v>138</v>
      </c>
      <c r="DT1623" s="36" t="s">
        <v>138</v>
      </c>
      <c r="DU1623" s="38" t="s">
        <v>138</v>
      </c>
      <c r="DV1623" s="35" t="s">
        <v>138</v>
      </c>
      <c r="DW1623" s="36">
        <v>1696</v>
      </c>
      <c r="DX1623" s="39">
        <v>11</v>
      </c>
      <c r="DY1623" s="35">
        <v>0.65</v>
      </c>
      <c r="DZ1623" s="28" t="s">
        <v>178</v>
      </c>
      <c r="EA1623" s="34">
        <v>43461</v>
      </c>
      <c r="EB1623" s="29">
        <v>398.66</v>
      </c>
      <c r="EC1623" s="34">
        <v>43255</v>
      </c>
      <c r="ED1623" s="28" t="s">
        <v>205</v>
      </c>
      <c r="EE1623" s="40" t="str">
        <f>HYPERLINK("https://my.pitchbook.com?c=136803-16", "View company online")</f>
        <v>View company online</v>
      </c>
    </row>
    <row r="1624" spans="1:135">
      <c r="A1624" s="15" t="s">
        <v>31019</v>
      </c>
      <c r="B1624" s="15" t="s">
        <v>31020</v>
      </c>
      <c r="C1624" s="15" t="s">
        <v>138</v>
      </c>
      <c r="D1624" s="15" t="s">
        <v>138</v>
      </c>
      <c r="E1624" s="15" t="s">
        <v>138</v>
      </c>
      <c r="F1624" s="15" t="s">
        <v>31019</v>
      </c>
      <c r="G1624" s="15" t="s">
        <v>31021</v>
      </c>
      <c r="H1624" s="15" t="s">
        <v>322</v>
      </c>
      <c r="I1624" s="15" t="s">
        <v>323</v>
      </c>
      <c r="J1624" s="15" t="s">
        <v>1132</v>
      </c>
      <c r="K1624" s="15" t="s">
        <v>5444</v>
      </c>
      <c r="L1624" s="15" t="s">
        <v>1134</v>
      </c>
      <c r="M1624" s="15" t="s">
        <v>31022</v>
      </c>
      <c r="N1624" s="15" t="s">
        <v>147</v>
      </c>
      <c r="O1624" s="17" t="s">
        <v>138</v>
      </c>
      <c r="P1624" s="15" t="s">
        <v>148</v>
      </c>
      <c r="Q1624" s="15" t="s">
        <v>149</v>
      </c>
      <c r="R1624" s="15" t="s">
        <v>174</v>
      </c>
      <c r="S1624" s="15" t="s">
        <v>31023</v>
      </c>
      <c r="T1624" s="18">
        <v>11</v>
      </c>
      <c r="U1624" s="15" t="s">
        <v>3406</v>
      </c>
      <c r="V1624" s="15" t="s">
        <v>138</v>
      </c>
      <c r="W1624" s="15" t="s">
        <v>138</v>
      </c>
      <c r="X1624" s="19">
        <v>2013</v>
      </c>
      <c r="Y1624" s="15" t="s">
        <v>138</v>
      </c>
      <c r="Z1624" s="15" t="s">
        <v>138</v>
      </c>
      <c r="AA1624" s="15" t="s">
        <v>138</v>
      </c>
      <c r="AB1624" s="20" t="s">
        <v>138</v>
      </c>
      <c r="AC1624" s="20" t="s">
        <v>138</v>
      </c>
      <c r="AD1624" s="20" t="s">
        <v>138</v>
      </c>
      <c r="AE1624" s="20" t="s">
        <v>138</v>
      </c>
      <c r="AF1624" s="20" t="s">
        <v>138</v>
      </c>
      <c r="AG1624" s="15" t="s">
        <v>138</v>
      </c>
      <c r="AH1624" s="20" t="s">
        <v>138</v>
      </c>
      <c r="AI1624" s="20" t="s">
        <v>138</v>
      </c>
      <c r="AJ1624" s="20" t="s">
        <v>138</v>
      </c>
      <c r="AK1624" s="15" t="s">
        <v>31024</v>
      </c>
      <c r="AL1624" s="15" t="s">
        <v>31025</v>
      </c>
      <c r="AM1624" s="15" t="s">
        <v>31026</v>
      </c>
      <c r="AN1624" s="15" t="s">
        <v>31027</v>
      </c>
      <c r="AO1624" s="15" t="s">
        <v>31028</v>
      </c>
      <c r="AP1624" s="15" t="s">
        <v>6573</v>
      </c>
      <c r="AQ1624" s="15" t="s">
        <v>31029</v>
      </c>
      <c r="AR1624" s="15" t="s">
        <v>31030</v>
      </c>
      <c r="AS1624" s="15" t="s">
        <v>6575</v>
      </c>
      <c r="AT1624" s="15" t="s">
        <v>6576</v>
      </c>
      <c r="AU1624" s="15" t="s">
        <v>31031</v>
      </c>
      <c r="AV1624" s="15" t="s">
        <v>162</v>
      </c>
      <c r="AW1624" s="15" t="s">
        <v>31028</v>
      </c>
      <c r="AX1624" s="15" t="s">
        <v>138</v>
      </c>
      <c r="AY1624" s="15" t="s">
        <v>31032</v>
      </c>
      <c r="AZ1624" s="15" t="s">
        <v>164</v>
      </c>
      <c r="BA1624" s="15" t="s">
        <v>165</v>
      </c>
      <c r="BB1624" s="15" t="s">
        <v>31033</v>
      </c>
      <c r="BC1624" s="15" t="s">
        <v>31034</v>
      </c>
      <c r="BD1624" s="21">
        <v>2</v>
      </c>
      <c r="BE1624" s="15" t="s">
        <v>138</v>
      </c>
      <c r="BF1624" s="15" t="s">
        <v>138</v>
      </c>
      <c r="BG1624" s="15" t="s">
        <v>138</v>
      </c>
      <c r="BH1624" s="15" t="s">
        <v>138</v>
      </c>
      <c r="BI1624" s="15" t="s">
        <v>138</v>
      </c>
      <c r="BJ1624" s="15" t="s">
        <v>138</v>
      </c>
      <c r="BK1624" s="15" t="s">
        <v>138</v>
      </c>
      <c r="BL1624" s="15" t="s">
        <v>31035</v>
      </c>
      <c r="BM1624" s="22">
        <v>41383</v>
      </c>
      <c r="BN1624" s="17" t="s">
        <v>138</v>
      </c>
      <c r="BO1624" s="15" t="s">
        <v>138</v>
      </c>
      <c r="BP1624" s="17" t="s">
        <v>138</v>
      </c>
      <c r="BQ1624" s="15" t="s">
        <v>138</v>
      </c>
      <c r="BR1624" s="15" t="s">
        <v>262</v>
      </c>
      <c r="BS1624" s="15" t="s">
        <v>262</v>
      </c>
      <c r="BT1624" s="15" t="s">
        <v>138</v>
      </c>
      <c r="BU1624" s="15" t="s">
        <v>263</v>
      </c>
      <c r="BV1624" s="15" t="s">
        <v>138</v>
      </c>
      <c r="BW1624" s="15" t="s">
        <v>138</v>
      </c>
      <c r="BX1624" s="15" t="s">
        <v>138</v>
      </c>
      <c r="BY1624" s="15" t="s">
        <v>1831</v>
      </c>
      <c r="BZ1624" s="22" t="s">
        <v>138</v>
      </c>
      <c r="CA1624" s="17" t="s">
        <v>138</v>
      </c>
      <c r="CB1624" s="15" t="s">
        <v>138</v>
      </c>
      <c r="CC1624" s="17" t="s">
        <v>138</v>
      </c>
      <c r="CD1624" s="15" t="s">
        <v>138</v>
      </c>
      <c r="CE1624" s="15" t="s">
        <v>205</v>
      </c>
      <c r="CF1624" s="15" t="s">
        <v>138</v>
      </c>
      <c r="CG1624" s="15" t="s">
        <v>138</v>
      </c>
      <c r="CH1624" s="15" t="s">
        <v>174</v>
      </c>
      <c r="CI1624" s="15" t="s">
        <v>138</v>
      </c>
      <c r="CJ1624" s="15" t="s">
        <v>138</v>
      </c>
      <c r="CK1624" s="15" t="s">
        <v>138</v>
      </c>
      <c r="CL1624" s="15" t="s">
        <v>175</v>
      </c>
      <c r="CM1624" s="22" t="s">
        <v>138</v>
      </c>
      <c r="CN1624" s="17" t="s">
        <v>138</v>
      </c>
      <c r="CO1624" s="23">
        <v>-0.05</v>
      </c>
      <c r="CP1624" s="24">
        <v>22</v>
      </c>
      <c r="CQ1624" s="23">
        <v>0.01</v>
      </c>
      <c r="CR1624" s="23">
        <v>17.14</v>
      </c>
      <c r="CS1624" s="23">
        <v>0</v>
      </c>
      <c r="CT1624" s="24">
        <v>23</v>
      </c>
      <c r="CU1624" s="23">
        <v>-0.1</v>
      </c>
      <c r="CV1624" s="24">
        <v>4</v>
      </c>
      <c r="CW1624" s="23">
        <v>0</v>
      </c>
      <c r="CX1624" s="24">
        <v>13</v>
      </c>
      <c r="CY1624" s="23">
        <v>0</v>
      </c>
      <c r="CZ1624" s="24">
        <v>25</v>
      </c>
      <c r="DA1624" s="23">
        <v>-0.14000000000000001</v>
      </c>
      <c r="DB1624" s="24">
        <v>4</v>
      </c>
      <c r="DC1624" s="25">
        <v>1.86</v>
      </c>
      <c r="DD1624" s="24">
        <v>65</v>
      </c>
      <c r="DE1624" s="25">
        <v>-0.02</v>
      </c>
      <c r="DF1624" s="23">
        <v>-0.98</v>
      </c>
      <c r="DG1624" s="25">
        <v>1.2</v>
      </c>
      <c r="DH1624" s="24">
        <v>55</v>
      </c>
      <c r="DI1624" s="25">
        <v>2.5299999999999998</v>
      </c>
      <c r="DJ1624" s="24">
        <v>67</v>
      </c>
      <c r="DK1624" s="25">
        <v>0.67</v>
      </c>
      <c r="DL1624" s="24">
        <v>41</v>
      </c>
      <c r="DM1624" s="25">
        <v>1.72</v>
      </c>
      <c r="DN1624" s="24">
        <v>62</v>
      </c>
      <c r="DO1624" s="25">
        <v>3.45</v>
      </c>
      <c r="DP1624" s="24">
        <v>73</v>
      </c>
      <c r="DQ1624" s="24">
        <v>234</v>
      </c>
      <c r="DR1624" s="26">
        <v>-16</v>
      </c>
      <c r="DS1624" s="23">
        <v>-6.4</v>
      </c>
      <c r="DT1624" s="24">
        <v>50</v>
      </c>
      <c r="DU1624" s="26">
        <v>0</v>
      </c>
      <c r="DV1624" s="23">
        <v>0</v>
      </c>
      <c r="DW1624" s="24">
        <v>1236</v>
      </c>
      <c r="DX1624" s="27">
        <v>-1</v>
      </c>
      <c r="DY1624" s="23">
        <v>-0.08</v>
      </c>
      <c r="DZ1624" s="15" t="s">
        <v>178</v>
      </c>
      <c r="EA1624" s="22">
        <v>43504</v>
      </c>
      <c r="EB1624" s="17" t="s">
        <v>138</v>
      </c>
      <c r="EC1624" s="22" t="s">
        <v>138</v>
      </c>
      <c r="ED1624" s="15" t="s">
        <v>138</v>
      </c>
      <c r="EE1624" s="14" t="str">
        <f>HYPERLINK("https://my.pitchbook.com?c=85762-90", "View company online")</f>
        <v>View company online</v>
      </c>
    </row>
    <row r="1625" spans="1:135">
      <c r="A1625" s="28" t="s">
        <v>31036</v>
      </c>
      <c r="B1625" s="28" t="s">
        <v>31037</v>
      </c>
      <c r="C1625" s="28" t="s">
        <v>31038</v>
      </c>
      <c r="D1625" s="28" t="s">
        <v>138</v>
      </c>
      <c r="E1625" s="28" t="s">
        <v>31039</v>
      </c>
      <c r="F1625" s="28" t="s">
        <v>31036</v>
      </c>
      <c r="G1625" s="28" t="s">
        <v>31040</v>
      </c>
      <c r="H1625" s="28" t="s">
        <v>322</v>
      </c>
      <c r="I1625" s="28" t="s">
        <v>323</v>
      </c>
      <c r="J1625" s="28" t="s">
        <v>324</v>
      </c>
      <c r="K1625" s="28" t="s">
        <v>31041</v>
      </c>
      <c r="L1625" s="28" t="s">
        <v>215</v>
      </c>
      <c r="M1625" s="28" t="s">
        <v>31042</v>
      </c>
      <c r="N1625" s="28" t="s">
        <v>147</v>
      </c>
      <c r="O1625" s="29">
        <v>33</v>
      </c>
      <c r="P1625" s="28" t="s">
        <v>148</v>
      </c>
      <c r="Q1625" s="28" t="s">
        <v>149</v>
      </c>
      <c r="R1625" s="28" t="s">
        <v>174</v>
      </c>
      <c r="S1625" s="28" t="s">
        <v>31043</v>
      </c>
      <c r="T1625" s="30">
        <v>24</v>
      </c>
      <c r="U1625" s="28" t="s">
        <v>31044</v>
      </c>
      <c r="V1625" s="28" t="s">
        <v>138</v>
      </c>
      <c r="W1625" s="28" t="s">
        <v>138</v>
      </c>
      <c r="X1625" s="31">
        <v>2010</v>
      </c>
      <c r="Y1625" s="28" t="s">
        <v>138</v>
      </c>
      <c r="Z1625" s="28" t="s">
        <v>138</v>
      </c>
      <c r="AA1625" s="28" t="s">
        <v>31045</v>
      </c>
      <c r="AB1625" s="32" t="s">
        <v>138</v>
      </c>
      <c r="AC1625" s="32" t="s">
        <v>138</v>
      </c>
      <c r="AD1625" s="32" t="s">
        <v>138</v>
      </c>
      <c r="AE1625" s="32" t="s">
        <v>138</v>
      </c>
      <c r="AF1625" s="32" t="s">
        <v>138</v>
      </c>
      <c r="AG1625" s="28" t="s">
        <v>138</v>
      </c>
      <c r="AH1625" s="32" t="s">
        <v>138</v>
      </c>
      <c r="AI1625" s="32" t="s">
        <v>138</v>
      </c>
      <c r="AJ1625" s="32" t="s">
        <v>138</v>
      </c>
      <c r="AK1625" s="28" t="s">
        <v>31046</v>
      </c>
      <c r="AL1625" s="28" t="s">
        <v>31047</v>
      </c>
      <c r="AM1625" s="28" t="s">
        <v>31048</v>
      </c>
      <c r="AN1625" s="28" t="s">
        <v>31049</v>
      </c>
      <c r="AO1625" s="28" t="s">
        <v>31050</v>
      </c>
      <c r="AP1625" s="28" t="s">
        <v>3839</v>
      </c>
      <c r="AQ1625" s="28" t="s">
        <v>31051</v>
      </c>
      <c r="AR1625" s="28" t="s">
        <v>31052</v>
      </c>
      <c r="AS1625" s="28" t="s">
        <v>3841</v>
      </c>
      <c r="AT1625" s="28" t="s">
        <v>200</v>
      </c>
      <c r="AU1625" s="28" t="s">
        <v>3842</v>
      </c>
      <c r="AV1625" s="28" t="s">
        <v>162</v>
      </c>
      <c r="AW1625" s="28" t="s">
        <v>31050</v>
      </c>
      <c r="AX1625" s="28" t="s">
        <v>138</v>
      </c>
      <c r="AY1625" s="28" t="s">
        <v>31053</v>
      </c>
      <c r="AZ1625" s="28" t="s">
        <v>164</v>
      </c>
      <c r="BA1625" s="28" t="s">
        <v>165</v>
      </c>
      <c r="BB1625" s="28" t="s">
        <v>31054</v>
      </c>
      <c r="BC1625" s="28" t="s">
        <v>31055</v>
      </c>
      <c r="BD1625" s="33">
        <v>5</v>
      </c>
      <c r="BE1625" s="28" t="s">
        <v>138</v>
      </c>
      <c r="BF1625" s="28" t="s">
        <v>138</v>
      </c>
      <c r="BG1625" s="28" t="s">
        <v>30734</v>
      </c>
      <c r="BH1625" s="28" t="s">
        <v>31056</v>
      </c>
      <c r="BI1625" s="28" t="s">
        <v>138</v>
      </c>
      <c r="BJ1625" s="28" t="s">
        <v>31057</v>
      </c>
      <c r="BK1625" s="28" t="s">
        <v>31058</v>
      </c>
      <c r="BL1625" s="28" t="s">
        <v>1275</v>
      </c>
      <c r="BM1625" s="34">
        <v>41255</v>
      </c>
      <c r="BN1625" s="29">
        <v>5</v>
      </c>
      <c r="BO1625" s="28" t="s">
        <v>172</v>
      </c>
      <c r="BP1625" s="29">
        <v>13.33</v>
      </c>
      <c r="BQ1625" s="28" t="s">
        <v>172</v>
      </c>
      <c r="BR1625" s="28" t="s">
        <v>205</v>
      </c>
      <c r="BS1625" s="28" t="s">
        <v>206</v>
      </c>
      <c r="BT1625" s="28" t="s">
        <v>138</v>
      </c>
      <c r="BU1625" s="28" t="s">
        <v>174</v>
      </c>
      <c r="BV1625" s="28" t="s">
        <v>138</v>
      </c>
      <c r="BW1625" s="28" t="s">
        <v>138</v>
      </c>
      <c r="BX1625" s="28" t="s">
        <v>138</v>
      </c>
      <c r="BY1625" s="28" t="s">
        <v>175</v>
      </c>
      <c r="BZ1625" s="34">
        <v>43153</v>
      </c>
      <c r="CA1625" s="29" t="s">
        <v>138</v>
      </c>
      <c r="CB1625" s="28" t="s">
        <v>138</v>
      </c>
      <c r="CC1625" s="29" t="s">
        <v>138</v>
      </c>
      <c r="CD1625" s="28" t="s">
        <v>138</v>
      </c>
      <c r="CE1625" s="28" t="s">
        <v>2228</v>
      </c>
      <c r="CF1625" s="28" t="s">
        <v>138</v>
      </c>
      <c r="CG1625" s="28" t="s">
        <v>138</v>
      </c>
      <c r="CH1625" s="28" t="s">
        <v>780</v>
      </c>
      <c r="CI1625" s="28" t="s">
        <v>138</v>
      </c>
      <c r="CJ1625" s="28" t="s">
        <v>138</v>
      </c>
      <c r="CK1625" s="28" t="s">
        <v>138</v>
      </c>
      <c r="CL1625" s="28" t="s">
        <v>352</v>
      </c>
      <c r="CM1625" s="34" t="s">
        <v>138</v>
      </c>
      <c r="CN1625" s="29" t="s">
        <v>138</v>
      </c>
      <c r="CO1625" s="35">
        <v>-0.99</v>
      </c>
      <c r="CP1625" s="36">
        <v>11</v>
      </c>
      <c r="CQ1625" s="35">
        <v>-0.01</v>
      </c>
      <c r="CR1625" s="35">
        <v>-1.1299999999999999</v>
      </c>
      <c r="CS1625" s="35">
        <v>-1.92</v>
      </c>
      <c r="CT1625" s="36">
        <v>9</v>
      </c>
      <c r="CU1625" s="35">
        <v>-0.05</v>
      </c>
      <c r="CV1625" s="36">
        <v>9</v>
      </c>
      <c r="CW1625" s="35" t="s">
        <v>138</v>
      </c>
      <c r="CX1625" s="36" t="s">
        <v>138</v>
      </c>
      <c r="CY1625" s="35">
        <v>-1.92</v>
      </c>
      <c r="CZ1625" s="36">
        <v>12</v>
      </c>
      <c r="DA1625" s="35">
        <v>-0.05</v>
      </c>
      <c r="DB1625" s="36">
        <v>13</v>
      </c>
      <c r="DC1625" s="37">
        <v>2.95</v>
      </c>
      <c r="DD1625" s="36">
        <v>75</v>
      </c>
      <c r="DE1625" s="37">
        <v>0.09</v>
      </c>
      <c r="DF1625" s="35">
        <v>3.21</v>
      </c>
      <c r="DG1625" s="37">
        <v>5.28</v>
      </c>
      <c r="DH1625" s="36">
        <v>83</v>
      </c>
      <c r="DI1625" s="37">
        <v>0.62</v>
      </c>
      <c r="DJ1625" s="36">
        <v>40</v>
      </c>
      <c r="DK1625" s="37" t="s">
        <v>138</v>
      </c>
      <c r="DL1625" s="36" t="s">
        <v>138</v>
      </c>
      <c r="DM1625" s="37">
        <v>5.28</v>
      </c>
      <c r="DN1625" s="36">
        <v>82</v>
      </c>
      <c r="DO1625" s="37">
        <v>0.62</v>
      </c>
      <c r="DP1625" s="36">
        <v>42</v>
      </c>
      <c r="DQ1625" s="36">
        <v>171</v>
      </c>
      <c r="DR1625" s="38">
        <v>-34</v>
      </c>
      <c r="DS1625" s="35">
        <v>-16.59</v>
      </c>
      <c r="DT1625" s="36">
        <v>154</v>
      </c>
      <c r="DU1625" s="38">
        <v>-2</v>
      </c>
      <c r="DV1625" s="35">
        <v>-1.28</v>
      </c>
      <c r="DW1625" s="36">
        <v>223</v>
      </c>
      <c r="DX1625" s="39">
        <v>1</v>
      </c>
      <c r="DY1625" s="35">
        <v>0.45</v>
      </c>
      <c r="DZ1625" s="28" t="s">
        <v>178</v>
      </c>
      <c r="EA1625" s="34">
        <v>43622</v>
      </c>
      <c r="EB1625" s="29">
        <v>63.76</v>
      </c>
      <c r="EC1625" s="34">
        <v>42048</v>
      </c>
      <c r="ED1625" s="28" t="s">
        <v>173</v>
      </c>
      <c r="EE1625" s="40" t="str">
        <f>HYPERLINK("https://my.pitchbook.com?c=55762-12", "View company online")</f>
        <v>View company online</v>
      </c>
    </row>
    <row r="1626" spans="1:135">
      <c r="A1626" s="15" t="s">
        <v>31059</v>
      </c>
      <c r="B1626" s="15" t="s">
        <v>31060</v>
      </c>
      <c r="C1626" s="15" t="s">
        <v>138</v>
      </c>
      <c r="D1626" s="15" t="s">
        <v>31061</v>
      </c>
      <c r="E1626" s="15" t="s">
        <v>31062</v>
      </c>
      <c r="F1626" s="15" t="s">
        <v>31059</v>
      </c>
      <c r="G1626" s="15" t="s">
        <v>31063</v>
      </c>
      <c r="H1626" s="15" t="s">
        <v>322</v>
      </c>
      <c r="I1626" s="15" t="s">
        <v>323</v>
      </c>
      <c r="J1626" s="15" t="s">
        <v>324</v>
      </c>
      <c r="K1626" s="15" t="s">
        <v>325</v>
      </c>
      <c r="L1626" s="15" t="s">
        <v>215</v>
      </c>
      <c r="M1626" s="15" t="s">
        <v>31064</v>
      </c>
      <c r="N1626" s="15" t="s">
        <v>1452</v>
      </c>
      <c r="O1626" s="17">
        <v>11.71</v>
      </c>
      <c r="P1626" s="15" t="s">
        <v>812</v>
      </c>
      <c r="Q1626" s="15" t="s">
        <v>149</v>
      </c>
      <c r="R1626" s="15" t="s">
        <v>1652</v>
      </c>
      <c r="S1626" s="15" t="s">
        <v>31065</v>
      </c>
      <c r="T1626" s="18">
        <v>300</v>
      </c>
      <c r="U1626" s="15" t="s">
        <v>31066</v>
      </c>
      <c r="V1626" s="15" t="s">
        <v>138</v>
      </c>
      <c r="W1626" s="15" t="s">
        <v>138</v>
      </c>
      <c r="X1626" s="19">
        <v>2009</v>
      </c>
      <c r="Y1626" s="15" t="s">
        <v>138</v>
      </c>
      <c r="Z1626" s="15" t="s">
        <v>24202</v>
      </c>
      <c r="AA1626" s="15" t="s">
        <v>31067</v>
      </c>
      <c r="AB1626" s="20">
        <v>22.84</v>
      </c>
      <c r="AC1626" s="20">
        <v>7.08</v>
      </c>
      <c r="AD1626" s="20">
        <v>-4.74</v>
      </c>
      <c r="AE1626" s="20" t="s">
        <v>138</v>
      </c>
      <c r="AF1626" s="20">
        <v>-4.26</v>
      </c>
      <c r="AG1626" s="15" t="s">
        <v>815</v>
      </c>
      <c r="AH1626" s="20" t="s">
        <v>138</v>
      </c>
      <c r="AI1626" s="20" t="s">
        <v>138</v>
      </c>
      <c r="AJ1626" s="20" t="s">
        <v>138</v>
      </c>
      <c r="AK1626" s="15" t="s">
        <v>31068</v>
      </c>
      <c r="AL1626" s="15" t="s">
        <v>31069</v>
      </c>
      <c r="AM1626" s="15" t="s">
        <v>31070</v>
      </c>
      <c r="AN1626" s="15" t="s">
        <v>31071</v>
      </c>
      <c r="AO1626" s="15" t="s">
        <v>31072</v>
      </c>
      <c r="AP1626" s="15" t="s">
        <v>820</v>
      </c>
      <c r="AQ1626" s="15" t="s">
        <v>31073</v>
      </c>
      <c r="AR1626" s="15" t="s">
        <v>31074</v>
      </c>
      <c r="AS1626" s="15" t="s">
        <v>823</v>
      </c>
      <c r="AT1626" s="15" t="s">
        <v>824</v>
      </c>
      <c r="AU1626" s="15" t="s">
        <v>31075</v>
      </c>
      <c r="AV1626" s="15" t="s">
        <v>526</v>
      </c>
      <c r="AW1626" s="15" t="s">
        <v>31072</v>
      </c>
      <c r="AX1626" s="15" t="s">
        <v>138</v>
      </c>
      <c r="AY1626" s="15" t="s">
        <v>31076</v>
      </c>
      <c r="AZ1626" s="15" t="s">
        <v>530</v>
      </c>
      <c r="BA1626" s="15" t="s">
        <v>531</v>
      </c>
      <c r="BB1626" s="15" t="s">
        <v>31077</v>
      </c>
      <c r="BC1626" s="15" t="s">
        <v>31078</v>
      </c>
      <c r="BD1626" s="21">
        <v>5</v>
      </c>
      <c r="BE1626" s="15" t="s">
        <v>138</v>
      </c>
      <c r="BF1626" s="15" t="s">
        <v>31079</v>
      </c>
      <c r="BG1626" s="15" t="s">
        <v>138</v>
      </c>
      <c r="BH1626" s="15" t="s">
        <v>31080</v>
      </c>
      <c r="BI1626" s="15" t="s">
        <v>31081</v>
      </c>
      <c r="BJ1626" s="15" t="s">
        <v>138</v>
      </c>
      <c r="BK1626" s="15" t="s">
        <v>31082</v>
      </c>
      <c r="BL1626" s="15" t="s">
        <v>31083</v>
      </c>
      <c r="BM1626" s="22">
        <v>41275</v>
      </c>
      <c r="BN1626" s="17" t="s">
        <v>138</v>
      </c>
      <c r="BO1626" s="15" t="s">
        <v>138</v>
      </c>
      <c r="BP1626" s="17" t="s">
        <v>138</v>
      </c>
      <c r="BQ1626" s="15" t="s">
        <v>138</v>
      </c>
      <c r="BR1626" s="15" t="s">
        <v>205</v>
      </c>
      <c r="BS1626" s="15" t="s">
        <v>138</v>
      </c>
      <c r="BT1626" s="15" t="s">
        <v>138</v>
      </c>
      <c r="BU1626" s="15" t="s">
        <v>174</v>
      </c>
      <c r="BV1626" s="15" t="s">
        <v>138</v>
      </c>
      <c r="BW1626" s="15" t="s">
        <v>138</v>
      </c>
      <c r="BX1626" s="15" t="s">
        <v>138</v>
      </c>
      <c r="BY1626" s="15" t="s">
        <v>175</v>
      </c>
      <c r="BZ1626" s="22">
        <v>43621</v>
      </c>
      <c r="CA1626" s="17" t="s">
        <v>138</v>
      </c>
      <c r="CB1626" s="15" t="s">
        <v>138</v>
      </c>
      <c r="CC1626" s="17" t="s">
        <v>138</v>
      </c>
      <c r="CD1626" s="15" t="s">
        <v>138</v>
      </c>
      <c r="CE1626" s="15" t="s">
        <v>1326</v>
      </c>
      <c r="CF1626" s="15" t="s">
        <v>138</v>
      </c>
      <c r="CG1626" s="15" t="s">
        <v>138</v>
      </c>
      <c r="CH1626" s="15" t="s">
        <v>1327</v>
      </c>
      <c r="CI1626" s="15" t="s">
        <v>1328</v>
      </c>
      <c r="CJ1626" s="15" t="s">
        <v>138</v>
      </c>
      <c r="CK1626" s="15" t="s">
        <v>138</v>
      </c>
      <c r="CL1626" s="15" t="s">
        <v>175</v>
      </c>
      <c r="CM1626" s="22">
        <v>43621</v>
      </c>
      <c r="CN1626" s="17" t="s">
        <v>138</v>
      </c>
      <c r="CO1626" s="23">
        <v>-0.27</v>
      </c>
      <c r="CP1626" s="24">
        <v>19</v>
      </c>
      <c r="CQ1626" s="23">
        <v>-0.03</v>
      </c>
      <c r="CR1626" s="23">
        <v>-13.51</v>
      </c>
      <c r="CS1626" s="23">
        <v>-0.61</v>
      </c>
      <c r="CT1626" s="24">
        <v>18</v>
      </c>
      <c r="CU1626" s="23">
        <v>0.06</v>
      </c>
      <c r="CV1626" s="24">
        <v>60</v>
      </c>
      <c r="CW1626" s="23">
        <v>0</v>
      </c>
      <c r="CX1626" s="24">
        <v>13</v>
      </c>
      <c r="CY1626" s="23">
        <v>-1.22</v>
      </c>
      <c r="CZ1626" s="24">
        <v>17</v>
      </c>
      <c r="DA1626" s="23">
        <v>0.06</v>
      </c>
      <c r="DB1626" s="24">
        <v>65</v>
      </c>
      <c r="DC1626" s="25">
        <v>3.75</v>
      </c>
      <c r="DD1626" s="24">
        <v>79</v>
      </c>
      <c r="DE1626" s="25">
        <v>-0.06</v>
      </c>
      <c r="DF1626" s="23">
        <v>-1.64</v>
      </c>
      <c r="DG1626" s="25">
        <v>3.66</v>
      </c>
      <c r="DH1626" s="24">
        <v>78</v>
      </c>
      <c r="DI1626" s="25">
        <v>3.85</v>
      </c>
      <c r="DJ1626" s="24">
        <v>74</v>
      </c>
      <c r="DK1626" s="25">
        <v>1.79</v>
      </c>
      <c r="DL1626" s="24">
        <v>62</v>
      </c>
      <c r="DM1626" s="25">
        <v>5.52</v>
      </c>
      <c r="DN1626" s="24">
        <v>83</v>
      </c>
      <c r="DO1626" s="25">
        <v>3.85</v>
      </c>
      <c r="DP1626" s="24">
        <v>75</v>
      </c>
      <c r="DQ1626" s="24">
        <v>623</v>
      </c>
      <c r="DR1626" s="26">
        <v>-27</v>
      </c>
      <c r="DS1626" s="23">
        <v>-4.1500000000000004</v>
      </c>
      <c r="DT1626" s="24">
        <v>160</v>
      </c>
      <c r="DU1626" s="26">
        <v>-1</v>
      </c>
      <c r="DV1626" s="23">
        <v>-0.62</v>
      </c>
      <c r="DW1626" s="24">
        <v>1379</v>
      </c>
      <c r="DX1626" s="27">
        <v>1</v>
      </c>
      <c r="DY1626" s="23">
        <v>7.0000000000000007E-2</v>
      </c>
      <c r="DZ1626" s="15" t="s">
        <v>178</v>
      </c>
      <c r="EA1626" s="22">
        <v>43622</v>
      </c>
      <c r="EB1626" s="17">
        <v>32.06</v>
      </c>
      <c r="EC1626" s="22">
        <v>41974</v>
      </c>
      <c r="ED1626" s="15" t="s">
        <v>205</v>
      </c>
      <c r="EE1626" s="14" t="str">
        <f>HYPERLINK("https://my.pitchbook.com?c=118114-48", "View company online")</f>
        <v>View company online</v>
      </c>
    </row>
    <row r="1627" spans="1:135">
      <c r="A1627" s="28" t="s">
        <v>31084</v>
      </c>
      <c r="B1627" s="28" t="s">
        <v>31085</v>
      </c>
      <c r="C1627" s="28" t="s">
        <v>138</v>
      </c>
      <c r="D1627" s="28" t="s">
        <v>138</v>
      </c>
      <c r="E1627" s="28" t="s">
        <v>31086</v>
      </c>
      <c r="F1627" s="28" t="s">
        <v>31084</v>
      </c>
      <c r="G1627" s="28" t="s">
        <v>31087</v>
      </c>
      <c r="H1627" s="28" t="s">
        <v>322</v>
      </c>
      <c r="I1627" s="28" t="s">
        <v>323</v>
      </c>
      <c r="J1627" s="28" t="s">
        <v>461</v>
      </c>
      <c r="K1627" s="28" t="s">
        <v>2209</v>
      </c>
      <c r="L1627" s="28" t="s">
        <v>31088</v>
      </c>
      <c r="M1627" s="28" t="s">
        <v>31089</v>
      </c>
      <c r="N1627" s="28" t="s">
        <v>147</v>
      </c>
      <c r="O1627" s="29">
        <v>90.39</v>
      </c>
      <c r="P1627" s="28" t="s">
        <v>148</v>
      </c>
      <c r="Q1627" s="28" t="s">
        <v>149</v>
      </c>
      <c r="R1627" s="28" t="s">
        <v>174</v>
      </c>
      <c r="S1627" s="28" t="s">
        <v>31090</v>
      </c>
      <c r="T1627" s="30">
        <v>50</v>
      </c>
      <c r="U1627" s="28" t="s">
        <v>31091</v>
      </c>
      <c r="V1627" s="28" t="s">
        <v>138</v>
      </c>
      <c r="W1627" s="28" t="s">
        <v>138</v>
      </c>
      <c r="X1627" s="31">
        <v>2010</v>
      </c>
      <c r="Y1627" s="28" t="s">
        <v>138</v>
      </c>
      <c r="Z1627" s="28" t="s">
        <v>138</v>
      </c>
      <c r="AA1627" s="28" t="s">
        <v>31092</v>
      </c>
      <c r="AB1627" s="32" t="s">
        <v>138</v>
      </c>
      <c r="AC1627" s="32" t="s">
        <v>138</v>
      </c>
      <c r="AD1627" s="32" t="s">
        <v>138</v>
      </c>
      <c r="AE1627" s="32" t="s">
        <v>138</v>
      </c>
      <c r="AF1627" s="32" t="s">
        <v>138</v>
      </c>
      <c r="AG1627" s="28" t="s">
        <v>138</v>
      </c>
      <c r="AH1627" s="32" t="s">
        <v>138</v>
      </c>
      <c r="AI1627" s="32" t="s">
        <v>138</v>
      </c>
      <c r="AJ1627" s="32" t="s">
        <v>138</v>
      </c>
      <c r="AK1627" s="28" t="s">
        <v>31093</v>
      </c>
      <c r="AL1627" s="28" t="s">
        <v>31094</v>
      </c>
      <c r="AM1627" s="28" t="s">
        <v>221</v>
      </c>
      <c r="AN1627" s="28" t="s">
        <v>31095</v>
      </c>
      <c r="AO1627" s="28" t="s">
        <v>31096</v>
      </c>
      <c r="AP1627" s="28" t="s">
        <v>665</v>
      </c>
      <c r="AQ1627" s="28" t="s">
        <v>31097</v>
      </c>
      <c r="AR1627" s="28" t="s">
        <v>138</v>
      </c>
      <c r="AS1627" s="28" t="s">
        <v>668</v>
      </c>
      <c r="AT1627" s="28" t="s">
        <v>200</v>
      </c>
      <c r="AU1627" s="28" t="s">
        <v>691</v>
      </c>
      <c r="AV1627" s="28" t="s">
        <v>162</v>
      </c>
      <c r="AW1627" s="28" t="s">
        <v>31096</v>
      </c>
      <c r="AX1627" s="28" t="s">
        <v>138</v>
      </c>
      <c r="AY1627" s="28" t="s">
        <v>31098</v>
      </c>
      <c r="AZ1627" s="28" t="s">
        <v>164</v>
      </c>
      <c r="BA1627" s="28" t="s">
        <v>165</v>
      </c>
      <c r="BB1627" s="28" t="s">
        <v>31099</v>
      </c>
      <c r="BC1627" s="28" t="s">
        <v>31100</v>
      </c>
      <c r="BD1627" s="33">
        <v>13</v>
      </c>
      <c r="BE1627" s="28" t="s">
        <v>138</v>
      </c>
      <c r="BF1627" s="28" t="s">
        <v>138</v>
      </c>
      <c r="BG1627" s="28" t="s">
        <v>138</v>
      </c>
      <c r="BH1627" s="28" t="s">
        <v>31101</v>
      </c>
      <c r="BI1627" s="28" t="s">
        <v>138</v>
      </c>
      <c r="BJ1627" s="28" t="s">
        <v>138</v>
      </c>
      <c r="BK1627" s="28" t="s">
        <v>31102</v>
      </c>
      <c r="BL1627" s="28" t="s">
        <v>1251</v>
      </c>
      <c r="BM1627" s="34">
        <v>40390</v>
      </c>
      <c r="BN1627" s="29">
        <v>1.3</v>
      </c>
      <c r="BO1627" s="28" t="s">
        <v>172</v>
      </c>
      <c r="BP1627" s="29" t="s">
        <v>138</v>
      </c>
      <c r="BQ1627" s="28" t="s">
        <v>138</v>
      </c>
      <c r="BR1627" s="28" t="s">
        <v>234</v>
      </c>
      <c r="BS1627" s="28" t="s">
        <v>234</v>
      </c>
      <c r="BT1627" s="28" t="s">
        <v>138</v>
      </c>
      <c r="BU1627" s="28" t="s">
        <v>174</v>
      </c>
      <c r="BV1627" s="28" t="s">
        <v>138</v>
      </c>
      <c r="BW1627" s="28" t="s">
        <v>138</v>
      </c>
      <c r="BX1627" s="28" t="s">
        <v>138</v>
      </c>
      <c r="BY1627" s="28" t="s">
        <v>175</v>
      </c>
      <c r="BZ1627" s="34">
        <v>42235</v>
      </c>
      <c r="CA1627" s="29">
        <v>35.9</v>
      </c>
      <c r="CB1627" s="28" t="s">
        <v>172</v>
      </c>
      <c r="CC1627" s="29">
        <v>215.9</v>
      </c>
      <c r="CD1627" s="28" t="s">
        <v>172</v>
      </c>
      <c r="CE1627" s="28" t="s">
        <v>173</v>
      </c>
      <c r="CF1627" s="28" t="s">
        <v>433</v>
      </c>
      <c r="CG1627" s="28" t="s">
        <v>138</v>
      </c>
      <c r="CH1627" s="28" t="s">
        <v>174</v>
      </c>
      <c r="CI1627" s="28" t="s">
        <v>138</v>
      </c>
      <c r="CJ1627" s="28" t="s">
        <v>138</v>
      </c>
      <c r="CK1627" s="28" t="s">
        <v>138</v>
      </c>
      <c r="CL1627" s="28" t="s">
        <v>175</v>
      </c>
      <c r="CM1627" s="34" t="s">
        <v>138</v>
      </c>
      <c r="CN1627" s="29" t="s">
        <v>138</v>
      </c>
      <c r="CO1627" s="35">
        <v>-0.25</v>
      </c>
      <c r="CP1627" s="36">
        <v>19</v>
      </c>
      <c r="CQ1627" s="35">
        <v>0.01</v>
      </c>
      <c r="CR1627" s="35">
        <v>2.23</v>
      </c>
      <c r="CS1627" s="35">
        <v>-0.19</v>
      </c>
      <c r="CT1627" s="36">
        <v>22</v>
      </c>
      <c r="CU1627" s="35">
        <v>-7.0000000000000007E-2</v>
      </c>
      <c r="CV1627" s="36">
        <v>7</v>
      </c>
      <c r="CW1627" s="35">
        <v>3.76</v>
      </c>
      <c r="CX1627" s="36">
        <v>93</v>
      </c>
      <c r="CY1627" s="35">
        <v>-4.1399999999999997</v>
      </c>
      <c r="CZ1627" s="36">
        <v>4</v>
      </c>
      <c r="DA1627" s="35">
        <v>-0.05</v>
      </c>
      <c r="DB1627" s="36">
        <v>13</v>
      </c>
      <c r="DC1627" s="37">
        <v>13.99</v>
      </c>
      <c r="DD1627" s="36">
        <v>93</v>
      </c>
      <c r="DE1627" s="37">
        <v>-0.09</v>
      </c>
      <c r="DF1627" s="35">
        <v>-0.66</v>
      </c>
      <c r="DG1627" s="37">
        <v>18.43</v>
      </c>
      <c r="DH1627" s="36">
        <v>94</v>
      </c>
      <c r="DI1627" s="37">
        <v>23.46</v>
      </c>
      <c r="DJ1627" s="36">
        <v>92</v>
      </c>
      <c r="DK1627" s="37">
        <v>5.13</v>
      </c>
      <c r="DL1627" s="36">
        <v>79</v>
      </c>
      <c r="DM1627" s="37">
        <v>31.72</v>
      </c>
      <c r="DN1627" s="36">
        <v>96</v>
      </c>
      <c r="DO1627" s="37">
        <v>45.78</v>
      </c>
      <c r="DP1627" s="36">
        <v>96</v>
      </c>
      <c r="DQ1627" s="36">
        <v>1731</v>
      </c>
      <c r="DR1627" s="38">
        <v>90</v>
      </c>
      <c r="DS1627" s="35">
        <v>5.48</v>
      </c>
      <c r="DT1627" s="36">
        <v>921</v>
      </c>
      <c r="DU1627" s="38">
        <v>-1</v>
      </c>
      <c r="DV1627" s="35">
        <v>-0.11</v>
      </c>
      <c r="DW1627" s="36">
        <v>16390</v>
      </c>
      <c r="DX1627" s="39">
        <v>-3</v>
      </c>
      <c r="DY1627" s="35">
        <v>-0.02</v>
      </c>
      <c r="DZ1627" s="28" t="s">
        <v>178</v>
      </c>
      <c r="EA1627" s="34">
        <v>43622</v>
      </c>
      <c r="EB1627" s="29">
        <v>215.9</v>
      </c>
      <c r="EC1627" s="34">
        <v>42235</v>
      </c>
      <c r="ED1627" s="28" t="s">
        <v>173</v>
      </c>
      <c r="EE1627" s="40" t="str">
        <f>HYPERLINK("https://my.pitchbook.com?c=52135-75", "View company online")</f>
        <v>View company online</v>
      </c>
    </row>
    <row r="1628" spans="1:135">
      <c r="A1628" s="15" t="s">
        <v>31103</v>
      </c>
      <c r="B1628" s="15" t="s">
        <v>31104</v>
      </c>
      <c r="C1628" s="15" t="s">
        <v>31105</v>
      </c>
      <c r="D1628" s="15" t="s">
        <v>138</v>
      </c>
      <c r="E1628" s="15" t="s">
        <v>31106</v>
      </c>
      <c r="F1628" s="15" t="s">
        <v>31103</v>
      </c>
      <c r="G1628" s="15" t="s">
        <v>31107</v>
      </c>
      <c r="H1628" s="15" t="s">
        <v>322</v>
      </c>
      <c r="I1628" s="15" t="s">
        <v>323</v>
      </c>
      <c r="J1628" s="15" t="s">
        <v>324</v>
      </c>
      <c r="K1628" s="15" t="s">
        <v>31108</v>
      </c>
      <c r="L1628" s="15" t="s">
        <v>215</v>
      </c>
      <c r="M1628" s="15" t="s">
        <v>31109</v>
      </c>
      <c r="N1628" s="15" t="s">
        <v>147</v>
      </c>
      <c r="O1628" s="17" t="s">
        <v>138</v>
      </c>
      <c r="P1628" s="15" t="s">
        <v>148</v>
      </c>
      <c r="Q1628" s="15" t="s">
        <v>149</v>
      </c>
      <c r="R1628" s="15" t="s">
        <v>174</v>
      </c>
      <c r="S1628" s="15" t="s">
        <v>31110</v>
      </c>
      <c r="T1628" s="18">
        <v>78</v>
      </c>
      <c r="U1628" s="15" t="s">
        <v>31111</v>
      </c>
      <c r="V1628" s="15" t="s">
        <v>138</v>
      </c>
      <c r="W1628" s="15" t="s">
        <v>138</v>
      </c>
      <c r="X1628" s="19">
        <v>2009</v>
      </c>
      <c r="Y1628" s="15" t="s">
        <v>138</v>
      </c>
      <c r="Z1628" s="15" t="s">
        <v>138</v>
      </c>
      <c r="AA1628" s="15" t="s">
        <v>138</v>
      </c>
      <c r="AB1628" s="20" t="s">
        <v>138</v>
      </c>
      <c r="AC1628" s="20" t="s">
        <v>138</v>
      </c>
      <c r="AD1628" s="20" t="s">
        <v>138</v>
      </c>
      <c r="AE1628" s="20" t="s">
        <v>138</v>
      </c>
      <c r="AF1628" s="20" t="s">
        <v>138</v>
      </c>
      <c r="AG1628" s="15" t="s">
        <v>138</v>
      </c>
      <c r="AH1628" s="20" t="s">
        <v>138</v>
      </c>
      <c r="AI1628" s="20" t="s">
        <v>138</v>
      </c>
      <c r="AJ1628" s="20" t="s">
        <v>138</v>
      </c>
      <c r="AK1628" s="15" t="s">
        <v>31112</v>
      </c>
      <c r="AL1628" s="15" t="s">
        <v>31113</v>
      </c>
      <c r="AM1628" s="15" t="s">
        <v>3554</v>
      </c>
      <c r="AN1628" s="15" t="s">
        <v>31114</v>
      </c>
      <c r="AO1628" s="15" t="s">
        <v>31115</v>
      </c>
      <c r="AP1628" s="15" t="s">
        <v>6492</v>
      </c>
      <c r="AQ1628" s="15" t="s">
        <v>31116</v>
      </c>
      <c r="AR1628" s="15" t="s">
        <v>31117</v>
      </c>
      <c r="AS1628" s="15" t="s">
        <v>6495</v>
      </c>
      <c r="AT1628" s="15" t="s">
        <v>138</v>
      </c>
      <c r="AU1628" s="15" t="s">
        <v>31118</v>
      </c>
      <c r="AV1628" s="15" t="s">
        <v>6495</v>
      </c>
      <c r="AW1628" s="15" t="s">
        <v>31115</v>
      </c>
      <c r="AX1628" s="15" t="s">
        <v>31119</v>
      </c>
      <c r="AY1628" s="15" t="s">
        <v>138</v>
      </c>
      <c r="AZ1628" s="15" t="s">
        <v>452</v>
      </c>
      <c r="BA1628" s="15" t="s">
        <v>1748</v>
      </c>
      <c r="BB1628" s="15" t="s">
        <v>31120</v>
      </c>
      <c r="BC1628" s="15" t="s">
        <v>31121</v>
      </c>
      <c r="BD1628" s="21">
        <v>2</v>
      </c>
      <c r="BE1628" s="15" t="s">
        <v>138</v>
      </c>
      <c r="BF1628" s="15" t="s">
        <v>138</v>
      </c>
      <c r="BG1628" s="15" t="s">
        <v>138</v>
      </c>
      <c r="BH1628" s="15" t="s">
        <v>31122</v>
      </c>
      <c r="BI1628" s="15" t="s">
        <v>138</v>
      </c>
      <c r="BJ1628" s="15" t="s">
        <v>138</v>
      </c>
      <c r="BK1628" s="15" t="s">
        <v>138</v>
      </c>
      <c r="BL1628" s="15" t="s">
        <v>138</v>
      </c>
      <c r="BM1628" s="22">
        <v>41569</v>
      </c>
      <c r="BN1628" s="17" t="s">
        <v>138</v>
      </c>
      <c r="BO1628" s="15" t="s">
        <v>138</v>
      </c>
      <c r="BP1628" s="17" t="s">
        <v>138</v>
      </c>
      <c r="BQ1628" s="15" t="s">
        <v>138</v>
      </c>
      <c r="BR1628" s="15" t="s">
        <v>205</v>
      </c>
      <c r="BS1628" s="15" t="s">
        <v>138</v>
      </c>
      <c r="BT1628" s="15" t="s">
        <v>138</v>
      </c>
      <c r="BU1628" s="15" t="s">
        <v>174</v>
      </c>
      <c r="BV1628" s="15" t="s">
        <v>138</v>
      </c>
      <c r="BW1628" s="15" t="s">
        <v>138</v>
      </c>
      <c r="BX1628" s="15" t="s">
        <v>138</v>
      </c>
      <c r="BY1628" s="15" t="s">
        <v>175</v>
      </c>
      <c r="BZ1628" s="22">
        <v>41569</v>
      </c>
      <c r="CA1628" s="17" t="s">
        <v>138</v>
      </c>
      <c r="CB1628" s="15" t="s">
        <v>138</v>
      </c>
      <c r="CC1628" s="17" t="s">
        <v>138</v>
      </c>
      <c r="CD1628" s="15" t="s">
        <v>138</v>
      </c>
      <c r="CE1628" s="15" t="s">
        <v>205</v>
      </c>
      <c r="CF1628" s="15" t="s">
        <v>138</v>
      </c>
      <c r="CG1628" s="15" t="s">
        <v>138</v>
      </c>
      <c r="CH1628" s="15" t="s">
        <v>174</v>
      </c>
      <c r="CI1628" s="15" t="s">
        <v>138</v>
      </c>
      <c r="CJ1628" s="15" t="s">
        <v>138</v>
      </c>
      <c r="CK1628" s="15" t="s">
        <v>138</v>
      </c>
      <c r="CL1628" s="15" t="s">
        <v>175</v>
      </c>
      <c r="CM1628" s="22" t="s">
        <v>138</v>
      </c>
      <c r="CN1628" s="17" t="s">
        <v>138</v>
      </c>
      <c r="CO1628" s="23">
        <v>0</v>
      </c>
      <c r="CP1628" s="24">
        <v>26</v>
      </c>
      <c r="CQ1628" s="23">
        <v>0</v>
      </c>
      <c r="CR1628" s="23">
        <v>0</v>
      </c>
      <c r="CS1628" s="23">
        <v>0</v>
      </c>
      <c r="CT1628" s="24">
        <v>23</v>
      </c>
      <c r="CU1628" s="23">
        <v>0</v>
      </c>
      <c r="CV1628" s="24">
        <v>22</v>
      </c>
      <c r="CW1628" s="23" t="s">
        <v>138</v>
      </c>
      <c r="CX1628" s="24" t="s">
        <v>138</v>
      </c>
      <c r="CY1628" s="23">
        <v>0</v>
      </c>
      <c r="CZ1628" s="24">
        <v>25</v>
      </c>
      <c r="DA1628" s="23">
        <v>0</v>
      </c>
      <c r="DB1628" s="24">
        <v>22</v>
      </c>
      <c r="DC1628" s="25">
        <v>1.23</v>
      </c>
      <c r="DD1628" s="24">
        <v>56</v>
      </c>
      <c r="DE1628" s="25">
        <v>0.03</v>
      </c>
      <c r="DF1628" s="23">
        <v>2.93</v>
      </c>
      <c r="DG1628" s="25">
        <v>2.21</v>
      </c>
      <c r="DH1628" s="24">
        <v>69</v>
      </c>
      <c r="DI1628" s="25">
        <v>0.25</v>
      </c>
      <c r="DJ1628" s="24">
        <v>25</v>
      </c>
      <c r="DK1628" s="25" t="s">
        <v>138</v>
      </c>
      <c r="DL1628" s="24" t="s">
        <v>138</v>
      </c>
      <c r="DM1628" s="25">
        <v>2.21</v>
      </c>
      <c r="DN1628" s="24">
        <v>68</v>
      </c>
      <c r="DO1628" s="25">
        <v>0.39</v>
      </c>
      <c r="DP1628" s="24">
        <v>34</v>
      </c>
      <c r="DQ1628" s="24" t="s">
        <v>138</v>
      </c>
      <c r="DR1628" s="26" t="s">
        <v>138</v>
      </c>
      <c r="DS1628" s="23" t="s">
        <v>138</v>
      </c>
      <c r="DT1628" s="24">
        <v>63</v>
      </c>
      <c r="DU1628" s="26">
        <v>2</v>
      </c>
      <c r="DV1628" s="23">
        <v>3.28</v>
      </c>
      <c r="DW1628" s="24">
        <v>140</v>
      </c>
      <c r="DX1628" s="27">
        <v>0</v>
      </c>
      <c r="DY1628" s="23">
        <v>0</v>
      </c>
      <c r="DZ1628" s="15" t="s">
        <v>178</v>
      </c>
      <c r="EA1628" s="22">
        <v>43351</v>
      </c>
      <c r="EB1628" s="17" t="s">
        <v>138</v>
      </c>
      <c r="EC1628" s="22" t="s">
        <v>138</v>
      </c>
      <c r="ED1628" s="15" t="s">
        <v>138</v>
      </c>
      <c r="EE1628" s="14" t="str">
        <f>HYPERLINK("https://my.pitchbook.com?c=60042-34", "View company online")</f>
        <v>View company online</v>
      </c>
    </row>
    <row r="1629" spans="1:135">
      <c r="A1629" s="28" t="s">
        <v>31123</v>
      </c>
      <c r="B1629" s="28" t="s">
        <v>31124</v>
      </c>
      <c r="C1629" s="28" t="s">
        <v>138</v>
      </c>
      <c r="D1629" s="28" t="s">
        <v>31125</v>
      </c>
      <c r="E1629" s="28" t="s">
        <v>31126</v>
      </c>
      <c r="F1629" s="28" t="s">
        <v>31123</v>
      </c>
      <c r="G1629" s="28" t="s">
        <v>31127</v>
      </c>
      <c r="H1629" s="28" t="s">
        <v>141</v>
      </c>
      <c r="I1629" s="28" t="s">
        <v>212</v>
      </c>
      <c r="J1629" s="28" t="s">
        <v>213</v>
      </c>
      <c r="K1629" s="28" t="s">
        <v>1064</v>
      </c>
      <c r="L1629" s="28" t="s">
        <v>415</v>
      </c>
      <c r="M1629" s="28" t="s">
        <v>31128</v>
      </c>
      <c r="N1629" s="28" t="s">
        <v>147</v>
      </c>
      <c r="O1629" s="29">
        <v>16.11</v>
      </c>
      <c r="P1629" s="28" t="s">
        <v>148</v>
      </c>
      <c r="Q1629" s="28" t="s">
        <v>149</v>
      </c>
      <c r="R1629" s="28" t="s">
        <v>174</v>
      </c>
      <c r="S1629" s="28" t="s">
        <v>31129</v>
      </c>
      <c r="T1629" s="30">
        <v>80</v>
      </c>
      <c r="U1629" s="28" t="s">
        <v>31130</v>
      </c>
      <c r="V1629" s="28" t="s">
        <v>138</v>
      </c>
      <c r="W1629" s="28" t="s">
        <v>138</v>
      </c>
      <c r="X1629" s="31">
        <v>2013</v>
      </c>
      <c r="Y1629" s="28" t="s">
        <v>138</v>
      </c>
      <c r="Z1629" s="28" t="s">
        <v>138</v>
      </c>
      <c r="AA1629" s="28" t="s">
        <v>138</v>
      </c>
      <c r="AB1629" s="32" t="s">
        <v>138</v>
      </c>
      <c r="AC1629" s="32" t="s">
        <v>138</v>
      </c>
      <c r="AD1629" s="32" t="s">
        <v>138</v>
      </c>
      <c r="AE1629" s="32" t="s">
        <v>138</v>
      </c>
      <c r="AF1629" s="32" t="s">
        <v>138</v>
      </c>
      <c r="AG1629" s="28" t="s">
        <v>138</v>
      </c>
      <c r="AH1629" s="32" t="s">
        <v>138</v>
      </c>
      <c r="AI1629" s="32" t="s">
        <v>138</v>
      </c>
      <c r="AJ1629" s="32" t="s">
        <v>138</v>
      </c>
      <c r="AK1629" s="28" t="s">
        <v>31131</v>
      </c>
      <c r="AL1629" s="28" t="s">
        <v>31132</v>
      </c>
      <c r="AM1629" s="28" t="s">
        <v>221</v>
      </c>
      <c r="AN1629" s="28" t="s">
        <v>31133</v>
      </c>
      <c r="AO1629" s="28" t="s">
        <v>31134</v>
      </c>
      <c r="AP1629" s="28" t="s">
        <v>3881</v>
      </c>
      <c r="AQ1629" s="28" t="s">
        <v>31135</v>
      </c>
      <c r="AR1629" s="28" t="s">
        <v>3138</v>
      </c>
      <c r="AS1629" s="28" t="s">
        <v>3428</v>
      </c>
      <c r="AT1629" s="28" t="s">
        <v>3883</v>
      </c>
      <c r="AU1629" s="28" t="s">
        <v>9632</v>
      </c>
      <c r="AV1629" s="28" t="s">
        <v>162</v>
      </c>
      <c r="AW1629" s="28" t="s">
        <v>31134</v>
      </c>
      <c r="AX1629" s="28" t="s">
        <v>138</v>
      </c>
      <c r="AY1629" s="28" t="s">
        <v>31136</v>
      </c>
      <c r="AZ1629" s="28" t="s">
        <v>164</v>
      </c>
      <c r="BA1629" s="28" t="s">
        <v>165</v>
      </c>
      <c r="BB1629" s="28" t="s">
        <v>31137</v>
      </c>
      <c r="BC1629" s="28" t="s">
        <v>31138</v>
      </c>
      <c r="BD1629" s="33">
        <v>10</v>
      </c>
      <c r="BE1629" s="28" t="s">
        <v>138</v>
      </c>
      <c r="BF1629" s="28" t="s">
        <v>138</v>
      </c>
      <c r="BG1629" s="28" t="s">
        <v>138</v>
      </c>
      <c r="BH1629" s="28" t="s">
        <v>31139</v>
      </c>
      <c r="BI1629" s="28" t="s">
        <v>138</v>
      </c>
      <c r="BJ1629" s="28" t="s">
        <v>138</v>
      </c>
      <c r="BK1629" s="28" t="s">
        <v>31140</v>
      </c>
      <c r="BL1629" s="28" t="s">
        <v>138</v>
      </c>
      <c r="BM1629" s="34">
        <v>42186</v>
      </c>
      <c r="BN1629" s="29">
        <v>1</v>
      </c>
      <c r="BO1629" s="28" t="s">
        <v>172</v>
      </c>
      <c r="BP1629" s="29" t="s">
        <v>138</v>
      </c>
      <c r="BQ1629" s="28" t="s">
        <v>138</v>
      </c>
      <c r="BR1629" s="28" t="s">
        <v>234</v>
      </c>
      <c r="BS1629" s="28" t="s">
        <v>234</v>
      </c>
      <c r="BT1629" s="28" t="s">
        <v>138</v>
      </c>
      <c r="BU1629" s="28" t="s">
        <v>174</v>
      </c>
      <c r="BV1629" s="28" t="s">
        <v>138</v>
      </c>
      <c r="BW1629" s="28" t="s">
        <v>138</v>
      </c>
      <c r="BX1629" s="28" t="s">
        <v>138</v>
      </c>
      <c r="BY1629" s="28" t="s">
        <v>175</v>
      </c>
      <c r="BZ1629" s="34">
        <v>43353</v>
      </c>
      <c r="CA1629" s="29">
        <v>9</v>
      </c>
      <c r="CB1629" s="28" t="s">
        <v>172</v>
      </c>
      <c r="CC1629" s="29" t="s">
        <v>138</v>
      </c>
      <c r="CD1629" s="28" t="s">
        <v>138</v>
      </c>
      <c r="CE1629" s="28" t="s">
        <v>205</v>
      </c>
      <c r="CF1629" s="28" t="s">
        <v>623</v>
      </c>
      <c r="CG1629" s="28" t="s">
        <v>138</v>
      </c>
      <c r="CH1629" s="28" t="s">
        <v>174</v>
      </c>
      <c r="CI1629" s="28" t="s">
        <v>138</v>
      </c>
      <c r="CJ1629" s="28" t="s">
        <v>138</v>
      </c>
      <c r="CK1629" s="28" t="s">
        <v>138</v>
      </c>
      <c r="CL1629" s="28" t="s">
        <v>175</v>
      </c>
      <c r="CM1629" s="34" t="s">
        <v>138</v>
      </c>
      <c r="CN1629" s="29" t="s">
        <v>138</v>
      </c>
      <c r="CO1629" s="35">
        <v>-0.02</v>
      </c>
      <c r="CP1629" s="36">
        <v>24</v>
      </c>
      <c r="CQ1629" s="35">
        <v>0</v>
      </c>
      <c r="CR1629" s="35">
        <v>13.46</v>
      </c>
      <c r="CS1629" s="35">
        <v>0</v>
      </c>
      <c r="CT1629" s="36">
        <v>23</v>
      </c>
      <c r="CU1629" s="35">
        <v>-0.05</v>
      </c>
      <c r="CV1629" s="36">
        <v>9</v>
      </c>
      <c r="CW1629" s="35">
        <v>0</v>
      </c>
      <c r="CX1629" s="36">
        <v>13</v>
      </c>
      <c r="CY1629" s="35" t="s">
        <v>138</v>
      </c>
      <c r="CZ1629" s="36" t="s">
        <v>138</v>
      </c>
      <c r="DA1629" s="35">
        <v>-0.05</v>
      </c>
      <c r="DB1629" s="36">
        <v>13</v>
      </c>
      <c r="DC1629" s="37">
        <v>4.95</v>
      </c>
      <c r="DD1629" s="36">
        <v>83</v>
      </c>
      <c r="DE1629" s="37">
        <v>-0.03</v>
      </c>
      <c r="DF1629" s="35">
        <v>-0.66</v>
      </c>
      <c r="DG1629" s="37">
        <v>0.8</v>
      </c>
      <c r="DH1629" s="36">
        <v>46</v>
      </c>
      <c r="DI1629" s="37">
        <v>9.1</v>
      </c>
      <c r="DJ1629" s="36">
        <v>84</v>
      </c>
      <c r="DK1629" s="37">
        <v>0.8</v>
      </c>
      <c r="DL1629" s="36">
        <v>45</v>
      </c>
      <c r="DM1629" s="37" t="s">
        <v>138</v>
      </c>
      <c r="DN1629" s="36" t="s">
        <v>138</v>
      </c>
      <c r="DO1629" s="37">
        <v>9.1</v>
      </c>
      <c r="DP1629" s="36">
        <v>86</v>
      </c>
      <c r="DQ1629" s="36">
        <v>293</v>
      </c>
      <c r="DR1629" s="38">
        <v>-54</v>
      </c>
      <c r="DS1629" s="35">
        <v>-15.56</v>
      </c>
      <c r="DT1629" s="36" t="s">
        <v>138</v>
      </c>
      <c r="DU1629" s="38" t="s">
        <v>138</v>
      </c>
      <c r="DV1629" s="35" t="s">
        <v>138</v>
      </c>
      <c r="DW1629" s="36">
        <v>3262</v>
      </c>
      <c r="DX1629" s="39">
        <v>-1</v>
      </c>
      <c r="DY1629" s="35">
        <v>-0.03</v>
      </c>
      <c r="DZ1629" s="28" t="s">
        <v>178</v>
      </c>
      <c r="EA1629" s="34">
        <v>43475</v>
      </c>
      <c r="EB1629" s="29">
        <v>12.67</v>
      </c>
      <c r="EC1629" s="34">
        <v>42636</v>
      </c>
      <c r="ED1629" s="28" t="s">
        <v>205</v>
      </c>
      <c r="EE1629" s="40" t="str">
        <f>HYPERLINK("https://my.pitchbook.com?c=119019-43", "View company online")</f>
        <v>View company online</v>
      </c>
    </row>
    <row r="1630" spans="1:135">
      <c r="A1630" s="15" t="s">
        <v>31141</v>
      </c>
      <c r="B1630" s="15" t="s">
        <v>31142</v>
      </c>
      <c r="C1630" s="15" t="s">
        <v>138</v>
      </c>
      <c r="D1630" s="15" t="s">
        <v>138</v>
      </c>
      <c r="E1630" s="15" t="s">
        <v>31143</v>
      </c>
      <c r="F1630" s="15" t="s">
        <v>31141</v>
      </c>
      <c r="G1630" s="15" t="s">
        <v>31144</v>
      </c>
      <c r="H1630" s="15" t="s">
        <v>322</v>
      </c>
      <c r="I1630" s="15" t="s">
        <v>323</v>
      </c>
      <c r="J1630" s="15" t="s">
        <v>1184</v>
      </c>
      <c r="K1630" s="15" t="s">
        <v>1185</v>
      </c>
      <c r="L1630" s="15" t="s">
        <v>215</v>
      </c>
      <c r="M1630" s="15" t="s">
        <v>31145</v>
      </c>
      <c r="N1630" s="15" t="s">
        <v>1452</v>
      </c>
      <c r="O1630" s="17">
        <v>88.53</v>
      </c>
      <c r="P1630" s="15" t="s">
        <v>148</v>
      </c>
      <c r="Q1630" s="15" t="s">
        <v>149</v>
      </c>
      <c r="R1630" s="15" t="s">
        <v>328</v>
      </c>
      <c r="S1630" s="15" t="s">
        <v>31146</v>
      </c>
      <c r="T1630" s="18">
        <v>250</v>
      </c>
      <c r="U1630" s="15" t="s">
        <v>31147</v>
      </c>
      <c r="V1630" s="15" t="s">
        <v>138</v>
      </c>
      <c r="W1630" s="15" t="s">
        <v>138</v>
      </c>
      <c r="X1630" s="19">
        <v>2010</v>
      </c>
      <c r="Y1630" s="15" t="s">
        <v>138</v>
      </c>
      <c r="Z1630" s="15" t="s">
        <v>138</v>
      </c>
      <c r="AA1630" s="15" t="s">
        <v>138</v>
      </c>
      <c r="AB1630" s="20">
        <v>55</v>
      </c>
      <c r="AC1630" s="20" t="s">
        <v>138</v>
      </c>
      <c r="AD1630" s="20" t="s">
        <v>138</v>
      </c>
      <c r="AE1630" s="20" t="s">
        <v>138</v>
      </c>
      <c r="AF1630" s="20" t="s">
        <v>138</v>
      </c>
      <c r="AG1630" s="15" t="s">
        <v>707</v>
      </c>
      <c r="AH1630" s="20" t="s">
        <v>138</v>
      </c>
      <c r="AI1630" s="20" t="s">
        <v>138</v>
      </c>
      <c r="AJ1630" s="20" t="s">
        <v>138</v>
      </c>
      <c r="AK1630" s="15" t="s">
        <v>31148</v>
      </c>
      <c r="AL1630" s="15" t="s">
        <v>31149</v>
      </c>
      <c r="AM1630" s="15" t="s">
        <v>31150</v>
      </c>
      <c r="AN1630" s="15" t="s">
        <v>31151</v>
      </c>
      <c r="AO1630" s="15" t="s">
        <v>31152</v>
      </c>
      <c r="AP1630" s="15" t="s">
        <v>1220</v>
      </c>
      <c r="AQ1630" s="15" t="s">
        <v>2543</v>
      </c>
      <c r="AR1630" s="15" t="s">
        <v>31153</v>
      </c>
      <c r="AS1630" s="15" t="s">
        <v>1223</v>
      </c>
      <c r="AT1630" s="15" t="s">
        <v>200</v>
      </c>
      <c r="AU1630" s="15" t="s">
        <v>1484</v>
      </c>
      <c r="AV1630" s="15" t="s">
        <v>162</v>
      </c>
      <c r="AW1630" s="15" t="s">
        <v>31154</v>
      </c>
      <c r="AX1630" s="15" t="s">
        <v>138</v>
      </c>
      <c r="AY1630" s="15" t="s">
        <v>31155</v>
      </c>
      <c r="AZ1630" s="15" t="s">
        <v>164</v>
      </c>
      <c r="BA1630" s="15" t="s">
        <v>165</v>
      </c>
      <c r="BB1630" s="15" t="s">
        <v>31156</v>
      </c>
      <c r="BC1630" s="15" t="s">
        <v>31157</v>
      </c>
      <c r="BD1630" s="21">
        <v>14</v>
      </c>
      <c r="BE1630" s="15" t="s">
        <v>138</v>
      </c>
      <c r="BF1630" s="15" t="s">
        <v>138</v>
      </c>
      <c r="BG1630" s="15" t="s">
        <v>138</v>
      </c>
      <c r="BH1630" s="15" t="s">
        <v>31158</v>
      </c>
      <c r="BI1630" s="15" t="s">
        <v>138</v>
      </c>
      <c r="BJ1630" s="15" t="s">
        <v>138</v>
      </c>
      <c r="BK1630" s="15" t="s">
        <v>31159</v>
      </c>
      <c r="BL1630" s="15" t="s">
        <v>31160</v>
      </c>
      <c r="BM1630" s="22">
        <v>40511</v>
      </c>
      <c r="BN1630" s="17">
        <v>4</v>
      </c>
      <c r="BO1630" s="15" t="s">
        <v>172</v>
      </c>
      <c r="BP1630" s="17">
        <v>12</v>
      </c>
      <c r="BQ1630" s="15" t="s">
        <v>172</v>
      </c>
      <c r="BR1630" s="15" t="s">
        <v>205</v>
      </c>
      <c r="BS1630" s="15" t="s">
        <v>206</v>
      </c>
      <c r="BT1630" s="15" t="s">
        <v>138</v>
      </c>
      <c r="BU1630" s="15" t="s">
        <v>174</v>
      </c>
      <c r="BV1630" s="15" t="s">
        <v>138</v>
      </c>
      <c r="BW1630" s="15" t="s">
        <v>138</v>
      </c>
      <c r="BX1630" s="15" t="s">
        <v>138</v>
      </c>
      <c r="BY1630" s="15" t="s">
        <v>175</v>
      </c>
      <c r="BZ1630" s="22">
        <v>43278</v>
      </c>
      <c r="CA1630" s="17">
        <v>62</v>
      </c>
      <c r="CB1630" s="15" t="s">
        <v>172</v>
      </c>
      <c r="CC1630" s="17" t="s">
        <v>138</v>
      </c>
      <c r="CD1630" s="15" t="s">
        <v>138</v>
      </c>
      <c r="CE1630" s="15" t="s">
        <v>1673</v>
      </c>
      <c r="CF1630" s="15" t="s">
        <v>138</v>
      </c>
      <c r="CG1630" s="15" t="s">
        <v>138</v>
      </c>
      <c r="CH1630" s="15" t="s">
        <v>351</v>
      </c>
      <c r="CI1630" s="15" t="s">
        <v>5777</v>
      </c>
      <c r="CJ1630" s="15" t="s">
        <v>1498</v>
      </c>
      <c r="CK1630" s="15" t="s">
        <v>138</v>
      </c>
      <c r="CL1630" s="15" t="s">
        <v>175</v>
      </c>
      <c r="CM1630" s="22">
        <v>43278</v>
      </c>
      <c r="CN1630" s="17">
        <v>25</v>
      </c>
      <c r="CO1630" s="23">
        <v>-0.01</v>
      </c>
      <c r="CP1630" s="24">
        <v>25</v>
      </c>
      <c r="CQ1630" s="23">
        <v>0.01</v>
      </c>
      <c r="CR1630" s="23">
        <v>53.27</v>
      </c>
      <c r="CS1630" s="23">
        <v>-0.57999999999999996</v>
      </c>
      <c r="CT1630" s="24">
        <v>19</v>
      </c>
      <c r="CU1630" s="23">
        <v>0.56000000000000005</v>
      </c>
      <c r="CV1630" s="24">
        <v>94</v>
      </c>
      <c r="CW1630" s="23">
        <v>0.67</v>
      </c>
      <c r="CX1630" s="24">
        <v>83</v>
      </c>
      <c r="CY1630" s="23">
        <v>-1.82</v>
      </c>
      <c r="CZ1630" s="24">
        <v>12</v>
      </c>
      <c r="DA1630" s="23">
        <v>0.56000000000000005</v>
      </c>
      <c r="DB1630" s="24">
        <v>95</v>
      </c>
      <c r="DC1630" s="25">
        <v>87.17</v>
      </c>
      <c r="DD1630" s="24">
        <v>99</v>
      </c>
      <c r="DE1630" s="25">
        <v>-1.71</v>
      </c>
      <c r="DF1630" s="23">
        <v>-1.92</v>
      </c>
      <c r="DG1630" s="25">
        <v>84.43</v>
      </c>
      <c r="DH1630" s="24">
        <v>99</v>
      </c>
      <c r="DI1630" s="25">
        <v>89.92</v>
      </c>
      <c r="DJ1630" s="24">
        <v>97</v>
      </c>
      <c r="DK1630" s="25">
        <v>69.78</v>
      </c>
      <c r="DL1630" s="24">
        <v>97</v>
      </c>
      <c r="DM1630" s="25">
        <v>99.07</v>
      </c>
      <c r="DN1630" s="24">
        <v>99</v>
      </c>
      <c r="DO1630" s="25">
        <v>89.92</v>
      </c>
      <c r="DP1630" s="24">
        <v>98</v>
      </c>
      <c r="DQ1630" s="24">
        <v>24021</v>
      </c>
      <c r="DR1630" s="26">
        <v>-261</v>
      </c>
      <c r="DS1630" s="23">
        <v>-1.07</v>
      </c>
      <c r="DT1630" s="24">
        <v>2867</v>
      </c>
      <c r="DU1630" s="26">
        <v>13</v>
      </c>
      <c r="DV1630" s="23">
        <v>0.46</v>
      </c>
      <c r="DW1630" s="24">
        <v>32144</v>
      </c>
      <c r="DX1630" s="27">
        <v>155</v>
      </c>
      <c r="DY1630" s="23">
        <v>0.48</v>
      </c>
      <c r="DZ1630" s="15" t="s">
        <v>178</v>
      </c>
      <c r="EA1630" s="22">
        <v>43622</v>
      </c>
      <c r="EB1630" s="17">
        <v>188.37</v>
      </c>
      <c r="EC1630" s="22">
        <v>42031</v>
      </c>
      <c r="ED1630" s="15" t="s">
        <v>173</v>
      </c>
      <c r="EE1630" s="14" t="str">
        <f>HYPERLINK("https://my.pitchbook.com?c=51318-10", "View company online")</f>
        <v>View company online</v>
      </c>
    </row>
    <row r="1631" spans="1:135">
      <c r="A1631" s="28" t="s">
        <v>31161</v>
      </c>
      <c r="B1631" s="28" t="s">
        <v>31162</v>
      </c>
      <c r="C1631" s="28" t="s">
        <v>138</v>
      </c>
      <c r="D1631" s="28" t="s">
        <v>138</v>
      </c>
      <c r="E1631" s="28" t="s">
        <v>138</v>
      </c>
      <c r="F1631" s="28" t="s">
        <v>31161</v>
      </c>
      <c r="G1631" s="28" t="s">
        <v>31163</v>
      </c>
      <c r="H1631" s="28" t="s">
        <v>141</v>
      </c>
      <c r="I1631" s="28" t="s">
        <v>212</v>
      </c>
      <c r="J1631" s="28" t="s">
        <v>3169</v>
      </c>
      <c r="K1631" s="28" t="s">
        <v>31164</v>
      </c>
      <c r="L1631" s="28" t="s">
        <v>1104</v>
      </c>
      <c r="M1631" s="28" t="s">
        <v>31165</v>
      </c>
      <c r="N1631" s="28" t="s">
        <v>2487</v>
      </c>
      <c r="O1631" s="29" t="s">
        <v>138</v>
      </c>
      <c r="P1631" s="28" t="s">
        <v>148</v>
      </c>
      <c r="Q1631" s="28" t="s">
        <v>149</v>
      </c>
      <c r="R1631" s="28" t="s">
        <v>174</v>
      </c>
      <c r="S1631" s="28" t="s">
        <v>31166</v>
      </c>
      <c r="T1631" s="30" t="s">
        <v>138</v>
      </c>
      <c r="U1631" s="28" t="s">
        <v>138</v>
      </c>
      <c r="V1631" s="28" t="s">
        <v>138</v>
      </c>
      <c r="W1631" s="28" t="s">
        <v>138</v>
      </c>
      <c r="X1631" s="31">
        <v>2017</v>
      </c>
      <c r="Y1631" s="28" t="s">
        <v>138</v>
      </c>
      <c r="Z1631" s="28" t="s">
        <v>138</v>
      </c>
      <c r="AA1631" s="28" t="s">
        <v>138</v>
      </c>
      <c r="AB1631" s="32" t="s">
        <v>138</v>
      </c>
      <c r="AC1631" s="32" t="s">
        <v>138</v>
      </c>
      <c r="AD1631" s="32" t="s">
        <v>138</v>
      </c>
      <c r="AE1631" s="32" t="s">
        <v>138</v>
      </c>
      <c r="AF1631" s="32" t="s">
        <v>138</v>
      </c>
      <c r="AG1631" s="28" t="s">
        <v>138</v>
      </c>
      <c r="AH1631" s="32" t="s">
        <v>138</v>
      </c>
      <c r="AI1631" s="32" t="s">
        <v>138</v>
      </c>
      <c r="AJ1631" s="32" t="s">
        <v>138</v>
      </c>
      <c r="AK1631" s="28" t="s">
        <v>31167</v>
      </c>
      <c r="AL1631" s="28" t="s">
        <v>31168</v>
      </c>
      <c r="AM1631" s="28" t="s">
        <v>5401</v>
      </c>
      <c r="AN1631" s="28" t="s">
        <v>31169</v>
      </c>
      <c r="AO1631" s="28" t="s">
        <v>31170</v>
      </c>
      <c r="AP1631" s="28" t="s">
        <v>31171</v>
      </c>
      <c r="AQ1631" s="28" t="s">
        <v>31172</v>
      </c>
      <c r="AR1631" s="28" t="s">
        <v>138</v>
      </c>
      <c r="AS1631" s="28" t="s">
        <v>31173</v>
      </c>
      <c r="AT1631" s="28" t="s">
        <v>200</v>
      </c>
      <c r="AU1631" s="28" t="s">
        <v>31174</v>
      </c>
      <c r="AV1631" s="28" t="s">
        <v>162</v>
      </c>
      <c r="AW1631" s="28" t="s">
        <v>31170</v>
      </c>
      <c r="AX1631" s="28" t="s">
        <v>138</v>
      </c>
      <c r="AY1631" s="28" t="s">
        <v>138</v>
      </c>
      <c r="AZ1631" s="28" t="s">
        <v>164</v>
      </c>
      <c r="BA1631" s="28" t="s">
        <v>165</v>
      </c>
      <c r="BB1631" s="28" t="s">
        <v>31175</v>
      </c>
      <c r="BC1631" s="28" t="s">
        <v>3186</v>
      </c>
      <c r="BD1631" s="33">
        <v>1</v>
      </c>
      <c r="BE1631" s="28" t="s">
        <v>138</v>
      </c>
      <c r="BF1631" s="28" t="s">
        <v>138</v>
      </c>
      <c r="BG1631" s="28" t="s">
        <v>138</v>
      </c>
      <c r="BH1631" s="28" t="s">
        <v>138</v>
      </c>
      <c r="BI1631" s="28" t="s">
        <v>138</v>
      </c>
      <c r="BJ1631" s="28" t="s">
        <v>138</v>
      </c>
      <c r="BK1631" s="28" t="s">
        <v>138</v>
      </c>
      <c r="BL1631" s="28" t="s">
        <v>138</v>
      </c>
      <c r="BM1631" s="34">
        <v>43311</v>
      </c>
      <c r="BN1631" s="29">
        <v>0.25</v>
      </c>
      <c r="BO1631" s="28" t="s">
        <v>172</v>
      </c>
      <c r="BP1631" s="29" t="s">
        <v>138</v>
      </c>
      <c r="BQ1631" s="28" t="s">
        <v>138</v>
      </c>
      <c r="BR1631" s="28" t="s">
        <v>234</v>
      </c>
      <c r="BS1631" s="28" t="s">
        <v>234</v>
      </c>
      <c r="BT1631" s="28" t="s">
        <v>138</v>
      </c>
      <c r="BU1631" s="28" t="s">
        <v>174</v>
      </c>
      <c r="BV1631" s="28" t="s">
        <v>264</v>
      </c>
      <c r="BW1631" s="28" t="s">
        <v>138</v>
      </c>
      <c r="BX1631" s="28" t="s">
        <v>138</v>
      </c>
      <c r="BY1631" s="28" t="s">
        <v>175</v>
      </c>
      <c r="BZ1631" s="34">
        <v>43311</v>
      </c>
      <c r="CA1631" s="29">
        <v>0.25</v>
      </c>
      <c r="CB1631" s="28" t="s">
        <v>172</v>
      </c>
      <c r="CC1631" s="29" t="s">
        <v>138</v>
      </c>
      <c r="CD1631" s="28" t="s">
        <v>138</v>
      </c>
      <c r="CE1631" s="28" t="s">
        <v>234</v>
      </c>
      <c r="CF1631" s="28" t="s">
        <v>234</v>
      </c>
      <c r="CG1631" s="28" t="s">
        <v>138</v>
      </c>
      <c r="CH1631" s="28" t="s">
        <v>174</v>
      </c>
      <c r="CI1631" s="28" t="s">
        <v>264</v>
      </c>
      <c r="CJ1631" s="28" t="s">
        <v>138</v>
      </c>
      <c r="CK1631" s="28" t="s">
        <v>138</v>
      </c>
      <c r="CL1631" s="28" t="s">
        <v>175</v>
      </c>
      <c r="CM1631" s="34" t="s">
        <v>138</v>
      </c>
      <c r="CN1631" s="29" t="s">
        <v>138</v>
      </c>
      <c r="CO1631" s="35">
        <v>0</v>
      </c>
      <c r="CP1631" s="36">
        <v>26</v>
      </c>
      <c r="CQ1631" s="35">
        <v>0</v>
      </c>
      <c r="CR1631" s="35">
        <v>0</v>
      </c>
      <c r="CS1631" s="35">
        <v>0</v>
      </c>
      <c r="CT1631" s="36">
        <v>23</v>
      </c>
      <c r="CU1631" s="35" t="s">
        <v>138</v>
      </c>
      <c r="CV1631" s="36" t="s">
        <v>138</v>
      </c>
      <c r="CW1631" s="35">
        <v>0</v>
      </c>
      <c r="CX1631" s="36">
        <v>13</v>
      </c>
      <c r="CY1631" s="35" t="s">
        <v>138</v>
      </c>
      <c r="CZ1631" s="36" t="s">
        <v>138</v>
      </c>
      <c r="DA1631" s="35" t="s">
        <v>138</v>
      </c>
      <c r="DB1631" s="36" t="s">
        <v>138</v>
      </c>
      <c r="DC1631" s="37">
        <v>0.22</v>
      </c>
      <c r="DD1631" s="36">
        <v>17</v>
      </c>
      <c r="DE1631" s="37">
        <v>-0.03</v>
      </c>
      <c r="DF1631" s="35">
        <v>-11.37</v>
      </c>
      <c r="DG1631" s="37">
        <v>0.22</v>
      </c>
      <c r="DH1631" s="36">
        <v>18</v>
      </c>
      <c r="DI1631" s="37" t="s">
        <v>138</v>
      </c>
      <c r="DJ1631" s="36" t="s">
        <v>138</v>
      </c>
      <c r="DK1631" s="37">
        <v>0.22</v>
      </c>
      <c r="DL1631" s="36">
        <v>16</v>
      </c>
      <c r="DM1631" s="37" t="s">
        <v>138</v>
      </c>
      <c r="DN1631" s="36" t="s">
        <v>138</v>
      </c>
      <c r="DO1631" s="37" t="s">
        <v>138</v>
      </c>
      <c r="DP1631" s="36" t="s">
        <v>138</v>
      </c>
      <c r="DQ1631" s="36">
        <v>81</v>
      </c>
      <c r="DR1631" s="38">
        <v>-20</v>
      </c>
      <c r="DS1631" s="35">
        <v>-19.8</v>
      </c>
      <c r="DT1631" s="36" t="s">
        <v>138</v>
      </c>
      <c r="DU1631" s="38" t="s">
        <v>138</v>
      </c>
      <c r="DV1631" s="35" t="s">
        <v>138</v>
      </c>
      <c r="DW1631" s="36" t="s">
        <v>138</v>
      </c>
      <c r="DX1631" s="39" t="s">
        <v>138</v>
      </c>
      <c r="DY1631" s="35" t="s">
        <v>138</v>
      </c>
      <c r="DZ1631" s="28" t="s">
        <v>178</v>
      </c>
      <c r="EA1631" s="34">
        <v>43521</v>
      </c>
      <c r="EB1631" s="29" t="s">
        <v>138</v>
      </c>
      <c r="EC1631" s="34" t="s">
        <v>138</v>
      </c>
      <c r="ED1631" s="28" t="s">
        <v>138</v>
      </c>
      <c r="EE1631" s="40" t="str">
        <f>HYPERLINK("https://my.pitchbook.com?c=231471-73", "View company online")</f>
        <v>View company online</v>
      </c>
    </row>
    <row r="1632" spans="1:135">
      <c r="A1632" s="15" t="s">
        <v>31176</v>
      </c>
      <c r="B1632" s="15" t="s">
        <v>31177</v>
      </c>
      <c r="C1632" s="15" t="s">
        <v>138</v>
      </c>
      <c r="D1632" s="15" t="s">
        <v>31178</v>
      </c>
      <c r="E1632" s="15" t="s">
        <v>138</v>
      </c>
      <c r="F1632" s="15" t="s">
        <v>31176</v>
      </c>
      <c r="G1632" s="15" t="s">
        <v>31179</v>
      </c>
      <c r="H1632" s="15" t="s">
        <v>141</v>
      </c>
      <c r="I1632" s="15" t="s">
        <v>212</v>
      </c>
      <c r="J1632" s="15" t="s">
        <v>213</v>
      </c>
      <c r="K1632" s="15" t="s">
        <v>8117</v>
      </c>
      <c r="L1632" s="15" t="s">
        <v>415</v>
      </c>
      <c r="M1632" s="15" t="s">
        <v>31180</v>
      </c>
      <c r="N1632" s="15" t="s">
        <v>147</v>
      </c>
      <c r="O1632" s="17">
        <v>27.03</v>
      </c>
      <c r="P1632" s="15" t="s">
        <v>148</v>
      </c>
      <c r="Q1632" s="15" t="s">
        <v>149</v>
      </c>
      <c r="R1632" s="15" t="s">
        <v>174</v>
      </c>
      <c r="S1632" s="15" t="s">
        <v>31181</v>
      </c>
      <c r="T1632" s="18">
        <v>200</v>
      </c>
      <c r="U1632" s="15" t="s">
        <v>31182</v>
      </c>
      <c r="V1632" s="15" t="s">
        <v>138</v>
      </c>
      <c r="W1632" s="15" t="s">
        <v>138</v>
      </c>
      <c r="X1632" s="19">
        <v>2006</v>
      </c>
      <c r="Y1632" s="15" t="s">
        <v>138</v>
      </c>
      <c r="Z1632" s="15" t="s">
        <v>138</v>
      </c>
      <c r="AA1632" s="15" t="s">
        <v>138</v>
      </c>
      <c r="AB1632" s="20" t="s">
        <v>138</v>
      </c>
      <c r="AC1632" s="20" t="s">
        <v>138</v>
      </c>
      <c r="AD1632" s="20" t="s">
        <v>138</v>
      </c>
      <c r="AE1632" s="20" t="s">
        <v>138</v>
      </c>
      <c r="AF1632" s="20" t="s">
        <v>138</v>
      </c>
      <c r="AG1632" s="15" t="s">
        <v>138</v>
      </c>
      <c r="AH1632" s="20" t="s">
        <v>138</v>
      </c>
      <c r="AI1632" s="20" t="s">
        <v>138</v>
      </c>
      <c r="AJ1632" s="20" t="s">
        <v>138</v>
      </c>
      <c r="AK1632" s="15" t="s">
        <v>31183</v>
      </c>
      <c r="AL1632" s="15" t="s">
        <v>31184</v>
      </c>
      <c r="AM1632" s="15" t="s">
        <v>31185</v>
      </c>
      <c r="AN1632" s="15" t="s">
        <v>31186</v>
      </c>
      <c r="AO1632" s="15" t="s">
        <v>138</v>
      </c>
      <c r="AP1632" s="15" t="s">
        <v>1870</v>
      </c>
      <c r="AQ1632" s="15" t="s">
        <v>31187</v>
      </c>
      <c r="AR1632" s="15" t="s">
        <v>31188</v>
      </c>
      <c r="AS1632" s="15" t="s">
        <v>1872</v>
      </c>
      <c r="AT1632" s="15" t="s">
        <v>200</v>
      </c>
      <c r="AU1632" s="15" t="s">
        <v>1769</v>
      </c>
      <c r="AV1632" s="15" t="s">
        <v>162</v>
      </c>
      <c r="AW1632" s="15" t="s">
        <v>138</v>
      </c>
      <c r="AX1632" s="15" t="s">
        <v>138</v>
      </c>
      <c r="AY1632" s="15" t="s">
        <v>138</v>
      </c>
      <c r="AZ1632" s="15" t="s">
        <v>164</v>
      </c>
      <c r="BA1632" s="15" t="s">
        <v>165</v>
      </c>
      <c r="BB1632" s="15" t="s">
        <v>31189</v>
      </c>
      <c r="BC1632" s="15" t="s">
        <v>31190</v>
      </c>
      <c r="BD1632" s="21">
        <v>18</v>
      </c>
      <c r="BE1632" s="15" t="s">
        <v>138</v>
      </c>
      <c r="BF1632" s="15" t="s">
        <v>138</v>
      </c>
      <c r="BG1632" s="15" t="s">
        <v>138</v>
      </c>
      <c r="BH1632" s="15" t="s">
        <v>31191</v>
      </c>
      <c r="BI1632" s="15" t="s">
        <v>138</v>
      </c>
      <c r="BJ1632" s="15" t="s">
        <v>138</v>
      </c>
      <c r="BK1632" s="15" t="s">
        <v>31192</v>
      </c>
      <c r="BL1632" s="15" t="s">
        <v>1691</v>
      </c>
      <c r="BM1632" s="22">
        <v>40909</v>
      </c>
      <c r="BN1632" s="17" t="s">
        <v>138</v>
      </c>
      <c r="BO1632" s="15" t="s">
        <v>138</v>
      </c>
      <c r="BP1632" s="17" t="s">
        <v>138</v>
      </c>
      <c r="BQ1632" s="15" t="s">
        <v>138</v>
      </c>
      <c r="BR1632" s="15" t="s">
        <v>234</v>
      </c>
      <c r="BS1632" s="15" t="s">
        <v>234</v>
      </c>
      <c r="BT1632" s="15" t="s">
        <v>138</v>
      </c>
      <c r="BU1632" s="15" t="s">
        <v>174</v>
      </c>
      <c r="BV1632" s="15" t="s">
        <v>138</v>
      </c>
      <c r="BW1632" s="15" t="s">
        <v>138</v>
      </c>
      <c r="BX1632" s="15" t="s">
        <v>138</v>
      </c>
      <c r="BY1632" s="15" t="s">
        <v>175</v>
      </c>
      <c r="BZ1632" s="22">
        <v>42913</v>
      </c>
      <c r="CA1632" s="17">
        <v>15</v>
      </c>
      <c r="CB1632" s="15" t="s">
        <v>172</v>
      </c>
      <c r="CC1632" s="17">
        <v>115</v>
      </c>
      <c r="CD1632" s="15" t="s">
        <v>1178</v>
      </c>
      <c r="CE1632" s="15" t="s">
        <v>173</v>
      </c>
      <c r="CF1632" s="15" t="s">
        <v>317</v>
      </c>
      <c r="CG1632" s="15" t="s">
        <v>138</v>
      </c>
      <c r="CH1632" s="15" t="s">
        <v>174</v>
      </c>
      <c r="CI1632" s="15" t="s">
        <v>138</v>
      </c>
      <c r="CJ1632" s="15" t="s">
        <v>138</v>
      </c>
      <c r="CK1632" s="15" t="s">
        <v>138</v>
      </c>
      <c r="CL1632" s="15" t="s">
        <v>175</v>
      </c>
      <c r="CM1632" s="22" t="s">
        <v>138</v>
      </c>
      <c r="CN1632" s="17" t="s">
        <v>138</v>
      </c>
      <c r="CO1632" s="23">
        <v>-0.36</v>
      </c>
      <c r="CP1632" s="24">
        <v>18</v>
      </c>
      <c r="CQ1632" s="23">
        <v>0</v>
      </c>
      <c r="CR1632" s="23">
        <v>-0.8</v>
      </c>
      <c r="CS1632" s="23">
        <v>-0.85</v>
      </c>
      <c r="CT1632" s="24">
        <v>16</v>
      </c>
      <c r="CU1632" s="23">
        <v>0.14000000000000001</v>
      </c>
      <c r="CV1632" s="24">
        <v>74</v>
      </c>
      <c r="CW1632" s="23">
        <v>-0.85</v>
      </c>
      <c r="CX1632" s="24">
        <v>10</v>
      </c>
      <c r="CY1632" s="23" t="s">
        <v>138</v>
      </c>
      <c r="CZ1632" s="24" t="s">
        <v>138</v>
      </c>
      <c r="DA1632" s="23">
        <v>0.14000000000000001</v>
      </c>
      <c r="DB1632" s="24">
        <v>77</v>
      </c>
      <c r="DC1632" s="25">
        <v>4.8</v>
      </c>
      <c r="DD1632" s="24">
        <v>82</v>
      </c>
      <c r="DE1632" s="25">
        <v>-0.42</v>
      </c>
      <c r="DF1632" s="23">
        <v>-8.06</v>
      </c>
      <c r="DG1632" s="25">
        <v>9.94</v>
      </c>
      <c r="DH1632" s="24">
        <v>89</v>
      </c>
      <c r="DI1632" s="25">
        <v>4.08</v>
      </c>
      <c r="DJ1632" s="24">
        <v>74</v>
      </c>
      <c r="DK1632" s="25">
        <v>9.94</v>
      </c>
      <c r="DL1632" s="24">
        <v>87</v>
      </c>
      <c r="DM1632" s="25" t="s">
        <v>138</v>
      </c>
      <c r="DN1632" s="24" t="s">
        <v>138</v>
      </c>
      <c r="DO1632" s="25">
        <v>4.08</v>
      </c>
      <c r="DP1632" s="24">
        <v>76</v>
      </c>
      <c r="DQ1632" s="24">
        <v>3369</v>
      </c>
      <c r="DR1632" s="26">
        <v>127</v>
      </c>
      <c r="DS1632" s="23">
        <v>3.92</v>
      </c>
      <c r="DT1632" s="24" t="s">
        <v>138</v>
      </c>
      <c r="DU1632" s="26" t="s">
        <v>138</v>
      </c>
      <c r="DV1632" s="23" t="s">
        <v>138</v>
      </c>
      <c r="DW1632" s="24">
        <v>1461</v>
      </c>
      <c r="DX1632" s="27">
        <v>0</v>
      </c>
      <c r="DY1632" s="23">
        <v>0</v>
      </c>
      <c r="DZ1632" s="15" t="s">
        <v>178</v>
      </c>
      <c r="EA1632" s="22">
        <v>43591</v>
      </c>
      <c r="EB1632" s="17">
        <v>115</v>
      </c>
      <c r="EC1632" s="22">
        <v>42913</v>
      </c>
      <c r="ED1632" s="15" t="s">
        <v>173</v>
      </c>
      <c r="EE1632" s="14" t="str">
        <f>HYPERLINK("https://my.pitchbook.com?c=55035-46", "View company online")</f>
        <v>View company online</v>
      </c>
    </row>
    <row r="1633" spans="1:135">
      <c r="A1633" s="28" t="s">
        <v>31193</v>
      </c>
      <c r="B1633" s="28" t="s">
        <v>31194</v>
      </c>
      <c r="C1633" s="28" t="s">
        <v>138</v>
      </c>
      <c r="D1633" s="28" t="s">
        <v>138</v>
      </c>
      <c r="E1633" s="28" t="s">
        <v>138</v>
      </c>
      <c r="F1633" s="28" t="s">
        <v>31193</v>
      </c>
      <c r="G1633" s="28" t="s">
        <v>31195</v>
      </c>
      <c r="H1633" s="28" t="s">
        <v>322</v>
      </c>
      <c r="I1633" s="28" t="s">
        <v>323</v>
      </c>
      <c r="J1633" s="28" t="s">
        <v>413</v>
      </c>
      <c r="K1633" s="28" t="s">
        <v>31196</v>
      </c>
      <c r="L1633" s="28" t="s">
        <v>683</v>
      </c>
      <c r="M1633" s="28" t="s">
        <v>31197</v>
      </c>
      <c r="N1633" s="28" t="s">
        <v>147</v>
      </c>
      <c r="O1633" s="29">
        <v>3</v>
      </c>
      <c r="P1633" s="28" t="s">
        <v>148</v>
      </c>
      <c r="Q1633" s="28" t="s">
        <v>149</v>
      </c>
      <c r="R1633" s="28" t="s">
        <v>174</v>
      </c>
      <c r="S1633" s="28" t="s">
        <v>31198</v>
      </c>
      <c r="T1633" s="30">
        <v>11</v>
      </c>
      <c r="U1633" s="28" t="s">
        <v>1356</v>
      </c>
      <c r="V1633" s="28" t="s">
        <v>138</v>
      </c>
      <c r="W1633" s="28" t="s">
        <v>138</v>
      </c>
      <c r="X1633" s="31">
        <v>2015</v>
      </c>
      <c r="Y1633" s="28" t="s">
        <v>138</v>
      </c>
      <c r="Z1633" s="28" t="s">
        <v>138</v>
      </c>
      <c r="AA1633" s="28" t="s">
        <v>138</v>
      </c>
      <c r="AB1633" s="32" t="s">
        <v>138</v>
      </c>
      <c r="AC1633" s="32" t="s">
        <v>138</v>
      </c>
      <c r="AD1633" s="32" t="s">
        <v>138</v>
      </c>
      <c r="AE1633" s="32" t="s">
        <v>138</v>
      </c>
      <c r="AF1633" s="32" t="s">
        <v>138</v>
      </c>
      <c r="AG1633" s="28" t="s">
        <v>138</v>
      </c>
      <c r="AH1633" s="32" t="s">
        <v>138</v>
      </c>
      <c r="AI1633" s="32" t="s">
        <v>138</v>
      </c>
      <c r="AJ1633" s="32" t="s">
        <v>138</v>
      </c>
      <c r="AK1633" s="28" t="s">
        <v>31199</v>
      </c>
      <c r="AL1633" s="28" t="s">
        <v>31200</v>
      </c>
      <c r="AM1633" s="28" t="s">
        <v>249</v>
      </c>
      <c r="AN1633" s="28" t="s">
        <v>31201</v>
      </c>
      <c r="AO1633" s="28" t="s">
        <v>138</v>
      </c>
      <c r="AP1633" s="28" t="s">
        <v>1244</v>
      </c>
      <c r="AQ1633" s="28" t="s">
        <v>4588</v>
      </c>
      <c r="AR1633" s="28" t="s">
        <v>138</v>
      </c>
      <c r="AS1633" s="28" t="s">
        <v>1246</v>
      </c>
      <c r="AT1633" s="28" t="s">
        <v>200</v>
      </c>
      <c r="AU1633" s="28" t="s">
        <v>4589</v>
      </c>
      <c r="AV1633" s="28" t="s">
        <v>162</v>
      </c>
      <c r="AW1633" s="28" t="s">
        <v>138</v>
      </c>
      <c r="AX1633" s="28" t="s">
        <v>138</v>
      </c>
      <c r="AY1633" s="28" t="s">
        <v>31202</v>
      </c>
      <c r="AZ1633" s="28" t="s">
        <v>164</v>
      </c>
      <c r="BA1633" s="28" t="s">
        <v>165</v>
      </c>
      <c r="BB1633" s="28" t="s">
        <v>31203</v>
      </c>
      <c r="BC1633" s="28" t="s">
        <v>31204</v>
      </c>
      <c r="BD1633" s="33">
        <v>5</v>
      </c>
      <c r="BE1633" s="28" t="s">
        <v>138</v>
      </c>
      <c r="BF1633" s="28" t="s">
        <v>138</v>
      </c>
      <c r="BG1633" s="28" t="s">
        <v>138</v>
      </c>
      <c r="BH1633" s="28" t="s">
        <v>31205</v>
      </c>
      <c r="BI1633" s="28" t="s">
        <v>138</v>
      </c>
      <c r="BJ1633" s="28" t="s">
        <v>138</v>
      </c>
      <c r="BK1633" s="28" t="s">
        <v>138</v>
      </c>
      <c r="BL1633" s="28" t="s">
        <v>138</v>
      </c>
      <c r="BM1633" s="34">
        <v>42125</v>
      </c>
      <c r="BN1633" s="29">
        <v>3</v>
      </c>
      <c r="BO1633" s="28" t="s">
        <v>172</v>
      </c>
      <c r="BP1633" s="29">
        <v>6.12</v>
      </c>
      <c r="BQ1633" s="28" t="s">
        <v>172</v>
      </c>
      <c r="BR1633" s="28" t="s">
        <v>234</v>
      </c>
      <c r="BS1633" s="28" t="s">
        <v>234</v>
      </c>
      <c r="BT1633" s="28" t="s">
        <v>138</v>
      </c>
      <c r="BU1633" s="28" t="s">
        <v>174</v>
      </c>
      <c r="BV1633" s="28" t="s">
        <v>138</v>
      </c>
      <c r="BW1633" s="28" t="s">
        <v>138</v>
      </c>
      <c r="BX1633" s="28" t="s">
        <v>138</v>
      </c>
      <c r="BY1633" s="28" t="s">
        <v>175</v>
      </c>
      <c r="BZ1633" s="34" t="s">
        <v>138</v>
      </c>
      <c r="CA1633" s="29" t="s">
        <v>138</v>
      </c>
      <c r="CB1633" s="28" t="s">
        <v>138</v>
      </c>
      <c r="CC1633" s="29" t="s">
        <v>138</v>
      </c>
      <c r="CD1633" s="28" t="s">
        <v>138</v>
      </c>
      <c r="CE1633" s="28" t="s">
        <v>205</v>
      </c>
      <c r="CF1633" s="28" t="s">
        <v>138</v>
      </c>
      <c r="CG1633" s="28" t="s">
        <v>138</v>
      </c>
      <c r="CH1633" s="28" t="s">
        <v>174</v>
      </c>
      <c r="CI1633" s="28" t="s">
        <v>138</v>
      </c>
      <c r="CJ1633" s="28" t="s">
        <v>138</v>
      </c>
      <c r="CK1633" s="28" t="s">
        <v>138</v>
      </c>
      <c r="CL1633" s="28" t="s">
        <v>175</v>
      </c>
      <c r="CM1633" s="34" t="s">
        <v>138</v>
      </c>
      <c r="CN1633" s="29" t="s">
        <v>138</v>
      </c>
      <c r="CO1633" s="35">
        <v>0.04</v>
      </c>
      <c r="CP1633" s="36">
        <v>87</v>
      </c>
      <c r="CQ1633" s="35">
        <v>-0.04</v>
      </c>
      <c r="CR1633" s="35">
        <v>-50</v>
      </c>
      <c r="CS1633" s="35">
        <v>0</v>
      </c>
      <c r="CT1633" s="36">
        <v>23</v>
      </c>
      <c r="CU1633" s="35" t="s">
        <v>138</v>
      </c>
      <c r="CV1633" s="36" t="s">
        <v>138</v>
      </c>
      <c r="CW1633" s="35" t="s">
        <v>138</v>
      </c>
      <c r="CX1633" s="36" t="s">
        <v>138</v>
      </c>
      <c r="CY1633" s="35">
        <v>0</v>
      </c>
      <c r="CZ1633" s="36">
        <v>25</v>
      </c>
      <c r="DA1633" s="35" t="s">
        <v>138</v>
      </c>
      <c r="DB1633" s="36" t="s">
        <v>138</v>
      </c>
      <c r="DC1633" s="37">
        <v>2.1</v>
      </c>
      <c r="DD1633" s="36">
        <v>68</v>
      </c>
      <c r="DE1633" s="37">
        <v>0.06</v>
      </c>
      <c r="DF1633" s="35">
        <v>2.88</v>
      </c>
      <c r="DG1633" s="37">
        <v>1.62</v>
      </c>
      <c r="DH1633" s="36">
        <v>62</v>
      </c>
      <c r="DI1633" s="37" t="s">
        <v>138</v>
      </c>
      <c r="DJ1633" s="36" t="s">
        <v>138</v>
      </c>
      <c r="DK1633" s="37" t="s">
        <v>138</v>
      </c>
      <c r="DL1633" s="36" t="s">
        <v>138</v>
      </c>
      <c r="DM1633" s="37">
        <v>1.62</v>
      </c>
      <c r="DN1633" s="36">
        <v>61</v>
      </c>
      <c r="DO1633" s="37" t="s">
        <v>138</v>
      </c>
      <c r="DP1633" s="36" t="s">
        <v>138</v>
      </c>
      <c r="DQ1633" s="36">
        <v>419</v>
      </c>
      <c r="DR1633" s="38">
        <v>28</v>
      </c>
      <c r="DS1633" s="35">
        <v>7.16</v>
      </c>
      <c r="DT1633" s="36">
        <v>47</v>
      </c>
      <c r="DU1633" s="38">
        <v>1</v>
      </c>
      <c r="DV1633" s="35">
        <v>2.17</v>
      </c>
      <c r="DW1633" s="36">
        <v>1095</v>
      </c>
      <c r="DX1633" s="39">
        <v>1</v>
      </c>
      <c r="DY1633" s="35">
        <v>0.09</v>
      </c>
      <c r="DZ1633" s="28" t="s">
        <v>178</v>
      </c>
      <c r="EA1633" s="34">
        <v>43351</v>
      </c>
      <c r="EB1633" s="29">
        <v>6.12</v>
      </c>
      <c r="EC1633" s="34">
        <v>42125</v>
      </c>
      <c r="ED1633" s="28" t="s">
        <v>234</v>
      </c>
      <c r="EE1633" s="40" t="str">
        <f>HYPERLINK("https://my.pitchbook.com?c=120017-71", "View company online")</f>
        <v>View company online</v>
      </c>
    </row>
    <row r="1634" spans="1:135">
      <c r="A1634" s="15" t="s">
        <v>31206</v>
      </c>
      <c r="B1634" s="15" t="s">
        <v>31207</v>
      </c>
      <c r="C1634" s="15" t="s">
        <v>138</v>
      </c>
      <c r="D1634" s="15" t="s">
        <v>138</v>
      </c>
      <c r="E1634" s="15" t="s">
        <v>31208</v>
      </c>
      <c r="F1634" s="15" t="s">
        <v>31206</v>
      </c>
      <c r="G1634" s="15" t="s">
        <v>31209</v>
      </c>
      <c r="H1634" s="15" t="s">
        <v>183</v>
      </c>
      <c r="I1634" s="15" t="s">
        <v>725</v>
      </c>
      <c r="J1634" s="15" t="s">
        <v>8492</v>
      </c>
      <c r="K1634" s="15" t="s">
        <v>8493</v>
      </c>
      <c r="L1634" s="15" t="s">
        <v>4186</v>
      </c>
      <c r="M1634" s="15" t="s">
        <v>31210</v>
      </c>
      <c r="N1634" s="15" t="s">
        <v>147</v>
      </c>
      <c r="O1634" s="17">
        <v>50.5</v>
      </c>
      <c r="P1634" s="15" t="s">
        <v>148</v>
      </c>
      <c r="Q1634" s="15" t="s">
        <v>149</v>
      </c>
      <c r="R1634" s="15" t="s">
        <v>244</v>
      </c>
      <c r="S1634" s="15" t="s">
        <v>31211</v>
      </c>
      <c r="T1634" s="18">
        <v>141</v>
      </c>
      <c r="U1634" s="15" t="s">
        <v>31212</v>
      </c>
      <c r="V1634" s="15" t="s">
        <v>138</v>
      </c>
      <c r="W1634" s="15" t="s">
        <v>138</v>
      </c>
      <c r="X1634" s="19">
        <v>1998</v>
      </c>
      <c r="Y1634" s="15" t="s">
        <v>138</v>
      </c>
      <c r="Z1634" s="15" t="s">
        <v>138</v>
      </c>
      <c r="AA1634" s="15" t="s">
        <v>138</v>
      </c>
      <c r="AB1634" s="20" t="s">
        <v>138</v>
      </c>
      <c r="AC1634" s="20" t="s">
        <v>138</v>
      </c>
      <c r="AD1634" s="20" t="s">
        <v>138</v>
      </c>
      <c r="AE1634" s="20" t="s">
        <v>138</v>
      </c>
      <c r="AF1634" s="20" t="s">
        <v>138</v>
      </c>
      <c r="AG1634" s="15" t="s">
        <v>138</v>
      </c>
      <c r="AH1634" s="20" t="s">
        <v>138</v>
      </c>
      <c r="AI1634" s="20" t="s">
        <v>138</v>
      </c>
      <c r="AJ1634" s="20" t="s">
        <v>138</v>
      </c>
      <c r="AK1634" s="15" t="s">
        <v>31213</v>
      </c>
      <c r="AL1634" s="15" t="s">
        <v>31214</v>
      </c>
      <c r="AM1634" s="15" t="s">
        <v>249</v>
      </c>
      <c r="AN1634" s="15" t="s">
        <v>31215</v>
      </c>
      <c r="AO1634" s="15" t="s">
        <v>31216</v>
      </c>
      <c r="AP1634" s="15" t="s">
        <v>2027</v>
      </c>
      <c r="AQ1634" s="15" t="s">
        <v>31217</v>
      </c>
      <c r="AR1634" s="15" t="s">
        <v>6688</v>
      </c>
      <c r="AS1634" s="15" t="s">
        <v>2030</v>
      </c>
      <c r="AT1634" s="15" t="s">
        <v>2031</v>
      </c>
      <c r="AU1634" s="15" t="s">
        <v>13268</v>
      </c>
      <c r="AV1634" s="15" t="s">
        <v>162</v>
      </c>
      <c r="AW1634" s="15" t="s">
        <v>31216</v>
      </c>
      <c r="AX1634" s="15" t="s">
        <v>138</v>
      </c>
      <c r="AY1634" s="15" t="s">
        <v>138</v>
      </c>
      <c r="AZ1634" s="15" t="s">
        <v>164</v>
      </c>
      <c r="BA1634" s="15" t="s">
        <v>165</v>
      </c>
      <c r="BB1634" s="15" t="s">
        <v>31218</v>
      </c>
      <c r="BC1634" s="15" t="s">
        <v>31219</v>
      </c>
      <c r="BD1634" s="21">
        <v>8</v>
      </c>
      <c r="BE1634" s="15" t="s">
        <v>138</v>
      </c>
      <c r="BF1634" s="15" t="s">
        <v>138</v>
      </c>
      <c r="BG1634" s="15" t="s">
        <v>138</v>
      </c>
      <c r="BH1634" s="15" t="s">
        <v>31220</v>
      </c>
      <c r="BI1634" s="15" t="s">
        <v>138</v>
      </c>
      <c r="BJ1634" s="15" t="s">
        <v>138</v>
      </c>
      <c r="BK1634" s="15" t="s">
        <v>5213</v>
      </c>
      <c r="BL1634" s="15" t="s">
        <v>31221</v>
      </c>
      <c r="BM1634" s="22">
        <v>38203</v>
      </c>
      <c r="BN1634" s="17">
        <v>0.01</v>
      </c>
      <c r="BO1634" s="15" t="s">
        <v>172</v>
      </c>
      <c r="BP1634" s="17" t="s">
        <v>138</v>
      </c>
      <c r="BQ1634" s="15" t="s">
        <v>138</v>
      </c>
      <c r="BR1634" s="15" t="s">
        <v>173</v>
      </c>
      <c r="BS1634" s="15" t="s">
        <v>138</v>
      </c>
      <c r="BT1634" s="15" t="s">
        <v>138</v>
      </c>
      <c r="BU1634" s="15" t="s">
        <v>174</v>
      </c>
      <c r="BV1634" s="15" t="s">
        <v>138</v>
      </c>
      <c r="BW1634" s="15" t="s">
        <v>138</v>
      </c>
      <c r="BX1634" s="15" t="s">
        <v>138</v>
      </c>
      <c r="BY1634" s="15" t="s">
        <v>175</v>
      </c>
      <c r="BZ1634" s="22">
        <v>43082</v>
      </c>
      <c r="CA1634" s="17">
        <v>10</v>
      </c>
      <c r="CB1634" s="15" t="s">
        <v>172</v>
      </c>
      <c r="CC1634" s="17" t="s">
        <v>138</v>
      </c>
      <c r="CD1634" s="15" t="s">
        <v>138</v>
      </c>
      <c r="CE1634" s="15" t="s">
        <v>173</v>
      </c>
      <c r="CF1634" s="15" t="s">
        <v>138</v>
      </c>
      <c r="CG1634" s="15" t="s">
        <v>138</v>
      </c>
      <c r="CH1634" s="15" t="s">
        <v>174</v>
      </c>
      <c r="CI1634" s="15" t="s">
        <v>264</v>
      </c>
      <c r="CJ1634" s="15" t="s">
        <v>138</v>
      </c>
      <c r="CK1634" s="15" t="s">
        <v>138</v>
      </c>
      <c r="CL1634" s="15" t="s">
        <v>352</v>
      </c>
      <c r="CM1634" s="22">
        <v>42031</v>
      </c>
      <c r="CN1634" s="17">
        <v>7</v>
      </c>
      <c r="CO1634" s="23">
        <v>1.72</v>
      </c>
      <c r="CP1634" s="24">
        <v>99</v>
      </c>
      <c r="CQ1634" s="23">
        <v>-0.02</v>
      </c>
      <c r="CR1634" s="23">
        <v>-1.17</v>
      </c>
      <c r="CS1634" s="23">
        <v>3.36</v>
      </c>
      <c r="CT1634" s="24">
        <v>99</v>
      </c>
      <c r="CU1634" s="23">
        <v>7.0000000000000007E-2</v>
      </c>
      <c r="CV1634" s="24">
        <v>62</v>
      </c>
      <c r="CW1634" s="23">
        <v>7.21</v>
      </c>
      <c r="CX1634" s="24">
        <v>98</v>
      </c>
      <c r="CY1634" s="23">
        <v>-0.49</v>
      </c>
      <c r="CZ1634" s="24">
        <v>22</v>
      </c>
      <c r="DA1634" s="23">
        <v>0</v>
      </c>
      <c r="DB1634" s="24">
        <v>22</v>
      </c>
      <c r="DC1634" s="25">
        <v>7.55</v>
      </c>
      <c r="DD1634" s="24">
        <v>87</v>
      </c>
      <c r="DE1634" s="25">
        <v>-0.39</v>
      </c>
      <c r="DF1634" s="23">
        <v>-4.9400000000000004</v>
      </c>
      <c r="DG1634" s="25">
        <v>11.27</v>
      </c>
      <c r="DH1634" s="24">
        <v>91</v>
      </c>
      <c r="DI1634" s="25">
        <v>3.83</v>
      </c>
      <c r="DJ1634" s="24">
        <v>73</v>
      </c>
      <c r="DK1634" s="25">
        <v>12.86</v>
      </c>
      <c r="DL1634" s="24">
        <v>89</v>
      </c>
      <c r="DM1634" s="25">
        <v>9.69</v>
      </c>
      <c r="DN1634" s="24">
        <v>88</v>
      </c>
      <c r="DO1634" s="25">
        <v>7.03</v>
      </c>
      <c r="DP1634" s="24">
        <v>84</v>
      </c>
      <c r="DQ1634" s="24">
        <v>4288</v>
      </c>
      <c r="DR1634" s="26">
        <v>366</v>
      </c>
      <c r="DS1634" s="23">
        <v>9.33</v>
      </c>
      <c r="DT1634" s="24">
        <v>280</v>
      </c>
      <c r="DU1634" s="26">
        <v>0</v>
      </c>
      <c r="DV1634" s="23">
        <v>0</v>
      </c>
      <c r="DW1634" s="24">
        <v>2512</v>
      </c>
      <c r="DX1634" s="27">
        <v>0</v>
      </c>
      <c r="DY1634" s="23">
        <v>0</v>
      </c>
      <c r="DZ1634" s="15" t="s">
        <v>178</v>
      </c>
      <c r="EA1634" s="22">
        <v>43384</v>
      </c>
      <c r="EB1634" s="17">
        <v>33.659999999999997</v>
      </c>
      <c r="EC1634" s="22">
        <v>41702</v>
      </c>
      <c r="ED1634" s="15" t="s">
        <v>173</v>
      </c>
      <c r="EE1634" s="14" t="str">
        <f>HYPERLINK("https://my.pitchbook.com?c=53320-87", "View company online")</f>
        <v>View company online</v>
      </c>
    </row>
    <row r="1635" spans="1:135">
      <c r="A1635" s="28" t="s">
        <v>31222</v>
      </c>
      <c r="B1635" s="28" t="s">
        <v>31223</v>
      </c>
      <c r="C1635" s="28" t="s">
        <v>138</v>
      </c>
      <c r="D1635" s="28" t="s">
        <v>31224</v>
      </c>
      <c r="E1635" s="28" t="s">
        <v>31225</v>
      </c>
      <c r="F1635" s="28" t="s">
        <v>31222</v>
      </c>
      <c r="G1635" s="28" t="s">
        <v>31226</v>
      </c>
      <c r="H1635" s="28" t="s">
        <v>141</v>
      </c>
      <c r="I1635" s="28" t="s">
        <v>212</v>
      </c>
      <c r="J1635" s="28" t="s">
        <v>1257</v>
      </c>
      <c r="K1635" s="28" t="s">
        <v>1258</v>
      </c>
      <c r="L1635" s="28" t="s">
        <v>31227</v>
      </c>
      <c r="M1635" s="28" t="s">
        <v>31228</v>
      </c>
      <c r="N1635" s="28" t="s">
        <v>147</v>
      </c>
      <c r="O1635" s="29">
        <v>70.23</v>
      </c>
      <c r="P1635" s="28" t="s">
        <v>148</v>
      </c>
      <c r="Q1635" s="28" t="s">
        <v>149</v>
      </c>
      <c r="R1635" s="28" t="s">
        <v>174</v>
      </c>
      <c r="S1635" s="28" t="s">
        <v>31229</v>
      </c>
      <c r="T1635" s="30">
        <v>55</v>
      </c>
      <c r="U1635" s="28" t="s">
        <v>31230</v>
      </c>
      <c r="V1635" s="28" t="s">
        <v>138</v>
      </c>
      <c r="W1635" s="28" t="s">
        <v>138</v>
      </c>
      <c r="X1635" s="31">
        <v>2015</v>
      </c>
      <c r="Y1635" s="28" t="s">
        <v>138</v>
      </c>
      <c r="Z1635" s="28" t="s">
        <v>138</v>
      </c>
      <c r="AA1635" s="28" t="s">
        <v>138</v>
      </c>
      <c r="AB1635" s="32" t="s">
        <v>138</v>
      </c>
      <c r="AC1635" s="32" t="s">
        <v>138</v>
      </c>
      <c r="AD1635" s="32" t="s">
        <v>138</v>
      </c>
      <c r="AE1635" s="32" t="s">
        <v>138</v>
      </c>
      <c r="AF1635" s="32" t="s">
        <v>138</v>
      </c>
      <c r="AG1635" s="28" t="s">
        <v>138</v>
      </c>
      <c r="AH1635" s="32" t="s">
        <v>138</v>
      </c>
      <c r="AI1635" s="32" t="s">
        <v>138</v>
      </c>
      <c r="AJ1635" s="32" t="s">
        <v>138</v>
      </c>
      <c r="AK1635" s="28" t="s">
        <v>31231</v>
      </c>
      <c r="AL1635" s="28" t="s">
        <v>31232</v>
      </c>
      <c r="AM1635" s="28" t="s">
        <v>221</v>
      </c>
      <c r="AN1635" s="28" t="s">
        <v>31233</v>
      </c>
      <c r="AO1635" s="28" t="s">
        <v>31234</v>
      </c>
      <c r="AP1635" s="28" t="s">
        <v>1292</v>
      </c>
      <c r="AQ1635" s="28" t="s">
        <v>31235</v>
      </c>
      <c r="AR1635" s="28" t="s">
        <v>1073</v>
      </c>
      <c r="AS1635" s="28" t="s">
        <v>1294</v>
      </c>
      <c r="AT1635" s="28" t="s">
        <v>864</v>
      </c>
      <c r="AU1635" s="28" t="s">
        <v>8420</v>
      </c>
      <c r="AV1635" s="28" t="s">
        <v>162</v>
      </c>
      <c r="AW1635" s="28" t="s">
        <v>31234</v>
      </c>
      <c r="AX1635" s="28" t="s">
        <v>138</v>
      </c>
      <c r="AY1635" s="28" t="s">
        <v>31236</v>
      </c>
      <c r="AZ1635" s="28" t="s">
        <v>164</v>
      </c>
      <c r="BA1635" s="28" t="s">
        <v>165</v>
      </c>
      <c r="BB1635" s="28" t="s">
        <v>31237</v>
      </c>
      <c r="BC1635" s="28" t="s">
        <v>31238</v>
      </c>
      <c r="BD1635" s="33">
        <v>18</v>
      </c>
      <c r="BE1635" s="28" t="s">
        <v>138</v>
      </c>
      <c r="BF1635" s="28" t="s">
        <v>138</v>
      </c>
      <c r="BG1635" s="28" t="s">
        <v>138</v>
      </c>
      <c r="BH1635" s="28" t="s">
        <v>31239</v>
      </c>
      <c r="BI1635" s="28" t="s">
        <v>138</v>
      </c>
      <c r="BJ1635" s="28" t="s">
        <v>138</v>
      </c>
      <c r="BK1635" s="28" t="s">
        <v>31240</v>
      </c>
      <c r="BL1635" s="28" t="s">
        <v>1691</v>
      </c>
      <c r="BM1635" s="34">
        <v>42509</v>
      </c>
      <c r="BN1635" s="29" t="s">
        <v>138</v>
      </c>
      <c r="BO1635" s="28" t="s">
        <v>138</v>
      </c>
      <c r="BP1635" s="29" t="s">
        <v>138</v>
      </c>
      <c r="BQ1635" s="28" t="s">
        <v>138</v>
      </c>
      <c r="BR1635" s="28" t="s">
        <v>316</v>
      </c>
      <c r="BS1635" s="28" t="s">
        <v>138</v>
      </c>
      <c r="BT1635" s="28" t="s">
        <v>138</v>
      </c>
      <c r="BU1635" s="28" t="s">
        <v>177</v>
      </c>
      <c r="BV1635" s="28" t="s">
        <v>138</v>
      </c>
      <c r="BW1635" s="28" t="s">
        <v>138</v>
      </c>
      <c r="BX1635" s="28" t="s">
        <v>138</v>
      </c>
      <c r="BY1635" s="28" t="s">
        <v>175</v>
      </c>
      <c r="BZ1635" s="34">
        <v>43565</v>
      </c>
      <c r="CA1635" s="29">
        <v>7</v>
      </c>
      <c r="CB1635" s="28" t="s">
        <v>172</v>
      </c>
      <c r="CC1635" s="29">
        <v>217</v>
      </c>
      <c r="CD1635" s="28" t="s">
        <v>172</v>
      </c>
      <c r="CE1635" s="28" t="s">
        <v>205</v>
      </c>
      <c r="CF1635" s="28" t="s">
        <v>974</v>
      </c>
      <c r="CG1635" s="28" t="s">
        <v>138</v>
      </c>
      <c r="CH1635" s="28" t="s">
        <v>174</v>
      </c>
      <c r="CI1635" s="28" t="s">
        <v>138</v>
      </c>
      <c r="CJ1635" s="28" t="s">
        <v>138</v>
      </c>
      <c r="CK1635" s="28" t="s">
        <v>138</v>
      </c>
      <c r="CL1635" s="28" t="s">
        <v>175</v>
      </c>
      <c r="CM1635" s="34" t="s">
        <v>138</v>
      </c>
      <c r="CN1635" s="29" t="s">
        <v>138</v>
      </c>
      <c r="CO1635" s="35">
        <v>1.1000000000000001</v>
      </c>
      <c r="CP1635" s="36">
        <v>97</v>
      </c>
      <c r="CQ1635" s="35">
        <v>-0.02</v>
      </c>
      <c r="CR1635" s="35">
        <v>-1.75</v>
      </c>
      <c r="CS1635" s="35">
        <v>1.82</v>
      </c>
      <c r="CT1635" s="36">
        <v>98</v>
      </c>
      <c r="CU1635" s="35">
        <v>0.79</v>
      </c>
      <c r="CV1635" s="36">
        <v>97</v>
      </c>
      <c r="CW1635" s="35">
        <v>2.21</v>
      </c>
      <c r="CX1635" s="36">
        <v>89</v>
      </c>
      <c r="CY1635" s="35">
        <v>1.43</v>
      </c>
      <c r="CZ1635" s="36">
        <v>99</v>
      </c>
      <c r="DA1635" s="35" t="s">
        <v>138</v>
      </c>
      <c r="DB1635" s="36" t="s">
        <v>138</v>
      </c>
      <c r="DC1635" s="37">
        <v>3.66</v>
      </c>
      <c r="DD1635" s="36">
        <v>78</v>
      </c>
      <c r="DE1635" s="37">
        <v>-0.12</v>
      </c>
      <c r="DF1635" s="35">
        <v>-3.27</v>
      </c>
      <c r="DG1635" s="37">
        <v>9.4700000000000006</v>
      </c>
      <c r="DH1635" s="36">
        <v>89</v>
      </c>
      <c r="DI1635" s="37">
        <v>1.39</v>
      </c>
      <c r="DJ1635" s="36">
        <v>55</v>
      </c>
      <c r="DK1635" s="37">
        <v>6.57</v>
      </c>
      <c r="DL1635" s="36">
        <v>82</v>
      </c>
      <c r="DM1635" s="37">
        <v>12.38</v>
      </c>
      <c r="DN1635" s="36">
        <v>91</v>
      </c>
      <c r="DO1635" s="37" t="s">
        <v>138</v>
      </c>
      <c r="DP1635" s="36" t="s">
        <v>138</v>
      </c>
      <c r="DQ1635" s="36">
        <v>2259</v>
      </c>
      <c r="DR1635" s="38">
        <v>-20</v>
      </c>
      <c r="DS1635" s="35">
        <v>-0.88</v>
      </c>
      <c r="DT1635" s="36">
        <v>358</v>
      </c>
      <c r="DU1635" s="38">
        <v>0</v>
      </c>
      <c r="DV1635" s="35">
        <v>0</v>
      </c>
      <c r="DW1635" s="36" t="s">
        <v>138</v>
      </c>
      <c r="DX1635" s="39" t="s">
        <v>138</v>
      </c>
      <c r="DY1635" s="35" t="s">
        <v>138</v>
      </c>
      <c r="DZ1635" s="28" t="s">
        <v>178</v>
      </c>
      <c r="EA1635" s="34">
        <v>43566</v>
      </c>
      <c r="EB1635" s="29">
        <v>217</v>
      </c>
      <c r="EC1635" s="34">
        <v>43565</v>
      </c>
      <c r="ED1635" s="28" t="s">
        <v>205</v>
      </c>
      <c r="EE1635" s="40" t="str">
        <f>HYPERLINK("https://my.pitchbook.com?c=166556-35", "View company online")</f>
        <v>View company online</v>
      </c>
    </row>
    <row r="1636" spans="1:135">
      <c r="A1636" s="15" t="s">
        <v>31241</v>
      </c>
      <c r="B1636" s="15" t="s">
        <v>31242</v>
      </c>
      <c r="C1636" s="15" t="s">
        <v>138</v>
      </c>
      <c r="D1636" s="15" t="s">
        <v>31243</v>
      </c>
      <c r="E1636" s="15" t="s">
        <v>31244</v>
      </c>
      <c r="F1636" s="15" t="s">
        <v>31241</v>
      </c>
      <c r="G1636" s="15" t="s">
        <v>31245</v>
      </c>
      <c r="H1636" s="15" t="s">
        <v>322</v>
      </c>
      <c r="I1636" s="15" t="s">
        <v>323</v>
      </c>
      <c r="J1636" s="15" t="s">
        <v>1184</v>
      </c>
      <c r="K1636" s="15" t="s">
        <v>31246</v>
      </c>
      <c r="L1636" s="15" t="s">
        <v>242</v>
      </c>
      <c r="M1636" s="15" t="s">
        <v>31247</v>
      </c>
      <c r="N1636" s="15" t="s">
        <v>1452</v>
      </c>
      <c r="O1636" s="17">
        <v>1.19</v>
      </c>
      <c r="P1636" s="15" t="s">
        <v>148</v>
      </c>
      <c r="Q1636" s="15" t="s">
        <v>149</v>
      </c>
      <c r="R1636" s="15" t="s">
        <v>1652</v>
      </c>
      <c r="S1636" s="15" t="s">
        <v>31248</v>
      </c>
      <c r="T1636" s="18">
        <v>95</v>
      </c>
      <c r="U1636" s="15" t="s">
        <v>31249</v>
      </c>
      <c r="V1636" s="15" t="s">
        <v>138</v>
      </c>
      <c r="W1636" s="15" t="s">
        <v>138</v>
      </c>
      <c r="X1636" s="19">
        <v>2002</v>
      </c>
      <c r="Y1636" s="15" t="s">
        <v>138</v>
      </c>
      <c r="Z1636" s="15" t="s">
        <v>138</v>
      </c>
      <c r="AA1636" s="15" t="s">
        <v>138</v>
      </c>
      <c r="AB1636" s="20" t="s">
        <v>138</v>
      </c>
      <c r="AC1636" s="20" t="s">
        <v>138</v>
      </c>
      <c r="AD1636" s="20" t="s">
        <v>138</v>
      </c>
      <c r="AE1636" s="20" t="s">
        <v>138</v>
      </c>
      <c r="AF1636" s="20" t="s">
        <v>138</v>
      </c>
      <c r="AG1636" s="15" t="s">
        <v>138</v>
      </c>
      <c r="AH1636" s="20" t="s">
        <v>138</v>
      </c>
      <c r="AI1636" s="20" t="s">
        <v>138</v>
      </c>
      <c r="AJ1636" s="20" t="s">
        <v>138</v>
      </c>
      <c r="AK1636" s="15" t="s">
        <v>31250</v>
      </c>
      <c r="AL1636" s="15" t="s">
        <v>31251</v>
      </c>
      <c r="AM1636" s="15" t="s">
        <v>249</v>
      </c>
      <c r="AN1636" s="15" t="s">
        <v>31252</v>
      </c>
      <c r="AO1636" s="15" t="s">
        <v>31253</v>
      </c>
      <c r="AP1636" s="15" t="s">
        <v>11167</v>
      </c>
      <c r="AQ1636" s="15" t="s">
        <v>1459</v>
      </c>
      <c r="AR1636" s="15" t="s">
        <v>31254</v>
      </c>
      <c r="AS1636" s="15" t="s">
        <v>4273</v>
      </c>
      <c r="AT1636" s="15" t="s">
        <v>3112</v>
      </c>
      <c r="AU1636" s="15" t="s">
        <v>31255</v>
      </c>
      <c r="AV1636" s="15" t="s">
        <v>2742</v>
      </c>
      <c r="AW1636" s="15" t="s">
        <v>31253</v>
      </c>
      <c r="AX1636" s="15" t="s">
        <v>138</v>
      </c>
      <c r="AY1636" s="15" t="s">
        <v>31256</v>
      </c>
      <c r="AZ1636" s="15" t="s">
        <v>164</v>
      </c>
      <c r="BA1636" s="15" t="s">
        <v>165</v>
      </c>
      <c r="BB1636" s="15" t="s">
        <v>31257</v>
      </c>
      <c r="BC1636" s="15" t="s">
        <v>31258</v>
      </c>
      <c r="BD1636" s="21">
        <v>3</v>
      </c>
      <c r="BE1636" s="15" t="s">
        <v>138</v>
      </c>
      <c r="BF1636" s="15" t="s">
        <v>31259</v>
      </c>
      <c r="BG1636" s="15" t="s">
        <v>138</v>
      </c>
      <c r="BH1636" s="15" t="s">
        <v>31260</v>
      </c>
      <c r="BI1636" s="15" t="s">
        <v>31261</v>
      </c>
      <c r="BJ1636" s="15" t="s">
        <v>138</v>
      </c>
      <c r="BK1636" s="15" t="s">
        <v>138</v>
      </c>
      <c r="BL1636" s="15" t="s">
        <v>31262</v>
      </c>
      <c r="BM1636" s="22">
        <v>39234</v>
      </c>
      <c r="BN1636" s="17">
        <v>0.6</v>
      </c>
      <c r="BO1636" s="15" t="s">
        <v>172</v>
      </c>
      <c r="BP1636" s="17" t="s">
        <v>138</v>
      </c>
      <c r="BQ1636" s="15" t="s">
        <v>138</v>
      </c>
      <c r="BR1636" s="15" t="s">
        <v>205</v>
      </c>
      <c r="BS1636" s="15" t="s">
        <v>138</v>
      </c>
      <c r="BT1636" s="15" t="s">
        <v>138</v>
      </c>
      <c r="BU1636" s="15" t="s">
        <v>174</v>
      </c>
      <c r="BV1636" s="15" t="s">
        <v>138</v>
      </c>
      <c r="BW1636" s="15" t="s">
        <v>138</v>
      </c>
      <c r="BX1636" s="15" t="s">
        <v>138</v>
      </c>
      <c r="BY1636" s="15" t="s">
        <v>175</v>
      </c>
      <c r="BZ1636" s="22" t="s">
        <v>138</v>
      </c>
      <c r="CA1636" s="17" t="s">
        <v>138</v>
      </c>
      <c r="CB1636" s="15" t="s">
        <v>138</v>
      </c>
      <c r="CC1636" s="17" t="s">
        <v>138</v>
      </c>
      <c r="CD1636" s="15" t="s">
        <v>138</v>
      </c>
      <c r="CE1636" s="15" t="s">
        <v>2079</v>
      </c>
      <c r="CF1636" s="15" t="s">
        <v>138</v>
      </c>
      <c r="CG1636" s="15" t="s">
        <v>138</v>
      </c>
      <c r="CH1636" s="15" t="s">
        <v>177</v>
      </c>
      <c r="CI1636" s="15" t="s">
        <v>138</v>
      </c>
      <c r="CJ1636" s="15" t="s">
        <v>138</v>
      </c>
      <c r="CK1636" s="15" t="s">
        <v>138</v>
      </c>
      <c r="CL1636" s="15" t="s">
        <v>175</v>
      </c>
      <c r="CM1636" s="22">
        <v>40505</v>
      </c>
      <c r="CN1636" s="17">
        <v>0.59</v>
      </c>
      <c r="CO1636" s="23">
        <v>-1.04</v>
      </c>
      <c r="CP1636" s="24">
        <v>11</v>
      </c>
      <c r="CQ1636" s="23">
        <v>-0.09</v>
      </c>
      <c r="CR1636" s="23">
        <v>-9.73</v>
      </c>
      <c r="CS1636" s="23">
        <v>-2.25</v>
      </c>
      <c r="CT1636" s="24">
        <v>8</v>
      </c>
      <c r="CU1636" s="23">
        <v>0.18</v>
      </c>
      <c r="CV1636" s="24">
        <v>78</v>
      </c>
      <c r="CW1636" s="23" t="s">
        <v>138</v>
      </c>
      <c r="CX1636" s="24" t="s">
        <v>138</v>
      </c>
      <c r="CY1636" s="23">
        <v>-2.25</v>
      </c>
      <c r="CZ1636" s="24">
        <v>10</v>
      </c>
      <c r="DA1636" s="23">
        <v>0.18</v>
      </c>
      <c r="DB1636" s="24">
        <v>81</v>
      </c>
      <c r="DC1636" s="25">
        <v>4.1900000000000004</v>
      </c>
      <c r="DD1636" s="24">
        <v>80</v>
      </c>
      <c r="DE1636" s="25">
        <v>-0.01</v>
      </c>
      <c r="DF1636" s="23">
        <v>-0.32</v>
      </c>
      <c r="DG1636" s="25">
        <v>6.59</v>
      </c>
      <c r="DH1636" s="24">
        <v>86</v>
      </c>
      <c r="DI1636" s="25">
        <v>1.8</v>
      </c>
      <c r="DJ1636" s="24">
        <v>60</v>
      </c>
      <c r="DK1636" s="25" t="s">
        <v>138</v>
      </c>
      <c r="DL1636" s="24" t="s">
        <v>138</v>
      </c>
      <c r="DM1636" s="25">
        <v>6.59</v>
      </c>
      <c r="DN1636" s="24">
        <v>85</v>
      </c>
      <c r="DO1636" s="25">
        <v>1.8</v>
      </c>
      <c r="DP1636" s="24">
        <v>62</v>
      </c>
      <c r="DQ1636" s="24" t="s">
        <v>138</v>
      </c>
      <c r="DR1636" s="26" t="s">
        <v>138</v>
      </c>
      <c r="DS1636" s="23" t="s">
        <v>138</v>
      </c>
      <c r="DT1636" s="24">
        <v>191</v>
      </c>
      <c r="DU1636" s="26">
        <v>-1</v>
      </c>
      <c r="DV1636" s="23">
        <v>-0.52</v>
      </c>
      <c r="DW1636" s="24">
        <v>644</v>
      </c>
      <c r="DX1636" s="27">
        <v>-1</v>
      </c>
      <c r="DY1636" s="23">
        <v>-0.16</v>
      </c>
      <c r="DZ1636" s="15" t="s">
        <v>178</v>
      </c>
      <c r="EA1636" s="22">
        <v>43622</v>
      </c>
      <c r="EB1636" s="17" t="s">
        <v>138</v>
      </c>
      <c r="EC1636" s="22" t="s">
        <v>138</v>
      </c>
      <c r="ED1636" s="15" t="s">
        <v>138</v>
      </c>
      <c r="EE1636" s="14" t="str">
        <f>HYPERLINK("https://my.pitchbook.com?c=56215-99", "View company online")</f>
        <v>View company online</v>
      </c>
    </row>
    <row r="1637" spans="1:135">
      <c r="A1637" s="28" t="s">
        <v>31263</v>
      </c>
      <c r="B1637" s="28" t="s">
        <v>31264</v>
      </c>
      <c r="C1637" s="28" t="s">
        <v>138</v>
      </c>
      <c r="D1637" s="28" t="s">
        <v>31265</v>
      </c>
      <c r="E1637" s="28" t="s">
        <v>31266</v>
      </c>
      <c r="F1637" s="28" t="s">
        <v>31263</v>
      </c>
      <c r="G1637" s="28" t="s">
        <v>31267</v>
      </c>
      <c r="H1637" s="28" t="s">
        <v>141</v>
      </c>
      <c r="I1637" s="28" t="s">
        <v>142</v>
      </c>
      <c r="J1637" s="28" t="s">
        <v>4042</v>
      </c>
      <c r="K1637" s="28" t="s">
        <v>31268</v>
      </c>
      <c r="L1637" s="28" t="s">
        <v>31269</v>
      </c>
      <c r="M1637" s="28" t="s">
        <v>31270</v>
      </c>
      <c r="N1637" s="28" t="s">
        <v>147</v>
      </c>
      <c r="O1637" s="29">
        <v>41.57</v>
      </c>
      <c r="P1637" s="28" t="s">
        <v>812</v>
      </c>
      <c r="Q1637" s="28" t="s">
        <v>149</v>
      </c>
      <c r="R1637" s="28" t="s">
        <v>174</v>
      </c>
      <c r="S1637" s="28" t="s">
        <v>31271</v>
      </c>
      <c r="T1637" s="30">
        <v>150</v>
      </c>
      <c r="U1637" s="28" t="s">
        <v>31272</v>
      </c>
      <c r="V1637" s="28" t="s">
        <v>138</v>
      </c>
      <c r="W1637" s="28" t="s">
        <v>138</v>
      </c>
      <c r="X1637" s="31">
        <v>2009</v>
      </c>
      <c r="Y1637" s="28" t="s">
        <v>138</v>
      </c>
      <c r="Z1637" s="28" t="s">
        <v>138</v>
      </c>
      <c r="AA1637" s="28" t="s">
        <v>138</v>
      </c>
      <c r="AB1637" s="32" t="s">
        <v>138</v>
      </c>
      <c r="AC1637" s="32" t="s">
        <v>138</v>
      </c>
      <c r="AD1637" s="32" t="s">
        <v>138</v>
      </c>
      <c r="AE1637" s="32" t="s">
        <v>138</v>
      </c>
      <c r="AF1637" s="32" t="s">
        <v>138</v>
      </c>
      <c r="AG1637" s="28" t="s">
        <v>138</v>
      </c>
      <c r="AH1637" s="32" t="s">
        <v>138</v>
      </c>
      <c r="AI1637" s="32" t="s">
        <v>138</v>
      </c>
      <c r="AJ1637" s="32" t="s">
        <v>138</v>
      </c>
      <c r="AK1637" s="28" t="s">
        <v>31273</v>
      </c>
      <c r="AL1637" s="28" t="s">
        <v>31274</v>
      </c>
      <c r="AM1637" s="28" t="s">
        <v>221</v>
      </c>
      <c r="AN1637" s="28" t="s">
        <v>31275</v>
      </c>
      <c r="AO1637" s="28" t="s">
        <v>31276</v>
      </c>
      <c r="AP1637" s="28" t="s">
        <v>3351</v>
      </c>
      <c r="AQ1637" s="28" t="s">
        <v>31277</v>
      </c>
      <c r="AR1637" s="28" t="s">
        <v>11458</v>
      </c>
      <c r="AS1637" s="28" t="s">
        <v>3354</v>
      </c>
      <c r="AT1637" s="28" t="s">
        <v>2740</v>
      </c>
      <c r="AU1637" s="28" t="s">
        <v>31278</v>
      </c>
      <c r="AV1637" s="28" t="s">
        <v>2742</v>
      </c>
      <c r="AW1637" s="28" t="s">
        <v>31276</v>
      </c>
      <c r="AX1637" s="28" t="s">
        <v>31279</v>
      </c>
      <c r="AY1637" s="28" t="s">
        <v>31280</v>
      </c>
      <c r="AZ1637" s="28" t="s">
        <v>164</v>
      </c>
      <c r="BA1637" s="28" t="s">
        <v>165</v>
      </c>
      <c r="BB1637" s="28" t="s">
        <v>31281</v>
      </c>
      <c r="BC1637" s="28" t="s">
        <v>31282</v>
      </c>
      <c r="BD1637" s="33">
        <v>19</v>
      </c>
      <c r="BE1637" s="28" t="s">
        <v>138</v>
      </c>
      <c r="BF1637" s="28" t="s">
        <v>138</v>
      </c>
      <c r="BG1637" s="28" t="s">
        <v>138</v>
      </c>
      <c r="BH1637" s="28" t="s">
        <v>31283</v>
      </c>
      <c r="BI1637" s="28" t="s">
        <v>138</v>
      </c>
      <c r="BJ1637" s="28" t="s">
        <v>138</v>
      </c>
      <c r="BK1637" s="28" t="s">
        <v>31284</v>
      </c>
      <c r="BL1637" s="28" t="s">
        <v>138</v>
      </c>
      <c r="BM1637" s="34">
        <v>40179</v>
      </c>
      <c r="BN1637" s="29">
        <v>0.37</v>
      </c>
      <c r="BO1637" s="28" t="s">
        <v>138</v>
      </c>
      <c r="BP1637" s="29" t="s">
        <v>138</v>
      </c>
      <c r="BQ1637" s="28" t="s">
        <v>138</v>
      </c>
      <c r="BR1637" s="28" t="s">
        <v>205</v>
      </c>
      <c r="BS1637" s="28" t="s">
        <v>138</v>
      </c>
      <c r="BT1637" s="28" t="s">
        <v>138</v>
      </c>
      <c r="BU1637" s="28" t="s">
        <v>174</v>
      </c>
      <c r="BV1637" s="28" t="s">
        <v>138</v>
      </c>
      <c r="BW1637" s="28" t="s">
        <v>138</v>
      </c>
      <c r="BX1637" s="28" t="s">
        <v>138</v>
      </c>
      <c r="BY1637" s="28" t="s">
        <v>175</v>
      </c>
      <c r="BZ1637" s="34">
        <v>43182</v>
      </c>
      <c r="CA1637" s="29" t="s">
        <v>138</v>
      </c>
      <c r="CB1637" s="28" t="s">
        <v>138</v>
      </c>
      <c r="CC1637" s="29" t="s">
        <v>138</v>
      </c>
      <c r="CD1637" s="28" t="s">
        <v>138</v>
      </c>
      <c r="CE1637" s="28" t="s">
        <v>316</v>
      </c>
      <c r="CF1637" s="28" t="s">
        <v>138</v>
      </c>
      <c r="CG1637" s="28" t="s">
        <v>138</v>
      </c>
      <c r="CH1637" s="28" t="s">
        <v>177</v>
      </c>
      <c r="CI1637" s="28" t="s">
        <v>138</v>
      </c>
      <c r="CJ1637" s="28" t="s">
        <v>138</v>
      </c>
      <c r="CK1637" s="28" t="s">
        <v>138</v>
      </c>
      <c r="CL1637" s="28" t="s">
        <v>175</v>
      </c>
      <c r="CM1637" s="34" t="s">
        <v>138</v>
      </c>
      <c r="CN1637" s="29" t="s">
        <v>138</v>
      </c>
      <c r="CO1637" s="35">
        <v>-0.06</v>
      </c>
      <c r="CP1637" s="36">
        <v>22</v>
      </c>
      <c r="CQ1637" s="35">
        <v>0.1</v>
      </c>
      <c r="CR1637" s="35">
        <v>62.59</v>
      </c>
      <c r="CS1637" s="35">
        <v>-0.3</v>
      </c>
      <c r="CT1637" s="36">
        <v>21</v>
      </c>
      <c r="CU1637" s="35">
        <v>0.18</v>
      </c>
      <c r="CV1637" s="36">
        <v>78</v>
      </c>
      <c r="CW1637" s="35">
        <v>-1.1399999999999999</v>
      </c>
      <c r="CX1637" s="36">
        <v>9</v>
      </c>
      <c r="CY1637" s="35">
        <v>0.54</v>
      </c>
      <c r="CZ1637" s="36">
        <v>98</v>
      </c>
      <c r="DA1637" s="35">
        <v>0.18</v>
      </c>
      <c r="DB1637" s="36">
        <v>81</v>
      </c>
      <c r="DC1637" s="37">
        <v>19.88</v>
      </c>
      <c r="DD1637" s="36">
        <v>95</v>
      </c>
      <c r="DE1637" s="37">
        <v>-0.33</v>
      </c>
      <c r="DF1637" s="35">
        <v>-1.62</v>
      </c>
      <c r="DG1637" s="37">
        <v>23.82</v>
      </c>
      <c r="DH1637" s="36">
        <v>96</v>
      </c>
      <c r="DI1637" s="37">
        <v>15.93</v>
      </c>
      <c r="DJ1637" s="36">
        <v>89</v>
      </c>
      <c r="DK1637" s="37">
        <v>12.54</v>
      </c>
      <c r="DL1637" s="36">
        <v>89</v>
      </c>
      <c r="DM1637" s="37">
        <v>35.1</v>
      </c>
      <c r="DN1637" s="36">
        <v>97</v>
      </c>
      <c r="DO1637" s="37">
        <v>15.93</v>
      </c>
      <c r="DP1637" s="36">
        <v>91</v>
      </c>
      <c r="DQ1637" s="36">
        <v>4292</v>
      </c>
      <c r="DR1637" s="38">
        <v>24</v>
      </c>
      <c r="DS1637" s="35">
        <v>0.56000000000000005</v>
      </c>
      <c r="DT1637" s="36">
        <v>1016</v>
      </c>
      <c r="DU1637" s="38">
        <v>35</v>
      </c>
      <c r="DV1637" s="35">
        <v>3.57</v>
      </c>
      <c r="DW1637" s="36">
        <v>5701</v>
      </c>
      <c r="DX1637" s="39">
        <v>2</v>
      </c>
      <c r="DY1637" s="35">
        <v>0.04</v>
      </c>
      <c r="DZ1637" s="28" t="s">
        <v>178</v>
      </c>
      <c r="EA1637" s="34">
        <v>43607</v>
      </c>
      <c r="EB1637" s="29" t="s">
        <v>138</v>
      </c>
      <c r="EC1637" s="34" t="s">
        <v>138</v>
      </c>
      <c r="ED1637" s="28" t="s">
        <v>138</v>
      </c>
      <c r="EE1637" s="40" t="str">
        <f>HYPERLINK("https://my.pitchbook.com?c=54608-59", "View company online")</f>
        <v>View company online</v>
      </c>
    </row>
    <row r="1638" spans="1:135">
      <c r="A1638" s="15" t="s">
        <v>31285</v>
      </c>
      <c r="B1638" s="15" t="s">
        <v>31286</v>
      </c>
      <c r="C1638" s="15" t="s">
        <v>138</v>
      </c>
      <c r="D1638" s="15" t="s">
        <v>138</v>
      </c>
      <c r="E1638" s="15" t="s">
        <v>31287</v>
      </c>
      <c r="F1638" s="15" t="s">
        <v>31285</v>
      </c>
      <c r="G1638" s="15" t="s">
        <v>31288</v>
      </c>
      <c r="H1638" s="15" t="s">
        <v>322</v>
      </c>
      <c r="I1638" s="15" t="s">
        <v>323</v>
      </c>
      <c r="J1638" s="15" t="s">
        <v>324</v>
      </c>
      <c r="K1638" s="15" t="s">
        <v>15884</v>
      </c>
      <c r="L1638" s="15" t="s">
        <v>7760</v>
      </c>
      <c r="M1638" s="15" t="s">
        <v>31289</v>
      </c>
      <c r="N1638" s="15" t="s">
        <v>147</v>
      </c>
      <c r="O1638" s="17">
        <v>12.29</v>
      </c>
      <c r="P1638" s="15" t="s">
        <v>148</v>
      </c>
      <c r="Q1638" s="15" t="s">
        <v>149</v>
      </c>
      <c r="R1638" s="15" t="s">
        <v>174</v>
      </c>
      <c r="S1638" s="15" t="s">
        <v>31290</v>
      </c>
      <c r="T1638" s="18" t="s">
        <v>138</v>
      </c>
      <c r="U1638" s="15" t="s">
        <v>138</v>
      </c>
      <c r="V1638" s="15" t="s">
        <v>138</v>
      </c>
      <c r="W1638" s="15" t="s">
        <v>138</v>
      </c>
      <c r="X1638" s="19">
        <v>2014</v>
      </c>
      <c r="Y1638" s="15" t="s">
        <v>138</v>
      </c>
      <c r="Z1638" s="15" t="s">
        <v>138</v>
      </c>
      <c r="AA1638" s="15" t="s">
        <v>31291</v>
      </c>
      <c r="AB1638" s="20" t="s">
        <v>138</v>
      </c>
      <c r="AC1638" s="20" t="s">
        <v>138</v>
      </c>
      <c r="AD1638" s="20" t="s">
        <v>138</v>
      </c>
      <c r="AE1638" s="20" t="s">
        <v>138</v>
      </c>
      <c r="AF1638" s="20" t="s">
        <v>138</v>
      </c>
      <c r="AG1638" s="15" t="s">
        <v>138</v>
      </c>
      <c r="AH1638" s="20" t="s">
        <v>138</v>
      </c>
      <c r="AI1638" s="20" t="s">
        <v>138</v>
      </c>
      <c r="AJ1638" s="20" t="s">
        <v>138</v>
      </c>
      <c r="AK1638" s="15" t="s">
        <v>31292</v>
      </c>
      <c r="AL1638" s="15" t="s">
        <v>31293</v>
      </c>
      <c r="AM1638" s="15" t="s">
        <v>304</v>
      </c>
      <c r="AN1638" s="15" t="s">
        <v>31294</v>
      </c>
      <c r="AO1638" s="15" t="s">
        <v>31295</v>
      </c>
      <c r="AP1638" s="15" t="s">
        <v>665</v>
      </c>
      <c r="AQ1638" s="15" t="s">
        <v>9192</v>
      </c>
      <c r="AR1638" s="15" t="s">
        <v>22554</v>
      </c>
      <c r="AS1638" s="15" t="s">
        <v>668</v>
      </c>
      <c r="AT1638" s="15" t="s">
        <v>200</v>
      </c>
      <c r="AU1638" s="15" t="s">
        <v>1893</v>
      </c>
      <c r="AV1638" s="15" t="s">
        <v>162</v>
      </c>
      <c r="AW1638" s="15" t="s">
        <v>31295</v>
      </c>
      <c r="AX1638" s="15" t="s">
        <v>138</v>
      </c>
      <c r="AY1638" s="15" t="s">
        <v>31296</v>
      </c>
      <c r="AZ1638" s="15" t="s">
        <v>164</v>
      </c>
      <c r="BA1638" s="15" t="s">
        <v>165</v>
      </c>
      <c r="BB1638" s="15" t="s">
        <v>31297</v>
      </c>
      <c r="BC1638" s="15" t="s">
        <v>31298</v>
      </c>
      <c r="BD1638" s="21">
        <v>15</v>
      </c>
      <c r="BE1638" s="15" t="s">
        <v>138</v>
      </c>
      <c r="BF1638" s="15" t="s">
        <v>138</v>
      </c>
      <c r="BG1638" s="15" t="s">
        <v>138</v>
      </c>
      <c r="BH1638" s="15" t="s">
        <v>31299</v>
      </c>
      <c r="BI1638" s="15" t="s">
        <v>138</v>
      </c>
      <c r="BJ1638" s="15" t="s">
        <v>138</v>
      </c>
      <c r="BK1638" s="15" t="s">
        <v>1251</v>
      </c>
      <c r="BL1638" s="15" t="s">
        <v>1251</v>
      </c>
      <c r="BM1638" s="22">
        <v>42314</v>
      </c>
      <c r="BN1638" s="17" t="s">
        <v>138</v>
      </c>
      <c r="BO1638" s="15" t="s">
        <v>138</v>
      </c>
      <c r="BP1638" s="17" t="s">
        <v>138</v>
      </c>
      <c r="BQ1638" s="15" t="s">
        <v>138</v>
      </c>
      <c r="BR1638" s="15" t="s">
        <v>316</v>
      </c>
      <c r="BS1638" s="15" t="s">
        <v>138</v>
      </c>
      <c r="BT1638" s="15" t="s">
        <v>138</v>
      </c>
      <c r="BU1638" s="15" t="s">
        <v>177</v>
      </c>
      <c r="BV1638" s="15" t="s">
        <v>138</v>
      </c>
      <c r="BW1638" s="15" t="s">
        <v>138</v>
      </c>
      <c r="BX1638" s="15" t="s">
        <v>138</v>
      </c>
      <c r="BY1638" s="15" t="s">
        <v>175</v>
      </c>
      <c r="BZ1638" s="22">
        <v>42998</v>
      </c>
      <c r="CA1638" s="17">
        <v>9.2899999999999991</v>
      </c>
      <c r="CB1638" s="15" t="s">
        <v>172</v>
      </c>
      <c r="CC1638" s="17">
        <v>29.29</v>
      </c>
      <c r="CD1638" s="15" t="s">
        <v>172</v>
      </c>
      <c r="CE1638" s="15" t="s">
        <v>205</v>
      </c>
      <c r="CF1638" s="15" t="s">
        <v>206</v>
      </c>
      <c r="CG1638" s="15" t="s">
        <v>138</v>
      </c>
      <c r="CH1638" s="15" t="s">
        <v>174</v>
      </c>
      <c r="CI1638" s="15" t="s">
        <v>138</v>
      </c>
      <c r="CJ1638" s="15" t="s">
        <v>138</v>
      </c>
      <c r="CK1638" s="15" t="s">
        <v>138</v>
      </c>
      <c r="CL1638" s="15" t="s">
        <v>175</v>
      </c>
      <c r="CM1638" s="22" t="s">
        <v>138</v>
      </c>
      <c r="CN1638" s="17" t="s">
        <v>138</v>
      </c>
      <c r="CO1638" s="23">
        <v>0.22</v>
      </c>
      <c r="CP1638" s="24">
        <v>93</v>
      </c>
      <c r="CQ1638" s="23">
        <v>0.02</v>
      </c>
      <c r="CR1638" s="23">
        <v>8.68</v>
      </c>
      <c r="CS1638" s="23">
        <v>0.4</v>
      </c>
      <c r="CT1638" s="24">
        <v>95</v>
      </c>
      <c r="CU1638" s="23">
        <v>0.05</v>
      </c>
      <c r="CV1638" s="24">
        <v>58</v>
      </c>
      <c r="CW1638" s="23">
        <v>1.61</v>
      </c>
      <c r="CX1638" s="24">
        <v>87</v>
      </c>
      <c r="CY1638" s="23">
        <v>-0.8</v>
      </c>
      <c r="CZ1638" s="24">
        <v>20</v>
      </c>
      <c r="DA1638" s="23">
        <v>0.05</v>
      </c>
      <c r="DB1638" s="24">
        <v>64</v>
      </c>
      <c r="DC1638" s="25">
        <v>3.02</v>
      </c>
      <c r="DD1638" s="24">
        <v>75</v>
      </c>
      <c r="DE1638" s="25">
        <v>-0.08</v>
      </c>
      <c r="DF1638" s="23">
        <v>-2.6</v>
      </c>
      <c r="DG1638" s="25">
        <v>4.5199999999999996</v>
      </c>
      <c r="DH1638" s="24">
        <v>81</v>
      </c>
      <c r="DI1638" s="25">
        <v>1.53</v>
      </c>
      <c r="DJ1638" s="24">
        <v>57</v>
      </c>
      <c r="DK1638" s="25">
        <v>3.45</v>
      </c>
      <c r="DL1638" s="24">
        <v>74</v>
      </c>
      <c r="DM1638" s="25">
        <v>5.59</v>
      </c>
      <c r="DN1638" s="24">
        <v>83</v>
      </c>
      <c r="DO1638" s="25">
        <v>1.53</v>
      </c>
      <c r="DP1638" s="24">
        <v>58</v>
      </c>
      <c r="DQ1638" s="24">
        <v>1130</v>
      </c>
      <c r="DR1638" s="26">
        <v>161</v>
      </c>
      <c r="DS1638" s="23">
        <v>16.62</v>
      </c>
      <c r="DT1638" s="24">
        <v>161</v>
      </c>
      <c r="DU1638" s="26">
        <v>3</v>
      </c>
      <c r="DV1638" s="23">
        <v>1.9</v>
      </c>
      <c r="DW1638" s="24">
        <v>547</v>
      </c>
      <c r="DX1638" s="27">
        <v>1</v>
      </c>
      <c r="DY1638" s="23">
        <v>0.18</v>
      </c>
      <c r="DZ1638" s="15" t="s">
        <v>178</v>
      </c>
      <c r="EA1638" s="22">
        <v>43351</v>
      </c>
      <c r="EB1638" s="17">
        <v>29.29</v>
      </c>
      <c r="EC1638" s="22">
        <v>42998</v>
      </c>
      <c r="ED1638" s="15" t="s">
        <v>205</v>
      </c>
      <c r="EE1638" s="14" t="str">
        <f>HYPERLINK("https://my.pitchbook.com?c=129255-04", "View company online")</f>
        <v>View company online</v>
      </c>
    </row>
    <row r="1639" spans="1:135">
      <c r="A1639" s="28" t="s">
        <v>31300</v>
      </c>
      <c r="B1639" s="28" t="s">
        <v>31301</v>
      </c>
      <c r="C1639" s="28" t="s">
        <v>31302</v>
      </c>
      <c r="D1639" s="28" t="s">
        <v>138</v>
      </c>
      <c r="E1639" s="28" t="s">
        <v>31303</v>
      </c>
      <c r="F1639" s="28" t="s">
        <v>31300</v>
      </c>
      <c r="G1639" s="28" t="s">
        <v>31304</v>
      </c>
      <c r="H1639" s="28" t="s">
        <v>322</v>
      </c>
      <c r="I1639" s="28" t="s">
        <v>323</v>
      </c>
      <c r="J1639" s="28" t="s">
        <v>1132</v>
      </c>
      <c r="K1639" s="28" t="s">
        <v>31305</v>
      </c>
      <c r="L1639" s="28" t="s">
        <v>5101</v>
      </c>
      <c r="M1639" s="28" t="s">
        <v>31306</v>
      </c>
      <c r="N1639" s="28" t="s">
        <v>147</v>
      </c>
      <c r="O1639" s="29">
        <v>63.34</v>
      </c>
      <c r="P1639" s="28" t="s">
        <v>148</v>
      </c>
      <c r="Q1639" s="28" t="s">
        <v>149</v>
      </c>
      <c r="R1639" s="28" t="s">
        <v>244</v>
      </c>
      <c r="S1639" s="28" t="s">
        <v>31307</v>
      </c>
      <c r="T1639" s="30">
        <v>220</v>
      </c>
      <c r="U1639" s="28" t="s">
        <v>31308</v>
      </c>
      <c r="V1639" s="28" t="s">
        <v>138</v>
      </c>
      <c r="W1639" s="28" t="s">
        <v>138</v>
      </c>
      <c r="X1639" s="31">
        <v>2006</v>
      </c>
      <c r="Y1639" s="28" t="s">
        <v>138</v>
      </c>
      <c r="Z1639" s="28" t="s">
        <v>138</v>
      </c>
      <c r="AA1639" s="28" t="s">
        <v>138</v>
      </c>
      <c r="AB1639" s="32" t="s">
        <v>138</v>
      </c>
      <c r="AC1639" s="32" t="s">
        <v>138</v>
      </c>
      <c r="AD1639" s="32" t="s">
        <v>138</v>
      </c>
      <c r="AE1639" s="32" t="s">
        <v>138</v>
      </c>
      <c r="AF1639" s="32" t="s">
        <v>138</v>
      </c>
      <c r="AG1639" s="28" t="s">
        <v>138</v>
      </c>
      <c r="AH1639" s="32" t="s">
        <v>138</v>
      </c>
      <c r="AI1639" s="32" t="s">
        <v>138</v>
      </c>
      <c r="AJ1639" s="32" t="s">
        <v>138</v>
      </c>
      <c r="AK1639" s="28" t="s">
        <v>31309</v>
      </c>
      <c r="AL1639" s="28" t="s">
        <v>31310</v>
      </c>
      <c r="AM1639" s="28" t="s">
        <v>221</v>
      </c>
      <c r="AN1639" s="28" t="s">
        <v>31311</v>
      </c>
      <c r="AO1639" s="28" t="s">
        <v>31312</v>
      </c>
      <c r="AP1639" s="28" t="s">
        <v>2002</v>
      </c>
      <c r="AQ1639" s="28" t="s">
        <v>31313</v>
      </c>
      <c r="AR1639" s="28" t="s">
        <v>25036</v>
      </c>
      <c r="AS1639" s="28" t="s">
        <v>2005</v>
      </c>
      <c r="AT1639" s="28" t="s">
        <v>200</v>
      </c>
      <c r="AU1639" s="28" t="s">
        <v>31314</v>
      </c>
      <c r="AV1639" s="28" t="s">
        <v>162</v>
      </c>
      <c r="AW1639" s="28" t="s">
        <v>31312</v>
      </c>
      <c r="AX1639" s="28" t="s">
        <v>138</v>
      </c>
      <c r="AY1639" s="28" t="s">
        <v>31315</v>
      </c>
      <c r="AZ1639" s="28" t="s">
        <v>164</v>
      </c>
      <c r="BA1639" s="28" t="s">
        <v>165</v>
      </c>
      <c r="BB1639" s="28" t="s">
        <v>31316</v>
      </c>
      <c r="BC1639" s="28" t="s">
        <v>31317</v>
      </c>
      <c r="BD1639" s="33">
        <v>15</v>
      </c>
      <c r="BE1639" s="28" t="s">
        <v>138</v>
      </c>
      <c r="BF1639" s="28" t="s">
        <v>138</v>
      </c>
      <c r="BG1639" s="28" t="s">
        <v>138</v>
      </c>
      <c r="BH1639" s="28" t="s">
        <v>31318</v>
      </c>
      <c r="BI1639" s="28" t="s">
        <v>138</v>
      </c>
      <c r="BJ1639" s="28" t="s">
        <v>138</v>
      </c>
      <c r="BK1639" s="28" t="s">
        <v>31319</v>
      </c>
      <c r="BL1639" s="28" t="s">
        <v>31320</v>
      </c>
      <c r="BM1639" s="34">
        <v>40841</v>
      </c>
      <c r="BN1639" s="29">
        <v>1.5</v>
      </c>
      <c r="BO1639" s="28" t="s">
        <v>1178</v>
      </c>
      <c r="BP1639" s="29">
        <v>9</v>
      </c>
      <c r="BQ1639" s="28" t="s">
        <v>1178</v>
      </c>
      <c r="BR1639" s="28" t="s">
        <v>205</v>
      </c>
      <c r="BS1639" s="28" t="s">
        <v>206</v>
      </c>
      <c r="BT1639" s="28" t="s">
        <v>138</v>
      </c>
      <c r="BU1639" s="28" t="s">
        <v>174</v>
      </c>
      <c r="BV1639" s="28" t="s">
        <v>1397</v>
      </c>
      <c r="BW1639" s="28" t="s">
        <v>138</v>
      </c>
      <c r="BX1639" s="28" t="s">
        <v>138</v>
      </c>
      <c r="BY1639" s="28" t="s">
        <v>175</v>
      </c>
      <c r="BZ1639" s="34">
        <v>43191</v>
      </c>
      <c r="CA1639" s="29">
        <v>10</v>
      </c>
      <c r="CB1639" s="28" t="s">
        <v>172</v>
      </c>
      <c r="CC1639" s="29" t="s">
        <v>138</v>
      </c>
      <c r="CD1639" s="28" t="s">
        <v>138</v>
      </c>
      <c r="CE1639" s="28" t="s">
        <v>1326</v>
      </c>
      <c r="CF1639" s="28" t="s">
        <v>138</v>
      </c>
      <c r="CG1639" s="28" t="s">
        <v>138</v>
      </c>
      <c r="CH1639" s="28" t="s">
        <v>1327</v>
      </c>
      <c r="CI1639" s="28" t="s">
        <v>1397</v>
      </c>
      <c r="CJ1639" s="28" t="s">
        <v>138</v>
      </c>
      <c r="CK1639" s="28" t="s">
        <v>138</v>
      </c>
      <c r="CL1639" s="28" t="s">
        <v>175</v>
      </c>
      <c r="CM1639" s="34">
        <v>43191</v>
      </c>
      <c r="CN1639" s="29">
        <v>10</v>
      </c>
      <c r="CO1639" s="35">
        <v>-0.65</v>
      </c>
      <c r="CP1639" s="36">
        <v>14</v>
      </c>
      <c r="CQ1639" s="35">
        <v>0</v>
      </c>
      <c r="CR1639" s="35">
        <v>-0.57999999999999996</v>
      </c>
      <c r="CS1639" s="35">
        <v>-1.34</v>
      </c>
      <c r="CT1639" s="36">
        <v>13</v>
      </c>
      <c r="CU1639" s="35">
        <v>0.05</v>
      </c>
      <c r="CV1639" s="36">
        <v>58</v>
      </c>
      <c r="CW1639" s="35">
        <v>-1.86</v>
      </c>
      <c r="CX1639" s="36">
        <v>7</v>
      </c>
      <c r="CY1639" s="35">
        <v>-0.83</v>
      </c>
      <c r="CZ1639" s="36">
        <v>20</v>
      </c>
      <c r="DA1639" s="35">
        <v>0.09</v>
      </c>
      <c r="DB1639" s="36">
        <v>70</v>
      </c>
      <c r="DC1639" s="37">
        <v>263.98</v>
      </c>
      <c r="DD1639" s="36">
        <v>100</v>
      </c>
      <c r="DE1639" s="37">
        <v>-14.1</v>
      </c>
      <c r="DF1639" s="35">
        <v>-5.07</v>
      </c>
      <c r="DG1639" s="37">
        <v>464.56</v>
      </c>
      <c r="DH1639" s="36">
        <v>100</v>
      </c>
      <c r="DI1639" s="37">
        <v>63.4</v>
      </c>
      <c r="DJ1639" s="36">
        <v>96</v>
      </c>
      <c r="DK1639" s="37">
        <v>447.27</v>
      </c>
      <c r="DL1639" s="36">
        <v>100</v>
      </c>
      <c r="DM1639" s="37">
        <v>481.86</v>
      </c>
      <c r="DN1639" s="36">
        <v>100</v>
      </c>
      <c r="DO1639" s="37">
        <v>45.72</v>
      </c>
      <c r="DP1639" s="36">
        <v>96</v>
      </c>
      <c r="DQ1639" s="36">
        <v>153317</v>
      </c>
      <c r="DR1639" s="38">
        <v>283</v>
      </c>
      <c r="DS1639" s="35">
        <v>0.18</v>
      </c>
      <c r="DT1639" s="36">
        <v>13964</v>
      </c>
      <c r="DU1639" s="38">
        <v>59</v>
      </c>
      <c r="DV1639" s="35">
        <v>0.42</v>
      </c>
      <c r="DW1639" s="36">
        <v>16361</v>
      </c>
      <c r="DX1639" s="39">
        <v>10</v>
      </c>
      <c r="DY1639" s="35">
        <v>0.06</v>
      </c>
      <c r="DZ1639" s="28" t="s">
        <v>178</v>
      </c>
      <c r="EA1639" s="34">
        <v>43622</v>
      </c>
      <c r="EB1639" s="29">
        <v>150</v>
      </c>
      <c r="EC1639" s="34">
        <v>42643</v>
      </c>
      <c r="ED1639" s="28" t="s">
        <v>173</v>
      </c>
      <c r="EE1639" s="40" t="str">
        <f>HYPERLINK("https://my.pitchbook.com?c=92542-33", "View company online")</f>
        <v>View company online</v>
      </c>
    </row>
    <row r="1640" spans="1:135">
      <c r="A1640" s="15" t="s">
        <v>31321</v>
      </c>
      <c r="B1640" s="15" t="s">
        <v>31322</v>
      </c>
      <c r="C1640" s="15" t="s">
        <v>138</v>
      </c>
      <c r="D1640" s="15" t="s">
        <v>138</v>
      </c>
      <c r="E1640" s="15" t="s">
        <v>138</v>
      </c>
      <c r="F1640" s="15" t="s">
        <v>31321</v>
      </c>
      <c r="G1640" s="15" t="s">
        <v>31323</v>
      </c>
      <c r="H1640" s="15" t="s">
        <v>322</v>
      </c>
      <c r="I1640" s="15" t="s">
        <v>323</v>
      </c>
      <c r="J1640" s="15" t="s">
        <v>9497</v>
      </c>
      <c r="K1640" s="15" t="s">
        <v>31324</v>
      </c>
      <c r="L1640" s="15" t="s">
        <v>31325</v>
      </c>
      <c r="M1640" s="15" t="s">
        <v>31326</v>
      </c>
      <c r="N1640" s="15" t="s">
        <v>147</v>
      </c>
      <c r="O1640" s="17">
        <v>13.06</v>
      </c>
      <c r="P1640" s="15" t="s">
        <v>148</v>
      </c>
      <c r="Q1640" s="15" t="s">
        <v>149</v>
      </c>
      <c r="R1640" s="15" t="s">
        <v>174</v>
      </c>
      <c r="S1640" s="15" t="s">
        <v>31327</v>
      </c>
      <c r="T1640" s="18" t="s">
        <v>138</v>
      </c>
      <c r="U1640" s="15" t="s">
        <v>138</v>
      </c>
      <c r="V1640" s="15" t="s">
        <v>138</v>
      </c>
      <c r="W1640" s="15" t="s">
        <v>138</v>
      </c>
      <c r="X1640" s="19">
        <v>2012</v>
      </c>
      <c r="Y1640" s="15" t="s">
        <v>138</v>
      </c>
      <c r="Z1640" s="15" t="s">
        <v>138</v>
      </c>
      <c r="AA1640" s="15" t="s">
        <v>138</v>
      </c>
      <c r="AB1640" s="20" t="s">
        <v>138</v>
      </c>
      <c r="AC1640" s="20" t="s">
        <v>138</v>
      </c>
      <c r="AD1640" s="20" t="s">
        <v>138</v>
      </c>
      <c r="AE1640" s="20" t="s">
        <v>138</v>
      </c>
      <c r="AF1640" s="20" t="s">
        <v>138</v>
      </c>
      <c r="AG1640" s="15" t="s">
        <v>138</v>
      </c>
      <c r="AH1640" s="20" t="s">
        <v>138</v>
      </c>
      <c r="AI1640" s="20" t="s">
        <v>138</v>
      </c>
      <c r="AJ1640" s="20" t="s">
        <v>138</v>
      </c>
      <c r="AK1640" s="15" t="s">
        <v>31328</v>
      </c>
      <c r="AL1640" s="15" t="s">
        <v>31329</v>
      </c>
      <c r="AM1640" s="15" t="s">
        <v>304</v>
      </c>
      <c r="AN1640" s="15" t="s">
        <v>31330</v>
      </c>
      <c r="AO1640" s="15" t="s">
        <v>138</v>
      </c>
      <c r="AP1640" s="15" t="s">
        <v>4601</v>
      </c>
      <c r="AQ1640" s="15" t="s">
        <v>31331</v>
      </c>
      <c r="AR1640" s="15" t="s">
        <v>31332</v>
      </c>
      <c r="AS1640" s="15" t="s">
        <v>4604</v>
      </c>
      <c r="AT1640" s="15" t="s">
        <v>31333</v>
      </c>
      <c r="AU1640" s="15" t="s">
        <v>31334</v>
      </c>
      <c r="AV1640" s="15" t="s">
        <v>2071</v>
      </c>
      <c r="AW1640" s="15" t="s">
        <v>138</v>
      </c>
      <c r="AX1640" s="15" t="s">
        <v>138</v>
      </c>
      <c r="AY1640" s="15" t="s">
        <v>31335</v>
      </c>
      <c r="AZ1640" s="15" t="s">
        <v>452</v>
      </c>
      <c r="BA1640" s="15" t="s">
        <v>453</v>
      </c>
      <c r="BB1640" s="15" t="s">
        <v>31336</v>
      </c>
      <c r="BC1640" s="15" t="s">
        <v>31337</v>
      </c>
      <c r="BD1640" s="21">
        <v>4</v>
      </c>
      <c r="BE1640" s="15" t="s">
        <v>138</v>
      </c>
      <c r="BF1640" s="15" t="s">
        <v>31338</v>
      </c>
      <c r="BG1640" s="15" t="s">
        <v>138</v>
      </c>
      <c r="BH1640" s="15" t="s">
        <v>31339</v>
      </c>
      <c r="BI1640" s="15" t="s">
        <v>31340</v>
      </c>
      <c r="BJ1640" s="15" t="s">
        <v>138</v>
      </c>
      <c r="BK1640" s="15" t="s">
        <v>138</v>
      </c>
      <c r="BL1640" s="15" t="s">
        <v>138</v>
      </c>
      <c r="BM1640" s="22">
        <v>41456</v>
      </c>
      <c r="BN1640" s="17">
        <v>0.89</v>
      </c>
      <c r="BO1640" s="15" t="s">
        <v>172</v>
      </c>
      <c r="BP1640" s="17" t="s">
        <v>138</v>
      </c>
      <c r="BQ1640" s="15" t="s">
        <v>138</v>
      </c>
      <c r="BR1640" s="15" t="s">
        <v>205</v>
      </c>
      <c r="BS1640" s="15" t="s">
        <v>138</v>
      </c>
      <c r="BT1640" s="15" t="s">
        <v>138</v>
      </c>
      <c r="BU1640" s="15" t="s">
        <v>174</v>
      </c>
      <c r="BV1640" s="15" t="s">
        <v>138</v>
      </c>
      <c r="BW1640" s="15" t="s">
        <v>138</v>
      </c>
      <c r="BX1640" s="15" t="s">
        <v>138</v>
      </c>
      <c r="BY1640" s="15" t="s">
        <v>175</v>
      </c>
      <c r="BZ1640" s="22">
        <v>43383</v>
      </c>
      <c r="CA1640" s="17">
        <v>6.5</v>
      </c>
      <c r="CB1640" s="15" t="s">
        <v>172</v>
      </c>
      <c r="CC1640" s="17" t="s">
        <v>138</v>
      </c>
      <c r="CD1640" s="15" t="s">
        <v>138</v>
      </c>
      <c r="CE1640" s="15" t="s">
        <v>173</v>
      </c>
      <c r="CF1640" s="15" t="s">
        <v>138</v>
      </c>
      <c r="CG1640" s="15" t="s">
        <v>138</v>
      </c>
      <c r="CH1640" s="15" t="s">
        <v>174</v>
      </c>
      <c r="CI1640" s="15" t="s">
        <v>138</v>
      </c>
      <c r="CJ1640" s="15" t="s">
        <v>138</v>
      </c>
      <c r="CK1640" s="15" t="s">
        <v>138</v>
      </c>
      <c r="CL1640" s="15" t="s">
        <v>175</v>
      </c>
      <c r="CM1640" s="22" t="s">
        <v>138</v>
      </c>
      <c r="CN1640" s="17" t="s">
        <v>138</v>
      </c>
      <c r="CO1640" s="23">
        <v>-1.3</v>
      </c>
      <c r="CP1640" s="24">
        <v>9</v>
      </c>
      <c r="CQ1640" s="23">
        <v>-0.01</v>
      </c>
      <c r="CR1640" s="23">
        <v>-1.1100000000000001</v>
      </c>
      <c r="CS1640" s="23">
        <v>-2.6</v>
      </c>
      <c r="CT1640" s="24">
        <v>6</v>
      </c>
      <c r="CU1640" s="23" t="s">
        <v>138</v>
      </c>
      <c r="CV1640" s="24" t="s">
        <v>138</v>
      </c>
      <c r="CW1640" s="23" t="s">
        <v>138</v>
      </c>
      <c r="CX1640" s="24" t="s">
        <v>138</v>
      </c>
      <c r="CY1640" s="23">
        <v>-2.6</v>
      </c>
      <c r="CZ1640" s="24">
        <v>8</v>
      </c>
      <c r="DA1640" s="23" t="s">
        <v>138</v>
      </c>
      <c r="DB1640" s="24" t="s">
        <v>138</v>
      </c>
      <c r="DC1640" s="25">
        <v>7.78</v>
      </c>
      <c r="DD1640" s="24">
        <v>88</v>
      </c>
      <c r="DE1640" s="25">
        <v>-0.04</v>
      </c>
      <c r="DF1640" s="23">
        <v>-0.49</v>
      </c>
      <c r="DG1640" s="25">
        <v>14.97</v>
      </c>
      <c r="DH1640" s="24">
        <v>93</v>
      </c>
      <c r="DI1640" s="25" t="s">
        <v>138</v>
      </c>
      <c r="DJ1640" s="24" t="s">
        <v>138</v>
      </c>
      <c r="DK1640" s="25" t="s">
        <v>138</v>
      </c>
      <c r="DL1640" s="24" t="s">
        <v>138</v>
      </c>
      <c r="DM1640" s="25">
        <v>14.97</v>
      </c>
      <c r="DN1640" s="24">
        <v>92</v>
      </c>
      <c r="DO1640" s="25" t="s">
        <v>138</v>
      </c>
      <c r="DP1640" s="24" t="s">
        <v>138</v>
      </c>
      <c r="DQ1640" s="24" t="s">
        <v>138</v>
      </c>
      <c r="DR1640" s="26" t="s">
        <v>138</v>
      </c>
      <c r="DS1640" s="23" t="s">
        <v>138</v>
      </c>
      <c r="DT1640" s="24">
        <v>435</v>
      </c>
      <c r="DU1640" s="26">
        <v>-1</v>
      </c>
      <c r="DV1640" s="23">
        <v>-0.23</v>
      </c>
      <c r="DW1640" s="24" t="s">
        <v>138</v>
      </c>
      <c r="DX1640" s="27" t="s">
        <v>138</v>
      </c>
      <c r="DY1640" s="23" t="s">
        <v>138</v>
      </c>
      <c r="DZ1640" s="15" t="s">
        <v>178</v>
      </c>
      <c r="EA1640" s="22">
        <v>43622</v>
      </c>
      <c r="EB1640" s="17" t="s">
        <v>138</v>
      </c>
      <c r="EC1640" s="22" t="s">
        <v>138</v>
      </c>
      <c r="ED1640" s="15" t="s">
        <v>138</v>
      </c>
      <c r="EE1640" s="14" t="str">
        <f>HYPERLINK("https://my.pitchbook.com?c=103890-70", "View company online")</f>
        <v>View company online</v>
      </c>
    </row>
    <row r="1641" spans="1:135">
      <c r="A1641" s="28" t="s">
        <v>31341</v>
      </c>
      <c r="B1641" s="28" t="s">
        <v>31342</v>
      </c>
      <c r="C1641" s="28" t="s">
        <v>31343</v>
      </c>
      <c r="D1641" s="28" t="s">
        <v>138</v>
      </c>
      <c r="E1641" s="28" t="s">
        <v>31344</v>
      </c>
      <c r="F1641" s="28" t="s">
        <v>31341</v>
      </c>
      <c r="G1641" s="28" t="s">
        <v>31345</v>
      </c>
      <c r="H1641" s="28" t="s">
        <v>322</v>
      </c>
      <c r="I1641" s="28" t="s">
        <v>323</v>
      </c>
      <c r="J1641" s="28" t="s">
        <v>413</v>
      </c>
      <c r="K1641" s="28" t="s">
        <v>31346</v>
      </c>
      <c r="L1641" s="28" t="s">
        <v>13076</v>
      </c>
      <c r="M1641" s="28" t="s">
        <v>31347</v>
      </c>
      <c r="N1641" s="28" t="s">
        <v>147</v>
      </c>
      <c r="O1641" s="29">
        <v>265.7</v>
      </c>
      <c r="P1641" s="28" t="s">
        <v>148</v>
      </c>
      <c r="Q1641" s="28" t="s">
        <v>149</v>
      </c>
      <c r="R1641" s="28" t="s">
        <v>174</v>
      </c>
      <c r="S1641" s="28" t="s">
        <v>31348</v>
      </c>
      <c r="T1641" s="30">
        <v>300</v>
      </c>
      <c r="U1641" s="28" t="s">
        <v>31349</v>
      </c>
      <c r="V1641" s="28" t="s">
        <v>138</v>
      </c>
      <c r="W1641" s="28" t="s">
        <v>138</v>
      </c>
      <c r="X1641" s="31">
        <v>2011</v>
      </c>
      <c r="Y1641" s="28" t="s">
        <v>138</v>
      </c>
      <c r="Z1641" s="28" t="s">
        <v>138</v>
      </c>
      <c r="AA1641" s="28" t="s">
        <v>138</v>
      </c>
      <c r="AB1641" s="32">
        <v>200</v>
      </c>
      <c r="AC1641" s="32" t="s">
        <v>138</v>
      </c>
      <c r="AD1641" s="32" t="s">
        <v>138</v>
      </c>
      <c r="AE1641" s="32" t="s">
        <v>138</v>
      </c>
      <c r="AF1641" s="32" t="s">
        <v>138</v>
      </c>
      <c r="AG1641" s="28" t="s">
        <v>419</v>
      </c>
      <c r="AH1641" s="32" t="s">
        <v>138</v>
      </c>
      <c r="AI1641" s="32" t="s">
        <v>138</v>
      </c>
      <c r="AJ1641" s="32" t="s">
        <v>138</v>
      </c>
      <c r="AK1641" s="28" t="s">
        <v>31350</v>
      </c>
      <c r="AL1641" s="28" t="s">
        <v>31351</v>
      </c>
      <c r="AM1641" s="28" t="s">
        <v>2949</v>
      </c>
      <c r="AN1641" s="28" t="s">
        <v>31352</v>
      </c>
      <c r="AO1641" s="28" t="s">
        <v>31353</v>
      </c>
      <c r="AP1641" s="28" t="s">
        <v>423</v>
      </c>
      <c r="AQ1641" s="28" t="s">
        <v>31354</v>
      </c>
      <c r="AR1641" s="28" t="s">
        <v>138</v>
      </c>
      <c r="AS1641" s="28" t="s">
        <v>426</v>
      </c>
      <c r="AT1641" s="28" t="s">
        <v>426</v>
      </c>
      <c r="AU1641" s="28" t="s">
        <v>8757</v>
      </c>
      <c r="AV1641" s="28" t="s">
        <v>162</v>
      </c>
      <c r="AW1641" s="28" t="s">
        <v>31353</v>
      </c>
      <c r="AX1641" s="28" t="s">
        <v>138</v>
      </c>
      <c r="AY1641" s="28" t="s">
        <v>31355</v>
      </c>
      <c r="AZ1641" s="28" t="s">
        <v>164</v>
      </c>
      <c r="BA1641" s="28" t="s">
        <v>165</v>
      </c>
      <c r="BB1641" s="28" t="s">
        <v>31356</v>
      </c>
      <c r="BC1641" s="28" t="s">
        <v>31357</v>
      </c>
      <c r="BD1641" s="33">
        <v>57</v>
      </c>
      <c r="BE1641" s="28" t="s">
        <v>138</v>
      </c>
      <c r="BF1641" s="28" t="s">
        <v>138</v>
      </c>
      <c r="BG1641" s="28" t="s">
        <v>138</v>
      </c>
      <c r="BH1641" s="28" t="s">
        <v>31358</v>
      </c>
      <c r="BI1641" s="28" t="s">
        <v>138</v>
      </c>
      <c r="BJ1641" s="28" t="s">
        <v>138</v>
      </c>
      <c r="BK1641" s="28" t="s">
        <v>31359</v>
      </c>
      <c r="BL1641" s="28" t="s">
        <v>31360</v>
      </c>
      <c r="BM1641" s="34">
        <v>40544</v>
      </c>
      <c r="BN1641" s="29" t="s">
        <v>138</v>
      </c>
      <c r="BO1641" s="28" t="s">
        <v>138</v>
      </c>
      <c r="BP1641" s="29" t="s">
        <v>138</v>
      </c>
      <c r="BQ1641" s="28" t="s">
        <v>138</v>
      </c>
      <c r="BR1641" s="28" t="s">
        <v>316</v>
      </c>
      <c r="BS1641" s="28" t="s">
        <v>138</v>
      </c>
      <c r="BT1641" s="28" t="s">
        <v>138</v>
      </c>
      <c r="BU1641" s="28" t="s">
        <v>177</v>
      </c>
      <c r="BV1641" s="28" t="s">
        <v>138</v>
      </c>
      <c r="BW1641" s="28" t="s">
        <v>138</v>
      </c>
      <c r="BX1641" s="28" t="s">
        <v>138</v>
      </c>
      <c r="BY1641" s="28" t="s">
        <v>175</v>
      </c>
      <c r="BZ1641" s="34">
        <v>43556</v>
      </c>
      <c r="CA1641" s="29">
        <v>5</v>
      </c>
      <c r="CB1641" s="28" t="s">
        <v>172</v>
      </c>
      <c r="CC1641" s="29" t="s">
        <v>138</v>
      </c>
      <c r="CD1641" s="28" t="s">
        <v>138</v>
      </c>
      <c r="CE1641" s="28" t="s">
        <v>173</v>
      </c>
      <c r="CF1641" s="28" t="s">
        <v>138</v>
      </c>
      <c r="CG1641" s="28" t="s">
        <v>138</v>
      </c>
      <c r="CH1641" s="28" t="s">
        <v>174</v>
      </c>
      <c r="CI1641" s="28" t="s">
        <v>138</v>
      </c>
      <c r="CJ1641" s="28" t="s">
        <v>138</v>
      </c>
      <c r="CK1641" s="28" t="s">
        <v>138</v>
      </c>
      <c r="CL1641" s="28" t="s">
        <v>175</v>
      </c>
      <c r="CM1641" s="34" t="s">
        <v>138</v>
      </c>
      <c r="CN1641" s="29" t="s">
        <v>138</v>
      </c>
      <c r="CO1641" s="35">
        <v>0.98</v>
      </c>
      <c r="CP1641" s="36">
        <v>97</v>
      </c>
      <c r="CQ1641" s="35">
        <v>-0.02</v>
      </c>
      <c r="CR1641" s="35">
        <v>-2.35</v>
      </c>
      <c r="CS1641" s="35">
        <v>2.44</v>
      </c>
      <c r="CT1641" s="36">
        <v>99</v>
      </c>
      <c r="CU1641" s="35">
        <v>0.14000000000000001</v>
      </c>
      <c r="CV1641" s="36">
        <v>74</v>
      </c>
      <c r="CW1641" s="35">
        <v>5.77</v>
      </c>
      <c r="CX1641" s="36">
        <v>97</v>
      </c>
      <c r="CY1641" s="35">
        <v>-0.88</v>
      </c>
      <c r="CZ1641" s="36">
        <v>20</v>
      </c>
      <c r="DA1641" s="35">
        <v>0.21</v>
      </c>
      <c r="DB1641" s="36">
        <v>83</v>
      </c>
      <c r="DC1641" s="37">
        <v>492.29</v>
      </c>
      <c r="DD1641" s="36">
        <v>100</v>
      </c>
      <c r="DE1641" s="37">
        <v>-3.59</v>
      </c>
      <c r="DF1641" s="35">
        <v>-0.72</v>
      </c>
      <c r="DG1641" s="37">
        <v>582.91</v>
      </c>
      <c r="DH1641" s="36">
        <v>100</v>
      </c>
      <c r="DI1641" s="37">
        <v>267.41000000000003</v>
      </c>
      <c r="DJ1641" s="36">
        <v>99</v>
      </c>
      <c r="DK1641" s="37">
        <v>1149.6500000000001</v>
      </c>
      <c r="DL1641" s="36">
        <v>100</v>
      </c>
      <c r="DM1641" s="37">
        <v>16.170000000000002</v>
      </c>
      <c r="DN1641" s="36">
        <v>93</v>
      </c>
      <c r="DO1641" s="37">
        <v>82.37</v>
      </c>
      <c r="DP1641" s="36">
        <v>98</v>
      </c>
      <c r="DQ1641" s="36">
        <v>386541</v>
      </c>
      <c r="DR1641" s="38">
        <v>23366</v>
      </c>
      <c r="DS1641" s="35">
        <v>6.43</v>
      </c>
      <c r="DT1641" s="36">
        <v>469</v>
      </c>
      <c r="DU1641" s="38">
        <v>0</v>
      </c>
      <c r="DV1641" s="35">
        <v>0</v>
      </c>
      <c r="DW1641" s="36">
        <v>29476</v>
      </c>
      <c r="DX1641" s="39">
        <v>47</v>
      </c>
      <c r="DY1641" s="35">
        <v>0.16</v>
      </c>
      <c r="DZ1641" s="28" t="s">
        <v>178</v>
      </c>
      <c r="EA1641" s="34">
        <v>43622</v>
      </c>
      <c r="EB1641" s="29">
        <v>610</v>
      </c>
      <c r="EC1641" s="34">
        <v>43306</v>
      </c>
      <c r="ED1641" s="28" t="s">
        <v>173</v>
      </c>
      <c r="EE1641" s="40" t="str">
        <f>HYPERLINK("https://my.pitchbook.com?c=54710-65", "View company online")</f>
        <v>View company online</v>
      </c>
    </row>
    <row r="1642" spans="1:135">
      <c r="A1642" s="15" t="s">
        <v>31361</v>
      </c>
      <c r="B1642" s="15" t="s">
        <v>31362</v>
      </c>
      <c r="C1642" s="15" t="s">
        <v>138</v>
      </c>
      <c r="D1642" s="15" t="s">
        <v>138</v>
      </c>
      <c r="E1642" s="15" t="s">
        <v>31363</v>
      </c>
      <c r="F1642" s="15" t="s">
        <v>31361</v>
      </c>
      <c r="G1642" s="15" t="s">
        <v>31364</v>
      </c>
      <c r="H1642" s="15" t="s">
        <v>322</v>
      </c>
      <c r="I1642" s="15" t="s">
        <v>323</v>
      </c>
      <c r="J1642" s="15" t="s">
        <v>461</v>
      </c>
      <c r="K1642" s="15" t="s">
        <v>2209</v>
      </c>
      <c r="L1642" s="15" t="s">
        <v>2210</v>
      </c>
      <c r="M1642" s="15" t="s">
        <v>31365</v>
      </c>
      <c r="N1642" s="15" t="s">
        <v>147</v>
      </c>
      <c r="O1642" s="17">
        <v>92</v>
      </c>
      <c r="P1642" s="15" t="s">
        <v>148</v>
      </c>
      <c r="Q1642" s="15" t="s">
        <v>149</v>
      </c>
      <c r="R1642" s="15" t="s">
        <v>174</v>
      </c>
      <c r="S1642" s="15" t="s">
        <v>31366</v>
      </c>
      <c r="T1642" s="18">
        <v>45</v>
      </c>
      <c r="U1642" s="15" t="s">
        <v>31367</v>
      </c>
      <c r="V1642" s="15" t="s">
        <v>138</v>
      </c>
      <c r="W1642" s="15" t="s">
        <v>138</v>
      </c>
      <c r="X1642" s="19">
        <v>2014</v>
      </c>
      <c r="Y1642" s="15" t="s">
        <v>138</v>
      </c>
      <c r="Z1642" s="15" t="s">
        <v>138</v>
      </c>
      <c r="AA1642" s="15" t="s">
        <v>26245</v>
      </c>
      <c r="AB1642" s="20" t="s">
        <v>138</v>
      </c>
      <c r="AC1642" s="20" t="s">
        <v>138</v>
      </c>
      <c r="AD1642" s="20" t="s">
        <v>138</v>
      </c>
      <c r="AE1642" s="20" t="s">
        <v>138</v>
      </c>
      <c r="AF1642" s="20" t="s">
        <v>138</v>
      </c>
      <c r="AG1642" s="15" t="s">
        <v>138</v>
      </c>
      <c r="AH1642" s="20" t="s">
        <v>138</v>
      </c>
      <c r="AI1642" s="20" t="s">
        <v>138</v>
      </c>
      <c r="AJ1642" s="20" t="s">
        <v>138</v>
      </c>
      <c r="AK1642" s="15" t="s">
        <v>31368</v>
      </c>
      <c r="AL1642" s="15" t="s">
        <v>31369</v>
      </c>
      <c r="AM1642" s="15" t="s">
        <v>249</v>
      </c>
      <c r="AN1642" s="15" t="s">
        <v>31370</v>
      </c>
      <c r="AO1642" s="15" t="s">
        <v>31371</v>
      </c>
      <c r="AP1642" s="15" t="s">
        <v>423</v>
      </c>
      <c r="AQ1642" s="15" t="s">
        <v>31372</v>
      </c>
      <c r="AR1642" s="15" t="s">
        <v>5294</v>
      </c>
      <c r="AS1642" s="15" t="s">
        <v>426</v>
      </c>
      <c r="AT1642" s="15" t="s">
        <v>426</v>
      </c>
      <c r="AU1642" s="15" t="s">
        <v>15134</v>
      </c>
      <c r="AV1642" s="15" t="s">
        <v>162</v>
      </c>
      <c r="AW1642" s="15" t="s">
        <v>31371</v>
      </c>
      <c r="AX1642" s="15" t="s">
        <v>138</v>
      </c>
      <c r="AY1642" s="15" t="s">
        <v>31373</v>
      </c>
      <c r="AZ1642" s="15" t="s">
        <v>164</v>
      </c>
      <c r="BA1642" s="15" t="s">
        <v>165</v>
      </c>
      <c r="BB1642" s="15" t="s">
        <v>31374</v>
      </c>
      <c r="BC1642" s="15" t="s">
        <v>31375</v>
      </c>
      <c r="BD1642" s="21">
        <v>19</v>
      </c>
      <c r="BE1642" s="15" t="s">
        <v>138</v>
      </c>
      <c r="BF1642" s="15" t="s">
        <v>138</v>
      </c>
      <c r="BG1642" s="15" t="s">
        <v>138</v>
      </c>
      <c r="BH1642" s="15" t="s">
        <v>31376</v>
      </c>
      <c r="BI1642" s="15" t="s">
        <v>138</v>
      </c>
      <c r="BJ1642" s="15" t="s">
        <v>138</v>
      </c>
      <c r="BK1642" s="15" t="s">
        <v>138</v>
      </c>
      <c r="BL1642" s="15" t="s">
        <v>2550</v>
      </c>
      <c r="BM1642" s="22">
        <v>41821</v>
      </c>
      <c r="BN1642" s="17" t="s">
        <v>138</v>
      </c>
      <c r="BO1642" s="15" t="s">
        <v>138</v>
      </c>
      <c r="BP1642" s="17" t="s">
        <v>138</v>
      </c>
      <c r="BQ1642" s="15" t="s">
        <v>138</v>
      </c>
      <c r="BR1642" s="15" t="s">
        <v>316</v>
      </c>
      <c r="BS1642" s="15" t="s">
        <v>138</v>
      </c>
      <c r="BT1642" s="15" t="s">
        <v>138</v>
      </c>
      <c r="BU1642" s="15" t="s">
        <v>177</v>
      </c>
      <c r="BV1642" s="15" t="s">
        <v>138</v>
      </c>
      <c r="BW1642" s="15" t="s">
        <v>138</v>
      </c>
      <c r="BX1642" s="15" t="s">
        <v>138</v>
      </c>
      <c r="BY1642" s="15" t="s">
        <v>175</v>
      </c>
      <c r="BZ1642" s="22">
        <v>43465</v>
      </c>
      <c r="CA1642" s="17" t="s">
        <v>138</v>
      </c>
      <c r="CB1642" s="15" t="s">
        <v>138</v>
      </c>
      <c r="CC1642" s="17" t="s">
        <v>138</v>
      </c>
      <c r="CD1642" s="15" t="s">
        <v>138</v>
      </c>
      <c r="CE1642" s="15" t="s">
        <v>173</v>
      </c>
      <c r="CF1642" s="15" t="s">
        <v>2359</v>
      </c>
      <c r="CG1642" s="15" t="s">
        <v>138</v>
      </c>
      <c r="CH1642" s="15" t="s">
        <v>174</v>
      </c>
      <c r="CI1642" s="15" t="s">
        <v>265</v>
      </c>
      <c r="CJ1642" s="15" t="s">
        <v>138</v>
      </c>
      <c r="CK1642" s="15" t="s">
        <v>138</v>
      </c>
      <c r="CL1642" s="15" t="s">
        <v>175</v>
      </c>
      <c r="CM1642" s="22" t="s">
        <v>138</v>
      </c>
      <c r="CN1642" s="17" t="s">
        <v>138</v>
      </c>
      <c r="CO1642" s="23">
        <v>-0.18</v>
      </c>
      <c r="CP1642" s="24">
        <v>20</v>
      </c>
      <c r="CQ1642" s="23">
        <v>0.04</v>
      </c>
      <c r="CR1642" s="23">
        <v>18.03</v>
      </c>
      <c r="CS1642" s="23">
        <v>-0.37</v>
      </c>
      <c r="CT1642" s="24">
        <v>20</v>
      </c>
      <c r="CU1642" s="23">
        <v>0</v>
      </c>
      <c r="CV1642" s="24">
        <v>22</v>
      </c>
      <c r="CW1642" s="23">
        <v>-0.52</v>
      </c>
      <c r="CX1642" s="24">
        <v>11</v>
      </c>
      <c r="CY1642" s="23">
        <v>-0.21</v>
      </c>
      <c r="CZ1642" s="24">
        <v>24</v>
      </c>
      <c r="DA1642" s="23">
        <v>0</v>
      </c>
      <c r="DB1642" s="24">
        <v>22</v>
      </c>
      <c r="DC1642" s="25">
        <v>4.3499999999999996</v>
      </c>
      <c r="DD1642" s="24">
        <v>81</v>
      </c>
      <c r="DE1642" s="25">
        <v>-7.0000000000000007E-2</v>
      </c>
      <c r="DF1642" s="23">
        <v>-1.66</v>
      </c>
      <c r="DG1642" s="25">
        <v>8.68</v>
      </c>
      <c r="DH1642" s="24">
        <v>88</v>
      </c>
      <c r="DI1642" s="25">
        <v>0.02</v>
      </c>
      <c r="DJ1642" s="24">
        <v>4</v>
      </c>
      <c r="DK1642" s="25">
        <v>3.63</v>
      </c>
      <c r="DL1642" s="24">
        <v>75</v>
      </c>
      <c r="DM1642" s="25">
        <v>13.72</v>
      </c>
      <c r="DN1642" s="24">
        <v>91</v>
      </c>
      <c r="DO1642" s="25">
        <v>0.02</v>
      </c>
      <c r="DP1642" s="24">
        <v>4</v>
      </c>
      <c r="DQ1642" s="24">
        <v>1221</v>
      </c>
      <c r="DR1642" s="26">
        <v>71</v>
      </c>
      <c r="DS1642" s="23">
        <v>6.17</v>
      </c>
      <c r="DT1642" s="24">
        <v>395</v>
      </c>
      <c r="DU1642" s="26">
        <v>6</v>
      </c>
      <c r="DV1642" s="23">
        <v>1.54</v>
      </c>
      <c r="DW1642" s="24">
        <v>6</v>
      </c>
      <c r="DX1642" s="27">
        <v>0</v>
      </c>
      <c r="DY1642" s="23">
        <v>0</v>
      </c>
      <c r="DZ1642" s="15" t="s">
        <v>178</v>
      </c>
      <c r="EA1642" s="22">
        <v>43615</v>
      </c>
      <c r="EB1642" s="17" t="s">
        <v>138</v>
      </c>
      <c r="EC1642" s="22" t="s">
        <v>138</v>
      </c>
      <c r="ED1642" s="15" t="s">
        <v>138</v>
      </c>
      <c r="EE1642" s="14" t="str">
        <f>HYPERLINK("https://my.pitchbook.com?c=166296-07", "View company online")</f>
        <v>View company online</v>
      </c>
    </row>
    <row r="1643" spans="1:135">
      <c r="A1643" s="28" t="s">
        <v>31377</v>
      </c>
      <c r="B1643" s="28" t="s">
        <v>31378</v>
      </c>
      <c r="C1643" s="28" t="s">
        <v>31379</v>
      </c>
      <c r="D1643" s="28" t="s">
        <v>138</v>
      </c>
      <c r="E1643" s="28" t="s">
        <v>31380</v>
      </c>
      <c r="F1643" s="28" t="s">
        <v>31377</v>
      </c>
      <c r="G1643" s="28" t="s">
        <v>31381</v>
      </c>
      <c r="H1643" s="28" t="s">
        <v>141</v>
      </c>
      <c r="I1643" s="28" t="s">
        <v>142</v>
      </c>
      <c r="J1643" s="28" t="s">
        <v>143</v>
      </c>
      <c r="K1643" s="28" t="s">
        <v>144</v>
      </c>
      <c r="L1643" s="28" t="s">
        <v>29843</v>
      </c>
      <c r="M1643" s="28" t="s">
        <v>31382</v>
      </c>
      <c r="N1643" s="28" t="s">
        <v>147</v>
      </c>
      <c r="O1643" s="29">
        <v>22.79</v>
      </c>
      <c r="P1643" s="28" t="s">
        <v>148</v>
      </c>
      <c r="Q1643" s="28" t="s">
        <v>149</v>
      </c>
      <c r="R1643" s="28" t="s">
        <v>174</v>
      </c>
      <c r="S1643" s="28" t="s">
        <v>31383</v>
      </c>
      <c r="T1643" s="30">
        <v>17</v>
      </c>
      <c r="U1643" s="28" t="s">
        <v>31384</v>
      </c>
      <c r="V1643" s="28" t="s">
        <v>138</v>
      </c>
      <c r="W1643" s="28" t="s">
        <v>138</v>
      </c>
      <c r="X1643" s="31">
        <v>2011</v>
      </c>
      <c r="Y1643" s="28" t="s">
        <v>138</v>
      </c>
      <c r="Z1643" s="28" t="s">
        <v>138</v>
      </c>
      <c r="AA1643" s="28" t="s">
        <v>138</v>
      </c>
      <c r="AB1643" s="32">
        <v>5</v>
      </c>
      <c r="AC1643" s="32" t="s">
        <v>138</v>
      </c>
      <c r="AD1643" s="32" t="s">
        <v>138</v>
      </c>
      <c r="AE1643" s="32" t="s">
        <v>138</v>
      </c>
      <c r="AF1643" s="32" t="s">
        <v>138</v>
      </c>
      <c r="AG1643" s="28" t="s">
        <v>815</v>
      </c>
      <c r="AH1643" s="32" t="s">
        <v>138</v>
      </c>
      <c r="AI1643" s="32" t="s">
        <v>138</v>
      </c>
      <c r="AJ1643" s="32" t="s">
        <v>138</v>
      </c>
      <c r="AK1643" s="28" t="s">
        <v>31385</v>
      </c>
      <c r="AL1643" s="28" t="s">
        <v>31386</v>
      </c>
      <c r="AM1643" s="28" t="s">
        <v>1783</v>
      </c>
      <c r="AN1643" s="28" t="s">
        <v>31387</v>
      </c>
      <c r="AO1643" s="28" t="s">
        <v>31388</v>
      </c>
      <c r="AP1643" s="28" t="s">
        <v>31389</v>
      </c>
      <c r="AQ1643" s="28" t="s">
        <v>31390</v>
      </c>
      <c r="AR1643" s="28" t="s">
        <v>138</v>
      </c>
      <c r="AS1643" s="28" t="s">
        <v>31391</v>
      </c>
      <c r="AT1643" s="28" t="s">
        <v>17250</v>
      </c>
      <c r="AU1643" s="28" t="s">
        <v>31392</v>
      </c>
      <c r="AV1643" s="28" t="s">
        <v>162</v>
      </c>
      <c r="AW1643" s="28" t="s">
        <v>31388</v>
      </c>
      <c r="AX1643" s="28" t="s">
        <v>31393</v>
      </c>
      <c r="AY1643" s="28" t="s">
        <v>31394</v>
      </c>
      <c r="AZ1643" s="28" t="s">
        <v>164</v>
      </c>
      <c r="BA1643" s="28" t="s">
        <v>165</v>
      </c>
      <c r="BB1643" s="28" t="s">
        <v>31395</v>
      </c>
      <c r="BC1643" s="28" t="s">
        <v>31396</v>
      </c>
      <c r="BD1643" s="33">
        <v>9</v>
      </c>
      <c r="BE1643" s="28" t="s">
        <v>138</v>
      </c>
      <c r="BF1643" s="28" t="s">
        <v>138</v>
      </c>
      <c r="BG1643" s="28" t="s">
        <v>138</v>
      </c>
      <c r="BH1643" s="28" t="s">
        <v>31397</v>
      </c>
      <c r="BI1643" s="28" t="s">
        <v>138</v>
      </c>
      <c r="BJ1643" s="28" t="s">
        <v>138</v>
      </c>
      <c r="BK1643" s="28" t="s">
        <v>31398</v>
      </c>
      <c r="BL1643" s="28" t="s">
        <v>31399</v>
      </c>
      <c r="BM1643" s="34">
        <v>41822</v>
      </c>
      <c r="BN1643" s="29">
        <v>1.26</v>
      </c>
      <c r="BO1643" s="28" t="s">
        <v>172</v>
      </c>
      <c r="BP1643" s="29">
        <v>4</v>
      </c>
      <c r="BQ1643" s="28" t="s">
        <v>172</v>
      </c>
      <c r="BR1643" s="28" t="s">
        <v>262</v>
      </c>
      <c r="BS1643" s="28" t="s">
        <v>206</v>
      </c>
      <c r="BT1643" s="28" t="s">
        <v>138</v>
      </c>
      <c r="BU1643" s="28" t="s">
        <v>263</v>
      </c>
      <c r="BV1643" s="28" t="s">
        <v>138</v>
      </c>
      <c r="BW1643" s="28" t="s">
        <v>138</v>
      </c>
      <c r="BX1643" s="28" t="s">
        <v>138</v>
      </c>
      <c r="BY1643" s="28" t="s">
        <v>175</v>
      </c>
      <c r="BZ1643" s="34">
        <v>43368</v>
      </c>
      <c r="CA1643" s="29">
        <v>15.5</v>
      </c>
      <c r="CB1643" s="28" t="s">
        <v>172</v>
      </c>
      <c r="CC1643" s="29" t="s">
        <v>138</v>
      </c>
      <c r="CD1643" s="28" t="s">
        <v>138</v>
      </c>
      <c r="CE1643" s="28" t="s">
        <v>173</v>
      </c>
      <c r="CF1643" s="28" t="s">
        <v>720</v>
      </c>
      <c r="CG1643" s="28" t="s">
        <v>138</v>
      </c>
      <c r="CH1643" s="28" t="s">
        <v>174</v>
      </c>
      <c r="CI1643" s="28" t="s">
        <v>138</v>
      </c>
      <c r="CJ1643" s="28" t="s">
        <v>138</v>
      </c>
      <c r="CK1643" s="28" t="s">
        <v>138</v>
      </c>
      <c r="CL1643" s="28" t="s">
        <v>175</v>
      </c>
      <c r="CM1643" s="34" t="s">
        <v>138</v>
      </c>
      <c r="CN1643" s="29" t="s">
        <v>138</v>
      </c>
      <c r="CO1643" s="35">
        <v>0.81</v>
      </c>
      <c r="CP1643" s="36">
        <v>96</v>
      </c>
      <c r="CQ1643" s="35">
        <v>0</v>
      </c>
      <c r="CR1643" s="35">
        <v>0</v>
      </c>
      <c r="CS1643" s="35">
        <v>0</v>
      </c>
      <c r="CT1643" s="36">
        <v>23</v>
      </c>
      <c r="CU1643" s="35" t="s">
        <v>138</v>
      </c>
      <c r="CV1643" s="36" t="s">
        <v>138</v>
      </c>
      <c r="CW1643" s="35">
        <v>0</v>
      </c>
      <c r="CX1643" s="36">
        <v>13</v>
      </c>
      <c r="CY1643" s="35" t="s">
        <v>138</v>
      </c>
      <c r="CZ1643" s="36" t="s">
        <v>138</v>
      </c>
      <c r="DA1643" s="35" t="s">
        <v>138</v>
      </c>
      <c r="DB1643" s="36" t="s">
        <v>138</v>
      </c>
      <c r="DC1643" s="37">
        <v>0.4</v>
      </c>
      <c r="DD1643" s="36">
        <v>29</v>
      </c>
      <c r="DE1643" s="37">
        <v>-0.05</v>
      </c>
      <c r="DF1643" s="35">
        <v>-10.97</v>
      </c>
      <c r="DG1643" s="37">
        <v>0.77</v>
      </c>
      <c r="DH1643" s="36">
        <v>45</v>
      </c>
      <c r="DI1643" s="37" t="s">
        <v>138</v>
      </c>
      <c r="DJ1643" s="36" t="s">
        <v>138</v>
      </c>
      <c r="DK1643" s="37">
        <v>0.77</v>
      </c>
      <c r="DL1643" s="36">
        <v>45</v>
      </c>
      <c r="DM1643" s="37" t="s">
        <v>138</v>
      </c>
      <c r="DN1643" s="36" t="s">
        <v>138</v>
      </c>
      <c r="DO1643" s="37" t="s">
        <v>138</v>
      </c>
      <c r="DP1643" s="36" t="s">
        <v>138</v>
      </c>
      <c r="DQ1643" s="36">
        <v>258</v>
      </c>
      <c r="DR1643" s="38">
        <v>15</v>
      </c>
      <c r="DS1643" s="35">
        <v>6.17</v>
      </c>
      <c r="DT1643" s="36" t="s">
        <v>138</v>
      </c>
      <c r="DU1643" s="38" t="s">
        <v>138</v>
      </c>
      <c r="DV1643" s="35" t="s">
        <v>138</v>
      </c>
      <c r="DW1643" s="36" t="s">
        <v>138</v>
      </c>
      <c r="DX1643" s="39" t="s">
        <v>138</v>
      </c>
      <c r="DY1643" s="35" t="s">
        <v>138</v>
      </c>
      <c r="DZ1643" s="28" t="s">
        <v>178</v>
      </c>
      <c r="EA1643" s="34">
        <v>43613</v>
      </c>
      <c r="EB1643" s="29">
        <v>17.579999999999998</v>
      </c>
      <c r="EC1643" s="34">
        <v>42824</v>
      </c>
      <c r="ED1643" s="28" t="s">
        <v>173</v>
      </c>
      <c r="EE1643" s="40" t="str">
        <f>HYPERLINK("https://my.pitchbook.com?c=95868-37", "View company online")</f>
        <v>View company online</v>
      </c>
    </row>
    <row r="1644" spans="1:135">
      <c r="A1644" s="15" t="s">
        <v>31400</v>
      </c>
      <c r="B1644" s="15" t="s">
        <v>31401</v>
      </c>
      <c r="C1644" s="15" t="s">
        <v>138</v>
      </c>
      <c r="D1644" s="15" t="s">
        <v>138</v>
      </c>
      <c r="E1644" s="15" t="s">
        <v>31402</v>
      </c>
      <c r="F1644" s="15" t="s">
        <v>31400</v>
      </c>
      <c r="G1644" s="15" t="s">
        <v>31403</v>
      </c>
      <c r="H1644" s="15" t="s">
        <v>322</v>
      </c>
      <c r="I1644" s="15" t="s">
        <v>323</v>
      </c>
      <c r="J1644" s="15" t="s">
        <v>1084</v>
      </c>
      <c r="K1644" s="15" t="s">
        <v>31404</v>
      </c>
      <c r="L1644" s="15" t="s">
        <v>2641</v>
      </c>
      <c r="M1644" s="15" t="s">
        <v>31405</v>
      </c>
      <c r="N1644" s="15" t="s">
        <v>147</v>
      </c>
      <c r="O1644" s="17">
        <v>41.25</v>
      </c>
      <c r="P1644" s="15" t="s">
        <v>148</v>
      </c>
      <c r="Q1644" s="15" t="s">
        <v>149</v>
      </c>
      <c r="R1644" s="15" t="s">
        <v>174</v>
      </c>
      <c r="S1644" s="15" t="s">
        <v>31406</v>
      </c>
      <c r="T1644" s="18">
        <v>34</v>
      </c>
      <c r="U1644" s="15" t="s">
        <v>31407</v>
      </c>
      <c r="V1644" s="15" t="s">
        <v>138</v>
      </c>
      <c r="W1644" s="15" t="s">
        <v>138</v>
      </c>
      <c r="X1644" s="19">
        <v>2013</v>
      </c>
      <c r="Y1644" s="15" t="s">
        <v>138</v>
      </c>
      <c r="Z1644" s="15" t="s">
        <v>138</v>
      </c>
      <c r="AA1644" s="15" t="s">
        <v>138</v>
      </c>
      <c r="AB1644" s="20" t="s">
        <v>138</v>
      </c>
      <c r="AC1644" s="20" t="s">
        <v>138</v>
      </c>
      <c r="AD1644" s="20" t="s">
        <v>138</v>
      </c>
      <c r="AE1644" s="20" t="s">
        <v>138</v>
      </c>
      <c r="AF1644" s="20" t="s">
        <v>138</v>
      </c>
      <c r="AG1644" s="15" t="s">
        <v>138</v>
      </c>
      <c r="AH1644" s="20" t="s">
        <v>138</v>
      </c>
      <c r="AI1644" s="20" t="s">
        <v>138</v>
      </c>
      <c r="AJ1644" s="20" t="s">
        <v>138</v>
      </c>
      <c r="AK1644" s="15" t="s">
        <v>31408</v>
      </c>
      <c r="AL1644" s="15" t="s">
        <v>31409</v>
      </c>
      <c r="AM1644" s="15" t="s">
        <v>5737</v>
      </c>
      <c r="AN1644" s="15" t="s">
        <v>31410</v>
      </c>
      <c r="AO1644" s="15" t="s">
        <v>138</v>
      </c>
      <c r="AP1644" s="15" t="s">
        <v>423</v>
      </c>
      <c r="AQ1644" s="15" t="s">
        <v>31411</v>
      </c>
      <c r="AR1644" s="15" t="s">
        <v>138</v>
      </c>
      <c r="AS1644" s="15" t="s">
        <v>426</v>
      </c>
      <c r="AT1644" s="15" t="s">
        <v>426</v>
      </c>
      <c r="AU1644" s="15" t="s">
        <v>549</v>
      </c>
      <c r="AV1644" s="15" t="s">
        <v>162</v>
      </c>
      <c r="AW1644" s="15" t="s">
        <v>138</v>
      </c>
      <c r="AX1644" s="15" t="s">
        <v>138</v>
      </c>
      <c r="AY1644" s="15" t="s">
        <v>31412</v>
      </c>
      <c r="AZ1644" s="15" t="s">
        <v>164</v>
      </c>
      <c r="BA1644" s="15" t="s">
        <v>165</v>
      </c>
      <c r="BB1644" s="15" t="s">
        <v>31413</v>
      </c>
      <c r="BC1644" s="15" t="s">
        <v>31414</v>
      </c>
      <c r="BD1644" s="21">
        <v>15</v>
      </c>
      <c r="BE1644" s="15" t="s">
        <v>138</v>
      </c>
      <c r="BF1644" s="15" t="s">
        <v>138</v>
      </c>
      <c r="BG1644" s="15" t="s">
        <v>138</v>
      </c>
      <c r="BH1644" s="15" t="s">
        <v>31415</v>
      </c>
      <c r="BI1644" s="15" t="s">
        <v>138</v>
      </c>
      <c r="BJ1644" s="15" t="s">
        <v>138</v>
      </c>
      <c r="BK1644" s="15" t="s">
        <v>18901</v>
      </c>
      <c r="BL1644" s="15" t="s">
        <v>2767</v>
      </c>
      <c r="BM1644" s="22" t="s">
        <v>138</v>
      </c>
      <c r="BN1644" s="17" t="s">
        <v>138</v>
      </c>
      <c r="BO1644" s="15" t="s">
        <v>138</v>
      </c>
      <c r="BP1644" s="17" t="s">
        <v>138</v>
      </c>
      <c r="BQ1644" s="15" t="s">
        <v>138</v>
      </c>
      <c r="BR1644" s="15" t="s">
        <v>316</v>
      </c>
      <c r="BS1644" s="15" t="s">
        <v>138</v>
      </c>
      <c r="BT1644" s="15" t="s">
        <v>138</v>
      </c>
      <c r="BU1644" s="15" t="s">
        <v>177</v>
      </c>
      <c r="BV1644" s="15" t="s">
        <v>138</v>
      </c>
      <c r="BW1644" s="15" t="s">
        <v>138</v>
      </c>
      <c r="BX1644" s="15" t="s">
        <v>138</v>
      </c>
      <c r="BY1644" s="15" t="s">
        <v>175</v>
      </c>
      <c r="BZ1644" s="22">
        <v>42655</v>
      </c>
      <c r="CA1644" s="17">
        <v>30</v>
      </c>
      <c r="CB1644" s="15" t="s">
        <v>172</v>
      </c>
      <c r="CC1644" s="17">
        <v>120</v>
      </c>
      <c r="CD1644" s="15" t="s">
        <v>172</v>
      </c>
      <c r="CE1644" s="15" t="s">
        <v>205</v>
      </c>
      <c r="CF1644" s="15" t="s">
        <v>720</v>
      </c>
      <c r="CG1644" s="15" t="s">
        <v>138</v>
      </c>
      <c r="CH1644" s="15" t="s">
        <v>174</v>
      </c>
      <c r="CI1644" s="15" t="s">
        <v>138</v>
      </c>
      <c r="CJ1644" s="15" t="s">
        <v>138</v>
      </c>
      <c r="CK1644" s="15" t="s">
        <v>138</v>
      </c>
      <c r="CL1644" s="15" t="s">
        <v>175</v>
      </c>
      <c r="CM1644" s="22" t="s">
        <v>138</v>
      </c>
      <c r="CN1644" s="17" t="s">
        <v>138</v>
      </c>
      <c r="CO1644" s="23">
        <v>-0.46</v>
      </c>
      <c r="CP1644" s="24">
        <v>16</v>
      </c>
      <c r="CQ1644" s="23">
        <v>0.01</v>
      </c>
      <c r="CR1644" s="23">
        <v>2.6</v>
      </c>
      <c r="CS1644" s="23">
        <v>-0.98</v>
      </c>
      <c r="CT1644" s="24">
        <v>15</v>
      </c>
      <c r="CU1644" s="23">
        <v>7.0000000000000007E-2</v>
      </c>
      <c r="CV1644" s="24">
        <v>62</v>
      </c>
      <c r="CW1644" s="23">
        <v>-1.62</v>
      </c>
      <c r="CX1644" s="24">
        <v>8</v>
      </c>
      <c r="CY1644" s="23">
        <v>-0.34</v>
      </c>
      <c r="CZ1644" s="24">
        <v>23</v>
      </c>
      <c r="DA1644" s="23">
        <v>0.15</v>
      </c>
      <c r="DB1644" s="24">
        <v>78</v>
      </c>
      <c r="DC1644" s="25">
        <v>26.98</v>
      </c>
      <c r="DD1644" s="24">
        <v>96</v>
      </c>
      <c r="DE1644" s="25">
        <v>-1.41</v>
      </c>
      <c r="DF1644" s="23">
        <v>-4.9800000000000004</v>
      </c>
      <c r="DG1644" s="25">
        <v>40.36</v>
      </c>
      <c r="DH1644" s="24">
        <v>98</v>
      </c>
      <c r="DI1644" s="25">
        <v>13.6</v>
      </c>
      <c r="DJ1644" s="24">
        <v>88</v>
      </c>
      <c r="DK1644" s="25">
        <v>45.07</v>
      </c>
      <c r="DL1644" s="24">
        <v>95</v>
      </c>
      <c r="DM1644" s="25">
        <v>35.659999999999997</v>
      </c>
      <c r="DN1644" s="24">
        <v>97</v>
      </c>
      <c r="DO1644" s="25">
        <v>23.98</v>
      </c>
      <c r="DP1644" s="24">
        <v>93</v>
      </c>
      <c r="DQ1644" s="24">
        <v>15329</v>
      </c>
      <c r="DR1644" s="26">
        <v>386</v>
      </c>
      <c r="DS1644" s="23">
        <v>2.58</v>
      </c>
      <c r="DT1644" s="24">
        <v>1034</v>
      </c>
      <c r="DU1644" s="26">
        <v>2</v>
      </c>
      <c r="DV1644" s="23">
        <v>0.19</v>
      </c>
      <c r="DW1644" s="24">
        <v>8581</v>
      </c>
      <c r="DX1644" s="27">
        <v>15</v>
      </c>
      <c r="DY1644" s="23">
        <v>0.18</v>
      </c>
      <c r="DZ1644" s="15" t="s">
        <v>178</v>
      </c>
      <c r="EA1644" s="22">
        <v>43622</v>
      </c>
      <c r="EB1644" s="17">
        <v>120</v>
      </c>
      <c r="EC1644" s="22">
        <v>42655</v>
      </c>
      <c r="ED1644" s="15" t="s">
        <v>205</v>
      </c>
      <c r="EE1644" s="14" t="str">
        <f>HYPERLINK("https://my.pitchbook.com?c=97832-98", "View company online")</f>
        <v>View company online</v>
      </c>
    </row>
    <row r="1645" spans="1:135">
      <c r="A1645" s="28" t="s">
        <v>31416</v>
      </c>
      <c r="B1645" s="28" t="s">
        <v>31417</v>
      </c>
      <c r="C1645" s="28" t="s">
        <v>138</v>
      </c>
      <c r="D1645" s="28" t="s">
        <v>138</v>
      </c>
      <c r="E1645" s="28" t="s">
        <v>138</v>
      </c>
      <c r="F1645" s="28" t="s">
        <v>31416</v>
      </c>
      <c r="G1645" s="28" t="s">
        <v>31418</v>
      </c>
      <c r="H1645" s="28" t="s">
        <v>322</v>
      </c>
      <c r="I1645" s="28" t="s">
        <v>323</v>
      </c>
      <c r="J1645" s="28" t="s">
        <v>324</v>
      </c>
      <c r="K1645" s="28" t="s">
        <v>31419</v>
      </c>
      <c r="L1645" s="28" t="s">
        <v>4640</v>
      </c>
      <c r="M1645" s="28" t="s">
        <v>31420</v>
      </c>
      <c r="N1645" s="28" t="s">
        <v>147</v>
      </c>
      <c r="O1645" s="29">
        <v>0.1</v>
      </c>
      <c r="P1645" s="28" t="s">
        <v>148</v>
      </c>
      <c r="Q1645" s="28" t="s">
        <v>149</v>
      </c>
      <c r="R1645" s="28" t="s">
        <v>174</v>
      </c>
      <c r="S1645" s="28" t="s">
        <v>31421</v>
      </c>
      <c r="T1645" s="30">
        <v>11</v>
      </c>
      <c r="U1645" s="28" t="s">
        <v>1356</v>
      </c>
      <c r="V1645" s="28" t="s">
        <v>138</v>
      </c>
      <c r="W1645" s="28" t="s">
        <v>138</v>
      </c>
      <c r="X1645" s="31">
        <v>2015</v>
      </c>
      <c r="Y1645" s="28" t="s">
        <v>138</v>
      </c>
      <c r="Z1645" s="28" t="s">
        <v>138</v>
      </c>
      <c r="AA1645" s="28" t="s">
        <v>138</v>
      </c>
      <c r="AB1645" s="32" t="s">
        <v>138</v>
      </c>
      <c r="AC1645" s="32" t="s">
        <v>138</v>
      </c>
      <c r="AD1645" s="32" t="s">
        <v>138</v>
      </c>
      <c r="AE1645" s="32" t="s">
        <v>138</v>
      </c>
      <c r="AF1645" s="32" t="s">
        <v>138</v>
      </c>
      <c r="AG1645" s="28" t="s">
        <v>138</v>
      </c>
      <c r="AH1645" s="32" t="s">
        <v>138</v>
      </c>
      <c r="AI1645" s="32" t="s">
        <v>138</v>
      </c>
      <c r="AJ1645" s="32" t="s">
        <v>138</v>
      </c>
      <c r="AK1645" s="28" t="s">
        <v>31422</v>
      </c>
      <c r="AL1645" s="28" t="s">
        <v>31423</v>
      </c>
      <c r="AM1645" s="28" t="s">
        <v>916</v>
      </c>
      <c r="AN1645" s="28" t="s">
        <v>31424</v>
      </c>
      <c r="AO1645" s="28" t="s">
        <v>138</v>
      </c>
      <c r="AP1645" s="28" t="s">
        <v>31425</v>
      </c>
      <c r="AQ1645" s="28" t="s">
        <v>31426</v>
      </c>
      <c r="AR1645" s="28" t="s">
        <v>3180</v>
      </c>
      <c r="AS1645" s="28" t="s">
        <v>31427</v>
      </c>
      <c r="AT1645" s="28" t="s">
        <v>200</v>
      </c>
      <c r="AU1645" s="28" t="s">
        <v>31428</v>
      </c>
      <c r="AV1645" s="28" t="s">
        <v>162</v>
      </c>
      <c r="AW1645" s="28" t="s">
        <v>31429</v>
      </c>
      <c r="AX1645" s="28" t="s">
        <v>138</v>
      </c>
      <c r="AY1645" s="28" t="s">
        <v>31430</v>
      </c>
      <c r="AZ1645" s="28" t="s">
        <v>164</v>
      </c>
      <c r="BA1645" s="28" t="s">
        <v>165</v>
      </c>
      <c r="BB1645" s="28" t="s">
        <v>31431</v>
      </c>
      <c r="BC1645" s="28" t="s">
        <v>31432</v>
      </c>
      <c r="BD1645" s="33">
        <v>14</v>
      </c>
      <c r="BE1645" s="28" t="s">
        <v>138</v>
      </c>
      <c r="BF1645" s="28" t="s">
        <v>138</v>
      </c>
      <c r="BG1645" s="28" t="s">
        <v>138</v>
      </c>
      <c r="BH1645" s="28" t="s">
        <v>31433</v>
      </c>
      <c r="BI1645" s="28" t="s">
        <v>138</v>
      </c>
      <c r="BJ1645" s="28" t="s">
        <v>138</v>
      </c>
      <c r="BK1645" s="28" t="s">
        <v>138</v>
      </c>
      <c r="BL1645" s="28" t="s">
        <v>138</v>
      </c>
      <c r="BM1645" s="34" t="s">
        <v>138</v>
      </c>
      <c r="BN1645" s="29" t="s">
        <v>138</v>
      </c>
      <c r="BO1645" s="28" t="s">
        <v>138</v>
      </c>
      <c r="BP1645" s="29" t="s">
        <v>138</v>
      </c>
      <c r="BQ1645" s="28" t="s">
        <v>138</v>
      </c>
      <c r="BR1645" s="28" t="s">
        <v>316</v>
      </c>
      <c r="BS1645" s="28" t="s">
        <v>138</v>
      </c>
      <c r="BT1645" s="28" t="s">
        <v>138</v>
      </c>
      <c r="BU1645" s="28" t="s">
        <v>177</v>
      </c>
      <c r="BV1645" s="28" t="s">
        <v>138</v>
      </c>
      <c r="BW1645" s="28" t="s">
        <v>138</v>
      </c>
      <c r="BX1645" s="28" t="s">
        <v>138</v>
      </c>
      <c r="BY1645" s="28" t="s">
        <v>175</v>
      </c>
      <c r="BZ1645" s="34">
        <v>42815</v>
      </c>
      <c r="CA1645" s="29" t="s">
        <v>138</v>
      </c>
      <c r="CB1645" s="28" t="s">
        <v>138</v>
      </c>
      <c r="CC1645" s="29" t="s">
        <v>138</v>
      </c>
      <c r="CD1645" s="28" t="s">
        <v>138</v>
      </c>
      <c r="CE1645" s="28" t="s">
        <v>316</v>
      </c>
      <c r="CF1645" s="28" t="s">
        <v>138</v>
      </c>
      <c r="CG1645" s="28" t="s">
        <v>138</v>
      </c>
      <c r="CH1645" s="28" t="s">
        <v>177</v>
      </c>
      <c r="CI1645" s="28" t="s">
        <v>138</v>
      </c>
      <c r="CJ1645" s="28" t="s">
        <v>138</v>
      </c>
      <c r="CK1645" s="28" t="s">
        <v>138</v>
      </c>
      <c r="CL1645" s="28" t="s">
        <v>175</v>
      </c>
      <c r="CM1645" s="34" t="s">
        <v>138</v>
      </c>
      <c r="CN1645" s="29" t="s">
        <v>138</v>
      </c>
      <c r="CO1645" s="35">
        <v>-1.86</v>
      </c>
      <c r="CP1645" s="36">
        <v>6</v>
      </c>
      <c r="CQ1645" s="35">
        <v>0.04</v>
      </c>
      <c r="CR1645" s="35">
        <v>1.98</v>
      </c>
      <c r="CS1645" s="35">
        <v>-2.91</v>
      </c>
      <c r="CT1645" s="36">
        <v>5</v>
      </c>
      <c r="CU1645" s="35">
        <v>-0.8</v>
      </c>
      <c r="CV1645" s="36">
        <v>1</v>
      </c>
      <c r="CW1645" s="35">
        <v>-4.72</v>
      </c>
      <c r="CX1645" s="36">
        <v>3</v>
      </c>
      <c r="CY1645" s="35">
        <v>-1.0900000000000001</v>
      </c>
      <c r="CZ1645" s="36">
        <v>18</v>
      </c>
      <c r="DA1645" s="35">
        <v>-0.8</v>
      </c>
      <c r="DB1645" s="36">
        <v>1</v>
      </c>
      <c r="DC1645" s="37">
        <v>3.24</v>
      </c>
      <c r="DD1645" s="36">
        <v>76</v>
      </c>
      <c r="DE1645" s="37">
        <v>-0.09</v>
      </c>
      <c r="DF1645" s="35">
        <v>-2.71</v>
      </c>
      <c r="DG1645" s="37">
        <v>5.22</v>
      </c>
      <c r="DH1645" s="36">
        <v>83</v>
      </c>
      <c r="DI1645" s="37">
        <v>1.25</v>
      </c>
      <c r="DJ1645" s="36">
        <v>53</v>
      </c>
      <c r="DK1645" s="37">
        <v>2.69</v>
      </c>
      <c r="DL1645" s="36">
        <v>70</v>
      </c>
      <c r="DM1645" s="37">
        <v>7.76</v>
      </c>
      <c r="DN1645" s="36">
        <v>86</v>
      </c>
      <c r="DO1645" s="37">
        <v>1.25</v>
      </c>
      <c r="DP1645" s="36">
        <v>55</v>
      </c>
      <c r="DQ1645" s="36">
        <v>914</v>
      </c>
      <c r="DR1645" s="38">
        <v>27</v>
      </c>
      <c r="DS1645" s="35">
        <v>3.04</v>
      </c>
      <c r="DT1645" s="36">
        <v>225</v>
      </c>
      <c r="DU1645" s="38">
        <v>-1</v>
      </c>
      <c r="DV1645" s="35">
        <v>-0.44</v>
      </c>
      <c r="DW1645" s="36">
        <v>447</v>
      </c>
      <c r="DX1645" s="39">
        <v>0</v>
      </c>
      <c r="DY1645" s="35">
        <v>0</v>
      </c>
      <c r="DZ1645" s="28" t="s">
        <v>178</v>
      </c>
      <c r="EA1645" s="34">
        <v>43398</v>
      </c>
      <c r="EB1645" s="29" t="s">
        <v>138</v>
      </c>
      <c r="EC1645" s="34" t="s">
        <v>138</v>
      </c>
      <c r="ED1645" s="28" t="s">
        <v>138</v>
      </c>
      <c r="EE1645" s="40" t="str">
        <f>HYPERLINK("https://my.pitchbook.com?c=154640-98", "View company online")</f>
        <v>View company online</v>
      </c>
    </row>
    <row r="1646" spans="1:135">
      <c r="A1646" s="15" t="s">
        <v>31434</v>
      </c>
      <c r="B1646" s="15" t="s">
        <v>31435</v>
      </c>
      <c r="C1646" s="15" t="s">
        <v>138</v>
      </c>
      <c r="D1646" s="15" t="s">
        <v>31436</v>
      </c>
      <c r="E1646" s="15" t="s">
        <v>31437</v>
      </c>
      <c r="F1646" s="15" t="s">
        <v>31434</v>
      </c>
      <c r="G1646" s="15" t="s">
        <v>31438</v>
      </c>
      <c r="H1646" s="15" t="s">
        <v>322</v>
      </c>
      <c r="I1646" s="15" t="s">
        <v>323</v>
      </c>
      <c r="J1646" s="15" t="s">
        <v>413</v>
      </c>
      <c r="K1646" s="15" t="s">
        <v>414</v>
      </c>
      <c r="L1646" s="15" t="s">
        <v>326</v>
      </c>
      <c r="M1646" s="15" t="s">
        <v>31439</v>
      </c>
      <c r="N1646" s="15" t="s">
        <v>147</v>
      </c>
      <c r="O1646" s="17">
        <v>27</v>
      </c>
      <c r="P1646" s="15" t="s">
        <v>610</v>
      </c>
      <c r="Q1646" s="15" t="s">
        <v>149</v>
      </c>
      <c r="R1646" s="15" t="s">
        <v>174</v>
      </c>
      <c r="S1646" s="15" t="s">
        <v>31440</v>
      </c>
      <c r="T1646" s="18">
        <v>135</v>
      </c>
      <c r="U1646" s="15" t="s">
        <v>31441</v>
      </c>
      <c r="V1646" s="15" t="s">
        <v>138</v>
      </c>
      <c r="W1646" s="15" t="s">
        <v>138</v>
      </c>
      <c r="X1646" s="19">
        <v>2013</v>
      </c>
      <c r="Y1646" s="15" t="s">
        <v>138</v>
      </c>
      <c r="Z1646" s="15" t="s">
        <v>138</v>
      </c>
      <c r="AA1646" s="15" t="s">
        <v>138</v>
      </c>
      <c r="AB1646" s="20" t="s">
        <v>138</v>
      </c>
      <c r="AC1646" s="20" t="s">
        <v>138</v>
      </c>
      <c r="AD1646" s="20" t="s">
        <v>138</v>
      </c>
      <c r="AE1646" s="20" t="s">
        <v>138</v>
      </c>
      <c r="AF1646" s="20" t="s">
        <v>138</v>
      </c>
      <c r="AG1646" s="15" t="s">
        <v>138</v>
      </c>
      <c r="AH1646" s="20" t="s">
        <v>138</v>
      </c>
      <c r="AI1646" s="20" t="s">
        <v>138</v>
      </c>
      <c r="AJ1646" s="20" t="s">
        <v>138</v>
      </c>
      <c r="AK1646" s="15" t="s">
        <v>31442</v>
      </c>
      <c r="AL1646" s="15" t="s">
        <v>31443</v>
      </c>
      <c r="AM1646" s="15" t="s">
        <v>249</v>
      </c>
      <c r="AN1646" s="15" t="s">
        <v>31444</v>
      </c>
      <c r="AO1646" s="15" t="s">
        <v>31445</v>
      </c>
      <c r="AP1646" s="15" t="s">
        <v>3136</v>
      </c>
      <c r="AQ1646" s="15" t="s">
        <v>31446</v>
      </c>
      <c r="AR1646" s="15" t="s">
        <v>138</v>
      </c>
      <c r="AS1646" s="15" t="s">
        <v>3139</v>
      </c>
      <c r="AT1646" s="15" t="s">
        <v>3140</v>
      </c>
      <c r="AU1646" s="15" t="s">
        <v>14522</v>
      </c>
      <c r="AV1646" s="15" t="s">
        <v>162</v>
      </c>
      <c r="AW1646" s="15" t="s">
        <v>31445</v>
      </c>
      <c r="AX1646" s="15" t="s">
        <v>138</v>
      </c>
      <c r="AY1646" s="15" t="s">
        <v>31447</v>
      </c>
      <c r="AZ1646" s="15" t="s">
        <v>164</v>
      </c>
      <c r="BA1646" s="15" t="s">
        <v>165</v>
      </c>
      <c r="BB1646" s="15" t="s">
        <v>31448</v>
      </c>
      <c r="BC1646" s="15" t="s">
        <v>31449</v>
      </c>
      <c r="BD1646" s="21">
        <v>4</v>
      </c>
      <c r="BE1646" s="15" t="s">
        <v>138</v>
      </c>
      <c r="BF1646" s="15" t="s">
        <v>138</v>
      </c>
      <c r="BG1646" s="15" t="s">
        <v>138</v>
      </c>
      <c r="BH1646" s="15" t="s">
        <v>31450</v>
      </c>
      <c r="BI1646" s="15" t="s">
        <v>138</v>
      </c>
      <c r="BJ1646" s="15" t="s">
        <v>138</v>
      </c>
      <c r="BK1646" s="15" t="s">
        <v>1038</v>
      </c>
      <c r="BL1646" s="15" t="s">
        <v>1038</v>
      </c>
      <c r="BM1646" s="22">
        <v>41316</v>
      </c>
      <c r="BN1646" s="17">
        <v>5</v>
      </c>
      <c r="BO1646" s="15" t="s">
        <v>172</v>
      </c>
      <c r="BP1646" s="17">
        <v>56</v>
      </c>
      <c r="BQ1646" s="15" t="s">
        <v>172</v>
      </c>
      <c r="BR1646" s="15" t="s">
        <v>234</v>
      </c>
      <c r="BS1646" s="15" t="s">
        <v>8444</v>
      </c>
      <c r="BT1646" s="15" t="s">
        <v>138</v>
      </c>
      <c r="BU1646" s="15" t="s">
        <v>174</v>
      </c>
      <c r="BV1646" s="15" t="s">
        <v>138</v>
      </c>
      <c r="BW1646" s="15" t="s">
        <v>138</v>
      </c>
      <c r="BX1646" s="15" t="s">
        <v>138</v>
      </c>
      <c r="BY1646" s="15" t="s">
        <v>175</v>
      </c>
      <c r="BZ1646" s="22">
        <v>42704</v>
      </c>
      <c r="CA1646" s="17">
        <v>22</v>
      </c>
      <c r="CB1646" s="15" t="s">
        <v>172</v>
      </c>
      <c r="CC1646" s="17">
        <v>120</v>
      </c>
      <c r="CD1646" s="15" t="s">
        <v>172</v>
      </c>
      <c r="CE1646" s="15" t="s">
        <v>205</v>
      </c>
      <c r="CF1646" s="15" t="s">
        <v>206</v>
      </c>
      <c r="CG1646" s="15" t="s">
        <v>138</v>
      </c>
      <c r="CH1646" s="15" t="s">
        <v>174</v>
      </c>
      <c r="CI1646" s="15" t="s">
        <v>138</v>
      </c>
      <c r="CJ1646" s="15" t="s">
        <v>138</v>
      </c>
      <c r="CK1646" s="15" t="s">
        <v>138</v>
      </c>
      <c r="CL1646" s="15" t="s">
        <v>175</v>
      </c>
      <c r="CM1646" s="22" t="s">
        <v>138</v>
      </c>
      <c r="CN1646" s="17" t="s">
        <v>138</v>
      </c>
      <c r="CO1646" s="23">
        <v>-1.38</v>
      </c>
      <c r="CP1646" s="24">
        <v>8</v>
      </c>
      <c r="CQ1646" s="23">
        <v>0</v>
      </c>
      <c r="CR1646" s="23">
        <v>0.19</v>
      </c>
      <c r="CS1646" s="23">
        <v>-2.93</v>
      </c>
      <c r="CT1646" s="24">
        <v>5</v>
      </c>
      <c r="CU1646" s="23">
        <v>0.18</v>
      </c>
      <c r="CV1646" s="24">
        <v>78</v>
      </c>
      <c r="CW1646" s="23">
        <v>-2.93</v>
      </c>
      <c r="CX1646" s="24">
        <v>5</v>
      </c>
      <c r="CY1646" s="23" t="s">
        <v>138</v>
      </c>
      <c r="CZ1646" s="24" t="s">
        <v>138</v>
      </c>
      <c r="DA1646" s="23">
        <v>0.39</v>
      </c>
      <c r="DB1646" s="24">
        <v>92</v>
      </c>
      <c r="DC1646" s="25">
        <v>13.22</v>
      </c>
      <c r="DD1646" s="24">
        <v>92</v>
      </c>
      <c r="DE1646" s="25">
        <v>-0.89</v>
      </c>
      <c r="DF1646" s="23">
        <v>-6.32</v>
      </c>
      <c r="DG1646" s="25">
        <v>14.54</v>
      </c>
      <c r="DH1646" s="24">
        <v>93</v>
      </c>
      <c r="DI1646" s="25">
        <v>11.89</v>
      </c>
      <c r="DJ1646" s="24">
        <v>87</v>
      </c>
      <c r="DK1646" s="25">
        <v>14.54</v>
      </c>
      <c r="DL1646" s="24">
        <v>90</v>
      </c>
      <c r="DM1646" s="25" t="s">
        <v>138</v>
      </c>
      <c r="DN1646" s="24" t="s">
        <v>138</v>
      </c>
      <c r="DO1646" s="25">
        <v>20.68</v>
      </c>
      <c r="DP1646" s="24">
        <v>93</v>
      </c>
      <c r="DQ1646" s="24">
        <v>4998</v>
      </c>
      <c r="DR1646" s="26">
        <v>-31</v>
      </c>
      <c r="DS1646" s="23">
        <v>-0.62</v>
      </c>
      <c r="DT1646" s="24" t="s">
        <v>138</v>
      </c>
      <c r="DU1646" s="26" t="s">
        <v>138</v>
      </c>
      <c r="DV1646" s="23" t="s">
        <v>138</v>
      </c>
      <c r="DW1646" s="24">
        <v>7397</v>
      </c>
      <c r="DX1646" s="27">
        <v>30</v>
      </c>
      <c r="DY1646" s="23">
        <v>0.41</v>
      </c>
      <c r="DZ1646" s="15" t="s">
        <v>178</v>
      </c>
      <c r="EA1646" s="22">
        <v>43384</v>
      </c>
      <c r="EB1646" s="17">
        <v>120</v>
      </c>
      <c r="EC1646" s="22">
        <v>42704</v>
      </c>
      <c r="ED1646" s="15" t="s">
        <v>205</v>
      </c>
      <c r="EE1646" s="14" t="str">
        <f>HYPERLINK("https://my.pitchbook.com?c=101176-48", "View company online")</f>
        <v>View company online</v>
      </c>
    </row>
    <row r="1647" spans="1:135">
      <c r="A1647" s="28" t="s">
        <v>31451</v>
      </c>
      <c r="B1647" s="28" t="s">
        <v>31452</v>
      </c>
      <c r="C1647" s="28" t="s">
        <v>138</v>
      </c>
      <c r="D1647" s="28" t="s">
        <v>138</v>
      </c>
      <c r="E1647" s="28" t="s">
        <v>138</v>
      </c>
      <c r="F1647" s="28" t="s">
        <v>31451</v>
      </c>
      <c r="G1647" s="28" t="s">
        <v>31453</v>
      </c>
      <c r="H1647" s="28" t="s">
        <v>238</v>
      </c>
      <c r="I1647" s="28" t="s">
        <v>1018</v>
      </c>
      <c r="J1647" s="28" t="s">
        <v>1019</v>
      </c>
      <c r="K1647" s="28" t="s">
        <v>6621</v>
      </c>
      <c r="L1647" s="28" t="s">
        <v>752</v>
      </c>
      <c r="M1647" s="28" t="s">
        <v>31454</v>
      </c>
      <c r="N1647" s="28" t="s">
        <v>147</v>
      </c>
      <c r="O1647" s="29">
        <v>0.26</v>
      </c>
      <c r="P1647" s="28" t="s">
        <v>148</v>
      </c>
      <c r="Q1647" s="28" t="s">
        <v>149</v>
      </c>
      <c r="R1647" s="28" t="s">
        <v>174</v>
      </c>
      <c r="S1647" s="28" t="s">
        <v>31455</v>
      </c>
      <c r="T1647" s="30" t="s">
        <v>138</v>
      </c>
      <c r="U1647" s="28" t="s">
        <v>138</v>
      </c>
      <c r="V1647" s="28" t="s">
        <v>138</v>
      </c>
      <c r="W1647" s="28" t="s">
        <v>138</v>
      </c>
      <c r="X1647" s="31">
        <v>2014</v>
      </c>
      <c r="Y1647" s="28" t="s">
        <v>138</v>
      </c>
      <c r="Z1647" s="28" t="s">
        <v>138</v>
      </c>
      <c r="AA1647" s="28" t="s">
        <v>138</v>
      </c>
      <c r="AB1647" s="32" t="s">
        <v>138</v>
      </c>
      <c r="AC1647" s="32" t="s">
        <v>138</v>
      </c>
      <c r="AD1647" s="32" t="s">
        <v>138</v>
      </c>
      <c r="AE1647" s="32" t="s">
        <v>138</v>
      </c>
      <c r="AF1647" s="32" t="s">
        <v>138</v>
      </c>
      <c r="AG1647" s="28" t="s">
        <v>138</v>
      </c>
      <c r="AH1647" s="32" t="s">
        <v>138</v>
      </c>
      <c r="AI1647" s="32" t="s">
        <v>138</v>
      </c>
      <c r="AJ1647" s="32" t="s">
        <v>138</v>
      </c>
      <c r="AK1647" s="28" t="s">
        <v>31456</v>
      </c>
      <c r="AL1647" s="28" t="s">
        <v>31457</v>
      </c>
      <c r="AM1647" s="28" t="s">
        <v>31458</v>
      </c>
      <c r="AN1647" s="28" t="s">
        <v>31459</v>
      </c>
      <c r="AO1647" s="28" t="s">
        <v>31460</v>
      </c>
      <c r="AP1647" s="28" t="s">
        <v>423</v>
      </c>
      <c r="AQ1647" s="28" t="s">
        <v>31461</v>
      </c>
      <c r="AR1647" s="28" t="s">
        <v>31462</v>
      </c>
      <c r="AS1647" s="28" t="s">
        <v>426</v>
      </c>
      <c r="AT1647" s="28" t="s">
        <v>426</v>
      </c>
      <c r="AU1647" s="28" t="s">
        <v>549</v>
      </c>
      <c r="AV1647" s="28" t="s">
        <v>162</v>
      </c>
      <c r="AW1647" s="28" t="s">
        <v>31460</v>
      </c>
      <c r="AX1647" s="28" t="s">
        <v>138</v>
      </c>
      <c r="AY1647" s="28" t="s">
        <v>31463</v>
      </c>
      <c r="AZ1647" s="28" t="s">
        <v>164</v>
      </c>
      <c r="BA1647" s="28" t="s">
        <v>165</v>
      </c>
      <c r="BB1647" s="28" t="s">
        <v>31464</v>
      </c>
      <c r="BC1647" s="28" t="s">
        <v>31465</v>
      </c>
      <c r="BD1647" s="33">
        <v>2</v>
      </c>
      <c r="BE1647" s="28" t="s">
        <v>138</v>
      </c>
      <c r="BF1647" s="28" t="s">
        <v>138</v>
      </c>
      <c r="BG1647" s="28" t="s">
        <v>138</v>
      </c>
      <c r="BH1647" s="28" t="s">
        <v>6236</v>
      </c>
      <c r="BI1647" s="28" t="s">
        <v>138</v>
      </c>
      <c r="BJ1647" s="28" t="s">
        <v>138</v>
      </c>
      <c r="BK1647" s="28" t="s">
        <v>138</v>
      </c>
      <c r="BL1647" s="28" t="s">
        <v>138</v>
      </c>
      <c r="BM1647" s="34">
        <v>43101</v>
      </c>
      <c r="BN1647" s="29">
        <v>0.26</v>
      </c>
      <c r="BO1647" s="28" t="s">
        <v>172</v>
      </c>
      <c r="BP1647" s="29" t="s">
        <v>138</v>
      </c>
      <c r="BQ1647" s="28" t="s">
        <v>138</v>
      </c>
      <c r="BR1647" s="28" t="s">
        <v>205</v>
      </c>
      <c r="BS1647" s="28" t="s">
        <v>138</v>
      </c>
      <c r="BT1647" s="28" t="s">
        <v>138</v>
      </c>
      <c r="BU1647" s="28" t="s">
        <v>174</v>
      </c>
      <c r="BV1647" s="28" t="s">
        <v>138</v>
      </c>
      <c r="BW1647" s="28" t="s">
        <v>138</v>
      </c>
      <c r="BX1647" s="28" t="s">
        <v>138</v>
      </c>
      <c r="BY1647" s="28" t="s">
        <v>175</v>
      </c>
      <c r="BZ1647" s="34">
        <v>43101</v>
      </c>
      <c r="CA1647" s="29">
        <v>0.26</v>
      </c>
      <c r="CB1647" s="28" t="s">
        <v>172</v>
      </c>
      <c r="CC1647" s="29" t="s">
        <v>138</v>
      </c>
      <c r="CD1647" s="28" t="s">
        <v>138</v>
      </c>
      <c r="CE1647" s="28" t="s">
        <v>205</v>
      </c>
      <c r="CF1647" s="28" t="s">
        <v>138</v>
      </c>
      <c r="CG1647" s="28" t="s">
        <v>138</v>
      </c>
      <c r="CH1647" s="28" t="s">
        <v>174</v>
      </c>
      <c r="CI1647" s="28" t="s">
        <v>138</v>
      </c>
      <c r="CJ1647" s="28" t="s">
        <v>138</v>
      </c>
      <c r="CK1647" s="28" t="s">
        <v>138</v>
      </c>
      <c r="CL1647" s="28" t="s">
        <v>175</v>
      </c>
      <c r="CM1647" s="34" t="s">
        <v>138</v>
      </c>
      <c r="CN1647" s="29" t="s">
        <v>138</v>
      </c>
      <c r="CO1647" s="35">
        <v>2.93</v>
      </c>
      <c r="CP1647" s="36">
        <v>100</v>
      </c>
      <c r="CQ1647" s="35">
        <v>0.41</v>
      </c>
      <c r="CR1647" s="35">
        <v>16.25</v>
      </c>
      <c r="CS1647" s="35">
        <v>3.93</v>
      </c>
      <c r="CT1647" s="36">
        <v>100</v>
      </c>
      <c r="CU1647" s="35">
        <v>0.1</v>
      </c>
      <c r="CV1647" s="36">
        <v>68</v>
      </c>
      <c r="CW1647" s="35">
        <v>5.27</v>
      </c>
      <c r="CX1647" s="36">
        <v>96</v>
      </c>
      <c r="CY1647" s="35">
        <v>2.59</v>
      </c>
      <c r="CZ1647" s="36">
        <v>100</v>
      </c>
      <c r="DA1647" s="35">
        <v>0.02</v>
      </c>
      <c r="DB1647" s="36">
        <v>58</v>
      </c>
      <c r="DC1647" s="37">
        <v>5.98</v>
      </c>
      <c r="DD1647" s="36">
        <v>85</v>
      </c>
      <c r="DE1647" s="37">
        <v>-0.19</v>
      </c>
      <c r="DF1647" s="35">
        <v>-3.03</v>
      </c>
      <c r="DG1647" s="37">
        <v>12.72</v>
      </c>
      <c r="DH1647" s="36">
        <v>92</v>
      </c>
      <c r="DI1647" s="37">
        <v>4.5199999999999996</v>
      </c>
      <c r="DJ1647" s="36">
        <v>76</v>
      </c>
      <c r="DK1647" s="37">
        <v>9.9499999999999993</v>
      </c>
      <c r="DL1647" s="36">
        <v>87</v>
      </c>
      <c r="DM1647" s="37">
        <v>15.48</v>
      </c>
      <c r="DN1647" s="36">
        <v>92</v>
      </c>
      <c r="DO1647" s="37">
        <v>4.8099999999999996</v>
      </c>
      <c r="DP1647" s="36">
        <v>79</v>
      </c>
      <c r="DQ1647" s="36">
        <v>3353</v>
      </c>
      <c r="DR1647" s="38">
        <v>180</v>
      </c>
      <c r="DS1647" s="35">
        <v>5.67</v>
      </c>
      <c r="DT1647" s="36">
        <v>448</v>
      </c>
      <c r="DU1647" s="38">
        <v>0</v>
      </c>
      <c r="DV1647" s="35">
        <v>0</v>
      </c>
      <c r="DW1647" s="36">
        <v>1721</v>
      </c>
      <c r="DX1647" s="39">
        <v>3</v>
      </c>
      <c r="DY1647" s="35">
        <v>0.17</v>
      </c>
      <c r="DZ1647" s="28" t="s">
        <v>178</v>
      </c>
      <c r="EA1647" s="34">
        <v>43396</v>
      </c>
      <c r="EB1647" s="29" t="s">
        <v>138</v>
      </c>
      <c r="EC1647" s="34" t="s">
        <v>138</v>
      </c>
      <c r="ED1647" s="28" t="s">
        <v>138</v>
      </c>
      <c r="EE1647" s="40" t="str">
        <f>HYPERLINK("https://my.pitchbook.com?c=231662-71", "View company online")</f>
        <v>View company online</v>
      </c>
    </row>
    <row r="1648" spans="1:135">
      <c r="A1648" s="15" t="s">
        <v>31466</v>
      </c>
      <c r="B1648" s="15" t="s">
        <v>31467</v>
      </c>
      <c r="C1648" s="15" t="s">
        <v>138</v>
      </c>
      <c r="D1648" s="15" t="s">
        <v>31468</v>
      </c>
      <c r="E1648" s="15" t="s">
        <v>31469</v>
      </c>
      <c r="F1648" s="15" t="s">
        <v>31466</v>
      </c>
      <c r="G1648" s="15" t="s">
        <v>31470</v>
      </c>
      <c r="H1648" s="15" t="s">
        <v>322</v>
      </c>
      <c r="I1648" s="15" t="s">
        <v>807</v>
      </c>
      <c r="J1648" s="15" t="s">
        <v>2534</v>
      </c>
      <c r="K1648" s="15" t="s">
        <v>31471</v>
      </c>
      <c r="L1648" s="15" t="s">
        <v>31472</v>
      </c>
      <c r="M1648" s="15" t="s">
        <v>31473</v>
      </c>
      <c r="N1648" s="15" t="s">
        <v>147</v>
      </c>
      <c r="O1648" s="17">
        <v>105.43</v>
      </c>
      <c r="P1648" s="15" t="s">
        <v>148</v>
      </c>
      <c r="Q1648" s="15" t="s">
        <v>149</v>
      </c>
      <c r="R1648" s="15" t="s">
        <v>244</v>
      </c>
      <c r="S1648" s="15" t="s">
        <v>31474</v>
      </c>
      <c r="T1648" s="18">
        <v>500</v>
      </c>
      <c r="U1648" s="15" t="s">
        <v>31475</v>
      </c>
      <c r="V1648" s="15" t="s">
        <v>138</v>
      </c>
      <c r="W1648" s="15" t="s">
        <v>138</v>
      </c>
      <c r="X1648" s="19" t="s">
        <v>138</v>
      </c>
      <c r="Y1648" s="15" t="s">
        <v>138</v>
      </c>
      <c r="Z1648" s="15" t="s">
        <v>138</v>
      </c>
      <c r="AA1648" s="15" t="s">
        <v>138</v>
      </c>
      <c r="AB1648" s="20" t="s">
        <v>138</v>
      </c>
      <c r="AC1648" s="20" t="s">
        <v>138</v>
      </c>
      <c r="AD1648" s="20" t="s">
        <v>138</v>
      </c>
      <c r="AE1648" s="20" t="s">
        <v>138</v>
      </c>
      <c r="AF1648" s="20" t="s">
        <v>138</v>
      </c>
      <c r="AG1648" s="15" t="s">
        <v>138</v>
      </c>
      <c r="AH1648" s="20" t="s">
        <v>138</v>
      </c>
      <c r="AI1648" s="20" t="s">
        <v>138</v>
      </c>
      <c r="AJ1648" s="20" t="s">
        <v>138</v>
      </c>
      <c r="AK1648" s="15" t="s">
        <v>31476</v>
      </c>
      <c r="AL1648" s="15" t="s">
        <v>31477</v>
      </c>
      <c r="AM1648" s="15" t="s">
        <v>566</v>
      </c>
      <c r="AN1648" s="15" t="s">
        <v>31478</v>
      </c>
      <c r="AO1648" s="15" t="s">
        <v>31479</v>
      </c>
      <c r="AP1648" s="15" t="s">
        <v>20814</v>
      </c>
      <c r="AQ1648" s="15" t="s">
        <v>31480</v>
      </c>
      <c r="AR1648" s="15" t="s">
        <v>31481</v>
      </c>
      <c r="AS1648" s="15" t="s">
        <v>20817</v>
      </c>
      <c r="AT1648" s="15" t="s">
        <v>20818</v>
      </c>
      <c r="AU1648" s="15" t="s">
        <v>31482</v>
      </c>
      <c r="AV1648" s="15" t="s">
        <v>450</v>
      </c>
      <c r="AW1648" s="15" t="s">
        <v>31479</v>
      </c>
      <c r="AX1648" s="15" t="s">
        <v>31483</v>
      </c>
      <c r="AY1648" s="15" t="s">
        <v>138</v>
      </c>
      <c r="AZ1648" s="15" t="s">
        <v>452</v>
      </c>
      <c r="BA1648" s="15" t="s">
        <v>453</v>
      </c>
      <c r="BB1648" s="15" t="s">
        <v>31484</v>
      </c>
      <c r="BC1648" s="15" t="s">
        <v>31485</v>
      </c>
      <c r="BD1648" s="21">
        <v>4</v>
      </c>
      <c r="BE1648" s="15" t="s">
        <v>138</v>
      </c>
      <c r="BF1648" s="15" t="s">
        <v>138</v>
      </c>
      <c r="BG1648" s="15" t="s">
        <v>138</v>
      </c>
      <c r="BH1648" s="15" t="s">
        <v>31486</v>
      </c>
      <c r="BI1648" s="15" t="s">
        <v>138</v>
      </c>
      <c r="BJ1648" s="15" t="s">
        <v>138</v>
      </c>
      <c r="BK1648" s="15" t="s">
        <v>315</v>
      </c>
      <c r="BL1648" s="15" t="s">
        <v>315</v>
      </c>
      <c r="BM1648" s="22">
        <v>41161</v>
      </c>
      <c r="BN1648" s="17" t="s">
        <v>138</v>
      </c>
      <c r="BO1648" s="15" t="s">
        <v>138</v>
      </c>
      <c r="BP1648" s="17" t="s">
        <v>138</v>
      </c>
      <c r="BQ1648" s="15" t="s">
        <v>138</v>
      </c>
      <c r="BR1648" s="15" t="s">
        <v>205</v>
      </c>
      <c r="BS1648" s="15" t="s">
        <v>138</v>
      </c>
      <c r="BT1648" s="15" t="s">
        <v>138</v>
      </c>
      <c r="BU1648" s="15" t="s">
        <v>174</v>
      </c>
      <c r="BV1648" s="15" t="s">
        <v>138</v>
      </c>
      <c r="BW1648" s="15" t="s">
        <v>138</v>
      </c>
      <c r="BX1648" s="15" t="s">
        <v>138</v>
      </c>
      <c r="BY1648" s="15" t="s">
        <v>175</v>
      </c>
      <c r="BZ1648" s="22">
        <v>43035</v>
      </c>
      <c r="CA1648" s="17">
        <v>30</v>
      </c>
      <c r="CB1648" s="15" t="s">
        <v>172</v>
      </c>
      <c r="CC1648" s="17" t="s">
        <v>138</v>
      </c>
      <c r="CD1648" s="15" t="s">
        <v>138</v>
      </c>
      <c r="CE1648" s="15" t="s">
        <v>173</v>
      </c>
      <c r="CF1648" s="15" t="s">
        <v>720</v>
      </c>
      <c r="CG1648" s="15" t="s">
        <v>138</v>
      </c>
      <c r="CH1648" s="15" t="s">
        <v>174</v>
      </c>
      <c r="CI1648" s="15" t="s">
        <v>138</v>
      </c>
      <c r="CJ1648" s="15" t="s">
        <v>138</v>
      </c>
      <c r="CK1648" s="15" t="s">
        <v>138</v>
      </c>
      <c r="CL1648" s="15" t="s">
        <v>175</v>
      </c>
      <c r="CM1648" s="22" t="s">
        <v>138</v>
      </c>
      <c r="CN1648" s="17" t="s">
        <v>138</v>
      </c>
      <c r="CO1648" s="23">
        <v>0</v>
      </c>
      <c r="CP1648" s="24">
        <v>26</v>
      </c>
      <c r="CQ1648" s="23">
        <v>0</v>
      </c>
      <c r="CR1648" s="23">
        <v>0</v>
      </c>
      <c r="CS1648" s="23">
        <v>0</v>
      </c>
      <c r="CT1648" s="24">
        <v>23</v>
      </c>
      <c r="CU1648" s="23" t="s">
        <v>138</v>
      </c>
      <c r="CV1648" s="24" t="s">
        <v>138</v>
      </c>
      <c r="CW1648" s="23" t="s">
        <v>138</v>
      </c>
      <c r="CX1648" s="24" t="s">
        <v>138</v>
      </c>
      <c r="CY1648" s="23">
        <v>0</v>
      </c>
      <c r="CZ1648" s="24">
        <v>25</v>
      </c>
      <c r="DA1648" s="23" t="s">
        <v>138</v>
      </c>
      <c r="DB1648" s="24" t="s">
        <v>138</v>
      </c>
      <c r="DC1648" s="25">
        <v>2.5499999999999998</v>
      </c>
      <c r="DD1648" s="24">
        <v>72</v>
      </c>
      <c r="DE1648" s="25">
        <v>0.03</v>
      </c>
      <c r="DF1648" s="23">
        <v>1.37</v>
      </c>
      <c r="DG1648" s="25">
        <v>2.5499999999999998</v>
      </c>
      <c r="DH1648" s="24">
        <v>71</v>
      </c>
      <c r="DI1648" s="25" t="s">
        <v>138</v>
      </c>
      <c r="DJ1648" s="24" t="s">
        <v>138</v>
      </c>
      <c r="DK1648" s="25" t="s">
        <v>138</v>
      </c>
      <c r="DL1648" s="24" t="s">
        <v>138</v>
      </c>
      <c r="DM1648" s="25">
        <v>2.5499999999999998</v>
      </c>
      <c r="DN1648" s="24">
        <v>70</v>
      </c>
      <c r="DO1648" s="25" t="s">
        <v>138</v>
      </c>
      <c r="DP1648" s="24" t="s">
        <v>138</v>
      </c>
      <c r="DQ1648" s="24" t="s">
        <v>138</v>
      </c>
      <c r="DR1648" s="26" t="s">
        <v>138</v>
      </c>
      <c r="DS1648" s="23" t="s">
        <v>138</v>
      </c>
      <c r="DT1648" s="24">
        <v>73</v>
      </c>
      <c r="DU1648" s="26">
        <v>1</v>
      </c>
      <c r="DV1648" s="23">
        <v>1.39</v>
      </c>
      <c r="DW1648" s="24" t="s">
        <v>138</v>
      </c>
      <c r="DX1648" s="27" t="s">
        <v>138</v>
      </c>
      <c r="DY1648" s="23" t="s">
        <v>138</v>
      </c>
      <c r="DZ1648" s="15" t="s">
        <v>178</v>
      </c>
      <c r="EA1648" s="22">
        <v>43351</v>
      </c>
      <c r="EB1648" s="17" t="s">
        <v>138</v>
      </c>
      <c r="EC1648" s="22" t="s">
        <v>138</v>
      </c>
      <c r="ED1648" s="15" t="s">
        <v>138</v>
      </c>
      <c r="EE1648" s="14" t="str">
        <f>HYPERLINK("https://my.pitchbook.com?c=97410-16", "View company online")</f>
        <v>View company online</v>
      </c>
    </row>
    <row r="1649" spans="1:135">
      <c r="A1649" s="28" t="s">
        <v>31487</v>
      </c>
      <c r="B1649" s="28" t="s">
        <v>31488</v>
      </c>
      <c r="C1649" s="28" t="s">
        <v>138</v>
      </c>
      <c r="D1649" s="28" t="s">
        <v>31489</v>
      </c>
      <c r="E1649" s="28" t="s">
        <v>138</v>
      </c>
      <c r="F1649" s="28" t="s">
        <v>31487</v>
      </c>
      <c r="G1649" s="28" t="s">
        <v>31490</v>
      </c>
      <c r="H1649" s="28" t="s">
        <v>141</v>
      </c>
      <c r="I1649" s="28" t="s">
        <v>212</v>
      </c>
      <c r="J1649" s="28" t="s">
        <v>486</v>
      </c>
      <c r="K1649" s="28" t="s">
        <v>5985</v>
      </c>
      <c r="L1649" s="28" t="s">
        <v>4640</v>
      </c>
      <c r="M1649" s="28" t="s">
        <v>31491</v>
      </c>
      <c r="N1649" s="28" t="s">
        <v>147</v>
      </c>
      <c r="O1649" s="29" t="s">
        <v>138</v>
      </c>
      <c r="P1649" s="28" t="s">
        <v>148</v>
      </c>
      <c r="Q1649" s="28" t="s">
        <v>149</v>
      </c>
      <c r="R1649" s="28" t="s">
        <v>174</v>
      </c>
      <c r="S1649" s="28" t="s">
        <v>31492</v>
      </c>
      <c r="T1649" s="30" t="s">
        <v>138</v>
      </c>
      <c r="U1649" s="28" t="s">
        <v>138</v>
      </c>
      <c r="V1649" s="28" t="s">
        <v>138</v>
      </c>
      <c r="W1649" s="28" t="s">
        <v>138</v>
      </c>
      <c r="X1649" s="31" t="s">
        <v>138</v>
      </c>
      <c r="Y1649" s="28" t="s">
        <v>138</v>
      </c>
      <c r="Z1649" s="28" t="s">
        <v>138</v>
      </c>
      <c r="AA1649" s="28" t="s">
        <v>138</v>
      </c>
      <c r="AB1649" s="32" t="s">
        <v>138</v>
      </c>
      <c r="AC1649" s="32" t="s">
        <v>138</v>
      </c>
      <c r="AD1649" s="32" t="s">
        <v>138</v>
      </c>
      <c r="AE1649" s="32" t="s">
        <v>138</v>
      </c>
      <c r="AF1649" s="32" t="s">
        <v>138</v>
      </c>
      <c r="AG1649" s="28" t="s">
        <v>138</v>
      </c>
      <c r="AH1649" s="32" t="s">
        <v>138</v>
      </c>
      <c r="AI1649" s="32" t="s">
        <v>138</v>
      </c>
      <c r="AJ1649" s="32" t="s">
        <v>138</v>
      </c>
      <c r="AK1649" s="28" t="s">
        <v>31493</v>
      </c>
      <c r="AL1649" s="28" t="s">
        <v>31494</v>
      </c>
      <c r="AM1649" s="28" t="s">
        <v>304</v>
      </c>
      <c r="AN1649" s="28" t="s">
        <v>31495</v>
      </c>
      <c r="AO1649" s="28" t="s">
        <v>31496</v>
      </c>
      <c r="AP1649" s="28" t="s">
        <v>2692</v>
      </c>
      <c r="AQ1649" s="28" t="s">
        <v>31497</v>
      </c>
      <c r="AR1649" s="28" t="s">
        <v>138</v>
      </c>
      <c r="AS1649" s="28" t="s">
        <v>2694</v>
      </c>
      <c r="AT1649" s="28" t="s">
        <v>138</v>
      </c>
      <c r="AU1649" s="28" t="s">
        <v>31498</v>
      </c>
      <c r="AV1649" s="28" t="s">
        <v>1054</v>
      </c>
      <c r="AW1649" s="28" t="s">
        <v>31496</v>
      </c>
      <c r="AX1649" s="28" t="s">
        <v>138</v>
      </c>
      <c r="AY1649" s="28" t="s">
        <v>31499</v>
      </c>
      <c r="AZ1649" s="28" t="s">
        <v>530</v>
      </c>
      <c r="BA1649" s="28" t="s">
        <v>531</v>
      </c>
      <c r="BB1649" s="28" t="s">
        <v>31500</v>
      </c>
      <c r="BC1649" s="28" t="s">
        <v>31501</v>
      </c>
      <c r="BD1649" s="33">
        <v>3</v>
      </c>
      <c r="BE1649" s="28" t="s">
        <v>138</v>
      </c>
      <c r="BF1649" s="28" t="s">
        <v>138</v>
      </c>
      <c r="BG1649" s="28" t="s">
        <v>138</v>
      </c>
      <c r="BH1649" s="28" t="s">
        <v>31502</v>
      </c>
      <c r="BI1649" s="28" t="s">
        <v>138</v>
      </c>
      <c r="BJ1649" s="28" t="s">
        <v>138</v>
      </c>
      <c r="BK1649" s="28" t="s">
        <v>138</v>
      </c>
      <c r="BL1649" s="28" t="s">
        <v>138</v>
      </c>
      <c r="BM1649" s="34">
        <v>42265</v>
      </c>
      <c r="BN1649" s="29" t="s">
        <v>138</v>
      </c>
      <c r="BO1649" s="28" t="s">
        <v>138</v>
      </c>
      <c r="BP1649" s="29" t="s">
        <v>138</v>
      </c>
      <c r="BQ1649" s="28" t="s">
        <v>138</v>
      </c>
      <c r="BR1649" s="28" t="s">
        <v>316</v>
      </c>
      <c r="BS1649" s="28" t="s">
        <v>138</v>
      </c>
      <c r="BT1649" s="28" t="s">
        <v>138</v>
      </c>
      <c r="BU1649" s="28" t="s">
        <v>177</v>
      </c>
      <c r="BV1649" s="28" t="s">
        <v>138</v>
      </c>
      <c r="BW1649" s="28" t="s">
        <v>138</v>
      </c>
      <c r="BX1649" s="28" t="s">
        <v>138</v>
      </c>
      <c r="BY1649" s="28" t="s">
        <v>175</v>
      </c>
      <c r="BZ1649" s="34" t="s">
        <v>138</v>
      </c>
      <c r="CA1649" s="29" t="s">
        <v>138</v>
      </c>
      <c r="CB1649" s="28" t="s">
        <v>138</v>
      </c>
      <c r="CC1649" s="29" t="s">
        <v>138</v>
      </c>
      <c r="CD1649" s="28" t="s">
        <v>138</v>
      </c>
      <c r="CE1649" s="28" t="s">
        <v>205</v>
      </c>
      <c r="CF1649" s="28" t="s">
        <v>138</v>
      </c>
      <c r="CG1649" s="28" t="s">
        <v>138</v>
      </c>
      <c r="CH1649" s="28" t="s">
        <v>174</v>
      </c>
      <c r="CI1649" s="28" t="s">
        <v>138</v>
      </c>
      <c r="CJ1649" s="28" t="s">
        <v>138</v>
      </c>
      <c r="CK1649" s="28" t="s">
        <v>138</v>
      </c>
      <c r="CL1649" s="28" t="s">
        <v>175</v>
      </c>
      <c r="CM1649" s="34" t="s">
        <v>138</v>
      </c>
      <c r="CN1649" s="29" t="s">
        <v>138</v>
      </c>
      <c r="CO1649" s="35">
        <v>0.09</v>
      </c>
      <c r="CP1649" s="36">
        <v>90</v>
      </c>
      <c r="CQ1649" s="35">
        <v>-0.04</v>
      </c>
      <c r="CR1649" s="35">
        <v>-29.27</v>
      </c>
      <c r="CS1649" s="35">
        <v>0</v>
      </c>
      <c r="CT1649" s="36">
        <v>23</v>
      </c>
      <c r="CU1649" s="35">
        <v>0.18</v>
      </c>
      <c r="CV1649" s="36">
        <v>78</v>
      </c>
      <c r="CW1649" s="35" t="s">
        <v>138</v>
      </c>
      <c r="CX1649" s="36" t="s">
        <v>138</v>
      </c>
      <c r="CY1649" s="35">
        <v>0</v>
      </c>
      <c r="CZ1649" s="36">
        <v>25</v>
      </c>
      <c r="DA1649" s="35">
        <v>0.3</v>
      </c>
      <c r="DB1649" s="36">
        <v>88</v>
      </c>
      <c r="DC1649" s="37">
        <v>1.26</v>
      </c>
      <c r="DD1649" s="36">
        <v>57</v>
      </c>
      <c r="DE1649" s="37">
        <v>0.05</v>
      </c>
      <c r="DF1649" s="35">
        <v>4.4000000000000004</v>
      </c>
      <c r="DG1649" s="37">
        <v>2.17</v>
      </c>
      <c r="DH1649" s="36">
        <v>68</v>
      </c>
      <c r="DI1649" s="37">
        <v>0.35</v>
      </c>
      <c r="DJ1649" s="36">
        <v>30</v>
      </c>
      <c r="DK1649" s="37" t="s">
        <v>138</v>
      </c>
      <c r="DL1649" s="36" t="s">
        <v>138</v>
      </c>
      <c r="DM1649" s="37">
        <v>2.17</v>
      </c>
      <c r="DN1649" s="36">
        <v>67</v>
      </c>
      <c r="DO1649" s="37">
        <v>0.48</v>
      </c>
      <c r="DP1649" s="36">
        <v>37</v>
      </c>
      <c r="DQ1649" s="36" t="s">
        <v>138</v>
      </c>
      <c r="DR1649" s="38" t="s">
        <v>138</v>
      </c>
      <c r="DS1649" s="35" t="s">
        <v>138</v>
      </c>
      <c r="DT1649" s="36">
        <v>62</v>
      </c>
      <c r="DU1649" s="38">
        <v>1</v>
      </c>
      <c r="DV1649" s="35">
        <v>1.64</v>
      </c>
      <c r="DW1649" s="36">
        <v>172</v>
      </c>
      <c r="DX1649" s="39">
        <v>0</v>
      </c>
      <c r="DY1649" s="35">
        <v>0</v>
      </c>
      <c r="DZ1649" s="28" t="s">
        <v>178</v>
      </c>
      <c r="EA1649" s="34">
        <v>43515</v>
      </c>
      <c r="EB1649" s="29" t="s">
        <v>138</v>
      </c>
      <c r="EC1649" s="34" t="s">
        <v>138</v>
      </c>
      <c r="ED1649" s="28" t="s">
        <v>138</v>
      </c>
      <c r="EE1649" s="40" t="str">
        <f>HYPERLINK("https://my.pitchbook.com?c=117186-13", "View company online")</f>
        <v>View company online</v>
      </c>
    </row>
    <row r="1650" spans="1:135">
      <c r="A1650" s="15" t="s">
        <v>31503</v>
      </c>
      <c r="B1650" s="15" t="s">
        <v>31504</v>
      </c>
      <c r="C1650" s="15" t="s">
        <v>138</v>
      </c>
      <c r="D1650" s="15" t="s">
        <v>138</v>
      </c>
      <c r="E1650" s="15" t="s">
        <v>31505</v>
      </c>
      <c r="F1650" s="15" t="s">
        <v>31503</v>
      </c>
      <c r="G1650" s="15" t="s">
        <v>31506</v>
      </c>
      <c r="H1650" s="15" t="s">
        <v>322</v>
      </c>
      <c r="I1650" s="15" t="s">
        <v>323</v>
      </c>
      <c r="J1650" s="15" t="s">
        <v>1132</v>
      </c>
      <c r="K1650" s="15" t="s">
        <v>17658</v>
      </c>
      <c r="L1650" s="15" t="s">
        <v>31507</v>
      </c>
      <c r="M1650" s="15" t="s">
        <v>31508</v>
      </c>
      <c r="N1650" s="15" t="s">
        <v>147</v>
      </c>
      <c r="O1650" s="17">
        <v>246</v>
      </c>
      <c r="P1650" s="15" t="s">
        <v>148</v>
      </c>
      <c r="Q1650" s="15" t="s">
        <v>149</v>
      </c>
      <c r="R1650" s="15" t="s">
        <v>174</v>
      </c>
      <c r="S1650" s="15" t="s">
        <v>31509</v>
      </c>
      <c r="T1650" s="18">
        <v>200</v>
      </c>
      <c r="U1650" s="15" t="s">
        <v>31510</v>
      </c>
      <c r="V1650" s="15" t="s">
        <v>138</v>
      </c>
      <c r="W1650" s="15" t="s">
        <v>138</v>
      </c>
      <c r="X1650" s="19">
        <v>2013</v>
      </c>
      <c r="Y1650" s="15" t="s">
        <v>138</v>
      </c>
      <c r="Z1650" s="15" t="s">
        <v>138</v>
      </c>
      <c r="AA1650" s="15" t="s">
        <v>138</v>
      </c>
      <c r="AB1650" s="20">
        <v>4</v>
      </c>
      <c r="AC1650" s="20" t="s">
        <v>138</v>
      </c>
      <c r="AD1650" s="20" t="s">
        <v>138</v>
      </c>
      <c r="AE1650" s="20" t="s">
        <v>138</v>
      </c>
      <c r="AF1650" s="20" t="s">
        <v>138</v>
      </c>
      <c r="AG1650" s="15" t="s">
        <v>707</v>
      </c>
      <c r="AH1650" s="20" t="s">
        <v>138</v>
      </c>
      <c r="AI1650" s="20" t="s">
        <v>138</v>
      </c>
      <c r="AJ1650" s="20" t="s">
        <v>138</v>
      </c>
      <c r="AK1650" s="15" t="s">
        <v>31511</v>
      </c>
      <c r="AL1650" s="15" t="s">
        <v>31512</v>
      </c>
      <c r="AM1650" s="15" t="s">
        <v>2451</v>
      </c>
      <c r="AN1650" s="15" t="s">
        <v>31513</v>
      </c>
      <c r="AO1650" s="15" t="s">
        <v>138</v>
      </c>
      <c r="AP1650" s="15" t="s">
        <v>1292</v>
      </c>
      <c r="AQ1650" s="15" t="s">
        <v>31514</v>
      </c>
      <c r="AR1650" s="15" t="s">
        <v>31515</v>
      </c>
      <c r="AS1650" s="15" t="s">
        <v>1294</v>
      </c>
      <c r="AT1650" s="15" t="s">
        <v>864</v>
      </c>
      <c r="AU1650" s="15" t="s">
        <v>3579</v>
      </c>
      <c r="AV1650" s="15" t="s">
        <v>162</v>
      </c>
      <c r="AW1650" s="15" t="s">
        <v>31516</v>
      </c>
      <c r="AX1650" s="15" t="s">
        <v>138</v>
      </c>
      <c r="AY1650" s="15" t="s">
        <v>31517</v>
      </c>
      <c r="AZ1650" s="15" t="s">
        <v>164</v>
      </c>
      <c r="BA1650" s="15" t="s">
        <v>165</v>
      </c>
      <c r="BB1650" s="15" t="s">
        <v>31518</v>
      </c>
      <c r="BC1650" s="15" t="s">
        <v>31519</v>
      </c>
      <c r="BD1650" s="21">
        <v>26</v>
      </c>
      <c r="BE1650" s="15" t="s">
        <v>138</v>
      </c>
      <c r="BF1650" s="15" t="s">
        <v>138</v>
      </c>
      <c r="BG1650" s="15" t="s">
        <v>138</v>
      </c>
      <c r="BH1650" s="15" t="s">
        <v>31520</v>
      </c>
      <c r="BI1650" s="15" t="s">
        <v>138</v>
      </c>
      <c r="BJ1650" s="15" t="s">
        <v>138</v>
      </c>
      <c r="BK1650" s="15" t="s">
        <v>31521</v>
      </c>
      <c r="BL1650" s="15" t="s">
        <v>31522</v>
      </c>
      <c r="BM1650" s="22">
        <v>41578</v>
      </c>
      <c r="BN1650" s="17">
        <v>9</v>
      </c>
      <c r="BO1650" s="15" t="s">
        <v>172</v>
      </c>
      <c r="BP1650" s="17" t="s">
        <v>138</v>
      </c>
      <c r="BQ1650" s="15" t="s">
        <v>138</v>
      </c>
      <c r="BR1650" s="15" t="s">
        <v>205</v>
      </c>
      <c r="BS1650" s="15" t="s">
        <v>206</v>
      </c>
      <c r="BT1650" s="15" t="s">
        <v>138</v>
      </c>
      <c r="BU1650" s="15" t="s">
        <v>174</v>
      </c>
      <c r="BV1650" s="15" t="s">
        <v>138</v>
      </c>
      <c r="BW1650" s="15" t="s">
        <v>138</v>
      </c>
      <c r="BX1650" s="15" t="s">
        <v>138</v>
      </c>
      <c r="BY1650" s="15" t="s">
        <v>175</v>
      </c>
      <c r="BZ1650" s="22" t="s">
        <v>138</v>
      </c>
      <c r="CA1650" s="17" t="s">
        <v>138</v>
      </c>
      <c r="CB1650" s="15" t="s">
        <v>138</v>
      </c>
      <c r="CC1650" s="17" t="s">
        <v>138</v>
      </c>
      <c r="CD1650" s="15" t="s">
        <v>138</v>
      </c>
      <c r="CE1650" s="15" t="s">
        <v>173</v>
      </c>
      <c r="CF1650" s="15" t="s">
        <v>138</v>
      </c>
      <c r="CG1650" s="15" t="s">
        <v>138</v>
      </c>
      <c r="CH1650" s="15" t="s">
        <v>174</v>
      </c>
      <c r="CI1650" s="15" t="s">
        <v>138</v>
      </c>
      <c r="CJ1650" s="15" t="s">
        <v>138</v>
      </c>
      <c r="CK1650" s="15" t="s">
        <v>138</v>
      </c>
      <c r="CL1650" s="15" t="s">
        <v>3093</v>
      </c>
      <c r="CM1650" s="22" t="s">
        <v>138</v>
      </c>
      <c r="CN1650" s="17" t="s">
        <v>138</v>
      </c>
      <c r="CO1650" s="23">
        <v>0.05</v>
      </c>
      <c r="CP1650" s="24">
        <v>88</v>
      </c>
      <c r="CQ1650" s="23">
        <v>-0.02</v>
      </c>
      <c r="CR1650" s="23">
        <v>-30.42</v>
      </c>
      <c r="CS1650" s="23">
        <v>-1.1599999999999999</v>
      </c>
      <c r="CT1650" s="24">
        <v>14</v>
      </c>
      <c r="CU1650" s="23">
        <v>0.35</v>
      </c>
      <c r="CV1650" s="24">
        <v>89</v>
      </c>
      <c r="CW1650" s="23">
        <v>-1.51</v>
      </c>
      <c r="CX1650" s="24">
        <v>8</v>
      </c>
      <c r="CY1650" s="23">
        <v>-0.82</v>
      </c>
      <c r="CZ1650" s="24">
        <v>20</v>
      </c>
      <c r="DA1650" s="23">
        <v>0.35</v>
      </c>
      <c r="DB1650" s="24">
        <v>90</v>
      </c>
      <c r="DC1650" s="25">
        <v>201.25</v>
      </c>
      <c r="DD1650" s="24">
        <v>100</v>
      </c>
      <c r="DE1650" s="25">
        <v>4.1900000000000004</v>
      </c>
      <c r="DF1650" s="23">
        <v>2.13</v>
      </c>
      <c r="DG1650" s="25">
        <v>124.98</v>
      </c>
      <c r="DH1650" s="24">
        <v>100</v>
      </c>
      <c r="DI1650" s="25">
        <v>125.38</v>
      </c>
      <c r="DJ1650" s="24">
        <v>98</v>
      </c>
      <c r="DK1650" s="25">
        <v>97.47</v>
      </c>
      <c r="DL1650" s="24">
        <v>98</v>
      </c>
      <c r="DM1650" s="25">
        <v>152.47999999999999</v>
      </c>
      <c r="DN1650" s="24">
        <v>100</v>
      </c>
      <c r="DO1650" s="25">
        <v>125.38</v>
      </c>
      <c r="DP1650" s="24">
        <v>98</v>
      </c>
      <c r="DQ1650" s="24">
        <v>33629</v>
      </c>
      <c r="DR1650" s="26">
        <v>-593</v>
      </c>
      <c r="DS1650" s="23">
        <v>-1.73</v>
      </c>
      <c r="DT1650" s="24">
        <v>4419</v>
      </c>
      <c r="DU1650" s="26">
        <v>10</v>
      </c>
      <c r="DV1650" s="23">
        <v>0.23</v>
      </c>
      <c r="DW1650" s="24">
        <v>44863</v>
      </c>
      <c r="DX1650" s="27">
        <v>89</v>
      </c>
      <c r="DY1650" s="23">
        <v>0.2</v>
      </c>
      <c r="DZ1650" s="15" t="s">
        <v>178</v>
      </c>
      <c r="EA1650" s="22">
        <v>43622</v>
      </c>
      <c r="EB1650" s="17">
        <v>3000</v>
      </c>
      <c r="EC1650" s="22">
        <v>43236</v>
      </c>
      <c r="ED1650" s="15" t="s">
        <v>173</v>
      </c>
      <c r="EE1650" s="14" t="str">
        <f>HYPERLINK("https://my.pitchbook.com?c=60145-57", "View company online")</f>
        <v>View company online</v>
      </c>
    </row>
    <row r="1651" spans="1:135">
      <c r="A1651" s="28" t="s">
        <v>31523</v>
      </c>
      <c r="B1651" s="28" t="s">
        <v>31524</v>
      </c>
      <c r="C1651" s="28" t="s">
        <v>138</v>
      </c>
      <c r="D1651" s="28" t="s">
        <v>31525</v>
      </c>
      <c r="E1651" s="28" t="s">
        <v>31526</v>
      </c>
      <c r="F1651" s="28" t="s">
        <v>31523</v>
      </c>
      <c r="G1651" s="28" t="s">
        <v>31527</v>
      </c>
      <c r="H1651" s="28" t="s">
        <v>238</v>
      </c>
      <c r="I1651" s="28" t="s">
        <v>239</v>
      </c>
      <c r="J1651" s="28" t="s">
        <v>240</v>
      </c>
      <c r="K1651" s="28" t="s">
        <v>31528</v>
      </c>
      <c r="L1651" s="28" t="s">
        <v>31529</v>
      </c>
      <c r="M1651" s="28" t="s">
        <v>31530</v>
      </c>
      <c r="N1651" s="28" t="s">
        <v>147</v>
      </c>
      <c r="O1651" s="29" t="s">
        <v>138</v>
      </c>
      <c r="P1651" s="28" t="s">
        <v>148</v>
      </c>
      <c r="Q1651" s="28" t="s">
        <v>149</v>
      </c>
      <c r="R1651" s="28" t="s">
        <v>174</v>
      </c>
      <c r="S1651" s="28" t="s">
        <v>31531</v>
      </c>
      <c r="T1651" s="30">
        <v>10</v>
      </c>
      <c r="U1651" s="28" t="s">
        <v>8007</v>
      </c>
      <c r="V1651" s="28" t="s">
        <v>138</v>
      </c>
      <c r="W1651" s="28" t="s">
        <v>138</v>
      </c>
      <c r="X1651" s="31">
        <v>2017</v>
      </c>
      <c r="Y1651" s="28" t="s">
        <v>138</v>
      </c>
      <c r="Z1651" s="28" t="s">
        <v>138</v>
      </c>
      <c r="AA1651" s="28" t="s">
        <v>138</v>
      </c>
      <c r="AB1651" s="32" t="s">
        <v>138</v>
      </c>
      <c r="AC1651" s="32" t="s">
        <v>138</v>
      </c>
      <c r="AD1651" s="32" t="s">
        <v>138</v>
      </c>
      <c r="AE1651" s="32" t="s">
        <v>138</v>
      </c>
      <c r="AF1651" s="32" t="s">
        <v>138</v>
      </c>
      <c r="AG1651" s="28" t="s">
        <v>138</v>
      </c>
      <c r="AH1651" s="32" t="s">
        <v>138</v>
      </c>
      <c r="AI1651" s="32" t="s">
        <v>138</v>
      </c>
      <c r="AJ1651" s="32" t="s">
        <v>138</v>
      </c>
      <c r="AK1651" s="28" t="s">
        <v>31532</v>
      </c>
      <c r="AL1651" s="28" t="s">
        <v>31533</v>
      </c>
      <c r="AM1651" s="28" t="s">
        <v>916</v>
      </c>
      <c r="AN1651" s="28" t="s">
        <v>31534</v>
      </c>
      <c r="AO1651" s="28" t="s">
        <v>31535</v>
      </c>
      <c r="AP1651" s="28" t="s">
        <v>22869</v>
      </c>
      <c r="AQ1651" s="28" t="s">
        <v>31536</v>
      </c>
      <c r="AR1651" s="28" t="s">
        <v>138</v>
      </c>
      <c r="AS1651" s="28" t="s">
        <v>22871</v>
      </c>
      <c r="AT1651" s="28" t="s">
        <v>138</v>
      </c>
      <c r="AU1651" s="28" t="s">
        <v>22872</v>
      </c>
      <c r="AV1651" s="28" t="s">
        <v>946</v>
      </c>
      <c r="AW1651" s="28" t="s">
        <v>31535</v>
      </c>
      <c r="AX1651" s="28" t="s">
        <v>138</v>
      </c>
      <c r="AY1651" s="28" t="s">
        <v>31537</v>
      </c>
      <c r="AZ1651" s="28" t="s">
        <v>530</v>
      </c>
      <c r="BA1651" s="28" t="s">
        <v>531</v>
      </c>
      <c r="BB1651" s="28" t="s">
        <v>31538</v>
      </c>
      <c r="BC1651" s="28" t="s">
        <v>31539</v>
      </c>
      <c r="BD1651" s="33">
        <v>4</v>
      </c>
      <c r="BE1651" s="28" t="s">
        <v>138</v>
      </c>
      <c r="BF1651" s="28" t="s">
        <v>138</v>
      </c>
      <c r="BG1651" s="28" t="s">
        <v>138</v>
      </c>
      <c r="BH1651" s="28" t="s">
        <v>31540</v>
      </c>
      <c r="BI1651" s="28" t="s">
        <v>138</v>
      </c>
      <c r="BJ1651" s="28" t="s">
        <v>138</v>
      </c>
      <c r="BK1651" s="28" t="s">
        <v>138</v>
      </c>
      <c r="BL1651" s="28" t="s">
        <v>138</v>
      </c>
      <c r="BM1651" s="34">
        <v>43040</v>
      </c>
      <c r="BN1651" s="29" t="s">
        <v>138</v>
      </c>
      <c r="BO1651" s="28" t="s">
        <v>138</v>
      </c>
      <c r="BP1651" s="29" t="s">
        <v>138</v>
      </c>
      <c r="BQ1651" s="28" t="s">
        <v>138</v>
      </c>
      <c r="BR1651" s="28" t="s">
        <v>234</v>
      </c>
      <c r="BS1651" s="28" t="s">
        <v>234</v>
      </c>
      <c r="BT1651" s="28" t="s">
        <v>138</v>
      </c>
      <c r="BU1651" s="28" t="s">
        <v>174</v>
      </c>
      <c r="BV1651" s="28" t="s">
        <v>138</v>
      </c>
      <c r="BW1651" s="28" t="s">
        <v>138</v>
      </c>
      <c r="BX1651" s="28" t="s">
        <v>138</v>
      </c>
      <c r="BY1651" s="28" t="s">
        <v>175</v>
      </c>
      <c r="BZ1651" s="34">
        <v>43466</v>
      </c>
      <c r="CA1651" s="29" t="s">
        <v>138</v>
      </c>
      <c r="CB1651" s="28" t="s">
        <v>138</v>
      </c>
      <c r="CC1651" s="29" t="s">
        <v>138</v>
      </c>
      <c r="CD1651" s="28" t="s">
        <v>138</v>
      </c>
      <c r="CE1651" s="28" t="s">
        <v>205</v>
      </c>
      <c r="CF1651" s="28" t="s">
        <v>138</v>
      </c>
      <c r="CG1651" s="28" t="s">
        <v>138</v>
      </c>
      <c r="CH1651" s="28" t="s">
        <v>174</v>
      </c>
      <c r="CI1651" s="28" t="s">
        <v>138</v>
      </c>
      <c r="CJ1651" s="28" t="s">
        <v>138</v>
      </c>
      <c r="CK1651" s="28" t="s">
        <v>138</v>
      </c>
      <c r="CL1651" s="28" t="s">
        <v>175</v>
      </c>
      <c r="CM1651" s="34" t="s">
        <v>138</v>
      </c>
      <c r="CN1651" s="29" t="s">
        <v>138</v>
      </c>
      <c r="CO1651" s="35">
        <v>0</v>
      </c>
      <c r="CP1651" s="36">
        <v>26</v>
      </c>
      <c r="CQ1651" s="35">
        <v>0</v>
      </c>
      <c r="CR1651" s="35">
        <v>0</v>
      </c>
      <c r="CS1651" s="35">
        <v>0</v>
      </c>
      <c r="CT1651" s="36">
        <v>23</v>
      </c>
      <c r="CU1651" s="35">
        <v>0</v>
      </c>
      <c r="CV1651" s="36">
        <v>22</v>
      </c>
      <c r="CW1651" s="35" t="s">
        <v>138</v>
      </c>
      <c r="CX1651" s="36" t="s">
        <v>138</v>
      </c>
      <c r="CY1651" s="35">
        <v>0</v>
      </c>
      <c r="CZ1651" s="36">
        <v>25</v>
      </c>
      <c r="DA1651" s="35">
        <v>0</v>
      </c>
      <c r="DB1651" s="36">
        <v>22</v>
      </c>
      <c r="DC1651" s="37">
        <v>0.36</v>
      </c>
      <c r="DD1651" s="36">
        <v>27</v>
      </c>
      <c r="DE1651" s="37">
        <v>0</v>
      </c>
      <c r="DF1651" s="35">
        <v>0.13</v>
      </c>
      <c r="DG1651" s="37">
        <v>0.55000000000000004</v>
      </c>
      <c r="DH1651" s="36">
        <v>36</v>
      </c>
      <c r="DI1651" s="37">
        <v>0.17</v>
      </c>
      <c r="DJ1651" s="36">
        <v>20</v>
      </c>
      <c r="DK1651" s="37" t="s">
        <v>138</v>
      </c>
      <c r="DL1651" s="36" t="s">
        <v>138</v>
      </c>
      <c r="DM1651" s="37">
        <v>0.55000000000000004</v>
      </c>
      <c r="DN1651" s="36">
        <v>36</v>
      </c>
      <c r="DO1651" s="37">
        <v>0.17</v>
      </c>
      <c r="DP1651" s="36">
        <v>22</v>
      </c>
      <c r="DQ1651" s="36" t="s">
        <v>138</v>
      </c>
      <c r="DR1651" s="38" t="s">
        <v>138</v>
      </c>
      <c r="DS1651" s="35" t="s">
        <v>138</v>
      </c>
      <c r="DT1651" s="36">
        <v>16</v>
      </c>
      <c r="DU1651" s="38">
        <v>0</v>
      </c>
      <c r="DV1651" s="35">
        <v>0</v>
      </c>
      <c r="DW1651" s="36">
        <v>60</v>
      </c>
      <c r="DX1651" s="39">
        <v>0</v>
      </c>
      <c r="DY1651" s="35">
        <v>0</v>
      </c>
      <c r="DZ1651" s="28" t="s">
        <v>178</v>
      </c>
      <c r="EA1651" s="34">
        <v>43605</v>
      </c>
      <c r="EB1651" s="29" t="s">
        <v>138</v>
      </c>
      <c r="EC1651" s="34" t="s">
        <v>138</v>
      </c>
      <c r="ED1651" s="28" t="s">
        <v>138</v>
      </c>
      <c r="EE1651" s="40" t="str">
        <f>HYPERLINK("https://my.pitchbook.com?c=231334-48", "View company online")</f>
        <v>View company online</v>
      </c>
    </row>
    <row r="1652" spans="1:135">
      <c r="A1652" s="15" t="s">
        <v>31541</v>
      </c>
      <c r="B1652" s="15" t="s">
        <v>31542</v>
      </c>
      <c r="C1652" s="15" t="s">
        <v>138</v>
      </c>
      <c r="D1652" s="15" t="s">
        <v>138</v>
      </c>
      <c r="E1652" s="15" t="s">
        <v>31543</v>
      </c>
      <c r="F1652" s="15" t="s">
        <v>31541</v>
      </c>
      <c r="G1652" s="15" t="s">
        <v>31544</v>
      </c>
      <c r="H1652" s="15" t="s">
        <v>141</v>
      </c>
      <c r="I1652" s="15" t="s">
        <v>212</v>
      </c>
      <c r="J1652" s="15" t="s">
        <v>213</v>
      </c>
      <c r="K1652" s="15" t="s">
        <v>31545</v>
      </c>
      <c r="L1652" s="15" t="s">
        <v>21905</v>
      </c>
      <c r="M1652" s="15" t="s">
        <v>31546</v>
      </c>
      <c r="N1652" s="15" t="s">
        <v>147</v>
      </c>
      <c r="O1652" s="17">
        <v>24.7</v>
      </c>
      <c r="P1652" s="15" t="s">
        <v>148</v>
      </c>
      <c r="Q1652" s="15" t="s">
        <v>149</v>
      </c>
      <c r="R1652" s="15" t="s">
        <v>174</v>
      </c>
      <c r="S1652" s="15" t="s">
        <v>31547</v>
      </c>
      <c r="T1652" s="18">
        <v>55</v>
      </c>
      <c r="U1652" s="15" t="s">
        <v>31548</v>
      </c>
      <c r="V1652" s="15" t="s">
        <v>138</v>
      </c>
      <c r="W1652" s="15" t="s">
        <v>138</v>
      </c>
      <c r="X1652" s="19">
        <v>2012</v>
      </c>
      <c r="Y1652" s="15" t="s">
        <v>138</v>
      </c>
      <c r="Z1652" s="15" t="s">
        <v>138</v>
      </c>
      <c r="AA1652" s="15" t="s">
        <v>138</v>
      </c>
      <c r="AB1652" s="20" t="s">
        <v>138</v>
      </c>
      <c r="AC1652" s="20" t="s">
        <v>138</v>
      </c>
      <c r="AD1652" s="20" t="s">
        <v>138</v>
      </c>
      <c r="AE1652" s="20" t="s">
        <v>138</v>
      </c>
      <c r="AF1652" s="20" t="s">
        <v>138</v>
      </c>
      <c r="AG1652" s="15" t="s">
        <v>138</v>
      </c>
      <c r="AH1652" s="20" t="s">
        <v>138</v>
      </c>
      <c r="AI1652" s="20" t="s">
        <v>138</v>
      </c>
      <c r="AJ1652" s="20" t="s">
        <v>138</v>
      </c>
      <c r="AK1652" s="15" t="s">
        <v>31549</v>
      </c>
      <c r="AL1652" s="15" t="s">
        <v>31550</v>
      </c>
      <c r="AM1652" s="15" t="s">
        <v>4011</v>
      </c>
      <c r="AN1652" s="15" t="s">
        <v>31551</v>
      </c>
      <c r="AO1652" s="15" t="s">
        <v>138</v>
      </c>
      <c r="AP1652" s="15" t="s">
        <v>3839</v>
      </c>
      <c r="AQ1652" s="15" t="s">
        <v>21931</v>
      </c>
      <c r="AR1652" s="15" t="s">
        <v>31552</v>
      </c>
      <c r="AS1652" s="15" t="s">
        <v>3841</v>
      </c>
      <c r="AT1652" s="15" t="s">
        <v>200</v>
      </c>
      <c r="AU1652" s="15" t="s">
        <v>3842</v>
      </c>
      <c r="AV1652" s="15" t="s">
        <v>162</v>
      </c>
      <c r="AW1652" s="15" t="s">
        <v>138</v>
      </c>
      <c r="AX1652" s="15" t="s">
        <v>138</v>
      </c>
      <c r="AY1652" s="15" t="s">
        <v>138</v>
      </c>
      <c r="AZ1652" s="15" t="s">
        <v>164</v>
      </c>
      <c r="BA1652" s="15" t="s">
        <v>165</v>
      </c>
      <c r="BB1652" s="15" t="s">
        <v>31553</v>
      </c>
      <c r="BC1652" s="15" t="s">
        <v>31554</v>
      </c>
      <c r="BD1652" s="21">
        <v>8</v>
      </c>
      <c r="BE1652" s="15" t="s">
        <v>138</v>
      </c>
      <c r="BF1652" s="15" t="s">
        <v>138</v>
      </c>
      <c r="BG1652" s="15" t="s">
        <v>138</v>
      </c>
      <c r="BH1652" s="15" t="s">
        <v>31555</v>
      </c>
      <c r="BI1652" s="15" t="s">
        <v>138</v>
      </c>
      <c r="BJ1652" s="15" t="s">
        <v>138</v>
      </c>
      <c r="BK1652" s="15" t="s">
        <v>1691</v>
      </c>
      <c r="BL1652" s="15" t="s">
        <v>1691</v>
      </c>
      <c r="BM1652" s="22">
        <v>41557</v>
      </c>
      <c r="BN1652" s="17">
        <v>4.5</v>
      </c>
      <c r="BO1652" s="15" t="s">
        <v>172</v>
      </c>
      <c r="BP1652" s="17" t="s">
        <v>138</v>
      </c>
      <c r="BQ1652" s="15" t="s">
        <v>138</v>
      </c>
      <c r="BR1652" s="15" t="s">
        <v>205</v>
      </c>
      <c r="BS1652" s="15" t="s">
        <v>206</v>
      </c>
      <c r="BT1652" s="15" t="s">
        <v>138</v>
      </c>
      <c r="BU1652" s="15" t="s">
        <v>174</v>
      </c>
      <c r="BV1652" s="15" t="s">
        <v>138</v>
      </c>
      <c r="BW1652" s="15" t="s">
        <v>138</v>
      </c>
      <c r="BX1652" s="15" t="s">
        <v>138</v>
      </c>
      <c r="BY1652" s="15" t="s">
        <v>175</v>
      </c>
      <c r="BZ1652" s="22">
        <v>42201</v>
      </c>
      <c r="CA1652" s="17">
        <v>20</v>
      </c>
      <c r="CB1652" s="15" t="s">
        <v>172</v>
      </c>
      <c r="CC1652" s="17" t="s">
        <v>138</v>
      </c>
      <c r="CD1652" s="15" t="s">
        <v>138</v>
      </c>
      <c r="CE1652" s="15" t="s">
        <v>205</v>
      </c>
      <c r="CF1652" s="15" t="s">
        <v>720</v>
      </c>
      <c r="CG1652" s="15" t="s">
        <v>138</v>
      </c>
      <c r="CH1652" s="15" t="s">
        <v>174</v>
      </c>
      <c r="CI1652" s="15" t="s">
        <v>138</v>
      </c>
      <c r="CJ1652" s="15" t="s">
        <v>138</v>
      </c>
      <c r="CK1652" s="15" t="s">
        <v>138</v>
      </c>
      <c r="CL1652" s="15" t="s">
        <v>175</v>
      </c>
      <c r="CM1652" s="22" t="s">
        <v>138</v>
      </c>
      <c r="CN1652" s="17" t="s">
        <v>138</v>
      </c>
      <c r="CO1652" s="23">
        <v>-0.05</v>
      </c>
      <c r="CP1652" s="24">
        <v>22</v>
      </c>
      <c r="CQ1652" s="23">
        <v>0.04</v>
      </c>
      <c r="CR1652" s="23">
        <v>46.23</v>
      </c>
      <c r="CS1652" s="23">
        <v>0</v>
      </c>
      <c r="CT1652" s="24">
        <v>23</v>
      </c>
      <c r="CU1652" s="23">
        <v>-0.37</v>
      </c>
      <c r="CV1652" s="24">
        <v>1</v>
      </c>
      <c r="CW1652" s="23">
        <v>0</v>
      </c>
      <c r="CX1652" s="24">
        <v>13</v>
      </c>
      <c r="CY1652" s="23">
        <v>0</v>
      </c>
      <c r="CZ1652" s="24">
        <v>25</v>
      </c>
      <c r="DA1652" s="23">
        <v>-0.37</v>
      </c>
      <c r="DB1652" s="24">
        <v>1</v>
      </c>
      <c r="DC1652" s="25">
        <v>0.74</v>
      </c>
      <c r="DD1652" s="24">
        <v>44</v>
      </c>
      <c r="DE1652" s="25">
        <v>0</v>
      </c>
      <c r="DF1652" s="23">
        <v>0.42</v>
      </c>
      <c r="DG1652" s="25">
        <v>1.3</v>
      </c>
      <c r="DH1652" s="24">
        <v>57</v>
      </c>
      <c r="DI1652" s="25">
        <v>0.83</v>
      </c>
      <c r="DJ1652" s="24">
        <v>46</v>
      </c>
      <c r="DK1652" s="25">
        <v>0.2</v>
      </c>
      <c r="DL1652" s="24">
        <v>9</v>
      </c>
      <c r="DM1652" s="25">
        <v>2.41</v>
      </c>
      <c r="DN1652" s="24">
        <v>69</v>
      </c>
      <c r="DO1652" s="25">
        <v>0.83</v>
      </c>
      <c r="DP1652" s="24">
        <v>47</v>
      </c>
      <c r="DQ1652" s="24">
        <v>66</v>
      </c>
      <c r="DR1652" s="26">
        <v>2</v>
      </c>
      <c r="DS1652" s="23">
        <v>3.13</v>
      </c>
      <c r="DT1652" s="24">
        <v>69</v>
      </c>
      <c r="DU1652" s="26">
        <v>0</v>
      </c>
      <c r="DV1652" s="23">
        <v>0</v>
      </c>
      <c r="DW1652" s="24">
        <v>296</v>
      </c>
      <c r="DX1652" s="27">
        <v>0</v>
      </c>
      <c r="DY1652" s="23">
        <v>0</v>
      </c>
      <c r="DZ1652" s="15" t="s">
        <v>178</v>
      </c>
      <c r="EA1652" s="22">
        <v>43599</v>
      </c>
      <c r="EB1652" s="17" t="s">
        <v>138</v>
      </c>
      <c r="EC1652" s="22" t="s">
        <v>138</v>
      </c>
      <c r="ED1652" s="15" t="s">
        <v>138</v>
      </c>
      <c r="EE1652" s="14" t="str">
        <f>HYPERLINK("https://my.pitchbook.com?c=59932-81", "View company online")</f>
        <v>View company online</v>
      </c>
    </row>
    <row r="1653" spans="1:135">
      <c r="A1653" s="28" t="s">
        <v>31556</v>
      </c>
      <c r="B1653" s="28" t="s">
        <v>31557</v>
      </c>
      <c r="C1653" s="28" t="s">
        <v>138</v>
      </c>
      <c r="D1653" s="28" t="s">
        <v>31558</v>
      </c>
      <c r="E1653" s="28" t="s">
        <v>138</v>
      </c>
      <c r="F1653" s="28" t="s">
        <v>31556</v>
      </c>
      <c r="G1653" s="28" t="s">
        <v>31559</v>
      </c>
      <c r="H1653" s="28" t="s">
        <v>322</v>
      </c>
      <c r="I1653" s="28" t="s">
        <v>1503</v>
      </c>
      <c r="J1653" s="28" t="s">
        <v>1504</v>
      </c>
      <c r="K1653" s="28" t="s">
        <v>31560</v>
      </c>
      <c r="L1653" s="28" t="s">
        <v>31227</v>
      </c>
      <c r="M1653" s="28" t="s">
        <v>31561</v>
      </c>
      <c r="N1653" s="28" t="s">
        <v>147</v>
      </c>
      <c r="O1653" s="29">
        <v>17.5</v>
      </c>
      <c r="P1653" s="28" t="s">
        <v>148</v>
      </c>
      <c r="Q1653" s="28" t="s">
        <v>149</v>
      </c>
      <c r="R1653" s="28" t="s">
        <v>174</v>
      </c>
      <c r="S1653" s="28" t="s">
        <v>31562</v>
      </c>
      <c r="T1653" s="30">
        <v>51</v>
      </c>
      <c r="U1653" s="28" t="s">
        <v>12556</v>
      </c>
      <c r="V1653" s="28" t="s">
        <v>138</v>
      </c>
      <c r="W1653" s="28" t="s">
        <v>138</v>
      </c>
      <c r="X1653" s="31">
        <v>2012</v>
      </c>
      <c r="Y1653" s="28" t="s">
        <v>138</v>
      </c>
      <c r="Z1653" s="28" t="s">
        <v>138</v>
      </c>
      <c r="AA1653" s="28" t="s">
        <v>138</v>
      </c>
      <c r="AB1653" s="32" t="s">
        <v>138</v>
      </c>
      <c r="AC1653" s="32" t="s">
        <v>138</v>
      </c>
      <c r="AD1653" s="32" t="s">
        <v>138</v>
      </c>
      <c r="AE1653" s="32" t="s">
        <v>138</v>
      </c>
      <c r="AF1653" s="32" t="s">
        <v>138</v>
      </c>
      <c r="AG1653" s="28" t="s">
        <v>138</v>
      </c>
      <c r="AH1653" s="32" t="s">
        <v>138</v>
      </c>
      <c r="AI1653" s="32" t="s">
        <v>138</v>
      </c>
      <c r="AJ1653" s="32" t="s">
        <v>138</v>
      </c>
      <c r="AK1653" s="28" t="s">
        <v>31563</v>
      </c>
      <c r="AL1653" s="28" t="s">
        <v>31564</v>
      </c>
      <c r="AM1653" s="28" t="s">
        <v>5401</v>
      </c>
      <c r="AN1653" s="28" t="s">
        <v>31565</v>
      </c>
      <c r="AO1653" s="28" t="s">
        <v>31566</v>
      </c>
      <c r="AP1653" s="28" t="s">
        <v>14972</v>
      </c>
      <c r="AQ1653" s="28" t="s">
        <v>31567</v>
      </c>
      <c r="AR1653" s="28" t="s">
        <v>158</v>
      </c>
      <c r="AS1653" s="28" t="s">
        <v>14975</v>
      </c>
      <c r="AT1653" s="28" t="s">
        <v>864</v>
      </c>
      <c r="AU1653" s="28" t="s">
        <v>31568</v>
      </c>
      <c r="AV1653" s="28" t="s">
        <v>162</v>
      </c>
      <c r="AW1653" s="28" t="s">
        <v>31566</v>
      </c>
      <c r="AX1653" s="28" t="s">
        <v>138</v>
      </c>
      <c r="AY1653" s="28" t="s">
        <v>138</v>
      </c>
      <c r="AZ1653" s="28" t="s">
        <v>164</v>
      </c>
      <c r="BA1653" s="28" t="s">
        <v>165</v>
      </c>
      <c r="BB1653" s="28" t="s">
        <v>31569</v>
      </c>
      <c r="BC1653" s="28" t="s">
        <v>31570</v>
      </c>
      <c r="BD1653" s="33">
        <v>6</v>
      </c>
      <c r="BE1653" s="28" t="s">
        <v>138</v>
      </c>
      <c r="BF1653" s="28" t="s">
        <v>138</v>
      </c>
      <c r="BG1653" s="28" t="s">
        <v>138</v>
      </c>
      <c r="BH1653" s="28" t="s">
        <v>31571</v>
      </c>
      <c r="BI1653" s="28" t="s">
        <v>138</v>
      </c>
      <c r="BJ1653" s="28" t="s">
        <v>138</v>
      </c>
      <c r="BK1653" s="28" t="s">
        <v>138</v>
      </c>
      <c r="BL1653" s="28" t="s">
        <v>1275</v>
      </c>
      <c r="BM1653" s="34">
        <v>42166</v>
      </c>
      <c r="BN1653" s="29">
        <v>1.5</v>
      </c>
      <c r="BO1653" s="28" t="s">
        <v>172</v>
      </c>
      <c r="BP1653" s="29">
        <v>4.5</v>
      </c>
      <c r="BQ1653" s="28" t="s">
        <v>172</v>
      </c>
      <c r="BR1653" s="28" t="s">
        <v>205</v>
      </c>
      <c r="BS1653" s="28" t="s">
        <v>206</v>
      </c>
      <c r="BT1653" s="28" t="s">
        <v>138</v>
      </c>
      <c r="BU1653" s="28" t="s">
        <v>174</v>
      </c>
      <c r="BV1653" s="28" t="s">
        <v>138</v>
      </c>
      <c r="BW1653" s="28" t="s">
        <v>138</v>
      </c>
      <c r="BX1653" s="28" t="s">
        <v>138</v>
      </c>
      <c r="BY1653" s="28" t="s">
        <v>175</v>
      </c>
      <c r="BZ1653" s="34">
        <v>42927</v>
      </c>
      <c r="CA1653" s="29">
        <v>16</v>
      </c>
      <c r="CB1653" s="28" t="s">
        <v>172</v>
      </c>
      <c r="CC1653" s="29">
        <v>48</v>
      </c>
      <c r="CD1653" s="28" t="s">
        <v>1178</v>
      </c>
      <c r="CE1653" s="28" t="s">
        <v>205</v>
      </c>
      <c r="CF1653" s="28" t="s">
        <v>720</v>
      </c>
      <c r="CG1653" s="28" t="s">
        <v>138</v>
      </c>
      <c r="CH1653" s="28" t="s">
        <v>174</v>
      </c>
      <c r="CI1653" s="28" t="s">
        <v>138</v>
      </c>
      <c r="CJ1653" s="28" t="s">
        <v>138</v>
      </c>
      <c r="CK1653" s="28" t="s">
        <v>138</v>
      </c>
      <c r="CL1653" s="28" t="s">
        <v>175</v>
      </c>
      <c r="CM1653" s="34" t="s">
        <v>138</v>
      </c>
      <c r="CN1653" s="29" t="s">
        <v>138</v>
      </c>
      <c r="CO1653" s="35">
        <v>-0.47</v>
      </c>
      <c r="CP1653" s="36">
        <v>16</v>
      </c>
      <c r="CQ1653" s="35">
        <v>0.01</v>
      </c>
      <c r="CR1653" s="35">
        <v>2.4</v>
      </c>
      <c r="CS1653" s="35">
        <v>-1.61</v>
      </c>
      <c r="CT1653" s="36">
        <v>11</v>
      </c>
      <c r="CU1653" s="35">
        <v>0.68</v>
      </c>
      <c r="CV1653" s="36">
        <v>96</v>
      </c>
      <c r="CW1653" s="35" t="s">
        <v>138</v>
      </c>
      <c r="CX1653" s="36" t="s">
        <v>138</v>
      </c>
      <c r="CY1653" s="35">
        <v>-1.61</v>
      </c>
      <c r="CZ1653" s="36">
        <v>14</v>
      </c>
      <c r="DA1653" s="35">
        <v>0.68</v>
      </c>
      <c r="DB1653" s="36">
        <v>96</v>
      </c>
      <c r="DC1653" s="37">
        <v>4.04</v>
      </c>
      <c r="DD1653" s="36">
        <v>80</v>
      </c>
      <c r="DE1653" s="37">
        <v>0.11</v>
      </c>
      <c r="DF1653" s="35">
        <v>2.87</v>
      </c>
      <c r="DG1653" s="37">
        <v>7.17</v>
      </c>
      <c r="DH1653" s="36">
        <v>86</v>
      </c>
      <c r="DI1653" s="37">
        <v>0.91</v>
      </c>
      <c r="DJ1653" s="36">
        <v>47</v>
      </c>
      <c r="DK1653" s="37" t="s">
        <v>138</v>
      </c>
      <c r="DL1653" s="36" t="s">
        <v>138</v>
      </c>
      <c r="DM1653" s="37">
        <v>7.17</v>
      </c>
      <c r="DN1653" s="36">
        <v>86</v>
      </c>
      <c r="DO1653" s="37">
        <v>0.91</v>
      </c>
      <c r="DP1653" s="36">
        <v>49</v>
      </c>
      <c r="DQ1653" s="36">
        <v>81</v>
      </c>
      <c r="DR1653" s="38">
        <v>-51</v>
      </c>
      <c r="DS1653" s="35">
        <v>-38.64</v>
      </c>
      <c r="DT1653" s="36">
        <v>205</v>
      </c>
      <c r="DU1653" s="38">
        <v>4</v>
      </c>
      <c r="DV1653" s="35">
        <v>1.99</v>
      </c>
      <c r="DW1653" s="36">
        <v>323</v>
      </c>
      <c r="DX1653" s="39">
        <v>2</v>
      </c>
      <c r="DY1653" s="35">
        <v>0.62</v>
      </c>
      <c r="DZ1653" s="28" t="s">
        <v>178</v>
      </c>
      <c r="EA1653" s="34">
        <v>43351</v>
      </c>
      <c r="EB1653" s="29">
        <v>48</v>
      </c>
      <c r="EC1653" s="34">
        <v>42927</v>
      </c>
      <c r="ED1653" s="28" t="s">
        <v>205</v>
      </c>
      <c r="EE1653" s="40" t="str">
        <f>HYPERLINK("https://my.pitchbook.com?c=115400-62", "View company online")</f>
        <v>View company online</v>
      </c>
    </row>
    <row r="1654" spans="1:135">
      <c r="A1654" s="15" t="s">
        <v>31572</v>
      </c>
      <c r="B1654" s="15" t="s">
        <v>31573</v>
      </c>
      <c r="C1654" s="15" t="s">
        <v>138</v>
      </c>
      <c r="D1654" s="15" t="s">
        <v>138</v>
      </c>
      <c r="E1654" s="15" t="s">
        <v>138</v>
      </c>
      <c r="F1654" s="15" t="s">
        <v>31572</v>
      </c>
      <c r="G1654" s="15" t="s">
        <v>31574</v>
      </c>
      <c r="H1654" s="15" t="s">
        <v>322</v>
      </c>
      <c r="I1654" s="15" t="s">
        <v>323</v>
      </c>
      <c r="J1654" s="15" t="s">
        <v>5827</v>
      </c>
      <c r="K1654" s="15" t="s">
        <v>31575</v>
      </c>
      <c r="L1654" s="15" t="s">
        <v>326</v>
      </c>
      <c r="M1654" s="15" t="s">
        <v>31576</v>
      </c>
      <c r="N1654" s="15" t="s">
        <v>147</v>
      </c>
      <c r="O1654" s="17">
        <v>11.09</v>
      </c>
      <c r="P1654" s="15" t="s">
        <v>148</v>
      </c>
      <c r="Q1654" s="15" t="s">
        <v>149</v>
      </c>
      <c r="R1654" s="15" t="s">
        <v>174</v>
      </c>
      <c r="S1654" s="15" t="s">
        <v>31577</v>
      </c>
      <c r="T1654" s="18" t="s">
        <v>138</v>
      </c>
      <c r="U1654" s="15" t="s">
        <v>138</v>
      </c>
      <c r="V1654" s="15" t="s">
        <v>138</v>
      </c>
      <c r="W1654" s="15" t="s">
        <v>138</v>
      </c>
      <c r="X1654" s="19">
        <v>2011</v>
      </c>
      <c r="Y1654" s="15" t="s">
        <v>138</v>
      </c>
      <c r="Z1654" s="15" t="s">
        <v>138</v>
      </c>
      <c r="AA1654" s="15" t="s">
        <v>138</v>
      </c>
      <c r="AB1654" s="20" t="s">
        <v>138</v>
      </c>
      <c r="AC1654" s="20" t="s">
        <v>138</v>
      </c>
      <c r="AD1654" s="20" t="s">
        <v>138</v>
      </c>
      <c r="AE1654" s="20" t="s">
        <v>138</v>
      </c>
      <c r="AF1654" s="20" t="s">
        <v>138</v>
      </c>
      <c r="AG1654" s="15" t="s">
        <v>138</v>
      </c>
      <c r="AH1654" s="20" t="s">
        <v>138</v>
      </c>
      <c r="AI1654" s="20" t="s">
        <v>138</v>
      </c>
      <c r="AJ1654" s="20" t="s">
        <v>138</v>
      </c>
      <c r="AK1654" s="15" t="s">
        <v>31578</v>
      </c>
      <c r="AL1654" s="15" t="s">
        <v>31579</v>
      </c>
      <c r="AM1654" s="15" t="s">
        <v>986</v>
      </c>
      <c r="AN1654" s="15" t="s">
        <v>31580</v>
      </c>
      <c r="AO1654" s="15" t="s">
        <v>31581</v>
      </c>
      <c r="AP1654" s="15" t="s">
        <v>446</v>
      </c>
      <c r="AQ1654" s="15" t="s">
        <v>31582</v>
      </c>
      <c r="AR1654" s="15" t="s">
        <v>31583</v>
      </c>
      <c r="AS1654" s="15" t="s">
        <v>449</v>
      </c>
      <c r="AT1654" s="15" t="s">
        <v>31584</v>
      </c>
      <c r="AU1654" s="15" t="s">
        <v>31585</v>
      </c>
      <c r="AV1654" s="15" t="s">
        <v>450</v>
      </c>
      <c r="AW1654" s="15" t="s">
        <v>31581</v>
      </c>
      <c r="AX1654" s="15" t="s">
        <v>138</v>
      </c>
      <c r="AY1654" s="15" t="s">
        <v>31586</v>
      </c>
      <c r="AZ1654" s="15" t="s">
        <v>452</v>
      </c>
      <c r="BA1654" s="15" t="s">
        <v>453</v>
      </c>
      <c r="BB1654" s="15" t="s">
        <v>31587</v>
      </c>
      <c r="BC1654" s="15" t="s">
        <v>31588</v>
      </c>
      <c r="BD1654" s="21">
        <v>6</v>
      </c>
      <c r="BE1654" s="15" t="s">
        <v>138</v>
      </c>
      <c r="BF1654" s="15" t="s">
        <v>138</v>
      </c>
      <c r="BG1654" s="15" t="s">
        <v>138</v>
      </c>
      <c r="BH1654" s="15" t="s">
        <v>31589</v>
      </c>
      <c r="BI1654" s="15" t="s">
        <v>138</v>
      </c>
      <c r="BJ1654" s="15" t="s">
        <v>138</v>
      </c>
      <c r="BK1654" s="15" t="s">
        <v>138</v>
      </c>
      <c r="BL1654" s="15" t="s">
        <v>138</v>
      </c>
      <c r="BM1654" s="22">
        <v>41102</v>
      </c>
      <c r="BN1654" s="17" t="s">
        <v>138</v>
      </c>
      <c r="BO1654" s="15" t="s">
        <v>138</v>
      </c>
      <c r="BP1654" s="17" t="s">
        <v>138</v>
      </c>
      <c r="BQ1654" s="15" t="s">
        <v>138</v>
      </c>
      <c r="BR1654" s="15" t="s">
        <v>262</v>
      </c>
      <c r="BS1654" s="15" t="s">
        <v>262</v>
      </c>
      <c r="BT1654" s="15" t="s">
        <v>138</v>
      </c>
      <c r="BU1654" s="15" t="s">
        <v>263</v>
      </c>
      <c r="BV1654" s="15" t="s">
        <v>138</v>
      </c>
      <c r="BW1654" s="15" t="s">
        <v>138</v>
      </c>
      <c r="BX1654" s="15" t="s">
        <v>138</v>
      </c>
      <c r="BY1654" s="15" t="s">
        <v>175</v>
      </c>
      <c r="BZ1654" s="22">
        <v>43040</v>
      </c>
      <c r="CA1654" s="17" t="s">
        <v>138</v>
      </c>
      <c r="CB1654" s="15" t="s">
        <v>138</v>
      </c>
      <c r="CC1654" s="17" t="s">
        <v>138</v>
      </c>
      <c r="CD1654" s="15" t="s">
        <v>138</v>
      </c>
      <c r="CE1654" s="15" t="s">
        <v>173</v>
      </c>
      <c r="CF1654" s="15" t="s">
        <v>720</v>
      </c>
      <c r="CG1654" s="15" t="s">
        <v>138</v>
      </c>
      <c r="CH1654" s="15" t="s">
        <v>174</v>
      </c>
      <c r="CI1654" s="15" t="s">
        <v>138</v>
      </c>
      <c r="CJ1654" s="15" t="s">
        <v>138</v>
      </c>
      <c r="CK1654" s="15" t="s">
        <v>138</v>
      </c>
      <c r="CL1654" s="15" t="s">
        <v>175</v>
      </c>
      <c r="CM1654" s="22" t="s">
        <v>138</v>
      </c>
      <c r="CN1654" s="17" t="s">
        <v>138</v>
      </c>
      <c r="CO1654" s="23">
        <v>0</v>
      </c>
      <c r="CP1654" s="24">
        <v>26</v>
      </c>
      <c r="CQ1654" s="23">
        <v>0</v>
      </c>
      <c r="CR1654" s="23">
        <v>0</v>
      </c>
      <c r="CS1654" s="23">
        <v>0</v>
      </c>
      <c r="CT1654" s="24">
        <v>23</v>
      </c>
      <c r="CU1654" s="23" t="s">
        <v>138</v>
      </c>
      <c r="CV1654" s="24" t="s">
        <v>138</v>
      </c>
      <c r="CW1654" s="23" t="s">
        <v>138</v>
      </c>
      <c r="CX1654" s="24" t="s">
        <v>138</v>
      </c>
      <c r="CY1654" s="23">
        <v>0</v>
      </c>
      <c r="CZ1654" s="24">
        <v>25</v>
      </c>
      <c r="DA1654" s="23" t="s">
        <v>138</v>
      </c>
      <c r="DB1654" s="24" t="s">
        <v>138</v>
      </c>
      <c r="DC1654" s="25">
        <v>1.86</v>
      </c>
      <c r="DD1654" s="24">
        <v>65</v>
      </c>
      <c r="DE1654" s="25">
        <v>7.0000000000000007E-2</v>
      </c>
      <c r="DF1654" s="23">
        <v>3.85</v>
      </c>
      <c r="DG1654" s="25">
        <v>1.86</v>
      </c>
      <c r="DH1654" s="24">
        <v>65</v>
      </c>
      <c r="DI1654" s="25" t="s">
        <v>138</v>
      </c>
      <c r="DJ1654" s="24" t="s">
        <v>138</v>
      </c>
      <c r="DK1654" s="25" t="s">
        <v>138</v>
      </c>
      <c r="DL1654" s="24" t="s">
        <v>138</v>
      </c>
      <c r="DM1654" s="25">
        <v>1.86</v>
      </c>
      <c r="DN1654" s="24">
        <v>64</v>
      </c>
      <c r="DO1654" s="25" t="s">
        <v>138</v>
      </c>
      <c r="DP1654" s="24" t="s">
        <v>138</v>
      </c>
      <c r="DQ1654" s="24" t="s">
        <v>138</v>
      </c>
      <c r="DR1654" s="26" t="s">
        <v>138</v>
      </c>
      <c r="DS1654" s="23" t="s">
        <v>138</v>
      </c>
      <c r="DT1654" s="24">
        <v>53</v>
      </c>
      <c r="DU1654" s="26">
        <v>2</v>
      </c>
      <c r="DV1654" s="23">
        <v>3.92</v>
      </c>
      <c r="DW1654" s="24" t="s">
        <v>138</v>
      </c>
      <c r="DX1654" s="27" t="s">
        <v>138</v>
      </c>
      <c r="DY1654" s="23" t="s">
        <v>138</v>
      </c>
      <c r="DZ1654" s="15" t="s">
        <v>178</v>
      </c>
      <c r="EA1654" s="22">
        <v>43511</v>
      </c>
      <c r="EB1654" s="17" t="s">
        <v>138</v>
      </c>
      <c r="EC1654" s="22" t="s">
        <v>138</v>
      </c>
      <c r="ED1654" s="15" t="s">
        <v>138</v>
      </c>
      <c r="EE1654" s="14" t="str">
        <f>HYPERLINK("https://my.pitchbook.com?c=222024-88", "View company online")</f>
        <v>View company online</v>
      </c>
    </row>
    <row r="1655" spans="1:135">
      <c r="A1655" s="28" t="s">
        <v>31590</v>
      </c>
      <c r="B1655" s="28" t="s">
        <v>31591</v>
      </c>
      <c r="C1655" s="28" t="s">
        <v>138</v>
      </c>
      <c r="D1655" s="28" t="s">
        <v>31592</v>
      </c>
      <c r="E1655" s="28" t="s">
        <v>138</v>
      </c>
      <c r="F1655" s="28" t="s">
        <v>31590</v>
      </c>
      <c r="G1655" s="28" t="s">
        <v>31593</v>
      </c>
      <c r="H1655" s="28" t="s">
        <v>385</v>
      </c>
      <c r="I1655" s="28" t="s">
        <v>386</v>
      </c>
      <c r="J1655" s="28" t="s">
        <v>558</v>
      </c>
      <c r="K1655" s="28" t="s">
        <v>31594</v>
      </c>
      <c r="L1655" s="28" t="s">
        <v>15772</v>
      </c>
      <c r="M1655" s="28" t="s">
        <v>31595</v>
      </c>
      <c r="N1655" s="28" t="s">
        <v>147</v>
      </c>
      <c r="O1655" s="29">
        <v>192.24</v>
      </c>
      <c r="P1655" s="28" t="s">
        <v>148</v>
      </c>
      <c r="Q1655" s="28" t="s">
        <v>149</v>
      </c>
      <c r="R1655" s="28" t="s">
        <v>244</v>
      </c>
      <c r="S1655" s="28" t="s">
        <v>31596</v>
      </c>
      <c r="T1655" s="30">
        <v>111</v>
      </c>
      <c r="U1655" s="28" t="s">
        <v>31597</v>
      </c>
      <c r="V1655" s="28" t="s">
        <v>138</v>
      </c>
      <c r="W1655" s="28" t="s">
        <v>138</v>
      </c>
      <c r="X1655" s="31">
        <v>1996</v>
      </c>
      <c r="Y1655" s="28" t="s">
        <v>138</v>
      </c>
      <c r="Z1655" s="28" t="s">
        <v>138</v>
      </c>
      <c r="AA1655" s="28" t="s">
        <v>138</v>
      </c>
      <c r="AB1655" s="32" t="s">
        <v>138</v>
      </c>
      <c r="AC1655" s="32" t="s">
        <v>138</v>
      </c>
      <c r="AD1655" s="32" t="s">
        <v>138</v>
      </c>
      <c r="AE1655" s="32" t="s">
        <v>138</v>
      </c>
      <c r="AF1655" s="32" t="s">
        <v>138</v>
      </c>
      <c r="AG1655" s="28" t="s">
        <v>138</v>
      </c>
      <c r="AH1655" s="32" t="s">
        <v>138</v>
      </c>
      <c r="AI1655" s="32" t="s">
        <v>138</v>
      </c>
      <c r="AJ1655" s="32" t="s">
        <v>138</v>
      </c>
      <c r="AK1655" s="28" t="s">
        <v>31598</v>
      </c>
      <c r="AL1655" s="28" t="s">
        <v>31599</v>
      </c>
      <c r="AM1655" s="28" t="s">
        <v>10508</v>
      </c>
      <c r="AN1655" s="28" t="s">
        <v>31600</v>
      </c>
      <c r="AO1655" s="28" t="s">
        <v>31601</v>
      </c>
      <c r="AP1655" s="28" t="s">
        <v>31602</v>
      </c>
      <c r="AQ1655" s="28" t="s">
        <v>31603</v>
      </c>
      <c r="AR1655" s="28" t="s">
        <v>138</v>
      </c>
      <c r="AS1655" s="28" t="s">
        <v>31604</v>
      </c>
      <c r="AT1655" s="28" t="s">
        <v>3712</v>
      </c>
      <c r="AU1655" s="28" t="s">
        <v>31605</v>
      </c>
      <c r="AV1655" s="28" t="s">
        <v>162</v>
      </c>
      <c r="AW1655" s="28" t="s">
        <v>31601</v>
      </c>
      <c r="AX1655" s="28" t="s">
        <v>31606</v>
      </c>
      <c r="AY1655" s="28" t="s">
        <v>138</v>
      </c>
      <c r="AZ1655" s="28" t="s">
        <v>164</v>
      </c>
      <c r="BA1655" s="28" t="s">
        <v>165</v>
      </c>
      <c r="BB1655" s="28" t="s">
        <v>31607</v>
      </c>
      <c r="BC1655" s="28" t="s">
        <v>31608</v>
      </c>
      <c r="BD1655" s="33">
        <v>16</v>
      </c>
      <c r="BE1655" s="28" t="s">
        <v>138</v>
      </c>
      <c r="BF1655" s="28" t="s">
        <v>31609</v>
      </c>
      <c r="BG1655" s="28" t="s">
        <v>138</v>
      </c>
      <c r="BH1655" s="28" t="s">
        <v>31610</v>
      </c>
      <c r="BI1655" s="28" t="s">
        <v>31611</v>
      </c>
      <c r="BJ1655" s="28" t="s">
        <v>138</v>
      </c>
      <c r="BK1655" s="28" t="s">
        <v>138</v>
      </c>
      <c r="BL1655" s="28" t="s">
        <v>31612</v>
      </c>
      <c r="BM1655" s="34">
        <v>35431</v>
      </c>
      <c r="BN1655" s="29">
        <v>0.75</v>
      </c>
      <c r="BO1655" s="28" t="s">
        <v>172</v>
      </c>
      <c r="BP1655" s="29" t="s">
        <v>138</v>
      </c>
      <c r="BQ1655" s="28" t="s">
        <v>138</v>
      </c>
      <c r="BR1655" s="28" t="s">
        <v>234</v>
      </c>
      <c r="BS1655" s="28" t="s">
        <v>234</v>
      </c>
      <c r="BT1655" s="28" t="s">
        <v>138</v>
      </c>
      <c r="BU1655" s="28" t="s">
        <v>174</v>
      </c>
      <c r="BV1655" s="28" t="s">
        <v>138</v>
      </c>
      <c r="BW1655" s="28" t="s">
        <v>138</v>
      </c>
      <c r="BX1655" s="28" t="s">
        <v>138</v>
      </c>
      <c r="BY1655" s="28" t="s">
        <v>175</v>
      </c>
      <c r="BZ1655" s="34">
        <v>40786</v>
      </c>
      <c r="CA1655" s="29">
        <v>9.99</v>
      </c>
      <c r="CB1655" s="28" t="s">
        <v>172</v>
      </c>
      <c r="CC1655" s="29" t="s">
        <v>138</v>
      </c>
      <c r="CD1655" s="28" t="s">
        <v>138</v>
      </c>
      <c r="CE1655" s="28" t="s">
        <v>173</v>
      </c>
      <c r="CF1655" s="28" t="s">
        <v>138</v>
      </c>
      <c r="CG1655" s="28" t="s">
        <v>138</v>
      </c>
      <c r="CH1655" s="28" t="s">
        <v>174</v>
      </c>
      <c r="CI1655" s="28" t="s">
        <v>138</v>
      </c>
      <c r="CJ1655" s="28" t="s">
        <v>138</v>
      </c>
      <c r="CK1655" s="28" t="s">
        <v>138</v>
      </c>
      <c r="CL1655" s="28" t="s">
        <v>175</v>
      </c>
      <c r="CM1655" s="34" t="s">
        <v>138</v>
      </c>
      <c r="CN1655" s="29" t="s">
        <v>138</v>
      </c>
      <c r="CO1655" s="35">
        <v>-1.84</v>
      </c>
      <c r="CP1655" s="36">
        <v>6</v>
      </c>
      <c r="CQ1655" s="35">
        <v>-0.22</v>
      </c>
      <c r="CR1655" s="35">
        <v>-13.3</v>
      </c>
      <c r="CS1655" s="35">
        <v>-1.84</v>
      </c>
      <c r="CT1655" s="36">
        <v>10</v>
      </c>
      <c r="CU1655" s="35" t="s">
        <v>138</v>
      </c>
      <c r="CV1655" s="36" t="s">
        <v>138</v>
      </c>
      <c r="CW1655" s="35" t="s">
        <v>138</v>
      </c>
      <c r="CX1655" s="36" t="s">
        <v>138</v>
      </c>
      <c r="CY1655" s="35">
        <v>-1.84</v>
      </c>
      <c r="CZ1655" s="36">
        <v>12</v>
      </c>
      <c r="DA1655" s="35" t="s">
        <v>138</v>
      </c>
      <c r="DB1655" s="36" t="s">
        <v>138</v>
      </c>
      <c r="DC1655" s="37">
        <v>7.59</v>
      </c>
      <c r="DD1655" s="36">
        <v>87</v>
      </c>
      <c r="DE1655" s="37">
        <v>-0.14000000000000001</v>
      </c>
      <c r="DF1655" s="35">
        <v>-1.79</v>
      </c>
      <c r="DG1655" s="37">
        <v>7.59</v>
      </c>
      <c r="DH1655" s="36">
        <v>87</v>
      </c>
      <c r="DI1655" s="37" t="s">
        <v>138</v>
      </c>
      <c r="DJ1655" s="36" t="s">
        <v>138</v>
      </c>
      <c r="DK1655" s="37" t="s">
        <v>138</v>
      </c>
      <c r="DL1655" s="36" t="s">
        <v>138</v>
      </c>
      <c r="DM1655" s="37">
        <v>7.59</v>
      </c>
      <c r="DN1655" s="36">
        <v>86</v>
      </c>
      <c r="DO1655" s="37" t="s">
        <v>138</v>
      </c>
      <c r="DP1655" s="36" t="s">
        <v>138</v>
      </c>
      <c r="DQ1655" s="36" t="s">
        <v>138</v>
      </c>
      <c r="DR1655" s="38" t="s">
        <v>138</v>
      </c>
      <c r="DS1655" s="35" t="s">
        <v>138</v>
      </c>
      <c r="DT1655" s="36">
        <v>221</v>
      </c>
      <c r="DU1655" s="38">
        <v>-3</v>
      </c>
      <c r="DV1655" s="35">
        <v>-1.34</v>
      </c>
      <c r="DW1655" s="36" t="s">
        <v>138</v>
      </c>
      <c r="DX1655" s="39" t="s">
        <v>138</v>
      </c>
      <c r="DY1655" s="35" t="s">
        <v>138</v>
      </c>
      <c r="DZ1655" s="28" t="s">
        <v>178</v>
      </c>
      <c r="EA1655" s="34">
        <v>43375</v>
      </c>
      <c r="EB1655" s="29" t="s">
        <v>138</v>
      </c>
      <c r="EC1655" s="34" t="s">
        <v>138</v>
      </c>
      <c r="ED1655" s="28" t="s">
        <v>138</v>
      </c>
      <c r="EE1655" s="40" t="str">
        <f>HYPERLINK("https://my.pitchbook.com?c=12749-95", "View company online")</f>
        <v>View company online</v>
      </c>
    </row>
    <row r="1656" spans="1:135">
      <c r="A1656" s="15" t="s">
        <v>31613</v>
      </c>
      <c r="B1656" s="15" t="s">
        <v>31614</v>
      </c>
      <c r="C1656" s="15" t="s">
        <v>138</v>
      </c>
      <c r="D1656" s="15" t="s">
        <v>138</v>
      </c>
      <c r="E1656" s="15" t="s">
        <v>138</v>
      </c>
      <c r="F1656" s="15" t="s">
        <v>31613</v>
      </c>
      <c r="G1656" s="15" t="s">
        <v>31615</v>
      </c>
      <c r="H1656" s="15" t="s">
        <v>322</v>
      </c>
      <c r="I1656" s="15" t="s">
        <v>323</v>
      </c>
      <c r="J1656" s="15" t="s">
        <v>461</v>
      </c>
      <c r="K1656" s="15" t="s">
        <v>931</v>
      </c>
      <c r="L1656" s="15" t="s">
        <v>415</v>
      </c>
      <c r="M1656" s="15" t="s">
        <v>31616</v>
      </c>
      <c r="N1656" s="15" t="s">
        <v>1212</v>
      </c>
      <c r="O1656" s="17">
        <v>0.9</v>
      </c>
      <c r="P1656" s="15" t="s">
        <v>148</v>
      </c>
      <c r="Q1656" s="15" t="s">
        <v>149</v>
      </c>
      <c r="R1656" s="15" t="s">
        <v>174</v>
      </c>
      <c r="S1656" s="15" t="s">
        <v>31617</v>
      </c>
      <c r="T1656" s="18">
        <v>25</v>
      </c>
      <c r="U1656" s="15" t="s">
        <v>31618</v>
      </c>
      <c r="V1656" s="15" t="s">
        <v>138</v>
      </c>
      <c r="W1656" s="15" t="s">
        <v>138</v>
      </c>
      <c r="X1656" s="19">
        <v>2004</v>
      </c>
      <c r="Y1656" s="15" t="s">
        <v>138</v>
      </c>
      <c r="Z1656" s="15" t="s">
        <v>138</v>
      </c>
      <c r="AA1656" s="15" t="s">
        <v>138</v>
      </c>
      <c r="AB1656" s="20" t="s">
        <v>138</v>
      </c>
      <c r="AC1656" s="20" t="s">
        <v>138</v>
      </c>
      <c r="AD1656" s="20" t="s">
        <v>138</v>
      </c>
      <c r="AE1656" s="20" t="s">
        <v>138</v>
      </c>
      <c r="AF1656" s="20" t="s">
        <v>138</v>
      </c>
      <c r="AG1656" s="15" t="s">
        <v>138</v>
      </c>
      <c r="AH1656" s="20" t="s">
        <v>138</v>
      </c>
      <c r="AI1656" s="20" t="s">
        <v>138</v>
      </c>
      <c r="AJ1656" s="20" t="s">
        <v>138</v>
      </c>
      <c r="AK1656" s="15" t="s">
        <v>31619</v>
      </c>
      <c r="AL1656" s="15" t="s">
        <v>31620</v>
      </c>
      <c r="AM1656" s="15" t="s">
        <v>31621</v>
      </c>
      <c r="AN1656" s="15" t="s">
        <v>138</v>
      </c>
      <c r="AO1656" s="15" t="s">
        <v>31622</v>
      </c>
      <c r="AP1656" s="15" t="s">
        <v>31623</v>
      </c>
      <c r="AQ1656" s="15" t="s">
        <v>31624</v>
      </c>
      <c r="AR1656" s="15" t="s">
        <v>31625</v>
      </c>
      <c r="AS1656" s="15" t="s">
        <v>31626</v>
      </c>
      <c r="AT1656" s="15" t="s">
        <v>138</v>
      </c>
      <c r="AU1656" s="15" t="s">
        <v>138</v>
      </c>
      <c r="AV1656" s="15" t="s">
        <v>27338</v>
      </c>
      <c r="AW1656" s="15" t="s">
        <v>31622</v>
      </c>
      <c r="AX1656" s="15" t="s">
        <v>138</v>
      </c>
      <c r="AY1656" s="15" t="s">
        <v>31627</v>
      </c>
      <c r="AZ1656" s="15" t="s">
        <v>401</v>
      </c>
      <c r="BA1656" s="15" t="s">
        <v>27339</v>
      </c>
      <c r="BB1656" s="15" t="s">
        <v>31628</v>
      </c>
      <c r="BC1656" s="15" t="s">
        <v>138</v>
      </c>
      <c r="BD1656" s="21" t="s">
        <v>138</v>
      </c>
      <c r="BE1656" s="15" t="s">
        <v>138</v>
      </c>
      <c r="BF1656" s="15" t="s">
        <v>31629</v>
      </c>
      <c r="BG1656" s="15" t="s">
        <v>138</v>
      </c>
      <c r="BH1656" s="15" t="s">
        <v>138</v>
      </c>
      <c r="BI1656" s="15" t="s">
        <v>31630</v>
      </c>
      <c r="BJ1656" s="15" t="s">
        <v>138</v>
      </c>
      <c r="BK1656" s="15" t="s">
        <v>138</v>
      </c>
      <c r="BL1656" s="15" t="s">
        <v>138</v>
      </c>
      <c r="BM1656" s="22">
        <v>39783</v>
      </c>
      <c r="BN1656" s="17">
        <v>0.9</v>
      </c>
      <c r="BO1656" s="15" t="s">
        <v>172</v>
      </c>
      <c r="BP1656" s="17" t="s">
        <v>138</v>
      </c>
      <c r="BQ1656" s="15" t="s">
        <v>138</v>
      </c>
      <c r="BR1656" s="15" t="s">
        <v>173</v>
      </c>
      <c r="BS1656" s="15" t="s">
        <v>138</v>
      </c>
      <c r="BT1656" s="15" t="s">
        <v>138</v>
      </c>
      <c r="BU1656" s="15" t="s">
        <v>174</v>
      </c>
      <c r="BV1656" s="15" t="s">
        <v>138</v>
      </c>
      <c r="BW1656" s="15" t="s">
        <v>138</v>
      </c>
      <c r="BX1656" s="15" t="s">
        <v>138</v>
      </c>
      <c r="BY1656" s="15" t="s">
        <v>175</v>
      </c>
      <c r="BZ1656" s="22" t="s">
        <v>138</v>
      </c>
      <c r="CA1656" s="17" t="s">
        <v>138</v>
      </c>
      <c r="CB1656" s="15" t="s">
        <v>138</v>
      </c>
      <c r="CC1656" s="17" t="s">
        <v>138</v>
      </c>
      <c r="CD1656" s="15" t="s">
        <v>138</v>
      </c>
      <c r="CE1656" s="15" t="s">
        <v>379</v>
      </c>
      <c r="CF1656" s="15" t="s">
        <v>138</v>
      </c>
      <c r="CG1656" s="15" t="s">
        <v>138</v>
      </c>
      <c r="CH1656" s="15" t="s">
        <v>174</v>
      </c>
      <c r="CI1656" s="15" t="s">
        <v>138</v>
      </c>
      <c r="CJ1656" s="15" t="s">
        <v>138</v>
      </c>
      <c r="CK1656" s="15" t="s">
        <v>138</v>
      </c>
      <c r="CL1656" s="15" t="s">
        <v>175</v>
      </c>
      <c r="CM1656" s="22" t="s">
        <v>138</v>
      </c>
      <c r="CN1656" s="17" t="s">
        <v>138</v>
      </c>
      <c r="CO1656" s="23" t="s">
        <v>138</v>
      </c>
      <c r="CP1656" s="24" t="s">
        <v>138</v>
      </c>
      <c r="CQ1656" s="23" t="s">
        <v>138</v>
      </c>
      <c r="CR1656" s="23" t="s">
        <v>138</v>
      </c>
      <c r="CS1656" s="23" t="s">
        <v>138</v>
      </c>
      <c r="CT1656" s="24" t="s">
        <v>138</v>
      </c>
      <c r="CU1656" s="23" t="s">
        <v>138</v>
      </c>
      <c r="CV1656" s="24" t="s">
        <v>138</v>
      </c>
      <c r="CW1656" s="23" t="s">
        <v>138</v>
      </c>
      <c r="CX1656" s="24" t="s">
        <v>138</v>
      </c>
      <c r="CY1656" s="23" t="s">
        <v>138</v>
      </c>
      <c r="CZ1656" s="24" t="s">
        <v>138</v>
      </c>
      <c r="DA1656" s="23" t="s">
        <v>138</v>
      </c>
      <c r="DB1656" s="24" t="s">
        <v>138</v>
      </c>
      <c r="DC1656" s="25" t="s">
        <v>138</v>
      </c>
      <c r="DD1656" s="24" t="s">
        <v>138</v>
      </c>
      <c r="DE1656" s="25" t="s">
        <v>138</v>
      </c>
      <c r="DF1656" s="23" t="s">
        <v>138</v>
      </c>
      <c r="DG1656" s="25" t="s">
        <v>138</v>
      </c>
      <c r="DH1656" s="24" t="s">
        <v>138</v>
      </c>
      <c r="DI1656" s="25" t="s">
        <v>138</v>
      </c>
      <c r="DJ1656" s="24" t="s">
        <v>138</v>
      </c>
      <c r="DK1656" s="25" t="s">
        <v>138</v>
      </c>
      <c r="DL1656" s="24" t="s">
        <v>138</v>
      </c>
      <c r="DM1656" s="25" t="s">
        <v>138</v>
      </c>
      <c r="DN1656" s="24" t="s">
        <v>138</v>
      </c>
      <c r="DO1656" s="25" t="s">
        <v>138</v>
      </c>
      <c r="DP1656" s="24" t="s">
        <v>138</v>
      </c>
      <c r="DQ1656" s="24" t="s">
        <v>138</v>
      </c>
      <c r="DR1656" s="26" t="s">
        <v>138</v>
      </c>
      <c r="DS1656" s="23" t="s">
        <v>138</v>
      </c>
      <c r="DT1656" s="24" t="s">
        <v>138</v>
      </c>
      <c r="DU1656" s="26" t="s">
        <v>138</v>
      </c>
      <c r="DV1656" s="23" t="s">
        <v>138</v>
      </c>
      <c r="DW1656" s="24" t="s">
        <v>138</v>
      </c>
      <c r="DX1656" s="27" t="s">
        <v>138</v>
      </c>
      <c r="DY1656" s="23" t="s">
        <v>138</v>
      </c>
      <c r="DZ1656" s="15" t="s">
        <v>178</v>
      </c>
      <c r="EA1656" s="22">
        <v>43351</v>
      </c>
      <c r="EB1656" s="17" t="s">
        <v>138</v>
      </c>
      <c r="EC1656" s="22" t="s">
        <v>138</v>
      </c>
      <c r="ED1656" s="15" t="s">
        <v>138</v>
      </c>
      <c r="EE1656" s="14" t="str">
        <f>HYPERLINK("https://my.pitchbook.com?c=66305-80", "View company online")</f>
        <v>View company online</v>
      </c>
    </row>
    <row r="1657" spans="1:135">
      <c r="A1657" s="28" t="s">
        <v>31631</v>
      </c>
      <c r="B1657" s="28" t="s">
        <v>31632</v>
      </c>
      <c r="C1657" s="28" t="s">
        <v>31633</v>
      </c>
      <c r="D1657" s="28" t="s">
        <v>31634</v>
      </c>
      <c r="E1657" s="28" t="s">
        <v>138</v>
      </c>
      <c r="F1657" s="28" t="s">
        <v>31631</v>
      </c>
      <c r="G1657" s="28" t="s">
        <v>31635</v>
      </c>
      <c r="H1657" s="28" t="s">
        <v>183</v>
      </c>
      <c r="I1657" s="28" t="s">
        <v>4681</v>
      </c>
      <c r="J1657" s="28" t="s">
        <v>14475</v>
      </c>
      <c r="K1657" s="28" t="s">
        <v>31636</v>
      </c>
      <c r="L1657" s="28" t="s">
        <v>4662</v>
      </c>
      <c r="M1657" s="28" t="s">
        <v>31637</v>
      </c>
      <c r="N1657" s="28" t="s">
        <v>147</v>
      </c>
      <c r="O1657" s="29">
        <v>79.7</v>
      </c>
      <c r="P1657" s="28" t="s">
        <v>148</v>
      </c>
      <c r="Q1657" s="28" t="s">
        <v>149</v>
      </c>
      <c r="R1657" s="28" t="s">
        <v>174</v>
      </c>
      <c r="S1657" s="28" t="s">
        <v>31638</v>
      </c>
      <c r="T1657" s="30">
        <v>31</v>
      </c>
      <c r="U1657" s="28" t="s">
        <v>29504</v>
      </c>
      <c r="V1657" s="28" t="s">
        <v>138</v>
      </c>
      <c r="W1657" s="28" t="s">
        <v>138</v>
      </c>
      <c r="X1657" s="31">
        <v>2004</v>
      </c>
      <c r="Y1657" s="28" t="s">
        <v>138</v>
      </c>
      <c r="Z1657" s="28" t="s">
        <v>138</v>
      </c>
      <c r="AA1657" s="28" t="s">
        <v>138</v>
      </c>
      <c r="AB1657" s="32" t="s">
        <v>138</v>
      </c>
      <c r="AC1657" s="32" t="s">
        <v>138</v>
      </c>
      <c r="AD1657" s="32" t="s">
        <v>138</v>
      </c>
      <c r="AE1657" s="32" t="s">
        <v>138</v>
      </c>
      <c r="AF1657" s="32" t="s">
        <v>138</v>
      </c>
      <c r="AG1657" s="28" t="s">
        <v>138</v>
      </c>
      <c r="AH1657" s="32" t="s">
        <v>138</v>
      </c>
      <c r="AI1657" s="32" t="s">
        <v>138</v>
      </c>
      <c r="AJ1657" s="32" t="s">
        <v>138</v>
      </c>
      <c r="AK1657" s="28" t="s">
        <v>31639</v>
      </c>
      <c r="AL1657" s="28" t="s">
        <v>31640</v>
      </c>
      <c r="AM1657" s="28" t="s">
        <v>4269</v>
      </c>
      <c r="AN1657" s="28" t="s">
        <v>31641</v>
      </c>
      <c r="AO1657" s="28" t="s">
        <v>31642</v>
      </c>
      <c r="AP1657" s="28" t="s">
        <v>11748</v>
      </c>
      <c r="AQ1657" s="28" t="s">
        <v>31643</v>
      </c>
      <c r="AR1657" s="28" t="s">
        <v>138</v>
      </c>
      <c r="AS1657" s="28" t="s">
        <v>11750</v>
      </c>
      <c r="AT1657" s="28" t="s">
        <v>200</v>
      </c>
      <c r="AU1657" s="28" t="s">
        <v>11751</v>
      </c>
      <c r="AV1657" s="28" t="s">
        <v>162</v>
      </c>
      <c r="AW1657" s="28" t="s">
        <v>31642</v>
      </c>
      <c r="AX1657" s="28" t="s">
        <v>138</v>
      </c>
      <c r="AY1657" s="28" t="s">
        <v>31644</v>
      </c>
      <c r="AZ1657" s="28" t="s">
        <v>164</v>
      </c>
      <c r="BA1657" s="28" t="s">
        <v>165</v>
      </c>
      <c r="BB1657" s="28" t="s">
        <v>31645</v>
      </c>
      <c r="BC1657" s="28" t="s">
        <v>31646</v>
      </c>
      <c r="BD1657" s="33">
        <v>16</v>
      </c>
      <c r="BE1657" s="28" t="s">
        <v>138</v>
      </c>
      <c r="BF1657" s="28" t="s">
        <v>138</v>
      </c>
      <c r="BG1657" s="28" t="s">
        <v>138</v>
      </c>
      <c r="BH1657" s="28" t="s">
        <v>31647</v>
      </c>
      <c r="BI1657" s="28" t="s">
        <v>138</v>
      </c>
      <c r="BJ1657" s="28" t="s">
        <v>138</v>
      </c>
      <c r="BK1657" s="28" t="s">
        <v>3826</v>
      </c>
      <c r="BL1657" s="28" t="s">
        <v>31648</v>
      </c>
      <c r="BM1657" s="34">
        <v>41275</v>
      </c>
      <c r="BN1657" s="29">
        <v>3.95</v>
      </c>
      <c r="BO1657" s="28" t="s">
        <v>172</v>
      </c>
      <c r="BP1657" s="29" t="s">
        <v>138</v>
      </c>
      <c r="BQ1657" s="28" t="s">
        <v>138</v>
      </c>
      <c r="BR1657" s="28" t="s">
        <v>176</v>
      </c>
      <c r="BS1657" s="28" t="s">
        <v>138</v>
      </c>
      <c r="BT1657" s="28" t="s">
        <v>138</v>
      </c>
      <c r="BU1657" s="28" t="s">
        <v>177</v>
      </c>
      <c r="BV1657" s="28" t="s">
        <v>138</v>
      </c>
      <c r="BW1657" s="28" t="s">
        <v>138</v>
      </c>
      <c r="BX1657" s="28" t="s">
        <v>138</v>
      </c>
      <c r="BY1657" s="28" t="s">
        <v>175</v>
      </c>
      <c r="BZ1657" s="34">
        <v>42608</v>
      </c>
      <c r="CA1657" s="29">
        <v>47.6</v>
      </c>
      <c r="CB1657" s="28" t="s">
        <v>172</v>
      </c>
      <c r="CC1657" s="29">
        <v>97.6</v>
      </c>
      <c r="CD1657" s="28" t="s">
        <v>172</v>
      </c>
      <c r="CE1657" s="28" t="s">
        <v>173</v>
      </c>
      <c r="CF1657" s="28" t="s">
        <v>720</v>
      </c>
      <c r="CG1657" s="28" t="s">
        <v>138</v>
      </c>
      <c r="CH1657" s="28" t="s">
        <v>174</v>
      </c>
      <c r="CI1657" s="28" t="s">
        <v>138</v>
      </c>
      <c r="CJ1657" s="28" t="s">
        <v>138</v>
      </c>
      <c r="CK1657" s="28" t="s">
        <v>138</v>
      </c>
      <c r="CL1657" s="28" t="s">
        <v>175</v>
      </c>
      <c r="CM1657" s="34" t="s">
        <v>138</v>
      </c>
      <c r="CN1657" s="29" t="s">
        <v>138</v>
      </c>
      <c r="CO1657" s="35">
        <v>-0.16</v>
      </c>
      <c r="CP1657" s="36">
        <v>20</v>
      </c>
      <c r="CQ1657" s="35">
        <v>0.01</v>
      </c>
      <c r="CR1657" s="35">
        <v>7.92</v>
      </c>
      <c r="CS1657" s="35">
        <v>-0.38</v>
      </c>
      <c r="CT1657" s="36">
        <v>20</v>
      </c>
      <c r="CU1657" s="35">
        <v>7.0000000000000007E-2</v>
      </c>
      <c r="CV1657" s="36">
        <v>62</v>
      </c>
      <c r="CW1657" s="35">
        <v>0</v>
      </c>
      <c r="CX1657" s="36">
        <v>13</v>
      </c>
      <c r="CY1657" s="35">
        <v>-0.77</v>
      </c>
      <c r="CZ1657" s="36">
        <v>20</v>
      </c>
      <c r="DA1657" s="35">
        <v>7.0000000000000007E-2</v>
      </c>
      <c r="DB1657" s="36">
        <v>67</v>
      </c>
      <c r="DC1657" s="37">
        <v>2</v>
      </c>
      <c r="DD1657" s="36">
        <v>67</v>
      </c>
      <c r="DE1657" s="37">
        <v>-0.01</v>
      </c>
      <c r="DF1657" s="35">
        <v>-0.44</v>
      </c>
      <c r="DG1657" s="37">
        <v>2.91</v>
      </c>
      <c r="DH1657" s="36">
        <v>74</v>
      </c>
      <c r="DI1657" s="37">
        <v>1.08</v>
      </c>
      <c r="DJ1657" s="36">
        <v>51</v>
      </c>
      <c r="DK1657" s="37">
        <v>0.41</v>
      </c>
      <c r="DL1657" s="36">
        <v>28</v>
      </c>
      <c r="DM1657" s="37">
        <v>5.41</v>
      </c>
      <c r="DN1657" s="36">
        <v>82</v>
      </c>
      <c r="DO1657" s="37">
        <v>1.08</v>
      </c>
      <c r="DP1657" s="36">
        <v>52</v>
      </c>
      <c r="DQ1657" s="36">
        <v>142</v>
      </c>
      <c r="DR1657" s="38">
        <v>1</v>
      </c>
      <c r="DS1657" s="35">
        <v>0.71</v>
      </c>
      <c r="DT1657" s="36">
        <v>157</v>
      </c>
      <c r="DU1657" s="38">
        <v>0</v>
      </c>
      <c r="DV1657" s="35">
        <v>0</v>
      </c>
      <c r="DW1657" s="36">
        <v>387</v>
      </c>
      <c r="DX1657" s="39">
        <v>2</v>
      </c>
      <c r="DY1657" s="35">
        <v>0.52</v>
      </c>
      <c r="DZ1657" s="28" t="s">
        <v>178</v>
      </c>
      <c r="EA1657" s="34">
        <v>43508</v>
      </c>
      <c r="EB1657" s="29">
        <v>97.6</v>
      </c>
      <c r="EC1657" s="34">
        <v>42608</v>
      </c>
      <c r="ED1657" s="28" t="s">
        <v>173</v>
      </c>
      <c r="EE1657" s="40" t="str">
        <f>HYPERLINK("https://my.pitchbook.com?c=61910-83", "View company online")</f>
        <v>View company online</v>
      </c>
    </row>
    <row r="1658" spans="1:135">
      <c r="A1658" s="15" t="s">
        <v>31649</v>
      </c>
      <c r="B1658" s="15" t="s">
        <v>31650</v>
      </c>
      <c r="C1658" s="15" t="s">
        <v>31651</v>
      </c>
      <c r="D1658" s="15" t="s">
        <v>138</v>
      </c>
      <c r="E1658" s="15" t="s">
        <v>31652</v>
      </c>
      <c r="F1658" s="15" t="s">
        <v>31649</v>
      </c>
      <c r="G1658" s="15" t="s">
        <v>31653</v>
      </c>
      <c r="H1658" s="15" t="s">
        <v>238</v>
      </c>
      <c r="I1658" s="15" t="s">
        <v>749</v>
      </c>
      <c r="J1658" s="15" t="s">
        <v>4261</v>
      </c>
      <c r="K1658" s="15" t="s">
        <v>31654</v>
      </c>
      <c r="L1658" s="15" t="s">
        <v>4703</v>
      </c>
      <c r="M1658" s="15" t="s">
        <v>31655</v>
      </c>
      <c r="N1658" s="15" t="s">
        <v>147</v>
      </c>
      <c r="O1658" s="17">
        <v>41.56</v>
      </c>
      <c r="P1658" s="15" t="s">
        <v>148</v>
      </c>
      <c r="Q1658" s="15" t="s">
        <v>149</v>
      </c>
      <c r="R1658" s="15" t="s">
        <v>244</v>
      </c>
      <c r="S1658" s="15" t="s">
        <v>31656</v>
      </c>
      <c r="T1658" s="18">
        <v>13</v>
      </c>
      <c r="U1658" s="15" t="s">
        <v>31657</v>
      </c>
      <c r="V1658" s="15" t="s">
        <v>138</v>
      </c>
      <c r="W1658" s="15" t="s">
        <v>138</v>
      </c>
      <c r="X1658" s="19">
        <v>2004</v>
      </c>
      <c r="Y1658" s="15" t="s">
        <v>138</v>
      </c>
      <c r="Z1658" s="15" t="s">
        <v>138</v>
      </c>
      <c r="AA1658" s="15" t="s">
        <v>138</v>
      </c>
      <c r="AB1658" s="20">
        <v>16</v>
      </c>
      <c r="AC1658" s="20" t="s">
        <v>138</v>
      </c>
      <c r="AD1658" s="20" t="s">
        <v>138</v>
      </c>
      <c r="AE1658" s="20" t="s">
        <v>138</v>
      </c>
      <c r="AF1658" s="20" t="s">
        <v>138</v>
      </c>
      <c r="AG1658" s="15" t="s">
        <v>707</v>
      </c>
      <c r="AH1658" s="20" t="s">
        <v>138</v>
      </c>
      <c r="AI1658" s="20" t="s">
        <v>138</v>
      </c>
      <c r="AJ1658" s="20" t="s">
        <v>138</v>
      </c>
      <c r="AK1658" s="15" t="s">
        <v>31658</v>
      </c>
      <c r="AL1658" s="15" t="s">
        <v>31659</v>
      </c>
      <c r="AM1658" s="15" t="s">
        <v>2949</v>
      </c>
      <c r="AN1658" s="15" t="s">
        <v>31660</v>
      </c>
      <c r="AO1658" s="15" t="s">
        <v>31661</v>
      </c>
      <c r="AP1658" s="15" t="s">
        <v>31662</v>
      </c>
      <c r="AQ1658" s="15" t="s">
        <v>31663</v>
      </c>
      <c r="AR1658" s="15" t="s">
        <v>138</v>
      </c>
      <c r="AS1658" s="15" t="s">
        <v>31664</v>
      </c>
      <c r="AT1658" s="15" t="s">
        <v>426</v>
      </c>
      <c r="AU1658" s="15" t="s">
        <v>31665</v>
      </c>
      <c r="AV1658" s="15" t="s">
        <v>162</v>
      </c>
      <c r="AW1658" s="15" t="s">
        <v>31661</v>
      </c>
      <c r="AX1658" s="15" t="s">
        <v>138</v>
      </c>
      <c r="AY1658" s="15" t="s">
        <v>31666</v>
      </c>
      <c r="AZ1658" s="15" t="s">
        <v>164</v>
      </c>
      <c r="BA1658" s="15" t="s">
        <v>165</v>
      </c>
      <c r="BB1658" s="15" t="s">
        <v>31667</v>
      </c>
      <c r="BC1658" s="15" t="s">
        <v>31668</v>
      </c>
      <c r="BD1658" s="21">
        <v>5</v>
      </c>
      <c r="BE1658" s="15" t="s">
        <v>138</v>
      </c>
      <c r="BF1658" s="15" t="s">
        <v>138</v>
      </c>
      <c r="BG1658" s="15" t="s">
        <v>138</v>
      </c>
      <c r="BH1658" s="15" t="s">
        <v>31669</v>
      </c>
      <c r="BI1658" s="15" t="s">
        <v>138</v>
      </c>
      <c r="BJ1658" s="15" t="s">
        <v>138</v>
      </c>
      <c r="BK1658" s="15" t="s">
        <v>31670</v>
      </c>
      <c r="BL1658" s="15" t="s">
        <v>31671</v>
      </c>
      <c r="BM1658" s="22">
        <v>39252</v>
      </c>
      <c r="BN1658" s="17">
        <v>2.2999999999999998</v>
      </c>
      <c r="BO1658" s="15" t="s">
        <v>172</v>
      </c>
      <c r="BP1658" s="17">
        <v>9.1999999999999993</v>
      </c>
      <c r="BQ1658" s="15" t="s">
        <v>172</v>
      </c>
      <c r="BR1658" s="15" t="s">
        <v>205</v>
      </c>
      <c r="BS1658" s="15" t="s">
        <v>206</v>
      </c>
      <c r="BT1658" s="15" t="s">
        <v>138</v>
      </c>
      <c r="BU1658" s="15" t="s">
        <v>174</v>
      </c>
      <c r="BV1658" s="15" t="s">
        <v>138</v>
      </c>
      <c r="BW1658" s="15" t="s">
        <v>138</v>
      </c>
      <c r="BX1658" s="15" t="s">
        <v>138</v>
      </c>
      <c r="BY1658" s="15" t="s">
        <v>175</v>
      </c>
      <c r="BZ1658" s="22">
        <v>43320</v>
      </c>
      <c r="CA1658" s="17">
        <v>19.760000000000002</v>
      </c>
      <c r="CB1658" s="15" t="s">
        <v>172</v>
      </c>
      <c r="CC1658" s="17" t="s">
        <v>138</v>
      </c>
      <c r="CD1658" s="15" t="s">
        <v>138</v>
      </c>
      <c r="CE1658" s="15" t="s">
        <v>173</v>
      </c>
      <c r="CF1658" s="15" t="s">
        <v>138</v>
      </c>
      <c r="CG1658" s="15" t="s">
        <v>138</v>
      </c>
      <c r="CH1658" s="15" t="s">
        <v>174</v>
      </c>
      <c r="CI1658" s="15" t="s">
        <v>264</v>
      </c>
      <c r="CJ1658" s="15" t="s">
        <v>138</v>
      </c>
      <c r="CK1658" s="15" t="s">
        <v>138</v>
      </c>
      <c r="CL1658" s="15" t="s">
        <v>175</v>
      </c>
      <c r="CM1658" s="22">
        <v>42727</v>
      </c>
      <c r="CN1658" s="17" t="s">
        <v>138</v>
      </c>
      <c r="CO1658" s="23">
        <v>-0.31</v>
      </c>
      <c r="CP1658" s="24">
        <v>18</v>
      </c>
      <c r="CQ1658" s="23">
        <v>-0.02</v>
      </c>
      <c r="CR1658" s="23">
        <v>-6.4</v>
      </c>
      <c r="CS1658" s="23">
        <v>-0.61</v>
      </c>
      <c r="CT1658" s="24">
        <v>18</v>
      </c>
      <c r="CU1658" s="23">
        <v>-0.01</v>
      </c>
      <c r="CV1658" s="24">
        <v>20</v>
      </c>
      <c r="CW1658" s="23">
        <v>0.77</v>
      </c>
      <c r="CX1658" s="24">
        <v>84</v>
      </c>
      <c r="CY1658" s="23">
        <v>-1.98</v>
      </c>
      <c r="CZ1658" s="24">
        <v>11</v>
      </c>
      <c r="DA1658" s="23">
        <v>-0.01</v>
      </c>
      <c r="DB1658" s="24">
        <v>21</v>
      </c>
      <c r="DC1658" s="25">
        <v>9.92</v>
      </c>
      <c r="DD1658" s="24">
        <v>90</v>
      </c>
      <c r="DE1658" s="25">
        <v>-0.34</v>
      </c>
      <c r="DF1658" s="23">
        <v>-3.27</v>
      </c>
      <c r="DG1658" s="25">
        <v>9.41</v>
      </c>
      <c r="DH1658" s="24">
        <v>89</v>
      </c>
      <c r="DI1658" s="25">
        <v>10.43</v>
      </c>
      <c r="DJ1658" s="24">
        <v>86</v>
      </c>
      <c r="DK1658" s="25">
        <v>10.93</v>
      </c>
      <c r="DL1658" s="24">
        <v>87</v>
      </c>
      <c r="DM1658" s="25">
        <v>7.9</v>
      </c>
      <c r="DN1658" s="24">
        <v>87</v>
      </c>
      <c r="DO1658" s="25">
        <v>10.43</v>
      </c>
      <c r="DP1658" s="24">
        <v>88</v>
      </c>
      <c r="DQ1658" s="24">
        <v>3962</v>
      </c>
      <c r="DR1658" s="26">
        <v>-640</v>
      </c>
      <c r="DS1658" s="23">
        <v>-13.91</v>
      </c>
      <c r="DT1658" s="24">
        <v>229</v>
      </c>
      <c r="DU1658" s="26">
        <v>-1</v>
      </c>
      <c r="DV1658" s="23">
        <v>-0.43</v>
      </c>
      <c r="DW1658" s="24">
        <v>3735</v>
      </c>
      <c r="DX1658" s="27">
        <v>-3</v>
      </c>
      <c r="DY1658" s="23">
        <v>-0.08</v>
      </c>
      <c r="DZ1658" s="15" t="s">
        <v>178</v>
      </c>
      <c r="EA1658" s="22">
        <v>43564</v>
      </c>
      <c r="EB1658" s="17">
        <v>20.58</v>
      </c>
      <c r="EC1658" s="22">
        <v>42930</v>
      </c>
      <c r="ED1658" s="15" t="s">
        <v>173</v>
      </c>
      <c r="EE1658" s="14" t="str">
        <f>HYPERLINK("https://my.pitchbook.com?c=53845-57", "View company online")</f>
        <v>View company online</v>
      </c>
    </row>
    <row r="1659" spans="1:135">
      <c r="A1659" s="28" t="s">
        <v>31672</v>
      </c>
      <c r="B1659" s="28" t="s">
        <v>31673</v>
      </c>
      <c r="C1659" s="28" t="s">
        <v>138</v>
      </c>
      <c r="D1659" s="28" t="s">
        <v>138</v>
      </c>
      <c r="E1659" s="28" t="s">
        <v>138</v>
      </c>
      <c r="F1659" s="28" t="s">
        <v>31672</v>
      </c>
      <c r="G1659" s="28" t="s">
        <v>31674</v>
      </c>
      <c r="H1659" s="28" t="s">
        <v>183</v>
      </c>
      <c r="I1659" s="28" t="s">
        <v>184</v>
      </c>
      <c r="J1659" s="28" t="s">
        <v>185</v>
      </c>
      <c r="K1659" s="28" t="s">
        <v>31675</v>
      </c>
      <c r="L1659" s="28" t="s">
        <v>31676</v>
      </c>
      <c r="M1659" s="28" t="s">
        <v>31677</v>
      </c>
      <c r="N1659" s="28" t="s">
        <v>1452</v>
      </c>
      <c r="O1659" s="29">
        <v>294</v>
      </c>
      <c r="P1659" s="28" t="s">
        <v>148</v>
      </c>
      <c r="Q1659" s="28" t="s">
        <v>149</v>
      </c>
      <c r="R1659" s="28" t="s">
        <v>328</v>
      </c>
      <c r="S1659" s="28" t="s">
        <v>31678</v>
      </c>
      <c r="T1659" s="30">
        <v>51</v>
      </c>
      <c r="U1659" s="28" t="s">
        <v>13814</v>
      </c>
      <c r="V1659" s="28" t="s">
        <v>138</v>
      </c>
      <c r="W1659" s="28" t="s">
        <v>138</v>
      </c>
      <c r="X1659" s="31">
        <v>1999</v>
      </c>
      <c r="Y1659" s="28" t="s">
        <v>138</v>
      </c>
      <c r="Z1659" s="28" t="s">
        <v>138</v>
      </c>
      <c r="AA1659" s="28" t="s">
        <v>138</v>
      </c>
      <c r="AB1659" s="32" t="s">
        <v>138</v>
      </c>
      <c r="AC1659" s="32" t="s">
        <v>138</v>
      </c>
      <c r="AD1659" s="32" t="s">
        <v>138</v>
      </c>
      <c r="AE1659" s="32" t="s">
        <v>138</v>
      </c>
      <c r="AF1659" s="32" t="s">
        <v>138</v>
      </c>
      <c r="AG1659" s="28" t="s">
        <v>138</v>
      </c>
      <c r="AH1659" s="32" t="s">
        <v>138</v>
      </c>
      <c r="AI1659" s="32" t="s">
        <v>138</v>
      </c>
      <c r="AJ1659" s="32" t="s">
        <v>138</v>
      </c>
      <c r="AK1659" s="28" t="s">
        <v>31679</v>
      </c>
      <c r="AL1659" s="28" t="s">
        <v>31680</v>
      </c>
      <c r="AM1659" s="28" t="s">
        <v>566</v>
      </c>
      <c r="AN1659" s="28" t="s">
        <v>31681</v>
      </c>
      <c r="AO1659" s="28" t="s">
        <v>31682</v>
      </c>
      <c r="AP1659" s="28" t="s">
        <v>446</v>
      </c>
      <c r="AQ1659" s="28" t="s">
        <v>31683</v>
      </c>
      <c r="AR1659" s="28" t="s">
        <v>4136</v>
      </c>
      <c r="AS1659" s="28" t="s">
        <v>449</v>
      </c>
      <c r="AT1659" s="28" t="s">
        <v>138</v>
      </c>
      <c r="AU1659" s="28" t="s">
        <v>31684</v>
      </c>
      <c r="AV1659" s="28" t="s">
        <v>450</v>
      </c>
      <c r="AW1659" s="28" t="s">
        <v>31682</v>
      </c>
      <c r="AX1659" s="28" t="s">
        <v>31685</v>
      </c>
      <c r="AY1659" s="28" t="s">
        <v>31686</v>
      </c>
      <c r="AZ1659" s="28" t="s">
        <v>452</v>
      </c>
      <c r="BA1659" s="28" t="s">
        <v>453</v>
      </c>
      <c r="BB1659" s="28" t="s">
        <v>31687</v>
      </c>
      <c r="BC1659" s="28" t="s">
        <v>31688</v>
      </c>
      <c r="BD1659" s="33">
        <v>5</v>
      </c>
      <c r="BE1659" s="28" t="s">
        <v>138</v>
      </c>
      <c r="BF1659" s="28" t="s">
        <v>31689</v>
      </c>
      <c r="BG1659" s="28" t="s">
        <v>138</v>
      </c>
      <c r="BH1659" s="28" t="s">
        <v>31690</v>
      </c>
      <c r="BI1659" s="28" t="s">
        <v>31691</v>
      </c>
      <c r="BJ1659" s="28" t="s">
        <v>138</v>
      </c>
      <c r="BK1659" s="28" t="s">
        <v>138</v>
      </c>
      <c r="BL1659" s="28" t="s">
        <v>2459</v>
      </c>
      <c r="BM1659" s="34">
        <v>39238</v>
      </c>
      <c r="BN1659" s="29">
        <v>5</v>
      </c>
      <c r="BO1659" s="28" t="s">
        <v>172</v>
      </c>
      <c r="BP1659" s="29" t="s">
        <v>138</v>
      </c>
      <c r="BQ1659" s="28" t="s">
        <v>138</v>
      </c>
      <c r="BR1659" s="28" t="s">
        <v>205</v>
      </c>
      <c r="BS1659" s="28" t="s">
        <v>138</v>
      </c>
      <c r="BT1659" s="28" t="s">
        <v>138</v>
      </c>
      <c r="BU1659" s="28" t="s">
        <v>174</v>
      </c>
      <c r="BV1659" s="28" t="s">
        <v>138</v>
      </c>
      <c r="BW1659" s="28" t="s">
        <v>138</v>
      </c>
      <c r="BX1659" s="28" t="s">
        <v>138</v>
      </c>
      <c r="BY1659" s="28" t="s">
        <v>175</v>
      </c>
      <c r="BZ1659" s="34">
        <v>43315</v>
      </c>
      <c r="CA1659" s="29">
        <v>150</v>
      </c>
      <c r="CB1659" s="28" t="s">
        <v>172</v>
      </c>
      <c r="CC1659" s="29">
        <v>150</v>
      </c>
      <c r="CD1659" s="28" t="s">
        <v>138</v>
      </c>
      <c r="CE1659" s="28" t="s">
        <v>2228</v>
      </c>
      <c r="CF1659" s="28" t="s">
        <v>138</v>
      </c>
      <c r="CG1659" s="28" t="s">
        <v>138</v>
      </c>
      <c r="CH1659" s="28" t="s">
        <v>780</v>
      </c>
      <c r="CI1659" s="28" t="s">
        <v>138</v>
      </c>
      <c r="CJ1659" s="28" t="s">
        <v>138</v>
      </c>
      <c r="CK1659" s="28" t="s">
        <v>138</v>
      </c>
      <c r="CL1659" s="28" t="s">
        <v>175</v>
      </c>
      <c r="CM1659" s="34" t="s">
        <v>138</v>
      </c>
      <c r="CN1659" s="29" t="s">
        <v>138</v>
      </c>
      <c r="CO1659" s="35">
        <v>-1.78</v>
      </c>
      <c r="CP1659" s="36">
        <v>6</v>
      </c>
      <c r="CQ1659" s="35">
        <v>-0.11</v>
      </c>
      <c r="CR1659" s="35">
        <v>-6.49</v>
      </c>
      <c r="CS1659" s="35">
        <v>-1.78</v>
      </c>
      <c r="CT1659" s="36">
        <v>10</v>
      </c>
      <c r="CU1659" s="35" t="s">
        <v>138</v>
      </c>
      <c r="CV1659" s="36" t="s">
        <v>138</v>
      </c>
      <c r="CW1659" s="35" t="s">
        <v>138</v>
      </c>
      <c r="CX1659" s="36" t="s">
        <v>138</v>
      </c>
      <c r="CY1659" s="35">
        <v>-1.78</v>
      </c>
      <c r="CZ1659" s="36">
        <v>13</v>
      </c>
      <c r="DA1659" s="35" t="s">
        <v>138</v>
      </c>
      <c r="DB1659" s="36" t="s">
        <v>138</v>
      </c>
      <c r="DC1659" s="37">
        <v>3.17</v>
      </c>
      <c r="DD1659" s="36">
        <v>76</v>
      </c>
      <c r="DE1659" s="37">
        <v>-0.03</v>
      </c>
      <c r="DF1659" s="35">
        <v>-1.08</v>
      </c>
      <c r="DG1659" s="37">
        <v>3.17</v>
      </c>
      <c r="DH1659" s="36">
        <v>75</v>
      </c>
      <c r="DI1659" s="37" t="s">
        <v>138</v>
      </c>
      <c r="DJ1659" s="36" t="s">
        <v>138</v>
      </c>
      <c r="DK1659" s="37" t="s">
        <v>138</v>
      </c>
      <c r="DL1659" s="36" t="s">
        <v>138</v>
      </c>
      <c r="DM1659" s="37">
        <v>3.17</v>
      </c>
      <c r="DN1659" s="36">
        <v>74</v>
      </c>
      <c r="DO1659" s="37" t="s">
        <v>138</v>
      </c>
      <c r="DP1659" s="36" t="s">
        <v>138</v>
      </c>
      <c r="DQ1659" s="36" t="s">
        <v>138</v>
      </c>
      <c r="DR1659" s="38" t="s">
        <v>138</v>
      </c>
      <c r="DS1659" s="35" t="s">
        <v>138</v>
      </c>
      <c r="DT1659" s="36">
        <v>92</v>
      </c>
      <c r="DU1659" s="38">
        <v>-2</v>
      </c>
      <c r="DV1659" s="35">
        <v>-2.13</v>
      </c>
      <c r="DW1659" s="36" t="s">
        <v>138</v>
      </c>
      <c r="DX1659" s="39" t="s">
        <v>138</v>
      </c>
      <c r="DY1659" s="35" t="s">
        <v>138</v>
      </c>
      <c r="DZ1659" s="28" t="s">
        <v>178</v>
      </c>
      <c r="EA1659" s="34">
        <v>43607</v>
      </c>
      <c r="EB1659" s="29">
        <v>150</v>
      </c>
      <c r="EC1659" s="34">
        <v>43315</v>
      </c>
      <c r="ED1659" s="28" t="s">
        <v>2228</v>
      </c>
      <c r="EE1659" s="40" t="str">
        <f>HYPERLINK("https://my.pitchbook.com?c=53704-54", "View company online")</f>
        <v>View company online</v>
      </c>
    </row>
    <row r="1660" spans="1:135">
      <c r="A1660" s="15" t="s">
        <v>31692</v>
      </c>
      <c r="B1660" s="15" t="s">
        <v>31693</v>
      </c>
      <c r="C1660" s="15" t="s">
        <v>138</v>
      </c>
      <c r="D1660" s="15" t="s">
        <v>138</v>
      </c>
      <c r="E1660" s="15" t="s">
        <v>31694</v>
      </c>
      <c r="F1660" s="15" t="s">
        <v>31692</v>
      </c>
      <c r="G1660" s="15" t="s">
        <v>31695</v>
      </c>
      <c r="H1660" s="15" t="s">
        <v>238</v>
      </c>
      <c r="I1660" s="15" t="s">
        <v>239</v>
      </c>
      <c r="J1660" s="15" t="s">
        <v>2234</v>
      </c>
      <c r="K1660" s="15" t="s">
        <v>31696</v>
      </c>
      <c r="L1660" s="15" t="s">
        <v>138</v>
      </c>
      <c r="M1660" s="15" t="s">
        <v>31697</v>
      </c>
      <c r="N1660" s="15" t="s">
        <v>31698</v>
      </c>
      <c r="O1660" s="17">
        <v>54.52</v>
      </c>
      <c r="P1660" s="15" t="s">
        <v>148</v>
      </c>
      <c r="Q1660" s="15" t="s">
        <v>149</v>
      </c>
      <c r="R1660" s="15" t="s">
        <v>150</v>
      </c>
      <c r="S1660" s="15" t="s">
        <v>31699</v>
      </c>
      <c r="T1660" s="18">
        <v>130</v>
      </c>
      <c r="U1660" s="15" t="s">
        <v>31700</v>
      </c>
      <c r="V1660" s="15" t="s">
        <v>138</v>
      </c>
      <c r="W1660" s="15" t="s">
        <v>138</v>
      </c>
      <c r="X1660" s="19">
        <v>2016</v>
      </c>
      <c r="Y1660" s="15" t="s">
        <v>31701</v>
      </c>
      <c r="Z1660" s="15" t="s">
        <v>138</v>
      </c>
      <c r="AA1660" s="15" t="s">
        <v>138</v>
      </c>
      <c r="AB1660" s="20">
        <v>30</v>
      </c>
      <c r="AC1660" s="20" t="s">
        <v>138</v>
      </c>
      <c r="AD1660" s="20" t="s">
        <v>138</v>
      </c>
      <c r="AE1660" s="20" t="s">
        <v>138</v>
      </c>
      <c r="AF1660" s="20" t="s">
        <v>138</v>
      </c>
      <c r="AG1660" s="15" t="s">
        <v>815</v>
      </c>
      <c r="AH1660" s="20" t="s">
        <v>138</v>
      </c>
      <c r="AI1660" s="20" t="s">
        <v>138</v>
      </c>
      <c r="AJ1660" s="20" t="s">
        <v>138</v>
      </c>
      <c r="AK1660" s="15" t="s">
        <v>31702</v>
      </c>
      <c r="AL1660" s="15" t="s">
        <v>31703</v>
      </c>
      <c r="AM1660" s="15" t="s">
        <v>8182</v>
      </c>
      <c r="AN1660" s="15" t="s">
        <v>31704</v>
      </c>
      <c r="AO1660" s="15" t="s">
        <v>31705</v>
      </c>
      <c r="AP1660" s="15" t="s">
        <v>423</v>
      </c>
      <c r="AQ1660" s="15" t="s">
        <v>28396</v>
      </c>
      <c r="AR1660" s="15" t="s">
        <v>31706</v>
      </c>
      <c r="AS1660" s="15" t="s">
        <v>426</v>
      </c>
      <c r="AT1660" s="15" t="s">
        <v>426</v>
      </c>
      <c r="AU1660" s="15" t="s">
        <v>2130</v>
      </c>
      <c r="AV1660" s="15" t="s">
        <v>162</v>
      </c>
      <c r="AW1660" s="15" t="s">
        <v>31705</v>
      </c>
      <c r="AX1660" s="15" t="s">
        <v>138</v>
      </c>
      <c r="AY1660" s="15" t="s">
        <v>31707</v>
      </c>
      <c r="AZ1660" s="15" t="s">
        <v>164</v>
      </c>
      <c r="BA1660" s="15" t="s">
        <v>165</v>
      </c>
      <c r="BB1660" s="15" t="s">
        <v>31708</v>
      </c>
      <c r="BC1660" s="15" t="s">
        <v>31709</v>
      </c>
      <c r="BD1660" s="21">
        <v>16</v>
      </c>
      <c r="BE1660" s="15" t="s">
        <v>138</v>
      </c>
      <c r="BF1660" s="15" t="s">
        <v>138</v>
      </c>
      <c r="BG1660" s="15" t="s">
        <v>31701</v>
      </c>
      <c r="BH1660" s="15" t="s">
        <v>31710</v>
      </c>
      <c r="BI1660" s="15" t="s">
        <v>138</v>
      </c>
      <c r="BJ1660" s="15" t="s">
        <v>31711</v>
      </c>
      <c r="BK1660" s="15" t="s">
        <v>31712</v>
      </c>
      <c r="BL1660" s="15" t="s">
        <v>17878</v>
      </c>
      <c r="BM1660" s="22">
        <v>42411</v>
      </c>
      <c r="BN1660" s="17">
        <v>3</v>
      </c>
      <c r="BO1660" s="15" t="s">
        <v>172</v>
      </c>
      <c r="BP1660" s="17">
        <v>15</v>
      </c>
      <c r="BQ1660" s="15" t="s">
        <v>172</v>
      </c>
      <c r="BR1660" s="15" t="s">
        <v>205</v>
      </c>
      <c r="BS1660" s="15" t="s">
        <v>206</v>
      </c>
      <c r="BT1660" s="15" t="s">
        <v>138</v>
      </c>
      <c r="BU1660" s="15" t="s">
        <v>174</v>
      </c>
      <c r="BV1660" s="15" t="s">
        <v>138</v>
      </c>
      <c r="BW1660" s="15" t="s">
        <v>138</v>
      </c>
      <c r="BX1660" s="15" t="s">
        <v>138</v>
      </c>
      <c r="BY1660" s="15" t="s">
        <v>175</v>
      </c>
      <c r="BZ1660" s="22">
        <v>43585</v>
      </c>
      <c r="CA1660" s="17">
        <v>200</v>
      </c>
      <c r="CB1660" s="15" t="s">
        <v>172</v>
      </c>
      <c r="CC1660" s="17">
        <v>200</v>
      </c>
      <c r="CD1660" s="15" t="s">
        <v>172</v>
      </c>
      <c r="CE1660" s="15" t="s">
        <v>2228</v>
      </c>
      <c r="CF1660" s="15" t="s">
        <v>138</v>
      </c>
      <c r="CG1660" s="15" t="s">
        <v>138</v>
      </c>
      <c r="CH1660" s="15" t="s">
        <v>780</v>
      </c>
      <c r="CI1660" s="15" t="s">
        <v>138</v>
      </c>
      <c r="CJ1660" s="15" t="s">
        <v>138</v>
      </c>
      <c r="CK1660" s="15" t="s">
        <v>138</v>
      </c>
      <c r="CL1660" s="15" t="s">
        <v>352</v>
      </c>
      <c r="CM1660" s="22" t="s">
        <v>138</v>
      </c>
      <c r="CN1660" s="17" t="s">
        <v>138</v>
      </c>
      <c r="CO1660" s="23">
        <v>0.66</v>
      </c>
      <c r="CP1660" s="24">
        <v>96</v>
      </c>
      <c r="CQ1660" s="23">
        <v>-0.25</v>
      </c>
      <c r="CR1660" s="23">
        <v>-27.68</v>
      </c>
      <c r="CS1660" s="23">
        <v>1.1399999999999999</v>
      </c>
      <c r="CT1660" s="24">
        <v>97</v>
      </c>
      <c r="CU1660" s="23">
        <v>0.5</v>
      </c>
      <c r="CV1660" s="24">
        <v>93</v>
      </c>
      <c r="CW1660" s="23">
        <v>2.81</v>
      </c>
      <c r="CX1660" s="24">
        <v>91</v>
      </c>
      <c r="CY1660" s="23">
        <v>-0.53</v>
      </c>
      <c r="CZ1660" s="24">
        <v>22</v>
      </c>
      <c r="DA1660" s="23">
        <v>0.67</v>
      </c>
      <c r="DB1660" s="24">
        <v>96</v>
      </c>
      <c r="DC1660" s="25">
        <v>867.27</v>
      </c>
      <c r="DD1660" s="24">
        <v>100</v>
      </c>
      <c r="DE1660" s="25">
        <v>-5.64</v>
      </c>
      <c r="DF1660" s="23">
        <v>-0.65</v>
      </c>
      <c r="DG1660" s="25">
        <v>147.22</v>
      </c>
      <c r="DH1660" s="24">
        <v>100</v>
      </c>
      <c r="DI1660" s="25">
        <v>2453.36</v>
      </c>
      <c r="DJ1660" s="24">
        <v>100</v>
      </c>
      <c r="DK1660" s="25">
        <v>267.51</v>
      </c>
      <c r="DL1660" s="24">
        <v>99</v>
      </c>
      <c r="DM1660" s="25">
        <v>26.93</v>
      </c>
      <c r="DN1660" s="24">
        <v>96</v>
      </c>
      <c r="DO1660" s="25">
        <v>617.25</v>
      </c>
      <c r="DP1660" s="24">
        <v>100</v>
      </c>
      <c r="DQ1660" s="24">
        <v>90376</v>
      </c>
      <c r="DR1660" s="26">
        <v>4138</v>
      </c>
      <c r="DS1660" s="23">
        <v>4.8</v>
      </c>
      <c r="DT1660" s="24">
        <v>783</v>
      </c>
      <c r="DU1660" s="26">
        <v>-9</v>
      </c>
      <c r="DV1660" s="23">
        <v>-1.1399999999999999</v>
      </c>
      <c r="DW1660" s="24">
        <v>220695</v>
      </c>
      <c r="DX1660" s="27">
        <v>934</v>
      </c>
      <c r="DY1660" s="23">
        <v>0.43</v>
      </c>
      <c r="DZ1660" s="15" t="s">
        <v>178</v>
      </c>
      <c r="EA1660" s="22">
        <v>43622</v>
      </c>
      <c r="EB1660" s="17">
        <v>200</v>
      </c>
      <c r="EC1660" s="22">
        <v>43585</v>
      </c>
      <c r="ED1660" s="15" t="s">
        <v>2228</v>
      </c>
      <c r="EE1660" s="14" t="str">
        <f>HYPERLINK("https://my.pitchbook.com?c=154543-06", "View company online")</f>
        <v>View company online</v>
      </c>
    </row>
    <row r="1661" spans="1:135">
      <c r="A1661" s="28" t="s">
        <v>31713</v>
      </c>
      <c r="B1661" s="28" t="s">
        <v>31714</v>
      </c>
      <c r="C1661" s="28" t="s">
        <v>138</v>
      </c>
      <c r="D1661" s="28" t="s">
        <v>138</v>
      </c>
      <c r="E1661" s="28" t="s">
        <v>31715</v>
      </c>
      <c r="F1661" s="28" t="s">
        <v>31713</v>
      </c>
      <c r="G1661" s="28" t="s">
        <v>31716</v>
      </c>
      <c r="H1661" s="28" t="s">
        <v>322</v>
      </c>
      <c r="I1661" s="28" t="s">
        <v>323</v>
      </c>
      <c r="J1661" s="28" t="s">
        <v>413</v>
      </c>
      <c r="K1661" s="28" t="s">
        <v>874</v>
      </c>
      <c r="L1661" s="28" t="s">
        <v>415</v>
      </c>
      <c r="M1661" s="28" t="s">
        <v>31717</v>
      </c>
      <c r="N1661" s="28" t="s">
        <v>1452</v>
      </c>
      <c r="O1661" s="29">
        <v>8</v>
      </c>
      <c r="P1661" s="28" t="s">
        <v>148</v>
      </c>
      <c r="Q1661" s="28" t="s">
        <v>149</v>
      </c>
      <c r="R1661" s="28" t="s">
        <v>328</v>
      </c>
      <c r="S1661" s="28" t="s">
        <v>31718</v>
      </c>
      <c r="T1661" s="30">
        <v>500</v>
      </c>
      <c r="U1661" s="28" t="s">
        <v>31719</v>
      </c>
      <c r="V1661" s="28" t="s">
        <v>138</v>
      </c>
      <c r="W1661" s="28" t="s">
        <v>138</v>
      </c>
      <c r="X1661" s="31">
        <v>2006</v>
      </c>
      <c r="Y1661" s="28" t="s">
        <v>138</v>
      </c>
      <c r="Z1661" s="28" t="s">
        <v>138</v>
      </c>
      <c r="AA1661" s="28" t="s">
        <v>1163</v>
      </c>
      <c r="AB1661" s="32" t="s">
        <v>138</v>
      </c>
      <c r="AC1661" s="32" t="s">
        <v>138</v>
      </c>
      <c r="AD1661" s="32" t="s">
        <v>138</v>
      </c>
      <c r="AE1661" s="32" t="s">
        <v>138</v>
      </c>
      <c r="AF1661" s="32" t="s">
        <v>138</v>
      </c>
      <c r="AG1661" s="28" t="s">
        <v>138</v>
      </c>
      <c r="AH1661" s="32" t="s">
        <v>138</v>
      </c>
      <c r="AI1661" s="32" t="s">
        <v>138</v>
      </c>
      <c r="AJ1661" s="32" t="s">
        <v>138</v>
      </c>
      <c r="AK1661" s="28" t="s">
        <v>31720</v>
      </c>
      <c r="AL1661" s="28" t="s">
        <v>31721</v>
      </c>
      <c r="AM1661" s="28" t="s">
        <v>249</v>
      </c>
      <c r="AN1661" s="28" t="s">
        <v>31722</v>
      </c>
      <c r="AO1661" s="28" t="s">
        <v>31723</v>
      </c>
      <c r="AP1661" s="28" t="s">
        <v>31724</v>
      </c>
      <c r="AQ1661" s="28" t="s">
        <v>31725</v>
      </c>
      <c r="AR1661" s="28" t="s">
        <v>31726</v>
      </c>
      <c r="AS1661" s="28" t="s">
        <v>31727</v>
      </c>
      <c r="AT1661" s="28" t="s">
        <v>6898</v>
      </c>
      <c r="AU1661" s="28" t="s">
        <v>31728</v>
      </c>
      <c r="AV1661" s="28" t="s">
        <v>162</v>
      </c>
      <c r="AW1661" s="28" t="s">
        <v>31723</v>
      </c>
      <c r="AX1661" s="28" t="s">
        <v>31729</v>
      </c>
      <c r="AY1661" s="28" t="s">
        <v>31730</v>
      </c>
      <c r="AZ1661" s="28" t="s">
        <v>164</v>
      </c>
      <c r="BA1661" s="28" t="s">
        <v>165</v>
      </c>
      <c r="BB1661" s="28" t="s">
        <v>31731</v>
      </c>
      <c r="BC1661" s="28" t="s">
        <v>31732</v>
      </c>
      <c r="BD1661" s="33">
        <v>2</v>
      </c>
      <c r="BE1661" s="28" t="s">
        <v>138</v>
      </c>
      <c r="BF1661" s="28" t="s">
        <v>31733</v>
      </c>
      <c r="BG1661" s="28" t="s">
        <v>138</v>
      </c>
      <c r="BH1661" s="28" t="s">
        <v>1669</v>
      </c>
      <c r="BI1661" s="28" t="s">
        <v>31734</v>
      </c>
      <c r="BJ1661" s="28" t="s">
        <v>138</v>
      </c>
      <c r="BK1661" s="28" t="s">
        <v>31735</v>
      </c>
      <c r="BL1661" s="28" t="s">
        <v>31736</v>
      </c>
      <c r="BM1661" s="34">
        <v>38808</v>
      </c>
      <c r="BN1661" s="29" t="s">
        <v>138</v>
      </c>
      <c r="BO1661" s="28" t="s">
        <v>138</v>
      </c>
      <c r="BP1661" s="29" t="s">
        <v>138</v>
      </c>
      <c r="BQ1661" s="28" t="s">
        <v>138</v>
      </c>
      <c r="BR1661" s="28" t="s">
        <v>205</v>
      </c>
      <c r="BS1661" s="28" t="s">
        <v>138</v>
      </c>
      <c r="BT1661" s="28" t="s">
        <v>138</v>
      </c>
      <c r="BU1661" s="28" t="s">
        <v>174</v>
      </c>
      <c r="BV1661" s="28" t="s">
        <v>138</v>
      </c>
      <c r="BW1661" s="28" t="s">
        <v>138</v>
      </c>
      <c r="BX1661" s="28" t="s">
        <v>138</v>
      </c>
      <c r="BY1661" s="28" t="s">
        <v>175</v>
      </c>
      <c r="BZ1661" s="34" t="s">
        <v>138</v>
      </c>
      <c r="CA1661" s="29" t="s">
        <v>138</v>
      </c>
      <c r="CB1661" s="28" t="s">
        <v>138</v>
      </c>
      <c r="CC1661" s="29" t="s">
        <v>138</v>
      </c>
      <c r="CD1661" s="28" t="s">
        <v>138</v>
      </c>
      <c r="CE1661" s="28" t="s">
        <v>1673</v>
      </c>
      <c r="CF1661" s="28" t="s">
        <v>138</v>
      </c>
      <c r="CG1661" s="28" t="s">
        <v>138</v>
      </c>
      <c r="CH1661" s="28" t="s">
        <v>351</v>
      </c>
      <c r="CI1661" s="28" t="s">
        <v>138</v>
      </c>
      <c r="CJ1661" s="28" t="s">
        <v>138</v>
      </c>
      <c r="CK1661" s="28" t="s">
        <v>138</v>
      </c>
      <c r="CL1661" s="28" t="s">
        <v>175</v>
      </c>
      <c r="CM1661" s="34" t="s">
        <v>138</v>
      </c>
      <c r="CN1661" s="29" t="s">
        <v>138</v>
      </c>
      <c r="CO1661" s="35">
        <v>0.06</v>
      </c>
      <c r="CP1661" s="36">
        <v>88</v>
      </c>
      <c r="CQ1661" s="35">
        <v>-0.01</v>
      </c>
      <c r="CR1661" s="35">
        <v>-13.08</v>
      </c>
      <c r="CS1661" s="35">
        <v>-1.35</v>
      </c>
      <c r="CT1661" s="36">
        <v>12</v>
      </c>
      <c r="CU1661" s="35">
        <v>0.11</v>
      </c>
      <c r="CV1661" s="36">
        <v>70</v>
      </c>
      <c r="CW1661" s="35">
        <v>-1.6</v>
      </c>
      <c r="CX1661" s="36">
        <v>8</v>
      </c>
      <c r="CY1661" s="35">
        <v>-1.0900000000000001</v>
      </c>
      <c r="CZ1661" s="36">
        <v>18</v>
      </c>
      <c r="DA1661" s="35">
        <v>0.21</v>
      </c>
      <c r="DB1661" s="36">
        <v>83</v>
      </c>
      <c r="DC1661" s="37">
        <v>26</v>
      </c>
      <c r="DD1661" s="36">
        <v>96</v>
      </c>
      <c r="DE1661" s="37">
        <v>-1.02</v>
      </c>
      <c r="DF1661" s="35">
        <v>-3.77</v>
      </c>
      <c r="DG1661" s="37">
        <v>61.19</v>
      </c>
      <c r="DH1661" s="36">
        <v>99</v>
      </c>
      <c r="DI1661" s="37">
        <v>15.89</v>
      </c>
      <c r="DJ1661" s="36">
        <v>89</v>
      </c>
      <c r="DK1661" s="37">
        <v>46.21</v>
      </c>
      <c r="DL1661" s="36">
        <v>96</v>
      </c>
      <c r="DM1661" s="37">
        <v>76.17</v>
      </c>
      <c r="DN1661" s="36">
        <v>99</v>
      </c>
      <c r="DO1661" s="37">
        <v>15.45</v>
      </c>
      <c r="DP1661" s="36">
        <v>91</v>
      </c>
      <c r="DQ1661" s="36">
        <v>15736</v>
      </c>
      <c r="DR1661" s="38">
        <v>339</v>
      </c>
      <c r="DS1661" s="35">
        <v>2.2000000000000002</v>
      </c>
      <c r="DT1661" s="36">
        <v>2212</v>
      </c>
      <c r="DU1661" s="38">
        <v>-6</v>
      </c>
      <c r="DV1661" s="35">
        <v>-0.27</v>
      </c>
      <c r="DW1661" s="36">
        <v>5524</v>
      </c>
      <c r="DX1661" s="39">
        <v>10</v>
      </c>
      <c r="DY1661" s="35">
        <v>0.18</v>
      </c>
      <c r="DZ1661" s="28" t="s">
        <v>178</v>
      </c>
      <c r="EA1661" s="34">
        <v>43474</v>
      </c>
      <c r="EB1661" s="29">
        <v>120</v>
      </c>
      <c r="EC1661" s="34">
        <v>42180</v>
      </c>
      <c r="ED1661" s="28" t="s">
        <v>379</v>
      </c>
      <c r="EE1661" s="40" t="str">
        <f>HYPERLINK("https://my.pitchbook.com?c=58783-96", "View company online")</f>
        <v>View company online</v>
      </c>
    </row>
    <row r="1662" spans="1:135">
      <c r="A1662" s="15" t="s">
        <v>31737</v>
      </c>
      <c r="B1662" s="15" t="s">
        <v>31738</v>
      </c>
      <c r="C1662" s="15" t="s">
        <v>31739</v>
      </c>
      <c r="D1662" s="15" t="s">
        <v>138</v>
      </c>
      <c r="E1662" s="15" t="s">
        <v>31740</v>
      </c>
      <c r="F1662" s="15" t="s">
        <v>31737</v>
      </c>
      <c r="G1662" s="15" t="s">
        <v>31741</v>
      </c>
      <c r="H1662" s="15" t="s">
        <v>141</v>
      </c>
      <c r="I1662" s="15" t="s">
        <v>212</v>
      </c>
      <c r="J1662" s="15" t="s">
        <v>213</v>
      </c>
      <c r="K1662" s="15" t="s">
        <v>31742</v>
      </c>
      <c r="L1662" s="15" t="s">
        <v>1544</v>
      </c>
      <c r="M1662" s="15" t="s">
        <v>31743</v>
      </c>
      <c r="N1662" s="15" t="s">
        <v>2487</v>
      </c>
      <c r="O1662" s="17">
        <v>0.15</v>
      </c>
      <c r="P1662" s="15" t="s">
        <v>148</v>
      </c>
      <c r="Q1662" s="15" t="s">
        <v>149</v>
      </c>
      <c r="R1662" s="15" t="s">
        <v>174</v>
      </c>
      <c r="S1662" s="15" t="s">
        <v>31744</v>
      </c>
      <c r="T1662" s="18" t="s">
        <v>138</v>
      </c>
      <c r="U1662" s="15" t="s">
        <v>138</v>
      </c>
      <c r="V1662" s="15" t="s">
        <v>138</v>
      </c>
      <c r="W1662" s="15" t="s">
        <v>138</v>
      </c>
      <c r="X1662" s="19">
        <v>2016</v>
      </c>
      <c r="Y1662" s="15" t="s">
        <v>138</v>
      </c>
      <c r="Z1662" s="15" t="s">
        <v>138</v>
      </c>
      <c r="AA1662" s="15" t="s">
        <v>138</v>
      </c>
      <c r="AB1662" s="20" t="s">
        <v>138</v>
      </c>
      <c r="AC1662" s="20" t="s">
        <v>138</v>
      </c>
      <c r="AD1662" s="20" t="s">
        <v>138</v>
      </c>
      <c r="AE1662" s="20" t="s">
        <v>138</v>
      </c>
      <c r="AF1662" s="20" t="s">
        <v>138</v>
      </c>
      <c r="AG1662" s="15" t="s">
        <v>138</v>
      </c>
      <c r="AH1662" s="20" t="s">
        <v>138</v>
      </c>
      <c r="AI1662" s="20" t="s">
        <v>138</v>
      </c>
      <c r="AJ1662" s="20" t="s">
        <v>138</v>
      </c>
      <c r="AK1662" s="15" t="s">
        <v>31745</v>
      </c>
      <c r="AL1662" s="15" t="s">
        <v>31746</v>
      </c>
      <c r="AM1662" s="15" t="s">
        <v>986</v>
      </c>
      <c r="AN1662" s="15" t="s">
        <v>138</v>
      </c>
      <c r="AO1662" s="15" t="s">
        <v>138</v>
      </c>
      <c r="AP1662" s="15" t="s">
        <v>1195</v>
      </c>
      <c r="AQ1662" s="15" t="s">
        <v>31747</v>
      </c>
      <c r="AR1662" s="15" t="s">
        <v>31748</v>
      </c>
      <c r="AS1662" s="15" t="s">
        <v>1198</v>
      </c>
      <c r="AT1662" s="15" t="s">
        <v>138</v>
      </c>
      <c r="AU1662" s="15" t="s">
        <v>138</v>
      </c>
      <c r="AV1662" s="15" t="s">
        <v>1200</v>
      </c>
      <c r="AW1662" s="15" t="s">
        <v>138</v>
      </c>
      <c r="AX1662" s="15" t="s">
        <v>138</v>
      </c>
      <c r="AY1662" s="15" t="s">
        <v>31749</v>
      </c>
      <c r="AZ1662" s="15" t="s">
        <v>452</v>
      </c>
      <c r="BA1662" s="15" t="s">
        <v>453</v>
      </c>
      <c r="BB1662" s="15" t="s">
        <v>31750</v>
      </c>
      <c r="BC1662" s="15" t="s">
        <v>31751</v>
      </c>
      <c r="BD1662" s="21">
        <v>6</v>
      </c>
      <c r="BE1662" s="15" t="s">
        <v>138</v>
      </c>
      <c r="BF1662" s="15" t="s">
        <v>138</v>
      </c>
      <c r="BG1662" s="15" t="s">
        <v>138</v>
      </c>
      <c r="BH1662" s="15" t="s">
        <v>31752</v>
      </c>
      <c r="BI1662" s="15" t="s">
        <v>138</v>
      </c>
      <c r="BJ1662" s="15" t="s">
        <v>138</v>
      </c>
      <c r="BK1662" s="15" t="s">
        <v>138</v>
      </c>
      <c r="BL1662" s="15" t="s">
        <v>138</v>
      </c>
      <c r="BM1662" s="22">
        <v>42618</v>
      </c>
      <c r="BN1662" s="17">
        <v>7.0000000000000007E-2</v>
      </c>
      <c r="BO1662" s="15" t="s">
        <v>172</v>
      </c>
      <c r="BP1662" s="17" t="s">
        <v>138</v>
      </c>
      <c r="BQ1662" s="15" t="s">
        <v>138</v>
      </c>
      <c r="BR1662" s="15" t="s">
        <v>316</v>
      </c>
      <c r="BS1662" s="15" t="s">
        <v>138</v>
      </c>
      <c r="BT1662" s="15" t="s">
        <v>138</v>
      </c>
      <c r="BU1662" s="15" t="s">
        <v>174</v>
      </c>
      <c r="BV1662" s="15" t="s">
        <v>138</v>
      </c>
      <c r="BW1662" s="15" t="s">
        <v>138</v>
      </c>
      <c r="BX1662" s="15" t="s">
        <v>138</v>
      </c>
      <c r="BY1662" s="15" t="s">
        <v>175</v>
      </c>
      <c r="BZ1662" s="22">
        <v>43155</v>
      </c>
      <c r="CA1662" s="17" t="s">
        <v>138</v>
      </c>
      <c r="CB1662" s="15" t="s">
        <v>138</v>
      </c>
      <c r="CC1662" s="17" t="s">
        <v>138</v>
      </c>
      <c r="CD1662" s="15" t="s">
        <v>138</v>
      </c>
      <c r="CE1662" s="15" t="s">
        <v>234</v>
      </c>
      <c r="CF1662" s="15" t="s">
        <v>234</v>
      </c>
      <c r="CG1662" s="15" t="s">
        <v>138</v>
      </c>
      <c r="CH1662" s="15" t="s">
        <v>174</v>
      </c>
      <c r="CI1662" s="15" t="s">
        <v>138</v>
      </c>
      <c r="CJ1662" s="15" t="s">
        <v>138</v>
      </c>
      <c r="CK1662" s="15" t="s">
        <v>138</v>
      </c>
      <c r="CL1662" s="15" t="s">
        <v>175</v>
      </c>
      <c r="CM1662" s="22" t="s">
        <v>138</v>
      </c>
      <c r="CN1662" s="17" t="s">
        <v>138</v>
      </c>
      <c r="CO1662" s="23" t="s">
        <v>138</v>
      </c>
      <c r="CP1662" s="24" t="s">
        <v>138</v>
      </c>
      <c r="CQ1662" s="23" t="s">
        <v>138</v>
      </c>
      <c r="CR1662" s="23" t="s">
        <v>138</v>
      </c>
      <c r="CS1662" s="23" t="s">
        <v>138</v>
      </c>
      <c r="CT1662" s="24" t="s">
        <v>138</v>
      </c>
      <c r="CU1662" s="23" t="s">
        <v>138</v>
      </c>
      <c r="CV1662" s="24" t="s">
        <v>138</v>
      </c>
      <c r="CW1662" s="23" t="s">
        <v>138</v>
      </c>
      <c r="CX1662" s="24" t="s">
        <v>138</v>
      </c>
      <c r="CY1662" s="23" t="s">
        <v>138</v>
      </c>
      <c r="CZ1662" s="24" t="s">
        <v>138</v>
      </c>
      <c r="DA1662" s="23" t="s">
        <v>138</v>
      </c>
      <c r="DB1662" s="24" t="s">
        <v>138</v>
      </c>
      <c r="DC1662" s="25" t="s">
        <v>138</v>
      </c>
      <c r="DD1662" s="24" t="s">
        <v>138</v>
      </c>
      <c r="DE1662" s="25" t="s">
        <v>138</v>
      </c>
      <c r="DF1662" s="23" t="s">
        <v>138</v>
      </c>
      <c r="DG1662" s="25" t="s">
        <v>138</v>
      </c>
      <c r="DH1662" s="24" t="s">
        <v>138</v>
      </c>
      <c r="DI1662" s="25" t="s">
        <v>138</v>
      </c>
      <c r="DJ1662" s="24" t="s">
        <v>138</v>
      </c>
      <c r="DK1662" s="25" t="s">
        <v>138</v>
      </c>
      <c r="DL1662" s="24" t="s">
        <v>138</v>
      </c>
      <c r="DM1662" s="25" t="s">
        <v>138</v>
      </c>
      <c r="DN1662" s="24" t="s">
        <v>138</v>
      </c>
      <c r="DO1662" s="25" t="s">
        <v>138</v>
      </c>
      <c r="DP1662" s="24" t="s">
        <v>138</v>
      </c>
      <c r="DQ1662" s="24" t="s">
        <v>138</v>
      </c>
      <c r="DR1662" s="26" t="s">
        <v>138</v>
      </c>
      <c r="DS1662" s="23" t="s">
        <v>138</v>
      </c>
      <c r="DT1662" s="24" t="s">
        <v>138</v>
      </c>
      <c r="DU1662" s="26" t="s">
        <v>138</v>
      </c>
      <c r="DV1662" s="23" t="s">
        <v>138</v>
      </c>
      <c r="DW1662" s="24" t="s">
        <v>138</v>
      </c>
      <c r="DX1662" s="27" t="s">
        <v>138</v>
      </c>
      <c r="DY1662" s="23" t="s">
        <v>138</v>
      </c>
      <c r="DZ1662" s="15" t="s">
        <v>178</v>
      </c>
      <c r="EA1662" s="22">
        <v>43607</v>
      </c>
      <c r="EB1662" s="17" t="s">
        <v>138</v>
      </c>
      <c r="EC1662" s="22" t="s">
        <v>138</v>
      </c>
      <c r="ED1662" s="15" t="s">
        <v>138</v>
      </c>
      <c r="EE1662" s="14" t="str">
        <f>HYPERLINK("https://my.pitchbook.com?c=172094-59", "View company online")</f>
        <v>View company online</v>
      </c>
    </row>
    <row r="1663" spans="1:135">
      <c r="A1663" s="28" t="s">
        <v>31753</v>
      </c>
      <c r="B1663" s="28" t="s">
        <v>31754</v>
      </c>
      <c r="C1663" s="28" t="s">
        <v>138</v>
      </c>
      <c r="D1663" s="28" t="s">
        <v>138</v>
      </c>
      <c r="E1663" s="28" t="s">
        <v>31755</v>
      </c>
      <c r="F1663" s="28" t="s">
        <v>31753</v>
      </c>
      <c r="G1663" s="28" t="s">
        <v>31756</v>
      </c>
      <c r="H1663" s="28" t="s">
        <v>141</v>
      </c>
      <c r="I1663" s="28" t="s">
        <v>212</v>
      </c>
      <c r="J1663" s="28" t="s">
        <v>213</v>
      </c>
      <c r="K1663" s="28" t="s">
        <v>31757</v>
      </c>
      <c r="L1663" s="28" t="s">
        <v>21248</v>
      </c>
      <c r="M1663" s="28" t="s">
        <v>31758</v>
      </c>
      <c r="N1663" s="28" t="s">
        <v>147</v>
      </c>
      <c r="O1663" s="29">
        <v>21.37</v>
      </c>
      <c r="P1663" s="28" t="s">
        <v>148</v>
      </c>
      <c r="Q1663" s="28" t="s">
        <v>149</v>
      </c>
      <c r="R1663" s="28" t="s">
        <v>174</v>
      </c>
      <c r="S1663" s="28" t="s">
        <v>31759</v>
      </c>
      <c r="T1663" s="30">
        <v>150</v>
      </c>
      <c r="U1663" s="28" t="s">
        <v>31760</v>
      </c>
      <c r="V1663" s="28" t="s">
        <v>138</v>
      </c>
      <c r="W1663" s="28" t="s">
        <v>138</v>
      </c>
      <c r="X1663" s="31">
        <v>2011</v>
      </c>
      <c r="Y1663" s="28" t="s">
        <v>138</v>
      </c>
      <c r="Z1663" s="28" t="s">
        <v>138</v>
      </c>
      <c r="AA1663" s="28" t="s">
        <v>138</v>
      </c>
      <c r="AB1663" s="32" t="s">
        <v>138</v>
      </c>
      <c r="AC1663" s="32" t="s">
        <v>138</v>
      </c>
      <c r="AD1663" s="32" t="s">
        <v>138</v>
      </c>
      <c r="AE1663" s="32" t="s">
        <v>138</v>
      </c>
      <c r="AF1663" s="32" t="s">
        <v>138</v>
      </c>
      <c r="AG1663" s="28" t="s">
        <v>138</v>
      </c>
      <c r="AH1663" s="32" t="s">
        <v>138</v>
      </c>
      <c r="AI1663" s="32" t="s">
        <v>138</v>
      </c>
      <c r="AJ1663" s="32" t="s">
        <v>138</v>
      </c>
      <c r="AK1663" s="28" t="s">
        <v>31761</v>
      </c>
      <c r="AL1663" s="28" t="s">
        <v>31762</v>
      </c>
      <c r="AM1663" s="28" t="s">
        <v>304</v>
      </c>
      <c r="AN1663" s="28" t="s">
        <v>31763</v>
      </c>
      <c r="AO1663" s="28" t="s">
        <v>138</v>
      </c>
      <c r="AP1663" s="28" t="s">
        <v>665</v>
      </c>
      <c r="AQ1663" s="28" t="s">
        <v>31764</v>
      </c>
      <c r="AR1663" s="28" t="s">
        <v>713</v>
      </c>
      <c r="AS1663" s="28" t="s">
        <v>668</v>
      </c>
      <c r="AT1663" s="28" t="s">
        <v>200</v>
      </c>
      <c r="AU1663" s="28" t="s">
        <v>669</v>
      </c>
      <c r="AV1663" s="28" t="s">
        <v>162</v>
      </c>
      <c r="AW1663" s="28" t="s">
        <v>138</v>
      </c>
      <c r="AX1663" s="28" t="s">
        <v>138</v>
      </c>
      <c r="AY1663" s="28" t="s">
        <v>31765</v>
      </c>
      <c r="AZ1663" s="28" t="s">
        <v>164</v>
      </c>
      <c r="BA1663" s="28" t="s">
        <v>165</v>
      </c>
      <c r="BB1663" s="28" t="s">
        <v>31766</v>
      </c>
      <c r="BC1663" s="28" t="s">
        <v>31767</v>
      </c>
      <c r="BD1663" s="33">
        <v>10</v>
      </c>
      <c r="BE1663" s="28" t="s">
        <v>138</v>
      </c>
      <c r="BF1663" s="28" t="s">
        <v>138</v>
      </c>
      <c r="BG1663" s="28" t="s">
        <v>138</v>
      </c>
      <c r="BH1663" s="28" t="s">
        <v>31768</v>
      </c>
      <c r="BI1663" s="28" t="s">
        <v>138</v>
      </c>
      <c r="BJ1663" s="28" t="s">
        <v>138</v>
      </c>
      <c r="BK1663" s="28" t="s">
        <v>1251</v>
      </c>
      <c r="BL1663" s="28" t="s">
        <v>1251</v>
      </c>
      <c r="BM1663" s="34">
        <v>40840</v>
      </c>
      <c r="BN1663" s="29">
        <v>2.37</v>
      </c>
      <c r="BO1663" s="28" t="s">
        <v>172</v>
      </c>
      <c r="BP1663" s="29">
        <v>9.4700000000000006</v>
      </c>
      <c r="BQ1663" s="28" t="s">
        <v>172</v>
      </c>
      <c r="BR1663" s="28" t="s">
        <v>205</v>
      </c>
      <c r="BS1663" s="28" t="s">
        <v>206</v>
      </c>
      <c r="BT1663" s="28" t="s">
        <v>138</v>
      </c>
      <c r="BU1663" s="28" t="s">
        <v>174</v>
      </c>
      <c r="BV1663" s="28" t="s">
        <v>138</v>
      </c>
      <c r="BW1663" s="28" t="s">
        <v>138</v>
      </c>
      <c r="BX1663" s="28" t="s">
        <v>138</v>
      </c>
      <c r="BY1663" s="28" t="s">
        <v>175</v>
      </c>
      <c r="BZ1663" s="34" t="s">
        <v>138</v>
      </c>
      <c r="CA1663" s="29" t="s">
        <v>138</v>
      </c>
      <c r="CB1663" s="28" t="s">
        <v>138</v>
      </c>
      <c r="CC1663" s="29" t="s">
        <v>138</v>
      </c>
      <c r="CD1663" s="28" t="s">
        <v>138</v>
      </c>
      <c r="CE1663" s="28" t="s">
        <v>173</v>
      </c>
      <c r="CF1663" s="28" t="s">
        <v>138</v>
      </c>
      <c r="CG1663" s="28" t="s">
        <v>138</v>
      </c>
      <c r="CH1663" s="28" t="s">
        <v>174</v>
      </c>
      <c r="CI1663" s="28" t="s">
        <v>138</v>
      </c>
      <c r="CJ1663" s="28" t="s">
        <v>138</v>
      </c>
      <c r="CK1663" s="28" t="s">
        <v>138</v>
      </c>
      <c r="CL1663" s="28" t="s">
        <v>175</v>
      </c>
      <c r="CM1663" s="34" t="s">
        <v>138</v>
      </c>
      <c r="CN1663" s="29" t="s">
        <v>138</v>
      </c>
      <c r="CO1663" s="35">
        <v>1.35</v>
      </c>
      <c r="CP1663" s="36">
        <v>98</v>
      </c>
      <c r="CQ1663" s="35">
        <v>-0.02</v>
      </c>
      <c r="CR1663" s="35">
        <v>-1.48</v>
      </c>
      <c r="CS1663" s="35">
        <v>2.68</v>
      </c>
      <c r="CT1663" s="36">
        <v>99</v>
      </c>
      <c r="CU1663" s="35">
        <v>0.02</v>
      </c>
      <c r="CV1663" s="36">
        <v>51</v>
      </c>
      <c r="CW1663" s="35">
        <v>8.07</v>
      </c>
      <c r="CX1663" s="36">
        <v>99</v>
      </c>
      <c r="CY1663" s="35">
        <v>-2.7</v>
      </c>
      <c r="CZ1663" s="36">
        <v>8</v>
      </c>
      <c r="DA1663" s="35">
        <v>0.02</v>
      </c>
      <c r="DB1663" s="36">
        <v>58</v>
      </c>
      <c r="DC1663" s="37">
        <v>32.28</v>
      </c>
      <c r="DD1663" s="36">
        <v>97</v>
      </c>
      <c r="DE1663" s="37">
        <v>-0.77</v>
      </c>
      <c r="DF1663" s="35">
        <v>-2.3199999999999998</v>
      </c>
      <c r="DG1663" s="37">
        <v>39.200000000000003</v>
      </c>
      <c r="DH1663" s="36">
        <v>98</v>
      </c>
      <c r="DI1663" s="37">
        <v>25.35</v>
      </c>
      <c r="DJ1663" s="36">
        <v>92</v>
      </c>
      <c r="DK1663" s="37">
        <v>25.17</v>
      </c>
      <c r="DL1663" s="36">
        <v>93</v>
      </c>
      <c r="DM1663" s="37">
        <v>53.24</v>
      </c>
      <c r="DN1663" s="36">
        <v>98</v>
      </c>
      <c r="DO1663" s="37">
        <v>25.35</v>
      </c>
      <c r="DP1663" s="36">
        <v>94</v>
      </c>
      <c r="DQ1663" s="36">
        <v>8372</v>
      </c>
      <c r="DR1663" s="38">
        <v>779</v>
      </c>
      <c r="DS1663" s="35">
        <v>10.26</v>
      </c>
      <c r="DT1663" s="36">
        <v>1545</v>
      </c>
      <c r="DU1663" s="38">
        <v>-5</v>
      </c>
      <c r="DV1663" s="35">
        <v>-0.32</v>
      </c>
      <c r="DW1663" s="36">
        <v>9071</v>
      </c>
      <c r="DX1663" s="39">
        <v>0</v>
      </c>
      <c r="DY1663" s="35">
        <v>0</v>
      </c>
      <c r="DZ1663" s="28" t="s">
        <v>178</v>
      </c>
      <c r="EA1663" s="34">
        <v>43622</v>
      </c>
      <c r="EB1663" s="29">
        <v>124</v>
      </c>
      <c r="EC1663" s="34">
        <v>41282</v>
      </c>
      <c r="ED1663" s="28" t="s">
        <v>205</v>
      </c>
      <c r="EE1663" s="40" t="str">
        <f>HYPERLINK("https://my.pitchbook.com?c=53286-04", "View company online")</f>
        <v>View company online</v>
      </c>
    </row>
    <row r="1664" spans="1:135">
      <c r="A1664" s="15" t="s">
        <v>31769</v>
      </c>
      <c r="B1664" s="15" t="s">
        <v>31770</v>
      </c>
      <c r="C1664" s="15" t="s">
        <v>31771</v>
      </c>
      <c r="D1664" s="15" t="s">
        <v>138</v>
      </c>
      <c r="E1664" s="15" t="s">
        <v>31772</v>
      </c>
      <c r="F1664" s="15" t="s">
        <v>31769</v>
      </c>
      <c r="G1664" s="15" t="s">
        <v>31773</v>
      </c>
      <c r="H1664" s="15" t="s">
        <v>385</v>
      </c>
      <c r="I1664" s="15" t="s">
        <v>1991</v>
      </c>
      <c r="J1664" s="15" t="s">
        <v>13681</v>
      </c>
      <c r="K1664" s="15" t="s">
        <v>31774</v>
      </c>
      <c r="L1664" s="15" t="s">
        <v>9753</v>
      </c>
      <c r="M1664" s="15" t="s">
        <v>31775</v>
      </c>
      <c r="N1664" s="15" t="s">
        <v>147</v>
      </c>
      <c r="O1664" s="17">
        <v>558.37</v>
      </c>
      <c r="P1664" s="15" t="s">
        <v>812</v>
      </c>
      <c r="Q1664" s="15" t="s">
        <v>149</v>
      </c>
      <c r="R1664" s="15" t="s">
        <v>244</v>
      </c>
      <c r="S1664" s="15" t="s">
        <v>31776</v>
      </c>
      <c r="T1664" s="18">
        <v>224</v>
      </c>
      <c r="U1664" s="15" t="s">
        <v>31777</v>
      </c>
      <c r="V1664" s="15" t="s">
        <v>138</v>
      </c>
      <c r="W1664" s="15" t="s">
        <v>138</v>
      </c>
      <c r="X1664" s="19">
        <v>2007</v>
      </c>
      <c r="Y1664" s="15" t="s">
        <v>138</v>
      </c>
      <c r="Z1664" s="15" t="s">
        <v>138</v>
      </c>
      <c r="AA1664" s="15" t="s">
        <v>138</v>
      </c>
      <c r="AB1664" s="20">
        <v>2</v>
      </c>
      <c r="AC1664" s="20" t="s">
        <v>138</v>
      </c>
      <c r="AD1664" s="20" t="s">
        <v>138</v>
      </c>
      <c r="AE1664" s="20" t="s">
        <v>138</v>
      </c>
      <c r="AF1664" s="20" t="s">
        <v>138</v>
      </c>
      <c r="AG1664" s="15" t="s">
        <v>14914</v>
      </c>
      <c r="AH1664" s="20" t="s">
        <v>138</v>
      </c>
      <c r="AI1664" s="20" t="s">
        <v>138</v>
      </c>
      <c r="AJ1664" s="20" t="s">
        <v>138</v>
      </c>
      <c r="AK1664" s="15" t="s">
        <v>31778</v>
      </c>
      <c r="AL1664" s="15" t="s">
        <v>31779</v>
      </c>
      <c r="AM1664" s="15" t="s">
        <v>4689</v>
      </c>
      <c r="AN1664" s="15" t="s">
        <v>31780</v>
      </c>
      <c r="AO1664" s="15" t="s">
        <v>31781</v>
      </c>
      <c r="AP1664" s="15" t="s">
        <v>2649</v>
      </c>
      <c r="AQ1664" s="15" t="s">
        <v>31782</v>
      </c>
      <c r="AR1664" s="15" t="s">
        <v>138</v>
      </c>
      <c r="AS1664" s="15" t="s">
        <v>2651</v>
      </c>
      <c r="AT1664" s="15" t="s">
        <v>200</v>
      </c>
      <c r="AU1664" s="15" t="s">
        <v>2652</v>
      </c>
      <c r="AV1664" s="15" t="s">
        <v>162</v>
      </c>
      <c r="AW1664" s="15" t="s">
        <v>31781</v>
      </c>
      <c r="AX1664" s="15" t="s">
        <v>31783</v>
      </c>
      <c r="AY1664" s="15" t="s">
        <v>31784</v>
      </c>
      <c r="AZ1664" s="15" t="s">
        <v>164</v>
      </c>
      <c r="BA1664" s="15" t="s">
        <v>165</v>
      </c>
      <c r="BB1664" s="15" t="s">
        <v>31785</v>
      </c>
      <c r="BC1664" s="15" t="s">
        <v>31786</v>
      </c>
      <c r="BD1664" s="21">
        <v>41</v>
      </c>
      <c r="BE1664" s="15" t="s">
        <v>138</v>
      </c>
      <c r="BF1664" s="15" t="s">
        <v>31787</v>
      </c>
      <c r="BG1664" s="15" t="s">
        <v>138</v>
      </c>
      <c r="BH1664" s="15" t="s">
        <v>31788</v>
      </c>
      <c r="BI1664" s="15" t="s">
        <v>31789</v>
      </c>
      <c r="BJ1664" s="15" t="s">
        <v>138</v>
      </c>
      <c r="BK1664" s="15" t="s">
        <v>31790</v>
      </c>
      <c r="BL1664" s="15" t="s">
        <v>31791</v>
      </c>
      <c r="BM1664" s="22">
        <v>39839</v>
      </c>
      <c r="BN1664" s="17">
        <v>3.75</v>
      </c>
      <c r="BO1664" s="15" t="s">
        <v>172</v>
      </c>
      <c r="BP1664" s="17">
        <v>7.75</v>
      </c>
      <c r="BQ1664" s="15" t="s">
        <v>172</v>
      </c>
      <c r="BR1664" s="15" t="s">
        <v>205</v>
      </c>
      <c r="BS1664" s="15" t="s">
        <v>206</v>
      </c>
      <c r="BT1664" s="15" t="s">
        <v>138</v>
      </c>
      <c r="BU1664" s="15" t="s">
        <v>174</v>
      </c>
      <c r="BV1664" s="15" t="s">
        <v>138</v>
      </c>
      <c r="BW1664" s="15" t="s">
        <v>138</v>
      </c>
      <c r="BX1664" s="15" t="s">
        <v>138</v>
      </c>
      <c r="BY1664" s="15" t="s">
        <v>175</v>
      </c>
      <c r="BZ1664" s="22">
        <v>43432</v>
      </c>
      <c r="CA1664" s="17">
        <v>240</v>
      </c>
      <c r="CB1664" s="15" t="s">
        <v>172</v>
      </c>
      <c r="CC1664" s="17">
        <v>1250</v>
      </c>
      <c r="CD1664" s="15" t="s">
        <v>172</v>
      </c>
      <c r="CE1664" s="15" t="s">
        <v>173</v>
      </c>
      <c r="CF1664" s="15" t="s">
        <v>1897</v>
      </c>
      <c r="CG1664" s="15" t="s">
        <v>138</v>
      </c>
      <c r="CH1664" s="15" t="s">
        <v>174</v>
      </c>
      <c r="CI1664" s="15" t="s">
        <v>177</v>
      </c>
      <c r="CJ1664" s="15" t="s">
        <v>138</v>
      </c>
      <c r="CK1664" s="15" t="s">
        <v>138</v>
      </c>
      <c r="CL1664" s="15" t="s">
        <v>175</v>
      </c>
      <c r="CM1664" s="22">
        <v>43373</v>
      </c>
      <c r="CN1664" s="17">
        <v>10.5</v>
      </c>
      <c r="CO1664" s="23">
        <v>0.37</v>
      </c>
      <c r="CP1664" s="24">
        <v>94</v>
      </c>
      <c r="CQ1664" s="23">
        <v>-0.01</v>
      </c>
      <c r="CR1664" s="23">
        <v>-3.75</v>
      </c>
      <c r="CS1664" s="23">
        <v>0.09</v>
      </c>
      <c r="CT1664" s="24">
        <v>94</v>
      </c>
      <c r="CU1664" s="23">
        <v>0.24</v>
      </c>
      <c r="CV1664" s="24">
        <v>84</v>
      </c>
      <c r="CW1664" s="23">
        <v>0.09</v>
      </c>
      <c r="CX1664" s="24">
        <v>80</v>
      </c>
      <c r="CY1664" s="23" t="s">
        <v>138</v>
      </c>
      <c r="CZ1664" s="24" t="s">
        <v>138</v>
      </c>
      <c r="DA1664" s="23">
        <v>0.33</v>
      </c>
      <c r="DB1664" s="24">
        <v>90</v>
      </c>
      <c r="DC1664" s="25">
        <v>105.05</v>
      </c>
      <c r="DD1664" s="24">
        <v>99</v>
      </c>
      <c r="DE1664" s="25">
        <v>-8.06</v>
      </c>
      <c r="DF1664" s="23">
        <v>-7.13</v>
      </c>
      <c r="DG1664" s="25">
        <v>216.38</v>
      </c>
      <c r="DH1664" s="24">
        <v>100</v>
      </c>
      <c r="DI1664" s="25">
        <v>31.79</v>
      </c>
      <c r="DJ1664" s="24">
        <v>93</v>
      </c>
      <c r="DK1664" s="25">
        <v>216.38</v>
      </c>
      <c r="DL1664" s="24">
        <v>99</v>
      </c>
      <c r="DM1664" s="25" t="s">
        <v>138</v>
      </c>
      <c r="DN1664" s="24" t="s">
        <v>138</v>
      </c>
      <c r="DO1664" s="25">
        <v>49.28</v>
      </c>
      <c r="DP1664" s="24">
        <v>96</v>
      </c>
      <c r="DQ1664" s="24">
        <v>74635</v>
      </c>
      <c r="DR1664" s="26">
        <v>-1250</v>
      </c>
      <c r="DS1664" s="23">
        <v>-1.65</v>
      </c>
      <c r="DT1664" s="24" t="s">
        <v>138</v>
      </c>
      <c r="DU1664" s="26" t="s">
        <v>138</v>
      </c>
      <c r="DV1664" s="23" t="s">
        <v>138</v>
      </c>
      <c r="DW1664" s="24">
        <v>17605</v>
      </c>
      <c r="DX1664" s="27">
        <v>63</v>
      </c>
      <c r="DY1664" s="23">
        <v>0.36</v>
      </c>
      <c r="DZ1664" s="15" t="s">
        <v>178</v>
      </c>
      <c r="EA1664" s="22">
        <v>43622</v>
      </c>
      <c r="EB1664" s="17">
        <v>1250</v>
      </c>
      <c r="EC1664" s="22">
        <v>43432</v>
      </c>
      <c r="ED1664" s="15" t="s">
        <v>173</v>
      </c>
      <c r="EE1664" s="14" t="str">
        <f>HYPERLINK("https://my.pitchbook.com?c=50962-15", "View company online")</f>
        <v>View company online</v>
      </c>
    </row>
    <row r="1665" spans="1:135">
      <c r="A1665" s="28" t="s">
        <v>31792</v>
      </c>
      <c r="B1665" s="28" t="s">
        <v>31793</v>
      </c>
      <c r="C1665" s="28" t="s">
        <v>138</v>
      </c>
      <c r="D1665" s="28" t="s">
        <v>31794</v>
      </c>
      <c r="E1665" s="28" t="s">
        <v>138</v>
      </c>
      <c r="F1665" s="28" t="s">
        <v>31792</v>
      </c>
      <c r="G1665" s="28" t="s">
        <v>31795</v>
      </c>
      <c r="H1665" s="28" t="s">
        <v>322</v>
      </c>
      <c r="I1665" s="28" t="s">
        <v>323</v>
      </c>
      <c r="J1665" s="28" t="s">
        <v>5827</v>
      </c>
      <c r="K1665" s="28" t="s">
        <v>31796</v>
      </c>
      <c r="L1665" s="28" t="s">
        <v>13033</v>
      </c>
      <c r="M1665" s="28" t="s">
        <v>31797</v>
      </c>
      <c r="N1665" s="28" t="s">
        <v>147</v>
      </c>
      <c r="O1665" s="29">
        <v>54.03</v>
      </c>
      <c r="P1665" s="28" t="s">
        <v>610</v>
      </c>
      <c r="Q1665" s="28" t="s">
        <v>149</v>
      </c>
      <c r="R1665" s="28" t="s">
        <v>174</v>
      </c>
      <c r="S1665" s="28" t="s">
        <v>31798</v>
      </c>
      <c r="T1665" s="30">
        <v>200</v>
      </c>
      <c r="U1665" s="28" t="s">
        <v>6291</v>
      </c>
      <c r="V1665" s="28" t="s">
        <v>138</v>
      </c>
      <c r="W1665" s="28" t="s">
        <v>138</v>
      </c>
      <c r="X1665" s="31">
        <v>2017</v>
      </c>
      <c r="Y1665" s="28" t="s">
        <v>138</v>
      </c>
      <c r="Z1665" s="28" t="s">
        <v>138</v>
      </c>
      <c r="AA1665" s="28" t="s">
        <v>138</v>
      </c>
      <c r="AB1665" s="32" t="s">
        <v>138</v>
      </c>
      <c r="AC1665" s="32" t="s">
        <v>138</v>
      </c>
      <c r="AD1665" s="32" t="s">
        <v>138</v>
      </c>
      <c r="AE1665" s="32" t="s">
        <v>138</v>
      </c>
      <c r="AF1665" s="32" t="s">
        <v>138</v>
      </c>
      <c r="AG1665" s="28" t="s">
        <v>815</v>
      </c>
      <c r="AH1665" s="32" t="s">
        <v>138</v>
      </c>
      <c r="AI1665" s="32" t="s">
        <v>138</v>
      </c>
      <c r="AJ1665" s="32" t="s">
        <v>138</v>
      </c>
      <c r="AK1665" s="28" t="s">
        <v>31799</v>
      </c>
      <c r="AL1665" s="28" t="s">
        <v>31800</v>
      </c>
      <c r="AM1665" s="28" t="s">
        <v>2949</v>
      </c>
      <c r="AN1665" s="28" t="s">
        <v>138</v>
      </c>
      <c r="AO1665" s="28" t="s">
        <v>31801</v>
      </c>
      <c r="AP1665" s="28" t="s">
        <v>23267</v>
      </c>
      <c r="AQ1665" s="28" t="s">
        <v>31802</v>
      </c>
      <c r="AR1665" s="28" t="s">
        <v>31803</v>
      </c>
      <c r="AS1665" s="28" t="s">
        <v>23270</v>
      </c>
      <c r="AT1665" s="28" t="s">
        <v>31804</v>
      </c>
      <c r="AU1665" s="28" t="s">
        <v>138</v>
      </c>
      <c r="AV1665" s="28" t="s">
        <v>450</v>
      </c>
      <c r="AW1665" s="28" t="s">
        <v>31801</v>
      </c>
      <c r="AX1665" s="28" t="s">
        <v>138</v>
      </c>
      <c r="AY1665" s="28" t="s">
        <v>31805</v>
      </c>
      <c r="AZ1665" s="28" t="s">
        <v>452</v>
      </c>
      <c r="BA1665" s="28" t="s">
        <v>453</v>
      </c>
      <c r="BB1665" s="28" t="s">
        <v>31806</v>
      </c>
      <c r="BC1665" s="28" t="s">
        <v>31807</v>
      </c>
      <c r="BD1665" s="33">
        <v>7</v>
      </c>
      <c r="BE1665" s="28" t="s">
        <v>138</v>
      </c>
      <c r="BF1665" s="28" t="s">
        <v>138</v>
      </c>
      <c r="BG1665" s="28" t="s">
        <v>138</v>
      </c>
      <c r="BH1665" s="28" t="s">
        <v>31808</v>
      </c>
      <c r="BI1665" s="28" t="s">
        <v>138</v>
      </c>
      <c r="BJ1665" s="28" t="s">
        <v>138</v>
      </c>
      <c r="BK1665" s="28" t="s">
        <v>138</v>
      </c>
      <c r="BL1665" s="28" t="s">
        <v>138</v>
      </c>
      <c r="BM1665" s="34">
        <v>43281</v>
      </c>
      <c r="BN1665" s="29">
        <v>54.03</v>
      </c>
      <c r="BO1665" s="28" t="s">
        <v>172</v>
      </c>
      <c r="BP1665" s="29" t="s">
        <v>138</v>
      </c>
      <c r="BQ1665" s="28" t="s">
        <v>138</v>
      </c>
      <c r="BR1665" s="28" t="s">
        <v>205</v>
      </c>
      <c r="BS1665" s="28" t="s">
        <v>138</v>
      </c>
      <c r="BT1665" s="28" t="s">
        <v>138</v>
      </c>
      <c r="BU1665" s="28" t="s">
        <v>174</v>
      </c>
      <c r="BV1665" s="28" t="s">
        <v>138</v>
      </c>
      <c r="BW1665" s="28" t="s">
        <v>138</v>
      </c>
      <c r="BX1665" s="28" t="s">
        <v>138</v>
      </c>
      <c r="BY1665" s="28" t="s">
        <v>175</v>
      </c>
      <c r="BZ1665" s="34">
        <v>43281</v>
      </c>
      <c r="CA1665" s="29">
        <v>54.03</v>
      </c>
      <c r="CB1665" s="28" t="s">
        <v>172</v>
      </c>
      <c r="CC1665" s="29" t="s">
        <v>138</v>
      </c>
      <c r="CD1665" s="28" t="s">
        <v>138</v>
      </c>
      <c r="CE1665" s="28" t="s">
        <v>205</v>
      </c>
      <c r="CF1665" s="28" t="s">
        <v>138</v>
      </c>
      <c r="CG1665" s="28" t="s">
        <v>138</v>
      </c>
      <c r="CH1665" s="28" t="s">
        <v>174</v>
      </c>
      <c r="CI1665" s="28" t="s">
        <v>138</v>
      </c>
      <c r="CJ1665" s="28" t="s">
        <v>138</v>
      </c>
      <c r="CK1665" s="28" t="s">
        <v>138</v>
      </c>
      <c r="CL1665" s="28" t="s">
        <v>175</v>
      </c>
      <c r="CM1665" s="34" t="s">
        <v>138</v>
      </c>
      <c r="CN1665" s="29" t="s">
        <v>138</v>
      </c>
      <c r="CO1665" s="35">
        <v>0</v>
      </c>
      <c r="CP1665" s="36">
        <v>26</v>
      </c>
      <c r="CQ1665" s="35">
        <v>0</v>
      </c>
      <c r="CR1665" s="35">
        <v>0</v>
      </c>
      <c r="CS1665" s="35">
        <v>0</v>
      </c>
      <c r="CT1665" s="36">
        <v>23</v>
      </c>
      <c r="CU1665" s="35" t="s">
        <v>138</v>
      </c>
      <c r="CV1665" s="36" t="s">
        <v>138</v>
      </c>
      <c r="CW1665" s="35" t="s">
        <v>138</v>
      </c>
      <c r="CX1665" s="36" t="s">
        <v>138</v>
      </c>
      <c r="CY1665" s="35">
        <v>0</v>
      </c>
      <c r="CZ1665" s="36">
        <v>25</v>
      </c>
      <c r="DA1665" s="35" t="s">
        <v>138</v>
      </c>
      <c r="DB1665" s="36" t="s">
        <v>138</v>
      </c>
      <c r="DC1665" s="37">
        <v>0.17</v>
      </c>
      <c r="DD1665" s="36">
        <v>13</v>
      </c>
      <c r="DE1665" s="37">
        <v>0</v>
      </c>
      <c r="DF1665" s="35">
        <v>0</v>
      </c>
      <c r="DG1665" s="37">
        <v>0.17</v>
      </c>
      <c r="DH1665" s="36">
        <v>13</v>
      </c>
      <c r="DI1665" s="37" t="s">
        <v>138</v>
      </c>
      <c r="DJ1665" s="36" t="s">
        <v>138</v>
      </c>
      <c r="DK1665" s="37" t="s">
        <v>138</v>
      </c>
      <c r="DL1665" s="36" t="s">
        <v>138</v>
      </c>
      <c r="DM1665" s="37">
        <v>0.17</v>
      </c>
      <c r="DN1665" s="36">
        <v>14</v>
      </c>
      <c r="DO1665" s="37" t="s">
        <v>138</v>
      </c>
      <c r="DP1665" s="36" t="s">
        <v>138</v>
      </c>
      <c r="DQ1665" s="36">
        <v>63</v>
      </c>
      <c r="DR1665" s="38">
        <v>-2</v>
      </c>
      <c r="DS1665" s="35">
        <v>-3.08</v>
      </c>
      <c r="DT1665" s="36">
        <v>5</v>
      </c>
      <c r="DU1665" s="38">
        <v>0</v>
      </c>
      <c r="DV1665" s="35">
        <v>0</v>
      </c>
      <c r="DW1665" s="36" t="s">
        <v>138</v>
      </c>
      <c r="DX1665" s="39" t="s">
        <v>138</v>
      </c>
      <c r="DY1665" s="35" t="s">
        <v>138</v>
      </c>
      <c r="DZ1665" s="28" t="s">
        <v>178</v>
      </c>
      <c r="EA1665" s="34">
        <v>43395</v>
      </c>
      <c r="EB1665" s="29" t="s">
        <v>138</v>
      </c>
      <c r="EC1665" s="34" t="s">
        <v>138</v>
      </c>
      <c r="ED1665" s="28" t="s">
        <v>138</v>
      </c>
      <c r="EE1665" s="40" t="str">
        <f>HYPERLINK("https://my.pitchbook.com?c=231910-30", "View company online")</f>
        <v>View company online</v>
      </c>
    </row>
    <row r="1666" spans="1:135">
      <c r="A1666" s="15" t="s">
        <v>31809</v>
      </c>
      <c r="B1666" s="15" t="s">
        <v>31810</v>
      </c>
      <c r="C1666" s="15" t="s">
        <v>138</v>
      </c>
      <c r="D1666" s="15" t="s">
        <v>31811</v>
      </c>
      <c r="E1666" s="15" t="s">
        <v>138</v>
      </c>
      <c r="F1666" s="15" t="s">
        <v>31809</v>
      </c>
      <c r="G1666" s="15" t="s">
        <v>31812</v>
      </c>
      <c r="H1666" s="15" t="s">
        <v>141</v>
      </c>
      <c r="I1666" s="15" t="s">
        <v>142</v>
      </c>
      <c r="J1666" s="15" t="s">
        <v>4910</v>
      </c>
      <c r="K1666" s="15" t="s">
        <v>31813</v>
      </c>
      <c r="L1666" s="15" t="s">
        <v>31814</v>
      </c>
      <c r="M1666" s="15" t="s">
        <v>31815</v>
      </c>
      <c r="N1666" s="15" t="s">
        <v>147</v>
      </c>
      <c r="O1666" s="17">
        <v>14.19</v>
      </c>
      <c r="P1666" s="15" t="s">
        <v>148</v>
      </c>
      <c r="Q1666" s="15" t="s">
        <v>149</v>
      </c>
      <c r="R1666" s="15" t="s">
        <v>174</v>
      </c>
      <c r="S1666" s="15" t="s">
        <v>31816</v>
      </c>
      <c r="T1666" s="18" t="s">
        <v>138</v>
      </c>
      <c r="U1666" s="15" t="s">
        <v>138</v>
      </c>
      <c r="V1666" s="15" t="s">
        <v>138</v>
      </c>
      <c r="W1666" s="15" t="s">
        <v>138</v>
      </c>
      <c r="X1666" s="19">
        <v>2017</v>
      </c>
      <c r="Y1666" s="15" t="s">
        <v>138</v>
      </c>
      <c r="Z1666" s="15" t="s">
        <v>138</v>
      </c>
      <c r="AA1666" s="15" t="s">
        <v>138</v>
      </c>
      <c r="AB1666" s="20" t="s">
        <v>138</v>
      </c>
      <c r="AC1666" s="20" t="s">
        <v>138</v>
      </c>
      <c r="AD1666" s="20" t="s">
        <v>138</v>
      </c>
      <c r="AE1666" s="20" t="s">
        <v>138</v>
      </c>
      <c r="AF1666" s="20" t="s">
        <v>138</v>
      </c>
      <c r="AG1666" s="15" t="s">
        <v>138</v>
      </c>
      <c r="AH1666" s="20" t="s">
        <v>138</v>
      </c>
      <c r="AI1666" s="20" t="s">
        <v>138</v>
      </c>
      <c r="AJ1666" s="20" t="s">
        <v>138</v>
      </c>
      <c r="AK1666" s="15" t="s">
        <v>31817</v>
      </c>
      <c r="AL1666" s="15" t="s">
        <v>31818</v>
      </c>
      <c r="AM1666" s="15" t="s">
        <v>818</v>
      </c>
      <c r="AN1666" s="15" t="s">
        <v>31819</v>
      </c>
      <c r="AO1666" s="15" t="s">
        <v>31820</v>
      </c>
      <c r="AP1666" s="15" t="s">
        <v>639</v>
      </c>
      <c r="AQ1666" s="15" t="s">
        <v>31821</v>
      </c>
      <c r="AR1666" s="15" t="s">
        <v>15089</v>
      </c>
      <c r="AS1666" s="15" t="s">
        <v>642</v>
      </c>
      <c r="AT1666" s="15" t="s">
        <v>474</v>
      </c>
      <c r="AU1666" s="15" t="s">
        <v>27700</v>
      </c>
      <c r="AV1666" s="15" t="s">
        <v>162</v>
      </c>
      <c r="AW1666" s="15" t="s">
        <v>31820</v>
      </c>
      <c r="AX1666" s="15" t="s">
        <v>138</v>
      </c>
      <c r="AY1666" s="15" t="s">
        <v>31822</v>
      </c>
      <c r="AZ1666" s="15" t="s">
        <v>164</v>
      </c>
      <c r="BA1666" s="15" t="s">
        <v>165</v>
      </c>
      <c r="BB1666" s="15" t="s">
        <v>31823</v>
      </c>
      <c r="BC1666" s="15" t="s">
        <v>31824</v>
      </c>
      <c r="BD1666" s="21">
        <v>7</v>
      </c>
      <c r="BE1666" s="15" t="s">
        <v>138</v>
      </c>
      <c r="BF1666" s="15" t="s">
        <v>138</v>
      </c>
      <c r="BG1666" s="15" t="s">
        <v>138</v>
      </c>
      <c r="BH1666" s="15" t="s">
        <v>31825</v>
      </c>
      <c r="BI1666" s="15" t="s">
        <v>138</v>
      </c>
      <c r="BJ1666" s="15" t="s">
        <v>138</v>
      </c>
      <c r="BK1666" s="15" t="s">
        <v>290</v>
      </c>
      <c r="BL1666" s="15" t="s">
        <v>290</v>
      </c>
      <c r="BM1666" s="22">
        <v>42872</v>
      </c>
      <c r="BN1666" s="17">
        <v>1.75</v>
      </c>
      <c r="BO1666" s="15" t="s">
        <v>172</v>
      </c>
      <c r="BP1666" s="17" t="s">
        <v>138</v>
      </c>
      <c r="BQ1666" s="15" t="s">
        <v>138</v>
      </c>
      <c r="BR1666" s="15" t="s">
        <v>234</v>
      </c>
      <c r="BS1666" s="15" t="s">
        <v>234</v>
      </c>
      <c r="BT1666" s="15" t="s">
        <v>138</v>
      </c>
      <c r="BU1666" s="15" t="s">
        <v>263</v>
      </c>
      <c r="BV1666" s="15" t="s">
        <v>138</v>
      </c>
      <c r="BW1666" s="15" t="s">
        <v>138</v>
      </c>
      <c r="BX1666" s="15" t="s">
        <v>138</v>
      </c>
      <c r="BY1666" s="15" t="s">
        <v>175</v>
      </c>
      <c r="BZ1666" s="22">
        <v>43537</v>
      </c>
      <c r="CA1666" s="17">
        <v>12.44</v>
      </c>
      <c r="CB1666" s="15" t="s">
        <v>172</v>
      </c>
      <c r="CC1666" s="17" t="s">
        <v>138</v>
      </c>
      <c r="CD1666" s="15" t="s">
        <v>138</v>
      </c>
      <c r="CE1666" s="15" t="s">
        <v>205</v>
      </c>
      <c r="CF1666" s="15" t="s">
        <v>206</v>
      </c>
      <c r="CG1666" s="15" t="s">
        <v>138</v>
      </c>
      <c r="CH1666" s="15" t="s">
        <v>174</v>
      </c>
      <c r="CI1666" s="15" t="s">
        <v>138</v>
      </c>
      <c r="CJ1666" s="15" t="s">
        <v>138</v>
      </c>
      <c r="CK1666" s="15" t="s">
        <v>138</v>
      </c>
      <c r="CL1666" s="15" t="s">
        <v>175</v>
      </c>
      <c r="CM1666" s="22" t="s">
        <v>138</v>
      </c>
      <c r="CN1666" s="17" t="s">
        <v>138</v>
      </c>
      <c r="CO1666" s="23" t="s">
        <v>138</v>
      </c>
      <c r="CP1666" s="24" t="s">
        <v>138</v>
      </c>
      <c r="CQ1666" s="23" t="s">
        <v>138</v>
      </c>
      <c r="CR1666" s="23" t="s">
        <v>138</v>
      </c>
      <c r="CS1666" s="23" t="s">
        <v>138</v>
      </c>
      <c r="CT1666" s="24" t="s">
        <v>138</v>
      </c>
      <c r="CU1666" s="23" t="s">
        <v>138</v>
      </c>
      <c r="CV1666" s="24" t="s">
        <v>138</v>
      </c>
      <c r="CW1666" s="23" t="s">
        <v>138</v>
      </c>
      <c r="CX1666" s="24" t="s">
        <v>138</v>
      </c>
      <c r="CY1666" s="23" t="s">
        <v>138</v>
      </c>
      <c r="CZ1666" s="24" t="s">
        <v>138</v>
      </c>
      <c r="DA1666" s="23" t="s">
        <v>138</v>
      </c>
      <c r="DB1666" s="24" t="s">
        <v>138</v>
      </c>
      <c r="DC1666" s="25" t="s">
        <v>138</v>
      </c>
      <c r="DD1666" s="24" t="s">
        <v>138</v>
      </c>
      <c r="DE1666" s="25" t="s">
        <v>138</v>
      </c>
      <c r="DF1666" s="23" t="s">
        <v>138</v>
      </c>
      <c r="DG1666" s="25" t="s">
        <v>138</v>
      </c>
      <c r="DH1666" s="24" t="s">
        <v>138</v>
      </c>
      <c r="DI1666" s="25" t="s">
        <v>138</v>
      </c>
      <c r="DJ1666" s="24" t="s">
        <v>138</v>
      </c>
      <c r="DK1666" s="25" t="s">
        <v>138</v>
      </c>
      <c r="DL1666" s="24" t="s">
        <v>138</v>
      </c>
      <c r="DM1666" s="25" t="s">
        <v>138</v>
      </c>
      <c r="DN1666" s="24" t="s">
        <v>138</v>
      </c>
      <c r="DO1666" s="25" t="s">
        <v>138</v>
      </c>
      <c r="DP1666" s="24" t="s">
        <v>138</v>
      </c>
      <c r="DQ1666" s="24" t="s">
        <v>138</v>
      </c>
      <c r="DR1666" s="26" t="s">
        <v>138</v>
      </c>
      <c r="DS1666" s="23" t="s">
        <v>138</v>
      </c>
      <c r="DT1666" s="24" t="s">
        <v>138</v>
      </c>
      <c r="DU1666" s="26" t="s">
        <v>138</v>
      </c>
      <c r="DV1666" s="23" t="s">
        <v>138</v>
      </c>
      <c r="DW1666" s="24" t="s">
        <v>138</v>
      </c>
      <c r="DX1666" s="27" t="s">
        <v>138</v>
      </c>
      <c r="DY1666" s="23" t="s">
        <v>138</v>
      </c>
      <c r="DZ1666" s="15" t="s">
        <v>178</v>
      </c>
      <c r="EA1666" s="22">
        <v>43595</v>
      </c>
      <c r="EB1666" s="17" t="s">
        <v>138</v>
      </c>
      <c r="EC1666" s="22" t="s">
        <v>138</v>
      </c>
      <c r="ED1666" s="15" t="s">
        <v>138</v>
      </c>
      <c r="EE1666" s="14" t="str">
        <f>HYPERLINK("https://my.pitchbook.com?c=181410-04", "View company online")</f>
        <v>View company online</v>
      </c>
    </row>
    <row r="1667" spans="1:135">
      <c r="A1667" s="28" t="s">
        <v>31826</v>
      </c>
      <c r="B1667" s="28" t="s">
        <v>31827</v>
      </c>
      <c r="C1667" s="28" t="s">
        <v>138</v>
      </c>
      <c r="D1667" s="28" t="s">
        <v>138</v>
      </c>
      <c r="E1667" s="28" t="s">
        <v>138</v>
      </c>
      <c r="F1667" s="28" t="s">
        <v>31826</v>
      </c>
      <c r="G1667" s="28" t="s">
        <v>31828</v>
      </c>
      <c r="H1667" s="28" t="s">
        <v>238</v>
      </c>
      <c r="I1667" s="28" t="s">
        <v>749</v>
      </c>
      <c r="J1667" s="28" t="s">
        <v>4261</v>
      </c>
      <c r="K1667" s="28" t="s">
        <v>31829</v>
      </c>
      <c r="L1667" s="28" t="s">
        <v>31830</v>
      </c>
      <c r="M1667" s="28" t="s">
        <v>31831</v>
      </c>
      <c r="N1667" s="28" t="s">
        <v>147</v>
      </c>
      <c r="O1667" s="29" t="s">
        <v>138</v>
      </c>
      <c r="P1667" s="28" t="s">
        <v>148</v>
      </c>
      <c r="Q1667" s="28" t="s">
        <v>149</v>
      </c>
      <c r="R1667" s="28" t="s">
        <v>174</v>
      </c>
      <c r="S1667" s="28" t="s">
        <v>31832</v>
      </c>
      <c r="T1667" s="30">
        <v>45</v>
      </c>
      <c r="U1667" s="28" t="s">
        <v>31833</v>
      </c>
      <c r="V1667" s="28" t="s">
        <v>138</v>
      </c>
      <c r="W1667" s="28" t="s">
        <v>138</v>
      </c>
      <c r="X1667" s="31">
        <v>2011</v>
      </c>
      <c r="Y1667" s="28" t="s">
        <v>138</v>
      </c>
      <c r="Z1667" s="28" t="s">
        <v>138</v>
      </c>
      <c r="AA1667" s="28" t="s">
        <v>138</v>
      </c>
      <c r="AB1667" s="32" t="s">
        <v>138</v>
      </c>
      <c r="AC1667" s="32" t="s">
        <v>138</v>
      </c>
      <c r="AD1667" s="32" t="s">
        <v>138</v>
      </c>
      <c r="AE1667" s="32" t="s">
        <v>138</v>
      </c>
      <c r="AF1667" s="32" t="s">
        <v>138</v>
      </c>
      <c r="AG1667" s="28" t="s">
        <v>138</v>
      </c>
      <c r="AH1667" s="32" t="s">
        <v>138</v>
      </c>
      <c r="AI1667" s="32" t="s">
        <v>138</v>
      </c>
      <c r="AJ1667" s="32" t="s">
        <v>138</v>
      </c>
      <c r="AK1667" s="28" t="s">
        <v>31834</v>
      </c>
      <c r="AL1667" s="28" t="s">
        <v>31835</v>
      </c>
      <c r="AM1667" s="28" t="s">
        <v>4269</v>
      </c>
      <c r="AN1667" s="28" t="s">
        <v>31836</v>
      </c>
      <c r="AO1667" s="28" t="s">
        <v>31837</v>
      </c>
      <c r="AP1667" s="28" t="s">
        <v>6608</v>
      </c>
      <c r="AQ1667" s="28" t="s">
        <v>31838</v>
      </c>
      <c r="AR1667" s="28" t="s">
        <v>31839</v>
      </c>
      <c r="AS1667" s="28" t="s">
        <v>6611</v>
      </c>
      <c r="AT1667" s="28" t="s">
        <v>138</v>
      </c>
      <c r="AU1667" s="28" t="s">
        <v>31840</v>
      </c>
      <c r="AV1667" s="28" t="s">
        <v>1614</v>
      </c>
      <c r="AW1667" s="28" t="s">
        <v>31837</v>
      </c>
      <c r="AX1667" s="28" t="s">
        <v>138</v>
      </c>
      <c r="AY1667" s="28" t="s">
        <v>31841</v>
      </c>
      <c r="AZ1667" s="28" t="s">
        <v>530</v>
      </c>
      <c r="BA1667" s="28" t="s">
        <v>1616</v>
      </c>
      <c r="BB1667" s="28" t="s">
        <v>31842</v>
      </c>
      <c r="BC1667" s="28" t="s">
        <v>2783</v>
      </c>
      <c r="BD1667" s="33">
        <v>1</v>
      </c>
      <c r="BE1667" s="28" t="s">
        <v>138</v>
      </c>
      <c r="BF1667" s="28" t="s">
        <v>138</v>
      </c>
      <c r="BG1667" s="28" t="s">
        <v>138</v>
      </c>
      <c r="BH1667" s="28" t="s">
        <v>2784</v>
      </c>
      <c r="BI1667" s="28" t="s">
        <v>138</v>
      </c>
      <c r="BJ1667" s="28" t="s">
        <v>138</v>
      </c>
      <c r="BK1667" s="28" t="s">
        <v>138</v>
      </c>
      <c r="BL1667" s="28" t="s">
        <v>138</v>
      </c>
      <c r="BM1667" s="34">
        <v>42736</v>
      </c>
      <c r="BN1667" s="29" t="s">
        <v>138</v>
      </c>
      <c r="BO1667" s="28" t="s">
        <v>138</v>
      </c>
      <c r="BP1667" s="29" t="s">
        <v>138</v>
      </c>
      <c r="BQ1667" s="28" t="s">
        <v>138</v>
      </c>
      <c r="BR1667" s="28" t="s">
        <v>349</v>
      </c>
      <c r="BS1667" s="28" t="s">
        <v>138</v>
      </c>
      <c r="BT1667" s="28" t="s">
        <v>138</v>
      </c>
      <c r="BU1667" s="28" t="s">
        <v>174</v>
      </c>
      <c r="BV1667" s="28" t="s">
        <v>138</v>
      </c>
      <c r="BW1667" s="28" t="s">
        <v>138</v>
      </c>
      <c r="BX1667" s="28" t="s">
        <v>138</v>
      </c>
      <c r="BY1667" s="28" t="s">
        <v>175</v>
      </c>
      <c r="BZ1667" s="34">
        <v>42736</v>
      </c>
      <c r="CA1667" s="29" t="s">
        <v>138</v>
      </c>
      <c r="CB1667" s="28" t="s">
        <v>138</v>
      </c>
      <c r="CC1667" s="29" t="s">
        <v>138</v>
      </c>
      <c r="CD1667" s="28" t="s">
        <v>138</v>
      </c>
      <c r="CE1667" s="28" t="s">
        <v>349</v>
      </c>
      <c r="CF1667" s="28" t="s">
        <v>138</v>
      </c>
      <c r="CG1667" s="28" t="s">
        <v>138</v>
      </c>
      <c r="CH1667" s="28" t="s">
        <v>174</v>
      </c>
      <c r="CI1667" s="28" t="s">
        <v>138</v>
      </c>
      <c r="CJ1667" s="28" t="s">
        <v>138</v>
      </c>
      <c r="CK1667" s="28" t="s">
        <v>138</v>
      </c>
      <c r="CL1667" s="28" t="s">
        <v>175</v>
      </c>
      <c r="CM1667" s="34" t="s">
        <v>138</v>
      </c>
      <c r="CN1667" s="29" t="s">
        <v>138</v>
      </c>
      <c r="CO1667" s="35">
        <v>0.2</v>
      </c>
      <c r="CP1667" s="36">
        <v>92</v>
      </c>
      <c r="CQ1667" s="35">
        <v>0</v>
      </c>
      <c r="CR1667" s="35">
        <v>-0.45</v>
      </c>
      <c r="CS1667" s="35">
        <v>0.26</v>
      </c>
      <c r="CT1667" s="36">
        <v>95</v>
      </c>
      <c r="CU1667" s="35">
        <v>0.15</v>
      </c>
      <c r="CV1667" s="36">
        <v>75</v>
      </c>
      <c r="CW1667" s="35" t="s">
        <v>138</v>
      </c>
      <c r="CX1667" s="36" t="s">
        <v>138</v>
      </c>
      <c r="CY1667" s="35">
        <v>0.26</v>
      </c>
      <c r="CZ1667" s="36">
        <v>98</v>
      </c>
      <c r="DA1667" s="35">
        <v>0.15</v>
      </c>
      <c r="DB1667" s="36">
        <v>78</v>
      </c>
      <c r="DC1667" s="37">
        <v>17.68</v>
      </c>
      <c r="DD1667" s="36">
        <v>94</v>
      </c>
      <c r="DE1667" s="37">
        <v>0.1</v>
      </c>
      <c r="DF1667" s="35">
        <v>0.59</v>
      </c>
      <c r="DG1667" s="37">
        <v>16.93</v>
      </c>
      <c r="DH1667" s="36">
        <v>94</v>
      </c>
      <c r="DI1667" s="37">
        <v>18.43</v>
      </c>
      <c r="DJ1667" s="36">
        <v>90</v>
      </c>
      <c r="DK1667" s="37" t="s">
        <v>138</v>
      </c>
      <c r="DL1667" s="36" t="s">
        <v>138</v>
      </c>
      <c r="DM1667" s="37">
        <v>16.93</v>
      </c>
      <c r="DN1667" s="36">
        <v>93</v>
      </c>
      <c r="DO1667" s="37">
        <v>18.43</v>
      </c>
      <c r="DP1667" s="36">
        <v>92</v>
      </c>
      <c r="DQ1667" s="36" t="s">
        <v>138</v>
      </c>
      <c r="DR1667" s="38" t="s">
        <v>138</v>
      </c>
      <c r="DS1667" s="35" t="s">
        <v>138</v>
      </c>
      <c r="DT1667" s="36">
        <v>490</v>
      </c>
      <c r="DU1667" s="38">
        <v>3</v>
      </c>
      <c r="DV1667" s="35">
        <v>0.62</v>
      </c>
      <c r="DW1667" s="36">
        <v>6593</v>
      </c>
      <c r="DX1667" s="39">
        <v>11</v>
      </c>
      <c r="DY1667" s="35">
        <v>0.17</v>
      </c>
      <c r="DZ1667" s="28" t="s">
        <v>178</v>
      </c>
      <c r="EA1667" s="34">
        <v>43488</v>
      </c>
      <c r="EB1667" s="29" t="s">
        <v>138</v>
      </c>
      <c r="EC1667" s="34" t="s">
        <v>138</v>
      </c>
      <c r="ED1667" s="28" t="s">
        <v>138</v>
      </c>
      <c r="EE1667" s="40" t="str">
        <f>HYPERLINK("https://my.pitchbook.com?c=169800-13", "View company online")</f>
        <v>View company online</v>
      </c>
    </row>
    <row r="1668" spans="1:135">
      <c r="A1668" s="15" t="s">
        <v>31843</v>
      </c>
      <c r="B1668" s="15" t="s">
        <v>31844</v>
      </c>
      <c r="C1668" s="15" t="s">
        <v>31845</v>
      </c>
      <c r="D1668" s="15" t="s">
        <v>138</v>
      </c>
      <c r="E1668" s="15" t="s">
        <v>138</v>
      </c>
      <c r="F1668" s="15" t="s">
        <v>31843</v>
      </c>
      <c r="G1668" s="15" t="s">
        <v>31846</v>
      </c>
      <c r="H1668" s="15" t="s">
        <v>141</v>
      </c>
      <c r="I1668" s="15" t="s">
        <v>142</v>
      </c>
      <c r="J1668" s="15" t="s">
        <v>1924</v>
      </c>
      <c r="K1668" s="15" t="s">
        <v>31847</v>
      </c>
      <c r="L1668" s="15" t="s">
        <v>272</v>
      </c>
      <c r="M1668" s="15" t="s">
        <v>31848</v>
      </c>
      <c r="N1668" s="15" t="s">
        <v>147</v>
      </c>
      <c r="O1668" s="17" t="s">
        <v>138</v>
      </c>
      <c r="P1668" s="15" t="s">
        <v>610</v>
      </c>
      <c r="Q1668" s="15" t="s">
        <v>149</v>
      </c>
      <c r="R1668" s="15" t="s">
        <v>174</v>
      </c>
      <c r="S1668" s="15" t="s">
        <v>31849</v>
      </c>
      <c r="T1668" s="18">
        <v>51</v>
      </c>
      <c r="U1668" s="15" t="s">
        <v>12556</v>
      </c>
      <c r="V1668" s="15" t="s">
        <v>138</v>
      </c>
      <c r="W1668" s="15" t="s">
        <v>138</v>
      </c>
      <c r="X1668" s="19">
        <v>1999</v>
      </c>
      <c r="Y1668" s="15" t="s">
        <v>138</v>
      </c>
      <c r="Z1668" s="15" t="s">
        <v>138</v>
      </c>
      <c r="AA1668" s="15" t="s">
        <v>138</v>
      </c>
      <c r="AB1668" s="20" t="s">
        <v>138</v>
      </c>
      <c r="AC1668" s="20" t="s">
        <v>138</v>
      </c>
      <c r="AD1668" s="20" t="s">
        <v>138</v>
      </c>
      <c r="AE1668" s="20" t="s">
        <v>138</v>
      </c>
      <c r="AF1668" s="20" t="s">
        <v>138</v>
      </c>
      <c r="AG1668" s="15" t="s">
        <v>138</v>
      </c>
      <c r="AH1668" s="20" t="s">
        <v>138</v>
      </c>
      <c r="AI1668" s="20" t="s">
        <v>138</v>
      </c>
      <c r="AJ1668" s="20" t="s">
        <v>138</v>
      </c>
      <c r="AK1668" s="15" t="s">
        <v>31850</v>
      </c>
      <c r="AL1668" s="15" t="s">
        <v>31851</v>
      </c>
      <c r="AM1668" s="15" t="s">
        <v>4114</v>
      </c>
      <c r="AN1668" s="15" t="s">
        <v>31852</v>
      </c>
      <c r="AO1668" s="15" t="s">
        <v>31853</v>
      </c>
      <c r="AP1668" s="15" t="s">
        <v>31854</v>
      </c>
      <c r="AQ1668" s="15" t="s">
        <v>31855</v>
      </c>
      <c r="AR1668" s="15" t="s">
        <v>138</v>
      </c>
      <c r="AS1668" s="15" t="s">
        <v>31856</v>
      </c>
      <c r="AT1668" s="15" t="s">
        <v>26310</v>
      </c>
      <c r="AU1668" s="15" t="s">
        <v>138</v>
      </c>
      <c r="AV1668" s="15" t="s">
        <v>2071</v>
      </c>
      <c r="AW1668" s="15" t="s">
        <v>31853</v>
      </c>
      <c r="AX1668" s="15" t="s">
        <v>31857</v>
      </c>
      <c r="AY1668" s="15" t="s">
        <v>138</v>
      </c>
      <c r="AZ1668" s="15" t="s">
        <v>452</v>
      </c>
      <c r="BA1668" s="15" t="s">
        <v>453</v>
      </c>
      <c r="BB1668" s="15" t="s">
        <v>31858</v>
      </c>
      <c r="BC1668" s="15" t="s">
        <v>2075</v>
      </c>
      <c r="BD1668" s="21">
        <v>1</v>
      </c>
      <c r="BE1668" s="15" t="s">
        <v>138</v>
      </c>
      <c r="BF1668" s="15" t="s">
        <v>138</v>
      </c>
      <c r="BG1668" s="15" t="s">
        <v>138</v>
      </c>
      <c r="BH1668" s="15" t="s">
        <v>2077</v>
      </c>
      <c r="BI1668" s="15" t="s">
        <v>138</v>
      </c>
      <c r="BJ1668" s="15" t="s">
        <v>138</v>
      </c>
      <c r="BK1668" s="15" t="s">
        <v>138</v>
      </c>
      <c r="BL1668" s="15" t="s">
        <v>138</v>
      </c>
      <c r="BM1668" s="22" t="s">
        <v>138</v>
      </c>
      <c r="BN1668" s="17" t="s">
        <v>138</v>
      </c>
      <c r="BO1668" s="15" t="s">
        <v>138</v>
      </c>
      <c r="BP1668" s="17" t="s">
        <v>138</v>
      </c>
      <c r="BQ1668" s="15" t="s">
        <v>138</v>
      </c>
      <c r="BR1668" s="15" t="s">
        <v>205</v>
      </c>
      <c r="BS1668" s="15" t="s">
        <v>138</v>
      </c>
      <c r="BT1668" s="15" t="s">
        <v>138</v>
      </c>
      <c r="BU1668" s="15" t="s">
        <v>174</v>
      </c>
      <c r="BV1668" s="15" t="s">
        <v>138</v>
      </c>
      <c r="BW1668" s="15" t="s">
        <v>138</v>
      </c>
      <c r="BX1668" s="15" t="s">
        <v>138</v>
      </c>
      <c r="BY1668" s="15" t="s">
        <v>175</v>
      </c>
      <c r="BZ1668" s="22" t="s">
        <v>138</v>
      </c>
      <c r="CA1668" s="17" t="s">
        <v>138</v>
      </c>
      <c r="CB1668" s="15" t="s">
        <v>138</v>
      </c>
      <c r="CC1668" s="17" t="s">
        <v>138</v>
      </c>
      <c r="CD1668" s="15" t="s">
        <v>138</v>
      </c>
      <c r="CE1668" s="15" t="s">
        <v>205</v>
      </c>
      <c r="CF1668" s="15" t="s">
        <v>138</v>
      </c>
      <c r="CG1668" s="15" t="s">
        <v>138</v>
      </c>
      <c r="CH1668" s="15" t="s">
        <v>174</v>
      </c>
      <c r="CI1668" s="15" t="s">
        <v>138</v>
      </c>
      <c r="CJ1668" s="15" t="s">
        <v>138</v>
      </c>
      <c r="CK1668" s="15" t="s">
        <v>138</v>
      </c>
      <c r="CL1668" s="15" t="s">
        <v>175</v>
      </c>
      <c r="CM1668" s="22" t="s">
        <v>138</v>
      </c>
      <c r="CN1668" s="17" t="s">
        <v>138</v>
      </c>
      <c r="CO1668" s="23">
        <v>0</v>
      </c>
      <c r="CP1668" s="24">
        <v>26</v>
      </c>
      <c r="CQ1668" s="23">
        <v>0</v>
      </c>
      <c r="CR1668" s="23">
        <v>0</v>
      </c>
      <c r="CS1668" s="23">
        <v>0</v>
      </c>
      <c r="CT1668" s="24">
        <v>23</v>
      </c>
      <c r="CU1668" s="23" t="s">
        <v>138</v>
      </c>
      <c r="CV1668" s="24" t="s">
        <v>138</v>
      </c>
      <c r="CW1668" s="23" t="s">
        <v>138</v>
      </c>
      <c r="CX1668" s="24" t="s">
        <v>138</v>
      </c>
      <c r="CY1668" s="23">
        <v>0</v>
      </c>
      <c r="CZ1668" s="24">
        <v>25</v>
      </c>
      <c r="DA1668" s="23" t="s">
        <v>138</v>
      </c>
      <c r="DB1668" s="24" t="s">
        <v>138</v>
      </c>
      <c r="DC1668" s="25">
        <v>0.66</v>
      </c>
      <c r="DD1668" s="24">
        <v>40</v>
      </c>
      <c r="DE1668" s="25">
        <v>0</v>
      </c>
      <c r="DF1668" s="23">
        <v>0</v>
      </c>
      <c r="DG1668" s="25">
        <v>0.66</v>
      </c>
      <c r="DH1668" s="24">
        <v>41</v>
      </c>
      <c r="DI1668" s="25" t="s">
        <v>138</v>
      </c>
      <c r="DJ1668" s="24" t="s">
        <v>138</v>
      </c>
      <c r="DK1668" s="25" t="s">
        <v>138</v>
      </c>
      <c r="DL1668" s="24" t="s">
        <v>138</v>
      </c>
      <c r="DM1668" s="25">
        <v>0.66</v>
      </c>
      <c r="DN1668" s="24">
        <v>40</v>
      </c>
      <c r="DO1668" s="25" t="s">
        <v>138</v>
      </c>
      <c r="DP1668" s="24" t="s">
        <v>138</v>
      </c>
      <c r="DQ1668" s="24" t="s">
        <v>138</v>
      </c>
      <c r="DR1668" s="26" t="s">
        <v>138</v>
      </c>
      <c r="DS1668" s="23" t="s">
        <v>138</v>
      </c>
      <c r="DT1668" s="24">
        <v>19</v>
      </c>
      <c r="DU1668" s="26">
        <v>0</v>
      </c>
      <c r="DV1668" s="23">
        <v>0</v>
      </c>
      <c r="DW1668" s="24" t="s">
        <v>138</v>
      </c>
      <c r="DX1668" s="27" t="s">
        <v>138</v>
      </c>
      <c r="DY1668" s="23" t="s">
        <v>138</v>
      </c>
      <c r="DZ1668" s="15" t="s">
        <v>178</v>
      </c>
      <c r="EA1668" s="22">
        <v>43351</v>
      </c>
      <c r="EB1668" s="17" t="s">
        <v>138</v>
      </c>
      <c r="EC1668" s="22" t="s">
        <v>138</v>
      </c>
      <c r="ED1668" s="15" t="s">
        <v>138</v>
      </c>
      <c r="EE1668" s="14" t="str">
        <f>HYPERLINK("https://my.pitchbook.com?c=54822-16", "View company online")</f>
        <v>View company online</v>
      </c>
    </row>
    <row r="1669" spans="1:135">
      <c r="A1669" s="28" t="s">
        <v>31859</v>
      </c>
      <c r="B1669" s="28" t="s">
        <v>31860</v>
      </c>
      <c r="C1669" s="28" t="s">
        <v>138</v>
      </c>
      <c r="D1669" s="28" t="s">
        <v>138</v>
      </c>
      <c r="E1669" s="28" t="s">
        <v>31861</v>
      </c>
      <c r="F1669" s="28" t="s">
        <v>31859</v>
      </c>
      <c r="G1669" s="28" t="s">
        <v>31862</v>
      </c>
      <c r="H1669" s="28" t="s">
        <v>322</v>
      </c>
      <c r="I1669" s="28" t="s">
        <v>323</v>
      </c>
      <c r="J1669" s="28" t="s">
        <v>461</v>
      </c>
      <c r="K1669" s="28" t="s">
        <v>3942</v>
      </c>
      <c r="L1669" s="28" t="s">
        <v>2210</v>
      </c>
      <c r="M1669" s="28" t="s">
        <v>31863</v>
      </c>
      <c r="N1669" s="28" t="s">
        <v>1452</v>
      </c>
      <c r="O1669" s="29">
        <v>93.92</v>
      </c>
      <c r="P1669" s="28" t="s">
        <v>812</v>
      </c>
      <c r="Q1669" s="28" t="s">
        <v>149</v>
      </c>
      <c r="R1669" s="28" t="s">
        <v>328</v>
      </c>
      <c r="S1669" s="28" t="s">
        <v>31864</v>
      </c>
      <c r="T1669" s="30">
        <v>360</v>
      </c>
      <c r="U1669" s="28" t="s">
        <v>31865</v>
      </c>
      <c r="V1669" s="28" t="s">
        <v>138</v>
      </c>
      <c r="W1669" s="28" t="s">
        <v>138</v>
      </c>
      <c r="X1669" s="31">
        <v>2004</v>
      </c>
      <c r="Y1669" s="28" t="s">
        <v>138</v>
      </c>
      <c r="Z1669" s="28" t="s">
        <v>138</v>
      </c>
      <c r="AA1669" s="28" t="s">
        <v>138</v>
      </c>
      <c r="AB1669" s="32">
        <v>100</v>
      </c>
      <c r="AC1669" s="32" t="s">
        <v>138</v>
      </c>
      <c r="AD1669" s="32" t="s">
        <v>138</v>
      </c>
      <c r="AE1669" s="32" t="s">
        <v>138</v>
      </c>
      <c r="AF1669" s="32" t="s">
        <v>138</v>
      </c>
      <c r="AG1669" s="28" t="s">
        <v>419</v>
      </c>
      <c r="AH1669" s="32" t="s">
        <v>138</v>
      </c>
      <c r="AI1669" s="32" t="s">
        <v>138</v>
      </c>
      <c r="AJ1669" s="32" t="s">
        <v>138</v>
      </c>
      <c r="AK1669" s="28" t="s">
        <v>31866</v>
      </c>
      <c r="AL1669" s="28" t="s">
        <v>31867</v>
      </c>
      <c r="AM1669" s="28" t="s">
        <v>249</v>
      </c>
      <c r="AN1669" s="28" t="s">
        <v>31868</v>
      </c>
      <c r="AO1669" s="28" t="s">
        <v>31869</v>
      </c>
      <c r="AP1669" s="28" t="s">
        <v>3839</v>
      </c>
      <c r="AQ1669" s="28" t="s">
        <v>31870</v>
      </c>
      <c r="AR1669" s="28" t="s">
        <v>138</v>
      </c>
      <c r="AS1669" s="28" t="s">
        <v>3841</v>
      </c>
      <c r="AT1669" s="28" t="s">
        <v>200</v>
      </c>
      <c r="AU1669" s="28" t="s">
        <v>3842</v>
      </c>
      <c r="AV1669" s="28" t="s">
        <v>162</v>
      </c>
      <c r="AW1669" s="28" t="s">
        <v>31869</v>
      </c>
      <c r="AX1669" s="28" t="s">
        <v>138</v>
      </c>
      <c r="AY1669" s="28" t="s">
        <v>31871</v>
      </c>
      <c r="AZ1669" s="28" t="s">
        <v>164</v>
      </c>
      <c r="BA1669" s="28" t="s">
        <v>165</v>
      </c>
      <c r="BB1669" s="28" t="s">
        <v>31872</v>
      </c>
      <c r="BC1669" s="28" t="s">
        <v>3779</v>
      </c>
      <c r="BD1669" s="33">
        <v>1</v>
      </c>
      <c r="BE1669" s="28" t="s">
        <v>138</v>
      </c>
      <c r="BF1669" s="28" t="s">
        <v>31873</v>
      </c>
      <c r="BG1669" s="28" t="s">
        <v>138</v>
      </c>
      <c r="BH1669" s="28" t="s">
        <v>3781</v>
      </c>
      <c r="BI1669" s="28" t="s">
        <v>31874</v>
      </c>
      <c r="BJ1669" s="28" t="s">
        <v>138</v>
      </c>
      <c r="BK1669" s="28" t="s">
        <v>31875</v>
      </c>
      <c r="BL1669" s="28" t="s">
        <v>31876</v>
      </c>
      <c r="BM1669" s="34">
        <v>38169</v>
      </c>
      <c r="BN1669" s="29">
        <v>6.92</v>
      </c>
      <c r="BO1669" s="28" t="s">
        <v>172</v>
      </c>
      <c r="BP1669" s="29">
        <v>15.96</v>
      </c>
      <c r="BQ1669" s="28" t="s">
        <v>172</v>
      </c>
      <c r="BR1669" s="28" t="s">
        <v>205</v>
      </c>
      <c r="BS1669" s="28" t="s">
        <v>206</v>
      </c>
      <c r="BT1669" s="28" t="s">
        <v>138</v>
      </c>
      <c r="BU1669" s="28" t="s">
        <v>174</v>
      </c>
      <c r="BV1669" s="28" t="s">
        <v>138</v>
      </c>
      <c r="BW1669" s="28" t="s">
        <v>138</v>
      </c>
      <c r="BX1669" s="28" t="s">
        <v>138</v>
      </c>
      <c r="BY1669" s="28" t="s">
        <v>175</v>
      </c>
      <c r="BZ1669" s="34">
        <v>43327</v>
      </c>
      <c r="CA1669" s="29" t="s">
        <v>138</v>
      </c>
      <c r="CB1669" s="28" t="s">
        <v>138</v>
      </c>
      <c r="CC1669" s="29" t="s">
        <v>138</v>
      </c>
      <c r="CD1669" s="28" t="s">
        <v>138</v>
      </c>
      <c r="CE1669" s="28" t="s">
        <v>349</v>
      </c>
      <c r="CF1669" s="28" t="s">
        <v>138</v>
      </c>
      <c r="CG1669" s="28" t="s">
        <v>138</v>
      </c>
      <c r="CH1669" s="28" t="s">
        <v>351</v>
      </c>
      <c r="CI1669" s="28" t="s">
        <v>1498</v>
      </c>
      <c r="CJ1669" s="28" t="s">
        <v>5777</v>
      </c>
      <c r="CK1669" s="28" t="s">
        <v>138</v>
      </c>
      <c r="CL1669" s="28" t="s">
        <v>175</v>
      </c>
      <c r="CM1669" s="34">
        <v>43327</v>
      </c>
      <c r="CN1669" s="29">
        <v>10</v>
      </c>
      <c r="CO1669" s="35">
        <v>-0.21</v>
      </c>
      <c r="CP1669" s="36">
        <v>19</v>
      </c>
      <c r="CQ1669" s="35">
        <v>0</v>
      </c>
      <c r="CR1669" s="35">
        <v>0.41</v>
      </c>
      <c r="CS1669" s="35">
        <v>-0.7</v>
      </c>
      <c r="CT1669" s="36">
        <v>18</v>
      </c>
      <c r="CU1669" s="35">
        <v>0</v>
      </c>
      <c r="CV1669" s="36">
        <v>22</v>
      </c>
      <c r="CW1669" s="35">
        <v>0.75</v>
      </c>
      <c r="CX1669" s="36">
        <v>84</v>
      </c>
      <c r="CY1669" s="35">
        <v>-2.16</v>
      </c>
      <c r="CZ1669" s="36">
        <v>10</v>
      </c>
      <c r="DA1669" s="35">
        <v>0.02</v>
      </c>
      <c r="DB1669" s="36">
        <v>58</v>
      </c>
      <c r="DC1669" s="37">
        <v>34.19</v>
      </c>
      <c r="DD1669" s="36">
        <v>97</v>
      </c>
      <c r="DE1669" s="37">
        <v>-0.83</v>
      </c>
      <c r="DF1669" s="35">
        <v>-2.38</v>
      </c>
      <c r="DG1669" s="37">
        <v>74.97</v>
      </c>
      <c r="DH1669" s="36">
        <v>99</v>
      </c>
      <c r="DI1669" s="37">
        <v>26.94</v>
      </c>
      <c r="DJ1669" s="36">
        <v>92</v>
      </c>
      <c r="DK1669" s="37">
        <v>43.97</v>
      </c>
      <c r="DL1669" s="36">
        <v>95</v>
      </c>
      <c r="DM1669" s="37">
        <v>105.97</v>
      </c>
      <c r="DN1669" s="36">
        <v>99</v>
      </c>
      <c r="DO1669" s="37">
        <v>48.66</v>
      </c>
      <c r="DP1669" s="36">
        <v>96</v>
      </c>
      <c r="DQ1669" s="36">
        <v>14953</v>
      </c>
      <c r="DR1669" s="38">
        <v>383</v>
      </c>
      <c r="DS1669" s="35">
        <v>2.63</v>
      </c>
      <c r="DT1669" s="36">
        <v>3069</v>
      </c>
      <c r="DU1669" s="38">
        <v>0</v>
      </c>
      <c r="DV1669" s="35">
        <v>0</v>
      </c>
      <c r="DW1669" s="36">
        <v>17427</v>
      </c>
      <c r="DX1669" s="39">
        <v>0</v>
      </c>
      <c r="DY1669" s="35">
        <v>0</v>
      </c>
      <c r="DZ1669" s="28" t="s">
        <v>178</v>
      </c>
      <c r="EA1669" s="34">
        <v>43622</v>
      </c>
      <c r="EB1669" s="29">
        <v>246.04</v>
      </c>
      <c r="EC1669" s="34">
        <v>41779</v>
      </c>
      <c r="ED1669" s="28" t="s">
        <v>173</v>
      </c>
      <c r="EE1669" s="40" t="str">
        <f>HYPERLINK("https://my.pitchbook.com?c=52662-70", "View company online")</f>
        <v>View company online</v>
      </c>
    </row>
    <row r="1670" spans="1:135">
      <c r="A1670" s="15" t="s">
        <v>31877</v>
      </c>
      <c r="B1670" s="15" t="s">
        <v>31878</v>
      </c>
      <c r="C1670" s="15" t="s">
        <v>138</v>
      </c>
      <c r="D1670" s="15" t="s">
        <v>138</v>
      </c>
      <c r="E1670" s="15" t="s">
        <v>138</v>
      </c>
      <c r="F1670" s="15" t="s">
        <v>31877</v>
      </c>
      <c r="G1670" s="15" t="s">
        <v>31879</v>
      </c>
      <c r="H1670" s="15" t="s">
        <v>141</v>
      </c>
      <c r="I1670" s="15" t="s">
        <v>142</v>
      </c>
      <c r="J1670" s="15" t="s">
        <v>1924</v>
      </c>
      <c r="K1670" s="15" t="s">
        <v>31880</v>
      </c>
      <c r="L1670" s="15" t="s">
        <v>31881</v>
      </c>
      <c r="M1670" s="15" t="s">
        <v>31882</v>
      </c>
      <c r="N1670" s="15" t="s">
        <v>147</v>
      </c>
      <c r="O1670" s="17">
        <v>8.14</v>
      </c>
      <c r="P1670" s="15" t="s">
        <v>148</v>
      </c>
      <c r="Q1670" s="15" t="s">
        <v>149</v>
      </c>
      <c r="R1670" s="15" t="s">
        <v>150</v>
      </c>
      <c r="S1670" s="15" t="s">
        <v>31883</v>
      </c>
      <c r="T1670" s="18">
        <v>30</v>
      </c>
      <c r="U1670" s="15" t="s">
        <v>15289</v>
      </c>
      <c r="V1670" s="15" t="s">
        <v>138</v>
      </c>
      <c r="W1670" s="15" t="s">
        <v>138</v>
      </c>
      <c r="X1670" s="19">
        <v>2010</v>
      </c>
      <c r="Y1670" s="15" t="s">
        <v>138</v>
      </c>
      <c r="Z1670" s="15" t="s">
        <v>138</v>
      </c>
      <c r="AA1670" s="15" t="s">
        <v>138</v>
      </c>
      <c r="AB1670" s="20" t="s">
        <v>138</v>
      </c>
      <c r="AC1670" s="20" t="s">
        <v>138</v>
      </c>
      <c r="AD1670" s="20" t="s">
        <v>138</v>
      </c>
      <c r="AE1670" s="20" t="s">
        <v>138</v>
      </c>
      <c r="AF1670" s="20" t="s">
        <v>138</v>
      </c>
      <c r="AG1670" s="15" t="s">
        <v>138</v>
      </c>
      <c r="AH1670" s="20" t="s">
        <v>138</v>
      </c>
      <c r="AI1670" s="20" t="s">
        <v>138</v>
      </c>
      <c r="AJ1670" s="20" t="s">
        <v>138</v>
      </c>
      <c r="AK1670" s="15" t="s">
        <v>31884</v>
      </c>
      <c r="AL1670" s="15" t="s">
        <v>31885</v>
      </c>
      <c r="AM1670" s="15" t="s">
        <v>31886</v>
      </c>
      <c r="AN1670" s="15" t="s">
        <v>31887</v>
      </c>
      <c r="AO1670" s="15" t="s">
        <v>31888</v>
      </c>
      <c r="AP1670" s="15" t="s">
        <v>14127</v>
      </c>
      <c r="AQ1670" s="15" t="s">
        <v>31889</v>
      </c>
      <c r="AR1670" s="15" t="s">
        <v>31890</v>
      </c>
      <c r="AS1670" s="15" t="s">
        <v>14129</v>
      </c>
      <c r="AT1670" s="15" t="s">
        <v>14130</v>
      </c>
      <c r="AU1670" s="15" t="s">
        <v>31891</v>
      </c>
      <c r="AV1670" s="15" t="s">
        <v>2742</v>
      </c>
      <c r="AW1670" s="15" t="s">
        <v>31888</v>
      </c>
      <c r="AX1670" s="15" t="s">
        <v>138</v>
      </c>
      <c r="AY1670" s="15" t="s">
        <v>31892</v>
      </c>
      <c r="AZ1670" s="15" t="s">
        <v>164</v>
      </c>
      <c r="BA1670" s="15" t="s">
        <v>165</v>
      </c>
      <c r="BB1670" s="15" t="s">
        <v>31893</v>
      </c>
      <c r="BC1670" s="15" t="s">
        <v>31894</v>
      </c>
      <c r="BD1670" s="21">
        <v>5</v>
      </c>
      <c r="BE1670" s="15" t="s">
        <v>138</v>
      </c>
      <c r="BF1670" s="15" t="s">
        <v>138</v>
      </c>
      <c r="BG1670" s="15" t="s">
        <v>138</v>
      </c>
      <c r="BH1670" s="15" t="s">
        <v>31895</v>
      </c>
      <c r="BI1670" s="15" t="s">
        <v>138</v>
      </c>
      <c r="BJ1670" s="15" t="s">
        <v>138</v>
      </c>
      <c r="BK1670" s="15" t="s">
        <v>138</v>
      </c>
      <c r="BL1670" s="15" t="s">
        <v>138</v>
      </c>
      <c r="BM1670" s="22">
        <v>40360</v>
      </c>
      <c r="BN1670" s="17" t="s">
        <v>138</v>
      </c>
      <c r="BO1670" s="15" t="s">
        <v>138</v>
      </c>
      <c r="BP1670" s="17" t="s">
        <v>138</v>
      </c>
      <c r="BQ1670" s="15" t="s">
        <v>138</v>
      </c>
      <c r="BR1670" s="15" t="s">
        <v>1465</v>
      </c>
      <c r="BS1670" s="15" t="s">
        <v>138</v>
      </c>
      <c r="BT1670" s="15" t="s">
        <v>138</v>
      </c>
      <c r="BU1670" s="15" t="s">
        <v>177</v>
      </c>
      <c r="BV1670" s="15" t="s">
        <v>138</v>
      </c>
      <c r="BW1670" s="15" t="s">
        <v>138</v>
      </c>
      <c r="BX1670" s="15" t="s">
        <v>138</v>
      </c>
      <c r="BY1670" s="15" t="s">
        <v>175</v>
      </c>
      <c r="BZ1670" s="22">
        <v>43221</v>
      </c>
      <c r="CA1670" s="17" t="s">
        <v>138</v>
      </c>
      <c r="CB1670" s="15" t="s">
        <v>138</v>
      </c>
      <c r="CC1670" s="17" t="s">
        <v>138</v>
      </c>
      <c r="CD1670" s="15" t="s">
        <v>138</v>
      </c>
      <c r="CE1670" s="15" t="s">
        <v>173</v>
      </c>
      <c r="CF1670" s="15" t="s">
        <v>1727</v>
      </c>
      <c r="CG1670" s="15" t="s">
        <v>138</v>
      </c>
      <c r="CH1670" s="15" t="s">
        <v>174</v>
      </c>
      <c r="CI1670" s="15" t="s">
        <v>138</v>
      </c>
      <c r="CJ1670" s="15" t="s">
        <v>138</v>
      </c>
      <c r="CK1670" s="15" t="s">
        <v>138</v>
      </c>
      <c r="CL1670" s="15" t="s">
        <v>175</v>
      </c>
      <c r="CM1670" s="22" t="s">
        <v>138</v>
      </c>
      <c r="CN1670" s="17" t="s">
        <v>138</v>
      </c>
      <c r="CO1670" s="23">
        <v>-0.18</v>
      </c>
      <c r="CP1670" s="24">
        <v>20</v>
      </c>
      <c r="CQ1670" s="23">
        <v>-0.55000000000000004</v>
      </c>
      <c r="CR1670" s="23">
        <v>-147.88999999999999</v>
      </c>
      <c r="CS1670" s="23">
        <v>-0.18</v>
      </c>
      <c r="CT1670" s="24">
        <v>22</v>
      </c>
      <c r="CU1670" s="23" t="s">
        <v>138</v>
      </c>
      <c r="CV1670" s="24" t="s">
        <v>138</v>
      </c>
      <c r="CW1670" s="23" t="s">
        <v>138</v>
      </c>
      <c r="CX1670" s="24" t="s">
        <v>138</v>
      </c>
      <c r="CY1670" s="23">
        <v>-0.18</v>
      </c>
      <c r="CZ1670" s="24">
        <v>24</v>
      </c>
      <c r="DA1670" s="23" t="s">
        <v>138</v>
      </c>
      <c r="DB1670" s="24" t="s">
        <v>138</v>
      </c>
      <c r="DC1670" s="25">
        <v>4.79</v>
      </c>
      <c r="DD1670" s="24">
        <v>82</v>
      </c>
      <c r="DE1670" s="25">
        <v>-0.03</v>
      </c>
      <c r="DF1670" s="23">
        <v>-0.71</v>
      </c>
      <c r="DG1670" s="25">
        <v>4.79</v>
      </c>
      <c r="DH1670" s="24">
        <v>82</v>
      </c>
      <c r="DI1670" s="25" t="s">
        <v>138</v>
      </c>
      <c r="DJ1670" s="24" t="s">
        <v>138</v>
      </c>
      <c r="DK1670" s="25" t="s">
        <v>138</v>
      </c>
      <c r="DL1670" s="24" t="s">
        <v>138</v>
      </c>
      <c r="DM1670" s="25">
        <v>4.79</v>
      </c>
      <c r="DN1670" s="24">
        <v>81</v>
      </c>
      <c r="DO1670" s="25" t="s">
        <v>138</v>
      </c>
      <c r="DP1670" s="24" t="s">
        <v>138</v>
      </c>
      <c r="DQ1670" s="24" t="s">
        <v>138</v>
      </c>
      <c r="DR1670" s="26" t="s">
        <v>138</v>
      </c>
      <c r="DS1670" s="23" t="s">
        <v>138</v>
      </c>
      <c r="DT1670" s="24">
        <v>139</v>
      </c>
      <c r="DU1670" s="26">
        <v>-1</v>
      </c>
      <c r="DV1670" s="23">
        <v>-0.71</v>
      </c>
      <c r="DW1670" s="24" t="s">
        <v>138</v>
      </c>
      <c r="DX1670" s="27" t="s">
        <v>138</v>
      </c>
      <c r="DY1670" s="23" t="s">
        <v>138</v>
      </c>
      <c r="DZ1670" s="15" t="s">
        <v>178</v>
      </c>
      <c r="EA1670" s="22">
        <v>43592</v>
      </c>
      <c r="EB1670" s="17" t="s">
        <v>138</v>
      </c>
      <c r="EC1670" s="22" t="s">
        <v>138</v>
      </c>
      <c r="ED1670" s="15" t="s">
        <v>138</v>
      </c>
      <c r="EE1670" s="14" t="str">
        <f>HYPERLINK("https://my.pitchbook.com?c=110580-76", "View company online")</f>
        <v>View company online</v>
      </c>
    </row>
    <row r="1671" spans="1:135">
      <c r="A1671" s="28" t="s">
        <v>31896</v>
      </c>
      <c r="B1671" s="28" t="s">
        <v>31897</v>
      </c>
      <c r="C1671" s="28" t="s">
        <v>138</v>
      </c>
      <c r="D1671" s="28" t="s">
        <v>31898</v>
      </c>
      <c r="E1671" s="28" t="s">
        <v>138</v>
      </c>
      <c r="F1671" s="28" t="s">
        <v>31896</v>
      </c>
      <c r="G1671" s="28" t="s">
        <v>31899</v>
      </c>
      <c r="H1671" s="28" t="s">
        <v>141</v>
      </c>
      <c r="I1671" s="28" t="s">
        <v>142</v>
      </c>
      <c r="J1671" s="28" t="s">
        <v>143</v>
      </c>
      <c r="K1671" s="28" t="s">
        <v>31900</v>
      </c>
      <c r="L1671" s="28" t="s">
        <v>7679</v>
      </c>
      <c r="M1671" s="28" t="s">
        <v>31901</v>
      </c>
      <c r="N1671" s="28" t="s">
        <v>147</v>
      </c>
      <c r="O1671" s="29" t="s">
        <v>138</v>
      </c>
      <c r="P1671" s="28" t="s">
        <v>148</v>
      </c>
      <c r="Q1671" s="28" t="s">
        <v>149</v>
      </c>
      <c r="R1671" s="28" t="s">
        <v>174</v>
      </c>
      <c r="S1671" s="28" t="s">
        <v>31902</v>
      </c>
      <c r="T1671" s="30" t="s">
        <v>138</v>
      </c>
      <c r="U1671" s="28" t="s">
        <v>138</v>
      </c>
      <c r="V1671" s="28" t="s">
        <v>138</v>
      </c>
      <c r="W1671" s="28" t="s">
        <v>138</v>
      </c>
      <c r="X1671" s="31" t="s">
        <v>138</v>
      </c>
      <c r="Y1671" s="28" t="s">
        <v>138</v>
      </c>
      <c r="Z1671" s="28" t="s">
        <v>138</v>
      </c>
      <c r="AA1671" s="28" t="s">
        <v>138</v>
      </c>
      <c r="AB1671" s="32" t="s">
        <v>138</v>
      </c>
      <c r="AC1671" s="32" t="s">
        <v>138</v>
      </c>
      <c r="AD1671" s="32" t="s">
        <v>138</v>
      </c>
      <c r="AE1671" s="32" t="s">
        <v>138</v>
      </c>
      <c r="AF1671" s="32" t="s">
        <v>138</v>
      </c>
      <c r="AG1671" s="28" t="s">
        <v>138</v>
      </c>
      <c r="AH1671" s="32" t="s">
        <v>138</v>
      </c>
      <c r="AI1671" s="32" t="s">
        <v>138</v>
      </c>
      <c r="AJ1671" s="32" t="s">
        <v>138</v>
      </c>
      <c r="AK1671" s="28" t="s">
        <v>138</v>
      </c>
      <c r="AL1671" s="28" t="s">
        <v>138</v>
      </c>
      <c r="AM1671" s="28" t="s">
        <v>138</v>
      </c>
      <c r="AN1671" s="28" t="s">
        <v>138</v>
      </c>
      <c r="AO1671" s="28" t="s">
        <v>138</v>
      </c>
      <c r="AP1671" s="28" t="s">
        <v>496</v>
      </c>
      <c r="AQ1671" s="28" t="s">
        <v>31903</v>
      </c>
      <c r="AR1671" s="28" t="s">
        <v>138</v>
      </c>
      <c r="AS1671" s="28" t="s">
        <v>499</v>
      </c>
      <c r="AT1671" s="28" t="s">
        <v>138</v>
      </c>
      <c r="AU1671" s="28" t="s">
        <v>138</v>
      </c>
      <c r="AV1671" s="28" t="s">
        <v>450</v>
      </c>
      <c r="AW1671" s="28" t="s">
        <v>138</v>
      </c>
      <c r="AX1671" s="28" t="s">
        <v>138</v>
      </c>
      <c r="AY1671" s="28" t="s">
        <v>138</v>
      </c>
      <c r="AZ1671" s="28" t="s">
        <v>452</v>
      </c>
      <c r="BA1671" s="28" t="s">
        <v>453</v>
      </c>
      <c r="BB1671" s="28" t="s">
        <v>31904</v>
      </c>
      <c r="BC1671" s="28" t="s">
        <v>455</v>
      </c>
      <c r="BD1671" s="33">
        <v>1</v>
      </c>
      <c r="BE1671" s="28" t="s">
        <v>138</v>
      </c>
      <c r="BF1671" s="28" t="s">
        <v>138</v>
      </c>
      <c r="BG1671" s="28" t="s">
        <v>138</v>
      </c>
      <c r="BH1671" s="28" t="s">
        <v>456</v>
      </c>
      <c r="BI1671" s="28" t="s">
        <v>138</v>
      </c>
      <c r="BJ1671" s="28" t="s">
        <v>138</v>
      </c>
      <c r="BK1671" s="28" t="s">
        <v>138</v>
      </c>
      <c r="BL1671" s="28" t="s">
        <v>138</v>
      </c>
      <c r="BM1671" s="34">
        <v>43282</v>
      </c>
      <c r="BN1671" s="29" t="s">
        <v>138</v>
      </c>
      <c r="BO1671" s="28" t="s">
        <v>138</v>
      </c>
      <c r="BP1671" s="29" t="s">
        <v>138</v>
      </c>
      <c r="BQ1671" s="28" t="s">
        <v>138</v>
      </c>
      <c r="BR1671" s="28" t="s">
        <v>205</v>
      </c>
      <c r="BS1671" s="28" t="s">
        <v>138</v>
      </c>
      <c r="BT1671" s="28" t="s">
        <v>138</v>
      </c>
      <c r="BU1671" s="28" t="s">
        <v>174</v>
      </c>
      <c r="BV1671" s="28" t="s">
        <v>138</v>
      </c>
      <c r="BW1671" s="28" t="s">
        <v>138</v>
      </c>
      <c r="BX1671" s="28" t="s">
        <v>138</v>
      </c>
      <c r="BY1671" s="28" t="s">
        <v>175</v>
      </c>
      <c r="BZ1671" s="34">
        <v>43282</v>
      </c>
      <c r="CA1671" s="29" t="s">
        <v>138</v>
      </c>
      <c r="CB1671" s="28" t="s">
        <v>138</v>
      </c>
      <c r="CC1671" s="29" t="s">
        <v>138</v>
      </c>
      <c r="CD1671" s="28" t="s">
        <v>138</v>
      </c>
      <c r="CE1671" s="28" t="s">
        <v>205</v>
      </c>
      <c r="CF1671" s="28" t="s">
        <v>138</v>
      </c>
      <c r="CG1671" s="28" t="s">
        <v>138</v>
      </c>
      <c r="CH1671" s="28" t="s">
        <v>174</v>
      </c>
      <c r="CI1671" s="28" t="s">
        <v>138</v>
      </c>
      <c r="CJ1671" s="28" t="s">
        <v>138</v>
      </c>
      <c r="CK1671" s="28" t="s">
        <v>138</v>
      </c>
      <c r="CL1671" s="28" t="s">
        <v>175</v>
      </c>
      <c r="CM1671" s="34" t="s">
        <v>138</v>
      </c>
      <c r="CN1671" s="29" t="s">
        <v>138</v>
      </c>
      <c r="CO1671" s="35">
        <v>0</v>
      </c>
      <c r="CP1671" s="36">
        <v>26</v>
      </c>
      <c r="CQ1671" s="35">
        <v>0</v>
      </c>
      <c r="CR1671" s="35">
        <v>0</v>
      </c>
      <c r="CS1671" s="35">
        <v>0</v>
      </c>
      <c r="CT1671" s="36">
        <v>23</v>
      </c>
      <c r="CU1671" s="35" t="s">
        <v>138</v>
      </c>
      <c r="CV1671" s="36" t="s">
        <v>138</v>
      </c>
      <c r="CW1671" s="35" t="s">
        <v>138</v>
      </c>
      <c r="CX1671" s="36" t="s">
        <v>138</v>
      </c>
      <c r="CY1671" s="35">
        <v>0</v>
      </c>
      <c r="CZ1671" s="36">
        <v>25</v>
      </c>
      <c r="DA1671" s="35" t="s">
        <v>138</v>
      </c>
      <c r="DB1671" s="36" t="s">
        <v>138</v>
      </c>
      <c r="DC1671" s="37">
        <v>0.83</v>
      </c>
      <c r="DD1671" s="36">
        <v>46</v>
      </c>
      <c r="DE1671" s="37">
        <v>-7.0000000000000007E-2</v>
      </c>
      <c r="DF1671" s="35">
        <v>-7.69</v>
      </c>
      <c r="DG1671" s="37">
        <v>0.83</v>
      </c>
      <c r="DH1671" s="36">
        <v>46</v>
      </c>
      <c r="DI1671" s="37" t="s">
        <v>138</v>
      </c>
      <c r="DJ1671" s="36" t="s">
        <v>138</v>
      </c>
      <c r="DK1671" s="37" t="s">
        <v>138</v>
      </c>
      <c r="DL1671" s="36" t="s">
        <v>138</v>
      </c>
      <c r="DM1671" s="37">
        <v>0.83</v>
      </c>
      <c r="DN1671" s="36">
        <v>46</v>
      </c>
      <c r="DO1671" s="37" t="s">
        <v>138</v>
      </c>
      <c r="DP1671" s="36" t="s">
        <v>138</v>
      </c>
      <c r="DQ1671" s="36" t="s">
        <v>138</v>
      </c>
      <c r="DR1671" s="38" t="s">
        <v>138</v>
      </c>
      <c r="DS1671" s="35" t="s">
        <v>138</v>
      </c>
      <c r="DT1671" s="36">
        <v>24</v>
      </c>
      <c r="DU1671" s="38">
        <v>-1</v>
      </c>
      <c r="DV1671" s="35">
        <v>-4</v>
      </c>
      <c r="DW1671" s="36" t="s">
        <v>138</v>
      </c>
      <c r="DX1671" s="39" t="s">
        <v>138</v>
      </c>
      <c r="DY1671" s="35" t="s">
        <v>138</v>
      </c>
      <c r="DZ1671" s="28" t="s">
        <v>178</v>
      </c>
      <c r="EA1671" s="34">
        <v>43351</v>
      </c>
      <c r="EB1671" s="29" t="s">
        <v>138</v>
      </c>
      <c r="EC1671" s="34" t="s">
        <v>138</v>
      </c>
      <c r="ED1671" s="28" t="s">
        <v>138</v>
      </c>
      <c r="EE1671" s="40" t="str">
        <f>HYPERLINK("https://my.pitchbook.com?c=231940-18", "View company online")</f>
        <v>View company online</v>
      </c>
    </row>
    <row r="1672" spans="1:135">
      <c r="A1672" s="15" t="s">
        <v>31905</v>
      </c>
      <c r="B1672" s="15" t="s">
        <v>31906</v>
      </c>
      <c r="C1672" s="15" t="s">
        <v>138</v>
      </c>
      <c r="D1672" s="15" t="s">
        <v>138</v>
      </c>
      <c r="E1672" s="15" t="s">
        <v>138</v>
      </c>
      <c r="F1672" s="15" t="s">
        <v>31905</v>
      </c>
      <c r="G1672" s="15" t="s">
        <v>31907</v>
      </c>
      <c r="H1672" s="15" t="s">
        <v>141</v>
      </c>
      <c r="I1672" s="15" t="s">
        <v>142</v>
      </c>
      <c r="J1672" s="15" t="s">
        <v>4042</v>
      </c>
      <c r="K1672" s="15" t="s">
        <v>31908</v>
      </c>
      <c r="L1672" s="15" t="s">
        <v>1104</v>
      </c>
      <c r="M1672" s="15" t="s">
        <v>31909</v>
      </c>
      <c r="N1672" s="15" t="s">
        <v>147</v>
      </c>
      <c r="O1672" s="17">
        <v>5.96</v>
      </c>
      <c r="P1672" s="15" t="s">
        <v>148</v>
      </c>
      <c r="Q1672" s="15" t="s">
        <v>149</v>
      </c>
      <c r="R1672" s="15" t="s">
        <v>174</v>
      </c>
      <c r="S1672" s="15" t="s">
        <v>31910</v>
      </c>
      <c r="T1672" s="18" t="s">
        <v>138</v>
      </c>
      <c r="U1672" s="15" t="s">
        <v>138</v>
      </c>
      <c r="V1672" s="15" t="s">
        <v>138</v>
      </c>
      <c r="W1672" s="15" t="s">
        <v>138</v>
      </c>
      <c r="X1672" s="19" t="s">
        <v>138</v>
      </c>
      <c r="Y1672" s="15" t="s">
        <v>138</v>
      </c>
      <c r="Z1672" s="15" t="s">
        <v>138</v>
      </c>
      <c r="AA1672" s="15" t="s">
        <v>138</v>
      </c>
      <c r="AB1672" s="20" t="s">
        <v>138</v>
      </c>
      <c r="AC1672" s="20" t="s">
        <v>138</v>
      </c>
      <c r="AD1672" s="20" t="s">
        <v>138</v>
      </c>
      <c r="AE1672" s="20" t="s">
        <v>138</v>
      </c>
      <c r="AF1672" s="20" t="s">
        <v>138</v>
      </c>
      <c r="AG1672" s="15" t="s">
        <v>138</v>
      </c>
      <c r="AH1672" s="20" t="s">
        <v>138</v>
      </c>
      <c r="AI1672" s="20" t="s">
        <v>138</v>
      </c>
      <c r="AJ1672" s="20" t="s">
        <v>138</v>
      </c>
      <c r="AK1672" s="15" t="s">
        <v>31911</v>
      </c>
      <c r="AL1672" s="15" t="s">
        <v>31912</v>
      </c>
      <c r="AM1672" s="15" t="s">
        <v>20089</v>
      </c>
      <c r="AN1672" s="15" t="s">
        <v>138</v>
      </c>
      <c r="AO1672" s="15" t="s">
        <v>138</v>
      </c>
      <c r="AP1672" s="15" t="s">
        <v>496</v>
      </c>
      <c r="AQ1672" s="15" t="s">
        <v>31913</v>
      </c>
      <c r="AR1672" s="15" t="s">
        <v>31914</v>
      </c>
      <c r="AS1672" s="15" t="s">
        <v>499</v>
      </c>
      <c r="AT1672" s="15" t="s">
        <v>31915</v>
      </c>
      <c r="AU1672" s="15" t="s">
        <v>138</v>
      </c>
      <c r="AV1672" s="15" t="s">
        <v>450</v>
      </c>
      <c r="AW1672" s="15" t="s">
        <v>138</v>
      </c>
      <c r="AX1672" s="15" t="s">
        <v>138</v>
      </c>
      <c r="AY1672" s="15" t="s">
        <v>138</v>
      </c>
      <c r="AZ1672" s="15" t="s">
        <v>452</v>
      </c>
      <c r="BA1672" s="15" t="s">
        <v>453</v>
      </c>
      <c r="BB1672" s="15" t="s">
        <v>31916</v>
      </c>
      <c r="BC1672" s="15" t="s">
        <v>31917</v>
      </c>
      <c r="BD1672" s="21">
        <v>3</v>
      </c>
      <c r="BE1672" s="15" t="s">
        <v>138</v>
      </c>
      <c r="BF1672" s="15" t="s">
        <v>138</v>
      </c>
      <c r="BG1672" s="15" t="s">
        <v>138</v>
      </c>
      <c r="BH1672" s="15" t="s">
        <v>31918</v>
      </c>
      <c r="BI1672" s="15" t="s">
        <v>138</v>
      </c>
      <c r="BJ1672" s="15" t="s">
        <v>138</v>
      </c>
      <c r="BK1672" s="15" t="s">
        <v>138</v>
      </c>
      <c r="BL1672" s="15" t="s">
        <v>138</v>
      </c>
      <c r="BM1672" s="22">
        <v>43124</v>
      </c>
      <c r="BN1672" s="17" t="s">
        <v>138</v>
      </c>
      <c r="BO1672" s="15" t="s">
        <v>138</v>
      </c>
      <c r="BP1672" s="17" t="s">
        <v>138</v>
      </c>
      <c r="BQ1672" s="15" t="s">
        <v>138</v>
      </c>
      <c r="BR1672" s="15" t="s">
        <v>316</v>
      </c>
      <c r="BS1672" s="15" t="s">
        <v>138</v>
      </c>
      <c r="BT1672" s="15" t="s">
        <v>138</v>
      </c>
      <c r="BU1672" s="15" t="s">
        <v>177</v>
      </c>
      <c r="BV1672" s="15" t="s">
        <v>138</v>
      </c>
      <c r="BW1672" s="15" t="s">
        <v>138</v>
      </c>
      <c r="BX1672" s="15" t="s">
        <v>138</v>
      </c>
      <c r="BY1672" s="15" t="s">
        <v>175</v>
      </c>
      <c r="BZ1672" s="22">
        <v>43305</v>
      </c>
      <c r="CA1672" s="17">
        <v>5.96</v>
      </c>
      <c r="CB1672" s="15" t="s">
        <v>172</v>
      </c>
      <c r="CC1672" s="17" t="s">
        <v>138</v>
      </c>
      <c r="CD1672" s="15" t="s">
        <v>138</v>
      </c>
      <c r="CE1672" s="15" t="s">
        <v>234</v>
      </c>
      <c r="CF1672" s="15" t="s">
        <v>234</v>
      </c>
      <c r="CG1672" s="15" t="s">
        <v>138</v>
      </c>
      <c r="CH1672" s="15" t="s">
        <v>174</v>
      </c>
      <c r="CI1672" s="15" t="s">
        <v>138</v>
      </c>
      <c r="CJ1672" s="15" t="s">
        <v>138</v>
      </c>
      <c r="CK1672" s="15" t="s">
        <v>138</v>
      </c>
      <c r="CL1672" s="15" t="s">
        <v>175</v>
      </c>
      <c r="CM1672" s="22" t="s">
        <v>138</v>
      </c>
      <c r="CN1672" s="17" t="s">
        <v>138</v>
      </c>
      <c r="CO1672" s="23">
        <v>0</v>
      </c>
      <c r="CP1672" s="24">
        <v>26</v>
      </c>
      <c r="CQ1672" s="23">
        <v>0</v>
      </c>
      <c r="CR1672" s="23">
        <v>0</v>
      </c>
      <c r="CS1672" s="23">
        <v>0</v>
      </c>
      <c r="CT1672" s="24">
        <v>23</v>
      </c>
      <c r="CU1672" s="23" t="s">
        <v>138</v>
      </c>
      <c r="CV1672" s="24" t="s">
        <v>138</v>
      </c>
      <c r="CW1672" s="23" t="s">
        <v>138</v>
      </c>
      <c r="CX1672" s="24" t="s">
        <v>138</v>
      </c>
      <c r="CY1672" s="23">
        <v>0</v>
      </c>
      <c r="CZ1672" s="24">
        <v>25</v>
      </c>
      <c r="DA1672" s="23" t="s">
        <v>138</v>
      </c>
      <c r="DB1672" s="24" t="s">
        <v>138</v>
      </c>
      <c r="DC1672" s="25">
        <v>0.34</v>
      </c>
      <c r="DD1672" s="24">
        <v>25</v>
      </c>
      <c r="DE1672" s="25">
        <v>7.0000000000000007E-2</v>
      </c>
      <c r="DF1672" s="23">
        <v>25</v>
      </c>
      <c r="DG1672" s="25">
        <v>0.34</v>
      </c>
      <c r="DH1672" s="24">
        <v>25</v>
      </c>
      <c r="DI1672" s="25" t="s">
        <v>138</v>
      </c>
      <c r="DJ1672" s="24" t="s">
        <v>138</v>
      </c>
      <c r="DK1672" s="25" t="s">
        <v>138</v>
      </c>
      <c r="DL1672" s="24" t="s">
        <v>138</v>
      </c>
      <c r="DM1672" s="25">
        <v>0.34</v>
      </c>
      <c r="DN1672" s="24">
        <v>26</v>
      </c>
      <c r="DO1672" s="25" t="s">
        <v>138</v>
      </c>
      <c r="DP1672" s="24" t="s">
        <v>138</v>
      </c>
      <c r="DQ1672" s="24">
        <v>75</v>
      </c>
      <c r="DR1672" s="26">
        <v>-10</v>
      </c>
      <c r="DS1672" s="23">
        <v>-11.76</v>
      </c>
      <c r="DT1672" s="24">
        <v>9</v>
      </c>
      <c r="DU1672" s="26">
        <v>1</v>
      </c>
      <c r="DV1672" s="23">
        <v>12.5</v>
      </c>
      <c r="DW1672" s="24" t="s">
        <v>138</v>
      </c>
      <c r="DX1672" s="27" t="s">
        <v>138</v>
      </c>
      <c r="DY1672" s="23" t="s">
        <v>138</v>
      </c>
      <c r="DZ1672" s="15" t="s">
        <v>178</v>
      </c>
      <c r="EA1672" s="22">
        <v>43481</v>
      </c>
      <c r="EB1672" s="17" t="s">
        <v>138</v>
      </c>
      <c r="EC1672" s="22" t="s">
        <v>138</v>
      </c>
      <c r="ED1672" s="15" t="s">
        <v>138</v>
      </c>
      <c r="EE1672" s="14" t="str">
        <f>HYPERLINK("https://my.pitchbook.com?c=231942-07", "View company online")</f>
        <v>View company online</v>
      </c>
    </row>
    <row r="1673" spans="1:135">
      <c r="A1673" s="28" t="s">
        <v>31919</v>
      </c>
      <c r="B1673" s="28" t="s">
        <v>31920</v>
      </c>
      <c r="C1673" s="28" t="s">
        <v>31921</v>
      </c>
      <c r="D1673" s="28" t="s">
        <v>138</v>
      </c>
      <c r="E1673" s="28" t="s">
        <v>31922</v>
      </c>
      <c r="F1673" s="28" t="s">
        <v>31919</v>
      </c>
      <c r="G1673" s="28" t="s">
        <v>31923</v>
      </c>
      <c r="H1673" s="28" t="s">
        <v>322</v>
      </c>
      <c r="I1673" s="28" t="s">
        <v>356</v>
      </c>
      <c r="J1673" s="28" t="s">
        <v>3852</v>
      </c>
      <c r="K1673" s="28" t="s">
        <v>14078</v>
      </c>
      <c r="L1673" s="28" t="s">
        <v>1972</v>
      </c>
      <c r="M1673" s="28" t="s">
        <v>31924</v>
      </c>
      <c r="N1673" s="28" t="s">
        <v>147</v>
      </c>
      <c r="O1673" s="29">
        <v>116.2</v>
      </c>
      <c r="P1673" s="28" t="s">
        <v>148</v>
      </c>
      <c r="Q1673" s="28" t="s">
        <v>149</v>
      </c>
      <c r="R1673" s="28" t="s">
        <v>174</v>
      </c>
      <c r="S1673" s="28" t="s">
        <v>31925</v>
      </c>
      <c r="T1673" s="30">
        <v>150</v>
      </c>
      <c r="U1673" s="28" t="s">
        <v>31926</v>
      </c>
      <c r="V1673" s="28" t="s">
        <v>138</v>
      </c>
      <c r="W1673" s="28" t="s">
        <v>138</v>
      </c>
      <c r="X1673" s="31">
        <v>2005</v>
      </c>
      <c r="Y1673" s="28" t="s">
        <v>138</v>
      </c>
      <c r="Z1673" s="28" t="s">
        <v>1163</v>
      </c>
      <c r="AA1673" s="28" t="s">
        <v>1163</v>
      </c>
      <c r="AB1673" s="32" t="s">
        <v>138</v>
      </c>
      <c r="AC1673" s="32" t="s">
        <v>138</v>
      </c>
      <c r="AD1673" s="32" t="s">
        <v>138</v>
      </c>
      <c r="AE1673" s="32" t="s">
        <v>138</v>
      </c>
      <c r="AF1673" s="32" t="s">
        <v>138</v>
      </c>
      <c r="AG1673" s="28" t="s">
        <v>138</v>
      </c>
      <c r="AH1673" s="32" t="s">
        <v>138</v>
      </c>
      <c r="AI1673" s="32" t="s">
        <v>138</v>
      </c>
      <c r="AJ1673" s="32" t="s">
        <v>138</v>
      </c>
      <c r="AK1673" s="28" t="s">
        <v>31927</v>
      </c>
      <c r="AL1673" s="28" t="s">
        <v>31928</v>
      </c>
      <c r="AM1673" s="28" t="s">
        <v>249</v>
      </c>
      <c r="AN1673" s="28" t="s">
        <v>31929</v>
      </c>
      <c r="AO1673" s="28" t="s">
        <v>31930</v>
      </c>
      <c r="AP1673" s="28" t="s">
        <v>31931</v>
      </c>
      <c r="AQ1673" s="28" t="s">
        <v>31932</v>
      </c>
      <c r="AR1673" s="28" t="s">
        <v>31933</v>
      </c>
      <c r="AS1673" s="28" t="s">
        <v>31934</v>
      </c>
      <c r="AT1673" s="28" t="s">
        <v>138</v>
      </c>
      <c r="AU1673" s="28" t="s">
        <v>31935</v>
      </c>
      <c r="AV1673" s="28" t="s">
        <v>740</v>
      </c>
      <c r="AW1673" s="28" t="s">
        <v>31930</v>
      </c>
      <c r="AX1673" s="28" t="s">
        <v>31936</v>
      </c>
      <c r="AY1673" s="28" t="s">
        <v>31937</v>
      </c>
      <c r="AZ1673" s="28" t="s">
        <v>742</v>
      </c>
      <c r="BA1673" s="28" t="s">
        <v>742</v>
      </c>
      <c r="BB1673" s="28" t="s">
        <v>31938</v>
      </c>
      <c r="BC1673" s="28" t="s">
        <v>31939</v>
      </c>
      <c r="BD1673" s="33">
        <v>14</v>
      </c>
      <c r="BE1673" s="28" t="s">
        <v>138</v>
      </c>
      <c r="BF1673" s="28" t="s">
        <v>138</v>
      </c>
      <c r="BG1673" s="28" t="s">
        <v>138</v>
      </c>
      <c r="BH1673" s="28" t="s">
        <v>31940</v>
      </c>
      <c r="BI1673" s="28" t="s">
        <v>138</v>
      </c>
      <c r="BJ1673" s="28" t="s">
        <v>138</v>
      </c>
      <c r="BK1673" s="28" t="s">
        <v>138</v>
      </c>
      <c r="BL1673" s="28" t="s">
        <v>138</v>
      </c>
      <c r="BM1673" s="34">
        <v>38443</v>
      </c>
      <c r="BN1673" s="29">
        <v>2</v>
      </c>
      <c r="BO1673" s="28" t="s">
        <v>172</v>
      </c>
      <c r="BP1673" s="29" t="s">
        <v>138</v>
      </c>
      <c r="BQ1673" s="28" t="s">
        <v>138</v>
      </c>
      <c r="BR1673" s="28" t="s">
        <v>205</v>
      </c>
      <c r="BS1673" s="28" t="s">
        <v>206</v>
      </c>
      <c r="BT1673" s="28" t="s">
        <v>138</v>
      </c>
      <c r="BU1673" s="28" t="s">
        <v>174</v>
      </c>
      <c r="BV1673" s="28" t="s">
        <v>138</v>
      </c>
      <c r="BW1673" s="28" t="s">
        <v>138</v>
      </c>
      <c r="BX1673" s="28" t="s">
        <v>138</v>
      </c>
      <c r="BY1673" s="28" t="s">
        <v>175</v>
      </c>
      <c r="BZ1673" s="34">
        <v>43467</v>
      </c>
      <c r="CA1673" s="29">
        <v>10</v>
      </c>
      <c r="CB1673" s="28" t="s">
        <v>172</v>
      </c>
      <c r="CC1673" s="29" t="s">
        <v>138</v>
      </c>
      <c r="CD1673" s="28" t="s">
        <v>138</v>
      </c>
      <c r="CE1673" s="28" t="s">
        <v>173</v>
      </c>
      <c r="CF1673" s="28" t="s">
        <v>138</v>
      </c>
      <c r="CG1673" s="28" t="s">
        <v>138</v>
      </c>
      <c r="CH1673" s="28" t="s">
        <v>174</v>
      </c>
      <c r="CI1673" s="28" t="s">
        <v>138</v>
      </c>
      <c r="CJ1673" s="28" t="s">
        <v>138</v>
      </c>
      <c r="CK1673" s="28" t="s">
        <v>138</v>
      </c>
      <c r="CL1673" s="28" t="s">
        <v>175</v>
      </c>
      <c r="CM1673" s="34" t="s">
        <v>138</v>
      </c>
      <c r="CN1673" s="29" t="s">
        <v>138</v>
      </c>
      <c r="CO1673" s="35">
        <v>-0.11</v>
      </c>
      <c r="CP1673" s="36">
        <v>21</v>
      </c>
      <c r="CQ1673" s="35">
        <v>-0.1</v>
      </c>
      <c r="CR1673" s="35">
        <v>-1113.8699999999999</v>
      </c>
      <c r="CS1673" s="35">
        <v>-1.32</v>
      </c>
      <c r="CT1673" s="36">
        <v>13</v>
      </c>
      <c r="CU1673" s="35">
        <v>0.21</v>
      </c>
      <c r="CV1673" s="36">
        <v>81</v>
      </c>
      <c r="CW1673" s="35" t="s">
        <v>138</v>
      </c>
      <c r="CX1673" s="36" t="s">
        <v>138</v>
      </c>
      <c r="CY1673" s="35">
        <v>-1.32</v>
      </c>
      <c r="CZ1673" s="36">
        <v>16</v>
      </c>
      <c r="DA1673" s="35">
        <v>0.21</v>
      </c>
      <c r="DB1673" s="36">
        <v>83</v>
      </c>
      <c r="DC1673" s="37">
        <v>3.97</v>
      </c>
      <c r="DD1673" s="36">
        <v>79</v>
      </c>
      <c r="DE1673" s="37">
        <v>0</v>
      </c>
      <c r="DF1673" s="35">
        <v>0.03</v>
      </c>
      <c r="DG1673" s="37">
        <v>10.93</v>
      </c>
      <c r="DH1673" s="36">
        <v>90</v>
      </c>
      <c r="DI1673" s="37">
        <v>0.69</v>
      </c>
      <c r="DJ1673" s="36">
        <v>42</v>
      </c>
      <c r="DK1673" s="37" t="s">
        <v>138</v>
      </c>
      <c r="DL1673" s="36" t="s">
        <v>138</v>
      </c>
      <c r="DM1673" s="37">
        <v>10.93</v>
      </c>
      <c r="DN1673" s="36">
        <v>89</v>
      </c>
      <c r="DO1673" s="37">
        <v>0.69</v>
      </c>
      <c r="DP1673" s="36">
        <v>44</v>
      </c>
      <c r="DQ1673" s="36">
        <v>149</v>
      </c>
      <c r="DR1673" s="38">
        <v>4</v>
      </c>
      <c r="DS1673" s="35">
        <v>2.76</v>
      </c>
      <c r="DT1673" s="36">
        <v>317</v>
      </c>
      <c r="DU1673" s="38">
        <v>2</v>
      </c>
      <c r="DV1673" s="35">
        <v>0.63</v>
      </c>
      <c r="DW1673" s="36">
        <v>246</v>
      </c>
      <c r="DX1673" s="39">
        <v>0</v>
      </c>
      <c r="DY1673" s="35">
        <v>0</v>
      </c>
      <c r="DZ1673" s="28" t="s">
        <v>178</v>
      </c>
      <c r="EA1673" s="34">
        <v>43543</v>
      </c>
      <c r="EB1673" s="29" t="s">
        <v>138</v>
      </c>
      <c r="EC1673" s="34" t="s">
        <v>138</v>
      </c>
      <c r="ED1673" s="28" t="s">
        <v>138</v>
      </c>
      <c r="EE1673" s="40" t="str">
        <f>HYPERLINK("https://my.pitchbook.com?c=51339-97", "View company online")</f>
        <v>View company online</v>
      </c>
    </row>
    <row r="1674" spans="1:135">
      <c r="A1674" s="15" t="s">
        <v>31941</v>
      </c>
      <c r="B1674" s="15" t="s">
        <v>31942</v>
      </c>
      <c r="C1674" s="15" t="s">
        <v>138</v>
      </c>
      <c r="D1674" s="15" t="s">
        <v>138</v>
      </c>
      <c r="E1674" s="15" t="s">
        <v>138</v>
      </c>
      <c r="F1674" s="15" t="s">
        <v>31941</v>
      </c>
      <c r="G1674" s="15" t="s">
        <v>31943</v>
      </c>
      <c r="H1674" s="15" t="s">
        <v>141</v>
      </c>
      <c r="I1674" s="15" t="s">
        <v>212</v>
      </c>
      <c r="J1674" s="15" t="s">
        <v>213</v>
      </c>
      <c r="K1674" s="15" t="s">
        <v>11118</v>
      </c>
      <c r="L1674" s="15" t="s">
        <v>2236</v>
      </c>
      <c r="M1674" s="15" t="s">
        <v>31944</v>
      </c>
      <c r="N1674" s="15" t="s">
        <v>147</v>
      </c>
      <c r="O1674" s="17">
        <v>9.6</v>
      </c>
      <c r="P1674" s="15" t="s">
        <v>610</v>
      </c>
      <c r="Q1674" s="15" t="s">
        <v>149</v>
      </c>
      <c r="R1674" s="15" t="s">
        <v>174</v>
      </c>
      <c r="S1674" s="15" t="s">
        <v>31945</v>
      </c>
      <c r="T1674" s="18">
        <v>40</v>
      </c>
      <c r="U1674" s="15" t="s">
        <v>31946</v>
      </c>
      <c r="V1674" s="15" t="s">
        <v>138</v>
      </c>
      <c r="W1674" s="15" t="s">
        <v>138</v>
      </c>
      <c r="X1674" s="19">
        <v>2014</v>
      </c>
      <c r="Y1674" s="15" t="s">
        <v>138</v>
      </c>
      <c r="Z1674" s="15" t="s">
        <v>138</v>
      </c>
      <c r="AA1674" s="15" t="s">
        <v>138</v>
      </c>
      <c r="AB1674" s="20" t="s">
        <v>138</v>
      </c>
      <c r="AC1674" s="20" t="s">
        <v>138</v>
      </c>
      <c r="AD1674" s="20" t="s">
        <v>138</v>
      </c>
      <c r="AE1674" s="20" t="s">
        <v>138</v>
      </c>
      <c r="AF1674" s="20" t="s">
        <v>138</v>
      </c>
      <c r="AG1674" s="15" t="s">
        <v>138</v>
      </c>
      <c r="AH1674" s="20" t="s">
        <v>138</v>
      </c>
      <c r="AI1674" s="20" t="s">
        <v>138</v>
      </c>
      <c r="AJ1674" s="20" t="s">
        <v>138</v>
      </c>
      <c r="AK1674" s="15" t="s">
        <v>31947</v>
      </c>
      <c r="AL1674" s="15" t="s">
        <v>31948</v>
      </c>
      <c r="AM1674" s="15" t="s">
        <v>444</v>
      </c>
      <c r="AN1674" s="15" t="s">
        <v>31949</v>
      </c>
      <c r="AO1674" s="15" t="s">
        <v>31950</v>
      </c>
      <c r="AP1674" s="15" t="s">
        <v>665</v>
      </c>
      <c r="AQ1674" s="15" t="s">
        <v>31951</v>
      </c>
      <c r="AR1674" s="15" t="s">
        <v>138</v>
      </c>
      <c r="AS1674" s="15" t="s">
        <v>668</v>
      </c>
      <c r="AT1674" s="15" t="s">
        <v>200</v>
      </c>
      <c r="AU1674" s="15" t="s">
        <v>3557</v>
      </c>
      <c r="AV1674" s="15" t="s">
        <v>162</v>
      </c>
      <c r="AW1674" s="15" t="s">
        <v>31950</v>
      </c>
      <c r="AX1674" s="15" t="s">
        <v>138</v>
      </c>
      <c r="AY1674" s="15" t="s">
        <v>31952</v>
      </c>
      <c r="AZ1674" s="15" t="s">
        <v>164</v>
      </c>
      <c r="BA1674" s="15" t="s">
        <v>165</v>
      </c>
      <c r="BB1674" s="15" t="s">
        <v>31953</v>
      </c>
      <c r="BC1674" s="15" t="s">
        <v>31954</v>
      </c>
      <c r="BD1674" s="21">
        <v>6</v>
      </c>
      <c r="BE1674" s="15" t="s">
        <v>138</v>
      </c>
      <c r="BF1674" s="15" t="s">
        <v>138</v>
      </c>
      <c r="BG1674" s="15" t="s">
        <v>138</v>
      </c>
      <c r="BH1674" s="15" t="s">
        <v>31955</v>
      </c>
      <c r="BI1674" s="15" t="s">
        <v>138</v>
      </c>
      <c r="BJ1674" s="15" t="s">
        <v>138</v>
      </c>
      <c r="BK1674" s="15" t="s">
        <v>138</v>
      </c>
      <c r="BL1674" s="15" t="s">
        <v>138</v>
      </c>
      <c r="BM1674" s="22">
        <v>43544</v>
      </c>
      <c r="BN1674" s="17">
        <v>9.6</v>
      </c>
      <c r="BO1674" s="15" t="s">
        <v>1178</v>
      </c>
      <c r="BP1674" s="17">
        <v>21.1</v>
      </c>
      <c r="BQ1674" s="15" t="s">
        <v>172</v>
      </c>
      <c r="BR1674" s="15" t="s">
        <v>234</v>
      </c>
      <c r="BS1674" s="15" t="s">
        <v>234</v>
      </c>
      <c r="BT1674" s="15" t="s">
        <v>138</v>
      </c>
      <c r="BU1674" s="15" t="s">
        <v>174</v>
      </c>
      <c r="BV1674" s="15" t="s">
        <v>138</v>
      </c>
      <c r="BW1674" s="15" t="s">
        <v>138</v>
      </c>
      <c r="BX1674" s="15" t="s">
        <v>138</v>
      </c>
      <c r="BY1674" s="15" t="s">
        <v>175</v>
      </c>
      <c r="BZ1674" s="22">
        <v>43544</v>
      </c>
      <c r="CA1674" s="17">
        <v>9.6</v>
      </c>
      <c r="CB1674" s="15" t="s">
        <v>1178</v>
      </c>
      <c r="CC1674" s="17">
        <v>21.1</v>
      </c>
      <c r="CD1674" s="15" t="s">
        <v>172</v>
      </c>
      <c r="CE1674" s="15" t="s">
        <v>234</v>
      </c>
      <c r="CF1674" s="15" t="s">
        <v>234</v>
      </c>
      <c r="CG1674" s="15" t="s">
        <v>138</v>
      </c>
      <c r="CH1674" s="15" t="s">
        <v>174</v>
      </c>
      <c r="CI1674" s="15" t="s">
        <v>138</v>
      </c>
      <c r="CJ1674" s="15" t="s">
        <v>138</v>
      </c>
      <c r="CK1674" s="15" t="s">
        <v>138</v>
      </c>
      <c r="CL1674" s="15" t="s">
        <v>175</v>
      </c>
      <c r="CM1674" s="22" t="s">
        <v>138</v>
      </c>
      <c r="CN1674" s="17" t="s">
        <v>138</v>
      </c>
      <c r="CO1674" s="23">
        <v>0</v>
      </c>
      <c r="CP1674" s="24">
        <v>26</v>
      </c>
      <c r="CQ1674" s="23">
        <v>0</v>
      </c>
      <c r="CR1674" s="23">
        <v>0</v>
      </c>
      <c r="CS1674" s="23">
        <v>0</v>
      </c>
      <c r="CT1674" s="24">
        <v>23</v>
      </c>
      <c r="CU1674" s="23" t="s">
        <v>138</v>
      </c>
      <c r="CV1674" s="24" t="s">
        <v>138</v>
      </c>
      <c r="CW1674" s="23">
        <v>0</v>
      </c>
      <c r="CX1674" s="24">
        <v>13</v>
      </c>
      <c r="CY1674" s="23" t="s">
        <v>138</v>
      </c>
      <c r="CZ1674" s="24" t="s">
        <v>138</v>
      </c>
      <c r="DA1674" s="23" t="s">
        <v>138</v>
      </c>
      <c r="DB1674" s="24" t="s">
        <v>138</v>
      </c>
      <c r="DC1674" s="25">
        <v>1.25</v>
      </c>
      <c r="DD1674" s="24">
        <v>57</v>
      </c>
      <c r="DE1674" s="25">
        <v>-0.16</v>
      </c>
      <c r="DF1674" s="23">
        <v>-11.37</v>
      </c>
      <c r="DG1674" s="25">
        <v>1.25</v>
      </c>
      <c r="DH1674" s="24">
        <v>57</v>
      </c>
      <c r="DI1674" s="25" t="s">
        <v>138</v>
      </c>
      <c r="DJ1674" s="24" t="s">
        <v>138</v>
      </c>
      <c r="DK1674" s="25">
        <v>1.25</v>
      </c>
      <c r="DL1674" s="24">
        <v>55</v>
      </c>
      <c r="DM1674" s="25" t="s">
        <v>138</v>
      </c>
      <c r="DN1674" s="24" t="s">
        <v>138</v>
      </c>
      <c r="DO1674" s="25" t="s">
        <v>138</v>
      </c>
      <c r="DP1674" s="24" t="s">
        <v>138</v>
      </c>
      <c r="DQ1674" s="24">
        <v>432</v>
      </c>
      <c r="DR1674" s="26">
        <v>-11</v>
      </c>
      <c r="DS1674" s="23">
        <v>-2.48</v>
      </c>
      <c r="DT1674" s="24" t="s">
        <v>138</v>
      </c>
      <c r="DU1674" s="26" t="s">
        <v>138</v>
      </c>
      <c r="DV1674" s="23" t="s">
        <v>138</v>
      </c>
      <c r="DW1674" s="24" t="s">
        <v>138</v>
      </c>
      <c r="DX1674" s="27" t="s">
        <v>138</v>
      </c>
      <c r="DY1674" s="23" t="s">
        <v>138</v>
      </c>
      <c r="DZ1674" s="15" t="s">
        <v>178</v>
      </c>
      <c r="EA1674" s="22">
        <v>43607</v>
      </c>
      <c r="EB1674" s="17">
        <v>21.1</v>
      </c>
      <c r="EC1674" s="22">
        <v>43544</v>
      </c>
      <c r="ED1674" s="15" t="s">
        <v>234</v>
      </c>
      <c r="EE1674" s="14" t="str">
        <f>HYPERLINK("https://my.pitchbook.com?c=121508-02", "View company online")</f>
        <v>View company online</v>
      </c>
    </row>
    <row r="1675" spans="1:135">
      <c r="A1675" s="28" t="s">
        <v>31956</v>
      </c>
      <c r="B1675" s="28" t="s">
        <v>31957</v>
      </c>
      <c r="C1675" s="28" t="s">
        <v>138</v>
      </c>
      <c r="D1675" s="28" t="s">
        <v>138</v>
      </c>
      <c r="E1675" s="28" t="s">
        <v>138</v>
      </c>
      <c r="F1675" s="28" t="s">
        <v>31956</v>
      </c>
      <c r="G1675" s="28" t="s">
        <v>31958</v>
      </c>
      <c r="H1675" s="28" t="s">
        <v>322</v>
      </c>
      <c r="I1675" s="28" t="s">
        <v>323</v>
      </c>
      <c r="J1675" s="28" t="s">
        <v>2984</v>
      </c>
      <c r="K1675" s="28" t="s">
        <v>31959</v>
      </c>
      <c r="L1675" s="28" t="s">
        <v>27450</v>
      </c>
      <c r="M1675" s="28" t="s">
        <v>31960</v>
      </c>
      <c r="N1675" s="28" t="s">
        <v>147</v>
      </c>
      <c r="O1675" s="29">
        <v>14.05</v>
      </c>
      <c r="P1675" s="28" t="s">
        <v>148</v>
      </c>
      <c r="Q1675" s="28" t="s">
        <v>149</v>
      </c>
      <c r="R1675" s="28" t="s">
        <v>174</v>
      </c>
      <c r="S1675" s="28" t="s">
        <v>31961</v>
      </c>
      <c r="T1675" s="30">
        <v>6</v>
      </c>
      <c r="U1675" s="28" t="s">
        <v>31962</v>
      </c>
      <c r="V1675" s="28" t="s">
        <v>138</v>
      </c>
      <c r="W1675" s="28" t="s">
        <v>138</v>
      </c>
      <c r="X1675" s="31" t="s">
        <v>138</v>
      </c>
      <c r="Y1675" s="28" t="s">
        <v>138</v>
      </c>
      <c r="Z1675" s="28" t="s">
        <v>138</v>
      </c>
      <c r="AA1675" s="28" t="s">
        <v>138</v>
      </c>
      <c r="AB1675" s="32" t="s">
        <v>138</v>
      </c>
      <c r="AC1675" s="32" t="s">
        <v>138</v>
      </c>
      <c r="AD1675" s="32" t="s">
        <v>138</v>
      </c>
      <c r="AE1675" s="32" t="s">
        <v>138</v>
      </c>
      <c r="AF1675" s="32" t="s">
        <v>138</v>
      </c>
      <c r="AG1675" s="28" t="s">
        <v>138</v>
      </c>
      <c r="AH1675" s="32" t="s">
        <v>138</v>
      </c>
      <c r="AI1675" s="32" t="s">
        <v>138</v>
      </c>
      <c r="AJ1675" s="32" t="s">
        <v>138</v>
      </c>
      <c r="AK1675" s="28" t="s">
        <v>31963</v>
      </c>
      <c r="AL1675" s="28" t="s">
        <v>31964</v>
      </c>
      <c r="AM1675" s="28" t="s">
        <v>304</v>
      </c>
      <c r="AN1675" s="28" t="s">
        <v>31965</v>
      </c>
      <c r="AO1675" s="28" t="s">
        <v>138</v>
      </c>
      <c r="AP1675" s="28" t="s">
        <v>1292</v>
      </c>
      <c r="AQ1675" s="28" t="s">
        <v>31966</v>
      </c>
      <c r="AR1675" s="28" t="s">
        <v>138</v>
      </c>
      <c r="AS1675" s="28" t="s">
        <v>1294</v>
      </c>
      <c r="AT1675" s="28" t="s">
        <v>864</v>
      </c>
      <c r="AU1675" s="28" t="s">
        <v>31967</v>
      </c>
      <c r="AV1675" s="28" t="s">
        <v>162</v>
      </c>
      <c r="AW1675" s="28" t="s">
        <v>138</v>
      </c>
      <c r="AX1675" s="28" t="s">
        <v>138</v>
      </c>
      <c r="AY1675" s="28" t="s">
        <v>138</v>
      </c>
      <c r="AZ1675" s="28" t="s">
        <v>164</v>
      </c>
      <c r="BA1675" s="28" t="s">
        <v>165</v>
      </c>
      <c r="BB1675" s="28" t="s">
        <v>31968</v>
      </c>
      <c r="BC1675" s="28" t="s">
        <v>31969</v>
      </c>
      <c r="BD1675" s="33">
        <v>21</v>
      </c>
      <c r="BE1675" s="28" t="s">
        <v>138</v>
      </c>
      <c r="BF1675" s="28" t="s">
        <v>138</v>
      </c>
      <c r="BG1675" s="28" t="s">
        <v>138</v>
      </c>
      <c r="BH1675" s="28" t="s">
        <v>31970</v>
      </c>
      <c r="BI1675" s="28" t="s">
        <v>138</v>
      </c>
      <c r="BJ1675" s="28" t="s">
        <v>138</v>
      </c>
      <c r="BK1675" s="28" t="s">
        <v>290</v>
      </c>
      <c r="BL1675" s="28" t="s">
        <v>406</v>
      </c>
      <c r="BM1675" s="34">
        <v>42654</v>
      </c>
      <c r="BN1675" s="29">
        <v>0.2</v>
      </c>
      <c r="BO1675" s="28" t="s">
        <v>172</v>
      </c>
      <c r="BP1675" s="29">
        <v>0.63</v>
      </c>
      <c r="BQ1675" s="28" t="s">
        <v>172</v>
      </c>
      <c r="BR1675" s="28" t="s">
        <v>316</v>
      </c>
      <c r="BS1675" s="28" t="s">
        <v>138</v>
      </c>
      <c r="BT1675" s="28" t="s">
        <v>138</v>
      </c>
      <c r="BU1675" s="28" t="s">
        <v>177</v>
      </c>
      <c r="BV1675" s="28" t="s">
        <v>264</v>
      </c>
      <c r="BW1675" s="28" t="s">
        <v>138</v>
      </c>
      <c r="BX1675" s="28" t="s">
        <v>138</v>
      </c>
      <c r="BY1675" s="28" t="s">
        <v>175</v>
      </c>
      <c r="BZ1675" s="34">
        <v>43277</v>
      </c>
      <c r="CA1675" s="29">
        <v>9</v>
      </c>
      <c r="CB1675" s="28" t="s">
        <v>172</v>
      </c>
      <c r="CC1675" s="29" t="s">
        <v>138</v>
      </c>
      <c r="CD1675" s="28" t="s">
        <v>138</v>
      </c>
      <c r="CE1675" s="28" t="s">
        <v>205</v>
      </c>
      <c r="CF1675" s="28" t="s">
        <v>138</v>
      </c>
      <c r="CG1675" s="28" t="s">
        <v>138</v>
      </c>
      <c r="CH1675" s="28" t="s">
        <v>174</v>
      </c>
      <c r="CI1675" s="28" t="s">
        <v>138</v>
      </c>
      <c r="CJ1675" s="28" t="s">
        <v>138</v>
      </c>
      <c r="CK1675" s="28" t="s">
        <v>138</v>
      </c>
      <c r="CL1675" s="28" t="s">
        <v>175</v>
      </c>
      <c r="CM1675" s="34" t="s">
        <v>138</v>
      </c>
      <c r="CN1675" s="29" t="s">
        <v>138</v>
      </c>
      <c r="CO1675" s="35">
        <v>0.8</v>
      </c>
      <c r="CP1675" s="36">
        <v>96</v>
      </c>
      <c r="CQ1675" s="35">
        <v>0.03</v>
      </c>
      <c r="CR1675" s="35">
        <v>4.4400000000000004</v>
      </c>
      <c r="CS1675" s="35" t="s">
        <v>138</v>
      </c>
      <c r="CT1675" s="36" t="s">
        <v>138</v>
      </c>
      <c r="CU1675" s="35">
        <v>0.8</v>
      </c>
      <c r="CV1675" s="36">
        <v>97</v>
      </c>
      <c r="CW1675" s="35" t="s">
        <v>138</v>
      </c>
      <c r="CX1675" s="36" t="s">
        <v>138</v>
      </c>
      <c r="CY1675" s="35" t="s">
        <v>138</v>
      </c>
      <c r="CZ1675" s="36" t="s">
        <v>138</v>
      </c>
      <c r="DA1675" s="35">
        <v>0.8</v>
      </c>
      <c r="DB1675" s="36">
        <v>97</v>
      </c>
      <c r="DC1675" s="37">
        <v>1.83</v>
      </c>
      <c r="DD1675" s="36">
        <v>65</v>
      </c>
      <c r="DE1675" s="37">
        <v>0.02</v>
      </c>
      <c r="DF1675" s="35">
        <v>1.33</v>
      </c>
      <c r="DG1675" s="37" t="s">
        <v>138</v>
      </c>
      <c r="DH1675" s="36" t="s">
        <v>138</v>
      </c>
      <c r="DI1675" s="37">
        <v>1.83</v>
      </c>
      <c r="DJ1675" s="36">
        <v>61</v>
      </c>
      <c r="DK1675" s="37" t="s">
        <v>138</v>
      </c>
      <c r="DL1675" s="36" t="s">
        <v>138</v>
      </c>
      <c r="DM1675" s="37" t="s">
        <v>138</v>
      </c>
      <c r="DN1675" s="36" t="s">
        <v>138</v>
      </c>
      <c r="DO1675" s="37">
        <v>1.83</v>
      </c>
      <c r="DP1675" s="36">
        <v>62</v>
      </c>
      <c r="DQ1675" s="36" t="s">
        <v>138</v>
      </c>
      <c r="DR1675" s="38" t="s">
        <v>138</v>
      </c>
      <c r="DS1675" s="35" t="s">
        <v>138</v>
      </c>
      <c r="DT1675" s="36" t="s">
        <v>138</v>
      </c>
      <c r="DU1675" s="38" t="s">
        <v>138</v>
      </c>
      <c r="DV1675" s="35" t="s">
        <v>138</v>
      </c>
      <c r="DW1675" s="36">
        <v>653</v>
      </c>
      <c r="DX1675" s="39">
        <v>6</v>
      </c>
      <c r="DY1675" s="35">
        <v>0.93</v>
      </c>
      <c r="DZ1675" s="28" t="s">
        <v>178</v>
      </c>
      <c r="EA1675" s="34">
        <v>43622</v>
      </c>
      <c r="EB1675" s="29">
        <v>15</v>
      </c>
      <c r="EC1675" s="34">
        <v>42901</v>
      </c>
      <c r="ED1675" s="28" t="s">
        <v>234</v>
      </c>
      <c r="EE1675" s="40" t="str">
        <f>HYPERLINK("https://my.pitchbook.com?c=169296-67", "View company online")</f>
        <v>View company online</v>
      </c>
    </row>
    <row r="1676" spans="1:135">
      <c r="A1676" s="15" t="s">
        <v>31971</v>
      </c>
      <c r="B1676" s="15" t="s">
        <v>31972</v>
      </c>
      <c r="C1676" s="15" t="s">
        <v>138</v>
      </c>
      <c r="D1676" s="15" t="s">
        <v>138</v>
      </c>
      <c r="E1676" s="15" t="s">
        <v>31973</v>
      </c>
      <c r="F1676" s="15" t="s">
        <v>31971</v>
      </c>
      <c r="G1676" s="15" t="s">
        <v>31974</v>
      </c>
      <c r="H1676" s="15" t="s">
        <v>322</v>
      </c>
      <c r="I1676" s="15" t="s">
        <v>323</v>
      </c>
      <c r="J1676" s="15" t="s">
        <v>413</v>
      </c>
      <c r="K1676" s="15" t="s">
        <v>31975</v>
      </c>
      <c r="L1676" s="15" t="s">
        <v>875</v>
      </c>
      <c r="M1676" s="15" t="s">
        <v>31976</v>
      </c>
      <c r="N1676" s="15" t="s">
        <v>147</v>
      </c>
      <c r="O1676" s="17">
        <v>5</v>
      </c>
      <c r="P1676" s="15" t="s">
        <v>148</v>
      </c>
      <c r="Q1676" s="15" t="s">
        <v>149</v>
      </c>
      <c r="R1676" s="15" t="s">
        <v>174</v>
      </c>
      <c r="S1676" s="15" t="s">
        <v>31977</v>
      </c>
      <c r="T1676" s="18" t="s">
        <v>138</v>
      </c>
      <c r="U1676" s="15" t="s">
        <v>138</v>
      </c>
      <c r="V1676" s="15" t="s">
        <v>138</v>
      </c>
      <c r="W1676" s="15" t="s">
        <v>138</v>
      </c>
      <c r="X1676" s="19">
        <v>2014</v>
      </c>
      <c r="Y1676" s="15" t="s">
        <v>138</v>
      </c>
      <c r="Z1676" s="15" t="s">
        <v>138</v>
      </c>
      <c r="AA1676" s="15" t="s">
        <v>138</v>
      </c>
      <c r="AB1676" s="20" t="s">
        <v>138</v>
      </c>
      <c r="AC1676" s="20" t="s">
        <v>138</v>
      </c>
      <c r="AD1676" s="20" t="s">
        <v>138</v>
      </c>
      <c r="AE1676" s="20" t="s">
        <v>138</v>
      </c>
      <c r="AF1676" s="20" t="s">
        <v>138</v>
      </c>
      <c r="AG1676" s="15" t="s">
        <v>138</v>
      </c>
      <c r="AH1676" s="20" t="s">
        <v>138</v>
      </c>
      <c r="AI1676" s="20" t="s">
        <v>138</v>
      </c>
      <c r="AJ1676" s="20" t="s">
        <v>138</v>
      </c>
      <c r="AK1676" s="15" t="s">
        <v>31978</v>
      </c>
      <c r="AL1676" s="15" t="s">
        <v>31979</v>
      </c>
      <c r="AM1676" s="15" t="s">
        <v>916</v>
      </c>
      <c r="AN1676" s="15" t="s">
        <v>31980</v>
      </c>
      <c r="AO1676" s="15" t="s">
        <v>138</v>
      </c>
      <c r="AP1676" s="15" t="s">
        <v>1220</v>
      </c>
      <c r="AQ1676" s="15" t="s">
        <v>138</v>
      </c>
      <c r="AR1676" s="15" t="s">
        <v>138</v>
      </c>
      <c r="AS1676" s="15" t="s">
        <v>1223</v>
      </c>
      <c r="AT1676" s="15" t="s">
        <v>200</v>
      </c>
      <c r="AU1676" s="15" t="s">
        <v>1893</v>
      </c>
      <c r="AV1676" s="15" t="s">
        <v>162</v>
      </c>
      <c r="AW1676" s="15" t="s">
        <v>138</v>
      </c>
      <c r="AX1676" s="15" t="s">
        <v>138</v>
      </c>
      <c r="AY1676" s="15" t="s">
        <v>31981</v>
      </c>
      <c r="AZ1676" s="15" t="s">
        <v>164</v>
      </c>
      <c r="BA1676" s="15" t="s">
        <v>165</v>
      </c>
      <c r="BB1676" s="15" t="s">
        <v>31982</v>
      </c>
      <c r="BC1676" s="15" t="s">
        <v>31983</v>
      </c>
      <c r="BD1676" s="21">
        <v>5</v>
      </c>
      <c r="BE1676" s="15" t="s">
        <v>138</v>
      </c>
      <c r="BF1676" s="15" t="s">
        <v>138</v>
      </c>
      <c r="BG1676" s="15" t="s">
        <v>138</v>
      </c>
      <c r="BH1676" s="15" t="s">
        <v>31984</v>
      </c>
      <c r="BI1676" s="15" t="s">
        <v>138</v>
      </c>
      <c r="BJ1676" s="15" t="s">
        <v>138</v>
      </c>
      <c r="BK1676" s="15" t="s">
        <v>138</v>
      </c>
      <c r="BL1676" s="15" t="s">
        <v>1370</v>
      </c>
      <c r="BM1676" s="22">
        <v>42084</v>
      </c>
      <c r="BN1676" s="17">
        <v>0.11</v>
      </c>
      <c r="BO1676" s="15" t="s">
        <v>172</v>
      </c>
      <c r="BP1676" s="17" t="s">
        <v>138</v>
      </c>
      <c r="BQ1676" s="15" t="s">
        <v>138</v>
      </c>
      <c r="BR1676" s="15" t="s">
        <v>1830</v>
      </c>
      <c r="BS1676" s="15" t="s">
        <v>138</v>
      </c>
      <c r="BT1676" s="15" t="s">
        <v>138</v>
      </c>
      <c r="BU1676" s="15" t="s">
        <v>263</v>
      </c>
      <c r="BV1676" s="15" t="s">
        <v>138</v>
      </c>
      <c r="BW1676" s="15" t="s">
        <v>138</v>
      </c>
      <c r="BX1676" s="15" t="s">
        <v>138</v>
      </c>
      <c r="BY1676" s="15" t="s">
        <v>175</v>
      </c>
      <c r="BZ1676" s="22">
        <v>42490</v>
      </c>
      <c r="CA1676" s="17">
        <v>5</v>
      </c>
      <c r="CB1676" s="15" t="s">
        <v>172</v>
      </c>
      <c r="CC1676" s="17" t="s">
        <v>138</v>
      </c>
      <c r="CD1676" s="15" t="s">
        <v>138</v>
      </c>
      <c r="CE1676" s="15" t="s">
        <v>205</v>
      </c>
      <c r="CF1676" s="15" t="s">
        <v>206</v>
      </c>
      <c r="CG1676" s="15" t="s">
        <v>138</v>
      </c>
      <c r="CH1676" s="15" t="s">
        <v>174</v>
      </c>
      <c r="CI1676" s="15" t="s">
        <v>138</v>
      </c>
      <c r="CJ1676" s="15" t="s">
        <v>138</v>
      </c>
      <c r="CK1676" s="15" t="s">
        <v>138</v>
      </c>
      <c r="CL1676" s="15" t="s">
        <v>175</v>
      </c>
      <c r="CM1676" s="22" t="s">
        <v>138</v>
      </c>
      <c r="CN1676" s="17" t="s">
        <v>138</v>
      </c>
      <c r="CO1676" s="23">
        <v>-0.1</v>
      </c>
      <c r="CP1676" s="24">
        <v>21</v>
      </c>
      <c r="CQ1676" s="23">
        <v>0.01</v>
      </c>
      <c r="CR1676" s="23">
        <v>5.84</v>
      </c>
      <c r="CS1676" s="23">
        <v>0</v>
      </c>
      <c r="CT1676" s="24">
        <v>23</v>
      </c>
      <c r="CU1676" s="23">
        <v>-0.2</v>
      </c>
      <c r="CV1676" s="24">
        <v>1</v>
      </c>
      <c r="CW1676" s="23" t="s">
        <v>138</v>
      </c>
      <c r="CX1676" s="24" t="s">
        <v>138</v>
      </c>
      <c r="CY1676" s="23">
        <v>0</v>
      </c>
      <c r="CZ1676" s="24">
        <v>25</v>
      </c>
      <c r="DA1676" s="23">
        <v>-0.2</v>
      </c>
      <c r="DB1676" s="24">
        <v>2</v>
      </c>
      <c r="DC1676" s="25">
        <v>13.02</v>
      </c>
      <c r="DD1676" s="24">
        <v>92</v>
      </c>
      <c r="DE1676" s="25">
        <v>0.65</v>
      </c>
      <c r="DF1676" s="23">
        <v>5.27</v>
      </c>
      <c r="DG1676" s="25">
        <v>3</v>
      </c>
      <c r="DH1676" s="24">
        <v>74</v>
      </c>
      <c r="DI1676" s="25">
        <v>23.04</v>
      </c>
      <c r="DJ1676" s="24">
        <v>91</v>
      </c>
      <c r="DK1676" s="25" t="s">
        <v>138</v>
      </c>
      <c r="DL1676" s="24" t="s">
        <v>138</v>
      </c>
      <c r="DM1676" s="25">
        <v>3</v>
      </c>
      <c r="DN1676" s="24">
        <v>73</v>
      </c>
      <c r="DO1676" s="25">
        <v>23.04</v>
      </c>
      <c r="DP1676" s="24">
        <v>93</v>
      </c>
      <c r="DQ1676" s="24">
        <v>201</v>
      </c>
      <c r="DR1676" s="26">
        <v>-50</v>
      </c>
      <c r="DS1676" s="23">
        <v>-19.920000000000002</v>
      </c>
      <c r="DT1676" s="24">
        <v>87</v>
      </c>
      <c r="DU1676" s="26">
        <v>0</v>
      </c>
      <c r="DV1676" s="23">
        <v>0</v>
      </c>
      <c r="DW1676" s="24">
        <v>8251</v>
      </c>
      <c r="DX1676" s="27">
        <v>-11</v>
      </c>
      <c r="DY1676" s="23">
        <v>-0.13</v>
      </c>
      <c r="DZ1676" s="15" t="s">
        <v>178</v>
      </c>
      <c r="EA1676" s="22">
        <v>43351</v>
      </c>
      <c r="EB1676" s="17" t="s">
        <v>138</v>
      </c>
      <c r="EC1676" s="22" t="s">
        <v>138</v>
      </c>
      <c r="ED1676" s="15" t="s">
        <v>138</v>
      </c>
      <c r="EE1676" s="14" t="str">
        <f>HYPERLINK("https://my.pitchbook.com?c=113496-94", "View company online")</f>
        <v>View company online</v>
      </c>
    </row>
    <row r="1677" spans="1:135">
      <c r="A1677" s="28" t="s">
        <v>31985</v>
      </c>
      <c r="B1677" s="28" t="s">
        <v>31986</v>
      </c>
      <c r="C1677" s="28" t="s">
        <v>138</v>
      </c>
      <c r="D1677" s="28" t="s">
        <v>138</v>
      </c>
      <c r="E1677" s="28" t="s">
        <v>31987</v>
      </c>
      <c r="F1677" s="28" t="s">
        <v>31985</v>
      </c>
      <c r="G1677" s="28" t="s">
        <v>31988</v>
      </c>
      <c r="H1677" s="28" t="s">
        <v>322</v>
      </c>
      <c r="I1677" s="28" t="s">
        <v>323</v>
      </c>
      <c r="J1677" s="28" t="s">
        <v>539</v>
      </c>
      <c r="K1677" s="28" t="s">
        <v>19824</v>
      </c>
      <c r="L1677" s="28" t="s">
        <v>2274</v>
      </c>
      <c r="M1677" s="28" t="s">
        <v>31989</v>
      </c>
      <c r="N1677" s="28" t="s">
        <v>147</v>
      </c>
      <c r="O1677" s="29">
        <v>36.200000000000003</v>
      </c>
      <c r="P1677" s="28" t="s">
        <v>148</v>
      </c>
      <c r="Q1677" s="28" t="s">
        <v>149</v>
      </c>
      <c r="R1677" s="28" t="s">
        <v>174</v>
      </c>
      <c r="S1677" s="28" t="s">
        <v>31990</v>
      </c>
      <c r="T1677" s="30">
        <v>110</v>
      </c>
      <c r="U1677" s="28" t="s">
        <v>31991</v>
      </c>
      <c r="V1677" s="28" t="s">
        <v>138</v>
      </c>
      <c r="W1677" s="28" t="s">
        <v>138</v>
      </c>
      <c r="X1677" s="31">
        <v>2008</v>
      </c>
      <c r="Y1677" s="28" t="s">
        <v>138</v>
      </c>
      <c r="Z1677" s="28" t="s">
        <v>138</v>
      </c>
      <c r="AA1677" s="28" t="s">
        <v>138</v>
      </c>
      <c r="AB1677" s="32">
        <v>6.04</v>
      </c>
      <c r="AC1677" s="32" t="s">
        <v>138</v>
      </c>
      <c r="AD1677" s="32" t="s">
        <v>138</v>
      </c>
      <c r="AE1677" s="32" t="s">
        <v>138</v>
      </c>
      <c r="AF1677" s="32" t="s">
        <v>138</v>
      </c>
      <c r="AG1677" s="28" t="s">
        <v>707</v>
      </c>
      <c r="AH1677" s="32" t="s">
        <v>138</v>
      </c>
      <c r="AI1677" s="32" t="s">
        <v>138</v>
      </c>
      <c r="AJ1677" s="32" t="s">
        <v>138</v>
      </c>
      <c r="AK1677" s="28" t="s">
        <v>31992</v>
      </c>
      <c r="AL1677" s="28" t="s">
        <v>31993</v>
      </c>
      <c r="AM1677" s="28" t="s">
        <v>31070</v>
      </c>
      <c r="AN1677" s="28" t="s">
        <v>31994</v>
      </c>
      <c r="AO1677" s="28" t="s">
        <v>138</v>
      </c>
      <c r="AP1677" s="28" t="s">
        <v>4463</v>
      </c>
      <c r="AQ1677" s="28" t="s">
        <v>31995</v>
      </c>
      <c r="AR1677" s="28" t="s">
        <v>138</v>
      </c>
      <c r="AS1677" s="28" t="s">
        <v>4466</v>
      </c>
      <c r="AT1677" s="28" t="s">
        <v>426</v>
      </c>
      <c r="AU1677" s="28" t="s">
        <v>10753</v>
      </c>
      <c r="AV1677" s="28" t="s">
        <v>162</v>
      </c>
      <c r="AW1677" s="28" t="s">
        <v>138</v>
      </c>
      <c r="AX1677" s="28" t="s">
        <v>138</v>
      </c>
      <c r="AY1677" s="28" t="s">
        <v>138</v>
      </c>
      <c r="AZ1677" s="28" t="s">
        <v>164</v>
      </c>
      <c r="BA1677" s="28" t="s">
        <v>165</v>
      </c>
      <c r="BB1677" s="28" t="s">
        <v>31996</v>
      </c>
      <c r="BC1677" s="28" t="s">
        <v>31997</v>
      </c>
      <c r="BD1677" s="33">
        <v>8</v>
      </c>
      <c r="BE1677" s="28" t="s">
        <v>138</v>
      </c>
      <c r="BF1677" s="28" t="s">
        <v>138</v>
      </c>
      <c r="BG1677" s="28" t="s">
        <v>138</v>
      </c>
      <c r="BH1677" s="28" t="s">
        <v>31998</v>
      </c>
      <c r="BI1677" s="28" t="s">
        <v>138</v>
      </c>
      <c r="BJ1677" s="28" t="s">
        <v>138</v>
      </c>
      <c r="BK1677" s="28" t="s">
        <v>31999</v>
      </c>
      <c r="BL1677" s="28" t="s">
        <v>31999</v>
      </c>
      <c r="BM1677" s="34">
        <v>42064</v>
      </c>
      <c r="BN1677" s="29">
        <v>8</v>
      </c>
      <c r="BO1677" s="28" t="s">
        <v>172</v>
      </c>
      <c r="BP1677" s="29">
        <v>25</v>
      </c>
      <c r="BQ1677" s="28" t="s">
        <v>1178</v>
      </c>
      <c r="BR1677" s="28" t="s">
        <v>173</v>
      </c>
      <c r="BS1677" s="28" t="s">
        <v>206</v>
      </c>
      <c r="BT1677" s="28" t="s">
        <v>138</v>
      </c>
      <c r="BU1677" s="28" t="s">
        <v>174</v>
      </c>
      <c r="BV1677" s="28" t="s">
        <v>177</v>
      </c>
      <c r="BW1677" s="28" t="s">
        <v>138</v>
      </c>
      <c r="BX1677" s="28" t="s">
        <v>138</v>
      </c>
      <c r="BY1677" s="28" t="s">
        <v>175</v>
      </c>
      <c r="BZ1677" s="34">
        <v>43103</v>
      </c>
      <c r="CA1677" s="29">
        <v>5.2</v>
      </c>
      <c r="CB1677" s="28" t="s">
        <v>1178</v>
      </c>
      <c r="CC1677" s="29">
        <v>105.2</v>
      </c>
      <c r="CD1677" s="28" t="s">
        <v>1178</v>
      </c>
      <c r="CE1677" s="28" t="s">
        <v>173</v>
      </c>
      <c r="CF1677" s="28" t="s">
        <v>974</v>
      </c>
      <c r="CG1677" s="28" t="s">
        <v>138</v>
      </c>
      <c r="CH1677" s="28" t="s">
        <v>174</v>
      </c>
      <c r="CI1677" s="28" t="s">
        <v>138</v>
      </c>
      <c r="CJ1677" s="28" t="s">
        <v>138</v>
      </c>
      <c r="CK1677" s="28" t="s">
        <v>138</v>
      </c>
      <c r="CL1677" s="28" t="s">
        <v>175</v>
      </c>
      <c r="CM1677" s="34" t="s">
        <v>138</v>
      </c>
      <c r="CN1677" s="29" t="s">
        <v>138</v>
      </c>
      <c r="CO1677" s="35">
        <v>-1.73</v>
      </c>
      <c r="CP1677" s="36">
        <v>6</v>
      </c>
      <c r="CQ1677" s="35">
        <v>0</v>
      </c>
      <c r="CR1677" s="35">
        <v>-0.01</v>
      </c>
      <c r="CS1677" s="35">
        <v>-3.54</v>
      </c>
      <c r="CT1677" s="36">
        <v>4</v>
      </c>
      <c r="CU1677" s="35">
        <v>7.0000000000000007E-2</v>
      </c>
      <c r="CV1677" s="36">
        <v>62</v>
      </c>
      <c r="CW1677" s="35">
        <v>-3.54</v>
      </c>
      <c r="CX1677" s="36">
        <v>4</v>
      </c>
      <c r="CY1677" s="35" t="s">
        <v>138</v>
      </c>
      <c r="CZ1677" s="36" t="s">
        <v>138</v>
      </c>
      <c r="DA1677" s="35">
        <v>0.13</v>
      </c>
      <c r="DB1677" s="36">
        <v>76</v>
      </c>
      <c r="DC1677" s="37">
        <v>55.27</v>
      </c>
      <c r="DD1677" s="36">
        <v>98</v>
      </c>
      <c r="DE1677" s="37">
        <v>-4.0199999999999996</v>
      </c>
      <c r="DF1677" s="35">
        <v>-6.79</v>
      </c>
      <c r="DG1677" s="37">
        <v>64.59</v>
      </c>
      <c r="DH1677" s="36">
        <v>99</v>
      </c>
      <c r="DI1677" s="37">
        <v>45.94</v>
      </c>
      <c r="DJ1677" s="36">
        <v>95</v>
      </c>
      <c r="DK1677" s="37">
        <v>64.59</v>
      </c>
      <c r="DL1677" s="36">
        <v>97</v>
      </c>
      <c r="DM1677" s="37" t="s">
        <v>138</v>
      </c>
      <c r="DN1677" s="36" t="s">
        <v>138</v>
      </c>
      <c r="DO1677" s="37">
        <v>80.5</v>
      </c>
      <c r="DP1677" s="36">
        <v>98</v>
      </c>
      <c r="DQ1677" s="36">
        <v>22074</v>
      </c>
      <c r="DR1677" s="38">
        <v>241</v>
      </c>
      <c r="DS1677" s="35">
        <v>1.1000000000000001</v>
      </c>
      <c r="DT1677" s="36" t="s">
        <v>138</v>
      </c>
      <c r="DU1677" s="38" t="s">
        <v>138</v>
      </c>
      <c r="DV1677" s="35" t="s">
        <v>138</v>
      </c>
      <c r="DW1677" s="36">
        <v>28813</v>
      </c>
      <c r="DX1677" s="39">
        <v>26</v>
      </c>
      <c r="DY1677" s="35">
        <v>0.09</v>
      </c>
      <c r="DZ1677" s="28" t="s">
        <v>178</v>
      </c>
      <c r="EA1677" s="34">
        <v>43622</v>
      </c>
      <c r="EB1677" s="29">
        <v>105.2</v>
      </c>
      <c r="EC1677" s="34">
        <v>43103</v>
      </c>
      <c r="ED1677" s="28" t="s">
        <v>173</v>
      </c>
      <c r="EE1677" s="40" t="str">
        <f>HYPERLINK("https://my.pitchbook.com?c=97309-09", "View company online")</f>
        <v>View company online</v>
      </c>
    </row>
    <row r="1678" spans="1:135">
      <c r="A1678" s="15" t="s">
        <v>32000</v>
      </c>
      <c r="B1678" s="15" t="s">
        <v>32001</v>
      </c>
      <c r="C1678" s="15" t="s">
        <v>138</v>
      </c>
      <c r="D1678" s="15" t="s">
        <v>138</v>
      </c>
      <c r="E1678" s="15" t="s">
        <v>32002</v>
      </c>
      <c r="F1678" s="15" t="s">
        <v>32000</v>
      </c>
      <c r="G1678" s="15" t="s">
        <v>32003</v>
      </c>
      <c r="H1678" s="15" t="s">
        <v>322</v>
      </c>
      <c r="I1678" s="15" t="s">
        <v>323</v>
      </c>
      <c r="J1678" s="15" t="s">
        <v>324</v>
      </c>
      <c r="K1678" s="15" t="s">
        <v>10816</v>
      </c>
      <c r="L1678" s="15" t="s">
        <v>32004</v>
      </c>
      <c r="M1678" s="15" t="s">
        <v>32005</v>
      </c>
      <c r="N1678" s="15" t="s">
        <v>147</v>
      </c>
      <c r="O1678" s="17">
        <v>0.27</v>
      </c>
      <c r="P1678" s="15" t="s">
        <v>148</v>
      </c>
      <c r="Q1678" s="15" t="s">
        <v>149</v>
      </c>
      <c r="R1678" s="15" t="s">
        <v>174</v>
      </c>
      <c r="S1678" s="15" t="s">
        <v>32006</v>
      </c>
      <c r="T1678" s="18">
        <v>16</v>
      </c>
      <c r="U1678" s="15" t="s">
        <v>32007</v>
      </c>
      <c r="V1678" s="15" t="s">
        <v>138</v>
      </c>
      <c r="W1678" s="15" t="s">
        <v>138</v>
      </c>
      <c r="X1678" s="19">
        <v>2015</v>
      </c>
      <c r="Y1678" s="15" t="s">
        <v>138</v>
      </c>
      <c r="Z1678" s="15" t="s">
        <v>138</v>
      </c>
      <c r="AA1678" s="15" t="s">
        <v>138</v>
      </c>
      <c r="AB1678" s="20" t="s">
        <v>138</v>
      </c>
      <c r="AC1678" s="20" t="s">
        <v>138</v>
      </c>
      <c r="AD1678" s="20" t="s">
        <v>138</v>
      </c>
      <c r="AE1678" s="20" t="s">
        <v>138</v>
      </c>
      <c r="AF1678" s="20" t="s">
        <v>138</v>
      </c>
      <c r="AG1678" s="15" t="s">
        <v>138</v>
      </c>
      <c r="AH1678" s="20" t="s">
        <v>138</v>
      </c>
      <c r="AI1678" s="20" t="s">
        <v>138</v>
      </c>
      <c r="AJ1678" s="20" t="s">
        <v>138</v>
      </c>
      <c r="AK1678" s="15" t="s">
        <v>32008</v>
      </c>
      <c r="AL1678" s="15" t="s">
        <v>32009</v>
      </c>
      <c r="AM1678" s="15" t="s">
        <v>986</v>
      </c>
      <c r="AN1678" s="15" t="s">
        <v>32010</v>
      </c>
      <c r="AO1678" s="15" t="s">
        <v>32011</v>
      </c>
      <c r="AP1678" s="15" t="s">
        <v>639</v>
      </c>
      <c r="AQ1678" s="15" t="s">
        <v>32012</v>
      </c>
      <c r="AR1678" s="15" t="s">
        <v>32013</v>
      </c>
      <c r="AS1678" s="15" t="s">
        <v>642</v>
      </c>
      <c r="AT1678" s="15" t="s">
        <v>474</v>
      </c>
      <c r="AU1678" s="15" t="s">
        <v>14668</v>
      </c>
      <c r="AV1678" s="15" t="s">
        <v>162</v>
      </c>
      <c r="AW1678" s="15" t="s">
        <v>32014</v>
      </c>
      <c r="AX1678" s="15" t="s">
        <v>138</v>
      </c>
      <c r="AY1678" s="15" t="s">
        <v>32015</v>
      </c>
      <c r="AZ1678" s="15" t="s">
        <v>164</v>
      </c>
      <c r="BA1678" s="15" t="s">
        <v>165</v>
      </c>
      <c r="BB1678" s="15" t="s">
        <v>32016</v>
      </c>
      <c r="BC1678" s="15" t="s">
        <v>32017</v>
      </c>
      <c r="BD1678" s="21">
        <v>6</v>
      </c>
      <c r="BE1678" s="15" t="s">
        <v>138</v>
      </c>
      <c r="BF1678" s="15" t="s">
        <v>138</v>
      </c>
      <c r="BG1678" s="15" t="s">
        <v>138</v>
      </c>
      <c r="BH1678" s="15" t="s">
        <v>32018</v>
      </c>
      <c r="BI1678" s="15" t="s">
        <v>138</v>
      </c>
      <c r="BJ1678" s="15" t="s">
        <v>138</v>
      </c>
      <c r="BK1678" s="15" t="s">
        <v>138</v>
      </c>
      <c r="BL1678" s="15" t="s">
        <v>927</v>
      </c>
      <c r="BM1678" s="22">
        <v>42370</v>
      </c>
      <c r="BN1678" s="17" t="s">
        <v>138</v>
      </c>
      <c r="BO1678" s="15" t="s">
        <v>138</v>
      </c>
      <c r="BP1678" s="17" t="s">
        <v>138</v>
      </c>
      <c r="BQ1678" s="15" t="s">
        <v>138</v>
      </c>
      <c r="BR1678" s="15" t="s">
        <v>205</v>
      </c>
      <c r="BS1678" s="15" t="s">
        <v>138</v>
      </c>
      <c r="BT1678" s="15" t="s">
        <v>138</v>
      </c>
      <c r="BU1678" s="15" t="s">
        <v>174</v>
      </c>
      <c r="BV1678" s="15" t="s">
        <v>138</v>
      </c>
      <c r="BW1678" s="15" t="s">
        <v>138</v>
      </c>
      <c r="BX1678" s="15" t="s">
        <v>138</v>
      </c>
      <c r="BY1678" s="15" t="s">
        <v>175</v>
      </c>
      <c r="BZ1678" s="22">
        <v>43425</v>
      </c>
      <c r="CA1678" s="17" t="s">
        <v>138</v>
      </c>
      <c r="CB1678" s="15" t="s">
        <v>138</v>
      </c>
      <c r="CC1678" s="17" t="s">
        <v>138</v>
      </c>
      <c r="CD1678" s="15" t="s">
        <v>138</v>
      </c>
      <c r="CE1678" s="15" t="s">
        <v>234</v>
      </c>
      <c r="CF1678" s="15" t="s">
        <v>234</v>
      </c>
      <c r="CG1678" s="15" t="s">
        <v>138</v>
      </c>
      <c r="CH1678" s="15" t="s">
        <v>174</v>
      </c>
      <c r="CI1678" s="15" t="s">
        <v>264</v>
      </c>
      <c r="CJ1678" s="15" t="s">
        <v>138</v>
      </c>
      <c r="CK1678" s="15" t="s">
        <v>138</v>
      </c>
      <c r="CL1678" s="15" t="s">
        <v>175</v>
      </c>
      <c r="CM1678" s="22" t="s">
        <v>138</v>
      </c>
      <c r="CN1678" s="17" t="s">
        <v>138</v>
      </c>
      <c r="CO1678" s="23">
        <v>0.41</v>
      </c>
      <c r="CP1678" s="24">
        <v>95</v>
      </c>
      <c r="CQ1678" s="23">
        <v>0.02</v>
      </c>
      <c r="CR1678" s="23">
        <v>6.42</v>
      </c>
      <c r="CS1678" s="23">
        <v>0</v>
      </c>
      <c r="CT1678" s="24">
        <v>23</v>
      </c>
      <c r="CU1678" s="23">
        <v>0.1</v>
      </c>
      <c r="CV1678" s="24">
        <v>68</v>
      </c>
      <c r="CW1678" s="23" t="s">
        <v>138</v>
      </c>
      <c r="CX1678" s="24" t="s">
        <v>138</v>
      </c>
      <c r="CY1678" s="23">
        <v>0</v>
      </c>
      <c r="CZ1678" s="24">
        <v>25</v>
      </c>
      <c r="DA1678" s="23">
        <v>0.2</v>
      </c>
      <c r="DB1678" s="24">
        <v>82</v>
      </c>
      <c r="DC1678" s="25">
        <v>0.68</v>
      </c>
      <c r="DD1678" s="24">
        <v>41</v>
      </c>
      <c r="DE1678" s="25">
        <v>0</v>
      </c>
      <c r="DF1678" s="23">
        <v>0.16</v>
      </c>
      <c r="DG1678" s="25">
        <v>1.66</v>
      </c>
      <c r="DH1678" s="24">
        <v>63</v>
      </c>
      <c r="DI1678" s="25">
        <v>0.38</v>
      </c>
      <c r="DJ1678" s="24">
        <v>32</v>
      </c>
      <c r="DK1678" s="25" t="s">
        <v>138</v>
      </c>
      <c r="DL1678" s="24" t="s">
        <v>138</v>
      </c>
      <c r="DM1678" s="25">
        <v>1.66</v>
      </c>
      <c r="DN1678" s="24">
        <v>62</v>
      </c>
      <c r="DO1678" s="25">
        <v>0.71</v>
      </c>
      <c r="DP1678" s="24">
        <v>44</v>
      </c>
      <c r="DQ1678" s="24" t="s">
        <v>138</v>
      </c>
      <c r="DR1678" s="26" t="s">
        <v>138</v>
      </c>
      <c r="DS1678" s="23" t="s">
        <v>138</v>
      </c>
      <c r="DT1678" s="24">
        <v>48</v>
      </c>
      <c r="DU1678" s="26">
        <v>1</v>
      </c>
      <c r="DV1678" s="23">
        <v>2.13</v>
      </c>
      <c r="DW1678" s="24">
        <v>253</v>
      </c>
      <c r="DX1678" s="27">
        <v>1</v>
      </c>
      <c r="DY1678" s="23">
        <v>0.4</v>
      </c>
      <c r="DZ1678" s="15" t="s">
        <v>178</v>
      </c>
      <c r="EA1678" s="22">
        <v>43609</v>
      </c>
      <c r="EB1678" s="17">
        <v>0.33</v>
      </c>
      <c r="EC1678" s="22">
        <v>42404</v>
      </c>
      <c r="ED1678" s="15" t="s">
        <v>316</v>
      </c>
      <c r="EE1678" s="14" t="str">
        <f>HYPERLINK("https://my.pitchbook.com?c=165921-04", "View company online")</f>
        <v>View company online</v>
      </c>
    </row>
    <row r="1679" spans="1:135">
      <c r="A1679" s="28" t="s">
        <v>32019</v>
      </c>
      <c r="B1679" s="28" t="s">
        <v>32020</v>
      </c>
      <c r="C1679" s="28" t="s">
        <v>138</v>
      </c>
      <c r="D1679" s="28" t="s">
        <v>138</v>
      </c>
      <c r="E1679" s="28" t="s">
        <v>32021</v>
      </c>
      <c r="F1679" s="28" t="s">
        <v>32019</v>
      </c>
      <c r="G1679" s="28" t="s">
        <v>32022</v>
      </c>
      <c r="H1679" s="28" t="s">
        <v>322</v>
      </c>
      <c r="I1679" s="28" t="s">
        <v>323</v>
      </c>
      <c r="J1679" s="28" t="s">
        <v>954</v>
      </c>
      <c r="K1679" s="28" t="s">
        <v>955</v>
      </c>
      <c r="L1679" s="28" t="s">
        <v>7452</v>
      </c>
      <c r="M1679" s="28" t="s">
        <v>32023</v>
      </c>
      <c r="N1679" s="28" t="s">
        <v>147</v>
      </c>
      <c r="O1679" s="29">
        <v>20</v>
      </c>
      <c r="P1679" s="28" t="s">
        <v>148</v>
      </c>
      <c r="Q1679" s="28" t="s">
        <v>149</v>
      </c>
      <c r="R1679" s="28" t="s">
        <v>174</v>
      </c>
      <c r="S1679" s="28" t="s">
        <v>32024</v>
      </c>
      <c r="T1679" s="30">
        <v>130</v>
      </c>
      <c r="U1679" s="28" t="s">
        <v>32025</v>
      </c>
      <c r="V1679" s="28" t="s">
        <v>138</v>
      </c>
      <c r="W1679" s="28" t="s">
        <v>138</v>
      </c>
      <c r="X1679" s="31">
        <v>2015</v>
      </c>
      <c r="Y1679" s="28" t="s">
        <v>138</v>
      </c>
      <c r="Z1679" s="28" t="s">
        <v>138</v>
      </c>
      <c r="AA1679" s="28" t="s">
        <v>138</v>
      </c>
      <c r="AB1679" s="32" t="s">
        <v>138</v>
      </c>
      <c r="AC1679" s="32" t="s">
        <v>138</v>
      </c>
      <c r="AD1679" s="32" t="s">
        <v>138</v>
      </c>
      <c r="AE1679" s="32" t="s">
        <v>138</v>
      </c>
      <c r="AF1679" s="32" t="s">
        <v>138</v>
      </c>
      <c r="AG1679" s="28" t="s">
        <v>138</v>
      </c>
      <c r="AH1679" s="32" t="s">
        <v>138</v>
      </c>
      <c r="AI1679" s="32" t="s">
        <v>138</v>
      </c>
      <c r="AJ1679" s="32" t="s">
        <v>138</v>
      </c>
      <c r="AK1679" s="28" t="s">
        <v>32026</v>
      </c>
      <c r="AL1679" s="28" t="s">
        <v>32027</v>
      </c>
      <c r="AM1679" s="28" t="s">
        <v>5715</v>
      </c>
      <c r="AN1679" s="28" t="s">
        <v>32028</v>
      </c>
      <c r="AO1679" s="28" t="s">
        <v>32029</v>
      </c>
      <c r="AP1679" s="28" t="s">
        <v>941</v>
      </c>
      <c r="AQ1679" s="28" t="s">
        <v>32030</v>
      </c>
      <c r="AR1679" s="28" t="s">
        <v>32031</v>
      </c>
      <c r="AS1679" s="28" t="s">
        <v>944</v>
      </c>
      <c r="AT1679" s="28" t="s">
        <v>138</v>
      </c>
      <c r="AU1679" s="28" t="s">
        <v>32032</v>
      </c>
      <c r="AV1679" s="28" t="s">
        <v>946</v>
      </c>
      <c r="AW1679" s="28" t="s">
        <v>32029</v>
      </c>
      <c r="AX1679" s="28" t="s">
        <v>32033</v>
      </c>
      <c r="AY1679" s="28" t="s">
        <v>32034</v>
      </c>
      <c r="AZ1679" s="28" t="s">
        <v>530</v>
      </c>
      <c r="BA1679" s="28" t="s">
        <v>531</v>
      </c>
      <c r="BB1679" s="28" t="s">
        <v>32035</v>
      </c>
      <c r="BC1679" s="28" t="s">
        <v>32036</v>
      </c>
      <c r="BD1679" s="33">
        <v>14</v>
      </c>
      <c r="BE1679" s="28" t="s">
        <v>138</v>
      </c>
      <c r="BF1679" s="28" t="s">
        <v>138</v>
      </c>
      <c r="BG1679" s="28" t="s">
        <v>138</v>
      </c>
      <c r="BH1679" s="28" t="s">
        <v>32037</v>
      </c>
      <c r="BI1679" s="28" t="s">
        <v>138</v>
      </c>
      <c r="BJ1679" s="28" t="s">
        <v>138</v>
      </c>
      <c r="BK1679" s="28" t="s">
        <v>138</v>
      </c>
      <c r="BL1679" s="28" t="s">
        <v>8906</v>
      </c>
      <c r="BM1679" s="34">
        <v>42044</v>
      </c>
      <c r="BN1679" s="29" t="s">
        <v>138</v>
      </c>
      <c r="BO1679" s="28" t="s">
        <v>138</v>
      </c>
      <c r="BP1679" s="29" t="s">
        <v>138</v>
      </c>
      <c r="BQ1679" s="28" t="s">
        <v>138</v>
      </c>
      <c r="BR1679" s="28" t="s">
        <v>262</v>
      </c>
      <c r="BS1679" s="28" t="s">
        <v>262</v>
      </c>
      <c r="BT1679" s="28" t="s">
        <v>138</v>
      </c>
      <c r="BU1679" s="28" t="s">
        <v>263</v>
      </c>
      <c r="BV1679" s="28" t="s">
        <v>138</v>
      </c>
      <c r="BW1679" s="28" t="s">
        <v>138</v>
      </c>
      <c r="BX1679" s="28" t="s">
        <v>138</v>
      </c>
      <c r="BY1679" s="28" t="s">
        <v>175</v>
      </c>
      <c r="BZ1679" s="34">
        <v>43257</v>
      </c>
      <c r="CA1679" s="29">
        <v>20</v>
      </c>
      <c r="CB1679" s="28" t="s">
        <v>172</v>
      </c>
      <c r="CC1679" s="29">
        <v>100</v>
      </c>
      <c r="CD1679" s="28" t="s">
        <v>1178</v>
      </c>
      <c r="CE1679" s="28" t="s">
        <v>205</v>
      </c>
      <c r="CF1679" s="28" t="s">
        <v>720</v>
      </c>
      <c r="CG1679" s="28" t="s">
        <v>138</v>
      </c>
      <c r="CH1679" s="28" t="s">
        <v>174</v>
      </c>
      <c r="CI1679" s="28" t="s">
        <v>138</v>
      </c>
      <c r="CJ1679" s="28" t="s">
        <v>138</v>
      </c>
      <c r="CK1679" s="28" t="s">
        <v>138</v>
      </c>
      <c r="CL1679" s="28" t="s">
        <v>175</v>
      </c>
      <c r="CM1679" s="34" t="s">
        <v>138</v>
      </c>
      <c r="CN1679" s="29" t="s">
        <v>138</v>
      </c>
      <c r="CO1679" s="35">
        <v>0.01</v>
      </c>
      <c r="CP1679" s="36">
        <v>84</v>
      </c>
      <c r="CQ1679" s="35">
        <v>0</v>
      </c>
      <c r="CR1679" s="35">
        <v>0</v>
      </c>
      <c r="CS1679" s="35">
        <v>0</v>
      </c>
      <c r="CT1679" s="36">
        <v>23</v>
      </c>
      <c r="CU1679" s="35">
        <v>0.01</v>
      </c>
      <c r="CV1679" s="36">
        <v>49</v>
      </c>
      <c r="CW1679" s="35" t="s">
        <v>138</v>
      </c>
      <c r="CX1679" s="36" t="s">
        <v>138</v>
      </c>
      <c r="CY1679" s="35">
        <v>0</v>
      </c>
      <c r="CZ1679" s="36">
        <v>25</v>
      </c>
      <c r="DA1679" s="35">
        <v>0</v>
      </c>
      <c r="DB1679" s="36">
        <v>22</v>
      </c>
      <c r="DC1679" s="37">
        <v>1.83</v>
      </c>
      <c r="DD1679" s="36">
        <v>65</v>
      </c>
      <c r="DE1679" s="37">
        <v>0</v>
      </c>
      <c r="DF1679" s="35">
        <v>-0.05</v>
      </c>
      <c r="DG1679" s="37">
        <v>1.34</v>
      </c>
      <c r="DH1679" s="36">
        <v>58</v>
      </c>
      <c r="DI1679" s="37">
        <v>2.31</v>
      </c>
      <c r="DJ1679" s="36">
        <v>65</v>
      </c>
      <c r="DK1679" s="37" t="s">
        <v>138</v>
      </c>
      <c r="DL1679" s="36" t="s">
        <v>138</v>
      </c>
      <c r="DM1679" s="37">
        <v>1.34</v>
      </c>
      <c r="DN1679" s="36">
        <v>57</v>
      </c>
      <c r="DO1679" s="37">
        <v>0.16</v>
      </c>
      <c r="DP1679" s="36">
        <v>22</v>
      </c>
      <c r="DQ1679" s="36" t="s">
        <v>138</v>
      </c>
      <c r="DR1679" s="38" t="s">
        <v>138</v>
      </c>
      <c r="DS1679" s="35" t="s">
        <v>138</v>
      </c>
      <c r="DT1679" s="36">
        <v>39</v>
      </c>
      <c r="DU1679" s="38">
        <v>0</v>
      </c>
      <c r="DV1679" s="35">
        <v>0</v>
      </c>
      <c r="DW1679" s="36">
        <v>58</v>
      </c>
      <c r="DX1679" s="39">
        <v>1</v>
      </c>
      <c r="DY1679" s="35">
        <v>1.75</v>
      </c>
      <c r="DZ1679" s="28" t="s">
        <v>178</v>
      </c>
      <c r="EA1679" s="34">
        <v>43579</v>
      </c>
      <c r="EB1679" s="29">
        <v>100</v>
      </c>
      <c r="EC1679" s="34">
        <v>43257</v>
      </c>
      <c r="ED1679" s="28" t="s">
        <v>205</v>
      </c>
      <c r="EE1679" s="40" t="str">
        <f>HYPERLINK("https://my.pitchbook.com?c=167792-05", "View company online")</f>
        <v>View company online</v>
      </c>
    </row>
    <row r="1680" spans="1:135">
      <c r="A1680" s="15" t="s">
        <v>32038</v>
      </c>
      <c r="B1680" s="15" t="s">
        <v>32039</v>
      </c>
      <c r="C1680" s="15" t="s">
        <v>138</v>
      </c>
      <c r="D1680" s="15" t="s">
        <v>32040</v>
      </c>
      <c r="E1680" s="15" t="s">
        <v>138</v>
      </c>
      <c r="F1680" s="15" t="s">
        <v>32038</v>
      </c>
      <c r="G1680" s="15" t="s">
        <v>32041</v>
      </c>
      <c r="H1680" s="15" t="s">
        <v>141</v>
      </c>
      <c r="I1680" s="15" t="s">
        <v>212</v>
      </c>
      <c r="J1680" s="15" t="s">
        <v>1257</v>
      </c>
      <c r="K1680" s="15" t="s">
        <v>32042</v>
      </c>
      <c r="L1680" s="15" t="s">
        <v>32043</v>
      </c>
      <c r="M1680" s="15" t="s">
        <v>32044</v>
      </c>
      <c r="N1680" s="15" t="s">
        <v>147</v>
      </c>
      <c r="O1680" s="17">
        <v>35.299999999999997</v>
      </c>
      <c r="P1680" s="15" t="s">
        <v>148</v>
      </c>
      <c r="Q1680" s="15" t="s">
        <v>149</v>
      </c>
      <c r="R1680" s="15" t="s">
        <v>174</v>
      </c>
      <c r="S1680" s="15" t="s">
        <v>32045</v>
      </c>
      <c r="T1680" s="18">
        <v>30</v>
      </c>
      <c r="U1680" s="15" t="s">
        <v>32046</v>
      </c>
      <c r="V1680" s="15" t="s">
        <v>138</v>
      </c>
      <c r="W1680" s="15" t="s">
        <v>138</v>
      </c>
      <c r="X1680" s="19">
        <v>2016</v>
      </c>
      <c r="Y1680" s="15" t="s">
        <v>138</v>
      </c>
      <c r="Z1680" s="15" t="s">
        <v>138</v>
      </c>
      <c r="AA1680" s="15" t="s">
        <v>138</v>
      </c>
      <c r="AB1680" s="20" t="s">
        <v>138</v>
      </c>
      <c r="AC1680" s="20" t="s">
        <v>138</v>
      </c>
      <c r="AD1680" s="20" t="s">
        <v>138</v>
      </c>
      <c r="AE1680" s="20" t="s">
        <v>138</v>
      </c>
      <c r="AF1680" s="20" t="s">
        <v>138</v>
      </c>
      <c r="AG1680" s="15" t="s">
        <v>138</v>
      </c>
      <c r="AH1680" s="20" t="s">
        <v>138</v>
      </c>
      <c r="AI1680" s="20" t="s">
        <v>138</v>
      </c>
      <c r="AJ1680" s="20" t="s">
        <v>138</v>
      </c>
      <c r="AK1680" s="15" t="s">
        <v>32047</v>
      </c>
      <c r="AL1680" s="15" t="s">
        <v>32048</v>
      </c>
      <c r="AM1680" s="15" t="s">
        <v>32049</v>
      </c>
      <c r="AN1680" s="15" t="s">
        <v>32050</v>
      </c>
      <c r="AO1680" s="15" t="s">
        <v>32051</v>
      </c>
      <c r="AP1680" s="15" t="s">
        <v>423</v>
      </c>
      <c r="AQ1680" s="15" t="s">
        <v>32052</v>
      </c>
      <c r="AR1680" s="15" t="s">
        <v>10873</v>
      </c>
      <c r="AS1680" s="15" t="s">
        <v>426</v>
      </c>
      <c r="AT1680" s="15" t="s">
        <v>426</v>
      </c>
      <c r="AU1680" s="15" t="s">
        <v>9264</v>
      </c>
      <c r="AV1680" s="15" t="s">
        <v>162</v>
      </c>
      <c r="AW1680" s="15" t="s">
        <v>32051</v>
      </c>
      <c r="AX1680" s="15" t="s">
        <v>138</v>
      </c>
      <c r="AY1680" s="15" t="s">
        <v>138</v>
      </c>
      <c r="AZ1680" s="15" t="s">
        <v>164</v>
      </c>
      <c r="BA1680" s="15" t="s">
        <v>165</v>
      </c>
      <c r="BB1680" s="15" t="s">
        <v>32053</v>
      </c>
      <c r="BC1680" s="15" t="s">
        <v>32054</v>
      </c>
      <c r="BD1680" s="21">
        <v>31</v>
      </c>
      <c r="BE1680" s="15" t="s">
        <v>138</v>
      </c>
      <c r="BF1680" s="15" t="s">
        <v>138</v>
      </c>
      <c r="BG1680" s="15" t="s">
        <v>138</v>
      </c>
      <c r="BH1680" s="15" t="s">
        <v>32055</v>
      </c>
      <c r="BI1680" s="15" t="s">
        <v>138</v>
      </c>
      <c r="BJ1680" s="15" t="s">
        <v>138</v>
      </c>
      <c r="BK1680" s="15" t="s">
        <v>1275</v>
      </c>
      <c r="BL1680" s="15" t="s">
        <v>1275</v>
      </c>
      <c r="BM1680" s="22">
        <v>42531</v>
      </c>
      <c r="BN1680" s="17">
        <v>0.12</v>
      </c>
      <c r="BO1680" s="15" t="s">
        <v>172</v>
      </c>
      <c r="BP1680" s="17">
        <v>0.33</v>
      </c>
      <c r="BQ1680" s="15" t="s">
        <v>172</v>
      </c>
      <c r="BR1680" s="15" t="s">
        <v>316</v>
      </c>
      <c r="BS1680" s="15" t="s">
        <v>138</v>
      </c>
      <c r="BT1680" s="15" t="s">
        <v>138</v>
      </c>
      <c r="BU1680" s="15" t="s">
        <v>177</v>
      </c>
      <c r="BV1680" s="15" t="s">
        <v>264</v>
      </c>
      <c r="BW1680" s="15" t="s">
        <v>138</v>
      </c>
      <c r="BX1680" s="15" t="s">
        <v>138</v>
      </c>
      <c r="BY1680" s="15" t="s">
        <v>175</v>
      </c>
      <c r="BZ1680" s="22">
        <v>43609</v>
      </c>
      <c r="CA1680" s="17">
        <v>5.45</v>
      </c>
      <c r="CB1680" s="15" t="s">
        <v>172</v>
      </c>
      <c r="CC1680" s="17" t="s">
        <v>138</v>
      </c>
      <c r="CD1680" s="15" t="s">
        <v>138</v>
      </c>
      <c r="CE1680" s="15" t="s">
        <v>205</v>
      </c>
      <c r="CF1680" s="15" t="s">
        <v>138</v>
      </c>
      <c r="CG1680" s="15" t="s">
        <v>138</v>
      </c>
      <c r="CH1680" s="15" t="s">
        <v>174</v>
      </c>
      <c r="CI1680" s="15" t="s">
        <v>264</v>
      </c>
      <c r="CJ1680" s="15" t="s">
        <v>138</v>
      </c>
      <c r="CK1680" s="15" t="s">
        <v>138</v>
      </c>
      <c r="CL1680" s="15" t="s">
        <v>175</v>
      </c>
      <c r="CM1680" s="22" t="s">
        <v>138</v>
      </c>
      <c r="CN1680" s="17" t="s">
        <v>138</v>
      </c>
      <c r="CO1680" s="23">
        <v>0</v>
      </c>
      <c r="CP1680" s="24">
        <v>26</v>
      </c>
      <c r="CQ1680" s="23">
        <v>-0.03</v>
      </c>
      <c r="CR1680" s="23">
        <v>-111.26</v>
      </c>
      <c r="CS1680" s="23">
        <v>-0.7</v>
      </c>
      <c r="CT1680" s="24">
        <v>18</v>
      </c>
      <c r="CU1680" s="23">
        <v>0.69</v>
      </c>
      <c r="CV1680" s="24">
        <v>96</v>
      </c>
      <c r="CW1680" s="23">
        <v>-0.7</v>
      </c>
      <c r="CX1680" s="24">
        <v>11</v>
      </c>
      <c r="CY1680" s="23" t="s">
        <v>138</v>
      </c>
      <c r="CZ1680" s="24" t="s">
        <v>138</v>
      </c>
      <c r="DA1680" s="23">
        <v>0.69</v>
      </c>
      <c r="DB1680" s="24">
        <v>96</v>
      </c>
      <c r="DC1680" s="25">
        <v>15.87</v>
      </c>
      <c r="DD1680" s="24">
        <v>93</v>
      </c>
      <c r="DE1680" s="25">
        <v>-1.9</v>
      </c>
      <c r="DF1680" s="23">
        <v>-10.71</v>
      </c>
      <c r="DG1680" s="25">
        <v>29.9</v>
      </c>
      <c r="DH1680" s="24">
        <v>97</v>
      </c>
      <c r="DI1680" s="25">
        <v>1.83</v>
      </c>
      <c r="DJ1680" s="24">
        <v>61</v>
      </c>
      <c r="DK1680" s="25">
        <v>29.9</v>
      </c>
      <c r="DL1680" s="24">
        <v>94</v>
      </c>
      <c r="DM1680" s="25" t="s">
        <v>138</v>
      </c>
      <c r="DN1680" s="24" t="s">
        <v>138</v>
      </c>
      <c r="DO1680" s="25">
        <v>1.83</v>
      </c>
      <c r="DP1680" s="24">
        <v>62</v>
      </c>
      <c r="DQ1680" s="24">
        <v>10274</v>
      </c>
      <c r="DR1680" s="26">
        <v>-57</v>
      </c>
      <c r="DS1680" s="23">
        <v>-0.55000000000000004</v>
      </c>
      <c r="DT1680" s="24" t="s">
        <v>138</v>
      </c>
      <c r="DU1680" s="26" t="s">
        <v>138</v>
      </c>
      <c r="DV1680" s="23" t="s">
        <v>138</v>
      </c>
      <c r="DW1680" s="24">
        <v>652</v>
      </c>
      <c r="DX1680" s="27">
        <v>4</v>
      </c>
      <c r="DY1680" s="23">
        <v>0.62</v>
      </c>
      <c r="DZ1680" s="15" t="s">
        <v>178</v>
      </c>
      <c r="EA1680" s="22">
        <v>43613</v>
      </c>
      <c r="EB1680" s="17">
        <v>82.5</v>
      </c>
      <c r="EC1680" s="22">
        <v>43364</v>
      </c>
      <c r="ED1680" s="15" t="s">
        <v>205</v>
      </c>
      <c r="EE1680" s="14" t="str">
        <f>HYPERLINK("https://my.pitchbook.com?c=161052-13", "View company online")</f>
        <v>View company online</v>
      </c>
    </row>
    <row r="1681" spans="1:135">
      <c r="A1681" s="28" t="s">
        <v>32056</v>
      </c>
      <c r="B1681" s="28" t="s">
        <v>32057</v>
      </c>
      <c r="C1681" s="28" t="s">
        <v>138</v>
      </c>
      <c r="D1681" s="28" t="s">
        <v>138</v>
      </c>
      <c r="E1681" s="28" t="s">
        <v>138</v>
      </c>
      <c r="F1681" s="28" t="s">
        <v>32056</v>
      </c>
      <c r="G1681" s="28" t="s">
        <v>32058</v>
      </c>
      <c r="H1681" s="28" t="s">
        <v>238</v>
      </c>
      <c r="I1681" s="28" t="s">
        <v>269</v>
      </c>
      <c r="J1681" s="28" t="s">
        <v>296</v>
      </c>
      <c r="K1681" s="28" t="s">
        <v>32059</v>
      </c>
      <c r="L1681" s="28" t="s">
        <v>5412</v>
      </c>
      <c r="M1681" s="28" t="s">
        <v>32060</v>
      </c>
      <c r="N1681" s="28" t="s">
        <v>147</v>
      </c>
      <c r="O1681" s="29">
        <v>0.08</v>
      </c>
      <c r="P1681" s="28" t="s">
        <v>148</v>
      </c>
      <c r="Q1681" s="28" t="s">
        <v>149</v>
      </c>
      <c r="R1681" s="28" t="s">
        <v>174</v>
      </c>
      <c r="S1681" s="28" t="s">
        <v>32061</v>
      </c>
      <c r="T1681" s="30">
        <v>2</v>
      </c>
      <c r="U1681" s="28" t="s">
        <v>32062</v>
      </c>
      <c r="V1681" s="28" t="s">
        <v>138</v>
      </c>
      <c r="W1681" s="28" t="s">
        <v>138</v>
      </c>
      <c r="X1681" s="31">
        <v>2015</v>
      </c>
      <c r="Y1681" s="28" t="s">
        <v>138</v>
      </c>
      <c r="Z1681" s="28" t="s">
        <v>138</v>
      </c>
      <c r="AA1681" s="28" t="s">
        <v>138</v>
      </c>
      <c r="AB1681" s="32" t="s">
        <v>138</v>
      </c>
      <c r="AC1681" s="32" t="s">
        <v>138</v>
      </c>
      <c r="AD1681" s="32" t="s">
        <v>138</v>
      </c>
      <c r="AE1681" s="32" t="s">
        <v>138</v>
      </c>
      <c r="AF1681" s="32" t="s">
        <v>138</v>
      </c>
      <c r="AG1681" s="28" t="s">
        <v>138</v>
      </c>
      <c r="AH1681" s="32" t="s">
        <v>138</v>
      </c>
      <c r="AI1681" s="32" t="s">
        <v>138</v>
      </c>
      <c r="AJ1681" s="32" t="s">
        <v>138</v>
      </c>
      <c r="AK1681" s="28" t="s">
        <v>32063</v>
      </c>
      <c r="AL1681" s="28" t="s">
        <v>32064</v>
      </c>
      <c r="AM1681" s="28" t="s">
        <v>938</v>
      </c>
      <c r="AN1681" s="28" t="s">
        <v>32065</v>
      </c>
      <c r="AO1681" s="28" t="s">
        <v>138</v>
      </c>
      <c r="AP1681" s="28" t="s">
        <v>665</v>
      </c>
      <c r="AQ1681" s="28" t="s">
        <v>138</v>
      </c>
      <c r="AR1681" s="28" t="s">
        <v>138</v>
      </c>
      <c r="AS1681" s="28" t="s">
        <v>668</v>
      </c>
      <c r="AT1681" s="28" t="s">
        <v>200</v>
      </c>
      <c r="AU1681" s="28" t="s">
        <v>138</v>
      </c>
      <c r="AV1681" s="28" t="s">
        <v>162</v>
      </c>
      <c r="AW1681" s="28" t="s">
        <v>138</v>
      </c>
      <c r="AX1681" s="28" t="s">
        <v>138</v>
      </c>
      <c r="AY1681" s="28" t="s">
        <v>32066</v>
      </c>
      <c r="AZ1681" s="28" t="s">
        <v>164</v>
      </c>
      <c r="BA1681" s="28" t="s">
        <v>165</v>
      </c>
      <c r="BB1681" s="28" t="s">
        <v>32067</v>
      </c>
      <c r="BC1681" s="28" t="s">
        <v>32068</v>
      </c>
      <c r="BD1681" s="33">
        <v>8</v>
      </c>
      <c r="BE1681" s="28" t="s">
        <v>138</v>
      </c>
      <c r="BF1681" s="28" t="s">
        <v>138</v>
      </c>
      <c r="BG1681" s="28" t="s">
        <v>138</v>
      </c>
      <c r="BH1681" s="28" t="s">
        <v>32069</v>
      </c>
      <c r="BI1681" s="28" t="s">
        <v>138</v>
      </c>
      <c r="BJ1681" s="28" t="s">
        <v>138</v>
      </c>
      <c r="BK1681" s="28" t="s">
        <v>138</v>
      </c>
      <c r="BL1681" s="28" t="s">
        <v>138</v>
      </c>
      <c r="BM1681" s="34">
        <v>42124</v>
      </c>
      <c r="BN1681" s="29">
        <v>0.05</v>
      </c>
      <c r="BO1681" s="28" t="s">
        <v>172</v>
      </c>
      <c r="BP1681" s="29" t="s">
        <v>138</v>
      </c>
      <c r="BQ1681" s="28" t="s">
        <v>138</v>
      </c>
      <c r="BR1681" s="28" t="s">
        <v>316</v>
      </c>
      <c r="BS1681" s="28" t="s">
        <v>138</v>
      </c>
      <c r="BT1681" s="28" t="s">
        <v>138</v>
      </c>
      <c r="BU1681" s="28" t="s">
        <v>174</v>
      </c>
      <c r="BV1681" s="28" t="s">
        <v>138</v>
      </c>
      <c r="BW1681" s="28" t="s">
        <v>138</v>
      </c>
      <c r="BX1681" s="28" t="s">
        <v>138</v>
      </c>
      <c r="BY1681" s="28" t="s">
        <v>175</v>
      </c>
      <c r="BZ1681" s="34">
        <v>43073</v>
      </c>
      <c r="CA1681" s="29" t="s">
        <v>138</v>
      </c>
      <c r="CB1681" s="28" t="s">
        <v>138</v>
      </c>
      <c r="CC1681" s="29" t="s">
        <v>138</v>
      </c>
      <c r="CD1681" s="28" t="s">
        <v>138</v>
      </c>
      <c r="CE1681" s="28" t="s">
        <v>205</v>
      </c>
      <c r="CF1681" s="28" t="s">
        <v>138</v>
      </c>
      <c r="CG1681" s="28" t="s">
        <v>138</v>
      </c>
      <c r="CH1681" s="28" t="s">
        <v>174</v>
      </c>
      <c r="CI1681" s="28" t="s">
        <v>138</v>
      </c>
      <c r="CJ1681" s="28" t="s">
        <v>138</v>
      </c>
      <c r="CK1681" s="28" t="s">
        <v>138</v>
      </c>
      <c r="CL1681" s="28" t="s">
        <v>175</v>
      </c>
      <c r="CM1681" s="34" t="s">
        <v>138</v>
      </c>
      <c r="CN1681" s="29" t="s">
        <v>138</v>
      </c>
      <c r="CO1681" s="35">
        <v>-0.01</v>
      </c>
      <c r="CP1681" s="36">
        <v>25</v>
      </c>
      <c r="CQ1681" s="35">
        <v>0.02</v>
      </c>
      <c r="CR1681" s="35">
        <v>63.63</v>
      </c>
      <c r="CS1681" s="35">
        <v>0</v>
      </c>
      <c r="CT1681" s="36">
        <v>23</v>
      </c>
      <c r="CU1681" s="35">
        <v>-0.02</v>
      </c>
      <c r="CV1681" s="36">
        <v>17</v>
      </c>
      <c r="CW1681" s="35" t="s">
        <v>138</v>
      </c>
      <c r="CX1681" s="36" t="s">
        <v>138</v>
      </c>
      <c r="CY1681" s="35">
        <v>0</v>
      </c>
      <c r="CZ1681" s="36">
        <v>25</v>
      </c>
      <c r="DA1681" s="35">
        <v>-0.02</v>
      </c>
      <c r="DB1681" s="36">
        <v>19</v>
      </c>
      <c r="DC1681" s="37">
        <v>1.92</v>
      </c>
      <c r="DD1681" s="36">
        <v>66</v>
      </c>
      <c r="DE1681" s="37">
        <v>0.02</v>
      </c>
      <c r="DF1681" s="35">
        <v>1.0900000000000001</v>
      </c>
      <c r="DG1681" s="37">
        <v>2.0299999999999998</v>
      </c>
      <c r="DH1681" s="36">
        <v>67</v>
      </c>
      <c r="DI1681" s="37">
        <v>1.82</v>
      </c>
      <c r="DJ1681" s="36">
        <v>61</v>
      </c>
      <c r="DK1681" s="37" t="s">
        <v>138</v>
      </c>
      <c r="DL1681" s="36" t="s">
        <v>138</v>
      </c>
      <c r="DM1681" s="37">
        <v>2.0299999999999998</v>
      </c>
      <c r="DN1681" s="36">
        <v>66</v>
      </c>
      <c r="DO1681" s="37">
        <v>1.9</v>
      </c>
      <c r="DP1681" s="36">
        <v>63</v>
      </c>
      <c r="DQ1681" s="36" t="s">
        <v>138</v>
      </c>
      <c r="DR1681" s="38" t="s">
        <v>138</v>
      </c>
      <c r="DS1681" s="35" t="s">
        <v>138</v>
      </c>
      <c r="DT1681" s="36">
        <v>58</v>
      </c>
      <c r="DU1681" s="38">
        <v>0</v>
      </c>
      <c r="DV1681" s="35">
        <v>0</v>
      </c>
      <c r="DW1681" s="36">
        <v>680</v>
      </c>
      <c r="DX1681" s="39">
        <v>2</v>
      </c>
      <c r="DY1681" s="35">
        <v>0.28999999999999998</v>
      </c>
      <c r="DZ1681" s="28" t="s">
        <v>178</v>
      </c>
      <c r="EA1681" s="34">
        <v>43419</v>
      </c>
      <c r="EB1681" s="29" t="s">
        <v>138</v>
      </c>
      <c r="EC1681" s="34" t="s">
        <v>138</v>
      </c>
      <c r="ED1681" s="28" t="s">
        <v>138</v>
      </c>
      <c r="EE1681" s="40" t="str">
        <f>HYPERLINK("https://my.pitchbook.com?c=112496-32", "View company online")</f>
        <v>View company online</v>
      </c>
    </row>
    <row r="1682" spans="1:135">
      <c r="A1682" s="15" t="s">
        <v>32070</v>
      </c>
      <c r="B1682" s="15" t="s">
        <v>32071</v>
      </c>
      <c r="C1682" s="15" t="s">
        <v>32072</v>
      </c>
      <c r="D1682" s="15" t="s">
        <v>138</v>
      </c>
      <c r="E1682" s="15" t="s">
        <v>32073</v>
      </c>
      <c r="F1682" s="15" t="s">
        <v>32070</v>
      </c>
      <c r="G1682" s="15" t="s">
        <v>32074</v>
      </c>
      <c r="H1682" s="15" t="s">
        <v>183</v>
      </c>
      <c r="I1682" s="15" t="s">
        <v>725</v>
      </c>
      <c r="J1682" s="15" t="s">
        <v>726</v>
      </c>
      <c r="K1682" s="15" t="s">
        <v>727</v>
      </c>
      <c r="L1682" s="15" t="s">
        <v>17791</v>
      </c>
      <c r="M1682" s="15" t="s">
        <v>32075</v>
      </c>
      <c r="N1682" s="15" t="s">
        <v>147</v>
      </c>
      <c r="O1682" s="17">
        <v>55.08</v>
      </c>
      <c r="P1682" s="15" t="s">
        <v>148</v>
      </c>
      <c r="Q1682" s="15" t="s">
        <v>149</v>
      </c>
      <c r="R1682" s="15" t="s">
        <v>174</v>
      </c>
      <c r="S1682" s="15" t="s">
        <v>32076</v>
      </c>
      <c r="T1682" s="18" t="s">
        <v>138</v>
      </c>
      <c r="U1682" s="15" t="s">
        <v>138</v>
      </c>
      <c r="V1682" s="15" t="s">
        <v>138</v>
      </c>
      <c r="W1682" s="15" t="s">
        <v>138</v>
      </c>
      <c r="X1682" s="19">
        <v>2010</v>
      </c>
      <c r="Y1682" s="15" t="s">
        <v>138</v>
      </c>
      <c r="Z1682" s="15" t="s">
        <v>138</v>
      </c>
      <c r="AA1682" s="15" t="s">
        <v>138</v>
      </c>
      <c r="AB1682" s="20" t="s">
        <v>138</v>
      </c>
      <c r="AC1682" s="20" t="s">
        <v>138</v>
      </c>
      <c r="AD1682" s="20" t="s">
        <v>138</v>
      </c>
      <c r="AE1682" s="20" t="s">
        <v>138</v>
      </c>
      <c r="AF1682" s="20" t="s">
        <v>138</v>
      </c>
      <c r="AG1682" s="15" t="s">
        <v>138</v>
      </c>
      <c r="AH1682" s="20" t="s">
        <v>138</v>
      </c>
      <c r="AI1682" s="20" t="s">
        <v>138</v>
      </c>
      <c r="AJ1682" s="20" t="s">
        <v>138</v>
      </c>
      <c r="AK1682" s="15" t="s">
        <v>32077</v>
      </c>
      <c r="AL1682" s="15" t="s">
        <v>32078</v>
      </c>
      <c r="AM1682" s="15" t="s">
        <v>221</v>
      </c>
      <c r="AN1682" s="15" t="s">
        <v>32079</v>
      </c>
      <c r="AO1682" s="15" t="s">
        <v>32080</v>
      </c>
      <c r="AP1682" s="15" t="s">
        <v>423</v>
      </c>
      <c r="AQ1682" s="15" t="s">
        <v>32081</v>
      </c>
      <c r="AR1682" s="15" t="s">
        <v>32082</v>
      </c>
      <c r="AS1682" s="15" t="s">
        <v>426</v>
      </c>
      <c r="AT1682" s="15" t="s">
        <v>426</v>
      </c>
      <c r="AU1682" s="15" t="s">
        <v>2610</v>
      </c>
      <c r="AV1682" s="15" t="s">
        <v>162</v>
      </c>
      <c r="AW1682" s="15" t="s">
        <v>138</v>
      </c>
      <c r="AX1682" s="15" t="s">
        <v>138</v>
      </c>
      <c r="AY1682" s="15" t="s">
        <v>32083</v>
      </c>
      <c r="AZ1682" s="15" t="s">
        <v>164</v>
      </c>
      <c r="BA1682" s="15" t="s">
        <v>165</v>
      </c>
      <c r="BB1682" s="15" t="s">
        <v>32084</v>
      </c>
      <c r="BC1682" s="15" t="s">
        <v>32085</v>
      </c>
      <c r="BD1682" s="21">
        <v>16</v>
      </c>
      <c r="BE1682" s="15" t="s">
        <v>138</v>
      </c>
      <c r="BF1682" s="15" t="s">
        <v>138</v>
      </c>
      <c r="BG1682" s="15" t="s">
        <v>138</v>
      </c>
      <c r="BH1682" s="15" t="s">
        <v>32086</v>
      </c>
      <c r="BI1682" s="15" t="s">
        <v>138</v>
      </c>
      <c r="BJ1682" s="15" t="s">
        <v>138</v>
      </c>
      <c r="BK1682" s="15" t="s">
        <v>32087</v>
      </c>
      <c r="BL1682" s="15" t="s">
        <v>32088</v>
      </c>
      <c r="BM1682" s="22">
        <v>40736</v>
      </c>
      <c r="BN1682" s="17">
        <v>1.7</v>
      </c>
      <c r="BO1682" s="15" t="s">
        <v>172</v>
      </c>
      <c r="BP1682" s="17" t="s">
        <v>138</v>
      </c>
      <c r="BQ1682" s="15" t="s">
        <v>138</v>
      </c>
      <c r="BR1682" s="15" t="s">
        <v>234</v>
      </c>
      <c r="BS1682" s="15" t="s">
        <v>234</v>
      </c>
      <c r="BT1682" s="15" t="s">
        <v>138</v>
      </c>
      <c r="BU1682" s="15" t="s">
        <v>174</v>
      </c>
      <c r="BV1682" s="15" t="s">
        <v>264</v>
      </c>
      <c r="BW1682" s="15" t="s">
        <v>138</v>
      </c>
      <c r="BX1682" s="15" t="s">
        <v>138</v>
      </c>
      <c r="BY1682" s="15" t="s">
        <v>175</v>
      </c>
      <c r="BZ1682" s="22">
        <v>43600</v>
      </c>
      <c r="CA1682" s="17">
        <v>24.34</v>
      </c>
      <c r="CB1682" s="15" t="s">
        <v>172</v>
      </c>
      <c r="CC1682" s="17">
        <v>120.34</v>
      </c>
      <c r="CD1682" s="15" t="s">
        <v>172</v>
      </c>
      <c r="CE1682" s="15" t="s">
        <v>173</v>
      </c>
      <c r="CF1682" s="15" t="s">
        <v>317</v>
      </c>
      <c r="CG1682" s="15" t="s">
        <v>138</v>
      </c>
      <c r="CH1682" s="15" t="s">
        <v>174</v>
      </c>
      <c r="CI1682" s="15" t="s">
        <v>138</v>
      </c>
      <c r="CJ1682" s="15" t="s">
        <v>138</v>
      </c>
      <c r="CK1682" s="15" t="s">
        <v>138</v>
      </c>
      <c r="CL1682" s="15" t="s">
        <v>175</v>
      </c>
      <c r="CM1682" s="22">
        <v>42601</v>
      </c>
      <c r="CN1682" s="17">
        <v>1.5</v>
      </c>
      <c r="CO1682" s="23">
        <v>0.12</v>
      </c>
      <c r="CP1682" s="24">
        <v>91</v>
      </c>
      <c r="CQ1682" s="23">
        <v>-0.11</v>
      </c>
      <c r="CR1682" s="23">
        <v>-46.41</v>
      </c>
      <c r="CS1682" s="23">
        <v>0.12</v>
      </c>
      <c r="CT1682" s="24">
        <v>94</v>
      </c>
      <c r="CU1682" s="23">
        <v>0.12</v>
      </c>
      <c r="CV1682" s="24">
        <v>71</v>
      </c>
      <c r="CW1682" s="23">
        <v>1.51</v>
      </c>
      <c r="CX1682" s="24">
        <v>86</v>
      </c>
      <c r="CY1682" s="23">
        <v>-1.26</v>
      </c>
      <c r="CZ1682" s="24">
        <v>17</v>
      </c>
      <c r="DA1682" s="23">
        <v>0.24</v>
      </c>
      <c r="DB1682" s="24">
        <v>85</v>
      </c>
      <c r="DC1682" s="25">
        <v>4.79</v>
      </c>
      <c r="DD1682" s="24">
        <v>82</v>
      </c>
      <c r="DE1682" s="25">
        <v>-0.33</v>
      </c>
      <c r="DF1682" s="23">
        <v>-6.45</v>
      </c>
      <c r="DG1682" s="25">
        <v>8.83</v>
      </c>
      <c r="DH1682" s="24">
        <v>88</v>
      </c>
      <c r="DI1682" s="25">
        <v>0.74</v>
      </c>
      <c r="DJ1682" s="24">
        <v>43</v>
      </c>
      <c r="DK1682" s="25">
        <v>10.32</v>
      </c>
      <c r="DL1682" s="24">
        <v>87</v>
      </c>
      <c r="DM1682" s="25">
        <v>7.34</v>
      </c>
      <c r="DN1682" s="24">
        <v>86</v>
      </c>
      <c r="DO1682" s="25">
        <v>1.46</v>
      </c>
      <c r="DP1682" s="24">
        <v>58</v>
      </c>
      <c r="DQ1682" s="24">
        <v>3414</v>
      </c>
      <c r="DR1682" s="26">
        <v>373</v>
      </c>
      <c r="DS1682" s="23">
        <v>12.27</v>
      </c>
      <c r="DT1682" s="24">
        <v>213</v>
      </c>
      <c r="DU1682" s="26">
        <v>0</v>
      </c>
      <c r="DV1682" s="23">
        <v>0</v>
      </c>
      <c r="DW1682" s="24">
        <v>525</v>
      </c>
      <c r="DX1682" s="27">
        <v>0</v>
      </c>
      <c r="DY1682" s="23">
        <v>0</v>
      </c>
      <c r="DZ1682" s="15" t="s">
        <v>178</v>
      </c>
      <c r="EA1682" s="22">
        <v>43622</v>
      </c>
      <c r="EB1682" s="17">
        <v>120.34</v>
      </c>
      <c r="EC1682" s="22">
        <v>43600</v>
      </c>
      <c r="ED1682" s="15" t="s">
        <v>173</v>
      </c>
      <c r="EE1682" s="14" t="str">
        <f>HYPERLINK("https://my.pitchbook.com?c=52377-31", "View company online")</f>
        <v>View company online</v>
      </c>
    </row>
    <row r="1683" spans="1:135">
      <c r="A1683" s="28" t="s">
        <v>32089</v>
      </c>
      <c r="B1683" s="28" t="s">
        <v>32090</v>
      </c>
      <c r="C1683" s="28" t="s">
        <v>138</v>
      </c>
      <c r="D1683" s="28" t="s">
        <v>32091</v>
      </c>
      <c r="E1683" s="28" t="s">
        <v>32092</v>
      </c>
      <c r="F1683" s="28" t="s">
        <v>32089</v>
      </c>
      <c r="G1683" s="28" t="s">
        <v>32093</v>
      </c>
      <c r="H1683" s="28" t="s">
        <v>141</v>
      </c>
      <c r="I1683" s="28" t="s">
        <v>212</v>
      </c>
      <c r="J1683" s="28" t="s">
        <v>2483</v>
      </c>
      <c r="K1683" s="28" t="s">
        <v>32094</v>
      </c>
      <c r="L1683" s="28" t="s">
        <v>1994</v>
      </c>
      <c r="M1683" s="28" t="s">
        <v>32095</v>
      </c>
      <c r="N1683" s="28" t="s">
        <v>147</v>
      </c>
      <c r="O1683" s="29">
        <v>96.56</v>
      </c>
      <c r="P1683" s="28" t="s">
        <v>148</v>
      </c>
      <c r="Q1683" s="28" t="s">
        <v>149</v>
      </c>
      <c r="R1683" s="28" t="s">
        <v>174</v>
      </c>
      <c r="S1683" s="28" t="s">
        <v>32096</v>
      </c>
      <c r="T1683" s="30">
        <v>50</v>
      </c>
      <c r="U1683" s="28" t="s">
        <v>32097</v>
      </c>
      <c r="V1683" s="28" t="s">
        <v>138</v>
      </c>
      <c r="W1683" s="28" t="s">
        <v>138</v>
      </c>
      <c r="X1683" s="31">
        <v>2009</v>
      </c>
      <c r="Y1683" s="28" t="s">
        <v>138</v>
      </c>
      <c r="Z1683" s="28" t="s">
        <v>138</v>
      </c>
      <c r="AA1683" s="28" t="s">
        <v>138</v>
      </c>
      <c r="AB1683" s="32" t="s">
        <v>138</v>
      </c>
      <c r="AC1683" s="32" t="s">
        <v>138</v>
      </c>
      <c r="AD1683" s="32" t="s">
        <v>138</v>
      </c>
      <c r="AE1683" s="32" t="s">
        <v>138</v>
      </c>
      <c r="AF1683" s="32" t="s">
        <v>138</v>
      </c>
      <c r="AG1683" s="28" t="s">
        <v>138</v>
      </c>
      <c r="AH1683" s="32" t="s">
        <v>138</v>
      </c>
      <c r="AI1683" s="32" t="s">
        <v>138</v>
      </c>
      <c r="AJ1683" s="32" t="s">
        <v>138</v>
      </c>
      <c r="AK1683" s="28" t="s">
        <v>32098</v>
      </c>
      <c r="AL1683" s="28" t="s">
        <v>32099</v>
      </c>
      <c r="AM1683" s="28" t="s">
        <v>249</v>
      </c>
      <c r="AN1683" s="28" t="s">
        <v>138</v>
      </c>
      <c r="AO1683" s="28" t="s">
        <v>32100</v>
      </c>
      <c r="AP1683" s="28" t="s">
        <v>32101</v>
      </c>
      <c r="AQ1683" s="28" t="s">
        <v>32102</v>
      </c>
      <c r="AR1683" s="28" t="s">
        <v>32103</v>
      </c>
      <c r="AS1683" s="28" t="s">
        <v>32104</v>
      </c>
      <c r="AT1683" s="28" t="s">
        <v>3112</v>
      </c>
      <c r="AU1683" s="28" t="s">
        <v>32105</v>
      </c>
      <c r="AV1683" s="28" t="s">
        <v>2742</v>
      </c>
      <c r="AW1683" s="28" t="s">
        <v>138</v>
      </c>
      <c r="AX1683" s="28" t="s">
        <v>138</v>
      </c>
      <c r="AY1683" s="28" t="s">
        <v>32106</v>
      </c>
      <c r="AZ1683" s="28" t="s">
        <v>164</v>
      </c>
      <c r="BA1683" s="28" t="s">
        <v>165</v>
      </c>
      <c r="BB1683" s="28" t="s">
        <v>32107</v>
      </c>
      <c r="BC1683" s="28" t="s">
        <v>32108</v>
      </c>
      <c r="BD1683" s="33">
        <v>13</v>
      </c>
      <c r="BE1683" s="28" t="s">
        <v>138</v>
      </c>
      <c r="BF1683" s="28" t="s">
        <v>138</v>
      </c>
      <c r="BG1683" s="28" t="s">
        <v>138</v>
      </c>
      <c r="BH1683" s="28" t="s">
        <v>32109</v>
      </c>
      <c r="BI1683" s="28" t="s">
        <v>138</v>
      </c>
      <c r="BJ1683" s="28" t="s">
        <v>138</v>
      </c>
      <c r="BK1683" s="28" t="s">
        <v>27668</v>
      </c>
      <c r="BL1683" s="28" t="s">
        <v>32110</v>
      </c>
      <c r="BM1683" s="34">
        <v>39814</v>
      </c>
      <c r="BN1683" s="29" t="s">
        <v>138</v>
      </c>
      <c r="BO1683" s="28" t="s">
        <v>138</v>
      </c>
      <c r="BP1683" s="29" t="s">
        <v>138</v>
      </c>
      <c r="BQ1683" s="28" t="s">
        <v>138</v>
      </c>
      <c r="BR1683" s="28" t="s">
        <v>234</v>
      </c>
      <c r="BS1683" s="28" t="s">
        <v>234</v>
      </c>
      <c r="BT1683" s="28" t="s">
        <v>138</v>
      </c>
      <c r="BU1683" s="28" t="s">
        <v>174</v>
      </c>
      <c r="BV1683" s="28" t="s">
        <v>138</v>
      </c>
      <c r="BW1683" s="28" t="s">
        <v>138</v>
      </c>
      <c r="BX1683" s="28" t="s">
        <v>138</v>
      </c>
      <c r="BY1683" s="28" t="s">
        <v>175</v>
      </c>
      <c r="BZ1683" s="34">
        <v>43474</v>
      </c>
      <c r="CA1683" s="29">
        <v>68</v>
      </c>
      <c r="CB1683" s="28" t="s">
        <v>172</v>
      </c>
      <c r="CC1683" s="29" t="s">
        <v>138</v>
      </c>
      <c r="CD1683" s="28" t="s">
        <v>138</v>
      </c>
      <c r="CE1683" s="28" t="s">
        <v>173</v>
      </c>
      <c r="CF1683" s="28" t="s">
        <v>138</v>
      </c>
      <c r="CG1683" s="28" t="s">
        <v>138</v>
      </c>
      <c r="CH1683" s="28" t="s">
        <v>174</v>
      </c>
      <c r="CI1683" s="28" t="s">
        <v>138</v>
      </c>
      <c r="CJ1683" s="28" t="s">
        <v>138</v>
      </c>
      <c r="CK1683" s="28" t="s">
        <v>138</v>
      </c>
      <c r="CL1683" s="28" t="s">
        <v>175</v>
      </c>
      <c r="CM1683" s="34" t="s">
        <v>138</v>
      </c>
      <c r="CN1683" s="29" t="s">
        <v>138</v>
      </c>
      <c r="CO1683" s="35">
        <v>-0.06</v>
      </c>
      <c r="CP1683" s="36">
        <v>22</v>
      </c>
      <c r="CQ1683" s="35">
        <v>0.12</v>
      </c>
      <c r="CR1683" s="35">
        <v>66.75</v>
      </c>
      <c r="CS1683" s="35">
        <v>-3.5</v>
      </c>
      <c r="CT1683" s="36">
        <v>4</v>
      </c>
      <c r="CU1683" s="35">
        <v>2.81</v>
      </c>
      <c r="CV1683" s="36">
        <v>100</v>
      </c>
      <c r="CW1683" s="35">
        <v>-4.43</v>
      </c>
      <c r="CX1683" s="36">
        <v>3</v>
      </c>
      <c r="CY1683" s="35">
        <v>-2.57</v>
      </c>
      <c r="CZ1683" s="36">
        <v>8</v>
      </c>
      <c r="DA1683" s="35">
        <v>3.79</v>
      </c>
      <c r="DB1683" s="36">
        <v>100</v>
      </c>
      <c r="DC1683" s="37">
        <v>3.72</v>
      </c>
      <c r="DD1683" s="36">
        <v>78</v>
      </c>
      <c r="DE1683" s="37">
        <v>-0.16</v>
      </c>
      <c r="DF1683" s="35">
        <v>-4.05</v>
      </c>
      <c r="DG1683" s="37">
        <v>6.64</v>
      </c>
      <c r="DH1683" s="36">
        <v>86</v>
      </c>
      <c r="DI1683" s="37">
        <v>4.4400000000000004</v>
      </c>
      <c r="DJ1683" s="36">
        <v>76</v>
      </c>
      <c r="DK1683" s="37">
        <v>9</v>
      </c>
      <c r="DL1683" s="36">
        <v>86</v>
      </c>
      <c r="DM1683" s="37">
        <v>4.28</v>
      </c>
      <c r="DN1683" s="36">
        <v>79</v>
      </c>
      <c r="DO1683" s="37">
        <v>6.04</v>
      </c>
      <c r="DP1683" s="36">
        <v>82</v>
      </c>
      <c r="DQ1683" s="36">
        <v>3251</v>
      </c>
      <c r="DR1683" s="38">
        <v>-494</v>
      </c>
      <c r="DS1683" s="35">
        <v>-13.19</v>
      </c>
      <c r="DT1683" s="36">
        <v>124</v>
      </c>
      <c r="DU1683" s="38">
        <v>2</v>
      </c>
      <c r="DV1683" s="35">
        <v>1.64</v>
      </c>
      <c r="DW1683" s="36">
        <v>2139</v>
      </c>
      <c r="DX1683" s="39">
        <v>92</v>
      </c>
      <c r="DY1683" s="35">
        <v>4.49</v>
      </c>
      <c r="DZ1683" s="28" t="s">
        <v>178</v>
      </c>
      <c r="EA1683" s="34">
        <v>43567</v>
      </c>
      <c r="EB1683" s="29" t="s">
        <v>138</v>
      </c>
      <c r="EC1683" s="34" t="s">
        <v>138</v>
      </c>
      <c r="ED1683" s="28" t="s">
        <v>138</v>
      </c>
      <c r="EE1683" s="40" t="str">
        <f>HYPERLINK("https://my.pitchbook.com?c=108045-46", "View company online")</f>
        <v>View company online</v>
      </c>
    </row>
    <row r="1684" spans="1:135">
      <c r="A1684" s="15" t="s">
        <v>32111</v>
      </c>
      <c r="B1684" s="15" t="s">
        <v>32112</v>
      </c>
      <c r="C1684" s="15" t="s">
        <v>32113</v>
      </c>
      <c r="D1684" s="15" t="s">
        <v>138</v>
      </c>
      <c r="E1684" s="15" t="s">
        <v>32114</v>
      </c>
      <c r="F1684" s="15" t="s">
        <v>32111</v>
      </c>
      <c r="G1684" s="15" t="s">
        <v>32115</v>
      </c>
      <c r="H1684" s="15" t="s">
        <v>141</v>
      </c>
      <c r="I1684" s="15" t="s">
        <v>142</v>
      </c>
      <c r="J1684" s="15" t="s">
        <v>4042</v>
      </c>
      <c r="K1684" s="15" t="s">
        <v>32116</v>
      </c>
      <c r="L1684" s="15" t="s">
        <v>29030</v>
      </c>
      <c r="M1684" s="15" t="s">
        <v>32117</v>
      </c>
      <c r="N1684" s="15" t="s">
        <v>147</v>
      </c>
      <c r="O1684" s="17">
        <v>722</v>
      </c>
      <c r="P1684" s="15" t="s">
        <v>148</v>
      </c>
      <c r="Q1684" s="15" t="s">
        <v>149</v>
      </c>
      <c r="R1684" s="15" t="s">
        <v>174</v>
      </c>
      <c r="S1684" s="15" t="s">
        <v>32118</v>
      </c>
      <c r="T1684" s="18">
        <v>235</v>
      </c>
      <c r="U1684" s="15" t="s">
        <v>32119</v>
      </c>
      <c r="V1684" s="15" t="s">
        <v>138</v>
      </c>
      <c r="W1684" s="15" t="s">
        <v>138</v>
      </c>
      <c r="X1684" s="19">
        <v>2013</v>
      </c>
      <c r="Y1684" s="15" t="s">
        <v>138</v>
      </c>
      <c r="Z1684" s="15" t="s">
        <v>138</v>
      </c>
      <c r="AA1684" s="15" t="s">
        <v>138</v>
      </c>
      <c r="AB1684" s="20" t="s">
        <v>138</v>
      </c>
      <c r="AC1684" s="20" t="s">
        <v>138</v>
      </c>
      <c r="AD1684" s="20" t="s">
        <v>138</v>
      </c>
      <c r="AE1684" s="20" t="s">
        <v>138</v>
      </c>
      <c r="AF1684" s="20" t="s">
        <v>138</v>
      </c>
      <c r="AG1684" s="15" t="s">
        <v>138</v>
      </c>
      <c r="AH1684" s="20" t="s">
        <v>138</v>
      </c>
      <c r="AI1684" s="20" t="s">
        <v>138</v>
      </c>
      <c r="AJ1684" s="20" t="s">
        <v>138</v>
      </c>
      <c r="AK1684" s="15" t="s">
        <v>32120</v>
      </c>
      <c r="AL1684" s="15" t="s">
        <v>32121</v>
      </c>
      <c r="AM1684" s="15" t="s">
        <v>28375</v>
      </c>
      <c r="AN1684" s="15" t="s">
        <v>32122</v>
      </c>
      <c r="AO1684" s="15" t="s">
        <v>32123</v>
      </c>
      <c r="AP1684" s="15" t="s">
        <v>307</v>
      </c>
      <c r="AQ1684" s="15" t="s">
        <v>32124</v>
      </c>
      <c r="AR1684" s="15" t="s">
        <v>138</v>
      </c>
      <c r="AS1684" s="15" t="s">
        <v>310</v>
      </c>
      <c r="AT1684" s="15" t="s">
        <v>200</v>
      </c>
      <c r="AU1684" s="15" t="s">
        <v>798</v>
      </c>
      <c r="AV1684" s="15" t="s">
        <v>162</v>
      </c>
      <c r="AW1684" s="15" t="s">
        <v>32123</v>
      </c>
      <c r="AX1684" s="15" t="s">
        <v>138</v>
      </c>
      <c r="AY1684" s="15" t="s">
        <v>32125</v>
      </c>
      <c r="AZ1684" s="15" t="s">
        <v>164</v>
      </c>
      <c r="BA1684" s="15" t="s">
        <v>165</v>
      </c>
      <c r="BB1684" s="15" t="s">
        <v>32126</v>
      </c>
      <c r="BC1684" s="15" t="s">
        <v>32127</v>
      </c>
      <c r="BD1684" s="21">
        <v>24</v>
      </c>
      <c r="BE1684" s="15" t="s">
        <v>138</v>
      </c>
      <c r="BF1684" s="15" t="s">
        <v>138</v>
      </c>
      <c r="BG1684" s="15" t="s">
        <v>138</v>
      </c>
      <c r="BH1684" s="15" t="s">
        <v>32128</v>
      </c>
      <c r="BI1684" s="15" t="s">
        <v>138</v>
      </c>
      <c r="BJ1684" s="15" t="s">
        <v>138</v>
      </c>
      <c r="BK1684" s="15" t="s">
        <v>290</v>
      </c>
      <c r="BL1684" s="15" t="s">
        <v>290</v>
      </c>
      <c r="BM1684" s="22">
        <v>41717</v>
      </c>
      <c r="BN1684" s="17">
        <v>11</v>
      </c>
      <c r="BO1684" s="15" t="s">
        <v>172</v>
      </c>
      <c r="BP1684" s="17">
        <v>29</v>
      </c>
      <c r="BQ1684" s="15" t="s">
        <v>172</v>
      </c>
      <c r="BR1684" s="15" t="s">
        <v>205</v>
      </c>
      <c r="BS1684" s="15" t="s">
        <v>206</v>
      </c>
      <c r="BT1684" s="15" t="s">
        <v>138</v>
      </c>
      <c r="BU1684" s="15" t="s">
        <v>174</v>
      </c>
      <c r="BV1684" s="15" t="s">
        <v>138</v>
      </c>
      <c r="BW1684" s="15" t="s">
        <v>138</v>
      </c>
      <c r="BX1684" s="15" t="s">
        <v>138</v>
      </c>
      <c r="BY1684" s="15" t="s">
        <v>175</v>
      </c>
      <c r="BZ1684" s="22">
        <v>43546</v>
      </c>
      <c r="CA1684" s="17">
        <v>300</v>
      </c>
      <c r="CB1684" s="15" t="s">
        <v>1178</v>
      </c>
      <c r="CC1684" s="17">
        <v>2500</v>
      </c>
      <c r="CD1684" s="15" t="s">
        <v>172</v>
      </c>
      <c r="CE1684" s="15" t="s">
        <v>173</v>
      </c>
      <c r="CF1684" s="15" t="s">
        <v>482</v>
      </c>
      <c r="CG1684" s="15" t="s">
        <v>138</v>
      </c>
      <c r="CH1684" s="15" t="s">
        <v>174</v>
      </c>
      <c r="CI1684" s="15" t="s">
        <v>138</v>
      </c>
      <c r="CJ1684" s="15" t="s">
        <v>138</v>
      </c>
      <c r="CK1684" s="15" t="s">
        <v>138</v>
      </c>
      <c r="CL1684" s="15" t="s">
        <v>352</v>
      </c>
      <c r="CM1684" s="22" t="s">
        <v>138</v>
      </c>
      <c r="CN1684" s="17" t="s">
        <v>138</v>
      </c>
      <c r="CO1684" s="23">
        <v>0.33</v>
      </c>
      <c r="CP1684" s="24">
        <v>94</v>
      </c>
      <c r="CQ1684" s="23">
        <v>-4.17</v>
      </c>
      <c r="CR1684" s="23">
        <v>-92.58</v>
      </c>
      <c r="CS1684" s="23">
        <v>0.3</v>
      </c>
      <c r="CT1684" s="24">
        <v>95</v>
      </c>
      <c r="CU1684" s="23">
        <v>0.36</v>
      </c>
      <c r="CV1684" s="24">
        <v>90</v>
      </c>
      <c r="CW1684" s="23">
        <v>1.41</v>
      </c>
      <c r="CX1684" s="24">
        <v>86</v>
      </c>
      <c r="CY1684" s="23">
        <v>-0.8</v>
      </c>
      <c r="CZ1684" s="24">
        <v>20</v>
      </c>
      <c r="DA1684" s="23">
        <v>0.36</v>
      </c>
      <c r="DB1684" s="24">
        <v>91</v>
      </c>
      <c r="DC1684" s="25">
        <v>54.06</v>
      </c>
      <c r="DD1684" s="24">
        <v>98</v>
      </c>
      <c r="DE1684" s="25">
        <v>-1.45</v>
      </c>
      <c r="DF1684" s="23">
        <v>-2.62</v>
      </c>
      <c r="DG1684" s="25">
        <v>46.26</v>
      </c>
      <c r="DH1684" s="24">
        <v>98</v>
      </c>
      <c r="DI1684" s="25">
        <v>61.87</v>
      </c>
      <c r="DJ1684" s="24">
        <v>96</v>
      </c>
      <c r="DK1684" s="25">
        <v>50.03</v>
      </c>
      <c r="DL1684" s="24">
        <v>96</v>
      </c>
      <c r="DM1684" s="25">
        <v>42.48</v>
      </c>
      <c r="DN1684" s="24">
        <v>98</v>
      </c>
      <c r="DO1684" s="25">
        <v>61.87</v>
      </c>
      <c r="DP1684" s="24">
        <v>97</v>
      </c>
      <c r="DQ1684" s="24">
        <v>16884</v>
      </c>
      <c r="DR1684" s="26">
        <v>833</v>
      </c>
      <c r="DS1684" s="23">
        <v>5.19</v>
      </c>
      <c r="DT1684" s="24">
        <v>1232</v>
      </c>
      <c r="DU1684" s="26">
        <v>2</v>
      </c>
      <c r="DV1684" s="23">
        <v>0.16</v>
      </c>
      <c r="DW1684" s="24">
        <v>22152</v>
      </c>
      <c r="DX1684" s="27">
        <v>-17</v>
      </c>
      <c r="DY1684" s="23">
        <v>-0.08</v>
      </c>
      <c r="DZ1684" s="15" t="s">
        <v>178</v>
      </c>
      <c r="EA1684" s="22">
        <v>43622</v>
      </c>
      <c r="EB1684" s="17">
        <v>2500</v>
      </c>
      <c r="EC1684" s="22">
        <v>43546</v>
      </c>
      <c r="ED1684" s="15" t="s">
        <v>173</v>
      </c>
      <c r="EE1684" s="14" t="str">
        <f>HYPERLINK("https://my.pitchbook.com?c=107002-72", "View company online")</f>
        <v>View company online</v>
      </c>
    </row>
    <row r="1685" spans="1:135">
      <c r="A1685" s="28" t="s">
        <v>32129</v>
      </c>
      <c r="B1685" s="28" t="s">
        <v>32130</v>
      </c>
      <c r="C1685" s="28" t="s">
        <v>138</v>
      </c>
      <c r="D1685" s="28" t="s">
        <v>138</v>
      </c>
      <c r="E1685" s="28" t="s">
        <v>138</v>
      </c>
      <c r="F1685" s="28" t="s">
        <v>32129</v>
      </c>
      <c r="G1685" s="28" t="s">
        <v>32131</v>
      </c>
      <c r="H1685" s="28" t="s">
        <v>238</v>
      </c>
      <c r="I1685" s="28" t="s">
        <v>749</v>
      </c>
      <c r="J1685" s="28" t="s">
        <v>4261</v>
      </c>
      <c r="K1685" s="28" t="s">
        <v>7738</v>
      </c>
      <c r="L1685" s="28" t="s">
        <v>138</v>
      </c>
      <c r="M1685" s="28" t="s">
        <v>32132</v>
      </c>
      <c r="N1685" s="28" t="s">
        <v>147</v>
      </c>
      <c r="O1685" s="29" t="s">
        <v>138</v>
      </c>
      <c r="P1685" s="28" t="s">
        <v>148</v>
      </c>
      <c r="Q1685" s="28" t="s">
        <v>149</v>
      </c>
      <c r="R1685" s="28" t="s">
        <v>174</v>
      </c>
      <c r="S1685" s="28" t="s">
        <v>32133</v>
      </c>
      <c r="T1685" s="30" t="s">
        <v>138</v>
      </c>
      <c r="U1685" s="28" t="s">
        <v>138</v>
      </c>
      <c r="V1685" s="28" t="s">
        <v>138</v>
      </c>
      <c r="W1685" s="28" t="s">
        <v>138</v>
      </c>
      <c r="X1685" s="31" t="s">
        <v>138</v>
      </c>
      <c r="Y1685" s="28" t="s">
        <v>138</v>
      </c>
      <c r="Z1685" s="28" t="s">
        <v>138</v>
      </c>
      <c r="AA1685" s="28" t="s">
        <v>138</v>
      </c>
      <c r="AB1685" s="32" t="s">
        <v>138</v>
      </c>
      <c r="AC1685" s="32" t="s">
        <v>138</v>
      </c>
      <c r="AD1685" s="32" t="s">
        <v>138</v>
      </c>
      <c r="AE1685" s="32" t="s">
        <v>138</v>
      </c>
      <c r="AF1685" s="32" t="s">
        <v>138</v>
      </c>
      <c r="AG1685" s="28" t="s">
        <v>138</v>
      </c>
      <c r="AH1685" s="32" t="s">
        <v>138</v>
      </c>
      <c r="AI1685" s="32" t="s">
        <v>138</v>
      </c>
      <c r="AJ1685" s="32" t="s">
        <v>138</v>
      </c>
      <c r="AK1685" s="28" t="s">
        <v>32134</v>
      </c>
      <c r="AL1685" s="28" t="s">
        <v>32135</v>
      </c>
      <c r="AM1685" s="28" t="s">
        <v>304</v>
      </c>
      <c r="AN1685" s="28" t="s">
        <v>32136</v>
      </c>
      <c r="AO1685" s="28" t="s">
        <v>32137</v>
      </c>
      <c r="AP1685" s="28" t="s">
        <v>2027</v>
      </c>
      <c r="AQ1685" s="28" t="s">
        <v>32138</v>
      </c>
      <c r="AR1685" s="28" t="s">
        <v>158</v>
      </c>
      <c r="AS1685" s="28" t="s">
        <v>2030</v>
      </c>
      <c r="AT1685" s="28" t="s">
        <v>2031</v>
      </c>
      <c r="AU1685" s="28" t="s">
        <v>32139</v>
      </c>
      <c r="AV1685" s="28" t="s">
        <v>162</v>
      </c>
      <c r="AW1685" s="28" t="s">
        <v>138</v>
      </c>
      <c r="AX1685" s="28" t="s">
        <v>138</v>
      </c>
      <c r="AY1685" s="28" t="s">
        <v>32140</v>
      </c>
      <c r="AZ1685" s="28" t="s">
        <v>164</v>
      </c>
      <c r="BA1685" s="28" t="s">
        <v>165</v>
      </c>
      <c r="BB1685" s="28" t="s">
        <v>32141</v>
      </c>
      <c r="BC1685" s="28" t="s">
        <v>32142</v>
      </c>
      <c r="BD1685" s="33">
        <v>2</v>
      </c>
      <c r="BE1685" s="28" t="s">
        <v>138</v>
      </c>
      <c r="BF1685" s="28" t="s">
        <v>138</v>
      </c>
      <c r="BG1685" s="28" t="s">
        <v>138</v>
      </c>
      <c r="BH1685" s="28" t="s">
        <v>32143</v>
      </c>
      <c r="BI1685" s="28" t="s">
        <v>138</v>
      </c>
      <c r="BJ1685" s="28" t="s">
        <v>138</v>
      </c>
      <c r="BK1685" s="28" t="s">
        <v>138</v>
      </c>
      <c r="BL1685" s="28" t="s">
        <v>1829</v>
      </c>
      <c r="BM1685" s="34">
        <v>42370</v>
      </c>
      <c r="BN1685" s="29" t="s">
        <v>138</v>
      </c>
      <c r="BO1685" s="28" t="s">
        <v>138</v>
      </c>
      <c r="BP1685" s="29" t="s">
        <v>138</v>
      </c>
      <c r="BQ1685" s="28" t="s">
        <v>138</v>
      </c>
      <c r="BR1685" s="28" t="s">
        <v>316</v>
      </c>
      <c r="BS1685" s="28" t="s">
        <v>138</v>
      </c>
      <c r="BT1685" s="28" t="s">
        <v>138</v>
      </c>
      <c r="BU1685" s="28" t="s">
        <v>177</v>
      </c>
      <c r="BV1685" s="28" t="s">
        <v>138</v>
      </c>
      <c r="BW1685" s="28" t="s">
        <v>138</v>
      </c>
      <c r="BX1685" s="28" t="s">
        <v>138</v>
      </c>
      <c r="BY1685" s="28" t="s">
        <v>175</v>
      </c>
      <c r="BZ1685" s="34">
        <v>42979</v>
      </c>
      <c r="CA1685" s="29">
        <v>0.05</v>
      </c>
      <c r="CB1685" s="28" t="s">
        <v>172</v>
      </c>
      <c r="CC1685" s="29" t="s">
        <v>138</v>
      </c>
      <c r="CD1685" s="28" t="s">
        <v>138</v>
      </c>
      <c r="CE1685" s="28" t="s">
        <v>1830</v>
      </c>
      <c r="CF1685" s="28" t="s">
        <v>138</v>
      </c>
      <c r="CG1685" s="28" t="s">
        <v>138</v>
      </c>
      <c r="CH1685" s="28" t="s">
        <v>263</v>
      </c>
      <c r="CI1685" s="28" t="s">
        <v>138</v>
      </c>
      <c r="CJ1685" s="28" t="s">
        <v>138</v>
      </c>
      <c r="CK1685" s="28" t="s">
        <v>138</v>
      </c>
      <c r="CL1685" s="28" t="s">
        <v>175</v>
      </c>
      <c r="CM1685" s="34" t="s">
        <v>138</v>
      </c>
      <c r="CN1685" s="29" t="s">
        <v>138</v>
      </c>
      <c r="CO1685" s="35">
        <v>-0.01</v>
      </c>
      <c r="CP1685" s="36">
        <v>25</v>
      </c>
      <c r="CQ1685" s="35">
        <v>0</v>
      </c>
      <c r="CR1685" s="35">
        <v>0</v>
      </c>
      <c r="CS1685" s="35">
        <v>0</v>
      </c>
      <c r="CT1685" s="36">
        <v>23</v>
      </c>
      <c r="CU1685" s="35">
        <v>-0.02</v>
      </c>
      <c r="CV1685" s="36">
        <v>17</v>
      </c>
      <c r="CW1685" s="35" t="s">
        <v>138</v>
      </c>
      <c r="CX1685" s="36" t="s">
        <v>138</v>
      </c>
      <c r="CY1685" s="35">
        <v>0</v>
      </c>
      <c r="CZ1685" s="36">
        <v>25</v>
      </c>
      <c r="DA1685" s="35">
        <v>0.01</v>
      </c>
      <c r="DB1685" s="36">
        <v>57</v>
      </c>
      <c r="DC1685" s="37">
        <v>1.69</v>
      </c>
      <c r="DD1685" s="36">
        <v>63</v>
      </c>
      <c r="DE1685" s="37">
        <v>0</v>
      </c>
      <c r="DF1685" s="35">
        <v>-0.16</v>
      </c>
      <c r="DG1685" s="37">
        <v>0.14000000000000001</v>
      </c>
      <c r="DH1685" s="36">
        <v>10</v>
      </c>
      <c r="DI1685" s="37">
        <v>3.25</v>
      </c>
      <c r="DJ1685" s="36">
        <v>71</v>
      </c>
      <c r="DK1685" s="37" t="s">
        <v>138</v>
      </c>
      <c r="DL1685" s="36" t="s">
        <v>138</v>
      </c>
      <c r="DM1685" s="37">
        <v>0.14000000000000001</v>
      </c>
      <c r="DN1685" s="36">
        <v>11</v>
      </c>
      <c r="DO1685" s="37">
        <v>0.3</v>
      </c>
      <c r="DP1685" s="36">
        <v>30</v>
      </c>
      <c r="DQ1685" s="36">
        <v>56</v>
      </c>
      <c r="DR1685" s="38">
        <v>-1</v>
      </c>
      <c r="DS1685" s="35">
        <v>-1.75</v>
      </c>
      <c r="DT1685" s="36">
        <v>4</v>
      </c>
      <c r="DU1685" s="38">
        <v>0</v>
      </c>
      <c r="DV1685" s="35">
        <v>0</v>
      </c>
      <c r="DW1685" s="36">
        <v>108</v>
      </c>
      <c r="DX1685" s="39">
        <v>-1</v>
      </c>
      <c r="DY1685" s="35">
        <v>-0.92</v>
      </c>
      <c r="DZ1685" s="28" t="s">
        <v>178</v>
      </c>
      <c r="EA1685" s="34">
        <v>43486</v>
      </c>
      <c r="EB1685" s="29" t="s">
        <v>138</v>
      </c>
      <c r="EC1685" s="34" t="s">
        <v>138</v>
      </c>
      <c r="ED1685" s="28" t="s">
        <v>138</v>
      </c>
      <c r="EE1685" s="40" t="str">
        <f>HYPERLINK("https://my.pitchbook.com?c=226732-06", "View company online")</f>
        <v>View company online</v>
      </c>
    </row>
    <row r="1686" spans="1:135">
      <c r="A1686" s="15" t="s">
        <v>32144</v>
      </c>
      <c r="B1686" s="15" t="s">
        <v>32145</v>
      </c>
      <c r="C1686" s="15" t="s">
        <v>138</v>
      </c>
      <c r="D1686" s="15" t="s">
        <v>138</v>
      </c>
      <c r="E1686" s="15" t="s">
        <v>138</v>
      </c>
      <c r="F1686" s="15" t="s">
        <v>32144</v>
      </c>
      <c r="G1686" s="15" t="s">
        <v>18602</v>
      </c>
      <c r="H1686" s="15" t="s">
        <v>238</v>
      </c>
      <c r="I1686" s="15" t="s">
        <v>12703</v>
      </c>
      <c r="J1686" s="15" t="s">
        <v>12703</v>
      </c>
      <c r="K1686" s="15" t="s">
        <v>32146</v>
      </c>
      <c r="L1686" s="15" t="s">
        <v>138</v>
      </c>
      <c r="M1686" s="15" t="s">
        <v>32147</v>
      </c>
      <c r="N1686" s="15" t="s">
        <v>147</v>
      </c>
      <c r="O1686" s="17" t="s">
        <v>138</v>
      </c>
      <c r="P1686" s="15" t="s">
        <v>148</v>
      </c>
      <c r="Q1686" s="15" t="s">
        <v>149</v>
      </c>
      <c r="R1686" s="15" t="s">
        <v>174</v>
      </c>
      <c r="S1686" s="15" t="s">
        <v>138</v>
      </c>
      <c r="T1686" s="18" t="s">
        <v>138</v>
      </c>
      <c r="U1686" s="15" t="s">
        <v>138</v>
      </c>
      <c r="V1686" s="15" t="s">
        <v>138</v>
      </c>
      <c r="W1686" s="15" t="s">
        <v>138</v>
      </c>
      <c r="X1686" s="19" t="s">
        <v>138</v>
      </c>
      <c r="Y1686" s="15" t="s">
        <v>138</v>
      </c>
      <c r="Z1686" s="15" t="s">
        <v>138</v>
      </c>
      <c r="AA1686" s="15" t="s">
        <v>138</v>
      </c>
      <c r="AB1686" s="20" t="s">
        <v>138</v>
      </c>
      <c r="AC1686" s="20" t="s">
        <v>138</v>
      </c>
      <c r="AD1686" s="20" t="s">
        <v>138</v>
      </c>
      <c r="AE1686" s="20" t="s">
        <v>138</v>
      </c>
      <c r="AF1686" s="20" t="s">
        <v>138</v>
      </c>
      <c r="AG1686" s="15" t="s">
        <v>138</v>
      </c>
      <c r="AH1686" s="20" t="s">
        <v>138</v>
      </c>
      <c r="AI1686" s="20" t="s">
        <v>138</v>
      </c>
      <c r="AJ1686" s="20" t="s">
        <v>138</v>
      </c>
      <c r="AK1686" s="15" t="s">
        <v>32148</v>
      </c>
      <c r="AL1686" s="15" t="s">
        <v>32149</v>
      </c>
      <c r="AM1686" s="15" t="s">
        <v>916</v>
      </c>
      <c r="AN1686" s="15" t="s">
        <v>138</v>
      </c>
      <c r="AO1686" s="15" t="s">
        <v>32150</v>
      </c>
      <c r="AP1686" s="15" t="s">
        <v>138</v>
      </c>
      <c r="AQ1686" s="15" t="s">
        <v>138</v>
      </c>
      <c r="AR1686" s="15" t="s">
        <v>138</v>
      </c>
      <c r="AS1686" s="15" t="s">
        <v>138</v>
      </c>
      <c r="AT1686" s="15" t="s">
        <v>138</v>
      </c>
      <c r="AU1686" s="15" t="s">
        <v>138</v>
      </c>
      <c r="AV1686" s="15" t="s">
        <v>138</v>
      </c>
      <c r="AW1686" s="15" t="s">
        <v>138</v>
      </c>
      <c r="AX1686" s="15" t="s">
        <v>138</v>
      </c>
      <c r="AY1686" s="15" t="s">
        <v>138</v>
      </c>
      <c r="AZ1686" s="15" t="s">
        <v>138</v>
      </c>
      <c r="BA1686" s="15" t="s">
        <v>138</v>
      </c>
      <c r="BB1686" s="15" t="s">
        <v>32151</v>
      </c>
      <c r="BC1686" s="15" t="s">
        <v>16877</v>
      </c>
      <c r="BD1686" s="21">
        <v>1</v>
      </c>
      <c r="BE1686" s="15" t="s">
        <v>138</v>
      </c>
      <c r="BF1686" s="15" t="s">
        <v>138</v>
      </c>
      <c r="BG1686" s="15" t="s">
        <v>138</v>
      </c>
      <c r="BH1686" s="15" t="s">
        <v>16878</v>
      </c>
      <c r="BI1686" s="15" t="s">
        <v>138</v>
      </c>
      <c r="BJ1686" s="15" t="s">
        <v>138</v>
      </c>
      <c r="BK1686" s="15" t="s">
        <v>138</v>
      </c>
      <c r="BL1686" s="15" t="s">
        <v>138</v>
      </c>
      <c r="BM1686" s="22">
        <v>42248</v>
      </c>
      <c r="BN1686" s="17" t="s">
        <v>138</v>
      </c>
      <c r="BO1686" s="15" t="s">
        <v>138</v>
      </c>
      <c r="BP1686" s="17" t="s">
        <v>138</v>
      </c>
      <c r="BQ1686" s="15" t="s">
        <v>138</v>
      </c>
      <c r="BR1686" s="15" t="s">
        <v>205</v>
      </c>
      <c r="BS1686" s="15" t="s">
        <v>138</v>
      </c>
      <c r="BT1686" s="15" t="s">
        <v>138</v>
      </c>
      <c r="BU1686" s="15" t="s">
        <v>174</v>
      </c>
      <c r="BV1686" s="15" t="s">
        <v>138</v>
      </c>
      <c r="BW1686" s="15" t="s">
        <v>138</v>
      </c>
      <c r="BX1686" s="15" t="s">
        <v>138</v>
      </c>
      <c r="BY1686" s="15" t="s">
        <v>175</v>
      </c>
      <c r="BZ1686" s="22">
        <v>42248</v>
      </c>
      <c r="CA1686" s="17" t="s">
        <v>138</v>
      </c>
      <c r="CB1686" s="15" t="s">
        <v>138</v>
      </c>
      <c r="CC1686" s="17" t="s">
        <v>138</v>
      </c>
      <c r="CD1686" s="15" t="s">
        <v>138</v>
      </c>
      <c r="CE1686" s="15" t="s">
        <v>205</v>
      </c>
      <c r="CF1686" s="15" t="s">
        <v>138</v>
      </c>
      <c r="CG1686" s="15" t="s">
        <v>138</v>
      </c>
      <c r="CH1686" s="15" t="s">
        <v>174</v>
      </c>
      <c r="CI1686" s="15" t="s">
        <v>138</v>
      </c>
      <c r="CJ1686" s="15" t="s">
        <v>138</v>
      </c>
      <c r="CK1686" s="15" t="s">
        <v>138</v>
      </c>
      <c r="CL1686" s="15" t="s">
        <v>175</v>
      </c>
      <c r="CM1686" s="22" t="s">
        <v>138</v>
      </c>
      <c r="CN1686" s="17" t="s">
        <v>138</v>
      </c>
      <c r="CO1686" s="23" t="s">
        <v>138</v>
      </c>
      <c r="CP1686" s="24" t="s">
        <v>138</v>
      </c>
      <c r="CQ1686" s="23" t="s">
        <v>138</v>
      </c>
      <c r="CR1686" s="23" t="s">
        <v>138</v>
      </c>
      <c r="CS1686" s="23" t="s">
        <v>138</v>
      </c>
      <c r="CT1686" s="24" t="s">
        <v>138</v>
      </c>
      <c r="CU1686" s="23" t="s">
        <v>138</v>
      </c>
      <c r="CV1686" s="24" t="s">
        <v>138</v>
      </c>
      <c r="CW1686" s="23" t="s">
        <v>138</v>
      </c>
      <c r="CX1686" s="24" t="s">
        <v>138</v>
      </c>
      <c r="CY1686" s="23" t="s">
        <v>138</v>
      </c>
      <c r="CZ1686" s="24" t="s">
        <v>138</v>
      </c>
      <c r="DA1686" s="23" t="s">
        <v>138</v>
      </c>
      <c r="DB1686" s="24" t="s">
        <v>138</v>
      </c>
      <c r="DC1686" s="25" t="s">
        <v>138</v>
      </c>
      <c r="DD1686" s="24" t="s">
        <v>138</v>
      </c>
      <c r="DE1686" s="25" t="s">
        <v>138</v>
      </c>
      <c r="DF1686" s="23" t="s">
        <v>138</v>
      </c>
      <c r="DG1686" s="25" t="s">
        <v>138</v>
      </c>
      <c r="DH1686" s="24" t="s">
        <v>138</v>
      </c>
      <c r="DI1686" s="25" t="s">
        <v>138</v>
      </c>
      <c r="DJ1686" s="24" t="s">
        <v>138</v>
      </c>
      <c r="DK1686" s="25" t="s">
        <v>138</v>
      </c>
      <c r="DL1686" s="24" t="s">
        <v>138</v>
      </c>
      <c r="DM1686" s="25" t="s">
        <v>138</v>
      </c>
      <c r="DN1686" s="24" t="s">
        <v>138</v>
      </c>
      <c r="DO1686" s="25" t="s">
        <v>138</v>
      </c>
      <c r="DP1686" s="24" t="s">
        <v>138</v>
      </c>
      <c r="DQ1686" s="24" t="s">
        <v>138</v>
      </c>
      <c r="DR1686" s="26" t="s">
        <v>138</v>
      </c>
      <c r="DS1686" s="23" t="s">
        <v>138</v>
      </c>
      <c r="DT1686" s="24" t="s">
        <v>138</v>
      </c>
      <c r="DU1686" s="26" t="s">
        <v>138</v>
      </c>
      <c r="DV1686" s="23" t="s">
        <v>138</v>
      </c>
      <c r="DW1686" s="24" t="s">
        <v>138</v>
      </c>
      <c r="DX1686" s="27" t="s">
        <v>138</v>
      </c>
      <c r="DY1686" s="23" t="s">
        <v>138</v>
      </c>
      <c r="DZ1686" s="15" t="s">
        <v>178</v>
      </c>
      <c r="EA1686" s="22">
        <v>43353</v>
      </c>
      <c r="EB1686" s="17" t="s">
        <v>138</v>
      </c>
      <c r="EC1686" s="22" t="s">
        <v>138</v>
      </c>
      <c r="ED1686" s="15" t="s">
        <v>138</v>
      </c>
      <c r="EE1686" s="14" t="str">
        <f>HYPERLINK("https://my.pitchbook.com?c=169830-91", "View company online")</f>
        <v>View company online</v>
      </c>
    </row>
    <row r="1687" spans="1:135">
      <c r="A1687" s="28" t="s">
        <v>32152</v>
      </c>
      <c r="B1687" s="28" t="s">
        <v>32153</v>
      </c>
      <c r="C1687" s="28" t="s">
        <v>138</v>
      </c>
      <c r="D1687" s="28" t="s">
        <v>138</v>
      </c>
      <c r="E1687" s="28" t="s">
        <v>32154</v>
      </c>
      <c r="F1687" s="28" t="s">
        <v>32152</v>
      </c>
      <c r="G1687" s="28" t="s">
        <v>32155</v>
      </c>
      <c r="H1687" s="28" t="s">
        <v>238</v>
      </c>
      <c r="I1687" s="28" t="s">
        <v>997</v>
      </c>
      <c r="J1687" s="28" t="s">
        <v>6149</v>
      </c>
      <c r="K1687" s="28" t="s">
        <v>6150</v>
      </c>
      <c r="L1687" s="28" t="s">
        <v>138</v>
      </c>
      <c r="M1687" s="28" t="s">
        <v>32156</v>
      </c>
      <c r="N1687" s="28" t="s">
        <v>147</v>
      </c>
      <c r="O1687" s="29">
        <v>1.1599999999999999</v>
      </c>
      <c r="P1687" s="28" t="s">
        <v>148</v>
      </c>
      <c r="Q1687" s="28" t="s">
        <v>149</v>
      </c>
      <c r="R1687" s="28" t="s">
        <v>174</v>
      </c>
      <c r="S1687" s="28" t="s">
        <v>32157</v>
      </c>
      <c r="T1687" s="30" t="s">
        <v>138</v>
      </c>
      <c r="U1687" s="28" t="s">
        <v>138</v>
      </c>
      <c r="V1687" s="28" t="s">
        <v>138</v>
      </c>
      <c r="W1687" s="28" t="s">
        <v>138</v>
      </c>
      <c r="X1687" s="31">
        <v>2013</v>
      </c>
      <c r="Y1687" s="28" t="s">
        <v>138</v>
      </c>
      <c r="Z1687" s="28" t="s">
        <v>138</v>
      </c>
      <c r="AA1687" s="28" t="s">
        <v>138</v>
      </c>
      <c r="AB1687" s="32" t="s">
        <v>138</v>
      </c>
      <c r="AC1687" s="32" t="s">
        <v>138</v>
      </c>
      <c r="AD1687" s="32" t="s">
        <v>138</v>
      </c>
      <c r="AE1687" s="32" t="s">
        <v>138</v>
      </c>
      <c r="AF1687" s="32" t="s">
        <v>138</v>
      </c>
      <c r="AG1687" s="28" t="s">
        <v>138</v>
      </c>
      <c r="AH1687" s="32" t="s">
        <v>138</v>
      </c>
      <c r="AI1687" s="32" t="s">
        <v>138</v>
      </c>
      <c r="AJ1687" s="32" t="s">
        <v>138</v>
      </c>
      <c r="AK1687" s="28" t="s">
        <v>32158</v>
      </c>
      <c r="AL1687" s="28" t="s">
        <v>32159</v>
      </c>
      <c r="AM1687" s="28" t="s">
        <v>11604</v>
      </c>
      <c r="AN1687" s="28" t="s">
        <v>32160</v>
      </c>
      <c r="AO1687" s="28" t="s">
        <v>138</v>
      </c>
      <c r="AP1687" s="28" t="s">
        <v>7021</v>
      </c>
      <c r="AQ1687" s="28" t="s">
        <v>138</v>
      </c>
      <c r="AR1687" s="28" t="s">
        <v>138</v>
      </c>
      <c r="AS1687" s="28" t="s">
        <v>138</v>
      </c>
      <c r="AT1687" s="28" t="s">
        <v>138</v>
      </c>
      <c r="AU1687" s="28" t="s">
        <v>138</v>
      </c>
      <c r="AV1687" s="28" t="s">
        <v>7021</v>
      </c>
      <c r="AW1687" s="28" t="s">
        <v>138</v>
      </c>
      <c r="AX1687" s="28" t="s">
        <v>138</v>
      </c>
      <c r="AY1687" s="28" t="s">
        <v>32161</v>
      </c>
      <c r="AZ1687" s="28" t="s">
        <v>530</v>
      </c>
      <c r="BA1687" s="28" t="s">
        <v>531</v>
      </c>
      <c r="BB1687" s="28" t="s">
        <v>32162</v>
      </c>
      <c r="BC1687" s="28" t="s">
        <v>32163</v>
      </c>
      <c r="BD1687" s="33">
        <v>2</v>
      </c>
      <c r="BE1687" s="28" t="s">
        <v>138</v>
      </c>
      <c r="BF1687" s="28" t="s">
        <v>138</v>
      </c>
      <c r="BG1687" s="28" t="s">
        <v>138</v>
      </c>
      <c r="BH1687" s="28" t="s">
        <v>11378</v>
      </c>
      <c r="BI1687" s="28" t="s">
        <v>138</v>
      </c>
      <c r="BJ1687" s="28" t="s">
        <v>138</v>
      </c>
      <c r="BK1687" s="28" t="s">
        <v>138</v>
      </c>
      <c r="BL1687" s="28" t="s">
        <v>32164</v>
      </c>
      <c r="BM1687" s="34">
        <v>42189</v>
      </c>
      <c r="BN1687" s="29">
        <v>0.33</v>
      </c>
      <c r="BO1687" s="28" t="s">
        <v>172</v>
      </c>
      <c r="BP1687" s="29" t="s">
        <v>138</v>
      </c>
      <c r="BQ1687" s="28" t="s">
        <v>138</v>
      </c>
      <c r="BR1687" s="28" t="s">
        <v>262</v>
      </c>
      <c r="BS1687" s="28" t="s">
        <v>262</v>
      </c>
      <c r="BT1687" s="28" t="s">
        <v>138</v>
      </c>
      <c r="BU1687" s="28" t="s">
        <v>263</v>
      </c>
      <c r="BV1687" s="28" t="s">
        <v>138</v>
      </c>
      <c r="BW1687" s="28" t="s">
        <v>138</v>
      </c>
      <c r="BX1687" s="28" t="s">
        <v>138</v>
      </c>
      <c r="BY1687" s="28" t="s">
        <v>175</v>
      </c>
      <c r="BZ1687" s="34">
        <v>43575</v>
      </c>
      <c r="CA1687" s="29">
        <v>0.5</v>
      </c>
      <c r="CB1687" s="28" t="s">
        <v>172</v>
      </c>
      <c r="CC1687" s="29" t="s">
        <v>138</v>
      </c>
      <c r="CD1687" s="28" t="s">
        <v>138</v>
      </c>
      <c r="CE1687" s="28" t="s">
        <v>173</v>
      </c>
      <c r="CF1687" s="28" t="s">
        <v>138</v>
      </c>
      <c r="CG1687" s="28" t="s">
        <v>138</v>
      </c>
      <c r="CH1687" s="28" t="s">
        <v>174</v>
      </c>
      <c r="CI1687" s="28" t="s">
        <v>138</v>
      </c>
      <c r="CJ1687" s="28" t="s">
        <v>138</v>
      </c>
      <c r="CK1687" s="28" t="s">
        <v>138</v>
      </c>
      <c r="CL1687" s="28" t="s">
        <v>175</v>
      </c>
      <c r="CM1687" s="34" t="s">
        <v>138</v>
      </c>
      <c r="CN1687" s="29" t="s">
        <v>138</v>
      </c>
      <c r="CO1687" s="35" t="s">
        <v>138</v>
      </c>
      <c r="CP1687" s="36" t="s">
        <v>138</v>
      </c>
      <c r="CQ1687" s="35" t="s">
        <v>138</v>
      </c>
      <c r="CR1687" s="35" t="s">
        <v>138</v>
      </c>
      <c r="CS1687" s="35" t="s">
        <v>138</v>
      </c>
      <c r="CT1687" s="36" t="s">
        <v>138</v>
      </c>
      <c r="CU1687" s="35" t="s">
        <v>138</v>
      </c>
      <c r="CV1687" s="36" t="s">
        <v>138</v>
      </c>
      <c r="CW1687" s="35" t="s">
        <v>138</v>
      </c>
      <c r="CX1687" s="36" t="s">
        <v>138</v>
      </c>
      <c r="CY1687" s="35" t="s">
        <v>138</v>
      </c>
      <c r="CZ1687" s="36" t="s">
        <v>138</v>
      </c>
      <c r="DA1687" s="35" t="s">
        <v>138</v>
      </c>
      <c r="DB1687" s="36" t="s">
        <v>138</v>
      </c>
      <c r="DC1687" s="37" t="s">
        <v>138</v>
      </c>
      <c r="DD1687" s="36" t="s">
        <v>138</v>
      </c>
      <c r="DE1687" s="37" t="s">
        <v>138</v>
      </c>
      <c r="DF1687" s="35" t="s">
        <v>138</v>
      </c>
      <c r="DG1687" s="37" t="s">
        <v>138</v>
      </c>
      <c r="DH1687" s="36" t="s">
        <v>138</v>
      </c>
      <c r="DI1687" s="37" t="s">
        <v>138</v>
      </c>
      <c r="DJ1687" s="36" t="s">
        <v>138</v>
      </c>
      <c r="DK1687" s="37" t="s">
        <v>138</v>
      </c>
      <c r="DL1687" s="36" t="s">
        <v>138</v>
      </c>
      <c r="DM1687" s="37" t="s">
        <v>138</v>
      </c>
      <c r="DN1687" s="36" t="s">
        <v>138</v>
      </c>
      <c r="DO1687" s="37" t="s">
        <v>138</v>
      </c>
      <c r="DP1687" s="36" t="s">
        <v>138</v>
      </c>
      <c r="DQ1687" s="36" t="s">
        <v>138</v>
      </c>
      <c r="DR1687" s="38" t="s">
        <v>138</v>
      </c>
      <c r="DS1687" s="35" t="s">
        <v>138</v>
      </c>
      <c r="DT1687" s="36" t="s">
        <v>138</v>
      </c>
      <c r="DU1687" s="38" t="s">
        <v>138</v>
      </c>
      <c r="DV1687" s="35" t="s">
        <v>138</v>
      </c>
      <c r="DW1687" s="36" t="s">
        <v>138</v>
      </c>
      <c r="DX1687" s="39" t="s">
        <v>138</v>
      </c>
      <c r="DY1687" s="35" t="s">
        <v>138</v>
      </c>
      <c r="DZ1687" s="28" t="s">
        <v>178</v>
      </c>
      <c r="EA1687" s="34">
        <v>43578</v>
      </c>
      <c r="EB1687" s="29">
        <v>6.3</v>
      </c>
      <c r="EC1687" s="34">
        <v>43472</v>
      </c>
      <c r="ED1687" s="28" t="s">
        <v>262</v>
      </c>
      <c r="EE1687" s="40" t="str">
        <f>HYPERLINK("https://my.pitchbook.com?c=235265-86", "View company online")</f>
        <v>View company online</v>
      </c>
    </row>
    <row r="1688" spans="1:135">
      <c r="A1688" s="15" t="s">
        <v>32165</v>
      </c>
      <c r="B1688" s="15" t="s">
        <v>32166</v>
      </c>
      <c r="C1688" s="15" t="s">
        <v>138</v>
      </c>
      <c r="D1688" s="15" t="s">
        <v>138</v>
      </c>
      <c r="E1688" s="15" t="s">
        <v>32167</v>
      </c>
      <c r="F1688" s="15" t="s">
        <v>32165</v>
      </c>
      <c r="G1688" s="15" t="s">
        <v>32168</v>
      </c>
      <c r="H1688" s="15" t="s">
        <v>890</v>
      </c>
      <c r="I1688" s="15" t="s">
        <v>891</v>
      </c>
      <c r="J1688" s="15" t="s">
        <v>8932</v>
      </c>
      <c r="K1688" s="15" t="s">
        <v>20333</v>
      </c>
      <c r="L1688" s="15" t="s">
        <v>32169</v>
      </c>
      <c r="M1688" s="15" t="s">
        <v>32170</v>
      </c>
      <c r="N1688" s="15" t="s">
        <v>147</v>
      </c>
      <c r="O1688" s="17">
        <v>12.55</v>
      </c>
      <c r="P1688" s="15" t="s">
        <v>148</v>
      </c>
      <c r="Q1688" s="15" t="s">
        <v>149</v>
      </c>
      <c r="R1688" s="15" t="s">
        <v>174</v>
      </c>
      <c r="S1688" s="15" t="s">
        <v>32171</v>
      </c>
      <c r="T1688" s="18">
        <v>11</v>
      </c>
      <c r="U1688" s="15" t="s">
        <v>32172</v>
      </c>
      <c r="V1688" s="15" t="s">
        <v>138</v>
      </c>
      <c r="W1688" s="15" t="s">
        <v>138</v>
      </c>
      <c r="X1688" s="19">
        <v>2014</v>
      </c>
      <c r="Y1688" s="15" t="s">
        <v>138</v>
      </c>
      <c r="Z1688" s="15" t="s">
        <v>138</v>
      </c>
      <c r="AA1688" s="15" t="s">
        <v>138</v>
      </c>
      <c r="AB1688" s="20" t="s">
        <v>138</v>
      </c>
      <c r="AC1688" s="20" t="s">
        <v>138</v>
      </c>
      <c r="AD1688" s="20" t="s">
        <v>138</v>
      </c>
      <c r="AE1688" s="20" t="s">
        <v>138</v>
      </c>
      <c r="AF1688" s="20" t="s">
        <v>138</v>
      </c>
      <c r="AG1688" s="15" t="s">
        <v>138</v>
      </c>
      <c r="AH1688" s="20" t="s">
        <v>138</v>
      </c>
      <c r="AI1688" s="20" t="s">
        <v>138</v>
      </c>
      <c r="AJ1688" s="20" t="s">
        <v>138</v>
      </c>
      <c r="AK1688" s="15" t="s">
        <v>32173</v>
      </c>
      <c r="AL1688" s="15" t="s">
        <v>32174</v>
      </c>
      <c r="AM1688" s="15" t="s">
        <v>304</v>
      </c>
      <c r="AN1688" s="15" t="s">
        <v>32175</v>
      </c>
      <c r="AO1688" s="15" t="s">
        <v>32176</v>
      </c>
      <c r="AP1688" s="15" t="s">
        <v>1870</v>
      </c>
      <c r="AQ1688" s="15" t="s">
        <v>32177</v>
      </c>
      <c r="AR1688" s="15" t="s">
        <v>32178</v>
      </c>
      <c r="AS1688" s="15" t="s">
        <v>1872</v>
      </c>
      <c r="AT1688" s="15" t="s">
        <v>200</v>
      </c>
      <c r="AU1688" s="15" t="s">
        <v>28322</v>
      </c>
      <c r="AV1688" s="15" t="s">
        <v>162</v>
      </c>
      <c r="AW1688" s="15" t="s">
        <v>32176</v>
      </c>
      <c r="AX1688" s="15" t="s">
        <v>32179</v>
      </c>
      <c r="AY1688" s="15" t="s">
        <v>32180</v>
      </c>
      <c r="AZ1688" s="15" t="s">
        <v>164</v>
      </c>
      <c r="BA1688" s="15" t="s">
        <v>165</v>
      </c>
      <c r="BB1688" s="15" t="s">
        <v>32181</v>
      </c>
      <c r="BC1688" s="15" t="s">
        <v>32182</v>
      </c>
      <c r="BD1688" s="21">
        <v>6</v>
      </c>
      <c r="BE1688" s="15" t="s">
        <v>138</v>
      </c>
      <c r="BF1688" s="15" t="s">
        <v>138</v>
      </c>
      <c r="BG1688" s="15" t="s">
        <v>32183</v>
      </c>
      <c r="BH1688" s="15" t="s">
        <v>32184</v>
      </c>
      <c r="BI1688" s="15" t="s">
        <v>138</v>
      </c>
      <c r="BJ1688" s="15" t="s">
        <v>32185</v>
      </c>
      <c r="BK1688" s="15" t="s">
        <v>32186</v>
      </c>
      <c r="BL1688" s="15" t="s">
        <v>32187</v>
      </c>
      <c r="BM1688" s="22">
        <v>42271</v>
      </c>
      <c r="BN1688" s="17" t="s">
        <v>138</v>
      </c>
      <c r="BO1688" s="15" t="s">
        <v>138</v>
      </c>
      <c r="BP1688" s="17" t="s">
        <v>138</v>
      </c>
      <c r="BQ1688" s="15" t="s">
        <v>138</v>
      </c>
      <c r="BR1688" s="15" t="s">
        <v>316</v>
      </c>
      <c r="BS1688" s="15" t="s">
        <v>138</v>
      </c>
      <c r="BT1688" s="15" t="s">
        <v>138</v>
      </c>
      <c r="BU1688" s="15" t="s">
        <v>177</v>
      </c>
      <c r="BV1688" s="15" t="s">
        <v>138</v>
      </c>
      <c r="BW1688" s="15" t="s">
        <v>138</v>
      </c>
      <c r="BX1688" s="15" t="s">
        <v>138</v>
      </c>
      <c r="BY1688" s="15" t="s">
        <v>175</v>
      </c>
      <c r="BZ1688" s="22" t="s">
        <v>138</v>
      </c>
      <c r="CA1688" s="17">
        <v>9</v>
      </c>
      <c r="CB1688" s="15" t="s">
        <v>172</v>
      </c>
      <c r="CC1688" s="17" t="s">
        <v>138</v>
      </c>
      <c r="CD1688" s="15" t="s">
        <v>138</v>
      </c>
      <c r="CE1688" s="15" t="s">
        <v>205</v>
      </c>
      <c r="CF1688" s="15" t="s">
        <v>138</v>
      </c>
      <c r="CG1688" s="15" t="s">
        <v>138</v>
      </c>
      <c r="CH1688" s="15" t="s">
        <v>174</v>
      </c>
      <c r="CI1688" s="15" t="s">
        <v>264</v>
      </c>
      <c r="CJ1688" s="15" t="s">
        <v>138</v>
      </c>
      <c r="CK1688" s="15" t="s">
        <v>138</v>
      </c>
      <c r="CL1688" s="15" t="s">
        <v>175</v>
      </c>
      <c r="CM1688" s="22">
        <v>43353</v>
      </c>
      <c r="CN1688" s="17" t="s">
        <v>138</v>
      </c>
      <c r="CO1688" s="23">
        <v>0.52</v>
      </c>
      <c r="CP1688" s="24">
        <v>95</v>
      </c>
      <c r="CQ1688" s="23">
        <v>-0.04</v>
      </c>
      <c r="CR1688" s="23">
        <v>-7.31</v>
      </c>
      <c r="CS1688" s="23">
        <v>0.54</v>
      </c>
      <c r="CT1688" s="24">
        <v>95</v>
      </c>
      <c r="CU1688" s="23">
        <v>0.51</v>
      </c>
      <c r="CV1688" s="24">
        <v>94</v>
      </c>
      <c r="CW1688" s="23">
        <v>-1.84</v>
      </c>
      <c r="CX1688" s="24">
        <v>7</v>
      </c>
      <c r="CY1688" s="23">
        <v>2.91</v>
      </c>
      <c r="CZ1688" s="24">
        <v>100</v>
      </c>
      <c r="DA1688" s="23">
        <v>0.05</v>
      </c>
      <c r="DB1688" s="24">
        <v>64</v>
      </c>
      <c r="DC1688" s="25">
        <v>16.690000000000001</v>
      </c>
      <c r="DD1688" s="24">
        <v>94</v>
      </c>
      <c r="DE1688" s="25">
        <v>-0.21</v>
      </c>
      <c r="DF1688" s="23">
        <v>-1.26</v>
      </c>
      <c r="DG1688" s="25">
        <v>8.74</v>
      </c>
      <c r="DH1688" s="24">
        <v>88</v>
      </c>
      <c r="DI1688" s="25">
        <v>24.65</v>
      </c>
      <c r="DJ1688" s="24">
        <v>92</v>
      </c>
      <c r="DK1688" s="25">
        <v>7.72</v>
      </c>
      <c r="DL1688" s="24">
        <v>84</v>
      </c>
      <c r="DM1688" s="25">
        <v>9.76</v>
      </c>
      <c r="DN1688" s="24">
        <v>88</v>
      </c>
      <c r="DO1688" s="25">
        <v>2.72</v>
      </c>
      <c r="DP1688" s="24">
        <v>69</v>
      </c>
      <c r="DQ1688" s="24">
        <v>2601</v>
      </c>
      <c r="DR1688" s="26">
        <v>142</v>
      </c>
      <c r="DS1688" s="23">
        <v>5.77</v>
      </c>
      <c r="DT1688" s="24">
        <v>280</v>
      </c>
      <c r="DU1688" s="26">
        <v>4</v>
      </c>
      <c r="DV1688" s="23">
        <v>1.45</v>
      </c>
      <c r="DW1688" s="24">
        <v>974</v>
      </c>
      <c r="DX1688" s="27">
        <v>2</v>
      </c>
      <c r="DY1688" s="23">
        <v>0.21</v>
      </c>
      <c r="DZ1688" s="15" t="s">
        <v>178</v>
      </c>
      <c r="EA1688" s="22">
        <v>43622</v>
      </c>
      <c r="EB1688" s="17" t="s">
        <v>138</v>
      </c>
      <c r="EC1688" s="22" t="s">
        <v>138</v>
      </c>
      <c r="ED1688" s="15" t="s">
        <v>138</v>
      </c>
      <c r="EE1688" s="14" t="str">
        <f>HYPERLINK("https://my.pitchbook.com?c=128377-63", "View company online")</f>
        <v>View company online</v>
      </c>
    </row>
    <row r="1689" spans="1:135">
      <c r="A1689" s="28" t="s">
        <v>32188</v>
      </c>
      <c r="B1689" s="28" t="s">
        <v>32189</v>
      </c>
      <c r="C1689" s="28" t="s">
        <v>32190</v>
      </c>
      <c r="D1689" s="28" t="s">
        <v>32191</v>
      </c>
      <c r="E1689" s="28" t="s">
        <v>32192</v>
      </c>
      <c r="F1689" s="28" t="s">
        <v>32188</v>
      </c>
      <c r="G1689" s="28" t="s">
        <v>32193</v>
      </c>
      <c r="H1689" s="28" t="s">
        <v>322</v>
      </c>
      <c r="I1689" s="28" t="s">
        <v>356</v>
      </c>
      <c r="J1689" s="28" t="s">
        <v>1901</v>
      </c>
      <c r="K1689" s="28" t="s">
        <v>32194</v>
      </c>
      <c r="L1689" s="28" t="s">
        <v>415</v>
      </c>
      <c r="M1689" s="28" t="s">
        <v>32195</v>
      </c>
      <c r="N1689" s="28" t="s">
        <v>147</v>
      </c>
      <c r="O1689" s="29">
        <v>93.17</v>
      </c>
      <c r="P1689" s="28" t="s">
        <v>812</v>
      </c>
      <c r="Q1689" s="28" t="s">
        <v>149</v>
      </c>
      <c r="R1689" s="28" t="s">
        <v>244</v>
      </c>
      <c r="S1689" s="28" t="s">
        <v>32196</v>
      </c>
      <c r="T1689" s="30">
        <v>111</v>
      </c>
      <c r="U1689" s="28" t="s">
        <v>32197</v>
      </c>
      <c r="V1689" s="28" t="s">
        <v>138</v>
      </c>
      <c r="W1689" s="28" t="s">
        <v>138</v>
      </c>
      <c r="X1689" s="31">
        <v>2000</v>
      </c>
      <c r="Y1689" s="28" t="s">
        <v>138</v>
      </c>
      <c r="Z1689" s="28" t="s">
        <v>138</v>
      </c>
      <c r="AA1689" s="28" t="s">
        <v>138</v>
      </c>
      <c r="AB1689" s="32">
        <v>36.03</v>
      </c>
      <c r="AC1689" s="32">
        <v>16.600000000000001</v>
      </c>
      <c r="AD1689" s="32">
        <v>-1.67</v>
      </c>
      <c r="AE1689" s="32" t="s">
        <v>138</v>
      </c>
      <c r="AF1689" s="32">
        <v>0.73</v>
      </c>
      <c r="AG1689" s="28" t="s">
        <v>419</v>
      </c>
      <c r="AH1689" s="32" t="s">
        <v>138</v>
      </c>
      <c r="AI1689" s="32" t="s">
        <v>138</v>
      </c>
      <c r="AJ1689" s="32" t="s">
        <v>138</v>
      </c>
      <c r="AK1689" s="28" t="s">
        <v>32198</v>
      </c>
      <c r="AL1689" s="28" t="s">
        <v>32199</v>
      </c>
      <c r="AM1689" s="28" t="s">
        <v>249</v>
      </c>
      <c r="AN1689" s="28" t="s">
        <v>32200</v>
      </c>
      <c r="AO1689" s="28" t="s">
        <v>32201</v>
      </c>
      <c r="AP1689" s="28" t="s">
        <v>6449</v>
      </c>
      <c r="AQ1689" s="28" t="s">
        <v>32202</v>
      </c>
      <c r="AR1689" s="28" t="s">
        <v>29456</v>
      </c>
      <c r="AS1689" s="28" t="s">
        <v>863</v>
      </c>
      <c r="AT1689" s="28" t="s">
        <v>824</v>
      </c>
      <c r="AU1689" s="28" t="s">
        <v>32203</v>
      </c>
      <c r="AV1689" s="28" t="s">
        <v>526</v>
      </c>
      <c r="AW1689" s="28" t="s">
        <v>32201</v>
      </c>
      <c r="AX1689" s="28" t="s">
        <v>32204</v>
      </c>
      <c r="AY1689" s="28" t="s">
        <v>32205</v>
      </c>
      <c r="AZ1689" s="28" t="s">
        <v>530</v>
      </c>
      <c r="BA1689" s="28" t="s">
        <v>531</v>
      </c>
      <c r="BB1689" s="28" t="s">
        <v>32206</v>
      </c>
      <c r="BC1689" s="28" t="s">
        <v>32207</v>
      </c>
      <c r="BD1689" s="33">
        <v>12</v>
      </c>
      <c r="BE1689" s="28" t="s">
        <v>138</v>
      </c>
      <c r="BF1689" s="28" t="s">
        <v>138</v>
      </c>
      <c r="BG1689" s="28" t="s">
        <v>138</v>
      </c>
      <c r="BH1689" s="28" t="s">
        <v>32208</v>
      </c>
      <c r="BI1689" s="28" t="s">
        <v>138</v>
      </c>
      <c r="BJ1689" s="28" t="s">
        <v>138</v>
      </c>
      <c r="BK1689" s="28" t="s">
        <v>32209</v>
      </c>
      <c r="BL1689" s="28" t="s">
        <v>32210</v>
      </c>
      <c r="BM1689" s="34">
        <v>36678</v>
      </c>
      <c r="BN1689" s="29">
        <v>5.04</v>
      </c>
      <c r="BO1689" s="28" t="s">
        <v>172</v>
      </c>
      <c r="BP1689" s="29">
        <v>44.49</v>
      </c>
      <c r="BQ1689" s="28" t="s">
        <v>172</v>
      </c>
      <c r="BR1689" s="28" t="s">
        <v>205</v>
      </c>
      <c r="BS1689" s="28" t="s">
        <v>206</v>
      </c>
      <c r="BT1689" s="28" t="s">
        <v>138</v>
      </c>
      <c r="BU1689" s="28" t="s">
        <v>174</v>
      </c>
      <c r="BV1689" s="28" t="s">
        <v>138</v>
      </c>
      <c r="BW1689" s="28" t="s">
        <v>138</v>
      </c>
      <c r="BX1689" s="28" t="s">
        <v>138</v>
      </c>
      <c r="BY1689" s="28" t="s">
        <v>175</v>
      </c>
      <c r="BZ1689" s="34">
        <v>42765</v>
      </c>
      <c r="CA1689" s="29">
        <v>5</v>
      </c>
      <c r="CB1689" s="28" t="s">
        <v>172</v>
      </c>
      <c r="CC1689" s="29" t="s">
        <v>138</v>
      </c>
      <c r="CD1689" s="28" t="s">
        <v>138</v>
      </c>
      <c r="CE1689" s="28" t="s">
        <v>1326</v>
      </c>
      <c r="CF1689" s="28" t="s">
        <v>138</v>
      </c>
      <c r="CG1689" s="28" t="s">
        <v>138</v>
      </c>
      <c r="CH1689" s="28" t="s">
        <v>1327</v>
      </c>
      <c r="CI1689" s="28" t="s">
        <v>1397</v>
      </c>
      <c r="CJ1689" s="28" t="s">
        <v>138</v>
      </c>
      <c r="CK1689" s="28" t="s">
        <v>138</v>
      </c>
      <c r="CL1689" s="28" t="s">
        <v>175</v>
      </c>
      <c r="CM1689" s="34">
        <v>42765</v>
      </c>
      <c r="CN1689" s="29">
        <v>5</v>
      </c>
      <c r="CO1689" s="35">
        <v>-0.92</v>
      </c>
      <c r="CP1689" s="36">
        <v>12</v>
      </c>
      <c r="CQ1689" s="35">
        <v>-7.0000000000000007E-2</v>
      </c>
      <c r="CR1689" s="35">
        <v>-8.3699999999999992</v>
      </c>
      <c r="CS1689" s="35">
        <v>-1.97</v>
      </c>
      <c r="CT1689" s="36">
        <v>9</v>
      </c>
      <c r="CU1689" s="35">
        <v>0.13</v>
      </c>
      <c r="CV1689" s="36">
        <v>73</v>
      </c>
      <c r="CW1689" s="35" t="s">
        <v>138</v>
      </c>
      <c r="CX1689" s="36" t="s">
        <v>138</v>
      </c>
      <c r="CY1689" s="35">
        <v>-1.97</v>
      </c>
      <c r="CZ1689" s="36">
        <v>11</v>
      </c>
      <c r="DA1689" s="35">
        <v>0.13</v>
      </c>
      <c r="DB1689" s="36">
        <v>76</v>
      </c>
      <c r="DC1689" s="37">
        <v>2.74</v>
      </c>
      <c r="DD1689" s="36">
        <v>73</v>
      </c>
      <c r="DE1689" s="37">
        <v>0.02</v>
      </c>
      <c r="DF1689" s="35">
        <v>0.88</v>
      </c>
      <c r="DG1689" s="37">
        <v>3.59</v>
      </c>
      <c r="DH1689" s="36">
        <v>77</v>
      </c>
      <c r="DI1689" s="37">
        <v>1.89</v>
      </c>
      <c r="DJ1689" s="36">
        <v>61</v>
      </c>
      <c r="DK1689" s="37" t="s">
        <v>138</v>
      </c>
      <c r="DL1689" s="36" t="s">
        <v>138</v>
      </c>
      <c r="DM1689" s="37">
        <v>3.59</v>
      </c>
      <c r="DN1689" s="36">
        <v>76</v>
      </c>
      <c r="DO1689" s="37">
        <v>1.89</v>
      </c>
      <c r="DP1689" s="36">
        <v>63</v>
      </c>
      <c r="DQ1689" s="36" t="s">
        <v>138</v>
      </c>
      <c r="DR1689" s="38" t="s">
        <v>138</v>
      </c>
      <c r="DS1689" s="35" t="s">
        <v>138</v>
      </c>
      <c r="DT1689" s="36">
        <v>103</v>
      </c>
      <c r="DU1689" s="38">
        <v>0</v>
      </c>
      <c r="DV1689" s="35">
        <v>0</v>
      </c>
      <c r="DW1689" s="36">
        <v>674</v>
      </c>
      <c r="DX1689" s="39">
        <v>0</v>
      </c>
      <c r="DY1689" s="35">
        <v>0</v>
      </c>
      <c r="DZ1689" s="28" t="s">
        <v>178</v>
      </c>
      <c r="EA1689" s="34">
        <v>43607</v>
      </c>
      <c r="EB1689" s="29">
        <v>26.25</v>
      </c>
      <c r="EC1689" s="34">
        <v>39104</v>
      </c>
      <c r="ED1689" s="28" t="s">
        <v>173</v>
      </c>
      <c r="EE1689" s="40" t="str">
        <f>HYPERLINK("https://my.pitchbook.com?c=53932-24", "View company online")</f>
        <v>View company online</v>
      </c>
    </row>
    <row r="1690" spans="1:135">
      <c r="A1690" s="15" t="s">
        <v>32211</v>
      </c>
      <c r="B1690" s="15" t="s">
        <v>32212</v>
      </c>
      <c r="C1690" s="15" t="s">
        <v>138</v>
      </c>
      <c r="D1690" s="15" t="s">
        <v>138</v>
      </c>
      <c r="E1690" s="15" t="s">
        <v>32213</v>
      </c>
      <c r="F1690" s="15" t="s">
        <v>32211</v>
      </c>
      <c r="G1690" s="15" t="s">
        <v>32214</v>
      </c>
      <c r="H1690" s="15" t="s">
        <v>322</v>
      </c>
      <c r="I1690" s="15" t="s">
        <v>323</v>
      </c>
      <c r="J1690" s="15" t="s">
        <v>413</v>
      </c>
      <c r="K1690" s="15" t="s">
        <v>874</v>
      </c>
      <c r="L1690" s="15" t="s">
        <v>32215</v>
      </c>
      <c r="M1690" s="15" t="s">
        <v>32216</v>
      </c>
      <c r="N1690" s="15" t="s">
        <v>147</v>
      </c>
      <c r="O1690" s="17">
        <v>131.25</v>
      </c>
      <c r="P1690" s="15" t="s">
        <v>812</v>
      </c>
      <c r="Q1690" s="15" t="s">
        <v>149</v>
      </c>
      <c r="R1690" s="15" t="s">
        <v>244</v>
      </c>
      <c r="S1690" s="15" t="s">
        <v>32217</v>
      </c>
      <c r="T1690" s="18">
        <v>50</v>
      </c>
      <c r="U1690" s="15" t="s">
        <v>32218</v>
      </c>
      <c r="V1690" s="15" t="s">
        <v>138</v>
      </c>
      <c r="W1690" s="15" t="s">
        <v>138</v>
      </c>
      <c r="X1690" s="19">
        <v>2012</v>
      </c>
      <c r="Y1690" s="15" t="s">
        <v>138</v>
      </c>
      <c r="Z1690" s="15" t="s">
        <v>138</v>
      </c>
      <c r="AA1690" s="15" t="s">
        <v>1163</v>
      </c>
      <c r="AB1690" s="20">
        <v>80</v>
      </c>
      <c r="AC1690" s="20" t="s">
        <v>138</v>
      </c>
      <c r="AD1690" s="20" t="s">
        <v>138</v>
      </c>
      <c r="AE1690" s="20" t="s">
        <v>138</v>
      </c>
      <c r="AF1690" s="20" t="s">
        <v>138</v>
      </c>
      <c r="AG1690" s="15" t="s">
        <v>815</v>
      </c>
      <c r="AH1690" s="20" t="s">
        <v>138</v>
      </c>
      <c r="AI1690" s="20" t="s">
        <v>138</v>
      </c>
      <c r="AJ1690" s="20" t="s">
        <v>138</v>
      </c>
      <c r="AK1690" s="15" t="s">
        <v>32219</v>
      </c>
      <c r="AL1690" s="15" t="s">
        <v>32220</v>
      </c>
      <c r="AM1690" s="15" t="s">
        <v>938</v>
      </c>
      <c r="AN1690" s="15" t="s">
        <v>32221</v>
      </c>
      <c r="AO1690" s="15" t="s">
        <v>138</v>
      </c>
      <c r="AP1690" s="15" t="s">
        <v>665</v>
      </c>
      <c r="AQ1690" s="15" t="s">
        <v>32222</v>
      </c>
      <c r="AR1690" s="15" t="s">
        <v>1170</v>
      </c>
      <c r="AS1690" s="15" t="s">
        <v>668</v>
      </c>
      <c r="AT1690" s="15" t="s">
        <v>200</v>
      </c>
      <c r="AU1690" s="15" t="s">
        <v>669</v>
      </c>
      <c r="AV1690" s="15" t="s">
        <v>162</v>
      </c>
      <c r="AW1690" s="15" t="s">
        <v>138</v>
      </c>
      <c r="AX1690" s="15" t="s">
        <v>138</v>
      </c>
      <c r="AY1690" s="15" t="s">
        <v>32223</v>
      </c>
      <c r="AZ1690" s="15" t="s">
        <v>164</v>
      </c>
      <c r="BA1690" s="15" t="s">
        <v>165</v>
      </c>
      <c r="BB1690" s="15" t="s">
        <v>32224</v>
      </c>
      <c r="BC1690" s="15" t="s">
        <v>32225</v>
      </c>
      <c r="BD1690" s="21">
        <v>31</v>
      </c>
      <c r="BE1690" s="15" t="s">
        <v>138</v>
      </c>
      <c r="BF1690" s="15" t="s">
        <v>138</v>
      </c>
      <c r="BG1690" s="15" t="s">
        <v>138</v>
      </c>
      <c r="BH1690" s="15" t="s">
        <v>32226</v>
      </c>
      <c r="BI1690" s="15" t="s">
        <v>138</v>
      </c>
      <c r="BJ1690" s="15" t="s">
        <v>138</v>
      </c>
      <c r="BK1690" s="15" t="s">
        <v>138</v>
      </c>
      <c r="BL1690" s="15" t="s">
        <v>32227</v>
      </c>
      <c r="BM1690" s="22">
        <v>41331</v>
      </c>
      <c r="BN1690" s="17">
        <v>0.42</v>
      </c>
      <c r="BO1690" s="15" t="s">
        <v>172</v>
      </c>
      <c r="BP1690" s="17">
        <v>2.08</v>
      </c>
      <c r="BQ1690" s="15" t="s">
        <v>172</v>
      </c>
      <c r="BR1690" s="15" t="s">
        <v>234</v>
      </c>
      <c r="BS1690" s="15" t="s">
        <v>234</v>
      </c>
      <c r="BT1690" s="15" t="s">
        <v>138</v>
      </c>
      <c r="BU1690" s="15" t="s">
        <v>174</v>
      </c>
      <c r="BV1690" s="15" t="s">
        <v>138</v>
      </c>
      <c r="BW1690" s="15" t="s">
        <v>138</v>
      </c>
      <c r="BX1690" s="15" t="s">
        <v>138</v>
      </c>
      <c r="BY1690" s="15" t="s">
        <v>175</v>
      </c>
      <c r="BZ1690" s="22">
        <v>43465</v>
      </c>
      <c r="CA1690" s="17" t="s">
        <v>138</v>
      </c>
      <c r="CB1690" s="15" t="s">
        <v>138</v>
      </c>
      <c r="CC1690" s="17" t="s">
        <v>138</v>
      </c>
      <c r="CD1690" s="15" t="s">
        <v>138</v>
      </c>
      <c r="CE1690" s="15" t="s">
        <v>1326</v>
      </c>
      <c r="CF1690" s="15" t="s">
        <v>138</v>
      </c>
      <c r="CG1690" s="15" t="s">
        <v>138</v>
      </c>
      <c r="CH1690" s="15" t="s">
        <v>1327</v>
      </c>
      <c r="CI1690" s="15" t="s">
        <v>1498</v>
      </c>
      <c r="CJ1690" s="15" t="s">
        <v>138</v>
      </c>
      <c r="CK1690" s="15" t="s">
        <v>138</v>
      </c>
      <c r="CL1690" s="15" t="s">
        <v>175</v>
      </c>
      <c r="CM1690" s="22">
        <v>43465</v>
      </c>
      <c r="CN1690" s="17">
        <v>15</v>
      </c>
      <c r="CO1690" s="23">
        <v>1.1499999999999999</v>
      </c>
      <c r="CP1690" s="24">
        <v>98</v>
      </c>
      <c r="CQ1690" s="23">
        <v>-7.0000000000000007E-2</v>
      </c>
      <c r="CR1690" s="23">
        <v>-5.61</v>
      </c>
      <c r="CS1690" s="23">
        <v>-0.03</v>
      </c>
      <c r="CT1690" s="24">
        <v>23</v>
      </c>
      <c r="CU1690" s="23">
        <v>0.56000000000000005</v>
      </c>
      <c r="CV1690" s="24">
        <v>94</v>
      </c>
      <c r="CW1690" s="23">
        <v>-0.12</v>
      </c>
      <c r="CX1690" s="24">
        <v>12</v>
      </c>
      <c r="CY1690" s="23">
        <v>0.06</v>
      </c>
      <c r="CZ1690" s="24">
        <v>97</v>
      </c>
      <c r="DA1690" s="23">
        <v>0.9</v>
      </c>
      <c r="DB1690" s="24">
        <v>98</v>
      </c>
      <c r="DC1690" s="25">
        <v>1796.7</v>
      </c>
      <c r="DD1690" s="24">
        <v>100</v>
      </c>
      <c r="DE1690" s="25">
        <v>83.77</v>
      </c>
      <c r="DF1690" s="23">
        <v>4.8899999999999997</v>
      </c>
      <c r="DG1690" s="25">
        <v>396.38</v>
      </c>
      <c r="DH1690" s="24">
        <v>100</v>
      </c>
      <c r="DI1690" s="25">
        <v>664.21</v>
      </c>
      <c r="DJ1690" s="24">
        <v>100</v>
      </c>
      <c r="DK1690" s="25">
        <v>362.04</v>
      </c>
      <c r="DL1690" s="24">
        <v>99</v>
      </c>
      <c r="DM1690" s="25">
        <v>430.72</v>
      </c>
      <c r="DN1690" s="24">
        <v>100</v>
      </c>
      <c r="DO1690" s="25">
        <v>210.43</v>
      </c>
      <c r="DP1690" s="24">
        <v>99</v>
      </c>
      <c r="DQ1690" s="24">
        <v>122973</v>
      </c>
      <c r="DR1690" s="26">
        <v>3621</v>
      </c>
      <c r="DS1690" s="23">
        <v>3.03</v>
      </c>
      <c r="DT1690" s="24">
        <v>12473</v>
      </c>
      <c r="DU1690" s="26">
        <v>59</v>
      </c>
      <c r="DV1690" s="23">
        <v>0.48</v>
      </c>
      <c r="DW1690" s="24">
        <v>75165</v>
      </c>
      <c r="DX1690" s="27">
        <v>416</v>
      </c>
      <c r="DY1690" s="23">
        <v>0.56000000000000005</v>
      </c>
      <c r="DZ1690" s="15" t="s">
        <v>178</v>
      </c>
      <c r="EA1690" s="22">
        <v>43622</v>
      </c>
      <c r="EB1690" s="17">
        <v>1000</v>
      </c>
      <c r="EC1690" s="22">
        <v>43502</v>
      </c>
      <c r="ED1690" s="15" t="s">
        <v>173</v>
      </c>
      <c r="EE1690" s="14" t="str">
        <f>HYPERLINK("https://my.pitchbook.com?c=56204-65", "View company online")</f>
        <v>View company online</v>
      </c>
    </row>
    <row r="1691" spans="1:135">
      <c r="A1691" s="28" t="s">
        <v>32228</v>
      </c>
      <c r="B1691" s="28" t="s">
        <v>32229</v>
      </c>
      <c r="C1691" s="28" t="s">
        <v>32230</v>
      </c>
      <c r="D1691" s="28" t="s">
        <v>138</v>
      </c>
      <c r="E1691" s="28" t="s">
        <v>32231</v>
      </c>
      <c r="F1691" s="28" t="s">
        <v>32228</v>
      </c>
      <c r="G1691" s="28" t="s">
        <v>32232</v>
      </c>
      <c r="H1691" s="28" t="s">
        <v>322</v>
      </c>
      <c r="I1691" s="28" t="s">
        <v>807</v>
      </c>
      <c r="J1691" s="28" t="s">
        <v>2534</v>
      </c>
      <c r="K1691" s="28" t="s">
        <v>32233</v>
      </c>
      <c r="L1691" s="28" t="s">
        <v>415</v>
      </c>
      <c r="M1691" s="28" t="s">
        <v>32234</v>
      </c>
      <c r="N1691" s="28" t="s">
        <v>147</v>
      </c>
      <c r="O1691" s="29">
        <v>3</v>
      </c>
      <c r="P1691" s="28" t="s">
        <v>610</v>
      </c>
      <c r="Q1691" s="28" t="s">
        <v>149</v>
      </c>
      <c r="R1691" s="28" t="s">
        <v>174</v>
      </c>
      <c r="S1691" s="28" t="s">
        <v>32235</v>
      </c>
      <c r="T1691" s="30">
        <v>12</v>
      </c>
      <c r="U1691" s="28" t="s">
        <v>4523</v>
      </c>
      <c r="V1691" s="28" t="s">
        <v>138</v>
      </c>
      <c r="W1691" s="28" t="s">
        <v>138</v>
      </c>
      <c r="X1691" s="31">
        <v>2012</v>
      </c>
      <c r="Y1691" s="28" t="s">
        <v>138</v>
      </c>
      <c r="Z1691" s="28" t="s">
        <v>138</v>
      </c>
      <c r="AA1691" s="28" t="s">
        <v>138</v>
      </c>
      <c r="AB1691" s="32" t="s">
        <v>138</v>
      </c>
      <c r="AC1691" s="32" t="s">
        <v>138</v>
      </c>
      <c r="AD1691" s="32" t="s">
        <v>138</v>
      </c>
      <c r="AE1691" s="32" t="s">
        <v>138</v>
      </c>
      <c r="AF1691" s="32" t="s">
        <v>138</v>
      </c>
      <c r="AG1691" s="28" t="s">
        <v>138</v>
      </c>
      <c r="AH1691" s="32" t="s">
        <v>138</v>
      </c>
      <c r="AI1691" s="32" t="s">
        <v>138</v>
      </c>
      <c r="AJ1691" s="32" t="s">
        <v>138</v>
      </c>
      <c r="AK1691" s="28" t="s">
        <v>32236</v>
      </c>
      <c r="AL1691" s="28" t="s">
        <v>32237</v>
      </c>
      <c r="AM1691" s="28" t="s">
        <v>304</v>
      </c>
      <c r="AN1691" s="28" t="s">
        <v>32238</v>
      </c>
      <c r="AO1691" s="28" t="s">
        <v>32239</v>
      </c>
      <c r="AP1691" s="28" t="s">
        <v>32240</v>
      </c>
      <c r="AQ1691" s="28" t="s">
        <v>32241</v>
      </c>
      <c r="AR1691" s="28" t="s">
        <v>138</v>
      </c>
      <c r="AS1691" s="28" t="s">
        <v>32242</v>
      </c>
      <c r="AT1691" s="28" t="s">
        <v>138</v>
      </c>
      <c r="AU1691" s="28" t="s">
        <v>32243</v>
      </c>
      <c r="AV1691" s="28" t="s">
        <v>740</v>
      </c>
      <c r="AW1691" s="28" t="s">
        <v>138</v>
      </c>
      <c r="AX1691" s="28" t="s">
        <v>138</v>
      </c>
      <c r="AY1691" s="28" t="s">
        <v>32244</v>
      </c>
      <c r="AZ1691" s="28" t="s">
        <v>742</v>
      </c>
      <c r="BA1691" s="28" t="s">
        <v>742</v>
      </c>
      <c r="BB1691" s="28" t="s">
        <v>32245</v>
      </c>
      <c r="BC1691" s="28" t="s">
        <v>32246</v>
      </c>
      <c r="BD1691" s="33">
        <v>8</v>
      </c>
      <c r="BE1691" s="28" t="s">
        <v>138</v>
      </c>
      <c r="BF1691" s="28" t="s">
        <v>138</v>
      </c>
      <c r="BG1691" s="28" t="s">
        <v>138</v>
      </c>
      <c r="BH1691" s="28" t="s">
        <v>32247</v>
      </c>
      <c r="BI1691" s="28" t="s">
        <v>138</v>
      </c>
      <c r="BJ1691" s="28" t="s">
        <v>138</v>
      </c>
      <c r="BK1691" s="28" t="s">
        <v>138</v>
      </c>
      <c r="BL1691" s="28" t="s">
        <v>138</v>
      </c>
      <c r="BM1691" s="34" t="s">
        <v>138</v>
      </c>
      <c r="BN1691" s="29" t="s">
        <v>138</v>
      </c>
      <c r="BO1691" s="28" t="s">
        <v>138</v>
      </c>
      <c r="BP1691" s="29" t="s">
        <v>138</v>
      </c>
      <c r="BQ1691" s="28" t="s">
        <v>138</v>
      </c>
      <c r="BR1691" s="28" t="s">
        <v>205</v>
      </c>
      <c r="BS1691" s="28" t="s">
        <v>138</v>
      </c>
      <c r="BT1691" s="28" t="s">
        <v>138</v>
      </c>
      <c r="BU1691" s="28" t="s">
        <v>174</v>
      </c>
      <c r="BV1691" s="28" t="s">
        <v>138</v>
      </c>
      <c r="BW1691" s="28" t="s">
        <v>138</v>
      </c>
      <c r="BX1691" s="28" t="s">
        <v>138</v>
      </c>
      <c r="BY1691" s="28" t="s">
        <v>175</v>
      </c>
      <c r="BZ1691" s="34">
        <v>42522</v>
      </c>
      <c r="CA1691" s="29">
        <v>3</v>
      </c>
      <c r="CB1691" s="28" t="s">
        <v>172</v>
      </c>
      <c r="CC1691" s="29" t="s">
        <v>138</v>
      </c>
      <c r="CD1691" s="28" t="s">
        <v>138</v>
      </c>
      <c r="CE1691" s="28" t="s">
        <v>205</v>
      </c>
      <c r="CF1691" s="28" t="s">
        <v>138</v>
      </c>
      <c r="CG1691" s="28" t="s">
        <v>138</v>
      </c>
      <c r="CH1691" s="28" t="s">
        <v>174</v>
      </c>
      <c r="CI1691" s="28" t="s">
        <v>138</v>
      </c>
      <c r="CJ1691" s="28" t="s">
        <v>138</v>
      </c>
      <c r="CK1691" s="28" t="s">
        <v>138</v>
      </c>
      <c r="CL1691" s="28" t="s">
        <v>175</v>
      </c>
      <c r="CM1691" s="34" t="s">
        <v>138</v>
      </c>
      <c r="CN1691" s="29" t="s">
        <v>138</v>
      </c>
      <c r="CO1691" s="35">
        <v>0</v>
      </c>
      <c r="CP1691" s="36">
        <v>26</v>
      </c>
      <c r="CQ1691" s="35">
        <v>0</v>
      </c>
      <c r="CR1691" s="35">
        <v>0</v>
      </c>
      <c r="CS1691" s="35">
        <v>0</v>
      </c>
      <c r="CT1691" s="36">
        <v>23</v>
      </c>
      <c r="CU1691" s="35">
        <v>0</v>
      </c>
      <c r="CV1691" s="36">
        <v>22</v>
      </c>
      <c r="CW1691" s="35" t="s">
        <v>138</v>
      </c>
      <c r="CX1691" s="36" t="s">
        <v>138</v>
      </c>
      <c r="CY1691" s="35">
        <v>0</v>
      </c>
      <c r="CZ1691" s="36">
        <v>25</v>
      </c>
      <c r="DA1691" s="35">
        <v>0</v>
      </c>
      <c r="DB1691" s="36">
        <v>22</v>
      </c>
      <c r="DC1691" s="37">
        <v>0.95</v>
      </c>
      <c r="DD1691" s="36">
        <v>50</v>
      </c>
      <c r="DE1691" s="37">
        <v>0</v>
      </c>
      <c r="DF1691" s="35">
        <v>0.02</v>
      </c>
      <c r="DG1691" s="37">
        <v>1.83</v>
      </c>
      <c r="DH1691" s="36">
        <v>65</v>
      </c>
      <c r="DI1691" s="37">
        <v>0.08</v>
      </c>
      <c r="DJ1691" s="36">
        <v>12</v>
      </c>
      <c r="DK1691" s="37" t="s">
        <v>138</v>
      </c>
      <c r="DL1691" s="36" t="s">
        <v>138</v>
      </c>
      <c r="DM1691" s="37">
        <v>1.83</v>
      </c>
      <c r="DN1691" s="36">
        <v>64</v>
      </c>
      <c r="DO1691" s="37">
        <v>0.13</v>
      </c>
      <c r="DP1691" s="36">
        <v>19</v>
      </c>
      <c r="DQ1691" s="36" t="s">
        <v>138</v>
      </c>
      <c r="DR1691" s="38" t="s">
        <v>138</v>
      </c>
      <c r="DS1691" s="35" t="s">
        <v>138</v>
      </c>
      <c r="DT1691" s="36">
        <v>53</v>
      </c>
      <c r="DU1691" s="38">
        <v>1</v>
      </c>
      <c r="DV1691" s="35">
        <v>1.92</v>
      </c>
      <c r="DW1691" s="36">
        <v>46</v>
      </c>
      <c r="DX1691" s="39">
        <v>1</v>
      </c>
      <c r="DY1691" s="35">
        <v>2.2200000000000002</v>
      </c>
      <c r="DZ1691" s="28" t="s">
        <v>178</v>
      </c>
      <c r="EA1691" s="34">
        <v>43367</v>
      </c>
      <c r="EB1691" s="29" t="s">
        <v>138</v>
      </c>
      <c r="EC1691" s="34" t="s">
        <v>138</v>
      </c>
      <c r="ED1691" s="28" t="s">
        <v>138</v>
      </c>
      <c r="EE1691" s="40" t="str">
        <f>HYPERLINK("https://my.pitchbook.com?c=58862-71", "View company online")</f>
        <v>View company online</v>
      </c>
    </row>
    <row r="1692" spans="1:135">
      <c r="A1692" s="15" t="s">
        <v>32248</v>
      </c>
      <c r="B1692" s="15" t="s">
        <v>32249</v>
      </c>
      <c r="C1692" s="15" t="s">
        <v>138</v>
      </c>
      <c r="D1692" s="15" t="s">
        <v>32250</v>
      </c>
      <c r="E1692" s="15" t="s">
        <v>138</v>
      </c>
      <c r="F1692" s="15" t="s">
        <v>32248</v>
      </c>
      <c r="G1692" s="15" t="s">
        <v>32251</v>
      </c>
      <c r="H1692" s="15" t="s">
        <v>238</v>
      </c>
      <c r="I1692" s="15" t="s">
        <v>749</v>
      </c>
      <c r="J1692" s="15" t="s">
        <v>750</v>
      </c>
      <c r="K1692" s="15" t="s">
        <v>751</v>
      </c>
      <c r="L1692" s="15" t="s">
        <v>138</v>
      </c>
      <c r="M1692" s="15" t="s">
        <v>32252</v>
      </c>
      <c r="N1692" s="15" t="s">
        <v>1452</v>
      </c>
      <c r="O1692" s="17">
        <v>3</v>
      </c>
      <c r="P1692" s="15" t="s">
        <v>148</v>
      </c>
      <c r="Q1692" s="15" t="s">
        <v>149</v>
      </c>
      <c r="R1692" s="15" t="s">
        <v>32253</v>
      </c>
      <c r="S1692" s="15" t="s">
        <v>32254</v>
      </c>
      <c r="T1692" s="18">
        <v>50</v>
      </c>
      <c r="U1692" s="15" t="s">
        <v>1162</v>
      </c>
      <c r="V1692" s="15" t="s">
        <v>138</v>
      </c>
      <c r="W1692" s="15" t="s">
        <v>138</v>
      </c>
      <c r="X1692" s="19">
        <v>2016</v>
      </c>
      <c r="Y1692" s="15" t="s">
        <v>138</v>
      </c>
      <c r="Z1692" s="15" t="s">
        <v>138</v>
      </c>
      <c r="AA1692" s="15" t="s">
        <v>138</v>
      </c>
      <c r="AB1692" s="20">
        <v>4.8</v>
      </c>
      <c r="AC1692" s="20" t="s">
        <v>138</v>
      </c>
      <c r="AD1692" s="20" t="s">
        <v>138</v>
      </c>
      <c r="AE1692" s="20" t="s">
        <v>138</v>
      </c>
      <c r="AF1692" s="20" t="s">
        <v>138</v>
      </c>
      <c r="AG1692" s="15" t="s">
        <v>419</v>
      </c>
      <c r="AH1692" s="20" t="s">
        <v>138</v>
      </c>
      <c r="AI1692" s="20" t="s">
        <v>138</v>
      </c>
      <c r="AJ1692" s="20" t="s">
        <v>138</v>
      </c>
      <c r="AK1692" s="15" t="s">
        <v>32255</v>
      </c>
      <c r="AL1692" s="15" t="s">
        <v>32256</v>
      </c>
      <c r="AM1692" s="15" t="s">
        <v>566</v>
      </c>
      <c r="AN1692" s="15" t="s">
        <v>32257</v>
      </c>
      <c r="AO1692" s="15" t="s">
        <v>32258</v>
      </c>
      <c r="AP1692" s="15" t="s">
        <v>32259</v>
      </c>
      <c r="AQ1692" s="15" t="s">
        <v>32260</v>
      </c>
      <c r="AR1692" s="15" t="s">
        <v>138</v>
      </c>
      <c r="AS1692" s="15" t="s">
        <v>32261</v>
      </c>
      <c r="AT1692" s="15" t="s">
        <v>200</v>
      </c>
      <c r="AU1692" s="15" t="s">
        <v>32262</v>
      </c>
      <c r="AV1692" s="15" t="s">
        <v>162</v>
      </c>
      <c r="AW1692" s="15" t="s">
        <v>32258</v>
      </c>
      <c r="AX1692" s="15" t="s">
        <v>138</v>
      </c>
      <c r="AY1692" s="15" t="s">
        <v>32263</v>
      </c>
      <c r="AZ1692" s="15" t="s">
        <v>164</v>
      </c>
      <c r="BA1692" s="15" t="s">
        <v>165</v>
      </c>
      <c r="BB1692" s="15" t="s">
        <v>32264</v>
      </c>
      <c r="BC1692" s="15" t="s">
        <v>32265</v>
      </c>
      <c r="BD1692" s="21">
        <v>3</v>
      </c>
      <c r="BE1692" s="15" t="s">
        <v>138</v>
      </c>
      <c r="BF1692" s="15" t="s">
        <v>138</v>
      </c>
      <c r="BG1692" s="15" t="s">
        <v>138</v>
      </c>
      <c r="BH1692" s="15" t="s">
        <v>32266</v>
      </c>
      <c r="BI1692" s="15" t="s">
        <v>138</v>
      </c>
      <c r="BJ1692" s="15" t="s">
        <v>138</v>
      </c>
      <c r="BK1692" s="15" t="s">
        <v>138</v>
      </c>
      <c r="BL1692" s="15" t="s">
        <v>32267</v>
      </c>
      <c r="BM1692" s="22">
        <v>42705</v>
      </c>
      <c r="BN1692" s="17" t="s">
        <v>138</v>
      </c>
      <c r="BO1692" s="15" t="s">
        <v>138</v>
      </c>
      <c r="BP1692" s="17" t="s">
        <v>138</v>
      </c>
      <c r="BQ1692" s="15" t="s">
        <v>138</v>
      </c>
      <c r="BR1692" s="15" t="s">
        <v>2228</v>
      </c>
      <c r="BS1692" s="15" t="s">
        <v>138</v>
      </c>
      <c r="BT1692" s="15" t="s">
        <v>138</v>
      </c>
      <c r="BU1692" s="15" t="s">
        <v>263</v>
      </c>
      <c r="BV1692" s="15" t="s">
        <v>138</v>
      </c>
      <c r="BW1692" s="15" t="s">
        <v>138</v>
      </c>
      <c r="BX1692" s="15" t="s">
        <v>138</v>
      </c>
      <c r="BY1692" s="15" t="s">
        <v>175</v>
      </c>
      <c r="BZ1692" s="22">
        <v>43587</v>
      </c>
      <c r="CA1692" s="17" t="s">
        <v>138</v>
      </c>
      <c r="CB1692" s="15" t="s">
        <v>138</v>
      </c>
      <c r="CC1692" s="17" t="s">
        <v>138</v>
      </c>
      <c r="CD1692" s="15" t="s">
        <v>138</v>
      </c>
      <c r="CE1692" s="15" t="s">
        <v>1673</v>
      </c>
      <c r="CF1692" s="15" t="s">
        <v>138</v>
      </c>
      <c r="CG1692" s="15" t="s">
        <v>138</v>
      </c>
      <c r="CH1692" s="15" t="s">
        <v>351</v>
      </c>
      <c r="CI1692" s="15" t="s">
        <v>264</v>
      </c>
      <c r="CJ1692" s="15" t="s">
        <v>138</v>
      </c>
      <c r="CK1692" s="15" t="s">
        <v>138</v>
      </c>
      <c r="CL1692" s="15" t="s">
        <v>175</v>
      </c>
      <c r="CM1692" s="22" t="s">
        <v>138</v>
      </c>
      <c r="CN1692" s="17" t="s">
        <v>138</v>
      </c>
      <c r="CO1692" s="23">
        <v>2.5499999999999998</v>
      </c>
      <c r="CP1692" s="24">
        <v>99</v>
      </c>
      <c r="CQ1692" s="23">
        <v>0.19</v>
      </c>
      <c r="CR1692" s="23">
        <v>8.0299999999999994</v>
      </c>
      <c r="CS1692" s="23">
        <v>3.62</v>
      </c>
      <c r="CT1692" s="24">
        <v>99</v>
      </c>
      <c r="CU1692" s="23">
        <v>1.47</v>
      </c>
      <c r="CV1692" s="24">
        <v>99</v>
      </c>
      <c r="CW1692" s="23">
        <v>7.29</v>
      </c>
      <c r="CX1692" s="24">
        <v>98</v>
      </c>
      <c r="CY1692" s="23">
        <v>-0.05</v>
      </c>
      <c r="CZ1692" s="24">
        <v>24</v>
      </c>
      <c r="DA1692" s="23">
        <v>1.47</v>
      </c>
      <c r="DB1692" s="24">
        <v>99</v>
      </c>
      <c r="DC1692" s="25">
        <v>36.36</v>
      </c>
      <c r="DD1692" s="24">
        <v>97</v>
      </c>
      <c r="DE1692" s="25">
        <v>-50.51</v>
      </c>
      <c r="DF1692" s="23">
        <v>-58.14</v>
      </c>
      <c r="DG1692" s="25">
        <v>67.900000000000006</v>
      </c>
      <c r="DH1692" s="24">
        <v>99</v>
      </c>
      <c r="DI1692" s="25">
        <v>4.82</v>
      </c>
      <c r="DJ1692" s="24">
        <v>77</v>
      </c>
      <c r="DK1692" s="25">
        <v>119.42</v>
      </c>
      <c r="DL1692" s="24">
        <v>98</v>
      </c>
      <c r="DM1692" s="25">
        <v>16.38</v>
      </c>
      <c r="DN1692" s="24">
        <v>93</v>
      </c>
      <c r="DO1692" s="25">
        <v>4.82</v>
      </c>
      <c r="DP1692" s="24">
        <v>79</v>
      </c>
      <c r="DQ1692" s="24">
        <v>39694</v>
      </c>
      <c r="DR1692" s="26">
        <v>3801</v>
      </c>
      <c r="DS1692" s="23">
        <v>10.59</v>
      </c>
      <c r="DT1692" s="24">
        <v>475</v>
      </c>
      <c r="DU1692" s="26">
        <v>0</v>
      </c>
      <c r="DV1692" s="23">
        <v>0</v>
      </c>
      <c r="DW1692" s="24">
        <v>1724</v>
      </c>
      <c r="DX1692" s="27">
        <v>3</v>
      </c>
      <c r="DY1692" s="23">
        <v>0.17</v>
      </c>
      <c r="DZ1692" s="15" t="s">
        <v>178</v>
      </c>
      <c r="EA1692" s="22">
        <v>43600</v>
      </c>
      <c r="EB1692" s="17" t="s">
        <v>138</v>
      </c>
      <c r="EC1692" s="22" t="s">
        <v>138</v>
      </c>
      <c r="ED1692" s="15" t="s">
        <v>138</v>
      </c>
      <c r="EE1692" s="14" t="str">
        <f>HYPERLINK("https://my.pitchbook.com?c=224207-20", "View company online")</f>
        <v>View company online</v>
      </c>
    </row>
    <row r="1693" spans="1:135">
      <c r="A1693" s="28" t="s">
        <v>32268</v>
      </c>
      <c r="B1693" s="28" t="s">
        <v>32269</v>
      </c>
      <c r="C1693" s="28" t="s">
        <v>138</v>
      </c>
      <c r="D1693" s="28" t="s">
        <v>138</v>
      </c>
      <c r="E1693" s="28" t="s">
        <v>138</v>
      </c>
      <c r="F1693" s="28" t="s">
        <v>32268</v>
      </c>
      <c r="G1693" s="28" t="s">
        <v>32270</v>
      </c>
      <c r="H1693" s="28" t="s">
        <v>322</v>
      </c>
      <c r="I1693" s="28" t="s">
        <v>356</v>
      </c>
      <c r="J1693" s="28" t="s">
        <v>357</v>
      </c>
      <c r="K1693" s="28" t="s">
        <v>20626</v>
      </c>
      <c r="L1693" s="28" t="s">
        <v>359</v>
      </c>
      <c r="M1693" s="28" t="s">
        <v>32271</v>
      </c>
      <c r="N1693" s="28" t="s">
        <v>147</v>
      </c>
      <c r="O1693" s="29">
        <v>9.64</v>
      </c>
      <c r="P1693" s="28" t="s">
        <v>148</v>
      </c>
      <c r="Q1693" s="28" t="s">
        <v>149</v>
      </c>
      <c r="R1693" s="28" t="s">
        <v>174</v>
      </c>
      <c r="S1693" s="28" t="s">
        <v>32272</v>
      </c>
      <c r="T1693" s="30">
        <v>37</v>
      </c>
      <c r="U1693" s="28" t="s">
        <v>32273</v>
      </c>
      <c r="V1693" s="28" t="s">
        <v>138</v>
      </c>
      <c r="W1693" s="28" t="s">
        <v>138</v>
      </c>
      <c r="X1693" s="31">
        <v>2013</v>
      </c>
      <c r="Y1693" s="28" t="s">
        <v>138</v>
      </c>
      <c r="Z1693" s="28" t="s">
        <v>138</v>
      </c>
      <c r="AA1693" s="28" t="s">
        <v>138</v>
      </c>
      <c r="AB1693" s="32">
        <v>1.1100000000000001</v>
      </c>
      <c r="AC1693" s="32" t="s">
        <v>138</v>
      </c>
      <c r="AD1693" s="32" t="s">
        <v>138</v>
      </c>
      <c r="AE1693" s="32" t="s">
        <v>138</v>
      </c>
      <c r="AF1693" s="32" t="s">
        <v>138</v>
      </c>
      <c r="AG1693" s="28" t="s">
        <v>707</v>
      </c>
      <c r="AH1693" s="32" t="s">
        <v>138</v>
      </c>
      <c r="AI1693" s="32" t="s">
        <v>138</v>
      </c>
      <c r="AJ1693" s="32" t="s">
        <v>138</v>
      </c>
      <c r="AK1693" s="28" t="s">
        <v>32274</v>
      </c>
      <c r="AL1693" s="28" t="s">
        <v>32275</v>
      </c>
      <c r="AM1693" s="28" t="s">
        <v>32276</v>
      </c>
      <c r="AN1693" s="28" t="s">
        <v>32277</v>
      </c>
      <c r="AO1693" s="28" t="s">
        <v>32278</v>
      </c>
      <c r="AP1693" s="28" t="s">
        <v>32279</v>
      </c>
      <c r="AQ1693" s="28" t="s">
        <v>32280</v>
      </c>
      <c r="AR1693" s="28" t="s">
        <v>138</v>
      </c>
      <c r="AS1693" s="28" t="s">
        <v>32281</v>
      </c>
      <c r="AT1693" s="28" t="s">
        <v>138</v>
      </c>
      <c r="AU1693" s="28" t="s">
        <v>32282</v>
      </c>
      <c r="AV1693" s="28" t="s">
        <v>1054</v>
      </c>
      <c r="AW1693" s="28" t="s">
        <v>32278</v>
      </c>
      <c r="AX1693" s="28" t="s">
        <v>138</v>
      </c>
      <c r="AY1693" s="28" t="s">
        <v>32283</v>
      </c>
      <c r="AZ1693" s="28" t="s">
        <v>530</v>
      </c>
      <c r="BA1693" s="28" t="s">
        <v>531</v>
      </c>
      <c r="BB1693" s="28" t="s">
        <v>32284</v>
      </c>
      <c r="BC1693" s="28" t="s">
        <v>32285</v>
      </c>
      <c r="BD1693" s="33">
        <v>8</v>
      </c>
      <c r="BE1693" s="28" t="s">
        <v>138</v>
      </c>
      <c r="BF1693" s="28" t="s">
        <v>138</v>
      </c>
      <c r="BG1693" s="28" t="s">
        <v>138</v>
      </c>
      <c r="BH1693" s="28" t="s">
        <v>32286</v>
      </c>
      <c r="BI1693" s="28" t="s">
        <v>138</v>
      </c>
      <c r="BJ1693" s="28" t="s">
        <v>138</v>
      </c>
      <c r="BK1693" s="28" t="s">
        <v>138</v>
      </c>
      <c r="BL1693" s="28" t="s">
        <v>32287</v>
      </c>
      <c r="BM1693" s="34">
        <v>41585</v>
      </c>
      <c r="BN1693" s="29">
        <v>1.35</v>
      </c>
      <c r="BO1693" s="28" t="s">
        <v>172</v>
      </c>
      <c r="BP1693" s="29">
        <v>3.7</v>
      </c>
      <c r="BQ1693" s="28" t="s">
        <v>172</v>
      </c>
      <c r="BR1693" s="28" t="s">
        <v>234</v>
      </c>
      <c r="BS1693" s="28" t="s">
        <v>234</v>
      </c>
      <c r="BT1693" s="28" t="s">
        <v>138</v>
      </c>
      <c r="BU1693" s="28" t="s">
        <v>174</v>
      </c>
      <c r="BV1693" s="28" t="s">
        <v>138</v>
      </c>
      <c r="BW1693" s="28" t="s">
        <v>138</v>
      </c>
      <c r="BX1693" s="28" t="s">
        <v>138</v>
      </c>
      <c r="BY1693" s="28" t="s">
        <v>175</v>
      </c>
      <c r="BZ1693" s="34">
        <v>42974</v>
      </c>
      <c r="CA1693" s="29">
        <v>5.37</v>
      </c>
      <c r="CB1693" s="28" t="s">
        <v>172</v>
      </c>
      <c r="CC1693" s="29">
        <v>16.95</v>
      </c>
      <c r="CD1693" s="28" t="s">
        <v>172</v>
      </c>
      <c r="CE1693" s="28" t="s">
        <v>205</v>
      </c>
      <c r="CF1693" s="28" t="s">
        <v>206</v>
      </c>
      <c r="CG1693" s="28" t="s">
        <v>138</v>
      </c>
      <c r="CH1693" s="28" t="s">
        <v>174</v>
      </c>
      <c r="CI1693" s="28" t="s">
        <v>138</v>
      </c>
      <c r="CJ1693" s="28" t="s">
        <v>138</v>
      </c>
      <c r="CK1693" s="28" t="s">
        <v>138</v>
      </c>
      <c r="CL1693" s="28" t="s">
        <v>175</v>
      </c>
      <c r="CM1693" s="34" t="s">
        <v>138</v>
      </c>
      <c r="CN1693" s="29" t="s">
        <v>138</v>
      </c>
      <c r="CO1693" s="35">
        <v>0.32</v>
      </c>
      <c r="CP1693" s="36">
        <v>94</v>
      </c>
      <c r="CQ1693" s="35">
        <v>0</v>
      </c>
      <c r="CR1693" s="35">
        <v>0.19</v>
      </c>
      <c r="CS1693" s="35">
        <v>0.36</v>
      </c>
      <c r="CT1693" s="36">
        <v>95</v>
      </c>
      <c r="CU1693" s="35">
        <v>0.26</v>
      </c>
      <c r="CV1693" s="36">
        <v>85</v>
      </c>
      <c r="CW1693" s="35" t="s">
        <v>138</v>
      </c>
      <c r="CX1693" s="36" t="s">
        <v>138</v>
      </c>
      <c r="CY1693" s="35">
        <v>0.36</v>
      </c>
      <c r="CZ1693" s="36">
        <v>98</v>
      </c>
      <c r="DA1693" s="35">
        <v>0.26</v>
      </c>
      <c r="DB1693" s="36">
        <v>87</v>
      </c>
      <c r="DC1693" s="37">
        <v>4.43</v>
      </c>
      <c r="DD1693" s="36">
        <v>81</v>
      </c>
      <c r="DE1693" s="37">
        <v>0.02</v>
      </c>
      <c r="DF1693" s="35">
        <v>0.55000000000000004</v>
      </c>
      <c r="DG1693" s="37">
        <v>12.14</v>
      </c>
      <c r="DH1693" s="36">
        <v>91</v>
      </c>
      <c r="DI1693" s="37">
        <v>1.08</v>
      </c>
      <c r="DJ1693" s="36">
        <v>51</v>
      </c>
      <c r="DK1693" s="37" t="s">
        <v>138</v>
      </c>
      <c r="DL1693" s="36" t="s">
        <v>138</v>
      </c>
      <c r="DM1693" s="37">
        <v>12.14</v>
      </c>
      <c r="DN1693" s="36">
        <v>90</v>
      </c>
      <c r="DO1693" s="37">
        <v>1.08</v>
      </c>
      <c r="DP1693" s="36">
        <v>52</v>
      </c>
      <c r="DQ1693" s="36" t="s">
        <v>138</v>
      </c>
      <c r="DR1693" s="38" t="s">
        <v>138</v>
      </c>
      <c r="DS1693" s="35" t="s">
        <v>138</v>
      </c>
      <c r="DT1693" s="36">
        <v>351</v>
      </c>
      <c r="DU1693" s="38">
        <v>1</v>
      </c>
      <c r="DV1693" s="35">
        <v>0.28999999999999998</v>
      </c>
      <c r="DW1693" s="36">
        <v>387</v>
      </c>
      <c r="DX1693" s="39">
        <v>1</v>
      </c>
      <c r="DY1693" s="35">
        <v>0.26</v>
      </c>
      <c r="DZ1693" s="28" t="s">
        <v>178</v>
      </c>
      <c r="EA1693" s="34">
        <v>43622</v>
      </c>
      <c r="EB1693" s="29">
        <v>16.95</v>
      </c>
      <c r="EC1693" s="34">
        <v>42974</v>
      </c>
      <c r="ED1693" s="28" t="s">
        <v>205</v>
      </c>
      <c r="EE1693" s="40" t="str">
        <f>HYPERLINK("https://my.pitchbook.com?c=64008-73", "View company online")</f>
        <v>View company online</v>
      </c>
    </row>
    <row r="1694" spans="1:135">
      <c r="A1694" s="15" t="s">
        <v>32288</v>
      </c>
      <c r="B1694" s="15" t="s">
        <v>32289</v>
      </c>
      <c r="C1694" s="15" t="s">
        <v>138</v>
      </c>
      <c r="D1694" s="15" t="s">
        <v>138</v>
      </c>
      <c r="E1694" s="15" t="s">
        <v>32290</v>
      </c>
      <c r="F1694" s="15" t="s">
        <v>32288</v>
      </c>
      <c r="G1694" s="15" t="s">
        <v>32291</v>
      </c>
      <c r="H1694" s="15" t="s">
        <v>322</v>
      </c>
      <c r="I1694" s="15" t="s">
        <v>323</v>
      </c>
      <c r="J1694" s="15" t="s">
        <v>324</v>
      </c>
      <c r="K1694" s="15" t="s">
        <v>32292</v>
      </c>
      <c r="L1694" s="15" t="s">
        <v>2274</v>
      </c>
      <c r="M1694" s="15" t="s">
        <v>32293</v>
      </c>
      <c r="N1694" s="15" t="s">
        <v>147</v>
      </c>
      <c r="O1694" s="17">
        <v>49.64</v>
      </c>
      <c r="P1694" s="15" t="s">
        <v>148</v>
      </c>
      <c r="Q1694" s="15" t="s">
        <v>149</v>
      </c>
      <c r="R1694" s="15" t="s">
        <v>174</v>
      </c>
      <c r="S1694" s="15" t="s">
        <v>32294</v>
      </c>
      <c r="T1694" s="18">
        <v>86</v>
      </c>
      <c r="U1694" s="15" t="s">
        <v>32295</v>
      </c>
      <c r="V1694" s="15" t="s">
        <v>138</v>
      </c>
      <c r="W1694" s="15" t="s">
        <v>138</v>
      </c>
      <c r="X1694" s="19">
        <v>2013</v>
      </c>
      <c r="Y1694" s="15" t="s">
        <v>138</v>
      </c>
      <c r="Z1694" s="15" t="s">
        <v>138</v>
      </c>
      <c r="AA1694" s="15" t="s">
        <v>138</v>
      </c>
      <c r="AB1694" s="20" t="s">
        <v>138</v>
      </c>
      <c r="AC1694" s="20" t="s">
        <v>138</v>
      </c>
      <c r="AD1694" s="20" t="s">
        <v>138</v>
      </c>
      <c r="AE1694" s="20" t="s">
        <v>138</v>
      </c>
      <c r="AF1694" s="20" t="s">
        <v>138</v>
      </c>
      <c r="AG1694" s="15" t="s">
        <v>138</v>
      </c>
      <c r="AH1694" s="20" t="s">
        <v>138</v>
      </c>
      <c r="AI1694" s="20" t="s">
        <v>138</v>
      </c>
      <c r="AJ1694" s="20" t="s">
        <v>138</v>
      </c>
      <c r="AK1694" s="15" t="s">
        <v>32296</v>
      </c>
      <c r="AL1694" s="15" t="s">
        <v>32297</v>
      </c>
      <c r="AM1694" s="15" t="s">
        <v>32298</v>
      </c>
      <c r="AN1694" s="15" t="s">
        <v>32299</v>
      </c>
      <c r="AO1694" s="15" t="s">
        <v>32300</v>
      </c>
      <c r="AP1694" s="15" t="s">
        <v>423</v>
      </c>
      <c r="AQ1694" s="15" t="s">
        <v>32301</v>
      </c>
      <c r="AR1694" s="15" t="s">
        <v>32302</v>
      </c>
      <c r="AS1694" s="15" t="s">
        <v>426</v>
      </c>
      <c r="AT1694" s="15" t="s">
        <v>426</v>
      </c>
      <c r="AU1694" s="15" t="s">
        <v>32303</v>
      </c>
      <c r="AV1694" s="15" t="s">
        <v>162</v>
      </c>
      <c r="AW1694" s="15" t="s">
        <v>32300</v>
      </c>
      <c r="AX1694" s="15" t="s">
        <v>32304</v>
      </c>
      <c r="AY1694" s="15" t="s">
        <v>32305</v>
      </c>
      <c r="AZ1694" s="15" t="s">
        <v>164</v>
      </c>
      <c r="BA1694" s="15" t="s">
        <v>165</v>
      </c>
      <c r="BB1694" s="15" t="s">
        <v>32306</v>
      </c>
      <c r="BC1694" s="15" t="s">
        <v>32307</v>
      </c>
      <c r="BD1694" s="21">
        <v>10</v>
      </c>
      <c r="BE1694" s="15" t="s">
        <v>138</v>
      </c>
      <c r="BF1694" s="15" t="s">
        <v>138</v>
      </c>
      <c r="BG1694" s="15" t="s">
        <v>138</v>
      </c>
      <c r="BH1694" s="15" t="s">
        <v>32308</v>
      </c>
      <c r="BI1694" s="15" t="s">
        <v>138</v>
      </c>
      <c r="BJ1694" s="15" t="s">
        <v>138</v>
      </c>
      <c r="BK1694" s="15" t="s">
        <v>138</v>
      </c>
      <c r="BL1694" s="15" t="s">
        <v>138</v>
      </c>
      <c r="BM1694" s="22">
        <v>41787</v>
      </c>
      <c r="BN1694" s="17">
        <v>10.54</v>
      </c>
      <c r="BO1694" s="15" t="s">
        <v>172</v>
      </c>
      <c r="BP1694" s="17">
        <v>84.19</v>
      </c>
      <c r="BQ1694" s="15" t="s">
        <v>172</v>
      </c>
      <c r="BR1694" s="15" t="s">
        <v>205</v>
      </c>
      <c r="BS1694" s="15" t="s">
        <v>206</v>
      </c>
      <c r="BT1694" s="15" t="s">
        <v>138</v>
      </c>
      <c r="BU1694" s="15" t="s">
        <v>174</v>
      </c>
      <c r="BV1694" s="15" t="s">
        <v>138</v>
      </c>
      <c r="BW1694" s="15" t="s">
        <v>138</v>
      </c>
      <c r="BX1694" s="15" t="s">
        <v>138</v>
      </c>
      <c r="BY1694" s="15" t="s">
        <v>175</v>
      </c>
      <c r="BZ1694" s="22">
        <v>42761</v>
      </c>
      <c r="CA1694" s="17">
        <v>18</v>
      </c>
      <c r="CB1694" s="15" t="s">
        <v>172</v>
      </c>
      <c r="CC1694" s="17" t="s">
        <v>138</v>
      </c>
      <c r="CD1694" s="15" t="s">
        <v>138</v>
      </c>
      <c r="CE1694" s="15" t="s">
        <v>173</v>
      </c>
      <c r="CF1694" s="15" t="s">
        <v>317</v>
      </c>
      <c r="CG1694" s="15" t="s">
        <v>138</v>
      </c>
      <c r="CH1694" s="15" t="s">
        <v>174</v>
      </c>
      <c r="CI1694" s="15" t="s">
        <v>138</v>
      </c>
      <c r="CJ1694" s="15" t="s">
        <v>138</v>
      </c>
      <c r="CK1694" s="15" t="s">
        <v>138</v>
      </c>
      <c r="CL1694" s="15" t="s">
        <v>175</v>
      </c>
      <c r="CM1694" s="22" t="s">
        <v>138</v>
      </c>
      <c r="CN1694" s="17" t="s">
        <v>138</v>
      </c>
      <c r="CO1694" s="23">
        <v>-0.17</v>
      </c>
      <c r="CP1694" s="24">
        <v>20</v>
      </c>
      <c r="CQ1694" s="23">
        <v>-0.04</v>
      </c>
      <c r="CR1694" s="23">
        <v>-30.77</v>
      </c>
      <c r="CS1694" s="23">
        <v>-0.32</v>
      </c>
      <c r="CT1694" s="24">
        <v>21</v>
      </c>
      <c r="CU1694" s="23">
        <v>-0.02</v>
      </c>
      <c r="CV1694" s="24">
        <v>17</v>
      </c>
      <c r="CW1694" s="23">
        <v>-0.05</v>
      </c>
      <c r="CX1694" s="24">
        <v>13</v>
      </c>
      <c r="CY1694" s="23">
        <v>-0.59</v>
      </c>
      <c r="CZ1694" s="24">
        <v>22</v>
      </c>
      <c r="DA1694" s="23">
        <v>0.01</v>
      </c>
      <c r="DB1694" s="24">
        <v>57</v>
      </c>
      <c r="DC1694" s="25">
        <v>7.79</v>
      </c>
      <c r="DD1694" s="24">
        <v>88</v>
      </c>
      <c r="DE1694" s="25">
        <v>-0.05</v>
      </c>
      <c r="DF1694" s="23">
        <v>-0.59</v>
      </c>
      <c r="DG1694" s="25">
        <v>6.52</v>
      </c>
      <c r="DH1694" s="24">
        <v>85</v>
      </c>
      <c r="DI1694" s="25">
        <v>9.06</v>
      </c>
      <c r="DJ1694" s="24">
        <v>84</v>
      </c>
      <c r="DK1694" s="25">
        <v>1.49</v>
      </c>
      <c r="DL1694" s="24">
        <v>59</v>
      </c>
      <c r="DM1694" s="25">
        <v>11.55</v>
      </c>
      <c r="DN1694" s="24">
        <v>90</v>
      </c>
      <c r="DO1694" s="25">
        <v>10.83</v>
      </c>
      <c r="DP1694" s="24">
        <v>88</v>
      </c>
      <c r="DQ1694" s="24">
        <v>526</v>
      </c>
      <c r="DR1694" s="26">
        <v>-48</v>
      </c>
      <c r="DS1694" s="23">
        <v>-8.36</v>
      </c>
      <c r="DT1694" s="24">
        <v>335</v>
      </c>
      <c r="DU1694" s="26">
        <v>-4</v>
      </c>
      <c r="DV1694" s="23">
        <v>-1.18</v>
      </c>
      <c r="DW1694" s="24">
        <v>3873</v>
      </c>
      <c r="DX1694" s="27">
        <v>5</v>
      </c>
      <c r="DY1694" s="23">
        <v>0.13</v>
      </c>
      <c r="DZ1694" s="15" t="s">
        <v>178</v>
      </c>
      <c r="EA1694" s="22">
        <v>43524</v>
      </c>
      <c r="EB1694" s="17">
        <v>133.47999999999999</v>
      </c>
      <c r="EC1694" s="22">
        <v>42081</v>
      </c>
      <c r="ED1694" s="15" t="s">
        <v>205</v>
      </c>
      <c r="EE1694" s="14" t="str">
        <f>HYPERLINK("https://my.pitchbook.com?c=59232-79", "View company online")</f>
        <v>View company online</v>
      </c>
    </row>
    <row r="1695" spans="1:135">
      <c r="A1695" s="28" t="s">
        <v>32309</v>
      </c>
      <c r="B1695" s="28" t="s">
        <v>32310</v>
      </c>
      <c r="C1695" s="28" t="s">
        <v>138</v>
      </c>
      <c r="D1695" s="28" t="s">
        <v>138</v>
      </c>
      <c r="E1695" s="28" t="s">
        <v>138</v>
      </c>
      <c r="F1695" s="28" t="s">
        <v>32309</v>
      </c>
      <c r="G1695" s="28" t="s">
        <v>32311</v>
      </c>
      <c r="H1695" s="28" t="s">
        <v>238</v>
      </c>
      <c r="I1695" s="28" t="s">
        <v>1351</v>
      </c>
      <c r="J1695" s="28" t="s">
        <v>1352</v>
      </c>
      <c r="K1695" s="28" t="s">
        <v>11328</v>
      </c>
      <c r="L1695" s="28" t="s">
        <v>415</v>
      </c>
      <c r="M1695" s="28" t="s">
        <v>32312</v>
      </c>
      <c r="N1695" s="28" t="s">
        <v>147</v>
      </c>
      <c r="O1695" s="29">
        <v>21.33</v>
      </c>
      <c r="P1695" s="28" t="s">
        <v>148</v>
      </c>
      <c r="Q1695" s="28" t="s">
        <v>149</v>
      </c>
      <c r="R1695" s="28" t="s">
        <v>174</v>
      </c>
      <c r="S1695" s="28" t="s">
        <v>32313</v>
      </c>
      <c r="T1695" s="30">
        <v>85</v>
      </c>
      <c r="U1695" s="28" t="s">
        <v>32314</v>
      </c>
      <c r="V1695" s="28" t="s">
        <v>138</v>
      </c>
      <c r="W1695" s="28" t="s">
        <v>138</v>
      </c>
      <c r="X1695" s="31">
        <v>2015</v>
      </c>
      <c r="Y1695" s="28" t="s">
        <v>138</v>
      </c>
      <c r="Z1695" s="28" t="s">
        <v>138</v>
      </c>
      <c r="AA1695" s="28" t="s">
        <v>138</v>
      </c>
      <c r="AB1695" s="32" t="s">
        <v>138</v>
      </c>
      <c r="AC1695" s="32" t="s">
        <v>138</v>
      </c>
      <c r="AD1695" s="32" t="s">
        <v>138</v>
      </c>
      <c r="AE1695" s="32" t="s">
        <v>138</v>
      </c>
      <c r="AF1695" s="32" t="s">
        <v>138</v>
      </c>
      <c r="AG1695" s="28" t="s">
        <v>138</v>
      </c>
      <c r="AH1695" s="32" t="s">
        <v>138</v>
      </c>
      <c r="AI1695" s="32" t="s">
        <v>138</v>
      </c>
      <c r="AJ1695" s="32" t="s">
        <v>138</v>
      </c>
      <c r="AK1695" s="28" t="s">
        <v>32315</v>
      </c>
      <c r="AL1695" s="28" t="s">
        <v>32316</v>
      </c>
      <c r="AM1695" s="28" t="s">
        <v>32317</v>
      </c>
      <c r="AN1695" s="28" t="s">
        <v>32318</v>
      </c>
      <c r="AO1695" s="28" t="s">
        <v>32319</v>
      </c>
      <c r="AP1695" s="28" t="s">
        <v>12063</v>
      </c>
      <c r="AQ1695" s="28" t="s">
        <v>32320</v>
      </c>
      <c r="AR1695" s="28" t="s">
        <v>32321</v>
      </c>
      <c r="AS1695" s="28" t="s">
        <v>12065</v>
      </c>
      <c r="AT1695" s="28" t="s">
        <v>200</v>
      </c>
      <c r="AU1695" s="28" t="s">
        <v>12066</v>
      </c>
      <c r="AV1695" s="28" t="s">
        <v>162</v>
      </c>
      <c r="AW1695" s="28" t="s">
        <v>32319</v>
      </c>
      <c r="AX1695" s="28" t="s">
        <v>138</v>
      </c>
      <c r="AY1695" s="28" t="s">
        <v>32322</v>
      </c>
      <c r="AZ1695" s="28" t="s">
        <v>164</v>
      </c>
      <c r="BA1695" s="28" t="s">
        <v>165</v>
      </c>
      <c r="BB1695" s="28" t="s">
        <v>32323</v>
      </c>
      <c r="BC1695" s="28" t="s">
        <v>32324</v>
      </c>
      <c r="BD1695" s="33">
        <v>6</v>
      </c>
      <c r="BE1695" s="28" t="s">
        <v>138</v>
      </c>
      <c r="BF1695" s="28" t="s">
        <v>138</v>
      </c>
      <c r="BG1695" s="28" t="s">
        <v>138</v>
      </c>
      <c r="BH1695" s="28" t="s">
        <v>32325</v>
      </c>
      <c r="BI1695" s="28" t="s">
        <v>138</v>
      </c>
      <c r="BJ1695" s="28" t="s">
        <v>138</v>
      </c>
      <c r="BK1695" s="28" t="s">
        <v>1251</v>
      </c>
      <c r="BL1695" s="28" t="s">
        <v>1251</v>
      </c>
      <c r="BM1695" s="34">
        <v>42240</v>
      </c>
      <c r="BN1695" s="29">
        <v>4.33</v>
      </c>
      <c r="BO1695" s="28" t="s">
        <v>1178</v>
      </c>
      <c r="BP1695" s="29">
        <v>9.2799999999999994</v>
      </c>
      <c r="BQ1695" s="28" t="s">
        <v>172</v>
      </c>
      <c r="BR1695" s="28" t="s">
        <v>262</v>
      </c>
      <c r="BS1695" s="28" t="s">
        <v>206</v>
      </c>
      <c r="BT1695" s="28" t="s">
        <v>138</v>
      </c>
      <c r="BU1695" s="28" t="s">
        <v>263</v>
      </c>
      <c r="BV1695" s="28" t="s">
        <v>138</v>
      </c>
      <c r="BW1695" s="28" t="s">
        <v>138</v>
      </c>
      <c r="BX1695" s="28" t="s">
        <v>138</v>
      </c>
      <c r="BY1695" s="28" t="s">
        <v>175</v>
      </c>
      <c r="BZ1695" s="34">
        <v>42781</v>
      </c>
      <c r="CA1695" s="29">
        <v>15</v>
      </c>
      <c r="CB1695" s="28" t="s">
        <v>172</v>
      </c>
      <c r="CC1695" s="29" t="s">
        <v>138</v>
      </c>
      <c r="CD1695" s="28" t="s">
        <v>138</v>
      </c>
      <c r="CE1695" s="28" t="s">
        <v>205</v>
      </c>
      <c r="CF1695" s="28" t="s">
        <v>138</v>
      </c>
      <c r="CG1695" s="28" t="s">
        <v>138</v>
      </c>
      <c r="CH1695" s="28" t="s">
        <v>174</v>
      </c>
      <c r="CI1695" s="28" t="s">
        <v>138</v>
      </c>
      <c r="CJ1695" s="28" t="s">
        <v>138</v>
      </c>
      <c r="CK1695" s="28" t="s">
        <v>138</v>
      </c>
      <c r="CL1695" s="28" t="s">
        <v>175</v>
      </c>
      <c r="CM1695" s="34" t="s">
        <v>138</v>
      </c>
      <c r="CN1695" s="29" t="s">
        <v>138</v>
      </c>
      <c r="CO1695" s="35">
        <v>-0.56000000000000005</v>
      </c>
      <c r="CP1695" s="36">
        <v>15</v>
      </c>
      <c r="CQ1695" s="35">
        <v>0.01</v>
      </c>
      <c r="CR1695" s="35">
        <v>1.73</v>
      </c>
      <c r="CS1695" s="35">
        <v>-2.74</v>
      </c>
      <c r="CT1695" s="36">
        <v>6</v>
      </c>
      <c r="CU1695" s="35">
        <v>0.37</v>
      </c>
      <c r="CV1695" s="36">
        <v>90</v>
      </c>
      <c r="CW1695" s="35">
        <v>-3.58</v>
      </c>
      <c r="CX1695" s="36">
        <v>4</v>
      </c>
      <c r="CY1695" s="35">
        <v>-1.9</v>
      </c>
      <c r="CZ1695" s="36">
        <v>12</v>
      </c>
      <c r="DA1695" s="35">
        <v>0.34</v>
      </c>
      <c r="DB1695" s="36">
        <v>90</v>
      </c>
      <c r="DC1695" s="37">
        <v>6.86</v>
      </c>
      <c r="DD1695" s="36">
        <v>86</v>
      </c>
      <c r="DE1695" s="37">
        <v>-0.6</v>
      </c>
      <c r="DF1695" s="35">
        <v>-8.02</v>
      </c>
      <c r="DG1695" s="37">
        <v>21.6</v>
      </c>
      <c r="DH1695" s="36">
        <v>95</v>
      </c>
      <c r="DI1695" s="37">
        <v>5.58</v>
      </c>
      <c r="DJ1695" s="36">
        <v>79</v>
      </c>
      <c r="DK1695" s="37">
        <v>37.72</v>
      </c>
      <c r="DL1695" s="36">
        <v>95</v>
      </c>
      <c r="DM1695" s="37">
        <v>5.48</v>
      </c>
      <c r="DN1695" s="36">
        <v>83</v>
      </c>
      <c r="DO1695" s="37">
        <v>5.78</v>
      </c>
      <c r="DP1695" s="36">
        <v>81</v>
      </c>
      <c r="DQ1695" s="36">
        <v>13738</v>
      </c>
      <c r="DR1695" s="38">
        <v>-2399</v>
      </c>
      <c r="DS1695" s="35">
        <v>-14.87</v>
      </c>
      <c r="DT1695" s="36">
        <v>159</v>
      </c>
      <c r="DU1695" s="38">
        <v>1</v>
      </c>
      <c r="DV1695" s="35">
        <v>0.63</v>
      </c>
      <c r="DW1695" s="36">
        <v>2066</v>
      </c>
      <c r="DX1695" s="39">
        <v>6</v>
      </c>
      <c r="DY1695" s="35">
        <v>0.28999999999999998</v>
      </c>
      <c r="DZ1695" s="28" t="s">
        <v>178</v>
      </c>
      <c r="EA1695" s="34">
        <v>43401</v>
      </c>
      <c r="EB1695" s="29">
        <v>27.42</v>
      </c>
      <c r="EC1695" s="34">
        <v>42658</v>
      </c>
      <c r="ED1695" s="28" t="s">
        <v>205</v>
      </c>
      <c r="EE1695" s="40" t="str">
        <f>HYPERLINK("https://my.pitchbook.com?c=157224-88", "View company online")</f>
        <v>View company online</v>
      </c>
    </row>
    <row r="1696" spans="1:135">
      <c r="A1696" s="15" t="s">
        <v>32326</v>
      </c>
      <c r="B1696" s="15" t="s">
        <v>32327</v>
      </c>
      <c r="C1696" s="15" t="s">
        <v>138</v>
      </c>
      <c r="D1696" s="15" t="s">
        <v>32328</v>
      </c>
      <c r="E1696" s="15" t="s">
        <v>32329</v>
      </c>
      <c r="F1696" s="15" t="s">
        <v>32326</v>
      </c>
      <c r="G1696" s="15" t="s">
        <v>32330</v>
      </c>
      <c r="H1696" s="15" t="s">
        <v>141</v>
      </c>
      <c r="I1696" s="15" t="s">
        <v>142</v>
      </c>
      <c r="J1696" s="15" t="s">
        <v>1924</v>
      </c>
      <c r="K1696" s="15" t="s">
        <v>4744</v>
      </c>
      <c r="L1696" s="15" t="s">
        <v>2407</v>
      </c>
      <c r="M1696" s="15" t="s">
        <v>32331</v>
      </c>
      <c r="N1696" s="15" t="s">
        <v>147</v>
      </c>
      <c r="O1696" s="17">
        <v>4.7</v>
      </c>
      <c r="P1696" s="15" t="s">
        <v>148</v>
      </c>
      <c r="Q1696" s="15" t="s">
        <v>149</v>
      </c>
      <c r="R1696" s="15" t="s">
        <v>174</v>
      </c>
      <c r="S1696" s="15" t="s">
        <v>32332</v>
      </c>
      <c r="T1696" s="18">
        <v>8</v>
      </c>
      <c r="U1696" s="15" t="s">
        <v>32333</v>
      </c>
      <c r="V1696" s="15" t="s">
        <v>138</v>
      </c>
      <c r="W1696" s="15" t="s">
        <v>138</v>
      </c>
      <c r="X1696" s="19">
        <v>2008</v>
      </c>
      <c r="Y1696" s="15" t="s">
        <v>138</v>
      </c>
      <c r="Z1696" s="15" t="s">
        <v>138</v>
      </c>
      <c r="AA1696" s="15" t="s">
        <v>138</v>
      </c>
      <c r="AB1696" s="20" t="s">
        <v>138</v>
      </c>
      <c r="AC1696" s="20" t="s">
        <v>138</v>
      </c>
      <c r="AD1696" s="20" t="s">
        <v>138</v>
      </c>
      <c r="AE1696" s="20" t="s">
        <v>138</v>
      </c>
      <c r="AF1696" s="20" t="s">
        <v>138</v>
      </c>
      <c r="AG1696" s="15" t="s">
        <v>138</v>
      </c>
      <c r="AH1696" s="20" t="s">
        <v>138</v>
      </c>
      <c r="AI1696" s="20" t="s">
        <v>138</v>
      </c>
      <c r="AJ1696" s="20" t="s">
        <v>138</v>
      </c>
      <c r="AK1696" s="15" t="s">
        <v>32334</v>
      </c>
      <c r="AL1696" s="15" t="s">
        <v>32335</v>
      </c>
      <c r="AM1696" s="15" t="s">
        <v>7338</v>
      </c>
      <c r="AN1696" s="15" t="s">
        <v>32336</v>
      </c>
      <c r="AO1696" s="15" t="s">
        <v>32337</v>
      </c>
      <c r="AP1696" s="15" t="s">
        <v>32338</v>
      </c>
      <c r="AQ1696" s="15" t="s">
        <v>32339</v>
      </c>
      <c r="AR1696" s="15" t="s">
        <v>25935</v>
      </c>
      <c r="AS1696" s="15" t="s">
        <v>32340</v>
      </c>
      <c r="AT1696" s="15" t="s">
        <v>4493</v>
      </c>
      <c r="AU1696" s="15" t="s">
        <v>32341</v>
      </c>
      <c r="AV1696" s="15" t="s">
        <v>162</v>
      </c>
      <c r="AW1696" s="15" t="s">
        <v>32337</v>
      </c>
      <c r="AX1696" s="15" t="s">
        <v>138</v>
      </c>
      <c r="AY1696" s="15" t="s">
        <v>32342</v>
      </c>
      <c r="AZ1696" s="15" t="s">
        <v>164</v>
      </c>
      <c r="BA1696" s="15" t="s">
        <v>165</v>
      </c>
      <c r="BB1696" s="15" t="s">
        <v>32343</v>
      </c>
      <c r="BC1696" s="15" t="s">
        <v>32344</v>
      </c>
      <c r="BD1696" s="21">
        <v>6</v>
      </c>
      <c r="BE1696" s="15" t="s">
        <v>138</v>
      </c>
      <c r="BF1696" s="15" t="s">
        <v>138</v>
      </c>
      <c r="BG1696" s="15" t="s">
        <v>138</v>
      </c>
      <c r="BH1696" s="15" t="s">
        <v>32345</v>
      </c>
      <c r="BI1696" s="15" t="s">
        <v>138</v>
      </c>
      <c r="BJ1696" s="15" t="s">
        <v>138</v>
      </c>
      <c r="BK1696" s="15" t="s">
        <v>32346</v>
      </c>
      <c r="BL1696" s="15" t="s">
        <v>138</v>
      </c>
      <c r="BM1696" s="22" t="s">
        <v>138</v>
      </c>
      <c r="BN1696" s="17">
        <v>0.1</v>
      </c>
      <c r="BO1696" s="15" t="s">
        <v>172</v>
      </c>
      <c r="BP1696" s="17" t="s">
        <v>138</v>
      </c>
      <c r="BQ1696" s="15" t="s">
        <v>138</v>
      </c>
      <c r="BR1696" s="15" t="s">
        <v>234</v>
      </c>
      <c r="BS1696" s="15" t="s">
        <v>234</v>
      </c>
      <c r="BT1696" s="15" t="s">
        <v>138</v>
      </c>
      <c r="BU1696" s="15" t="s">
        <v>174</v>
      </c>
      <c r="BV1696" s="15" t="s">
        <v>138</v>
      </c>
      <c r="BW1696" s="15" t="s">
        <v>138</v>
      </c>
      <c r="BX1696" s="15" t="s">
        <v>138</v>
      </c>
      <c r="BY1696" s="15" t="s">
        <v>175</v>
      </c>
      <c r="BZ1696" s="22" t="s">
        <v>138</v>
      </c>
      <c r="CA1696" s="17" t="s">
        <v>138</v>
      </c>
      <c r="CB1696" s="15" t="s">
        <v>138</v>
      </c>
      <c r="CC1696" s="17" t="s">
        <v>138</v>
      </c>
      <c r="CD1696" s="15" t="s">
        <v>138</v>
      </c>
      <c r="CE1696" s="15" t="s">
        <v>205</v>
      </c>
      <c r="CF1696" s="15" t="s">
        <v>720</v>
      </c>
      <c r="CG1696" s="15" t="s">
        <v>138</v>
      </c>
      <c r="CH1696" s="15" t="s">
        <v>174</v>
      </c>
      <c r="CI1696" s="15" t="s">
        <v>138</v>
      </c>
      <c r="CJ1696" s="15" t="s">
        <v>138</v>
      </c>
      <c r="CK1696" s="15" t="s">
        <v>138</v>
      </c>
      <c r="CL1696" s="15" t="s">
        <v>3093</v>
      </c>
      <c r="CM1696" s="22" t="s">
        <v>138</v>
      </c>
      <c r="CN1696" s="17" t="s">
        <v>138</v>
      </c>
      <c r="CO1696" s="23">
        <v>0</v>
      </c>
      <c r="CP1696" s="24">
        <v>26</v>
      </c>
      <c r="CQ1696" s="23">
        <v>0</v>
      </c>
      <c r="CR1696" s="23">
        <v>0</v>
      </c>
      <c r="CS1696" s="23">
        <v>0</v>
      </c>
      <c r="CT1696" s="24">
        <v>23</v>
      </c>
      <c r="CU1696" s="23">
        <v>0</v>
      </c>
      <c r="CV1696" s="24">
        <v>22</v>
      </c>
      <c r="CW1696" s="23" t="s">
        <v>138</v>
      </c>
      <c r="CX1696" s="24" t="s">
        <v>138</v>
      </c>
      <c r="CY1696" s="23">
        <v>0</v>
      </c>
      <c r="CZ1696" s="24">
        <v>25</v>
      </c>
      <c r="DA1696" s="23">
        <v>0</v>
      </c>
      <c r="DB1696" s="24">
        <v>22</v>
      </c>
      <c r="DC1696" s="25">
        <v>1.19</v>
      </c>
      <c r="DD1696" s="24">
        <v>55</v>
      </c>
      <c r="DE1696" s="25">
        <v>0</v>
      </c>
      <c r="DF1696" s="23">
        <v>0.02</v>
      </c>
      <c r="DG1696" s="25">
        <v>2.2799999999999998</v>
      </c>
      <c r="DH1696" s="24">
        <v>69</v>
      </c>
      <c r="DI1696" s="25">
        <v>0.1</v>
      </c>
      <c r="DJ1696" s="24">
        <v>14</v>
      </c>
      <c r="DK1696" s="25" t="s">
        <v>138</v>
      </c>
      <c r="DL1696" s="24" t="s">
        <v>138</v>
      </c>
      <c r="DM1696" s="25">
        <v>2.2799999999999998</v>
      </c>
      <c r="DN1696" s="24">
        <v>68</v>
      </c>
      <c r="DO1696" s="25">
        <v>0.1</v>
      </c>
      <c r="DP1696" s="24">
        <v>16</v>
      </c>
      <c r="DQ1696" s="24" t="s">
        <v>138</v>
      </c>
      <c r="DR1696" s="26" t="s">
        <v>138</v>
      </c>
      <c r="DS1696" s="23" t="s">
        <v>138</v>
      </c>
      <c r="DT1696" s="24">
        <v>66</v>
      </c>
      <c r="DU1696" s="26">
        <v>1</v>
      </c>
      <c r="DV1696" s="23">
        <v>1.54</v>
      </c>
      <c r="DW1696" s="24">
        <v>37</v>
      </c>
      <c r="DX1696" s="27">
        <v>2</v>
      </c>
      <c r="DY1696" s="23">
        <v>5.71</v>
      </c>
      <c r="DZ1696" s="15" t="s">
        <v>178</v>
      </c>
      <c r="EA1696" s="22">
        <v>43567</v>
      </c>
      <c r="EB1696" s="17">
        <v>13.5</v>
      </c>
      <c r="EC1696" s="22">
        <v>42949</v>
      </c>
      <c r="ED1696" s="15" t="s">
        <v>205</v>
      </c>
      <c r="EE1696" s="14" t="str">
        <f>HYPERLINK("https://my.pitchbook.com?c=168014-89", "View company online")</f>
        <v>View company online</v>
      </c>
    </row>
    <row r="1697" spans="1:135">
      <c r="A1697" s="28" t="s">
        <v>32347</v>
      </c>
      <c r="B1697" s="28" t="s">
        <v>32348</v>
      </c>
      <c r="C1697" s="28" t="s">
        <v>32349</v>
      </c>
      <c r="D1697" s="28" t="s">
        <v>32350</v>
      </c>
      <c r="E1697" s="28" t="s">
        <v>32351</v>
      </c>
      <c r="F1697" s="28" t="s">
        <v>32347</v>
      </c>
      <c r="G1697" s="28" t="s">
        <v>32352</v>
      </c>
      <c r="H1697" s="28" t="s">
        <v>322</v>
      </c>
      <c r="I1697" s="28" t="s">
        <v>323</v>
      </c>
      <c r="J1697" s="28" t="s">
        <v>324</v>
      </c>
      <c r="K1697" s="28" t="s">
        <v>325</v>
      </c>
      <c r="L1697" s="28" t="s">
        <v>32353</v>
      </c>
      <c r="M1697" s="28" t="s">
        <v>32354</v>
      </c>
      <c r="N1697" s="28" t="s">
        <v>147</v>
      </c>
      <c r="O1697" s="29">
        <v>311.61</v>
      </c>
      <c r="P1697" s="28" t="s">
        <v>148</v>
      </c>
      <c r="Q1697" s="28" t="s">
        <v>149</v>
      </c>
      <c r="R1697" s="28" t="s">
        <v>328</v>
      </c>
      <c r="S1697" s="28" t="s">
        <v>32355</v>
      </c>
      <c r="T1697" s="30">
        <v>120</v>
      </c>
      <c r="U1697" s="28" t="s">
        <v>32356</v>
      </c>
      <c r="V1697" s="28" t="s">
        <v>138</v>
      </c>
      <c r="W1697" s="28" t="s">
        <v>138</v>
      </c>
      <c r="X1697" s="31">
        <v>2009</v>
      </c>
      <c r="Y1697" s="28" t="s">
        <v>138</v>
      </c>
      <c r="Z1697" s="28" t="s">
        <v>138</v>
      </c>
      <c r="AA1697" s="28" t="s">
        <v>138</v>
      </c>
      <c r="AB1697" s="32">
        <v>82.5</v>
      </c>
      <c r="AC1697" s="32" t="s">
        <v>138</v>
      </c>
      <c r="AD1697" s="32" t="s">
        <v>138</v>
      </c>
      <c r="AE1697" s="32" t="s">
        <v>138</v>
      </c>
      <c r="AF1697" s="32" t="s">
        <v>138</v>
      </c>
      <c r="AG1697" s="28" t="s">
        <v>419</v>
      </c>
      <c r="AH1697" s="32" t="s">
        <v>138</v>
      </c>
      <c r="AI1697" s="32" t="s">
        <v>138</v>
      </c>
      <c r="AJ1697" s="32" t="s">
        <v>138</v>
      </c>
      <c r="AK1697" s="28" t="s">
        <v>32357</v>
      </c>
      <c r="AL1697" s="28" t="s">
        <v>32358</v>
      </c>
      <c r="AM1697" s="28" t="s">
        <v>32359</v>
      </c>
      <c r="AN1697" s="28" t="s">
        <v>32360</v>
      </c>
      <c r="AO1697" s="28" t="s">
        <v>32361</v>
      </c>
      <c r="AP1697" s="28" t="s">
        <v>307</v>
      </c>
      <c r="AQ1697" s="28" t="s">
        <v>32362</v>
      </c>
      <c r="AR1697" s="28" t="s">
        <v>6298</v>
      </c>
      <c r="AS1697" s="28" t="s">
        <v>310</v>
      </c>
      <c r="AT1697" s="28" t="s">
        <v>200</v>
      </c>
      <c r="AU1697" s="28" t="s">
        <v>798</v>
      </c>
      <c r="AV1697" s="28" t="s">
        <v>162</v>
      </c>
      <c r="AW1697" s="28" t="s">
        <v>32361</v>
      </c>
      <c r="AX1697" s="28" t="s">
        <v>138</v>
      </c>
      <c r="AY1697" s="28" t="s">
        <v>138</v>
      </c>
      <c r="AZ1697" s="28" t="s">
        <v>164</v>
      </c>
      <c r="BA1697" s="28" t="s">
        <v>165</v>
      </c>
      <c r="BB1697" s="28" t="s">
        <v>32363</v>
      </c>
      <c r="BC1697" s="28" t="s">
        <v>32364</v>
      </c>
      <c r="BD1697" s="33">
        <v>12</v>
      </c>
      <c r="BE1697" s="28" t="s">
        <v>138</v>
      </c>
      <c r="BF1697" s="28" t="s">
        <v>138</v>
      </c>
      <c r="BG1697" s="28" t="s">
        <v>138</v>
      </c>
      <c r="BH1697" s="28" t="s">
        <v>32365</v>
      </c>
      <c r="BI1697" s="28" t="s">
        <v>138</v>
      </c>
      <c r="BJ1697" s="28" t="s">
        <v>138</v>
      </c>
      <c r="BK1697" s="28" t="s">
        <v>32366</v>
      </c>
      <c r="BL1697" s="28" t="s">
        <v>1275</v>
      </c>
      <c r="BM1697" s="34">
        <v>40161</v>
      </c>
      <c r="BN1697" s="29">
        <v>15.81</v>
      </c>
      <c r="BO1697" s="28" t="s">
        <v>172</v>
      </c>
      <c r="BP1697" s="29">
        <v>79</v>
      </c>
      <c r="BQ1697" s="28" t="s">
        <v>172</v>
      </c>
      <c r="BR1697" s="28" t="s">
        <v>205</v>
      </c>
      <c r="BS1697" s="28" t="s">
        <v>138</v>
      </c>
      <c r="BT1697" s="28" t="s">
        <v>138</v>
      </c>
      <c r="BU1697" s="28" t="s">
        <v>174</v>
      </c>
      <c r="BV1697" s="28" t="s">
        <v>138</v>
      </c>
      <c r="BW1697" s="28" t="s">
        <v>138</v>
      </c>
      <c r="BX1697" s="28" t="s">
        <v>138</v>
      </c>
      <c r="BY1697" s="28" t="s">
        <v>175</v>
      </c>
      <c r="BZ1697" s="34">
        <v>43523</v>
      </c>
      <c r="CA1697" s="29">
        <v>63</v>
      </c>
      <c r="CB1697" s="28" t="s">
        <v>1178</v>
      </c>
      <c r="CC1697" s="29">
        <v>2100</v>
      </c>
      <c r="CD1697" s="28" t="s">
        <v>172</v>
      </c>
      <c r="CE1697" s="28" t="s">
        <v>173</v>
      </c>
      <c r="CF1697" s="28" t="s">
        <v>2830</v>
      </c>
      <c r="CG1697" s="28" t="s">
        <v>138</v>
      </c>
      <c r="CH1697" s="28" t="s">
        <v>174</v>
      </c>
      <c r="CI1697" s="28" t="s">
        <v>138</v>
      </c>
      <c r="CJ1697" s="28" t="s">
        <v>138</v>
      </c>
      <c r="CK1697" s="28" t="s">
        <v>138</v>
      </c>
      <c r="CL1697" s="28" t="s">
        <v>175</v>
      </c>
      <c r="CM1697" s="34" t="s">
        <v>138</v>
      </c>
      <c r="CN1697" s="29" t="s">
        <v>138</v>
      </c>
      <c r="CO1697" s="35">
        <v>-0.61</v>
      </c>
      <c r="CP1697" s="36">
        <v>15</v>
      </c>
      <c r="CQ1697" s="35">
        <v>0</v>
      </c>
      <c r="CR1697" s="35">
        <v>0</v>
      </c>
      <c r="CS1697" s="35">
        <v>-0.61</v>
      </c>
      <c r="CT1697" s="36">
        <v>18</v>
      </c>
      <c r="CU1697" s="35" t="s">
        <v>138</v>
      </c>
      <c r="CV1697" s="36" t="s">
        <v>138</v>
      </c>
      <c r="CW1697" s="35">
        <v>-0.61</v>
      </c>
      <c r="CX1697" s="36">
        <v>11</v>
      </c>
      <c r="CY1697" s="35" t="s">
        <v>138</v>
      </c>
      <c r="CZ1697" s="36" t="s">
        <v>138</v>
      </c>
      <c r="DA1697" s="35" t="s">
        <v>138</v>
      </c>
      <c r="DB1697" s="36" t="s">
        <v>138</v>
      </c>
      <c r="DC1697" s="37">
        <v>34.39</v>
      </c>
      <c r="DD1697" s="36">
        <v>97</v>
      </c>
      <c r="DE1697" s="37">
        <v>-4.41</v>
      </c>
      <c r="DF1697" s="35">
        <v>-11.37</v>
      </c>
      <c r="DG1697" s="37">
        <v>34.39</v>
      </c>
      <c r="DH1697" s="36">
        <v>97</v>
      </c>
      <c r="DI1697" s="37" t="s">
        <v>138</v>
      </c>
      <c r="DJ1697" s="36" t="s">
        <v>138</v>
      </c>
      <c r="DK1697" s="37">
        <v>34.39</v>
      </c>
      <c r="DL1697" s="36">
        <v>94</v>
      </c>
      <c r="DM1697" s="37" t="s">
        <v>138</v>
      </c>
      <c r="DN1697" s="36" t="s">
        <v>138</v>
      </c>
      <c r="DO1697" s="37" t="s">
        <v>138</v>
      </c>
      <c r="DP1697" s="36" t="s">
        <v>138</v>
      </c>
      <c r="DQ1697" s="36">
        <v>11651</v>
      </c>
      <c r="DR1697" s="38">
        <v>435</v>
      </c>
      <c r="DS1697" s="35">
        <v>3.88</v>
      </c>
      <c r="DT1697" s="36" t="s">
        <v>138</v>
      </c>
      <c r="DU1697" s="38" t="s">
        <v>138</v>
      </c>
      <c r="DV1697" s="35" t="s">
        <v>138</v>
      </c>
      <c r="DW1697" s="36">
        <v>3300</v>
      </c>
      <c r="DX1697" s="39">
        <v>-2</v>
      </c>
      <c r="DY1697" s="35">
        <v>-0.06</v>
      </c>
      <c r="DZ1697" s="28" t="s">
        <v>178</v>
      </c>
      <c r="EA1697" s="34">
        <v>43622</v>
      </c>
      <c r="EB1697" s="29">
        <v>2100</v>
      </c>
      <c r="EC1697" s="34">
        <v>43523</v>
      </c>
      <c r="ED1697" s="28" t="s">
        <v>173</v>
      </c>
      <c r="EE1697" s="40" t="str">
        <f>HYPERLINK("https://my.pitchbook.com?c=55633-60", "View company online")</f>
        <v>View company online</v>
      </c>
    </row>
    <row r="1698" spans="1:135">
      <c r="A1698" s="15" t="s">
        <v>32367</v>
      </c>
      <c r="B1698" s="15" t="s">
        <v>32368</v>
      </c>
      <c r="C1698" s="15" t="s">
        <v>138</v>
      </c>
      <c r="D1698" s="15" t="s">
        <v>138</v>
      </c>
      <c r="E1698" s="15" t="s">
        <v>32369</v>
      </c>
      <c r="F1698" s="15" t="s">
        <v>32367</v>
      </c>
      <c r="G1698" s="15" t="s">
        <v>32370</v>
      </c>
      <c r="H1698" s="15" t="s">
        <v>322</v>
      </c>
      <c r="I1698" s="15" t="s">
        <v>323</v>
      </c>
      <c r="J1698" s="15" t="s">
        <v>413</v>
      </c>
      <c r="K1698" s="15" t="s">
        <v>2254</v>
      </c>
      <c r="L1698" s="15" t="s">
        <v>2274</v>
      </c>
      <c r="M1698" s="15" t="s">
        <v>32371</v>
      </c>
      <c r="N1698" s="15" t="s">
        <v>147</v>
      </c>
      <c r="O1698" s="17">
        <v>21.5</v>
      </c>
      <c r="P1698" s="15" t="s">
        <v>148</v>
      </c>
      <c r="Q1698" s="15" t="s">
        <v>149</v>
      </c>
      <c r="R1698" s="15" t="s">
        <v>8692</v>
      </c>
      <c r="S1698" s="15" t="s">
        <v>32372</v>
      </c>
      <c r="T1698" s="18">
        <v>58</v>
      </c>
      <c r="U1698" s="15" t="s">
        <v>32373</v>
      </c>
      <c r="V1698" s="15" t="s">
        <v>138</v>
      </c>
      <c r="W1698" s="15" t="s">
        <v>138</v>
      </c>
      <c r="X1698" s="19">
        <v>2011</v>
      </c>
      <c r="Y1698" s="15" t="s">
        <v>138</v>
      </c>
      <c r="Z1698" s="15" t="s">
        <v>138</v>
      </c>
      <c r="AA1698" s="15" t="s">
        <v>138</v>
      </c>
      <c r="AB1698" s="20">
        <v>8</v>
      </c>
      <c r="AC1698" s="20" t="s">
        <v>138</v>
      </c>
      <c r="AD1698" s="20" t="s">
        <v>138</v>
      </c>
      <c r="AE1698" s="20" t="s">
        <v>138</v>
      </c>
      <c r="AF1698" s="20" t="s">
        <v>138</v>
      </c>
      <c r="AG1698" s="15" t="s">
        <v>707</v>
      </c>
      <c r="AH1698" s="20" t="s">
        <v>138</v>
      </c>
      <c r="AI1698" s="20" t="s">
        <v>138</v>
      </c>
      <c r="AJ1698" s="20" t="s">
        <v>138</v>
      </c>
      <c r="AK1698" s="15" t="s">
        <v>32374</v>
      </c>
      <c r="AL1698" s="15" t="s">
        <v>32375</v>
      </c>
      <c r="AM1698" s="15" t="s">
        <v>32376</v>
      </c>
      <c r="AN1698" s="15" t="s">
        <v>32377</v>
      </c>
      <c r="AO1698" s="15" t="s">
        <v>138</v>
      </c>
      <c r="AP1698" s="15" t="s">
        <v>423</v>
      </c>
      <c r="AQ1698" s="15" t="s">
        <v>32378</v>
      </c>
      <c r="AR1698" s="15" t="s">
        <v>3084</v>
      </c>
      <c r="AS1698" s="15" t="s">
        <v>426</v>
      </c>
      <c r="AT1698" s="15" t="s">
        <v>426</v>
      </c>
      <c r="AU1698" s="15" t="s">
        <v>714</v>
      </c>
      <c r="AV1698" s="15" t="s">
        <v>162</v>
      </c>
      <c r="AW1698" s="15" t="s">
        <v>138</v>
      </c>
      <c r="AX1698" s="15" t="s">
        <v>138</v>
      </c>
      <c r="AY1698" s="15" t="s">
        <v>32379</v>
      </c>
      <c r="AZ1698" s="15" t="s">
        <v>164</v>
      </c>
      <c r="BA1698" s="15" t="s">
        <v>165</v>
      </c>
      <c r="BB1698" s="15" t="s">
        <v>32380</v>
      </c>
      <c r="BC1698" s="15" t="s">
        <v>32381</v>
      </c>
      <c r="BD1698" s="21">
        <v>4</v>
      </c>
      <c r="BE1698" s="15" t="s">
        <v>138</v>
      </c>
      <c r="BF1698" s="15" t="s">
        <v>138</v>
      </c>
      <c r="BG1698" s="15" t="s">
        <v>138</v>
      </c>
      <c r="BH1698" s="15" t="s">
        <v>32382</v>
      </c>
      <c r="BI1698" s="15" t="s">
        <v>138</v>
      </c>
      <c r="BJ1698" s="15" t="s">
        <v>138</v>
      </c>
      <c r="BK1698" s="15" t="s">
        <v>138</v>
      </c>
      <c r="BL1698" s="15" t="s">
        <v>32383</v>
      </c>
      <c r="BM1698" s="22">
        <v>41639</v>
      </c>
      <c r="BN1698" s="17">
        <v>0.8</v>
      </c>
      <c r="BO1698" s="15" t="s">
        <v>172</v>
      </c>
      <c r="BP1698" s="17">
        <v>8</v>
      </c>
      <c r="BQ1698" s="15" t="s">
        <v>172</v>
      </c>
      <c r="BR1698" s="15" t="s">
        <v>780</v>
      </c>
      <c r="BS1698" s="15" t="s">
        <v>780</v>
      </c>
      <c r="BT1698" s="15" t="s">
        <v>138</v>
      </c>
      <c r="BU1698" s="15" t="s">
        <v>780</v>
      </c>
      <c r="BV1698" s="15" t="s">
        <v>138</v>
      </c>
      <c r="BW1698" s="15" t="s">
        <v>138</v>
      </c>
      <c r="BX1698" s="15" t="s">
        <v>138</v>
      </c>
      <c r="BY1698" s="15" t="s">
        <v>175</v>
      </c>
      <c r="BZ1698" s="22">
        <v>43164</v>
      </c>
      <c r="CA1698" s="17">
        <v>9.6999999999999993</v>
      </c>
      <c r="CB1698" s="15" t="s">
        <v>172</v>
      </c>
      <c r="CC1698" s="17" t="s">
        <v>138</v>
      </c>
      <c r="CD1698" s="15" t="s">
        <v>138</v>
      </c>
      <c r="CE1698" s="15" t="s">
        <v>173</v>
      </c>
      <c r="CF1698" s="15" t="s">
        <v>138</v>
      </c>
      <c r="CG1698" s="15" t="s">
        <v>138</v>
      </c>
      <c r="CH1698" s="15" t="s">
        <v>174</v>
      </c>
      <c r="CI1698" s="15" t="s">
        <v>138</v>
      </c>
      <c r="CJ1698" s="15" t="s">
        <v>138</v>
      </c>
      <c r="CK1698" s="15" t="s">
        <v>138</v>
      </c>
      <c r="CL1698" s="15" t="s">
        <v>175</v>
      </c>
      <c r="CM1698" s="22" t="s">
        <v>138</v>
      </c>
      <c r="CN1698" s="17" t="s">
        <v>138</v>
      </c>
      <c r="CO1698" s="23">
        <v>-0.21</v>
      </c>
      <c r="CP1698" s="24">
        <v>19</v>
      </c>
      <c r="CQ1698" s="23">
        <v>-0.02</v>
      </c>
      <c r="CR1698" s="23">
        <v>-12.96</v>
      </c>
      <c r="CS1698" s="23">
        <v>-0.49</v>
      </c>
      <c r="CT1698" s="24">
        <v>19</v>
      </c>
      <c r="CU1698" s="23">
        <v>7.0000000000000007E-2</v>
      </c>
      <c r="CV1698" s="24">
        <v>62</v>
      </c>
      <c r="CW1698" s="23">
        <v>0</v>
      </c>
      <c r="CX1698" s="24">
        <v>13</v>
      </c>
      <c r="CY1698" s="23">
        <v>-0.98</v>
      </c>
      <c r="CZ1698" s="24">
        <v>19</v>
      </c>
      <c r="DA1698" s="23">
        <v>0.06</v>
      </c>
      <c r="DB1698" s="24">
        <v>65</v>
      </c>
      <c r="DC1698" s="25">
        <v>1.96</v>
      </c>
      <c r="DD1698" s="24">
        <v>67</v>
      </c>
      <c r="DE1698" s="25">
        <v>-0.05</v>
      </c>
      <c r="DF1698" s="23">
        <v>-2.2799999999999998</v>
      </c>
      <c r="DG1698" s="25">
        <v>3.17</v>
      </c>
      <c r="DH1698" s="24">
        <v>75</v>
      </c>
      <c r="DI1698" s="25">
        <v>0.75</v>
      </c>
      <c r="DJ1698" s="24">
        <v>44</v>
      </c>
      <c r="DK1698" s="25">
        <v>0.95</v>
      </c>
      <c r="DL1698" s="24">
        <v>49</v>
      </c>
      <c r="DM1698" s="25">
        <v>5.38</v>
      </c>
      <c r="DN1698" s="24">
        <v>82</v>
      </c>
      <c r="DO1698" s="25">
        <v>1.1299999999999999</v>
      </c>
      <c r="DP1698" s="24">
        <v>53</v>
      </c>
      <c r="DQ1698" s="24">
        <v>328</v>
      </c>
      <c r="DR1698" s="26">
        <v>-3</v>
      </c>
      <c r="DS1698" s="23">
        <v>-0.91</v>
      </c>
      <c r="DT1698" s="24">
        <v>156</v>
      </c>
      <c r="DU1698" s="26">
        <v>-2</v>
      </c>
      <c r="DV1698" s="23">
        <v>-1.27</v>
      </c>
      <c r="DW1698" s="24">
        <v>406</v>
      </c>
      <c r="DX1698" s="27">
        <v>1</v>
      </c>
      <c r="DY1698" s="23">
        <v>0.25</v>
      </c>
      <c r="DZ1698" s="15" t="s">
        <v>178</v>
      </c>
      <c r="EA1698" s="22">
        <v>43451</v>
      </c>
      <c r="EB1698" s="17">
        <v>8</v>
      </c>
      <c r="EC1698" s="22">
        <v>41639</v>
      </c>
      <c r="ED1698" s="15" t="s">
        <v>780</v>
      </c>
      <c r="EE1698" s="14" t="str">
        <f>HYPERLINK("https://my.pitchbook.com?c=101006-20", "View company online")</f>
        <v>View company online</v>
      </c>
    </row>
    <row r="1699" spans="1:135">
      <c r="A1699" s="28" t="s">
        <v>32384</v>
      </c>
      <c r="B1699" s="28" t="s">
        <v>32385</v>
      </c>
      <c r="C1699" s="28" t="s">
        <v>138</v>
      </c>
      <c r="D1699" s="28" t="s">
        <v>138</v>
      </c>
      <c r="E1699" s="28" t="s">
        <v>32386</v>
      </c>
      <c r="F1699" s="28" t="s">
        <v>32384</v>
      </c>
      <c r="G1699" s="28" t="s">
        <v>32387</v>
      </c>
      <c r="H1699" s="28" t="s">
        <v>238</v>
      </c>
      <c r="I1699" s="28" t="s">
        <v>239</v>
      </c>
      <c r="J1699" s="28" t="s">
        <v>1756</v>
      </c>
      <c r="K1699" s="28" t="s">
        <v>32388</v>
      </c>
      <c r="L1699" s="28" t="s">
        <v>415</v>
      </c>
      <c r="M1699" s="28" t="s">
        <v>32389</v>
      </c>
      <c r="N1699" s="28" t="s">
        <v>147</v>
      </c>
      <c r="O1699" s="29">
        <v>496.37</v>
      </c>
      <c r="P1699" s="28" t="s">
        <v>812</v>
      </c>
      <c r="Q1699" s="28" t="s">
        <v>149</v>
      </c>
      <c r="R1699" s="28" t="s">
        <v>244</v>
      </c>
      <c r="S1699" s="28" t="s">
        <v>32390</v>
      </c>
      <c r="T1699" s="30">
        <v>1500</v>
      </c>
      <c r="U1699" s="28" t="s">
        <v>32391</v>
      </c>
      <c r="V1699" s="28" t="s">
        <v>138</v>
      </c>
      <c r="W1699" s="28" t="s">
        <v>138</v>
      </c>
      <c r="X1699" s="31">
        <v>2006</v>
      </c>
      <c r="Y1699" s="28" t="s">
        <v>138</v>
      </c>
      <c r="Z1699" s="28" t="s">
        <v>138</v>
      </c>
      <c r="AA1699" s="28" t="s">
        <v>138</v>
      </c>
      <c r="AB1699" s="32">
        <v>300</v>
      </c>
      <c r="AC1699" s="32" t="s">
        <v>138</v>
      </c>
      <c r="AD1699" s="32" t="s">
        <v>138</v>
      </c>
      <c r="AE1699" s="32" t="s">
        <v>138</v>
      </c>
      <c r="AF1699" s="32" t="s">
        <v>138</v>
      </c>
      <c r="AG1699" s="28" t="s">
        <v>815</v>
      </c>
      <c r="AH1699" s="32" t="s">
        <v>138</v>
      </c>
      <c r="AI1699" s="32" t="s">
        <v>138</v>
      </c>
      <c r="AJ1699" s="32" t="s">
        <v>138</v>
      </c>
      <c r="AK1699" s="28" t="s">
        <v>32392</v>
      </c>
      <c r="AL1699" s="28" t="s">
        <v>32393</v>
      </c>
      <c r="AM1699" s="28" t="s">
        <v>304</v>
      </c>
      <c r="AN1699" s="28" t="s">
        <v>32394</v>
      </c>
      <c r="AO1699" s="28" t="s">
        <v>138</v>
      </c>
      <c r="AP1699" s="28" t="s">
        <v>423</v>
      </c>
      <c r="AQ1699" s="28" t="s">
        <v>32395</v>
      </c>
      <c r="AR1699" s="28" t="s">
        <v>16471</v>
      </c>
      <c r="AS1699" s="28" t="s">
        <v>426</v>
      </c>
      <c r="AT1699" s="28" t="s">
        <v>426</v>
      </c>
      <c r="AU1699" s="28" t="s">
        <v>9264</v>
      </c>
      <c r="AV1699" s="28" t="s">
        <v>162</v>
      </c>
      <c r="AW1699" s="28" t="s">
        <v>138</v>
      </c>
      <c r="AX1699" s="28" t="s">
        <v>138</v>
      </c>
      <c r="AY1699" s="28" t="s">
        <v>138</v>
      </c>
      <c r="AZ1699" s="28" t="s">
        <v>164</v>
      </c>
      <c r="BA1699" s="28" t="s">
        <v>165</v>
      </c>
      <c r="BB1699" s="28" t="s">
        <v>32396</v>
      </c>
      <c r="BC1699" s="28" t="s">
        <v>32397</v>
      </c>
      <c r="BD1699" s="33">
        <v>20</v>
      </c>
      <c r="BE1699" s="28" t="s">
        <v>138</v>
      </c>
      <c r="BF1699" s="28" t="s">
        <v>138</v>
      </c>
      <c r="BG1699" s="28" t="s">
        <v>138</v>
      </c>
      <c r="BH1699" s="28" t="s">
        <v>32398</v>
      </c>
      <c r="BI1699" s="28" t="s">
        <v>138</v>
      </c>
      <c r="BJ1699" s="28" t="s">
        <v>138</v>
      </c>
      <c r="BK1699" s="28" t="s">
        <v>32399</v>
      </c>
      <c r="BL1699" s="28" t="s">
        <v>32400</v>
      </c>
      <c r="BM1699" s="34" t="s">
        <v>138</v>
      </c>
      <c r="BN1699" s="29" t="s">
        <v>138</v>
      </c>
      <c r="BO1699" s="28" t="s">
        <v>138</v>
      </c>
      <c r="BP1699" s="29" t="s">
        <v>138</v>
      </c>
      <c r="BQ1699" s="28" t="s">
        <v>138</v>
      </c>
      <c r="BR1699" s="28" t="s">
        <v>316</v>
      </c>
      <c r="BS1699" s="28" t="s">
        <v>138</v>
      </c>
      <c r="BT1699" s="28" t="s">
        <v>138</v>
      </c>
      <c r="BU1699" s="28" t="s">
        <v>177</v>
      </c>
      <c r="BV1699" s="28" t="s">
        <v>138</v>
      </c>
      <c r="BW1699" s="28" t="s">
        <v>138</v>
      </c>
      <c r="BX1699" s="28" t="s">
        <v>138</v>
      </c>
      <c r="BY1699" s="28" t="s">
        <v>175</v>
      </c>
      <c r="BZ1699" s="34">
        <v>42866</v>
      </c>
      <c r="CA1699" s="29" t="s">
        <v>138</v>
      </c>
      <c r="CB1699" s="28" t="s">
        <v>138</v>
      </c>
      <c r="CC1699" s="29" t="s">
        <v>138</v>
      </c>
      <c r="CD1699" s="28" t="s">
        <v>138</v>
      </c>
      <c r="CE1699" s="28" t="s">
        <v>1326</v>
      </c>
      <c r="CF1699" s="28" t="s">
        <v>138</v>
      </c>
      <c r="CG1699" s="28" t="s">
        <v>138</v>
      </c>
      <c r="CH1699" s="28" t="s">
        <v>1327</v>
      </c>
      <c r="CI1699" s="28" t="s">
        <v>2528</v>
      </c>
      <c r="CJ1699" s="28" t="s">
        <v>138</v>
      </c>
      <c r="CK1699" s="28" t="s">
        <v>138</v>
      </c>
      <c r="CL1699" s="28" t="s">
        <v>175</v>
      </c>
      <c r="CM1699" s="34">
        <v>42866</v>
      </c>
      <c r="CN1699" s="29" t="s">
        <v>138</v>
      </c>
      <c r="CO1699" s="35">
        <v>0.15</v>
      </c>
      <c r="CP1699" s="36">
        <v>91</v>
      </c>
      <c r="CQ1699" s="35">
        <v>0</v>
      </c>
      <c r="CR1699" s="35">
        <v>-2.04</v>
      </c>
      <c r="CS1699" s="35">
        <v>-0.18</v>
      </c>
      <c r="CT1699" s="36">
        <v>22</v>
      </c>
      <c r="CU1699" s="35">
        <v>0.05</v>
      </c>
      <c r="CV1699" s="36">
        <v>58</v>
      </c>
      <c r="CW1699" s="35">
        <v>0.56999999999999995</v>
      </c>
      <c r="CX1699" s="36">
        <v>83</v>
      </c>
      <c r="CY1699" s="35">
        <v>-0.94</v>
      </c>
      <c r="CZ1699" s="36">
        <v>19</v>
      </c>
      <c r="DA1699" s="35">
        <v>0.03</v>
      </c>
      <c r="DB1699" s="36">
        <v>60</v>
      </c>
      <c r="DC1699" s="37">
        <v>8189.22</v>
      </c>
      <c r="DD1699" s="36">
        <v>100</v>
      </c>
      <c r="DE1699" s="37">
        <v>-284.68</v>
      </c>
      <c r="DF1699" s="35">
        <v>-3.36</v>
      </c>
      <c r="DG1699" s="37">
        <v>14559.81</v>
      </c>
      <c r="DH1699" s="36">
        <v>100</v>
      </c>
      <c r="DI1699" s="37">
        <v>15618.58</v>
      </c>
      <c r="DJ1699" s="36">
        <v>100</v>
      </c>
      <c r="DK1699" s="37">
        <v>20572.73</v>
      </c>
      <c r="DL1699" s="36">
        <v>100</v>
      </c>
      <c r="DM1699" s="37">
        <v>8546.9</v>
      </c>
      <c r="DN1699" s="36">
        <v>100</v>
      </c>
      <c r="DO1699" s="37">
        <v>18238.439999999999</v>
      </c>
      <c r="DP1699" s="36">
        <v>100</v>
      </c>
      <c r="DQ1699" s="36">
        <v>7038513</v>
      </c>
      <c r="DR1699" s="38">
        <v>53794</v>
      </c>
      <c r="DS1699" s="35">
        <v>0.77</v>
      </c>
      <c r="DT1699" s="36">
        <v>247580</v>
      </c>
      <c r="DU1699" s="38">
        <v>853</v>
      </c>
      <c r="DV1699" s="35">
        <v>0.35</v>
      </c>
      <c r="DW1699" s="36">
        <v>6529061</v>
      </c>
      <c r="DX1699" s="39">
        <v>1283</v>
      </c>
      <c r="DY1699" s="35">
        <v>0.02</v>
      </c>
      <c r="DZ1699" s="28" t="s">
        <v>178</v>
      </c>
      <c r="EA1699" s="34">
        <v>43622</v>
      </c>
      <c r="EB1699" s="29">
        <v>1700</v>
      </c>
      <c r="EC1699" s="34">
        <v>42681</v>
      </c>
      <c r="ED1699" s="28" t="s">
        <v>780</v>
      </c>
      <c r="EE1699" s="40" t="str">
        <f>HYPERLINK("https://my.pitchbook.com?c=43013-80", "View company online")</f>
        <v>View company online</v>
      </c>
    </row>
    <row r="1700" spans="1:135">
      <c r="A1700" s="15" t="s">
        <v>32401</v>
      </c>
      <c r="B1700" s="15" t="s">
        <v>32402</v>
      </c>
      <c r="C1700" s="15" t="s">
        <v>138</v>
      </c>
      <c r="D1700" s="15" t="s">
        <v>138</v>
      </c>
      <c r="E1700" s="15" t="s">
        <v>138</v>
      </c>
      <c r="F1700" s="15" t="s">
        <v>32401</v>
      </c>
      <c r="G1700" s="15" t="s">
        <v>32403</v>
      </c>
      <c r="H1700" s="15" t="s">
        <v>322</v>
      </c>
      <c r="I1700" s="15" t="s">
        <v>323</v>
      </c>
      <c r="J1700" s="15" t="s">
        <v>324</v>
      </c>
      <c r="K1700" s="15" t="s">
        <v>3192</v>
      </c>
      <c r="L1700" s="15" t="s">
        <v>215</v>
      </c>
      <c r="M1700" s="15" t="s">
        <v>32404</v>
      </c>
      <c r="N1700" s="15" t="s">
        <v>1212</v>
      </c>
      <c r="O1700" s="17" t="s">
        <v>138</v>
      </c>
      <c r="P1700" s="15" t="s">
        <v>812</v>
      </c>
      <c r="Q1700" s="15" t="s">
        <v>149</v>
      </c>
      <c r="R1700" s="15" t="s">
        <v>328</v>
      </c>
      <c r="S1700" s="15" t="s">
        <v>32405</v>
      </c>
      <c r="T1700" s="18">
        <v>7</v>
      </c>
      <c r="U1700" s="15" t="s">
        <v>32406</v>
      </c>
      <c r="V1700" s="15" t="s">
        <v>138</v>
      </c>
      <c r="W1700" s="15" t="s">
        <v>138</v>
      </c>
      <c r="X1700" s="19">
        <v>2005</v>
      </c>
      <c r="Y1700" s="15" t="s">
        <v>138</v>
      </c>
      <c r="Z1700" s="15" t="s">
        <v>138</v>
      </c>
      <c r="AA1700" s="15" t="s">
        <v>138</v>
      </c>
      <c r="AB1700" s="20">
        <v>0.01</v>
      </c>
      <c r="AC1700" s="20">
        <v>0.01</v>
      </c>
      <c r="AD1700" s="20" t="s">
        <v>138</v>
      </c>
      <c r="AE1700" s="20" t="s">
        <v>138</v>
      </c>
      <c r="AF1700" s="20" t="s">
        <v>138</v>
      </c>
      <c r="AG1700" s="15" t="s">
        <v>514</v>
      </c>
      <c r="AH1700" s="20" t="s">
        <v>138</v>
      </c>
      <c r="AI1700" s="20" t="s">
        <v>138</v>
      </c>
      <c r="AJ1700" s="20" t="s">
        <v>138</v>
      </c>
      <c r="AK1700" s="15" t="s">
        <v>32407</v>
      </c>
      <c r="AL1700" s="15" t="s">
        <v>32408</v>
      </c>
      <c r="AM1700" s="15" t="s">
        <v>566</v>
      </c>
      <c r="AN1700" s="15" t="s">
        <v>32409</v>
      </c>
      <c r="AO1700" s="15" t="s">
        <v>138</v>
      </c>
      <c r="AP1700" s="15" t="s">
        <v>5697</v>
      </c>
      <c r="AQ1700" s="15" t="s">
        <v>32410</v>
      </c>
      <c r="AR1700" s="15" t="s">
        <v>138</v>
      </c>
      <c r="AS1700" s="15" t="s">
        <v>5700</v>
      </c>
      <c r="AT1700" s="15" t="s">
        <v>138</v>
      </c>
      <c r="AU1700" s="15" t="s">
        <v>138</v>
      </c>
      <c r="AV1700" s="15" t="s">
        <v>740</v>
      </c>
      <c r="AW1700" s="15" t="s">
        <v>138</v>
      </c>
      <c r="AX1700" s="15" t="s">
        <v>138</v>
      </c>
      <c r="AY1700" s="15" t="s">
        <v>32411</v>
      </c>
      <c r="AZ1700" s="15" t="s">
        <v>742</v>
      </c>
      <c r="BA1700" s="15" t="s">
        <v>742</v>
      </c>
      <c r="BB1700" s="15" t="s">
        <v>32412</v>
      </c>
      <c r="BC1700" s="15" t="s">
        <v>138</v>
      </c>
      <c r="BD1700" s="21" t="s">
        <v>138</v>
      </c>
      <c r="BE1700" s="15" t="s">
        <v>138</v>
      </c>
      <c r="BF1700" s="15" t="s">
        <v>2912</v>
      </c>
      <c r="BG1700" s="15" t="s">
        <v>138</v>
      </c>
      <c r="BH1700" s="15" t="s">
        <v>138</v>
      </c>
      <c r="BI1700" s="15" t="s">
        <v>2914</v>
      </c>
      <c r="BJ1700" s="15" t="s">
        <v>138</v>
      </c>
      <c r="BK1700" s="15" t="s">
        <v>138</v>
      </c>
      <c r="BL1700" s="15" t="s">
        <v>138</v>
      </c>
      <c r="BM1700" s="22" t="s">
        <v>138</v>
      </c>
      <c r="BN1700" s="17" t="s">
        <v>138</v>
      </c>
      <c r="BO1700" s="15" t="s">
        <v>138</v>
      </c>
      <c r="BP1700" s="17" t="s">
        <v>138</v>
      </c>
      <c r="BQ1700" s="15" t="s">
        <v>138</v>
      </c>
      <c r="BR1700" s="15" t="s">
        <v>205</v>
      </c>
      <c r="BS1700" s="15" t="s">
        <v>138</v>
      </c>
      <c r="BT1700" s="15" t="s">
        <v>138</v>
      </c>
      <c r="BU1700" s="15" t="s">
        <v>174</v>
      </c>
      <c r="BV1700" s="15" t="s">
        <v>138</v>
      </c>
      <c r="BW1700" s="15" t="s">
        <v>138</v>
      </c>
      <c r="BX1700" s="15" t="s">
        <v>138</v>
      </c>
      <c r="BY1700" s="15" t="s">
        <v>175</v>
      </c>
      <c r="BZ1700" s="22" t="s">
        <v>138</v>
      </c>
      <c r="CA1700" s="17" t="s">
        <v>138</v>
      </c>
      <c r="CB1700" s="15" t="s">
        <v>138</v>
      </c>
      <c r="CC1700" s="17" t="s">
        <v>138</v>
      </c>
      <c r="CD1700" s="15" t="s">
        <v>138</v>
      </c>
      <c r="CE1700" s="15" t="s">
        <v>379</v>
      </c>
      <c r="CF1700" s="15" t="s">
        <v>138</v>
      </c>
      <c r="CG1700" s="15" t="s">
        <v>138</v>
      </c>
      <c r="CH1700" s="15" t="s">
        <v>351</v>
      </c>
      <c r="CI1700" s="15" t="s">
        <v>138</v>
      </c>
      <c r="CJ1700" s="15" t="s">
        <v>138</v>
      </c>
      <c r="CK1700" s="15" t="s">
        <v>138</v>
      </c>
      <c r="CL1700" s="15" t="s">
        <v>175</v>
      </c>
      <c r="CM1700" s="22" t="s">
        <v>138</v>
      </c>
      <c r="CN1700" s="17" t="s">
        <v>138</v>
      </c>
      <c r="CO1700" s="23" t="s">
        <v>138</v>
      </c>
      <c r="CP1700" s="24" t="s">
        <v>138</v>
      </c>
      <c r="CQ1700" s="23" t="s">
        <v>138</v>
      </c>
      <c r="CR1700" s="23" t="s">
        <v>138</v>
      </c>
      <c r="CS1700" s="23" t="s">
        <v>138</v>
      </c>
      <c r="CT1700" s="24" t="s">
        <v>138</v>
      </c>
      <c r="CU1700" s="23" t="s">
        <v>138</v>
      </c>
      <c r="CV1700" s="24" t="s">
        <v>138</v>
      </c>
      <c r="CW1700" s="23" t="s">
        <v>138</v>
      </c>
      <c r="CX1700" s="24" t="s">
        <v>138</v>
      </c>
      <c r="CY1700" s="23" t="s">
        <v>138</v>
      </c>
      <c r="CZ1700" s="24" t="s">
        <v>138</v>
      </c>
      <c r="DA1700" s="23" t="s">
        <v>138</v>
      </c>
      <c r="DB1700" s="24" t="s">
        <v>138</v>
      </c>
      <c r="DC1700" s="25" t="s">
        <v>138</v>
      </c>
      <c r="DD1700" s="24" t="s">
        <v>138</v>
      </c>
      <c r="DE1700" s="25" t="s">
        <v>138</v>
      </c>
      <c r="DF1700" s="23" t="s">
        <v>138</v>
      </c>
      <c r="DG1700" s="25" t="s">
        <v>138</v>
      </c>
      <c r="DH1700" s="24" t="s">
        <v>138</v>
      </c>
      <c r="DI1700" s="25" t="s">
        <v>138</v>
      </c>
      <c r="DJ1700" s="24" t="s">
        <v>138</v>
      </c>
      <c r="DK1700" s="25" t="s">
        <v>138</v>
      </c>
      <c r="DL1700" s="24" t="s">
        <v>138</v>
      </c>
      <c r="DM1700" s="25" t="s">
        <v>138</v>
      </c>
      <c r="DN1700" s="24" t="s">
        <v>138</v>
      </c>
      <c r="DO1700" s="25" t="s">
        <v>138</v>
      </c>
      <c r="DP1700" s="24" t="s">
        <v>138</v>
      </c>
      <c r="DQ1700" s="24" t="s">
        <v>138</v>
      </c>
      <c r="DR1700" s="26" t="s">
        <v>138</v>
      </c>
      <c r="DS1700" s="23" t="s">
        <v>138</v>
      </c>
      <c r="DT1700" s="24" t="s">
        <v>138</v>
      </c>
      <c r="DU1700" s="26" t="s">
        <v>138</v>
      </c>
      <c r="DV1700" s="23" t="s">
        <v>138</v>
      </c>
      <c r="DW1700" s="24" t="s">
        <v>138</v>
      </c>
      <c r="DX1700" s="27" t="s">
        <v>138</v>
      </c>
      <c r="DY1700" s="23" t="s">
        <v>138</v>
      </c>
      <c r="DZ1700" s="15" t="s">
        <v>178</v>
      </c>
      <c r="EA1700" s="22">
        <v>43351</v>
      </c>
      <c r="EB1700" s="17" t="s">
        <v>138</v>
      </c>
      <c r="EC1700" s="22" t="s">
        <v>138</v>
      </c>
      <c r="ED1700" s="15" t="s">
        <v>138</v>
      </c>
      <c r="EE1700" s="14" t="str">
        <f>HYPERLINK("https://my.pitchbook.com?c=64309-15", "View company online")</f>
        <v>View company online</v>
      </c>
    </row>
    <row r="1701" spans="1:135">
      <c r="A1701" s="28" t="s">
        <v>32413</v>
      </c>
      <c r="B1701" s="28" t="s">
        <v>32414</v>
      </c>
      <c r="C1701" s="28" t="s">
        <v>138</v>
      </c>
      <c r="D1701" s="28" t="s">
        <v>138</v>
      </c>
      <c r="E1701" s="28" t="s">
        <v>32415</v>
      </c>
      <c r="F1701" s="28" t="s">
        <v>32413</v>
      </c>
      <c r="G1701" s="28" t="s">
        <v>32416</v>
      </c>
      <c r="H1701" s="28" t="s">
        <v>322</v>
      </c>
      <c r="I1701" s="28" t="s">
        <v>323</v>
      </c>
      <c r="J1701" s="28" t="s">
        <v>324</v>
      </c>
      <c r="K1701" s="28" t="s">
        <v>1543</v>
      </c>
      <c r="L1701" s="28" t="s">
        <v>242</v>
      </c>
      <c r="M1701" s="28" t="s">
        <v>32417</v>
      </c>
      <c r="N1701" s="28" t="s">
        <v>147</v>
      </c>
      <c r="O1701" s="29">
        <v>8.5</v>
      </c>
      <c r="P1701" s="28" t="s">
        <v>148</v>
      </c>
      <c r="Q1701" s="28" t="s">
        <v>149</v>
      </c>
      <c r="R1701" s="28" t="s">
        <v>174</v>
      </c>
      <c r="S1701" s="28" t="s">
        <v>32418</v>
      </c>
      <c r="T1701" s="30">
        <v>33</v>
      </c>
      <c r="U1701" s="28" t="s">
        <v>32419</v>
      </c>
      <c r="V1701" s="28" t="s">
        <v>138</v>
      </c>
      <c r="W1701" s="28" t="s">
        <v>138</v>
      </c>
      <c r="X1701" s="31">
        <v>2010</v>
      </c>
      <c r="Y1701" s="28" t="s">
        <v>138</v>
      </c>
      <c r="Z1701" s="28" t="s">
        <v>138</v>
      </c>
      <c r="AA1701" s="28" t="s">
        <v>138</v>
      </c>
      <c r="AB1701" s="32" t="s">
        <v>138</v>
      </c>
      <c r="AC1701" s="32" t="s">
        <v>138</v>
      </c>
      <c r="AD1701" s="32" t="s">
        <v>138</v>
      </c>
      <c r="AE1701" s="32" t="s">
        <v>138</v>
      </c>
      <c r="AF1701" s="32" t="s">
        <v>138</v>
      </c>
      <c r="AG1701" s="28" t="s">
        <v>138</v>
      </c>
      <c r="AH1701" s="32" t="s">
        <v>138</v>
      </c>
      <c r="AI1701" s="32" t="s">
        <v>138</v>
      </c>
      <c r="AJ1701" s="32" t="s">
        <v>138</v>
      </c>
      <c r="AK1701" s="28" t="s">
        <v>32420</v>
      </c>
      <c r="AL1701" s="28" t="s">
        <v>32421</v>
      </c>
      <c r="AM1701" s="28" t="s">
        <v>18837</v>
      </c>
      <c r="AN1701" s="28" t="s">
        <v>32422</v>
      </c>
      <c r="AO1701" s="28" t="s">
        <v>32423</v>
      </c>
      <c r="AP1701" s="28" t="s">
        <v>32424</v>
      </c>
      <c r="AQ1701" s="28" t="s">
        <v>32425</v>
      </c>
      <c r="AR1701" s="28" t="s">
        <v>1459</v>
      </c>
      <c r="AS1701" s="28" t="s">
        <v>32426</v>
      </c>
      <c r="AT1701" s="28" t="s">
        <v>3883</v>
      </c>
      <c r="AU1701" s="28" t="s">
        <v>32427</v>
      </c>
      <c r="AV1701" s="28" t="s">
        <v>162</v>
      </c>
      <c r="AW1701" s="28" t="s">
        <v>32423</v>
      </c>
      <c r="AX1701" s="28" t="s">
        <v>138</v>
      </c>
      <c r="AY1701" s="28" t="s">
        <v>32428</v>
      </c>
      <c r="AZ1701" s="28" t="s">
        <v>164</v>
      </c>
      <c r="BA1701" s="28" t="s">
        <v>165</v>
      </c>
      <c r="BB1701" s="28" t="s">
        <v>32429</v>
      </c>
      <c r="BC1701" s="28" t="s">
        <v>24301</v>
      </c>
      <c r="BD1701" s="33">
        <v>1</v>
      </c>
      <c r="BE1701" s="28" t="s">
        <v>138</v>
      </c>
      <c r="BF1701" s="28" t="s">
        <v>138</v>
      </c>
      <c r="BG1701" s="28" t="s">
        <v>138</v>
      </c>
      <c r="BH1701" s="28" t="s">
        <v>138</v>
      </c>
      <c r="BI1701" s="28" t="s">
        <v>138</v>
      </c>
      <c r="BJ1701" s="28" t="s">
        <v>138</v>
      </c>
      <c r="BK1701" s="28" t="s">
        <v>138</v>
      </c>
      <c r="BL1701" s="28" t="s">
        <v>32430</v>
      </c>
      <c r="BM1701" s="34">
        <v>41275</v>
      </c>
      <c r="BN1701" s="29" t="s">
        <v>138</v>
      </c>
      <c r="BO1701" s="28" t="s">
        <v>138</v>
      </c>
      <c r="BP1701" s="29" t="s">
        <v>138</v>
      </c>
      <c r="BQ1701" s="28" t="s">
        <v>138</v>
      </c>
      <c r="BR1701" s="28" t="s">
        <v>262</v>
      </c>
      <c r="BS1701" s="28" t="s">
        <v>262</v>
      </c>
      <c r="BT1701" s="28" t="s">
        <v>138</v>
      </c>
      <c r="BU1701" s="28" t="s">
        <v>263</v>
      </c>
      <c r="BV1701" s="28" t="s">
        <v>138</v>
      </c>
      <c r="BW1701" s="28" t="s">
        <v>138</v>
      </c>
      <c r="BX1701" s="28" t="s">
        <v>138</v>
      </c>
      <c r="BY1701" s="28" t="s">
        <v>175</v>
      </c>
      <c r="BZ1701" s="34">
        <v>42797</v>
      </c>
      <c r="CA1701" s="29">
        <v>8.5</v>
      </c>
      <c r="CB1701" s="28" t="s">
        <v>1178</v>
      </c>
      <c r="CC1701" s="29">
        <v>21</v>
      </c>
      <c r="CD1701" s="28" t="s">
        <v>172</v>
      </c>
      <c r="CE1701" s="28" t="s">
        <v>173</v>
      </c>
      <c r="CF1701" s="28" t="s">
        <v>206</v>
      </c>
      <c r="CG1701" s="28" t="s">
        <v>138</v>
      </c>
      <c r="CH1701" s="28" t="s">
        <v>174</v>
      </c>
      <c r="CI1701" s="28" t="s">
        <v>138</v>
      </c>
      <c r="CJ1701" s="28" t="s">
        <v>138</v>
      </c>
      <c r="CK1701" s="28" t="s">
        <v>138</v>
      </c>
      <c r="CL1701" s="28" t="s">
        <v>175</v>
      </c>
      <c r="CM1701" s="34" t="s">
        <v>138</v>
      </c>
      <c r="CN1701" s="29" t="s">
        <v>138</v>
      </c>
      <c r="CO1701" s="35">
        <v>8.75</v>
      </c>
      <c r="CP1701" s="36">
        <v>100</v>
      </c>
      <c r="CQ1701" s="35">
        <v>0.09</v>
      </c>
      <c r="CR1701" s="35">
        <v>1.04</v>
      </c>
      <c r="CS1701" s="35">
        <v>-0.71</v>
      </c>
      <c r="CT1701" s="36">
        <v>18</v>
      </c>
      <c r="CU1701" s="35">
        <v>-0.06</v>
      </c>
      <c r="CV1701" s="36">
        <v>8</v>
      </c>
      <c r="CW1701" s="35">
        <v>-1.41</v>
      </c>
      <c r="CX1701" s="36">
        <v>9</v>
      </c>
      <c r="CY1701" s="35">
        <v>0</v>
      </c>
      <c r="CZ1701" s="36">
        <v>25</v>
      </c>
      <c r="DA1701" s="35">
        <v>-0.09</v>
      </c>
      <c r="DB1701" s="36">
        <v>7</v>
      </c>
      <c r="DC1701" s="37">
        <v>4.24</v>
      </c>
      <c r="DD1701" s="36">
        <v>80</v>
      </c>
      <c r="DE1701" s="37">
        <v>0.01</v>
      </c>
      <c r="DF1701" s="35">
        <v>0.3</v>
      </c>
      <c r="DG1701" s="37">
        <v>3.62</v>
      </c>
      <c r="DH1701" s="36">
        <v>78</v>
      </c>
      <c r="DI1701" s="37">
        <v>4.57</v>
      </c>
      <c r="DJ1701" s="36">
        <v>76</v>
      </c>
      <c r="DK1701" s="37">
        <v>4.78</v>
      </c>
      <c r="DL1701" s="36">
        <v>78</v>
      </c>
      <c r="DM1701" s="37">
        <v>2.4500000000000002</v>
      </c>
      <c r="DN1701" s="36">
        <v>70</v>
      </c>
      <c r="DO1701" s="37">
        <v>1.47</v>
      </c>
      <c r="DP1701" s="36">
        <v>58</v>
      </c>
      <c r="DQ1701" s="36">
        <v>1651</v>
      </c>
      <c r="DR1701" s="38">
        <v>-30</v>
      </c>
      <c r="DS1701" s="35">
        <v>-1.78</v>
      </c>
      <c r="DT1701" s="36">
        <v>70</v>
      </c>
      <c r="DU1701" s="38">
        <v>0</v>
      </c>
      <c r="DV1701" s="35">
        <v>0</v>
      </c>
      <c r="DW1701" s="36">
        <v>527</v>
      </c>
      <c r="DX1701" s="39">
        <v>1</v>
      </c>
      <c r="DY1701" s="35">
        <v>0.19</v>
      </c>
      <c r="DZ1701" s="28" t="s">
        <v>178</v>
      </c>
      <c r="EA1701" s="34">
        <v>43622</v>
      </c>
      <c r="EB1701" s="29">
        <v>21</v>
      </c>
      <c r="EC1701" s="34">
        <v>42797</v>
      </c>
      <c r="ED1701" s="28" t="s">
        <v>173</v>
      </c>
      <c r="EE1701" s="40" t="str">
        <f>HYPERLINK("https://my.pitchbook.com?c=100949-77", "View company online")</f>
        <v>View company online</v>
      </c>
    </row>
    <row r="1702" spans="1:135">
      <c r="A1702" s="15" t="s">
        <v>32431</v>
      </c>
      <c r="B1702" s="15" t="s">
        <v>32432</v>
      </c>
      <c r="C1702" s="15" t="s">
        <v>32433</v>
      </c>
      <c r="D1702" s="15" t="s">
        <v>138</v>
      </c>
      <c r="E1702" s="15" t="s">
        <v>138</v>
      </c>
      <c r="F1702" s="15" t="s">
        <v>32431</v>
      </c>
      <c r="G1702" s="15" t="s">
        <v>32434</v>
      </c>
      <c r="H1702" s="15" t="s">
        <v>322</v>
      </c>
      <c r="I1702" s="15" t="s">
        <v>323</v>
      </c>
      <c r="J1702" s="15" t="s">
        <v>1084</v>
      </c>
      <c r="K1702" s="15" t="s">
        <v>26801</v>
      </c>
      <c r="L1702" s="15" t="s">
        <v>1104</v>
      </c>
      <c r="M1702" s="15" t="s">
        <v>32435</v>
      </c>
      <c r="N1702" s="15" t="s">
        <v>147</v>
      </c>
      <c r="O1702" s="17">
        <v>7.51</v>
      </c>
      <c r="P1702" s="15" t="s">
        <v>148</v>
      </c>
      <c r="Q1702" s="15" t="s">
        <v>149</v>
      </c>
      <c r="R1702" s="15" t="s">
        <v>174</v>
      </c>
      <c r="S1702" s="15" t="s">
        <v>32436</v>
      </c>
      <c r="T1702" s="18">
        <v>30</v>
      </c>
      <c r="U1702" s="15" t="s">
        <v>32437</v>
      </c>
      <c r="V1702" s="15" t="s">
        <v>138</v>
      </c>
      <c r="W1702" s="15" t="s">
        <v>138</v>
      </c>
      <c r="X1702" s="19">
        <v>2015</v>
      </c>
      <c r="Y1702" s="15" t="s">
        <v>138</v>
      </c>
      <c r="Z1702" s="15" t="s">
        <v>138</v>
      </c>
      <c r="AA1702" s="15" t="s">
        <v>138</v>
      </c>
      <c r="AB1702" s="20" t="s">
        <v>138</v>
      </c>
      <c r="AC1702" s="20" t="s">
        <v>138</v>
      </c>
      <c r="AD1702" s="20" t="s">
        <v>138</v>
      </c>
      <c r="AE1702" s="20" t="s">
        <v>138</v>
      </c>
      <c r="AF1702" s="20" t="s">
        <v>138</v>
      </c>
      <c r="AG1702" s="15" t="s">
        <v>138</v>
      </c>
      <c r="AH1702" s="20" t="s">
        <v>138</v>
      </c>
      <c r="AI1702" s="20" t="s">
        <v>138</v>
      </c>
      <c r="AJ1702" s="20" t="s">
        <v>138</v>
      </c>
      <c r="AK1702" s="15" t="s">
        <v>32438</v>
      </c>
      <c r="AL1702" s="15" t="s">
        <v>32439</v>
      </c>
      <c r="AM1702" s="15" t="s">
        <v>304</v>
      </c>
      <c r="AN1702" s="15" t="s">
        <v>32440</v>
      </c>
      <c r="AO1702" s="15" t="s">
        <v>32441</v>
      </c>
      <c r="AP1702" s="15" t="s">
        <v>14127</v>
      </c>
      <c r="AQ1702" s="15" t="s">
        <v>32442</v>
      </c>
      <c r="AR1702" s="15" t="s">
        <v>25740</v>
      </c>
      <c r="AS1702" s="15" t="s">
        <v>14129</v>
      </c>
      <c r="AT1702" s="15" t="s">
        <v>14130</v>
      </c>
      <c r="AU1702" s="15" t="s">
        <v>32443</v>
      </c>
      <c r="AV1702" s="15" t="s">
        <v>2742</v>
      </c>
      <c r="AW1702" s="15" t="s">
        <v>32441</v>
      </c>
      <c r="AX1702" s="15" t="s">
        <v>138</v>
      </c>
      <c r="AY1702" s="15" t="s">
        <v>32444</v>
      </c>
      <c r="AZ1702" s="15" t="s">
        <v>164</v>
      </c>
      <c r="BA1702" s="15" t="s">
        <v>165</v>
      </c>
      <c r="BB1702" s="15" t="s">
        <v>32445</v>
      </c>
      <c r="BC1702" s="15" t="s">
        <v>32446</v>
      </c>
      <c r="BD1702" s="21">
        <v>21</v>
      </c>
      <c r="BE1702" s="15" t="s">
        <v>138</v>
      </c>
      <c r="BF1702" s="15" t="s">
        <v>138</v>
      </c>
      <c r="BG1702" s="15" t="s">
        <v>138</v>
      </c>
      <c r="BH1702" s="15" t="s">
        <v>32447</v>
      </c>
      <c r="BI1702" s="15" t="s">
        <v>138</v>
      </c>
      <c r="BJ1702" s="15" t="s">
        <v>138</v>
      </c>
      <c r="BK1702" s="15" t="s">
        <v>138</v>
      </c>
      <c r="BL1702" s="15" t="s">
        <v>138</v>
      </c>
      <c r="BM1702" s="22">
        <v>42005</v>
      </c>
      <c r="BN1702" s="17" t="s">
        <v>138</v>
      </c>
      <c r="BO1702" s="15" t="s">
        <v>138</v>
      </c>
      <c r="BP1702" s="17" t="s">
        <v>138</v>
      </c>
      <c r="BQ1702" s="15" t="s">
        <v>138</v>
      </c>
      <c r="BR1702" s="15" t="s">
        <v>316</v>
      </c>
      <c r="BS1702" s="15" t="s">
        <v>138</v>
      </c>
      <c r="BT1702" s="15" t="s">
        <v>138</v>
      </c>
      <c r="BU1702" s="15" t="s">
        <v>177</v>
      </c>
      <c r="BV1702" s="15" t="s">
        <v>138</v>
      </c>
      <c r="BW1702" s="15" t="s">
        <v>138</v>
      </c>
      <c r="BX1702" s="15" t="s">
        <v>138</v>
      </c>
      <c r="BY1702" s="15" t="s">
        <v>175</v>
      </c>
      <c r="BZ1702" s="22">
        <v>42992</v>
      </c>
      <c r="CA1702" s="17" t="s">
        <v>138</v>
      </c>
      <c r="CB1702" s="15" t="s">
        <v>138</v>
      </c>
      <c r="CC1702" s="17" t="s">
        <v>138</v>
      </c>
      <c r="CD1702" s="15" t="s">
        <v>138</v>
      </c>
      <c r="CE1702" s="15" t="s">
        <v>316</v>
      </c>
      <c r="CF1702" s="15" t="s">
        <v>138</v>
      </c>
      <c r="CG1702" s="15" t="s">
        <v>138</v>
      </c>
      <c r="CH1702" s="15" t="s">
        <v>177</v>
      </c>
      <c r="CI1702" s="15" t="s">
        <v>138</v>
      </c>
      <c r="CJ1702" s="15" t="s">
        <v>138</v>
      </c>
      <c r="CK1702" s="15" t="s">
        <v>138</v>
      </c>
      <c r="CL1702" s="15" t="s">
        <v>175</v>
      </c>
      <c r="CM1702" s="22" t="s">
        <v>138</v>
      </c>
      <c r="CN1702" s="17" t="s">
        <v>138</v>
      </c>
      <c r="CO1702" s="23">
        <v>2.48</v>
      </c>
      <c r="CP1702" s="24">
        <v>99</v>
      </c>
      <c r="CQ1702" s="23">
        <v>-0.04</v>
      </c>
      <c r="CR1702" s="23">
        <v>-1.41</v>
      </c>
      <c r="CS1702" s="23">
        <v>5.0199999999999996</v>
      </c>
      <c r="CT1702" s="24">
        <v>100</v>
      </c>
      <c r="CU1702" s="23">
        <v>-0.06</v>
      </c>
      <c r="CV1702" s="24">
        <v>8</v>
      </c>
      <c r="CW1702" s="23">
        <v>9.52</v>
      </c>
      <c r="CX1702" s="24">
        <v>99</v>
      </c>
      <c r="CY1702" s="23">
        <v>0.52</v>
      </c>
      <c r="CZ1702" s="24">
        <v>98</v>
      </c>
      <c r="DA1702" s="23">
        <v>-0.06</v>
      </c>
      <c r="DB1702" s="24">
        <v>11</v>
      </c>
      <c r="DC1702" s="25">
        <v>15.53</v>
      </c>
      <c r="DD1702" s="24">
        <v>93</v>
      </c>
      <c r="DE1702" s="25">
        <v>-1.1100000000000001</v>
      </c>
      <c r="DF1702" s="23">
        <v>-6.67</v>
      </c>
      <c r="DG1702" s="25">
        <v>28.85</v>
      </c>
      <c r="DH1702" s="24">
        <v>96</v>
      </c>
      <c r="DI1702" s="25">
        <v>2.2000000000000002</v>
      </c>
      <c r="DJ1702" s="24">
        <v>64</v>
      </c>
      <c r="DK1702" s="25">
        <v>35.08</v>
      </c>
      <c r="DL1702" s="24">
        <v>94</v>
      </c>
      <c r="DM1702" s="25">
        <v>22.62</v>
      </c>
      <c r="DN1702" s="24">
        <v>95</v>
      </c>
      <c r="DO1702" s="25">
        <v>2.2000000000000002</v>
      </c>
      <c r="DP1702" s="24">
        <v>65</v>
      </c>
      <c r="DQ1702" s="24">
        <v>11672</v>
      </c>
      <c r="DR1702" s="26">
        <v>1084</v>
      </c>
      <c r="DS1702" s="23">
        <v>10.24</v>
      </c>
      <c r="DT1702" s="24">
        <v>655</v>
      </c>
      <c r="DU1702" s="26">
        <v>2</v>
      </c>
      <c r="DV1702" s="23">
        <v>0.31</v>
      </c>
      <c r="DW1702" s="24">
        <v>788</v>
      </c>
      <c r="DX1702" s="27">
        <v>-1</v>
      </c>
      <c r="DY1702" s="23">
        <v>-0.13</v>
      </c>
      <c r="DZ1702" s="15" t="s">
        <v>178</v>
      </c>
      <c r="EA1702" s="22">
        <v>43607</v>
      </c>
      <c r="EB1702" s="17">
        <v>1.71</v>
      </c>
      <c r="EC1702" s="22">
        <v>42452</v>
      </c>
      <c r="ED1702" s="15" t="s">
        <v>316</v>
      </c>
      <c r="EE1702" s="14" t="str">
        <f>HYPERLINK("https://my.pitchbook.com?c=113074-48", "View company online")</f>
        <v>View company online</v>
      </c>
    </row>
    <row r="1703" spans="1:135">
      <c r="A1703" s="28" t="s">
        <v>32448</v>
      </c>
      <c r="B1703" s="28" t="s">
        <v>32449</v>
      </c>
      <c r="C1703" s="28" t="s">
        <v>138</v>
      </c>
      <c r="D1703" s="28" t="s">
        <v>138</v>
      </c>
      <c r="E1703" s="28" t="s">
        <v>32450</v>
      </c>
      <c r="F1703" s="28" t="s">
        <v>32448</v>
      </c>
      <c r="G1703" s="28" t="s">
        <v>32451</v>
      </c>
      <c r="H1703" s="28" t="s">
        <v>890</v>
      </c>
      <c r="I1703" s="28" t="s">
        <v>7410</v>
      </c>
      <c r="J1703" s="28" t="s">
        <v>32452</v>
      </c>
      <c r="K1703" s="28" t="s">
        <v>32453</v>
      </c>
      <c r="L1703" s="28" t="s">
        <v>2557</v>
      </c>
      <c r="M1703" s="28" t="s">
        <v>32454</v>
      </c>
      <c r="N1703" s="28" t="s">
        <v>147</v>
      </c>
      <c r="O1703" s="29">
        <v>10</v>
      </c>
      <c r="P1703" s="28" t="s">
        <v>148</v>
      </c>
      <c r="Q1703" s="28" t="s">
        <v>149</v>
      </c>
      <c r="R1703" s="28" t="s">
        <v>174</v>
      </c>
      <c r="S1703" s="28" t="s">
        <v>32455</v>
      </c>
      <c r="T1703" s="30">
        <v>30</v>
      </c>
      <c r="U1703" s="28" t="s">
        <v>32456</v>
      </c>
      <c r="V1703" s="28" t="s">
        <v>138</v>
      </c>
      <c r="W1703" s="28" t="s">
        <v>138</v>
      </c>
      <c r="X1703" s="31">
        <v>2015</v>
      </c>
      <c r="Y1703" s="28" t="s">
        <v>138</v>
      </c>
      <c r="Z1703" s="28" t="s">
        <v>138</v>
      </c>
      <c r="AA1703" s="28" t="s">
        <v>138</v>
      </c>
      <c r="AB1703" s="32" t="s">
        <v>138</v>
      </c>
      <c r="AC1703" s="32" t="s">
        <v>138</v>
      </c>
      <c r="AD1703" s="32" t="s">
        <v>138</v>
      </c>
      <c r="AE1703" s="32" t="s">
        <v>138</v>
      </c>
      <c r="AF1703" s="32" t="s">
        <v>138</v>
      </c>
      <c r="AG1703" s="28" t="s">
        <v>138</v>
      </c>
      <c r="AH1703" s="32" t="s">
        <v>138</v>
      </c>
      <c r="AI1703" s="32" t="s">
        <v>138</v>
      </c>
      <c r="AJ1703" s="32" t="s">
        <v>138</v>
      </c>
      <c r="AK1703" s="28" t="s">
        <v>32457</v>
      </c>
      <c r="AL1703" s="28" t="s">
        <v>32458</v>
      </c>
      <c r="AM1703" s="28" t="s">
        <v>221</v>
      </c>
      <c r="AN1703" s="28" t="s">
        <v>32459</v>
      </c>
      <c r="AO1703" s="28" t="s">
        <v>32460</v>
      </c>
      <c r="AP1703" s="28" t="s">
        <v>665</v>
      </c>
      <c r="AQ1703" s="28" t="s">
        <v>5973</v>
      </c>
      <c r="AR1703" s="28" t="s">
        <v>6978</v>
      </c>
      <c r="AS1703" s="28" t="s">
        <v>668</v>
      </c>
      <c r="AT1703" s="28" t="s">
        <v>200</v>
      </c>
      <c r="AU1703" s="28" t="s">
        <v>669</v>
      </c>
      <c r="AV1703" s="28" t="s">
        <v>162</v>
      </c>
      <c r="AW1703" s="28" t="s">
        <v>32461</v>
      </c>
      <c r="AX1703" s="28" t="s">
        <v>138</v>
      </c>
      <c r="AY1703" s="28" t="s">
        <v>32462</v>
      </c>
      <c r="AZ1703" s="28" t="s">
        <v>164</v>
      </c>
      <c r="BA1703" s="28" t="s">
        <v>165</v>
      </c>
      <c r="BB1703" s="28" t="s">
        <v>32463</v>
      </c>
      <c r="BC1703" s="28" t="s">
        <v>32464</v>
      </c>
      <c r="BD1703" s="33">
        <v>13</v>
      </c>
      <c r="BE1703" s="28" t="s">
        <v>138</v>
      </c>
      <c r="BF1703" s="28" t="s">
        <v>138</v>
      </c>
      <c r="BG1703" s="28" t="s">
        <v>138</v>
      </c>
      <c r="BH1703" s="28" t="s">
        <v>32465</v>
      </c>
      <c r="BI1703" s="28" t="s">
        <v>138</v>
      </c>
      <c r="BJ1703" s="28" t="s">
        <v>138</v>
      </c>
      <c r="BK1703" s="28" t="s">
        <v>32466</v>
      </c>
      <c r="BL1703" s="28" t="s">
        <v>1275</v>
      </c>
      <c r="BM1703" s="34">
        <v>42528</v>
      </c>
      <c r="BN1703" s="29">
        <v>2</v>
      </c>
      <c r="BO1703" s="28" t="s">
        <v>172</v>
      </c>
      <c r="BP1703" s="29">
        <v>7</v>
      </c>
      <c r="BQ1703" s="28" t="s">
        <v>172</v>
      </c>
      <c r="BR1703" s="28" t="s">
        <v>234</v>
      </c>
      <c r="BS1703" s="28" t="s">
        <v>234</v>
      </c>
      <c r="BT1703" s="28" t="s">
        <v>138</v>
      </c>
      <c r="BU1703" s="28" t="s">
        <v>174</v>
      </c>
      <c r="BV1703" s="28" t="s">
        <v>138</v>
      </c>
      <c r="BW1703" s="28" t="s">
        <v>138</v>
      </c>
      <c r="BX1703" s="28" t="s">
        <v>138</v>
      </c>
      <c r="BY1703" s="28" t="s">
        <v>175</v>
      </c>
      <c r="BZ1703" s="34">
        <v>43188</v>
      </c>
      <c r="CA1703" s="29">
        <v>3</v>
      </c>
      <c r="CB1703" s="28" t="s">
        <v>172</v>
      </c>
      <c r="CC1703" s="29" t="s">
        <v>138</v>
      </c>
      <c r="CD1703" s="28" t="s">
        <v>138</v>
      </c>
      <c r="CE1703" s="28" t="s">
        <v>205</v>
      </c>
      <c r="CF1703" s="28" t="s">
        <v>138</v>
      </c>
      <c r="CG1703" s="28" t="s">
        <v>138</v>
      </c>
      <c r="CH1703" s="28" t="s">
        <v>174</v>
      </c>
      <c r="CI1703" s="28" t="s">
        <v>138</v>
      </c>
      <c r="CJ1703" s="28" t="s">
        <v>138</v>
      </c>
      <c r="CK1703" s="28" t="s">
        <v>138</v>
      </c>
      <c r="CL1703" s="28" t="s">
        <v>175</v>
      </c>
      <c r="CM1703" s="34" t="s">
        <v>138</v>
      </c>
      <c r="CN1703" s="29" t="s">
        <v>138</v>
      </c>
      <c r="CO1703" s="35">
        <v>0.93</v>
      </c>
      <c r="CP1703" s="36">
        <v>97</v>
      </c>
      <c r="CQ1703" s="35">
        <v>0.05</v>
      </c>
      <c r="CR1703" s="35">
        <v>5.94</v>
      </c>
      <c r="CS1703" s="35" t="s">
        <v>138</v>
      </c>
      <c r="CT1703" s="36" t="s">
        <v>138</v>
      </c>
      <c r="CU1703" s="35">
        <v>0.99</v>
      </c>
      <c r="CV1703" s="36">
        <v>98</v>
      </c>
      <c r="CW1703" s="35" t="s">
        <v>138</v>
      </c>
      <c r="CX1703" s="36" t="s">
        <v>138</v>
      </c>
      <c r="CY1703" s="35" t="s">
        <v>138</v>
      </c>
      <c r="CZ1703" s="36" t="s">
        <v>138</v>
      </c>
      <c r="DA1703" s="35">
        <v>0.99</v>
      </c>
      <c r="DB1703" s="36">
        <v>98</v>
      </c>
      <c r="DC1703" s="37">
        <v>0.69</v>
      </c>
      <c r="DD1703" s="36">
        <v>42</v>
      </c>
      <c r="DE1703" s="37">
        <v>0.02</v>
      </c>
      <c r="DF1703" s="35">
        <v>2.62</v>
      </c>
      <c r="DG1703" s="37" t="s">
        <v>138</v>
      </c>
      <c r="DH1703" s="36" t="s">
        <v>138</v>
      </c>
      <c r="DI1703" s="37">
        <v>1.32</v>
      </c>
      <c r="DJ1703" s="36">
        <v>54</v>
      </c>
      <c r="DK1703" s="37" t="s">
        <v>138</v>
      </c>
      <c r="DL1703" s="36" t="s">
        <v>138</v>
      </c>
      <c r="DM1703" s="37" t="s">
        <v>138</v>
      </c>
      <c r="DN1703" s="36" t="s">
        <v>138</v>
      </c>
      <c r="DO1703" s="37">
        <v>1.32</v>
      </c>
      <c r="DP1703" s="36">
        <v>56</v>
      </c>
      <c r="DQ1703" s="36" t="s">
        <v>138</v>
      </c>
      <c r="DR1703" s="38" t="s">
        <v>138</v>
      </c>
      <c r="DS1703" s="35" t="s">
        <v>138</v>
      </c>
      <c r="DT1703" s="36" t="s">
        <v>138</v>
      </c>
      <c r="DU1703" s="38" t="s">
        <v>138</v>
      </c>
      <c r="DV1703" s="35" t="s">
        <v>138</v>
      </c>
      <c r="DW1703" s="36">
        <v>466</v>
      </c>
      <c r="DX1703" s="39">
        <v>6</v>
      </c>
      <c r="DY1703" s="35">
        <v>1.3</v>
      </c>
      <c r="DZ1703" s="28" t="s">
        <v>178</v>
      </c>
      <c r="EA1703" s="34">
        <v>43418</v>
      </c>
      <c r="EB1703" s="29">
        <v>7</v>
      </c>
      <c r="EC1703" s="34">
        <v>42528</v>
      </c>
      <c r="ED1703" s="28" t="s">
        <v>234</v>
      </c>
      <c r="EE1703" s="40" t="str">
        <f>HYPERLINK("https://my.pitchbook.com?c=157224-97", "View company online")</f>
        <v>View company online</v>
      </c>
    </row>
    <row r="1704" spans="1:135">
      <c r="A1704" s="15" t="s">
        <v>32467</v>
      </c>
      <c r="B1704" s="15" t="s">
        <v>32468</v>
      </c>
      <c r="C1704" s="15" t="s">
        <v>138</v>
      </c>
      <c r="D1704" s="15" t="s">
        <v>138</v>
      </c>
      <c r="E1704" s="15" t="s">
        <v>32469</v>
      </c>
      <c r="F1704" s="15" t="s">
        <v>32467</v>
      </c>
      <c r="G1704" s="15" t="s">
        <v>32470</v>
      </c>
      <c r="H1704" s="15" t="s">
        <v>322</v>
      </c>
      <c r="I1704" s="15" t="s">
        <v>323</v>
      </c>
      <c r="J1704" s="15" t="s">
        <v>413</v>
      </c>
      <c r="K1704" s="15" t="s">
        <v>32471</v>
      </c>
      <c r="L1704" s="15" t="s">
        <v>31088</v>
      </c>
      <c r="M1704" s="15" t="s">
        <v>32472</v>
      </c>
      <c r="N1704" s="15" t="s">
        <v>1212</v>
      </c>
      <c r="O1704" s="17">
        <v>51.67</v>
      </c>
      <c r="P1704" s="15" t="s">
        <v>148</v>
      </c>
      <c r="Q1704" s="15" t="s">
        <v>149</v>
      </c>
      <c r="R1704" s="15" t="s">
        <v>174</v>
      </c>
      <c r="S1704" s="15" t="s">
        <v>32473</v>
      </c>
      <c r="T1704" s="18">
        <v>120</v>
      </c>
      <c r="U1704" s="15" t="s">
        <v>32474</v>
      </c>
      <c r="V1704" s="15" t="s">
        <v>138</v>
      </c>
      <c r="W1704" s="15" t="s">
        <v>138</v>
      </c>
      <c r="X1704" s="19">
        <v>2012</v>
      </c>
      <c r="Y1704" s="15" t="s">
        <v>138</v>
      </c>
      <c r="Z1704" s="15" t="s">
        <v>1163</v>
      </c>
      <c r="AA1704" s="15" t="s">
        <v>1163</v>
      </c>
      <c r="AB1704" s="20" t="s">
        <v>138</v>
      </c>
      <c r="AC1704" s="20" t="s">
        <v>138</v>
      </c>
      <c r="AD1704" s="20" t="s">
        <v>138</v>
      </c>
      <c r="AE1704" s="20" t="s">
        <v>138</v>
      </c>
      <c r="AF1704" s="20" t="s">
        <v>138</v>
      </c>
      <c r="AG1704" s="15" t="s">
        <v>138</v>
      </c>
      <c r="AH1704" s="20" t="s">
        <v>138</v>
      </c>
      <c r="AI1704" s="20" t="s">
        <v>138</v>
      </c>
      <c r="AJ1704" s="20" t="s">
        <v>138</v>
      </c>
      <c r="AK1704" s="15" t="s">
        <v>32475</v>
      </c>
      <c r="AL1704" s="15" t="s">
        <v>32476</v>
      </c>
      <c r="AM1704" s="15" t="s">
        <v>32477</v>
      </c>
      <c r="AN1704" s="15" t="s">
        <v>32478</v>
      </c>
      <c r="AO1704" s="15" t="s">
        <v>32479</v>
      </c>
      <c r="AP1704" s="15" t="s">
        <v>665</v>
      </c>
      <c r="AQ1704" s="15" t="s">
        <v>32480</v>
      </c>
      <c r="AR1704" s="15" t="s">
        <v>32481</v>
      </c>
      <c r="AS1704" s="15" t="s">
        <v>668</v>
      </c>
      <c r="AT1704" s="15" t="s">
        <v>200</v>
      </c>
      <c r="AU1704" s="15" t="s">
        <v>2052</v>
      </c>
      <c r="AV1704" s="15" t="s">
        <v>162</v>
      </c>
      <c r="AW1704" s="15" t="s">
        <v>32482</v>
      </c>
      <c r="AX1704" s="15" t="s">
        <v>138</v>
      </c>
      <c r="AY1704" s="15" t="s">
        <v>32483</v>
      </c>
      <c r="AZ1704" s="15" t="s">
        <v>164</v>
      </c>
      <c r="BA1704" s="15" t="s">
        <v>165</v>
      </c>
      <c r="BB1704" s="15" t="s">
        <v>32484</v>
      </c>
      <c r="BC1704" s="15" t="s">
        <v>138</v>
      </c>
      <c r="BD1704" s="21" t="s">
        <v>138</v>
      </c>
      <c r="BE1704" s="15" t="s">
        <v>32485</v>
      </c>
      <c r="BF1704" s="15" t="s">
        <v>32486</v>
      </c>
      <c r="BG1704" s="15" t="s">
        <v>138</v>
      </c>
      <c r="BH1704" s="15" t="s">
        <v>138</v>
      </c>
      <c r="BI1704" s="15" t="s">
        <v>32487</v>
      </c>
      <c r="BJ1704" s="15" t="s">
        <v>138</v>
      </c>
      <c r="BK1704" s="15" t="s">
        <v>32488</v>
      </c>
      <c r="BL1704" s="15" t="s">
        <v>32488</v>
      </c>
      <c r="BM1704" s="22">
        <v>41249</v>
      </c>
      <c r="BN1704" s="17">
        <v>0.05</v>
      </c>
      <c r="BO1704" s="15" t="s">
        <v>172</v>
      </c>
      <c r="BP1704" s="17">
        <v>0.7</v>
      </c>
      <c r="BQ1704" s="15" t="s">
        <v>172</v>
      </c>
      <c r="BR1704" s="15" t="s">
        <v>234</v>
      </c>
      <c r="BS1704" s="15" t="s">
        <v>234</v>
      </c>
      <c r="BT1704" s="15" t="s">
        <v>138</v>
      </c>
      <c r="BU1704" s="15" t="s">
        <v>174</v>
      </c>
      <c r="BV1704" s="15" t="s">
        <v>138</v>
      </c>
      <c r="BW1704" s="15" t="s">
        <v>138</v>
      </c>
      <c r="BX1704" s="15" t="s">
        <v>138</v>
      </c>
      <c r="BY1704" s="15" t="s">
        <v>175</v>
      </c>
      <c r="BZ1704" s="22">
        <v>43161</v>
      </c>
      <c r="CA1704" s="17">
        <v>26.02</v>
      </c>
      <c r="CB1704" s="15" t="s">
        <v>172</v>
      </c>
      <c r="CC1704" s="17">
        <v>115.02</v>
      </c>
      <c r="CD1704" s="15" t="s">
        <v>172</v>
      </c>
      <c r="CE1704" s="15" t="s">
        <v>173</v>
      </c>
      <c r="CF1704" s="15" t="s">
        <v>317</v>
      </c>
      <c r="CG1704" s="15" t="s">
        <v>138</v>
      </c>
      <c r="CH1704" s="15" t="s">
        <v>174</v>
      </c>
      <c r="CI1704" s="15" t="s">
        <v>138</v>
      </c>
      <c r="CJ1704" s="15" t="s">
        <v>138</v>
      </c>
      <c r="CK1704" s="15" t="s">
        <v>138</v>
      </c>
      <c r="CL1704" s="15" t="s">
        <v>175</v>
      </c>
      <c r="CM1704" s="22" t="s">
        <v>138</v>
      </c>
      <c r="CN1704" s="17" t="s">
        <v>138</v>
      </c>
      <c r="CO1704" s="23" t="s">
        <v>138</v>
      </c>
      <c r="CP1704" s="24" t="s">
        <v>138</v>
      </c>
      <c r="CQ1704" s="23" t="s">
        <v>138</v>
      </c>
      <c r="CR1704" s="23" t="s">
        <v>138</v>
      </c>
      <c r="CS1704" s="23" t="s">
        <v>138</v>
      </c>
      <c r="CT1704" s="24" t="s">
        <v>138</v>
      </c>
      <c r="CU1704" s="23" t="s">
        <v>138</v>
      </c>
      <c r="CV1704" s="24" t="s">
        <v>138</v>
      </c>
      <c r="CW1704" s="23" t="s">
        <v>138</v>
      </c>
      <c r="CX1704" s="24" t="s">
        <v>138</v>
      </c>
      <c r="CY1704" s="23" t="s">
        <v>138</v>
      </c>
      <c r="CZ1704" s="24" t="s">
        <v>138</v>
      </c>
      <c r="DA1704" s="23" t="s">
        <v>138</v>
      </c>
      <c r="DB1704" s="24" t="s">
        <v>138</v>
      </c>
      <c r="DC1704" s="25" t="s">
        <v>138</v>
      </c>
      <c r="DD1704" s="24" t="s">
        <v>138</v>
      </c>
      <c r="DE1704" s="25" t="s">
        <v>138</v>
      </c>
      <c r="DF1704" s="23" t="s">
        <v>138</v>
      </c>
      <c r="DG1704" s="25" t="s">
        <v>138</v>
      </c>
      <c r="DH1704" s="24" t="s">
        <v>138</v>
      </c>
      <c r="DI1704" s="25" t="s">
        <v>138</v>
      </c>
      <c r="DJ1704" s="24" t="s">
        <v>138</v>
      </c>
      <c r="DK1704" s="25" t="s">
        <v>138</v>
      </c>
      <c r="DL1704" s="24" t="s">
        <v>138</v>
      </c>
      <c r="DM1704" s="25" t="s">
        <v>138</v>
      </c>
      <c r="DN1704" s="24" t="s">
        <v>138</v>
      </c>
      <c r="DO1704" s="25" t="s">
        <v>138</v>
      </c>
      <c r="DP1704" s="24" t="s">
        <v>138</v>
      </c>
      <c r="DQ1704" s="24" t="s">
        <v>138</v>
      </c>
      <c r="DR1704" s="26" t="s">
        <v>138</v>
      </c>
      <c r="DS1704" s="23" t="s">
        <v>138</v>
      </c>
      <c r="DT1704" s="24" t="s">
        <v>138</v>
      </c>
      <c r="DU1704" s="26" t="s">
        <v>138</v>
      </c>
      <c r="DV1704" s="23" t="s">
        <v>138</v>
      </c>
      <c r="DW1704" s="24" t="s">
        <v>138</v>
      </c>
      <c r="DX1704" s="27" t="s">
        <v>138</v>
      </c>
      <c r="DY1704" s="23" t="s">
        <v>138</v>
      </c>
      <c r="DZ1704" s="15" t="s">
        <v>178</v>
      </c>
      <c r="EA1704" s="22">
        <v>43622</v>
      </c>
      <c r="EB1704" s="17">
        <v>115.02</v>
      </c>
      <c r="EC1704" s="22">
        <v>43161</v>
      </c>
      <c r="ED1704" s="15" t="s">
        <v>173</v>
      </c>
      <c r="EE1704" s="14" t="str">
        <f>HYPERLINK("https://my.pitchbook.com?c=58803-40", "View company online")</f>
        <v>View company online</v>
      </c>
    </row>
    <row r="1705" spans="1:135">
      <c r="A1705" s="28" t="s">
        <v>32489</v>
      </c>
      <c r="B1705" s="28" t="s">
        <v>32490</v>
      </c>
      <c r="C1705" s="28" t="s">
        <v>138</v>
      </c>
      <c r="D1705" s="28" t="s">
        <v>32491</v>
      </c>
      <c r="E1705" s="28" t="s">
        <v>32492</v>
      </c>
      <c r="F1705" s="28" t="s">
        <v>32489</v>
      </c>
      <c r="G1705" s="28" t="s">
        <v>32493</v>
      </c>
      <c r="H1705" s="28" t="s">
        <v>322</v>
      </c>
      <c r="I1705" s="28" t="s">
        <v>323</v>
      </c>
      <c r="J1705" s="28" t="s">
        <v>1235</v>
      </c>
      <c r="K1705" s="28" t="s">
        <v>32494</v>
      </c>
      <c r="L1705" s="28" t="s">
        <v>32495</v>
      </c>
      <c r="M1705" s="28" t="s">
        <v>32496</v>
      </c>
      <c r="N1705" s="28" t="s">
        <v>147</v>
      </c>
      <c r="O1705" s="29">
        <v>20</v>
      </c>
      <c r="P1705" s="28" t="s">
        <v>148</v>
      </c>
      <c r="Q1705" s="28" t="s">
        <v>149</v>
      </c>
      <c r="R1705" s="28" t="s">
        <v>174</v>
      </c>
      <c r="S1705" s="28" t="s">
        <v>32497</v>
      </c>
      <c r="T1705" s="30" t="s">
        <v>138</v>
      </c>
      <c r="U1705" s="28" t="s">
        <v>138</v>
      </c>
      <c r="V1705" s="28" t="s">
        <v>138</v>
      </c>
      <c r="W1705" s="28" t="s">
        <v>138</v>
      </c>
      <c r="X1705" s="31">
        <v>2006</v>
      </c>
      <c r="Y1705" s="28" t="s">
        <v>138</v>
      </c>
      <c r="Z1705" s="28" t="s">
        <v>138</v>
      </c>
      <c r="AA1705" s="28" t="s">
        <v>138</v>
      </c>
      <c r="AB1705" s="32" t="s">
        <v>138</v>
      </c>
      <c r="AC1705" s="32" t="s">
        <v>138</v>
      </c>
      <c r="AD1705" s="32" t="s">
        <v>138</v>
      </c>
      <c r="AE1705" s="32" t="s">
        <v>138</v>
      </c>
      <c r="AF1705" s="32" t="s">
        <v>138</v>
      </c>
      <c r="AG1705" s="28" t="s">
        <v>138</v>
      </c>
      <c r="AH1705" s="32" t="s">
        <v>138</v>
      </c>
      <c r="AI1705" s="32" t="s">
        <v>138</v>
      </c>
      <c r="AJ1705" s="32" t="s">
        <v>138</v>
      </c>
      <c r="AK1705" s="28" t="s">
        <v>32498</v>
      </c>
      <c r="AL1705" s="28" t="s">
        <v>32499</v>
      </c>
      <c r="AM1705" s="28" t="s">
        <v>27230</v>
      </c>
      <c r="AN1705" s="28" t="s">
        <v>32500</v>
      </c>
      <c r="AO1705" s="28" t="s">
        <v>32501</v>
      </c>
      <c r="AP1705" s="28" t="s">
        <v>423</v>
      </c>
      <c r="AQ1705" s="28" t="s">
        <v>32502</v>
      </c>
      <c r="AR1705" s="28" t="s">
        <v>138</v>
      </c>
      <c r="AS1705" s="28" t="s">
        <v>426</v>
      </c>
      <c r="AT1705" s="28" t="s">
        <v>426</v>
      </c>
      <c r="AU1705" s="28" t="s">
        <v>549</v>
      </c>
      <c r="AV1705" s="28" t="s">
        <v>162</v>
      </c>
      <c r="AW1705" s="28" t="s">
        <v>32501</v>
      </c>
      <c r="AX1705" s="28" t="s">
        <v>138</v>
      </c>
      <c r="AY1705" s="28" t="s">
        <v>32503</v>
      </c>
      <c r="AZ1705" s="28" t="s">
        <v>164</v>
      </c>
      <c r="BA1705" s="28" t="s">
        <v>165</v>
      </c>
      <c r="BB1705" s="28" t="s">
        <v>32504</v>
      </c>
      <c r="BC1705" s="28" t="s">
        <v>32505</v>
      </c>
      <c r="BD1705" s="33">
        <v>5</v>
      </c>
      <c r="BE1705" s="28" t="s">
        <v>138</v>
      </c>
      <c r="BF1705" s="28" t="s">
        <v>32506</v>
      </c>
      <c r="BG1705" s="28" t="s">
        <v>138</v>
      </c>
      <c r="BH1705" s="28" t="s">
        <v>32507</v>
      </c>
      <c r="BI1705" s="28" t="s">
        <v>32508</v>
      </c>
      <c r="BJ1705" s="28" t="s">
        <v>138</v>
      </c>
      <c r="BK1705" s="28" t="s">
        <v>32509</v>
      </c>
      <c r="BL1705" s="28" t="s">
        <v>138</v>
      </c>
      <c r="BM1705" s="34">
        <v>38808</v>
      </c>
      <c r="BN1705" s="29">
        <v>1</v>
      </c>
      <c r="BO1705" s="28" t="s">
        <v>172</v>
      </c>
      <c r="BP1705" s="29">
        <v>4</v>
      </c>
      <c r="BQ1705" s="28" t="s">
        <v>172</v>
      </c>
      <c r="BR1705" s="28" t="s">
        <v>205</v>
      </c>
      <c r="BS1705" s="28" t="s">
        <v>206</v>
      </c>
      <c r="BT1705" s="28" t="s">
        <v>138</v>
      </c>
      <c r="BU1705" s="28" t="s">
        <v>174</v>
      </c>
      <c r="BV1705" s="28" t="s">
        <v>138</v>
      </c>
      <c r="BW1705" s="28" t="s">
        <v>138</v>
      </c>
      <c r="BX1705" s="28" t="s">
        <v>138</v>
      </c>
      <c r="BY1705" s="28" t="s">
        <v>175</v>
      </c>
      <c r="BZ1705" s="34" t="s">
        <v>138</v>
      </c>
      <c r="CA1705" s="29" t="s">
        <v>138</v>
      </c>
      <c r="CB1705" s="28" t="s">
        <v>138</v>
      </c>
      <c r="CC1705" s="29" t="s">
        <v>138</v>
      </c>
      <c r="CD1705" s="28" t="s">
        <v>138</v>
      </c>
      <c r="CE1705" s="28" t="s">
        <v>379</v>
      </c>
      <c r="CF1705" s="28" t="s">
        <v>138</v>
      </c>
      <c r="CG1705" s="28" t="s">
        <v>138</v>
      </c>
      <c r="CH1705" s="28" t="s">
        <v>174</v>
      </c>
      <c r="CI1705" s="28" t="s">
        <v>138</v>
      </c>
      <c r="CJ1705" s="28" t="s">
        <v>138</v>
      </c>
      <c r="CK1705" s="28" t="s">
        <v>138</v>
      </c>
      <c r="CL1705" s="28" t="s">
        <v>175</v>
      </c>
      <c r="CM1705" s="34" t="s">
        <v>138</v>
      </c>
      <c r="CN1705" s="29" t="s">
        <v>138</v>
      </c>
      <c r="CO1705" s="35">
        <v>-1.99</v>
      </c>
      <c r="CP1705" s="36">
        <v>5</v>
      </c>
      <c r="CQ1705" s="35">
        <v>0</v>
      </c>
      <c r="CR1705" s="35">
        <v>-0.08</v>
      </c>
      <c r="CS1705" s="35">
        <v>-4.0199999999999996</v>
      </c>
      <c r="CT1705" s="36">
        <v>3</v>
      </c>
      <c r="CU1705" s="35">
        <v>0.04</v>
      </c>
      <c r="CV1705" s="36">
        <v>56</v>
      </c>
      <c r="CW1705" s="35" t="s">
        <v>138</v>
      </c>
      <c r="CX1705" s="36" t="s">
        <v>138</v>
      </c>
      <c r="CY1705" s="35">
        <v>-4.0199999999999996</v>
      </c>
      <c r="CZ1705" s="36">
        <v>5</v>
      </c>
      <c r="DA1705" s="35">
        <v>0.04</v>
      </c>
      <c r="DB1705" s="36">
        <v>62</v>
      </c>
      <c r="DC1705" s="37">
        <v>25.65</v>
      </c>
      <c r="DD1705" s="36">
        <v>96</v>
      </c>
      <c r="DE1705" s="37">
        <v>-0.04</v>
      </c>
      <c r="DF1705" s="35">
        <v>-0.15</v>
      </c>
      <c r="DG1705" s="37">
        <v>39.549999999999997</v>
      </c>
      <c r="DH1705" s="36">
        <v>98</v>
      </c>
      <c r="DI1705" s="37">
        <v>11.74</v>
      </c>
      <c r="DJ1705" s="36">
        <v>87</v>
      </c>
      <c r="DK1705" s="37" t="s">
        <v>138</v>
      </c>
      <c r="DL1705" s="36" t="s">
        <v>138</v>
      </c>
      <c r="DM1705" s="37">
        <v>39.549999999999997</v>
      </c>
      <c r="DN1705" s="36">
        <v>97</v>
      </c>
      <c r="DO1705" s="37">
        <v>11.74</v>
      </c>
      <c r="DP1705" s="36">
        <v>89</v>
      </c>
      <c r="DQ1705" s="36">
        <v>82</v>
      </c>
      <c r="DR1705" s="38">
        <v>-53</v>
      </c>
      <c r="DS1705" s="35">
        <v>-39.26</v>
      </c>
      <c r="DT1705" s="36">
        <v>1148</v>
      </c>
      <c r="DU1705" s="38">
        <v>-2</v>
      </c>
      <c r="DV1705" s="35">
        <v>-0.17</v>
      </c>
      <c r="DW1705" s="36">
        <v>4202</v>
      </c>
      <c r="DX1705" s="39">
        <v>-3</v>
      </c>
      <c r="DY1705" s="35">
        <v>-7.0000000000000007E-2</v>
      </c>
      <c r="DZ1705" s="28" t="s">
        <v>178</v>
      </c>
      <c r="EA1705" s="34">
        <v>43535</v>
      </c>
      <c r="EB1705" s="29">
        <v>34.340000000000003</v>
      </c>
      <c r="EC1705" s="34">
        <v>39667</v>
      </c>
      <c r="ED1705" s="28" t="s">
        <v>205</v>
      </c>
      <c r="EE1705" s="40" t="str">
        <f>HYPERLINK("https://my.pitchbook.com?c=52922-80", "View company online")</f>
        <v>View company online</v>
      </c>
    </row>
    <row r="1706" spans="1:135">
      <c r="A1706" s="15" t="s">
        <v>32510</v>
      </c>
      <c r="B1706" s="15" t="s">
        <v>32511</v>
      </c>
      <c r="C1706" s="15" t="s">
        <v>138</v>
      </c>
      <c r="D1706" s="15" t="s">
        <v>138</v>
      </c>
      <c r="E1706" s="15" t="s">
        <v>138</v>
      </c>
      <c r="F1706" s="15" t="s">
        <v>32510</v>
      </c>
      <c r="G1706" s="15" t="s">
        <v>32512</v>
      </c>
      <c r="H1706" s="15" t="s">
        <v>238</v>
      </c>
      <c r="I1706" s="15" t="s">
        <v>749</v>
      </c>
      <c r="J1706" s="15" t="s">
        <v>4261</v>
      </c>
      <c r="K1706" s="15" t="s">
        <v>32513</v>
      </c>
      <c r="L1706" s="15" t="s">
        <v>272</v>
      </c>
      <c r="M1706" s="15" t="s">
        <v>32514</v>
      </c>
      <c r="N1706" s="15" t="s">
        <v>147</v>
      </c>
      <c r="O1706" s="17">
        <v>2.15</v>
      </c>
      <c r="P1706" s="15" t="s">
        <v>610</v>
      </c>
      <c r="Q1706" s="15" t="s">
        <v>149</v>
      </c>
      <c r="R1706" s="15" t="s">
        <v>174</v>
      </c>
      <c r="S1706" s="15" t="s">
        <v>32515</v>
      </c>
      <c r="T1706" s="18">
        <v>1</v>
      </c>
      <c r="U1706" s="15" t="s">
        <v>32516</v>
      </c>
      <c r="V1706" s="15" t="s">
        <v>138</v>
      </c>
      <c r="W1706" s="15" t="s">
        <v>138</v>
      </c>
      <c r="X1706" s="19">
        <v>2013</v>
      </c>
      <c r="Y1706" s="15" t="s">
        <v>138</v>
      </c>
      <c r="Z1706" s="15" t="s">
        <v>138</v>
      </c>
      <c r="AA1706" s="15" t="s">
        <v>138</v>
      </c>
      <c r="AB1706" s="20" t="s">
        <v>138</v>
      </c>
      <c r="AC1706" s="20" t="s">
        <v>138</v>
      </c>
      <c r="AD1706" s="20" t="s">
        <v>138</v>
      </c>
      <c r="AE1706" s="20" t="s">
        <v>138</v>
      </c>
      <c r="AF1706" s="20" t="s">
        <v>138</v>
      </c>
      <c r="AG1706" s="15" t="s">
        <v>138</v>
      </c>
      <c r="AH1706" s="20" t="s">
        <v>138</v>
      </c>
      <c r="AI1706" s="20" t="s">
        <v>138</v>
      </c>
      <c r="AJ1706" s="20" t="s">
        <v>138</v>
      </c>
      <c r="AK1706" s="15" t="s">
        <v>32517</v>
      </c>
      <c r="AL1706" s="15" t="s">
        <v>32518</v>
      </c>
      <c r="AM1706" s="15" t="s">
        <v>18837</v>
      </c>
      <c r="AN1706" s="15" t="s">
        <v>32519</v>
      </c>
      <c r="AO1706" s="15" t="s">
        <v>32520</v>
      </c>
      <c r="AP1706" s="15" t="s">
        <v>32521</v>
      </c>
      <c r="AQ1706" s="15" t="s">
        <v>32522</v>
      </c>
      <c r="AR1706" s="15" t="s">
        <v>138</v>
      </c>
      <c r="AS1706" s="15" t="s">
        <v>32523</v>
      </c>
      <c r="AT1706" s="15" t="s">
        <v>864</v>
      </c>
      <c r="AU1706" s="15" t="s">
        <v>32524</v>
      </c>
      <c r="AV1706" s="15" t="s">
        <v>162</v>
      </c>
      <c r="AW1706" s="15" t="s">
        <v>32520</v>
      </c>
      <c r="AX1706" s="15" t="s">
        <v>138</v>
      </c>
      <c r="AY1706" s="15" t="s">
        <v>32525</v>
      </c>
      <c r="AZ1706" s="15" t="s">
        <v>164</v>
      </c>
      <c r="BA1706" s="15" t="s">
        <v>165</v>
      </c>
      <c r="BB1706" s="15" t="s">
        <v>32526</v>
      </c>
      <c r="BC1706" s="15" t="s">
        <v>32527</v>
      </c>
      <c r="BD1706" s="21">
        <v>2</v>
      </c>
      <c r="BE1706" s="15" t="s">
        <v>138</v>
      </c>
      <c r="BF1706" s="15" t="s">
        <v>138</v>
      </c>
      <c r="BG1706" s="15" t="s">
        <v>138</v>
      </c>
      <c r="BH1706" s="15" t="s">
        <v>1013</v>
      </c>
      <c r="BI1706" s="15" t="s">
        <v>138</v>
      </c>
      <c r="BJ1706" s="15" t="s">
        <v>138</v>
      </c>
      <c r="BK1706" s="15" t="s">
        <v>138</v>
      </c>
      <c r="BL1706" s="15" t="s">
        <v>138</v>
      </c>
      <c r="BM1706" s="22">
        <v>41337</v>
      </c>
      <c r="BN1706" s="17">
        <v>0.3</v>
      </c>
      <c r="BO1706" s="15" t="s">
        <v>172</v>
      </c>
      <c r="BP1706" s="17">
        <v>0.95</v>
      </c>
      <c r="BQ1706" s="15" t="s">
        <v>172</v>
      </c>
      <c r="BR1706" s="15" t="s">
        <v>205</v>
      </c>
      <c r="BS1706" s="15" t="s">
        <v>623</v>
      </c>
      <c r="BT1706" s="15" t="s">
        <v>138</v>
      </c>
      <c r="BU1706" s="15" t="s">
        <v>174</v>
      </c>
      <c r="BV1706" s="15" t="s">
        <v>138</v>
      </c>
      <c r="BW1706" s="15" t="s">
        <v>138</v>
      </c>
      <c r="BX1706" s="15" t="s">
        <v>138</v>
      </c>
      <c r="BY1706" s="15" t="s">
        <v>175</v>
      </c>
      <c r="BZ1706" s="22">
        <v>41761</v>
      </c>
      <c r="CA1706" s="17">
        <v>1.85</v>
      </c>
      <c r="CB1706" s="15" t="s">
        <v>172</v>
      </c>
      <c r="CC1706" s="17">
        <v>5.43</v>
      </c>
      <c r="CD1706" s="15" t="s">
        <v>172</v>
      </c>
      <c r="CE1706" s="15" t="s">
        <v>205</v>
      </c>
      <c r="CF1706" s="15" t="s">
        <v>1727</v>
      </c>
      <c r="CG1706" s="15" t="s">
        <v>138</v>
      </c>
      <c r="CH1706" s="15" t="s">
        <v>174</v>
      </c>
      <c r="CI1706" s="15" t="s">
        <v>138</v>
      </c>
      <c r="CJ1706" s="15" t="s">
        <v>138</v>
      </c>
      <c r="CK1706" s="15" t="s">
        <v>138</v>
      </c>
      <c r="CL1706" s="15" t="s">
        <v>175</v>
      </c>
      <c r="CM1706" s="22" t="s">
        <v>138</v>
      </c>
      <c r="CN1706" s="17" t="s">
        <v>138</v>
      </c>
      <c r="CO1706" s="23">
        <v>0.02</v>
      </c>
      <c r="CP1706" s="24">
        <v>85</v>
      </c>
      <c r="CQ1706" s="23">
        <v>0</v>
      </c>
      <c r="CR1706" s="23">
        <v>0</v>
      </c>
      <c r="CS1706" s="23">
        <v>0</v>
      </c>
      <c r="CT1706" s="24">
        <v>23</v>
      </c>
      <c r="CU1706" s="23">
        <v>0.04</v>
      </c>
      <c r="CV1706" s="24">
        <v>56</v>
      </c>
      <c r="CW1706" s="23" t="s">
        <v>138</v>
      </c>
      <c r="CX1706" s="24" t="s">
        <v>138</v>
      </c>
      <c r="CY1706" s="23">
        <v>0</v>
      </c>
      <c r="CZ1706" s="24">
        <v>25</v>
      </c>
      <c r="DA1706" s="23">
        <v>0.1</v>
      </c>
      <c r="DB1706" s="24">
        <v>72</v>
      </c>
      <c r="DC1706" s="25">
        <v>2.8</v>
      </c>
      <c r="DD1706" s="24">
        <v>74</v>
      </c>
      <c r="DE1706" s="25">
        <v>-0.02</v>
      </c>
      <c r="DF1706" s="23">
        <v>-0.64</v>
      </c>
      <c r="DG1706" s="25">
        <v>2.0699999999999998</v>
      </c>
      <c r="DH1706" s="24">
        <v>67</v>
      </c>
      <c r="DI1706" s="25">
        <v>3.53</v>
      </c>
      <c r="DJ1706" s="24">
        <v>72</v>
      </c>
      <c r="DK1706" s="25" t="s">
        <v>138</v>
      </c>
      <c r="DL1706" s="24" t="s">
        <v>138</v>
      </c>
      <c r="DM1706" s="25">
        <v>2.0699999999999998</v>
      </c>
      <c r="DN1706" s="24">
        <v>66</v>
      </c>
      <c r="DO1706" s="25">
        <v>0.68</v>
      </c>
      <c r="DP1706" s="24">
        <v>43</v>
      </c>
      <c r="DQ1706" s="24" t="s">
        <v>138</v>
      </c>
      <c r="DR1706" s="26" t="s">
        <v>138</v>
      </c>
      <c r="DS1706" s="23" t="s">
        <v>138</v>
      </c>
      <c r="DT1706" s="24">
        <v>60</v>
      </c>
      <c r="DU1706" s="26">
        <v>-1</v>
      </c>
      <c r="DV1706" s="23">
        <v>-1.64</v>
      </c>
      <c r="DW1706" s="24">
        <v>245</v>
      </c>
      <c r="DX1706" s="27">
        <v>0</v>
      </c>
      <c r="DY1706" s="23">
        <v>0</v>
      </c>
      <c r="DZ1706" s="15" t="s">
        <v>178</v>
      </c>
      <c r="EA1706" s="22">
        <v>43381</v>
      </c>
      <c r="EB1706" s="17">
        <v>5.43</v>
      </c>
      <c r="EC1706" s="22">
        <v>41761</v>
      </c>
      <c r="ED1706" s="15" t="s">
        <v>205</v>
      </c>
      <c r="EE1706" s="14" t="str">
        <f>HYPERLINK("https://my.pitchbook.com?c=149992-93", "View company online")</f>
        <v>View company online</v>
      </c>
    </row>
    <row r="1707" spans="1:135">
      <c r="A1707" s="28" t="s">
        <v>32528</v>
      </c>
      <c r="B1707" s="28" t="s">
        <v>32529</v>
      </c>
      <c r="C1707" s="28" t="s">
        <v>138</v>
      </c>
      <c r="D1707" s="28" t="s">
        <v>138</v>
      </c>
      <c r="E1707" s="28" t="s">
        <v>138</v>
      </c>
      <c r="F1707" s="28" t="s">
        <v>32528</v>
      </c>
      <c r="G1707" s="28" t="s">
        <v>32530</v>
      </c>
      <c r="H1707" s="28" t="s">
        <v>322</v>
      </c>
      <c r="I1707" s="28" t="s">
        <v>1503</v>
      </c>
      <c r="J1707" s="28" t="s">
        <v>1504</v>
      </c>
      <c r="K1707" s="28" t="s">
        <v>32531</v>
      </c>
      <c r="L1707" s="28" t="s">
        <v>359</v>
      </c>
      <c r="M1707" s="28" t="s">
        <v>32532</v>
      </c>
      <c r="N1707" s="28" t="s">
        <v>147</v>
      </c>
      <c r="O1707" s="29">
        <v>6.83</v>
      </c>
      <c r="P1707" s="28" t="s">
        <v>148</v>
      </c>
      <c r="Q1707" s="28" t="s">
        <v>149</v>
      </c>
      <c r="R1707" s="28" t="s">
        <v>174</v>
      </c>
      <c r="S1707" s="28" t="s">
        <v>32533</v>
      </c>
      <c r="T1707" s="30">
        <v>18</v>
      </c>
      <c r="U1707" s="28" t="s">
        <v>8022</v>
      </c>
      <c r="V1707" s="28" t="s">
        <v>138</v>
      </c>
      <c r="W1707" s="28" t="s">
        <v>138</v>
      </c>
      <c r="X1707" s="31">
        <v>2008</v>
      </c>
      <c r="Y1707" s="28" t="s">
        <v>138</v>
      </c>
      <c r="Z1707" s="28" t="s">
        <v>138</v>
      </c>
      <c r="AA1707" s="28" t="s">
        <v>138</v>
      </c>
      <c r="AB1707" s="32" t="s">
        <v>138</v>
      </c>
      <c r="AC1707" s="32" t="s">
        <v>138</v>
      </c>
      <c r="AD1707" s="32" t="s">
        <v>138</v>
      </c>
      <c r="AE1707" s="32" t="s">
        <v>138</v>
      </c>
      <c r="AF1707" s="32" t="s">
        <v>138</v>
      </c>
      <c r="AG1707" s="28" t="s">
        <v>138</v>
      </c>
      <c r="AH1707" s="32" t="s">
        <v>138</v>
      </c>
      <c r="AI1707" s="32" t="s">
        <v>138</v>
      </c>
      <c r="AJ1707" s="32" t="s">
        <v>138</v>
      </c>
      <c r="AK1707" s="28" t="s">
        <v>32534</v>
      </c>
      <c r="AL1707" s="28" t="s">
        <v>32535</v>
      </c>
      <c r="AM1707" s="28" t="s">
        <v>21615</v>
      </c>
      <c r="AN1707" s="28" t="s">
        <v>138</v>
      </c>
      <c r="AO1707" s="28" t="s">
        <v>138</v>
      </c>
      <c r="AP1707" s="28" t="s">
        <v>32536</v>
      </c>
      <c r="AQ1707" s="28" t="s">
        <v>32537</v>
      </c>
      <c r="AR1707" s="28" t="s">
        <v>138</v>
      </c>
      <c r="AS1707" s="28" t="s">
        <v>32538</v>
      </c>
      <c r="AT1707" s="28" t="s">
        <v>13654</v>
      </c>
      <c r="AU1707" s="28" t="s">
        <v>32539</v>
      </c>
      <c r="AV1707" s="28" t="s">
        <v>8999</v>
      </c>
      <c r="AW1707" s="28" t="s">
        <v>32540</v>
      </c>
      <c r="AX1707" s="28" t="s">
        <v>32541</v>
      </c>
      <c r="AY1707" s="28" t="s">
        <v>32542</v>
      </c>
      <c r="AZ1707" s="28" t="s">
        <v>9001</v>
      </c>
      <c r="BA1707" s="28" t="s">
        <v>9001</v>
      </c>
      <c r="BB1707" s="28" t="s">
        <v>32543</v>
      </c>
      <c r="BC1707" s="28" t="s">
        <v>32544</v>
      </c>
      <c r="BD1707" s="33">
        <v>6</v>
      </c>
      <c r="BE1707" s="28" t="s">
        <v>138</v>
      </c>
      <c r="BF1707" s="28" t="s">
        <v>138</v>
      </c>
      <c r="BG1707" s="28" t="s">
        <v>138</v>
      </c>
      <c r="BH1707" s="28" t="s">
        <v>32545</v>
      </c>
      <c r="BI1707" s="28" t="s">
        <v>138</v>
      </c>
      <c r="BJ1707" s="28" t="s">
        <v>138</v>
      </c>
      <c r="BK1707" s="28" t="s">
        <v>138</v>
      </c>
      <c r="BL1707" s="28" t="s">
        <v>8799</v>
      </c>
      <c r="BM1707" s="34">
        <v>39530</v>
      </c>
      <c r="BN1707" s="29">
        <v>2.77</v>
      </c>
      <c r="BO1707" s="28" t="s">
        <v>172</v>
      </c>
      <c r="BP1707" s="29" t="s">
        <v>138</v>
      </c>
      <c r="BQ1707" s="28" t="s">
        <v>138</v>
      </c>
      <c r="BR1707" s="28" t="s">
        <v>205</v>
      </c>
      <c r="BS1707" s="28" t="s">
        <v>206</v>
      </c>
      <c r="BT1707" s="28" t="s">
        <v>138</v>
      </c>
      <c r="BU1707" s="28" t="s">
        <v>174</v>
      </c>
      <c r="BV1707" s="28" t="s">
        <v>138</v>
      </c>
      <c r="BW1707" s="28" t="s">
        <v>138</v>
      </c>
      <c r="BX1707" s="28" t="s">
        <v>138</v>
      </c>
      <c r="BY1707" s="28" t="s">
        <v>175</v>
      </c>
      <c r="BZ1707" s="34">
        <v>40413</v>
      </c>
      <c r="CA1707" s="29">
        <v>4.05</v>
      </c>
      <c r="CB1707" s="28" t="s">
        <v>172</v>
      </c>
      <c r="CC1707" s="29" t="s">
        <v>138</v>
      </c>
      <c r="CD1707" s="28" t="s">
        <v>138</v>
      </c>
      <c r="CE1707" s="28" t="s">
        <v>205</v>
      </c>
      <c r="CF1707" s="28" t="s">
        <v>1727</v>
      </c>
      <c r="CG1707" s="28" t="s">
        <v>138</v>
      </c>
      <c r="CH1707" s="28" t="s">
        <v>174</v>
      </c>
      <c r="CI1707" s="28" t="s">
        <v>138</v>
      </c>
      <c r="CJ1707" s="28" t="s">
        <v>138</v>
      </c>
      <c r="CK1707" s="28" t="s">
        <v>138</v>
      </c>
      <c r="CL1707" s="28" t="s">
        <v>175</v>
      </c>
      <c r="CM1707" s="34">
        <v>39530</v>
      </c>
      <c r="CN1707" s="29" t="s">
        <v>138</v>
      </c>
      <c r="CO1707" s="35">
        <v>0</v>
      </c>
      <c r="CP1707" s="36">
        <v>26</v>
      </c>
      <c r="CQ1707" s="35">
        <v>0</v>
      </c>
      <c r="CR1707" s="35">
        <v>0</v>
      </c>
      <c r="CS1707" s="35">
        <v>0</v>
      </c>
      <c r="CT1707" s="36">
        <v>23</v>
      </c>
      <c r="CU1707" s="35">
        <v>0</v>
      </c>
      <c r="CV1707" s="36">
        <v>22</v>
      </c>
      <c r="CW1707" s="35" t="s">
        <v>138</v>
      </c>
      <c r="CX1707" s="36" t="s">
        <v>138</v>
      </c>
      <c r="CY1707" s="35">
        <v>0</v>
      </c>
      <c r="CZ1707" s="36">
        <v>25</v>
      </c>
      <c r="DA1707" s="35" t="s">
        <v>138</v>
      </c>
      <c r="DB1707" s="36" t="s">
        <v>138</v>
      </c>
      <c r="DC1707" s="37">
        <v>1.03</v>
      </c>
      <c r="DD1707" s="36">
        <v>52</v>
      </c>
      <c r="DE1707" s="37">
        <v>0</v>
      </c>
      <c r="DF1707" s="35">
        <v>0</v>
      </c>
      <c r="DG1707" s="37">
        <v>2.0299999999999998</v>
      </c>
      <c r="DH1707" s="36">
        <v>67</v>
      </c>
      <c r="DI1707" s="37">
        <v>0.04</v>
      </c>
      <c r="DJ1707" s="36">
        <v>7</v>
      </c>
      <c r="DK1707" s="37" t="s">
        <v>138</v>
      </c>
      <c r="DL1707" s="36" t="s">
        <v>138</v>
      </c>
      <c r="DM1707" s="37">
        <v>2.0299999999999998</v>
      </c>
      <c r="DN1707" s="36">
        <v>66</v>
      </c>
      <c r="DO1707" s="37" t="s">
        <v>138</v>
      </c>
      <c r="DP1707" s="36" t="s">
        <v>138</v>
      </c>
      <c r="DQ1707" s="36" t="s">
        <v>138</v>
      </c>
      <c r="DR1707" s="38" t="s">
        <v>138</v>
      </c>
      <c r="DS1707" s="35" t="s">
        <v>138</v>
      </c>
      <c r="DT1707" s="36">
        <v>59</v>
      </c>
      <c r="DU1707" s="38">
        <v>1</v>
      </c>
      <c r="DV1707" s="35">
        <v>1.72</v>
      </c>
      <c r="DW1707" s="36" t="s">
        <v>138</v>
      </c>
      <c r="DX1707" s="39" t="s">
        <v>138</v>
      </c>
      <c r="DY1707" s="35" t="s">
        <v>138</v>
      </c>
      <c r="DZ1707" s="28" t="s">
        <v>178</v>
      </c>
      <c r="EA1707" s="34">
        <v>43351</v>
      </c>
      <c r="EB1707" s="29" t="s">
        <v>138</v>
      </c>
      <c r="EC1707" s="34" t="s">
        <v>138</v>
      </c>
      <c r="ED1707" s="28" t="s">
        <v>138</v>
      </c>
      <c r="EE1707" s="40" t="str">
        <f>HYPERLINK("https://my.pitchbook.com?c=54699-49", "View company online")</f>
        <v>View company online</v>
      </c>
    </row>
    <row r="1708" spans="1:135">
      <c r="A1708" s="15" t="s">
        <v>32546</v>
      </c>
      <c r="B1708" s="15" t="s">
        <v>32547</v>
      </c>
      <c r="C1708" s="15" t="s">
        <v>138</v>
      </c>
      <c r="D1708" s="15" t="s">
        <v>138</v>
      </c>
      <c r="E1708" s="15" t="s">
        <v>32548</v>
      </c>
      <c r="F1708" s="15" t="s">
        <v>32546</v>
      </c>
      <c r="G1708" s="15" t="s">
        <v>32549</v>
      </c>
      <c r="H1708" s="15" t="s">
        <v>322</v>
      </c>
      <c r="I1708" s="15" t="s">
        <v>323</v>
      </c>
      <c r="J1708" s="15" t="s">
        <v>413</v>
      </c>
      <c r="K1708" s="15" t="s">
        <v>874</v>
      </c>
      <c r="L1708" s="15" t="s">
        <v>2641</v>
      </c>
      <c r="M1708" s="15" t="s">
        <v>32550</v>
      </c>
      <c r="N1708" s="15" t="s">
        <v>147</v>
      </c>
      <c r="O1708" s="17">
        <v>13.5</v>
      </c>
      <c r="P1708" s="15" t="s">
        <v>148</v>
      </c>
      <c r="Q1708" s="15" t="s">
        <v>149</v>
      </c>
      <c r="R1708" s="15" t="s">
        <v>174</v>
      </c>
      <c r="S1708" s="15" t="s">
        <v>32551</v>
      </c>
      <c r="T1708" s="18" t="s">
        <v>138</v>
      </c>
      <c r="U1708" s="15" t="s">
        <v>138</v>
      </c>
      <c r="V1708" s="15" t="s">
        <v>138</v>
      </c>
      <c r="W1708" s="15" t="s">
        <v>138</v>
      </c>
      <c r="X1708" s="19">
        <v>2016</v>
      </c>
      <c r="Y1708" s="15" t="s">
        <v>138</v>
      </c>
      <c r="Z1708" s="15" t="s">
        <v>138</v>
      </c>
      <c r="AA1708" s="15" t="s">
        <v>138</v>
      </c>
      <c r="AB1708" s="20" t="s">
        <v>138</v>
      </c>
      <c r="AC1708" s="20" t="s">
        <v>138</v>
      </c>
      <c r="AD1708" s="20" t="s">
        <v>138</v>
      </c>
      <c r="AE1708" s="20" t="s">
        <v>138</v>
      </c>
      <c r="AF1708" s="20" t="s">
        <v>138</v>
      </c>
      <c r="AG1708" s="15" t="s">
        <v>138</v>
      </c>
      <c r="AH1708" s="20" t="s">
        <v>138</v>
      </c>
      <c r="AI1708" s="20" t="s">
        <v>138</v>
      </c>
      <c r="AJ1708" s="20" t="s">
        <v>138</v>
      </c>
      <c r="AK1708" s="15" t="s">
        <v>32552</v>
      </c>
      <c r="AL1708" s="15" t="s">
        <v>32553</v>
      </c>
      <c r="AM1708" s="15" t="s">
        <v>938</v>
      </c>
      <c r="AN1708" s="15" t="s">
        <v>32554</v>
      </c>
      <c r="AO1708" s="15" t="s">
        <v>138</v>
      </c>
      <c r="AP1708" s="15" t="s">
        <v>5697</v>
      </c>
      <c r="AQ1708" s="15" t="s">
        <v>32555</v>
      </c>
      <c r="AR1708" s="15" t="s">
        <v>138</v>
      </c>
      <c r="AS1708" s="15" t="s">
        <v>5700</v>
      </c>
      <c r="AT1708" s="15" t="s">
        <v>138</v>
      </c>
      <c r="AU1708" s="15" t="s">
        <v>138</v>
      </c>
      <c r="AV1708" s="15" t="s">
        <v>740</v>
      </c>
      <c r="AW1708" s="15" t="s">
        <v>138</v>
      </c>
      <c r="AX1708" s="15" t="s">
        <v>138</v>
      </c>
      <c r="AY1708" s="15" t="s">
        <v>138</v>
      </c>
      <c r="AZ1708" s="15" t="s">
        <v>742</v>
      </c>
      <c r="BA1708" s="15" t="s">
        <v>742</v>
      </c>
      <c r="BB1708" s="15" t="s">
        <v>32556</v>
      </c>
      <c r="BC1708" s="15" t="s">
        <v>32557</v>
      </c>
      <c r="BD1708" s="21">
        <v>7</v>
      </c>
      <c r="BE1708" s="15" t="s">
        <v>138</v>
      </c>
      <c r="BF1708" s="15" t="s">
        <v>138</v>
      </c>
      <c r="BG1708" s="15" t="s">
        <v>138</v>
      </c>
      <c r="BH1708" s="15" t="s">
        <v>32558</v>
      </c>
      <c r="BI1708" s="15" t="s">
        <v>138</v>
      </c>
      <c r="BJ1708" s="15" t="s">
        <v>138</v>
      </c>
      <c r="BK1708" s="15" t="s">
        <v>138</v>
      </c>
      <c r="BL1708" s="15" t="s">
        <v>138</v>
      </c>
      <c r="BM1708" s="22">
        <v>43070</v>
      </c>
      <c r="BN1708" s="17">
        <v>2.5</v>
      </c>
      <c r="BO1708" s="15" t="s">
        <v>172</v>
      </c>
      <c r="BP1708" s="17" t="s">
        <v>138</v>
      </c>
      <c r="BQ1708" s="15" t="s">
        <v>138</v>
      </c>
      <c r="BR1708" s="15" t="s">
        <v>234</v>
      </c>
      <c r="BS1708" s="15" t="s">
        <v>234</v>
      </c>
      <c r="BT1708" s="15" t="s">
        <v>138</v>
      </c>
      <c r="BU1708" s="15" t="s">
        <v>174</v>
      </c>
      <c r="BV1708" s="15" t="s">
        <v>138</v>
      </c>
      <c r="BW1708" s="15" t="s">
        <v>138</v>
      </c>
      <c r="BX1708" s="15" t="s">
        <v>138</v>
      </c>
      <c r="BY1708" s="15" t="s">
        <v>175</v>
      </c>
      <c r="BZ1708" s="22">
        <v>43579</v>
      </c>
      <c r="CA1708" s="17">
        <v>11</v>
      </c>
      <c r="CB1708" s="15" t="s">
        <v>172</v>
      </c>
      <c r="CC1708" s="17" t="s">
        <v>138</v>
      </c>
      <c r="CD1708" s="15" t="s">
        <v>138</v>
      </c>
      <c r="CE1708" s="15" t="s">
        <v>205</v>
      </c>
      <c r="CF1708" s="15" t="s">
        <v>206</v>
      </c>
      <c r="CG1708" s="15" t="s">
        <v>138</v>
      </c>
      <c r="CH1708" s="15" t="s">
        <v>174</v>
      </c>
      <c r="CI1708" s="15" t="s">
        <v>138</v>
      </c>
      <c r="CJ1708" s="15" t="s">
        <v>138</v>
      </c>
      <c r="CK1708" s="15" t="s">
        <v>138</v>
      </c>
      <c r="CL1708" s="15" t="s">
        <v>175</v>
      </c>
      <c r="CM1708" s="22" t="s">
        <v>138</v>
      </c>
      <c r="CN1708" s="17" t="s">
        <v>138</v>
      </c>
      <c r="CO1708" s="23">
        <v>0.67</v>
      </c>
      <c r="CP1708" s="24">
        <v>96</v>
      </c>
      <c r="CQ1708" s="23">
        <v>0</v>
      </c>
      <c r="CR1708" s="23">
        <v>-0.39</v>
      </c>
      <c r="CS1708" s="23">
        <v>0</v>
      </c>
      <c r="CT1708" s="24">
        <v>23</v>
      </c>
      <c r="CU1708" s="23">
        <v>1.34</v>
      </c>
      <c r="CV1708" s="24">
        <v>99</v>
      </c>
      <c r="CW1708" s="23" t="s">
        <v>138</v>
      </c>
      <c r="CX1708" s="24" t="s">
        <v>138</v>
      </c>
      <c r="CY1708" s="23">
        <v>0</v>
      </c>
      <c r="CZ1708" s="24">
        <v>25</v>
      </c>
      <c r="DA1708" s="23">
        <v>1.34</v>
      </c>
      <c r="DB1708" s="24">
        <v>99</v>
      </c>
      <c r="DC1708" s="25">
        <v>1.43</v>
      </c>
      <c r="DD1708" s="24">
        <v>60</v>
      </c>
      <c r="DE1708" s="25">
        <v>0.04</v>
      </c>
      <c r="DF1708" s="23">
        <v>2.63</v>
      </c>
      <c r="DG1708" s="25">
        <v>2.1</v>
      </c>
      <c r="DH1708" s="24">
        <v>68</v>
      </c>
      <c r="DI1708" s="25">
        <v>0.75</v>
      </c>
      <c r="DJ1708" s="24">
        <v>44</v>
      </c>
      <c r="DK1708" s="25" t="s">
        <v>138</v>
      </c>
      <c r="DL1708" s="24" t="s">
        <v>138</v>
      </c>
      <c r="DM1708" s="25">
        <v>2.1</v>
      </c>
      <c r="DN1708" s="24">
        <v>67</v>
      </c>
      <c r="DO1708" s="25">
        <v>0.75</v>
      </c>
      <c r="DP1708" s="24">
        <v>45</v>
      </c>
      <c r="DQ1708" s="24" t="s">
        <v>138</v>
      </c>
      <c r="DR1708" s="26" t="s">
        <v>138</v>
      </c>
      <c r="DS1708" s="23" t="s">
        <v>138</v>
      </c>
      <c r="DT1708" s="24">
        <v>60</v>
      </c>
      <c r="DU1708" s="26">
        <v>1</v>
      </c>
      <c r="DV1708" s="23">
        <v>1.69</v>
      </c>
      <c r="DW1708" s="24">
        <v>268</v>
      </c>
      <c r="DX1708" s="27">
        <v>1</v>
      </c>
      <c r="DY1708" s="23">
        <v>0.37</v>
      </c>
      <c r="DZ1708" s="15" t="s">
        <v>178</v>
      </c>
      <c r="EA1708" s="22">
        <v>43609</v>
      </c>
      <c r="EB1708" s="17" t="s">
        <v>138</v>
      </c>
      <c r="EC1708" s="22" t="s">
        <v>138</v>
      </c>
      <c r="ED1708" s="15" t="s">
        <v>138</v>
      </c>
      <c r="EE1708" s="14" t="str">
        <f>HYPERLINK("https://my.pitchbook.com?c=181748-17", "View company online")</f>
        <v>View company online</v>
      </c>
    </row>
    <row r="1709" spans="1:135">
      <c r="A1709" s="28" t="s">
        <v>32559</v>
      </c>
      <c r="B1709" s="28" t="s">
        <v>32560</v>
      </c>
      <c r="C1709" s="28" t="s">
        <v>138</v>
      </c>
      <c r="D1709" s="28" t="s">
        <v>138</v>
      </c>
      <c r="E1709" s="28" t="s">
        <v>32561</v>
      </c>
      <c r="F1709" s="28" t="s">
        <v>32559</v>
      </c>
      <c r="G1709" s="28" t="s">
        <v>32562</v>
      </c>
      <c r="H1709" s="28" t="s">
        <v>238</v>
      </c>
      <c r="I1709" s="28" t="s">
        <v>239</v>
      </c>
      <c r="J1709" s="28" t="s">
        <v>8328</v>
      </c>
      <c r="K1709" s="28" t="s">
        <v>32563</v>
      </c>
      <c r="L1709" s="28" t="s">
        <v>4703</v>
      </c>
      <c r="M1709" s="28" t="s">
        <v>32564</v>
      </c>
      <c r="N1709" s="28" t="s">
        <v>147</v>
      </c>
      <c r="O1709" s="29">
        <v>49.29</v>
      </c>
      <c r="P1709" s="28" t="s">
        <v>148</v>
      </c>
      <c r="Q1709" s="28" t="s">
        <v>149</v>
      </c>
      <c r="R1709" s="28" t="s">
        <v>174</v>
      </c>
      <c r="S1709" s="28" t="s">
        <v>32565</v>
      </c>
      <c r="T1709" s="30">
        <v>72</v>
      </c>
      <c r="U1709" s="28" t="s">
        <v>32566</v>
      </c>
      <c r="V1709" s="28" t="s">
        <v>138</v>
      </c>
      <c r="W1709" s="28" t="s">
        <v>138</v>
      </c>
      <c r="X1709" s="31">
        <v>2011</v>
      </c>
      <c r="Y1709" s="28" t="s">
        <v>138</v>
      </c>
      <c r="Z1709" s="28" t="s">
        <v>138</v>
      </c>
      <c r="AA1709" s="28" t="s">
        <v>138</v>
      </c>
      <c r="AB1709" s="32" t="s">
        <v>138</v>
      </c>
      <c r="AC1709" s="32" t="s">
        <v>138</v>
      </c>
      <c r="AD1709" s="32" t="s">
        <v>138</v>
      </c>
      <c r="AE1709" s="32" t="s">
        <v>138</v>
      </c>
      <c r="AF1709" s="32" t="s">
        <v>138</v>
      </c>
      <c r="AG1709" s="28" t="s">
        <v>138</v>
      </c>
      <c r="AH1709" s="32" t="s">
        <v>138</v>
      </c>
      <c r="AI1709" s="32" t="s">
        <v>138</v>
      </c>
      <c r="AJ1709" s="32" t="s">
        <v>138</v>
      </c>
      <c r="AK1709" s="28" t="s">
        <v>32567</v>
      </c>
      <c r="AL1709" s="28" t="s">
        <v>32568</v>
      </c>
      <c r="AM1709" s="28" t="s">
        <v>986</v>
      </c>
      <c r="AN1709" s="28" t="s">
        <v>32569</v>
      </c>
      <c r="AO1709" s="28" t="s">
        <v>32570</v>
      </c>
      <c r="AP1709" s="28" t="s">
        <v>665</v>
      </c>
      <c r="AQ1709" s="28" t="s">
        <v>32571</v>
      </c>
      <c r="AR1709" s="28" t="s">
        <v>138</v>
      </c>
      <c r="AS1709" s="28" t="s">
        <v>668</v>
      </c>
      <c r="AT1709" s="28" t="s">
        <v>200</v>
      </c>
      <c r="AU1709" s="28" t="s">
        <v>1960</v>
      </c>
      <c r="AV1709" s="28" t="s">
        <v>162</v>
      </c>
      <c r="AW1709" s="28" t="s">
        <v>32570</v>
      </c>
      <c r="AX1709" s="28" t="s">
        <v>138</v>
      </c>
      <c r="AY1709" s="28" t="s">
        <v>32572</v>
      </c>
      <c r="AZ1709" s="28" t="s">
        <v>164</v>
      </c>
      <c r="BA1709" s="28" t="s">
        <v>165</v>
      </c>
      <c r="BB1709" s="28" t="s">
        <v>32573</v>
      </c>
      <c r="BC1709" s="28" t="s">
        <v>32574</v>
      </c>
      <c r="BD1709" s="33">
        <v>26</v>
      </c>
      <c r="BE1709" s="28" t="s">
        <v>138</v>
      </c>
      <c r="BF1709" s="28" t="s">
        <v>138</v>
      </c>
      <c r="BG1709" s="28" t="s">
        <v>138</v>
      </c>
      <c r="BH1709" s="28" t="s">
        <v>32575</v>
      </c>
      <c r="BI1709" s="28" t="s">
        <v>138</v>
      </c>
      <c r="BJ1709" s="28" t="s">
        <v>138</v>
      </c>
      <c r="BK1709" s="28" t="s">
        <v>3482</v>
      </c>
      <c r="BL1709" s="28" t="s">
        <v>3482</v>
      </c>
      <c r="BM1709" s="34">
        <v>41029</v>
      </c>
      <c r="BN1709" s="29">
        <v>1.2</v>
      </c>
      <c r="BO1709" s="28" t="s">
        <v>172</v>
      </c>
      <c r="BP1709" s="29" t="s">
        <v>138</v>
      </c>
      <c r="BQ1709" s="28" t="s">
        <v>138</v>
      </c>
      <c r="BR1709" s="28" t="s">
        <v>234</v>
      </c>
      <c r="BS1709" s="28" t="s">
        <v>234</v>
      </c>
      <c r="BT1709" s="28" t="s">
        <v>138</v>
      </c>
      <c r="BU1709" s="28" t="s">
        <v>174</v>
      </c>
      <c r="BV1709" s="28" t="s">
        <v>264</v>
      </c>
      <c r="BW1709" s="28" t="s">
        <v>138</v>
      </c>
      <c r="BX1709" s="28" t="s">
        <v>138</v>
      </c>
      <c r="BY1709" s="28" t="s">
        <v>175</v>
      </c>
      <c r="BZ1709" s="34">
        <v>43374</v>
      </c>
      <c r="CA1709" s="29" t="s">
        <v>138</v>
      </c>
      <c r="CB1709" s="28" t="s">
        <v>138</v>
      </c>
      <c r="CC1709" s="29" t="s">
        <v>138</v>
      </c>
      <c r="CD1709" s="28" t="s">
        <v>138</v>
      </c>
      <c r="CE1709" s="28" t="s">
        <v>173</v>
      </c>
      <c r="CF1709" s="28" t="s">
        <v>138</v>
      </c>
      <c r="CG1709" s="28" t="s">
        <v>138</v>
      </c>
      <c r="CH1709" s="28" t="s">
        <v>174</v>
      </c>
      <c r="CI1709" s="28" t="s">
        <v>264</v>
      </c>
      <c r="CJ1709" s="28" t="s">
        <v>138</v>
      </c>
      <c r="CK1709" s="28" t="s">
        <v>138</v>
      </c>
      <c r="CL1709" s="28" t="s">
        <v>175</v>
      </c>
      <c r="CM1709" s="34" t="s">
        <v>138</v>
      </c>
      <c r="CN1709" s="29" t="s">
        <v>138</v>
      </c>
      <c r="CO1709" s="35">
        <v>0.1</v>
      </c>
      <c r="CP1709" s="36">
        <v>90</v>
      </c>
      <c r="CQ1709" s="35">
        <v>-0.01</v>
      </c>
      <c r="CR1709" s="35">
        <v>-10.4</v>
      </c>
      <c r="CS1709" s="35">
        <v>-0.08</v>
      </c>
      <c r="CT1709" s="36">
        <v>22</v>
      </c>
      <c r="CU1709" s="35">
        <v>0.39</v>
      </c>
      <c r="CV1709" s="36">
        <v>91</v>
      </c>
      <c r="CW1709" s="35">
        <v>0.4</v>
      </c>
      <c r="CX1709" s="36">
        <v>82</v>
      </c>
      <c r="CY1709" s="35">
        <v>-0.56999999999999995</v>
      </c>
      <c r="CZ1709" s="36">
        <v>22</v>
      </c>
      <c r="DA1709" s="35">
        <v>0.15</v>
      </c>
      <c r="DB1709" s="36">
        <v>78</v>
      </c>
      <c r="DC1709" s="37">
        <v>720.26</v>
      </c>
      <c r="DD1709" s="36">
        <v>100</v>
      </c>
      <c r="DE1709" s="37">
        <v>-37.49</v>
      </c>
      <c r="DF1709" s="35">
        <v>-4.95</v>
      </c>
      <c r="DG1709" s="37">
        <v>1350.91</v>
      </c>
      <c r="DH1709" s="36">
        <v>100</v>
      </c>
      <c r="DI1709" s="37">
        <v>782.23</v>
      </c>
      <c r="DJ1709" s="36">
        <v>100</v>
      </c>
      <c r="DK1709" s="37">
        <v>1791.43</v>
      </c>
      <c r="DL1709" s="36">
        <v>100</v>
      </c>
      <c r="DM1709" s="37">
        <v>910.38</v>
      </c>
      <c r="DN1709" s="36">
        <v>100</v>
      </c>
      <c r="DO1709" s="37">
        <v>81.39</v>
      </c>
      <c r="DP1709" s="36">
        <v>98</v>
      </c>
      <c r="DQ1709" s="36">
        <v>614939</v>
      </c>
      <c r="DR1709" s="38">
        <v>-1435</v>
      </c>
      <c r="DS1709" s="35">
        <v>-0.23</v>
      </c>
      <c r="DT1709" s="36">
        <v>26358</v>
      </c>
      <c r="DU1709" s="38">
        <v>101</v>
      </c>
      <c r="DV1709" s="35">
        <v>0.38</v>
      </c>
      <c r="DW1709" s="36">
        <v>29132</v>
      </c>
      <c r="DX1709" s="39">
        <v>15</v>
      </c>
      <c r="DY1709" s="35">
        <v>0.05</v>
      </c>
      <c r="DZ1709" s="28" t="s">
        <v>178</v>
      </c>
      <c r="EA1709" s="34">
        <v>43622</v>
      </c>
      <c r="EB1709" s="29">
        <v>92.17</v>
      </c>
      <c r="EC1709" s="34">
        <v>43083</v>
      </c>
      <c r="ED1709" s="28" t="s">
        <v>173</v>
      </c>
      <c r="EE1709" s="40" t="str">
        <f>HYPERLINK("https://my.pitchbook.com?c=54363-70", "View company online")</f>
        <v>View company online</v>
      </c>
    </row>
    <row r="1710" spans="1:135">
      <c r="A1710" s="15" t="s">
        <v>32576</v>
      </c>
      <c r="B1710" s="15" t="s">
        <v>32577</v>
      </c>
      <c r="C1710" s="15" t="s">
        <v>138</v>
      </c>
      <c r="D1710" s="15" t="s">
        <v>138</v>
      </c>
      <c r="E1710" s="15" t="s">
        <v>32578</v>
      </c>
      <c r="F1710" s="15" t="s">
        <v>32576</v>
      </c>
      <c r="G1710" s="15" t="s">
        <v>32579</v>
      </c>
      <c r="H1710" s="15" t="s">
        <v>141</v>
      </c>
      <c r="I1710" s="15" t="s">
        <v>212</v>
      </c>
      <c r="J1710" s="15" t="s">
        <v>486</v>
      </c>
      <c r="K1710" s="15" t="s">
        <v>32580</v>
      </c>
      <c r="L1710" s="15" t="s">
        <v>1021</v>
      </c>
      <c r="M1710" s="15" t="s">
        <v>32581</v>
      </c>
      <c r="N1710" s="15" t="s">
        <v>147</v>
      </c>
      <c r="O1710" s="17">
        <v>57</v>
      </c>
      <c r="P1710" s="15" t="s">
        <v>148</v>
      </c>
      <c r="Q1710" s="15" t="s">
        <v>149</v>
      </c>
      <c r="R1710" s="15" t="s">
        <v>328</v>
      </c>
      <c r="S1710" s="15" t="s">
        <v>32582</v>
      </c>
      <c r="T1710" s="18">
        <v>70</v>
      </c>
      <c r="U1710" s="15" t="s">
        <v>32583</v>
      </c>
      <c r="V1710" s="15" t="s">
        <v>138</v>
      </c>
      <c r="W1710" s="15" t="s">
        <v>138</v>
      </c>
      <c r="X1710" s="19">
        <v>2013</v>
      </c>
      <c r="Y1710" s="15" t="s">
        <v>138</v>
      </c>
      <c r="Z1710" s="15" t="s">
        <v>138</v>
      </c>
      <c r="AA1710" s="15" t="s">
        <v>138</v>
      </c>
      <c r="AB1710" s="20" t="s">
        <v>138</v>
      </c>
      <c r="AC1710" s="20" t="s">
        <v>138</v>
      </c>
      <c r="AD1710" s="20" t="s">
        <v>138</v>
      </c>
      <c r="AE1710" s="20" t="s">
        <v>138</v>
      </c>
      <c r="AF1710" s="20" t="s">
        <v>138</v>
      </c>
      <c r="AG1710" s="15" t="s">
        <v>138</v>
      </c>
      <c r="AH1710" s="20" t="s">
        <v>138</v>
      </c>
      <c r="AI1710" s="20" t="s">
        <v>138</v>
      </c>
      <c r="AJ1710" s="20" t="s">
        <v>138</v>
      </c>
      <c r="AK1710" s="15" t="s">
        <v>32584</v>
      </c>
      <c r="AL1710" s="15" t="s">
        <v>32585</v>
      </c>
      <c r="AM1710" s="15" t="s">
        <v>916</v>
      </c>
      <c r="AN1710" s="15" t="s">
        <v>32586</v>
      </c>
      <c r="AO1710" s="15" t="s">
        <v>138</v>
      </c>
      <c r="AP1710" s="15" t="s">
        <v>5697</v>
      </c>
      <c r="AQ1710" s="15" t="s">
        <v>32587</v>
      </c>
      <c r="AR1710" s="15" t="s">
        <v>138</v>
      </c>
      <c r="AS1710" s="15" t="s">
        <v>5700</v>
      </c>
      <c r="AT1710" s="15" t="s">
        <v>138</v>
      </c>
      <c r="AU1710" s="15" t="s">
        <v>32588</v>
      </c>
      <c r="AV1710" s="15" t="s">
        <v>740</v>
      </c>
      <c r="AW1710" s="15" t="s">
        <v>138</v>
      </c>
      <c r="AX1710" s="15" t="s">
        <v>138</v>
      </c>
      <c r="AY1710" s="15" t="s">
        <v>32589</v>
      </c>
      <c r="AZ1710" s="15" t="s">
        <v>742</v>
      </c>
      <c r="BA1710" s="15" t="s">
        <v>742</v>
      </c>
      <c r="BB1710" s="15" t="s">
        <v>32590</v>
      </c>
      <c r="BC1710" s="15" t="s">
        <v>32591</v>
      </c>
      <c r="BD1710" s="21">
        <v>11</v>
      </c>
      <c r="BE1710" s="15" t="s">
        <v>138</v>
      </c>
      <c r="BF1710" s="15" t="s">
        <v>138</v>
      </c>
      <c r="BG1710" s="15" t="s">
        <v>138</v>
      </c>
      <c r="BH1710" s="15" t="s">
        <v>32592</v>
      </c>
      <c r="BI1710" s="15" t="s">
        <v>138</v>
      </c>
      <c r="BJ1710" s="15" t="s">
        <v>138</v>
      </c>
      <c r="BK1710" s="15" t="s">
        <v>22430</v>
      </c>
      <c r="BL1710" s="15" t="s">
        <v>2550</v>
      </c>
      <c r="BM1710" s="22">
        <v>41609</v>
      </c>
      <c r="BN1710" s="17">
        <v>2.5</v>
      </c>
      <c r="BO1710" s="15" t="s">
        <v>172</v>
      </c>
      <c r="BP1710" s="17" t="s">
        <v>138</v>
      </c>
      <c r="BQ1710" s="15" t="s">
        <v>138</v>
      </c>
      <c r="BR1710" s="15" t="s">
        <v>234</v>
      </c>
      <c r="BS1710" s="15" t="s">
        <v>234</v>
      </c>
      <c r="BT1710" s="15" t="s">
        <v>138</v>
      </c>
      <c r="BU1710" s="15" t="s">
        <v>263</v>
      </c>
      <c r="BV1710" s="15" t="s">
        <v>138</v>
      </c>
      <c r="BW1710" s="15" t="s">
        <v>138</v>
      </c>
      <c r="BX1710" s="15" t="s">
        <v>138</v>
      </c>
      <c r="BY1710" s="15" t="s">
        <v>175</v>
      </c>
      <c r="BZ1710" s="22">
        <v>43480</v>
      </c>
      <c r="CA1710" s="17">
        <v>25</v>
      </c>
      <c r="CB1710" s="15" t="s">
        <v>172</v>
      </c>
      <c r="CC1710" s="17" t="s">
        <v>138</v>
      </c>
      <c r="CD1710" s="15" t="s">
        <v>138</v>
      </c>
      <c r="CE1710" s="15" t="s">
        <v>173</v>
      </c>
      <c r="CF1710" s="15" t="s">
        <v>317</v>
      </c>
      <c r="CG1710" s="15" t="s">
        <v>138</v>
      </c>
      <c r="CH1710" s="15" t="s">
        <v>174</v>
      </c>
      <c r="CI1710" s="15" t="s">
        <v>138</v>
      </c>
      <c r="CJ1710" s="15" t="s">
        <v>138</v>
      </c>
      <c r="CK1710" s="15" t="s">
        <v>138</v>
      </c>
      <c r="CL1710" s="15" t="s">
        <v>175</v>
      </c>
      <c r="CM1710" s="22" t="s">
        <v>138</v>
      </c>
      <c r="CN1710" s="17" t="s">
        <v>138</v>
      </c>
      <c r="CO1710" s="23">
        <v>0.74</v>
      </c>
      <c r="CP1710" s="24">
        <v>96</v>
      </c>
      <c r="CQ1710" s="23">
        <v>-0.02</v>
      </c>
      <c r="CR1710" s="23">
        <v>-3.19</v>
      </c>
      <c r="CS1710" s="23">
        <v>1.47</v>
      </c>
      <c r="CT1710" s="24">
        <v>97</v>
      </c>
      <c r="CU1710" s="23">
        <v>0.33</v>
      </c>
      <c r="CV1710" s="24">
        <v>89</v>
      </c>
      <c r="CW1710" s="23">
        <v>3.17</v>
      </c>
      <c r="CX1710" s="24">
        <v>92</v>
      </c>
      <c r="CY1710" s="23">
        <v>-0.23</v>
      </c>
      <c r="CZ1710" s="24">
        <v>24</v>
      </c>
      <c r="DA1710" s="23">
        <v>0.43</v>
      </c>
      <c r="DB1710" s="24">
        <v>93</v>
      </c>
      <c r="DC1710" s="25">
        <v>3.77</v>
      </c>
      <c r="DD1710" s="24">
        <v>79</v>
      </c>
      <c r="DE1710" s="25">
        <v>-0.08</v>
      </c>
      <c r="DF1710" s="23">
        <v>-2.14</v>
      </c>
      <c r="DG1710" s="25">
        <v>11.2</v>
      </c>
      <c r="DH1710" s="24">
        <v>91</v>
      </c>
      <c r="DI1710" s="25">
        <v>1.55</v>
      </c>
      <c r="DJ1710" s="24">
        <v>58</v>
      </c>
      <c r="DK1710" s="25">
        <v>7.03</v>
      </c>
      <c r="DL1710" s="24">
        <v>83</v>
      </c>
      <c r="DM1710" s="25">
        <v>15.38</v>
      </c>
      <c r="DN1710" s="24">
        <v>92</v>
      </c>
      <c r="DO1710" s="25">
        <v>1.84</v>
      </c>
      <c r="DP1710" s="24">
        <v>62</v>
      </c>
      <c r="DQ1710" s="24">
        <v>2543</v>
      </c>
      <c r="DR1710" s="26">
        <v>-399</v>
      </c>
      <c r="DS1710" s="23">
        <v>-13.56</v>
      </c>
      <c r="DT1710" s="24">
        <v>446</v>
      </c>
      <c r="DU1710" s="26">
        <v>3</v>
      </c>
      <c r="DV1710" s="23">
        <v>0.68</v>
      </c>
      <c r="DW1710" s="24">
        <v>660</v>
      </c>
      <c r="DX1710" s="27">
        <v>1</v>
      </c>
      <c r="DY1710" s="23">
        <v>0.15</v>
      </c>
      <c r="DZ1710" s="15" t="s">
        <v>178</v>
      </c>
      <c r="EA1710" s="22">
        <v>43622</v>
      </c>
      <c r="EB1710" s="17" t="s">
        <v>138</v>
      </c>
      <c r="EC1710" s="22" t="s">
        <v>138</v>
      </c>
      <c r="ED1710" s="15" t="s">
        <v>138</v>
      </c>
      <c r="EE1710" s="14" t="str">
        <f>HYPERLINK("https://my.pitchbook.com?c=82677-34", "View company online")</f>
        <v>View company online</v>
      </c>
    </row>
    <row r="1711" spans="1:135">
      <c r="A1711" s="28" t="s">
        <v>32593</v>
      </c>
      <c r="B1711" s="28" t="s">
        <v>32594</v>
      </c>
      <c r="C1711" s="28" t="s">
        <v>32595</v>
      </c>
      <c r="D1711" s="28" t="s">
        <v>138</v>
      </c>
      <c r="E1711" s="28" t="s">
        <v>32596</v>
      </c>
      <c r="F1711" s="28" t="s">
        <v>32593</v>
      </c>
      <c r="G1711" s="28" t="s">
        <v>32597</v>
      </c>
      <c r="H1711" s="28" t="s">
        <v>385</v>
      </c>
      <c r="I1711" s="28" t="s">
        <v>1448</v>
      </c>
      <c r="J1711" s="28" t="s">
        <v>4108</v>
      </c>
      <c r="K1711" s="28" t="s">
        <v>32598</v>
      </c>
      <c r="L1711" s="28" t="s">
        <v>32599</v>
      </c>
      <c r="M1711" s="28" t="s">
        <v>32600</v>
      </c>
      <c r="N1711" s="28" t="s">
        <v>147</v>
      </c>
      <c r="O1711" s="29">
        <v>669.52</v>
      </c>
      <c r="P1711" s="28" t="s">
        <v>1473</v>
      </c>
      <c r="Q1711" s="28" t="s">
        <v>149</v>
      </c>
      <c r="R1711" s="28" t="s">
        <v>26427</v>
      </c>
      <c r="S1711" s="28" t="s">
        <v>32601</v>
      </c>
      <c r="T1711" s="30">
        <v>201</v>
      </c>
      <c r="U1711" s="28" t="s">
        <v>32602</v>
      </c>
      <c r="V1711" s="28" t="s">
        <v>138</v>
      </c>
      <c r="W1711" s="28" t="s">
        <v>138</v>
      </c>
      <c r="X1711" s="31">
        <v>2004</v>
      </c>
      <c r="Y1711" s="28" t="s">
        <v>138</v>
      </c>
      <c r="Z1711" s="28" t="s">
        <v>138</v>
      </c>
      <c r="AA1711" s="28" t="s">
        <v>138</v>
      </c>
      <c r="AB1711" s="32">
        <v>291.07</v>
      </c>
      <c r="AC1711" s="32" t="s">
        <v>138</v>
      </c>
      <c r="AD1711" s="32" t="s">
        <v>138</v>
      </c>
      <c r="AE1711" s="32" t="s">
        <v>138</v>
      </c>
      <c r="AF1711" s="32" t="s">
        <v>138</v>
      </c>
      <c r="AG1711" s="28" t="s">
        <v>2214</v>
      </c>
      <c r="AH1711" s="32" t="s">
        <v>138</v>
      </c>
      <c r="AI1711" s="32" t="s">
        <v>138</v>
      </c>
      <c r="AJ1711" s="32" t="s">
        <v>138</v>
      </c>
      <c r="AK1711" s="28" t="s">
        <v>32603</v>
      </c>
      <c r="AL1711" s="28" t="s">
        <v>32604</v>
      </c>
      <c r="AM1711" s="28" t="s">
        <v>32605</v>
      </c>
      <c r="AN1711" s="28" t="s">
        <v>32606</v>
      </c>
      <c r="AO1711" s="28" t="s">
        <v>32607</v>
      </c>
      <c r="AP1711" s="28" t="s">
        <v>3328</v>
      </c>
      <c r="AQ1711" s="28" t="s">
        <v>32608</v>
      </c>
      <c r="AR1711" s="28" t="s">
        <v>32609</v>
      </c>
      <c r="AS1711" s="28" t="s">
        <v>3330</v>
      </c>
      <c r="AT1711" s="28" t="s">
        <v>200</v>
      </c>
      <c r="AU1711" s="28" t="s">
        <v>3331</v>
      </c>
      <c r="AV1711" s="28" t="s">
        <v>162</v>
      </c>
      <c r="AW1711" s="28" t="s">
        <v>32607</v>
      </c>
      <c r="AX1711" s="28" t="s">
        <v>32610</v>
      </c>
      <c r="AY1711" s="28" t="s">
        <v>32611</v>
      </c>
      <c r="AZ1711" s="28" t="s">
        <v>164</v>
      </c>
      <c r="BA1711" s="28" t="s">
        <v>165</v>
      </c>
      <c r="BB1711" s="28" t="s">
        <v>32612</v>
      </c>
      <c r="BC1711" s="28" t="s">
        <v>32613</v>
      </c>
      <c r="BD1711" s="33">
        <v>21</v>
      </c>
      <c r="BE1711" s="28" t="s">
        <v>138</v>
      </c>
      <c r="BF1711" s="28" t="s">
        <v>138</v>
      </c>
      <c r="BG1711" s="28" t="s">
        <v>138</v>
      </c>
      <c r="BH1711" s="28" t="s">
        <v>32614</v>
      </c>
      <c r="BI1711" s="28" t="s">
        <v>138</v>
      </c>
      <c r="BJ1711" s="28" t="s">
        <v>138</v>
      </c>
      <c r="BK1711" s="28" t="s">
        <v>138</v>
      </c>
      <c r="BL1711" s="28" t="s">
        <v>32615</v>
      </c>
      <c r="BM1711" s="34" t="s">
        <v>138</v>
      </c>
      <c r="BN1711" s="29" t="s">
        <v>138</v>
      </c>
      <c r="BO1711" s="28" t="s">
        <v>138</v>
      </c>
      <c r="BP1711" s="29" t="s">
        <v>138</v>
      </c>
      <c r="BQ1711" s="28" t="s">
        <v>138</v>
      </c>
      <c r="BR1711" s="28" t="s">
        <v>234</v>
      </c>
      <c r="BS1711" s="28" t="s">
        <v>234</v>
      </c>
      <c r="BT1711" s="28" t="s">
        <v>138</v>
      </c>
      <c r="BU1711" s="28" t="s">
        <v>174</v>
      </c>
      <c r="BV1711" s="28" t="s">
        <v>138</v>
      </c>
      <c r="BW1711" s="28" t="s">
        <v>138</v>
      </c>
      <c r="BX1711" s="28" t="s">
        <v>138</v>
      </c>
      <c r="BY1711" s="28" t="s">
        <v>175</v>
      </c>
      <c r="BZ1711" s="34">
        <v>42990</v>
      </c>
      <c r="CA1711" s="29">
        <v>9.1999999999999993</v>
      </c>
      <c r="CB1711" s="28" t="s">
        <v>172</v>
      </c>
      <c r="CC1711" s="29" t="s">
        <v>138</v>
      </c>
      <c r="CD1711" s="28" t="s">
        <v>138</v>
      </c>
      <c r="CE1711" s="28" t="s">
        <v>173</v>
      </c>
      <c r="CF1711" s="28" t="s">
        <v>138</v>
      </c>
      <c r="CG1711" s="28" t="s">
        <v>138</v>
      </c>
      <c r="CH1711" s="28" t="s">
        <v>174</v>
      </c>
      <c r="CI1711" s="28" t="s">
        <v>264</v>
      </c>
      <c r="CJ1711" s="28" t="s">
        <v>138</v>
      </c>
      <c r="CK1711" s="28" t="s">
        <v>138</v>
      </c>
      <c r="CL1711" s="28" t="s">
        <v>175</v>
      </c>
      <c r="CM1711" s="34">
        <v>42735</v>
      </c>
      <c r="CN1711" s="29">
        <v>0.03</v>
      </c>
      <c r="CO1711" s="35">
        <v>-0.79</v>
      </c>
      <c r="CP1711" s="36">
        <v>13</v>
      </c>
      <c r="CQ1711" s="35">
        <v>-0.01</v>
      </c>
      <c r="CR1711" s="35">
        <v>-1.61</v>
      </c>
      <c r="CS1711" s="35">
        <v>-1.58</v>
      </c>
      <c r="CT1711" s="36">
        <v>11</v>
      </c>
      <c r="CU1711" s="35">
        <v>-0.01</v>
      </c>
      <c r="CV1711" s="36">
        <v>20</v>
      </c>
      <c r="CW1711" s="35">
        <v>0</v>
      </c>
      <c r="CX1711" s="36">
        <v>13</v>
      </c>
      <c r="CY1711" s="35">
        <v>-3.16</v>
      </c>
      <c r="CZ1711" s="36">
        <v>6</v>
      </c>
      <c r="DA1711" s="35">
        <v>0.03</v>
      </c>
      <c r="DB1711" s="36">
        <v>60</v>
      </c>
      <c r="DC1711" s="37">
        <v>18.95</v>
      </c>
      <c r="DD1711" s="36">
        <v>94</v>
      </c>
      <c r="DE1711" s="37">
        <v>-0.06</v>
      </c>
      <c r="DF1711" s="35">
        <v>-0.33</v>
      </c>
      <c r="DG1711" s="37">
        <v>32</v>
      </c>
      <c r="DH1711" s="36">
        <v>97</v>
      </c>
      <c r="DI1711" s="37">
        <v>5.91</v>
      </c>
      <c r="DJ1711" s="36">
        <v>79</v>
      </c>
      <c r="DK1711" s="37">
        <v>1.49</v>
      </c>
      <c r="DL1711" s="36">
        <v>59</v>
      </c>
      <c r="DM1711" s="37">
        <v>62.52</v>
      </c>
      <c r="DN1711" s="36">
        <v>99</v>
      </c>
      <c r="DO1711" s="37">
        <v>8.16</v>
      </c>
      <c r="DP1711" s="36">
        <v>85</v>
      </c>
      <c r="DQ1711" s="36">
        <v>522</v>
      </c>
      <c r="DR1711" s="38">
        <v>-35</v>
      </c>
      <c r="DS1711" s="35">
        <v>-6.28</v>
      </c>
      <c r="DT1711" s="36">
        <v>1814</v>
      </c>
      <c r="DU1711" s="38">
        <v>-5</v>
      </c>
      <c r="DV1711" s="35">
        <v>-0.27</v>
      </c>
      <c r="DW1711" s="36">
        <v>2922</v>
      </c>
      <c r="DX1711" s="39">
        <v>0</v>
      </c>
      <c r="DY1711" s="35">
        <v>0</v>
      </c>
      <c r="DZ1711" s="28" t="s">
        <v>178</v>
      </c>
      <c r="EA1711" s="34">
        <v>43622</v>
      </c>
      <c r="EB1711" s="29">
        <v>999.86</v>
      </c>
      <c r="EC1711" s="34">
        <v>41011</v>
      </c>
      <c r="ED1711" s="28" t="s">
        <v>7613</v>
      </c>
      <c r="EE1711" s="40" t="str">
        <f>HYPERLINK("https://my.pitchbook.com?c=45284-86", "View company online")</f>
        <v>View company online</v>
      </c>
    </row>
    <row r="1712" spans="1:135">
      <c r="A1712" s="15" t="s">
        <v>32616</v>
      </c>
      <c r="B1712" s="15" t="s">
        <v>32617</v>
      </c>
      <c r="C1712" s="15" t="s">
        <v>138</v>
      </c>
      <c r="D1712" s="15" t="s">
        <v>138</v>
      </c>
      <c r="E1712" s="15" t="s">
        <v>32618</v>
      </c>
      <c r="F1712" s="15" t="s">
        <v>32616</v>
      </c>
      <c r="G1712" s="15" t="s">
        <v>32619</v>
      </c>
      <c r="H1712" s="15" t="s">
        <v>322</v>
      </c>
      <c r="I1712" s="15" t="s">
        <v>323</v>
      </c>
      <c r="J1712" s="15" t="s">
        <v>1132</v>
      </c>
      <c r="K1712" s="15" t="s">
        <v>3918</v>
      </c>
      <c r="L1712" s="15" t="s">
        <v>5101</v>
      </c>
      <c r="M1712" s="15" t="s">
        <v>32620</v>
      </c>
      <c r="N1712" s="15" t="s">
        <v>147</v>
      </c>
      <c r="O1712" s="17">
        <v>4.13</v>
      </c>
      <c r="P1712" s="15" t="s">
        <v>148</v>
      </c>
      <c r="Q1712" s="15" t="s">
        <v>149</v>
      </c>
      <c r="R1712" s="15" t="s">
        <v>174</v>
      </c>
      <c r="S1712" s="15" t="s">
        <v>32621</v>
      </c>
      <c r="T1712" s="18" t="s">
        <v>138</v>
      </c>
      <c r="U1712" s="15" t="s">
        <v>138</v>
      </c>
      <c r="V1712" s="15" t="s">
        <v>138</v>
      </c>
      <c r="W1712" s="15" t="s">
        <v>138</v>
      </c>
      <c r="X1712" s="19">
        <v>2017</v>
      </c>
      <c r="Y1712" s="15" t="s">
        <v>138</v>
      </c>
      <c r="Z1712" s="15" t="s">
        <v>138</v>
      </c>
      <c r="AA1712" s="15" t="s">
        <v>138</v>
      </c>
      <c r="AB1712" s="20" t="s">
        <v>138</v>
      </c>
      <c r="AC1712" s="20" t="s">
        <v>138</v>
      </c>
      <c r="AD1712" s="20" t="s">
        <v>138</v>
      </c>
      <c r="AE1712" s="20" t="s">
        <v>138</v>
      </c>
      <c r="AF1712" s="20" t="s">
        <v>138</v>
      </c>
      <c r="AG1712" s="15" t="s">
        <v>138</v>
      </c>
      <c r="AH1712" s="20" t="s">
        <v>138</v>
      </c>
      <c r="AI1712" s="20" t="s">
        <v>138</v>
      </c>
      <c r="AJ1712" s="20" t="s">
        <v>138</v>
      </c>
      <c r="AK1712" s="15" t="s">
        <v>32622</v>
      </c>
      <c r="AL1712" s="15" t="s">
        <v>32623</v>
      </c>
      <c r="AM1712" s="15" t="s">
        <v>304</v>
      </c>
      <c r="AN1712" s="15" t="s">
        <v>32624</v>
      </c>
      <c r="AO1712" s="15" t="s">
        <v>32625</v>
      </c>
      <c r="AP1712" s="15" t="s">
        <v>138</v>
      </c>
      <c r="AQ1712" s="15" t="s">
        <v>138</v>
      </c>
      <c r="AR1712" s="15" t="s">
        <v>138</v>
      </c>
      <c r="AS1712" s="15" t="s">
        <v>138</v>
      </c>
      <c r="AT1712" s="15" t="s">
        <v>138</v>
      </c>
      <c r="AU1712" s="15" t="s">
        <v>138</v>
      </c>
      <c r="AV1712" s="15" t="s">
        <v>138</v>
      </c>
      <c r="AW1712" s="15" t="s">
        <v>138</v>
      </c>
      <c r="AX1712" s="15" t="s">
        <v>138</v>
      </c>
      <c r="AY1712" s="15" t="s">
        <v>138</v>
      </c>
      <c r="AZ1712" s="15" t="s">
        <v>138</v>
      </c>
      <c r="BA1712" s="15" t="s">
        <v>138</v>
      </c>
      <c r="BB1712" s="15" t="s">
        <v>32626</v>
      </c>
      <c r="BC1712" s="15" t="s">
        <v>32627</v>
      </c>
      <c r="BD1712" s="21">
        <v>3</v>
      </c>
      <c r="BE1712" s="15" t="s">
        <v>138</v>
      </c>
      <c r="BF1712" s="15" t="s">
        <v>138</v>
      </c>
      <c r="BG1712" s="15" t="s">
        <v>138</v>
      </c>
      <c r="BH1712" s="15" t="s">
        <v>32628</v>
      </c>
      <c r="BI1712" s="15" t="s">
        <v>138</v>
      </c>
      <c r="BJ1712" s="15" t="s">
        <v>138</v>
      </c>
      <c r="BK1712" s="15" t="s">
        <v>1251</v>
      </c>
      <c r="BL1712" s="15" t="s">
        <v>1251</v>
      </c>
      <c r="BM1712" s="22">
        <v>43227</v>
      </c>
      <c r="BN1712" s="17">
        <v>4</v>
      </c>
      <c r="BO1712" s="15" t="s">
        <v>172</v>
      </c>
      <c r="BP1712" s="17">
        <v>10</v>
      </c>
      <c r="BQ1712" s="15" t="s">
        <v>172</v>
      </c>
      <c r="BR1712" s="15" t="s">
        <v>234</v>
      </c>
      <c r="BS1712" s="15" t="s">
        <v>234</v>
      </c>
      <c r="BT1712" s="15" t="s">
        <v>138</v>
      </c>
      <c r="BU1712" s="15" t="s">
        <v>174</v>
      </c>
      <c r="BV1712" s="15" t="s">
        <v>138</v>
      </c>
      <c r="BW1712" s="15" t="s">
        <v>138</v>
      </c>
      <c r="BX1712" s="15" t="s">
        <v>138</v>
      </c>
      <c r="BY1712" s="15" t="s">
        <v>175</v>
      </c>
      <c r="BZ1712" s="22">
        <v>43480</v>
      </c>
      <c r="CA1712" s="17">
        <v>0.13</v>
      </c>
      <c r="CB1712" s="15" t="s">
        <v>172</v>
      </c>
      <c r="CC1712" s="17" t="s">
        <v>138</v>
      </c>
      <c r="CD1712" s="15" t="s">
        <v>138</v>
      </c>
      <c r="CE1712" s="15" t="s">
        <v>316</v>
      </c>
      <c r="CF1712" s="15" t="s">
        <v>138</v>
      </c>
      <c r="CG1712" s="15" t="s">
        <v>138</v>
      </c>
      <c r="CH1712" s="15" t="s">
        <v>177</v>
      </c>
      <c r="CI1712" s="15" t="s">
        <v>138</v>
      </c>
      <c r="CJ1712" s="15" t="s">
        <v>138</v>
      </c>
      <c r="CK1712" s="15" t="s">
        <v>138</v>
      </c>
      <c r="CL1712" s="15" t="s">
        <v>175</v>
      </c>
      <c r="CM1712" s="22" t="s">
        <v>138</v>
      </c>
      <c r="CN1712" s="17" t="s">
        <v>138</v>
      </c>
      <c r="CO1712" s="23">
        <v>1.19</v>
      </c>
      <c r="CP1712" s="24">
        <v>98</v>
      </c>
      <c r="CQ1712" s="23">
        <v>0.19</v>
      </c>
      <c r="CR1712" s="23">
        <v>19.46</v>
      </c>
      <c r="CS1712" s="23">
        <v>0</v>
      </c>
      <c r="CT1712" s="24">
        <v>23</v>
      </c>
      <c r="CU1712" s="23">
        <v>0.92</v>
      </c>
      <c r="CV1712" s="24">
        <v>98</v>
      </c>
      <c r="CW1712" s="23">
        <v>0</v>
      </c>
      <c r="CX1712" s="24">
        <v>13</v>
      </c>
      <c r="CY1712" s="23">
        <v>0</v>
      </c>
      <c r="CZ1712" s="24">
        <v>25</v>
      </c>
      <c r="DA1712" s="23">
        <v>0.92</v>
      </c>
      <c r="DB1712" s="24">
        <v>98</v>
      </c>
      <c r="DC1712" s="25">
        <v>0.89</v>
      </c>
      <c r="DD1712" s="24">
        <v>48</v>
      </c>
      <c r="DE1712" s="25">
        <v>-0.04</v>
      </c>
      <c r="DF1712" s="23">
        <v>-3.99</v>
      </c>
      <c r="DG1712" s="25">
        <v>2.12</v>
      </c>
      <c r="DH1712" s="24">
        <v>68</v>
      </c>
      <c r="DI1712" s="25">
        <v>0.37</v>
      </c>
      <c r="DJ1712" s="24">
        <v>31</v>
      </c>
      <c r="DK1712" s="25">
        <v>1.66</v>
      </c>
      <c r="DL1712" s="24">
        <v>61</v>
      </c>
      <c r="DM1712" s="25">
        <v>2.59</v>
      </c>
      <c r="DN1712" s="24">
        <v>71</v>
      </c>
      <c r="DO1712" s="25">
        <v>0.37</v>
      </c>
      <c r="DP1712" s="24">
        <v>33</v>
      </c>
      <c r="DQ1712" s="24">
        <v>545</v>
      </c>
      <c r="DR1712" s="26">
        <v>69</v>
      </c>
      <c r="DS1712" s="23">
        <v>14.5</v>
      </c>
      <c r="DT1712" s="24">
        <v>75</v>
      </c>
      <c r="DU1712" s="26">
        <v>-1</v>
      </c>
      <c r="DV1712" s="23">
        <v>-1.32</v>
      </c>
      <c r="DW1712" s="24">
        <v>130</v>
      </c>
      <c r="DX1712" s="27">
        <v>1</v>
      </c>
      <c r="DY1712" s="23">
        <v>0.78</v>
      </c>
      <c r="DZ1712" s="15" t="s">
        <v>178</v>
      </c>
      <c r="EA1712" s="22">
        <v>43486</v>
      </c>
      <c r="EB1712" s="17">
        <v>10</v>
      </c>
      <c r="EC1712" s="22">
        <v>43227</v>
      </c>
      <c r="ED1712" s="15" t="s">
        <v>234</v>
      </c>
      <c r="EE1712" s="14" t="str">
        <f>HYPERLINK("https://my.pitchbook.com?c=228392-65", "View company online")</f>
        <v>View company online</v>
      </c>
    </row>
    <row r="1713" spans="1:135">
      <c r="A1713" s="28" t="s">
        <v>32629</v>
      </c>
      <c r="B1713" s="28" t="s">
        <v>32630</v>
      </c>
      <c r="C1713" s="28" t="s">
        <v>138</v>
      </c>
      <c r="D1713" s="28" t="s">
        <v>138</v>
      </c>
      <c r="E1713" s="28" t="s">
        <v>32631</v>
      </c>
      <c r="F1713" s="28" t="s">
        <v>32629</v>
      </c>
      <c r="G1713" s="28" t="s">
        <v>32632</v>
      </c>
      <c r="H1713" s="28" t="s">
        <v>238</v>
      </c>
      <c r="I1713" s="28" t="s">
        <v>749</v>
      </c>
      <c r="J1713" s="28" t="s">
        <v>750</v>
      </c>
      <c r="K1713" s="28" t="s">
        <v>32633</v>
      </c>
      <c r="L1713" s="28" t="s">
        <v>32634</v>
      </c>
      <c r="M1713" s="28" t="s">
        <v>32635</v>
      </c>
      <c r="N1713" s="28" t="s">
        <v>147</v>
      </c>
      <c r="O1713" s="29">
        <v>125.2</v>
      </c>
      <c r="P1713" s="28" t="s">
        <v>148</v>
      </c>
      <c r="Q1713" s="28" t="s">
        <v>149</v>
      </c>
      <c r="R1713" s="28" t="s">
        <v>174</v>
      </c>
      <c r="S1713" s="28" t="s">
        <v>32636</v>
      </c>
      <c r="T1713" s="30">
        <v>75</v>
      </c>
      <c r="U1713" s="28" t="s">
        <v>32637</v>
      </c>
      <c r="V1713" s="28" t="s">
        <v>138</v>
      </c>
      <c r="W1713" s="28" t="s">
        <v>138</v>
      </c>
      <c r="X1713" s="31">
        <v>2011</v>
      </c>
      <c r="Y1713" s="28" t="s">
        <v>138</v>
      </c>
      <c r="Z1713" s="28" t="s">
        <v>138</v>
      </c>
      <c r="AA1713" s="28" t="s">
        <v>138</v>
      </c>
      <c r="AB1713" s="32">
        <v>9.8000000000000007</v>
      </c>
      <c r="AC1713" s="32" t="s">
        <v>138</v>
      </c>
      <c r="AD1713" s="32" t="s">
        <v>138</v>
      </c>
      <c r="AE1713" s="32" t="s">
        <v>138</v>
      </c>
      <c r="AF1713" s="32" t="s">
        <v>138</v>
      </c>
      <c r="AG1713" s="28" t="s">
        <v>419</v>
      </c>
      <c r="AH1713" s="32" t="s">
        <v>138</v>
      </c>
      <c r="AI1713" s="32" t="s">
        <v>138</v>
      </c>
      <c r="AJ1713" s="32" t="s">
        <v>138</v>
      </c>
      <c r="AK1713" s="28" t="s">
        <v>32638</v>
      </c>
      <c r="AL1713" s="28" t="s">
        <v>32639</v>
      </c>
      <c r="AM1713" s="28" t="s">
        <v>32640</v>
      </c>
      <c r="AN1713" s="28" t="s">
        <v>138</v>
      </c>
      <c r="AO1713" s="28" t="s">
        <v>32641</v>
      </c>
      <c r="AP1713" s="28" t="s">
        <v>32642</v>
      </c>
      <c r="AQ1713" s="28" t="s">
        <v>32643</v>
      </c>
      <c r="AR1713" s="28" t="s">
        <v>32644</v>
      </c>
      <c r="AS1713" s="28" t="s">
        <v>32645</v>
      </c>
      <c r="AT1713" s="28" t="s">
        <v>426</v>
      </c>
      <c r="AU1713" s="28" t="s">
        <v>32646</v>
      </c>
      <c r="AV1713" s="28" t="s">
        <v>162</v>
      </c>
      <c r="AW1713" s="28" t="s">
        <v>32641</v>
      </c>
      <c r="AX1713" s="28" t="s">
        <v>32647</v>
      </c>
      <c r="AY1713" s="28" t="s">
        <v>32648</v>
      </c>
      <c r="AZ1713" s="28" t="s">
        <v>164</v>
      </c>
      <c r="BA1713" s="28" t="s">
        <v>165</v>
      </c>
      <c r="BB1713" s="28" t="s">
        <v>32649</v>
      </c>
      <c r="BC1713" s="28" t="s">
        <v>32650</v>
      </c>
      <c r="BD1713" s="33">
        <v>14</v>
      </c>
      <c r="BE1713" s="28" t="s">
        <v>138</v>
      </c>
      <c r="BF1713" s="28" t="s">
        <v>138</v>
      </c>
      <c r="BG1713" s="28" t="s">
        <v>138</v>
      </c>
      <c r="BH1713" s="28" t="s">
        <v>32651</v>
      </c>
      <c r="BI1713" s="28" t="s">
        <v>138</v>
      </c>
      <c r="BJ1713" s="28" t="s">
        <v>138</v>
      </c>
      <c r="BK1713" s="28" t="s">
        <v>1275</v>
      </c>
      <c r="BL1713" s="28" t="s">
        <v>32652</v>
      </c>
      <c r="BM1713" s="34">
        <v>40890</v>
      </c>
      <c r="BN1713" s="29">
        <v>4.3</v>
      </c>
      <c r="BO1713" s="28" t="s">
        <v>172</v>
      </c>
      <c r="BP1713" s="29">
        <v>11.29</v>
      </c>
      <c r="BQ1713" s="28" t="s">
        <v>172</v>
      </c>
      <c r="BR1713" s="28" t="s">
        <v>205</v>
      </c>
      <c r="BS1713" s="28" t="s">
        <v>206</v>
      </c>
      <c r="BT1713" s="28" t="s">
        <v>138</v>
      </c>
      <c r="BU1713" s="28" t="s">
        <v>174</v>
      </c>
      <c r="BV1713" s="28" t="s">
        <v>138</v>
      </c>
      <c r="BW1713" s="28" t="s">
        <v>138</v>
      </c>
      <c r="BX1713" s="28" t="s">
        <v>138</v>
      </c>
      <c r="BY1713" s="28" t="s">
        <v>175</v>
      </c>
      <c r="BZ1713" s="34">
        <v>43279</v>
      </c>
      <c r="CA1713" s="29">
        <v>55</v>
      </c>
      <c r="CB1713" s="28" t="s">
        <v>172</v>
      </c>
      <c r="CC1713" s="29">
        <v>155</v>
      </c>
      <c r="CD1713" s="28" t="s">
        <v>1178</v>
      </c>
      <c r="CE1713" s="28" t="s">
        <v>173</v>
      </c>
      <c r="CF1713" s="28" t="s">
        <v>433</v>
      </c>
      <c r="CG1713" s="28" t="s">
        <v>138</v>
      </c>
      <c r="CH1713" s="28" t="s">
        <v>174</v>
      </c>
      <c r="CI1713" s="28" t="s">
        <v>138</v>
      </c>
      <c r="CJ1713" s="28" t="s">
        <v>138</v>
      </c>
      <c r="CK1713" s="28" t="s">
        <v>138</v>
      </c>
      <c r="CL1713" s="28" t="s">
        <v>175</v>
      </c>
      <c r="CM1713" s="34" t="s">
        <v>138</v>
      </c>
      <c r="CN1713" s="29" t="s">
        <v>138</v>
      </c>
      <c r="CO1713" s="35">
        <v>0.51</v>
      </c>
      <c r="CP1713" s="36">
        <v>95</v>
      </c>
      <c r="CQ1713" s="35">
        <v>0.01</v>
      </c>
      <c r="CR1713" s="35">
        <v>1.71</v>
      </c>
      <c r="CS1713" s="35">
        <v>1</v>
      </c>
      <c r="CT1713" s="36">
        <v>97</v>
      </c>
      <c r="CU1713" s="35">
        <v>0.02</v>
      </c>
      <c r="CV1713" s="36">
        <v>51</v>
      </c>
      <c r="CW1713" s="35">
        <v>2.23</v>
      </c>
      <c r="CX1713" s="36">
        <v>89</v>
      </c>
      <c r="CY1713" s="35">
        <v>-0.22</v>
      </c>
      <c r="CZ1713" s="36">
        <v>24</v>
      </c>
      <c r="DA1713" s="35">
        <v>0.04</v>
      </c>
      <c r="DB1713" s="36">
        <v>62</v>
      </c>
      <c r="DC1713" s="37">
        <v>14.94</v>
      </c>
      <c r="DD1713" s="36">
        <v>93</v>
      </c>
      <c r="DE1713" s="37">
        <v>-0.19</v>
      </c>
      <c r="DF1713" s="35">
        <v>-1.22</v>
      </c>
      <c r="DG1713" s="37">
        <v>9.09</v>
      </c>
      <c r="DH1713" s="36">
        <v>89</v>
      </c>
      <c r="DI1713" s="37">
        <v>20.8</v>
      </c>
      <c r="DJ1713" s="36">
        <v>91</v>
      </c>
      <c r="DK1713" s="37">
        <v>5.66</v>
      </c>
      <c r="DL1713" s="36">
        <v>81</v>
      </c>
      <c r="DM1713" s="37">
        <v>12.52</v>
      </c>
      <c r="DN1713" s="36">
        <v>91</v>
      </c>
      <c r="DO1713" s="37">
        <v>15.7</v>
      </c>
      <c r="DP1713" s="36">
        <v>91</v>
      </c>
      <c r="DQ1713" s="36">
        <v>1936</v>
      </c>
      <c r="DR1713" s="38">
        <v>16</v>
      </c>
      <c r="DS1713" s="35">
        <v>0.83</v>
      </c>
      <c r="DT1713" s="36">
        <v>364</v>
      </c>
      <c r="DU1713" s="38">
        <v>-2</v>
      </c>
      <c r="DV1713" s="35">
        <v>-0.55000000000000004</v>
      </c>
      <c r="DW1713" s="36">
        <v>5616</v>
      </c>
      <c r="DX1713" s="39">
        <v>7</v>
      </c>
      <c r="DY1713" s="35">
        <v>0.12</v>
      </c>
      <c r="DZ1713" s="28" t="s">
        <v>178</v>
      </c>
      <c r="EA1713" s="34">
        <v>43609</v>
      </c>
      <c r="EB1713" s="29">
        <v>155</v>
      </c>
      <c r="EC1713" s="34">
        <v>43279</v>
      </c>
      <c r="ED1713" s="28" t="s">
        <v>173</v>
      </c>
      <c r="EE1713" s="40" t="str">
        <f>HYPERLINK("https://my.pitchbook.com?c=53480-80", "View company online")</f>
        <v>View company online</v>
      </c>
    </row>
    <row r="1714" spans="1:135">
      <c r="A1714" s="15" t="s">
        <v>32653</v>
      </c>
      <c r="B1714" s="15" t="s">
        <v>32654</v>
      </c>
      <c r="C1714" s="15" t="s">
        <v>138</v>
      </c>
      <c r="D1714" s="15" t="s">
        <v>138</v>
      </c>
      <c r="E1714" s="15" t="s">
        <v>138</v>
      </c>
      <c r="F1714" s="15" t="s">
        <v>32653</v>
      </c>
      <c r="G1714" s="15" t="s">
        <v>32655</v>
      </c>
      <c r="H1714" s="15" t="s">
        <v>322</v>
      </c>
      <c r="I1714" s="15" t="s">
        <v>323</v>
      </c>
      <c r="J1714" s="15" t="s">
        <v>413</v>
      </c>
      <c r="K1714" s="15" t="s">
        <v>2254</v>
      </c>
      <c r="L1714" s="15" t="s">
        <v>855</v>
      </c>
      <c r="M1714" s="15" t="s">
        <v>32656</v>
      </c>
      <c r="N1714" s="15" t="s">
        <v>542</v>
      </c>
      <c r="O1714" s="17" t="s">
        <v>138</v>
      </c>
      <c r="P1714" s="15" t="s">
        <v>148</v>
      </c>
      <c r="Q1714" s="15" t="s">
        <v>149</v>
      </c>
      <c r="R1714" s="15" t="s">
        <v>174</v>
      </c>
      <c r="S1714" s="15" t="s">
        <v>32657</v>
      </c>
      <c r="T1714" s="18" t="s">
        <v>138</v>
      </c>
      <c r="U1714" s="15" t="s">
        <v>138</v>
      </c>
      <c r="V1714" s="15" t="s">
        <v>138</v>
      </c>
      <c r="W1714" s="15" t="s">
        <v>138</v>
      </c>
      <c r="X1714" s="19" t="s">
        <v>138</v>
      </c>
      <c r="Y1714" s="15" t="s">
        <v>138</v>
      </c>
      <c r="Z1714" s="15" t="s">
        <v>138</v>
      </c>
      <c r="AA1714" s="15" t="s">
        <v>138</v>
      </c>
      <c r="AB1714" s="20" t="s">
        <v>138</v>
      </c>
      <c r="AC1714" s="20" t="s">
        <v>138</v>
      </c>
      <c r="AD1714" s="20" t="s">
        <v>138</v>
      </c>
      <c r="AE1714" s="20" t="s">
        <v>138</v>
      </c>
      <c r="AF1714" s="20" t="s">
        <v>138</v>
      </c>
      <c r="AG1714" s="15" t="s">
        <v>138</v>
      </c>
      <c r="AH1714" s="20" t="s">
        <v>138</v>
      </c>
      <c r="AI1714" s="20" t="s">
        <v>138</v>
      </c>
      <c r="AJ1714" s="20" t="s">
        <v>138</v>
      </c>
      <c r="AK1714" s="15" t="s">
        <v>32658</v>
      </c>
      <c r="AL1714" s="15" t="s">
        <v>32659</v>
      </c>
      <c r="AM1714" s="15" t="s">
        <v>2776</v>
      </c>
      <c r="AN1714" s="15" t="s">
        <v>32660</v>
      </c>
      <c r="AO1714" s="15" t="s">
        <v>138</v>
      </c>
      <c r="AP1714" s="15" t="s">
        <v>941</v>
      </c>
      <c r="AQ1714" s="15" t="s">
        <v>32661</v>
      </c>
      <c r="AR1714" s="15" t="s">
        <v>138</v>
      </c>
      <c r="AS1714" s="15" t="s">
        <v>944</v>
      </c>
      <c r="AT1714" s="15" t="s">
        <v>138</v>
      </c>
      <c r="AU1714" s="15" t="s">
        <v>8355</v>
      </c>
      <c r="AV1714" s="15" t="s">
        <v>946</v>
      </c>
      <c r="AW1714" s="15" t="s">
        <v>138</v>
      </c>
      <c r="AX1714" s="15" t="s">
        <v>138</v>
      </c>
      <c r="AY1714" s="15" t="s">
        <v>32662</v>
      </c>
      <c r="AZ1714" s="15" t="s">
        <v>530</v>
      </c>
      <c r="BA1714" s="15" t="s">
        <v>531</v>
      </c>
      <c r="BB1714" s="15" t="s">
        <v>32663</v>
      </c>
      <c r="BC1714" s="15" t="s">
        <v>32664</v>
      </c>
      <c r="BD1714" s="21">
        <v>2</v>
      </c>
      <c r="BE1714" s="15" t="s">
        <v>138</v>
      </c>
      <c r="BF1714" s="15" t="s">
        <v>138</v>
      </c>
      <c r="BG1714" s="15" t="s">
        <v>138</v>
      </c>
      <c r="BH1714" s="15" t="s">
        <v>32665</v>
      </c>
      <c r="BI1714" s="15" t="s">
        <v>138</v>
      </c>
      <c r="BJ1714" s="15" t="s">
        <v>138</v>
      </c>
      <c r="BK1714" s="15" t="s">
        <v>138</v>
      </c>
      <c r="BL1714" s="15" t="s">
        <v>138</v>
      </c>
      <c r="BM1714" s="22">
        <v>42999</v>
      </c>
      <c r="BN1714" s="17" t="s">
        <v>138</v>
      </c>
      <c r="BO1714" s="15" t="s">
        <v>138</v>
      </c>
      <c r="BP1714" s="17" t="s">
        <v>138</v>
      </c>
      <c r="BQ1714" s="15" t="s">
        <v>138</v>
      </c>
      <c r="BR1714" s="15" t="s">
        <v>176</v>
      </c>
      <c r="BS1714" s="15" t="s">
        <v>138</v>
      </c>
      <c r="BT1714" s="15" t="s">
        <v>138</v>
      </c>
      <c r="BU1714" s="15" t="s">
        <v>177</v>
      </c>
      <c r="BV1714" s="15" t="s">
        <v>138</v>
      </c>
      <c r="BW1714" s="15" t="s">
        <v>138</v>
      </c>
      <c r="BX1714" s="15" t="s">
        <v>138</v>
      </c>
      <c r="BY1714" s="15" t="s">
        <v>175</v>
      </c>
      <c r="BZ1714" s="22" t="s">
        <v>138</v>
      </c>
      <c r="CA1714" s="17" t="s">
        <v>138</v>
      </c>
      <c r="CB1714" s="15" t="s">
        <v>138</v>
      </c>
      <c r="CC1714" s="17" t="s">
        <v>138</v>
      </c>
      <c r="CD1714" s="15" t="s">
        <v>138</v>
      </c>
      <c r="CE1714" s="15" t="s">
        <v>316</v>
      </c>
      <c r="CF1714" s="15" t="s">
        <v>138</v>
      </c>
      <c r="CG1714" s="15" t="s">
        <v>138</v>
      </c>
      <c r="CH1714" s="15" t="s">
        <v>177</v>
      </c>
      <c r="CI1714" s="15" t="s">
        <v>138</v>
      </c>
      <c r="CJ1714" s="15" t="s">
        <v>138</v>
      </c>
      <c r="CK1714" s="15" t="s">
        <v>138</v>
      </c>
      <c r="CL1714" s="15" t="s">
        <v>175</v>
      </c>
      <c r="CM1714" s="22" t="s">
        <v>138</v>
      </c>
      <c r="CN1714" s="17" t="s">
        <v>138</v>
      </c>
      <c r="CO1714" s="23">
        <v>0</v>
      </c>
      <c r="CP1714" s="24">
        <v>26</v>
      </c>
      <c r="CQ1714" s="23">
        <v>0</v>
      </c>
      <c r="CR1714" s="23">
        <v>0</v>
      </c>
      <c r="CS1714" s="23">
        <v>0</v>
      </c>
      <c r="CT1714" s="24">
        <v>23</v>
      </c>
      <c r="CU1714" s="23" t="s">
        <v>138</v>
      </c>
      <c r="CV1714" s="24" t="s">
        <v>138</v>
      </c>
      <c r="CW1714" s="23" t="s">
        <v>138</v>
      </c>
      <c r="CX1714" s="24" t="s">
        <v>138</v>
      </c>
      <c r="CY1714" s="23">
        <v>0</v>
      </c>
      <c r="CZ1714" s="24">
        <v>25</v>
      </c>
      <c r="DA1714" s="23" t="s">
        <v>138</v>
      </c>
      <c r="DB1714" s="24" t="s">
        <v>138</v>
      </c>
      <c r="DC1714" s="25">
        <v>1.07</v>
      </c>
      <c r="DD1714" s="24">
        <v>53</v>
      </c>
      <c r="DE1714" s="25">
        <v>0</v>
      </c>
      <c r="DF1714" s="23">
        <v>0</v>
      </c>
      <c r="DG1714" s="25">
        <v>1.07</v>
      </c>
      <c r="DH1714" s="24">
        <v>52</v>
      </c>
      <c r="DI1714" s="25" t="s">
        <v>138</v>
      </c>
      <c r="DJ1714" s="24" t="s">
        <v>138</v>
      </c>
      <c r="DK1714" s="25" t="s">
        <v>138</v>
      </c>
      <c r="DL1714" s="24" t="s">
        <v>138</v>
      </c>
      <c r="DM1714" s="25">
        <v>1.07</v>
      </c>
      <c r="DN1714" s="24">
        <v>52</v>
      </c>
      <c r="DO1714" s="25" t="s">
        <v>138</v>
      </c>
      <c r="DP1714" s="24" t="s">
        <v>138</v>
      </c>
      <c r="DQ1714" s="24" t="s">
        <v>138</v>
      </c>
      <c r="DR1714" s="26" t="s">
        <v>138</v>
      </c>
      <c r="DS1714" s="23" t="s">
        <v>138</v>
      </c>
      <c r="DT1714" s="24">
        <v>31</v>
      </c>
      <c r="DU1714" s="26">
        <v>1</v>
      </c>
      <c r="DV1714" s="23">
        <v>3.33</v>
      </c>
      <c r="DW1714" s="24" t="s">
        <v>138</v>
      </c>
      <c r="DX1714" s="27" t="s">
        <v>138</v>
      </c>
      <c r="DY1714" s="23" t="s">
        <v>138</v>
      </c>
      <c r="DZ1714" s="15" t="s">
        <v>178</v>
      </c>
      <c r="EA1714" s="22">
        <v>43622</v>
      </c>
      <c r="EB1714" s="17" t="s">
        <v>138</v>
      </c>
      <c r="EC1714" s="22" t="s">
        <v>138</v>
      </c>
      <c r="ED1714" s="15" t="s">
        <v>138</v>
      </c>
      <c r="EE1714" s="14" t="str">
        <f>HYPERLINK("https://my.pitchbook.com?c=187516-81", "View company online")</f>
        <v>View company online</v>
      </c>
    </row>
    <row r="1715" spans="1:135">
      <c r="A1715" s="28" t="s">
        <v>32666</v>
      </c>
      <c r="B1715" s="28" t="s">
        <v>32667</v>
      </c>
      <c r="C1715" s="28" t="s">
        <v>32668</v>
      </c>
      <c r="D1715" s="28" t="s">
        <v>138</v>
      </c>
      <c r="E1715" s="28" t="s">
        <v>138</v>
      </c>
      <c r="F1715" s="28" t="s">
        <v>32666</v>
      </c>
      <c r="G1715" s="28" t="s">
        <v>32669</v>
      </c>
      <c r="H1715" s="28" t="s">
        <v>322</v>
      </c>
      <c r="I1715" s="28" t="s">
        <v>323</v>
      </c>
      <c r="J1715" s="28" t="s">
        <v>413</v>
      </c>
      <c r="K1715" s="28" t="s">
        <v>2254</v>
      </c>
      <c r="L1715" s="28" t="s">
        <v>32670</v>
      </c>
      <c r="M1715" s="28" t="s">
        <v>32671</v>
      </c>
      <c r="N1715" s="28" t="s">
        <v>147</v>
      </c>
      <c r="O1715" s="29">
        <v>229</v>
      </c>
      <c r="P1715" s="28" t="s">
        <v>148</v>
      </c>
      <c r="Q1715" s="28" t="s">
        <v>149</v>
      </c>
      <c r="R1715" s="28" t="s">
        <v>174</v>
      </c>
      <c r="S1715" s="28" t="s">
        <v>32672</v>
      </c>
      <c r="T1715" s="30">
        <v>300</v>
      </c>
      <c r="U1715" s="28" t="s">
        <v>32673</v>
      </c>
      <c r="V1715" s="28" t="s">
        <v>138</v>
      </c>
      <c r="W1715" s="28" t="s">
        <v>138</v>
      </c>
      <c r="X1715" s="31">
        <v>2018</v>
      </c>
      <c r="Y1715" s="28" t="s">
        <v>138</v>
      </c>
      <c r="Z1715" s="28" t="s">
        <v>138</v>
      </c>
      <c r="AA1715" s="28" t="s">
        <v>138</v>
      </c>
      <c r="AB1715" s="32" t="s">
        <v>138</v>
      </c>
      <c r="AC1715" s="32" t="s">
        <v>138</v>
      </c>
      <c r="AD1715" s="32" t="s">
        <v>138</v>
      </c>
      <c r="AE1715" s="32" t="s">
        <v>138</v>
      </c>
      <c r="AF1715" s="32" t="s">
        <v>138</v>
      </c>
      <c r="AG1715" s="28" t="s">
        <v>138</v>
      </c>
      <c r="AH1715" s="32" t="s">
        <v>138</v>
      </c>
      <c r="AI1715" s="32" t="s">
        <v>138</v>
      </c>
      <c r="AJ1715" s="32" t="s">
        <v>138</v>
      </c>
      <c r="AK1715" s="28" t="s">
        <v>32674</v>
      </c>
      <c r="AL1715" s="28" t="s">
        <v>32675</v>
      </c>
      <c r="AM1715" s="28" t="s">
        <v>365</v>
      </c>
      <c r="AN1715" s="28" t="s">
        <v>32676</v>
      </c>
      <c r="AO1715" s="28" t="s">
        <v>138</v>
      </c>
      <c r="AP1715" s="28" t="s">
        <v>665</v>
      </c>
      <c r="AQ1715" s="28" t="s">
        <v>32677</v>
      </c>
      <c r="AR1715" s="28" t="s">
        <v>138</v>
      </c>
      <c r="AS1715" s="28" t="s">
        <v>668</v>
      </c>
      <c r="AT1715" s="28" t="s">
        <v>200</v>
      </c>
      <c r="AU1715" s="28" t="s">
        <v>669</v>
      </c>
      <c r="AV1715" s="28" t="s">
        <v>162</v>
      </c>
      <c r="AW1715" s="28" t="s">
        <v>138</v>
      </c>
      <c r="AX1715" s="28" t="s">
        <v>138</v>
      </c>
      <c r="AY1715" s="28" t="s">
        <v>32678</v>
      </c>
      <c r="AZ1715" s="28" t="s">
        <v>164</v>
      </c>
      <c r="BA1715" s="28" t="s">
        <v>165</v>
      </c>
      <c r="BB1715" s="28" t="s">
        <v>32679</v>
      </c>
      <c r="BC1715" s="28" t="s">
        <v>32680</v>
      </c>
      <c r="BD1715" s="33">
        <v>7</v>
      </c>
      <c r="BE1715" s="28" t="s">
        <v>138</v>
      </c>
      <c r="BF1715" s="28" t="s">
        <v>138</v>
      </c>
      <c r="BG1715" s="28" t="s">
        <v>138</v>
      </c>
      <c r="BH1715" s="28" t="s">
        <v>32681</v>
      </c>
      <c r="BI1715" s="28" t="s">
        <v>138</v>
      </c>
      <c r="BJ1715" s="28" t="s">
        <v>138</v>
      </c>
      <c r="BK1715" s="28" t="s">
        <v>138</v>
      </c>
      <c r="BL1715" s="28" t="s">
        <v>3826</v>
      </c>
      <c r="BM1715" s="34">
        <v>43175</v>
      </c>
      <c r="BN1715" s="29">
        <v>50</v>
      </c>
      <c r="BO1715" s="28" t="s">
        <v>1178</v>
      </c>
      <c r="BP1715" s="29">
        <v>69.97</v>
      </c>
      <c r="BQ1715" s="28" t="s">
        <v>172</v>
      </c>
      <c r="BR1715" s="28" t="s">
        <v>234</v>
      </c>
      <c r="BS1715" s="28" t="s">
        <v>234</v>
      </c>
      <c r="BT1715" s="28" t="s">
        <v>138</v>
      </c>
      <c r="BU1715" s="28" t="s">
        <v>174</v>
      </c>
      <c r="BV1715" s="28" t="s">
        <v>138</v>
      </c>
      <c r="BW1715" s="28" t="s">
        <v>138</v>
      </c>
      <c r="BX1715" s="28" t="s">
        <v>138</v>
      </c>
      <c r="BY1715" s="28" t="s">
        <v>175</v>
      </c>
      <c r="BZ1715" s="34">
        <v>43538</v>
      </c>
      <c r="CA1715" s="29" t="s">
        <v>138</v>
      </c>
      <c r="CB1715" s="28" t="s">
        <v>138</v>
      </c>
      <c r="CC1715" s="29" t="s">
        <v>138</v>
      </c>
      <c r="CD1715" s="28" t="s">
        <v>138</v>
      </c>
      <c r="CE1715" s="28" t="s">
        <v>205</v>
      </c>
      <c r="CF1715" s="28" t="s">
        <v>138</v>
      </c>
      <c r="CG1715" s="28" t="s">
        <v>138</v>
      </c>
      <c r="CH1715" s="28" t="s">
        <v>174</v>
      </c>
      <c r="CI1715" s="28" t="s">
        <v>138</v>
      </c>
      <c r="CJ1715" s="28" t="s">
        <v>138</v>
      </c>
      <c r="CK1715" s="28" t="s">
        <v>138</v>
      </c>
      <c r="CL1715" s="28" t="s">
        <v>175</v>
      </c>
      <c r="CM1715" s="34" t="s">
        <v>138</v>
      </c>
      <c r="CN1715" s="29" t="s">
        <v>138</v>
      </c>
      <c r="CO1715" s="35">
        <v>0.23</v>
      </c>
      <c r="CP1715" s="36">
        <v>93</v>
      </c>
      <c r="CQ1715" s="35">
        <v>-0.04</v>
      </c>
      <c r="CR1715" s="35">
        <v>-16.07</v>
      </c>
      <c r="CS1715" s="35">
        <v>1.26</v>
      </c>
      <c r="CT1715" s="36">
        <v>97</v>
      </c>
      <c r="CU1715" s="35">
        <v>0.49</v>
      </c>
      <c r="CV1715" s="36">
        <v>93</v>
      </c>
      <c r="CW1715" s="35">
        <v>2.5299999999999998</v>
      </c>
      <c r="CX1715" s="36">
        <v>90</v>
      </c>
      <c r="CY1715" s="35">
        <v>0</v>
      </c>
      <c r="CZ1715" s="36">
        <v>25</v>
      </c>
      <c r="DA1715" s="35">
        <v>0.49</v>
      </c>
      <c r="DB1715" s="36">
        <v>94</v>
      </c>
      <c r="DC1715" s="37">
        <v>2.0299999999999998</v>
      </c>
      <c r="DD1715" s="36">
        <v>67</v>
      </c>
      <c r="DE1715" s="37">
        <v>-0.15</v>
      </c>
      <c r="DF1715" s="35">
        <v>-6.88</v>
      </c>
      <c r="DG1715" s="37">
        <v>4.34</v>
      </c>
      <c r="DH1715" s="36">
        <v>80</v>
      </c>
      <c r="DI1715" s="37">
        <v>1.18</v>
      </c>
      <c r="DJ1715" s="36">
        <v>52</v>
      </c>
      <c r="DK1715" s="37">
        <v>7.1</v>
      </c>
      <c r="DL1715" s="36">
        <v>83</v>
      </c>
      <c r="DM1715" s="37">
        <v>1.59</v>
      </c>
      <c r="DN1715" s="36">
        <v>61</v>
      </c>
      <c r="DO1715" s="37">
        <v>1.18</v>
      </c>
      <c r="DP1715" s="36">
        <v>54</v>
      </c>
      <c r="DQ1715" s="36">
        <v>2354</v>
      </c>
      <c r="DR1715" s="38">
        <v>239</v>
      </c>
      <c r="DS1715" s="35">
        <v>11.3</v>
      </c>
      <c r="DT1715" s="36">
        <v>46</v>
      </c>
      <c r="DU1715" s="38">
        <v>-1</v>
      </c>
      <c r="DV1715" s="35">
        <v>-2.13</v>
      </c>
      <c r="DW1715" s="36">
        <v>418</v>
      </c>
      <c r="DX1715" s="39">
        <v>3</v>
      </c>
      <c r="DY1715" s="35">
        <v>0.72</v>
      </c>
      <c r="DZ1715" s="28" t="s">
        <v>178</v>
      </c>
      <c r="EA1715" s="34">
        <v>43577</v>
      </c>
      <c r="EB1715" s="29">
        <v>679</v>
      </c>
      <c r="EC1715" s="34">
        <v>43396</v>
      </c>
      <c r="ED1715" s="28" t="s">
        <v>205</v>
      </c>
      <c r="EE1715" s="40" t="str">
        <f>HYPERLINK("https://my.pitchbook.com?c=229164-40", "View company online")</f>
        <v>View company online</v>
      </c>
    </row>
    <row r="1716" spans="1:135">
      <c r="A1716" s="15" t="s">
        <v>32682</v>
      </c>
      <c r="B1716" s="15" t="s">
        <v>32683</v>
      </c>
      <c r="C1716" s="15" t="s">
        <v>138</v>
      </c>
      <c r="D1716" s="15" t="s">
        <v>138</v>
      </c>
      <c r="E1716" s="15" t="s">
        <v>138</v>
      </c>
      <c r="F1716" s="15" t="s">
        <v>32682</v>
      </c>
      <c r="G1716" s="15" t="s">
        <v>32684</v>
      </c>
      <c r="H1716" s="15" t="s">
        <v>238</v>
      </c>
      <c r="I1716" s="15" t="s">
        <v>749</v>
      </c>
      <c r="J1716" s="15" t="s">
        <v>4261</v>
      </c>
      <c r="K1716" s="15" t="s">
        <v>12384</v>
      </c>
      <c r="L1716" s="15" t="s">
        <v>752</v>
      </c>
      <c r="M1716" s="15" t="s">
        <v>32685</v>
      </c>
      <c r="N1716" s="15" t="s">
        <v>147</v>
      </c>
      <c r="O1716" s="17">
        <v>2.54</v>
      </c>
      <c r="P1716" s="15" t="s">
        <v>148</v>
      </c>
      <c r="Q1716" s="15" t="s">
        <v>149</v>
      </c>
      <c r="R1716" s="15" t="s">
        <v>244</v>
      </c>
      <c r="S1716" s="15" t="s">
        <v>32686</v>
      </c>
      <c r="T1716" s="18">
        <v>6</v>
      </c>
      <c r="U1716" s="15" t="s">
        <v>31962</v>
      </c>
      <c r="V1716" s="15" t="s">
        <v>138</v>
      </c>
      <c r="W1716" s="15" t="s">
        <v>138</v>
      </c>
      <c r="X1716" s="19">
        <v>2015</v>
      </c>
      <c r="Y1716" s="15" t="s">
        <v>138</v>
      </c>
      <c r="Z1716" s="15" t="s">
        <v>138</v>
      </c>
      <c r="AA1716" s="15" t="s">
        <v>138</v>
      </c>
      <c r="AB1716" s="20" t="s">
        <v>138</v>
      </c>
      <c r="AC1716" s="20" t="s">
        <v>138</v>
      </c>
      <c r="AD1716" s="20" t="s">
        <v>138</v>
      </c>
      <c r="AE1716" s="20" t="s">
        <v>138</v>
      </c>
      <c r="AF1716" s="20" t="s">
        <v>138</v>
      </c>
      <c r="AG1716" s="15" t="s">
        <v>138</v>
      </c>
      <c r="AH1716" s="20" t="s">
        <v>138</v>
      </c>
      <c r="AI1716" s="20" t="s">
        <v>138</v>
      </c>
      <c r="AJ1716" s="20" t="s">
        <v>138</v>
      </c>
      <c r="AK1716" s="15" t="s">
        <v>32687</v>
      </c>
      <c r="AL1716" s="15" t="s">
        <v>32688</v>
      </c>
      <c r="AM1716" s="15" t="s">
        <v>304</v>
      </c>
      <c r="AN1716" s="15" t="s">
        <v>32689</v>
      </c>
      <c r="AO1716" s="15" t="s">
        <v>32690</v>
      </c>
      <c r="AP1716" s="15" t="s">
        <v>2819</v>
      </c>
      <c r="AQ1716" s="15" t="s">
        <v>32691</v>
      </c>
      <c r="AR1716" s="15" t="s">
        <v>138</v>
      </c>
      <c r="AS1716" s="15" t="s">
        <v>284</v>
      </c>
      <c r="AT1716" s="15" t="s">
        <v>2822</v>
      </c>
      <c r="AU1716" s="15" t="s">
        <v>32692</v>
      </c>
      <c r="AV1716" s="15" t="s">
        <v>162</v>
      </c>
      <c r="AW1716" s="15" t="s">
        <v>32690</v>
      </c>
      <c r="AX1716" s="15" t="s">
        <v>138</v>
      </c>
      <c r="AY1716" s="15" t="s">
        <v>32693</v>
      </c>
      <c r="AZ1716" s="15" t="s">
        <v>164</v>
      </c>
      <c r="BA1716" s="15" t="s">
        <v>165</v>
      </c>
      <c r="BB1716" s="15" t="s">
        <v>32694</v>
      </c>
      <c r="BC1716" s="15" t="s">
        <v>32695</v>
      </c>
      <c r="BD1716" s="21">
        <v>3</v>
      </c>
      <c r="BE1716" s="15" t="s">
        <v>138</v>
      </c>
      <c r="BF1716" s="15" t="s">
        <v>138</v>
      </c>
      <c r="BG1716" s="15" t="s">
        <v>138</v>
      </c>
      <c r="BH1716" s="15" t="s">
        <v>32696</v>
      </c>
      <c r="BI1716" s="15" t="s">
        <v>138</v>
      </c>
      <c r="BJ1716" s="15" t="s">
        <v>138</v>
      </c>
      <c r="BK1716" s="15" t="s">
        <v>138</v>
      </c>
      <c r="BL1716" s="15" t="s">
        <v>32697</v>
      </c>
      <c r="BM1716" s="22">
        <v>42257</v>
      </c>
      <c r="BN1716" s="17" t="s">
        <v>138</v>
      </c>
      <c r="BO1716" s="15" t="s">
        <v>138</v>
      </c>
      <c r="BP1716" s="17" t="s">
        <v>138</v>
      </c>
      <c r="BQ1716" s="15" t="s">
        <v>138</v>
      </c>
      <c r="BR1716" s="15" t="s">
        <v>1830</v>
      </c>
      <c r="BS1716" s="15" t="s">
        <v>138</v>
      </c>
      <c r="BT1716" s="15" t="s">
        <v>138</v>
      </c>
      <c r="BU1716" s="15" t="s">
        <v>263</v>
      </c>
      <c r="BV1716" s="15" t="s">
        <v>138</v>
      </c>
      <c r="BW1716" s="15" t="s">
        <v>138</v>
      </c>
      <c r="BX1716" s="15" t="s">
        <v>138</v>
      </c>
      <c r="BY1716" s="15" t="s">
        <v>1831</v>
      </c>
      <c r="BZ1716" s="22">
        <v>43602</v>
      </c>
      <c r="CA1716" s="17" t="s">
        <v>138</v>
      </c>
      <c r="CB1716" s="15" t="s">
        <v>138</v>
      </c>
      <c r="CC1716" s="17" t="s">
        <v>138</v>
      </c>
      <c r="CD1716" s="15" t="s">
        <v>138</v>
      </c>
      <c r="CE1716" s="15" t="s">
        <v>205</v>
      </c>
      <c r="CF1716" s="15" t="s">
        <v>138</v>
      </c>
      <c r="CG1716" s="15" t="s">
        <v>138</v>
      </c>
      <c r="CH1716" s="15" t="s">
        <v>174</v>
      </c>
      <c r="CI1716" s="15" t="s">
        <v>138</v>
      </c>
      <c r="CJ1716" s="15" t="s">
        <v>138</v>
      </c>
      <c r="CK1716" s="15" t="s">
        <v>138</v>
      </c>
      <c r="CL1716" s="15" t="s">
        <v>175</v>
      </c>
      <c r="CM1716" s="22">
        <v>42898</v>
      </c>
      <c r="CN1716" s="17" t="s">
        <v>138</v>
      </c>
      <c r="CO1716" s="23">
        <v>-0.01</v>
      </c>
      <c r="CP1716" s="24">
        <v>25</v>
      </c>
      <c r="CQ1716" s="23">
        <v>0</v>
      </c>
      <c r="CR1716" s="23">
        <v>0.98</v>
      </c>
      <c r="CS1716" s="23">
        <v>0</v>
      </c>
      <c r="CT1716" s="24">
        <v>23</v>
      </c>
      <c r="CU1716" s="23">
        <v>-0.01</v>
      </c>
      <c r="CV1716" s="24">
        <v>20</v>
      </c>
      <c r="CW1716" s="23" t="s">
        <v>138</v>
      </c>
      <c r="CX1716" s="24" t="s">
        <v>138</v>
      </c>
      <c r="CY1716" s="23">
        <v>0</v>
      </c>
      <c r="CZ1716" s="24">
        <v>25</v>
      </c>
      <c r="DA1716" s="23">
        <v>-0.09</v>
      </c>
      <c r="DB1716" s="24">
        <v>7</v>
      </c>
      <c r="DC1716" s="25">
        <v>1.1399999999999999</v>
      </c>
      <c r="DD1716" s="24">
        <v>54</v>
      </c>
      <c r="DE1716" s="25">
        <v>0.08</v>
      </c>
      <c r="DF1716" s="23">
        <v>7.71</v>
      </c>
      <c r="DG1716" s="25">
        <v>1.17</v>
      </c>
      <c r="DH1716" s="24">
        <v>55</v>
      </c>
      <c r="DI1716" s="25">
        <v>1.1000000000000001</v>
      </c>
      <c r="DJ1716" s="24">
        <v>51</v>
      </c>
      <c r="DK1716" s="25" t="s">
        <v>138</v>
      </c>
      <c r="DL1716" s="24" t="s">
        <v>138</v>
      </c>
      <c r="DM1716" s="25">
        <v>1.17</v>
      </c>
      <c r="DN1716" s="24">
        <v>54</v>
      </c>
      <c r="DO1716" s="25">
        <v>1.18</v>
      </c>
      <c r="DP1716" s="24">
        <v>54</v>
      </c>
      <c r="DQ1716" s="24">
        <v>256</v>
      </c>
      <c r="DR1716" s="26">
        <v>5</v>
      </c>
      <c r="DS1716" s="23">
        <v>1.99</v>
      </c>
      <c r="DT1716" s="24">
        <v>34</v>
      </c>
      <c r="DU1716" s="26">
        <v>1</v>
      </c>
      <c r="DV1716" s="23">
        <v>3.03</v>
      </c>
      <c r="DW1716" s="24">
        <v>422</v>
      </c>
      <c r="DX1716" s="27">
        <v>1</v>
      </c>
      <c r="DY1716" s="23">
        <v>0.24</v>
      </c>
      <c r="DZ1716" s="15" t="s">
        <v>178</v>
      </c>
      <c r="EA1716" s="22">
        <v>43605</v>
      </c>
      <c r="EB1716" s="17">
        <v>6</v>
      </c>
      <c r="EC1716" s="22">
        <v>42901</v>
      </c>
      <c r="ED1716" s="15" t="s">
        <v>234</v>
      </c>
      <c r="EE1716" s="14" t="str">
        <f>HYPERLINK("https://my.pitchbook.com?c=167644-99", "View company online")</f>
        <v>View company online</v>
      </c>
    </row>
    <row r="1717" spans="1:135">
      <c r="A1717" s="28" t="s">
        <v>32698</v>
      </c>
      <c r="B1717" s="28" t="s">
        <v>32699</v>
      </c>
      <c r="C1717" s="28" t="s">
        <v>138</v>
      </c>
      <c r="D1717" s="28" t="s">
        <v>138</v>
      </c>
      <c r="E1717" s="28" t="s">
        <v>138</v>
      </c>
      <c r="F1717" s="28" t="s">
        <v>32698</v>
      </c>
      <c r="G1717" s="28" t="s">
        <v>32700</v>
      </c>
      <c r="H1717" s="28" t="s">
        <v>322</v>
      </c>
      <c r="I1717" s="28" t="s">
        <v>323</v>
      </c>
      <c r="J1717" s="28" t="s">
        <v>324</v>
      </c>
      <c r="K1717" s="28" t="s">
        <v>325</v>
      </c>
      <c r="L1717" s="28" t="s">
        <v>32701</v>
      </c>
      <c r="M1717" s="28" t="s">
        <v>32702</v>
      </c>
      <c r="N1717" s="28" t="s">
        <v>147</v>
      </c>
      <c r="O1717" s="29">
        <v>8.3800000000000008</v>
      </c>
      <c r="P1717" s="28" t="s">
        <v>148</v>
      </c>
      <c r="Q1717" s="28" t="s">
        <v>149</v>
      </c>
      <c r="R1717" s="28" t="s">
        <v>174</v>
      </c>
      <c r="S1717" s="28" t="s">
        <v>32703</v>
      </c>
      <c r="T1717" s="30">
        <v>34</v>
      </c>
      <c r="U1717" s="28" t="s">
        <v>32704</v>
      </c>
      <c r="V1717" s="28" t="s">
        <v>138</v>
      </c>
      <c r="W1717" s="28" t="s">
        <v>138</v>
      </c>
      <c r="X1717" s="31">
        <v>2012</v>
      </c>
      <c r="Y1717" s="28" t="s">
        <v>138</v>
      </c>
      <c r="Z1717" s="28" t="s">
        <v>138</v>
      </c>
      <c r="AA1717" s="28" t="s">
        <v>138</v>
      </c>
      <c r="AB1717" s="32" t="s">
        <v>138</v>
      </c>
      <c r="AC1717" s="32" t="s">
        <v>138</v>
      </c>
      <c r="AD1717" s="32" t="s">
        <v>138</v>
      </c>
      <c r="AE1717" s="32" t="s">
        <v>138</v>
      </c>
      <c r="AF1717" s="32" t="s">
        <v>138</v>
      </c>
      <c r="AG1717" s="28" t="s">
        <v>138</v>
      </c>
      <c r="AH1717" s="32" t="s">
        <v>138</v>
      </c>
      <c r="AI1717" s="32" t="s">
        <v>138</v>
      </c>
      <c r="AJ1717" s="32" t="s">
        <v>138</v>
      </c>
      <c r="AK1717" s="28" t="s">
        <v>32705</v>
      </c>
      <c r="AL1717" s="28" t="s">
        <v>32706</v>
      </c>
      <c r="AM1717" s="28" t="s">
        <v>422</v>
      </c>
      <c r="AN1717" s="28" t="s">
        <v>32707</v>
      </c>
      <c r="AO1717" s="28" t="s">
        <v>32708</v>
      </c>
      <c r="AP1717" s="28" t="s">
        <v>3351</v>
      </c>
      <c r="AQ1717" s="28" t="s">
        <v>32709</v>
      </c>
      <c r="AR1717" s="28" t="s">
        <v>1459</v>
      </c>
      <c r="AS1717" s="28" t="s">
        <v>3354</v>
      </c>
      <c r="AT1717" s="28" t="s">
        <v>2740</v>
      </c>
      <c r="AU1717" s="28" t="s">
        <v>32710</v>
      </c>
      <c r="AV1717" s="28" t="s">
        <v>2742</v>
      </c>
      <c r="AW1717" s="28" t="s">
        <v>32708</v>
      </c>
      <c r="AX1717" s="28" t="s">
        <v>138</v>
      </c>
      <c r="AY1717" s="28" t="s">
        <v>32711</v>
      </c>
      <c r="AZ1717" s="28" t="s">
        <v>164</v>
      </c>
      <c r="BA1717" s="28" t="s">
        <v>165</v>
      </c>
      <c r="BB1717" s="28" t="s">
        <v>32712</v>
      </c>
      <c r="BC1717" s="28" t="s">
        <v>32713</v>
      </c>
      <c r="BD1717" s="33">
        <v>25</v>
      </c>
      <c r="BE1717" s="28" t="s">
        <v>138</v>
      </c>
      <c r="BF1717" s="28" t="s">
        <v>138</v>
      </c>
      <c r="BG1717" s="28" t="s">
        <v>138</v>
      </c>
      <c r="BH1717" s="28" t="s">
        <v>32714</v>
      </c>
      <c r="BI1717" s="28" t="s">
        <v>138</v>
      </c>
      <c r="BJ1717" s="28" t="s">
        <v>138</v>
      </c>
      <c r="BK1717" s="28" t="s">
        <v>138</v>
      </c>
      <c r="BL1717" s="28" t="s">
        <v>138</v>
      </c>
      <c r="BM1717" s="34" t="s">
        <v>138</v>
      </c>
      <c r="BN1717" s="29" t="s">
        <v>138</v>
      </c>
      <c r="BO1717" s="28" t="s">
        <v>138</v>
      </c>
      <c r="BP1717" s="29" t="s">
        <v>138</v>
      </c>
      <c r="BQ1717" s="28" t="s">
        <v>138</v>
      </c>
      <c r="BR1717" s="28" t="s">
        <v>316</v>
      </c>
      <c r="BS1717" s="28" t="s">
        <v>138</v>
      </c>
      <c r="BT1717" s="28" t="s">
        <v>138</v>
      </c>
      <c r="BU1717" s="28" t="s">
        <v>177</v>
      </c>
      <c r="BV1717" s="28" t="s">
        <v>138</v>
      </c>
      <c r="BW1717" s="28" t="s">
        <v>138</v>
      </c>
      <c r="BX1717" s="28" t="s">
        <v>138</v>
      </c>
      <c r="BY1717" s="28" t="s">
        <v>175</v>
      </c>
      <c r="BZ1717" s="34">
        <v>43542</v>
      </c>
      <c r="CA1717" s="29">
        <v>4.7</v>
      </c>
      <c r="CB1717" s="28" t="s">
        <v>172</v>
      </c>
      <c r="CC1717" s="29" t="s">
        <v>138</v>
      </c>
      <c r="CD1717" s="28" t="s">
        <v>138</v>
      </c>
      <c r="CE1717" s="28" t="s">
        <v>205</v>
      </c>
      <c r="CF1717" s="28" t="s">
        <v>206</v>
      </c>
      <c r="CG1717" s="28" t="s">
        <v>138</v>
      </c>
      <c r="CH1717" s="28" t="s">
        <v>174</v>
      </c>
      <c r="CI1717" s="28" t="s">
        <v>138</v>
      </c>
      <c r="CJ1717" s="28" t="s">
        <v>138</v>
      </c>
      <c r="CK1717" s="28" t="s">
        <v>138</v>
      </c>
      <c r="CL1717" s="28" t="s">
        <v>175</v>
      </c>
      <c r="CM1717" s="34" t="s">
        <v>138</v>
      </c>
      <c r="CN1717" s="29" t="s">
        <v>138</v>
      </c>
      <c r="CO1717" s="35">
        <v>1.0900000000000001</v>
      </c>
      <c r="CP1717" s="36">
        <v>97</v>
      </c>
      <c r="CQ1717" s="35">
        <v>0</v>
      </c>
      <c r="CR1717" s="35">
        <v>0</v>
      </c>
      <c r="CS1717" s="35">
        <v>0.79</v>
      </c>
      <c r="CT1717" s="36">
        <v>96</v>
      </c>
      <c r="CU1717" s="35" t="s">
        <v>138</v>
      </c>
      <c r="CV1717" s="36" t="s">
        <v>138</v>
      </c>
      <c r="CW1717" s="35">
        <v>0.79</v>
      </c>
      <c r="CX1717" s="36">
        <v>84</v>
      </c>
      <c r="CY1717" s="35" t="s">
        <v>138</v>
      </c>
      <c r="CZ1717" s="36" t="s">
        <v>138</v>
      </c>
      <c r="DA1717" s="35" t="s">
        <v>138</v>
      </c>
      <c r="DB1717" s="36" t="s">
        <v>138</v>
      </c>
      <c r="DC1717" s="37">
        <v>1.69</v>
      </c>
      <c r="DD1717" s="36">
        <v>63</v>
      </c>
      <c r="DE1717" s="37">
        <v>-0.2</v>
      </c>
      <c r="DF1717" s="35">
        <v>-10.72</v>
      </c>
      <c r="DG1717" s="37">
        <v>3.22</v>
      </c>
      <c r="DH1717" s="36">
        <v>76</v>
      </c>
      <c r="DI1717" s="37" t="s">
        <v>138</v>
      </c>
      <c r="DJ1717" s="36" t="s">
        <v>138</v>
      </c>
      <c r="DK1717" s="37">
        <v>3.22</v>
      </c>
      <c r="DL1717" s="36">
        <v>73</v>
      </c>
      <c r="DM1717" s="37" t="s">
        <v>138</v>
      </c>
      <c r="DN1717" s="36" t="s">
        <v>138</v>
      </c>
      <c r="DO1717" s="37" t="s">
        <v>138</v>
      </c>
      <c r="DP1717" s="36" t="s">
        <v>138</v>
      </c>
      <c r="DQ1717" s="36">
        <v>1063</v>
      </c>
      <c r="DR1717" s="38">
        <v>122</v>
      </c>
      <c r="DS1717" s="35">
        <v>12.96</v>
      </c>
      <c r="DT1717" s="36" t="s">
        <v>138</v>
      </c>
      <c r="DU1717" s="38" t="s">
        <v>138</v>
      </c>
      <c r="DV1717" s="35" t="s">
        <v>138</v>
      </c>
      <c r="DW1717" s="36">
        <v>3275</v>
      </c>
      <c r="DX1717" s="39">
        <v>3</v>
      </c>
      <c r="DY1717" s="35">
        <v>0.09</v>
      </c>
      <c r="DZ1717" s="28" t="s">
        <v>178</v>
      </c>
      <c r="EA1717" s="34">
        <v>43559</v>
      </c>
      <c r="EB1717" s="29" t="s">
        <v>138</v>
      </c>
      <c r="EC1717" s="34" t="s">
        <v>138</v>
      </c>
      <c r="ED1717" s="28" t="s">
        <v>138</v>
      </c>
      <c r="EE1717" s="40" t="str">
        <f>HYPERLINK("https://my.pitchbook.com?c=83215-63", "View company online")</f>
        <v>View company online</v>
      </c>
    </row>
    <row r="1718" spans="1:135">
      <c r="A1718" s="15" t="s">
        <v>32715</v>
      </c>
      <c r="B1718" s="15" t="s">
        <v>32716</v>
      </c>
      <c r="C1718" s="15" t="s">
        <v>138</v>
      </c>
      <c r="D1718" s="15" t="s">
        <v>138</v>
      </c>
      <c r="E1718" s="15" t="s">
        <v>32717</v>
      </c>
      <c r="F1718" s="15" t="s">
        <v>32715</v>
      </c>
      <c r="G1718" s="15" t="s">
        <v>32718</v>
      </c>
      <c r="H1718" s="15" t="s">
        <v>322</v>
      </c>
      <c r="I1718" s="15" t="s">
        <v>356</v>
      </c>
      <c r="J1718" s="15" t="s">
        <v>3030</v>
      </c>
      <c r="K1718" s="15" t="s">
        <v>32719</v>
      </c>
      <c r="L1718" s="15" t="s">
        <v>32720</v>
      </c>
      <c r="M1718" s="15" t="s">
        <v>32721</v>
      </c>
      <c r="N1718" s="15" t="s">
        <v>147</v>
      </c>
      <c r="O1718" s="17">
        <v>16</v>
      </c>
      <c r="P1718" s="15" t="s">
        <v>148</v>
      </c>
      <c r="Q1718" s="15" t="s">
        <v>149</v>
      </c>
      <c r="R1718" s="15" t="s">
        <v>174</v>
      </c>
      <c r="S1718" s="15" t="s">
        <v>32722</v>
      </c>
      <c r="T1718" s="18">
        <v>10</v>
      </c>
      <c r="U1718" s="15" t="s">
        <v>32723</v>
      </c>
      <c r="V1718" s="15" t="s">
        <v>138</v>
      </c>
      <c r="W1718" s="15" t="s">
        <v>138</v>
      </c>
      <c r="X1718" s="19">
        <v>2015</v>
      </c>
      <c r="Y1718" s="15" t="s">
        <v>8453</v>
      </c>
      <c r="Z1718" s="15" t="s">
        <v>138</v>
      </c>
      <c r="AA1718" s="15" t="s">
        <v>138</v>
      </c>
      <c r="AB1718" s="20" t="s">
        <v>138</v>
      </c>
      <c r="AC1718" s="20" t="s">
        <v>138</v>
      </c>
      <c r="AD1718" s="20" t="s">
        <v>138</v>
      </c>
      <c r="AE1718" s="20" t="s">
        <v>138</v>
      </c>
      <c r="AF1718" s="20" t="s">
        <v>138</v>
      </c>
      <c r="AG1718" s="15" t="s">
        <v>138</v>
      </c>
      <c r="AH1718" s="20" t="s">
        <v>138</v>
      </c>
      <c r="AI1718" s="20" t="s">
        <v>138</v>
      </c>
      <c r="AJ1718" s="20" t="s">
        <v>138</v>
      </c>
      <c r="AK1718" s="15" t="s">
        <v>32724</v>
      </c>
      <c r="AL1718" s="15" t="s">
        <v>32725</v>
      </c>
      <c r="AM1718" s="15" t="s">
        <v>2949</v>
      </c>
      <c r="AN1718" s="15" t="s">
        <v>32726</v>
      </c>
      <c r="AO1718" s="15" t="s">
        <v>138</v>
      </c>
      <c r="AP1718" s="15" t="s">
        <v>2490</v>
      </c>
      <c r="AQ1718" s="15" t="s">
        <v>32727</v>
      </c>
      <c r="AR1718" s="15" t="s">
        <v>138</v>
      </c>
      <c r="AS1718" s="15" t="s">
        <v>2493</v>
      </c>
      <c r="AT1718" s="15" t="s">
        <v>371</v>
      </c>
      <c r="AU1718" s="15" t="s">
        <v>2494</v>
      </c>
      <c r="AV1718" s="15" t="s">
        <v>162</v>
      </c>
      <c r="AW1718" s="15" t="s">
        <v>138</v>
      </c>
      <c r="AX1718" s="15" t="s">
        <v>138</v>
      </c>
      <c r="AY1718" s="15" t="s">
        <v>32728</v>
      </c>
      <c r="AZ1718" s="15" t="s">
        <v>164</v>
      </c>
      <c r="BA1718" s="15" t="s">
        <v>165</v>
      </c>
      <c r="BB1718" s="15" t="s">
        <v>32729</v>
      </c>
      <c r="BC1718" s="15" t="s">
        <v>32730</v>
      </c>
      <c r="BD1718" s="21">
        <v>5</v>
      </c>
      <c r="BE1718" s="15" t="s">
        <v>138</v>
      </c>
      <c r="BF1718" s="15" t="s">
        <v>138</v>
      </c>
      <c r="BG1718" s="15" t="s">
        <v>138</v>
      </c>
      <c r="BH1718" s="15" t="s">
        <v>32731</v>
      </c>
      <c r="BI1718" s="15" t="s">
        <v>138</v>
      </c>
      <c r="BJ1718" s="15" t="s">
        <v>138</v>
      </c>
      <c r="BK1718" s="15" t="s">
        <v>138</v>
      </c>
      <c r="BL1718" s="15" t="s">
        <v>138</v>
      </c>
      <c r="BM1718" s="22">
        <v>42450</v>
      </c>
      <c r="BN1718" s="17" t="s">
        <v>138</v>
      </c>
      <c r="BO1718" s="15" t="s">
        <v>138</v>
      </c>
      <c r="BP1718" s="17" t="s">
        <v>138</v>
      </c>
      <c r="BQ1718" s="15" t="s">
        <v>138</v>
      </c>
      <c r="BR1718" s="15" t="s">
        <v>316</v>
      </c>
      <c r="BS1718" s="15" t="s">
        <v>138</v>
      </c>
      <c r="BT1718" s="15" t="s">
        <v>138</v>
      </c>
      <c r="BU1718" s="15" t="s">
        <v>177</v>
      </c>
      <c r="BV1718" s="15" t="s">
        <v>138</v>
      </c>
      <c r="BW1718" s="15" t="s">
        <v>138</v>
      </c>
      <c r="BX1718" s="15" t="s">
        <v>138</v>
      </c>
      <c r="BY1718" s="15" t="s">
        <v>175</v>
      </c>
      <c r="BZ1718" s="22">
        <v>43349</v>
      </c>
      <c r="CA1718" s="17">
        <v>10</v>
      </c>
      <c r="CB1718" s="15" t="s">
        <v>172</v>
      </c>
      <c r="CC1718" s="17">
        <v>37.5</v>
      </c>
      <c r="CD1718" s="15" t="s">
        <v>172</v>
      </c>
      <c r="CE1718" s="15" t="s">
        <v>205</v>
      </c>
      <c r="CF1718" s="15" t="s">
        <v>720</v>
      </c>
      <c r="CG1718" s="15" t="s">
        <v>138</v>
      </c>
      <c r="CH1718" s="15" t="s">
        <v>174</v>
      </c>
      <c r="CI1718" s="15" t="s">
        <v>138</v>
      </c>
      <c r="CJ1718" s="15" t="s">
        <v>138</v>
      </c>
      <c r="CK1718" s="15" t="s">
        <v>138</v>
      </c>
      <c r="CL1718" s="15" t="s">
        <v>175</v>
      </c>
      <c r="CM1718" s="22" t="s">
        <v>138</v>
      </c>
      <c r="CN1718" s="17" t="s">
        <v>138</v>
      </c>
      <c r="CO1718" s="23">
        <v>0.74</v>
      </c>
      <c r="CP1718" s="24">
        <v>96</v>
      </c>
      <c r="CQ1718" s="23">
        <v>-0.08</v>
      </c>
      <c r="CR1718" s="23">
        <v>-9.82</v>
      </c>
      <c r="CS1718" s="23">
        <v>0</v>
      </c>
      <c r="CT1718" s="24">
        <v>23</v>
      </c>
      <c r="CU1718" s="23">
        <v>1.48</v>
      </c>
      <c r="CV1718" s="24">
        <v>99</v>
      </c>
      <c r="CW1718" s="23" t="s">
        <v>138</v>
      </c>
      <c r="CX1718" s="24" t="s">
        <v>138</v>
      </c>
      <c r="CY1718" s="23">
        <v>0</v>
      </c>
      <c r="CZ1718" s="24">
        <v>25</v>
      </c>
      <c r="DA1718" s="23">
        <v>1.48</v>
      </c>
      <c r="DB1718" s="24">
        <v>99</v>
      </c>
      <c r="DC1718" s="25">
        <v>1.91</v>
      </c>
      <c r="DD1718" s="24">
        <v>66</v>
      </c>
      <c r="DE1718" s="25">
        <v>0.01</v>
      </c>
      <c r="DF1718" s="23">
        <v>0.6</v>
      </c>
      <c r="DG1718" s="25">
        <v>2.72</v>
      </c>
      <c r="DH1718" s="24">
        <v>73</v>
      </c>
      <c r="DI1718" s="25">
        <v>1.0900000000000001</v>
      </c>
      <c r="DJ1718" s="24">
        <v>51</v>
      </c>
      <c r="DK1718" s="25" t="s">
        <v>138</v>
      </c>
      <c r="DL1718" s="24" t="s">
        <v>138</v>
      </c>
      <c r="DM1718" s="25">
        <v>2.72</v>
      </c>
      <c r="DN1718" s="24">
        <v>72</v>
      </c>
      <c r="DO1718" s="25">
        <v>1.0900000000000001</v>
      </c>
      <c r="DP1718" s="24">
        <v>52</v>
      </c>
      <c r="DQ1718" s="24" t="s">
        <v>138</v>
      </c>
      <c r="DR1718" s="26" t="s">
        <v>138</v>
      </c>
      <c r="DS1718" s="23" t="s">
        <v>138</v>
      </c>
      <c r="DT1718" s="24">
        <v>79</v>
      </c>
      <c r="DU1718" s="26">
        <v>0</v>
      </c>
      <c r="DV1718" s="23">
        <v>0</v>
      </c>
      <c r="DW1718" s="24">
        <v>389</v>
      </c>
      <c r="DX1718" s="27">
        <v>3</v>
      </c>
      <c r="DY1718" s="23">
        <v>0.78</v>
      </c>
      <c r="DZ1718" s="15" t="s">
        <v>178</v>
      </c>
      <c r="EA1718" s="22">
        <v>43564</v>
      </c>
      <c r="EB1718" s="17">
        <v>37.5</v>
      </c>
      <c r="EC1718" s="22">
        <v>43349</v>
      </c>
      <c r="ED1718" s="15" t="s">
        <v>205</v>
      </c>
      <c r="EE1718" s="14" t="str">
        <f>HYPERLINK("https://my.pitchbook.com?c=114872-50", "View company online")</f>
        <v>View company online</v>
      </c>
    </row>
    <row r="1719" spans="1:135">
      <c r="A1719" s="28" t="s">
        <v>32732</v>
      </c>
      <c r="B1719" s="28" t="s">
        <v>32733</v>
      </c>
      <c r="C1719" s="28" t="s">
        <v>32734</v>
      </c>
      <c r="D1719" s="28" t="s">
        <v>138</v>
      </c>
      <c r="E1719" s="28" t="s">
        <v>32735</v>
      </c>
      <c r="F1719" s="28" t="s">
        <v>32732</v>
      </c>
      <c r="G1719" s="28" t="s">
        <v>32736</v>
      </c>
      <c r="H1719" s="28" t="s">
        <v>141</v>
      </c>
      <c r="I1719" s="28" t="s">
        <v>212</v>
      </c>
      <c r="J1719" s="28" t="s">
        <v>213</v>
      </c>
      <c r="K1719" s="28" t="s">
        <v>1064</v>
      </c>
      <c r="L1719" s="28" t="s">
        <v>1544</v>
      </c>
      <c r="M1719" s="28" t="s">
        <v>32737</v>
      </c>
      <c r="N1719" s="28" t="s">
        <v>147</v>
      </c>
      <c r="O1719" s="29">
        <v>19.95</v>
      </c>
      <c r="P1719" s="28" t="s">
        <v>148</v>
      </c>
      <c r="Q1719" s="28" t="s">
        <v>149</v>
      </c>
      <c r="R1719" s="28" t="s">
        <v>174</v>
      </c>
      <c r="S1719" s="28" t="s">
        <v>32738</v>
      </c>
      <c r="T1719" s="30">
        <v>30</v>
      </c>
      <c r="U1719" s="28" t="s">
        <v>32739</v>
      </c>
      <c r="V1719" s="28" t="s">
        <v>138</v>
      </c>
      <c r="W1719" s="28" t="s">
        <v>138</v>
      </c>
      <c r="X1719" s="31">
        <v>2012</v>
      </c>
      <c r="Y1719" s="28" t="s">
        <v>138</v>
      </c>
      <c r="Z1719" s="28" t="s">
        <v>138</v>
      </c>
      <c r="AA1719" s="28" t="s">
        <v>138</v>
      </c>
      <c r="AB1719" s="32" t="s">
        <v>138</v>
      </c>
      <c r="AC1719" s="32" t="s">
        <v>138</v>
      </c>
      <c r="AD1719" s="32" t="s">
        <v>138</v>
      </c>
      <c r="AE1719" s="32" t="s">
        <v>138</v>
      </c>
      <c r="AF1719" s="32" t="s">
        <v>138</v>
      </c>
      <c r="AG1719" s="28" t="s">
        <v>138</v>
      </c>
      <c r="AH1719" s="32" t="s">
        <v>138</v>
      </c>
      <c r="AI1719" s="32" t="s">
        <v>138</v>
      </c>
      <c r="AJ1719" s="32" t="s">
        <v>138</v>
      </c>
      <c r="AK1719" s="28" t="s">
        <v>32740</v>
      </c>
      <c r="AL1719" s="28" t="s">
        <v>32741</v>
      </c>
      <c r="AM1719" s="28" t="s">
        <v>5401</v>
      </c>
      <c r="AN1719" s="28" t="s">
        <v>32742</v>
      </c>
      <c r="AO1719" s="28" t="s">
        <v>32743</v>
      </c>
      <c r="AP1719" s="28" t="s">
        <v>1870</v>
      </c>
      <c r="AQ1719" s="28" t="s">
        <v>32744</v>
      </c>
      <c r="AR1719" s="28" t="s">
        <v>10286</v>
      </c>
      <c r="AS1719" s="28" t="s">
        <v>1872</v>
      </c>
      <c r="AT1719" s="28" t="s">
        <v>200</v>
      </c>
      <c r="AU1719" s="28" t="s">
        <v>4383</v>
      </c>
      <c r="AV1719" s="28" t="s">
        <v>162</v>
      </c>
      <c r="AW1719" s="28" t="s">
        <v>32743</v>
      </c>
      <c r="AX1719" s="28" t="s">
        <v>138</v>
      </c>
      <c r="AY1719" s="28" t="s">
        <v>32745</v>
      </c>
      <c r="AZ1719" s="28" t="s">
        <v>164</v>
      </c>
      <c r="BA1719" s="28" t="s">
        <v>165</v>
      </c>
      <c r="BB1719" s="28" t="s">
        <v>32746</v>
      </c>
      <c r="BC1719" s="28" t="s">
        <v>32747</v>
      </c>
      <c r="BD1719" s="33">
        <v>13</v>
      </c>
      <c r="BE1719" s="28" t="s">
        <v>138</v>
      </c>
      <c r="BF1719" s="28" t="s">
        <v>138</v>
      </c>
      <c r="BG1719" s="28" t="s">
        <v>138</v>
      </c>
      <c r="BH1719" s="28" t="s">
        <v>32748</v>
      </c>
      <c r="BI1719" s="28" t="s">
        <v>138</v>
      </c>
      <c r="BJ1719" s="28" t="s">
        <v>138</v>
      </c>
      <c r="BK1719" s="28" t="s">
        <v>32749</v>
      </c>
      <c r="BL1719" s="28" t="s">
        <v>32750</v>
      </c>
      <c r="BM1719" s="34">
        <v>41025</v>
      </c>
      <c r="BN1719" s="29">
        <v>0.02</v>
      </c>
      <c r="BO1719" s="28" t="s">
        <v>172</v>
      </c>
      <c r="BP1719" s="29" t="s">
        <v>138</v>
      </c>
      <c r="BQ1719" s="28" t="s">
        <v>138</v>
      </c>
      <c r="BR1719" s="28" t="s">
        <v>316</v>
      </c>
      <c r="BS1719" s="28" t="s">
        <v>138</v>
      </c>
      <c r="BT1719" s="28" t="s">
        <v>138</v>
      </c>
      <c r="BU1719" s="28" t="s">
        <v>177</v>
      </c>
      <c r="BV1719" s="28" t="s">
        <v>138</v>
      </c>
      <c r="BW1719" s="28" t="s">
        <v>138</v>
      </c>
      <c r="BX1719" s="28" t="s">
        <v>138</v>
      </c>
      <c r="BY1719" s="28" t="s">
        <v>175</v>
      </c>
      <c r="BZ1719" s="34">
        <v>42970</v>
      </c>
      <c r="CA1719" s="29">
        <v>11.16</v>
      </c>
      <c r="CB1719" s="28" t="s">
        <v>172</v>
      </c>
      <c r="CC1719" s="29">
        <v>39.56</v>
      </c>
      <c r="CD1719" s="28" t="s">
        <v>172</v>
      </c>
      <c r="CE1719" s="28" t="s">
        <v>173</v>
      </c>
      <c r="CF1719" s="28" t="s">
        <v>720</v>
      </c>
      <c r="CG1719" s="28" t="s">
        <v>138</v>
      </c>
      <c r="CH1719" s="28" t="s">
        <v>174</v>
      </c>
      <c r="CI1719" s="28" t="s">
        <v>138</v>
      </c>
      <c r="CJ1719" s="28" t="s">
        <v>138</v>
      </c>
      <c r="CK1719" s="28" t="s">
        <v>138</v>
      </c>
      <c r="CL1719" s="28" t="s">
        <v>175</v>
      </c>
      <c r="CM1719" s="34" t="s">
        <v>138</v>
      </c>
      <c r="CN1719" s="29" t="s">
        <v>138</v>
      </c>
      <c r="CO1719" s="35">
        <v>-0.02</v>
      </c>
      <c r="CP1719" s="36">
        <v>24</v>
      </c>
      <c r="CQ1719" s="35">
        <v>0</v>
      </c>
      <c r="CR1719" s="35">
        <v>-23.44</v>
      </c>
      <c r="CS1719" s="35">
        <v>0</v>
      </c>
      <c r="CT1719" s="36">
        <v>23</v>
      </c>
      <c r="CU1719" s="35">
        <v>-0.05</v>
      </c>
      <c r="CV1719" s="36">
        <v>9</v>
      </c>
      <c r="CW1719" s="35">
        <v>0</v>
      </c>
      <c r="CX1719" s="36">
        <v>13</v>
      </c>
      <c r="CY1719" s="35">
        <v>0</v>
      </c>
      <c r="CZ1719" s="36">
        <v>25</v>
      </c>
      <c r="DA1719" s="35">
        <v>-0.05</v>
      </c>
      <c r="DB1719" s="36">
        <v>13</v>
      </c>
      <c r="DC1719" s="37">
        <v>1.31</v>
      </c>
      <c r="DD1719" s="36">
        <v>57</v>
      </c>
      <c r="DE1719" s="37">
        <v>-0.02</v>
      </c>
      <c r="DF1719" s="35">
        <v>-1.57</v>
      </c>
      <c r="DG1719" s="37">
        <v>1.33</v>
      </c>
      <c r="DH1719" s="36">
        <v>58</v>
      </c>
      <c r="DI1719" s="37">
        <v>1.29</v>
      </c>
      <c r="DJ1719" s="36">
        <v>54</v>
      </c>
      <c r="DK1719" s="37">
        <v>0.41</v>
      </c>
      <c r="DL1719" s="36">
        <v>28</v>
      </c>
      <c r="DM1719" s="37">
        <v>2.2400000000000002</v>
      </c>
      <c r="DN1719" s="36">
        <v>68</v>
      </c>
      <c r="DO1719" s="37">
        <v>1.91</v>
      </c>
      <c r="DP1719" s="36">
        <v>63</v>
      </c>
      <c r="DQ1719" s="36">
        <v>150</v>
      </c>
      <c r="DR1719" s="38">
        <v>-25</v>
      </c>
      <c r="DS1719" s="35">
        <v>-14.29</v>
      </c>
      <c r="DT1719" s="36">
        <v>65</v>
      </c>
      <c r="DU1719" s="38">
        <v>-1</v>
      </c>
      <c r="DV1719" s="35">
        <v>-1.52</v>
      </c>
      <c r="DW1719" s="36">
        <v>686</v>
      </c>
      <c r="DX1719" s="39">
        <v>0</v>
      </c>
      <c r="DY1719" s="35">
        <v>0</v>
      </c>
      <c r="DZ1719" s="28" t="s">
        <v>178</v>
      </c>
      <c r="EA1719" s="34">
        <v>43622</v>
      </c>
      <c r="EB1719" s="29">
        <v>39.56</v>
      </c>
      <c r="EC1719" s="34">
        <v>42970</v>
      </c>
      <c r="ED1719" s="28" t="s">
        <v>173</v>
      </c>
      <c r="EE1719" s="40" t="str">
        <f>HYPERLINK("https://my.pitchbook.com?c=54349-66", "View company online")</f>
        <v>View company online</v>
      </c>
    </row>
    <row r="1720" spans="1:135">
      <c r="A1720" s="15" t="s">
        <v>32751</v>
      </c>
      <c r="B1720" s="15" t="s">
        <v>32752</v>
      </c>
      <c r="C1720" s="15" t="s">
        <v>138</v>
      </c>
      <c r="D1720" s="15" t="s">
        <v>138</v>
      </c>
      <c r="E1720" s="15" t="s">
        <v>32753</v>
      </c>
      <c r="F1720" s="15" t="s">
        <v>32751</v>
      </c>
      <c r="G1720" s="15" t="s">
        <v>32754</v>
      </c>
      <c r="H1720" s="15" t="s">
        <v>238</v>
      </c>
      <c r="I1720" s="15" t="s">
        <v>239</v>
      </c>
      <c r="J1720" s="15" t="s">
        <v>2578</v>
      </c>
      <c r="K1720" s="15" t="s">
        <v>32755</v>
      </c>
      <c r="L1720" s="15" t="s">
        <v>1021</v>
      </c>
      <c r="M1720" s="15" t="s">
        <v>32756</v>
      </c>
      <c r="N1720" s="15" t="s">
        <v>147</v>
      </c>
      <c r="O1720" s="17">
        <v>12.55</v>
      </c>
      <c r="P1720" s="15" t="s">
        <v>148</v>
      </c>
      <c r="Q1720" s="15" t="s">
        <v>149</v>
      </c>
      <c r="R1720" s="15" t="s">
        <v>174</v>
      </c>
      <c r="S1720" s="15" t="s">
        <v>32757</v>
      </c>
      <c r="T1720" s="18">
        <v>20</v>
      </c>
      <c r="U1720" s="15" t="s">
        <v>32758</v>
      </c>
      <c r="V1720" s="15" t="s">
        <v>138</v>
      </c>
      <c r="W1720" s="15" t="s">
        <v>138</v>
      </c>
      <c r="X1720" s="19">
        <v>2012</v>
      </c>
      <c r="Y1720" s="15" t="s">
        <v>138</v>
      </c>
      <c r="Z1720" s="15" t="s">
        <v>138</v>
      </c>
      <c r="AA1720" s="15" t="s">
        <v>138</v>
      </c>
      <c r="AB1720" s="20">
        <v>10</v>
      </c>
      <c r="AC1720" s="20" t="s">
        <v>138</v>
      </c>
      <c r="AD1720" s="20" t="s">
        <v>138</v>
      </c>
      <c r="AE1720" s="20" t="s">
        <v>138</v>
      </c>
      <c r="AF1720" s="20" t="s">
        <v>138</v>
      </c>
      <c r="AG1720" s="15" t="s">
        <v>419</v>
      </c>
      <c r="AH1720" s="20" t="s">
        <v>138</v>
      </c>
      <c r="AI1720" s="20" t="s">
        <v>138</v>
      </c>
      <c r="AJ1720" s="20" t="s">
        <v>138</v>
      </c>
      <c r="AK1720" s="15" t="s">
        <v>32759</v>
      </c>
      <c r="AL1720" s="15" t="s">
        <v>32760</v>
      </c>
      <c r="AM1720" s="15" t="s">
        <v>304</v>
      </c>
      <c r="AN1720" s="15" t="s">
        <v>32761</v>
      </c>
      <c r="AO1720" s="15" t="s">
        <v>32762</v>
      </c>
      <c r="AP1720" s="15" t="s">
        <v>32763</v>
      </c>
      <c r="AQ1720" s="15" t="s">
        <v>32764</v>
      </c>
      <c r="AR1720" s="15" t="s">
        <v>32765</v>
      </c>
      <c r="AS1720" s="15" t="s">
        <v>32766</v>
      </c>
      <c r="AT1720" s="15" t="s">
        <v>138</v>
      </c>
      <c r="AU1720" s="15" t="s">
        <v>32767</v>
      </c>
      <c r="AV1720" s="15" t="s">
        <v>740</v>
      </c>
      <c r="AW1720" s="15" t="s">
        <v>138</v>
      </c>
      <c r="AX1720" s="15" t="s">
        <v>138</v>
      </c>
      <c r="AY1720" s="15" t="s">
        <v>138</v>
      </c>
      <c r="AZ1720" s="15" t="s">
        <v>742</v>
      </c>
      <c r="BA1720" s="15" t="s">
        <v>742</v>
      </c>
      <c r="BB1720" s="15" t="s">
        <v>32768</v>
      </c>
      <c r="BC1720" s="15" t="s">
        <v>32769</v>
      </c>
      <c r="BD1720" s="21">
        <v>14</v>
      </c>
      <c r="BE1720" s="15" t="s">
        <v>138</v>
      </c>
      <c r="BF1720" s="15" t="s">
        <v>138</v>
      </c>
      <c r="BG1720" s="15" t="s">
        <v>138</v>
      </c>
      <c r="BH1720" s="15" t="s">
        <v>32770</v>
      </c>
      <c r="BI1720" s="15" t="s">
        <v>138</v>
      </c>
      <c r="BJ1720" s="15" t="s">
        <v>138</v>
      </c>
      <c r="BK1720" s="15" t="s">
        <v>138</v>
      </c>
      <c r="BL1720" s="15" t="s">
        <v>138</v>
      </c>
      <c r="BM1720" s="22">
        <v>41275</v>
      </c>
      <c r="BN1720" s="17" t="s">
        <v>138</v>
      </c>
      <c r="BO1720" s="15" t="s">
        <v>138</v>
      </c>
      <c r="BP1720" s="17" t="s">
        <v>138</v>
      </c>
      <c r="BQ1720" s="15" t="s">
        <v>138</v>
      </c>
      <c r="BR1720" s="15" t="s">
        <v>316</v>
      </c>
      <c r="BS1720" s="15" t="s">
        <v>138</v>
      </c>
      <c r="BT1720" s="15" t="s">
        <v>138</v>
      </c>
      <c r="BU1720" s="15" t="s">
        <v>177</v>
      </c>
      <c r="BV1720" s="15" t="s">
        <v>138</v>
      </c>
      <c r="BW1720" s="15" t="s">
        <v>138</v>
      </c>
      <c r="BX1720" s="15" t="s">
        <v>138</v>
      </c>
      <c r="BY1720" s="15" t="s">
        <v>175</v>
      </c>
      <c r="BZ1720" s="22">
        <v>43356</v>
      </c>
      <c r="CA1720" s="17">
        <v>7.75</v>
      </c>
      <c r="CB1720" s="15" t="s">
        <v>172</v>
      </c>
      <c r="CC1720" s="17" t="s">
        <v>138</v>
      </c>
      <c r="CD1720" s="15" t="s">
        <v>138</v>
      </c>
      <c r="CE1720" s="15" t="s">
        <v>173</v>
      </c>
      <c r="CF1720" s="15" t="s">
        <v>720</v>
      </c>
      <c r="CG1720" s="15" t="s">
        <v>138</v>
      </c>
      <c r="CH1720" s="15" t="s">
        <v>174</v>
      </c>
      <c r="CI1720" s="15" t="s">
        <v>138</v>
      </c>
      <c r="CJ1720" s="15" t="s">
        <v>138</v>
      </c>
      <c r="CK1720" s="15" t="s">
        <v>138</v>
      </c>
      <c r="CL1720" s="15" t="s">
        <v>175</v>
      </c>
      <c r="CM1720" s="22" t="s">
        <v>138</v>
      </c>
      <c r="CN1720" s="17" t="s">
        <v>138</v>
      </c>
      <c r="CO1720" s="23">
        <v>-2.17</v>
      </c>
      <c r="CP1720" s="24">
        <v>5</v>
      </c>
      <c r="CQ1720" s="23">
        <v>0.08</v>
      </c>
      <c r="CR1720" s="23">
        <v>3.47</v>
      </c>
      <c r="CS1720" s="23">
        <v>-7.66</v>
      </c>
      <c r="CT1720" s="24">
        <v>1</v>
      </c>
      <c r="CU1720" s="23">
        <v>0.38</v>
      </c>
      <c r="CV1720" s="24">
        <v>91</v>
      </c>
      <c r="CW1720" s="23">
        <v>-15.31</v>
      </c>
      <c r="CX1720" s="24">
        <v>1</v>
      </c>
      <c r="CY1720" s="23">
        <v>0</v>
      </c>
      <c r="CZ1720" s="24">
        <v>25</v>
      </c>
      <c r="DA1720" s="23">
        <v>0.38</v>
      </c>
      <c r="DB1720" s="24">
        <v>91</v>
      </c>
      <c r="DC1720" s="25">
        <v>5.59</v>
      </c>
      <c r="DD1720" s="24">
        <v>84</v>
      </c>
      <c r="DE1720" s="25">
        <v>-0.3</v>
      </c>
      <c r="DF1720" s="23">
        <v>-5.17</v>
      </c>
      <c r="DG1720" s="25">
        <v>9.33</v>
      </c>
      <c r="DH1720" s="24">
        <v>89</v>
      </c>
      <c r="DI1720" s="25">
        <v>6.61</v>
      </c>
      <c r="DJ1720" s="24">
        <v>81</v>
      </c>
      <c r="DK1720" s="25">
        <v>15.52</v>
      </c>
      <c r="DL1720" s="24">
        <v>90</v>
      </c>
      <c r="DM1720" s="25">
        <v>3.14</v>
      </c>
      <c r="DN1720" s="24">
        <v>74</v>
      </c>
      <c r="DO1720" s="25">
        <v>6.61</v>
      </c>
      <c r="DP1720" s="24">
        <v>83</v>
      </c>
      <c r="DQ1720" s="24">
        <v>5210</v>
      </c>
      <c r="DR1720" s="26">
        <v>335</v>
      </c>
      <c r="DS1720" s="23">
        <v>6.87</v>
      </c>
      <c r="DT1720" s="24">
        <v>91</v>
      </c>
      <c r="DU1720" s="26">
        <v>-2</v>
      </c>
      <c r="DV1720" s="23">
        <v>-2.15</v>
      </c>
      <c r="DW1720" s="24">
        <v>2361</v>
      </c>
      <c r="DX1720" s="27">
        <v>8</v>
      </c>
      <c r="DY1720" s="23">
        <v>0.34</v>
      </c>
      <c r="DZ1720" s="15" t="s">
        <v>178</v>
      </c>
      <c r="EA1720" s="22">
        <v>43382</v>
      </c>
      <c r="EB1720" s="17" t="s">
        <v>138</v>
      </c>
      <c r="EC1720" s="22" t="s">
        <v>138</v>
      </c>
      <c r="ED1720" s="15" t="s">
        <v>138</v>
      </c>
      <c r="EE1720" s="14" t="str">
        <f>HYPERLINK("https://my.pitchbook.com?c=82773-82", "View company online")</f>
        <v>View company online</v>
      </c>
    </row>
    <row r="1721" spans="1:135">
      <c r="A1721" s="28" t="s">
        <v>32771</v>
      </c>
      <c r="B1721" s="28" t="s">
        <v>32772</v>
      </c>
      <c r="C1721" s="28" t="s">
        <v>138</v>
      </c>
      <c r="D1721" s="28" t="s">
        <v>32773</v>
      </c>
      <c r="E1721" s="28" t="s">
        <v>138</v>
      </c>
      <c r="F1721" s="28" t="s">
        <v>32771</v>
      </c>
      <c r="G1721" s="28" t="s">
        <v>32774</v>
      </c>
      <c r="H1721" s="28" t="s">
        <v>238</v>
      </c>
      <c r="I1721" s="28" t="s">
        <v>1351</v>
      </c>
      <c r="J1721" s="28" t="s">
        <v>5503</v>
      </c>
      <c r="K1721" s="28" t="s">
        <v>16645</v>
      </c>
      <c r="L1721" s="28" t="s">
        <v>32775</v>
      </c>
      <c r="M1721" s="28" t="s">
        <v>32776</v>
      </c>
      <c r="N1721" s="28" t="s">
        <v>147</v>
      </c>
      <c r="O1721" s="29">
        <v>38.5</v>
      </c>
      <c r="P1721" s="28" t="s">
        <v>189</v>
      </c>
      <c r="Q1721" s="28" t="s">
        <v>149</v>
      </c>
      <c r="R1721" s="28" t="s">
        <v>174</v>
      </c>
      <c r="S1721" s="28" t="s">
        <v>32777</v>
      </c>
      <c r="T1721" s="30">
        <v>46</v>
      </c>
      <c r="U1721" s="28" t="s">
        <v>32778</v>
      </c>
      <c r="V1721" s="28" t="s">
        <v>138</v>
      </c>
      <c r="W1721" s="28" t="s">
        <v>138</v>
      </c>
      <c r="X1721" s="31">
        <v>2015</v>
      </c>
      <c r="Y1721" s="28" t="s">
        <v>138</v>
      </c>
      <c r="Z1721" s="28" t="s">
        <v>138</v>
      </c>
      <c r="AA1721" s="28" t="s">
        <v>138</v>
      </c>
      <c r="AB1721" s="32" t="s">
        <v>138</v>
      </c>
      <c r="AC1721" s="32" t="s">
        <v>138</v>
      </c>
      <c r="AD1721" s="32" t="s">
        <v>138</v>
      </c>
      <c r="AE1721" s="32" t="s">
        <v>138</v>
      </c>
      <c r="AF1721" s="32" t="s">
        <v>138</v>
      </c>
      <c r="AG1721" s="28" t="s">
        <v>138</v>
      </c>
      <c r="AH1721" s="32" t="s">
        <v>138</v>
      </c>
      <c r="AI1721" s="32" t="s">
        <v>138</v>
      </c>
      <c r="AJ1721" s="32" t="s">
        <v>138</v>
      </c>
      <c r="AK1721" s="28" t="s">
        <v>32779</v>
      </c>
      <c r="AL1721" s="28" t="s">
        <v>32780</v>
      </c>
      <c r="AM1721" s="28" t="s">
        <v>938</v>
      </c>
      <c r="AN1721" s="28" t="s">
        <v>32781</v>
      </c>
      <c r="AO1721" s="28" t="s">
        <v>138</v>
      </c>
      <c r="AP1721" s="28" t="s">
        <v>13084</v>
      </c>
      <c r="AQ1721" s="28" t="s">
        <v>32782</v>
      </c>
      <c r="AR1721" s="28" t="s">
        <v>138</v>
      </c>
      <c r="AS1721" s="28" t="s">
        <v>13086</v>
      </c>
      <c r="AT1721" s="28" t="s">
        <v>200</v>
      </c>
      <c r="AU1721" s="28" t="s">
        <v>13087</v>
      </c>
      <c r="AV1721" s="28" t="s">
        <v>162</v>
      </c>
      <c r="AW1721" s="28" t="s">
        <v>138</v>
      </c>
      <c r="AX1721" s="28" t="s">
        <v>138</v>
      </c>
      <c r="AY1721" s="28" t="s">
        <v>138</v>
      </c>
      <c r="AZ1721" s="28" t="s">
        <v>164</v>
      </c>
      <c r="BA1721" s="28" t="s">
        <v>165</v>
      </c>
      <c r="BB1721" s="28" t="s">
        <v>32783</v>
      </c>
      <c r="BC1721" s="28" t="s">
        <v>32784</v>
      </c>
      <c r="BD1721" s="33">
        <v>13</v>
      </c>
      <c r="BE1721" s="28" t="s">
        <v>138</v>
      </c>
      <c r="BF1721" s="28" t="s">
        <v>138</v>
      </c>
      <c r="BG1721" s="28" t="s">
        <v>138</v>
      </c>
      <c r="BH1721" s="28" t="s">
        <v>32785</v>
      </c>
      <c r="BI1721" s="28" t="s">
        <v>138</v>
      </c>
      <c r="BJ1721" s="28" t="s">
        <v>138</v>
      </c>
      <c r="BK1721" s="28" t="s">
        <v>2936</v>
      </c>
      <c r="BL1721" s="28" t="s">
        <v>2936</v>
      </c>
      <c r="BM1721" s="34">
        <v>42633</v>
      </c>
      <c r="BN1721" s="29">
        <v>12</v>
      </c>
      <c r="BO1721" s="28" t="s">
        <v>172</v>
      </c>
      <c r="BP1721" s="29">
        <v>22.5</v>
      </c>
      <c r="BQ1721" s="28" t="s">
        <v>172</v>
      </c>
      <c r="BR1721" s="28" t="s">
        <v>205</v>
      </c>
      <c r="BS1721" s="28" t="s">
        <v>206</v>
      </c>
      <c r="BT1721" s="28" t="s">
        <v>138</v>
      </c>
      <c r="BU1721" s="28" t="s">
        <v>174</v>
      </c>
      <c r="BV1721" s="28" t="s">
        <v>138</v>
      </c>
      <c r="BW1721" s="28" t="s">
        <v>138</v>
      </c>
      <c r="BX1721" s="28" t="s">
        <v>138</v>
      </c>
      <c r="BY1721" s="28" t="s">
        <v>175</v>
      </c>
      <c r="BZ1721" s="34">
        <v>42873</v>
      </c>
      <c r="CA1721" s="29">
        <v>15</v>
      </c>
      <c r="CB1721" s="28" t="s">
        <v>1178</v>
      </c>
      <c r="CC1721" s="29">
        <v>70</v>
      </c>
      <c r="CD1721" s="28" t="s">
        <v>172</v>
      </c>
      <c r="CE1721" s="28" t="s">
        <v>205</v>
      </c>
      <c r="CF1721" s="28" t="s">
        <v>1727</v>
      </c>
      <c r="CG1721" s="28" t="s">
        <v>138</v>
      </c>
      <c r="CH1721" s="28" t="s">
        <v>174</v>
      </c>
      <c r="CI1721" s="28" t="s">
        <v>138</v>
      </c>
      <c r="CJ1721" s="28" t="s">
        <v>138</v>
      </c>
      <c r="CK1721" s="28" t="s">
        <v>138</v>
      </c>
      <c r="CL1721" s="28" t="s">
        <v>175</v>
      </c>
      <c r="CM1721" s="34" t="s">
        <v>138</v>
      </c>
      <c r="CN1721" s="29" t="s">
        <v>138</v>
      </c>
      <c r="CO1721" s="35">
        <v>-1.55</v>
      </c>
      <c r="CP1721" s="36">
        <v>7</v>
      </c>
      <c r="CQ1721" s="35">
        <v>1.91</v>
      </c>
      <c r="CR1721" s="35">
        <v>55.16</v>
      </c>
      <c r="CS1721" s="35">
        <v>-3.46</v>
      </c>
      <c r="CT1721" s="36">
        <v>4</v>
      </c>
      <c r="CU1721" s="35" t="s">
        <v>138</v>
      </c>
      <c r="CV1721" s="36" t="s">
        <v>138</v>
      </c>
      <c r="CW1721" s="35">
        <v>-3.46</v>
      </c>
      <c r="CX1721" s="36">
        <v>5</v>
      </c>
      <c r="CY1721" s="35" t="s">
        <v>138</v>
      </c>
      <c r="CZ1721" s="36" t="s">
        <v>138</v>
      </c>
      <c r="DA1721" s="35" t="s">
        <v>138</v>
      </c>
      <c r="DB1721" s="36" t="s">
        <v>138</v>
      </c>
      <c r="DC1721" s="37">
        <v>24.16</v>
      </c>
      <c r="DD1721" s="36">
        <v>96</v>
      </c>
      <c r="DE1721" s="37">
        <v>-29.63</v>
      </c>
      <c r="DF1721" s="35">
        <v>-55.08</v>
      </c>
      <c r="DG1721" s="37">
        <v>47.67</v>
      </c>
      <c r="DH1721" s="36">
        <v>98</v>
      </c>
      <c r="DI1721" s="37" t="s">
        <v>138</v>
      </c>
      <c r="DJ1721" s="36" t="s">
        <v>138</v>
      </c>
      <c r="DK1721" s="37">
        <v>47.67</v>
      </c>
      <c r="DL1721" s="36">
        <v>96</v>
      </c>
      <c r="DM1721" s="37" t="s">
        <v>138</v>
      </c>
      <c r="DN1721" s="36" t="s">
        <v>138</v>
      </c>
      <c r="DO1721" s="37" t="s">
        <v>138</v>
      </c>
      <c r="DP1721" s="36" t="s">
        <v>138</v>
      </c>
      <c r="DQ1721" s="36">
        <v>18517</v>
      </c>
      <c r="DR1721" s="38">
        <v>-6501</v>
      </c>
      <c r="DS1721" s="35">
        <v>-25.99</v>
      </c>
      <c r="DT1721" s="36" t="s">
        <v>138</v>
      </c>
      <c r="DU1721" s="38" t="s">
        <v>138</v>
      </c>
      <c r="DV1721" s="35" t="s">
        <v>138</v>
      </c>
      <c r="DW1721" s="36" t="s">
        <v>138</v>
      </c>
      <c r="DX1721" s="39" t="s">
        <v>138</v>
      </c>
      <c r="DY1721" s="35" t="s">
        <v>138</v>
      </c>
      <c r="DZ1721" s="28" t="s">
        <v>178</v>
      </c>
      <c r="EA1721" s="34">
        <v>43570</v>
      </c>
      <c r="EB1721" s="29">
        <v>70</v>
      </c>
      <c r="EC1721" s="34">
        <v>42873</v>
      </c>
      <c r="ED1721" s="28" t="s">
        <v>205</v>
      </c>
      <c r="EE1721" s="40" t="str">
        <f>HYPERLINK("https://my.pitchbook.com?c=166509-10", "View company online")</f>
        <v>View company online</v>
      </c>
    </row>
    <row r="1722" spans="1:135">
      <c r="A1722" s="15" t="s">
        <v>32786</v>
      </c>
      <c r="B1722" s="15" t="s">
        <v>32787</v>
      </c>
      <c r="C1722" s="15" t="s">
        <v>138</v>
      </c>
      <c r="D1722" s="15" t="s">
        <v>138</v>
      </c>
      <c r="E1722" s="15" t="s">
        <v>138</v>
      </c>
      <c r="F1722" s="15" t="s">
        <v>32786</v>
      </c>
      <c r="G1722" s="15" t="s">
        <v>32788</v>
      </c>
      <c r="H1722" s="15" t="s">
        <v>141</v>
      </c>
      <c r="I1722" s="15" t="s">
        <v>212</v>
      </c>
      <c r="J1722" s="15" t="s">
        <v>213</v>
      </c>
      <c r="K1722" s="15" t="s">
        <v>5748</v>
      </c>
      <c r="L1722" s="15" t="s">
        <v>138</v>
      </c>
      <c r="M1722" s="15" t="s">
        <v>32789</v>
      </c>
      <c r="N1722" s="15" t="s">
        <v>147</v>
      </c>
      <c r="O1722" s="17">
        <v>11</v>
      </c>
      <c r="P1722" s="15" t="s">
        <v>148</v>
      </c>
      <c r="Q1722" s="15" t="s">
        <v>149</v>
      </c>
      <c r="R1722" s="15" t="s">
        <v>174</v>
      </c>
      <c r="S1722" s="15" t="s">
        <v>32790</v>
      </c>
      <c r="T1722" s="18">
        <v>75</v>
      </c>
      <c r="U1722" s="15" t="s">
        <v>19723</v>
      </c>
      <c r="V1722" s="15" t="s">
        <v>138</v>
      </c>
      <c r="W1722" s="15" t="s">
        <v>138</v>
      </c>
      <c r="X1722" s="19">
        <v>2017</v>
      </c>
      <c r="Y1722" s="15" t="s">
        <v>138</v>
      </c>
      <c r="Z1722" s="15" t="s">
        <v>138</v>
      </c>
      <c r="AA1722" s="15" t="s">
        <v>138</v>
      </c>
      <c r="AB1722" s="20" t="s">
        <v>138</v>
      </c>
      <c r="AC1722" s="20" t="s">
        <v>138</v>
      </c>
      <c r="AD1722" s="20" t="s">
        <v>138</v>
      </c>
      <c r="AE1722" s="20" t="s">
        <v>138</v>
      </c>
      <c r="AF1722" s="20" t="s">
        <v>138</v>
      </c>
      <c r="AG1722" s="15" t="s">
        <v>138</v>
      </c>
      <c r="AH1722" s="20" t="s">
        <v>138</v>
      </c>
      <c r="AI1722" s="20" t="s">
        <v>138</v>
      </c>
      <c r="AJ1722" s="20" t="s">
        <v>138</v>
      </c>
      <c r="AK1722" s="15" t="s">
        <v>32791</v>
      </c>
      <c r="AL1722" s="15" t="s">
        <v>32792</v>
      </c>
      <c r="AM1722" s="15" t="s">
        <v>4767</v>
      </c>
      <c r="AN1722" s="15" t="s">
        <v>32793</v>
      </c>
      <c r="AO1722" s="15" t="s">
        <v>32794</v>
      </c>
      <c r="AP1722" s="15" t="s">
        <v>32795</v>
      </c>
      <c r="AQ1722" s="15" t="s">
        <v>32796</v>
      </c>
      <c r="AR1722" s="15" t="s">
        <v>618</v>
      </c>
      <c r="AS1722" s="15" t="s">
        <v>32797</v>
      </c>
      <c r="AT1722" s="15" t="s">
        <v>200</v>
      </c>
      <c r="AU1722" s="15" t="s">
        <v>32798</v>
      </c>
      <c r="AV1722" s="15" t="s">
        <v>162</v>
      </c>
      <c r="AW1722" s="15" t="s">
        <v>32794</v>
      </c>
      <c r="AX1722" s="15" t="s">
        <v>138</v>
      </c>
      <c r="AY1722" s="15" t="s">
        <v>138</v>
      </c>
      <c r="AZ1722" s="15" t="s">
        <v>164</v>
      </c>
      <c r="BA1722" s="15" t="s">
        <v>165</v>
      </c>
      <c r="BB1722" s="15" t="s">
        <v>32799</v>
      </c>
      <c r="BC1722" s="15" t="s">
        <v>32800</v>
      </c>
      <c r="BD1722" s="21">
        <v>6</v>
      </c>
      <c r="BE1722" s="15" t="s">
        <v>138</v>
      </c>
      <c r="BF1722" s="15" t="s">
        <v>138</v>
      </c>
      <c r="BG1722" s="15" t="s">
        <v>138</v>
      </c>
      <c r="BH1722" s="15" t="s">
        <v>32801</v>
      </c>
      <c r="BI1722" s="15" t="s">
        <v>138</v>
      </c>
      <c r="BJ1722" s="15" t="s">
        <v>138</v>
      </c>
      <c r="BK1722" s="15" t="s">
        <v>32802</v>
      </c>
      <c r="BL1722" s="15" t="s">
        <v>3826</v>
      </c>
      <c r="BM1722" s="22">
        <v>43213</v>
      </c>
      <c r="BN1722" s="17">
        <v>11</v>
      </c>
      <c r="BO1722" s="15" t="s">
        <v>172</v>
      </c>
      <c r="BP1722" s="17" t="s">
        <v>138</v>
      </c>
      <c r="BQ1722" s="15" t="s">
        <v>138</v>
      </c>
      <c r="BR1722" s="15" t="s">
        <v>205</v>
      </c>
      <c r="BS1722" s="15" t="s">
        <v>206</v>
      </c>
      <c r="BT1722" s="15" t="s">
        <v>138</v>
      </c>
      <c r="BU1722" s="15" t="s">
        <v>174</v>
      </c>
      <c r="BV1722" s="15" t="s">
        <v>138</v>
      </c>
      <c r="BW1722" s="15" t="s">
        <v>138</v>
      </c>
      <c r="BX1722" s="15" t="s">
        <v>138</v>
      </c>
      <c r="BY1722" s="15" t="s">
        <v>175</v>
      </c>
      <c r="BZ1722" s="22">
        <v>43213</v>
      </c>
      <c r="CA1722" s="17">
        <v>11</v>
      </c>
      <c r="CB1722" s="15" t="s">
        <v>172</v>
      </c>
      <c r="CC1722" s="17" t="s">
        <v>138</v>
      </c>
      <c r="CD1722" s="15" t="s">
        <v>138</v>
      </c>
      <c r="CE1722" s="15" t="s">
        <v>205</v>
      </c>
      <c r="CF1722" s="15" t="s">
        <v>206</v>
      </c>
      <c r="CG1722" s="15" t="s">
        <v>138</v>
      </c>
      <c r="CH1722" s="15" t="s">
        <v>174</v>
      </c>
      <c r="CI1722" s="15" t="s">
        <v>138</v>
      </c>
      <c r="CJ1722" s="15" t="s">
        <v>138</v>
      </c>
      <c r="CK1722" s="15" t="s">
        <v>138</v>
      </c>
      <c r="CL1722" s="15" t="s">
        <v>175</v>
      </c>
      <c r="CM1722" s="22" t="s">
        <v>138</v>
      </c>
      <c r="CN1722" s="17" t="s">
        <v>138</v>
      </c>
      <c r="CO1722" s="23">
        <v>-0.16</v>
      </c>
      <c r="CP1722" s="24">
        <v>20</v>
      </c>
      <c r="CQ1722" s="23">
        <v>0</v>
      </c>
      <c r="CR1722" s="23">
        <v>0</v>
      </c>
      <c r="CS1722" s="23">
        <v>-1.75</v>
      </c>
      <c r="CT1722" s="24">
        <v>10</v>
      </c>
      <c r="CU1722" s="23" t="s">
        <v>138</v>
      </c>
      <c r="CV1722" s="24" t="s">
        <v>138</v>
      </c>
      <c r="CW1722" s="23">
        <v>-3.49</v>
      </c>
      <c r="CX1722" s="24">
        <v>5</v>
      </c>
      <c r="CY1722" s="23">
        <v>0</v>
      </c>
      <c r="CZ1722" s="24">
        <v>25</v>
      </c>
      <c r="DA1722" s="23" t="s">
        <v>138</v>
      </c>
      <c r="DB1722" s="24" t="s">
        <v>138</v>
      </c>
      <c r="DC1722" s="25">
        <v>1.32</v>
      </c>
      <c r="DD1722" s="24">
        <v>58</v>
      </c>
      <c r="DE1722" s="25">
        <v>-0.15</v>
      </c>
      <c r="DF1722" s="23">
        <v>-9.9600000000000009</v>
      </c>
      <c r="DG1722" s="25">
        <v>2.5</v>
      </c>
      <c r="DH1722" s="24">
        <v>71</v>
      </c>
      <c r="DI1722" s="25" t="s">
        <v>138</v>
      </c>
      <c r="DJ1722" s="24" t="s">
        <v>138</v>
      </c>
      <c r="DK1722" s="25">
        <v>4.5599999999999996</v>
      </c>
      <c r="DL1722" s="24">
        <v>78</v>
      </c>
      <c r="DM1722" s="25">
        <v>0.45</v>
      </c>
      <c r="DN1722" s="24">
        <v>31</v>
      </c>
      <c r="DO1722" s="25" t="s">
        <v>138</v>
      </c>
      <c r="DP1722" s="24" t="s">
        <v>138</v>
      </c>
      <c r="DQ1722" s="24">
        <v>1536</v>
      </c>
      <c r="DR1722" s="26">
        <v>84</v>
      </c>
      <c r="DS1722" s="23">
        <v>5.79</v>
      </c>
      <c r="DT1722" s="24">
        <v>13</v>
      </c>
      <c r="DU1722" s="26">
        <v>1</v>
      </c>
      <c r="DV1722" s="23">
        <v>8.33</v>
      </c>
      <c r="DW1722" s="24" t="s">
        <v>138</v>
      </c>
      <c r="DX1722" s="27" t="s">
        <v>138</v>
      </c>
      <c r="DY1722" s="23" t="s">
        <v>138</v>
      </c>
      <c r="DZ1722" s="15" t="s">
        <v>178</v>
      </c>
      <c r="EA1722" s="22">
        <v>43500</v>
      </c>
      <c r="EB1722" s="17" t="s">
        <v>138</v>
      </c>
      <c r="EC1722" s="22" t="s">
        <v>138</v>
      </c>
      <c r="ED1722" s="15" t="s">
        <v>138</v>
      </c>
      <c r="EE1722" s="14" t="str">
        <f>HYPERLINK("https://my.pitchbook.com?c=225537-40", "View company online")</f>
        <v>View company online</v>
      </c>
    </row>
    <row r="1723" spans="1:135">
      <c r="A1723" s="28" t="s">
        <v>32803</v>
      </c>
      <c r="B1723" s="28" t="s">
        <v>32804</v>
      </c>
      <c r="C1723" s="28" t="s">
        <v>32805</v>
      </c>
      <c r="D1723" s="28" t="s">
        <v>138</v>
      </c>
      <c r="E1723" s="28" t="s">
        <v>32806</v>
      </c>
      <c r="F1723" s="28" t="s">
        <v>32803</v>
      </c>
      <c r="G1723" s="28" t="s">
        <v>32807</v>
      </c>
      <c r="H1723" s="28" t="s">
        <v>141</v>
      </c>
      <c r="I1723" s="28" t="s">
        <v>212</v>
      </c>
      <c r="J1723" s="28" t="s">
        <v>213</v>
      </c>
      <c r="K1723" s="28" t="s">
        <v>11118</v>
      </c>
      <c r="L1723" s="28" t="s">
        <v>2274</v>
      </c>
      <c r="M1723" s="28" t="s">
        <v>32808</v>
      </c>
      <c r="N1723" s="28" t="s">
        <v>147</v>
      </c>
      <c r="O1723" s="29">
        <v>113.33</v>
      </c>
      <c r="P1723" s="28" t="s">
        <v>148</v>
      </c>
      <c r="Q1723" s="28" t="s">
        <v>149</v>
      </c>
      <c r="R1723" s="28" t="s">
        <v>174</v>
      </c>
      <c r="S1723" s="28" t="s">
        <v>32809</v>
      </c>
      <c r="T1723" s="30">
        <v>100</v>
      </c>
      <c r="U1723" s="28" t="s">
        <v>32810</v>
      </c>
      <c r="V1723" s="28" t="s">
        <v>138</v>
      </c>
      <c r="W1723" s="28" t="s">
        <v>138</v>
      </c>
      <c r="X1723" s="31">
        <v>2013</v>
      </c>
      <c r="Y1723" s="28" t="s">
        <v>138</v>
      </c>
      <c r="Z1723" s="28" t="s">
        <v>138</v>
      </c>
      <c r="AA1723" s="28" t="s">
        <v>138</v>
      </c>
      <c r="AB1723" s="32" t="s">
        <v>138</v>
      </c>
      <c r="AC1723" s="32" t="s">
        <v>138</v>
      </c>
      <c r="AD1723" s="32" t="s">
        <v>138</v>
      </c>
      <c r="AE1723" s="32" t="s">
        <v>138</v>
      </c>
      <c r="AF1723" s="32" t="s">
        <v>138</v>
      </c>
      <c r="AG1723" s="28" t="s">
        <v>138</v>
      </c>
      <c r="AH1723" s="32" t="s">
        <v>138</v>
      </c>
      <c r="AI1723" s="32" t="s">
        <v>138</v>
      </c>
      <c r="AJ1723" s="32" t="s">
        <v>138</v>
      </c>
      <c r="AK1723" s="28" t="s">
        <v>32811</v>
      </c>
      <c r="AL1723" s="28" t="s">
        <v>32812</v>
      </c>
      <c r="AM1723" s="28" t="s">
        <v>221</v>
      </c>
      <c r="AN1723" s="28" t="s">
        <v>32813</v>
      </c>
      <c r="AO1723" s="28" t="s">
        <v>32814</v>
      </c>
      <c r="AP1723" s="28" t="s">
        <v>307</v>
      </c>
      <c r="AQ1723" s="28" t="s">
        <v>32815</v>
      </c>
      <c r="AR1723" s="28" t="s">
        <v>32816</v>
      </c>
      <c r="AS1723" s="28" t="s">
        <v>310</v>
      </c>
      <c r="AT1723" s="28" t="s">
        <v>200</v>
      </c>
      <c r="AU1723" s="28" t="s">
        <v>798</v>
      </c>
      <c r="AV1723" s="28" t="s">
        <v>162</v>
      </c>
      <c r="AW1723" s="28" t="s">
        <v>32814</v>
      </c>
      <c r="AX1723" s="28" t="s">
        <v>138</v>
      </c>
      <c r="AY1723" s="28" t="s">
        <v>32817</v>
      </c>
      <c r="AZ1723" s="28" t="s">
        <v>164</v>
      </c>
      <c r="BA1723" s="28" t="s">
        <v>165</v>
      </c>
      <c r="BB1723" s="28" t="s">
        <v>32818</v>
      </c>
      <c r="BC1723" s="28" t="s">
        <v>32819</v>
      </c>
      <c r="BD1723" s="33">
        <v>23</v>
      </c>
      <c r="BE1723" s="28" t="s">
        <v>138</v>
      </c>
      <c r="BF1723" s="28" t="s">
        <v>138</v>
      </c>
      <c r="BG1723" s="28" t="s">
        <v>138</v>
      </c>
      <c r="BH1723" s="28" t="s">
        <v>32820</v>
      </c>
      <c r="BI1723" s="28" t="s">
        <v>138</v>
      </c>
      <c r="BJ1723" s="28" t="s">
        <v>138</v>
      </c>
      <c r="BK1723" s="28" t="s">
        <v>2936</v>
      </c>
      <c r="BL1723" s="28" t="s">
        <v>11132</v>
      </c>
      <c r="BM1723" s="34">
        <v>41640</v>
      </c>
      <c r="BN1723" s="29" t="s">
        <v>138</v>
      </c>
      <c r="BO1723" s="28" t="s">
        <v>138</v>
      </c>
      <c r="BP1723" s="29" t="s">
        <v>138</v>
      </c>
      <c r="BQ1723" s="28" t="s">
        <v>138</v>
      </c>
      <c r="BR1723" s="28" t="s">
        <v>316</v>
      </c>
      <c r="BS1723" s="28" t="s">
        <v>138</v>
      </c>
      <c r="BT1723" s="28" t="s">
        <v>138</v>
      </c>
      <c r="BU1723" s="28" t="s">
        <v>177</v>
      </c>
      <c r="BV1723" s="28" t="s">
        <v>138</v>
      </c>
      <c r="BW1723" s="28" t="s">
        <v>138</v>
      </c>
      <c r="BX1723" s="28" t="s">
        <v>138</v>
      </c>
      <c r="BY1723" s="28" t="s">
        <v>175</v>
      </c>
      <c r="BZ1723" s="34" t="s">
        <v>138</v>
      </c>
      <c r="CA1723" s="29">
        <v>129</v>
      </c>
      <c r="CB1723" s="28" t="s">
        <v>1178</v>
      </c>
      <c r="CC1723" s="29">
        <v>1050</v>
      </c>
      <c r="CD1723" s="28" t="s">
        <v>1178</v>
      </c>
      <c r="CE1723" s="28" t="s">
        <v>173</v>
      </c>
      <c r="CF1723" s="28" t="s">
        <v>433</v>
      </c>
      <c r="CG1723" s="28" t="s">
        <v>138</v>
      </c>
      <c r="CH1723" s="28" t="s">
        <v>174</v>
      </c>
      <c r="CI1723" s="28" t="s">
        <v>138</v>
      </c>
      <c r="CJ1723" s="28" t="s">
        <v>138</v>
      </c>
      <c r="CK1723" s="28" t="s">
        <v>138</v>
      </c>
      <c r="CL1723" s="28" t="s">
        <v>3093</v>
      </c>
      <c r="CM1723" s="34" t="s">
        <v>138</v>
      </c>
      <c r="CN1723" s="29" t="s">
        <v>138</v>
      </c>
      <c r="CO1723" s="35">
        <v>0.64</v>
      </c>
      <c r="CP1723" s="36">
        <v>96</v>
      </c>
      <c r="CQ1723" s="35">
        <v>0</v>
      </c>
      <c r="CR1723" s="35">
        <v>-0.63</v>
      </c>
      <c r="CS1723" s="35">
        <v>1.21</v>
      </c>
      <c r="CT1723" s="36">
        <v>97</v>
      </c>
      <c r="CU1723" s="35">
        <v>0.06</v>
      </c>
      <c r="CV1723" s="36">
        <v>60</v>
      </c>
      <c r="CW1723" s="35">
        <v>4</v>
      </c>
      <c r="CX1723" s="36">
        <v>94</v>
      </c>
      <c r="CY1723" s="35">
        <v>-1.57</v>
      </c>
      <c r="CZ1723" s="36">
        <v>14</v>
      </c>
      <c r="DA1723" s="35">
        <v>0.15</v>
      </c>
      <c r="DB1723" s="36">
        <v>78</v>
      </c>
      <c r="DC1723" s="37">
        <v>36.590000000000003</v>
      </c>
      <c r="DD1723" s="36">
        <v>97</v>
      </c>
      <c r="DE1723" s="37">
        <v>-1.9</v>
      </c>
      <c r="DF1723" s="35">
        <v>-4.95</v>
      </c>
      <c r="DG1723" s="37">
        <v>33.01</v>
      </c>
      <c r="DH1723" s="36">
        <v>97</v>
      </c>
      <c r="DI1723" s="37">
        <v>40.17</v>
      </c>
      <c r="DJ1723" s="36">
        <v>94</v>
      </c>
      <c r="DK1723" s="37">
        <v>59.64</v>
      </c>
      <c r="DL1723" s="36">
        <v>96</v>
      </c>
      <c r="DM1723" s="37">
        <v>6.38</v>
      </c>
      <c r="DN1723" s="36">
        <v>84</v>
      </c>
      <c r="DO1723" s="37">
        <v>22.29</v>
      </c>
      <c r="DP1723" s="36">
        <v>93</v>
      </c>
      <c r="DQ1723" s="36">
        <v>20238</v>
      </c>
      <c r="DR1723" s="38">
        <v>657</v>
      </c>
      <c r="DS1723" s="35">
        <v>3.36</v>
      </c>
      <c r="DT1723" s="36">
        <v>185</v>
      </c>
      <c r="DU1723" s="38">
        <v>-2</v>
      </c>
      <c r="DV1723" s="35">
        <v>-1.07</v>
      </c>
      <c r="DW1723" s="36">
        <v>7977</v>
      </c>
      <c r="DX1723" s="39">
        <v>20</v>
      </c>
      <c r="DY1723" s="35">
        <v>0.25</v>
      </c>
      <c r="DZ1723" s="28" t="s">
        <v>178</v>
      </c>
      <c r="EA1723" s="34">
        <v>43622</v>
      </c>
      <c r="EB1723" s="29">
        <v>450</v>
      </c>
      <c r="EC1723" s="34">
        <v>42836</v>
      </c>
      <c r="ED1723" s="28" t="s">
        <v>173</v>
      </c>
      <c r="EE1723" s="40" t="str">
        <f>HYPERLINK("https://my.pitchbook.com?c=66223-18", "View company online")</f>
        <v>View company online</v>
      </c>
    </row>
    <row r="1724" spans="1:135">
      <c r="A1724" s="15" t="s">
        <v>32821</v>
      </c>
      <c r="B1724" s="15" t="s">
        <v>32822</v>
      </c>
      <c r="C1724" s="15" t="s">
        <v>138</v>
      </c>
      <c r="D1724" s="15" t="s">
        <v>138</v>
      </c>
      <c r="E1724" s="15" t="s">
        <v>138</v>
      </c>
      <c r="F1724" s="15" t="s">
        <v>32821</v>
      </c>
      <c r="G1724" s="15" t="s">
        <v>32823</v>
      </c>
      <c r="H1724" s="15" t="s">
        <v>322</v>
      </c>
      <c r="I1724" s="15" t="s">
        <v>807</v>
      </c>
      <c r="J1724" s="15" t="s">
        <v>2534</v>
      </c>
      <c r="K1724" s="15" t="s">
        <v>32824</v>
      </c>
      <c r="L1724" s="15" t="s">
        <v>30250</v>
      </c>
      <c r="M1724" s="15" t="s">
        <v>32825</v>
      </c>
      <c r="N1724" s="15" t="s">
        <v>147</v>
      </c>
      <c r="O1724" s="17">
        <v>23.65</v>
      </c>
      <c r="P1724" s="15" t="s">
        <v>148</v>
      </c>
      <c r="Q1724" s="15" t="s">
        <v>149</v>
      </c>
      <c r="R1724" s="15" t="s">
        <v>244</v>
      </c>
      <c r="S1724" s="15" t="s">
        <v>32826</v>
      </c>
      <c r="T1724" s="18">
        <v>51</v>
      </c>
      <c r="U1724" s="15" t="s">
        <v>32827</v>
      </c>
      <c r="V1724" s="15" t="s">
        <v>138</v>
      </c>
      <c r="W1724" s="15" t="s">
        <v>138</v>
      </c>
      <c r="X1724" s="19">
        <v>1996</v>
      </c>
      <c r="Y1724" s="15" t="s">
        <v>138</v>
      </c>
      <c r="Z1724" s="15" t="s">
        <v>138</v>
      </c>
      <c r="AA1724" s="15" t="s">
        <v>138</v>
      </c>
      <c r="AB1724" s="20" t="s">
        <v>138</v>
      </c>
      <c r="AC1724" s="20" t="s">
        <v>138</v>
      </c>
      <c r="AD1724" s="20" t="s">
        <v>138</v>
      </c>
      <c r="AE1724" s="20" t="s">
        <v>138</v>
      </c>
      <c r="AF1724" s="20" t="s">
        <v>138</v>
      </c>
      <c r="AG1724" s="15" t="s">
        <v>138</v>
      </c>
      <c r="AH1724" s="20" t="s">
        <v>138</v>
      </c>
      <c r="AI1724" s="20" t="s">
        <v>138</v>
      </c>
      <c r="AJ1724" s="20" t="s">
        <v>138</v>
      </c>
      <c r="AK1724" s="15" t="s">
        <v>32828</v>
      </c>
      <c r="AL1724" s="15" t="s">
        <v>32829</v>
      </c>
      <c r="AM1724" s="15" t="s">
        <v>249</v>
      </c>
      <c r="AN1724" s="15" t="s">
        <v>32830</v>
      </c>
      <c r="AO1724" s="15" t="s">
        <v>32831</v>
      </c>
      <c r="AP1724" s="15" t="s">
        <v>3839</v>
      </c>
      <c r="AQ1724" s="15" t="s">
        <v>26791</v>
      </c>
      <c r="AR1724" s="15" t="s">
        <v>20515</v>
      </c>
      <c r="AS1724" s="15" t="s">
        <v>3841</v>
      </c>
      <c r="AT1724" s="15" t="s">
        <v>200</v>
      </c>
      <c r="AU1724" s="15" t="s">
        <v>3842</v>
      </c>
      <c r="AV1724" s="15" t="s">
        <v>162</v>
      </c>
      <c r="AW1724" s="15" t="s">
        <v>32832</v>
      </c>
      <c r="AX1724" s="15" t="s">
        <v>32833</v>
      </c>
      <c r="AY1724" s="15" t="s">
        <v>32834</v>
      </c>
      <c r="AZ1724" s="15" t="s">
        <v>164</v>
      </c>
      <c r="BA1724" s="15" t="s">
        <v>165</v>
      </c>
      <c r="BB1724" s="15" t="s">
        <v>32835</v>
      </c>
      <c r="BC1724" s="15" t="s">
        <v>32836</v>
      </c>
      <c r="BD1724" s="21">
        <v>2</v>
      </c>
      <c r="BE1724" s="15" t="s">
        <v>138</v>
      </c>
      <c r="BF1724" s="15" t="s">
        <v>138</v>
      </c>
      <c r="BG1724" s="15" t="s">
        <v>138</v>
      </c>
      <c r="BH1724" s="15" t="s">
        <v>32837</v>
      </c>
      <c r="BI1724" s="15" t="s">
        <v>138</v>
      </c>
      <c r="BJ1724" s="15" t="s">
        <v>138</v>
      </c>
      <c r="BK1724" s="15" t="s">
        <v>32838</v>
      </c>
      <c r="BL1724" s="15" t="s">
        <v>138</v>
      </c>
      <c r="BM1724" s="22">
        <v>38247</v>
      </c>
      <c r="BN1724" s="17">
        <v>0.55000000000000004</v>
      </c>
      <c r="BO1724" s="15" t="s">
        <v>172</v>
      </c>
      <c r="BP1724" s="17" t="s">
        <v>138</v>
      </c>
      <c r="BQ1724" s="15" t="s">
        <v>138</v>
      </c>
      <c r="BR1724" s="15" t="s">
        <v>265</v>
      </c>
      <c r="BS1724" s="15" t="s">
        <v>138</v>
      </c>
      <c r="BT1724" s="15" t="s">
        <v>138</v>
      </c>
      <c r="BU1724" s="15" t="s">
        <v>1327</v>
      </c>
      <c r="BV1724" s="15" t="s">
        <v>264</v>
      </c>
      <c r="BW1724" s="15" t="s">
        <v>138</v>
      </c>
      <c r="BX1724" s="15" t="s">
        <v>138</v>
      </c>
      <c r="BY1724" s="15" t="s">
        <v>175</v>
      </c>
      <c r="BZ1724" s="22">
        <v>41635</v>
      </c>
      <c r="CA1724" s="17">
        <v>6</v>
      </c>
      <c r="CB1724" s="15" t="s">
        <v>172</v>
      </c>
      <c r="CC1724" s="17" t="s">
        <v>138</v>
      </c>
      <c r="CD1724" s="15" t="s">
        <v>138</v>
      </c>
      <c r="CE1724" s="15" t="s">
        <v>173</v>
      </c>
      <c r="CF1724" s="15" t="s">
        <v>138</v>
      </c>
      <c r="CG1724" s="15" t="s">
        <v>138</v>
      </c>
      <c r="CH1724" s="15" t="s">
        <v>174</v>
      </c>
      <c r="CI1724" s="15" t="s">
        <v>138</v>
      </c>
      <c r="CJ1724" s="15" t="s">
        <v>138</v>
      </c>
      <c r="CK1724" s="15" t="s">
        <v>138</v>
      </c>
      <c r="CL1724" s="15" t="s">
        <v>175</v>
      </c>
      <c r="CM1724" s="22" t="s">
        <v>138</v>
      </c>
      <c r="CN1724" s="17" t="s">
        <v>138</v>
      </c>
      <c r="CO1724" s="23">
        <v>-0.7</v>
      </c>
      <c r="CP1724" s="24">
        <v>14</v>
      </c>
      <c r="CQ1724" s="23">
        <v>-0.08</v>
      </c>
      <c r="CR1724" s="23">
        <v>-12.95</v>
      </c>
      <c r="CS1724" s="23">
        <v>-1.4</v>
      </c>
      <c r="CT1724" s="24">
        <v>12</v>
      </c>
      <c r="CU1724" s="23">
        <v>0</v>
      </c>
      <c r="CV1724" s="24">
        <v>22</v>
      </c>
      <c r="CW1724" s="23" t="s">
        <v>138</v>
      </c>
      <c r="CX1724" s="24" t="s">
        <v>138</v>
      </c>
      <c r="CY1724" s="23">
        <v>-1.4</v>
      </c>
      <c r="CZ1724" s="24">
        <v>16</v>
      </c>
      <c r="DA1724" s="23">
        <v>0</v>
      </c>
      <c r="DB1724" s="24">
        <v>22</v>
      </c>
      <c r="DC1724" s="25">
        <v>6.07</v>
      </c>
      <c r="DD1724" s="24">
        <v>85</v>
      </c>
      <c r="DE1724" s="25">
        <v>1.71</v>
      </c>
      <c r="DF1724" s="23">
        <v>39.14</v>
      </c>
      <c r="DG1724" s="25">
        <v>5.14</v>
      </c>
      <c r="DH1724" s="24">
        <v>83</v>
      </c>
      <c r="DI1724" s="25">
        <v>7</v>
      </c>
      <c r="DJ1724" s="24">
        <v>81</v>
      </c>
      <c r="DK1724" s="25" t="s">
        <v>138</v>
      </c>
      <c r="DL1724" s="24" t="s">
        <v>138</v>
      </c>
      <c r="DM1724" s="25">
        <v>5.14</v>
      </c>
      <c r="DN1724" s="24">
        <v>82</v>
      </c>
      <c r="DO1724" s="25">
        <v>7</v>
      </c>
      <c r="DP1724" s="24">
        <v>83</v>
      </c>
      <c r="DQ1724" s="24" t="s">
        <v>138</v>
      </c>
      <c r="DR1724" s="26" t="s">
        <v>138</v>
      </c>
      <c r="DS1724" s="23" t="s">
        <v>138</v>
      </c>
      <c r="DT1724" s="24">
        <v>148</v>
      </c>
      <c r="DU1724" s="26">
        <v>0</v>
      </c>
      <c r="DV1724" s="23">
        <v>0</v>
      </c>
      <c r="DW1724" s="24">
        <v>2511</v>
      </c>
      <c r="DX1724" s="27">
        <v>-3</v>
      </c>
      <c r="DY1724" s="23">
        <v>-0.12</v>
      </c>
      <c r="DZ1724" s="15" t="s">
        <v>178</v>
      </c>
      <c r="EA1724" s="22">
        <v>43431</v>
      </c>
      <c r="EB1724" s="17" t="s">
        <v>138</v>
      </c>
      <c r="EC1724" s="22" t="s">
        <v>138</v>
      </c>
      <c r="ED1724" s="15" t="s">
        <v>138</v>
      </c>
      <c r="EE1724" s="14" t="str">
        <f>HYPERLINK("https://my.pitchbook.com?c=42509-08", "View company online")</f>
        <v>View company online</v>
      </c>
    </row>
    <row r="1725" spans="1:135">
      <c r="A1725" s="28" t="s">
        <v>32839</v>
      </c>
      <c r="B1725" s="28" t="s">
        <v>32840</v>
      </c>
      <c r="C1725" s="28" t="s">
        <v>32841</v>
      </c>
      <c r="D1725" s="28" t="s">
        <v>138</v>
      </c>
      <c r="E1725" s="28" t="s">
        <v>138</v>
      </c>
      <c r="F1725" s="28" t="s">
        <v>32839</v>
      </c>
      <c r="G1725" s="28" t="s">
        <v>32842</v>
      </c>
      <c r="H1725" s="28" t="s">
        <v>322</v>
      </c>
      <c r="I1725" s="28" t="s">
        <v>3488</v>
      </c>
      <c r="J1725" s="28" t="s">
        <v>3488</v>
      </c>
      <c r="K1725" s="28" t="s">
        <v>32843</v>
      </c>
      <c r="L1725" s="28" t="s">
        <v>2835</v>
      </c>
      <c r="M1725" s="28" t="s">
        <v>32844</v>
      </c>
      <c r="N1725" s="28" t="s">
        <v>147</v>
      </c>
      <c r="O1725" s="29">
        <v>13.98</v>
      </c>
      <c r="P1725" s="28" t="s">
        <v>148</v>
      </c>
      <c r="Q1725" s="28" t="s">
        <v>149</v>
      </c>
      <c r="R1725" s="28" t="s">
        <v>174</v>
      </c>
      <c r="S1725" s="28" t="s">
        <v>32845</v>
      </c>
      <c r="T1725" s="30">
        <v>90</v>
      </c>
      <c r="U1725" s="28" t="s">
        <v>24201</v>
      </c>
      <c r="V1725" s="28" t="s">
        <v>138</v>
      </c>
      <c r="W1725" s="28" t="s">
        <v>138</v>
      </c>
      <c r="X1725" s="31">
        <v>2007</v>
      </c>
      <c r="Y1725" s="28" t="s">
        <v>138</v>
      </c>
      <c r="Z1725" s="28" t="s">
        <v>138</v>
      </c>
      <c r="AA1725" s="28" t="s">
        <v>138</v>
      </c>
      <c r="AB1725" s="32">
        <v>11.8</v>
      </c>
      <c r="AC1725" s="32" t="s">
        <v>138</v>
      </c>
      <c r="AD1725" s="32" t="s">
        <v>138</v>
      </c>
      <c r="AE1725" s="32" t="s">
        <v>138</v>
      </c>
      <c r="AF1725" s="32" t="s">
        <v>138</v>
      </c>
      <c r="AG1725" s="28" t="s">
        <v>815</v>
      </c>
      <c r="AH1725" s="32" t="s">
        <v>138</v>
      </c>
      <c r="AI1725" s="32" t="s">
        <v>138</v>
      </c>
      <c r="AJ1725" s="32" t="s">
        <v>138</v>
      </c>
      <c r="AK1725" s="28" t="s">
        <v>32846</v>
      </c>
      <c r="AL1725" s="28" t="s">
        <v>32847</v>
      </c>
      <c r="AM1725" s="28" t="s">
        <v>4214</v>
      </c>
      <c r="AN1725" s="28" t="s">
        <v>32848</v>
      </c>
      <c r="AO1725" s="28" t="s">
        <v>32849</v>
      </c>
      <c r="AP1725" s="28" t="s">
        <v>1054</v>
      </c>
      <c r="AQ1725" s="28" t="s">
        <v>32850</v>
      </c>
      <c r="AR1725" s="28" t="s">
        <v>138</v>
      </c>
      <c r="AS1725" s="28" t="s">
        <v>138</v>
      </c>
      <c r="AT1725" s="28" t="s">
        <v>138</v>
      </c>
      <c r="AU1725" s="28" t="s">
        <v>32851</v>
      </c>
      <c r="AV1725" s="28" t="s">
        <v>1054</v>
      </c>
      <c r="AW1725" s="28" t="s">
        <v>32849</v>
      </c>
      <c r="AX1725" s="28" t="s">
        <v>138</v>
      </c>
      <c r="AY1725" s="28" t="s">
        <v>32852</v>
      </c>
      <c r="AZ1725" s="28" t="s">
        <v>530</v>
      </c>
      <c r="BA1725" s="28" t="s">
        <v>531</v>
      </c>
      <c r="BB1725" s="28" t="s">
        <v>32853</v>
      </c>
      <c r="BC1725" s="28" t="s">
        <v>32854</v>
      </c>
      <c r="BD1725" s="33">
        <v>3</v>
      </c>
      <c r="BE1725" s="28" t="s">
        <v>138</v>
      </c>
      <c r="BF1725" s="28" t="s">
        <v>138</v>
      </c>
      <c r="BG1725" s="28" t="s">
        <v>138</v>
      </c>
      <c r="BH1725" s="28" t="s">
        <v>32855</v>
      </c>
      <c r="BI1725" s="28" t="s">
        <v>138</v>
      </c>
      <c r="BJ1725" s="28" t="s">
        <v>138</v>
      </c>
      <c r="BK1725" s="28" t="s">
        <v>138</v>
      </c>
      <c r="BL1725" s="28" t="s">
        <v>32856</v>
      </c>
      <c r="BM1725" s="34">
        <v>43019</v>
      </c>
      <c r="BN1725" s="29" t="s">
        <v>138</v>
      </c>
      <c r="BO1725" s="28" t="s">
        <v>138</v>
      </c>
      <c r="BP1725" s="29" t="s">
        <v>138</v>
      </c>
      <c r="BQ1725" s="28" t="s">
        <v>138</v>
      </c>
      <c r="BR1725" s="28" t="s">
        <v>316</v>
      </c>
      <c r="BS1725" s="28" t="s">
        <v>138</v>
      </c>
      <c r="BT1725" s="28" t="s">
        <v>138</v>
      </c>
      <c r="BU1725" s="28" t="s">
        <v>177</v>
      </c>
      <c r="BV1725" s="28" t="s">
        <v>138</v>
      </c>
      <c r="BW1725" s="28" t="s">
        <v>138</v>
      </c>
      <c r="BX1725" s="28" t="s">
        <v>138</v>
      </c>
      <c r="BY1725" s="28" t="s">
        <v>175</v>
      </c>
      <c r="BZ1725" s="34">
        <v>43381</v>
      </c>
      <c r="CA1725" s="29">
        <v>13.98</v>
      </c>
      <c r="CB1725" s="28" t="s">
        <v>172</v>
      </c>
      <c r="CC1725" s="29" t="s">
        <v>138</v>
      </c>
      <c r="CD1725" s="28" t="s">
        <v>138</v>
      </c>
      <c r="CE1725" s="28" t="s">
        <v>173</v>
      </c>
      <c r="CF1725" s="28" t="s">
        <v>138</v>
      </c>
      <c r="CG1725" s="28" t="s">
        <v>138</v>
      </c>
      <c r="CH1725" s="28" t="s">
        <v>174</v>
      </c>
      <c r="CI1725" s="28" t="s">
        <v>138</v>
      </c>
      <c r="CJ1725" s="28" t="s">
        <v>138</v>
      </c>
      <c r="CK1725" s="28" t="s">
        <v>138</v>
      </c>
      <c r="CL1725" s="28" t="s">
        <v>175</v>
      </c>
      <c r="CM1725" s="34" t="s">
        <v>138</v>
      </c>
      <c r="CN1725" s="29" t="s">
        <v>138</v>
      </c>
      <c r="CO1725" s="35">
        <v>0.26</v>
      </c>
      <c r="CP1725" s="36">
        <v>93</v>
      </c>
      <c r="CQ1725" s="35">
        <v>-0.04</v>
      </c>
      <c r="CR1725" s="35">
        <v>-14.29</v>
      </c>
      <c r="CS1725" s="35">
        <v>0</v>
      </c>
      <c r="CT1725" s="36">
        <v>23</v>
      </c>
      <c r="CU1725" s="35">
        <v>0.52</v>
      </c>
      <c r="CV1725" s="36">
        <v>94</v>
      </c>
      <c r="CW1725" s="35" t="s">
        <v>138</v>
      </c>
      <c r="CX1725" s="36" t="s">
        <v>138</v>
      </c>
      <c r="CY1725" s="35">
        <v>0</v>
      </c>
      <c r="CZ1725" s="36">
        <v>25</v>
      </c>
      <c r="DA1725" s="35">
        <v>0.81</v>
      </c>
      <c r="DB1725" s="36">
        <v>97</v>
      </c>
      <c r="DC1725" s="37">
        <v>0.47</v>
      </c>
      <c r="DD1725" s="36">
        <v>32</v>
      </c>
      <c r="DE1725" s="37">
        <v>0</v>
      </c>
      <c r="DF1725" s="35">
        <v>0.48</v>
      </c>
      <c r="DG1725" s="37">
        <v>0.52</v>
      </c>
      <c r="DH1725" s="36">
        <v>35</v>
      </c>
      <c r="DI1725" s="37">
        <v>0.43</v>
      </c>
      <c r="DJ1725" s="36">
        <v>34</v>
      </c>
      <c r="DK1725" s="37" t="s">
        <v>138</v>
      </c>
      <c r="DL1725" s="36" t="s">
        <v>138</v>
      </c>
      <c r="DM1725" s="37">
        <v>0.52</v>
      </c>
      <c r="DN1725" s="36">
        <v>35</v>
      </c>
      <c r="DO1725" s="37">
        <v>0.68</v>
      </c>
      <c r="DP1725" s="36">
        <v>43</v>
      </c>
      <c r="DQ1725" s="36">
        <v>76</v>
      </c>
      <c r="DR1725" s="38">
        <v>1</v>
      </c>
      <c r="DS1725" s="35">
        <v>1.33</v>
      </c>
      <c r="DT1725" s="36">
        <v>15</v>
      </c>
      <c r="DU1725" s="38">
        <v>0</v>
      </c>
      <c r="DV1725" s="35">
        <v>0</v>
      </c>
      <c r="DW1725" s="36">
        <v>242</v>
      </c>
      <c r="DX1725" s="39">
        <v>1</v>
      </c>
      <c r="DY1725" s="35">
        <v>0.41</v>
      </c>
      <c r="DZ1725" s="28" t="s">
        <v>178</v>
      </c>
      <c r="EA1725" s="34">
        <v>43622</v>
      </c>
      <c r="EB1725" s="29" t="s">
        <v>138</v>
      </c>
      <c r="EC1725" s="34" t="s">
        <v>138</v>
      </c>
      <c r="ED1725" s="28" t="s">
        <v>138</v>
      </c>
      <c r="EE1725" s="40" t="str">
        <f>HYPERLINK("https://my.pitchbook.com?c=230590-81", "View company online")</f>
        <v>View company online</v>
      </c>
    </row>
    <row r="1726" spans="1:135">
      <c r="A1726" s="15" t="s">
        <v>32857</v>
      </c>
      <c r="B1726" s="15" t="s">
        <v>32858</v>
      </c>
      <c r="C1726" s="15" t="s">
        <v>32859</v>
      </c>
      <c r="D1726" s="15" t="s">
        <v>138</v>
      </c>
      <c r="E1726" s="15" t="s">
        <v>138</v>
      </c>
      <c r="F1726" s="15" t="s">
        <v>32857</v>
      </c>
      <c r="G1726" s="15" t="s">
        <v>32860</v>
      </c>
      <c r="H1726" s="15" t="s">
        <v>322</v>
      </c>
      <c r="I1726" s="15" t="s">
        <v>323</v>
      </c>
      <c r="J1726" s="15" t="s">
        <v>954</v>
      </c>
      <c r="K1726" s="15" t="s">
        <v>32861</v>
      </c>
      <c r="L1726" s="15" t="s">
        <v>242</v>
      </c>
      <c r="M1726" s="15" t="s">
        <v>32862</v>
      </c>
      <c r="N1726" s="15" t="s">
        <v>147</v>
      </c>
      <c r="O1726" s="17">
        <v>4.55</v>
      </c>
      <c r="P1726" s="15" t="s">
        <v>610</v>
      </c>
      <c r="Q1726" s="15" t="s">
        <v>149</v>
      </c>
      <c r="R1726" s="15" t="s">
        <v>174</v>
      </c>
      <c r="S1726" s="15" t="s">
        <v>32863</v>
      </c>
      <c r="T1726" s="18">
        <v>11</v>
      </c>
      <c r="U1726" s="15" t="s">
        <v>32864</v>
      </c>
      <c r="V1726" s="15" t="s">
        <v>138</v>
      </c>
      <c r="W1726" s="15" t="s">
        <v>138</v>
      </c>
      <c r="X1726" s="19">
        <v>2010</v>
      </c>
      <c r="Y1726" s="15" t="s">
        <v>138</v>
      </c>
      <c r="Z1726" s="15" t="s">
        <v>138</v>
      </c>
      <c r="AA1726" s="15" t="s">
        <v>138</v>
      </c>
      <c r="AB1726" s="20" t="s">
        <v>138</v>
      </c>
      <c r="AC1726" s="20" t="s">
        <v>138</v>
      </c>
      <c r="AD1726" s="20" t="s">
        <v>138</v>
      </c>
      <c r="AE1726" s="20" t="s">
        <v>138</v>
      </c>
      <c r="AF1726" s="20" t="s">
        <v>138</v>
      </c>
      <c r="AG1726" s="15" t="s">
        <v>138</v>
      </c>
      <c r="AH1726" s="20" t="s">
        <v>138</v>
      </c>
      <c r="AI1726" s="20" t="s">
        <v>138</v>
      </c>
      <c r="AJ1726" s="20" t="s">
        <v>138</v>
      </c>
      <c r="AK1726" s="15" t="s">
        <v>32865</v>
      </c>
      <c r="AL1726" s="15" t="s">
        <v>32866</v>
      </c>
      <c r="AM1726" s="15" t="s">
        <v>986</v>
      </c>
      <c r="AN1726" s="15" t="s">
        <v>32867</v>
      </c>
      <c r="AO1726" s="15" t="s">
        <v>138</v>
      </c>
      <c r="AP1726" s="15" t="s">
        <v>32868</v>
      </c>
      <c r="AQ1726" s="15" t="s">
        <v>32869</v>
      </c>
      <c r="AR1726" s="15" t="s">
        <v>32870</v>
      </c>
      <c r="AS1726" s="15" t="s">
        <v>32871</v>
      </c>
      <c r="AT1726" s="15" t="s">
        <v>138</v>
      </c>
      <c r="AU1726" s="15" t="s">
        <v>32872</v>
      </c>
      <c r="AV1726" s="15" t="s">
        <v>27338</v>
      </c>
      <c r="AW1726" s="15" t="s">
        <v>138</v>
      </c>
      <c r="AX1726" s="15" t="s">
        <v>138</v>
      </c>
      <c r="AY1726" s="15" t="s">
        <v>32873</v>
      </c>
      <c r="AZ1726" s="15" t="s">
        <v>401</v>
      </c>
      <c r="BA1726" s="15" t="s">
        <v>27339</v>
      </c>
      <c r="BB1726" s="15" t="s">
        <v>32874</v>
      </c>
      <c r="BC1726" s="15" t="s">
        <v>32875</v>
      </c>
      <c r="BD1726" s="21">
        <v>4</v>
      </c>
      <c r="BE1726" s="15" t="s">
        <v>138</v>
      </c>
      <c r="BF1726" s="15" t="s">
        <v>138</v>
      </c>
      <c r="BG1726" s="15" t="s">
        <v>138</v>
      </c>
      <c r="BH1726" s="15" t="s">
        <v>32876</v>
      </c>
      <c r="BI1726" s="15" t="s">
        <v>138</v>
      </c>
      <c r="BJ1726" s="15" t="s">
        <v>138</v>
      </c>
      <c r="BK1726" s="15" t="s">
        <v>138</v>
      </c>
      <c r="BL1726" s="15" t="s">
        <v>32877</v>
      </c>
      <c r="BM1726" s="22">
        <v>40544</v>
      </c>
      <c r="BN1726" s="17">
        <v>2.25</v>
      </c>
      <c r="BO1726" s="15" t="s">
        <v>172</v>
      </c>
      <c r="BP1726" s="17" t="s">
        <v>138</v>
      </c>
      <c r="BQ1726" s="15" t="s">
        <v>138</v>
      </c>
      <c r="BR1726" s="15" t="s">
        <v>205</v>
      </c>
      <c r="BS1726" s="15" t="s">
        <v>138</v>
      </c>
      <c r="BT1726" s="15" t="s">
        <v>138</v>
      </c>
      <c r="BU1726" s="15" t="s">
        <v>174</v>
      </c>
      <c r="BV1726" s="15" t="s">
        <v>138</v>
      </c>
      <c r="BW1726" s="15" t="s">
        <v>138</v>
      </c>
      <c r="BX1726" s="15" t="s">
        <v>138</v>
      </c>
      <c r="BY1726" s="15" t="s">
        <v>175</v>
      </c>
      <c r="BZ1726" s="22">
        <v>42116</v>
      </c>
      <c r="CA1726" s="17">
        <v>0.8</v>
      </c>
      <c r="CB1726" s="15" t="s">
        <v>1178</v>
      </c>
      <c r="CC1726" s="17" t="s">
        <v>138</v>
      </c>
      <c r="CD1726" s="15" t="s">
        <v>138</v>
      </c>
      <c r="CE1726" s="15" t="s">
        <v>262</v>
      </c>
      <c r="CF1726" s="15" t="s">
        <v>262</v>
      </c>
      <c r="CG1726" s="15" t="s">
        <v>138</v>
      </c>
      <c r="CH1726" s="15" t="s">
        <v>263</v>
      </c>
      <c r="CI1726" s="15" t="s">
        <v>138</v>
      </c>
      <c r="CJ1726" s="15" t="s">
        <v>138</v>
      </c>
      <c r="CK1726" s="15" t="s">
        <v>138</v>
      </c>
      <c r="CL1726" s="15" t="s">
        <v>175</v>
      </c>
      <c r="CM1726" s="22" t="s">
        <v>138</v>
      </c>
      <c r="CN1726" s="17" t="s">
        <v>138</v>
      </c>
      <c r="CO1726" s="23">
        <v>-0.02</v>
      </c>
      <c r="CP1726" s="24">
        <v>24</v>
      </c>
      <c r="CQ1726" s="23">
        <v>0</v>
      </c>
      <c r="CR1726" s="23">
        <v>8.56</v>
      </c>
      <c r="CS1726" s="23">
        <v>0</v>
      </c>
      <c r="CT1726" s="24">
        <v>23</v>
      </c>
      <c r="CU1726" s="23">
        <v>-0.03</v>
      </c>
      <c r="CV1726" s="24">
        <v>14</v>
      </c>
      <c r="CW1726" s="23" t="s">
        <v>138</v>
      </c>
      <c r="CX1726" s="24" t="s">
        <v>138</v>
      </c>
      <c r="CY1726" s="23">
        <v>0</v>
      </c>
      <c r="CZ1726" s="24">
        <v>25</v>
      </c>
      <c r="DA1726" s="23">
        <v>-0.02</v>
      </c>
      <c r="DB1726" s="24">
        <v>19</v>
      </c>
      <c r="DC1726" s="25">
        <v>8.17</v>
      </c>
      <c r="DD1726" s="24">
        <v>88</v>
      </c>
      <c r="DE1726" s="25">
        <v>0</v>
      </c>
      <c r="DF1726" s="23">
        <v>0.01</v>
      </c>
      <c r="DG1726" s="25">
        <v>0.86</v>
      </c>
      <c r="DH1726" s="24">
        <v>47</v>
      </c>
      <c r="DI1726" s="25">
        <v>15.48</v>
      </c>
      <c r="DJ1726" s="24">
        <v>89</v>
      </c>
      <c r="DK1726" s="25" t="s">
        <v>138</v>
      </c>
      <c r="DL1726" s="24" t="s">
        <v>138</v>
      </c>
      <c r="DM1726" s="25">
        <v>0.86</v>
      </c>
      <c r="DN1726" s="24">
        <v>47</v>
      </c>
      <c r="DO1726" s="25">
        <v>5.94</v>
      </c>
      <c r="DP1726" s="24">
        <v>81</v>
      </c>
      <c r="DQ1726" s="24" t="s">
        <v>138</v>
      </c>
      <c r="DR1726" s="26" t="s">
        <v>138</v>
      </c>
      <c r="DS1726" s="23" t="s">
        <v>138</v>
      </c>
      <c r="DT1726" s="24">
        <v>25</v>
      </c>
      <c r="DU1726" s="26">
        <v>0</v>
      </c>
      <c r="DV1726" s="23">
        <v>0</v>
      </c>
      <c r="DW1726" s="24">
        <v>2127</v>
      </c>
      <c r="DX1726" s="27">
        <v>-1</v>
      </c>
      <c r="DY1726" s="23">
        <v>-0.05</v>
      </c>
      <c r="DZ1726" s="15" t="s">
        <v>178</v>
      </c>
      <c r="EA1726" s="22">
        <v>43351</v>
      </c>
      <c r="EB1726" s="17">
        <v>5</v>
      </c>
      <c r="EC1726" s="22">
        <v>41466</v>
      </c>
      <c r="ED1726" s="15" t="s">
        <v>205</v>
      </c>
      <c r="EE1726" s="14" t="str">
        <f>HYPERLINK("https://my.pitchbook.com?c=106904-98", "View company online")</f>
        <v>View company online</v>
      </c>
    </row>
    <row r="1727" spans="1:135">
      <c r="A1727" s="28" t="s">
        <v>32878</v>
      </c>
      <c r="B1727" s="28" t="s">
        <v>32879</v>
      </c>
      <c r="C1727" s="28" t="s">
        <v>138</v>
      </c>
      <c r="D1727" s="28" t="s">
        <v>138</v>
      </c>
      <c r="E1727" s="28" t="s">
        <v>138</v>
      </c>
      <c r="F1727" s="28" t="s">
        <v>32878</v>
      </c>
      <c r="G1727" s="28" t="s">
        <v>32880</v>
      </c>
      <c r="H1727" s="28" t="s">
        <v>238</v>
      </c>
      <c r="I1727" s="28" t="s">
        <v>997</v>
      </c>
      <c r="J1727" s="28" t="s">
        <v>998</v>
      </c>
      <c r="K1727" s="28" t="s">
        <v>32881</v>
      </c>
      <c r="L1727" s="28" t="s">
        <v>138</v>
      </c>
      <c r="M1727" s="28" t="s">
        <v>32882</v>
      </c>
      <c r="N1727" s="28" t="s">
        <v>147</v>
      </c>
      <c r="O1727" s="29" t="s">
        <v>138</v>
      </c>
      <c r="P1727" s="28" t="s">
        <v>148</v>
      </c>
      <c r="Q1727" s="28" t="s">
        <v>149</v>
      </c>
      <c r="R1727" s="28" t="s">
        <v>174</v>
      </c>
      <c r="S1727" s="28" t="s">
        <v>32883</v>
      </c>
      <c r="T1727" s="30" t="s">
        <v>138</v>
      </c>
      <c r="U1727" s="28" t="s">
        <v>138</v>
      </c>
      <c r="V1727" s="28" t="s">
        <v>138</v>
      </c>
      <c r="W1727" s="28" t="s">
        <v>138</v>
      </c>
      <c r="X1727" s="31">
        <v>2008</v>
      </c>
      <c r="Y1727" s="28" t="s">
        <v>138</v>
      </c>
      <c r="Z1727" s="28" t="s">
        <v>138</v>
      </c>
      <c r="AA1727" s="28" t="s">
        <v>138</v>
      </c>
      <c r="AB1727" s="32" t="s">
        <v>138</v>
      </c>
      <c r="AC1727" s="32" t="s">
        <v>138</v>
      </c>
      <c r="AD1727" s="32" t="s">
        <v>138</v>
      </c>
      <c r="AE1727" s="32" t="s">
        <v>138</v>
      </c>
      <c r="AF1727" s="32" t="s">
        <v>138</v>
      </c>
      <c r="AG1727" s="28" t="s">
        <v>138</v>
      </c>
      <c r="AH1727" s="32" t="s">
        <v>138</v>
      </c>
      <c r="AI1727" s="32" t="s">
        <v>138</v>
      </c>
      <c r="AJ1727" s="32" t="s">
        <v>138</v>
      </c>
      <c r="AK1727" s="28" t="s">
        <v>32884</v>
      </c>
      <c r="AL1727" s="28" t="s">
        <v>32885</v>
      </c>
      <c r="AM1727" s="28" t="s">
        <v>32886</v>
      </c>
      <c r="AN1727" s="28" t="s">
        <v>32887</v>
      </c>
      <c r="AO1727" s="28" t="s">
        <v>32888</v>
      </c>
      <c r="AP1727" s="28" t="s">
        <v>496</v>
      </c>
      <c r="AQ1727" s="28" t="s">
        <v>32889</v>
      </c>
      <c r="AR1727" s="28" t="s">
        <v>138</v>
      </c>
      <c r="AS1727" s="28" t="s">
        <v>499</v>
      </c>
      <c r="AT1727" s="28" t="s">
        <v>138</v>
      </c>
      <c r="AU1727" s="28" t="s">
        <v>138</v>
      </c>
      <c r="AV1727" s="28" t="s">
        <v>450</v>
      </c>
      <c r="AW1727" s="28" t="s">
        <v>32890</v>
      </c>
      <c r="AX1727" s="28" t="s">
        <v>138</v>
      </c>
      <c r="AY1727" s="28" t="s">
        <v>32891</v>
      </c>
      <c r="AZ1727" s="28" t="s">
        <v>452</v>
      </c>
      <c r="BA1727" s="28" t="s">
        <v>453</v>
      </c>
      <c r="BB1727" s="28" t="s">
        <v>32892</v>
      </c>
      <c r="BC1727" s="28" t="s">
        <v>2783</v>
      </c>
      <c r="BD1727" s="33">
        <v>1</v>
      </c>
      <c r="BE1727" s="28" t="s">
        <v>138</v>
      </c>
      <c r="BF1727" s="28" t="s">
        <v>138</v>
      </c>
      <c r="BG1727" s="28" t="s">
        <v>138</v>
      </c>
      <c r="BH1727" s="28" t="s">
        <v>2784</v>
      </c>
      <c r="BI1727" s="28" t="s">
        <v>138</v>
      </c>
      <c r="BJ1727" s="28" t="s">
        <v>138</v>
      </c>
      <c r="BK1727" s="28" t="s">
        <v>138</v>
      </c>
      <c r="BL1727" s="28" t="s">
        <v>138</v>
      </c>
      <c r="BM1727" s="34">
        <v>42795</v>
      </c>
      <c r="BN1727" s="29" t="s">
        <v>138</v>
      </c>
      <c r="BO1727" s="28" t="s">
        <v>138</v>
      </c>
      <c r="BP1727" s="29" t="s">
        <v>138</v>
      </c>
      <c r="BQ1727" s="28" t="s">
        <v>138</v>
      </c>
      <c r="BR1727" s="28" t="s">
        <v>349</v>
      </c>
      <c r="BS1727" s="28" t="s">
        <v>138</v>
      </c>
      <c r="BT1727" s="28" t="s">
        <v>138</v>
      </c>
      <c r="BU1727" s="28" t="s">
        <v>174</v>
      </c>
      <c r="BV1727" s="28" t="s">
        <v>138</v>
      </c>
      <c r="BW1727" s="28" t="s">
        <v>138</v>
      </c>
      <c r="BX1727" s="28" t="s">
        <v>138</v>
      </c>
      <c r="BY1727" s="28" t="s">
        <v>175</v>
      </c>
      <c r="BZ1727" s="34">
        <v>42795</v>
      </c>
      <c r="CA1727" s="29" t="s">
        <v>138</v>
      </c>
      <c r="CB1727" s="28" t="s">
        <v>138</v>
      </c>
      <c r="CC1727" s="29" t="s">
        <v>138</v>
      </c>
      <c r="CD1727" s="28" t="s">
        <v>138</v>
      </c>
      <c r="CE1727" s="28" t="s">
        <v>349</v>
      </c>
      <c r="CF1727" s="28" t="s">
        <v>138</v>
      </c>
      <c r="CG1727" s="28" t="s">
        <v>138</v>
      </c>
      <c r="CH1727" s="28" t="s">
        <v>174</v>
      </c>
      <c r="CI1727" s="28" t="s">
        <v>138</v>
      </c>
      <c r="CJ1727" s="28" t="s">
        <v>138</v>
      </c>
      <c r="CK1727" s="28" t="s">
        <v>138</v>
      </c>
      <c r="CL1727" s="28" t="s">
        <v>175</v>
      </c>
      <c r="CM1727" s="34" t="s">
        <v>138</v>
      </c>
      <c r="CN1727" s="29" t="s">
        <v>138</v>
      </c>
      <c r="CO1727" s="35">
        <v>0.11</v>
      </c>
      <c r="CP1727" s="36">
        <v>90</v>
      </c>
      <c r="CQ1727" s="35">
        <v>0.02</v>
      </c>
      <c r="CR1727" s="35">
        <v>15.99</v>
      </c>
      <c r="CS1727" s="35">
        <v>0</v>
      </c>
      <c r="CT1727" s="36">
        <v>23</v>
      </c>
      <c r="CU1727" s="35">
        <v>0.23</v>
      </c>
      <c r="CV1727" s="36">
        <v>83</v>
      </c>
      <c r="CW1727" s="35">
        <v>0</v>
      </c>
      <c r="CX1727" s="36">
        <v>13</v>
      </c>
      <c r="CY1727" s="35">
        <v>0</v>
      </c>
      <c r="CZ1727" s="36">
        <v>25</v>
      </c>
      <c r="DA1727" s="35">
        <v>0.37</v>
      </c>
      <c r="DB1727" s="36">
        <v>91</v>
      </c>
      <c r="DC1727" s="37">
        <v>1.53</v>
      </c>
      <c r="DD1727" s="36">
        <v>61</v>
      </c>
      <c r="DE1727" s="37">
        <v>-0.02</v>
      </c>
      <c r="DF1727" s="35">
        <v>-1.51</v>
      </c>
      <c r="DG1727" s="37">
        <v>0.44</v>
      </c>
      <c r="DH1727" s="36">
        <v>31</v>
      </c>
      <c r="DI1727" s="37">
        <v>2.61</v>
      </c>
      <c r="DJ1727" s="36">
        <v>67</v>
      </c>
      <c r="DK1727" s="37">
        <v>0.81</v>
      </c>
      <c r="DL1727" s="36">
        <v>46</v>
      </c>
      <c r="DM1727" s="37">
        <v>7.0000000000000007E-2</v>
      </c>
      <c r="DN1727" s="36">
        <v>5</v>
      </c>
      <c r="DO1727" s="37">
        <v>1.81</v>
      </c>
      <c r="DP1727" s="36">
        <v>62</v>
      </c>
      <c r="DQ1727" s="36">
        <v>268</v>
      </c>
      <c r="DR1727" s="38">
        <v>26</v>
      </c>
      <c r="DS1727" s="35">
        <v>10.74</v>
      </c>
      <c r="DT1727" s="36">
        <v>2</v>
      </c>
      <c r="DU1727" s="38">
        <v>1</v>
      </c>
      <c r="DV1727" s="35">
        <v>100</v>
      </c>
      <c r="DW1727" s="36">
        <v>647</v>
      </c>
      <c r="DX1727" s="39">
        <v>2</v>
      </c>
      <c r="DY1727" s="35">
        <v>0.31</v>
      </c>
      <c r="DZ1727" s="28" t="s">
        <v>178</v>
      </c>
      <c r="EA1727" s="34">
        <v>43388</v>
      </c>
      <c r="EB1727" s="29" t="s">
        <v>138</v>
      </c>
      <c r="EC1727" s="34" t="s">
        <v>138</v>
      </c>
      <c r="ED1727" s="28" t="s">
        <v>138</v>
      </c>
      <c r="EE1727" s="40" t="str">
        <f>HYPERLINK("https://my.pitchbook.com?c=231264-82", "View company online")</f>
        <v>View company online</v>
      </c>
    </row>
    <row r="1728" spans="1:135">
      <c r="A1728" s="15" t="s">
        <v>32893</v>
      </c>
      <c r="B1728" s="15" t="s">
        <v>32894</v>
      </c>
      <c r="C1728" s="15" t="s">
        <v>138</v>
      </c>
      <c r="D1728" s="15" t="s">
        <v>138</v>
      </c>
      <c r="E1728" s="15" t="s">
        <v>138</v>
      </c>
      <c r="F1728" s="15" t="s">
        <v>32893</v>
      </c>
      <c r="G1728" s="15" t="s">
        <v>32895</v>
      </c>
      <c r="H1728" s="15" t="s">
        <v>322</v>
      </c>
      <c r="I1728" s="15" t="s">
        <v>323</v>
      </c>
      <c r="J1728" s="15" t="s">
        <v>413</v>
      </c>
      <c r="K1728" s="15" t="s">
        <v>32896</v>
      </c>
      <c r="L1728" s="15" t="s">
        <v>215</v>
      </c>
      <c r="M1728" s="15" t="s">
        <v>32897</v>
      </c>
      <c r="N1728" s="15" t="s">
        <v>147</v>
      </c>
      <c r="O1728" s="17">
        <v>26.84</v>
      </c>
      <c r="P1728" s="15" t="s">
        <v>148</v>
      </c>
      <c r="Q1728" s="15" t="s">
        <v>149</v>
      </c>
      <c r="R1728" s="15" t="s">
        <v>174</v>
      </c>
      <c r="S1728" s="15" t="s">
        <v>32898</v>
      </c>
      <c r="T1728" s="18">
        <v>29</v>
      </c>
      <c r="U1728" s="15" t="s">
        <v>32899</v>
      </c>
      <c r="V1728" s="15" t="s">
        <v>138</v>
      </c>
      <c r="W1728" s="15" t="s">
        <v>138</v>
      </c>
      <c r="X1728" s="19">
        <v>2011</v>
      </c>
      <c r="Y1728" s="15" t="s">
        <v>138</v>
      </c>
      <c r="Z1728" s="15" t="s">
        <v>138</v>
      </c>
      <c r="AA1728" s="15" t="s">
        <v>138</v>
      </c>
      <c r="AB1728" s="20" t="s">
        <v>138</v>
      </c>
      <c r="AC1728" s="20" t="s">
        <v>138</v>
      </c>
      <c r="AD1728" s="20" t="s">
        <v>138</v>
      </c>
      <c r="AE1728" s="20" t="s">
        <v>138</v>
      </c>
      <c r="AF1728" s="20" t="s">
        <v>138</v>
      </c>
      <c r="AG1728" s="15" t="s">
        <v>138</v>
      </c>
      <c r="AH1728" s="20" t="s">
        <v>138</v>
      </c>
      <c r="AI1728" s="20" t="s">
        <v>138</v>
      </c>
      <c r="AJ1728" s="20" t="s">
        <v>138</v>
      </c>
      <c r="AK1728" s="15" t="s">
        <v>32900</v>
      </c>
      <c r="AL1728" s="15" t="s">
        <v>32901</v>
      </c>
      <c r="AM1728" s="15" t="s">
        <v>221</v>
      </c>
      <c r="AN1728" s="15" t="s">
        <v>32902</v>
      </c>
      <c r="AO1728" s="15" t="s">
        <v>138</v>
      </c>
      <c r="AP1728" s="15" t="s">
        <v>423</v>
      </c>
      <c r="AQ1728" s="15" t="s">
        <v>32903</v>
      </c>
      <c r="AR1728" s="15" t="s">
        <v>138</v>
      </c>
      <c r="AS1728" s="15" t="s">
        <v>426</v>
      </c>
      <c r="AT1728" s="15" t="s">
        <v>426</v>
      </c>
      <c r="AU1728" s="15" t="s">
        <v>619</v>
      </c>
      <c r="AV1728" s="15" t="s">
        <v>162</v>
      </c>
      <c r="AW1728" s="15" t="s">
        <v>138</v>
      </c>
      <c r="AX1728" s="15" t="s">
        <v>138</v>
      </c>
      <c r="AY1728" s="15" t="s">
        <v>138</v>
      </c>
      <c r="AZ1728" s="15" t="s">
        <v>164</v>
      </c>
      <c r="BA1728" s="15" t="s">
        <v>165</v>
      </c>
      <c r="BB1728" s="15" t="s">
        <v>32904</v>
      </c>
      <c r="BC1728" s="15" t="s">
        <v>32905</v>
      </c>
      <c r="BD1728" s="21">
        <v>7</v>
      </c>
      <c r="BE1728" s="15" t="s">
        <v>138</v>
      </c>
      <c r="BF1728" s="15" t="s">
        <v>138</v>
      </c>
      <c r="BG1728" s="15" t="s">
        <v>138</v>
      </c>
      <c r="BH1728" s="15" t="s">
        <v>32906</v>
      </c>
      <c r="BI1728" s="15" t="s">
        <v>138</v>
      </c>
      <c r="BJ1728" s="15" t="s">
        <v>138</v>
      </c>
      <c r="BK1728" s="15" t="s">
        <v>5056</v>
      </c>
      <c r="BL1728" s="15" t="s">
        <v>32907</v>
      </c>
      <c r="BM1728" s="22">
        <v>40806</v>
      </c>
      <c r="BN1728" s="17">
        <v>3</v>
      </c>
      <c r="BO1728" s="15" t="s">
        <v>172</v>
      </c>
      <c r="BP1728" s="17">
        <v>14.65</v>
      </c>
      <c r="BQ1728" s="15" t="s">
        <v>172</v>
      </c>
      <c r="BR1728" s="15" t="s">
        <v>205</v>
      </c>
      <c r="BS1728" s="15" t="s">
        <v>206</v>
      </c>
      <c r="BT1728" s="15" t="s">
        <v>138</v>
      </c>
      <c r="BU1728" s="15" t="s">
        <v>174</v>
      </c>
      <c r="BV1728" s="15" t="s">
        <v>138</v>
      </c>
      <c r="BW1728" s="15" t="s">
        <v>138</v>
      </c>
      <c r="BX1728" s="15" t="s">
        <v>138</v>
      </c>
      <c r="BY1728" s="15" t="s">
        <v>175</v>
      </c>
      <c r="BZ1728" s="22">
        <v>42611</v>
      </c>
      <c r="CA1728" s="17">
        <v>17</v>
      </c>
      <c r="CB1728" s="15" t="s">
        <v>1178</v>
      </c>
      <c r="CC1728" s="17">
        <v>47</v>
      </c>
      <c r="CD1728" s="15" t="s">
        <v>172</v>
      </c>
      <c r="CE1728" s="15" t="s">
        <v>173</v>
      </c>
      <c r="CF1728" s="15" t="s">
        <v>974</v>
      </c>
      <c r="CG1728" s="15" t="s">
        <v>138</v>
      </c>
      <c r="CH1728" s="15" t="s">
        <v>174</v>
      </c>
      <c r="CI1728" s="15" t="s">
        <v>138</v>
      </c>
      <c r="CJ1728" s="15" t="s">
        <v>138</v>
      </c>
      <c r="CK1728" s="15" t="s">
        <v>138</v>
      </c>
      <c r="CL1728" s="15" t="s">
        <v>175</v>
      </c>
      <c r="CM1728" s="22" t="s">
        <v>138</v>
      </c>
      <c r="CN1728" s="17" t="s">
        <v>138</v>
      </c>
      <c r="CO1728" s="23">
        <v>-0.04</v>
      </c>
      <c r="CP1728" s="24">
        <v>23</v>
      </c>
      <c r="CQ1728" s="23">
        <v>0</v>
      </c>
      <c r="CR1728" s="23">
        <v>-0.14000000000000001</v>
      </c>
      <c r="CS1728" s="23">
        <v>0</v>
      </c>
      <c r="CT1728" s="24">
        <v>23</v>
      </c>
      <c r="CU1728" s="23">
        <v>-0.08</v>
      </c>
      <c r="CV1728" s="24">
        <v>5</v>
      </c>
      <c r="CW1728" s="23" t="s">
        <v>138</v>
      </c>
      <c r="CX1728" s="24" t="s">
        <v>138</v>
      </c>
      <c r="CY1728" s="23">
        <v>0</v>
      </c>
      <c r="CZ1728" s="24">
        <v>25</v>
      </c>
      <c r="DA1728" s="23">
        <v>-0.16</v>
      </c>
      <c r="DB1728" s="24">
        <v>3</v>
      </c>
      <c r="DC1728" s="25">
        <v>2.77</v>
      </c>
      <c r="DD1728" s="24">
        <v>74</v>
      </c>
      <c r="DE1728" s="25">
        <v>-0.01</v>
      </c>
      <c r="DF1728" s="23">
        <v>-0.51</v>
      </c>
      <c r="DG1728" s="25">
        <v>1.76</v>
      </c>
      <c r="DH1728" s="24">
        <v>64</v>
      </c>
      <c r="DI1728" s="25">
        <v>3.77</v>
      </c>
      <c r="DJ1728" s="24">
        <v>73</v>
      </c>
      <c r="DK1728" s="25" t="s">
        <v>138</v>
      </c>
      <c r="DL1728" s="24" t="s">
        <v>138</v>
      </c>
      <c r="DM1728" s="25">
        <v>1.76</v>
      </c>
      <c r="DN1728" s="24">
        <v>63</v>
      </c>
      <c r="DO1728" s="25">
        <v>3.89</v>
      </c>
      <c r="DP1728" s="24">
        <v>75</v>
      </c>
      <c r="DQ1728" s="24" t="s">
        <v>138</v>
      </c>
      <c r="DR1728" s="26" t="s">
        <v>138</v>
      </c>
      <c r="DS1728" s="23" t="s">
        <v>138</v>
      </c>
      <c r="DT1728" s="24">
        <v>51</v>
      </c>
      <c r="DU1728" s="26">
        <v>0</v>
      </c>
      <c r="DV1728" s="23">
        <v>0</v>
      </c>
      <c r="DW1728" s="24">
        <v>1391</v>
      </c>
      <c r="DX1728" s="27">
        <v>-2</v>
      </c>
      <c r="DY1728" s="23">
        <v>-0.14000000000000001</v>
      </c>
      <c r="DZ1728" s="15" t="s">
        <v>178</v>
      </c>
      <c r="EA1728" s="22">
        <v>43622</v>
      </c>
      <c r="EB1728" s="17">
        <v>47</v>
      </c>
      <c r="EC1728" s="22">
        <v>42611</v>
      </c>
      <c r="ED1728" s="15" t="s">
        <v>173</v>
      </c>
      <c r="EE1728" s="14" t="str">
        <f>HYPERLINK("https://my.pitchbook.com?c=55485-10", "View company online")</f>
        <v>View company online</v>
      </c>
    </row>
    <row r="1729" spans="1:135">
      <c r="A1729" s="28" t="s">
        <v>32908</v>
      </c>
      <c r="B1729" s="28" t="s">
        <v>32909</v>
      </c>
      <c r="C1729" s="28" t="s">
        <v>138</v>
      </c>
      <c r="D1729" s="28" t="s">
        <v>138</v>
      </c>
      <c r="E1729" s="28" t="s">
        <v>32910</v>
      </c>
      <c r="F1729" s="28" t="s">
        <v>32908</v>
      </c>
      <c r="G1729" s="28" t="s">
        <v>32911</v>
      </c>
      <c r="H1729" s="28" t="s">
        <v>238</v>
      </c>
      <c r="I1729" s="28" t="s">
        <v>269</v>
      </c>
      <c r="J1729" s="28" t="s">
        <v>296</v>
      </c>
      <c r="K1729" s="28" t="s">
        <v>2187</v>
      </c>
      <c r="L1729" s="28" t="s">
        <v>2427</v>
      </c>
      <c r="M1729" s="28" t="s">
        <v>32912</v>
      </c>
      <c r="N1729" s="28" t="s">
        <v>147</v>
      </c>
      <c r="O1729" s="29">
        <v>9</v>
      </c>
      <c r="P1729" s="28" t="s">
        <v>148</v>
      </c>
      <c r="Q1729" s="28" t="s">
        <v>149</v>
      </c>
      <c r="R1729" s="28" t="s">
        <v>174</v>
      </c>
      <c r="S1729" s="28" t="s">
        <v>32913</v>
      </c>
      <c r="T1729" s="30" t="s">
        <v>138</v>
      </c>
      <c r="U1729" s="28" t="s">
        <v>138</v>
      </c>
      <c r="V1729" s="28" t="s">
        <v>138</v>
      </c>
      <c r="W1729" s="28" t="s">
        <v>138</v>
      </c>
      <c r="X1729" s="31">
        <v>2016</v>
      </c>
      <c r="Y1729" s="28" t="s">
        <v>138</v>
      </c>
      <c r="Z1729" s="28" t="s">
        <v>138</v>
      </c>
      <c r="AA1729" s="28" t="s">
        <v>138</v>
      </c>
      <c r="AB1729" s="32" t="s">
        <v>138</v>
      </c>
      <c r="AC1729" s="32" t="s">
        <v>138</v>
      </c>
      <c r="AD1729" s="32" t="s">
        <v>138</v>
      </c>
      <c r="AE1729" s="32" t="s">
        <v>138</v>
      </c>
      <c r="AF1729" s="32" t="s">
        <v>138</v>
      </c>
      <c r="AG1729" s="28" t="s">
        <v>138</v>
      </c>
      <c r="AH1729" s="32" t="s">
        <v>138</v>
      </c>
      <c r="AI1729" s="32" t="s">
        <v>138</v>
      </c>
      <c r="AJ1729" s="32" t="s">
        <v>138</v>
      </c>
      <c r="AK1729" s="28" t="s">
        <v>32914</v>
      </c>
      <c r="AL1729" s="28" t="s">
        <v>32915</v>
      </c>
      <c r="AM1729" s="28" t="s">
        <v>304</v>
      </c>
      <c r="AN1729" s="28" t="s">
        <v>32916</v>
      </c>
      <c r="AO1729" s="28" t="s">
        <v>138</v>
      </c>
      <c r="AP1729" s="28" t="s">
        <v>3328</v>
      </c>
      <c r="AQ1729" s="28" t="s">
        <v>138</v>
      </c>
      <c r="AR1729" s="28" t="s">
        <v>138</v>
      </c>
      <c r="AS1729" s="28" t="s">
        <v>3330</v>
      </c>
      <c r="AT1729" s="28" t="s">
        <v>200</v>
      </c>
      <c r="AU1729" s="28" t="s">
        <v>138</v>
      </c>
      <c r="AV1729" s="28" t="s">
        <v>162</v>
      </c>
      <c r="AW1729" s="28" t="s">
        <v>138</v>
      </c>
      <c r="AX1729" s="28" t="s">
        <v>138</v>
      </c>
      <c r="AY1729" s="28" t="s">
        <v>32917</v>
      </c>
      <c r="AZ1729" s="28" t="s">
        <v>164</v>
      </c>
      <c r="BA1729" s="28" t="s">
        <v>165</v>
      </c>
      <c r="BB1729" s="28" t="s">
        <v>32918</v>
      </c>
      <c r="BC1729" s="28" t="s">
        <v>32919</v>
      </c>
      <c r="BD1729" s="33">
        <v>7</v>
      </c>
      <c r="BE1729" s="28" t="s">
        <v>138</v>
      </c>
      <c r="BF1729" s="28" t="s">
        <v>138</v>
      </c>
      <c r="BG1729" s="28" t="s">
        <v>138</v>
      </c>
      <c r="BH1729" s="28" t="s">
        <v>32920</v>
      </c>
      <c r="BI1729" s="28" t="s">
        <v>138</v>
      </c>
      <c r="BJ1729" s="28" t="s">
        <v>138</v>
      </c>
      <c r="BK1729" s="28" t="s">
        <v>1275</v>
      </c>
      <c r="BL1729" s="28" t="s">
        <v>1275</v>
      </c>
      <c r="BM1729" s="34">
        <v>42881</v>
      </c>
      <c r="BN1729" s="29">
        <v>0.25</v>
      </c>
      <c r="BO1729" s="28" t="s">
        <v>138</v>
      </c>
      <c r="BP1729" s="29" t="s">
        <v>138</v>
      </c>
      <c r="BQ1729" s="28" t="s">
        <v>138</v>
      </c>
      <c r="BR1729" s="28" t="s">
        <v>176</v>
      </c>
      <c r="BS1729" s="28" t="s">
        <v>138</v>
      </c>
      <c r="BT1729" s="28" t="s">
        <v>138</v>
      </c>
      <c r="BU1729" s="28" t="s">
        <v>177</v>
      </c>
      <c r="BV1729" s="28" t="s">
        <v>138</v>
      </c>
      <c r="BW1729" s="28" t="s">
        <v>138</v>
      </c>
      <c r="BX1729" s="28" t="s">
        <v>138</v>
      </c>
      <c r="BY1729" s="28" t="s">
        <v>175</v>
      </c>
      <c r="BZ1729" s="34">
        <v>43255</v>
      </c>
      <c r="CA1729" s="29">
        <v>7.5</v>
      </c>
      <c r="CB1729" s="28" t="s">
        <v>172</v>
      </c>
      <c r="CC1729" s="29">
        <v>22.5</v>
      </c>
      <c r="CD1729" s="28" t="s">
        <v>172</v>
      </c>
      <c r="CE1729" s="28" t="s">
        <v>234</v>
      </c>
      <c r="CF1729" s="28" t="s">
        <v>234</v>
      </c>
      <c r="CG1729" s="28" t="s">
        <v>138</v>
      </c>
      <c r="CH1729" s="28" t="s">
        <v>174</v>
      </c>
      <c r="CI1729" s="28" t="s">
        <v>138</v>
      </c>
      <c r="CJ1729" s="28" t="s">
        <v>138</v>
      </c>
      <c r="CK1729" s="28" t="s">
        <v>138</v>
      </c>
      <c r="CL1729" s="28" t="s">
        <v>175</v>
      </c>
      <c r="CM1729" s="34" t="s">
        <v>138</v>
      </c>
      <c r="CN1729" s="29" t="s">
        <v>138</v>
      </c>
      <c r="CO1729" s="35">
        <v>0.26</v>
      </c>
      <c r="CP1729" s="36">
        <v>93</v>
      </c>
      <c r="CQ1729" s="35">
        <v>0</v>
      </c>
      <c r="CR1729" s="35">
        <v>0</v>
      </c>
      <c r="CS1729" s="35">
        <v>0.51</v>
      </c>
      <c r="CT1729" s="36">
        <v>95</v>
      </c>
      <c r="CU1729" s="35">
        <v>0</v>
      </c>
      <c r="CV1729" s="36">
        <v>22</v>
      </c>
      <c r="CW1729" s="35">
        <v>1.03</v>
      </c>
      <c r="CX1729" s="36">
        <v>85</v>
      </c>
      <c r="CY1729" s="35">
        <v>0</v>
      </c>
      <c r="CZ1729" s="36">
        <v>25</v>
      </c>
      <c r="DA1729" s="35">
        <v>0</v>
      </c>
      <c r="DB1729" s="36">
        <v>22</v>
      </c>
      <c r="DC1729" s="37">
        <v>2.5499999999999998</v>
      </c>
      <c r="DD1729" s="36">
        <v>72</v>
      </c>
      <c r="DE1729" s="37">
        <v>-0.21</v>
      </c>
      <c r="DF1729" s="35">
        <v>-7.6</v>
      </c>
      <c r="DG1729" s="37">
        <v>4.93</v>
      </c>
      <c r="DH1729" s="36">
        <v>82</v>
      </c>
      <c r="DI1729" s="37">
        <v>0.17</v>
      </c>
      <c r="DJ1729" s="36">
        <v>20</v>
      </c>
      <c r="DK1729" s="37">
        <v>6.83</v>
      </c>
      <c r="DL1729" s="36">
        <v>83</v>
      </c>
      <c r="DM1729" s="37">
        <v>3.03</v>
      </c>
      <c r="DN1729" s="36">
        <v>74</v>
      </c>
      <c r="DO1729" s="37">
        <v>0.17</v>
      </c>
      <c r="DP1729" s="36">
        <v>22</v>
      </c>
      <c r="DQ1729" s="36">
        <v>2317</v>
      </c>
      <c r="DR1729" s="38">
        <v>80</v>
      </c>
      <c r="DS1729" s="35">
        <v>3.58</v>
      </c>
      <c r="DT1729" s="36">
        <v>87</v>
      </c>
      <c r="DU1729" s="38">
        <v>0</v>
      </c>
      <c r="DV1729" s="35">
        <v>0</v>
      </c>
      <c r="DW1729" s="36">
        <v>62</v>
      </c>
      <c r="DX1729" s="39">
        <v>0</v>
      </c>
      <c r="DY1729" s="35">
        <v>0</v>
      </c>
      <c r="DZ1729" s="28" t="s">
        <v>178</v>
      </c>
      <c r="EA1729" s="34">
        <v>43530</v>
      </c>
      <c r="EB1729" s="29">
        <v>22.5</v>
      </c>
      <c r="EC1729" s="34">
        <v>43255</v>
      </c>
      <c r="ED1729" s="28" t="s">
        <v>234</v>
      </c>
      <c r="EE1729" s="40" t="str">
        <f>HYPERLINK("https://my.pitchbook.com?c=181533-88", "View company online")</f>
        <v>View company online</v>
      </c>
    </row>
    <row r="1730" spans="1:135">
      <c r="A1730" s="15" t="s">
        <v>32921</v>
      </c>
      <c r="B1730" s="15" t="s">
        <v>32922</v>
      </c>
      <c r="C1730" s="15" t="s">
        <v>32923</v>
      </c>
      <c r="D1730" s="15" t="s">
        <v>138</v>
      </c>
      <c r="E1730" s="15" t="s">
        <v>32924</v>
      </c>
      <c r="F1730" s="15" t="s">
        <v>32921</v>
      </c>
      <c r="G1730" s="15" t="s">
        <v>32925</v>
      </c>
      <c r="H1730" s="15" t="s">
        <v>322</v>
      </c>
      <c r="I1730" s="15" t="s">
        <v>323</v>
      </c>
      <c r="J1730" s="15" t="s">
        <v>954</v>
      </c>
      <c r="K1730" s="15" t="s">
        <v>32926</v>
      </c>
      <c r="L1730" s="15" t="s">
        <v>32927</v>
      </c>
      <c r="M1730" s="15" t="s">
        <v>32928</v>
      </c>
      <c r="N1730" s="15" t="s">
        <v>147</v>
      </c>
      <c r="O1730" s="17" t="s">
        <v>138</v>
      </c>
      <c r="P1730" s="15" t="s">
        <v>148</v>
      </c>
      <c r="Q1730" s="15" t="s">
        <v>149</v>
      </c>
      <c r="R1730" s="15" t="s">
        <v>174</v>
      </c>
      <c r="S1730" s="15" t="s">
        <v>32929</v>
      </c>
      <c r="T1730" s="18" t="s">
        <v>138</v>
      </c>
      <c r="U1730" s="15" t="s">
        <v>138</v>
      </c>
      <c r="V1730" s="15" t="s">
        <v>138</v>
      </c>
      <c r="W1730" s="15" t="s">
        <v>138</v>
      </c>
      <c r="X1730" s="19">
        <v>2012</v>
      </c>
      <c r="Y1730" s="15" t="s">
        <v>138</v>
      </c>
      <c r="Z1730" s="15" t="s">
        <v>138</v>
      </c>
      <c r="AA1730" s="15" t="s">
        <v>138</v>
      </c>
      <c r="AB1730" s="20" t="s">
        <v>138</v>
      </c>
      <c r="AC1730" s="20" t="s">
        <v>138</v>
      </c>
      <c r="AD1730" s="20" t="s">
        <v>138</v>
      </c>
      <c r="AE1730" s="20" t="s">
        <v>138</v>
      </c>
      <c r="AF1730" s="20" t="s">
        <v>138</v>
      </c>
      <c r="AG1730" s="15" t="s">
        <v>138</v>
      </c>
      <c r="AH1730" s="20" t="s">
        <v>138</v>
      </c>
      <c r="AI1730" s="20" t="s">
        <v>138</v>
      </c>
      <c r="AJ1730" s="20" t="s">
        <v>138</v>
      </c>
      <c r="AK1730" s="15" t="s">
        <v>32930</v>
      </c>
      <c r="AL1730" s="15" t="s">
        <v>32931</v>
      </c>
      <c r="AM1730" s="15" t="s">
        <v>2776</v>
      </c>
      <c r="AN1730" s="15" t="s">
        <v>32932</v>
      </c>
      <c r="AO1730" s="15" t="s">
        <v>138</v>
      </c>
      <c r="AP1730" s="15" t="s">
        <v>13651</v>
      </c>
      <c r="AQ1730" s="15" t="s">
        <v>138</v>
      </c>
      <c r="AR1730" s="15" t="s">
        <v>138</v>
      </c>
      <c r="AS1730" s="15" t="s">
        <v>13653</v>
      </c>
      <c r="AT1730" s="15" t="s">
        <v>13654</v>
      </c>
      <c r="AU1730" s="15" t="s">
        <v>32933</v>
      </c>
      <c r="AV1730" s="15" t="s">
        <v>8999</v>
      </c>
      <c r="AW1730" s="15" t="s">
        <v>138</v>
      </c>
      <c r="AX1730" s="15" t="s">
        <v>138</v>
      </c>
      <c r="AY1730" s="15" t="s">
        <v>32934</v>
      </c>
      <c r="AZ1730" s="15" t="s">
        <v>9001</v>
      </c>
      <c r="BA1730" s="15" t="s">
        <v>9001</v>
      </c>
      <c r="BB1730" s="15" t="s">
        <v>32935</v>
      </c>
      <c r="BC1730" s="15" t="s">
        <v>2783</v>
      </c>
      <c r="BD1730" s="21">
        <v>1</v>
      </c>
      <c r="BE1730" s="15" t="s">
        <v>138</v>
      </c>
      <c r="BF1730" s="15" t="s">
        <v>32936</v>
      </c>
      <c r="BG1730" s="15" t="s">
        <v>138</v>
      </c>
      <c r="BH1730" s="15" t="s">
        <v>2784</v>
      </c>
      <c r="BI1730" s="15" t="s">
        <v>32937</v>
      </c>
      <c r="BJ1730" s="15" t="s">
        <v>138</v>
      </c>
      <c r="BK1730" s="15" t="s">
        <v>138</v>
      </c>
      <c r="BL1730" s="15" t="s">
        <v>32938</v>
      </c>
      <c r="BM1730" s="22">
        <v>41943</v>
      </c>
      <c r="BN1730" s="17">
        <v>0.01</v>
      </c>
      <c r="BO1730" s="15" t="s">
        <v>172</v>
      </c>
      <c r="BP1730" s="17" t="s">
        <v>138</v>
      </c>
      <c r="BQ1730" s="15" t="s">
        <v>138</v>
      </c>
      <c r="BR1730" s="15" t="s">
        <v>1830</v>
      </c>
      <c r="BS1730" s="15" t="s">
        <v>138</v>
      </c>
      <c r="BT1730" s="15" t="s">
        <v>138</v>
      </c>
      <c r="BU1730" s="15" t="s">
        <v>263</v>
      </c>
      <c r="BV1730" s="15" t="s">
        <v>138</v>
      </c>
      <c r="BW1730" s="15" t="s">
        <v>138</v>
      </c>
      <c r="BX1730" s="15" t="s">
        <v>138</v>
      </c>
      <c r="BY1730" s="15" t="s">
        <v>175</v>
      </c>
      <c r="BZ1730" s="22">
        <v>43313</v>
      </c>
      <c r="CA1730" s="17" t="s">
        <v>138</v>
      </c>
      <c r="CB1730" s="15" t="s">
        <v>138</v>
      </c>
      <c r="CC1730" s="17" t="s">
        <v>138</v>
      </c>
      <c r="CD1730" s="15" t="s">
        <v>138</v>
      </c>
      <c r="CE1730" s="15" t="s">
        <v>349</v>
      </c>
      <c r="CF1730" s="15" t="s">
        <v>138</v>
      </c>
      <c r="CG1730" s="15" t="s">
        <v>138</v>
      </c>
      <c r="CH1730" s="15" t="s">
        <v>174</v>
      </c>
      <c r="CI1730" s="15" t="s">
        <v>138</v>
      </c>
      <c r="CJ1730" s="15" t="s">
        <v>138</v>
      </c>
      <c r="CK1730" s="15" t="s">
        <v>138</v>
      </c>
      <c r="CL1730" s="15" t="s">
        <v>175</v>
      </c>
      <c r="CM1730" s="22" t="s">
        <v>138</v>
      </c>
      <c r="CN1730" s="17" t="s">
        <v>138</v>
      </c>
      <c r="CO1730" s="23">
        <v>-2.23</v>
      </c>
      <c r="CP1730" s="24">
        <v>5</v>
      </c>
      <c r="CQ1730" s="23">
        <v>-0.01</v>
      </c>
      <c r="CR1730" s="23">
        <v>-0.35</v>
      </c>
      <c r="CS1730" s="23">
        <v>-4.41</v>
      </c>
      <c r="CT1730" s="24">
        <v>3</v>
      </c>
      <c r="CU1730" s="23">
        <v>-0.06</v>
      </c>
      <c r="CV1730" s="24">
        <v>8</v>
      </c>
      <c r="CW1730" s="23">
        <v>-7.81</v>
      </c>
      <c r="CX1730" s="24">
        <v>1</v>
      </c>
      <c r="CY1730" s="23">
        <v>-1</v>
      </c>
      <c r="CZ1730" s="24">
        <v>19</v>
      </c>
      <c r="DA1730" s="23">
        <v>-0.06</v>
      </c>
      <c r="DB1730" s="24">
        <v>11</v>
      </c>
      <c r="DC1730" s="25">
        <v>3.74</v>
      </c>
      <c r="DD1730" s="24">
        <v>79</v>
      </c>
      <c r="DE1730" s="25">
        <v>0</v>
      </c>
      <c r="DF1730" s="23">
        <v>-0.08</v>
      </c>
      <c r="DG1730" s="25">
        <v>5.61</v>
      </c>
      <c r="DH1730" s="24">
        <v>84</v>
      </c>
      <c r="DI1730" s="25">
        <v>1.86</v>
      </c>
      <c r="DJ1730" s="24">
        <v>61</v>
      </c>
      <c r="DK1730" s="25">
        <v>0.74</v>
      </c>
      <c r="DL1730" s="24">
        <v>44</v>
      </c>
      <c r="DM1730" s="25">
        <v>10.48</v>
      </c>
      <c r="DN1730" s="24">
        <v>89</v>
      </c>
      <c r="DO1730" s="25">
        <v>1.86</v>
      </c>
      <c r="DP1730" s="24">
        <v>62</v>
      </c>
      <c r="DQ1730" s="24">
        <v>295</v>
      </c>
      <c r="DR1730" s="26">
        <v>-121</v>
      </c>
      <c r="DS1730" s="23">
        <v>-29.09</v>
      </c>
      <c r="DT1730" s="24">
        <v>303</v>
      </c>
      <c r="DU1730" s="26">
        <v>2</v>
      </c>
      <c r="DV1730" s="23">
        <v>0.66</v>
      </c>
      <c r="DW1730" s="24">
        <v>666</v>
      </c>
      <c r="DX1730" s="27">
        <v>-1</v>
      </c>
      <c r="DY1730" s="23">
        <v>-0.15</v>
      </c>
      <c r="DZ1730" s="15" t="s">
        <v>178</v>
      </c>
      <c r="EA1730" s="22">
        <v>43351</v>
      </c>
      <c r="EB1730" s="17" t="s">
        <v>138</v>
      </c>
      <c r="EC1730" s="22" t="s">
        <v>138</v>
      </c>
      <c r="ED1730" s="15" t="s">
        <v>138</v>
      </c>
      <c r="EE1730" s="14" t="str">
        <f>HYPERLINK("https://my.pitchbook.com?c=185709-52", "View company online")</f>
        <v>View company online</v>
      </c>
    </row>
    <row r="1731" spans="1:135">
      <c r="A1731" s="28" t="s">
        <v>32939</v>
      </c>
      <c r="B1731" s="28" t="s">
        <v>32940</v>
      </c>
      <c r="C1731" s="28" t="s">
        <v>138</v>
      </c>
      <c r="D1731" s="28" t="s">
        <v>138</v>
      </c>
      <c r="E1731" s="28" t="s">
        <v>138</v>
      </c>
      <c r="F1731" s="28" t="s">
        <v>32939</v>
      </c>
      <c r="G1731" s="28" t="s">
        <v>32941</v>
      </c>
      <c r="H1731" s="28" t="s">
        <v>322</v>
      </c>
      <c r="I1731" s="28" t="s">
        <v>323</v>
      </c>
      <c r="J1731" s="28" t="s">
        <v>413</v>
      </c>
      <c r="K1731" s="28" t="s">
        <v>2254</v>
      </c>
      <c r="L1731" s="28" t="s">
        <v>3343</v>
      </c>
      <c r="M1731" s="28" t="s">
        <v>32942</v>
      </c>
      <c r="N1731" s="28" t="s">
        <v>147</v>
      </c>
      <c r="O1731" s="29">
        <v>1</v>
      </c>
      <c r="P1731" s="28" t="s">
        <v>148</v>
      </c>
      <c r="Q1731" s="28" t="s">
        <v>149</v>
      </c>
      <c r="R1731" s="28" t="s">
        <v>174</v>
      </c>
      <c r="S1731" s="28" t="s">
        <v>32943</v>
      </c>
      <c r="T1731" s="30" t="s">
        <v>138</v>
      </c>
      <c r="U1731" s="28" t="s">
        <v>138</v>
      </c>
      <c r="V1731" s="28" t="s">
        <v>138</v>
      </c>
      <c r="W1731" s="28" t="s">
        <v>138</v>
      </c>
      <c r="X1731" s="31">
        <v>2015</v>
      </c>
      <c r="Y1731" s="28" t="s">
        <v>138</v>
      </c>
      <c r="Z1731" s="28" t="s">
        <v>138</v>
      </c>
      <c r="AA1731" s="28" t="s">
        <v>138</v>
      </c>
      <c r="AB1731" s="32" t="s">
        <v>138</v>
      </c>
      <c r="AC1731" s="32" t="s">
        <v>138</v>
      </c>
      <c r="AD1731" s="32" t="s">
        <v>138</v>
      </c>
      <c r="AE1731" s="32" t="s">
        <v>138</v>
      </c>
      <c r="AF1731" s="32" t="s">
        <v>138</v>
      </c>
      <c r="AG1731" s="28" t="s">
        <v>138</v>
      </c>
      <c r="AH1731" s="32" t="s">
        <v>138</v>
      </c>
      <c r="AI1731" s="32" t="s">
        <v>138</v>
      </c>
      <c r="AJ1731" s="32" t="s">
        <v>138</v>
      </c>
      <c r="AK1731" s="28" t="s">
        <v>32944</v>
      </c>
      <c r="AL1731" s="28" t="s">
        <v>32945</v>
      </c>
      <c r="AM1731" s="28" t="s">
        <v>32946</v>
      </c>
      <c r="AN1731" s="28" t="s">
        <v>32947</v>
      </c>
      <c r="AO1731" s="28" t="s">
        <v>138</v>
      </c>
      <c r="AP1731" s="28" t="s">
        <v>2388</v>
      </c>
      <c r="AQ1731" s="28" t="s">
        <v>32948</v>
      </c>
      <c r="AR1731" s="28" t="s">
        <v>138</v>
      </c>
      <c r="AS1731" s="28" t="s">
        <v>2391</v>
      </c>
      <c r="AT1731" s="28" t="s">
        <v>200</v>
      </c>
      <c r="AU1731" s="28" t="s">
        <v>5772</v>
      </c>
      <c r="AV1731" s="28" t="s">
        <v>162</v>
      </c>
      <c r="AW1731" s="28" t="s">
        <v>138</v>
      </c>
      <c r="AX1731" s="28" t="s">
        <v>138</v>
      </c>
      <c r="AY1731" s="28" t="s">
        <v>32949</v>
      </c>
      <c r="AZ1731" s="28" t="s">
        <v>164</v>
      </c>
      <c r="BA1731" s="28" t="s">
        <v>165</v>
      </c>
      <c r="BB1731" s="28" t="s">
        <v>32950</v>
      </c>
      <c r="BC1731" s="28" t="s">
        <v>32951</v>
      </c>
      <c r="BD1731" s="33">
        <v>5</v>
      </c>
      <c r="BE1731" s="28" t="s">
        <v>138</v>
      </c>
      <c r="BF1731" s="28" t="s">
        <v>138</v>
      </c>
      <c r="BG1731" s="28" t="s">
        <v>138</v>
      </c>
      <c r="BH1731" s="28" t="s">
        <v>32952</v>
      </c>
      <c r="BI1731" s="28" t="s">
        <v>138</v>
      </c>
      <c r="BJ1731" s="28" t="s">
        <v>138</v>
      </c>
      <c r="BK1731" s="28" t="s">
        <v>138</v>
      </c>
      <c r="BL1731" s="28" t="s">
        <v>138</v>
      </c>
      <c r="BM1731" s="34">
        <v>43021</v>
      </c>
      <c r="BN1731" s="29">
        <v>1</v>
      </c>
      <c r="BO1731" s="28" t="s">
        <v>172</v>
      </c>
      <c r="BP1731" s="29">
        <v>7.7</v>
      </c>
      <c r="BQ1731" s="28" t="s">
        <v>172</v>
      </c>
      <c r="BR1731" s="28" t="s">
        <v>234</v>
      </c>
      <c r="BS1731" s="28" t="s">
        <v>234</v>
      </c>
      <c r="BT1731" s="28" t="s">
        <v>138</v>
      </c>
      <c r="BU1731" s="28" t="s">
        <v>174</v>
      </c>
      <c r="BV1731" s="28" t="s">
        <v>138</v>
      </c>
      <c r="BW1731" s="28" t="s">
        <v>138</v>
      </c>
      <c r="BX1731" s="28" t="s">
        <v>138</v>
      </c>
      <c r="BY1731" s="28" t="s">
        <v>175</v>
      </c>
      <c r="BZ1731" s="34">
        <v>43021</v>
      </c>
      <c r="CA1731" s="29">
        <v>1</v>
      </c>
      <c r="CB1731" s="28" t="s">
        <v>172</v>
      </c>
      <c r="CC1731" s="29">
        <v>7.7</v>
      </c>
      <c r="CD1731" s="28" t="s">
        <v>172</v>
      </c>
      <c r="CE1731" s="28" t="s">
        <v>234</v>
      </c>
      <c r="CF1731" s="28" t="s">
        <v>234</v>
      </c>
      <c r="CG1731" s="28" t="s">
        <v>138</v>
      </c>
      <c r="CH1731" s="28" t="s">
        <v>174</v>
      </c>
      <c r="CI1731" s="28" t="s">
        <v>138</v>
      </c>
      <c r="CJ1731" s="28" t="s">
        <v>138</v>
      </c>
      <c r="CK1731" s="28" t="s">
        <v>138</v>
      </c>
      <c r="CL1731" s="28" t="s">
        <v>175</v>
      </c>
      <c r="CM1731" s="34" t="s">
        <v>138</v>
      </c>
      <c r="CN1731" s="29" t="s">
        <v>138</v>
      </c>
      <c r="CO1731" s="35">
        <v>0</v>
      </c>
      <c r="CP1731" s="36">
        <v>26</v>
      </c>
      <c r="CQ1731" s="35">
        <v>0</v>
      </c>
      <c r="CR1731" s="35">
        <v>0</v>
      </c>
      <c r="CS1731" s="35">
        <v>0</v>
      </c>
      <c r="CT1731" s="36">
        <v>23</v>
      </c>
      <c r="CU1731" s="35">
        <v>0</v>
      </c>
      <c r="CV1731" s="36">
        <v>22</v>
      </c>
      <c r="CW1731" s="35">
        <v>0</v>
      </c>
      <c r="CX1731" s="36">
        <v>13</v>
      </c>
      <c r="CY1731" s="35" t="s">
        <v>138</v>
      </c>
      <c r="CZ1731" s="36" t="s">
        <v>138</v>
      </c>
      <c r="DA1731" s="35">
        <v>0</v>
      </c>
      <c r="DB1731" s="36">
        <v>22</v>
      </c>
      <c r="DC1731" s="37">
        <v>1.22</v>
      </c>
      <c r="DD1731" s="36">
        <v>56</v>
      </c>
      <c r="DE1731" s="37">
        <v>-0.15</v>
      </c>
      <c r="DF1731" s="35">
        <v>-11.03</v>
      </c>
      <c r="DG1731" s="37">
        <v>2.37</v>
      </c>
      <c r="DH1731" s="36">
        <v>70</v>
      </c>
      <c r="DI1731" s="37">
        <v>0.08</v>
      </c>
      <c r="DJ1731" s="36">
        <v>12</v>
      </c>
      <c r="DK1731" s="37">
        <v>2.37</v>
      </c>
      <c r="DL1731" s="36">
        <v>67</v>
      </c>
      <c r="DM1731" s="37" t="s">
        <v>138</v>
      </c>
      <c r="DN1731" s="36" t="s">
        <v>138</v>
      </c>
      <c r="DO1731" s="37">
        <v>0.08</v>
      </c>
      <c r="DP1731" s="36">
        <v>14</v>
      </c>
      <c r="DQ1731" s="36">
        <v>809</v>
      </c>
      <c r="DR1731" s="38">
        <v>9</v>
      </c>
      <c r="DS1731" s="35">
        <v>1.1299999999999999</v>
      </c>
      <c r="DT1731" s="36" t="s">
        <v>138</v>
      </c>
      <c r="DU1731" s="38" t="s">
        <v>138</v>
      </c>
      <c r="DV1731" s="35" t="s">
        <v>138</v>
      </c>
      <c r="DW1731" s="36">
        <v>28</v>
      </c>
      <c r="DX1731" s="39">
        <v>0</v>
      </c>
      <c r="DY1731" s="35">
        <v>0</v>
      </c>
      <c r="DZ1731" s="28" t="s">
        <v>178</v>
      </c>
      <c r="EA1731" s="34">
        <v>43410</v>
      </c>
      <c r="EB1731" s="29">
        <v>7.7</v>
      </c>
      <c r="EC1731" s="34">
        <v>43021</v>
      </c>
      <c r="ED1731" s="28" t="s">
        <v>234</v>
      </c>
      <c r="EE1731" s="40" t="str">
        <f>HYPERLINK("https://my.pitchbook.com?c=221426-56", "View company online")</f>
        <v>View company online</v>
      </c>
    </row>
    <row r="1732" spans="1:135">
      <c r="A1732" s="15" t="s">
        <v>32953</v>
      </c>
      <c r="B1732" s="15" t="s">
        <v>32954</v>
      </c>
      <c r="C1732" s="15" t="s">
        <v>32955</v>
      </c>
      <c r="D1732" s="15" t="s">
        <v>138</v>
      </c>
      <c r="E1732" s="15" t="s">
        <v>32956</v>
      </c>
      <c r="F1732" s="15" t="s">
        <v>32953</v>
      </c>
      <c r="G1732" s="15" t="s">
        <v>32957</v>
      </c>
      <c r="H1732" s="15" t="s">
        <v>238</v>
      </c>
      <c r="I1732" s="15" t="s">
        <v>749</v>
      </c>
      <c r="J1732" s="15" t="s">
        <v>750</v>
      </c>
      <c r="K1732" s="15" t="s">
        <v>751</v>
      </c>
      <c r="L1732" s="15" t="s">
        <v>138</v>
      </c>
      <c r="M1732" s="15" t="s">
        <v>32958</v>
      </c>
      <c r="N1732" s="15" t="s">
        <v>147</v>
      </c>
      <c r="O1732" s="17">
        <v>8.25</v>
      </c>
      <c r="P1732" s="15" t="s">
        <v>148</v>
      </c>
      <c r="Q1732" s="15" t="s">
        <v>149</v>
      </c>
      <c r="R1732" s="15" t="s">
        <v>174</v>
      </c>
      <c r="S1732" s="15" t="s">
        <v>32959</v>
      </c>
      <c r="T1732" s="18" t="s">
        <v>138</v>
      </c>
      <c r="U1732" s="15" t="s">
        <v>138</v>
      </c>
      <c r="V1732" s="15" t="s">
        <v>138</v>
      </c>
      <c r="W1732" s="15" t="s">
        <v>138</v>
      </c>
      <c r="X1732" s="19">
        <v>2011</v>
      </c>
      <c r="Y1732" s="15" t="s">
        <v>138</v>
      </c>
      <c r="Z1732" s="15" t="s">
        <v>138</v>
      </c>
      <c r="AA1732" s="15" t="s">
        <v>138</v>
      </c>
      <c r="AB1732" s="20" t="s">
        <v>138</v>
      </c>
      <c r="AC1732" s="20" t="s">
        <v>138</v>
      </c>
      <c r="AD1732" s="20" t="s">
        <v>138</v>
      </c>
      <c r="AE1732" s="20" t="s">
        <v>138</v>
      </c>
      <c r="AF1732" s="20" t="s">
        <v>138</v>
      </c>
      <c r="AG1732" s="15" t="s">
        <v>138</v>
      </c>
      <c r="AH1732" s="20" t="s">
        <v>138</v>
      </c>
      <c r="AI1732" s="20" t="s">
        <v>138</v>
      </c>
      <c r="AJ1732" s="20" t="s">
        <v>138</v>
      </c>
      <c r="AK1732" s="15" t="s">
        <v>32960</v>
      </c>
      <c r="AL1732" s="15" t="s">
        <v>32961</v>
      </c>
      <c r="AM1732" s="15" t="s">
        <v>1632</v>
      </c>
      <c r="AN1732" s="15" t="s">
        <v>32962</v>
      </c>
      <c r="AO1732" s="15" t="s">
        <v>32963</v>
      </c>
      <c r="AP1732" s="15" t="s">
        <v>18576</v>
      </c>
      <c r="AQ1732" s="15" t="s">
        <v>32964</v>
      </c>
      <c r="AR1732" s="15" t="s">
        <v>138</v>
      </c>
      <c r="AS1732" s="15" t="s">
        <v>18578</v>
      </c>
      <c r="AT1732" s="15" t="s">
        <v>200</v>
      </c>
      <c r="AU1732" s="15" t="s">
        <v>32965</v>
      </c>
      <c r="AV1732" s="15" t="s">
        <v>162</v>
      </c>
      <c r="AW1732" s="15" t="s">
        <v>32963</v>
      </c>
      <c r="AX1732" s="15" t="s">
        <v>138</v>
      </c>
      <c r="AY1732" s="15" t="s">
        <v>32966</v>
      </c>
      <c r="AZ1732" s="15" t="s">
        <v>164</v>
      </c>
      <c r="BA1732" s="15" t="s">
        <v>165</v>
      </c>
      <c r="BB1732" s="15" t="s">
        <v>32967</v>
      </c>
      <c r="BC1732" s="15" t="s">
        <v>32968</v>
      </c>
      <c r="BD1732" s="21">
        <v>3</v>
      </c>
      <c r="BE1732" s="15" t="s">
        <v>138</v>
      </c>
      <c r="BF1732" s="15" t="s">
        <v>138</v>
      </c>
      <c r="BG1732" s="15" t="s">
        <v>138</v>
      </c>
      <c r="BH1732" s="15" t="s">
        <v>32969</v>
      </c>
      <c r="BI1732" s="15" t="s">
        <v>138</v>
      </c>
      <c r="BJ1732" s="15" t="s">
        <v>138</v>
      </c>
      <c r="BK1732" s="15" t="s">
        <v>32970</v>
      </c>
      <c r="BL1732" s="15" t="s">
        <v>138</v>
      </c>
      <c r="BM1732" s="22">
        <v>42458</v>
      </c>
      <c r="BN1732" s="17">
        <v>1</v>
      </c>
      <c r="BO1732" s="15" t="s">
        <v>172</v>
      </c>
      <c r="BP1732" s="17" t="s">
        <v>138</v>
      </c>
      <c r="BQ1732" s="15" t="s">
        <v>138</v>
      </c>
      <c r="BR1732" s="15" t="s">
        <v>205</v>
      </c>
      <c r="BS1732" s="15" t="s">
        <v>138</v>
      </c>
      <c r="BT1732" s="15" t="s">
        <v>138</v>
      </c>
      <c r="BU1732" s="15" t="s">
        <v>174</v>
      </c>
      <c r="BV1732" s="15" t="s">
        <v>264</v>
      </c>
      <c r="BW1732" s="15" t="s">
        <v>138</v>
      </c>
      <c r="BX1732" s="15" t="s">
        <v>138</v>
      </c>
      <c r="BY1732" s="15" t="s">
        <v>175</v>
      </c>
      <c r="BZ1732" s="22">
        <v>43599</v>
      </c>
      <c r="CA1732" s="17">
        <v>3.75</v>
      </c>
      <c r="CB1732" s="15" t="s">
        <v>172</v>
      </c>
      <c r="CC1732" s="17" t="s">
        <v>138</v>
      </c>
      <c r="CD1732" s="15" t="s">
        <v>138</v>
      </c>
      <c r="CE1732" s="15" t="s">
        <v>173</v>
      </c>
      <c r="CF1732" s="15" t="s">
        <v>138</v>
      </c>
      <c r="CG1732" s="15" t="s">
        <v>138</v>
      </c>
      <c r="CH1732" s="15" t="s">
        <v>174</v>
      </c>
      <c r="CI1732" s="15" t="s">
        <v>138</v>
      </c>
      <c r="CJ1732" s="15" t="s">
        <v>138</v>
      </c>
      <c r="CK1732" s="15" t="s">
        <v>138</v>
      </c>
      <c r="CL1732" s="15" t="s">
        <v>175</v>
      </c>
      <c r="CM1732" s="22" t="s">
        <v>138</v>
      </c>
      <c r="CN1732" s="17" t="s">
        <v>138</v>
      </c>
      <c r="CO1732" s="23">
        <v>1.71</v>
      </c>
      <c r="CP1732" s="24">
        <v>99</v>
      </c>
      <c r="CQ1732" s="23">
        <v>0</v>
      </c>
      <c r="CR1732" s="23">
        <v>0.18</v>
      </c>
      <c r="CS1732" s="23">
        <v>2.76</v>
      </c>
      <c r="CT1732" s="24">
        <v>99</v>
      </c>
      <c r="CU1732" s="23">
        <v>0.66</v>
      </c>
      <c r="CV1732" s="24">
        <v>96</v>
      </c>
      <c r="CW1732" s="23">
        <v>3.44</v>
      </c>
      <c r="CX1732" s="24">
        <v>92</v>
      </c>
      <c r="CY1732" s="23">
        <v>2.08</v>
      </c>
      <c r="CZ1732" s="24">
        <v>100</v>
      </c>
      <c r="DA1732" s="23">
        <v>0.66</v>
      </c>
      <c r="DB1732" s="24">
        <v>96</v>
      </c>
      <c r="DC1732" s="25">
        <v>4.87</v>
      </c>
      <c r="DD1732" s="24">
        <v>82</v>
      </c>
      <c r="DE1732" s="25">
        <v>-0.36</v>
      </c>
      <c r="DF1732" s="23">
        <v>-6.84</v>
      </c>
      <c r="DG1732" s="25">
        <v>8.1</v>
      </c>
      <c r="DH1732" s="24">
        <v>88</v>
      </c>
      <c r="DI1732" s="25">
        <v>1.64</v>
      </c>
      <c r="DJ1732" s="24">
        <v>59</v>
      </c>
      <c r="DK1732" s="25">
        <v>11.51</v>
      </c>
      <c r="DL1732" s="24">
        <v>88</v>
      </c>
      <c r="DM1732" s="25">
        <v>4.6900000000000004</v>
      </c>
      <c r="DN1732" s="24">
        <v>81</v>
      </c>
      <c r="DO1732" s="25">
        <v>1.64</v>
      </c>
      <c r="DP1732" s="24">
        <v>60</v>
      </c>
      <c r="DQ1732" s="24">
        <v>3862</v>
      </c>
      <c r="DR1732" s="26">
        <v>256</v>
      </c>
      <c r="DS1732" s="23">
        <v>7.1</v>
      </c>
      <c r="DT1732" s="24">
        <v>135</v>
      </c>
      <c r="DU1732" s="26">
        <v>0</v>
      </c>
      <c r="DV1732" s="23">
        <v>0</v>
      </c>
      <c r="DW1732" s="24">
        <v>586</v>
      </c>
      <c r="DX1732" s="27">
        <v>2</v>
      </c>
      <c r="DY1732" s="23">
        <v>0.34</v>
      </c>
      <c r="DZ1732" s="15" t="s">
        <v>178</v>
      </c>
      <c r="EA1732" s="22">
        <v>43600</v>
      </c>
      <c r="EB1732" s="17" t="s">
        <v>138</v>
      </c>
      <c r="EC1732" s="22" t="s">
        <v>138</v>
      </c>
      <c r="ED1732" s="15" t="s">
        <v>138</v>
      </c>
      <c r="EE1732" s="14" t="str">
        <f>HYPERLINK("https://my.pitchbook.com?c=156203-47", "View company online")</f>
        <v>View company online</v>
      </c>
    </row>
    <row r="1733" spans="1:135">
      <c r="A1733" s="28" t="s">
        <v>32971</v>
      </c>
      <c r="B1733" s="28" t="s">
        <v>32972</v>
      </c>
      <c r="C1733" s="28" t="s">
        <v>138</v>
      </c>
      <c r="D1733" s="28" t="s">
        <v>32973</v>
      </c>
      <c r="E1733" s="28" t="s">
        <v>138</v>
      </c>
      <c r="F1733" s="28" t="s">
        <v>32971</v>
      </c>
      <c r="G1733" s="28" t="s">
        <v>32974</v>
      </c>
      <c r="H1733" s="28" t="s">
        <v>890</v>
      </c>
      <c r="I1733" s="28" t="s">
        <v>891</v>
      </c>
      <c r="J1733" s="28" t="s">
        <v>7528</v>
      </c>
      <c r="K1733" s="28" t="s">
        <v>32975</v>
      </c>
      <c r="L1733" s="28" t="s">
        <v>138</v>
      </c>
      <c r="M1733" s="28" t="s">
        <v>32976</v>
      </c>
      <c r="N1733" s="28" t="s">
        <v>147</v>
      </c>
      <c r="O1733" s="29">
        <v>3.5</v>
      </c>
      <c r="P1733" s="28" t="s">
        <v>610</v>
      </c>
      <c r="Q1733" s="28" t="s">
        <v>149</v>
      </c>
      <c r="R1733" s="28" t="s">
        <v>174</v>
      </c>
      <c r="S1733" s="28" t="s">
        <v>32977</v>
      </c>
      <c r="T1733" s="30">
        <v>31</v>
      </c>
      <c r="U1733" s="28" t="s">
        <v>32978</v>
      </c>
      <c r="V1733" s="28" t="s">
        <v>138</v>
      </c>
      <c r="W1733" s="28" t="s">
        <v>138</v>
      </c>
      <c r="X1733" s="31">
        <v>2013</v>
      </c>
      <c r="Y1733" s="28" t="s">
        <v>138</v>
      </c>
      <c r="Z1733" s="28" t="s">
        <v>138</v>
      </c>
      <c r="AA1733" s="28" t="s">
        <v>138</v>
      </c>
      <c r="AB1733" s="32" t="s">
        <v>138</v>
      </c>
      <c r="AC1733" s="32" t="s">
        <v>138</v>
      </c>
      <c r="AD1733" s="32" t="s">
        <v>138</v>
      </c>
      <c r="AE1733" s="32" t="s">
        <v>138</v>
      </c>
      <c r="AF1733" s="32" t="s">
        <v>138</v>
      </c>
      <c r="AG1733" s="28" t="s">
        <v>138</v>
      </c>
      <c r="AH1733" s="32" t="s">
        <v>138</v>
      </c>
      <c r="AI1733" s="32" t="s">
        <v>138</v>
      </c>
      <c r="AJ1733" s="32" t="s">
        <v>138</v>
      </c>
      <c r="AK1733" s="28" t="s">
        <v>32979</v>
      </c>
      <c r="AL1733" s="28" t="s">
        <v>32980</v>
      </c>
      <c r="AM1733" s="28" t="s">
        <v>916</v>
      </c>
      <c r="AN1733" s="28" t="s">
        <v>32981</v>
      </c>
      <c r="AO1733" s="28" t="s">
        <v>138</v>
      </c>
      <c r="AP1733" s="28" t="s">
        <v>665</v>
      </c>
      <c r="AQ1733" s="28" t="s">
        <v>32982</v>
      </c>
      <c r="AR1733" s="28" t="s">
        <v>138</v>
      </c>
      <c r="AS1733" s="28" t="s">
        <v>668</v>
      </c>
      <c r="AT1733" s="28" t="s">
        <v>200</v>
      </c>
      <c r="AU1733" s="28" t="s">
        <v>691</v>
      </c>
      <c r="AV1733" s="28" t="s">
        <v>162</v>
      </c>
      <c r="AW1733" s="28" t="s">
        <v>138</v>
      </c>
      <c r="AX1733" s="28" t="s">
        <v>138</v>
      </c>
      <c r="AY1733" s="28" t="s">
        <v>32983</v>
      </c>
      <c r="AZ1733" s="28" t="s">
        <v>164</v>
      </c>
      <c r="BA1733" s="28" t="s">
        <v>165</v>
      </c>
      <c r="BB1733" s="28" t="s">
        <v>32984</v>
      </c>
      <c r="BC1733" s="28" t="s">
        <v>32985</v>
      </c>
      <c r="BD1733" s="33">
        <v>17</v>
      </c>
      <c r="BE1733" s="28" t="s">
        <v>138</v>
      </c>
      <c r="BF1733" s="28" t="s">
        <v>138</v>
      </c>
      <c r="BG1733" s="28" t="s">
        <v>138</v>
      </c>
      <c r="BH1733" s="28" t="s">
        <v>32986</v>
      </c>
      <c r="BI1733" s="28" t="s">
        <v>138</v>
      </c>
      <c r="BJ1733" s="28" t="s">
        <v>138</v>
      </c>
      <c r="BK1733" s="28" t="s">
        <v>32987</v>
      </c>
      <c r="BL1733" s="28" t="s">
        <v>138</v>
      </c>
      <c r="BM1733" s="34">
        <v>41324</v>
      </c>
      <c r="BN1733" s="29">
        <v>3.5</v>
      </c>
      <c r="BO1733" s="28" t="s">
        <v>172</v>
      </c>
      <c r="BP1733" s="29" t="s">
        <v>138</v>
      </c>
      <c r="BQ1733" s="28" t="s">
        <v>138</v>
      </c>
      <c r="BR1733" s="28" t="s">
        <v>205</v>
      </c>
      <c r="BS1733" s="28" t="s">
        <v>138</v>
      </c>
      <c r="BT1733" s="28" t="s">
        <v>138</v>
      </c>
      <c r="BU1733" s="28" t="s">
        <v>174</v>
      </c>
      <c r="BV1733" s="28" t="s">
        <v>138</v>
      </c>
      <c r="BW1733" s="28" t="s">
        <v>138</v>
      </c>
      <c r="BX1733" s="28" t="s">
        <v>138</v>
      </c>
      <c r="BY1733" s="28" t="s">
        <v>175</v>
      </c>
      <c r="BZ1733" s="34">
        <v>41324</v>
      </c>
      <c r="CA1733" s="29">
        <v>3.5</v>
      </c>
      <c r="CB1733" s="28" t="s">
        <v>172</v>
      </c>
      <c r="CC1733" s="29" t="s">
        <v>138</v>
      </c>
      <c r="CD1733" s="28" t="s">
        <v>138</v>
      </c>
      <c r="CE1733" s="28" t="s">
        <v>205</v>
      </c>
      <c r="CF1733" s="28" t="s">
        <v>138</v>
      </c>
      <c r="CG1733" s="28" t="s">
        <v>138</v>
      </c>
      <c r="CH1733" s="28" t="s">
        <v>174</v>
      </c>
      <c r="CI1733" s="28" t="s">
        <v>138</v>
      </c>
      <c r="CJ1733" s="28" t="s">
        <v>138</v>
      </c>
      <c r="CK1733" s="28" t="s">
        <v>138</v>
      </c>
      <c r="CL1733" s="28" t="s">
        <v>175</v>
      </c>
      <c r="CM1733" s="34" t="s">
        <v>138</v>
      </c>
      <c r="CN1733" s="29" t="s">
        <v>138</v>
      </c>
      <c r="CO1733" s="35">
        <v>-0.73</v>
      </c>
      <c r="CP1733" s="36">
        <v>13</v>
      </c>
      <c r="CQ1733" s="35">
        <v>-0.02</v>
      </c>
      <c r="CR1733" s="35">
        <v>-3.43</v>
      </c>
      <c r="CS1733" s="35">
        <v>-1.73</v>
      </c>
      <c r="CT1733" s="36">
        <v>10</v>
      </c>
      <c r="CU1733" s="35">
        <v>0.27</v>
      </c>
      <c r="CV1733" s="36">
        <v>86</v>
      </c>
      <c r="CW1733" s="35">
        <v>-2.19</v>
      </c>
      <c r="CX1733" s="36">
        <v>7</v>
      </c>
      <c r="CY1733" s="35">
        <v>-1.27</v>
      </c>
      <c r="CZ1733" s="36">
        <v>17</v>
      </c>
      <c r="DA1733" s="35">
        <v>0.27</v>
      </c>
      <c r="DB1733" s="36">
        <v>87</v>
      </c>
      <c r="DC1733" s="37">
        <v>17.86</v>
      </c>
      <c r="DD1733" s="36">
        <v>94</v>
      </c>
      <c r="DE1733" s="37">
        <v>-0.25</v>
      </c>
      <c r="DF1733" s="35">
        <v>-1.41</v>
      </c>
      <c r="DG1733" s="37">
        <v>10.25</v>
      </c>
      <c r="DH1733" s="36">
        <v>90</v>
      </c>
      <c r="DI1733" s="37">
        <v>25.48</v>
      </c>
      <c r="DJ1733" s="36">
        <v>92</v>
      </c>
      <c r="DK1733" s="37">
        <v>9.73</v>
      </c>
      <c r="DL1733" s="36">
        <v>86</v>
      </c>
      <c r="DM1733" s="37">
        <v>10.76</v>
      </c>
      <c r="DN1733" s="36">
        <v>89</v>
      </c>
      <c r="DO1733" s="37">
        <v>25.48</v>
      </c>
      <c r="DP1733" s="36">
        <v>94</v>
      </c>
      <c r="DQ1733" s="36">
        <v>3285</v>
      </c>
      <c r="DR1733" s="38">
        <v>162</v>
      </c>
      <c r="DS1733" s="35">
        <v>5.19</v>
      </c>
      <c r="DT1733" s="36">
        <v>313</v>
      </c>
      <c r="DU1733" s="38">
        <v>-2</v>
      </c>
      <c r="DV1733" s="35">
        <v>-0.63</v>
      </c>
      <c r="DW1733" s="36">
        <v>9119</v>
      </c>
      <c r="DX1733" s="39">
        <v>7</v>
      </c>
      <c r="DY1733" s="35">
        <v>0.08</v>
      </c>
      <c r="DZ1733" s="28" t="s">
        <v>178</v>
      </c>
      <c r="EA1733" s="34">
        <v>43614</v>
      </c>
      <c r="EB1733" s="29" t="s">
        <v>138</v>
      </c>
      <c r="EC1733" s="34" t="s">
        <v>138</v>
      </c>
      <c r="ED1733" s="28" t="s">
        <v>138</v>
      </c>
      <c r="EE1733" s="40" t="str">
        <f>HYPERLINK("https://my.pitchbook.com?c=56159-02", "View company online")</f>
        <v>View company online</v>
      </c>
    </row>
    <row r="1734" spans="1:135">
      <c r="A1734" s="15" t="s">
        <v>32988</v>
      </c>
      <c r="B1734" s="15" t="s">
        <v>32989</v>
      </c>
      <c r="C1734" s="15" t="s">
        <v>32990</v>
      </c>
      <c r="D1734" s="15" t="s">
        <v>138</v>
      </c>
      <c r="E1734" s="15" t="s">
        <v>32991</v>
      </c>
      <c r="F1734" s="15" t="s">
        <v>32988</v>
      </c>
      <c r="G1734" s="15" t="s">
        <v>32992</v>
      </c>
      <c r="H1734" s="15" t="s">
        <v>238</v>
      </c>
      <c r="I1734" s="15" t="s">
        <v>1351</v>
      </c>
      <c r="J1734" s="15" t="s">
        <v>1352</v>
      </c>
      <c r="K1734" s="15" t="s">
        <v>9200</v>
      </c>
      <c r="L1734" s="15" t="s">
        <v>32993</v>
      </c>
      <c r="M1734" s="15" t="s">
        <v>32994</v>
      </c>
      <c r="N1734" s="15" t="s">
        <v>1212</v>
      </c>
      <c r="O1734" s="17">
        <v>38.07</v>
      </c>
      <c r="P1734" s="15" t="s">
        <v>148</v>
      </c>
      <c r="Q1734" s="15" t="s">
        <v>149</v>
      </c>
      <c r="R1734" s="15" t="s">
        <v>244</v>
      </c>
      <c r="S1734" s="15" t="s">
        <v>32995</v>
      </c>
      <c r="T1734" s="18">
        <v>60</v>
      </c>
      <c r="U1734" s="15" t="s">
        <v>32996</v>
      </c>
      <c r="V1734" s="15" t="s">
        <v>138</v>
      </c>
      <c r="W1734" s="15" t="s">
        <v>138</v>
      </c>
      <c r="X1734" s="19">
        <v>1999</v>
      </c>
      <c r="Y1734" s="15" t="s">
        <v>138</v>
      </c>
      <c r="Z1734" s="15" t="s">
        <v>138</v>
      </c>
      <c r="AA1734" s="15" t="s">
        <v>138</v>
      </c>
      <c r="AB1734" s="20" t="s">
        <v>138</v>
      </c>
      <c r="AC1734" s="20" t="s">
        <v>138</v>
      </c>
      <c r="AD1734" s="20" t="s">
        <v>138</v>
      </c>
      <c r="AE1734" s="20" t="s">
        <v>138</v>
      </c>
      <c r="AF1734" s="20" t="s">
        <v>138</v>
      </c>
      <c r="AG1734" s="15" t="s">
        <v>138</v>
      </c>
      <c r="AH1734" s="20" t="s">
        <v>138</v>
      </c>
      <c r="AI1734" s="20" t="s">
        <v>138</v>
      </c>
      <c r="AJ1734" s="20" t="s">
        <v>138</v>
      </c>
      <c r="AK1734" s="15" t="s">
        <v>32997</v>
      </c>
      <c r="AL1734" s="15" t="s">
        <v>32998</v>
      </c>
      <c r="AM1734" s="15" t="s">
        <v>249</v>
      </c>
      <c r="AN1734" s="15" t="s">
        <v>138</v>
      </c>
      <c r="AO1734" s="15" t="s">
        <v>32999</v>
      </c>
      <c r="AP1734" s="15" t="s">
        <v>17027</v>
      </c>
      <c r="AQ1734" s="15" t="s">
        <v>33000</v>
      </c>
      <c r="AR1734" s="15" t="s">
        <v>5836</v>
      </c>
      <c r="AS1734" s="15" t="s">
        <v>17029</v>
      </c>
      <c r="AT1734" s="15" t="s">
        <v>4493</v>
      </c>
      <c r="AU1734" s="15" t="s">
        <v>33001</v>
      </c>
      <c r="AV1734" s="15" t="s">
        <v>162</v>
      </c>
      <c r="AW1734" s="15" t="s">
        <v>32999</v>
      </c>
      <c r="AX1734" s="15" t="s">
        <v>33002</v>
      </c>
      <c r="AY1734" s="15" t="s">
        <v>33003</v>
      </c>
      <c r="AZ1734" s="15" t="s">
        <v>164</v>
      </c>
      <c r="BA1734" s="15" t="s">
        <v>165</v>
      </c>
      <c r="BB1734" s="15" t="s">
        <v>33004</v>
      </c>
      <c r="BC1734" s="15" t="s">
        <v>138</v>
      </c>
      <c r="BD1734" s="21" t="s">
        <v>138</v>
      </c>
      <c r="BE1734" s="15" t="s">
        <v>33005</v>
      </c>
      <c r="BF1734" s="15" t="s">
        <v>33006</v>
      </c>
      <c r="BG1734" s="15" t="s">
        <v>138</v>
      </c>
      <c r="BH1734" s="15" t="s">
        <v>138</v>
      </c>
      <c r="BI1734" s="15" t="s">
        <v>33007</v>
      </c>
      <c r="BJ1734" s="15" t="s">
        <v>138</v>
      </c>
      <c r="BK1734" s="15" t="s">
        <v>138</v>
      </c>
      <c r="BL1734" s="15" t="s">
        <v>33008</v>
      </c>
      <c r="BM1734" s="22">
        <v>36809</v>
      </c>
      <c r="BN1734" s="17" t="s">
        <v>138</v>
      </c>
      <c r="BO1734" s="15" t="s">
        <v>138</v>
      </c>
      <c r="BP1734" s="17" t="s">
        <v>138</v>
      </c>
      <c r="BQ1734" s="15" t="s">
        <v>138</v>
      </c>
      <c r="BR1734" s="15" t="s">
        <v>205</v>
      </c>
      <c r="BS1734" s="15" t="s">
        <v>206</v>
      </c>
      <c r="BT1734" s="15" t="s">
        <v>138</v>
      </c>
      <c r="BU1734" s="15" t="s">
        <v>174</v>
      </c>
      <c r="BV1734" s="15" t="s">
        <v>138</v>
      </c>
      <c r="BW1734" s="15" t="s">
        <v>138</v>
      </c>
      <c r="BX1734" s="15" t="s">
        <v>138</v>
      </c>
      <c r="BY1734" s="15" t="s">
        <v>175</v>
      </c>
      <c r="BZ1734" s="22">
        <v>41395</v>
      </c>
      <c r="CA1734" s="17">
        <v>115</v>
      </c>
      <c r="CB1734" s="15" t="s">
        <v>172</v>
      </c>
      <c r="CC1734" s="17">
        <v>115</v>
      </c>
      <c r="CD1734" s="15" t="s">
        <v>1178</v>
      </c>
      <c r="CE1734" s="15" t="s">
        <v>2228</v>
      </c>
      <c r="CF1734" s="15" t="s">
        <v>138</v>
      </c>
      <c r="CG1734" s="15" t="s">
        <v>138</v>
      </c>
      <c r="CH1734" s="15" t="s">
        <v>780</v>
      </c>
      <c r="CI1734" s="15" t="s">
        <v>138</v>
      </c>
      <c r="CJ1734" s="15" t="s">
        <v>138</v>
      </c>
      <c r="CK1734" s="15" t="s">
        <v>138</v>
      </c>
      <c r="CL1734" s="15" t="s">
        <v>175</v>
      </c>
      <c r="CM1734" s="22">
        <v>40451</v>
      </c>
      <c r="CN1734" s="17" t="s">
        <v>138</v>
      </c>
      <c r="CO1734" s="23" t="s">
        <v>138</v>
      </c>
      <c r="CP1734" s="24" t="s">
        <v>138</v>
      </c>
      <c r="CQ1734" s="23" t="s">
        <v>138</v>
      </c>
      <c r="CR1734" s="23" t="s">
        <v>138</v>
      </c>
      <c r="CS1734" s="23" t="s">
        <v>138</v>
      </c>
      <c r="CT1734" s="24" t="s">
        <v>138</v>
      </c>
      <c r="CU1734" s="23" t="s">
        <v>138</v>
      </c>
      <c r="CV1734" s="24" t="s">
        <v>138</v>
      </c>
      <c r="CW1734" s="23" t="s">
        <v>138</v>
      </c>
      <c r="CX1734" s="24" t="s">
        <v>138</v>
      </c>
      <c r="CY1734" s="23" t="s">
        <v>138</v>
      </c>
      <c r="CZ1734" s="24" t="s">
        <v>138</v>
      </c>
      <c r="DA1734" s="23" t="s">
        <v>138</v>
      </c>
      <c r="DB1734" s="24" t="s">
        <v>138</v>
      </c>
      <c r="DC1734" s="25" t="s">
        <v>138</v>
      </c>
      <c r="DD1734" s="24" t="s">
        <v>138</v>
      </c>
      <c r="DE1734" s="25" t="s">
        <v>138</v>
      </c>
      <c r="DF1734" s="23" t="s">
        <v>138</v>
      </c>
      <c r="DG1734" s="25" t="s">
        <v>138</v>
      </c>
      <c r="DH1734" s="24" t="s">
        <v>138</v>
      </c>
      <c r="DI1734" s="25" t="s">
        <v>138</v>
      </c>
      <c r="DJ1734" s="24" t="s">
        <v>138</v>
      </c>
      <c r="DK1734" s="25" t="s">
        <v>138</v>
      </c>
      <c r="DL1734" s="24" t="s">
        <v>138</v>
      </c>
      <c r="DM1734" s="25" t="s">
        <v>138</v>
      </c>
      <c r="DN1734" s="24" t="s">
        <v>138</v>
      </c>
      <c r="DO1734" s="25" t="s">
        <v>138</v>
      </c>
      <c r="DP1734" s="24" t="s">
        <v>138</v>
      </c>
      <c r="DQ1734" s="24" t="s">
        <v>138</v>
      </c>
      <c r="DR1734" s="26" t="s">
        <v>138</v>
      </c>
      <c r="DS1734" s="23" t="s">
        <v>138</v>
      </c>
      <c r="DT1734" s="24" t="s">
        <v>138</v>
      </c>
      <c r="DU1734" s="26" t="s">
        <v>138</v>
      </c>
      <c r="DV1734" s="23" t="s">
        <v>138</v>
      </c>
      <c r="DW1734" s="24" t="s">
        <v>138</v>
      </c>
      <c r="DX1734" s="27" t="s">
        <v>138</v>
      </c>
      <c r="DY1734" s="23" t="s">
        <v>138</v>
      </c>
      <c r="DZ1734" s="15" t="s">
        <v>178</v>
      </c>
      <c r="EA1734" s="22">
        <v>43539</v>
      </c>
      <c r="EB1734" s="17">
        <v>115</v>
      </c>
      <c r="EC1734" s="22">
        <v>41395</v>
      </c>
      <c r="ED1734" s="15" t="s">
        <v>2228</v>
      </c>
      <c r="EE1734" s="14" t="str">
        <f>HYPERLINK("https://my.pitchbook.com?c=52716-97", "View company online")</f>
        <v>View company online</v>
      </c>
    </row>
    <row r="1735" spans="1:135">
      <c r="A1735" s="28" t="s">
        <v>33009</v>
      </c>
      <c r="B1735" s="28" t="s">
        <v>33010</v>
      </c>
      <c r="C1735" s="28" t="s">
        <v>138</v>
      </c>
      <c r="D1735" s="28" t="s">
        <v>138</v>
      </c>
      <c r="E1735" s="28" t="s">
        <v>138</v>
      </c>
      <c r="F1735" s="28" t="s">
        <v>33009</v>
      </c>
      <c r="G1735" s="28" t="s">
        <v>33011</v>
      </c>
      <c r="H1735" s="28" t="s">
        <v>322</v>
      </c>
      <c r="I1735" s="28" t="s">
        <v>807</v>
      </c>
      <c r="J1735" s="28" t="s">
        <v>2534</v>
      </c>
      <c r="K1735" s="28" t="s">
        <v>6464</v>
      </c>
      <c r="L1735" s="28" t="s">
        <v>33012</v>
      </c>
      <c r="M1735" s="28" t="s">
        <v>33013</v>
      </c>
      <c r="N1735" s="28" t="s">
        <v>147</v>
      </c>
      <c r="O1735" s="29">
        <v>15.8</v>
      </c>
      <c r="P1735" s="28" t="s">
        <v>148</v>
      </c>
      <c r="Q1735" s="28" t="s">
        <v>149</v>
      </c>
      <c r="R1735" s="28" t="s">
        <v>174</v>
      </c>
      <c r="S1735" s="28" t="s">
        <v>33014</v>
      </c>
      <c r="T1735" s="30" t="s">
        <v>138</v>
      </c>
      <c r="U1735" s="28" t="s">
        <v>138</v>
      </c>
      <c r="V1735" s="28" t="s">
        <v>138</v>
      </c>
      <c r="W1735" s="28" t="s">
        <v>138</v>
      </c>
      <c r="X1735" s="31" t="s">
        <v>138</v>
      </c>
      <c r="Y1735" s="28" t="s">
        <v>138</v>
      </c>
      <c r="Z1735" s="28" t="s">
        <v>138</v>
      </c>
      <c r="AA1735" s="28" t="s">
        <v>138</v>
      </c>
      <c r="AB1735" s="32" t="s">
        <v>138</v>
      </c>
      <c r="AC1735" s="32" t="s">
        <v>138</v>
      </c>
      <c r="AD1735" s="32" t="s">
        <v>138</v>
      </c>
      <c r="AE1735" s="32" t="s">
        <v>138</v>
      </c>
      <c r="AF1735" s="32" t="s">
        <v>138</v>
      </c>
      <c r="AG1735" s="28" t="s">
        <v>138</v>
      </c>
      <c r="AH1735" s="32" t="s">
        <v>138</v>
      </c>
      <c r="AI1735" s="32" t="s">
        <v>138</v>
      </c>
      <c r="AJ1735" s="32" t="s">
        <v>138</v>
      </c>
      <c r="AK1735" s="28" t="s">
        <v>33015</v>
      </c>
      <c r="AL1735" s="28" t="s">
        <v>33016</v>
      </c>
      <c r="AM1735" s="28" t="s">
        <v>11604</v>
      </c>
      <c r="AN1735" s="28" t="s">
        <v>33017</v>
      </c>
      <c r="AO1735" s="28" t="s">
        <v>33018</v>
      </c>
      <c r="AP1735" s="28" t="s">
        <v>446</v>
      </c>
      <c r="AQ1735" s="28" t="s">
        <v>33019</v>
      </c>
      <c r="AR1735" s="28" t="s">
        <v>33020</v>
      </c>
      <c r="AS1735" s="28" t="s">
        <v>449</v>
      </c>
      <c r="AT1735" s="28" t="s">
        <v>138</v>
      </c>
      <c r="AU1735" s="28" t="s">
        <v>138</v>
      </c>
      <c r="AV1735" s="28" t="s">
        <v>450</v>
      </c>
      <c r="AW1735" s="28" t="s">
        <v>33018</v>
      </c>
      <c r="AX1735" s="28" t="s">
        <v>138</v>
      </c>
      <c r="AY1735" s="28" t="s">
        <v>138</v>
      </c>
      <c r="AZ1735" s="28" t="s">
        <v>452</v>
      </c>
      <c r="BA1735" s="28" t="s">
        <v>453</v>
      </c>
      <c r="BB1735" s="28" t="s">
        <v>33021</v>
      </c>
      <c r="BC1735" s="28" t="s">
        <v>33022</v>
      </c>
      <c r="BD1735" s="33">
        <v>5</v>
      </c>
      <c r="BE1735" s="28" t="s">
        <v>138</v>
      </c>
      <c r="BF1735" s="28" t="s">
        <v>138</v>
      </c>
      <c r="BG1735" s="28" t="s">
        <v>138</v>
      </c>
      <c r="BH1735" s="28" t="s">
        <v>33023</v>
      </c>
      <c r="BI1735" s="28" t="s">
        <v>138</v>
      </c>
      <c r="BJ1735" s="28" t="s">
        <v>138</v>
      </c>
      <c r="BK1735" s="28" t="s">
        <v>138</v>
      </c>
      <c r="BL1735" s="28" t="s">
        <v>138</v>
      </c>
      <c r="BM1735" s="34">
        <v>43199</v>
      </c>
      <c r="BN1735" s="29">
        <v>15.8</v>
      </c>
      <c r="BO1735" s="28" t="s">
        <v>172</v>
      </c>
      <c r="BP1735" s="29" t="s">
        <v>138</v>
      </c>
      <c r="BQ1735" s="28" t="s">
        <v>138</v>
      </c>
      <c r="BR1735" s="28" t="s">
        <v>205</v>
      </c>
      <c r="BS1735" s="28" t="s">
        <v>720</v>
      </c>
      <c r="BT1735" s="28" t="s">
        <v>138</v>
      </c>
      <c r="BU1735" s="28" t="s">
        <v>174</v>
      </c>
      <c r="BV1735" s="28" t="s">
        <v>138</v>
      </c>
      <c r="BW1735" s="28" t="s">
        <v>138</v>
      </c>
      <c r="BX1735" s="28" t="s">
        <v>138</v>
      </c>
      <c r="BY1735" s="28" t="s">
        <v>175</v>
      </c>
      <c r="BZ1735" s="34">
        <v>43199</v>
      </c>
      <c r="CA1735" s="29">
        <v>15.8</v>
      </c>
      <c r="CB1735" s="28" t="s">
        <v>172</v>
      </c>
      <c r="CC1735" s="29" t="s">
        <v>138</v>
      </c>
      <c r="CD1735" s="28" t="s">
        <v>138</v>
      </c>
      <c r="CE1735" s="28" t="s">
        <v>205</v>
      </c>
      <c r="CF1735" s="28" t="s">
        <v>720</v>
      </c>
      <c r="CG1735" s="28" t="s">
        <v>138</v>
      </c>
      <c r="CH1735" s="28" t="s">
        <v>174</v>
      </c>
      <c r="CI1735" s="28" t="s">
        <v>138</v>
      </c>
      <c r="CJ1735" s="28" t="s">
        <v>138</v>
      </c>
      <c r="CK1735" s="28" t="s">
        <v>138</v>
      </c>
      <c r="CL1735" s="28" t="s">
        <v>175</v>
      </c>
      <c r="CM1735" s="34" t="s">
        <v>138</v>
      </c>
      <c r="CN1735" s="29" t="s">
        <v>138</v>
      </c>
      <c r="CO1735" s="35" t="s">
        <v>138</v>
      </c>
      <c r="CP1735" s="36" t="s">
        <v>138</v>
      </c>
      <c r="CQ1735" s="35" t="s">
        <v>138</v>
      </c>
      <c r="CR1735" s="35" t="s">
        <v>138</v>
      </c>
      <c r="CS1735" s="35" t="s">
        <v>138</v>
      </c>
      <c r="CT1735" s="36" t="s">
        <v>138</v>
      </c>
      <c r="CU1735" s="35" t="s">
        <v>138</v>
      </c>
      <c r="CV1735" s="36" t="s">
        <v>138</v>
      </c>
      <c r="CW1735" s="35" t="s">
        <v>138</v>
      </c>
      <c r="CX1735" s="36" t="s">
        <v>138</v>
      </c>
      <c r="CY1735" s="35" t="s">
        <v>138</v>
      </c>
      <c r="CZ1735" s="36" t="s">
        <v>138</v>
      </c>
      <c r="DA1735" s="35" t="s">
        <v>138</v>
      </c>
      <c r="DB1735" s="36" t="s">
        <v>138</v>
      </c>
      <c r="DC1735" s="37" t="s">
        <v>138</v>
      </c>
      <c r="DD1735" s="36" t="s">
        <v>138</v>
      </c>
      <c r="DE1735" s="37" t="s">
        <v>138</v>
      </c>
      <c r="DF1735" s="35" t="s">
        <v>138</v>
      </c>
      <c r="DG1735" s="37" t="s">
        <v>138</v>
      </c>
      <c r="DH1735" s="36" t="s">
        <v>138</v>
      </c>
      <c r="DI1735" s="37" t="s">
        <v>138</v>
      </c>
      <c r="DJ1735" s="36" t="s">
        <v>138</v>
      </c>
      <c r="DK1735" s="37" t="s">
        <v>138</v>
      </c>
      <c r="DL1735" s="36" t="s">
        <v>138</v>
      </c>
      <c r="DM1735" s="37" t="s">
        <v>138</v>
      </c>
      <c r="DN1735" s="36" t="s">
        <v>138</v>
      </c>
      <c r="DO1735" s="37" t="s">
        <v>138</v>
      </c>
      <c r="DP1735" s="36" t="s">
        <v>138</v>
      </c>
      <c r="DQ1735" s="36" t="s">
        <v>138</v>
      </c>
      <c r="DR1735" s="38" t="s">
        <v>138</v>
      </c>
      <c r="DS1735" s="35" t="s">
        <v>138</v>
      </c>
      <c r="DT1735" s="36" t="s">
        <v>138</v>
      </c>
      <c r="DU1735" s="38" t="s">
        <v>138</v>
      </c>
      <c r="DV1735" s="35" t="s">
        <v>138</v>
      </c>
      <c r="DW1735" s="36" t="s">
        <v>138</v>
      </c>
      <c r="DX1735" s="39" t="s">
        <v>138</v>
      </c>
      <c r="DY1735" s="35" t="s">
        <v>138</v>
      </c>
      <c r="DZ1735" s="28" t="s">
        <v>178</v>
      </c>
      <c r="EA1735" s="34">
        <v>43538</v>
      </c>
      <c r="EB1735" s="29" t="s">
        <v>138</v>
      </c>
      <c r="EC1735" s="34" t="s">
        <v>138</v>
      </c>
      <c r="ED1735" s="28" t="s">
        <v>138</v>
      </c>
      <c r="EE1735" s="40" t="str">
        <f>HYPERLINK("https://my.pitchbook.com?c=227487-88", "View company online")</f>
        <v>View company online</v>
      </c>
    </row>
    <row r="1736" spans="1:135">
      <c r="A1736" s="15" t="s">
        <v>33024</v>
      </c>
      <c r="B1736" s="15" t="s">
        <v>33025</v>
      </c>
      <c r="C1736" s="15" t="s">
        <v>138</v>
      </c>
      <c r="D1736" s="15" t="s">
        <v>33026</v>
      </c>
      <c r="E1736" s="15" t="s">
        <v>138</v>
      </c>
      <c r="F1736" s="15" t="s">
        <v>33024</v>
      </c>
      <c r="G1736" s="15" t="s">
        <v>33027</v>
      </c>
      <c r="H1736" s="15" t="s">
        <v>238</v>
      </c>
      <c r="I1736" s="15" t="s">
        <v>749</v>
      </c>
      <c r="J1736" s="15" t="s">
        <v>750</v>
      </c>
      <c r="K1736" s="15" t="s">
        <v>751</v>
      </c>
      <c r="L1736" s="15" t="s">
        <v>752</v>
      </c>
      <c r="M1736" s="15" t="s">
        <v>33028</v>
      </c>
      <c r="N1736" s="15" t="s">
        <v>147</v>
      </c>
      <c r="O1736" s="17">
        <v>11.5</v>
      </c>
      <c r="P1736" s="15" t="s">
        <v>148</v>
      </c>
      <c r="Q1736" s="15" t="s">
        <v>149</v>
      </c>
      <c r="R1736" s="15" t="s">
        <v>244</v>
      </c>
      <c r="S1736" s="15" t="s">
        <v>33029</v>
      </c>
      <c r="T1736" s="18">
        <v>60</v>
      </c>
      <c r="U1736" s="15" t="s">
        <v>15040</v>
      </c>
      <c r="V1736" s="15" t="s">
        <v>138</v>
      </c>
      <c r="W1736" s="15" t="s">
        <v>138</v>
      </c>
      <c r="X1736" s="19">
        <v>2003</v>
      </c>
      <c r="Y1736" s="15" t="s">
        <v>138</v>
      </c>
      <c r="Z1736" s="15" t="s">
        <v>138</v>
      </c>
      <c r="AA1736" s="15" t="s">
        <v>138</v>
      </c>
      <c r="AB1736" s="20">
        <v>8</v>
      </c>
      <c r="AC1736" s="20" t="s">
        <v>138</v>
      </c>
      <c r="AD1736" s="20" t="s">
        <v>138</v>
      </c>
      <c r="AE1736" s="20" t="s">
        <v>138</v>
      </c>
      <c r="AF1736" s="20" t="s">
        <v>138</v>
      </c>
      <c r="AG1736" s="15" t="s">
        <v>514</v>
      </c>
      <c r="AH1736" s="20" t="s">
        <v>138</v>
      </c>
      <c r="AI1736" s="20" t="s">
        <v>138</v>
      </c>
      <c r="AJ1736" s="20" t="s">
        <v>138</v>
      </c>
      <c r="AK1736" s="15" t="s">
        <v>33030</v>
      </c>
      <c r="AL1736" s="15" t="s">
        <v>33031</v>
      </c>
      <c r="AM1736" s="15" t="s">
        <v>2949</v>
      </c>
      <c r="AN1736" s="15" t="s">
        <v>33032</v>
      </c>
      <c r="AO1736" s="15" t="s">
        <v>33033</v>
      </c>
      <c r="AP1736" s="15" t="s">
        <v>6230</v>
      </c>
      <c r="AQ1736" s="15" t="s">
        <v>33034</v>
      </c>
      <c r="AR1736" s="15" t="s">
        <v>2390</v>
      </c>
      <c r="AS1736" s="15" t="s">
        <v>6232</v>
      </c>
      <c r="AT1736" s="15" t="s">
        <v>371</v>
      </c>
      <c r="AU1736" s="15" t="s">
        <v>6551</v>
      </c>
      <c r="AV1736" s="15" t="s">
        <v>162</v>
      </c>
      <c r="AW1736" s="15" t="s">
        <v>33033</v>
      </c>
      <c r="AX1736" s="15" t="s">
        <v>138</v>
      </c>
      <c r="AY1736" s="15" t="s">
        <v>33035</v>
      </c>
      <c r="AZ1736" s="15" t="s">
        <v>164</v>
      </c>
      <c r="BA1736" s="15" t="s">
        <v>165</v>
      </c>
      <c r="BB1736" s="15" t="s">
        <v>33036</v>
      </c>
      <c r="BC1736" s="15" t="s">
        <v>33037</v>
      </c>
      <c r="BD1736" s="21">
        <v>2</v>
      </c>
      <c r="BE1736" s="15" t="s">
        <v>138</v>
      </c>
      <c r="BF1736" s="15" t="s">
        <v>138</v>
      </c>
      <c r="BG1736" s="15" t="s">
        <v>138</v>
      </c>
      <c r="BH1736" s="15" t="s">
        <v>33038</v>
      </c>
      <c r="BI1736" s="15" t="s">
        <v>138</v>
      </c>
      <c r="BJ1736" s="15" t="s">
        <v>138</v>
      </c>
      <c r="BK1736" s="15" t="s">
        <v>1275</v>
      </c>
      <c r="BL1736" s="15" t="s">
        <v>33039</v>
      </c>
      <c r="BM1736" s="22">
        <v>38594</v>
      </c>
      <c r="BN1736" s="17" t="s">
        <v>138</v>
      </c>
      <c r="BO1736" s="15" t="s">
        <v>138</v>
      </c>
      <c r="BP1736" s="17" t="s">
        <v>138</v>
      </c>
      <c r="BQ1736" s="15" t="s">
        <v>138</v>
      </c>
      <c r="BR1736" s="15" t="s">
        <v>1326</v>
      </c>
      <c r="BS1736" s="15" t="s">
        <v>138</v>
      </c>
      <c r="BT1736" s="15" t="s">
        <v>138</v>
      </c>
      <c r="BU1736" s="15" t="s">
        <v>1327</v>
      </c>
      <c r="BV1736" s="15" t="s">
        <v>2528</v>
      </c>
      <c r="BW1736" s="15" t="s">
        <v>138</v>
      </c>
      <c r="BX1736" s="15" t="s">
        <v>138</v>
      </c>
      <c r="BY1736" s="15" t="s">
        <v>175</v>
      </c>
      <c r="BZ1736" s="22">
        <v>43349</v>
      </c>
      <c r="CA1736" s="17">
        <v>3.5</v>
      </c>
      <c r="CB1736" s="15" t="s">
        <v>172</v>
      </c>
      <c r="CC1736" s="17">
        <v>35</v>
      </c>
      <c r="CD1736" s="15" t="s">
        <v>1178</v>
      </c>
      <c r="CE1736" s="15" t="s">
        <v>173</v>
      </c>
      <c r="CF1736" s="15" t="s">
        <v>720</v>
      </c>
      <c r="CG1736" s="15" t="s">
        <v>138</v>
      </c>
      <c r="CH1736" s="15" t="s">
        <v>174</v>
      </c>
      <c r="CI1736" s="15" t="s">
        <v>138</v>
      </c>
      <c r="CJ1736" s="15" t="s">
        <v>138</v>
      </c>
      <c r="CK1736" s="15" t="s">
        <v>138</v>
      </c>
      <c r="CL1736" s="15" t="s">
        <v>175</v>
      </c>
      <c r="CM1736" s="22">
        <v>42256</v>
      </c>
      <c r="CN1736" s="17" t="s">
        <v>138</v>
      </c>
      <c r="CO1736" s="23">
        <v>0.96</v>
      </c>
      <c r="CP1736" s="24">
        <v>97</v>
      </c>
      <c r="CQ1736" s="23">
        <v>0.21</v>
      </c>
      <c r="CR1736" s="23">
        <v>28.53</v>
      </c>
      <c r="CS1736" s="23">
        <v>1.0900000000000001</v>
      </c>
      <c r="CT1736" s="24">
        <v>97</v>
      </c>
      <c r="CU1736" s="23">
        <v>0.83</v>
      </c>
      <c r="CV1736" s="24">
        <v>97</v>
      </c>
      <c r="CW1736" s="23">
        <v>2.1800000000000002</v>
      </c>
      <c r="CX1736" s="24">
        <v>89</v>
      </c>
      <c r="CY1736" s="23">
        <v>0</v>
      </c>
      <c r="CZ1736" s="24">
        <v>25</v>
      </c>
      <c r="DA1736" s="23">
        <v>0.83</v>
      </c>
      <c r="DB1736" s="24">
        <v>97</v>
      </c>
      <c r="DC1736" s="25">
        <v>9.24</v>
      </c>
      <c r="DD1736" s="24">
        <v>89</v>
      </c>
      <c r="DE1736" s="25">
        <v>-32.21</v>
      </c>
      <c r="DF1736" s="23">
        <v>-77.72</v>
      </c>
      <c r="DG1736" s="25">
        <v>10.38</v>
      </c>
      <c r="DH1736" s="24">
        <v>90</v>
      </c>
      <c r="DI1736" s="25">
        <v>8.09</v>
      </c>
      <c r="DJ1736" s="24">
        <v>83</v>
      </c>
      <c r="DK1736" s="25">
        <v>19.66</v>
      </c>
      <c r="DL1736" s="24">
        <v>92</v>
      </c>
      <c r="DM1736" s="25">
        <v>1.1000000000000001</v>
      </c>
      <c r="DN1736" s="24">
        <v>52</v>
      </c>
      <c r="DO1736" s="25">
        <v>8.09</v>
      </c>
      <c r="DP1736" s="24">
        <v>85</v>
      </c>
      <c r="DQ1736" s="24">
        <v>6594</v>
      </c>
      <c r="DR1736" s="26">
        <v>448</v>
      </c>
      <c r="DS1736" s="23">
        <v>7.29</v>
      </c>
      <c r="DT1736" s="24">
        <v>32</v>
      </c>
      <c r="DU1736" s="26">
        <v>-1</v>
      </c>
      <c r="DV1736" s="23">
        <v>-3.03</v>
      </c>
      <c r="DW1736" s="24">
        <v>2890</v>
      </c>
      <c r="DX1736" s="27">
        <v>11</v>
      </c>
      <c r="DY1736" s="23">
        <v>0.38</v>
      </c>
      <c r="DZ1736" s="15" t="s">
        <v>178</v>
      </c>
      <c r="EA1736" s="22">
        <v>43622</v>
      </c>
      <c r="EB1736" s="17">
        <v>35</v>
      </c>
      <c r="EC1736" s="22">
        <v>43349</v>
      </c>
      <c r="ED1736" s="15" t="s">
        <v>173</v>
      </c>
      <c r="EE1736" s="14" t="str">
        <f>HYPERLINK("https://my.pitchbook.com?c=147106-99", "View company online")</f>
        <v>View company online</v>
      </c>
    </row>
    <row r="1737" spans="1:135">
      <c r="A1737" s="28" t="s">
        <v>33040</v>
      </c>
      <c r="B1737" s="28" t="s">
        <v>33041</v>
      </c>
      <c r="C1737" s="28" t="s">
        <v>138</v>
      </c>
      <c r="D1737" s="28" t="s">
        <v>33042</v>
      </c>
      <c r="E1737" s="28" t="s">
        <v>33043</v>
      </c>
      <c r="F1737" s="28" t="s">
        <v>33040</v>
      </c>
      <c r="G1737" s="28" t="s">
        <v>33044</v>
      </c>
      <c r="H1737" s="28" t="s">
        <v>322</v>
      </c>
      <c r="I1737" s="28" t="s">
        <v>323</v>
      </c>
      <c r="J1737" s="28" t="s">
        <v>324</v>
      </c>
      <c r="K1737" s="28" t="s">
        <v>33045</v>
      </c>
      <c r="L1737" s="28" t="s">
        <v>1650</v>
      </c>
      <c r="M1737" s="28" t="s">
        <v>33046</v>
      </c>
      <c r="N1737" s="28" t="s">
        <v>147</v>
      </c>
      <c r="O1737" s="29">
        <v>44.83</v>
      </c>
      <c r="P1737" s="28" t="s">
        <v>148</v>
      </c>
      <c r="Q1737" s="28" t="s">
        <v>149</v>
      </c>
      <c r="R1737" s="28" t="s">
        <v>174</v>
      </c>
      <c r="S1737" s="28" t="s">
        <v>33047</v>
      </c>
      <c r="T1737" s="30">
        <v>130</v>
      </c>
      <c r="U1737" s="28" t="s">
        <v>33048</v>
      </c>
      <c r="V1737" s="28" t="s">
        <v>138</v>
      </c>
      <c r="W1737" s="28" t="s">
        <v>138</v>
      </c>
      <c r="X1737" s="31">
        <v>2015</v>
      </c>
      <c r="Y1737" s="28" t="s">
        <v>138</v>
      </c>
      <c r="Z1737" s="28" t="s">
        <v>138</v>
      </c>
      <c r="AA1737" s="28" t="s">
        <v>138</v>
      </c>
      <c r="AB1737" s="32" t="s">
        <v>138</v>
      </c>
      <c r="AC1737" s="32" t="s">
        <v>138</v>
      </c>
      <c r="AD1737" s="32" t="s">
        <v>138</v>
      </c>
      <c r="AE1737" s="32" t="s">
        <v>138</v>
      </c>
      <c r="AF1737" s="32" t="s">
        <v>138</v>
      </c>
      <c r="AG1737" s="28" t="s">
        <v>138</v>
      </c>
      <c r="AH1737" s="32" t="s">
        <v>138</v>
      </c>
      <c r="AI1737" s="32" t="s">
        <v>138</v>
      </c>
      <c r="AJ1737" s="32" t="s">
        <v>138</v>
      </c>
      <c r="AK1737" s="28" t="s">
        <v>33049</v>
      </c>
      <c r="AL1737" s="28" t="s">
        <v>33050</v>
      </c>
      <c r="AM1737" s="28" t="s">
        <v>221</v>
      </c>
      <c r="AN1737" s="28" t="s">
        <v>33051</v>
      </c>
      <c r="AO1737" s="28" t="s">
        <v>33052</v>
      </c>
      <c r="AP1737" s="28" t="s">
        <v>820</v>
      </c>
      <c r="AQ1737" s="28" t="s">
        <v>33053</v>
      </c>
      <c r="AR1737" s="28" t="s">
        <v>138</v>
      </c>
      <c r="AS1737" s="28" t="s">
        <v>823</v>
      </c>
      <c r="AT1737" s="28" t="s">
        <v>824</v>
      </c>
      <c r="AU1737" s="28" t="s">
        <v>33054</v>
      </c>
      <c r="AV1737" s="28" t="s">
        <v>526</v>
      </c>
      <c r="AW1737" s="28" t="s">
        <v>33055</v>
      </c>
      <c r="AX1737" s="28" t="s">
        <v>138</v>
      </c>
      <c r="AY1737" s="28" t="s">
        <v>33056</v>
      </c>
      <c r="AZ1737" s="28" t="s">
        <v>530</v>
      </c>
      <c r="BA1737" s="28" t="s">
        <v>531</v>
      </c>
      <c r="BB1737" s="28" t="s">
        <v>33057</v>
      </c>
      <c r="BC1737" s="28" t="s">
        <v>33058</v>
      </c>
      <c r="BD1737" s="33">
        <v>10</v>
      </c>
      <c r="BE1737" s="28" t="s">
        <v>138</v>
      </c>
      <c r="BF1737" s="28" t="s">
        <v>138</v>
      </c>
      <c r="BG1737" s="28" t="s">
        <v>138</v>
      </c>
      <c r="BH1737" s="28" t="s">
        <v>33059</v>
      </c>
      <c r="BI1737" s="28" t="s">
        <v>138</v>
      </c>
      <c r="BJ1737" s="28" t="s">
        <v>138</v>
      </c>
      <c r="BK1737" s="28" t="s">
        <v>33060</v>
      </c>
      <c r="BL1737" s="28" t="s">
        <v>33061</v>
      </c>
      <c r="BM1737" s="34">
        <v>42528</v>
      </c>
      <c r="BN1737" s="29">
        <v>7.25</v>
      </c>
      <c r="BO1737" s="28" t="s">
        <v>172</v>
      </c>
      <c r="BP1737" s="29">
        <v>18.34</v>
      </c>
      <c r="BQ1737" s="28" t="s">
        <v>172</v>
      </c>
      <c r="BR1737" s="28" t="s">
        <v>205</v>
      </c>
      <c r="BS1737" s="28" t="s">
        <v>138</v>
      </c>
      <c r="BT1737" s="28" t="s">
        <v>138</v>
      </c>
      <c r="BU1737" s="28" t="s">
        <v>174</v>
      </c>
      <c r="BV1737" s="28" t="s">
        <v>138</v>
      </c>
      <c r="BW1737" s="28" t="s">
        <v>138</v>
      </c>
      <c r="BX1737" s="28" t="s">
        <v>138</v>
      </c>
      <c r="BY1737" s="28" t="s">
        <v>175</v>
      </c>
      <c r="BZ1737" s="34">
        <v>43344</v>
      </c>
      <c r="CA1737" s="29">
        <v>20</v>
      </c>
      <c r="CB1737" s="28" t="s">
        <v>172</v>
      </c>
      <c r="CC1737" s="29" t="s">
        <v>138</v>
      </c>
      <c r="CD1737" s="28" t="s">
        <v>138</v>
      </c>
      <c r="CE1737" s="28" t="s">
        <v>205</v>
      </c>
      <c r="CF1737" s="28" t="s">
        <v>623</v>
      </c>
      <c r="CG1737" s="28" t="s">
        <v>138</v>
      </c>
      <c r="CH1737" s="28" t="s">
        <v>174</v>
      </c>
      <c r="CI1737" s="28" t="s">
        <v>138</v>
      </c>
      <c r="CJ1737" s="28" t="s">
        <v>138</v>
      </c>
      <c r="CK1737" s="28" t="s">
        <v>138</v>
      </c>
      <c r="CL1737" s="28" t="s">
        <v>175</v>
      </c>
      <c r="CM1737" s="34" t="s">
        <v>138</v>
      </c>
      <c r="CN1737" s="29" t="s">
        <v>138</v>
      </c>
      <c r="CO1737" s="35">
        <v>0.34</v>
      </c>
      <c r="CP1737" s="36">
        <v>94</v>
      </c>
      <c r="CQ1737" s="35">
        <v>-0.05</v>
      </c>
      <c r="CR1737" s="35">
        <v>-12.32</v>
      </c>
      <c r="CS1737" s="35">
        <v>-0.11</v>
      </c>
      <c r="CT1737" s="36">
        <v>22</v>
      </c>
      <c r="CU1737" s="35">
        <v>0.39</v>
      </c>
      <c r="CV1737" s="36">
        <v>91</v>
      </c>
      <c r="CW1737" s="35">
        <v>0</v>
      </c>
      <c r="CX1737" s="36">
        <v>13</v>
      </c>
      <c r="CY1737" s="35">
        <v>-0.21</v>
      </c>
      <c r="CZ1737" s="36">
        <v>24</v>
      </c>
      <c r="DA1737" s="35">
        <v>0.74</v>
      </c>
      <c r="DB1737" s="36">
        <v>97</v>
      </c>
      <c r="DC1737" s="37">
        <v>3.04</v>
      </c>
      <c r="DD1737" s="36">
        <v>75</v>
      </c>
      <c r="DE1737" s="37">
        <v>-0.04</v>
      </c>
      <c r="DF1737" s="35">
        <v>-1.25</v>
      </c>
      <c r="DG1737" s="37">
        <v>5.24</v>
      </c>
      <c r="DH1737" s="36">
        <v>83</v>
      </c>
      <c r="DI1737" s="37">
        <v>3.65</v>
      </c>
      <c r="DJ1737" s="36">
        <v>73</v>
      </c>
      <c r="DK1737" s="37">
        <v>2.9</v>
      </c>
      <c r="DL1737" s="36">
        <v>71</v>
      </c>
      <c r="DM1737" s="37">
        <v>7.59</v>
      </c>
      <c r="DN1737" s="36">
        <v>86</v>
      </c>
      <c r="DO1737" s="37">
        <v>4.8</v>
      </c>
      <c r="DP1737" s="36">
        <v>79</v>
      </c>
      <c r="DQ1737" s="36">
        <v>974</v>
      </c>
      <c r="DR1737" s="38">
        <v>60</v>
      </c>
      <c r="DS1737" s="35">
        <v>6.56</v>
      </c>
      <c r="DT1737" s="36">
        <v>219</v>
      </c>
      <c r="DU1737" s="38">
        <v>-1</v>
      </c>
      <c r="DV1737" s="35">
        <v>-0.45</v>
      </c>
      <c r="DW1737" s="36">
        <v>1719</v>
      </c>
      <c r="DX1737" s="39">
        <v>13</v>
      </c>
      <c r="DY1737" s="35">
        <v>0.76</v>
      </c>
      <c r="DZ1737" s="28" t="s">
        <v>178</v>
      </c>
      <c r="EA1737" s="34">
        <v>43601</v>
      </c>
      <c r="EB1737" s="29">
        <v>53.1</v>
      </c>
      <c r="EC1737" s="34">
        <v>42929</v>
      </c>
      <c r="ED1737" s="28" t="s">
        <v>205</v>
      </c>
      <c r="EE1737" s="40" t="str">
        <f>HYPERLINK("https://my.pitchbook.com?c=160783-93", "View company online")</f>
        <v>View company online</v>
      </c>
    </row>
    <row r="1738" spans="1:135">
      <c r="A1738" s="15" t="s">
        <v>33062</v>
      </c>
      <c r="B1738" s="15" t="s">
        <v>33063</v>
      </c>
      <c r="C1738" s="15" t="s">
        <v>138</v>
      </c>
      <c r="D1738" s="15" t="s">
        <v>138</v>
      </c>
      <c r="E1738" s="15" t="s">
        <v>33064</v>
      </c>
      <c r="F1738" s="15" t="s">
        <v>33062</v>
      </c>
      <c r="G1738" s="15" t="s">
        <v>33065</v>
      </c>
      <c r="H1738" s="15" t="s">
        <v>141</v>
      </c>
      <c r="I1738" s="15" t="s">
        <v>212</v>
      </c>
      <c r="J1738" s="15" t="s">
        <v>3169</v>
      </c>
      <c r="K1738" s="15" t="s">
        <v>31164</v>
      </c>
      <c r="L1738" s="15" t="s">
        <v>33066</v>
      </c>
      <c r="M1738" s="15" t="s">
        <v>33067</v>
      </c>
      <c r="N1738" s="15" t="s">
        <v>1452</v>
      </c>
      <c r="O1738" s="17" t="s">
        <v>138</v>
      </c>
      <c r="P1738" s="15" t="s">
        <v>148</v>
      </c>
      <c r="Q1738" s="15" t="s">
        <v>149</v>
      </c>
      <c r="R1738" s="15" t="s">
        <v>328</v>
      </c>
      <c r="S1738" s="15" t="s">
        <v>33068</v>
      </c>
      <c r="T1738" s="18">
        <v>100</v>
      </c>
      <c r="U1738" s="15" t="s">
        <v>33069</v>
      </c>
      <c r="V1738" s="15" t="s">
        <v>138</v>
      </c>
      <c r="W1738" s="15" t="s">
        <v>138</v>
      </c>
      <c r="X1738" s="19">
        <v>1987</v>
      </c>
      <c r="Y1738" s="15" t="s">
        <v>138</v>
      </c>
      <c r="Z1738" s="15" t="s">
        <v>138</v>
      </c>
      <c r="AA1738" s="15" t="s">
        <v>138</v>
      </c>
      <c r="AB1738" s="20">
        <v>17.21</v>
      </c>
      <c r="AC1738" s="20" t="s">
        <v>138</v>
      </c>
      <c r="AD1738" s="20" t="s">
        <v>138</v>
      </c>
      <c r="AE1738" s="20" t="s">
        <v>138</v>
      </c>
      <c r="AF1738" s="20" t="s">
        <v>138</v>
      </c>
      <c r="AG1738" s="15" t="s">
        <v>633</v>
      </c>
      <c r="AH1738" s="20" t="s">
        <v>138</v>
      </c>
      <c r="AI1738" s="20" t="s">
        <v>138</v>
      </c>
      <c r="AJ1738" s="20" t="s">
        <v>138</v>
      </c>
      <c r="AK1738" s="15" t="s">
        <v>33070</v>
      </c>
      <c r="AL1738" s="15" t="s">
        <v>33071</v>
      </c>
      <c r="AM1738" s="15" t="s">
        <v>4269</v>
      </c>
      <c r="AN1738" s="15" t="s">
        <v>33072</v>
      </c>
      <c r="AO1738" s="15" t="s">
        <v>33073</v>
      </c>
      <c r="AP1738" s="15" t="s">
        <v>1457</v>
      </c>
      <c r="AQ1738" s="15" t="s">
        <v>33074</v>
      </c>
      <c r="AR1738" s="15" t="s">
        <v>1170</v>
      </c>
      <c r="AS1738" s="15" t="s">
        <v>1460</v>
      </c>
      <c r="AT1738" s="15" t="s">
        <v>474</v>
      </c>
      <c r="AU1738" s="15" t="s">
        <v>33075</v>
      </c>
      <c r="AV1738" s="15" t="s">
        <v>162</v>
      </c>
      <c r="AW1738" s="15" t="s">
        <v>33073</v>
      </c>
      <c r="AX1738" s="15" t="s">
        <v>138</v>
      </c>
      <c r="AY1738" s="15" t="s">
        <v>33076</v>
      </c>
      <c r="AZ1738" s="15" t="s">
        <v>164</v>
      </c>
      <c r="BA1738" s="15" t="s">
        <v>165</v>
      </c>
      <c r="BB1738" s="15" t="s">
        <v>33077</v>
      </c>
      <c r="BC1738" s="15" t="s">
        <v>33078</v>
      </c>
      <c r="BD1738" s="21">
        <v>2</v>
      </c>
      <c r="BE1738" s="15" t="s">
        <v>138</v>
      </c>
      <c r="BF1738" s="15" t="s">
        <v>138</v>
      </c>
      <c r="BG1738" s="15" t="s">
        <v>138</v>
      </c>
      <c r="BH1738" s="15" t="s">
        <v>1943</v>
      </c>
      <c r="BI1738" s="15" t="s">
        <v>138</v>
      </c>
      <c r="BJ1738" s="15" t="s">
        <v>138</v>
      </c>
      <c r="BK1738" s="15" t="s">
        <v>138</v>
      </c>
      <c r="BL1738" s="15" t="s">
        <v>138</v>
      </c>
      <c r="BM1738" s="22">
        <v>43313</v>
      </c>
      <c r="BN1738" s="17" t="s">
        <v>138</v>
      </c>
      <c r="BO1738" s="15" t="s">
        <v>138</v>
      </c>
      <c r="BP1738" s="17" t="s">
        <v>138</v>
      </c>
      <c r="BQ1738" s="15" t="s">
        <v>138</v>
      </c>
      <c r="BR1738" s="15" t="s">
        <v>1673</v>
      </c>
      <c r="BS1738" s="15" t="s">
        <v>138</v>
      </c>
      <c r="BT1738" s="15" t="s">
        <v>138</v>
      </c>
      <c r="BU1738" s="15" t="s">
        <v>351</v>
      </c>
      <c r="BV1738" s="15" t="s">
        <v>138</v>
      </c>
      <c r="BW1738" s="15" t="s">
        <v>138</v>
      </c>
      <c r="BX1738" s="15" t="s">
        <v>138</v>
      </c>
      <c r="BY1738" s="15" t="s">
        <v>175</v>
      </c>
      <c r="BZ1738" s="22">
        <v>43313</v>
      </c>
      <c r="CA1738" s="17" t="s">
        <v>138</v>
      </c>
      <c r="CB1738" s="15" t="s">
        <v>138</v>
      </c>
      <c r="CC1738" s="17" t="s">
        <v>138</v>
      </c>
      <c r="CD1738" s="15" t="s">
        <v>138</v>
      </c>
      <c r="CE1738" s="15" t="s">
        <v>1673</v>
      </c>
      <c r="CF1738" s="15" t="s">
        <v>138</v>
      </c>
      <c r="CG1738" s="15" t="s">
        <v>138</v>
      </c>
      <c r="CH1738" s="15" t="s">
        <v>351</v>
      </c>
      <c r="CI1738" s="15" t="s">
        <v>138</v>
      </c>
      <c r="CJ1738" s="15" t="s">
        <v>138</v>
      </c>
      <c r="CK1738" s="15" t="s">
        <v>138</v>
      </c>
      <c r="CL1738" s="15" t="s">
        <v>175</v>
      </c>
      <c r="CM1738" s="22" t="s">
        <v>138</v>
      </c>
      <c r="CN1738" s="17" t="s">
        <v>138</v>
      </c>
      <c r="CO1738" s="23">
        <v>0</v>
      </c>
      <c r="CP1738" s="24">
        <v>26</v>
      </c>
      <c r="CQ1738" s="23">
        <v>0</v>
      </c>
      <c r="CR1738" s="23">
        <v>0</v>
      </c>
      <c r="CS1738" s="23">
        <v>0</v>
      </c>
      <c r="CT1738" s="24">
        <v>23</v>
      </c>
      <c r="CU1738" s="23" t="s">
        <v>138</v>
      </c>
      <c r="CV1738" s="24" t="s">
        <v>138</v>
      </c>
      <c r="CW1738" s="23" t="s">
        <v>138</v>
      </c>
      <c r="CX1738" s="24" t="s">
        <v>138</v>
      </c>
      <c r="CY1738" s="23">
        <v>0</v>
      </c>
      <c r="CZ1738" s="24">
        <v>25</v>
      </c>
      <c r="DA1738" s="23" t="s">
        <v>138</v>
      </c>
      <c r="DB1738" s="24" t="s">
        <v>138</v>
      </c>
      <c r="DC1738" s="25">
        <v>2</v>
      </c>
      <c r="DD1738" s="24">
        <v>67</v>
      </c>
      <c r="DE1738" s="25">
        <v>0</v>
      </c>
      <c r="DF1738" s="23">
        <v>0</v>
      </c>
      <c r="DG1738" s="25">
        <v>2</v>
      </c>
      <c r="DH1738" s="24">
        <v>67</v>
      </c>
      <c r="DI1738" s="25" t="s">
        <v>138</v>
      </c>
      <c r="DJ1738" s="24" t="s">
        <v>138</v>
      </c>
      <c r="DK1738" s="25" t="s">
        <v>138</v>
      </c>
      <c r="DL1738" s="24" t="s">
        <v>138</v>
      </c>
      <c r="DM1738" s="25">
        <v>2</v>
      </c>
      <c r="DN1738" s="24">
        <v>66</v>
      </c>
      <c r="DO1738" s="25" t="s">
        <v>138</v>
      </c>
      <c r="DP1738" s="24" t="s">
        <v>138</v>
      </c>
      <c r="DQ1738" s="24" t="s">
        <v>138</v>
      </c>
      <c r="DR1738" s="26" t="s">
        <v>138</v>
      </c>
      <c r="DS1738" s="23" t="s">
        <v>138</v>
      </c>
      <c r="DT1738" s="24">
        <v>58</v>
      </c>
      <c r="DU1738" s="26">
        <v>0</v>
      </c>
      <c r="DV1738" s="23">
        <v>0</v>
      </c>
      <c r="DW1738" s="24" t="s">
        <v>138</v>
      </c>
      <c r="DX1738" s="27" t="s">
        <v>138</v>
      </c>
      <c r="DY1738" s="23" t="s">
        <v>138</v>
      </c>
      <c r="DZ1738" s="15" t="s">
        <v>178</v>
      </c>
      <c r="EA1738" s="22">
        <v>43353</v>
      </c>
      <c r="EB1738" s="17" t="s">
        <v>138</v>
      </c>
      <c r="EC1738" s="22" t="s">
        <v>138</v>
      </c>
      <c r="ED1738" s="15" t="s">
        <v>138</v>
      </c>
      <c r="EE1738" s="14" t="str">
        <f>HYPERLINK("https://my.pitchbook.com?c=100100-35", "View company online")</f>
        <v>View company online</v>
      </c>
    </row>
    <row r="1739" spans="1:135">
      <c r="A1739" s="28" t="s">
        <v>33079</v>
      </c>
      <c r="B1739" s="28" t="s">
        <v>33080</v>
      </c>
      <c r="C1739" s="28" t="s">
        <v>33081</v>
      </c>
      <c r="D1739" s="28" t="s">
        <v>138</v>
      </c>
      <c r="E1739" s="28" t="s">
        <v>33082</v>
      </c>
      <c r="F1739" s="28" t="s">
        <v>33079</v>
      </c>
      <c r="G1739" s="28" t="s">
        <v>33083</v>
      </c>
      <c r="H1739" s="28" t="s">
        <v>322</v>
      </c>
      <c r="I1739" s="28" t="s">
        <v>323</v>
      </c>
      <c r="J1739" s="28" t="s">
        <v>954</v>
      </c>
      <c r="K1739" s="28" t="s">
        <v>33084</v>
      </c>
      <c r="L1739" s="28" t="s">
        <v>33085</v>
      </c>
      <c r="M1739" s="28" t="s">
        <v>33086</v>
      </c>
      <c r="N1739" s="28" t="s">
        <v>147</v>
      </c>
      <c r="O1739" s="29">
        <v>37.64</v>
      </c>
      <c r="P1739" s="28" t="s">
        <v>812</v>
      </c>
      <c r="Q1739" s="28" t="s">
        <v>149</v>
      </c>
      <c r="R1739" s="28" t="s">
        <v>174</v>
      </c>
      <c r="S1739" s="28" t="s">
        <v>33087</v>
      </c>
      <c r="T1739" s="30">
        <v>180</v>
      </c>
      <c r="U1739" s="28" t="s">
        <v>33088</v>
      </c>
      <c r="V1739" s="28" t="s">
        <v>138</v>
      </c>
      <c r="W1739" s="28" t="s">
        <v>138</v>
      </c>
      <c r="X1739" s="31">
        <v>2011</v>
      </c>
      <c r="Y1739" s="28" t="s">
        <v>138</v>
      </c>
      <c r="Z1739" s="28" t="s">
        <v>1163</v>
      </c>
      <c r="AA1739" s="28" t="s">
        <v>1163</v>
      </c>
      <c r="AB1739" s="32" t="s">
        <v>138</v>
      </c>
      <c r="AC1739" s="32" t="s">
        <v>138</v>
      </c>
      <c r="AD1739" s="32" t="s">
        <v>138</v>
      </c>
      <c r="AE1739" s="32" t="s">
        <v>138</v>
      </c>
      <c r="AF1739" s="32" t="s">
        <v>138</v>
      </c>
      <c r="AG1739" s="28" t="s">
        <v>138</v>
      </c>
      <c r="AH1739" s="32" t="s">
        <v>138</v>
      </c>
      <c r="AI1739" s="32" t="s">
        <v>138</v>
      </c>
      <c r="AJ1739" s="32" t="s">
        <v>138</v>
      </c>
      <c r="AK1739" s="28" t="s">
        <v>33089</v>
      </c>
      <c r="AL1739" s="28" t="s">
        <v>33090</v>
      </c>
      <c r="AM1739" s="28" t="s">
        <v>1632</v>
      </c>
      <c r="AN1739" s="28" t="s">
        <v>33091</v>
      </c>
      <c r="AO1739" s="28" t="s">
        <v>138</v>
      </c>
      <c r="AP1739" s="28" t="s">
        <v>2649</v>
      </c>
      <c r="AQ1739" s="28" t="s">
        <v>33092</v>
      </c>
      <c r="AR1739" s="28" t="s">
        <v>33093</v>
      </c>
      <c r="AS1739" s="28" t="s">
        <v>2651</v>
      </c>
      <c r="AT1739" s="28" t="s">
        <v>200</v>
      </c>
      <c r="AU1739" s="28" t="s">
        <v>2652</v>
      </c>
      <c r="AV1739" s="28" t="s">
        <v>162</v>
      </c>
      <c r="AW1739" s="28" t="s">
        <v>138</v>
      </c>
      <c r="AX1739" s="28" t="s">
        <v>138</v>
      </c>
      <c r="AY1739" s="28" t="s">
        <v>33094</v>
      </c>
      <c r="AZ1739" s="28" t="s">
        <v>164</v>
      </c>
      <c r="BA1739" s="28" t="s">
        <v>165</v>
      </c>
      <c r="BB1739" s="28" t="s">
        <v>33095</v>
      </c>
      <c r="BC1739" s="28" t="s">
        <v>33096</v>
      </c>
      <c r="BD1739" s="33">
        <v>10</v>
      </c>
      <c r="BE1739" s="28" t="s">
        <v>138</v>
      </c>
      <c r="BF1739" s="28" t="s">
        <v>33097</v>
      </c>
      <c r="BG1739" s="28" t="s">
        <v>138</v>
      </c>
      <c r="BH1739" s="28" t="s">
        <v>33098</v>
      </c>
      <c r="BI1739" s="28" t="s">
        <v>33099</v>
      </c>
      <c r="BJ1739" s="28" t="s">
        <v>138</v>
      </c>
      <c r="BK1739" s="28" t="s">
        <v>33100</v>
      </c>
      <c r="BL1739" s="28" t="s">
        <v>33101</v>
      </c>
      <c r="BM1739" s="34">
        <v>40788</v>
      </c>
      <c r="BN1739" s="29">
        <v>10.67</v>
      </c>
      <c r="BO1739" s="28" t="s">
        <v>172</v>
      </c>
      <c r="BP1739" s="29">
        <v>30.48</v>
      </c>
      <c r="BQ1739" s="28" t="s">
        <v>172</v>
      </c>
      <c r="BR1739" s="28" t="s">
        <v>205</v>
      </c>
      <c r="BS1739" s="28" t="s">
        <v>206</v>
      </c>
      <c r="BT1739" s="28" t="s">
        <v>138</v>
      </c>
      <c r="BU1739" s="28" t="s">
        <v>174</v>
      </c>
      <c r="BV1739" s="28" t="s">
        <v>138</v>
      </c>
      <c r="BW1739" s="28" t="s">
        <v>138</v>
      </c>
      <c r="BX1739" s="28" t="s">
        <v>138</v>
      </c>
      <c r="BY1739" s="28" t="s">
        <v>175</v>
      </c>
      <c r="BZ1739" s="34" t="s">
        <v>138</v>
      </c>
      <c r="CA1739" s="29" t="s">
        <v>138</v>
      </c>
      <c r="CB1739" s="28" t="s">
        <v>138</v>
      </c>
      <c r="CC1739" s="29" t="s">
        <v>138</v>
      </c>
      <c r="CD1739" s="28" t="s">
        <v>138</v>
      </c>
      <c r="CE1739" s="28" t="s">
        <v>379</v>
      </c>
      <c r="CF1739" s="28" t="s">
        <v>138</v>
      </c>
      <c r="CG1739" s="28" t="s">
        <v>138</v>
      </c>
      <c r="CH1739" s="28" t="s">
        <v>174</v>
      </c>
      <c r="CI1739" s="28" t="s">
        <v>138</v>
      </c>
      <c r="CJ1739" s="28" t="s">
        <v>138</v>
      </c>
      <c r="CK1739" s="28" t="s">
        <v>138</v>
      </c>
      <c r="CL1739" s="28" t="s">
        <v>175</v>
      </c>
      <c r="CM1739" s="34" t="s">
        <v>138</v>
      </c>
      <c r="CN1739" s="29" t="s">
        <v>138</v>
      </c>
      <c r="CO1739" s="35">
        <v>-7.0000000000000007E-2</v>
      </c>
      <c r="CP1739" s="36">
        <v>21</v>
      </c>
      <c r="CQ1739" s="35">
        <v>-0.01</v>
      </c>
      <c r="CR1739" s="35">
        <v>-8.56</v>
      </c>
      <c r="CS1739" s="35">
        <v>-0.15</v>
      </c>
      <c r="CT1739" s="36">
        <v>22</v>
      </c>
      <c r="CU1739" s="35">
        <v>0.01</v>
      </c>
      <c r="CV1739" s="36">
        <v>49</v>
      </c>
      <c r="CW1739" s="35">
        <v>0.8</v>
      </c>
      <c r="CX1739" s="36">
        <v>84</v>
      </c>
      <c r="CY1739" s="35">
        <v>-1.1000000000000001</v>
      </c>
      <c r="CZ1739" s="36">
        <v>18</v>
      </c>
      <c r="DA1739" s="35">
        <v>0.05</v>
      </c>
      <c r="DB1739" s="36">
        <v>64</v>
      </c>
      <c r="DC1739" s="37">
        <v>979.08</v>
      </c>
      <c r="DD1739" s="36">
        <v>100</v>
      </c>
      <c r="DE1739" s="37">
        <v>-60.55</v>
      </c>
      <c r="DF1739" s="35">
        <v>-5.82</v>
      </c>
      <c r="DG1739" s="37">
        <v>1225.45</v>
      </c>
      <c r="DH1739" s="36">
        <v>100</v>
      </c>
      <c r="DI1739" s="37">
        <v>732.71</v>
      </c>
      <c r="DJ1739" s="36">
        <v>100</v>
      </c>
      <c r="DK1739" s="37">
        <v>1898.66</v>
      </c>
      <c r="DL1739" s="36">
        <v>100</v>
      </c>
      <c r="DM1739" s="37">
        <v>552.24</v>
      </c>
      <c r="DN1739" s="36">
        <v>100</v>
      </c>
      <c r="DO1739" s="37">
        <v>90.05</v>
      </c>
      <c r="DP1739" s="36">
        <v>98</v>
      </c>
      <c r="DQ1739" s="36">
        <v>650965</v>
      </c>
      <c r="DR1739" s="38">
        <v>822</v>
      </c>
      <c r="DS1739" s="35">
        <v>0.13</v>
      </c>
      <c r="DT1739" s="36">
        <v>15986</v>
      </c>
      <c r="DU1739" s="38">
        <v>85</v>
      </c>
      <c r="DV1739" s="35">
        <v>0.53</v>
      </c>
      <c r="DW1739" s="36">
        <v>32233</v>
      </c>
      <c r="DX1739" s="39">
        <v>18</v>
      </c>
      <c r="DY1739" s="35">
        <v>0.06</v>
      </c>
      <c r="DZ1739" s="28" t="s">
        <v>178</v>
      </c>
      <c r="EA1739" s="34">
        <v>43371</v>
      </c>
      <c r="EB1739" s="29">
        <v>129.59</v>
      </c>
      <c r="EC1739" s="34">
        <v>41765</v>
      </c>
      <c r="ED1739" s="28" t="s">
        <v>205</v>
      </c>
      <c r="EE1739" s="40" t="str">
        <f>HYPERLINK("https://my.pitchbook.com?c=52219-90", "View company online")</f>
        <v>View company online</v>
      </c>
    </row>
    <row r="1740" spans="1:135">
      <c r="A1740" s="15" t="s">
        <v>33102</v>
      </c>
      <c r="B1740" s="15" t="s">
        <v>33103</v>
      </c>
      <c r="C1740" s="15" t="s">
        <v>138</v>
      </c>
      <c r="D1740" s="15" t="s">
        <v>138</v>
      </c>
      <c r="E1740" s="15" t="s">
        <v>138</v>
      </c>
      <c r="F1740" s="15" t="s">
        <v>33102</v>
      </c>
      <c r="G1740" s="15" t="s">
        <v>33104</v>
      </c>
      <c r="H1740" s="15" t="s">
        <v>238</v>
      </c>
      <c r="I1740" s="15" t="s">
        <v>1351</v>
      </c>
      <c r="J1740" s="15" t="s">
        <v>33105</v>
      </c>
      <c r="K1740" s="15" t="s">
        <v>33106</v>
      </c>
      <c r="L1740" s="15" t="s">
        <v>272</v>
      </c>
      <c r="M1740" s="15" t="s">
        <v>33107</v>
      </c>
      <c r="N1740" s="15" t="s">
        <v>147</v>
      </c>
      <c r="O1740" s="17">
        <v>3</v>
      </c>
      <c r="P1740" s="15" t="s">
        <v>148</v>
      </c>
      <c r="Q1740" s="15" t="s">
        <v>149</v>
      </c>
      <c r="R1740" s="15" t="s">
        <v>174</v>
      </c>
      <c r="S1740" s="15" t="s">
        <v>33108</v>
      </c>
      <c r="T1740" s="18" t="s">
        <v>138</v>
      </c>
      <c r="U1740" s="15" t="s">
        <v>138</v>
      </c>
      <c r="V1740" s="15" t="s">
        <v>138</v>
      </c>
      <c r="W1740" s="15" t="s">
        <v>138</v>
      </c>
      <c r="X1740" s="19" t="s">
        <v>138</v>
      </c>
      <c r="Y1740" s="15" t="s">
        <v>138</v>
      </c>
      <c r="Z1740" s="15" t="s">
        <v>138</v>
      </c>
      <c r="AA1740" s="15" t="s">
        <v>138</v>
      </c>
      <c r="AB1740" s="20" t="s">
        <v>138</v>
      </c>
      <c r="AC1740" s="20" t="s">
        <v>138</v>
      </c>
      <c r="AD1740" s="20" t="s">
        <v>138</v>
      </c>
      <c r="AE1740" s="20" t="s">
        <v>138</v>
      </c>
      <c r="AF1740" s="20" t="s">
        <v>138</v>
      </c>
      <c r="AG1740" s="15" t="s">
        <v>138</v>
      </c>
      <c r="AH1740" s="20" t="s">
        <v>138</v>
      </c>
      <c r="AI1740" s="20" t="s">
        <v>138</v>
      </c>
      <c r="AJ1740" s="20" t="s">
        <v>138</v>
      </c>
      <c r="AK1740" s="15" t="s">
        <v>33109</v>
      </c>
      <c r="AL1740" s="15" t="s">
        <v>33110</v>
      </c>
      <c r="AM1740" s="15" t="s">
        <v>422</v>
      </c>
      <c r="AN1740" s="15" t="s">
        <v>33111</v>
      </c>
      <c r="AO1740" s="15" t="s">
        <v>138</v>
      </c>
      <c r="AP1740" s="15" t="s">
        <v>423</v>
      </c>
      <c r="AQ1740" s="15" t="s">
        <v>33112</v>
      </c>
      <c r="AR1740" s="15" t="s">
        <v>19780</v>
      </c>
      <c r="AS1740" s="15" t="s">
        <v>426</v>
      </c>
      <c r="AT1740" s="15" t="s">
        <v>426</v>
      </c>
      <c r="AU1740" s="15" t="s">
        <v>8757</v>
      </c>
      <c r="AV1740" s="15" t="s">
        <v>162</v>
      </c>
      <c r="AW1740" s="15" t="s">
        <v>138</v>
      </c>
      <c r="AX1740" s="15" t="s">
        <v>138</v>
      </c>
      <c r="AY1740" s="15" t="s">
        <v>33113</v>
      </c>
      <c r="AZ1740" s="15" t="s">
        <v>164</v>
      </c>
      <c r="BA1740" s="15" t="s">
        <v>165</v>
      </c>
      <c r="BB1740" s="15" t="s">
        <v>33114</v>
      </c>
      <c r="BC1740" s="15" t="s">
        <v>33115</v>
      </c>
      <c r="BD1740" s="21">
        <v>7</v>
      </c>
      <c r="BE1740" s="15" t="s">
        <v>138</v>
      </c>
      <c r="BF1740" s="15" t="s">
        <v>138</v>
      </c>
      <c r="BG1740" s="15" t="s">
        <v>138</v>
      </c>
      <c r="BH1740" s="15" t="s">
        <v>33116</v>
      </c>
      <c r="BI1740" s="15" t="s">
        <v>138</v>
      </c>
      <c r="BJ1740" s="15" t="s">
        <v>138</v>
      </c>
      <c r="BK1740" s="15" t="s">
        <v>138</v>
      </c>
      <c r="BL1740" s="15" t="s">
        <v>138</v>
      </c>
      <c r="BM1740" s="22">
        <v>43577</v>
      </c>
      <c r="BN1740" s="17">
        <v>3</v>
      </c>
      <c r="BO1740" s="15" t="s">
        <v>172</v>
      </c>
      <c r="BP1740" s="17">
        <v>16.5</v>
      </c>
      <c r="BQ1740" s="15" t="s">
        <v>172</v>
      </c>
      <c r="BR1740" s="15" t="s">
        <v>234</v>
      </c>
      <c r="BS1740" s="15" t="s">
        <v>234</v>
      </c>
      <c r="BT1740" s="15" t="s">
        <v>138</v>
      </c>
      <c r="BU1740" s="15" t="s">
        <v>174</v>
      </c>
      <c r="BV1740" s="15" t="s">
        <v>138</v>
      </c>
      <c r="BW1740" s="15" t="s">
        <v>138</v>
      </c>
      <c r="BX1740" s="15" t="s">
        <v>138</v>
      </c>
      <c r="BY1740" s="15" t="s">
        <v>175</v>
      </c>
      <c r="BZ1740" s="22">
        <v>43577</v>
      </c>
      <c r="CA1740" s="17">
        <v>3</v>
      </c>
      <c r="CB1740" s="15" t="s">
        <v>172</v>
      </c>
      <c r="CC1740" s="17">
        <v>16.5</v>
      </c>
      <c r="CD1740" s="15" t="s">
        <v>172</v>
      </c>
      <c r="CE1740" s="15" t="s">
        <v>234</v>
      </c>
      <c r="CF1740" s="15" t="s">
        <v>234</v>
      </c>
      <c r="CG1740" s="15" t="s">
        <v>138</v>
      </c>
      <c r="CH1740" s="15" t="s">
        <v>174</v>
      </c>
      <c r="CI1740" s="15" t="s">
        <v>138</v>
      </c>
      <c r="CJ1740" s="15" t="s">
        <v>138</v>
      </c>
      <c r="CK1740" s="15" t="s">
        <v>138</v>
      </c>
      <c r="CL1740" s="15" t="s">
        <v>175</v>
      </c>
      <c r="CM1740" s="22" t="s">
        <v>138</v>
      </c>
      <c r="CN1740" s="17" t="s">
        <v>138</v>
      </c>
      <c r="CO1740" s="23" t="s">
        <v>138</v>
      </c>
      <c r="CP1740" s="24" t="s">
        <v>138</v>
      </c>
      <c r="CQ1740" s="23" t="s">
        <v>138</v>
      </c>
      <c r="CR1740" s="23" t="s">
        <v>138</v>
      </c>
      <c r="CS1740" s="23" t="s">
        <v>138</v>
      </c>
      <c r="CT1740" s="24" t="s">
        <v>138</v>
      </c>
      <c r="CU1740" s="23" t="s">
        <v>138</v>
      </c>
      <c r="CV1740" s="24" t="s">
        <v>138</v>
      </c>
      <c r="CW1740" s="23" t="s">
        <v>138</v>
      </c>
      <c r="CX1740" s="24" t="s">
        <v>138</v>
      </c>
      <c r="CY1740" s="23" t="s">
        <v>138</v>
      </c>
      <c r="CZ1740" s="24" t="s">
        <v>138</v>
      </c>
      <c r="DA1740" s="23" t="s">
        <v>138</v>
      </c>
      <c r="DB1740" s="24" t="s">
        <v>138</v>
      </c>
      <c r="DC1740" s="25" t="s">
        <v>138</v>
      </c>
      <c r="DD1740" s="24" t="s">
        <v>138</v>
      </c>
      <c r="DE1740" s="25" t="s">
        <v>138</v>
      </c>
      <c r="DF1740" s="23" t="s">
        <v>138</v>
      </c>
      <c r="DG1740" s="25" t="s">
        <v>138</v>
      </c>
      <c r="DH1740" s="24" t="s">
        <v>138</v>
      </c>
      <c r="DI1740" s="25" t="s">
        <v>138</v>
      </c>
      <c r="DJ1740" s="24" t="s">
        <v>138</v>
      </c>
      <c r="DK1740" s="25" t="s">
        <v>138</v>
      </c>
      <c r="DL1740" s="24" t="s">
        <v>138</v>
      </c>
      <c r="DM1740" s="25" t="s">
        <v>138</v>
      </c>
      <c r="DN1740" s="24" t="s">
        <v>138</v>
      </c>
      <c r="DO1740" s="25" t="s">
        <v>138</v>
      </c>
      <c r="DP1740" s="24" t="s">
        <v>138</v>
      </c>
      <c r="DQ1740" s="24" t="s">
        <v>138</v>
      </c>
      <c r="DR1740" s="26" t="s">
        <v>138</v>
      </c>
      <c r="DS1740" s="23" t="s">
        <v>138</v>
      </c>
      <c r="DT1740" s="24" t="s">
        <v>138</v>
      </c>
      <c r="DU1740" s="26" t="s">
        <v>138</v>
      </c>
      <c r="DV1740" s="23" t="s">
        <v>138</v>
      </c>
      <c r="DW1740" s="24" t="s">
        <v>138</v>
      </c>
      <c r="DX1740" s="27" t="s">
        <v>138</v>
      </c>
      <c r="DY1740" s="23" t="s">
        <v>138</v>
      </c>
      <c r="DZ1740" s="15" t="s">
        <v>178</v>
      </c>
      <c r="EA1740" s="22">
        <v>43579</v>
      </c>
      <c r="EB1740" s="17">
        <v>16.5</v>
      </c>
      <c r="EC1740" s="22">
        <v>43577</v>
      </c>
      <c r="ED1740" s="15" t="s">
        <v>234</v>
      </c>
      <c r="EE1740" s="14" t="str">
        <f>HYPERLINK("https://my.pitchbook.com?c=265647-25", "View company online")</f>
        <v>View company online</v>
      </c>
    </row>
    <row r="1741" spans="1:135">
      <c r="A1741" s="28" t="s">
        <v>33117</v>
      </c>
      <c r="B1741" s="28" t="s">
        <v>33118</v>
      </c>
      <c r="C1741" s="28" t="s">
        <v>138</v>
      </c>
      <c r="D1741" s="28" t="s">
        <v>138</v>
      </c>
      <c r="E1741" s="28" t="s">
        <v>33119</v>
      </c>
      <c r="F1741" s="28" t="s">
        <v>33117</v>
      </c>
      <c r="G1741" s="28" t="s">
        <v>33120</v>
      </c>
      <c r="H1741" s="28" t="s">
        <v>322</v>
      </c>
      <c r="I1741" s="28" t="s">
        <v>323</v>
      </c>
      <c r="J1741" s="28" t="s">
        <v>2084</v>
      </c>
      <c r="K1741" s="28" t="s">
        <v>33121</v>
      </c>
      <c r="L1741" s="28" t="s">
        <v>1186</v>
      </c>
      <c r="M1741" s="28" t="s">
        <v>33122</v>
      </c>
      <c r="N1741" s="28" t="s">
        <v>147</v>
      </c>
      <c r="O1741" s="29">
        <v>175.15</v>
      </c>
      <c r="P1741" s="28" t="s">
        <v>148</v>
      </c>
      <c r="Q1741" s="28" t="s">
        <v>149</v>
      </c>
      <c r="R1741" s="28" t="s">
        <v>174</v>
      </c>
      <c r="S1741" s="28" t="s">
        <v>33123</v>
      </c>
      <c r="T1741" s="30">
        <v>500</v>
      </c>
      <c r="U1741" s="28" t="s">
        <v>33124</v>
      </c>
      <c r="V1741" s="28" t="s">
        <v>138</v>
      </c>
      <c r="W1741" s="28" t="s">
        <v>138</v>
      </c>
      <c r="X1741" s="31">
        <v>2009</v>
      </c>
      <c r="Y1741" s="28" t="s">
        <v>138</v>
      </c>
      <c r="Z1741" s="28" t="s">
        <v>138</v>
      </c>
      <c r="AA1741" s="28" t="s">
        <v>138</v>
      </c>
      <c r="AB1741" s="32">
        <v>100</v>
      </c>
      <c r="AC1741" s="32" t="s">
        <v>138</v>
      </c>
      <c r="AD1741" s="32" t="s">
        <v>138</v>
      </c>
      <c r="AE1741" s="32" t="s">
        <v>138</v>
      </c>
      <c r="AF1741" s="32" t="s">
        <v>138</v>
      </c>
      <c r="AG1741" s="28" t="s">
        <v>815</v>
      </c>
      <c r="AH1741" s="32" t="s">
        <v>138</v>
      </c>
      <c r="AI1741" s="32" t="s">
        <v>138</v>
      </c>
      <c r="AJ1741" s="32" t="s">
        <v>138</v>
      </c>
      <c r="AK1741" s="28" t="s">
        <v>33125</v>
      </c>
      <c r="AL1741" s="28" t="s">
        <v>33126</v>
      </c>
      <c r="AM1741" s="28" t="s">
        <v>20394</v>
      </c>
      <c r="AN1741" s="28" t="s">
        <v>33127</v>
      </c>
      <c r="AO1741" s="28" t="s">
        <v>33128</v>
      </c>
      <c r="AP1741" s="28" t="s">
        <v>964</v>
      </c>
      <c r="AQ1741" s="28" t="s">
        <v>33129</v>
      </c>
      <c r="AR1741" s="28" t="s">
        <v>138</v>
      </c>
      <c r="AS1741" s="28" t="s">
        <v>966</v>
      </c>
      <c r="AT1741" s="28" t="s">
        <v>200</v>
      </c>
      <c r="AU1741" s="28" t="s">
        <v>967</v>
      </c>
      <c r="AV1741" s="28" t="s">
        <v>162</v>
      </c>
      <c r="AW1741" s="28" t="s">
        <v>33128</v>
      </c>
      <c r="AX1741" s="28" t="s">
        <v>33130</v>
      </c>
      <c r="AY1741" s="28" t="s">
        <v>33131</v>
      </c>
      <c r="AZ1741" s="28" t="s">
        <v>164</v>
      </c>
      <c r="BA1741" s="28" t="s">
        <v>165</v>
      </c>
      <c r="BB1741" s="28" t="s">
        <v>31766</v>
      </c>
      <c r="BC1741" s="28" t="s">
        <v>33132</v>
      </c>
      <c r="BD1741" s="33">
        <v>16</v>
      </c>
      <c r="BE1741" s="28" t="s">
        <v>138</v>
      </c>
      <c r="BF1741" s="28" t="s">
        <v>138</v>
      </c>
      <c r="BG1741" s="28" t="s">
        <v>138</v>
      </c>
      <c r="BH1741" s="28" t="s">
        <v>33133</v>
      </c>
      <c r="BI1741" s="28" t="s">
        <v>138</v>
      </c>
      <c r="BJ1741" s="28" t="s">
        <v>138</v>
      </c>
      <c r="BK1741" s="28" t="s">
        <v>33134</v>
      </c>
      <c r="BL1741" s="28" t="s">
        <v>1691</v>
      </c>
      <c r="BM1741" s="34">
        <v>40118</v>
      </c>
      <c r="BN1741" s="29">
        <v>5.5</v>
      </c>
      <c r="BO1741" s="28" t="s">
        <v>172</v>
      </c>
      <c r="BP1741" s="29">
        <v>11.85</v>
      </c>
      <c r="BQ1741" s="28" t="s">
        <v>172</v>
      </c>
      <c r="BR1741" s="28" t="s">
        <v>205</v>
      </c>
      <c r="BS1741" s="28" t="s">
        <v>206</v>
      </c>
      <c r="BT1741" s="28" t="s">
        <v>138</v>
      </c>
      <c r="BU1741" s="28" t="s">
        <v>174</v>
      </c>
      <c r="BV1741" s="28" t="s">
        <v>138</v>
      </c>
      <c r="BW1741" s="28" t="s">
        <v>138</v>
      </c>
      <c r="BX1741" s="28" t="s">
        <v>138</v>
      </c>
      <c r="BY1741" s="28" t="s">
        <v>175</v>
      </c>
      <c r="BZ1741" s="34" t="s">
        <v>138</v>
      </c>
      <c r="CA1741" s="29" t="s">
        <v>138</v>
      </c>
      <c r="CB1741" s="28" t="s">
        <v>138</v>
      </c>
      <c r="CC1741" s="29" t="s">
        <v>138</v>
      </c>
      <c r="CD1741" s="28" t="s">
        <v>138</v>
      </c>
      <c r="CE1741" s="28" t="s">
        <v>173</v>
      </c>
      <c r="CF1741" s="28" t="s">
        <v>138</v>
      </c>
      <c r="CG1741" s="28" t="s">
        <v>138</v>
      </c>
      <c r="CH1741" s="28" t="s">
        <v>174</v>
      </c>
      <c r="CI1741" s="28" t="s">
        <v>138</v>
      </c>
      <c r="CJ1741" s="28" t="s">
        <v>138</v>
      </c>
      <c r="CK1741" s="28" t="s">
        <v>138</v>
      </c>
      <c r="CL1741" s="28" t="s">
        <v>175</v>
      </c>
      <c r="CM1741" s="34" t="s">
        <v>138</v>
      </c>
      <c r="CN1741" s="29" t="s">
        <v>138</v>
      </c>
      <c r="CO1741" s="35">
        <v>0.08</v>
      </c>
      <c r="CP1741" s="36">
        <v>89</v>
      </c>
      <c r="CQ1741" s="35">
        <v>-0.05</v>
      </c>
      <c r="CR1741" s="35">
        <v>-41.35</v>
      </c>
      <c r="CS1741" s="35">
        <v>-0.19</v>
      </c>
      <c r="CT1741" s="36">
        <v>22</v>
      </c>
      <c r="CU1741" s="35">
        <v>7.0000000000000007E-2</v>
      </c>
      <c r="CV1741" s="36">
        <v>62</v>
      </c>
      <c r="CW1741" s="35">
        <v>1.36</v>
      </c>
      <c r="CX1741" s="36">
        <v>86</v>
      </c>
      <c r="CY1741" s="35">
        <v>-1.74</v>
      </c>
      <c r="CZ1741" s="36">
        <v>13</v>
      </c>
      <c r="DA1741" s="35">
        <v>7.0000000000000007E-2</v>
      </c>
      <c r="DB1741" s="36">
        <v>67</v>
      </c>
      <c r="DC1741" s="37">
        <v>224.43</v>
      </c>
      <c r="DD1741" s="36">
        <v>100</v>
      </c>
      <c r="DE1741" s="37">
        <v>-23.91</v>
      </c>
      <c r="DF1741" s="35">
        <v>-9.6300000000000008</v>
      </c>
      <c r="DG1741" s="37">
        <v>601.33000000000004</v>
      </c>
      <c r="DH1741" s="36">
        <v>100</v>
      </c>
      <c r="DI1741" s="37">
        <v>68.98</v>
      </c>
      <c r="DJ1741" s="36">
        <v>96</v>
      </c>
      <c r="DK1741" s="37">
        <v>1130.25</v>
      </c>
      <c r="DL1741" s="36">
        <v>100</v>
      </c>
      <c r="DM1741" s="37">
        <v>72.41</v>
      </c>
      <c r="DN1741" s="36">
        <v>99</v>
      </c>
      <c r="DO1741" s="37">
        <v>68.98</v>
      </c>
      <c r="DP1741" s="36">
        <v>97</v>
      </c>
      <c r="DQ1741" s="36">
        <v>382390</v>
      </c>
      <c r="DR1741" s="38">
        <v>15859</v>
      </c>
      <c r="DS1741" s="35">
        <v>4.33</v>
      </c>
      <c r="DT1741" s="36">
        <v>2096</v>
      </c>
      <c r="DU1741" s="38">
        <v>7</v>
      </c>
      <c r="DV1741" s="35">
        <v>0.34</v>
      </c>
      <c r="DW1741" s="36">
        <v>24684</v>
      </c>
      <c r="DX1741" s="39">
        <v>32</v>
      </c>
      <c r="DY1741" s="35">
        <v>0.13</v>
      </c>
      <c r="DZ1741" s="28" t="s">
        <v>178</v>
      </c>
      <c r="EA1741" s="34">
        <v>43622</v>
      </c>
      <c r="EB1741" s="29">
        <v>727.87</v>
      </c>
      <c r="EC1741" s="34">
        <v>42270</v>
      </c>
      <c r="ED1741" s="28" t="s">
        <v>173</v>
      </c>
      <c r="EE1741" s="40" t="str">
        <f>HYPERLINK("https://my.pitchbook.com?c=52331-23", "View company online")</f>
        <v>View company online</v>
      </c>
    </row>
    <row r="1742" spans="1:135">
      <c r="A1742" s="15" t="s">
        <v>33135</v>
      </c>
      <c r="B1742" s="15" t="s">
        <v>33136</v>
      </c>
      <c r="C1742" s="15" t="s">
        <v>138</v>
      </c>
      <c r="D1742" s="15" t="s">
        <v>33137</v>
      </c>
      <c r="E1742" s="15" t="s">
        <v>33138</v>
      </c>
      <c r="F1742" s="15" t="s">
        <v>33135</v>
      </c>
      <c r="G1742" s="15" t="s">
        <v>33139</v>
      </c>
      <c r="H1742" s="15" t="s">
        <v>322</v>
      </c>
      <c r="I1742" s="15" t="s">
        <v>323</v>
      </c>
      <c r="J1742" s="15" t="s">
        <v>324</v>
      </c>
      <c r="K1742" s="15" t="s">
        <v>9125</v>
      </c>
      <c r="L1742" s="15" t="s">
        <v>3343</v>
      </c>
      <c r="M1742" s="15" t="s">
        <v>33140</v>
      </c>
      <c r="N1742" s="15" t="s">
        <v>147</v>
      </c>
      <c r="O1742" s="17">
        <v>11.2</v>
      </c>
      <c r="P1742" s="15" t="s">
        <v>148</v>
      </c>
      <c r="Q1742" s="15" t="s">
        <v>149</v>
      </c>
      <c r="R1742" s="15" t="s">
        <v>174</v>
      </c>
      <c r="S1742" s="15" t="s">
        <v>33141</v>
      </c>
      <c r="T1742" s="18">
        <v>20</v>
      </c>
      <c r="U1742" s="15" t="s">
        <v>33142</v>
      </c>
      <c r="V1742" s="15" t="s">
        <v>138</v>
      </c>
      <c r="W1742" s="15" t="s">
        <v>138</v>
      </c>
      <c r="X1742" s="19">
        <v>2007</v>
      </c>
      <c r="Y1742" s="15" t="s">
        <v>138</v>
      </c>
      <c r="Z1742" s="15" t="s">
        <v>138</v>
      </c>
      <c r="AA1742" s="15" t="s">
        <v>138</v>
      </c>
      <c r="AB1742" s="20" t="s">
        <v>138</v>
      </c>
      <c r="AC1742" s="20" t="s">
        <v>138</v>
      </c>
      <c r="AD1742" s="20" t="s">
        <v>138</v>
      </c>
      <c r="AE1742" s="20" t="s">
        <v>138</v>
      </c>
      <c r="AF1742" s="20" t="s">
        <v>138</v>
      </c>
      <c r="AG1742" s="15" t="s">
        <v>138</v>
      </c>
      <c r="AH1742" s="20" t="s">
        <v>138</v>
      </c>
      <c r="AI1742" s="20" t="s">
        <v>138</v>
      </c>
      <c r="AJ1742" s="20" t="s">
        <v>138</v>
      </c>
      <c r="AK1742" s="15" t="s">
        <v>33143</v>
      </c>
      <c r="AL1742" s="15" t="s">
        <v>33144</v>
      </c>
      <c r="AM1742" s="15" t="s">
        <v>304</v>
      </c>
      <c r="AN1742" s="15" t="s">
        <v>33145</v>
      </c>
      <c r="AO1742" s="15" t="s">
        <v>138</v>
      </c>
      <c r="AP1742" s="15" t="s">
        <v>1244</v>
      </c>
      <c r="AQ1742" s="15" t="s">
        <v>4588</v>
      </c>
      <c r="AR1742" s="15" t="s">
        <v>138</v>
      </c>
      <c r="AS1742" s="15" t="s">
        <v>1246</v>
      </c>
      <c r="AT1742" s="15" t="s">
        <v>200</v>
      </c>
      <c r="AU1742" s="15" t="s">
        <v>4589</v>
      </c>
      <c r="AV1742" s="15" t="s">
        <v>162</v>
      </c>
      <c r="AW1742" s="15" t="s">
        <v>138</v>
      </c>
      <c r="AX1742" s="15" t="s">
        <v>138</v>
      </c>
      <c r="AY1742" s="15" t="s">
        <v>33146</v>
      </c>
      <c r="AZ1742" s="15" t="s">
        <v>164</v>
      </c>
      <c r="BA1742" s="15" t="s">
        <v>165</v>
      </c>
      <c r="BB1742" s="15" t="s">
        <v>33147</v>
      </c>
      <c r="BC1742" s="15" t="s">
        <v>33148</v>
      </c>
      <c r="BD1742" s="21">
        <v>12</v>
      </c>
      <c r="BE1742" s="15" t="s">
        <v>138</v>
      </c>
      <c r="BF1742" s="15" t="s">
        <v>33149</v>
      </c>
      <c r="BG1742" s="15" t="s">
        <v>138</v>
      </c>
      <c r="BH1742" s="15" t="s">
        <v>33150</v>
      </c>
      <c r="BI1742" s="15" t="s">
        <v>33151</v>
      </c>
      <c r="BJ1742" s="15" t="s">
        <v>138</v>
      </c>
      <c r="BK1742" s="15" t="s">
        <v>138</v>
      </c>
      <c r="BL1742" s="15" t="s">
        <v>138</v>
      </c>
      <c r="BM1742" s="22">
        <v>40053</v>
      </c>
      <c r="BN1742" s="17">
        <v>0.2</v>
      </c>
      <c r="BO1742" s="15" t="s">
        <v>172</v>
      </c>
      <c r="BP1742" s="17" t="s">
        <v>138</v>
      </c>
      <c r="BQ1742" s="15" t="s">
        <v>138</v>
      </c>
      <c r="BR1742" s="15" t="s">
        <v>234</v>
      </c>
      <c r="BS1742" s="15" t="s">
        <v>234</v>
      </c>
      <c r="BT1742" s="15" t="s">
        <v>138</v>
      </c>
      <c r="BU1742" s="15" t="s">
        <v>174</v>
      </c>
      <c r="BV1742" s="15" t="s">
        <v>138</v>
      </c>
      <c r="BW1742" s="15" t="s">
        <v>138</v>
      </c>
      <c r="BX1742" s="15" t="s">
        <v>138</v>
      </c>
      <c r="BY1742" s="15" t="s">
        <v>175</v>
      </c>
      <c r="BZ1742" s="22">
        <v>42900</v>
      </c>
      <c r="CA1742" s="17">
        <v>7</v>
      </c>
      <c r="CB1742" s="15" t="s">
        <v>172</v>
      </c>
      <c r="CC1742" s="17" t="s">
        <v>138</v>
      </c>
      <c r="CD1742" s="15" t="s">
        <v>138</v>
      </c>
      <c r="CE1742" s="15" t="s">
        <v>173</v>
      </c>
      <c r="CF1742" s="15" t="s">
        <v>206</v>
      </c>
      <c r="CG1742" s="15" t="s">
        <v>138</v>
      </c>
      <c r="CH1742" s="15" t="s">
        <v>174</v>
      </c>
      <c r="CI1742" s="15" t="s">
        <v>138</v>
      </c>
      <c r="CJ1742" s="15" t="s">
        <v>138</v>
      </c>
      <c r="CK1742" s="15" t="s">
        <v>138</v>
      </c>
      <c r="CL1742" s="15" t="s">
        <v>175</v>
      </c>
      <c r="CM1742" s="22" t="s">
        <v>138</v>
      </c>
      <c r="CN1742" s="17" t="s">
        <v>138</v>
      </c>
      <c r="CO1742" s="23">
        <v>0.08</v>
      </c>
      <c r="CP1742" s="24">
        <v>89</v>
      </c>
      <c r="CQ1742" s="23">
        <v>-0.01</v>
      </c>
      <c r="CR1742" s="23">
        <v>-11.23</v>
      </c>
      <c r="CS1742" s="23">
        <v>0</v>
      </c>
      <c r="CT1742" s="24">
        <v>23</v>
      </c>
      <c r="CU1742" s="23">
        <v>0.16</v>
      </c>
      <c r="CV1742" s="24">
        <v>76</v>
      </c>
      <c r="CW1742" s="23">
        <v>0</v>
      </c>
      <c r="CX1742" s="24">
        <v>13</v>
      </c>
      <c r="CY1742" s="23">
        <v>0</v>
      </c>
      <c r="CZ1742" s="24">
        <v>25</v>
      </c>
      <c r="DA1742" s="23">
        <v>0.36</v>
      </c>
      <c r="DB1742" s="24">
        <v>91</v>
      </c>
      <c r="DC1742" s="25">
        <v>0.85</v>
      </c>
      <c r="DD1742" s="24">
        <v>47</v>
      </c>
      <c r="DE1742" s="25">
        <v>-0.03</v>
      </c>
      <c r="DF1742" s="23">
        <v>-3.01</v>
      </c>
      <c r="DG1742" s="25">
        <v>1.07</v>
      </c>
      <c r="DH1742" s="24">
        <v>52</v>
      </c>
      <c r="DI1742" s="25">
        <v>0.63</v>
      </c>
      <c r="DJ1742" s="24">
        <v>40</v>
      </c>
      <c r="DK1742" s="25">
        <v>0.9</v>
      </c>
      <c r="DL1742" s="24">
        <v>48</v>
      </c>
      <c r="DM1742" s="25">
        <v>1.24</v>
      </c>
      <c r="DN1742" s="24">
        <v>55</v>
      </c>
      <c r="DO1742" s="25">
        <v>0.91</v>
      </c>
      <c r="DP1742" s="24">
        <v>49</v>
      </c>
      <c r="DQ1742" s="24">
        <v>304</v>
      </c>
      <c r="DR1742" s="26">
        <v>14</v>
      </c>
      <c r="DS1742" s="23">
        <v>4.83</v>
      </c>
      <c r="DT1742" s="24">
        <v>36</v>
      </c>
      <c r="DU1742" s="26">
        <v>0</v>
      </c>
      <c r="DV1742" s="23">
        <v>0</v>
      </c>
      <c r="DW1742" s="24">
        <v>322</v>
      </c>
      <c r="DX1742" s="27">
        <v>0</v>
      </c>
      <c r="DY1742" s="23">
        <v>0</v>
      </c>
      <c r="DZ1742" s="15" t="s">
        <v>178</v>
      </c>
      <c r="EA1742" s="22">
        <v>43354</v>
      </c>
      <c r="EB1742" s="17" t="s">
        <v>138</v>
      </c>
      <c r="EC1742" s="22" t="s">
        <v>138</v>
      </c>
      <c r="ED1742" s="15" t="s">
        <v>138</v>
      </c>
      <c r="EE1742" s="14" t="str">
        <f>HYPERLINK("https://my.pitchbook.com?c=57107-08", "View company online")</f>
        <v>View company online</v>
      </c>
    </row>
    <row r="1743" spans="1:135">
      <c r="A1743" s="28" t="s">
        <v>33152</v>
      </c>
      <c r="B1743" s="28" t="s">
        <v>33153</v>
      </c>
      <c r="C1743" s="28" t="s">
        <v>33154</v>
      </c>
      <c r="D1743" s="28" t="s">
        <v>138</v>
      </c>
      <c r="E1743" s="28" t="s">
        <v>33155</v>
      </c>
      <c r="F1743" s="28" t="s">
        <v>33152</v>
      </c>
      <c r="G1743" s="28" t="s">
        <v>33156</v>
      </c>
      <c r="H1743" s="28" t="s">
        <v>322</v>
      </c>
      <c r="I1743" s="28" t="s">
        <v>1503</v>
      </c>
      <c r="J1743" s="28" t="s">
        <v>1504</v>
      </c>
      <c r="K1743" s="28" t="s">
        <v>10428</v>
      </c>
      <c r="L1743" s="28" t="s">
        <v>359</v>
      </c>
      <c r="M1743" s="28" t="s">
        <v>33157</v>
      </c>
      <c r="N1743" s="28" t="s">
        <v>147</v>
      </c>
      <c r="O1743" s="29">
        <v>37.78</v>
      </c>
      <c r="P1743" s="28" t="s">
        <v>148</v>
      </c>
      <c r="Q1743" s="28" t="s">
        <v>149</v>
      </c>
      <c r="R1743" s="28" t="s">
        <v>244</v>
      </c>
      <c r="S1743" s="28" t="s">
        <v>33158</v>
      </c>
      <c r="T1743" s="30" t="s">
        <v>138</v>
      </c>
      <c r="U1743" s="28" t="s">
        <v>138</v>
      </c>
      <c r="V1743" s="28" t="s">
        <v>138</v>
      </c>
      <c r="W1743" s="28" t="s">
        <v>138</v>
      </c>
      <c r="X1743" s="31">
        <v>2003</v>
      </c>
      <c r="Y1743" s="28" t="s">
        <v>138</v>
      </c>
      <c r="Z1743" s="28" t="s">
        <v>138</v>
      </c>
      <c r="AA1743" s="28" t="s">
        <v>138</v>
      </c>
      <c r="AB1743" s="32" t="s">
        <v>138</v>
      </c>
      <c r="AC1743" s="32" t="s">
        <v>138</v>
      </c>
      <c r="AD1743" s="32" t="s">
        <v>138</v>
      </c>
      <c r="AE1743" s="32" t="s">
        <v>138</v>
      </c>
      <c r="AF1743" s="32" t="s">
        <v>138</v>
      </c>
      <c r="AG1743" s="28" t="s">
        <v>138</v>
      </c>
      <c r="AH1743" s="32" t="s">
        <v>138</v>
      </c>
      <c r="AI1743" s="32" t="s">
        <v>138</v>
      </c>
      <c r="AJ1743" s="32" t="s">
        <v>138</v>
      </c>
      <c r="AK1743" s="28" t="s">
        <v>33159</v>
      </c>
      <c r="AL1743" s="28" t="s">
        <v>33160</v>
      </c>
      <c r="AM1743" s="28" t="s">
        <v>365</v>
      </c>
      <c r="AN1743" s="28" t="s">
        <v>33161</v>
      </c>
      <c r="AO1743" s="28" t="s">
        <v>33162</v>
      </c>
      <c r="AP1743" s="28" t="s">
        <v>33163</v>
      </c>
      <c r="AQ1743" s="28" t="s">
        <v>33164</v>
      </c>
      <c r="AR1743" s="28" t="s">
        <v>33165</v>
      </c>
      <c r="AS1743" s="28" t="s">
        <v>33166</v>
      </c>
      <c r="AT1743" s="28" t="s">
        <v>160</v>
      </c>
      <c r="AU1743" s="28" t="s">
        <v>33167</v>
      </c>
      <c r="AV1743" s="28" t="s">
        <v>162</v>
      </c>
      <c r="AW1743" s="28" t="s">
        <v>33168</v>
      </c>
      <c r="AX1743" s="28" t="s">
        <v>33169</v>
      </c>
      <c r="AY1743" s="28" t="s">
        <v>138</v>
      </c>
      <c r="AZ1743" s="28" t="s">
        <v>164</v>
      </c>
      <c r="BA1743" s="28" t="s">
        <v>165</v>
      </c>
      <c r="BB1743" s="28" t="s">
        <v>33170</v>
      </c>
      <c r="BC1743" s="28" t="s">
        <v>33171</v>
      </c>
      <c r="BD1743" s="33">
        <v>5</v>
      </c>
      <c r="BE1743" s="28" t="s">
        <v>138</v>
      </c>
      <c r="BF1743" s="28" t="s">
        <v>138</v>
      </c>
      <c r="BG1743" s="28" t="s">
        <v>138</v>
      </c>
      <c r="BH1743" s="28" t="s">
        <v>33172</v>
      </c>
      <c r="BI1743" s="28" t="s">
        <v>138</v>
      </c>
      <c r="BJ1743" s="28" t="s">
        <v>138</v>
      </c>
      <c r="BK1743" s="28" t="s">
        <v>33173</v>
      </c>
      <c r="BL1743" s="28" t="s">
        <v>33174</v>
      </c>
      <c r="BM1743" s="34">
        <v>39083</v>
      </c>
      <c r="BN1743" s="29">
        <v>6.2</v>
      </c>
      <c r="BO1743" s="28" t="s">
        <v>172</v>
      </c>
      <c r="BP1743" s="29">
        <v>19.3</v>
      </c>
      <c r="BQ1743" s="28" t="s">
        <v>172</v>
      </c>
      <c r="BR1743" s="28" t="s">
        <v>205</v>
      </c>
      <c r="BS1743" s="28" t="s">
        <v>206</v>
      </c>
      <c r="BT1743" s="28" t="s">
        <v>138</v>
      </c>
      <c r="BU1743" s="28" t="s">
        <v>174</v>
      </c>
      <c r="BV1743" s="28" t="s">
        <v>138</v>
      </c>
      <c r="BW1743" s="28" t="s">
        <v>138</v>
      </c>
      <c r="BX1743" s="28" t="s">
        <v>138</v>
      </c>
      <c r="BY1743" s="28" t="s">
        <v>175</v>
      </c>
      <c r="BZ1743" s="34">
        <v>43508</v>
      </c>
      <c r="CA1743" s="29">
        <v>15.05</v>
      </c>
      <c r="CB1743" s="28" t="s">
        <v>172</v>
      </c>
      <c r="CC1743" s="29">
        <v>71.05</v>
      </c>
      <c r="CD1743" s="28" t="s">
        <v>172</v>
      </c>
      <c r="CE1743" s="28" t="s">
        <v>173</v>
      </c>
      <c r="CF1743" s="28" t="s">
        <v>433</v>
      </c>
      <c r="CG1743" s="28" t="s">
        <v>138</v>
      </c>
      <c r="CH1743" s="28" t="s">
        <v>174</v>
      </c>
      <c r="CI1743" s="28" t="s">
        <v>138</v>
      </c>
      <c r="CJ1743" s="28" t="s">
        <v>138</v>
      </c>
      <c r="CK1743" s="28" t="s">
        <v>138</v>
      </c>
      <c r="CL1743" s="28" t="s">
        <v>175</v>
      </c>
      <c r="CM1743" s="34">
        <v>41099</v>
      </c>
      <c r="CN1743" s="29">
        <v>1</v>
      </c>
      <c r="CO1743" s="35">
        <v>-0.93</v>
      </c>
      <c r="CP1743" s="36">
        <v>12</v>
      </c>
      <c r="CQ1743" s="35">
        <v>0</v>
      </c>
      <c r="CR1743" s="35">
        <v>0</v>
      </c>
      <c r="CS1743" s="35">
        <v>-1.97</v>
      </c>
      <c r="CT1743" s="36">
        <v>9</v>
      </c>
      <c r="CU1743" s="35">
        <v>0.11</v>
      </c>
      <c r="CV1743" s="36">
        <v>70</v>
      </c>
      <c r="CW1743" s="35" t="s">
        <v>138</v>
      </c>
      <c r="CX1743" s="36" t="s">
        <v>138</v>
      </c>
      <c r="CY1743" s="35">
        <v>-1.97</v>
      </c>
      <c r="CZ1743" s="36">
        <v>11</v>
      </c>
      <c r="DA1743" s="35">
        <v>0.11</v>
      </c>
      <c r="DB1743" s="36">
        <v>73</v>
      </c>
      <c r="DC1743" s="37">
        <v>3.32</v>
      </c>
      <c r="DD1743" s="36">
        <v>77</v>
      </c>
      <c r="DE1743" s="37">
        <v>0</v>
      </c>
      <c r="DF1743" s="35">
        <v>0.03</v>
      </c>
      <c r="DG1743" s="37">
        <v>6.31</v>
      </c>
      <c r="DH1743" s="36">
        <v>85</v>
      </c>
      <c r="DI1743" s="37">
        <v>0.33</v>
      </c>
      <c r="DJ1743" s="36">
        <v>30</v>
      </c>
      <c r="DK1743" s="37" t="s">
        <v>138</v>
      </c>
      <c r="DL1743" s="36" t="s">
        <v>138</v>
      </c>
      <c r="DM1743" s="37">
        <v>6.31</v>
      </c>
      <c r="DN1743" s="36">
        <v>84</v>
      </c>
      <c r="DO1743" s="37">
        <v>0.33</v>
      </c>
      <c r="DP1743" s="36">
        <v>31</v>
      </c>
      <c r="DQ1743" s="36">
        <v>332</v>
      </c>
      <c r="DR1743" s="38">
        <v>19</v>
      </c>
      <c r="DS1743" s="35">
        <v>6.07</v>
      </c>
      <c r="DT1743" s="36">
        <v>183</v>
      </c>
      <c r="DU1743" s="38">
        <v>0</v>
      </c>
      <c r="DV1743" s="35">
        <v>0</v>
      </c>
      <c r="DW1743" s="36">
        <v>118</v>
      </c>
      <c r="DX1743" s="39">
        <v>0</v>
      </c>
      <c r="DY1743" s="35">
        <v>0</v>
      </c>
      <c r="DZ1743" s="28" t="s">
        <v>178</v>
      </c>
      <c r="EA1743" s="34">
        <v>43586</v>
      </c>
      <c r="EB1743" s="29">
        <v>71.05</v>
      </c>
      <c r="EC1743" s="34">
        <v>43508</v>
      </c>
      <c r="ED1743" s="28" t="s">
        <v>173</v>
      </c>
      <c r="EE1743" s="40" t="str">
        <f>HYPERLINK("https://my.pitchbook.com?c=51397-84", "View company online")</f>
        <v>View company online</v>
      </c>
    </row>
    <row r="1744" spans="1:135">
      <c r="A1744" s="15" t="s">
        <v>33175</v>
      </c>
      <c r="B1744" s="15" t="s">
        <v>33176</v>
      </c>
      <c r="C1744" s="15" t="s">
        <v>138</v>
      </c>
      <c r="D1744" s="15" t="s">
        <v>138</v>
      </c>
      <c r="E1744" s="15" t="s">
        <v>138</v>
      </c>
      <c r="F1744" s="15" t="s">
        <v>33175</v>
      </c>
      <c r="G1744" s="15" t="s">
        <v>33177</v>
      </c>
      <c r="H1744" s="15" t="s">
        <v>385</v>
      </c>
      <c r="I1744" s="15" t="s">
        <v>15620</v>
      </c>
      <c r="J1744" s="15" t="s">
        <v>15620</v>
      </c>
      <c r="K1744" s="15" t="s">
        <v>30756</v>
      </c>
      <c r="L1744" s="15" t="s">
        <v>10642</v>
      </c>
      <c r="M1744" s="15" t="s">
        <v>33178</v>
      </c>
      <c r="N1744" s="15" t="s">
        <v>147</v>
      </c>
      <c r="O1744" s="17" t="s">
        <v>138</v>
      </c>
      <c r="P1744" s="15" t="s">
        <v>610</v>
      </c>
      <c r="Q1744" s="15" t="s">
        <v>149</v>
      </c>
      <c r="R1744" s="15" t="s">
        <v>174</v>
      </c>
      <c r="S1744" s="15" t="s">
        <v>33179</v>
      </c>
      <c r="T1744" s="18">
        <v>27</v>
      </c>
      <c r="U1744" s="15" t="s">
        <v>22913</v>
      </c>
      <c r="V1744" s="15" t="s">
        <v>138</v>
      </c>
      <c r="W1744" s="15" t="s">
        <v>138</v>
      </c>
      <c r="X1744" s="19">
        <v>2011</v>
      </c>
      <c r="Y1744" s="15" t="s">
        <v>138</v>
      </c>
      <c r="Z1744" s="15" t="s">
        <v>138</v>
      </c>
      <c r="AA1744" s="15" t="s">
        <v>138</v>
      </c>
      <c r="AB1744" s="20" t="s">
        <v>138</v>
      </c>
      <c r="AC1744" s="20" t="s">
        <v>138</v>
      </c>
      <c r="AD1744" s="20" t="s">
        <v>138</v>
      </c>
      <c r="AE1744" s="20" t="s">
        <v>138</v>
      </c>
      <c r="AF1744" s="20" t="s">
        <v>138</v>
      </c>
      <c r="AG1744" s="15" t="s">
        <v>138</v>
      </c>
      <c r="AH1744" s="20" t="s">
        <v>138</v>
      </c>
      <c r="AI1744" s="20" t="s">
        <v>138</v>
      </c>
      <c r="AJ1744" s="20" t="s">
        <v>138</v>
      </c>
      <c r="AK1744" s="15" t="s">
        <v>33180</v>
      </c>
      <c r="AL1744" s="15" t="s">
        <v>33181</v>
      </c>
      <c r="AM1744" s="15" t="s">
        <v>566</v>
      </c>
      <c r="AN1744" s="15" t="s">
        <v>33182</v>
      </c>
      <c r="AO1744" s="15" t="s">
        <v>33183</v>
      </c>
      <c r="AP1744" s="15" t="s">
        <v>15408</v>
      </c>
      <c r="AQ1744" s="15" t="s">
        <v>33184</v>
      </c>
      <c r="AR1744" s="15" t="s">
        <v>1170</v>
      </c>
      <c r="AS1744" s="15" t="s">
        <v>15411</v>
      </c>
      <c r="AT1744" s="15" t="s">
        <v>15412</v>
      </c>
      <c r="AU1744" s="15" t="s">
        <v>33185</v>
      </c>
      <c r="AV1744" s="15" t="s">
        <v>2742</v>
      </c>
      <c r="AW1744" s="15" t="s">
        <v>33186</v>
      </c>
      <c r="AX1744" s="15" t="s">
        <v>138</v>
      </c>
      <c r="AY1744" s="15" t="s">
        <v>33187</v>
      </c>
      <c r="AZ1744" s="15" t="s">
        <v>164</v>
      </c>
      <c r="BA1744" s="15" t="s">
        <v>165</v>
      </c>
      <c r="BB1744" s="15" t="s">
        <v>33188</v>
      </c>
      <c r="BC1744" s="15" t="s">
        <v>33189</v>
      </c>
      <c r="BD1744" s="21">
        <v>1</v>
      </c>
      <c r="BE1744" s="15" t="s">
        <v>138</v>
      </c>
      <c r="BF1744" s="15" t="s">
        <v>138</v>
      </c>
      <c r="BG1744" s="15" t="s">
        <v>138</v>
      </c>
      <c r="BH1744" s="15" t="s">
        <v>138</v>
      </c>
      <c r="BI1744" s="15" t="s">
        <v>138</v>
      </c>
      <c r="BJ1744" s="15" t="s">
        <v>138</v>
      </c>
      <c r="BK1744" s="15" t="s">
        <v>138</v>
      </c>
      <c r="BL1744" s="15" t="s">
        <v>138</v>
      </c>
      <c r="BM1744" s="22" t="s">
        <v>138</v>
      </c>
      <c r="BN1744" s="17" t="s">
        <v>138</v>
      </c>
      <c r="BO1744" s="15" t="s">
        <v>138</v>
      </c>
      <c r="BP1744" s="17" t="s">
        <v>138</v>
      </c>
      <c r="BQ1744" s="15" t="s">
        <v>138</v>
      </c>
      <c r="BR1744" s="15" t="s">
        <v>205</v>
      </c>
      <c r="BS1744" s="15" t="s">
        <v>138</v>
      </c>
      <c r="BT1744" s="15" t="s">
        <v>138</v>
      </c>
      <c r="BU1744" s="15" t="s">
        <v>174</v>
      </c>
      <c r="BV1744" s="15" t="s">
        <v>138</v>
      </c>
      <c r="BW1744" s="15" t="s">
        <v>138</v>
      </c>
      <c r="BX1744" s="15" t="s">
        <v>138</v>
      </c>
      <c r="BY1744" s="15" t="s">
        <v>175</v>
      </c>
      <c r="BZ1744" s="22" t="s">
        <v>138</v>
      </c>
      <c r="CA1744" s="17" t="s">
        <v>138</v>
      </c>
      <c r="CB1744" s="15" t="s">
        <v>138</v>
      </c>
      <c r="CC1744" s="17" t="s">
        <v>138</v>
      </c>
      <c r="CD1744" s="15" t="s">
        <v>138</v>
      </c>
      <c r="CE1744" s="15" t="s">
        <v>205</v>
      </c>
      <c r="CF1744" s="15" t="s">
        <v>138</v>
      </c>
      <c r="CG1744" s="15" t="s">
        <v>138</v>
      </c>
      <c r="CH1744" s="15" t="s">
        <v>174</v>
      </c>
      <c r="CI1744" s="15" t="s">
        <v>138</v>
      </c>
      <c r="CJ1744" s="15" t="s">
        <v>138</v>
      </c>
      <c r="CK1744" s="15" t="s">
        <v>138</v>
      </c>
      <c r="CL1744" s="15" t="s">
        <v>175</v>
      </c>
      <c r="CM1744" s="22" t="s">
        <v>138</v>
      </c>
      <c r="CN1744" s="17" t="s">
        <v>138</v>
      </c>
      <c r="CO1744" s="23">
        <v>0.03</v>
      </c>
      <c r="CP1744" s="24">
        <v>86</v>
      </c>
      <c r="CQ1744" s="23">
        <v>0</v>
      </c>
      <c r="CR1744" s="23">
        <v>0</v>
      </c>
      <c r="CS1744" s="23" t="s">
        <v>138</v>
      </c>
      <c r="CT1744" s="24" t="s">
        <v>138</v>
      </c>
      <c r="CU1744" s="23">
        <v>0.03</v>
      </c>
      <c r="CV1744" s="24">
        <v>54</v>
      </c>
      <c r="CW1744" s="23" t="s">
        <v>138</v>
      </c>
      <c r="CX1744" s="24" t="s">
        <v>138</v>
      </c>
      <c r="CY1744" s="23" t="s">
        <v>138</v>
      </c>
      <c r="CZ1744" s="24" t="s">
        <v>138</v>
      </c>
      <c r="DA1744" s="23">
        <v>0.21</v>
      </c>
      <c r="DB1744" s="24">
        <v>83</v>
      </c>
      <c r="DC1744" s="25">
        <v>0.35</v>
      </c>
      <c r="DD1744" s="24">
        <v>26</v>
      </c>
      <c r="DE1744" s="25">
        <v>0</v>
      </c>
      <c r="DF1744" s="23">
        <v>0.77</v>
      </c>
      <c r="DG1744" s="25" t="s">
        <v>138</v>
      </c>
      <c r="DH1744" s="24" t="s">
        <v>138</v>
      </c>
      <c r="DI1744" s="25">
        <v>0.35</v>
      </c>
      <c r="DJ1744" s="24">
        <v>30</v>
      </c>
      <c r="DK1744" s="25" t="s">
        <v>138</v>
      </c>
      <c r="DL1744" s="24" t="s">
        <v>138</v>
      </c>
      <c r="DM1744" s="25" t="s">
        <v>138</v>
      </c>
      <c r="DN1744" s="24" t="s">
        <v>138</v>
      </c>
      <c r="DO1744" s="25">
        <v>0.51</v>
      </c>
      <c r="DP1744" s="24">
        <v>38</v>
      </c>
      <c r="DQ1744" s="24" t="s">
        <v>138</v>
      </c>
      <c r="DR1744" s="26" t="s">
        <v>138</v>
      </c>
      <c r="DS1744" s="23" t="s">
        <v>138</v>
      </c>
      <c r="DT1744" s="24" t="s">
        <v>138</v>
      </c>
      <c r="DU1744" s="26" t="s">
        <v>138</v>
      </c>
      <c r="DV1744" s="23" t="s">
        <v>138</v>
      </c>
      <c r="DW1744" s="24">
        <v>183</v>
      </c>
      <c r="DX1744" s="27">
        <v>0</v>
      </c>
      <c r="DY1744" s="23">
        <v>0</v>
      </c>
      <c r="DZ1744" s="15" t="s">
        <v>178</v>
      </c>
      <c r="EA1744" s="22">
        <v>43440</v>
      </c>
      <c r="EB1744" s="17" t="s">
        <v>138</v>
      </c>
      <c r="EC1744" s="22" t="s">
        <v>138</v>
      </c>
      <c r="ED1744" s="15" t="s">
        <v>138</v>
      </c>
      <c r="EE1744" s="14" t="str">
        <f>HYPERLINK("https://my.pitchbook.com?c=110399-68", "View company online")</f>
        <v>View company online</v>
      </c>
    </row>
    <row r="1745" spans="1:135">
      <c r="A1745" s="28" t="s">
        <v>33190</v>
      </c>
      <c r="B1745" s="28" t="s">
        <v>33191</v>
      </c>
      <c r="C1745" s="28" t="s">
        <v>33192</v>
      </c>
      <c r="D1745" s="28" t="s">
        <v>33193</v>
      </c>
      <c r="E1745" s="28" t="s">
        <v>33194</v>
      </c>
      <c r="F1745" s="28" t="s">
        <v>33190</v>
      </c>
      <c r="G1745" s="28" t="s">
        <v>33195</v>
      </c>
      <c r="H1745" s="28" t="s">
        <v>322</v>
      </c>
      <c r="I1745" s="28" t="s">
        <v>356</v>
      </c>
      <c r="J1745" s="28" t="s">
        <v>3852</v>
      </c>
      <c r="K1745" s="28" t="s">
        <v>33196</v>
      </c>
      <c r="L1745" s="28" t="s">
        <v>1972</v>
      </c>
      <c r="M1745" s="28" t="s">
        <v>33197</v>
      </c>
      <c r="N1745" s="28" t="s">
        <v>147</v>
      </c>
      <c r="O1745" s="29">
        <v>52.99</v>
      </c>
      <c r="P1745" s="28" t="s">
        <v>148</v>
      </c>
      <c r="Q1745" s="28" t="s">
        <v>149</v>
      </c>
      <c r="R1745" s="28" t="s">
        <v>244</v>
      </c>
      <c r="S1745" s="28" t="s">
        <v>33198</v>
      </c>
      <c r="T1745" s="30">
        <v>50</v>
      </c>
      <c r="U1745" s="28" t="s">
        <v>33199</v>
      </c>
      <c r="V1745" s="28" t="s">
        <v>138</v>
      </c>
      <c r="W1745" s="28" t="s">
        <v>138</v>
      </c>
      <c r="X1745" s="31">
        <v>2006</v>
      </c>
      <c r="Y1745" s="28" t="s">
        <v>138</v>
      </c>
      <c r="Z1745" s="28" t="s">
        <v>1163</v>
      </c>
      <c r="AA1745" s="28" t="s">
        <v>1163</v>
      </c>
      <c r="AB1745" s="32" t="s">
        <v>138</v>
      </c>
      <c r="AC1745" s="32" t="s">
        <v>138</v>
      </c>
      <c r="AD1745" s="32" t="s">
        <v>138</v>
      </c>
      <c r="AE1745" s="32" t="s">
        <v>138</v>
      </c>
      <c r="AF1745" s="32" t="s">
        <v>138</v>
      </c>
      <c r="AG1745" s="28" t="s">
        <v>138</v>
      </c>
      <c r="AH1745" s="32" t="s">
        <v>138</v>
      </c>
      <c r="AI1745" s="32" t="s">
        <v>138</v>
      </c>
      <c r="AJ1745" s="32" t="s">
        <v>138</v>
      </c>
      <c r="AK1745" s="28" t="s">
        <v>33200</v>
      </c>
      <c r="AL1745" s="28" t="s">
        <v>33201</v>
      </c>
      <c r="AM1745" s="28" t="s">
        <v>4689</v>
      </c>
      <c r="AN1745" s="28" t="s">
        <v>33202</v>
      </c>
      <c r="AO1745" s="28" t="s">
        <v>33203</v>
      </c>
      <c r="AP1745" s="28" t="s">
        <v>3839</v>
      </c>
      <c r="AQ1745" s="28" t="s">
        <v>33204</v>
      </c>
      <c r="AR1745" s="28" t="s">
        <v>282</v>
      </c>
      <c r="AS1745" s="28" t="s">
        <v>3841</v>
      </c>
      <c r="AT1745" s="28" t="s">
        <v>200</v>
      </c>
      <c r="AU1745" s="28" t="s">
        <v>3842</v>
      </c>
      <c r="AV1745" s="28" t="s">
        <v>162</v>
      </c>
      <c r="AW1745" s="28" t="s">
        <v>33203</v>
      </c>
      <c r="AX1745" s="28" t="s">
        <v>138</v>
      </c>
      <c r="AY1745" s="28" t="s">
        <v>33205</v>
      </c>
      <c r="AZ1745" s="28" t="s">
        <v>164</v>
      </c>
      <c r="BA1745" s="28" t="s">
        <v>165</v>
      </c>
      <c r="BB1745" s="28" t="s">
        <v>33206</v>
      </c>
      <c r="BC1745" s="28" t="s">
        <v>33207</v>
      </c>
      <c r="BD1745" s="33">
        <v>4</v>
      </c>
      <c r="BE1745" s="28" t="s">
        <v>138</v>
      </c>
      <c r="BF1745" s="28" t="s">
        <v>138</v>
      </c>
      <c r="BG1745" s="28" t="s">
        <v>138</v>
      </c>
      <c r="BH1745" s="28" t="s">
        <v>33208</v>
      </c>
      <c r="BI1745" s="28" t="s">
        <v>138</v>
      </c>
      <c r="BJ1745" s="28" t="s">
        <v>138</v>
      </c>
      <c r="BK1745" s="28" t="s">
        <v>1038</v>
      </c>
      <c r="BL1745" s="28" t="s">
        <v>1038</v>
      </c>
      <c r="BM1745" s="34">
        <v>41466</v>
      </c>
      <c r="BN1745" s="29">
        <v>7.79</v>
      </c>
      <c r="BO1745" s="28" t="s">
        <v>172</v>
      </c>
      <c r="BP1745" s="29">
        <v>19.239999999999998</v>
      </c>
      <c r="BQ1745" s="28" t="s">
        <v>172</v>
      </c>
      <c r="BR1745" s="28" t="s">
        <v>173</v>
      </c>
      <c r="BS1745" s="28" t="s">
        <v>206</v>
      </c>
      <c r="BT1745" s="28" t="s">
        <v>138</v>
      </c>
      <c r="BU1745" s="28" t="s">
        <v>174</v>
      </c>
      <c r="BV1745" s="28" t="s">
        <v>138</v>
      </c>
      <c r="BW1745" s="28" t="s">
        <v>138</v>
      </c>
      <c r="BX1745" s="28" t="s">
        <v>138</v>
      </c>
      <c r="BY1745" s="28" t="s">
        <v>175</v>
      </c>
      <c r="BZ1745" s="34">
        <v>42989</v>
      </c>
      <c r="CA1745" s="29">
        <v>27</v>
      </c>
      <c r="CB1745" s="28" t="s">
        <v>172</v>
      </c>
      <c r="CC1745" s="29">
        <v>197</v>
      </c>
      <c r="CD1745" s="28" t="s">
        <v>172</v>
      </c>
      <c r="CE1745" s="28" t="s">
        <v>173</v>
      </c>
      <c r="CF1745" s="28" t="s">
        <v>317</v>
      </c>
      <c r="CG1745" s="28" t="s">
        <v>138</v>
      </c>
      <c r="CH1745" s="28" t="s">
        <v>174</v>
      </c>
      <c r="CI1745" s="28" t="s">
        <v>138</v>
      </c>
      <c r="CJ1745" s="28" t="s">
        <v>138</v>
      </c>
      <c r="CK1745" s="28" t="s">
        <v>138</v>
      </c>
      <c r="CL1745" s="28" t="s">
        <v>175</v>
      </c>
      <c r="CM1745" s="34">
        <v>42738</v>
      </c>
      <c r="CN1745" s="29">
        <v>2</v>
      </c>
      <c r="CO1745" s="35">
        <v>-0.99</v>
      </c>
      <c r="CP1745" s="36">
        <v>11</v>
      </c>
      <c r="CQ1745" s="35">
        <v>0.25</v>
      </c>
      <c r="CR1745" s="35">
        <v>20.059999999999999</v>
      </c>
      <c r="CS1745" s="35">
        <v>-1.98</v>
      </c>
      <c r="CT1745" s="36">
        <v>9</v>
      </c>
      <c r="CU1745" s="35">
        <v>0</v>
      </c>
      <c r="CV1745" s="36">
        <v>22</v>
      </c>
      <c r="CW1745" s="35" t="s">
        <v>138</v>
      </c>
      <c r="CX1745" s="36" t="s">
        <v>138</v>
      </c>
      <c r="CY1745" s="35">
        <v>-1.98</v>
      </c>
      <c r="CZ1745" s="36">
        <v>11</v>
      </c>
      <c r="DA1745" s="35" t="s">
        <v>138</v>
      </c>
      <c r="DB1745" s="36" t="s">
        <v>138</v>
      </c>
      <c r="DC1745" s="37">
        <v>1.79</v>
      </c>
      <c r="DD1745" s="36">
        <v>65</v>
      </c>
      <c r="DE1745" s="37">
        <v>0</v>
      </c>
      <c r="DF1745" s="35">
        <v>0</v>
      </c>
      <c r="DG1745" s="37">
        <v>3.55</v>
      </c>
      <c r="DH1745" s="36">
        <v>77</v>
      </c>
      <c r="DI1745" s="37">
        <v>0.02</v>
      </c>
      <c r="DJ1745" s="36">
        <v>4</v>
      </c>
      <c r="DK1745" s="37" t="s">
        <v>138</v>
      </c>
      <c r="DL1745" s="36" t="s">
        <v>138</v>
      </c>
      <c r="DM1745" s="37">
        <v>3.55</v>
      </c>
      <c r="DN1745" s="36">
        <v>76</v>
      </c>
      <c r="DO1745" s="37" t="s">
        <v>138</v>
      </c>
      <c r="DP1745" s="36" t="s">
        <v>138</v>
      </c>
      <c r="DQ1745" s="36">
        <v>218</v>
      </c>
      <c r="DR1745" s="38">
        <v>-38</v>
      </c>
      <c r="DS1745" s="35">
        <v>-14.84</v>
      </c>
      <c r="DT1745" s="36">
        <v>103</v>
      </c>
      <c r="DU1745" s="38">
        <v>0</v>
      </c>
      <c r="DV1745" s="35">
        <v>0</v>
      </c>
      <c r="DW1745" s="36" t="s">
        <v>138</v>
      </c>
      <c r="DX1745" s="39" t="s">
        <v>138</v>
      </c>
      <c r="DY1745" s="35" t="s">
        <v>138</v>
      </c>
      <c r="DZ1745" s="28" t="s">
        <v>178</v>
      </c>
      <c r="EA1745" s="34">
        <v>43622</v>
      </c>
      <c r="EB1745" s="29">
        <v>197</v>
      </c>
      <c r="EC1745" s="34">
        <v>42989</v>
      </c>
      <c r="ED1745" s="28" t="s">
        <v>173</v>
      </c>
      <c r="EE1745" s="40" t="str">
        <f>HYPERLINK("https://my.pitchbook.com?c=57939-22", "View company online")</f>
        <v>View company online</v>
      </c>
    </row>
    <row r="1746" spans="1:135">
      <c r="A1746" s="15" t="s">
        <v>33209</v>
      </c>
      <c r="B1746" s="15" t="s">
        <v>33210</v>
      </c>
      <c r="C1746" s="15" t="s">
        <v>138</v>
      </c>
      <c r="D1746" s="15" t="s">
        <v>138</v>
      </c>
      <c r="E1746" s="15" t="s">
        <v>33211</v>
      </c>
      <c r="F1746" s="15" t="s">
        <v>33209</v>
      </c>
      <c r="G1746" s="15" t="s">
        <v>33212</v>
      </c>
      <c r="H1746" s="15" t="s">
        <v>322</v>
      </c>
      <c r="I1746" s="15" t="s">
        <v>323</v>
      </c>
      <c r="J1746" s="15" t="s">
        <v>324</v>
      </c>
      <c r="K1746" s="15" t="s">
        <v>33213</v>
      </c>
      <c r="L1746" s="15" t="s">
        <v>326</v>
      </c>
      <c r="M1746" s="15" t="s">
        <v>33214</v>
      </c>
      <c r="N1746" s="15" t="s">
        <v>147</v>
      </c>
      <c r="O1746" s="17">
        <v>97.28</v>
      </c>
      <c r="P1746" s="15" t="s">
        <v>148</v>
      </c>
      <c r="Q1746" s="15" t="s">
        <v>149</v>
      </c>
      <c r="R1746" s="15" t="s">
        <v>174</v>
      </c>
      <c r="S1746" s="15" t="s">
        <v>33215</v>
      </c>
      <c r="T1746" s="18">
        <v>280</v>
      </c>
      <c r="U1746" s="15" t="s">
        <v>33216</v>
      </c>
      <c r="V1746" s="15" t="s">
        <v>138</v>
      </c>
      <c r="W1746" s="15" t="s">
        <v>138</v>
      </c>
      <c r="X1746" s="19">
        <v>2009</v>
      </c>
      <c r="Y1746" s="15" t="s">
        <v>138</v>
      </c>
      <c r="Z1746" s="15" t="s">
        <v>138</v>
      </c>
      <c r="AA1746" s="15" t="s">
        <v>138</v>
      </c>
      <c r="AB1746" s="20">
        <v>0.1</v>
      </c>
      <c r="AC1746" s="20" t="s">
        <v>138</v>
      </c>
      <c r="AD1746" s="20" t="s">
        <v>138</v>
      </c>
      <c r="AE1746" s="20" t="s">
        <v>138</v>
      </c>
      <c r="AF1746" s="20" t="s">
        <v>138</v>
      </c>
      <c r="AG1746" s="15" t="s">
        <v>707</v>
      </c>
      <c r="AH1746" s="20" t="s">
        <v>138</v>
      </c>
      <c r="AI1746" s="20" t="s">
        <v>138</v>
      </c>
      <c r="AJ1746" s="20" t="s">
        <v>138</v>
      </c>
      <c r="AK1746" s="15" t="s">
        <v>33217</v>
      </c>
      <c r="AL1746" s="15" t="s">
        <v>33218</v>
      </c>
      <c r="AM1746" s="15" t="s">
        <v>249</v>
      </c>
      <c r="AN1746" s="15" t="s">
        <v>33219</v>
      </c>
      <c r="AO1746" s="15" t="s">
        <v>138</v>
      </c>
      <c r="AP1746" s="15" t="s">
        <v>964</v>
      </c>
      <c r="AQ1746" s="15" t="s">
        <v>33220</v>
      </c>
      <c r="AR1746" s="15" t="s">
        <v>138</v>
      </c>
      <c r="AS1746" s="15" t="s">
        <v>966</v>
      </c>
      <c r="AT1746" s="15" t="s">
        <v>200</v>
      </c>
      <c r="AU1746" s="15" t="s">
        <v>1590</v>
      </c>
      <c r="AV1746" s="15" t="s">
        <v>162</v>
      </c>
      <c r="AW1746" s="15" t="s">
        <v>33221</v>
      </c>
      <c r="AX1746" s="15" t="s">
        <v>33222</v>
      </c>
      <c r="AY1746" s="15" t="s">
        <v>138</v>
      </c>
      <c r="AZ1746" s="15" t="s">
        <v>164</v>
      </c>
      <c r="BA1746" s="15" t="s">
        <v>165</v>
      </c>
      <c r="BB1746" s="15" t="s">
        <v>33223</v>
      </c>
      <c r="BC1746" s="15" t="s">
        <v>33224</v>
      </c>
      <c r="BD1746" s="21">
        <v>7</v>
      </c>
      <c r="BE1746" s="15" t="s">
        <v>138</v>
      </c>
      <c r="BF1746" s="15" t="s">
        <v>5604</v>
      </c>
      <c r="BG1746" s="15" t="s">
        <v>138</v>
      </c>
      <c r="BH1746" s="15" t="s">
        <v>33225</v>
      </c>
      <c r="BI1746" s="15" t="s">
        <v>5606</v>
      </c>
      <c r="BJ1746" s="15" t="s">
        <v>138</v>
      </c>
      <c r="BK1746" s="15" t="s">
        <v>33226</v>
      </c>
      <c r="BL1746" s="15" t="s">
        <v>290</v>
      </c>
      <c r="BM1746" s="22">
        <v>39867</v>
      </c>
      <c r="BN1746" s="17">
        <v>5.28</v>
      </c>
      <c r="BO1746" s="15" t="s">
        <v>172</v>
      </c>
      <c r="BP1746" s="17">
        <v>12.28</v>
      </c>
      <c r="BQ1746" s="15" t="s">
        <v>172</v>
      </c>
      <c r="BR1746" s="15" t="s">
        <v>205</v>
      </c>
      <c r="BS1746" s="15" t="s">
        <v>206</v>
      </c>
      <c r="BT1746" s="15" t="s">
        <v>138</v>
      </c>
      <c r="BU1746" s="15" t="s">
        <v>174</v>
      </c>
      <c r="BV1746" s="15" t="s">
        <v>138</v>
      </c>
      <c r="BW1746" s="15" t="s">
        <v>138</v>
      </c>
      <c r="BX1746" s="15" t="s">
        <v>138</v>
      </c>
      <c r="BY1746" s="15" t="s">
        <v>175</v>
      </c>
      <c r="BZ1746" s="22">
        <v>43437</v>
      </c>
      <c r="CA1746" s="17" t="s">
        <v>138</v>
      </c>
      <c r="CB1746" s="15" t="s">
        <v>138</v>
      </c>
      <c r="CC1746" s="17" t="s">
        <v>138</v>
      </c>
      <c r="CD1746" s="15" t="s">
        <v>138</v>
      </c>
      <c r="CE1746" s="15" t="s">
        <v>379</v>
      </c>
      <c r="CF1746" s="15" t="s">
        <v>138</v>
      </c>
      <c r="CG1746" s="15" t="s">
        <v>138</v>
      </c>
      <c r="CH1746" s="15" t="s">
        <v>174</v>
      </c>
      <c r="CI1746" s="15" t="s">
        <v>138</v>
      </c>
      <c r="CJ1746" s="15" t="s">
        <v>138</v>
      </c>
      <c r="CK1746" s="15" t="s">
        <v>138</v>
      </c>
      <c r="CL1746" s="15" t="s">
        <v>175</v>
      </c>
      <c r="CM1746" s="22" t="s">
        <v>138</v>
      </c>
      <c r="CN1746" s="17" t="s">
        <v>138</v>
      </c>
      <c r="CO1746" s="23">
        <v>-0.81</v>
      </c>
      <c r="CP1746" s="24">
        <v>13</v>
      </c>
      <c r="CQ1746" s="23">
        <v>-7.0000000000000007E-2</v>
      </c>
      <c r="CR1746" s="23">
        <v>-9.67</v>
      </c>
      <c r="CS1746" s="23">
        <v>-3.4</v>
      </c>
      <c r="CT1746" s="24">
        <v>4</v>
      </c>
      <c r="CU1746" s="23">
        <v>0.08</v>
      </c>
      <c r="CV1746" s="24">
        <v>64</v>
      </c>
      <c r="CW1746" s="23">
        <v>-3.91</v>
      </c>
      <c r="CX1746" s="24">
        <v>4</v>
      </c>
      <c r="CY1746" s="23">
        <v>-2.89</v>
      </c>
      <c r="CZ1746" s="24">
        <v>7</v>
      </c>
      <c r="DA1746" s="23" t="s">
        <v>138</v>
      </c>
      <c r="DB1746" s="24" t="s">
        <v>138</v>
      </c>
      <c r="DC1746" s="25">
        <v>11.61</v>
      </c>
      <c r="DD1746" s="24">
        <v>91</v>
      </c>
      <c r="DE1746" s="25">
        <v>-0.17</v>
      </c>
      <c r="DF1746" s="23">
        <v>-1.44</v>
      </c>
      <c r="DG1746" s="25">
        <v>31.75</v>
      </c>
      <c r="DH1746" s="24">
        <v>97</v>
      </c>
      <c r="DI1746" s="25">
        <v>2.56</v>
      </c>
      <c r="DJ1746" s="24">
        <v>67</v>
      </c>
      <c r="DK1746" s="25">
        <v>8.7100000000000009</v>
      </c>
      <c r="DL1746" s="24">
        <v>85</v>
      </c>
      <c r="DM1746" s="25">
        <v>54.79</v>
      </c>
      <c r="DN1746" s="24">
        <v>98</v>
      </c>
      <c r="DO1746" s="25" t="s">
        <v>138</v>
      </c>
      <c r="DP1746" s="24" t="s">
        <v>138</v>
      </c>
      <c r="DQ1746" s="24">
        <v>3118</v>
      </c>
      <c r="DR1746" s="26">
        <v>-391</v>
      </c>
      <c r="DS1746" s="23">
        <v>-11.14</v>
      </c>
      <c r="DT1746" s="24">
        <v>1587</v>
      </c>
      <c r="DU1746" s="26">
        <v>1</v>
      </c>
      <c r="DV1746" s="23">
        <v>0.06</v>
      </c>
      <c r="DW1746" s="24">
        <v>3892</v>
      </c>
      <c r="DX1746" s="27">
        <v>-2</v>
      </c>
      <c r="DY1746" s="23">
        <v>-0.05</v>
      </c>
      <c r="DZ1746" s="15" t="s">
        <v>178</v>
      </c>
      <c r="EA1746" s="22">
        <v>43622</v>
      </c>
      <c r="EB1746" s="17">
        <v>527.49</v>
      </c>
      <c r="EC1746" s="22">
        <v>42398</v>
      </c>
      <c r="ED1746" s="15" t="s">
        <v>173</v>
      </c>
      <c r="EE1746" s="14" t="str">
        <f>HYPERLINK("https://my.pitchbook.com?c=53350-48", "View company online")</f>
        <v>View company online</v>
      </c>
    </row>
    <row r="1747" spans="1:135">
      <c r="A1747" s="28" t="s">
        <v>33227</v>
      </c>
      <c r="B1747" s="28" t="s">
        <v>33228</v>
      </c>
      <c r="C1747" s="28" t="s">
        <v>33229</v>
      </c>
      <c r="D1747" s="28" t="s">
        <v>138</v>
      </c>
      <c r="E1747" s="28" t="s">
        <v>33230</v>
      </c>
      <c r="F1747" s="28" t="s">
        <v>33227</v>
      </c>
      <c r="G1747" s="28" t="s">
        <v>33231</v>
      </c>
      <c r="H1747" s="28" t="s">
        <v>183</v>
      </c>
      <c r="I1747" s="28" t="s">
        <v>184</v>
      </c>
      <c r="J1747" s="28" t="s">
        <v>2141</v>
      </c>
      <c r="K1747" s="28" t="s">
        <v>33232</v>
      </c>
      <c r="L1747" s="28" t="s">
        <v>33233</v>
      </c>
      <c r="M1747" s="28" t="s">
        <v>33234</v>
      </c>
      <c r="N1747" s="28" t="s">
        <v>147</v>
      </c>
      <c r="O1747" s="29">
        <v>15.01</v>
      </c>
      <c r="P1747" s="28" t="s">
        <v>148</v>
      </c>
      <c r="Q1747" s="28" t="s">
        <v>149</v>
      </c>
      <c r="R1747" s="28" t="s">
        <v>174</v>
      </c>
      <c r="S1747" s="28" t="s">
        <v>33235</v>
      </c>
      <c r="T1747" s="30">
        <v>17</v>
      </c>
      <c r="U1747" s="28" t="s">
        <v>33236</v>
      </c>
      <c r="V1747" s="28" t="s">
        <v>138</v>
      </c>
      <c r="W1747" s="28" t="s">
        <v>138</v>
      </c>
      <c r="X1747" s="31">
        <v>2014</v>
      </c>
      <c r="Y1747" s="28" t="s">
        <v>138</v>
      </c>
      <c r="Z1747" s="28" t="s">
        <v>138</v>
      </c>
      <c r="AA1747" s="28" t="s">
        <v>138</v>
      </c>
      <c r="AB1747" s="32" t="s">
        <v>138</v>
      </c>
      <c r="AC1747" s="32" t="s">
        <v>138</v>
      </c>
      <c r="AD1747" s="32" t="s">
        <v>138</v>
      </c>
      <c r="AE1747" s="32" t="s">
        <v>138</v>
      </c>
      <c r="AF1747" s="32" t="s">
        <v>138</v>
      </c>
      <c r="AG1747" s="28" t="s">
        <v>138</v>
      </c>
      <c r="AH1747" s="32" t="s">
        <v>138</v>
      </c>
      <c r="AI1747" s="32" t="s">
        <v>138</v>
      </c>
      <c r="AJ1747" s="32" t="s">
        <v>138</v>
      </c>
      <c r="AK1747" s="28" t="s">
        <v>33237</v>
      </c>
      <c r="AL1747" s="28" t="s">
        <v>33238</v>
      </c>
      <c r="AM1747" s="28" t="s">
        <v>2794</v>
      </c>
      <c r="AN1747" s="28" t="s">
        <v>33239</v>
      </c>
      <c r="AO1747" s="28" t="s">
        <v>33240</v>
      </c>
      <c r="AP1747" s="28" t="s">
        <v>665</v>
      </c>
      <c r="AQ1747" s="28" t="s">
        <v>33241</v>
      </c>
      <c r="AR1747" s="28" t="s">
        <v>26974</v>
      </c>
      <c r="AS1747" s="28" t="s">
        <v>668</v>
      </c>
      <c r="AT1747" s="28" t="s">
        <v>200</v>
      </c>
      <c r="AU1747" s="28" t="s">
        <v>669</v>
      </c>
      <c r="AV1747" s="28" t="s">
        <v>162</v>
      </c>
      <c r="AW1747" s="28" t="s">
        <v>33240</v>
      </c>
      <c r="AX1747" s="28" t="s">
        <v>138</v>
      </c>
      <c r="AY1747" s="28" t="s">
        <v>33242</v>
      </c>
      <c r="AZ1747" s="28" t="s">
        <v>164</v>
      </c>
      <c r="BA1747" s="28" t="s">
        <v>165</v>
      </c>
      <c r="BB1747" s="28" t="s">
        <v>33243</v>
      </c>
      <c r="BC1747" s="28" t="s">
        <v>33244</v>
      </c>
      <c r="BD1747" s="33">
        <v>26</v>
      </c>
      <c r="BE1747" s="28" t="s">
        <v>138</v>
      </c>
      <c r="BF1747" s="28" t="s">
        <v>138</v>
      </c>
      <c r="BG1747" s="28" t="s">
        <v>138</v>
      </c>
      <c r="BH1747" s="28" t="s">
        <v>33245</v>
      </c>
      <c r="BI1747" s="28" t="s">
        <v>138</v>
      </c>
      <c r="BJ1747" s="28" t="s">
        <v>138</v>
      </c>
      <c r="BK1747" s="28" t="s">
        <v>33246</v>
      </c>
      <c r="BL1747" s="28" t="s">
        <v>3482</v>
      </c>
      <c r="BM1747" s="34">
        <v>41729</v>
      </c>
      <c r="BN1747" s="29">
        <v>0.5</v>
      </c>
      <c r="BO1747" s="28" t="s">
        <v>172</v>
      </c>
      <c r="BP1747" s="29" t="s">
        <v>138</v>
      </c>
      <c r="BQ1747" s="28" t="s">
        <v>138</v>
      </c>
      <c r="BR1747" s="28" t="s">
        <v>316</v>
      </c>
      <c r="BS1747" s="28" t="s">
        <v>138</v>
      </c>
      <c r="BT1747" s="28" t="s">
        <v>138</v>
      </c>
      <c r="BU1747" s="28" t="s">
        <v>177</v>
      </c>
      <c r="BV1747" s="28" t="s">
        <v>138</v>
      </c>
      <c r="BW1747" s="28" t="s">
        <v>138</v>
      </c>
      <c r="BX1747" s="28" t="s">
        <v>138</v>
      </c>
      <c r="BY1747" s="28" t="s">
        <v>175</v>
      </c>
      <c r="BZ1747" s="34">
        <v>43307</v>
      </c>
      <c r="CA1747" s="29">
        <v>8.11</v>
      </c>
      <c r="CB1747" s="28" t="s">
        <v>172</v>
      </c>
      <c r="CC1747" s="29">
        <v>24.61</v>
      </c>
      <c r="CD1747" s="28" t="s">
        <v>172</v>
      </c>
      <c r="CE1747" s="28" t="s">
        <v>205</v>
      </c>
      <c r="CF1747" s="28" t="s">
        <v>206</v>
      </c>
      <c r="CG1747" s="28" t="s">
        <v>138</v>
      </c>
      <c r="CH1747" s="28" t="s">
        <v>174</v>
      </c>
      <c r="CI1747" s="28" t="s">
        <v>138</v>
      </c>
      <c r="CJ1747" s="28" t="s">
        <v>138</v>
      </c>
      <c r="CK1747" s="28" t="s">
        <v>138</v>
      </c>
      <c r="CL1747" s="28" t="s">
        <v>175</v>
      </c>
      <c r="CM1747" s="34" t="s">
        <v>138</v>
      </c>
      <c r="CN1747" s="29" t="s">
        <v>138</v>
      </c>
      <c r="CO1747" s="35">
        <v>0.27</v>
      </c>
      <c r="CP1747" s="36">
        <v>93</v>
      </c>
      <c r="CQ1747" s="35">
        <v>0.01</v>
      </c>
      <c r="CR1747" s="35">
        <v>2.4</v>
      </c>
      <c r="CS1747" s="35">
        <v>0.56000000000000005</v>
      </c>
      <c r="CT1747" s="36">
        <v>96</v>
      </c>
      <c r="CU1747" s="35">
        <v>0.24</v>
      </c>
      <c r="CV1747" s="36">
        <v>84</v>
      </c>
      <c r="CW1747" s="35">
        <v>0.56000000000000005</v>
      </c>
      <c r="CX1747" s="36">
        <v>83</v>
      </c>
      <c r="CY1747" s="35" t="s">
        <v>138</v>
      </c>
      <c r="CZ1747" s="36" t="s">
        <v>138</v>
      </c>
      <c r="DA1747" s="35">
        <v>0.09</v>
      </c>
      <c r="DB1747" s="36">
        <v>70</v>
      </c>
      <c r="DC1747" s="37">
        <v>8.85</v>
      </c>
      <c r="DD1747" s="36">
        <v>89</v>
      </c>
      <c r="DE1747" s="37">
        <v>-0.48</v>
      </c>
      <c r="DF1747" s="35">
        <v>-5.0999999999999996</v>
      </c>
      <c r="DG1747" s="37">
        <v>11.21</v>
      </c>
      <c r="DH1747" s="36">
        <v>91</v>
      </c>
      <c r="DI1747" s="37">
        <v>15.31</v>
      </c>
      <c r="DJ1747" s="36">
        <v>89</v>
      </c>
      <c r="DK1747" s="37">
        <v>11.21</v>
      </c>
      <c r="DL1747" s="36">
        <v>88</v>
      </c>
      <c r="DM1747" s="37" t="s">
        <v>138</v>
      </c>
      <c r="DN1747" s="36" t="s">
        <v>138</v>
      </c>
      <c r="DO1747" s="37">
        <v>5.64</v>
      </c>
      <c r="DP1747" s="36">
        <v>81</v>
      </c>
      <c r="DQ1747" s="36">
        <v>3755</v>
      </c>
      <c r="DR1747" s="38">
        <v>265</v>
      </c>
      <c r="DS1747" s="35">
        <v>7.59</v>
      </c>
      <c r="DT1747" s="36" t="s">
        <v>138</v>
      </c>
      <c r="DU1747" s="38" t="s">
        <v>138</v>
      </c>
      <c r="DV1747" s="35" t="s">
        <v>138</v>
      </c>
      <c r="DW1747" s="36">
        <v>2015</v>
      </c>
      <c r="DX1747" s="39">
        <v>4</v>
      </c>
      <c r="DY1747" s="35">
        <v>0.2</v>
      </c>
      <c r="DZ1747" s="28" t="s">
        <v>178</v>
      </c>
      <c r="EA1747" s="34">
        <v>43474</v>
      </c>
      <c r="EB1747" s="29">
        <v>24.61</v>
      </c>
      <c r="EC1747" s="34">
        <v>43307</v>
      </c>
      <c r="ED1747" s="28" t="s">
        <v>205</v>
      </c>
      <c r="EE1747" s="40" t="str">
        <f>HYPERLINK("https://my.pitchbook.com?c=108812-71", "View company online")</f>
        <v>View company online</v>
      </c>
    </row>
    <row r="1748" spans="1:135">
      <c r="A1748" s="15" t="s">
        <v>33247</v>
      </c>
      <c r="B1748" s="15" t="s">
        <v>33248</v>
      </c>
      <c r="C1748" s="15" t="s">
        <v>138</v>
      </c>
      <c r="D1748" s="15" t="s">
        <v>138</v>
      </c>
      <c r="E1748" s="15" t="s">
        <v>33249</v>
      </c>
      <c r="F1748" s="15" t="s">
        <v>33247</v>
      </c>
      <c r="G1748" s="15" t="s">
        <v>33250</v>
      </c>
      <c r="H1748" s="15" t="s">
        <v>322</v>
      </c>
      <c r="I1748" s="15" t="s">
        <v>323</v>
      </c>
      <c r="J1748" s="15" t="s">
        <v>1132</v>
      </c>
      <c r="K1748" s="15" t="s">
        <v>33251</v>
      </c>
      <c r="L1748" s="15" t="s">
        <v>9641</v>
      </c>
      <c r="M1748" s="15" t="s">
        <v>33252</v>
      </c>
      <c r="N1748" s="15" t="s">
        <v>147</v>
      </c>
      <c r="O1748" s="17">
        <v>14.03</v>
      </c>
      <c r="P1748" s="15" t="s">
        <v>148</v>
      </c>
      <c r="Q1748" s="15" t="s">
        <v>149</v>
      </c>
      <c r="R1748" s="15" t="s">
        <v>174</v>
      </c>
      <c r="S1748" s="15" t="s">
        <v>33253</v>
      </c>
      <c r="T1748" s="18" t="s">
        <v>138</v>
      </c>
      <c r="U1748" s="15" t="s">
        <v>138</v>
      </c>
      <c r="V1748" s="15" t="s">
        <v>138</v>
      </c>
      <c r="W1748" s="15" t="s">
        <v>138</v>
      </c>
      <c r="X1748" s="19">
        <v>2014</v>
      </c>
      <c r="Y1748" s="15" t="s">
        <v>138</v>
      </c>
      <c r="Z1748" s="15" t="s">
        <v>138</v>
      </c>
      <c r="AA1748" s="15" t="s">
        <v>138</v>
      </c>
      <c r="AB1748" s="20" t="s">
        <v>138</v>
      </c>
      <c r="AC1748" s="20" t="s">
        <v>138</v>
      </c>
      <c r="AD1748" s="20" t="s">
        <v>138</v>
      </c>
      <c r="AE1748" s="20" t="s">
        <v>138</v>
      </c>
      <c r="AF1748" s="20" t="s">
        <v>138</v>
      </c>
      <c r="AG1748" s="15" t="s">
        <v>138</v>
      </c>
      <c r="AH1748" s="20" t="s">
        <v>138</v>
      </c>
      <c r="AI1748" s="20" t="s">
        <v>138</v>
      </c>
      <c r="AJ1748" s="20" t="s">
        <v>138</v>
      </c>
      <c r="AK1748" s="15" t="s">
        <v>33254</v>
      </c>
      <c r="AL1748" s="15" t="s">
        <v>33255</v>
      </c>
      <c r="AM1748" s="15" t="s">
        <v>1004</v>
      </c>
      <c r="AN1748" s="15" t="s">
        <v>138</v>
      </c>
      <c r="AO1748" s="15" t="s">
        <v>33256</v>
      </c>
      <c r="AP1748" s="15" t="s">
        <v>6095</v>
      </c>
      <c r="AQ1748" s="15" t="s">
        <v>33257</v>
      </c>
      <c r="AR1748" s="15" t="s">
        <v>2068</v>
      </c>
      <c r="AS1748" s="15" t="s">
        <v>6098</v>
      </c>
      <c r="AT1748" s="15" t="s">
        <v>6099</v>
      </c>
      <c r="AU1748" s="15" t="s">
        <v>33258</v>
      </c>
      <c r="AV1748" s="15" t="s">
        <v>2071</v>
      </c>
      <c r="AW1748" s="15" t="s">
        <v>33256</v>
      </c>
      <c r="AX1748" s="15" t="s">
        <v>138</v>
      </c>
      <c r="AY1748" s="15" t="s">
        <v>138</v>
      </c>
      <c r="AZ1748" s="15" t="s">
        <v>452</v>
      </c>
      <c r="BA1748" s="15" t="s">
        <v>453</v>
      </c>
      <c r="BB1748" s="15" t="s">
        <v>33259</v>
      </c>
      <c r="BC1748" s="15" t="s">
        <v>33260</v>
      </c>
      <c r="BD1748" s="21">
        <v>9</v>
      </c>
      <c r="BE1748" s="15" t="s">
        <v>138</v>
      </c>
      <c r="BF1748" s="15" t="s">
        <v>138</v>
      </c>
      <c r="BG1748" s="15" t="s">
        <v>138</v>
      </c>
      <c r="BH1748" s="15" t="s">
        <v>33261</v>
      </c>
      <c r="BI1748" s="15" t="s">
        <v>138</v>
      </c>
      <c r="BJ1748" s="15" t="s">
        <v>138</v>
      </c>
      <c r="BK1748" s="15" t="s">
        <v>138</v>
      </c>
      <c r="BL1748" s="15" t="s">
        <v>138</v>
      </c>
      <c r="BM1748" s="22">
        <v>42334</v>
      </c>
      <c r="BN1748" s="17">
        <v>0.03</v>
      </c>
      <c r="BO1748" s="15" t="s">
        <v>172</v>
      </c>
      <c r="BP1748" s="17">
        <v>0.42</v>
      </c>
      <c r="BQ1748" s="15" t="s">
        <v>172</v>
      </c>
      <c r="BR1748" s="15" t="s">
        <v>316</v>
      </c>
      <c r="BS1748" s="15" t="s">
        <v>138</v>
      </c>
      <c r="BT1748" s="15" t="s">
        <v>138</v>
      </c>
      <c r="BU1748" s="15" t="s">
        <v>177</v>
      </c>
      <c r="BV1748" s="15" t="s">
        <v>138</v>
      </c>
      <c r="BW1748" s="15" t="s">
        <v>138</v>
      </c>
      <c r="BX1748" s="15" t="s">
        <v>138</v>
      </c>
      <c r="BY1748" s="15" t="s">
        <v>175</v>
      </c>
      <c r="BZ1748" s="22">
        <v>43262</v>
      </c>
      <c r="CA1748" s="17">
        <v>8.9</v>
      </c>
      <c r="CB1748" s="15" t="s">
        <v>172</v>
      </c>
      <c r="CC1748" s="17" t="s">
        <v>138</v>
      </c>
      <c r="CD1748" s="15" t="s">
        <v>138</v>
      </c>
      <c r="CE1748" s="15" t="s">
        <v>205</v>
      </c>
      <c r="CF1748" s="15" t="s">
        <v>720</v>
      </c>
      <c r="CG1748" s="15" t="s">
        <v>138</v>
      </c>
      <c r="CH1748" s="15" t="s">
        <v>174</v>
      </c>
      <c r="CI1748" s="15" t="s">
        <v>138</v>
      </c>
      <c r="CJ1748" s="15" t="s">
        <v>138</v>
      </c>
      <c r="CK1748" s="15" t="s">
        <v>138</v>
      </c>
      <c r="CL1748" s="15" t="s">
        <v>175</v>
      </c>
      <c r="CM1748" s="22" t="s">
        <v>138</v>
      </c>
      <c r="CN1748" s="17" t="s">
        <v>138</v>
      </c>
      <c r="CO1748" s="23">
        <v>-1.39</v>
      </c>
      <c r="CP1748" s="24">
        <v>8</v>
      </c>
      <c r="CQ1748" s="23">
        <v>-0.05</v>
      </c>
      <c r="CR1748" s="23">
        <v>-3.66</v>
      </c>
      <c r="CS1748" s="23">
        <v>-1.39</v>
      </c>
      <c r="CT1748" s="24">
        <v>12</v>
      </c>
      <c r="CU1748" s="23" t="s">
        <v>138</v>
      </c>
      <c r="CV1748" s="24" t="s">
        <v>138</v>
      </c>
      <c r="CW1748" s="23" t="s">
        <v>138</v>
      </c>
      <c r="CX1748" s="24" t="s">
        <v>138</v>
      </c>
      <c r="CY1748" s="23">
        <v>-1.39</v>
      </c>
      <c r="CZ1748" s="24">
        <v>16</v>
      </c>
      <c r="DA1748" s="23" t="s">
        <v>138</v>
      </c>
      <c r="DB1748" s="24" t="s">
        <v>138</v>
      </c>
      <c r="DC1748" s="25">
        <v>15.76</v>
      </c>
      <c r="DD1748" s="24">
        <v>93</v>
      </c>
      <c r="DE1748" s="25">
        <v>-7.0000000000000007E-2</v>
      </c>
      <c r="DF1748" s="23">
        <v>-0.44</v>
      </c>
      <c r="DG1748" s="25">
        <v>15.76</v>
      </c>
      <c r="DH1748" s="24">
        <v>93</v>
      </c>
      <c r="DI1748" s="25" t="s">
        <v>138</v>
      </c>
      <c r="DJ1748" s="24" t="s">
        <v>138</v>
      </c>
      <c r="DK1748" s="25" t="s">
        <v>138</v>
      </c>
      <c r="DL1748" s="24" t="s">
        <v>138</v>
      </c>
      <c r="DM1748" s="25">
        <v>15.76</v>
      </c>
      <c r="DN1748" s="24">
        <v>93</v>
      </c>
      <c r="DO1748" s="25" t="s">
        <v>138</v>
      </c>
      <c r="DP1748" s="24" t="s">
        <v>138</v>
      </c>
      <c r="DQ1748" s="24">
        <v>131</v>
      </c>
      <c r="DR1748" s="26">
        <v>-25</v>
      </c>
      <c r="DS1748" s="23">
        <v>-16.03</v>
      </c>
      <c r="DT1748" s="24">
        <v>457</v>
      </c>
      <c r="DU1748" s="26">
        <v>0</v>
      </c>
      <c r="DV1748" s="23">
        <v>0</v>
      </c>
      <c r="DW1748" s="24">
        <v>339</v>
      </c>
      <c r="DX1748" s="27">
        <v>1</v>
      </c>
      <c r="DY1748" s="23">
        <v>0.3</v>
      </c>
      <c r="DZ1748" s="15" t="s">
        <v>178</v>
      </c>
      <c r="EA1748" s="22">
        <v>43354</v>
      </c>
      <c r="EB1748" s="17">
        <v>0.42</v>
      </c>
      <c r="EC1748" s="22">
        <v>42334</v>
      </c>
      <c r="ED1748" s="15" t="s">
        <v>316</v>
      </c>
      <c r="EE1748" s="14" t="str">
        <f>HYPERLINK("https://my.pitchbook.com?c=162768-43", "View company online")</f>
        <v>View company online</v>
      </c>
    </row>
    <row r="1749" spans="1:135">
      <c r="A1749" s="28" t="s">
        <v>33262</v>
      </c>
      <c r="B1749" s="28" t="s">
        <v>33263</v>
      </c>
      <c r="C1749" s="28" t="s">
        <v>138</v>
      </c>
      <c r="D1749" s="28" t="s">
        <v>138</v>
      </c>
      <c r="E1749" s="28" t="s">
        <v>33264</v>
      </c>
      <c r="F1749" s="28" t="s">
        <v>33262</v>
      </c>
      <c r="G1749" s="28" t="s">
        <v>33265</v>
      </c>
      <c r="H1749" s="28" t="s">
        <v>322</v>
      </c>
      <c r="I1749" s="28" t="s">
        <v>323</v>
      </c>
      <c r="J1749" s="28" t="s">
        <v>1132</v>
      </c>
      <c r="K1749" s="28" t="s">
        <v>17658</v>
      </c>
      <c r="L1749" s="28" t="s">
        <v>27282</v>
      </c>
      <c r="M1749" s="28" t="s">
        <v>33266</v>
      </c>
      <c r="N1749" s="28" t="s">
        <v>147</v>
      </c>
      <c r="O1749" s="29">
        <v>59.8</v>
      </c>
      <c r="P1749" s="28" t="s">
        <v>148</v>
      </c>
      <c r="Q1749" s="28" t="s">
        <v>149</v>
      </c>
      <c r="R1749" s="28" t="s">
        <v>174</v>
      </c>
      <c r="S1749" s="28" t="s">
        <v>33267</v>
      </c>
      <c r="T1749" s="30">
        <v>20</v>
      </c>
      <c r="U1749" s="28" t="s">
        <v>33268</v>
      </c>
      <c r="V1749" s="28" t="s">
        <v>138</v>
      </c>
      <c r="W1749" s="28" t="s">
        <v>138</v>
      </c>
      <c r="X1749" s="31">
        <v>2017</v>
      </c>
      <c r="Y1749" s="28" t="s">
        <v>138</v>
      </c>
      <c r="Z1749" s="28" t="s">
        <v>138</v>
      </c>
      <c r="AA1749" s="28" t="s">
        <v>138</v>
      </c>
      <c r="AB1749" s="32" t="s">
        <v>138</v>
      </c>
      <c r="AC1749" s="32" t="s">
        <v>138</v>
      </c>
      <c r="AD1749" s="32" t="s">
        <v>138</v>
      </c>
      <c r="AE1749" s="32" t="s">
        <v>138</v>
      </c>
      <c r="AF1749" s="32" t="s">
        <v>138</v>
      </c>
      <c r="AG1749" s="28" t="s">
        <v>138</v>
      </c>
      <c r="AH1749" s="32" t="s">
        <v>138</v>
      </c>
      <c r="AI1749" s="32" t="s">
        <v>138</v>
      </c>
      <c r="AJ1749" s="32" t="s">
        <v>138</v>
      </c>
      <c r="AK1749" s="28" t="s">
        <v>33269</v>
      </c>
      <c r="AL1749" s="28" t="s">
        <v>33270</v>
      </c>
      <c r="AM1749" s="28" t="s">
        <v>1632</v>
      </c>
      <c r="AN1749" s="28" t="s">
        <v>33271</v>
      </c>
      <c r="AO1749" s="28" t="s">
        <v>33272</v>
      </c>
      <c r="AP1749" s="28" t="s">
        <v>423</v>
      </c>
      <c r="AQ1749" s="28" t="s">
        <v>33273</v>
      </c>
      <c r="AR1749" s="28" t="s">
        <v>2930</v>
      </c>
      <c r="AS1749" s="28" t="s">
        <v>426</v>
      </c>
      <c r="AT1749" s="28" t="s">
        <v>426</v>
      </c>
      <c r="AU1749" s="28" t="s">
        <v>12267</v>
      </c>
      <c r="AV1749" s="28" t="s">
        <v>162</v>
      </c>
      <c r="AW1749" s="28" t="s">
        <v>33272</v>
      </c>
      <c r="AX1749" s="28" t="s">
        <v>138</v>
      </c>
      <c r="AY1749" s="28" t="s">
        <v>138</v>
      </c>
      <c r="AZ1749" s="28" t="s">
        <v>164</v>
      </c>
      <c r="BA1749" s="28" t="s">
        <v>165</v>
      </c>
      <c r="BB1749" s="28" t="s">
        <v>33274</v>
      </c>
      <c r="BC1749" s="28" t="s">
        <v>33275</v>
      </c>
      <c r="BD1749" s="33">
        <v>12</v>
      </c>
      <c r="BE1749" s="28" t="s">
        <v>138</v>
      </c>
      <c r="BF1749" s="28" t="s">
        <v>138</v>
      </c>
      <c r="BG1749" s="28" t="s">
        <v>138</v>
      </c>
      <c r="BH1749" s="28" t="s">
        <v>33276</v>
      </c>
      <c r="BI1749" s="28" t="s">
        <v>138</v>
      </c>
      <c r="BJ1749" s="28" t="s">
        <v>138</v>
      </c>
      <c r="BK1749" s="28" t="s">
        <v>33277</v>
      </c>
      <c r="BL1749" s="28" t="s">
        <v>33278</v>
      </c>
      <c r="BM1749" s="34">
        <v>43147</v>
      </c>
      <c r="BN1749" s="29">
        <v>1.55</v>
      </c>
      <c r="BO1749" s="28" t="s">
        <v>172</v>
      </c>
      <c r="BP1749" s="29">
        <v>5</v>
      </c>
      <c r="BQ1749" s="28" t="s">
        <v>1178</v>
      </c>
      <c r="BR1749" s="28" t="s">
        <v>234</v>
      </c>
      <c r="BS1749" s="28" t="s">
        <v>234</v>
      </c>
      <c r="BT1749" s="28" t="s">
        <v>138</v>
      </c>
      <c r="BU1749" s="28" t="s">
        <v>174</v>
      </c>
      <c r="BV1749" s="28" t="s">
        <v>138</v>
      </c>
      <c r="BW1749" s="28" t="s">
        <v>138</v>
      </c>
      <c r="BX1749" s="28" t="s">
        <v>138</v>
      </c>
      <c r="BY1749" s="28" t="s">
        <v>175</v>
      </c>
      <c r="BZ1749" s="34">
        <v>43432</v>
      </c>
      <c r="CA1749" s="29">
        <v>4</v>
      </c>
      <c r="CB1749" s="28" t="s">
        <v>172</v>
      </c>
      <c r="CC1749" s="29" t="s">
        <v>138</v>
      </c>
      <c r="CD1749" s="28" t="s">
        <v>138</v>
      </c>
      <c r="CE1749" s="28" t="s">
        <v>205</v>
      </c>
      <c r="CF1749" s="28" t="s">
        <v>138</v>
      </c>
      <c r="CG1749" s="28" t="s">
        <v>138</v>
      </c>
      <c r="CH1749" s="28" t="s">
        <v>174</v>
      </c>
      <c r="CI1749" s="28" t="s">
        <v>264</v>
      </c>
      <c r="CJ1749" s="28" t="s">
        <v>138</v>
      </c>
      <c r="CK1749" s="28" t="s">
        <v>138</v>
      </c>
      <c r="CL1749" s="28" t="s">
        <v>175</v>
      </c>
      <c r="CM1749" s="34" t="s">
        <v>138</v>
      </c>
      <c r="CN1749" s="29" t="s">
        <v>138</v>
      </c>
      <c r="CO1749" s="35">
        <v>6.56</v>
      </c>
      <c r="CP1749" s="36">
        <v>100</v>
      </c>
      <c r="CQ1749" s="35">
        <v>0.05</v>
      </c>
      <c r="CR1749" s="35">
        <v>0.81</v>
      </c>
      <c r="CS1749" s="35">
        <v>3.92</v>
      </c>
      <c r="CT1749" s="36">
        <v>100</v>
      </c>
      <c r="CU1749" s="35">
        <v>13.68</v>
      </c>
      <c r="CV1749" s="36">
        <v>100</v>
      </c>
      <c r="CW1749" s="35">
        <v>7.84</v>
      </c>
      <c r="CX1749" s="36">
        <v>99</v>
      </c>
      <c r="CY1749" s="35">
        <v>0</v>
      </c>
      <c r="CZ1749" s="36">
        <v>25</v>
      </c>
      <c r="DA1749" s="35">
        <v>13.68</v>
      </c>
      <c r="DB1749" s="36">
        <v>100</v>
      </c>
      <c r="DC1749" s="37">
        <v>5.47</v>
      </c>
      <c r="DD1749" s="36">
        <v>84</v>
      </c>
      <c r="DE1749" s="37">
        <v>-0.16</v>
      </c>
      <c r="DF1749" s="35">
        <v>-2.76</v>
      </c>
      <c r="DG1749" s="37">
        <v>5.57</v>
      </c>
      <c r="DH1749" s="36">
        <v>84</v>
      </c>
      <c r="DI1749" s="37">
        <v>10.79</v>
      </c>
      <c r="DJ1749" s="36">
        <v>86</v>
      </c>
      <c r="DK1749" s="37">
        <v>10.130000000000001</v>
      </c>
      <c r="DL1749" s="36">
        <v>87</v>
      </c>
      <c r="DM1749" s="37">
        <v>1</v>
      </c>
      <c r="DN1749" s="36">
        <v>50</v>
      </c>
      <c r="DO1749" s="37">
        <v>10.79</v>
      </c>
      <c r="DP1749" s="36">
        <v>88</v>
      </c>
      <c r="DQ1749" s="36">
        <v>3464</v>
      </c>
      <c r="DR1749" s="38">
        <v>30</v>
      </c>
      <c r="DS1749" s="35">
        <v>0.87</v>
      </c>
      <c r="DT1749" s="36">
        <v>29</v>
      </c>
      <c r="DU1749" s="38">
        <v>-1</v>
      </c>
      <c r="DV1749" s="35">
        <v>-3.33</v>
      </c>
      <c r="DW1749" s="36">
        <v>3839</v>
      </c>
      <c r="DX1749" s="39">
        <v>75</v>
      </c>
      <c r="DY1749" s="35">
        <v>1.99</v>
      </c>
      <c r="DZ1749" s="28" t="s">
        <v>178</v>
      </c>
      <c r="EA1749" s="34">
        <v>43622</v>
      </c>
      <c r="EB1749" s="29">
        <v>5</v>
      </c>
      <c r="EC1749" s="34">
        <v>43147</v>
      </c>
      <c r="ED1749" s="28" t="s">
        <v>234</v>
      </c>
      <c r="EE1749" s="40" t="str">
        <f>HYPERLINK("https://my.pitchbook.com?c=224072-83", "View company online")</f>
        <v>View company online</v>
      </c>
    </row>
    <row r="1750" spans="1:135">
      <c r="A1750" s="15" t="s">
        <v>33279</v>
      </c>
      <c r="B1750" s="15" t="s">
        <v>33280</v>
      </c>
      <c r="C1750" s="15" t="s">
        <v>138</v>
      </c>
      <c r="D1750" s="15" t="s">
        <v>138</v>
      </c>
      <c r="E1750" s="15" t="s">
        <v>33281</v>
      </c>
      <c r="F1750" s="15" t="s">
        <v>33279</v>
      </c>
      <c r="G1750" s="15" t="s">
        <v>33282</v>
      </c>
      <c r="H1750" s="15" t="s">
        <v>322</v>
      </c>
      <c r="I1750" s="15" t="s">
        <v>323</v>
      </c>
      <c r="J1750" s="15" t="s">
        <v>461</v>
      </c>
      <c r="K1750" s="15" t="s">
        <v>30736</v>
      </c>
      <c r="L1750" s="15" t="s">
        <v>33283</v>
      </c>
      <c r="M1750" s="15" t="s">
        <v>33284</v>
      </c>
      <c r="N1750" s="15" t="s">
        <v>147</v>
      </c>
      <c r="O1750" s="17">
        <v>3.27</v>
      </c>
      <c r="P1750" s="15" t="s">
        <v>148</v>
      </c>
      <c r="Q1750" s="15" t="s">
        <v>149</v>
      </c>
      <c r="R1750" s="15" t="s">
        <v>174</v>
      </c>
      <c r="S1750" s="15" t="s">
        <v>33285</v>
      </c>
      <c r="T1750" s="18">
        <v>3</v>
      </c>
      <c r="U1750" s="15" t="s">
        <v>19687</v>
      </c>
      <c r="V1750" s="15" t="s">
        <v>138</v>
      </c>
      <c r="W1750" s="15" t="s">
        <v>138</v>
      </c>
      <c r="X1750" s="19">
        <v>2017</v>
      </c>
      <c r="Y1750" s="15" t="s">
        <v>138</v>
      </c>
      <c r="Z1750" s="15" t="s">
        <v>138</v>
      </c>
      <c r="AA1750" s="15" t="s">
        <v>138</v>
      </c>
      <c r="AB1750" s="20" t="s">
        <v>138</v>
      </c>
      <c r="AC1750" s="20" t="s">
        <v>138</v>
      </c>
      <c r="AD1750" s="20" t="s">
        <v>138</v>
      </c>
      <c r="AE1750" s="20" t="s">
        <v>138</v>
      </c>
      <c r="AF1750" s="20" t="s">
        <v>138</v>
      </c>
      <c r="AG1750" s="15" t="s">
        <v>138</v>
      </c>
      <c r="AH1750" s="20" t="s">
        <v>138</v>
      </c>
      <c r="AI1750" s="20" t="s">
        <v>138</v>
      </c>
      <c r="AJ1750" s="20" t="s">
        <v>138</v>
      </c>
      <c r="AK1750" s="15" t="s">
        <v>33286</v>
      </c>
      <c r="AL1750" s="15" t="s">
        <v>33287</v>
      </c>
      <c r="AM1750" s="15" t="s">
        <v>986</v>
      </c>
      <c r="AN1750" s="15" t="s">
        <v>33288</v>
      </c>
      <c r="AO1750" s="15" t="s">
        <v>33289</v>
      </c>
      <c r="AP1750" s="15" t="s">
        <v>423</v>
      </c>
      <c r="AQ1750" s="15" t="s">
        <v>33290</v>
      </c>
      <c r="AR1750" s="15" t="s">
        <v>33291</v>
      </c>
      <c r="AS1750" s="15" t="s">
        <v>426</v>
      </c>
      <c r="AT1750" s="15" t="s">
        <v>426</v>
      </c>
      <c r="AU1750" s="15" t="s">
        <v>33292</v>
      </c>
      <c r="AV1750" s="15" t="s">
        <v>162</v>
      </c>
      <c r="AW1750" s="15" t="s">
        <v>33289</v>
      </c>
      <c r="AX1750" s="15" t="s">
        <v>138</v>
      </c>
      <c r="AY1750" s="15" t="s">
        <v>33293</v>
      </c>
      <c r="AZ1750" s="15" t="s">
        <v>164</v>
      </c>
      <c r="BA1750" s="15" t="s">
        <v>165</v>
      </c>
      <c r="BB1750" s="15" t="s">
        <v>33294</v>
      </c>
      <c r="BC1750" s="15" t="s">
        <v>33295</v>
      </c>
      <c r="BD1750" s="21">
        <v>11</v>
      </c>
      <c r="BE1750" s="15" t="s">
        <v>138</v>
      </c>
      <c r="BF1750" s="15" t="s">
        <v>138</v>
      </c>
      <c r="BG1750" s="15" t="s">
        <v>138</v>
      </c>
      <c r="BH1750" s="15" t="s">
        <v>33296</v>
      </c>
      <c r="BI1750" s="15" t="s">
        <v>138</v>
      </c>
      <c r="BJ1750" s="15" t="s">
        <v>138</v>
      </c>
      <c r="BK1750" s="15" t="s">
        <v>138</v>
      </c>
      <c r="BL1750" s="15" t="s">
        <v>138</v>
      </c>
      <c r="BM1750" s="22">
        <v>42958</v>
      </c>
      <c r="BN1750" s="17" t="s">
        <v>138</v>
      </c>
      <c r="BO1750" s="15" t="s">
        <v>138</v>
      </c>
      <c r="BP1750" s="17" t="s">
        <v>138</v>
      </c>
      <c r="BQ1750" s="15" t="s">
        <v>138</v>
      </c>
      <c r="BR1750" s="15" t="s">
        <v>316</v>
      </c>
      <c r="BS1750" s="15" t="s">
        <v>138</v>
      </c>
      <c r="BT1750" s="15" t="s">
        <v>138</v>
      </c>
      <c r="BU1750" s="15" t="s">
        <v>177</v>
      </c>
      <c r="BV1750" s="15" t="s">
        <v>138</v>
      </c>
      <c r="BW1750" s="15" t="s">
        <v>138</v>
      </c>
      <c r="BX1750" s="15" t="s">
        <v>138</v>
      </c>
      <c r="BY1750" s="15" t="s">
        <v>175</v>
      </c>
      <c r="BZ1750" s="22">
        <v>43208</v>
      </c>
      <c r="CA1750" s="17" t="s">
        <v>138</v>
      </c>
      <c r="CB1750" s="15" t="s">
        <v>138</v>
      </c>
      <c r="CC1750" s="17" t="s">
        <v>138</v>
      </c>
      <c r="CD1750" s="15" t="s">
        <v>138</v>
      </c>
      <c r="CE1750" s="15" t="s">
        <v>316</v>
      </c>
      <c r="CF1750" s="15" t="s">
        <v>138</v>
      </c>
      <c r="CG1750" s="15" t="s">
        <v>138</v>
      </c>
      <c r="CH1750" s="15" t="s">
        <v>177</v>
      </c>
      <c r="CI1750" s="15" t="s">
        <v>138</v>
      </c>
      <c r="CJ1750" s="15" t="s">
        <v>138</v>
      </c>
      <c r="CK1750" s="15" t="s">
        <v>138</v>
      </c>
      <c r="CL1750" s="15" t="s">
        <v>175</v>
      </c>
      <c r="CM1750" s="22" t="s">
        <v>138</v>
      </c>
      <c r="CN1750" s="17" t="s">
        <v>138</v>
      </c>
      <c r="CO1750" s="23">
        <v>0.61</v>
      </c>
      <c r="CP1750" s="24">
        <v>96</v>
      </c>
      <c r="CQ1750" s="23">
        <v>0.08</v>
      </c>
      <c r="CR1750" s="23">
        <v>15.21</v>
      </c>
      <c r="CS1750" s="23">
        <v>0</v>
      </c>
      <c r="CT1750" s="24">
        <v>23</v>
      </c>
      <c r="CU1750" s="23">
        <v>1.23</v>
      </c>
      <c r="CV1750" s="24">
        <v>99</v>
      </c>
      <c r="CW1750" s="23" t="s">
        <v>138</v>
      </c>
      <c r="CX1750" s="24" t="s">
        <v>138</v>
      </c>
      <c r="CY1750" s="23">
        <v>0</v>
      </c>
      <c r="CZ1750" s="24">
        <v>25</v>
      </c>
      <c r="DA1750" s="23">
        <v>1.23</v>
      </c>
      <c r="DB1750" s="24">
        <v>99</v>
      </c>
      <c r="DC1750" s="25">
        <v>2.1800000000000002</v>
      </c>
      <c r="DD1750" s="24">
        <v>69</v>
      </c>
      <c r="DE1750" s="25">
        <v>0.02</v>
      </c>
      <c r="DF1750" s="23">
        <v>1.1200000000000001</v>
      </c>
      <c r="DG1750" s="25">
        <v>1.48</v>
      </c>
      <c r="DH1750" s="24">
        <v>60</v>
      </c>
      <c r="DI1750" s="25">
        <v>2.88</v>
      </c>
      <c r="DJ1750" s="24">
        <v>69</v>
      </c>
      <c r="DK1750" s="25" t="s">
        <v>138</v>
      </c>
      <c r="DL1750" s="24" t="s">
        <v>138</v>
      </c>
      <c r="DM1750" s="25">
        <v>1.48</v>
      </c>
      <c r="DN1750" s="24">
        <v>59</v>
      </c>
      <c r="DO1750" s="25">
        <v>2.88</v>
      </c>
      <c r="DP1750" s="24">
        <v>70</v>
      </c>
      <c r="DQ1750" s="24">
        <v>393</v>
      </c>
      <c r="DR1750" s="26">
        <v>-18</v>
      </c>
      <c r="DS1750" s="23">
        <v>-4.38</v>
      </c>
      <c r="DT1750" s="24">
        <v>43</v>
      </c>
      <c r="DU1750" s="26">
        <v>-1</v>
      </c>
      <c r="DV1750" s="23">
        <v>-2.27</v>
      </c>
      <c r="DW1750" s="24">
        <v>1022</v>
      </c>
      <c r="DX1750" s="27">
        <v>26</v>
      </c>
      <c r="DY1750" s="23">
        <v>2.61</v>
      </c>
      <c r="DZ1750" s="15" t="s">
        <v>178</v>
      </c>
      <c r="EA1750" s="22">
        <v>43588</v>
      </c>
      <c r="EB1750" s="17">
        <v>12.28</v>
      </c>
      <c r="EC1750" s="22">
        <v>43166</v>
      </c>
      <c r="ED1750" s="15" t="s">
        <v>234</v>
      </c>
      <c r="EE1750" s="14" t="str">
        <f>HYPERLINK("https://my.pitchbook.com?c=184683-88", "View company online")</f>
        <v>View company online</v>
      </c>
    </row>
    <row r="1751" spans="1:135">
      <c r="A1751" s="28" t="s">
        <v>33297</v>
      </c>
      <c r="B1751" s="28" t="s">
        <v>33298</v>
      </c>
      <c r="C1751" s="28" t="s">
        <v>138</v>
      </c>
      <c r="D1751" s="28" t="s">
        <v>138</v>
      </c>
      <c r="E1751" s="28" t="s">
        <v>33299</v>
      </c>
      <c r="F1751" s="28" t="s">
        <v>33297</v>
      </c>
      <c r="G1751" s="28" t="s">
        <v>33300</v>
      </c>
      <c r="H1751" s="28" t="s">
        <v>322</v>
      </c>
      <c r="I1751" s="28" t="s">
        <v>323</v>
      </c>
      <c r="J1751" s="28" t="s">
        <v>2984</v>
      </c>
      <c r="K1751" s="28" t="s">
        <v>22764</v>
      </c>
      <c r="L1751" s="28" t="s">
        <v>326</v>
      </c>
      <c r="M1751" s="28" t="s">
        <v>33301</v>
      </c>
      <c r="N1751" s="28" t="s">
        <v>147</v>
      </c>
      <c r="O1751" s="29">
        <v>3.21</v>
      </c>
      <c r="P1751" s="28" t="s">
        <v>148</v>
      </c>
      <c r="Q1751" s="28" t="s">
        <v>149</v>
      </c>
      <c r="R1751" s="28" t="s">
        <v>174</v>
      </c>
      <c r="S1751" s="28" t="s">
        <v>33302</v>
      </c>
      <c r="T1751" s="30">
        <v>5</v>
      </c>
      <c r="U1751" s="28" t="s">
        <v>3592</v>
      </c>
      <c r="V1751" s="28" t="s">
        <v>138</v>
      </c>
      <c r="W1751" s="28" t="s">
        <v>138</v>
      </c>
      <c r="X1751" s="31">
        <v>2014</v>
      </c>
      <c r="Y1751" s="28" t="s">
        <v>138</v>
      </c>
      <c r="Z1751" s="28" t="s">
        <v>138</v>
      </c>
      <c r="AA1751" s="28" t="s">
        <v>138</v>
      </c>
      <c r="AB1751" s="32" t="s">
        <v>138</v>
      </c>
      <c r="AC1751" s="32" t="s">
        <v>138</v>
      </c>
      <c r="AD1751" s="32" t="s">
        <v>138</v>
      </c>
      <c r="AE1751" s="32" t="s">
        <v>138</v>
      </c>
      <c r="AF1751" s="32" t="s">
        <v>138</v>
      </c>
      <c r="AG1751" s="28" t="s">
        <v>138</v>
      </c>
      <c r="AH1751" s="32" t="s">
        <v>138</v>
      </c>
      <c r="AI1751" s="32" t="s">
        <v>138</v>
      </c>
      <c r="AJ1751" s="32" t="s">
        <v>138</v>
      </c>
      <c r="AK1751" s="28" t="s">
        <v>33303</v>
      </c>
      <c r="AL1751" s="28" t="s">
        <v>33304</v>
      </c>
      <c r="AM1751" s="28" t="s">
        <v>938</v>
      </c>
      <c r="AN1751" s="28" t="s">
        <v>33305</v>
      </c>
      <c r="AO1751" s="28" t="s">
        <v>33306</v>
      </c>
      <c r="AP1751" s="28" t="s">
        <v>639</v>
      </c>
      <c r="AQ1751" s="28" t="s">
        <v>138</v>
      </c>
      <c r="AR1751" s="28" t="s">
        <v>138</v>
      </c>
      <c r="AS1751" s="28" t="s">
        <v>642</v>
      </c>
      <c r="AT1751" s="28" t="s">
        <v>474</v>
      </c>
      <c r="AU1751" s="28" t="s">
        <v>138</v>
      </c>
      <c r="AV1751" s="28" t="s">
        <v>162</v>
      </c>
      <c r="AW1751" s="28" t="s">
        <v>33306</v>
      </c>
      <c r="AX1751" s="28" t="s">
        <v>138</v>
      </c>
      <c r="AY1751" s="28" t="s">
        <v>33307</v>
      </c>
      <c r="AZ1751" s="28" t="s">
        <v>164</v>
      </c>
      <c r="BA1751" s="28" t="s">
        <v>165</v>
      </c>
      <c r="BB1751" s="28" t="s">
        <v>33308</v>
      </c>
      <c r="BC1751" s="28" t="s">
        <v>33309</v>
      </c>
      <c r="BD1751" s="33">
        <v>12</v>
      </c>
      <c r="BE1751" s="28" t="s">
        <v>138</v>
      </c>
      <c r="BF1751" s="28" t="s">
        <v>138</v>
      </c>
      <c r="BG1751" s="28" t="s">
        <v>138</v>
      </c>
      <c r="BH1751" s="28" t="s">
        <v>33310</v>
      </c>
      <c r="BI1751" s="28" t="s">
        <v>138</v>
      </c>
      <c r="BJ1751" s="28" t="s">
        <v>138</v>
      </c>
      <c r="BK1751" s="28" t="s">
        <v>138</v>
      </c>
      <c r="BL1751" s="28" t="s">
        <v>33311</v>
      </c>
      <c r="BM1751" s="34">
        <v>41744</v>
      </c>
      <c r="BN1751" s="29">
        <v>0.03</v>
      </c>
      <c r="BO1751" s="28" t="s">
        <v>172</v>
      </c>
      <c r="BP1751" s="29" t="s">
        <v>138</v>
      </c>
      <c r="BQ1751" s="28" t="s">
        <v>138</v>
      </c>
      <c r="BR1751" s="28" t="s">
        <v>262</v>
      </c>
      <c r="BS1751" s="28" t="s">
        <v>262</v>
      </c>
      <c r="BT1751" s="28" t="s">
        <v>138</v>
      </c>
      <c r="BU1751" s="28" t="s">
        <v>263</v>
      </c>
      <c r="BV1751" s="28" t="s">
        <v>138</v>
      </c>
      <c r="BW1751" s="28" t="s">
        <v>138</v>
      </c>
      <c r="BX1751" s="28" t="s">
        <v>138</v>
      </c>
      <c r="BY1751" s="28" t="s">
        <v>175</v>
      </c>
      <c r="BZ1751" s="34">
        <v>43053</v>
      </c>
      <c r="CA1751" s="29">
        <v>2.9</v>
      </c>
      <c r="CB1751" s="28" t="s">
        <v>172</v>
      </c>
      <c r="CC1751" s="29">
        <v>9.15</v>
      </c>
      <c r="CD1751" s="28" t="s">
        <v>172</v>
      </c>
      <c r="CE1751" s="28" t="s">
        <v>234</v>
      </c>
      <c r="CF1751" s="28" t="s">
        <v>234</v>
      </c>
      <c r="CG1751" s="28" t="s">
        <v>138</v>
      </c>
      <c r="CH1751" s="28" t="s">
        <v>174</v>
      </c>
      <c r="CI1751" s="28" t="s">
        <v>138</v>
      </c>
      <c r="CJ1751" s="28" t="s">
        <v>138</v>
      </c>
      <c r="CK1751" s="28" t="s">
        <v>138</v>
      </c>
      <c r="CL1751" s="28" t="s">
        <v>175</v>
      </c>
      <c r="CM1751" s="34" t="s">
        <v>138</v>
      </c>
      <c r="CN1751" s="29" t="s">
        <v>138</v>
      </c>
      <c r="CO1751" s="35">
        <v>0.62</v>
      </c>
      <c r="CP1751" s="36">
        <v>96</v>
      </c>
      <c r="CQ1751" s="35">
        <v>0.04</v>
      </c>
      <c r="CR1751" s="35">
        <v>7.76</v>
      </c>
      <c r="CS1751" s="35">
        <v>0</v>
      </c>
      <c r="CT1751" s="36">
        <v>23</v>
      </c>
      <c r="CU1751" s="35">
        <v>1.24</v>
      </c>
      <c r="CV1751" s="36">
        <v>99</v>
      </c>
      <c r="CW1751" s="35">
        <v>0</v>
      </c>
      <c r="CX1751" s="36">
        <v>13</v>
      </c>
      <c r="CY1751" s="35">
        <v>0</v>
      </c>
      <c r="CZ1751" s="36">
        <v>25</v>
      </c>
      <c r="DA1751" s="35">
        <v>1.24</v>
      </c>
      <c r="DB1751" s="36">
        <v>99</v>
      </c>
      <c r="DC1751" s="37">
        <v>2.0299999999999998</v>
      </c>
      <c r="DD1751" s="36">
        <v>67</v>
      </c>
      <c r="DE1751" s="37">
        <v>0</v>
      </c>
      <c r="DF1751" s="35">
        <v>0.19</v>
      </c>
      <c r="DG1751" s="37">
        <v>0.67</v>
      </c>
      <c r="DH1751" s="36">
        <v>42</v>
      </c>
      <c r="DI1751" s="37">
        <v>3.39</v>
      </c>
      <c r="DJ1751" s="36">
        <v>72</v>
      </c>
      <c r="DK1751" s="37">
        <v>0.61</v>
      </c>
      <c r="DL1751" s="36">
        <v>38</v>
      </c>
      <c r="DM1751" s="37">
        <v>0.72</v>
      </c>
      <c r="DN1751" s="36">
        <v>42</v>
      </c>
      <c r="DO1751" s="37">
        <v>3.39</v>
      </c>
      <c r="DP1751" s="36">
        <v>73</v>
      </c>
      <c r="DQ1751" s="36">
        <v>205</v>
      </c>
      <c r="DR1751" s="38">
        <v>12</v>
      </c>
      <c r="DS1751" s="35">
        <v>6.22</v>
      </c>
      <c r="DT1751" s="36">
        <v>21</v>
      </c>
      <c r="DU1751" s="38">
        <v>0</v>
      </c>
      <c r="DV1751" s="35">
        <v>0</v>
      </c>
      <c r="DW1751" s="36">
        <v>1211</v>
      </c>
      <c r="DX1751" s="39">
        <v>14</v>
      </c>
      <c r="DY1751" s="35">
        <v>1.17</v>
      </c>
      <c r="DZ1751" s="28" t="s">
        <v>178</v>
      </c>
      <c r="EA1751" s="34">
        <v>43375</v>
      </c>
      <c r="EB1751" s="29">
        <v>9.15</v>
      </c>
      <c r="EC1751" s="34">
        <v>43053</v>
      </c>
      <c r="ED1751" s="28" t="s">
        <v>234</v>
      </c>
      <c r="EE1751" s="40" t="str">
        <f>HYPERLINK("https://my.pitchbook.com?c=151365-25", "View company online")</f>
        <v>View company online</v>
      </c>
    </row>
    <row r="1752" spans="1:135">
      <c r="A1752" s="15" t="s">
        <v>33312</v>
      </c>
      <c r="B1752" s="15" t="s">
        <v>33313</v>
      </c>
      <c r="C1752" s="15" t="s">
        <v>138</v>
      </c>
      <c r="D1752" s="15" t="s">
        <v>138</v>
      </c>
      <c r="E1752" s="15" t="s">
        <v>33314</v>
      </c>
      <c r="F1752" s="15" t="s">
        <v>33312</v>
      </c>
      <c r="G1752" s="15" t="s">
        <v>33315</v>
      </c>
      <c r="H1752" s="15" t="s">
        <v>238</v>
      </c>
      <c r="I1752" s="15" t="s">
        <v>239</v>
      </c>
      <c r="J1752" s="15" t="s">
        <v>25043</v>
      </c>
      <c r="K1752" s="15" t="s">
        <v>33316</v>
      </c>
      <c r="L1752" s="15" t="s">
        <v>415</v>
      </c>
      <c r="M1752" s="15" t="s">
        <v>33317</v>
      </c>
      <c r="N1752" s="15" t="s">
        <v>147</v>
      </c>
      <c r="O1752" s="17">
        <v>8.5299999999999994</v>
      </c>
      <c r="P1752" s="15" t="s">
        <v>812</v>
      </c>
      <c r="Q1752" s="15" t="s">
        <v>149</v>
      </c>
      <c r="R1752" s="15" t="s">
        <v>174</v>
      </c>
      <c r="S1752" s="15" t="s">
        <v>33318</v>
      </c>
      <c r="T1752" s="18">
        <v>50</v>
      </c>
      <c r="U1752" s="15" t="s">
        <v>33319</v>
      </c>
      <c r="V1752" s="15" t="s">
        <v>138</v>
      </c>
      <c r="W1752" s="15" t="s">
        <v>138</v>
      </c>
      <c r="X1752" s="19">
        <v>2014</v>
      </c>
      <c r="Y1752" s="15" t="s">
        <v>138</v>
      </c>
      <c r="Z1752" s="15" t="s">
        <v>138</v>
      </c>
      <c r="AA1752" s="15" t="s">
        <v>138</v>
      </c>
      <c r="AB1752" s="20">
        <v>0.1</v>
      </c>
      <c r="AC1752" s="20" t="s">
        <v>138</v>
      </c>
      <c r="AD1752" s="20" t="s">
        <v>138</v>
      </c>
      <c r="AE1752" s="20" t="s">
        <v>138</v>
      </c>
      <c r="AF1752" s="20" t="s">
        <v>138</v>
      </c>
      <c r="AG1752" s="15" t="s">
        <v>707</v>
      </c>
      <c r="AH1752" s="20" t="s">
        <v>138</v>
      </c>
      <c r="AI1752" s="20" t="s">
        <v>138</v>
      </c>
      <c r="AJ1752" s="20" t="s">
        <v>138</v>
      </c>
      <c r="AK1752" s="15" t="s">
        <v>33320</v>
      </c>
      <c r="AL1752" s="15" t="s">
        <v>33321</v>
      </c>
      <c r="AM1752" s="15" t="s">
        <v>304</v>
      </c>
      <c r="AN1752" s="15" t="s">
        <v>33322</v>
      </c>
      <c r="AO1752" s="15" t="s">
        <v>138</v>
      </c>
      <c r="AP1752" s="15" t="s">
        <v>665</v>
      </c>
      <c r="AQ1752" s="15" t="s">
        <v>33323</v>
      </c>
      <c r="AR1752" s="15" t="s">
        <v>138</v>
      </c>
      <c r="AS1752" s="15" t="s">
        <v>668</v>
      </c>
      <c r="AT1752" s="15" t="s">
        <v>200</v>
      </c>
      <c r="AU1752" s="15" t="s">
        <v>3557</v>
      </c>
      <c r="AV1752" s="15" t="s">
        <v>162</v>
      </c>
      <c r="AW1752" s="15" t="s">
        <v>138</v>
      </c>
      <c r="AX1752" s="15" t="s">
        <v>138</v>
      </c>
      <c r="AY1752" s="15" t="s">
        <v>138</v>
      </c>
      <c r="AZ1752" s="15" t="s">
        <v>164</v>
      </c>
      <c r="BA1752" s="15" t="s">
        <v>165</v>
      </c>
      <c r="BB1752" s="15" t="s">
        <v>33324</v>
      </c>
      <c r="BC1752" s="15" t="s">
        <v>33325</v>
      </c>
      <c r="BD1752" s="21">
        <v>11</v>
      </c>
      <c r="BE1752" s="15" t="s">
        <v>138</v>
      </c>
      <c r="BF1752" s="15" t="s">
        <v>138</v>
      </c>
      <c r="BG1752" s="15" t="s">
        <v>138</v>
      </c>
      <c r="BH1752" s="15" t="s">
        <v>33326</v>
      </c>
      <c r="BI1752" s="15" t="s">
        <v>138</v>
      </c>
      <c r="BJ1752" s="15" t="s">
        <v>138</v>
      </c>
      <c r="BK1752" s="15" t="s">
        <v>33327</v>
      </c>
      <c r="BL1752" s="15" t="s">
        <v>33328</v>
      </c>
      <c r="BM1752" s="22">
        <v>42333</v>
      </c>
      <c r="BN1752" s="17">
        <v>0.05</v>
      </c>
      <c r="BO1752" s="15" t="s">
        <v>172</v>
      </c>
      <c r="BP1752" s="17" t="s">
        <v>138</v>
      </c>
      <c r="BQ1752" s="15" t="s">
        <v>138</v>
      </c>
      <c r="BR1752" s="15" t="s">
        <v>262</v>
      </c>
      <c r="BS1752" s="15" t="s">
        <v>262</v>
      </c>
      <c r="BT1752" s="15" t="s">
        <v>138</v>
      </c>
      <c r="BU1752" s="15" t="s">
        <v>263</v>
      </c>
      <c r="BV1752" s="15" t="s">
        <v>138</v>
      </c>
      <c r="BW1752" s="15" t="s">
        <v>138</v>
      </c>
      <c r="BX1752" s="15" t="s">
        <v>138</v>
      </c>
      <c r="BY1752" s="15" t="s">
        <v>175</v>
      </c>
      <c r="BZ1752" s="22">
        <v>43301</v>
      </c>
      <c r="CA1752" s="17">
        <v>6.5</v>
      </c>
      <c r="CB1752" s="15" t="s">
        <v>172</v>
      </c>
      <c r="CC1752" s="17" t="s">
        <v>138</v>
      </c>
      <c r="CD1752" s="15" t="s">
        <v>138</v>
      </c>
      <c r="CE1752" s="15" t="s">
        <v>205</v>
      </c>
      <c r="CF1752" s="15" t="s">
        <v>206</v>
      </c>
      <c r="CG1752" s="15" t="s">
        <v>138</v>
      </c>
      <c r="CH1752" s="15" t="s">
        <v>174</v>
      </c>
      <c r="CI1752" s="15" t="s">
        <v>138</v>
      </c>
      <c r="CJ1752" s="15" t="s">
        <v>138</v>
      </c>
      <c r="CK1752" s="15" t="s">
        <v>138</v>
      </c>
      <c r="CL1752" s="15" t="s">
        <v>175</v>
      </c>
      <c r="CM1752" s="22" t="s">
        <v>138</v>
      </c>
      <c r="CN1752" s="17" t="s">
        <v>138</v>
      </c>
      <c r="CO1752" s="23">
        <v>1.1100000000000001</v>
      </c>
      <c r="CP1752" s="24">
        <v>97</v>
      </c>
      <c r="CQ1752" s="23">
        <v>0.01</v>
      </c>
      <c r="CR1752" s="23">
        <v>0.73</v>
      </c>
      <c r="CS1752" s="23">
        <v>0.7</v>
      </c>
      <c r="CT1752" s="24">
        <v>96</v>
      </c>
      <c r="CU1752" s="23">
        <v>0.1</v>
      </c>
      <c r="CV1752" s="24">
        <v>68</v>
      </c>
      <c r="CW1752" s="23">
        <v>1.51</v>
      </c>
      <c r="CX1752" s="24">
        <v>86</v>
      </c>
      <c r="CY1752" s="23">
        <v>-0.11</v>
      </c>
      <c r="CZ1752" s="24">
        <v>24</v>
      </c>
      <c r="DA1752" s="23">
        <v>0.1</v>
      </c>
      <c r="DB1752" s="24">
        <v>72</v>
      </c>
      <c r="DC1752" s="25">
        <v>315.11</v>
      </c>
      <c r="DD1752" s="24">
        <v>100</v>
      </c>
      <c r="DE1752" s="25">
        <v>-14.54</v>
      </c>
      <c r="DF1752" s="23">
        <v>-4.41</v>
      </c>
      <c r="DG1752" s="25">
        <v>369.96</v>
      </c>
      <c r="DH1752" s="24">
        <v>100</v>
      </c>
      <c r="DI1752" s="25">
        <v>575.29</v>
      </c>
      <c r="DJ1752" s="24">
        <v>100</v>
      </c>
      <c r="DK1752" s="25">
        <v>736.26</v>
      </c>
      <c r="DL1752" s="24">
        <v>100</v>
      </c>
      <c r="DM1752" s="25">
        <v>3.66</v>
      </c>
      <c r="DN1752" s="24">
        <v>77</v>
      </c>
      <c r="DO1752" s="25">
        <v>575.29</v>
      </c>
      <c r="DP1752" s="24">
        <v>100</v>
      </c>
      <c r="DQ1752" s="24">
        <v>249730</v>
      </c>
      <c r="DR1752" s="26">
        <v>8415</v>
      </c>
      <c r="DS1752" s="23">
        <v>3.49</v>
      </c>
      <c r="DT1752" s="24">
        <v>106</v>
      </c>
      <c r="DU1752" s="26">
        <v>0</v>
      </c>
      <c r="DV1752" s="23">
        <v>0</v>
      </c>
      <c r="DW1752" s="24">
        <v>205901</v>
      </c>
      <c r="DX1752" s="27">
        <v>186</v>
      </c>
      <c r="DY1752" s="23">
        <v>0.09</v>
      </c>
      <c r="DZ1752" s="15" t="s">
        <v>178</v>
      </c>
      <c r="EA1752" s="22">
        <v>43622</v>
      </c>
      <c r="EB1752" s="17">
        <v>8.86</v>
      </c>
      <c r="EC1752" s="22">
        <v>42837</v>
      </c>
      <c r="ED1752" s="15" t="s">
        <v>234</v>
      </c>
      <c r="EE1752" s="14" t="str">
        <f>HYPERLINK("https://my.pitchbook.com?c=159179-41", "View company online")</f>
        <v>View company online</v>
      </c>
    </row>
    <row r="1753" spans="1:135">
      <c r="A1753" s="28" t="s">
        <v>33329</v>
      </c>
      <c r="B1753" s="28" t="s">
        <v>33330</v>
      </c>
      <c r="C1753" s="28" t="s">
        <v>33331</v>
      </c>
      <c r="D1753" s="28" t="s">
        <v>138</v>
      </c>
      <c r="E1753" s="28" t="s">
        <v>138</v>
      </c>
      <c r="F1753" s="28" t="s">
        <v>33329</v>
      </c>
      <c r="G1753" s="28" t="s">
        <v>33332</v>
      </c>
      <c r="H1753" s="28" t="s">
        <v>141</v>
      </c>
      <c r="I1753" s="28" t="s">
        <v>212</v>
      </c>
      <c r="J1753" s="28" t="s">
        <v>33333</v>
      </c>
      <c r="K1753" s="28" t="s">
        <v>33334</v>
      </c>
      <c r="L1753" s="28" t="s">
        <v>3872</v>
      </c>
      <c r="M1753" s="28" t="s">
        <v>33335</v>
      </c>
      <c r="N1753" s="28" t="s">
        <v>1212</v>
      </c>
      <c r="O1753" s="29">
        <v>34.07</v>
      </c>
      <c r="P1753" s="28" t="s">
        <v>148</v>
      </c>
      <c r="Q1753" s="28" t="s">
        <v>149</v>
      </c>
      <c r="R1753" s="28" t="s">
        <v>244</v>
      </c>
      <c r="S1753" s="28" t="s">
        <v>33336</v>
      </c>
      <c r="T1753" s="30">
        <v>51</v>
      </c>
      <c r="U1753" s="28" t="s">
        <v>246</v>
      </c>
      <c r="V1753" s="28" t="s">
        <v>138</v>
      </c>
      <c r="W1753" s="28" t="s">
        <v>138</v>
      </c>
      <c r="X1753" s="31">
        <v>1999</v>
      </c>
      <c r="Y1753" s="28" t="s">
        <v>138</v>
      </c>
      <c r="Z1753" s="28" t="s">
        <v>138</v>
      </c>
      <c r="AA1753" s="28" t="s">
        <v>138</v>
      </c>
      <c r="AB1753" s="32" t="s">
        <v>138</v>
      </c>
      <c r="AC1753" s="32" t="s">
        <v>138</v>
      </c>
      <c r="AD1753" s="32" t="s">
        <v>138</v>
      </c>
      <c r="AE1753" s="32" t="s">
        <v>138</v>
      </c>
      <c r="AF1753" s="32" t="s">
        <v>138</v>
      </c>
      <c r="AG1753" s="28" t="s">
        <v>138</v>
      </c>
      <c r="AH1753" s="32" t="s">
        <v>138</v>
      </c>
      <c r="AI1753" s="32" t="s">
        <v>138</v>
      </c>
      <c r="AJ1753" s="32" t="s">
        <v>138</v>
      </c>
      <c r="AK1753" s="28" t="s">
        <v>33337</v>
      </c>
      <c r="AL1753" s="28" t="s">
        <v>33338</v>
      </c>
      <c r="AM1753" s="28" t="s">
        <v>249</v>
      </c>
      <c r="AN1753" s="28" t="s">
        <v>33339</v>
      </c>
      <c r="AO1753" s="28" t="s">
        <v>33340</v>
      </c>
      <c r="AP1753" s="28" t="s">
        <v>8814</v>
      </c>
      <c r="AQ1753" s="28" t="s">
        <v>33341</v>
      </c>
      <c r="AR1753" s="28" t="s">
        <v>2153</v>
      </c>
      <c r="AS1753" s="28" t="s">
        <v>8816</v>
      </c>
      <c r="AT1753" s="28" t="s">
        <v>6898</v>
      </c>
      <c r="AU1753" s="28" t="s">
        <v>8817</v>
      </c>
      <c r="AV1753" s="28" t="s">
        <v>162</v>
      </c>
      <c r="AW1753" s="28" t="s">
        <v>33340</v>
      </c>
      <c r="AX1753" s="28" t="s">
        <v>33342</v>
      </c>
      <c r="AY1753" s="28" t="s">
        <v>33343</v>
      </c>
      <c r="AZ1753" s="28" t="s">
        <v>164</v>
      </c>
      <c r="BA1753" s="28" t="s">
        <v>165</v>
      </c>
      <c r="BB1753" s="28" t="s">
        <v>33344</v>
      </c>
      <c r="BC1753" s="28" t="s">
        <v>138</v>
      </c>
      <c r="BD1753" s="33" t="s">
        <v>138</v>
      </c>
      <c r="BE1753" s="28" t="s">
        <v>138</v>
      </c>
      <c r="BF1753" s="28" t="s">
        <v>33345</v>
      </c>
      <c r="BG1753" s="28" t="s">
        <v>138</v>
      </c>
      <c r="BH1753" s="28" t="s">
        <v>138</v>
      </c>
      <c r="BI1753" s="28" t="s">
        <v>33346</v>
      </c>
      <c r="BJ1753" s="28" t="s">
        <v>138</v>
      </c>
      <c r="BK1753" s="28" t="s">
        <v>33347</v>
      </c>
      <c r="BL1753" s="28" t="s">
        <v>33348</v>
      </c>
      <c r="BM1753" s="34" t="s">
        <v>138</v>
      </c>
      <c r="BN1753" s="29">
        <v>7</v>
      </c>
      <c r="BO1753" s="28" t="s">
        <v>172</v>
      </c>
      <c r="BP1753" s="29" t="s">
        <v>138</v>
      </c>
      <c r="BQ1753" s="28" t="s">
        <v>138</v>
      </c>
      <c r="BR1753" s="28" t="s">
        <v>205</v>
      </c>
      <c r="BS1753" s="28" t="s">
        <v>206</v>
      </c>
      <c r="BT1753" s="28" t="s">
        <v>138</v>
      </c>
      <c r="BU1753" s="28" t="s">
        <v>174</v>
      </c>
      <c r="BV1753" s="28" t="s">
        <v>138</v>
      </c>
      <c r="BW1753" s="28" t="s">
        <v>138</v>
      </c>
      <c r="BX1753" s="28" t="s">
        <v>138</v>
      </c>
      <c r="BY1753" s="28" t="s">
        <v>175</v>
      </c>
      <c r="BZ1753" s="34">
        <v>42156</v>
      </c>
      <c r="CA1753" s="29" t="s">
        <v>138</v>
      </c>
      <c r="CB1753" s="28" t="s">
        <v>138</v>
      </c>
      <c r="CC1753" s="29" t="s">
        <v>138</v>
      </c>
      <c r="CD1753" s="28" t="s">
        <v>138</v>
      </c>
      <c r="CE1753" s="28" t="s">
        <v>33349</v>
      </c>
      <c r="CF1753" s="28" t="s">
        <v>138</v>
      </c>
      <c r="CG1753" s="28" t="s">
        <v>138</v>
      </c>
      <c r="CH1753" s="28" t="s">
        <v>177</v>
      </c>
      <c r="CI1753" s="28" t="s">
        <v>138</v>
      </c>
      <c r="CJ1753" s="28" t="s">
        <v>138</v>
      </c>
      <c r="CK1753" s="28" t="s">
        <v>138</v>
      </c>
      <c r="CL1753" s="28" t="s">
        <v>175</v>
      </c>
      <c r="CM1753" s="34">
        <v>40939</v>
      </c>
      <c r="CN1753" s="29">
        <v>2.0699999999999998</v>
      </c>
      <c r="CO1753" s="35" t="s">
        <v>138</v>
      </c>
      <c r="CP1753" s="36" t="s">
        <v>138</v>
      </c>
      <c r="CQ1753" s="35" t="s">
        <v>138</v>
      </c>
      <c r="CR1753" s="35" t="s">
        <v>138</v>
      </c>
      <c r="CS1753" s="35" t="s">
        <v>138</v>
      </c>
      <c r="CT1753" s="36" t="s">
        <v>138</v>
      </c>
      <c r="CU1753" s="35" t="s">
        <v>138</v>
      </c>
      <c r="CV1753" s="36" t="s">
        <v>138</v>
      </c>
      <c r="CW1753" s="35" t="s">
        <v>138</v>
      </c>
      <c r="CX1753" s="36" t="s">
        <v>138</v>
      </c>
      <c r="CY1753" s="35" t="s">
        <v>138</v>
      </c>
      <c r="CZ1753" s="36" t="s">
        <v>138</v>
      </c>
      <c r="DA1753" s="35" t="s">
        <v>138</v>
      </c>
      <c r="DB1753" s="36" t="s">
        <v>138</v>
      </c>
      <c r="DC1753" s="37" t="s">
        <v>138</v>
      </c>
      <c r="DD1753" s="36" t="s">
        <v>138</v>
      </c>
      <c r="DE1753" s="37" t="s">
        <v>138</v>
      </c>
      <c r="DF1753" s="35" t="s">
        <v>138</v>
      </c>
      <c r="DG1753" s="37" t="s">
        <v>138</v>
      </c>
      <c r="DH1753" s="36" t="s">
        <v>138</v>
      </c>
      <c r="DI1753" s="37" t="s">
        <v>138</v>
      </c>
      <c r="DJ1753" s="36" t="s">
        <v>138</v>
      </c>
      <c r="DK1753" s="37" t="s">
        <v>138</v>
      </c>
      <c r="DL1753" s="36" t="s">
        <v>138</v>
      </c>
      <c r="DM1753" s="37" t="s">
        <v>138</v>
      </c>
      <c r="DN1753" s="36" t="s">
        <v>138</v>
      </c>
      <c r="DO1753" s="37" t="s">
        <v>138</v>
      </c>
      <c r="DP1753" s="36" t="s">
        <v>138</v>
      </c>
      <c r="DQ1753" s="36" t="s">
        <v>138</v>
      </c>
      <c r="DR1753" s="38" t="s">
        <v>138</v>
      </c>
      <c r="DS1753" s="35" t="s">
        <v>138</v>
      </c>
      <c r="DT1753" s="36" t="s">
        <v>138</v>
      </c>
      <c r="DU1753" s="38" t="s">
        <v>138</v>
      </c>
      <c r="DV1753" s="35" t="s">
        <v>138</v>
      </c>
      <c r="DW1753" s="36" t="s">
        <v>138</v>
      </c>
      <c r="DX1753" s="39" t="s">
        <v>138</v>
      </c>
      <c r="DY1753" s="35" t="s">
        <v>138</v>
      </c>
      <c r="DZ1753" s="28" t="s">
        <v>178</v>
      </c>
      <c r="EA1753" s="34">
        <v>43467</v>
      </c>
      <c r="EB1753" s="29">
        <v>60.64</v>
      </c>
      <c r="EC1753" s="34">
        <v>37939</v>
      </c>
      <c r="ED1753" s="28" t="s">
        <v>173</v>
      </c>
      <c r="EE1753" s="40" t="str">
        <f>HYPERLINK("https://my.pitchbook.com?c=52861-24", "View company online")</f>
        <v>View company online</v>
      </c>
    </row>
    <row r="1754" spans="1:135">
      <c r="A1754" s="15" t="s">
        <v>33350</v>
      </c>
      <c r="B1754" s="15" t="s">
        <v>33351</v>
      </c>
      <c r="C1754" s="15" t="s">
        <v>138</v>
      </c>
      <c r="D1754" s="15" t="s">
        <v>138</v>
      </c>
      <c r="E1754" s="15" t="s">
        <v>33352</v>
      </c>
      <c r="F1754" s="15" t="s">
        <v>33350</v>
      </c>
      <c r="G1754" s="15" t="s">
        <v>33353</v>
      </c>
      <c r="H1754" s="15" t="s">
        <v>238</v>
      </c>
      <c r="I1754" s="15" t="s">
        <v>269</v>
      </c>
      <c r="J1754" s="15" t="s">
        <v>14695</v>
      </c>
      <c r="K1754" s="15" t="s">
        <v>33354</v>
      </c>
      <c r="L1754" s="15" t="s">
        <v>1104</v>
      </c>
      <c r="M1754" s="15" t="s">
        <v>33355</v>
      </c>
      <c r="N1754" s="15" t="s">
        <v>147</v>
      </c>
      <c r="O1754" s="17">
        <v>51.2</v>
      </c>
      <c r="P1754" s="15" t="s">
        <v>148</v>
      </c>
      <c r="Q1754" s="15" t="s">
        <v>149</v>
      </c>
      <c r="R1754" s="15" t="s">
        <v>174</v>
      </c>
      <c r="S1754" s="15" t="s">
        <v>33356</v>
      </c>
      <c r="T1754" s="18">
        <v>200</v>
      </c>
      <c r="U1754" s="15" t="s">
        <v>33357</v>
      </c>
      <c r="V1754" s="15" t="s">
        <v>138</v>
      </c>
      <c r="W1754" s="15" t="s">
        <v>138</v>
      </c>
      <c r="X1754" s="19">
        <v>2011</v>
      </c>
      <c r="Y1754" s="15" t="s">
        <v>138</v>
      </c>
      <c r="Z1754" s="15" t="s">
        <v>138</v>
      </c>
      <c r="AA1754" s="15" t="s">
        <v>138</v>
      </c>
      <c r="AB1754" s="20" t="s">
        <v>138</v>
      </c>
      <c r="AC1754" s="20" t="s">
        <v>138</v>
      </c>
      <c r="AD1754" s="20" t="s">
        <v>138</v>
      </c>
      <c r="AE1754" s="20" t="s">
        <v>138</v>
      </c>
      <c r="AF1754" s="20" t="s">
        <v>138</v>
      </c>
      <c r="AG1754" s="15" t="s">
        <v>138</v>
      </c>
      <c r="AH1754" s="20" t="s">
        <v>138</v>
      </c>
      <c r="AI1754" s="20" t="s">
        <v>138</v>
      </c>
      <c r="AJ1754" s="20" t="s">
        <v>138</v>
      </c>
      <c r="AK1754" s="15" t="s">
        <v>33358</v>
      </c>
      <c r="AL1754" s="15" t="s">
        <v>33359</v>
      </c>
      <c r="AM1754" s="15" t="s">
        <v>304</v>
      </c>
      <c r="AN1754" s="15" t="s">
        <v>33360</v>
      </c>
      <c r="AO1754" s="15" t="s">
        <v>33361</v>
      </c>
      <c r="AP1754" s="15" t="s">
        <v>941</v>
      </c>
      <c r="AQ1754" s="15" t="s">
        <v>33362</v>
      </c>
      <c r="AR1754" s="15" t="s">
        <v>138</v>
      </c>
      <c r="AS1754" s="15" t="s">
        <v>944</v>
      </c>
      <c r="AT1754" s="15" t="s">
        <v>138</v>
      </c>
      <c r="AU1754" s="15" t="s">
        <v>33363</v>
      </c>
      <c r="AV1754" s="15" t="s">
        <v>946</v>
      </c>
      <c r="AW1754" s="15" t="s">
        <v>33361</v>
      </c>
      <c r="AX1754" s="15" t="s">
        <v>33364</v>
      </c>
      <c r="AY1754" s="15" t="s">
        <v>33365</v>
      </c>
      <c r="AZ1754" s="15" t="s">
        <v>530</v>
      </c>
      <c r="BA1754" s="15" t="s">
        <v>531</v>
      </c>
      <c r="BB1754" s="15" t="s">
        <v>33366</v>
      </c>
      <c r="BC1754" s="15" t="s">
        <v>33367</v>
      </c>
      <c r="BD1754" s="21">
        <v>8</v>
      </c>
      <c r="BE1754" s="15" t="s">
        <v>138</v>
      </c>
      <c r="BF1754" s="15" t="s">
        <v>138</v>
      </c>
      <c r="BG1754" s="15" t="s">
        <v>138</v>
      </c>
      <c r="BH1754" s="15" t="s">
        <v>33368</v>
      </c>
      <c r="BI1754" s="15" t="s">
        <v>138</v>
      </c>
      <c r="BJ1754" s="15" t="s">
        <v>138</v>
      </c>
      <c r="BK1754" s="15" t="s">
        <v>33369</v>
      </c>
      <c r="BL1754" s="15" t="s">
        <v>33370</v>
      </c>
      <c r="BM1754" s="22">
        <v>40909</v>
      </c>
      <c r="BN1754" s="17" t="s">
        <v>138</v>
      </c>
      <c r="BO1754" s="15" t="s">
        <v>138</v>
      </c>
      <c r="BP1754" s="17" t="s">
        <v>138</v>
      </c>
      <c r="BQ1754" s="15" t="s">
        <v>138</v>
      </c>
      <c r="BR1754" s="15" t="s">
        <v>205</v>
      </c>
      <c r="BS1754" s="15" t="s">
        <v>138</v>
      </c>
      <c r="BT1754" s="15" t="s">
        <v>138</v>
      </c>
      <c r="BU1754" s="15" t="s">
        <v>174</v>
      </c>
      <c r="BV1754" s="15" t="s">
        <v>138</v>
      </c>
      <c r="BW1754" s="15" t="s">
        <v>138</v>
      </c>
      <c r="BX1754" s="15" t="s">
        <v>138</v>
      </c>
      <c r="BY1754" s="15" t="s">
        <v>175</v>
      </c>
      <c r="BZ1754" s="22">
        <v>43124</v>
      </c>
      <c r="CA1754" s="17">
        <v>40</v>
      </c>
      <c r="CB1754" s="15" t="s">
        <v>1178</v>
      </c>
      <c r="CC1754" s="17" t="s">
        <v>138</v>
      </c>
      <c r="CD1754" s="15" t="s">
        <v>138</v>
      </c>
      <c r="CE1754" s="15" t="s">
        <v>173</v>
      </c>
      <c r="CF1754" s="15" t="s">
        <v>433</v>
      </c>
      <c r="CG1754" s="15" t="s">
        <v>138</v>
      </c>
      <c r="CH1754" s="15" t="s">
        <v>174</v>
      </c>
      <c r="CI1754" s="15" t="s">
        <v>138</v>
      </c>
      <c r="CJ1754" s="15" t="s">
        <v>138</v>
      </c>
      <c r="CK1754" s="15" t="s">
        <v>138</v>
      </c>
      <c r="CL1754" s="15" t="s">
        <v>175</v>
      </c>
      <c r="CM1754" s="22" t="s">
        <v>138</v>
      </c>
      <c r="CN1754" s="17" t="s">
        <v>138</v>
      </c>
      <c r="CO1754" s="23">
        <v>0.46</v>
      </c>
      <c r="CP1754" s="24">
        <v>95</v>
      </c>
      <c r="CQ1754" s="23">
        <v>0</v>
      </c>
      <c r="CR1754" s="23">
        <v>0.18</v>
      </c>
      <c r="CS1754" s="23">
        <v>0.17</v>
      </c>
      <c r="CT1754" s="24">
        <v>94</v>
      </c>
      <c r="CU1754" s="23">
        <v>7.0000000000000007E-2</v>
      </c>
      <c r="CV1754" s="24">
        <v>62</v>
      </c>
      <c r="CW1754" s="23">
        <v>1.07</v>
      </c>
      <c r="CX1754" s="24">
        <v>85</v>
      </c>
      <c r="CY1754" s="23">
        <v>-0.72</v>
      </c>
      <c r="CZ1754" s="24">
        <v>21</v>
      </c>
      <c r="DA1754" s="23">
        <v>0.19</v>
      </c>
      <c r="DB1754" s="24">
        <v>82</v>
      </c>
      <c r="DC1754" s="25">
        <v>172.91</v>
      </c>
      <c r="DD1754" s="24">
        <v>100</v>
      </c>
      <c r="DE1754" s="25">
        <v>0.4</v>
      </c>
      <c r="DF1754" s="23">
        <v>0.23</v>
      </c>
      <c r="DG1754" s="25">
        <v>75.989999999999995</v>
      </c>
      <c r="DH1754" s="24">
        <v>99</v>
      </c>
      <c r="DI1754" s="25">
        <v>320.45999999999998</v>
      </c>
      <c r="DJ1754" s="24">
        <v>99</v>
      </c>
      <c r="DK1754" s="25">
        <v>76.16</v>
      </c>
      <c r="DL1754" s="24">
        <v>97</v>
      </c>
      <c r="DM1754" s="25">
        <v>75.83</v>
      </c>
      <c r="DN1754" s="24">
        <v>99</v>
      </c>
      <c r="DO1754" s="25">
        <v>29.87</v>
      </c>
      <c r="DP1754" s="24">
        <v>95</v>
      </c>
      <c r="DQ1754" s="24">
        <v>26118</v>
      </c>
      <c r="DR1754" s="26">
        <v>15</v>
      </c>
      <c r="DS1754" s="23">
        <v>0.06</v>
      </c>
      <c r="DT1754" s="24">
        <v>2200</v>
      </c>
      <c r="DU1754" s="26">
        <v>-6</v>
      </c>
      <c r="DV1754" s="23">
        <v>-0.27</v>
      </c>
      <c r="DW1754" s="24">
        <v>10683</v>
      </c>
      <c r="DX1754" s="27">
        <v>53</v>
      </c>
      <c r="DY1754" s="23">
        <v>0.5</v>
      </c>
      <c r="DZ1754" s="15" t="s">
        <v>178</v>
      </c>
      <c r="EA1754" s="22">
        <v>43622</v>
      </c>
      <c r="EB1754" s="17">
        <v>67.22</v>
      </c>
      <c r="EC1754" s="22">
        <v>42583</v>
      </c>
      <c r="ED1754" s="15" t="s">
        <v>173</v>
      </c>
      <c r="EE1754" s="14" t="str">
        <f>HYPERLINK("https://my.pitchbook.com?c=60765-58", "View company online")</f>
        <v>View company online</v>
      </c>
    </row>
    <row r="1755" spans="1:135">
      <c r="A1755" s="28" t="s">
        <v>33371</v>
      </c>
      <c r="B1755" s="28" t="s">
        <v>33372</v>
      </c>
      <c r="C1755" s="28" t="s">
        <v>138</v>
      </c>
      <c r="D1755" s="28" t="s">
        <v>138</v>
      </c>
      <c r="E1755" s="28" t="s">
        <v>33373</v>
      </c>
      <c r="F1755" s="28" t="s">
        <v>33371</v>
      </c>
      <c r="G1755" s="28" t="s">
        <v>33374</v>
      </c>
      <c r="H1755" s="28" t="s">
        <v>183</v>
      </c>
      <c r="I1755" s="28" t="s">
        <v>3466</v>
      </c>
      <c r="J1755" s="28" t="s">
        <v>19106</v>
      </c>
      <c r="K1755" s="28" t="s">
        <v>33375</v>
      </c>
      <c r="L1755" s="28" t="s">
        <v>17569</v>
      </c>
      <c r="M1755" s="28" t="s">
        <v>33376</v>
      </c>
      <c r="N1755" s="28" t="s">
        <v>147</v>
      </c>
      <c r="O1755" s="29">
        <v>8.43</v>
      </c>
      <c r="P1755" s="28" t="s">
        <v>148</v>
      </c>
      <c r="Q1755" s="28" t="s">
        <v>149</v>
      </c>
      <c r="R1755" s="28" t="s">
        <v>174</v>
      </c>
      <c r="S1755" s="28" t="s">
        <v>33377</v>
      </c>
      <c r="T1755" s="30">
        <v>11</v>
      </c>
      <c r="U1755" s="28" t="s">
        <v>33378</v>
      </c>
      <c r="V1755" s="28" t="s">
        <v>138</v>
      </c>
      <c r="W1755" s="28" t="s">
        <v>138</v>
      </c>
      <c r="X1755" s="31">
        <v>2005</v>
      </c>
      <c r="Y1755" s="28" t="s">
        <v>138</v>
      </c>
      <c r="Z1755" s="28" t="s">
        <v>138</v>
      </c>
      <c r="AA1755" s="28" t="s">
        <v>138</v>
      </c>
      <c r="AB1755" s="32" t="s">
        <v>138</v>
      </c>
      <c r="AC1755" s="32" t="s">
        <v>138</v>
      </c>
      <c r="AD1755" s="32" t="s">
        <v>138</v>
      </c>
      <c r="AE1755" s="32" t="s">
        <v>138</v>
      </c>
      <c r="AF1755" s="32" t="s">
        <v>138</v>
      </c>
      <c r="AG1755" s="28" t="s">
        <v>138</v>
      </c>
      <c r="AH1755" s="32" t="s">
        <v>138</v>
      </c>
      <c r="AI1755" s="32" t="s">
        <v>138</v>
      </c>
      <c r="AJ1755" s="32" t="s">
        <v>138</v>
      </c>
      <c r="AK1755" s="28" t="s">
        <v>33379</v>
      </c>
      <c r="AL1755" s="28" t="s">
        <v>33380</v>
      </c>
      <c r="AM1755" s="28" t="s">
        <v>33381</v>
      </c>
      <c r="AN1755" s="28" t="s">
        <v>33382</v>
      </c>
      <c r="AO1755" s="28" t="s">
        <v>33383</v>
      </c>
      <c r="AP1755" s="28" t="s">
        <v>33384</v>
      </c>
      <c r="AQ1755" s="28" t="s">
        <v>33385</v>
      </c>
      <c r="AR1755" s="28" t="s">
        <v>33386</v>
      </c>
      <c r="AS1755" s="28" t="s">
        <v>33387</v>
      </c>
      <c r="AT1755" s="28" t="s">
        <v>864</v>
      </c>
      <c r="AU1755" s="28" t="s">
        <v>33388</v>
      </c>
      <c r="AV1755" s="28" t="s">
        <v>162</v>
      </c>
      <c r="AW1755" s="28" t="s">
        <v>33383</v>
      </c>
      <c r="AX1755" s="28" t="s">
        <v>33389</v>
      </c>
      <c r="AY1755" s="28" t="s">
        <v>33390</v>
      </c>
      <c r="AZ1755" s="28" t="s">
        <v>164</v>
      </c>
      <c r="BA1755" s="28" t="s">
        <v>165</v>
      </c>
      <c r="BB1755" s="28" t="s">
        <v>33391</v>
      </c>
      <c r="BC1755" s="28" t="s">
        <v>33392</v>
      </c>
      <c r="BD1755" s="33">
        <v>1</v>
      </c>
      <c r="BE1755" s="28" t="s">
        <v>138</v>
      </c>
      <c r="BF1755" s="28" t="s">
        <v>138</v>
      </c>
      <c r="BG1755" s="28" t="s">
        <v>138</v>
      </c>
      <c r="BH1755" s="28" t="s">
        <v>33393</v>
      </c>
      <c r="BI1755" s="28" t="s">
        <v>138</v>
      </c>
      <c r="BJ1755" s="28" t="s">
        <v>138</v>
      </c>
      <c r="BK1755" s="28" t="s">
        <v>138</v>
      </c>
      <c r="BL1755" s="28" t="s">
        <v>138</v>
      </c>
      <c r="BM1755" s="34">
        <v>38936</v>
      </c>
      <c r="BN1755" s="29">
        <v>0.6</v>
      </c>
      <c r="BO1755" s="28" t="s">
        <v>172</v>
      </c>
      <c r="BP1755" s="29" t="s">
        <v>138</v>
      </c>
      <c r="BQ1755" s="28" t="s">
        <v>138</v>
      </c>
      <c r="BR1755" s="28" t="s">
        <v>205</v>
      </c>
      <c r="BS1755" s="28" t="s">
        <v>138</v>
      </c>
      <c r="BT1755" s="28" t="s">
        <v>138</v>
      </c>
      <c r="BU1755" s="28" t="s">
        <v>174</v>
      </c>
      <c r="BV1755" s="28" t="s">
        <v>264</v>
      </c>
      <c r="BW1755" s="28" t="s">
        <v>138</v>
      </c>
      <c r="BX1755" s="28" t="s">
        <v>138</v>
      </c>
      <c r="BY1755" s="28" t="s">
        <v>175</v>
      </c>
      <c r="BZ1755" s="34">
        <v>40625</v>
      </c>
      <c r="CA1755" s="29">
        <v>4.93</v>
      </c>
      <c r="CB1755" s="28" t="s">
        <v>172</v>
      </c>
      <c r="CC1755" s="29">
        <v>30.82</v>
      </c>
      <c r="CD1755" s="28" t="s">
        <v>172</v>
      </c>
      <c r="CE1755" s="28" t="s">
        <v>173</v>
      </c>
      <c r="CF1755" s="28" t="s">
        <v>206</v>
      </c>
      <c r="CG1755" s="28" t="s">
        <v>138</v>
      </c>
      <c r="CH1755" s="28" t="s">
        <v>174</v>
      </c>
      <c r="CI1755" s="28" t="s">
        <v>138</v>
      </c>
      <c r="CJ1755" s="28" t="s">
        <v>138</v>
      </c>
      <c r="CK1755" s="28" t="s">
        <v>138</v>
      </c>
      <c r="CL1755" s="28" t="s">
        <v>175</v>
      </c>
      <c r="CM1755" s="34" t="s">
        <v>138</v>
      </c>
      <c r="CN1755" s="29" t="s">
        <v>138</v>
      </c>
      <c r="CO1755" s="35">
        <v>0</v>
      </c>
      <c r="CP1755" s="36">
        <v>26</v>
      </c>
      <c r="CQ1755" s="35">
        <v>0</v>
      </c>
      <c r="CR1755" s="35">
        <v>0</v>
      </c>
      <c r="CS1755" s="35">
        <v>0</v>
      </c>
      <c r="CT1755" s="36">
        <v>23</v>
      </c>
      <c r="CU1755" s="35">
        <v>0</v>
      </c>
      <c r="CV1755" s="36">
        <v>22</v>
      </c>
      <c r="CW1755" s="35" t="s">
        <v>138</v>
      </c>
      <c r="CX1755" s="36" t="s">
        <v>138</v>
      </c>
      <c r="CY1755" s="35">
        <v>0</v>
      </c>
      <c r="CZ1755" s="36">
        <v>25</v>
      </c>
      <c r="DA1755" s="35">
        <v>0</v>
      </c>
      <c r="DB1755" s="36">
        <v>22</v>
      </c>
      <c r="DC1755" s="37">
        <v>0.76</v>
      </c>
      <c r="DD1755" s="36">
        <v>44</v>
      </c>
      <c r="DE1755" s="37">
        <v>0</v>
      </c>
      <c r="DF1755" s="35">
        <v>0</v>
      </c>
      <c r="DG1755" s="37">
        <v>1.52</v>
      </c>
      <c r="DH1755" s="36">
        <v>61</v>
      </c>
      <c r="DI1755" s="37">
        <v>0.01</v>
      </c>
      <c r="DJ1755" s="36">
        <v>1</v>
      </c>
      <c r="DK1755" s="37" t="s">
        <v>138</v>
      </c>
      <c r="DL1755" s="36" t="s">
        <v>138</v>
      </c>
      <c r="DM1755" s="37">
        <v>1.52</v>
      </c>
      <c r="DN1755" s="36">
        <v>60</v>
      </c>
      <c r="DO1755" s="37">
        <v>0.01</v>
      </c>
      <c r="DP1755" s="36">
        <v>1</v>
      </c>
      <c r="DQ1755" s="36" t="s">
        <v>138</v>
      </c>
      <c r="DR1755" s="38" t="s">
        <v>138</v>
      </c>
      <c r="DS1755" s="35" t="s">
        <v>138</v>
      </c>
      <c r="DT1755" s="36">
        <v>44</v>
      </c>
      <c r="DU1755" s="38">
        <v>0</v>
      </c>
      <c r="DV1755" s="35">
        <v>0</v>
      </c>
      <c r="DW1755" s="36">
        <v>2</v>
      </c>
      <c r="DX1755" s="39">
        <v>0</v>
      </c>
      <c r="DY1755" s="35">
        <v>0</v>
      </c>
      <c r="DZ1755" s="28" t="s">
        <v>178</v>
      </c>
      <c r="EA1755" s="34">
        <v>43495</v>
      </c>
      <c r="EB1755" s="29">
        <v>30.82</v>
      </c>
      <c r="EC1755" s="34">
        <v>40625</v>
      </c>
      <c r="ED1755" s="28" t="s">
        <v>173</v>
      </c>
      <c r="EE1755" s="40" t="str">
        <f>HYPERLINK("https://my.pitchbook.com?c=56249-29", "View company online")</f>
        <v>View company online</v>
      </c>
    </row>
    <row r="1756" spans="1:135">
      <c r="A1756" s="15" t="s">
        <v>33394</v>
      </c>
      <c r="B1756" s="15" t="s">
        <v>33395</v>
      </c>
      <c r="C1756" s="15" t="s">
        <v>138</v>
      </c>
      <c r="D1756" s="15" t="s">
        <v>138</v>
      </c>
      <c r="E1756" s="15" t="s">
        <v>33396</v>
      </c>
      <c r="F1756" s="15" t="s">
        <v>33394</v>
      </c>
      <c r="G1756" s="15" t="s">
        <v>33397</v>
      </c>
      <c r="H1756" s="15" t="s">
        <v>322</v>
      </c>
      <c r="I1756" s="15" t="s">
        <v>323</v>
      </c>
      <c r="J1756" s="15" t="s">
        <v>324</v>
      </c>
      <c r="K1756" s="15" t="s">
        <v>325</v>
      </c>
      <c r="L1756" s="15" t="s">
        <v>215</v>
      </c>
      <c r="M1756" s="15" t="s">
        <v>33398</v>
      </c>
      <c r="N1756" s="15" t="s">
        <v>147</v>
      </c>
      <c r="O1756" s="17">
        <v>53.51</v>
      </c>
      <c r="P1756" s="15" t="s">
        <v>148</v>
      </c>
      <c r="Q1756" s="15" t="s">
        <v>149</v>
      </c>
      <c r="R1756" s="15" t="s">
        <v>174</v>
      </c>
      <c r="S1756" s="15" t="s">
        <v>33399</v>
      </c>
      <c r="T1756" s="18">
        <v>120</v>
      </c>
      <c r="U1756" s="15" t="s">
        <v>33400</v>
      </c>
      <c r="V1756" s="15" t="s">
        <v>138</v>
      </c>
      <c r="W1756" s="15" t="s">
        <v>138</v>
      </c>
      <c r="X1756" s="19">
        <v>2010</v>
      </c>
      <c r="Y1756" s="15" t="s">
        <v>138</v>
      </c>
      <c r="Z1756" s="15" t="s">
        <v>138</v>
      </c>
      <c r="AA1756" s="15" t="s">
        <v>138</v>
      </c>
      <c r="AB1756" s="20" t="s">
        <v>138</v>
      </c>
      <c r="AC1756" s="20" t="s">
        <v>138</v>
      </c>
      <c r="AD1756" s="20" t="s">
        <v>138</v>
      </c>
      <c r="AE1756" s="20" t="s">
        <v>138</v>
      </c>
      <c r="AF1756" s="20" t="s">
        <v>138</v>
      </c>
      <c r="AG1756" s="15" t="s">
        <v>138</v>
      </c>
      <c r="AH1756" s="20" t="s">
        <v>138</v>
      </c>
      <c r="AI1756" s="20" t="s">
        <v>138</v>
      </c>
      <c r="AJ1756" s="20" t="s">
        <v>138</v>
      </c>
      <c r="AK1756" s="15" t="s">
        <v>33401</v>
      </c>
      <c r="AL1756" s="15" t="s">
        <v>33402</v>
      </c>
      <c r="AM1756" s="15" t="s">
        <v>304</v>
      </c>
      <c r="AN1756" s="15" t="s">
        <v>33403</v>
      </c>
      <c r="AO1756" s="15" t="s">
        <v>138</v>
      </c>
      <c r="AP1756" s="15" t="s">
        <v>423</v>
      </c>
      <c r="AQ1756" s="15" t="s">
        <v>33404</v>
      </c>
      <c r="AR1756" s="15" t="s">
        <v>667</v>
      </c>
      <c r="AS1756" s="15" t="s">
        <v>426</v>
      </c>
      <c r="AT1756" s="15" t="s">
        <v>426</v>
      </c>
      <c r="AU1756" s="15" t="s">
        <v>8757</v>
      </c>
      <c r="AV1756" s="15" t="s">
        <v>162</v>
      </c>
      <c r="AW1756" s="15" t="s">
        <v>138</v>
      </c>
      <c r="AX1756" s="15" t="s">
        <v>138</v>
      </c>
      <c r="AY1756" s="15" t="s">
        <v>33405</v>
      </c>
      <c r="AZ1756" s="15" t="s">
        <v>164</v>
      </c>
      <c r="BA1756" s="15" t="s">
        <v>165</v>
      </c>
      <c r="BB1756" s="15" t="s">
        <v>33406</v>
      </c>
      <c r="BC1756" s="15" t="s">
        <v>33407</v>
      </c>
      <c r="BD1756" s="21">
        <v>21</v>
      </c>
      <c r="BE1756" s="15" t="s">
        <v>138</v>
      </c>
      <c r="BF1756" s="15" t="s">
        <v>138</v>
      </c>
      <c r="BG1756" s="15" t="s">
        <v>138</v>
      </c>
      <c r="BH1756" s="15" t="s">
        <v>33408</v>
      </c>
      <c r="BI1756" s="15" t="s">
        <v>138</v>
      </c>
      <c r="BJ1756" s="15" t="s">
        <v>138</v>
      </c>
      <c r="BK1756" s="15" t="s">
        <v>138</v>
      </c>
      <c r="BL1756" s="15" t="s">
        <v>33409</v>
      </c>
      <c r="BM1756" s="22">
        <v>40664</v>
      </c>
      <c r="BN1756" s="17">
        <v>1.5</v>
      </c>
      <c r="BO1756" s="15" t="s">
        <v>172</v>
      </c>
      <c r="BP1756" s="17" t="s">
        <v>138</v>
      </c>
      <c r="BQ1756" s="15" t="s">
        <v>138</v>
      </c>
      <c r="BR1756" s="15" t="s">
        <v>234</v>
      </c>
      <c r="BS1756" s="15" t="s">
        <v>234</v>
      </c>
      <c r="BT1756" s="15" t="s">
        <v>138</v>
      </c>
      <c r="BU1756" s="15" t="s">
        <v>263</v>
      </c>
      <c r="BV1756" s="15" t="s">
        <v>138</v>
      </c>
      <c r="BW1756" s="15" t="s">
        <v>138</v>
      </c>
      <c r="BX1756" s="15" t="s">
        <v>138</v>
      </c>
      <c r="BY1756" s="15" t="s">
        <v>175</v>
      </c>
      <c r="BZ1756" s="22">
        <v>43572</v>
      </c>
      <c r="CA1756" s="17">
        <v>27</v>
      </c>
      <c r="CB1756" s="15" t="s">
        <v>172</v>
      </c>
      <c r="CC1756" s="17" t="s">
        <v>138</v>
      </c>
      <c r="CD1756" s="15" t="s">
        <v>138</v>
      </c>
      <c r="CE1756" s="15" t="s">
        <v>173</v>
      </c>
      <c r="CF1756" s="15" t="s">
        <v>433</v>
      </c>
      <c r="CG1756" s="15" t="s">
        <v>138</v>
      </c>
      <c r="CH1756" s="15" t="s">
        <v>174</v>
      </c>
      <c r="CI1756" s="15" t="s">
        <v>138</v>
      </c>
      <c r="CJ1756" s="15" t="s">
        <v>138</v>
      </c>
      <c r="CK1756" s="15" t="s">
        <v>138</v>
      </c>
      <c r="CL1756" s="15" t="s">
        <v>175</v>
      </c>
      <c r="CM1756" s="22" t="s">
        <v>138</v>
      </c>
      <c r="CN1756" s="17" t="s">
        <v>138</v>
      </c>
      <c r="CO1756" s="23">
        <v>0.84</v>
      </c>
      <c r="CP1756" s="24">
        <v>97</v>
      </c>
      <c r="CQ1756" s="23">
        <v>-0.05</v>
      </c>
      <c r="CR1756" s="23">
        <v>-5.28</v>
      </c>
      <c r="CS1756" s="23">
        <v>2.15</v>
      </c>
      <c r="CT1756" s="24">
        <v>98</v>
      </c>
      <c r="CU1756" s="23">
        <v>0.09</v>
      </c>
      <c r="CV1756" s="24">
        <v>66</v>
      </c>
      <c r="CW1756" s="23">
        <v>6.04</v>
      </c>
      <c r="CX1756" s="24">
        <v>97</v>
      </c>
      <c r="CY1756" s="23">
        <v>-1.74</v>
      </c>
      <c r="CZ1756" s="24">
        <v>13</v>
      </c>
      <c r="DA1756" s="23">
        <v>0.08</v>
      </c>
      <c r="DB1756" s="24">
        <v>69</v>
      </c>
      <c r="DC1756" s="25">
        <v>23.64</v>
      </c>
      <c r="DD1756" s="24">
        <v>95</v>
      </c>
      <c r="DE1756" s="25">
        <v>-0.56000000000000005</v>
      </c>
      <c r="DF1756" s="23">
        <v>-2.33</v>
      </c>
      <c r="DG1756" s="25">
        <v>51.54</v>
      </c>
      <c r="DH1756" s="24">
        <v>98</v>
      </c>
      <c r="DI1756" s="25">
        <v>17.3</v>
      </c>
      <c r="DJ1756" s="24">
        <v>90</v>
      </c>
      <c r="DK1756" s="25">
        <v>31.78</v>
      </c>
      <c r="DL1756" s="24">
        <v>94</v>
      </c>
      <c r="DM1756" s="25">
        <v>71.31</v>
      </c>
      <c r="DN1756" s="24">
        <v>99</v>
      </c>
      <c r="DO1756" s="25">
        <v>28.95</v>
      </c>
      <c r="DP1756" s="24">
        <v>94</v>
      </c>
      <c r="DQ1756" s="24">
        <v>10621</v>
      </c>
      <c r="DR1756" s="26">
        <v>837</v>
      </c>
      <c r="DS1756" s="23">
        <v>8.5500000000000007</v>
      </c>
      <c r="DT1756" s="24">
        <v>2063</v>
      </c>
      <c r="DU1756" s="26">
        <v>12</v>
      </c>
      <c r="DV1756" s="23">
        <v>0.59</v>
      </c>
      <c r="DW1756" s="24">
        <v>10361</v>
      </c>
      <c r="DX1756" s="27">
        <v>3</v>
      </c>
      <c r="DY1756" s="23">
        <v>0.03</v>
      </c>
      <c r="DZ1756" s="15" t="s">
        <v>178</v>
      </c>
      <c r="EA1756" s="22">
        <v>43622</v>
      </c>
      <c r="EB1756" s="17">
        <v>10.029999999999999</v>
      </c>
      <c r="EC1756" s="22">
        <v>42045</v>
      </c>
      <c r="ED1756" s="15" t="s">
        <v>205</v>
      </c>
      <c r="EE1756" s="14" t="str">
        <f>HYPERLINK("https://my.pitchbook.com?c=54711-10", "View company online")</f>
        <v>View company online</v>
      </c>
    </row>
    <row r="1757" spans="1:135">
      <c r="A1757" s="28" t="s">
        <v>33410</v>
      </c>
      <c r="B1757" s="28" t="s">
        <v>33411</v>
      </c>
      <c r="C1757" s="28" t="s">
        <v>138</v>
      </c>
      <c r="D1757" s="28" t="s">
        <v>138</v>
      </c>
      <c r="E1757" s="28" t="s">
        <v>138</v>
      </c>
      <c r="F1757" s="28" t="s">
        <v>33410</v>
      </c>
      <c r="G1757" s="28" t="s">
        <v>33412</v>
      </c>
      <c r="H1757" s="28" t="s">
        <v>141</v>
      </c>
      <c r="I1757" s="28" t="s">
        <v>212</v>
      </c>
      <c r="J1757" s="28" t="s">
        <v>655</v>
      </c>
      <c r="K1757" s="28" t="s">
        <v>33413</v>
      </c>
      <c r="L1757" s="28" t="s">
        <v>2599</v>
      </c>
      <c r="M1757" s="28" t="s">
        <v>33414</v>
      </c>
      <c r="N1757" s="28" t="s">
        <v>147</v>
      </c>
      <c r="O1757" s="29">
        <v>35.11</v>
      </c>
      <c r="P1757" s="28" t="s">
        <v>812</v>
      </c>
      <c r="Q1757" s="28" t="s">
        <v>149</v>
      </c>
      <c r="R1757" s="28" t="s">
        <v>174</v>
      </c>
      <c r="S1757" s="28" t="s">
        <v>33415</v>
      </c>
      <c r="T1757" s="30">
        <v>400</v>
      </c>
      <c r="U1757" s="28" t="s">
        <v>33416</v>
      </c>
      <c r="V1757" s="28" t="s">
        <v>138</v>
      </c>
      <c r="W1757" s="28" t="s">
        <v>138</v>
      </c>
      <c r="X1757" s="31">
        <v>2009</v>
      </c>
      <c r="Y1757" s="28" t="s">
        <v>138</v>
      </c>
      <c r="Z1757" s="28" t="s">
        <v>138</v>
      </c>
      <c r="AA1757" s="28" t="s">
        <v>138</v>
      </c>
      <c r="AB1757" s="32" t="s">
        <v>138</v>
      </c>
      <c r="AC1757" s="32" t="s">
        <v>138</v>
      </c>
      <c r="AD1757" s="32" t="s">
        <v>138</v>
      </c>
      <c r="AE1757" s="32" t="s">
        <v>138</v>
      </c>
      <c r="AF1757" s="32" t="s">
        <v>138</v>
      </c>
      <c r="AG1757" s="28" t="s">
        <v>138</v>
      </c>
      <c r="AH1757" s="32" t="s">
        <v>138</v>
      </c>
      <c r="AI1757" s="32" t="s">
        <v>138</v>
      </c>
      <c r="AJ1757" s="32" t="s">
        <v>138</v>
      </c>
      <c r="AK1757" s="28" t="s">
        <v>33417</v>
      </c>
      <c r="AL1757" s="28" t="s">
        <v>33418</v>
      </c>
      <c r="AM1757" s="28" t="s">
        <v>33419</v>
      </c>
      <c r="AN1757" s="28" t="s">
        <v>33420</v>
      </c>
      <c r="AO1757" s="28" t="s">
        <v>33421</v>
      </c>
      <c r="AP1757" s="28" t="s">
        <v>1195</v>
      </c>
      <c r="AQ1757" s="28" t="s">
        <v>33422</v>
      </c>
      <c r="AR1757" s="28" t="s">
        <v>138</v>
      </c>
      <c r="AS1757" s="28" t="s">
        <v>1198</v>
      </c>
      <c r="AT1757" s="28" t="s">
        <v>138</v>
      </c>
      <c r="AU1757" s="28" t="s">
        <v>18783</v>
      </c>
      <c r="AV1757" s="28" t="s">
        <v>1200</v>
      </c>
      <c r="AW1757" s="28" t="s">
        <v>33421</v>
      </c>
      <c r="AX1757" s="28" t="s">
        <v>138</v>
      </c>
      <c r="AY1757" s="28" t="s">
        <v>138</v>
      </c>
      <c r="AZ1757" s="28" t="s">
        <v>452</v>
      </c>
      <c r="BA1757" s="28" t="s">
        <v>453</v>
      </c>
      <c r="BB1757" s="28" t="s">
        <v>33423</v>
      </c>
      <c r="BC1757" s="28" t="s">
        <v>33424</v>
      </c>
      <c r="BD1757" s="33">
        <v>14</v>
      </c>
      <c r="BE1757" s="28" t="s">
        <v>138</v>
      </c>
      <c r="BF1757" s="28" t="s">
        <v>138</v>
      </c>
      <c r="BG1757" s="28" t="s">
        <v>138</v>
      </c>
      <c r="BH1757" s="28" t="s">
        <v>33425</v>
      </c>
      <c r="BI1757" s="28" t="s">
        <v>138</v>
      </c>
      <c r="BJ1757" s="28" t="s">
        <v>138</v>
      </c>
      <c r="BK1757" s="28" t="s">
        <v>138</v>
      </c>
      <c r="BL1757" s="28" t="s">
        <v>138</v>
      </c>
      <c r="BM1757" s="34" t="s">
        <v>138</v>
      </c>
      <c r="BN1757" s="29" t="s">
        <v>138</v>
      </c>
      <c r="BO1757" s="28" t="s">
        <v>138</v>
      </c>
      <c r="BP1757" s="29" t="s">
        <v>138</v>
      </c>
      <c r="BQ1757" s="28" t="s">
        <v>138</v>
      </c>
      <c r="BR1757" s="28" t="s">
        <v>262</v>
      </c>
      <c r="BS1757" s="28" t="s">
        <v>262</v>
      </c>
      <c r="BT1757" s="28" t="s">
        <v>138</v>
      </c>
      <c r="BU1757" s="28" t="s">
        <v>263</v>
      </c>
      <c r="BV1757" s="28" t="s">
        <v>138</v>
      </c>
      <c r="BW1757" s="28" t="s">
        <v>138</v>
      </c>
      <c r="BX1757" s="28" t="s">
        <v>138</v>
      </c>
      <c r="BY1757" s="28" t="s">
        <v>175</v>
      </c>
      <c r="BZ1757" s="34">
        <v>42644</v>
      </c>
      <c r="CA1757" s="29" t="s">
        <v>138</v>
      </c>
      <c r="CB1757" s="28" t="s">
        <v>138</v>
      </c>
      <c r="CC1757" s="29" t="s">
        <v>138</v>
      </c>
      <c r="CD1757" s="28" t="s">
        <v>138</v>
      </c>
      <c r="CE1757" s="28" t="s">
        <v>173</v>
      </c>
      <c r="CF1757" s="28" t="s">
        <v>138</v>
      </c>
      <c r="CG1757" s="28" t="s">
        <v>138</v>
      </c>
      <c r="CH1757" s="28" t="s">
        <v>174</v>
      </c>
      <c r="CI1757" s="28" t="s">
        <v>138</v>
      </c>
      <c r="CJ1757" s="28" t="s">
        <v>138</v>
      </c>
      <c r="CK1757" s="28" t="s">
        <v>138</v>
      </c>
      <c r="CL1757" s="28" t="s">
        <v>175</v>
      </c>
      <c r="CM1757" s="34" t="s">
        <v>138</v>
      </c>
      <c r="CN1757" s="29" t="s">
        <v>138</v>
      </c>
      <c r="CO1757" s="35">
        <v>1.49</v>
      </c>
      <c r="CP1757" s="36">
        <v>98</v>
      </c>
      <c r="CQ1757" s="35">
        <v>0.04</v>
      </c>
      <c r="CR1757" s="35">
        <v>2.5299999999999998</v>
      </c>
      <c r="CS1757" s="35">
        <v>1.63</v>
      </c>
      <c r="CT1757" s="36">
        <v>98</v>
      </c>
      <c r="CU1757" s="35">
        <v>1.35</v>
      </c>
      <c r="CV1757" s="36">
        <v>99</v>
      </c>
      <c r="CW1757" s="35">
        <v>6.02</v>
      </c>
      <c r="CX1757" s="36">
        <v>97</v>
      </c>
      <c r="CY1757" s="35">
        <v>-2.76</v>
      </c>
      <c r="CZ1757" s="36">
        <v>8</v>
      </c>
      <c r="DA1757" s="35">
        <v>1.35</v>
      </c>
      <c r="DB1757" s="36">
        <v>99</v>
      </c>
      <c r="DC1757" s="37">
        <v>15.89</v>
      </c>
      <c r="DD1757" s="36">
        <v>93</v>
      </c>
      <c r="DE1757" s="37">
        <v>-0.59</v>
      </c>
      <c r="DF1757" s="35">
        <v>-3.57</v>
      </c>
      <c r="DG1757" s="37">
        <v>30.57</v>
      </c>
      <c r="DH1757" s="36">
        <v>97</v>
      </c>
      <c r="DI1757" s="37">
        <v>1.22</v>
      </c>
      <c r="DJ1757" s="36">
        <v>53</v>
      </c>
      <c r="DK1757" s="37">
        <v>18.100000000000001</v>
      </c>
      <c r="DL1757" s="36">
        <v>91</v>
      </c>
      <c r="DM1757" s="37">
        <v>43.03</v>
      </c>
      <c r="DN1757" s="36">
        <v>98</v>
      </c>
      <c r="DO1757" s="37">
        <v>1.22</v>
      </c>
      <c r="DP1757" s="36">
        <v>54</v>
      </c>
      <c r="DQ1757" s="36">
        <v>6112</v>
      </c>
      <c r="DR1757" s="38">
        <v>286</v>
      </c>
      <c r="DS1757" s="35">
        <v>4.91</v>
      </c>
      <c r="DT1757" s="36">
        <v>1248</v>
      </c>
      <c r="DU1757" s="38">
        <v>2</v>
      </c>
      <c r="DV1757" s="35">
        <v>0.16</v>
      </c>
      <c r="DW1757" s="36">
        <v>434</v>
      </c>
      <c r="DX1757" s="39">
        <v>7</v>
      </c>
      <c r="DY1757" s="35">
        <v>1.64</v>
      </c>
      <c r="DZ1757" s="28" t="s">
        <v>178</v>
      </c>
      <c r="EA1757" s="34">
        <v>43607</v>
      </c>
      <c r="EB1757" s="29" t="s">
        <v>138</v>
      </c>
      <c r="EC1757" s="34" t="s">
        <v>138</v>
      </c>
      <c r="ED1757" s="28" t="s">
        <v>138</v>
      </c>
      <c r="EE1757" s="40" t="str">
        <f>HYPERLINK("https://my.pitchbook.com?c=56461-96", "View company online")</f>
        <v>View company online</v>
      </c>
    </row>
    <row r="1758" spans="1:135">
      <c r="A1758" s="15" t="s">
        <v>33426</v>
      </c>
      <c r="B1758" s="15" t="s">
        <v>33427</v>
      </c>
      <c r="C1758" s="15" t="s">
        <v>33428</v>
      </c>
      <c r="D1758" s="15" t="s">
        <v>138</v>
      </c>
      <c r="E1758" s="15" t="s">
        <v>138</v>
      </c>
      <c r="F1758" s="15" t="s">
        <v>33426</v>
      </c>
      <c r="G1758" s="15" t="s">
        <v>33429</v>
      </c>
      <c r="H1758" s="15" t="s">
        <v>322</v>
      </c>
      <c r="I1758" s="15" t="s">
        <v>323</v>
      </c>
      <c r="J1758" s="15" t="s">
        <v>1132</v>
      </c>
      <c r="K1758" s="15" t="s">
        <v>33430</v>
      </c>
      <c r="L1758" s="15" t="s">
        <v>4025</v>
      </c>
      <c r="M1758" s="15" t="s">
        <v>33431</v>
      </c>
      <c r="N1758" s="15" t="s">
        <v>147</v>
      </c>
      <c r="O1758" s="17">
        <v>0.01</v>
      </c>
      <c r="P1758" s="15" t="s">
        <v>148</v>
      </c>
      <c r="Q1758" s="15" t="s">
        <v>149</v>
      </c>
      <c r="R1758" s="15" t="s">
        <v>174</v>
      </c>
      <c r="S1758" s="15" t="s">
        <v>33432</v>
      </c>
      <c r="T1758" s="18" t="s">
        <v>138</v>
      </c>
      <c r="U1758" s="15" t="s">
        <v>138</v>
      </c>
      <c r="V1758" s="15" t="s">
        <v>138</v>
      </c>
      <c r="W1758" s="15" t="s">
        <v>138</v>
      </c>
      <c r="X1758" s="19">
        <v>2013</v>
      </c>
      <c r="Y1758" s="15" t="s">
        <v>138</v>
      </c>
      <c r="Z1758" s="15" t="s">
        <v>138</v>
      </c>
      <c r="AA1758" s="15" t="s">
        <v>138</v>
      </c>
      <c r="AB1758" s="20" t="s">
        <v>138</v>
      </c>
      <c r="AC1758" s="20" t="s">
        <v>138</v>
      </c>
      <c r="AD1758" s="20" t="s">
        <v>138</v>
      </c>
      <c r="AE1758" s="20" t="s">
        <v>138</v>
      </c>
      <c r="AF1758" s="20" t="s">
        <v>138</v>
      </c>
      <c r="AG1758" s="15" t="s">
        <v>138</v>
      </c>
      <c r="AH1758" s="20" t="s">
        <v>138</v>
      </c>
      <c r="AI1758" s="20" t="s">
        <v>138</v>
      </c>
      <c r="AJ1758" s="20" t="s">
        <v>138</v>
      </c>
      <c r="AK1758" s="15" t="s">
        <v>33433</v>
      </c>
      <c r="AL1758" s="15" t="s">
        <v>33434</v>
      </c>
      <c r="AM1758" s="15" t="s">
        <v>1337</v>
      </c>
      <c r="AN1758" s="15" t="s">
        <v>33435</v>
      </c>
      <c r="AO1758" s="15" t="s">
        <v>138</v>
      </c>
      <c r="AP1758" s="15" t="s">
        <v>1195</v>
      </c>
      <c r="AQ1758" s="15" t="s">
        <v>33436</v>
      </c>
      <c r="AR1758" s="15" t="s">
        <v>33437</v>
      </c>
      <c r="AS1758" s="15" t="s">
        <v>1198</v>
      </c>
      <c r="AT1758" s="15" t="s">
        <v>138</v>
      </c>
      <c r="AU1758" s="15" t="s">
        <v>33438</v>
      </c>
      <c r="AV1758" s="15" t="s">
        <v>1200</v>
      </c>
      <c r="AW1758" s="15" t="s">
        <v>138</v>
      </c>
      <c r="AX1758" s="15" t="s">
        <v>138</v>
      </c>
      <c r="AY1758" s="15" t="s">
        <v>138</v>
      </c>
      <c r="AZ1758" s="15" t="s">
        <v>452</v>
      </c>
      <c r="BA1758" s="15" t="s">
        <v>453</v>
      </c>
      <c r="BB1758" s="15" t="s">
        <v>33439</v>
      </c>
      <c r="BC1758" s="15" t="s">
        <v>3186</v>
      </c>
      <c r="BD1758" s="21">
        <v>1</v>
      </c>
      <c r="BE1758" s="15" t="s">
        <v>138</v>
      </c>
      <c r="BF1758" s="15" t="s">
        <v>138</v>
      </c>
      <c r="BG1758" s="15" t="s">
        <v>138</v>
      </c>
      <c r="BH1758" s="15" t="s">
        <v>138</v>
      </c>
      <c r="BI1758" s="15" t="s">
        <v>138</v>
      </c>
      <c r="BJ1758" s="15" t="s">
        <v>138</v>
      </c>
      <c r="BK1758" s="15" t="s">
        <v>138</v>
      </c>
      <c r="BL1758" s="15" t="s">
        <v>138</v>
      </c>
      <c r="BM1758" s="22">
        <v>42324</v>
      </c>
      <c r="BN1758" s="17">
        <v>0.01</v>
      </c>
      <c r="BO1758" s="15" t="s">
        <v>172</v>
      </c>
      <c r="BP1758" s="17" t="s">
        <v>138</v>
      </c>
      <c r="BQ1758" s="15" t="s">
        <v>138</v>
      </c>
      <c r="BR1758" s="15" t="s">
        <v>205</v>
      </c>
      <c r="BS1758" s="15" t="s">
        <v>138</v>
      </c>
      <c r="BT1758" s="15" t="s">
        <v>138</v>
      </c>
      <c r="BU1758" s="15" t="s">
        <v>174</v>
      </c>
      <c r="BV1758" s="15" t="s">
        <v>138</v>
      </c>
      <c r="BW1758" s="15" t="s">
        <v>138</v>
      </c>
      <c r="BX1758" s="15" t="s">
        <v>138</v>
      </c>
      <c r="BY1758" s="15" t="s">
        <v>175</v>
      </c>
      <c r="BZ1758" s="22">
        <v>42324</v>
      </c>
      <c r="CA1758" s="17">
        <v>0.01</v>
      </c>
      <c r="CB1758" s="15" t="s">
        <v>172</v>
      </c>
      <c r="CC1758" s="17" t="s">
        <v>138</v>
      </c>
      <c r="CD1758" s="15" t="s">
        <v>138</v>
      </c>
      <c r="CE1758" s="15" t="s">
        <v>205</v>
      </c>
      <c r="CF1758" s="15" t="s">
        <v>138</v>
      </c>
      <c r="CG1758" s="15" t="s">
        <v>138</v>
      </c>
      <c r="CH1758" s="15" t="s">
        <v>174</v>
      </c>
      <c r="CI1758" s="15" t="s">
        <v>138</v>
      </c>
      <c r="CJ1758" s="15" t="s">
        <v>138</v>
      </c>
      <c r="CK1758" s="15" t="s">
        <v>138</v>
      </c>
      <c r="CL1758" s="15" t="s">
        <v>175</v>
      </c>
      <c r="CM1758" s="22" t="s">
        <v>138</v>
      </c>
      <c r="CN1758" s="17" t="s">
        <v>138</v>
      </c>
      <c r="CO1758" s="23">
        <v>-0.04</v>
      </c>
      <c r="CP1758" s="24">
        <v>23</v>
      </c>
      <c r="CQ1758" s="23">
        <v>0.03</v>
      </c>
      <c r="CR1758" s="23">
        <v>47.87</v>
      </c>
      <c r="CS1758" s="23" t="s">
        <v>138</v>
      </c>
      <c r="CT1758" s="24" t="s">
        <v>138</v>
      </c>
      <c r="CU1758" s="23">
        <v>-0.04</v>
      </c>
      <c r="CV1758" s="24">
        <v>12</v>
      </c>
      <c r="CW1758" s="23" t="s">
        <v>138</v>
      </c>
      <c r="CX1758" s="24" t="s">
        <v>138</v>
      </c>
      <c r="CY1758" s="23" t="s">
        <v>138</v>
      </c>
      <c r="CZ1758" s="24" t="s">
        <v>138</v>
      </c>
      <c r="DA1758" s="23">
        <v>-7.0000000000000007E-2</v>
      </c>
      <c r="DB1758" s="24">
        <v>9</v>
      </c>
      <c r="DC1758" s="25">
        <v>2.77</v>
      </c>
      <c r="DD1758" s="24">
        <v>74</v>
      </c>
      <c r="DE1758" s="25">
        <v>0.01</v>
      </c>
      <c r="DF1758" s="23">
        <v>0.26</v>
      </c>
      <c r="DG1758" s="25" t="s">
        <v>138</v>
      </c>
      <c r="DH1758" s="24" t="s">
        <v>138</v>
      </c>
      <c r="DI1758" s="25">
        <v>2.77</v>
      </c>
      <c r="DJ1758" s="24">
        <v>68</v>
      </c>
      <c r="DK1758" s="25" t="s">
        <v>138</v>
      </c>
      <c r="DL1758" s="24" t="s">
        <v>138</v>
      </c>
      <c r="DM1758" s="25" t="s">
        <v>138</v>
      </c>
      <c r="DN1758" s="24" t="s">
        <v>138</v>
      </c>
      <c r="DO1758" s="25">
        <v>3.11</v>
      </c>
      <c r="DP1758" s="24">
        <v>72</v>
      </c>
      <c r="DQ1758" s="24" t="s">
        <v>138</v>
      </c>
      <c r="DR1758" s="26" t="s">
        <v>138</v>
      </c>
      <c r="DS1758" s="23" t="s">
        <v>138</v>
      </c>
      <c r="DT1758" s="24" t="s">
        <v>138</v>
      </c>
      <c r="DU1758" s="26" t="s">
        <v>138</v>
      </c>
      <c r="DV1758" s="23" t="s">
        <v>138</v>
      </c>
      <c r="DW1758" s="24">
        <v>1113</v>
      </c>
      <c r="DX1758" s="27">
        <v>0</v>
      </c>
      <c r="DY1758" s="23">
        <v>0</v>
      </c>
      <c r="DZ1758" s="15" t="s">
        <v>178</v>
      </c>
      <c r="EA1758" s="22">
        <v>43606</v>
      </c>
      <c r="EB1758" s="17" t="s">
        <v>138</v>
      </c>
      <c r="EC1758" s="22" t="s">
        <v>138</v>
      </c>
      <c r="ED1758" s="15" t="s">
        <v>138</v>
      </c>
      <c r="EE1758" s="14" t="str">
        <f>HYPERLINK("https://my.pitchbook.com?c=100937-26", "View company online")</f>
        <v>View company online</v>
      </c>
    </row>
    <row r="1759" spans="1:135">
      <c r="A1759" s="28" t="s">
        <v>33440</v>
      </c>
      <c r="B1759" s="28" t="s">
        <v>33441</v>
      </c>
      <c r="C1759" s="28" t="s">
        <v>138</v>
      </c>
      <c r="D1759" s="28" t="s">
        <v>33442</v>
      </c>
      <c r="E1759" s="28" t="s">
        <v>33443</v>
      </c>
      <c r="F1759" s="28" t="s">
        <v>33440</v>
      </c>
      <c r="G1759" s="28" t="s">
        <v>33444</v>
      </c>
      <c r="H1759" s="28" t="s">
        <v>322</v>
      </c>
      <c r="I1759" s="28" t="s">
        <v>323</v>
      </c>
      <c r="J1759" s="28" t="s">
        <v>461</v>
      </c>
      <c r="K1759" s="28" t="s">
        <v>462</v>
      </c>
      <c r="L1759" s="28" t="s">
        <v>6052</v>
      </c>
      <c r="M1759" s="28" t="s">
        <v>33445</v>
      </c>
      <c r="N1759" s="28" t="s">
        <v>147</v>
      </c>
      <c r="O1759" s="29">
        <v>154.44</v>
      </c>
      <c r="P1759" s="28" t="s">
        <v>148</v>
      </c>
      <c r="Q1759" s="28" t="s">
        <v>149</v>
      </c>
      <c r="R1759" s="28" t="s">
        <v>174</v>
      </c>
      <c r="S1759" s="28" t="s">
        <v>33446</v>
      </c>
      <c r="T1759" s="30">
        <v>439</v>
      </c>
      <c r="U1759" s="28" t="s">
        <v>33447</v>
      </c>
      <c r="V1759" s="28" t="s">
        <v>138</v>
      </c>
      <c r="W1759" s="28" t="s">
        <v>138</v>
      </c>
      <c r="X1759" s="31">
        <v>2011</v>
      </c>
      <c r="Y1759" s="28" t="s">
        <v>138</v>
      </c>
      <c r="Z1759" s="28" t="s">
        <v>138</v>
      </c>
      <c r="AA1759" s="28" t="s">
        <v>138</v>
      </c>
      <c r="AB1759" s="32">
        <v>50</v>
      </c>
      <c r="AC1759" s="32" t="s">
        <v>138</v>
      </c>
      <c r="AD1759" s="32" t="s">
        <v>138</v>
      </c>
      <c r="AE1759" s="32" t="s">
        <v>138</v>
      </c>
      <c r="AF1759" s="32" t="s">
        <v>138</v>
      </c>
      <c r="AG1759" s="28" t="s">
        <v>419</v>
      </c>
      <c r="AH1759" s="32" t="s">
        <v>138</v>
      </c>
      <c r="AI1759" s="32" t="s">
        <v>138</v>
      </c>
      <c r="AJ1759" s="32" t="s">
        <v>138</v>
      </c>
      <c r="AK1759" s="28" t="s">
        <v>33448</v>
      </c>
      <c r="AL1759" s="28" t="s">
        <v>33449</v>
      </c>
      <c r="AM1759" s="28" t="s">
        <v>33450</v>
      </c>
      <c r="AN1759" s="28" t="s">
        <v>33451</v>
      </c>
      <c r="AO1759" s="28" t="s">
        <v>33452</v>
      </c>
      <c r="AP1759" s="28" t="s">
        <v>1292</v>
      </c>
      <c r="AQ1759" s="28" t="s">
        <v>33453</v>
      </c>
      <c r="AR1759" s="28" t="s">
        <v>33454</v>
      </c>
      <c r="AS1759" s="28" t="s">
        <v>1294</v>
      </c>
      <c r="AT1759" s="28" t="s">
        <v>864</v>
      </c>
      <c r="AU1759" s="28" t="s">
        <v>33455</v>
      </c>
      <c r="AV1759" s="28" t="s">
        <v>162</v>
      </c>
      <c r="AW1759" s="28" t="s">
        <v>33452</v>
      </c>
      <c r="AX1759" s="28" t="s">
        <v>138</v>
      </c>
      <c r="AY1759" s="28" t="s">
        <v>33456</v>
      </c>
      <c r="AZ1759" s="28" t="s">
        <v>164</v>
      </c>
      <c r="BA1759" s="28" t="s">
        <v>165</v>
      </c>
      <c r="BB1759" s="28" t="s">
        <v>33457</v>
      </c>
      <c r="BC1759" s="28" t="s">
        <v>33458</v>
      </c>
      <c r="BD1759" s="33">
        <v>13</v>
      </c>
      <c r="BE1759" s="28" t="s">
        <v>138</v>
      </c>
      <c r="BF1759" s="28" t="s">
        <v>138</v>
      </c>
      <c r="BG1759" s="28" t="s">
        <v>138</v>
      </c>
      <c r="BH1759" s="28" t="s">
        <v>33459</v>
      </c>
      <c r="BI1759" s="28" t="s">
        <v>138</v>
      </c>
      <c r="BJ1759" s="28" t="s">
        <v>138</v>
      </c>
      <c r="BK1759" s="28" t="s">
        <v>33460</v>
      </c>
      <c r="BL1759" s="28" t="s">
        <v>1691</v>
      </c>
      <c r="BM1759" s="34">
        <v>40770</v>
      </c>
      <c r="BN1759" s="29">
        <v>1.35</v>
      </c>
      <c r="BO1759" s="28" t="s">
        <v>172</v>
      </c>
      <c r="BP1759" s="29">
        <v>3.69</v>
      </c>
      <c r="BQ1759" s="28" t="s">
        <v>172</v>
      </c>
      <c r="BR1759" s="28" t="s">
        <v>234</v>
      </c>
      <c r="BS1759" s="28" t="s">
        <v>234</v>
      </c>
      <c r="BT1759" s="28" t="s">
        <v>138</v>
      </c>
      <c r="BU1759" s="28" t="s">
        <v>174</v>
      </c>
      <c r="BV1759" s="28" t="s">
        <v>138</v>
      </c>
      <c r="BW1759" s="28" t="s">
        <v>138</v>
      </c>
      <c r="BX1759" s="28" t="s">
        <v>138</v>
      </c>
      <c r="BY1759" s="28" t="s">
        <v>175</v>
      </c>
      <c r="BZ1759" s="34">
        <v>43374</v>
      </c>
      <c r="CA1759" s="29">
        <v>60</v>
      </c>
      <c r="CB1759" s="28" t="s">
        <v>172</v>
      </c>
      <c r="CC1759" s="29">
        <v>750</v>
      </c>
      <c r="CD1759" s="28" t="s">
        <v>172</v>
      </c>
      <c r="CE1759" s="28" t="s">
        <v>173</v>
      </c>
      <c r="CF1759" s="28" t="s">
        <v>433</v>
      </c>
      <c r="CG1759" s="28" t="s">
        <v>138</v>
      </c>
      <c r="CH1759" s="28" t="s">
        <v>174</v>
      </c>
      <c r="CI1759" s="28" t="s">
        <v>138</v>
      </c>
      <c r="CJ1759" s="28" t="s">
        <v>138</v>
      </c>
      <c r="CK1759" s="28" t="s">
        <v>138</v>
      </c>
      <c r="CL1759" s="28" t="s">
        <v>175</v>
      </c>
      <c r="CM1759" s="34" t="s">
        <v>138</v>
      </c>
      <c r="CN1759" s="29" t="s">
        <v>138</v>
      </c>
      <c r="CO1759" s="35">
        <v>15.38</v>
      </c>
      <c r="CP1759" s="36">
        <v>100</v>
      </c>
      <c r="CQ1759" s="35">
        <v>0</v>
      </c>
      <c r="CR1759" s="35">
        <v>0</v>
      </c>
      <c r="CS1759" s="35">
        <v>30.5</v>
      </c>
      <c r="CT1759" s="36">
        <v>100</v>
      </c>
      <c r="CU1759" s="35">
        <v>0.26</v>
      </c>
      <c r="CV1759" s="36">
        <v>85</v>
      </c>
      <c r="CW1759" s="35">
        <v>30.5</v>
      </c>
      <c r="CX1759" s="36">
        <v>100</v>
      </c>
      <c r="CY1759" s="35" t="s">
        <v>138</v>
      </c>
      <c r="CZ1759" s="36" t="s">
        <v>138</v>
      </c>
      <c r="DA1759" s="35">
        <v>0.34</v>
      </c>
      <c r="DB1759" s="36">
        <v>90</v>
      </c>
      <c r="DC1759" s="37">
        <v>15.61</v>
      </c>
      <c r="DD1759" s="36">
        <v>93</v>
      </c>
      <c r="DE1759" s="37">
        <v>-1.63</v>
      </c>
      <c r="DF1759" s="35">
        <v>-9.4700000000000006</v>
      </c>
      <c r="DG1759" s="37">
        <v>25.76</v>
      </c>
      <c r="DH1759" s="36">
        <v>96</v>
      </c>
      <c r="DI1759" s="37">
        <v>5.47</v>
      </c>
      <c r="DJ1759" s="36">
        <v>78</v>
      </c>
      <c r="DK1759" s="37">
        <v>25.76</v>
      </c>
      <c r="DL1759" s="36">
        <v>93</v>
      </c>
      <c r="DM1759" s="37" t="s">
        <v>138</v>
      </c>
      <c r="DN1759" s="36" t="s">
        <v>138</v>
      </c>
      <c r="DO1759" s="37">
        <v>9.76</v>
      </c>
      <c r="DP1759" s="36">
        <v>87</v>
      </c>
      <c r="DQ1759" s="36">
        <v>8364</v>
      </c>
      <c r="DR1759" s="38">
        <v>1415</v>
      </c>
      <c r="DS1759" s="35">
        <v>20.36</v>
      </c>
      <c r="DT1759" s="36" t="s">
        <v>138</v>
      </c>
      <c r="DU1759" s="38" t="s">
        <v>138</v>
      </c>
      <c r="DV1759" s="35" t="s">
        <v>138</v>
      </c>
      <c r="DW1759" s="36">
        <v>3491</v>
      </c>
      <c r="DX1759" s="39">
        <v>8</v>
      </c>
      <c r="DY1759" s="35">
        <v>0.23</v>
      </c>
      <c r="DZ1759" s="28" t="s">
        <v>178</v>
      </c>
      <c r="EA1759" s="34">
        <v>43622</v>
      </c>
      <c r="EB1759" s="29">
        <v>750</v>
      </c>
      <c r="EC1759" s="34">
        <v>43374</v>
      </c>
      <c r="ED1759" s="28" t="s">
        <v>173</v>
      </c>
      <c r="EE1759" s="40" t="str">
        <f>HYPERLINK("https://my.pitchbook.com?c=55942-66", "View company online")</f>
        <v>View company online</v>
      </c>
    </row>
    <row r="1760" spans="1:135">
      <c r="A1760" s="15" t="s">
        <v>33461</v>
      </c>
      <c r="B1760" s="15" t="s">
        <v>33462</v>
      </c>
      <c r="C1760" s="15" t="s">
        <v>138</v>
      </c>
      <c r="D1760" s="15" t="s">
        <v>138</v>
      </c>
      <c r="E1760" s="15" t="s">
        <v>33463</v>
      </c>
      <c r="F1760" s="15" t="s">
        <v>33461</v>
      </c>
      <c r="G1760" s="15" t="s">
        <v>33464</v>
      </c>
      <c r="H1760" s="15" t="s">
        <v>322</v>
      </c>
      <c r="I1760" s="15" t="s">
        <v>323</v>
      </c>
      <c r="J1760" s="15" t="s">
        <v>1132</v>
      </c>
      <c r="K1760" s="15" t="s">
        <v>1777</v>
      </c>
      <c r="L1760" s="15" t="s">
        <v>9641</v>
      </c>
      <c r="M1760" s="15" t="s">
        <v>33465</v>
      </c>
      <c r="N1760" s="15" t="s">
        <v>147</v>
      </c>
      <c r="O1760" s="17">
        <v>72.5</v>
      </c>
      <c r="P1760" s="15" t="s">
        <v>148</v>
      </c>
      <c r="Q1760" s="15" t="s">
        <v>149</v>
      </c>
      <c r="R1760" s="15" t="s">
        <v>174</v>
      </c>
      <c r="S1760" s="15" t="s">
        <v>33466</v>
      </c>
      <c r="T1760" s="18">
        <v>40</v>
      </c>
      <c r="U1760" s="15" t="s">
        <v>33467</v>
      </c>
      <c r="V1760" s="15" t="s">
        <v>138</v>
      </c>
      <c r="W1760" s="15" t="s">
        <v>138</v>
      </c>
      <c r="X1760" s="19">
        <v>2013</v>
      </c>
      <c r="Y1760" s="15" t="s">
        <v>138</v>
      </c>
      <c r="Z1760" s="15" t="s">
        <v>138</v>
      </c>
      <c r="AA1760" s="15" t="s">
        <v>138</v>
      </c>
      <c r="AB1760" s="20" t="s">
        <v>138</v>
      </c>
      <c r="AC1760" s="20" t="s">
        <v>138</v>
      </c>
      <c r="AD1760" s="20" t="s">
        <v>138</v>
      </c>
      <c r="AE1760" s="20" t="s">
        <v>138</v>
      </c>
      <c r="AF1760" s="20" t="s">
        <v>138</v>
      </c>
      <c r="AG1760" s="15" t="s">
        <v>138</v>
      </c>
      <c r="AH1760" s="20" t="s">
        <v>138</v>
      </c>
      <c r="AI1760" s="20" t="s">
        <v>138</v>
      </c>
      <c r="AJ1760" s="20" t="s">
        <v>138</v>
      </c>
      <c r="AK1760" s="15" t="s">
        <v>33468</v>
      </c>
      <c r="AL1760" s="15" t="s">
        <v>33469</v>
      </c>
      <c r="AM1760" s="15" t="s">
        <v>5486</v>
      </c>
      <c r="AN1760" s="15" t="s">
        <v>33470</v>
      </c>
      <c r="AO1760" s="15" t="s">
        <v>33471</v>
      </c>
      <c r="AP1760" s="15" t="s">
        <v>1168</v>
      </c>
      <c r="AQ1760" s="15" t="s">
        <v>33472</v>
      </c>
      <c r="AR1760" s="15" t="s">
        <v>138</v>
      </c>
      <c r="AS1760" s="15" t="s">
        <v>1171</v>
      </c>
      <c r="AT1760" s="15" t="s">
        <v>200</v>
      </c>
      <c r="AU1760" s="15" t="s">
        <v>1172</v>
      </c>
      <c r="AV1760" s="15" t="s">
        <v>162</v>
      </c>
      <c r="AW1760" s="15" t="s">
        <v>33471</v>
      </c>
      <c r="AX1760" s="15" t="s">
        <v>138</v>
      </c>
      <c r="AY1760" s="15" t="s">
        <v>33473</v>
      </c>
      <c r="AZ1760" s="15" t="s">
        <v>164</v>
      </c>
      <c r="BA1760" s="15" t="s">
        <v>165</v>
      </c>
      <c r="BB1760" s="15" t="s">
        <v>33474</v>
      </c>
      <c r="BC1760" s="15" t="s">
        <v>33475</v>
      </c>
      <c r="BD1760" s="21">
        <v>23</v>
      </c>
      <c r="BE1760" s="15" t="s">
        <v>138</v>
      </c>
      <c r="BF1760" s="15" t="s">
        <v>138</v>
      </c>
      <c r="BG1760" s="15" t="s">
        <v>138</v>
      </c>
      <c r="BH1760" s="15" t="s">
        <v>33476</v>
      </c>
      <c r="BI1760" s="15" t="s">
        <v>138</v>
      </c>
      <c r="BJ1760" s="15" t="s">
        <v>138</v>
      </c>
      <c r="BK1760" s="15" t="s">
        <v>204</v>
      </c>
      <c r="BL1760" s="15" t="s">
        <v>33477</v>
      </c>
      <c r="BM1760" s="22">
        <v>41734</v>
      </c>
      <c r="BN1760" s="17">
        <v>1</v>
      </c>
      <c r="BO1760" s="15" t="s">
        <v>172</v>
      </c>
      <c r="BP1760" s="17" t="s">
        <v>138</v>
      </c>
      <c r="BQ1760" s="15" t="s">
        <v>138</v>
      </c>
      <c r="BR1760" s="15" t="s">
        <v>234</v>
      </c>
      <c r="BS1760" s="15" t="s">
        <v>234</v>
      </c>
      <c r="BT1760" s="15" t="s">
        <v>138</v>
      </c>
      <c r="BU1760" s="15" t="s">
        <v>174</v>
      </c>
      <c r="BV1760" s="15" t="s">
        <v>138</v>
      </c>
      <c r="BW1760" s="15" t="s">
        <v>138</v>
      </c>
      <c r="BX1760" s="15" t="s">
        <v>138</v>
      </c>
      <c r="BY1760" s="15" t="s">
        <v>175</v>
      </c>
      <c r="BZ1760" s="22">
        <v>43391</v>
      </c>
      <c r="CA1760" s="17">
        <v>58.5</v>
      </c>
      <c r="CB1760" s="15" t="s">
        <v>172</v>
      </c>
      <c r="CC1760" s="17">
        <v>186</v>
      </c>
      <c r="CD1760" s="15" t="s">
        <v>1178</v>
      </c>
      <c r="CE1760" s="15" t="s">
        <v>205</v>
      </c>
      <c r="CF1760" s="15" t="s">
        <v>720</v>
      </c>
      <c r="CG1760" s="15" t="s">
        <v>138</v>
      </c>
      <c r="CH1760" s="15" t="s">
        <v>174</v>
      </c>
      <c r="CI1760" s="15" t="s">
        <v>138</v>
      </c>
      <c r="CJ1760" s="15" t="s">
        <v>138</v>
      </c>
      <c r="CK1760" s="15" t="s">
        <v>138</v>
      </c>
      <c r="CL1760" s="15" t="s">
        <v>175</v>
      </c>
      <c r="CM1760" s="22" t="s">
        <v>138</v>
      </c>
      <c r="CN1760" s="17" t="s">
        <v>138</v>
      </c>
      <c r="CO1760" s="23">
        <v>-0.46</v>
      </c>
      <c r="CP1760" s="24">
        <v>16</v>
      </c>
      <c r="CQ1760" s="23">
        <v>-0.01</v>
      </c>
      <c r="CR1760" s="23">
        <v>-2.84</v>
      </c>
      <c r="CS1760" s="23">
        <v>-1.1000000000000001</v>
      </c>
      <c r="CT1760" s="24">
        <v>14</v>
      </c>
      <c r="CU1760" s="23">
        <v>0.18</v>
      </c>
      <c r="CV1760" s="24">
        <v>78</v>
      </c>
      <c r="CW1760" s="23">
        <v>-1.29</v>
      </c>
      <c r="CX1760" s="24">
        <v>9</v>
      </c>
      <c r="CY1760" s="23">
        <v>-0.91</v>
      </c>
      <c r="CZ1760" s="24">
        <v>19</v>
      </c>
      <c r="DA1760" s="23">
        <v>0.15</v>
      </c>
      <c r="DB1760" s="24">
        <v>78</v>
      </c>
      <c r="DC1760" s="25">
        <v>54</v>
      </c>
      <c r="DD1760" s="24">
        <v>98</v>
      </c>
      <c r="DE1760" s="25">
        <v>-0.82</v>
      </c>
      <c r="DF1760" s="23">
        <v>-1.5</v>
      </c>
      <c r="DG1760" s="25">
        <v>58.89</v>
      </c>
      <c r="DH1760" s="24">
        <v>99</v>
      </c>
      <c r="DI1760" s="25">
        <v>49.11</v>
      </c>
      <c r="DJ1760" s="24">
        <v>95</v>
      </c>
      <c r="DK1760" s="25">
        <v>30.75</v>
      </c>
      <c r="DL1760" s="24">
        <v>94</v>
      </c>
      <c r="DM1760" s="25">
        <v>87.03</v>
      </c>
      <c r="DN1760" s="24">
        <v>99</v>
      </c>
      <c r="DO1760" s="25">
        <v>96.51</v>
      </c>
      <c r="DP1760" s="24">
        <v>98</v>
      </c>
      <c r="DQ1760" s="24">
        <v>10623</v>
      </c>
      <c r="DR1760" s="26">
        <v>-226</v>
      </c>
      <c r="DS1760" s="23">
        <v>-2.08</v>
      </c>
      <c r="DT1760" s="24">
        <v>2524</v>
      </c>
      <c r="DU1760" s="26">
        <v>0</v>
      </c>
      <c r="DV1760" s="23">
        <v>0</v>
      </c>
      <c r="DW1760" s="24">
        <v>34522</v>
      </c>
      <c r="DX1760" s="27">
        <v>36</v>
      </c>
      <c r="DY1760" s="23">
        <v>0.1</v>
      </c>
      <c r="DZ1760" s="15" t="s">
        <v>178</v>
      </c>
      <c r="EA1760" s="22">
        <v>43607</v>
      </c>
      <c r="EB1760" s="17">
        <v>186</v>
      </c>
      <c r="EC1760" s="22">
        <v>43391</v>
      </c>
      <c r="ED1760" s="15" t="s">
        <v>205</v>
      </c>
      <c r="EE1760" s="14" t="str">
        <f>HYPERLINK("https://my.pitchbook.com?c=62298-10", "View company online")</f>
        <v>View company online</v>
      </c>
    </row>
    <row r="1761" spans="1:135">
      <c r="A1761" s="28" t="s">
        <v>33478</v>
      </c>
      <c r="B1761" s="28" t="s">
        <v>33479</v>
      </c>
      <c r="C1761" s="28" t="s">
        <v>138</v>
      </c>
      <c r="D1761" s="28" t="s">
        <v>138</v>
      </c>
      <c r="E1761" s="28" t="s">
        <v>33480</v>
      </c>
      <c r="F1761" s="28" t="s">
        <v>33478</v>
      </c>
      <c r="G1761" s="28" t="s">
        <v>33481</v>
      </c>
      <c r="H1761" s="28" t="s">
        <v>322</v>
      </c>
      <c r="I1761" s="28" t="s">
        <v>323</v>
      </c>
      <c r="J1761" s="28" t="s">
        <v>1235</v>
      </c>
      <c r="K1761" s="28" t="s">
        <v>33482</v>
      </c>
      <c r="L1761" s="28" t="s">
        <v>855</v>
      </c>
      <c r="M1761" s="28" t="s">
        <v>33483</v>
      </c>
      <c r="N1761" s="28" t="s">
        <v>147</v>
      </c>
      <c r="O1761" s="29">
        <v>7.7</v>
      </c>
      <c r="P1761" s="28" t="s">
        <v>148</v>
      </c>
      <c r="Q1761" s="28" t="s">
        <v>149</v>
      </c>
      <c r="R1761" s="28" t="s">
        <v>174</v>
      </c>
      <c r="S1761" s="28" t="s">
        <v>33484</v>
      </c>
      <c r="T1761" s="30">
        <v>20</v>
      </c>
      <c r="U1761" s="28" t="s">
        <v>14206</v>
      </c>
      <c r="V1761" s="28" t="s">
        <v>138</v>
      </c>
      <c r="W1761" s="28" t="s">
        <v>138</v>
      </c>
      <c r="X1761" s="31">
        <v>2015</v>
      </c>
      <c r="Y1761" s="28" t="s">
        <v>138</v>
      </c>
      <c r="Z1761" s="28" t="s">
        <v>138</v>
      </c>
      <c r="AA1761" s="28" t="s">
        <v>138</v>
      </c>
      <c r="AB1761" s="32" t="s">
        <v>138</v>
      </c>
      <c r="AC1761" s="32" t="s">
        <v>138</v>
      </c>
      <c r="AD1761" s="32" t="s">
        <v>138</v>
      </c>
      <c r="AE1761" s="32" t="s">
        <v>138</v>
      </c>
      <c r="AF1761" s="32" t="s">
        <v>138</v>
      </c>
      <c r="AG1761" s="28" t="s">
        <v>138</v>
      </c>
      <c r="AH1761" s="32" t="s">
        <v>138</v>
      </c>
      <c r="AI1761" s="32" t="s">
        <v>138</v>
      </c>
      <c r="AJ1761" s="32" t="s">
        <v>138</v>
      </c>
      <c r="AK1761" s="28" t="s">
        <v>33485</v>
      </c>
      <c r="AL1761" s="28" t="s">
        <v>33486</v>
      </c>
      <c r="AM1761" s="28" t="s">
        <v>221</v>
      </c>
      <c r="AN1761" s="28" t="s">
        <v>33487</v>
      </c>
      <c r="AO1761" s="28" t="s">
        <v>33488</v>
      </c>
      <c r="AP1761" s="28" t="s">
        <v>1244</v>
      </c>
      <c r="AQ1761" s="28" t="s">
        <v>33489</v>
      </c>
      <c r="AR1761" s="28" t="s">
        <v>138</v>
      </c>
      <c r="AS1761" s="28" t="s">
        <v>1246</v>
      </c>
      <c r="AT1761" s="28" t="s">
        <v>200</v>
      </c>
      <c r="AU1761" s="28" t="s">
        <v>2437</v>
      </c>
      <c r="AV1761" s="28" t="s">
        <v>162</v>
      </c>
      <c r="AW1761" s="28" t="s">
        <v>138</v>
      </c>
      <c r="AX1761" s="28" t="s">
        <v>138</v>
      </c>
      <c r="AY1761" s="28" t="s">
        <v>138</v>
      </c>
      <c r="AZ1761" s="28" t="s">
        <v>164</v>
      </c>
      <c r="BA1761" s="28" t="s">
        <v>165</v>
      </c>
      <c r="BB1761" s="28" t="s">
        <v>33490</v>
      </c>
      <c r="BC1761" s="28" t="s">
        <v>33491</v>
      </c>
      <c r="BD1761" s="33">
        <v>15</v>
      </c>
      <c r="BE1761" s="28" t="s">
        <v>138</v>
      </c>
      <c r="BF1761" s="28" t="s">
        <v>138</v>
      </c>
      <c r="BG1761" s="28" t="s">
        <v>138</v>
      </c>
      <c r="BH1761" s="28" t="s">
        <v>33492</v>
      </c>
      <c r="BI1761" s="28" t="s">
        <v>138</v>
      </c>
      <c r="BJ1761" s="28" t="s">
        <v>138</v>
      </c>
      <c r="BK1761" s="28" t="s">
        <v>138</v>
      </c>
      <c r="BL1761" s="28" t="s">
        <v>138</v>
      </c>
      <c r="BM1761" s="34">
        <v>42101</v>
      </c>
      <c r="BN1761" s="29" t="s">
        <v>138</v>
      </c>
      <c r="BO1761" s="28" t="s">
        <v>138</v>
      </c>
      <c r="BP1761" s="29" t="s">
        <v>138</v>
      </c>
      <c r="BQ1761" s="28" t="s">
        <v>138</v>
      </c>
      <c r="BR1761" s="28" t="s">
        <v>316</v>
      </c>
      <c r="BS1761" s="28" t="s">
        <v>138</v>
      </c>
      <c r="BT1761" s="28" t="s">
        <v>138</v>
      </c>
      <c r="BU1761" s="28" t="s">
        <v>174</v>
      </c>
      <c r="BV1761" s="28" t="s">
        <v>138</v>
      </c>
      <c r="BW1761" s="28" t="s">
        <v>138</v>
      </c>
      <c r="BX1761" s="28" t="s">
        <v>138</v>
      </c>
      <c r="BY1761" s="28" t="s">
        <v>175</v>
      </c>
      <c r="BZ1761" s="34">
        <v>43007</v>
      </c>
      <c r="CA1761" s="29">
        <v>1</v>
      </c>
      <c r="CB1761" s="28" t="s">
        <v>172</v>
      </c>
      <c r="CC1761" s="29" t="s">
        <v>138</v>
      </c>
      <c r="CD1761" s="28" t="s">
        <v>138</v>
      </c>
      <c r="CE1761" s="28" t="s">
        <v>205</v>
      </c>
      <c r="CF1761" s="28" t="s">
        <v>138</v>
      </c>
      <c r="CG1761" s="28" t="s">
        <v>138</v>
      </c>
      <c r="CH1761" s="28" t="s">
        <v>174</v>
      </c>
      <c r="CI1761" s="28" t="s">
        <v>264</v>
      </c>
      <c r="CJ1761" s="28" t="s">
        <v>138</v>
      </c>
      <c r="CK1761" s="28" t="s">
        <v>138</v>
      </c>
      <c r="CL1761" s="28" t="s">
        <v>352</v>
      </c>
      <c r="CM1761" s="34" t="s">
        <v>138</v>
      </c>
      <c r="CN1761" s="29" t="s">
        <v>138</v>
      </c>
      <c r="CO1761" s="35">
        <v>-0.89</v>
      </c>
      <c r="CP1761" s="36">
        <v>12</v>
      </c>
      <c r="CQ1761" s="35">
        <v>-0.04</v>
      </c>
      <c r="CR1761" s="35">
        <v>-4.93</v>
      </c>
      <c r="CS1761" s="35">
        <v>-1.8</v>
      </c>
      <c r="CT1761" s="36">
        <v>10</v>
      </c>
      <c r="CU1761" s="35">
        <v>0.03</v>
      </c>
      <c r="CV1761" s="36">
        <v>54</v>
      </c>
      <c r="CW1761" s="35">
        <v>-1.29</v>
      </c>
      <c r="CX1761" s="36">
        <v>9</v>
      </c>
      <c r="CY1761" s="35">
        <v>-2.3199999999999998</v>
      </c>
      <c r="CZ1761" s="36">
        <v>9</v>
      </c>
      <c r="DA1761" s="35">
        <v>-0.09</v>
      </c>
      <c r="DB1761" s="36">
        <v>7</v>
      </c>
      <c r="DC1761" s="37">
        <v>2.4300000000000002</v>
      </c>
      <c r="DD1761" s="36">
        <v>71</v>
      </c>
      <c r="DE1761" s="37">
        <v>-0.06</v>
      </c>
      <c r="DF1761" s="35">
        <v>-2.57</v>
      </c>
      <c r="DG1761" s="37">
        <v>3.17</v>
      </c>
      <c r="DH1761" s="36">
        <v>75</v>
      </c>
      <c r="DI1761" s="37">
        <v>1.69</v>
      </c>
      <c r="DJ1761" s="36">
        <v>59</v>
      </c>
      <c r="DK1761" s="37">
        <v>1.56</v>
      </c>
      <c r="DL1761" s="36">
        <v>60</v>
      </c>
      <c r="DM1761" s="37">
        <v>4.79</v>
      </c>
      <c r="DN1761" s="36">
        <v>81</v>
      </c>
      <c r="DO1761" s="37">
        <v>3.19</v>
      </c>
      <c r="DP1761" s="36">
        <v>72</v>
      </c>
      <c r="DQ1761" s="36">
        <v>536</v>
      </c>
      <c r="DR1761" s="38">
        <v>-7</v>
      </c>
      <c r="DS1761" s="35">
        <v>-1.29</v>
      </c>
      <c r="DT1761" s="36">
        <v>139</v>
      </c>
      <c r="DU1761" s="38">
        <v>-2</v>
      </c>
      <c r="DV1761" s="35">
        <v>-1.42</v>
      </c>
      <c r="DW1761" s="36">
        <v>1141</v>
      </c>
      <c r="DX1761" s="39">
        <v>-2</v>
      </c>
      <c r="DY1761" s="35">
        <v>-0.17</v>
      </c>
      <c r="DZ1761" s="28" t="s">
        <v>178</v>
      </c>
      <c r="EA1761" s="34">
        <v>43405</v>
      </c>
      <c r="EB1761" s="29">
        <v>15.75</v>
      </c>
      <c r="EC1761" s="34">
        <v>42875</v>
      </c>
      <c r="ED1761" s="28" t="s">
        <v>205</v>
      </c>
      <c r="EE1761" s="40" t="str">
        <f>HYPERLINK("https://my.pitchbook.com?c=112694-41", "View company online")</f>
        <v>View company online</v>
      </c>
    </row>
    <row r="1762" spans="1:135">
      <c r="A1762" s="15" t="s">
        <v>33493</v>
      </c>
      <c r="B1762" s="15" t="s">
        <v>33494</v>
      </c>
      <c r="C1762" s="15" t="s">
        <v>138</v>
      </c>
      <c r="D1762" s="15" t="s">
        <v>138</v>
      </c>
      <c r="E1762" s="15" t="s">
        <v>33495</v>
      </c>
      <c r="F1762" s="15" t="s">
        <v>33493</v>
      </c>
      <c r="G1762" s="15" t="s">
        <v>33496</v>
      </c>
      <c r="H1762" s="15" t="s">
        <v>890</v>
      </c>
      <c r="I1762" s="15" t="s">
        <v>891</v>
      </c>
      <c r="J1762" s="15" t="s">
        <v>891</v>
      </c>
      <c r="K1762" s="15" t="s">
        <v>892</v>
      </c>
      <c r="L1762" s="15" t="s">
        <v>9641</v>
      </c>
      <c r="M1762" s="15" t="s">
        <v>33497</v>
      </c>
      <c r="N1762" s="15" t="s">
        <v>147</v>
      </c>
      <c r="O1762" s="17">
        <v>140</v>
      </c>
      <c r="P1762" s="15" t="s">
        <v>148</v>
      </c>
      <c r="Q1762" s="15" t="s">
        <v>149</v>
      </c>
      <c r="R1762" s="15" t="s">
        <v>174</v>
      </c>
      <c r="S1762" s="15" t="s">
        <v>33498</v>
      </c>
      <c r="T1762" s="18">
        <v>700</v>
      </c>
      <c r="U1762" s="15" t="s">
        <v>33499</v>
      </c>
      <c r="V1762" s="15" t="s">
        <v>138</v>
      </c>
      <c r="W1762" s="15" t="s">
        <v>138</v>
      </c>
      <c r="X1762" s="19">
        <v>2011</v>
      </c>
      <c r="Y1762" s="15" t="s">
        <v>138</v>
      </c>
      <c r="Z1762" s="15" t="s">
        <v>138</v>
      </c>
      <c r="AA1762" s="15" t="s">
        <v>1163</v>
      </c>
      <c r="AB1762" s="20">
        <v>450</v>
      </c>
      <c r="AC1762" s="20" t="s">
        <v>138</v>
      </c>
      <c r="AD1762" s="20" t="s">
        <v>138</v>
      </c>
      <c r="AE1762" s="20" t="s">
        <v>138</v>
      </c>
      <c r="AF1762" s="20" t="s">
        <v>138</v>
      </c>
      <c r="AG1762" s="15" t="s">
        <v>815</v>
      </c>
      <c r="AH1762" s="20" t="s">
        <v>138</v>
      </c>
      <c r="AI1762" s="20" t="s">
        <v>138</v>
      </c>
      <c r="AJ1762" s="20" t="s">
        <v>138</v>
      </c>
      <c r="AK1762" s="15" t="s">
        <v>33500</v>
      </c>
      <c r="AL1762" s="15" t="s">
        <v>33501</v>
      </c>
      <c r="AM1762" s="15" t="s">
        <v>249</v>
      </c>
      <c r="AN1762" s="15" t="s">
        <v>33502</v>
      </c>
      <c r="AO1762" s="15" t="s">
        <v>138</v>
      </c>
      <c r="AP1762" s="15" t="s">
        <v>820</v>
      </c>
      <c r="AQ1762" s="15" t="s">
        <v>33503</v>
      </c>
      <c r="AR1762" s="15" t="s">
        <v>138</v>
      </c>
      <c r="AS1762" s="15" t="s">
        <v>823</v>
      </c>
      <c r="AT1762" s="15" t="s">
        <v>824</v>
      </c>
      <c r="AU1762" s="15" t="s">
        <v>33504</v>
      </c>
      <c r="AV1762" s="15" t="s">
        <v>526</v>
      </c>
      <c r="AW1762" s="15" t="s">
        <v>138</v>
      </c>
      <c r="AX1762" s="15" t="s">
        <v>138</v>
      </c>
      <c r="AY1762" s="15" t="s">
        <v>33505</v>
      </c>
      <c r="AZ1762" s="15" t="s">
        <v>530</v>
      </c>
      <c r="BA1762" s="15" t="s">
        <v>531</v>
      </c>
      <c r="BB1762" s="15" t="s">
        <v>33506</v>
      </c>
      <c r="BC1762" s="15" t="s">
        <v>33507</v>
      </c>
      <c r="BD1762" s="21">
        <v>24</v>
      </c>
      <c r="BE1762" s="15" t="s">
        <v>138</v>
      </c>
      <c r="BF1762" s="15" t="s">
        <v>33508</v>
      </c>
      <c r="BG1762" s="15" t="s">
        <v>138</v>
      </c>
      <c r="BH1762" s="15" t="s">
        <v>33509</v>
      </c>
      <c r="BI1762" s="15" t="s">
        <v>33510</v>
      </c>
      <c r="BJ1762" s="15" t="s">
        <v>138</v>
      </c>
      <c r="BK1762" s="15" t="s">
        <v>33511</v>
      </c>
      <c r="BL1762" s="15" t="s">
        <v>33512</v>
      </c>
      <c r="BM1762" s="22" t="s">
        <v>138</v>
      </c>
      <c r="BN1762" s="17" t="s">
        <v>138</v>
      </c>
      <c r="BO1762" s="15" t="s">
        <v>138</v>
      </c>
      <c r="BP1762" s="17" t="s">
        <v>138</v>
      </c>
      <c r="BQ1762" s="15" t="s">
        <v>138</v>
      </c>
      <c r="BR1762" s="15" t="s">
        <v>234</v>
      </c>
      <c r="BS1762" s="15" t="s">
        <v>234</v>
      </c>
      <c r="BT1762" s="15" t="s">
        <v>138</v>
      </c>
      <c r="BU1762" s="15" t="s">
        <v>174</v>
      </c>
      <c r="BV1762" s="15" t="s">
        <v>138</v>
      </c>
      <c r="BW1762" s="15" t="s">
        <v>138</v>
      </c>
      <c r="BX1762" s="15" t="s">
        <v>138</v>
      </c>
      <c r="BY1762" s="15" t="s">
        <v>175</v>
      </c>
      <c r="BZ1762" s="22">
        <v>43410</v>
      </c>
      <c r="CA1762" s="17">
        <v>80</v>
      </c>
      <c r="CB1762" s="15" t="s">
        <v>172</v>
      </c>
      <c r="CC1762" s="17">
        <v>1000</v>
      </c>
      <c r="CD1762" s="15" t="s">
        <v>172</v>
      </c>
      <c r="CE1762" s="15" t="s">
        <v>173</v>
      </c>
      <c r="CF1762" s="15" t="s">
        <v>138</v>
      </c>
      <c r="CG1762" s="15" t="s">
        <v>138</v>
      </c>
      <c r="CH1762" s="15" t="s">
        <v>174</v>
      </c>
      <c r="CI1762" s="15" t="s">
        <v>138</v>
      </c>
      <c r="CJ1762" s="15" t="s">
        <v>138</v>
      </c>
      <c r="CK1762" s="15" t="s">
        <v>138</v>
      </c>
      <c r="CL1762" s="15" t="s">
        <v>175</v>
      </c>
      <c r="CM1762" s="22" t="s">
        <v>138</v>
      </c>
      <c r="CN1762" s="17" t="s">
        <v>138</v>
      </c>
      <c r="CO1762" s="23">
        <v>0.42</v>
      </c>
      <c r="CP1762" s="24">
        <v>95</v>
      </c>
      <c r="CQ1762" s="23">
        <v>0.01</v>
      </c>
      <c r="CR1762" s="23">
        <v>1.54</v>
      </c>
      <c r="CS1762" s="23">
        <v>-3.94</v>
      </c>
      <c r="CT1762" s="24">
        <v>3</v>
      </c>
      <c r="CU1762" s="23">
        <v>0.02</v>
      </c>
      <c r="CV1762" s="24">
        <v>51</v>
      </c>
      <c r="CW1762" s="23">
        <v>-6.64</v>
      </c>
      <c r="CX1762" s="24">
        <v>2</v>
      </c>
      <c r="CY1762" s="23">
        <v>-1.24</v>
      </c>
      <c r="CZ1762" s="24">
        <v>17</v>
      </c>
      <c r="DA1762" s="23">
        <v>0.04</v>
      </c>
      <c r="DB1762" s="24">
        <v>62</v>
      </c>
      <c r="DC1762" s="25">
        <v>19.309999999999999</v>
      </c>
      <c r="DD1762" s="24">
        <v>94</v>
      </c>
      <c r="DE1762" s="25">
        <v>-0.15</v>
      </c>
      <c r="DF1762" s="23">
        <v>-0.76</v>
      </c>
      <c r="DG1762" s="25">
        <v>10.210000000000001</v>
      </c>
      <c r="DH1762" s="24">
        <v>90</v>
      </c>
      <c r="DI1762" s="25">
        <v>46.44</v>
      </c>
      <c r="DJ1762" s="24">
        <v>95</v>
      </c>
      <c r="DK1762" s="25">
        <v>9.07</v>
      </c>
      <c r="DL1762" s="24">
        <v>86</v>
      </c>
      <c r="DM1762" s="25">
        <v>11.34</v>
      </c>
      <c r="DN1762" s="24">
        <v>90</v>
      </c>
      <c r="DO1762" s="25">
        <v>50.42</v>
      </c>
      <c r="DP1762" s="24">
        <v>96</v>
      </c>
      <c r="DQ1762" s="24">
        <v>3117</v>
      </c>
      <c r="DR1762" s="26">
        <v>-21</v>
      </c>
      <c r="DS1762" s="23">
        <v>-0.67</v>
      </c>
      <c r="DT1762" s="24">
        <v>328</v>
      </c>
      <c r="DU1762" s="26">
        <v>1</v>
      </c>
      <c r="DV1762" s="23">
        <v>0.31</v>
      </c>
      <c r="DW1762" s="24">
        <v>18055</v>
      </c>
      <c r="DX1762" s="27">
        <v>-3</v>
      </c>
      <c r="DY1762" s="23">
        <v>-0.02</v>
      </c>
      <c r="DZ1762" s="15" t="s">
        <v>178</v>
      </c>
      <c r="EA1762" s="22">
        <v>43622</v>
      </c>
      <c r="EB1762" s="17">
        <v>1000</v>
      </c>
      <c r="EC1762" s="22">
        <v>43410</v>
      </c>
      <c r="ED1762" s="15" t="s">
        <v>173</v>
      </c>
      <c r="EE1762" s="14" t="str">
        <f>HYPERLINK("https://my.pitchbook.com?c=63607-33", "View company online")</f>
        <v>View company online</v>
      </c>
    </row>
    <row r="1763" spans="1:135">
      <c r="A1763" s="28" t="s">
        <v>33513</v>
      </c>
      <c r="B1763" s="28" t="s">
        <v>33514</v>
      </c>
      <c r="C1763" s="28" t="s">
        <v>138</v>
      </c>
      <c r="D1763" s="28" t="s">
        <v>138</v>
      </c>
      <c r="E1763" s="28" t="s">
        <v>33515</v>
      </c>
      <c r="F1763" s="28" t="s">
        <v>33513</v>
      </c>
      <c r="G1763" s="28" t="s">
        <v>33516</v>
      </c>
      <c r="H1763" s="28" t="s">
        <v>322</v>
      </c>
      <c r="I1763" s="28" t="s">
        <v>323</v>
      </c>
      <c r="J1763" s="28" t="s">
        <v>1132</v>
      </c>
      <c r="K1763" s="28" t="s">
        <v>1777</v>
      </c>
      <c r="L1763" s="28" t="s">
        <v>9641</v>
      </c>
      <c r="M1763" s="28" t="s">
        <v>33517</v>
      </c>
      <c r="N1763" s="28" t="s">
        <v>147</v>
      </c>
      <c r="O1763" s="29">
        <v>35.82</v>
      </c>
      <c r="P1763" s="28" t="s">
        <v>148</v>
      </c>
      <c r="Q1763" s="28" t="s">
        <v>149</v>
      </c>
      <c r="R1763" s="28" t="s">
        <v>174</v>
      </c>
      <c r="S1763" s="28" t="s">
        <v>33518</v>
      </c>
      <c r="T1763" s="30">
        <v>23</v>
      </c>
      <c r="U1763" s="28" t="s">
        <v>33519</v>
      </c>
      <c r="V1763" s="28" t="s">
        <v>138</v>
      </c>
      <c r="W1763" s="28" t="s">
        <v>138</v>
      </c>
      <c r="X1763" s="31">
        <v>2014</v>
      </c>
      <c r="Y1763" s="28" t="s">
        <v>138</v>
      </c>
      <c r="Z1763" s="28" t="s">
        <v>138</v>
      </c>
      <c r="AA1763" s="28" t="s">
        <v>138</v>
      </c>
      <c r="AB1763" s="32" t="s">
        <v>138</v>
      </c>
      <c r="AC1763" s="32" t="s">
        <v>138</v>
      </c>
      <c r="AD1763" s="32" t="s">
        <v>138</v>
      </c>
      <c r="AE1763" s="32" t="s">
        <v>138</v>
      </c>
      <c r="AF1763" s="32" t="s">
        <v>138</v>
      </c>
      <c r="AG1763" s="28" t="s">
        <v>138</v>
      </c>
      <c r="AH1763" s="32" t="s">
        <v>138</v>
      </c>
      <c r="AI1763" s="32" t="s">
        <v>138</v>
      </c>
      <c r="AJ1763" s="32" t="s">
        <v>138</v>
      </c>
      <c r="AK1763" s="28" t="s">
        <v>33520</v>
      </c>
      <c r="AL1763" s="28" t="s">
        <v>33521</v>
      </c>
      <c r="AM1763" s="28" t="s">
        <v>304</v>
      </c>
      <c r="AN1763" s="28" t="s">
        <v>33522</v>
      </c>
      <c r="AO1763" s="28" t="s">
        <v>33523</v>
      </c>
      <c r="AP1763" s="28" t="s">
        <v>1195</v>
      </c>
      <c r="AQ1763" s="28" t="s">
        <v>33524</v>
      </c>
      <c r="AR1763" s="28" t="s">
        <v>33525</v>
      </c>
      <c r="AS1763" s="28" t="s">
        <v>1198</v>
      </c>
      <c r="AT1763" s="28" t="s">
        <v>8339</v>
      </c>
      <c r="AU1763" s="28" t="s">
        <v>1199</v>
      </c>
      <c r="AV1763" s="28" t="s">
        <v>1200</v>
      </c>
      <c r="AW1763" s="28" t="s">
        <v>33523</v>
      </c>
      <c r="AX1763" s="28" t="s">
        <v>138</v>
      </c>
      <c r="AY1763" s="28" t="s">
        <v>33526</v>
      </c>
      <c r="AZ1763" s="28" t="s">
        <v>452</v>
      </c>
      <c r="BA1763" s="28" t="s">
        <v>453</v>
      </c>
      <c r="BB1763" s="28" t="s">
        <v>33527</v>
      </c>
      <c r="BC1763" s="28" t="s">
        <v>33528</v>
      </c>
      <c r="BD1763" s="33">
        <v>15</v>
      </c>
      <c r="BE1763" s="28" t="s">
        <v>138</v>
      </c>
      <c r="BF1763" s="28" t="s">
        <v>138</v>
      </c>
      <c r="BG1763" s="28" t="s">
        <v>138</v>
      </c>
      <c r="BH1763" s="28" t="s">
        <v>33529</v>
      </c>
      <c r="BI1763" s="28" t="s">
        <v>138</v>
      </c>
      <c r="BJ1763" s="28" t="s">
        <v>138</v>
      </c>
      <c r="BK1763" s="28" t="s">
        <v>33530</v>
      </c>
      <c r="BL1763" s="28" t="s">
        <v>138</v>
      </c>
      <c r="BM1763" s="34">
        <v>41842</v>
      </c>
      <c r="BN1763" s="29">
        <v>1.6</v>
      </c>
      <c r="BO1763" s="28" t="s">
        <v>172</v>
      </c>
      <c r="BP1763" s="29" t="s">
        <v>138</v>
      </c>
      <c r="BQ1763" s="28" t="s">
        <v>138</v>
      </c>
      <c r="BR1763" s="28" t="s">
        <v>234</v>
      </c>
      <c r="BS1763" s="28" t="s">
        <v>234</v>
      </c>
      <c r="BT1763" s="28" t="s">
        <v>138</v>
      </c>
      <c r="BU1763" s="28" t="s">
        <v>263</v>
      </c>
      <c r="BV1763" s="28" t="s">
        <v>138</v>
      </c>
      <c r="BW1763" s="28" t="s">
        <v>138</v>
      </c>
      <c r="BX1763" s="28" t="s">
        <v>138</v>
      </c>
      <c r="BY1763" s="28" t="s">
        <v>175</v>
      </c>
      <c r="BZ1763" s="34">
        <v>42758</v>
      </c>
      <c r="CA1763" s="29">
        <v>1.75</v>
      </c>
      <c r="CB1763" s="28" t="s">
        <v>172</v>
      </c>
      <c r="CC1763" s="29" t="s">
        <v>138</v>
      </c>
      <c r="CD1763" s="28" t="s">
        <v>138</v>
      </c>
      <c r="CE1763" s="28" t="s">
        <v>173</v>
      </c>
      <c r="CF1763" s="28" t="s">
        <v>138</v>
      </c>
      <c r="CG1763" s="28" t="s">
        <v>138</v>
      </c>
      <c r="CH1763" s="28" t="s">
        <v>174</v>
      </c>
      <c r="CI1763" s="28" t="s">
        <v>138</v>
      </c>
      <c r="CJ1763" s="28" t="s">
        <v>138</v>
      </c>
      <c r="CK1763" s="28" t="s">
        <v>138</v>
      </c>
      <c r="CL1763" s="28" t="s">
        <v>175</v>
      </c>
      <c r="CM1763" s="34" t="s">
        <v>138</v>
      </c>
      <c r="CN1763" s="29" t="s">
        <v>138</v>
      </c>
      <c r="CO1763" s="35">
        <v>-1.69</v>
      </c>
      <c r="CP1763" s="36">
        <v>7</v>
      </c>
      <c r="CQ1763" s="35">
        <v>0</v>
      </c>
      <c r="CR1763" s="35">
        <v>0.1</v>
      </c>
      <c r="CS1763" s="35">
        <v>-3.25</v>
      </c>
      <c r="CT1763" s="36">
        <v>5</v>
      </c>
      <c r="CU1763" s="35">
        <v>-0.13</v>
      </c>
      <c r="CV1763" s="36">
        <v>3</v>
      </c>
      <c r="CW1763" s="35">
        <v>-3.25</v>
      </c>
      <c r="CX1763" s="36">
        <v>5</v>
      </c>
      <c r="CY1763" s="35" t="s">
        <v>138</v>
      </c>
      <c r="CZ1763" s="36" t="s">
        <v>138</v>
      </c>
      <c r="DA1763" s="35">
        <v>-0.23</v>
      </c>
      <c r="DB1763" s="36">
        <v>2</v>
      </c>
      <c r="DC1763" s="37">
        <v>84.85</v>
      </c>
      <c r="DD1763" s="36">
        <v>99</v>
      </c>
      <c r="DE1763" s="37">
        <v>-1.26</v>
      </c>
      <c r="DF1763" s="35">
        <v>-1.46</v>
      </c>
      <c r="DG1763" s="37">
        <v>23.04</v>
      </c>
      <c r="DH1763" s="36">
        <v>95</v>
      </c>
      <c r="DI1763" s="37">
        <v>146.66</v>
      </c>
      <c r="DJ1763" s="36">
        <v>98</v>
      </c>
      <c r="DK1763" s="37">
        <v>23.04</v>
      </c>
      <c r="DL1763" s="36">
        <v>92</v>
      </c>
      <c r="DM1763" s="37" t="s">
        <v>138</v>
      </c>
      <c r="DN1763" s="36" t="s">
        <v>138</v>
      </c>
      <c r="DO1763" s="37">
        <v>259.52999999999997</v>
      </c>
      <c r="DP1763" s="36">
        <v>99</v>
      </c>
      <c r="DQ1763" s="36">
        <v>7960</v>
      </c>
      <c r="DR1763" s="38">
        <v>-170</v>
      </c>
      <c r="DS1763" s="35">
        <v>-2.09</v>
      </c>
      <c r="DT1763" s="36" t="s">
        <v>138</v>
      </c>
      <c r="DU1763" s="38" t="s">
        <v>138</v>
      </c>
      <c r="DV1763" s="35" t="s">
        <v>138</v>
      </c>
      <c r="DW1763" s="36">
        <v>92994</v>
      </c>
      <c r="DX1763" s="39">
        <v>-172</v>
      </c>
      <c r="DY1763" s="35">
        <v>-0.18</v>
      </c>
      <c r="DZ1763" s="28" t="s">
        <v>178</v>
      </c>
      <c r="EA1763" s="34">
        <v>43622</v>
      </c>
      <c r="EB1763" s="29" t="s">
        <v>138</v>
      </c>
      <c r="EC1763" s="34" t="s">
        <v>138</v>
      </c>
      <c r="ED1763" s="28" t="s">
        <v>138</v>
      </c>
      <c r="EE1763" s="40" t="str">
        <f>HYPERLINK("https://my.pitchbook.com?c=65299-51", "View company online")</f>
        <v>View company online</v>
      </c>
    </row>
    <row r="1764" spans="1:135">
      <c r="A1764" s="15" t="s">
        <v>33531</v>
      </c>
      <c r="B1764" s="15" t="s">
        <v>33532</v>
      </c>
      <c r="C1764" s="15" t="s">
        <v>138</v>
      </c>
      <c r="D1764" s="15" t="s">
        <v>138</v>
      </c>
      <c r="E1764" s="15" t="s">
        <v>138</v>
      </c>
      <c r="F1764" s="15" t="s">
        <v>33531</v>
      </c>
      <c r="G1764" s="15" t="s">
        <v>33533</v>
      </c>
      <c r="H1764" s="15" t="s">
        <v>385</v>
      </c>
      <c r="I1764" s="15" t="s">
        <v>386</v>
      </c>
      <c r="J1764" s="15" t="s">
        <v>558</v>
      </c>
      <c r="K1764" s="15" t="s">
        <v>27297</v>
      </c>
      <c r="L1764" s="15" t="s">
        <v>560</v>
      </c>
      <c r="M1764" s="15" t="s">
        <v>33534</v>
      </c>
      <c r="N1764" s="15" t="s">
        <v>147</v>
      </c>
      <c r="O1764" s="17">
        <v>6.5</v>
      </c>
      <c r="P1764" s="15" t="s">
        <v>148</v>
      </c>
      <c r="Q1764" s="15" t="s">
        <v>149</v>
      </c>
      <c r="R1764" s="15" t="s">
        <v>174</v>
      </c>
      <c r="S1764" s="15" t="s">
        <v>33535</v>
      </c>
      <c r="T1764" s="18">
        <v>8</v>
      </c>
      <c r="U1764" s="15" t="s">
        <v>20726</v>
      </c>
      <c r="V1764" s="15" t="s">
        <v>138</v>
      </c>
      <c r="W1764" s="15" t="s">
        <v>138</v>
      </c>
      <c r="X1764" s="19">
        <v>2010</v>
      </c>
      <c r="Y1764" s="15" t="s">
        <v>138</v>
      </c>
      <c r="Z1764" s="15" t="s">
        <v>138</v>
      </c>
      <c r="AA1764" s="15" t="s">
        <v>138</v>
      </c>
      <c r="AB1764" s="20" t="s">
        <v>138</v>
      </c>
      <c r="AC1764" s="20" t="s">
        <v>138</v>
      </c>
      <c r="AD1764" s="20" t="s">
        <v>138</v>
      </c>
      <c r="AE1764" s="20" t="s">
        <v>138</v>
      </c>
      <c r="AF1764" s="20" t="s">
        <v>138</v>
      </c>
      <c r="AG1764" s="15" t="s">
        <v>138</v>
      </c>
      <c r="AH1764" s="20" t="s">
        <v>138</v>
      </c>
      <c r="AI1764" s="20" t="s">
        <v>138</v>
      </c>
      <c r="AJ1764" s="20" t="s">
        <v>138</v>
      </c>
      <c r="AK1764" s="15" t="s">
        <v>33536</v>
      </c>
      <c r="AL1764" s="15" t="s">
        <v>33537</v>
      </c>
      <c r="AM1764" s="15" t="s">
        <v>11604</v>
      </c>
      <c r="AN1764" s="15" t="s">
        <v>33538</v>
      </c>
      <c r="AO1764" s="15" t="s">
        <v>33539</v>
      </c>
      <c r="AP1764" s="15" t="s">
        <v>33540</v>
      </c>
      <c r="AQ1764" s="15" t="s">
        <v>33541</v>
      </c>
      <c r="AR1764" s="15" t="s">
        <v>33542</v>
      </c>
      <c r="AS1764" s="15" t="s">
        <v>33543</v>
      </c>
      <c r="AT1764" s="15" t="s">
        <v>824</v>
      </c>
      <c r="AU1764" s="15" t="s">
        <v>33544</v>
      </c>
      <c r="AV1764" s="15" t="s">
        <v>526</v>
      </c>
      <c r="AW1764" s="15" t="s">
        <v>33545</v>
      </c>
      <c r="AX1764" s="15" t="s">
        <v>138</v>
      </c>
      <c r="AY1764" s="15" t="s">
        <v>33546</v>
      </c>
      <c r="AZ1764" s="15" t="s">
        <v>530</v>
      </c>
      <c r="BA1764" s="15" t="s">
        <v>531</v>
      </c>
      <c r="BB1764" s="15" t="s">
        <v>33547</v>
      </c>
      <c r="BC1764" s="15" t="s">
        <v>33548</v>
      </c>
      <c r="BD1764" s="21">
        <v>5</v>
      </c>
      <c r="BE1764" s="15" t="s">
        <v>138</v>
      </c>
      <c r="BF1764" s="15" t="s">
        <v>138</v>
      </c>
      <c r="BG1764" s="15" t="s">
        <v>138</v>
      </c>
      <c r="BH1764" s="15" t="s">
        <v>33549</v>
      </c>
      <c r="BI1764" s="15" t="s">
        <v>138</v>
      </c>
      <c r="BJ1764" s="15" t="s">
        <v>138</v>
      </c>
      <c r="BK1764" s="15" t="s">
        <v>138</v>
      </c>
      <c r="BL1764" s="15" t="s">
        <v>33550</v>
      </c>
      <c r="BM1764" s="22" t="s">
        <v>138</v>
      </c>
      <c r="BN1764" s="17" t="s">
        <v>138</v>
      </c>
      <c r="BO1764" s="15" t="s">
        <v>138</v>
      </c>
      <c r="BP1764" s="17" t="s">
        <v>138</v>
      </c>
      <c r="BQ1764" s="15" t="s">
        <v>138</v>
      </c>
      <c r="BR1764" s="15" t="s">
        <v>205</v>
      </c>
      <c r="BS1764" s="15" t="s">
        <v>138</v>
      </c>
      <c r="BT1764" s="15" t="s">
        <v>138</v>
      </c>
      <c r="BU1764" s="15" t="s">
        <v>174</v>
      </c>
      <c r="BV1764" s="15" t="s">
        <v>138</v>
      </c>
      <c r="BW1764" s="15" t="s">
        <v>138</v>
      </c>
      <c r="BX1764" s="15" t="s">
        <v>138</v>
      </c>
      <c r="BY1764" s="15" t="s">
        <v>175</v>
      </c>
      <c r="BZ1764" s="22">
        <v>42942</v>
      </c>
      <c r="CA1764" s="17">
        <v>6.5</v>
      </c>
      <c r="CB1764" s="15" t="s">
        <v>172</v>
      </c>
      <c r="CC1764" s="17" t="s">
        <v>138</v>
      </c>
      <c r="CD1764" s="15" t="s">
        <v>138</v>
      </c>
      <c r="CE1764" s="15" t="s">
        <v>205</v>
      </c>
      <c r="CF1764" s="15" t="s">
        <v>138</v>
      </c>
      <c r="CG1764" s="15" t="s">
        <v>138</v>
      </c>
      <c r="CH1764" s="15" t="s">
        <v>174</v>
      </c>
      <c r="CI1764" s="15" t="s">
        <v>138</v>
      </c>
      <c r="CJ1764" s="15" t="s">
        <v>138</v>
      </c>
      <c r="CK1764" s="15" t="s">
        <v>138</v>
      </c>
      <c r="CL1764" s="15" t="s">
        <v>175</v>
      </c>
      <c r="CM1764" s="22" t="s">
        <v>138</v>
      </c>
      <c r="CN1764" s="17" t="s">
        <v>138</v>
      </c>
      <c r="CO1764" s="23">
        <v>0</v>
      </c>
      <c r="CP1764" s="24">
        <v>26</v>
      </c>
      <c r="CQ1764" s="23">
        <v>0</v>
      </c>
      <c r="CR1764" s="23">
        <v>0</v>
      </c>
      <c r="CS1764" s="23" t="s">
        <v>138</v>
      </c>
      <c r="CT1764" s="24" t="s">
        <v>138</v>
      </c>
      <c r="CU1764" s="23">
        <v>0</v>
      </c>
      <c r="CV1764" s="24">
        <v>22</v>
      </c>
      <c r="CW1764" s="23" t="s">
        <v>138</v>
      </c>
      <c r="CX1764" s="24" t="s">
        <v>138</v>
      </c>
      <c r="CY1764" s="23" t="s">
        <v>138</v>
      </c>
      <c r="CZ1764" s="24" t="s">
        <v>138</v>
      </c>
      <c r="DA1764" s="23">
        <v>0</v>
      </c>
      <c r="DB1764" s="24">
        <v>22</v>
      </c>
      <c r="DC1764" s="25">
        <v>0.03</v>
      </c>
      <c r="DD1764" s="24">
        <v>1</v>
      </c>
      <c r="DE1764" s="25">
        <v>0</v>
      </c>
      <c r="DF1764" s="23">
        <v>0.56000000000000005</v>
      </c>
      <c r="DG1764" s="25" t="s">
        <v>138</v>
      </c>
      <c r="DH1764" s="24" t="s">
        <v>138</v>
      </c>
      <c r="DI1764" s="25">
        <v>0.03</v>
      </c>
      <c r="DJ1764" s="24">
        <v>5</v>
      </c>
      <c r="DK1764" s="25" t="s">
        <v>138</v>
      </c>
      <c r="DL1764" s="24" t="s">
        <v>138</v>
      </c>
      <c r="DM1764" s="25" t="s">
        <v>138</v>
      </c>
      <c r="DN1764" s="24" t="s">
        <v>138</v>
      </c>
      <c r="DO1764" s="25">
        <v>0.03</v>
      </c>
      <c r="DP1764" s="24">
        <v>6</v>
      </c>
      <c r="DQ1764" s="24" t="s">
        <v>138</v>
      </c>
      <c r="DR1764" s="26" t="s">
        <v>138</v>
      </c>
      <c r="DS1764" s="23" t="s">
        <v>138</v>
      </c>
      <c r="DT1764" s="24" t="s">
        <v>138</v>
      </c>
      <c r="DU1764" s="26" t="s">
        <v>138</v>
      </c>
      <c r="DV1764" s="23" t="s">
        <v>138</v>
      </c>
      <c r="DW1764" s="24">
        <v>12</v>
      </c>
      <c r="DX1764" s="27">
        <v>0</v>
      </c>
      <c r="DY1764" s="23">
        <v>0</v>
      </c>
      <c r="DZ1764" s="15" t="s">
        <v>178</v>
      </c>
      <c r="EA1764" s="22">
        <v>43622</v>
      </c>
      <c r="EB1764" s="17" t="s">
        <v>138</v>
      </c>
      <c r="EC1764" s="22" t="s">
        <v>138</v>
      </c>
      <c r="ED1764" s="15" t="s">
        <v>138</v>
      </c>
      <c r="EE1764" s="14" t="str">
        <f>HYPERLINK("https://my.pitchbook.com?c=114593-41", "View company online")</f>
        <v>View company online</v>
      </c>
    </row>
    <row r="1765" spans="1:135">
      <c r="A1765" s="28" t="s">
        <v>33551</v>
      </c>
      <c r="B1765" s="28" t="s">
        <v>33552</v>
      </c>
      <c r="C1765" s="28" t="s">
        <v>138</v>
      </c>
      <c r="D1765" s="28" t="s">
        <v>138</v>
      </c>
      <c r="E1765" s="28" t="s">
        <v>33553</v>
      </c>
      <c r="F1765" s="28" t="s">
        <v>33551</v>
      </c>
      <c r="G1765" s="28" t="s">
        <v>33554</v>
      </c>
      <c r="H1765" s="28" t="s">
        <v>238</v>
      </c>
      <c r="I1765" s="28" t="s">
        <v>749</v>
      </c>
      <c r="J1765" s="28" t="s">
        <v>2855</v>
      </c>
      <c r="K1765" s="28" t="s">
        <v>33555</v>
      </c>
      <c r="L1765" s="28" t="s">
        <v>23358</v>
      </c>
      <c r="M1765" s="28" t="s">
        <v>33556</v>
      </c>
      <c r="N1765" s="28" t="s">
        <v>1452</v>
      </c>
      <c r="O1765" s="29">
        <v>96.57</v>
      </c>
      <c r="P1765" s="28" t="s">
        <v>148</v>
      </c>
      <c r="Q1765" s="28" t="s">
        <v>149</v>
      </c>
      <c r="R1765" s="28" t="s">
        <v>1652</v>
      </c>
      <c r="S1765" s="28" t="s">
        <v>33557</v>
      </c>
      <c r="T1765" s="30">
        <v>250</v>
      </c>
      <c r="U1765" s="28" t="s">
        <v>33558</v>
      </c>
      <c r="V1765" s="28" t="s">
        <v>138</v>
      </c>
      <c r="W1765" s="28" t="s">
        <v>138</v>
      </c>
      <c r="X1765" s="31">
        <v>2010</v>
      </c>
      <c r="Y1765" s="28" t="s">
        <v>138</v>
      </c>
      <c r="Z1765" s="28" t="s">
        <v>138</v>
      </c>
      <c r="AA1765" s="28" t="s">
        <v>138</v>
      </c>
      <c r="AB1765" s="32">
        <v>200</v>
      </c>
      <c r="AC1765" s="32" t="s">
        <v>138</v>
      </c>
      <c r="AD1765" s="32" t="s">
        <v>138</v>
      </c>
      <c r="AE1765" s="32" t="s">
        <v>138</v>
      </c>
      <c r="AF1765" s="32" t="s">
        <v>138</v>
      </c>
      <c r="AG1765" s="28" t="s">
        <v>419</v>
      </c>
      <c r="AH1765" s="32" t="s">
        <v>138</v>
      </c>
      <c r="AI1765" s="32" t="s">
        <v>138</v>
      </c>
      <c r="AJ1765" s="32" t="s">
        <v>138</v>
      </c>
      <c r="AK1765" s="28" t="s">
        <v>33559</v>
      </c>
      <c r="AL1765" s="28" t="s">
        <v>33560</v>
      </c>
      <c r="AM1765" s="28" t="s">
        <v>304</v>
      </c>
      <c r="AN1765" s="28" t="s">
        <v>33561</v>
      </c>
      <c r="AO1765" s="28" t="s">
        <v>33562</v>
      </c>
      <c r="AP1765" s="28" t="s">
        <v>423</v>
      </c>
      <c r="AQ1765" s="28" t="s">
        <v>33563</v>
      </c>
      <c r="AR1765" s="28" t="s">
        <v>5294</v>
      </c>
      <c r="AS1765" s="28" t="s">
        <v>426</v>
      </c>
      <c r="AT1765" s="28" t="s">
        <v>426</v>
      </c>
      <c r="AU1765" s="28" t="s">
        <v>619</v>
      </c>
      <c r="AV1765" s="28" t="s">
        <v>162</v>
      </c>
      <c r="AW1765" s="28" t="s">
        <v>33562</v>
      </c>
      <c r="AX1765" s="28" t="s">
        <v>138</v>
      </c>
      <c r="AY1765" s="28" t="s">
        <v>33564</v>
      </c>
      <c r="AZ1765" s="28" t="s">
        <v>164</v>
      </c>
      <c r="BA1765" s="28" t="s">
        <v>165</v>
      </c>
      <c r="BB1765" s="28" t="s">
        <v>33565</v>
      </c>
      <c r="BC1765" s="28" t="s">
        <v>33566</v>
      </c>
      <c r="BD1765" s="33">
        <v>2</v>
      </c>
      <c r="BE1765" s="28" t="s">
        <v>138</v>
      </c>
      <c r="BF1765" s="28" t="s">
        <v>33567</v>
      </c>
      <c r="BG1765" s="28" t="s">
        <v>138</v>
      </c>
      <c r="BH1765" s="28" t="s">
        <v>33568</v>
      </c>
      <c r="BI1765" s="28" t="s">
        <v>33569</v>
      </c>
      <c r="BJ1765" s="28" t="s">
        <v>138</v>
      </c>
      <c r="BK1765" s="28" t="s">
        <v>33570</v>
      </c>
      <c r="BL1765" s="28" t="s">
        <v>33571</v>
      </c>
      <c r="BM1765" s="34">
        <v>40422</v>
      </c>
      <c r="BN1765" s="29" t="s">
        <v>138</v>
      </c>
      <c r="BO1765" s="28" t="s">
        <v>138</v>
      </c>
      <c r="BP1765" s="29" t="s">
        <v>138</v>
      </c>
      <c r="BQ1765" s="28" t="s">
        <v>138</v>
      </c>
      <c r="BR1765" s="28" t="s">
        <v>316</v>
      </c>
      <c r="BS1765" s="28" t="s">
        <v>138</v>
      </c>
      <c r="BT1765" s="28" t="s">
        <v>138</v>
      </c>
      <c r="BU1765" s="28" t="s">
        <v>177</v>
      </c>
      <c r="BV1765" s="28" t="s">
        <v>138</v>
      </c>
      <c r="BW1765" s="28" t="s">
        <v>138</v>
      </c>
      <c r="BX1765" s="28" t="s">
        <v>138</v>
      </c>
      <c r="BY1765" s="28" t="s">
        <v>175</v>
      </c>
      <c r="BZ1765" s="34">
        <v>43377</v>
      </c>
      <c r="CA1765" s="29" t="s">
        <v>138</v>
      </c>
      <c r="CB1765" s="28" t="s">
        <v>138</v>
      </c>
      <c r="CC1765" s="29" t="s">
        <v>138</v>
      </c>
      <c r="CD1765" s="28" t="s">
        <v>138</v>
      </c>
      <c r="CE1765" s="28" t="s">
        <v>780</v>
      </c>
      <c r="CF1765" s="28" t="s">
        <v>780</v>
      </c>
      <c r="CG1765" s="28" t="s">
        <v>138</v>
      </c>
      <c r="CH1765" s="28" t="s">
        <v>780</v>
      </c>
      <c r="CI1765" s="28" t="s">
        <v>138</v>
      </c>
      <c r="CJ1765" s="28" t="s">
        <v>138</v>
      </c>
      <c r="CK1765" s="28" t="s">
        <v>138</v>
      </c>
      <c r="CL1765" s="28" t="s">
        <v>175</v>
      </c>
      <c r="CM1765" s="34">
        <v>41750</v>
      </c>
      <c r="CN1765" s="29" t="s">
        <v>138</v>
      </c>
      <c r="CO1765" s="35">
        <v>-0.74</v>
      </c>
      <c r="CP1765" s="36">
        <v>13</v>
      </c>
      <c r="CQ1765" s="35">
        <v>-0.02</v>
      </c>
      <c r="CR1765" s="35">
        <v>-2.54</v>
      </c>
      <c r="CS1765" s="35">
        <v>-2.64</v>
      </c>
      <c r="CT1765" s="36">
        <v>6</v>
      </c>
      <c r="CU1765" s="35">
        <v>0.01</v>
      </c>
      <c r="CV1765" s="36">
        <v>49</v>
      </c>
      <c r="CW1765" s="35">
        <v>-4.17</v>
      </c>
      <c r="CX1765" s="36">
        <v>4</v>
      </c>
      <c r="CY1765" s="35">
        <v>-1.1100000000000001</v>
      </c>
      <c r="CZ1765" s="36">
        <v>18</v>
      </c>
      <c r="DA1765" s="35">
        <v>-0.02</v>
      </c>
      <c r="DB1765" s="36">
        <v>19</v>
      </c>
      <c r="DC1765" s="37">
        <v>809.09</v>
      </c>
      <c r="DD1765" s="36">
        <v>100</v>
      </c>
      <c r="DE1765" s="37">
        <v>-14.47</v>
      </c>
      <c r="DF1765" s="35">
        <v>-1.76</v>
      </c>
      <c r="DG1765" s="37">
        <v>587.24</v>
      </c>
      <c r="DH1765" s="36">
        <v>100</v>
      </c>
      <c r="DI1765" s="37">
        <v>1749</v>
      </c>
      <c r="DJ1765" s="36">
        <v>100</v>
      </c>
      <c r="DK1765" s="37">
        <v>730.2</v>
      </c>
      <c r="DL1765" s="36">
        <v>100</v>
      </c>
      <c r="DM1765" s="37">
        <v>444.28</v>
      </c>
      <c r="DN1765" s="36">
        <v>100</v>
      </c>
      <c r="DO1765" s="37">
        <v>497.01</v>
      </c>
      <c r="DP1765" s="36">
        <v>100</v>
      </c>
      <c r="DQ1765" s="36">
        <v>255982</v>
      </c>
      <c r="DR1765" s="38">
        <v>-16578</v>
      </c>
      <c r="DS1765" s="35">
        <v>-6.08</v>
      </c>
      <c r="DT1765" s="36">
        <v>12895</v>
      </c>
      <c r="DU1765" s="38">
        <v>-11</v>
      </c>
      <c r="DV1765" s="35">
        <v>-0.09</v>
      </c>
      <c r="DW1765" s="36">
        <v>177973</v>
      </c>
      <c r="DX1765" s="39">
        <v>-32</v>
      </c>
      <c r="DY1765" s="35">
        <v>-0.02</v>
      </c>
      <c r="DZ1765" s="28" t="s">
        <v>178</v>
      </c>
      <c r="EA1765" s="34">
        <v>43622</v>
      </c>
      <c r="EB1765" s="29">
        <v>15</v>
      </c>
      <c r="EC1765" s="34">
        <v>43221</v>
      </c>
      <c r="ED1765" s="28" t="s">
        <v>349</v>
      </c>
      <c r="EE1765" s="40" t="str">
        <f>HYPERLINK("https://my.pitchbook.com?c=51206-05", "View company online")</f>
        <v>View company online</v>
      </c>
    </row>
    <row r="1766" spans="1:135">
      <c r="A1766" s="15" t="s">
        <v>33572</v>
      </c>
      <c r="B1766" s="15" t="s">
        <v>33573</v>
      </c>
      <c r="C1766" s="15" t="s">
        <v>138</v>
      </c>
      <c r="D1766" s="15" t="s">
        <v>33574</v>
      </c>
      <c r="E1766" s="15" t="s">
        <v>33575</v>
      </c>
      <c r="F1766" s="15" t="s">
        <v>33572</v>
      </c>
      <c r="G1766" s="15" t="s">
        <v>33576</v>
      </c>
      <c r="H1766" s="15" t="s">
        <v>322</v>
      </c>
      <c r="I1766" s="15" t="s">
        <v>323</v>
      </c>
      <c r="J1766" s="15" t="s">
        <v>324</v>
      </c>
      <c r="K1766" s="15" t="s">
        <v>33577</v>
      </c>
      <c r="L1766" s="15" t="s">
        <v>6989</v>
      </c>
      <c r="M1766" s="15" t="s">
        <v>33578</v>
      </c>
      <c r="N1766" s="15" t="s">
        <v>147</v>
      </c>
      <c r="O1766" s="17" t="s">
        <v>138</v>
      </c>
      <c r="P1766" s="15" t="s">
        <v>148</v>
      </c>
      <c r="Q1766" s="15" t="s">
        <v>149</v>
      </c>
      <c r="R1766" s="15" t="s">
        <v>174</v>
      </c>
      <c r="S1766" s="15" t="s">
        <v>33579</v>
      </c>
      <c r="T1766" s="18">
        <v>9</v>
      </c>
      <c r="U1766" s="15" t="s">
        <v>7357</v>
      </c>
      <c r="V1766" s="15" t="s">
        <v>138</v>
      </c>
      <c r="W1766" s="15" t="s">
        <v>138</v>
      </c>
      <c r="X1766" s="19">
        <v>2015</v>
      </c>
      <c r="Y1766" s="15" t="s">
        <v>138</v>
      </c>
      <c r="Z1766" s="15" t="s">
        <v>138</v>
      </c>
      <c r="AA1766" s="15" t="s">
        <v>138</v>
      </c>
      <c r="AB1766" s="20" t="s">
        <v>138</v>
      </c>
      <c r="AC1766" s="20" t="s">
        <v>138</v>
      </c>
      <c r="AD1766" s="20" t="s">
        <v>138</v>
      </c>
      <c r="AE1766" s="20" t="s">
        <v>138</v>
      </c>
      <c r="AF1766" s="20" t="s">
        <v>138</v>
      </c>
      <c r="AG1766" s="15" t="s">
        <v>138</v>
      </c>
      <c r="AH1766" s="20" t="s">
        <v>138</v>
      </c>
      <c r="AI1766" s="20" t="s">
        <v>138</v>
      </c>
      <c r="AJ1766" s="20" t="s">
        <v>138</v>
      </c>
      <c r="AK1766" s="15" t="s">
        <v>33580</v>
      </c>
      <c r="AL1766" s="15" t="s">
        <v>33581</v>
      </c>
      <c r="AM1766" s="15" t="s">
        <v>33582</v>
      </c>
      <c r="AN1766" s="15" t="s">
        <v>33583</v>
      </c>
      <c r="AO1766" s="15" t="s">
        <v>138</v>
      </c>
      <c r="AP1766" s="15" t="s">
        <v>423</v>
      </c>
      <c r="AQ1766" s="15" t="s">
        <v>138</v>
      </c>
      <c r="AR1766" s="15" t="s">
        <v>138</v>
      </c>
      <c r="AS1766" s="15" t="s">
        <v>426</v>
      </c>
      <c r="AT1766" s="15" t="s">
        <v>426</v>
      </c>
      <c r="AU1766" s="15" t="s">
        <v>138</v>
      </c>
      <c r="AV1766" s="15" t="s">
        <v>162</v>
      </c>
      <c r="AW1766" s="15" t="s">
        <v>33584</v>
      </c>
      <c r="AX1766" s="15" t="s">
        <v>138</v>
      </c>
      <c r="AY1766" s="15" t="s">
        <v>33585</v>
      </c>
      <c r="AZ1766" s="15" t="s">
        <v>164</v>
      </c>
      <c r="BA1766" s="15" t="s">
        <v>165</v>
      </c>
      <c r="BB1766" s="15" t="s">
        <v>33586</v>
      </c>
      <c r="BC1766" s="15" t="s">
        <v>33587</v>
      </c>
      <c r="BD1766" s="21">
        <v>3</v>
      </c>
      <c r="BE1766" s="15" t="s">
        <v>138</v>
      </c>
      <c r="BF1766" s="15" t="s">
        <v>138</v>
      </c>
      <c r="BG1766" s="15" t="s">
        <v>138</v>
      </c>
      <c r="BH1766" s="15" t="s">
        <v>33588</v>
      </c>
      <c r="BI1766" s="15" t="s">
        <v>138</v>
      </c>
      <c r="BJ1766" s="15" t="s">
        <v>138</v>
      </c>
      <c r="BK1766" s="15" t="s">
        <v>138</v>
      </c>
      <c r="BL1766" s="15" t="s">
        <v>138</v>
      </c>
      <c r="BM1766" s="22">
        <v>43101</v>
      </c>
      <c r="BN1766" s="17" t="s">
        <v>138</v>
      </c>
      <c r="BO1766" s="15" t="s">
        <v>138</v>
      </c>
      <c r="BP1766" s="17" t="s">
        <v>138</v>
      </c>
      <c r="BQ1766" s="15" t="s">
        <v>138</v>
      </c>
      <c r="BR1766" s="15" t="s">
        <v>316</v>
      </c>
      <c r="BS1766" s="15" t="s">
        <v>138</v>
      </c>
      <c r="BT1766" s="15" t="s">
        <v>138</v>
      </c>
      <c r="BU1766" s="15" t="s">
        <v>177</v>
      </c>
      <c r="BV1766" s="15" t="s">
        <v>138</v>
      </c>
      <c r="BW1766" s="15" t="s">
        <v>138</v>
      </c>
      <c r="BX1766" s="15" t="s">
        <v>138</v>
      </c>
      <c r="BY1766" s="15" t="s">
        <v>175</v>
      </c>
      <c r="BZ1766" s="22" t="s">
        <v>138</v>
      </c>
      <c r="CA1766" s="17" t="s">
        <v>138</v>
      </c>
      <c r="CB1766" s="15" t="s">
        <v>138</v>
      </c>
      <c r="CC1766" s="17" t="s">
        <v>138</v>
      </c>
      <c r="CD1766" s="15" t="s">
        <v>138</v>
      </c>
      <c r="CE1766" s="15" t="s">
        <v>234</v>
      </c>
      <c r="CF1766" s="15" t="s">
        <v>234</v>
      </c>
      <c r="CG1766" s="15" t="s">
        <v>138</v>
      </c>
      <c r="CH1766" s="15" t="s">
        <v>174</v>
      </c>
      <c r="CI1766" s="15" t="s">
        <v>138</v>
      </c>
      <c r="CJ1766" s="15" t="s">
        <v>138</v>
      </c>
      <c r="CK1766" s="15" t="s">
        <v>138</v>
      </c>
      <c r="CL1766" s="15" t="s">
        <v>175</v>
      </c>
      <c r="CM1766" s="22" t="s">
        <v>138</v>
      </c>
      <c r="CN1766" s="17" t="s">
        <v>138</v>
      </c>
      <c r="CO1766" s="23">
        <v>0.05</v>
      </c>
      <c r="CP1766" s="24">
        <v>88</v>
      </c>
      <c r="CQ1766" s="23">
        <v>-0.1</v>
      </c>
      <c r="CR1766" s="23">
        <v>-66.849999999999994</v>
      </c>
      <c r="CS1766" s="23">
        <v>0</v>
      </c>
      <c r="CT1766" s="24">
        <v>23</v>
      </c>
      <c r="CU1766" s="23">
        <v>0.1</v>
      </c>
      <c r="CV1766" s="24">
        <v>68</v>
      </c>
      <c r="CW1766" s="23" t="s">
        <v>138</v>
      </c>
      <c r="CX1766" s="24" t="s">
        <v>138</v>
      </c>
      <c r="CY1766" s="23">
        <v>0</v>
      </c>
      <c r="CZ1766" s="24">
        <v>25</v>
      </c>
      <c r="DA1766" s="23">
        <v>0.1</v>
      </c>
      <c r="DB1766" s="24">
        <v>72</v>
      </c>
      <c r="DC1766" s="25">
        <v>0.74</v>
      </c>
      <c r="DD1766" s="24">
        <v>44</v>
      </c>
      <c r="DE1766" s="25">
        <v>0</v>
      </c>
      <c r="DF1766" s="23">
        <v>0.32</v>
      </c>
      <c r="DG1766" s="25">
        <v>1.1399999999999999</v>
      </c>
      <c r="DH1766" s="24">
        <v>54</v>
      </c>
      <c r="DI1766" s="25">
        <v>0.35</v>
      </c>
      <c r="DJ1766" s="24">
        <v>30</v>
      </c>
      <c r="DK1766" s="25" t="s">
        <v>138</v>
      </c>
      <c r="DL1766" s="24" t="s">
        <v>138</v>
      </c>
      <c r="DM1766" s="25">
        <v>1.1399999999999999</v>
      </c>
      <c r="DN1766" s="24">
        <v>53</v>
      </c>
      <c r="DO1766" s="25">
        <v>0.35</v>
      </c>
      <c r="DP1766" s="24">
        <v>32</v>
      </c>
      <c r="DQ1766" s="24" t="s">
        <v>138</v>
      </c>
      <c r="DR1766" s="26" t="s">
        <v>138</v>
      </c>
      <c r="DS1766" s="23" t="s">
        <v>138</v>
      </c>
      <c r="DT1766" s="24">
        <v>33</v>
      </c>
      <c r="DU1766" s="26">
        <v>1</v>
      </c>
      <c r="DV1766" s="23">
        <v>3.13</v>
      </c>
      <c r="DW1766" s="24">
        <v>123</v>
      </c>
      <c r="DX1766" s="27">
        <v>0</v>
      </c>
      <c r="DY1766" s="23">
        <v>0</v>
      </c>
      <c r="DZ1766" s="15" t="s">
        <v>178</v>
      </c>
      <c r="EA1766" s="22">
        <v>43585</v>
      </c>
      <c r="EB1766" s="17" t="s">
        <v>138</v>
      </c>
      <c r="EC1766" s="22" t="s">
        <v>138</v>
      </c>
      <c r="ED1766" s="15" t="s">
        <v>138</v>
      </c>
      <c r="EE1766" s="14" t="str">
        <f>HYPERLINK("https://my.pitchbook.com?c=180908-74", "View company online")</f>
        <v>View company online</v>
      </c>
    </row>
    <row r="1767" spans="1:135">
      <c r="A1767" s="28" t="s">
        <v>33589</v>
      </c>
      <c r="B1767" s="28" t="s">
        <v>33590</v>
      </c>
      <c r="C1767" s="28" t="s">
        <v>138</v>
      </c>
      <c r="D1767" s="28" t="s">
        <v>33591</v>
      </c>
      <c r="E1767" s="28" t="s">
        <v>138</v>
      </c>
      <c r="F1767" s="28" t="s">
        <v>33589</v>
      </c>
      <c r="G1767" s="28" t="s">
        <v>33592</v>
      </c>
      <c r="H1767" s="28" t="s">
        <v>183</v>
      </c>
      <c r="I1767" s="28" t="s">
        <v>4681</v>
      </c>
      <c r="J1767" s="28" t="s">
        <v>33593</v>
      </c>
      <c r="K1767" s="28" t="s">
        <v>33594</v>
      </c>
      <c r="L1767" s="28" t="s">
        <v>19108</v>
      </c>
      <c r="M1767" s="28" t="s">
        <v>33595</v>
      </c>
      <c r="N1767" s="28" t="s">
        <v>1452</v>
      </c>
      <c r="O1767" s="29">
        <v>201.17</v>
      </c>
      <c r="P1767" s="28" t="s">
        <v>148</v>
      </c>
      <c r="Q1767" s="28" t="s">
        <v>149</v>
      </c>
      <c r="R1767" s="28" t="s">
        <v>328</v>
      </c>
      <c r="S1767" s="28" t="s">
        <v>33596</v>
      </c>
      <c r="T1767" s="30">
        <v>14</v>
      </c>
      <c r="U1767" s="28" t="s">
        <v>33597</v>
      </c>
      <c r="V1767" s="28" t="s">
        <v>138</v>
      </c>
      <c r="W1767" s="28" t="s">
        <v>138</v>
      </c>
      <c r="X1767" s="31">
        <v>1992</v>
      </c>
      <c r="Y1767" s="28" t="s">
        <v>138</v>
      </c>
      <c r="Z1767" s="28" t="s">
        <v>138</v>
      </c>
      <c r="AA1767" s="28" t="s">
        <v>138</v>
      </c>
      <c r="AB1767" s="32">
        <v>3.32</v>
      </c>
      <c r="AC1767" s="32" t="s">
        <v>138</v>
      </c>
      <c r="AD1767" s="32">
        <v>-16.93</v>
      </c>
      <c r="AE1767" s="32" t="s">
        <v>138</v>
      </c>
      <c r="AF1767" s="32" t="s">
        <v>138</v>
      </c>
      <c r="AG1767" s="28" t="s">
        <v>17640</v>
      </c>
      <c r="AH1767" s="32" t="s">
        <v>138</v>
      </c>
      <c r="AI1767" s="32" t="s">
        <v>138</v>
      </c>
      <c r="AJ1767" s="32" t="s">
        <v>138</v>
      </c>
      <c r="AK1767" s="28" t="s">
        <v>138</v>
      </c>
      <c r="AL1767" s="28" t="s">
        <v>138</v>
      </c>
      <c r="AM1767" s="28" t="s">
        <v>138</v>
      </c>
      <c r="AN1767" s="28" t="s">
        <v>138</v>
      </c>
      <c r="AO1767" s="28" t="s">
        <v>138</v>
      </c>
      <c r="AP1767" s="28" t="s">
        <v>19366</v>
      </c>
      <c r="AQ1767" s="28" t="s">
        <v>33598</v>
      </c>
      <c r="AR1767" s="28" t="s">
        <v>33599</v>
      </c>
      <c r="AS1767" s="28" t="s">
        <v>19369</v>
      </c>
      <c r="AT1767" s="28" t="s">
        <v>474</v>
      </c>
      <c r="AU1767" s="28" t="s">
        <v>33600</v>
      </c>
      <c r="AV1767" s="28" t="s">
        <v>162</v>
      </c>
      <c r="AW1767" s="28" t="s">
        <v>33601</v>
      </c>
      <c r="AX1767" s="28" t="s">
        <v>33602</v>
      </c>
      <c r="AY1767" s="28" t="s">
        <v>33603</v>
      </c>
      <c r="AZ1767" s="28" t="s">
        <v>164</v>
      </c>
      <c r="BA1767" s="28" t="s">
        <v>165</v>
      </c>
      <c r="BB1767" s="28" t="s">
        <v>33604</v>
      </c>
      <c r="BC1767" s="28" t="s">
        <v>138</v>
      </c>
      <c r="BD1767" s="33" t="s">
        <v>138</v>
      </c>
      <c r="BE1767" s="28" t="s">
        <v>138</v>
      </c>
      <c r="BF1767" s="28" t="s">
        <v>33605</v>
      </c>
      <c r="BG1767" s="28" t="s">
        <v>138</v>
      </c>
      <c r="BH1767" s="28" t="s">
        <v>138</v>
      </c>
      <c r="BI1767" s="28" t="s">
        <v>33606</v>
      </c>
      <c r="BJ1767" s="28" t="s">
        <v>138</v>
      </c>
      <c r="BK1767" s="28" t="s">
        <v>33607</v>
      </c>
      <c r="BL1767" s="28" t="s">
        <v>33608</v>
      </c>
      <c r="BM1767" s="34" t="s">
        <v>138</v>
      </c>
      <c r="BN1767" s="29">
        <v>3.77</v>
      </c>
      <c r="BO1767" s="28" t="s">
        <v>172</v>
      </c>
      <c r="BP1767" s="29" t="s">
        <v>138</v>
      </c>
      <c r="BQ1767" s="28" t="s">
        <v>138</v>
      </c>
      <c r="BR1767" s="28" t="s">
        <v>205</v>
      </c>
      <c r="BS1767" s="28" t="s">
        <v>206</v>
      </c>
      <c r="BT1767" s="28" t="s">
        <v>138</v>
      </c>
      <c r="BU1767" s="28" t="s">
        <v>174</v>
      </c>
      <c r="BV1767" s="28" t="s">
        <v>138</v>
      </c>
      <c r="BW1767" s="28" t="s">
        <v>138</v>
      </c>
      <c r="BX1767" s="28" t="s">
        <v>138</v>
      </c>
      <c r="BY1767" s="28" t="s">
        <v>175</v>
      </c>
      <c r="BZ1767" s="34" t="s">
        <v>138</v>
      </c>
      <c r="CA1767" s="29" t="s">
        <v>138</v>
      </c>
      <c r="CB1767" s="28" t="s">
        <v>138</v>
      </c>
      <c r="CC1767" s="29" t="s">
        <v>138</v>
      </c>
      <c r="CD1767" s="28" t="s">
        <v>138</v>
      </c>
      <c r="CE1767" s="28" t="s">
        <v>349</v>
      </c>
      <c r="CF1767" s="28" t="s">
        <v>138</v>
      </c>
      <c r="CG1767" s="28" t="s">
        <v>138</v>
      </c>
      <c r="CH1767" s="28" t="s">
        <v>351</v>
      </c>
      <c r="CI1767" s="28" t="s">
        <v>138</v>
      </c>
      <c r="CJ1767" s="28" t="s">
        <v>138</v>
      </c>
      <c r="CK1767" s="28" t="s">
        <v>138</v>
      </c>
      <c r="CL1767" s="28" t="s">
        <v>175</v>
      </c>
      <c r="CM1767" s="34" t="s">
        <v>138</v>
      </c>
      <c r="CN1767" s="29" t="s">
        <v>138</v>
      </c>
      <c r="CO1767" s="35">
        <v>0</v>
      </c>
      <c r="CP1767" s="36">
        <v>26</v>
      </c>
      <c r="CQ1767" s="35">
        <v>0</v>
      </c>
      <c r="CR1767" s="35">
        <v>0</v>
      </c>
      <c r="CS1767" s="35">
        <v>0</v>
      </c>
      <c r="CT1767" s="36">
        <v>23</v>
      </c>
      <c r="CU1767" s="35" t="s">
        <v>138</v>
      </c>
      <c r="CV1767" s="36" t="s">
        <v>138</v>
      </c>
      <c r="CW1767" s="35" t="s">
        <v>138</v>
      </c>
      <c r="CX1767" s="36" t="s">
        <v>138</v>
      </c>
      <c r="CY1767" s="35">
        <v>0</v>
      </c>
      <c r="CZ1767" s="36">
        <v>25</v>
      </c>
      <c r="DA1767" s="35" t="s">
        <v>138</v>
      </c>
      <c r="DB1767" s="36" t="s">
        <v>138</v>
      </c>
      <c r="DC1767" s="37">
        <v>1.59</v>
      </c>
      <c r="DD1767" s="36">
        <v>62</v>
      </c>
      <c r="DE1767" s="37">
        <v>0</v>
      </c>
      <c r="DF1767" s="35">
        <v>0</v>
      </c>
      <c r="DG1767" s="37">
        <v>1.59</v>
      </c>
      <c r="DH1767" s="36">
        <v>62</v>
      </c>
      <c r="DI1767" s="37" t="s">
        <v>138</v>
      </c>
      <c r="DJ1767" s="36" t="s">
        <v>138</v>
      </c>
      <c r="DK1767" s="37" t="s">
        <v>138</v>
      </c>
      <c r="DL1767" s="36" t="s">
        <v>138</v>
      </c>
      <c r="DM1767" s="37">
        <v>1.59</v>
      </c>
      <c r="DN1767" s="36">
        <v>61</v>
      </c>
      <c r="DO1767" s="37" t="s">
        <v>138</v>
      </c>
      <c r="DP1767" s="36" t="s">
        <v>138</v>
      </c>
      <c r="DQ1767" s="36" t="s">
        <v>138</v>
      </c>
      <c r="DR1767" s="38" t="s">
        <v>138</v>
      </c>
      <c r="DS1767" s="35" t="s">
        <v>138</v>
      </c>
      <c r="DT1767" s="36">
        <v>46</v>
      </c>
      <c r="DU1767" s="38">
        <v>1</v>
      </c>
      <c r="DV1767" s="35">
        <v>2.2200000000000002</v>
      </c>
      <c r="DW1767" s="36" t="s">
        <v>138</v>
      </c>
      <c r="DX1767" s="39" t="s">
        <v>138</v>
      </c>
      <c r="DY1767" s="35" t="s">
        <v>138</v>
      </c>
      <c r="DZ1767" s="28" t="s">
        <v>178</v>
      </c>
      <c r="EA1767" s="34">
        <v>43622</v>
      </c>
      <c r="EB1767" s="29" t="s">
        <v>138</v>
      </c>
      <c r="EC1767" s="34" t="s">
        <v>138</v>
      </c>
      <c r="ED1767" s="28" t="s">
        <v>138</v>
      </c>
      <c r="EE1767" s="40" t="str">
        <f>HYPERLINK("https://my.pitchbook.com?c=53746-66", "View company online")</f>
        <v>View company online</v>
      </c>
    </row>
    <row r="1768" spans="1:135">
      <c r="A1768" s="15" t="s">
        <v>33609</v>
      </c>
      <c r="B1768" s="15" t="s">
        <v>33610</v>
      </c>
      <c r="C1768" s="15" t="s">
        <v>138</v>
      </c>
      <c r="D1768" s="15" t="s">
        <v>33611</v>
      </c>
      <c r="E1768" s="15" t="s">
        <v>33612</v>
      </c>
      <c r="F1768" s="15" t="s">
        <v>33609</v>
      </c>
      <c r="G1768" s="15" t="s">
        <v>33613</v>
      </c>
      <c r="H1768" s="15" t="s">
        <v>183</v>
      </c>
      <c r="I1768" s="15" t="s">
        <v>184</v>
      </c>
      <c r="J1768" s="15" t="s">
        <v>2141</v>
      </c>
      <c r="K1768" s="15" t="s">
        <v>30829</v>
      </c>
      <c r="L1768" s="15" t="s">
        <v>29501</v>
      </c>
      <c r="M1768" s="15" t="s">
        <v>33614</v>
      </c>
      <c r="N1768" s="15" t="s">
        <v>147</v>
      </c>
      <c r="O1768" s="17">
        <v>6.33</v>
      </c>
      <c r="P1768" s="15" t="s">
        <v>148</v>
      </c>
      <c r="Q1768" s="15" t="s">
        <v>149</v>
      </c>
      <c r="R1768" s="15" t="s">
        <v>174</v>
      </c>
      <c r="S1768" s="15" t="s">
        <v>33615</v>
      </c>
      <c r="T1768" s="18">
        <v>21</v>
      </c>
      <c r="U1768" s="15" t="s">
        <v>33616</v>
      </c>
      <c r="V1768" s="15" t="s">
        <v>138</v>
      </c>
      <c r="W1768" s="15" t="s">
        <v>138</v>
      </c>
      <c r="X1768" s="19">
        <v>2012</v>
      </c>
      <c r="Y1768" s="15" t="s">
        <v>138</v>
      </c>
      <c r="Z1768" s="15" t="s">
        <v>138</v>
      </c>
      <c r="AA1768" s="15" t="s">
        <v>138</v>
      </c>
      <c r="AB1768" s="20" t="s">
        <v>138</v>
      </c>
      <c r="AC1768" s="20" t="s">
        <v>138</v>
      </c>
      <c r="AD1768" s="20" t="s">
        <v>138</v>
      </c>
      <c r="AE1768" s="20" t="s">
        <v>138</v>
      </c>
      <c r="AF1768" s="20" t="s">
        <v>138</v>
      </c>
      <c r="AG1768" s="15" t="s">
        <v>138</v>
      </c>
      <c r="AH1768" s="20" t="s">
        <v>138</v>
      </c>
      <c r="AI1768" s="20" t="s">
        <v>138</v>
      </c>
      <c r="AJ1768" s="20" t="s">
        <v>138</v>
      </c>
      <c r="AK1768" s="15" t="s">
        <v>33617</v>
      </c>
      <c r="AL1768" s="15" t="s">
        <v>33618</v>
      </c>
      <c r="AM1768" s="15" t="s">
        <v>33619</v>
      </c>
      <c r="AN1768" s="15" t="s">
        <v>33620</v>
      </c>
      <c r="AO1768" s="15" t="s">
        <v>138</v>
      </c>
      <c r="AP1768" s="15" t="s">
        <v>820</v>
      </c>
      <c r="AQ1768" s="15" t="s">
        <v>33621</v>
      </c>
      <c r="AR1768" s="15" t="s">
        <v>3084</v>
      </c>
      <c r="AS1768" s="15" t="s">
        <v>823</v>
      </c>
      <c r="AT1768" s="15" t="s">
        <v>824</v>
      </c>
      <c r="AU1768" s="15" t="s">
        <v>33622</v>
      </c>
      <c r="AV1768" s="15" t="s">
        <v>526</v>
      </c>
      <c r="AW1768" s="15" t="s">
        <v>138</v>
      </c>
      <c r="AX1768" s="15" t="s">
        <v>138</v>
      </c>
      <c r="AY1768" s="15" t="s">
        <v>33623</v>
      </c>
      <c r="AZ1768" s="15" t="s">
        <v>530</v>
      </c>
      <c r="BA1768" s="15" t="s">
        <v>531</v>
      </c>
      <c r="BB1768" s="15" t="s">
        <v>33624</v>
      </c>
      <c r="BC1768" s="15" t="s">
        <v>33625</v>
      </c>
      <c r="BD1768" s="21">
        <v>24</v>
      </c>
      <c r="BE1768" s="15" t="s">
        <v>138</v>
      </c>
      <c r="BF1768" s="15" t="s">
        <v>138</v>
      </c>
      <c r="BG1768" s="15" t="s">
        <v>138</v>
      </c>
      <c r="BH1768" s="15" t="s">
        <v>33626</v>
      </c>
      <c r="BI1768" s="15" t="s">
        <v>138</v>
      </c>
      <c r="BJ1768" s="15" t="s">
        <v>138</v>
      </c>
      <c r="BK1768" s="15" t="s">
        <v>33627</v>
      </c>
      <c r="BL1768" s="15" t="s">
        <v>33628</v>
      </c>
      <c r="BM1768" s="22">
        <v>41044</v>
      </c>
      <c r="BN1768" s="17" t="s">
        <v>138</v>
      </c>
      <c r="BO1768" s="15" t="s">
        <v>138</v>
      </c>
      <c r="BP1768" s="17" t="s">
        <v>138</v>
      </c>
      <c r="BQ1768" s="15" t="s">
        <v>138</v>
      </c>
      <c r="BR1768" s="15" t="s">
        <v>234</v>
      </c>
      <c r="BS1768" s="15" t="s">
        <v>234</v>
      </c>
      <c r="BT1768" s="15" t="s">
        <v>138</v>
      </c>
      <c r="BU1768" s="15" t="s">
        <v>174</v>
      </c>
      <c r="BV1768" s="15" t="s">
        <v>138</v>
      </c>
      <c r="BW1768" s="15" t="s">
        <v>138</v>
      </c>
      <c r="BX1768" s="15" t="s">
        <v>138</v>
      </c>
      <c r="BY1768" s="15" t="s">
        <v>175</v>
      </c>
      <c r="BZ1768" s="22">
        <v>43326</v>
      </c>
      <c r="CA1768" s="17">
        <v>3</v>
      </c>
      <c r="CB1768" s="15" t="s">
        <v>172</v>
      </c>
      <c r="CC1768" s="17" t="s">
        <v>138</v>
      </c>
      <c r="CD1768" s="15" t="s">
        <v>138</v>
      </c>
      <c r="CE1768" s="15" t="s">
        <v>173</v>
      </c>
      <c r="CF1768" s="15" t="s">
        <v>138</v>
      </c>
      <c r="CG1768" s="15" t="s">
        <v>138</v>
      </c>
      <c r="CH1768" s="15" t="s">
        <v>174</v>
      </c>
      <c r="CI1768" s="15" t="s">
        <v>138</v>
      </c>
      <c r="CJ1768" s="15" t="s">
        <v>138</v>
      </c>
      <c r="CK1768" s="15" t="s">
        <v>138</v>
      </c>
      <c r="CL1768" s="15" t="s">
        <v>175</v>
      </c>
      <c r="CM1768" s="22" t="s">
        <v>138</v>
      </c>
      <c r="CN1768" s="17" t="s">
        <v>138</v>
      </c>
      <c r="CO1768" s="23">
        <v>0.03</v>
      </c>
      <c r="CP1768" s="24">
        <v>86</v>
      </c>
      <c r="CQ1768" s="23">
        <v>-0.02</v>
      </c>
      <c r="CR1768" s="23">
        <v>-31.09</v>
      </c>
      <c r="CS1768" s="23">
        <v>0</v>
      </c>
      <c r="CT1768" s="24">
        <v>23</v>
      </c>
      <c r="CU1768" s="23">
        <v>7.0000000000000007E-2</v>
      </c>
      <c r="CV1768" s="24">
        <v>62</v>
      </c>
      <c r="CW1768" s="23" t="s">
        <v>138</v>
      </c>
      <c r="CX1768" s="24" t="s">
        <v>138</v>
      </c>
      <c r="CY1768" s="23">
        <v>0</v>
      </c>
      <c r="CZ1768" s="24">
        <v>25</v>
      </c>
      <c r="DA1768" s="23">
        <v>0.16</v>
      </c>
      <c r="DB1768" s="24">
        <v>79</v>
      </c>
      <c r="DC1768" s="25">
        <v>4.62</v>
      </c>
      <c r="DD1768" s="24">
        <v>82</v>
      </c>
      <c r="DE1768" s="25">
        <v>0.02</v>
      </c>
      <c r="DF1768" s="23">
        <v>0.43</v>
      </c>
      <c r="DG1768" s="25">
        <v>1.97</v>
      </c>
      <c r="DH1768" s="24">
        <v>66</v>
      </c>
      <c r="DI1768" s="25">
        <v>7.27</v>
      </c>
      <c r="DJ1768" s="24">
        <v>82</v>
      </c>
      <c r="DK1768" s="25" t="s">
        <v>138</v>
      </c>
      <c r="DL1768" s="24" t="s">
        <v>138</v>
      </c>
      <c r="DM1768" s="25">
        <v>1.97</v>
      </c>
      <c r="DN1768" s="24">
        <v>65</v>
      </c>
      <c r="DO1768" s="25">
        <v>8.32</v>
      </c>
      <c r="DP1768" s="24">
        <v>85</v>
      </c>
      <c r="DQ1768" s="24" t="s">
        <v>138</v>
      </c>
      <c r="DR1768" s="26" t="s">
        <v>138</v>
      </c>
      <c r="DS1768" s="23" t="s">
        <v>138</v>
      </c>
      <c r="DT1768" s="24">
        <v>57</v>
      </c>
      <c r="DU1768" s="26">
        <v>0</v>
      </c>
      <c r="DV1768" s="23">
        <v>0</v>
      </c>
      <c r="DW1768" s="24">
        <v>2973</v>
      </c>
      <c r="DX1768" s="27">
        <v>8</v>
      </c>
      <c r="DY1768" s="23">
        <v>0.27</v>
      </c>
      <c r="DZ1768" s="15" t="s">
        <v>178</v>
      </c>
      <c r="EA1768" s="22">
        <v>43579</v>
      </c>
      <c r="EB1768" s="17">
        <v>2.5499999999999998</v>
      </c>
      <c r="EC1768" s="22">
        <v>41944</v>
      </c>
      <c r="ED1768" s="15" t="s">
        <v>234</v>
      </c>
      <c r="EE1768" s="14" t="str">
        <f>HYPERLINK("https://my.pitchbook.com?c=58216-51", "View company online")</f>
        <v>View company online</v>
      </c>
    </row>
    <row r="1769" spans="1:135">
      <c r="A1769" s="28" t="s">
        <v>33629</v>
      </c>
      <c r="B1769" s="28" t="s">
        <v>33630</v>
      </c>
      <c r="C1769" s="28" t="s">
        <v>138</v>
      </c>
      <c r="D1769" s="28" t="s">
        <v>138</v>
      </c>
      <c r="E1769" s="28" t="s">
        <v>33631</v>
      </c>
      <c r="F1769" s="28" t="s">
        <v>33629</v>
      </c>
      <c r="G1769" s="28" t="s">
        <v>33632</v>
      </c>
      <c r="H1769" s="28" t="s">
        <v>322</v>
      </c>
      <c r="I1769" s="28" t="s">
        <v>323</v>
      </c>
      <c r="J1769" s="28" t="s">
        <v>2984</v>
      </c>
      <c r="K1769" s="28" t="s">
        <v>33633</v>
      </c>
      <c r="L1769" s="28" t="s">
        <v>2835</v>
      </c>
      <c r="M1769" s="28" t="s">
        <v>33634</v>
      </c>
      <c r="N1769" s="28" t="s">
        <v>147</v>
      </c>
      <c r="O1769" s="29">
        <v>8.2200000000000006</v>
      </c>
      <c r="P1769" s="28" t="s">
        <v>148</v>
      </c>
      <c r="Q1769" s="28" t="s">
        <v>149</v>
      </c>
      <c r="R1769" s="28" t="s">
        <v>174</v>
      </c>
      <c r="S1769" s="28" t="s">
        <v>33635</v>
      </c>
      <c r="T1769" s="30">
        <v>27</v>
      </c>
      <c r="U1769" s="28" t="s">
        <v>33636</v>
      </c>
      <c r="V1769" s="28" t="s">
        <v>138</v>
      </c>
      <c r="W1769" s="28" t="s">
        <v>138</v>
      </c>
      <c r="X1769" s="31">
        <v>2011</v>
      </c>
      <c r="Y1769" s="28" t="s">
        <v>138</v>
      </c>
      <c r="Z1769" s="28" t="s">
        <v>138</v>
      </c>
      <c r="AA1769" s="28" t="s">
        <v>138</v>
      </c>
      <c r="AB1769" s="32" t="s">
        <v>138</v>
      </c>
      <c r="AC1769" s="32" t="s">
        <v>138</v>
      </c>
      <c r="AD1769" s="32" t="s">
        <v>138</v>
      </c>
      <c r="AE1769" s="32" t="s">
        <v>138</v>
      </c>
      <c r="AF1769" s="32" t="s">
        <v>138</v>
      </c>
      <c r="AG1769" s="28" t="s">
        <v>138</v>
      </c>
      <c r="AH1769" s="32" t="s">
        <v>138</v>
      </c>
      <c r="AI1769" s="32" t="s">
        <v>138</v>
      </c>
      <c r="AJ1769" s="32" t="s">
        <v>138</v>
      </c>
      <c r="AK1769" s="28" t="s">
        <v>33637</v>
      </c>
      <c r="AL1769" s="28" t="s">
        <v>33638</v>
      </c>
      <c r="AM1769" s="28" t="s">
        <v>33639</v>
      </c>
      <c r="AN1769" s="28" t="s">
        <v>33640</v>
      </c>
      <c r="AO1769" s="28" t="s">
        <v>33641</v>
      </c>
      <c r="AP1769" s="28" t="s">
        <v>22552</v>
      </c>
      <c r="AQ1769" s="28" t="s">
        <v>33642</v>
      </c>
      <c r="AR1769" s="28" t="s">
        <v>26974</v>
      </c>
      <c r="AS1769" s="28" t="s">
        <v>22555</v>
      </c>
      <c r="AT1769" s="28" t="s">
        <v>2031</v>
      </c>
      <c r="AU1769" s="28" t="s">
        <v>22556</v>
      </c>
      <c r="AV1769" s="28" t="s">
        <v>162</v>
      </c>
      <c r="AW1769" s="28" t="s">
        <v>33641</v>
      </c>
      <c r="AX1769" s="28" t="s">
        <v>138</v>
      </c>
      <c r="AY1769" s="28" t="s">
        <v>33643</v>
      </c>
      <c r="AZ1769" s="28" t="s">
        <v>164</v>
      </c>
      <c r="BA1769" s="28" t="s">
        <v>165</v>
      </c>
      <c r="BB1769" s="28" t="s">
        <v>33644</v>
      </c>
      <c r="BC1769" s="28" t="s">
        <v>33645</v>
      </c>
      <c r="BD1769" s="33">
        <v>2</v>
      </c>
      <c r="BE1769" s="28" t="s">
        <v>138</v>
      </c>
      <c r="BF1769" s="28" t="s">
        <v>138</v>
      </c>
      <c r="BG1769" s="28" t="s">
        <v>138</v>
      </c>
      <c r="BH1769" s="28" t="s">
        <v>33646</v>
      </c>
      <c r="BI1769" s="28" t="s">
        <v>138</v>
      </c>
      <c r="BJ1769" s="28" t="s">
        <v>138</v>
      </c>
      <c r="BK1769" s="28" t="s">
        <v>138</v>
      </c>
      <c r="BL1769" s="28" t="s">
        <v>138</v>
      </c>
      <c r="BM1769" s="34">
        <v>40785</v>
      </c>
      <c r="BN1769" s="29">
        <v>0.15</v>
      </c>
      <c r="BO1769" s="28" t="s">
        <v>172</v>
      </c>
      <c r="BP1769" s="29" t="s">
        <v>138</v>
      </c>
      <c r="BQ1769" s="28" t="s">
        <v>138</v>
      </c>
      <c r="BR1769" s="28" t="s">
        <v>262</v>
      </c>
      <c r="BS1769" s="28" t="s">
        <v>262</v>
      </c>
      <c r="BT1769" s="28" t="s">
        <v>138</v>
      </c>
      <c r="BU1769" s="28" t="s">
        <v>263</v>
      </c>
      <c r="BV1769" s="28" t="s">
        <v>138</v>
      </c>
      <c r="BW1769" s="28" t="s">
        <v>138</v>
      </c>
      <c r="BX1769" s="28" t="s">
        <v>138</v>
      </c>
      <c r="BY1769" s="28" t="s">
        <v>175</v>
      </c>
      <c r="BZ1769" s="34">
        <v>43243</v>
      </c>
      <c r="CA1769" s="29">
        <v>0.04</v>
      </c>
      <c r="CB1769" s="28" t="s">
        <v>172</v>
      </c>
      <c r="CC1769" s="29" t="s">
        <v>138</v>
      </c>
      <c r="CD1769" s="28" t="s">
        <v>138</v>
      </c>
      <c r="CE1769" s="28" t="s">
        <v>173</v>
      </c>
      <c r="CF1769" s="28" t="s">
        <v>720</v>
      </c>
      <c r="CG1769" s="28" t="s">
        <v>138</v>
      </c>
      <c r="CH1769" s="28" t="s">
        <v>174</v>
      </c>
      <c r="CI1769" s="28" t="s">
        <v>138</v>
      </c>
      <c r="CJ1769" s="28" t="s">
        <v>138</v>
      </c>
      <c r="CK1769" s="28" t="s">
        <v>138</v>
      </c>
      <c r="CL1769" s="28" t="s">
        <v>175</v>
      </c>
      <c r="CM1769" s="34" t="s">
        <v>138</v>
      </c>
      <c r="CN1769" s="29" t="s">
        <v>138</v>
      </c>
      <c r="CO1769" s="35">
        <v>-2.5499999999999998</v>
      </c>
      <c r="CP1769" s="36">
        <v>4</v>
      </c>
      <c r="CQ1769" s="35">
        <v>0</v>
      </c>
      <c r="CR1769" s="35">
        <v>0.11</v>
      </c>
      <c r="CS1769" s="35">
        <v>-5.35</v>
      </c>
      <c r="CT1769" s="36">
        <v>2</v>
      </c>
      <c r="CU1769" s="35">
        <v>0.24</v>
      </c>
      <c r="CV1769" s="36">
        <v>84</v>
      </c>
      <c r="CW1769" s="35">
        <v>-3.91</v>
      </c>
      <c r="CX1769" s="36">
        <v>4</v>
      </c>
      <c r="CY1769" s="35">
        <v>-6.79</v>
      </c>
      <c r="CZ1769" s="36">
        <v>1</v>
      </c>
      <c r="DA1769" s="35">
        <v>0.4</v>
      </c>
      <c r="DB1769" s="36">
        <v>92</v>
      </c>
      <c r="DC1769" s="37">
        <v>10.9</v>
      </c>
      <c r="DD1769" s="36">
        <v>91</v>
      </c>
      <c r="DE1769" s="37">
        <v>-0.3</v>
      </c>
      <c r="DF1769" s="35">
        <v>-2.66</v>
      </c>
      <c r="DG1769" s="37">
        <v>11.84</v>
      </c>
      <c r="DH1769" s="36">
        <v>91</v>
      </c>
      <c r="DI1769" s="37">
        <v>9.9499999999999993</v>
      </c>
      <c r="DJ1769" s="36">
        <v>85</v>
      </c>
      <c r="DK1769" s="37">
        <v>10.47</v>
      </c>
      <c r="DL1769" s="36">
        <v>87</v>
      </c>
      <c r="DM1769" s="37">
        <v>13.21</v>
      </c>
      <c r="DN1769" s="36">
        <v>91</v>
      </c>
      <c r="DO1769" s="37">
        <v>17.55</v>
      </c>
      <c r="DP1769" s="36">
        <v>92</v>
      </c>
      <c r="DQ1769" s="36">
        <v>3602</v>
      </c>
      <c r="DR1769" s="38">
        <v>-30</v>
      </c>
      <c r="DS1769" s="35">
        <v>-0.83</v>
      </c>
      <c r="DT1769" s="36">
        <v>383</v>
      </c>
      <c r="DU1769" s="38">
        <v>1</v>
      </c>
      <c r="DV1769" s="35">
        <v>0.26</v>
      </c>
      <c r="DW1769" s="36">
        <v>6276</v>
      </c>
      <c r="DX1769" s="39">
        <v>25</v>
      </c>
      <c r="DY1769" s="35">
        <v>0.4</v>
      </c>
      <c r="DZ1769" s="28" t="s">
        <v>178</v>
      </c>
      <c r="EA1769" s="34">
        <v>43489</v>
      </c>
      <c r="EB1769" s="29">
        <v>34.5</v>
      </c>
      <c r="EC1769" s="34">
        <v>42824</v>
      </c>
      <c r="ED1769" s="28" t="s">
        <v>173</v>
      </c>
      <c r="EE1769" s="40" t="str">
        <f>HYPERLINK("https://my.pitchbook.com?c=58607-56", "View company online")</f>
        <v>View company online</v>
      </c>
    </row>
    <row r="1770" spans="1:135">
      <c r="A1770" s="15" t="s">
        <v>33647</v>
      </c>
      <c r="B1770" s="15" t="s">
        <v>33648</v>
      </c>
      <c r="C1770" s="15" t="s">
        <v>138</v>
      </c>
      <c r="D1770" s="15" t="s">
        <v>138</v>
      </c>
      <c r="E1770" s="15" t="s">
        <v>33649</v>
      </c>
      <c r="F1770" s="15" t="s">
        <v>33647</v>
      </c>
      <c r="G1770" s="15" t="s">
        <v>33650</v>
      </c>
      <c r="H1770" s="15" t="s">
        <v>322</v>
      </c>
      <c r="I1770" s="15" t="s">
        <v>323</v>
      </c>
      <c r="J1770" s="15" t="s">
        <v>461</v>
      </c>
      <c r="K1770" s="15" t="s">
        <v>16394</v>
      </c>
      <c r="L1770" s="15" t="s">
        <v>2641</v>
      </c>
      <c r="M1770" s="15" t="s">
        <v>33651</v>
      </c>
      <c r="N1770" s="15" t="s">
        <v>147</v>
      </c>
      <c r="O1770" s="17">
        <v>46.16</v>
      </c>
      <c r="P1770" s="15" t="s">
        <v>148</v>
      </c>
      <c r="Q1770" s="15" t="s">
        <v>149</v>
      </c>
      <c r="R1770" s="15" t="s">
        <v>174</v>
      </c>
      <c r="S1770" s="15" t="s">
        <v>33652</v>
      </c>
      <c r="T1770" s="18">
        <v>40</v>
      </c>
      <c r="U1770" s="15" t="s">
        <v>33653</v>
      </c>
      <c r="V1770" s="15" t="s">
        <v>138</v>
      </c>
      <c r="W1770" s="15" t="s">
        <v>138</v>
      </c>
      <c r="X1770" s="19">
        <v>2015</v>
      </c>
      <c r="Y1770" s="15" t="s">
        <v>138</v>
      </c>
      <c r="Z1770" s="15" t="s">
        <v>138</v>
      </c>
      <c r="AA1770" s="15" t="s">
        <v>33654</v>
      </c>
      <c r="AB1770" s="20" t="s">
        <v>138</v>
      </c>
      <c r="AC1770" s="20" t="s">
        <v>138</v>
      </c>
      <c r="AD1770" s="20" t="s">
        <v>138</v>
      </c>
      <c r="AE1770" s="20" t="s">
        <v>138</v>
      </c>
      <c r="AF1770" s="20" t="s">
        <v>138</v>
      </c>
      <c r="AG1770" s="15" t="s">
        <v>138</v>
      </c>
      <c r="AH1770" s="20" t="s">
        <v>138</v>
      </c>
      <c r="AI1770" s="20" t="s">
        <v>138</v>
      </c>
      <c r="AJ1770" s="20" t="s">
        <v>138</v>
      </c>
      <c r="AK1770" s="15" t="s">
        <v>33655</v>
      </c>
      <c r="AL1770" s="15" t="s">
        <v>33656</v>
      </c>
      <c r="AM1770" s="15" t="s">
        <v>221</v>
      </c>
      <c r="AN1770" s="15" t="s">
        <v>33657</v>
      </c>
      <c r="AO1770" s="15" t="s">
        <v>33658</v>
      </c>
      <c r="AP1770" s="15" t="s">
        <v>5129</v>
      </c>
      <c r="AQ1770" s="15" t="s">
        <v>33659</v>
      </c>
      <c r="AR1770" s="15" t="s">
        <v>138</v>
      </c>
      <c r="AS1770" s="15" t="s">
        <v>5131</v>
      </c>
      <c r="AT1770" s="15" t="s">
        <v>138</v>
      </c>
      <c r="AU1770" s="15" t="s">
        <v>33660</v>
      </c>
      <c r="AV1770" s="15" t="s">
        <v>740</v>
      </c>
      <c r="AW1770" s="15" t="s">
        <v>138</v>
      </c>
      <c r="AX1770" s="15" t="s">
        <v>138</v>
      </c>
      <c r="AY1770" s="15" t="s">
        <v>33661</v>
      </c>
      <c r="AZ1770" s="15" t="s">
        <v>742</v>
      </c>
      <c r="BA1770" s="15" t="s">
        <v>742</v>
      </c>
      <c r="BB1770" s="15" t="s">
        <v>33662</v>
      </c>
      <c r="BC1770" s="15" t="s">
        <v>33663</v>
      </c>
      <c r="BD1770" s="21">
        <v>11</v>
      </c>
      <c r="BE1770" s="15" t="s">
        <v>138</v>
      </c>
      <c r="BF1770" s="15" t="s">
        <v>138</v>
      </c>
      <c r="BG1770" s="15" t="s">
        <v>138</v>
      </c>
      <c r="BH1770" s="15" t="s">
        <v>33664</v>
      </c>
      <c r="BI1770" s="15" t="s">
        <v>138</v>
      </c>
      <c r="BJ1770" s="15" t="s">
        <v>138</v>
      </c>
      <c r="BK1770" s="15" t="s">
        <v>33665</v>
      </c>
      <c r="BL1770" s="15" t="s">
        <v>2828</v>
      </c>
      <c r="BM1770" s="22">
        <v>42431</v>
      </c>
      <c r="BN1770" s="17">
        <v>2.1</v>
      </c>
      <c r="BO1770" s="15" t="s">
        <v>172</v>
      </c>
      <c r="BP1770" s="17">
        <v>3.5</v>
      </c>
      <c r="BQ1770" s="15" t="s">
        <v>172</v>
      </c>
      <c r="BR1770" s="15" t="s">
        <v>234</v>
      </c>
      <c r="BS1770" s="15" t="s">
        <v>234</v>
      </c>
      <c r="BT1770" s="15" t="s">
        <v>138</v>
      </c>
      <c r="BU1770" s="15" t="s">
        <v>174</v>
      </c>
      <c r="BV1770" s="15" t="s">
        <v>138</v>
      </c>
      <c r="BW1770" s="15" t="s">
        <v>138</v>
      </c>
      <c r="BX1770" s="15" t="s">
        <v>138</v>
      </c>
      <c r="BY1770" s="15" t="s">
        <v>175</v>
      </c>
      <c r="BZ1770" s="22">
        <v>43381</v>
      </c>
      <c r="CA1770" s="17" t="s">
        <v>138</v>
      </c>
      <c r="CB1770" s="15" t="s">
        <v>138</v>
      </c>
      <c r="CC1770" s="17" t="s">
        <v>138</v>
      </c>
      <c r="CD1770" s="15" t="s">
        <v>138</v>
      </c>
      <c r="CE1770" s="15" t="s">
        <v>316</v>
      </c>
      <c r="CF1770" s="15" t="s">
        <v>138</v>
      </c>
      <c r="CG1770" s="15" t="s">
        <v>138</v>
      </c>
      <c r="CH1770" s="15" t="s">
        <v>177</v>
      </c>
      <c r="CI1770" s="15" t="s">
        <v>138</v>
      </c>
      <c r="CJ1770" s="15" t="s">
        <v>138</v>
      </c>
      <c r="CK1770" s="15" t="s">
        <v>138</v>
      </c>
      <c r="CL1770" s="15" t="s">
        <v>175</v>
      </c>
      <c r="CM1770" s="22" t="s">
        <v>138</v>
      </c>
      <c r="CN1770" s="17" t="s">
        <v>138</v>
      </c>
      <c r="CO1770" s="23">
        <v>3.46</v>
      </c>
      <c r="CP1770" s="24">
        <v>100</v>
      </c>
      <c r="CQ1770" s="23">
        <v>0.01</v>
      </c>
      <c r="CR1770" s="23">
        <v>0.32</v>
      </c>
      <c r="CS1770" s="23">
        <v>5.68</v>
      </c>
      <c r="CT1770" s="24">
        <v>100</v>
      </c>
      <c r="CU1770" s="23">
        <v>1.23</v>
      </c>
      <c r="CV1770" s="24">
        <v>99</v>
      </c>
      <c r="CW1770" s="23">
        <v>5.68</v>
      </c>
      <c r="CX1770" s="24">
        <v>96</v>
      </c>
      <c r="CY1770" s="23" t="s">
        <v>138</v>
      </c>
      <c r="CZ1770" s="24" t="s">
        <v>138</v>
      </c>
      <c r="DA1770" s="23">
        <v>1.23</v>
      </c>
      <c r="DB1770" s="24">
        <v>99</v>
      </c>
      <c r="DC1770" s="25">
        <v>5.07</v>
      </c>
      <c r="DD1770" s="24">
        <v>83</v>
      </c>
      <c r="DE1770" s="25">
        <v>-0.43</v>
      </c>
      <c r="DF1770" s="23">
        <v>-7.73</v>
      </c>
      <c r="DG1770" s="25">
        <v>7.06</v>
      </c>
      <c r="DH1770" s="24">
        <v>86</v>
      </c>
      <c r="DI1770" s="25">
        <v>3.08</v>
      </c>
      <c r="DJ1770" s="24">
        <v>70</v>
      </c>
      <c r="DK1770" s="25">
        <v>7.06</v>
      </c>
      <c r="DL1770" s="24">
        <v>83</v>
      </c>
      <c r="DM1770" s="25" t="s">
        <v>138</v>
      </c>
      <c r="DN1770" s="24" t="s">
        <v>138</v>
      </c>
      <c r="DO1770" s="25">
        <v>3.08</v>
      </c>
      <c r="DP1770" s="24">
        <v>71</v>
      </c>
      <c r="DQ1770" s="24">
        <v>2318</v>
      </c>
      <c r="DR1770" s="26">
        <v>314</v>
      </c>
      <c r="DS1770" s="23">
        <v>15.67</v>
      </c>
      <c r="DT1770" s="24" t="s">
        <v>138</v>
      </c>
      <c r="DU1770" s="26" t="s">
        <v>138</v>
      </c>
      <c r="DV1770" s="23" t="s">
        <v>138</v>
      </c>
      <c r="DW1770" s="24">
        <v>1099</v>
      </c>
      <c r="DX1770" s="27">
        <v>14</v>
      </c>
      <c r="DY1770" s="23">
        <v>1.29</v>
      </c>
      <c r="DZ1770" s="15" t="s">
        <v>178</v>
      </c>
      <c r="EA1770" s="22">
        <v>43594</v>
      </c>
      <c r="EB1770" s="17">
        <v>120</v>
      </c>
      <c r="EC1770" s="22">
        <v>43272</v>
      </c>
      <c r="ED1770" s="15" t="s">
        <v>173</v>
      </c>
      <c r="EE1770" s="14" t="str">
        <f>HYPERLINK("https://my.pitchbook.com?c=154873-45", "View company online")</f>
        <v>View company online</v>
      </c>
    </row>
    <row r="1771" spans="1:135">
      <c r="A1771" s="28" t="s">
        <v>33666</v>
      </c>
      <c r="B1771" s="28" t="s">
        <v>33667</v>
      </c>
      <c r="C1771" s="28" t="s">
        <v>33668</v>
      </c>
      <c r="D1771" s="28" t="s">
        <v>138</v>
      </c>
      <c r="E1771" s="28" t="s">
        <v>33669</v>
      </c>
      <c r="F1771" s="28" t="s">
        <v>33666</v>
      </c>
      <c r="G1771" s="28" t="s">
        <v>33670</v>
      </c>
      <c r="H1771" s="28" t="s">
        <v>322</v>
      </c>
      <c r="I1771" s="28" t="s">
        <v>323</v>
      </c>
      <c r="J1771" s="28" t="s">
        <v>324</v>
      </c>
      <c r="K1771" s="28" t="s">
        <v>2464</v>
      </c>
      <c r="L1771" s="28" t="s">
        <v>33671</v>
      </c>
      <c r="M1771" s="28" t="s">
        <v>33672</v>
      </c>
      <c r="N1771" s="28" t="s">
        <v>147</v>
      </c>
      <c r="O1771" s="29">
        <v>228.45</v>
      </c>
      <c r="P1771" s="28" t="s">
        <v>148</v>
      </c>
      <c r="Q1771" s="28" t="s">
        <v>149</v>
      </c>
      <c r="R1771" s="28" t="s">
        <v>174</v>
      </c>
      <c r="S1771" s="28" t="s">
        <v>33673</v>
      </c>
      <c r="T1771" s="30">
        <v>500</v>
      </c>
      <c r="U1771" s="28" t="s">
        <v>33674</v>
      </c>
      <c r="V1771" s="28" t="s">
        <v>138</v>
      </c>
      <c r="W1771" s="28" t="s">
        <v>138</v>
      </c>
      <c r="X1771" s="31">
        <v>2003</v>
      </c>
      <c r="Y1771" s="28" t="s">
        <v>138</v>
      </c>
      <c r="Z1771" s="28" t="s">
        <v>138</v>
      </c>
      <c r="AA1771" s="28" t="s">
        <v>1163</v>
      </c>
      <c r="AB1771" s="32">
        <v>23.49</v>
      </c>
      <c r="AC1771" s="32" t="s">
        <v>138</v>
      </c>
      <c r="AD1771" s="32" t="s">
        <v>138</v>
      </c>
      <c r="AE1771" s="32" t="s">
        <v>138</v>
      </c>
      <c r="AF1771" s="32" t="s">
        <v>138</v>
      </c>
      <c r="AG1771" s="28" t="s">
        <v>633</v>
      </c>
      <c r="AH1771" s="32" t="s">
        <v>138</v>
      </c>
      <c r="AI1771" s="32" t="s">
        <v>138</v>
      </c>
      <c r="AJ1771" s="32" t="s">
        <v>138</v>
      </c>
      <c r="AK1771" s="28" t="s">
        <v>33675</v>
      </c>
      <c r="AL1771" s="28" t="s">
        <v>33676</v>
      </c>
      <c r="AM1771" s="28" t="s">
        <v>1783</v>
      </c>
      <c r="AN1771" s="28" t="s">
        <v>33677</v>
      </c>
      <c r="AO1771" s="28" t="s">
        <v>33678</v>
      </c>
      <c r="AP1771" s="28" t="s">
        <v>639</v>
      </c>
      <c r="AQ1771" s="28" t="s">
        <v>33679</v>
      </c>
      <c r="AR1771" s="28" t="s">
        <v>138</v>
      </c>
      <c r="AS1771" s="28" t="s">
        <v>642</v>
      </c>
      <c r="AT1771" s="28" t="s">
        <v>474</v>
      </c>
      <c r="AU1771" s="28" t="s">
        <v>643</v>
      </c>
      <c r="AV1771" s="28" t="s">
        <v>162</v>
      </c>
      <c r="AW1771" s="28" t="s">
        <v>33680</v>
      </c>
      <c r="AX1771" s="28" t="s">
        <v>138</v>
      </c>
      <c r="AY1771" s="28" t="s">
        <v>33681</v>
      </c>
      <c r="AZ1771" s="28" t="s">
        <v>164</v>
      </c>
      <c r="BA1771" s="28" t="s">
        <v>165</v>
      </c>
      <c r="BB1771" s="28" t="s">
        <v>33682</v>
      </c>
      <c r="BC1771" s="28" t="s">
        <v>33683</v>
      </c>
      <c r="BD1771" s="33">
        <v>16</v>
      </c>
      <c r="BE1771" s="28" t="s">
        <v>138</v>
      </c>
      <c r="BF1771" s="28" t="s">
        <v>138</v>
      </c>
      <c r="BG1771" s="28" t="s">
        <v>138</v>
      </c>
      <c r="BH1771" s="28" t="s">
        <v>33684</v>
      </c>
      <c r="BI1771" s="28" t="s">
        <v>138</v>
      </c>
      <c r="BJ1771" s="28" t="s">
        <v>138</v>
      </c>
      <c r="BK1771" s="28" t="s">
        <v>33685</v>
      </c>
      <c r="BL1771" s="28" t="s">
        <v>204</v>
      </c>
      <c r="BM1771" s="34">
        <v>40756</v>
      </c>
      <c r="BN1771" s="29">
        <v>15</v>
      </c>
      <c r="BO1771" s="28" t="s">
        <v>172</v>
      </c>
      <c r="BP1771" s="29">
        <v>72.39</v>
      </c>
      <c r="BQ1771" s="28" t="s">
        <v>172</v>
      </c>
      <c r="BR1771" s="28" t="s">
        <v>173</v>
      </c>
      <c r="BS1771" s="28" t="s">
        <v>206</v>
      </c>
      <c r="BT1771" s="28" t="s">
        <v>138</v>
      </c>
      <c r="BU1771" s="28" t="s">
        <v>174</v>
      </c>
      <c r="BV1771" s="28" t="s">
        <v>138</v>
      </c>
      <c r="BW1771" s="28" t="s">
        <v>138</v>
      </c>
      <c r="BX1771" s="28" t="s">
        <v>138</v>
      </c>
      <c r="BY1771" s="28" t="s">
        <v>175</v>
      </c>
      <c r="BZ1771" s="34">
        <v>43215</v>
      </c>
      <c r="CA1771" s="29">
        <v>64</v>
      </c>
      <c r="CB1771" s="28" t="s">
        <v>172</v>
      </c>
      <c r="CC1771" s="29">
        <v>514</v>
      </c>
      <c r="CD1771" s="28" t="s">
        <v>172</v>
      </c>
      <c r="CE1771" s="28" t="s">
        <v>173</v>
      </c>
      <c r="CF1771" s="28" t="s">
        <v>408</v>
      </c>
      <c r="CG1771" s="28" t="s">
        <v>138</v>
      </c>
      <c r="CH1771" s="28" t="s">
        <v>174</v>
      </c>
      <c r="CI1771" s="28" t="s">
        <v>138</v>
      </c>
      <c r="CJ1771" s="28" t="s">
        <v>138</v>
      </c>
      <c r="CK1771" s="28" t="s">
        <v>138</v>
      </c>
      <c r="CL1771" s="28" t="s">
        <v>175</v>
      </c>
      <c r="CM1771" s="34" t="s">
        <v>138</v>
      </c>
      <c r="CN1771" s="29" t="s">
        <v>138</v>
      </c>
      <c r="CO1771" s="35">
        <v>-0.43</v>
      </c>
      <c r="CP1771" s="36">
        <v>17</v>
      </c>
      <c r="CQ1771" s="35">
        <v>-0.01</v>
      </c>
      <c r="CR1771" s="35">
        <v>-1.95</v>
      </c>
      <c r="CS1771" s="35">
        <v>-0.99</v>
      </c>
      <c r="CT1771" s="36">
        <v>15</v>
      </c>
      <c r="CU1771" s="35">
        <v>0.13</v>
      </c>
      <c r="CV1771" s="36">
        <v>73</v>
      </c>
      <c r="CW1771" s="35">
        <v>-1.4</v>
      </c>
      <c r="CX1771" s="36">
        <v>9</v>
      </c>
      <c r="CY1771" s="35">
        <v>-0.57999999999999996</v>
      </c>
      <c r="CZ1771" s="36">
        <v>22</v>
      </c>
      <c r="DA1771" s="35">
        <v>0.13</v>
      </c>
      <c r="DB1771" s="36">
        <v>76</v>
      </c>
      <c r="DC1771" s="37">
        <v>578.64</v>
      </c>
      <c r="DD1771" s="36">
        <v>100</v>
      </c>
      <c r="DE1771" s="37">
        <v>-21.67</v>
      </c>
      <c r="DF1771" s="35">
        <v>-3.61</v>
      </c>
      <c r="DG1771" s="37">
        <v>987.53</v>
      </c>
      <c r="DH1771" s="36">
        <v>100</v>
      </c>
      <c r="DI1771" s="37">
        <v>169.75</v>
      </c>
      <c r="DJ1771" s="36">
        <v>98</v>
      </c>
      <c r="DK1771" s="37">
        <v>729.36</v>
      </c>
      <c r="DL1771" s="36">
        <v>100</v>
      </c>
      <c r="DM1771" s="37">
        <v>1245.69</v>
      </c>
      <c r="DN1771" s="36">
        <v>100</v>
      </c>
      <c r="DO1771" s="37">
        <v>169.75</v>
      </c>
      <c r="DP1771" s="36">
        <v>99</v>
      </c>
      <c r="DQ1771" s="36">
        <v>251830</v>
      </c>
      <c r="DR1771" s="38">
        <v>-4973</v>
      </c>
      <c r="DS1771" s="35">
        <v>-1.94</v>
      </c>
      <c r="DT1771" s="36">
        <v>36068</v>
      </c>
      <c r="DU1771" s="38">
        <v>133</v>
      </c>
      <c r="DV1771" s="35">
        <v>0.37</v>
      </c>
      <c r="DW1771" s="36">
        <v>60752</v>
      </c>
      <c r="DX1771" s="39">
        <v>69</v>
      </c>
      <c r="DY1771" s="35">
        <v>0.11</v>
      </c>
      <c r="DZ1771" s="28" t="s">
        <v>178</v>
      </c>
      <c r="EA1771" s="34">
        <v>43622</v>
      </c>
      <c r="EB1771" s="29">
        <v>514</v>
      </c>
      <c r="EC1771" s="34">
        <v>43215</v>
      </c>
      <c r="ED1771" s="28" t="s">
        <v>173</v>
      </c>
      <c r="EE1771" s="40" t="str">
        <f>HYPERLINK("https://my.pitchbook.com?c=52599-07", "View company online")</f>
        <v>View company online</v>
      </c>
    </row>
    <row r="1772" spans="1:135">
      <c r="A1772" s="15" t="s">
        <v>33686</v>
      </c>
      <c r="B1772" s="15" t="s">
        <v>33687</v>
      </c>
      <c r="C1772" s="15" t="s">
        <v>33688</v>
      </c>
      <c r="D1772" s="15" t="s">
        <v>138</v>
      </c>
      <c r="E1772" s="15" t="s">
        <v>33689</v>
      </c>
      <c r="F1772" s="15" t="s">
        <v>33686</v>
      </c>
      <c r="G1772" s="15" t="s">
        <v>33690</v>
      </c>
      <c r="H1772" s="15" t="s">
        <v>385</v>
      </c>
      <c r="I1772" s="15" t="s">
        <v>1991</v>
      </c>
      <c r="J1772" s="15" t="s">
        <v>4454</v>
      </c>
      <c r="K1772" s="15" t="s">
        <v>33691</v>
      </c>
      <c r="L1772" s="15" t="s">
        <v>33692</v>
      </c>
      <c r="M1772" s="15" t="s">
        <v>33693</v>
      </c>
      <c r="N1772" s="15" t="s">
        <v>147</v>
      </c>
      <c r="O1772" s="17">
        <v>52.5</v>
      </c>
      <c r="P1772" s="15" t="s">
        <v>148</v>
      </c>
      <c r="Q1772" s="15" t="s">
        <v>149</v>
      </c>
      <c r="R1772" s="15" t="s">
        <v>174</v>
      </c>
      <c r="S1772" s="15" t="s">
        <v>33694</v>
      </c>
      <c r="T1772" s="18">
        <v>111</v>
      </c>
      <c r="U1772" s="15" t="s">
        <v>33695</v>
      </c>
      <c r="V1772" s="15" t="s">
        <v>138</v>
      </c>
      <c r="W1772" s="15" t="s">
        <v>138</v>
      </c>
      <c r="X1772" s="19">
        <v>2011</v>
      </c>
      <c r="Y1772" s="15" t="s">
        <v>138</v>
      </c>
      <c r="Z1772" s="15" t="s">
        <v>1163</v>
      </c>
      <c r="AA1772" s="15" t="s">
        <v>1163</v>
      </c>
      <c r="AB1772" s="20" t="s">
        <v>138</v>
      </c>
      <c r="AC1772" s="20" t="s">
        <v>138</v>
      </c>
      <c r="AD1772" s="20" t="s">
        <v>138</v>
      </c>
      <c r="AE1772" s="20" t="s">
        <v>138</v>
      </c>
      <c r="AF1772" s="20" t="s">
        <v>138</v>
      </c>
      <c r="AG1772" s="15" t="s">
        <v>138</v>
      </c>
      <c r="AH1772" s="20" t="s">
        <v>138</v>
      </c>
      <c r="AI1772" s="20" t="s">
        <v>138</v>
      </c>
      <c r="AJ1772" s="20" t="s">
        <v>138</v>
      </c>
      <c r="AK1772" s="15" t="s">
        <v>33696</v>
      </c>
      <c r="AL1772" s="15" t="s">
        <v>33697</v>
      </c>
      <c r="AM1772" s="15" t="s">
        <v>221</v>
      </c>
      <c r="AN1772" s="15" t="s">
        <v>33698</v>
      </c>
      <c r="AO1772" s="15" t="s">
        <v>33699</v>
      </c>
      <c r="AP1772" s="15" t="s">
        <v>964</v>
      </c>
      <c r="AQ1772" s="15" t="s">
        <v>33700</v>
      </c>
      <c r="AR1772" s="15" t="s">
        <v>33165</v>
      </c>
      <c r="AS1772" s="15" t="s">
        <v>966</v>
      </c>
      <c r="AT1772" s="15" t="s">
        <v>200</v>
      </c>
      <c r="AU1772" s="15" t="s">
        <v>1590</v>
      </c>
      <c r="AV1772" s="15" t="s">
        <v>162</v>
      </c>
      <c r="AW1772" s="15" t="s">
        <v>33699</v>
      </c>
      <c r="AX1772" s="15" t="s">
        <v>138</v>
      </c>
      <c r="AY1772" s="15" t="s">
        <v>33701</v>
      </c>
      <c r="AZ1772" s="15" t="s">
        <v>164</v>
      </c>
      <c r="BA1772" s="15" t="s">
        <v>165</v>
      </c>
      <c r="BB1772" s="15" t="s">
        <v>33702</v>
      </c>
      <c r="BC1772" s="15" t="s">
        <v>33703</v>
      </c>
      <c r="BD1772" s="21">
        <v>9</v>
      </c>
      <c r="BE1772" s="15" t="s">
        <v>138</v>
      </c>
      <c r="BF1772" s="15" t="s">
        <v>138</v>
      </c>
      <c r="BG1772" s="15" t="s">
        <v>138</v>
      </c>
      <c r="BH1772" s="15" t="s">
        <v>33704</v>
      </c>
      <c r="BI1772" s="15" t="s">
        <v>138</v>
      </c>
      <c r="BJ1772" s="15" t="s">
        <v>138</v>
      </c>
      <c r="BK1772" s="15" t="s">
        <v>33705</v>
      </c>
      <c r="BL1772" s="15" t="s">
        <v>138</v>
      </c>
      <c r="BM1772" s="22">
        <v>40544</v>
      </c>
      <c r="BN1772" s="17" t="s">
        <v>138</v>
      </c>
      <c r="BO1772" s="15" t="s">
        <v>138</v>
      </c>
      <c r="BP1772" s="17" t="s">
        <v>138</v>
      </c>
      <c r="BQ1772" s="15" t="s">
        <v>138</v>
      </c>
      <c r="BR1772" s="15" t="s">
        <v>316</v>
      </c>
      <c r="BS1772" s="15" t="s">
        <v>138</v>
      </c>
      <c r="BT1772" s="15" t="s">
        <v>138</v>
      </c>
      <c r="BU1772" s="15" t="s">
        <v>177</v>
      </c>
      <c r="BV1772" s="15" t="s">
        <v>138</v>
      </c>
      <c r="BW1772" s="15" t="s">
        <v>138</v>
      </c>
      <c r="BX1772" s="15" t="s">
        <v>138</v>
      </c>
      <c r="BY1772" s="15" t="s">
        <v>175</v>
      </c>
      <c r="BZ1772" s="22">
        <v>43344</v>
      </c>
      <c r="CA1772" s="17" t="s">
        <v>138</v>
      </c>
      <c r="CB1772" s="15" t="s">
        <v>138</v>
      </c>
      <c r="CC1772" s="17" t="s">
        <v>138</v>
      </c>
      <c r="CD1772" s="15" t="s">
        <v>138</v>
      </c>
      <c r="CE1772" s="15" t="s">
        <v>173</v>
      </c>
      <c r="CF1772" s="15" t="s">
        <v>138</v>
      </c>
      <c r="CG1772" s="15" t="s">
        <v>138</v>
      </c>
      <c r="CH1772" s="15" t="s">
        <v>174</v>
      </c>
      <c r="CI1772" s="15" t="s">
        <v>138</v>
      </c>
      <c r="CJ1772" s="15" t="s">
        <v>138</v>
      </c>
      <c r="CK1772" s="15" t="s">
        <v>138</v>
      </c>
      <c r="CL1772" s="15" t="s">
        <v>175</v>
      </c>
      <c r="CM1772" s="22" t="s">
        <v>138</v>
      </c>
      <c r="CN1772" s="17" t="s">
        <v>138</v>
      </c>
      <c r="CO1772" s="23">
        <v>-0.02</v>
      </c>
      <c r="CP1772" s="24">
        <v>24</v>
      </c>
      <c r="CQ1772" s="23">
        <v>-0.02</v>
      </c>
      <c r="CR1772" s="23">
        <v>-1366.93</v>
      </c>
      <c r="CS1772" s="23">
        <v>-0.13</v>
      </c>
      <c r="CT1772" s="24">
        <v>22</v>
      </c>
      <c r="CU1772" s="23">
        <v>0.1</v>
      </c>
      <c r="CV1772" s="24">
        <v>68</v>
      </c>
      <c r="CW1772" s="23">
        <v>0.22</v>
      </c>
      <c r="CX1772" s="24">
        <v>81</v>
      </c>
      <c r="CY1772" s="23">
        <v>-0.49</v>
      </c>
      <c r="CZ1772" s="24">
        <v>22</v>
      </c>
      <c r="DA1772" s="23">
        <v>0.13</v>
      </c>
      <c r="DB1772" s="24">
        <v>76</v>
      </c>
      <c r="DC1772" s="25">
        <v>4.38</v>
      </c>
      <c r="DD1772" s="24">
        <v>81</v>
      </c>
      <c r="DE1772" s="25">
        <v>-0.12</v>
      </c>
      <c r="DF1772" s="23">
        <v>-2.66</v>
      </c>
      <c r="DG1772" s="25">
        <v>7.01</v>
      </c>
      <c r="DH1772" s="24">
        <v>86</v>
      </c>
      <c r="DI1772" s="25">
        <v>1.75</v>
      </c>
      <c r="DJ1772" s="24">
        <v>60</v>
      </c>
      <c r="DK1772" s="25">
        <v>3.06</v>
      </c>
      <c r="DL1772" s="24">
        <v>72</v>
      </c>
      <c r="DM1772" s="25">
        <v>10.97</v>
      </c>
      <c r="DN1772" s="24">
        <v>89</v>
      </c>
      <c r="DO1772" s="25">
        <v>2.41</v>
      </c>
      <c r="DP1772" s="24">
        <v>67</v>
      </c>
      <c r="DQ1772" s="24">
        <v>1010</v>
      </c>
      <c r="DR1772" s="26">
        <v>115</v>
      </c>
      <c r="DS1772" s="23">
        <v>12.85</v>
      </c>
      <c r="DT1772" s="24">
        <v>319</v>
      </c>
      <c r="DU1772" s="26">
        <v>0</v>
      </c>
      <c r="DV1772" s="23">
        <v>0</v>
      </c>
      <c r="DW1772" s="24">
        <v>862</v>
      </c>
      <c r="DX1772" s="27">
        <v>2</v>
      </c>
      <c r="DY1772" s="23">
        <v>0.23</v>
      </c>
      <c r="DZ1772" s="15" t="s">
        <v>178</v>
      </c>
      <c r="EA1772" s="22">
        <v>43595</v>
      </c>
      <c r="EB1772" s="17">
        <v>162</v>
      </c>
      <c r="EC1772" s="22">
        <v>43116</v>
      </c>
      <c r="ED1772" s="15" t="s">
        <v>173</v>
      </c>
      <c r="EE1772" s="14" t="str">
        <f>HYPERLINK("https://my.pitchbook.com?c=55490-86", "View company online")</f>
        <v>View company online</v>
      </c>
    </row>
    <row r="1773" spans="1:135">
      <c r="A1773" s="28" t="s">
        <v>33706</v>
      </c>
      <c r="B1773" s="28" t="s">
        <v>33707</v>
      </c>
      <c r="C1773" s="28" t="s">
        <v>33708</v>
      </c>
      <c r="D1773" s="28" t="s">
        <v>33709</v>
      </c>
      <c r="E1773" s="28" t="s">
        <v>33710</v>
      </c>
      <c r="F1773" s="28" t="s">
        <v>33706</v>
      </c>
      <c r="G1773" s="28" t="s">
        <v>33711</v>
      </c>
      <c r="H1773" s="28" t="s">
        <v>141</v>
      </c>
      <c r="I1773" s="28" t="s">
        <v>212</v>
      </c>
      <c r="J1773" s="28" t="s">
        <v>655</v>
      </c>
      <c r="K1773" s="28" t="s">
        <v>33712</v>
      </c>
      <c r="L1773" s="28" t="s">
        <v>3589</v>
      </c>
      <c r="M1773" s="28" t="s">
        <v>33713</v>
      </c>
      <c r="N1773" s="28" t="s">
        <v>1452</v>
      </c>
      <c r="O1773" s="29">
        <v>20</v>
      </c>
      <c r="P1773" s="28" t="s">
        <v>148</v>
      </c>
      <c r="Q1773" s="28" t="s">
        <v>149</v>
      </c>
      <c r="R1773" s="28" t="s">
        <v>33714</v>
      </c>
      <c r="S1773" s="28" t="s">
        <v>33715</v>
      </c>
      <c r="T1773" s="30">
        <v>8000</v>
      </c>
      <c r="U1773" s="28" t="s">
        <v>33716</v>
      </c>
      <c r="V1773" s="28" t="s">
        <v>138</v>
      </c>
      <c r="W1773" s="28" t="s">
        <v>138</v>
      </c>
      <c r="X1773" s="31">
        <v>1979</v>
      </c>
      <c r="Y1773" s="28" t="s">
        <v>138</v>
      </c>
      <c r="Z1773" s="28" t="s">
        <v>138</v>
      </c>
      <c r="AA1773" s="28" t="s">
        <v>1163</v>
      </c>
      <c r="AB1773" s="32">
        <v>577</v>
      </c>
      <c r="AC1773" s="32" t="s">
        <v>138</v>
      </c>
      <c r="AD1773" s="32" t="s">
        <v>138</v>
      </c>
      <c r="AE1773" s="32" t="s">
        <v>138</v>
      </c>
      <c r="AF1773" s="32">
        <v>43.3</v>
      </c>
      <c r="AG1773" s="28" t="s">
        <v>419</v>
      </c>
      <c r="AH1773" s="32" t="s">
        <v>138</v>
      </c>
      <c r="AI1773" s="32" t="s">
        <v>138</v>
      </c>
      <c r="AJ1773" s="32" t="s">
        <v>138</v>
      </c>
      <c r="AK1773" s="28" t="s">
        <v>33717</v>
      </c>
      <c r="AL1773" s="28" t="s">
        <v>33718</v>
      </c>
      <c r="AM1773" s="28" t="s">
        <v>33719</v>
      </c>
      <c r="AN1773" s="28" t="s">
        <v>33720</v>
      </c>
      <c r="AO1773" s="28" t="s">
        <v>33721</v>
      </c>
      <c r="AP1773" s="28" t="s">
        <v>33722</v>
      </c>
      <c r="AQ1773" s="28" t="s">
        <v>33723</v>
      </c>
      <c r="AR1773" s="28" t="s">
        <v>3062</v>
      </c>
      <c r="AS1773" s="28" t="s">
        <v>33724</v>
      </c>
      <c r="AT1773" s="28" t="s">
        <v>864</v>
      </c>
      <c r="AU1773" s="28" t="s">
        <v>33725</v>
      </c>
      <c r="AV1773" s="28" t="s">
        <v>162</v>
      </c>
      <c r="AW1773" s="28" t="s">
        <v>33721</v>
      </c>
      <c r="AX1773" s="28" t="s">
        <v>138</v>
      </c>
      <c r="AY1773" s="28" t="s">
        <v>138</v>
      </c>
      <c r="AZ1773" s="28" t="s">
        <v>164</v>
      </c>
      <c r="BA1773" s="28" t="s">
        <v>165</v>
      </c>
      <c r="BB1773" s="28" t="s">
        <v>33726</v>
      </c>
      <c r="BC1773" s="28" t="s">
        <v>33727</v>
      </c>
      <c r="BD1773" s="33">
        <v>4</v>
      </c>
      <c r="BE1773" s="28" t="s">
        <v>138</v>
      </c>
      <c r="BF1773" s="28" t="s">
        <v>33728</v>
      </c>
      <c r="BG1773" s="28" t="s">
        <v>138</v>
      </c>
      <c r="BH1773" s="28" t="s">
        <v>33729</v>
      </c>
      <c r="BI1773" s="28" t="s">
        <v>33730</v>
      </c>
      <c r="BJ1773" s="28" t="s">
        <v>138</v>
      </c>
      <c r="BK1773" s="28" t="s">
        <v>138</v>
      </c>
      <c r="BL1773" s="28" t="s">
        <v>33731</v>
      </c>
      <c r="BM1773" s="34">
        <v>38028</v>
      </c>
      <c r="BN1773" s="29" t="s">
        <v>138</v>
      </c>
      <c r="BO1773" s="28" t="s">
        <v>138</v>
      </c>
      <c r="BP1773" s="29" t="s">
        <v>138</v>
      </c>
      <c r="BQ1773" s="28" t="s">
        <v>138</v>
      </c>
      <c r="BR1773" s="28" t="s">
        <v>349</v>
      </c>
      <c r="BS1773" s="28" t="s">
        <v>9447</v>
      </c>
      <c r="BT1773" s="28" t="s">
        <v>138</v>
      </c>
      <c r="BU1773" s="28" t="s">
        <v>351</v>
      </c>
      <c r="BV1773" s="28" t="s">
        <v>1328</v>
      </c>
      <c r="BW1773" s="28" t="s">
        <v>1498</v>
      </c>
      <c r="BX1773" s="28" t="s">
        <v>138</v>
      </c>
      <c r="BY1773" s="28" t="s">
        <v>175</v>
      </c>
      <c r="BZ1773" s="34">
        <v>43280</v>
      </c>
      <c r="CA1773" s="29">
        <v>20</v>
      </c>
      <c r="CB1773" s="28" t="s">
        <v>172</v>
      </c>
      <c r="CC1773" s="29" t="s">
        <v>138</v>
      </c>
      <c r="CD1773" s="28" t="s">
        <v>138</v>
      </c>
      <c r="CE1773" s="28" t="s">
        <v>1326</v>
      </c>
      <c r="CF1773" s="28" t="s">
        <v>7167</v>
      </c>
      <c r="CG1773" s="28" t="s">
        <v>138</v>
      </c>
      <c r="CH1773" s="28" t="s">
        <v>1327</v>
      </c>
      <c r="CI1773" s="28" t="s">
        <v>1397</v>
      </c>
      <c r="CJ1773" s="28" t="s">
        <v>1497</v>
      </c>
      <c r="CK1773" s="28" t="s">
        <v>138</v>
      </c>
      <c r="CL1773" s="28" t="s">
        <v>175</v>
      </c>
      <c r="CM1773" s="34">
        <v>43280</v>
      </c>
      <c r="CN1773" s="29" t="s">
        <v>138</v>
      </c>
      <c r="CO1773" s="35">
        <v>2.67</v>
      </c>
      <c r="CP1773" s="36">
        <v>99</v>
      </c>
      <c r="CQ1773" s="35">
        <v>-0.14000000000000001</v>
      </c>
      <c r="CR1773" s="35">
        <v>-4.88</v>
      </c>
      <c r="CS1773" s="35">
        <v>5.33</v>
      </c>
      <c r="CT1773" s="36">
        <v>100</v>
      </c>
      <c r="CU1773" s="35">
        <v>0</v>
      </c>
      <c r="CV1773" s="36">
        <v>22</v>
      </c>
      <c r="CW1773" s="35">
        <v>11.07</v>
      </c>
      <c r="CX1773" s="36">
        <v>100</v>
      </c>
      <c r="CY1773" s="35">
        <v>-0.4</v>
      </c>
      <c r="CZ1773" s="36">
        <v>23</v>
      </c>
      <c r="DA1773" s="35">
        <v>0</v>
      </c>
      <c r="DB1773" s="36">
        <v>22</v>
      </c>
      <c r="DC1773" s="37">
        <v>4.43</v>
      </c>
      <c r="DD1773" s="36">
        <v>81</v>
      </c>
      <c r="DE1773" s="37">
        <v>-0.35</v>
      </c>
      <c r="DF1773" s="35">
        <v>-7.41</v>
      </c>
      <c r="DG1773" s="37">
        <v>8.5399999999999991</v>
      </c>
      <c r="DH1773" s="36">
        <v>88</v>
      </c>
      <c r="DI1773" s="37">
        <v>0.32</v>
      </c>
      <c r="DJ1773" s="36">
        <v>29</v>
      </c>
      <c r="DK1773" s="37">
        <v>8.66</v>
      </c>
      <c r="DL1773" s="36">
        <v>85</v>
      </c>
      <c r="DM1773" s="37">
        <v>8.41</v>
      </c>
      <c r="DN1773" s="36">
        <v>87</v>
      </c>
      <c r="DO1773" s="37">
        <v>0.32</v>
      </c>
      <c r="DP1773" s="36">
        <v>31</v>
      </c>
      <c r="DQ1773" s="36">
        <v>2860</v>
      </c>
      <c r="DR1773" s="38">
        <v>328</v>
      </c>
      <c r="DS1773" s="35">
        <v>12.95</v>
      </c>
      <c r="DT1773" s="36">
        <v>247</v>
      </c>
      <c r="DU1773" s="38">
        <v>-3</v>
      </c>
      <c r="DV1773" s="35">
        <v>-1.2</v>
      </c>
      <c r="DW1773" s="36">
        <v>114</v>
      </c>
      <c r="DX1773" s="39">
        <v>0</v>
      </c>
      <c r="DY1773" s="35">
        <v>0</v>
      </c>
      <c r="DZ1773" s="28" t="s">
        <v>178</v>
      </c>
      <c r="EA1773" s="34">
        <v>43622</v>
      </c>
      <c r="EB1773" s="29" t="s">
        <v>138</v>
      </c>
      <c r="EC1773" s="34" t="s">
        <v>138</v>
      </c>
      <c r="ED1773" s="28" t="s">
        <v>138</v>
      </c>
      <c r="EE1773" s="40" t="str">
        <f>HYPERLINK("https://my.pitchbook.com?c=10121-77", "View company online")</f>
        <v>View company online</v>
      </c>
    </row>
    <row r="1774" spans="1:135">
      <c r="A1774" s="15" t="s">
        <v>33732</v>
      </c>
      <c r="B1774" s="15" t="s">
        <v>33733</v>
      </c>
      <c r="C1774" s="15" t="s">
        <v>138</v>
      </c>
      <c r="D1774" s="15" t="s">
        <v>138</v>
      </c>
      <c r="E1774" s="15" t="s">
        <v>33734</v>
      </c>
      <c r="F1774" s="15" t="s">
        <v>33732</v>
      </c>
      <c r="G1774" s="15" t="s">
        <v>33735</v>
      </c>
      <c r="H1774" s="15" t="s">
        <v>322</v>
      </c>
      <c r="I1774" s="15" t="s">
        <v>323</v>
      </c>
      <c r="J1774" s="15" t="s">
        <v>437</v>
      </c>
      <c r="K1774" s="15" t="s">
        <v>33736</v>
      </c>
      <c r="L1774" s="15" t="s">
        <v>26947</v>
      </c>
      <c r="M1774" s="15" t="s">
        <v>33737</v>
      </c>
      <c r="N1774" s="15" t="s">
        <v>147</v>
      </c>
      <c r="O1774" s="17">
        <v>0.8</v>
      </c>
      <c r="P1774" s="15" t="s">
        <v>610</v>
      </c>
      <c r="Q1774" s="15" t="s">
        <v>149</v>
      </c>
      <c r="R1774" s="15" t="s">
        <v>174</v>
      </c>
      <c r="S1774" s="15" t="s">
        <v>33738</v>
      </c>
      <c r="T1774" s="18">
        <v>41</v>
      </c>
      <c r="U1774" s="15" t="s">
        <v>33739</v>
      </c>
      <c r="V1774" s="15" t="s">
        <v>138</v>
      </c>
      <c r="W1774" s="15" t="s">
        <v>138</v>
      </c>
      <c r="X1774" s="19">
        <v>2013</v>
      </c>
      <c r="Y1774" s="15" t="s">
        <v>138</v>
      </c>
      <c r="Z1774" s="15" t="s">
        <v>138</v>
      </c>
      <c r="AA1774" s="15" t="s">
        <v>138</v>
      </c>
      <c r="AB1774" s="20" t="s">
        <v>138</v>
      </c>
      <c r="AC1774" s="20" t="s">
        <v>138</v>
      </c>
      <c r="AD1774" s="20" t="s">
        <v>138</v>
      </c>
      <c r="AE1774" s="20" t="s">
        <v>138</v>
      </c>
      <c r="AF1774" s="20" t="s">
        <v>138</v>
      </c>
      <c r="AG1774" s="15" t="s">
        <v>138</v>
      </c>
      <c r="AH1774" s="20" t="s">
        <v>138</v>
      </c>
      <c r="AI1774" s="20" t="s">
        <v>138</v>
      </c>
      <c r="AJ1774" s="20" t="s">
        <v>138</v>
      </c>
      <c r="AK1774" s="15" t="s">
        <v>33740</v>
      </c>
      <c r="AL1774" s="15" t="s">
        <v>33741</v>
      </c>
      <c r="AM1774" s="15" t="s">
        <v>6314</v>
      </c>
      <c r="AN1774" s="15" t="s">
        <v>33742</v>
      </c>
      <c r="AO1774" s="15" t="s">
        <v>138</v>
      </c>
      <c r="AP1774" s="15" t="s">
        <v>665</v>
      </c>
      <c r="AQ1774" s="15" t="s">
        <v>33743</v>
      </c>
      <c r="AR1774" s="15" t="s">
        <v>138</v>
      </c>
      <c r="AS1774" s="15" t="s">
        <v>668</v>
      </c>
      <c r="AT1774" s="15" t="s">
        <v>200</v>
      </c>
      <c r="AU1774" s="15" t="s">
        <v>3557</v>
      </c>
      <c r="AV1774" s="15" t="s">
        <v>162</v>
      </c>
      <c r="AW1774" s="15" t="s">
        <v>138</v>
      </c>
      <c r="AX1774" s="15" t="s">
        <v>138</v>
      </c>
      <c r="AY1774" s="15" t="s">
        <v>33744</v>
      </c>
      <c r="AZ1774" s="15" t="s">
        <v>164</v>
      </c>
      <c r="BA1774" s="15" t="s">
        <v>165</v>
      </c>
      <c r="BB1774" s="15" t="s">
        <v>33745</v>
      </c>
      <c r="BC1774" s="15" t="s">
        <v>33746</v>
      </c>
      <c r="BD1774" s="21">
        <v>13</v>
      </c>
      <c r="BE1774" s="15" t="s">
        <v>138</v>
      </c>
      <c r="BF1774" s="15" t="s">
        <v>138</v>
      </c>
      <c r="BG1774" s="15" t="s">
        <v>138</v>
      </c>
      <c r="BH1774" s="15" t="s">
        <v>33747</v>
      </c>
      <c r="BI1774" s="15" t="s">
        <v>138</v>
      </c>
      <c r="BJ1774" s="15" t="s">
        <v>138</v>
      </c>
      <c r="BK1774" s="15" t="s">
        <v>138</v>
      </c>
      <c r="BL1774" s="15" t="s">
        <v>138</v>
      </c>
      <c r="BM1774" s="22">
        <v>41609</v>
      </c>
      <c r="BN1774" s="17">
        <v>0.8</v>
      </c>
      <c r="BO1774" s="15" t="s">
        <v>172</v>
      </c>
      <c r="BP1774" s="17" t="s">
        <v>138</v>
      </c>
      <c r="BQ1774" s="15" t="s">
        <v>138</v>
      </c>
      <c r="BR1774" s="15" t="s">
        <v>234</v>
      </c>
      <c r="BS1774" s="15" t="s">
        <v>234</v>
      </c>
      <c r="BT1774" s="15" t="s">
        <v>138</v>
      </c>
      <c r="BU1774" s="15" t="s">
        <v>174</v>
      </c>
      <c r="BV1774" s="15" t="s">
        <v>138</v>
      </c>
      <c r="BW1774" s="15" t="s">
        <v>138</v>
      </c>
      <c r="BX1774" s="15" t="s">
        <v>138</v>
      </c>
      <c r="BY1774" s="15" t="s">
        <v>175</v>
      </c>
      <c r="BZ1774" s="22">
        <v>41609</v>
      </c>
      <c r="CA1774" s="17">
        <v>0.8</v>
      </c>
      <c r="CB1774" s="15" t="s">
        <v>172</v>
      </c>
      <c r="CC1774" s="17" t="s">
        <v>138</v>
      </c>
      <c r="CD1774" s="15" t="s">
        <v>138</v>
      </c>
      <c r="CE1774" s="15" t="s">
        <v>234</v>
      </c>
      <c r="CF1774" s="15" t="s">
        <v>234</v>
      </c>
      <c r="CG1774" s="15" t="s">
        <v>138</v>
      </c>
      <c r="CH1774" s="15" t="s">
        <v>174</v>
      </c>
      <c r="CI1774" s="15" t="s">
        <v>138</v>
      </c>
      <c r="CJ1774" s="15" t="s">
        <v>138</v>
      </c>
      <c r="CK1774" s="15" t="s">
        <v>138</v>
      </c>
      <c r="CL1774" s="15" t="s">
        <v>175</v>
      </c>
      <c r="CM1774" s="22" t="s">
        <v>138</v>
      </c>
      <c r="CN1774" s="17" t="s">
        <v>138</v>
      </c>
      <c r="CO1774" s="23">
        <v>0</v>
      </c>
      <c r="CP1774" s="24">
        <v>26</v>
      </c>
      <c r="CQ1774" s="23">
        <v>0</v>
      </c>
      <c r="CR1774" s="23">
        <v>0</v>
      </c>
      <c r="CS1774" s="23" t="s">
        <v>138</v>
      </c>
      <c r="CT1774" s="24" t="s">
        <v>138</v>
      </c>
      <c r="CU1774" s="23">
        <v>0</v>
      </c>
      <c r="CV1774" s="24">
        <v>22</v>
      </c>
      <c r="CW1774" s="23" t="s">
        <v>138</v>
      </c>
      <c r="CX1774" s="24" t="s">
        <v>138</v>
      </c>
      <c r="CY1774" s="23" t="s">
        <v>138</v>
      </c>
      <c r="CZ1774" s="24" t="s">
        <v>138</v>
      </c>
      <c r="DA1774" s="23">
        <v>0</v>
      </c>
      <c r="DB1774" s="24">
        <v>22</v>
      </c>
      <c r="DC1774" s="25">
        <v>0.08</v>
      </c>
      <c r="DD1774" s="24">
        <v>7</v>
      </c>
      <c r="DE1774" s="25">
        <v>-0.6</v>
      </c>
      <c r="DF1774" s="23">
        <v>-88.84</v>
      </c>
      <c r="DG1774" s="25" t="s">
        <v>138</v>
      </c>
      <c r="DH1774" s="24" t="s">
        <v>138</v>
      </c>
      <c r="DI1774" s="25">
        <v>0.08</v>
      </c>
      <c r="DJ1774" s="24">
        <v>12</v>
      </c>
      <c r="DK1774" s="25" t="s">
        <v>138</v>
      </c>
      <c r="DL1774" s="24" t="s">
        <v>138</v>
      </c>
      <c r="DM1774" s="25" t="s">
        <v>138</v>
      </c>
      <c r="DN1774" s="24" t="s">
        <v>138</v>
      </c>
      <c r="DO1774" s="25">
        <v>0.08</v>
      </c>
      <c r="DP1774" s="24">
        <v>14</v>
      </c>
      <c r="DQ1774" s="24">
        <v>399</v>
      </c>
      <c r="DR1774" s="26">
        <v>-31</v>
      </c>
      <c r="DS1774" s="23">
        <v>-7.21</v>
      </c>
      <c r="DT1774" s="24" t="s">
        <v>138</v>
      </c>
      <c r="DU1774" s="26" t="s">
        <v>138</v>
      </c>
      <c r="DV1774" s="23" t="s">
        <v>138</v>
      </c>
      <c r="DW1774" s="24">
        <v>27</v>
      </c>
      <c r="DX1774" s="27">
        <v>0</v>
      </c>
      <c r="DY1774" s="23">
        <v>0</v>
      </c>
      <c r="DZ1774" s="15" t="s">
        <v>178</v>
      </c>
      <c r="EA1774" s="22">
        <v>43538</v>
      </c>
      <c r="EB1774" s="17" t="s">
        <v>138</v>
      </c>
      <c r="EC1774" s="22" t="s">
        <v>138</v>
      </c>
      <c r="ED1774" s="15" t="s">
        <v>138</v>
      </c>
      <c r="EE1774" s="14" t="str">
        <f>HYPERLINK("https://my.pitchbook.com?c=61317-37", "View company online")</f>
        <v>View company online</v>
      </c>
    </row>
    <row r="1775" spans="1:135">
      <c r="A1775" s="28" t="s">
        <v>33748</v>
      </c>
      <c r="B1775" s="28" t="s">
        <v>33749</v>
      </c>
      <c r="C1775" s="28" t="s">
        <v>138</v>
      </c>
      <c r="D1775" s="28" t="s">
        <v>138</v>
      </c>
      <c r="E1775" s="28" t="s">
        <v>33750</v>
      </c>
      <c r="F1775" s="28" t="s">
        <v>33748</v>
      </c>
      <c r="G1775" s="28" t="s">
        <v>33751</v>
      </c>
      <c r="H1775" s="28" t="s">
        <v>322</v>
      </c>
      <c r="I1775" s="28" t="s">
        <v>323</v>
      </c>
      <c r="J1775" s="28" t="s">
        <v>413</v>
      </c>
      <c r="K1775" s="28" t="s">
        <v>9879</v>
      </c>
      <c r="L1775" s="28" t="s">
        <v>215</v>
      </c>
      <c r="M1775" s="28" t="s">
        <v>33752</v>
      </c>
      <c r="N1775" s="28" t="s">
        <v>147</v>
      </c>
      <c r="O1775" s="29">
        <v>3.75</v>
      </c>
      <c r="P1775" s="28" t="s">
        <v>148</v>
      </c>
      <c r="Q1775" s="28" t="s">
        <v>149</v>
      </c>
      <c r="R1775" s="28" t="s">
        <v>174</v>
      </c>
      <c r="S1775" s="28" t="s">
        <v>33753</v>
      </c>
      <c r="T1775" s="30">
        <v>36</v>
      </c>
      <c r="U1775" s="28" t="s">
        <v>33754</v>
      </c>
      <c r="V1775" s="28" t="s">
        <v>138</v>
      </c>
      <c r="W1775" s="28" t="s">
        <v>138</v>
      </c>
      <c r="X1775" s="31">
        <v>2011</v>
      </c>
      <c r="Y1775" s="28" t="s">
        <v>138</v>
      </c>
      <c r="Z1775" s="28" t="s">
        <v>138</v>
      </c>
      <c r="AA1775" s="28" t="s">
        <v>138</v>
      </c>
      <c r="AB1775" s="32" t="s">
        <v>138</v>
      </c>
      <c r="AC1775" s="32" t="s">
        <v>138</v>
      </c>
      <c r="AD1775" s="32" t="s">
        <v>138</v>
      </c>
      <c r="AE1775" s="32" t="s">
        <v>138</v>
      </c>
      <c r="AF1775" s="32" t="s">
        <v>138</v>
      </c>
      <c r="AG1775" s="28" t="s">
        <v>138</v>
      </c>
      <c r="AH1775" s="32" t="s">
        <v>138</v>
      </c>
      <c r="AI1775" s="32" t="s">
        <v>138</v>
      </c>
      <c r="AJ1775" s="32" t="s">
        <v>138</v>
      </c>
      <c r="AK1775" s="28" t="s">
        <v>33755</v>
      </c>
      <c r="AL1775" s="28" t="s">
        <v>33756</v>
      </c>
      <c r="AM1775" s="28" t="s">
        <v>1632</v>
      </c>
      <c r="AN1775" s="28" t="s">
        <v>33757</v>
      </c>
      <c r="AO1775" s="28" t="s">
        <v>33758</v>
      </c>
      <c r="AP1775" s="28" t="s">
        <v>3905</v>
      </c>
      <c r="AQ1775" s="28" t="s">
        <v>33759</v>
      </c>
      <c r="AR1775" s="28" t="s">
        <v>33760</v>
      </c>
      <c r="AS1775" s="28" t="s">
        <v>3907</v>
      </c>
      <c r="AT1775" s="28" t="s">
        <v>2740</v>
      </c>
      <c r="AU1775" s="28" t="s">
        <v>33761</v>
      </c>
      <c r="AV1775" s="28" t="s">
        <v>2742</v>
      </c>
      <c r="AW1775" s="28" t="s">
        <v>33758</v>
      </c>
      <c r="AX1775" s="28" t="s">
        <v>138</v>
      </c>
      <c r="AY1775" s="28" t="s">
        <v>33762</v>
      </c>
      <c r="AZ1775" s="28" t="s">
        <v>164</v>
      </c>
      <c r="BA1775" s="28" t="s">
        <v>165</v>
      </c>
      <c r="BB1775" s="28" t="s">
        <v>33763</v>
      </c>
      <c r="BC1775" s="28" t="s">
        <v>33764</v>
      </c>
      <c r="BD1775" s="33">
        <v>3</v>
      </c>
      <c r="BE1775" s="28" t="s">
        <v>138</v>
      </c>
      <c r="BF1775" s="28" t="s">
        <v>138</v>
      </c>
      <c r="BG1775" s="28" t="s">
        <v>138</v>
      </c>
      <c r="BH1775" s="28" t="s">
        <v>9408</v>
      </c>
      <c r="BI1775" s="28" t="s">
        <v>138</v>
      </c>
      <c r="BJ1775" s="28" t="s">
        <v>138</v>
      </c>
      <c r="BK1775" s="28" t="s">
        <v>33765</v>
      </c>
      <c r="BL1775" s="28" t="s">
        <v>138</v>
      </c>
      <c r="BM1775" s="34">
        <v>42902</v>
      </c>
      <c r="BN1775" s="29">
        <v>2.2999999999999998</v>
      </c>
      <c r="BO1775" s="28" t="s">
        <v>172</v>
      </c>
      <c r="BP1775" s="29" t="s">
        <v>138</v>
      </c>
      <c r="BQ1775" s="28" t="s">
        <v>138</v>
      </c>
      <c r="BR1775" s="28" t="s">
        <v>234</v>
      </c>
      <c r="BS1775" s="28" t="s">
        <v>234</v>
      </c>
      <c r="BT1775" s="28" t="s">
        <v>138</v>
      </c>
      <c r="BU1775" s="28" t="s">
        <v>174</v>
      </c>
      <c r="BV1775" s="28" t="s">
        <v>138</v>
      </c>
      <c r="BW1775" s="28" t="s">
        <v>138</v>
      </c>
      <c r="BX1775" s="28" t="s">
        <v>138</v>
      </c>
      <c r="BY1775" s="28" t="s">
        <v>175</v>
      </c>
      <c r="BZ1775" s="34">
        <v>43396</v>
      </c>
      <c r="CA1775" s="29">
        <v>1.1000000000000001</v>
      </c>
      <c r="CB1775" s="28" t="s">
        <v>172</v>
      </c>
      <c r="CC1775" s="29" t="s">
        <v>138</v>
      </c>
      <c r="CD1775" s="28" t="s">
        <v>138</v>
      </c>
      <c r="CE1775" s="28" t="s">
        <v>173</v>
      </c>
      <c r="CF1775" s="28" t="s">
        <v>138</v>
      </c>
      <c r="CG1775" s="28" t="s">
        <v>138</v>
      </c>
      <c r="CH1775" s="28" t="s">
        <v>174</v>
      </c>
      <c r="CI1775" s="28" t="s">
        <v>138</v>
      </c>
      <c r="CJ1775" s="28" t="s">
        <v>138</v>
      </c>
      <c r="CK1775" s="28" t="s">
        <v>138</v>
      </c>
      <c r="CL1775" s="28" t="s">
        <v>175</v>
      </c>
      <c r="CM1775" s="34" t="s">
        <v>138</v>
      </c>
      <c r="CN1775" s="29" t="s">
        <v>138</v>
      </c>
      <c r="CO1775" s="35">
        <v>-0.78</v>
      </c>
      <c r="CP1775" s="36">
        <v>13</v>
      </c>
      <c r="CQ1775" s="35">
        <v>-0.32</v>
      </c>
      <c r="CR1775" s="35">
        <v>-68.66</v>
      </c>
      <c r="CS1775" s="35">
        <v>-1.56</v>
      </c>
      <c r="CT1775" s="36">
        <v>11</v>
      </c>
      <c r="CU1775" s="35">
        <v>0</v>
      </c>
      <c r="CV1775" s="36">
        <v>22</v>
      </c>
      <c r="CW1775" s="35" t="s">
        <v>138</v>
      </c>
      <c r="CX1775" s="36" t="s">
        <v>138</v>
      </c>
      <c r="CY1775" s="35">
        <v>-1.56</v>
      </c>
      <c r="CZ1775" s="36">
        <v>14</v>
      </c>
      <c r="DA1775" s="35">
        <v>0</v>
      </c>
      <c r="DB1775" s="36">
        <v>22</v>
      </c>
      <c r="DC1775" s="37">
        <v>2.02</v>
      </c>
      <c r="DD1775" s="36">
        <v>67</v>
      </c>
      <c r="DE1775" s="37">
        <v>-0.05</v>
      </c>
      <c r="DF1775" s="35">
        <v>-2.46</v>
      </c>
      <c r="DG1775" s="37">
        <v>3.79</v>
      </c>
      <c r="DH1775" s="36">
        <v>78</v>
      </c>
      <c r="DI1775" s="37">
        <v>0.25</v>
      </c>
      <c r="DJ1775" s="36">
        <v>25</v>
      </c>
      <c r="DK1775" s="37" t="s">
        <v>138</v>
      </c>
      <c r="DL1775" s="36" t="s">
        <v>138</v>
      </c>
      <c r="DM1775" s="37">
        <v>3.79</v>
      </c>
      <c r="DN1775" s="36">
        <v>77</v>
      </c>
      <c r="DO1775" s="37">
        <v>0.25</v>
      </c>
      <c r="DP1775" s="36">
        <v>27</v>
      </c>
      <c r="DQ1775" s="36" t="s">
        <v>138</v>
      </c>
      <c r="DR1775" s="38" t="s">
        <v>138</v>
      </c>
      <c r="DS1775" s="35" t="s">
        <v>138</v>
      </c>
      <c r="DT1775" s="36">
        <v>111</v>
      </c>
      <c r="DU1775" s="38">
        <v>-4</v>
      </c>
      <c r="DV1775" s="35">
        <v>-3.48</v>
      </c>
      <c r="DW1775" s="36">
        <v>90</v>
      </c>
      <c r="DX1775" s="39">
        <v>1</v>
      </c>
      <c r="DY1775" s="35">
        <v>1.1200000000000001</v>
      </c>
      <c r="DZ1775" s="28" t="s">
        <v>178</v>
      </c>
      <c r="EA1775" s="34">
        <v>43507</v>
      </c>
      <c r="EB1775" s="29" t="s">
        <v>138</v>
      </c>
      <c r="EC1775" s="34" t="s">
        <v>138</v>
      </c>
      <c r="ED1775" s="28" t="s">
        <v>138</v>
      </c>
      <c r="EE1775" s="40" t="str">
        <f>HYPERLINK("https://my.pitchbook.com?c=54587-17", "View company online")</f>
        <v>View company online</v>
      </c>
    </row>
    <row r="1776" spans="1:135">
      <c r="A1776" s="15" t="s">
        <v>33766</v>
      </c>
      <c r="B1776" s="15" t="s">
        <v>33767</v>
      </c>
      <c r="C1776" s="15" t="s">
        <v>138</v>
      </c>
      <c r="D1776" s="15" t="s">
        <v>138</v>
      </c>
      <c r="E1776" s="15" t="s">
        <v>33768</v>
      </c>
      <c r="F1776" s="15" t="s">
        <v>33766</v>
      </c>
      <c r="G1776" s="15" t="s">
        <v>33769</v>
      </c>
      <c r="H1776" s="15" t="s">
        <v>141</v>
      </c>
      <c r="I1776" s="15" t="s">
        <v>1281</v>
      </c>
      <c r="J1776" s="15" t="s">
        <v>1282</v>
      </c>
      <c r="K1776" s="15" t="s">
        <v>33770</v>
      </c>
      <c r="L1776" s="15" t="s">
        <v>33771</v>
      </c>
      <c r="M1776" s="15" t="s">
        <v>33772</v>
      </c>
      <c r="N1776" s="15" t="s">
        <v>147</v>
      </c>
      <c r="O1776" s="17">
        <v>16.5</v>
      </c>
      <c r="P1776" s="15" t="s">
        <v>148</v>
      </c>
      <c r="Q1776" s="15" t="s">
        <v>149</v>
      </c>
      <c r="R1776" s="15" t="s">
        <v>174</v>
      </c>
      <c r="S1776" s="15" t="s">
        <v>33773</v>
      </c>
      <c r="T1776" s="18">
        <v>60</v>
      </c>
      <c r="U1776" s="15" t="s">
        <v>33774</v>
      </c>
      <c r="V1776" s="15" t="s">
        <v>138</v>
      </c>
      <c r="W1776" s="15" t="s">
        <v>138</v>
      </c>
      <c r="X1776" s="19">
        <v>2014</v>
      </c>
      <c r="Y1776" s="15" t="s">
        <v>138</v>
      </c>
      <c r="Z1776" s="15" t="s">
        <v>138</v>
      </c>
      <c r="AA1776" s="15" t="s">
        <v>138</v>
      </c>
      <c r="AB1776" s="20" t="s">
        <v>138</v>
      </c>
      <c r="AC1776" s="20" t="s">
        <v>138</v>
      </c>
      <c r="AD1776" s="20" t="s">
        <v>138</v>
      </c>
      <c r="AE1776" s="20" t="s">
        <v>138</v>
      </c>
      <c r="AF1776" s="20" t="s">
        <v>138</v>
      </c>
      <c r="AG1776" s="15" t="s">
        <v>138</v>
      </c>
      <c r="AH1776" s="20" t="s">
        <v>138</v>
      </c>
      <c r="AI1776" s="20" t="s">
        <v>138</v>
      </c>
      <c r="AJ1776" s="20" t="s">
        <v>138</v>
      </c>
      <c r="AK1776" s="15" t="s">
        <v>33775</v>
      </c>
      <c r="AL1776" s="15" t="s">
        <v>33776</v>
      </c>
      <c r="AM1776" s="15" t="s">
        <v>33777</v>
      </c>
      <c r="AN1776" s="15" t="s">
        <v>33778</v>
      </c>
      <c r="AO1776" s="15" t="s">
        <v>33779</v>
      </c>
      <c r="AP1776" s="15" t="s">
        <v>20359</v>
      </c>
      <c r="AQ1776" s="15" t="s">
        <v>33780</v>
      </c>
      <c r="AR1776" s="15" t="s">
        <v>138</v>
      </c>
      <c r="AS1776" s="15" t="s">
        <v>20362</v>
      </c>
      <c r="AT1776" s="15" t="s">
        <v>138</v>
      </c>
      <c r="AU1776" s="15" t="s">
        <v>33781</v>
      </c>
      <c r="AV1776" s="15" t="s">
        <v>3693</v>
      </c>
      <c r="AW1776" s="15" t="s">
        <v>33779</v>
      </c>
      <c r="AX1776" s="15" t="s">
        <v>138</v>
      </c>
      <c r="AY1776" s="15" t="s">
        <v>33782</v>
      </c>
      <c r="AZ1776" s="15" t="s">
        <v>530</v>
      </c>
      <c r="BA1776" s="15" t="s">
        <v>531</v>
      </c>
      <c r="BB1776" s="15" t="s">
        <v>33783</v>
      </c>
      <c r="BC1776" s="15" t="s">
        <v>33784</v>
      </c>
      <c r="BD1776" s="21">
        <v>14</v>
      </c>
      <c r="BE1776" s="15" t="s">
        <v>138</v>
      </c>
      <c r="BF1776" s="15" t="s">
        <v>138</v>
      </c>
      <c r="BG1776" s="15" t="s">
        <v>138</v>
      </c>
      <c r="BH1776" s="15" t="s">
        <v>33785</v>
      </c>
      <c r="BI1776" s="15" t="s">
        <v>138</v>
      </c>
      <c r="BJ1776" s="15" t="s">
        <v>138</v>
      </c>
      <c r="BK1776" s="15" t="s">
        <v>138</v>
      </c>
      <c r="BL1776" s="15" t="s">
        <v>138</v>
      </c>
      <c r="BM1776" s="22" t="s">
        <v>138</v>
      </c>
      <c r="BN1776" s="17" t="s">
        <v>138</v>
      </c>
      <c r="BO1776" s="15" t="s">
        <v>138</v>
      </c>
      <c r="BP1776" s="17" t="s">
        <v>138</v>
      </c>
      <c r="BQ1776" s="15" t="s">
        <v>138</v>
      </c>
      <c r="BR1776" s="15" t="s">
        <v>316</v>
      </c>
      <c r="BS1776" s="15" t="s">
        <v>138</v>
      </c>
      <c r="BT1776" s="15" t="s">
        <v>138</v>
      </c>
      <c r="BU1776" s="15" t="s">
        <v>177</v>
      </c>
      <c r="BV1776" s="15" t="s">
        <v>138</v>
      </c>
      <c r="BW1776" s="15" t="s">
        <v>138</v>
      </c>
      <c r="BX1776" s="15" t="s">
        <v>138</v>
      </c>
      <c r="BY1776" s="15" t="s">
        <v>175</v>
      </c>
      <c r="BZ1776" s="22">
        <v>43346</v>
      </c>
      <c r="CA1776" s="17" t="s">
        <v>138</v>
      </c>
      <c r="CB1776" s="15" t="s">
        <v>138</v>
      </c>
      <c r="CC1776" s="17" t="s">
        <v>138</v>
      </c>
      <c r="CD1776" s="15" t="s">
        <v>138</v>
      </c>
      <c r="CE1776" s="15" t="s">
        <v>316</v>
      </c>
      <c r="CF1776" s="15" t="s">
        <v>138</v>
      </c>
      <c r="CG1776" s="15" t="s">
        <v>138</v>
      </c>
      <c r="CH1776" s="15" t="s">
        <v>177</v>
      </c>
      <c r="CI1776" s="15" t="s">
        <v>138</v>
      </c>
      <c r="CJ1776" s="15" t="s">
        <v>138</v>
      </c>
      <c r="CK1776" s="15" t="s">
        <v>138</v>
      </c>
      <c r="CL1776" s="15" t="s">
        <v>175</v>
      </c>
      <c r="CM1776" s="22" t="s">
        <v>138</v>
      </c>
      <c r="CN1776" s="17" t="s">
        <v>138</v>
      </c>
      <c r="CO1776" s="23">
        <v>0.11</v>
      </c>
      <c r="CP1776" s="24">
        <v>90</v>
      </c>
      <c r="CQ1776" s="23">
        <v>-0.02</v>
      </c>
      <c r="CR1776" s="23">
        <v>-13.36</v>
      </c>
      <c r="CS1776" s="23">
        <v>0</v>
      </c>
      <c r="CT1776" s="24">
        <v>23</v>
      </c>
      <c r="CU1776" s="23">
        <v>0.21</v>
      </c>
      <c r="CV1776" s="24">
        <v>81</v>
      </c>
      <c r="CW1776" s="23">
        <v>0</v>
      </c>
      <c r="CX1776" s="24">
        <v>13</v>
      </c>
      <c r="CY1776" s="23" t="s">
        <v>138</v>
      </c>
      <c r="CZ1776" s="24" t="s">
        <v>138</v>
      </c>
      <c r="DA1776" s="23">
        <v>0.21</v>
      </c>
      <c r="DB1776" s="24">
        <v>83</v>
      </c>
      <c r="DC1776" s="25">
        <v>3.04</v>
      </c>
      <c r="DD1776" s="24">
        <v>75</v>
      </c>
      <c r="DE1776" s="25">
        <v>-0.02</v>
      </c>
      <c r="DF1776" s="23">
        <v>-0.54</v>
      </c>
      <c r="DG1776" s="25">
        <v>0.62</v>
      </c>
      <c r="DH1776" s="24">
        <v>39</v>
      </c>
      <c r="DI1776" s="25">
        <v>5.46</v>
      </c>
      <c r="DJ1776" s="24">
        <v>78</v>
      </c>
      <c r="DK1776" s="25">
        <v>0.62</v>
      </c>
      <c r="DL1776" s="24">
        <v>39</v>
      </c>
      <c r="DM1776" s="25" t="s">
        <v>138</v>
      </c>
      <c r="DN1776" s="24" t="s">
        <v>138</v>
      </c>
      <c r="DO1776" s="25">
        <v>5.46</v>
      </c>
      <c r="DP1776" s="24">
        <v>80</v>
      </c>
      <c r="DQ1776" s="24">
        <v>215</v>
      </c>
      <c r="DR1776" s="26">
        <v>-9</v>
      </c>
      <c r="DS1776" s="23">
        <v>-4.0199999999999996</v>
      </c>
      <c r="DT1776" s="24" t="s">
        <v>138</v>
      </c>
      <c r="DU1776" s="26" t="s">
        <v>138</v>
      </c>
      <c r="DV1776" s="23" t="s">
        <v>138</v>
      </c>
      <c r="DW1776" s="24">
        <v>1949</v>
      </c>
      <c r="DX1776" s="27">
        <v>2</v>
      </c>
      <c r="DY1776" s="23">
        <v>0.1</v>
      </c>
      <c r="DZ1776" s="15" t="s">
        <v>178</v>
      </c>
      <c r="EA1776" s="22">
        <v>43475</v>
      </c>
      <c r="EB1776" s="17" t="s">
        <v>138</v>
      </c>
      <c r="EC1776" s="22" t="s">
        <v>138</v>
      </c>
      <c r="ED1776" s="15" t="s">
        <v>138</v>
      </c>
      <c r="EE1776" s="14" t="str">
        <f>HYPERLINK("https://my.pitchbook.com?c=117225-73", "View company online")</f>
        <v>View company online</v>
      </c>
    </row>
    <row r="1777" spans="1:135">
      <c r="A1777" s="28" t="s">
        <v>33786</v>
      </c>
      <c r="B1777" s="28" t="s">
        <v>33787</v>
      </c>
      <c r="C1777" s="28" t="s">
        <v>138</v>
      </c>
      <c r="D1777" s="28" t="s">
        <v>138</v>
      </c>
      <c r="E1777" s="28" t="s">
        <v>33788</v>
      </c>
      <c r="F1777" s="28" t="s">
        <v>33786</v>
      </c>
      <c r="G1777" s="28" t="s">
        <v>33789</v>
      </c>
      <c r="H1777" s="28" t="s">
        <v>322</v>
      </c>
      <c r="I1777" s="28" t="s">
        <v>323</v>
      </c>
      <c r="J1777" s="28" t="s">
        <v>461</v>
      </c>
      <c r="K1777" s="28" t="s">
        <v>33790</v>
      </c>
      <c r="L1777" s="28" t="s">
        <v>242</v>
      </c>
      <c r="M1777" s="28" t="s">
        <v>33791</v>
      </c>
      <c r="N1777" s="28" t="s">
        <v>147</v>
      </c>
      <c r="O1777" s="29">
        <v>122.99</v>
      </c>
      <c r="P1777" s="28" t="s">
        <v>148</v>
      </c>
      <c r="Q1777" s="28" t="s">
        <v>149</v>
      </c>
      <c r="R1777" s="28" t="s">
        <v>174</v>
      </c>
      <c r="S1777" s="28" t="s">
        <v>33792</v>
      </c>
      <c r="T1777" s="30">
        <v>78</v>
      </c>
      <c r="U1777" s="28" t="s">
        <v>33793</v>
      </c>
      <c r="V1777" s="28" t="s">
        <v>138</v>
      </c>
      <c r="W1777" s="28" t="s">
        <v>138</v>
      </c>
      <c r="X1777" s="31">
        <v>2010</v>
      </c>
      <c r="Y1777" s="28" t="s">
        <v>138</v>
      </c>
      <c r="Z1777" s="28" t="s">
        <v>138</v>
      </c>
      <c r="AA1777" s="28" t="s">
        <v>138</v>
      </c>
      <c r="AB1777" s="32" t="s">
        <v>138</v>
      </c>
      <c r="AC1777" s="32" t="s">
        <v>138</v>
      </c>
      <c r="AD1777" s="32" t="s">
        <v>138</v>
      </c>
      <c r="AE1777" s="32" t="s">
        <v>138</v>
      </c>
      <c r="AF1777" s="32" t="s">
        <v>138</v>
      </c>
      <c r="AG1777" s="28" t="s">
        <v>138</v>
      </c>
      <c r="AH1777" s="32" t="s">
        <v>138</v>
      </c>
      <c r="AI1777" s="32" t="s">
        <v>138</v>
      </c>
      <c r="AJ1777" s="32" t="s">
        <v>138</v>
      </c>
      <c r="AK1777" s="28" t="s">
        <v>33794</v>
      </c>
      <c r="AL1777" s="28" t="s">
        <v>33795</v>
      </c>
      <c r="AM1777" s="28" t="s">
        <v>2949</v>
      </c>
      <c r="AN1777" s="28" t="s">
        <v>33796</v>
      </c>
      <c r="AO1777" s="28" t="s">
        <v>33797</v>
      </c>
      <c r="AP1777" s="28" t="s">
        <v>14972</v>
      </c>
      <c r="AQ1777" s="28" t="s">
        <v>33798</v>
      </c>
      <c r="AR1777" s="28" t="s">
        <v>12415</v>
      </c>
      <c r="AS1777" s="28" t="s">
        <v>14975</v>
      </c>
      <c r="AT1777" s="28" t="s">
        <v>864</v>
      </c>
      <c r="AU1777" s="28" t="s">
        <v>31568</v>
      </c>
      <c r="AV1777" s="28" t="s">
        <v>162</v>
      </c>
      <c r="AW1777" s="28" t="s">
        <v>33797</v>
      </c>
      <c r="AX1777" s="28" t="s">
        <v>33799</v>
      </c>
      <c r="AY1777" s="28" t="s">
        <v>33800</v>
      </c>
      <c r="AZ1777" s="28" t="s">
        <v>164</v>
      </c>
      <c r="BA1777" s="28" t="s">
        <v>165</v>
      </c>
      <c r="BB1777" s="28" t="s">
        <v>33801</v>
      </c>
      <c r="BC1777" s="28" t="s">
        <v>33802</v>
      </c>
      <c r="BD1777" s="33">
        <v>8</v>
      </c>
      <c r="BE1777" s="28" t="s">
        <v>138</v>
      </c>
      <c r="BF1777" s="28" t="s">
        <v>33803</v>
      </c>
      <c r="BG1777" s="28" t="s">
        <v>138</v>
      </c>
      <c r="BH1777" s="28" t="s">
        <v>33804</v>
      </c>
      <c r="BI1777" s="28" t="s">
        <v>138</v>
      </c>
      <c r="BJ1777" s="28" t="s">
        <v>138</v>
      </c>
      <c r="BK1777" s="28" t="s">
        <v>33805</v>
      </c>
      <c r="BL1777" s="28" t="s">
        <v>1038</v>
      </c>
      <c r="BM1777" s="34">
        <v>40682</v>
      </c>
      <c r="BN1777" s="29">
        <v>11</v>
      </c>
      <c r="BO1777" s="28" t="s">
        <v>172</v>
      </c>
      <c r="BP1777" s="29">
        <v>18.87</v>
      </c>
      <c r="BQ1777" s="28" t="s">
        <v>172</v>
      </c>
      <c r="BR1777" s="28" t="s">
        <v>205</v>
      </c>
      <c r="BS1777" s="28" t="s">
        <v>206</v>
      </c>
      <c r="BT1777" s="28" t="s">
        <v>138</v>
      </c>
      <c r="BU1777" s="28" t="s">
        <v>174</v>
      </c>
      <c r="BV1777" s="28" t="s">
        <v>138</v>
      </c>
      <c r="BW1777" s="28" t="s">
        <v>138</v>
      </c>
      <c r="BX1777" s="28" t="s">
        <v>138</v>
      </c>
      <c r="BY1777" s="28" t="s">
        <v>175</v>
      </c>
      <c r="BZ1777" s="34">
        <v>43300</v>
      </c>
      <c r="CA1777" s="29">
        <v>10</v>
      </c>
      <c r="CB1777" s="28" t="s">
        <v>172</v>
      </c>
      <c r="CC1777" s="29">
        <v>23</v>
      </c>
      <c r="CD1777" s="28" t="s">
        <v>172</v>
      </c>
      <c r="CE1777" s="28" t="s">
        <v>173</v>
      </c>
      <c r="CF1777" s="28" t="s">
        <v>138</v>
      </c>
      <c r="CG1777" s="28" t="s">
        <v>138</v>
      </c>
      <c r="CH1777" s="28" t="s">
        <v>174</v>
      </c>
      <c r="CI1777" s="28" t="s">
        <v>138</v>
      </c>
      <c r="CJ1777" s="28" t="s">
        <v>138</v>
      </c>
      <c r="CK1777" s="28" t="s">
        <v>138</v>
      </c>
      <c r="CL1777" s="28" t="s">
        <v>175</v>
      </c>
      <c r="CM1777" s="34" t="s">
        <v>138</v>
      </c>
      <c r="CN1777" s="29" t="s">
        <v>138</v>
      </c>
      <c r="CO1777" s="35">
        <v>0</v>
      </c>
      <c r="CP1777" s="36">
        <v>26</v>
      </c>
      <c r="CQ1777" s="35">
        <v>-0.02</v>
      </c>
      <c r="CR1777" s="35">
        <v>-99.36</v>
      </c>
      <c r="CS1777" s="35">
        <v>0</v>
      </c>
      <c r="CT1777" s="36">
        <v>23</v>
      </c>
      <c r="CU1777" s="35">
        <v>0</v>
      </c>
      <c r="CV1777" s="36">
        <v>22</v>
      </c>
      <c r="CW1777" s="35">
        <v>0</v>
      </c>
      <c r="CX1777" s="36">
        <v>13</v>
      </c>
      <c r="CY1777" s="35" t="s">
        <v>138</v>
      </c>
      <c r="CZ1777" s="36" t="s">
        <v>138</v>
      </c>
      <c r="DA1777" s="35">
        <v>0</v>
      </c>
      <c r="DB1777" s="36">
        <v>22</v>
      </c>
      <c r="DC1777" s="37">
        <v>0.34</v>
      </c>
      <c r="DD1777" s="36">
        <v>25</v>
      </c>
      <c r="DE1777" s="37">
        <v>-0.01</v>
      </c>
      <c r="DF1777" s="35">
        <v>-3.59</v>
      </c>
      <c r="DG1777" s="37">
        <v>0.23</v>
      </c>
      <c r="DH1777" s="36">
        <v>18</v>
      </c>
      <c r="DI1777" s="37">
        <v>0.46</v>
      </c>
      <c r="DJ1777" s="36">
        <v>35</v>
      </c>
      <c r="DK1777" s="37">
        <v>0.23</v>
      </c>
      <c r="DL1777" s="36">
        <v>19</v>
      </c>
      <c r="DM1777" s="37" t="s">
        <v>138</v>
      </c>
      <c r="DN1777" s="36" t="s">
        <v>138</v>
      </c>
      <c r="DO1777" s="37">
        <v>0.86</v>
      </c>
      <c r="DP1777" s="36">
        <v>48</v>
      </c>
      <c r="DQ1777" s="36">
        <v>85</v>
      </c>
      <c r="DR1777" s="38">
        <v>-22</v>
      </c>
      <c r="DS1777" s="35">
        <v>-20.56</v>
      </c>
      <c r="DT1777" s="36" t="s">
        <v>138</v>
      </c>
      <c r="DU1777" s="38" t="s">
        <v>138</v>
      </c>
      <c r="DV1777" s="35" t="s">
        <v>138</v>
      </c>
      <c r="DW1777" s="36">
        <v>306</v>
      </c>
      <c r="DX1777" s="39">
        <v>1</v>
      </c>
      <c r="DY1777" s="35">
        <v>0.33</v>
      </c>
      <c r="DZ1777" s="28" t="s">
        <v>178</v>
      </c>
      <c r="EA1777" s="34">
        <v>43496</v>
      </c>
      <c r="EB1777" s="29">
        <v>23</v>
      </c>
      <c r="EC1777" s="34">
        <v>43300</v>
      </c>
      <c r="ED1777" s="28" t="s">
        <v>173</v>
      </c>
      <c r="EE1777" s="40" t="str">
        <f>HYPERLINK("https://my.pitchbook.com?c=54695-89", "View company online")</f>
        <v>View company online</v>
      </c>
    </row>
    <row r="1778" spans="1:135">
      <c r="A1778" s="15" t="s">
        <v>33806</v>
      </c>
      <c r="B1778" s="15" t="s">
        <v>33807</v>
      </c>
      <c r="C1778" s="15" t="s">
        <v>138</v>
      </c>
      <c r="D1778" s="15" t="s">
        <v>33808</v>
      </c>
      <c r="E1778" s="15" t="s">
        <v>33809</v>
      </c>
      <c r="F1778" s="15" t="s">
        <v>33806</v>
      </c>
      <c r="G1778" s="15" t="s">
        <v>33810</v>
      </c>
      <c r="H1778" s="15" t="s">
        <v>322</v>
      </c>
      <c r="I1778" s="15" t="s">
        <v>323</v>
      </c>
      <c r="J1778" s="15" t="s">
        <v>1132</v>
      </c>
      <c r="K1778" s="15" t="s">
        <v>33430</v>
      </c>
      <c r="L1778" s="15" t="s">
        <v>4025</v>
      </c>
      <c r="M1778" s="15" t="s">
        <v>33811</v>
      </c>
      <c r="N1778" s="15" t="s">
        <v>147</v>
      </c>
      <c r="O1778" s="17">
        <v>18.5</v>
      </c>
      <c r="P1778" s="15" t="s">
        <v>148</v>
      </c>
      <c r="Q1778" s="15" t="s">
        <v>149</v>
      </c>
      <c r="R1778" s="15" t="s">
        <v>174</v>
      </c>
      <c r="S1778" s="15" t="s">
        <v>33812</v>
      </c>
      <c r="T1778" s="18">
        <v>25</v>
      </c>
      <c r="U1778" s="15" t="s">
        <v>33813</v>
      </c>
      <c r="V1778" s="15" t="s">
        <v>138</v>
      </c>
      <c r="W1778" s="15" t="s">
        <v>138</v>
      </c>
      <c r="X1778" s="19">
        <v>2014</v>
      </c>
      <c r="Y1778" s="15" t="s">
        <v>138</v>
      </c>
      <c r="Z1778" s="15" t="s">
        <v>138</v>
      </c>
      <c r="AA1778" s="15" t="s">
        <v>1163</v>
      </c>
      <c r="AB1778" s="20" t="s">
        <v>138</v>
      </c>
      <c r="AC1778" s="20" t="s">
        <v>138</v>
      </c>
      <c r="AD1778" s="20" t="s">
        <v>138</v>
      </c>
      <c r="AE1778" s="20" t="s">
        <v>138</v>
      </c>
      <c r="AF1778" s="20" t="s">
        <v>138</v>
      </c>
      <c r="AG1778" s="15" t="s">
        <v>138</v>
      </c>
      <c r="AH1778" s="20" t="s">
        <v>138</v>
      </c>
      <c r="AI1778" s="20" t="s">
        <v>138</v>
      </c>
      <c r="AJ1778" s="20" t="s">
        <v>138</v>
      </c>
      <c r="AK1778" s="15" t="s">
        <v>33814</v>
      </c>
      <c r="AL1778" s="15" t="s">
        <v>33815</v>
      </c>
      <c r="AM1778" s="15" t="s">
        <v>221</v>
      </c>
      <c r="AN1778" s="15" t="s">
        <v>33816</v>
      </c>
      <c r="AO1778" s="15" t="s">
        <v>33817</v>
      </c>
      <c r="AP1778" s="15" t="s">
        <v>665</v>
      </c>
      <c r="AQ1778" s="15" t="s">
        <v>33818</v>
      </c>
      <c r="AR1778" s="15" t="s">
        <v>138</v>
      </c>
      <c r="AS1778" s="15" t="s">
        <v>668</v>
      </c>
      <c r="AT1778" s="15" t="s">
        <v>200</v>
      </c>
      <c r="AU1778" s="15" t="s">
        <v>33819</v>
      </c>
      <c r="AV1778" s="15" t="s">
        <v>162</v>
      </c>
      <c r="AW1778" s="15" t="s">
        <v>33820</v>
      </c>
      <c r="AX1778" s="15" t="s">
        <v>138</v>
      </c>
      <c r="AY1778" s="15" t="s">
        <v>138</v>
      </c>
      <c r="AZ1778" s="15" t="s">
        <v>164</v>
      </c>
      <c r="BA1778" s="15" t="s">
        <v>165</v>
      </c>
      <c r="BB1778" s="15" t="s">
        <v>33821</v>
      </c>
      <c r="BC1778" s="15" t="s">
        <v>33822</v>
      </c>
      <c r="BD1778" s="21">
        <v>14</v>
      </c>
      <c r="BE1778" s="15" t="s">
        <v>138</v>
      </c>
      <c r="BF1778" s="15" t="s">
        <v>138</v>
      </c>
      <c r="BG1778" s="15" t="s">
        <v>138</v>
      </c>
      <c r="BH1778" s="15" t="s">
        <v>33823</v>
      </c>
      <c r="BI1778" s="15" t="s">
        <v>138</v>
      </c>
      <c r="BJ1778" s="15" t="s">
        <v>138</v>
      </c>
      <c r="BK1778" s="15" t="s">
        <v>33824</v>
      </c>
      <c r="BL1778" s="15" t="s">
        <v>1251</v>
      </c>
      <c r="BM1778" s="22" t="s">
        <v>138</v>
      </c>
      <c r="BN1778" s="17" t="s">
        <v>138</v>
      </c>
      <c r="BO1778" s="15" t="s">
        <v>138</v>
      </c>
      <c r="BP1778" s="17" t="s">
        <v>138</v>
      </c>
      <c r="BQ1778" s="15" t="s">
        <v>138</v>
      </c>
      <c r="BR1778" s="15" t="s">
        <v>316</v>
      </c>
      <c r="BS1778" s="15" t="s">
        <v>138</v>
      </c>
      <c r="BT1778" s="15" t="s">
        <v>138</v>
      </c>
      <c r="BU1778" s="15" t="s">
        <v>177</v>
      </c>
      <c r="BV1778" s="15" t="s">
        <v>138</v>
      </c>
      <c r="BW1778" s="15" t="s">
        <v>138</v>
      </c>
      <c r="BX1778" s="15" t="s">
        <v>138</v>
      </c>
      <c r="BY1778" s="15" t="s">
        <v>175</v>
      </c>
      <c r="BZ1778" s="22">
        <v>43252</v>
      </c>
      <c r="CA1778" s="17">
        <v>9</v>
      </c>
      <c r="CB1778" s="15" t="s">
        <v>172</v>
      </c>
      <c r="CC1778" s="17">
        <v>34</v>
      </c>
      <c r="CD1778" s="15" t="s">
        <v>172</v>
      </c>
      <c r="CE1778" s="15" t="s">
        <v>205</v>
      </c>
      <c r="CF1778" s="15" t="s">
        <v>720</v>
      </c>
      <c r="CG1778" s="15" t="s">
        <v>138</v>
      </c>
      <c r="CH1778" s="15" t="s">
        <v>174</v>
      </c>
      <c r="CI1778" s="15" t="s">
        <v>138</v>
      </c>
      <c r="CJ1778" s="15" t="s">
        <v>138</v>
      </c>
      <c r="CK1778" s="15" t="s">
        <v>138</v>
      </c>
      <c r="CL1778" s="15" t="s">
        <v>175</v>
      </c>
      <c r="CM1778" s="22" t="s">
        <v>138</v>
      </c>
      <c r="CN1778" s="17" t="s">
        <v>138</v>
      </c>
      <c r="CO1778" s="23">
        <v>0.25</v>
      </c>
      <c r="CP1778" s="24">
        <v>93</v>
      </c>
      <c r="CQ1778" s="23">
        <v>0.02</v>
      </c>
      <c r="CR1778" s="23">
        <v>6.6</v>
      </c>
      <c r="CS1778" s="23">
        <v>-0.15</v>
      </c>
      <c r="CT1778" s="24">
        <v>22</v>
      </c>
      <c r="CU1778" s="23">
        <v>0.37</v>
      </c>
      <c r="CV1778" s="24">
        <v>90</v>
      </c>
      <c r="CW1778" s="23">
        <v>-0.28999999999999998</v>
      </c>
      <c r="CX1778" s="24">
        <v>12</v>
      </c>
      <c r="CY1778" s="23">
        <v>0</v>
      </c>
      <c r="CZ1778" s="24">
        <v>25</v>
      </c>
      <c r="DA1778" s="23">
        <v>0.19</v>
      </c>
      <c r="DB1778" s="24">
        <v>82</v>
      </c>
      <c r="DC1778" s="25">
        <v>4.2</v>
      </c>
      <c r="DD1778" s="24">
        <v>80</v>
      </c>
      <c r="DE1778" s="25">
        <v>-0.44</v>
      </c>
      <c r="DF1778" s="23">
        <v>-9.57</v>
      </c>
      <c r="DG1778" s="25">
        <v>11.36</v>
      </c>
      <c r="DH1778" s="24">
        <v>91</v>
      </c>
      <c r="DI1778" s="25">
        <v>1.18</v>
      </c>
      <c r="DJ1778" s="24">
        <v>52</v>
      </c>
      <c r="DK1778" s="25">
        <v>20.76</v>
      </c>
      <c r="DL1778" s="24">
        <v>92</v>
      </c>
      <c r="DM1778" s="25">
        <v>1.97</v>
      </c>
      <c r="DN1778" s="24">
        <v>65</v>
      </c>
      <c r="DO1778" s="25">
        <v>1.91</v>
      </c>
      <c r="DP1778" s="24">
        <v>63</v>
      </c>
      <c r="DQ1778" s="24">
        <v>7189</v>
      </c>
      <c r="DR1778" s="26">
        <v>-205</v>
      </c>
      <c r="DS1778" s="23">
        <v>-2.77</v>
      </c>
      <c r="DT1778" s="24">
        <v>57</v>
      </c>
      <c r="DU1778" s="26">
        <v>-1</v>
      </c>
      <c r="DV1778" s="23">
        <v>-1.72</v>
      </c>
      <c r="DW1778" s="24">
        <v>680</v>
      </c>
      <c r="DX1778" s="27">
        <v>5</v>
      </c>
      <c r="DY1778" s="23">
        <v>0.74</v>
      </c>
      <c r="DZ1778" s="15" t="s">
        <v>178</v>
      </c>
      <c r="EA1778" s="22">
        <v>43570</v>
      </c>
      <c r="EB1778" s="17">
        <v>34</v>
      </c>
      <c r="EC1778" s="22">
        <v>43252</v>
      </c>
      <c r="ED1778" s="15" t="s">
        <v>205</v>
      </c>
      <c r="EE1778" s="14" t="str">
        <f>HYPERLINK("https://my.pitchbook.com?c=99587-71", "View company online")</f>
        <v>View company online</v>
      </c>
    </row>
    <row r="1779" spans="1:135">
      <c r="A1779" s="28" t="s">
        <v>33825</v>
      </c>
      <c r="B1779" s="28" t="s">
        <v>33826</v>
      </c>
      <c r="C1779" s="28" t="s">
        <v>33827</v>
      </c>
      <c r="D1779" s="28" t="s">
        <v>33828</v>
      </c>
      <c r="E1779" s="28" t="s">
        <v>33829</v>
      </c>
      <c r="F1779" s="28" t="s">
        <v>33825</v>
      </c>
      <c r="G1779" s="28" t="s">
        <v>33830</v>
      </c>
      <c r="H1779" s="28" t="s">
        <v>141</v>
      </c>
      <c r="I1779" s="28" t="s">
        <v>212</v>
      </c>
      <c r="J1779" s="28" t="s">
        <v>33831</v>
      </c>
      <c r="K1779" s="28" t="s">
        <v>33832</v>
      </c>
      <c r="L1779" s="28" t="s">
        <v>5101</v>
      </c>
      <c r="M1779" s="28" t="s">
        <v>33833</v>
      </c>
      <c r="N1779" s="28" t="s">
        <v>147</v>
      </c>
      <c r="O1779" s="29">
        <v>50.33</v>
      </c>
      <c r="P1779" s="28" t="s">
        <v>148</v>
      </c>
      <c r="Q1779" s="28" t="s">
        <v>149</v>
      </c>
      <c r="R1779" s="28" t="s">
        <v>174</v>
      </c>
      <c r="S1779" s="28" t="s">
        <v>33834</v>
      </c>
      <c r="T1779" s="30">
        <v>250</v>
      </c>
      <c r="U1779" s="28" t="s">
        <v>33835</v>
      </c>
      <c r="V1779" s="28" t="s">
        <v>138</v>
      </c>
      <c r="W1779" s="28" t="s">
        <v>138</v>
      </c>
      <c r="X1779" s="31" t="s">
        <v>138</v>
      </c>
      <c r="Y1779" s="28" t="s">
        <v>138</v>
      </c>
      <c r="Z1779" s="28" t="s">
        <v>138</v>
      </c>
      <c r="AA1779" s="28" t="s">
        <v>138</v>
      </c>
      <c r="AB1779" s="32" t="s">
        <v>138</v>
      </c>
      <c r="AC1779" s="32" t="s">
        <v>138</v>
      </c>
      <c r="AD1779" s="32" t="s">
        <v>138</v>
      </c>
      <c r="AE1779" s="32" t="s">
        <v>138</v>
      </c>
      <c r="AF1779" s="32" t="s">
        <v>138</v>
      </c>
      <c r="AG1779" s="28" t="s">
        <v>138</v>
      </c>
      <c r="AH1779" s="32" t="s">
        <v>138</v>
      </c>
      <c r="AI1779" s="32" t="s">
        <v>138</v>
      </c>
      <c r="AJ1779" s="32" t="s">
        <v>138</v>
      </c>
      <c r="AK1779" s="28" t="s">
        <v>33836</v>
      </c>
      <c r="AL1779" s="28" t="s">
        <v>33837</v>
      </c>
      <c r="AM1779" s="28" t="s">
        <v>221</v>
      </c>
      <c r="AN1779" s="28" t="s">
        <v>33838</v>
      </c>
      <c r="AO1779" s="28" t="s">
        <v>33839</v>
      </c>
      <c r="AP1779" s="28" t="s">
        <v>3108</v>
      </c>
      <c r="AQ1779" s="28" t="s">
        <v>33840</v>
      </c>
      <c r="AR1779" s="28" t="s">
        <v>618</v>
      </c>
      <c r="AS1779" s="28" t="s">
        <v>3111</v>
      </c>
      <c r="AT1779" s="28" t="s">
        <v>3112</v>
      </c>
      <c r="AU1779" s="28" t="s">
        <v>33841</v>
      </c>
      <c r="AV1779" s="28" t="s">
        <v>2742</v>
      </c>
      <c r="AW1779" s="28" t="s">
        <v>33839</v>
      </c>
      <c r="AX1779" s="28" t="s">
        <v>138</v>
      </c>
      <c r="AY1779" s="28" t="s">
        <v>33842</v>
      </c>
      <c r="AZ1779" s="28" t="s">
        <v>164</v>
      </c>
      <c r="BA1779" s="28" t="s">
        <v>165</v>
      </c>
      <c r="BB1779" s="28" t="s">
        <v>33843</v>
      </c>
      <c r="BC1779" s="28" t="s">
        <v>33844</v>
      </c>
      <c r="BD1779" s="33">
        <v>22</v>
      </c>
      <c r="BE1779" s="28" t="s">
        <v>138</v>
      </c>
      <c r="BF1779" s="28" t="s">
        <v>138</v>
      </c>
      <c r="BG1779" s="28" t="s">
        <v>138</v>
      </c>
      <c r="BH1779" s="28" t="s">
        <v>33845</v>
      </c>
      <c r="BI1779" s="28" t="s">
        <v>138</v>
      </c>
      <c r="BJ1779" s="28" t="s">
        <v>138</v>
      </c>
      <c r="BK1779" s="28" t="s">
        <v>290</v>
      </c>
      <c r="BL1779" s="28" t="s">
        <v>290</v>
      </c>
      <c r="BM1779" s="34">
        <v>40980</v>
      </c>
      <c r="BN1779" s="29" t="s">
        <v>138</v>
      </c>
      <c r="BO1779" s="28" t="s">
        <v>138</v>
      </c>
      <c r="BP1779" s="29" t="s">
        <v>138</v>
      </c>
      <c r="BQ1779" s="28" t="s">
        <v>138</v>
      </c>
      <c r="BR1779" s="28" t="s">
        <v>316</v>
      </c>
      <c r="BS1779" s="28" t="s">
        <v>138</v>
      </c>
      <c r="BT1779" s="28" t="s">
        <v>138</v>
      </c>
      <c r="BU1779" s="28" t="s">
        <v>177</v>
      </c>
      <c r="BV1779" s="28" t="s">
        <v>138</v>
      </c>
      <c r="BW1779" s="28" t="s">
        <v>138</v>
      </c>
      <c r="BX1779" s="28" t="s">
        <v>138</v>
      </c>
      <c r="BY1779" s="28" t="s">
        <v>175</v>
      </c>
      <c r="BZ1779" s="34">
        <v>43131</v>
      </c>
      <c r="CA1779" s="29">
        <v>18</v>
      </c>
      <c r="CB1779" s="28" t="s">
        <v>172</v>
      </c>
      <c r="CC1779" s="29">
        <v>92</v>
      </c>
      <c r="CD1779" s="28" t="s">
        <v>172</v>
      </c>
      <c r="CE1779" s="28" t="s">
        <v>205</v>
      </c>
      <c r="CF1779" s="28" t="s">
        <v>974</v>
      </c>
      <c r="CG1779" s="28" t="s">
        <v>138</v>
      </c>
      <c r="CH1779" s="28" t="s">
        <v>174</v>
      </c>
      <c r="CI1779" s="28" t="s">
        <v>177</v>
      </c>
      <c r="CJ1779" s="28" t="s">
        <v>138</v>
      </c>
      <c r="CK1779" s="28" t="s">
        <v>138</v>
      </c>
      <c r="CL1779" s="28" t="s">
        <v>175</v>
      </c>
      <c r="CM1779" s="34" t="s">
        <v>138</v>
      </c>
      <c r="CN1779" s="29" t="s">
        <v>138</v>
      </c>
      <c r="CO1779" s="35">
        <v>1.85</v>
      </c>
      <c r="CP1779" s="36">
        <v>99</v>
      </c>
      <c r="CQ1779" s="35">
        <v>-0.5</v>
      </c>
      <c r="CR1779" s="35">
        <v>-21.44</v>
      </c>
      <c r="CS1779" s="35">
        <v>3.8</v>
      </c>
      <c r="CT1779" s="36">
        <v>100</v>
      </c>
      <c r="CU1779" s="35">
        <v>0.34</v>
      </c>
      <c r="CV1779" s="36">
        <v>89</v>
      </c>
      <c r="CW1779" s="35">
        <v>8.24</v>
      </c>
      <c r="CX1779" s="36">
        <v>99</v>
      </c>
      <c r="CY1779" s="35">
        <v>-0.63</v>
      </c>
      <c r="CZ1779" s="36">
        <v>21</v>
      </c>
      <c r="DA1779" s="35">
        <v>0.34</v>
      </c>
      <c r="DB1779" s="36">
        <v>90</v>
      </c>
      <c r="DC1779" s="37">
        <v>57.27</v>
      </c>
      <c r="DD1779" s="36">
        <v>98</v>
      </c>
      <c r="DE1779" s="37">
        <v>-6.39</v>
      </c>
      <c r="DF1779" s="35">
        <v>-10.029999999999999</v>
      </c>
      <c r="DG1779" s="37">
        <v>153.43</v>
      </c>
      <c r="DH1779" s="36">
        <v>100</v>
      </c>
      <c r="DI1779" s="37">
        <v>18.22</v>
      </c>
      <c r="DJ1779" s="36">
        <v>90</v>
      </c>
      <c r="DK1779" s="37">
        <v>300.94</v>
      </c>
      <c r="DL1779" s="36">
        <v>99</v>
      </c>
      <c r="DM1779" s="37">
        <v>5.93</v>
      </c>
      <c r="DN1779" s="36">
        <v>84</v>
      </c>
      <c r="DO1779" s="37">
        <v>18.22</v>
      </c>
      <c r="DP1779" s="36">
        <v>92</v>
      </c>
      <c r="DQ1779" s="36">
        <v>100601</v>
      </c>
      <c r="DR1779" s="38">
        <v>7858</v>
      </c>
      <c r="DS1779" s="35">
        <v>8.4700000000000006</v>
      </c>
      <c r="DT1779" s="36">
        <v>172</v>
      </c>
      <c r="DU1779" s="38">
        <v>0</v>
      </c>
      <c r="DV1779" s="35">
        <v>0</v>
      </c>
      <c r="DW1779" s="36">
        <v>6514</v>
      </c>
      <c r="DX1779" s="39">
        <v>18</v>
      </c>
      <c r="DY1779" s="35">
        <v>0.28000000000000003</v>
      </c>
      <c r="DZ1779" s="28" t="s">
        <v>178</v>
      </c>
      <c r="EA1779" s="34">
        <v>43431</v>
      </c>
      <c r="EB1779" s="29">
        <v>92</v>
      </c>
      <c r="EC1779" s="34">
        <v>43131</v>
      </c>
      <c r="ED1779" s="28" t="s">
        <v>205</v>
      </c>
      <c r="EE1779" s="40" t="str">
        <f>HYPERLINK("https://my.pitchbook.com?c=54844-57", "View company online")</f>
        <v>View company online</v>
      </c>
    </row>
    <row r="1780" spans="1:135">
      <c r="A1780" s="15" t="s">
        <v>33846</v>
      </c>
      <c r="B1780" s="15" t="s">
        <v>33847</v>
      </c>
      <c r="C1780" s="15" t="s">
        <v>138</v>
      </c>
      <c r="D1780" s="15" t="s">
        <v>138</v>
      </c>
      <c r="E1780" s="15" t="s">
        <v>33848</v>
      </c>
      <c r="F1780" s="15" t="s">
        <v>33846</v>
      </c>
      <c r="G1780" s="15" t="s">
        <v>33849</v>
      </c>
      <c r="H1780" s="15" t="s">
        <v>322</v>
      </c>
      <c r="I1780" s="15" t="s">
        <v>356</v>
      </c>
      <c r="J1780" s="15" t="s">
        <v>1901</v>
      </c>
      <c r="K1780" s="15" t="s">
        <v>33850</v>
      </c>
      <c r="L1780" s="15" t="s">
        <v>10159</v>
      </c>
      <c r="M1780" s="15" t="s">
        <v>33851</v>
      </c>
      <c r="N1780" s="15" t="s">
        <v>147</v>
      </c>
      <c r="O1780" s="17">
        <v>5.05</v>
      </c>
      <c r="P1780" s="15" t="s">
        <v>148</v>
      </c>
      <c r="Q1780" s="15" t="s">
        <v>149</v>
      </c>
      <c r="R1780" s="15" t="s">
        <v>174</v>
      </c>
      <c r="S1780" s="15" t="s">
        <v>33852</v>
      </c>
      <c r="T1780" s="18">
        <v>29</v>
      </c>
      <c r="U1780" s="15" t="s">
        <v>33853</v>
      </c>
      <c r="V1780" s="15" t="s">
        <v>138</v>
      </c>
      <c r="W1780" s="15" t="s">
        <v>138</v>
      </c>
      <c r="X1780" s="19">
        <v>2007</v>
      </c>
      <c r="Y1780" s="15" t="s">
        <v>138</v>
      </c>
      <c r="Z1780" s="15" t="s">
        <v>138</v>
      </c>
      <c r="AA1780" s="15" t="s">
        <v>138</v>
      </c>
      <c r="AB1780" s="20" t="s">
        <v>138</v>
      </c>
      <c r="AC1780" s="20" t="s">
        <v>138</v>
      </c>
      <c r="AD1780" s="20" t="s">
        <v>138</v>
      </c>
      <c r="AE1780" s="20" t="s">
        <v>138</v>
      </c>
      <c r="AF1780" s="20" t="s">
        <v>138</v>
      </c>
      <c r="AG1780" s="15" t="s">
        <v>138</v>
      </c>
      <c r="AH1780" s="20" t="s">
        <v>138</v>
      </c>
      <c r="AI1780" s="20" t="s">
        <v>138</v>
      </c>
      <c r="AJ1780" s="20" t="s">
        <v>138</v>
      </c>
      <c r="AK1780" s="15" t="s">
        <v>33854</v>
      </c>
      <c r="AL1780" s="15" t="s">
        <v>33855</v>
      </c>
      <c r="AM1780" s="15" t="s">
        <v>33856</v>
      </c>
      <c r="AN1780" s="15" t="s">
        <v>33857</v>
      </c>
      <c r="AO1780" s="15" t="s">
        <v>33858</v>
      </c>
      <c r="AP1780" s="15" t="s">
        <v>25399</v>
      </c>
      <c r="AQ1780" s="15" t="s">
        <v>33859</v>
      </c>
      <c r="AR1780" s="15" t="s">
        <v>12415</v>
      </c>
      <c r="AS1780" s="15" t="s">
        <v>25401</v>
      </c>
      <c r="AT1780" s="15" t="s">
        <v>2740</v>
      </c>
      <c r="AU1780" s="15" t="s">
        <v>33860</v>
      </c>
      <c r="AV1780" s="15" t="s">
        <v>2742</v>
      </c>
      <c r="AW1780" s="15" t="s">
        <v>33858</v>
      </c>
      <c r="AX1780" s="15" t="s">
        <v>138</v>
      </c>
      <c r="AY1780" s="15" t="s">
        <v>33861</v>
      </c>
      <c r="AZ1780" s="15" t="s">
        <v>164</v>
      </c>
      <c r="BA1780" s="15" t="s">
        <v>165</v>
      </c>
      <c r="BB1780" s="15" t="s">
        <v>33862</v>
      </c>
      <c r="BC1780" s="15" t="s">
        <v>33863</v>
      </c>
      <c r="BD1780" s="21">
        <v>9</v>
      </c>
      <c r="BE1780" s="15" t="s">
        <v>138</v>
      </c>
      <c r="BF1780" s="15" t="s">
        <v>138</v>
      </c>
      <c r="BG1780" s="15" t="s">
        <v>138</v>
      </c>
      <c r="BH1780" s="15" t="s">
        <v>33864</v>
      </c>
      <c r="BI1780" s="15" t="s">
        <v>138</v>
      </c>
      <c r="BJ1780" s="15" t="s">
        <v>138</v>
      </c>
      <c r="BK1780" s="15" t="s">
        <v>138</v>
      </c>
      <c r="BL1780" s="15" t="s">
        <v>138</v>
      </c>
      <c r="BM1780" s="22">
        <v>39994</v>
      </c>
      <c r="BN1780" s="17">
        <v>0.03</v>
      </c>
      <c r="BO1780" s="15" t="s">
        <v>172</v>
      </c>
      <c r="BP1780" s="17" t="s">
        <v>138</v>
      </c>
      <c r="BQ1780" s="15" t="s">
        <v>138</v>
      </c>
      <c r="BR1780" s="15" t="s">
        <v>176</v>
      </c>
      <c r="BS1780" s="15" t="s">
        <v>138</v>
      </c>
      <c r="BT1780" s="15" t="s">
        <v>138</v>
      </c>
      <c r="BU1780" s="15" t="s">
        <v>177</v>
      </c>
      <c r="BV1780" s="15" t="s">
        <v>138</v>
      </c>
      <c r="BW1780" s="15" t="s">
        <v>138</v>
      </c>
      <c r="BX1780" s="15" t="s">
        <v>138</v>
      </c>
      <c r="BY1780" s="15" t="s">
        <v>175</v>
      </c>
      <c r="BZ1780" s="22">
        <v>42199</v>
      </c>
      <c r="CA1780" s="17">
        <v>3.5</v>
      </c>
      <c r="CB1780" s="15" t="s">
        <v>172</v>
      </c>
      <c r="CC1780" s="17" t="s">
        <v>138</v>
      </c>
      <c r="CD1780" s="15" t="s">
        <v>138</v>
      </c>
      <c r="CE1780" s="15" t="s">
        <v>173</v>
      </c>
      <c r="CF1780" s="15" t="s">
        <v>206</v>
      </c>
      <c r="CG1780" s="15" t="s">
        <v>138</v>
      </c>
      <c r="CH1780" s="15" t="s">
        <v>174</v>
      </c>
      <c r="CI1780" s="15" t="s">
        <v>138</v>
      </c>
      <c r="CJ1780" s="15" t="s">
        <v>138</v>
      </c>
      <c r="CK1780" s="15" t="s">
        <v>138</v>
      </c>
      <c r="CL1780" s="15" t="s">
        <v>175</v>
      </c>
      <c r="CM1780" s="22" t="s">
        <v>138</v>
      </c>
      <c r="CN1780" s="17" t="s">
        <v>138</v>
      </c>
      <c r="CO1780" s="23">
        <v>0.34</v>
      </c>
      <c r="CP1780" s="24">
        <v>94</v>
      </c>
      <c r="CQ1780" s="23">
        <v>0.02</v>
      </c>
      <c r="CR1780" s="23">
        <v>5.84</v>
      </c>
      <c r="CS1780" s="23">
        <v>0.69</v>
      </c>
      <c r="CT1780" s="24">
        <v>96</v>
      </c>
      <c r="CU1780" s="23">
        <v>-0.01</v>
      </c>
      <c r="CV1780" s="24">
        <v>20</v>
      </c>
      <c r="CW1780" s="23">
        <v>1.68</v>
      </c>
      <c r="CX1780" s="24">
        <v>87</v>
      </c>
      <c r="CY1780" s="23">
        <v>-0.3</v>
      </c>
      <c r="CZ1780" s="24">
        <v>23</v>
      </c>
      <c r="DA1780" s="23">
        <v>-0.02</v>
      </c>
      <c r="DB1780" s="24">
        <v>19</v>
      </c>
      <c r="DC1780" s="25">
        <v>4.32</v>
      </c>
      <c r="DD1780" s="24">
        <v>81</v>
      </c>
      <c r="DE1780" s="25">
        <v>-0.11</v>
      </c>
      <c r="DF1780" s="23">
        <v>-2.4</v>
      </c>
      <c r="DG1780" s="25">
        <v>5.86</v>
      </c>
      <c r="DH1780" s="24">
        <v>84</v>
      </c>
      <c r="DI1780" s="25">
        <v>2.78</v>
      </c>
      <c r="DJ1780" s="24">
        <v>68</v>
      </c>
      <c r="DK1780" s="25">
        <v>3.48</v>
      </c>
      <c r="DL1780" s="24">
        <v>74</v>
      </c>
      <c r="DM1780" s="25">
        <v>8.24</v>
      </c>
      <c r="DN1780" s="24">
        <v>87</v>
      </c>
      <c r="DO1780" s="25">
        <v>4.59</v>
      </c>
      <c r="DP1780" s="24">
        <v>78</v>
      </c>
      <c r="DQ1780" s="24">
        <v>1136</v>
      </c>
      <c r="DR1780" s="26">
        <v>165</v>
      </c>
      <c r="DS1780" s="23">
        <v>16.989999999999998</v>
      </c>
      <c r="DT1780" s="24">
        <v>239</v>
      </c>
      <c r="DU1780" s="26">
        <v>1</v>
      </c>
      <c r="DV1780" s="23">
        <v>0.42</v>
      </c>
      <c r="DW1780" s="24">
        <v>1643</v>
      </c>
      <c r="DX1780" s="27">
        <v>2</v>
      </c>
      <c r="DY1780" s="23">
        <v>0.12</v>
      </c>
      <c r="DZ1780" s="15" t="s">
        <v>178</v>
      </c>
      <c r="EA1780" s="22">
        <v>43605</v>
      </c>
      <c r="EB1780" s="17" t="s">
        <v>138</v>
      </c>
      <c r="EC1780" s="22" t="s">
        <v>138</v>
      </c>
      <c r="ED1780" s="15" t="s">
        <v>138</v>
      </c>
      <c r="EE1780" s="14" t="str">
        <f>HYPERLINK("https://my.pitchbook.com?c=54260-47", "View company online")</f>
        <v>View company online</v>
      </c>
    </row>
    <row r="1781" spans="1:135">
      <c r="A1781" s="28" t="s">
        <v>33865</v>
      </c>
      <c r="B1781" s="28" t="s">
        <v>33866</v>
      </c>
      <c r="C1781" s="28" t="s">
        <v>138</v>
      </c>
      <c r="D1781" s="28" t="s">
        <v>138</v>
      </c>
      <c r="E1781" s="28" t="s">
        <v>33867</v>
      </c>
      <c r="F1781" s="28" t="s">
        <v>33865</v>
      </c>
      <c r="G1781" s="28" t="s">
        <v>33868</v>
      </c>
      <c r="H1781" s="28" t="s">
        <v>322</v>
      </c>
      <c r="I1781" s="28" t="s">
        <v>323</v>
      </c>
      <c r="J1781" s="28" t="s">
        <v>461</v>
      </c>
      <c r="K1781" s="28" t="s">
        <v>10119</v>
      </c>
      <c r="L1781" s="28" t="s">
        <v>22251</v>
      </c>
      <c r="M1781" s="28" t="s">
        <v>33869</v>
      </c>
      <c r="N1781" s="28" t="s">
        <v>147</v>
      </c>
      <c r="O1781" s="29">
        <v>26.6</v>
      </c>
      <c r="P1781" s="28" t="s">
        <v>148</v>
      </c>
      <c r="Q1781" s="28" t="s">
        <v>149</v>
      </c>
      <c r="R1781" s="28" t="s">
        <v>174</v>
      </c>
      <c r="S1781" s="28" t="s">
        <v>33870</v>
      </c>
      <c r="T1781" s="30">
        <v>23</v>
      </c>
      <c r="U1781" s="28" t="s">
        <v>33871</v>
      </c>
      <c r="V1781" s="28" t="s">
        <v>138</v>
      </c>
      <c r="W1781" s="28" t="s">
        <v>138</v>
      </c>
      <c r="X1781" s="31">
        <v>2006</v>
      </c>
      <c r="Y1781" s="28" t="s">
        <v>138</v>
      </c>
      <c r="Z1781" s="28" t="s">
        <v>138</v>
      </c>
      <c r="AA1781" s="28" t="s">
        <v>1163</v>
      </c>
      <c r="AB1781" s="32" t="s">
        <v>138</v>
      </c>
      <c r="AC1781" s="32" t="s">
        <v>138</v>
      </c>
      <c r="AD1781" s="32" t="s">
        <v>138</v>
      </c>
      <c r="AE1781" s="32" t="s">
        <v>138</v>
      </c>
      <c r="AF1781" s="32" t="s">
        <v>138</v>
      </c>
      <c r="AG1781" s="28" t="s">
        <v>138</v>
      </c>
      <c r="AH1781" s="32" t="s">
        <v>138</v>
      </c>
      <c r="AI1781" s="32" t="s">
        <v>138</v>
      </c>
      <c r="AJ1781" s="32" t="s">
        <v>138</v>
      </c>
      <c r="AK1781" s="28" t="s">
        <v>33872</v>
      </c>
      <c r="AL1781" s="28" t="s">
        <v>33873</v>
      </c>
      <c r="AM1781" s="28" t="s">
        <v>12020</v>
      </c>
      <c r="AN1781" s="28" t="s">
        <v>33874</v>
      </c>
      <c r="AO1781" s="28" t="s">
        <v>138</v>
      </c>
      <c r="AP1781" s="28" t="s">
        <v>4440</v>
      </c>
      <c r="AQ1781" s="28" t="s">
        <v>33875</v>
      </c>
      <c r="AR1781" s="28" t="s">
        <v>138</v>
      </c>
      <c r="AS1781" s="28" t="s">
        <v>4442</v>
      </c>
      <c r="AT1781" s="28" t="s">
        <v>138</v>
      </c>
      <c r="AU1781" s="28" t="s">
        <v>33876</v>
      </c>
      <c r="AV1781" s="28" t="s">
        <v>4444</v>
      </c>
      <c r="AW1781" s="28" t="s">
        <v>138</v>
      </c>
      <c r="AX1781" s="28" t="s">
        <v>138</v>
      </c>
      <c r="AY1781" s="28" t="s">
        <v>33877</v>
      </c>
      <c r="AZ1781" s="28" t="s">
        <v>530</v>
      </c>
      <c r="BA1781" s="28" t="s">
        <v>577</v>
      </c>
      <c r="BB1781" s="28" t="s">
        <v>33878</v>
      </c>
      <c r="BC1781" s="28" t="s">
        <v>33879</v>
      </c>
      <c r="BD1781" s="33">
        <v>15</v>
      </c>
      <c r="BE1781" s="28" t="s">
        <v>138</v>
      </c>
      <c r="BF1781" s="28" t="s">
        <v>33880</v>
      </c>
      <c r="BG1781" s="28" t="s">
        <v>138</v>
      </c>
      <c r="BH1781" s="28" t="s">
        <v>33881</v>
      </c>
      <c r="BI1781" s="28" t="s">
        <v>33882</v>
      </c>
      <c r="BJ1781" s="28" t="s">
        <v>138</v>
      </c>
      <c r="BK1781" s="28" t="s">
        <v>138</v>
      </c>
      <c r="BL1781" s="28" t="s">
        <v>138</v>
      </c>
      <c r="BM1781" s="34" t="s">
        <v>138</v>
      </c>
      <c r="BN1781" s="29" t="s">
        <v>138</v>
      </c>
      <c r="BO1781" s="28" t="s">
        <v>138</v>
      </c>
      <c r="BP1781" s="29" t="s">
        <v>138</v>
      </c>
      <c r="BQ1781" s="28" t="s">
        <v>138</v>
      </c>
      <c r="BR1781" s="28" t="s">
        <v>316</v>
      </c>
      <c r="BS1781" s="28" t="s">
        <v>138</v>
      </c>
      <c r="BT1781" s="28" t="s">
        <v>138</v>
      </c>
      <c r="BU1781" s="28" t="s">
        <v>177</v>
      </c>
      <c r="BV1781" s="28" t="s">
        <v>138</v>
      </c>
      <c r="BW1781" s="28" t="s">
        <v>138</v>
      </c>
      <c r="BX1781" s="28" t="s">
        <v>138</v>
      </c>
      <c r="BY1781" s="28" t="s">
        <v>175</v>
      </c>
      <c r="BZ1781" s="34">
        <v>43129</v>
      </c>
      <c r="CA1781" s="29">
        <v>17.5</v>
      </c>
      <c r="CB1781" s="28" t="s">
        <v>172</v>
      </c>
      <c r="CC1781" s="29" t="s">
        <v>138</v>
      </c>
      <c r="CD1781" s="28" t="s">
        <v>138</v>
      </c>
      <c r="CE1781" s="28" t="s">
        <v>173</v>
      </c>
      <c r="CF1781" s="28" t="s">
        <v>720</v>
      </c>
      <c r="CG1781" s="28" t="s">
        <v>138</v>
      </c>
      <c r="CH1781" s="28" t="s">
        <v>174</v>
      </c>
      <c r="CI1781" s="28" t="s">
        <v>138</v>
      </c>
      <c r="CJ1781" s="28" t="s">
        <v>138</v>
      </c>
      <c r="CK1781" s="28" t="s">
        <v>138</v>
      </c>
      <c r="CL1781" s="28" t="s">
        <v>175</v>
      </c>
      <c r="CM1781" s="34" t="s">
        <v>138</v>
      </c>
      <c r="CN1781" s="29" t="s">
        <v>138</v>
      </c>
      <c r="CO1781" s="35">
        <v>-0.28000000000000003</v>
      </c>
      <c r="CP1781" s="36">
        <v>19</v>
      </c>
      <c r="CQ1781" s="35">
        <v>-0.01</v>
      </c>
      <c r="CR1781" s="35">
        <v>-4.2300000000000004</v>
      </c>
      <c r="CS1781" s="35">
        <v>-0.73</v>
      </c>
      <c r="CT1781" s="36">
        <v>17</v>
      </c>
      <c r="CU1781" s="35">
        <v>0.16</v>
      </c>
      <c r="CV1781" s="36">
        <v>76</v>
      </c>
      <c r="CW1781" s="35">
        <v>0</v>
      </c>
      <c r="CX1781" s="36">
        <v>13</v>
      </c>
      <c r="CY1781" s="35">
        <v>-1.47</v>
      </c>
      <c r="CZ1781" s="36">
        <v>15</v>
      </c>
      <c r="DA1781" s="35">
        <v>0.22</v>
      </c>
      <c r="DB1781" s="36">
        <v>84</v>
      </c>
      <c r="DC1781" s="37">
        <v>6.35</v>
      </c>
      <c r="DD1781" s="36">
        <v>86</v>
      </c>
      <c r="DE1781" s="37">
        <v>-0.05</v>
      </c>
      <c r="DF1781" s="35">
        <v>-0.82</v>
      </c>
      <c r="DG1781" s="37">
        <v>10.86</v>
      </c>
      <c r="DH1781" s="36">
        <v>90</v>
      </c>
      <c r="DI1781" s="37">
        <v>1.84</v>
      </c>
      <c r="DJ1781" s="36">
        <v>61</v>
      </c>
      <c r="DK1781" s="37">
        <v>1.02</v>
      </c>
      <c r="DL1781" s="36">
        <v>51</v>
      </c>
      <c r="DM1781" s="37">
        <v>20.69</v>
      </c>
      <c r="DN1781" s="36">
        <v>94</v>
      </c>
      <c r="DO1781" s="37">
        <v>3.44</v>
      </c>
      <c r="DP1781" s="36">
        <v>73</v>
      </c>
      <c r="DQ1781" s="36">
        <v>363</v>
      </c>
      <c r="DR1781" s="38">
        <v>-36</v>
      </c>
      <c r="DS1781" s="35">
        <v>-9.02</v>
      </c>
      <c r="DT1781" s="36">
        <v>601</v>
      </c>
      <c r="DU1781" s="38">
        <v>-3</v>
      </c>
      <c r="DV1781" s="35">
        <v>-0.5</v>
      </c>
      <c r="DW1781" s="36">
        <v>1230</v>
      </c>
      <c r="DX1781" s="39">
        <v>1</v>
      </c>
      <c r="DY1781" s="35">
        <v>0.08</v>
      </c>
      <c r="DZ1781" s="28" t="s">
        <v>178</v>
      </c>
      <c r="EA1781" s="34">
        <v>43529</v>
      </c>
      <c r="EB1781" s="29" t="s">
        <v>138</v>
      </c>
      <c r="EC1781" s="34" t="s">
        <v>138</v>
      </c>
      <c r="ED1781" s="28" t="s">
        <v>138</v>
      </c>
      <c r="EE1781" s="40" t="str">
        <f>HYPERLINK("https://my.pitchbook.com?c=58243-15", "View company online")</f>
        <v>View company online</v>
      </c>
    </row>
    <row r="1782" spans="1:135">
      <c r="A1782" s="15" t="s">
        <v>33883</v>
      </c>
      <c r="B1782" s="15" t="s">
        <v>33884</v>
      </c>
      <c r="C1782" s="15" t="s">
        <v>33885</v>
      </c>
      <c r="D1782" s="15" t="s">
        <v>138</v>
      </c>
      <c r="E1782" s="15" t="s">
        <v>33886</v>
      </c>
      <c r="F1782" s="15" t="s">
        <v>33883</v>
      </c>
      <c r="G1782" s="15" t="s">
        <v>33887</v>
      </c>
      <c r="H1782" s="15" t="s">
        <v>890</v>
      </c>
      <c r="I1782" s="15" t="s">
        <v>891</v>
      </c>
      <c r="J1782" s="15" t="s">
        <v>8932</v>
      </c>
      <c r="K1782" s="15" t="s">
        <v>33888</v>
      </c>
      <c r="L1782" s="15" t="s">
        <v>4025</v>
      </c>
      <c r="M1782" s="15" t="s">
        <v>33889</v>
      </c>
      <c r="N1782" s="15" t="s">
        <v>147</v>
      </c>
      <c r="O1782" s="17">
        <v>306</v>
      </c>
      <c r="P1782" s="15" t="s">
        <v>148</v>
      </c>
      <c r="Q1782" s="15" t="s">
        <v>149</v>
      </c>
      <c r="R1782" s="15" t="s">
        <v>244</v>
      </c>
      <c r="S1782" s="15" t="s">
        <v>33890</v>
      </c>
      <c r="T1782" s="18">
        <v>90</v>
      </c>
      <c r="U1782" s="15" t="s">
        <v>33891</v>
      </c>
      <c r="V1782" s="15" t="s">
        <v>138</v>
      </c>
      <c r="W1782" s="15" t="s">
        <v>138</v>
      </c>
      <c r="X1782" s="19">
        <v>2011</v>
      </c>
      <c r="Y1782" s="15" t="s">
        <v>138</v>
      </c>
      <c r="Z1782" s="15" t="s">
        <v>138</v>
      </c>
      <c r="AA1782" s="15" t="s">
        <v>138</v>
      </c>
      <c r="AB1782" s="20" t="s">
        <v>138</v>
      </c>
      <c r="AC1782" s="20" t="s">
        <v>138</v>
      </c>
      <c r="AD1782" s="20" t="s">
        <v>138</v>
      </c>
      <c r="AE1782" s="20" t="s">
        <v>138</v>
      </c>
      <c r="AF1782" s="20" t="s">
        <v>138</v>
      </c>
      <c r="AG1782" s="15" t="s">
        <v>138</v>
      </c>
      <c r="AH1782" s="20" t="s">
        <v>138</v>
      </c>
      <c r="AI1782" s="20" t="s">
        <v>138</v>
      </c>
      <c r="AJ1782" s="20" t="s">
        <v>138</v>
      </c>
      <c r="AK1782" s="15" t="s">
        <v>33892</v>
      </c>
      <c r="AL1782" s="15" t="s">
        <v>33893</v>
      </c>
      <c r="AM1782" s="15" t="s">
        <v>938</v>
      </c>
      <c r="AN1782" s="15" t="s">
        <v>33894</v>
      </c>
      <c r="AO1782" s="15" t="s">
        <v>33895</v>
      </c>
      <c r="AP1782" s="15" t="s">
        <v>423</v>
      </c>
      <c r="AQ1782" s="15" t="s">
        <v>33896</v>
      </c>
      <c r="AR1782" s="15" t="s">
        <v>138</v>
      </c>
      <c r="AS1782" s="15" t="s">
        <v>426</v>
      </c>
      <c r="AT1782" s="15" t="s">
        <v>426</v>
      </c>
      <c r="AU1782" s="15" t="s">
        <v>33897</v>
      </c>
      <c r="AV1782" s="15" t="s">
        <v>162</v>
      </c>
      <c r="AW1782" s="15" t="s">
        <v>33898</v>
      </c>
      <c r="AX1782" s="15" t="s">
        <v>138</v>
      </c>
      <c r="AY1782" s="15" t="s">
        <v>33899</v>
      </c>
      <c r="AZ1782" s="15" t="s">
        <v>164</v>
      </c>
      <c r="BA1782" s="15" t="s">
        <v>165</v>
      </c>
      <c r="BB1782" s="15" t="s">
        <v>33900</v>
      </c>
      <c r="BC1782" s="15" t="s">
        <v>33901</v>
      </c>
      <c r="BD1782" s="21">
        <v>12</v>
      </c>
      <c r="BE1782" s="15" t="s">
        <v>138</v>
      </c>
      <c r="BF1782" s="15" t="s">
        <v>138</v>
      </c>
      <c r="BG1782" s="15" t="s">
        <v>138</v>
      </c>
      <c r="BH1782" s="15" t="s">
        <v>33902</v>
      </c>
      <c r="BI1782" s="15" t="s">
        <v>138</v>
      </c>
      <c r="BJ1782" s="15" t="s">
        <v>138</v>
      </c>
      <c r="BK1782" s="15" t="s">
        <v>16562</v>
      </c>
      <c r="BL1782" s="15" t="s">
        <v>33903</v>
      </c>
      <c r="BM1782" s="22" t="s">
        <v>138</v>
      </c>
      <c r="BN1782" s="17" t="s">
        <v>138</v>
      </c>
      <c r="BO1782" s="15" t="s">
        <v>138</v>
      </c>
      <c r="BP1782" s="17" t="s">
        <v>138</v>
      </c>
      <c r="BQ1782" s="15" t="s">
        <v>138</v>
      </c>
      <c r="BR1782" s="15" t="s">
        <v>316</v>
      </c>
      <c r="BS1782" s="15" t="s">
        <v>138</v>
      </c>
      <c r="BT1782" s="15" t="s">
        <v>138</v>
      </c>
      <c r="BU1782" s="15" t="s">
        <v>177</v>
      </c>
      <c r="BV1782" s="15" t="s">
        <v>138</v>
      </c>
      <c r="BW1782" s="15" t="s">
        <v>138</v>
      </c>
      <c r="BX1782" s="15" t="s">
        <v>138</v>
      </c>
      <c r="BY1782" s="15" t="s">
        <v>175</v>
      </c>
      <c r="BZ1782" s="22">
        <v>43282</v>
      </c>
      <c r="CA1782" s="17" t="s">
        <v>138</v>
      </c>
      <c r="CB1782" s="15" t="s">
        <v>138</v>
      </c>
      <c r="CC1782" s="17" t="s">
        <v>138</v>
      </c>
      <c r="CD1782" s="15" t="s">
        <v>138</v>
      </c>
      <c r="CE1782" s="15" t="s">
        <v>173</v>
      </c>
      <c r="CF1782" s="15" t="s">
        <v>2359</v>
      </c>
      <c r="CG1782" s="15" t="s">
        <v>138</v>
      </c>
      <c r="CH1782" s="15" t="s">
        <v>174</v>
      </c>
      <c r="CI1782" s="15" t="s">
        <v>138</v>
      </c>
      <c r="CJ1782" s="15" t="s">
        <v>138</v>
      </c>
      <c r="CK1782" s="15" t="s">
        <v>138</v>
      </c>
      <c r="CL1782" s="15" t="s">
        <v>175</v>
      </c>
      <c r="CM1782" s="22">
        <v>43136</v>
      </c>
      <c r="CN1782" s="17">
        <v>150</v>
      </c>
      <c r="CO1782" s="23">
        <v>-0.04</v>
      </c>
      <c r="CP1782" s="24">
        <v>23</v>
      </c>
      <c r="CQ1782" s="23">
        <v>-0.14000000000000001</v>
      </c>
      <c r="CR1782" s="23">
        <v>-138.81</v>
      </c>
      <c r="CS1782" s="23">
        <v>-7.0000000000000007E-2</v>
      </c>
      <c r="CT1782" s="24">
        <v>22</v>
      </c>
      <c r="CU1782" s="23">
        <v>0</v>
      </c>
      <c r="CV1782" s="24">
        <v>22</v>
      </c>
      <c r="CW1782" s="23">
        <v>0.48</v>
      </c>
      <c r="CX1782" s="24">
        <v>82</v>
      </c>
      <c r="CY1782" s="23">
        <v>-0.62</v>
      </c>
      <c r="CZ1782" s="24">
        <v>21</v>
      </c>
      <c r="DA1782" s="23">
        <v>0.03</v>
      </c>
      <c r="DB1782" s="24">
        <v>60</v>
      </c>
      <c r="DC1782" s="25">
        <v>8.85</v>
      </c>
      <c r="DD1782" s="24">
        <v>89</v>
      </c>
      <c r="DE1782" s="25">
        <v>-0.59</v>
      </c>
      <c r="DF1782" s="23">
        <v>-6.22</v>
      </c>
      <c r="DG1782" s="25">
        <v>14.99</v>
      </c>
      <c r="DH1782" s="24">
        <v>93</v>
      </c>
      <c r="DI1782" s="25">
        <v>2.7</v>
      </c>
      <c r="DJ1782" s="24">
        <v>68</v>
      </c>
      <c r="DK1782" s="25">
        <v>17.809999999999999</v>
      </c>
      <c r="DL1782" s="24">
        <v>91</v>
      </c>
      <c r="DM1782" s="25">
        <v>12.17</v>
      </c>
      <c r="DN1782" s="24">
        <v>90</v>
      </c>
      <c r="DO1782" s="25">
        <v>2.41</v>
      </c>
      <c r="DP1782" s="24">
        <v>67</v>
      </c>
      <c r="DQ1782" s="24">
        <v>5974</v>
      </c>
      <c r="DR1782" s="26">
        <v>409</v>
      </c>
      <c r="DS1782" s="23">
        <v>7.35</v>
      </c>
      <c r="DT1782" s="24">
        <v>353</v>
      </c>
      <c r="DU1782" s="26">
        <v>-2</v>
      </c>
      <c r="DV1782" s="23">
        <v>-0.56000000000000005</v>
      </c>
      <c r="DW1782" s="24">
        <v>865</v>
      </c>
      <c r="DX1782" s="27">
        <v>0</v>
      </c>
      <c r="DY1782" s="23">
        <v>0</v>
      </c>
      <c r="DZ1782" s="15" t="s">
        <v>178</v>
      </c>
      <c r="EA1782" s="22">
        <v>43508</v>
      </c>
      <c r="EB1782" s="17" t="s">
        <v>138</v>
      </c>
      <c r="EC1782" s="22" t="s">
        <v>138</v>
      </c>
      <c r="ED1782" s="15" t="s">
        <v>138</v>
      </c>
      <c r="EE1782" s="14" t="str">
        <f>HYPERLINK("https://my.pitchbook.com?c=55468-18", "View company online")</f>
        <v>View company online</v>
      </c>
    </row>
    <row r="1783" spans="1:135">
      <c r="A1783" s="28" t="s">
        <v>33904</v>
      </c>
      <c r="B1783" s="28" t="s">
        <v>33905</v>
      </c>
      <c r="C1783" s="28" t="s">
        <v>138</v>
      </c>
      <c r="D1783" s="28" t="s">
        <v>138</v>
      </c>
      <c r="E1783" s="28" t="s">
        <v>33906</v>
      </c>
      <c r="F1783" s="28" t="s">
        <v>33904</v>
      </c>
      <c r="G1783" s="28" t="s">
        <v>33907</v>
      </c>
      <c r="H1783" s="28" t="s">
        <v>141</v>
      </c>
      <c r="I1783" s="28" t="s">
        <v>212</v>
      </c>
      <c r="J1783" s="28" t="s">
        <v>213</v>
      </c>
      <c r="K1783" s="28" t="s">
        <v>14238</v>
      </c>
      <c r="L1783" s="28" t="s">
        <v>18810</v>
      </c>
      <c r="M1783" s="28" t="s">
        <v>33908</v>
      </c>
      <c r="N1783" s="28" t="s">
        <v>147</v>
      </c>
      <c r="O1783" s="29">
        <v>27.3</v>
      </c>
      <c r="P1783" s="28" t="s">
        <v>148</v>
      </c>
      <c r="Q1783" s="28" t="s">
        <v>149</v>
      </c>
      <c r="R1783" s="28" t="s">
        <v>174</v>
      </c>
      <c r="S1783" s="28" t="s">
        <v>33909</v>
      </c>
      <c r="T1783" s="30">
        <v>65</v>
      </c>
      <c r="U1783" s="28" t="s">
        <v>33910</v>
      </c>
      <c r="V1783" s="28" t="s">
        <v>138</v>
      </c>
      <c r="W1783" s="28" t="s">
        <v>138</v>
      </c>
      <c r="X1783" s="31">
        <v>2014</v>
      </c>
      <c r="Y1783" s="28" t="s">
        <v>138</v>
      </c>
      <c r="Z1783" s="28" t="s">
        <v>138</v>
      </c>
      <c r="AA1783" s="28" t="s">
        <v>138</v>
      </c>
      <c r="AB1783" s="32">
        <v>10</v>
      </c>
      <c r="AC1783" s="32" t="s">
        <v>138</v>
      </c>
      <c r="AD1783" s="32" t="s">
        <v>138</v>
      </c>
      <c r="AE1783" s="32" t="s">
        <v>138</v>
      </c>
      <c r="AF1783" s="32" t="s">
        <v>138</v>
      </c>
      <c r="AG1783" s="28" t="s">
        <v>419</v>
      </c>
      <c r="AH1783" s="32" t="s">
        <v>138</v>
      </c>
      <c r="AI1783" s="32" t="s">
        <v>138</v>
      </c>
      <c r="AJ1783" s="32" t="s">
        <v>138</v>
      </c>
      <c r="AK1783" s="28" t="s">
        <v>33911</v>
      </c>
      <c r="AL1783" s="28" t="s">
        <v>33912</v>
      </c>
      <c r="AM1783" s="28" t="s">
        <v>304</v>
      </c>
      <c r="AN1783" s="28" t="s">
        <v>138</v>
      </c>
      <c r="AO1783" s="28" t="s">
        <v>138</v>
      </c>
      <c r="AP1783" s="28" t="s">
        <v>423</v>
      </c>
      <c r="AQ1783" s="28" t="s">
        <v>138</v>
      </c>
      <c r="AR1783" s="28" t="s">
        <v>138</v>
      </c>
      <c r="AS1783" s="28" t="s">
        <v>426</v>
      </c>
      <c r="AT1783" s="28" t="s">
        <v>426</v>
      </c>
      <c r="AU1783" s="28" t="s">
        <v>138</v>
      </c>
      <c r="AV1783" s="28" t="s">
        <v>162</v>
      </c>
      <c r="AW1783" s="28" t="s">
        <v>138</v>
      </c>
      <c r="AX1783" s="28" t="s">
        <v>138</v>
      </c>
      <c r="AY1783" s="28" t="s">
        <v>33913</v>
      </c>
      <c r="AZ1783" s="28" t="s">
        <v>164</v>
      </c>
      <c r="BA1783" s="28" t="s">
        <v>165</v>
      </c>
      <c r="BB1783" s="28" t="s">
        <v>33914</v>
      </c>
      <c r="BC1783" s="28" t="s">
        <v>33915</v>
      </c>
      <c r="BD1783" s="33">
        <v>16</v>
      </c>
      <c r="BE1783" s="28" t="s">
        <v>138</v>
      </c>
      <c r="BF1783" s="28" t="s">
        <v>138</v>
      </c>
      <c r="BG1783" s="28" t="s">
        <v>138</v>
      </c>
      <c r="BH1783" s="28" t="s">
        <v>33916</v>
      </c>
      <c r="BI1783" s="28" t="s">
        <v>138</v>
      </c>
      <c r="BJ1783" s="28" t="s">
        <v>138</v>
      </c>
      <c r="BK1783" s="28" t="s">
        <v>33917</v>
      </c>
      <c r="BL1783" s="28" t="s">
        <v>138</v>
      </c>
      <c r="BM1783" s="34">
        <v>41913</v>
      </c>
      <c r="BN1783" s="29">
        <v>1.3</v>
      </c>
      <c r="BO1783" s="28" t="s">
        <v>172</v>
      </c>
      <c r="BP1783" s="29">
        <v>6.5</v>
      </c>
      <c r="BQ1783" s="28" t="s">
        <v>172</v>
      </c>
      <c r="BR1783" s="28" t="s">
        <v>205</v>
      </c>
      <c r="BS1783" s="28" t="s">
        <v>623</v>
      </c>
      <c r="BT1783" s="28" t="s">
        <v>138</v>
      </c>
      <c r="BU1783" s="28" t="s">
        <v>174</v>
      </c>
      <c r="BV1783" s="28" t="s">
        <v>138</v>
      </c>
      <c r="BW1783" s="28" t="s">
        <v>138</v>
      </c>
      <c r="BX1783" s="28" t="s">
        <v>138</v>
      </c>
      <c r="BY1783" s="28" t="s">
        <v>175</v>
      </c>
      <c r="BZ1783" s="34">
        <v>43487</v>
      </c>
      <c r="CA1783" s="29">
        <v>15</v>
      </c>
      <c r="CB1783" s="28" t="s">
        <v>172</v>
      </c>
      <c r="CC1783" s="29">
        <v>100</v>
      </c>
      <c r="CD1783" s="28" t="s">
        <v>172</v>
      </c>
      <c r="CE1783" s="28" t="s">
        <v>205</v>
      </c>
      <c r="CF1783" s="28" t="s">
        <v>720</v>
      </c>
      <c r="CG1783" s="28" t="s">
        <v>138</v>
      </c>
      <c r="CH1783" s="28" t="s">
        <v>174</v>
      </c>
      <c r="CI1783" s="28" t="s">
        <v>138</v>
      </c>
      <c r="CJ1783" s="28" t="s">
        <v>138</v>
      </c>
      <c r="CK1783" s="28" t="s">
        <v>138</v>
      </c>
      <c r="CL1783" s="28" t="s">
        <v>175</v>
      </c>
      <c r="CM1783" s="34" t="s">
        <v>138</v>
      </c>
      <c r="CN1783" s="29" t="s">
        <v>138</v>
      </c>
      <c r="CO1783" s="35">
        <v>1.56</v>
      </c>
      <c r="CP1783" s="36">
        <v>98</v>
      </c>
      <c r="CQ1783" s="35">
        <v>-0.02</v>
      </c>
      <c r="CR1783" s="35">
        <v>-1.19</v>
      </c>
      <c r="CS1783" s="35">
        <v>3.38</v>
      </c>
      <c r="CT1783" s="36">
        <v>99</v>
      </c>
      <c r="CU1783" s="35">
        <v>0.91</v>
      </c>
      <c r="CV1783" s="36">
        <v>98</v>
      </c>
      <c r="CW1783" s="35">
        <v>6.02</v>
      </c>
      <c r="CX1783" s="36">
        <v>97</v>
      </c>
      <c r="CY1783" s="35">
        <v>0.74</v>
      </c>
      <c r="CZ1783" s="36">
        <v>99</v>
      </c>
      <c r="DA1783" s="35">
        <v>1.23</v>
      </c>
      <c r="DB1783" s="36">
        <v>99</v>
      </c>
      <c r="DC1783" s="37">
        <v>14.92</v>
      </c>
      <c r="DD1783" s="36">
        <v>93</v>
      </c>
      <c r="DE1783" s="37">
        <v>-0.33</v>
      </c>
      <c r="DF1783" s="35">
        <v>-2.19</v>
      </c>
      <c r="DG1783" s="37">
        <v>42.84</v>
      </c>
      <c r="DH1783" s="36">
        <v>98</v>
      </c>
      <c r="DI1783" s="37">
        <v>1.81</v>
      </c>
      <c r="DJ1783" s="36">
        <v>60</v>
      </c>
      <c r="DK1783" s="37">
        <v>18.3</v>
      </c>
      <c r="DL1783" s="36">
        <v>91</v>
      </c>
      <c r="DM1783" s="37">
        <v>67.38</v>
      </c>
      <c r="DN1783" s="36">
        <v>99</v>
      </c>
      <c r="DO1783" s="37">
        <v>3.46</v>
      </c>
      <c r="DP1783" s="36">
        <v>73</v>
      </c>
      <c r="DQ1783" s="36">
        <v>6443</v>
      </c>
      <c r="DR1783" s="38">
        <v>-501</v>
      </c>
      <c r="DS1783" s="35">
        <v>-7.21</v>
      </c>
      <c r="DT1783" s="36">
        <v>1950</v>
      </c>
      <c r="DU1783" s="38">
        <v>8</v>
      </c>
      <c r="DV1783" s="35">
        <v>0.41</v>
      </c>
      <c r="DW1783" s="36">
        <v>1236</v>
      </c>
      <c r="DX1783" s="39">
        <v>6</v>
      </c>
      <c r="DY1783" s="35">
        <v>0.49</v>
      </c>
      <c r="DZ1783" s="28" t="s">
        <v>178</v>
      </c>
      <c r="EA1783" s="34">
        <v>43501</v>
      </c>
      <c r="EB1783" s="29">
        <v>100</v>
      </c>
      <c r="EC1783" s="34">
        <v>43487</v>
      </c>
      <c r="ED1783" s="28" t="s">
        <v>205</v>
      </c>
      <c r="EE1783" s="40" t="str">
        <f>HYPERLINK("https://my.pitchbook.com?c=100918-81", "View company online")</f>
        <v>View company online</v>
      </c>
    </row>
    <row r="1784" spans="1:135">
      <c r="A1784" s="15" t="s">
        <v>33918</v>
      </c>
      <c r="B1784" s="15" t="s">
        <v>33919</v>
      </c>
      <c r="C1784" s="15" t="s">
        <v>138</v>
      </c>
      <c r="D1784" s="15" t="s">
        <v>138</v>
      </c>
      <c r="E1784" s="15" t="s">
        <v>138</v>
      </c>
      <c r="F1784" s="15" t="s">
        <v>33918</v>
      </c>
      <c r="G1784" s="15" t="s">
        <v>33920</v>
      </c>
      <c r="H1784" s="15" t="s">
        <v>238</v>
      </c>
      <c r="I1784" s="15" t="s">
        <v>1351</v>
      </c>
      <c r="J1784" s="15" t="s">
        <v>5633</v>
      </c>
      <c r="K1784" s="15" t="s">
        <v>14423</v>
      </c>
      <c r="L1784" s="15" t="s">
        <v>1972</v>
      </c>
      <c r="M1784" s="15" t="s">
        <v>33921</v>
      </c>
      <c r="N1784" s="15" t="s">
        <v>542</v>
      </c>
      <c r="O1784" s="17" t="s">
        <v>138</v>
      </c>
      <c r="P1784" s="15" t="s">
        <v>148</v>
      </c>
      <c r="Q1784" s="15" t="s">
        <v>149</v>
      </c>
      <c r="R1784" s="15" t="s">
        <v>174</v>
      </c>
      <c r="S1784" s="15" t="s">
        <v>33922</v>
      </c>
      <c r="T1784" s="18" t="s">
        <v>138</v>
      </c>
      <c r="U1784" s="15" t="s">
        <v>138</v>
      </c>
      <c r="V1784" s="15" t="s">
        <v>138</v>
      </c>
      <c r="W1784" s="15" t="s">
        <v>138</v>
      </c>
      <c r="X1784" s="19" t="s">
        <v>138</v>
      </c>
      <c r="Y1784" s="15" t="s">
        <v>138</v>
      </c>
      <c r="Z1784" s="15" t="s">
        <v>138</v>
      </c>
      <c r="AA1784" s="15" t="s">
        <v>138</v>
      </c>
      <c r="AB1784" s="20" t="s">
        <v>138</v>
      </c>
      <c r="AC1784" s="20" t="s">
        <v>138</v>
      </c>
      <c r="AD1784" s="20" t="s">
        <v>138</v>
      </c>
      <c r="AE1784" s="20" t="s">
        <v>138</v>
      </c>
      <c r="AF1784" s="20" t="s">
        <v>138</v>
      </c>
      <c r="AG1784" s="15" t="s">
        <v>138</v>
      </c>
      <c r="AH1784" s="20" t="s">
        <v>138</v>
      </c>
      <c r="AI1784" s="20" t="s">
        <v>138</v>
      </c>
      <c r="AJ1784" s="20" t="s">
        <v>138</v>
      </c>
      <c r="AK1784" s="15" t="s">
        <v>138</v>
      </c>
      <c r="AL1784" s="15" t="s">
        <v>138</v>
      </c>
      <c r="AM1784" s="15" t="s">
        <v>138</v>
      </c>
      <c r="AN1784" s="15" t="s">
        <v>138</v>
      </c>
      <c r="AO1784" s="15" t="s">
        <v>138</v>
      </c>
      <c r="AP1784" s="15" t="s">
        <v>423</v>
      </c>
      <c r="AQ1784" s="15" t="s">
        <v>33923</v>
      </c>
      <c r="AR1784" s="15" t="s">
        <v>5012</v>
      </c>
      <c r="AS1784" s="15" t="s">
        <v>426</v>
      </c>
      <c r="AT1784" s="15" t="s">
        <v>426</v>
      </c>
      <c r="AU1784" s="15" t="s">
        <v>549</v>
      </c>
      <c r="AV1784" s="15" t="s">
        <v>162</v>
      </c>
      <c r="AW1784" s="15" t="s">
        <v>33924</v>
      </c>
      <c r="AX1784" s="15" t="s">
        <v>138</v>
      </c>
      <c r="AY1784" s="15" t="s">
        <v>33925</v>
      </c>
      <c r="AZ1784" s="15" t="s">
        <v>164</v>
      </c>
      <c r="BA1784" s="15" t="s">
        <v>165</v>
      </c>
      <c r="BB1784" s="15" t="s">
        <v>33926</v>
      </c>
      <c r="BC1784" s="15" t="s">
        <v>2783</v>
      </c>
      <c r="BD1784" s="21">
        <v>1</v>
      </c>
      <c r="BE1784" s="15" t="s">
        <v>138</v>
      </c>
      <c r="BF1784" s="15" t="s">
        <v>138</v>
      </c>
      <c r="BG1784" s="15" t="s">
        <v>138</v>
      </c>
      <c r="BH1784" s="15" t="s">
        <v>2784</v>
      </c>
      <c r="BI1784" s="15" t="s">
        <v>138</v>
      </c>
      <c r="BJ1784" s="15" t="s">
        <v>138</v>
      </c>
      <c r="BK1784" s="15" t="s">
        <v>138</v>
      </c>
      <c r="BL1784" s="15" t="s">
        <v>138</v>
      </c>
      <c r="BM1784" s="22">
        <v>42370</v>
      </c>
      <c r="BN1784" s="17" t="s">
        <v>138</v>
      </c>
      <c r="BO1784" s="15" t="s">
        <v>138</v>
      </c>
      <c r="BP1784" s="17" t="s">
        <v>138</v>
      </c>
      <c r="BQ1784" s="15" t="s">
        <v>138</v>
      </c>
      <c r="BR1784" s="15" t="s">
        <v>316</v>
      </c>
      <c r="BS1784" s="15" t="s">
        <v>138</v>
      </c>
      <c r="BT1784" s="15" t="s">
        <v>138</v>
      </c>
      <c r="BU1784" s="15" t="s">
        <v>177</v>
      </c>
      <c r="BV1784" s="15" t="s">
        <v>138</v>
      </c>
      <c r="BW1784" s="15" t="s">
        <v>138</v>
      </c>
      <c r="BX1784" s="15" t="s">
        <v>138</v>
      </c>
      <c r="BY1784" s="15" t="s">
        <v>175</v>
      </c>
      <c r="BZ1784" s="22">
        <v>42370</v>
      </c>
      <c r="CA1784" s="17" t="s">
        <v>138</v>
      </c>
      <c r="CB1784" s="15" t="s">
        <v>138</v>
      </c>
      <c r="CC1784" s="17" t="s">
        <v>138</v>
      </c>
      <c r="CD1784" s="15" t="s">
        <v>138</v>
      </c>
      <c r="CE1784" s="15" t="s">
        <v>316</v>
      </c>
      <c r="CF1784" s="15" t="s">
        <v>138</v>
      </c>
      <c r="CG1784" s="15" t="s">
        <v>138</v>
      </c>
      <c r="CH1784" s="15" t="s">
        <v>177</v>
      </c>
      <c r="CI1784" s="15" t="s">
        <v>138</v>
      </c>
      <c r="CJ1784" s="15" t="s">
        <v>138</v>
      </c>
      <c r="CK1784" s="15" t="s">
        <v>138</v>
      </c>
      <c r="CL1784" s="15" t="s">
        <v>175</v>
      </c>
      <c r="CM1784" s="22" t="s">
        <v>138</v>
      </c>
      <c r="CN1784" s="17" t="s">
        <v>138</v>
      </c>
      <c r="CO1784" s="23">
        <v>0</v>
      </c>
      <c r="CP1784" s="24">
        <v>26</v>
      </c>
      <c r="CQ1784" s="23">
        <v>0</v>
      </c>
      <c r="CR1784" s="23">
        <v>0</v>
      </c>
      <c r="CS1784" s="23">
        <v>0</v>
      </c>
      <c r="CT1784" s="24">
        <v>23</v>
      </c>
      <c r="CU1784" s="23">
        <v>0</v>
      </c>
      <c r="CV1784" s="24">
        <v>22</v>
      </c>
      <c r="CW1784" s="23">
        <v>0</v>
      </c>
      <c r="CX1784" s="24">
        <v>13</v>
      </c>
      <c r="CY1784" s="23">
        <v>0</v>
      </c>
      <c r="CZ1784" s="24">
        <v>25</v>
      </c>
      <c r="DA1784" s="23">
        <v>0</v>
      </c>
      <c r="DB1784" s="24">
        <v>22</v>
      </c>
      <c r="DC1784" s="25">
        <v>0.23</v>
      </c>
      <c r="DD1784" s="24">
        <v>18</v>
      </c>
      <c r="DE1784" s="25">
        <v>-0.02</v>
      </c>
      <c r="DF1784" s="23">
        <v>-9.1300000000000008</v>
      </c>
      <c r="DG1784" s="25">
        <v>0.39</v>
      </c>
      <c r="DH1784" s="24">
        <v>29</v>
      </c>
      <c r="DI1784" s="25">
        <v>0.08</v>
      </c>
      <c r="DJ1784" s="24">
        <v>12</v>
      </c>
      <c r="DK1784" s="25">
        <v>0.74</v>
      </c>
      <c r="DL1784" s="24">
        <v>44</v>
      </c>
      <c r="DM1784" s="25">
        <v>0.03</v>
      </c>
      <c r="DN1784" s="24">
        <v>1</v>
      </c>
      <c r="DO1784" s="25">
        <v>0.08</v>
      </c>
      <c r="DP1784" s="24">
        <v>14</v>
      </c>
      <c r="DQ1784" s="24">
        <v>252</v>
      </c>
      <c r="DR1784" s="26">
        <v>9</v>
      </c>
      <c r="DS1784" s="23">
        <v>3.7</v>
      </c>
      <c r="DT1784" s="24">
        <v>1</v>
      </c>
      <c r="DU1784" s="26">
        <v>0</v>
      </c>
      <c r="DV1784" s="23">
        <v>0</v>
      </c>
      <c r="DW1784" s="24">
        <v>29</v>
      </c>
      <c r="DX1784" s="27">
        <v>0</v>
      </c>
      <c r="DY1784" s="23">
        <v>0</v>
      </c>
      <c r="DZ1784" s="15" t="s">
        <v>178</v>
      </c>
      <c r="EA1784" s="22">
        <v>43355</v>
      </c>
      <c r="EB1784" s="17" t="s">
        <v>138</v>
      </c>
      <c r="EC1784" s="22" t="s">
        <v>138</v>
      </c>
      <c r="ED1784" s="15" t="s">
        <v>138</v>
      </c>
      <c r="EE1784" s="14" t="str">
        <f>HYPERLINK("https://my.pitchbook.com?c=226732-78", "View company online")</f>
        <v>View company online</v>
      </c>
    </row>
    <row r="1785" spans="1:135">
      <c r="A1785" s="28" t="s">
        <v>33927</v>
      </c>
      <c r="B1785" s="28" t="s">
        <v>33928</v>
      </c>
      <c r="C1785" s="28" t="s">
        <v>138</v>
      </c>
      <c r="D1785" s="28" t="s">
        <v>138</v>
      </c>
      <c r="E1785" s="28" t="s">
        <v>138</v>
      </c>
      <c r="F1785" s="28" t="s">
        <v>33927</v>
      </c>
      <c r="G1785" s="28" t="s">
        <v>33929</v>
      </c>
      <c r="H1785" s="28" t="s">
        <v>238</v>
      </c>
      <c r="I1785" s="28" t="s">
        <v>749</v>
      </c>
      <c r="J1785" s="28" t="s">
        <v>4261</v>
      </c>
      <c r="K1785" s="28" t="s">
        <v>21741</v>
      </c>
      <c r="L1785" s="28" t="s">
        <v>4703</v>
      </c>
      <c r="M1785" s="28" t="s">
        <v>33930</v>
      </c>
      <c r="N1785" s="28" t="s">
        <v>1452</v>
      </c>
      <c r="O1785" s="29" t="s">
        <v>138</v>
      </c>
      <c r="P1785" s="28" t="s">
        <v>812</v>
      </c>
      <c r="Q1785" s="28" t="s">
        <v>149</v>
      </c>
      <c r="R1785" s="28" t="s">
        <v>328</v>
      </c>
      <c r="S1785" s="28" t="s">
        <v>33931</v>
      </c>
      <c r="T1785" s="30" t="s">
        <v>138</v>
      </c>
      <c r="U1785" s="28" t="s">
        <v>138</v>
      </c>
      <c r="V1785" s="28" t="s">
        <v>138</v>
      </c>
      <c r="W1785" s="28" t="s">
        <v>138</v>
      </c>
      <c r="X1785" s="31">
        <v>2012</v>
      </c>
      <c r="Y1785" s="28" t="s">
        <v>138</v>
      </c>
      <c r="Z1785" s="28" t="s">
        <v>138</v>
      </c>
      <c r="AA1785" s="28" t="s">
        <v>138</v>
      </c>
      <c r="AB1785" s="32" t="s">
        <v>138</v>
      </c>
      <c r="AC1785" s="32" t="s">
        <v>138</v>
      </c>
      <c r="AD1785" s="32" t="s">
        <v>138</v>
      </c>
      <c r="AE1785" s="32" t="s">
        <v>138</v>
      </c>
      <c r="AF1785" s="32" t="s">
        <v>138</v>
      </c>
      <c r="AG1785" s="28" t="s">
        <v>138</v>
      </c>
      <c r="AH1785" s="32" t="s">
        <v>138</v>
      </c>
      <c r="AI1785" s="32" t="s">
        <v>138</v>
      </c>
      <c r="AJ1785" s="32" t="s">
        <v>138</v>
      </c>
      <c r="AK1785" s="28" t="s">
        <v>33932</v>
      </c>
      <c r="AL1785" s="28" t="s">
        <v>33933</v>
      </c>
      <c r="AM1785" s="28" t="s">
        <v>33934</v>
      </c>
      <c r="AN1785" s="28" t="s">
        <v>33935</v>
      </c>
      <c r="AO1785" s="28" t="s">
        <v>33936</v>
      </c>
      <c r="AP1785" s="28" t="s">
        <v>33937</v>
      </c>
      <c r="AQ1785" s="28" t="s">
        <v>33938</v>
      </c>
      <c r="AR1785" s="28" t="s">
        <v>33939</v>
      </c>
      <c r="AS1785" s="28" t="s">
        <v>33940</v>
      </c>
      <c r="AT1785" s="28" t="s">
        <v>824</v>
      </c>
      <c r="AU1785" s="28" t="s">
        <v>33941</v>
      </c>
      <c r="AV1785" s="28" t="s">
        <v>526</v>
      </c>
      <c r="AW1785" s="28" t="s">
        <v>33936</v>
      </c>
      <c r="AX1785" s="28" t="s">
        <v>138</v>
      </c>
      <c r="AY1785" s="28" t="s">
        <v>33942</v>
      </c>
      <c r="AZ1785" s="28" t="s">
        <v>530</v>
      </c>
      <c r="BA1785" s="28" t="s">
        <v>531</v>
      </c>
      <c r="BB1785" s="28" t="s">
        <v>33943</v>
      </c>
      <c r="BC1785" s="28" t="s">
        <v>2783</v>
      </c>
      <c r="BD1785" s="33">
        <v>1</v>
      </c>
      <c r="BE1785" s="28" t="s">
        <v>138</v>
      </c>
      <c r="BF1785" s="28" t="s">
        <v>138</v>
      </c>
      <c r="BG1785" s="28" t="s">
        <v>138</v>
      </c>
      <c r="BH1785" s="28" t="s">
        <v>2784</v>
      </c>
      <c r="BI1785" s="28" t="s">
        <v>138</v>
      </c>
      <c r="BJ1785" s="28" t="s">
        <v>138</v>
      </c>
      <c r="BK1785" s="28" t="s">
        <v>138</v>
      </c>
      <c r="BL1785" s="28" t="s">
        <v>138</v>
      </c>
      <c r="BM1785" s="34">
        <v>41438</v>
      </c>
      <c r="BN1785" s="29" t="s">
        <v>138</v>
      </c>
      <c r="BO1785" s="28" t="s">
        <v>138</v>
      </c>
      <c r="BP1785" s="29" t="s">
        <v>138</v>
      </c>
      <c r="BQ1785" s="28" t="s">
        <v>138</v>
      </c>
      <c r="BR1785" s="28" t="s">
        <v>1673</v>
      </c>
      <c r="BS1785" s="28" t="s">
        <v>138</v>
      </c>
      <c r="BT1785" s="28" t="s">
        <v>138</v>
      </c>
      <c r="BU1785" s="28" t="s">
        <v>351</v>
      </c>
      <c r="BV1785" s="28" t="s">
        <v>138</v>
      </c>
      <c r="BW1785" s="28" t="s">
        <v>138</v>
      </c>
      <c r="BX1785" s="28" t="s">
        <v>138</v>
      </c>
      <c r="BY1785" s="28" t="s">
        <v>175</v>
      </c>
      <c r="BZ1785" s="34">
        <v>42429</v>
      </c>
      <c r="CA1785" s="29" t="s">
        <v>138</v>
      </c>
      <c r="CB1785" s="28" t="s">
        <v>138</v>
      </c>
      <c r="CC1785" s="29" t="s">
        <v>138</v>
      </c>
      <c r="CD1785" s="28" t="s">
        <v>138</v>
      </c>
      <c r="CE1785" s="28" t="s">
        <v>349</v>
      </c>
      <c r="CF1785" s="28" t="s">
        <v>138</v>
      </c>
      <c r="CG1785" s="28" t="s">
        <v>138</v>
      </c>
      <c r="CH1785" s="28" t="s">
        <v>174</v>
      </c>
      <c r="CI1785" s="28" t="s">
        <v>138</v>
      </c>
      <c r="CJ1785" s="28" t="s">
        <v>138</v>
      </c>
      <c r="CK1785" s="28" t="s">
        <v>138</v>
      </c>
      <c r="CL1785" s="28" t="s">
        <v>175</v>
      </c>
      <c r="CM1785" s="34" t="s">
        <v>138</v>
      </c>
      <c r="CN1785" s="29" t="s">
        <v>138</v>
      </c>
      <c r="CO1785" s="35">
        <v>-1.64</v>
      </c>
      <c r="CP1785" s="36">
        <v>7</v>
      </c>
      <c r="CQ1785" s="35">
        <v>-0.03</v>
      </c>
      <c r="CR1785" s="35">
        <v>-1.75</v>
      </c>
      <c r="CS1785" s="35">
        <v>-3.32</v>
      </c>
      <c r="CT1785" s="36">
        <v>4</v>
      </c>
      <c r="CU1785" s="35">
        <v>0.04</v>
      </c>
      <c r="CV1785" s="36">
        <v>56</v>
      </c>
      <c r="CW1785" s="35">
        <v>-6.26</v>
      </c>
      <c r="CX1785" s="36">
        <v>2</v>
      </c>
      <c r="CY1785" s="35">
        <v>-0.38</v>
      </c>
      <c r="CZ1785" s="36">
        <v>23</v>
      </c>
      <c r="DA1785" s="35">
        <v>0.04</v>
      </c>
      <c r="DB1785" s="36">
        <v>62</v>
      </c>
      <c r="DC1785" s="37">
        <v>18.440000000000001</v>
      </c>
      <c r="DD1785" s="36">
        <v>94</v>
      </c>
      <c r="DE1785" s="37">
        <v>-7.0000000000000007E-2</v>
      </c>
      <c r="DF1785" s="35">
        <v>-0.38</v>
      </c>
      <c r="DG1785" s="37">
        <v>14.71</v>
      </c>
      <c r="DH1785" s="36">
        <v>93</v>
      </c>
      <c r="DI1785" s="37">
        <v>22.18</v>
      </c>
      <c r="DJ1785" s="36">
        <v>91</v>
      </c>
      <c r="DK1785" s="37">
        <v>2.94</v>
      </c>
      <c r="DL1785" s="36">
        <v>71</v>
      </c>
      <c r="DM1785" s="37">
        <v>26.48</v>
      </c>
      <c r="DN1785" s="36">
        <v>96</v>
      </c>
      <c r="DO1785" s="37">
        <v>22.18</v>
      </c>
      <c r="DP1785" s="36">
        <v>93</v>
      </c>
      <c r="DQ1785" s="36">
        <v>1141</v>
      </c>
      <c r="DR1785" s="38">
        <v>-404</v>
      </c>
      <c r="DS1785" s="35">
        <v>-26.15</v>
      </c>
      <c r="DT1785" s="36">
        <v>769</v>
      </c>
      <c r="DU1785" s="38">
        <v>-7</v>
      </c>
      <c r="DV1785" s="35">
        <v>-0.9</v>
      </c>
      <c r="DW1785" s="36">
        <v>7940</v>
      </c>
      <c r="DX1785" s="39">
        <v>2</v>
      </c>
      <c r="DY1785" s="35">
        <v>0.03</v>
      </c>
      <c r="DZ1785" s="28" t="s">
        <v>178</v>
      </c>
      <c r="EA1785" s="34">
        <v>43448</v>
      </c>
      <c r="EB1785" s="29" t="s">
        <v>138</v>
      </c>
      <c r="EC1785" s="34" t="s">
        <v>138</v>
      </c>
      <c r="ED1785" s="28" t="s">
        <v>138</v>
      </c>
      <c r="EE1785" s="40" t="str">
        <f>HYPERLINK("https://my.pitchbook.com?c=58149-73", "View company online")</f>
        <v>View company online</v>
      </c>
    </row>
    <row r="1786" spans="1:135">
      <c r="A1786" s="15" t="s">
        <v>33944</v>
      </c>
      <c r="B1786" s="15" t="s">
        <v>33945</v>
      </c>
      <c r="C1786" s="15" t="s">
        <v>138</v>
      </c>
      <c r="D1786" s="15" t="s">
        <v>138</v>
      </c>
      <c r="E1786" s="15" t="s">
        <v>33946</v>
      </c>
      <c r="F1786" s="15" t="s">
        <v>33944</v>
      </c>
      <c r="G1786" s="15" t="s">
        <v>33947</v>
      </c>
      <c r="H1786" s="15" t="s">
        <v>322</v>
      </c>
      <c r="I1786" s="15" t="s">
        <v>323</v>
      </c>
      <c r="J1786" s="15" t="s">
        <v>324</v>
      </c>
      <c r="K1786" s="15" t="s">
        <v>6969</v>
      </c>
      <c r="L1786" s="15" t="s">
        <v>2274</v>
      </c>
      <c r="M1786" s="15" t="s">
        <v>33948</v>
      </c>
      <c r="N1786" s="15" t="s">
        <v>147</v>
      </c>
      <c r="O1786" s="17">
        <v>30</v>
      </c>
      <c r="P1786" s="15" t="s">
        <v>148</v>
      </c>
      <c r="Q1786" s="15" t="s">
        <v>149</v>
      </c>
      <c r="R1786" s="15" t="s">
        <v>174</v>
      </c>
      <c r="S1786" s="15" t="s">
        <v>33949</v>
      </c>
      <c r="T1786" s="18">
        <v>100</v>
      </c>
      <c r="U1786" s="15" t="s">
        <v>33950</v>
      </c>
      <c r="V1786" s="15" t="s">
        <v>138</v>
      </c>
      <c r="W1786" s="15" t="s">
        <v>138</v>
      </c>
      <c r="X1786" s="19">
        <v>2011</v>
      </c>
      <c r="Y1786" s="15" t="s">
        <v>138</v>
      </c>
      <c r="Z1786" s="15" t="s">
        <v>138</v>
      </c>
      <c r="AA1786" s="15" t="s">
        <v>1163</v>
      </c>
      <c r="AB1786" s="20" t="s">
        <v>138</v>
      </c>
      <c r="AC1786" s="20" t="s">
        <v>138</v>
      </c>
      <c r="AD1786" s="20" t="s">
        <v>138</v>
      </c>
      <c r="AE1786" s="20" t="s">
        <v>138</v>
      </c>
      <c r="AF1786" s="20" t="s">
        <v>138</v>
      </c>
      <c r="AG1786" s="15" t="s">
        <v>138</v>
      </c>
      <c r="AH1786" s="20" t="s">
        <v>138</v>
      </c>
      <c r="AI1786" s="20" t="s">
        <v>138</v>
      </c>
      <c r="AJ1786" s="20" t="s">
        <v>138</v>
      </c>
      <c r="AK1786" s="15" t="s">
        <v>33951</v>
      </c>
      <c r="AL1786" s="15" t="s">
        <v>33952</v>
      </c>
      <c r="AM1786" s="15" t="s">
        <v>221</v>
      </c>
      <c r="AN1786" s="15" t="s">
        <v>33953</v>
      </c>
      <c r="AO1786" s="15" t="s">
        <v>33954</v>
      </c>
      <c r="AP1786" s="15" t="s">
        <v>3689</v>
      </c>
      <c r="AQ1786" s="15" t="s">
        <v>33955</v>
      </c>
      <c r="AR1786" s="15" t="s">
        <v>138</v>
      </c>
      <c r="AS1786" s="15" t="s">
        <v>3691</v>
      </c>
      <c r="AT1786" s="15" t="s">
        <v>138</v>
      </c>
      <c r="AU1786" s="15" t="s">
        <v>33956</v>
      </c>
      <c r="AV1786" s="15" t="s">
        <v>3693</v>
      </c>
      <c r="AW1786" s="15" t="s">
        <v>33954</v>
      </c>
      <c r="AX1786" s="15" t="s">
        <v>138</v>
      </c>
      <c r="AY1786" s="15" t="s">
        <v>33957</v>
      </c>
      <c r="AZ1786" s="15" t="s">
        <v>530</v>
      </c>
      <c r="BA1786" s="15" t="s">
        <v>531</v>
      </c>
      <c r="BB1786" s="15" t="s">
        <v>33958</v>
      </c>
      <c r="BC1786" s="15" t="s">
        <v>33959</v>
      </c>
      <c r="BD1786" s="21">
        <v>16</v>
      </c>
      <c r="BE1786" s="15" t="s">
        <v>138</v>
      </c>
      <c r="BF1786" s="15" t="s">
        <v>138</v>
      </c>
      <c r="BG1786" s="15" t="s">
        <v>138</v>
      </c>
      <c r="BH1786" s="15" t="s">
        <v>33960</v>
      </c>
      <c r="BI1786" s="15" t="s">
        <v>138</v>
      </c>
      <c r="BJ1786" s="15" t="s">
        <v>138</v>
      </c>
      <c r="BK1786" s="15" t="s">
        <v>33961</v>
      </c>
      <c r="BL1786" s="15" t="s">
        <v>33962</v>
      </c>
      <c r="BM1786" s="22">
        <v>40544</v>
      </c>
      <c r="BN1786" s="17">
        <v>0.01</v>
      </c>
      <c r="BO1786" s="15" t="s">
        <v>172</v>
      </c>
      <c r="BP1786" s="17" t="s">
        <v>138</v>
      </c>
      <c r="BQ1786" s="15" t="s">
        <v>138</v>
      </c>
      <c r="BR1786" s="15" t="s">
        <v>316</v>
      </c>
      <c r="BS1786" s="15" t="s">
        <v>138</v>
      </c>
      <c r="BT1786" s="15" t="s">
        <v>138</v>
      </c>
      <c r="BU1786" s="15" t="s">
        <v>177</v>
      </c>
      <c r="BV1786" s="15" t="s">
        <v>138</v>
      </c>
      <c r="BW1786" s="15" t="s">
        <v>138</v>
      </c>
      <c r="BX1786" s="15" t="s">
        <v>138</v>
      </c>
      <c r="BY1786" s="15" t="s">
        <v>175</v>
      </c>
      <c r="BZ1786" s="22">
        <v>43354</v>
      </c>
      <c r="CA1786" s="17">
        <v>13</v>
      </c>
      <c r="CB1786" s="15" t="s">
        <v>172</v>
      </c>
      <c r="CC1786" s="17" t="s">
        <v>138</v>
      </c>
      <c r="CD1786" s="15" t="s">
        <v>138</v>
      </c>
      <c r="CE1786" s="15" t="s">
        <v>173</v>
      </c>
      <c r="CF1786" s="15" t="s">
        <v>206</v>
      </c>
      <c r="CG1786" s="15" t="s">
        <v>138</v>
      </c>
      <c r="CH1786" s="15" t="s">
        <v>174</v>
      </c>
      <c r="CI1786" s="15" t="s">
        <v>138</v>
      </c>
      <c r="CJ1786" s="15" t="s">
        <v>138</v>
      </c>
      <c r="CK1786" s="15" t="s">
        <v>138</v>
      </c>
      <c r="CL1786" s="15" t="s">
        <v>175</v>
      </c>
      <c r="CM1786" s="22" t="s">
        <v>138</v>
      </c>
      <c r="CN1786" s="17" t="s">
        <v>138</v>
      </c>
      <c r="CO1786" s="23">
        <v>0.63</v>
      </c>
      <c r="CP1786" s="24">
        <v>96</v>
      </c>
      <c r="CQ1786" s="23">
        <v>-0.12</v>
      </c>
      <c r="CR1786" s="23">
        <v>-15.94</v>
      </c>
      <c r="CS1786" s="23">
        <v>1.1100000000000001</v>
      </c>
      <c r="CT1786" s="24">
        <v>97</v>
      </c>
      <c r="CU1786" s="23">
        <v>0.14000000000000001</v>
      </c>
      <c r="CV1786" s="24">
        <v>74</v>
      </c>
      <c r="CW1786" s="23">
        <v>0.6</v>
      </c>
      <c r="CX1786" s="24">
        <v>83</v>
      </c>
      <c r="CY1786" s="23">
        <v>1.62</v>
      </c>
      <c r="CZ1786" s="24">
        <v>99</v>
      </c>
      <c r="DA1786" s="23">
        <v>0.13</v>
      </c>
      <c r="DB1786" s="24">
        <v>76</v>
      </c>
      <c r="DC1786" s="25">
        <v>7.81</v>
      </c>
      <c r="DD1786" s="24">
        <v>88</v>
      </c>
      <c r="DE1786" s="25">
        <v>-0.06</v>
      </c>
      <c r="DF1786" s="23">
        <v>-0.72</v>
      </c>
      <c r="DG1786" s="25">
        <v>10.56</v>
      </c>
      <c r="DH1786" s="24">
        <v>90</v>
      </c>
      <c r="DI1786" s="25">
        <v>5.05</v>
      </c>
      <c r="DJ1786" s="24">
        <v>77</v>
      </c>
      <c r="DK1786" s="25">
        <v>4.5999999999999996</v>
      </c>
      <c r="DL1786" s="24">
        <v>78</v>
      </c>
      <c r="DM1786" s="25">
        <v>16.52</v>
      </c>
      <c r="DN1786" s="24">
        <v>93</v>
      </c>
      <c r="DO1786" s="25">
        <v>8.08</v>
      </c>
      <c r="DP1786" s="24">
        <v>85</v>
      </c>
      <c r="DQ1786" s="24">
        <v>1591</v>
      </c>
      <c r="DR1786" s="26">
        <v>-37</v>
      </c>
      <c r="DS1786" s="23">
        <v>-2.27</v>
      </c>
      <c r="DT1786" s="24">
        <v>475</v>
      </c>
      <c r="DU1786" s="26">
        <v>3</v>
      </c>
      <c r="DV1786" s="23">
        <v>0.64</v>
      </c>
      <c r="DW1786" s="24">
        <v>2891</v>
      </c>
      <c r="DX1786" s="27">
        <v>5</v>
      </c>
      <c r="DY1786" s="23">
        <v>0.17</v>
      </c>
      <c r="DZ1786" s="15" t="s">
        <v>178</v>
      </c>
      <c r="EA1786" s="22">
        <v>43622</v>
      </c>
      <c r="EB1786" s="17" t="s">
        <v>138</v>
      </c>
      <c r="EC1786" s="22" t="s">
        <v>138</v>
      </c>
      <c r="ED1786" s="15" t="s">
        <v>138</v>
      </c>
      <c r="EE1786" s="14" t="str">
        <f>HYPERLINK("https://my.pitchbook.com?c=107508-07", "View company online")</f>
        <v>View company online</v>
      </c>
    </row>
    <row r="1787" spans="1:135">
      <c r="A1787" s="28" t="s">
        <v>33963</v>
      </c>
      <c r="B1787" s="28" t="s">
        <v>33964</v>
      </c>
      <c r="C1787" s="28" t="s">
        <v>138</v>
      </c>
      <c r="D1787" s="28" t="s">
        <v>33965</v>
      </c>
      <c r="E1787" s="28" t="s">
        <v>138</v>
      </c>
      <c r="F1787" s="28" t="s">
        <v>33963</v>
      </c>
      <c r="G1787" s="28" t="s">
        <v>33966</v>
      </c>
      <c r="H1787" s="28" t="s">
        <v>322</v>
      </c>
      <c r="I1787" s="28" t="s">
        <v>323</v>
      </c>
      <c r="J1787" s="28" t="s">
        <v>324</v>
      </c>
      <c r="K1787" s="28" t="s">
        <v>325</v>
      </c>
      <c r="L1787" s="28" t="s">
        <v>2274</v>
      </c>
      <c r="M1787" s="28" t="s">
        <v>33967</v>
      </c>
      <c r="N1787" s="28" t="s">
        <v>1212</v>
      </c>
      <c r="O1787" s="29">
        <v>0.26</v>
      </c>
      <c r="P1787" s="28" t="s">
        <v>148</v>
      </c>
      <c r="Q1787" s="28" t="s">
        <v>149</v>
      </c>
      <c r="R1787" s="28" t="s">
        <v>174</v>
      </c>
      <c r="S1787" s="28" t="s">
        <v>33968</v>
      </c>
      <c r="T1787" s="30" t="s">
        <v>138</v>
      </c>
      <c r="U1787" s="28" t="s">
        <v>138</v>
      </c>
      <c r="V1787" s="28" t="s">
        <v>138</v>
      </c>
      <c r="W1787" s="28" t="s">
        <v>138</v>
      </c>
      <c r="X1787" s="31">
        <v>2000</v>
      </c>
      <c r="Y1787" s="28" t="s">
        <v>138</v>
      </c>
      <c r="Z1787" s="28" t="s">
        <v>138</v>
      </c>
      <c r="AA1787" s="28" t="s">
        <v>138</v>
      </c>
      <c r="AB1787" s="32" t="s">
        <v>138</v>
      </c>
      <c r="AC1787" s="32" t="s">
        <v>138</v>
      </c>
      <c r="AD1787" s="32" t="s">
        <v>138</v>
      </c>
      <c r="AE1787" s="32" t="s">
        <v>138</v>
      </c>
      <c r="AF1787" s="32" t="s">
        <v>138</v>
      </c>
      <c r="AG1787" s="28" t="s">
        <v>138</v>
      </c>
      <c r="AH1787" s="32" t="s">
        <v>138</v>
      </c>
      <c r="AI1787" s="32" t="s">
        <v>138</v>
      </c>
      <c r="AJ1787" s="32" t="s">
        <v>138</v>
      </c>
      <c r="AK1787" s="28" t="s">
        <v>33969</v>
      </c>
      <c r="AL1787" s="28" t="s">
        <v>33970</v>
      </c>
      <c r="AM1787" s="28" t="s">
        <v>4011</v>
      </c>
      <c r="AN1787" s="28" t="s">
        <v>33971</v>
      </c>
      <c r="AO1787" s="28" t="s">
        <v>33972</v>
      </c>
      <c r="AP1787" s="28" t="s">
        <v>1195</v>
      </c>
      <c r="AQ1787" s="28" t="s">
        <v>33973</v>
      </c>
      <c r="AR1787" s="28" t="s">
        <v>33974</v>
      </c>
      <c r="AS1787" s="28" t="s">
        <v>1198</v>
      </c>
      <c r="AT1787" s="28" t="s">
        <v>138</v>
      </c>
      <c r="AU1787" s="28" t="s">
        <v>1199</v>
      </c>
      <c r="AV1787" s="28" t="s">
        <v>1200</v>
      </c>
      <c r="AW1787" s="28" t="s">
        <v>33972</v>
      </c>
      <c r="AX1787" s="28" t="s">
        <v>33975</v>
      </c>
      <c r="AY1787" s="28" t="s">
        <v>138</v>
      </c>
      <c r="AZ1787" s="28" t="s">
        <v>452</v>
      </c>
      <c r="BA1787" s="28" t="s">
        <v>453</v>
      </c>
      <c r="BB1787" s="28" t="s">
        <v>33976</v>
      </c>
      <c r="BC1787" s="28" t="s">
        <v>138</v>
      </c>
      <c r="BD1787" s="33" t="s">
        <v>138</v>
      </c>
      <c r="BE1787" s="28" t="s">
        <v>138</v>
      </c>
      <c r="BF1787" s="28" t="s">
        <v>33977</v>
      </c>
      <c r="BG1787" s="28" t="s">
        <v>138</v>
      </c>
      <c r="BH1787" s="28" t="s">
        <v>138</v>
      </c>
      <c r="BI1787" s="28" t="s">
        <v>33978</v>
      </c>
      <c r="BJ1787" s="28" t="s">
        <v>138</v>
      </c>
      <c r="BK1787" s="28" t="s">
        <v>138</v>
      </c>
      <c r="BL1787" s="28" t="s">
        <v>138</v>
      </c>
      <c r="BM1787" s="34">
        <v>36892</v>
      </c>
      <c r="BN1787" s="29">
        <v>0.09</v>
      </c>
      <c r="BO1787" s="28" t="s">
        <v>172</v>
      </c>
      <c r="BP1787" s="29" t="s">
        <v>138</v>
      </c>
      <c r="BQ1787" s="28" t="s">
        <v>138</v>
      </c>
      <c r="BR1787" s="28" t="s">
        <v>205</v>
      </c>
      <c r="BS1787" s="28" t="s">
        <v>138</v>
      </c>
      <c r="BT1787" s="28" t="s">
        <v>138</v>
      </c>
      <c r="BU1787" s="28" t="s">
        <v>174</v>
      </c>
      <c r="BV1787" s="28" t="s">
        <v>138</v>
      </c>
      <c r="BW1787" s="28" t="s">
        <v>138</v>
      </c>
      <c r="BX1787" s="28" t="s">
        <v>138</v>
      </c>
      <c r="BY1787" s="28" t="s">
        <v>175</v>
      </c>
      <c r="BZ1787" s="34">
        <v>40521</v>
      </c>
      <c r="CA1787" s="29" t="s">
        <v>138</v>
      </c>
      <c r="CB1787" s="28" t="s">
        <v>138</v>
      </c>
      <c r="CC1787" s="29" t="s">
        <v>138</v>
      </c>
      <c r="CD1787" s="28" t="s">
        <v>138</v>
      </c>
      <c r="CE1787" s="28" t="s">
        <v>33349</v>
      </c>
      <c r="CF1787" s="28" t="s">
        <v>138</v>
      </c>
      <c r="CG1787" s="28" t="s">
        <v>138</v>
      </c>
      <c r="CH1787" s="28" t="s">
        <v>174</v>
      </c>
      <c r="CI1787" s="28" t="s">
        <v>138</v>
      </c>
      <c r="CJ1787" s="28" t="s">
        <v>138</v>
      </c>
      <c r="CK1787" s="28" t="s">
        <v>138</v>
      </c>
      <c r="CL1787" s="28" t="s">
        <v>175</v>
      </c>
      <c r="CM1787" s="34" t="s">
        <v>138</v>
      </c>
      <c r="CN1787" s="29" t="s">
        <v>138</v>
      </c>
      <c r="CO1787" s="35" t="s">
        <v>138</v>
      </c>
      <c r="CP1787" s="36" t="s">
        <v>138</v>
      </c>
      <c r="CQ1787" s="35" t="s">
        <v>138</v>
      </c>
      <c r="CR1787" s="35" t="s">
        <v>138</v>
      </c>
      <c r="CS1787" s="35" t="s">
        <v>138</v>
      </c>
      <c r="CT1787" s="36" t="s">
        <v>138</v>
      </c>
      <c r="CU1787" s="35" t="s">
        <v>138</v>
      </c>
      <c r="CV1787" s="36" t="s">
        <v>138</v>
      </c>
      <c r="CW1787" s="35" t="s">
        <v>138</v>
      </c>
      <c r="CX1787" s="36" t="s">
        <v>138</v>
      </c>
      <c r="CY1787" s="35" t="s">
        <v>138</v>
      </c>
      <c r="CZ1787" s="36" t="s">
        <v>138</v>
      </c>
      <c r="DA1787" s="35" t="s">
        <v>138</v>
      </c>
      <c r="DB1787" s="36" t="s">
        <v>138</v>
      </c>
      <c r="DC1787" s="37" t="s">
        <v>138</v>
      </c>
      <c r="DD1787" s="36" t="s">
        <v>138</v>
      </c>
      <c r="DE1787" s="37" t="s">
        <v>138</v>
      </c>
      <c r="DF1787" s="35" t="s">
        <v>138</v>
      </c>
      <c r="DG1787" s="37" t="s">
        <v>138</v>
      </c>
      <c r="DH1787" s="36" t="s">
        <v>138</v>
      </c>
      <c r="DI1787" s="37" t="s">
        <v>138</v>
      </c>
      <c r="DJ1787" s="36" t="s">
        <v>138</v>
      </c>
      <c r="DK1787" s="37" t="s">
        <v>138</v>
      </c>
      <c r="DL1787" s="36" t="s">
        <v>138</v>
      </c>
      <c r="DM1787" s="37" t="s">
        <v>138</v>
      </c>
      <c r="DN1787" s="36" t="s">
        <v>138</v>
      </c>
      <c r="DO1787" s="37" t="s">
        <v>138</v>
      </c>
      <c r="DP1787" s="36" t="s">
        <v>138</v>
      </c>
      <c r="DQ1787" s="36" t="s">
        <v>138</v>
      </c>
      <c r="DR1787" s="38" t="s">
        <v>138</v>
      </c>
      <c r="DS1787" s="35" t="s">
        <v>138</v>
      </c>
      <c r="DT1787" s="36" t="s">
        <v>138</v>
      </c>
      <c r="DU1787" s="38" t="s">
        <v>138</v>
      </c>
      <c r="DV1787" s="35" t="s">
        <v>138</v>
      </c>
      <c r="DW1787" s="36" t="s">
        <v>138</v>
      </c>
      <c r="DX1787" s="39" t="s">
        <v>138</v>
      </c>
      <c r="DY1787" s="35" t="s">
        <v>138</v>
      </c>
      <c r="DZ1787" s="28" t="s">
        <v>178</v>
      </c>
      <c r="EA1787" s="34">
        <v>43351</v>
      </c>
      <c r="EB1787" s="29" t="s">
        <v>138</v>
      </c>
      <c r="EC1787" s="34" t="s">
        <v>138</v>
      </c>
      <c r="ED1787" s="28" t="s">
        <v>138</v>
      </c>
      <c r="EE1787" s="40" t="str">
        <f>HYPERLINK("https://my.pitchbook.com?c=55540-27", "View company online")</f>
        <v>View company online</v>
      </c>
    </row>
    <row r="1788" spans="1:135">
      <c r="A1788" s="15" t="s">
        <v>33979</v>
      </c>
      <c r="B1788" s="15" t="s">
        <v>33980</v>
      </c>
      <c r="C1788" s="15" t="s">
        <v>138</v>
      </c>
      <c r="D1788" s="15" t="s">
        <v>138</v>
      </c>
      <c r="E1788" s="15" t="s">
        <v>138</v>
      </c>
      <c r="F1788" s="15" t="s">
        <v>33979</v>
      </c>
      <c r="G1788" s="15" t="s">
        <v>33981</v>
      </c>
      <c r="H1788" s="15" t="s">
        <v>141</v>
      </c>
      <c r="I1788" s="15" t="s">
        <v>212</v>
      </c>
      <c r="J1788" s="15" t="s">
        <v>33333</v>
      </c>
      <c r="K1788" s="15" t="s">
        <v>33982</v>
      </c>
      <c r="L1788" s="15" t="s">
        <v>33983</v>
      </c>
      <c r="M1788" s="15" t="s">
        <v>33984</v>
      </c>
      <c r="N1788" s="15" t="s">
        <v>542</v>
      </c>
      <c r="O1788" s="17" t="s">
        <v>138</v>
      </c>
      <c r="P1788" s="15" t="s">
        <v>610</v>
      </c>
      <c r="Q1788" s="15" t="s">
        <v>149</v>
      </c>
      <c r="R1788" s="15" t="s">
        <v>174</v>
      </c>
      <c r="S1788" s="15" t="s">
        <v>33985</v>
      </c>
      <c r="T1788" s="18">
        <v>11</v>
      </c>
      <c r="U1788" s="15" t="s">
        <v>3406</v>
      </c>
      <c r="V1788" s="15" t="s">
        <v>138</v>
      </c>
      <c r="W1788" s="15" t="s">
        <v>138</v>
      </c>
      <c r="X1788" s="19">
        <v>2013</v>
      </c>
      <c r="Y1788" s="15" t="s">
        <v>138</v>
      </c>
      <c r="Z1788" s="15" t="s">
        <v>138</v>
      </c>
      <c r="AA1788" s="15" t="s">
        <v>138</v>
      </c>
      <c r="AB1788" s="20" t="s">
        <v>138</v>
      </c>
      <c r="AC1788" s="20" t="s">
        <v>138</v>
      </c>
      <c r="AD1788" s="20" t="s">
        <v>138</v>
      </c>
      <c r="AE1788" s="20" t="s">
        <v>138</v>
      </c>
      <c r="AF1788" s="20" t="s">
        <v>138</v>
      </c>
      <c r="AG1788" s="15" t="s">
        <v>138</v>
      </c>
      <c r="AH1788" s="20" t="s">
        <v>138</v>
      </c>
      <c r="AI1788" s="20" t="s">
        <v>138</v>
      </c>
      <c r="AJ1788" s="20" t="s">
        <v>138</v>
      </c>
      <c r="AK1788" s="15" t="s">
        <v>33986</v>
      </c>
      <c r="AL1788" s="15" t="s">
        <v>33987</v>
      </c>
      <c r="AM1788" s="15" t="s">
        <v>938</v>
      </c>
      <c r="AN1788" s="15" t="s">
        <v>33988</v>
      </c>
      <c r="AO1788" s="15" t="s">
        <v>33989</v>
      </c>
      <c r="AP1788" s="15" t="s">
        <v>1220</v>
      </c>
      <c r="AQ1788" s="15" t="s">
        <v>33990</v>
      </c>
      <c r="AR1788" s="15" t="s">
        <v>138</v>
      </c>
      <c r="AS1788" s="15" t="s">
        <v>1223</v>
      </c>
      <c r="AT1788" s="15" t="s">
        <v>200</v>
      </c>
      <c r="AU1788" s="15" t="s">
        <v>33991</v>
      </c>
      <c r="AV1788" s="15" t="s">
        <v>162</v>
      </c>
      <c r="AW1788" s="15" t="s">
        <v>138</v>
      </c>
      <c r="AX1788" s="15" t="s">
        <v>138</v>
      </c>
      <c r="AY1788" s="15" t="s">
        <v>33992</v>
      </c>
      <c r="AZ1788" s="15" t="s">
        <v>164</v>
      </c>
      <c r="BA1788" s="15" t="s">
        <v>165</v>
      </c>
      <c r="BB1788" s="15" t="s">
        <v>33993</v>
      </c>
      <c r="BC1788" s="15" t="s">
        <v>4056</v>
      </c>
      <c r="BD1788" s="21">
        <v>1</v>
      </c>
      <c r="BE1788" s="15" t="s">
        <v>138</v>
      </c>
      <c r="BF1788" s="15" t="s">
        <v>138</v>
      </c>
      <c r="BG1788" s="15" t="s">
        <v>138</v>
      </c>
      <c r="BH1788" s="15" t="s">
        <v>4057</v>
      </c>
      <c r="BI1788" s="15" t="s">
        <v>138</v>
      </c>
      <c r="BJ1788" s="15" t="s">
        <v>138</v>
      </c>
      <c r="BK1788" s="15" t="s">
        <v>138</v>
      </c>
      <c r="BL1788" s="15" t="s">
        <v>138</v>
      </c>
      <c r="BM1788" s="22" t="s">
        <v>138</v>
      </c>
      <c r="BN1788" s="17" t="s">
        <v>138</v>
      </c>
      <c r="BO1788" s="15" t="s">
        <v>138</v>
      </c>
      <c r="BP1788" s="17" t="s">
        <v>138</v>
      </c>
      <c r="BQ1788" s="15" t="s">
        <v>138</v>
      </c>
      <c r="BR1788" s="15" t="s">
        <v>205</v>
      </c>
      <c r="BS1788" s="15" t="s">
        <v>138</v>
      </c>
      <c r="BT1788" s="15" t="s">
        <v>138</v>
      </c>
      <c r="BU1788" s="15" t="s">
        <v>174</v>
      </c>
      <c r="BV1788" s="15" t="s">
        <v>138</v>
      </c>
      <c r="BW1788" s="15" t="s">
        <v>138</v>
      </c>
      <c r="BX1788" s="15" t="s">
        <v>138</v>
      </c>
      <c r="BY1788" s="15" t="s">
        <v>175</v>
      </c>
      <c r="BZ1788" s="22" t="s">
        <v>138</v>
      </c>
      <c r="CA1788" s="17" t="s">
        <v>138</v>
      </c>
      <c r="CB1788" s="15" t="s">
        <v>138</v>
      </c>
      <c r="CC1788" s="17" t="s">
        <v>138</v>
      </c>
      <c r="CD1788" s="15" t="s">
        <v>138</v>
      </c>
      <c r="CE1788" s="15" t="s">
        <v>316</v>
      </c>
      <c r="CF1788" s="15" t="s">
        <v>138</v>
      </c>
      <c r="CG1788" s="15" t="s">
        <v>138</v>
      </c>
      <c r="CH1788" s="15" t="s">
        <v>177</v>
      </c>
      <c r="CI1788" s="15" t="s">
        <v>138</v>
      </c>
      <c r="CJ1788" s="15" t="s">
        <v>138</v>
      </c>
      <c r="CK1788" s="15" t="s">
        <v>138</v>
      </c>
      <c r="CL1788" s="15" t="s">
        <v>175</v>
      </c>
      <c r="CM1788" s="22" t="s">
        <v>138</v>
      </c>
      <c r="CN1788" s="17" t="s">
        <v>138</v>
      </c>
      <c r="CO1788" s="23">
        <v>-0.17</v>
      </c>
      <c r="CP1788" s="24">
        <v>20</v>
      </c>
      <c r="CQ1788" s="23">
        <v>-0.01</v>
      </c>
      <c r="CR1788" s="23">
        <v>-8.35</v>
      </c>
      <c r="CS1788" s="23">
        <v>-0.36</v>
      </c>
      <c r="CT1788" s="24">
        <v>20</v>
      </c>
      <c r="CU1788" s="23">
        <v>0.03</v>
      </c>
      <c r="CV1788" s="24">
        <v>54</v>
      </c>
      <c r="CW1788" s="23">
        <v>0</v>
      </c>
      <c r="CX1788" s="24">
        <v>13</v>
      </c>
      <c r="CY1788" s="23">
        <v>-0.72</v>
      </c>
      <c r="CZ1788" s="24">
        <v>21</v>
      </c>
      <c r="DA1788" s="23">
        <v>0.03</v>
      </c>
      <c r="DB1788" s="24">
        <v>60</v>
      </c>
      <c r="DC1788" s="25">
        <v>1.81</v>
      </c>
      <c r="DD1788" s="24">
        <v>65</v>
      </c>
      <c r="DE1788" s="25">
        <v>-0.03</v>
      </c>
      <c r="DF1788" s="23">
        <v>-1.6</v>
      </c>
      <c r="DG1788" s="25">
        <v>2.25</v>
      </c>
      <c r="DH1788" s="24">
        <v>69</v>
      </c>
      <c r="DI1788" s="25">
        <v>1.37</v>
      </c>
      <c r="DJ1788" s="24">
        <v>55</v>
      </c>
      <c r="DK1788" s="25">
        <v>1.08</v>
      </c>
      <c r="DL1788" s="24">
        <v>52</v>
      </c>
      <c r="DM1788" s="25">
        <v>3.41</v>
      </c>
      <c r="DN1788" s="24">
        <v>76</v>
      </c>
      <c r="DO1788" s="25">
        <v>1.37</v>
      </c>
      <c r="DP1788" s="24">
        <v>56</v>
      </c>
      <c r="DQ1788" s="24">
        <v>366</v>
      </c>
      <c r="DR1788" s="26">
        <v>33</v>
      </c>
      <c r="DS1788" s="23">
        <v>9.91</v>
      </c>
      <c r="DT1788" s="24">
        <v>99</v>
      </c>
      <c r="DU1788" s="26">
        <v>0</v>
      </c>
      <c r="DV1788" s="23">
        <v>0</v>
      </c>
      <c r="DW1788" s="24">
        <v>488</v>
      </c>
      <c r="DX1788" s="27">
        <v>0</v>
      </c>
      <c r="DY1788" s="23">
        <v>0</v>
      </c>
      <c r="DZ1788" s="15" t="s">
        <v>178</v>
      </c>
      <c r="EA1788" s="22">
        <v>43351</v>
      </c>
      <c r="EB1788" s="17" t="s">
        <v>138</v>
      </c>
      <c r="EC1788" s="22" t="s">
        <v>138</v>
      </c>
      <c r="ED1788" s="15" t="s">
        <v>138</v>
      </c>
      <c r="EE1788" s="14" t="str">
        <f>HYPERLINK("https://my.pitchbook.com?c=122370-13", "View company online")</f>
        <v>View company online</v>
      </c>
    </row>
    <row r="1789" spans="1:135">
      <c r="A1789" s="28" t="s">
        <v>33994</v>
      </c>
      <c r="B1789" s="28" t="s">
        <v>33995</v>
      </c>
      <c r="C1789" s="28" t="s">
        <v>138</v>
      </c>
      <c r="D1789" s="28" t="s">
        <v>138</v>
      </c>
      <c r="E1789" s="28" t="s">
        <v>33996</v>
      </c>
      <c r="F1789" s="28" t="s">
        <v>33994</v>
      </c>
      <c r="G1789" s="28" t="s">
        <v>33997</v>
      </c>
      <c r="H1789" s="28" t="s">
        <v>238</v>
      </c>
      <c r="I1789" s="28" t="s">
        <v>785</v>
      </c>
      <c r="J1789" s="28" t="s">
        <v>786</v>
      </c>
      <c r="K1789" s="28" t="s">
        <v>3284</v>
      </c>
      <c r="L1789" s="28" t="s">
        <v>33998</v>
      </c>
      <c r="M1789" s="28" t="s">
        <v>33999</v>
      </c>
      <c r="N1789" s="28" t="s">
        <v>147</v>
      </c>
      <c r="O1789" s="29">
        <v>19.079999999999998</v>
      </c>
      <c r="P1789" s="28" t="s">
        <v>148</v>
      </c>
      <c r="Q1789" s="28" t="s">
        <v>149</v>
      </c>
      <c r="R1789" s="28" t="s">
        <v>174</v>
      </c>
      <c r="S1789" s="28" t="s">
        <v>34000</v>
      </c>
      <c r="T1789" s="30">
        <v>53</v>
      </c>
      <c r="U1789" s="28" t="s">
        <v>34001</v>
      </c>
      <c r="V1789" s="28" t="s">
        <v>138</v>
      </c>
      <c r="W1789" s="28" t="s">
        <v>138</v>
      </c>
      <c r="X1789" s="31">
        <v>2010</v>
      </c>
      <c r="Y1789" s="28" t="s">
        <v>138</v>
      </c>
      <c r="Z1789" s="28" t="s">
        <v>138</v>
      </c>
      <c r="AA1789" s="28" t="s">
        <v>138</v>
      </c>
      <c r="AB1789" s="32" t="s">
        <v>138</v>
      </c>
      <c r="AC1789" s="32" t="s">
        <v>138</v>
      </c>
      <c r="AD1789" s="32" t="s">
        <v>138</v>
      </c>
      <c r="AE1789" s="32" t="s">
        <v>138</v>
      </c>
      <c r="AF1789" s="32" t="s">
        <v>138</v>
      </c>
      <c r="AG1789" s="28" t="s">
        <v>138</v>
      </c>
      <c r="AH1789" s="32" t="s">
        <v>138</v>
      </c>
      <c r="AI1789" s="32" t="s">
        <v>138</v>
      </c>
      <c r="AJ1789" s="32" t="s">
        <v>138</v>
      </c>
      <c r="AK1789" s="28" t="s">
        <v>34002</v>
      </c>
      <c r="AL1789" s="28" t="s">
        <v>34003</v>
      </c>
      <c r="AM1789" s="28" t="s">
        <v>2194</v>
      </c>
      <c r="AN1789" s="28" t="s">
        <v>34004</v>
      </c>
      <c r="AO1789" s="28" t="s">
        <v>34005</v>
      </c>
      <c r="AP1789" s="28" t="s">
        <v>665</v>
      </c>
      <c r="AQ1789" s="28" t="s">
        <v>842</v>
      </c>
      <c r="AR1789" s="28" t="s">
        <v>34006</v>
      </c>
      <c r="AS1789" s="28" t="s">
        <v>668</v>
      </c>
      <c r="AT1789" s="28" t="s">
        <v>200</v>
      </c>
      <c r="AU1789" s="28" t="s">
        <v>1893</v>
      </c>
      <c r="AV1789" s="28" t="s">
        <v>162</v>
      </c>
      <c r="AW1789" s="28" t="s">
        <v>34005</v>
      </c>
      <c r="AX1789" s="28" t="s">
        <v>138</v>
      </c>
      <c r="AY1789" s="28" t="s">
        <v>34007</v>
      </c>
      <c r="AZ1789" s="28" t="s">
        <v>164</v>
      </c>
      <c r="BA1789" s="28" t="s">
        <v>165</v>
      </c>
      <c r="BB1789" s="28" t="s">
        <v>34008</v>
      </c>
      <c r="BC1789" s="28" t="s">
        <v>34009</v>
      </c>
      <c r="BD1789" s="33">
        <v>28</v>
      </c>
      <c r="BE1789" s="28" t="s">
        <v>138</v>
      </c>
      <c r="BF1789" s="28" t="s">
        <v>138</v>
      </c>
      <c r="BG1789" s="28" t="s">
        <v>138</v>
      </c>
      <c r="BH1789" s="28" t="s">
        <v>34010</v>
      </c>
      <c r="BI1789" s="28" t="s">
        <v>138</v>
      </c>
      <c r="BJ1789" s="28" t="s">
        <v>138</v>
      </c>
      <c r="BK1789" s="28" t="s">
        <v>34011</v>
      </c>
      <c r="BL1789" s="28" t="s">
        <v>34011</v>
      </c>
      <c r="BM1789" s="34">
        <v>40499</v>
      </c>
      <c r="BN1789" s="29">
        <v>1.1000000000000001</v>
      </c>
      <c r="BO1789" s="28" t="s">
        <v>1178</v>
      </c>
      <c r="BP1789" s="29">
        <v>5.0999999999999996</v>
      </c>
      <c r="BQ1789" s="28" t="s">
        <v>1178</v>
      </c>
      <c r="BR1789" s="28" t="s">
        <v>234</v>
      </c>
      <c r="BS1789" s="28" t="s">
        <v>234</v>
      </c>
      <c r="BT1789" s="28" t="s">
        <v>138</v>
      </c>
      <c r="BU1789" s="28" t="s">
        <v>263</v>
      </c>
      <c r="BV1789" s="28" t="s">
        <v>138</v>
      </c>
      <c r="BW1789" s="28" t="s">
        <v>138</v>
      </c>
      <c r="BX1789" s="28" t="s">
        <v>138</v>
      </c>
      <c r="BY1789" s="28" t="s">
        <v>175</v>
      </c>
      <c r="BZ1789" s="34">
        <v>43341</v>
      </c>
      <c r="CA1789" s="29">
        <v>4.8099999999999996</v>
      </c>
      <c r="CB1789" s="28" t="s">
        <v>172</v>
      </c>
      <c r="CC1789" s="29">
        <v>104.81</v>
      </c>
      <c r="CD1789" s="28" t="s">
        <v>1178</v>
      </c>
      <c r="CE1789" s="28" t="s">
        <v>173</v>
      </c>
      <c r="CF1789" s="28" t="s">
        <v>317</v>
      </c>
      <c r="CG1789" s="28" t="s">
        <v>138</v>
      </c>
      <c r="CH1789" s="28" t="s">
        <v>174</v>
      </c>
      <c r="CI1789" s="28" t="s">
        <v>138</v>
      </c>
      <c r="CJ1789" s="28" t="s">
        <v>138</v>
      </c>
      <c r="CK1789" s="28" t="s">
        <v>138</v>
      </c>
      <c r="CL1789" s="28" t="s">
        <v>175</v>
      </c>
      <c r="CM1789" s="34" t="s">
        <v>138</v>
      </c>
      <c r="CN1789" s="29" t="s">
        <v>138</v>
      </c>
      <c r="CO1789" s="35">
        <v>-0.7</v>
      </c>
      <c r="CP1789" s="36">
        <v>14</v>
      </c>
      <c r="CQ1789" s="35">
        <v>0</v>
      </c>
      <c r="CR1789" s="35">
        <v>-0.38</v>
      </c>
      <c r="CS1789" s="35">
        <v>-2.1</v>
      </c>
      <c r="CT1789" s="36">
        <v>8</v>
      </c>
      <c r="CU1789" s="35">
        <v>-0.01</v>
      </c>
      <c r="CV1789" s="36">
        <v>20</v>
      </c>
      <c r="CW1789" s="35">
        <v>-2.2599999999999998</v>
      </c>
      <c r="CX1789" s="36">
        <v>7</v>
      </c>
      <c r="CY1789" s="35">
        <v>-1.94</v>
      </c>
      <c r="CZ1789" s="36">
        <v>12</v>
      </c>
      <c r="DA1789" s="35">
        <v>-0.01</v>
      </c>
      <c r="DB1789" s="36">
        <v>21</v>
      </c>
      <c r="DC1789" s="37">
        <v>970.16</v>
      </c>
      <c r="DD1789" s="36">
        <v>100</v>
      </c>
      <c r="DE1789" s="37">
        <v>-6.99</v>
      </c>
      <c r="DF1789" s="35">
        <v>-0.72</v>
      </c>
      <c r="DG1789" s="37">
        <v>395.57</v>
      </c>
      <c r="DH1789" s="36">
        <v>100</v>
      </c>
      <c r="DI1789" s="37">
        <v>2478.29</v>
      </c>
      <c r="DJ1789" s="36">
        <v>100</v>
      </c>
      <c r="DK1789" s="37">
        <v>563.59</v>
      </c>
      <c r="DL1789" s="36">
        <v>100</v>
      </c>
      <c r="DM1789" s="37">
        <v>227.55</v>
      </c>
      <c r="DN1789" s="36">
        <v>100</v>
      </c>
      <c r="DO1789" s="37">
        <v>2478.29</v>
      </c>
      <c r="DP1789" s="36">
        <v>100</v>
      </c>
      <c r="DQ1789" s="36">
        <v>194402</v>
      </c>
      <c r="DR1789" s="38">
        <v>-3273</v>
      </c>
      <c r="DS1789" s="35">
        <v>-1.66</v>
      </c>
      <c r="DT1789" s="36">
        <v>6595</v>
      </c>
      <c r="DU1789" s="38">
        <v>4</v>
      </c>
      <c r="DV1789" s="35">
        <v>0.06</v>
      </c>
      <c r="DW1789" s="36">
        <v>887313</v>
      </c>
      <c r="DX1789" s="39">
        <v>-83</v>
      </c>
      <c r="DY1789" s="35">
        <v>-0.01</v>
      </c>
      <c r="DZ1789" s="28" t="s">
        <v>178</v>
      </c>
      <c r="EA1789" s="34">
        <v>43564</v>
      </c>
      <c r="EB1789" s="29">
        <v>104.81</v>
      </c>
      <c r="EC1789" s="34">
        <v>43341</v>
      </c>
      <c r="ED1789" s="28" t="s">
        <v>173</v>
      </c>
      <c r="EE1789" s="40" t="str">
        <f>HYPERLINK("https://my.pitchbook.com?c=51298-48", "View company online")</f>
        <v>View company online</v>
      </c>
    </row>
    <row r="1790" spans="1:135">
      <c r="A1790" s="15" t="s">
        <v>34012</v>
      </c>
      <c r="B1790" s="15" t="s">
        <v>34013</v>
      </c>
      <c r="C1790" s="15" t="s">
        <v>138</v>
      </c>
      <c r="D1790" s="15" t="s">
        <v>34014</v>
      </c>
      <c r="E1790" s="15" t="s">
        <v>34015</v>
      </c>
      <c r="F1790" s="15" t="s">
        <v>34012</v>
      </c>
      <c r="G1790" s="15" t="s">
        <v>34016</v>
      </c>
      <c r="H1790" s="15" t="s">
        <v>238</v>
      </c>
      <c r="I1790" s="15" t="s">
        <v>239</v>
      </c>
      <c r="J1790" s="15" t="s">
        <v>2578</v>
      </c>
      <c r="K1790" s="15" t="s">
        <v>9863</v>
      </c>
      <c r="L1790" s="15" t="s">
        <v>3285</v>
      </c>
      <c r="M1790" s="15" t="s">
        <v>34017</v>
      </c>
      <c r="N1790" s="15" t="s">
        <v>147</v>
      </c>
      <c r="O1790" s="17">
        <v>19</v>
      </c>
      <c r="P1790" s="15" t="s">
        <v>148</v>
      </c>
      <c r="Q1790" s="15" t="s">
        <v>149</v>
      </c>
      <c r="R1790" s="15" t="s">
        <v>174</v>
      </c>
      <c r="S1790" s="15" t="s">
        <v>34018</v>
      </c>
      <c r="T1790" s="18">
        <v>50</v>
      </c>
      <c r="U1790" s="15" t="s">
        <v>2089</v>
      </c>
      <c r="V1790" s="15" t="s">
        <v>138</v>
      </c>
      <c r="W1790" s="15" t="s">
        <v>138</v>
      </c>
      <c r="X1790" s="19">
        <v>2014</v>
      </c>
      <c r="Y1790" s="15" t="s">
        <v>138</v>
      </c>
      <c r="Z1790" s="15" t="s">
        <v>138</v>
      </c>
      <c r="AA1790" s="15" t="s">
        <v>138</v>
      </c>
      <c r="AB1790" s="20">
        <v>25</v>
      </c>
      <c r="AC1790" s="20" t="s">
        <v>138</v>
      </c>
      <c r="AD1790" s="20" t="s">
        <v>138</v>
      </c>
      <c r="AE1790" s="20" t="s">
        <v>138</v>
      </c>
      <c r="AF1790" s="20" t="s">
        <v>138</v>
      </c>
      <c r="AG1790" s="15" t="s">
        <v>815</v>
      </c>
      <c r="AH1790" s="20" t="s">
        <v>138</v>
      </c>
      <c r="AI1790" s="20" t="s">
        <v>138</v>
      </c>
      <c r="AJ1790" s="20" t="s">
        <v>138</v>
      </c>
      <c r="AK1790" s="15" t="s">
        <v>34019</v>
      </c>
      <c r="AL1790" s="15" t="s">
        <v>34020</v>
      </c>
      <c r="AM1790" s="15" t="s">
        <v>221</v>
      </c>
      <c r="AN1790" s="15" t="s">
        <v>34021</v>
      </c>
      <c r="AO1790" s="15" t="s">
        <v>34022</v>
      </c>
      <c r="AP1790" s="15" t="s">
        <v>1870</v>
      </c>
      <c r="AQ1790" s="15" t="s">
        <v>34023</v>
      </c>
      <c r="AR1790" s="15" t="s">
        <v>138</v>
      </c>
      <c r="AS1790" s="15" t="s">
        <v>1872</v>
      </c>
      <c r="AT1790" s="15" t="s">
        <v>200</v>
      </c>
      <c r="AU1790" s="15" t="s">
        <v>1873</v>
      </c>
      <c r="AV1790" s="15" t="s">
        <v>162</v>
      </c>
      <c r="AW1790" s="15" t="s">
        <v>34022</v>
      </c>
      <c r="AX1790" s="15" t="s">
        <v>138</v>
      </c>
      <c r="AY1790" s="15" t="s">
        <v>34024</v>
      </c>
      <c r="AZ1790" s="15" t="s">
        <v>164</v>
      </c>
      <c r="BA1790" s="15" t="s">
        <v>165</v>
      </c>
      <c r="BB1790" s="15" t="s">
        <v>34025</v>
      </c>
      <c r="BC1790" s="15" t="s">
        <v>34026</v>
      </c>
      <c r="BD1790" s="21">
        <v>28</v>
      </c>
      <c r="BE1790" s="15" t="s">
        <v>138</v>
      </c>
      <c r="BF1790" s="15" t="s">
        <v>138</v>
      </c>
      <c r="BG1790" s="15" t="s">
        <v>138</v>
      </c>
      <c r="BH1790" s="15" t="s">
        <v>34027</v>
      </c>
      <c r="BI1790" s="15" t="s">
        <v>138</v>
      </c>
      <c r="BJ1790" s="15" t="s">
        <v>138</v>
      </c>
      <c r="BK1790" s="15" t="s">
        <v>34028</v>
      </c>
      <c r="BL1790" s="15" t="s">
        <v>138</v>
      </c>
      <c r="BM1790" s="22">
        <v>41899</v>
      </c>
      <c r="BN1790" s="17">
        <v>2</v>
      </c>
      <c r="BO1790" s="15" t="s">
        <v>172</v>
      </c>
      <c r="BP1790" s="17" t="s">
        <v>138</v>
      </c>
      <c r="BQ1790" s="15" t="s">
        <v>138</v>
      </c>
      <c r="BR1790" s="15" t="s">
        <v>234</v>
      </c>
      <c r="BS1790" s="15" t="s">
        <v>234</v>
      </c>
      <c r="BT1790" s="15" t="s">
        <v>138</v>
      </c>
      <c r="BU1790" s="15" t="s">
        <v>174</v>
      </c>
      <c r="BV1790" s="15" t="s">
        <v>138</v>
      </c>
      <c r="BW1790" s="15" t="s">
        <v>138</v>
      </c>
      <c r="BX1790" s="15" t="s">
        <v>138</v>
      </c>
      <c r="BY1790" s="15" t="s">
        <v>175</v>
      </c>
      <c r="BZ1790" s="22">
        <v>43309</v>
      </c>
      <c r="CA1790" s="17">
        <v>6</v>
      </c>
      <c r="CB1790" s="15" t="s">
        <v>172</v>
      </c>
      <c r="CC1790" s="17" t="s">
        <v>138</v>
      </c>
      <c r="CD1790" s="15" t="s">
        <v>138</v>
      </c>
      <c r="CE1790" s="15" t="s">
        <v>173</v>
      </c>
      <c r="CF1790" s="15" t="s">
        <v>138</v>
      </c>
      <c r="CG1790" s="15" t="s">
        <v>138</v>
      </c>
      <c r="CH1790" s="15" t="s">
        <v>174</v>
      </c>
      <c r="CI1790" s="15" t="s">
        <v>138</v>
      </c>
      <c r="CJ1790" s="15" t="s">
        <v>138</v>
      </c>
      <c r="CK1790" s="15" t="s">
        <v>138</v>
      </c>
      <c r="CL1790" s="15" t="s">
        <v>175</v>
      </c>
      <c r="CM1790" s="22" t="s">
        <v>138</v>
      </c>
      <c r="CN1790" s="17" t="s">
        <v>138</v>
      </c>
      <c r="CO1790" s="23">
        <v>0.75</v>
      </c>
      <c r="CP1790" s="24">
        <v>96</v>
      </c>
      <c r="CQ1790" s="23">
        <v>0</v>
      </c>
      <c r="CR1790" s="23">
        <v>-0.36</v>
      </c>
      <c r="CS1790" s="23">
        <v>1.45</v>
      </c>
      <c r="CT1790" s="24">
        <v>97</v>
      </c>
      <c r="CU1790" s="23">
        <v>0.04</v>
      </c>
      <c r="CV1790" s="24">
        <v>56</v>
      </c>
      <c r="CW1790" s="23">
        <v>4.68</v>
      </c>
      <c r="CX1790" s="24">
        <v>95</v>
      </c>
      <c r="CY1790" s="23">
        <v>-1.78</v>
      </c>
      <c r="CZ1790" s="24">
        <v>13</v>
      </c>
      <c r="DA1790" s="23">
        <v>0.06</v>
      </c>
      <c r="DB1790" s="24">
        <v>65</v>
      </c>
      <c r="DC1790" s="25">
        <v>82.02</v>
      </c>
      <c r="DD1790" s="24">
        <v>99</v>
      </c>
      <c r="DE1790" s="25">
        <v>-0.49</v>
      </c>
      <c r="DF1790" s="23">
        <v>-0.59</v>
      </c>
      <c r="DG1790" s="25">
        <v>14.51</v>
      </c>
      <c r="DH1790" s="24">
        <v>93</v>
      </c>
      <c r="DI1790" s="25">
        <v>149.53</v>
      </c>
      <c r="DJ1790" s="24">
        <v>98</v>
      </c>
      <c r="DK1790" s="25">
        <v>22.62</v>
      </c>
      <c r="DL1790" s="24">
        <v>92</v>
      </c>
      <c r="DM1790" s="25">
        <v>6.41</v>
      </c>
      <c r="DN1790" s="24">
        <v>84</v>
      </c>
      <c r="DO1790" s="25">
        <v>131.35</v>
      </c>
      <c r="DP1790" s="24">
        <v>99</v>
      </c>
      <c r="DQ1790" s="24">
        <v>7603</v>
      </c>
      <c r="DR1790" s="26">
        <v>462</v>
      </c>
      <c r="DS1790" s="23">
        <v>6.47</v>
      </c>
      <c r="DT1790" s="24">
        <v>185</v>
      </c>
      <c r="DU1790" s="26">
        <v>0</v>
      </c>
      <c r="DV1790" s="23">
        <v>0</v>
      </c>
      <c r="DW1790" s="24">
        <v>46989</v>
      </c>
      <c r="DX1790" s="27">
        <v>176</v>
      </c>
      <c r="DY1790" s="23">
        <v>0.38</v>
      </c>
      <c r="DZ1790" s="15" t="s">
        <v>178</v>
      </c>
      <c r="EA1790" s="22">
        <v>43605</v>
      </c>
      <c r="EB1790" s="17">
        <v>46</v>
      </c>
      <c r="EC1790" s="22">
        <v>42814</v>
      </c>
      <c r="ED1790" s="15" t="s">
        <v>205</v>
      </c>
      <c r="EE1790" s="14" t="str">
        <f>HYPERLINK("https://my.pitchbook.com?c=97591-33", "View company online")</f>
        <v>View company online</v>
      </c>
    </row>
    <row r="1791" spans="1:135">
      <c r="A1791" s="28" t="s">
        <v>34029</v>
      </c>
      <c r="B1791" s="28" t="s">
        <v>34030</v>
      </c>
      <c r="C1791" s="28" t="s">
        <v>34031</v>
      </c>
      <c r="D1791" s="28" t="s">
        <v>138</v>
      </c>
      <c r="E1791" s="28" t="s">
        <v>34032</v>
      </c>
      <c r="F1791" s="28" t="s">
        <v>34029</v>
      </c>
      <c r="G1791" s="28" t="s">
        <v>34033</v>
      </c>
      <c r="H1791" s="28" t="s">
        <v>322</v>
      </c>
      <c r="I1791" s="28" t="s">
        <v>323</v>
      </c>
      <c r="J1791" s="28" t="s">
        <v>539</v>
      </c>
      <c r="K1791" s="28" t="s">
        <v>34034</v>
      </c>
      <c r="L1791" s="28" t="s">
        <v>215</v>
      </c>
      <c r="M1791" s="28" t="s">
        <v>34035</v>
      </c>
      <c r="N1791" s="28" t="s">
        <v>147</v>
      </c>
      <c r="O1791" s="29">
        <v>28.5</v>
      </c>
      <c r="P1791" s="28" t="s">
        <v>148</v>
      </c>
      <c r="Q1791" s="28" t="s">
        <v>149</v>
      </c>
      <c r="R1791" s="28" t="s">
        <v>174</v>
      </c>
      <c r="S1791" s="28" t="s">
        <v>34036</v>
      </c>
      <c r="T1791" s="30">
        <v>80</v>
      </c>
      <c r="U1791" s="28" t="s">
        <v>34037</v>
      </c>
      <c r="V1791" s="28" t="s">
        <v>138</v>
      </c>
      <c r="W1791" s="28" t="s">
        <v>138</v>
      </c>
      <c r="X1791" s="31">
        <v>2009</v>
      </c>
      <c r="Y1791" s="28" t="s">
        <v>138</v>
      </c>
      <c r="Z1791" s="28" t="s">
        <v>138</v>
      </c>
      <c r="AA1791" s="28" t="s">
        <v>138</v>
      </c>
      <c r="AB1791" s="32" t="s">
        <v>138</v>
      </c>
      <c r="AC1791" s="32" t="s">
        <v>138</v>
      </c>
      <c r="AD1791" s="32" t="s">
        <v>138</v>
      </c>
      <c r="AE1791" s="32" t="s">
        <v>138</v>
      </c>
      <c r="AF1791" s="32" t="s">
        <v>138</v>
      </c>
      <c r="AG1791" s="28" t="s">
        <v>138</v>
      </c>
      <c r="AH1791" s="32" t="s">
        <v>138</v>
      </c>
      <c r="AI1791" s="32" t="s">
        <v>138</v>
      </c>
      <c r="AJ1791" s="32" t="s">
        <v>138</v>
      </c>
      <c r="AK1791" s="28" t="s">
        <v>34038</v>
      </c>
      <c r="AL1791" s="28" t="s">
        <v>34039</v>
      </c>
      <c r="AM1791" s="28" t="s">
        <v>986</v>
      </c>
      <c r="AN1791" s="28" t="s">
        <v>34040</v>
      </c>
      <c r="AO1791" s="28" t="s">
        <v>138</v>
      </c>
      <c r="AP1791" s="28" t="s">
        <v>5697</v>
      </c>
      <c r="AQ1791" s="28" t="s">
        <v>34041</v>
      </c>
      <c r="AR1791" s="28" t="s">
        <v>138</v>
      </c>
      <c r="AS1791" s="28" t="s">
        <v>5700</v>
      </c>
      <c r="AT1791" s="28" t="s">
        <v>138</v>
      </c>
      <c r="AU1791" s="28" t="s">
        <v>34042</v>
      </c>
      <c r="AV1791" s="28" t="s">
        <v>740</v>
      </c>
      <c r="AW1791" s="28" t="s">
        <v>138</v>
      </c>
      <c r="AX1791" s="28" t="s">
        <v>138</v>
      </c>
      <c r="AY1791" s="28" t="s">
        <v>34043</v>
      </c>
      <c r="AZ1791" s="28" t="s">
        <v>742</v>
      </c>
      <c r="BA1791" s="28" t="s">
        <v>742</v>
      </c>
      <c r="BB1791" s="28" t="s">
        <v>34044</v>
      </c>
      <c r="BC1791" s="28" t="s">
        <v>34045</v>
      </c>
      <c r="BD1791" s="33">
        <v>5</v>
      </c>
      <c r="BE1791" s="28" t="s">
        <v>138</v>
      </c>
      <c r="BF1791" s="28" t="s">
        <v>138</v>
      </c>
      <c r="BG1791" s="28" t="s">
        <v>138</v>
      </c>
      <c r="BH1791" s="28" t="s">
        <v>34046</v>
      </c>
      <c r="BI1791" s="28" t="s">
        <v>138</v>
      </c>
      <c r="BJ1791" s="28" t="s">
        <v>138</v>
      </c>
      <c r="BK1791" s="28" t="s">
        <v>138</v>
      </c>
      <c r="BL1791" s="28" t="s">
        <v>34047</v>
      </c>
      <c r="BM1791" s="34" t="s">
        <v>138</v>
      </c>
      <c r="BN1791" s="29" t="s">
        <v>138</v>
      </c>
      <c r="BO1791" s="28" t="s">
        <v>138</v>
      </c>
      <c r="BP1791" s="29" t="s">
        <v>138</v>
      </c>
      <c r="BQ1791" s="28" t="s">
        <v>138</v>
      </c>
      <c r="BR1791" s="28" t="s">
        <v>262</v>
      </c>
      <c r="BS1791" s="28" t="s">
        <v>262</v>
      </c>
      <c r="BT1791" s="28" t="s">
        <v>138</v>
      </c>
      <c r="BU1791" s="28" t="s">
        <v>263</v>
      </c>
      <c r="BV1791" s="28" t="s">
        <v>138</v>
      </c>
      <c r="BW1791" s="28" t="s">
        <v>138</v>
      </c>
      <c r="BX1791" s="28" t="s">
        <v>138</v>
      </c>
      <c r="BY1791" s="28" t="s">
        <v>175</v>
      </c>
      <c r="BZ1791" s="34">
        <v>42710</v>
      </c>
      <c r="CA1791" s="29">
        <v>4</v>
      </c>
      <c r="CB1791" s="28" t="s">
        <v>172</v>
      </c>
      <c r="CC1791" s="29" t="s">
        <v>138</v>
      </c>
      <c r="CD1791" s="28" t="s">
        <v>138</v>
      </c>
      <c r="CE1791" s="28" t="s">
        <v>173</v>
      </c>
      <c r="CF1791" s="28" t="s">
        <v>317</v>
      </c>
      <c r="CG1791" s="28" t="s">
        <v>138</v>
      </c>
      <c r="CH1791" s="28" t="s">
        <v>174</v>
      </c>
      <c r="CI1791" s="28" t="s">
        <v>138</v>
      </c>
      <c r="CJ1791" s="28" t="s">
        <v>138</v>
      </c>
      <c r="CK1791" s="28" t="s">
        <v>138</v>
      </c>
      <c r="CL1791" s="28" t="s">
        <v>175</v>
      </c>
      <c r="CM1791" s="34" t="s">
        <v>138</v>
      </c>
      <c r="CN1791" s="29" t="s">
        <v>138</v>
      </c>
      <c r="CO1791" s="35">
        <v>-7.0000000000000007E-2</v>
      </c>
      <c r="CP1791" s="36">
        <v>21</v>
      </c>
      <c r="CQ1791" s="35">
        <v>0</v>
      </c>
      <c r="CR1791" s="35">
        <v>4.68</v>
      </c>
      <c r="CS1791" s="35">
        <v>0</v>
      </c>
      <c r="CT1791" s="36">
        <v>23</v>
      </c>
      <c r="CU1791" s="35">
        <v>-0.14000000000000001</v>
      </c>
      <c r="CV1791" s="36">
        <v>2</v>
      </c>
      <c r="CW1791" s="35">
        <v>0</v>
      </c>
      <c r="CX1791" s="36">
        <v>13</v>
      </c>
      <c r="CY1791" s="35">
        <v>0</v>
      </c>
      <c r="CZ1791" s="36">
        <v>25</v>
      </c>
      <c r="DA1791" s="35">
        <v>-0.14000000000000001</v>
      </c>
      <c r="DB1791" s="36">
        <v>4</v>
      </c>
      <c r="DC1791" s="37">
        <v>3.34</v>
      </c>
      <c r="DD1791" s="36">
        <v>77</v>
      </c>
      <c r="DE1791" s="37">
        <v>-0.05</v>
      </c>
      <c r="DF1791" s="35">
        <v>-1.59</v>
      </c>
      <c r="DG1791" s="37">
        <v>1.79</v>
      </c>
      <c r="DH1791" s="36">
        <v>64</v>
      </c>
      <c r="DI1791" s="37">
        <v>4.8899999999999997</v>
      </c>
      <c r="DJ1791" s="36">
        <v>77</v>
      </c>
      <c r="DK1791" s="37">
        <v>1.79</v>
      </c>
      <c r="DL1791" s="36">
        <v>62</v>
      </c>
      <c r="DM1791" s="37">
        <v>1.79</v>
      </c>
      <c r="DN1791" s="36">
        <v>63</v>
      </c>
      <c r="DO1791" s="37">
        <v>4.8899999999999997</v>
      </c>
      <c r="DP1791" s="36">
        <v>79</v>
      </c>
      <c r="DQ1791" s="36">
        <v>612</v>
      </c>
      <c r="DR1791" s="38">
        <v>5</v>
      </c>
      <c r="DS1791" s="35">
        <v>0.82</v>
      </c>
      <c r="DT1791" s="36">
        <v>52</v>
      </c>
      <c r="DU1791" s="38">
        <v>-1</v>
      </c>
      <c r="DV1791" s="35">
        <v>-1.89</v>
      </c>
      <c r="DW1791" s="36">
        <v>1751</v>
      </c>
      <c r="DX1791" s="39">
        <v>-1</v>
      </c>
      <c r="DY1791" s="35">
        <v>-0.06</v>
      </c>
      <c r="DZ1791" s="28" t="s">
        <v>178</v>
      </c>
      <c r="EA1791" s="34">
        <v>43357</v>
      </c>
      <c r="EB1791" s="29" t="s">
        <v>138</v>
      </c>
      <c r="EC1791" s="34" t="s">
        <v>138</v>
      </c>
      <c r="ED1791" s="28" t="s">
        <v>138</v>
      </c>
      <c r="EE1791" s="40" t="str">
        <f>HYPERLINK("https://my.pitchbook.com?c=55497-88", "View company online")</f>
        <v>View company online</v>
      </c>
    </row>
    <row r="1792" spans="1:135">
      <c r="A1792" s="15" t="s">
        <v>34048</v>
      </c>
      <c r="B1792" s="15" t="s">
        <v>34049</v>
      </c>
      <c r="C1792" s="15" t="s">
        <v>34050</v>
      </c>
      <c r="D1792" s="15" t="s">
        <v>138</v>
      </c>
      <c r="E1792" s="15" t="s">
        <v>34051</v>
      </c>
      <c r="F1792" s="15" t="s">
        <v>34048</v>
      </c>
      <c r="G1792" s="15" t="s">
        <v>34052</v>
      </c>
      <c r="H1792" s="15" t="s">
        <v>322</v>
      </c>
      <c r="I1792" s="15" t="s">
        <v>323</v>
      </c>
      <c r="J1792" s="15" t="s">
        <v>324</v>
      </c>
      <c r="K1792" s="15" t="s">
        <v>33045</v>
      </c>
      <c r="L1792" s="15" t="s">
        <v>34053</v>
      </c>
      <c r="M1792" s="15" t="s">
        <v>34054</v>
      </c>
      <c r="N1792" s="15" t="s">
        <v>147</v>
      </c>
      <c r="O1792" s="17">
        <v>40</v>
      </c>
      <c r="P1792" s="15" t="s">
        <v>148</v>
      </c>
      <c r="Q1792" s="15" t="s">
        <v>149</v>
      </c>
      <c r="R1792" s="15" t="s">
        <v>174</v>
      </c>
      <c r="S1792" s="15" t="s">
        <v>34055</v>
      </c>
      <c r="T1792" s="18">
        <v>25</v>
      </c>
      <c r="U1792" s="15" t="s">
        <v>34056</v>
      </c>
      <c r="V1792" s="15" t="s">
        <v>138</v>
      </c>
      <c r="W1792" s="15" t="s">
        <v>138</v>
      </c>
      <c r="X1792" s="19">
        <v>2013</v>
      </c>
      <c r="Y1792" s="15" t="s">
        <v>138</v>
      </c>
      <c r="Z1792" s="15" t="s">
        <v>138</v>
      </c>
      <c r="AA1792" s="15" t="s">
        <v>138</v>
      </c>
      <c r="AB1792" s="20" t="s">
        <v>138</v>
      </c>
      <c r="AC1792" s="20" t="s">
        <v>138</v>
      </c>
      <c r="AD1792" s="20" t="s">
        <v>138</v>
      </c>
      <c r="AE1792" s="20" t="s">
        <v>138</v>
      </c>
      <c r="AF1792" s="20" t="s">
        <v>138</v>
      </c>
      <c r="AG1792" s="15" t="s">
        <v>138</v>
      </c>
      <c r="AH1792" s="20" t="s">
        <v>138</v>
      </c>
      <c r="AI1792" s="20" t="s">
        <v>138</v>
      </c>
      <c r="AJ1792" s="20" t="s">
        <v>138</v>
      </c>
      <c r="AK1792" s="15" t="s">
        <v>34057</v>
      </c>
      <c r="AL1792" s="15" t="s">
        <v>34058</v>
      </c>
      <c r="AM1792" s="15" t="s">
        <v>34059</v>
      </c>
      <c r="AN1792" s="15" t="s">
        <v>34060</v>
      </c>
      <c r="AO1792" s="15" t="s">
        <v>34061</v>
      </c>
      <c r="AP1792" s="15" t="s">
        <v>820</v>
      </c>
      <c r="AQ1792" s="15" t="s">
        <v>34062</v>
      </c>
      <c r="AR1792" s="15" t="s">
        <v>34063</v>
      </c>
      <c r="AS1792" s="15" t="s">
        <v>823</v>
      </c>
      <c r="AT1792" s="15" t="s">
        <v>824</v>
      </c>
      <c r="AU1792" s="15" t="s">
        <v>34064</v>
      </c>
      <c r="AV1792" s="15" t="s">
        <v>526</v>
      </c>
      <c r="AW1792" s="15" t="s">
        <v>34061</v>
      </c>
      <c r="AX1792" s="15" t="s">
        <v>138</v>
      </c>
      <c r="AY1792" s="15" t="s">
        <v>34065</v>
      </c>
      <c r="AZ1792" s="15" t="s">
        <v>530</v>
      </c>
      <c r="BA1792" s="15" t="s">
        <v>531</v>
      </c>
      <c r="BB1792" s="15" t="s">
        <v>34066</v>
      </c>
      <c r="BC1792" s="15" t="s">
        <v>34067</v>
      </c>
      <c r="BD1792" s="21">
        <v>13</v>
      </c>
      <c r="BE1792" s="15" t="s">
        <v>138</v>
      </c>
      <c r="BF1792" s="15" t="s">
        <v>138</v>
      </c>
      <c r="BG1792" s="15" t="s">
        <v>138</v>
      </c>
      <c r="BH1792" s="15" t="s">
        <v>34068</v>
      </c>
      <c r="BI1792" s="15" t="s">
        <v>138</v>
      </c>
      <c r="BJ1792" s="15" t="s">
        <v>138</v>
      </c>
      <c r="BK1792" s="15" t="s">
        <v>290</v>
      </c>
      <c r="BL1792" s="15" t="s">
        <v>34069</v>
      </c>
      <c r="BM1792" s="22">
        <v>41746</v>
      </c>
      <c r="BN1792" s="17" t="s">
        <v>138</v>
      </c>
      <c r="BO1792" s="15" t="s">
        <v>138</v>
      </c>
      <c r="BP1792" s="17" t="s">
        <v>138</v>
      </c>
      <c r="BQ1792" s="15" t="s">
        <v>138</v>
      </c>
      <c r="BR1792" s="15" t="s">
        <v>316</v>
      </c>
      <c r="BS1792" s="15" t="s">
        <v>138</v>
      </c>
      <c r="BT1792" s="15" t="s">
        <v>138</v>
      </c>
      <c r="BU1792" s="15" t="s">
        <v>177</v>
      </c>
      <c r="BV1792" s="15" t="s">
        <v>138</v>
      </c>
      <c r="BW1792" s="15" t="s">
        <v>138</v>
      </c>
      <c r="BX1792" s="15" t="s">
        <v>138</v>
      </c>
      <c r="BY1792" s="15" t="s">
        <v>175</v>
      </c>
      <c r="BZ1792" s="22">
        <v>43517</v>
      </c>
      <c r="CA1792" s="17">
        <v>5</v>
      </c>
      <c r="CB1792" s="15" t="s">
        <v>172</v>
      </c>
      <c r="CC1792" s="17" t="s">
        <v>138</v>
      </c>
      <c r="CD1792" s="15" t="s">
        <v>138</v>
      </c>
      <c r="CE1792" s="15" t="s">
        <v>173</v>
      </c>
      <c r="CF1792" s="15" t="s">
        <v>138</v>
      </c>
      <c r="CG1792" s="15" t="s">
        <v>138</v>
      </c>
      <c r="CH1792" s="15" t="s">
        <v>174</v>
      </c>
      <c r="CI1792" s="15" t="s">
        <v>138</v>
      </c>
      <c r="CJ1792" s="15" t="s">
        <v>138</v>
      </c>
      <c r="CK1792" s="15" t="s">
        <v>138</v>
      </c>
      <c r="CL1792" s="15" t="s">
        <v>175</v>
      </c>
      <c r="CM1792" s="22" t="s">
        <v>138</v>
      </c>
      <c r="CN1792" s="17" t="s">
        <v>138</v>
      </c>
      <c r="CO1792" s="23">
        <v>-9.61</v>
      </c>
      <c r="CP1792" s="24">
        <v>1</v>
      </c>
      <c r="CQ1792" s="23">
        <v>-0.01</v>
      </c>
      <c r="CR1792" s="23">
        <v>-0.09</v>
      </c>
      <c r="CS1792" s="23">
        <v>-19.73</v>
      </c>
      <c r="CT1792" s="24">
        <v>1</v>
      </c>
      <c r="CU1792" s="23">
        <v>0.51</v>
      </c>
      <c r="CV1792" s="24">
        <v>94</v>
      </c>
      <c r="CW1792" s="23">
        <v>-19.73</v>
      </c>
      <c r="CX1792" s="24">
        <v>1</v>
      </c>
      <c r="CY1792" s="23" t="s">
        <v>138</v>
      </c>
      <c r="CZ1792" s="24" t="s">
        <v>138</v>
      </c>
      <c r="DA1792" s="23">
        <v>0.23</v>
      </c>
      <c r="DB1792" s="24">
        <v>85</v>
      </c>
      <c r="DC1792" s="25">
        <v>4.68</v>
      </c>
      <c r="DD1792" s="24">
        <v>82</v>
      </c>
      <c r="DE1792" s="25">
        <v>-0.42</v>
      </c>
      <c r="DF1792" s="23">
        <v>-8.2899999999999991</v>
      </c>
      <c r="DG1792" s="25">
        <v>6.7</v>
      </c>
      <c r="DH1792" s="24">
        <v>86</v>
      </c>
      <c r="DI1792" s="25">
        <v>2.65</v>
      </c>
      <c r="DJ1792" s="24">
        <v>67</v>
      </c>
      <c r="DK1792" s="25">
        <v>6.7</v>
      </c>
      <c r="DL1792" s="24">
        <v>83</v>
      </c>
      <c r="DM1792" s="25" t="s">
        <v>138</v>
      </c>
      <c r="DN1792" s="24" t="s">
        <v>138</v>
      </c>
      <c r="DO1792" s="25">
        <v>4.92</v>
      </c>
      <c r="DP1792" s="24">
        <v>79</v>
      </c>
      <c r="DQ1792" s="24">
        <v>2480</v>
      </c>
      <c r="DR1792" s="26">
        <v>-546</v>
      </c>
      <c r="DS1792" s="23">
        <v>-18.04</v>
      </c>
      <c r="DT1792" s="24" t="s">
        <v>138</v>
      </c>
      <c r="DU1792" s="26" t="s">
        <v>138</v>
      </c>
      <c r="DV1792" s="23" t="s">
        <v>138</v>
      </c>
      <c r="DW1792" s="24">
        <v>1760</v>
      </c>
      <c r="DX1792" s="27">
        <v>0</v>
      </c>
      <c r="DY1792" s="23">
        <v>0</v>
      </c>
      <c r="DZ1792" s="15" t="s">
        <v>178</v>
      </c>
      <c r="EA1792" s="22">
        <v>43620</v>
      </c>
      <c r="EB1792" s="17" t="s">
        <v>138</v>
      </c>
      <c r="EC1792" s="22" t="s">
        <v>138</v>
      </c>
      <c r="ED1792" s="15" t="s">
        <v>138</v>
      </c>
      <c r="EE1792" s="14" t="str">
        <f>HYPERLINK("https://my.pitchbook.com?c=87979-15", "View company online")</f>
        <v>View company online</v>
      </c>
    </row>
    <row r="1793" spans="1:135">
      <c r="A1793" s="28" t="s">
        <v>34070</v>
      </c>
      <c r="B1793" s="28" t="s">
        <v>34071</v>
      </c>
      <c r="C1793" s="28" t="s">
        <v>138</v>
      </c>
      <c r="D1793" s="28" t="s">
        <v>138</v>
      </c>
      <c r="E1793" s="28" t="s">
        <v>138</v>
      </c>
      <c r="F1793" s="28" t="s">
        <v>34070</v>
      </c>
      <c r="G1793" s="28" t="s">
        <v>34072</v>
      </c>
      <c r="H1793" s="28" t="s">
        <v>322</v>
      </c>
      <c r="I1793" s="28" t="s">
        <v>323</v>
      </c>
      <c r="J1793" s="28" t="s">
        <v>1084</v>
      </c>
      <c r="K1793" s="28" t="s">
        <v>34073</v>
      </c>
      <c r="L1793" s="28" t="s">
        <v>34074</v>
      </c>
      <c r="M1793" s="28" t="s">
        <v>34075</v>
      </c>
      <c r="N1793" s="28" t="s">
        <v>147</v>
      </c>
      <c r="O1793" s="29" t="s">
        <v>138</v>
      </c>
      <c r="P1793" s="28" t="s">
        <v>148</v>
      </c>
      <c r="Q1793" s="28" t="s">
        <v>149</v>
      </c>
      <c r="R1793" s="28" t="s">
        <v>174</v>
      </c>
      <c r="S1793" s="28" t="s">
        <v>34076</v>
      </c>
      <c r="T1793" s="30" t="s">
        <v>138</v>
      </c>
      <c r="U1793" s="28" t="s">
        <v>138</v>
      </c>
      <c r="V1793" s="28" t="s">
        <v>138</v>
      </c>
      <c r="W1793" s="28" t="s">
        <v>138</v>
      </c>
      <c r="X1793" s="31">
        <v>2017</v>
      </c>
      <c r="Y1793" s="28" t="s">
        <v>34077</v>
      </c>
      <c r="Z1793" s="28" t="s">
        <v>138</v>
      </c>
      <c r="AA1793" s="28" t="s">
        <v>138</v>
      </c>
      <c r="AB1793" s="32" t="s">
        <v>138</v>
      </c>
      <c r="AC1793" s="32" t="s">
        <v>138</v>
      </c>
      <c r="AD1793" s="32" t="s">
        <v>138</v>
      </c>
      <c r="AE1793" s="32" t="s">
        <v>138</v>
      </c>
      <c r="AF1793" s="32" t="s">
        <v>138</v>
      </c>
      <c r="AG1793" s="28" t="s">
        <v>138</v>
      </c>
      <c r="AH1793" s="32" t="s">
        <v>138</v>
      </c>
      <c r="AI1793" s="32" t="s">
        <v>138</v>
      </c>
      <c r="AJ1793" s="32" t="s">
        <v>138</v>
      </c>
      <c r="AK1793" s="28" t="s">
        <v>34078</v>
      </c>
      <c r="AL1793" s="28" t="s">
        <v>34079</v>
      </c>
      <c r="AM1793" s="28" t="s">
        <v>7338</v>
      </c>
      <c r="AN1793" s="28" t="s">
        <v>34080</v>
      </c>
      <c r="AO1793" s="28" t="s">
        <v>34081</v>
      </c>
      <c r="AP1793" s="28" t="s">
        <v>3905</v>
      </c>
      <c r="AQ1793" s="28" t="s">
        <v>138</v>
      </c>
      <c r="AR1793" s="28" t="s">
        <v>138</v>
      </c>
      <c r="AS1793" s="28" t="s">
        <v>3907</v>
      </c>
      <c r="AT1793" s="28" t="s">
        <v>2740</v>
      </c>
      <c r="AU1793" s="28" t="s">
        <v>34082</v>
      </c>
      <c r="AV1793" s="28" t="s">
        <v>2742</v>
      </c>
      <c r="AW1793" s="28" t="s">
        <v>138</v>
      </c>
      <c r="AX1793" s="28" t="s">
        <v>138</v>
      </c>
      <c r="AY1793" s="28" t="s">
        <v>138</v>
      </c>
      <c r="AZ1793" s="28" t="s">
        <v>164</v>
      </c>
      <c r="BA1793" s="28" t="s">
        <v>165</v>
      </c>
      <c r="BB1793" s="28" t="s">
        <v>34083</v>
      </c>
      <c r="BC1793" s="28" t="s">
        <v>34084</v>
      </c>
      <c r="BD1793" s="33">
        <v>5</v>
      </c>
      <c r="BE1793" s="28" t="s">
        <v>138</v>
      </c>
      <c r="BF1793" s="28" t="s">
        <v>138</v>
      </c>
      <c r="BG1793" s="28" t="s">
        <v>138</v>
      </c>
      <c r="BH1793" s="28" t="s">
        <v>34085</v>
      </c>
      <c r="BI1793" s="28" t="s">
        <v>138</v>
      </c>
      <c r="BJ1793" s="28" t="s">
        <v>138</v>
      </c>
      <c r="BK1793" s="28" t="s">
        <v>138</v>
      </c>
      <c r="BL1793" s="28" t="s">
        <v>27869</v>
      </c>
      <c r="BM1793" s="34" t="s">
        <v>138</v>
      </c>
      <c r="BN1793" s="29" t="s">
        <v>138</v>
      </c>
      <c r="BO1793" s="28" t="s">
        <v>138</v>
      </c>
      <c r="BP1793" s="29" t="s">
        <v>138</v>
      </c>
      <c r="BQ1793" s="28" t="s">
        <v>138</v>
      </c>
      <c r="BR1793" s="28" t="s">
        <v>234</v>
      </c>
      <c r="BS1793" s="28" t="s">
        <v>234</v>
      </c>
      <c r="BT1793" s="28" t="s">
        <v>138</v>
      </c>
      <c r="BU1793" s="28" t="s">
        <v>174</v>
      </c>
      <c r="BV1793" s="28" t="s">
        <v>138</v>
      </c>
      <c r="BW1793" s="28" t="s">
        <v>138</v>
      </c>
      <c r="BX1793" s="28" t="s">
        <v>138</v>
      </c>
      <c r="BY1793" s="28" t="s">
        <v>175</v>
      </c>
      <c r="BZ1793" s="34">
        <v>43368</v>
      </c>
      <c r="CA1793" s="29" t="s">
        <v>138</v>
      </c>
      <c r="CB1793" s="28" t="s">
        <v>138</v>
      </c>
      <c r="CC1793" s="29" t="s">
        <v>138</v>
      </c>
      <c r="CD1793" s="28" t="s">
        <v>138</v>
      </c>
      <c r="CE1793" s="28" t="s">
        <v>205</v>
      </c>
      <c r="CF1793" s="28" t="s">
        <v>206</v>
      </c>
      <c r="CG1793" s="28" t="s">
        <v>138</v>
      </c>
      <c r="CH1793" s="28" t="s">
        <v>174</v>
      </c>
      <c r="CI1793" s="28" t="s">
        <v>138</v>
      </c>
      <c r="CJ1793" s="28" t="s">
        <v>138</v>
      </c>
      <c r="CK1793" s="28" t="s">
        <v>138</v>
      </c>
      <c r="CL1793" s="28" t="s">
        <v>175</v>
      </c>
      <c r="CM1793" s="34" t="s">
        <v>138</v>
      </c>
      <c r="CN1793" s="29" t="s">
        <v>138</v>
      </c>
      <c r="CO1793" s="35">
        <v>0.26</v>
      </c>
      <c r="CP1793" s="36">
        <v>93</v>
      </c>
      <c r="CQ1793" s="35">
        <v>0.02</v>
      </c>
      <c r="CR1793" s="35">
        <v>7.18</v>
      </c>
      <c r="CS1793" s="35">
        <v>0</v>
      </c>
      <c r="CT1793" s="36">
        <v>23</v>
      </c>
      <c r="CU1793" s="35">
        <v>0.51</v>
      </c>
      <c r="CV1793" s="36">
        <v>94</v>
      </c>
      <c r="CW1793" s="35" t="s">
        <v>138</v>
      </c>
      <c r="CX1793" s="36" t="s">
        <v>138</v>
      </c>
      <c r="CY1793" s="35">
        <v>0</v>
      </c>
      <c r="CZ1793" s="36">
        <v>25</v>
      </c>
      <c r="DA1793" s="35">
        <v>1</v>
      </c>
      <c r="DB1793" s="36">
        <v>98</v>
      </c>
      <c r="DC1793" s="37">
        <v>1.8</v>
      </c>
      <c r="DD1793" s="36">
        <v>65</v>
      </c>
      <c r="DE1793" s="37">
        <v>0.04</v>
      </c>
      <c r="DF1793" s="35">
        <v>2.4900000000000002</v>
      </c>
      <c r="DG1793" s="37">
        <v>2.41</v>
      </c>
      <c r="DH1793" s="36">
        <v>70</v>
      </c>
      <c r="DI1793" s="37">
        <v>1.18</v>
      </c>
      <c r="DJ1793" s="36">
        <v>52</v>
      </c>
      <c r="DK1793" s="37" t="s">
        <v>138</v>
      </c>
      <c r="DL1793" s="36" t="s">
        <v>138</v>
      </c>
      <c r="DM1793" s="37">
        <v>2.41</v>
      </c>
      <c r="DN1793" s="36">
        <v>69</v>
      </c>
      <c r="DO1793" s="37">
        <v>1.81</v>
      </c>
      <c r="DP1793" s="36">
        <v>62</v>
      </c>
      <c r="DQ1793" s="36">
        <v>126</v>
      </c>
      <c r="DR1793" s="38">
        <v>9</v>
      </c>
      <c r="DS1793" s="35">
        <v>7.69</v>
      </c>
      <c r="DT1793" s="36">
        <v>69</v>
      </c>
      <c r="DU1793" s="38">
        <v>1</v>
      </c>
      <c r="DV1793" s="35">
        <v>1.47</v>
      </c>
      <c r="DW1793" s="36">
        <v>643</v>
      </c>
      <c r="DX1793" s="39">
        <v>11</v>
      </c>
      <c r="DY1793" s="35">
        <v>1.74</v>
      </c>
      <c r="DZ1793" s="28" t="s">
        <v>178</v>
      </c>
      <c r="EA1793" s="34">
        <v>43445</v>
      </c>
      <c r="EB1793" s="29" t="s">
        <v>138</v>
      </c>
      <c r="EC1793" s="34" t="s">
        <v>138</v>
      </c>
      <c r="ED1793" s="28" t="s">
        <v>138</v>
      </c>
      <c r="EE1793" s="40" t="str">
        <f>HYPERLINK("https://my.pitchbook.com?c=231141-79", "View company online")</f>
        <v>View company online</v>
      </c>
    </row>
    <row r="1794" spans="1:135">
      <c r="A1794" s="15" t="s">
        <v>34086</v>
      </c>
      <c r="B1794" s="15" t="s">
        <v>34087</v>
      </c>
      <c r="C1794" s="15" t="s">
        <v>138</v>
      </c>
      <c r="D1794" s="15" t="s">
        <v>138</v>
      </c>
      <c r="E1794" s="15" t="s">
        <v>34088</v>
      </c>
      <c r="F1794" s="15" t="s">
        <v>34086</v>
      </c>
      <c r="G1794" s="15" t="s">
        <v>34089</v>
      </c>
      <c r="H1794" s="15" t="s">
        <v>141</v>
      </c>
      <c r="I1794" s="15" t="s">
        <v>142</v>
      </c>
      <c r="J1794" s="15" t="s">
        <v>143</v>
      </c>
      <c r="K1794" s="15" t="s">
        <v>34090</v>
      </c>
      <c r="L1794" s="15" t="s">
        <v>30891</v>
      </c>
      <c r="M1794" s="15" t="s">
        <v>34091</v>
      </c>
      <c r="N1794" s="15" t="s">
        <v>147</v>
      </c>
      <c r="O1794" s="17">
        <v>21</v>
      </c>
      <c r="P1794" s="15" t="s">
        <v>148</v>
      </c>
      <c r="Q1794" s="15" t="s">
        <v>149</v>
      </c>
      <c r="R1794" s="15" t="s">
        <v>328</v>
      </c>
      <c r="S1794" s="15" t="s">
        <v>34092</v>
      </c>
      <c r="T1794" s="18">
        <v>17</v>
      </c>
      <c r="U1794" s="15" t="s">
        <v>34093</v>
      </c>
      <c r="V1794" s="15" t="s">
        <v>138</v>
      </c>
      <c r="W1794" s="15" t="s">
        <v>138</v>
      </c>
      <c r="X1794" s="19">
        <v>1999</v>
      </c>
      <c r="Y1794" s="15" t="s">
        <v>138</v>
      </c>
      <c r="Z1794" s="15" t="s">
        <v>138</v>
      </c>
      <c r="AA1794" s="15" t="s">
        <v>138</v>
      </c>
      <c r="AB1794" s="20" t="s">
        <v>138</v>
      </c>
      <c r="AC1794" s="20" t="s">
        <v>138</v>
      </c>
      <c r="AD1794" s="20" t="s">
        <v>138</v>
      </c>
      <c r="AE1794" s="20" t="s">
        <v>138</v>
      </c>
      <c r="AF1794" s="20" t="s">
        <v>138</v>
      </c>
      <c r="AG1794" s="15" t="s">
        <v>138</v>
      </c>
      <c r="AH1794" s="20" t="s">
        <v>138</v>
      </c>
      <c r="AI1794" s="20" t="s">
        <v>138</v>
      </c>
      <c r="AJ1794" s="20" t="s">
        <v>138</v>
      </c>
      <c r="AK1794" s="15" t="s">
        <v>34094</v>
      </c>
      <c r="AL1794" s="15" t="s">
        <v>34095</v>
      </c>
      <c r="AM1794" s="15" t="s">
        <v>34096</v>
      </c>
      <c r="AN1794" s="15" t="s">
        <v>34097</v>
      </c>
      <c r="AO1794" s="15" t="s">
        <v>34098</v>
      </c>
      <c r="AP1794" s="15" t="s">
        <v>1220</v>
      </c>
      <c r="AQ1794" s="15" t="s">
        <v>34099</v>
      </c>
      <c r="AR1794" s="15" t="s">
        <v>138</v>
      </c>
      <c r="AS1794" s="15" t="s">
        <v>1223</v>
      </c>
      <c r="AT1794" s="15" t="s">
        <v>200</v>
      </c>
      <c r="AU1794" s="15" t="s">
        <v>5087</v>
      </c>
      <c r="AV1794" s="15" t="s">
        <v>162</v>
      </c>
      <c r="AW1794" s="15" t="s">
        <v>34098</v>
      </c>
      <c r="AX1794" s="15" t="s">
        <v>34100</v>
      </c>
      <c r="AY1794" s="15" t="s">
        <v>34101</v>
      </c>
      <c r="AZ1794" s="15" t="s">
        <v>164</v>
      </c>
      <c r="BA1794" s="15" t="s">
        <v>165</v>
      </c>
      <c r="BB1794" s="15" t="s">
        <v>34102</v>
      </c>
      <c r="BC1794" s="15" t="s">
        <v>34103</v>
      </c>
      <c r="BD1794" s="21">
        <v>10</v>
      </c>
      <c r="BE1794" s="15" t="s">
        <v>138</v>
      </c>
      <c r="BF1794" s="15" t="s">
        <v>138</v>
      </c>
      <c r="BG1794" s="15" t="s">
        <v>138</v>
      </c>
      <c r="BH1794" s="15" t="s">
        <v>34104</v>
      </c>
      <c r="BI1794" s="15" t="s">
        <v>138</v>
      </c>
      <c r="BJ1794" s="15" t="s">
        <v>138</v>
      </c>
      <c r="BK1794" s="15" t="s">
        <v>138</v>
      </c>
      <c r="BL1794" s="15" t="s">
        <v>138</v>
      </c>
      <c r="BM1794" s="22" t="s">
        <v>138</v>
      </c>
      <c r="BN1794" s="17" t="s">
        <v>138</v>
      </c>
      <c r="BO1794" s="15" t="s">
        <v>138</v>
      </c>
      <c r="BP1794" s="17" t="s">
        <v>138</v>
      </c>
      <c r="BQ1794" s="15" t="s">
        <v>138</v>
      </c>
      <c r="BR1794" s="15" t="s">
        <v>205</v>
      </c>
      <c r="BS1794" s="15" t="s">
        <v>206</v>
      </c>
      <c r="BT1794" s="15" t="s">
        <v>138</v>
      </c>
      <c r="BU1794" s="15" t="s">
        <v>174</v>
      </c>
      <c r="BV1794" s="15" t="s">
        <v>138</v>
      </c>
      <c r="BW1794" s="15" t="s">
        <v>138</v>
      </c>
      <c r="BX1794" s="15" t="s">
        <v>138</v>
      </c>
      <c r="BY1794" s="15" t="s">
        <v>175</v>
      </c>
      <c r="BZ1794" s="22">
        <v>40544</v>
      </c>
      <c r="CA1794" s="17">
        <v>0.15</v>
      </c>
      <c r="CB1794" s="15" t="s">
        <v>172</v>
      </c>
      <c r="CC1794" s="17" t="s">
        <v>138</v>
      </c>
      <c r="CD1794" s="15" t="s">
        <v>138</v>
      </c>
      <c r="CE1794" s="15" t="s">
        <v>176</v>
      </c>
      <c r="CF1794" s="15" t="s">
        <v>138</v>
      </c>
      <c r="CG1794" s="15" t="s">
        <v>138</v>
      </c>
      <c r="CH1794" s="15" t="s">
        <v>177</v>
      </c>
      <c r="CI1794" s="15" t="s">
        <v>138</v>
      </c>
      <c r="CJ1794" s="15" t="s">
        <v>138</v>
      </c>
      <c r="CK1794" s="15" t="s">
        <v>138</v>
      </c>
      <c r="CL1794" s="15" t="s">
        <v>175</v>
      </c>
      <c r="CM1794" s="22" t="s">
        <v>138</v>
      </c>
      <c r="CN1794" s="17" t="s">
        <v>138</v>
      </c>
      <c r="CO1794" s="23">
        <v>-1.89</v>
      </c>
      <c r="CP1794" s="24">
        <v>6</v>
      </c>
      <c r="CQ1794" s="23">
        <v>0</v>
      </c>
      <c r="CR1794" s="23">
        <v>-0.2</v>
      </c>
      <c r="CS1794" s="23">
        <v>-1.89</v>
      </c>
      <c r="CT1794" s="24">
        <v>9</v>
      </c>
      <c r="CU1794" s="23" t="s">
        <v>138</v>
      </c>
      <c r="CV1794" s="24" t="s">
        <v>138</v>
      </c>
      <c r="CW1794" s="23">
        <v>-2.17</v>
      </c>
      <c r="CX1794" s="24">
        <v>7</v>
      </c>
      <c r="CY1794" s="23">
        <v>-1.61</v>
      </c>
      <c r="CZ1794" s="24">
        <v>14</v>
      </c>
      <c r="DA1794" s="23" t="s">
        <v>138</v>
      </c>
      <c r="DB1794" s="24" t="s">
        <v>138</v>
      </c>
      <c r="DC1794" s="25">
        <v>4.83</v>
      </c>
      <c r="DD1794" s="24">
        <v>82</v>
      </c>
      <c r="DE1794" s="25">
        <v>-0.16</v>
      </c>
      <c r="DF1794" s="23">
        <v>-3.11</v>
      </c>
      <c r="DG1794" s="25">
        <v>4.83</v>
      </c>
      <c r="DH1794" s="24">
        <v>82</v>
      </c>
      <c r="DI1794" s="25" t="s">
        <v>138</v>
      </c>
      <c r="DJ1794" s="24" t="s">
        <v>138</v>
      </c>
      <c r="DK1794" s="25">
        <v>2.69</v>
      </c>
      <c r="DL1794" s="24">
        <v>70</v>
      </c>
      <c r="DM1794" s="25">
        <v>6.97</v>
      </c>
      <c r="DN1794" s="24">
        <v>85</v>
      </c>
      <c r="DO1794" s="25" t="s">
        <v>138</v>
      </c>
      <c r="DP1794" s="24" t="s">
        <v>138</v>
      </c>
      <c r="DQ1794" s="24">
        <v>889</v>
      </c>
      <c r="DR1794" s="26">
        <v>97</v>
      </c>
      <c r="DS1794" s="23">
        <v>12.25</v>
      </c>
      <c r="DT1794" s="24">
        <v>201</v>
      </c>
      <c r="DU1794" s="26">
        <v>-1</v>
      </c>
      <c r="DV1794" s="23">
        <v>-0.5</v>
      </c>
      <c r="DW1794" s="24" t="s">
        <v>138</v>
      </c>
      <c r="DX1794" s="27" t="s">
        <v>138</v>
      </c>
      <c r="DY1794" s="23" t="s">
        <v>138</v>
      </c>
      <c r="DZ1794" s="15" t="s">
        <v>178</v>
      </c>
      <c r="EA1794" s="22">
        <v>43559</v>
      </c>
      <c r="EB1794" s="17" t="s">
        <v>138</v>
      </c>
      <c r="EC1794" s="22" t="s">
        <v>138</v>
      </c>
      <c r="ED1794" s="15" t="s">
        <v>138</v>
      </c>
      <c r="EE1794" s="14" t="str">
        <f>HYPERLINK("https://my.pitchbook.com?c=55095-49", "View company online")</f>
        <v>View company online</v>
      </c>
    </row>
    <row r="1795" spans="1:135">
      <c r="A1795" s="28" t="s">
        <v>34105</v>
      </c>
      <c r="B1795" s="28" t="s">
        <v>34106</v>
      </c>
      <c r="C1795" s="28" t="s">
        <v>138</v>
      </c>
      <c r="D1795" s="28" t="s">
        <v>138</v>
      </c>
      <c r="E1795" s="28" t="s">
        <v>34107</v>
      </c>
      <c r="F1795" s="28" t="s">
        <v>34105</v>
      </c>
      <c r="G1795" s="28" t="s">
        <v>34108</v>
      </c>
      <c r="H1795" s="28" t="s">
        <v>322</v>
      </c>
      <c r="I1795" s="28" t="s">
        <v>323</v>
      </c>
      <c r="J1795" s="28" t="s">
        <v>461</v>
      </c>
      <c r="K1795" s="28" t="s">
        <v>462</v>
      </c>
      <c r="L1795" s="28" t="s">
        <v>32495</v>
      </c>
      <c r="M1795" s="28" t="s">
        <v>34109</v>
      </c>
      <c r="N1795" s="28" t="s">
        <v>147</v>
      </c>
      <c r="O1795" s="29">
        <v>20.2</v>
      </c>
      <c r="P1795" s="28" t="s">
        <v>148</v>
      </c>
      <c r="Q1795" s="28" t="s">
        <v>149</v>
      </c>
      <c r="R1795" s="28" t="s">
        <v>174</v>
      </c>
      <c r="S1795" s="28" t="s">
        <v>34110</v>
      </c>
      <c r="T1795" s="30">
        <v>50</v>
      </c>
      <c r="U1795" s="28" t="s">
        <v>3472</v>
      </c>
      <c r="V1795" s="28" t="s">
        <v>138</v>
      </c>
      <c r="W1795" s="28" t="s">
        <v>138</v>
      </c>
      <c r="X1795" s="31">
        <v>2012</v>
      </c>
      <c r="Y1795" s="28" t="s">
        <v>138</v>
      </c>
      <c r="Z1795" s="28" t="s">
        <v>138</v>
      </c>
      <c r="AA1795" s="28" t="s">
        <v>138</v>
      </c>
      <c r="AB1795" s="32" t="s">
        <v>138</v>
      </c>
      <c r="AC1795" s="32" t="s">
        <v>138</v>
      </c>
      <c r="AD1795" s="32" t="s">
        <v>138</v>
      </c>
      <c r="AE1795" s="32" t="s">
        <v>138</v>
      </c>
      <c r="AF1795" s="32" t="s">
        <v>138</v>
      </c>
      <c r="AG1795" s="28" t="s">
        <v>138</v>
      </c>
      <c r="AH1795" s="32" t="s">
        <v>138</v>
      </c>
      <c r="AI1795" s="32" t="s">
        <v>138</v>
      </c>
      <c r="AJ1795" s="32" t="s">
        <v>138</v>
      </c>
      <c r="AK1795" s="28" t="s">
        <v>34111</v>
      </c>
      <c r="AL1795" s="28" t="s">
        <v>34112</v>
      </c>
      <c r="AM1795" s="28" t="s">
        <v>566</v>
      </c>
      <c r="AN1795" s="28" t="s">
        <v>34113</v>
      </c>
      <c r="AO1795" s="28" t="s">
        <v>34114</v>
      </c>
      <c r="AP1795" s="28" t="s">
        <v>10535</v>
      </c>
      <c r="AQ1795" s="28" t="s">
        <v>34115</v>
      </c>
      <c r="AR1795" s="28" t="s">
        <v>24917</v>
      </c>
      <c r="AS1795" s="28" t="s">
        <v>10537</v>
      </c>
      <c r="AT1795" s="28" t="s">
        <v>5271</v>
      </c>
      <c r="AU1795" s="28" t="s">
        <v>34116</v>
      </c>
      <c r="AV1795" s="28" t="s">
        <v>162</v>
      </c>
      <c r="AW1795" s="28" t="s">
        <v>34114</v>
      </c>
      <c r="AX1795" s="28" t="s">
        <v>34117</v>
      </c>
      <c r="AY1795" s="28" t="s">
        <v>138</v>
      </c>
      <c r="AZ1795" s="28" t="s">
        <v>164</v>
      </c>
      <c r="BA1795" s="28" t="s">
        <v>165</v>
      </c>
      <c r="BB1795" s="28" t="s">
        <v>34118</v>
      </c>
      <c r="BC1795" s="28" t="s">
        <v>34119</v>
      </c>
      <c r="BD1795" s="33">
        <v>6</v>
      </c>
      <c r="BE1795" s="28" t="s">
        <v>138</v>
      </c>
      <c r="BF1795" s="28" t="s">
        <v>138</v>
      </c>
      <c r="BG1795" s="28" t="s">
        <v>138</v>
      </c>
      <c r="BH1795" s="28" t="s">
        <v>34120</v>
      </c>
      <c r="BI1795" s="28" t="s">
        <v>138</v>
      </c>
      <c r="BJ1795" s="28" t="s">
        <v>138</v>
      </c>
      <c r="BK1795" s="28" t="s">
        <v>34121</v>
      </c>
      <c r="BL1795" s="28" t="s">
        <v>1275</v>
      </c>
      <c r="BM1795" s="34">
        <v>42814</v>
      </c>
      <c r="BN1795" s="29">
        <v>11.2</v>
      </c>
      <c r="BO1795" s="28" t="s">
        <v>172</v>
      </c>
      <c r="BP1795" s="29">
        <v>20.98</v>
      </c>
      <c r="BQ1795" s="28" t="s">
        <v>172</v>
      </c>
      <c r="BR1795" s="28" t="s">
        <v>173</v>
      </c>
      <c r="BS1795" s="28" t="s">
        <v>206</v>
      </c>
      <c r="BT1795" s="28" t="s">
        <v>138</v>
      </c>
      <c r="BU1795" s="28" t="s">
        <v>174</v>
      </c>
      <c r="BV1795" s="28" t="s">
        <v>138</v>
      </c>
      <c r="BW1795" s="28" t="s">
        <v>138</v>
      </c>
      <c r="BX1795" s="28" t="s">
        <v>138</v>
      </c>
      <c r="BY1795" s="28" t="s">
        <v>175</v>
      </c>
      <c r="BZ1795" s="34">
        <v>43550</v>
      </c>
      <c r="CA1795" s="29">
        <v>9</v>
      </c>
      <c r="CB1795" s="28" t="s">
        <v>172</v>
      </c>
      <c r="CC1795" s="29">
        <v>35</v>
      </c>
      <c r="CD1795" s="28" t="s">
        <v>172</v>
      </c>
      <c r="CE1795" s="28" t="s">
        <v>173</v>
      </c>
      <c r="CF1795" s="28" t="s">
        <v>720</v>
      </c>
      <c r="CG1795" s="28" t="s">
        <v>138</v>
      </c>
      <c r="CH1795" s="28" t="s">
        <v>174</v>
      </c>
      <c r="CI1795" s="28" t="s">
        <v>138</v>
      </c>
      <c r="CJ1795" s="28" t="s">
        <v>138</v>
      </c>
      <c r="CK1795" s="28" t="s">
        <v>138</v>
      </c>
      <c r="CL1795" s="28" t="s">
        <v>175</v>
      </c>
      <c r="CM1795" s="34" t="s">
        <v>138</v>
      </c>
      <c r="CN1795" s="29" t="s">
        <v>138</v>
      </c>
      <c r="CO1795" s="35">
        <v>-0.57999999999999996</v>
      </c>
      <c r="CP1795" s="36">
        <v>15</v>
      </c>
      <c r="CQ1795" s="35">
        <v>0</v>
      </c>
      <c r="CR1795" s="35">
        <v>0.14000000000000001</v>
      </c>
      <c r="CS1795" s="35">
        <v>-1.24</v>
      </c>
      <c r="CT1795" s="36">
        <v>13</v>
      </c>
      <c r="CU1795" s="35">
        <v>7.0000000000000007E-2</v>
      </c>
      <c r="CV1795" s="36">
        <v>62</v>
      </c>
      <c r="CW1795" s="35">
        <v>0</v>
      </c>
      <c r="CX1795" s="36">
        <v>13</v>
      </c>
      <c r="CY1795" s="35">
        <v>-2.48</v>
      </c>
      <c r="CZ1795" s="36">
        <v>9</v>
      </c>
      <c r="DA1795" s="35">
        <v>7.0000000000000007E-2</v>
      </c>
      <c r="DB1795" s="36">
        <v>67</v>
      </c>
      <c r="DC1795" s="37">
        <v>5.61</v>
      </c>
      <c r="DD1795" s="36">
        <v>84</v>
      </c>
      <c r="DE1795" s="37">
        <v>-0.01</v>
      </c>
      <c r="DF1795" s="35">
        <v>-0.19</v>
      </c>
      <c r="DG1795" s="37">
        <v>4.5999999999999996</v>
      </c>
      <c r="DH1795" s="36">
        <v>81</v>
      </c>
      <c r="DI1795" s="37">
        <v>6.61</v>
      </c>
      <c r="DJ1795" s="36">
        <v>81</v>
      </c>
      <c r="DK1795" s="37">
        <v>0.41</v>
      </c>
      <c r="DL1795" s="36">
        <v>28</v>
      </c>
      <c r="DM1795" s="37">
        <v>8.7899999999999991</v>
      </c>
      <c r="DN1795" s="36">
        <v>88</v>
      </c>
      <c r="DO1795" s="37">
        <v>6.61</v>
      </c>
      <c r="DP1795" s="36">
        <v>83</v>
      </c>
      <c r="DQ1795" s="36">
        <v>142</v>
      </c>
      <c r="DR1795" s="38">
        <v>-3</v>
      </c>
      <c r="DS1795" s="35">
        <v>-2.0699999999999998</v>
      </c>
      <c r="DT1795" s="36">
        <v>255</v>
      </c>
      <c r="DU1795" s="38">
        <v>-2</v>
      </c>
      <c r="DV1795" s="35">
        <v>-0.78</v>
      </c>
      <c r="DW1795" s="36">
        <v>2367</v>
      </c>
      <c r="DX1795" s="39">
        <v>2</v>
      </c>
      <c r="DY1795" s="35">
        <v>0.08</v>
      </c>
      <c r="DZ1795" s="28" t="s">
        <v>178</v>
      </c>
      <c r="EA1795" s="34">
        <v>43622</v>
      </c>
      <c r="EB1795" s="29">
        <v>35</v>
      </c>
      <c r="EC1795" s="34">
        <v>43550</v>
      </c>
      <c r="ED1795" s="28" t="s">
        <v>173</v>
      </c>
      <c r="EE1795" s="40" t="str">
        <f>HYPERLINK("https://my.pitchbook.com?c=125087-77", "View company online")</f>
        <v>View company online</v>
      </c>
    </row>
    <row r="1796" spans="1:135">
      <c r="A1796" s="15" t="s">
        <v>34122</v>
      </c>
      <c r="B1796" s="15" t="s">
        <v>34123</v>
      </c>
      <c r="C1796" s="15" t="s">
        <v>138</v>
      </c>
      <c r="D1796" s="15" t="s">
        <v>34124</v>
      </c>
      <c r="E1796" s="15" t="s">
        <v>138</v>
      </c>
      <c r="F1796" s="15" t="s">
        <v>34122</v>
      </c>
      <c r="G1796" s="15" t="s">
        <v>34125</v>
      </c>
      <c r="H1796" s="15" t="s">
        <v>141</v>
      </c>
      <c r="I1796" s="15" t="s">
        <v>212</v>
      </c>
      <c r="J1796" s="15" t="s">
        <v>2483</v>
      </c>
      <c r="K1796" s="15" t="s">
        <v>34126</v>
      </c>
      <c r="L1796" s="15" t="s">
        <v>2485</v>
      </c>
      <c r="M1796" s="15" t="s">
        <v>34127</v>
      </c>
      <c r="N1796" s="15" t="s">
        <v>147</v>
      </c>
      <c r="O1796" s="17" t="s">
        <v>138</v>
      </c>
      <c r="P1796" s="15" t="s">
        <v>148</v>
      </c>
      <c r="Q1796" s="15" t="s">
        <v>149</v>
      </c>
      <c r="R1796" s="15" t="s">
        <v>244</v>
      </c>
      <c r="S1796" s="15" t="s">
        <v>34128</v>
      </c>
      <c r="T1796" s="18">
        <v>7</v>
      </c>
      <c r="U1796" s="15" t="s">
        <v>2021</v>
      </c>
      <c r="V1796" s="15" t="s">
        <v>138</v>
      </c>
      <c r="W1796" s="15" t="s">
        <v>138</v>
      </c>
      <c r="X1796" s="19">
        <v>1994</v>
      </c>
      <c r="Y1796" s="15" t="s">
        <v>138</v>
      </c>
      <c r="Z1796" s="15" t="s">
        <v>138</v>
      </c>
      <c r="AA1796" s="15" t="s">
        <v>138</v>
      </c>
      <c r="AB1796" s="20" t="s">
        <v>138</v>
      </c>
      <c r="AC1796" s="20" t="s">
        <v>138</v>
      </c>
      <c r="AD1796" s="20" t="s">
        <v>138</v>
      </c>
      <c r="AE1796" s="20" t="s">
        <v>138</v>
      </c>
      <c r="AF1796" s="20" t="s">
        <v>138</v>
      </c>
      <c r="AG1796" s="15" t="s">
        <v>138</v>
      </c>
      <c r="AH1796" s="20" t="s">
        <v>138</v>
      </c>
      <c r="AI1796" s="20" t="s">
        <v>138</v>
      </c>
      <c r="AJ1796" s="20" t="s">
        <v>138</v>
      </c>
      <c r="AK1796" s="15" t="s">
        <v>34129</v>
      </c>
      <c r="AL1796" s="15" t="s">
        <v>34130</v>
      </c>
      <c r="AM1796" s="15" t="s">
        <v>34131</v>
      </c>
      <c r="AN1796" s="15" t="s">
        <v>34132</v>
      </c>
      <c r="AO1796" s="15" t="s">
        <v>34133</v>
      </c>
      <c r="AP1796" s="15" t="s">
        <v>446</v>
      </c>
      <c r="AQ1796" s="15" t="s">
        <v>34134</v>
      </c>
      <c r="AR1796" s="15" t="s">
        <v>34135</v>
      </c>
      <c r="AS1796" s="15" t="s">
        <v>449</v>
      </c>
      <c r="AT1796" s="15" t="s">
        <v>448</v>
      </c>
      <c r="AU1796" s="15" t="s">
        <v>34136</v>
      </c>
      <c r="AV1796" s="15" t="s">
        <v>450</v>
      </c>
      <c r="AW1796" s="15" t="s">
        <v>34133</v>
      </c>
      <c r="AX1796" s="15" t="s">
        <v>34137</v>
      </c>
      <c r="AY1796" s="15" t="s">
        <v>34138</v>
      </c>
      <c r="AZ1796" s="15" t="s">
        <v>452</v>
      </c>
      <c r="BA1796" s="15" t="s">
        <v>453</v>
      </c>
      <c r="BB1796" s="15" t="s">
        <v>34139</v>
      </c>
      <c r="BC1796" s="15" t="s">
        <v>3047</v>
      </c>
      <c r="BD1796" s="21">
        <v>1</v>
      </c>
      <c r="BE1796" s="15" t="s">
        <v>138</v>
      </c>
      <c r="BF1796" s="15" t="s">
        <v>138</v>
      </c>
      <c r="BG1796" s="15" t="s">
        <v>138</v>
      </c>
      <c r="BH1796" s="15" t="s">
        <v>3049</v>
      </c>
      <c r="BI1796" s="15" t="s">
        <v>138</v>
      </c>
      <c r="BJ1796" s="15" t="s">
        <v>138</v>
      </c>
      <c r="BK1796" s="15" t="s">
        <v>138</v>
      </c>
      <c r="BL1796" s="15" t="s">
        <v>34140</v>
      </c>
      <c r="BM1796" s="22">
        <v>41795</v>
      </c>
      <c r="BN1796" s="17" t="s">
        <v>138</v>
      </c>
      <c r="BO1796" s="15" t="s">
        <v>138</v>
      </c>
      <c r="BP1796" s="17" t="s">
        <v>138</v>
      </c>
      <c r="BQ1796" s="15" t="s">
        <v>138</v>
      </c>
      <c r="BR1796" s="15" t="s">
        <v>173</v>
      </c>
      <c r="BS1796" s="15" t="s">
        <v>433</v>
      </c>
      <c r="BT1796" s="15" t="s">
        <v>138</v>
      </c>
      <c r="BU1796" s="15" t="s">
        <v>174</v>
      </c>
      <c r="BV1796" s="15" t="s">
        <v>138</v>
      </c>
      <c r="BW1796" s="15" t="s">
        <v>138</v>
      </c>
      <c r="BX1796" s="15" t="s">
        <v>138</v>
      </c>
      <c r="BY1796" s="15" t="s">
        <v>175</v>
      </c>
      <c r="BZ1796" s="22" t="s">
        <v>138</v>
      </c>
      <c r="CA1796" s="17" t="s">
        <v>138</v>
      </c>
      <c r="CB1796" s="15" t="s">
        <v>138</v>
      </c>
      <c r="CC1796" s="17" t="s">
        <v>138</v>
      </c>
      <c r="CD1796" s="15" t="s">
        <v>138</v>
      </c>
      <c r="CE1796" s="15" t="s">
        <v>1326</v>
      </c>
      <c r="CF1796" s="15" t="s">
        <v>138</v>
      </c>
      <c r="CG1796" s="15" t="s">
        <v>138</v>
      </c>
      <c r="CH1796" s="15" t="s">
        <v>1327</v>
      </c>
      <c r="CI1796" s="15" t="s">
        <v>1328</v>
      </c>
      <c r="CJ1796" s="15" t="s">
        <v>138</v>
      </c>
      <c r="CK1796" s="15" t="s">
        <v>138</v>
      </c>
      <c r="CL1796" s="15" t="s">
        <v>175</v>
      </c>
      <c r="CM1796" s="22" t="s">
        <v>138</v>
      </c>
      <c r="CN1796" s="17" t="s">
        <v>138</v>
      </c>
      <c r="CO1796" s="23">
        <v>0</v>
      </c>
      <c r="CP1796" s="24">
        <v>26</v>
      </c>
      <c r="CQ1796" s="23">
        <v>0</v>
      </c>
      <c r="CR1796" s="23">
        <v>0</v>
      </c>
      <c r="CS1796" s="23">
        <v>0</v>
      </c>
      <c r="CT1796" s="24">
        <v>23</v>
      </c>
      <c r="CU1796" s="23" t="s">
        <v>138</v>
      </c>
      <c r="CV1796" s="24" t="s">
        <v>138</v>
      </c>
      <c r="CW1796" s="23" t="s">
        <v>138</v>
      </c>
      <c r="CX1796" s="24" t="s">
        <v>138</v>
      </c>
      <c r="CY1796" s="23">
        <v>0</v>
      </c>
      <c r="CZ1796" s="24">
        <v>25</v>
      </c>
      <c r="DA1796" s="23" t="s">
        <v>138</v>
      </c>
      <c r="DB1796" s="24" t="s">
        <v>138</v>
      </c>
      <c r="DC1796" s="25">
        <v>1.34</v>
      </c>
      <c r="DD1796" s="24">
        <v>58</v>
      </c>
      <c r="DE1796" s="25">
        <v>-0.1</v>
      </c>
      <c r="DF1796" s="23">
        <v>-7.14</v>
      </c>
      <c r="DG1796" s="25">
        <v>1.34</v>
      </c>
      <c r="DH1796" s="24">
        <v>58</v>
      </c>
      <c r="DI1796" s="25" t="s">
        <v>138</v>
      </c>
      <c r="DJ1796" s="24" t="s">
        <v>138</v>
      </c>
      <c r="DK1796" s="25" t="s">
        <v>138</v>
      </c>
      <c r="DL1796" s="24" t="s">
        <v>138</v>
      </c>
      <c r="DM1796" s="25">
        <v>1.34</v>
      </c>
      <c r="DN1796" s="24">
        <v>57</v>
      </c>
      <c r="DO1796" s="25" t="s">
        <v>138</v>
      </c>
      <c r="DP1796" s="24" t="s">
        <v>138</v>
      </c>
      <c r="DQ1796" s="24" t="s">
        <v>138</v>
      </c>
      <c r="DR1796" s="26" t="s">
        <v>138</v>
      </c>
      <c r="DS1796" s="23" t="s">
        <v>138</v>
      </c>
      <c r="DT1796" s="24">
        <v>40</v>
      </c>
      <c r="DU1796" s="26">
        <v>-2</v>
      </c>
      <c r="DV1796" s="23">
        <v>-4.76</v>
      </c>
      <c r="DW1796" s="24" t="s">
        <v>138</v>
      </c>
      <c r="DX1796" s="27" t="s">
        <v>138</v>
      </c>
      <c r="DY1796" s="23" t="s">
        <v>138</v>
      </c>
      <c r="DZ1796" s="15" t="s">
        <v>178</v>
      </c>
      <c r="EA1796" s="22">
        <v>43412</v>
      </c>
      <c r="EB1796" s="17" t="s">
        <v>138</v>
      </c>
      <c r="EC1796" s="22" t="s">
        <v>138</v>
      </c>
      <c r="ED1796" s="15" t="s">
        <v>138</v>
      </c>
      <c r="EE1796" s="14" t="str">
        <f>HYPERLINK("https://my.pitchbook.com?c=163951-48", "View company online")</f>
        <v>View company online</v>
      </c>
    </row>
    <row r="1797" spans="1:135">
      <c r="A1797" s="28" t="s">
        <v>34141</v>
      </c>
      <c r="B1797" s="28" t="s">
        <v>34142</v>
      </c>
      <c r="C1797" s="28" t="s">
        <v>138</v>
      </c>
      <c r="D1797" s="28" t="s">
        <v>138</v>
      </c>
      <c r="E1797" s="28" t="s">
        <v>34143</v>
      </c>
      <c r="F1797" s="28" t="s">
        <v>34141</v>
      </c>
      <c r="G1797" s="28" t="s">
        <v>34144</v>
      </c>
      <c r="H1797" s="28" t="s">
        <v>322</v>
      </c>
      <c r="I1797" s="28" t="s">
        <v>323</v>
      </c>
      <c r="J1797" s="28" t="s">
        <v>461</v>
      </c>
      <c r="K1797" s="28" t="s">
        <v>2209</v>
      </c>
      <c r="L1797" s="28" t="s">
        <v>27746</v>
      </c>
      <c r="M1797" s="28" t="s">
        <v>34145</v>
      </c>
      <c r="N1797" s="28" t="s">
        <v>147</v>
      </c>
      <c r="O1797" s="29">
        <v>31</v>
      </c>
      <c r="P1797" s="28" t="s">
        <v>148</v>
      </c>
      <c r="Q1797" s="28" t="s">
        <v>149</v>
      </c>
      <c r="R1797" s="28" t="s">
        <v>174</v>
      </c>
      <c r="S1797" s="28" t="s">
        <v>34146</v>
      </c>
      <c r="T1797" s="30">
        <v>81</v>
      </c>
      <c r="U1797" s="28" t="s">
        <v>34147</v>
      </c>
      <c r="V1797" s="28" t="s">
        <v>138</v>
      </c>
      <c r="W1797" s="28" t="s">
        <v>138</v>
      </c>
      <c r="X1797" s="31">
        <v>2001</v>
      </c>
      <c r="Y1797" s="28" t="s">
        <v>138</v>
      </c>
      <c r="Z1797" s="28" t="s">
        <v>138</v>
      </c>
      <c r="AA1797" s="28" t="s">
        <v>138</v>
      </c>
      <c r="AB1797" s="32" t="s">
        <v>138</v>
      </c>
      <c r="AC1797" s="32" t="s">
        <v>138</v>
      </c>
      <c r="AD1797" s="32" t="s">
        <v>138</v>
      </c>
      <c r="AE1797" s="32" t="s">
        <v>138</v>
      </c>
      <c r="AF1797" s="32" t="s">
        <v>138</v>
      </c>
      <c r="AG1797" s="28" t="s">
        <v>138</v>
      </c>
      <c r="AH1797" s="32" t="s">
        <v>138</v>
      </c>
      <c r="AI1797" s="32" t="s">
        <v>138</v>
      </c>
      <c r="AJ1797" s="32" t="s">
        <v>138</v>
      </c>
      <c r="AK1797" s="28" t="s">
        <v>34148</v>
      </c>
      <c r="AL1797" s="28" t="s">
        <v>34149</v>
      </c>
      <c r="AM1797" s="28" t="s">
        <v>1632</v>
      </c>
      <c r="AN1797" s="28" t="s">
        <v>34150</v>
      </c>
      <c r="AO1797" s="28" t="s">
        <v>34151</v>
      </c>
      <c r="AP1797" s="28" t="s">
        <v>665</v>
      </c>
      <c r="AQ1797" s="28" t="s">
        <v>26434</v>
      </c>
      <c r="AR1797" s="28" t="s">
        <v>25036</v>
      </c>
      <c r="AS1797" s="28" t="s">
        <v>668</v>
      </c>
      <c r="AT1797" s="28" t="s">
        <v>200</v>
      </c>
      <c r="AU1797" s="28" t="s">
        <v>669</v>
      </c>
      <c r="AV1797" s="28" t="s">
        <v>162</v>
      </c>
      <c r="AW1797" s="28" t="s">
        <v>34151</v>
      </c>
      <c r="AX1797" s="28" t="s">
        <v>138</v>
      </c>
      <c r="AY1797" s="28" t="s">
        <v>34152</v>
      </c>
      <c r="AZ1797" s="28" t="s">
        <v>164</v>
      </c>
      <c r="BA1797" s="28" t="s">
        <v>165</v>
      </c>
      <c r="BB1797" s="28" t="s">
        <v>34153</v>
      </c>
      <c r="BC1797" s="28" t="s">
        <v>34154</v>
      </c>
      <c r="BD1797" s="33">
        <v>3</v>
      </c>
      <c r="BE1797" s="28" t="s">
        <v>138</v>
      </c>
      <c r="BF1797" s="28" t="s">
        <v>138</v>
      </c>
      <c r="BG1797" s="28" t="s">
        <v>138</v>
      </c>
      <c r="BH1797" s="28" t="s">
        <v>34155</v>
      </c>
      <c r="BI1797" s="28" t="s">
        <v>138</v>
      </c>
      <c r="BJ1797" s="28" t="s">
        <v>138</v>
      </c>
      <c r="BK1797" s="28" t="s">
        <v>1275</v>
      </c>
      <c r="BL1797" s="28" t="s">
        <v>1275</v>
      </c>
      <c r="BM1797" s="34">
        <v>41835</v>
      </c>
      <c r="BN1797" s="29">
        <v>8</v>
      </c>
      <c r="BO1797" s="28" t="s">
        <v>172</v>
      </c>
      <c r="BP1797" s="29">
        <v>60</v>
      </c>
      <c r="BQ1797" s="28" t="s">
        <v>172</v>
      </c>
      <c r="BR1797" s="28" t="s">
        <v>173</v>
      </c>
      <c r="BS1797" s="28" t="s">
        <v>206</v>
      </c>
      <c r="BT1797" s="28" t="s">
        <v>138</v>
      </c>
      <c r="BU1797" s="28" t="s">
        <v>174</v>
      </c>
      <c r="BV1797" s="28" t="s">
        <v>138</v>
      </c>
      <c r="BW1797" s="28" t="s">
        <v>138</v>
      </c>
      <c r="BX1797" s="28" t="s">
        <v>138</v>
      </c>
      <c r="BY1797" s="28" t="s">
        <v>175</v>
      </c>
      <c r="BZ1797" s="34">
        <v>42560</v>
      </c>
      <c r="CA1797" s="29">
        <v>23</v>
      </c>
      <c r="CB1797" s="28" t="s">
        <v>172</v>
      </c>
      <c r="CC1797" s="29">
        <v>92</v>
      </c>
      <c r="CD1797" s="28" t="s">
        <v>172</v>
      </c>
      <c r="CE1797" s="28" t="s">
        <v>173</v>
      </c>
      <c r="CF1797" s="28" t="s">
        <v>720</v>
      </c>
      <c r="CG1797" s="28" t="s">
        <v>138</v>
      </c>
      <c r="CH1797" s="28" t="s">
        <v>174</v>
      </c>
      <c r="CI1797" s="28" t="s">
        <v>138</v>
      </c>
      <c r="CJ1797" s="28" t="s">
        <v>138</v>
      </c>
      <c r="CK1797" s="28" t="s">
        <v>138</v>
      </c>
      <c r="CL1797" s="28" t="s">
        <v>175</v>
      </c>
      <c r="CM1797" s="34" t="s">
        <v>138</v>
      </c>
      <c r="CN1797" s="29" t="s">
        <v>138</v>
      </c>
      <c r="CO1797" s="35">
        <v>-0.49</v>
      </c>
      <c r="CP1797" s="36">
        <v>16</v>
      </c>
      <c r="CQ1797" s="35">
        <v>0.04</v>
      </c>
      <c r="CR1797" s="35">
        <v>8.43</v>
      </c>
      <c r="CS1797" s="35">
        <v>-0.95</v>
      </c>
      <c r="CT1797" s="36">
        <v>15</v>
      </c>
      <c r="CU1797" s="35">
        <v>-0.03</v>
      </c>
      <c r="CV1797" s="36">
        <v>14</v>
      </c>
      <c r="CW1797" s="35">
        <v>0</v>
      </c>
      <c r="CX1797" s="36">
        <v>13</v>
      </c>
      <c r="CY1797" s="35">
        <v>-1.89</v>
      </c>
      <c r="CZ1797" s="36">
        <v>12</v>
      </c>
      <c r="DA1797" s="35">
        <v>-0.03</v>
      </c>
      <c r="DB1797" s="36">
        <v>17</v>
      </c>
      <c r="DC1797" s="37">
        <v>8.76</v>
      </c>
      <c r="DD1797" s="36">
        <v>89</v>
      </c>
      <c r="DE1797" s="37">
        <v>-0.06</v>
      </c>
      <c r="DF1797" s="35">
        <v>-0.64</v>
      </c>
      <c r="DG1797" s="37">
        <v>3.61</v>
      </c>
      <c r="DH1797" s="36">
        <v>78</v>
      </c>
      <c r="DI1797" s="37">
        <v>13.91</v>
      </c>
      <c r="DJ1797" s="36">
        <v>88</v>
      </c>
      <c r="DK1797" s="37">
        <v>2.92</v>
      </c>
      <c r="DL1797" s="36">
        <v>71</v>
      </c>
      <c r="DM1797" s="37">
        <v>4.3099999999999996</v>
      </c>
      <c r="DN1797" s="36">
        <v>79</v>
      </c>
      <c r="DO1797" s="37">
        <v>13.91</v>
      </c>
      <c r="DP1797" s="36">
        <v>90</v>
      </c>
      <c r="DQ1797" s="36">
        <v>962</v>
      </c>
      <c r="DR1797" s="38">
        <v>115</v>
      </c>
      <c r="DS1797" s="35">
        <v>13.58</v>
      </c>
      <c r="DT1797" s="36">
        <v>125</v>
      </c>
      <c r="DU1797" s="38">
        <v>0</v>
      </c>
      <c r="DV1797" s="35">
        <v>0</v>
      </c>
      <c r="DW1797" s="36">
        <v>4979</v>
      </c>
      <c r="DX1797" s="39">
        <v>-2</v>
      </c>
      <c r="DY1797" s="35">
        <v>-0.04</v>
      </c>
      <c r="DZ1797" s="28" t="s">
        <v>178</v>
      </c>
      <c r="EA1797" s="34">
        <v>43351</v>
      </c>
      <c r="EB1797" s="29">
        <v>92</v>
      </c>
      <c r="EC1797" s="34">
        <v>42560</v>
      </c>
      <c r="ED1797" s="28" t="s">
        <v>173</v>
      </c>
      <c r="EE1797" s="40" t="str">
        <f>HYPERLINK("https://my.pitchbook.com?c=64954-90", "View company online")</f>
        <v>View company online</v>
      </c>
    </row>
    <row r="1798" spans="1:135">
      <c r="A1798" s="15" t="s">
        <v>34156</v>
      </c>
      <c r="B1798" s="15" t="s">
        <v>34157</v>
      </c>
      <c r="C1798" s="15" t="s">
        <v>34158</v>
      </c>
      <c r="D1798" s="15" t="s">
        <v>138</v>
      </c>
      <c r="E1798" s="15" t="s">
        <v>34159</v>
      </c>
      <c r="F1798" s="15" t="s">
        <v>34156</v>
      </c>
      <c r="G1798" s="15" t="s">
        <v>34160</v>
      </c>
      <c r="H1798" s="15" t="s">
        <v>238</v>
      </c>
      <c r="I1798" s="15" t="s">
        <v>2662</v>
      </c>
      <c r="J1798" s="15" t="s">
        <v>2663</v>
      </c>
      <c r="K1798" s="15" t="s">
        <v>2664</v>
      </c>
      <c r="L1798" s="15" t="s">
        <v>4703</v>
      </c>
      <c r="M1798" s="15" t="s">
        <v>34161</v>
      </c>
      <c r="N1798" s="15" t="s">
        <v>147</v>
      </c>
      <c r="O1798" s="17">
        <v>51.83</v>
      </c>
      <c r="P1798" s="15" t="s">
        <v>148</v>
      </c>
      <c r="Q1798" s="15" t="s">
        <v>149</v>
      </c>
      <c r="R1798" s="15" t="s">
        <v>244</v>
      </c>
      <c r="S1798" s="15" t="s">
        <v>34162</v>
      </c>
      <c r="T1798" s="18">
        <v>150</v>
      </c>
      <c r="U1798" s="15" t="s">
        <v>34163</v>
      </c>
      <c r="V1798" s="15" t="s">
        <v>138</v>
      </c>
      <c r="W1798" s="15" t="s">
        <v>138</v>
      </c>
      <c r="X1798" s="19">
        <v>2010</v>
      </c>
      <c r="Y1798" s="15" t="s">
        <v>138</v>
      </c>
      <c r="Z1798" s="15" t="s">
        <v>138</v>
      </c>
      <c r="AA1798" s="15" t="s">
        <v>138</v>
      </c>
      <c r="AB1798" s="20">
        <v>225</v>
      </c>
      <c r="AC1798" s="20" t="s">
        <v>138</v>
      </c>
      <c r="AD1798" s="20" t="s">
        <v>138</v>
      </c>
      <c r="AE1798" s="20" t="s">
        <v>138</v>
      </c>
      <c r="AF1798" s="20" t="s">
        <v>138</v>
      </c>
      <c r="AG1798" s="15" t="s">
        <v>707</v>
      </c>
      <c r="AH1798" s="20" t="s">
        <v>138</v>
      </c>
      <c r="AI1798" s="20" t="s">
        <v>138</v>
      </c>
      <c r="AJ1798" s="20" t="s">
        <v>138</v>
      </c>
      <c r="AK1798" s="15" t="s">
        <v>34164</v>
      </c>
      <c r="AL1798" s="15" t="s">
        <v>34165</v>
      </c>
      <c r="AM1798" s="15" t="s">
        <v>1004</v>
      </c>
      <c r="AN1798" s="15" t="s">
        <v>34166</v>
      </c>
      <c r="AO1798" s="15" t="s">
        <v>34167</v>
      </c>
      <c r="AP1798" s="15" t="s">
        <v>423</v>
      </c>
      <c r="AQ1798" s="15" t="s">
        <v>34168</v>
      </c>
      <c r="AR1798" s="15" t="s">
        <v>618</v>
      </c>
      <c r="AS1798" s="15" t="s">
        <v>426</v>
      </c>
      <c r="AT1798" s="15" t="s">
        <v>426</v>
      </c>
      <c r="AU1798" s="15" t="s">
        <v>1074</v>
      </c>
      <c r="AV1798" s="15" t="s">
        <v>162</v>
      </c>
      <c r="AW1798" s="15" t="s">
        <v>34167</v>
      </c>
      <c r="AX1798" s="15" t="s">
        <v>138</v>
      </c>
      <c r="AY1798" s="15" t="s">
        <v>138</v>
      </c>
      <c r="AZ1798" s="15" t="s">
        <v>164</v>
      </c>
      <c r="BA1798" s="15" t="s">
        <v>165</v>
      </c>
      <c r="BB1798" s="15" t="s">
        <v>34169</v>
      </c>
      <c r="BC1798" s="15" t="s">
        <v>34170</v>
      </c>
      <c r="BD1798" s="21">
        <v>15</v>
      </c>
      <c r="BE1798" s="15" t="s">
        <v>138</v>
      </c>
      <c r="BF1798" s="15" t="s">
        <v>138</v>
      </c>
      <c r="BG1798" s="15" t="s">
        <v>138</v>
      </c>
      <c r="BH1798" s="15" t="s">
        <v>34171</v>
      </c>
      <c r="BI1798" s="15" t="s">
        <v>138</v>
      </c>
      <c r="BJ1798" s="15" t="s">
        <v>138</v>
      </c>
      <c r="BK1798" s="15" t="s">
        <v>4576</v>
      </c>
      <c r="BL1798" s="15" t="s">
        <v>34172</v>
      </c>
      <c r="BM1798" s="22">
        <v>40515</v>
      </c>
      <c r="BN1798" s="17">
        <v>1.1599999999999999</v>
      </c>
      <c r="BO1798" s="15" t="s">
        <v>172</v>
      </c>
      <c r="BP1798" s="17">
        <v>5.35</v>
      </c>
      <c r="BQ1798" s="15" t="s">
        <v>172</v>
      </c>
      <c r="BR1798" s="15" t="s">
        <v>234</v>
      </c>
      <c r="BS1798" s="15" t="s">
        <v>234</v>
      </c>
      <c r="BT1798" s="15" t="s">
        <v>138</v>
      </c>
      <c r="BU1798" s="15" t="s">
        <v>174</v>
      </c>
      <c r="BV1798" s="15" t="s">
        <v>138</v>
      </c>
      <c r="BW1798" s="15" t="s">
        <v>138</v>
      </c>
      <c r="BX1798" s="15" t="s">
        <v>138</v>
      </c>
      <c r="BY1798" s="15" t="s">
        <v>175</v>
      </c>
      <c r="BZ1798" s="22">
        <v>43185</v>
      </c>
      <c r="CA1798" s="17" t="s">
        <v>138</v>
      </c>
      <c r="CB1798" s="15" t="s">
        <v>138</v>
      </c>
      <c r="CC1798" s="17" t="s">
        <v>138</v>
      </c>
      <c r="CD1798" s="15" t="s">
        <v>138</v>
      </c>
      <c r="CE1798" s="15" t="s">
        <v>1326</v>
      </c>
      <c r="CF1798" s="15" t="s">
        <v>138</v>
      </c>
      <c r="CG1798" s="15" t="s">
        <v>138</v>
      </c>
      <c r="CH1798" s="15" t="s">
        <v>1327</v>
      </c>
      <c r="CI1798" s="15" t="s">
        <v>2528</v>
      </c>
      <c r="CJ1798" s="15" t="s">
        <v>138</v>
      </c>
      <c r="CK1798" s="15" t="s">
        <v>138</v>
      </c>
      <c r="CL1798" s="15" t="s">
        <v>175</v>
      </c>
      <c r="CM1798" s="22">
        <v>43185</v>
      </c>
      <c r="CN1798" s="17" t="s">
        <v>138</v>
      </c>
      <c r="CO1798" s="23">
        <v>-1.54</v>
      </c>
      <c r="CP1798" s="24">
        <v>7</v>
      </c>
      <c r="CQ1798" s="23">
        <v>-0.01</v>
      </c>
      <c r="CR1798" s="23">
        <v>-0.88</v>
      </c>
      <c r="CS1798" s="23">
        <v>-3.03</v>
      </c>
      <c r="CT1798" s="24">
        <v>5</v>
      </c>
      <c r="CU1798" s="23">
        <v>-0.05</v>
      </c>
      <c r="CV1798" s="24">
        <v>9</v>
      </c>
      <c r="CW1798" s="23">
        <v>-4.6100000000000003</v>
      </c>
      <c r="CX1798" s="24">
        <v>3</v>
      </c>
      <c r="CY1798" s="23">
        <v>-1.44</v>
      </c>
      <c r="CZ1798" s="24">
        <v>15</v>
      </c>
      <c r="DA1798" s="23">
        <v>-0.05</v>
      </c>
      <c r="DB1798" s="24">
        <v>13</v>
      </c>
      <c r="DC1798" s="25">
        <v>158.6</v>
      </c>
      <c r="DD1798" s="24">
        <v>100</v>
      </c>
      <c r="DE1798" s="25">
        <v>-7.35</v>
      </c>
      <c r="DF1798" s="23">
        <v>-4.43</v>
      </c>
      <c r="DG1798" s="25">
        <v>218.89</v>
      </c>
      <c r="DH1798" s="24">
        <v>100</v>
      </c>
      <c r="DI1798" s="25">
        <v>98.31</v>
      </c>
      <c r="DJ1798" s="24">
        <v>97</v>
      </c>
      <c r="DK1798" s="25">
        <v>233.19</v>
      </c>
      <c r="DL1798" s="24">
        <v>99</v>
      </c>
      <c r="DM1798" s="25">
        <v>204.59</v>
      </c>
      <c r="DN1798" s="24">
        <v>100</v>
      </c>
      <c r="DO1798" s="25">
        <v>98.31</v>
      </c>
      <c r="DP1798" s="24">
        <v>98</v>
      </c>
      <c r="DQ1798" s="24">
        <v>81124</v>
      </c>
      <c r="DR1798" s="26">
        <v>-3417</v>
      </c>
      <c r="DS1798" s="23">
        <v>-4.04</v>
      </c>
      <c r="DT1798" s="24">
        <v>5940</v>
      </c>
      <c r="DU1798" s="26">
        <v>-15</v>
      </c>
      <c r="DV1798" s="23">
        <v>-0.25</v>
      </c>
      <c r="DW1798" s="24">
        <v>35194</v>
      </c>
      <c r="DX1798" s="27">
        <v>-7</v>
      </c>
      <c r="DY1798" s="23">
        <v>-0.02</v>
      </c>
      <c r="DZ1798" s="15" t="s">
        <v>178</v>
      </c>
      <c r="EA1798" s="22">
        <v>43535</v>
      </c>
      <c r="EB1798" s="17">
        <v>85.54</v>
      </c>
      <c r="EC1798" s="22">
        <v>42478</v>
      </c>
      <c r="ED1798" s="15" t="s">
        <v>173</v>
      </c>
      <c r="EE1798" s="14" t="str">
        <f>HYPERLINK("https://my.pitchbook.com?c=51367-15", "View company online")</f>
        <v>View company online</v>
      </c>
    </row>
    <row r="1799" spans="1:135">
      <c r="A1799" s="28" t="s">
        <v>34173</v>
      </c>
      <c r="B1799" s="28" t="s">
        <v>34174</v>
      </c>
      <c r="C1799" s="28" t="s">
        <v>34175</v>
      </c>
      <c r="D1799" s="28" t="s">
        <v>138</v>
      </c>
      <c r="E1799" s="28" t="s">
        <v>138</v>
      </c>
      <c r="F1799" s="28" t="s">
        <v>34173</v>
      </c>
      <c r="G1799" s="28" t="s">
        <v>34176</v>
      </c>
      <c r="H1799" s="28" t="s">
        <v>238</v>
      </c>
      <c r="I1799" s="28" t="s">
        <v>749</v>
      </c>
      <c r="J1799" s="28" t="s">
        <v>750</v>
      </c>
      <c r="K1799" s="28" t="s">
        <v>5196</v>
      </c>
      <c r="L1799" s="28" t="s">
        <v>138</v>
      </c>
      <c r="M1799" s="28" t="s">
        <v>34177</v>
      </c>
      <c r="N1799" s="28" t="s">
        <v>2487</v>
      </c>
      <c r="O1799" s="29">
        <v>2.25</v>
      </c>
      <c r="P1799" s="28" t="s">
        <v>148</v>
      </c>
      <c r="Q1799" s="28" t="s">
        <v>149</v>
      </c>
      <c r="R1799" s="28" t="s">
        <v>174</v>
      </c>
      <c r="S1799" s="28" t="s">
        <v>34178</v>
      </c>
      <c r="T1799" s="30" t="s">
        <v>138</v>
      </c>
      <c r="U1799" s="28" t="s">
        <v>138</v>
      </c>
      <c r="V1799" s="28" t="s">
        <v>138</v>
      </c>
      <c r="W1799" s="28" t="s">
        <v>138</v>
      </c>
      <c r="X1799" s="31">
        <v>2013</v>
      </c>
      <c r="Y1799" s="28" t="s">
        <v>138</v>
      </c>
      <c r="Z1799" s="28" t="s">
        <v>138</v>
      </c>
      <c r="AA1799" s="28" t="s">
        <v>138</v>
      </c>
      <c r="AB1799" s="32" t="s">
        <v>138</v>
      </c>
      <c r="AC1799" s="32" t="s">
        <v>138</v>
      </c>
      <c r="AD1799" s="32" t="s">
        <v>138</v>
      </c>
      <c r="AE1799" s="32" t="s">
        <v>138</v>
      </c>
      <c r="AF1799" s="32" t="s">
        <v>138</v>
      </c>
      <c r="AG1799" s="28" t="s">
        <v>138</v>
      </c>
      <c r="AH1799" s="32" t="s">
        <v>138</v>
      </c>
      <c r="AI1799" s="32" t="s">
        <v>138</v>
      </c>
      <c r="AJ1799" s="32" t="s">
        <v>138</v>
      </c>
      <c r="AK1799" s="28" t="s">
        <v>34179</v>
      </c>
      <c r="AL1799" s="28" t="s">
        <v>34180</v>
      </c>
      <c r="AM1799" s="28" t="s">
        <v>5401</v>
      </c>
      <c r="AN1799" s="28" t="s">
        <v>34181</v>
      </c>
      <c r="AO1799" s="28" t="s">
        <v>34182</v>
      </c>
      <c r="AP1799" s="28" t="s">
        <v>34183</v>
      </c>
      <c r="AQ1799" s="28" t="s">
        <v>34184</v>
      </c>
      <c r="AR1799" s="28" t="s">
        <v>138</v>
      </c>
      <c r="AS1799" s="28" t="s">
        <v>34185</v>
      </c>
      <c r="AT1799" s="28" t="s">
        <v>1146</v>
      </c>
      <c r="AU1799" s="28" t="s">
        <v>34186</v>
      </c>
      <c r="AV1799" s="28" t="s">
        <v>162</v>
      </c>
      <c r="AW1799" s="28" t="s">
        <v>34187</v>
      </c>
      <c r="AX1799" s="28" t="s">
        <v>138</v>
      </c>
      <c r="AY1799" s="28" t="s">
        <v>34188</v>
      </c>
      <c r="AZ1799" s="28" t="s">
        <v>164</v>
      </c>
      <c r="BA1799" s="28" t="s">
        <v>165</v>
      </c>
      <c r="BB1799" s="28" t="s">
        <v>34189</v>
      </c>
      <c r="BC1799" s="28" t="s">
        <v>34190</v>
      </c>
      <c r="BD1799" s="33">
        <v>3</v>
      </c>
      <c r="BE1799" s="28" t="s">
        <v>138</v>
      </c>
      <c r="BF1799" s="28" t="s">
        <v>138</v>
      </c>
      <c r="BG1799" s="28" t="s">
        <v>138</v>
      </c>
      <c r="BH1799" s="28" t="s">
        <v>34191</v>
      </c>
      <c r="BI1799" s="28" t="s">
        <v>138</v>
      </c>
      <c r="BJ1799" s="28" t="s">
        <v>138</v>
      </c>
      <c r="BK1799" s="28" t="s">
        <v>15319</v>
      </c>
      <c r="BL1799" s="28" t="s">
        <v>138</v>
      </c>
      <c r="BM1799" s="34">
        <v>43082</v>
      </c>
      <c r="BN1799" s="29">
        <v>2</v>
      </c>
      <c r="BO1799" s="28" t="s">
        <v>172</v>
      </c>
      <c r="BP1799" s="29" t="s">
        <v>138</v>
      </c>
      <c r="BQ1799" s="28" t="s">
        <v>138</v>
      </c>
      <c r="BR1799" s="28" t="s">
        <v>205</v>
      </c>
      <c r="BS1799" s="28" t="s">
        <v>138</v>
      </c>
      <c r="BT1799" s="28" t="s">
        <v>138</v>
      </c>
      <c r="BU1799" s="28" t="s">
        <v>174</v>
      </c>
      <c r="BV1799" s="28" t="s">
        <v>138</v>
      </c>
      <c r="BW1799" s="28" t="s">
        <v>138</v>
      </c>
      <c r="BX1799" s="28" t="s">
        <v>138</v>
      </c>
      <c r="BY1799" s="28" t="s">
        <v>175</v>
      </c>
      <c r="BZ1799" s="34">
        <v>43181</v>
      </c>
      <c r="CA1799" s="29">
        <v>0.25</v>
      </c>
      <c r="CB1799" s="28" t="s">
        <v>172</v>
      </c>
      <c r="CC1799" s="29" t="s">
        <v>138</v>
      </c>
      <c r="CD1799" s="28" t="s">
        <v>138</v>
      </c>
      <c r="CE1799" s="28" t="s">
        <v>262</v>
      </c>
      <c r="CF1799" s="28" t="s">
        <v>262</v>
      </c>
      <c r="CG1799" s="28" t="s">
        <v>138</v>
      </c>
      <c r="CH1799" s="28" t="s">
        <v>263</v>
      </c>
      <c r="CI1799" s="28" t="s">
        <v>264</v>
      </c>
      <c r="CJ1799" s="28" t="s">
        <v>138</v>
      </c>
      <c r="CK1799" s="28" t="s">
        <v>138</v>
      </c>
      <c r="CL1799" s="28" t="s">
        <v>352</v>
      </c>
      <c r="CM1799" s="34" t="s">
        <v>138</v>
      </c>
      <c r="CN1799" s="29" t="s">
        <v>138</v>
      </c>
      <c r="CO1799" s="35">
        <v>-1.62</v>
      </c>
      <c r="CP1799" s="36">
        <v>7</v>
      </c>
      <c r="CQ1799" s="35">
        <v>-0.15</v>
      </c>
      <c r="CR1799" s="35">
        <v>-10.46</v>
      </c>
      <c r="CS1799" s="35">
        <v>-3.44</v>
      </c>
      <c r="CT1799" s="36">
        <v>4</v>
      </c>
      <c r="CU1799" s="35">
        <v>0.2</v>
      </c>
      <c r="CV1799" s="36">
        <v>80</v>
      </c>
      <c r="CW1799" s="35">
        <v>-6.87</v>
      </c>
      <c r="CX1799" s="36">
        <v>2</v>
      </c>
      <c r="CY1799" s="35">
        <v>0</v>
      </c>
      <c r="CZ1799" s="36">
        <v>25</v>
      </c>
      <c r="DA1799" s="35">
        <v>0.2</v>
      </c>
      <c r="DB1799" s="36">
        <v>82</v>
      </c>
      <c r="DC1799" s="37">
        <v>2.58</v>
      </c>
      <c r="DD1799" s="36">
        <v>72</v>
      </c>
      <c r="DE1799" s="37">
        <v>-3.59</v>
      </c>
      <c r="DF1799" s="35">
        <v>-58.22</v>
      </c>
      <c r="DG1799" s="37">
        <v>2.2599999999999998</v>
      </c>
      <c r="DH1799" s="36">
        <v>69</v>
      </c>
      <c r="DI1799" s="37">
        <v>2.89</v>
      </c>
      <c r="DJ1799" s="36">
        <v>69</v>
      </c>
      <c r="DK1799" s="37">
        <v>3.84</v>
      </c>
      <c r="DL1799" s="36">
        <v>75</v>
      </c>
      <c r="DM1799" s="37">
        <v>0.69</v>
      </c>
      <c r="DN1799" s="36">
        <v>41</v>
      </c>
      <c r="DO1799" s="37">
        <v>2.89</v>
      </c>
      <c r="DP1799" s="36">
        <v>70</v>
      </c>
      <c r="DQ1799" s="36">
        <v>1357</v>
      </c>
      <c r="DR1799" s="38">
        <v>-121</v>
      </c>
      <c r="DS1799" s="35">
        <v>-8.19</v>
      </c>
      <c r="DT1799" s="36">
        <v>19</v>
      </c>
      <c r="DU1799" s="38">
        <v>0</v>
      </c>
      <c r="DV1799" s="35">
        <v>0</v>
      </c>
      <c r="DW1799" s="36">
        <v>1034</v>
      </c>
      <c r="DX1799" s="39">
        <v>-2</v>
      </c>
      <c r="DY1799" s="35">
        <v>-0.19</v>
      </c>
      <c r="DZ1799" s="28" t="s">
        <v>178</v>
      </c>
      <c r="EA1799" s="34">
        <v>43570</v>
      </c>
      <c r="EB1799" s="29" t="s">
        <v>138</v>
      </c>
      <c r="EC1799" s="34" t="s">
        <v>138</v>
      </c>
      <c r="ED1799" s="28" t="s">
        <v>138</v>
      </c>
      <c r="EE1799" s="40" t="str">
        <f>HYPERLINK("https://my.pitchbook.com?c=223032-43", "View company online")</f>
        <v>View company online</v>
      </c>
    </row>
    <row r="1800" spans="1:135">
      <c r="A1800" s="15" t="s">
        <v>34192</v>
      </c>
      <c r="B1800" s="15" t="s">
        <v>34193</v>
      </c>
      <c r="C1800" s="15" t="s">
        <v>138</v>
      </c>
      <c r="D1800" s="15" t="s">
        <v>138</v>
      </c>
      <c r="E1800" s="15" t="s">
        <v>34194</v>
      </c>
      <c r="F1800" s="15" t="s">
        <v>34192</v>
      </c>
      <c r="G1800" s="15" t="s">
        <v>34195</v>
      </c>
      <c r="H1800" s="15" t="s">
        <v>238</v>
      </c>
      <c r="I1800" s="15" t="s">
        <v>785</v>
      </c>
      <c r="J1800" s="15" t="s">
        <v>6223</v>
      </c>
      <c r="K1800" s="15" t="s">
        <v>34196</v>
      </c>
      <c r="L1800" s="15" t="s">
        <v>34197</v>
      </c>
      <c r="M1800" s="15" t="s">
        <v>34198</v>
      </c>
      <c r="N1800" s="15" t="s">
        <v>147</v>
      </c>
      <c r="O1800" s="17">
        <v>76.7</v>
      </c>
      <c r="P1800" s="15" t="s">
        <v>812</v>
      </c>
      <c r="Q1800" s="15" t="s">
        <v>149</v>
      </c>
      <c r="R1800" s="15" t="s">
        <v>244</v>
      </c>
      <c r="S1800" s="15" t="s">
        <v>34199</v>
      </c>
      <c r="T1800" s="18">
        <v>100</v>
      </c>
      <c r="U1800" s="15" t="s">
        <v>34200</v>
      </c>
      <c r="V1800" s="15" t="s">
        <v>138</v>
      </c>
      <c r="W1800" s="15" t="s">
        <v>138</v>
      </c>
      <c r="X1800" s="19">
        <v>2011</v>
      </c>
      <c r="Y1800" s="15" t="s">
        <v>138</v>
      </c>
      <c r="Z1800" s="15" t="s">
        <v>138</v>
      </c>
      <c r="AA1800" s="15" t="s">
        <v>138</v>
      </c>
      <c r="AB1800" s="20">
        <v>200</v>
      </c>
      <c r="AC1800" s="20" t="s">
        <v>138</v>
      </c>
      <c r="AD1800" s="20" t="s">
        <v>138</v>
      </c>
      <c r="AE1800" s="20" t="s">
        <v>138</v>
      </c>
      <c r="AF1800" s="20" t="s">
        <v>138</v>
      </c>
      <c r="AG1800" s="15" t="s">
        <v>815</v>
      </c>
      <c r="AH1800" s="20" t="s">
        <v>138</v>
      </c>
      <c r="AI1800" s="20" t="s">
        <v>138</v>
      </c>
      <c r="AJ1800" s="20" t="s">
        <v>138</v>
      </c>
      <c r="AK1800" s="15" t="s">
        <v>34201</v>
      </c>
      <c r="AL1800" s="15" t="s">
        <v>34202</v>
      </c>
      <c r="AM1800" s="15" t="s">
        <v>304</v>
      </c>
      <c r="AN1800" s="15" t="s">
        <v>34203</v>
      </c>
      <c r="AO1800" s="15" t="s">
        <v>34204</v>
      </c>
      <c r="AP1800" s="15" t="s">
        <v>423</v>
      </c>
      <c r="AQ1800" s="15" t="s">
        <v>34205</v>
      </c>
      <c r="AR1800" s="15" t="s">
        <v>4403</v>
      </c>
      <c r="AS1800" s="15" t="s">
        <v>426</v>
      </c>
      <c r="AT1800" s="15" t="s">
        <v>426</v>
      </c>
      <c r="AU1800" s="15" t="s">
        <v>921</v>
      </c>
      <c r="AV1800" s="15" t="s">
        <v>162</v>
      </c>
      <c r="AW1800" s="15" t="s">
        <v>34204</v>
      </c>
      <c r="AX1800" s="15" t="s">
        <v>138</v>
      </c>
      <c r="AY1800" s="15" t="s">
        <v>34206</v>
      </c>
      <c r="AZ1800" s="15" t="s">
        <v>164</v>
      </c>
      <c r="BA1800" s="15" t="s">
        <v>165</v>
      </c>
      <c r="BB1800" s="15" t="s">
        <v>34207</v>
      </c>
      <c r="BC1800" s="15" t="s">
        <v>34208</v>
      </c>
      <c r="BD1800" s="21">
        <v>26</v>
      </c>
      <c r="BE1800" s="15" t="s">
        <v>138</v>
      </c>
      <c r="BF1800" s="15" t="s">
        <v>138</v>
      </c>
      <c r="BG1800" s="15" t="s">
        <v>138</v>
      </c>
      <c r="BH1800" s="15" t="s">
        <v>34209</v>
      </c>
      <c r="BI1800" s="15" t="s">
        <v>138</v>
      </c>
      <c r="BJ1800" s="15" t="s">
        <v>138</v>
      </c>
      <c r="BK1800" s="15" t="s">
        <v>34210</v>
      </c>
      <c r="BL1800" s="15" t="s">
        <v>34211</v>
      </c>
      <c r="BM1800" s="22">
        <v>41081</v>
      </c>
      <c r="BN1800" s="17">
        <v>1.7</v>
      </c>
      <c r="BO1800" s="15" t="s">
        <v>172</v>
      </c>
      <c r="BP1800" s="17">
        <v>7.87</v>
      </c>
      <c r="BQ1800" s="15" t="s">
        <v>172</v>
      </c>
      <c r="BR1800" s="15" t="s">
        <v>234</v>
      </c>
      <c r="BS1800" s="15" t="s">
        <v>234</v>
      </c>
      <c r="BT1800" s="15" t="s">
        <v>138</v>
      </c>
      <c r="BU1800" s="15" t="s">
        <v>174</v>
      </c>
      <c r="BV1800" s="15" t="s">
        <v>264</v>
      </c>
      <c r="BW1800" s="15" t="s">
        <v>138</v>
      </c>
      <c r="BX1800" s="15" t="s">
        <v>138</v>
      </c>
      <c r="BY1800" s="15" t="s">
        <v>175</v>
      </c>
      <c r="BZ1800" s="22">
        <v>43237</v>
      </c>
      <c r="CA1800" s="17" t="s">
        <v>138</v>
      </c>
      <c r="CB1800" s="15" t="s">
        <v>138</v>
      </c>
      <c r="CC1800" s="17" t="s">
        <v>138</v>
      </c>
      <c r="CD1800" s="15" t="s">
        <v>138</v>
      </c>
      <c r="CE1800" s="15" t="s">
        <v>173</v>
      </c>
      <c r="CF1800" s="15" t="s">
        <v>138</v>
      </c>
      <c r="CG1800" s="15" t="s">
        <v>138</v>
      </c>
      <c r="CH1800" s="15" t="s">
        <v>174</v>
      </c>
      <c r="CI1800" s="15" t="s">
        <v>138</v>
      </c>
      <c r="CJ1800" s="15" t="s">
        <v>138</v>
      </c>
      <c r="CK1800" s="15" t="s">
        <v>138</v>
      </c>
      <c r="CL1800" s="15" t="s">
        <v>175</v>
      </c>
      <c r="CM1800" s="22">
        <v>43020</v>
      </c>
      <c r="CN1800" s="17" t="s">
        <v>138</v>
      </c>
      <c r="CO1800" s="23">
        <v>-0.36</v>
      </c>
      <c r="CP1800" s="24">
        <v>18</v>
      </c>
      <c r="CQ1800" s="23">
        <v>-0.05</v>
      </c>
      <c r="CR1800" s="23">
        <v>-17.690000000000001</v>
      </c>
      <c r="CS1800" s="23">
        <v>-1.52</v>
      </c>
      <c r="CT1800" s="24">
        <v>11</v>
      </c>
      <c r="CU1800" s="23">
        <v>0.02</v>
      </c>
      <c r="CV1800" s="24">
        <v>51</v>
      </c>
      <c r="CW1800" s="23">
        <v>-1.33</v>
      </c>
      <c r="CX1800" s="24">
        <v>9</v>
      </c>
      <c r="CY1800" s="23">
        <v>-1.71</v>
      </c>
      <c r="CZ1800" s="24">
        <v>13</v>
      </c>
      <c r="DA1800" s="23">
        <v>-0.02</v>
      </c>
      <c r="DB1800" s="24">
        <v>19</v>
      </c>
      <c r="DC1800" s="25">
        <v>798.15</v>
      </c>
      <c r="DD1800" s="24">
        <v>100</v>
      </c>
      <c r="DE1800" s="25">
        <v>-8.77</v>
      </c>
      <c r="DF1800" s="23">
        <v>-1.0900000000000001</v>
      </c>
      <c r="DG1800" s="25">
        <v>271.36</v>
      </c>
      <c r="DH1800" s="24">
        <v>100</v>
      </c>
      <c r="DI1800" s="25">
        <v>2074.02</v>
      </c>
      <c r="DJ1800" s="24">
        <v>100</v>
      </c>
      <c r="DK1800" s="25">
        <v>453.68</v>
      </c>
      <c r="DL1800" s="24">
        <v>100</v>
      </c>
      <c r="DM1800" s="25">
        <v>89.03</v>
      </c>
      <c r="DN1800" s="24">
        <v>99</v>
      </c>
      <c r="DO1800" s="25">
        <v>861.16</v>
      </c>
      <c r="DP1800" s="24">
        <v>100</v>
      </c>
      <c r="DQ1800" s="24">
        <v>159094</v>
      </c>
      <c r="DR1800" s="26">
        <v>-10448</v>
      </c>
      <c r="DS1800" s="23">
        <v>-6.16</v>
      </c>
      <c r="DT1800" s="24">
        <v>2583</v>
      </c>
      <c r="DU1800" s="26">
        <v>-7</v>
      </c>
      <c r="DV1800" s="23">
        <v>-0.27</v>
      </c>
      <c r="DW1800" s="24">
        <v>308328</v>
      </c>
      <c r="DX1800" s="27">
        <v>-15</v>
      </c>
      <c r="DY1800" s="23">
        <v>0</v>
      </c>
      <c r="DZ1800" s="15" t="s">
        <v>178</v>
      </c>
      <c r="EA1800" s="22">
        <v>43558</v>
      </c>
      <c r="EB1800" s="17">
        <v>270</v>
      </c>
      <c r="EC1800" s="22">
        <v>42725</v>
      </c>
      <c r="ED1800" s="15" t="s">
        <v>173</v>
      </c>
      <c r="EE1800" s="14" t="str">
        <f>HYPERLINK("https://my.pitchbook.com?c=54793-90", "View company online")</f>
        <v>View company online</v>
      </c>
    </row>
    <row r="1801" spans="1:135">
      <c r="A1801" s="28" t="s">
        <v>34212</v>
      </c>
      <c r="B1801" s="28" t="s">
        <v>34213</v>
      </c>
      <c r="C1801" s="28" t="s">
        <v>138</v>
      </c>
      <c r="D1801" s="28" t="s">
        <v>138</v>
      </c>
      <c r="E1801" s="28" t="s">
        <v>34214</v>
      </c>
      <c r="F1801" s="28" t="s">
        <v>34212</v>
      </c>
      <c r="G1801" s="28" t="s">
        <v>34215</v>
      </c>
      <c r="H1801" s="28" t="s">
        <v>322</v>
      </c>
      <c r="I1801" s="28" t="s">
        <v>356</v>
      </c>
      <c r="J1801" s="28" t="s">
        <v>3030</v>
      </c>
      <c r="K1801" s="28" t="s">
        <v>5883</v>
      </c>
      <c r="L1801" s="28" t="s">
        <v>138</v>
      </c>
      <c r="M1801" s="28" t="s">
        <v>34216</v>
      </c>
      <c r="N1801" s="28" t="s">
        <v>147</v>
      </c>
      <c r="O1801" s="29">
        <v>155.35</v>
      </c>
      <c r="P1801" s="28" t="s">
        <v>148</v>
      </c>
      <c r="Q1801" s="28" t="s">
        <v>149</v>
      </c>
      <c r="R1801" s="28" t="s">
        <v>174</v>
      </c>
      <c r="S1801" s="28" t="s">
        <v>34217</v>
      </c>
      <c r="T1801" s="30">
        <v>172</v>
      </c>
      <c r="U1801" s="28" t="s">
        <v>34218</v>
      </c>
      <c r="V1801" s="28" t="s">
        <v>138</v>
      </c>
      <c r="W1801" s="28" t="s">
        <v>138</v>
      </c>
      <c r="X1801" s="31">
        <v>2013</v>
      </c>
      <c r="Y1801" s="28" t="s">
        <v>138</v>
      </c>
      <c r="Z1801" s="28" t="s">
        <v>1163</v>
      </c>
      <c r="AA1801" s="28" t="s">
        <v>1163</v>
      </c>
      <c r="AB1801" s="32" t="s">
        <v>138</v>
      </c>
      <c r="AC1801" s="32" t="s">
        <v>138</v>
      </c>
      <c r="AD1801" s="32" t="s">
        <v>138</v>
      </c>
      <c r="AE1801" s="32" t="s">
        <v>138</v>
      </c>
      <c r="AF1801" s="32" t="s">
        <v>138</v>
      </c>
      <c r="AG1801" s="28" t="s">
        <v>138</v>
      </c>
      <c r="AH1801" s="32" t="s">
        <v>138</v>
      </c>
      <c r="AI1801" s="32" t="s">
        <v>138</v>
      </c>
      <c r="AJ1801" s="32" t="s">
        <v>138</v>
      </c>
      <c r="AK1801" s="28" t="s">
        <v>34219</v>
      </c>
      <c r="AL1801" s="28" t="s">
        <v>34220</v>
      </c>
      <c r="AM1801" s="28" t="s">
        <v>34221</v>
      </c>
      <c r="AN1801" s="28" t="s">
        <v>34222</v>
      </c>
      <c r="AO1801" s="28" t="s">
        <v>34223</v>
      </c>
      <c r="AP1801" s="28" t="s">
        <v>3839</v>
      </c>
      <c r="AQ1801" s="28" t="s">
        <v>34224</v>
      </c>
      <c r="AR1801" s="28" t="s">
        <v>138</v>
      </c>
      <c r="AS1801" s="28" t="s">
        <v>3841</v>
      </c>
      <c r="AT1801" s="28" t="s">
        <v>200</v>
      </c>
      <c r="AU1801" s="28" t="s">
        <v>3842</v>
      </c>
      <c r="AV1801" s="28" t="s">
        <v>162</v>
      </c>
      <c r="AW1801" s="28" t="s">
        <v>34223</v>
      </c>
      <c r="AX1801" s="28" t="s">
        <v>138</v>
      </c>
      <c r="AY1801" s="28" t="s">
        <v>34225</v>
      </c>
      <c r="AZ1801" s="28" t="s">
        <v>164</v>
      </c>
      <c r="BA1801" s="28" t="s">
        <v>165</v>
      </c>
      <c r="BB1801" s="28" t="s">
        <v>34226</v>
      </c>
      <c r="BC1801" s="28" t="s">
        <v>34227</v>
      </c>
      <c r="BD1801" s="33">
        <v>17</v>
      </c>
      <c r="BE1801" s="28" t="s">
        <v>138</v>
      </c>
      <c r="BF1801" s="28" t="s">
        <v>138</v>
      </c>
      <c r="BG1801" s="28" t="s">
        <v>138</v>
      </c>
      <c r="BH1801" s="28" t="s">
        <v>34228</v>
      </c>
      <c r="BI1801" s="28" t="s">
        <v>138</v>
      </c>
      <c r="BJ1801" s="28" t="s">
        <v>138</v>
      </c>
      <c r="BK1801" s="28" t="s">
        <v>432</v>
      </c>
      <c r="BL1801" s="28" t="s">
        <v>432</v>
      </c>
      <c r="BM1801" s="34">
        <v>41632</v>
      </c>
      <c r="BN1801" s="29">
        <v>1.35</v>
      </c>
      <c r="BO1801" s="28" t="s">
        <v>172</v>
      </c>
      <c r="BP1801" s="29">
        <v>11.35</v>
      </c>
      <c r="BQ1801" s="28" t="s">
        <v>172</v>
      </c>
      <c r="BR1801" s="28" t="s">
        <v>234</v>
      </c>
      <c r="BS1801" s="28" t="s">
        <v>234</v>
      </c>
      <c r="BT1801" s="28" t="s">
        <v>138</v>
      </c>
      <c r="BU1801" s="28" t="s">
        <v>174</v>
      </c>
      <c r="BV1801" s="28" t="s">
        <v>138</v>
      </c>
      <c r="BW1801" s="28" t="s">
        <v>138</v>
      </c>
      <c r="BX1801" s="28" t="s">
        <v>138</v>
      </c>
      <c r="BY1801" s="28" t="s">
        <v>175</v>
      </c>
      <c r="BZ1801" s="34" t="s">
        <v>138</v>
      </c>
      <c r="CA1801" s="29" t="s">
        <v>138</v>
      </c>
      <c r="CB1801" s="28" t="s">
        <v>138</v>
      </c>
      <c r="CC1801" s="29" t="s">
        <v>138</v>
      </c>
      <c r="CD1801" s="28" t="s">
        <v>138</v>
      </c>
      <c r="CE1801" s="28" t="s">
        <v>173</v>
      </c>
      <c r="CF1801" s="28" t="s">
        <v>138</v>
      </c>
      <c r="CG1801" s="28" t="s">
        <v>138</v>
      </c>
      <c r="CH1801" s="28" t="s">
        <v>174</v>
      </c>
      <c r="CI1801" s="28" t="s">
        <v>138</v>
      </c>
      <c r="CJ1801" s="28" t="s">
        <v>138</v>
      </c>
      <c r="CK1801" s="28" t="s">
        <v>138</v>
      </c>
      <c r="CL1801" s="28" t="s">
        <v>175</v>
      </c>
      <c r="CM1801" s="34" t="s">
        <v>138</v>
      </c>
      <c r="CN1801" s="29" t="s">
        <v>138</v>
      </c>
      <c r="CO1801" s="35">
        <v>0.33</v>
      </c>
      <c r="CP1801" s="36">
        <v>94</v>
      </c>
      <c r="CQ1801" s="35">
        <v>-0.03</v>
      </c>
      <c r="CR1801" s="35">
        <v>-7.69</v>
      </c>
      <c r="CS1801" s="35">
        <v>0.32</v>
      </c>
      <c r="CT1801" s="36">
        <v>95</v>
      </c>
      <c r="CU1801" s="35">
        <v>0.24</v>
      </c>
      <c r="CV1801" s="36">
        <v>84</v>
      </c>
      <c r="CW1801" s="35">
        <v>0.66</v>
      </c>
      <c r="CX1801" s="36">
        <v>83</v>
      </c>
      <c r="CY1801" s="35">
        <v>-0.03</v>
      </c>
      <c r="CZ1801" s="36">
        <v>24</v>
      </c>
      <c r="DA1801" s="35">
        <v>0.35</v>
      </c>
      <c r="DB1801" s="36">
        <v>90</v>
      </c>
      <c r="DC1801" s="37">
        <v>4.5999999999999996</v>
      </c>
      <c r="DD1801" s="36">
        <v>82</v>
      </c>
      <c r="DE1801" s="37">
        <v>-0.22</v>
      </c>
      <c r="DF1801" s="35">
        <v>-4.59</v>
      </c>
      <c r="DG1801" s="37">
        <v>11.25</v>
      </c>
      <c r="DH1801" s="36">
        <v>91</v>
      </c>
      <c r="DI1801" s="37">
        <v>2.21</v>
      </c>
      <c r="DJ1801" s="36">
        <v>64</v>
      </c>
      <c r="DK1801" s="37">
        <v>9.61</v>
      </c>
      <c r="DL1801" s="36">
        <v>86</v>
      </c>
      <c r="DM1801" s="37">
        <v>12.9</v>
      </c>
      <c r="DN1801" s="36">
        <v>91</v>
      </c>
      <c r="DO1801" s="37">
        <v>3.9</v>
      </c>
      <c r="DP1801" s="36">
        <v>75</v>
      </c>
      <c r="DQ1801" s="36">
        <v>3285</v>
      </c>
      <c r="DR1801" s="38">
        <v>29</v>
      </c>
      <c r="DS1801" s="35">
        <v>0.89</v>
      </c>
      <c r="DT1801" s="36">
        <v>375</v>
      </c>
      <c r="DU1801" s="38">
        <v>-4</v>
      </c>
      <c r="DV1801" s="35">
        <v>-1.06</v>
      </c>
      <c r="DW1801" s="36">
        <v>1394</v>
      </c>
      <c r="DX1801" s="39">
        <v>9</v>
      </c>
      <c r="DY1801" s="35">
        <v>0.65</v>
      </c>
      <c r="DZ1801" s="28" t="s">
        <v>178</v>
      </c>
      <c r="EA1801" s="34">
        <v>43607</v>
      </c>
      <c r="EB1801" s="29">
        <v>380</v>
      </c>
      <c r="EC1801" s="34">
        <v>42696</v>
      </c>
      <c r="ED1801" s="28" t="s">
        <v>173</v>
      </c>
      <c r="EE1801" s="40" t="str">
        <f>HYPERLINK("https://my.pitchbook.com?c=95747-50", "View company online")</f>
        <v>View company online</v>
      </c>
    </row>
    <row r="1802" spans="1:135">
      <c r="A1802" s="15" t="s">
        <v>34229</v>
      </c>
      <c r="B1802" s="15" t="s">
        <v>34230</v>
      </c>
      <c r="C1802" s="15" t="s">
        <v>138</v>
      </c>
      <c r="D1802" s="15" t="s">
        <v>34231</v>
      </c>
      <c r="E1802" s="15" t="s">
        <v>34232</v>
      </c>
      <c r="F1802" s="15" t="s">
        <v>34229</v>
      </c>
      <c r="G1802" s="15" t="s">
        <v>34233</v>
      </c>
      <c r="H1802" s="15" t="s">
        <v>238</v>
      </c>
      <c r="I1802" s="15" t="s">
        <v>749</v>
      </c>
      <c r="J1802" s="15" t="s">
        <v>750</v>
      </c>
      <c r="K1802" s="15" t="s">
        <v>751</v>
      </c>
      <c r="L1802" s="15" t="s">
        <v>138</v>
      </c>
      <c r="M1802" s="15" t="s">
        <v>34234</v>
      </c>
      <c r="N1802" s="15" t="s">
        <v>147</v>
      </c>
      <c r="O1802" s="17">
        <v>9.25</v>
      </c>
      <c r="P1802" s="15" t="s">
        <v>148</v>
      </c>
      <c r="Q1802" s="15" t="s">
        <v>149</v>
      </c>
      <c r="R1802" s="15" t="s">
        <v>150</v>
      </c>
      <c r="S1802" s="15" t="s">
        <v>34235</v>
      </c>
      <c r="T1802" s="18">
        <v>27</v>
      </c>
      <c r="U1802" s="15" t="s">
        <v>34236</v>
      </c>
      <c r="V1802" s="15" t="s">
        <v>138</v>
      </c>
      <c r="W1802" s="15" t="s">
        <v>138</v>
      </c>
      <c r="X1802" s="19">
        <v>2001</v>
      </c>
      <c r="Y1802" s="15" t="s">
        <v>138</v>
      </c>
      <c r="Z1802" s="15" t="s">
        <v>138</v>
      </c>
      <c r="AA1802" s="15" t="s">
        <v>138</v>
      </c>
      <c r="AB1802" s="20">
        <v>1.2</v>
      </c>
      <c r="AC1802" s="20" t="s">
        <v>138</v>
      </c>
      <c r="AD1802" s="20" t="s">
        <v>138</v>
      </c>
      <c r="AE1802" s="20" t="s">
        <v>138</v>
      </c>
      <c r="AF1802" s="20">
        <v>2</v>
      </c>
      <c r="AG1802" s="15" t="s">
        <v>633</v>
      </c>
      <c r="AH1802" s="20" t="s">
        <v>138</v>
      </c>
      <c r="AI1802" s="20" t="s">
        <v>138</v>
      </c>
      <c r="AJ1802" s="20" t="s">
        <v>138</v>
      </c>
      <c r="AK1802" s="15" t="s">
        <v>34237</v>
      </c>
      <c r="AL1802" s="15" t="s">
        <v>34238</v>
      </c>
      <c r="AM1802" s="15" t="s">
        <v>249</v>
      </c>
      <c r="AN1802" s="15" t="s">
        <v>34239</v>
      </c>
      <c r="AO1802" s="15" t="s">
        <v>34240</v>
      </c>
      <c r="AP1802" s="15" t="s">
        <v>665</v>
      </c>
      <c r="AQ1802" s="15" t="s">
        <v>34241</v>
      </c>
      <c r="AR1802" s="15" t="s">
        <v>3159</v>
      </c>
      <c r="AS1802" s="15" t="s">
        <v>668</v>
      </c>
      <c r="AT1802" s="15" t="s">
        <v>200</v>
      </c>
      <c r="AU1802" s="15" t="s">
        <v>22333</v>
      </c>
      <c r="AV1802" s="15" t="s">
        <v>162</v>
      </c>
      <c r="AW1802" s="15" t="s">
        <v>34242</v>
      </c>
      <c r="AX1802" s="15" t="s">
        <v>34243</v>
      </c>
      <c r="AY1802" s="15" t="s">
        <v>34244</v>
      </c>
      <c r="AZ1802" s="15" t="s">
        <v>164</v>
      </c>
      <c r="BA1802" s="15" t="s">
        <v>165</v>
      </c>
      <c r="BB1802" s="15" t="s">
        <v>34245</v>
      </c>
      <c r="BC1802" s="15" t="s">
        <v>34246</v>
      </c>
      <c r="BD1802" s="21">
        <v>6</v>
      </c>
      <c r="BE1802" s="15" t="s">
        <v>138</v>
      </c>
      <c r="BF1802" s="15" t="s">
        <v>138</v>
      </c>
      <c r="BG1802" s="15" t="s">
        <v>34247</v>
      </c>
      <c r="BH1802" s="15" t="s">
        <v>34248</v>
      </c>
      <c r="BI1802" s="15" t="s">
        <v>138</v>
      </c>
      <c r="BJ1802" s="15" t="s">
        <v>34249</v>
      </c>
      <c r="BK1802" s="15" t="s">
        <v>34250</v>
      </c>
      <c r="BL1802" s="15" t="s">
        <v>34250</v>
      </c>
      <c r="BM1802" s="22" t="s">
        <v>138</v>
      </c>
      <c r="BN1802" s="17" t="s">
        <v>138</v>
      </c>
      <c r="BO1802" s="15" t="s">
        <v>138</v>
      </c>
      <c r="BP1802" s="17" t="s">
        <v>138</v>
      </c>
      <c r="BQ1802" s="15" t="s">
        <v>138</v>
      </c>
      <c r="BR1802" s="15" t="s">
        <v>205</v>
      </c>
      <c r="BS1802" s="15" t="s">
        <v>138</v>
      </c>
      <c r="BT1802" s="15" t="s">
        <v>138</v>
      </c>
      <c r="BU1802" s="15" t="s">
        <v>174</v>
      </c>
      <c r="BV1802" s="15" t="s">
        <v>138</v>
      </c>
      <c r="BW1802" s="15" t="s">
        <v>138</v>
      </c>
      <c r="BX1802" s="15" t="s">
        <v>138</v>
      </c>
      <c r="BY1802" s="15" t="s">
        <v>175</v>
      </c>
      <c r="BZ1802" s="22">
        <v>43245</v>
      </c>
      <c r="CA1802" s="17" t="s">
        <v>138</v>
      </c>
      <c r="CB1802" s="15" t="s">
        <v>138</v>
      </c>
      <c r="CC1802" s="17" t="s">
        <v>138</v>
      </c>
      <c r="CD1802" s="15" t="s">
        <v>138</v>
      </c>
      <c r="CE1802" s="15" t="s">
        <v>2228</v>
      </c>
      <c r="CF1802" s="15" t="s">
        <v>138</v>
      </c>
      <c r="CG1802" s="15" t="s">
        <v>138</v>
      </c>
      <c r="CH1802" s="15" t="s">
        <v>780</v>
      </c>
      <c r="CI1802" s="15" t="s">
        <v>138</v>
      </c>
      <c r="CJ1802" s="15" t="s">
        <v>138</v>
      </c>
      <c r="CK1802" s="15" t="s">
        <v>138</v>
      </c>
      <c r="CL1802" s="15" t="s">
        <v>352</v>
      </c>
      <c r="CM1802" s="22" t="s">
        <v>138</v>
      </c>
      <c r="CN1802" s="17" t="s">
        <v>138</v>
      </c>
      <c r="CO1802" s="23">
        <v>3.79</v>
      </c>
      <c r="CP1802" s="24">
        <v>100</v>
      </c>
      <c r="CQ1802" s="23">
        <v>-0.01</v>
      </c>
      <c r="CR1802" s="23">
        <v>-0.16</v>
      </c>
      <c r="CS1802" s="23">
        <v>7.61</v>
      </c>
      <c r="CT1802" s="24">
        <v>100</v>
      </c>
      <c r="CU1802" s="23">
        <v>-0.04</v>
      </c>
      <c r="CV1802" s="24">
        <v>12</v>
      </c>
      <c r="CW1802" s="23">
        <v>7.61</v>
      </c>
      <c r="CX1802" s="24">
        <v>98</v>
      </c>
      <c r="CY1802" s="23" t="s">
        <v>138</v>
      </c>
      <c r="CZ1802" s="24" t="s">
        <v>138</v>
      </c>
      <c r="DA1802" s="23">
        <v>-0.04</v>
      </c>
      <c r="DB1802" s="24">
        <v>15</v>
      </c>
      <c r="DC1802" s="25">
        <v>11.73</v>
      </c>
      <c r="DD1802" s="24">
        <v>91</v>
      </c>
      <c r="DE1802" s="25">
        <v>-0.74</v>
      </c>
      <c r="DF1802" s="23">
        <v>-5.95</v>
      </c>
      <c r="DG1802" s="25">
        <v>12.11</v>
      </c>
      <c r="DH1802" s="24">
        <v>91</v>
      </c>
      <c r="DI1802" s="25">
        <v>11.35</v>
      </c>
      <c r="DJ1802" s="24">
        <v>86</v>
      </c>
      <c r="DK1802" s="25">
        <v>12.11</v>
      </c>
      <c r="DL1802" s="24">
        <v>88</v>
      </c>
      <c r="DM1802" s="25" t="s">
        <v>138</v>
      </c>
      <c r="DN1802" s="24" t="s">
        <v>138</v>
      </c>
      <c r="DO1802" s="25">
        <v>11.35</v>
      </c>
      <c r="DP1802" s="24">
        <v>88</v>
      </c>
      <c r="DQ1802" s="24">
        <v>4059</v>
      </c>
      <c r="DR1802" s="26">
        <v>284</v>
      </c>
      <c r="DS1802" s="23">
        <v>7.52</v>
      </c>
      <c r="DT1802" s="24" t="s">
        <v>138</v>
      </c>
      <c r="DU1802" s="26" t="s">
        <v>138</v>
      </c>
      <c r="DV1802" s="23" t="s">
        <v>138</v>
      </c>
      <c r="DW1802" s="24">
        <v>4061</v>
      </c>
      <c r="DX1802" s="27">
        <v>0</v>
      </c>
      <c r="DY1802" s="23">
        <v>0</v>
      </c>
      <c r="DZ1802" s="15" t="s">
        <v>178</v>
      </c>
      <c r="EA1802" s="22">
        <v>43550</v>
      </c>
      <c r="EB1802" s="17" t="s">
        <v>138</v>
      </c>
      <c r="EC1802" s="22" t="s">
        <v>138</v>
      </c>
      <c r="ED1802" s="15" t="s">
        <v>138</v>
      </c>
      <c r="EE1802" s="14" t="str">
        <f>HYPERLINK("https://my.pitchbook.com?c=56462-23", "View company online")</f>
        <v>View company online</v>
      </c>
    </row>
    <row r="1803" spans="1:135">
      <c r="A1803" s="28" t="s">
        <v>34251</v>
      </c>
      <c r="B1803" s="28" t="s">
        <v>34252</v>
      </c>
      <c r="C1803" s="28" t="s">
        <v>138</v>
      </c>
      <c r="D1803" s="28" t="s">
        <v>138</v>
      </c>
      <c r="E1803" s="28" t="s">
        <v>34253</v>
      </c>
      <c r="F1803" s="28" t="s">
        <v>34251</v>
      </c>
      <c r="G1803" s="28" t="s">
        <v>34254</v>
      </c>
      <c r="H1803" s="28" t="s">
        <v>322</v>
      </c>
      <c r="I1803" s="28" t="s">
        <v>323</v>
      </c>
      <c r="J1803" s="28" t="s">
        <v>437</v>
      </c>
      <c r="K1803" s="28" t="s">
        <v>1861</v>
      </c>
      <c r="L1803" s="28" t="s">
        <v>19825</v>
      </c>
      <c r="M1803" s="28" t="s">
        <v>34255</v>
      </c>
      <c r="N1803" s="28" t="s">
        <v>147</v>
      </c>
      <c r="O1803" s="29">
        <v>31</v>
      </c>
      <c r="P1803" s="28" t="s">
        <v>610</v>
      </c>
      <c r="Q1803" s="28" t="s">
        <v>149</v>
      </c>
      <c r="R1803" s="28" t="s">
        <v>174</v>
      </c>
      <c r="S1803" s="28" t="s">
        <v>34256</v>
      </c>
      <c r="T1803" s="30">
        <v>20</v>
      </c>
      <c r="U1803" s="28" t="s">
        <v>34257</v>
      </c>
      <c r="V1803" s="28" t="s">
        <v>138</v>
      </c>
      <c r="W1803" s="28" t="s">
        <v>138</v>
      </c>
      <c r="X1803" s="31">
        <v>2015</v>
      </c>
      <c r="Y1803" s="28" t="s">
        <v>138</v>
      </c>
      <c r="Z1803" s="28" t="s">
        <v>138</v>
      </c>
      <c r="AA1803" s="28" t="s">
        <v>138</v>
      </c>
      <c r="AB1803" s="32" t="s">
        <v>138</v>
      </c>
      <c r="AC1803" s="32" t="s">
        <v>138</v>
      </c>
      <c r="AD1803" s="32" t="s">
        <v>138</v>
      </c>
      <c r="AE1803" s="32" t="s">
        <v>138</v>
      </c>
      <c r="AF1803" s="32" t="s">
        <v>138</v>
      </c>
      <c r="AG1803" s="28" t="s">
        <v>138</v>
      </c>
      <c r="AH1803" s="32" t="s">
        <v>138</v>
      </c>
      <c r="AI1803" s="32" t="s">
        <v>138</v>
      </c>
      <c r="AJ1803" s="32" t="s">
        <v>138</v>
      </c>
      <c r="AK1803" s="28" t="s">
        <v>34258</v>
      </c>
      <c r="AL1803" s="28" t="s">
        <v>34259</v>
      </c>
      <c r="AM1803" s="28" t="s">
        <v>304</v>
      </c>
      <c r="AN1803" s="28" t="s">
        <v>34260</v>
      </c>
      <c r="AO1803" s="28" t="s">
        <v>34261</v>
      </c>
      <c r="AP1803" s="28" t="s">
        <v>307</v>
      </c>
      <c r="AQ1803" s="28" t="s">
        <v>138</v>
      </c>
      <c r="AR1803" s="28" t="s">
        <v>138</v>
      </c>
      <c r="AS1803" s="28" t="s">
        <v>310</v>
      </c>
      <c r="AT1803" s="28" t="s">
        <v>200</v>
      </c>
      <c r="AU1803" s="28" t="s">
        <v>138</v>
      </c>
      <c r="AV1803" s="28" t="s">
        <v>162</v>
      </c>
      <c r="AW1803" s="28" t="s">
        <v>34261</v>
      </c>
      <c r="AX1803" s="28" t="s">
        <v>138</v>
      </c>
      <c r="AY1803" s="28" t="s">
        <v>34262</v>
      </c>
      <c r="AZ1803" s="28" t="s">
        <v>164</v>
      </c>
      <c r="BA1803" s="28" t="s">
        <v>165</v>
      </c>
      <c r="BB1803" s="28" t="s">
        <v>34263</v>
      </c>
      <c r="BC1803" s="28" t="s">
        <v>34264</v>
      </c>
      <c r="BD1803" s="33">
        <v>17</v>
      </c>
      <c r="BE1803" s="28" t="s">
        <v>138</v>
      </c>
      <c r="BF1803" s="28" t="s">
        <v>138</v>
      </c>
      <c r="BG1803" s="28" t="s">
        <v>138</v>
      </c>
      <c r="BH1803" s="28" t="s">
        <v>34265</v>
      </c>
      <c r="BI1803" s="28" t="s">
        <v>138</v>
      </c>
      <c r="BJ1803" s="28" t="s">
        <v>138</v>
      </c>
      <c r="BK1803" s="28" t="s">
        <v>2936</v>
      </c>
      <c r="BL1803" s="28" t="s">
        <v>2936</v>
      </c>
      <c r="BM1803" s="34">
        <v>42341</v>
      </c>
      <c r="BN1803" s="29">
        <v>6</v>
      </c>
      <c r="BO1803" s="28" t="s">
        <v>172</v>
      </c>
      <c r="BP1803" s="29">
        <v>24</v>
      </c>
      <c r="BQ1803" s="28" t="s">
        <v>172</v>
      </c>
      <c r="BR1803" s="28" t="s">
        <v>205</v>
      </c>
      <c r="BS1803" s="28" t="s">
        <v>206</v>
      </c>
      <c r="BT1803" s="28" t="s">
        <v>138</v>
      </c>
      <c r="BU1803" s="28" t="s">
        <v>174</v>
      </c>
      <c r="BV1803" s="28" t="s">
        <v>138</v>
      </c>
      <c r="BW1803" s="28" t="s">
        <v>138</v>
      </c>
      <c r="BX1803" s="28" t="s">
        <v>138</v>
      </c>
      <c r="BY1803" s="28" t="s">
        <v>175</v>
      </c>
      <c r="BZ1803" s="34">
        <v>42661</v>
      </c>
      <c r="CA1803" s="29">
        <v>25</v>
      </c>
      <c r="CB1803" s="28" t="s">
        <v>172</v>
      </c>
      <c r="CC1803" s="29">
        <v>75.44</v>
      </c>
      <c r="CD1803" s="28" t="s">
        <v>172</v>
      </c>
      <c r="CE1803" s="28" t="s">
        <v>205</v>
      </c>
      <c r="CF1803" s="28" t="s">
        <v>720</v>
      </c>
      <c r="CG1803" s="28" t="s">
        <v>138</v>
      </c>
      <c r="CH1803" s="28" t="s">
        <v>174</v>
      </c>
      <c r="CI1803" s="28" t="s">
        <v>138</v>
      </c>
      <c r="CJ1803" s="28" t="s">
        <v>138</v>
      </c>
      <c r="CK1803" s="28" t="s">
        <v>138</v>
      </c>
      <c r="CL1803" s="28" t="s">
        <v>175</v>
      </c>
      <c r="CM1803" s="34" t="s">
        <v>138</v>
      </c>
      <c r="CN1803" s="29" t="s">
        <v>138</v>
      </c>
      <c r="CO1803" s="35">
        <v>-2.89</v>
      </c>
      <c r="CP1803" s="36">
        <v>3</v>
      </c>
      <c r="CQ1803" s="35">
        <v>0.02</v>
      </c>
      <c r="CR1803" s="35">
        <v>0.77</v>
      </c>
      <c r="CS1803" s="35">
        <v>-5.87</v>
      </c>
      <c r="CT1803" s="36">
        <v>2</v>
      </c>
      <c r="CU1803" s="35">
        <v>0.08</v>
      </c>
      <c r="CV1803" s="36">
        <v>64</v>
      </c>
      <c r="CW1803" s="35">
        <v>-11.75</v>
      </c>
      <c r="CX1803" s="36">
        <v>1</v>
      </c>
      <c r="CY1803" s="35">
        <v>0</v>
      </c>
      <c r="CZ1803" s="36">
        <v>25</v>
      </c>
      <c r="DA1803" s="35">
        <v>0</v>
      </c>
      <c r="DB1803" s="36">
        <v>22</v>
      </c>
      <c r="DC1803" s="37">
        <v>7.3</v>
      </c>
      <c r="DD1803" s="36">
        <v>87</v>
      </c>
      <c r="DE1803" s="37">
        <v>-0.17</v>
      </c>
      <c r="DF1803" s="35">
        <v>-2.23</v>
      </c>
      <c r="DG1803" s="37">
        <v>11.89</v>
      </c>
      <c r="DH1803" s="36">
        <v>91</v>
      </c>
      <c r="DI1803" s="37">
        <v>2.7</v>
      </c>
      <c r="DJ1803" s="36">
        <v>68</v>
      </c>
      <c r="DK1803" s="37">
        <v>4.88</v>
      </c>
      <c r="DL1803" s="36">
        <v>79</v>
      </c>
      <c r="DM1803" s="37">
        <v>18.899999999999999</v>
      </c>
      <c r="DN1803" s="36">
        <v>94</v>
      </c>
      <c r="DO1803" s="37">
        <v>0.1</v>
      </c>
      <c r="DP1803" s="36">
        <v>16</v>
      </c>
      <c r="DQ1803" s="36">
        <v>1667</v>
      </c>
      <c r="DR1803" s="38">
        <v>17</v>
      </c>
      <c r="DS1803" s="35">
        <v>1.03</v>
      </c>
      <c r="DT1803" s="36">
        <v>548</v>
      </c>
      <c r="DU1803" s="38">
        <v>-1</v>
      </c>
      <c r="DV1803" s="35">
        <v>-0.18</v>
      </c>
      <c r="DW1803" s="36">
        <v>35</v>
      </c>
      <c r="DX1803" s="39">
        <v>0</v>
      </c>
      <c r="DY1803" s="35">
        <v>0</v>
      </c>
      <c r="DZ1803" s="28" t="s">
        <v>178</v>
      </c>
      <c r="EA1803" s="34">
        <v>43351</v>
      </c>
      <c r="EB1803" s="29">
        <v>75.44</v>
      </c>
      <c r="EC1803" s="34">
        <v>42661</v>
      </c>
      <c r="ED1803" s="28" t="s">
        <v>205</v>
      </c>
      <c r="EE1803" s="40" t="str">
        <f>HYPERLINK("https://my.pitchbook.com?c=148915-00", "View company online")</f>
        <v>View company online</v>
      </c>
    </row>
    <row r="1804" spans="1:135">
      <c r="A1804" s="15" t="s">
        <v>34266</v>
      </c>
      <c r="B1804" s="15" t="s">
        <v>34267</v>
      </c>
      <c r="C1804" s="15" t="s">
        <v>138</v>
      </c>
      <c r="D1804" s="15" t="s">
        <v>11658</v>
      </c>
      <c r="E1804" s="15" t="s">
        <v>138</v>
      </c>
      <c r="F1804" s="15" t="s">
        <v>34266</v>
      </c>
      <c r="G1804" s="15" t="s">
        <v>34268</v>
      </c>
      <c r="H1804" s="15" t="s">
        <v>238</v>
      </c>
      <c r="I1804" s="15" t="s">
        <v>1351</v>
      </c>
      <c r="J1804" s="15" t="s">
        <v>1352</v>
      </c>
      <c r="K1804" s="15" t="s">
        <v>9200</v>
      </c>
      <c r="L1804" s="15" t="s">
        <v>242</v>
      </c>
      <c r="M1804" s="15" t="s">
        <v>34269</v>
      </c>
      <c r="N1804" s="15" t="s">
        <v>147</v>
      </c>
      <c r="O1804" s="17">
        <v>1</v>
      </c>
      <c r="P1804" s="15" t="s">
        <v>148</v>
      </c>
      <c r="Q1804" s="15" t="s">
        <v>149</v>
      </c>
      <c r="R1804" s="15" t="s">
        <v>174</v>
      </c>
      <c r="S1804" s="15" t="s">
        <v>34270</v>
      </c>
      <c r="T1804" s="18">
        <v>6</v>
      </c>
      <c r="U1804" s="15" t="s">
        <v>6114</v>
      </c>
      <c r="V1804" s="15" t="s">
        <v>138</v>
      </c>
      <c r="W1804" s="15" t="s">
        <v>138</v>
      </c>
      <c r="X1804" s="19">
        <v>2012</v>
      </c>
      <c r="Y1804" s="15" t="s">
        <v>138</v>
      </c>
      <c r="Z1804" s="15" t="s">
        <v>138</v>
      </c>
      <c r="AA1804" s="15" t="s">
        <v>138</v>
      </c>
      <c r="AB1804" s="20" t="s">
        <v>138</v>
      </c>
      <c r="AC1804" s="20" t="s">
        <v>138</v>
      </c>
      <c r="AD1804" s="20" t="s">
        <v>138</v>
      </c>
      <c r="AE1804" s="20" t="s">
        <v>138</v>
      </c>
      <c r="AF1804" s="20" t="s">
        <v>138</v>
      </c>
      <c r="AG1804" s="15" t="s">
        <v>138</v>
      </c>
      <c r="AH1804" s="20" t="s">
        <v>138</v>
      </c>
      <c r="AI1804" s="20" t="s">
        <v>138</v>
      </c>
      <c r="AJ1804" s="20" t="s">
        <v>138</v>
      </c>
      <c r="AK1804" s="15" t="s">
        <v>34271</v>
      </c>
      <c r="AL1804" s="15" t="s">
        <v>34272</v>
      </c>
      <c r="AM1804" s="15" t="s">
        <v>304</v>
      </c>
      <c r="AN1804" s="15" t="s">
        <v>34273</v>
      </c>
      <c r="AO1804" s="15" t="s">
        <v>34274</v>
      </c>
      <c r="AP1804" s="15" t="s">
        <v>34275</v>
      </c>
      <c r="AQ1804" s="15" t="s">
        <v>34276</v>
      </c>
      <c r="AR1804" s="15" t="s">
        <v>138</v>
      </c>
      <c r="AS1804" s="15" t="s">
        <v>34277</v>
      </c>
      <c r="AT1804" s="15" t="s">
        <v>284</v>
      </c>
      <c r="AU1804" s="15" t="s">
        <v>34278</v>
      </c>
      <c r="AV1804" s="15" t="s">
        <v>162</v>
      </c>
      <c r="AW1804" s="15" t="s">
        <v>138</v>
      </c>
      <c r="AX1804" s="15" t="s">
        <v>138</v>
      </c>
      <c r="AY1804" s="15" t="s">
        <v>34279</v>
      </c>
      <c r="AZ1804" s="15" t="s">
        <v>164</v>
      </c>
      <c r="BA1804" s="15" t="s">
        <v>165</v>
      </c>
      <c r="BB1804" s="15" t="s">
        <v>34280</v>
      </c>
      <c r="BC1804" s="15" t="s">
        <v>34281</v>
      </c>
      <c r="BD1804" s="21">
        <v>3</v>
      </c>
      <c r="BE1804" s="15" t="s">
        <v>138</v>
      </c>
      <c r="BF1804" s="15" t="s">
        <v>138</v>
      </c>
      <c r="BG1804" s="15" t="s">
        <v>138</v>
      </c>
      <c r="BH1804" s="15" t="s">
        <v>34282</v>
      </c>
      <c r="BI1804" s="15" t="s">
        <v>138</v>
      </c>
      <c r="BJ1804" s="15" t="s">
        <v>138</v>
      </c>
      <c r="BK1804" s="15" t="s">
        <v>204</v>
      </c>
      <c r="BL1804" s="15" t="s">
        <v>19576</v>
      </c>
      <c r="BM1804" s="22">
        <v>41644</v>
      </c>
      <c r="BN1804" s="17">
        <v>0.18</v>
      </c>
      <c r="BO1804" s="15" t="s">
        <v>172</v>
      </c>
      <c r="BP1804" s="17" t="s">
        <v>138</v>
      </c>
      <c r="BQ1804" s="15" t="s">
        <v>138</v>
      </c>
      <c r="BR1804" s="15" t="s">
        <v>1830</v>
      </c>
      <c r="BS1804" s="15" t="s">
        <v>138</v>
      </c>
      <c r="BT1804" s="15" t="s">
        <v>138</v>
      </c>
      <c r="BU1804" s="15" t="s">
        <v>263</v>
      </c>
      <c r="BV1804" s="15" t="s">
        <v>138</v>
      </c>
      <c r="BW1804" s="15" t="s">
        <v>138</v>
      </c>
      <c r="BX1804" s="15" t="s">
        <v>138</v>
      </c>
      <c r="BY1804" s="15" t="s">
        <v>175</v>
      </c>
      <c r="BZ1804" s="22">
        <v>42861</v>
      </c>
      <c r="CA1804" s="17">
        <v>0.5</v>
      </c>
      <c r="CB1804" s="15" t="s">
        <v>172</v>
      </c>
      <c r="CC1804" s="17" t="s">
        <v>138</v>
      </c>
      <c r="CD1804" s="15" t="s">
        <v>138</v>
      </c>
      <c r="CE1804" s="15" t="s">
        <v>1830</v>
      </c>
      <c r="CF1804" s="15" t="s">
        <v>138</v>
      </c>
      <c r="CG1804" s="15" t="s">
        <v>138</v>
      </c>
      <c r="CH1804" s="15" t="s">
        <v>263</v>
      </c>
      <c r="CI1804" s="15" t="s">
        <v>138</v>
      </c>
      <c r="CJ1804" s="15" t="s">
        <v>138</v>
      </c>
      <c r="CK1804" s="15" t="s">
        <v>138</v>
      </c>
      <c r="CL1804" s="15" t="s">
        <v>175</v>
      </c>
      <c r="CM1804" s="22" t="s">
        <v>138</v>
      </c>
      <c r="CN1804" s="17" t="s">
        <v>138</v>
      </c>
      <c r="CO1804" s="23">
        <v>1.7</v>
      </c>
      <c r="CP1804" s="24">
        <v>99</v>
      </c>
      <c r="CQ1804" s="23">
        <v>0.04</v>
      </c>
      <c r="CR1804" s="23">
        <v>2.54</v>
      </c>
      <c r="CS1804" s="23">
        <v>2.17</v>
      </c>
      <c r="CT1804" s="24">
        <v>98</v>
      </c>
      <c r="CU1804" s="23">
        <v>-0.01</v>
      </c>
      <c r="CV1804" s="24">
        <v>20</v>
      </c>
      <c r="CW1804" s="23">
        <v>5.18</v>
      </c>
      <c r="CX1804" s="24">
        <v>96</v>
      </c>
      <c r="CY1804" s="23">
        <v>-0.84</v>
      </c>
      <c r="CZ1804" s="24">
        <v>20</v>
      </c>
      <c r="DA1804" s="23">
        <v>0</v>
      </c>
      <c r="DB1804" s="24">
        <v>22</v>
      </c>
      <c r="DC1804" s="25">
        <v>17.059999999999999</v>
      </c>
      <c r="DD1804" s="24">
        <v>94</v>
      </c>
      <c r="DE1804" s="25">
        <v>-0.54</v>
      </c>
      <c r="DF1804" s="23">
        <v>-3.05</v>
      </c>
      <c r="DG1804" s="25">
        <v>21.72</v>
      </c>
      <c r="DH1804" s="24">
        <v>95</v>
      </c>
      <c r="DI1804" s="25">
        <v>27.91</v>
      </c>
      <c r="DJ1804" s="24">
        <v>93</v>
      </c>
      <c r="DK1804" s="25">
        <v>26.09</v>
      </c>
      <c r="DL1804" s="24">
        <v>93</v>
      </c>
      <c r="DM1804" s="25">
        <v>17.34</v>
      </c>
      <c r="DN1804" s="24">
        <v>93</v>
      </c>
      <c r="DO1804" s="25">
        <v>2.2599999999999998</v>
      </c>
      <c r="DP1804" s="24">
        <v>66</v>
      </c>
      <c r="DQ1804" s="24">
        <v>8831</v>
      </c>
      <c r="DR1804" s="26">
        <v>351</v>
      </c>
      <c r="DS1804" s="23">
        <v>4.1399999999999997</v>
      </c>
      <c r="DT1804" s="24">
        <v>503</v>
      </c>
      <c r="DU1804" s="26">
        <v>0</v>
      </c>
      <c r="DV1804" s="23">
        <v>0</v>
      </c>
      <c r="DW1804" s="24">
        <v>810</v>
      </c>
      <c r="DX1804" s="27">
        <v>0</v>
      </c>
      <c r="DY1804" s="23">
        <v>0</v>
      </c>
      <c r="DZ1804" s="15" t="s">
        <v>178</v>
      </c>
      <c r="EA1804" s="22">
        <v>43351</v>
      </c>
      <c r="EB1804" s="17" t="s">
        <v>138</v>
      </c>
      <c r="EC1804" s="22" t="s">
        <v>138</v>
      </c>
      <c r="ED1804" s="15" t="s">
        <v>138</v>
      </c>
      <c r="EE1804" s="14" t="str">
        <f>HYPERLINK("https://my.pitchbook.com?c=104695-57", "View company online")</f>
        <v>View company online</v>
      </c>
    </row>
    <row r="1805" spans="1:135">
      <c r="A1805" s="28" t="s">
        <v>34283</v>
      </c>
      <c r="B1805" s="28" t="s">
        <v>34284</v>
      </c>
      <c r="C1805" s="28" t="s">
        <v>34285</v>
      </c>
      <c r="D1805" s="28" t="s">
        <v>138</v>
      </c>
      <c r="E1805" s="28" t="s">
        <v>138</v>
      </c>
      <c r="F1805" s="28" t="s">
        <v>34283</v>
      </c>
      <c r="G1805" s="28" t="s">
        <v>34286</v>
      </c>
      <c r="H1805" s="28" t="s">
        <v>322</v>
      </c>
      <c r="I1805" s="28" t="s">
        <v>323</v>
      </c>
      <c r="J1805" s="28" t="s">
        <v>1235</v>
      </c>
      <c r="K1805" s="28" t="s">
        <v>34287</v>
      </c>
      <c r="L1805" s="28" t="s">
        <v>17367</v>
      </c>
      <c r="M1805" s="28" t="s">
        <v>34288</v>
      </c>
      <c r="N1805" s="28" t="s">
        <v>147</v>
      </c>
      <c r="O1805" s="29">
        <v>16.79</v>
      </c>
      <c r="P1805" s="28" t="s">
        <v>148</v>
      </c>
      <c r="Q1805" s="28" t="s">
        <v>149</v>
      </c>
      <c r="R1805" s="28" t="s">
        <v>174</v>
      </c>
      <c r="S1805" s="28" t="s">
        <v>34289</v>
      </c>
      <c r="T1805" s="30">
        <v>50</v>
      </c>
      <c r="U1805" s="28" t="s">
        <v>34290</v>
      </c>
      <c r="V1805" s="28" t="s">
        <v>138</v>
      </c>
      <c r="W1805" s="28" t="s">
        <v>138</v>
      </c>
      <c r="X1805" s="31">
        <v>2013</v>
      </c>
      <c r="Y1805" s="28" t="s">
        <v>138</v>
      </c>
      <c r="Z1805" s="28" t="s">
        <v>138</v>
      </c>
      <c r="AA1805" s="28" t="s">
        <v>138</v>
      </c>
      <c r="AB1805" s="32" t="s">
        <v>138</v>
      </c>
      <c r="AC1805" s="32" t="s">
        <v>138</v>
      </c>
      <c r="AD1805" s="32" t="s">
        <v>138</v>
      </c>
      <c r="AE1805" s="32" t="s">
        <v>138</v>
      </c>
      <c r="AF1805" s="32" t="s">
        <v>138</v>
      </c>
      <c r="AG1805" s="28" t="s">
        <v>563</v>
      </c>
      <c r="AH1805" s="32" t="s">
        <v>138</v>
      </c>
      <c r="AI1805" s="32" t="s">
        <v>138</v>
      </c>
      <c r="AJ1805" s="32" t="s">
        <v>138</v>
      </c>
      <c r="AK1805" s="28" t="s">
        <v>34291</v>
      </c>
      <c r="AL1805" s="28" t="s">
        <v>34292</v>
      </c>
      <c r="AM1805" s="28" t="s">
        <v>938</v>
      </c>
      <c r="AN1805" s="28" t="s">
        <v>34293</v>
      </c>
      <c r="AO1805" s="28" t="s">
        <v>138</v>
      </c>
      <c r="AP1805" s="28" t="s">
        <v>1514</v>
      </c>
      <c r="AQ1805" s="28" t="s">
        <v>34294</v>
      </c>
      <c r="AR1805" s="28" t="s">
        <v>138</v>
      </c>
      <c r="AS1805" s="28" t="s">
        <v>1516</v>
      </c>
      <c r="AT1805" s="28" t="s">
        <v>284</v>
      </c>
      <c r="AU1805" s="28" t="s">
        <v>24865</v>
      </c>
      <c r="AV1805" s="28" t="s">
        <v>162</v>
      </c>
      <c r="AW1805" s="28" t="s">
        <v>138</v>
      </c>
      <c r="AX1805" s="28" t="s">
        <v>138</v>
      </c>
      <c r="AY1805" s="28" t="s">
        <v>34295</v>
      </c>
      <c r="AZ1805" s="28" t="s">
        <v>164</v>
      </c>
      <c r="BA1805" s="28" t="s">
        <v>165</v>
      </c>
      <c r="BB1805" s="28" t="s">
        <v>34296</v>
      </c>
      <c r="BC1805" s="28" t="s">
        <v>34297</v>
      </c>
      <c r="BD1805" s="33">
        <v>11</v>
      </c>
      <c r="BE1805" s="28" t="s">
        <v>138</v>
      </c>
      <c r="BF1805" s="28" t="s">
        <v>138</v>
      </c>
      <c r="BG1805" s="28" t="s">
        <v>138</v>
      </c>
      <c r="BH1805" s="28" t="s">
        <v>34298</v>
      </c>
      <c r="BI1805" s="28" t="s">
        <v>138</v>
      </c>
      <c r="BJ1805" s="28" t="s">
        <v>138</v>
      </c>
      <c r="BK1805" s="28" t="s">
        <v>34299</v>
      </c>
      <c r="BL1805" s="28" t="s">
        <v>138</v>
      </c>
      <c r="BM1805" s="34">
        <v>42108</v>
      </c>
      <c r="BN1805" s="29">
        <v>3.79</v>
      </c>
      <c r="BO1805" s="28" t="s">
        <v>172</v>
      </c>
      <c r="BP1805" s="29">
        <v>12.88</v>
      </c>
      <c r="BQ1805" s="28" t="s">
        <v>172</v>
      </c>
      <c r="BR1805" s="28" t="s">
        <v>205</v>
      </c>
      <c r="BS1805" s="28" t="s">
        <v>206</v>
      </c>
      <c r="BT1805" s="28" t="s">
        <v>138</v>
      </c>
      <c r="BU1805" s="28" t="s">
        <v>174</v>
      </c>
      <c r="BV1805" s="28" t="s">
        <v>138</v>
      </c>
      <c r="BW1805" s="28" t="s">
        <v>138</v>
      </c>
      <c r="BX1805" s="28" t="s">
        <v>138</v>
      </c>
      <c r="BY1805" s="28" t="s">
        <v>175</v>
      </c>
      <c r="BZ1805" s="34">
        <v>43262</v>
      </c>
      <c r="CA1805" s="29">
        <v>5</v>
      </c>
      <c r="CB1805" s="28" t="s">
        <v>172</v>
      </c>
      <c r="CC1805" s="29" t="s">
        <v>138</v>
      </c>
      <c r="CD1805" s="28" t="s">
        <v>138</v>
      </c>
      <c r="CE1805" s="28" t="s">
        <v>205</v>
      </c>
      <c r="CF1805" s="28" t="s">
        <v>138</v>
      </c>
      <c r="CG1805" s="28" t="s">
        <v>138</v>
      </c>
      <c r="CH1805" s="28" t="s">
        <v>174</v>
      </c>
      <c r="CI1805" s="28" t="s">
        <v>264</v>
      </c>
      <c r="CJ1805" s="28" t="s">
        <v>138</v>
      </c>
      <c r="CK1805" s="28" t="s">
        <v>138</v>
      </c>
      <c r="CL1805" s="28" t="s">
        <v>175</v>
      </c>
      <c r="CM1805" s="34" t="s">
        <v>138</v>
      </c>
      <c r="CN1805" s="29" t="s">
        <v>138</v>
      </c>
      <c r="CO1805" s="35">
        <v>2.06</v>
      </c>
      <c r="CP1805" s="36">
        <v>99</v>
      </c>
      <c r="CQ1805" s="35">
        <v>0</v>
      </c>
      <c r="CR1805" s="35">
        <v>0</v>
      </c>
      <c r="CS1805" s="35">
        <v>4.12</v>
      </c>
      <c r="CT1805" s="36">
        <v>100</v>
      </c>
      <c r="CU1805" s="35">
        <v>0</v>
      </c>
      <c r="CV1805" s="36">
        <v>22</v>
      </c>
      <c r="CW1805" s="35">
        <v>4.12</v>
      </c>
      <c r="CX1805" s="36">
        <v>94</v>
      </c>
      <c r="CY1805" s="35" t="s">
        <v>138</v>
      </c>
      <c r="CZ1805" s="36" t="s">
        <v>138</v>
      </c>
      <c r="DA1805" s="35">
        <v>0</v>
      </c>
      <c r="DB1805" s="36">
        <v>22</v>
      </c>
      <c r="DC1805" s="37">
        <v>404.28</v>
      </c>
      <c r="DD1805" s="36">
        <v>100</v>
      </c>
      <c r="DE1805" s="37">
        <v>-51.86</v>
      </c>
      <c r="DF1805" s="35">
        <v>-11.37</v>
      </c>
      <c r="DG1805" s="37">
        <v>808.5</v>
      </c>
      <c r="DH1805" s="36">
        <v>100</v>
      </c>
      <c r="DI1805" s="37">
        <v>0.06</v>
      </c>
      <c r="DJ1805" s="36">
        <v>10</v>
      </c>
      <c r="DK1805" s="37">
        <v>808.5</v>
      </c>
      <c r="DL1805" s="36">
        <v>100</v>
      </c>
      <c r="DM1805" s="37" t="s">
        <v>138</v>
      </c>
      <c r="DN1805" s="36" t="s">
        <v>138</v>
      </c>
      <c r="DO1805" s="37">
        <v>0.06</v>
      </c>
      <c r="DP1805" s="36">
        <v>11</v>
      </c>
      <c r="DQ1805" s="36">
        <v>276325</v>
      </c>
      <c r="DR1805" s="38">
        <v>2970</v>
      </c>
      <c r="DS1805" s="35">
        <v>1.0900000000000001</v>
      </c>
      <c r="DT1805" s="36" t="s">
        <v>138</v>
      </c>
      <c r="DU1805" s="38" t="s">
        <v>138</v>
      </c>
      <c r="DV1805" s="35" t="s">
        <v>138</v>
      </c>
      <c r="DW1805" s="36">
        <v>22</v>
      </c>
      <c r="DX1805" s="39">
        <v>1</v>
      </c>
      <c r="DY1805" s="35">
        <v>4.76</v>
      </c>
      <c r="DZ1805" s="28" t="s">
        <v>178</v>
      </c>
      <c r="EA1805" s="34">
        <v>43515</v>
      </c>
      <c r="EB1805" s="29">
        <v>12.88</v>
      </c>
      <c r="EC1805" s="34">
        <v>42108</v>
      </c>
      <c r="ED1805" s="28" t="s">
        <v>205</v>
      </c>
      <c r="EE1805" s="40" t="str">
        <f>HYPERLINK("https://my.pitchbook.com?c=111631-69", "View company online")</f>
        <v>View company online</v>
      </c>
    </row>
    <row r="1806" spans="1:135">
      <c r="A1806" s="15" t="s">
        <v>34300</v>
      </c>
      <c r="B1806" s="15" t="s">
        <v>34301</v>
      </c>
      <c r="C1806" s="15" t="s">
        <v>138</v>
      </c>
      <c r="D1806" s="15" t="s">
        <v>138</v>
      </c>
      <c r="E1806" s="15" t="s">
        <v>138</v>
      </c>
      <c r="F1806" s="15" t="s">
        <v>34300</v>
      </c>
      <c r="G1806" s="15" t="s">
        <v>34302</v>
      </c>
      <c r="H1806" s="15" t="s">
        <v>238</v>
      </c>
      <c r="I1806" s="15" t="s">
        <v>749</v>
      </c>
      <c r="J1806" s="15" t="s">
        <v>4261</v>
      </c>
      <c r="K1806" s="15" t="s">
        <v>7738</v>
      </c>
      <c r="L1806" s="15" t="s">
        <v>752</v>
      </c>
      <c r="M1806" s="15" t="s">
        <v>34303</v>
      </c>
      <c r="N1806" s="15" t="s">
        <v>147</v>
      </c>
      <c r="O1806" s="17">
        <v>2.75</v>
      </c>
      <c r="P1806" s="15" t="s">
        <v>148</v>
      </c>
      <c r="Q1806" s="15" t="s">
        <v>149</v>
      </c>
      <c r="R1806" s="15" t="s">
        <v>174</v>
      </c>
      <c r="S1806" s="15" t="s">
        <v>34304</v>
      </c>
      <c r="T1806" s="18">
        <v>11</v>
      </c>
      <c r="U1806" s="15" t="s">
        <v>14479</v>
      </c>
      <c r="V1806" s="15" t="s">
        <v>138</v>
      </c>
      <c r="W1806" s="15" t="s">
        <v>138</v>
      </c>
      <c r="X1806" s="19">
        <v>2005</v>
      </c>
      <c r="Y1806" s="15" t="s">
        <v>138</v>
      </c>
      <c r="Z1806" s="15" t="s">
        <v>138</v>
      </c>
      <c r="AA1806" s="15" t="s">
        <v>138</v>
      </c>
      <c r="AB1806" s="20" t="s">
        <v>138</v>
      </c>
      <c r="AC1806" s="20" t="s">
        <v>138</v>
      </c>
      <c r="AD1806" s="20" t="s">
        <v>138</v>
      </c>
      <c r="AE1806" s="20" t="s">
        <v>138</v>
      </c>
      <c r="AF1806" s="20" t="s">
        <v>138</v>
      </c>
      <c r="AG1806" s="15" t="s">
        <v>138</v>
      </c>
      <c r="AH1806" s="20" t="s">
        <v>138</v>
      </c>
      <c r="AI1806" s="20" t="s">
        <v>138</v>
      </c>
      <c r="AJ1806" s="20" t="s">
        <v>138</v>
      </c>
      <c r="AK1806" s="15" t="s">
        <v>34305</v>
      </c>
      <c r="AL1806" s="15" t="s">
        <v>34306</v>
      </c>
      <c r="AM1806" s="15" t="s">
        <v>916</v>
      </c>
      <c r="AN1806" s="15" t="s">
        <v>34307</v>
      </c>
      <c r="AO1806" s="15" t="s">
        <v>34308</v>
      </c>
      <c r="AP1806" s="15" t="s">
        <v>423</v>
      </c>
      <c r="AQ1806" s="15" t="s">
        <v>34309</v>
      </c>
      <c r="AR1806" s="15" t="s">
        <v>34310</v>
      </c>
      <c r="AS1806" s="15" t="s">
        <v>426</v>
      </c>
      <c r="AT1806" s="15" t="s">
        <v>426</v>
      </c>
      <c r="AU1806" s="15" t="s">
        <v>8757</v>
      </c>
      <c r="AV1806" s="15" t="s">
        <v>162</v>
      </c>
      <c r="AW1806" s="15" t="s">
        <v>34308</v>
      </c>
      <c r="AX1806" s="15" t="s">
        <v>34311</v>
      </c>
      <c r="AY1806" s="15" t="s">
        <v>34312</v>
      </c>
      <c r="AZ1806" s="15" t="s">
        <v>164</v>
      </c>
      <c r="BA1806" s="15" t="s">
        <v>165</v>
      </c>
      <c r="BB1806" s="15" t="s">
        <v>34313</v>
      </c>
      <c r="BC1806" s="15" t="s">
        <v>34314</v>
      </c>
      <c r="BD1806" s="21">
        <v>2</v>
      </c>
      <c r="BE1806" s="15" t="s">
        <v>138</v>
      </c>
      <c r="BF1806" s="15" t="s">
        <v>138</v>
      </c>
      <c r="BG1806" s="15" t="s">
        <v>138</v>
      </c>
      <c r="BH1806" s="15" t="s">
        <v>1013</v>
      </c>
      <c r="BI1806" s="15" t="s">
        <v>138</v>
      </c>
      <c r="BJ1806" s="15" t="s">
        <v>138</v>
      </c>
      <c r="BK1806" s="15" t="s">
        <v>138</v>
      </c>
      <c r="BL1806" s="15" t="s">
        <v>34315</v>
      </c>
      <c r="BM1806" s="22">
        <v>41073</v>
      </c>
      <c r="BN1806" s="17">
        <v>2.25</v>
      </c>
      <c r="BO1806" s="15" t="s">
        <v>172</v>
      </c>
      <c r="BP1806" s="17">
        <v>12.37</v>
      </c>
      <c r="BQ1806" s="15" t="s">
        <v>172</v>
      </c>
      <c r="BR1806" s="15" t="s">
        <v>173</v>
      </c>
      <c r="BS1806" s="15" t="s">
        <v>206</v>
      </c>
      <c r="BT1806" s="15" t="s">
        <v>138</v>
      </c>
      <c r="BU1806" s="15" t="s">
        <v>174</v>
      </c>
      <c r="BV1806" s="15" t="s">
        <v>138</v>
      </c>
      <c r="BW1806" s="15" t="s">
        <v>138</v>
      </c>
      <c r="BX1806" s="15" t="s">
        <v>138</v>
      </c>
      <c r="BY1806" s="15" t="s">
        <v>175</v>
      </c>
      <c r="BZ1806" s="22">
        <v>41422</v>
      </c>
      <c r="CA1806" s="17">
        <v>0.5</v>
      </c>
      <c r="CB1806" s="15" t="s">
        <v>172</v>
      </c>
      <c r="CC1806" s="17">
        <v>12.87</v>
      </c>
      <c r="CD1806" s="15" t="s">
        <v>172</v>
      </c>
      <c r="CE1806" s="15" t="s">
        <v>173</v>
      </c>
      <c r="CF1806" s="15" t="s">
        <v>206</v>
      </c>
      <c r="CG1806" s="15" t="s">
        <v>138</v>
      </c>
      <c r="CH1806" s="15" t="s">
        <v>174</v>
      </c>
      <c r="CI1806" s="15" t="s">
        <v>138</v>
      </c>
      <c r="CJ1806" s="15" t="s">
        <v>138</v>
      </c>
      <c r="CK1806" s="15" t="s">
        <v>138</v>
      </c>
      <c r="CL1806" s="15" t="s">
        <v>175</v>
      </c>
      <c r="CM1806" s="22" t="s">
        <v>138</v>
      </c>
      <c r="CN1806" s="17" t="s">
        <v>138</v>
      </c>
      <c r="CO1806" s="23">
        <v>0.56999999999999995</v>
      </c>
      <c r="CP1806" s="24">
        <v>95</v>
      </c>
      <c r="CQ1806" s="23">
        <v>-0.05</v>
      </c>
      <c r="CR1806" s="23">
        <v>-7.65</v>
      </c>
      <c r="CS1806" s="23">
        <v>1.17</v>
      </c>
      <c r="CT1806" s="24">
        <v>97</v>
      </c>
      <c r="CU1806" s="23">
        <v>-0.02</v>
      </c>
      <c r="CV1806" s="24">
        <v>17</v>
      </c>
      <c r="CW1806" s="23" t="s">
        <v>138</v>
      </c>
      <c r="CX1806" s="24" t="s">
        <v>138</v>
      </c>
      <c r="CY1806" s="23">
        <v>1.17</v>
      </c>
      <c r="CZ1806" s="24">
        <v>99</v>
      </c>
      <c r="DA1806" s="23">
        <v>-0.02</v>
      </c>
      <c r="DB1806" s="24">
        <v>19</v>
      </c>
      <c r="DC1806" s="25">
        <v>5.55</v>
      </c>
      <c r="DD1806" s="24">
        <v>84</v>
      </c>
      <c r="DE1806" s="25">
        <v>0</v>
      </c>
      <c r="DF1806" s="23">
        <v>0.06</v>
      </c>
      <c r="DG1806" s="25">
        <v>4.76</v>
      </c>
      <c r="DH1806" s="24">
        <v>82</v>
      </c>
      <c r="DI1806" s="25">
        <v>6.34</v>
      </c>
      <c r="DJ1806" s="24">
        <v>80</v>
      </c>
      <c r="DK1806" s="25" t="s">
        <v>138</v>
      </c>
      <c r="DL1806" s="24" t="s">
        <v>138</v>
      </c>
      <c r="DM1806" s="25">
        <v>4.76</v>
      </c>
      <c r="DN1806" s="24">
        <v>81</v>
      </c>
      <c r="DO1806" s="25">
        <v>3.7</v>
      </c>
      <c r="DP1806" s="24">
        <v>75</v>
      </c>
      <c r="DQ1806" s="24" t="s">
        <v>138</v>
      </c>
      <c r="DR1806" s="26" t="s">
        <v>138</v>
      </c>
      <c r="DS1806" s="23" t="s">
        <v>138</v>
      </c>
      <c r="DT1806" s="24">
        <v>138</v>
      </c>
      <c r="DU1806" s="26">
        <v>1</v>
      </c>
      <c r="DV1806" s="23">
        <v>0.73</v>
      </c>
      <c r="DW1806" s="24">
        <v>1325</v>
      </c>
      <c r="DX1806" s="27">
        <v>0</v>
      </c>
      <c r="DY1806" s="23">
        <v>0</v>
      </c>
      <c r="DZ1806" s="15" t="s">
        <v>178</v>
      </c>
      <c r="EA1806" s="22">
        <v>43433</v>
      </c>
      <c r="EB1806" s="17">
        <v>12.87</v>
      </c>
      <c r="EC1806" s="22">
        <v>41422</v>
      </c>
      <c r="ED1806" s="15" t="s">
        <v>173</v>
      </c>
      <c r="EE1806" s="14" t="str">
        <f>HYPERLINK("https://my.pitchbook.com?c=54633-79", "View company online")</f>
        <v>View company online</v>
      </c>
    </row>
    <row r="1807" spans="1:135">
      <c r="A1807" s="28" t="s">
        <v>34316</v>
      </c>
      <c r="B1807" s="28" t="s">
        <v>34317</v>
      </c>
      <c r="C1807" s="28" t="s">
        <v>138</v>
      </c>
      <c r="D1807" s="28" t="s">
        <v>34318</v>
      </c>
      <c r="E1807" s="28" t="s">
        <v>138</v>
      </c>
      <c r="F1807" s="28" t="s">
        <v>34316</v>
      </c>
      <c r="G1807" s="28" t="s">
        <v>34319</v>
      </c>
      <c r="H1807" s="28" t="s">
        <v>238</v>
      </c>
      <c r="I1807" s="28" t="s">
        <v>749</v>
      </c>
      <c r="J1807" s="28" t="s">
        <v>4261</v>
      </c>
      <c r="K1807" s="28" t="s">
        <v>34320</v>
      </c>
      <c r="L1807" s="28" t="s">
        <v>1884</v>
      </c>
      <c r="M1807" s="28" t="s">
        <v>34321</v>
      </c>
      <c r="N1807" s="28" t="s">
        <v>147</v>
      </c>
      <c r="O1807" s="29" t="s">
        <v>138</v>
      </c>
      <c r="P1807" s="28" t="s">
        <v>148</v>
      </c>
      <c r="Q1807" s="28" t="s">
        <v>149</v>
      </c>
      <c r="R1807" s="28" t="s">
        <v>174</v>
      </c>
      <c r="S1807" s="28" t="s">
        <v>34322</v>
      </c>
      <c r="T1807" s="30" t="s">
        <v>138</v>
      </c>
      <c r="U1807" s="28" t="s">
        <v>138</v>
      </c>
      <c r="V1807" s="28" t="s">
        <v>138</v>
      </c>
      <c r="W1807" s="28" t="s">
        <v>138</v>
      </c>
      <c r="X1807" s="31">
        <v>2015</v>
      </c>
      <c r="Y1807" s="28" t="s">
        <v>138</v>
      </c>
      <c r="Z1807" s="28" t="s">
        <v>138</v>
      </c>
      <c r="AA1807" s="28" t="s">
        <v>138</v>
      </c>
      <c r="AB1807" s="32" t="s">
        <v>138</v>
      </c>
      <c r="AC1807" s="32" t="s">
        <v>138</v>
      </c>
      <c r="AD1807" s="32" t="s">
        <v>138</v>
      </c>
      <c r="AE1807" s="32" t="s">
        <v>138</v>
      </c>
      <c r="AF1807" s="32" t="s">
        <v>138</v>
      </c>
      <c r="AG1807" s="28" t="s">
        <v>138</v>
      </c>
      <c r="AH1807" s="32" t="s">
        <v>138</v>
      </c>
      <c r="AI1807" s="32" t="s">
        <v>138</v>
      </c>
      <c r="AJ1807" s="32" t="s">
        <v>138</v>
      </c>
      <c r="AK1807" s="28" t="s">
        <v>34323</v>
      </c>
      <c r="AL1807" s="28" t="s">
        <v>34324</v>
      </c>
      <c r="AM1807" s="28" t="s">
        <v>916</v>
      </c>
      <c r="AN1807" s="28" t="s">
        <v>34325</v>
      </c>
      <c r="AO1807" s="28" t="s">
        <v>138</v>
      </c>
      <c r="AP1807" s="28" t="s">
        <v>34326</v>
      </c>
      <c r="AQ1807" s="28" t="s">
        <v>34327</v>
      </c>
      <c r="AR1807" s="28" t="s">
        <v>34328</v>
      </c>
      <c r="AS1807" s="28" t="s">
        <v>34329</v>
      </c>
      <c r="AT1807" s="28" t="s">
        <v>426</v>
      </c>
      <c r="AU1807" s="28" t="s">
        <v>34330</v>
      </c>
      <c r="AV1807" s="28" t="s">
        <v>162</v>
      </c>
      <c r="AW1807" s="28" t="s">
        <v>138</v>
      </c>
      <c r="AX1807" s="28" t="s">
        <v>138</v>
      </c>
      <c r="AY1807" s="28" t="s">
        <v>138</v>
      </c>
      <c r="AZ1807" s="28" t="s">
        <v>164</v>
      </c>
      <c r="BA1807" s="28" t="s">
        <v>165</v>
      </c>
      <c r="BB1807" s="28" t="s">
        <v>34331</v>
      </c>
      <c r="BC1807" s="28" t="s">
        <v>2783</v>
      </c>
      <c r="BD1807" s="33">
        <v>1</v>
      </c>
      <c r="BE1807" s="28" t="s">
        <v>138</v>
      </c>
      <c r="BF1807" s="28" t="s">
        <v>138</v>
      </c>
      <c r="BG1807" s="28" t="s">
        <v>138</v>
      </c>
      <c r="BH1807" s="28" t="s">
        <v>2784</v>
      </c>
      <c r="BI1807" s="28" t="s">
        <v>138</v>
      </c>
      <c r="BJ1807" s="28" t="s">
        <v>138</v>
      </c>
      <c r="BK1807" s="28" t="s">
        <v>138</v>
      </c>
      <c r="BL1807" s="28" t="s">
        <v>138</v>
      </c>
      <c r="BM1807" s="34">
        <v>43171</v>
      </c>
      <c r="BN1807" s="29" t="s">
        <v>138</v>
      </c>
      <c r="BO1807" s="28" t="s">
        <v>138</v>
      </c>
      <c r="BP1807" s="29" t="s">
        <v>138</v>
      </c>
      <c r="BQ1807" s="28" t="s">
        <v>138</v>
      </c>
      <c r="BR1807" s="28" t="s">
        <v>205</v>
      </c>
      <c r="BS1807" s="28" t="s">
        <v>138</v>
      </c>
      <c r="BT1807" s="28" t="s">
        <v>138</v>
      </c>
      <c r="BU1807" s="28" t="s">
        <v>174</v>
      </c>
      <c r="BV1807" s="28" t="s">
        <v>138</v>
      </c>
      <c r="BW1807" s="28" t="s">
        <v>138</v>
      </c>
      <c r="BX1807" s="28" t="s">
        <v>138</v>
      </c>
      <c r="BY1807" s="28" t="s">
        <v>175</v>
      </c>
      <c r="BZ1807" s="34">
        <v>43171</v>
      </c>
      <c r="CA1807" s="29" t="s">
        <v>138</v>
      </c>
      <c r="CB1807" s="28" t="s">
        <v>138</v>
      </c>
      <c r="CC1807" s="29" t="s">
        <v>138</v>
      </c>
      <c r="CD1807" s="28" t="s">
        <v>138</v>
      </c>
      <c r="CE1807" s="28" t="s">
        <v>205</v>
      </c>
      <c r="CF1807" s="28" t="s">
        <v>138</v>
      </c>
      <c r="CG1807" s="28" t="s">
        <v>138</v>
      </c>
      <c r="CH1807" s="28" t="s">
        <v>174</v>
      </c>
      <c r="CI1807" s="28" t="s">
        <v>138</v>
      </c>
      <c r="CJ1807" s="28" t="s">
        <v>138</v>
      </c>
      <c r="CK1807" s="28" t="s">
        <v>138</v>
      </c>
      <c r="CL1807" s="28" t="s">
        <v>175</v>
      </c>
      <c r="CM1807" s="34" t="s">
        <v>138</v>
      </c>
      <c r="CN1807" s="29" t="s">
        <v>138</v>
      </c>
      <c r="CO1807" s="35">
        <v>-1.64</v>
      </c>
      <c r="CP1807" s="36">
        <v>7</v>
      </c>
      <c r="CQ1807" s="35">
        <v>0</v>
      </c>
      <c r="CR1807" s="35">
        <v>0</v>
      </c>
      <c r="CS1807" s="35">
        <v>-1.64</v>
      </c>
      <c r="CT1807" s="36">
        <v>11</v>
      </c>
      <c r="CU1807" s="35" t="s">
        <v>138</v>
      </c>
      <c r="CV1807" s="36" t="s">
        <v>138</v>
      </c>
      <c r="CW1807" s="35">
        <v>-1.64</v>
      </c>
      <c r="CX1807" s="36">
        <v>8</v>
      </c>
      <c r="CY1807" s="35" t="s">
        <v>138</v>
      </c>
      <c r="CZ1807" s="36" t="s">
        <v>138</v>
      </c>
      <c r="DA1807" s="35" t="s">
        <v>138</v>
      </c>
      <c r="DB1807" s="36" t="s">
        <v>138</v>
      </c>
      <c r="DC1807" s="37">
        <v>3.41</v>
      </c>
      <c r="DD1807" s="36">
        <v>77</v>
      </c>
      <c r="DE1807" s="37">
        <v>-0.44</v>
      </c>
      <c r="DF1807" s="35">
        <v>-11.37</v>
      </c>
      <c r="DG1807" s="37">
        <v>3.41</v>
      </c>
      <c r="DH1807" s="36">
        <v>77</v>
      </c>
      <c r="DI1807" s="37" t="s">
        <v>138</v>
      </c>
      <c r="DJ1807" s="36" t="s">
        <v>138</v>
      </c>
      <c r="DK1807" s="37">
        <v>3.41</v>
      </c>
      <c r="DL1807" s="36">
        <v>74</v>
      </c>
      <c r="DM1807" s="37" t="s">
        <v>138</v>
      </c>
      <c r="DN1807" s="36" t="s">
        <v>138</v>
      </c>
      <c r="DO1807" s="37" t="s">
        <v>138</v>
      </c>
      <c r="DP1807" s="36" t="s">
        <v>138</v>
      </c>
      <c r="DQ1807" s="36">
        <v>1308</v>
      </c>
      <c r="DR1807" s="38">
        <v>-411</v>
      </c>
      <c r="DS1807" s="35">
        <v>-23.91</v>
      </c>
      <c r="DT1807" s="36" t="s">
        <v>138</v>
      </c>
      <c r="DU1807" s="38" t="s">
        <v>138</v>
      </c>
      <c r="DV1807" s="35" t="s">
        <v>138</v>
      </c>
      <c r="DW1807" s="36" t="s">
        <v>138</v>
      </c>
      <c r="DX1807" s="39" t="s">
        <v>138</v>
      </c>
      <c r="DY1807" s="35" t="s">
        <v>138</v>
      </c>
      <c r="DZ1807" s="28" t="s">
        <v>178</v>
      </c>
      <c r="EA1807" s="34">
        <v>43434</v>
      </c>
      <c r="EB1807" s="29" t="s">
        <v>138</v>
      </c>
      <c r="EC1807" s="34" t="s">
        <v>138</v>
      </c>
      <c r="ED1807" s="28" t="s">
        <v>138</v>
      </c>
      <c r="EE1807" s="40" t="str">
        <f>HYPERLINK("https://my.pitchbook.com?c=229672-00", "View company online")</f>
        <v>View company online</v>
      </c>
    </row>
    <row r="1808" spans="1:135">
      <c r="A1808" s="15" t="s">
        <v>34332</v>
      </c>
      <c r="B1808" s="15" t="s">
        <v>34333</v>
      </c>
      <c r="C1808" s="15" t="s">
        <v>34334</v>
      </c>
      <c r="D1808" s="15" t="s">
        <v>138</v>
      </c>
      <c r="E1808" s="15" t="s">
        <v>138</v>
      </c>
      <c r="F1808" s="15" t="s">
        <v>34332</v>
      </c>
      <c r="G1808" s="15" t="s">
        <v>34335</v>
      </c>
      <c r="H1808" s="15" t="s">
        <v>238</v>
      </c>
      <c r="I1808" s="15" t="s">
        <v>785</v>
      </c>
      <c r="J1808" s="15" t="s">
        <v>6223</v>
      </c>
      <c r="K1808" s="15" t="s">
        <v>34336</v>
      </c>
      <c r="L1808" s="15" t="s">
        <v>34337</v>
      </c>
      <c r="M1808" s="15" t="s">
        <v>34338</v>
      </c>
      <c r="N1808" s="15" t="s">
        <v>147</v>
      </c>
      <c r="O1808" s="17">
        <v>42.1</v>
      </c>
      <c r="P1808" s="15" t="s">
        <v>148</v>
      </c>
      <c r="Q1808" s="15" t="s">
        <v>149</v>
      </c>
      <c r="R1808" s="15" t="s">
        <v>174</v>
      </c>
      <c r="S1808" s="15" t="s">
        <v>34339</v>
      </c>
      <c r="T1808" s="18" t="s">
        <v>138</v>
      </c>
      <c r="U1808" s="15" t="s">
        <v>138</v>
      </c>
      <c r="V1808" s="15" t="s">
        <v>138</v>
      </c>
      <c r="W1808" s="15" t="s">
        <v>138</v>
      </c>
      <c r="X1808" s="19">
        <v>2015</v>
      </c>
      <c r="Y1808" s="15" t="s">
        <v>138</v>
      </c>
      <c r="Z1808" s="15" t="s">
        <v>138</v>
      </c>
      <c r="AA1808" s="15" t="s">
        <v>138</v>
      </c>
      <c r="AB1808" s="20" t="s">
        <v>138</v>
      </c>
      <c r="AC1808" s="20" t="s">
        <v>138</v>
      </c>
      <c r="AD1808" s="20" t="s">
        <v>138</v>
      </c>
      <c r="AE1808" s="20" t="s">
        <v>138</v>
      </c>
      <c r="AF1808" s="20" t="s">
        <v>138</v>
      </c>
      <c r="AG1808" s="15" t="s">
        <v>138</v>
      </c>
      <c r="AH1808" s="20" t="s">
        <v>138</v>
      </c>
      <c r="AI1808" s="20" t="s">
        <v>138</v>
      </c>
      <c r="AJ1808" s="20" t="s">
        <v>138</v>
      </c>
      <c r="AK1808" s="15" t="s">
        <v>34340</v>
      </c>
      <c r="AL1808" s="15" t="s">
        <v>34341</v>
      </c>
      <c r="AM1808" s="15" t="s">
        <v>221</v>
      </c>
      <c r="AN1808" s="15" t="s">
        <v>34342</v>
      </c>
      <c r="AO1808" s="15" t="s">
        <v>138</v>
      </c>
      <c r="AP1808" s="15" t="s">
        <v>665</v>
      </c>
      <c r="AQ1808" s="15" t="s">
        <v>34343</v>
      </c>
      <c r="AR1808" s="15" t="s">
        <v>27103</v>
      </c>
      <c r="AS1808" s="15" t="s">
        <v>668</v>
      </c>
      <c r="AT1808" s="15" t="s">
        <v>200</v>
      </c>
      <c r="AU1808" s="15" t="s">
        <v>3557</v>
      </c>
      <c r="AV1808" s="15" t="s">
        <v>162</v>
      </c>
      <c r="AW1808" s="15" t="s">
        <v>138</v>
      </c>
      <c r="AX1808" s="15" t="s">
        <v>138</v>
      </c>
      <c r="AY1808" s="15" t="s">
        <v>138</v>
      </c>
      <c r="AZ1808" s="15" t="s">
        <v>164</v>
      </c>
      <c r="BA1808" s="15" t="s">
        <v>165</v>
      </c>
      <c r="BB1808" s="15" t="s">
        <v>34344</v>
      </c>
      <c r="BC1808" s="15" t="s">
        <v>34345</v>
      </c>
      <c r="BD1808" s="21">
        <v>14</v>
      </c>
      <c r="BE1808" s="15" t="s">
        <v>138</v>
      </c>
      <c r="BF1808" s="15" t="s">
        <v>138</v>
      </c>
      <c r="BG1808" s="15" t="s">
        <v>138</v>
      </c>
      <c r="BH1808" s="15" t="s">
        <v>34346</v>
      </c>
      <c r="BI1808" s="15" t="s">
        <v>138</v>
      </c>
      <c r="BJ1808" s="15" t="s">
        <v>138</v>
      </c>
      <c r="BK1808" s="15" t="s">
        <v>138</v>
      </c>
      <c r="BL1808" s="15" t="s">
        <v>1275</v>
      </c>
      <c r="BM1808" s="22">
        <v>42362</v>
      </c>
      <c r="BN1808" s="17">
        <v>4.5</v>
      </c>
      <c r="BO1808" s="15" t="s">
        <v>172</v>
      </c>
      <c r="BP1808" s="17">
        <v>16.5</v>
      </c>
      <c r="BQ1808" s="15" t="s">
        <v>172</v>
      </c>
      <c r="BR1808" s="15" t="s">
        <v>234</v>
      </c>
      <c r="BS1808" s="15" t="s">
        <v>234</v>
      </c>
      <c r="BT1808" s="15" t="s">
        <v>138</v>
      </c>
      <c r="BU1808" s="15" t="s">
        <v>174</v>
      </c>
      <c r="BV1808" s="15" t="s">
        <v>138</v>
      </c>
      <c r="BW1808" s="15" t="s">
        <v>138</v>
      </c>
      <c r="BX1808" s="15" t="s">
        <v>138</v>
      </c>
      <c r="BY1808" s="15" t="s">
        <v>175</v>
      </c>
      <c r="BZ1808" s="22">
        <v>43489</v>
      </c>
      <c r="CA1808" s="17">
        <v>3.6</v>
      </c>
      <c r="CB1808" s="15" t="s">
        <v>172</v>
      </c>
      <c r="CC1808" s="17">
        <v>101.8</v>
      </c>
      <c r="CD1808" s="15" t="s">
        <v>172</v>
      </c>
      <c r="CE1808" s="15" t="s">
        <v>205</v>
      </c>
      <c r="CF1808" s="15" t="s">
        <v>21567</v>
      </c>
      <c r="CG1808" s="15" t="s">
        <v>138</v>
      </c>
      <c r="CH1808" s="15" t="s">
        <v>174</v>
      </c>
      <c r="CI1808" s="15" t="s">
        <v>177</v>
      </c>
      <c r="CJ1808" s="15" t="s">
        <v>138</v>
      </c>
      <c r="CK1808" s="15" t="s">
        <v>138</v>
      </c>
      <c r="CL1808" s="15" t="s">
        <v>175</v>
      </c>
      <c r="CM1808" s="22" t="s">
        <v>138</v>
      </c>
      <c r="CN1808" s="17" t="s">
        <v>138</v>
      </c>
      <c r="CO1808" s="23">
        <v>-0.92</v>
      </c>
      <c r="CP1808" s="24">
        <v>12</v>
      </c>
      <c r="CQ1808" s="23">
        <v>0.01</v>
      </c>
      <c r="CR1808" s="23">
        <v>1.03</v>
      </c>
      <c r="CS1808" s="23">
        <v>-2.0699999999999998</v>
      </c>
      <c r="CT1808" s="24">
        <v>8</v>
      </c>
      <c r="CU1808" s="23">
        <v>0.24</v>
      </c>
      <c r="CV1808" s="24">
        <v>84</v>
      </c>
      <c r="CW1808" s="23">
        <v>-4.1399999999999997</v>
      </c>
      <c r="CX1808" s="24">
        <v>4</v>
      </c>
      <c r="CY1808" s="23">
        <v>0</v>
      </c>
      <c r="CZ1808" s="24">
        <v>25</v>
      </c>
      <c r="DA1808" s="23">
        <v>0.24</v>
      </c>
      <c r="DB1808" s="24">
        <v>85</v>
      </c>
      <c r="DC1808" s="25">
        <v>14.6</v>
      </c>
      <c r="DD1808" s="24">
        <v>93</v>
      </c>
      <c r="DE1808" s="25">
        <v>-0.9</v>
      </c>
      <c r="DF1808" s="23">
        <v>-5.79</v>
      </c>
      <c r="DG1808" s="25">
        <v>16.46</v>
      </c>
      <c r="DH1808" s="24">
        <v>94</v>
      </c>
      <c r="DI1808" s="25">
        <v>12.74</v>
      </c>
      <c r="DJ1808" s="24">
        <v>87</v>
      </c>
      <c r="DK1808" s="25">
        <v>29.82</v>
      </c>
      <c r="DL1808" s="24">
        <v>94</v>
      </c>
      <c r="DM1808" s="25">
        <v>3.1</v>
      </c>
      <c r="DN1808" s="24">
        <v>74</v>
      </c>
      <c r="DO1808" s="25">
        <v>12.74</v>
      </c>
      <c r="DP1808" s="24">
        <v>89</v>
      </c>
      <c r="DQ1808" s="24">
        <v>10577</v>
      </c>
      <c r="DR1808" s="26">
        <v>-1048</v>
      </c>
      <c r="DS1808" s="23">
        <v>-9.02</v>
      </c>
      <c r="DT1808" s="24">
        <v>90</v>
      </c>
      <c r="DU1808" s="26">
        <v>1</v>
      </c>
      <c r="DV1808" s="23">
        <v>1.1200000000000001</v>
      </c>
      <c r="DW1808" s="24">
        <v>4553</v>
      </c>
      <c r="DX1808" s="27">
        <v>13</v>
      </c>
      <c r="DY1808" s="23">
        <v>0.28999999999999998</v>
      </c>
      <c r="DZ1808" s="15" t="s">
        <v>178</v>
      </c>
      <c r="EA1808" s="22">
        <v>43536</v>
      </c>
      <c r="EB1808" s="17">
        <v>101.8</v>
      </c>
      <c r="EC1808" s="22">
        <v>43489</v>
      </c>
      <c r="ED1808" s="15" t="s">
        <v>205</v>
      </c>
      <c r="EE1808" s="14" t="str">
        <f>HYPERLINK("https://my.pitchbook.com?c=149278-42", "View company online")</f>
        <v>View company online</v>
      </c>
    </row>
    <row r="1809" spans="1:135">
      <c r="A1809" s="28" t="s">
        <v>34347</v>
      </c>
      <c r="B1809" s="28" t="s">
        <v>34348</v>
      </c>
      <c r="C1809" s="28" t="s">
        <v>138</v>
      </c>
      <c r="D1809" s="28" t="s">
        <v>34349</v>
      </c>
      <c r="E1809" s="28" t="s">
        <v>138</v>
      </c>
      <c r="F1809" s="28" t="s">
        <v>34347</v>
      </c>
      <c r="G1809" s="28" t="s">
        <v>34350</v>
      </c>
      <c r="H1809" s="28" t="s">
        <v>183</v>
      </c>
      <c r="I1809" s="28" t="s">
        <v>184</v>
      </c>
      <c r="J1809" s="28" t="s">
        <v>185</v>
      </c>
      <c r="K1809" s="28" t="s">
        <v>34351</v>
      </c>
      <c r="L1809" s="28" t="s">
        <v>4684</v>
      </c>
      <c r="M1809" s="28" t="s">
        <v>34352</v>
      </c>
      <c r="N1809" s="28" t="s">
        <v>147</v>
      </c>
      <c r="O1809" s="29" t="s">
        <v>138</v>
      </c>
      <c r="P1809" s="28" t="s">
        <v>610</v>
      </c>
      <c r="Q1809" s="28" t="s">
        <v>149</v>
      </c>
      <c r="R1809" s="28" t="s">
        <v>174</v>
      </c>
      <c r="S1809" s="28" t="s">
        <v>34353</v>
      </c>
      <c r="T1809" s="30" t="s">
        <v>138</v>
      </c>
      <c r="U1809" s="28" t="s">
        <v>138</v>
      </c>
      <c r="V1809" s="28" t="s">
        <v>138</v>
      </c>
      <c r="W1809" s="28" t="s">
        <v>138</v>
      </c>
      <c r="X1809" s="31">
        <v>2002</v>
      </c>
      <c r="Y1809" s="28" t="s">
        <v>138</v>
      </c>
      <c r="Z1809" s="28" t="s">
        <v>138</v>
      </c>
      <c r="AA1809" s="28" t="s">
        <v>138</v>
      </c>
      <c r="AB1809" s="32" t="s">
        <v>138</v>
      </c>
      <c r="AC1809" s="32" t="s">
        <v>138</v>
      </c>
      <c r="AD1809" s="32" t="s">
        <v>138</v>
      </c>
      <c r="AE1809" s="32" t="s">
        <v>138</v>
      </c>
      <c r="AF1809" s="32" t="s">
        <v>138</v>
      </c>
      <c r="AG1809" s="28" t="s">
        <v>138</v>
      </c>
      <c r="AH1809" s="32" t="s">
        <v>138</v>
      </c>
      <c r="AI1809" s="32" t="s">
        <v>138</v>
      </c>
      <c r="AJ1809" s="32" t="s">
        <v>138</v>
      </c>
      <c r="AK1809" s="28" t="s">
        <v>34354</v>
      </c>
      <c r="AL1809" s="28" t="s">
        <v>34355</v>
      </c>
      <c r="AM1809" s="28" t="s">
        <v>34356</v>
      </c>
      <c r="AN1809" s="28" t="s">
        <v>138</v>
      </c>
      <c r="AO1809" s="28" t="s">
        <v>34357</v>
      </c>
      <c r="AP1809" s="28" t="s">
        <v>4601</v>
      </c>
      <c r="AQ1809" s="28" t="s">
        <v>34358</v>
      </c>
      <c r="AR1809" s="28" t="s">
        <v>34359</v>
      </c>
      <c r="AS1809" s="28" t="s">
        <v>4604</v>
      </c>
      <c r="AT1809" s="28" t="s">
        <v>138</v>
      </c>
      <c r="AU1809" s="28" t="s">
        <v>34360</v>
      </c>
      <c r="AV1809" s="28" t="s">
        <v>2071</v>
      </c>
      <c r="AW1809" s="28" t="s">
        <v>34357</v>
      </c>
      <c r="AX1809" s="28" t="s">
        <v>34361</v>
      </c>
      <c r="AY1809" s="28" t="s">
        <v>34362</v>
      </c>
      <c r="AZ1809" s="28" t="s">
        <v>452</v>
      </c>
      <c r="BA1809" s="28" t="s">
        <v>453</v>
      </c>
      <c r="BB1809" s="28" t="s">
        <v>34363</v>
      </c>
      <c r="BC1809" s="28" t="s">
        <v>2075</v>
      </c>
      <c r="BD1809" s="33">
        <v>1</v>
      </c>
      <c r="BE1809" s="28" t="s">
        <v>138</v>
      </c>
      <c r="BF1809" s="28" t="s">
        <v>138</v>
      </c>
      <c r="BG1809" s="28" t="s">
        <v>138</v>
      </c>
      <c r="BH1809" s="28" t="s">
        <v>2077</v>
      </c>
      <c r="BI1809" s="28" t="s">
        <v>138</v>
      </c>
      <c r="BJ1809" s="28" t="s">
        <v>138</v>
      </c>
      <c r="BK1809" s="28" t="s">
        <v>34364</v>
      </c>
      <c r="BL1809" s="28" t="s">
        <v>138</v>
      </c>
      <c r="BM1809" s="34" t="s">
        <v>138</v>
      </c>
      <c r="BN1809" s="29" t="s">
        <v>138</v>
      </c>
      <c r="BO1809" s="28" t="s">
        <v>138</v>
      </c>
      <c r="BP1809" s="29" t="s">
        <v>138</v>
      </c>
      <c r="BQ1809" s="28" t="s">
        <v>138</v>
      </c>
      <c r="BR1809" s="28" t="s">
        <v>205</v>
      </c>
      <c r="BS1809" s="28" t="s">
        <v>138</v>
      </c>
      <c r="BT1809" s="28" t="s">
        <v>138</v>
      </c>
      <c r="BU1809" s="28" t="s">
        <v>174</v>
      </c>
      <c r="BV1809" s="28" t="s">
        <v>138</v>
      </c>
      <c r="BW1809" s="28" t="s">
        <v>138</v>
      </c>
      <c r="BX1809" s="28" t="s">
        <v>138</v>
      </c>
      <c r="BY1809" s="28" t="s">
        <v>175</v>
      </c>
      <c r="BZ1809" s="34" t="s">
        <v>138</v>
      </c>
      <c r="CA1809" s="29" t="s">
        <v>138</v>
      </c>
      <c r="CB1809" s="28" t="s">
        <v>138</v>
      </c>
      <c r="CC1809" s="29" t="s">
        <v>138</v>
      </c>
      <c r="CD1809" s="28" t="s">
        <v>138</v>
      </c>
      <c r="CE1809" s="28" t="s">
        <v>205</v>
      </c>
      <c r="CF1809" s="28" t="s">
        <v>138</v>
      </c>
      <c r="CG1809" s="28" t="s">
        <v>138</v>
      </c>
      <c r="CH1809" s="28" t="s">
        <v>174</v>
      </c>
      <c r="CI1809" s="28" t="s">
        <v>138</v>
      </c>
      <c r="CJ1809" s="28" t="s">
        <v>138</v>
      </c>
      <c r="CK1809" s="28" t="s">
        <v>138</v>
      </c>
      <c r="CL1809" s="28" t="s">
        <v>175</v>
      </c>
      <c r="CM1809" s="34" t="s">
        <v>138</v>
      </c>
      <c r="CN1809" s="29" t="s">
        <v>138</v>
      </c>
      <c r="CO1809" s="35">
        <v>0</v>
      </c>
      <c r="CP1809" s="36">
        <v>26</v>
      </c>
      <c r="CQ1809" s="35">
        <v>0</v>
      </c>
      <c r="CR1809" s="35">
        <v>0</v>
      </c>
      <c r="CS1809" s="35">
        <v>0</v>
      </c>
      <c r="CT1809" s="36">
        <v>23</v>
      </c>
      <c r="CU1809" s="35" t="s">
        <v>138</v>
      </c>
      <c r="CV1809" s="36" t="s">
        <v>138</v>
      </c>
      <c r="CW1809" s="35" t="s">
        <v>138</v>
      </c>
      <c r="CX1809" s="36" t="s">
        <v>138</v>
      </c>
      <c r="CY1809" s="35">
        <v>0</v>
      </c>
      <c r="CZ1809" s="36">
        <v>25</v>
      </c>
      <c r="DA1809" s="35" t="s">
        <v>138</v>
      </c>
      <c r="DB1809" s="36" t="s">
        <v>138</v>
      </c>
      <c r="DC1809" s="37">
        <v>0.62</v>
      </c>
      <c r="DD1809" s="36">
        <v>39</v>
      </c>
      <c r="DE1809" s="37">
        <v>0</v>
      </c>
      <c r="DF1809" s="35">
        <v>0</v>
      </c>
      <c r="DG1809" s="37">
        <v>0.62</v>
      </c>
      <c r="DH1809" s="36">
        <v>39</v>
      </c>
      <c r="DI1809" s="37" t="s">
        <v>138</v>
      </c>
      <c r="DJ1809" s="36" t="s">
        <v>138</v>
      </c>
      <c r="DK1809" s="37" t="s">
        <v>138</v>
      </c>
      <c r="DL1809" s="36" t="s">
        <v>138</v>
      </c>
      <c r="DM1809" s="37">
        <v>0.62</v>
      </c>
      <c r="DN1809" s="36">
        <v>39</v>
      </c>
      <c r="DO1809" s="37" t="s">
        <v>138</v>
      </c>
      <c r="DP1809" s="36" t="s">
        <v>138</v>
      </c>
      <c r="DQ1809" s="36" t="s">
        <v>138</v>
      </c>
      <c r="DR1809" s="38" t="s">
        <v>138</v>
      </c>
      <c r="DS1809" s="35" t="s">
        <v>138</v>
      </c>
      <c r="DT1809" s="36">
        <v>18</v>
      </c>
      <c r="DU1809" s="38">
        <v>0</v>
      </c>
      <c r="DV1809" s="35">
        <v>0</v>
      </c>
      <c r="DW1809" s="36" t="s">
        <v>138</v>
      </c>
      <c r="DX1809" s="39" t="s">
        <v>138</v>
      </c>
      <c r="DY1809" s="35" t="s">
        <v>138</v>
      </c>
      <c r="DZ1809" s="28" t="s">
        <v>178</v>
      </c>
      <c r="EA1809" s="34">
        <v>43351</v>
      </c>
      <c r="EB1809" s="29" t="s">
        <v>138</v>
      </c>
      <c r="EC1809" s="34" t="s">
        <v>138</v>
      </c>
      <c r="ED1809" s="28" t="s">
        <v>138</v>
      </c>
      <c r="EE1809" s="40" t="str">
        <f>HYPERLINK("https://my.pitchbook.com?c=54829-45", "View company online")</f>
        <v>View company online</v>
      </c>
    </row>
    <row r="1810" spans="1:135">
      <c r="A1810" s="15" t="s">
        <v>34365</v>
      </c>
      <c r="B1810" s="15" t="s">
        <v>34366</v>
      </c>
      <c r="C1810" s="15" t="s">
        <v>138</v>
      </c>
      <c r="D1810" s="15" t="s">
        <v>34367</v>
      </c>
      <c r="E1810" s="15" t="s">
        <v>34368</v>
      </c>
      <c r="F1810" s="15" t="s">
        <v>34365</v>
      </c>
      <c r="G1810" s="15" t="s">
        <v>34369</v>
      </c>
      <c r="H1810" s="15" t="s">
        <v>322</v>
      </c>
      <c r="I1810" s="15" t="s">
        <v>323</v>
      </c>
      <c r="J1810" s="15" t="s">
        <v>324</v>
      </c>
      <c r="K1810" s="15" t="s">
        <v>2464</v>
      </c>
      <c r="L1810" s="15" t="s">
        <v>215</v>
      </c>
      <c r="M1810" s="15" t="s">
        <v>34370</v>
      </c>
      <c r="N1810" s="15" t="s">
        <v>147</v>
      </c>
      <c r="O1810" s="17">
        <v>191.26</v>
      </c>
      <c r="P1810" s="15" t="s">
        <v>148</v>
      </c>
      <c r="Q1810" s="15" t="s">
        <v>149</v>
      </c>
      <c r="R1810" s="15" t="s">
        <v>174</v>
      </c>
      <c r="S1810" s="15" t="s">
        <v>34371</v>
      </c>
      <c r="T1810" s="18">
        <v>164</v>
      </c>
      <c r="U1810" s="15" t="s">
        <v>34372</v>
      </c>
      <c r="V1810" s="15" t="s">
        <v>138</v>
      </c>
      <c r="W1810" s="15" t="s">
        <v>138</v>
      </c>
      <c r="X1810" s="19">
        <v>2002</v>
      </c>
      <c r="Y1810" s="15" t="s">
        <v>138</v>
      </c>
      <c r="Z1810" s="15" t="s">
        <v>138</v>
      </c>
      <c r="AA1810" s="15" t="s">
        <v>138</v>
      </c>
      <c r="AB1810" s="20" t="s">
        <v>138</v>
      </c>
      <c r="AC1810" s="20" t="s">
        <v>138</v>
      </c>
      <c r="AD1810" s="20" t="s">
        <v>138</v>
      </c>
      <c r="AE1810" s="20" t="s">
        <v>138</v>
      </c>
      <c r="AF1810" s="20" t="s">
        <v>138</v>
      </c>
      <c r="AG1810" s="15" t="s">
        <v>138</v>
      </c>
      <c r="AH1810" s="20" t="s">
        <v>138</v>
      </c>
      <c r="AI1810" s="20" t="s">
        <v>138</v>
      </c>
      <c r="AJ1810" s="20" t="s">
        <v>138</v>
      </c>
      <c r="AK1810" s="15" t="s">
        <v>34373</v>
      </c>
      <c r="AL1810" s="15" t="s">
        <v>34374</v>
      </c>
      <c r="AM1810" s="15" t="s">
        <v>34375</v>
      </c>
      <c r="AN1810" s="15" t="s">
        <v>34376</v>
      </c>
      <c r="AO1810" s="15" t="s">
        <v>34377</v>
      </c>
      <c r="AP1810" s="15" t="s">
        <v>1244</v>
      </c>
      <c r="AQ1810" s="15" t="s">
        <v>29266</v>
      </c>
      <c r="AR1810" s="15" t="s">
        <v>34378</v>
      </c>
      <c r="AS1810" s="15" t="s">
        <v>1246</v>
      </c>
      <c r="AT1810" s="15" t="s">
        <v>200</v>
      </c>
      <c r="AU1810" s="15" t="s">
        <v>2437</v>
      </c>
      <c r="AV1810" s="15" t="s">
        <v>162</v>
      </c>
      <c r="AW1810" s="15" t="s">
        <v>34379</v>
      </c>
      <c r="AX1810" s="15" t="s">
        <v>34380</v>
      </c>
      <c r="AY1810" s="15" t="s">
        <v>34381</v>
      </c>
      <c r="AZ1810" s="15" t="s">
        <v>164</v>
      </c>
      <c r="BA1810" s="15" t="s">
        <v>165</v>
      </c>
      <c r="BB1810" s="15" t="s">
        <v>34382</v>
      </c>
      <c r="BC1810" s="15" t="s">
        <v>34383</v>
      </c>
      <c r="BD1810" s="21">
        <v>13</v>
      </c>
      <c r="BE1810" s="15" t="s">
        <v>138</v>
      </c>
      <c r="BF1810" s="15" t="s">
        <v>34384</v>
      </c>
      <c r="BG1810" s="15" t="s">
        <v>138</v>
      </c>
      <c r="BH1810" s="15" t="s">
        <v>34385</v>
      </c>
      <c r="BI1810" s="15" t="s">
        <v>34386</v>
      </c>
      <c r="BJ1810" s="15" t="s">
        <v>138</v>
      </c>
      <c r="BK1810" s="15" t="s">
        <v>34387</v>
      </c>
      <c r="BL1810" s="15" t="s">
        <v>1251</v>
      </c>
      <c r="BM1810" s="22">
        <v>37568</v>
      </c>
      <c r="BN1810" s="17">
        <v>9.0299999999999994</v>
      </c>
      <c r="BO1810" s="15" t="s">
        <v>172</v>
      </c>
      <c r="BP1810" s="17">
        <v>20.5</v>
      </c>
      <c r="BQ1810" s="15" t="s">
        <v>172</v>
      </c>
      <c r="BR1810" s="15" t="s">
        <v>205</v>
      </c>
      <c r="BS1810" s="15" t="s">
        <v>206</v>
      </c>
      <c r="BT1810" s="15" t="s">
        <v>138</v>
      </c>
      <c r="BU1810" s="15" t="s">
        <v>174</v>
      </c>
      <c r="BV1810" s="15" t="s">
        <v>138</v>
      </c>
      <c r="BW1810" s="15" t="s">
        <v>138</v>
      </c>
      <c r="BX1810" s="15" t="s">
        <v>138</v>
      </c>
      <c r="BY1810" s="15" t="s">
        <v>175</v>
      </c>
      <c r="BZ1810" s="22" t="s">
        <v>138</v>
      </c>
      <c r="CA1810" s="17" t="s">
        <v>138</v>
      </c>
      <c r="CB1810" s="15" t="s">
        <v>138</v>
      </c>
      <c r="CC1810" s="17" t="s">
        <v>138</v>
      </c>
      <c r="CD1810" s="15" t="s">
        <v>138</v>
      </c>
      <c r="CE1810" s="15" t="s">
        <v>379</v>
      </c>
      <c r="CF1810" s="15" t="s">
        <v>138</v>
      </c>
      <c r="CG1810" s="15" t="s">
        <v>138</v>
      </c>
      <c r="CH1810" s="15" t="s">
        <v>174</v>
      </c>
      <c r="CI1810" s="15" t="s">
        <v>138</v>
      </c>
      <c r="CJ1810" s="15" t="s">
        <v>138</v>
      </c>
      <c r="CK1810" s="15" t="s">
        <v>138</v>
      </c>
      <c r="CL1810" s="15" t="s">
        <v>175</v>
      </c>
      <c r="CM1810" s="22" t="s">
        <v>138</v>
      </c>
      <c r="CN1810" s="17" t="s">
        <v>138</v>
      </c>
      <c r="CO1810" s="23">
        <v>0.2</v>
      </c>
      <c r="CP1810" s="24">
        <v>92</v>
      </c>
      <c r="CQ1810" s="23">
        <v>0.01</v>
      </c>
      <c r="CR1810" s="23">
        <v>5.14</v>
      </c>
      <c r="CS1810" s="23">
        <v>0.33</v>
      </c>
      <c r="CT1810" s="24">
        <v>95</v>
      </c>
      <c r="CU1810" s="23">
        <v>0.08</v>
      </c>
      <c r="CV1810" s="24">
        <v>64</v>
      </c>
      <c r="CW1810" s="23">
        <v>0.33</v>
      </c>
      <c r="CX1810" s="24">
        <v>82</v>
      </c>
      <c r="CY1810" s="23" t="s">
        <v>138</v>
      </c>
      <c r="CZ1810" s="24" t="s">
        <v>138</v>
      </c>
      <c r="DA1810" s="23">
        <v>0.19</v>
      </c>
      <c r="DB1810" s="24">
        <v>82</v>
      </c>
      <c r="DC1810" s="25">
        <v>17.79</v>
      </c>
      <c r="DD1810" s="24">
        <v>94</v>
      </c>
      <c r="DE1810" s="25">
        <v>-1.99</v>
      </c>
      <c r="DF1810" s="23">
        <v>-10.039999999999999</v>
      </c>
      <c r="DG1810" s="25">
        <v>31.22</v>
      </c>
      <c r="DH1810" s="24">
        <v>97</v>
      </c>
      <c r="DI1810" s="25">
        <v>4.37</v>
      </c>
      <c r="DJ1810" s="24">
        <v>75</v>
      </c>
      <c r="DK1810" s="25">
        <v>31.22</v>
      </c>
      <c r="DL1810" s="24">
        <v>94</v>
      </c>
      <c r="DM1810" s="25" t="s">
        <v>138</v>
      </c>
      <c r="DN1810" s="24" t="s">
        <v>138</v>
      </c>
      <c r="DO1810" s="25">
        <v>7.87</v>
      </c>
      <c r="DP1810" s="24">
        <v>85</v>
      </c>
      <c r="DQ1810" s="24">
        <v>10660</v>
      </c>
      <c r="DR1810" s="26">
        <v>147</v>
      </c>
      <c r="DS1810" s="23">
        <v>1.4</v>
      </c>
      <c r="DT1810" s="24" t="s">
        <v>138</v>
      </c>
      <c r="DU1810" s="26" t="s">
        <v>138</v>
      </c>
      <c r="DV1810" s="23" t="s">
        <v>138</v>
      </c>
      <c r="DW1810" s="24">
        <v>2815</v>
      </c>
      <c r="DX1810" s="27">
        <v>11</v>
      </c>
      <c r="DY1810" s="23">
        <v>0.39</v>
      </c>
      <c r="DZ1810" s="15" t="s">
        <v>178</v>
      </c>
      <c r="EA1810" s="22">
        <v>43622</v>
      </c>
      <c r="EB1810" s="17">
        <v>27.9</v>
      </c>
      <c r="EC1810" s="22">
        <v>39906</v>
      </c>
      <c r="ED1810" s="15" t="s">
        <v>173</v>
      </c>
      <c r="EE1810" s="14" t="str">
        <f>HYPERLINK("https://my.pitchbook.com?c=53513-74", "View company online")</f>
        <v>View company online</v>
      </c>
    </row>
    <row r="1811" spans="1:135">
      <c r="A1811" s="28" t="s">
        <v>34388</v>
      </c>
      <c r="B1811" s="28" t="s">
        <v>34389</v>
      </c>
      <c r="C1811" s="28" t="s">
        <v>138</v>
      </c>
      <c r="D1811" s="28" t="s">
        <v>34390</v>
      </c>
      <c r="E1811" s="28" t="s">
        <v>34391</v>
      </c>
      <c r="F1811" s="28" t="s">
        <v>34388</v>
      </c>
      <c r="G1811" s="28" t="s">
        <v>34392</v>
      </c>
      <c r="H1811" s="28" t="s">
        <v>322</v>
      </c>
      <c r="I1811" s="28" t="s">
        <v>323</v>
      </c>
      <c r="J1811" s="28" t="s">
        <v>324</v>
      </c>
      <c r="K1811" s="28" t="s">
        <v>34393</v>
      </c>
      <c r="L1811" s="28" t="s">
        <v>34394</v>
      </c>
      <c r="M1811" s="28" t="s">
        <v>34395</v>
      </c>
      <c r="N1811" s="28" t="s">
        <v>147</v>
      </c>
      <c r="O1811" s="29">
        <v>141</v>
      </c>
      <c r="P1811" s="28" t="s">
        <v>148</v>
      </c>
      <c r="Q1811" s="28" t="s">
        <v>149</v>
      </c>
      <c r="R1811" s="28" t="s">
        <v>244</v>
      </c>
      <c r="S1811" s="28" t="s">
        <v>34396</v>
      </c>
      <c r="T1811" s="30">
        <v>116</v>
      </c>
      <c r="U1811" s="28" t="s">
        <v>34397</v>
      </c>
      <c r="V1811" s="28" t="s">
        <v>138</v>
      </c>
      <c r="W1811" s="28" t="s">
        <v>138</v>
      </c>
      <c r="X1811" s="31">
        <v>2010</v>
      </c>
      <c r="Y1811" s="28" t="s">
        <v>138</v>
      </c>
      <c r="Z1811" s="28" t="s">
        <v>138</v>
      </c>
      <c r="AA1811" s="28" t="s">
        <v>138</v>
      </c>
      <c r="AB1811" s="32" t="s">
        <v>138</v>
      </c>
      <c r="AC1811" s="32" t="s">
        <v>138</v>
      </c>
      <c r="AD1811" s="32" t="s">
        <v>138</v>
      </c>
      <c r="AE1811" s="32" t="s">
        <v>138</v>
      </c>
      <c r="AF1811" s="32" t="s">
        <v>138</v>
      </c>
      <c r="AG1811" s="28" t="s">
        <v>138</v>
      </c>
      <c r="AH1811" s="32" t="s">
        <v>138</v>
      </c>
      <c r="AI1811" s="32" t="s">
        <v>138</v>
      </c>
      <c r="AJ1811" s="32" t="s">
        <v>138</v>
      </c>
      <c r="AK1811" s="28" t="s">
        <v>34398</v>
      </c>
      <c r="AL1811" s="28" t="s">
        <v>34399</v>
      </c>
      <c r="AM1811" s="28" t="s">
        <v>34400</v>
      </c>
      <c r="AN1811" s="28" t="s">
        <v>34401</v>
      </c>
      <c r="AO1811" s="28" t="s">
        <v>34402</v>
      </c>
      <c r="AP1811" s="28" t="s">
        <v>3839</v>
      </c>
      <c r="AQ1811" s="28" t="s">
        <v>34403</v>
      </c>
      <c r="AR1811" s="28" t="s">
        <v>138</v>
      </c>
      <c r="AS1811" s="28" t="s">
        <v>3841</v>
      </c>
      <c r="AT1811" s="28" t="s">
        <v>200</v>
      </c>
      <c r="AU1811" s="28" t="s">
        <v>3842</v>
      </c>
      <c r="AV1811" s="28" t="s">
        <v>162</v>
      </c>
      <c r="AW1811" s="28" t="s">
        <v>34402</v>
      </c>
      <c r="AX1811" s="28" t="s">
        <v>34404</v>
      </c>
      <c r="AY1811" s="28" t="s">
        <v>34405</v>
      </c>
      <c r="AZ1811" s="28" t="s">
        <v>164</v>
      </c>
      <c r="BA1811" s="28" t="s">
        <v>165</v>
      </c>
      <c r="BB1811" s="28" t="s">
        <v>34406</v>
      </c>
      <c r="BC1811" s="28" t="s">
        <v>34407</v>
      </c>
      <c r="BD1811" s="33">
        <v>18</v>
      </c>
      <c r="BE1811" s="28" t="s">
        <v>138</v>
      </c>
      <c r="BF1811" s="28" t="s">
        <v>138</v>
      </c>
      <c r="BG1811" s="28" t="s">
        <v>138</v>
      </c>
      <c r="BH1811" s="28" t="s">
        <v>34408</v>
      </c>
      <c r="BI1811" s="28" t="s">
        <v>138</v>
      </c>
      <c r="BJ1811" s="28" t="s">
        <v>138</v>
      </c>
      <c r="BK1811" s="28" t="s">
        <v>34409</v>
      </c>
      <c r="BL1811" s="28" t="s">
        <v>34410</v>
      </c>
      <c r="BM1811" s="34">
        <v>40998</v>
      </c>
      <c r="BN1811" s="29" t="s">
        <v>138</v>
      </c>
      <c r="BO1811" s="28" t="s">
        <v>138</v>
      </c>
      <c r="BP1811" s="29" t="s">
        <v>138</v>
      </c>
      <c r="BQ1811" s="28" t="s">
        <v>138</v>
      </c>
      <c r="BR1811" s="28" t="s">
        <v>205</v>
      </c>
      <c r="BS1811" s="28" t="s">
        <v>138</v>
      </c>
      <c r="BT1811" s="28" t="s">
        <v>138</v>
      </c>
      <c r="BU1811" s="28" t="s">
        <v>174</v>
      </c>
      <c r="BV1811" s="28" t="s">
        <v>138</v>
      </c>
      <c r="BW1811" s="28" t="s">
        <v>138</v>
      </c>
      <c r="BX1811" s="28" t="s">
        <v>138</v>
      </c>
      <c r="BY1811" s="28" t="s">
        <v>175</v>
      </c>
      <c r="BZ1811" s="34">
        <v>43305</v>
      </c>
      <c r="CA1811" s="29">
        <v>9</v>
      </c>
      <c r="CB1811" s="28" t="s">
        <v>172</v>
      </c>
      <c r="CC1811" s="29" t="s">
        <v>138</v>
      </c>
      <c r="CD1811" s="28" t="s">
        <v>138</v>
      </c>
      <c r="CE1811" s="28" t="s">
        <v>1326</v>
      </c>
      <c r="CF1811" s="28" t="s">
        <v>138</v>
      </c>
      <c r="CG1811" s="28" t="s">
        <v>138</v>
      </c>
      <c r="CH1811" s="28" t="s">
        <v>1327</v>
      </c>
      <c r="CI1811" s="28" t="s">
        <v>5777</v>
      </c>
      <c r="CJ1811" s="28" t="s">
        <v>138</v>
      </c>
      <c r="CK1811" s="28" t="s">
        <v>138</v>
      </c>
      <c r="CL1811" s="28" t="s">
        <v>175</v>
      </c>
      <c r="CM1811" s="34">
        <v>43305</v>
      </c>
      <c r="CN1811" s="29">
        <v>9</v>
      </c>
      <c r="CO1811" s="35">
        <v>0.13</v>
      </c>
      <c r="CP1811" s="36">
        <v>91</v>
      </c>
      <c r="CQ1811" s="35">
        <v>-0.01</v>
      </c>
      <c r="CR1811" s="35">
        <v>-6.94</v>
      </c>
      <c r="CS1811" s="35">
        <v>0.22</v>
      </c>
      <c r="CT1811" s="36">
        <v>94</v>
      </c>
      <c r="CU1811" s="35">
        <v>0.03</v>
      </c>
      <c r="CV1811" s="36">
        <v>54</v>
      </c>
      <c r="CW1811" s="35">
        <v>1.39</v>
      </c>
      <c r="CX1811" s="36">
        <v>86</v>
      </c>
      <c r="CY1811" s="35">
        <v>-0.94</v>
      </c>
      <c r="CZ1811" s="36">
        <v>19</v>
      </c>
      <c r="DA1811" s="35">
        <v>7.0000000000000007E-2</v>
      </c>
      <c r="DB1811" s="36">
        <v>67</v>
      </c>
      <c r="DC1811" s="37">
        <v>7.68</v>
      </c>
      <c r="DD1811" s="36">
        <v>88</v>
      </c>
      <c r="DE1811" s="37">
        <v>-0.1</v>
      </c>
      <c r="DF1811" s="35">
        <v>-1.27</v>
      </c>
      <c r="DG1811" s="37">
        <v>12.75</v>
      </c>
      <c r="DH1811" s="36">
        <v>92</v>
      </c>
      <c r="DI1811" s="37">
        <v>2.6</v>
      </c>
      <c r="DJ1811" s="36">
        <v>67</v>
      </c>
      <c r="DK1811" s="37">
        <v>3.12</v>
      </c>
      <c r="DL1811" s="36">
        <v>72</v>
      </c>
      <c r="DM1811" s="37">
        <v>22.38</v>
      </c>
      <c r="DN1811" s="36">
        <v>95</v>
      </c>
      <c r="DO1811" s="37">
        <v>4.66</v>
      </c>
      <c r="DP1811" s="36">
        <v>78</v>
      </c>
      <c r="DQ1811" s="36">
        <v>1090</v>
      </c>
      <c r="DR1811" s="38">
        <v>-59</v>
      </c>
      <c r="DS1811" s="35">
        <v>-5.13</v>
      </c>
      <c r="DT1811" s="36">
        <v>649</v>
      </c>
      <c r="DU1811" s="38">
        <v>-2</v>
      </c>
      <c r="DV1811" s="35">
        <v>-0.31</v>
      </c>
      <c r="DW1811" s="36">
        <v>1666</v>
      </c>
      <c r="DX1811" s="39">
        <v>5</v>
      </c>
      <c r="DY1811" s="35">
        <v>0.3</v>
      </c>
      <c r="DZ1811" s="28" t="s">
        <v>178</v>
      </c>
      <c r="EA1811" s="34">
        <v>43549</v>
      </c>
      <c r="EB1811" s="29">
        <v>270</v>
      </c>
      <c r="EC1811" s="34">
        <v>43041</v>
      </c>
      <c r="ED1811" s="28" t="s">
        <v>173</v>
      </c>
      <c r="EE1811" s="40" t="str">
        <f>HYPERLINK("https://my.pitchbook.com?c=54160-75", "View company online")</f>
        <v>View company online</v>
      </c>
    </row>
    <row r="1812" spans="1:135">
      <c r="A1812" s="15" t="s">
        <v>34411</v>
      </c>
      <c r="B1812" s="15" t="s">
        <v>34412</v>
      </c>
      <c r="C1812" s="15" t="s">
        <v>138</v>
      </c>
      <c r="D1812" s="15" t="s">
        <v>138</v>
      </c>
      <c r="E1812" s="15" t="s">
        <v>138</v>
      </c>
      <c r="F1812" s="15" t="s">
        <v>34411</v>
      </c>
      <c r="G1812" s="15" t="s">
        <v>34413</v>
      </c>
      <c r="H1812" s="15" t="s">
        <v>322</v>
      </c>
      <c r="I1812" s="15" t="s">
        <v>807</v>
      </c>
      <c r="J1812" s="15" t="s">
        <v>808</v>
      </c>
      <c r="K1812" s="15" t="s">
        <v>6087</v>
      </c>
      <c r="L1812" s="15" t="s">
        <v>415</v>
      </c>
      <c r="M1812" s="15" t="s">
        <v>34414</v>
      </c>
      <c r="N1812" s="15" t="s">
        <v>147</v>
      </c>
      <c r="O1812" s="17">
        <v>19</v>
      </c>
      <c r="P1812" s="15" t="s">
        <v>148</v>
      </c>
      <c r="Q1812" s="15" t="s">
        <v>149</v>
      </c>
      <c r="R1812" s="15" t="s">
        <v>174</v>
      </c>
      <c r="S1812" s="15" t="s">
        <v>34415</v>
      </c>
      <c r="T1812" s="18">
        <v>39</v>
      </c>
      <c r="U1812" s="15" t="s">
        <v>34416</v>
      </c>
      <c r="V1812" s="15" t="s">
        <v>138</v>
      </c>
      <c r="W1812" s="15" t="s">
        <v>138</v>
      </c>
      <c r="X1812" s="19">
        <v>2005</v>
      </c>
      <c r="Y1812" s="15" t="s">
        <v>138</v>
      </c>
      <c r="Z1812" s="15" t="s">
        <v>138</v>
      </c>
      <c r="AA1812" s="15" t="s">
        <v>138</v>
      </c>
      <c r="AB1812" s="20" t="s">
        <v>138</v>
      </c>
      <c r="AC1812" s="20" t="s">
        <v>138</v>
      </c>
      <c r="AD1812" s="20" t="s">
        <v>138</v>
      </c>
      <c r="AE1812" s="20" t="s">
        <v>138</v>
      </c>
      <c r="AF1812" s="20" t="s">
        <v>138</v>
      </c>
      <c r="AG1812" s="15" t="s">
        <v>138</v>
      </c>
      <c r="AH1812" s="20" t="s">
        <v>138</v>
      </c>
      <c r="AI1812" s="20" t="s">
        <v>138</v>
      </c>
      <c r="AJ1812" s="20" t="s">
        <v>138</v>
      </c>
      <c r="AK1812" s="15" t="s">
        <v>34417</v>
      </c>
      <c r="AL1812" s="15" t="s">
        <v>34418</v>
      </c>
      <c r="AM1812" s="15" t="s">
        <v>249</v>
      </c>
      <c r="AN1812" s="15" t="s">
        <v>34419</v>
      </c>
      <c r="AO1812" s="15" t="s">
        <v>34420</v>
      </c>
      <c r="AP1812" s="15" t="s">
        <v>34421</v>
      </c>
      <c r="AQ1812" s="15" t="s">
        <v>34422</v>
      </c>
      <c r="AR1812" s="15" t="s">
        <v>34423</v>
      </c>
      <c r="AS1812" s="15" t="s">
        <v>34424</v>
      </c>
      <c r="AT1812" s="15" t="s">
        <v>864</v>
      </c>
      <c r="AU1812" s="15" t="s">
        <v>34425</v>
      </c>
      <c r="AV1812" s="15" t="s">
        <v>162</v>
      </c>
      <c r="AW1812" s="15" t="s">
        <v>34426</v>
      </c>
      <c r="AX1812" s="15" t="s">
        <v>138</v>
      </c>
      <c r="AY1812" s="15" t="s">
        <v>34427</v>
      </c>
      <c r="AZ1812" s="15" t="s">
        <v>164</v>
      </c>
      <c r="BA1812" s="15" t="s">
        <v>165</v>
      </c>
      <c r="BB1812" s="15" t="s">
        <v>34428</v>
      </c>
      <c r="BC1812" s="15" t="s">
        <v>34429</v>
      </c>
      <c r="BD1812" s="21">
        <v>7</v>
      </c>
      <c r="BE1812" s="15" t="s">
        <v>138</v>
      </c>
      <c r="BF1812" s="15" t="s">
        <v>138</v>
      </c>
      <c r="BG1812" s="15" t="s">
        <v>138</v>
      </c>
      <c r="BH1812" s="15" t="s">
        <v>34430</v>
      </c>
      <c r="BI1812" s="15" t="s">
        <v>138</v>
      </c>
      <c r="BJ1812" s="15" t="s">
        <v>138</v>
      </c>
      <c r="BK1812" s="15" t="s">
        <v>138</v>
      </c>
      <c r="BL1812" s="15" t="s">
        <v>9800</v>
      </c>
      <c r="BM1812" s="22" t="s">
        <v>138</v>
      </c>
      <c r="BN1812" s="17" t="s">
        <v>138</v>
      </c>
      <c r="BO1812" s="15" t="s">
        <v>138</v>
      </c>
      <c r="BP1812" s="17" t="s">
        <v>138</v>
      </c>
      <c r="BQ1812" s="15" t="s">
        <v>138</v>
      </c>
      <c r="BR1812" s="15" t="s">
        <v>234</v>
      </c>
      <c r="BS1812" s="15" t="s">
        <v>234</v>
      </c>
      <c r="BT1812" s="15" t="s">
        <v>138</v>
      </c>
      <c r="BU1812" s="15" t="s">
        <v>263</v>
      </c>
      <c r="BV1812" s="15" t="s">
        <v>138</v>
      </c>
      <c r="BW1812" s="15" t="s">
        <v>138</v>
      </c>
      <c r="BX1812" s="15" t="s">
        <v>138</v>
      </c>
      <c r="BY1812" s="15" t="s">
        <v>175</v>
      </c>
      <c r="BZ1812" s="22">
        <v>41162</v>
      </c>
      <c r="CA1812" s="17">
        <v>5</v>
      </c>
      <c r="CB1812" s="15" t="s">
        <v>172</v>
      </c>
      <c r="CC1812" s="17">
        <v>11</v>
      </c>
      <c r="CD1812" s="15" t="s">
        <v>172</v>
      </c>
      <c r="CE1812" s="15" t="s">
        <v>173</v>
      </c>
      <c r="CF1812" s="15" t="s">
        <v>207</v>
      </c>
      <c r="CG1812" s="15" t="s">
        <v>138</v>
      </c>
      <c r="CH1812" s="15" t="s">
        <v>174</v>
      </c>
      <c r="CI1812" s="15" t="s">
        <v>138</v>
      </c>
      <c r="CJ1812" s="15" t="s">
        <v>138</v>
      </c>
      <c r="CK1812" s="15" t="s">
        <v>138</v>
      </c>
      <c r="CL1812" s="15" t="s">
        <v>175</v>
      </c>
      <c r="CM1812" s="22">
        <v>40135</v>
      </c>
      <c r="CN1812" s="17" t="s">
        <v>138</v>
      </c>
      <c r="CO1812" s="23">
        <v>-1.6</v>
      </c>
      <c r="CP1812" s="24">
        <v>7</v>
      </c>
      <c r="CQ1812" s="23">
        <v>0.11</v>
      </c>
      <c r="CR1812" s="23">
        <v>6.4</v>
      </c>
      <c r="CS1812" s="23">
        <v>-3.6</v>
      </c>
      <c r="CT1812" s="24">
        <v>4</v>
      </c>
      <c r="CU1812" s="23">
        <v>0.41</v>
      </c>
      <c r="CV1812" s="24">
        <v>91</v>
      </c>
      <c r="CW1812" s="23" t="s">
        <v>138</v>
      </c>
      <c r="CX1812" s="24" t="s">
        <v>138</v>
      </c>
      <c r="CY1812" s="23">
        <v>-3.6</v>
      </c>
      <c r="CZ1812" s="24">
        <v>5</v>
      </c>
      <c r="DA1812" s="23">
        <v>0.41</v>
      </c>
      <c r="DB1812" s="24">
        <v>92</v>
      </c>
      <c r="DC1812" s="25">
        <v>3.37</v>
      </c>
      <c r="DD1812" s="24">
        <v>77</v>
      </c>
      <c r="DE1812" s="25">
        <v>0.46</v>
      </c>
      <c r="DF1812" s="23">
        <v>15.83</v>
      </c>
      <c r="DG1812" s="25">
        <v>4.66</v>
      </c>
      <c r="DH1812" s="24">
        <v>81</v>
      </c>
      <c r="DI1812" s="25">
        <v>2.08</v>
      </c>
      <c r="DJ1812" s="24">
        <v>63</v>
      </c>
      <c r="DK1812" s="25" t="s">
        <v>138</v>
      </c>
      <c r="DL1812" s="24" t="s">
        <v>138</v>
      </c>
      <c r="DM1812" s="25">
        <v>4.66</v>
      </c>
      <c r="DN1812" s="24">
        <v>80</v>
      </c>
      <c r="DO1812" s="25">
        <v>2.08</v>
      </c>
      <c r="DP1812" s="24">
        <v>64</v>
      </c>
      <c r="DQ1812" s="24" t="s">
        <v>138</v>
      </c>
      <c r="DR1812" s="26" t="s">
        <v>138</v>
      </c>
      <c r="DS1812" s="23" t="s">
        <v>138</v>
      </c>
      <c r="DT1812" s="24">
        <v>135</v>
      </c>
      <c r="DU1812" s="26">
        <v>-1</v>
      </c>
      <c r="DV1812" s="23">
        <v>-0.74</v>
      </c>
      <c r="DW1812" s="24">
        <v>743</v>
      </c>
      <c r="DX1812" s="27">
        <v>4</v>
      </c>
      <c r="DY1812" s="23">
        <v>0.54</v>
      </c>
      <c r="DZ1812" s="15" t="s">
        <v>178</v>
      </c>
      <c r="EA1812" s="22">
        <v>43351</v>
      </c>
      <c r="EB1812" s="17">
        <v>11</v>
      </c>
      <c r="EC1812" s="22">
        <v>41162</v>
      </c>
      <c r="ED1812" s="15" t="s">
        <v>173</v>
      </c>
      <c r="EE1812" s="14" t="str">
        <f>HYPERLINK("https://my.pitchbook.com?c=53692-12", "View company online")</f>
        <v>View company online</v>
      </c>
    </row>
    <row r="1813" spans="1:135">
      <c r="A1813" s="28" t="s">
        <v>34431</v>
      </c>
      <c r="B1813" s="28" t="s">
        <v>34432</v>
      </c>
      <c r="C1813" s="28" t="s">
        <v>138</v>
      </c>
      <c r="D1813" s="28" t="s">
        <v>138</v>
      </c>
      <c r="E1813" s="28" t="s">
        <v>34433</v>
      </c>
      <c r="F1813" s="28" t="s">
        <v>34431</v>
      </c>
      <c r="G1813" s="28" t="s">
        <v>34434</v>
      </c>
      <c r="H1813" s="28" t="s">
        <v>385</v>
      </c>
      <c r="I1813" s="28" t="s">
        <v>1991</v>
      </c>
      <c r="J1813" s="28" t="s">
        <v>1992</v>
      </c>
      <c r="K1813" s="28" t="s">
        <v>34435</v>
      </c>
      <c r="L1813" s="28" t="s">
        <v>34436</v>
      </c>
      <c r="M1813" s="28" t="s">
        <v>34437</v>
      </c>
      <c r="N1813" s="28" t="s">
        <v>147</v>
      </c>
      <c r="O1813" s="29">
        <v>10.1</v>
      </c>
      <c r="P1813" s="28" t="s">
        <v>148</v>
      </c>
      <c r="Q1813" s="28" t="s">
        <v>149</v>
      </c>
      <c r="R1813" s="28" t="s">
        <v>174</v>
      </c>
      <c r="S1813" s="28" t="s">
        <v>34438</v>
      </c>
      <c r="T1813" s="30">
        <v>19</v>
      </c>
      <c r="U1813" s="28" t="s">
        <v>34439</v>
      </c>
      <c r="V1813" s="28" t="s">
        <v>138</v>
      </c>
      <c r="W1813" s="28" t="s">
        <v>138</v>
      </c>
      <c r="X1813" s="31">
        <v>2014</v>
      </c>
      <c r="Y1813" s="28" t="s">
        <v>138</v>
      </c>
      <c r="Z1813" s="28" t="s">
        <v>138</v>
      </c>
      <c r="AA1813" s="28" t="s">
        <v>138</v>
      </c>
      <c r="AB1813" s="32" t="s">
        <v>138</v>
      </c>
      <c r="AC1813" s="32" t="s">
        <v>138</v>
      </c>
      <c r="AD1813" s="32" t="s">
        <v>138</v>
      </c>
      <c r="AE1813" s="32" t="s">
        <v>138</v>
      </c>
      <c r="AF1813" s="32" t="s">
        <v>138</v>
      </c>
      <c r="AG1813" s="28" t="s">
        <v>138</v>
      </c>
      <c r="AH1813" s="32" t="s">
        <v>138</v>
      </c>
      <c r="AI1813" s="32" t="s">
        <v>138</v>
      </c>
      <c r="AJ1813" s="32" t="s">
        <v>138</v>
      </c>
      <c r="AK1813" s="28" t="s">
        <v>34440</v>
      </c>
      <c r="AL1813" s="28" t="s">
        <v>34441</v>
      </c>
      <c r="AM1813" s="28" t="s">
        <v>8243</v>
      </c>
      <c r="AN1813" s="28" t="s">
        <v>34442</v>
      </c>
      <c r="AO1813" s="28" t="s">
        <v>34443</v>
      </c>
      <c r="AP1813" s="28" t="s">
        <v>4272</v>
      </c>
      <c r="AQ1813" s="28" t="s">
        <v>34444</v>
      </c>
      <c r="AR1813" s="28" t="s">
        <v>6298</v>
      </c>
      <c r="AS1813" s="28" t="s">
        <v>4273</v>
      </c>
      <c r="AT1813" s="28" t="s">
        <v>200</v>
      </c>
      <c r="AU1813" s="28" t="s">
        <v>34445</v>
      </c>
      <c r="AV1813" s="28" t="s">
        <v>162</v>
      </c>
      <c r="AW1813" s="28" t="s">
        <v>34446</v>
      </c>
      <c r="AX1813" s="28" t="s">
        <v>138</v>
      </c>
      <c r="AY1813" s="28" t="s">
        <v>34447</v>
      </c>
      <c r="AZ1813" s="28" t="s">
        <v>164</v>
      </c>
      <c r="BA1813" s="28" t="s">
        <v>165</v>
      </c>
      <c r="BB1813" s="28" t="s">
        <v>34448</v>
      </c>
      <c r="BC1813" s="28" t="s">
        <v>34449</v>
      </c>
      <c r="BD1813" s="33">
        <v>16</v>
      </c>
      <c r="BE1813" s="28" t="s">
        <v>138</v>
      </c>
      <c r="BF1813" s="28" t="s">
        <v>138</v>
      </c>
      <c r="BG1813" s="28" t="s">
        <v>138</v>
      </c>
      <c r="BH1813" s="28" t="s">
        <v>34450</v>
      </c>
      <c r="BI1813" s="28" t="s">
        <v>138</v>
      </c>
      <c r="BJ1813" s="28" t="s">
        <v>138</v>
      </c>
      <c r="BK1813" s="28" t="s">
        <v>138</v>
      </c>
      <c r="BL1813" s="28" t="s">
        <v>138</v>
      </c>
      <c r="BM1813" s="34">
        <v>41640</v>
      </c>
      <c r="BN1813" s="29" t="s">
        <v>138</v>
      </c>
      <c r="BO1813" s="28" t="s">
        <v>138</v>
      </c>
      <c r="BP1813" s="29" t="s">
        <v>138</v>
      </c>
      <c r="BQ1813" s="28" t="s">
        <v>138</v>
      </c>
      <c r="BR1813" s="28" t="s">
        <v>316</v>
      </c>
      <c r="BS1813" s="28" t="s">
        <v>138</v>
      </c>
      <c r="BT1813" s="28" t="s">
        <v>138</v>
      </c>
      <c r="BU1813" s="28" t="s">
        <v>177</v>
      </c>
      <c r="BV1813" s="28" t="s">
        <v>138</v>
      </c>
      <c r="BW1813" s="28" t="s">
        <v>138</v>
      </c>
      <c r="BX1813" s="28" t="s">
        <v>138</v>
      </c>
      <c r="BY1813" s="28" t="s">
        <v>175</v>
      </c>
      <c r="BZ1813" s="34">
        <v>43229</v>
      </c>
      <c r="CA1813" s="29">
        <v>7.6</v>
      </c>
      <c r="CB1813" s="28" t="s">
        <v>172</v>
      </c>
      <c r="CC1813" s="29" t="s">
        <v>138</v>
      </c>
      <c r="CD1813" s="28" t="s">
        <v>138</v>
      </c>
      <c r="CE1813" s="28" t="s">
        <v>205</v>
      </c>
      <c r="CF1813" s="28" t="s">
        <v>206</v>
      </c>
      <c r="CG1813" s="28" t="s">
        <v>138</v>
      </c>
      <c r="CH1813" s="28" t="s">
        <v>174</v>
      </c>
      <c r="CI1813" s="28" t="s">
        <v>138</v>
      </c>
      <c r="CJ1813" s="28" t="s">
        <v>138</v>
      </c>
      <c r="CK1813" s="28" t="s">
        <v>138</v>
      </c>
      <c r="CL1813" s="28" t="s">
        <v>175</v>
      </c>
      <c r="CM1813" s="34" t="s">
        <v>138</v>
      </c>
      <c r="CN1813" s="29" t="s">
        <v>138</v>
      </c>
      <c r="CO1813" s="35">
        <v>-0.09</v>
      </c>
      <c r="CP1813" s="36">
        <v>21</v>
      </c>
      <c r="CQ1813" s="35">
        <v>0.03</v>
      </c>
      <c r="CR1813" s="35">
        <v>22.8</v>
      </c>
      <c r="CS1813" s="35">
        <v>-0.61</v>
      </c>
      <c r="CT1813" s="36">
        <v>18</v>
      </c>
      <c r="CU1813" s="35">
        <v>0.44</v>
      </c>
      <c r="CV1813" s="36">
        <v>92</v>
      </c>
      <c r="CW1813" s="35">
        <v>0</v>
      </c>
      <c r="CX1813" s="36">
        <v>13</v>
      </c>
      <c r="CY1813" s="35">
        <v>-1.23</v>
      </c>
      <c r="CZ1813" s="36">
        <v>17</v>
      </c>
      <c r="DA1813" s="35">
        <v>0.44</v>
      </c>
      <c r="DB1813" s="36">
        <v>93</v>
      </c>
      <c r="DC1813" s="37">
        <v>2.58</v>
      </c>
      <c r="DD1813" s="36">
        <v>72</v>
      </c>
      <c r="DE1813" s="37">
        <v>-0.05</v>
      </c>
      <c r="DF1813" s="35">
        <v>-2.04</v>
      </c>
      <c r="DG1813" s="37">
        <v>4.2699999999999996</v>
      </c>
      <c r="DH1813" s="36">
        <v>80</v>
      </c>
      <c r="DI1813" s="37">
        <v>0.89</v>
      </c>
      <c r="DJ1813" s="36">
        <v>47</v>
      </c>
      <c r="DK1813" s="37">
        <v>2.29</v>
      </c>
      <c r="DL1813" s="36">
        <v>67</v>
      </c>
      <c r="DM1813" s="37">
        <v>6.24</v>
      </c>
      <c r="DN1813" s="36">
        <v>84</v>
      </c>
      <c r="DO1813" s="37">
        <v>0.89</v>
      </c>
      <c r="DP1813" s="36">
        <v>48</v>
      </c>
      <c r="DQ1813" s="36">
        <v>744</v>
      </c>
      <c r="DR1813" s="38">
        <v>122</v>
      </c>
      <c r="DS1813" s="35">
        <v>19.61</v>
      </c>
      <c r="DT1813" s="36">
        <v>180</v>
      </c>
      <c r="DU1813" s="38">
        <v>2</v>
      </c>
      <c r="DV1813" s="35">
        <v>1.1200000000000001</v>
      </c>
      <c r="DW1813" s="36">
        <v>318</v>
      </c>
      <c r="DX1813" s="39">
        <v>0</v>
      </c>
      <c r="DY1813" s="35">
        <v>0</v>
      </c>
      <c r="DZ1813" s="28" t="s">
        <v>178</v>
      </c>
      <c r="EA1813" s="34">
        <v>43587</v>
      </c>
      <c r="EB1813" s="29" t="s">
        <v>138</v>
      </c>
      <c r="EC1813" s="34" t="s">
        <v>138</v>
      </c>
      <c r="ED1813" s="28" t="s">
        <v>138</v>
      </c>
      <c r="EE1813" s="40" t="str">
        <f>HYPERLINK("https://my.pitchbook.com?c=150761-71", "View company online")</f>
        <v>View company online</v>
      </c>
    </row>
    <row r="1814" spans="1:135">
      <c r="A1814" s="15" t="s">
        <v>34451</v>
      </c>
      <c r="B1814" s="15" t="s">
        <v>34452</v>
      </c>
      <c r="C1814" s="15" t="s">
        <v>138</v>
      </c>
      <c r="D1814" s="15" t="s">
        <v>138</v>
      </c>
      <c r="E1814" s="15" t="s">
        <v>34453</v>
      </c>
      <c r="F1814" s="15" t="s">
        <v>34451</v>
      </c>
      <c r="G1814" s="15" t="s">
        <v>34454</v>
      </c>
      <c r="H1814" s="15" t="s">
        <v>141</v>
      </c>
      <c r="I1814" s="15" t="s">
        <v>212</v>
      </c>
      <c r="J1814" s="15" t="s">
        <v>2483</v>
      </c>
      <c r="K1814" s="15" t="s">
        <v>34455</v>
      </c>
      <c r="L1814" s="15" t="s">
        <v>5328</v>
      </c>
      <c r="M1814" s="15" t="s">
        <v>34456</v>
      </c>
      <c r="N1814" s="15" t="s">
        <v>147</v>
      </c>
      <c r="O1814" s="17">
        <v>19.47</v>
      </c>
      <c r="P1814" s="15" t="s">
        <v>148</v>
      </c>
      <c r="Q1814" s="15" t="s">
        <v>149</v>
      </c>
      <c r="R1814" s="15" t="s">
        <v>244</v>
      </c>
      <c r="S1814" s="15" t="s">
        <v>34457</v>
      </c>
      <c r="T1814" s="18">
        <v>18</v>
      </c>
      <c r="U1814" s="15" t="s">
        <v>34458</v>
      </c>
      <c r="V1814" s="15" t="s">
        <v>138</v>
      </c>
      <c r="W1814" s="15" t="s">
        <v>138</v>
      </c>
      <c r="X1814" s="19" t="s">
        <v>138</v>
      </c>
      <c r="Y1814" s="15" t="s">
        <v>138</v>
      </c>
      <c r="Z1814" s="15" t="s">
        <v>138</v>
      </c>
      <c r="AA1814" s="15" t="s">
        <v>138</v>
      </c>
      <c r="AB1814" s="20" t="s">
        <v>138</v>
      </c>
      <c r="AC1814" s="20" t="s">
        <v>138</v>
      </c>
      <c r="AD1814" s="20" t="s">
        <v>138</v>
      </c>
      <c r="AE1814" s="20" t="s">
        <v>138</v>
      </c>
      <c r="AF1814" s="20" t="s">
        <v>138</v>
      </c>
      <c r="AG1814" s="15" t="s">
        <v>138</v>
      </c>
      <c r="AH1814" s="20" t="s">
        <v>138</v>
      </c>
      <c r="AI1814" s="20" t="s">
        <v>138</v>
      </c>
      <c r="AJ1814" s="20" t="s">
        <v>138</v>
      </c>
      <c r="AK1814" s="15" t="s">
        <v>34459</v>
      </c>
      <c r="AL1814" s="15" t="s">
        <v>34460</v>
      </c>
      <c r="AM1814" s="15" t="s">
        <v>365</v>
      </c>
      <c r="AN1814" s="15" t="s">
        <v>34461</v>
      </c>
      <c r="AO1814" s="15" t="s">
        <v>138</v>
      </c>
      <c r="AP1814" s="15" t="s">
        <v>3108</v>
      </c>
      <c r="AQ1814" s="15" t="s">
        <v>34462</v>
      </c>
      <c r="AR1814" s="15" t="s">
        <v>30990</v>
      </c>
      <c r="AS1814" s="15" t="s">
        <v>3111</v>
      </c>
      <c r="AT1814" s="15" t="s">
        <v>3112</v>
      </c>
      <c r="AU1814" s="15" t="s">
        <v>34463</v>
      </c>
      <c r="AV1814" s="15" t="s">
        <v>2742</v>
      </c>
      <c r="AW1814" s="15" t="s">
        <v>34464</v>
      </c>
      <c r="AX1814" s="15" t="s">
        <v>138</v>
      </c>
      <c r="AY1814" s="15" t="s">
        <v>34465</v>
      </c>
      <c r="AZ1814" s="15" t="s">
        <v>164</v>
      </c>
      <c r="BA1814" s="15" t="s">
        <v>165</v>
      </c>
      <c r="BB1814" s="15" t="s">
        <v>34466</v>
      </c>
      <c r="BC1814" s="15" t="s">
        <v>34467</v>
      </c>
      <c r="BD1814" s="21">
        <v>13</v>
      </c>
      <c r="BE1814" s="15" t="s">
        <v>138</v>
      </c>
      <c r="BF1814" s="15" t="s">
        <v>138</v>
      </c>
      <c r="BG1814" s="15" t="s">
        <v>138</v>
      </c>
      <c r="BH1814" s="15" t="s">
        <v>34468</v>
      </c>
      <c r="BI1814" s="15" t="s">
        <v>138</v>
      </c>
      <c r="BJ1814" s="15" t="s">
        <v>138</v>
      </c>
      <c r="BK1814" s="15" t="s">
        <v>34469</v>
      </c>
      <c r="BL1814" s="15" t="s">
        <v>34470</v>
      </c>
      <c r="BM1814" s="22">
        <v>40301</v>
      </c>
      <c r="BN1814" s="17">
        <v>0.05</v>
      </c>
      <c r="BO1814" s="15" t="s">
        <v>172</v>
      </c>
      <c r="BP1814" s="17" t="s">
        <v>138</v>
      </c>
      <c r="BQ1814" s="15" t="s">
        <v>138</v>
      </c>
      <c r="BR1814" s="15" t="s">
        <v>176</v>
      </c>
      <c r="BS1814" s="15" t="s">
        <v>138</v>
      </c>
      <c r="BT1814" s="15" t="s">
        <v>138</v>
      </c>
      <c r="BU1814" s="15" t="s">
        <v>177</v>
      </c>
      <c r="BV1814" s="15" t="s">
        <v>138</v>
      </c>
      <c r="BW1814" s="15" t="s">
        <v>138</v>
      </c>
      <c r="BX1814" s="15" t="s">
        <v>138</v>
      </c>
      <c r="BY1814" s="15" t="s">
        <v>175</v>
      </c>
      <c r="BZ1814" s="22">
        <v>43465</v>
      </c>
      <c r="CA1814" s="17" t="s">
        <v>138</v>
      </c>
      <c r="CB1814" s="15" t="s">
        <v>138</v>
      </c>
      <c r="CC1814" s="17" t="s">
        <v>138</v>
      </c>
      <c r="CD1814" s="15" t="s">
        <v>138</v>
      </c>
      <c r="CE1814" s="15" t="s">
        <v>173</v>
      </c>
      <c r="CF1814" s="15" t="s">
        <v>720</v>
      </c>
      <c r="CG1814" s="15" t="s">
        <v>138</v>
      </c>
      <c r="CH1814" s="15" t="s">
        <v>174</v>
      </c>
      <c r="CI1814" s="15" t="s">
        <v>138</v>
      </c>
      <c r="CJ1814" s="15" t="s">
        <v>138</v>
      </c>
      <c r="CK1814" s="15" t="s">
        <v>138</v>
      </c>
      <c r="CL1814" s="15" t="s">
        <v>175</v>
      </c>
      <c r="CM1814" s="22">
        <v>43282</v>
      </c>
      <c r="CN1814" s="17">
        <v>6</v>
      </c>
      <c r="CO1814" s="23">
        <v>-2.78</v>
      </c>
      <c r="CP1814" s="24">
        <v>4</v>
      </c>
      <c r="CQ1814" s="23">
        <v>-0.41</v>
      </c>
      <c r="CR1814" s="23">
        <v>-17.059999999999999</v>
      </c>
      <c r="CS1814" s="23">
        <v>-2.78</v>
      </c>
      <c r="CT1814" s="24">
        <v>6</v>
      </c>
      <c r="CU1814" s="23" t="s">
        <v>138</v>
      </c>
      <c r="CV1814" s="24" t="s">
        <v>138</v>
      </c>
      <c r="CW1814" s="23" t="s">
        <v>138</v>
      </c>
      <c r="CX1814" s="24" t="s">
        <v>138</v>
      </c>
      <c r="CY1814" s="23">
        <v>-2.78</v>
      </c>
      <c r="CZ1814" s="24">
        <v>8</v>
      </c>
      <c r="DA1814" s="23" t="s">
        <v>138</v>
      </c>
      <c r="DB1814" s="24" t="s">
        <v>138</v>
      </c>
      <c r="DC1814" s="25">
        <v>3.66</v>
      </c>
      <c r="DD1814" s="24">
        <v>78</v>
      </c>
      <c r="DE1814" s="25">
        <v>-0.03</v>
      </c>
      <c r="DF1814" s="23">
        <v>-0.93</v>
      </c>
      <c r="DG1814" s="25">
        <v>3.66</v>
      </c>
      <c r="DH1814" s="24">
        <v>78</v>
      </c>
      <c r="DI1814" s="25" t="s">
        <v>138</v>
      </c>
      <c r="DJ1814" s="24" t="s">
        <v>138</v>
      </c>
      <c r="DK1814" s="25" t="s">
        <v>138</v>
      </c>
      <c r="DL1814" s="24" t="s">
        <v>138</v>
      </c>
      <c r="DM1814" s="25">
        <v>3.66</v>
      </c>
      <c r="DN1814" s="24">
        <v>77</v>
      </c>
      <c r="DO1814" s="25" t="s">
        <v>138</v>
      </c>
      <c r="DP1814" s="24" t="s">
        <v>138</v>
      </c>
      <c r="DQ1814" s="24">
        <v>71</v>
      </c>
      <c r="DR1814" s="26">
        <v>-15</v>
      </c>
      <c r="DS1814" s="23">
        <v>-17.440000000000001</v>
      </c>
      <c r="DT1814" s="24">
        <v>106</v>
      </c>
      <c r="DU1814" s="26">
        <v>-1</v>
      </c>
      <c r="DV1814" s="23">
        <v>-0.93</v>
      </c>
      <c r="DW1814" s="24" t="s">
        <v>138</v>
      </c>
      <c r="DX1814" s="27" t="s">
        <v>138</v>
      </c>
      <c r="DY1814" s="23" t="s">
        <v>138</v>
      </c>
      <c r="DZ1814" s="15" t="s">
        <v>178</v>
      </c>
      <c r="EA1814" s="22">
        <v>43572</v>
      </c>
      <c r="EB1814" s="17" t="s">
        <v>138</v>
      </c>
      <c r="EC1814" s="22" t="s">
        <v>138</v>
      </c>
      <c r="ED1814" s="15" t="s">
        <v>138</v>
      </c>
      <c r="EE1814" s="14" t="str">
        <f>HYPERLINK("https://my.pitchbook.com?c=55192-69", "View company online")</f>
        <v>View company online</v>
      </c>
    </row>
    <row r="1815" spans="1:135">
      <c r="A1815" s="28" t="s">
        <v>34471</v>
      </c>
      <c r="B1815" s="28" t="s">
        <v>34472</v>
      </c>
      <c r="C1815" s="28" t="s">
        <v>34473</v>
      </c>
      <c r="D1815" s="28" t="s">
        <v>138</v>
      </c>
      <c r="E1815" s="28" t="s">
        <v>34474</v>
      </c>
      <c r="F1815" s="28" t="s">
        <v>34471</v>
      </c>
      <c r="G1815" s="28" t="s">
        <v>34475</v>
      </c>
      <c r="H1815" s="28" t="s">
        <v>322</v>
      </c>
      <c r="I1815" s="28" t="s">
        <v>323</v>
      </c>
      <c r="J1815" s="28" t="s">
        <v>954</v>
      </c>
      <c r="K1815" s="28" t="s">
        <v>34476</v>
      </c>
      <c r="L1815" s="28" t="s">
        <v>4025</v>
      </c>
      <c r="M1815" s="28" t="s">
        <v>34477</v>
      </c>
      <c r="N1815" s="28" t="s">
        <v>147</v>
      </c>
      <c r="O1815" s="29">
        <v>33.25</v>
      </c>
      <c r="P1815" s="28" t="s">
        <v>148</v>
      </c>
      <c r="Q1815" s="28" t="s">
        <v>149</v>
      </c>
      <c r="R1815" s="28" t="s">
        <v>174</v>
      </c>
      <c r="S1815" s="28" t="s">
        <v>34478</v>
      </c>
      <c r="T1815" s="30">
        <v>90</v>
      </c>
      <c r="U1815" s="28" t="s">
        <v>34479</v>
      </c>
      <c r="V1815" s="28" t="s">
        <v>138</v>
      </c>
      <c r="W1815" s="28" t="s">
        <v>138</v>
      </c>
      <c r="X1815" s="31">
        <v>2009</v>
      </c>
      <c r="Y1815" s="28" t="s">
        <v>138</v>
      </c>
      <c r="Z1815" s="28" t="s">
        <v>138</v>
      </c>
      <c r="AA1815" s="28" t="s">
        <v>1163</v>
      </c>
      <c r="AB1815" s="32">
        <v>10.43</v>
      </c>
      <c r="AC1815" s="32" t="s">
        <v>138</v>
      </c>
      <c r="AD1815" s="32" t="s">
        <v>138</v>
      </c>
      <c r="AE1815" s="32" t="s">
        <v>138</v>
      </c>
      <c r="AF1815" s="32" t="s">
        <v>138</v>
      </c>
      <c r="AG1815" s="28" t="s">
        <v>514</v>
      </c>
      <c r="AH1815" s="32" t="s">
        <v>138</v>
      </c>
      <c r="AI1815" s="32" t="s">
        <v>138</v>
      </c>
      <c r="AJ1815" s="32" t="s">
        <v>138</v>
      </c>
      <c r="AK1815" s="28" t="s">
        <v>34480</v>
      </c>
      <c r="AL1815" s="28" t="s">
        <v>34481</v>
      </c>
      <c r="AM1815" s="28" t="s">
        <v>986</v>
      </c>
      <c r="AN1815" s="28" t="s">
        <v>34482</v>
      </c>
      <c r="AO1815" s="28" t="s">
        <v>34483</v>
      </c>
      <c r="AP1815" s="28" t="s">
        <v>423</v>
      </c>
      <c r="AQ1815" s="28" t="s">
        <v>617</v>
      </c>
      <c r="AR1815" s="28" t="s">
        <v>1073</v>
      </c>
      <c r="AS1815" s="28" t="s">
        <v>426</v>
      </c>
      <c r="AT1815" s="28" t="s">
        <v>426</v>
      </c>
      <c r="AU1815" s="28" t="s">
        <v>619</v>
      </c>
      <c r="AV1815" s="28" t="s">
        <v>162</v>
      </c>
      <c r="AW1815" s="28" t="s">
        <v>34483</v>
      </c>
      <c r="AX1815" s="28" t="s">
        <v>138</v>
      </c>
      <c r="AY1815" s="28" t="s">
        <v>34484</v>
      </c>
      <c r="AZ1815" s="28" t="s">
        <v>164</v>
      </c>
      <c r="BA1815" s="28" t="s">
        <v>165</v>
      </c>
      <c r="BB1815" s="28" t="s">
        <v>34485</v>
      </c>
      <c r="BC1815" s="28" t="s">
        <v>34486</v>
      </c>
      <c r="BD1815" s="33">
        <v>21</v>
      </c>
      <c r="BE1815" s="28" t="s">
        <v>138</v>
      </c>
      <c r="BF1815" s="28" t="s">
        <v>138</v>
      </c>
      <c r="BG1815" s="28" t="s">
        <v>138</v>
      </c>
      <c r="BH1815" s="28" t="s">
        <v>34487</v>
      </c>
      <c r="BI1815" s="28" t="s">
        <v>138</v>
      </c>
      <c r="BJ1815" s="28" t="s">
        <v>138</v>
      </c>
      <c r="BK1815" s="28" t="s">
        <v>10878</v>
      </c>
      <c r="BL1815" s="28" t="s">
        <v>34488</v>
      </c>
      <c r="BM1815" s="34">
        <v>40487</v>
      </c>
      <c r="BN1815" s="29">
        <v>2</v>
      </c>
      <c r="BO1815" s="28" t="s">
        <v>172</v>
      </c>
      <c r="BP1815" s="29">
        <v>9.26</v>
      </c>
      <c r="BQ1815" s="28" t="s">
        <v>172</v>
      </c>
      <c r="BR1815" s="28" t="s">
        <v>234</v>
      </c>
      <c r="BS1815" s="28" t="s">
        <v>234</v>
      </c>
      <c r="BT1815" s="28" t="s">
        <v>138</v>
      </c>
      <c r="BU1815" s="28" t="s">
        <v>174</v>
      </c>
      <c r="BV1815" s="28" t="s">
        <v>138</v>
      </c>
      <c r="BW1815" s="28" t="s">
        <v>138</v>
      </c>
      <c r="BX1815" s="28" t="s">
        <v>138</v>
      </c>
      <c r="BY1815" s="28" t="s">
        <v>175</v>
      </c>
      <c r="BZ1815" s="34">
        <v>42522</v>
      </c>
      <c r="CA1815" s="29">
        <v>14</v>
      </c>
      <c r="CB1815" s="28" t="s">
        <v>1178</v>
      </c>
      <c r="CC1815" s="29">
        <v>42</v>
      </c>
      <c r="CD1815" s="28" t="s">
        <v>172</v>
      </c>
      <c r="CE1815" s="28" t="s">
        <v>173</v>
      </c>
      <c r="CF1815" s="28" t="s">
        <v>317</v>
      </c>
      <c r="CG1815" s="28" t="s">
        <v>138</v>
      </c>
      <c r="CH1815" s="28" t="s">
        <v>174</v>
      </c>
      <c r="CI1815" s="28" t="s">
        <v>138</v>
      </c>
      <c r="CJ1815" s="28" t="s">
        <v>138</v>
      </c>
      <c r="CK1815" s="28" t="s">
        <v>138</v>
      </c>
      <c r="CL1815" s="28" t="s">
        <v>175</v>
      </c>
      <c r="CM1815" s="34" t="s">
        <v>138</v>
      </c>
      <c r="CN1815" s="29" t="s">
        <v>138</v>
      </c>
      <c r="CO1815" s="35">
        <v>-0.37</v>
      </c>
      <c r="CP1815" s="36">
        <v>18</v>
      </c>
      <c r="CQ1815" s="35">
        <v>-0.03</v>
      </c>
      <c r="CR1815" s="35">
        <v>-7.73</v>
      </c>
      <c r="CS1815" s="35">
        <v>-0.72</v>
      </c>
      <c r="CT1815" s="36">
        <v>17</v>
      </c>
      <c r="CU1815" s="35">
        <v>-0.03</v>
      </c>
      <c r="CV1815" s="36">
        <v>14</v>
      </c>
      <c r="CW1815" s="35">
        <v>-0.26</v>
      </c>
      <c r="CX1815" s="36">
        <v>12</v>
      </c>
      <c r="CY1815" s="35">
        <v>-1.18</v>
      </c>
      <c r="CZ1815" s="36">
        <v>17</v>
      </c>
      <c r="DA1815" s="35">
        <v>-0.02</v>
      </c>
      <c r="DB1815" s="36">
        <v>19</v>
      </c>
      <c r="DC1815" s="37">
        <v>29.45</v>
      </c>
      <c r="DD1815" s="36">
        <v>96</v>
      </c>
      <c r="DE1815" s="37">
        <v>-2.2999999999999998</v>
      </c>
      <c r="DF1815" s="35">
        <v>-7.25</v>
      </c>
      <c r="DG1815" s="37">
        <v>52.56</v>
      </c>
      <c r="DH1815" s="36">
        <v>98</v>
      </c>
      <c r="DI1815" s="37">
        <v>6.35</v>
      </c>
      <c r="DJ1815" s="36">
        <v>80</v>
      </c>
      <c r="DK1815" s="37">
        <v>72.64</v>
      </c>
      <c r="DL1815" s="36">
        <v>97</v>
      </c>
      <c r="DM1815" s="37">
        <v>32.479999999999997</v>
      </c>
      <c r="DN1815" s="36">
        <v>97</v>
      </c>
      <c r="DO1815" s="37">
        <v>11.13</v>
      </c>
      <c r="DP1815" s="36">
        <v>88</v>
      </c>
      <c r="DQ1815" s="36">
        <v>24750</v>
      </c>
      <c r="DR1815" s="38">
        <v>490</v>
      </c>
      <c r="DS1815" s="35">
        <v>2.02</v>
      </c>
      <c r="DT1815" s="36">
        <v>941</v>
      </c>
      <c r="DU1815" s="38">
        <v>-1</v>
      </c>
      <c r="DV1815" s="35">
        <v>-0.11</v>
      </c>
      <c r="DW1815" s="36">
        <v>3982</v>
      </c>
      <c r="DX1815" s="39">
        <v>2</v>
      </c>
      <c r="DY1815" s="35">
        <v>0.05</v>
      </c>
      <c r="DZ1815" s="28" t="s">
        <v>178</v>
      </c>
      <c r="EA1815" s="34">
        <v>43622</v>
      </c>
      <c r="EB1815" s="29">
        <v>42</v>
      </c>
      <c r="EC1815" s="34">
        <v>42522</v>
      </c>
      <c r="ED1815" s="28" t="s">
        <v>173</v>
      </c>
      <c r="EE1815" s="40" t="str">
        <f>HYPERLINK("https://my.pitchbook.com?c=51016-96", "View company online")</f>
        <v>View company online</v>
      </c>
    </row>
    <row r="1816" spans="1:135">
      <c r="A1816" s="15" t="s">
        <v>34489</v>
      </c>
      <c r="B1816" s="15" t="s">
        <v>34490</v>
      </c>
      <c r="C1816" s="15" t="s">
        <v>138</v>
      </c>
      <c r="D1816" s="15" t="s">
        <v>138</v>
      </c>
      <c r="E1816" s="15" t="s">
        <v>34491</v>
      </c>
      <c r="F1816" s="15" t="s">
        <v>34489</v>
      </c>
      <c r="G1816" s="15" t="s">
        <v>34492</v>
      </c>
      <c r="H1816" s="15" t="s">
        <v>238</v>
      </c>
      <c r="I1816" s="15" t="s">
        <v>1351</v>
      </c>
      <c r="J1816" s="15" t="s">
        <v>5633</v>
      </c>
      <c r="K1816" s="15" t="s">
        <v>34493</v>
      </c>
      <c r="L1816" s="15" t="s">
        <v>4703</v>
      </c>
      <c r="M1816" s="15" t="s">
        <v>34494</v>
      </c>
      <c r="N1816" s="15" t="s">
        <v>147</v>
      </c>
      <c r="O1816" s="17">
        <v>181</v>
      </c>
      <c r="P1816" s="15" t="s">
        <v>148</v>
      </c>
      <c r="Q1816" s="15" t="s">
        <v>149</v>
      </c>
      <c r="R1816" s="15" t="s">
        <v>174</v>
      </c>
      <c r="S1816" s="15" t="s">
        <v>34495</v>
      </c>
      <c r="T1816" s="18">
        <v>180</v>
      </c>
      <c r="U1816" s="15" t="s">
        <v>34496</v>
      </c>
      <c r="V1816" s="15" t="s">
        <v>138</v>
      </c>
      <c r="W1816" s="15" t="s">
        <v>138</v>
      </c>
      <c r="X1816" s="19">
        <v>2015</v>
      </c>
      <c r="Y1816" s="15" t="s">
        <v>138</v>
      </c>
      <c r="Z1816" s="15" t="s">
        <v>138</v>
      </c>
      <c r="AA1816" s="15" t="s">
        <v>138</v>
      </c>
      <c r="AB1816" s="20">
        <v>150</v>
      </c>
      <c r="AC1816" s="20" t="s">
        <v>138</v>
      </c>
      <c r="AD1816" s="20" t="s">
        <v>138</v>
      </c>
      <c r="AE1816" s="20" t="s">
        <v>138</v>
      </c>
      <c r="AF1816" s="20" t="s">
        <v>138</v>
      </c>
      <c r="AG1816" s="15" t="s">
        <v>815</v>
      </c>
      <c r="AH1816" s="20" t="s">
        <v>138</v>
      </c>
      <c r="AI1816" s="20" t="s">
        <v>138</v>
      </c>
      <c r="AJ1816" s="20" t="s">
        <v>138</v>
      </c>
      <c r="AK1816" s="15" t="s">
        <v>34497</v>
      </c>
      <c r="AL1816" s="15" t="s">
        <v>34498</v>
      </c>
      <c r="AM1816" s="15" t="s">
        <v>221</v>
      </c>
      <c r="AN1816" s="15" t="s">
        <v>34499</v>
      </c>
      <c r="AO1816" s="15" t="s">
        <v>34500</v>
      </c>
      <c r="AP1816" s="15" t="s">
        <v>423</v>
      </c>
      <c r="AQ1816" s="15" t="s">
        <v>34501</v>
      </c>
      <c r="AR1816" s="15" t="s">
        <v>6874</v>
      </c>
      <c r="AS1816" s="15" t="s">
        <v>426</v>
      </c>
      <c r="AT1816" s="15" t="s">
        <v>426</v>
      </c>
      <c r="AU1816" s="15" t="s">
        <v>9264</v>
      </c>
      <c r="AV1816" s="15" t="s">
        <v>162</v>
      </c>
      <c r="AW1816" s="15" t="s">
        <v>34500</v>
      </c>
      <c r="AX1816" s="15" t="s">
        <v>138</v>
      </c>
      <c r="AY1816" s="15" t="s">
        <v>34502</v>
      </c>
      <c r="AZ1816" s="15" t="s">
        <v>164</v>
      </c>
      <c r="BA1816" s="15" t="s">
        <v>165</v>
      </c>
      <c r="BB1816" s="15" t="s">
        <v>34503</v>
      </c>
      <c r="BC1816" s="15" t="s">
        <v>34504</v>
      </c>
      <c r="BD1816" s="21">
        <v>20</v>
      </c>
      <c r="BE1816" s="15" t="s">
        <v>138</v>
      </c>
      <c r="BF1816" s="15" t="s">
        <v>34505</v>
      </c>
      <c r="BG1816" s="15" t="s">
        <v>138</v>
      </c>
      <c r="BH1816" s="15" t="s">
        <v>34506</v>
      </c>
      <c r="BI1816" s="15" t="s">
        <v>34507</v>
      </c>
      <c r="BJ1816" s="15" t="s">
        <v>138</v>
      </c>
      <c r="BK1816" s="15" t="s">
        <v>18901</v>
      </c>
      <c r="BL1816" s="15" t="s">
        <v>18901</v>
      </c>
      <c r="BM1816" s="22">
        <v>42233</v>
      </c>
      <c r="BN1816" s="17">
        <v>2.5</v>
      </c>
      <c r="BO1816" s="15" t="s">
        <v>172</v>
      </c>
      <c r="BP1816" s="17">
        <v>7.2</v>
      </c>
      <c r="BQ1816" s="15" t="s">
        <v>172</v>
      </c>
      <c r="BR1816" s="15" t="s">
        <v>234</v>
      </c>
      <c r="BS1816" s="15" t="s">
        <v>234</v>
      </c>
      <c r="BT1816" s="15" t="s">
        <v>138</v>
      </c>
      <c r="BU1816" s="15" t="s">
        <v>174</v>
      </c>
      <c r="BV1816" s="15" t="s">
        <v>138</v>
      </c>
      <c r="BW1816" s="15" t="s">
        <v>138</v>
      </c>
      <c r="BX1816" s="15" t="s">
        <v>138</v>
      </c>
      <c r="BY1816" s="15" t="s">
        <v>175</v>
      </c>
      <c r="BZ1816" s="22">
        <v>43599</v>
      </c>
      <c r="CA1816" s="17">
        <v>100</v>
      </c>
      <c r="CB1816" s="15" t="s">
        <v>172</v>
      </c>
      <c r="CC1816" s="17">
        <v>1450</v>
      </c>
      <c r="CD1816" s="15" t="s">
        <v>172</v>
      </c>
      <c r="CE1816" s="15" t="s">
        <v>173</v>
      </c>
      <c r="CF1816" s="15" t="s">
        <v>433</v>
      </c>
      <c r="CG1816" s="15" t="s">
        <v>138</v>
      </c>
      <c r="CH1816" s="15" t="s">
        <v>174</v>
      </c>
      <c r="CI1816" s="15" t="s">
        <v>138</v>
      </c>
      <c r="CJ1816" s="15" t="s">
        <v>138</v>
      </c>
      <c r="CK1816" s="15" t="s">
        <v>138</v>
      </c>
      <c r="CL1816" s="15" t="s">
        <v>175</v>
      </c>
      <c r="CM1816" s="22" t="s">
        <v>138</v>
      </c>
      <c r="CN1816" s="17" t="s">
        <v>138</v>
      </c>
      <c r="CO1816" s="23">
        <v>-1.68</v>
      </c>
      <c r="CP1816" s="24">
        <v>7</v>
      </c>
      <c r="CQ1816" s="23">
        <v>0</v>
      </c>
      <c r="CR1816" s="23">
        <v>0.28999999999999998</v>
      </c>
      <c r="CS1816" s="23">
        <v>-4.0199999999999996</v>
      </c>
      <c r="CT1816" s="24">
        <v>3</v>
      </c>
      <c r="CU1816" s="23">
        <v>0.66</v>
      </c>
      <c r="CV1816" s="24">
        <v>96</v>
      </c>
      <c r="CW1816" s="23">
        <v>-4.0199999999999996</v>
      </c>
      <c r="CX1816" s="24">
        <v>4</v>
      </c>
      <c r="CY1816" s="23" t="s">
        <v>138</v>
      </c>
      <c r="CZ1816" s="24" t="s">
        <v>138</v>
      </c>
      <c r="DA1816" s="23">
        <v>0.94</v>
      </c>
      <c r="DB1816" s="24">
        <v>98</v>
      </c>
      <c r="DC1816" s="25">
        <v>346.24</v>
      </c>
      <c r="DD1816" s="24">
        <v>100</v>
      </c>
      <c r="DE1816" s="25">
        <v>-39.86</v>
      </c>
      <c r="DF1816" s="23">
        <v>-10.32</v>
      </c>
      <c r="DG1816" s="25">
        <v>622.64</v>
      </c>
      <c r="DH1816" s="24">
        <v>100</v>
      </c>
      <c r="DI1816" s="25">
        <v>69.84</v>
      </c>
      <c r="DJ1816" s="24">
        <v>96</v>
      </c>
      <c r="DK1816" s="25">
        <v>622.64</v>
      </c>
      <c r="DL1816" s="24">
        <v>100</v>
      </c>
      <c r="DM1816" s="25" t="s">
        <v>138</v>
      </c>
      <c r="DN1816" s="24" t="s">
        <v>138</v>
      </c>
      <c r="DO1816" s="25">
        <v>39.450000000000003</v>
      </c>
      <c r="DP1816" s="24">
        <v>96</v>
      </c>
      <c r="DQ1816" s="24">
        <v>217398</v>
      </c>
      <c r="DR1816" s="26">
        <v>-11494</v>
      </c>
      <c r="DS1816" s="23">
        <v>-5.0199999999999996</v>
      </c>
      <c r="DT1816" s="24" t="s">
        <v>138</v>
      </c>
      <c r="DU1816" s="26" t="s">
        <v>138</v>
      </c>
      <c r="DV1816" s="23" t="s">
        <v>138</v>
      </c>
      <c r="DW1816" s="24">
        <v>14094</v>
      </c>
      <c r="DX1816" s="27">
        <v>106</v>
      </c>
      <c r="DY1816" s="23">
        <v>0.76</v>
      </c>
      <c r="DZ1816" s="15" t="s">
        <v>178</v>
      </c>
      <c r="EA1816" s="22">
        <v>43600</v>
      </c>
      <c r="EB1816" s="17">
        <v>1450</v>
      </c>
      <c r="EC1816" s="22">
        <v>43599</v>
      </c>
      <c r="ED1816" s="15" t="s">
        <v>173</v>
      </c>
      <c r="EE1816" s="14" t="str">
        <f>HYPERLINK("https://my.pitchbook.com?c=111567-52", "View company online")</f>
        <v>View company online</v>
      </c>
    </row>
    <row r="1817" spans="1:135">
      <c r="A1817" s="28" t="s">
        <v>34508</v>
      </c>
      <c r="B1817" s="28" t="s">
        <v>34509</v>
      </c>
      <c r="C1817" s="28" t="s">
        <v>138</v>
      </c>
      <c r="D1817" s="28" t="s">
        <v>138</v>
      </c>
      <c r="E1817" s="28" t="s">
        <v>34510</v>
      </c>
      <c r="F1817" s="28" t="s">
        <v>34508</v>
      </c>
      <c r="G1817" s="28" t="s">
        <v>34511</v>
      </c>
      <c r="H1817" s="28" t="s">
        <v>238</v>
      </c>
      <c r="I1817" s="28" t="s">
        <v>1351</v>
      </c>
      <c r="J1817" s="28" t="s">
        <v>1352</v>
      </c>
      <c r="K1817" s="28" t="s">
        <v>34512</v>
      </c>
      <c r="L1817" s="28" t="s">
        <v>34513</v>
      </c>
      <c r="M1817" s="28" t="s">
        <v>34514</v>
      </c>
      <c r="N1817" s="28" t="s">
        <v>147</v>
      </c>
      <c r="O1817" s="29">
        <v>16.38</v>
      </c>
      <c r="P1817" s="28" t="s">
        <v>148</v>
      </c>
      <c r="Q1817" s="28" t="s">
        <v>149</v>
      </c>
      <c r="R1817" s="28" t="s">
        <v>174</v>
      </c>
      <c r="S1817" s="28" t="s">
        <v>34515</v>
      </c>
      <c r="T1817" s="30">
        <v>17</v>
      </c>
      <c r="U1817" s="28" t="s">
        <v>34093</v>
      </c>
      <c r="V1817" s="28" t="s">
        <v>138</v>
      </c>
      <c r="W1817" s="28" t="s">
        <v>138</v>
      </c>
      <c r="X1817" s="31">
        <v>2013</v>
      </c>
      <c r="Y1817" s="28" t="s">
        <v>138</v>
      </c>
      <c r="Z1817" s="28" t="s">
        <v>138</v>
      </c>
      <c r="AA1817" s="28" t="s">
        <v>138</v>
      </c>
      <c r="AB1817" s="32" t="s">
        <v>138</v>
      </c>
      <c r="AC1817" s="32" t="s">
        <v>138</v>
      </c>
      <c r="AD1817" s="32" t="s">
        <v>138</v>
      </c>
      <c r="AE1817" s="32" t="s">
        <v>138</v>
      </c>
      <c r="AF1817" s="32" t="s">
        <v>138</v>
      </c>
      <c r="AG1817" s="28" t="s">
        <v>138</v>
      </c>
      <c r="AH1817" s="32" t="s">
        <v>138</v>
      </c>
      <c r="AI1817" s="32" t="s">
        <v>138</v>
      </c>
      <c r="AJ1817" s="32" t="s">
        <v>138</v>
      </c>
      <c r="AK1817" s="28" t="s">
        <v>34516</v>
      </c>
      <c r="AL1817" s="28" t="s">
        <v>34517</v>
      </c>
      <c r="AM1817" s="28" t="s">
        <v>221</v>
      </c>
      <c r="AN1817" s="28" t="s">
        <v>34518</v>
      </c>
      <c r="AO1817" s="28" t="s">
        <v>34519</v>
      </c>
      <c r="AP1817" s="28" t="s">
        <v>665</v>
      </c>
      <c r="AQ1817" s="28" t="s">
        <v>34520</v>
      </c>
      <c r="AR1817" s="28" t="s">
        <v>34521</v>
      </c>
      <c r="AS1817" s="28" t="s">
        <v>668</v>
      </c>
      <c r="AT1817" s="28" t="s">
        <v>200</v>
      </c>
      <c r="AU1817" s="28" t="s">
        <v>691</v>
      </c>
      <c r="AV1817" s="28" t="s">
        <v>162</v>
      </c>
      <c r="AW1817" s="28" t="s">
        <v>34519</v>
      </c>
      <c r="AX1817" s="28" t="s">
        <v>138</v>
      </c>
      <c r="AY1817" s="28" t="s">
        <v>34522</v>
      </c>
      <c r="AZ1817" s="28" t="s">
        <v>164</v>
      </c>
      <c r="BA1817" s="28" t="s">
        <v>165</v>
      </c>
      <c r="BB1817" s="28" t="s">
        <v>34523</v>
      </c>
      <c r="BC1817" s="28" t="s">
        <v>34524</v>
      </c>
      <c r="BD1817" s="33">
        <v>17</v>
      </c>
      <c r="BE1817" s="28" t="s">
        <v>138</v>
      </c>
      <c r="BF1817" s="28" t="s">
        <v>138</v>
      </c>
      <c r="BG1817" s="28" t="s">
        <v>138</v>
      </c>
      <c r="BH1817" s="28" t="s">
        <v>34525</v>
      </c>
      <c r="BI1817" s="28" t="s">
        <v>138</v>
      </c>
      <c r="BJ1817" s="28" t="s">
        <v>138</v>
      </c>
      <c r="BK1817" s="28" t="s">
        <v>29533</v>
      </c>
      <c r="BL1817" s="28" t="s">
        <v>138</v>
      </c>
      <c r="BM1817" s="34">
        <v>41640</v>
      </c>
      <c r="BN1817" s="29">
        <v>0.03</v>
      </c>
      <c r="BO1817" s="28" t="s">
        <v>1178</v>
      </c>
      <c r="BP1817" s="29" t="s">
        <v>138</v>
      </c>
      <c r="BQ1817" s="28" t="s">
        <v>138</v>
      </c>
      <c r="BR1817" s="28" t="s">
        <v>316</v>
      </c>
      <c r="BS1817" s="28" t="s">
        <v>138</v>
      </c>
      <c r="BT1817" s="28" t="s">
        <v>138</v>
      </c>
      <c r="BU1817" s="28" t="s">
        <v>177</v>
      </c>
      <c r="BV1817" s="28" t="s">
        <v>138</v>
      </c>
      <c r="BW1817" s="28" t="s">
        <v>138</v>
      </c>
      <c r="BX1817" s="28" t="s">
        <v>138</v>
      </c>
      <c r="BY1817" s="28" t="s">
        <v>175</v>
      </c>
      <c r="BZ1817" s="34">
        <v>43437</v>
      </c>
      <c r="CA1817" s="29">
        <v>10</v>
      </c>
      <c r="CB1817" s="28" t="s">
        <v>172</v>
      </c>
      <c r="CC1817" s="29">
        <v>28</v>
      </c>
      <c r="CD1817" s="28" t="s">
        <v>172</v>
      </c>
      <c r="CE1817" s="28" t="s">
        <v>205</v>
      </c>
      <c r="CF1817" s="28" t="s">
        <v>720</v>
      </c>
      <c r="CG1817" s="28" t="s">
        <v>138</v>
      </c>
      <c r="CH1817" s="28" t="s">
        <v>174</v>
      </c>
      <c r="CI1817" s="28" t="s">
        <v>138</v>
      </c>
      <c r="CJ1817" s="28" t="s">
        <v>138</v>
      </c>
      <c r="CK1817" s="28" t="s">
        <v>138</v>
      </c>
      <c r="CL1817" s="28" t="s">
        <v>175</v>
      </c>
      <c r="CM1817" s="34" t="s">
        <v>138</v>
      </c>
      <c r="CN1817" s="29" t="s">
        <v>138</v>
      </c>
      <c r="CO1817" s="35">
        <v>-0.17</v>
      </c>
      <c r="CP1817" s="36">
        <v>20</v>
      </c>
      <c r="CQ1817" s="35">
        <v>-0.06</v>
      </c>
      <c r="CR1817" s="35">
        <v>-50.35</v>
      </c>
      <c r="CS1817" s="35">
        <v>-1.1499999999999999</v>
      </c>
      <c r="CT1817" s="36">
        <v>14</v>
      </c>
      <c r="CU1817" s="35">
        <v>0.19</v>
      </c>
      <c r="CV1817" s="36">
        <v>79</v>
      </c>
      <c r="CW1817" s="35">
        <v>0.11</v>
      </c>
      <c r="CX1817" s="36">
        <v>81</v>
      </c>
      <c r="CY1817" s="35">
        <v>-2.42</v>
      </c>
      <c r="CZ1817" s="36">
        <v>9</v>
      </c>
      <c r="DA1817" s="35">
        <v>0.36</v>
      </c>
      <c r="DB1817" s="36">
        <v>91</v>
      </c>
      <c r="DC1817" s="37">
        <v>9.43</v>
      </c>
      <c r="DD1817" s="36">
        <v>89</v>
      </c>
      <c r="DE1817" s="37">
        <v>-0.55000000000000004</v>
      </c>
      <c r="DF1817" s="35">
        <v>-5.55</v>
      </c>
      <c r="DG1817" s="37">
        <v>16.78</v>
      </c>
      <c r="DH1817" s="36">
        <v>94</v>
      </c>
      <c r="DI1817" s="37">
        <v>10.119999999999999</v>
      </c>
      <c r="DJ1817" s="36">
        <v>85</v>
      </c>
      <c r="DK1817" s="37">
        <v>27.32</v>
      </c>
      <c r="DL1817" s="36">
        <v>93</v>
      </c>
      <c r="DM1817" s="37">
        <v>6.24</v>
      </c>
      <c r="DN1817" s="36">
        <v>84</v>
      </c>
      <c r="DO1817" s="37">
        <v>4.1399999999999997</v>
      </c>
      <c r="DP1817" s="36">
        <v>76</v>
      </c>
      <c r="DQ1817" s="36">
        <v>9279</v>
      </c>
      <c r="DR1817" s="38">
        <v>271</v>
      </c>
      <c r="DS1817" s="35">
        <v>3.01</v>
      </c>
      <c r="DT1817" s="36">
        <v>181</v>
      </c>
      <c r="DU1817" s="38">
        <v>0</v>
      </c>
      <c r="DV1817" s="35">
        <v>0</v>
      </c>
      <c r="DW1817" s="36">
        <v>1479</v>
      </c>
      <c r="DX1817" s="39">
        <v>5</v>
      </c>
      <c r="DY1817" s="35">
        <v>0.34</v>
      </c>
      <c r="DZ1817" s="28" t="s">
        <v>178</v>
      </c>
      <c r="EA1817" s="34">
        <v>43591</v>
      </c>
      <c r="EB1817" s="29">
        <v>28</v>
      </c>
      <c r="EC1817" s="34">
        <v>43437</v>
      </c>
      <c r="ED1817" s="28" t="s">
        <v>205</v>
      </c>
      <c r="EE1817" s="40" t="str">
        <f>HYPERLINK("https://my.pitchbook.com?c=108709-21", "View company online")</f>
        <v>View company online</v>
      </c>
    </row>
    <row r="1818" spans="1:135">
      <c r="A1818" s="15" t="s">
        <v>34526</v>
      </c>
      <c r="B1818" s="15" t="s">
        <v>34527</v>
      </c>
      <c r="C1818" s="15" t="s">
        <v>138</v>
      </c>
      <c r="D1818" s="15" t="s">
        <v>138</v>
      </c>
      <c r="E1818" s="15" t="s">
        <v>34528</v>
      </c>
      <c r="F1818" s="15" t="s">
        <v>34526</v>
      </c>
      <c r="G1818" s="15" t="s">
        <v>34529</v>
      </c>
      <c r="H1818" s="15" t="s">
        <v>141</v>
      </c>
      <c r="I1818" s="15" t="s">
        <v>142</v>
      </c>
      <c r="J1818" s="15" t="s">
        <v>508</v>
      </c>
      <c r="K1818" s="15" t="s">
        <v>34530</v>
      </c>
      <c r="L1818" s="15" t="s">
        <v>25878</v>
      </c>
      <c r="M1818" s="15" t="s">
        <v>34531</v>
      </c>
      <c r="N1818" s="15" t="s">
        <v>147</v>
      </c>
      <c r="O1818" s="17">
        <v>31.54</v>
      </c>
      <c r="P1818" s="15" t="s">
        <v>148</v>
      </c>
      <c r="Q1818" s="15" t="s">
        <v>149</v>
      </c>
      <c r="R1818" s="15" t="s">
        <v>244</v>
      </c>
      <c r="S1818" s="15" t="s">
        <v>34532</v>
      </c>
      <c r="T1818" s="18">
        <v>82</v>
      </c>
      <c r="U1818" s="15" t="s">
        <v>34533</v>
      </c>
      <c r="V1818" s="15" t="s">
        <v>138</v>
      </c>
      <c r="W1818" s="15" t="s">
        <v>138</v>
      </c>
      <c r="X1818" s="19">
        <v>2014</v>
      </c>
      <c r="Y1818" s="15" t="s">
        <v>138</v>
      </c>
      <c r="Z1818" s="15" t="s">
        <v>138</v>
      </c>
      <c r="AA1818" s="15" t="s">
        <v>138</v>
      </c>
      <c r="AB1818" s="20">
        <v>3</v>
      </c>
      <c r="AC1818" s="20" t="s">
        <v>138</v>
      </c>
      <c r="AD1818" s="20" t="s">
        <v>138</v>
      </c>
      <c r="AE1818" s="20" t="s">
        <v>138</v>
      </c>
      <c r="AF1818" s="20" t="s">
        <v>138</v>
      </c>
      <c r="AG1818" s="15" t="s">
        <v>815</v>
      </c>
      <c r="AH1818" s="20" t="s">
        <v>138</v>
      </c>
      <c r="AI1818" s="20" t="s">
        <v>138</v>
      </c>
      <c r="AJ1818" s="20" t="s">
        <v>138</v>
      </c>
      <c r="AK1818" s="15" t="s">
        <v>34534</v>
      </c>
      <c r="AL1818" s="15" t="s">
        <v>34535</v>
      </c>
      <c r="AM1818" s="15" t="s">
        <v>34536</v>
      </c>
      <c r="AN1818" s="15" t="s">
        <v>34537</v>
      </c>
      <c r="AO1818" s="15" t="s">
        <v>34538</v>
      </c>
      <c r="AP1818" s="15" t="s">
        <v>3351</v>
      </c>
      <c r="AQ1818" s="15" t="s">
        <v>34539</v>
      </c>
      <c r="AR1818" s="15" t="s">
        <v>6317</v>
      </c>
      <c r="AS1818" s="15" t="s">
        <v>3354</v>
      </c>
      <c r="AT1818" s="15" t="s">
        <v>2740</v>
      </c>
      <c r="AU1818" s="15" t="s">
        <v>34540</v>
      </c>
      <c r="AV1818" s="15" t="s">
        <v>2742</v>
      </c>
      <c r="AW1818" s="15" t="s">
        <v>34538</v>
      </c>
      <c r="AX1818" s="15" t="s">
        <v>138</v>
      </c>
      <c r="AY1818" s="15" t="s">
        <v>34541</v>
      </c>
      <c r="AZ1818" s="15" t="s">
        <v>164</v>
      </c>
      <c r="BA1818" s="15" t="s">
        <v>165</v>
      </c>
      <c r="BB1818" s="15" t="s">
        <v>34542</v>
      </c>
      <c r="BC1818" s="15" t="s">
        <v>34543</v>
      </c>
      <c r="BD1818" s="21">
        <v>14</v>
      </c>
      <c r="BE1818" s="15" t="s">
        <v>138</v>
      </c>
      <c r="BF1818" s="15" t="s">
        <v>138</v>
      </c>
      <c r="BG1818" s="15" t="s">
        <v>138</v>
      </c>
      <c r="BH1818" s="15" t="s">
        <v>34544</v>
      </c>
      <c r="BI1818" s="15" t="s">
        <v>138</v>
      </c>
      <c r="BJ1818" s="15" t="s">
        <v>138</v>
      </c>
      <c r="BK1818" s="15" t="s">
        <v>138</v>
      </c>
      <c r="BL1818" s="15" t="s">
        <v>34545</v>
      </c>
      <c r="BM1818" s="22">
        <v>41771</v>
      </c>
      <c r="BN1818" s="17">
        <v>0.03</v>
      </c>
      <c r="BO1818" s="15" t="s">
        <v>172</v>
      </c>
      <c r="BP1818" s="17" t="s">
        <v>138</v>
      </c>
      <c r="BQ1818" s="15" t="s">
        <v>138</v>
      </c>
      <c r="BR1818" s="15" t="s">
        <v>316</v>
      </c>
      <c r="BS1818" s="15" t="s">
        <v>138</v>
      </c>
      <c r="BT1818" s="15" t="s">
        <v>138</v>
      </c>
      <c r="BU1818" s="15" t="s">
        <v>177</v>
      </c>
      <c r="BV1818" s="15" t="s">
        <v>138</v>
      </c>
      <c r="BW1818" s="15" t="s">
        <v>138</v>
      </c>
      <c r="BX1818" s="15" t="s">
        <v>138</v>
      </c>
      <c r="BY1818" s="15" t="s">
        <v>175</v>
      </c>
      <c r="BZ1818" s="22">
        <v>43546</v>
      </c>
      <c r="CA1818" s="17">
        <v>23.6</v>
      </c>
      <c r="CB1818" s="15" t="s">
        <v>172</v>
      </c>
      <c r="CC1818" s="17" t="s">
        <v>138</v>
      </c>
      <c r="CD1818" s="15" t="s">
        <v>138</v>
      </c>
      <c r="CE1818" s="15" t="s">
        <v>173</v>
      </c>
      <c r="CF1818" s="15" t="s">
        <v>720</v>
      </c>
      <c r="CG1818" s="15" t="s">
        <v>138</v>
      </c>
      <c r="CH1818" s="15" t="s">
        <v>174</v>
      </c>
      <c r="CI1818" s="15" t="s">
        <v>138</v>
      </c>
      <c r="CJ1818" s="15" t="s">
        <v>138</v>
      </c>
      <c r="CK1818" s="15" t="s">
        <v>138</v>
      </c>
      <c r="CL1818" s="15" t="s">
        <v>175</v>
      </c>
      <c r="CM1818" s="22">
        <v>42998</v>
      </c>
      <c r="CN1818" s="17">
        <v>0.36</v>
      </c>
      <c r="CO1818" s="23">
        <v>2.15</v>
      </c>
      <c r="CP1818" s="24">
        <v>99</v>
      </c>
      <c r="CQ1818" s="23">
        <v>0.25</v>
      </c>
      <c r="CR1818" s="23">
        <v>13.22</v>
      </c>
      <c r="CS1818" s="23">
        <v>1.96</v>
      </c>
      <c r="CT1818" s="24">
        <v>98</v>
      </c>
      <c r="CU1818" s="23">
        <v>2.34</v>
      </c>
      <c r="CV1818" s="24">
        <v>100</v>
      </c>
      <c r="CW1818" s="23" t="s">
        <v>138</v>
      </c>
      <c r="CX1818" s="24" t="s">
        <v>138</v>
      </c>
      <c r="CY1818" s="23">
        <v>1.96</v>
      </c>
      <c r="CZ1818" s="24">
        <v>100</v>
      </c>
      <c r="DA1818" s="23">
        <v>2.34</v>
      </c>
      <c r="DB1818" s="24">
        <v>100</v>
      </c>
      <c r="DC1818" s="25">
        <v>5.53</v>
      </c>
      <c r="DD1818" s="24">
        <v>84</v>
      </c>
      <c r="DE1818" s="25">
        <v>0.03</v>
      </c>
      <c r="DF1818" s="23">
        <v>0.56000000000000005</v>
      </c>
      <c r="DG1818" s="25">
        <v>9.7200000000000006</v>
      </c>
      <c r="DH1818" s="24">
        <v>89</v>
      </c>
      <c r="DI1818" s="25">
        <v>1.33</v>
      </c>
      <c r="DJ1818" s="24">
        <v>55</v>
      </c>
      <c r="DK1818" s="25" t="s">
        <v>138</v>
      </c>
      <c r="DL1818" s="24" t="s">
        <v>138</v>
      </c>
      <c r="DM1818" s="25">
        <v>9.7200000000000006</v>
      </c>
      <c r="DN1818" s="24">
        <v>88</v>
      </c>
      <c r="DO1818" s="25">
        <v>1.33</v>
      </c>
      <c r="DP1818" s="24">
        <v>56</v>
      </c>
      <c r="DQ1818" s="24" t="s">
        <v>138</v>
      </c>
      <c r="DR1818" s="26" t="s">
        <v>138</v>
      </c>
      <c r="DS1818" s="23" t="s">
        <v>138</v>
      </c>
      <c r="DT1818" s="24">
        <v>281</v>
      </c>
      <c r="DU1818" s="26">
        <v>3</v>
      </c>
      <c r="DV1818" s="23">
        <v>1.08</v>
      </c>
      <c r="DW1818" s="24">
        <v>474</v>
      </c>
      <c r="DX1818" s="27">
        <v>11</v>
      </c>
      <c r="DY1818" s="23">
        <v>2.38</v>
      </c>
      <c r="DZ1818" s="15" t="s">
        <v>178</v>
      </c>
      <c r="EA1818" s="22">
        <v>43591</v>
      </c>
      <c r="EB1818" s="17" t="s">
        <v>138</v>
      </c>
      <c r="EC1818" s="22" t="s">
        <v>138</v>
      </c>
      <c r="ED1818" s="15" t="s">
        <v>138</v>
      </c>
      <c r="EE1818" s="14" t="str">
        <f>HYPERLINK("https://my.pitchbook.com?c=95735-71", "View company online")</f>
        <v>View company online</v>
      </c>
    </row>
    <row r="1819" spans="1:135">
      <c r="A1819" s="28" t="s">
        <v>34546</v>
      </c>
      <c r="B1819" s="28" t="s">
        <v>34547</v>
      </c>
      <c r="C1819" s="28" t="s">
        <v>138</v>
      </c>
      <c r="D1819" s="28" t="s">
        <v>138</v>
      </c>
      <c r="E1819" s="28" t="s">
        <v>34548</v>
      </c>
      <c r="F1819" s="28" t="s">
        <v>34546</v>
      </c>
      <c r="G1819" s="28" t="s">
        <v>34549</v>
      </c>
      <c r="H1819" s="28" t="s">
        <v>322</v>
      </c>
      <c r="I1819" s="28" t="s">
        <v>323</v>
      </c>
      <c r="J1819" s="28" t="s">
        <v>324</v>
      </c>
      <c r="K1819" s="28" t="s">
        <v>34550</v>
      </c>
      <c r="L1819" s="28" t="s">
        <v>215</v>
      </c>
      <c r="M1819" s="28" t="s">
        <v>34551</v>
      </c>
      <c r="N1819" s="28" t="s">
        <v>147</v>
      </c>
      <c r="O1819" s="29">
        <v>26.1</v>
      </c>
      <c r="P1819" s="28" t="s">
        <v>148</v>
      </c>
      <c r="Q1819" s="28" t="s">
        <v>149</v>
      </c>
      <c r="R1819" s="28" t="s">
        <v>174</v>
      </c>
      <c r="S1819" s="28" t="s">
        <v>34552</v>
      </c>
      <c r="T1819" s="30">
        <v>11</v>
      </c>
      <c r="U1819" s="28" t="s">
        <v>3406</v>
      </c>
      <c r="V1819" s="28" t="s">
        <v>138</v>
      </c>
      <c r="W1819" s="28" t="s">
        <v>138</v>
      </c>
      <c r="X1819" s="31">
        <v>2013</v>
      </c>
      <c r="Y1819" s="28" t="s">
        <v>138</v>
      </c>
      <c r="Z1819" s="28" t="s">
        <v>138</v>
      </c>
      <c r="AA1819" s="28" t="s">
        <v>138</v>
      </c>
      <c r="AB1819" s="32" t="s">
        <v>138</v>
      </c>
      <c r="AC1819" s="32" t="s">
        <v>138</v>
      </c>
      <c r="AD1819" s="32" t="s">
        <v>138</v>
      </c>
      <c r="AE1819" s="32" t="s">
        <v>138</v>
      </c>
      <c r="AF1819" s="32" t="s">
        <v>138</v>
      </c>
      <c r="AG1819" s="28" t="s">
        <v>138</v>
      </c>
      <c r="AH1819" s="32" t="s">
        <v>138</v>
      </c>
      <c r="AI1819" s="32" t="s">
        <v>138</v>
      </c>
      <c r="AJ1819" s="32" t="s">
        <v>138</v>
      </c>
      <c r="AK1819" s="28" t="s">
        <v>34553</v>
      </c>
      <c r="AL1819" s="28" t="s">
        <v>34554</v>
      </c>
      <c r="AM1819" s="28" t="s">
        <v>2605</v>
      </c>
      <c r="AN1819" s="28" t="s">
        <v>34555</v>
      </c>
      <c r="AO1819" s="28" t="s">
        <v>34556</v>
      </c>
      <c r="AP1819" s="28" t="s">
        <v>1168</v>
      </c>
      <c r="AQ1819" s="28" t="s">
        <v>34557</v>
      </c>
      <c r="AR1819" s="28" t="s">
        <v>138</v>
      </c>
      <c r="AS1819" s="28" t="s">
        <v>1171</v>
      </c>
      <c r="AT1819" s="28" t="s">
        <v>200</v>
      </c>
      <c r="AU1819" s="28" t="s">
        <v>4152</v>
      </c>
      <c r="AV1819" s="28" t="s">
        <v>162</v>
      </c>
      <c r="AW1819" s="28" t="s">
        <v>34556</v>
      </c>
      <c r="AX1819" s="28" t="s">
        <v>138</v>
      </c>
      <c r="AY1819" s="28" t="s">
        <v>34558</v>
      </c>
      <c r="AZ1819" s="28" t="s">
        <v>164</v>
      </c>
      <c r="BA1819" s="28" t="s">
        <v>165</v>
      </c>
      <c r="BB1819" s="28" t="s">
        <v>34559</v>
      </c>
      <c r="BC1819" s="28" t="s">
        <v>34560</v>
      </c>
      <c r="BD1819" s="33">
        <v>6</v>
      </c>
      <c r="BE1819" s="28" t="s">
        <v>138</v>
      </c>
      <c r="BF1819" s="28" t="s">
        <v>138</v>
      </c>
      <c r="BG1819" s="28" t="s">
        <v>138</v>
      </c>
      <c r="BH1819" s="28" t="s">
        <v>34561</v>
      </c>
      <c r="BI1819" s="28" t="s">
        <v>138</v>
      </c>
      <c r="BJ1819" s="28" t="s">
        <v>138</v>
      </c>
      <c r="BK1819" s="28" t="s">
        <v>1251</v>
      </c>
      <c r="BL1819" s="28" t="s">
        <v>1251</v>
      </c>
      <c r="BM1819" s="34">
        <v>41936</v>
      </c>
      <c r="BN1819" s="29">
        <v>1.1000000000000001</v>
      </c>
      <c r="BO1819" s="28" t="s">
        <v>172</v>
      </c>
      <c r="BP1819" s="29">
        <v>7.09</v>
      </c>
      <c r="BQ1819" s="28" t="s">
        <v>172</v>
      </c>
      <c r="BR1819" s="28" t="s">
        <v>234</v>
      </c>
      <c r="BS1819" s="28" t="s">
        <v>234</v>
      </c>
      <c r="BT1819" s="28" t="s">
        <v>138</v>
      </c>
      <c r="BU1819" s="28" t="s">
        <v>174</v>
      </c>
      <c r="BV1819" s="28" t="s">
        <v>138</v>
      </c>
      <c r="BW1819" s="28" t="s">
        <v>138</v>
      </c>
      <c r="BX1819" s="28" t="s">
        <v>138</v>
      </c>
      <c r="BY1819" s="28" t="s">
        <v>175</v>
      </c>
      <c r="BZ1819" s="34">
        <v>42753</v>
      </c>
      <c r="CA1819" s="29">
        <v>15</v>
      </c>
      <c r="CB1819" s="28" t="s">
        <v>172</v>
      </c>
      <c r="CC1819" s="29">
        <v>51.96</v>
      </c>
      <c r="CD1819" s="28" t="s">
        <v>172</v>
      </c>
      <c r="CE1819" s="28" t="s">
        <v>205</v>
      </c>
      <c r="CF1819" s="28" t="s">
        <v>720</v>
      </c>
      <c r="CG1819" s="28" t="s">
        <v>138</v>
      </c>
      <c r="CH1819" s="28" t="s">
        <v>174</v>
      </c>
      <c r="CI1819" s="28" t="s">
        <v>138</v>
      </c>
      <c r="CJ1819" s="28" t="s">
        <v>138</v>
      </c>
      <c r="CK1819" s="28" t="s">
        <v>138</v>
      </c>
      <c r="CL1819" s="28" t="s">
        <v>175</v>
      </c>
      <c r="CM1819" s="34" t="s">
        <v>138</v>
      </c>
      <c r="CN1819" s="29" t="s">
        <v>138</v>
      </c>
      <c r="CO1819" s="35">
        <v>-0.6</v>
      </c>
      <c r="CP1819" s="36">
        <v>15</v>
      </c>
      <c r="CQ1819" s="35">
        <v>0.09</v>
      </c>
      <c r="CR1819" s="35">
        <v>13.26</v>
      </c>
      <c r="CS1819" s="35">
        <v>-1.36</v>
      </c>
      <c r="CT1819" s="36">
        <v>12</v>
      </c>
      <c r="CU1819" s="35">
        <v>0.16</v>
      </c>
      <c r="CV1819" s="36">
        <v>76</v>
      </c>
      <c r="CW1819" s="35">
        <v>-4.63</v>
      </c>
      <c r="CX1819" s="36">
        <v>3</v>
      </c>
      <c r="CY1819" s="35">
        <v>1.9</v>
      </c>
      <c r="CZ1819" s="36">
        <v>100</v>
      </c>
      <c r="DA1819" s="35">
        <v>0.28999999999999998</v>
      </c>
      <c r="DB1819" s="36">
        <v>88</v>
      </c>
      <c r="DC1819" s="37">
        <v>3.46</v>
      </c>
      <c r="DD1819" s="36">
        <v>77</v>
      </c>
      <c r="DE1819" s="37">
        <v>-0.17</v>
      </c>
      <c r="DF1819" s="35">
        <v>-4.6399999999999997</v>
      </c>
      <c r="DG1819" s="37">
        <v>5.55</v>
      </c>
      <c r="DH1819" s="36">
        <v>84</v>
      </c>
      <c r="DI1819" s="37">
        <v>1.37</v>
      </c>
      <c r="DJ1819" s="36">
        <v>55</v>
      </c>
      <c r="DK1819" s="37">
        <v>5.86</v>
      </c>
      <c r="DL1819" s="36">
        <v>81</v>
      </c>
      <c r="DM1819" s="37">
        <v>5.24</v>
      </c>
      <c r="DN1819" s="36">
        <v>82</v>
      </c>
      <c r="DO1819" s="37">
        <v>1.82</v>
      </c>
      <c r="DP1819" s="36">
        <v>62</v>
      </c>
      <c r="DQ1819" s="36">
        <v>1999</v>
      </c>
      <c r="DR1819" s="38">
        <v>31</v>
      </c>
      <c r="DS1819" s="35">
        <v>1.58</v>
      </c>
      <c r="DT1819" s="36">
        <v>151</v>
      </c>
      <c r="DU1819" s="38">
        <v>3</v>
      </c>
      <c r="DV1819" s="35">
        <v>2.0299999999999998</v>
      </c>
      <c r="DW1819" s="36">
        <v>653</v>
      </c>
      <c r="DX1819" s="39">
        <v>1</v>
      </c>
      <c r="DY1819" s="35">
        <v>0.15</v>
      </c>
      <c r="DZ1819" s="28" t="s">
        <v>178</v>
      </c>
      <c r="EA1819" s="34">
        <v>43573</v>
      </c>
      <c r="EB1819" s="29">
        <v>51.96</v>
      </c>
      <c r="EC1819" s="34">
        <v>42753</v>
      </c>
      <c r="ED1819" s="28" t="s">
        <v>205</v>
      </c>
      <c r="EE1819" s="40" t="str">
        <f>HYPERLINK("https://my.pitchbook.com?c=111256-84", "View company online")</f>
        <v>View company online</v>
      </c>
    </row>
    <row r="1820" spans="1:135">
      <c r="A1820" s="15" t="s">
        <v>34562</v>
      </c>
      <c r="B1820" s="15" t="s">
        <v>34563</v>
      </c>
      <c r="C1820" s="15" t="s">
        <v>138</v>
      </c>
      <c r="D1820" s="15" t="s">
        <v>138</v>
      </c>
      <c r="E1820" s="15" t="s">
        <v>34564</v>
      </c>
      <c r="F1820" s="15" t="s">
        <v>34562</v>
      </c>
      <c r="G1820" s="15" t="s">
        <v>34565</v>
      </c>
      <c r="H1820" s="15" t="s">
        <v>322</v>
      </c>
      <c r="I1820" s="15" t="s">
        <v>323</v>
      </c>
      <c r="J1820" s="15" t="s">
        <v>1235</v>
      </c>
      <c r="K1820" s="15" t="s">
        <v>8952</v>
      </c>
      <c r="L1820" s="15" t="s">
        <v>215</v>
      </c>
      <c r="M1820" s="15" t="s">
        <v>34566</v>
      </c>
      <c r="N1820" s="15" t="s">
        <v>147</v>
      </c>
      <c r="O1820" s="17">
        <v>115.1</v>
      </c>
      <c r="P1820" s="15" t="s">
        <v>148</v>
      </c>
      <c r="Q1820" s="15" t="s">
        <v>149</v>
      </c>
      <c r="R1820" s="15" t="s">
        <v>174</v>
      </c>
      <c r="S1820" s="15" t="s">
        <v>34567</v>
      </c>
      <c r="T1820" s="18">
        <v>72</v>
      </c>
      <c r="U1820" s="15" t="s">
        <v>34568</v>
      </c>
      <c r="V1820" s="15" t="s">
        <v>138</v>
      </c>
      <c r="W1820" s="15" t="s">
        <v>138</v>
      </c>
      <c r="X1820" s="19">
        <v>2012</v>
      </c>
      <c r="Y1820" s="15" t="s">
        <v>138</v>
      </c>
      <c r="Z1820" s="15" t="s">
        <v>138</v>
      </c>
      <c r="AA1820" s="15" t="s">
        <v>138</v>
      </c>
      <c r="AB1820" s="20" t="s">
        <v>138</v>
      </c>
      <c r="AC1820" s="20" t="s">
        <v>138</v>
      </c>
      <c r="AD1820" s="20" t="s">
        <v>138</v>
      </c>
      <c r="AE1820" s="20" t="s">
        <v>138</v>
      </c>
      <c r="AF1820" s="20" t="s">
        <v>138</v>
      </c>
      <c r="AG1820" s="15" t="s">
        <v>138</v>
      </c>
      <c r="AH1820" s="20" t="s">
        <v>138</v>
      </c>
      <c r="AI1820" s="20" t="s">
        <v>138</v>
      </c>
      <c r="AJ1820" s="20" t="s">
        <v>138</v>
      </c>
      <c r="AK1820" s="15" t="s">
        <v>34569</v>
      </c>
      <c r="AL1820" s="15" t="s">
        <v>34570</v>
      </c>
      <c r="AM1820" s="15" t="s">
        <v>2605</v>
      </c>
      <c r="AN1820" s="15" t="s">
        <v>34571</v>
      </c>
      <c r="AO1820" s="15" t="s">
        <v>34572</v>
      </c>
      <c r="AP1820" s="15" t="s">
        <v>3839</v>
      </c>
      <c r="AQ1820" s="15" t="s">
        <v>34573</v>
      </c>
      <c r="AR1820" s="15" t="s">
        <v>158</v>
      </c>
      <c r="AS1820" s="15" t="s">
        <v>3841</v>
      </c>
      <c r="AT1820" s="15" t="s">
        <v>200</v>
      </c>
      <c r="AU1820" s="15" t="s">
        <v>3842</v>
      </c>
      <c r="AV1820" s="15" t="s">
        <v>162</v>
      </c>
      <c r="AW1820" s="15" t="s">
        <v>34572</v>
      </c>
      <c r="AX1820" s="15" t="s">
        <v>138</v>
      </c>
      <c r="AY1820" s="15" t="s">
        <v>34574</v>
      </c>
      <c r="AZ1820" s="15" t="s">
        <v>164</v>
      </c>
      <c r="BA1820" s="15" t="s">
        <v>165</v>
      </c>
      <c r="BB1820" s="15" t="s">
        <v>34575</v>
      </c>
      <c r="BC1820" s="15" t="s">
        <v>34576</v>
      </c>
      <c r="BD1820" s="21">
        <v>5</v>
      </c>
      <c r="BE1820" s="15" t="s">
        <v>138</v>
      </c>
      <c r="BF1820" s="15" t="s">
        <v>138</v>
      </c>
      <c r="BG1820" s="15" t="s">
        <v>138</v>
      </c>
      <c r="BH1820" s="15" t="s">
        <v>34577</v>
      </c>
      <c r="BI1820" s="15" t="s">
        <v>138</v>
      </c>
      <c r="BJ1820" s="15" t="s">
        <v>138</v>
      </c>
      <c r="BK1820" s="15" t="s">
        <v>290</v>
      </c>
      <c r="BL1820" s="15" t="s">
        <v>290</v>
      </c>
      <c r="BM1820" s="22">
        <v>41234</v>
      </c>
      <c r="BN1820" s="17">
        <v>12</v>
      </c>
      <c r="BO1820" s="15" t="s">
        <v>172</v>
      </c>
      <c r="BP1820" s="17">
        <v>27</v>
      </c>
      <c r="BQ1820" s="15" t="s">
        <v>172</v>
      </c>
      <c r="BR1820" s="15" t="s">
        <v>205</v>
      </c>
      <c r="BS1820" s="15" t="s">
        <v>206</v>
      </c>
      <c r="BT1820" s="15" t="s">
        <v>138</v>
      </c>
      <c r="BU1820" s="15" t="s">
        <v>174</v>
      </c>
      <c r="BV1820" s="15" t="s">
        <v>138</v>
      </c>
      <c r="BW1820" s="15" t="s">
        <v>138</v>
      </c>
      <c r="BX1820" s="15" t="s">
        <v>138</v>
      </c>
      <c r="BY1820" s="15" t="s">
        <v>175</v>
      </c>
      <c r="BZ1820" s="22">
        <v>43257</v>
      </c>
      <c r="CA1820" s="17">
        <v>60</v>
      </c>
      <c r="CB1820" s="15" t="s">
        <v>172</v>
      </c>
      <c r="CC1820" s="17">
        <v>335</v>
      </c>
      <c r="CD1820" s="15" t="s">
        <v>172</v>
      </c>
      <c r="CE1820" s="15" t="s">
        <v>173</v>
      </c>
      <c r="CF1820" s="15" t="s">
        <v>433</v>
      </c>
      <c r="CG1820" s="15" t="s">
        <v>138</v>
      </c>
      <c r="CH1820" s="15" t="s">
        <v>174</v>
      </c>
      <c r="CI1820" s="15" t="s">
        <v>138</v>
      </c>
      <c r="CJ1820" s="15" t="s">
        <v>138</v>
      </c>
      <c r="CK1820" s="15" t="s">
        <v>138</v>
      </c>
      <c r="CL1820" s="15" t="s">
        <v>175</v>
      </c>
      <c r="CM1820" s="22" t="s">
        <v>138</v>
      </c>
      <c r="CN1820" s="17" t="s">
        <v>138</v>
      </c>
      <c r="CO1820" s="23">
        <v>2.33</v>
      </c>
      <c r="CP1820" s="24">
        <v>99</v>
      </c>
      <c r="CQ1820" s="23">
        <v>0.03</v>
      </c>
      <c r="CR1820" s="23">
        <v>1.1000000000000001</v>
      </c>
      <c r="CS1820" s="23">
        <v>4.45</v>
      </c>
      <c r="CT1820" s="24">
        <v>100</v>
      </c>
      <c r="CU1820" s="23">
        <v>0.21</v>
      </c>
      <c r="CV1820" s="24">
        <v>81</v>
      </c>
      <c r="CW1820" s="23">
        <v>9.5299999999999994</v>
      </c>
      <c r="CX1820" s="24">
        <v>99</v>
      </c>
      <c r="CY1820" s="23">
        <v>-0.63</v>
      </c>
      <c r="CZ1820" s="24">
        <v>21</v>
      </c>
      <c r="DA1820" s="23">
        <v>0.21</v>
      </c>
      <c r="DB1820" s="24">
        <v>83</v>
      </c>
      <c r="DC1820" s="25">
        <v>12.85</v>
      </c>
      <c r="DD1820" s="24">
        <v>92</v>
      </c>
      <c r="DE1820" s="25">
        <v>-0.71</v>
      </c>
      <c r="DF1820" s="23">
        <v>-5.23</v>
      </c>
      <c r="DG1820" s="25">
        <v>20.25</v>
      </c>
      <c r="DH1820" s="24">
        <v>95</v>
      </c>
      <c r="DI1820" s="25">
        <v>5.45</v>
      </c>
      <c r="DJ1820" s="24">
        <v>78</v>
      </c>
      <c r="DK1820" s="25">
        <v>23.43</v>
      </c>
      <c r="DL1820" s="24">
        <v>93</v>
      </c>
      <c r="DM1820" s="25">
        <v>17.07</v>
      </c>
      <c r="DN1820" s="24">
        <v>93</v>
      </c>
      <c r="DO1820" s="25">
        <v>5.45</v>
      </c>
      <c r="DP1820" s="24">
        <v>80</v>
      </c>
      <c r="DQ1820" s="24">
        <v>7913</v>
      </c>
      <c r="DR1820" s="26">
        <v>366</v>
      </c>
      <c r="DS1820" s="23">
        <v>4.8499999999999996</v>
      </c>
      <c r="DT1820" s="24">
        <v>494</v>
      </c>
      <c r="DU1820" s="26">
        <v>4</v>
      </c>
      <c r="DV1820" s="23">
        <v>0.82</v>
      </c>
      <c r="DW1820" s="24">
        <v>1950</v>
      </c>
      <c r="DX1820" s="27">
        <v>4</v>
      </c>
      <c r="DY1820" s="23">
        <v>0.21</v>
      </c>
      <c r="DZ1820" s="15" t="s">
        <v>178</v>
      </c>
      <c r="EA1820" s="22">
        <v>43593</v>
      </c>
      <c r="EB1820" s="17">
        <v>335</v>
      </c>
      <c r="EC1820" s="22">
        <v>43257</v>
      </c>
      <c r="ED1820" s="15" t="s">
        <v>173</v>
      </c>
      <c r="EE1820" s="14" t="str">
        <f>HYPERLINK("https://my.pitchbook.com?c=57861-91", "View company online")</f>
        <v>View company online</v>
      </c>
    </row>
    <row r="1821" spans="1:135">
      <c r="A1821" s="28" t="s">
        <v>34578</v>
      </c>
      <c r="B1821" s="28" t="s">
        <v>34579</v>
      </c>
      <c r="C1821" s="28" t="s">
        <v>138</v>
      </c>
      <c r="D1821" s="28" t="s">
        <v>138</v>
      </c>
      <c r="E1821" s="28" t="s">
        <v>138</v>
      </c>
      <c r="F1821" s="28" t="s">
        <v>34578</v>
      </c>
      <c r="G1821" s="28" t="s">
        <v>34580</v>
      </c>
      <c r="H1821" s="28" t="s">
        <v>322</v>
      </c>
      <c r="I1821" s="28" t="s">
        <v>1503</v>
      </c>
      <c r="J1821" s="28" t="s">
        <v>1504</v>
      </c>
      <c r="K1821" s="28" t="s">
        <v>34581</v>
      </c>
      <c r="L1821" s="28" t="s">
        <v>2485</v>
      </c>
      <c r="M1821" s="28" t="s">
        <v>34582</v>
      </c>
      <c r="N1821" s="28" t="s">
        <v>147</v>
      </c>
      <c r="O1821" s="29">
        <v>13.64</v>
      </c>
      <c r="P1821" s="28" t="s">
        <v>148</v>
      </c>
      <c r="Q1821" s="28" t="s">
        <v>149</v>
      </c>
      <c r="R1821" s="28" t="s">
        <v>174</v>
      </c>
      <c r="S1821" s="28" t="s">
        <v>34583</v>
      </c>
      <c r="T1821" s="30">
        <v>20</v>
      </c>
      <c r="U1821" s="28" t="s">
        <v>34584</v>
      </c>
      <c r="V1821" s="28" t="s">
        <v>138</v>
      </c>
      <c r="W1821" s="28" t="s">
        <v>138</v>
      </c>
      <c r="X1821" s="31">
        <v>2010</v>
      </c>
      <c r="Y1821" s="28" t="s">
        <v>138</v>
      </c>
      <c r="Z1821" s="28" t="s">
        <v>138</v>
      </c>
      <c r="AA1821" s="28" t="s">
        <v>138</v>
      </c>
      <c r="AB1821" s="32">
        <v>4.51</v>
      </c>
      <c r="AC1821" s="32" t="s">
        <v>138</v>
      </c>
      <c r="AD1821" s="32" t="s">
        <v>138</v>
      </c>
      <c r="AE1821" s="32" t="s">
        <v>138</v>
      </c>
      <c r="AF1821" s="32" t="s">
        <v>138</v>
      </c>
      <c r="AG1821" s="28" t="s">
        <v>419</v>
      </c>
      <c r="AH1821" s="32" t="s">
        <v>138</v>
      </c>
      <c r="AI1821" s="32" t="s">
        <v>138</v>
      </c>
      <c r="AJ1821" s="32" t="s">
        <v>138</v>
      </c>
      <c r="AK1821" s="28" t="s">
        <v>34585</v>
      </c>
      <c r="AL1821" s="28" t="s">
        <v>34586</v>
      </c>
      <c r="AM1821" s="28" t="s">
        <v>34587</v>
      </c>
      <c r="AN1821" s="28" t="s">
        <v>34588</v>
      </c>
      <c r="AO1821" s="28" t="s">
        <v>34589</v>
      </c>
      <c r="AP1821" s="28" t="s">
        <v>34590</v>
      </c>
      <c r="AQ1821" s="28" t="s">
        <v>34591</v>
      </c>
      <c r="AR1821" s="28" t="s">
        <v>34592</v>
      </c>
      <c r="AS1821" s="28" t="s">
        <v>34593</v>
      </c>
      <c r="AT1821" s="28" t="s">
        <v>138</v>
      </c>
      <c r="AU1821" s="28" t="s">
        <v>34594</v>
      </c>
      <c r="AV1821" s="28" t="s">
        <v>1054</v>
      </c>
      <c r="AW1821" s="28" t="s">
        <v>34589</v>
      </c>
      <c r="AX1821" s="28" t="s">
        <v>138</v>
      </c>
      <c r="AY1821" s="28" t="s">
        <v>34595</v>
      </c>
      <c r="AZ1821" s="28" t="s">
        <v>530</v>
      </c>
      <c r="BA1821" s="28" t="s">
        <v>531</v>
      </c>
      <c r="BB1821" s="28" t="s">
        <v>34596</v>
      </c>
      <c r="BC1821" s="28" t="s">
        <v>34597</v>
      </c>
      <c r="BD1821" s="33">
        <v>6</v>
      </c>
      <c r="BE1821" s="28" t="s">
        <v>138</v>
      </c>
      <c r="BF1821" s="28" t="s">
        <v>138</v>
      </c>
      <c r="BG1821" s="28" t="s">
        <v>138</v>
      </c>
      <c r="BH1821" s="28" t="s">
        <v>34598</v>
      </c>
      <c r="BI1821" s="28" t="s">
        <v>138</v>
      </c>
      <c r="BJ1821" s="28" t="s">
        <v>138</v>
      </c>
      <c r="BK1821" s="28" t="s">
        <v>138</v>
      </c>
      <c r="BL1821" s="28" t="s">
        <v>34599</v>
      </c>
      <c r="BM1821" s="34">
        <v>42005</v>
      </c>
      <c r="BN1821" s="29" t="s">
        <v>138</v>
      </c>
      <c r="BO1821" s="28" t="s">
        <v>138</v>
      </c>
      <c r="BP1821" s="29" t="s">
        <v>138</v>
      </c>
      <c r="BQ1821" s="28" t="s">
        <v>138</v>
      </c>
      <c r="BR1821" s="28" t="s">
        <v>316</v>
      </c>
      <c r="BS1821" s="28" t="s">
        <v>138</v>
      </c>
      <c r="BT1821" s="28" t="s">
        <v>138</v>
      </c>
      <c r="BU1821" s="28" t="s">
        <v>177</v>
      </c>
      <c r="BV1821" s="28" t="s">
        <v>138</v>
      </c>
      <c r="BW1821" s="28" t="s">
        <v>138</v>
      </c>
      <c r="BX1821" s="28" t="s">
        <v>138</v>
      </c>
      <c r="BY1821" s="28" t="s">
        <v>175</v>
      </c>
      <c r="BZ1821" s="34">
        <v>42676</v>
      </c>
      <c r="CA1821" s="29">
        <v>10.81</v>
      </c>
      <c r="CB1821" s="28" t="s">
        <v>1178</v>
      </c>
      <c r="CC1821" s="29" t="s">
        <v>138</v>
      </c>
      <c r="CD1821" s="28" t="s">
        <v>138</v>
      </c>
      <c r="CE1821" s="28" t="s">
        <v>173</v>
      </c>
      <c r="CF1821" s="28" t="s">
        <v>138</v>
      </c>
      <c r="CG1821" s="28" t="s">
        <v>138</v>
      </c>
      <c r="CH1821" s="28" t="s">
        <v>174</v>
      </c>
      <c r="CI1821" s="28" t="s">
        <v>138</v>
      </c>
      <c r="CJ1821" s="28" t="s">
        <v>138</v>
      </c>
      <c r="CK1821" s="28" t="s">
        <v>138</v>
      </c>
      <c r="CL1821" s="28" t="s">
        <v>175</v>
      </c>
      <c r="CM1821" s="34" t="s">
        <v>138</v>
      </c>
      <c r="CN1821" s="29" t="s">
        <v>138</v>
      </c>
      <c r="CO1821" s="35">
        <v>0</v>
      </c>
      <c r="CP1821" s="36">
        <v>26</v>
      </c>
      <c r="CQ1821" s="35">
        <v>0</v>
      </c>
      <c r="CR1821" s="35">
        <v>0</v>
      </c>
      <c r="CS1821" s="35">
        <v>0</v>
      </c>
      <c r="CT1821" s="36">
        <v>23</v>
      </c>
      <c r="CU1821" s="35" t="s">
        <v>138</v>
      </c>
      <c r="CV1821" s="36" t="s">
        <v>138</v>
      </c>
      <c r="CW1821" s="35" t="s">
        <v>138</v>
      </c>
      <c r="CX1821" s="36" t="s">
        <v>138</v>
      </c>
      <c r="CY1821" s="35">
        <v>0</v>
      </c>
      <c r="CZ1821" s="36">
        <v>25</v>
      </c>
      <c r="DA1821" s="35" t="s">
        <v>138</v>
      </c>
      <c r="DB1821" s="36" t="s">
        <v>138</v>
      </c>
      <c r="DC1821" s="37">
        <v>0.83</v>
      </c>
      <c r="DD1821" s="36">
        <v>46</v>
      </c>
      <c r="DE1821" s="37">
        <v>0</v>
      </c>
      <c r="DF1821" s="35">
        <v>0</v>
      </c>
      <c r="DG1821" s="37">
        <v>0.83</v>
      </c>
      <c r="DH1821" s="36">
        <v>46</v>
      </c>
      <c r="DI1821" s="37" t="s">
        <v>138</v>
      </c>
      <c r="DJ1821" s="36" t="s">
        <v>138</v>
      </c>
      <c r="DK1821" s="37" t="s">
        <v>138</v>
      </c>
      <c r="DL1821" s="36" t="s">
        <v>138</v>
      </c>
      <c r="DM1821" s="37">
        <v>0.83</v>
      </c>
      <c r="DN1821" s="36">
        <v>46</v>
      </c>
      <c r="DO1821" s="37" t="s">
        <v>138</v>
      </c>
      <c r="DP1821" s="36" t="s">
        <v>138</v>
      </c>
      <c r="DQ1821" s="36" t="s">
        <v>138</v>
      </c>
      <c r="DR1821" s="38" t="s">
        <v>138</v>
      </c>
      <c r="DS1821" s="35" t="s">
        <v>138</v>
      </c>
      <c r="DT1821" s="36">
        <v>24</v>
      </c>
      <c r="DU1821" s="38">
        <v>0</v>
      </c>
      <c r="DV1821" s="35">
        <v>0</v>
      </c>
      <c r="DW1821" s="36" t="s">
        <v>138</v>
      </c>
      <c r="DX1821" s="39" t="s">
        <v>138</v>
      </c>
      <c r="DY1821" s="35" t="s">
        <v>138</v>
      </c>
      <c r="DZ1821" s="28" t="s">
        <v>178</v>
      </c>
      <c r="EA1821" s="34">
        <v>43351</v>
      </c>
      <c r="EB1821" s="29" t="s">
        <v>138</v>
      </c>
      <c r="EC1821" s="34" t="s">
        <v>138</v>
      </c>
      <c r="ED1821" s="28" t="s">
        <v>138</v>
      </c>
      <c r="EE1821" s="40" t="str">
        <f>HYPERLINK("https://my.pitchbook.com?c=112034-89", "View company online")</f>
        <v>View company online</v>
      </c>
    </row>
    <row r="1822" spans="1:135">
      <c r="A1822" s="15" t="s">
        <v>34600</v>
      </c>
      <c r="B1822" s="15" t="s">
        <v>34601</v>
      </c>
      <c r="C1822" s="15" t="s">
        <v>34602</v>
      </c>
      <c r="D1822" s="15" t="s">
        <v>138</v>
      </c>
      <c r="E1822" s="15" t="s">
        <v>34603</v>
      </c>
      <c r="F1822" s="15" t="s">
        <v>34600</v>
      </c>
      <c r="G1822" s="15" t="s">
        <v>34604</v>
      </c>
      <c r="H1822" s="15" t="s">
        <v>322</v>
      </c>
      <c r="I1822" s="15" t="s">
        <v>1208</v>
      </c>
      <c r="J1822" s="15" t="s">
        <v>1209</v>
      </c>
      <c r="K1822" s="15" t="s">
        <v>34605</v>
      </c>
      <c r="L1822" s="15" t="s">
        <v>415</v>
      </c>
      <c r="M1822" s="15" t="s">
        <v>34606</v>
      </c>
      <c r="N1822" s="15" t="s">
        <v>147</v>
      </c>
      <c r="O1822" s="17">
        <v>67.349999999999994</v>
      </c>
      <c r="P1822" s="15" t="s">
        <v>148</v>
      </c>
      <c r="Q1822" s="15" t="s">
        <v>149</v>
      </c>
      <c r="R1822" s="15" t="s">
        <v>174</v>
      </c>
      <c r="S1822" s="15" t="s">
        <v>34607</v>
      </c>
      <c r="T1822" s="18">
        <v>25</v>
      </c>
      <c r="U1822" s="15" t="s">
        <v>34608</v>
      </c>
      <c r="V1822" s="15" t="s">
        <v>138</v>
      </c>
      <c r="W1822" s="15" t="s">
        <v>138</v>
      </c>
      <c r="X1822" s="19">
        <v>2001</v>
      </c>
      <c r="Y1822" s="15" t="s">
        <v>138</v>
      </c>
      <c r="Z1822" s="15" t="s">
        <v>138</v>
      </c>
      <c r="AA1822" s="15" t="s">
        <v>138</v>
      </c>
      <c r="AB1822" s="20">
        <v>0.27</v>
      </c>
      <c r="AC1822" s="20" t="s">
        <v>138</v>
      </c>
      <c r="AD1822" s="20">
        <v>-3.65</v>
      </c>
      <c r="AE1822" s="20" t="s">
        <v>138</v>
      </c>
      <c r="AF1822" s="20" t="s">
        <v>138</v>
      </c>
      <c r="AG1822" s="15" t="s">
        <v>563</v>
      </c>
      <c r="AH1822" s="20" t="s">
        <v>138</v>
      </c>
      <c r="AI1822" s="20" t="s">
        <v>138</v>
      </c>
      <c r="AJ1822" s="20" t="s">
        <v>138</v>
      </c>
      <c r="AK1822" s="15" t="s">
        <v>34609</v>
      </c>
      <c r="AL1822" s="15" t="s">
        <v>34610</v>
      </c>
      <c r="AM1822" s="15" t="s">
        <v>4810</v>
      </c>
      <c r="AN1822" s="15" t="s">
        <v>34611</v>
      </c>
      <c r="AO1822" s="15" t="s">
        <v>34612</v>
      </c>
      <c r="AP1822" s="15" t="s">
        <v>34613</v>
      </c>
      <c r="AQ1822" s="15" t="s">
        <v>34614</v>
      </c>
      <c r="AR1822" s="15" t="s">
        <v>138</v>
      </c>
      <c r="AS1822" s="15" t="s">
        <v>34615</v>
      </c>
      <c r="AT1822" s="15" t="s">
        <v>138</v>
      </c>
      <c r="AU1822" s="15" t="s">
        <v>34616</v>
      </c>
      <c r="AV1822" s="15" t="s">
        <v>1054</v>
      </c>
      <c r="AW1822" s="15" t="s">
        <v>34612</v>
      </c>
      <c r="AX1822" s="15" t="s">
        <v>34617</v>
      </c>
      <c r="AY1822" s="15" t="s">
        <v>34618</v>
      </c>
      <c r="AZ1822" s="15" t="s">
        <v>530</v>
      </c>
      <c r="BA1822" s="15" t="s">
        <v>531</v>
      </c>
      <c r="BB1822" s="15" t="s">
        <v>34619</v>
      </c>
      <c r="BC1822" s="15" t="s">
        <v>34620</v>
      </c>
      <c r="BD1822" s="21">
        <v>17</v>
      </c>
      <c r="BE1822" s="15" t="s">
        <v>138</v>
      </c>
      <c r="BF1822" s="15" t="s">
        <v>138</v>
      </c>
      <c r="BG1822" s="15" t="s">
        <v>138</v>
      </c>
      <c r="BH1822" s="15" t="s">
        <v>34621</v>
      </c>
      <c r="BI1822" s="15" t="s">
        <v>138</v>
      </c>
      <c r="BJ1822" s="15" t="s">
        <v>138</v>
      </c>
      <c r="BK1822" s="15" t="s">
        <v>138</v>
      </c>
      <c r="BL1822" s="15" t="s">
        <v>34622</v>
      </c>
      <c r="BM1822" s="22">
        <v>37698</v>
      </c>
      <c r="BN1822" s="17">
        <v>5.18</v>
      </c>
      <c r="BO1822" s="15" t="s">
        <v>172</v>
      </c>
      <c r="BP1822" s="17" t="s">
        <v>138</v>
      </c>
      <c r="BQ1822" s="15" t="s">
        <v>138</v>
      </c>
      <c r="BR1822" s="15" t="s">
        <v>205</v>
      </c>
      <c r="BS1822" s="15" t="s">
        <v>138</v>
      </c>
      <c r="BT1822" s="15" t="s">
        <v>138</v>
      </c>
      <c r="BU1822" s="15" t="s">
        <v>174</v>
      </c>
      <c r="BV1822" s="15" t="s">
        <v>138</v>
      </c>
      <c r="BW1822" s="15" t="s">
        <v>138</v>
      </c>
      <c r="BX1822" s="15" t="s">
        <v>138</v>
      </c>
      <c r="BY1822" s="15" t="s">
        <v>175</v>
      </c>
      <c r="BZ1822" s="22">
        <v>43032</v>
      </c>
      <c r="CA1822" s="17">
        <v>10.47</v>
      </c>
      <c r="CB1822" s="15" t="s">
        <v>172</v>
      </c>
      <c r="CC1822" s="17" t="s">
        <v>138</v>
      </c>
      <c r="CD1822" s="15" t="s">
        <v>138</v>
      </c>
      <c r="CE1822" s="15" t="s">
        <v>173</v>
      </c>
      <c r="CF1822" s="15" t="s">
        <v>720</v>
      </c>
      <c r="CG1822" s="15" t="s">
        <v>138</v>
      </c>
      <c r="CH1822" s="15" t="s">
        <v>174</v>
      </c>
      <c r="CI1822" s="15" t="s">
        <v>138</v>
      </c>
      <c r="CJ1822" s="15" t="s">
        <v>138</v>
      </c>
      <c r="CK1822" s="15" t="s">
        <v>138</v>
      </c>
      <c r="CL1822" s="15" t="s">
        <v>175</v>
      </c>
      <c r="CM1822" s="22" t="s">
        <v>138</v>
      </c>
      <c r="CN1822" s="17" t="s">
        <v>138</v>
      </c>
      <c r="CO1822" s="23">
        <v>-0.06</v>
      </c>
      <c r="CP1822" s="24">
        <v>22</v>
      </c>
      <c r="CQ1822" s="23">
        <v>0</v>
      </c>
      <c r="CR1822" s="23">
        <v>0</v>
      </c>
      <c r="CS1822" s="23">
        <v>0</v>
      </c>
      <c r="CT1822" s="24">
        <v>23</v>
      </c>
      <c r="CU1822" s="23">
        <v>-0.12</v>
      </c>
      <c r="CV1822" s="24">
        <v>3</v>
      </c>
      <c r="CW1822" s="23" t="s">
        <v>138</v>
      </c>
      <c r="CX1822" s="24" t="s">
        <v>138</v>
      </c>
      <c r="CY1822" s="23">
        <v>0</v>
      </c>
      <c r="CZ1822" s="24">
        <v>25</v>
      </c>
      <c r="DA1822" s="23">
        <v>-0.12</v>
      </c>
      <c r="DB1822" s="24">
        <v>5</v>
      </c>
      <c r="DC1822" s="25">
        <v>0.91</v>
      </c>
      <c r="DD1822" s="24">
        <v>49</v>
      </c>
      <c r="DE1822" s="25">
        <v>0</v>
      </c>
      <c r="DF1822" s="23">
        <v>0.26</v>
      </c>
      <c r="DG1822" s="25">
        <v>0.97</v>
      </c>
      <c r="DH1822" s="24">
        <v>50</v>
      </c>
      <c r="DI1822" s="25">
        <v>0.86</v>
      </c>
      <c r="DJ1822" s="24">
        <v>46</v>
      </c>
      <c r="DK1822" s="25" t="s">
        <v>138</v>
      </c>
      <c r="DL1822" s="24" t="s">
        <v>138</v>
      </c>
      <c r="DM1822" s="25">
        <v>0.97</v>
      </c>
      <c r="DN1822" s="24">
        <v>49</v>
      </c>
      <c r="DO1822" s="25">
        <v>0.86</v>
      </c>
      <c r="DP1822" s="24">
        <v>48</v>
      </c>
      <c r="DQ1822" s="24" t="s">
        <v>138</v>
      </c>
      <c r="DR1822" s="26" t="s">
        <v>138</v>
      </c>
      <c r="DS1822" s="23" t="s">
        <v>138</v>
      </c>
      <c r="DT1822" s="24">
        <v>28</v>
      </c>
      <c r="DU1822" s="26">
        <v>1</v>
      </c>
      <c r="DV1822" s="23">
        <v>3.7</v>
      </c>
      <c r="DW1822" s="24">
        <v>307</v>
      </c>
      <c r="DX1822" s="27">
        <v>0</v>
      </c>
      <c r="DY1822" s="23">
        <v>0</v>
      </c>
      <c r="DZ1822" s="15" t="s">
        <v>178</v>
      </c>
      <c r="EA1822" s="22">
        <v>43448</v>
      </c>
      <c r="EB1822" s="17" t="s">
        <v>138</v>
      </c>
      <c r="EC1822" s="22" t="s">
        <v>138</v>
      </c>
      <c r="ED1822" s="15" t="s">
        <v>138</v>
      </c>
      <c r="EE1822" s="14" t="str">
        <f>HYPERLINK("https://my.pitchbook.com?c=56455-30", "View company online")</f>
        <v>View company online</v>
      </c>
    </row>
    <row r="1823" spans="1:135">
      <c r="A1823" s="28" t="s">
        <v>34623</v>
      </c>
      <c r="B1823" s="28" t="s">
        <v>34624</v>
      </c>
      <c r="C1823" s="28" t="s">
        <v>138</v>
      </c>
      <c r="D1823" s="28" t="s">
        <v>138</v>
      </c>
      <c r="E1823" s="28" t="s">
        <v>34625</v>
      </c>
      <c r="F1823" s="28" t="s">
        <v>34623</v>
      </c>
      <c r="G1823" s="28" t="s">
        <v>34626</v>
      </c>
      <c r="H1823" s="28" t="s">
        <v>238</v>
      </c>
      <c r="I1823" s="28" t="s">
        <v>1351</v>
      </c>
      <c r="J1823" s="28" t="s">
        <v>1352</v>
      </c>
      <c r="K1823" s="28" t="s">
        <v>11328</v>
      </c>
      <c r="L1823" s="28" t="s">
        <v>7878</v>
      </c>
      <c r="M1823" s="28" t="s">
        <v>34627</v>
      </c>
      <c r="N1823" s="28" t="s">
        <v>147</v>
      </c>
      <c r="O1823" s="29">
        <v>61.15</v>
      </c>
      <c r="P1823" s="28" t="s">
        <v>148</v>
      </c>
      <c r="Q1823" s="28" t="s">
        <v>149</v>
      </c>
      <c r="R1823" s="28" t="s">
        <v>174</v>
      </c>
      <c r="S1823" s="28" t="s">
        <v>34628</v>
      </c>
      <c r="T1823" s="30">
        <v>45</v>
      </c>
      <c r="U1823" s="28" t="s">
        <v>34629</v>
      </c>
      <c r="V1823" s="28" t="s">
        <v>138</v>
      </c>
      <c r="W1823" s="28" t="s">
        <v>138</v>
      </c>
      <c r="X1823" s="31">
        <v>2012</v>
      </c>
      <c r="Y1823" s="28" t="s">
        <v>138</v>
      </c>
      <c r="Z1823" s="28" t="s">
        <v>138</v>
      </c>
      <c r="AA1823" s="28" t="s">
        <v>34630</v>
      </c>
      <c r="AB1823" s="32" t="s">
        <v>138</v>
      </c>
      <c r="AC1823" s="32" t="s">
        <v>138</v>
      </c>
      <c r="AD1823" s="32" t="s">
        <v>138</v>
      </c>
      <c r="AE1823" s="32" t="s">
        <v>138</v>
      </c>
      <c r="AF1823" s="32" t="s">
        <v>138</v>
      </c>
      <c r="AG1823" s="28" t="s">
        <v>138</v>
      </c>
      <c r="AH1823" s="32" t="s">
        <v>138</v>
      </c>
      <c r="AI1823" s="32" t="s">
        <v>138</v>
      </c>
      <c r="AJ1823" s="32" t="s">
        <v>138</v>
      </c>
      <c r="AK1823" s="28" t="s">
        <v>34631</v>
      </c>
      <c r="AL1823" s="28" t="s">
        <v>34632</v>
      </c>
      <c r="AM1823" s="28" t="s">
        <v>249</v>
      </c>
      <c r="AN1823" s="28" t="s">
        <v>34633</v>
      </c>
      <c r="AO1823" s="28" t="s">
        <v>34634</v>
      </c>
      <c r="AP1823" s="28" t="s">
        <v>34635</v>
      </c>
      <c r="AQ1823" s="28" t="s">
        <v>34636</v>
      </c>
      <c r="AR1823" s="28" t="s">
        <v>309</v>
      </c>
      <c r="AS1823" s="28" t="s">
        <v>34637</v>
      </c>
      <c r="AT1823" s="28" t="s">
        <v>200</v>
      </c>
      <c r="AU1823" s="28" t="s">
        <v>34638</v>
      </c>
      <c r="AV1823" s="28" t="s">
        <v>162</v>
      </c>
      <c r="AW1823" s="28" t="s">
        <v>34634</v>
      </c>
      <c r="AX1823" s="28" t="s">
        <v>138</v>
      </c>
      <c r="AY1823" s="28" t="s">
        <v>34639</v>
      </c>
      <c r="AZ1823" s="28" t="s">
        <v>164</v>
      </c>
      <c r="BA1823" s="28" t="s">
        <v>165</v>
      </c>
      <c r="BB1823" s="28" t="s">
        <v>34640</v>
      </c>
      <c r="BC1823" s="28" t="s">
        <v>34641</v>
      </c>
      <c r="BD1823" s="33">
        <v>16</v>
      </c>
      <c r="BE1823" s="28" t="s">
        <v>138</v>
      </c>
      <c r="BF1823" s="28" t="s">
        <v>138</v>
      </c>
      <c r="BG1823" s="28" t="s">
        <v>138</v>
      </c>
      <c r="BH1823" s="28" t="s">
        <v>34642</v>
      </c>
      <c r="BI1823" s="28" t="s">
        <v>138</v>
      </c>
      <c r="BJ1823" s="28" t="s">
        <v>138</v>
      </c>
      <c r="BK1823" s="28" t="s">
        <v>34643</v>
      </c>
      <c r="BL1823" s="28" t="s">
        <v>34644</v>
      </c>
      <c r="BM1823" s="34">
        <v>41586</v>
      </c>
      <c r="BN1823" s="29">
        <v>2.1</v>
      </c>
      <c r="BO1823" s="28" t="s">
        <v>172</v>
      </c>
      <c r="BP1823" s="29">
        <v>7.56</v>
      </c>
      <c r="BQ1823" s="28" t="s">
        <v>172</v>
      </c>
      <c r="BR1823" s="28" t="s">
        <v>234</v>
      </c>
      <c r="BS1823" s="28" t="s">
        <v>234</v>
      </c>
      <c r="BT1823" s="28" t="s">
        <v>138</v>
      </c>
      <c r="BU1823" s="28" t="s">
        <v>174</v>
      </c>
      <c r="BV1823" s="28" t="s">
        <v>138</v>
      </c>
      <c r="BW1823" s="28" t="s">
        <v>138</v>
      </c>
      <c r="BX1823" s="28" t="s">
        <v>138</v>
      </c>
      <c r="BY1823" s="28" t="s">
        <v>175</v>
      </c>
      <c r="BZ1823" s="34">
        <v>43340</v>
      </c>
      <c r="CA1823" s="29">
        <v>12</v>
      </c>
      <c r="CB1823" s="28" t="s">
        <v>172</v>
      </c>
      <c r="CC1823" s="29" t="s">
        <v>138</v>
      </c>
      <c r="CD1823" s="28" t="s">
        <v>138</v>
      </c>
      <c r="CE1823" s="28" t="s">
        <v>173</v>
      </c>
      <c r="CF1823" s="28" t="s">
        <v>8444</v>
      </c>
      <c r="CG1823" s="28" t="s">
        <v>138</v>
      </c>
      <c r="CH1823" s="28" t="s">
        <v>174</v>
      </c>
      <c r="CI1823" s="28" t="s">
        <v>138</v>
      </c>
      <c r="CJ1823" s="28" t="s">
        <v>138</v>
      </c>
      <c r="CK1823" s="28" t="s">
        <v>138</v>
      </c>
      <c r="CL1823" s="28" t="s">
        <v>175</v>
      </c>
      <c r="CM1823" s="34" t="s">
        <v>138</v>
      </c>
      <c r="CN1823" s="29" t="s">
        <v>138</v>
      </c>
      <c r="CO1823" s="35">
        <v>0.63</v>
      </c>
      <c r="CP1823" s="36">
        <v>96</v>
      </c>
      <c r="CQ1823" s="35">
        <v>-0.01</v>
      </c>
      <c r="CR1823" s="35">
        <v>-1.71</v>
      </c>
      <c r="CS1823" s="35">
        <v>1.32</v>
      </c>
      <c r="CT1823" s="36">
        <v>97</v>
      </c>
      <c r="CU1823" s="35">
        <v>-0.05</v>
      </c>
      <c r="CV1823" s="36">
        <v>9</v>
      </c>
      <c r="CW1823" s="35">
        <v>4.3499999999999996</v>
      </c>
      <c r="CX1823" s="36">
        <v>94</v>
      </c>
      <c r="CY1823" s="35">
        <v>-1.71</v>
      </c>
      <c r="CZ1823" s="36">
        <v>13</v>
      </c>
      <c r="DA1823" s="35">
        <v>-0.05</v>
      </c>
      <c r="DB1823" s="36">
        <v>13</v>
      </c>
      <c r="DC1823" s="37">
        <v>14.69</v>
      </c>
      <c r="DD1823" s="36">
        <v>93</v>
      </c>
      <c r="DE1823" s="37">
        <v>-0.28000000000000003</v>
      </c>
      <c r="DF1823" s="35">
        <v>-1.86</v>
      </c>
      <c r="DG1823" s="37">
        <v>18.45</v>
      </c>
      <c r="DH1823" s="36">
        <v>94</v>
      </c>
      <c r="DI1823" s="37">
        <v>10.92</v>
      </c>
      <c r="DJ1823" s="36">
        <v>86</v>
      </c>
      <c r="DK1823" s="37">
        <v>7.77</v>
      </c>
      <c r="DL1823" s="36">
        <v>84</v>
      </c>
      <c r="DM1823" s="37">
        <v>29.14</v>
      </c>
      <c r="DN1823" s="36">
        <v>96</v>
      </c>
      <c r="DO1823" s="37">
        <v>11.44</v>
      </c>
      <c r="DP1823" s="36">
        <v>88</v>
      </c>
      <c r="DQ1823" s="36">
        <v>2683</v>
      </c>
      <c r="DR1823" s="38">
        <v>-55</v>
      </c>
      <c r="DS1823" s="35">
        <v>-2.0099999999999998</v>
      </c>
      <c r="DT1823" s="36">
        <v>847</v>
      </c>
      <c r="DU1823" s="38">
        <v>-3</v>
      </c>
      <c r="DV1823" s="35">
        <v>-0.35</v>
      </c>
      <c r="DW1823" s="36">
        <v>4094</v>
      </c>
      <c r="DX1823" s="39">
        <v>-1</v>
      </c>
      <c r="DY1823" s="35">
        <v>-0.02</v>
      </c>
      <c r="DZ1823" s="28" t="s">
        <v>178</v>
      </c>
      <c r="EA1823" s="34">
        <v>43367</v>
      </c>
      <c r="EB1823" s="29">
        <v>87.68</v>
      </c>
      <c r="EC1823" s="34">
        <v>42825</v>
      </c>
      <c r="ED1823" s="28" t="s">
        <v>173</v>
      </c>
      <c r="EE1823" s="40" t="str">
        <f>HYPERLINK("https://my.pitchbook.com?c=60250-24", "View company online")</f>
        <v>View company online</v>
      </c>
    </row>
    <row r="1824" spans="1:135">
      <c r="A1824" s="15" t="s">
        <v>34645</v>
      </c>
      <c r="B1824" s="15" t="s">
        <v>34646</v>
      </c>
      <c r="C1824" s="15" t="s">
        <v>138</v>
      </c>
      <c r="D1824" s="15" t="s">
        <v>138</v>
      </c>
      <c r="E1824" s="15" t="s">
        <v>34647</v>
      </c>
      <c r="F1824" s="15" t="s">
        <v>34645</v>
      </c>
      <c r="G1824" s="15" t="s">
        <v>34648</v>
      </c>
      <c r="H1824" s="15" t="s">
        <v>322</v>
      </c>
      <c r="I1824" s="15" t="s">
        <v>323</v>
      </c>
      <c r="J1824" s="15" t="s">
        <v>324</v>
      </c>
      <c r="K1824" s="15" t="s">
        <v>1649</v>
      </c>
      <c r="L1824" s="15" t="s">
        <v>2835</v>
      </c>
      <c r="M1824" s="15" t="s">
        <v>34649</v>
      </c>
      <c r="N1824" s="15" t="s">
        <v>147</v>
      </c>
      <c r="O1824" s="17">
        <v>28.1</v>
      </c>
      <c r="P1824" s="15" t="s">
        <v>148</v>
      </c>
      <c r="Q1824" s="15" t="s">
        <v>149</v>
      </c>
      <c r="R1824" s="15" t="s">
        <v>174</v>
      </c>
      <c r="S1824" s="15" t="s">
        <v>34650</v>
      </c>
      <c r="T1824" s="18">
        <v>55</v>
      </c>
      <c r="U1824" s="15" t="s">
        <v>34651</v>
      </c>
      <c r="V1824" s="15" t="s">
        <v>138</v>
      </c>
      <c r="W1824" s="15" t="s">
        <v>138</v>
      </c>
      <c r="X1824" s="19">
        <v>2014</v>
      </c>
      <c r="Y1824" s="15" t="s">
        <v>138</v>
      </c>
      <c r="Z1824" s="15" t="s">
        <v>138</v>
      </c>
      <c r="AA1824" s="15" t="s">
        <v>138</v>
      </c>
      <c r="AB1824" s="20" t="s">
        <v>138</v>
      </c>
      <c r="AC1824" s="20" t="s">
        <v>138</v>
      </c>
      <c r="AD1824" s="20" t="s">
        <v>138</v>
      </c>
      <c r="AE1824" s="20" t="s">
        <v>138</v>
      </c>
      <c r="AF1824" s="20" t="s">
        <v>138</v>
      </c>
      <c r="AG1824" s="15" t="s">
        <v>138</v>
      </c>
      <c r="AH1824" s="20" t="s">
        <v>138</v>
      </c>
      <c r="AI1824" s="20" t="s">
        <v>138</v>
      </c>
      <c r="AJ1824" s="20" t="s">
        <v>138</v>
      </c>
      <c r="AK1824" s="15" t="s">
        <v>34652</v>
      </c>
      <c r="AL1824" s="15" t="s">
        <v>34653</v>
      </c>
      <c r="AM1824" s="15" t="s">
        <v>221</v>
      </c>
      <c r="AN1824" s="15" t="s">
        <v>34654</v>
      </c>
      <c r="AO1824" s="15" t="s">
        <v>34655</v>
      </c>
      <c r="AP1824" s="15" t="s">
        <v>13886</v>
      </c>
      <c r="AQ1824" s="15" t="s">
        <v>34656</v>
      </c>
      <c r="AR1824" s="15" t="s">
        <v>31052</v>
      </c>
      <c r="AS1824" s="15" t="s">
        <v>13888</v>
      </c>
      <c r="AT1824" s="15" t="s">
        <v>200</v>
      </c>
      <c r="AU1824" s="15" t="s">
        <v>13889</v>
      </c>
      <c r="AV1824" s="15" t="s">
        <v>162</v>
      </c>
      <c r="AW1824" s="15" t="s">
        <v>138</v>
      </c>
      <c r="AX1824" s="15" t="s">
        <v>138</v>
      </c>
      <c r="AY1824" s="15" t="s">
        <v>34657</v>
      </c>
      <c r="AZ1824" s="15" t="s">
        <v>164</v>
      </c>
      <c r="BA1824" s="15" t="s">
        <v>165</v>
      </c>
      <c r="BB1824" s="15" t="s">
        <v>34658</v>
      </c>
      <c r="BC1824" s="15" t="s">
        <v>34659</v>
      </c>
      <c r="BD1824" s="21">
        <v>20</v>
      </c>
      <c r="BE1824" s="15" t="s">
        <v>138</v>
      </c>
      <c r="BF1824" s="15" t="s">
        <v>138</v>
      </c>
      <c r="BG1824" s="15" t="s">
        <v>138</v>
      </c>
      <c r="BH1824" s="15" t="s">
        <v>34660</v>
      </c>
      <c r="BI1824" s="15" t="s">
        <v>138</v>
      </c>
      <c r="BJ1824" s="15" t="s">
        <v>138</v>
      </c>
      <c r="BK1824" s="15" t="s">
        <v>34661</v>
      </c>
      <c r="BL1824" s="15" t="s">
        <v>3482</v>
      </c>
      <c r="BM1824" s="22">
        <v>41920</v>
      </c>
      <c r="BN1824" s="17">
        <v>6.3</v>
      </c>
      <c r="BO1824" s="15" t="s">
        <v>172</v>
      </c>
      <c r="BP1824" s="17">
        <v>8.5</v>
      </c>
      <c r="BQ1824" s="15" t="s">
        <v>172</v>
      </c>
      <c r="BR1824" s="15" t="s">
        <v>205</v>
      </c>
      <c r="BS1824" s="15" t="s">
        <v>138</v>
      </c>
      <c r="BT1824" s="15" t="s">
        <v>138</v>
      </c>
      <c r="BU1824" s="15" t="s">
        <v>174</v>
      </c>
      <c r="BV1824" s="15" t="s">
        <v>177</v>
      </c>
      <c r="BW1824" s="15" t="s">
        <v>138</v>
      </c>
      <c r="BX1824" s="15" t="s">
        <v>138</v>
      </c>
      <c r="BY1824" s="15" t="s">
        <v>175</v>
      </c>
      <c r="BZ1824" s="22">
        <v>43228</v>
      </c>
      <c r="CA1824" s="17">
        <v>14.2</v>
      </c>
      <c r="CB1824" s="15" t="s">
        <v>172</v>
      </c>
      <c r="CC1824" s="17">
        <v>59.2</v>
      </c>
      <c r="CD1824" s="15" t="s">
        <v>172</v>
      </c>
      <c r="CE1824" s="15" t="s">
        <v>205</v>
      </c>
      <c r="CF1824" s="15" t="s">
        <v>206</v>
      </c>
      <c r="CG1824" s="15" t="s">
        <v>138</v>
      </c>
      <c r="CH1824" s="15" t="s">
        <v>174</v>
      </c>
      <c r="CI1824" s="15" t="s">
        <v>138</v>
      </c>
      <c r="CJ1824" s="15" t="s">
        <v>138</v>
      </c>
      <c r="CK1824" s="15" t="s">
        <v>138</v>
      </c>
      <c r="CL1824" s="15" t="s">
        <v>175</v>
      </c>
      <c r="CM1824" s="22" t="s">
        <v>138</v>
      </c>
      <c r="CN1824" s="17" t="s">
        <v>138</v>
      </c>
      <c r="CO1824" s="23">
        <v>0</v>
      </c>
      <c r="CP1824" s="24">
        <v>26</v>
      </c>
      <c r="CQ1824" s="23">
        <v>0.01</v>
      </c>
      <c r="CR1824" s="23">
        <v>66.83</v>
      </c>
      <c r="CS1824" s="23" t="s">
        <v>138</v>
      </c>
      <c r="CT1824" s="24" t="s">
        <v>138</v>
      </c>
      <c r="CU1824" s="23">
        <v>-0.01</v>
      </c>
      <c r="CV1824" s="24">
        <v>20</v>
      </c>
      <c r="CW1824" s="23" t="s">
        <v>138</v>
      </c>
      <c r="CX1824" s="24" t="s">
        <v>138</v>
      </c>
      <c r="CY1824" s="23" t="s">
        <v>138</v>
      </c>
      <c r="CZ1824" s="24" t="s">
        <v>138</v>
      </c>
      <c r="DA1824" s="23">
        <v>-0.01</v>
      </c>
      <c r="DB1824" s="24">
        <v>21</v>
      </c>
      <c r="DC1824" s="25">
        <v>5.79</v>
      </c>
      <c r="DD1824" s="24">
        <v>84</v>
      </c>
      <c r="DE1824" s="25">
        <v>0.04</v>
      </c>
      <c r="DF1824" s="23">
        <v>0.73</v>
      </c>
      <c r="DG1824" s="25" t="s">
        <v>138</v>
      </c>
      <c r="DH1824" s="24" t="s">
        <v>138</v>
      </c>
      <c r="DI1824" s="25">
        <v>11.16</v>
      </c>
      <c r="DJ1824" s="24">
        <v>86</v>
      </c>
      <c r="DK1824" s="25" t="s">
        <v>138</v>
      </c>
      <c r="DL1824" s="24" t="s">
        <v>138</v>
      </c>
      <c r="DM1824" s="25" t="s">
        <v>138</v>
      </c>
      <c r="DN1824" s="24" t="s">
        <v>138</v>
      </c>
      <c r="DO1824" s="25">
        <v>11.16</v>
      </c>
      <c r="DP1824" s="24">
        <v>88</v>
      </c>
      <c r="DQ1824" s="24" t="s">
        <v>138</v>
      </c>
      <c r="DR1824" s="26" t="s">
        <v>138</v>
      </c>
      <c r="DS1824" s="23" t="s">
        <v>138</v>
      </c>
      <c r="DT1824" s="24" t="s">
        <v>138</v>
      </c>
      <c r="DU1824" s="26" t="s">
        <v>138</v>
      </c>
      <c r="DV1824" s="23" t="s">
        <v>138</v>
      </c>
      <c r="DW1824" s="24">
        <v>3994</v>
      </c>
      <c r="DX1824" s="27">
        <v>0</v>
      </c>
      <c r="DY1824" s="23">
        <v>0</v>
      </c>
      <c r="DZ1824" s="15" t="s">
        <v>178</v>
      </c>
      <c r="EA1824" s="22">
        <v>43622</v>
      </c>
      <c r="EB1824" s="17">
        <v>59.2</v>
      </c>
      <c r="EC1824" s="22">
        <v>43228</v>
      </c>
      <c r="ED1824" s="15" t="s">
        <v>205</v>
      </c>
      <c r="EE1824" s="14" t="str">
        <f>HYPERLINK("https://my.pitchbook.com?c=66180-70", "View company online")</f>
        <v>View company online</v>
      </c>
    </row>
    <row r="1825" spans="1:135">
      <c r="A1825" s="28" t="s">
        <v>34662</v>
      </c>
      <c r="B1825" s="28" t="s">
        <v>34663</v>
      </c>
      <c r="C1825" s="28" t="s">
        <v>138</v>
      </c>
      <c r="D1825" s="28" t="s">
        <v>138</v>
      </c>
      <c r="E1825" s="28" t="s">
        <v>138</v>
      </c>
      <c r="F1825" s="28" t="s">
        <v>34662</v>
      </c>
      <c r="G1825" s="28" t="s">
        <v>34664</v>
      </c>
      <c r="H1825" s="28" t="s">
        <v>238</v>
      </c>
      <c r="I1825" s="28" t="s">
        <v>269</v>
      </c>
      <c r="J1825" s="28" t="s">
        <v>296</v>
      </c>
      <c r="K1825" s="28" t="s">
        <v>34665</v>
      </c>
      <c r="L1825" s="28" t="s">
        <v>2427</v>
      </c>
      <c r="M1825" s="28" t="s">
        <v>34666</v>
      </c>
      <c r="N1825" s="28" t="s">
        <v>147</v>
      </c>
      <c r="O1825" s="29">
        <v>43</v>
      </c>
      <c r="P1825" s="28" t="s">
        <v>148</v>
      </c>
      <c r="Q1825" s="28" t="s">
        <v>149</v>
      </c>
      <c r="R1825" s="28" t="s">
        <v>174</v>
      </c>
      <c r="S1825" s="28" t="s">
        <v>34667</v>
      </c>
      <c r="T1825" s="30">
        <v>90</v>
      </c>
      <c r="U1825" s="28" t="s">
        <v>34668</v>
      </c>
      <c r="V1825" s="28" t="s">
        <v>138</v>
      </c>
      <c r="W1825" s="28" t="s">
        <v>138</v>
      </c>
      <c r="X1825" s="31">
        <v>2016</v>
      </c>
      <c r="Y1825" s="28" t="s">
        <v>138</v>
      </c>
      <c r="Z1825" s="28" t="s">
        <v>138</v>
      </c>
      <c r="AA1825" s="28" t="s">
        <v>138</v>
      </c>
      <c r="AB1825" s="32" t="s">
        <v>138</v>
      </c>
      <c r="AC1825" s="32" t="s">
        <v>138</v>
      </c>
      <c r="AD1825" s="32" t="s">
        <v>138</v>
      </c>
      <c r="AE1825" s="32" t="s">
        <v>138</v>
      </c>
      <c r="AF1825" s="32" t="s">
        <v>138</v>
      </c>
      <c r="AG1825" s="28" t="s">
        <v>138</v>
      </c>
      <c r="AH1825" s="32" t="s">
        <v>138</v>
      </c>
      <c r="AI1825" s="32" t="s">
        <v>138</v>
      </c>
      <c r="AJ1825" s="32" t="s">
        <v>138</v>
      </c>
      <c r="AK1825" s="28" t="s">
        <v>34669</v>
      </c>
      <c r="AL1825" s="28" t="s">
        <v>34670</v>
      </c>
      <c r="AM1825" s="28" t="s">
        <v>34671</v>
      </c>
      <c r="AN1825" s="28" t="s">
        <v>34672</v>
      </c>
      <c r="AO1825" s="28" t="s">
        <v>138</v>
      </c>
      <c r="AP1825" s="28" t="s">
        <v>1220</v>
      </c>
      <c r="AQ1825" s="28" t="s">
        <v>34673</v>
      </c>
      <c r="AR1825" s="28" t="s">
        <v>138</v>
      </c>
      <c r="AS1825" s="28" t="s">
        <v>1223</v>
      </c>
      <c r="AT1825" s="28" t="s">
        <v>200</v>
      </c>
      <c r="AU1825" s="28" t="s">
        <v>8405</v>
      </c>
      <c r="AV1825" s="28" t="s">
        <v>162</v>
      </c>
      <c r="AW1825" s="28" t="s">
        <v>138</v>
      </c>
      <c r="AX1825" s="28" t="s">
        <v>138</v>
      </c>
      <c r="AY1825" s="28" t="s">
        <v>34674</v>
      </c>
      <c r="AZ1825" s="28" t="s">
        <v>164</v>
      </c>
      <c r="BA1825" s="28" t="s">
        <v>165</v>
      </c>
      <c r="BB1825" s="28" t="s">
        <v>34675</v>
      </c>
      <c r="BC1825" s="28" t="s">
        <v>34676</v>
      </c>
      <c r="BD1825" s="33">
        <v>4</v>
      </c>
      <c r="BE1825" s="28" t="s">
        <v>138</v>
      </c>
      <c r="BF1825" s="28" t="s">
        <v>138</v>
      </c>
      <c r="BG1825" s="28" t="s">
        <v>138</v>
      </c>
      <c r="BH1825" s="28" t="s">
        <v>34677</v>
      </c>
      <c r="BI1825" s="28" t="s">
        <v>138</v>
      </c>
      <c r="BJ1825" s="28" t="s">
        <v>138</v>
      </c>
      <c r="BK1825" s="28" t="s">
        <v>138</v>
      </c>
      <c r="BL1825" s="28" t="s">
        <v>138</v>
      </c>
      <c r="BM1825" s="34" t="s">
        <v>138</v>
      </c>
      <c r="BN1825" s="29" t="s">
        <v>138</v>
      </c>
      <c r="BO1825" s="28" t="s">
        <v>138</v>
      </c>
      <c r="BP1825" s="29" t="s">
        <v>138</v>
      </c>
      <c r="BQ1825" s="28" t="s">
        <v>138</v>
      </c>
      <c r="BR1825" s="28" t="s">
        <v>234</v>
      </c>
      <c r="BS1825" s="28" t="s">
        <v>234</v>
      </c>
      <c r="BT1825" s="28" t="s">
        <v>138</v>
      </c>
      <c r="BU1825" s="28" t="s">
        <v>263</v>
      </c>
      <c r="BV1825" s="28" t="s">
        <v>138</v>
      </c>
      <c r="BW1825" s="28" t="s">
        <v>138</v>
      </c>
      <c r="BX1825" s="28" t="s">
        <v>138</v>
      </c>
      <c r="BY1825" s="28" t="s">
        <v>175</v>
      </c>
      <c r="BZ1825" s="34" t="s">
        <v>138</v>
      </c>
      <c r="CA1825" s="29">
        <v>100</v>
      </c>
      <c r="CB1825" s="28" t="s">
        <v>1178</v>
      </c>
      <c r="CC1825" s="29" t="s">
        <v>138</v>
      </c>
      <c r="CD1825" s="28" t="s">
        <v>138</v>
      </c>
      <c r="CE1825" s="28" t="s">
        <v>205</v>
      </c>
      <c r="CF1825" s="28" t="s">
        <v>138</v>
      </c>
      <c r="CG1825" s="28" t="s">
        <v>138</v>
      </c>
      <c r="CH1825" s="28" t="s">
        <v>174</v>
      </c>
      <c r="CI1825" s="28" t="s">
        <v>138</v>
      </c>
      <c r="CJ1825" s="28" t="s">
        <v>138</v>
      </c>
      <c r="CK1825" s="28" t="s">
        <v>138</v>
      </c>
      <c r="CL1825" s="28" t="s">
        <v>3093</v>
      </c>
      <c r="CM1825" s="34" t="s">
        <v>138</v>
      </c>
      <c r="CN1825" s="29" t="s">
        <v>138</v>
      </c>
      <c r="CO1825" s="35">
        <v>0.56999999999999995</v>
      </c>
      <c r="CP1825" s="36">
        <v>95</v>
      </c>
      <c r="CQ1825" s="35">
        <v>-0.02</v>
      </c>
      <c r="CR1825" s="35">
        <v>-3.28</v>
      </c>
      <c r="CS1825" s="35">
        <v>1.1499999999999999</v>
      </c>
      <c r="CT1825" s="36">
        <v>97</v>
      </c>
      <c r="CU1825" s="35">
        <v>0</v>
      </c>
      <c r="CV1825" s="36">
        <v>22</v>
      </c>
      <c r="CW1825" s="35">
        <v>1.56</v>
      </c>
      <c r="CX1825" s="36">
        <v>87</v>
      </c>
      <c r="CY1825" s="35">
        <v>0.74</v>
      </c>
      <c r="CZ1825" s="36">
        <v>99</v>
      </c>
      <c r="DA1825" s="35">
        <v>0</v>
      </c>
      <c r="DB1825" s="36">
        <v>22</v>
      </c>
      <c r="DC1825" s="37">
        <v>2.2999999999999998</v>
      </c>
      <c r="DD1825" s="36">
        <v>70</v>
      </c>
      <c r="DE1825" s="37">
        <v>-0.17</v>
      </c>
      <c r="DF1825" s="35">
        <v>-7.01</v>
      </c>
      <c r="DG1825" s="37">
        <v>6.36</v>
      </c>
      <c r="DH1825" s="36">
        <v>85</v>
      </c>
      <c r="DI1825" s="37">
        <v>0.18</v>
      </c>
      <c r="DJ1825" s="36">
        <v>21</v>
      </c>
      <c r="DK1825" s="37">
        <v>8.4700000000000006</v>
      </c>
      <c r="DL1825" s="36">
        <v>85</v>
      </c>
      <c r="DM1825" s="37">
        <v>4.24</v>
      </c>
      <c r="DN1825" s="36">
        <v>79</v>
      </c>
      <c r="DO1825" s="37">
        <v>0.18</v>
      </c>
      <c r="DP1825" s="36">
        <v>23</v>
      </c>
      <c r="DQ1825" s="36">
        <v>2865</v>
      </c>
      <c r="DR1825" s="38">
        <v>117</v>
      </c>
      <c r="DS1825" s="35">
        <v>4.26</v>
      </c>
      <c r="DT1825" s="36">
        <v>123</v>
      </c>
      <c r="DU1825" s="38">
        <v>1</v>
      </c>
      <c r="DV1825" s="35">
        <v>0.82</v>
      </c>
      <c r="DW1825" s="36">
        <v>62</v>
      </c>
      <c r="DX1825" s="39">
        <v>2</v>
      </c>
      <c r="DY1825" s="35">
        <v>3.33</v>
      </c>
      <c r="DZ1825" s="28" t="s">
        <v>178</v>
      </c>
      <c r="EA1825" s="34">
        <v>43483</v>
      </c>
      <c r="EB1825" s="29" t="s">
        <v>138</v>
      </c>
      <c r="EC1825" s="34" t="s">
        <v>138</v>
      </c>
      <c r="ED1825" s="28" t="s">
        <v>138</v>
      </c>
      <c r="EE1825" s="40" t="str">
        <f>HYPERLINK("https://my.pitchbook.com?c=172234-81", "View company online")</f>
        <v>View company online</v>
      </c>
    </row>
    <row r="1826" spans="1:135">
      <c r="A1826" s="15" t="s">
        <v>34678</v>
      </c>
      <c r="B1826" s="15" t="s">
        <v>34679</v>
      </c>
      <c r="C1826" s="15" t="s">
        <v>138</v>
      </c>
      <c r="D1826" s="15" t="s">
        <v>138</v>
      </c>
      <c r="E1826" s="15" t="s">
        <v>138</v>
      </c>
      <c r="F1826" s="15" t="s">
        <v>34678</v>
      </c>
      <c r="G1826" s="15" t="s">
        <v>34680</v>
      </c>
      <c r="H1826" s="15" t="s">
        <v>322</v>
      </c>
      <c r="I1826" s="15" t="s">
        <v>356</v>
      </c>
      <c r="J1826" s="15" t="s">
        <v>3030</v>
      </c>
      <c r="K1826" s="15" t="s">
        <v>34681</v>
      </c>
      <c r="L1826" s="15" t="s">
        <v>10528</v>
      </c>
      <c r="M1826" s="15" t="s">
        <v>34682</v>
      </c>
      <c r="N1826" s="15" t="s">
        <v>147</v>
      </c>
      <c r="O1826" s="17">
        <v>80</v>
      </c>
      <c r="P1826" s="15" t="s">
        <v>148</v>
      </c>
      <c r="Q1826" s="15" t="s">
        <v>149</v>
      </c>
      <c r="R1826" s="15" t="s">
        <v>174</v>
      </c>
      <c r="S1826" s="15" t="s">
        <v>34683</v>
      </c>
      <c r="T1826" s="18">
        <v>100</v>
      </c>
      <c r="U1826" s="15" t="s">
        <v>34684</v>
      </c>
      <c r="V1826" s="15" t="s">
        <v>138</v>
      </c>
      <c r="W1826" s="15" t="s">
        <v>138</v>
      </c>
      <c r="X1826" s="19">
        <v>2008</v>
      </c>
      <c r="Y1826" s="15" t="s">
        <v>138</v>
      </c>
      <c r="Z1826" s="15" t="s">
        <v>138</v>
      </c>
      <c r="AA1826" s="15" t="s">
        <v>138</v>
      </c>
      <c r="AB1826" s="20" t="s">
        <v>138</v>
      </c>
      <c r="AC1826" s="20" t="s">
        <v>138</v>
      </c>
      <c r="AD1826" s="20" t="s">
        <v>138</v>
      </c>
      <c r="AE1826" s="20" t="s">
        <v>138</v>
      </c>
      <c r="AF1826" s="20" t="s">
        <v>138</v>
      </c>
      <c r="AG1826" s="15" t="s">
        <v>138</v>
      </c>
      <c r="AH1826" s="20" t="s">
        <v>138</v>
      </c>
      <c r="AI1826" s="20" t="s">
        <v>138</v>
      </c>
      <c r="AJ1826" s="20" t="s">
        <v>138</v>
      </c>
      <c r="AK1826" s="15" t="s">
        <v>34685</v>
      </c>
      <c r="AL1826" s="15" t="s">
        <v>34686</v>
      </c>
      <c r="AM1826" s="15" t="s">
        <v>249</v>
      </c>
      <c r="AN1826" s="15" t="s">
        <v>34687</v>
      </c>
      <c r="AO1826" s="15" t="s">
        <v>34688</v>
      </c>
      <c r="AP1826" s="15" t="s">
        <v>34689</v>
      </c>
      <c r="AQ1826" s="15" t="s">
        <v>34690</v>
      </c>
      <c r="AR1826" s="15" t="s">
        <v>34691</v>
      </c>
      <c r="AS1826" s="15" t="s">
        <v>34692</v>
      </c>
      <c r="AT1826" s="15" t="s">
        <v>138</v>
      </c>
      <c r="AU1826" s="15" t="s">
        <v>34693</v>
      </c>
      <c r="AV1826" s="15" t="s">
        <v>740</v>
      </c>
      <c r="AW1826" s="15" t="s">
        <v>34688</v>
      </c>
      <c r="AX1826" s="15" t="s">
        <v>34694</v>
      </c>
      <c r="AY1826" s="15" t="s">
        <v>34695</v>
      </c>
      <c r="AZ1826" s="15" t="s">
        <v>742</v>
      </c>
      <c r="BA1826" s="15" t="s">
        <v>742</v>
      </c>
      <c r="BB1826" s="15" t="s">
        <v>34696</v>
      </c>
      <c r="BC1826" s="15" t="s">
        <v>34697</v>
      </c>
      <c r="BD1826" s="21">
        <v>15</v>
      </c>
      <c r="BE1826" s="15" t="s">
        <v>138</v>
      </c>
      <c r="BF1826" s="15" t="s">
        <v>138</v>
      </c>
      <c r="BG1826" s="15" t="s">
        <v>138</v>
      </c>
      <c r="BH1826" s="15" t="s">
        <v>34698</v>
      </c>
      <c r="BI1826" s="15" t="s">
        <v>138</v>
      </c>
      <c r="BJ1826" s="15" t="s">
        <v>138</v>
      </c>
      <c r="BK1826" s="15" t="s">
        <v>138</v>
      </c>
      <c r="BL1826" s="15" t="s">
        <v>138</v>
      </c>
      <c r="BM1826" s="22" t="s">
        <v>138</v>
      </c>
      <c r="BN1826" s="17">
        <v>5.5</v>
      </c>
      <c r="BO1826" s="15" t="s">
        <v>172</v>
      </c>
      <c r="BP1826" s="17" t="s">
        <v>138</v>
      </c>
      <c r="BQ1826" s="15" t="s">
        <v>138</v>
      </c>
      <c r="BR1826" s="15" t="s">
        <v>205</v>
      </c>
      <c r="BS1826" s="15" t="s">
        <v>138</v>
      </c>
      <c r="BT1826" s="15" t="s">
        <v>138</v>
      </c>
      <c r="BU1826" s="15" t="s">
        <v>174</v>
      </c>
      <c r="BV1826" s="15" t="s">
        <v>138</v>
      </c>
      <c r="BW1826" s="15" t="s">
        <v>138</v>
      </c>
      <c r="BX1826" s="15" t="s">
        <v>138</v>
      </c>
      <c r="BY1826" s="15" t="s">
        <v>175</v>
      </c>
      <c r="BZ1826" s="22">
        <v>43284</v>
      </c>
      <c r="CA1826" s="17" t="s">
        <v>138</v>
      </c>
      <c r="CB1826" s="15" t="s">
        <v>138</v>
      </c>
      <c r="CC1826" s="17" t="s">
        <v>138</v>
      </c>
      <c r="CD1826" s="15" t="s">
        <v>138</v>
      </c>
      <c r="CE1826" s="15" t="s">
        <v>173</v>
      </c>
      <c r="CF1826" s="15" t="s">
        <v>138</v>
      </c>
      <c r="CG1826" s="15" t="s">
        <v>138</v>
      </c>
      <c r="CH1826" s="15" t="s">
        <v>174</v>
      </c>
      <c r="CI1826" s="15" t="s">
        <v>138</v>
      </c>
      <c r="CJ1826" s="15" t="s">
        <v>138</v>
      </c>
      <c r="CK1826" s="15" t="s">
        <v>138</v>
      </c>
      <c r="CL1826" s="15" t="s">
        <v>175</v>
      </c>
      <c r="CM1826" s="22" t="s">
        <v>138</v>
      </c>
      <c r="CN1826" s="17" t="s">
        <v>138</v>
      </c>
      <c r="CO1826" s="23">
        <v>7.0000000000000007E-2</v>
      </c>
      <c r="CP1826" s="24">
        <v>89</v>
      </c>
      <c r="CQ1826" s="23">
        <v>0.01</v>
      </c>
      <c r="CR1826" s="23">
        <v>17.850000000000001</v>
      </c>
      <c r="CS1826" s="23">
        <v>-0.34</v>
      </c>
      <c r="CT1826" s="24">
        <v>21</v>
      </c>
      <c r="CU1826" s="23">
        <v>0.49</v>
      </c>
      <c r="CV1826" s="24">
        <v>93</v>
      </c>
      <c r="CW1826" s="23">
        <v>0.47</v>
      </c>
      <c r="CX1826" s="24">
        <v>82</v>
      </c>
      <c r="CY1826" s="23">
        <v>-1.1499999999999999</v>
      </c>
      <c r="CZ1826" s="24">
        <v>18</v>
      </c>
      <c r="DA1826" s="23">
        <v>0.34</v>
      </c>
      <c r="DB1826" s="24">
        <v>90</v>
      </c>
      <c r="DC1826" s="25">
        <v>6.24</v>
      </c>
      <c r="DD1826" s="24">
        <v>85</v>
      </c>
      <c r="DE1826" s="25">
        <v>-0.06</v>
      </c>
      <c r="DF1826" s="23">
        <v>-0.88</v>
      </c>
      <c r="DG1826" s="25">
        <v>11.72</v>
      </c>
      <c r="DH1826" s="24">
        <v>91</v>
      </c>
      <c r="DI1826" s="25">
        <v>0.75</v>
      </c>
      <c r="DJ1826" s="24">
        <v>44</v>
      </c>
      <c r="DK1826" s="25">
        <v>3.09</v>
      </c>
      <c r="DL1826" s="24">
        <v>72</v>
      </c>
      <c r="DM1826" s="25">
        <v>20.34</v>
      </c>
      <c r="DN1826" s="24">
        <v>94</v>
      </c>
      <c r="DO1826" s="25">
        <v>1.1499999999999999</v>
      </c>
      <c r="DP1826" s="24">
        <v>53</v>
      </c>
      <c r="DQ1826" s="24">
        <v>1038</v>
      </c>
      <c r="DR1826" s="26">
        <v>67</v>
      </c>
      <c r="DS1826" s="23">
        <v>6.9</v>
      </c>
      <c r="DT1826" s="24">
        <v>587</v>
      </c>
      <c r="DU1826" s="26">
        <v>5</v>
      </c>
      <c r="DV1826" s="23">
        <v>0.86</v>
      </c>
      <c r="DW1826" s="24">
        <v>410</v>
      </c>
      <c r="DX1826" s="27">
        <v>0</v>
      </c>
      <c r="DY1826" s="23">
        <v>0</v>
      </c>
      <c r="DZ1826" s="15" t="s">
        <v>178</v>
      </c>
      <c r="EA1826" s="22">
        <v>43476</v>
      </c>
      <c r="EB1826" s="17" t="s">
        <v>138</v>
      </c>
      <c r="EC1826" s="22" t="s">
        <v>138</v>
      </c>
      <c r="ED1826" s="15" t="s">
        <v>138</v>
      </c>
      <c r="EE1826" s="14" t="str">
        <f>HYPERLINK("https://my.pitchbook.com?c=55315-09", "View company online")</f>
        <v>View company online</v>
      </c>
    </row>
    <row r="1827" spans="1:135">
      <c r="A1827" s="28" t="s">
        <v>34699</v>
      </c>
      <c r="B1827" s="28" t="s">
        <v>34700</v>
      </c>
      <c r="C1827" s="28" t="s">
        <v>34701</v>
      </c>
      <c r="D1827" s="28" t="s">
        <v>138</v>
      </c>
      <c r="E1827" s="28" t="s">
        <v>34702</v>
      </c>
      <c r="F1827" s="28" t="s">
        <v>34699</v>
      </c>
      <c r="G1827" s="28" t="s">
        <v>34703</v>
      </c>
      <c r="H1827" s="28" t="s">
        <v>322</v>
      </c>
      <c r="I1827" s="28" t="s">
        <v>323</v>
      </c>
      <c r="J1827" s="28" t="s">
        <v>324</v>
      </c>
      <c r="K1827" s="28" t="s">
        <v>1543</v>
      </c>
      <c r="L1827" s="28" t="s">
        <v>3343</v>
      </c>
      <c r="M1827" s="28" t="s">
        <v>34704</v>
      </c>
      <c r="N1827" s="28" t="s">
        <v>147</v>
      </c>
      <c r="O1827" s="29">
        <v>32.06</v>
      </c>
      <c r="P1827" s="28" t="s">
        <v>148</v>
      </c>
      <c r="Q1827" s="28" t="s">
        <v>149</v>
      </c>
      <c r="R1827" s="28" t="s">
        <v>174</v>
      </c>
      <c r="S1827" s="28" t="s">
        <v>34705</v>
      </c>
      <c r="T1827" s="30">
        <v>33</v>
      </c>
      <c r="U1827" s="28" t="s">
        <v>34706</v>
      </c>
      <c r="V1827" s="28" t="s">
        <v>138</v>
      </c>
      <c r="W1827" s="28" t="s">
        <v>138</v>
      </c>
      <c r="X1827" s="31">
        <v>2010</v>
      </c>
      <c r="Y1827" s="28" t="s">
        <v>138</v>
      </c>
      <c r="Z1827" s="28" t="s">
        <v>138</v>
      </c>
      <c r="AA1827" s="28" t="s">
        <v>138</v>
      </c>
      <c r="AB1827" s="32">
        <v>0.02</v>
      </c>
      <c r="AC1827" s="32" t="s">
        <v>138</v>
      </c>
      <c r="AD1827" s="32" t="s">
        <v>138</v>
      </c>
      <c r="AE1827" s="32" t="s">
        <v>138</v>
      </c>
      <c r="AF1827" s="32" t="s">
        <v>138</v>
      </c>
      <c r="AG1827" s="28" t="s">
        <v>2214</v>
      </c>
      <c r="AH1827" s="32" t="s">
        <v>138</v>
      </c>
      <c r="AI1827" s="32" t="s">
        <v>138</v>
      </c>
      <c r="AJ1827" s="32" t="s">
        <v>138</v>
      </c>
      <c r="AK1827" s="28" t="s">
        <v>34707</v>
      </c>
      <c r="AL1827" s="28" t="s">
        <v>34708</v>
      </c>
      <c r="AM1827" s="28" t="s">
        <v>422</v>
      </c>
      <c r="AN1827" s="28" t="s">
        <v>34709</v>
      </c>
      <c r="AO1827" s="28" t="s">
        <v>138</v>
      </c>
      <c r="AP1827" s="28" t="s">
        <v>665</v>
      </c>
      <c r="AQ1827" s="28" t="s">
        <v>34710</v>
      </c>
      <c r="AR1827" s="28" t="s">
        <v>34711</v>
      </c>
      <c r="AS1827" s="28" t="s">
        <v>668</v>
      </c>
      <c r="AT1827" s="28" t="s">
        <v>200</v>
      </c>
      <c r="AU1827" s="28" t="s">
        <v>669</v>
      </c>
      <c r="AV1827" s="28" t="s">
        <v>162</v>
      </c>
      <c r="AW1827" s="28" t="s">
        <v>138</v>
      </c>
      <c r="AX1827" s="28" t="s">
        <v>138</v>
      </c>
      <c r="AY1827" s="28" t="s">
        <v>138</v>
      </c>
      <c r="AZ1827" s="28" t="s">
        <v>164</v>
      </c>
      <c r="BA1827" s="28" t="s">
        <v>165</v>
      </c>
      <c r="BB1827" s="28" t="s">
        <v>34712</v>
      </c>
      <c r="BC1827" s="28" t="s">
        <v>34713</v>
      </c>
      <c r="BD1827" s="33">
        <v>12</v>
      </c>
      <c r="BE1827" s="28" t="s">
        <v>138</v>
      </c>
      <c r="BF1827" s="28" t="s">
        <v>138</v>
      </c>
      <c r="BG1827" s="28" t="s">
        <v>138</v>
      </c>
      <c r="BH1827" s="28" t="s">
        <v>34714</v>
      </c>
      <c r="BI1827" s="28" t="s">
        <v>138</v>
      </c>
      <c r="BJ1827" s="28" t="s">
        <v>138</v>
      </c>
      <c r="BK1827" s="28" t="s">
        <v>204</v>
      </c>
      <c r="BL1827" s="28" t="s">
        <v>204</v>
      </c>
      <c r="BM1827" s="34">
        <v>40592</v>
      </c>
      <c r="BN1827" s="29">
        <v>1</v>
      </c>
      <c r="BO1827" s="28" t="s">
        <v>172</v>
      </c>
      <c r="BP1827" s="29">
        <v>5.94</v>
      </c>
      <c r="BQ1827" s="28" t="s">
        <v>172</v>
      </c>
      <c r="BR1827" s="28" t="s">
        <v>205</v>
      </c>
      <c r="BS1827" s="28" t="s">
        <v>206</v>
      </c>
      <c r="BT1827" s="28" t="s">
        <v>138</v>
      </c>
      <c r="BU1827" s="28" t="s">
        <v>174</v>
      </c>
      <c r="BV1827" s="28" t="s">
        <v>138</v>
      </c>
      <c r="BW1827" s="28" t="s">
        <v>138</v>
      </c>
      <c r="BX1827" s="28" t="s">
        <v>138</v>
      </c>
      <c r="BY1827" s="28" t="s">
        <v>175</v>
      </c>
      <c r="BZ1827" s="34" t="s">
        <v>138</v>
      </c>
      <c r="CA1827" s="29" t="s">
        <v>138</v>
      </c>
      <c r="CB1827" s="28" t="s">
        <v>138</v>
      </c>
      <c r="CC1827" s="29" t="s">
        <v>138</v>
      </c>
      <c r="CD1827" s="28" t="s">
        <v>138</v>
      </c>
      <c r="CE1827" s="28" t="s">
        <v>316</v>
      </c>
      <c r="CF1827" s="28" t="s">
        <v>138</v>
      </c>
      <c r="CG1827" s="28" t="s">
        <v>138</v>
      </c>
      <c r="CH1827" s="28" t="s">
        <v>177</v>
      </c>
      <c r="CI1827" s="28" t="s">
        <v>138</v>
      </c>
      <c r="CJ1827" s="28" t="s">
        <v>138</v>
      </c>
      <c r="CK1827" s="28" t="s">
        <v>138</v>
      </c>
      <c r="CL1827" s="28" t="s">
        <v>175</v>
      </c>
      <c r="CM1827" s="34" t="s">
        <v>138</v>
      </c>
      <c r="CN1827" s="29" t="s">
        <v>138</v>
      </c>
      <c r="CO1827" s="35">
        <v>0.25</v>
      </c>
      <c r="CP1827" s="36">
        <v>93</v>
      </c>
      <c r="CQ1827" s="35">
        <v>-0.03</v>
      </c>
      <c r="CR1827" s="35">
        <v>-11.98</v>
      </c>
      <c r="CS1827" s="35">
        <v>0.45</v>
      </c>
      <c r="CT1827" s="36">
        <v>95</v>
      </c>
      <c r="CU1827" s="35">
        <v>0.05</v>
      </c>
      <c r="CV1827" s="36">
        <v>58</v>
      </c>
      <c r="CW1827" s="35">
        <v>0.69</v>
      </c>
      <c r="CX1827" s="36">
        <v>83</v>
      </c>
      <c r="CY1827" s="35">
        <v>0.2</v>
      </c>
      <c r="CZ1827" s="36">
        <v>98</v>
      </c>
      <c r="DA1827" s="35">
        <v>0.05</v>
      </c>
      <c r="DB1827" s="36">
        <v>64</v>
      </c>
      <c r="DC1827" s="37">
        <v>23.14</v>
      </c>
      <c r="DD1827" s="36">
        <v>95</v>
      </c>
      <c r="DE1827" s="37">
        <v>-1.21</v>
      </c>
      <c r="DF1827" s="35">
        <v>-4.96</v>
      </c>
      <c r="DG1827" s="37">
        <v>34.590000000000003</v>
      </c>
      <c r="DH1827" s="36">
        <v>97</v>
      </c>
      <c r="DI1827" s="37">
        <v>11.7</v>
      </c>
      <c r="DJ1827" s="36">
        <v>87</v>
      </c>
      <c r="DK1827" s="37">
        <v>42.08</v>
      </c>
      <c r="DL1827" s="36">
        <v>95</v>
      </c>
      <c r="DM1827" s="37">
        <v>27.1</v>
      </c>
      <c r="DN1827" s="36">
        <v>96</v>
      </c>
      <c r="DO1827" s="37">
        <v>11.7</v>
      </c>
      <c r="DP1827" s="36">
        <v>89</v>
      </c>
      <c r="DQ1827" s="36">
        <v>14187</v>
      </c>
      <c r="DR1827" s="38">
        <v>735</v>
      </c>
      <c r="DS1827" s="35">
        <v>5.46</v>
      </c>
      <c r="DT1827" s="36">
        <v>781</v>
      </c>
      <c r="DU1827" s="38">
        <v>11</v>
      </c>
      <c r="DV1827" s="35">
        <v>1.43</v>
      </c>
      <c r="DW1827" s="36">
        <v>4185</v>
      </c>
      <c r="DX1827" s="39">
        <v>7</v>
      </c>
      <c r="DY1827" s="35">
        <v>0.17</v>
      </c>
      <c r="DZ1827" s="28" t="s">
        <v>178</v>
      </c>
      <c r="EA1827" s="34">
        <v>43452</v>
      </c>
      <c r="EB1827" s="29">
        <v>87</v>
      </c>
      <c r="EC1827" s="34">
        <v>42892</v>
      </c>
      <c r="ED1827" s="28" t="s">
        <v>173</v>
      </c>
      <c r="EE1827" s="40" t="str">
        <f>HYPERLINK("https://my.pitchbook.com?c=55393-75", "View company online")</f>
        <v>View company online</v>
      </c>
    </row>
    <row r="1828" spans="1:135">
      <c r="A1828" s="15" t="s">
        <v>34715</v>
      </c>
      <c r="B1828" s="15" t="s">
        <v>34716</v>
      </c>
      <c r="C1828" s="15" t="s">
        <v>138</v>
      </c>
      <c r="D1828" s="15" t="s">
        <v>138</v>
      </c>
      <c r="E1828" s="15" t="s">
        <v>34717</v>
      </c>
      <c r="F1828" s="15" t="s">
        <v>34715</v>
      </c>
      <c r="G1828" s="15" t="s">
        <v>34718</v>
      </c>
      <c r="H1828" s="15" t="s">
        <v>322</v>
      </c>
      <c r="I1828" s="15" t="s">
        <v>323</v>
      </c>
      <c r="J1828" s="15" t="s">
        <v>413</v>
      </c>
      <c r="K1828" s="15" t="s">
        <v>15596</v>
      </c>
      <c r="L1828" s="15" t="s">
        <v>26224</v>
      </c>
      <c r="M1828" s="15" t="s">
        <v>34719</v>
      </c>
      <c r="N1828" s="15" t="s">
        <v>147</v>
      </c>
      <c r="O1828" s="17">
        <v>39.25</v>
      </c>
      <c r="P1828" s="15" t="s">
        <v>148</v>
      </c>
      <c r="Q1828" s="15" t="s">
        <v>149</v>
      </c>
      <c r="R1828" s="15" t="s">
        <v>174</v>
      </c>
      <c r="S1828" s="15" t="s">
        <v>34720</v>
      </c>
      <c r="T1828" s="18">
        <v>22</v>
      </c>
      <c r="U1828" s="15" t="s">
        <v>34721</v>
      </c>
      <c r="V1828" s="15" t="s">
        <v>138</v>
      </c>
      <c r="W1828" s="15" t="s">
        <v>138</v>
      </c>
      <c r="X1828" s="19">
        <v>2013</v>
      </c>
      <c r="Y1828" s="15" t="s">
        <v>138</v>
      </c>
      <c r="Z1828" s="15" t="s">
        <v>138</v>
      </c>
      <c r="AA1828" s="15" t="s">
        <v>138</v>
      </c>
      <c r="AB1828" s="20">
        <v>4.08</v>
      </c>
      <c r="AC1828" s="20" t="s">
        <v>138</v>
      </c>
      <c r="AD1828" s="20" t="s">
        <v>138</v>
      </c>
      <c r="AE1828" s="20" t="s">
        <v>138</v>
      </c>
      <c r="AF1828" s="20" t="s">
        <v>138</v>
      </c>
      <c r="AG1828" s="15" t="s">
        <v>707</v>
      </c>
      <c r="AH1828" s="20" t="s">
        <v>138</v>
      </c>
      <c r="AI1828" s="20" t="s">
        <v>138</v>
      </c>
      <c r="AJ1828" s="20" t="s">
        <v>138</v>
      </c>
      <c r="AK1828" s="15" t="s">
        <v>34722</v>
      </c>
      <c r="AL1828" s="15" t="s">
        <v>34723</v>
      </c>
      <c r="AM1828" s="15" t="s">
        <v>221</v>
      </c>
      <c r="AN1828" s="15" t="s">
        <v>34724</v>
      </c>
      <c r="AO1828" s="15" t="s">
        <v>34725</v>
      </c>
      <c r="AP1828" s="15" t="s">
        <v>1168</v>
      </c>
      <c r="AQ1828" s="15" t="s">
        <v>34726</v>
      </c>
      <c r="AR1828" s="15" t="s">
        <v>138</v>
      </c>
      <c r="AS1828" s="15" t="s">
        <v>1171</v>
      </c>
      <c r="AT1828" s="15" t="s">
        <v>200</v>
      </c>
      <c r="AU1828" s="15" t="s">
        <v>4152</v>
      </c>
      <c r="AV1828" s="15" t="s">
        <v>162</v>
      </c>
      <c r="AW1828" s="15" t="s">
        <v>34725</v>
      </c>
      <c r="AX1828" s="15" t="s">
        <v>138</v>
      </c>
      <c r="AY1828" s="15" t="s">
        <v>138</v>
      </c>
      <c r="AZ1828" s="15" t="s">
        <v>164</v>
      </c>
      <c r="BA1828" s="15" t="s">
        <v>165</v>
      </c>
      <c r="BB1828" s="15" t="s">
        <v>34727</v>
      </c>
      <c r="BC1828" s="15" t="s">
        <v>34728</v>
      </c>
      <c r="BD1828" s="21">
        <v>11</v>
      </c>
      <c r="BE1828" s="15" t="s">
        <v>138</v>
      </c>
      <c r="BF1828" s="15" t="s">
        <v>138</v>
      </c>
      <c r="BG1828" s="15" t="s">
        <v>138</v>
      </c>
      <c r="BH1828" s="15" t="s">
        <v>34729</v>
      </c>
      <c r="BI1828" s="15" t="s">
        <v>138</v>
      </c>
      <c r="BJ1828" s="15" t="s">
        <v>138</v>
      </c>
      <c r="BK1828" s="15" t="s">
        <v>3482</v>
      </c>
      <c r="BL1828" s="15" t="s">
        <v>2767</v>
      </c>
      <c r="BM1828" s="22" t="s">
        <v>138</v>
      </c>
      <c r="BN1828" s="17">
        <v>0.75</v>
      </c>
      <c r="BO1828" s="15" t="s">
        <v>172</v>
      </c>
      <c r="BP1828" s="17">
        <v>8.33</v>
      </c>
      <c r="BQ1828" s="15" t="s">
        <v>172</v>
      </c>
      <c r="BR1828" s="15" t="s">
        <v>234</v>
      </c>
      <c r="BS1828" s="15" t="s">
        <v>234</v>
      </c>
      <c r="BT1828" s="15" t="s">
        <v>138</v>
      </c>
      <c r="BU1828" s="15" t="s">
        <v>174</v>
      </c>
      <c r="BV1828" s="15" t="s">
        <v>138</v>
      </c>
      <c r="BW1828" s="15" t="s">
        <v>138</v>
      </c>
      <c r="BX1828" s="15" t="s">
        <v>138</v>
      </c>
      <c r="BY1828" s="15" t="s">
        <v>175</v>
      </c>
      <c r="BZ1828" s="22">
        <v>43027</v>
      </c>
      <c r="CA1828" s="17">
        <v>34</v>
      </c>
      <c r="CB1828" s="15" t="s">
        <v>172</v>
      </c>
      <c r="CC1828" s="17">
        <v>113</v>
      </c>
      <c r="CD1828" s="15" t="s">
        <v>172</v>
      </c>
      <c r="CE1828" s="15" t="s">
        <v>205</v>
      </c>
      <c r="CF1828" s="15" t="s">
        <v>720</v>
      </c>
      <c r="CG1828" s="15" t="s">
        <v>138</v>
      </c>
      <c r="CH1828" s="15" t="s">
        <v>174</v>
      </c>
      <c r="CI1828" s="15" t="s">
        <v>138</v>
      </c>
      <c r="CJ1828" s="15" t="s">
        <v>138</v>
      </c>
      <c r="CK1828" s="15" t="s">
        <v>138</v>
      </c>
      <c r="CL1828" s="15" t="s">
        <v>175</v>
      </c>
      <c r="CM1828" s="22" t="s">
        <v>138</v>
      </c>
      <c r="CN1828" s="17" t="s">
        <v>138</v>
      </c>
      <c r="CO1828" s="23">
        <v>0.18</v>
      </c>
      <c r="CP1828" s="24">
        <v>92</v>
      </c>
      <c r="CQ1828" s="23">
        <v>0</v>
      </c>
      <c r="CR1828" s="23">
        <v>-1.0900000000000001</v>
      </c>
      <c r="CS1828" s="23">
        <v>0.63</v>
      </c>
      <c r="CT1828" s="24">
        <v>96</v>
      </c>
      <c r="CU1828" s="23">
        <v>0.02</v>
      </c>
      <c r="CV1828" s="24">
        <v>51</v>
      </c>
      <c r="CW1828" s="23">
        <v>0.63</v>
      </c>
      <c r="CX1828" s="24">
        <v>83</v>
      </c>
      <c r="CY1828" s="23" t="s">
        <v>138</v>
      </c>
      <c r="CZ1828" s="24" t="s">
        <v>138</v>
      </c>
      <c r="DA1828" s="23">
        <v>-0.01</v>
      </c>
      <c r="DB1828" s="24">
        <v>21</v>
      </c>
      <c r="DC1828" s="25">
        <v>12.15</v>
      </c>
      <c r="DD1828" s="24">
        <v>92</v>
      </c>
      <c r="DE1828" s="25">
        <v>-0.21</v>
      </c>
      <c r="DF1828" s="23">
        <v>-1.68</v>
      </c>
      <c r="DG1828" s="25">
        <v>5.97</v>
      </c>
      <c r="DH1828" s="24">
        <v>84</v>
      </c>
      <c r="DI1828" s="25">
        <v>27.09</v>
      </c>
      <c r="DJ1828" s="24">
        <v>92</v>
      </c>
      <c r="DK1828" s="25">
        <v>5.97</v>
      </c>
      <c r="DL1828" s="24">
        <v>81</v>
      </c>
      <c r="DM1828" s="25" t="s">
        <v>138</v>
      </c>
      <c r="DN1828" s="24" t="s">
        <v>138</v>
      </c>
      <c r="DO1828" s="25">
        <v>5.91</v>
      </c>
      <c r="DP1828" s="24">
        <v>81</v>
      </c>
      <c r="DQ1828" s="24">
        <v>2074</v>
      </c>
      <c r="DR1828" s="26">
        <v>-83</v>
      </c>
      <c r="DS1828" s="23">
        <v>-3.85</v>
      </c>
      <c r="DT1828" s="24" t="s">
        <v>138</v>
      </c>
      <c r="DU1828" s="26" t="s">
        <v>138</v>
      </c>
      <c r="DV1828" s="23" t="s">
        <v>138</v>
      </c>
      <c r="DW1828" s="24">
        <v>2117</v>
      </c>
      <c r="DX1828" s="27">
        <v>0</v>
      </c>
      <c r="DY1828" s="23">
        <v>0</v>
      </c>
      <c r="DZ1828" s="15" t="s">
        <v>178</v>
      </c>
      <c r="EA1828" s="22">
        <v>43622</v>
      </c>
      <c r="EB1828" s="17">
        <v>113</v>
      </c>
      <c r="EC1828" s="22">
        <v>43027</v>
      </c>
      <c r="ED1828" s="15" t="s">
        <v>205</v>
      </c>
      <c r="EE1828" s="14" t="str">
        <f>HYPERLINK("https://my.pitchbook.com?c=82498-69", "View company online")</f>
        <v>View company online</v>
      </c>
    </row>
    <row r="1829" spans="1:135">
      <c r="A1829" s="28" t="s">
        <v>34730</v>
      </c>
      <c r="B1829" s="28" t="s">
        <v>34731</v>
      </c>
      <c r="C1829" s="28" t="s">
        <v>34732</v>
      </c>
      <c r="D1829" s="28" t="s">
        <v>138</v>
      </c>
      <c r="E1829" s="28" t="s">
        <v>34733</v>
      </c>
      <c r="F1829" s="28" t="s">
        <v>34730</v>
      </c>
      <c r="G1829" s="28" t="s">
        <v>34734</v>
      </c>
      <c r="H1829" s="28" t="s">
        <v>322</v>
      </c>
      <c r="I1829" s="28" t="s">
        <v>323</v>
      </c>
      <c r="J1829" s="28" t="s">
        <v>1184</v>
      </c>
      <c r="K1829" s="28" t="s">
        <v>9365</v>
      </c>
      <c r="L1829" s="28" t="s">
        <v>2641</v>
      </c>
      <c r="M1829" s="28" t="s">
        <v>34735</v>
      </c>
      <c r="N1829" s="28" t="s">
        <v>147</v>
      </c>
      <c r="O1829" s="29">
        <v>19</v>
      </c>
      <c r="P1829" s="28" t="s">
        <v>148</v>
      </c>
      <c r="Q1829" s="28" t="s">
        <v>149</v>
      </c>
      <c r="R1829" s="28" t="s">
        <v>174</v>
      </c>
      <c r="S1829" s="28" t="s">
        <v>34736</v>
      </c>
      <c r="T1829" s="30">
        <v>20</v>
      </c>
      <c r="U1829" s="28" t="s">
        <v>20557</v>
      </c>
      <c r="V1829" s="28" t="s">
        <v>138</v>
      </c>
      <c r="W1829" s="28" t="s">
        <v>138</v>
      </c>
      <c r="X1829" s="31">
        <v>2017</v>
      </c>
      <c r="Y1829" s="28" t="s">
        <v>138</v>
      </c>
      <c r="Z1829" s="28" t="s">
        <v>138</v>
      </c>
      <c r="AA1829" s="28" t="s">
        <v>138</v>
      </c>
      <c r="AB1829" s="32" t="s">
        <v>138</v>
      </c>
      <c r="AC1829" s="32" t="s">
        <v>138</v>
      </c>
      <c r="AD1829" s="32" t="s">
        <v>138</v>
      </c>
      <c r="AE1829" s="32" t="s">
        <v>138</v>
      </c>
      <c r="AF1829" s="32" t="s">
        <v>138</v>
      </c>
      <c r="AG1829" s="28" t="s">
        <v>138</v>
      </c>
      <c r="AH1829" s="32" t="s">
        <v>138</v>
      </c>
      <c r="AI1829" s="32" t="s">
        <v>138</v>
      </c>
      <c r="AJ1829" s="32" t="s">
        <v>138</v>
      </c>
      <c r="AK1829" s="28" t="s">
        <v>34737</v>
      </c>
      <c r="AL1829" s="28" t="s">
        <v>34738</v>
      </c>
      <c r="AM1829" s="28" t="s">
        <v>986</v>
      </c>
      <c r="AN1829" s="28" t="s">
        <v>34739</v>
      </c>
      <c r="AO1829" s="28" t="s">
        <v>34740</v>
      </c>
      <c r="AP1829" s="28" t="s">
        <v>665</v>
      </c>
      <c r="AQ1829" s="28" t="s">
        <v>26434</v>
      </c>
      <c r="AR1829" s="28" t="s">
        <v>1767</v>
      </c>
      <c r="AS1829" s="28" t="s">
        <v>668</v>
      </c>
      <c r="AT1829" s="28" t="s">
        <v>200</v>
      </c>
      <c r="AU1829" s="28" t="s">
        <v>691</v>
      </c>
      <c r="AV1829" s="28" t="s">
        <v>162</v>
      </c>
      <c r="AW1829" s="28" t="s">
        <v>138</v>
      </c>
      <c r="AX1829" s="28" t="s">
        <v>138</v>
      </c>
      <c r="AY1829" s="28" t="s">
        <v>34741</v>
      </c>
      <c r="AZ1829" s="28" t="s">
        <v>164</v>
      </c>
      <c r="BA1829" s="28" t="s">
        <v>165</v>
      </c>
      <c r="BB1829" s="28" t="s">
        <v>34742</v>
      </c>
      <c r="BC1829" s="28" t="s">
        <v>34743</v>
      </c>
      <c r="BD1829" s="33">
        <v>5</v>
      </c>
      <c r="BE1829" s="28" t="s">
        <v>138</v>
      </c>
      <c r="BF1829" s="28" t="s">
        <v>138</v>
      </c>
      <c r="BG1829" s="28" t="s">
        <v>138</v>
      </c>
      <c r="BH1829" s="28" t="s">
        <v>34744</v>
      </c>
      <c r="BI1829" s="28" t="s">
        <v>138</v>
      </c>
      <c r="BJ1829" s="28" t="s">
        <v>138</v>
      </c>
      <c r="BK1829" s="28" t="s">
        <v>1038</v>
      </c>
      <c r="BL1829" s="28" t="s">
        <v>34745</v>
      </c>
      <c r="BM1829" s="34">
        <v>42823</v>
      </c>
      <c r="BN1829" s="29">
        <v>3</v>
      </c>
      <c r="BO1829" s="28" t="s">
        <v>172</v>
      </c>
      <c r="BP1829" s="29">
        <v>5.5</v>
      </c>
      <c r="BQ1829" s="28" t="s">
        <v>1178</v>
      </c>
      <c r="BR1829" s="28" t="s">
        <v>234</v>
      </c>
      <c r="BS1829" s="28" t="s">
        <v>234</v>
      </c>
      <c r="BT1829" s="28" t="s">
        <v>138</v>
      </c>
      <c r="BU1829" s="28" t="s">
        <v>174</v>
      </c>
      <c r="BV1829" s="28" t="s">
        <v>138</v>
      </c>
      <c r="BW1829" s="28" t="s">
        <v>138</v>
      </c>
      <c r="BX1829" s="28" t="s">
        <v>138</v>
      </c>
      <c r="BY1829" s="28" t="s">
        <v>175</v>
      </c>
      <c r="BZ1829" s="34">
        <v>43537</v>
      </c>
      <c r="CA1829" s="29">
        <v>14.5</v>
      </c>
      <c r="CB1829" s="28" t="s">
        <v>172</v>
      </c>
      <c r="CC1829" s="29">
        <v>40</v>
      </c>
      <c r="CD1829" s="28" t="s">
        <v>172</v>
      </c>
      <c r="CE1829" s="28" t="s">
        <v>205</v>
      </c>
      <c r="CF1829" s="28" t="s">
        <v>206</v>
      </c>
      <c r="CG1829" s="28" t="s">
        <v>138</v>
      </c>
      <c r="CH1829" s="28" t="s">
        <v>174</v>
      </c>
      <c r="CI1829" s="28" t="s">
        <v>138</v>
      </c>
      <c r="CJ1829" s="28" t="s">
        <v>138</v>
      </c>
      <c r="CK1829" s="28" t="s">
        <v>138</v>
      </c>
      <c r="CL1829" s="28" t="s">
        <v>175</v>
      </c>
      <c r="CM1829" s="34" t="s">
        <v>138</v>
      </c>
      <c r="CN1829" s="29" t="s">
        <v>138</v>
      </c>
      <c r="CO1829" s="35" t="s">
        <v>138</v>
      </c>
      <c r="CP1829" s="36" t="s">
        <v>138</v>
      </c>
      <c r="CQ1829" s="35" t="s">
        <v>138</v>
      </c>
      <c r="CR1829" s="35" t="s">
        <v>138</v>
      </c>
      <c r="CS1829" s="35" t="s">
        <v>138</v>
      </c>
      <c r="CT1829" s="36" t="s">
        <v>138</v>
      </c>
      <c r="CU1829" s="35" t="s">
        <v>138</v>
      </c>
      <c r="CV1829" s="36" t="s">
        <v>138</v>
      </c>
      <c r="CW1829" s="35" t="s">
        <v>138</v>
      </c>
      <c r="CX1829" s="36" t="s">
        <v>138</v>
      </c>
      <c r="CY1829" s="35" t="s">
        <v>138</v>
      </c>
      <c r="CZ1829" s="36" t="s">
        <v>138</v>
      </c>
      <c r="DA1829" s="35" t="s">
        <v>138</v>
      </c>
      <c r="DB1829" s="36" t="s">
        <v>138</v>
      </c>
      <c r="DC1829" s="37" t="s">
        <v>138</v>
      </c>
      <c r="DD1829" s="36" t="s">
        <v>138</v>
      </c>
      <c r="DE1829" s="37" t="s">
        <v>138</v>
      </c>
      <c r="DF1829" s="35" t="s">
        <v>138</v>
      </c>
      <c r="DG1829" s="37" t="s">
        <v>138</v>
      </c>
      <c r="DH1829" s="36" t="s">
        <v>138</v>
      </c>
      <c r="DI1829" s="37" t="s">
        <v>138</v>
      </c>
      <c r="DJ1829" s="36" t="s">
        <v>138</v>
      </c>
      <c r="DK1829" s="37" t="s">
        <v>138</v>
      </c>
      <c r="DL1829" s="36" t="s">
        <v>138</v>
      </c>
      <c r="DM1829" s="37" t="s">
        <v>138</v>
      </c>
      <c r="DN1829" s="36" t="s">
        <v>138</v>
      </c>
      <c r="DO1829" s="37" t="s">
        <v>138</v>
      </c>
      <c r="DP1829" s="36" t="s">
        <v>138</v>
      </c>
      <c r="DQ1829" s="36" t="s">
        <v>138</v>
      </c>
      <c r="DR1829" s="38" t="s">
        <v>138</v>
      </c>
      <c r="DS1829" s="35" t="s">
        <v>138</v>
      </c>
      <c r="DT1829" s="36" t="s">
        <v>138</v>
      </c>
      <c r="DU1829" s="38" t="s">
        <v>138</v>
      </c>
      <c r="DV1829" s="35" t="s">
        <v>138</v>
      </c>
      <c r="DW1829" s="36" t="s">
        <v>138</v>
      </c>
      <c r="DX1829" s="39" t="s">
        <v>138</v>
      </c>
      <c r="DY1829" s="35" t="s">
        <v>138</v>
      </c>
      <c r="DZ1829" s="28" t="s">
        <v>178</v>
      </c>
      <c r="EA1829" s="34">
        <v>43560</v>
      </c>
      <c r="EB1829" s="29">
        <v>40</v>
      </c>
      <c r="EC1829" s="34">
        <v>43537</v>
      </c>
      <c r="ED1829" s="28" t="s">
        <v>205</v>
      </c>
      <c r="EE1829" s="40" t="str">
        <f>HYPERLINK("https://my.pitchbook.com?c=228074-59", "View company online")</f>
        <v>View company online</v>
      </c>
    </row>
    <row r="1830" spans="1:135">
      <c r="A1830" s="15" t="s">
        <v>34746</v>
      </c>
      <c r="B1830" s="15" t="s">
        <v>34747</v>
      </c>
      <c r="C1830" s="15" t="s">
        <v>34748</v>
      </c>
      <c r="D1830" s="15" t="s">
        <v>138</v>
      </c>
      <c r="E1830" s="15" t="s">
        <v>34749</v>
      </c>
      <c r="F1830" s="15" t="s">
        <v>34746</v>
      </c>
      <c r="G1830" s="15" t="s">
        <v>34750</v>
      </c>
      <c r="H1830" s="15" t="s">
        <v>322</v>
      </c>
      <c r="I1830" s="15" t="s">
        <v>323</v>
      </c>
      <c r="J1830" s="15" t="s">
        <v>1184</v>
      </c>
      <c r="K1830" s="15" t="s">
        <v>6678</v>
      </c>
      <c r="L1830" s="15" t="s">
        <v>2835</v>
      </c>
      <c r="M1830" s="15" t="s">
        <v>34751</v>
      </c>
      <c r="N1830" s="15" t="s">
        <v>147</v>
      </c>
      <c r="O1830" s="17">
        <v>550</v>
      </c>
      <c r="P1830" s="15" t="s">
        <v>148</v>
      </c>
      <c r="Q1830" s="15" t="s">
        <v>149</v>
      </c>
      <c r="R1830" s="15" t="s">
        <v>174</v>
      </c>
      <c r="S1830" s="15" t="s">
        <v>34752</v>
      </c>
      <c r="T1830" s="18">
        <v>1500</v>
      </c>
      <c r="U1830" s="15" t="s">
        <v>34753</v>
      </c>
      <c r="V1830" s="15" t="s">
        <v>138</v>
      </c>
      <c r="W1830" s="15" t="s">
        <v>138</v>
      </c>
      <c r="X1830" s="19">
        <v>2003</v>
      </c>
      <c r="Y1830" s="15" t="s">
        <v>138</v>
      </c>
      <c r="Z1830" s="15" t="s">
        <v>138</v>
      </c>
      <c r="AA1830" s="15" t="s">
        <v>3103</v>
      </c>
      <c r="AB1830" s="20" t="s">
        <v>138</v>
      </c>
      <c r="AC1830" s="20" t="s">
        <v>138</v>
      </c>
      <c r="AD1830" s="20" t="s">
        <v>138</v>
      </c>
      <c r="AE1830" s="20" t="s">
        <v>138</v>
      </c>
      <c r="AF1830" s="20" t="s">
        <v>138</v>
      </c>
      <c r="AG1830" s="15" t="s">
        <v>138</v>
      </c>
      <c r="AH1830" s="20" t="s">
        <v>138</v>
      </c>
      <c r="AI1830" s="20" t="s">
        <v>138</v>
      </c>
      <c r="AJ1830" s="20" t="s">
        <v>138</v>
      </c>
      <c r="AK1830" s="15" t="s">
        <v>34754</v>
      </c>
      <c r="AL1830" s="15" t="s">
        <v>34755</v>
      </c>
      <c r="AM1830" s="15" t="s">
        <v>221</v>
      </c>
      <c r="AN1830" s="15" t="s">
        <v>34756</v>
      </c>
      <c r="AO1830" s="15" t="s">
        <v>34757</v>
      </c>
      <c r="AP1830" s="15" t="s">
        <v>1220</v>
      </c>
      <c r="AQ1830" s="15" t="s">
        <v>34758</v>
      </c>
      <c r="AR1830" s="15" t="s">
        <v>12983</v>
      </c>
      <c r="AS1830" s="15" t="s">
        <v>1223</v>
      </c>
      <c r="AT1830" s="15" t="s">
        <v>200</v>
      </c>
      <c r="AU1830" s="15" t="s">
        <v>33991</v>
      </c>
      <c r="AV1830" s="15" t="s">
        <v>162</v>
      </c>
      <c r="AW1830" s="15" t="s">
        <v>34757</v>
      </c>
      <c r="AX1830" s="15" t="s">
        <v>138</v>
      </c>
      <c r="AY1830" s="15" t="s">
        <v>34759</v>
      </c>
      <c r="AZ1830" s="15" t="s">
        <v>164</v>
      </c>
      <c r="BA1830" s="15" t="s">
        <v>165</v>
      </c>
      <c r="BB1830" s="15" t="s">
        <v>34760</v>
      </c>
      <c r="BC1830" s="15" t="s">
        <v>34761</v>
      </c>
      <c r="BD1830" s="21">
        <v>6</v>
      </c>
      <c r="BE1830" s="15" t="s">
        <v>138</v>
      </c>
      <c r="BF1830" s="15" t="s">
        <v>138</v>
      </c>
      <c r="BG1830" s="15" t="s">
        <v>138</v>
      </c>
      <c r="BH1830" s="15" t="s">
        <v>34762</v>
      </c>
      <c r="BI1830" s="15" t="s">
        <v>138</v>
      </c>
      <c r="BJ1830" s="15" t="s">
        <v>138</v>
      </c>
      <c r="BK1830" s="15" t="s">
        <v>34763</v>
      </c>
      <c r="BL1830" s="15" t="s">
        <v>290</v>
      </c>
      <c r="BM1830" s="22">
        <v>43419</v>
      </c>
      <c r="BN1830" s="17">
        <v>250</v>
      </c>
      <c r="BO1830" s="15" t="s">
        <v>172</v>
      </c>
      <c r="BP1830" s="17">
        <v>1800</v>
      </c>
      <c r="BQ1830" s="15" t="s">
        <v>172</v>
      </c>
      <c r="BR1830" s="15" t="s">
        <v>173</v>
      </c>
      <c r="BS1830" s="15" t="s">
        <v>206</v>
      </c>
      <c r="BT1830" s="15" t="s">
        <v>138</v>
      </c>
      <c r="BU1830" s="15" t="s">
        <v>174</v>
      </c>
      <c r="BV1830" s="15" t="s">
        <v>138</v>
      </c>
      <c r="BW1830" s="15" t="s">
        <v>138</v>
      </c>
      <c r="BX1830" s="15" t="s">
        <v>138</v>
      </c>
      <c r="BY1830" s="15" t="s">
        <v>175</v>
      </c>
      <c r="BZ1830" s="22">
        <v>43503</v>
      </c>
      <c r="CA1830" s="17" t="s">
        <v>138</v>
      </c>
      <c r="CB1830" s="15" t="s">
        <v>138</v>
      </c>
      <c r="CC1830" s="17" t="s">
        <v>138</v>
      </c>
      <c r="CD1830" s="15" t="s">
        <v>138</v>
      </c>
      <c r="CE1830" s="15" t="s">
        <v>173</v>
      </c>
      <c r="CF1830" s="15" t="s">
        <v>138</v>
      </c>
      <c r="CG1830" s="15" t="s">
        <v>138</v>
      </c>
      <c r="CH1830" s="15" t="s">
        <v>174</v>
      </c>
      <c r="CI1830" s="15" t="s">
        <v>138</v>
      </c>
      <c r="CJ1830" s="15" t="s">
        <v>138</v>
      </c>
      <c r="CK1830" s="15" t="s">
        <v>138</v>
      </c>
      <c r="CL1830" s="15" t="s">
        <v>175</v>
      </c>
      <c r="CM1830" s="22" t="s">
        <v>138</v>
      </c>
      <c r="CN1830" s="17" t="s">
        <v>138</v>
      </c>
      <c r="CO1830" s="23">
        <v>0.95</v>
      </c>
      <c r="CP1830" s="24">
        <v>97</v>
      </c>
      <c r="CQ1830" s="23">
        <v>0</v>
      </c>
      <c r="CR1830" s="23">
        <v>0.34</v>
      </c>
      <c r="CS1830" s="23">
        <v>1.1000000000000001</v>
      </c>
      <c r="CT1830" s="24">
        <v>97</v>
      </c>
      <c r="CU1830" s="23">
        <v>0.79</v>
      </c>
      <c r="CV1830" s="24">
        <v>97</v>
      </c>
      <c r="CW1830" s="23">
        <v>3.08</v>
      </c>
      <c r="CX1830" s="24">
        <v>91</v>
      </c>
      <c r="CY1830" s="23">
        <v>-0.88</v>
      </c>
      <c r="CZ1830" s="24">
        <v>20</v>
      </c>
      <c r="DA1830" s="23">
        <v>0.79</v>
      </c>
      <c r="DB1830" s="24">
        <v>97</v>
      </c>
      <c r="DC1830" s="25">
        <v>49.75</v>
      </c>
      <c r="DD1830" s="24">
        <v>98</v>
      </c>
      <c r="DE1830" s="25">
        <v>-1.25</v>
      </c>
      <c r="DF1830" s="23">
        <v>-2.4500000000000002</v>
      </c>
      <c r="DG1830" s="25">
        <v>62.51</v>
      </c>
      <c r="DH1830" s="24">
        <v>99</v>
      </c>
      <c r="DI1830" s="25">
        <v>36.99</v>
      </c>
      <c r="DJ1830" s="24">
        <v>94</v>
      </c>
      <c r="DK1830" s="25">
        <v>50.19</v>
      </c>
      <c r="DL1830" s="24">
        <v>96</v>
      </c>
      <c r="DM1830" s="25">
        <v>74.83</v>
      </c>
      <c r="DN1830" s="24">
        <v>99</v>
      </c>
      <c r="DO1830" s="25">
        <v>36.99</v>
      </c>
      <c r="DP1830" s="24">
        <v>95</v>
      </c>
      <c r="DQ1830" s="24">
        <v>16966</v>
      </c>
      <c r="DR1830" s="26">
        <v>745</v>
      </c>
      <c r="DS1830" s="23">
        <v>4.59</v>
      </c>
      <c r="DT1830" s="24">
        <v>2164</v>
      </c>
      <c r="DU1830" s="26">
        <v>19</v>
      </c>
      <c r="DV1830" s="23">
        <v>0.89</v>
      </c>
      <c r="DW1830" s="24">
        <v>13198</v>
      </c>
      <c r="DX1830" s="27">
        <v>111</v>
      </c>
      <c r="DY1830" s="23">
        <v>0.85</v>
      </c>
      <c r="DZ1830" s="15" t="s">
        <v>178</v>
      </c>
      <c r="EA1830" s="22">
        <v>43622</v>
      </c>
      <c r="EB1830" s="17">
        <v>2600</v>
      </c>
      <c r="EC1830" s="22">
        <v>43430</v>
      </c>
      <c r="ED1830" s="15" t="s">
        <v>173</v>
      </c>
      <c r="EE1830" s="14" t="str">
        <f>HYPERLINK("https://my.pitchbook.com?c=95733-46", "View company online")</f>
        <v>View company online</v>
      </c>
    </row>
    <row r="1831" spans="1:135">
      <c r="A1831" s="28" t="s">
        <v>34764</v>
      </c>
      <c r="B1831" s="28" t="s">
        <v>34765</v>
      </c>
      <c r="C1831" s="28" t="s">
        <v>138</v>
      </c>
      <c r="D1831" s="28" t="s">
        <v>34766</v>
      </c>
      <c r="E1831" s="28" t="s">
        <v>138</v>
      </c>
      <c r="F1831" s="28" t="s">
        <v>34764</v>
      </c>
      <c r="G1831" s="28" t="s">
        <v>34767</v>
      </c>
      <c r="H1831" s="28" t="s">
        <v>238</v>
      </c>
      <c r="I1831" s="28" t="s">
        <v>1351</v>
      </c>
      <c r="J1831" s="28" t="s">
        <v>1352</v>
      </c>
      <c r="K1831" s="28" t="s">
        <v>9200</v>
      </c>
      <c r="L1831" s="28" t="s">
        <v>3681</v>
      </c>
      <c r="M1831" s="28" t="s">
        <v>34768</v>
      </c>
      <c r="N1831" s="28" t="s">
        <v>147</v>
      </c>
      <c r="O1831" s="29">
        <v>8.52</v>
      </c>
      <c r="P1831" s="28" t="s">
        <v>148</v>
      </c>
      <c r="Q1831" s="28" t="s">
        <v>149</v>
      </c>
      <c r="R1831" s="28" t="s">
        <v>174</v>
      </c>
      <c r="S1831" s="28" t="s">
        <v>34769</v>
      </c>
      <c r="T1831" s="30">
        <v>42</v>
      </c>
      <c r="U1831" s="28" t="s">
        <v>34770</v>
      </c>
      <c r="V1831" s="28" t="s">
        <v>138</v>
      </c>
      <c r="W1831" s="28" t="s">
        <v>138</v>
      </c>
      <c r="X1831" s="31">
        <v>2015</v>
      </c>
      <c r="Y1831" s="28" t="s">
        <v>138</v>
      </c>
      <c r="Z1831" s="28" t="s">
        <v>138</v>
      </c>
      <c r="AA1831" s="28" t="s">
        <v>138</v>
      </c>
      <c r="AB1831" s="32" t="s">
        <v>138</v>
      </c>
      <c r="AC1831" s="32" t="s">
        <v>138</v>
      </c>
      <c r="AD1831" s="32" t="s">
        <v>138</v>
      </c>
      <c r="AE1831" s="32" t="s">
        <v>138</v>
      </c>
      <c r="AF1831" s="32" t="s">
        <v>138</v>
      </c>
      <c r="AG1831" s="28" t="s">
        <v>138</v>
      </c>
      <c r="AH1831" s="32" t="s">
        <v>138</v>
      </c>
      <c r="AI1831" s="32" t="s">
        <v>138</v>
      </c>
      <c r="AJ1831" s="32" t="s">
        <v>138</v>
      </c>
      <c r="AK1831" s="28" t="s">
        <v>34771</v>
      </c>
      <c r="AL1831" s="28" t="s">
        <v>34772</v>
      </c>
      <c r="AM1831" s="28" t="s">
        <v>2194</v>
      </c>
      <c r="AN1831" s="28" t="s">
        <v>34773</v>
      </c>
      <c r="AO1831" s="28" t="s">
        <v>34774</v>
      </c>
      <c r="AP1831" s="28" t="s">
        <v>820</v>
      </c>
      <c r="AQ1831" s="28" t="s">
        <v>34775</v>
      </c>
      <c r="AR1831" s="28" t="s">
        <v>34776</v>
      </c>
      <c r="AS1831" s="28" t="s">
        <v>823</v>
      </c>
      <c r="AT1831" s="28" t="s">
        <v>824</v>
      </c>
      <c r="AU1831" s="28" t="s">
        <v>34777</v>
      </c>
      <c r="AV1831" s="28" t="s">
        <v>526</v>
      </c>
      <c r="AW1831" s="28" t="s">
        <v>34774</v>
      </c>
      <c r="AX1831" s="28" t="s">
        <v>138</v>
      </c>
      <c r="AY1831" s="28" t="s">
        <v>34778</v>
      </c>
      <c r="AZ1831" s="28" t="s">
        <v>530</v>
      </c>
      <c r="BA1831" s="28" t="s">
        <v>531</v>
      </c>
      <c r="BB1831" s="28" t="s">
        <v>34779</v>
      </c>
      <c r="BC1831" s="28" t="s">
        <v>34780</v>
      </c>
      <c r="BD1831" s="33">
        <v>7</v>
      </c>
      <c r="BE1831" s="28" t="s">
        <v>138</v>
      </c>
      <c r="BF1831" s="28" t="s">
        <v>138</v>
      </c>
      <c r="BG1831" s="28" t="s">
        <v>138</v>
      </c>
      <c r="BH1831" s="28" t="s">
        <v>34781</v>
      </c>
      <c r="BI1831" s="28" t="s">
        <v>138</v>
      </c>
      <c r="BJ1831" s="28" t="s">
        <v>138</v>
      </c>
      <c r="BK1831" s="28" t="s">
        <v>3482</v>
      </c>
      <c r="BL1831" s="28" t="s">
        <v>3482</v>
      </c>
      <c r="BM1831" s="34">
        <v>42256</v>
      </c>
      <c r="BN1831" s="29">
        <v>0.03</v>
      </c>
      <c r="BO1831" s="28" t="s">
        <v>172</v>
      </c>
      <c r="BP1831" s="29">
        <v>0.46</v>
      </c>
      <c r="BQ1831" s="28" t="s">
        <v>172</v>
      </c>
      <c r="BR1831" s="28" t="s">
        <v>316</v>
      </c>
      <c r="BS1831" s="28" t="s">
        <v>138</v>
      </c>
      <c r="BT1831" s="28" t="s">
        <v>138</v>
      </c>
      <c r="BU1831" s="28" t="s">
        <v>177</v>
      </c>
      <c r="BV1831" s="28" t="s">
        <v>138</v>
      </c>
      <c r="BW1831" s="28" t="s">
        <v>138</v>
      </c>
      <c r="BX1831" s="28" t="s">
        <v>138</v>
      </c>
      <c r="BY1831" s="28" t="s">
        <v>175</v>
      </c>
      <c r="BZ1831" s="34" t="s">
        <v>138</v>
      </c>
      <c r="CA1831" s="29" t="s">
        <v>138</v>
      </c>
      <c r="CB1831" s="28" t="s">
        <v>138</v>
      </c>
      <c r="CC1831" s="29" t="s">
        <v>138</v>
      </c>
      <c r="CD1831" s="28" t="s">
        <v>138</v>
      </c>
      <c r="CE1831" s="28" t="s">
        <v>316</v>
      </c>
      <c r="CF1831" s="28" t="s">
        <v>138</v>
      </c>
      <c r="CG1831" s="28" t="s">
        <v>138</v>
      </c>
      <c r="CH1831" s="28" t="s">
        <v>177</v>
      </c>
      <c r="CI1831" s="28" t="s">
        <v>138</v>
      </c>
      <c r="CJ1831" s="28" t="s">
        <v>138</v>
      </c>
      <c r="CK1831" s="28" t="s">
        <v>138</v>
      </c>
      <c r="CL1831" s="28" t="s">
        <v>175</v>
      </c>
      <c r="CM1831" s="34" t="s">
        <v>138</v>
      </c>
      <c r="CN1831" s="29" t="s">
        <v>138</v>
      </c>
      <c r="CO1831" s="35">
        <v>0.67</v>
      </c>
      <c r="CP1831" s="36">
        <v>96</v>
      </c>
      <c r="CQ1831" s="35">
        <v>-0.02</v>
      </c>
      <c r="CR1831" s="35">
        <v>-2.59</v>
      </c>
      <c r="CS1831" s="35">
        <v>0</v>
      </c>
      <c r="CT1831" s="36">
        <v>23</v>
      </c>
      <c r="CU1831" s="35">
        <v>1.4</v>
      </c>
      <c r="CV1831" s="36">
        <v>99</v>
      </c>
      <c r="CW1831" s="35">
        <v>0</v>
      </c>
      <c r="CX1831" s="36">
        <v>13</v>
      </c>
      <c r="CY1831" s="35" t="s">
        <v>138</v>
      </c>
      <c r="CZ1831" s="36" t="s">
        <v>138</v>
      </c>
      <c r="DA1831" s="35">
        <v>1.4</v>
      </c>
      <c r="DB1831" s="36">
        <v>99</v>
      </c>
      <c r="DC1831" s="37">
        <v>0.82</v>
      </c>
      <c r="DD1831" s="36">
        <v>46</v>
      </c>
      <c r="DE1831" s="37">
        <v>-0.02</v>
      </c>
      <c r="DF1831" s="35">
        <v>-2.88</v>
      </c>
      <c r="DG1831" s="37">
        <v>0.66</v>
      </c>
      <c r="DH1831" s="36">
        <v>41</v>
      </c>
      <c r="DI1831" s="37">
        <v>1.71</v>
      </c>
      <c r="DJ1831" s="36">
        <v>59</v>
      </c>
      <c r="DK1831" s="37">
        <v>0.66</v>
      </c>
      <c r="DL1831" s="36">
        <v>41</v>
      </c>
      <c r="DM1831" s="37" t="s">
        <v>138</v>
      </c>
      <c r="DN1831" s="36" t="s">
        <v>138</v>
      </c>
      <c r="DO1831" s="37">
        <v>1.71</v>
      </c>
      <c r="DP1831" s="36">
        <v>61</v>
      </c>
      <c r="DQ1831" s="36">
        <v>269</v>
      </c>
      <c r="DR1831" s="38">
        <v>-129</v>
      </c>
      <c r="DS1831" s="35">
        <v>-32.409999999999997</v>
      </c>
      <c r="DT1831" s="36" t="s">
        <v>138</v>
      </c>
      <c r="DU1831" s="38" t="s">
        <v>138</v>
      </c>
      <c r="DV1831" s="35" t="s">
        <v>138</v>
      </c>
      <c r="DW1831" s="36">
        <v>612</v>
      </c>
      <c r="DX1831" s="39">
        <v>3</v>
      </c>
      <c r="DY1831" s="35">
        <v>0.49</v>
      </c>
      <c r="DZ1831" s="28" t="s">
        <v>178</v>
      </c>
      <c r="EA1831" s="34">
        <v>43572</v>
      </c>
      <c r="EB1831" s="29">
        <v>24.75</v>
      </c>
      <c r="EC1831" s="34">
        <v>43160</v>
      </c>
      <c r="ED1831" s="28" t="s">
        <v>205</v>
      </c>
      <c r="EE1831" s="40" t="str">
        <f>HYPERLINK("https://my.pitchbook.com?c=161550-82", "View company online")</f>
        <v>View company online</v>
      </c>
    </row>
    <row r="1832" spans="1:135">
      <c r="A1832" s="15" t="s">
        <v>34782</v>
      </c>
      <c r="B1832" s="15" t="s">
        <v>34783</v>
      </c>
      <c r="C1832" s="15" t="s">
        <v>138</v>
      </c>
      <c r="D1832" s="15" t="s">
        <v>138</v>
      </c>
      <c r="E1832" s="15" t="s">
        <v>34784</v>
      </c>
      <c r="F1832" s="15" t="s">
        <v>34782</v>
      </c>
      <c r="G1832" s="15" t="s">
        <v>34785</v>
      </c>
      <c r="H1832" s="15" t="s">
        <v>322</v>
      </c>
      <c r="I1832" s="15" t="s">
        <v>323</v>
      </c>
      <c r="J1832" s="15" t="s">
        <v>413</v>
      </c>
      <c r="K1832" s="15" t="s">
        <v>4414</v>
      </c>
      <c r="L1832" s="15" t="s">
        <v>855</v>
      </c>
      <c r="M1832" s="15" t="s">
        <v>34786</v>
      </c>
      <c r="N1832" s="15" t="s">
        <v>147</v>
      </c>
      <c r="O1832" s="17">
        <v>10.9</v>
      </c>
      <c r="P1832" s="15" t="s">
        <v>148</v>
      </c>
      <c r="Q1832" s="15" t="s">
        <v>149</v>
      </c>
      <c r="R1832" s="15" t="s">
        <v>174</v>
      </c>
      <c r="S1832" s="15" t="s">
        <v>34787</v>
      </c>
      <c r="T1832" s="18" t="s">
        <v>138</v>
      </c>
      <c r="U1832" s="15" t="s">
        <v>138</v>
      </c>
      <c r="V1832" s="15" t="s">
        <v>138</v>
      </c>
      <c r="W1832" s="15" t="s">
        <v>138</v>
      </c>
      <c r="X1832" s="19">
        <v>2016</v>
      </c>
      <c r="Y1832" s="15" t="s">
        <v>138</v>
      </c>
      <c r="Z1832" s="15" t="s">
        <v>138</v>
      </c>
      <c r="AA1832" s="15" t="s">
        <v>138</v>
      </c>
      <c r="AB1832" s="20" t="s">
        <v>138</v>
      </c>
      <c r="AC1832" s="20" t="s">
        <v>138</v>
      </c>
      <c r="AD1832" s="20" t="s">
        <v>138</v>
      </c>
      <c r="AE1832" s="20" t="s">
        <v>138</v>
      </c>
      <c r="AF1832" s="20" t="s">
        <v>138</v>
      </c>
      <c r="AG1832" s="15" t="s">
        <v>138</v>
      </c>
      <c r="AH1832" s="20" t="s">
        <v>138</v>
      </c>
      <c r="AI1832" s="20" t="s">
        <v>138</v>
      </c>
      <c r="AJ1832" s="20" t="s">
        <v>138</v>
      </c>
      <c r="AK1832" s="15" t="s">
        <v>34788</v>
      </c>
      <c r="AL1832" s="15" t="s">
        <v>34789</v>
      </c>
      <c r="AM1832" s="15" t="s">
        <v>818</v>
      </c>
      <c r="AN1832" s="15" t="s">
        <v>34790</v>
      </c>
      <c r="AO1832" s="15" t="s">
        <v>138</v>
      </c>
      <c r="AP1832" s="15" t="s">
        <v>14127</v>
      </c>
      <c r="AQ1832" s="15" t="s">
        <v>138</v>
      </c>
      <c r="AR1832" s="15" t="s">
        <v>138</v>
      </c>
      <c r="AS1832" s="15" t="s">
        <v>14129</v>
      </c>
      <c r="AT1832" s="15" t="s">
        <v>14130</v>
      </c>
      <c r="AU1832" s="15" t="s">
        <v>138</v>
      </c>
      <c r="AV1832" s="15" t="s">
        <v>2742</v>
      </c>
      <c r="AW1832" s="15" t="s">
        <v>138</v>
      </c>
      <c r="AX1832" s="15" t="s">
        <v>138</v>
      </c>
      <c r="AY1832" s="15" t="s">
        <v>34791</v>
      </c>
      <c r="AZ1832" s="15" t="s">
        <v>164</v>
      </c>
      <c r="BA1832" s="15" t="s">
        <v>165</v>
      </c>
      <c r="BB1832" s="15" t="s">
        <v>34792</v>
      </c>
      <c r="BC1832" s="15" t="s">
        <v>34793</v>
      </c>
      <c r="BD1832" s="21">
        <v>10</v>
      </c>
      <c r="BE1832" s="15" t="s">
        <v>138</v>
      </c>
      <c r="BF1832" s="15" t="s">
        <v>138</v>
      </c>
      <c r="BG1832" s="15" t="s">
        <v>138</v>
      </c>
      <c r="BH1832" s="15" t="s">
        <v>34794</v>
      </c>
      <c r="BI1832" s="15" t="s">
        <v>138</v>
      </c>
      <c r="BJ1832" s="15" t="s">
        <v>138</v>
      </c>
      <c r="BK1832" s="15" t="s">
        <v>138</v>
      </c>
      <c r="BL1832" s="15" t="s">
        <v>27869</v>
      </c>
      <c r="BM1832" s="22">
        <v>42415</v>
      </c>
      <c r="BN1832" s="17">
        <v>2.6</v>
      </c>
      <c r="BO1832" s="15" t="s">
        <v>172</v>
      </c>
      <c r="BP1832" s="17" t="s">
        <v>138</v>
      </c>
      <c r="BQ1832" s="15" t="s">
        <v>138</v>
      </c>
      <c r="BR1832" s="15" t="s">
        <v>234</v>
      </c>
      <c r="BS1832" s="15" t="s">
        <v>234</v>
      </c>
      <c r="BT1832" s="15" t="s">
        <v>138</v>
      </c>
      <c r="BU1832" s="15" t="s">
        <v>174</v>
      </c>
      <c r="BV1832" s="15" t="s">
        <v>138</v>
      </c>
      <c r="BW1832" s="15" t="s">
        <v>138</v>
      </c>
      <c r="BX1832" s="15" t="s">
        <v>138</v>
      </c>
      <c r="BY1832" s="15" t="s">
        <v>175</v>
      </c>
      <c r="BZ1832" s="22">
        <v>42894</v>
      </c>
      <c r="CA1832" s="17">
        <v>8.3000000000000007</v>
      </c>
      <c r="CB1832" s="15" t="s">
        <v>172</v>
      </c>
      <c r="CC1832" s="17" t="s">
        <v>138</v>
      </c>
      <c r="CD1832" s="15" t="s">
        <v>138</v>
      </c>
      <c r="CE1832" s="15" t="s">
        <v>205</v>
      </c>
      <c r="CF1832" s="15" t="s">
        <v>206</v>
      </c>
      <c r="CG1832" s="15" t="s">
        <v>138</v>
      </c>
      <c r="CH1832" s="15" t="s">
        <v>174</v>
      </c>
      <c r="CI1832" s="15" t="s">
        <v>138</v>
      </c>
      <c r="CJ1832" s="15" t="s">
        <v>138</v>
      </c>
      <c r="CK1832" s="15" t="s">
        <v>138</v>
      </c>
      <c r="CL1832" s="15" t="s">
        <v>175</v>
      </c>
      <c r="CM1832" s="22" t="s">
        <v>138</v>
      </c>
      <c r="CN1832" s="17" t="s">
        <v>138</v>
      </c>
      <c r="CO1832" s="23">
        <v>0.05</v>
      </c>
      <c r="CP1832" s="24">
        <v>88</v>
      </c>
      <c r="CQ1832" s="23">
        <v>0</v>
      </c>
      <c r="CR1832" s="23">
        <v>-0.33</v>
      </c>
      <c r="CS1832" s="23">
        <v>-0.13</v>
      </c>
      <c r="CT1832" s="24">
        <v>22</v>
      </c>
      <c r="CU1832" s="23">
        <v>0.22</v>
      </c>
      <c r="CV1832" s="24">
        <v>82</v>
      </c>
      <c r="CW1832" s="23">
        <v>0</v>
      </c>
      <c r="CX1832" s="24">
        <v>13</v>
      </c>
      <c r="CY1832" s="23">
        <v>-0.25</v>
      </c>
      <c r="CZ1832" s="24">
        <v>23</v>
      </c>
      <c r="DA1832" s="23">
        <v>0.44</v>
      </c>
      <c r="DB1832" s="24">
        <v>93</v>
      </c>
      <c r="DC1832" s="25">
        <v>3.13</v>
      </c>
      <c r="DD1832" s="24">
        <v>76</v>
      </c>
      <c r="DE1832" s="25">
        <v>-0.03</v>
      </c>
      <c r="DF1832" s="23">
        <v>-0.89</v>
      </c>
      <c r="DG1832" s="25">
        <v>5.41</v>
      </c>
      <c r="DH1832" s="24">
        <v>83</v>
      </c>
      <c r="DI1832" s="25">
        <v>0.85</v>
      </c>
      <c r="DJ1832" s="24">
        <v>46</v>
      </c>
      <c r="DK1832" s="25">
        <v>1.2</v>
      </c>
      <c r="DL1832" s="24">
        <v>54</v>
      </c>
      <c r="DM1832" s="25">
        <v>9.6199999999999992</v>
      </c>
      <c r="DN1832" s="24">
        <v>88</v>
      </c>
      <c r="DO1832" s="25">
        <v>1.6</v>
      </c>
      <c r="DP1832" s="24">
        <v>59</v>
      </c>
      <c r="DQ1832" s="24">
        <v>408</v>
      </c>
      <c r="DR1832" s="26">
        <v>5</v>
      </c>
      <c r="DS1832" s="23">
        <v>1.24</v>
      </c>
      <c r="DT1832" s="24">
        <v>278</v>
      </c>
      <c r="DU1832" s="26">
        <v>1</v>
      </c>
      <c r="DV1832" s="23">
        <v>0.36</v>
      </c>
      <c r="DW1832" s="24">
        <v>574</v>
      </c>
      <c r="DX1832" s="27">
        <v>2</v>
      </c>
      <c r="DY1832" s="23">
        <v>0.35</v>
      </c>
      <c r="DZ1832" s="15" t="s">
        <v>178</v>
      </c>
      <c r="EA1832" s="22">
        <v>43419</v>
      </c>
      <c r="EB1832" s="17" t="s">
        <v>138</v>
      </c>
      <c r="EC1832" s="22" t="s">
        <v>138</v>
      </c>
      <c r="ED1832" s="15" t="s">
        <v>138</v>
      </c>
      <c r="EE1832" s="14" t="str">
        <f>HYPERLINK("https://my.pitchbook.com?c=162899-83", "View company online")</f>
        <v>View company online</v>
      </c>
    </row>
    <row r="1833" spans="1:135">
      <c r="A1833" s="28" t="s">
        <v>34795</v>
      </c>
      <c r="B1833" s="28" t="s">
        <v>34796</v>
      </c>
      <c r="C1833" s="28" t="s">
        <v>138</v>
      </c>
      <c r="D1833" s="28" t="s">
        <v>138</v>
      </c>
      <c r="E1833" s="28" t="s">
        <v>34797</v>
      </c>
      <c r="F1833" s="28" t="s">
        <v>34795</v>
      </c>
      <c r="G1833" s="28" t="s">
        <v>34798</v>
      </c>
      <c r="H1833" s="28" t="s">
        <v>322</v>
      </c>
      <c r="I1833" s="28" t="s">
        <v>323</v>
      </c>
      <c r="J1833" s="28" t="s">
        <v>324</v>
      </c>
      <c r="K1833" s="28" t="s">
        <v>325</v>
      </c>
      <c r="L1833" s="28" t="s">
        <v>34799</v>
      </c>
      <c r="M1833" s="28" t="s">
        <v>34800</v>
      </c>
      <c r="N1833" s="28" t="s">
        <v>147</v>
      </c>
      <c r="O1833" s="29">
        <v>76.42</v>
      </c>
      <c r="P1833" s="28" t="s">
        <v>148</v>
      </c>
      <c r="Q1833" s="28" t="s">
        <v>149</v>
      </c>
      <c r="R1833" s="28" t="s">
        <v>13812</v>
      </c>
      <c r="S1833" s="28" t="s">
        <v>34801</v>
      </c>
      <c r="T1833" s="30">
        <v>52</v>
      </c>
      <c r="U1833" s="28" t="s">
        <v>34802</v>
      </c>
      <c r="V1833" s="28" t="s">
        <v>138</v>
      </c>
      <c r="W1833" s="28" t="s">
        <v>138</v>
      </c>
      <c r="X1833" s="31">
        <v>2011</v>
      </c>
      <c r="Y1833" s="28" t="s">
        <v>138</v>
      </c>
      <c r="Z1833" s="28" t="s">
        <v>138</v>
      </c>
      <c r="AA1833" s="28" t="s">
        <v>34803</v>
      </c>
      <c r="AB1833" s="32" t="s">
        <v>138</v>
      </c>
      <c r="AC1833" s="32" t="s">
        <v>138</v>
      </c>
      <c r="AD1833" s="32" t="s">
        <v>138</v>
      </c>
      <c r="AE1833" s="32" t="s">
        <v>138</v>
      </c>
      <c r="AF1833" s="32" t="s">
        <v>138</v>
      </c>
      <c r="AG1833" s="28" t="s">
        <v>138</v>
      </c>
      <c r="AH1833" s="32" t="s">
        <v>138</v>
      </c>
      <c r="AI1833" s="32" t="s">
        <v>138</v>
      </c>
      <c r="AJ1833" s="32" t="s">
        <v>138</v>
      </c>
      <c r="AK1833" s="28" t="s">
        <v>34804</v>
      </c>
      <c r="AL1833" s="28" t="s">
        <v>34805</v>
      </c>
      <c r="AM1833" s="28" t="s">
        <v>21393</v>
      </c>
      <c r="AN1833" s="28" t="s">
        <v>34806</v>
      </c>
      <c r="AO1833" s="28" t="s">
        <v>34807</v>
      </c>
      <c r="AP1833" s="28" t="s">
        <v>307</v>
      </c>
      <c r="AQ1833" s="28" t="s">
        <v>34808</v>
      </c>
      <c r="AR1833" s="28" t="s">
        <v>3180</v>
      </c>
      <c r="AS1833" s="28" t="s">
        <v>310</v>
      </c>
      <c r="AT1833" s="28" t="s">
        <v>200</v>
      </c>
      <c r="AU1833" s="28" t="s">
        <v>311</v>
      </c>
      <c r="AV1833" s="28" t="s">
        <v>162</v>
      </c>
      <c r="AW1833" s="28" t="s">
        <v>34807</v>
      </c>
      <c r="AX1833" s="28" t="s">
        <v>34809</v>
      </c>
      <c r="AY1833" s="28" t="s">
        <v>34810</v>
      </c>
      <c r="AZ1833" s="28" t="s">
        <v>164</v>
      </c>
      <c r="BA1833" s="28" t="s">
        <v>165</v>
      </c>
      <c r="BB1833" s="28" t="s">
        <v>34811</v>
      </c>
      <c r="BC1833" s="28" t="s">
        <v>34812</v>
      </c>
      <c r="BD1833" s="33">
        <v>21</v>
      </c>
      <c r="BE1833" s="28" t="s">
        <v>138</v>
      </c>
      <c r="BF1833" s="28" t="s">
        <v>31787</v>
      </c>
      <c r="BG1833" s="28" t="s">
        <v>138</v>
      </c>
      <c r="BH1833" s="28" t="s">
        <v>34813</v>
      </c>
      <c r="BI1833" s="28" t="s">
        <v>31789</v>
      </c>
      <c r="BJ1833" s="28" t="s">
        <v>138</v>
      </c>
      <c r="BK1833" s="28" t="s">
        <v>34814</v>
      </c>
      <c r="BL1833" s="28" t="s">
        <v>315</v>
      </c>
      <c r="BM1833" s="34">
        <v>40633</v>
      </c>
      <c r="BN1833" s="29">
        <v>2.11</v>
      </c>
      <c r="BO1833" s="28" t="s">
        <v>172</v>
      </c>
      <c r="BP1833" s="29">
        <v>6.52</v>
      </c>
      <c r="BQ1833" s="28" t="s">
        <v>172</v>
      </c>
      <c r="BR1833" s="28" t="s">
        <v>205</v>
      </c>
      <c r="BS1833" s="28" t="s">
        <v>206</v>
      </c>
      <c r="BT1833" s="28" t="s">
        <v>138</v>
      </c>
      <c r="BU1833" s="28" t="s">
        <v>174</v>
      </c>
      <c r="BV1833" s="28" t="s">
        <v>138</v>
      </c>
      <c r="BW1833" s="28" t="s">
        <v>138</v>
      </c>
      <c r="BX1833" s="28" t="s">
        <v>138</v>
      </c>
      <c r="BY1833" s="28" t="s">
        <v>175</v>
      </c>
      <c r="BZ1833" s="34">
        <v>43616</v>
      </c>
      <c r="CA1833" s="29" t="s">
        <v>138</v>
      </c>
      <c r="CB1833" s="28" t="s">
        <v>138</v>
      </c>
      <c r="CC1833" s="29" t="s">
        <v>138</v>
      </c>
      <c r="CD1833" s="28" t="s">
        <v>138</v>
      </c>
      <c r="CE1833" s="28" t="s">
        <v>780</v>
      </c>
      <c r="CF1833" s="28" t="s">
        <v>780</v>
      </c>
      <c r="CG1833" s="28" t="s">
        <v>138</v>
      </c>
      <c r="CH1833" s="28" t="s">
        <v>780</v>
      </c>
      <c r="CI1833" s="28" t="s">
        <v>138</v>
      </c>
      <c r="CJ1833" s="28" t="s">
        <v>138</v>
      </c>
      <c r="CK1833" s="28" t="s">
        <v>138</v>
      </c>
      <c r="CL1833" s="28" t="s">
        <v>175</v>
      </c>
      <c r="CM1833" s="34" t="s">
        <v>138</v>
      </c>
      <c r="CN1833" s="29" t="s">
        <v>138</v>
      </c>
      <c r="CO1833" s="35">
        <v>0.22</v>
      </c>
      <c r="CP1833" s="36">
        <v>93</v>
      </c>
      <c r="CQ1833" s="35">
        <v>-0.1</v>
      </c>
      <c r="CR1833" s="35">
        <v>-32.03</v>
      </c>
      <c r="CS1833" s="35">
        <v>0.3</v>
      </c>
      <c r="CT1833" s="36">
        <v>95</v>
      </c>
      <c r="CU1833" s="35">
        <v>0.14000000000000001</v>
      </c>
      <c r="CV1833" s="36">
        <v>74</v>
      </c>
      <c r="CW1833" s="35">
        <v>1.85</v>
      </c>
      <c r="CX1833" s="36">
        <v>88</v>
      </c>
      <c r="CY1833" s="35">
        <v>-1.25</v>
      </c>
      <c r="CZ1833" s="36">
        <v>17</v>
      </c>
      <c r="DA1833" s="35">
        <v>0.14000000000000001</v>
      </c>
      <c r="DB1833" s="36">
        <v>77</v>
      </c>
      <c r="DC1833" s="37">
        <v>7.78</v>
      </c>
      <c r="DD1833" s="36">
        <v>88</v>
      </c>
      <c r="DE1833" s="37">
        <v>-0.23</v>
      </c>
      <c r="DF1833" s="35">
        <v>-2.83</v>
      </c>
      <c r="DG1833" s="37">
        <v>12.82</v>
      </c>
      <c r="DH1833" s="36">
        <v>92</v>
      </c>
      <c r="DI1833" s="37">
        <v>2.73</v>
      </c>
      <c r="DJ1833" s="36">
        <v>68</v>
      </c>
      <c r="DK1833" s="37">
        <v>4.96</v>
      </c>
      <c r="DL1833" s="36">
        <v>79</v>
      </c>
      <c r="DM1833" s="37">
        <v>20.69</v>
      </c>
      <c r="DN1833" s="36">
        <v>94</v>
      </c>
      <c r="DO1833" s="37">
        <v>2.73</v>
      </c>
      <c r="DP1833" s="36">
        <v>69</v>
      </c>
      <c r="DQ1833" s="36">
        <v>1659</v>
      </c>
      <c r="DR1833" s="38">
        <v>124</v>
      </c>
      <c r="DS1833" s="35">
        <v>8.08</v>
      </c>
      <c r="DT1833" s="36">
        <v>604</v>
      </c>
      <c r="DU1833" s="38">
        <v>-7</v>
      </c>
      <c r="DV1833" s="35">
        <v>-1.1499999999999999</v>
      </c>
      <c r="DW1833" s="36">
        <v>976</v>
      </c>
      <c r="DX1833" s="39">
        <v>2</v>
      </c>
      <c r="DY1833" s="35">
        <v>0.21</v>
      </c>
      <c r="DZ1833" s="28" t="s">
        <v>178</v>
      </c>
      <c r="EA1833" s="34">
        <v>43619</v>
      </c>
      <c r="EB1833" s="29">
        <v>137</v>
      </c>
      <c r="EC1833" s="34">
        <v>43483</v>
      </c>
      <c r="ED1833" s="28" t="s">
        <v>173</v>
      </c>
      <c r="EE1833" s="40" t="str">
        <f>HYPERLINK("https://my.pitchbook.com?c=53964-73", "View company online")</f>
        <v>View company online</v>
      </c>
    </row>
    <row r="1834" spans="1:135">
      <c r="A1834" s="15" t="s">
        <v>34815</v>
      </c>
      <c r="B1834" s="15" t="s">
        <v>34816</v>
      </c>
      <c r="C1834" s="15" t="s">
        <v>138</v>
      </c>
      <c r="D1834" s="15" t="s">
        <v>138</v>
      </c>
      <c r="E1834" s="15" t="s">
        <v>138</v>
      </c>
      <c r="F1834" s="15" t="s">
        <v>34815</v>
      </c>
      <c r="G1834" s="15" t="s">
        <v>34817</v>
      </c>
      <c r="H1834" s="15" t="s">
        <v>238</v>
      </c>
      <c r="I1834" s="15" t="s">
        <v>269</v>
      </c>
      <c r="J1834" s="15" t="s">
        <v>296</v>
      </c>
      <c r="K1834" s="15" t="s">
        <v>34818</v>
      </c>
      <c r="L1834" s="15" t="s">
        <v>2427</v>
      </c>
      <c r="M1834" s="15" t="s">
        <v>34819</v>
      </c>
      <c r="N1834" s="15" t="s">
        <v>147</v>
      </c>
      <c r="O1834" s="17">
        <v>626.11</v>
      </c>
      <c r="P1834" s="15" t="s">
        <v>148</v>
      </c>
      <c r="Q1834" s="15" t="s">
        <v>149</v>
      </c>
      <c r="R1834" s="15" t="s">
        <v>174</v>
      </c>
      <c r="S1834" s="15" t="s">
        <v>34820</v>
      </c>
      <c r="T1834" s="18">
        <v>200</v>
      </c>
      <c r="U1834" s="15" t="s">
        <v>16484</v>
      </c>
      <c r="V1834" s="15" t="s">
        <v>138</v>
      </c>
      <c r="W1834" s="15" t="s">
        <v>138</v>
      </c>
      <c r="X1834" s="19">
        <v>2016</v>
      </c>
      <c r="Y1834" s="15" t="s">
        <v>138</v>
      </c>
      <c r="Z1834" s="15" t="s">
        <v>138</v>
      </c>
      <c r="AA1834" s="15" t="s">
        <v>1163</v>
      </c>
      <c r="AB1834" s="20" t="s">
        <v>138</v>
      </c>
      <c r="AC1834" s="20" t="s">
        <v>138</v>
      </c>
      <c r="AD1834" s="20" t="s">
        <v>138</v>
      </c>
      <c r="AE1834" s="20" t="s">
        <v>138</v>
      </c>
      <c r="AF1834" s="20" t="s">
        <v>138</v>
      </c>
      <c r="AG1834" s="15" t="s">
        <v>138</v>
      </c>
      <c r="AH1834" s="20" t="s">
        <v>138</v>
      </c>
      <c r="AI1834" s="20" t="s">
        <v>138</v>
      </c>
      <c r="AJ1834" s="20" t="s">
        <v>138</v>
      </c>
      <c r="AK1834" s="15" t="s">
        <v>34821</v>
      </c>
      <c r="AL1834" s="15" t="s">
        <v>34822</v>
      </c>
      <c r="AM1834" s="15" t="s">
        <v>221</v>
      </c>
      <c r="AN1834" s="15" t="s">
        <v>34823</v>
      </c>
      <c r="AO1834" s="15" t="s">
        <v>34824</v>
      </c>
      <c r="AP1834" s="15" t="s">
        <v>1168</v>
      </c>
      <c r="AQ1834" s="15" t="s">
        <v>34825</v>
      </c>
      <c r="AR1834" s="15" t="s">
        <v>138</v>
      </c>
      <c r="AS1834" s="15" t="s">
        <v>1171</v>
      </c>
      <c r="AT1834" s="15" t="s">
        <v>200</v>
      </c>
      <c r="AU1834" s="15" t="s">
        <v>1172</v>
      </c>
      <c r="AV1834" s="15" t="s">
        <v>162</v>
      </c>
      <c r="AW1834" s="15" t="s">
        <v>34824</v>
      </c>
      <c r="AX1834" s="15" t="s">
        <v>138</v>
      </c>
      <c r="AY1834" s="15" t="s">
        <v>138</v>
      </c>
      <c r="AZ1834" s="15" t="s">
        <v>164</v>
      </c>
      <c r="BA1834" s="15" t="s">
        <v>165</v>
      </c>
      <c r="BB1834" s="15" t="s">
        <v>34826</v>
      </c>
      <c r="BC1834" s="15" t="s">
        <v>34827</v>
      </c>
      <c r="BD1834" s="21">
        <v>10</v>
      </c>
      <c r="BE1834" s="15" t="s">
        <v>138</v>
      </c>
      <c r="BF1834" s="15" t="s">
        <v>138</v>
      </c>
      <c r="BG1834" s="15" t="s">
        <v>138</v>
      </c>
      <c r="BH1834" s="15" t="s">
        <v>34828</v>
      </c>
      <c r="BI1834" s="15" t="s">
        <v>138</v>
      </c>
      <c r="BJ1834" s="15" t="s">
        <v>138</v>
      </c>
      <c r="BK1834" s="15" t="s">
        <v>290</v>
      </c>
      <c r="BL1834" s="15" t="s">
        <v>290</v>
      </c>
      <c r="BM1834" s="22" t="s">
        <v>138</v>
      </c>
      <c r="BN1834" s="17">
        <v>3</v>
      </c>
      <c r="BO1834" s="15" t="s">
        <v>172</v>
      </c>
      <c r="BP1834" s="17" t="s">
        <v>138</v>
      </c>
      <c r="BQ1834" s="15" t="s">
        <v>138</v>
      </c>
      <c r="BR1834" s="15" t="s">
        <v>5214</v>
      </c>
      <c r="BS1834" s="15" t="s">
        <v>138</v>
      </c>
      <c r="BT1834" s="15" t="s">
        <v>138</v>
      </c>
      <c r="BU1834" s="15" t="s">
        <v>263</v>
      </c>
      <c r="BV1834" s="15" t="s">
        <v>138</v>
      </c>
      <c r="BW1834" s="15" t="s">
        <v>138</v>
      </c>
      <c r="BX1834" s="15" t="s">
        <v>138</v>
      </c>
      <c r="BY1834" s="15" t="s">
        <v>175</v>
      </c>
      <c r="BZ1834" s="22">
        <v>43503</v>
      </c>
      <c r="CA1834" s="17">
        <v>530</v>
      </c>
      <c r="CB1834" s="15" t="s">
        <v>172</v>
      </c>
      <c r="CC1834" s="17">
        <v>2500</v>
      </c>
      <c r="CD1834" s="15" t="s">
        <v>172</v>
      </c>
      <c r="CE1834" s="15" t="s">
        <v>205</v>
      </c>
      <c r="CF1834" s="15" t="s">
        <v>720</v>
      </c>
      <c r="CG1834" s="15" t="s">
        <v>138</v>
      </c>
      <c r="CH1834" s="15" t="s">
        <v>174</v>
      </c>
      <c r="CI1834" s="15" t="s">
        <v>138</v>
      </c>
      <c r="CJ1834" s="15" t="s">
        <v>138</v>
      </c>
      <c r="CK1834" s="15" t="s">
        <v>138</v>
      </c>
      <c r="CL1834" s="15" t="s">
        <v>175</v>
      </c>
      <c r="CM1834" s="22" t="s">
        <v>138</v>
      </c>
      <c r="CN1834" s="17" t="s">
        <v>138</v>
      </c>
      <c r="CO1834" s="23">
        <v>1.79</v>
      </c>
      <c r="CP1834" s="24">
        <v>99</v>
      </c>
      <c r="CQ1834" s="23">
        <v>-0.38</v>
      </c>
      <c r="CR1834" s="23">
        <v>-17.510000000000002</v>
      </c>
      <c r="CS1834" s="23">
        <v>2.1800000000000002</v>
      </c>
      <c r="CT1834" s="24">
        <v>98</v>
      </c>
      <c r="CU1834" s="23">
        <v>1.55</v>
      </c>
      <c r="CV1834" s="24">
        <v>99</v>
      </c>
      <c r="CW1834" s="23">
        <v>4.3600000000000003</v>
      </c>
      <c r="CX1834" s="24">
        <v>94</v>
      </c>
      <c r="CY1834" s="23">
        <v>0</v>
      </c>
      <c r="CZ1834" s="24">
        <v>25</v>
      </c>
      <c r="DA1834" s="23">
        <v>1.55</v>
      </c>
      <c r="DB1834" s="24">
        <v>99</v>
      </c>
      <c r="DC1834" s="25">
        <v>11.32</v>
      </c>
      <c r="DD1834" s="24">
        <v>91</v>
      </c>
      <c r="DE1834" s="25">
        <v>-0.96</v>
      </c>
      <c r="DF1834" s="23">
        <v>-7.82</v>
      </c>
      <c r="DG1834" s="25">
        <v>24.15</v>
      </c>
      <c r="DH1834" s="24">
        <v>96</v>
      </c>
      <c r="DI1834" s="25">
        <v>9.43</v>
      </c>
      <c r="DJ1834" s="24">
        <v>85</v>
      </c>
      <c r="DK1834" s="25">
        <v>47.13</v>
      </c>
      <c r="DL1834" s="24">
        <v>96</v>
      </c>
      <c r="DM1834" s="25">
        <v>1.17</v>
      </c>
      <c r="DN1834" s="24">
        <v>54</v>
      </c>
      <c r="DO1834" s="25">
        <v>9.43</v>
      </c>
      <c r="DP1834" s="24">
        <v>87</v>
      </c>
      <c r="DQ1834" s="24">
        <v>15668</v>
      </c>
      <c r="DR1834" s="26">
        <v>1494</v>
      </c>
      <c r="DS1834" s="23">
        <v>10.54</v>
      </c>
      <c r="DT1834" s="24">
        <v>34</v>
      </c>
      <c r="DU1834" s="26">
        <v>0</v>
      </c>
      <c r="DV1834" s="23">
        <v>0</v>
      </c>
      <c r="DW1834" s="24">
        <v>3362</v>
      </c>
      <c r="DX1834" s="27">
        <v>34</v>
      </c>
      <c r="DY1834" s="23">
        <v>1.02</v>
      </c>
      <c r="DZ1834" s="15" t="s">
        <v>178</v>
      </c>
      <c r="EA1834" s="22">
        <v>43609</v>
      </c>
      <c r="EB1834" s="17">
        <v>2500</v>
      </c>
      <c r="EC1834" s="22">
        <v>43503</v>
      </c>
      <c r="ED1834" s="15" t="s">
        <v>205</v>
      </c>
      <c r="EE1834" s="14" t="str">
        <f>HYPERLINK("https://my.pitchbook.com?c=178930-90", "View company online")</f>
        <v>View company online</v>
      </c>
    </row>
    <row r="1835" spans="1:135">
      <c r="A1835" s="28" t="s">
        <v>34829</v>
      </c>
      <c r="B1835" s="28" t="s">
        <v>34830</v>
      </c>
      <c r="C1835" s="28" t="s">
        <v>138</v>
      </c>
      <c r="D1835" s="28" t="s">
        <v>34831</v>
      </c>
      <c r="E1835" s="28" t="s">
        <v>34832</v>
      </c>
      <c r="F1835" s="28" t="s">
        <v>34829</v>
      </c>
      <c r="G1835" s="28" t="s">
        <v>34833</v>
      </c>
      <c r="H1835" s="28" t="s">
        <v>238</v>
      </c>
      <c r="I1835" s="28" t="s">
        <v>749</v>
      </c>
      <c r="J1835" s="28" t="s">
        <v>34834</v>
      </c>
      <c r="K1835" s="28" t="s">
        <v>34835</v>
      </c>
      <c r="L1835" s="28" t="s">
        <v>752</v>
      </c>
      <c r="M1835" s="28" t="s">
        <v>34836</v>
      </c>
      <c r="N1835" s="28" t="s">
        <v>147</v>
      </c>
      <c r="O1835" s="29">
        <v>7.98</v>
      </c>
      <c r="P1835" s="28" t="s">
        <v>148</v>
      </c>
      <c r="Q1835" s="28" t="s">
        <v>149</v>
      </c>
      <c r="R1835" s="28" t="s">
        <v>174</v>
      </c>
      <c r="S1835" s="28" t="s">
        <v>34837</v>
      </c>
      <c r="T1835" s="30">
        <v>10</v>
      </c>
      <c r="U1835" s="28" t="s">
        <v>7012</v>
      </c>
      <c r="V1835" s="28" t="s">
        <v>138</v>
      </c>
      <c r="W1835" s="28" t="s">
        <v>138</v>
      </c>
      <c r="X1835" s="31">
        <v>2012</v>
      </c>
      <c r="Y1835" s="28" t="s">
        <v>138</v>
      </c>
      <c r="Z1835" s="28" t="s">
        <v>138</v>
      </c>
      <c r="AA1835" s="28" t="s">
        <v>138</v>
      </c>
      <c r="AB1835" s="32">
        <v>7.5</v>
      </c>
      <c r="AC1835" s="32" t="s">
        <v>138</v>
      </c>
      <c r="AD1835" s="32" t="s">
        <v>138</v>
      </c>
      <c r="AE1835" s="32" t="s">
        <v>138</v>
      </c>
      <c r="AF1835" s="32" t="s">
        <v>138</v>
      </c>
      <c r="AG1835" s="28" t="s">
        <v>815</v>
      </c>
      <c r="AH1835" s="32" t="s">
        <v>138</v>
      </c>
      <c r="AI1835" s="32" t="s">
        <v>138</v>
      </c>
      <c r="AJ1835" s="32" t="s">
        <v>138</v>
      </c>
      <c r="AK1835" s="28" t="s">
        <v>34838</v>
      </c>
      <c r="AL1835" s="28" t="s">
        <v>34839</v>
      </c>
      <c r="AM1835" s="28" t="s">
        <v>4192</v>
      </c>
      <c r="AN1835" s="28" t="s">
        <v>138</v>
      </c>
      <c r="AO1835" s="28" t="s">
        <v>34840</v>
      </c>
      <c r="AP1835" s="28" t="s">
        <v>2027</v>
      </c>
      <c r="AQ1835" s="28" t="s">
        <v>34841</v>
      </c>
      <c r="AR1835" s="28" t="s">
        <v>138</v>
      </c>
      <c r="AS1835" s="28" t="s">
        <v>2030</v>
      </c>
      <c r="AT1835" s="28" t="s">
        <v>2031</v>
      </c>
      <c r="AU1835" s="28" t="s">
        <v>34842</v>
      </c>
      <c r="AV1835" s="28" t="s">
        <v>162</v>
      </c>
      <c r="AW1835" s="28" t="s">
        <v>34840</v>
      </c>
      <c r="AX1835" s="28" t="s">
        <v>34843</v>
      </c>
      <c r="AY1835" s="28" t="s">
        <v>34844</v>
      </c>
      <c r="AZ1835" s="28" t="s">
        <v>164</v>
      </c>
      <c r="BA1835" s="28" t="s">
        <v>165</v>
      </c>
      <c r="BB1835" s="28" t="s">
        <v>34845</v>
      </c>
      <c r="BC1835" s="28" t="s">
        <v>34846</v>
      </c>
      <c r="BD1835" s="33">
        <v>11</v>
      </c>
      <c r="BE1835" s="28" t="s">
        <v>138</v>
      </c>
      <c r="BF1835" s="28" t="s">
        <v>138</v>
      </c>
      <c r="BG1835" s="28" t="s">
        <v>138</v>
      </c>
      <c r="BH1835" s="28" t="s">
        <v>34847</v>
      </c>
      <c r="BI1835" s="28" t="s">
        <v>138</v>
      </c>
      <c r="BJ1835" s="28" t="s">
        <v>138</v>
      </c>
      <c r="BK1835" s="28" t="s">
        <v>6179</v>
      </c>
      <c r="BL1835" s="28" t="s">
        <v>34848</v>
      </c>
      <c r="BM1835" s="34" t="s">
        <v>138</v>
      </c>
      <c r="BN1835" s="29">
        <v>0.01</v>
      </c>
      <c r="BO1835" s="28" t="s">
        <v>172</v>
      </c>
      <c r="BP1835" s="29" t="s">
        <v>138</v>
      </c>
      <c r="BQ1835" s="28" t="s">
        <v>138</v>
      </c>
      <c r="BR1835" s="28" t="s">
        <v>1830</v>
      </c>
      <c r="BS1835" s="28" t="s">
        <v>138</v>
      </c>
      <c r="BT1835" s="28" t="s">
        <v>138</v>
      </c>
      <c r="BU1835" s="28" t="s">
        <v>263</v>
      </c>
      <c r="BV1835" s="28" t="s">
        <v>138</v>
      </c>
      <c r="BW1835" s="28" t="s">
        <v>138</v>
      </c>
      <c r="BX1835" s="28" t="s">
        <v>138</v>
      </c>
      <c r="BY1835" s="28" t="s">
        <v>175</v>
      </c>
      <c r="BZ1835" s="34">
        <v>43510</v>
      </c>
      <c r="CA1835" s="29">
        <v>5</v>
      </c>
      <c r="CB1835" s="28" t="s">
        <v>172</v>
      </c>
      <c r="CC1835" s="29" t="s">
        <v>138</v>
      </c>
      <c r="CD1835" s="28" t="s">
        <v>138</v>
      </c>
      <c r="CE1835" s="28" t="s">
        <v>173</v>
      </c>
      <c r="CF1835" s="28" t="s">
        <v>720</v>
      </c>
      <c r="CG1835" s="28" t="s">
        <v>138</v>
      </c>
      <c r="CH1835" s="28" t="s">
        <v>174</v>
      </c>
      <c r="CI1835" s="28" t="s">
        <v>138</v>
      </c>
      <c r="CJ1835" s="28" t="s">
        <v>138</v>
      </c>
      <c r="CK1835" s="28" t="s">
        <v>138</v>
      </c>
      <c r="CL1835" s="28" t="s">
        <v>175</v>
      </c>
      <c r="CM1835" s="34" t="s">
        <v>138</v>
      </c>
      <c r="CN1835" s="29" t="s">
        <v>138</v>
      </c>
      <c r="CO1835" s="35">
        <v>-1.05</v>
      </c>
      <c r="CP1835" s="36">
        <v>11</v>
      </c>
      <c r="CQ1835" s="35">
        <v>0</v>
      </c>
      <c r="CR1835" s="35">
        <v>0</v>
      </c>
      <c r="CS1835" s="35">
        <v>-2.25</v>
      </c>
      <c r="CT1835" s="36">
        <v>8</v>
      </c>
      <c r="CU1835" s="35">
        <v>0.14000000000000001</v>
      </c>
      <c r="CV1835" s="36">
        <v>74</v>
      </c>
      <c r="CW1835" s="35">
        <v>-2.25</v>
      </c>
      <c r="CX1835" s="36">
        <v>7</v>
      </c>
      <c r="CY1835" s="35" t="s">
        <v>138</v>
      </c>
      <c r="CZ1835" s="36" t="s">
        <v>138</v>
      </c>
      <c r="DA1835" s="35">
        <v>-0.09</v>
      </c>
      <c r="DB1835" s="36">
        <v>7</v>
      </c>
      <c r="DC1835" s="37">
        <v>8.43</v>
      </c>
      <c r="DD1835" s="36">
        <v>88</v>
      </c>
      <c r="DE1835" s="37">
        <v>-0.12</v>
      </c>
      <c r="DF1835" s="35">
        <v>-1.4</v>
      </c>
      <c r="DG1835" s="37">
        <v>1.92</v>
      </c>
      <c r="DH1835" s="36">
        <v>66</v>
      </c>
      <c r="DI1835" s="37">
        <v>14.94</v>
      </c>
      <c r="DJ1835" s="36">
        <v>89</v>
      </c>
      <c r="DK1835" s="37">
        <v>1.92</v>
      </c>
      <c r="DL1835" s="36">
        <v>64</v>
      </c>
      <c r="DM1835" s="37" t="s">
        <v>138</v>
      </c>
      <c r="DN1835" s="36" t="s">
        <v>138</v>
      </c>
      <c r="DO1835" s="37">
        <v>8.9499999999999993</v>
      </c>
      <c r="DP1835" s="36">
        <v>86</v>
      </c>
      <c r="DQ1835" s="36">
        <v>641</v>
      </c>
      <c r="DR1835" s="38">
        <v>55</v>
      </c>
      <c r="DS1835" s="35">
        <v>9.39</v>
      </c>
      <c r="DT1835" s="36" t="s">
        <v>138</v>
      </c>
      <c r="DU1835" s="38" t="s">
        <v>138</v>
      </c>
      <c r="DV1835" s="35" t="s">
        <v>138</v>
      </c>
      <c r="DW1835" s="36">
        <v>3207</v>
      </c>
      <c r="DX1835" s="39">
        <v>-3</v>
      </c>
      <c r="DY1835" s="35">
        <v>-0.09</v>
      </c>
      <c r="DZ1835" s="28" t="s">
        <v>178</v>
      </c>
      <c r="EA1835" s="34">
        <v>43622</v>
      </c>
      <c r="EB1835" s="29">
        <v>2.25</v>
      </c>
      <c r="EC1835" s="34">
        <v>41710</v>
      </c>
      <c r="ED1835" s="28" t="s">
        <v>234</v>
      </c>
      <c r="EE1835" s="40" t="str">
        <f>HYPERLINK("https://my.pitchbook.com?c=170773-39", "View company online")</f>
        <v>View company online</v>
      </c>
    </row>
    <row r="1836" spans="1:135">
      <c r="A1836" s="15" t="s">
        <v>34849</v>
      </c>
      <c r="B1836" s="15" t="s">
        <v>34850</v>
      </c>
      <c r="C1836" s="15" t="s">
        <v>138</v>
      </c>
      <c r="D1836" s="15" t="s">
        <v>34851</v>
      </c>
      <c r="E1836" s="15" t="s">
        <v>34852</v>
      </c>
      <c r="F1836" s="15" t="s">
        <v>34849</v>
      </c>
      <c r="G1836" s="15" t="s">
        <v>34853</v>
      </c>
      <c r="H1836" s="15" t="s">
        <v>322</v>
      </c>
      <c r="I1836" s="15" t="s">
        <v>323</v>
      </c>
      <c r="J1836" s="15" t="s">
        <v>539</v>
      </c>
      <c r="K1836" s="15" t="s">
        <v>34854</v>
      </c>
      <c r="L1836" s="15" t="s">
        <v>34855</v>
      </c>
      <c r="M1836" s="15" t="s">
        <v>34856</v>
      </c>
      <c r="N1836" s="15" t="s">
        <v>147</v>
      </c>
      <c r="O1836" s="17">
        <v>9.7799999999999994</v>
      </c>
      <c r="P1836" s="15" t="s">
        <v>148</v>
      </c>
      <c r="Q1836" s="15" t="s">
        <v>149</v>
      </c>
      <c r="R1836" s="15" t="s">
        <v>174</v>
      </c>
      <c r="S1836" s="15" t="s">
        <v>34857</v>
      </c>
      <c r="T1836" s="18">
        <v>40</v>
      </c>
      <c r="U1836" s="15" t="s">
        <v>34858</v>
      </c>
      <c r="V1836" s="15" t="s">
        <v>138</v>
      </c>
      <c r="W1836" s="15" t="s">
        <v>138</v>
      </c>
      <c r="X1836" s="19">
        <v>2011</v>
      </c>
      <c r="Y1836" s="15" t="s">
        <v>138</v>
      </c>
      <c r="Z1836" s="15" t="s">
        <v>138</v>
      </c>
      <c r="AA1836" s="15" t="s">
        <v>138</v>
      </c>
      <c r="AB1836" s="20" t="s">
        <v>138</v>
      </c>
      <c r="AC1836" s="20" t="s">
        <v>138</v>
      </c>
      <c r="AD1836" s="20" t="s">
        <v>138</v>
      </c>
      <c r="AE1836" s="20" t="s">
        <v>138</v>
      </c>
      <c r="AF1836" s="20" t="s">
        <v>138</v>
      </c>
      <c r="AG1836" s="15" t="s">
        <v>138</v>
      </c>
      <c r="AH1836" s="20" t="s">
        <v>138</v>
      </c>
      <c r="AI1836" s="20" t="s">
        <v>138</v>
      </c>
      <c r="AJ1836" s="20" t="s">
        <v>138</v>
      </c>
      <c r="AK1836" s="15" t="s">
        <v>34859</v>
      </c>
      <c r="AL1836" s="15" t="s">
        <v>34860</v>
      </c>
      <c r="AM1836" s="15" t="s">
        <v>304</v>
      </c>
      <c r="AN1836" s="15" t="s">
        <v>34861</v>
      </c>
      <c r="AO1836" s="15" t="s">
        <v>34862</v>
      </c>
      <c r="AP1836" s="15" t="s">
        <v>2692</v>
      </c>
      <c r="AQ1836" s="15" t="s">
        <v>34863</v>
      </c>
      <c r="AR1836" s="15" t="s">
        <v>138</v>
      </c>
      <c r="AS1836" s="15" t="s">
        <v>2694</v>
      </c>
      <c r="AT1836" s="15" t="s">
        <v>138</v>
      </c>
      <c r="AU1836" s="15" t="s">
        <v>23869</v>
      </c>
      <c r="AV1836" s="15" t="s">
        <v>1054</v>
      </c>
      <c r="AW1836" s="15" t="s">
        <v>34862</v>
      </c>
      <c r="AX1836" s="15" t="s">
        <v>138</v>
      </c>
      <c r="AY1836" s="15" t="s">
        <v>34864</v>
      </c>
      <c r="AZ1836" s="15" t="s">
        <v>530</v>
      </c>
      <c r="BA1836" s="15" t="s">
        <v>531</v>
      </c>
      <c r="BB1836" s="15" t="s">
        <v>34865</v>
      </c>
      <c r="BC1836" s="15" t="s">
        <v>34866</v>
      </c>
      <c r="BD1836" s="21">
        <v>9</v>
      </c>
      <c r="BE1836" s="15" t="s">
        <v>138</v>
      </c>
      <c r="BF1836" s="15" t="s">
        <v>138</v>
      </c>
      <c r="BG1836" s="15" t="s">
        <v>138</v>
      </c>
      <c r="BH1836" s="15" t="s">
        <v>34867</v>
      </c>
      <c r="BI1836" s="15" t="s">
        <v>138</v>
      </c>
      <c r="BJ1836" s="15" t="s">
        <v>138</v>
      </c>
      <c r="BK1836" s="15" t="s">
        <v>138</v>
      </c>
      <c r="BL1836" s="15" t="s">
        <v>138</v>
      </c>
      <c r="BM1836" s="22" t="s">
        <v>138</v>
      </c>
      <c r="BN1836" s="17">
        <v>0.01</v>
      </c>
      <c r="BO1836" s="15" t="s">
        <v>172</v>
      </c>
      <c r="BP1836" s="17" t="s">
        <v>138</v>
      </c>
      <c r="BQ1836" s="15" t="s">
        <v>138</v>
      </c>
      <c r="BR1836" s="15" t="s">
        <v>316</v>
      </c>
      <c r="BS1836" s="15" t="s">
        <v>138</v>
      </c>
      <c r="BT1836" s="15" t="s">
        <v>138</v>
      </c>
      <c r="BU1836" s="15" t="s">
        <v>174</v>
      </c>
      <c r="BV1836" s="15" t="s">
        <v>138</v>
      </c>
      <c r="BW1836" s="15" t="s">
        <v>138</v>
      </c>
      <c r="BX1836" s="15" t="s">
        <v>138</v>
      </c>
      <c r="BY1836" s="15" t="s">
        <v>175</v>
      </c>
      <c r="BZ1836" s="22">
        <v>42992</v>
      </c>
      <c r="CA1836" s="17">
        <v>5</v>
      </c>
      <c r="CB1836" s="15" t="s">
        <v>172</v>
      </c>
      <c r="CC1836" s="17" t="s">
        <v>138</v>
      </c>
      <c r="CD1836" s="15" t="s">
        <v>138</v>
      </c>
      <c r="CE1836" s="15" t="s">
        <v>173</v>
      </c>
      <c r="CF1836" s="15" t="s">
        <v>138</v>
      </c>
      <c r="CG1836" s="15" t="s">
        <v>138</v>
      </c>
      <c r="CH1836" s="15" t="s">
        <v>174</v>
      </c>
      <c r="CI1836" s="15" t="s">
        <v>138</v>
      </c>
      <c r="CJ1836" s="15" t="s">
        <v>138</v>
      </c>
      <c r="CK1836" s="15" t="s">
        <v>138</v>
      </c>
      <c r="CL1836" s="15" t="s">
        <v>175</v>
      </c>
      <c r="CM1836" s="22" t="s">
        <v>138</v>
      </c>
      <c r="CN1836" s="17" t="s">
        <v>138</v>
      </c>
      <c r="CO1836" s="23">
        <v>-2.52</v>
      </c>
      <c r="CP1836" s="24">
        <v>4</v>
      </c>
      <c r="CQ1836" s="23">
        <v>0</v>
      </c>
      <c r="CR1836" s="23">
        <v>0.06</v>
      </c>
      <c r="CS1836" s="23">
        <v>-5.04</v>
      </c>
      <c r="CT1836" s="24">
        <v>2</v>
      </c>
      <c r="CU1836" s="23">
        <v>0</v>
      </c>
      <c r="CV1836" s="24">
        <v>22</v>
      </c>
      <c r="CW1836" s="23">
        <v>-5.04</v>
      </c>
      <c r="CX1836" s="24">
        <v>3</v>
      </c>
      <c r="CY1836" s="23" t="s">
        <v>138</v>
      </c>
      <c r="CZ1836" s="24" t="s">
        <v>138</v>
      </c>
      <c r="DA1836" s="23">
        <v>0.02</v>
      </c>
      <c r="DB1836" s="24">
        <v>58</v>
      </c>
      <c r="DC1836" s="25">
        <v>9.9600000000000009</v>
      </c>
      <c r="DD1836" s="24">
        <v>90</v>
      </c>
      <c r="DE1836" s="25">
        <v>-0.65</v>
      </c>
      <c r="DF1836" s="23">
        <v>-6.12</v>
      </c>
      <c r="DG1836" s="25">
        <v>10.3</v>
      </c>
      <c r="DH1836" s="24">
        <v>90</v>
      </c>
      <c r="DI1836" s="25">
        <v>9.6300000000000008</v>
      </c>
      <c r="DJ1836" s="24">
        <v>85</v>
      </c>
      <c r="DK1836" s="25">
        <v>10.3</v>
      </c>
      <c r="DL1836" s="24">
        <v>87</v>
      </c>
      <c r="DM1836" s="25" t="s">
        <v>138</v>
      </c>
      <c r="DN1836" s="24" t="s">
        <v>138</v>
      </c>
      <c r="DO1836" s="25">
        <v>11.6</v>
      </c>
      <c r="DP1836" s="24">
        <v>89</v>
      </c>
      <c r="DQ1836" s="24">
        <v>3575</v>
      </c>
      <c r="DR1836" s="26">
        <v>-125</v>
      </c>
      <c r="DS1836" s="23">
        <v>-3.38</v>
      </c>
      <c r="DT1836" s="24" t="s">
        <v>138</v>
      </c>
      <c r="DU1836" s="26" t="s">
        <v>138</v>
      </c>
      <c r="DV1836" s="23" t="s">
        <v>138</v>
      </c>
      <c r="DW1836" s="24">
        <v>4154</v>
      </c>
      <c r="DX1836" s="27">
        <v>-2</v>
      </c>
      <c r="DY1836" s="23">
        <v>-0.05</v>
      </c>
      <c r="DZ1836" s="15" t="s">
        <v>178</v>
      </c>
      <c r="EA1836" s="22">
        <v>43511</v>
      </c>
      <c r="EB1836" s="17">
        <v>5.79</v>
      </c>
      <c r="EC1836" s="22">
        <v>41759</v>
      </c>
      <c r="ED1836" s="15" t="s">
        <v>262</v>
      </c>
      <c r="EE1836" s="14" t="str">
        <f>HYPERLINK("https://my.pitchbook.com?c=56626-66", "View company online")</f>
        <v>View company online</v>
      </c>
    </row>
    <row r="1837" spans="1:135">
      <c r="A1837" s="28" t="s">
        <v>34868</v>
      </c>
      <c r="B1837" s="28" t="s">
        <v>34869</v>
      </c>
      <c r="C1837" s="28" t="s">
        <v>138</v>
      </c>
      <c r="D1837" s="28" t="s">
        <v>138</v>
      </c>
      <c r="E1837" s="28" t="s">
        <v>34870</v>
      </c>
      <c r="F1837" s="28" t="s">
        <v>34868</v>
      </c>
      <c r="G1837" s="28" t="s">
        <v>34871</v>
      </c>
      <c r="H1837" s="28" t="s">
        <v>322</v>
      </c>
      <c r="I1837" s="28" t="s">
        <v>323</v>
      </c>
      <c r="J1837" s="28" t="s">
        <v>1084</v>
      </c>
      <c r="K1837" s="28" t="s">
        <v>1579</v>
      </c>
      <c r="L1837" s="28" t="s">
        <v>34872</v>
      </c>
      <c r="M1837" s="28" t="s">
        <v>34873</v>
      </c>
      <c r="N1837" s="28" t="s">
        <v>147</v>
      </c>
      <c r="O1837" s="29">
        <v>24.45</v>
      </c>
      <c r="P1837" s="28" t="s">
        <v>148</v>
      </c>
      <c r="Q1837" s="28" t="s">
        <v>149</v>
      </c>
      <c r="R1837" s="28" t="s">
        <v>174</v>
      </c>
      <c r="S1837" s="28" t="s">
        <v>34874</v>
      </c>
      <c r="T1837" s="30">
        <v>25</v>
      </c>
      <c r="U1837" s="28" t="s">
        <v>34875</v>
      </c>
      <c r="V1837" s="28" t="s">
        <v>138</v>
      </c>
      <c r="W1837" s="28" t="s">
        <v>138</v>
      </c>
      <c r="X1837" s="31">
        <v>2013</v>
      </c>
      <c r="Y1837" s="28" t="s">
        <v>138</v>
      </c>
      <c r="Z1837" s="28" t="s">
        <v>138</v>
      </c>
      <c r="AA1837" s="28" t="s">
        <v>138</v>
      </c>
      <c r="AB1837" s="32" t="s">
        <v>138</v>
      </c>
      <c r="AC1837" s="32" t="s">
        <v>138</v>
      </c>
      <c r="AD1837" s="32" t="s">
        <v>138</v>
      </c>
      <c r="AE1837" s="32" t="s">
        <v>138</v>
      </c>
      <c r="AF1837" s="32" t="s">
        <v>138</v>
      </c>
      <c r="AG1837" s="28" t="s">
        <v>138</v>
      </c>
      <c r="AH1837" s="32" t="s">
        <v>138</v>
      </c>
      <c r="AI1837" s="32" t="s">
        <v>138</v>
      </c>
      <c r="AJ1837" s="32" t="s">
        <v>138</v>
      </c>
      <c r="AK1837" s="28" t="s">
        <v>34876</v>
      </c>
      <c r="AL1837" s="28" t="s">
        <v>34877</v>
      </c>
      <c r="AM1837" s="28" t="s">
        <v>304</v>
      </c>
      <c r="AN1837" s="28" t="s">
        <v>34878</v>
      </c>
      <c r="AO1837" s="28" t="s">
        <v>34879</v>
      </c>
      <c r="AP1837" s="28" t="s">
        <v>423</v>
      </c>
      <c r="AQ1837" s="28" t="s">
        <v>34880</v>
      </c>
      <c r="AR1837" s="28" t="s">
        <v>34881</v>
      </c>
      <c r="AS1837" s="28" t="s">
        <v>426</v>
      </c>
      <c r="AT1837" s="28" t="s">
        <v>426</v>
      </c>
      <c r="AU1837" s="28" t="s">
        <v>9016</v>
      </c>
      <c r="AV1837" s="28" t="s">
        <v>162</v>
      </c>
      <c r="AW1837" s="28" t="s">
        <v>34879</v>
      </c>
      <c r="AX1837" s="28" t="s">
        <v>138</v>
      </c>
      <c r="AY1837" s="28" t="s">
        <v>138</v>
      </c>
      <c r="AZ1837" s="28" t="s">
        <v>164</v>
      </c>
      <c r="BA1837" s="28" t="s">
        <v>165</v>
      </c>
      <c r="BB1837" s="28" t="s">
        <v>34882</v>
      </c>
      <c r="BC1837" s="28" t="s">
        <v>34883</v>
      </c>
      <c r="BD1837" s="33">
        <v>16</v>
      </c>
      <c r="BE1837" s="28" t="s">
        <v>138</v>
      </c>
      <c r="BF1837" s="28" t="s">
        <v>138</v>
      </c>
      <c r="BG1837" s="28" t="s">
        <v>138</v>
      </c>
      <c r="BH1837" s="28" t="s">
        <v>34884</v>
      </c>
      <c r="BI1837" s="28" t="s">
        <v>138</v>
      </c>
      <c r="BJ1837" s="28" t="s">
        <v>138</v>
      </c>
      <c r="BK1837" s="28" t="s">
        <v>34885</v>
      </c>
      <c r="BL1837" s="28" t="s">
        <v>34886</v>
      </c>
      <c r="BM1837" s="34">
        <v>41806</v>
      </c>
      <c r="BN1837" s="29" t="s">
        <v>138</v>
      </c>
      <c r="BO1837" s="28" t="s">
        <v>138</v>
      </c>
      <c r="BP1837" s="29" t="s">
        <v>138</v>
      </c>
      <c r="BQ1837" s="28" t="s">
        <v>138</v>
      </c>
      <c r="BR1837" s="28" t="s">
        <v>316</v>
      </c>
      <c r="BS1837" s="28" t="s">
        <v>138</v>
      </c>
      <c r="BT1837" s="28" t="s">
        <v>138</v>
      </c>
      <c r="BU1837" s="28" t="s">
        <v>177</v>
      </c>
      <c r="BV1837" s="28" t="s">
        <v>138</v>
      </c>
      <c r="BW1837" s="28" t="s">
        <v>138</v>
      </c>
      <c r="BX1837" s="28" t="s">
        <v>138</v>
      </c>
      <c r="BY1837" s="28" t="s">
        <v>175</v>
      </c>
      <c r="BZ1837" s="34">
        <v>43371</v>
      </c>
      <c r="CA1837" s="29">
        <v>13</v>
      </c>
      <c r="CB1837" s="28" t="s">
        <v>1178</v>
      </c>
      <c r="CC1837" s="29">
        <v>45</v>
      </c>
      <c r="CD1837" s="28" t="s">
        <v>172</v>
      </c>
      <c r="CE1837" s="28" t="s">
        <v>205</v>
      </c>
      <c r="CF1837" s="28" t="s">
        <v>7349</v>
      </c>
      <c r="CG1837" s="28" t="s">
        <v>138</v>
      </c>
      <c r="CH1837" s="28" t="s">
        <v>174</v>
      </c>
      <c r="CI1837" s="28" t="s">
        <v>138</v>
      </c>
      <c r="CJ1837" s="28" t="s">
        <v>138</v>
      </c>
      <c r="CK1837" s="28" t="s">
        <v>138</v>
      </c>
      <c r="CL1837" s="28" t="s">
        <v>175</v>
      </c>
      <c r="CM1837" s="34" t="s">
        <v>138</v>
      </c>
      <c r="CN1837" s="29" t="s">
        <v>138</v>
      </c>
      <c r="CO1837" s="35">
        <v>-0.02</v>
      </c>
      <c r="CP1837" s="36">
        <v>24</v>
      </c>
      <c r="CQ1837" s="35">
        <v>0</v>
      </c>
      <c r="CR1837" s="35">
        <v>4.91</v>
      </c>
      <c r="CS1837" s="35">
        <v>0</v>
      </c>
      <c r="CT1837" s="36">
        <v>23</v>
      </c>
      <c r="CU1837" s="35">
        <v>-0.03</v>
      </c>
      <c r="CV1837" s="36">
        <v>14</v>
      </c>
      <c r="CW1837" s="35">
        <v>0</v>
      </c>
      <c r="CX1837" s="36">
        <v>13</v>
      </c>
      <c r="CY1837" s="35" t="s">
        <v>138</v>
      </c>
      <c r="CZ1837" s="36" t="s">
        <v>138</v>
      </c>
      <c r="DA1837" s="35">
        <v>-0.03</v>
      </c>
      <c r="DB1837" s="36">
        <v>17</v>
      </c>
      <c r="DC1837" s="37">
        <v>10.34</v>
      </c>
      <c r="DD1837" s="36">
        <v>90</v>
      </c>
      <c r="DE1837" s="37">
        <v>-0.04</v>
      </c>
      <c r="DF1837" s="35">
        <v>-0.35</v>
      </c>
      <c r="DG1837" s="37">
        <v>1.24</v>
      </c>
      <c r="DH1837" s="36">
        <v>56</v>
      </c>
      <c r="DI1837" s="37">
        <v>19.440000000000001</v>
      </c>
      <c r="DJ1837" s="36">
        <v>90</v>
      </c>
      <c r="DK1837" s="37">
        <v>1.24</v>
      </c>
      <c r="DL1837" s="36">
        <v>55</v>
      </c>
      <c r="DM1837" s="37" t="s">
        <v>138</v>
      </c>
      <c r="DN1837" s="36" t="s">
        <v>138</v>
      </c>
      <c r="DO1837" s="37">
        <v>19.440000000000001</v>
      </c>
      <c r="DP1837" s="36">
        <v>92</v>
      </c>
      <c r="DQ1837" s="36">
        <v>407</v>
      </c>
      <c r="DR1837" s="38">
        <v>56</v>
      </c>
      <c r="DS1837" s="35">
        <v>15.95</v>
      </c>
      <c r="DT1837" s="36" t="s">
        <v>138</v>
      </c>
      <c r="DU1837" s="38" t="s">
        <v>138</v>
      </c>
      <c r="DV1837" s="35" t="s">
        <v>138</v>
      </c>
      <c r="DW1837" s="36">
        <v>6964</v>
      </c>
      <c r="DX1837" s="39">
        <v>-6</v>
      </c>
      <c r="DY1837" s="35">
        <v>-0.09</v>
      </c>
      <c r="DZ1837" s="28" t="s">
        <v>178</v>
      </c>
      <c r="EA1837" s="34">
        <v>43579</v>
      </c>
      <c r="EB1837" s="29">
        <v>45</v>
      </c>
      <c r="EC1837" s="34">
        <v>43371</v>
      </c>
      <c r="ED1837" s="28" t="s">
        <v>205</v>
      </c>
      <c r="EE1837" s="40" t="str">
        <f>HYPERLINK("https://my.pitchbook.com?c=62200-09", "View company online")</f>
        <v>View company online</v>
      </c>
    </row>
    <row r="1838" spans="1:135">
      <c r="A1838" s="15" t="s">
        <v>34887</v>
      </c>
      <c r="B1838" s="15" t="s">
        <v>34888</v>
      </c>
      <c r="C1838" s="15" t="s">
        <v>138</v>
      </c>
      <c r="D1838" s="15" t="s">
        <v>138</v>
      </c>
      <c r="E1838" s="15" t="s">
        <v>34889</v>
      </c>
      <c r="F1838" s="15" t="s">
        <v>34887</v>
      </c>
      <c r="G1838" s="15" t="s">
        <v>34890</v>
      </c>
      <c r="H1838" s="15" t="s">
        <v>322</v>
      </c>
      <c r="I1838" s="15" t="s">
        <v>323</v>
      </c>
      <c r="J1838" s="15" t="s">
        <v>413</v>
      </c>
      <c r="K1838" s="15" t="s">
        <v>34891</v>
      </c>
      <c r="L1838" s="15" t="s">
        <v>34892</v>
      </c>
      <c r="M1838" s="15" t="s">
        <v>34893</v>
      </c>
      <c r="N1838" s="15" t="s">
        <v>147</v>
      </c>
      <c r="O1838" s="17">
        <v>34.4</v>
      </c>
      <c r="P1838" s="15" t="s">
        <v>148</v>
      </c>
      <c r="Q1838" s="15" t="s">
        <v>149</v>
      </c>
      <c r="R1838" s="15" t="s">
        <v>174</v>
      </c>
      <c r="S1838" s="15" t="s">
        <v>34894</v>
      </c>
      <c r="T1838" s="18" t="s">
        <v>138</v>
      </c>
      <c r="U1838" s="15" t="s">
        <v>138</v>
      </c>
      <c r="V1838" s="15" t="s">
        <v>138</v>
      </c>
      <c r="W1838" s="15" t="s">
        <v>138</v>
      </c>
      <c r="X1838" s="19">
        <v>2015</v>
      </c>
      <c r="Y1838" s="15" t="s">
        <v>138</v>
      </c>
      <c r="Z1838" s="15" t="s">
        <v>34895</v>
      </c>
      <c r="AA1838" s="15" t="s">
        <v>34896</v>
      </c>
      <c r="AB1838" s="20" t="s">
        <v>138</v>
      </c>
      <c r="AC1838" s="20" t="s">
        <v>138</v>
      </c>
      <c r="AD1838" s="20" t="s">
        <v>138</v>
      </c>
      <c r="AE1838" s="20" t="s">
        <v>138</v>
      </c>
      <c r="AF1838" s="20" t="s">
        <v>138</v>
      </c>
      <c r="AG1838" s="15" t="s">
        <v>138</v>
      </c>
      <c r="AH1838" s="20" t="s">
        <v>138</v>
      </c>
      <c r="AI1838" s="20" t="s">
        <v>138</v>
      </c>
      <c r="AJ1838" s="20" t="s">
        <v>138</v>
      </c>
      <c r="AK1838" s="15" t="s">
        <v>34897</v>
      </c>
      <c r="AL1838" s="15" t="s">
        <v>34898</v>
      </c>
      <c r="AM1838" s="15" t="s">
        <v>249</v>
      </c>
      <c r="AN1838" s="15" t="s">
        <v>34899</v>
      </c>
      <c r="AO1838" s="15" t="s">
        <v>138</v>
      </c>
      <c r="AP1838" s="15" t="s">
        <v>1168</v>
      </c>
      <c r="AQ1838" s="15" t="s">
        <v>34900</v>
      </c>
      <c r="AR1838" s="15" t="s">
        <v>138</v>
      </c>
      <c r="AS1838" s="15" t="s">
        <v>1171</v>
      </c>
      <c r="AT1838" s="15" t="s">
        <v>200</v>
      </c>
      <c r="AU1838" s="15" t="s">
        <v>4152</v>
      </c>
      <c r="AV1838" s="15" t="s">
        <v>162</v>
      </c>
      <c r="AW1838" s="15" t="s">
        <v>138</v>
      </c>
      <c r="AX1838" s="15" t="s">
        <v>138</v>
      </c>
      <c r="AY1838" s="15" t="s">
        <v>34901</v>
      </c>
      <c r="AZ1838" s="15" t="s">
        <v>164</v>
      </c>
      <c r="BA1838" s="15" t="s">
        <v>165</v>
      </c>
      <c r="BB1838" s="15" t="s">
        <v>34902</v>
      </c>
      <c r="BC1838" s="15" t="s">
        <v>34903</v>
      </c>
      <c r="BD1838" s="21">
        <v>10</v>
      </c>
      <c r="BE1838" s="15" t="s">
        <v>138</v>
      </c>
      <c r="BF1838" s="15" t="s">
        <v>138</v>
      </c>
      <c r="BG1838" s="15" t="s">
        <v>138</v>
      </c>
      <c r="BH1838" s="15" t="s">
        <v>34904</v>
      </c>
      <c r="BI1838" s="15" t="s">
        <v>138</v>
      </c>
      <c r="BJ1838" s="15" t="s">
        <v>138</v>
      </c>
      <c r="BK1838" s="15" t="s">
        <v>138</v>
      </c>
      <c r="BL1838" s="15" t="s">
        <v>138</v>
      </c>
      <c r="BM1838" s="22">
        <v>42362</v>
      </c>
      <c r="BN1838" s="17">
        <v>10</v>
      </c>
      <c r="BO1838" s="15" t="s">
        <v>1178</v>
      </c>
      <c r="BP1838" s="17" t="s">
        <v>138</v>
      </c>
      <c r="BQ1838" s="15" t="s">
        <v>138</v>
      </c>
      <c r="BR1838" s="15" t="s">
        <v>205</v>
      </c>
      <c r="BS1838" s="15" t="s">
        <v>138</v>
      </c>
      <c r="BT1838" s="15" t="s">
        <v>138</v>
      </c>
      <c r="BU1838" s="15" t="s">
        <v>174</v>
      </c>
      <c r="BV1838" s="15" t="s">
        <v>138</v>
      </c>
      <c r="BW1838" s="15" t="s">
        <v>138</v>
      </c>
      <c r="BX1838" s="15" t="s">
        <v>138</v>
      </c>
      <c r="BY1838" s="15" t="s">
        <v>175</v>
      </c>
      <c r="BZ1838" s="22">
        <v>43577</v>
      </c>
      <c r="CA1838" s="17">
        <v>10</v>
      </c>
      <c r="CB1838" s="15" t="s">
        <v>1178</v>
      </c>
      <c r="CC1838" s="17" t="s">
        <v>138</v>
      </c>
      <c r="CD1838" s="15" t="s">
        <v>138</v>
      </c>
      <c r="CE1838" s="15" t="s">
        <v>205</v>
      </c>
      <c r="CF1838" s="15" t="s">
        <v>138</v>
      </c>
      <c r="CG1838" s="15" t="s">
        <v>138</v>
      </c>
      <c r="CH1838" s="15" t="s">
        <v>174</v>
      </c>
      <c r="CI1838" s="15" t="s">
        <v>138</v>
      </c>
      <c r="CJ1838" s="15" t="s">
        <v>138</v>
      </c>
      <c r="CK1838" s="15" t="s">
        <v>138</v>
      </c>
      <c r="CL1838" s="15" t="s">
        <v>175</v>
      </c>
      <c r="CM1838" s="22" t="s">
        <v>138</v>
      </c>
      <c r="CN1838" s="17" t="s">
        <v>138</v>
      </c>
      <c r="CO1838" s="23">
        <v>-0.81</v>
      </c>
      <c r="CP1838" s="24">
        <v>13</v>
      </c>
      <c r="CQ1838" s="23">
        <v>-0.02</v>
      </c>
      <c r="CR1838" s="23">
        <v>-2.63</v>
      </c>
      <c r="CS1838" s="23">
        <v>-1.62</v>
      </c>
      <c r="CT1838" s="24">
        <v>11</v>
      </c>
      <c r="CU1838" s="23">
        <v>-0.01</v>
      </c>
      <c r="CV1838" s="24">
        <v>20</v>
      </c>
      <c r="CW1838" s="23">
        <v>-1.56</v>
      </c>
      <c r="CX1838" s="24">
        <v>8</v>
      </c>
      <c r="CY1838" s="23">
        <v>-1.68</v>
      </c>
      <c r="CZ1838" s="24">
        <v>13</v>
      </c>
      <c r="DA1838" s="23">
        <v>0</v>
      </c>
      <c r="DB1838" s="24">
        <v>22</v>
      </c>
      <c r="DC1838" s="25">
        <v>5.65</v>
      </c>
      <c r="DD1838" s="24">
        <v>84</v>
      </c>
      <c r="DE1838" s="25">
        <v>-0.09</v>
      </c>
      <c r="DF1838" s="23">
        <v>-1.53</v>
      </c>
      <c r="DG1838" s="25">
        <v>5.74</v>
      </c>
      <c r="DH1838" s="24">
        <v>84</v>
      </c>
      <c r="DI1838" s="25">
        <v>5.55</v>
      </c>
      <c r="DJ1838" s="24">
        <v>79</v>
      </c>
      <c r="DK1838" s="25">
        <v>1.83</v>
      </c>
      <c r="DL1838" s="24">
        <v>63</v>
      </c>
      <c r="DM1838" s="25">
        <v>9.66</v>
      </c>
      <c r="DN1838" s="24">
        <v>88</v>
      </c>
      <c r="DO1838" s="25">
        <v>0.01</v>
      </c>
      <c r="DP1838" s="24">
        <v>1</v>
      </c>
      <c r="DQ1838" s="24">
        <v>619</v>
      </c>
      <c r="DR1838" s="26">
        <v>24</v>
      </c>
      <c r="DS1838" s="23">
        <v>4.03</v>
      </c>
      <c r="DT1838" s="24">
        <v>281</v>
      </c>
      <c r="DU1838" s="26">
        <v>-1</v>
      </c>
      <c r="DV1838" s="23">
        <v>-0.35</v>
      </c>
      <c r="DW1838" s="24">
        <v>5</v>
      </c>
      <c r="DX1838" s="27">
        <v>0</v>
      </c>
      <c r="DY1838" s="23">
        <v>0</v>
      </c>
      <c r="DZ1838" s="15" t="s">
        <v>178</v>
      </c>
      <c r="EA1838" s="22">
        <v>43622</v>
      </c>
      <c r="EB1838" s="17" t="s">
        <v>138</v>
      </c>
      <c r="EC1838" s="22" t="s">
        <v>138</v>
      </c>
      <c r="ED1838" s="15" t="s">
        <v>138</v>
      </c>
      <c r="EE1838" s="14" t="str">
        <f>HYPERLINK("https://my.pitchbook.com?c=150358-78", "View company online")</f>
        <v>View company online</v>
      </c>
    </row>
    <row r="1839" spans="1:135">
      <c r="A1839" s="28" t="s">
        <v>34905</v>
      </c>
      <c r="B1839" s="28" t="s">
        <v>34906</v>
      </c>
      <c r="C1839" s="28" t="s">
        <v>138</v>
      </c>
      <c r="D1839" s="28" t="s">
        <v>138</v>
      </c>
      <c r="E1839" s="28" t="s">
        <v>34907</v>
      </c>
      <c r="F1839" s="28" t="s">
        <v>34905</v>
      </c>
      <c r="G1839" s="28" t="s">
        <v>34908</v>
      </c>
      <c r="H1839" s="28" t="s">
        <v>322</v>
      </c>
      <c r="I1839" s="28" t="s">
        <v>323</v>
      </c>
      <c r="J1839" s="28" t="s">
        <v>954</v>
      </c>
      <c r="K1839" s="28" t="s">
        <v>10641</v>
      </c>
      <c r="L1839" s="28" t="s">
        <v>34909</v>
      </c>
      <c r="M1839" s="28" t="s">
        <v>34910</v>
      </c>
      <c r="N1839" s="28" t="s">
        <v>147</v>
      </c>
      <c r="O1839" s="29">
        <v>115.13</v>
      </c>
      <c r="P1839" s="28" t="s">
        <v>610</v>
      </c>
      <c r="Q1839" s="28" t="s">
        <v>149</v>
      </c>
      <c r="R1839" s="28" t="s">
        <v>174</v>
      </c>
      <c r="S1839" s="28" t="s">
        <v>34911</v>
      </c>
      <c r="T1839" s="30" t="s">
        <v>138</v>
      </c>
      <c r="U1839" s="28" t="s">
        <v>138</v>
      </c>
      <c r="V1839" s="28" t="s">
        <v>138</v>
      </c>
      <c r="W1839" s="28" t="s">
        <v>138</v>
      </c>
      <c r="X1839" s="31">
        <v>2013</v>
      </c>
      <c r="Y1839" s="28" t="s">
        <v>138</v>
      </c>
      <c r="Z1839" s="28" t="s">
        <v>138</v>
      </c>
      <c r="AA1839" s="28" t="s">
        <v>138</v>
      </c>
      <c r="AB1839" s="32" t="s">
        <v>138</v>
      </c>
      <c r="AC1839" s="32" t="s">
        <v>138</v>
      </c>
      <c r="AD1839" s="32" t="s">
        <v>138</v>
      </c>
      <c r="AE1839" s="32" t="s">
        <v>138</v>
      </c>
      <c r="AF1839" s="32" t="s">
        <v>138</v>
      </c>
      <c r="AG1839" s="28" t="s">
        <v>138</v>
      </c>
      <c r="AH1839" s="32" t="s">
        <v>138</v>
      </c>
      <c r="AI1839" s="32" t="s">
        <v>138</v>
      </c>
      <c r="AJ1839" s="32" t="s">
        <v>138</v>
      </c>
      <c r="AK1839" s="28" t="s">
        <v>34912</v>
      </c>
      <c r="AL1839" s="28" t="s">
        <v>34913</v>
      </c>
      <c r="AM1839" s="28" t="s">
        <v>1955</v>
      </c>
      <c r="AN1839" s="28" t="s">
        <v>138</v>
      </c>
      <c r="AO1839" s="28" t="s">
        <v>138</v>
      </c>
      <c r="AP1839" s="28" t="s">
        <v>496</v>
      </c>
      <c r="AQ1839" s="28" t="s">
        <v>138</v>
      </c>
      <c r="AR1839" s="28" t="s">
        <v>138</v>
      </c>
      <c r="AS1839" s="28" t="s">
        <v>499</v>
      </c>
      <c r="AT1839" s="28" t="s">
        <v>138</v>
      </c>
      <c r="AU1839" s="28" t="s">
        <v>138</v>
      </c>
      <c r="AV1839" s="28" t="s">
        <v>450</v>
      </c>
      <c r="AW1839" s="28" t="s">
        <v>138</v>
      </c>
      <c r="AX1839" s="28" t="s">
        <v>138</v>
      </c>
      <c r="AY1839" s="28" t="s">
        <v>34914</v>
      </c>
      <c r="AZ1839" s="28" t="s">
        <v>452</v>
      </c>
      <c r="BA1839" s="28" t="s">
        <v>453</v>
      </c>
      <c r="BB1839" s="28" t="s">
        <v>34915</v>
      </c>
      <c r="BC1839" s="28" t="s">
        <v>34916</v>
      </c>
      <c r="BD1839" s="33">
        <v>11</v>
      </c>
      <c r="BE1839" s="28" t="s">
        <v>138</v>
      </c>
      <c r="BF1839" s="28" t="s">
        <v>138</v>
      </c>
      <c r="BG1839" s="28" t="s">
        <v>138</v>
      </c>
      <c r="BH1839" s="28" t="s">
        <v>34917</v>
      </c>
      <c r="BI1839" s="28" t="s">
        <v>138</v>
      </c>
      <c r="BJ1839" s="28" t="s">
        <v>138</v>
      </c>
      <c r="BK1839" s="28" t="s">
        <v>138</v>
      </c>
      <c r="BL1839" s="28" t="s">
        <v>138</v>
      </c>
      <c r="BM1839" s="34">
        <v>42165</v>
      </c>
      <c r="BN1839" s="29">
        <v>9.82</v>
      </c>
      <c r="BO1839" s="28" t="s">
        <v>172</v>
      </c>
      <c r="BP1839" s="29" t="s">
        <v>138</v>
      </c>
      <c r="BQ1839" s="28" t="s">
        <v>138</v>
      </c>
      <c r="BR1839" s="28" t="s">
        <v>205</v>
      </c>
      <c r="BS1839" s="28" t="s">
        <v>206</v>
      </c>
      <c r="BT1839" s="28" t="s">
        <v>138</v>
      </c>
      <c r="BU1839" s="28" t="s">
        <v>174</v>
      </c>
      <c r="BV1839" s="28" t="s">
        <v>138</v>
      </c>
      <c r="BW1839" s="28" t="s">
        <v>138</v>
      </c>
      <c r="BX1839" s="28" t="s">
        <v>138</v>
      </c>
      <c r="BY1839" s="28" t="s">
        <v>175</v>
      </c>
      <c r="BZ1839" s="34">
        <v>42789</v>
      </c>
      <c r="CA1839" s="29">
        <v>58.2</v>
      </c>
      <c r="CB1839" s="28" t="s">
        <v>172</v>
      </c>
      <c r="CC1839" s="29" t="s">
        <v>138</v>
      </c>
      <c r="CD1839" s="28" t="s">
        <v>138</v>
      </c>
      <c r="CE1839" s="28" t="s">
        <v>173</v>
      </c>
      <c r="CF1839" s="28" t="s">
        <v>317</v>
      </c>
      <c r="CG1839" s="28" t="s">
        <v>138</v>
      </c>
      <c r="CH1839" s="28" t="s">
        <v>174</v>
      </c>
      <c r="CI1839" s="28" t="s">
        <v>138</v>
      </c>
      <c r="CJ1839" s="28" t="s">
        <v>138</v>
      </c>
      <c r="CK1839" s="28" t="s">
        <v>138</v>
      </c>
      <c r="CL1839" s="28" t="s">
        <v>175</v>
      </c>
      <c r="CM1839" s="34" t="s">
        <v>138</v>
      </c>
      <c r="CN1839" s="29" t="s">
        <v>138</v>
      </c>
      <c r="CO1839" s="35">
        <v>-1.55</v>
      </c>
      <c r="CP1839" s="36">
        <v>7</v>
      </c>
      <c r="CQ1839" s="35">
        <v>0.01</v>
      </c>
      <c r="CR1839" s="35">
        <v>0.45</v>
      </c>
      <c r="CS1839" s="35">
        <v>-1.55</v>
      </c>
      <c r="CT1839" s="36">
        <v>11</v>
      </c>
      <c r="CU1839" s="35" t="s">
        <v>138</v>
      </c>
      <c r="CV1839" s="36" t="s">
        <v>138</v>
      </c>
      <c r="CW1839" s="35">
        <v>0</v>
      </c>
      <c r="CX1839" s="36">
        <v>13</v>
      </c>
      <c r="CY1839" s="35">
        <v>-3.09</v>
      </c>
      <c r="CZ1839" s="36">
        <v>7</v>
      </c>
      <c r="DA1839" s="35" t="s">
        <v>138</v>
      </c>
      <c r="DB1839" s="36" t="s">
        <v>138</v>
      </c>
      <c r="DC1839" s="37">
        <v>8.65</v>
      </c>
      <c r="DD1839" s="36">
        <v>89</v>
      </c>
      <c r="DE1839" s="37">
        <v>-0.03</v>
      </c>
      <c r="DF1839" s="35">
        <v>-0.38</v>
      </c>
      <c r="DG1839" s="37">
        <v>8.65</v>
      </c>
      <c r="DH1839" s="36">
        <v>88</v>
      </c>
      <c r="DI1839" s="37" t="s">
        <v>138</v>
      </c>
      <c r="DJ1839" s="36" t="s">
        <v>138</v>
      </c>
      <c r="DK1839" s="37">
        <v>0.52</v>
      </c>
      <c r="DL1839" s="36">
        <v>36</v>
      </c>
      <c r="DM1839" s="37">
        <v>16.79</v>
      </c>
      <c r="DN1839" s="36">
        <v>93</v>
      </c>
      <c r="DO1839" s="37" t="s">
        <v>138</v>
      </c>
      <c r="DP1839" s="36" t="s">
        <v>138</v>
      </c>
      <c r="DQ1839" s="36">
        <v>178</v>
      </c>
      <c r="DR1839" s="38">
        <v>-14</v>
      </c>
      <c r="DS1839" s="35">
        <v>-7.29</v>
      </c>
      <c r="DT1839" s="36">
        <v>487</v>
      </c>
      <c r="DU1839" s="38">
        <v>-1</v>
      </c>
      <c r="DV1839" s="35">
        <v>-0.2</v>
      </c>
      <c r="DW1839" s="36" t="s">
        <v>138</v>
      </c>
      <c r="DX1839" s="39" t="s">
        <v>138</v>
      </c>
      <c r="DY1839" s="35" t="s">
        <v>138</v>
      </c>
      <c r="DZ1839" s="28" t="s">
        <v>178</v>
      </c>
      <c r="EA1839" s="34">
        <v>43357</v>
      </c>
      <c r="EB1839" s="29" t="s">
        <v>138</v>
      </c>
      <c r="EC1839" s="34" t="s">
        <v>138</v>
      </c>
      <c r="ED1839" s="28" t="s">
        <v>138</v>
      </c>
      <c r="EE1839" s="40" t="str">
        <f>HYPERLINK("https://my.pitchbook.com?c=111445-30", "View company online")</f>
        <v>View company online</v>
      </c>
    </row>
    <row r="1840" spans="1:135">
      <c r="A1840" s="15" t="s">
        <v>34918</v>
      </c>
      <c r="B1840" s="15" t="s">
        <v>34919</v>
      </c>
      <c r="C1840" s="15" t="s">
        <v>138</v>
      </c>
      <c r="D1840" s="15" t="s">
        <v>138</v>
      </c>
      <c r="E1840" s="15" t="s">
        <v>34920</v>
      </c>
      <c r="F1840" s="15" t="s">
        <v>34918</v>
      </c>
      <c r="G1840" s="15" t="s">
        <v>34921</v>
      </c>
      <c r="H1840" s="15" t="s">
        <v>322</v>
      </c>
      <c r="I1840" s="15" t="s">
        <v>323</v>
      </c>
      <c r="J1840" s="15" t="s">
        <v>461</v>
      </c>
      <c r="K1840" s="15" t="s">
        <v>462</v>
      </c>
      <c r="L1840" s="15" t="s">
        <v>2210</v>
      </c>
      <c r="M1840" s="15" t="s">
        <v>34922</v>
      </c>
      <c r="N1840" s="15" t="s">
        <v>147</v>
      </c>
      <c r="O1840" s="17">
        <v>56.08</v>
      </c>
      <c r="P1840" s="15" t="s">
        <v>148</v>
      </c>
      <c r="Q1840" s="15" t="s">
        <v>149</v>
      </c>
      <c r="R1840" s="15" t="s">
        <v>244</v>
      </c>
      <c r="S1840" s="15" t="s">
        <v>34923</v>
      </c>
      <c r="T1840" s="18">
        <v>170</v>
      </c>
      <c r="U1840" s="15" t="s">
        <v>34924</v>
      </c>
      <c r="V1840" s="15" t="s">
        <v>138</v>
      </c>
      <c r="W1840" s="15" t="s">
        <v>138</v>
      </c>
      <c r="X1840" s="19">
        <v>2011</v>
      </c>
      <c r="Y1840" s="15" t="s">
        <v>138</v>
      </c>
      <c r="Z1840" s="15" t="s">
        <v>138</v>
      </c>
      <c r="AA1840" s="15" t="s">
        <v>1163</v>
      </c>
      <c r="AB1840" s="20" t="s">
        <v>138</v>
      </c>
      <c r="AC1840" s="20" t="s">
        <v>138</v>
      </c>
      <c r="AD1840" s="20" t="s">
        <v>138</v>
      </c>
      <c r="AE1840" s="20" t="s">
        <v>138</v>
      </c>
      <c r="AF1840" s="20" t="s">
        <v>138</v>
      </c>
      <c r="AG1840" s="15" t="s">
        <v>138</v>
      </c>
      <c r="AH1840" s="20" t="s">
        <v>138</v>
      </c>
      <c r="AI1840" s="20" t="s">
        <v>138</v>
      </c>
      <c r="AJ1840" s="20" t="s">
        <v>138</v>
      </c>
      <c r="AK1840" s="15" t="s">
        <v>34925</v>
      </c>
      <c r="AL1840" s="15" t="s">
        <v>34926</v>
      </c>
      <c r="AM1840" s="15" t="s">
        <v>2949</v>
      </c>
      <c r="AN1840" s="15" t="s">
        <v>34927</v>
      </c>
      <c r="AO1840" s="15" t="s">
        <v>34928</v>
      </c>
      <c r="AP1840" s="15" t="s">
        <v>5380</v>
      </c>
      <c r="AQ1840" s="15" t="s">
        <v>34929</v>
      </c>
      <c r="AR1840" s="15" t="s">
        <v>138</v>
      </c>
      <c r="AS1840" s="15" t="s">
        <v>5382</v>
      </c>
      <c r="AT1840" s="15" t="s">
        <v>200</v>
      </c>
      <c r="AU1840" s="15" t="s">
        <v>5383</v>
      </c>
      <c r="AV1840" s="15" t="s">
        <v>162</v>
      </c>
      <c r="AW1840" s="15" t="s">
        <v>34928</v>
      </c>
      <c r="AX1840" s="15" t="s">
        <v>138</v>
      </c>
      <c r="AY1840" s="15" t="s">
        <v>138</v>
      </c>
      <c r="AZ1840" s="15" t="s">
        <v>164</v>
      </c>
      <c r="BA1840" s="15" t="s">
        <v>165</v>
      </c>
      <c r="BB1840" s="15" t="s">
        <v>34930</v>
      </c>
      <c r="BC1840" s="15" t="s">
        <v>34931</v>
      </c>
      <c r="BD1840" s="21">
        <v>9</v>
      </c>
      <c r="BE1840" s="15" t="s">
        <v>138</v>
      </c>
      <c r="BF1840" s="15" t="s">
        <v>138</v>
      </c>
      <c r="BG1840" s="15" t="s">
        <v>138</v>
      </c>
      <c r="BH1840" s="15" t="s">
        <v>34932</v>
      </c>
      <c r="BI1840" s="15" t="s">
        <v>138</v>
      </c>
      <c r="BJ1840" s="15" t="s">
        <v>138</v>
      </c>
      <c r="BK1840" s="15" t="s">
        <v>34933</v>
      </c>
      <c r="BL1840" s="15" t="s">
        <v>34934</v>
      </c>
      <c r="BM1840" s="22">
        <v>41836</v>
      </c>
      <c r="BN1840" s="17">
        <v>2.88</v>
      </c>
      <c r="BO1840" s="15" t="s">
        <v>172</v>
      </c>
      <c r="BP1840" s="17">
        <v>10.16</v>
      </c>
      <c r="BQ1840" s="15" t="s">
        <v>172</v>
      </c>
      <c r="BR1840" s="15" t="s">
        <v>234</v>
      </c>
      <c r="BS1840" s="15" t="s">
        <v>234</v>
      </c>
      <c r="BT1840" s="15" t="s">
        <v>138</v>
      </c>
      <c r="BU1840" s="15" t="s">
        <v>174</v>
      </c>
      <c r="BV1840" s="15" t="s">
        <v>138</v>
      </c>
      <c r="BW1840" s="15" t="s">
        <v>138</v>
      </c>
      <c r="BX1840" s="15" t="s">
        <v>138</v>
      </c>
      <c r="BY1840" s="15" t="s">
        <v>175</v>
      </c>
      <c r="BZ1840" s="22">
        <v>43545</v>
      </c>
      <c r="CA1840" s="17">
        <v>5.2</v>
      </c>
      <c r="CB1840" s="15" t="s">
        <v>1178</v>
      </c>
      <c r="CC1840" s="17">
        <v>235.2</v>
      </c>
      <c r="CD1840" s="15" t="s">
        <v>172</v>
      </c>
      <c r="CE1840" s="15" t="s">
        <v>173</v>
      </c>
      <c r="CF1840" s="15" t="s">
        <v>2359</v>
      </c>
      <c r="CG1840" s="15" t="s">
        <v>138</v>
      </c>
      <c r="CH1840" s="15" t="s">
        <v>174</v>
      </c>
      <c r="CI1840" s="15" t="s">
        <v>138</v>
      </c>
      <c r="CJ1840" s="15" t="s">
        <v>138</v>
      </c>
      <c r="CK1840" s="15" t="s">
        <v>138</v>
      </c>
      <c r="CL1840" s="15" t="s">
        <v>175</v>
      </c>
      <c r="CM1840" s="22">
        <v>43191</v>
      </c>
      <c r="CN1840" s="17">
        <v>7</v>
      </c>
      <c r="CO1840" s="23">
        <v>1.69</v>
      </c>
      <c r="CP1840" s="24">
        <v>99</v>
      </c>
      <c r="CQ1840" s="23">
        <v>0</v>
      </c>
      <c r="CR1840" s="23">
        <v>0.02</v>
      </c>
      <c r="CS1840" s="23">
        <v>3</v>
      </c>
      <c r="CT1840" s="24">
        <v>99</v>
      </c>
      <c r="CU1840" s="23">
        <v>0.38</v>
      </c>
      <c r="CV1840" s="24">
        <v>91</v>
      </c>
      <c r="CW1840" s="23">
        <v>6.92</v>
      </c>
      <c r="CX1840" s="24">
        <v>98</v>
      </c>
      <c r="CY1840" s="23">
        <v>-0.93</v>
      </c>
      <c r="CZ1840" s="24">
        <v>19</v>
      </c>
      <c r="DA1840" s="23">
        <v>0.38</v>
      </c>
      <c r="DB1840" s="24">
        <v>91</v>
      </c>
      <c r="DC1840" s="25">
        <v>7.49</v>
      </c>
      <c r="DD1840" s="24">
        <v>87</v>
      </c>
      <c r="DE1840" s="25">
        <v>-0.25</v>
      </c>
      <c r="DF1840" s="23">
        <v>-3.24</v>
      </c>
      <c r="DG1840" s="25">
        <v>6.98</v>
      </c>
      <c r="DH1840" s="24">
        <v>86</v>
      </c>
      <c r="DI1840" s="25">
        <v>7.99</v>
      </c>
      <c r="DJ1840" s="24">
        <v>83</v>
      </c>
      <c r="DK1840" s="25">
        <v>8.41</v>
      </c>
      <c r="DL1840" s="24">
        <v>85</v>
      </c>
      <c r="DM1840" s="25">
        <v>5.55</v>
      </c>
      <c r="DN1840" s="24">
        <v>83</v>
      </c>
      <c r="DO1840" s="25">
        <v>7.99</v>
      </c>
      <c r="DP1840" s="24">
        <v>85</v>
      </c>
      <c r="DQ1840" s="24">
        <v>2778</v>
      </c>
      <c r="DR1840" s="26">
        <v>318</v>
      </c>
      <c r="DS1840" s="23">
        <v>12.93</v>
      </c>
      <c r="DT1840" s="24">
        <v>161</v>
      </c>
      <c r="DU1840" s="26">
        <v>-1</v>
      </c>
      <c r="DV1840" s="23">
        <v>-0.62</v>
      </c>
      <c r="DW1840" s="24">
        <v>2857</v>
      </c>
      <c r="DX1840" s="27">
        <v>7</v>
      </c>
      <c r="DY1840" s="23">
        <v>0.25</v>
      </c>
      <c r="DZ1840" s="15" t="s">
        <v>178</v>
      </c>
      <c r="EA1840" s="22">
        <v>43622</v>
      </c>
      <c r="EB1840" s="17">
        <v>235.2</v>
      </c>
      <c r="EC1840" s="22">
        <v>43545</v>
      </c>
      <c r="ED1840" s="15" t="s">
        <v>173</v>
      </c>
      <c r="EE1840" s="14" t="str">
        <f>HYPERLINK("https://my.pitchbook.com?c=107002-45", "View company online")</f>
        <v>View company online</v>
      </c>
    </row>
    <row r="1841" spans="1:135">
      <c r="A1841" s="28" t="s">
        <v>34935</v>
      </c>
      <c r="B1841" s="28" t="s">
        <v>34936</v>
      </c>
      <c r="C1841" s="28" t="s">
        <v>138</v>
      </c>
      <c r="D1841" s="28" t="s">
        <v>138</v>
      </c>
      <c r="E1841" s="28" t="s">
        <v>34937</v>
      </c>
      <c r="F1841" s="28" t="s">
        <v>34935</v>
      </c>
      <c r="G1841" s="28" t="s">
        <v>34938</v>
      </c>
      <c r="H1841" s="28" t="s">
        <v>322</v>
      </c>
      <c r="I1841" s="28" t="s">
        <v>323</v>
      </c>
      <c r="J1841" s="28" t="s">
        <v>1184</v>
      </c>
      <c r="K1841" s="28" t="s">
        <v>34939</v>
      </c>
      <c r="L1841" s="28" t="s">
        <v>215</v>
      </c>
      <c r="M1841" s="28" t="s">
        <v>34940</v>
      </c>
      <c r="N1841" s="28" t="s">
        <v>147</v>
      </c>
      <c r="O1841" s="29">
        <v>30.84</v>
      </c>
      <c r="P1841" s="28" t="s">
        <v>148</v>
      </c>
      <c r="Q1841" s="28" t="s">
        <v>149</v>
      </c>
      <c r="R1841" s="28" t="s">
        <v>174</v>
      </c>
      <c r="S1841" s="28" t="s">
        <v>34941</v>
      </c>
      <c r="T1841" s="30" t="s">
        <v>138</v>
      </c>
      <c r="U1841" s="28" t="s">
        <v>138</v>
      </c>
      <c r="V1841" s="28" t="s">
        <v>138</v>
      </c>
      <c r="W1841" s="28" t="s">
        <v>138</v>
      </c>
      <c r="X1841" s="31">
        <v>2013</v>
      </c>
      <c r="Y1841" s="28" t="s">
        <v>138</v>
      </c>
      <c r="Z1841" s="28" t="s">
        <v>17305</v>
      </c>
      <c r="AA1841" s="28" t="s">
        <v>34942</v>
      </c>
      <c r="AB1841" s="32" t="s">
        <v>138</v>
      </c>
      <c r="AC1841" s="32" t="s">
        <v>138</v>
      </c>
      <c r="AD1841" s="32" t="s">
        <v>138</v>
      </c>
      <c r="AE1841" s="32" t="s">
        <v>138</v>
      </c>
      <c r="AF1841" s="32" t="s">
        <v>138</v>
      </c>
      <c r="AG1841" s="28" t="s">
        <v>138</v>
      </c>
      <c r="AH1841" s="32" t="s">
        <v>138</v>
      </c>
      <c r="AI1841" s="32" t="s">
        <v>138</v>
      </c>
      <c r="AJ1841" s="32" t="s">
        <v>138</v>
      </c>
      <c r="AK1841" s="28" t="s">
        <v>34943</v>
      </c>
      <c r="AL1841" s="28" t="s">
        <v>34944</v>
      </c>
      <c r="AM1841" s="28" t="s">
        <v>2605</v>
      </c>
      <c r="AN1841" s="28" t="s">
        <v>34945</v>
      </c>
      <c r="AO1841" s="28" t="s">
        <v>34946</v>
      </c>
      <c r="AP1841" s="28" t="s">
        <v>2002</v>
      </c>
      <c r="AQ1841" s="28" t="s">
        <v>18695</v>
      </c>
      <c r="AR1841" s="28" t="s">
        <v>158</v>
      </c>
      <c r="AS1841" s="28" t="s">
        <v>2005</v>
      </c>
      <c r="AT1841" s="28" t="s">
        <v>200</v>
      </c>
      <c r="AU1841" s="28" t="s">
        <v>2006</v>
      </c>
      <c r="AV1841" s="28" t="s">
        <v>162</v>
      </c>
      <c r="AW1841" s="28" t="s">
        <v>34946</v>
      </c>
      <c r="AX1841" s="28" t="s">
        <v>138</v>
      </c>
      <c r="AY1841" s="28" t="s">
        <v>34947</v>
      </c>
      <c r="AZ1841" s="28" t="s">
        <v>164</v>
      </c>
      <c r="BA1841" s="28" t="s">
        <v>165</v>
      </c>
      <c r="BB1841" s="28" t="s">
        <v>34948</v>
      </c>
      <c r="BC1841" s="28" t="s">
        <v>34949</v>
      </c>
      <c r="BD1841" s="33">
        <v>12</v>
      </c>
      <c r="BE1841" s="28" t="s">
        <v>138</v>
      </c>
      <c r="BF1841" s="28" t="s">
        <v>138</v>
      </c>
      <c r="BG1841" s="28" t="s">
        <v>138</v>
      </c>
      <c r="BH1841" s="28" t="s">
        <v>34950</v>
      </c>
      <c r="BI1841" s="28" t="s">
        <v>138</v>
      </c>
      <c r="BJ1841" s="28" t="s">
        <v>138</v>
      </c>
      <c r="BK1841" s="28" t="s">
        <v>138</v>
      </c>
      <c r="BL1841" s="28" t="s">
        <v>138</v>
      </c>
      <c r="BM1841" s="34">
        <v>42341</v>
      </c>
      <c r="BN1841" s="29" t="s">
        <v>138</v>
      </c>
      <c r="BO1841" s="28" t="s">
        <v>138</v>
      </c>
      <c r="BP1841" s="29" t="s">
        <v>138</v>
      </c>
      <c r="BQ1841" s="28" t="s">
        <v>138</v>
      </c>
      <c r="BR1841" s="28" t="s">
        <v>316</v>
      </c>
      <c r="BS1841" s="28" t="s">
        <v>138</v>
      </c>
      <c r="BT1841" s="28" t="s">
        <v>138</v>
      </c>
      <c r="BU1841" s="28" t="s">
        <v>177</v>
      </c>
      <c r="BV1841" s="28" t="s">
        <v>138</v>
      </c>
      <c r="BW1841" s="28" t="s">
        <v>138</v>
      </c>
      <c r="BX1841" s="28" t="s">
        <v>138</v>
      </c>
      <c r="BY1841" s="28" t="s">
        <v>175</v>
      </c>
      <c r="BZ1841" s="34">
        <v>43614</v>
      </c>
      <c r="CA1841" s="29">
        <v>17.600000000000001</v>
      </c>
      <c r="CB1841" s="28" t="s">
        <v>172</v>
      </c>
      <c r="CC1841" s="29">
        <v>67.599999999999994</v>
      </c>
      <c r="CD1841" s="28" t="s">
        <v>172</v>
      </c>
      <c r="CE1841" s="28" t="s">
        <v>173</v>
      </c>
      <c r="CF1841" s="28" t="s">
        <v>720</v>
      </c>
      <c r="CG1841" s="28" t="s">
        <v>138</v>
      </c>
      <c r="CH1841" s="28" t="s">
        <v>174</v>
      </c>
      <c r="CI1841" s="28" t="s">
        <v>138</v>
      </c>
      <c r="CJ1841" s="28" t="s">
        <v>138</v>
      </c>
      <c r="CK1841" s="28" t="s">
        <v>138</v>
      </c>
      <c r="CL1841" s="28" t="s">
        <v>175</v>
      </c>
      <c r="CM1841" s="34" t="s">
        <v>138</v>
      </c>
      <c r="CN1841" s="29" t="s">
        <v>138</v>
      </c>
      <c r="CO1841" s="35">
        <v>3.2</v>
      </c>
      <c r="CP1841" s="36">
        <v>100</v>
      </c>
      <c r="CQ1841" s="35">
        <v>-0.16</v>
      </c>
      <c r="CR1841" s="35">
        <v>-4.8499999999999996</v>
      </c>
      <c r="CS1841" s="35">
        <v>5.99</v>
      </c>
      <c r="CT1841" s="36">
        <v>100</v>
      </c>
      <c r="CU1841" s="35">
        <v>0.4</v>
      </c>
      <c r="CV1841" s="36">
        <v>91</v>
      </c>
      <c r="CW1841" s="35">
        <v>13.78</v>
      </c>
      <c r="CX1841" s="36">
        <v>100</v>
      </c>
      <c r="CY1841" s="35">
        <v>-1.79</v>
      </c>
      <c r="CZ1841" s="36">
        <v>13</v>
      </c>
      <c r="DA1841" s="35">
        <v>0.6</v>
      </c>
      <c r="DB1841" s="36">
        <v>95</v>
      </c>
      <c r="DC1841" s="37">
        <v>4.1500000000000004</v>
      </c>
      <c r="DD1841" s="36">
        <v>80</v>
      </c>
      <c r="DE1841" s="37">
        <v>-0.35</v>
      </c>
      <c r="DF1841" s="35">
        <v>-7.73</v>
      </c>
      <c r="DG1841" s="37">
        <v>6.78</v>
      </c>
      <c r="DH1841" s="36">
        <v>86</v>
      </c>
      <c r="DI1841" s="37">
        <v>1.52</v>
      </c>
      <c r="DJ1841" s="36">
        <v>57</v>
      </c>
      <c r="DK1841" s="37">
        <v>8.0399999999999991</v>
      </c>
      <c r="DL1841" s="36">
        <v>85</v>
      </c>
      <c r="DM1841" s="37">
        <v>5.52</v>
      </c>
      <c r="DN1841" s="36">
        <v>83</v>
      </c>
      <c r="DO1841" s="37">
        <v>2.68</v>
      </c>
      <c r="DP1841" s="36">
        <v>69</v>
      </c>
      <c r="DQ1841" s="36">
        <v>2611</v>
      </c>
      <c r="DR1841" s="38">
        <v>441</v>
      </c>
      <c r="DS1841" s="35">
        <v>20.32</v>
      </c>
      <c r="DT1841" s="36">
        <v>164</v>
      </c>
      <c r="DU1841" s="38">
        <v>-8</v>
      </c>
      <c r="DV1841" s="35">
        <v>-4.6500000000000004</v>
      </c>
      <c r="DW1841" s="36">
        <v>960</v>
      </c>
      <c r="DX1841" s="39">
        <v>2</v>
      </c>
      <c r="DY1841" s="35">
        <v>0.21</v>
      </c>
      <c r="DZ1841" s="28" t="s">
        <v>178</v>
      </c>
      <c r="EA1841" s="34">
        <v>43614</v>
      </c>
      <c r="EB1841" s="29">
        <v>67.599999999999994</v>
      </c>
      <c r="EC1841" s="34">
        <v>43614</v>
      </c>
      <c r="ED1841" s="28" t="s">
        <v>173</v>
      </c>
      <c r="EE1841" s="40" t="str">
        <f>HYPERLINK("https://my.pitchbook.com?c=133206-31", "View company online")</f>
        <v>View company online</v>
      </c>
    </row>
    <row r="1842" spans="1:135">
      <c r="A1842" s="15" t="s">
        <v>34951</v>
      </c>
      <c r="B1842" s="15" t="s">
        <v>34952</v>
      </c>
      <c r="C1842" s="15" t="s">
        <v>138</v>
      </c>
      <c r="D1842" s="15" t="s">
        <v>138</v>
      </c>
      <c r="E1842" s="15" t="s">
        <v>34953</v>
      </c>
      <c r="F1842" s="15" t="s">
        <v>34951</v>
      </c>
      <c r="G1842" s="15" t="s">
        <v>34954</v>
      </c>
      <c r="H1842" s="15" t="s">
        <v>322</v>
      </c>
      <c r="I1842" s="15" t="s">
        <v>323</v>
      </c>
      <c r="J1842" s="15" t="s">
        <v>324</v>
      </c>
      <c r="K1842" s="15" t="s">
        <v>325</v>
      </c>
      <c r="L1842" s="15" t="s">
        <v>2835</v>
      </c>
      <c r="M1842" s="15" t="s">
        <v>34955</v>
      </c>
      <c r="N1842" s="15" t="s">
        <v>147</v>
      </c>
      <c r="O1842" s="17">
        <v>95</v>
      </c>
      <c r="P1842" s="15" t="s">
        <v>148</v>
      </c>
      <c r="Q1842" s="15" t="s">
        <v>149</v>
      </c>
      <c r="R1842" s="15" t="s">
        <v>174</v>
      </c>
      <c r="S1842" s="15" t="s">
        <v>34956</v>
      </c>
      <c r="T1842" s="18">
        <v>95</v>
      </c>
      <c r="U1842" s="15" t="s">
        <v>34957</v>
      </c>
      <c r="V1842" s="15" t="s">
        <v>138</v>
      </c>
      <c r="W1842" s="15" t="s">
        <v>138</v>
      </c>
      <c r="X1842" s="19">
        <v>2013</v>
      </c>
      <c r="Y1842" s="15" t="s">
        <v>138</v>
      </c>
      <c r="Z1842" s="15" t="s">
        <v>1163</v>
      </c>
      <c r="AA1842" s="15" t="s">
        <v>1163</v>
      </c>
      <c r="AB1842" s="20" t="s">
        <v>138</v>
      </c>
      <c r="AC1842" s="20" t="s">
        <v>138</v>
      </c>
      <c r="AD1842" s="20" t="s">
        <v>138</v>
      </c>
      <c r="AE1842" s="20" t="s">
        <v>138</v>
      </c>
      <c r="AF1842" s="20" t="s">
        <v>138</v>
      </c>
      <c r="AG1842" s="15" t="s">
        <v>138</v>
      </c>
      <c r="AH1842" s="20" t="s">
        <v>138</v>
      </c>
      <c r="AI1842" s="20" t="s">
        <v>138</v>
      </c>
      <c r="AJ1842" s="20" t="s">
        <v>138</v>
      </c>
      <c r="AK1842" s="15" t="s">
        <v>34958</v>
      </c>
      <c r="AL1842" s="15" t="s">
        <v>34959</v>
      </c>
      <c r="AM1842" s="15" t="s">
        <v>34960</v>
      </c>
      <c r="AN1842" s="15" t="s">
        <v>34961</v>
      </c>
      <c r="AO1842" s="15" t="s">
        <v>34962</v>
      </c>
      <c r="AP1842" s="15" t="s">
        <v>3668</v>
      </c>
      <c r="AQ1842" s="15" t="s">
        <v>34963</v>
      </c>
      <c r="AR1842" s="15" t="s">
        <v>10476</v>
      </c>
      <c r="AS1842" s="15" t="s">
        <v>3670</v>
      </c>
      <c r="AT1842" s="15" t="s">
        <v>200</v>
      </c>
      <c r="AU1842" s="15" t="s">
        <v>8773</v>
      </c>
      <c r="AV1842" s="15" t="s">
        <v>162</v>
      </c>
      <c r="AW1842" s="15" t="s">
        <v>34962</v>
      </c>
      <c r="AX1842" s="15" t="s">
        <v>138</v>
      </c>
      <c r="AY1842" s="15" t="s">
        <v>34964</v>
      </c>
      <c r="AZ1842" s="15" t="s">
        <v>164</v>
      </c>
      <c r="BA1842" s="15" t="s">
        <v>165</v>
      </c>
      <c r="BB1842" s="15" t="s">
        <v>34965</v>
      </c>
      <c r="BC1842" s="15" t="s">
        <v>34966</v>
      </c>
      <c r="BD1842" s="21">
        <v>14</v>
      </c>
      <c r="BE1842" s="15" t="s">
        <v>138</v>
      </c>
      <c r="BF1842" s="15" t="s">
        <v>138</v>
      </c>
      <c r="BG1842" s="15" t="s">
        <v>138</v>
      </c>
      <c r="BH1842" s="15" t="s">
        <v>34967</v>
      </c>
      <c r="BI1842" s="15" t="s">
        <v>138</v>
      </c>
      <c r="BJ1842" s="15" t="s">
        <v>138</v>
      </c>
      <c r="BK1842" s="15" t="s">
        <v>34968</v>
      </c>
      <c r="BL1842" s="15" t="s">
        <v>12137</v>
      </c>
      <c r="BM1842" s="22">
        <v>41618</v>
      </c>
      <c r="BN1842" s="17">
        <v>2</v>
      </c>
      <c r="BO1842" s="15" t="s">
        <v>172</v>
      </c>
      <c r="BP1842" s="17">
        <v>6.83</v>
      </c>
      <c r="BQ1842" s="15" t="s">
        <v>172</v>
      </c>
      <c r="BR1842" s="15" t="s">
        <v>205</v>
      </c>
      <c r="BS1842" s="15" t="s">
        <v>4410</v>
      </c>
      <c r="BT1842" s="15" t="s">
        <v>138</v>
      </c>
      <c r="BU1842" s="15" t="s">
        <v>174</v>
      </c>
      <c r="BV1842" s="15" t="s">
        <v>138</v>
      </c>
      <c r="BW1842" s="15" t="s">
        <v>138</v>
      </c>
      <c r="BX1842" s="15" t="s">
        <v>138</v>
      </c>
      <c r="BY1842" s="15" t="s">
        <v>175</v>
      </c>
      <c r="BZ1842" s="22">
        <v>43446</v>
      </c>
      <c r="CA1842" s="17">
        <v>50</v>
      </c>
      <c r="CB1842" s="15" t="s">
        <v>172</v>
      </c>
      <c r="CC1842" s="17" t="s">
        <v>138</v>
      </c>
      <c r="CD1842" s="15" t="s">
        <v>138</v>
      </c>
      <c r="CE1842" s="15" t="s">
        <v>173</v>
      </c>
      <c r="CF1842" s="15" t="s">
        <v>433</v>
      </c>
      <c r="CG1842" s="15" t="s">
        <v>138</v>
      </c>
      <c r="CH1842" s="15" t="s">
        <v>174</v>
      </c>
      <c r="CI1842" s="15" t="s">
        <v>138</v>
      </c>
      <c r="CJ1842" s="15" t="s">
        <v>138</v>
      </c>
      <c r="CK1842" s="15" t="s">
        <v>138</v>
      </c>
      <c r="CL1842" s="15" t="s">
        <v>175</v>
      </c>
      <c r="CM1842" s="22" t="s">
        <v>138</v>
      </c>
      <c r="CN1842" s="17" t="s">
        <v>138</v>
      </c>
      <c r="CO1842" s="23">
        <v>0.62</v>
      </c>
      <c r="CP1842" s="24">
        <v>96</v>
      </c>
      <c r="CQ1842" s="23">
        <v>0.02</v>
      </c>
      <c r="CR1842" s="23">
        <v>3.32</v>
      </c>
      <c r="CS1842" s="23">
        <v>1.27</v>
      </c>
      <c r="CT1842" s="24">
        <v>97</v>
      </c>
      <c r="CU1842" s="23">
        <v>-0.03</v>
      </c>
      <c r="CV1842" s="24">
        <v>14</v>
      </c>
      <c r="CW1842" s="23">
        <v>3.29</v>
      </c>
      <c r="CX1842" s="24">
        <v>92</v>
      </c>
      <c r="CY1842" s="23">
        <v>-0.75</v>
      </c>
      <c r="CZ1842" s="24">
        <v>21</v>
      </c>
      <c r="DA1842" s="23">
        <v>-0.03</v>
      </c>
      <c r="DB1842" s="24">
        <v>17</v>
      </c>
      <c r="DC1842" s="25">
        <v>7.17</v>
      </c>
      <c r="DD1842" s="24">
        <v>87</v>
      </c>
      <c r="DE1842" s="25">
        <v>-0.32</v>
      </c>
      <c r="DF1842" s="23">
        <v>-4.24</v>
      </c>
      <c r="DG1842" s="25">
        <v>13.02</v>
      </c>
      <c r="DH1842" s="24">
        <v>92</v>
      </c>
      <c r="DI1842" s="25">
        <v>1.32</v>
      </c>
      <c r="DJ1842" s="24">
        <v>54</v>
      </c>
      <c r="DK1842" s="25">
        <v>10.050000000000001</v>
      </c>
      <c r="DL1842" s="24">
        <v>87</v>
      </c>
      <c r="DM1842" s="25">
        <v>16</v>
      </c>
      <c r="DN1842" s="24">
        <v>93</v>
      </c>
      <c r="DO1842" s="25">
        <v>1.32</v>
      </c>
      <c r="DP1842" s="24">
        <v>56</v>
      </c>
      <c r="DQ1842" s="24">
        <v>3391</v>
      </c>
      <c r="DR1842" s="26">
        <v>167</v>
      </c>
      <c r="DS1842" s="23">
        <v>5.18</v>
      </c>
      <c r="DT1842" s="24">
        <v>464</v>
      </c>
      <c r="DU1842" s="26">
        <v>1</v>
      </c>
      <c r="DV1842" s="23">
        <v>0.22</v>
      </c>
      <c r="DW1842" s="24">
        <v>472</v>
      </c>
      <c r="DX1842" s="27">
        <v>1</v>
      </c>
      <c r="DY1842" s="23">
        <v>0.21</v>
      </c>
      <c r="DZ1842" s="15" t="s">
        <v>178</v>
      </c>
      <c r="EA1842" s="22">
        <v>43549</v>
      </c>
      <c r="EB1842" s="17">
        <v>57.7</v>
      </c>
      <c r="EC1842" s="22">
        <v>42461</v>
      </c>
      <c r="ED1842" s="15" t="s">
        <v>205</v>
      </c>
      <c r="EE1842" s="14" t="str">
        <f>HYPERLINK("https://my.pitchbook.com?c=59147-02", "View company online")</f>
        <v>View company online</v>
      </c>
    </row>
    <row r="1843" spans="1:135">
      <c r="A1843" s="28" t="s">
        <v>34969</v>
      </c>
      <c r="B1843" s="28" t="s">
        <v>34970</v>
      </c>
      <c r="C1843" s="28" t="s">
        <v>138</v>
      </c>
      <c r="D1843" s="28" t="s">
        <v>138</v>
      </c>
      <c r="E1843" s="28" t="s">
        <v>34971</v>
      </c>
      <c r="F1843" s="28" t="s">
        <v>34969</v>
      </c>
      <c r="G1843" s="28" t="s">
        <v>34972</v>
      </c>
      <c r="H1843" s="28" t="s">
        <v>183</v>
      </c>
      <c r="I1843" s="28" t="s">
        <v>4681</v>
      </c>
      <c r="J1843" s="28" t="s">
        <v>9676</v>
      </c>
      <c r="K1843" s="28" t="s">
        <v>25558</v>
      </c>
      <c r="L1843" s="28" t="s">
        <v>4684</v>
      </c>
      <c r="M1843" s="28" t="s">
        <v>34973</v>
      </c>
      <c r="N1843" s="28" t="s">
        <v>147</v>
      </c>
      <c r="O1843" s="29">
        <v>58.35</v>
      </c>
      <c r="P1843" s="28" t="s">
        <v>10487</v>
      </c>
      <c r="Q1843" s="28" t="s">
        <v>149</v>
      </c>
      <c r="R1843" s="28" t="s">
        <v>174</v>
      </c>
      <c r="S1843" s="28" t="s">
        <v>34974</v>
      </c>
      <c r="T1843" s="30">
        <v>20</v>
      </c>
      <c r="U1843" s="28" t="s">
        <v>34975</v>
      </c>
      <c r="V1843" s="28" t="s">
        <v>138</v>
      </c>
      <c r="W1843" s="28" t="s">
        <v>138</v>
      </c>
      <c r="X1843" s="31">
        <v>2003</v>
      </c>
      <c r="Y1843" s="28" t="s">
        <v>138</v>
      </c>
      <c r="Z1843" s="28" t="s">
        <v>138</v>
      </c>
      <c r="AA1843" s="28" t="s">
        <v>138</v>
      </c>
      <c r="AB1843" s="32" t="s">
        <v>138</v>
      </c>
      <c r="AC1843" s="32" t="s">
        <v>138</v>
      </c>
      <c r="AD1843" s="32" t="s">
        <v>138</v>
      </c>
      <c r="AE1843" s="32" t="s">
        <v>138</v>
      </c>
      <c r="AF1843" s="32" t="s">
        <v>138</v>
      </c>
      <c r="AG1843" s="28" t="s">
        <v>138</v>
      </c>
      <c r="AH1843" s="32" t="s">
        <v>138</v>
      </c>
      <c r="AI1843" s="32" t="s">
        <v>138</v>
      </c>
      <c r="AJ1843" s="32" t="s">
        <v>138</v>
      </c>
      <c r="AK1843" s="28" t="s">
        <v>34976</v>
      </c>
      <c r="AL1843" s="28" t="s">
        <v>34977</v>
      </c>
      <c r="AM1843" s="28" t="s">
        <v>566</v>
      </c>
      <c r="AN1843" s="28" t="s">
        <v>34978</v>
      </c>
      <c r="AO1843" s="28" t="s">
        <v>34979</v>
      </c>
      <c r="AP1843" s="28" t="s">
        <v>17743</v>
      </c>
      <c r="AQ1843" s="28" t="s">
        <v>34980</v>
      </c>
      <c r="AR1843" s="28" t="s">
        <v>34981</v>
      </c>
      <c r="AS1843" s="28" t="s">
        <v>17745</v>
      </c>
      <c r="AT1843" s="28" t="s">
        <v>138</v>
      </c>
      <c r="AU1843" s="28" t="s">
        <v>34982</v>
      </c>
      <c r="AV1843" s="28" t="s">
        <v>740</v>
      </c>
      <c r="AW1843" s="28" t="s">
        <v>34979</v>
      </c>
      <c r="AX1843" s="28" t="s">
        <v>34983</v>
      </c>
      <c r="AY1843" s="28" t="s">
        <v>34978</v>
      </c>
      <c r="AZ1843" s="28" t="s">
        <v>742</v>
      </c>
      <c r="BA1843" s="28" t="s">
        <v>742</v>
      </c>
      <c r="BB1843" s="28" t="s">
        <v>34984</v>
      </c>
      <c r="BC1843" s="28" t="s">
        <v>34985</v>
      </c>
      <c r="BD1843" s="33">
        <v>11</v>
      </c>
      <c r="BE1843" s="28" t="s">
        <v>138</v>
      </c>
      <c r="BF1843" s="28" t="s">
        <v>138</v>
      </c>
      <c r="BG1843" s="28" t="s">
        <v>138</v>
      </c>
      <c r="BH1843" s="28" t="s">
        <v>34986</v>
      </c>
      <c r="BI1843" s="28" t="s">
        <v>138</v>
      </c>
      <c r="BJ1843" s="28" t="s">
        <v>138</v>
      </c>
      <c r="BK1843" s="28" t="s">
        <v>138</v>
      </c>
      <c r="BL1843" s="28" t="s">
        <v>30326</v>
      </c>
      <c r="BM1843" s="34" t="s">
        <v>138</v>
      </c>
      <c r="BN1843" s="29" t="s">
        <v>138</v>
      </c>
      <c r="BO1843" s="28" t="s">
        <v>138</v>
      </c>
      <c r="BP1843" s="29" t="s">
        <v>138</v>
      </c>
      <c r="BQ1843" s="28" t="s">
        <v>138</v>
      </c>
      <c r="BR1843" s="28" t="s">
        <v>176</v>
      </c>
      <c r="BS1843" s="28" t="s">
        <v>138</v>
      </c>
      <c r="BT1843" s="28" t="s">
        <v>138</v>
      </c>
      <c r="BU1843" s="28" t="s">
        <v>177</v>
      </c>
      <c r="BV1843" s="28" t="s">
        <v>138</v>
      </c>
      <c r="BW1843" s="28" t="s">
        <v>138</v>
      </c>
      <c r="BX1843" s="28" t="s">
        <v>138</v>
      </c>
      <c r="BY1843" s="28" t="s">
        <v>175</v>
      </c>
      <c r="BZ1843" s="34">
        <v>43073</v>
      </c>
      <c r="CA1843" s="29">
        <v>30</v>
      </c>
      <c r="CB1843" s="28" t="s">
        <v>172</v>
      </c>
      <c r="CC1843" s="29" t="s">
        <v>138</v>
      </c>
      <c r="CD1843" s="28" t="s">
        <v>138</v>
      </c>
      <c r="CE1843" s="28" t="s">
        <v>173</v>
      </c>
      <c r="CF1843" s="28" t="s">
        <v>408</v>
      </c>
      <c r="CG1843" s="28" t="s">
        <v>138</v>
      </c>
      <c r="CH1843" s="28" t="s">
        <v>174</v>
      </c>
      <c r="CI1843" s="28" t="s">
        <v>138</v>
      </c>
      <c r="CJ1843" s="28" t="s">
        <v>138</v>
      </c>
      <c r="CK1843" s="28" t="s">
        <v>138</v>
      </c>
      <c r="CL1843" s="28" t="s">
        <v>175</v>
      </c>
      <c r="CM1843" s="34" t="s">
        <v>138</v>
      </c>
      <c r="CN1843" s="29" t="s">
        <v>138</v>
      </c>
      <c r="CO1843" s="35">
        <v>-0.11</v>
      </c>
      <c r="CP1843" s="36">
        <v>21</v>
      </c>
      <c r="CQ1843" s="35">
        <v>0</v>
      </c>
      <c r="CR1843" s="35">
        <v>-3.32</v>
      </c>
      <c r="CS1843" s="35">
        <v>-0.95</v>
      </c>
      <c r="CT1843" s="36">
        <v>15</v>
      </c>
      <c r="CU1843" s="35">
        <v>0.73</v>
      </c>
      <c r="CV1843" s="36">
        <v>96</v>
      </c>
      <c r="CW1843" s="35" t="s">
        <v>138</v>
      </c>
      <c r="CX1843" s="36" t="s">
        <v>138</v>
      </c>
      <c r="CY1843" s="35">
        <v>-0.95</v>
      </c>
      <c r="CZ1843" s="36">
        <v>19</v>
      </c>
      <c r="DA1843" s="35">
        <v>0.73</v>
      </c>
      <c r="DB1843" s="36">
        <v>97</v>
      </c>
      <c r="DC1843" s="37">
        <v>1.86</v>
      </c>
      <c r="DD1843" s="36">
        <v>65</v>
      </c>
      <c r="DE1843" s="37">
        <v>0</v>
      </c>
      <c r="DF1843" s="35">
        <v>0.04</v>
      </c>
      <c r="DG1843" s="37">
        <v>3.41</v>
      </c>
      <c r="DH1843" s="36">
        <v>77</v>
      </c>
      <c r="DI1843" s="37">
        <v>0.3</v>
      </c>
      <c r="DJ1843" s="36">
        <v>28</v>
      </c>
      <c r="DK1843" s="37" t="s">
        <v>138</v>
      </c>
      <c r="DL1843" s="36" t="s">
        <v>138</v>
      </c>
      <c r="DM1843" s="37">
        <v>3.41</v>
      </c>
      <c r="DN1843" s="36">
        <v>76</v>
      </c>
      <c r="DO1843" s="37">
        <v>0.3</v>
      </c>
      <c r="DP1843" s="36">
        <v>30</v>
      </c>
      <c r="DQ1843" s="36" t="s">
        <v>138</v>
      </c>
      <c r="DR1843" s="38" t="s">
        <v>138</v>
      </c>
      <c r="DS1843" s="35" t="s">
        <v>138</v>
      </c>
      <c r="DT1843" s="36">
        <v>99</v>
      </c>
      <c r="DU1843" s="38">
        <v>0</v>
      </c>
      <c r="DV1843" s="35">
        <v>0</v>
      </c>
      <c r="DW1843" s="36">
        <v>107</v>
      </c>
      <c r="DX1843" s="39">
        <v>1</v>
      </c>
      <c r="DY1843" s="35">
        <v>0.94</v>
      </c>
      <c r="DZ1843" s="28" t="s">
        <v>178</v>
      </c>
      <c r="EA1843" s="34">
        <v>43476</v>
      </c>
      <c r="EB1843" s="29" t="s">
        <v>138</v>
      </c>
      <c r="EC1843" s="34" t="s">
        <v>138</v>
      </c>
      <c r="ED1843" s="28" t="s">
        <v>138</v>
      </c>
      <c r="EE1843" s="40" t="str">
        <f>HYPERLINK("https://my.pitchbook.com?c=55650-25", "View company online")</f>
        <v>View company online</v>
      </c>
    </row>
    <row r="1844" spans="1:135">
      <c r="A1844" s="15" t="s">
        <v>34987</v>
      </c>
      <c r="B1844" s="15" t="s">
        <v>34988</v>
      </c>
      <c r="C1844" s="15" t="s">
        <v>34989</v>
      </c>
      <c r="D1844" s="15" t="s">
        <v>138</v>
      </c>
      <c r="E1844" s="15" t="s">
        <v>34990</v>
      </c>
      <c r="F1844" s="15" t="s">
        <v>34987</v>
      </c>
      <c r="G1844" s="15" t="s">
        <v>34991</v>
      </c>
      <c r="H1844" s="15" t="s">
        <v>183</v>
      </c>
      <c r="I1844" s="15" t="s">
        <v>4681</v>
      </c>
      <c r="J1844" s="15" t="s">
        <v>33593</v>
      </c>
      <c r="K1844" s="15" t="s">
        <v>34992</v>
      </c>
      <c r="L1844" s="15" t="s">
        <v>34993</v>
      </c>
      <c r="M1844" s="15" t="s">
        <v>34994</v>
      </c>
      <c r="N1844" s="15" t="s">
        <v>147</v>
      </c>
      <c r="O1844" s="17">
        <v>57.84</v>
      </c>
      <c r="P1844" s="15" t="s">
        <v>148</v>
      </c>
      <c r="Q1844" s="15" t="s">
        <v>149</v>
      </c>
      <c r="R1844" s="15" t="s">
        <v>174</v>
      </c>
      <c r="S1844" s="15" t="s">
        <v>34995</v>
      </c>
      <c r="T1844" s="18">
        <v>17</v>
      </c>
      <c r="U1844" s="15" t="s">
        <v>34996</v>
      </c>
      <c r="V1844" s="15" t="s">
        <v>138</v>
      </c>
      <c r="W1844" s="15" t="s">
        <v>138</v>
      </c>
      <c r="X1844" s="19">
        <v>2012</v>
      </c>
      <c r="Y1844" s="15" t="s">
        <v>138</v>
      </c>
      <c r="Z1844" s="15" t="s">
        <v>138</v>
      </c>
      <c r="AA1844" s="15" t="s">
        <v>1163</v>
      </c>
      <c r="AB1844" s="20" t="s">
        <v>138</v>
      </c>
      <c r="AC1844" s="20" t="s">
        <v>138</v>
      </c>
      <c r="AD1844" s="20" t="s">
        <v>138</v>
      </c>
      <c r="AE1844" s="20" t="s">
        <v>138</v>
      </c>
      <c r="AF1844" s="20" t="s">
        <v>138</v>
      </c>
      <c r="AG1844" s="15" t="s">
        <v>138</v>
      </c>
      <c r="AH1844" s="20" t="s">
        <v>138</v>
      </c>
      <c r="AI1844" s="20" t="s">
        <v>138</v>
      </c>
      <c r="AJ1844" s="20" t="s">
        <v>138</v>
      </c>
      <c r="AK1844" s="15" t="s">
        <v>34997</v>
      </c>
      <c r="AL1844" s="15" t="s">
        <v>34998</v>
      </c>
      <c r="AM1844" s="15" t="s">
        <v>304</v>
      </c>
      <c r="AN1844" s="15" t="s">
        <v>34999</v>
      </c>
      <c r="AO1844" s="15" t="s">
        <v>138</v>
      </c>
      <c r="AP1844" s="15" t="s">
        <v>665</v>
      </c>
      <c r="AQ1844" s="15" t="s">
        <v>11858</v>
      </c>
      <c r="AR1844" s="15" t="s">
        <v>4151</v>
      </c>
      <c r="AS1844" s="15" t="s">
        <v>668</v>
      </c>
      <c r="AT1844" s="15" t="s">
        <v>200</v>
      </c>
      <c r="AU1844" s="15" t="s">
        <v>669</v>
      </c>
      <c r="AV1844" s="15" t="s">
        <v>162</v>
      </c>
      <c r="AW1844" s="15" t="s">
        <v>138</v>
      </c>
      <c r="AX1844" s="15" t="s">
        <v>138</v>
      </c>
      <c r="AY1844" s="15" t="s">
        <v>35000</v>
      </c>
      <c r="AZ1844" s="15" t="s">
        <v>164</v>
      </c>
      <c r="BA1844" s="15" t="s">
        <v>165</v>
      </c>
      <c r="BB1844" s="15" t="s">
        <v>35001</v>
      </c>
      <c r="BC1844" s="15" t="s">
        <v>35002</v>
      </c>
      <c r="BD1844" s="21">
        <v>22</v>
      </c>
      <c r="BE1844" s="15" t="s">
        <v>138</v>
      </c>
      <c r="BF1844" s="15" t="s">
        <v>138</v>
      </c>
      <c r="BG1844" s="15" t="s">
        <v>138</v>
      </c>
      <c r="BH1844" s="15" t="s">
        <v>35003</v>
      </c>
      <c r="BI1844" s="15" t="s">
        <v>138</v>
      </c>
      <c r="BJ1844" s="15" t="s">
        <v>138</v>
      </c>
      <c r="BK1844" s="15" t="s">
        <v>1275</v>
      </c>
      <c r="BL1844" s="15" t="s">
        <v>1275</v>
      </c>
      <c r="BM1844" s="22" t="s">
        <v>138</v>
      </c>
      <c r="BN1844" s="17" t="s">
        <v>138</v>
      </c>
      <c r="BO1844" s="15" t="s">
        <v>138</v>
      </c>
      <c r="BP1844" s="17" t="s">
        <v>138</v>
      </c>
      <c r="BQ1844" s="15" t="s">
        <v>138</v>
      </c>
      <c r="BR1844" s="15" t="s">
        <v>316</v>
      </c>
      <c r="BS1844" s="15" t="s">
        <v>138</v>
      </c>
      <c r="BT1844" s="15" t="s">
        <v>138</v>
      </c>
      <c r="BU1844" s="15" t="s">
        <v>177</v>
      </c>
      <c r="BV1844" s="15" t="s">
        <v>138</v>
      </c>
      <c r="BW1844" s="15" t="s">
        <v>138</v>
      </c>
      <c r="BX1844" s="15" t="s">
        <v>138</v>
      </c>
      <c r="BY1844" s="15" t="s">
        <v>175</v>
      </c>
      <c r="BZ1844" s="22">
        <v>43283</v>
      </c>
      <c r="CA1844" s="17">
        <v>51.49</v>
      </c>
      <c r="CB1844" s="15" t="s">
        <v>172</v>
      </c>
      <c r="CC1844" s="17">
        <v>171.64</v>
      </c>
      <c r="CD1844" s="15" t="s">
        <v>172</v>
      </c>
      <c r="CE1844" s="15" t="s">
        <v>173</v>
      </c>
      <c r="CF1844" s="15" t="s">
        <v>206</v>
      </c>
      <c r="CG1844" s="15" t="s">
        <v>138</v>
      </c>
      <c r="CH1844" s="15" t="s">
        <v>174</v>
      </c>
      <c r="CI1844" s="15" t="s">
        <v>138</v>
      </c>
      <c r="CJ1844" s="15" t="s">
        <v>138</v>
      </c>
      <c r="CK1844" s="15" t="s">
        <v>138</v>
      </c>
      <c r="CL1844" s="15" t="s">
        <v>175</v>
      </c>
      <c r="CM1844" s="22" t="s">
        <v>138</v>
      </c>
      <c r="CN1844" s="17" t="s">
        <v>138</v>
      </c>
      <c r="CO1844" s="23">
        <v>1.29</v>
      </c>
      <c r="CP1844" s="24">
        <v>98</v>
      </c>
      <c r="CQ1844" s="23">
        <v>0.22</v>
      </c>
      <c r="CR1844" s="23">
        <v>20.350000000000001</v>
      </c>
      <c r="CS1844" s="23">
        <v>1.69</v>
      </c>
      <c r="CT1844" s="24">
        <v>98</v>
      </c>
      <c r="CU1844" s="23">
        <v>0.88</v>
      </c>
      <c r="CV1844" s="24">
        <v>97</v>
      </c>
      <c r="CW1844" s="23">
        <v>4.2300000000000004</v>
      </c>
      <c r="CX1844" s="24">
        <v>94</v>
      </c>
      <c r="CY1844" s="23">
        <v>-0.84</v>
      </c>
      <c r="CZ1844" s="24">
        <v>20</v>
      </c>
      <c r="DA1844" s="23">
        <v>0.88</v>
      </c>
      <c r="DB1844" s="24">
        <v>98</v>
      </c>
      <c r="DC1844" s="25">
        <v>10.119999999999999</v>
      </c>
      <c r="DD1844" s="24">
        <v>90</v>
      </c>
      <c r="DE1844" s="25">
        <v>0.31</v>
      </c>
      <c r="DF1844" s="23">
        <v>3.19</v>
      </c>
      <c r="DG1844" s="25">
        <v>17.43</v>
      </c>
      <c r="DH1844" s="24">
        <v>94</v>
      </c>
      <c r="DI1844" s="25">
        <v>2.8</v>
      </c>
      <c r="DJ1844" s="24">
        <v>68</v>
      </c>
      <c r="DK1844" s="25">
        <v>12.82</v>
      </c>
      <c r="DL1844" s="24">
        <v>89</v>
      </c>
      <c r="DM1844" s="25">
        <v>22.03</v>
      </c>
      <c r="DN1844" s="24">
        <v>95</v>
      </c>
      <c r="DO1844" s="25">
        <v>2.8</v>
      </c>
      <c r="DP1844" s="24">
        <v>70</v>
      </c>
      <c r="DQ1844" s="24">
        <v>4224</v>
      </c>
      <c r="DR1844" s="26">
        <v>520</v>
      </c>
      <c r="DS1844" s="23">
        <v>14.04</v>
      </c>
      <c r="DT1844" s="24">
        <v>638</v>
      </c>
      <c r="DU1844" s="26">
        <v>2</v>
      </c>
      <c r="DV1844" s="23">
        <v>0.31</v>
      </c>
      <c r="DW1844" s="24">
        <v>1000</v>
      </c>
      <c r="DX1844" s="27">
        <v>12</v>
      </c>
      <c r="DY1844" s="23">
        <v>1.21</v>
      </c>
      <c r="DZ1844" s="15" t="s">
        <v>178</v>
      </c>
      <c r="EA1844" s="22">
        <v>43432</v>
      </c>
      <c r="EB1844" s="17">
        <v>171.64</v>
      </c>
      <c r="EC1844" s="22">
        <v>43283</v>
      </c>
      <c r="ED1844" s="15" t="s">
        <v>173</v>
      </c>
      <c r="EE1844" s="14" t="str">
        <f>HYPERLINK("https://my.pitchbook.com?c=109696-60", "View company online")</f>
        <v>View company online</v>
      </c>
    </row>
    <row r="1845" spans="1:135">
      <c r="A1845" s="28" t="s">
        <v>35004</v>
      </c>
      <c r="B1845" s="28" t="s">
        <v>35005</v>
      </c>
      <c r="C1845" s="28" t="s">
        <v>138</v>
      </c>
      <c r="D1845" s="28" t="s">
        <v>138</v>
      </c>
      <c r="E1845" s="28" t="s">
        <v>138</v>
      </c>
      <c r="F1845" s="28" t="s">
        <v>35004</v>
      </c>
      <c r="G1845" s="28" t="s">
        <v>35006</v>
      </c>
      <c r="H1845" s="28" t="s">
        <v>141</v>
      </c>
      <c r="I1845" s="28" t="s">
        <v>142</v>
      </c>
      <c r="J1845" s="28" t="s">
        <v>4042</v>
      </c>
      <c r="K1845" s="28" t="s">
        <v>4043</v>
      </c>
      <c r="L1845" s="28" t="s">
        <v>3589</v>
      </c>
      <c r="M1845" s="28" t="s">
        <v>35007</v>
      </c>
      <c r="N1845" s="28" t="s">
        <v>147</v>
      </c>
      <c r="O1845" s="29">
        <v>3.03</v>
      </c>
      <c r="P1845" s="28" t="s">
        <v>148</v>
      </c>
      <c r="Q1845" s="28" t="s">
        <v>149</v>
      </c>
      <c r="R1845" s="28" t="s">
        <v>174</v>
      </c>
      <c r="S1845" s="28" t="s">
        <v>35008</v>
      </c>
      <c r="T1845" s="30">
        <v>12</v>
      </c>
      <c r="U1845" s="28" t="s">
        <v>35009</v>
      </c>
      <c r="V1845" s="28" t="s">
        <v>138</v>
      </c>
      <c r="W1845" s="28" t="s">
        <v>138</v>
      </c>
      <c r="X1845" s="31">
        <v>2014</v>
      </c>
      <c r="Y1845" s="28" t="s">
        <v>138</v>
      </c>
      <c r="Z1845" s="28" t="s">
        <v>1163</v>
      </c>
      <c r="AA1845" s="28" t="s">
        <v>1163</v>
      </c>
      <c r="AB1845" s="32" t="s">
        <v>138</v>
      </c>
      <c r="AC1845" s="32" t="s">
        <v>138</v>
      </c>
      <c r="AD1845" s="32" t="s">
        <v>138</v>
      </c>
      <c r="AE1845" s="32" t="s">
        <v>138</v>
      </c>
      <c r="AF1845" s="32" t="s">
        <v>138</v>
      </c>
      <c r="AG1845" s="28" t="s">
        <v>138</v>
      </c>
      <c r="AH1845" s="32" t="s">
        <v>138</v>
      </c>
      <c r="AI1845" s="32" t="s">
        <v>138</v>
      </c>
      <c r="AJ1845" s="32" t="s">
        <v>138</v>
      </c>
      <c r="AK1845" s="28" t="s">
        <v>35010</v>
      </c>
      <c r="AL1845" s="28" t="s">
        <v>35011</v>
      </c>
      <c r="AM1845" s="28" t="s">
        <v>221</v>
      </c>
      <c r="AN1845" s="28" t="s">
        <v>35012</v>
      </c>
      <c r="AO1845" s="28" t="s">
        <v>35013</v>
      </c>
      <c r="AP1845" s="28" t="s">
        <v>13607</v>
      </c>
      <c r="AQ1845" s="28" t="s">
        <v>35014</v>
      </c>
      <c r="AR1845" s="28" t="s">
        <v>35015</v>
      </c>
      <c r="AS1845" s="28" t="s">
        <v>13609</v>
      </c>
      <c r="AT1845" s="28" t="s">
        <v>5271</v>
      </c>
      <c r="AU1845" s="28" t="s">
        <v>35016</v>
      </c>
      <c r="AV1845" s="28" t="s">
        <v>162</v>
      </c>
      <c r="AW1845" s="28" t="s">
        <v>35017</v>
      </c>
      <c r="AX1845" s="28" t="s">
        <v>138</v>
      </c>
      <c r="AY1845" s="28" t="s">
        <v>35018</v>
      </c>
      <c r="AZ1845" s="28" t="s">
        <v>164</v>
      </c>
      <c r="BA1845" s="28" t="s">
        <v>165</v>
      </c>
      <c r="BB1845" s="28" t="s">
        <v>35019</v>
      </c>
      <c r="BC1845" s="28" t="s">
        <v>35020</v>
      </c>
      <c r="BD1845" s="33">
        <v>5</v>
      </c>
      <c r="BE1845" s="28" t="s">
        <v>138</v>
      </c>
      <c r="BF1845" s="28" t="s">
        <v>138</v>
      </c>
      <c r="BG1845" s="28" t="s">
        <v>138</v>
      </c>
      <c r="BH1845" s="28" t="s">
        <v>35021</v>
      </c>
      <c r="BI1845" s="28" t="s">
        <v>138</v>
      </c>
      <c r="BJ1845" s="28" t="s">
        <v>138</v>
      </c>
      <c r="BK1845" s="28" t="s">
        <v>28992</v>
      </c>
      <c r="BL1845" s="28" t="s">
        <v>35022</v>
      </c>
      <c r="BM1845" s="34" t="s">
        <v>138</v>
      </c>
      <c r="BN1845" s="29" t="s">
        <v>138</v>
      </c>
      <c r="BO1845" s="28" t="s">
        <v>138</v>
      </c>
      <c r="BP1845" s="29" t="s">
        <v>138</v>
      </c>
      <c r="BQ1845" s="28" t="s">
        <v>138</v>
      </c>
      <c r="BR1845" s="28" t="s">
        <v>176</v>
      </c>
      <c r="BS1845" s="28" t="s">
        <v>138</v>
      </c>
      <c r="BT1845" s="28" t="s">
        <v>138</v>
      </c>
      <c r="BU1845" s="28" t="s">
        <v>177</v>
      </c>
      <c r="BV1845" s="28" t="s">
        <v>138</v>
      </c>
      <c r="BW1845" s="28" t="s">
        <v>138</v>
      </c>
      <c r="BX1845" s="28" t="s">
        <v>138</v>
      </c>
      <c r="BY1845" s="28" t="s">
        <v>175</v>
      </c>
      <c r="BZ1845" s="34">
        <v>43031</v>
      </c>
      <c r="CA1845" s="29">
        <v>3.03</v>
      </c>
      <c r="CB1845" s="28" t="s">
        <v>172</v>
      </c>
      <c r="CC1845" s="29" t="s">
        <v>138</v>
      </c>
      <c r="CD1845" s="28" t="s">
        <v>138</v>
      </c>
      <c r="CE1845" s="28" t="s">
        <v>205</v>
      </c>
      <c r="CF1845" s="28" t="s">
        <v>623</v>
      </c>
      <c r="CG1845" s="28" t="s">
        <v>138</v>
      </c>
      <c r="CH1845" s="28" t="s">
        <v>174</v>
      </c>
      <c r="CI1845" s="28" t="s">
        <v>138</v>
      </c>
      <c r="CJ1845" s="28" t="s">
        <v>138</v>
      </c>
      <c r="CK1845" s="28" t="s">
        <v>138</v>
      </c>
      <c r="CL1845" s="28" t="s">
        <v>175</v>
      </c>
      <c r="CM1845" s="34" t="s">
        <v>138</v>
      </c>
      <c r="CN1845" s="29" t="s">
        <v>138</v>
      </c>
      <c r="CO1845" s="35">
        <v>0.15</v>
      </c>
      <c r="CP1845" s="36">
        <v>91</v>
      </c>
      <c r="CQ1845" s="35">
        <v>0</v>
      </c>
      <c r="CR1845" s="35">
        <v>0</v>
      </c>
      <c r="CS1845" s="35">
        <v>0</v>
      </c>
      <c r="CT1845" s="36">
        <v>23</v>
      </c>
      <c r="CU1845" s="35">
        <v>0.28999999999999998</v>
      </c>
      <c r="CV1845" s="36">
        <v>87</v>
      </c>
      <c r="CW1845" s="35" t="s">
        <v>138</v>
      </c>
      <c r="CX1845" s="36" t="s">
        <v>138</v>
      </c>
      <c r="CY1845" s="35">
        <v>0</v>
      </c>
      <c r="CZ1845" s="36">
        <v>25</v>
      </c>
      <c r="DA1845" s="35" t="s">
        <v>138</v>
      </c>
      <c r="DB1845" s="36" t="s">
        <v>138</v>
      </c>
      <c r="DC1845" s="37">
        <v>0.53</v>
      </c>
      <c r="DD1845" s="36">
        <v>35</v>
      </c>
      <c r="DE1845" s="37">
        <v>0</v>
      </c>
      <c r="DF1845" s="35">
        <v>-0.02</v>
      </c>
      <c r="DG1845" s="37">
        <v>0.86</v>
      </c>
      <c r="DH1845" s="36">
        <v>47</v>
      </c>
      <c r="DI1845" s="37">
        <v>0.19</v>
      </c>
      <c r="DJ1845" s="36">
        <v>22</v>
      </c>
      <c r="DK1845" s="37" t="s">
        <v>138</v>
      </c>
      <c r="DL1845" s="36" t="s">
        <v>138</v>
      </c>
      <c r="DM1845" s="37">
        <v>0.86</v>
      </c>
      <c r="DN1845" s="36">
        <v>47</v>
      </c>
      <c r="DO1845" s="37" t="s">
        <v>138</v>
      </c>
      <c r="DP1845" s="36" t="s">
        <v>138</v>
      </c>
      <c r="DQ1845" s="36">
        <v>540</v>
      </c>
      <c r="DR1845" s="38">
        <v>19</v>
      </c>
      <c r="DS1845" s="35">
        <v>3.65</v>
      </c>
      <c r="DT1845" s="36">
        <v>25</v>
      </c>
      <c r="DU1845" s="38">
        <v>0</v>
      </c>
      <c r="DV1845" s="35">
        <v>0</v>
      </c>
      <c r="DW1845" s="36" t="s">
        <v>138</v>
      </c>
      <c r="DX1845" s="39" t="s">
        <v>138</v>
      </c>
      <c r="DY1845" s="35" t="s">
        <v>138</v>
      </c>
      <c r="DZ1845" s="28" t="s">
        <v>178</v>
      </c>
      <c r="EA1845" s="34">
        <v>43451</v>
      </c>
      <c r="EB1845" s="29" t="s">
        <v>138</v>
      </c>
      <c r="EC1845" s="34" t="s">
        <v>138</v>
      </c>
      <c r="ED1845" s="28" t="s">
        <v>138</v>
      </c>
      <c r="EE1845" s="40" t="str">
        <f>HYPERLINK("https://my.pitchbook.com?c=169110-64", "View company online")</f>
        <v>View company online</v>
      </c>
    </row>
    <row r="1846" spans="1:135">
      <c r="A1846" s="15" t="s">
        <v>35023</v>
      </c>
      <c r="B1846" s="15" t="s">
        <v>35024</v>
      </c>
      <c r="C1846" s="15" t="s">
        <v>138</v>
      </c>
      <c r="D1846" s="15" t="s">
        <v>138</v>
      </c>
      <c r="E1846" s="15" t="s">
        <v>138</v>
      </c>
      <c r="F1846" s="15" t="s">
        <v>35023</v>
      </c>
      <c r="G1846" s="15" t="s">
        <v>35025</v>
      </c>
      <c r="H1846" s="15" t="s">
        <v>238</v>
      </c>
      <c r="I1846" s="15" t="s">
        <v>749</v>
      </c>
      <c r="J1846" s="15" t="s">
        <v>4261</v>
      </c>
      <c r="K1846" s="15" t="s">
        <v>35026</v>
      </c>
      <c r="L1846" s="15" t="s">
        <v>4703</v>
      </c>
      <c r="M1846" s="15" t="s">
        <v>35027</v>
      </c>
      <c r="N1846" s="15" t="s">
        <v>1452</v>
      </c>
      <c r="O1846" s="17" t="s">
        <v>138</v>
      </c>
      <c r="P1846" s="15" t="s">
        <v>148</v>
      </c>
      <c r="Q1846" s="15" t="s">
        <v>149</v>
      </c>
      <c r="R1846" s="15" t="s">
        <v>328</v>
      </c>
      <c r="S1846" s="15" t="s">
        <v>35028</v>
      </c>
      <c r="T1846" s="18">
        <v>175</v>
      </c>
      <c r="U1846" s="15" t="s">
        <v>35029</v>
      </c>
      <c r="V1846" s="15" t="s">
        <v>138</v>
      </c>
      <c r="W1846" s="15" t="s">
        <v>138</v>
      </c>
      <c r="X1846" s="19">
        <v>1996</v>
      </c>
      <c r="Y1846" s="15" t="s">
        <v>138</v>
      </c>
      <c r="Z1846" s="15" t="s">
        <v>138</v>
      </c>
      <c r="AA1846" s="15" t="s">
        <v>138</v>
      </c>
      <c r="AB1846" s="20">
        <v>43.12</v>
      </c>
      <c r="AC1846" s="20">
        <v>9.42</v>
      </c>
      <c r="AD1846" s="20">
        <v>0.72</v>
      </c>
      <c r="AE1846" s="20" t="s">
        <v>138</v>
      </c>
      <c r="AF1846" s="20">
        <v>0.82</v>
      </c>
      <c r="AG1846" s="15" t="s">
        <v>419</v>
      </c>
      <c r="AH1846" s="20" t="s">
        <v>138</v>
      </c>
      <c r="AI1846" s="20" t="s">
        <v>138</v>
      </c>
      <c r="AJ1846" s="20" t="s">
        <v>138</v>
      </c>
      <c r="AK1846" s="15" t="s">
        <v>35030</v>
      </c>
      <c r="AL1846" s="15" t="s">
        <v>35031</v>
      </c>
      <c r="AM1846" s="15" t="s">
        <v>5715</v>
      </c>
      <c r="AN1846" s="15" t="s">
        <v>35032</v>
      </c>
      <c r="AO1846" s="15" t="s">
        <v>35033</v>
      </c>
      <c r="AP1846" s="15" t="s">
        <v>35034</v>
      </c>
      <c r="AQ1846" s="15" t="s">
        <v>35035</v>
      </c>
      <c r="AR1846" s="15" t="s">
        <v>35036</v>
      </c>
      <c r="AS1846" s="15" t="s">
        <v>35037</v>
      </c>
      <c r="AT1846" s="15" t="s">
        <v>824</v>
      </c>
      <c r="AU1846" s="15" t="s">
        <v>35038</v>
      </c>
      <c r="AV1846" s="15" t="s">
        <v>526</v>
      </c>
      <c r="AW1846" s="15" t="s">
        <v>35033</v>
      </c>
      <c r="AX1846" s="15" t="s">
        <v>138</v>
      </c>
      <c r="AY1846" s="15" t="s">
        <v>138</v>
      </c>
      <c r="AZ1846" s="15" t="s">
        <v>530</v>
      </c>
      <c r="BA1846" s="15" t="s">
        <v>531</v>
      </c>
      <c r="BB1846" s="15" t="s">
        <v>35039</v>
      </c>
      <c r="BC1846" s="15" t="s">
        <v>2783</v>
      </c>
      <c r="BD1846" s="21">
        <v>1</v>
      </c>
      <c r="BE1846" s="15" t="s">
        <v>138</v>
      </c>
      <c r="BF1846" s="15" t="s">
        <v>138</v>
      </c>
      <c r="BG1846" s="15" t="s">
        <v>138</v>
      </c>
      <c r="BH1846" s="15" t="s">
        <v>2784</v>
      </c>
      <c r="BI1846" s="15" t="s">
        <v>138</v>
      </c>
      <c r="BJ1846" s="15" t="s">
        <v>138</v>
      </c>
      <c r="BK1846" s="15" t="s">
        <v>35040</v>
      </c>
      <c r="BL1846" s="15" t="s">
        <v>138</v>
      </c>
      <c r="BM1846" s="22">
        <v>43208</v>
      </c>
      <c r="BN1846" s="17" t="s">
        <v>138</v>
      </c>
      <c r="BO1846" s="15" t="s">
        <v>138</v>
      </c>
      <c r="BP1846" s="17" t="s">
        <v>138</v>
      </c>
      <c r="BQ1846" s="15" t="s">
        <v>138</v>
      </c>
      <c r="BR1846" s="15" t="s">
        <v>349</v>
      </c>
      <c r="BS1846" s="15" t="s">
        <v>138</v>
      </c>
      <c r="BT1846" s="15" t="s">
        <v>138</v>
      </c>
      <c r="BU1846" s="15" t="s">
        <v>351</v>
      </c>
      <c r="BV1846" s="15" t="s">
        <v>138</v>
      </c>
      <c r="BW1846" s="15" t="s">
        <v>138</v>
      </c>
      <c r="BX1846" s="15" t="s">
        <v>138</v>
      </c>
      <c r="BY1846" s="15" t="s">
        <v>175</v>
      </c>
      <c r="BZ1846" s="22">
        <v>43208</v>
      </c>
      <c r="CA1846" s="17" t="s">
        <v>138</v>
      </c>
      <c r="CB1846" s="15" t="s">
        <v>138</v>
      </c>
      <c r="CC1846" s="17" t="s">
        <v>138</v>
      </c>
      <c r="CD1846" s="15" t="s">
        <v>138</v>
      </c>
      <c r="CE1846" s="15" t="s">
        <v>349</v>
      </c>
      <c r="CF1846" s="15" t="s">
        <v>138</v>
      </c>
      <c r="CG1846" s="15" t="s">
        <v>138</v>
      </c>
      <c r="CH1846" s="15" t="s">
        <v>351</v>
      </c>
      <c r="CI1846" s="15" t="s">
        <v>138</v>
      </c>
      <c r="CJ1846" s="15" t="s">
        <v>138</v>
      </c>
      <c r="CK1846" s="15" t="s">
        <v>138</v>
      </c>
      <c r="CL1846" s="15" t="s">
        <v>175</v>
      </c>
      <c r="CM1846" s="22" t="s">
        <v>138</v>
      </c>
      <c r="CN1846" s="17" t="s">
        <v>138</v>
      </c>
      <c r="CO1846" s="23">
        <v>0</v>
      </c>
      <c r="CP1846" s="24">
        <v>26</v>
      </c>
      <c r="CQ1846" s="23">
        <v>0</v>
      </c>
      <c r="CR1846" s="23">
        <v>0</v>
      </c>
      <c r="CS1846" s="23">
        <v>0</v>
      </c>
      <c r="CT1846" s="24">
        <v>23</v>
      </c>
      <c r="CU1846" s="23" t="s">
        <v>138</v>
      </c>
      <c r="CV1846" s="24" t="s">
        <v>138</v>
      </c>
      <c r="CW1846" s="23" t="s">
        <v>138</v>
      </c>
      <c r="CX1846" s="24" t="s">
        <v>138</v>
      </c>
      <c r="CY1846" s="23">
        <v>0</v>
      </c>
      <c r="CZ1846" s="24">
        <v>25</v>
      </c>
      <c r="DA1846" s="23" t="s">
        <v>138</v>
      </c>
      <c r="DB1846" s="24" t="s">
        <v>138</v>
      </c>
      <c r="DC1846" s="25">
        <v>7.0000000000000007E-2</v>
      </c>
      <c r="DD1846" s="24">
        <v>4</v>
      </c>
      <c r="DE1846" s="25">
        <v>0</v>
      </c>
      <c r="DF1846" s="23">
        <v>0</v>
      </c>
      <c r="DG1846" s="25">
        <v>7.0000000000000007E-2</v>
      </c>
      <c r="DH1846" s="24">
        <v>4</v>
      </c>
      <c r="DI1846" s="25" t="s">
        <v>138</v>
      </c>
      <c r="DJ1846" s="24" t="s">
        <v>138</v>
      </c>
      <c r="DK1846" s="25" t="s">
        <v>138</v>
      </c>
      <c r="DL1846" s="24" t="s">
        <v>138</v>
      </c>
      <c r="DM1846" s="25">
        <v>7.0000000000000007E-2</v>
      </c>
      <c r="DN1846" s="24">
        <v>5</v>
      </c>
      <c r="DO1846" s="25" t="s">
        <v>138</v>
      </c>
      <c r="DP1846" s="24" t="s">
        <v>138</v>
      </c>
      <c r="DQ1846" s="24" t="s">
        <v>138</v>
      </c>
      <c r="DR1846" s="26" t="s">
        <v>138</v>
      </c>
      <c r="DS1846" s="23" t="s">
        <v>138</v>
      </c>
      <c r="DT1846" s="24">
        <v>2</v>
      </c>
      <c r="DU1846" s="26">
        <v>0</v>
      </c>
      <c r="DV1846" s="23">
        <v>0</v>
      </c>
      <c r="DW1846" s="24" t="s">
        <v>138</v>
      </c>
      <c r="DX1846" s="27" t="s">
        <v>138</v>
      </c>
      <c r="DY1846" s="23" t="s">
        <v>138</v>
      </c>
      <c r="DZ1846" s="15" t="s">
        <v>178</v>
      </c>
      <c r="EA1846" s="22">
        <v>43529</v>
      </c>
      <c r="EB1846" s="17" t="s">
        <v>138</v>
      </c>
      <c r="EC1846" s="22" t="s">
        <v>138</v>
      </c>
      <c r="ED1846" s="15" t="s">
        <v>138</v>
      </c>
      <c r="EE1846" s="14" t="str">
        <f>HYPERLINK("https://my.pitchbook.com?c=227972-71", "View company online")</f>
        <v>View company online</v>
      </c>
    </row>
    <row r="1847" spans="1:135">
      <c r="A1847" s="28" t="s">
        <v>35041</v>
      </c>
      <c r="B1847" s="28" t="s">
        <v>35042</v>
      </c>
      <c r="C1847" s="28" t="s">
        <v>138</v>
      </c>
      <c r="D1847" s="28" t="s">
        <v>138</v>
      </c>
      <c r="E1847" s="28" t="s">
        <v>138</v>
      </c>
      <c r="F1847" s="28" t="s">
        <v>35041</v>
      </c>
      <c r="G1847" s="28" t="s">
        <v>35043</v>
      </c>
      <c r="H1847" s="28" t="s">
        <v>322</v>
      </c>
      <c r="I1847" s="28" t="s">
        <v>323</v>
      </c>
      <c r="J1847" s="28" t="s">
        <v>324</v>
      </c>
      <c r="K1847" s="28" t="s">
        <v>325</v>
      </c>
      <c r="L1847" s="28" t="s">
        <v>35044</v>
      </c>
      <c r="M1847" s="28" t="s">
        <v>35045</v>
      </c>
      <c r="N1847" s="28" t="s">
        <v>147</v>
      </c>
      <c r="O1847" s="29">
        <v>3</v>
      </c>
      <c r="P1847" s="28" t="s">
        <v>610</v>
      </c>
      <c r="Q1847" s="28" t="s">
        <v>149</v>
      </c>
      <c r="R1847" s="28" t="s">
        <v>174</v>
      </c>
      <c r="S1847" s="28" t="s">
        <v>35046</v>
      </c>
      <c r="T1847" s="30" t="s">
        <v>138</v>
      </c>
      <c r="U1847" s="28" t="s">
        <v>138</v>
      </c>
      <c r="V1847" s="28" t="s">
        <v>138</v>
      </c>
      <c r="W1847" s="28" t="s">
        <v>138</v>
      </c>
      <c r="X1847" s="31">
        <v>2018</v>
      </c>
      <c r="Y1847" s="28" t="s">
        <v>138</v>
      </c>
      <c r="Z1847" s="28" t="s">
        <v>138</v>
      </c>
      <c r="AA1847" s="28" t="s">
        <v>138</v>
      </c>
      <c r="AB1847" s="32" t="s">
        <v>138</v>
      </c>
      <c r="AC1847" s="32" t="s">
        <v>138</v>
      </c>
      <c r="AD1847" s="32" t="s">
        <v>138</v>
      </c>
      <c r="AE1847" s="32" t="s">
        <v>138</v>
      </c>
      <c r="AF1847" s="32" t="s">
        <v>138</v>
      </c>
      <c r="AG1847" s="28" t="s">
        <v>138</v>
      </c>
      <c r="AH1847" s="32" t="s">
        <v>138</v>
      </c>
      <c r="AI1847" s="32" t="s">
        <v>138</v>
      </c>
      <c r="AJ1847" s="32" t="s">
        <v>138</v>
      </c>
      <c r="AK1847" s="28" t="s">
        <v>35047</v>
      </c>
      <c r="AL1847" s="28" t="s">
        <v>35048</v>
      </c>
      <c r="AM1847" s="28" t="s">
        <v>35049</v>
      </c>
      <c r="AN1847" s="28" t="s">
        <v>138</v>
      </c>
      <c r="AO1847" s="28" t="s">
        <v>138</v>
      </c>
      <c r="AP1847" s="28" t="s">
        <v>665</v>
      </c>
      <c r="AQ1847" s="28" t="s">
        <v>138</v>
      </c>
      <c r="AR1847" s="28" t="s">
        <v>138</v>
      </c>
      <c r="AS1847" s="28" t="s">
        <v>668</v>
      </c>
      <c r="AT1847" s="28" t="s">
        <v>200</v>
      </c>
      <c r="AU1847" s="28" t="s">
        <v>138</v>
      </c>
      <c r="AV1847" s="28" t="s">
        <v>162</v>
      </c>
      <c r="AW1847" s="28" t="s">
        <v>138</v>
      </c>
      <c r="AX1847" s="28" t="s">
        <v>138</v>
      </c>
      <c r="AY1847" s="28" t="s">
        <v>35050</v>
      </c>
      <c r="AZ1847" s="28" t="s">
        <v>164</v>
      </c>
      <c r="BA1847" s="28" t="s">
        <v>165</v>
      </c>
      <c r="BB1847" s="28" t="s">
        <v>35051</v>
      </c>
      <c r="BC1847" s="28" t="s">
        <v>35052</v>
      </c>
      <c r="BD1847" s="33">
        <v>5</v>
      </c>
      <c r="BE1847" s="28" t="s">
        <v>138</v>
      </c>
      <c r="BF1847" s="28" t="s">
        <v>138</v>
      </c>
      <c r="BG1847" s="28" t="s">
        <v>138</v>
      </c>
      <c r="BH1847" s="28" t="s">
        <v>35053</v>
      </c>
      <c r="BI1847" s="28" t="s">
        <v>138</v>
      </c>
      <c r="BJ1847" s="28" t="s">
        <v>138</v>
      </c>
      <c r="BK1847" s="28" t="s">
        <v>138</v>
      </c>
      <c r="BL1847" s="28" t="s">
        <v>138</v>
      </c>
      <c r="BM1847" s="34">
        <v>43333</v>
      </c>
      <c r="BN1847" s="29">
        <v>3</v>
      </c>
      <c r="BO1847" s="28" t="s">
        <v>172</v>
      </c>
      <c r="BP1847" s="29" t="s">
        <v>138</v>
      </c>
      <c r="BQ1847" s="28" t="s">
        <v>138</v>
      </c>
      <c r="BR1847" s="28" t="s">
        <v>234</v>
      </c>
      <c r="BS1847" s="28" t="s">
        <v>234</v>
      </c>
      <c r="BT1847" s="28" t="s">
        <v>138</v>
      </c>
      <c r="BU1847" s="28" t="s">
        <v>174</v>
      </c>
      <c r="BV1847" s="28" t="s">
        <v>138</v>
      </c>
      <c r="BW1847" s="28" t="s">
        <v>138</v>
      </c>
      <c r="BX1847" s="28" t="s">
        <v>138</v>
      </c>
      <c r="BY1847" s="28" t="s">
        <v>175</v>
      </c>
      <c r="BZ1847" s="34">
        <v>43333</v>
      </c>
      <c r="CA1847" s="29">
        <v>3</v>
      </c>
      <c r="CB1847" s="28" t="s">
        <v>172</v>
      </c>
      <c r="CC1847" s="29" t="s">
        <v>138</v>
      </c>
      <c r="CD1847" s="28" t="s">
        <v>138</v>
      </c>
      <c r="CE1847" s="28" t="s">
        <v>234</v>
      </c>
      <c r="CF1847" s="28" t="s">
        <v>234</v>
      </c>
      <c r="CG1847" s="28" t="s">
        <v>138</v>
      </c>
      <c r="CH1847" s="28" t="s">
        <v>174</v>
      </c>
      <c r="CI1847" s="28" t="s">
        <v>138</v>
      </c>
      <c r="CJ1847" s="28" t="s">
        <v>138</v>
      </c>
      <c r="CK1847" s="28" t="s">
        <v>138</v>
      </c>
      <c r="CL1847" s="28" t="s">
        <v>175</v>
      </c>
      <c r="CM1847" s="34" t="s">
        <v>138</v>
      </c>
      <c r="CN1847" s="29" t="s">
        <v>138</v>
      </c>
      <c r="CO1847" s="35">
        <v>0.1</v>
      </c>
      <c r="CP1847" s="36">
        <v>90</v>
      </c>
      <c r="CQ1847" s="35">
        <v>0.22</v>
      </c>
      <c r="CR1847" s="35">
        <v>190.06</v>
      </c>
      <c r="CS1847" s="35">
        <v>0</v>
      </c>
      <c r="CT1847" s="36">
        <v>23</v>
      </c>
      <c r="CU1847" s="35">
        <v>0.21</v>
      </c>
      <c r="CV1847" s="36">
        <v>81</v>
      </c>
      <c r="CW1847" s="35">
        <v>0</v>
      </c>
      <c r="CX1847" s="36">
        <v>13</v>
      </c>
      <c r="CY1847" s="35" t="s">
        <v>138</v>
      </c>
      <c r="CZ1847" s="36" t="s">
        <v>138</v>
      </c>
      <c r="DA1847" s="35">
        <v>0.21</v>
      </c>
      <c r="DB1847" s="36">
        <v>83</v>
      </c>
      <c r="DC1847" s="37">
        <v>1.89</v>
      </c>
      <c r="DD1847" s="36">
        <v>66</v>
      </c>
      <c r="DE1847" s="37">
        <v>-0.01</v>
      </c>
      <c r="DF1847" s="35">
        <v>-0.48</v>
      </c>
      <c r="DG1847" s="37">
        <v>0.48</v>
      </c>
      <c r="DH1847" s="36">
        <v>33</v>
      </c>
      <c r="DI1847" s="37">
        <v>3.3</v>
      </c>
      <c r="DJ1847" s="36">
        <v>71</v>
      </c>
      <c r="DK1847" s="37">
        <v>0.48</v>
      </c>
      <c r="DL1847" s="36">
        <v>35</v>
      </c>
      <c r="DM1847" s="37" t="s">
        <v>138</v>
      </c>
      <c r="DN1847" s="36" t="s">
        <v>138</v>
      </c>
      <c r="DO1847" s="37">
        <v>3.3</v>
      </c>
      <c r="DP1847" s="36">
        <v>73</v>
      </c>
      <c r="DQ1847" s="36">
        <v>172</v>
      </c>
      <c r="DR1847" s="38">
        <v>-23</v>
      </c>
      <c r="DS1847" s="35">
        <v>-11.79</v>
      </c>
      <c r="DT1847" s="36" t="s">
        <v>138</v>
      </c>
      <c r="DU1847" s="38" t="s">
        <v>138</v>
      </c>
      <c r="DV1847" s="35" t="s">
        <v>138</v>
      </c>
      <c r="DW1847" s="36">
        <v>1174</v>
      </c>
      <c r="DX1847" s="39">
        <v>22</v>
      </c>
      <c r="DY1847" s="35">
        <v>1.91</v>
      </c>
      <c r="DZ1847" s="28" t="s">
        <v>178</v>
      </c>
      <c r="EA1847" s="34">
        <v>43593</v>
      </c>
      <c r="EB1847" s="29" t="s">
        <v>138</v>
      </c>
      <c r="EC1847" s="34" t="s">
        <v>138</v>
      </c>
      <c r="ED1847" s="28" t="s">
        <v>138</v>
      </c>
      <c r="EE1847" s="40" t="str">
        <f>HYPERLINK("https://my.pitchbook.com?c=232083-55", "View company online")</f>
        <v>View company online</v>
      </c>
    </row>
    <row r="1848" spans="1:135">
      <c r="A1848" s="15" t="s">
        <v>35054</v>
      </c>
      <c r="B1848" s="15" t="s">
        <v>35055</v>
      </c>
      <c r="C1848" s="15" t="s">
        <v>138</v>
      </c>
      <c r="D1848" s="15" t="s">
        <v>138</v>
      </c>
      <c r="E1848" s="15" t="s">
        <v>35056</v>
      </c>
      <c r="F1848" s="15" t="s">
        <v>35054</v>
      </c>
      <c r="G1848" s="15" t="s">
        <v>35057</v>
      </c>
      <c r="H1848" s="15" t="s">
        <v>322</v>
      </c>
      <c r="I1848" s="15" t="s">
        <v>323</v>
      </c>
      <c r="J1848" s="15" t="s">
        <v>954</v>
      </c>
      <c r="K1848" s="15" t="s">
        <v>1562</v>
      </c>
      <c r="L1848" s="15" t="s">
        <v>415</v>
      </c>
      <c r="M1848" s="15" t="s">
        <v>35058</v>
      </c>
      <c r="N1848" s="15" t="s">
        <v>147</v>
      </c>
      <c r="O1848" s="17">
        <v>14.09</v>
      </c>
      <c r="P1848" s="15" t="s">
        <v>148</v>
      </c>
      <c r="Q1848" s="15" t="s">
        <v>149</v>
      </c>
      <c r="R1848" s="15" t="s">
        <v>244</v>
      </c>
      <c r="S1848" s="15" t="s">
        <v>35059</v>
      </c>
      <c r="T1848" s="18">
        <v>18</v>
      </c>
      <c r="U1848" s="15" t="s">
        <v>35060</v>
      </c>
      <c r="V1848" s="15" t="s">
        <v>138</v>
      </c>
      <c r="W1848" s="15" t="s">
        <v>138</v>
      </c>
      <c r="X1848" s="19">
        <v>2009</v>
      </c>
      <c r="Y1848" s="15" t="s">
        <v>138</v>
      </c>
      <c r="Z1848" s="15" t="s">
        <v>138</v>
      </c>
      <c r="AA1848" s="15" t="s">
        <v>138</v>
      </c>
      <c r="AB1848" s="20" t="s">
        <v>138</v>
      </c>
      <c r="AC1848" s="20" t="s">
        <v>138</v>
      </c>
      <c r="AD1848" s="20" t="s">
        <v>138</v>
      </c>
      <c r="AE1848" s="20" t="s">
        <v>138</v>
      </c>
      <c r="AF1848" s="20" t="s">
        <v>138</v>
      </c>
      <c r="AG1848" s="15" t="s">
        <v>138</v>
      </c>
      <c r="AH1848" s="20" t="s">
        <v>138</v>
      </c>
      <c r="AI1848" s="20" t="s">
        <v>138</v>
      </c>
      <c r="AJ1848" s="20" t="s">
        <v>138</v>
      </c>
      <c r="AK1848" s="15" t="s">
        <v>35061</v>
      </c>
      <c r="AL1848" s="15" t="s">
        <v>35062</v>
      </c>
      <c r="AM1848" s="15" t="s">
        <v>566</v>
      </c>
      <c r="AN1848" s="15" t="s">
        <v>35063</v>
      </c>
      <c r="AO1848" s="15" t="s">
        <v>138</v>
      </c>
      <c r="AP1848" s="15" t="s">
        <v>423</v>
      </c>
      <c r="AQ1848" s="15" t="s">
        <v>35064</v>
      </c>
      <c r="AR1848" s="15" t="s">
        <v>35065</v>
      </c>
      <c r="AS1848" s="15" t="s">
        <v>426</v>
      </c>
      <c r="AT1848" s="15" t="s">
        <v>426</v>
      </c>
      <c r="AU1848" s="15" t="s">
        <v>35066</v>
      </c>
      <c r="AV1848" s="15" t="s">
        <v>162</v>
      </c>
      <c r="AW1848" s="15" t="s">
        <v>138</v>
      </c>
      <c r="AX1848" s="15" t="s">
        <v>138</v>
      </c>
      <c r="AY1848" s="15" t="s">
        <v>138</v>
      </c>
      <c r="AZ1848" s="15" t="s">
        <v>164</v>
      </c>
      <c r="BA1848" s="15" t="s">
        <v>165</v>
      </c>
      <c r="BB1848" s="15" t="s">
        <v>35067</v>
      </c>
      <c r="BC1848" s="15" t="s">
        <v>35068</v>
      </c>
      <c r="BD1848" s="21">
        <v>27</v>
      </c>
      <c r="BE1848" s="15" t="s">
        <v>138</v>
      </c>
      <c r="BF1848" s="15" t="s">
        <v>138</v>
      </c>
      <c r="BG1848" s="15" t="s">
        <v>138</v>
      </c>
      <c r="BH1848" s="15" t="s">
        <v>35069</v>
      </c>
      <c r="BI1848" s="15" t="s">
        <v>138</v>
      </c>
      <c r="BJ1848" s="15" t="s">
        <v>138</v>
      </c>
      <c r="BK1848" s="15" t="s">
        <v>35070</v>
      </c>
      <c r="BL1848" s="15" t="s">
        <v>35071</v>
      </c>
      <c r="BM1848" s="22">
        <v>42059</v>
      </c>
      <c r="BN1848" s="17">
        <v>2</v>
      </c>
      <c r="BO1848" s="15" t="s">
        <v>172</v>
      </c>
      <c r="BP1848" s="17" t="s">
        <v>138</v>
      </c>
      <c r="BQ1848" s="15" t="s">
        <v>138</v>
      </c>
      <c r="BR1848" s="15" t="s">
        <v>234</v>
      </c>
      <c r="BS1848" s="15" t="s">
        <v>234</v>
      </c>
      <c r="BT1848" s="15" t="s">
        <v>138</v>
      </c>
      <c r="BU1848" s="15" t="s">
        <v>174</v>
      </c>
      <c r="BV1848" s="15" t="s">
        <v>138</v>
      </c>
      <c r="BW1848" s="15" t="s">
        <v>138</v>
      </c>
      <c r="BX1848" s="15" t="s">
        <v>138</v>
      </c>
      <c r="BY1848" s="15" t="s">
        <v>175</v>
      </c>
      <c r="BZ1848" s="22">
        <v>43194</v>
      </c>
      <c r="CA1848" s="17" t="s">
        <v>138</v>
      </c>
      <c r="CB1848" s="15" t="s">
        <v>138</v>
      </c>
      <c r="CC1848" s="17" t="s">
        <v>138</v>
      </c>
      <c r="CD1848" s="15" t="s">
        <v>138</v>
      </c>
      <c r="CE1848" s="15" t="s">
        <v>1326</v>
      </c>
      <c r="CF1848" s="15" t="s">
        <v>138</v>
      </c>
      <c r="CG1848" s="15" t="s">
        <v>138</v>
      </c>
      <c r="CH1848" s="15" t="s">
        <v>1327</v>
      </c>
      <c r="CI1848" s="15" t="s">
        <v>2528</v>
      </c>
      <c r="CJ1848" s="15" t="s">
        <v>138</v>
      </c>
      <c r="CK1848" s="15" t="s">
        <v>138</v>
      </c>
      <c r="CL1848" s="15" t="s">
        <v>175</v>
      </c>
      <c r="CM1848" s="22">
        <v>43194</v>
      </c>
      <c r="CN1848" s="17" t="s">
        <v>138</v>
      </c>
      <c r="CO1848" s="23">
        <v>0.19</v>
      </c>
      <c r="CP1848" s="24">
        <v>92</v>
      </c>
      <c r="CQ1848" s="23">
        <v>-0.01</v>
      </c>
      <c r="CR1848" s="23">
        <v>-6.78</v>
      </c>
      <c r="CS1848" s="23">
        <v>0.18</v>
      </c>
      <c r="CT1848" s="24">
        <v>94</v>
      </c>
      <c r="CU1848" s="23">
        <v>0.2</v>
      </c>
      <c r="CV1848" s="24">
        <v>80</v>
      </c>
      <c r="CW1848" s="23">
        <v>0.92</v>
      </c>
      <c r="CX1848" s="24">
        <v>84</v>
      </c>
      <c r="CY1848" s="23">
        <v>-0.55000000000000004</v>
      </c>
      <c r="CZ1848" s="24">
        <v>22</v>
      </c>
      <c r="DA1848" s="23">
        <v>0.25</v>
      </c>
      <c r="DB1848" s="24">
        <v>86</v>
      </c>
      <c r="DC1848" s="25">
        <v>2145.29</v>
      </c>
      <c r="DD1848" s="24">
        <v>100</v>
      </c>
      <c r="DE1848" s="25">
        <v>-142.19</v>
      </c>
      <c r="DF1848" s="23">
        <v>-6.22</v>
      </c>
      <c r="DG1848" s="25">
        <v>3058.75</v>
      </c>
      <c r="DH1848" s="24">
        <v>100</v>
      </c>
      <c r="DI1848" s="25">
        <v>1231.83</v>
      </c>
      <c r="DJ1848" s="24">
        <v>100</v>
      </c>
      <c r="DK1848" s="25">
        <v>4545.84</v>
      </c>
      <c r="DL1848" s="24">
        <v>100</v>
      </c>
      <c r="DM1848" s="25">
        <v>1571.66</v>
      </c>
      <c r="DN1848" s="24">
        <v>100</v>
      </c>
      <c r="DO1848" s="25">
        <v>1066.47</v>
      </c>
      <c r="DP1848" s="24">
        <v>100</v>
      </c>
      <c r="DQ1848" s="24">
        <v>1562229</v>
      </c>
      <c r="DR1848" s="26">
        <v>-9021</v>
      </c>
      <c r="DS1848" s="23">
        <v>-0.56999999999999995</v>
      </c>
      <c r="DT1848" s="24">
        <v>45479</v>
      </c>
      <c r="DU1848" s="26">
        <v>229</v>
      </c>
      <c r="DV1848" s="23">
        <v>0.51</v>
      </c>
      <c r="DW1848" s="24">
        <v>381498</v>
      </c>
      <c r="DX1848" s="27">
        <v>761</v>
      </c>
      <c r="DY1848" s="23">
        <v>0.2</v>
      </c>
      <c r="DZ1848" s="15" t="s">
        <v>178</v>
      </c>
      <c r="EA1848" s="22">
        <v>43622</v>
      </c>
      <c r="EB1848" s="17">
        <v>33</v>
      </c>
      <c r="EC1848" s="22">
        <v>42949</v>
      </c>
      <c r="ED1848" s="15" t="s">
        <v>205</v>
      </c>
      <c r="EE1848" s="14" t="str">
        <f>HYPERLINK("https://my.pitchbook.com?c=82493-29", "View company online")</f>
        <v>View company online</v>
      </c>
    </row>
    <row r="1849" spans="1:135">
      <c r="A1849" s="28" t="s">
        <v>35072</v>
      </c>
      <c r="B1849" s="28" t="s">
        <v>35073</v>
      </c>
      <c r="C1849" s="28" t="s">
        <v>138</v>
      </c>
      <c r="D1849" s="28" t="s">
        <v>138</v>
      </c>
      <c r="E1849" s="28" t="s">
        <v>35074</v>
      </c>
      <c r="F1849" s="28" t="s">
        <v>35072</v>
      </c>
      <c r="G1849" s="28" t="s">
        <v>35075</v>
      </c>
      <c r="H1849" s="28" t="s">
        <v>183</v>
      </c>
      <c r="I1849" s="28" t="s">
        <v>725</v>
      </c>
      <c r="J1849" s="28" t="s">
        <v>8492</v>
      </c>
      <c r="K1849" s="28" t="s">
        <v>35076</v>
      </c>
      <c r="L1849" s="28" t="s">
        <v>17791</v>
      </c>
      <c r="M1849" s="28" t="s">
        <v>35077</v>
      </c>
      <c r="N1849" s="28" t="s">
        <v>1452</v>
      </c>
      <c r="O1849" s="29">
        <v>294.43</v>
      </c>
      <c r="P1849" s="28" t="s">
        <v>812</v>
      </c>
      <c r="Q1849" s="28" t="s">
        <v>149</v>
      </c>
      <c r="R1849" s="28" t="s">
        <v>5904</v>
      </c>
      <c r="S1849" s="28" t="s">
        <v>35078</v>
      </c>
      <c r="T1849" s="30">
        <v>5156</v>
      </c>
      <c r="U1849" s="28" t="s">
        <v>35079</v>
      </c>
      <c r="V1849" s="28" t="s">
        <v>138</v>
      </c>
      <c r="W1849" s="28" t="s">
        <v>138</v>
      </c>
      <c r="X1849" s="31">
        <v>1997</v>
      </c>
      <c r="Y1849" s="28" t="s">
        <v>138</v>
      </c>
      <c r="Z1849" s="28" t="s">
        <v>138</v>
      </c>
      <c r="AA1849" s="28" t="s">
        <v>1163</v>
      </c>
      <c r="AB1849" s="32">
        <v>1311.4</v>
      </c>
      <c r="AC1849" s="32">
        <v>704.7</v>
      </c>
      <c r="AD1849" s="32">
        <v>125.5</v>
      </c>
      <c r="AE1849" s="32">
        <v>5452.67</v>
      </c>
      <c r="AF1849" s="32">
        <v>308.89999999999998</v>
      </c>
      <c r="AG1849" s="28" t="s">
        <v>35080</v>
      </c>
      <c r="AH1849" s="32">
        <v>158.9</v>
      </c>
      <c r="AI1849" s="32" t="s">
        <v>138</v>
      </c>
      <c r="AJ1849" s="32">
        <v>-45.3</v>
      </c>
      <c r="AK1849" s="28" t="s">
        <v>35081</v>
      </c>
      <c r="AL1849" s="28" t="s">
        <v>35082</v>
      </c>
      <c r="AM1849" s="28" t="s">
        <v>35083</v>
      </c>
      <c r="AN1849" s="28" t="s">
        <v>35084</v>
      </c>
      <c r="AO1849" s="28" t="s">
        <v>35085</v>
      </c>
      <c r="AP1849" s="28" t="s">
        <v>1845</v>
      </c>
      <c r="AQ1849" s="28" t="s">
        <v>35086</v>
      </c>
      <c r="AR1849" s="28" t="s">
        <v>138</v>
      </c>
      <c r="AS1849" s="28" t="s">
        <v>1847</v>
      </c>
      <c r="AT1849" s="28" t="s">
        <v>864</v>
      </c>
      <c r="AU1849" s="28" t="s">
        <v>1848</v>
      </c>
      <c r="AV1849" s="28" t="s">
        <v>162</v>
      </c>
      <c r="AW1849" s="28" t="s">
        <v>35085</v>
      </c>
      <c r="AX1849" s="28" t="s">
        <v>35087</v>
      </c>
      <c r="AY1849" s="28" t="s">
        <v>35088</v>
      </c>
      <c r="AZ1849" s="28" t="s">
        <v>164</v>
      </c>
      <c r="BA1849" s="28" t="s">
        <v>165</v>
      </c>
      <c r="BB1849" s="28" t="s">
        <v>35089</v>
      </c>
      <c r="BC1849" s="28" t="s">
        <v>35090</v>
      </c>
      <c r="BD1849" s="33">
        <v>4</v>
      </c>
      <c r="BE1849" s="28" t="s">
        <v>138</v>
      </c>
      <c r="BF1849" s="28" t="s">
        <v>35091</v>
      </c>
      <c r="BG1849" s="28" t="s">
        <v>138</v>
      </c>
      <c r="BH1849" s="28" t="s">
        <v>35092</v>
      </c>
      <c r="BI1849" s="28" t="s">
        <v>35093</v>
      </c>
      <c r="BJ1849" s="28" t="s">
        <v>138</v>
      </c>
      <c r="BK1849" s="28" t="s">
        <v>35094</v>
      </c>
      <c r="BL1849" s="28" t="s">
        <v>35095</v>
      </c>
      <c r="BM1849" s="34" t="s">
        <v>138</v>
      </c>
      <c r="BN1849" s="29">
        <v>2.6</v>
      </c>
      <c r="BO1849" s="28" t="s">
        <v>172</v>
      </c>
      <c r="BP1849" s="29" t="s">
        <v>138</v>
      </c>
      <c r="BQ1849" s="28" t="s">
        <v>138</v>
      </c>
      <c r="BR1849" s="28" t="s">
        <v>262</v>
      </c>
      <c r="BS1849" s="28" t="s">
        <v>262</v>
      </c>
      <c r="BT1849" s="28" t="s">
        <v>138</v>
      </c>
      <c r="BU1849" s="28" t="s">
        <v>263</v>
      </c>
      <c r="BV1849" s="28" t="s">
        <v>138</v>
      </c>
      <c r="BW1849" s="28" t="s">
        <v>138</v>
      </c>
      <c r="BX1849" s="28" t="s">
        <v>138</v>
      </c>
      <c r="BY1849" s="28" t="s">
        <v>175</v>
      </c>
      <c r="BZ1849" s="34">
        <v>43503</v>
      </c>
      <c r="CA1849" s="29">
        <v>5700</v>
      </c>
      <c r="CB1849" s="28" t="s">
        <v>172</v>
      </c>
      <c r="CC1849" s="29">
        <v>5700</v>
      </c>
      <c r="CD1849" s="28" t="s">
        <v>1178</v>
      </c>
      <c r="CE1849" s="28" t="s">
        <v>349</v>
      </c>
      <c r="CF1849" s="28" t="s">
        <v>138</v>
      </c>
      <c r="CG1849" s="28" t="s">
        <v>138</v>
      </c>
      <c r="CH1849" s="28" t="s">
        <v>351</v>
      </c>
      <c r="CI1849" s="28" t="s">
        <v>1497</v>
      </c>
      <c r="CJ1849" s="28" t="s">
        <v>7268</v>
      </c>
      <c r="CK1849" s="28" t="s">
        <v>1498</v>
      </c>
      <c r="CL1849" s="28" t="s">
        <v>175</v>
      </c>
      <c r="CM1849" s="34">
        <v>43503</v>
      </c>
      <c r="CN1849" s="29">
        <v>400</v>
      </c>
      <c r="CO1849" s="35">
        <v>-0.43</v>
      </c>
      <c r="CP1849" s="36">
        <v>17</v>
      </c>
      <c r="CQ1849" s="35">
        <v>-0.01</v>
      </c>
      <c r="CR1849" s="35">
        <v>-3.02</v>
      </c>
      <c r="CS1849" s="35">
        <v>-1.38</v>
      </c>
      <c r="CT1849" s="36">
        <v>12</v>
      </c>
      <c r="CU1849" s="35">
        <v>0.08</v>
      </c>
      <c r="CV1849" s="36">
        <v>64</v>
      </c>
      <c r="CW1849" s="35">
        <v>-0.92</v>
      </c>
      <c r="CX1849" s="36">
        <v>10</v>
      </c>
      <c r="CY1849" s="35">
        <v>-1.85</v>
      </c>
      <c r="CZ1849" s="36">
        <v>12</v>
      </c>
      <c r="DA1849" s="35">
        <v>0.08</v>
      </c>
      <c r="DB1849" s="36">
        <v>69</v>
      </c>
      <c r="DC1849" s="37">
        <v>65.05</v>
      </c>
      <c r="DD1849" s="36">
        <v>98</v>
      </c>
      <c r="DE1849" s="37">
        <v>-2.58</v>
      </c>
      <c r="DF1849" s="35">
        <v>-3.81</v>
      </c>
      <c r="DG1849" s="37">
        <v>123.68</v>
      </c>
      <c r="DH1849" s="36">
        <v>100</v>
      </c>
      <c r="DI1849" s="37">
        <v>71.239999999999995</v>
      </c>
      <c r="DJ1849" s="36">
        <v>96</v>
      </c>
      <c r="DK1849" s="37">
        <v>127.26</v>
      </c>
      <c r="DL1849" s="36">
        <v>98</v>
      </c>
      <c r="DM1849" s="37">
        <v>120.1</v>
      </c>
      <c r="DN1849" s="36">
        <v>100</v>
      </c>
      <c r="DO1849" s="37">
        <v>71.239999999999995</v>
      </c>
      <c r="DP1849" s="36">
        <v>97</v>
      </c>
      <c r="DQ1849" s="36">
        <v>43159</v>
      </c>
      <c r="DR1849" s="38">
        <v>1477</v>
      </c>
      <c r="DS1849" s="35">
        <v>3.54</v>
      </c>
      <c r="DT1849" s="36">
        <v>3483</v>
      </c>
      <c r="DU1849" s="38">
        <v>-4</v>
      </c>
      <c r="DV1849" s="35">
        <v>-0.11</v>
      </c>
      <c r="DW1849" s="36">
        <v>25493</v>
      </c>
      <c r="DX1849" s="39">
        <v>19</v>
      </c>
      <c r="DY1849" s="35">
        <v>7.0000000000000007E-2</v>
      </c>
      <c r="DZ1849" s="28" t="s">
        <v>178</v>
      </c>
      <c r="EA1849" s="34">
        <v>43622</v>
      </c>
      <c r="EB1849" s="29">
        <v>5700</v>
      </c>
      <c r="EC1849" s="34">
        <v>43503</v>
      </c>
      <c r="ED1849" s="28" t="s">
        <v>349</v>
      </c>
      <c r="EE1849" s="40" t="str">
        <f>HYPERLINK("https://my.pitchbook.com?c=12858-31", "View company online")</f>
        <v>View company online</v>
      </c>
    </row>
    <row r="1850" spans="1:135">
      <c r="A1850" s="15" t="s">
        <v>35096</v>
      </c>
      <c r="B1850" s="15" t="s">
        <v>35097</v>
      </c>
      <c r="C1850" s="15" t="s">
        <v>138</v>
      </c>
      <c r="D1850" s="15" t="s">
        <v>138</v>
      </c>
      <c r="E1850" s="15" t="s">
        <v>35098</v>
      </c>
      <c r="F1850" s="15" t="s">
        <v>35096</v>
      </c>
      <c r="G1850" s="15" t="s">
        <v>35099</v>
      </c>
      <c r="H1850" s="15" t="s">
        <v>322</v>
      </c>
      <c r="I1850" s="15" t="s">
        <v>323</v>
      </c>
      <c r="J1850" s="15" t="s">
        <v>539</v>
      </c>
      <c r="K1850" s="15" t="s">
        <v>4520</v>
      </c>
      <c r="L1850" s="15" t="s">
        <v>35100</v>
      </c>
      <c r="M1850" s="15" t="s">
        <v>35101</v>
      </c>
      <c r="N1850" s="15" t="s">
        <v>147</v>
      </c>
      <c r="O1850" s="17">
        <v>1.05</v>
      </c>
      <c r="P1850" s="15" t="s">
        <v>148</v>
      </c>
      <c r="Q1850" s="15" t="s">
        <v>149</v>
      </c>
      <c r="R1850" s="15" t="s">
        <v>174</v>
      </c>
      <c r="S1850" s="15" t="s">
        <v>35102</v>
      </c>
      <c r="T1850" s="18">
        <v>8</v>
      </c>
      <c r="U1850" s="15" t="s">
        <v>35103</v>
      </c>
      <c r="V1850" s="15" t="s">
        <v>138</v>
      </c>
      <c r="W1850" s="15" t="s">
        <v>138</v>
      </c>
      <c r="X1850" s="19">
        <v>2013</v>
      </c>
      <c r="Y1850" s="15" t="s">
        <v>138</v>
      </c>
      <c r="Z1850" s="15" t="s">
        <v>138</v>
      </c>
      <c r="AA1850" s="15" t="s">
        <v>138</v>
      </c>
      <c r="AB1850" s="20">
        <v>0.3</v>
      </c>
      <c r="AC1850" s="20" t="s">
        <v>138</v>
      </c>
      <c r="AD1850" s="20" t="s">
        <v>138</v>
      </c>
      <c r="AE1850" s="20" t="s">
        <v>138</v>
      </c>
      <c r="AF1850" s="20" t="s">
        <v>138</v>
      </c>
      <c r="AG1850" s="15" t="s">
        <v>707</v>
      </c>
      <c r="AH1850" s="20" t="s">
        <v>138</v>
      </c>
      <c r="AI1850" s="20" t="s">
        <v>138</v>
      </c>
      <c r="AJ1850" s="20" t="s">
        <v>138</v>
      </c>
      <c r="AK1850" s="15" t="s">
        <v>35104</v>
      </c>
      <c r="AL1850" s="15" t="s">
        <v>35105</v>
      </c>
      <c r="AM1850" s="15" t="s">
        <v>938</v>
      </c>
      <c r="AN1850" s="15" t="s">
        <v>35106</v>
      </c>
      <c r="AO1850" s="15" t="s">
        <v>35107</v>
      </c>
      <c r="AP1850" s="15" t="s">
        <v>2002</v>
      </c>
      <c r="AQ1850" s="15" t="s">
        <v>35108</v>
      </c>
      <c r="AR1850" s="15" t="s">
        <v>35109</v>
      </c>
      <c r="AS1850" s="15" t="s">
        <v>2005</v>
      </c>
      <c r="AT1850" s="15" t="s">
        <v>200</v>
      </c>
      <c r="AU1850" s="15" t="s">
        <v>31314</v>
      </c>
      <c r="AV1850" s="15" t="s">
        <v>162</v>
      </c>
      <c r="AW1850" s="15" t="s">
        <v>35107</v>
      </c>
      <c r="AX1850" s="15" t="s">
        <v>138</v>
      </c>
      <c r="AY1850" s="15" t="s">
        <v>35110</v>
      </c>
      <c r="AZ1850" s="15" t="s">
        <v>164</v>
      </c>
      <c r="BA1850" s="15" t="s">
        <v>165</v>
      </c>
      <c r="BB1850" s="15" t="s">
        <v>35111</v>
      </c>
      <c r="BC1850" s="15" t="s">
        <v>35112</v>
      </c>
      <c r="BD1850" s="21">
        <v>6</v>
      </c>
      <c r="BE1850" s="15" t="s">
        <v>138</v>
      </c>
      <c r="BF1850" s="15" t="s">
        <v>35113</v>
      </c>
      <c r="BG1850" s="15" t="s">
        <v>138</v>
      </c>
      <c r="BH1850" s="15" t="s">
        <v>35114</v>
      </c>
      <c r="BI1850" s="15" t="s">
        <v>35115</v>
      </c>
      <c r="BJ1850" s="15" t="s">
        <v>138</v>
      </c>
      <c r="BK1850" s="15" t="s">
        <v>35116</v>
      </c>
      <c r="BL1850" s="15" t="s">
        <v>35117</v>
      </c>
      <c r="BM1850" s="22">
        <v>41640</v>
      </c>
      <c r="BN1850" s="17">
        <v>0.02</v>
      </c>
      <c r="BO1850" s="15" t="s">
        <v>172</v>
      </c>
      <c r="BP1850" s="17" t="s">
        <v>138</v>
      </c>
      <c r="BQ1850" s="15" t="s">
        <v>138</v>
      </c>
      <c r="BR1850" s="15" t="s">
        <v>262</v>
      </c>
      <c r="BS1850" s="15" t="s">
        <v>262</v>
      </c>
      <c r="BT1850" s="15" t="s">
        <v>138</v>
      </c>
      <c r="BU1850" s="15" t="s">
        <v>263</v>
      </c>
      <c r="BV1850" s="15" t="s">
        <v>264</v>
      </c>
      <c r="BW1850" s="15" t="s">
        <v>138</v>
      </c>
      <c r="BX1850" s="15" t="s">
        <v>138</v>
      </c>
      <c r="BY1850" s="15" t="s">
        <v>175</v>
      </c>
      <c r="BZ1850" s="22">
        <v>43455</v>
      </c>
      <c r="CA1850" s="17" t="s">
        <v>138</v>
      </c>
      <c r="CB1850" s="15" t="s">
        <v>138</v>
      </c>
      <c r="CC1850" s="17" t="s">
        <v>138</v>
      </c>
      <c r="CD1850" s="15" t="s">
        <v>138</v>
      </c>
      <c r="CE1850" s="15" t="s">
        <v>173</v>
      </c>
      <c r="CF1850" s="15" t="s">
        <v>138</v>
      </c>
      <c r="CG1850" s="15" t="s">
        <v>138</v>
      </c>
      <c r="CH1850" s="15" t="s">
        <v>174</v>
      </c>
      <c r="CI1850" s="15" t="s">
        <v>138</v>
      </c>
      <c r="CJ1850" s="15" t="s">
        <v>138</v>
      </c>
      <c r="CK1850" s="15" t="s">
        <v>138</v>
      </c>
      <c r="CL1850" s="15" t="s">
        <v>175</v>
      </c>
      <c r="CM1850" s="22" t="s">
        <v>138</v>
      </c>
      <c r="CN1850" s="17" t="s">
        <v>138</v>
      </c>
      <c r="CO1850" s="23">
        <v>0.31</v>
      </c>
      <c r="CP1850" s="24">
        <v>94</v>
      </c>
      <c r="CQ1850" s="23">
        <v>0.02</v>
      </c>
      <c r="CR1850" s="23">
        <v>7.47</v>
      </c>
      <c r="CS1850" s="23">
        <v>0.51</v>
      </c>
      <c r="CT1850" s="24">
        <v>95</v>
      </c>
      <c r="CU1850" s="23">
        <v>0.11</v>
      </c>
      <c r="CV1850" s="24">
        <v>70</v>
      </c>
      <c r="CW1850" s="23">
        <v>0.51</v>
      </c>
      <c r="CX1850" s="24">
        <v>83</v>
      </c>
      <c r="CY1850" s="23" t="s">
        <v>138</v>
      </c>
      <c r="CZ1850" s="24" t="s">
        <v>138</v>
      </c>
      <c r="DA1850" s="23">
        <v>0.22</v>
      </c>
      <c r="DB1850" s="24">
        <v>84</v>
      </c>
      <c r="DC1850" s="25">
        <v>6.06</v>
      </c>
      <c r="DD1850" s="24">
        <v>85</v>
      </c>
      <c r="DE1850" s="25">
        <v>-0.18</v>
      </c>
      <c r="DF1850" s="23">
        <v>-2.95</v>
      </c>
      <c r="DG1850" s="25">
        <v>3.1</v>
      </c>
      <c r="DH1850" s="24">
        <v>75</v>
      </c>
      <c r="DI1850" s="25">
        <v>9.02</v>
      </c>
      <c r="DJ1850" s="24">
        <v>84</v>
      </c>
      <c r="DK1850" s="25">
        <v>3.1</v>
      </c>
      <c r="DL1850" s="24">
        <v>72</v>
      </c>
      <c r="DM1850" s="25" t="s">
        <v>138</v>
      </c>
      <c r="DN1850" s="24" t="s">
        <v>138</v>
      </c>
      <c r="DO1850" s="25">
        <v>6.14</v>
      </c>
      <c r="DP1850" s="24">
        <v>82</v>
      </c>
      <c r="DQ1850" s="24">
        <v>1041</v>
      </c>
      <c r="DR1850" s="26">
        <v>72</v>
      </c>
      <c r="DS1850" s="23">
        <v>7.43</v>
      </c>
      <c r="DT1850" s="24" t="s">
        <v>138</v>
      </c>
      <c r="DU1850" s="26" t="s">
        <v>138</v>
      </c>
      <c r="DV1850" s="23" t="s">
        <v>138</v>
      </c>
      <c r="DW1850" s="24">
        <v>2193</v>
      </c>
      <c r="DX1850" s="27">
        <v>13</v>
      </c>
      <c r="DY1850" s="23">
        <v>0.6</v>
      </c>
      <c r="DZ1850" s="15" t="s">
        <v>178</v>
      </c>
      <c r="EA1850" s="22">
        <v>43480</v>
      </c>
      <c r="EB1850" s="17" t="s">
        <v>138</v>
      </c>
      <c r="EC1850" s="22" t="s">
        <v>138</v>
      </c>
      <c r="ED1850" s="15" t="s">
        <v>138</v>
      </c>
      <c r="EE1850" s="14" t="str">
        <f>HYPERLINK("https://my.pitchbook.com?c=98236-09", "View company online")</f>
        <v>View company online</v>
      </c>
    </row>
    <row r="1851" spans="1:135">
      <c r="A1851" s="28" t="s">
        <v>35118</v>
      </c>
      <c r="B1851" s="28" t="s">
        <v>35119</v>
      </c>
      <c r="C1851" s="28" t="s">
        <v>138</v>
      </c>
      <c r="D1851" s="28" t="s">
        <v>138</v>
      </c>
      <c r="E1851" s="28" t="s">
        <v>35120</v>
      </c>
      <c r="F1851" s="28" t="s">
        <v>35118</v>
      </c>
      <c r="G1851" s="28" t="s">
        <v>35121</v>
      </c>
      <c r="H1851" s="28" t="s">
        <v>322</v>
      </c>
      <c r="I1851" s="28" t="s">
        <v>356</v>
      </c>
      <c r="J1851" s="28" t="s">
        <v>2895</v>
      </c>
      <c r="K1851" s="28" t="s">
        <v>35122</v>
      </c>
      <c r="L1851" s="28" t="s">
        <v>35123</v>
      </c>
      <c r="M1851" s="28" t="s">
        <v>35124</v>
      </c>
      <c r="N1851" s="28" t="s">
        <v>147</v>
      </c>
      <c r="O1851" s="29">
        <v>7.48</v>
      </c>
      <c r="P1851" s="28" t="s">
        <v>610</v>
      </c>
      <c r="Q1851" s="28" t="s">
        <v>149</v>
      </c>
      <c r="R1851" s="28" t="s">
        <v>150</v>
      </c>
      <c r="S1851" s="28" t="s">
        <v>35125</v>
      </c>
      <c r="T1851" s="30">
        <v>6</v>
      </c>
      <c r="U1851" s="28" t="s">
        <v>6114</v>
      </c>
      <c r="V1851" s="28" t="s">
        <v>138</v>
      </c>
      <c r="W1851" s="28" t="s">
        <v>138</v>
      </c>
      <c r="X1851" s="31" t="s">
        <v>138</v>
      </c>
      <c r="Y1851" s="28" t="s">
        <v>138</v>
      </c>
      <c r="Z1851" s="28" t="s">
        <v>138</v>
      </c>
      <c r="AA1851" s="28" t="s">
        <v>138</v>
      </c>
      <c r="AB1851" s="32" t="s">
        <v>138</v>
      </c>
      <c r="AC1851" s="32" t="s">
        <v>138</v>
      </c>
      <c r="AD1851" s="32" t="s">
        <v>138</v>
      </c>
      <c r="AE1851" s="32" t="s">
        <v>138</v>
      </c>
      <c r="AF1851" s="32" t="s">
        <v>138</v>
      </c>
      <c r="AG1851" s="28" t="s">
        <v>138</v>
      </c>
      <c r="AH1851" s="32" t="s">
        <v>138</v>
      </c>
      <c r="AI1851" s="32" t="s">
        <v>138</v>
      </c>
      <c r="AJ1851" s="32" t="s">
        <v>138</v>
      </c>
      <c r="AK1851" s="28" t="s">
        <v>35126</v>
      </c>
      <c r="AL1851" s="28" t="s">
        <v>35127</v>
      </c>
      <c r="AM1851" s="28" t="s">
        <v>7338</v>
      </c>
      <c r="AN1851" s="28" t="s">
        <v>35128</v>
      </c>
      <c r="AO1851" s="28" t="s">
        <v>35129</v>
      </c>
      <c r="AP1851" s="28" t="s">
        <v>35130</v>
      </c>
      <c r="AQ1851" s="28" t="s">
        <v>20360</v>
      </c>
      <c r="AR1851" s="28" t="s">
        <v>35131</v>
      </c>
      <c r="AS1851" s="28" t="s">
        <v>35132</v>
      </c>
      <c r="AT1851" s="28" t="s">
        <v>138</v>
      </c>
      <c r="AU1851" s="28" t="s">
        <v>35133</v>
      </c>
      <c r="AV1851" s="28" t="s">
        <v>3693</v>
      </c>
      <c r="AW1851" s="28" t="s">
        <v>35134</v>
      </c>
      <c r="AX1851" s="28" t="s">
        <v>138</v>
      </c>
      <c r="AY1851" s="28" t="s">
        <v>35135</v>
      </c>
      <c r="AZ1851" s="28" t="s">
        <v>530</v>
      </c>
      <c r="BA1851" s="28" t="s">
        <v>531</v>
      </c>
      <c r="BB1851" s="28" t="s">
        <v>35136</v>
      </c>
      <c r="BC1851" s="28" t="s">
        <v>35137</v>
      </c>
      <c r="BD1851" s="33">
        <v>8</v>
      </c>
      <c r="BE1851" s="28" t="s">
        <v>138</v>
      </c>
      <c r="BF1851" s="28" t="s">
        <v>138</v>
      </c>
      <c r="BG1851" s="28" t="s">
        <v>138</v>
      </c>
      <c r="BH1851" s="28" t="s">
        <v>35138</v>
      </c>
      <c r="BI1851" s="28" t="s">
        <v>138</v>
      </c>
      <c r="BJ1851" s="28" t="s">
        <v>138</v>
      </c>
      <c r="BK1851" s="28" t="s">
        <v>138</v>
      </c>
      <c r="BL1851" s="28" t="s">
        <v>35139</v>
      </c>
      <c r="BM1851" s="34">
        <v>42074</v>
      </c>
      <c r="BN1851" s="29">
        <v>0.33</v>
      </c>
      <c r="BO1851" s="28" t="s">
        <v>172</v>
      </c>
      <c r="BP1851" s="29" t="s">
        <v>138</v>
      </c>
      <c r="BQ1851" s="28" t="s">
        <v>138</v>
      </c>
      <c r="BR1851" s="28" t="s">
        <v>262</v>
      </c>
      <c r="BS1851" s="28" t="s">
        <v>262</v>
      </c>
      <c r="BT1851" s="28" t="s">
        <v>138</v>
      </c>
      <c r="BU1851" s="28" t="s">
        <v>263</v>
      </c>
      <c r="BV1851" s="28" t="s">
        <v>138</v>
      </c>
      <c r="BW1851" s="28" t="s">
        <v>138</v>
      </c>
      <c r="BX1851" s="28" t="s">
        <v>138</v>
      </c>
      <c r="BY1851" s="28" t="s">
        <v>175</v>
      </c>
      <c r="BZ1851" s="34" t="s">
        <v>138</v>
      </c>
      <c r="CA1851" s="29">
        <v>6</v>
      </c>
      <c r="CB1851" s="28" t="s">
        <v>172</v>
      </c>
      <c r="CC1851" s="29">
        <v>36</v>
      </c>
      <c r="CD1851" s="28" t="s">
        <v>172</v>
      </c>
      <c r="CE1851" s="28" t="s">
        <v>205</v>
      </c>
      <c r="CF1851" s="28" t="s">
        <v>206</v>
      </c>
      <c r="CG1851" s="28" t="s">
        <v>138</v>
      </c>
      <c r="CH1851" s="28" t="s">
        <v>174</v>
      </c>
      <c r="CI1851" s="28" t="s">
        <v>138</v>
      </c>
      <c r="CJ1851" s="28" t="s">
        <v>138</v>
      </c>
      <c r="CK1851" s="28" t="s">
        <v>138</v>
      </c>
      <c r="CL1851" s="28" t="s">
        <v>3093</v>
      </c>
      <c r="CM1851" s="34">
        <v>42074</v>
      </c>
      <c r="CN1851" s="29">
        <v>0.1</v>
      </c>
      <c r="CO1851" s="35">
        <v>0</v>
      </c>
      <c r="CP1851" s="36">
        <v>26</v>
      </c>
      <c r="CQ1851" s="35">
        <v>0</v>
      </c>
      <c r="CR1851" s="35">
        <v>0</v>
      </c>
      <c r="CS1851" s="35" t="s">
        <v>138</v>
      </c>
      <c r="CT1851" s="36" t="s">
        <v>138</v>
      </c>
      <c r="CU1851" s="35">
        <v>0</v>
      </c>
      <c r="CV1851" s="36">
        <v>22</v>
      </c>
      <c r="CW1851" s="35" t="s">
        <v>138</v>
      </c>
      <c r="CX1851" s="36" t="s">
        <v>138</v>
      </c>
      <c r="CY1851" s="35" t="s">
        <v>138</v>
      </c>
      <c r="CZ1851" s="36" t="s">
        <v>138</v>
      </c>
      <c r="DA1851" s="35">
        <v>0</v>
      </c>
      <c r="DB1851" s="36">
        <v>22</v>
      </c>
      <c r="DC1851" s="37">
        <v>0.03</v>
      </c>
      <c r="DD1851" s="36">
        <v>1</v>
      </c>
      <c r="DE1851" s="37">
        <v>0</v>
      </c>
      <c r="DF1851" s="35">
        <v>0.56000000000000005</v>
      </c>
      <c r="DG1851" s="37" t="s">
        <v>138</v>
      </c>
      <c r="DH1851" s="36" t="s">
        <v>138</v>
      </c>
      <c r="DI1851" s="37">
        <v>0.03</v>
      </c>
      <c r="DJ1851" s="36">
        <v>5</v>
      </c>
      <c r="DK1851" s="37" t="s">
        <v>138</v>
      </c>
      <c r="DL1851" s="36" t="s">
        <v>138</v>
      </c>
      <c r="DM1851" s="37" t="s">
        <v>138</v>
      </c>
      <c r="DN1851" s="36" t="s">
        <v>138</v>
      </c>
      <c r="DO1851" s="37">
        <v>0.03</v>
      </c>
      <c r="DP1851" s="36">
        <v>6</v>
      </c>
      <c r="DQ1851" s="36" t="s">
        <v>138</v>
      </c>
      <c r="DR1851" s="38" t="s">
        <v>138</v>
      </c>
      <c r="DS1851" s="35" t="s">
        <v>138</v>
      </c>
      <c r="DT1851" s="36" t="s">
        <v>138</v>
      </c>
      <c r="DU1851" s="38" t="s">
        <v>138</v>
      </c>
      <c r="DV1851" s="35" t="s">
        <v>138</v>
      </c>
      <c r="DW1851" s="36">
        <v>10</v>
      </c>
      <c r="DX1851" s="39">
        <v>0</v>
      </c>
      <c r="DY1851" s="35">
        <v>0</v>
      </c>
      <c r="DZ1851" s="28" t="s">
        <v>178</v>
      </c>
      <c r="EA1851" s="34">
        <v>43622</v>
      </c>
      <c r="EB1851" s="29">
        <v>9</v>
      </c>
      <c r="EC1851" s="34">
        <v>42522</v>
      </c>
      <c r="ED1851" s="28" t="s">
        <v>234</v>
      </c>
      <c r="EE1851" s="40" t="str">
        <f>HYPERLINK("https://my.pitchbook.com?c=109857-52", "View company online")</f>
        <v>View company online</v>
      </c>
    </row>
    <row r="1852" spans="1:135">
      <c r="A1852" s="15" t="s">
        <v>35140</v>
      </c>
      <c r="B1852" s="15" t="s">
        <v>35141</v>
      </c>
      <c r="C1852" s="15" t="s">
        <v>138</v>
      </c>
      <c r="D1852" s="15" t="s">
        <v>138</v>
      </c>
      <c r="E1852" s="15" t="s">
        <v>35142</v>
      </c>
      <c r="F1852" s="15" t="s">
        <v>35140</v>
      </c>
      <c r="G1852" s="15" t="s">
        <v>35143</v>
      </c>
      <c r="H1852" s="15" t="s">
        <v>322</v>
      </c>
      <c r="I1852" s="15" t="s">
        <v>323</v>
      </c>
      <c r="J1852" s="15" t="s">
        <v>461</v>
      </c>
      <c r="K1852" s="15" t="s">
        <v>462</v>
      </c>
      <c r="L1852" s="15" t="s">
        <v>415</v>
      </c>
      <c r="M1852" s="15" t="s">
        <v>35144</v>
      </c>
      <c r="N1852" s="15" t="s">
        <v>147</v>
      </c>
      <c r="O1852" s="17">
        <v>99.03</v>
      </c>
      <c r="P1852" s="15" t="s">
        <v>148</v>
      </c>
      <c r="Q1852" s="15" t="s">
        <v>149</v>
      </c>
      <c r="R1852" s="15" t="s">
        <v>174</v>
      </c>
      <c r="S1852" s="15" t="s">
        <v>35145</v>
      </c>
      <c r="T1852" s="18">
        <v>143</v>
      </c>
      <c r="U1852" s="15" t="s">
        <v>35146</v>
      </c>
      <c r="V1852" s="15" t="s">
        <v>138</v>
      </c>
      <c r="W1852" s="15" t="s">
        <v>138</v>
      </c>
      <c r="X1852" s="19">
        <v>2003</v>
      </c>
      <c r="Y1852" s="15" t="s">
        <v>138</v>
      </c>
      <c r="Z1852" s="15" t="s">
        <v>138</v>
      </c>
      <c r="AA1852" s="15" t="s">
        <v>138</v>
      </c>
      <c r="AB1852" s="20" t="s">
        <v>138</v>
      </c>
      <c r="AC1852" s="20" t="s">
        <v>138</v>
      </c>
      <c r="AD1852" s="20" t="s">
        <v>138</v>
      </c>
      <c r="AE1852" s="20" t="s">
        <v>138</v>
      </c>
      <c r="AF1852" s="20" t="s">
        <v>138</v>
      </c>
      <c r="AG1852" s="15" t="s">
        <v>138</v>
      </c>
      <c r="AH1852" s="20" t="s">
        <v>138</v>
      </c>
      <c r="AI1852" s="20" t="s">
        <v>138</v>
      </c>
      <c r="AJ1852" s="20" t="s">
        <v>138</v>
      </c>
      <c r="AK1852" s="15" t="s">
        <v>35147</v>
      </c>
      <c r="AL1852" s="15" t="s">
        <v>35148</v>
      </c>
      <c r="AM1852" s="15" t="s">
        <v>7338</v>
      </c>
      <c r="AN1852" s="15" t="s">
        <v>35149</v>
      </c>
      <c r="AO1852" s="15" t="s">
        <v>35150</v>
      </c>
      <c r="AP1852" s="15" t="s">
        <v>307</v>
      </c>
      <c r="AQ1852" s="15" t="s">
        <v>35151</v>
      </c>
      <c r="AR1852" s="15" t="s">
        <v>158</v>
      </c>
      <c r="AS1852" s="15" t="s">
        <v>310</v>
      </c>
      <c r="AT1852" s="15" t="s">
        <v>200</v>
      </c>
      <c r="AU1852" s="15" t="s">
        <v>311</v>
      </c>
      <c r="AV1852" s="15" t="s">
        <v>162</v>
      </c>
      <c r="AW1852" s="15" t="s">
        <v>35150</v>
      </c>
      <c r="AX1852" s="15" t="s">
        <v>35152</v>
      </c>
      <c r="AY1852" s="15" t="s">
        <v>35153</v>
      </c>
      <c r="AZ1852" s="15" t="s">
        <v>164</v>
      </c>
      <c r="BA1852" s="15" t="s">
        <v>165</v>
      </c>
      <c r="BB1852" s="15" t="s">
        <v>35154</v>
      </c>
      <c r="BC1852" s="15" t="s">
        <v>35155</v>
      </c>
      <c r="BD1852" s="21">
        <v>14</v>
      </c>
      <c r="BE1852" s="15" t="s">
        <v>138</v>
      </c>
      <c r="BF1852" s="15" t="s">
        <v>138</v>
      </c>
      <c r="BG1852" s="15" t="s">
        <v>138</v>
      </c>
      <c r="BH1852" s="15" t="s">
        <v>35156</v>
      </c>
      <c r="BI1852" s="15" t="s">
        <v>138</v>
      </c>
      <c r="BJ1852" s="15" t="s">
        <v>138</v>
      </c>
      <c r="BK1852" s="15" t="s">
        <v>35157</v>
      </c>
      <c r="BL1852" s="15" t="s">
        <v>35158</v>
      </c>
      <c r="BM1852" s="22" t="s">
        <v>138</v>
      </c>
      <c r="BN1852" s="17" t="s">
        <v>138</v>
      </c>
      <c r="BO1852" s="15" t="s">
        <v>138</v>
      </c>
      <c r="BP1852" s="17" t="s">
        <v>138</v>
      </c>
      <c r="BQ1852" s="15" t="s">
        <v>138</v>
      </c>
      <c r="BR1852" s="15" t="s">
        <v>205</v>
      </c>
      <c r="BS1852" s="15" t="s">
        <v>138</v>
      </c>
      <c r="BT1852" s="15" t="s">
        <v>138</v>
      </c>
      <c r="BU1852" s="15" t="s">
        <v>174</v>
      </c>
      <c r="BV1852" s="15" t="s">
        <v>138</v>
      </c>
      <c r="BW1852" s="15" t="s">
        <v>138</v>
      </c>
      <c r="BX1852" s="15" t="s">
        <v>138</v>
      </c>
      <c r="BY1852" s="15" t="s">
        <v>175</v>
      </c>
      <c r="BZ1852" s="22">
        <v>42675</v>
      </c>
      <c r="CA1852" s="17">
        <v>30</v>
      </c>
      <c r="CB1852" s="15" t="s">
        <v>172</v>
      </c>
      <c r="CC1852" s="17" t="s">
        <v>138</v>
      </c>
      <c r="CD1852" s="15" t="s">
        <v>138</v>
      </c>
      <c r="CE1852" s="15" t="s">
        <v>173</v>
      </c>
      <c r="CF1852" s="15" t="s">
        <v>138</v>
      </c>
      <c r="CG1852" s="15" t="s">
        <v>138</v>
      </c>
      <c r="CH1852" s="15" t="s">
        <v>174</v>
      </c>
      <c r="CI1852" s="15" t="s">
        <v>138</v>
      </c>
      <c r="CJ1852" s="15" t="s">
        <v>138</v>
      </c>
      <c r="CK1852" s="15" t="s">
        <v>138</v>
      </c>
      <c r="CL1852" s="15" t="s">
        <v>175</v>
      </c>
      <c r="CM1852" s="22">
        <v>41344</v>
      </c>
      <c r="CN1852" s="17" t="s">
        <v>138</v>
      </c>
      <c r="CO1852" s="23">
        <v>-0.35</v>
      </c>
      <c r="CP1852" s="24">
        <v>18</v>
      </c>
      <c r="CQ1852" s="23">
        <v>0.04</v>
      </c>
      <c r="CR1852" s="23">
        <v>9.17</v>
      </c>
      <c r="CS1852" s="23">
        <v>-0.86</v>
      </c>
      <c r="CT1852" s="24">
        <v>16</v>
      </c>
      <c r="CU1852" s="23">
        <v>0.17</v>
      </c>
      <c r="CV1852" s="24">
        <v>77</v>
      </c>
      <c r="CW1852" s="23">
        <v>0</v>
      </c>
      <c r="CX1852" s="24">
        <v>13</v>
      </c>
      <c r="CY1852" s="23">
        <v>-1.72</v>
      </c>
      <c r="CZ1852" s="24">
        <v>13</v>
      </c>
      <c r="DA1852" s="23">
        <v>0.17</v>
      </c>
      <c r="DB1852" s="24">
        <v>80</v>
      </c>
      <c r="DC1852" s="25">
        <v>4.55</v>
      </c>
      <c r="DD1852" s="24">
        <v>81</v>
      </c>
      <c r="DE1852" s="25">
        <v>-0.09</v>
      </c>
      <c r="DF1852" s="23">
        <v>-2.0299999999999998</v>
      </c>
      <c r="DG1852" s="25">
        <v>8.24</v>
      </c>
      <c r="DH1852" s="24">
        <v>88</v>
      </c>
      <c r="DI1852" s="25">
        <v>0.85</v>
      </c>
      <c r="DJ1852" s="24">
        <v>46</v>
      </c>
      <c r="DK1852" s="25">
        <v>0.95</v>
      </c>
      <c r="DL1852" s="24">
        <v>49</v>
      </c>
      <c r="DM1852" s="25">
        <v>15.52</v>
      </c>
      <c r="DN1852" s="24">
        <v>92</v>
      </c>
      <c r="DO1852" s="25">
        <v>0.85</v>
      </c>
      <c r="DP1852" s="24">
        <v>47</v>
      </c>
      <c r="DQ1852" s="24">
        <v>320</v>
      </c>
      <c r="DR1852" s="26">
        <v>21</v>
      </c>
      <c r="DS1852" s="23">
        <v>7.02</v>
      </c>
      <c r="DT1852" s="24">
        <v>453</v>
      </c>
      <c r="DU1852" s="26">
        <v>-7</v>
      </c>
      <c r="DV1852" s="23">
        <v>-1.52</v>
      </c>
      <c r="DW1852" s="24">
        <v>305</v>
      </c>
      <c r="DX1852" s="27">
        <v>1</v>
      </c>
      <c r="DY1852" s="23">
        <v>0.33</v>
      </c>
      <c r="DZ1852" s="15" t="s">
        <v>178</v>
      </c>
      <c r="EA1852" s="22">
        <v>43592</v>
      </c>
      <c r="EB1852" s="17" t="s">
        <v>138</v>
      </c>
      <c r="EC1852" s="22" t="s">
        <v>138</v>
      </c>
      <c r="ED1852" s="15" t="s">
        <v>138</v>
      </c>
      <c r="EE1852" s="14" t="str">
        <f>HYPERLINK("https://my.pitchbook.com?c=54394-75", "View company online")</f>
        <v>View company online</v>
      </c>
    </row>
    <row r="1853" spans="1:135">
      <c r="A1853" s="28" t="s">
        <v>35159</v>
      </c>
      <c r="B1853" s="28" t="s">
        <v>35160</v>
      </c>
      <c r="C1853" s="28" t="s">
        <v>138</v>
      </c>
      <c r="D1853" s="28" t="s">
        <v>138</v>
      </c>
      <c r="E1853" s="28" t="s">
        <v>138</v>
      </c>
      <c r="F1853" s="28" t="s">
        <v>35159</v>
      </c>
      <c r="G1853" s="28" t="s">
        <v>35161</v>
      </c>
      <c r="H1853" s="28" t="s">
        <v>322</v>
      </c>
      <c r="I1853" s="28" t="s">
        <v>323</v>
      </c>
      <c r="J1853" s="28" t="s">
        <v>2984</v>
      </c>
      <c r="K1853" s="28" t="s">
        <v>5783</v>
      </c>
      <c r="L1853" s="28" t="s">
        <v>415</v>
      </c>
      <c r="M1853" s="28" t="s">
        <v>35162</v>
      </c>
      <c r="N1853" s="28" t="s">
        <v>147</v>
      </c>
      <c r="O1853" s="29">
        <v>5.28</v>
      </c>
      <c r="P1853" s="28" t="s">
        <v>148</v>
      </c>
      <c r="Q1853" s="28" t="s">
        <v>149</v>
      </c>
      <c r="R1853" s="28" t="s">
        <v>174</v>
      </c>
      <c r="S1853" s="28" t="s">
        <v>35163</v>
      </c>
      <c r="T1853" s="30" t="s">
        <v>138</v>
      </c>
      <c r="U1853" s="28" t="s">
        <v>138</v>
      </c>
      <c r="V1853" s="28" t="s">
        <v>138</v>
      </c>
      <c r="W1853" s="28" t="s">
        <v>138</v>
      </c>
      <c r="X1853" s="31">
        <v>2015</v>
      </c>
      <c r="Y1853" s="28" t="s">
        <v>138</v>
      </c>
      <c r="Z1853" s="28" t="s">
        <v>138</v>
      </c>
      <c r="AA1853" s="28" t="s">
        <v>138</v>
      </c>
      <c r="AB1853" s="32" t="s">
        <v>138</v>
      </c>
      <c r="AC1853" s="32" t="s">
        <v>138</v>
      </c>
      <c r="AD1853" s="32" t="s">
        <v>138</v>
      </c>
      <c r="AE1853" s="32" t="s">
        <v>138</v>
      </c>
      <c r="AF1853" s="32" t="s">
        <v>138</v>
      </c>
      <c r="AG1853" s="28" t="s">
        <v>138</v>
      </c>
      <c r="AH1853" s="32" t="s">
        <v>138</v>
      </c>
      <c r="AI1853" s="32" t="s">
        <v>138</v>
      </c>
      <c r="AJ1853" s="32" t="s">
        <v>138</v>
      </c>
      <c r="AK1853" s="28" t="s">
        <v>35164</v>
      </c>
      <c r="AL1853" s="28" t="s">
        <v>35165</v>
      </c>
      <c r="AM1853" s="28" t="s">
        <v>938</v>
      </c>
      <c r="AN1853" s="28" t="s">
        <v>35166</v>
      </c>
      <c r="AO1853" s="28" t="s">
        <v>35167</v>
      </c>
      <c r="AP1853" s="28" t="s">
        <v>446</v>
      </c>
      <c r="AQ1853" s="28" t="s">
        <v>35168</v>
      </c>
      <c r="AR1853" s="28" t="s">
        <v>35169</v>
      </c>
      <c r="AS1853" s="28" t="s">
        <v>449</v>
      </c>
      <c r="AT1853" s="28" t="s">
        <v>138</v>
      </c>
      <c r="AU1853" s="28" t="s">
        <v>138</v>
      </c>
      <c r="AV1853" s="28" t="s">
        <v>450</v>
      </c>
      <c r="AW1853" s="28" t="s">
        <v>35167</v>
      </c>
      <c r="AX1853" s="28" t="s">
        <v>35167</v>
      </c>
      <c r="AY1853" s="28" t="s">
        <v>138</v>
      </c>
      <c r="AZ1853" s="28" t="s">
        <v>452</v>
      </c>
      <c r="BA1853" s="28" t="s">
        <v>453</v>
      </c>
      <c r="BB1853" s="28" t="s">
        <v>35170</v>
      </c>
      <c r="BC1853" s="28" t="s">
        <v>35171</v>
      </c>
      <c r="BD1853" s="33">
        <v>4</v>
      </c>
      <c r="BE1853" s="28" t="s">
        <v>138</v>
      </c>
      <c r="BF1853" s="28" t="s">
        <v>138</v>
      </c>
      <c r="BG1853" s="28" t="s">
        <v>138</v>
      </c>
      <c r="BH1853" s="28" t="s">
        <v>35172</v>
      </c>
      <c r="BI1853" s="28" t="s">
        <v>138</v>
      </c>
      <c r="BJ1853" s="28" t="s">
        <v>138</v>
      </c>
      <c r="BK1853" s="28" t="s">
        <v>138</v>
      </c>
      <c r="BL1853" s="28" t="s">
        <v>138</v>
      </c>
      <c r="BM1853" s="34">
        <v>42522</v>
      </c>
      <c r="BN1853" s="29" t="s">
        <v>138</v>
      </c>
      <c r="BO1853" s="28" t="s">
        <v>138</v>
      </c>
      <c r="BP1853" s="29" t="s">
        <v>138</v>
      </c>
      <c r="BQ1853" s="28" t="s">
        <v>138</v>
      </c>
      <c r="BR1853" s="28" t="s">
        <v>234</v>
      </c>
      <c r="BS1853" s="28" t="s">
        <v>234</v>
      </c>
      <c r="BT1853" s="28" t="s">
        <v>138</v>
      </c>
      <c r="BU1853" s="28" t="s">
        <v>174</v>
      </c>
      <c r="BV1853" s="28" t="s">
        <v>138</v>
      </c>
      <c r="BW1853" s="28" t="s">
        <v>138</v>
      </c>
      <c r="BX1853" s="28" t="s">
        <v>138</v>
      </c>
      <c r="BY1853" s="28" t="s">
        <v>175</v>
      </c>
      <c r="BZ1853" s="34">
        <v>43038</v>
      </c>
      <c r="CA1853" s="29">
        <v>5.28</v>
      </c>
      <c r="CB1853" s="28" t="s">
        <v>172</v>
      </c>
      <c r="CC1853" s="29" t="s">
        <v>138</v>
      </c>
      <c r="CD1853" s="28" t="s">
        <v>138</v>
      </c>
      <c r="CE1853" s="28" t="s">
        <v>205</v>
      </c>
      <c r="CF1853" s="28" t="s">
        <v>138</v>
      </c>
      <c r="CG1853" s="28" t="s">
        <v>138</v>
      </c>
      <c r="CH1853" s="28" t="s">
        <v>174</v>
      </c>
      <c r="CI1853" s="28" t="s">
        <v>138</v>
      </c>
      <c r="CJ1853" s="28" t="s">
        <v>138</v>
      </c>
      <c r="CK1853" s="28" t="s">
        <v>138</v>
      </c>
      <c r="CL1853" s="28" t="s">
        <v>175</v>
      </c>
      <c r="CM1853" s="34" t="s">
        <v>138</v>
      </c>
      <c r="CN1853" s="29" t="s">
        <v>138</v>
      </c>
      <c r="CO1853" s="35">
        <v>0</v>
      </c>
      <c r="CP1853" s="36">
        <v>26</v>
      </c>
      <c r="CQ1853" s="35">
        <v>0</v>
      </c>
      <c r="CR1853" s="35">
        <v>0</v>
      </c>
      <c r="CS1853" s="35">
        <v>0</v>
      </c>
      <c r="CT1853" s="36">
        <v>23</v>
      </c>
      <c r="CU1853" s="35" t="s">
        <v>138</v>
      </c>
      <c r="CV1853" s="36" t="s">
        <v>138</v>
      </c>
      <c r="CW1853" s="35" t="s">
        <v>138</v>
      </c>
      <c r="CX1853" s="36" t="s">
        <v>138</v>
      </c>
      <c r="CY1853" s="35">
        <v>0</v>
      </c>
      <c r="CZ1853" s="36">
        <v>25</v>
      </c>
      <c r="DA1853" s="35" t="s">
        <v>138</v>
      </c>
      <c r="DB1853" s="36" t="s">
        <v>138</v>
      </c>
      <c r="DC1853" s="37">
        <v>1.59</v>
      </c>
      <c r="DD1853" s="36">
        <v>62</v>
      </c>
      <c r="DE1853" s="37">
        <v>0</v>
      </c>
      <c r="DF1853" s="35">
        <v>0</v>
      </c>
      <c r="DG1853" s="37">
        <v>1.59</v>
      </c>
      <c r="DH1853" s="36">
        <v>62</v>
      </c>
      <c r="DI1853" s="37" t="s">
        <v>138</v>
      </c>
      <c r="DJ1853" s="36" t="s">
        <v>138</v>
      </c>
      <c r="DK1853" s="37" t="s">
        <v>138</v>
      </c>
      <c r="DL1853" s="36" t="s">
        <v>138</v>
      </c>
      <c r="DM1853" s="37">
        <v>1.59</v>
      </c>
      <c r="DN1853" s="36">
        <v>61</v>
      </c>
      <c r="DO1853" s="37" t="s">
        <v>138</v>
      </c>
      <c r="DP1853" s="36" t="s">
        <v>138</v>
      </c>
      <c r="DQ1853" s="36" t="s">
        <v>138</v>
      </c>
      <c r="DR1853" s="38" t="s">
        <v>138</v>
      </c>
      <c r="DS1853" s="35" t="s">
        <v>138</v>
      </c>
      <c r="DT1853" s="36">
        <v>46</v>
      </c>
      <c r="DU1853" s="38">
        <v>1</v>
      </c>
      <c r="DV1853" s="35">
        <v>2.2200000000000002</v>
      </c>
      <c r="DW1853" s="36" t="s">
        <v>138</v>
      </c>
      <c r="DX1853" s="39" t="s">
        <v>138</v>
      </c>
      <c r="DY1853" s="35" t="s">
        <v>138</v>
      </c>
      <c r="DZ1853" s="28" t="s">
        <v>178</v>
      </c>
      <c r="EA1853" s="34">
        <v>43351</v>
      </c>
      <c r="EB1853" s="29" t="s">
        <v>138</v>
      </c>
      <c r="EC1853" s="34" t="s">
        <v>138</v>
      </c>
      <c r="ED1853" s="28" t="s">
        <v>138</v>
      </c>
      <c r="EE1853" s="40" t="str">
        <f>HYPERLINK("https://my.pitchbook.com?c=226651-87", "View company online")</f>
        <v>View company online</v>
      </c>
    </row>
    <row r="1854" spans="1:135">
      <c r="A1854" s="15" t="s">
        <v>35173</v>
      </c>
      <c r="B1854" s="15" t="s">
        <v>35174</v>
      </c>
      <c r="C1854" s="15" t="s">
        <v>138</v>
      </c>
      <c r="D1854" s="15" t="s">
        <v>138</v>
      </c>
      <c r="E1854" s="15" t="s">
        <v>35175</v>
      </c>
      <c r="F1854" s="15" t="s">
        <v>35173</v>
      </c>
      <c r="G1854" s="15" t="s">
        <v>35176</v>
      </c>
      <c r="H1854" s="15" t="s">
        <v>322</v>
      </c>
      <c r="I1854" s="15" t="s">
        <v>323</v>
      </c>
      <c r="J1854" s="15" t="s">
        <v>954</v>
      </c>
      <c r="K1854" s="15" t="s">
        <v>14098</v>
      </c>
      <c r="L1854" s="15" t="s">
        <v>1021</v>
      </c>
      <c r="M1854" s="15" t="s">
        <v>35177</v>
      </c>
      <c r="N1854" s="15" t="s">
        <v>147</v>
      </c>
      <c r="O1854" s="17">
        <v>12.83</v>
      </c>
      <c r="P1854" s="15" t="s">
        <v>148</v>
      </c>
      <c r="Q1854" s="15" t="s">
        <v>149</v>
      </c>
      <c r="R1854" s="15" t="s">
        <v>174</v>
      </c>
      <c r="S1854" s="15" t="s">
        <v>35178</v>
      </c>
      <c r="T1854" s="18">
        <v>13</v>
      </c>
      <c r="U1854" s="15" t="s">
        <v>35179</v>
      </c>
      <c r="V1854" s="15" t="s">
        <v>138</v>
      </c>
      <c r="W1854" s="15" t="s">
        <v>138</v>
      </c>
      <c r="X1854" s="19">
        <v>2012</v>
      </c>
      <c r="Y1854" s="15" t="s">
        <v>138</v>
      </c>
      <c r="Z1854" s="15" t="s">
        <v>138</v>
      </c>
      <c r="AA1854" s="15" t="s">
        <v>138</v>
      </c>
      <c r="AB1854" s="20" t="s">
        <v>138</v>
      </c>
      <c r="AC1854" s="20" t="s">
        <v>138</v>
      </c>
      <c r="AD1854" s="20" t="s">
        <v>138</v>
      </c>
      <c r="AE1854" s="20" t="s">
        <v>138</v>
      </c>
      <c r="AF1854" s="20" t="s">
        <v>138</v>
      </c>
      <c r="AG1854" s="15" t="s">
        <v>138</v>
      </c>
      <c r="AH1854" s="20" t="s">
        <v>138</v>
      </c>
      <c r="AI1854" s="20" t="s">
        <v>138</v>
      </c>
      <c r="AJ1854" s="20" t="s">
        <v>138</v>
      </c>
      <c r="AK1854" s="15" t="s">
        <v>35180</v>
      </c>
      <c r="AL1854" s="15" t="s">
        <v>35181</v>
      </c>
      <c r="AM1854" s="15" t="s">
        <v>35182</v>
      </c>
      <c r="AN1854" s="15" t="s">
        <v>35183</v>
      </c>
      <c r="AO1854" s="15" t="s">
        <v>35184</v>
      </c>
      <c r="AP1854" s="15" t="s">
        <v>665</v>
      </c>
      <c r="AQ1854" s="15" t="s">
        <v>35185</v>
      </c>
      <c r="AR1854" s="15" t="s">
        <v>226</v>
      </c>
      <c r="AS1854" s="15" t="s">
        <v>668</v>
      </c>
      <c r="AT1854" s="15" t="s">
        <v>200</v>
      </c>
      <c r="AU1854" s="15" t="s">
        <v>1893</v>
      </c>
      <c r="AV1854" s="15" t="s">
        <v>162</v>
      </c>
      <c r="AW1854" s="15" t="s">
        <v>35186</v>
      </c>
      <c r="AX1854" s="15" t="s">
        <v>138</v>
      </c>
      <c r="AY1854" s="15" t="s">
        <v>35187</v>
      </c>
      <c r="AZ1854" s="15" t="s">
        <v>164</v>
      </c>
      <c r="BA1854" s="15" t="s">
        <v>165</v>
      </c>
      <c r="BB1854" s="15" t="s">
        <v>35188</v>
      </c>
      <c r="BC1854" s="15" t="s">
        <v>35189</v>
      </c>
      <c r="BD1854" s="21">
        <v>8</v>
      </c>
      <c r="BE1854" s="15" t="s">
        <v>138</v>
      </c>
      <c r="BF1854" s="15" t="s">
        <v>138</v>
      </c>
      <c r="BG1854" s="15" t="s">
        <v>138</v>
      </c>
      <c r="BH1854" s="15" t="s">
        <v>35190</v>
      </c>
      <c r="BI1854" s="15" t="s">
        <v>138</v>
      </c>
      <c r="BJ1854" s="15" t="s">
        <v>138</v>
      </c>
      <c r="BK1854" s="15" t="s">
        <v>290</v>
      </c>
      <c r="BL1854" s="15" t="s">
        <v>290</v>
      </c>
      <c r="BM1854" s="22">
        <v>41373</v>
      </c>
      <c r="BN1854" s="17">
        <v>1.5</v>
      </c>
      <c r="BO1854" s="15" t="s">
        <v>172</v>
      </c>
      <c r="BP1854" s="17" t="s">
        <v>138</v>
      </c>
      <c r="BQ1854" s="15" t="s">
        <v>138</v>
      </c>
      <c r="BR1854" s="15" t="s">
        <v>234</v>
      </c>
      <c r="BS1854" s="15" t="s">
        <v>234</v>
      </c>
      <c r="BT1854" s="15" t="s">
        <v>138</v>
      </c>
      <c r="BU1854" s="15" t="s">
        <v>263</v>
      </c>
      <c r="BV1854" s="15" t="s">
        <v>138</v>
      </c>
      <c r="BW1854" s="15" t="s">
        <v>138</v>
      </c>
      <c r="BX1854" s="15" t="s">
        <v>138</v>
      </c>
      <c r="BY1854" s="15" t="s">
        <v>175</v>
      </c>
      <c r="BZ1854" s="22">
        <v>42874</v>
      </c>
      <c r="CA1854" s="17">
        <v>11.33</v>
      </c>
      <c r="CB1854" s="15" t="s">
        <v>172</v>
      </c>
      <c r="CC1854" s="17">
        <v>26.33</v>
      </c>
      <c r="CD1854" s="15" t="s">
        <v>172</v>
      </c>
      <c r="CE1854" s="15" t="s">
        <v>205</v>
      </c>
      <c r="CF1854" s="15" t="s">
        <v>206</v>
      </c>
      <c r="CG1854" s="15" t="s">
        <v>138</v>
      </c>
      <c r="CH1854" s="15" t="s">
        <v>174</v>
      </c>
      <c r="CI1854" s="15" t="s">
        <v>138</v>
      </c>
      <c r="CJ1854" s="15" t="s">
        <v>138</v>
      </c>
      <c r="CK1854" s="15" t="s">
        <v>138</v>
      </c>
      <c r="CL1854" s="15" t="s">
        <v>175</v>
      </c>
      <c r="CM1854" s="22" t="s">
        <v>138</v>
      </c>
      <c r="CN1854" s="17" t="s">
        <v>138</v>
      </c>
      <c r="CO1854" s="23">
        <v>-0.39</v>
      </c>
      <c r="CP1854" s="24">
        <v>17</v>
      </c>
      <c r="CQ1854" s="23">
        <v>0</v>
      </c>
      <c r="CR1854" s="23">
        <v>0.35</v>
      </c>
      <c r="CS1854" s="23">
        <v>-0.75</v>
      </c>
      <c r="CT1854" s="24">
        <v>17</v>
      </c>
      <c r="CU1854" s="23">
        <v>-0.04</v>
      </c>
      <c r="CV1854" s="24">
        <v>12</v>
      </c>
      <c r="CW1854" s="23">
        <v>0</v>
      </c>
      <c r="CX1854" s="24">
        <v>13</v>
      </c>
      <c r="CY1854" s="23">
        <v>-1.51</v>
      </c>
      <c r="CZ1854" s="24">
        <v>15</v>
      </c>
      <c r="DA1854" s="23">
        <v>-0.12</v>
      </c>
      <c r="DB1854" s="24">
        <v>5</v>
      </c>
      <c r="DC1854" s="25">
        <v>2.97</v>
      </c>
      <c r="DD1854" s="24">
        <v>75</v>
      </c>
      <c r="DE1854" s="25">
        <v>-0.08</v>
      </c>
      <c r="DF1854" s="23">
        <v>-2.71</v>
      </c>
      <c r="DG1854" s="25">
        <v>4.49</v>
      </c>
      <c r="DH1854" s="24">
        <v>81</v>
      </c>
      <c r="DI1854" s="25">
        <v>1.45</v>
      </c>
      <c r="DJ1854" s="24">
        <v>56</v>
      </c>
      <c r="DK1854" s="25">
        <v>2.4</v>
      </c>
      <c r="DL1854" s="24">
        <v>68</v>
      </c>
      <c r="DM1854" s="25">
        <v>6.59</v>
      </c>
      <c r="DN1854" s="24">
        <v>85</v>
      </c>
      <c r="DO1854" s="25">
        <v>2.61</v>
      </c>
      <c r="DP1854" s="24">
        <v>68</v>
      </c>
      <c r="DQ1854" s="24">
        <v>774</v>
      </c>
      <c r="DR1854" s="26">
        <v>144</v>
      </c>
      <c r="DS1854" s="23">
        <v>22.86</v>
      </c>
      <c r="DT1854" s="24">
        <v>191</v>
      </c>
      <c r="DU1854" s="26">
        <v>-1</v>
      </c>
      <c r="DV1854" s="23">
        <v>-0.52</v>
      </c>
      <c r="DW1854" s="24">
        <v>934</v>
      </c>
      <c r="DX1854" s="27">
        <v>-1</v>
      </c>
      <c r="DY1854" s="23">
        <v>-0.11</v>
      </c>
      <c r="DZ1854" s="15" t="s">
        <v>178</v>
      </c>
      <c r="EA1854" s="22">
        <v>43622</v>
      </c>
      <c r="EB1854" s="17">
        <v>26.33</v>
      </c>
      <c r="EC1854" s="22">
        <v>42874</v>
      </c>
      <c r="ED1854" s="15" t="s">
        <v>205</v>
      </c>
      <c r="EE1854" s="14" t="str">
        <f>HYPERLINK("https://my.pitchbook.com?c=95719-60", "View company online")</f>
        <v>View company online</v>
      </c>
    </row>
    <row r="1855" spans="1:135">
      <c r="A1855" s="28" t="s">
        <v>35191</v>
      </c>
      <c r="B1855" s="28" t="s">
        <v>35192</v>
      </c>
      <c r="C1855" s="28" t="s">
        <v>138</v>
      </c>
      <c r="D1855" s="28" t="s">
        <v>35193</v>
      </c>
      <c r="E1855" s="28" t="s">
        <v>138</v>
      </c>
      <c r="F1855" s="28" t="s">
        <v>35191</v>
      </c>
      <c r="G1855" s="28" t="s">
        <v>35194</v>
      </c>
      <c r="H1855" s="28" t="s">
        <v>238</v>
      </c>
      <c r="I1855" s="28" t="s">
        <v>1351</v>
      </c>
      <c r="J1855" s="28" t="s">
        <v>5633</v>
      </c>
      <c r="K1855" s="28" t="s">
        <v>35195</v>
      </c>
      <c r="L1855" s="28" t="s">
        <v>215</v>
      </c>
      <c r="M1855" s="28" t="s">
        <v>35196</v>
      </c>
      <c r="N1855" s="28" t="s">
        <v>147</v>
      </c>
      <c r="O1855" s="29">
        <v>6.42</v>
      </c>
      <c r="P1855" s="28" t="s">
        <v>148</v>
      </c>
      <c r="Q1855" s="28" t="s">
        <v>149</v>
      </c>
      <c r="R1855" s="28" t="s">
        <v>174</v>
      </c>
      <c r="S1855" s="28" t="s">
        <v>35197</v>
      </c>
      <c r="T1855" s="30">
        <v>3</v>
      </c>
      <c r="U1855" s="28" t="s">
        <v>35198</v>
      </c>
      <c r="V1855" s="28" t="s">
        <v>138</v>
      </c>
      <c r="W1855" s="28" t="s">
        <v>138</v>
      </c>
      <c r="X1855" s="31">
        <v>2014</v>
      </c>
      <c r="Y1855" s="28" t="s">
        <v>138</v>
      </c>
      <c r="Z1855" s="28" t="s">
        <v>138</v>
      </c>
      <c r="AA1855" s="28" t="s">
        <v>138</v>
      </c>
      <c r="AB1855" s="32">
        <v>0.25</v>
      </c>
      <c r="AC1855" s="32" t="s">
        <v>138</v>
      </c>
      <c r="AD1855" s="32">
        <v>-0.13</v>
      </c>
      <c r="AE1855" s="32" t="s">
        <v>138</v>
      </c>
      <c r="AF1855" s="32" t="s">
        <v>138</v>
      </c>
      <c r="AG1855" s="28" t="s">
        <v>514</v>
      </c>
      <c r="AH1855" s="32" t="s">
        <v>138</v>
      </c>
      <c r="AI1855" s="32" t="s">
        <v>138</v>
      </c>
      <c r="AJ1855" s="32" t="s">
        <v>138</v>
      </c>
      <c r="AK1855" s="28" t="s">
        <v>35199</v>
      </c>
      <c r="AL1855" s="28" t="s">
        <v>35200</v>
      </c>
      <c r="AM1855" s="28" t="s">
        <v>12471</v>
      </c>
      <c r="AN1855" s="28" t="s">
        <v>35201</v>
      </c>
      <c r="AO1855" s="28" t="s">
        <v>35202</v>
      </c>
      <c r="AP1855" s="28" t="s">
        <v>4347</v>
      </c>
      <c r="AQ1855" s="28" t="s">
        <v>35203</v>
      </c>
      <c r="AR1855" s="28" t="s">
        <v>35204</v>
      </c>
      <c r="AS1855" s="28" t="s">
        <v>4349</v>
      </c>
      <c r="AT1855" s="28" t="s">
        <v>138</v>
      </c>
      <c r="AU1855" s="28" t="s">
        <v>138</v>
      </c>
      <c r="AV1855" s="28" t="s">
        <v>1054</v>
      </c>
      <c r="AW1855" s="28" t="s">
        <v>35202</v>
      </c>
      <c r="AX1855" s="28" t="s">
        <v>138</v>
      </c>
      <c r="AY1855" s="28" t="s">
        <v>35205</v>
      </c>
      <c r="AZ1855" s="28" t="s">
        <v>530</v>
      </c>
      <c r="BA1855" s="28" t="s">
        <v>531</v>
      </c>
      <c r="BB1855" s="28" t="s">
        <v>35206</v>
      </c>
      <c r="BC1855" s="28" t="s">
        <v>35207</v>
      </c>
      <c r="BD1855" s="33">
        <v>6</v>
      </c>
      <c r="BE1855" s="28" t="s">
        <v>138</v>
      </c>
      <c r="BF1855" s="28" t="s">
        <v>138</v>
      </c>
      <c r="BG1855" s="28" t="s">
        <v>138</v>
      </c>
      <c r="BH1855" s="28" t="s">
        <v>35208</v>
      </c>
      <c r="BI1855" s="28" t="s">
        <v>138</v>
      </c>
      <c r="BJ1855" s="28" t="s">
        <v>138</v>
      </c>
      <c r="BK1855" s="28" t="s">
        <v>138</v>
      </c>
      <c r="BL1855" s="28" t="s">
        <v>34599</v>
      </c>
      <c r="BM1855" s="34" t="s">
        <v>138</v>
      </c>
      <c r="BN1855" s="29" t="s">
        <v>138</v>
      </c>
      <c r="BO1855" s="28" t="s">
        <v>138</v>
      </c>
      <c r="BP1855" s="29" t="s">
        <v>138</v>
      </c>
      <c r="BQ1855" s="28" t="s">
        <v>138</v>
      </c>
      <c r="BR1855" s="28" t="s">
        <v>316</v>
      </c>
      <c r="BS1855" s="28" t="s">
        <v>138</v>
      </c>
      <c r="BT1855" s="28" t="s">
        <v>138</v>
      </c>
      <c r="BU1855" s="28" t="s">
        <v>177</v>
      </c>
      <c r="BV1855" s="28" t="s">
        <v>138</v>
      </c>
      <c r="BW1855" s="28" t="s">
        <v>138</v>
      </c>
      <c r="BX1855" s="28" t="s">
        <v>138</v>
      </c>
      <c r="BY1855" s="28" t="s">
        <v>175</v>
      </c>
      <c r="BZ1855" s="34">
        <v>42705</v>
      </c>
      <c r="CA1855" s="29">
        <v>3.5</v>
      </c>
      <c r="CB1855" s="28" t="s">
        <v>172</v>
      </c>
      <c r="CC1855" s="29" t="s">
        <v>138</v>
      </c>
      <c r="CD1855" s="28" t="s">
        <v>138</v>
      </c>
      <c r="CE1855" s="28" t="s">
        <v>205</v>
      </c>
      <c r="CF1855" s="28" t="s">
        <v>206</v>
      </c>
      <c r="CG1855" s="28" t="s">
        <v>138</v>
      </c>
      <c r="CH1855" s="28" t="s">
        <v>174</v>
      </c>
      <c r="CI1855" s="28" t="s">
        <v>138</v>
      </c>
      <c r="CJ1855" s="28" t="s">
        <v>138</v>
      </c>
      <c r="CK1855" s="28" t="s">
        <v>138</v>
      </c>
      <c r="CL1855" s="28" t="s">
        <v>175</v>
      </c>
      <c r="CM1855" s="34" t="s">
        <v>138</v>
      </c>
      <c r="CN1855" s="29" t="s">
        <v>138</v>
      </c>
      <c r="CO1855" s="35">
        <v>0.32</v>
      </c>
      <c r="CP1855" s="36">
        <v>94</v>
      </c>
      <c r="CQ1855" s="35">
        <v>0.05</v>
      </c>
      <c r="CR1855" s="35">
        <v>18.11</v>
      </c>
      <c r="CS1855" s="35">
        <v>0</v>
      </c>
      <c r="CT1855" s="36">
        <v>23</v>
      </c>
      <c r="CU1855" s="35">
        <v>0.64</v>
      </c>
      <c r="CV1855" s="36">
        <v>95</v>
      </c>
      <c r="CW1855" s="35" t="s">
        <v>138</v>
      </c>
      <c r="CX1855" s="36" t="s">
        <v>138</v>
      </c>
      <c r="CY1855" s="35">
        <v>0</v>
      </c>
      <c r="CZ1855" s="36">
        <v>25</v>
      </c>
      <c r="DA1855" s="35">
        <v>0.64</v>
      </c>
      <c r="DB1855" s="36">
        <v>96</v>
      </c>
      <c r="DC1855" s="37">
        <v>0.69</v>
      </c>
      <c r="DD1855" s="36">
        <v>42</v>
      </c>
      <c r="DE1855" s="37">
        <v>0</v>
      </c>
      <c r="DF1855" s="35">
        <v>0.7</v>
      </c>
      <c r="DG1855" s="37">
        <v>0.66</v>
      </c>
      <c r="DH1855" s="36">
        <v>41</v>
      </c>
      <c r="DI1855" s="37">
        <v>0.73</v>
      </c>
      <c r="DJ1855" s="36">
        <v>43</v>
      </c>
      <c r="DK1855" s="37" t="s">
        <v>138</v>
      </c>
      <c r="DL1855" s="36" t="s">
        <v>138</v>
      </c>
      <c r="DM1855" s="37">
        <v>0.66</v>
      </c>
      <c r="DN1855" s="36">
        <v>40</v>
      </c>
      <c r="DO1855" s="37">
        <v>0.73</v>
      </c>
      <c r="DP1855" s="36">
        <v>45</v>
      </c>
      <c r="DQ1855" s="36" t="s">
        <v>138</v>
      </c>
      <c r="DR1855" s="38" t="s">
        <v>138</v>
      </c>
      <c r="DS1855" s="35" t="s">
        <v>138</v>
      </c>
      <c r="DT1855" s="36">
        <v>19</v>
      </c>
      <c r="DU1855" s="38">
        <v>0</v>
      </c>
      <c r="DV1855" s="35">
        <v>0</v>
      </c>
      <c r="DW1855" s="36">
        <v>262</v>
      </c>
      <c r="DX1855" s="39">
        <v>1</v>
      </c>
      <c r="DY1855" s="35">
        <v>0.38</v>
      </c>
      <c r="DZ1855" s="28" t="s">
        <v>178</v>
      </c>
      <c r="EA1855" s="34">
        <v>43503</v>
      </c>
      <c r="EB1855" s="29" t="s">
        <v>138</v>
      </c>
      <c r="EC1855" s="34" t="s">
        <v>138</v>
      </c>
      <c r="ED1855" s="28" t="s">
        <v>138</v>
      </c>
      <c r="EE1855" s="40" t="str">
        <f>HYPERLINK("https://my.pitchbook.com?c=126244-81", "View company online")</f>
        <v>View company online</v>
      </c>
    </row>
    <row r="1856" spans="1:135">
      <c r="A1856" s="15" t="s">
        <v>35209</v>
      </c>
      <c r="B1856" s="15" t="s">
        <v>35210</v>
      </c>
      <c r="C1856" s="15" t="s">
        <v>138</v>
      </c>
      <c r="D1856" s="15" t="s">
        <v>138</v>
      </c>
      <c r="E1856" s="15" t="s">
        <v>35211</v>
      </c>
      <c r="F1856" s="15" t="s">
        <v>35209</v>
      </c>
      <c r="G1856" s="15" t="s">
        <v>35212</v>
      </c>
      <c r="H1856" s="15" t="s">
        <v>322</v>
      </c>
      <c r="I1856" s="15" t="s">
        <v>323</v>
      </c>
      <c r="J1856" s="15" t="s">
        <v>461</v>
      </c>
      <c r="K1856" s="15" t="s">
        <v>22306</v>
      </c>
      <c r="L1856" s="15" t="s">
        <v>2274</v>
      </c>
      <c r="M1856" s="15" t="s">
        <v>35213</v>
      </c>
      <c r="N1856" s="15" t="s">
        <v>147</v>
      </c>
      <c r="O1856" s="17">
        <v>184.25</v>
      </c>
      <c r="P1856" s="15" t="s">
        <v>148</v>
      </c>
      <c r="Q1856" s="15" t="s">
        <v>149</v>
      </c>
      <c r="R1856" s="15" t="s">
        <v>174</v>
      </c>
      <c r="S1856" s="15" t="s">
        <v>35214</v>
      </c>
      <c r="T1856" s="18">
        <v>312</v>
      </c>
      <c r="U1856" s="15" t="s">
        <v>35215</v>
      </c>
      <c r="V1856" s="15" t="s">
        <v>138</v>
      </c>
      <c r="W1856" s="15" t="s">
        <v>138</v>
      </c>
      <c r="X1856" s="19">
        <v>2009</v>
      </c>
      <c r="Y1856" s="15" t="s">
        <v>138</v>
      </c>
      <c r="Z1856" s="15" t="s">
        <v>138</v>
      </c>
      <c r="AA1856" s="15" t="s">
        <v>138</v>
      </c>
      <c r="AB1856" s="20">
        <v>102</v>
      </c>
      <c r="AC1856" s="20" t="s">
        <v>138</v>
      </c>
      <c r="AD1856" s="20" t="s">
        <v>138</v>
      </c>
      <c r="AE1856" s="20" t="s">
        <v>138</v>
      </c>
      <c r="AF1856" s="20" t="s">
        <v>138</v>
      </c>
      <c r="AG1856" s="15" t="s">
        <v>419</v>
      </c>
      <c r="AH1856" s="20" t="s">
        <v>138</v>
      </c>
      <c r="AI1856" s="20" t="s">
        <v>138</v>
      </c>
      <c r="AJ1856" s="20" t="s">
        <v>138</v>
      </c>
      <c r="AK1856" s="15" t="s">
        <v>35216</v>
      </c>
      <c r="AL1856" s="15" t="s">
        <v>35217</v>
      </c>
      <c r="AM1856" s="15" t="s">
        <v>249</v>
      </c>
      <c r="AN1856" s="15" t="s">
        <v>35218</v>
      </c>
      <c r="AO1856" s="15" t="s">
        <v>138</v>
      </c>
      <c r="AP1856" s="15" t="s">
        <v>3668</v>
      </c>
      <c r="AQ1856" s="15" t="s">
        <v>35219</v>
      </c>
      <c r="AR1856" s="15" t="s">
        <v>1459</v>
      </c>
      <c r="AS1856" s="15" t="s">
        <v>3670</v>
      </c>
      <c r="AT1856" s="15" t="s">
        <v>200</v>
      </c>
      <c r="AU1856" s="15" t="s">
        <v>12249</v>
      </c>
      <c r="AV1856" s="15" t="s">
        <v>162</v>
      </c>
      <c r="AW1856" s="15" t="s">
        <v>138</v>
      </c>
      <c r="AX1856" s="15" t="s">
        <v>138</v>
      </c>
      <c r="AY1856" s="15" t="s">
        <v>35220</v>
      </c>
      <c r="AZ1856" s="15" t="s">
        <v>164</v>
      </c>
      <c r="BA1856" s="15" t="s">
        <v>165</v>
      </c>
      <c r="BB1856" s="15" t="s">
        <v>35221</v>
      </c>
      <c r="BC1856" s="15" t="s">
        <v>35222</v>
      </c>
      <c r="BD1856" s="21">
        <v>9</v>
      </c>
      <c r="BE1856" s="15" t="s">
        <v>138</v>
      </c>
      <c r="BF1856" s="15" t="s">
        <v>138</v>
      </c>
      <c r="BG1856" s="15" t="s">
        <v>138</v>
      </c>
      <c r="BH1856" s="15" t="s">
        <v>35223</v>
      </c>
      <c r="BI1856" s="15" t="s">
        <v>138</v>
      </c>
      <c r="BJ1856" s="15" t="s">
        <v>138</v>
      </c>
      <c r="BK1856" s="15" t="s">
        <v>35224</v>
      </c>
      <c r="BL1856" s="15" t="s">
        <v>35225</v>
      </c>
      <c r="BM1856" s="22">
        <v>40442</v>
      </c>
      <c r="BN1856" s="17">
        <v>9.17</v>
      </c>
      <c r="BO1856" s="15" t="s">
        <v>172</v>
      </c>
      <c r="BP1856" s="17">
        <v>16.37</v>
      </c>
      <c r="BQ1856" s="15" t="s">
        <v>172</v>
      </c>
      <c r="BR1856" s="15" t="s">
        <v>205</v>
      </c>
      <c r="BS1856" s="15" t="s">
        <v>206</v>
      </c>
      <c r="BT1856" s="15" t="s">
        <v>138</v>
      </c>
      <c r="BU1856" s="15" t="s">
        <v>174</v>
      </c>
      <c r="BV1856" s="15" t="s">
        <v>138</v>
      </c>
      <c r="BW1856" s="15" t="s">
        <v>138</v>
      </c>
      <c r="BX1856" s="15" t="s">
        <v>138</v>
      </c>
      <c r="BY1856" s="15" t="s">
        <v>175</v>
      </c>
      <c r="BZ1856" s="22">
        <v>43586</v>
      </c>
      <c r="CA1856" s="17">
        <v>50</v>
      </c>
      <c r="CB1856" s="15" t="s">
        <v>172</v>
      </c>
      <c r="CC1856" s="17">
        <v>500</v>
      </c>
      <c r="CD1856" s="15" t="s">
        <v>172</v>
      </c>
      <c r="CE1856" s="15" t="s">
        <v>173</v>
      </c>
      <c r="CF1856" s="15" t="s">
        <v>408</v>
      </c>
      <c r="CG1856" s="15" t="s">
        <v>138</v>
      </c>
      <c r="CH1856" s="15" t="s">
        <v>174</v>
      </c>
      <c r="CI1856" s="15" t="s">
        <v>138</v>
      </c>
      <c r="CJ1856" s="15" t="s">
        <v>138</v>
      </c>
      <c r="CK1856" s="15" t="s">
        <v>138</v>
      </c>
      <c r="CL1856" s="15" t="s">
        <v>175</v>
      </c>
      <c r="CM1856" s="22" t="s">
        <v>138</v>
      </c>
      <c r="CN1856" s="17" t="s">
        <v>138</v>
      </c>
      <c r="CO1856" s="23">
        <v>0.24</v>
      </c>
      <c r="CP1856" s="24">
        <v>93</v>
      </c>
      <c r="CQ1856" s="23">
        <v>0.06</v>
      </c>
      <c r="CR1856" s="23">
        <v>29.88</v>
      </c>
      <c r="CS1856" s="23">
        <v>0.51</v>
      </c>
      <c r="CT1856" s="24">
        <v>95</v>
      </c>
      <c r="CU1856" s="23">
        <v>-0.02</v>
      </c>
      <c r="CV1856" s="24">
        <v>17</v>
      </c>
      <c r="CW1856" s="23">
        <v>5.56</v>
      </c>
      <c r="CX1856" s="24">
        <v>96</v>
      </c>
      <c r="CY1856" s="23">
        <v>-4.53</v>
      </c>
      <c r="CZ1856" s="24">
        <v>4</v>
      </c>
      <c r="DA1856" s="23">
        <v>-0.02</v>
      </c>
      <c r="DB1856" s="24">
        <v>19</v>
      </c>
      <c r="DC1856" s="25">
        <v>24.34</v>
      </c>
      <c r="DD1856" s="24">
        <v>96</v>
      </c>
      <c r="DE1856" s="25">
        <v>-0.4</v>
      </c>
      <c r="DF1856" s="23">
        <v>-1.63</v>
      </c>
      <c r="DG1856" s="25">
        <v>26.54</v>
      </c>
      <c r="DH1856" s="24">
        <v>96</v>
      </c>
      <c r="DI1856" s="25">
        <v>22.14</v>
      </c>
      <c r="DJ1856" s="24">
        <v>91</v>
      </c>
      <c r="DK1856" s="25">
        <v>13.39</v>
      </c>
      <c r="DL1856" s="24">
        <v>89</v>
      </c>
      <c r="DM1856" s="25">
        <v>39.69</v>
      </c>
      <c r="DN1856" s="24">
        <v>97</v>
      </c>
      <c r="DO1856" s="25">
        <v>39.08</v>
      </c>
      <c r="DP1856" s="24">
        <v>96</v>
      </c>
      <c r="DQ1856" s="24">
        <v>4464</v>
      </c>
      <c r="DR1856" s="26">
        <v>383</v>
      </c>
      <c r="DS1856" s="23">
        <v>9.3800000000000008</v>
      </c>
      <c r="DT1856" s="24">
        <v>1152</v>
      </c>
      <c r="DU1856" s="26">
        <v>-5</v>
      </c>
      <c r="DV1856" s="23">
        <v>-0.43</v>
      </c>
      <c r="DW1856" s="24">
        <v>13990</v>
      </c>
      <c r="DX1856" s="27">
        <v>-5</v>
      </c>
      <c r="DY1856" s="23">
        <v>-0.04</v>
      </c>
      <c r="DZ1856" s="15" t="s">
        <v>178</v>
      </c>
      <c r="EA1856" s="22">
        <v>43622</v>
      </c>
      <c r="EB1856" s="17">
        <v>500</v>
      </c>
      <c r="EC1856" s="22">
        <v>43586</v>
      </c>
      <c r="ED1856" s="15" t="s">
        <v>173</v>
      </c>
      <c r="EE1856" s="14" t="str">
        <f>HYPERLINK("https://my.pitchbook.com?c=51006-43", "View company online")</f>
        <v>View company online</v>
      </c>
    </row>
    <row r="1857" spans="1:135">
      <c r="A1857" s="28" t="s">
        <v>35226</v>
      </c>
      <c r="B1857" s="28" t="s">
        <v>35227</v>
      </c>
      <c r="C1857" s="28" t="s">
        <v>138</v>
      </c>
      <c r="D1857" s="28" t="s">
        <v>138</v>
      </c>
      <c r="E1857" s="28" t="s">
        <v>138</v>
      </c>
      <c r="F1857" s="28" t="s">
        <v>35226</v>
      </c>
      <c r="G1857" s="28" t="s">
        <v>35228</v>
      </c>
      <c r="H1857" s="28" t="s">
        <v>141</v>
      </c>
      <c r="I1857" s="28" t="s">
        <v>212</v>
      </c>
      <c r="J1857" s="28" t="s">
        <v>3169</v>
      </c>
      <c r="K1857" s="28" t="s">
        <v>21169</v>
      </c>
      <c r="L1857" s="28" t="s">
        <v>1949</v>
      </c>
      <c r="M1857" s="28" t="s">
        <v>35229</v>
      </c>
      <c r="N1857" s="28" t="s">
        <v>147</v>
      </c>
      <c r="O1857" s="29" t="s">
        <v>138</v>
      </c>
      <c r="P1857" s="28" t="s">
        <v>148</v>
      </c>
      <c r="Q1857" s="28" t="s">
        <v>149</v>
      </c>
      <c r="R1857" s="28" t="s">
        <v>174</v>
      </c>
      <c r="S1857" s="28" t="s">
        <v>35230</v>
      </c>
      <c r="T1857" s="30">
        <v>120</v>
      </c>
      <c r="U1857" s="28" t="s">
        <v>35231</v>
      </c>
      <c r="V1857" s="28" t="s">
        <v>138</v>
      </c>
      <c r="W1857" s="28" t="s">
        <v>138</v>
      </c>
      <c r="X1857" s="31">
        <v>2009</v>
      </c>
      <c r="Y1857" s="28" t="s">
        <v>138</v>
      </c>
      <c r="Z1857" s="28" t="s">
        <v>138</v>
      </c>
      <c r="AA1857" s="28" t="s">
        <v>138</v>
      </c>
      <c r="AB1857" s="32" t="s">
        <v>138</v>
      </c>
      <c r="AC1857" s="32" t="s">
        <v>138</v>
      </c>
      <c r="AD1857" s="32" t="s">
        <v>138</v>
      </c>
      <c r="AE1857" s="32" t="s">
        <v>138</v>
      </c>
      <c r="AF1857" s="32" t="s">
        <v>138</v>
      </c>
      <c r="AG1857" s="28" t="s">
        <v>138</v>
      </c>
      <c r="AH1857" s="32" t="s">
        <v>138</v>
      </c>
      <c r="AI1857" s="32" t="s">
        <v>138</v>
      </c>
      <c r="AJ1857" s="32" t="s">
        <v>138</v>
      </c>
      <c r="AK1857" s="28" t="s">
        <v>35232</v>
      </c>
      <c r="AL1857" s="28" t="s">
        <v>35233</v>
      </c>
      <c r="AM1857" s="28" t="s">
        <v>5161</v>
      </c>
      <c r="AN1857" s="28" t="s">
        <v>138</v>
      </c>
      <c r="AO1857" s="28" t="s">
        <v>35234</v>
      </c>
      <c r="AP1857" s="28" t="s">
        <v>13651</v>
      </c>
      <c r="AQ1857" s="28" t="s">
        <v>35235</v>
      </c>
      <c r="AR1857" s="28" t="s">
        <v>35236</v>
      </c>
      <c r="AS1857" s="28" t="s">
        <v>13653</v>
      </c>
      <c r="AT1857" s="28" t="s">
        <v>13654</v>
      </c>
      <c r="AU1857" s="28" t="s">
        <v>13655</v>
      </c>
      <c r="AV1857" s="28" t="s">
        <v>8999</v>
      </c>
      <c r="AW1857" s="28" t="s">
        <v>35237</v>
      </c>
      <c r="AX1857" s="28" t="s">
        <v>35238</v>
      </c>
      <c r="AY1857" s="28" t="s">
        <v>138</v>
      </c>
      <c r="AZ1857" s="28" t="s">
        <v>9001</v>
      </c>
      <c r="BA1857" s="28" t="s">
        <v>9001</v>
      </c>
      <c r="BB1857" s="28" t="s">
        <v>35239</v>
      </c>
      <c r="BC1857" s="28" t="s">
        <v>35240</v>
      </c>
      <c r="BD1857" s="33">
        <v>3</v>
      </c>
      <c r="BE1857" s="28" t="s">
        <v>138</v>
      </c>
      <c r="BF1857" s="28" t="s">
        <v>138</v>
      </c>
      <c r="BG1857" s="28" t="s">
        <v>138</v>
      </c>
      <c r="BH1857" s="28" t="s">
        <v>35241</v>
      </c>
      <c r="BI1857" s="28" t="s">
        <v>138</v>
      </c>
      <c r="BJ1857" s="28" t="s">
        <v>138</v>
      </c>
      <c r="BK1857" s="28" t="s">
        <v>138</v>
      </c>
      <c r="BL1857" s="28" t="s">
        <v>138</v>
      </c>
      <c r="BM1857" s="34">
        <v>41138</v>
      </c>
      <c r="BN1857" s="29" t="s">
        <v>138</v>
      </c>
      <c r="BO1857" s="28" t="s">
        <v>138</v>
      </c>
      <c r="BP1857" s="29" t="s">
        <v>138</v>
      </c>
      <c r="BQ1857" s="28" t="s">
        <v>138</v>
      </c>
      <c r="BR1857" s="28" t="s">
        <v>205</v>
      </c>
      <c r="BS1857" s="28" t="s">
        <v>206</v>
      </c>
      <c r="BT1857" s="28" t="s">
        <v>138</v>
      </c>
      <c r="BU1857" s="28" t="s">
        <v>174</v>
      </c>
      <c r="BV1857" s="28" t="s">
        <v>138</v>
      </c>
      <c r="BW1857" s="28" t="s">
        <v>138</v>
      </c>
      <c r="BX1857" s="28" t="s">
        <v>138</v>
      </c>
      <c r="BY1857" s="28" t="s">
        <v>175</v>
      </c>
      <c r="BZ1857" s="34">
        <v>42886</v>
      </c>
      <c r="CA1857" s="29" t="s">
        <v>138</v>
      </c>
      <c r="CB1857" s="28" t="s">
        <v>138</v>
      </c>
      <c r="CC1857" s="29" t="s">
        <v>138</v>
      </c>
      <c r="CD1857" s="28" t="s">
        <v>138</v>
      </c>
      <c r="CE1857" s="28" t="s">
        <v>173</v>
      </c>
      <c r="CF1857" s="28" t="s">
        <v>138</v>
      </c>
      <c r="CG1857" s="28" t="s">
        <v>138</v>
      </c>
      <c r="CH1857" s="28" t="s">
        <v>174</v>
      </c>
      <c r="CI1857" s="28" t="s">
        <v>138</v>
      </c>
      <c r="CJ1857" s="28" t="s">
        <v>138</v>
      </c>
      <c r="CK1857" s="28" t="s">
        <v>138</v>
      </c>
      <c r="CL1857" s="28" t="s">
        <v>175</v>
      </c>
      <c r="CM1857" s="34" t="s">
        <v>138</v>
      </c>
      <c r="CN1857" s="29" t="s">
        <v>138</v>
      </c>
      <c r="CO1857" s="35">
        <v>0.08</v>
      </c>
      <c r="CP1857" s="36">
        <v>89</v>
      </c>
      <c r="CQ1857" s="35">
        <v>0</v>
      </c>
      <c r="CR1857" s="35">
        <v>0</v>
      </c>
      <c r="CS1857" s="35" t="s">
        <v>138</v>
      </c>
      <c r="CT1857" s="36" t="s">
        <v>138</v>
      </c>
      <c r="CU1857" s="35">
        <v>0.08</v>
      </c>
      <c r="CV1857" s="36">
        <v>64</v>
      </c>
      <c r="CW1857" s="35" t="s">
        <v>138</v>
      </c>
      <c r="CX1857" s="36" t="s">
        <v>138</v>
      </c>
      <c r="CY1857" s="35" t="s">
        <v>138</v>
      </c>
      <c r="CZ1857" s="36" t="s">
        <v>138</v>
      </c>
      <c r="DA1857" s="35">
        <v>0.1</v>
      </c>
      <c r="DB1857" s="36">
        <v>72</v>
      </c>
      <c r="DC1857" s="37">
        <v>0.49</v>
      </c>
      <c r="DD1857" s="36">
        <v>34</v>
      </c>
      <c r="DE1857" s="37">
        <v>0</v>
      </c>
      <c r="DF1857" s="35">
        <v>0.67</v>
      </c>
      <c r="DG1857" s="37" t="s">
        <v>138</v>
      </c>
      <c r="DH1857" s="36" t="s">
        <v>138</v>
      </c>
      <c r="DI1857" s="37">
        <v>0.49</v>
      </c>
      <c r="DJ1857" s="36">
        <v>36</v>
      </c>
      <c r="DK1857" s="37" t="s">
        <v>138</v>
      </c>
      <c r="DL1857" s="36" t="s">
        <v>138</v>
      </c>
      <c r="DM1857" s="37" t="s">
        <v>138</v>
      </c>
      <c r="DN1857" s="36" t="s">
        <v>138</v>
      </c>
      <c r="DO1857" s="37">
        <v>0.74</v>
      </c>
      <c r="DP1857" s="36">
        <v>45</v>
      </c>
      <c r="DQ1857" s="36" t="s">
        <v>138</v>
      </c>
      <c r="DR1857" s="38" t="s">
        <v>138</v>
      </c>
      <c r="DS1857" s="35" t="s">
        <v>138</v>
      </c>
      <c r="DT1857" s="36" t="s">
        <v>138</v>
      </c>
      <c r="DU1857" s="38" t="s">
        <v>138</v>
      </c>
      <c r="DV1857" s="35" t="s">
        <v>138</v>
      </c>
      <c r="DW1857" s="36">
        <v>263</v>
      </c>
      <c r="DX1857" s="39">
        <v>0</v>
      </c>
      <c r="DY1857" s="35">
        <v>0</v>
      </c>
      <c r="DZ1857" s="28" t="s">
        <v>178</v>
      </c>
      <c r="EA1857" s="34">
        <v>43622</v>
      </c>
      <c r="EB1857" s="29" t="s">
        <v>138</v>
      </c>
      <c r="EC1857" s="34" t="s">
        <v>138</v>
      </c>
      <c r="ED1857" s="28" t="s">
        <v>138</v>
      </c>
      <c r="EE1857" s="40" t="str">
        <f>HYPERLINK("https://my.pitchbook.com?c=83921-86", "View company online")</f>
        <v>View company online</v>
      </c>
    </row>
    <row r="1858" spans="1:135">
      <c r="A1858" s="15" t="s">
        <v>35242</v>
      </c>
      <c r="B1858" s="15" t="s">
        <v>35243</v>
      </c>
      <c r="C1858" s="15" t="s">
        <v>35244</v>
      </c>
      <c r="D1858" s="15" t="s">
        <v>138</v>
      </c>
      <c r="E1858" s="15" t="s">
        <v>35245</v>
      </c>
      <c r="F1858" s="15" t="s">
        <v>35242</v>
      </c>
      <c r="G1858" s="15" t="s">
        <v>35246</v>
      </c>
      <c r="H1858" s="15" t="s">
        <v>141</v>
      </c>
      <c r="I1858" s="15" t="s">
        <v>212</v>
      </c>
      <c r="J1858" s="15" t="s">
        <v>213</v>
      </c>
      <c r="K1858" s="15" t="s">
        <v>5748</v>
      </c>
      <c r="L1858" s="15" t="s">
        <v>33283</v>
      </c>
      <c r="M1858" s="15" t="s">
        <v>35247</v>
      </c>
      <c r="N1858" s="15" t="s">
        <v>147</v>
      </c>
      <c r="O1858" s="17">
        <v>9.61</v>
      </c>
      <c r="P1858" s="15" t="s">
        <v>148</v>
      </c>
      <c r="Q1858" s="15" t="s">
        <v>149</v>
      </c>
      <c r="R1858" s="15" t="s">
        <v>174</v>
      </c>
      <c r="S1858" s="15" t="s">
        <v>35248</v>
      </c>
      <c r="T1858" s="18" t="s">
        <v>138</v>
      </c>
      <c r="U1858" s="15" t="s">
        <v>138</v>
      </c>
      <c r="V1858" s="15" t="s">
        <v>138</v>
      </c>
      <c r="W1858" s="15" t="s">
        <v>138</v>
      </c>
      <c r="X1858" s="19">
        <v>2016</v>
      </c>
      <c r="Y1858" s="15" t="s">
        <v>138</v>
      </c>
      <c r="Z1858" s="15" t="s">
        <v>138</v>
      </c>
      <c r="AA1858" s="15" t="s">
        <v>138</v>
      </c>
      <c r="AB1858" s="20" t="s">
        <v>138</v>
      </c>
      <c r="AC1858" s="20" t="s">
        <v>138</v>
      </c>
      <c r="AD1858" s="20" t="s">
        <v>138</v>
      </c>
      <c r="AE1858" s="20" t="s">
        <v>138</v>
      </c>
      <c r="AF1858" s="20" t="s">
        <v>138</v>
      </c>
      <c r="AG1858" s="15" t="s">
        <v>138</v>
      </c>
      <c r="AH1858" s="20" t="s">
        <v>138</v>
      </c>
      <c r="AI1858" s="20" t="s">
        <v>138</v>
      </c>
      <c r="AJ1858" s="20" t="s">
        <v>138</v>
      </c>
      <c r="AK1858" s="15" t="s">
        <v>35249</v>
      </c>
      <c r="AL1858" s="15" t="s">
        <v>35250</v>
      </c>
      <c r="AM1858" s="15" t="s">
        <v>5401</v>
      </c>
      <c r="AN1858" s="15" t="s">
        <v>35251</v>
      </c>
      <c r="AO1858" s="15" t="s">
        <v>35252</v>
      </c>
      <c r="AP1858" s="15" t="s">
        <v>423</v>
      </c>
      <c r="AQ1858" s="15" t="s">
        <v>35253</v>
      </c>
      <c r="AR1858" s="15" t="s">
        <v>5294</v>
      </c>
      <c r="AS1858" s="15" t="s">
        <v>426</v>
      </c>
      <c r="AT1858" s="15" t="s">
        <v>426</v>
      </c>
      <c r="AU1858" s="15" t="s">
        <v>9264</v>
      </c>
      <c r="AV1858" s="15" t="s">
        <v>162</v>
      </c>
      <c r="AW1858" s="15" t="s">
        <v>35252</v>
      </c>
      <c r="AX1858" s="15" t="s">
        <v>138</v>
      </c>
      <c r="AY1858" s="15" t="s">
        <v>35254</v>
      </c>
      <c r="AZ1858" s="15" t="s">
        <v>164</v>
      </c>
      <c r="BA1858" s="15" t="s">
        <v>165</v>
      </c>
      <c r="BB1858" s="15" t="s">
        <v>35255</v>
      </c>
      <c r="BC1858" s="15" t="s">
        <v>35256</v>
      </c>
      <c r="BD1858" s="21">
        <v>3</v>
      </c>
      <c r="BE1858" s="15" t="s">
        <v>138</v>
      </c>
      <c r="BF1858" s="15" t="s">
        <v>138</v>
      </c>
      <c r="BG1858" s="15" t="s">
        <v>138</v>
      </c>
      <c r="BH1858" s="15" t="s">
        <v>35257</v>
      </c>
      <c r="BI1858" s="15" t="s">
        <v>138</v>
      </c>
      <c r="BJ1858" s="15" t="s">
        <v>138</v>
      </c>
      <c r="BK1858" s="15" t="s">
        <v>138</v>
      </c>
      <c r="BL1858" s="15" t="s">
        <v>3482</v>
      </c>
      <c r="BM1858" s="22">
        <v>43321</v>
      </c>
      <c r="BN1858" s="17">
        <v>2.25</v>
      </c>
      <c r="BO1858" s="15" t="s">
        <v>172</v>
      </c>
      <c r="BP1858" s="17" t="s">
        <v>138</v>
      </c>
      <c r="BQ1858" s="15" t="s">
        <v>138</v>
      </c>
      <c r="BR1858" s="15" t="s">
        <v>262</v>
      </c>
      <c r="BS1858" s="15" t="s">
        <v>206</v>
      </c>
      <c r="BT1858" s="15" t="s">
        <v>138</v>
      </c>
      <c r="BU1858" s="15" t="s">
        <v>263</v>
      </c>
      <c r="BV1858" s="15" t="s">
        <v>138</v>
      </c>
      <c r="BW1858" s="15" t="s">
        <v>138</v>
      </c>
      <c r="BX1858" s="15" t="s">
        <v>138</v>
      </c>
      <c r="BY1858" s="15" t="s">
        <v>175</v>
      </c>
      <c r="BZ1858" s="22">
        <v>43574</v>
      </c>
      <c r="CA1858" s="17">
        <v>7.36</v>
      </c>
      <c r="CB1858" s="15" t="s">
        <v>172</v>
      </c>
      <c r="CC1858" s="17" t="s">
        <v>138</v>
      </c>
      <c r="CD1858" s="15" t="s">
        <v>138</v>
      </c>
      <c r="CE1858" s="15" t="s">
        <v>205</v>
      </c>
      <c r="CF1858" s="15" t="s">
        <v>206</v>
      </c>
      <c r="CG1858" s="15" t="s">
        <v>138</v>
      </c>
      <c r="CH1858" s="15" t="s">
        <v>174</v>
      </c>
      <c r="CI1858" s="15" t="s">
        <v>138</v>
      </c>
      <c r="CJ1858" s="15" t="s">
        <v>138</v>
      </c>
      <c r="CK1858" s="15" t="s">
        <v>138</v>
      </c>
      <c r="CL1858" s="15" t="s">
        <v>175</v>
      </c>
      <c r="CM1858" s="22" t="s">
        <v>138</v>
      </c>
      <c r="CN1858" s="17" t="s">
        <v>138</v>
      </c>
      <c r="CO1858" s="23">
        <v>0.85</v>
      </c>
      <c r="CP1858" s="24">
        <v>97</v>
      </c>
      <c r="CQ1858" s="23">
        <v>0.25</v>
      </c>
      <c r="CR1858" s="23">
        <v>42.35</v>
      </c>
      <c r="CS1858" s="23">
        <v>0.59</v>
      </c>
      <c r="CT1858" s="24">
        <v>96</v>
      </c>
      <c r="CU1858" s="23">
        <v>1.1100000000000001</v>
      </c>
      <c r="CV1858" s="24">
        <v>98</v>
      </c>
      <c r="CW1858" s="23">
        <v>0</v>
      </c>
      <c r="CX1858" s="24">
        <v>13</v>
      </c>
      <c r="CY1858" s="23">
        <v>1.18</v>
      </c>
      <c r="CZ1858" s="24">
        <v>99</v>
      </c>
      <c r="DA1858" s="23">
        <v>1.1100000000000001</v>
      </c>
      <c r="DB1858" s="24">
        <v>98</v>
      </c>
      <c r="DC1858" s="25">
        <v>3.3</v>
      </c>
      <c r="DD1858" s="24">
        <v>77</v>
      </c>
      <c r="DE1858" s="25">
        <v>-0.01</v>
      </c>
      <c r="DF1858" s="23">
        <v>-0.36</v>
      </c>
      <c r="DG1858" s="25">
        <v>4.54</v>
      </c>
      <c r="DH1858" s="24">
        <v>81</v>
      </c>
      <c r="DI1858" s="25">
        <v>2.06</v>
      </c>
      <c r="DJ1858" s="24">
        <v>63</v>
      </c>
      <c r="DK1858" s="25">
        <v>0.94</v>
      </c>
      <c r="DL1858" s="24">
        <v>49</v>
      </c>
      <c r="DM1858" s="25">
        <v>8.14</v>
      </c>
      <c r="DN1858" s="24">
        <v>87</v>
      </c>
      <c r="DO1858" s="25">
        <v>2.06</v>
      </c>
      <c r="DP1858" s="24">
        <v>64</v>
      </c>
      <c r="DQ1858" s="24">
        <v>305</v>
      </c>
      <c r="DR1858" s="26">
        <v>50</v>
      </c>
      <c r="DS1858" s="23">
        <v>19.61</v>
      </c>
      <c r="DT1858" s="24">
        <v>236</v>
      </c>
      <c r="DU1858" s="26">
        <v>1</v>
      </c>
      <c r="DV1858" s="23">
        <v>0.43</v>
      </c>
      <c r="DW1858" s="24">
        <v>733</v>
      </c>
      <c r="DX1858" s="27">
        <v>11</v>
      </c>
      <c r="DY1858" s="23">
        <v>1.52</v>
      </c>
      <c r="DZ1858" s="15" t="s">
        <v>178</v>
      </c>
      <c r="EA1858" s="22">
        <v>43622</v>
      </c>
      <c r="EB1858" s="17" t="s">
        <v>138</v>
      </c>
      <c r="EC1858" s="22" t="s">
        <v>138</v>
      </c>
      <c r="ED1858" s="15" t="s">
        <v>138</v>
      </c>
      <c r="EE1858" s="14" t="str">
        <f>HYPERLINK("https://my.pitchbook.com?c=231810-76", "View company online")</f>
        <v>View company online</v>
      </c>
    </row>
    <row r="1859" spans="1:135">
      <c r="A1859" s="28" t="s">
        <v>35258</v>
      </c>
      <c r="B1859" s="28" t="s">
        <v>35259</v>
      </c>
      <c r="C1859" s="28" t="s">
        <v>138</v>
      </c>
      <c r="D1859" s="28" t="s">
        <v>138</v>
      </c>
      <c r="E1859" s="28" t="s">
        <v>35260</v>
      </c>
      <c r="F1859" s="28" t="s">
        <v>35258</v>
      </c>
      <c r="G1859" s="28" t="s">
        <v>35261</v>
      </c>
      <c r="H1859" s="28" t="s">
        <v>238</v>
      </c>
      <c r="I1859" s="28" t="s">
        <v>239</v>
      </c>
      <c r="J1859" s="28" t="s">
        <v>240</v>
      </c>
      <c r="K1859" s="28" t="s">
        <v>35262</v>
      </c>
      <c r="L1859" s="28" t="s">
        <v>1307</v>
      </c>
      <c r="M1859" s="28" t="s">
        <v>35263</v>
      </c>
      <c r="N1859" s="28" t="s">
        <v>147</v>
      </c>
      <c r="O1859" s="29">
        <v>8.5</v>
      </c>
      <c r="P1859" s="28" t="s">
        <v>148</v>
      </c>
      <c r="Q1859" s="28" t="s">
        <v>149</v>
      </c>
      <c r="R1859" s="28" t="s">
        <v>174</v>
      </c>
      <c r="S1859" s="28" t="s">
        <v>35264</v>
      </c>
      <c r="T1859" s="30" t="s">
        <v>138</v>
      </c>
      <c r="U1859" s="28" t="s">
        <v>138</v>
      </c>
      <c r="V1859" s="28" t="s">
        <v>138</v>
      </c>
      <c r="W1859" s="28" t="s">
        <v>138</v>
      </c>
      <c r="X1859" s="31">
        <v>2011</v>
      </c>
      <c r="Y1859" s="28" t="s">
        <v>138</v>
      </c>
      <c r="Z1859" s="28" t="s">
        <v>138</v>
      </c>
      <c r="AA1859" s="28" t="s">
        <v>138</v>
      </c>
      <c r="AB1859" s="32" t="s">
        <v>138</v>
      </c>
      <c r="AC1859" s="32" t="s">
        <v>138</v>
      </c>
      <c r="AD1859" s="32" t="s">
        <v>138</v>
      </c>
      <c r="AE1859" s="32" t="s">
        <v>138</v>
      </c>
      <c r="AF1859" s="32" t="s">
        <v>138</v>
      </c>
      <c r="AG1859" s="28" t="s">
        <v>138</v>
      </c>
      <c r="AH1859" s="32" t="s">
        <v>138</v>
      </c>
      <c r="AI1859" s="32" t="s">
        <v>138</v>
      </c>
      <c r="AJ1859" s="32" t="s">
        <v>138</v>
      </c>
      <c r="AK1859" s="28" t="s">
        <v>35265</v>
      </c>
      <c r="AL1859" s="28" t="s">
        <v>35266</v>
      </c>
      <c r="AM1859" s="28" t="s">
        <v>221</v>
      </c>
      <c r="AN1859" s="28" t="s">
        <v>35267</v>
      </c>
      <c r="AO1859" s="28" t="s">
        <v>35268</v>
      </c>
      <c r="AP1859" s="28" t="s">
        <v>3328</v>
      </c>
      <c r="AQ1859" s="28" t="s">
        <v>32608</v>
      </c>
      <c r="AR1859" s="28" t="s">
        <v>35269</v>
      </c>
      <c r="AS1859" s="28" t="s">
        <v>3330</v>
      </c>
      <c r="AT1859" s="28" t="s">
        <v>200</v>
      </c>
      <c r="AU1859" s="28" t="s">
        <v>3331</v>
      </c>
      <c r="AV1859" s="28" t="s">
        <v>162</v>
      </c>
      <c r="AW1859" s="28" t="s">
        <v>35268</v>
      </c>
      <c r="AX1859" s="28" t="s">
        <v>138</v>
      </c>
      <c r="AY1859" s="28" t="s">
        <v>35270</v>
      </c>
      <c r="AZ1859" s="28" t="s">
        <v>164</v>
      </c>
      <c r="BA1859" s="28" t="s">
        <v>165</v>
      </c>
      <c r="BB1859" s="28" t="s">
        <v>35271</v>
      </c>
      <c r="BC1859" s="28" t="s">
        <v>35272</v>
      </c>
      <c r="BD1859" s="33">
        <v>7</v>
      </c>
      <c r="BE1859" s="28" t="s">
        <v>138</v>
      </c>
      <c r="BF1859" s="28" t="s">
        <v>138</v>
      </c>
      <c r="BG1859" s="28" t="s">
        <v>138</v>
      </c>
      <c r="BH1859" s="28" t="s">
        <v>35273</v>
      </c>
      <c r="BI1859" s="28" t="s">
        <v>138</v>
      </c>
      <c r="BJ1859" s="28" t="s">
        <v>138</v>
      </c>
      <c r="BK1859" s="28" t="s">
        <v>290</v>
      </c>
      <c r="BL1859" s="28" t="s">
        <v>290</v>
      </c>
      <c r="BM1859" s="34">
        <v>43009</v>
      </c>
      <c r="BN1859" s="29">
        <v>8.5</v>
      </c>
      <c r="BO1859" s="28" t="s">
        <v>172</v>
      </c>
      <c r="BP1859" s="29">
        <v>34.5</v>
      </c>
      <c r="BQ1859" s="28" t="s">
        <v>1178</v>
      </c>
      <c r="BR1859" s="28" t="s">
        <v>205</v>
      </c>
      <c r="BS1859" s="28" t="s">
        <v>206</v>
      </c>
      <c r="BT1859" s="28" t="s">
        <v>138</v>
      </c>
      <c r="BU1859" s="28" t="s">
        <v>174</v>
      </c>
      <c r="BV1859" s="28" t="s">
        <v>138</v>
      </c>
      <c r="BW1859" s="28" t="s">
        <v>138</v>
      </c>
      <c r="BX1859" s="28" t="s">
        <v>138</v>
      </c>
      <c r="BY1859" s="28" t="s">
        <v>175</v>
      </c>
      <c r="BZ1859" s="34">
        <v>43009</v>
      </c>
      <c r="CA1859" s="29">
        <v>8.5</v>
      </c>
      <c r="CB1859" s="28" t="s">
        <v>172</v>
      </c>
      <c r="CC1859" s="29">
        <v>34.5</v>
      </c>
      <c r="CD1859" s="28" t="s">
        <v>1178</v>
      </c>
      <c r="CE1859" s="28" t="s">
        <v>205</v>
      </c>
      <c r="CF1859" s="28" t="s">
        <v>206</v>
      </c>
      <c r="CG1859" s="28" t="s">
        <v>138</v>
      </c>
      <c r="CH1859" s="28" t="s">
        <v>174</v>
      </c>
      <c r="CI1859" s="28" t="s">
        <v>138</v>
      </c>
      <c r="CJ1859" s="28" t="s">
        <v>138</v>
      </c>
      <c r="CK1859" s="28" t="s">
        <v>138</v>
      </c>
      <c r="CL1859" s="28" t="s">
        <v>175</v>
      </c>
      <c r="CM1859" s="34" t="s">
        <v>138</v>
      </c>
      <c r="CN1859" s="29" t="s">
        <v>138</v>
      </c>
      <c r="CO1859" s="35">
        <v>0.11</v>
      </c>
      <c r="CP1859" s="36">
        <v>90</v>
      </c>
      <c r="CQ1859" s="35">
        <v>0.1</v>
      </c>
      <c r="CR1859" s="35">
        <v>964.4</v>
      </c>
      <c r="CS1859" s="35">
        <v>-0.67</v>
      </c>
      <c r="CT1859" s="36">
        <v>18</v>
      </c>
      <c r="CU1859" s="35">
        <v>0.9</v>
      </c>
      <c r="CV1859" s="36">
        <v>97</v>
      </c>
      <c r="CW1859" s="35">
        <v>-1.1599999999999999</v>
      </c>
      <c r="CX1859" s="36">
        <v>9</v>
      </c>
      <c r="CY1859" s="35">
        <v>-0.18</v>
      </c>
      <c r="CZ1859" s="36">
        <v>24</v>
      </c>
      <c r="DA1859" s="35">
        <v>1.19</v>
      </c>
      <c r="DB1859" s="36">
        <v>99</v>
      </c>
      <c r="DC1859" s="37">
        <v>150.58000000000001</v>
      </c>
      <c r="DD1859" s="36">
        <v>99</v>
      </c>
      <c r="DE1859" s="37">
        <v>-18.77</v>
      </c>
      <c r="DF1859" s="35">
        <v>-11.09</v>
      </c>
      <c r="DG1859" s="37">
        <v>299.70999999999998</v>
      </c>
      <c r="DH1859" s="36">
        <v>100</v>
      </c>
      <c r="DI1859" s="37">
        <v>1.44</v>
      </c>
      <c r="DJ1859" s="36">
        <v>56</v>
      </c>
      <c r="DK1859" s="37">
        <v>588.36</v>
      </c>
      <c r="DL1859" s="36">
        <v>100</v>
      </c>
      <c r="DM1859" s="37">
        <v>11.07</v>
      </c>
      <c r="DN1859" s="36">
        <v>90</v>
      </c>
      <c r="DO1859" s="37">
        <v>2.63</v>
      </c>
      <c r="DP1859" s="36">
        <v>69</v>
      </c>
      <c r="DQ1859" s="36">
        <v>202567</v>
      </c>
      <c r="DR1859" s="38">
        <v>-2283</v>
      </c>
      <c r="DS1859" s="35">
        <v>-1.1100000000000001</v>
      </c>
      <c r="DT1859" s="36">
        <v>316</v>
      </c>
      <c r="DU1859" s="38">
        <v>9</v>
      </c>
      <c r="DV1859" s="35">
        <v>2.93</v>
      </c>
      <c r="DW1859" s="36">
        <v>938</v>
      </c>
      <c r="DX1859" s="39">
        <v>7</v>
      </c>
      <c r="DY1859" s="35">
        <v>0.75</v>
      </c>
      <c r="DZ1859" s="28" t="s">
        <v>178</v>
      </c>
      <c r="EA1859" s="34">
        <v>43479</v>
      </c>
      <c r="EB1859" s="29">
        <v>34.5</v>
      </c>
      <c r="EC1859" s="34">
        <v>43009</v>
      </c>
      <c r="ED1859" s="28" t="s">
        <v>205</v>
      </c>
      <c r="EE1859" s="40" t="str">
        <f>HYPERLINK("https://my.pitchbook.com?c=140657-41", "View company online")</f>
        <v>View company online</v>
      </c>
    </row>
    <row r="1860" spans="1:135">
      <c r="A1860" s="15" t="s">
        <v>35274</v>
      </c>
      <c r="B1860" s="15" t="s">
        <v>35275</v>
      </c>
      <c r="C1860" s="15" t="s">
        <v>138</v>
      </c>
      <c r="D1860" s="15" t="s">
        <v>138</v>
      </c>
      <c r="E1860" s="15" t="s">
        <v>138</v>
      </c>
      <c r="F1860" s="15" t="s">
        <v>35274</v>
      </c>
      <c r="G1860" s="15" t="s">
        <v>35276</v>
      </c>
      <c r="H1860" s="15" t="s">
        <v>141</v>
      </c>
      <c r="I1860" s="15" t="s">
        <v>142</v>
      </c>
      <c r="J1860" s="15" t="s">
        <v>1924</v>
      </c>
      <c r="K1860" s="15" t="s">
        <v>35277</v>
      </c>
      <c r="L1860" s="15" t="s">
        <v>35278</v>
      </c>
      <c r="M1860" s="15" t="s">
        <v>35279</v>
      </c>
      <c r="N1860" s="15" t="s">
        <v>147</v>
      </c>
      <c r="O1860" s="17">
        <v>2</v>
      </c>
      <c r="P1860" s="15" t="s">
        <v>610</v>
      </c>
      <c r="Q1860" s="15" t="s">
        <v>149</v>
      </c>
      <c r="R1860" s="15" t="s">
        <v>174</v>
      </c>
      <c r="S1860" s="15" t="s">
        <v>35280</v>
      </c>
      <c r="T1860" s="18" t="s">
        <v>138</v>
      </c>
      <c r="U1860" s="15" t="s">
        <v>138</v>
      </c>
      <c r="V1860" s="15" t="s">
        <v>138</v>
      </c>
      <c r="W1860" s="15" t="s">
        <v>138</v>
      </c>
      <c r="X1860" s="19">
        <v>2017</v>
      </c>
      <c r="Y1860" s="15" t="s">
        <v>138</v>
      </c>
      <c r="Z1860" s="15" t="s">
        <v>138</v>
      </c>
      <c r="AA1860" s="15" t="s">
        <v>138</v>
      </c>
      <c r="AB1860" s="20" t="s">
        <v>138</v>
      </c>
      <c r="AC1860" s="20" t="s">
        <v>138</v>
      </c>
      <c r="AD1860" s="20" t="s">
        <v>138</v>
      </c>
      <c r="AE1860" s="20" t="s">
        <v>138</v>
      </c>
      <c r="AF1860" s="20" t="s">
        <v>138</v>
      </c>
      <c r="AG1860" s="15" t="s">
        <v>138</v>
      </c>
      <c r="AH1860" s="20" t="s">
        <v>138</v>
      </c>
      <c r="AI1860" s="20" t="s">
        <v>138</v>
      </c>
      <c r="AJ1860" s="20" t="s">
        <v>138</v>
      </c>
      <c r="AK1860" s="15" t="s">
        <v>35281</v>
      </c>
      <c r="AL1860" s="15" t="s">
        <v>35282</v>
      </c>
      <c r="AM1860" s="15" t="s">
        <v>2949</v>
      </c>
      <c r="AN1860" s="15" t="s">
        <v>35283</v>
      </c>
      <c r="AO1860" s="15" t="s">
        <v>35284</v>
      </c>
      <c r="AP1860" s="15" t="s">
        <v>1028</v>
      </c>
      <c r="AQ1860" s="15" t="s">
        <v>12596</v>
      </c>
      <c r="AR1860" s="15" t="s">
        <v>6688</v>
      </c>
      <c r="AS1860" s="15" t="s">
        <v>1031</v>
      </c>
      <c r="AT1860" s="15" t="s">
        <v>1032</v>
      </c>
      <c r="AU1860" s="15" t="s">
        <v>12597</v>
      </c>
      <c r="AV1860" s="15" t="s">
        <v>162</v>
      </c>
      <c r="AW1860" s="15" t="s">
        <v>35284</v>
      </c>
      <c r="AX1860" s="15" t="s">
        <v>138</v>
      </c>
      <c r="AY1860" s="15" t="s">
        <v>138</v>
      </c>
      <c r="AZ1860" s="15" t="s">
        <v>164</v>
      </c>
      <c r="BA1860" s="15" t="s">
        <v>165</v>
      </c>
      <c r="BB1860" s="15" t="s">
        <v>35285</v>
      </c>
      <c r="BC1860" s="15" t="s">
        <v>35286</v>
      </c>
      <c r="BD1860" s="21">
        <v>3</v>
      </c>
      <c r="BE1860" s="15" t="s">
        <v>138</v>
      </c>
      <c r="BF1860" s="15" t="s">
        <v>138</v>
      </c>
      <c r="BG1860" s="15" t="s">
        <v>138</v>
      </c>
      <c r="BH1860" s="15" t="s">
        <v>35287</v>
      </c>
      <c r="BI1860" s="15" t="s">
        <v>138</v>
      </c>
      <c r="BJ1860" s="15" t="s">
        <v>138</v>
      </c>
      <c r="BK1860" s="15" t="s">
        <v>138</v>
      </c>
      <c r="BL1860" s="15" t="s">
        <v>138</v>
      </c>
      <c r="BM1860" s="22">
        <v>42846</v>
      </c>
      <c r="BN1860" s="17">
        <v>0.03</v>
      </c>
      <c r="BO1860" s="15" t="s">
        <v>172</v>
      </c>
      <c r="BP1860" s="17" t="s">
        <v>138</v>
      </c>
      <c r="BQ1860" s="15" t="s">
        <v>138</v>
      </c>
      <c r="BR1860" s="15" t="s">
        <v>316</v>
      </c>
      <c r="BS1860" s="15" t="s">
        <v>138</v>
      </c>
      <c r="BT1860" s="15" t="s">
        <v>138</v>
      </c>
      <c r="BU1860" s="15" t="s">
        <v>177</v>
      </c>
      <c r="BV1860" s="15" t="s">
        <v>138</v>
      </c>
      <c r="BW1860" s="15" t="s">
        <v>138</v>
      </c>
      <c r="BX1860" s="15" t="s">
        <v>138</v>
      </c>
      <c r="BY1860" s="15" t="s">
        <v>175</v>
      </c>
      <c r="BZ1860" s="22">
        <v>43238</v>
      </c>
      <c r="CA1860" s="17">
        <v>2</v>
      </c>
      <c r="CB1860" s="15" t="s">
        <v>172</v>
      </c>
      <c r="CC1860" s="17">
        <v>22.99</v>
      </c>
      <c r="CD1860" s="15" t="s">
        <v>172</v>
      </c>
      <c r="CE1860" s="15" t="s">
        <v>205</v>
      </c>
      <c r="CF1860" s="15" t="s">
        <v>138</v>
      </c>
      <c r="CG1860" s="15" t="s">
        <v>138</v>
      </c>
      <c r="CH1860" s="15" t="s">
        <v>174</v>
      </c>
      <c r="CI1860" s="15" t="s">
        <v>138</v>
      </c>
      <c r="CJ1860" s="15" t="s">
        <v>138</v>
      </c>
      <c r="CK1860" s="15" t="s">
        <v>138</v>
      </c>
      <c r="CL1860" s="15" t="s">
        <v>175</v>
      </c>
      <c r="CM1860" s="22" t="s">
        <v>138</v>
      </c>
      <c r="CN1860" s="17" t="s">
        <v>138</v>
      </c>
      <c r="CO1860" s="23" t="s">
        <v>138</v>
      </c>
      <c r="CP1860" s="24" t="s">
        <v>138</v>
      </c>
      <c r="CQ1860" s="23" t="s">
        <v>138</v>
      </c>
      <c r="CR1860" s="23" t="s">
        <v>138</v>
      </c>
      <c r="CS1860" s="23" t="s">
        <v>138</v>
      </c>
      <c r="CT1860" s="24" t="s">
        <v>138</v>
      </c>
      <c r="CU1860" s="23" t="s">
        <v>138</v>
      </c>
      <c r="CV1860" s="24" t="s">
        <v>138</v>
      </c>
      <c r="CW1860" s="23" t="s">
        <v>138</v>
      </c>
      <c r="CX1860" s="24" t="s">
        <v>138</v>
      </c>
      <c r="CY1860" s="23" t="s">
        <v>138</v>
      </c>
      <c r="CZ1860" s="24" t="s">
        <v>138</v>
      </c>
      <c r="DA1860" s="23" t="s">
        <v>138</v>
      </c>
      <c r="DB1860" s="24" t="s">
        <v>138</v>
      </c>
      <c r="DC1860" s="25" t="s">
        <v>138</v>
      </c>
      <c r="DD1860" s="24" t="s">
        <v>138</v>
      </c>
      <c r="DE1860" s="25" t="s">
        <v>138</v>
      </c>
      <c r="DF1860" s="23" t="s">
        <v>138</v>
      </c>
      <c r="DG1860" s="25" t="s">
        <v>138</v>
      </c>
      <c r="DH1860" s="24" t="s">
        <v>138</v>
      </c>
      <c r="DI1860" s="25" t="s">
        <v>138</v>
      </c>
      <c r="DJ1860" s="24" t="s">
        <v>138</v>
      </c>
      <c r="DK1860" s="25" t="s">
        <v>138</v>
      </c>
      <c r="DL1860" s="24" t="s">
        <v>138</v>
      </c>
      <c r="DM1860" s="25" t="s">
        <v>138</v>
      </c>
      <c r="DN1860" s="24" t="s">
        <v>138</v>
      </c>
      <c r="DO1860" s="25" t="s">
        <v>138</v>
      </c>
      <c r="DP1860" s="24" t="s">
        <v>138</v>
      </c>
      <c r="DQ1860" s="24" t="s">
        <v>138</v>
      </c>
      <c r="DR1860" s="26" t="s">
        <v>138</v>
      </c>
      <c r="DS1860" s="23" t="s">
        <v>138</v>
      </c>
      <c r="DT1860" s="24" t="s">
        <v>138</v>
      </c>
      <c r="DU1860" s="26" t="s">
        <v>138</v>
      </c>
      <c r="DV1860" s="23" t="s">
        <v>138</v>
      </c>
      <c r="DW1860" s="24" t="s">
        <v>138</v>
      </c>
      <c r="DX1860" s="27" t="s">
        <v>138</v>
      </c>
      <c r="DY1860" s="23" t="s">
        <v>138</v>
      </c>
      <c r="DZ1860" s="15" t="s">
        <v>178</v>
      </c>
      <c r="EA1860" s="22">
        <v>43595</v>
      </c>
      <c r="EB1860" s="17">
        <v>22.99</v>
      </c>
      <c r="EC1860" s="22">
        <v>43238</v>
      </c>
      <c r="ED1860" s="15" t="s">
        <v>205</v>
      </c>
      <c r="EE1860" s="14" t="str">
        <f>HYPERLINK("https://my.pitchbook.com?c=181269-73", "View company online")</f>
        <v>View company online</v>
      </c>
    </row>
    <row r="1861" spans="1:135">
      <c r="A1861" s="28" t="s">
        <v>35288</v>
      </c>
      <c r="B1861" s="28" t="s">
        <v>35289</v>
      </c>
      <c r="C1861" s="28" t="s">
        <v>35290</v>
      </c>
      <c r="D1861" s="28" t="s">
        <v>138</v>
      </c>
      <c r="E1861" s="28" t="s">
        <v>138</v>
      </c>
      <c r="F1861" s="28" t="s">
        <v>35288</v>
      </c>
      <c r="G1861" s="28" t="s">
        <v>35291</v>
      </c>
      <c r="H1861" s="28" t="s">
        <v>385</v>
      </c>
      <c r="I1861" s="28" t="s">
        <v>386</v>
      </c>
      <c r="J1861" s="28" t="s">
        <v>8849</v>
      </c>
      <c r="K1861" s="28" t="s">
        <v>35292</v>
      </c>
      <c r="L1861" s="28" t="s">
        <v>5328</v>
      </c>
      <c r="M1861" s="28" t="s">
        <v>35293</v>
      </c>
      <c r="N1861" s="28" t="s">
        <v>147</v>
      </c>
      <c r="O1861" s="29">
        <v>10.6</v>
      </c>
      <c r="P1861" s="28" t="s">
        <v>812</v>
      </c>
      <c r="Q1861" s="28" t="s">
        <v>149</v>
      </c>
      <c r="R1861" s="28" t="s">
        <v>174</v>
      </c>
      <c r="S1861" s="28" t="s">
        <v>35294</v>
      </c>
      <c r="T1861" s="30" t="s">
        <v>138</v>
      </c>
      <c r="U1861" s="28" t="s">
        <v>138</v>
      </c>
      <c r="V1861" s="28" t="s">
        <v>138</v>
      </c>
      <c r="W1861" s="28" t="s">
        <v>138</v>
      </c>
      <c r="X1861" s="31">
        <v>2006</v>
      </c>
      <c r="Y1861" s="28" t="s">
        <v>138</v>
      </c>
      <c r="Z1861" s="28" t="s">
        <v>138</v>
      </c>
      <c r="AA1861" s="28" t="s">
        <v>138</v>
      </c>
      <c r="AB1861" s="32" t="s">
        <v>138</v>
      </c>
      <c r="AC1861" s="32" t="s">
        <v>138</v>
      </c>
      <c r="AD1861" s="32" t="s">
        <v>138</v>
      </c>
      <c r="AE1861" s="32" t="s">
        <v>138</v>
      </c>
      <c r="AF1861" s="32" t="s">
        <v>138</v>
      </c>
      <c r="AG1861" s="28" t="s">
        <v>138</v>
      </c>
      <c r="AH1861" s="32" t="s">
        <v>138</v>
      </c>
      <c r="AI1861" s="32" t="s">
        <v>138</v>
      </c>
      <c r="AJ1861" s="32" t="s">
        <v>138</v>
      </c>
      <c r="AK1861" s="28" t="s">
        <v>35295</v>
      </c>
      <c r="AL1861" s="28" t="s">
        <v>35296</v>
      </c>
      <c r="AM1861" s="28" t="s">
        <v>1783</v>
      </c>
      <c r="AN1861" s="28" t="s">
        <v>35297</v>
      </c>
      <c r="AO1861" s="28" t="s">
        <v>35298</v>
      </c>
      <c r="AP1861" s="28" t="s">
        <v>35299</v>
      </c>
      <c r="AQ1861" s="28" t="s">
        <v>35300</v>
      </c>
      <c r="AR1861" s="28" t="s">
        <v>138</v>
      </c>
      <c r="AS1861" s="28" t="s">
        <v>35301</v>
      </c>
      <c r="AT1861" s="28" t="s">
        <v>160</v>
      </c>
      <c r="AU1861" s="28" t="s">
        <v>35302</v>
      </c>
      <c r="AV1861" s="28" t="s">
        <v>162</v>
      </c>
      <c r="AW1861" s="28" t="s">
        <v>35303</v>
      </c>
      <c r="AX1861" s="28" t="s">
        <v>138</v>
      </c>
      <c r="AY1861" s="28" t="s">
        <v>35304</v>
      </c>
      <c r="AZ1861" s="28" t="s">
        <v>164</v>
      </c>
      <c r="BA1861" s="28" t="s">
        <v>165</v>
      </c>
      <c r="BB1861" s="28" t="s">
        <v>35305</v>
      </c>
      <c r="BC1861" s="28" t="s">
        <v>35306</v>
      </c>
      <c r="BD1861" s="33">
        <v>6</v>
      </c>
      <c r="BE1861" s="28" t="s">
        <v>138</v>
      </c>
      <c r="BF1861" s="28" t="s">
        <v>138</v>
      </c>
      <c r="BG1861" s="28" t="s">
        <v>138</v>
      </c>
      <c r="BH1861" s="28" t="s">
        <v>35307</v>
      </c>
      <c r="BI1861" s="28" t="s">
        <v>138</v>
      </c>
      <c r="BJ1861" s="28" t="s">
        <v>138</v>
      </c>
      <c r="BK1861" s="28" t="s">
        <v>27668</v>
      </c>
      <c r="BL1861" s="28" t="s">
        <v>138</v>
      </c>
      <c r="BM1861" s="34">
        <v>39534</v>
      </c>
      <c r="BN1861" s="29">
        <v>1</v>
      </c>
      <c r="BO1861" s="28" t="s">
        <v>172</v>
      </c>
      <c r="BP1861" s="29" t="s">
        <v>138</v>
      </c>
      <c r="BQ1861" s="28" t="s">
        <v>138</v>
      </c>
      <c r="BR1861" s="28" t="s">
        <v>176</v>
      </c>
      <c r="BS1861" s="28" t="s">
        <v>138</v>
      </c>
      <c r="BT1861" s="28" t="s">
        <v>138</v>
      </c>
      <c r="BU1861" s="28" t="s">
        <v>177</v>
      </c>
      <c r="BV1861" s="28" t="s">
        <v>138</v>
      </c>
      <c r="BW1861" s="28" t="s">
        <v>138</v>
      </c>
      <c r="BX1861" s="28" t="s">
        <v>138</v>
      </c>
      <c r="BY1861" s="28" t="s">
        <v>175</v>
      </c>
      <c r="BZ1861" s="34">
        <v>41438</v>
      </c>
      <c r="CA1861" s="29">
        <v>2.54</v>
      </c>
      <c r="CB1861" s="28" t="s">
        <v>172</v>
      </c>
      <c r="CC1861" s="29">
        <v>5.54</v>
      </c>
      <c r="CD1861" s="28" t="s">
        <v>172</v>
      </c>
      <c r="CE1861" s="28" t="s">
        <v>262</v>
      </c>
      <c r="CF1861" s="28" t="s">
        <v>206</v>
      </c>
      <c r="CG1861" s="28" t="s">
        <v>138</v>
      </c>
      <c r="CH1861" s="28" t="s">
        <v>263</v>
      </c>
      <c r="CI1861" s="28" t="s">
        <v>138</v>
      </c>
      <c r="CJ1861" s="28" t="s">
        <v>138</v>
      </c>
      <c r="CK1861" s="28" t="s">
        <v>138</v>
      </c>
      <c r="CL1861" s="28" t="s">
        <v>175</v>
      </c>
      <c r="CM1861" s="34" t="s">
        <v>138</v>
      </c>
      <c r="CN1861" s="29" t="s">
        <v>138</v>
      </c>
      <c r="CO1861" s="35">
        <v>0</v>
      </c>
      <c r="CP1861" s="36">
        <v>26</v>
      </c>
      <c r="CQ1861" s="35">
        <v>0</v>
      </c>
      <c r="CR1861" s="35">
        <v>0</v>
      </c>
      <c r="CS1861" s="35">
        <v>0</v>
      </c>
      <c r="CT1861" s="36">
        <v>23</v>
      </c>
      <c r="CU1861" s="35">
        <v>0</v>
      </c>
      <c r="CV1861" s="36">
        <v>22</v>
      </c>
      <c r="CW1861" s="35" t="s">
        <v>138</v>
      </c>
      <c r="CX1861" s="36" t="s">
        <v>138</v>
      </c>
      <c r="CY1861" s="35">
        <v>0</v>
      </c>
      <c r="CZ1861" s="36">
        <v>25</v>
      </c>
      <c r="DA1861" s="35">
        <v>0</v>
      </c>
      <c r="DB1861" s="36">
        <v>22</v>
      </c>
      <c r="DC1861" s="37">
        <v>1.17</v>
      </c>
      <c r="DD1861" s="36">
        <v>55</v>
      </c>
      <c r="DE1861" s="37">
        <v>-0.05</v>
      </c>
      <c r="DF1861" s="35">
        <v>-4.22</v>
      </c>
      <c r="DG1861" s="37">
        <v>2.2799999999999998</v>
      </c>
      <c r="DH1861" s="36">
        <v>69</v>
      </c>
      <c r="DI1861" s="37">
        <v>7.0000000000000007E-2</v>
      </c>
      <c r="DJ1861" s="36">
        <v>11</v>
      </c>
      <c r="DK1861" s="37" t="s">
        <v>138</v>
      </c>
      <c r="DL1861" s="36" t="s">
        <v>138</v>
      </c>
      <c r="DM1861" s="37">
        <v>2.2799999999999998</v>
      </c>
      <c r="DN1861" s="36">
        <v>68</v>
      </c>
      <c r="DO1861" s="37">
        <v>0.1</v>
      </c>
      <c r="DP1861" s="36">
        <v>16</v>
      </c>
      <c r="DQ1861" s="36" t="s">
        <v>138</v>
      </c>
      <c r="DR1861" s="38" t="s">
        <v>138</v>
      </c>
      <c r="DS1861" s="35" t="s">
        <v>138</v>
      </c>
      <c r="DT1861" s="36">
        <v>67</v>
      </c>
      <c r="DU1861" s="38">
        <v>-2</v>
      </c>
      <c r="DV1861" s="35">
        <v>-2.9</v>
      </c>
      <c r="DW1861" s="36">
        <v>36</v>
      </c>
      <c r="DX1861" s="39">
        <v>0</v>
      </c>
      <c r="DY1861" s="35">
        <v>0</v>
      </c>
      <c r="DZ1861" s="28" t="s">
        <v>178</v>
      </c>
      <c r="EA1861" s="34">
        <v>43425</v>
      </c>
      <c r="EB1861" s="29">
        <v>5.54</v>
      </c>
      <c r="EC1861" s="34">
        <v>41438</v>
      </c>
      <c r="ED1861" s="28" t="s">
        <v>262</v>
      </c>
      <c r="EE1861" s="40" t="str">
        <f>HYPERLINK("https://my.pitchbook.com?c=42704-92", "View company online")</f>
        <v>View company online</v>
      </c>
    </row>
    <row r="1862" spans="1:135">
      <c r="A1862" s="15" t="s">
        <v>35308</v>
      </c>
      <c r="B1862" s="15" t="s">
        <v>35309</v>
      </c>
      <c r="C1862" s="15" t="s">
        <v>138</v>
      </c>
      <c r="D1862" s="15" t="s">
        <v>138</v>
      </c>
      <c r="E1862" s="15" t="s">
        <v>138</v>
      </c>
      <c r="F1862" s="15" t="s">
        <v>35308</v>
      </c>
      <c r="G1862" s="15" t="s">
        <v>35310</v>
      </c>
      <c r="H1862" s="15" t="s">
        <v>238</v>
      </c>
      <c r="I1862" s="15" t="s">
        <v>1351</v>
      </c>
      <c r="J1862" s="15" t="s">
        <v>1352</v>
      </c>
      <c r="K1862" s="15" t="s">
        <v>11328</v>
      </c>
      <c r="L1862" s="15" t="s">
        <v>1972</v>
      </c>
      <c r="M1862" s="15" t="s">
        <v>35311</v>
      </c>
      <c r="N1862" s="15" t="s">
        <v>147</v>
      </c>
      <c r="O1862" s="17">
        <v>1.1399999999999999</v>
      </c>
      <c r="P1862" s="15" t="s">
        <v>148</v>
      </c>
      <c r="Q1862" s="15" t="s">
        <v>149</v>
      </c>
      <c r="R1862" s="15" t="s">
        <v>174</v>
      </c>
      <c r="S1862" s="15" t="s">
        <v>35312</v>
      </c>
      <c r="T1862" s="18">
        <v>4</v>
      </c>
      <c r="U1862" s="15" t="s">
        <v>4851</v>
      </c>
      <c r="V1862" s="15" t="s">
        <v>138</v>
      </c>
      <c r="W1862" s="15" t="s">
        <v>138</v>
      </c>
      <c r="X1862" s="19">
        <v>2015</v>
      </c>
      <c r="Y1862" s="15" t="s">
        <v>138</v>
      </c>
      <c r="Z1862" s="15" t="s">
        <v>138</v>
      </c>
      <c r="AA1862" s="15" t="s">
        <v>138</v>
      </c>
      <c r="AB1862" s="20" t="s">
        <v>138</v>
      </c>
      <c r="AC1862" s="20" t="s">
        <v>138</v>
      </c>
      <c r="AD1862" s="20" t="s">
        <v>138</v>
      </c>
      <c r="AE1862" s="20" t="s">
        <v>138</v>
      </c>
      <c r="AF1862" s="20" t="s">
        <v>138</v>
      </c>
      <c r="AG1862" s="15" t="s">
        <v>138</v>
      </c>
      <c r="AH1862" s="20" t="s">
        <v>138</v>
      </c>
      <c r="AI1862" s="20" t="s">
        <v>138</v>
      </c>
      <c r="AJ1862" s="20" t="s">
        <v>138</v>
      </c>
      <c r="AK1862" s="15" t="s">
        <v>35313</v>
      </c>
      <c r="AL1862" s="15" t="s">
        <v>35314</v>
      </c>
      <c r="AM1862" s="15" t="s">
        <v>304</v>
      </c>
      <c r="AN1862" s="15" t="s">
        <v>35315</v>
      </c>
      <c r="AO1862" s="15" t="s">
        <v>35316</v>
      </c>
      <c r="AP1862" s="15" t="s">
        <v>1514</v>
      </c>
      <c r="AQ1862" s="15" t="s">
        <v>35317</v>
      </c>
      <c r="AR1862" s="15" t="s">
        <v>138</v>
      </c>
      <c r="AS1862" s="15" t="s">
        <v>1516</v>
      </c>
      <c r="AT1862" s="15" t="s">
        <v>284</v>
      </c>
      <c r="AU1862" s="15" t="s">
        <v>35318</v>
      </c>
      <c r="AV1862" s="15" t="s">
        <v>162</v>
      </c>
      <c r="AW1862" s="15" t="s">
        <v>35316</v>
      </c>
      <c r="AX1862" s="15" t="s">
        <v>138</v>
      </c>
      <c r="AY1862" s="15" t="s">
        <v>35319</v>
      </c>
      <c r="AZ1862" s="15" t="s">
        <v>164</v>
      </c>
      <c r="BA1862" s="15" t="s">
        <v>165</v>
      </c>
      <c r="BB1862" s="15" t="s">
        <v>35320</v>
      </c>
      <c r="BC1862" s="15" t="s">
        <v>35321</v>
      </c>
      <c r="BD1862" s="21">
        <v>4</v>
      </c>
      <c r="BE1862" s="15" t="s">
        <v>138</v>
      </c>
      <c r="BF1862" s="15" t="s">
        <v>138</v>
      </c>
      <c r="BG1862" s="15" t="s">
        <v>138</v>
      </c>
      <c r="BH1862" s="15" t="s">
        <v>35322</v>
      </c>
      <c r="BI1862" s="15" t="s">
        <v>138</v>
      </c>
      <c r="BJ1862" s="15" t="s">
        <v>138</v>
      </c>
      <c r="BK1862" s="15" t="s">
        <v>35323</v>
      </c>
      <c r="BL1862" s="15" t="s">
        <v>1829</v>
      </c>
      <c r="BM1862" s="22">
        <v>42064</v>
      </c>
      <c r="BN1862" s="17" t="s">
        <v>138</v>
      </c>
      <c r="BO1862" s="15" t="s">
        <v>138</v>
      </c>
      <c r="BP1862" s="17" t="s">
        <v>138</v>
      </c>
      <c r="BQ1862" s="15" t="s">
        <v>138</v>
      </c>
      <c r="BR1862" s="15" t="s">
        <v>316</v>
      </c>
      <c r="BS1862" s="15" t="s">
        <v>138</v>
      </c>
      <c r="BT1862" s="15" t="s">
        <v>138</v>
      </c>
      <c r="BU1862" s="15" t="s">
        <v>177</v>
      </c>
      <c r="BV1862" s="15" t="s">
        <v>138</v>
      </c>
      <c r="BW1862" s="15" t="s">
        <v>138</v>
      </c>
      <c r="BX1862" s="15" t="s">
        <v>138</v>
      </c>
      <c r="BY1862" s="15" t="s">
        <v>175</v>
      </c>
      <c r="BZ1862" s="22">
        <v>42639</v>
      </c>
      <c r="CA1862" s="17">
        <v>1.03</v>
      </c>
      <c r="CB1862" s="15" t="s">
        <v>172</v>
      </c>
      <c r="CC1862" s="17" t="s">
        <v>138</v>
      </c>
      <c r="CD1862" s="15" t="s">
        <v>138</v>
      </c>
      <c r="CE1862" s="15" t="s">
        <v>205</v>
      </c>
      <c r="CF1862" s="15" t="s">
        <v>138</v>
      </c>
      <c r="CG1862" s="15" t="s">
        <v>138</v>
      </c>
      <c r="CH1862" s="15" t="s">
        <v>174</v>
      </c>
      <c r="CI1862" s="15" t="s">
        <v>138</v>
      </c>
      <c r="CJ1862" s="15" t="s">
        <v>138</v>
      </c>
      <c r="CK1862" s="15" t="s">
        <v>138</v>
      </c>
      <c r="CL1862" s="15" t="s">
        <v>175</v>
      </c>
      <c r="CM1862" s="22" t="s">
        <v>138</v>
      </c>
      <c r="CN1862" s="17" t="s">
        <v>138</v>
      </c>
      <c r="CO1862" s="23">
        <v>-0.03</v>
      </c>
      <c r="CP1862" s="24">
        <v>23</v>
      </c>
      <c r="CQ1862" s="23">
        <v>0</v>
      </c>
      <c r="CR1862" s="23">
        <v>11.31</v>
      </c>
      <c r="CS1862" s="23">
        <v>0</v>
      </c>
      <c r="CT1862" s="24">
        <v>23</v>
      </c>
      <c r="CU1862" s="23">
        <v>-0.05</v>
      </c>
      <c r="CV1862" s="24">
        <v>9</v>
      </c>
      <c r="CW1862" s="23">
        <v>0</v>
      </c>
      <c r="CX1862" s="24">
        <v>13</v>
      </c>
      <c r="CY1862" s="23">
        <v>0</v>
      </c>
      <c r="CZ1862" s="24">
        <v>25</v>
      </c>
      <c r="DA1862" s="23">
        <v>-7.0000000000000007E-2</v>
      </c>
      <c r="DB1862" s="24">
        <v>9</v>
      </c>
      <c r="DC1862" s="25">
        <v>3.21</v>
      </c>
      <c r="DD1862" s="24">
        <v>76</v>
      </c>
      <c r="DE1862" s="25">
        <v>-0.04</v>
      </c>
      <c r="DF1862" s="23">
        <v>-1.1200000000000001</v>
      </c>
      <c r="DG1862" s="25">
        <v>1.86</v>
      </c>
      <c r="DH1862" s="24">
        <v>65</v>
      </c>
      <c r="DI1862" s="25">
        <v>4.5599999999999996</v>
      </c>
      <c r="DJ1862" s="24">
        <v>76</v>
      </c>
      <c r="DK1862" s="25">
        <v>1.17</v>
      </c>
      <c r="DL1862" s="24">
        <v>53</v>
      </c>
      <c r="DM1862" s="25">
        <v>2.5499999999999998</v>
      </c>
      <c r="DN1862" s="24">
        <v>70</v>
      </c>
      <c r="DO1862" s="25">
        <v>2.5499999999999998</v>
      </c>
      <c r="DP1862" s="24">
        <v>68</v>
      </c>
      <c r="DQ1862" s="24">
        <v>414</v>
      </c>
      <c r="DR1862" s="26">
        <v>-44</v>
      </c>
      <c r="DS1862" s="23">
        <v>-9.61</v>
      </c>
      <c r="DT1862" s="24">
        <v>74</v>
      </c>
      <c r="DU1862" s="26">
        <v>0</v>
      </c>
      <c r="DV1862" s="23">
        <v>0</v>
      </c>
      <c r="DW1862" s="24">
        <v>914</v>
      </c>
      <c r="DX1862" s="27">
        <v>-1</v>
      </c>
      <c r="DY1862" s="23">
        <v>-0.11</v>
      </c>
      <c r="DZ1862" s="15" t="s">
        <v>178</v>
      </c>
      <c r="EA1862" s="22">
        <v>43622</v>
      </c>
      <c r="EB1862" s="17" t="s">
        <v>138</v>
      </c>
      <c r="EC1862" s="22" t="s">
        <v>138</v>
      </c>
      <c r="ED1862" s="15" t="s">
        <v>138</v>
      </c>
      <c r="EE1862" s="14" t="str">
        <f>HYPERLINK("https://my.pitchbook.com?c=115450-21", "View company online")</f>
        <v>View company online</v>
      </c>
    </row>
    <row r="1863" spans="1:135">
      <c r="A1863" s="28" t="s">
        <v>35324</v>
      </c>
      <c r="B1863" s="28" t="s">
        <v>35325</v>
      </c>
      <c r="C1863" s="28" t="s">
        <v>35326</v>
      </c>
      <c r="D1863" s="28" t="s">
        <v>138</v>
      </c>
      <c r="E1863" s="28" t="s">
        <v>35327</v>
      </c>
      <c r="F1863" s="28" t="s">
        <v>35324</v>
      </c>
      <c r="G1863" s="28" t="s">
        <v>35328</v>
      </c>
      <c r="H1863" s="28" t="s">
        <v>141</v>
      </c>
      <c r="I1863" s="28" t="s">
        <v>142</v>
      </c>
      <c r="J1863" s="28" t="s">
        <v>4042</v>
      </c>
      <c r="K1863" s="28" t="s">
        <v>16175</v>
      </c>
      <c r="L1863" s="28" t="s">
        <v>35329</v>
      </c>
      <c r="M1863" s="28" t="s">
        <v>35330</v>
      </c>
      <c r="N1863" s="28" t="s">
        <v>147</v>
      </c>
      <c r="O1863" s="29">
        <v>42.33</v>
      </c>
      <c r="P1863" s="28" t="s">
        <v>148</v>
      </c>
      <c r="Q1863" s="28" t="s">
        <v>149</v>
      </c>
      <c r="R1863" s="28" t="s">
        <v>174</v>
      </c>
      <c r="S1863" s="28" t="s">
        <v>35331</v>
      </c>
      <c r="T1863" s="30">
        <v>35</v>
      </c>
      <c r="U1863" s="28" t="s">
        <v>35332</v>
      </c>
      <c r="V1863" s="28" t="s">
        <v>138</v>
      </c>
      <c r="W1863" s="28" t="s">
        <v>138</v>
      </c>
      <c r="X1863" s="31">
        <v>2008</v>
      </c>
      <c r="Y1863" s="28" t="s">
        <v>138</v>
      </c>
      <c r="Z1863" s="28" t="s">
        <v>138</v>
      </c>
      <c r="AA1863" s="28" t="s">
        <v>138</v>
      </c>
      <c r="AB1863" s="32" t="s">
        <v>138</v>
      </c>
      <c r="AC1863" s="32" t="s">
        <v>138</v>
      </c>
      <c r="AD1863" s="32" t="s">
        <v>138</v>
      </c>
      <c r="AE1863" s="32" t="s">
        <v>138</v>
      </c>
      <c r="AF1863" s="32" t="s">
        <v>138</v>
      </c>
      <c r="AG1863" s="28" t="s">
        <v>138</v>
      </c>
      <c r="AH1863" s="32" t="s">
        <v>138</v>
      </c>
      <c r="AI1863" s="32" t="s">
        <v>138</v>
      </c>
      <c r="AJ1863" s="32" t="s">
        <v>138</v>
      </c>
      <c r="AK1863" s="28" t="s">
        <v>35333</v>
      </c>
      <c r="AL1863" s="28" t="s">
        <v>35334</v>
      </c>
      <c r="AM1863" s="28" t="s">
        <v>2949</v>
      </c>
      <c r="AN1863" s="28" t="s">
        <v>35335</v>
      </c>
      <c r="AO1863" s="28" t="s">
        <v>138</v>
      </c>
      <c r="AP1863" s="28" t="s">
        <v>35336</v>
      </c>
      <c r="AQ1863" s="28" t="s">
        <v>35337</v>
      </c>
      <c r="AR1863" s="28" t="s">
        <v>138</v>
      </c>
      <c r="AS1863" s="28" t="s">
        <v>35338</v>
      </c>
      <c r="AT1863" s="28" t="s">
        <v>864</v>
      </c>
      <c r="AU1863" s="28" t="s">
        <v>35339</v>
      </c>
      <c r="AV1863" s="28" t="s">
        <v>162</v>
      </c>
      <c r="AW1863" s="28" t="s">
        <v>138</v>
      </c>
      <c r="AX1863" s="28" t="s">
        <v>138</v>
      </c>
      <c r="AY1863" s="28" t="s">
        <v>35340</v>
      </c>
      <c r="AZ1863" s="28" t="s">
        <v>164</v>
      </c>
      <c r="BA1863" s="28" t="s">
        <v>165</v>
      </c>
      <c r="BB1863" s="28" t="s">
        <v>35341</v>
      </c>
      <c r="BC1863" s="28" t="s">
        <v>35342</v>
      </c>
      <c r="BD1863" s="33">
        <v>8</v>
      </c>
      <c r="BE1863" s="28" t="s">
        <v>138</v>
      </c>
      <c r="BF1863" s="28" t="s">
        <v>138</v>
      </c>
      <c r="BG1863" s="28" t="s">
        <v>138</v>
      </c>
      <c r="BH1863" s="28" t="s">
        <v>35343</v>
      </c>
      <c r="BI1863" s="28" t="s">
        <v>138</v>
      </c>
      <c r="BJ1863" s="28" t="s">
        <v>138</v>
      </c>
      <c r="BK1863" s="28" t="s">
        <v>35344</v>
      </c>
      <c r="BL1863" s="28" t="s">
        <v>35345</v>
      </c>
      <c r="BM1863" s="34">
        <v>40211</v>
      </c>
      <c r="BN1863" s="29">
        <v>1.75</v>
      </c>
      <c r="BO1863" s="28" t="s">
        <v>172</v>
      </c>
      <c r="BP1863" s="29">
        <v>13.12</v>
      </c>
      <c r="BQ1863" s="28" t="s">
        <v>172</v>
      </c>
      <c r="BR1863" s="28" t="s">
        <v>205</v>
      </c>
      <c r="BS1863" s="28" t="s">
        <v>206</v>
      </c>
      <c r="BT1863" s="28" t="s">
        <v>138</v>
      </c>
      <c r="BU1863" s="28" t="s">
        <v>174</v>
      </c>
      <c r="BV1863" s="28" t="s">
        <v>138</v>
      </c>
      <c r="BW1863" s="28" t="s">
        <v>138</v>
      </c>
      <c r="BX1863" s="28" t="s">
        <v>138</v>
      </c>
      <c r="BY1863" s="28" t="s">
        <v>175</v>
      </c>
      <c r="BZ1863" s="34">
        <v>43264</v>
      </c>
      <c r="CA1863" s="29">
        <v>10</v>
      </c>
      <c r="CB1863" s="28" t="s">
        <v>172</v>
      </c>
      <c r="CC1863" s="29" t="s">
        <v>138</v>
      </c>
      <c r="CD1863" s="28" t="s">
        <v>138</v>
      </c>
      <c r="CE1863" s="28" t="s">
        <v>173</v>
      </c>
      <c r="CF1863" s="28" t="s">
        <v>974</v>
      </c>
      <c r="CG1863" s="28" t="s">
        <v>138</v>
      </c>
      <c r="CH1863" s="28" t="s">
        <v>174</v>
      </c>
      <c r="CI1863" s="28" t="s">
        <v>264</v>
      </c>
      <c r="CJ1863" s="28" t="s">
        <v>138</v>
      </c>
      <c r="CK1863" s="28" t="s">
        <v>138</v>
      </c>
      <c r="CL1863" s="28" t="s">
        <v>352</v>
      </c>
      <c r="CM1863" s="34" t="s">
        <v>138</v>
      </c>
      <c r="CN1863" s="29" t="s">
        <v>138</v>
      </c>
      <c r="CO1863" s="35">
        <v>-1.65</v>
      </c>
      <c r="CP1863" s="36">
        <v>7</v>
      </c>
      <c r="CQ1863" s="35">
        <v>0</v>
      </c>
      <c r="CR1863" s="35">
        <v>0</v>
      </c>
      <c r="CS1863" s="35" t="s">
        <v>138</v>
      </c>
      <c r="CT1863" s="36" t="s">
        <v>138</v>
      </c>
      <c r="CU1863" s="35" t="s">
        <v>138</v>
      </c>
      <c r="CV1863" s="36" t="s">
        <v>138</v>
      </c>
      <c r="CW1863" s="35" t="s">
        <v>138</v>
      </c>
      <c r="CX1863" s="36" t="s">
        <v>138</v>
      </c>
      <c r="CY1863" s="35" t="s">
        <v>138</v>
      </c>
      <c r="CZ1863" s="36" t="s">
        <v>138</v>
      </c>
      <c r="DA1863" s="35" t="s">
        <v>138</v>
      </c>
      <c r="DB1863" s="36" t="s">
        <v>138</v>
      </c>
      <c r="DC1863" s="37">
        <v>0.06</v>
      </c>
      <c r="DD1863" s="36">
        <v>4</v>
      </c>
      <c r="DE1863" s="37">
        <v>0</v>
      </c>
      <c r="DF1863" s="35">
        <v>0</v>
      </c>
      <c r="DG1863" s="37" t="s">
        <v>138</v>
      </c>
      <c r="DH1863" s="36" t="s">
        <v>138</v>
      </c>
      <c r="DI1863" s="37" t="s">
        <v>138</v>
      </c>
      <c r="DJ1863" s="36" t="s">
        <v>138</v>
      </c>
      <c r="DK1863" s="37" t="s">
        <v>138</v>
      </c>
      <c r="DL1863" s="36" t="s">
        <v>138</v>
      </c>
      <c r="DM1863" s="37" t="s">
        <v>138</v>
      </c>
      <c r="DN1863" s="36" t="s">
        <v>138</v>
      </c>
      <c r="DO1863" s="37" t="s">
        <v>138</v>
      </c>
      <c r="DP1863" s="36" t="s">
        <v>138</v>
      </c>
      <c r="DQ1863" s="36" t="s">
        <v>138</v>
      </c>
      <c r="DR1863" s="38" t="s">
        <v>138</v>
      </c>
      <c r="DS1863" s="35" t="s">
        <v>138</v>
      </c>
      <c r="DT1863" s="36" t="s">
        <v>138</v>
      </c>
      <c r="DU1863" s="38" t="s">
        <v>138</v>
      </c>
      <c r="DV1863" s="35" t="s">
        <v>138</v>
      </c>
      <c r="DW1863" s="36">
        <v>2136</v>
      </c>
      <c r="DX1863" s="39">
        <v>3</v>
      </c>
      <c r="DY1863" s="35">
        <v>0.14000000000000001</v>
      </c>
      <c r="DZ1863" s="28" t="s">
        <v>178</v>
      </c>
      <c r="EA1863" s="34">
        <v>43551</v>
      </c>
      <c r="EB1863" s="29">
        <v>73.53</v>
      </c>
      <c r="EC1863" s="34">
        <v>42290</v>
      </c>
      <c r="ED1863" s="28" t="s">
        <v>173</v>
      </c>
      <c r="EE1863" s="40" t="str">
        <f>HYPERLINK("https://my.pitchbook.com?c=52935-31", "View company online")</f>
        <v>View company online</v>
      </c>
    </row>
    <row r="1864" spans="1:135">
      <c r="A1864" s="15" t="s">
        <v>35346</v>
      </c>
      <c r="B1864" s="15" t="s">
        <v>35347</v>
      </c>
      <c r="C1864" s="15" t="s">
        <v>35348</v>
      </c>
      <c r="D1864" s="15" t="s">
        <v>138</v>
      </c>
      <c r="E1864" s="15" t="s">
        <v>35349</v>
      </c>
      <c r="F1864" s="15" t="s">
        <v>35346</v>
      </c>
      <c r="G1864" s="15" t="s">
        <v>35350</v>
      </c>
      <c r="H1864" s="15" t="s">
        <v>322</v>
      </c>
      <c r="I1864" s="15" t="s">
        <v>323</v>
      </c>
      <c r="J1864" s="15" t="s">
        <v>413</v>
      </c>
      <c r="K1864" s="15" t="s">
        <v>2254</v>
      </c>
      <c r="L1864" s="15" t="s">
        <v>35351</v>
      </c>
      <c r="M1864" s="15" t="s">
        <v>35352</v>
      </c>
      <c r="N1864" s="15" t="s">
        <v>147</v>
      </c>
      <c r="O1864" s="17">
        <v>25.5</v>
      </c>
      <c r="P1864" s="15" t="s">
        <v>148</v>
      </c>
      <c r="Q1864" s="15" t="s">
        <v>149</v>
      </c>
      <c r="R1864" s="15" t="s">
        <v>174</v>
      </c>
      <c r="S1864" s="15" t="s">
        <v>35353</v>
      </c>
      <c r="T1864" s="18">
        <v>37</v>
      </c>
      <c r="U1864" s="15" t="s">
        <v>35354</v>
      </c>
      <c r="V1864" s="15" t="s">
        <v>138</v>
      </c>
      <c r="W1864" s="15" t="s">
        <v>138</v>
      </c>
      <c r="X1864" s="19">
        <v>2013</v>
      </c>
      <c r="Y1864" s="15" t="s">
        <v>138</v>
      </c>
      <c r="Z1864" s="15" t="s">
        <v>138</v>
      </c>
      <c r="AA1864" s="15" t="s">
        <v>138</v>
      </c>
      <c r="AB1864" s="20" t="s">
        <v>138</v>
      </c>
      <c r="AC1864" s="20" t="s">
        <v>138</v>
      </c>
      <c r="AD1864" s="20" t="s">
        <v>138</v>
      </c>
      <c r="AE1864" s="20" t="s">
        <v>138</v>
      </c>
      <c r="AF1864" s="20" t="s">
        <v>138</v>
      </c>
      <c r="AG1864" s="15" t="s">
        <v>138</v>
      </c>
      <c r="AH1864" s="20" t="s">
        <v>138</v>
      </c>
      <c r="AI1864" s="20" t="s">
        <v>138</v>
      </c>
      <c r="AJ1864" s="20" t="s">
        <v>138</v>
      </c>
      <c r="AK1864" s="15" t="s">
        <v>35355</v>
      </c>
      <c r="AL1864" s="15" t="s">
        <v>35356</v>
      </c>
      <c r="AM1864" s="15" t="s">
        <v>35357</v>
      </c>
      <c r="AN1864" s="15" t="s">
        <v>35358</v>
      </c>
      <c r="AO1864" s="15" t="s">
        <v>35359</v>
      </c>
      <c r="AP1864" s="15" t="s">
        <v>12063</v>
      </c>
      <c r="AQ1864" s="15" t="s">
        <v>35360</v>
      </c>
      <c r="AR1864" s="15" t="s">
        <v>138</v>
      </c>
      <c r="AS1864" s="15" t="s">
        <v>12065</v>
      </c>
      <c r="AT1864" s="15" t="s">
        <v>200</v>
      </c>
      <c r="AU1864" s="15" t="s">
        <v>12066</v>
      </c>
      <c r="AV1864" s="15" t="s">
        <v>162</v>
      </c>
      <c r="AW1864" s="15" t="s">
        <v>35359</v>
      </c>
      <c r="AX1864" s="15" t="s">
        <v>138</v>
      </c>
      <c r="AY1864" s="15" t="s">
        <v>35361</v>
      </c>
      <c r="AZ1864" s="15" t="s">
        <v>164</v>
      </c>
      <c r="BA1864" s="15" t="s">
        <v>165</v>
      </c>
      <c r="BB1864" s="15" t="s">
        <v>35362</v>
      </c>
      <c r="BC1864" s="15" t="s">
        <v>35363</v>
      </c>
      <c r="BD1864" s="21">
        <v>7</v>
      </c>
      <c r="BE1864" s="15" t="s">
        <v>138</v>
      </c>
      <c r="BF1864" s="15" t="s">
        <v>138</v>
      </c>
      <c r="BG1864" s="15" t="s">
        <v>138</v>
      </c>
      <c r="BH1864" s="15" t="s">
        <v>35364</v>
      </c>
      <c r="BI1864" s="15" t="s">
        <v>138</v>
      </c>
      <c r="BJ1864" s="15" t="s">
        <v>138</v>
      </c>
      <c r="BK1864" s="15" t="s">
        <v>35365</v>
      </c>
      <c r="BL1864" s="15" t="s">
        <v>35366</v>
      </c>
      <c r="BM1864" s="22">
        <v>42548</v>
      </c>
      <c r="BN1864" s="17">
        <v>7</v>
      </c>
      <c r="BO1864" s="15" t="s">
        <v>172</v>
      </c>
      <c r="BP1864" s="17">
        <v>19</v>
      </c>
      <c r="BQ1864" s="15" t="s">
        <v>172</v>
      </c>
      <c r="BR1864" s="15" t="s">
        <v>205</v>
      </c>
      <c r="BS1864" s="15" t="s">
        <v>206</v>
      </c>
      <c r="BT1864" s="15" t="s">
        <v>138</v>
      </c>
      <c r="BU1864" s="15" t="s">
        <v>174</v>
      </c>
      <c r="BV1864" s="15" t="s">
        <v>138</v>
      </c>
      <c r="BW1864" s="15" t="s">
        <v>138</v>
      </c>
      <c r="BX1864" s="15" t="s">
        <v>138</v>
      </c>
      <c r="BY1864" s="15" t="s">
        <v>175</v>
      </c>
      <c r="BZ1864" s="22">
        <v>43237</v>
      </c>
      <c r="CA1864" s="17">
        <v>18.5</v>
      </c>
      <c r="CB1864" s="15" t="s">
        <v>172</v>
      </c>
      <c r="CC1864" s="17">
        <v>98.5</v>
      </c>
      <c r="CD1864" s="15" t="s">
        <v>172</v>
      </c>
      <c r="CE1864" s="15" t="s">
        <v>205</v>
      </c>
      <c r="CF1864" s="15" t="s">
        <v>720</v>
      </c>
      <c r="CG1864" s="15" t="s">
        <v>138</v>
      </c>
      <c r="CH1864" s="15" t="s">
        <v>174</v>
      </c>
      <c r="CI1864" s="15" t="s">
        <v>138</v>
      </c>
      <c r="CJ1864" s="15" t="s">
        <v>138</v>
      </c>
      <c r="CK1864" s="15" t="s">
        <v>138</v>
      </c>
      <c r="CL1864" s="15" t="s">
        <v>175</v>
      </c>
      <c r="CM1864" s="22" t="s">
        <v>138</v>
      </c>
      <c r="CN1864" s="17" t="s">
        <v>138</v>
      </c>
      <c r="CO1864" s="23">
        <v>1.3</v>
      </c>
      <c r="CP1864" s="24">
        <v>98</v>
      </c>
      <c r="CQ1864" s="23">
        <v>0</v>
      </c>
      <c r="CR1864" s="23">
        <v>0.26</v>
      </c>
      <c r="CS1864" s="23">
        <v>2.98</v>
      </c>
      <c r="CT1864" s="24">
        <v>99</v>
      </c>
      <c r="CU1864" s="23">
        <v>0.56000000000000005</v>
      </c>
      <c r="CV1864" s="24">
        <v>94</v>
      </c>
      <c r="CW1864" s="23">
        <v>2.98</v>
      </c>
      <c r="CX1864" s="24">
        <v>91</v>
      </c>
      <c r="CY1864" s="23" t="s">
        <v>138</v>
      </c>
      <c r="CZ1864" s="24" t="s">
        <v>138</v>
      </c>
      <c r="DA1864" s="23">
        <v>1.08</v>
      </c>
      <c r="DB1864" s="24">
        <v>98</v>
      </c>
      <c r="DC1864" s="25">
        <v>1.59</v>
      </c>
      <c r="DD1864" s="24">
        <v>62</v>
      </c>
      <c r="DE1864" s="25">
        <v>-0.16</v>
      </c>
      <c r="DF1864" s="23">
        <v>-8.99</v>
      </c>
      <c r="DG1864" s="25">
        <v>3.78</v>
      </c>
      <c r="DH1864" s="24">
        <v>78</v>
      </c>
      <c r="DI1864" s="25">
        <v>0.93</v>
      </c>
      <c r="DJ1864" s="24">
        <v>48</v>
      </c>
      <c r="DK1864" s="25">
        <v>3.78</v>
      </c>
      <c r="DL1864" s="24">
        <v>75</v>
      </c>
      <c r="DM1864" s="25" t="s">
        <v>138</v>
      </c>
      <c r="DN1864" s="24" t="s">
        <v>138</v>
      </c>
      <c r="DO1864" s="25">
        <v>1.27</v>
      </c>
      <c r="DP1864" s="24">
        <v>55</v>
      </c>
      <c r="DQ1864" s="24">
        <v>1253</v>
      </c>
      <c r="DR1864" s="26">
        <v>132</v>
      </c>
      <c r="DS1864" s="23">
        <v>11.78</v>
      </c>
      <c r="DT1864" s="24" t="s">
        <v>138</v>
      </c>
      <c r="DU1864" s="26" t="s">
        <v>138</v>
      </c>
      <c r="DV1864" s="23" t="s">
        <v>138</v>
      </c>
      <c r="DW1864" s="24">
        <v>451</v>
      </c>
      <c r="DX1864" s="27">
        <v>4</v>
      </c>
      <c r="DY1864" s="23">
        <v>0.89</v>
      </c>
      <c r="DZ1864" s="15" t="s">
        <v>178</v>
      </c>
      <c r="EA1864" s="22">
        <v>43605</v>
      </c>
      <c r="EB1864" s="17">
        <v>98.5</v>
      </c>
      <c r="EC1864" s="22">
        <v>43237</v>
      </c>
      <c r="ED1864" s="15" t="s">
        <v>205</v>
      </c>
      <c r="EE1864" s="14" t="str">
        <f>HYPERLINK("https://my.pitchbook.com?c=124927-03", "View company online")</f>
        <v>View company online</v>
      </c>
    </row>
    <row r="1865" spans="1:135">
      <c r="A1865" s="28" t="s">
        <v>35367</v>
      </c>
      <c r="B1865" s="28" t="s">
        <v>35368</v>
      </c>
      <c r="C1865" s="28" t="s">
        <v>138</v>
      </c>
      <c r="D1865" s="28" t="s">
        <v>138</v>
      </c>
      <c r="E1865" s="28" t="s">
        <v>138</v>
      </c>
      <c r="F1865" s="28" t="s">
        <v>35367</v>
      </c>
      <c r="G1865" s="28" t="s">
        <v>35369</v>
      </c>
      <c r="H1865" s="28" t="s">
        <v>890</v>
      </c>
      <c r="I1865" s="28" t="s">
        <v>891</v>
      </c>
      <c r="J1865" s="28" t="s">
        <v>7528</v>
      </c>
      <c r="K1865" s="28" t="s">
        <v>35370</v>
      </c>
      <c r="L1865" s="28" t="s">
        <v>138</v>
      </c>
      <c r="M1865" s="28" t="s">
        <v>35371</v>
      </c>
      <c r="N1865" s="28" t="s">
        <v>147</v>
      </c>
      <c r="O1865" s="29">
        <v>12.5</v>
      </c>
      <c r="P1865" s="28" t="s">
        <v>148</v>
      </c>
      <c r="Q1865" s="28" t="s">
        <v>149</v>
      </c>
      <c r="R1865" s="28" t="s">
        <v>174</v>
      </c>
      <c r="S1865" s="28" t="s">
        <v>35372</v>
      </c>
      <c r="T1865" s="30">
        <v>21</v>
      </c>
      <c r="U1865" s="28" t="s">
        <v>35373</v>
      </c>
      <c r="V1865" s="28" t="s">
        <v>138</v>
      </c>
      <c r="W1865" s="28" t="s">
        <v>138</v>
      </c>
      <c r="X1865" s="31">
        <v>2011</v>
      </c>
      <c r="Y1865" s="28" t="s">
        <v>138</v>
      </c>
      <c r="Z1865" s="28" t="s">
        <v>138</v>
      </c>
      <c r="AA1865" s="28" t="s">
        <v>138</v>
      </c>
      <c r="AB1865" s="32" t="s">
        <v>138</v>
      </c>
      <c r="AC1865" s="32" t="s">
        <v>138</v>
      </c>
      <c r="AD1865" s="32" t="s">
        <v>138</v>
      </c>
      <c r="AE1865" s="32" t="s">
        <v>138</v>
      </c>
      <c r="AF1865" s="32" t="s">
        <v>138</v>
      </c>
      <c r="AG1865" s="28" t="s">
        <v>138</v>
      </c>
      <c r="AH1865" s="32" t="s">
        <v>138</v>
      </c>
      <c r="AI1865" s="32" t="s">
        <v>138</v>
      </c>
      <c r="AJ1865" s="32" t="s">
        <v>138</v>
      </c>
      <c r="AK1865" s="28" t="s">
        <v>35374</v>
      </c>
      <c r="AL1865" s="28" t="s">
        <v>35375</v>
      </c>
      <c r="AM1865" s="28" t="s">
        <v>35376</v>
      </c>
      <c r="AN1865" s="28" t="s">
        <v>35377</v>
      </c>
      <c r="AO1865" s="28" t="s">
        <v>35378</v>
      </c>
      <c r="AP1865" s="28" t="s">
        <v>1741</v>
      </c>
      <c r="AQ1865" s="28" t="s">
        <v>35379</v>
      </c>
      <c r="AR1865" s="28" t="s">
        <v>35380</v>
      </c>
      <c r="AS1865" s="28" t="s">
        <v>1744</v>
      </c>
      <c r="AT1865" s="28" t="s">
        <v>138</v>
      </c>
      <c r="AU1865" s="28" t="s">
        <v>1745</v>
      </c>
      <c r="AV1865" s="28" t="s">
        <v>1746</v>
      </c>
      <c r="AW1865" s="28" t="s">
        <v>35378</v>
      </c>
      <c r="AX1865" s="28" t="s">
        <v>35381</v>
      </c>
      <c r="AY1865" s="28" t="s">
        <v>35382</v>
      </c>
      <c r="AZ1865" s="28" t="s">
        <v>452</v>
      </c>
      <c r="BA1865" s="28" t="s">
        <v>1748</v>
      </c>
      <c r="BB1865" s="28" t="s">
        <v>35383</v>
      </c>
      <c r="BC1865" s="28" t="s">
        <v>35384</v>
      </c>
      <c r="BD1865" s="33">
        <v>5</v>
      </c>
      <c r="BE1865" s="28" t="s">
        <v>138</v>
      </c>
      <c r="BF1865" s="28" t="s">
        <v>138</v>
      </c>
      <c r="BG1865" s="28" t="s">
        <v>138</v>
      </c>
      <c r="BH1865" s="28" t="s">
        <v>35385</v>
      </c>
      <c r="BI1865" s="28" t="s">
        <v>138</v>
      </c>
      <c r="BJ1865" s="28" t="s">
        <v>138</v>
      </c>
      <c r="BK1865" s="28" t="s">
        <v>35386</v>
      </c>
      <c r="BL1865" s="28" t="s">
        <v>35386</v>
      </c>
      <c r="BM1865" s="34">
        <v>41423</v>
      </c>
      <c r="BN1865" s="29" t="s">
        <v>138</v>
      </c>
      <c r="BO1865" s="28" t="s">
        <v>138</v>
      </c>
      <c r="BP1865" s="29" t="s">
        <v>138</v>
      </c>
      <c r="BQ1865" s="28" t="s">
        <v>138</v>
      </c>
      <c r="BR1865" s="28" t="s">
        <v>205</v>
      </c>
      <c r="BS1865" s="28" t="s">
        <v>138</v>
      </c>
      <c r="BT1865" s="28" t="s">
        <v>138</v>
      </c>
      <c r="BU1865" s="28" t="s">
        <v>174</v>
      </c>
      <c r="BV1865" s="28" t="s">
        <v>138</v>
      </c>
      <c r="BW1865" s="28" t="s">
        <v>138</v>
      </c>
      <c r="BX1865" s="28" t="s">
        <v>138</v>
      </c>
      <c r="BY1865" s="28" t="s">
        <v>175</v>
      </c>
      <c r="BZ1865" s="34">
        <v>41904</v>
      </c>
      <c r="CA1865" s="29">
        <v>12.5</v>
      </c>
      <c r="CB1865" s="28" t="s">
        <v>172</v>
      </c>
      <c r="CC1865" s="29" t="s">
        <v>138</v>
      </c>
      <c r="CD1865" s="28" t="s">
        <v>138</v>
      </c>
      <c r="CE1865" s="28" t="s">
        <v>780</v>
      </c>
      <c r="CF1865" s="28" t="s">
        <v>780</v>
      </c>
      <c r="CG1865" s="28" t="s">
        <v>138</v>
      </c>
      <c r="CH1865" s="28" t="s">
        <v>780</v>
      </c>
      <c r="CI1865" s="28" t="s">
        <v>138</v>
      </c>
      <c r="CJ1865" s="28" t="s">
        <v>138</v>
      </c>
      <c r="CK1865" s="28" t="s">
        <v>138</v>
      </c>
      <c r="CL1865" s="28" t="s">
        <v>175</v>
      </c>
      <c r="CM1865" s="34" t="s">
        <v>138</v>
      </c>
      <c r="CN1865" s="29" t="s">
        <v>138</v>
      </c>
      <c r="CO1865" s="35">
        <v>0</v>
      </c>
      <c r="CP1865" s="36">
        <v>26</v>
      </c>
      <c r="CQ1865" s="35">
        <v>0</v>
      </c>
      <c r="CR1865" s="35">
        <v>0</v>
      </c>
      <c r="CS1865" s="35">
        <v>0</v>
      </c>
      <c r="CT1865" s="36">
        <v>23</v>
      </c>
      <c r="CU1865" s="35">
        <v>0</v>
      </c>
      <c r="CV1865" s="36">
        <v>22</v>
      </c>
      <c r="CW1865" s="35" t="s">
        <v>138</v>
      </c>
      <c r="CX1865" s="36" t="s">
        <v>138</v>
      </c>
      <c r="CY1865" s="35">
        <v>0</v>
      </c>
      <c r="CZ1865" s="36">
        <v>25</v>
      </c>
      <c r="DA1865" s="35">
        <v>0</v>
      </c>
      <c r="DB1865" s="36">
        <v>22</v>
      </c>
      <c r="DC1865" s="37">
        <v>1.67</v>
      </c>
      <c r="DD1865" s="36">
        <v>63</v>
      </c>
      <c r="DE1865" s="37">
        <v>0.02</v>
      </c>
      <c r="DF1865" s="35">
        <v>1.22</v>
      </c>
      <c r="DG1865" s="37">
        <v>2.31</v>
      </c>
      <c r="DH1865" s="36">
        <v>70</v>
      </c>
      <c r="DI1865" s="37">
        <v>1.03</v>
      </c>
      <c r="DJ1865" s="36">
        <v>50</v>
      </c>
      <c r="DK1865" s="37" t="s">
        <v>138</v>
      </c>
      <c r="DL1865" s="36" t="s">
        <v>138</v>
      </c>
      <c r="DM1865" s="37">
        <v>2.31</v>
      </c>
      <c r="DN1865" s="36">
        <v>68</v>
      </c>
      <c r="DO1865" s="37">
        <v>1.03</v>
      </c>
      <c r="DP1865" s="36">
        <v>51</v>
      </c>
      <c r="DQ1865" s="36" t="s">
        <v>138</v>
      </c>
      <c r="DR1865" s="38" t="s">
        <v>138</v>
      </c>
      <c r="DS1865" s="35" t="s">
        <v>138</v>
      </c>
      <c r="DT1865" s="36">
        <v>66</v>
      </c>
      <c r="DU1865" s="38">
        <v>0</v>
      </c>
      <c r="DV1865" s="35">
        <v>0</v>
      </c>
      <c r="DW1865" s="36">
        <v>369</v>
      </c>
      <c r="DX1865" s="39">
        <v>1</v>
      </c>
      <c r="DY1865" s="35">
        <v>0.27</v>
      </c>
      <c r="DZ1865" s="28" t="s">
        <v>178</v>
      </c>
      <c r="EA1865" s="34">
        <v>43351</v>
      </c>
      <c r="EB1865" s="29" t="s">
        <v>138</v>
      </c>
      <c r="EC1865" s="34" t="s">
        <v>138</v>
      </c>
      <c r="ED1865" s="28" t="s">
        <v>138</v>
      </c>
      <c r="EE1865" s="40" t="str">
        <f>HYPERLINK("https://my.pitchbook.com?c=57270-34", "View company online")</f>
        <v>View company online</v>
      </c>
    </row>
    <row r="1866" spans="1:135">
      <c r="A1866" s="15" t="s">
        <v>35387</v>
      </c>
      <c r="B1866" s="15" t="s">
        <v>35388</v>
      </c>
      <c r="C1866" s="15" t="s">
        <v>138</v>
      </c>
      <c r="D1866" s="15" t="s">
        <v>138</v>
      </c>
      <c r="E1866" s="15" t="s">
        <v>35389</v>
      </c>
      <c r="F1866" s="15" t="s">
        <v>35387</v>
      </c>
      <c r="G1866" s="15" t="s">
        <v>35390</v>
      </c>
      <c r="H1866" s="15" t="s">
        <v>385</v>
      </c>
      <c r="I1866" s="15" t="s">
        <v>1991</v>
      </c>
      <c r="J1866" s="15" t="s">
        <v>4454</v>
      </c>
      <c r="K1866" s="15" t="s">
        <v>33691</v>
      </c>
      <c r="L1866" s="15" t="s">
        <v>1994</v>
      </c>
      <c r="M1866" s="15" t="s">
        <v>35391</v>
      </c>
      <c r="N1866" s="15" t="s">
        <v>147</v>
      </c>
      <c r="O1866" s="17">
        <v>36</v>
      </c>
      <c r="P1866" s="15" t="s">
        <v>148</v>
      </c>
      <c r="Q1866" s="15" t="s">
        <v>149</v>
      </c>
      <c r="R1866" s="15" t="s">
        <v>174</v>
      </c>
      <c r="S1866" s="15" t="s">
        <v>35392</v>
      </c>
      <c r="T1866" s="18">
        <v>32</v>
      </c>
      <c r="U1866" s="15" t="s">
        <v>35393</v>
      </c>
      <c r="V1866" s="15" t="s">
        <v>138</v>
      </c>
      <c r="W1866" s="15" t="s">
        <v>138</v>
      </c>
      <c r="X1866" s="19">
        <v>2013</v>
      </c>
      <c r="Y1866" s="15" t="s">
        <v>138</v>
      </c>
      <c r="Z1866" s="15" t="s">
        <v>138</v>
      </c>
      <c r="AA1866" s="15" t="s">
        <v>138</v>
      </c>
      <c r="AB1866" s="20" t="s">
        <v>138</v>
      </c>
      <c r="AC1866" s="20" t="s">
        <v>138</v>
      </c>
      <c r="AD1866" s="20" t="s">
        <v>138</v>
      </c>
      <c r="AE1866" s="20" t="s">
        <v>138</v>
      </c>
      <c r="AF1866" s="20" t="s">
        <v>138</v>
      </c>
      <c r="AG1866" s="15" t="s">
        <v>138</v>
      </c>
      <c r="AH1866" s="20" t="s">
        <v>138</v>
      </c>
      <c r="AI1866" s="20" t="s">
        <v>138</v>
      </c>
      <c r="AJ1866" s="20" t="s">
        <v>138</v>
      </c>
      <c r="AK1866" s="15" t="s">
        <v>35394</v>
      </c>
      <c r="AL1866" s="15" t="s">
        <v>35395</v>
      </c>
      <c r="AM1866" s="15" t="s">
        <v>304</v>
      </c>
      <c r="AN1866" s="15" t="s">
        <v>35396</v>
      </c>
      <c r="AO1866" s="15" t="s">
        <v>35397</v>
      </c>
      <c r="AP1866" s="15" t="s">
        <v>2819</v>
      </c>
      <c r="AQ1866" s="15" t="s">
        <v>35398</v>
      </c>
      <c r="AR1866" s="15" t="s">
        <v>309</v>
      </c>
      <c r="AS1866" s="15" t="s">
        <v>284</v>
      </c>
      <c r="AT1866" s="15" t="s">
        <v>2822</v>
      </c>
      <c r="AU1866" s="15" t="s">
        <v>26898</v>
      </c>
      <c r="AV1866" s="15" t="s">
        <v>162</v>
      </c>
      <c r="AW1866" s="15" t="s">
        <v>35397</v>
      </c>
      <c r="AX1866" s="15" t="s">
        <v>138</v>
      </c>
      <c r="AY1866" s="15" t="s">
        <v>35399</v>
      </c>
      <c r="AZ1866" s="15" t="s">
        <v>164</v>
      </c>
      <c r="BA1866" s="15" t="s">
        <v>165</v>
      </c>
      <c r="BB1866" s="15" t="s">
        <v>35400</v>
      </c>
      <c r="BC1866" s="15" t="s">
        <v>35401</v>
      </c>
      <c r="BD1866" s="21">
        <v>19</v>
      </c>
      <c r="BE1866" s="15" t="s">
        <v>138</v>
      </c>
      <c r="BF1866" s="15" t="s">
        <v>138</v>
      </c>
      <c r="BG1866" s="15" t="s">
        <v>138</v>
      </c>
      <c r="BH1866" s="15" t="s">
        <v>35402</v>
      </c>
      <c r="BI1866" s="15" t="s">
        <v>138</v>
      </c>
      <c r="BJ1866" s="15" t="s">
        <v>138</v>
      </c>
      <c r="BK1866" s="15" t="s">
        <v>5056</v>
      </c>
      <c r="BL1866" s="15" t="s">
        <v>1691</v>
      </c>
      <c r="BM1866" s="22">
        <v>41883</v>
      </c>
      <c r="BN1866" s="17">
        <v>0.5</v>
      </c>
      <c r="BO1866" s="15" t="s">
        <v>172</v>
      </c>
      <c r="BP1866" s="17" t="s">
        <v>138</v>
      </c>
      <c r="BQ1866" s="15" t="s">
        <v>138</v>
      </c>
      <c r="BR1866" s="15" t="s">
        <v>262</v>
      </c>
      <c r="BS1866" s="15" t="s">
        <v>262</v>
      </c>
      <c r="BT1866" s="15" t="s">
        <v>138</v>
      </c>
      <c r="BU1866" s="15" t="s">
        <v>263</v>
      </c>
      <c r="BV1866" s="15" t="s">
        <v>138</v>
      </c>
      <c r="BW1866" s="15" t="s">
        <v>138</v>
      </c>
      <c r="BX1866" s="15" t="s">
        <v>138</v>
      </c>
      <c r="BY1866" s="15" t="s">
        <v>175</v>
      </c>
      <c r="BZ1866" s="22">
        <v>43327</v>
      </c>
      <c r="CA1866" s="17">
        <v>25</v>
      </c>
      <c r="CB1866" s="15" t="s">
        <v>172</v>
      </c>
      <c r="CC1866" s="17" t="s">
        <v>138</v>
      </c>
      <c r="CD1866" s="15" t="s">
        <v>138</v>
      </c>
      <c r="CE1866" s="15" t="s">
        <v>205</v>
      </c>
      <c r="CF1866" s="15" t="s">
        <v>720</v>
      </c>
      <c r="CG1866" s="15" t="s">
        <v>138</v>
      </c>
      <c r="CH1866" s="15" t="s">
        <v>174</v>
      </c>
      <c r="CI1866" s="15" t="s">
        <v>138</v>
      </c>
      <c r="CJ1866" s="15" t="s">
        <v>138</v>
      </c>
      <c r="CK1866" s="15" t="s">
        <v>138</v>
      </c>
      <c r="CL1866" s="15" t="s">
        <v>175</v>
      </c>
      <c r="CM1866" s="22" t="s">
        <v>138</v>
      </c>
      <c r="CN1866" s="17" t="s">
        <v>138</v>
      </c>
      <c r="CO1866" s="23">
        <v>1.5</v>
      </c>
      <c r="CP1866" s="24">
        <v>98</v>
      </c>
      <c r="CQ1866" s="23">
        <v>-0.14000000000000001</v>
      </c>
      <c r="CR1866" s="23">
        <v>-8.66</v>
      </c>
      <c r="CS1866" s="23">
        <v>2.3199999999999998</v>
      </c>
      <c r="CT1866" s="24">
        <v>99</v>
      </c>
      <c r="CU1866" s="23">
        <v>0.69</v>
      </c>
      <c r="CV1866" s="24">
        <v>96</v>
      </c>
      <c r="CW1866" s="23">
        <v>5.7</v>
      </c>
      <c r="CX1866" s="24">
        <v>96</v>
      </c>
      <c r="CY1866" s="23">
        <v>-1.07</v>
      </c>
      <c r="CZ1866" s="24">
        <v>18</v>
      </c>
      <c r="DA1866" s="23">
        <v>0.69</v>
      </c>
      <c r="DB1866" s="24">
        <v>96</v>
      </c>
      <c r="DC1866" s="25">
        <v>79.010000000000005</v>
      </c>
      <c r="DD1866" s="24">
        <v>99</v>
      </c>
      <c r="DE1866" s="25">
        <v>-8.89</v>
      </c>
      <c r="DF1866" s="23">
        <v>-10.11</v>
      </c>
      <c r="DG1866" s="25">
        <v>151.78</v>
      </c>
      <c r="DH1866" s="24">
        <v>100</v>
      </c>
      <c r="DI1866" s="25">
        <v>6.24</v>
      </c>
      <c r="DJ1866" s="24">
        <v>80</v>
      </c>
      <c r="DK1866" s="25">
        <v>277.29000000000002</v>
      </c>
      <c r="DL1866" s="24">
        <v>99</v>
      </c>
      <c r="DM1866" s="25">
        <v>26.28</v>
      </c>
      <c r="DN1866" s="24">
        <v>96</v>
      </c>
      <c r="DO1866" s="25">
        <v>6.24</v>
      </c>
      <c r="DP1866" s="24">
        <v>82</v>
      </c>
      <c r="DQ1866" s="24">
        <v>93113</v>
      </c>
      <c r="DR1866" s="26">
        <v>5985</v>
      </c>
      <c r="DS1866" s="23">
        <v>6.87</v>
      </c>
      <c r="DT1866" s="24">
        <v>762</v>
      </c>
      <c r="DU1866" s="26">
        <v>0</v>
      </c>
      <c r="DV1866" s="23">
        <v>0</v>
      </c>
      <c r="DW1866" s="24">
        <v>2233</v>
      </c>
      <c r="DX1866" s="27">
        <v>8</v>
      </c>
      <c r="DY1866" s="23">
        <v>0.36</v>
      </c>
      <c r="DZ1866" s="15" t="s">
        <v>178</v>
      </c>
      <c r="EA1866" s="22">
        <v>43504</v>
      </c>
      <c r="EB1866" s="17">
        <v>20</v>
      </c>
      <c r="EC1866" s="22">
        <v>42880</v>
      </c>
      <c r="ED1866" s="15" t="s">
        <v>205</v>
      </c>
      <c r="EE1866" s="14" t="str">
        <f>HYPERLINK("https://my.pitchbook.com?c=100885-24", "View company online")</f>
        <v>View company online</v>
      </c>
    </row>
    <row r="1867" spans="1:135">
      <c r="A1867" s="28" t="s">
        <v>35403</v>
      </c>
      <c r="B1867" s="28" t="s">
        <v>35404</v>
      </c>
      <c r="C1867" s="28" t="s">
        <v>35405</v>
      </c>
      <c r="D1867" s="28" t="s">
        <v>138</v>
      </c>
      <c r="E1867" s="28" t="s">
        <v>35406</v>
      </c>
      <c r="F1867" s="28" t="s">
        <v>35403</v>
      </c>
      <c r="G1867" s="28" t="s">
        <v>35407</v>
      </c>
      <c r="H1867" s="28" t="s">
        <v>141</v>
      </c>
      <c r="I1867" s="28" t="s">
        <v>212</v>
      </c>
      <c r="J1867" s="28" t="s">
        <v>213</v>
      </c>
      <c r="K1867" s="28" t="s">
        <v>12744</v>
      </c>
      <c r="L1867" s="28" t="s">
        <v>215</v>
      </c>
      <c r="M1867" s="28" t="s">
        <v>35408</v>
      </c>
      <c r="N1867" s="28" t="s">
        <v>147</v>
      </c>
      <c r="O1867" s="29">
        <v>52.33</v>
      </c>
      <c r="P1867" s="28" t="s">
        <v>148</v>
      </c>
      <c r="Q1867" s="28" t="s">
        <v>149</v>
      </c>
      <c r="R1867" s="28" t="s">
        <v>174</v>
      </c>
      <c r="S1867" s="28" t="s">
        <v>35409</v>
      </c>
      <c r="T1867" s="30">
        <v>51</v>
      </c>
      <c r="U1867" s="28" t="s">
        <v>35410</v>
      </c>
      <c r="V1867" s="28" t="s">
        <v>138</v>
      </c>
      <c r="W1867" s="28" t="s">
        <v>138</v>
      </c>
      <c r="X1867" s="31">
        <v>2000</v>
      </c>
      <c r="Y1867" s="28" t="s">
        <v>138</v>
      </c>
      <c r="Z1867" s="28" t="s">
        <v>138</v>
      </c>
      <c r="AA1867" s="28" t="s">
        <v>138</v>
      </c>
      <c r="AB1867" s="32" t="s">
        <v>138</v>
      </c>
      <c r="AC1867" s="32" t="s">
        <v>138</v>
      </c>
      <c r="AD1867" s="32" t="s">
        <v>138</v>
      </c>
      <c r="AE1867" s="32" t="s">
        <v>138</v>
      </c>
      <c r="AF1867" s="32" t="s">
        <v>138</v>
      </c>
      <c r="AG1867" s="28" t="s">
        <v>138</v>
      </c>
      <c r="AH1867" s="32" t="s">
        <v>138</v>
      </c>
      <c r="AI1867" s="32" t="s">
        <v>138</v>
      </c>
      <c r="AJ1867" s="32" t="s">
        <v>138</v>
      </c>
      <c r="AK1867" s="28" t="s">
        <v>35411</v>
      </c>
      <c r="AL1867" s="28" t="s">
        <v>35412</v>
      </c>
      <c r="AM1867" s="28" t="s">
        <v>249</v>
      </c>
      <c r="AN1867" s="28" t="s">
        <v>35413</v>
      </c>
      <c r="AO1867" s="28" t="s">
        <v>35414</v>
      </c>
      <c r="AP1867" s="28" t="s">
        <v>665</v>
      </c>
      <c r="AQ1867" s="28" t="s">
        <v>35415</v>
      </c>
      <c r="AR1867" s="28" t="s">
        <v>3180</v>
      </c>
      <c r="AS1867" s="28" t="s">
        <v>668</v>
      </c>
      <c r="AT1867" s="28" t="s">
        <v>200</v>
      </c>
      <c r="AU1867" s="28" t="s">
        <v>1893</v>
      </c>
      <c r="AV1867" s="28" t="s">
        <v>162</v>
      </c>
      <c r="AW1867" s="28" t="s">
        <v>35414</v>
      </c>
      <c r="AX1867" s="28" t="s">
        <v>35416</v>
      </c>
      <c r="AY1867" s="28" t="s">
        <v>35417</v>
      </c>
      <c r="AZ1867" s="28" t="s">
        <v>164</v>
      </c>
      <c r="BA1867" s="28" t="s">
        <v>165</v>
      </c>
      <c r="BB1867" s="28" t="s">
        <v>35418</v>
      </c>
      <c r="BC1867" s="28" t="s">
        <v>35419</v>
      </c>
      <c r="BD1867" s="33">
        <v>12</v>
      </c>
      <c r="BE1867" s="28" t="s">
        <v>138</v>
      </c>
      <c r="BF1867" s="28" t="s">
        <v>35420</v>
      </c>
      <c r="BG1867" s="28" t="s">
        <v>138</v>
      </c>
      <c r="BH1867" s="28" t="s">
        <v>35421</v>
      </c>
      <c r="BI1867" s="28" t="s">
        <v>35422</v>
      </c>
      <c r="BJ1867" s="28" t="s">
        <v>138</v>
      </c>
      <c r="BK1867" s="28" t="s">
        <v>138</v>
      </c>
      <c r="BL1867" s="28" t="s">
        <v>138</v>
      </c>
      <c r="BM1867" s="34">
        <v>36708</v>
      </c>
      <c r="BN1867" s="29" t="s">
        <v>138</v>
      </c>
      <c r="BO1867" s="28" t="s">
        <v>138</v>
      </c>
      <c r="BP1867" s="29" t="s">
        <v>138</v>
      </c>
      <c r="BQ1867" s="28" t="s">
        <v>138</v>
      </c>
      <c r="BR1867" s="28" t="s">
        <v>234</v>
      </c>
      <c r="BS1867" s="28" t="s">
        <v>234</v>
      </c>
      <c r="BT1867" s="28" t="s">
        <v>138</v>
      </c>
      <c r="BU1867" s="28" t="s">
        <v>263</v>
      </c>
      <c r="BV1867" s="28" t="s">
        <v>138</v>
      </c>
      <c r="BW1867" s="28" t="s">
        <v>138</v>
      </c>
      <c r="BX1867" s="28" t="s">
        <v>138</v>
      </c>
      <c r="BY1867" s="28" t="s">
        <v>175</v>
      </c>
      <c r="BZ1867" s="34">
        <v>41132</v>
      </c>
      <c r="CA1867" s="29">
        <v>3.86</v>
      </c>
      <c r="CB1867" s="28" t="s">
        <v>172</v>
      </c>
      <c r="CC1867" s="29">
        <v>90.45</v>
      </c>
      <c r="CD1867" s="28" t="s">
        <v>172</v>
      </c>
      <c r="CE1867" s="28" t="s">
        <v>173</v>
      </c>
      <c r="CF1867" s="28" t="s">
        <v>433</v>
      </c>
      <c r="CG1867" s="28" t="s">
        <v>138</v>
      </c>
      <c r="CH1867" s="28" t="s">
        <v>174</v>
      </c>
      <c r="CI1867" s="28" t="s">
        <v>138</v>
      </c>
      <c r="CJ1867" s="28" t="s">
        <v>138</v>
      </c>
      <c r="CK1867" s="28" t="s">
        <v>138</v>
      </c>
      <c r="CL1867" s="28" t="s">
        <v>175</v>
      </c>
      <c r="CM1867" s="34" t="s">
        <v>138</v>
      </c>
      <c r="CN1867" s="29" t="s">
        <v>138</v>
      </c>
      <c r="CO1867" s="35">
        <v>-0.53</v>
      </c>
      <c r="CP1867" s="36">
        <v>16</v>
      </c>
      <c r="CQ1867" s="35">
        <v>0.13</v>
      </c>
      <c r="CR1867" s="35">
        <v>19.190000000000001</v>
      </c>
      <c r="CS1867" s="35">
        <v>-1.03</v>
      </c>
      <c r="CT1867" s="36">
        <v>15</v>
      </c>
      <c r="CU1867" s="35">
        <v>-0.04</v>
      </c>
      <c r="CV1867" s="36">
        <v>12</v>
      </c>
      <c r="CW1867" s="35" t="s">
        <v>138</v>
      </c>
      <c r="CX1867" s="36" t="s">
        <v>138</v>
      </c>
      <c r="CY1867" s="35">
        <v>-1.03</v>
      </c>
      <c r="CZ1867" s="36">
        <v>19</v>
      </c>
      <c r="DA1867" s="35">
        <v>-0.08</v>
      </c>
      <c r="DB1867" s="36">
        <v>8</v>
      </c>
      <c r="DC1867" s="37">
        <v>6.58</v>
      </c>
      <c r="DD1867" s="36">
        <v>86</v>
      </c>
      <c r="DE1867" s="37">
        <v>0.03</v>
      </c>
      <c r="DF1867" s="35">
        <v>0.39</v>
      </c>
      <c r="DG1867" s="37">
        <v>6.21</v>
      </c>
      <c r="DH1867" s="36">
        <v>85</v>
      </c>
      <c r="DI1867" s="37">
        <v>6.96</v>
      </c>
      <c r="DJ1867" s="36">
        <v>81</v>
      </c>
      <c r="DK1867" s="37" t="s">
        <v>138</v>
      </c>
      <c r="DL1867" s="36" t="s">
        <v>138</v>
      </c>
      <c r="DM1867" s="37">
        <v>6.21</v>
      </c>
      <c r="DN1867" s="36">
        <v>84</v>
      </c>
      <c r="DO1867" s="37">
        <v>13.86</v>
      </c>
      <c r="DP1867" s="36">
        <v>90</v>
      </c>
      <c r="DQ1867" s="36" t="s">
        <v>138</v>
      </c>
      <c r="DR1867" s="38" t="s">
        <v>138</v>
      </c>
      <c r="DS1867" s="35" t="s">
        <v>138</v>
      </c>
      <c r="DT1867" s="36">
        <v>180</v>
      </c>
      <c r="DU1867" s="38">
        <v>1</v>
      </c>
      <c r="DV1867" s="35">
        <v>0.56000000000000005</v>
      </c>
      <c r="DW1867" s="36">
        <v>4958</v>
      </c>
      <c r="DX1867" s="39">
        <v>3</v>
      </c>
      <c r="DY1867" s="35">
        <v>0.06</v>
      </c>
      <c r="DZ1867" s="28" t="s">
        <v>178</v>
      </c>
      <c r="EA1867" s="34">
        <v>43622</v>
      </c>
      <c r="EB1867" s="29">
        <v>90.45</v>
      </c>
      <c r="EC1867" s="34">
        <v>41132</v>
      </c>
      <c r="ED1867" s="28" t="s">
        <v>173</v>
      </c>
      <c r="EE1867" s="40" t="str">
        <f>HYPERLINK("https://my.pitchbook.com?c=54770-86", "View company online")</f>
        <v>View company online</v>
      </c>
    </row>
    <row r="1868" spans="1:135">
      <c r="A1868" s="15" t="s">
        <v>35423</v>
      </c>
      <c r="B1868" s="15" t="s">
        <v>35424</v>
      </c>
      <c r="C1868" s="15" t="s">
        <v>138</v>
      </c>
      <c r="D1868" s="15" t="s">
        <v>138</v>
      </c>
      <c r="E1868" s="15" t="s">
        <v>138</v>
      </c>
      <c r="F1868" s="15" t="s">
        <v>35423</v>
      </c>
      <c r="G1868" s="15" t="s">
        <v>35425</v>
      </c>
      <c r="H1868" s="15" t="s">
        <v>141</v>
      </c>
      <c r="I1868" s="15" t="s">
        <v>142</v>
      </c>
      <c r="J1868" s="15" t="s">
        <v>143</v>
      </c>
      <c r="K1868" s="15" t="s">
        <v>144</v>
      </c>
      <c r="L1868" s="15" t="s">
        <v>560</v>
      </c>
      <c r="M1868" s="15" t="s">
        <v>35426</v>
      </c>
      <c r="N1868" s="15" t="s">
        <v>147</v>
      </c>
      <c r="O1868" s="17">
        <v>40.85</v>
      </c>
      <c r="P1868" s="15" t="s">
        <v>610</v>
      </c>
      <c r="Q1868" s="15" t="s">
        <v>149</v>
      </c>
      <c r="R1868" s="15" t="s">
        <v>13858</v>
      </c>
      <c r="S1868" s="15" t="s">
        <v>35427</v>
      </c>
      <c r="T1868" s="18">
        <v>250</v>
      </c>
      <c r="U1868" s="15" t="s">
        <v>35428</v>
      </c>
      <c r="V1868" s="15" t="s">
        <v>138</v>
      </c>
      <c r="W1868" s="15" t="s">
        <v>138</v>
      </c>
      <c r="X1868" s="19">
        <v>2014</v>
      </c>
      <c r="Y1868" s="15" t="s">
        <v>138</v>
      </c>
      <c r="Z1868" s="15" t="s">
        <v>138</v>
      </c>
      <c r="AA1868" s="15" t="s">
        <v>138</v>
      </c>
      <c r="AB1868" s="20" t="s">
        <v>138</v>
      </c>
      <c r="AC1868" s="20" t="s">
        <v>138</v>
      </c>
      <c r="AD1868" s="20" t="s">
        <v>138</v>
      </c>
      <c r="AE1868" s="20" t="s">
        <v>138</v>
      </c>
      <c r="AF1868" s="20" t="s">
        <v>138</v>
      </c>
      <c r="AG1868" s="15" t="s">
        <v>138</v>
      </c>
      <c r="AH1868" s="20" t="s">
        <v>138</v>
      </c>
      <c r="AI1868" s="20" t="s">
        <v>138</v>
      </c>
      <c r="AJ1868" s="20" t="s">
        <v>138</v>
      </c>
      <c r="AK1868" s="15" t="s">
        <v>35429</v>
      </c>
      <c r="AL1868" s="15" t="s">
        <v>35430</v>
      </c>
      <c r="AM1868" s="15" t="s">
        <v>35431</v>
      </c>
      <c r="AN1868" s="15" t="s">
        <v>35432</v>
      </c>
      <c r="AO1868" s="15" t="s">
        <v>35433</v>
      </c>
      <c r="AP1868" s="15" t="s">
        <v>2002</v>
      </c>
      <c r="AQ1868" s="15" t="s">
        <v>35434</v>
      </c>
      <c r="AR1868" s="15" t="s">
        <v>2390</v>
      </c>
      <c r="AS1868" s="15" t="s">
        <v>2005</v>
      </c>
      <c r="AT1868" s="15" t="s">
        <v>200</v>
      </c>
      <c r="AU1868" s="15" t="s">
        <v>2006</v>
      </c>
      <c r="AV1868" s="15" t="s">
        <v>162</v>
      </c>
      <c r="AW1868" s="15" t="s">
        <v>35433</v>
      </c>
      <c r="AX1868" s="15" t="s">
        <v>138</v>
      </c>
      <c r="AY1868" s="15" t="s">
        <v>35435</v>
      </c>
      <c r="AZ1868" s="15" t="s">
        <v>164</v>
      </c>
      <c r="BA1868" s="15" t="s">
        <v>165</v>
      </c>
      <c r="BB1868" s="15" t="s">
        <v>35436</v>
      </c>
      <c r="BC1868" s="15" t="s">
        <v>35437</v>
      </c>
      <c r="BD1868" s="21">
        <v>9</v>
      </c>
      <c r="BE1868" s="15" t="s">
        <v>138</v>
      </c>
      <c r="BF1868" s="15" t="s">
        <v>35438</v>
      </c>
      <c r="BG1868" s="15" t="s">
        <v>138</v>
      </c>
      <c r="BH1868" s="15" t="s">
        <v>35439</v>
      </c>
      <c r="BI1868" s="15" t="s">
        <v>35440</v>
      </c>
      <c r="BJ1868" s="15" t="s">
        <v>138</v>
      </c>
      <c r="BK1868" s="15" t="s">
        <v>138</v>
      </c>
      <c r="BL1868" s="15" t="s">
        <v>35441</v>
      </c>
      <c r="BM1868" s="22">
        <v>41799</v>
      </c>
      <c r="BN1868" s="17">
        <v>1.85</v>
      </c>
      <c r="BO1868" s="15" t="s">
        <v>172</v>
      </c>
      <c r="BP1868" s="17" t="s">
        <v>138</v>
      </c>
      <c r="BQ1868" s="15" t="s">
        <v>138</v>
      </c>
      <c r="BR1868" s="15" t="s">
        <v>780</v>
      </c>
      <c r="BS1868" s="15" t="s">
        <v>780</v>
      </c>
      <c r="BT1868" s="15" t="s">
        <v>138</v>
      </c>
      <c r="BU1868" s="15" t="s">
        <v>780</v>
      </c>
      <c r="BV1868" s="15" t="s">
        <v>138</v>
      </c>
      <c r="BW1868" s="15" t="s">
        <v>138</v>
      </c>
      <c r="BX1868" s="15" t="s">
        <v>138</v>
      </c>
      <c r="BY1868" s="15" t="s">
        <v>175</v>
      </c>
      <c r="BZ1868" s="22">
        <v>43045</v>
      </c>
      <c r="CA1868" s="17">
        <v>26</v>
      </c>
      <c r="CB1868" s="15" t="s">
        <v>172</v>
      </c>
      <c r="CC1868" s="17" t="s">
        <v>138</v>
      </c>
      <c r="CD1868" s="15" t="s">
        <v>138</v>
      </c>
      <c r="CE1868" s="15" t="s">
        <v>205</v>
      </c>
      <c r="CF1868" s="15" t="s">
        <v>138</v>
      </c>
      <c r="CG1868" s="15" t="s">
        <v>138</v>
      </c>
      <c r="CH1868" s="15" t="s">
        <v>174</v>
      </c>
      <c r="CI1868" s="15" t="s">
        <v>138</v>
      </c>
      <c r="CJ1868" s="15" t="s">
        <v>138</v>
      </c>
      <c r="CK1868" s="15" t="s">
        <v>138</v>
      </c>
      <c r="CL1868" s="15" t="s">
        <v>175</v>
      </c>
      <c r="CM1868" s="22">
        <v>42271</v>
      </c>
      <c r="CN1868" s="17">
        <v>13</v>
      </c>
      <c r="CO1868" s="23">
        <v>0.18</v>
      </c>
      <c r="CP1868" s="24">
        <v>92</v>
      </c>
      <c r="CQ1868" s="23">
        <v>-0.02</v>
      </c>
      <c r="CR1868" s="23">
        <v>-7.68</v>
      </c>
      <c r="CS1868" s="23" t="s">
        <v>138</v>
      </c>
      <c r="CT1868" s="24" t="s">
        <v>138</v>
      </c>
      <c r="CU1868" s="23">
        <v>0.18</v>
      </c>
      <c r="CV1868" s="24">
        <v>78</v>
      </c>
      <c r="CW1868" s="23" t="s">
        <v>138</v>
      </c>
      <c r="CX1868" s="24" t="s">
        <v>138</v>
      </c>
      <c r="CY1868" s="23" t="s">
        <v>138</v>
      </c>
      <c r="CZ1868" s="24" t="s">
        <v>138</v>
      </c>
      <c r="DA1868" s="23">
        <v>0.36</v>
      </c>
      <c r="DB1868" s="24">
        <v>91</v>
      </c>
      <c r="DC1868" s="25">
        <v>0.69</v>
      </c>
      <c r="DD1868" s="24">
        <v>42</v>
      </c>
      <c r="DE1868" s="25">
        <v>0</v>
      </c>
      <c r="DF1868" s="23">
        <v>0.72</v>
      </c>
      <c r="DG1868" s="25" t="s">
        <v>138</v>
      </c>
      <c r="DH1868" s="24" t="s">
        <v>138</v>
      </c>
      <c r="DI1868" s="25">
        <v>0.69</v>
      </c>
      <c r="DJ1868" s="24">
        <v>42</v>
      </c>
      <c r="DK1868" s="25" t="s">
        <v>138</v>
      </c>
      <c r="DL1868" s="24" t="s">
        <v>138</v>
      </c>
      <c r="DM1868" s="25" t="s">
        <v>138</v>
      </c>
      <c r="DN1868" s="24" t="s">
        <v>138</v>
      </c>
      <c r="DO1868" s="25">
        <v>1.28</v>
      </c>
      <c r="DP1868" s="24">
        <v>55</v>
      </c>
      <c r="DQ1868" s="24">
        <v>70</v>
      </c>
      <c r="DR1868" s="26">
        <v>-48</v>
      </c>
      <c r="DS1868" s="23">
        <v>-40.68</v>
      </c>
      <c r="DT1868" s="24" t="s">
        <v>138</v>
      </c>
      <c r="DU1868" s="26" t="s">
        <v>138</v>
      </c>
      <c r="DV1868" s="23" t="s">
        <v>138</v>
      </c>
      <c r="DW1868" s="24">
        <v>456</v>
      </c>
      <c r="DX1868" s="27">
        <v>2</v>
      </c>
      <c r="DY1868" s="23">
        <v>0.44</v>
      </c>
      <c r="DZ1868" s="15" t="s">
        <v>178</v>
      </c>
      <c r="EA1868" s="22">
        <v>43622</v>
      </c>
      <c r="EB1868" s="17" t="s">
        <v>138</v>
      </c>
      <c r="EC1868" s="22" t="s">
        <v>138</v>
      </c>
      <c r="ED1868" s="15" t="s">
        <v>138</v>
      </c>
      <c r="EE1868" s="14" t="str">
        <f>HYPERLINK("https://my.pitchbook.com?c=65340-91", "View company online")</f>
        <v>View company online</v>
      </c>
    </row>
    <row r="1869" spans="1:135">
      <c r="A1869" s="28" t="s">
        <v>35442</v>
      </c>
      <c r="B1869" s="28" t="s">
        <v>35443</v>
      </c>
      <c r="C1869" s="28" t="s">
        <v>138</v>
      </c>
      <c r="D1869" s="28" t="s">
        <v>138</v>
      </c>
      <c r="E1869" s="28" t="s">
        <v>138</v>
      </c>
      <c r="F1869" s="28" t="s">
        <v>35442</v>
      </c>
      <c r="G1869" s="28" t="s">
        <v>35444</v>
      </c>
      <c r="H1869" s="28" t="s">
        <v>322</v>
      </c>
      <c r="I1869" s="28" t="s">
        <v>1503</v>
      </c>
      <c r="J1869" s="28" t="s">
        <v>1504</v>
      </c>
      <c r="K1869" s="28" t="s">
        <v>35445</v>
      </c>
      <c r="L1869" s="28" t="s">
        <v>3490</v>
      </c>
      <c r="M1869" s="28" t="s">
        <v>35446</v>
      </c>
      <c r="N1869" s="28" t="s">
        <v>147</v>
      </c>
      <c r="O1869" s="29">
        <v>9.4600000000000009</v>
      </c>
      <c r="P1869" s="28" t="s">
        <v>148</v>
      </c>
      <c r="Q1869" s="28" t="s">
        <v>149</v>
      </c>
      <c r="R1869" s="28" t="s">
        <v>174</v>
      </c>
      <c r="S1869" s="28" t="s">
        <v>35447</v>
      </c>
      <c r="T1869" s="30" t="s">
        <v>138</v>
      </c>
      <c r="U1869" s="28" t="s">
        <v>138</v>
      </c>
      <c r="V1869" s="28" t="s">
        <v>138</v>
      </c>
      <c r="W1869" s="28" t="s">
        <v>138</v>
      </c>
      <c r="X1869" s="31" t="s">
        <v>138</v>
      </c>
      <c r="Y1869" s="28" t="s">
        <v>138</v>
      </c>
      <c r="Z1869" s="28" t="s">
        <v>138</v>
      </c>
      <c r="AA1869" s="28" t="s">
        <v>138</v>
      </c>
      <c r="AB1869" s="32" t="s">
        <v>138</v>
      </c>
      <c r="AC1869" s="32" t="s">
        <v>138</v>
      </c>
      <c r="AD1869" s="32" t="s">
        <v>138</v>
      </c>
      <c r="AE1869" s="32" t="s">
        <v>138</v>
      </c>
      <c r="AF1869" s="32" t="s">
        <v>138</v>
      </c>
      <c r="AG1869" s="28" t="s">
        <v>138</v>
      </c>
      <c r="AH1869" s="32" t="s">
        <v>138</v>
      </c>
      <c r="AI1869" s="32" t="s">
        <v>138</v>
      </c>
      <c r="AJ1869" s="32" t="s">
        <v>138</v>
      </c>
      <c r="AK1869" s="28" t="s">
        <v>35448</v>
      </c>
      <c r="AL1869" s="28" t="s">
        <v>35449</v>
      </c>
      <c r="AM1869" s="28" t="s">
        <v>4269</v>
      </c>
      <c r="AN1869" s="28" t="s">
        <v>138</v>
      </c>
      <c r="AO1869" s="28" t="s">
        <v>138</v>
      </c>
      <c r="AP1869" s="28" t="s">
        <v>446</v>
      </c>
      <c r="AQ1869" s="28" t="s">
        <v>35450</v>
      </c>
      <c r="AR1869" s="28" t="s">
        <v>35451</v>
      </c>
      <c r="AS1869" s="28" t="s">
        <v>449</v>
      </c>
      <c r="AT1869" s="28" t="s">
        <v>138</v>
      </c>
      <c r="AU1869" s="28" t="s">
        <v>138</v>
      </c>
      <c r="AV1869" s="28" t="s">
        <v>450</v>
      </c>
      <c r="AW1869" s="28" t="s">
        <v>138</v>
      </c>
      <c r="AX1869" s="28" t="s">
        <v>138</v>
      </c>
      <c r="AY1869" s="28" t="s">
        <v>35452</v>
      </c>
      <c r="AZ1869" s="28" t="s">
        <v>452</v>
      </c>
      <c r="BA1869" s="28" t="s">
        <v>453</v>
      </c>
      <c r="BB1869" s="28" t="s">
        <v>35453</v>
      </c>
      <c r="BC1869" s="28" t="s">
        <v>35454</v>
      </c>
      <c r="BD1869" s="33">
        <v>5</v>
      </c>
      <c r="BE1869" s="28" t="s">
        <v>138</v>
      </c>
      <c r="BF1869" s="28" t="s">
        <v>138</v>
      </c>
      <c r="BG1869" s="28" t="s">
        <v>138</v>
      </c>
      <c r="BH1869" s="28" t="s">
        <v>35455</v>
      </c>
      <c r="BI1869" s="28" t="s">
        <v>138</v>
      </c>
      <c r="BJ1869" s="28" t="s">
        <v>138</v>
      </c>
      <c r="BK1869" s="28" t="s">
        <v>138</v>
      </c>
      <c r="BL1869" s="28" t="s">
        <v>138</v>
      </c>
      <c r="BM1869" s="34" t="s">
        <v>138</v>
      </c>
      <c r="BN1869" s="29">
        <v>1.46</v>
      </c>
      <c r="BO1869" s="28" t="s">
        <v>172</v>
      </c>
      <c r="BP1869" s="29" t="s">
        <v>138</v>
      </c>
      <c r="BQ1869" s="28" t="s">
        <v>138</v>
      </c>
      <c r="BR1869" s="28" t="s">
        <v>262</v>
      </c>
      <c r="BS1869" s="28" t="s">
        <v>262</v>
      </c>
      <c r="BT1869" s="28" t="s">
        <v>138</v>
      </c>
      <c r="BU1869" s="28" t="s">
        <v>174</v>
      </c>
      <c r="BV1869" s="28" t="s">
        <v>138</v>
      </c>
      <c r="BW1869" s="28" t="s">
        <v>138</v>
      </c>
      <c r="BX1869" s="28" t="s">
        <v>138</v>
      </c>
      <c r="BY1869" s="28" t="s">
        <v>175</v>
      </c>
      <c r="BZ1869" s="34">
        <v>43118</v>
      </c>
      <c r="CA1869" s="29">
        <v>8</v>
      </c>
      <c r="CB1869" s="28" t="s">
        <v>172</v>
      </c>
      <c r="CC1869" s="29" t="s">
        <v>138</v>
      </c>
      <c r="CD1869" s="28" t="s">
        <v>138</v>
      </c>
      <c r="CE1869" s="28" t="s">
        <v>205</v>
      </c>
      <c r="CF1869" s="28" t="s">
        <v>206</v>
      </c>
      <c r="CG1869" s="28" t="s">
        <v>138</v>
      </c>
      <c r="CH1869" s="28" t="s">
        <v>174</v>
      </c>
      <c r="CI1869" s="28" t="s">
        <v>138</v>
      </c>
      <c r="CJ1869" s="28" t="s">
        <v>138</v>
      </c>
      <c r="CK1869" s="28" t="s">
        <v>138</v>
      </c>
      <c r="CL1869" s="28" t="s">
        <v>175</v>
      </c>
      <c r="CM1869" s="34" t="s">
        <v>138</v>
      </c>
      <c r="CN1869" s="29" t="s">
        <v>138</v>
      </c>
      <c r="CO1869" s="35">
        <v>0</v>
      </c>
      <c r="CP1869" s="36">
        <v>26</v>
      </c>
      <c r="CQ1869" s="35">
        <v>0</v>
      </c>
      <c r="CR1869" s="35">
        <v>0</v>
      </c>
      <c r="CS1869" s="35">
        <v>0</v>
      </c>
      <c r="CT1869" s="36">
        <v>23</v>
      </c>
      <c r="CU1869" s="35" t="s">
        <v>138</v>
      </c>
      <c r="CV1869" s="36" t="s">
        <v>138</v>
      </c>
      <c r="CW1869" s="35" t="s">
        <v>138</v>
      </c>
      <c r="CX1869" s="36" t="s">
        <v>138</v>
      </c>
      <c r="CY1869" s="35">
        <v>0</v>
      </c>
      <c r="CZ1869" s="36">
        <v>25</v>
      </c>
      <c r="DA1869" s="35" t="s">
        <v>138</v>
      </c>
      <c r="DB1869" s="36" t="s">
        <v>138</v>
      </c>
      <c r="DC1869" s="37">
        <v>0.62</v>
      </c>
      <c r="DD1869" s="36">
        <v>39</v>
      </c>
      <c r="DE1869" s="37">
        <v>0.03</v>
      </c>
      <c r="DF1869" s="35">
        <v>5.88</v>
      </c>
      <c r="DG1869" s="37">
        <v>0.62</v>
      </c>
      <c r="DH1869" s="36">
        <v>39</v>
      </c>
      <c r="DI1869" s="37" t="s">
        <v>138</v>
      </c>
      <c r="DJ1869" s="36" t="s">
        <v>138</v>
      </c>
      <c r="DK1869" s="37" t="s">
        <v>138</v>
      </c>
      <c r="DL1869" s="36" t="s">
        <v>138</v>
      </c>
      <c r="DM1869" s="37">
        <v>0.62</v>
      </c>
      <c r="DN1869" s="36">
        <v>39</v>
      </c>
      <c r="DO1869" s="37" t="s">
        <v>138</v>
      </c>
      <c r="DP1869" s="36" t="s">
        <v>138</v>
      </c>
      <c r="DQ1869" s="36">
        <v>135</v>
      </c>
      <c r="DR1869" s="38">
        <v>10</v>
      </c>
      <c r="DS1869" s="35">
        <v>8</v>
      </c>
      <c r="DT1869" s="36">
        <v>17</v>
      </c>
      <c r="DU1869" s="38">
        <v>1</v>
      </c>
      <c r="DV1869" s="35">
        <v>6.25</v>
      </c>
      <c r="DW1869" s="36" t="s">
        <v>138</v>
      </c>
      <c r="DX1869" s="39" t="s">
        <v>138</v>
      </c>
      <c r="DY1869" s="35" t="s">
        <v>138</v>
      </c>
      <c r="DZ1869" s="28" t="s">
        <v>178</v>
      </c>
      <c r="EA1869" s="34">
        <v>43532</v>
      </c>
      <c r="EB1869" s="29" t="s">
        <v>138</v>
      </c>
      <c r="EC1869" s="34" t="s">
        <v>138</v>
      </c>
      <c r="ED1869" s="28" t="s">
        <v>138</v>
      </c>
      <c r="EE1869" s="40" t="str">
        <f>HYPERLINK("https://my.pitchbook.com?c=224203-78", "View company online")</f>
        <v>View company online</v>
      </c>
    </row>
    <row r="1870" spans="1:135">
      <c r="A1870" s="15" t="s">
        <v>35456</v>
      </c>
      <c r="B1870" s="15" t="s">
        <v>35457</v>
      </c>
      <c r="C1870" s="15" t="s">
        <v>138</v>
      </c>
      <c r="D1870" s="15" t="s">
        <v>138</v>
      </c>
      <c r="E1870" s="15" t="s">
        <v>35458</v>
      </c>
      <c r="F1870" s="15" t="s">
        <v>35456</v>
      </c>
      <c r="G1870" s="15" t="s">
        <v>35459</v>
      </c>
      <c r="H1870" s="15" t="s">
        <v>322</v>
      </c>
      <c r="I1870" s="15" t="s">
        <v>323</v>
      </c>
      <c r="J1870" s="15" t="s">
        <v>1132</v>
      </c>
      <c r="K1870" s="15" t="s">
        <v>35460</v>
      </c>
      <c r="L1870" s="15" t="s">
        <v>4025</v>
      </c>
      <c r="M1870" s="15" t="s">
        <v>35461</v>
      </c>
      <c r="N1870" s="15" t="s">
        <v>1452</v>
      </c>
      <c r="O1870" s="17">
        <v>404.25</v>
      </c>
      <c r="P1870" s="15" t="s">
        <v>1473</v>
      </c>
      <c r="Q1870" s="15" t="s">
        <v>149</v>
      </c>
      <c r="R1870" s="15" t="s">
        <v>13812</v>
      </c>
      <c r="S1870" s="15" t="s">
        <v>35462</v>
      </c>
      <c r="T1870" s="18">
        <v>1100</v>
      </c>
      <c r="U1870" s="15" t="s">
        <v>35463</v>
      </c>
      <c r="V1870" s="15" t="s">
        <v>138</v>
      </c>
      <c r="W1870" s="15" t="s">
        <v>138</v>
      </c>
      <c r="X1870" s="19">
        <v>2006</v>
      </c>
      <c r="Y1870" s="15" t="s">
        <v>138</v>
      </c>
      <c r="Z1870" s="15" t="s">
        <v>138</v>
      </c>
      <c r="AA1870" s="15" t="s">
        <v>138</v>
      </c>
      <c r="AB1870" s="20">
        <v>150</v>
      </c>
      <c r="AC1870" s="20" t="s">
        <v>138</v>
      </c>
      <c r="AD1870" s="20" t="s">
        <v>138</v>
      </c>
      <c r="AE1870" s="20" t="s">
        <v>138</v>
      </c>
      <c r="AF1870" s="20" t="s">
        <v>138</v>
      </c>
      <c r="AG1870" s="15" t="s">
        <v>419</v>
      </c>
      <c r="AH1870" s="20" t="s">
        <v>138</v>
      </c>
      <c r="AI1870" s="20" t="s">
        <v>138</v>
      </c>
      <c r="AJ1870" s="20" t="s">
        <v>138</v>
      </c>
      <c r="AK1870" s="15" t="s">
        <v>35464</v>
      </c>
      <c r="AL1870" s="15" t="s">
        <v>35465</v>
      </c>
      <c r="AM1870" s="15" t="s">
        <v>249</v>
      </c>
      <c r="AN1870" s="15" t="s">
        <v>35466</v>
      </c>
      <c r="AO1870" s="15" t="s">
        <v>138</v>
      </c>
      <c r="AP1870" s="15" t="s">
        <v>3668</v>
      </c>
      <c r="AQ1870" s="15" t="s">
        <v>35467</v>
      </c>
      <c r="AR1870" s="15" t="s">
        <v>158</v>
      </c>
      <c r="AS1870" s="15" t="s">
        <v>3670</v>
      </c>
      <c r="AT1870" s="15" t="s">
        <v>200</v>
      </c>
      <c r="AU1870" s="15" t="s">
        <v>12249</v>
      </c>
      <c r="AV1870" s="15" t="s">
        <v>162</v>
      </c>
      <c r="AW1870" s="15" t="s">
        <v>138</v>
      </c>
      <c r="AX1870" s="15" t="s">
        <v>138</v>
      </c>
      <c r="AY1870" s="15" t="s">
        <v>35468</v>
      </c>
      <c r="AZ1870" s="15" t="s">
        <v>164</v>
      </c>
      <c r="BA1870" s="15" t="s">
        <v>165</v>
      </c>
      <c r="BB1870" s="15" t="s">
        <v>35469</v>
      </c>
      <c r="BC1870" s="15" t="s">
        <v>3779</v>
      </c>
      <c r="BD1870" s="21">
        <v>1</v>
      </c>
      <c r="BE1870" s="15" t="s">
        <v>138</v>
      </c>
      <c r="BF1870" s="15" t="s">
        <v>35470</v>
      </c>
      <c r="BG1870" s="15" t="s">
        <v>138</v>
      </c>
      <c r="BH1870" s="15" t="s">
        <v>3781</v>
      </c>
      <c r="BI1870" s="15" t="s">
        <v>35471</v>
      </c>
      <c r="BJ1870" s="15" t="s">
        <v>138</v>
      </c>
      <c r="BK1870" s="15" t="s">
        <v>35472</v>
      </c>
      <c r="BL1870" s="15" t="s">
        <v>35473</v>
      </c>
      <c r="BM1870" s="22">
        <v>41534</v>
      </c>
      <c r="BN1870" s="17">
        <v>37</v>
      </c>
      <c r="BO1870" s="15" t="s">
        <v>172</v>
      </c>
      <c r="BP1870" s="17">
        <v>346.37</v>
      </c>
      <c r="BQ1870" s="15" t="s">
        <v>172</v>
      </c>
      <c r="BR1870" s="15" t="s">
        <v>173</v>
      </c>
      <c r="BS1870" s="15" t="s">
        <v>206</v>
      </c>
      <c r="BT1870" s="15" t="s">
        <v>138</v>
      </c>
      <c r="BU1870" s="15" t="s">
        <v>174</v>
      </c>
      <c r="BV1870" s="15" t="s">
        <v>138</v>
      </c>
      <c r="BW1870" s="15" t="s">
        <v>138</v>
      </c>
      <c r="BX1870" s="15" t="s">
        <v>138</v>
      </c>
      <c r="BY1870" s="15" t="s">
        <v>175</v>
      </c>
      <c r="BZ1870" s="22">
        <v>43376</v>
      </c>
      <c r="CA1870" s="17" t="s">
        <v>138</v>
      </c>
      <c r="CB1870" s="15" t="s">
        <v>138</v>
      </c>
      <c r="CC1870" s="17" t="s">
        <v>138</v>
      </c>
      <c r="CD1870" s="15" t="s">
        <v>138</v>
      </c>
      <c r="CE1870" s="15" t="s">
        <v>349</v>
      </c>
      <c r="CF1870" s="15" t="s">
        <v>138</v>
      </c>
      <c r="CG1870" s="15" t="s">
        <v>138</v>
      </c>
      <c r="CH1870" s="15" t="s">
        <v>351</v>
      </c>
      <c r="CI1870" s="15" t="s">
        <v>1328</v>
      </c>
      <c r="CJ1870" s="15" t="s">
        <v>138</v>
      </c>
      <c r="CK1870" s="15" t="s">
        <v>138</v>
      </c>
      <c r="CL1870" s="15" t="s">
        <v>175</v>
      </c>
      <c r="CM1870" s="22">
        <v>43376</v>
      </c>
      <c r="CN1870" s="17" t="s">
        <v>138</v>
      </c>
      <c r="CO1870" s="23">
        <v>0.02</v>
      </c>
      <c r="CP1870" s="24">
        <v>85</v>
      </c>
      <c r="CQ1870" s="23">
        <v>-0.01</v>
      </c>
      <c r="CR1870" s="23">
        <v>-46.95</v>
      </c>
      <c r="CS1870" s="23">
        <v>0.06</v>
      </c>
      <c r="CT1870" s="24">
        <v>94</v>
      </c>
      <c r="CU1870" s="23">
        <v>-0.03</v>
      </c>
      <c r="CV1870" s="24">
        <v>14</v>
      </c>
      <c r="CW1870" s="23">
        <v>1.68</v>
      </c>
      <c r="CX1870" s="24">
        <v>87</v>
      </c>
      <c r="CY1870" s="23">
        <v>-1.56</v>
      </c>
      <c r="CZ1870" s="24">
        <v>14</v>
      </c>
      <c r="DA1870" s="23">
        <v>-0.04</v>
      </c>
      <c r="DB1870" s="24">
        <v>15</v>
      </c>
      <c r="DC1870" s="25">
        <v>27.31</v>
      </c>
      <c r="DD1870" s="24">
        <v>96</v>
      </c>
      <c r="DE1870" s="25">
        <v>-1.25</v>
      </c>
      <c r="DF1870" s="23">
        <v>-4.38</v>
      </c>
      <c r="DG1870" s="25">
        <v>26.38</v>
      </c>
      <c r="DH1870" s="24">
        <v>96</v>
      </c>
      <c r="DI1870" s="25">
        <v>28.24</v>
      </c>
      <c r="DJ1870" s="24">
        <v>93</v>
      </c>
      <c r="DK1870" s="25">
        <v>39.729999999999997</v>
      </c>
      <c r="DL1870" s="24">
        <v>95</v>
      </c>
      <c r="DM1870" s="25">
        <v>13.03</v>
      </c>
      <c r="DN1870" s="24">
        <v>91</v>
      </c>
      <c r="DO1870" s="25">
        <v>38.909999999999997</v>
      </c>
      <c r="DP1870" s="24">
        <v>96</v>
      </c>
      <c r="DQ1870" s="24">
        <v>13337</v>
      </c>
      <c r="DR1870" s="26">
        <v>865</v>
      </c>
      <c r="DS1870" s="23">
        <v>6.94</v>
      </c>
      <c r="DT1870" s="24">
        <v>379</v>
      </c>
      <c r="DU1870" s="26">
        <v>-1</v>
      </c>
      <c r="DV1870" s="23">
        <v>-0.26</v>
      </c>
      <c r="DW1870" s="24">
        <v>13928</v>
      </c>
      <c r="DX1870" s="27">
        <v>0</v>
      </c>
      <c r="DY1870" s="23">
        <v>0</v>
      </c>
      <c r="DZ1870" s="15" t="s">
        <v>178</v>
      </c>
      <c r="EA1870" s="22">
        <v>43622</v>
      </c>
      <c r="EB1870" s="17">
        <v>1855.25</v>
      </c>
      <c r="EC1870" s="22">
        <v>42986</v>
      </c>
      <c r="ED1870" s="15" t="s">
        <v>173</v>
      </c>
      <c r="EE1870" s="14" t="str">
        <f>HYPERLINK("https://my.pitchbook.com?c=59077-90", "View company online")</f>
        <v>View company online</v>
      </c>
    </row>
    <row r="1871" spans="1:135">
      <c r="A1871" s="28" t="s">
        <v>35474</v>
      </c>
      <c r="B1871" s="28" t="s">
        <v>35475</v>
      </c>
      <c r="C1871" s="28" t="s">
        <v>138</v>
      </c>
      <c r="D1871" s="28" t="s">
        <v>138</v>
      </c>
      <c r="E1871" s="28" t="s">
        <v>138</v>
      </c>
      <c r="F1871" s="28" t="s">
        <v>35474</v>
      </c>
      <c r="G1871" s="28" t="s">
        <v>35476</v>
      </c>
      <c r="H1871" s="28" t="s">
        <v>183</v>
      </c>
      <c r="I1871" s="28" t="s">
        <v>4681</v>
      </c>
      <c r="J1871" s="28" t="s">
        <v>4682</v>
      </c>
      <c r="K1871" s="28" t="s">
        <v>35477</v>
      </c>
      <c r="L1871" s="28" t="s">
        <v>19108</v>
      </c>
      <c r="M1871" s="28" t="s">
        <v>35478</v>
      </c>
      <c r="N1871" s="28" t="s">
        <v>147</v>
      </c>
      <c r="O1871" s="29">
        <v>15.01</v>
      </c>
      <c r="P1871" s="28" t="s">
        <v>610</v>
      </c>
      <c r="Q1871" s="28" t="s">
        <v>149</v>
      </c>
      <c r="R1871" s="28" t="s">
        <v>174</v>
      </c>
      <c r="S1871" s="28" t="s">
        <v>35479</v>
      </c>
      <c r="T1871" s="30">
        <v>15</v>
      </c>
      <c r="U1871" s="28" t="s">
        <v>35480</v>
      </c>
      <c r="V1871" s="28" t="s">
        <v>138</v>
      </c>
      <c r="W1871" s="28" t="s">
        <v>138</v>
      </c>
      <c r="X1871" s="31">
        <v>2012</v>
      </c>
      <c r="Y1871" s="28" t="s">
        <v>138</v>
      </c>
      <c r="Z1871" s="28" t="s">
        <v>138</v>
      </c>
      <c r="AA1871" s="28" t="s">
        <v>138</v>
      </c>
      <c r="AB1871" s="32" t="s">
        <v>138</v>
      </c>
      <c r="AC1871" s="32" t="s">
        <v>138</v>
      </c>
      <c r="AD1871" s="32" t="s">
        <v>138</v>
      </c>
      <c r="AE1871" s="32" t="s">
        <v>138</v>
      </c>
      <c r="AF1871" s="32" t="s">
        <v>138</v>
      </c>
      <c r="AG1871" s="28" t="s">
        <v>138</v>
      </c>
      <c r="AH1871" s="32" t="s">
        <v>138</v>
      </c>
      <c r="AI1871" s="32" t="s">
        <v>138</v>
      </c>
      <c r="AJ1871" s="32" t="s">
        <v>138</v>
      </c>
      <c r="AK1871" s="28" t="s">
        <v>35481</v>
      </c>
      <c r="AL1871" s="28" t="s">
        <v>35482</v>
      </c>
      <c r="AM1871" s="28" t="s">
        <v>422</v>
      </c>
      <c r="AN1871" s="28" t="s">
        <v>35483</v>
      </c>
      <c r="AO1871" s="28" t="s">
        <v>35484</v>
      </c>
      <c r="AP1871" s="28" t="s">
        <v>9134</v>
      </c>
      <c r="AQ1871" s="28" t="s">
        <v>35485</v>
      </c>
      <c r="AR1871" s="28" t="s">
        <v>138</v>
      </c>
      <c r="AS1871" s="28" t="s">
        <v>9136</v>
      </c>
      <c r="AT1871" s="28" t="s">
        <v>200</v>
      </c>
      <c r="AU1871" s="28" t="s">
        <v>9137</v>
      </c>
      <c r="AV1871" s="28" t="s">
        <v>162</v>
      </c>
      <c r="AW1871" s="28" t="s">
        <v>35484</v>
      </c>
      <c r="AX1871" s="28" t="s">
        <v>138</v>
      </c>
      <c r="AY1871" s="28" t="s">
        <v>35486</v>
      </c>
      <c r="AZ1871" s="28" t="s">
        <v>164</v>
      </c>
      <c r="BA1871" s="28" t="s">
        <v>165</v>
      </c>
      <c r="BB1871" s="28" t="s">
        <v>35487</v>
      </c>
      <c r="BC1871" s="28" t="s">
        <v>35488</v>
      </c>
      <c r="BD1871" s="33">
        <v>6</v>
      </c>
      <c r="BE1871" s="28" t="s">
        <v>138</v>
      </c>
      <c r="BF1871" s="28" t="s">
        <v>138</v>
      </c>
      <c r="BG1871" s="28" t="s">
        <v>138</v>
      </c>
      <c r="BH1871" s="28" t="s">
        <v>35489</v>
      </c>
      <c r="BI1871" s="28" t="s">
        <v>138</v>
      </c>
      <c r="BJ1871" s="28" t="s">
        <v>138</v>
      </c>
      <c r="BK1871" s="28" t="s">
        <v>35490</v>
      </c>
      <c r="BL1871" s="28" t="s">
        <v>2936</v>
      </c>
      <c r="BM1871" s="34">
        <v>42081</v>
      </c>
      <c r="BN1871" s="29">
        <v>7.01</v>
      </c>
      <c r="BO1871" s="28" t="s">
        <v>172</v>
      </c>
      <c r="BP1871" s="29">
        <v>15.01</v>
      </c>
      <c r="BQ1871" s="28" t="s">
        <v>172</v>
      </c>
      <c r="BR1871" s="28" t="s">
        <v>234</v>
      </c>
      <c r="BS1871" s="28" t="s">
        <v>234</v>
      </c>
      <c r="BT1871" s="28" t="s">
        <v>138</v>
      </c>
      <c r="BU1871" s="28" t="s">
        <v>174</v>
      </c>
      <c r="BV1871" s="28" t="s">
        <v>138</v>
      </c>
      <c r="BW1871" s="28" t="s">
        <v>138</v>
      </c>
      <c r="BX1871" s="28" t="s">
        <v>138</v>
      </c>
      <c r="BY1871" s="28" t="s">
        <v>175</v>
      </c>
      <c r="BZ1871" s="34">
        <v>43054</v>
      </c>
      <c r="CA1871" s="29">
        <v>8</v>
      </c>
      <c r="CB1871" s="28" t="s">
        <v>1178</v>
      </c>
      <c r="CC1871" s="29">
        <v>24</v>
      </c>
      <c r="CD1871" s="28" t="s">
        <v>172</v>
      </c>
      <c r="CE1871" s="28" t="s">
        <v>173</v>
      </c>
      <c r="CF1871" s="28" t="s">
        <v>138</v>
      </c>
      <c r="CG1871" s="28" t="s">
        <v>138</v>
      </c>
      <c r="CH1871" s="28" t="s">
        <v>174</v>
      </c>
      <c r="CI1871" s="28" t="s">
        <v>138</v>
      </c>
      <c r="CJ1871" s="28" t="s">
        <v>138</v>
      </c>
      <c r="CK1871" s="28" t="s">
        <v>138</v>
      </c>
      <c r="CL1871" s="28" t="s">
        <v>175</v>
      </c>
      <c r="CM1871" s="34" t="s">
        <v>138</v>
      </c>
      <c r="CN1871" s="29" t="s">
        <v>138</v>
      </c>
      <c r="CO1871" s="35">
        <v>0</v>
      </c>
      <c r="CP1871" s="36">
        <v>26</v>
      </c>
      <c r="CQ1871" s="35">
        <v>0</v>
      </c>
      <c r="CR1871" s="35">
        <v>0</v>
      </c>
      <c r="CS1871" s="35">
        <v>0</v>
      </c>
      <c r="CT1871" s="36">
        <v>23</v>
      </c>
      <c r="CU1871" s="35" t="s">
        <v>138</v>
      </c>
      <c r="CV1871" s="36" t="s">
        <v>138</v>
      </c>
      <c r="CW1871" s="35" t="s">
        <v>138</v>
      </c>
      <c r="CX1871" s="36" t="s">
        <v>138</v>
      </c>
      <c r="CY1871" s="35">
        <v>0</v>
      </c>
      <c r="CZ1871" s="36">
        <v>25</v>
      </c>
      <c r="DA1871" s="35" t="s">
        <v>138</v>
      </c>
      <c r="DB1871" s="36" t="s">
        <v>138</v>
      </c>
      <c r="DC1871" s="37">
        <v>0.24</v>
      </c>
      <c r="DD1871" s="36">
        <v>18</v>
      </c>
      <c r="DE1871" s="37">
        <v>0</v>
      </c>
      <c r="DF1871" s="35">
        <v>0</v>
      </c>
      <c r="DG1871" s="37">
        <v>0.24</v>
      </c>
      <c r="DH1871" s="36">
        <v>18</v>
      </c>
      <c r="DI1871" s="37" t="s">
        <v>138</v>
      </c>
      <c r="DJ1871" s="36" t="s">
        <v>138</v>
      </c>
      <c r="DK1871" s="37" t="s">
        <v>138</v>
      </c>
      <c r="DL1871" s="36" t="s">
        <v>138</v>
      </c>
      <c r="DM1871" s="37">
        <v>0.24</v>
      </c>
      <c r="DN1871" s="36">
        <v>19</v>
      </c>
      <c r="DO1871" s="37" t="s">
        <v>138</v>
      </c>
      <c r="DP1871" s="36" t="s">
        <v>138</v>
      </c>
      <c r="DQ1871" s="36" t="s">
        <v>138</v>
      </c>
      <c r="DR1871" s="38" t="s">
        <v>138</v>
      </c>
      <c r="DS1871" s="35" t="s">
        <v>138</v>
      </c>
      <c r="DT1871" s="36">
        <v>7</v>
      </c>
      <c r="DU1871" s="38">
        <v>0</v>
      </c>
      <c r="DV1871" s="35">
        <v>0</v>
      </c>
      <c r="DW1871" s="36" t="s">
        <v>138</v>
      </c>
      <c r="DX1871" s="39" t="s">
        <v>138</v>
      </c>
      <c r="DY1871" s="35" t="s">
        <v>138</v>
      </c>
      <c r="DZ1871" s="28" t="s">
        <v>178</v>
      </c>
      <c r="EA1871" s="34">
        <v>43512</v>
      </c>
      <c r="EB1871" s="29">
        <v>24</v>
      </c>
      <c r="EC1871" s="34">
        <v>43054</v>
      </c>
      <c r="ED1871" s="28" t="s">
        <v>173</v>
      </c>
      <c r="EE1871" s="40" t="str">
        <f>HYPERLINK("https://my.pitchbook.com?c=110661-67", "View company online")</f>
        <v>View company online</v>
      </c>
    </row>
    <row r="1872" spans="1:135">
      <c r="A1872" s="15" t="s">
        <v>35491</v>
      </c>
      <c r="B1872" s="15" t="s">
        <v>35492</v>
      </c>
      <c r="C1872" s="15" t="s">
        <v>138</v>
      </c>
      <c r="D1872" s="15" t="s">
        <v>138</v>
      </c>
      <c r="E1872" s="15" t="s">
        <v>35493</v>
      </c>
      <c r="F1872" s="15" t="s">
        <v>35491</v>
      </c>
      <c r="G1872" s="15" t="s">
        <v>35494</v>
      </c>
      <c r="H1872" s="15" t="s">
        <v>238</v>
      </c>
      <c r="I1872" s="15" t="s">
        <v>1351</v>
      </c>
      <c r="J1872" s="15" t="s">
        <v>10301</v>
      </c>
      <c r="K1872" s="15" t="s">
        <v>17774</v>
      </c>
      <c r="L1872" s="15" t="s">
        <v>4703</v>
      </c>
      <c r="M1872" s="15" t="s">
        <v>35495</v>
      </c>
      <c r="N1872" s="15" t="s">
        <v>147</v>
      </c>
      <c r="O1872" s="17">
        <v>4.26</v>
      </c>
      <c r="P1872" s="15" t="s">
        <v>148</v>
      </c>
      <c r="Q1872" s="15" t="s">
        <v>149</v>
      </c>
      <c r="R1872" s="15" t="s">
        <v>174</v>
      </c>
      <c r="S1872" s="15" t="s">
        <v>35496</v>
      </c>
      <c r="T1872" s="18">
        <v>9</v>
      </c>
      <c r="U1872" s="15" t="s">
        <v>35497</v>
      </c>
      <c r="V1872" s="15" t="s">
        <v>138</v>
      </c>
      <c r="W1872" s="15" t="s">
        <v>138</v>
      </c>
      <c r="X1872" s="19">
        <v>2013</v>
      </c>
      <c r="Y1872" s="15" t="s">
        <v>138</v>
      </c>
      <c r="Z1872" s="15" t="s">
        <v>138</v>
      </c>
      <c r="AA1872" s="15" t="s">
        <v>138</v>
      </c>
      <c r="AB1872" s="20">
        <v>1.3</v>
      </c>
      <c r="AC1872" s="20" t="s">
        <v>138</v>
      </c>
      <c r="AD1872" s="20" t="s">
        <v>138</v>
      </c>
      <c r="AE1872" s="20" t="s">
        <v>138</v>
      </c>
      <c r="AF1872" s="20" t="s">
        <v>138</v>
      </c>
      <c r="AG1872" s="15" t="s">
        <v>563</v>
      </c>
      <c r="AH1872" s="20" t="s">
        <v>138</v>
      </c>
      <c r="AI1872" s="20" t="s">
        <v>138</v>
      </c>
      <c r="AJ1872" s="20" t="s">
        <v>138</v>
      </c>
      <c r="AK1872" s="15" t="s">
        <v>35498</v>
      </c>
      <c r="AL1872" s="15" t="s">
        <v>35499</v>
      </c>
      <c r="AM1872" s="15" t="s">
        <v>221</v>
      </c>
      <c r="AN1872" s="15" t="s">
        <v>35500</v>
      </c>
      <c r="AO1872" s="15" t="s">
        <v>138</v>
      </c>
      <c r="AP1872" s="15" t="s">
        <v>423</v>
      </c>
      <c r="AQ1872" s="15" t="s">
        <v>35501</v>
      </c>
      <c r="AR1872" s="15" t="s">
        <v>35502</v>
      </c>
      <c r="AS1872" s="15" t="s">
        <v>426</v>
      </c>
      <c r="AT1872" s="15" t="s">
        <v>426</v>
      </c>
      <c r="AU1872" s="15" t="s">
        <v>138</v>
      </c>
      <c r="AV1872" s="15" t="s">
        <v>162</v>
      </c>
      <c r="AW1872" s="15" t="s">
        <v>138</v>
      </c>
      <c r="AX1872" s="15" t="s">
        <v>138</v>
      </c>
      <c r="AY1872" s="15" t="s">
        <v>35503</v>
      </c>
      <c r="AZ1872" s="15" t="s">
        <v>164</v>
      </c>
      <c r="BA1872" s="15" t="s">
        <v>165</v>
      </c>
      <c r="BB1872" s="15" t="s">
        <v>35504</v>
      </c>
      <c r="BC1872" s="15" t="s">
        <v>35505</v>
      </c>
      <c r="BD1872" s="21">
        <v>12</v>
      </c>
      <c r="BE1872" s="15" t="s">
        <v>138</v>
      </c>
      <c r="BF1872" s="15" t="s">
        <v>138</v>
      </c>
      <c r="BG1872" s="15" t="s">
        <v>138</v>
      </c>
      <c r="BH1872" s="15" t="s">
        <v>35506</v>
      </c>
      <c r="BI1872" s="15" t="s">
        <v>138</v>
      </c>
      <c r="BJ1872" s="15" t="s">
        <v>138</v>
      </c>
      <c r="BK1872" s="15" t="s">
        <v>138</v>
      </c>
      <c r="BL1872" s="15" t="s">
        <v>138</v>
      </c>
      <c r="BM1872" s="22">
        <v>41723</v>
      </c>
      <c r="BN1872" s="17">
        <v>0.1</v>
      </c>
      <c r="BO1872" s="15" t="s">
        <v>172</v>
      </c>
      <c r="BP1872" s="17">
        <v>1.39</v>
      </c>
      <c r="BQ1872" s="15" t="s">
        <v>172</v>
      </c>
      <c r="BR1872" s="15" t="s">
        <v>316</v>
      </c>
      <c r="BS1872" s="15" t="s">
        <v>138</v>
      </c>
      <c r="BT1872" s="15" t="s">
        <v>138</v>
      </c>
      <c r="BU1872" s="15" t="s">
        <v>177</v>
      </c>
      <c r="BV1872" s="15" t="s">
        <v>264</v>
      </c>
      <c r="BW1872" s="15" t="s">
        <v>138</v>
      </c>
      <c r="BX1872" s="15" t="s">
        <v>138</v>
      </c>
      <c r="BY1872" s="15" t="s">
        <v>175</v>
      </c>
      <c r="BZ1872" s="22">
        <v>43014</v>
      </c>
      <c r="CA1872" s="17">
        <v>3.59</v>
      </c>
      <c r="CB1872" s="15" t="s">
        <v>172</v>
      </c>
      <c r="CC1872" s="17">
        <v>15.59</v>
      </c>
      <c r="CD1872" s="15" t="s">
        <v>172</v>
      </c>
      <c r="CE1872" s="15" t="s">
        <v>205</v>
      </c>
      <c r="CF1872" s="15" t="s">
        <v>206</v>
      </c>
      <c r="CG1872" s="15" t="s">
        <v>138</v>
      </c>
      <c r="CH1872" s="15" t="s">
        <v>174</v>
      </c>
      <c r="CI1872" s="15" t="s">
        <v>138</v>
      </c>
      <c r="CJ1872" s="15" t="s">
        <v>138</v>
      </c>
      <c r="CK1872" s="15" t="s">
        <v>138</v>
      </c>
      <c r="CL1872" s="15" t="s">
        <v>175</v>
      </c>
      <c r="CM1872" s="22" t="s">
        <v>138</v>
      </c>
      <c r="CN1872" s="17" t="s">
        <v>138</v>
      </c>
      <c r="CO1872" s="23">
        <v>0.28000000000000003</v>
      </c>
      <c r="CP1872" s="24">
        <v>93</v>
      </c>
      <c r="CQ1872" s="23">
        <v>-0.02</v>
      </c>
      <c r="CR1872" s="23">
        <v>-5.49</v>
      </c>
      <c r="CS1872" s="23">
        <v>0.44</v>
      </c>
      <c r="CT1872" s="24">
        <v>95</v>
      </c>
      <c r="CU1872" s="23">
        <v>0.13</v>
      </c>
      <c r="CV1872" s="24">
        <v>73</v>
      </c>
      <c r="CW1872" s="23">
        <v>1.86</v>
      </c>
      <c r="CX1872" s="24">
        <v>88</v>
      </c>
      <c r="CY1872" s="23">
        <v>-0.99</v>
      </c>
      <c r="CZ1872" s="24">
        <v>19</v>
      </c>
      <c r="DA1872" s="23">
        <v>0.13</v>
      </c>
      <c r="DB1872" s="24">
        <v>76</v>
      </c>
      <c r="DC1872" s="25">
        <v>32.979999999999997</v>
      </c>
      <c r="DD1872" s="24">
        <v>97</v>
      </c>
      <c r="DE1872" s="25">
        <v>-3.54</v>
      </c>
      <c r="DF1872" s="23">
        <v>-9.6999999999999993</v>
      </c>
      <c r="DG1872" s="25">
        <v>63.52</v>
      </c>
      <c r="DH1872" s="24">
        <v>99</v>
      </c>
      <c r="DI1872" s="25">
        <v>2.44</v>
      </c>
      <c r="DJ1872" s="24">
        <v>66</v>
      </c>
      <c r="DK1872" s="25">
        <v>110.13</v>
      </c>
      <c r="DL1872" s="24">
        <v>98</v>
      </c>
      <c r="DM1872" s="25">
        <v>16.899999999999999</v>
      </c>
      <c r="DN1872" s="24">
        <v>93</v>
      </c>
      <c r="DO1872" s="25">
        <v>2.44</v>
      </c>
      <c r="DP1872" s="24">
        <v>67</v>
      </c>
      <c r="DQ1872" s="24">
        <v>37304</v>
      </c>
      <c r="DR1872" s="26">
        <v>1415</v>
      </c>
      <c r="DS1872" s="23">
        <v>3.94</v>
      </c>
      <c r="DT1872" s="24">
        <v>490</v>
      </c>
      <c r="DU1872" s="26">
        <v>-3</v>
      </c>
      <c r="DV1872" s="23">
        <v>-0.61</v>
      </c>
      <c r="DW1872" s="24">
        <v>873</v>
      </c>
      <c r="DX1872" s="27">
        <v>1</v>
      </c>
      <c r="DY1872" s="23">
        <v>0.11</v>
      </c>
      <c r="DZ1872" s="15" t="s">
        <v>178</v>
      </c>
      <c r="EA1872" s="22">
        <v>43433</v>
      </c>
      <c r="EB1872" s="17">
        <v>15.59</v>
      </c>
      <c r="EC1872" s="22">
        <v>43014</v>
      </c>
      <c r="ED1872" s="15" t="s">
        <v>205</v>
      </c>
      <c r="EE1872" s="14" t="str">
        <f>HYPERLINK("https://my.pitchbook.com?c=61592-23", "View company online")</f>
        <v>View company online</v>
      </c>
    </row>
    <row r="1873" spans="1:135">
      <c r="A1873" s="28" t="s">
        <v>35507</v>
      </c>
      <c r="B1873" s="28" t="s">
        <v>35508</v>
      </c>
      <c r="C1873" s="28" t="s">
        <v>138</v>
      </c>
      <c r="D1873" s="28" t="s">
        <v>138</v>
      </c>
      <c r="E1873" s="28" t="s">
        <v>35509</v>
      </c>
      <c r="F1873" s="28" t="s">
        <v>35507</v>
      </c>
      <c r="G1873" s="28" t="s">
        <v>35510</v>
      </c>
      <c r="H1873" s="28" t="s">
        <v>141</v>
      </c>
      <c r="I1873" s="28" t="s">
        <v>212</v>
      </c>
      <c r="J1873" s="28" t="s">
        <v>213</v>
      </c>
      <c r="K1873" s="28" t="s">
        <v>1064</v>
      </c>
      <c r="L1873" s="28" t="s">
        <v>3343</v>
      </c>
      <c r="M1873" s="28" t="s">
        <v>35511</v>
      </c>
      <c r="N1873" s="28" t="s">
        <v>1452</v>
      </c>
      <c r="O1873" s="29">
        <v>61.44</v>
      </c>
      <c r="P1873" s="28" t="s">
        <v>148</v>
      </c>
      <c r="Q1873" s="28" t="s">
        <v>149</v>
      </c>
      <c r="R1873" s="28" t="s">
        <v>7250</v>
      </c>
      <c r="S1873" s="28" t="s">
        <v>35512</v>
      </c>
      <c r="T1873" s="30">
        <v>570</v>
      </c>
      <c r="U1873" s="28" t="s">
        <v>35513</v>
      </c>
      <c r="V1873" s="28" t="s">
        <v>138</v>
      </c>
      <c r="W1873" s="28" t="s">
        <v>138</v>
      </c>
      <c r="X1873" s="31">
        <v>1998</v>
      </c>
      <c r="Y1873" s="28" t="s">
        <v>138</v>
      </c>
      <c r="Z1873" s="28" t="s">
        <v>138</v>
      </c>
      <c r="AA1873" s="28" t="s">
        <v>1163</v>
      </c>
      <c r="AB1873" s="32" t="s">
        <v>138</v>
      </c>
      <c r="AC1873" s="32" t="s">
        <v>138</v>
      </c>
      <c r="AD1873" s="32" t="s">
        <v>138</v>
      </c>
      <c r="AE1873" s="32" t="s">
        <v>138</v>
      </c>
      <c r="AF1873" s="32" t="s">
        <v>138</v>
      </c>
      <c r="AG1873" s="28" t="s">
        <v>138</v>
      </c>
      <c r="AH1873" s="32" t="s">
        <v>138</v>
      </c>
      <c r="AI1873" s="32" t="s">
        <v>138</v>
      </c>
      <c r="AJ1873" s="32" t="s">
        <v>138</v>
      </c>
      <c r="AK1873" s="28" t="s">
        <v>35514</v>
      </c>
      <c r="AL1873" s="28" t="s">
        <v>35515</v>
      </c>
      <c r="AM1873" s="28" t="s">
        <v>916</v>
      </c>
      <c r="AN1873" s="28" t="s">
        <v>35516</v>
      </c>
      <c r="AO1873" s="28" t="s">
        <v>35517</v>
      </c>
      <c r="AP1873" s="28" t="s">
        <v>3136</v>
      </c>
      <c r="AQ1873" s="28" t="s">
        <v>35518</v>
      </c>
      <c r="AR1873" s="28" t="s">
        <v>15607</v>
      </c>
      <c r="AS1873" s="28" t="s">
        <v>3139</v>
      </c>
      <c r="AT1873" s="28" t="s">
        <v>3140</v>
      </c>
      <c r="AU1873" s="28" t="s">
        <v>11245</v>
      </c>
      <c r="AV1873" s="28" t="s">
        <v>162</v>
      </c>
      <c r="AW1873" s="28" t="s">
        <v>35517</v>
      </c>
      <c r="AX1873" s="28" t="s">
        <v>138</v>
      </c>
      <c r="AY1873" s="28" t="s">
        <v>35519</v>
      </c>
      <c r="AZ1873" s="28" t="s">
        <v>164</v>
      </c>
      <c r="BA1873" s="28" t="s">
        <v>165</v>
      </c>
      <c r="BB1873" s="28" t="s">
        <v>35520</v>
      </c>
      <c r="BC1873" s="28" t="s">
        <v>6904</v>
      </c>
      <c r="BD1873" s="33">
        <v>1</v>
      </c>
      <c r="BE1873" s="28" t="s">
        <v>138</v>
      </c>
      <c r="BF1873" s="28" t="s">
        <v>35521</v>
      </c>
      <c r="BG1873" s="28" t="s">
        <v>138</v>
      </c>
      <c r="BH1873" s="28" t="s">
        <v>6907</v>
      </c>
      <c r="BI1873" s="28" t="s">
        <v>35522</v>
      </c>
      <c r="BJ1873" s="28" t="s">
        <v>138</v>
      </c>
      <c r="BK1873" s="28" t="s">
        <v>35523</v>
      </c>
      <c r="BL1873" s="28" t="s">
        <v>1691</v>
      </c>
      <c r="BM1873" s="34">
        <v>37025</v>
      </c>
      <c r="BN1873" s="29">
        <v>20</v>
      </c>
      <c r="BO1873" s="28" t="s">
        <v>172</v>
      </c>
      <c r="BP1873" s="29">
        <v>87.71</v>
      </c>
      <c r="BQ1873" s="28" t="s">
        <v>172</v>
      </c>
      <c r="BR1873" s="28" t="s">
        <v>205</v>
      </c>
      <c r="BS1873" s="28" t="s">
        <v>206</v>
      </c>
      <c r="BT1873" s="28" t="s">
        <v>138</v>
      </c>
      <c r="BU1873" s="28" t="s">
        <v>174</v>
      </c>
      <c r="BV1873" s="28" t="s">
        <v>138</v>
      </c>
      <c r="BW1873" s="28" t="s">
        <v>138</v>
      </c>
      <c r="BX1873" s="28" t="s">
        <v>138</v>
      </c>
      <c r="BY1873" s="28" t="s">
        <v>175</v>
      </c>
      <c r="BZ1873" s="34">
        <v>42552</v>
      </c>
      <c r="CA1873" s="29" t="s">
        <v>138</v>
      </c>
      <c r="CB1873" s="28" t="s">
        <v>138</v>
      </c>
      <c r="CC1873" s="29" t="s">
        <v>138</v>
      </c>
      <c r="CD1873" s="28" t="s">
        <v>138</v>
      </c>
      <c r="CE1873" s="28" t="s">
        <v>349</v>
      </c>
      <c r="CF1873" s="28" t="s">
        <v>3785</v>
      </c>
      <c r="CG1873" s="28" t="s">
        <v>138</v>
      </c>
      <c r="CH1873" s="28" t="s">
        <v>351</v>
      </c>
      <c r="CI1873" s="28" t="s">
        <v>138</v>
      </c>
      <c r="CJ1873" s="28" t="s">
        <v>138</v>
      </c>
      <c r="CK1873" s="28" t="s">
        <v>138</v>
      </c>
      <c r="CL1873" s="28" t="s">
        <v>175</v>
      </c>
      <c r="CM1873" s="34" t="s">
        <v>138</v>
      </c>
      <c r="CN1873" s="29" t="s">
        <v>138</v>
      </c>
      <c r="CO1873" s="35">
        <v>-0.31</v>
      </c>
      <c r="CP1873" s="36">
        <v>18</v>
      </c>
      <c r="CQ1873" s="35">
        <v>0.02</v>
      </c>
      <c r="CR1873" s="35">
        <v>5.12</v>
      </c>
      <c r="CS1873" s="35">
        <v>-0.75</v>
      </c>
      <c r="CT1873" s="36">
        <v>17</v>
      </c>
      <c r="CU1873" s="35">
        <v>0.14000000000000001</v>
      </c>
      <c r="CV1873" s="36">
        <v>74</v>
      </c>
      <c r="CW1873" s="35">
        <v>1.87</v>
      </c>
      <c r="CX1873" s="36">
        <v>88</v>
      </c>
      <c r="CY1873" s="35">
        <v>-3.37</v>
      </c>
      <c r="CZ1873" s="36">
        <v>6</v>
      </c>
      <c r="DA1873" s="35">
        <v>0.25</v>
      </c>
      <c r="DB1873" s="36">
        <v>86</v>
      </c>
      <c r="DC1873" s="37">
        <v>13.56</v>
      </c>
      <c r="DD1873" s="36">
        <v>92</v>
      </c>
      <c r="DE1873" s="37">
        <v>-0.2</v>
      </c>
      <c r="DF1873" s="35">
        <v>-1.46</v>
      </c>
      <c r="DG1873" s="37">
        <v>25.89</v>
      </c>
      <c r="DH1873" s="36">
        <v>96</v>
      </c>
      <c r="DI1873" s="37">
        <v>1.23</v>
      </c>
      <c r="DJ1873" s="36">
        <v>53</v>
      </c>
      <c r="DK1873" s="37">
        <v>5.68</v>
      </c>
      <c r="DL1873" s="36">
        <v>81</v>
      </c>
      <c r="DM1873" s="37">
        <v>46.1</v>
      </c>
      <c r="DN1873" s="36">
        <v>98</v>
      </c>
      <c r="DO1873" s="37">
        <v>2.0299999999999998</v>
      </c>
      <c r="DP1873" s="36">
        <v>64</v>
      </c>
      <c r="DQ1873" s="36">
        <v>1889</v>
      </c>
      <c r="DR1873" s="38">
        <v>175</v>
      </c>
      <c r="DS1873" s="35">
        <v>10.210000000000001</v>
      </c>
      <c r="DT1873" s="36">
        <v>1338</v>
      </c>
      <c r="DU1873" s="38">
        <v>-3</v>
      </c>
      <c r="DV1873" s="35">
        <v>-0.22</v>
      </c>
      <c r="DW1873" s="36">
        <v>722</v>
      </c>
      <c r="DX1873" s="39">
        <v>1</v>
      </c>
      <c r="DY1873" s="35">
        <v>0.14000000000000001</v>
      </c>
      <c r="DZ1873" s="28" t="s">
        <v>178</v>
      </c>
      <c r="EA1873" s="34">
        <v>43622</v>
      </c>
      <c r="EB1873" s="29">
        <v>525</v>
      </c>
      <c r="EC1873" s="34">
        <v>40568</v>
      </c>
      <c r="ED1873" s="28" t="s">
        <v>2228</v>
      </c>
      <c r="EE1873" s="40" t="str">
        <f>HYPERLINK("https://my.pitchbook.com?c=13228-48", "View company online")</f>
        <v>View company online</v>
      </c>
    </row>
    <row r="1874" spans="1:135">
      <c r="A1874" s="15" t="s">
        <v>35524</v>
      </c>
      <c r="B1874" s="15" t="s">
        <v>35525</v>
      </c>
      <c r="C1874" s="15" t="s">
        <v>138</v>
      </c>
      <c r="D1874" s="15" t="s">
        <v>138</v>
      </c>
      <c r="E1874" s="15" t="s">
        <v>35526</v>
      </c>
      <c r="F1874" s="15" t="s">
        <v>35524</v>
      </c>
      <c r="G1874" s="15" t="s">
        <v>35527</v>
      </c>
      <c r="H1874" s="15" t="s">
        <v>322</v>
      </c>
      <c r="I1874" s="15" t="s">
        <v>323</v>
      </c>
      <c r="J1874" s="15" t="s">
        <v>324</v>
      </c>
      <c r="K1874" s="15" t="s">
        <v>5902</v>
      </c>
      <c r="L1874" s="15" t="s">
        <v>215</v>
      </c>
      <c r="M1874" s="15" t="s">
        <v>35528</v>
      </c>
      <c r="N1874" s="15" t="s">
        <v>1452</v>
      </c>
      <c r="O1874" s="17">
        <v>232.69</v>
      </c>
      <c r="P1874" s="15" t="s">
        <v>812</v>
      </c>
      <c r="Q1874" s="15" t="s">
        <v>149</v>
      </c>
      <c r="R1874" s="15" t="s">
        <v>7250</v>
      </c>
      <c r="S1874" s="15" t="s">
        <v>35529</v>
      </c>
      <c r="T1874" s="18">
        <v>850</v>
      </c>
      <c r="U1874" s="15" t="s">
        <v>35530</v>
      </c>
      <c r="V1874" s="15" t="s">
        <v>138</v>
      </c>
      <c r="W1874" s="15" t="s">
        <v>138</v>
      </c>
      <c r="X1874" s="19">
        <v>2007</v>
      </c>
      <c r="Y1874" s="15" t="s">
        <v>138</v>
      </c>
      <c r="Z1874" s="15" t="s">
        <v>138</v>
      </c>
      <c r="AA1874" s="15" t="s">
        <v>1163</v>
      </c>
      <c r="AB1874" s="20">
        <v>224.71</v>
      </c>
      <c r="AC1874" s="20">
        <v>155.32</v>
      </c>
      <c r="AD1874" s="20">
        <v>-24.86</v>
      </c>
      <c r="AE1874" s="20">
        <v>1506.39</v>
      </c>
      <c r="AF1874" s="20">
        <v>-17.43</v>
      </c>
      <c r="AG1874" s="15" t="s">
        <v>35080</v>
      </c>
      <c r="AH1874" s="20">
        <v>-23.41</v>
      </c>
      <c r="AI1874" s="20" t="s">
        <v>138</v>
      </c>
      <c r="AJ1874" s="20">
        <v>-145.27000000000001</v>
      </c>
      <c r="AK1874" s="15" t="s">
        <v>35531</v>
      </c>
      <c r="AL1874" s="15" t="s">
        <v>35532</v>
      </c>
      <c r="AM1874" s="15" t="s">
        <v>35533</v>
      </c>
      <c r="AN1874" s="15" t="s">
        <v>35534</v>
      </c>
      <c r="AO1874" s="15" t="s">
        <v>35535</v>
      </c>
      <c r="AP1874" s="15" t="s">
        <v>15386</v>
      </c>
      <c r="AQ1874" s="15" t="s">
        <v>35536</v>
      </c>
      <c r="AR1874" s="15" t="s">
        <v>226</v>
      </c>
      <c r="AS1874" s="15" t="s">
        <v>15388</v>
      </c>
      <c r="AT1874" s="15" t="s">
        <v>284</v>
      </c>
      <c r="AU1874" s="15" t="s">
        <v>15389</v>
      </c>
      <c r="AV1874" s="15" t="s">
        <v>162</v>
      </c>
      <c r="AW1874" s="15" t="s">
        <v>35535</v>
      </c>
      <c r="AX1874" s="15" t="s">
        <v>138</v>
      </c>
      <c r="AY1874" s="15" t="s">
        <v>138</v>
      </c>
      <c r="AZ1874" s="15" t="s">
        <v>164</v>
      </c>
      <c r="BA1874" s="15" t="s">
        <v>165</v>
      </c>
      <c r="BB1874" s="15" t="s">
        <v>35537</v>
      </c>
      <c r="BC1874" s="15" t="s">
        <v>1489</v>
      </c>
      <c r="BD1874" s="21">
        <v>1</v>
      </c>
      <c r="BE1874" s="15" t="s">
        <v>138</v>
      </c>
      <c r="BF1874" s="15" t="s">
        <v>35538</v>
      </c>
      <c r="BG1874" s="15" t="s">
        <v>138</v>
      </c>
      <c r="BH1874" s="15" t="s">
        <v>1491</v>
      </c>
      <c r="BI1874" s="15" t="s">
        <v>35539</v>
      </c>
      <c r="BJ1874" s="15" t="s">
        <v>138</v>
      </c>
      <c r="BK1874" s="15" t="s">
        <v>4576</v>
      </c>
      <c r="BL1874" s="15" t="s">
        <v>35540</v>
      </c>
      <c r="BM1874" s="22">
        <v>39409</v>
      </c>
      <c r="BN1874" s="17">
        <v>7.08</v>
      </c>
      <c r="BO1874" s="15" t="s">
        <v>172</v>
      </c>
      <c r="BP1874" s="17">
        <v>23.33</v>
      </c>
      <c r="BQ1874" s="15" t="s">
        <v>172</v>
      </c>
      <c r="BR1874" s="15" t="s">
        <v>205</v>
      </c>
      <c r="BS1874" s="15" t="s">
        <v>206</v>
      </c>
      <c r="BT1874" s="15" t="s">
        <v>138</v>
      </c>
      <c r="BU1874" s="15" t="s">
        <v>174</v>
      </c>
      <c r="BV1874" s="15" t="s">
        <v>138</v>
      </c>
      <c r="BW1874" s="15" t="s">
        <v>138</v>
      </c>
      <c r="BX1874" s="15" t="s">
        <v>138</v>
      </c>
      <c r="BY1874" s="15" t="s">
        <v>175</v>
      </c>
      <c r="BZ1874" s="22">
        <v>43475</v>
      </c>
      <c r="CA1874" s="17">
        <v>1940</v>
      </c>
      <c r="CB1874" s="15" t="s">
        <v>172</v>
      </c>
      <c r="CC1874" s="17">
        <v>1940</v>
      </c>
      <c r="CD1874" s="15" t="s">
        <v>172</v>
      </c>
      <c r="CE1874" s="15" t="s">
        <v>349</v>
      </c>
      <c r="CF1874" s="15" t="s">
        <v>1496</v>
      </c>
      <c r="CG1874" s="15" t="s">
        <v>138</v>
      </c>
      <c r="CH1874" s="15" t="s">
        <v>351</v>
      </c>
      <c r="CI1874" s="15" t="s">
        <v>1497</v>
      </c>
      <c r="CJ1874" s="15" t="s">
        <v>138</v>
      </c>
      <c r="CK1874" s="15" t="s">
        <v>138</v>
      </c>
      <c r="CL1874" s="15" t="s">
        <v>175</v>
      </c>
      <c r="CM1874" s="22">
        <v>43475</v>
      </c>
      <c r="CN1874" s="17" t="s">
        <v>138</v>
      </c>
      <c r="CO1874" s="23">
        <v>-7.0000000000000007E-2</v>
      </c>
      <c r="CP1874" s="24">
        <v>21</v>
      </c>
      <c r="CQ1874" s="23">
        <v>-0.02</v>
      </c>
      <c r="CR1874" s="23">
        <v>-33.83</v>
      </c>
      <c r="CS1874" s="23">
        <v>-0.32</v>
      </c>
      <c r="CT1874" s="24">
        <v>21</v>
      </c>
      <c r="CU1874" s="23">
        <v>0.1</v>
      </c>
      <c r="CV1874" s="24">
        <v>68</v>
      </c>
      <c r="CW1874" s="23">
        <v>1.82</v>
      </c>
      <c r="CX1874" s="24">
        <v>88</v>
      </c>
      <c r="CY1874" s="23">
        <v>-2.4700000000000002</v>
      </c>
      <c r="CZ1874" s="24">
        <v>9</v>
      </c>
      <c r="DA1874" s="23">
        <v>0.02</v>
      </c>
      <c r="DB1874" s="24">
        <v>58</v>
      </c>
      <c r="DC1874" s="25">
        <v>20.57</v>
      </c>
      <c r="DD1874" s="24">
        <v>95</v>
      </c>
      <c r="DE1874" s="25">
        <v>-0.55000000000000004</v>
      </c>
      <c r="DF1874" s="23">
        <v>-2.61</v>
      </c>
      <c r="DG1874" s="25">
        <v>43.94</v>
      </c>
      <c r="DH1874" s="24">
        <v>98</v>
      </c>
      <c r="DI1874" s="25">
        <v>16.190000000000001</v>
      </c>
      <c r="DJ1874" s="24">
        <v>89</v>
      </c>
      <c r="DK1874" s="25">
        <v>30.99</v>
      </c>
      <c r="DL1874" s="24">
        <v>94</v>
      </c>
      <c r="DM1874" s="25">
        <v>56.9</v>
      </c>
      <c r="DN1874" s="24">
        <v>98</v>
      </c>
      <c r="DO1874" s="25">
        <v>30.13</v>
      </c>
      <c r="DP1874" s="24">
        <v>95</v>
      </c>
      <c r="DQ1874" s="24">
        <v>10353</v>
      </c>
      <c r="DR1874" s="26">
        <v>825</v>
      </c>
      <c r="DS1874" s="23">
        <v>8.66</v>
      </c>
      <c r="DT1874" s="24">
        <v>1644</v>
      </c>
      <c r="DU1874" s="26">
        <v>13</v>
      </c>
      <c r="DV1874" s="23">
        <v>0.8</v>
      </c>
      <c r="DW1874" s="24">
        <v>10788</v>
      </c>
      <c r="DX1874" s="27">
        <v>-1</v>
      </c>
      <c r="DY1874" s="23">
        <v>-0.01</v>
      </c>
      <c r="DZ1874" s="15" t="s">
        <v>178</v>
      </c>
      <c r="EA1874" s="22">
        <v>43622</v>
      </c>
      <c r="EB1874" s="17">
        <v>1940</v>
      </c>
      <c r="EC1874" s="22">
        <v>43475</v>
      </c>
      <c r="ED1874" s="15" t="s">
        <v>349</v>
      </c>
      <c r="EE1874" s="14" t="str">
        <f>HYPERLINK("https://my.pitchbook.com?c=12655-99", "View company online")</f>
        <v>View company online</v>
      </c>
    </row>
    <row r="1875" spans="1:135">
      <c r="A1875" s="28" t="s">
        <v>35541</v>
      </c>
      <c r="B1875" s="28" t="s">
        <v>35542</v>
      </c>
      <c r="C1875" s="28" t="s">
        <v>35543</v>
      </c>
      <c r="D1875" s="28" t="s">
        <v>138</v>
      </c>
      <c r="E1875" s="28" t="s">
        <v>35544</v>
      </c>
      <c r="F1875" s="28" t="s">
        <v>35541</v>
      </c>
      <c r="G1875" s="28" t="s">
        <v>35545</v>
      </c>
      <c r="H1875" s="28" t="s">
        <v>322</v>
      </c>
      <c r="I1875" s="28" t="s">
        <v>323</v>
      </c>
      <c r="J1875" s="28" t="s">
        <v>461</v>
      </c>
      <c r="K1875" s="28" t="s">
        <v>10119</v>
      </c>
      <c r="L1875" s="28" t="s">
        <v>2274</v>
      </c>
      <c r="M1875" s="28" t="s">
        <v>35546</v>
      </c>
      <c r="N1875" s="28" t="s">
        <v>1452</v>
      </c>
      <c r="O1875" s="29">
        <v>68.58</v>
      </c>
      <c r="P1875" s="28" t="s">
        <v>148</v>
      </c>
      <c r="Q1875" s="28" t="s">
        <v>149</v>
      </c>
      <c r="R1875" s="28" t="s">
        <v>1652</v>
      </c>
      <c r="S1875" s="28" t="s">
        <v>35547</v>
      </c>
      <c r="T1875" s="30">
        <v>150</v>
      </c>
      <c r="U1875" s="28" t="s">
        <v>35548</v>
      </c>
      <c r="V1875" s="28" t="s">
        <v>138</v>
      </c>
      <c r="W1875" s="28" t="s">
        <v>138</v>
      </c>
      <c r="X1875" s="31">
        <v>2000</v>
      </c>
      <c r="Y1875" s="28" t="s">
        <v>138</v>
      </c>
      <c r="Z1875" s="28" t="s">
        <v>138</v>
      </c>
      <c r="AA1875" s="28" t="s">
        <v>138</v>
      </c>
      <c r="AB1875" s="32">
        <v>14.58</v>
      </c>
      <c r="AC1875" s="32" t="s">
        <v>138</v>
      </c>
      <c r="AD1875" s="32" t="s">
        <v>138</v>
      </c>
      <c r="AE1875" s="32" t="s">
        <v>138</v>
      </c>
      <c r="AF1875" s="32" t="s">
        <v>138</v>
      </c>
      <c r="AG1875" s="28" t="s">
        <v>514</v>
      </c>
      <c r="AH1875" s="32" t="s">
        <v>138</v>
      </c>
      <c r="AI1875" s="32" t="s">
        <v>138</v>
      </c>
      <c r="AJ1875" s="32" t="s">
        <v>138</v>
      </c>
      <c r="AK1875" s="28" t="s">
        <v>35549</v>
      </c>
      <c r="AL1875" s="28" t="s">
        <v>35550</v>
      </c>
      <c r="AM1875" s="28" t="s">
        <v>35551</v>
      </c>
      <c r="AN1875" s="28" t="s">
        <v>35552</v>
      </c>
      <c r="AO1875" s="28" t="s">
        <v>35553</v>
      </c>
      <c r="AP1875" s="28" t="s">
        <v>1292</v>
      </c>
      <c r="AQ1875" s="28" t="s">
        <v>35554</v>
      </c>
      <c r="AR1875" s="28" t="s">
        <v>35555</v>
      </c>
      <c r="AS1875" s="28" t="s">
        <v>1294</v>
      </c>
      <c r="AT1875" s="28" t="s">
        <v>864</v>
      </c>
      <c r="AU1875" s="28" t="s">
        <v>8420</v>
      </c>
      <c r="AV1875" s="28" t="s">
        <v>162</v>
      </c>
      <c r="AW1875" s="28" t="s">
        <v>35553</v>
      </c>
      <c r="AX1875" s="28" t="s">
        <v>138</v>
      </c>
      <c r="AY1875" s="28" t="s">
        <v>35556</v>
      </c>
      <c r="AZ1875" s="28" t="s">
        <v>164</v>
      </c>
      <c r="BA1875" s="28" t="s">
        <v>165</v>
      </c>
      <c r="BB1875" s="28" t="s">
        <v>35557</v>
      </c>
      <c r="BC1875" s="28" t="s">
        <v>35558</v>
      </c>
      <c r="BD1875" s="33">
        <v>12</v>
      </c>
      <c r="BE1875" s="28" t="s">
        <v>138</v>
      </c>
      <c r="BF1875" s="28" t="s">
        <v>35559</v>
      </c>
      <c r="BG1875" s="28" t="s">
        <v>138</v>
      </c>
      <c r="BH1875" s="28" t="s">
        <v>35560</v>
      </c>
      <c r="BI1875" s="28" t="s">
        <v>35561</v>
      </c>
      <c r="BJ1875" s="28" t="s">
        <v>138</v>
      </c>
      <c r="BK1875" s="28" t="s">
        <v>35562</v>
      </c>
      <c r="BL1875" s="28" t="s">
        <v>35563</v>
      </c>
      <c r="BM1875" s="34">
        <v>36526</v>
      </c>
      <c r="BN1875" s="29">
        <v>1.6</v>
      </c>
      <c r="BO1875" s="28" t="s">
        <v>172</v>
      </c>
      <c r="BP1875" s="29" t="s">
        <v>138</v>
      </c>
      <c r="BQ1875" s="28" t="s">
        <v>138</v>
      </c>
      <c r="BR1875" s="28" t="s">
        <v>234</v>
      </c>
      <c r="BS1875" s="28" t="s">
        <v>234</v>
      </c>
      <c r="BT1875" s="28" t="s">
        <v>138</v>
      </c>
      <c r="BU1875" s="28" t="s">
        <v>174</v>
      </c>
      <c r="BV1875" s="28" t="s">
        <v>138</v>
      </c>
      <c r="BW1875" s="28" t="s">
        <v>138</v>
      </c>
      <c r="BX1875" s="28" t="s">
        <v>138</v>
      </c>
      <c r="BY1875" s="28" t="s">
        <v>175</v>
      </c>
      <c r="BZ1875" s="34">
        <v>43104</v>
      </c>
      <c r="CA1875" s="29" t="s">
        <v>138</v>
      </c>
      <c r="CB1875" s="28" t="s">
        <v>138</v>
      </c>
      <c r="CC1875" s="29" t="s">
        <v>138</v>
      </c>
      <c r="CD1875" s="28" t="s">
        <v>138</v>
      </c>
      <c r="CE1875" s="28" t="s">
        <v>1673</v>
      </c>
      <c r="CF1875" s="28" t="s">
        <v>138</v>
      </c>
      <c r="CG1875" s="28" t="s">
        <v>138</v>
      </c>
      <c r="CH1875" s="28" t="s">
        <v>351</v>
      </c>
      <c r="CI1875" s="28" t="s">
        <v>138</v>
      </c>
      <c r="CJ1875" s="28" t="s">
        <v>138</v>
      </c>
      <c r="CK1875" s="28" t="s">
        <v>138</v>
      </c>
      <c r="CL1875" s="28" t="s">
        <v>175</v>
      </c>
      <c r="CM1875" s="34">
        <v>42930</v>
      </c>
      <c r="CN1875" s="29">
        <v>5</v>
      </c>
      <c r="CO1875" s="35">
        <v>-1.35</v>
      </c>
      <c r="CP1875" s="36">
        <v>8</v>
      </c>
      <c r="CQ1875" s="35">
        <v>-0.03</v>
      </c>
      <c r="CR1875" s="35">
        <v>-1.9</v>
      </c>
      <c r="CS1875" s="35">
        <v>-2.69</v>
      </c>
      <c r="CT1875" s="36">
        <v>6</v>
      </c>
      <c r="CU1875" s="35">
        <v>-0.02</v>
      </c>
      <c r="CV1875" s="36">
        <v>17</v>
      </c>
      <c r="CW1875" s="35">
        <v>-1.97</v>
      </c>
      <c r="CX1875" s="36">
        <v>7</v>
      </c>
      <c r="CY1875" s="35">
        <v>-3.4</v>
      </c>
      <c r="CZ1875" s="36">
        <v>6</v>
      </c>
      <c r="DA1875" s="35">
        <v>-0.01</v>
      </c>
      <c r="DB1875" s="36">
        <v>21</v>
      </c>
      <c r="DC1875" s="37">
        <v>17.579999999999998</v>
      </c>
      <c r="DD1875" s="36">
        <v>94</v>
      </c>
      <c r="DE1875" s="37">
        <v>-0.41</v>
      </c>
      <c r="DF1875" s="35">
        <v>-2.25</v>
      </c>
      <c r="DG1875" s="37">
        <v>27.74</v>
      </c>
      <c r="DH1875" s="36">
        <v>96</v>
      </c>
      <c r="DI1875" s="37">
        <v>7.43</v>
      </c>
      <c r="DJ1875" s="36">
        <v>82</v>
      </c>
      <c r="DK1875" s="37">
        <v>9.92</v>
      </c>
      <c r="DL1875" s="36">
        <v>87</v>
      </c>
      <c r="DM1875" s="37">
        <v>45.55</v>
      </c>
      <c r="DN1875" s="36">
        <v>98</v>
      </c>
      <c r="DO1875" s="37">
        <v>13.61</v>
      </c>
      <c r="DP1875" s="36">
        <v>90</v>
      </c>
      <c r="DQ1875" s="36">
        <v>3410</v>
      </c>
      <c r="DR1875" s="38">
        <v>-24</v>
      </c>
      <c r="DS1875" s="35">
        <v>-0.7</v>
      </c>
      <c r="DT1875" s="36">
        <v>1326</v>
      </c>
      <c r="DU1875" s="38">
        <v>-8</v>
      </c>
      <c r="DV1875" s="35">
        <v>-0.6</v>
      </c>
      <c r="DW1875" s="36">
        <v>4873</v>
      </c>
      <c r="DX1875" s="39">
        <v>-1</v>
      </c>
      <c r="DY1875" s="35">
        <v>-0.02</v>
      </c>
      <c r="DZ1875" s="28" t="s">
        <v>178</v>
      </c>
      <c r="EA1875" s="34">
        <v>43622</v>
      </c>
      <c r="EB1875" s="29">
        <v>152.56</v>
      </c>
      <c r="EC1875" s="34">
        <v>41547</v>
      </c>
      <c r="ED1875" s="28" t="s">
        <v>173</v>
      </c>
      <c r="EE1875" s="40" t="str">
        <f>HYPERLINK("https://my.pitchbook.com?c=12235-96", "View company online")</f>
        <v>View company online</v>
      </c>
    </row>
    <row r="1876" spans="1:135">
      <c r="A1876" s="15" t="s">
        <v>35564</v>
      </c>
      <c r="B1876" s="15" t="s">
        <v>35565</v>
      </c>
      <c r="C1876" s="15" t="s">
        <v>138</v>
      </c>
      <c r="D1876" s="15" t="s">
        <v>138</v>
      </c>
      <c r="E1876" s="15" t="s">
        <v>35566</v>
      </c>
      <c r="F1876" s="15" t="s">
        <v>35564</v>
      </c>
      <c r="G1876" s="15" t="s">
        <v>35567</v>
      </c>
      <c r="H1876" s="15" t="s">
        <v>322</v>
      </c>
      <c r="I1876" s="15" t="s">
        <v>807</v>
      </c>
      <c r="J1876" s="15" t="s">
        <v>1102</v>
      </c>
      <c r="K1876" s="15" t="s">
        <v>35568</v>
      </c>
      <c r="L1876" s="15" t="s">
        <v>415</v>
      </c>
      <c r="M1876" s="15" t="s">
        <v>35569</v>
      </c>
      <c r="N1876" s="15" t="s">
        <v>147</v>
      </c>
      <c r="O1876" s="17">
        <v>0.5</v>
      </c>
      <c r="P1876" s="15" t="s">
        <v>148</v>
      </c>
      <c r="Q1876" s="15" t="s">
        <v>149</v>
      </c>
      <c r="R1876" s="15" t="s">
        <v>174</v>
      </c>
      <c r="S1876" s="15" t="s">
        <v>35570</v>
      </c>
      <c r="T1876" s="18" t="s">
        <v>138</v>
      </c>
      <c r="U1876" s="15" t="s">
        <v>138</v>
      </c>
      <c r="V1876" s="15" t="s">
        <v>138</v>
      </c>
      <c r="W1876" s="15" t="s">
        <v>138</v>
      </c>
      <c r="X1876" s="19">
        <v>2009</v>
      </c>
      <c r="Y1876" s="15" t="s">
        <v>138</v>
      </c>
      <c r="Z1876" s="15" t="s">
        <v>138</v>
      </c>
      <c r="AA1876" s="15" t="s">
        <v>138</v>
      </c>
      <c r="AB1876" s="20" t="s">
        <v>138</v>
      </c>
      <c r="AC1876" s="20" t="s">
        <v>138</v>
      </c>
      <c r="AD1876" s="20" t="s">
        <v>138</v>
      </c>
      <c r="AE1876" s="20" t="s">
        <v>138</v>
      </c>
      <c r="AF1876" s="20" t="s">
        <v>138</v>
      </c>
      <c r="AG1876" s="15" t="s">
        <v>138</v>
      </c>
      <c r="AH1876" s="20" t="s">
        <v>138</v>
      </c>
      <c r="AI1876" s="20" t="s">
        <v>138</v>
      </c>
      <c r="AJ1876" s="20" t="s">
        <v>138</v>
      </c>
      <c r="AK1876" s="15" t="s">
        <v>35571</v>
      </c>
      <c r="AL1876" s="15" t="s">
        <v>35572</v>
      </c>
      <c r="AM1876" s="15" t="s">
        <v>35573</v>
      </c>
      <c r="AN1876" s="15" t="s">
        <v>35574</v>
      </c>
      <c r="AO1876" s="15" t="s">
        <v>35575</v>
      </c>
      <c r="AP1876" s="15" t="s">
        <v>3136</v>
      </c>
      <c r="AQ1876" s="15" t="s">
        <v>35576</v>
      </c>
      <c r="AR1876" s="15" t="s">
        <v>6298</v>
      </c>
      <c r="AS1876" s="15" t="s">
        <v>3139</v>
      </c>
      <c r="AT1876" s="15" t="s">
        <v>3140</v>
      </c>
      <c r="AU1876" s="15" t="s">
        <v>3141</v>
      </c>
      <c r="AV1876" s="15" t="s">
        <v>162</v>
      </c>
      <c r="AW1876" s="15" t="s">
        <v>35575</v>
      </c>
      <c r="AX1876" s="15" t="s">
        <v>138</v>
      </c>
      <c r="AY1876" s="15" t="s">
        <v>35577</v>
      </c>
      <c r="AZ1876" s="15" t="s">
        <v>164</v>
      </c>
      <c r="BA1876" s="15" t="s">
        <v>165</v>
      </c>
      <c r="BB1876" s="15" t="s">
        <v>35578</v>
      </c>
      <c r="BC1876" s="15" t="s">
        <v>3186</v>
      </c>
      <c r="BD1876" s="21">
        <v>1</v>
      </c>
      <c r="BE1876" s="15" t="s">
        <v>138</v>
      </c>
      <c r="BF1876" s="15" t="s">
        <v>138</v>
      </c>
      <c r="BG1876" s="15" t="s">
        <v>138</v>
      </c>
      <c r="BH1876" s="15" t="s">
        <v>138</v>
      </c>
      <c r="BI1876" s="15" t="s">
        <v>138</v>
      </c>
      <c r="BJ1876" s="15" t="s">
        <v>138</v>
      </c>
      <c r="BK1876" s="15" t="s">
        <v>138</v>
      </c>
      <c r="BL1876" s="15" t="s">
        <v>138</v>
      </c>
      <c r="BM1876" s="22">
        <v>42888</v>
      </c>
      <c r="BN1876" s="17">
        <v>0.5</v>
      </c>
      <c r="BO1876" s="15" t="s">
        <v>172</v>
      </c>
      <c r="BP1876" s="17">
        <v>10.5</v>
      </c>
      <c r="BQ1876" s="15" t="s">
        <v>172</v>
      </c>
      <c r="BR1876" s="15" t="s">
        <v>173</v>
      </c>
      <c r="BS1876" s="15" t="s">
        <v>138</v>
      </c>
      <c r="BT1876" s="15" t="s">
        <v>138</v>
      </c>
      <c r="BU1876" s="15" t="s">
        <v>174</v>
      </c>
      <c r="BV1876" s="15" t="s">
        <v>138</v>
      </c>
      <c r="BW1876" s="15" t="s">
        <v>138</v>
      </c>
      <c r="BX1876" s="15" t="s">
        <v>138</v>
      </c>
      <c r="BY1876" s="15" t="s">
        <v>175</v>
      </c>
      <c r="BZ1876" s="22">
        <v>42888</v>
      </c>
      <c r="CA1876" s="17">
        <v>0.5</v>
      </c>
      <c r="CB1876" s="15" t="s">
        <v>172</v>
      </c>
      <c r="CC1876" s="17">
        <v>10.5</v>
      </c>
      <c r="CD1876" s="15" t="s">
        <v>172</v>
      </c>
      <c r="CE1876" s="15" t="s">
        <v>173</v>
      </c>
      <c r="CF1876" s="15" t="s">
        <v>138</v>
      </c>
      <c r="CG1876" s="15" t="s">
        <v>138</v>
      </c>
      <c r="CH1876" s="15" t="s">
        <v>174</v>
      </c>
      <c r="CI1876" s="15" t="s">
        <v>138</v>
      </c>
      <c r="CJ1876" s="15" t="s">
        <v>138</v>
      </c>
      <c r="CK1876" s="15" t="s">
        <v>138</v>
      </c>
      <c r="CL1876" s="15" t="s">
        <v>175</v>
      </c>
      <c r="CM1876" s="22" t="s">
        <v>138</v>
      </c>
      <c r="CN1876" s="17" t="s">
        <v>138</v>
      </c>
      <c r="CO1876" s="23">
        <v>-0.09</v>
      </c>
      <c r="CP1876" s="24">
        <v>21</v>
      </c>
      <c r="CQ1876" s="23">
        <v>-0.04</v>
      </c>
      <c r="CR1876" s="23">
        <v>-102.15</v>
      </c>
      <c r="CS1876" s="23">
        <v>0</v>
      </c>
      <c r="CT1876" s="24">
        <v>23</v>
      </c>
      <c r="CU1876" s="23">
        <v>-0.18</v>
      </c>
      <c r="CV1876" s="24">
        <v>2</v>
      </c>
      <c r="CW1876" s="23">
        <v>0</v>
      </c>
      <c r="CX1876" s="24">
        <v>13</v>
      </c>
      <c r="CY1876" s="23">
        <v>0</v>
      </c>
      <c r="CZ1876" s="24">
        <v>25</v>
      </c>
      <c r="DA1876" s="23">
        <v>-0.18</v>
      </c>
      <c r="DB1876" s="24">
        <v>2</v>
      </c>
      <c r="DC1876" s="25">
        <v>0.87</v>
      </c>
      <c r="DD1876" s="24">
        <v>48</v>
      </c>
      <c r="DE1876" s="25">
        <v>-7.0000000000000007E-2</v>
      </c>
      <c r="DF1876" s="23">
        <v>-7.37</v>
      </c>
      <c r="DG1876" s="25">
        <v>1.35</v>
      </c>
      <c r="DH1876" s="24">
        <v>58</v>
      </c>
      <c r="DI1876" s="25">
        <v>0.39</v>
      </c>
      <c r="DJ1876" s="24">
        <v>32</v>
      </c>
      <c r="DK1876" s="25">
        <v>2.14</v>
      </c>
      <c r="DL1876" s="24">
        <v>66</v>
      </c>
      <c r="DM1876" s="25">
        <v>0.55000000000000004</v>
      </c>
      <c r="DN1876" s="24">
        <v>36</v>
      </c>
      <c r="DO1876" s="25">
        <v>0.39</v>
      </c>
      <c r="DP1876" s="24">
        <v>34</v>
      </c>
      <c r="DQ1876" s="24">
        <v>692</v>
      </c>
      <c r="DR1876" s="26">
        <v>128</v>
      </c>
      <c r="DS1876" s="23">
        <v>22.7</v>
      </c>
      <c r="DT1876" s="24">
        <v>16</v>
      </c>
      <c r="DU1876" s="26">
        <v>0</v>
      </c>
      <c r="DV1876" s="23">
        <v>0</v>
      </c>
      <c r="DW1876" s="24">
        <v>139</v>
      </c>
      <c r="DX1876" s="27">
        <v>-1</v>
      </c>
      <c r="DY1876" s="23">
        <v>-0.71</v>
      </c>
      <c r="DZ1876" s="15" t="s">
        <v>178</v>
      </c>
      <c r="EA1876" s="22">
        <v>43351</v>
      </c>
      <c r="EB1876" s="17">
        <v>10.5</v>
      </c>
      <c r="EC1876" s="22">
        <v>42888</v>
      </c>
      <c r="ED1876" s="15" t="s">
        <v>173</v>
      </c>
      <c r="EE1876" s="14" t="str">
        <f>HYPERLINK("https://my.pitchbook.com?c=82279-81", "View company online")</f>
        <v>View company online</v>
      </c>
    </row>
    <row r="1877" spans="1:135">
      <c r="A1877" s="28" t="s">
        <v>35579</v>
      </c>
      <c r="B1877" s="28" t="s">
        <v>35580</v>
      </c>
      <c r="C1877" s="28" t="s">
        <v>138</v>
      </c>
      <c r="D1877" s="28" t="s">
        <v>138</v>
      </c>
      <c r="E1877" s="28" t="s">
        <v>35581</v>
      </c>
      <c r="F1877" s="28" t="s">
        <v>35579</v>
      </c>
      <c r="G1877" s="28" t="s">
        <v>35582</v>
      </c>
      <c r="H1877" s="28" t="s">
        <v>322</v>
      </c>
      <c r="I1877" s="28" t="s">
        <v>323</v>
      </c>
      <c r="J1877" s="28" t="s">
        <v>1235</v>
      </c>
      <c r="K1877" s="28" t="s">
        <v>5304</v>
      </c>
      <c r="L1877" s="28" t="s">
        <v>4503</v>
      </c>
      <c r="M1877" s="28" t="s">
        <v>35583</v>
      </c>
      <c r="N1877" s="28" t="s">
        <v>147</v>
      </c>
      <c r="O1877" s="29">
        <v>1.52</v>
      </c>
      <c r="P1877" s="28" t="s">
        <v>148</v>
      </c>
      <c r="Q1877" s="28" t="s">
        <v>149</v>
      </c>
      <c r="R1877" s="28" t="s">
        <v>174</v>
      </c>
      <c r="S1877" s="28" t="s">
        <v>35584</v>
      </c>
      <c r="T1877" s="30" t="s">
        <v>138</v>
      </c>
      <c r="U1877" s="28" t="s">
        <v>138</v>
      </c>
      <c r="V1877" s="28" t="s">
        <v>138</v>
      </c>
      <c r="W1877" s="28" t="s">
        <v>138</v>
      </c>
      <c r="X1877" s="31">
        <v>2010</v>
      </c>
      <c r="Y1877" s="28" t="s">
        <v>138</v>
      </c>
      <c r="Z1877" s="28" t="s">
        <v>138</v>
      </c>
      <c r="AA1877" s="28" t="s">
        <v>138</v>
      </c>
      <c r="AB1877" s="32" t="s">
        <v>138</v>
      </c>
      <c r="AC1877" s="32" t="s">
        <v>138</v>
      </c>
      <c r="AD1877" s="32" t="s">
        <v>138</v>
      </c>
      <c r="AE1877" s="32" t="s">
        <v>138</v>
      </c>
      <c r="AF1877" s="32" t="s">
        <v>138</v>
      </c>
      <c r="AG1877" s="28" t="s">
        <v>138</v>
      </c>
      <c r="AH1877" s="32" t="s">
        <v>138</v>
      </c>
      <c r="AI1877" s="32" t="s">
        <v>138</v>
      </c>
      <c r="AJ1877" s="32" t="s">
        <v>138</v>
      </c>
      <c r="AK1877" s="28" t="s">
        <v>35585</v>
      </c>
      <c r="AL1877" s="28" t="s">
        <v>35586</v>
      </c>
      <c r="AM1877" s="28" t="s">
        <v>422</v>
      </c>
      <c r="AN1877" s="28" t="s">
        <v>35587</v>
      </c>
      <c r="AO1877" s="28" t="s">
        <v>138</v>
      </c>
      <c r="AP1877" s="28" t="s">
        <v>665</v>
      </c>
      <c r="AQ1877" s="28" t="s">
        <v>13211</v>
      </c>
      <c r="AR1877" s="28" t="s">
        <v>26293</v>
      </c>
      <c r="AS1877" s="28" t="s">
        <v>668</v>
      </c>
      <c r="AT1877" s="28" t="s">
        <v>200</v>
      </c>
      <c r="AU1877" s="28" t="s">
        <v>669</v>
      </c>
      <c r="AV1877" s="28" t="s">
        <v>162</v>
      </c>
      <c r="AW1877" s="28" t="s">
        <v>138</v>
      </c>
      <c r="AX1877" s="28" t="s">
        <v>138</v>
      </c>
      <c r="AY1877" s="28" t="s">
        <v>138</v>
      </c>
      <c r="AZ1877" s="28" t="s">
        <v>164</v>
      </c>
      <c r="BA1877" s="28" t="s">
        <v>165</v>
      </c>
      <c r="BB1877" s="28" t="s">
        <v>35588</v>
      </c>
      <c r="BC1877" s="28" t="s">
        <v>35589</v>
      </c>
      <c r="BD1877" s="33">
        <v>7</v>
      </c>
      <c r="BE1877" s="28" t="s">
        <v>138</v>
      </c>
      <c r="BF1877" s="28" t="s">
        <v>138</v>
      </c>
      <c r="BG1877" s="28" t="s">
        <v>138</v>
      </c>
      <c r="BH1877" s="28" t="s">
        <v>35590</v>
      </c>
      <c r="BI1877" s="28" t="s">
        <v>138</v>
      </c>
      <c r="BJ1877" s="28" t="s">
        <v>138</v>
      </c>
      <c r="BK1877" s="28" t="s">
        <v>138</v>
      </c>
      <c r="BL1877" s="28" t="s">
        <v>138</v>
      </c>
      <c r="BM1877" s="34">
        <v>40563</v>
      </c>
      <c r="BN1877" s="29">
        <v>0.12</v>
      </c>
      <c r="BO1877" s="28" t="s">
        <v>172</v>
      </c>
      <c r="BP1877" s="29">
        <v>1.7</v>
      </c>
      <c r="BQ1877" s="28" t="s">
        <v>172</v>
      </c>
      <c r="BR1877" s="28" t="s">
        <v>316</v>
      </c>
      <c r="BS1877" s="28" t="s">
        <v>138</v>
      </c>
      <c r="BT1877" s="28" t="s">
        <v>138</v>
      </c>
      <c r="BU1877" s="28" t="s">
        <v>177</v>
      </c>
      <c r="BV1877" s="28" t="s">
        <v>138</v>
      </c>
      <c r="BW1877" s="28" t="s">
        <v>138</v>
      </c>
      <c r="BX1877" s="28" t="s">
        <v>138</v>
      </c>
      <c r="BY1877" s="28" t="s">
        <v>175</v>
      </c>
      <c r="BZ1877" s="34">
        <v>40722</v>
      </c>
      <c r="CA1877" s="29">
        <v>1.4</v>
      </c>
      <c r="CB1877" s="28" t="s">
        <v>172</v>
      </c>
      <c r="CC1877" s="29" t="s">
        <v>138</v>
      </c>
      <c r="CD1877" s="28" t="s">
        <v>138</v>
      </c>
      <c r="CE1877" s="28" t="s">
        <v>234</v>
      </c>
      <c r="CF1877" s="28" t="s">
        <v>234</v>
      </c>
      <c r="CG1877" s="28" t="s">
        <v>138</v>
      </c>
      <c r="CH1877" s="28" t="s">
        <v>174</v>
      </c>
      <c r="CI1877" s="28" t="s">
        <v>138</v>
      </c>
      <c r="CJ1877" s="28" t="s">
        <v>138</v>
      </c>
      <c r="CK1877" s="28" t="s">
        <v>138</v>
      </c>
      <c r="CL1877" s="28" t="s">
        <v>175</v>
      </c>
      <c r="CM1877" s="34" t="s">
        <v>138</v>
      </c>
      <c r="CN1877" s="29" t="s">
        <v>138</v>
      </c>
      <c r="CO1877" s="35">
        <v>-1.79</v>
      </c>
      <c r="CP1877" s="36">
        <v>6</v>
      </c>
      <c r="CQ1877" s="35">
        <v>-0.02</v>
      </c>
      <c r="CR1877" s="35">
        <v>-1.25</v>
      </c>
      <c r="CS1877" s="35">
        <v>-3.57</v>
      </c>
      <c r="CT1877" s="36">
        <v>4</v>
      </c>
      <c r="CU1877" s="35">
        <v>0</v>
      </c>
      <c r="CV1877" s="36">
        <v>22</v>
      </c>
      <c r="CW1877" s="35">
        <v>0</v>
      </c>
      <c r="CX1877" s="36">
        <v>13</v>
      </c>
      <c r="CY1877" s="35">
        <v>-7.14</v>
      </c>
      <c r="CZ1877" s="36">
        <v>1</v>
      </c>
      <c r="DA1877" s="35">
        <v>0</v>
      </c>
      <c r="DB1877" s="36">
        <v>22</v>
      </c>
      <c r="DC1877" s="37">
        <v>5.29</v>
      </c>
      <c r="DD1877" s="36">
        <v>83</v>
      </c>
      <c r="DE1877" s="37">
        <v>-7.0000000000000007E-2</v>
      </c>
      <c r="DF1877" s="35">
        <v>-1.22</v>
      </c>
      <c r="DG1877" s="37">
        <v>7.12</v>
      </c>
      <c r="DH1877" s="36">
        <v>86</v>
      </c>
      <c r="DI1877" s="37">
        <v>3.47</v>
      </c>
      <c r="DJ1877" s="36">
        <v>72</v>
      </c>
      <c r="DK1877" s="37">
        <v>1.55</v>
      </c>
      <c r="DL1877" s="36">
        <v>59</v>
      </c>
      <c r="DM1877" s="37">
        <v>12.69</v>
      </c>
      <c r="DN1877" s="36">
        <v>91</v>
      </c>
      <c r="DO1877" s="37">
        <v>6.73</v>
      </c>
      <c r="DP1877" s="36">
        <v>83</v>
      </c>
      <c r="DQ1877" s="36">
        <v>509</v>
      </c>
      <c r="DR1877" s="38">
        <v>62</v>
      </c>
      <c r="DS1877" s="35">
        <v>13.87</v>
      </c>
      <c r="DT1877" s="36">
        <v>369</v>
      </c>
      <c r="DU1877" s="38">
        <v>-2</v>
      </c>
      <c r="DV1877" s="35">
        <v>-0.54</v>
      </c>
      <c r="DW1877" s="36">
        <v>2410</v>
      </c>
      <c r="DX1877" s="39">
        <v>0</v>
      </c>
      <c r="DY1877" s="35">
        <v>0</v>
      </c>
      <c r="DZ1877" s="28" t="s">
        <v>178</v>
      </c>
      <c r="EA1877" s="34">
        <v>43489</v>
      </c>
      <c r="EB1877" s="29">
        <v>1.7</v>
      </c>
      <c r="EC1877" s="34">
        <v>40563</v>
      </c>
      <c r="ED1877" s="28" t="s">
        <v>316</v>
      </c>
      <c r="EE1877" s="40" t="str">
        <f>HYPERLINK("https://my.pitchbook.com?c=58134-88", "View company online")</f>
        <v>View company online</v>
      </c>
    </row>
    <row r="1878" spans="1:135">
      <c r="A1878" s="15" t="s">
        <v>35591</v>
      </c>
      <c r="B1878" s="15" t="s">
        <v>35592</v>
      </c>
      <c r="C1878" s="15" t="s">
        <v>138</v>
      </c>
      <c r="D1878" s="15" t="s">
        <v>138</v>
      </c>
      <c r="E1878" s="15" t="s">
        <v>35593</v>
      </c>
      <c r="F1878" s="15" t="s">
        <v>35591</v>
      </c>
      <c r="G1878" s="15" t="s">
        <v>35594</v>
      </c>
      <c r="H1878" s="15" t="s">
        <v>322</v>
      </c>
      <c r="I1878" s="15" t="s">
        <v>323</v>
      </c>
      <c r="J1878" s="15" t="s">
        <v>461</v>
      </c>
      <c r="K1878" s="15" t="s">
        <v>462</v>
      </c>
      <c r="L1878" s="15" t="s">
        <v>2210</v>
      </c>
      <c r="M1878" s="15" t="s">
        <v>35595</v>
      </c>
      <c r="N1878" s="15" t="s">
        <v>147</v>
      </c>
      <c r="O1878" s="17">
        <v>37.799999999999997</v>
      </c>
      <c r="P1878" s="15" t="s">
        <v>148</v>
      </c>
      <c r="Q1878" s="15" t="s">
        <v>149</v>
      </c>
      <c r="R1878" s="15" t="s">
        <v>174</v>
      </c>
      <c r="S1878" s="15" t="s">
        <v>35596</v>
      </c>
      <c r="T1878" s="18" t="s">
        <v>138</v>
      </c>
      <c r="U1878" s="15" t="s">
        <v>138</v>
      </c>
      <c r="V1878" s="15" t="s">
        <v>138</v>
      </c>
      <c r="W1878" s="15" t="s">
        <v>138</v>
      </c>
      <c r="X1878" s="19">
        <v>2015</v>
      </c>
      <c r="Y1878" s="15" t="s">
        <v>138</v>
      </c>
      <c r="Z1878" s="15" t="s">
        <v>138</v>
      </c>
      <c r="AA1878" s="15" t="s">
        <v>138</v>
      </c>
      <c r="AB1878" s="20" t="s">
        <v>138</v>
      </c>
      <c r="AC1878" s="20" t="s">
        <v>138</v>
      </c>
      <c r="AD1878" s="20" t="s">
        <v>138</v>
      </c>
      <c r="AE1878" s="20" t="s">
        <v>138</v>
      </c>
      <c r="AF1878" s="20" t="s">
        <v>138</v>
      </c>
      <c r="AG1878" s="15" t="s">
        <v>138</v>
      </c>
      <c r="AH1878" s="20" t="s">
        <v>138</v>
      </c>
      <c r="AI1878" s="20" t="s">
        <v>138</v>
      </c>
      <c r="AJ1878" s="20" t="s">
        <v>138</v>
      </c>
      <c r="AK1878" s="15" t="s">
        <v>35597</v>
      </c>
      <c r="AL1878" s="15" t="s">
        <v>35598</v>
      </c>
      <c r="AM1878" s="15" t="s">
        <v>8243</v>
      </c>
      <c r="AN1878" s="15" t="s">
        <v>35599</v>
      </c>
      <c r="AO1878" s="15" t="s">
        <v>35600</v>
      </c>
      <c r="AP1878" s="15" t="s">
        <v>1220</v>
      </c>
      <c r="AQ1878" s="15" t="s">
        <v>23500</v>
      </c>
      <c r="AR1878" s="15" t="s">
        <v>4330</v>
      </c>
      <c r="AS1878" s="15" t="s">
        <v>1223</v>
      </c>
      <c r="AT1878" s="15" t="s">
        <v>200</v>
      </c>
      <c r="AU1878" s="15" t="s">
        <v>18402</v>
      </c>
      <c r="AV1878" s="15" t="s">
        <v>162</v>
      </c>
      <c r="AW1878" s="15" t="s">
        <v>35600</v>
      </c>
      <c r="AX1878" s="15" t="s">
        <v>138</v>
      </c>
      <c r="AY1878" s="15" t="s">
        <v>35601</v>
      </c>
      <c r="AZ1878" s="15" t="s">
        <v>164</v>
      </c>
      <c r="BA1878" s="15" t="s">
        <v>165</v>
      </c>
      <c r="BB1878" s="15" t="s">
        <v>35602</v>
      </c>
      <c r="BC1878" s="15" t="s">
        <v>35603</v>
      </c>
      <c r="BD1878" s="21">
        <v>6</v>
      </c>
      <c r="BE1878" s="15" t="s">
        <v>138</v>
      </c>
      <c r="BF1878" s="15" t="s">
        <v>138</v>
      </c>
      <c r="BG1878" s="15" t="s">
        <v>138</v>
      </c>
      <c r="BH1878" s="15" t="s">
        <v>35604</v>
      </c>
      <c r="BI1878" s="15" t="s">
        <v>138</v>
      </c>
      <c r="BJ1878" s="15" t="s">
        <v>138</v>
      </c>
      <c r="BK1878" s="15" t="s">
        <v>1691</v>
      </c>
      <c r="BL1878" s="15" t="s">
        <v>1691</v>
      </c>
      <c r="BM1878" s="22">
        <v>42622</v>
      </c>
      <c r="BN1878" s="17">
        <v>3.3</v>
      </c>
      <c r="BO1878" s="15" t="s">
        <v>172</v>
      </c>
      <c r="BP1878" s="17" t="s">
        <v>138</v>
      </c>
      <c r="BQ1878" s="15" t="s">
        <v>138</v>
      </c>
      <c r="BR1878" s="15" t="s">
        <v>234</v>
      </c>
      <c r="BS1878" s="15" t="s">
        <v>234</v>
      </c>
      <c r="BT1878" s="15" t="s">
        <v>138</v>
      </c>
      <c r="BU1878" s="15" t="s">
        <v>174</v>
      </c>
      <c r="BV1878" s="15" t="s">
        <v>138</v>
      </c>
      <c r="BW1878" s="15" t="s">
        <v>138</v>
      </c>
      <c r="BX1878" s="15" t="s">
        <v>138</v>
      </c>
      <c r="BY1878" s="15" t="s">
        <v>175</v>
      </c>
      <c r="BZ1878" s="22">
        <v>43454</v>
      </c>
      <c r="CA1878" s="17">
        <v>20</v>
      </c>
      <c r="CB1878" s="15" t="s">
        <v>172</v>
      </c>
      <c r="CC1878" s="17" t="s">
        <v>138</v>
      </c>
      <c r="CD1878" s="15" t="s">
        <v>138</v>
      </c>
      <c r="CE1878" s="15" t="s">
        <v>205</v>
      </c>
      <c r="CF1878" s="15" t="s">
        <v>720</v>
      </c>
      <c r="CG1878" s="15" t="s">
        <v>138</v>
      </c>
      <c r="CH1878" s="15" t="s">
        <v>174</v>
      </c>
      <c r="CI1878" s="15" t="s">
        <v>138</v>
      </c>
      <c r="CJ1878" s="15" t="s">
        <v>138</v>
      </c>
      <c r="CK1878" s="15" t="s">
        <v>138</v>
      </c>
      <c r="CL1878" s="15" t="s">
        <v>175</v>
      </c>
      <c r="CM1878" s="22" t="s">
        <v>138</v>
      </c>
      <c r="CN1878" s="17" t="s">
        <v>138</v>
      </c>
      <c r="CO1878" s="23">
        <v>4.37</v>
      </c>
      <c r="CP1878" s="24">
        <v>100</v>
      </c>
      <c r="CQ1878" s="23">
        <v>0.01</v>
      </c>
      <c r="CR1878" s="23">
        <v>0.14000000000000001</v>
      </c>
      <c r="CS1878" s="23">
        <v>8.76</v>
      </c>
      <c r="CT1878" s="24">
        <v>100</v>
      </c>
      <c r="CU1878" s="23">
        <v>-0.01</v>
      </c>
      <c r="CV1878" s="24">
        <v>20</v>
      </c>
      <c r="CW1878" s="23">
        <v>8.76</v>
      </c>
      <c r="CX1878" s="24">
        <v>99</v>
      </c>
      <c r="CY1878" s="23" t="s">
        <v>138</v>
      </c>
      <c r="CZ1878" s="24" t="s">
        <v>138</v>
      </c>
      <c r="DA1878" s="23">
        <v>-0.01</v>
      </c>
      <c r="DB1878" s="24">
        <v>21</v>
      </c>
      <c r="DC1878" s="25">
        <v>7.1</v>
      </c>
      <c r="DD1878" s="24">
        <v>87</v>
      </c>
      <c r="DE1878" s="25">
        <v>-0.35</v>
      </c>
      <c r="DF1878" s="23">
        <v>-4.6900000000000004</v>
      </c>
      <c r="DG1878" s="25">
        <v>5.77</v>
      </c>
      <c r="DH1878" s="24">
        <v>84</v>
      </c>
      <c r="DI1878" s="25">
        <v>8.44</v>
      </c>
      <c r="DJ1878" s="24">
        <v>83</v>
      </c>
      <c r="DK1878" s="25">
        <v>5.77</v>
      </c>
      <c r="DL1878" s="24">
        <v>81</v>
      </c>
      <c r="DM1878" s="25" t="s">
        <v>138</v>
      </c>
      <c r="DN1878" s="24" t="s">
        <v>138</v>
      </c>
      <c r="DO1878" s="25">
        <v>8.44</v>
      </c>
      <c r="DP1878" s="24">
        <v>86</v>
      </c>
      <c r="DQ1878" s="24">
        <v>1899</v>
      </c>
      <c r="DR1878" s="26">
        <v>238</v>
      </c>
      <c r="DS1878" s="23">
        <v>14.33</v>
      </c>
      <c r="DT1878" s="24" t="s">
        <v>138</v>
      </c>
      <c r="DU1878" s="26" t="s">
        <v>138</v>
      </c>
      <c r="DV1878" s="23" t="s">
        <v>138</v>
      </c>
      <c r="DW1878" s="24">
        <v>3021</v>
      </c>
      <c r="DX1878" s="27">
        <v>-1</v>
      </c>
      <c r="DY1878" s="23">
        <v>-0.03</v>
      </c>
      <c r="DZ1878" s="15" t="s">
        <v>178</v>
      </c>
      <c r="EA1878" s="22">
        <v>43560</v>
      </c>
      <c r="EB1878" s="17" t="s">
        <v>138</v>
      </c>
      <c r="EC1878" s="22" t="s">
        <v>138</v>
      </c>
      <c r="ED1878" s="15" t="s">
        <v>138</v>
      </c>
      <c r="EE1878" s="14" t="str">
        <f>HYPERLINK("https://my.pitchbook.com?c=157322-08", "View company online")</f>
        <v>View company online</v>
      </c>
    </row>
    <row r="1879" spans="1:135">
      <c r="A1879" s="28" t="s">
        <v>35605</v>
      </c>
      <c r="B1879" s="28" t="s">
        <v>35606</v>
      </c>
      <c r="C1879" s="28" t="s">
        <v>138</v>
      </c>
      <c r="D1879" s="28" t="s">
        <v>138</v>
      </c>
      <c r="E1879" s="28" t="s">
        <v>35607</v>
      </c>
      <c r="F1879" s="28" t="s">
        <v>35605</v>
      </c>
      <c r="G1879" s="28" t="s">
        <v>35608</v>
      </c>
      <c r="H1879" s="28" t="s">
        <v>322</v>
      </c>
      <c r="I1879" s="28" t="s">
        <v>323</v>
      </c>
      <c r="J1879" s="28" t="s">
        <v>35609</v>
      </c>
      <c r="K1879" s="28" t="s">
        <v>35610</v>
      </c>
      <c r="L1879" s="28" t="s">
        <v>19626</v>
      </c>
      <c r="M1879" s="28" t="s">
        <v>35611</v>
      </c>
      <c r="N1879" s="28" t="s">
        <v>147</v>
      </c>
      <c r="O1879" s="29">
        <v>15.5</v>
      </c>
      <c r="P1879" s="28" t="s">
        <v>610</v>
      </c>
      <c r="Q1879" s="28" t="s">
        <v>149</v>
      </c>
      <c r="R1879" s="28" t="s">
        <v>174</v>
      </c>
      <c r="S1879" s="28" t="s">
        <v>35612</v>
      </c>
      <c r="T1879" s="30" t="s">
        <v>138</v>
      </c>
      <c r="U1879" s="28" t="s">
        <v>138</v>
      </c>
      <c r="V1879" s="28" t="s">
        <v>138</v>
      </c>
      <c r="W1879" s="28" t="s">
        <v>138</v>
      </c>
      <c r="X1879" s="31">
        <v>2017</v>
      </c>
      <c r="Y1879" s="28" t="s">
        <v>138</v>
      </c>
      <c r="Z1879" s="28" t="s">
        <v>138</v>
      </c>
      <c r="AA1879" s="28" t="s">
        <v>138</v>
      </c>
      <c r="AB1879" s="32" t="s">
        <v>138</v>
      </c>
      <c r="AC1879" s="32" t="s">
        <v>138</v>
      </c>
      <c r="AD1879" s="32" t="s">
        <v>138</v>
      </c>
      <c r="AE1879" s="32" t="s">
        <v>138</v>
      </c>
      <c r="AF1879" s="32" t="s">
        <v>138</v>
      </c>
      <c r="AG1879" s="28" t="s">
        <v>138</v>
      </c>
      <c r="AH1879" s="32" t="s">
        <v>138</v>
      </c>
      <c r="AI1879" s="32" t="s">
        <v>138</v>
      </c>
      <c r="AJ1879" s="32" t="s">
        <v>138</v>
      </c>
      <c r="AK1879" s="28" t="s">
        <v>35613</v>
      </c>
      <c r="AL1879" s="28" t="s">
        <v>35614</v>
      </c>
      <c r="AM1879" s="28" t="s">
        <v>35615</v>
      </c>
      <c r="AN1879" s="28" t="s">
        <v>35616</v>
      </c>
      <c r="AO1879" s="28" t="s">
        <v>138</v>
      </c>
      <c r="AP1879" s="28" t="s">
        <v>1168</v>
      </c>
      <c r="AQ1879" s="28" t="s">
        <v>35617</v>
      </c>
      <c r="AR1879" s="28" t="s">
        <v>138</v>
      </c>
      <c r="AS1879" s="28" t="s">
        <v>1171</v>
      </c>
      <c r="AT1879" s="28" t="s">
        <v>200</v>
      </c>
      <c r="AU1879" s="28" t="s">
        <v>10793</v>
      </c>
      <c r="AV1879" s="28" t="s">
        <v>162</v>
      </c>
      <c r="AW1879" s="28" t="s">
        <v>138</v>
      </c>
      <c r="AX1879" s="28" t="s">
        <v>138</v>
      </c>
      <c r="AY1879" s="28" t="s">
        <v>35618</v>
      </c>
      <c r="AZ1879" s="28" t="s">
        <v>164</v>
      </c>
      <c r="BA1879" s="28" t="s">
        <v>165</v>
      </c>
      <c r="BB1879" s="28" t="s">
        <v>35619</v>
      </c>
      <c r="BC1879" s="28" t="s">
        <v>35620</v>
      </c>
      <c r="BD1879" s="33">
        <v>5</v>
      </c>
      <c r="BE1879" s="28" t="s">
        <v>138</v>
      </c>
      <c r="BF1879" s="28" t="s">
        <v>138</v>
      </c>
      <c r="BG1879" s="28" t="s">
        <v>138</v>
      </c>
      <c r="BH1879" s="28" t="s">
        <v>35621</v>
      </c>
      <c r="BI1879" s="28" t="s">
        <v>138</v>
      </c>
      <c r="BJ1879" s="28" t="s">
        <v>138</v>
      </c>
      <c r="BK1879" s="28" t="s">
        <v>138</v>
      </c>
      <c r="BL1879" s="28" t="s">
        <v>138</v>
      </c>
      <c r="BM1879" s="34">
        <v>43416</v>
      </c>
      <c r="BN1879" s="29">
        <v>15.5</v>
      </c>
      <c r="BO1879" s="28" t="s">
        <v>172</v>
      </c>
      <c r="BP1879" s="29">
        <v>48</v>
      </c>
      <c r="BQ1879" s="28" t="s">
        <v>172</v>
      </c>
      <c r="BR1879" s="28" t="s">
        <v>205</v>
      </c>
      <c r="BS1879" s="28" t="s">
        <v>206</v>
      </c>
      <c r="BT1879" s="28" t="s">
        <v>138</v>
      </c>
      <c r="BU1879" s="28" t="s">
        <v>174</v>
      </c>
      <c r="BV1879" s="28" t="s">
        <v>138</v>
      </c>
      <c r="BW1879" s="28" t="s">
        <v>138</v>
      </c>
      <c r="BX1879" s="28" t="s">
        <v>138</v>
      </c>
      <c r="BY1879" s="28" t="s">
        <v>175</v>
      </c>
      <c r="BZ1879" s="34">
        <v>43416</v>
      </c>
      <c r="CA1879" s="29">
        <v>15.5</v>
      </c>
      <c r="CB1879" s="28" t="s">
        <v>172</v>
      </c>
      <c r="CC1879" s="29">
        <v>48</v>
      </c>
      <c r="CD1879" s="28" t="s">
        <v>172</v>
      </c>
      <c r="CE1879" s="28" t="s">
        <v>205</v>
      </c>
      <c r="CF1879" s="28" t="s">
        <v>206</v>
      </c>
      <c r="CG1879" s="28" t="s">
        <v>138</v>
      </c>
      <c r="CH1879" s="28" t="s">
        <v>174</v>
      </c>
      <c r="CI1879" s="28" t="s">
        <v>138</v>
      </c>
      <c r="CJ1879" s="28" t="s">
        <v>138</v>
      </c>
      <c r="CK1879" s="28" t="s">
        <v>138</v>
      </c>
      <c r="CL1879" s="28" t="s">
        <v>175</v>
      </c>
      <c r="CM1879" s="34" t="s">
        <v>138</v>
      </c>
      <c r="CN1879" s="29" t="s">
        <v>138</v>
      </c>
      <c r="CO1879" s="35">
        <v>-0.5</v>
      </c>
      <c r="CP1879" s="36">
        <v>16</v>
      </c>
      <c r="CQ1879" s="35">
        <v>0</v>
      </c>
      <c r="CR1879" s="35">
        <v>0</v>
      </c>
      <c r="CS1879" s="35">
        <v>-1.01</v>
      </c>
      <c r="CT1879" s="36">
        <v>15</v>
      </c>
      <c r="CU1879" s="35">
        <v>0</v>
      </c>
      <c r="CV1879" s="36">
        <v>22</v>
      </c>
      <c r="CW1879" s="35">
        <v>-2.0099999999999998</v>
      </c>
      <c r="CX1879" s="36">
        <v>7</v>
      </c>
      <c r="CY1879" s="35">
        <v>0</v>
      </c>
      <c r="CZ1879" s="36">
        <v>25</v>
      </c>
      <c r="DA1879" s="35">
        <v>0</v>
      </c>
      <c r="DB1879" s="36">
        <v>22</v>
      </c>
      <c r="DC1879" s="37">
        <v>1.34</v>
      </c>
      <c r="DD1879" s="36">
        <v>58</v>
      </c>
      <c r="DE1879" s="37">
        <v>-0.08</v>
      </c>
      <c r="DF1879" s="35">
        <v>-5.54</v>
      </c>
      <c r="DG1879" s="37">
        <v>2.67</v>
      </c>
      <c r="DH1879" s="36">
        <v>72</v>
      </c>
      <c r="DI1879" s="37">
        <v>0.01</v>
      </c>
      <c r="DJ1879" s="36">
        <v>1</v>
      </c>
      <c r="DK1879" s="37">
        <v>2.4500000000000002</v>
      </c>
      <c r="DL1879" s="36">
        <v>68</v>
      </c>
      <c r="DM1879" s="37">
        <v>2.9</v>
      </c>
      <c r="DN1879" s="36">
        <v>73</v>
      </c>
      <c r="DO1879" s="37">
        <v>0.01</v>
      </c>
      <c r="DP1879" s="36">
        <v>1</v>
      </c>
      <c r="DQ1879" s="36">
        <v>810</v>
      </c>
      <c r="DR1879" s="38">
        <v>92</v>
      </c>
      <c r="DS1879" s="35">
        <v>12.81</v>
      </c>
      <c r="DT1879" s="36">
        <v>84</v>
      </c>
      <c r="DU1879" s="38">
        <v>1</v>
      </c>
      <c r="DV1879" s="35">
        <v>1.2</v>
      </c>
      <c r="DW1879" s="36">
        <v>2</v>
      </c>
      <c r="DX1879" s="39">
        <v>0</v>
      </c>
      <c r="DY1879" s="35">
        <v>0</v>
      </c>
      <c r="DZ1879" s="28" t="s">
        <v>178</v>
      </c>
      <c r="EA1879" s="34">
        <v>43579</v>
      </c>
      <c r="EB1879" s="29">
        <v>48</v>
      </c>
      <c r="EC1879" s="34">
        <v>43416</v>
      </c>
      <c r="ED1879" s="28" t="s">
        <v>205</v>
      </c>
      <c r="EE1879" s="40" t="str">
        <f>HYPERLINK("https://my.pitchbook.com?c=234601-03", "View company online")</f>
        <v>View company online</v>
      </c>
    </row>
    <row r="1880" spans="1:135">
      <c r="A1880" s="15" t="s">
        <v>35622</v>
      </c>
      <c r="B1880" s="15" t="s">
        <v>35623</v>
      </c>
      <c r="C1880" s="15" t="s">
        <v>35624</v>
      </c>
      <c r="D1880" s="15" t="s">
        <v>138</v>
      </c>
      <c r="E1880" s="15" t="s">
        <v>35625</v>
      </c>
      <c r="F1880" s="15" t="s">
        <v>35622</v>
      </c>
      <c r="G1880" s="15" t="s">
        <v>35626</v>
      </c>
      <c r="H1880" s="15" t="s">
        <v>141</v>
      </c>
      <c r="I1880" s="15" t="s">
        <v>212</v>
      </c>
      <c r="J1880" s="15" t="s">
        <v>213</v>
      </c>
      <c r="K1880" s="15" t="s">
        <v>35627</v>
      </c>
      <c r="L1880" s="15" t="s">
        <v>4186</v>
      </c>
      <c r="M1880" s="15" t="s">
        <v>35628</v>
      </c>
      <c r="N1880" s="15" t="s">
        <v>147</v>
      </c>
      <c r="O1880" s="17">
        <v>34.42</v>
      </c>
      <c r="P1880" s="15" t="s">
        <v>148</v>
      </c>
      <c r="Q1880" s="15" t="s">
        <v>149</v>
      </c>
      <c r="R1880" s="15" t="s">
        <v>174</v>
      </c>
      <c r="S1880" s="15" t="s">
        <v>35629</v>
      </c>
      <c r="T1880" s="18">
        <v>60</v>
      </c>
      <c r="U1880" s="15" t="s">
        <v>35630</v>
      </c>
      <c r="V1880" s="15" t="s">
        <v>138</v>
      </c>
      <c r="W1880" s="15" t="s">
        <v>138</v>
      </c>
      <c r="X1880" s="19">
        <v>2012</v>
      </c>
      <c r="Y1880" s="15" t="s">
        <v>138</v>
      </c>
      <c r="Z1880" s="15" t="s">
        <v>138</v>
      </c>
      <c r="AA1880" s="15" t="s">
        <v>138</v>
      </c>
      <c r="AB1880" s="20" t="s">
        <v>138</v>
      </c>
      <c r="AC1880" s="20" t="s">
        <v>138</v>
      </c>
      <c r="AD1880" s="20" t="s">
        <v>138</v>
      </c>
      <c r="AE1880" s="20" t="s">
        <v>138</v>
      </c>
      <c r="AF1880" s="20" t="s">
        <v>138</v>
      </c>
      <c r="AG1880" s="15" t="s">
        <v>138</v>
      </c>
      <c r="AH1880" s="20" t="s">
        <v>138</v>
      </c>
      <c r="AI1880" s="20" t="s">
        <v>138</v>
      </c>
      <c r="AJ1880" s="20" t="s">
        <v>138</v>
      </c>
      <c r="AK1880" s="15" t="s">
        <v>35631</v>
      </c>
      <c r="AL1880" s="15" t="s">
        <v>35632</v>
      </c>
      <c r="AM1880" s="15" t="s">
        <v>278</v>
      </c>
      <c r="AN1880" s="15" t="s">
        <v>35633</v>
      </c>
      <c r="AO1880" s="15" t="s">
        <v>35634</v>
      </c>
      <c r="AP1880" s="15" t="s">
        <v>3136</v>
      </c>
      <c r="AQ1880" s="15" t="s">
        <v>35635</v>
      </c>
      <c r="AR1880" s="15" t="s">
        <v>35636</v>
      </c>
      <c r="AS1880" s="15" t="s">
        <v>3139</v>
      </c>
      <c r="AT1880" s="15" t="s">
        <v>3140</v>
      </c>
      <c r="AU1880" s="15" t="s">
        <v>35637</v>
      </c>
      <c r="AV1880" s="15" t="s">
        <v>162</v>
      </c>
      <c r="AW1880" s="15" t="s">
        <v>35634</v>
      </c>
      <c r="AX1880" s="15" t="s">
        <v>138</v>
      </c>
      <c r="AY1880" s="15" t="s">
        <v>35638</v>
      </c>
      <c r="AZ1880" s="15" t="s">
        <v>164</v>
      </c>
      <c r="BA1880" s="15" t="s">
        <v>165</v>
      </c>
      <c r="BB1880" s="15" t="s">
        <v>35639</v>
      </c>
      <c r="BC1880" s="15" t="s">
        <v>35640</v>
      </c>
      <c r="BD1880" s="21">
        <v>10</v>
      </c>
      <c r="BE1880" s="15" t="s">
        <v>138</v>
      </c>
      <c r="BF1880" s="15" t="s">
        <v>138</v>
      </c>
      <c r="BG1880" s="15" t="s">
        <v>138</v>
      </c>
      <c r="BH1880" s="15" t="s">
        <v>35641</v>
      </c>
      <c r="BI1880" s="15" t="s">
        <v>138</v>
      </c>
      <c r="BJ1880" s="15" t="s">
        <v>138</v>
      </c>
      <c r="BK1880" s="15" t="s">
        <v>35642</v>
      </c>
      <c r="BL1880" s="15" t="s">
        <v>35643</v>
      </c>
      <c r="BM1880" s="22">
        <v>42011</v>
      </c>
      <c r="BN1880" s="17">
        <v>17.920000000000002</v>
      </c>
      <c r="BO1880" s="15" t="s">
        <v>172</v>
      </c>
      <c r="BP1880" s="17">
        <v>32.92</v>
      </c>
      <c r="BQ1880" s="15" t="s">
        <v>172</v>
      </c>
      <c r="BR1880" s="15" t="s">
        <v>205</v>
      </c>
      <c r="BS1880" s="15" t="s">
        <v>206</v>
      </c>
      <c r="BT1880" s="15" t="s">
        <v>138</v>
      </c>
      <c r="BU1880" s="15" t="s">
        <v>174</v>
      </c>
      <c r="BV1880" s="15" t="s">
        <v>138</v>
      </c>
      <c r="BW1880" s="15" t="s">
        <v>138</v>
      </c>
      <c r="BX1880" s="15" t="s">
        <v>138</v>
      </c>
      <c r="BY1880" s="15" t="s">
        <v>175</v>
      </c>
      <c r="BZ1880" s="22">
        <v>42979</v>
      </c>
      <c r="CA1880" s="17">
        <v>16.5</v>
      </c>
      <c r="CB1880" s="15" t="s">
        <v>172</v>
      </c>
      <c r="CC1880" s="17">
        <v>49.42</v>
      </c>
      <c r="CD1880" s="15" t="s">
        <v>172</v>
      </c>
      <c r="CE1880" s="15" t="s">
        <v>205</v>
      </c>
      <c r="CF1880" s="15" t="s">
        <v>206</v>
      </c>
      <c r="CG1880" s="15" t="s">
        <v>138</v>
      </c>
      <c r="CH1880" s="15" t="s">
        <v>174</v>
      </c>
      <c r="CI1880" s="15" t="s">
        <v>138</v>
      </c>
      <c r="CJ1880" s="15" t="s">
        <v>138</v>
      </c>
      <c r="CK1880" s="15" t="s">
        <v>138</v>
      </c>
      <c r="CL1880" s="15" t="s">
        <v>175</v>
      </c>
      <c r="CM1880" s="22" t="s">
        <v>138</v>
      </c>
      <c r="CN1880" s="17" t="s">
        <v>138</v>
      </c>
      <c r="CO1880" s="23">
        <v>0.39</v>
      </c>
      <c r="CP1880" s="24">
        <v>94</v>
      </c>
      <c r="CQ1880" s="23">
        <v>-0.04</v>
      </c>
      <c r="CR1880" s="23">
        <v>-8.5500000000000007</v>
      </c>
      <c r="CS1880" s="23">
        <v>0.62</v>
      </c>
      <c r="CT1880" s="24">
        <v>96</v>
      </c>
      <c r="CU1880" s="23">
        <v>0.16</v>
      </c>
      <c r="CV1880" s="24">
        <v>76</v>
      </c>
      <c r="CW1880" s="23">
        <v>1.24</v>
      </c>
      <c r="CX1880" s="24">
        <v>85</v>
      </c>
      <c r="CY1880" s="23">
        <v>0</v>
      </c>
      <c r="CZ1880" s="24">
        <v>25</v>
      </c>
      <c r="DA1880" s="23">
        <v>0.16</v>
      </c>
      <c r="DB1880" s="24">
        <v>79</v>
      </c>
      <c r="DC1880" s="25">
        <v>2.5499999999999998</v>
      </c>
      <c r="DD1880" s="24">
        <v>72</v>
      </c>
      <c r="DE1880" s="25">
        <v>-0.09</v>
      </c>
      <c r="DF1880" s="23">
        <v>-3.42</v>
      </c>
      <c r="DG1880" s="25">
        <v>2.67</v>
      </c>
      <c r="DH1880" s="24">
        <v>72</v>
      </c>
      <c r="DI1880" s="25">
        <v>2.44</v>
      </c>
      <c r="DJ1880" s="24">
        <v>66</v>
      </c>
      <c r="DK1880" s="25">
        <v>3.3</v>
      </c>
      <c r="DL1880" s="24">
        <v>73</v>
      </c>
      <c r="DM1880" s="25">
        <v>2.0299999999999998</v>
      </c>
      <c r="DN1880" s="24">
        <v>66</v>
      </c>
      <c r="DO1880" s="25">
        <v>2.44</v>
      </c>
      <c r="DP1880" s="24">
        <v>67</v>
      </c>
      <c r="DQ1880" s="24">
        <v>1101</v>
      </c>
      <c r="DR1880" s="26">
        <v>87</v>
      </c>
      <c r="DS1880" s="23">
        <v>8.58</v>
      </c>
      <c r="DT1880" s="24">
        <v>58</v>
      </c>
      <c r="DU1880" s="26">
        <v>1</v>
      </c>
      <c r="DV1880" s="23">
        <v>1.75</v>
      </c>
      <c r="DW1880" s="24">
        <v>873</v>
      </c>
      <c r="DX1880" s="27">
        <v>0</v>
      </c>
      <c r="DY1880" s="23">
        <v>0</v>
      </c>
      <c r="DZ1880" s="15" t="s">
        <v>178</v>
      </c>
      <c r="EA1880" s="22">
        <v>43622</v>
      </c>
      <c r="EB1880" s="17">
        <v>49.42</v>
      </c>
      <c r="EC1880" s="22">
        <v>42979</v>
      </c>
      <c r="ED1880" s="15" t="s">
        <v>205</v>
      </c>
      <c r="EE1880" s="14" t="str">
        <f>HYPERLINK("https://my.pitchbook.com?c=87241-51", "View company online")</f>
        <v>View company online</v>
      </c>
    </row>
    <row r="1881" spans="1:135">
      <c r="A1881" s="28" t="s">
        <v>35644</v>
      </c>
      <c r="B1881" s="28" t="s">
        <v>35645</v>
      </c>
      <c r="C1881" s="28" t="s">
        <v>138</v>
      </c>
      <c r="D1881" s="28" t="s">
        <v>138</v>
      </c>
      <c r="E1881" s="28" t="s">
        <v>138</v>
      </c>
      <c r="F1881" s="28" t="s">
        <v>35644</v>
      </c>
      <c r="G1881" s="28" t="s">
        <v>35646</v>
      </c>
      <c r="H1881" s="28" t="s">
        <v>238</v>
      </c>
      <c r="I1881" s="28" t="s">
        <v>239</v>
      </c>
      <c r="J1881" s="28" t="s">
        <v>8328</v>
      </c>
      <c r="K1881" s="28" t="s">
        <v>35647</v>
      </c>
      <c r="L1881" s="28" t="s">
        <v>242</v>
      </c>
      <c r="M1881" s="28" t="s">
        <v>35648</v>
      </c>
      <c r="N1881" s="28" t="s">
        <v>147</v>
      </c>
      <c r="O1881" s="29">
        <v>0.52</v>
      </c>
      <c r="P1881" s="28" t="s">
        <v>610</v>
      </c>
      <c r="Q1881" s="28" t="s">
        <v>149</v>
      </c>
      <c r="R1881" s="28" t="s">
        <v>244</v>
      </c>
      <c r="S1881" s="28" t="s">
        <v>35649</v>
      </c>
      <c r="T1881" s="30">
        <v>11</v>
      </c>
      <c r="U1881" s="28" t="s">
        <v>33378</v>
      </c>
      <c r="V1881" s="28" t="s">
        <v>138</v>
      </c>
      <c r="W1881" s="28" t="s">
        <v>138</v>
      </c>
      <c r="X1881" s="31">
        <v>2010</v>
      </c>
      <c r="Y1881" s="28" t="s">
        <v>138</v>
      </c>
      <c r="Z1881" s="28" t="s">
        <v>138</v>
      </c>
      <c r="AA1881" s="28" t="s">
        <v>138</v>
      </c>
      <c r="AB1881" s="32" t="s">
        <v>138</v>
      </c>
      <c r="AC1881" s="32" t="s">
        <v>138</v>
      </c>
      <c r="AD1881" s="32" t="s">
        <v>138</v>
      </c>
      <c r="AE1881" s="32" t="s">
        <v>138</v>
      </c>
      <c r="AF1881" s="32" t="s">
        <v>138</v>
      </c>
      <c r="AG1881" s="28" t="s">
        <v>138</v>
      </c>
      <c r="AH1881" s="32" t="s">
        <v>138</v>
      </c>
      <c r="AI1881" s="32" t="s">
        <v>138</v>
      </c>
      <c r="AJ1881" s="32" t="s">
        <v>138</v>
      </c>
      <c r="AK1881" s="28" t="s">
        <v>35650</v>
      </c>
      <c r="AL1881" s="28" t="s">
        <v>35651</v>
      </c>
      <c r="AM1881" s="28" t="s">
        <v>18618</v>
      </c>
      <c r="AN1881" s="28" t="s">
        <v>35652</v>
      </c>
      <c r="AO1881" s="28" t="s">
        <v>35653</v>
      </c>
      <c r="AP1881" s="28" t="s">
        <v>2002</v>
      </c>
      <c r="AQ1881" s="28" t="s">
        <v>35654</v>
      </c>
      <c r="AR1881" s="28" t="s">
        <v>35655</v>
      </c>
      <c r="AS1881" s="28" t="s">
        <v>2005</v>
      </c>
      <c r="AT1881" s="28" t="s">
        <v>200</v>
      </c>
      <c r="AU1881" s="28" t="s">
        <v>7218</v>
      </c>
      <c r="AV1881" s="28" t="s">
        <v>162</v>
      </c>
      <c r="AW1881" s="28" t="s">
        <v>35653</v>
      </c>
      <c r="AX1881" s="28" t="s">
        <v>138</v>
      </c>
      <c r="AY1881" s="28" t="s">
        <v>35656</v>
      </c>
      <c r="AZ1881" s="28" t="s">
        <v>164</v>
      </c>
      <c r="BA1881" s="28" t="s">
        <v>165</v>
      </c>
      <c r="BB1881" s="28" t="s">
        <v>35657</v>
      </c>
      <c r="BC1881" s="28" t="s">
        <v>35658</v>
      </c>
      <c r="BD1881" s="33">
        <v>8</v>
      </c>
      <c r="BE1881" s="28" t="s">
        <v>138</v>
      </c>
      <c r="BF1881" s="28" t="s">
        <v>138</v>
      </c>
      <c r="BG1881" s="28" t="s">
        <v>138</v>
      </c>
      <c r="BH1881" s="28" t="s">
        <v>35659</v>
      </c>
      <c r="BI1881" s="28" t="s">
        <v>138</v>
      </c>
      <c r="BJ1881" s="28" t="s">
        <v>138</v>
      </c>
      <c r="BK1881" s="28" t="s">
        <v>138</v>
      </c>
      <c r="BL1881" s="28" t="s">
        <v>138</v>
      </c>
      <c r="BM1881" s="34">
        <v>40179</v>
      </c>
      <c r="BN1881" s="29" t="s">
        <v>138</v>
      </c>
      <c r="BO1881" s="28" t="s">
        <v>138</v>
      </c>
      <c r="BP1881" s="29" t="s">
        <v>138</v>
      </c>
      <c r="BQ1881" s="28" t="s">
        <v>138</v>
      </c>
      <c r="BR1881" s="28" t="s">
        <v>234</v>
      </c>
      <c r="BS1881" s="28" t="s">
        <v>234</v>
      </c>
      <c r="BT1881" s="28" t="s">
        <v>138</v>
      </c>
      <c r="BU1881" s="28" t="s">
        <v>263</v>
      </c>
      <c r="BV1881" s="28" t="s">
        <v>138</v>
      </c>
      <c r="BW1881" s="28" t="s">
        <v>138</v>
      </c>
      <c r="BX1881" s="28" t="s">
        <v>138</v>
      </c>
      <c r="BY1881" s="28" t="s">
        <v>175</v>
      </c>
      <c r="BZ1881" s="34">
        <v>41841</v>
      </c>
      <c r="CA1881" s="29">
        <v>0.08</v>
      </c>
      <c r="CB1881" s="28" t="s">
        <v>172</v>
      </c>
      <c r="CC1881" s="29" t="s">
        <v>138</v>
      </c>
      <c r="CD1881" s="28" t="s">
        <v>138</v>
      </c>
      <c r="CE1881" s="28" t="s">
        <v>265</v>
      </c>
      <c r="CF1881" s="28" t="s">
        <v>138</v>
      </c>
      <c r="CG1881" s="28" t="s">
        <v>138</v>
      </c>
      <c r="CH1881" s="28" t="s">
        <v>1327</v>
      </c>
      <c r="CI1881" s="28" t="s">
        <v>264</v>
      </c>
      <c r="CJ1881" s="28" t="s">
        <v>138</v>
      </c>
      <c r="CK1881" s="28" t="s">
        <v>138</v>
      </c>
      <c r="CL1881" s="28" t="s">
        <v>175</v>
      </c>
      <c r="CM1881" s="34" t="s">
        <v>138</v>
      </c>
      <c r="CN1881" s="29" t="s">
        <v>138</v>
      </c>
      <c r="CO1881" s="35">
        <v>-0.02</v>
      </c>
      <c r="CP1881" s="36">
        <v>24</v>
      </c>
      <c r="CQ1881" s="35">
        <v>0.01</v>
      </c>
      <c r="CR1881" s="35">
        <v>24.99</v>
      </c>
      <c r="CS1881" s="35" t="s">
        <v>138</v>
      </c>
      <c r="CT1881" s="36" t="s">
        <v>138</v>
      </c>
      <c r="CU1881" s="35">
        <v>-0.02</v>
      </c>
      <c r="CV1881" s="36">
        <v>17</v>
      </c>
      <c r="CW1881" s="35" t="s">
        <v>138</v>
      </c>
      <c r="CX1881" s="36" t="s">
        <v>138</v>
      </c>
      <c r="CY1881" s="35" t="s">
        <v>138</v>
      </c>
      <c r="CZ1881" s="36" t="s">
        <v>138</v>
      </c>
      <c r="DA1881" s="35">
        <v>-0.02</v>
      </c>
      <c r="DB1881" s="36">
        <v>19</v>
      </c>
      <c r="DC1881" s="37">
        <v>4.4400000000000004</v>
      </c>
      <c r="DD1881" s="36">
        <v>81</v>
      </c>
      <c r="DE1881" s="37">
        <v>0.02</v>
      </c>
      <c r="DF1881" s="35">
        <v>0.56000000000000005</v>
      </c>
      <c r="DG1881" s="37" t="s">
        <v>138</v>
      </c>
      <c r="DH1881" s="36" t="s">
        <v>138</v>
      </c>
      <c r="DI1881" s="37">
        <v>4.4400000000000004</v>
      </c>
      <c r="DJ1881" s="36">
        <v>76</v>
      </c>
      <c r="DK1881" s="37" t="s">
        <v>138</v>
      </c>
      <c r="DL1881" s="36" t="s">
        <v>138</v>
      </c>
      <c r="DM1881" s="37" t="s">
        <v>138</v>
      </c>
      <c r="DN1881" s="36" t="s">
        <v>138</v>
      </c>
      <c r="DO1881" s="37">
        <v>4.4400000000000004</v>
      </c>
      <c r="DP1881" s="36">
        <v>77</v>
      </c>
      <c r="DQ1881" s="36" t="s">
        <v>138</v>
      </c>
      <c r="DR1881" s="38" t="s">
        <v>138</v>
      </c>
      <c r="DS1881" s="35" t="s">
        <v>138</v>
      </c>
      <c r="DT1881" s="36" t="s">
        <v>138</v>
      </c>
      <c r="DU1881" s="38" t="s">
        <v>138</v>
      </c>
      <c r="DV1881" s="35" t="s">
        <v>138</v>
      </c>
      <c r="DW1881" s="36">
        <v>1591</v>
      </c>
      <c r="DX1881" s="39">
        <v>0</v>
      </c>
      <c r="DY1881" s="35">
        <v>0</v>
      </c>
      <c r="DZ1881" s="28" t="s">
        <v>178</v>
      </c>
      <c r="EA1881" s="34">
        <v>43560</v>
      </c>
      <c r="EB1881" s="29">
        <v>4</v>
      </c>
      <c r="EC1881" s="34">
        <v>40891</v>
      </c>
      <c r="ED1881" s="28" t="s">
        <v>234</v>
      </c>
      <c r="EE1881" s="40" t="str">
        <f>HYPERLINK("https://my.pitchbook.com?c=54157-42", "View company online")</f>
        <v>View company online</v>
      </c>
    </row>
    <row r="1882" spans="1:135">
      <c r="A1882" s="15" t="s">
        <v>35660</v>
      </c>
      <c r="B1882" s="15" t="s">
        <v>35661</v>
      </c>
      <c r="C1882" s="15" t="s">
        <v>35662</v>
      </c>
      <c r="D1882" s="15" t="s">
        <v>35663</v>
      </c>
      <c r="E1882" s="15" t="s">
        <v>35664</v>
      </c>
      <c r="F1882" s="15" t="s">
        <v>35660</v>
      </c>
      <c r="G1882" s="15" t="s">
        <v>35665</v>
      </c>
      <c r="H1882" s="15" t="s">
        <v>322</v>
      </c>
      <c r="I1882" s="15" t="s">
        <v>323</v>
      </c>
      <c r="J1882" s="15" t="s">
        <v>1132</v>
      </c>
      <c r="K1882" s="15" t="s">
        <v>30053</v>
      </c>
      <c r="L1882" s="15" t="s">
        <v>35666</v>
      </c>
      <c r="M1882" s="15" t="s">
        <v>35667</v>
      </c>
      <c r="N1882" s="15" t="s">
        <v>147</v>
      </c>
      <c r="O1882" s="17">
        <v>23400</v>
      </c>
      <c r="P1882" s="15" t="s">
        <v>148</v>
      </c>
      <c r="Q1882" s="15" t="s">
        <v>149</v>
      </c>
      <c r="R1882" s="15" t="s">
        <v>244</v>
      </c>
      <c r="S1882" s="15" t="s">
        <v>35668</v>
      </c>
      <c r="T1882" s="18">
        <v>6000</v>
      </c>
      <c r="U1882" s="15" t="s">
        <v>35669</v>
      </c>
      <c r="V1882" s="15" t="s">
        <v>138</v>
      </c>
      <c r="W1882" s="15" t="s">
        <v>138</v>
      </c>
      <c r="X1882" s="19">
        <v>2004</v>
      </c>
      <c r="Y1882" s="15" t="s">
        <v>138</v>
      </c>
      <c r="Z1882" s="15" t="s">
        <v>1163</v>
      </c>
      <c r="AA1882" s="15" t="s">
        <v>1163</v>
      </c>
      <c r="AB1882" s="20">
        <v>8900</v>
      </c>
      <c r="AC1882" s="20" t="s">
        <v>138</v>
      </c>
      <c r="AD1882" s="20">
        <v>2100</v>
      </c>
      <c r="AE1882" s="20" t="s">
        <v>138</v>
      </c>
      <c r="AF1882" s="20" t="s">
        <v>138</v>
      </c>
      <c r="AG1882" s="15" t="s">
        <v>419</v>
      </c>
      <c r="AH1882" s="20" t="s">
        <v>138</v>
      </c>
      <c r="AI1882" s="20" t="s">
        <v>138</v>
      </c>
      <c r="AJ1882" s="20" t="s">
        <v>138</v>
      </c>
      <c r="AK1882" s="15" t="s">
        <v>35670</v>
      </c>
      <c r="AL1882" s="15" t="s">
        <v>35671</v>
      </c>
      <c r="AM1882" s="15" t="s">
        <v>35672</v>
      </c>
      <c r="AN1882" s="15" t="s">
        <v>35673</v>
      </c>
      <c r="AO1882" s="15" t="s">
        <v>35674</v>
      </c>
      <c r="AP1882" s="15" t="s">
        <v>20814</v>
      </c>
      <c r="AQ1882" s="15" t="s">
        <v>35675</v>
      </c>
      <c r="AR1882" s="15" t="s">
        <v>138</v>
      </c>
      <c r="AS1882" s="15" t="s">
        <v>20817</v>
      </c>
      <c r="AT1882" s="15" t="s">
        <v>20818</v>
      </c>
      <c r="AU1882" s="15" t="s">
        <v>138</v>
      </c>
      <c r="AV1882" s="15" t="s">
        <v>450</v>
      </c>
      <c r="AW1882" s="15" t="s">
        <v>35674</v>
      </c>
      <c r="AX1882" s="15" t="s">
        <v>35676</v>
      </c>
      <c r="AY1882" s="15" t="s">
        <v>138</v>
      </c>
      <c r="AZ1882" s="15" t="s">
        <v>452</v>
      </c>
      <c r="BA1882" s="15" t="s">
        <v>453</v>
      </c>
      <c r="BB1882" s="15" t="s">
        <v>35677</v>
      </c>
      <c r="BC1882" s="15" t="s">
        <v>35678</v>
      </c>
      <c r="BD1882" s="21">
        <v>28</v>
      </c>
      <c r="BE1882" s="15" t="s">
        <v>138</v>
      </c>
      <c r="BF1882" s="15" t="s">
        <v>138</v>
      </c>
      <c r="BG1882" s="15" t="s">
        <v>138</v>
      </c>
      <c r="BH1882" s="15" t="s">
        <v>35679</v>
      </c>
      <c r="BI1882" s="15" t="s">
        <v>138</v>
      </c>
      <c r="BJ1882" s="15" t="s">
        <v>138</v>
      </c>
      <c r="BK1882" s="15" t="s">
        <v>35680</v>
      </c>
      <c r="BL1882" s="15" t="s">
        <v>35681</v>
      </c>
      <c r="BM1882" s="22">
        <v>42189</v>
      </c>
      <c r="BN1882" s="17">
        <v>1900</v>
      </c>
      <c r="BO1882" s="15" t="s">
        <v>1178</v>
      </c>
      <c r="BP1882" s="17">
        <v>47500</v>
      </c>
      <c r="BQ1882" s="15" t="s">
        <v>1178</v>
      </c>
      <c r="BR1882" s="15" t="s">
        <v>173</v>
      </c>
      <c r="BS1882" s="15" t="s">
        <v>206</v>
      </c>
      <c r="BT1882" s="15" t="s">
        <v>138</v>
      </c>
      <c r="BU1882" s="15" t="s">
        <v>174</v>
      </c>
      <c r="BV1882" s="15" t="s">
        <v>138</v>
      </c>
      <c r="BW1882" s="15" t="s">
        <v>138</v>
      </c>
      <c r="BX1882" s="15" t="s">
        <v>138</v>
      </c>
      <c r="BY1882" s="15" t="s">
        <v>175</v>
      </c>
      <c r="BZ1882" s="22">
        <v>43258</v>
      </c>
      <c r="CA1882" s="17">
        <v>14000</v>
      </c>
      <c r="CB1882" s="15" t="s">
        <v>172</v>
      </c>
      <c r="CC1882" s="17">
        <v>150000</v>
      </c>
      <c r="CD1882" s="15" t="s">
        <v>172</v>
      </c>
      <c r="CE1882" s="15" t="s">
        <v>173</v>
      </c>
      <c r="CF1882" s="15" t="s">
        <v>317</v>
      </c>
      <c r="CG1882" s="15" t="s">
        <v>138</v>
      </c>
      <c r="CH1882" s="15" t="s">
        <v>174</v>
      </c>
      <c r="CI1882" s="15" t="s">
        <v>138</v>
      </c>
      <c r="CJ1882" s="15" t="s">
        <v>138</v>
      </c>
      <c r="CK1882" s="15" t="s">
        <v>138</v>
      </c>
      <c r="CL1882" s="15" t="s">
        <v>175</v>
      </c>
      <c r="CM1882" s="22" t="s">
        <v>138</v>
      </c>
      <c r="CN1882" s="17" t="s">
        <v>138</v>
      </c>
      <c r="CO1882" s="23">
        <v>4.34</v>
      </c>
      <c r="CP1882" s="24">
        <v>100</v>
      </c>
      <c r="CQ1882" s="23">
        <v>0</v>
      </c>
      <c r="CR1882" s="23">
        <v>0.06</v>
      </c>
      <c r="CS1882" s="23">
        <v>7.04</v>
      </c>
      <c r="CT1882" s="24">
        <v>100</v>
      </c>
      <c r="CU1882" s="23">
        <v>1.63</v>
      </c>
      <c r="CV1882" s="24">
        <v>99</v>
      </c>
      <c r="CW1882" s="23">
        <v>7.04</v>
      </c>
      <c r="CX1882" s="24">
        <v>98</v>
      </c>
      <c r="CY1882" s="23" t="s">
        <v>138</v>
      </c>
      <c r="CZ1882" s="24" t="s">
        <v>138</v>
      </c>
      <c r="DA1882" s="23">
        <v>0.88</v>
      </c>
      <c r="DB1882" s="24">
        <v>98</v>
      </c>
      <c r="DC1882" s="25">
        <v>13.12</v>
      </c>
      <c r="DD1882" s="24">
        <v>92</v>
      </c>
      <c r="DE1882" s="25">
        <v>-0.75</v>
      </c>
      <c r="DF1882" s="23">
        <v>-5.38</v>
      </c>
      <c r="DG1882" s="25">
        <v>12.85</v>
      </c>
      <c r="DH1882" s="24">
        <v>92</v>
      </c>
      <c r="DI1882" s="25">
        <v>13.38</v>
      </c>
      <c r="DJ1882" s="24">
        <v>88</v>
      </c>
      <c r="DK1882" s="25">
        <v>12.85</v>
      </c>
      <c r="DL1882" s="24">
        <v>89</v>
      </c>
      <c r="DM1882" s="25" t="s">
        <v>138</v>
      </c>
      <c r="DN1882" s="24" t="s">
        <v>138</v>
      </c>
      <c r="DO1882" s="25">
        <v>26.55</v>
      </c>
      <c r="DP1882" s="24">
        <v>94</v>
      </c>
      <c r="DQ1882" s="24">
        <v>4339</v>
      </c>
      <c r="DR1882" s="26">
        <v>209</v>
      </c>
      <c r="DS1882" s="23">
        <v>5.0599999999999996</v>
      </c>
      <c r="DT1882" s="24" t="s">
        <v>138</v>
      </c>
      <c r="DU1882" s="26" t="s">
        <v>138</v>
      </c>
      <c r="DV1882" s="23" t="s">
        <v>138</v>
      </c>
      <c r="DW1882" s="24">
        <v>9481</v>
      </c>
      <c r="DX1882" s="27">
        <v>80</v>
      </c>
      <c r="DY1882" s="23">
        <v>0.85</v>
      </c>
      <c r="DZ1882" s="15" t="s">
        <v>178</v>
      </c>
      <c r="EA1882" s="22">
        <v>43622</v>
      </c>
      <c r="EB1882" s="17">
        <v>150000</v>
      </c>
      <c r="EC1882" s="22">
        <v>43258</v>
      </c>
      <c r="ED1882" s="15" t="s">
        <v>173</v>
      </c>
      <c r="EE1882" s="14" t="str">
        <f>HYPERLINK("https://my.pitchbook.com?c=99609-31", "View company online")</f>
        <v>View company online</v>
      </c>
    </row>
    <row r="1883" spans="1:135">
      <c r="A1883" s="28" t="s">
        <v>35682</v>
      </c>
      <c r="B1883" s="28" t="s">
        <v>35683</v>
      </c>
      <c r="C1883" s="28" t="s">
        <v>138</v>
      </c>
      <c r="D1883" s="28" t="s">
        <v>35684</v>
      </c>
      <c r="E1883" s="28" t="s">
        <v>138</v>
      </c>
      <c r="F1883" s="28" t="s">
        <v>35682</v>
      </c>
      <c r="G1883" s="28" t="s">
        <v>35685</v>
      </c>
      <c r="H1883" s="28" t="s">
        <v>322</v>
      </c>
      <c r="I1883" s="28" t="s">
        <v>323</v>
      </c>
      <c r="J1883" s="28" t="s">
        <v>954</v>
      </c>
      <c r="K1883" s="28" t="s">
        <v>14098</v>
      </c>
      <c r="L1883" s="28" t="s">
        <v>5412</v>
      </c>
      <c r="M1883" s="28" t="s">
        <v>35686</v>
      </c>
      <c r="N1883" s="28" t="s">
        <v>147</v>
      </c>
      <c r="O1883" s="29" t="s">
        <v>138</v>
      </c>
      <c r="P1883" s="28" t="s">
        <v>610</v>
      </c>
      <c r="Q1883" s="28" t="s">
        <v>149</v>
      </c>
      <c r="R1883" s="28" t="s">
        <v>174</v>
      </c>
      <c r="S1883" s="28" t="s">
        <v>35687</v>
      </c>
      <c r="T1883" s="30">
        <v>33</v>
      </c>
      <c r="U1883" s="28" t="s">
        <v>34706</v>
      </c>
      <c r="V1883" s="28" t="s">
        <v>138</v>
      </c>
      <c r="W1883" s="28" t="s">
        <v>138</v>
      </c>
      <c r="X1883" s="31">
        <v>2011</v>
      </c>
      <c r="Y1883" s="28" t="s">
        <v>138</v>
      </c>
      <c r="Z1883" s="28" t="s">
        <v>138</v>
      </c>
      <c r="AA1883" s="28" t="s">
        <v>138</v>
      </c>
      <c r="AB1883" s="32" t="s">
        <v>138</v>
      </c>
      <c r="AC1883" s="32" t="s">
        <v>138</v>
      </c>
      <c r="AD1883" s="32" t="s">
        <v>138</v>
      </c>
      <c r="AE1883" s="32" t="s">
        <v>138</v>
      </c>
      <c r="AF1883" s="32" t="s">
        <v>138</v>
      </c>
      <c r="AG1883" s="28" t="s">
        <v>138</v>
      </c>
      <c r="AH1883" s="32" t="s">
        <v>138</v>
      </c>
      <c r="AI1883" s="32" t="s">
        <v>138</v>
      </c>
      <c r="AJ1883" s="32" t="s">
        <v>138</v>
      </c>
      <c r="AK1883" s="28" t="s">
        <v>35688</v>
      </c>
      <c r="AL1883" s="28" t="s">
        <v>35689</v>
      </c>
      <c r="AM1883" s="28" t="s">
        <v>35690</v>
      </c>
      <c r="AN1883" s="28" t="s">
        <v>35691</v>
      </c>
      <c r="AO1883" s="28" t="s">
        <v>35692</v>
      </c>
      <c r="AP1883" s="28" t="s">
        <v>35693</v>
      </c>
      <c r="AQ1883" s="28" t="s">
        <v>35694</v>
      </c>
      <c r="AR1883" s="28" t="s">
        <v>35695</v>
      </c>
      <c r="AS1883" s="28" t="s">
        <v>35696</v>
      </c>
      <c r="AT1883" s="28" t="s">
        <v>138</v>
      </c>
      <c r="AU1883" s="28" t="s">
        <v>138</v>
      </c>
      <c r="AV1883" s="28" t="s">
        <v>35697</v>
      </c>
      <c r="AW1883" s="28" t="s">
        <v>35692</v>
      </c>
      <c r="AX1883" s="28" t="s">
        <v>138</v>
      </c>
      <c r="AY1883" s="28" t="s">
        <v>35698</v>
      </c>
      <c r="AZ1883" s="28" t="s">
        <v>452</v>
      </c>
      <c r="BA1883" s="28" t="s">
        <v>1748</v>
      </c>
      <c r="BB1883" s="28" t="s">
        <v>35699</v>
      </c>
      <c r="BC1883" s="28" t="s">
        <v>8373</v>
      </c>
      <c r="BD1883" s="33">
        <v>1</v>
      </c>
      <c r="BE1883" s="28" t="s">
        <v>138</v>
      </c>
      <c r="BF1883" s="28" t="s">
        <v>138</v>
      </c>
      <c r="BG1883" s="28" t="s">
        <v>138</v>
      </c>
      <c r="BH1883" s="28" t="s">
        <v>8374</v>
      </c>
      <c r="BI1883" s="28" t="s">
        <v>138</v>
      </c>
      <c r="BJ1883" s="28" t="s">
        <v>138</v>
      </c>
      <c r="BK1883" s="28" t="s">
        <v>138</v>
      </c>
      <c r="BL1883" s="28" t="s">
        <v>138</v>
      </c>
      <c r="BM1883" s="34">
        <v>41530</v>
      </c>
      <c r="BN1883" s="29" t="s">
        <v>138</v>
      </c>
      <c r="BO1883" s="28" t="s">
        <v>138</v>
      </c>
      <c r="BP1883" s="29" t="s">
        <v>138</v>
      </c>
      <c r="BQ1883" s="28" t="s">
        <v>138</v>
      </c>
      <c r="BR1883" s="28" t="s">
        <v>205</v>
      </c>
      <c r="BS1883" s="28" t="s">
        <v>138</v>
      </c>
      <c r="BT1883" s="28" t="s">
        <v>138</v>
      </c>
      <c r="BU1883" s="28" t="s">
        <v>174</v>
      </c>
      <c r="BV1883" s="28" t="s">
        <v>138</v>
      </c>
      <c r="BW1883" s="28" t="s">
        <v>138</v>
      </c>
      <c r="BX1883" s="28" t="s">
        <v>138</v>
      </c>
      <c r="BY1883" s="28" t="s">
        <v>175</v>
      </c>
      <c r="BZ1883" s="34">
        <v>41530</v>
      </c>
      <c r="CA1883" s="29" t="s">
        <v>138</v>
      </c>
      <c r="CB1883" s="28" t="s">
        <v>138</v>
      </c>
      <c r="CC1883" s="29" t="s">
        <v>138</v>
      </c>
      <c r="CD1883" s="28" t="s">
        <v>138</v>
      </c>
      <c r="CE1883" s="28" t="s">
        <v>205</v>
      </c>
      <c r="CF1883" s="28" t="s">
        <v>138</v>
      </c>
      <c r="CG1883" s="28" t="s">
        <v>138</v>
      </c>
      <c r="CH1883" s="28" t="s">
        <v>174</v>
      </c>
      <c r="CI1883" s="28" t="s">
        <v>138</v>
      </c>
      <c r="CJ1883" s="28" t="s">
        <v>138</v>
      </c>
      <c r="CK1883" s="28" t="s">
        <v>138</v>
      </c>
      <c r="CL1883" s="28" t="s">
        <v>175</v>
      </c>
      <c r="CM1883" s="34" t="s">
        <v>138</v>
      </c>
      <c r="CN1883" s="29" t="s">
        <v>138</v>
      </c>
      <c r="CO1883" s="35">
        <v>-0.36</v>
      </c>
      <c r="CP1883" s="36">
        <v>18</v>
      </c>
      <c r="CQ1883" s="35">
        <v>-0.04</v>
      </c>
      <c r="CR1883" s="35">
        <v>-14.13</v>
      </c>
      <c r="CS1883" s="35">
        <v>-0.82</v>
      </c>
      <c r="CT1883" s="36">
        <v>17</v>
      </c>
      <c r="CU1883" s="35">
        <v>0.11</v>
      </c>
      <c r="CV1883" s="36">
        <v>70</v>
      </c>
      <c r="CW1883" s="35">
        <v>0</v>
      </c>
      <c r="CX1883" s="36">
        <v>13</v>
      </c>
      <c r="CY1883" s="35">
        <v>-1.65</v>
      </c>
      <c r="CZ1883" s="36">
        <v>14</v>
      </c>
      <c r="DA1883" s="35">
        <v>0.05</v>
      </c>
      <c r="DB1883" s="36">
        <v>64</v>
      </c>
      <c r="DC1883" s="37">
        <v>44.53</v>
      </c>
      <c r="DD1883" s="36">
        <v>98</v>
      </c>
      <c r="DE1883" s="37">
        <v>-0.02</v>
      </c>
      <c r="DF1883" s="35">
        <v>-0.04</v>
      </c>
      <c r="DG1883" s="37">
        <v>39</v>
      </c>
      <c r="DH1883" s="36">
        <v>98</v>
      </c>
      <c r="DI1883" s="37">
        <v>50.05</v>
      </c>
      <c r="DJ1883" s="36">
        <v>95</v>
      </c>
      <c r="DK1883" s="37">
        <v>0.87</v>
      </c>
      <c r="DL1883" s="36">
        <v>47</v>
      </c>
      <c r="DM1883" s="37">
        <v>77.14</v>
      </c>
      <c r="DN1883" s="36">
        <v>99</v>
      </c>
      <c r="DO1883" s="37">
        <v>2.89</v>
      </c>
      <c r="DP1883" s="36">
        <v>70</v>
      </c>
      <c r="DQ1883" s="36">
        <v>287</v>
      </c>
      <c r="DR1883" s="38">
        <v>31</v>
      </c>
      <c r="DS1883" s="35">
        <v>12.11</v>
      </c>
      <c r="DT1883" s="36">
        <v>2235</v>
      </c>
      <c r="DU1883" s="38">
        <v>-1</v>
      </c>
      <c r="DV1883" s="35">
        <v>-0.04</v>
      </c>
      <c r="DW1883" s="36">
        <v>1034</v>
      </c>
      <c r="DX1883" s="39">
        <v>-2</v>
      </c>
      <c r="DY1883" s="35">
        <v>-0.19</v>
      </c>
      <c r="DZ1883" s="28" t="s">
        <v>178</v>
      </c>
      <c r="EA1883" s="34">
        <v>43351</v>
      </c>
      <c r="EB1883" s="29" t="s">
        <v>138</v>
      </c>
      <c r="EC1883" s="34" t="s">
        <v>138</v>
      </c>
      <c r="ED1883" s="28" t="s">
        <v>138</v>
      </c>
      <c r="EE1883" s="40" t="str">
        <f>HYPERLINK("https://my.pitchbook.com?c=82217-17", "View company online")</f>
        <v>View company online</v>
      </c>
    </row>
    <row r="1884" spans="1:135">
      <c r="A1884" s="15" t="s">
        <v>35700</v>
      </c>
      <c r="B1884" s="15" t="s">
        <v>35701</v>
      </c>
      <c r="C1884" s="15" t="s">
        <v>35702</v>
      </c>
      <c r="D1884" s="15" t="s">
        <v>138</v>
      </c>
      <c r="E1884" s="15" t="s">
        <v>35703</v>
      </c>
      <c r="F1884" s="15" t="s">
        <v>35700</v>
      </c>
      <c r="G1884" s="15" t="s">
        <v>35704</v>
      </c>
      <c r="H1884" s="15" t="s">
        <v>322</v>
      </c>
      <c r="I1884" s="15" t="s">
        <v>323</v>
      </c>
      <c r="J1884" s="15" t="s">
        <v>461</v>
      </c>
      <c r="K1884" s="15" t="s">
        <v>35705</v>
      </c>
      <c r="L1884" s="15" t="s">
        <v>35706</v>
      </c>
      <c r="M1884" s="15" t="s">
        <v>35707</v>
      </c>
      <c r="N1884" s="15" t="s">
        <v>147</v>
      </c>
      <c r="O1884" s="17">
        <v>68.22</v>
      </c>
      <c r="P1884" s="15" t="s">
        <v>148</v>
      </c>
      <c r="Q1884" s="15" t="s">
        <v>149</v>
      </c>
      <c r="R1884" s="15" t="s">
        <v>8692</v>
      </c>
      <c r="S1884" s="15" t="s">
        <v>35708</v>
      </c>
      <c r="T1884" s="18">
        <v>30</v>
      </c>
      <c r="U1884" s="15" t="s">
        <v>35709</v>
      </c>
      <c r="V1884" s="15" t="s">
        <v>138</v>
      </c>
      <c r="W1884" s="15" t="s">
        <v>138</v>
      </c>
      <c r="X1884" s="19">
        <v>2006</v>
      </c>
      <c r="Y1884" s="15" t="s">
        <v>138</v>
      </c>
      <c r="Z1884" s="15" t="s">
        <v>138</v>
      </c>
      <c r="AA1884" s="15" t="s">
        <v>138</v>
      </c>
      <c r="AB1884" s="20" t="s">
        <v>138</v>
      </c>
      <c r="AC1884" s="20" t="s">
        <v>138</v>
      </c>
      <c r="AD1884" s="20" t="s">
        <v>138</v>
      </c>
      <c r="AE1884" s="20" t="s">
        <v>138</v>
      </c>
      <c r="AF1884" s="20" t="s">
        <v>138</v>
      </c>
      <c r="AG1884" s="15" t="s">
        <v>138</v>
      </c>
      <c r="AH1884" s="20" t="s">
        <v>138</v>
      </c>
      <c r="AI1884" s="20" t="s">
        <v>138</v>
      </c>
      <c r="AJ1884" s="20" t="s">
        <v>138</v>
      </c>
      <c r="AK1884" s="15" t="s">
        <v>35710</v>
      </c>
      <c r="AL1884" s="15" t="s">
        <v>35711</v>
      </c>
      <c r="AM1884" s="15" t="s">
        <v>365</v>
      </c>
      <c r="AN1884" s="15" t="s">
        <v>35712</v>
      </c>
      <c r="AO1884" s="15" t="s">
        <v>35713</v>
      </c>
      <c r="AP1884" s="15" t="s">
        <v>24382</v>
      </c>
      <c r="AQ1884" s="15" t="s">
        <v>35714</v>
      </c>
      <c r="AR1884" s="15" t="s">
        <v>138</v>
      </c>
      <c r="AS1884" s="15" t="s">
        <v>24385</v>
      </c>
      <c r="AT1884" s="15" t="s">
        <v>864</v>
      </c>
      <c r="AU1884" s="15" t="s">
        <v>24386</v>
      </c>
      <c r="AV1884" s="15" t="s">
        <v>162</v>
      </c>
      <c r="AW1884" s="15" t="s">
        <v>35713</v>
      </c>
      <c r="AX1884" s="15" t="s">
        <v>35715</v>
      </c>
      <c r="AY1884" s="15" t="s">
        <v>35716</v>
      </c>
      <c r="AZ1884" s="15" t="s">
        <v>164</v>
      </c>
      <c r="BA1884" s="15" t="s">
        <v>165</v>
      </c>
      <c r="BB1884" s="15" t="s">
        <v>35717</v>
      </c>
      <c r="BC1884" s="15" t="s">
        <v>35718</v>
      </c>
      <c r="BD1884" s="21">
        <v>7</v>
      </c>
      <c r="BE1884" s="15" t="s">
        <v>138</v>
      </c>
      <c r="BF1884" s="15" t="s">
        <v>138</v>
      </c>
      <c r="BG1884" s="15" t="s">
        <v>35719</v>
      </c>
      <c r="BH1884" s="15" t="s">
        <v>35720</v>
      </c>
      <c r="BI1884" s="15" t="s">
        <v>138</v>
      </c>
      <c r="BJ1884" s="15" t="s">
        <v>35721</v>
      </c>
      <c r="BK1884" s="15" t="s">
        <v>138</v>
      </c>
      <c r="BL1884" s="15" t="s">
        <v>35722</v>
      </c>
      <c r="BM1884" s="22">
        <v>39513</v>
      </c>
      <c r="BN1884" s="17">
        <v>7.5</v>
      </c>
      <c r="BO1884" s="15" t="s">
        <v>172</v>
      </c>
      <c r="BP1884" s="17">
        <v>14.5</v>
      </c>
      <c r="BQ1884" s="15" t="s">
        <v>172</v>
      </c>
      <c r="BR1884" s="15" t="s">
        <v>205</v>
      </c>
      <c r="BS1884" s="15" t="s">
        <v>206</v>
      </c>
      <c r="BT1884" s="15" t="s">
        <v>138</v>
      </c>
      <c r="BU1884" s="15" t="s">
        <v>174</v>
      </c>
      <c r="BV1884" s="15" t="s">
        <v>138</v>
      </c>
      <c r="BW1884" s="15" t="s">
        <v>138</v>
      </c>
      <c r="BX1884" s="15" t="s">
        <v>138</v>
      </c>
      <c r="BY1884" s="15" t="s">
        <v>175</v>
      </c>
      <c r="BZ1884" s="22">
        <v>43500</v>
      </c>
      <c r="CA1884" s="17">
        <v>19.14</v>
      </c>
      <c r="CB1884" s="15" t="s">
        <v>172</v>
      </c>
      <c r="CC1884" s="17">
        <v>19.14</v>
      </c>
      <c r="CD1884" s="15" t="s">
        <v>138</v>
      </c>
      <c r="CE1884" s="15" t="s">
        <v>2228</v>
      </c>
      <c r="CF1884" s="15" t="s">
        <v>138</v>
      </c>
      <c r="CG1884" s="15" t="s">
        <v>138</v>
      </c>
      <c r="CH1884" s="15" t="s">
        <v>780</v>
      </c>
      <c r="CI1884" s="15" t="s">
        <v>138</v>
      </c>
      <c r="CJ1884" s="15" t="s">
        <v>138</v>
      </c>
      <c r="CK1884" s="15" t="s">
        <v>138</v>
      </c>
      <c r="CL1884" s="15" t="s">
        <v>352</v>
      </c>
      <c r="CM1884" s="22">
        <v>40535</v>
      </c>
      <c r="CN1884" s="17" t="s">
        <v>138</v>
      </c>
      <c r="CO1884" s="23">
        <v>-0.36</v>
      </c>
      <c r="CP1884" s="24">
        <v>18</v>
      </c>
      <c r="CQ1884" s="23">
        <v>0</v>
      </c>
      <c r="CR1884" s="23">
        <v>0</v>
      </c>
      <c r="CS1884" s="23">
        <v>-0.36</v>
      </c>
      <c r="CT1884" s="24">
        <v>20</v>
      </c>
      <c r="CU1884" s="23" t="s">
        <v>138</v>
      </c>
      <c r="CV1884" s="24" t="s">
        <v>138</v>
      </c>
      <c r="CW1884" s="23" t="s">
        <v>138</v>
      </c>
      <c r="CX1884" s="24" t="s">
        <v>138</v>
      </c>
      <c r="CY1884" s="23">
        <v>-0.36</v>
      </c>
      <c r="CZ1884" s="24">
        <v>23</v>
      </c>
      <c r="DA1884" s="23" t="s">
        <v>138</v>
      </c>
      <c r="DB1884" s="24" t="s">
        <v>138</v>
      </c>
      <c r="DC1884" s="25">
        <v>3.21</v>
      </c>
      <c r="DD1884" s="24">
        <v>76</v>
      </c>
      <c r="DE1884" s="25">
        <v>0.03</v>
      </c>
      <c r="DF1884" s="23">
        <v>1.0900000000000001</v>
      </c>
      <c r="DG1884" s="25">
        <v>3.21</v>
      </c>
      <c r="DH1884" s="24">
        <v>76</v>
      </c>
      <c r="DI1884" s="25" t="s">
        <v>138</v>
      </c>
      <c r="DJ1884" s="24" t="s">
        <v>138</v>
      </c>
      <c r="DK1884" s="25" t="s">
        <v>138</v>
      </c>
      <c r="DL1884" s="24" t="s">
        <v>138</v>
      </c>
      <c r="DM1884" s="25">
        <v>3.21</v>
      </c>
      <c r="DN1884" s="24">
        <v>75</v>
      </c>
      <c r="DO1884" s="25" t="s">
        <v>138</v>
      </c>
      <c r="DP1884" s="24" t="s">
        <v>138</v>
      </c>
      <c r="DQ1884" s="24" t="s">
        <v>138</v>
      </c>
      <c r="DR1884" s="26" t="s">
        <v>138</v>
      </c>
      <c r="DS1884" s="23" t="s">
        <v>138</v>
      </c>
      <c r="DT1884" s="24">
        <v>92</v>
      </c>
      <c r="DU1884" s="26">
        <v>0</v>
      </c>
      <c r="DV1884" s="23">
        <v>0</v>
      </c>
      <c r="DW1884" s="24" t="s">
        <v>138</v>
      </c>
      <c r="DX1884" s="27" t="s">
        <v>138</v>
      </c>
      <c r="DY1884" s="23" t="s">
        <v>138</v>
      </c>
      <c r="DZ1884" s="15" t="s">
        <v>178</v>
      </c>
      <c r="EA1884" s="22">
        <v>43622</v>
      </c>
      <c r="EB1884" s="17">
        <v>19.14</v>
      </c>
      <c r="EC1884" s="22">
        <v>43500</v>
      </c>
      <c r="ED1884" s="15" t="s">
        <v>2228</v>
      </c>
      <c r="EE1884" s="14" t="str">
        <f>HYPERLINK("https://my.pitchbook.com?c=51444-01", "View company online")</f>
        <v>View company online</v>
      </c>
    </row>
    <row r="1885" spans="1:135">
      <c r="A1885" s="28" t="s">
        <v>35723</v>
      </c>
      <c r="B1885" s="28" t="s">
        <v>35724</v>
      </c>
      <c r="C1885" s="28" t="s">
        <v>138</v>
      </c>
      <c r="D1885" s="28" t="s">
        <v>138</v>
      </c>
      <c r="E1885" s="28" t="s">
        <v>138</v>
      </c>
      <c r="F1885" s="28" t="s">
        <v>35723</v>
      </c>
      <c r="G1885" s="28" t="s">
        <v>35725</v>
      </c>
      <c r="H1885" s="28" t="s">
        <v>141</v>
      </c>
      <c r="I1885" s="28" t="s">
        <v>142</v>
      </c>
      <c r="J1885" s="28" t="s">
        <v>4042</v>
      </c>
      <c r="K1885" s="28" t="s">
        <v>35726</v>
      </c>
      <c r="L1885" s="28" t="s">
        <v>30891</v>
      </c>
      <c r="M1885" s="28" t="s">
        <v>35727</v>
      </c>
      <c r="N1885" s="28" t="s">
        <v>147</v>
      </c>
      <c r="O1885" s="29" t="s">
        <v>138</v>
      </c>
      <c r="P1885" s="28" t="s">
        <v>610</v>
      </c>
      <c r="Q1885" s="28" t="s">
        <v>149</v>
      </c>
      <c r="R1885" s="28" t="s">
        <v>174</v>
      </c>
      <c r="S1885" s="28" t="s">
        <v>35728</v>
      </c>
      <c r="T1885" s="30" t="s">
        <v>138</v>
      </c>
      <c r="U1885" s="28" t="s">
        <v>138</v>
      </c>
      <c r="V1885" s="28" t="s">
        <v>138</v>
      </c>
      <c r="W1885" s="28" t="s">
        <v>138</v>
      </c>
      <c r="X1885" s="31">
        <v>2000</v>
      </c>
      <c r="Y1885" s="28" t="s">
        <v>138</v>
      </c>
      <c r="Z1885" s="28" t="s">
        <v>138</v>
      </c>
      <c r="AA1885" s="28" t="s">
        <v>138</v>
      </c>
      <c r="AB1885" s="32" t="s">
        <v>138</v>
      </c>
      <c r="AC1885" s="32" t="s">
        <v>138</v>
      </c>
      <c r="AD1885" s="32" t="s">
        <v>138</v>
      </c>
      <c r="AE1885" s="32" t="s">
        <v>138</v>
      </c>
      <c r="AF1885" s="32" t="s">
        <v>138</v>
      </c>
      <c r="AG1885" s="28" t="s">
        <v>138</v>
      </c>
      <c r="AH1885" s="32" t="s">
        <v>138</v>
      </c>
      <c r="AI1885" s="32" t="s">
        <v>138</v>
      </c>
      <c r="AJ1885" s="32" t="s">
        <v>138</v>
      </c>
      <c r="AK1885" s="28" t="s">
        <v>35729</v>
      </c>
      <c r="AL1885" s="28" t="s">
        <v>35730</v>
      </c>
      <c r="AM1885" s="28" t="s">
        <v>566</v>
      </c>
      <c r="AN1885" s="28" t="s">
        <v>35731</v>
      </c>
      <c r="AO1885" s="28" t="s">
        <v>35732</v>
      </c>
      <c r="AP1885" s="28" t="s">
        <v>35733</v>
      </c>
      <c r="AQ1885" s="28" t="s">
        <v>35734</v>
      </c>
      <c r="AR1885" s="28" t="s">
        <v>138</v>
      </c>
      <c r="AS1885" s="28" t="s">
        <v>35735</v>
      </c>
      <c r="AT1885" s="28" t="s">
        <v>6099</v>
      </c>
      <c r="AU1885" s="28" t="s">
        <v>35736</v>
      </c>
      <c r="AV1885" s="28" t="s">
        <v>2071</v>
      </c>
      <c r="AW1885" s="28" t="s">
        <v>35732</v>
      </c>
      <c r="AX1885" s="28" t="s">
        <v>35737</v>
      </c>
      <c r="AY1885" s="28" t="s">
        <v>138</v>
      </c>
      <c r="AZ1885" s="28" t="s">
        <v>452</v>
      </c>
      <c r="BA1885" s="28" t="s">
        <v>453</v>
      </c>
      <c r="BB1885" s="28" t="s">
        <v>4609</v>
      </c>
      <c r="BC1885" s="28" t="s">
        <v>2075</v>
      </c>
      <c r="BD1885" s="33">
        <v>1</v>
      </c>
      <c r="BE1885" s="28" t="s">
        <v>138</v>
      </c>
      <c r="BF1885" s="28" t="s">
        <v>138</v>
      </c>
      <c r="BG1885" s="28" t="s">
        <v>138</v>
      </c>
      <c r="BH1885" s="28" t="s">
        <v>2077</v>
      </c>
      <c r="BI1885" s="28" t="s">
        <v>138</v>
      </c>
      <c r="BJ1885" s="28" t="s">
        <v>138</v>
      </c>
      <c r="BK1885" s="28" t="s">
        <v>138</v>
      </c>
      <c r="BL1885" s="28" t="s">
        <v>138</v>
      </c>
      <c r="BM1885" s="34" t="s">
        <v>138</v>
      </c>
      <c r="BN1885" s="29" t="s">
        <v>138</v>
      </c>
      <c r="BO1885" s="28" t="s">
        <v>138</v>
      </c>
      <c r="BP1885" s="29" t="s">
        <v>138</v>
      </c>
      <c r="BQ1885" s="28" t="s">
        <v>138</v>
      </c>
      <c r="BR1885" s="28" t="s">
        <v>205</v>
      </c>
      <c r="BS1885" s="28" t="s">
        <v>138</v>
      </c>
      <c r="BT1885" s="28" t="s">
        <v>138</v>
      </c>
      <c r="BU1885" s="28" t="s">
        <v>174</v>
      </c>
      <c r="BV1885" s="28" t="s">
        <v>138</v>
      </c>
      <c r="BW1885" s="28" t="s">
        <v>138</v>
      </c>
      <c r="BX1885" s="28" t="s">
        <v>138</v>
      </c>
      <c r="BY1885" s="28" t="s">
        <v>175</v>
      </c>
      <c r="BZ1885" s="34" t="s">
        <v>138</v>
      </c>
      <c r="CA1885" s="29" t="s">
        <v>138</v>
      </c>
      <c r="CB1885" s="28" t="s">
        <v>138</v>
      </c>
      <c r="CC1885" s="29" t="s">
        <v>138</v>
      </c>
      <c r="CD1885" s="28" t="s">
        <v>138</v>
      </c>
      <c r="CE1885" s="28" t="s">
        <v>205</v>
      </c>
      <c r="CF1885" s="28" t="s">
        <v>138</v>
      </c>
      <c r="CG1885" s="28" t="s">
        <v>138</v>
      </c>
      <c r="CH1885" s="28" t="s">
        <v>174</v>
      </c>
      <c r="CI1885" s="28" t="s">
        <v>138</v>
      </c>
      <c r="CJ1885" s="28" t="s">
        <v>138</v>
      </c>
      <c r="CK1885" s="28" t="s">
        <v>138</v>
      </c>
      <c r="CL1885" s="28" t="s">
        <v>175</v>
      </c>
      <c r="CM1885" s="34" t="s">
        <v>138</v>
      </c>
      <c r="CN1885" s="29" t="s">
        <v>138</v>
      </c>
      <c r="CO1885" s="35">
        <v>0</v>
      </c>
      <c r="CP1885" s="36">
        <v>26</v>
      </c>
      <c r="CQ1885" s="35">
        <v>0</v>
      </c>
      <c r="CR1885" s="35">
        <v>0</v>
      </c>
      <c r="CS1885" s="35">
        <v>0</v>
      </c>
      <c r="CT1885" s="36">
        <v>23</v>
      </c>
      <c r="CU1885" s="35">
        <v>0</v>
      </c>
      <c r="CV1885" s="36">
        <v>22</v>
      </c>
      <c r="CW1885" s="35" t="s">
        <v>138</v>
      </c>
      <c r="CX1885" s="36" t="s">
        <v>138</v>
      </c>
      <c r="CY1885" s="35">
        <v>0</v>
      </c>
      <c r="CZ1885" s="36">
        <v>25</v>
      </c>
      <c r="DA1885" s="35" t="s">
        <v>138</v>
      </c>
      <c r="DB1885" s="36" t="s">
        <v>138</v>
      </c>
      <c r="DC1885" s="37">
        <v>0.31</v>
      </c>
      <c r="DD1885" s="36">
        <v>23</v>
      </c>
      <c r="DE1885" s="37">
        <v>0</v>
      </c>
      <c r="DF1885" s="35">
        <v>0</v>
      </c>
      <c r="DG1885" s="37">
        <v>0.62</v>
      </c>
      <c r="DH1885" s="36">
        <v>39</v>
      </c>
      <c r="DI1885" s="37">
        <v>0</v>
      </c>
      <c r="DJ1885" s="36">
        <v>1</v>
      </c>
      <c r="DK1885" s="37" t="s">
        <v>138</v>
      </c>
      <c r="DL1885" s="36" t="s">
        <v>138</v>
      </c>
      <c r="DM1885" s="37">
        <v>0.62</v>
      </c>
      <c r="DN1885" s="36">
        <v>39</v>
      </c>
      <c r="DO1885" s="37" t="s">
        <v>138</v>
      </c>
      <c r="DP1885" s="36" t="s">
        <v>138</v>
      </c>
      <c r="DQ1885" s="36" t="s">
        <v>138</v>
      </c>
      <c r="DR1885" s="38" t="s">
        <v>138</v>
      </c>
      <c r="DS1885" s="35" t="s">
        <v>138</v>
      </c>
      <c r="DT1885" s="36">
        <v>18</v>
      </c>
      <c r="DU1885" s="38">
        <v>0</v>
      </c>
      <c r="DV1885" s="35">
        <v>0</v>
      </c>
      <c r="DW1885" s="36" t="s">
        <v>138</v>
      </c>
      <c r="DX1885" s="39" t="s">
        <v>138</v>
      </c>
      <c r="DY1885" s="35" t="s">
        <v>138</v>
      </c>
      <c r="DZ1885" s="28" t="s">
        <v>178</v>
      </c>
      <c r="EA1885" s="34">
        <v>43371</v>
      </c>
      <c r="EB1885" s="29" t="s">
        <v>138</v>
      </c>
      <c r="EC1885" s="34" t="s">
        <v>138</v>
      </c>
      <c r="ED1885" s="28" t="s">
        <v>138</v>
      </c>
      <c r="EE1885" s="40" t="str">
        <f>HYPERLINK("https://my.pitchbook.com?c=54823-06", "View company online")</f>
        <v>View company online</v>
      </c>
    </row>
    <row r="1886" spans="1:135">
      <c r="A1886" s="15" t="s">
        <v>35738</v>
      </c>
      <c r="B1886" s="15" t="s">
        <v>35739</v>
      </c>
      <c r="C1886" s="15" t="s">
        <v>138</v>
      </c>
      <c r="D1886" s="15" t="s">
        <v>138</v>
      </c>
      <c r="E1886" s="15" t="s">
        <v>35740</v>
      </c>
      <c r="F1886" s="15" t="s">
        <v>35738</v>
      </c>
      <c r="G1886" s="15" t="s">
        <v>35741</v>
      </c>
      <c r="H1886" s="15" t="s">
        <v>385</v>
      </c>
      <c r="I1886" s="15" t="s">
        <v>386</v>
      </c>
      <c r="J1886" s="15" t="s">
        <v>387</v>
      </c>
      <c r="K1886" s="15" t="s">
        <v>27653</v>
      </c>
      <c r="L1886" s="15" t="s">
        <v>1994</v>
      </c>
      <c r="M1886" s="15" t="s">
        <v>35742</v>
      </c>
      <c r="N1886" s="15" t="s">
        <v>147</v>
      </c>
      <c r="O1886" s="17">
        <v>16.010000000000002</v>
      </c>
      <c r="P1886" s="15" t="s">
        <v>148</v>
      </c>
      <c r="Q1886" s="15" t="s">
        <v>149</v>
      </c>
      <c r="R1886" s="15" t="s">
        <v>174</v>
      </c>
      <c r="S1886" s="15" t="s">
        <v>35743</v>
      </c>
      <c r="T1886" s="18">
        <v>28</v>
      </c>
      <c r="U1886" s="15" t="s">
        <v>35744</v>
      </c>
      <c r="V1886" s="15" t="s">
        <v>138</v>
      </c>
      <c r="W1886" s="15" t="s">
        <v>138</v>
      </c>
      <c r="X1886" s="19">
        <v>2010</v>
      </c>
      <c r="Y1886" s="15" t="s">
        <v>138</v>
      </c>
      <c r="Z1886" s="15" t="s">
        <v>138</v>
      </c>
      <c r="AA1886" s="15" t="s">
        <v>138</v>
      </c>
      <c r="AB1886" s="20" t="s">
        <v>138</v>
      </c>
      <c r="AC1886" s="20" t="s">
        <v>138</v>
      </c>
      <c r="AD1886" s="20" t="s">
        <v>138</v>
      </c>
      <c r="AE1886" s="20" t="s">
        <v>138</v>
      </c>
      <c r="AF1886" s="20" t="s">
        <v>138</v>
      </c>
      <c r="AG1886" s="15" t="s">
        <v>138</v>
      </c>
      <c r="AH1886" s="20" t="s">
        <v>138</v>
      </c>
      <c r="AI1886" s="20" t="s">
        <v>138</v>
      </c>
      <c r="AJ1886" s="20" t="s">
        <v>138</v>
      </c>
      <c r="AK1886" s="15" t="s">
        <v>35745</v>
      </c>
      <c r="AL1886" s="15" t="s">
        <v>35746</v>
      </c>
      <c r="AM1886" s="15" t="s">
        <v>221</v>
      </c>
      <c r="AN1886" s="15" t="s">
        <v>35747</v>
      </c>
      <c r="AO1886" s="15" t="s">
        <v>138</v>
      </c>
      <c r="AP1886" s="15" t="s">
        <v>665</v>
      </c>
      <c r="AQ1886" s="15" t="s">
        <v>35748</v>
      </c>
      <c r="AR1886" s="15" t="s">
        <v>35749</v>
      </c>
      <c r="AS1886" s="15" t="s">
        <v>668</v>
      </c>
      <c r="AT1886" s="15" t="s">
        <v>200</v>
      </c>
      <c r="AU1886" s="15" t="s">
        <v>691</v>
      </c>
      <c r="AV1886" s="15" t="s">
        <v>162</v>
      </c>
      <c r="AW1886" s="15" t="s">
        <v>138</v>
      </c>
      <c r="AX1886" s="15" t="s">
        <v>138</v>
      </c>
      <c r="AY1886" s="15" t="s">
        <v>138</v>
      </c>
      <c r="AZ1886" s="15" t="s">
        <v>164</v>
      </c>
      <c r="BA1886" s="15" t="s">
        <v>165</v>
      </c>
      <c r="BB1886" s="15" t="s">
        <v>35750</v>
      </c>
      <c r="BC1886" s="15" t="s">
        <v>35751</v>
      </c>
      <c r="BD1886" s="21">
        <v>21</v>
      </c>
      <c r="BE1886" s="15" t="s">
        <v>138</v>
      </c>
      <c r="BF1886" s="15" t="s">
        <v>138</v>
      </c>
      <c r="BG1886" s="15" t="s">
        <v>138</v>
      </c>
      <c r="BH1886" s="15" t="s">
        <v>35752</v>
      </c>
      <c r="BI1886" s="15" t="s">
        <v>138</v>
      </c>
      <c r="BJ1886" s="15" t="s">
        <v>138</v>
      </c>
      <c r="BK1886" s="15" t="s">
        <v>12137</v>
      </c>
      <c r="BL1886" s="15" t="s">
        <v>3482</v>
      </c>
      <c r="BM1886" s="22">
        <v>40773</v>
      </c>
      <c r="BN1886" s="17" t="s">
        <v>138</v>
      </c>
      <c r="BO1886" s="15" t="s">
        <v>138</v>
      </c>
      <c r="BP1886" s="17" t="s">
        <v>138</v>
      </c>
      <c r="BQ1886" s="15" t="s">
        <v>138</v>
      </c>
      <c r="BR1886" s="15" t="s">
        <v>316</v>
      </c>
      <c r="BS1886" s="15" t="s">
        <v>138</v>
      </c>
      <c r="BT1886" s="15" t="s">
        <v>138</v>
      </c>
      <c r="BU1886" s="15" t="s">
        <v>177</v>
      </c>
      <c r="BV1886" s="15" t="s">
        <v>138</v>
      </c>
      <c r="BW1886" s="15" t="s">
        <v>138</v>
      </c>
      <c r="BX1886" s="15" t="s">
        <v>138</v>
      </c>
      <c r="BY1886" s="15" t="s">
        <v>175</v>
      </c>
      <c r="BZ1886" s="22">
        <v>43012</v>
      </c>
      <c r="CA1886" s="17">
        <v>10.51</v>
      </c>
      <c r="CB1886" s="15" t="s">
        <v>172</v>
      </c>
      <c r="CC1886" s="17">
        <v>35.51</v>
      </c>
      <c r="CD1886" s="15" t="s">
        <v>172</v>
      </c>
      <c r="CE1886" s="15" t="s">
        <v>173</v>
      </c>
      <c r="CF1886" s="15" t="s">
        <v>720</v>
      </c>
      <c r="CG1886" s="15" t="s">
        <v>138</v>
      </c>
      <c r="CH1886" s="15" t="s">
        <v>174</v>
      </c>
      <c r="CI1886" s="15" t="s">
        <v>138</v>
      </c>
      <c r="CJ1886" s="15" t="s">
        <v>138</v>
      </c>
      <c r="CK1886" s="15" t="s">
        <v>138</v>
      </c>
      <c r="CL1886" s="15" t="s">
        <v>175</v>
      </c>
      <c r="CM1886" s="22" t="s">
        <v>138</v>
      </c>
      <c r="CN1886" s="17" t="s">
        <v>138</v>
      </c>
      <c r="CO1886" s="23">
        <v>0.16</v>
      </c>
      <c r="CP1886" s="24">
        <v>92</v>
      </c>
      <c r="CQ1886" s="23">
        <v>-0.02</v>
      </c>
      <c r="CR1886" s="23">
        <v>-10.199999999999999</v>
      </c>
      <c r="CS1886" s="23">
        <v>0</v>
      </c>
      <c r="CT1886" s="24">
        <v>23</v>
      </c>
      <c r="CU1886" s="23">
        <v>0.32</v>
      </c>
      <c r="CV1886" s="24">
        <v>88</v>
      </c>
      <c r="CW1886" s="23">
        <v>0</v>
      </c>
      <c r="CX1886" s="24">
        <v>13</v>
      </c>
      <c r="CY1886" s="23" t="s">
        <v>138</v>
      </c>
      <c r="CZ1886" s="24" t="s">
        <v>138</v>
      </c>
      <c r="DA1886" s="23">
        <v>0.32</v>
      </c>
      <c r="DB1886" s="24">
        <v>89</v>
      </c>
      <c r="DC1886" s="25">
        <v>5.34</v>
      </c>
      <c r="DD1886" s="24">
        <v>83</v>
      </c>
      <c r="DE1886" s="25">
        <v>-0.08</v>
      </c>
      <c r="DF1886" s="23">
        <v>-1.48</v>
      </c>
      <c r="DG1886" s="25">
        <v>1.72</v>
      </c>
      <c r="DH1886" s="24">
        <v>63</v>
      </c>
      <c r="DI1886" s="25">
        <v>8.9600000000000009</v>
      </c>
      <c r="DJ1886" s="24">
        <v>84</v>
      </c>
      <c r="DK1886" s="25">
        <v>1.72</v>
      </c>
      <c r="DL1886" s="24">
        <v>61</v>
      </c>
      <c r="DM1886" s="25" t="s">
        <v>138</v>
      </c>
      <c r="DN1886" s="24" t="s">
        <v>138</v>
      </c>
      <c r="DO1886" s="25">
        <v>8.9600000000000009</v>
      </c>
      <c r="DP1886" s="24">
        <v>86</v>
      </c>
      <c r="DQ1886" s="24">
        <v>571</v>
      </c>
      <c r="DR1886" s="26">
        <v>59</v>
      </c>
      <c r="DS1886" s="23">
        <v>11.52</v>
      </c>
      <c r="DT1886" s="24" t="s">
        <v>138</v>
      </c>
      <c r="DU1886" s="26" t="s">
        <v>138</v>
      </c>
      <c r="DV1886" s="23" t="s">
        <v>138</v>
      </c>
      <c r="DW1886" s="24">
        <v>3207</v>
      </c>
      <c r="DX1886" s="27">
        <v>6</v>
      </c>
      <c r="DY1886" s="23">
        <v>0.19</v>
      </c>
      <c r="DZ1886" s="15" t="s">
        <v>178</v>
      </c>
      <c r="EA1886" s="22">
        <v>43601</v>
      </c>
      <c r="EB1886" s="17">
        <v>35.51</v>
      </c>
      <c r="EC1886" s="22">
        <v>43012</v>
      </c>
      <c r="ED1886" s="15" t="s">
        <v>173</v>
      </c>
      <c r="EE1886" s="14" t="str">
        <f>HYPERLINK("https://my.pitchbook.com?c=108935-11", "View company online")</f>
        <v>View company online</v>
      </c>
    </row>
    <row r="1887" spans="1:135">
      <c r="A1887" s="28" t="s">
        <v>35753</v>
      </c>
      <c r="B1887" s="28" t="s">
        <v>35754</v>
      </c>
      <c r="C1887" s="28" t="s">
        <v>138</v>
      </c>
      <c r="D1887" s="28" t="s">
        <v>35755</v>
      </c>
      <c r="E1887" s="28" t="s">
        <v>35756</v>
      </c>
      <c r="F1887" s="28" t="s">
        <v>35753</v>
      </c>
      <c r="G1887" s="28" t="s">
        <v>35757</v>
      </c>
      <c r="H1887" s="28" t="s">
        <v>322</v>
      </c>
      <c r="I1887" s="28" t="s">
        <v>323</v>
      </c>
      <c r="J1887" s="28" t="s">
        <v>413</v>
      </c>
      <c r="K1887" s="28" t="s">
        <v>35758</v>
      </c>
      <c r="L1887" s="28" t="s">
        <v>35759</v>
      </c>
      <c r="M1887" s="28" t="s">
        <v>35760</v>
      </c>
      <c r="N1887" s="28" t="s">
        <v>147</v>
      </c>
      <c r="O1887" s="29">
        <v>3.77</v>
      </c>
      <c r="P1887" s="28" t="s">
        <v>148</v>
      </c>
      <c r="Q1887" s="28" t="s">
        <v>149</v>
      </c>
      <c r="R1887" s="28" t="s">
        <v>174</v>
      </c>
      <c r="S1887" s="28" t="s">
        <v>35761</v>
      </c>
      <c r="T1887" s="30" t="s">
        <v>138</v>
      </c>
      <c r="U1887" s="28" t="s">
        <v>138</v>
      </c>
      <c r="V1887" s="28" t="s">
        <v>138</v>
      </c>
      <c r="W1887" s="28" t="s">
        <v>138</v>
      </c>
      <c r="X1887" s="31">
        <v>2012</v>
      </c>
      <c r="Y1887" s="28" t="s">
        <v>138</v>
      </c>
      <c r="Z1887" s="28" t="s">
        <v>138</v>
      </c>
      <c r="AA1887" s="28" t="s">
        <v>138</v>
      </c>
      <c r="AB1887" s="32" t="s">
        <v>138</v>
      </c>
      <c r="AC1887" s="32" t="s">
        <v>138</v>
      </c>
      <c r="AD1887" s="32" t="s">
        <v>138</v>
      </c>
      <c r="AE1887" s="32" t="s">
        <v>138</v>
      </c>
      <c r="AF1887" s="32" t="s">
        <v>138</v>
      </c>
      <c r="AG1887" s="28" t="s">
        <v>138</v>
      </c>
      <c r="AH1887" s="32" t="s">
        <v>138</v>
      </c>
      <c r="AI1887" s="32" t="s">
        <v>138</v>
      </c>
      <c r="AJ1887" s="32" t="s">
        <v>138</v>
      </c>
      <c r="AK1887" s="28" t="s">
        <v>35762</v>
      </c>
      <c r="AL1887" s="28" t="s">
        <v>35763</v>
      </c>
      <c r="AM1887" s="28" t="s">
        <v>35764</v>
      </c>
      <c r="AN1887" s="28" t="s">
        <v>35765</v>
      </c>
      <c r="AO1887" s="28" t="s">
        <v>35766</v>
      </c>
      <c r="AP1887" s="28" t="s">
        <v>1195</v>
      </c>
      <c r="AQ1887" s="28" t="s">
        <v>35767</v>
      </c>
      <c r="AR1887" s="28" t="s">
        <v>35768</v>
      </c>
      <c r="AS1887" s="28" t="s">
        <v>1198</v>
      </c>
      <c r="AT1887" s="28" t="s">
        <v>138</v>
      </c>
      <c r="AU1887" s="28" t="s">
        <v>138</v>
      </c>
      <c r="AV1887" s="28" t="s">
        <v>1200</v>
      </c>
      <c r="AW1887" s="28" t="s">
        <v>35766</v>
      </c>
      <c r="AX1887" s="28" t="s">
        <v>138</v>
      </c>
      <c r="AY1887" s="28" t="s">
        <v>138</v>
      </c>
      <c r="AZ1887" s="28" t="s">
        <v>452</v>
      </c>
      <c r="BA1887" s="28" t="s">
        <v>453</v>
      </c>
      <c r="BB1887" s="28" t="s">
        <v>35769</v>
      </c>
      <c r="BC1887" s="28" t="s">
        <v>35770</v>
      </c>
      <c r="BD1887" s="33">
        <v>4</v>
      </c>
      <c r="BE1887" s="28" t="s">
        <v>138</v>
      </c>
      <c r="BF1887" s="28" t="s">
        <v>138</v>
      </c>
      <c r="BG1887" s="28" t="s">
        <v>138</v>
      </c>
      <c r="BH1887" s="28" t="s">
        <v>35771</v>
      </c>
      <c r="BI1887" s="28" t="s">
        <v>138</v>
      </c>
      <c r="BJ1887" s="28" t="s">
        <v>138</v>
      </c>
      <c r="BK1887" s="28" t="s">
        <v>138</v>
      </c>
      <c r="BL1887" s="28" t="s">
        <v>138</v>
      </c>
      <c r="BM1887" s="34">
        <v>43165</v>
      </c>
      <c r="BN1887" s="29">
        <v>3.77</v>
      </c>
      <c r="BO1887" s="28" t="s">
        <v>172</v>
      </c>
      <c r="BP1887" s="29" t="s">
        <v>138</v>
      </c>
      <c r="BQ1887" s="28" t="s">
        <v>138</v>
      </c>
      <c r="BR1887" s="28" t="s">
        <v>205</v>
      </c>
      <c r="BS1887" s="28" t="s">
        <v>206</v>
      </c>
      <c r="BT1887" s="28" t="s">
        <v>138</v>
      </c>
      <c r="BU1887" s="28" t="s">
        <v>174</v>
      </c>
      <c r="BV1887" s="28" t="s">
        <v>138</v>
      </c>
      <c r="BW1887" s="28" t="s">
        <v>138</v>
      </c>
      <c r="BX1887" s="28" t="s">
        <v>138</v>
      </c>
      <c r="BY1887" s="28" t="s">
        <v>175</v>
      </c>
      <c r="BZ1887" s="34">
        <v>43165</v>
      </c>
      <c r="CA1887" s="29">
        <v>3.77</v>
      </c>
      <c r="CB1887" s="28" t="s">
        <v>172</v>
      </c>
      <c r="CC1887" s="29" t="s">
        <v>138</v>
      </c>
      <c r="CD1887" s="28" t="s">
        <v>138</v>
      </c>
      <c r="CE1887" s="28" t="s">
        <v>205</v>
      </c>
      <c r="CF1887" s="28" t="s">
        <v>206</v>
      </c>
      <c r="CG1887" s="28" t="s">
        <v>138</v>
      </c>
      <c r="CH1887" s="28" t="s">
        <v>174</v>
      </c>
      <c r="CI1887" s="28" t="s">
        <v>138</v>
      </c>
      <c r="CJ1887" s="28" t="s">
        <v>138</v>
      </c>
      <c r="CK1887" s="28" t="s">
        <v>138</v>
      </c>
      <c r="CL1887" s="28" t="s">
        <v>175</v>
      </c>
      <c r="CM1887" s="34" t="s">
        <v>138</v>
      </c>
      <c r="CN1887" s="29" t="s">
        <v>138</v>
      </c>
      <c r="CO1887" s="35">
        <v>0</v>
      </c>
      <c r="CP1887" s="36">
        <v>26</v>
      </c>
      <c r="CQ1887" s="35">
        <v>0</v>
      </c>
      <c r="CR1887" s="35">
        <v>0</v>
      </c>
      <c r="CS1887" s="35">
        <v>0</v>
      </c>
      <c r="CT1887" s="36">
        <v>23</v>
      </c>
      <c r="CU1887" s="35">
        <v>0</v>
      </c>
      <c r="CV1887" s="36">
        <v>22</v>
      </c>
      <c r="CW1887" s="35">
        <v>0</v>
      </c>
      <c r="CX1887" s="36">
        <v>13</v>
      </c>
      <c r="CY1887" s="35" t="s">
        <v>138</v>
      </c>
      <c r="CZ1887" s="36" t="s">
        <v>138</v>
      </c>
      <c r="DA1887" s="35">
        <v>0</v>
      </c>
      <c r="DB1887" s="36">
        <v>22</v>
      </c>
      <c r="DC1887" s="37">
        <v>0.15</v>
      </c>
      <c r="DD1887" s="36">
        <v>12</v>
      </c>
      <c r="DE1887" s="37">
        <v>-0.01</v>
      </c>
      <c r="DF1887" s="35">
        <v>-5.33</v>
      </c>
      <c r="DG1887" s="37">
        <v>0.16</v>
      </c>
      <c r="DH1887" s="36">
        <v>13</v>
      </c>
      <c r="DI1887" s="37">
        <v>0.15</v>
      </c>
      <c r="DJ1887" s="36">
        <v>19</v>
      </c>
      <c r="DK1887" s="37">
        <v>0.16</v>
      </c>
      <c r="DL1887" s="36">
        <v>1</v>
      </c>
      <c r="DM1887" s="37" t="s">
        <v>138</v>
      </c>
      <c r="DN1887" s="36" t="s">
        <v>138</v>
      </c>
      <c r="DO1887" s="37">
        <v>0.15</v>
      </c>
      <c r="DP1887" s="36">
        <v>21</v>
      </c>
      <c r="DQ1887" s="36">
        <v>59</v>
      </c>
      <c r="DR1887" s="38">
        <v>-25</v>
      </c>
      <c r="DS1887" s="35">
        <v>-29.76</v>
      </c>
      <c r="DT1887" s="36">
        <v>1</v>
      </c>
      <c r="DU1887" s="38">
        <v>0</v>
      </c>
      <c r="DV1887" s="35">
        <v>0</v>
      </c>
      <c r="DW1887" s="36">
        <v>51</v>
      </c>
      <c r="DX1887" s="39">
        <v>1</v>
      </c>
      <c r="DY1887" s="35">
        <v>2</v>
      </c>
      <c r="DZ1887" s="28" t="s">
        <v>178</v>
      </c>
      <c r="EA1887" s="34">
        <v>43351</v>
      </c>
      <c r="EB1887" s="29" t="s">
        <v>138</v>
      </c>
      <c r="EC1887" s="34" t="s">
        <v>138</v>
      </c>
      <c r="ED1887" s="28" t="s">
        <v>138</v>
      </c>
      <c r="EE1887" s="40" t="str">
        <f>HYPERLINK("https://my.pitchbook.com?c=226888-84", "View company online")</f>
        <v>View company online</v>
      </c>
    </row>
    <row r="1888" spans="1:135">
      <c r="A1888" s="15" t="s">
        <v>35772</v>
      </c>
      <c r="B1888" s="15" t="s">
        <v>35773</v>
      </c>
      <c r="C1888" s="15" t="s">
        <v>35774</v>
      </c>
      <c r="D1888" s="15" t="s">
        <v>138</v>
      </c>
      <c r="E1888" s="15" t="s">
        <v>138</v>
      </c>
      <c r="F1888" s="15" t="s">
        <v>35772</v>
      </c>
      <c r="G1888" s="15" t="s">
        <v>35775</v>
      </c>
      <c r="H1888" s="15" t="s">
        <v>322</v>
      </c>
      <c r="I1888" s="15" t="s">
        <v>323</v>
      </c>
      <c r="J1888" s="15" t="s">
        <v>413</v>
      </c>
      <c r="K1888" s="15" t="s">
        <v>35776</v>
      </c>
      <c r="L1888" s="15" t="s">
        <v>28782</v>
      </c>
      <c r="M1888" s="15" t="s">
        <v>35777</v>
      </c>
      <c r="N1888" s="15" t="s">
        <v>147</v>
      </c>
      <c r="O1888" s="17">
        <v>13.06</v>
      </c>
      <c r="P1888" s="15" t="s">
        <v>148</v>
      </c>
      <c r="Q1888" s="15" t="s">
        <v>149</v>
      </c>
      <c r="R1888" s="15" t="s">
        <v>174</v>
      </c>
      <c r="S1888" s="15" t="s">
        <v>35778</v>
      </c>
      <c r="T1888" s="18">
        <v>30</v>
      </c>
      <c r="U1888" s="15" t="s">
        <v>35779</v>
      </c>
      <c r="V1888" s="15" t="s">
        <v>138</v>
      </c>
      <c r="W1888" s="15" t="s">
        <v>138</v>
      </c>
      <c r="X1888" s="19">
        <v>2015</v>
      </c>
      <c r="Y1888" s="15" t="s">
        <v>138</v>
      </c>
      <c r="Z1888" s="15" t="s">
        <v>138</v>
      </c>
      <c r="AA1888" s="15" t="s">
        <v>138</v>
      </c>
      <c r="AB1888" s="20" t="s">
        <v>138</v>
      </c>
      <c r="AC1888" s="20" t="s">
        <v>138</v>
      </c>
      <c r="AD1888" s="20" t="s">
        <v>138</v>
      </c>
      <c r="AE1888" s="20" t="s">
        <v>138</v>
      </c>
      <c r="AF1888" s="20" t="s">
        <v>138</v>
      </c>
      <c r="AG1888" s="15" t="s">
        <v>138</v>
      </c>
      <c r="AH1888" s="20" t="s">
        <v>138</v>
      </c>
      <c r="AI1888" s="20" t="s">
        <v>138</v>
      </c>
      <c r="AJ1888" s="20" t="s">
        <v>138</v>
      </c>
      <c r="AK1888" s="15" t="s">
        <v>35780</v>
      </c>
      <c r="AL1888" s="15" t="s">
        <v>35781</v>
      </c>
      <c r="AM1888" s="15" t="s">
        <v>4214</v>
      </c>
      <c r="AN1888" s="15" t="s">
        <v>35782</v>
      </c>
      <c r="AO1888" s="15" t="s">
        <v>138</v>
      </c>
      <c r="AP1888" s="15" t="s">
        <v>2692</v>
      </c>
      <c r="AQ1888" s="15" t="s">
        <v>35783</v>
      </c>
      <c r="AR1888" s="15" t="s">
        <v>138</v>
      </c>
      <c r="AS1888" s="15" t="s">
        <v>2694</v>
      </c>
      <c r="AT1888" s="15" t="s">
        <v>138</v>
      </c>
      <c r="AU1888" s="15" t="s">
        <v>35784</v>
      </c>
      <c r="AV1888" s="15" t="s">
        <v>1054</v>
      </c>
      <c r="AW1888" s="15" t="s">
        <v>138</v>
      </c>
      <c r="AX1888" s="15" t="s">
        <v>138</v>
      </c>
      <c r="AY1888" s="15" t="s">
        <v>35785</v>
      </c>
      <c r="AZ1888" s="15" t="s">
        <v>530</v>
      </c>
      <c r="BA1888" s="15" t="s">
        <v>531</v>
      </c>
      <c r="BB1888" s="15" t="s">
        <v>35786</v>
      </c>
      <c r="BC1888" s="15" t="s">
        <v>35787</v>
      </c>
      <c r="BD1888" s="21">
        <v>6</v>
      </c>
      <c r="BE1888" s="15" t="s">
        <v>138</v>
      </c>
      <c r="BF1888" s="15" t="s">
        <v>138</v>
      </c>
      <c r="BG1888" s="15" t="s">
        <v>138</v>
      </c>
      <c r="BH1888" s="15" t="s">
        <v>35788</v>
      </c>
      <c r="BI1888" s="15" t="s">
        <v>138</v>
      </c>
      <c r="BJ1888" s="15" t="s">
        <v>138</v>
      </c>
      <c r="BK1888" s="15" t="s">
        <v>138</v>
      </c>
      <c r="BL1888" s="15" t="s">
        <v>138</v>
      </c>
      <c r="BM1888" s="22" t="s">
        <v>138</v>
      </c>
      <c r="BN1888" s="17">
        <v>5.83</v>
      </c>
      <c r="BO1888" s="15" t="s">
        <v>172</v>
      </c>
      <c r="BP1888" s="17" t="s">
        <v>138</v>
      </c>
      <c r="BQ1888" s="15" t="s">
        <v>138</v>
      </c>
      <c r="BR1888" s="15" t="s">
        <v>205</v>
      </c>
      <c r="BS1888" s="15" t="s">
        <v>138</v>
      </c>
      <c r="BT1888" s="15" t="s">
        <v>138</v>
      </c>
      <c r="BU1888" s="15" t="s">
        <v>174</v>
      </c>
      <c r="BV1888" s="15" t="s">
        <v>138</v>
      </c>
      <c r="BW1888" s="15" t="s">
        <v>138</v>
      </c>
      <c r="BX1888" s="15" t="s">
        <v>138</v>
      </c>
      <c r="BY1888" s="15" t="s">
        <v>175</v>
      </c>
      <c r="BZ1888" s="22">
        <v>43186</v>
      </c>
      <c r="CA1888" s="17">
        <v>6.16</v>
      </c>
      <c r="CB1888" s="15" t="s">
        <v>172</v>
      </c>
      <c r="CC1888" s="17" t="s">
        <v>138</v>
      </c>
      <c r="CD1888" s="15" t="s">
        <v>138</v>
      </c>
      <c r="CE1888" s="15" t="s">
        <v>205</v>
      </c>
      <c r="CF1888" s="15" t="s">
        <v>623</v>
      </c>
      <c r="CG1888" s="15" t="s">
        <v>138</v>
      </c>
      <c r="CH1888" s="15" t="s">
        <v>174</v>
      </c>
      <c r="CI1888" s="15" t="s">
        <v>138</v>
      </c>
      <c r="CJ1888" s="15" t="s">
        <v>138</v>
      </c>
      <c r="CK1888" s="15" t="s">
        <v>138</v>
      </c>
      <c r="CL1888" s="15" t="s">
        <v>175</v>
      </c>
      <c r="CM1888" s="22" t="s">
        <v>138</v>
      </c>
      <c r="CN1888" s="17" t="s">
        <v>138</v>
      </c>
      <c r="CO1888" s="23">
        <v>0.03</v>
      </c>
      <c r="CP1888" s="24">
        <v>86</v>
      </c>
      <c r="CQ1888" s="23">
        <v>-0.23</v>
      </c>
      <c r="CR1888" s="23">
        <v>-88.77</v>
      </c>
      <c r="CS1888" s="23">
        <v>0.11</v>
      </c>
      <c r="CT1888" s="24">
        <v>94</v>
      </c>
      <c r="CU1888" s="23">
        <v>-0.05</v>
      </c>
      <c r="CV1888" s="24">
        <v>9</v>
      </c>
      <c r="CW1888" s="23" t="s">
        <v>138</v>
      </c>
      <c r="CX1888" s="24" t="s">
        <v>138</v>
      </c>
      <c r="CY1888" s="23">
        <v>0.11</v>
      </c>
      <c r="CZ1888" s="24">
        <v>98</v>
      </c>
      <c r="DA1888" s="23">
        <v>-0.05</v>
      </c>
      <c r="DB1888" s="24">
        <v>13</v>
      </c>
      <c r="DC1888" s="25">
        <v>3.74</v>
      </c>
      <c r="DD1888" s="24">
        <v>79</v>
      </c>
      <c r="DE1888" s="25">
        <v>-0.04</v>
      </c>
      <c r="DF1888" s="23">
        <v>-1.1200000000000001</v>
      </c>
      <c r="DG1888" s="25">
        <v>4.17</v>
      </c>
      <c r="DH1888" s="24">
        <v>80</v>
      </c>
      <c r="DI1888" s="25">
        <v>3.31</v>
      </c>
      <c r="DJ1888" s="24">
        <v>71</v>
      </c>
      <c r="DK1888" s="25" t="s">
        <v>138</v>
      </c>
      <c r="DL1888" s="24" t="s">
        <v>138</v>
      </c>
      <c r="DM1888" s="25">
        <v>4.17</v>
      </c>
      <c r="DN1888" s="24">
        <v>79</v>
      </c>
      <c r="DO1888" s="25">
        <v>3.31</v>
      </c>
      <c r="DP1888" s="24">
        <v>73</v>
      </c>
      <c r="DQ1888" s="24" t="s">
        <v>138</v>
      </c>
      <c r="DR1888" s="26" t="s">
        <v>138</v>
      </c>
      <c r="DS1888" s="23" t="s">
        <v>138</v>
      </c>
      <c r="DT1888" s="24">
        <v>122</v>
      </c>
      <c r="DU1888" s="26">
        <v>-3</v>
      </c>
      <c r="DV1888" s="23">
        <v>-2.4</v>
      </c>
      <c r="DW1888" s="24">
        <v>1184</v>
      </c>
      <c r="DX1888" s="27">
        <v>-3</v>
      </c>
      <c r="DY1888" s="23">
        <v>-0.25</v>
      </c>
      <c r="DZ1888" s="15" t="s">
        <v>178</v>
      </c>
      <c r="EA1888" s="22">
        <v>43448</v>
      </c>
      <c r="EB1888" s="17" t="s">
        <v>138</v>
      </c>
      <c r="EC1888" s="22" t="s">
        <v>138</v>
      </c>
      <c r="ED1888" s="15" t="s">
        <v>138</v>
      </c>
      <c r="EE1888" s="14" t="str">
        <f>HYPERLINK("https://my.pitchbook.com?c=127674-82", "View company online")</f>
        <v>View company online</v>
      </c>
    </row>
    <row r="1889" spans="1:135">
      <c r="A1889" s="28" t="s">
        <v>35789</v>
      </c>
      <c r="B1889" s="28" t="s">
        <v>35790</v>
      </c>
      <c r="C1889" s="28" t="s">
        <v>138</v>
      </c>
      <c r="D1889" s="28" t="s">
        <v>138</v>
      </c>
      <c r="E1889" s="28" t="s">
        <v>35791</v>
      </c>
      <c r="F1889" s="28" t="s">
        <v>35789</v>
      </c>
      <c r="G1889" s="28" t="s">
        <v>35792</v>
      </c>
      <c r="H1889" s="28" t="s">
        <v>238</v>
      </c>
      <c r="I1889" s="28" t="s">
        <v>1018</v>
      </c>
      <c r="J1889" s="28" t="s">
        <v>4780</v>
      </c>
      <c r="K1889" s="28" t="s">
        <v>20524</v>
      </c>
      <c r="L1889" s="28" t="s">
        <v>138</v>
      </c>
      <c r="M1889" s="28" t="s">
        <v>35793</v>
      </c>
      <c r="N1889" s="28" t="s">
        <v>147</v>
      </c>
      <c r="O1889" s="29">
        <v>179.37</v>
      </c>
      <c r="P1889" s="28" t="s">
        <v>148</v>
      </c>
      <c r="Q1889" s="28" t="s">
        <v>149</v>
      </c>
      <c r="R1889" s="28" t="s">
        <v>244</v>
      </c>
      <c r="S1889" s="28" t="s">
        <v>35794</v>
      </c>
      <c r="T1889" s="30">
        <v>1500</v>
      </c>
      <c r="U1889" s="28" t="s">
        <v>35795</v>
      </c>
      <c r="V1889" s="28" t="s">
        <v>138</v>
      </c>
      <c r="W1889" s="28" t="s">
        <v>138</v>
      </c>
      <c r="X1889" s="31">
        <v>2014</v>
      </c>
      <c r="Y1889" s="28" t="s">
        <v>138</v>
      </c>
      <c r="Z1889" s="28" t="s">
        <v>138</v>
      </c>
      <c r="AA1889" s="28" t="s">
        <v>138</v>
      </c>
      <c r="AB1889" s="32" t="s">
        <v>138</v>
      </c>
      <c r="AC1889" s="32" t="s">
        <v>138</v>
      </c>
      <c r="AD1889" s="32" t="s">
        <v>138</v>
      </c>
      <c r="AE1889" s="32" t="s">
        <v>138</v>
      </c>
      <c r="AF1889" s="32" t="s">
        <v>138</v>
      </c>
      <c r="AG1889" s="28" t="s">
        <v>138</v>
      </c>
      <c r="AH1889" s="32" t="s">
        <v>138</v>
      </c>
      <c r="AI1889" s="32" t="s">
        <v>138</v>
      </c>
      <c r="AJ1889" s="32" t="s">
        <v>138</v>
      </c>
      <c r="AK1889" s="28" t="s">
        <v>35796</v>
      </c>
      <c r="AL1889" s="28" t="s">
        <v>35797</v>
      </c>
      <c r="AM1889" s="28" t="s">
        <v>221</v>
      </c>
      <c r="AN1889" s="28" t="s">
        <v>35798</v>
      </c>
      <c r="AO1889" s="28" t="s">
        <v>138</v>
      </c>
      <c r="AP1889" s="28" t="s">
        <v>423</v>
      </c>
      <c r="AQ1889" s="28" t="s">
        <v>35799</v>
      </c>
      <c r="AR1889" s="28" t="s">
        <v>618</v>
      </c>
      <c r="AS1889" s="28" t="s">
        <v>426</v>
      </c>
      <c r="AT1889" s="28" t="s">
        <v>426</v>
      </c>
      <c r="AU1889" s="28" t="s">
        <v>8757</v>
      </c>
      <c r="AV1889" s="28" t="s">
        <v>162</v>
      </c>
      <c r="AW1889" s="28" t="s">
        <v>138</v>
      </c>
      <c r="AX1889" s="28" t="s">
        <v>138</v>
      </c>
      <c r="AY1889" s="28" t="s">
        <v>35800</v>
      </c>
      <c r="AZ1889" s="28" t="s">
        <v>164</v>
      </c>
      <c r="BA1889" s="28" t="s">
        <v>165</v>
      </c>
      <c r="BB1889" s="28" t="s">
        <v>35801</v>
      </c>
      <c r="BC1889" s="28" t="s">
        <v>35802</v>
      </c>
      <c r="BD1889" s="33">
        <v>38</v>
      </c>
      <c r="BE1889" s="28" t="s">
        <v>138</v>
      </c>
      <c r="BF1889" s="28" t="s">
        <v>138</v>
      </c>
      <c r="BG1889" s="28" t="s">
        <v>138</v>
      </c>
      <c r="BH1889" s="28" t="s">
        <v>35803</v>
      </c>
      <c r="BI1889" s="28" t="s">
        <v>138</v>
      </c>
      <c r="BJ1889" s="28" t="s">
        <v>138</v>
      </c>
      <c r="BK1889" s="28" t="s">
        <v>35804</v>
      </c>
      <c r="BL1889" s="28" t="s">
        <v>35805</v>
      </c>
      <c r="BM1889" s="34">
        <v>41782</v>
      </c>
      <c r="BN1889" s="29">
        <v>0.7</v>
      </c>
      <c r="BO1889" s="28" t="s">
        <v>172</v>
      </c>
      <c r="BP1889" s="29" t="s">
        <v>138</v>
      </c>
      <c r="BQ1889" s="28" t="s">
        <v>138</v>
      </c>
      <c r="BR1889" s="28" t="s">
        <v>234</v>
      </c>
      <c r="BS1889" s="28" t="s">
        <v>234</v>
      </c>
      <c r="BT1889" s="28" t="s">
        <v>138</v>
      </c>
      <c r="BU1889" s="28" t="s">
        <v>174</v>
      </c>
      <c r="BV1889" s="28" t="s">
        <v>138</v>
      </c>
      <c r="BW1889" s="28" t="s">
        <v>138</v>
      </c>
      <c r="BX1889" s="28" t="s">
        <v>138</v>
      </c>
      <c r="BY1889" s="28" t="s">
        <v>175</v>
      </c>
      <c r="BZ1889" s="34">
        <v>43488</v>
      </c>
      <c r="CA1889" s="29">
        <v>100</v>
      </c>
      <c r="CB1889" s="28" t="s">
        <v>172</v>
      </c>
      <c r="CC1889" s="29">
        <v>700</v>
      </c>
      <c r="CD1889" s="28" t="s">
        <v>172</v>
      </c>
      <c r="CE1889" s="28" t="s">
        <v>173</v>
      </c>
      <c r="CF1889" s="28" t="s">
        <v>433</v>
      </c>
      <c r="CG1889" s="28" t="s">
        <v>138</v>
      </c>
      <c r="CH1889" s="28" t="s">
        <v>174</v>
      </c>
      <c r="CI1889" s="28" t="s">
        <v>138</v>
      </c>
      <c r="CJ1889" s="28" t="s">
        <v>138</v>
      </c>
      <c r="CK1889" s="28" t="s">
        <v>138</v>
      </c>
      <c r="CL1889" s="28" t="s">
        <v>175</v>
      </c>
      <c r="CM1889" s="34" t="s">
        <v>138</v>
      </c>
      <c r="CN1889" s="29" t="s">
        <v>138</v>
      </c>
      <c r="CO1889" s="35">
        <v>3.23</v>
      </c>
      <c r="CP1889" s="36">
        <v>100</v>
      </c>
      <c r="CQ1889" s="35">
        <v>0</v>
      </c>
      <c r="CR1889" s="35">
        <v>-0.03</v>
      </c>
      <c r="CS1889" s="35">
        <v>7.86</v>
      </c>
      <c r="CT1889" s="36">
        <v>100</v>
      </c>
      <c r="CU1889" s="35">
        <v>0.47</v>
      </c>
      <c r="CV1889" s="36">
        <v>93</v>
      </c>
      <c r="CW1889" s="35">
        <v>7.86</v>
      </c>
      <c r="CX1889" s="36">
        <v>99</v>
      </c>
      <c r="CY1889" s="35" t="s">
        <v>138</v>
      </c>
      <c r="CZ1889" s="36" t="s">
        <v>138</v>
      </c>
      <c r="DA1889" s="35">
        <v>0.78</v>
      </c>
      <c r="DB1889" s="36">
        <v>97</v>
      </c>
      <c r="DC1889" s="37">
        <v>39.44</v>
      </c>
      <c r="DD1889" s="36">
        <v>97</v>
      </c>
      <c r="DE1889" s="37">
        <v>-1.21</v>
      </c>
      <c r="DF1889" s="35">
        <v>-2.98</v>
      </c>
      <c r="DG1889" s="37">
        <v>33.06</v>
      </c>
      <c r="DH1889" s="36">
        <v>97</v>
      </c>
      <c r="DI1889" s="37">
        <v>82.48</v>
      </c>
      <c r="DJ1889" s="36">
        <v>97</v>
      </c>
      <c r="DK1889" s="37">
        <v>33.06</v>
      </c>
      <c r="DL1889" s="36">
        <v>94</v>
      </c>
      <c r="DM1889" s="37" t="s">
        <v>138</v>
      </c>
      <c r="DN1889" s="36" t="s">
        <v>138</v>
      </c>
      <c r="DO1889" s="37">
        <v>107.47</v>
      </c>
      <c r="DP1889" s="36">
        <v>98</v>
      </c>
      <c r="DQ1889" s="36">
        <v>11122</v>
      </c>
      <c r="DR1889" s="38">
        <v>652</v>
      </c>
      <c r="DS1889" s="35">
        <v>6.23</v>
      </c>
      <c r="DT1889" s="36" t="s">
        <v>138</v>
      </c>
      <c r="DU1889" s="38" t="s">
        <v>138</v>
      </c>
      <c r="DV1889" s="35" t="s">
        <v>138</v>
      </c>
      <c r="DW1889" s="36">
        <v>38373</v>
      </c>
      <c r="DX1889" s="39">
        <v>259</v>
      </c>
      <c r="DY1889" s="35">
        <v>0.68</v>
      </c>
      <c r="DZ1889" s="28" t="s">
        <v>178</v>
      </c>
      <c r="EA1889" s="34">
        <v>43622</v>
      </c>
      <c r="EB1889" s="29">
        <v>700</v>
      </c>
      <c r="EC1889" s="34">
        <v>43488</v>
      </c>
      <c r="ED1889" s="28" t="s">
        <v>173</v>
      </c>
      <c r="EE1889" s="40" t="str">
        <f>HYPERLINK("https://my.pitchbook.com?c=97696-90", "View company online")</f>
        <v>View company online</v>
      </c>
    </row>
    <row r="1890" spans="1:135">
      <c r="A1890" s="15" t="s">
        <v>35806</v>
      </c>
      <c r="B1890" s="15" t="s">
        <v>35807</v>
      </c>
      <c r="C1890" s="15" t="s">
        <v>138</v>
      </c>
      <c r="D1890" s="15" t="s">
        <v>138</v>
      </c>
      <c r="E1890" s="15" t="s">
        <v>138</v>
      </c>
      <c r="F1890" s="15" t="s">
        <v>35806</v>
      </c>
      <c r="G1890" s="15" t="s">
        <v>35808</v>
      </c>
      <c r="H1890" s="15" t="s">
        <v>322</v>
      </c>
      <c r="I1890" s="15" t="s">
        <v>1208</v>
      </c>
      <c r="J1890" s="15" t="s">
        <v>5393</v>
      </c>
      <c r="K1890" s="15" t="s">
        <v>35809</v>
      </c>
      <c r="L1890" s="15" t="s">
        <v>415</v>
      </c>
      <c r="M1890" s="15" t="s">
        <v>35810</v>
      </c>
      <c r="N1890" s="15" t="s">
        <v>147</v>
      </c>
      <c r="O1890" s="17">
        <v>19</v>
      </c>
      <c r="P1890" s="15" t="s">
        <v>148</v>
      </c>
      <c r="Q1890" s="15" t="s">
        <v>149</v>
      </c>
      <c r="R1890" s="15" t="s">
        <v>174</v>
      </c>
      <c r="S1890" s="15" t="s">
        <v>35811</v>
      </c>
      <c r="T1890" s="18" t="s">
        <v>138</v>
      </c>
      <c r="U1890" s="15" t="s">
        <v>138</v>
      </c>
      <c r="V1890" s="15" t="s">
        <v>138</v>
      </c>
      <c r="W1890" s="15" t="s">
        <v>138</v>
      </c>
      <c r="X1890" s="19">
        <v>2014</v>
      </c>
      <c r="Y1890" s="15" t="s">
        <v>138</v>
      </c>
      <c r="Z1890" s="15" t="s">
        <v>138</v>
      </c>
      <c r="AA1890" s="15" t="s">
        <v>138</v>
      </c>
      <c r="AB1890" s="20" t="s">
        <v>138</v>
      </c>
      <c r="AC1890" s="20" t="s">
        <v>138</v>
      </c>
      <c r="AD1890" s="20" t="s">
        <v>138</v>
      </c>
      <c r="AE1890" s="20" t="s">
        <v>138</v>
      </c>
      <c r="AF1890" s="20" t="s">
        <v>138</v>
      </c>
      <c r="AG1890" s="15" t="s">
        <v>138</v>
      </c>
      <c r="AH1890" s="20" t="s">
        <v>138</v>
      </c>
      <c r="AI1890" s="20" t="s">
        <v>138</v>
      </c>
      <c r="AJ1890" s="20" t="s">
        <v>138</v>
      </c>
      <c r="AK1890" s="15" t="s">
        <v>35812</v>
      </c>
      <c r="AL1890" s="15" t="s">
        <v>35813</v>
      </c>
      <c r="AM1890" s="15" t="s">
        <v>15192</v>
      </c>
      <c r="AN1890" s="15" t="s">
        <v>35814</v>
      </c>
      <c r="AO1890" s="15" t="s">
        <v>138</v>
      </c>
      <c r="AP1890" s="15" t="s">
        <v>1220</v>
      </c>
      <c r="AQ1890" s="15" t="s">
        <v>35815</v>
      </c>
      <c r="AR1890" s="15" t="s">
        <v>138</v>
      </c>
      <c r="AS1890" s="15" t="s">
        <v>1223</v>
      </c>
      <c r="AT1890" s="15" t="s">
        <v>200</v>
      </c>
      <c r="AU1890" s="15" t="s">
        <v>3953</v>
      </c>
      <c r="AV1890" s="15" t="s">
        <v>162</v>
      </c>
      <c r="AW1890" s="15" t="s">
        <v>138</v>
      </c>
      <c r="AX1890" s="15" t="s">
        <v>138</v>
      </c>
      <c r="AY1890" s="15" t="s">
        <v>35816</v>
      </c>
      <c r="AZ1890" s="15" t="s">
        <v>164</v>
      </c>
      <c r="BA1890" s="15" t="s">
        <v>165</v>
      </c>
      <c r="BB1890" s="15" t="s">
        <v>35817</v>
      </c>
      <c r="BC1890" s="15" t="s">
        <v>35818</v>
      </c>
      <c r="BD1890" s="21">
        <v>4</v>
      </c>
      <c r="BE1890" s="15" t="s">
        <v>138</v>
      </c>
      <c r="BF1890" s="15" t="s">
        <v>138</v>
      </c>
      <c r="BG1890" s="15" t="s">
        <v>138</v>
      </c>
      <c r="BH1890" s="15" t="s">
        <v>35819</v>
      </c>
      <c r="BI1890" s="15" t="s">
        <v>138</v>
      </c>
      <c r="BJ1890" s="15" t="s">
        <v>138</v>
      </c>
      <c r="BK1890" s="15" t="s">
        <v>1038</v>
      </c>
      <c r="BL1890" s="15" t="s">
        <v>1038</v>
      </c>
      <c r="BM1890" s="22">
        <v>41947</v>
      </c>
      <c r="BN1890" s="17">
        <v>7</v>
      </c>
      <c r="BO1890" s="15" t="s">
        <v>172</v>
      </c>
      <c r="BP1890" s="17">
        <v>13</v>
      </c>
      <c r="BQ1890" s="15" t="s">
        <v>172</v>
      </c>
      <c r="BR1890" s="15" t="s">
        <v>205</v>
      </c>
      <c r="BS1890" s="15" t="s">
        <v>206</v>
      </c>
      <c r="BT1890" s="15" t="s">
        <v>138</v>
      </c>
      <c r="BU1890" s="15" t="s">
        <v>174</v>
      </c>
      <c r="BV1890" s="15" t="s">
        <v>138</v>
      </c>
      <c r="BW1890" s="15" t="s">
        <v>138</v>
      </c>
      <c r="BX1890" s="15" t="s">
        <v>138</v>
      </c>
      <c r="BY1890" s="15" t="s">
        <v>175</v>
      </c>
      <c r="BZ1890" s="22">
        <v>42921</v>
      </c>
      <c r="CA1890" s="17">
        <v>12</v>
      </c>
      <c r="CB1890" s="15" t="s">
        <v>1178</v>
      </c>
      <c r="CC1890" s="17">
        <v>36</v>
      </c>
      <c r="CD1890" s="15" t="s">
        <v>172</v>
      </c>
      <c r="CE1890" s="15" t="s">
        <v>205</v>
      </c>
      <c r="CF1890" s="15" t="s">
        <v>720</v>
      </c>
      <c r="CG1890" s="15" t="s">
        <v>138</v>
      </c>
      <c r="CH1890" s="15" t="s">
        <v>174</v>
      </c>
      <c r="CI1890" s="15" t="s">
        <v>138</v>
      </c>
      <c r="CJ1890" s="15" t="s">
        <v>138</v>
      </c>
      <c r="CK1890" s="15" t="s">
        <v>138</v>
      </c>
      <c r="CL1890" s="15" t="s">
        <v>175</v>
      </c>
      <c r="CM1890" s="22" t="s">
        <v>138</v>
      </c>
      <c r="CN1890" s="17" t="s">
        <v>138</v>
      </c>
      <c r="CO1890" s="23">
        <v>0</v>
      </c>
      <c r="CP1890" s="24">
        <v>26</v>
      </c>
      <c r="CQ1890" s="23">
        <v>0</v>
      </c>
      <c r="CR1890" s="23">
        <v>0</v>
      </c>
      <c r="CS1890" s="23" t="s">
        <v>138</v>
      </c>
      <c r="CT1890" s="24" t="s">
        <v>138</v>
      </c>
      <c r="CU1890" s="23">
        <v>0</v>
      </c>
      <c r="CV1890" s="24">
        <v>22</v>
      </c>
      <c r="CW1890" s="23" t="s">
        <v>138</v>
      </c>
      <c r="CX1890" s="24" t="s">
        <v>138</v>
      </c>
      <c r="CY1890" s="23" t="s">
        <v>138</v>
      </c>
      <c r="CZ1890" s="24" t="s">
        <v>138</v>
      </c>
      <c r="DA1890" s="23">
        <v>0</v>
      </c>
      <c r="DB1890" s="24">
        <v>22</v>
      </c>
      <c r="DC1890" s="25">
        <v>0.04</v>
      </c>
      <c r="DD1890" s="24">
        <v>4</v>
      </c>
      <c r="DE1890" s="25">
        <v>0</v>
      </c>
      <c r="DF1890" s="23">
        <v>0.53</v>
      </c>
      <c r="DG1890" s="25" t="s">
        <v>138</v>
      </c>
      <c r="DH1890" s="24" t="s">
        <v>138</v>
      </c>
      <c r="DI1890" s="25">
        <v>0.04</v>
      </c>
      <c r="DJ1890" s="24">
        <v>7</v>
      </c>
      <c r="DK1890" s="25" t="s">
        <v>138</v>
      </c>
      <c r="DL1890" s="24" t="s">
        <v>138</v>
      </c>
      <c r="DM1890" s="25" t="s">
        <v>138</v>
      </c>
      <c r="DN1890" s="24" t="s">
        <v>138</v>
      </c>
      <c r="DO1890" s="25">
        <v>0.08</v>
      </c>
      <c r="DP1890" s="24">
        <v>14</v>
      </c>
      <c r="DQ1890" s="24" t="s">
        <v>138</v>
      </c>
      <c r="DR1890" s="26" t="s">
        <v>138</v>
      </c>
      <c r="DS1890" s="23" t="s">
        <v>138</v>
      </c>
      <c r="DT1890" s="24" t="s">
        <v>138</v>
      </c>
      <c r="DU1890" s="26" t="s">
        <v>138</v>
      </c>
      <c r="DV1890" s="23" t="s">
        <v>138</v>
      </c>
      <c r="DW1890" s="24">
        <v>27</v>
      </c>
      <c r="DX1890" s="27">
        <v>0</v>
      </c>
      <c r="DY1890" s="23">
        <v>0</v>
      </c>
      <c r="DZ1890" s="15" t="s">
        <v>178</v>
      </c>
      <c r="EA1890" s="22">
        <v>43522</v>
      </c>
      <c r="EB1890" s="17">
        <v>36</v>
      </c>
      <c r="EC1890" s="22">
        <v>42921</v>
      </c>
      <c r="ED1890" s="15" t="s">
        <v>205</v>
      </c>
      <c r="EE1890" s="14" t="str">
        <f>HYPERLINK("https://my.pitchbook.com?c=99193-87", "View company online")</f>
        <v>View company online</v>
      </c>
    </row>
    <row r="1891" spans="1:135">
      <c r="A1891" s="28" t="s">
        <v>35820</v>
      </c>
      <c r="B1891" s="28" t="s">
        <v>35821</v>
      </c>
      <c r="C1891" s="28" t="s">
        <v>138</v>
      </c>
      <c r="D1891" s="28" t="s">
        <v>138</v>
      </c>
      <c r="E1891" s="28" t="s">
        <v>138</v>
      </c>
      <c r="F1891" s="28" t="s">
        <v>35820</v>
      </c>
      <c r="G1891" s="28" t="s">
        <v>35822</v>
      </c>
      <c r="H1891" s="28" t="s">
        <v>322</v>
      </c>
      <c r="I1891" s="28" t="s">
        <v>323</v>
      </c>
      <c r="J1891" s="28" t="s">
        <v>324</v>
      </c>
      <c r="K1891" s="28" t="s">
        <v>325</v>
      </c>
      <c r="L1891" s="28" t="s">
        <v>35823</v>
      </c>
      <c r="M1891" s="28" t="s">
        <v>35824</v>
      </c>
      <c r="N1891" s="28" t="s">
        <v>147</v>
      </c>
      <c r="O1891" s="29">
        <v>21.18</v>
      </c>
      <c r="P1891" s="28" t="s">
        <v>148</v>
      </c>
      <c r="Q1891" s="28" t="s">
        <v>149</v>
      </c>
      <c r="R1891" s="28" t="s">
        <v>244</v>
      </c>
      <c r="S1891" s="28" t="s">
        <v>35825</v>
      </c>
      <c r="T1891" s="30">
        <v>23</v>
      </c>
      <c r="U1891" s="28" t="s">
        <v>35826</v>
      </c>
      <c r="V1891" s="28" t="s">
        <v>138</v>
      </c>
      <c r="W1891" s="28" t="s">
        <v>138</v>
      </c>
      <c r="X1891" s="31">
        <v>1994</v>
      </c>
      <c r="Y1891" s="28" t="s">
        <v>138</v>
      </c>
      <c r="Z1891" s="28" t="s">
        <v>138</v>
      </c>
      <c r="AA1891" s="28" t="s">
        <v>138</v>
      </c>
      <c r="AB1891" s="32" t="s">
        <v>138</v>
      </c>
      <c r="AC1891" s="32" t="s">
        <v>138</v>
      </c>
      <c r="AD1891" s="32" t="s">
        <v>138</v>
      </c>
      <c r="AE1891" s="32" t="s">
        <v>138</v>
      </c>
      <c r="AF1891" s="32" t="s">
        <v>138</v>
      </c>
      <c r="AG1891" s="28" t="s">
        <v>138</v>
      </c>
      <c r="AH1891" s="32" t="s">
        <v>138</v>
      </c>
      <c r="AI1891" s="32" t="s">
        <v>138</v>
      </c>
      <c r="AJ1891" s="32" t="s">
        <v>138</v>
      </c>
      <c r="AK1891" s="28" t="s">
        <v>35827</v>
      </c>
      <c r="AL1891" s="28" t="s">
        <v>35828</v>
      </c>
      <c r="AM1891" s="28" t="s">
        <v>1586</v>
      </c>
      <c r="AN1891" s="28" t="s">
        <v>35829</v>
      </c>
      <c r="AO1891" s="28" t="s">
        <v>35830</v>
      </c>
      <c r="AP1891" s="28" t="s">
        <v>6230</v>
      </c>
      <c r="AQ1891" s="28" t="s">
        <v>35831</v>
      </c>
      <c r="AR1891" s="28" t="s">
        <v>12415</v>
      </c>
      <c r="AS1891" s="28" t="s">
        <v>6232</v>
      </c>
      <c r="AT1891" s="28" t="s">
        <v>371</v>
      </c>
      <c r="AU1891" s="28" t="s">
        <v>6551</v>
      </c>
      <c r="AV1891" s="28" t="s">
        <v>162</v>
      </c>
      <c r="AW1891" s="28" t="s">
        <v>35830</v>
      </c>
      <c r="AX1891" s="28" t="s">
        <v>35832</v>
      </c>
      <c r="AY1891" s="28" t="s">
        <v>35833</v>
      </c>
      <c r="AZ1891" s="28" t="s">
        <v>164</v>
      </c>
      <c r="BA1891" s="28" t="s">
        <v>165</v>
      </c>
      <c r="BB1891" s="28" t="s">
        <v>35834</v>
      </c>
      <c r="BC1891" s="28" t="s">
        <v>35835</v>
      </c>
      <c r="BD1891" s="33">
        <v>9</v>
      </c>
      <c r="BE1891" s="28" t="s">
        <v>138</v>
      </c>
      <c r="BF1891" s="28" t="s">
        <v>138</v>
      </c>
      <c r="BG1891" s="28" t="s">
        <v>138</v>
      </c>
      <c r="BH1891" s="28" t="s">
        <v>35836</v>
      </c>
      <c r="BI1891" s="28" t="s">
        <v>138</v>
      </c>
      <c r="BJ1891" s="28" t="s">
        <v>138</v>
      </c>
      <c r="BK1891" s="28" t="s">
        <v>138</v>
      </c>
      <c r="BL1891" s="28" t="s">
        <v>35837</v>
      </c>
      <c r="BM1891" s="34">
        <v>36161</v>
      </c>
      <c r="BN1891" s="29">
        <v>2</v>
      </c>
      <c r="BO1891" s="28" t="s">
        <v>172</v>
      </c>
      <c r="BP1891" s="29" t="s">
        <v>138</v>
      </c>
      <c r="BQ1891" s="28" t="s">
        <v>138</v>
      </c>
      <c r="BR1891" s="28" t="s">
        <v>205</v>
      </c>
      <c r="BS1891" s="28" t="s">
        <v>206</v>
      </c>
      <c r="BT1891" s="28" t="s">
        <v>138</v>
      </c>
      <c r="BU1891" s="28" t="s">
        <v>174</v>
      </c>
      <c r="BV1891" s="28" t="s">
        <v>138</v>
      </c>
      <c r="BW1891" s="28" t="s">
        <v>138</v>
      </c>
      <c r="BX1891" s="28" t="s">
        <v>138</v>
      </c>
      <c r="BY1891" s="28" t="s">
        <v>175</v>
      </c>
      <c r="BZ1891" s="34">
        <v>42353</v>
      </c>
      <c r="CA1891" s="29" t="s">
        <v>138</v>
      </c>
      <c r="CB1891" s="28" t="s">
        <v>138</v>
      </c>
      <c r="CC1891" s="29" t="s">
        <v>138</v>
      </c>
      <c r="CD1891" s="28" t="s">
        <v>138</v>
      </c>
      <c r="CE1891" s="28" t="s">
        <v>1326</v>
      </c>
      <c r="CF1891" s="28" t="s">
        <v>138</v>
      </c>
      <c r="CG1891" s="28" t="s">
        <v>138</v>
      </c>
      <c r="CH1891" s="28" t="s">
        <v>1327</v>
      </c>
      <c r="CI1891" s="28" t="s">
        <v>2528</v>
      </c>
      <c r="CJ1891" s="28" t="s">
        <v>138</v>
      </c>
      <c r="CK1891" s="28" t="s">
        <v>138</v>
      </c>
      <c r="CL1891" s="28" t="s">
        <v>175</v>
      </c>
      <c r="CM1891" s="34">
        <v>42353</v>
      </c>
      <c r="CN1891" s="29" t="s">
        <v>138</v>
      </c>
      <c r="CO1891" s="35">
        <v>-0.79</v>
      </c>
      <c r="CP1891" s="36">
        <v>13</v>
      </c>
      <c r="CQ1891" s="35">
        <v>0.02</v>
      </c>
      <c r="CR1891" s="35">
        <v>2.73</v>
      </c>
      <c r="CS1891" s="35">
        <v>-1.57</v>
      </c>
      <c r="CT1891" s="36">
        <v>11</v>
      </c>
      <c r="CU1891" s="35">
        <v>0</v>
      </c>
      <c r="CV1891" s="36">
        <v>22</v>
      </c>
      <c r="CW1891" s="35" t="s">
        <v>138</v>
      </c>
      <c r="CX1891" s="36" t="s">
        <v>138</v>
      </c>
      <c r="CY1891" s="35">
        <v>-1.57</v>
      </c>
      <c r="CZ1891" s="36">
        <v>14</v>
      </c>
      <c r="DA1891" s="35">
        <v>0</v>
      </c>
      <c r="DB1891" s="36">
        <v>22</v>
      </c>
      <c r="DC1891" s="37">
        <v>7.34</v>
      </c>
      <c r="DD1891" s="36">
        <v>87</v>
      </c>
      <c r="DE1891" s="37">
        <v>-0.02</v>
      </c>
      <c r="DF1891" s="35">
        <v>-0.23</v>
      </c>
      <c r="DG1891" s="37">
        <v>14.62</v>
      </c>
      <c r="DH1891" s="36">
        <v>93</v>
      </c>
      <c r="DI1891" s="37">
        <v>0.05</v>
      </c>
      <c r="DJ1891" s="36">
        <v>9</v>
      </c>
      <c r="DK1891" s="37" t="s">
        <v>138</v>
      </c>
      <c r="DL1891" s="36" t="s">
        <v>138</v>
      </c>
      <c r="DM1891" s="37">
        <v>14.62</v>
      </c>
      <c r="DN1891" s="36">
        <v>92</v>
      </c>
      <c r="DO1891" s="37">
        <v>0.06</v>
      </c>
      <c r="DP1891" s="36">
        <v>11</v>
      </c>
      <c r="DQ1891" s="36">
        <v>241</v>
      </c>
      <c r="DR1891" s="38">
        <v>-1</v>
      </c>
      <c r="DS1891" s="35">
        <v>-0.41</v>
      </c>
      <c r="DT1891" s="36">
        <v>424</v>
      </c>
      <c r="DU1891" s="38">
        <v>-2</v>
      </c>
      <c r="DV1891" s="35">
        <v>-0.47</v>
      </c>
      <c r="DW1891" s="36">
        <v>22</v>
      </c>
      <c r="DX1891" s="39">
        <v>0</v>
      </c>
      <c r="DY1891" s="35">
        <v>0</v>
      </c>
      <c r="DZ1891" s="28" t="s">
        <v>178</v>
      </c>
      <c r="EA1891" s="34">
        <v>43565</v>
      </c>
      <c r="EB1891" s="29">
        <v>40.14</v>
      </c>
      <c r="EC1891" s="34">
        <v>37839</v>
      </c>
      <c r="ED1891" s="28" t="s">
        <v>173</v>
      </c>
      <c r="EE1891" s="40" t="str">
        <f>HYPERLINK("https://my.pitchbook.com?c=13290-67", "View company online")</f>
        <v>View company online</v>
      </c>
    </row>
    <row r="1892" spans="1:135">
      <c r="A1892" s="15" t="s">
        <v>35838</v>
      </c>
      <c r="B1892" s="15" t="s">
        <v>35839</v>
      </c>
      <c r="C1892" s="15" t="s">
        <v>35840</v>
      </c>
      <c r="D1892" s="15" t="s">
        <v>35841</v>
      </c>
      <c r="E1892" s="15" t="s">
        <v>35842</v>
      </c>
      <c r="F1892" s="15" t="s">
        <v>35838</v>
      </c>
      <c r="G1892" s="15" t="s">
        <v>35843</v>
      </c>
      <c r="H1892" s="15" t="s">
        <v>322</v>
      </c>
      <c r="I1892" s="15" t="s">
        <v>323</v>
      </c>
      <c r="J1892" s="15" t="s">
        <v>324</v>
      </c>
      <c r="K1892" s="15" t="s">
        <v>35844</v>
      </c>
      <c r="L1892" s="15" t="s">
        <v>2835</v>
      </c>
      <c r="M1892" s="15" t="s">
        <v>35845</v>
      </c>
      <c r="N1892" s="15" t="s">
        <v>147</v>
      </c>
      <c r="O1892" s="17">
        <v>4.32</v>
      </c>
      <c r="P1892" s="15" t="s">
        <v>610</v>
      </c>
      <c r="Q1892" s="15" t="s">
        <v>149</v>
      </c>
      <c r="R1892" s="15" t="s">
        <v>174</v>
      </c>
      <c r="S1892" s="15" t="s">
        <v>35846</v>
      </c>
      <c r="T1892" s="18">
        <v>6</v>
      </c>
      <c r="U1892" s="15" t="s">
        <v>31962</v>
      </c>
      <c r="V1892" s="15" t="s">
        <v>138</v>
      </c>
      <c r="W1892" s="15" t="s">
        <v>138</v>
      </c>
      <c r="X1892" s="19">
        <v>2013</v>
      </c>
      <c r="Y1892" s="15" t="s">
        <v>138</v>
      </c>
      <c r="Z1892" s="15" t="s">
        <v>138</v>
      </c>
      <c r="AA1892" s="15" t="s">
        <v>138</v>
      </c>
      <c r="AB1892" s="20" t="s">
        <v>138</v>
      </c>
      <c r="AC1892" s="20" t="s">
        <v>138</v>
      </c>
      <c r="AD1892" s="20" t="s">
        <v>138</v>
      </c>
      <c r="AE1892" s="20" t="s">
        <v>138</v>
      </c>
      <c r="AF1892" s="20" t="s">
        <v>138</v>
      </c>
      <c r="AG1892" s="15" t="s">
        <v>138</v>
      </c>
      <c r="AH1892" s="20" t="s">
        <v>138</v>
      </c>
      <c r="AI1892" s="20" t="s">
        <v>138</v>
      </c>
      <c r="AJ1892" s="20" t="s">
        <v>138</v>
      </c>
      <c r="AK1892" s="15" t="s">
        <v>35847</v>
      </c>
      <c r="AL1892" s="15" t="s">
        <v>35848</v>
      </c>
      <c r="AM1892" s="15" t="s">
        <v>304</v>
      </c>
      <c r="AN1892" s="15" t="s">
        <v>35849</v>
      </c>
      <c r="AO1892" s="15" t="s">
        <v>35850</v>
      </c>
      <c r="AP1892" s="15" t="s">
        <v>423</v>
      </c>
      <c r="AQ1892" s="15" t="s">
        <v>35851</v>
      </c>
      <c r="AR1892" s="15" t="s">
        <v>35852</v>
      </c>
      <c r="AS1892" s="15" t="s">
        <v>426</v>
      </c>
      <c r="AT1892" s="15" t="s">
        <v>426</v>
      </c>
      <c r="AU1892" s="15" t="s">
        <v>427</v>
      </c>
      <c r="AV1892" s="15" t="s">
        <v>162</v>
      </c>
      <c r="AW1892" s="15" t="s">
        <v>35850</v>
      </c>
      <c r="AX1892" s="15" t="s">
        <v>138</v>
      </c>
      <c r="AY1892" s="15" t="s">
        <v>35853</v>
      </c>
      <c r="AZ1892" s="15" t="s">
        <v>164</v>
      </c>
      <c r="BA1892" s="15" t="s">
        <v>165</v>
      </c>
      <c r="BB1892" s="15" t="s">
        <v>35854</v>
      </c>
      <c r="BC1892" s="15" t="s">
        <v>35855</v>
      </c>
      <c r="BD1892" s="21">
        <v>13</v>
      </c>
      <c r="BE1892" s="15" t="s">
        <v>138</v>
      </c>
      <c r="BF1892" s="15" t="s">
        <v>138</v>
      </c>
      <c r="BG1892" s="15" t="s">
        <v>138</v>
      </c>
      <c r="BH1892" s="15" t="s">
        <v>35856</v>
      </c>
      <c r="BI1892" s="15" t="s">
        <v>138</v>
      </c>
      <c r="BJ1892" s="15" t="s">
        <v>138</v>
      </c>
      <c r="BK1892" s="15" t="s">
        <v>138</v>
      </c>
      <c r="BL1892" s="15" t="s">
        <v>138</v>
      </c>
      <c r="BM1892" s="22">
        <v>41425</v>
      </c>
      <c r="BN1892" s="17" t="s">
        <v>138</v>
      </c>
      <c r="BO1892" s="15" t="s">
        <v>138</v>
      </c>
      <c r="BP1892" s="17" t="s">
        <v>138</v>
      </c>
      <c r="BQ1892" s="15" t="s">
        <v>138</v>
      </c>
      <c r="BR1892" s="15" t="s">
        <v>316</v>
      </c>
      <c r="BS1892" s="15" t="s">
        <v>138</v>
      </c>
      <c r="BT1892" s="15" t="s">
        <v>138</v>
      </c>
      <c r="BU1892" s="15" t="s">
        <v>174</v>
      </c>
      <c r="BV1892" s="15" t="s">
        <v>138</v>
      </c>
      <c r="BW1892" s="15" t="s">
        <v>138</v>
      </c>
      <c r="BX1892" s="15" t="s">
        <v>138</v>
      </c>
      <c r="BY1892" s="15" t="s">
        <v>175</v>
      </c>
      <c r="BZ1892" s="22">
        <v>43412</v>
      </c>
      <c r="CA1892" s="17">
        <v>4</v>
      </c>
      <c r="CB1892" s="15" t="s">
        <v>172</v>
      </c>
      <c r="CC1892" s="17">
        <v>14</v>
      </c>
      <c r="CD1892" s="15" t="s">
        <v>172</v>
      </c>
      <c r="CE1892" s="15" t="s">
        <v>173</v>
      </c>
      <c r="CF1892" s="15" t="s">
        <v>623</v>
      </c>
      <c r="CG1892" s="15" t="s">
        <v>138</v>
      </c>
      <c r="CH1892" s="15" t="s">
        <v>174</v>
      </c>
      <c r="CI1892" s="15" t="s">
        <v>138</v>
      </c>
      <c r="CJ1892" s="15" t="s">
        <v>138</v>
      </c>
      <c r="CK1892" s="15" t="s">
        <v>138</v>
      </c>
      <c r="CL1892" s="15" t="s">
        <v>175</v>
      </c>
      <c r="CM1892" s="22" t="s">
        <v>138</v>
      </c>
      <c r="CN1892" s="17" t="s">
        <v>138</v>
      </c>
      <c r="CO1892" s="23">
        <v>-7.0000000000000007E-2</v>
      </c>
      <c r="CP1892" s="24">
        <v>21</v>
      </c>
      <c r="CQ1892" s="23">
        <v>-0.01</v>
      </c>
      <c r="CR1892" s="23">
        <v>-8.49</v>
      </c>
      <c r="CS1892" s="23">
        <v>-0.41</v>
      </c>
      <c r="CT1892" s="24">
        <v>20</v>
      </c>
      <c r="CU1892" s="23">
        <v>0.2</v>
      </c>
      <c r="CV1892" s="24">
        <v>80</v>
      </c>
      <c r="CW1892" s="23">
        <v>-0.41</v>
      </c>
      <c r="CX1892" s="24">
        <v>11</v>
      </c>
      <c r="CY1892" s="23" t="s">
        <v>138</v>
      </c>
      <c r="CZ1892" s="24" t="s">
        <v>138</v>
      </c>
      <c r="DA1892" s="23">
        <v>0.14000000000000001</v>
      </c>
      <c r="DB1892" s="24">
        <v>77</v>
      </c>
      <c r="DC1892" s="25">
        <v>1.53</v>
      </c>
      <c r="DD1892" s="24">
        <v>61</v>
      </c>
      <c r="DE1892" s="25">
        <v>-0.13</v>
      </c>
      <c r="DF1892" s="23">
        <v>-7.96</v>
      </c>
      <c r="DG1892" s="25">
        <v>3.19</v>
      </c>
      <c r="DH1892" s="24">
        <v>76</v>
      </c>
      <c r="DI1892" s="25">
        <v>1.2</v>
      </c>
      <c r="DJ1892" s="24">
        <v>53</v>
      </c>
      <c r="DK1892" s="25">
        <v>3.19</v>
      </c>
      <c r="DL1892" s="24">
        <v>73</v>
      </c>
      <c r="DM1892" s="25" t="s">
        <v>138</v>
      </c>
      <c r="DN1892" s="24" t="s">
        <v>138</v>
      </c>
      <c r="DO1892" s="25">
        <v>2.19</v>
      </c>
      <c r="DP1892" s="24">
        <v>65</v>
      </c>
      <c r="DQ1892" s="24">
        <v>1054</v>
      </c>
      <c r="DR1892" s="26">
        <v>122</v>
      </c>
      <c r="DS1892" s="23">
        <v>13.09</v>
      </c>
      <c r="DT1892" s="24" t="s">
        <v>138</v>
      </c>
      <c r="DU1892" s="26" t="s">
        <v>138</v>
      </c>
      <c r="DV1892" s="23" t="s">
        <v>138</v>
      </c>
      <c r="DW1892" s="24">
        <v>783</v>
      </c>
      <c r="DX1892" s="27">
        <v>-1</v>
      </c>
      <c r="DY1892" s="23">
        <v>-0.13</v>
      </c>
      <c r="DZ1892" s="15" t="s">
        <v>178</v>
      </c>
      <c r="EA1892" s="22">
        <v>43437</v>
      </c>
      <c r="EB1892" s="17">
        <v>14</v>
      </c>
      <c r="EC1892" s="22">
        <v>43412</v>
      </c>
      <c r="ED1892" s="15" t="s">
        <v>173</v>
      </c>
      <c r="EE1892" s="14" t="str">
        <f>HYPERLINK("https://my.pitchbook.com?c=118441-54", "View company online")</f>
        <v>View company online</v>
      </c>
    </row>
    <row r="1893" spans="1:135">
      <c r="A1893" s="28" t="s">
        <v>35857</v>
      </c>
      <c r="B1893" s="28" t="s">
        <v>35858</v>
      </c>
      <c r="C1893" s="28" t="s">
        <v>138</v>
      </c>
      <c r="D1893" s="28" t="s">
        <v>138</v>
      </c>
      <c r="E1893" s="28" t="s">
        <v>35859</v>
      </c>
      <c r="F1893" s="28" t="s">
        <v>35857</v>
      </c>
      <c r="G1893" s="28" t="s">
        <v>35860</v>
      </c>
      <c r="H1893" s="28" t="s">
        <v>322</v>
      </c>
      <c r="I1893" s="28" t="s">
        <v>1208</v>
      </c>
      <c r="J1893" s="28" t="s">
        <v>1209</v>
      </c>
      <c r="K1893" s="28" t="s">
        <v>11520</v>
      </c>
      <c r="L1893" s="28" t="s">
        <v>359</v>
      </c>
      <c r="M1893" s="28" t="s">
        <v>35861</v>
      </c>
      <c r="N1893" s="28" t="s">
        <v>1452</v>
      </c>
      <c r="O1893" s="29">
        <v>56.3</v>
      </c>
      <c r="P1893" s="28" t="s">
        <v>148</v>
      </c>
      <c r="Q1893" s="28" t="s">
        <v>149</v>
      </c>
      <c r="R1893" s="28" t="s">
        <v>328</v>
      </c>
      <c r="S1893" s="28" t="s">
        <v>35862</v>
      </c>
      <c r="T1893" s="30">
        <v>201</v>
      </c>
      <c r="U1893" s="28" t="s">
        <v>35863</v>
      </c>
      <c r="V1893" s="28" t="s">
        <v>138</v>
      </c>
      <c r="W1893" s="28" t="s">
        <v>138</v>
      </c>
      <c r="X1893" s="31">
        <v>2002</v>
      </c>
      <c r="Y1893" s="28" t="s">
        <v>138</v>
      </c>
      <c r="Z1893" s="28" t="s">
        <v>138</v>
      </c>
      <c r="AA1893" s="28" t="s">
        <v>138</v>
      </c>
      <c r="AB1893" s="32" t="s">
        <v>138</v>
      </c>
      <c r="AC1893" s="32" t="s">
        <v>138</v>
      </c>
      <c r="AD1893" s="32" t="s">
        <v>138</v>
      </c>
      <c r="AE1893" s="32" t="s">
        <v>138</v>
      </c>
      <c r="AF1893" s="32" t="s">
        <v>138</v>
      </c>
      <c r="AG1893" s="28" t="s">
        <v>138</v>
      </c>
      <c r="AH1893" s="32" t="s">
        <v>138</v>
      </c>
      <c r="AI1893" s="32" t="s">
        <v>138</v>
      </c>
      <c r="AJ1893" s="32" t="s">
        <v>138</v>
      </c>
      <c r="AK1893" s="28" t="s">
        <v>35864</v>
      </c>
      <c r="AL1893" s="28" t="s">
        <v>35865</v>
      </c>
      <c r="AM1893" s="28" t="s">
        <v>249</v>
      </c>
      <c r="AN1893" s="28" t="s">
        <v>35866</v>
      </c>
      <c r="AO1893" s="28" t="s">
        <v>35867</v>
      </c>
      <c r="AP1893" s="28" t="s">
        <v>3839</v>
      </c>
      <c r="AQ1893" s="28" t="s">
        <v>35868</v>
      </c>
      <c r="AR1893" s="28" t="s">
        <v>158</v>
      </c>
      <c r="AS1893" s="28" t="s">
        <v>3841</v>
      </c>
      <c r="AT1893" s="28" t="s">
        <v>200</v>
      </c>
      <c r="AU1893" s="28" t="s">
        <v>3842</v>
      </c>
      <c r="AV1893" s="28" t="s">
        <v>162</v>
      </c>
      <c r="AW1893" s="28" t="s">
        <v>35869</v>
      </c>
      <c r="AX1893" s="28" t="s">
        <v>35870</v>
      </c>
      <c r="AY1893" s="28" t="s">
        <v>35871</v>
      </c>
      <c r="AZ1893" s="28" t="s">
        <v>164</v>
      </c>
      <c r="BA1893" s="28" t="s">
        <v>165</v>
      </c>
      <c r="BB1893" s="28" t="s">
        <v>35872</v>
      </c>
      <c r="BC1893" s="28" t="s">
        <v>35873</v>
      </c>
      <c r="BD1893" s="33">
        <v>1</v>
      </c>
      <c r="BE1893" s="28" t="s">
        <v>138</v>
      </c>
      <c r="BF1893" s="28" t="s">
        <v>35874</v>
      </c>
      <c r="BG1893" s="28" t="s">
        <v>138</v>
      </c>
      <c r="BH1893" s="28" t="s">
        <v>35875</v>
      </c>
      <c r="BI1893" s="28" t="s">
        <v>35876</v>
      </c>
      <c r="BJ1893" s="28" t="s">
        <v>138</v>
      </c>
      <c r="BK1893" s="28" t="s">
        <v>35877</v>
      </c>
      <c r="BL1893" s="28" t="s">
        <v>35878</v>
      </c>
      <c r="BM1893" s="34">
        <v>37665</v>
      </c>
      <c r="BN1893" s="29">
        <v>9.35</v>
      </c>
      <c r="BO1893" s="28" t="s">
        <v>172</v>
      </c>
      <c r="BP1893" s="29">
        <v>19.5</v>
      </c>
      <c r="BQ1893" s="28" t="s">
        <v>172</v>
      </c>
      <c r="BR1893" s="28" t="s">
        <v>205</v>
      </c>
      <c r="BS1893" s="28" t="s">
        <v>206</v>
      </c>
      <c r="BT1893" s="28" t="s">
        <v>138</v>
      </c>
      <c r="BU1893" s="28" t="s">
        <v>174</v>
      </c>
      <c r="BV1893" s="28" t="s">
        <v>138</v>
      </c>
      <c r="BW1893" s="28" t="s">
        <v>138</v>
      </c>
      <c r="BX1893" s="28" t="s">
        <v>138</v>
      </c>
      <c r="BY1893" s="28" t="s">
        <v>175</v>
      </c>
      <c r="BZ1893" s="34" t="s">
        <v>138</v>
      </c>
      <c r="CA1893" s="29">
        <v>547</v>
      </c>
      <c r="CB1893" s="28" t="s">
        <v>172</v>
      </c>
      <c r="CC1893" s="29">
        <v>547</v>
      </c>
      <c r="CD1893" s="28" t="s">
        <v>1178</v>
      </c>
      <c r="CE1893" s="28" t="s">
        <v>2228</v>
      </c>
      <c r="CF1893" s="28" t="s">
        <v>138</v>
      </c>
      <c r="CG1893" s="28" t="s">
        <v>138</v>
      </c>
      <c r="CH1893" s="28" t="s">
        <v>780</v>
      </c>
      <c r="CI1893" s="28" t="s">
        <v>138</v>
      </c>
      <c r="CJ1893" s="28" t="s">
        <v>138</v>
      </c>
      <c r="CK1893" s="28" t="s">
        <v>138</v>
      </c>
      <c r="CL1893" s="28" t="s">
        <v>1831</v>
      </c>
      <c r="CM1893" s="34">
        <v>40038</v>
      </c>
      <c r="CN1893" s="29" t="s">
        <v>138</v>
      </c>
      <c r="CO1893" s="35">
        <v>-0.6</v>
      </c>
      <c r="CP1893" s="36">
        <v>15</v>
      </c>
      <c r="CQ1893" s="35">
        <v>-0.01</v>
      </c>
      <c r="CR1893" s="35">
        <v>-2.52</v>
      </c>
      <c r="CS1893" s="35">
        <v>-1.2</v>
      </c>
      <c r="CT1893" s="36">
        <v>14</v>
      </c>
      <c r="CU1893" s="35">
        <v>0</v>
      </c>
      <c r="CV1893" s="36">
        <v>22</v>
      </c>
      <c r="CW1893" s="35">
        <v>-1.21</v>
      </c>
      <c r="CX1893" s="36">
        <v>9</v>
      </c>
      <c r="CY1893" s="35">
        <v>-1.18</v>
      </c>
      <c r="CZ1893" s="36">
        <v>17</v>
      </c>
      <c r="DA1893" s="35">
        <v>0</v>
      </c>
      <c r="DB1893" s="36">
        <v>22</v>
      </c>
      <c r="DC1893" s="37">
        <v>6.25</v>
      </c>
      <c r="DD1893" s="36">
        <v>85</v>
      </c>
      <c r="DE1893" s="37">
        <v>-0.08</v>
      </c>
      <c r="DF1893" s="35">
        <v>-1.28</v>
      </c>
      <c r="DG1893" s="37">
        <v>11.9</v>
      </c>
      <c r="DH1893" s="36">
        <v>91</v>
      </c>
      <c r="DI1893" s="37">
        <v>0.59</v>
      </c>
      <c r="DJ1893" s="36">
        <v>39</v>
      </c>
      <c r="DK1893" s="37">
        <v>2.0299999999999998</v>
      </c>
      <c r="DL1893" s="36">
        <v>65</v>
      </c>
      <c r="DM1893" s="37">
        <v>21.76</v>
      </c>
      <c r="DN1893" s="36">
        <v>95</v>
      </c>
      <c r="DO1893" s="37">
        <v>0.94</v>
      </c>
      <c r="DP1893" s="36">
        <v>49</v>
      </c>
      <c r="DQ1893" s="36">
        <v>687</v>
      </c>
      <c r="DR1893" s="38">
        <v>30</v>
      </c>
      <c r="DS1893" s="35">
        <v>4.57</v>
      </c>
      <c r="DT1893" s="36">
        <v>631</v>
      </c>
      <c r="DU1893" s="38">
        <v>0</v>
      </c>
      <c r="DV1893" s="35">
        <v>0</v>
      </c>
      <c r="DW1893" s="36">
        <v>336</v>
      </c>
      <c r="DX1893" s="39">
        <v>0</v>
      </c>
      <c r="DY1893" s="35">
        <v>0</v>
      </c>
      <c r="DZ1893" s="28" t="s">
        <v>178</v>
      </c>
      <c r="EA1893" s="34">
        <v>43622</v>
      </c>
      <c r="EB1893" s="29">
        <v>500</v>
      </c>
      <c r="EC1893" s="34">
        <v>42824</v>
      </c>
      <c r="ED1893" s="28" t="s">
        <v>349</v>
      </c>
      <c r="EE1893" s="40" t="str">
        <f>HYPERLINK("https://my.pitchbook.com?c=53298-55", "View company online")</f>
        <v>View company online</v>
      </c>
    </row>
    <row r="1894" spans="1:135">
      <c r="A1894" s="15" t="s">
        <v>35879</v>
      </c>
      <c r="B1894" s="15" t="s">
        <v>35880</v>
      </c>
      <c r="C1894" s="15" t="s">
        <v>138</v>
      </c>
      <c r="D1894" s="15" t="s">
        <v>138</v>
      </c>
      <c r="E1894" s="15" t="s">
        <v>35881</v>
      </c>
      <c r="F1894" s="15" t="s">
        <v>35879</v>
      </c>
      <c r="G1894" s="15" t="s">
        <v>35882</v>
      </c>
      <c r="H1894" s="15" t="s">
        <v>183</v>
      </c>
      <c r="I1894" s="15" t="s">
        <v>4681</v>
      </c>
      <c r="J1894" s="15" t="s">
        <v>14475</v>
      </c>
      <c r="K1894" s="15" t="s">
        <v>35883</v>
      </c>
      <c r="L1894" s="15" t="s">
        <v>19108</v>
      </c>
      <c r="M1894" s="15" t="s">
        <v>35884</v>
      </c>
      <c r="N1894" s="15" t="s">
        <v>147</v>
      </c>
      <c r="O1894" s="17">
        <v>49.76</v>
      </c>
      <c r="P1894" s="15" t="s">
        <v>12224</v>
      </c>
      <c r="Q1894" s="15" t="s">
        <v>149</v>
      </c>
      <c r="R1894" s="15" t="s">
        <v>174</v>
      </c>
      <c r="S1894" s="15" t="s">
        <v>35885</v>
      </c>
      <c r="T1894" s="18">
        <v>11</v>
      </c>
      <c r="U1894" s="15" t="s">
        <v>3406</v>
      </c>
      <c r="V1894" s="15" t="s">
        <v>138</v>
      </c>
      <c r="W1894" s="15" t="s">
        <v>138</v>
      </c>
      <c r="X1894" s="19">
        <v>2004</v>
      </c>
      <c r="Y1894" s="15" t="s">
        <v>138</v>
      </c>
      <c r="Z1894" s="15" t="s">
        <v>138</v>
      </c>
      <c r="AA1894" s="15" t="s">
        <v>138</v>
      </c>
      <c r="AB1894" s="20" t="s">
        <v>138</v>
      </c>
      <c r="AC1894" s="20" t="s">
        <v>138</v>
      </c>
      <c r="AD1894" s="20" t="s">
        <v>138</v>
      </c>
      <c r="AE1894" s="20" t="s">
        <v>138</v>
      </c>
      <c r="AF1894" s="20" t="s">
        <v>138</v>
      </c>
      <c r="AG1894" s="15" t="s">
        <v>138</v>
      </c>
      <c r="AH1894" s="20" t="s">
        <v>138</v>
      </c>
      <c r="AI1894" s="20" t="s">
        <v>138</v>
      </c>
      <c r="AJ1894" s="20" t="s">
        <v>138</v>
      </c>
      <c r="AK1894" s="15" t="s">
        <v>35886</v>
      </c>
      <c r="AL1894" s="15" t="s">
        <v>35887</v>
      </c>
      <c r="AM1894" s="15" t="s">
        <v>29692</v>
      </c>
      <c r="AN1894" s="15" t="s">
        <v>35888</v>
      </c>
      <c r="AO1894" s="15" t="s">
        <v>35889</v>
      </c>
      <c r="AP1894" s="15" t="s">
        <v>1195</v>
      </c>
      <c r="AQ1894" s="15" t="s">
        <v>1341</v>
      </c>
      <c r="AR1894" s="15" t="s">
        <v>138</v>
      </c>
      <c r="AS1894" s="15" t="s">
        <v>1198</v>
      </c>
      <c r="AT1894" s="15" t="s">
        <v>138</v>
      </c>
      <c r="AU1894" s="15" t="s">
        <v>138</v>
      </c>
      <c r="AV1894" s="15" t="s">
        <v>1200</v>
      </c>
      <c r="AW1894" s="15" t="s">
        <v>138</v>
      </c>
      <c r="AX1894" s="15" t="s">
        <v>138</v>
      </c>
      <c r="AY1894" s="15" t="s">
        <v>138</v>
      </c>
      <c r="AZ1894" s="15" t="s">
        <v>452</v>
      </c>
      <c r="BA1894" s="15" t="s">
        <v>453</v>
      </c>
      <c r="BB1894" s="15" t="s">
        <v>35890</v>
      </c>
      <c r="BC1894" s="15" t="s">
        <v>35891</v>
      </c>
      <c r="BD1894" s="21">
        <v>10</v>
      </c>
      <c r="BE1894" s="15" t="s">
        <v>138</v>
      </c>
      <c r="BF1894" s="15" t="s">
        <v>138</v>
      </c>
      <c r="BG1894" s="15" t="s">
        <v>138</v>
      </c>
      <c r="BH1894" s="15" t="s">
        <v>35892</v>
      </c>
      <c r="BI1894" s="15" t="s">
        <v>138</v>
      </c>
      <c r="BJ1894" s="15" t="s">
        <v>138</v>
      </c>
      <c r="BK1894" s="15" t="s">
        <v>138</v>
      </c>
      <c r="BL1894" s="15" t="s">
        <v>138</v>
      </c>
      <c r="BM1894" s="22">
        <v>40483</v>
      </c>
      <c r="BN1894" s="17">
        <v>8.49</v>
      </c>
      <c r="BO1894" s="15" t="s">
        <v>172</v>
      </c>
      <c r="BP1894" s="17" t="s">
        <v>138</v>
      </c>
      <c r="BQ1894" s="15" t="s">
        <v>138</v>
      </c>
      <c r="BR1894" s="15" t="s">
        <v>234</v>
      </c>
      <c r="BS1894" s="15" t="s">
        <v>234</v>
      </c>
      <c r="BT1894" s="15" t="s">
        <v>138</v>
      </c>
      <c r="BU1894" s="15" t="s">
        <v>174</v>
      </c>
      <c r="BV1894" s="15" t="s">
        <v>138</v>
      </c>
      <c r="BW1894" s="15" t="s">
        <v>138</v>
      </c>
      <c r="BX1894" s="15" t="s">
        <v>138</v>
      </c>
      <c r="BY1894" s="15" t="s">
        <v>175</v>
      </c>
      <c r="BZ1894" s="22">
        <v>42921</v>
      </c>
      <c r="CA1894" s="17">
        <v>13.2</v>
      </c>
      <c r="CB1894" s="15" t="s">
        <v>172</v>
      </c>
      <c r="CC1894" s="17" t="s">
        <v>138</v>
      </c>
      <c r="CD1894" s="15" t="s">
        <v>138</v>
      </c>
      <c r="CE1894" s="15" t="s">
        <v>173</v>
      </c>
      <c r="CF1894" s="15" t="s">
        <v>138</v>
      </c>
      <c r="CG1894" s="15" t="s">
        <v>138</v>
      </c>
      <c r="CH1894" s="15" t="s">
        <v>174</v>
      </c>
      <c r="CI1894" s="15" t="s">
        <v>138</v>
      </c>
      <c r="CJ1894" s="15" t="s">
        <v>138</v>
      </c>
      <c r="CK1894" s="15" t="s">
        <v>138</v>
      </c>
      <c r="CL1894" s="15" t="s">
        <v>175</v>
      </c>
      <c r="CM1894" s="22" t="s">
        <v>138</v>
      </c>
      <c r="CN1894" s="17" t="s">
        <v>138</v>
      </c>
      <c r="CO1894" s="23">
        <v>-0.31</v>
      </c>
      <c r="CP1894" s="24">
        <v>18</v>
      </c>
      <c r="CQ1894" s="23">
        <v>-0.11</v>
      </c>
      <c r="CR1894" s="23">
        <v>-53.58</v>
      </c>
      <c r="CS1894" s="23">
        <v>-0.31</v>
      </c>
      <c r="CT1894" s="24">
        <v>21</v>
      </c>
      <c r="CU1894" s="23" t="s">
        <v>138</v>
      </c>
      <c r="CV1894" s="24" t="s">
        <v>138</v>
      </c>
      <c r="CW1894" s="23" t="s">
        <v>138</v>
      </c>
      <c r="CX1894" s="24" t="s">
        <v>138</v>
      </c>
      <c r="CY1894" s="23">
        <v>-0.31</v>
      </c>
      <c r="CZ1894" s="24">
        <v>23</v>
      </c>
      <c r="DA1894" s="23" t="s">
        <v>138</v>
      </c>
      <c r="DB1894" s="24" t="s">
        <v>138</v>
      </c>
      <c r="DC1894" s="25">
        <v>4.03</v>
      </c>
      <c r="DD1894" s="24">
        <v>80</v>
      </c>
      <c r="DE1894" s="25">
        <v>-7.0000000000000007E-2</v>
      </c>
      <c r="DF1894" s="23">
        <v>-1.68</v>
      </c>
      <c r="DG1894" s="25">
        <v>4.03</v>
      </c>
      <c r="DH1894" s="24">
        <v>79</v>
      </c>
      <c r="DI1894" s="25" t="s">
        <v>138</v>
      </c>
      <c r="DJ1894" s="24" t="s">
        <v>138</v>
      </c>
      <c r="DK1894" s="25" t="s">
        <v>138</v>
      </c>
      <c r="DL1894" s="24" t="s">
        <v>138</v>
      </c>
      <c r="DM1894" s="25">
        <v>4.03</v>
      </c>
      <c r="DN1894" s="24">
        <v>78</v>
      </c>
      <c r="DO1894" s="25" t="s">
        <v>138</v>
      </c>
      <c r="DP1894" s="24" t="s">
        <v>138</v>
      </c>
      <c r="DQ1894" s="24" t="s">
        <v>138</v>
      </c>
      <c r="DR1894" s="26" t="s">
        <v>138</v>
      </c>
      <c r="DS1894" s="23" t="s">
        <v>138</v>
      </c>
      <c r="DT1894" s="24">
        <v>117</v>
      </c>
      <c r="DU1894" s="26">
        <v>-2</v>
      </c>
      <c r="DV1894" s="23">
        <v>-1.68</v>
      </c>
      <c r="DW1894" s="24" t="s">
        <v>138</v>
      </c>
      <c r="DX1894" s="27" t="s">
        <v>138</v>
      </c>
      <c r="DY1894" s="23" t="s">
        <v>138</v>
      </c>
      <c r="DZ1894" s="15" t="s">
        <v>178</v>
      </c>
      <c r="EA1894" s="22">
        <v>43607</v>
      </c>
      <c r="EB1894" s="17" t="s">
        <v>138</v>
      </c>
      <c r="EC1894" s="22" t="s">
        <v>138</v>
      </c>
      <c r="ED1894" s="15" t="s">
        <v>138</v>
      </c>
      <c r="EE1894" s="14" t="str">
        <f>HYPERLINK("https://my.pitchbook.com?c=60549-76", "View company online")</f>
        <v>View company online</v>
      </c>
    </row>
    <row r="1895" spans="1:135">
      <c r="A1895" s="28" t="s">
        <v>35893</v>
      </c>
      <c r="B1895" s="28" t="s">
        <v>35894</v>
      </c>
      <c r="C1895" s="28" t="s">
        <v>138</v>
      </c>
      <c r="D1895" s="28" t="s">
        <v>35895</v>
      </c>
      <c r="E1895" s="28" t="s">
        <v>35896</v>
      </c>
      <c r="F1895" s="28" t="s">
        <v>35893</v>
      </c>
      <c r="G1895" s="28" t="s">
        <v>35897</v>
      </c>
      <c r="H1895" s="28" t="s">
        <v>141</v>
      </c>
      <c r="I1895" s="28" t="s">
        <v>142</v>
      </c>
      <c r="J1895" s="28" t="s">
        <v>4042</v>
      </c>
      <c r="K1895" s="28" t="s">
        <v>6541</v>
      </c>
      <c r="L1895" s="28" t="s">
        <v>30891</v>
      </c>
      <c r="M1895" s="28" t="s">
        <v>35898</v>
      </c>
      <c r="N1895" s="28" t="s">
        <v>147</v>
      </c>
      <c r="O1895" s="29">
        <v>38.68</v>
      </c>
      <c r="P1895" s="28" t="s">
        <v>148</v>
      </c>
      <c r="Q1895" s="28" t="s">
        <v>149</v>
      </c>
      <c r="R1895" s="28" t="s">
        <v>174</v>
      </c>
      <c r="S1895" s="28" t="s">
        <v>35899</v>
      </c>
      <c r="T1895" s="30">
        <v>330</v>
      </c>
      <c r="U1895" s="28" t="s">
        <v>35900</v>
      </c>
      <c r="V1895" s="28" t="s">
        <v>138</v>
      </c>
      <c r="W1895" s="28" t="s">
        <v>138</v>
      </c>
      <c r="X1895" s="31">
        <v>2001</v>
      </c>
      <c r="Y1895" s="28" t="s">
        <v>138</v>
      </c>
      <c r="Z1895" s="28" t="s">
        <v>138</v>
      </c>
      <c r="AA1895" s="28" t="s">
        <v>138</v>
      </c>
      <c r="AB1895" s="32">
        <v>73.22</v>
      </c>
      <c r="AC1895" s="32" t="s">
        <v>138</v>
      </c>
      <c r="AD1895" s="32" t="s">
        <v>138</v>
      </c>
      <c r="AE1895" s="32" t="s">
        <v>138</v>
      </c>
      <c r="AF1895" s="32" t="s">
        <v>138</v>
      </c>
      <c r="AG1895" s="28" t="s">
        <v>514</v>
      </c>
      <c r="AH1895" s="32" t="s">
        <v>138</v>
      </c>
      <c r="AI1895" s="32" t="s">
        <v>138</v>
      </c>
      <c r="AJ1895" s="32" t="s">
        <v>138</v>
      </c>
      <c r="AK1895" s="28" t="s">
        <v>35901</v>
      </c>
      <c r="AL1895" s="28" t="s">
        <v>35902</v>
      </c>
      <c r="AM1895" s="28" t="s">
        <v>4114</v>
      </c>
      <c r="AN1895" s="28" t="s">
        <v>35903</v>
      </c>
      <c r="AO1895" s="28" t="s">
        <v>35904</v>
      </c>
      <c r="AP1895" s="28" t="s">
        <v>35905</v>
      </c>
      <c r="AQ1895" s="28" t="s">
        <v>35906</v>
      </c>
      <c r="AR1895" s="28" t="s">
        <v>35907</v>
      </c>
      <c r="AS1895" s="28" t="s">
        <v>35908</v>
      </c>
      <c r="AT1895" s="28" t="s">
        <v>138</v>
      </c>
      <c r="AU1895" s="28" t="s">
        <v>35909</v>
      </c>
      <c r="AV1895" s="28" t="s">
        <v>1054</v>
      </c>
      <c r="AW1895" s="28" t="s">
        <v>35910</v>
      </c>
      <c r="AX1895" s="28" t="s">
        <v>35911</v>
      </c>
      <c r="AY1895" s="28" t="s">
        <v>35912</v>
      </c>
      <c r="AZ1895" s="28" t="s">
        <v>530</v>
      </c>
      <c r="BA1895" s="28" t="s">
        <v>531</v>
      </c>
      <c r="BB1895" s="28" t="s">
        <v>35913</v>
      </c>
      <c r="BC1895" s="28" t="s">
        <v>35914</v>
      </c>
      <c r="BD1895" s="33">
        <v>5</v>
      </c>
      <c r="BE1895" s="28" t="s">
        <v>138</v>
      </c>
      <c r="BF1895" s="28" t="s">
        <v>35915</v>
      </c>
      <c r="BG1895" s="28" t="s">
        <v>138</v>
      </c>
      <c r="BH1895" s="28" t="s">
        <v>35916</v>
      </c>
      <c r="BI1895" s="28" t="s">
        <v>35917</v>
      </c>
      <c r="BJ1895" s="28" t="s">
        <v>138</v>
      </c>
      <c r="BK1895" s="28" t="s">
        <v>138</v>
      </c>
      <c r="BL1895" s="28" t="s">
        <v>35918</v>
      </c>
      <c r="BM1895" s="34">
        <v>40933</v>
      </c>
      <c r="BN1895" s="29">
        <v>38.68</v>
      </c>
      <c r="BO1895" s="28" t="s">
        <v>172</v>
      </c>
      <c r="BP1895" s="29" t="s">
        <v>138</v>
      </c>
      <c r="BQ1895" s="28" t="s">
        <v>138</v>
      </c>
      <c r="BR1895" s="28" t="s">
        <v>173</v>
      </c>
      <c r="BS1895" s="28" t="s">
        <v>138</v>
      </c>
      <c r="BT1895" s="28" t="s">
        <v>138</v>
      </c>
      <c r="BU1895" s="28" t="s">
        <v>174</v>
      </c>
      <c r="BV1895" s="28" t="s">
        <v>138</v>
      </c>
      <c r="BW1895" s="28" t="s">
        <v>138</v>
      </c>
      <c r="BX1895" s="28" t="s">
        <v>138</v>
      </c>
      <c r="BY1895" s="28" t="s">
        <v>175</v>
      </c>
      <c r="BZ1895" s="34" t="s">
        <v>138</v>
      </c>
      <c r="CA1895" s="29" t="s">
        <v>138</v>
      </c>
      <c r="CB1895" s="28" t="s">
        <v>138</v>
      </c>
      <c r="CC1895" s="29" t="s">
        <v>138</v>
      </c>
      <c r="CD1895" s="28" t="s">
        <v>138</v>
      </c>
      <c r="CE1895" s="28" t="s">
        <v>379</v>
      </c>
      <c r="CF1895" s="28" t="s">
        <v>138</v>
      </c>
      <c r="CG1895" s="28" t="s">
        <v>138</v>
      </c>
      <c r="CH1895" s="28" t="s">
        <v>174</v>
      </c>
      <c r="CI1895" s="28" t="s">
        <v>138</v>
      </c>
      <c r="CJ1895" s="28" t="s">
        <v>138</v>
      </c>
      <c r="CK1895" s="28" t="s">
        <v>138</v>
      </c>
      <c r="CL1895" s="28" t="s">
        <v>175</v>
      </c>
      <c r="CM1895" s="34" t="s">
        <v>138</v>
      </c>
      <c r="CN1895" s="29" t="s">
        <v>138</v>
      </c>
      <c r="CO1895" s="35">
        <v>0.08</v>
      </c>
      <c r="CP1895" s="36">
        <v>89</v>
      </c>
      <c r="CQ1895" s="35">
        <v>0</v>
      </c>
      <c r="CR1895" s="35">
        <v>0</v>
      </c>
      <c r="CS1895" s="35" t="s">
        <v>138</v>
      </c>
      <c r="CT1895" s="36" t="s">
        <v>138</v>
      </c>
      <c r="CU1895" s="35" t="s">
        <v>138</v>
      </c>
      <c r="CV1895" s="36" t="s">
        <v>138</v>
      </c>
      <c r="CW1895" s="35" t="s">
        <v>138</v>
      </c>
      <c r="CX1895" s="36" t="s">
        <v>138</v>
      </c>
      <c r="CY1895" s="35" t="s">
        <v>138</v>
      </c>
      <c r="CZ1895" s="36" t="s">
        <v>138</v>
      </c>
      <c r="DA1895" s="35" t="s">
        <v>138</v>
      </c>
      <c r="DB1895" s="36" t="s">
        <v>138</v>
      </c>
      <c r="DC1895" s="37">
        <v>0.61</v>
      </c>
      <c r="DD1895" s="36">
        <v>39</v>
      </c>
      <c r="DE1895" s="37">
        <v>0</v>
      </c>
      <c r="DF1895" s="35">
        <v>0</v>
      </c>
      <c r="DG1895" s="37" t="s">
        <v>138</v>
      </c>
      <c r="DH1895" s="36" t="s">
        <v>138</v>
      </c>
      <c r="DI1895" s="37" t="s">
        <v>138</v>
      </c>
      <c r="DJ1895" s="36" t="s">
        <v>138</v>
      </c>
      <c r="DK1895" s="37" t="s">
        <v>138</v>
      </c>
      <c r="DL1895" s="36" t="s">
        <v>138</v>
      </c>
      <c r="DM1895" s="37" t="s">
        <v>138</v>
      </c>
      <c r="DN1895" s="36" t="s">
        <v>138</v>
      </c>
      <c r="DO1895" s="37" t="s">
        <v>138</v>
      </c>
      <c r="DP1895" s="36" t="s">
        <v>138</v>
      </c>
      <c r="DQ1895" s="36" t="s">
        <v>138</v>
      </c>
      <c r="DR1895" s="38" t="s">
        <v>138</v>
      </c>
      <c r="DS1895" s="35" t="s">
        <v>138</v>
      </c>
      <c r="DT1895" s="36" t="s">
        <v>138</v>
      </c>
      <c r="DU1895" s="38" t="s">
        <v>138</v>
      </c>
      <c r="DV1895" s="35" t="s">
        <v>138</v>
      </c>
      <c r="DW1895" s="36">
        <v>32</v>
      </c>
      <c r="DX1895" s="39">
        <v>3</v>
      </c>
      <c r="DY1895" s="35">
        <v>10.34</v>
      </c>
      <c r="DZ1895" s="28" t="s">
        <v>178</v>
      </c>
      <c r="EA1895" s="34">
        <v>43622</v>
      </c>
      <c r="EB1895" s="29" t="s">
        <v>138</v>
      </c>
      <c r="EC1895" s="34" t="s">
        <v>138</v>
      </c>
      <c r="ED1895" s="28" t="s">
        <v>138</v>
      </c>
      <c r="EE1895" s="40" t="str">
        <f>HYPERLINK("https://my.pitchbook.com?c=56456-38", "View company online")</f>
        <v>View company online</v>
      </c>
    </row>
    <row r="1896" spans="1:135">
      <c r="A1896" s="15" t="s">
        <v>35919</v>
      </c>
      <c r="B1896" s="15" t="s">
        <v>35920</v>
      </c>
      <c r="C1896" s="15" t="s">
        <v>138</v>
      </c>
      <c r="D1896" s="15" t="s">
        <v>138</v>
      </c>
      <c r="E1896" s="15" t="s">
        <v>35921</v>
      </c>
      <c r="F1896" s="15" t="s">
        <v>35919</v>
      </c>
      <c r="G1896" s="15" t="s">
        <v>35922</v>
      </c>
      <c r="H1896" s="15" t="s">
        <v>141</v>
      </c>
      <c r="I1896" s="15" t="s">
        <v>212</v>
      </c>
      <c r="J1896" s="15" t="s">
        <v>213</v>
      </c>
      <c r="K1896" s="15" t="s">
        <v>1064</v>
      </c>
      <c r="L1896" s="15" t="s">
        <v>12992</v>
      </c>
      <c r="M1896" s="15" t="s">
        <v>35923</v>
      </c>
      <c r="N1896" s="15" t="s">
        <v>147</v>
      </c>
      <c r="O1896" s="17">
        <v>24.84</v>
      </c>
      <c r="P1896" s="15" t="s">
        <v>148</v>
      </c>
      <c r="Q1896" s="15" t="s">
        <v>149</v>
      </c>
      <c r="R1896" s="15" t="s">
        <v>174</v>
      </c>
      <c r="S1896" s="15" t="s">
        <v>35924</v>
      </c>
      <c r="T1896" s="18">
        <v>50</v>
      </c>
      <c r="U1896" s="15" t="s">
        <v>35925</v>
      </c>
      <c r="V1896" s="15" t="s">
        <v>138</v>
      </c>
      <c r="W1896" s="15" t="s">
        <v>138</v>
      </c>
      <c r="X1896" s="19">
        <v>2016</v>
      </c>
      <c r="Y1896" s="15" t="s">
        <v>138</v>
      </c>
      <c r="Z1896" s="15" t="s">
        <v>138</v>
      </c>
      <c r="AA1896" s="15" t="s">
        <v>138</v>
      </c>
      <c r="AB1896" s="20" t="s">
        <v>138</v>
      </c>
      <c r="AC1896" s="20" t="s">
        <v>138</v>
      </c>
      <c r="AD1896" s="20" t="s">
        <v>138</v>
      </c>
      <c r="AE1896" s="20" t="s">
        <v>138</v>
      </c>
      <c r="AF1896" s="20" t="s">
        <v>138</v>
      </c>
      <c r="AG1896" s="15" t="s">
        <v>138</v>
      </c>
      <c r="AH1896" s="20" t="s">
        <v>138</v>
      </c>
      <c r="AI1896" s="20" t="s">
        <v>138</v>
      </c>
      <c r="AJ1896" s="20" t="s">
        <v>138</v>
      </c>
      <c r="AK1896" s="15" t="s">
        <v>35926</v>
      </c>
      <c r="AL1896" s="15" t="s">
        <v>35927</v>
      </c>
      <c r="AM1896" s="15" t="s">
        <v>35928</v>
      </c>
      <c r="AN1896" s="15" t="s">
        <v>35929</v>
      </c>
      <c r="AO1896" s="15" t="s">
        <v>138</v>
      </c>
      <c r="AP1896" s="15" t="s">
        <v>1514</v>
      </c>
      <c r="AQ1896" s="15" t="s">
        <v>35930</v>
      </c>
      <c r="AR1896" s="15" t="s">
        <v>15409</v>
      </c>
      <c r="AS1896" s="15" t="s">
        <v>1516</v>
      </c>
      <c r="AT1896" s="15" t="s">
        <v>284</v>
      </c>
      <c r="AU1896" s="15" t="s">
        <v>1517</v>
      </c>
      <c r="AV1896" s="15" t="s">
        <v>162</v>
      </c>
      <c r="AW1896" s="15" t="s">
        <v>138</v>
      </c>
      <c r="AX1896" s="15" t="s">
        <v>138</v>
      </c>
      <c r="AY1896" s="15" t="s">
        <v>35931</v>
      </c>
      <c r="AZ1896" s="15" t="s">
        <v>164</v>
      </c>
      <c r="BA1896" s="15" t="s">
        <v>165</v>
      </c>
      <c r="BB1896" s="15" t="s">
        <v>35932</v>
      </c>
      <c r="BC1896" s="15" t="s">
        <v>35933</v>
      </c>
      <c r="BD1896" s="21">
        <v>8</v>
      </c>
      <c r="BE1896" s="15" t="s">
        <v>138</v>
      </c>
      <c r="BF1896" s="15" t="s">
        <v>138</v>
      </c>
      <c r="BG1896" s="15" t="s">
        <v>138</v>
      </c>
      <c r="BH1896" s="15" t="s">
        <v>35934</v>
      </c>
      <c r="BI1896" s="15" t="s">
        <v>138</v>
      </c>
      <c r="BJ1896" s="15" t="s">
        <v>138</v>
      </c>
      <c r="BK1896" s="15" t="s">
        <v>35935</v>
      </c>
      <c r="BL1896" s="15" t="s">
        <v>290</v>
      </c>
      <c r="BM1896" s="22">
        <v>42557</v>
      </c>
      <c r="BN1896" s="17">
        <v>7.84</v>
      </c>
      <c r="BO1896" s="15" t="s">
        <v>172</v>
      </c>
      <c r="BP1896" s="17">
        <v>29.54</v>
      </c>
      <c r="BQ1896" s="15" t="s">
        <v>172</v>
      </c>
      <c r="BR1896" s="15" t="s">
        <v>205</v>
      </c>
      <c r="BS1896" s="15" t="s">
        <v>206</v>
      </c>
      <c r="BT1896" s="15" t="s">
        <v>138</v>
      </c>
      <c r="BU1896" s="15" t="s">
        <v>174</v>
      </c>
      <c r="BV1896" s="15" t="s">
        <v>138</v>
      </c>
      <c r="BW1896" s="15" t="s">
        <v>138</v>
      </c>
      <c r="BX1896" s="15" t="s">
        <v>138</v>
      </c>
      <c r="BY1896" s="15" t="s">
        <v>175</v>
      </c>
      <c r="BZ1896" s="22">
        <v>42969</v>
      </c>
      <c r="CA1896" s="17">
        <v>17</v>
      </c>
      <c r="CB1896" s="15" t="s">
        <v>172</v>
      </c>
      <c r="CC1896" s="17">
        <v>57.5</v>
      </c>
      <c r="CD1896" s="15" t="s">
        <v>172</v>
      </c>
      <c r="CE1896" s="15" t="s">
        <v>205</v>
      </c>
      <c r="CF1896" s="15" t="s">
        <v>720</v>
      </c>
      <c r="CG1896" s="15" t="s">
        <v>138</v>
      </c>
      <c r="CH1896" s="15" t="s">
        <v>174</v>
      </c>
      <c r="CI1896" s="15" t="s">
        <v>138</v>
      </c>
      <c r="CJ1896" s="15" t="s">
        <v>138</v>
      </c>
      <c r="CK1896" s="15" t="s">
        <v>138</v>
      </c>
      <c r="CL1896" s="15" t="s">
        <v>175</v>
      </c>
      <c r="CM1896" s="22" t="s">
        <v>138</v>
      </c>
      <c r="CN1896" s="17" t="s">
        <v>138</v>
      </c>
      <c r="CO1896" s="23">
        <v>0</v>
      </c>
      <c r="CP1896" s="24">
        <v>26</v>
      </c>
      <c r="CQ1896" s="23">
        <v>0</v>
      </c>
      <c r="CR1896" s="23">
        <v>0</v>
      </c>
      <c r="CS1896" s="23">
        <v>0</v>
      </c>
      <c r="CT1896" s="24">
        <v>23</v>
      </c>
      <c r="CU1896" s="23">
        <v>0</v>
      </c>
      <c r="CV1896" s="24">
        <v>22</v>
      </c>
      <c r="CW1896" s="23">
        <v>0</v>
      </c>
      <c r="CX1896" s="24">
        <v>13</v>
      </c>
      <c r="CY1896" s="23" t="s">
        <v>138</v>
      </c>
      <c r="CZ1896" s="24" t="s">
        <v>138</v>
      </c>
      <c r="DA1896" s="23">
        <v>0</v>
      </c>
      <c r="DB1896" s="24">
        <v>22</v>
      </c>
      <c r="DC1896" s="25">
        <v>0.59</v>
      </c>
      <c r="DD1896" s="24">
        <v>38</v>
      </c>
      <c r="DE1896" s="25">
        <v>-0.08</v>
      </c>
      <c r="DF1896" s="23">
        <v>-11.32</v>
      </c>
      <c r="DG1896" s="25">
        <v>1.18</v>
      </c>
      <c r="DH1896" s="24">
        <v>55</v>
      </c>
      <c r="DI1896" s="25">
        <v>0.01</v>
      </c>
      <c r="DJ1896" s="24">
        <v>1</v>
      </c>
      <c r="DK1896" s="25">
        <v>1.18</v>
      </c>
      <c r="DL1896" s="24">
        <v>54</v>
      </c>
      <c r="DM1896" s="25" t="s">
        <v>138</v>
      </c>
      <c r="DN1896" s="24" t="s">
        <v>138</v>
      </c>
      <c r="DO1896" s="25">
        <v>0.01</v>
      </c>
      <c r="DP1896" s="24">
        <v>1</v>
      </c>
      <c r="DQ1896" s="24">
        <v>405</v>
      </c>
      <c r="DR1896" s="26">
        <v>-3</v>
      </c>
      <c r="DS1896" s="23">
        <v>-0.74</v>
      </c>
      <c r="DT1896" s="24" t="s">
        <v>138</v>
      </c>
      <c r="DU1896" s="26" t="s">
        <v>138</v>
      </c>
      <c r="DV1896" s="23" t="s">
        <v>138</v>
      </c>
      <c r="DW1896" s="24">
        <v>2</v>
      </c>
      <c r="DX1896" s="27">
        <v>0</v>
      </c>
      <c r="DY1896" s="23">
        <v>0</v>
      </c>
      <c r="DZ1896" s="15" t="s">
        <v>178</v>
      </c>
      <c r="EA1896" s="22">
        <v>43622</v>
      </c>
      <c r="EB1896" s="17">
        <v>57.5</v>
      </c>
      <c r="EC1896" s="22">
        <v>42969</v>
      </c>
      <c r="ED1896" s="15" t="s">
        <v>205</v>
      </c>
      <c r="EE1896" s="14" t="str">
        <f>HYPERLINK("https://my.pitchbook.com?c=162681-22", "View company online")</f>
        <v>View company online</v>
      </c>
    </row>
    <row r="1897" spans="1:135">
      <c r="A1897" s="28" t="s">
        <v>35936</v>
      </c>
      <c r="B1897" s="28" t="s">
        <v>35937</v>
      </c>
      <c r="C1897" s="28" t="s">
        <v>138</v>
      </c>
      <c r="D1897" s="28" t="s">
        <v>138</v>
      </c>
      <c r="E1897" s="28" t="s">
        <v>138</v>
      </c>
      <c r="F1897" s="28" t="s">
        <v>35936</v>
      </c>
      <c r="G1897" s="28" t="s">
        <v>35938</v>
      </c>
      <c r="H1897" s="28" t="s">
        <v>238</v>
      </c>
      <c r="I1897" s="28" t="s">
        <v>1351</v>
      </c>
      <c r="J1897" s="28" t="s">
        <v>1352</v>
      </c>
      <c r="K1897" s="28" t="s">
        <v>11328</v>
      </c>
      <c r="L1897" s="28" t="s">
        <v>4828</v>
      </c>
      <c r="M1897" s="28" t="s">
        <v>35939</v>
      </c>
      <c r="N1897" s="28" t="s">
        <v>147</v>
      </c>
      <c r="O1897" s="29">
        <v>31</v>
      </c>
      <c r="P1897" s="28" t="s">
        <v>189</v>
      </c>
      <c r="Q1897" s="28" t="s">
        <v>149</v>
      </c>
      <c r="R1897" s="28" t="s">
        <v>174</v>
      </c>
      <c r="S1897" s="28" t="s">
        <v>35940</v>
      </c>
      <c r="T1897" s="30" t="s">
        <v>138</v>
      </c>
      <c r="U1897" s="28" t="s">
        <v>138</v>
      </c>
      <c r="V1897" s="28" t="s">
        <v>138</v>
      </c>
      <c r="W1897" s="28" t="s">
        <v>138</v>
      </c>
      <c r="X1897" s="31">
        <v>2014</v>
      </c>
      <c r="Y1897" s="28" t="s">
        <v>138</v>
      </c>
      <c r="Z1897" s="28" t="s">
        <v>138</v>
      </c>
      <c r="AA1897" s="28" t="s">
        <v>138</v>
      </c>
      <c r="AB1897" s="32" t="s">
        <v>138</v>
      </c>
      <c r="AC1897" s="32" t="s">
        <v>138</v>
      </c>
      <c r="AD1897" s="32" t="s">
        <v>138</v>
      </c>
      <c r="AE1897" s="32" t="s">
        <v>138</v>
      </c>
      <c r="AF1897" s="32" t="s">
        <v>138</v>
      </c>
      <c r="AG1897" s="28" t="s">
        <v>138</v>
      </c>
      <c r="AH1897" s="32" t="s">
        <v>138</v>
      </c>
      <c r="AI1897" s="32" t="s">
        <v>138</v>
      </c>
      <c r="AJ1897" s="32" t="s">
        <v>138</v>
      </c>
      <c r="AK1897" s="28" t="s">
        <v>35941</v>
      </c>
      <c r="AL1897" s="28" t="s">
        <v>35942</v>
      </c>
      <c r="AM1897" s="28" t="s">
        <v>221</v>
      </c>
      <c r="AN1897" s="28" t="s">
        <v>35943</v>
      </c>
      <c r="AO1897" s="28" t="s">
        <v>35944</v>
      </c>
      <c r="AP1897" s="28" t="s">
        <v>665</v>
      </c>
      <c r="AQ1897" s="28" t="s">
        <v>35945</v>
      </c>
      <c r="AR1897" s="28" t="s">
        <v>138</v>
      </c>
      <c r="AS1897" s="28" t="s">
        <v>668</v>
      </c>
      <c r="AT1897" s="28" t="s">
        <v>200</v>
      </c>
      <c r="AU1897" s="28" t="s">
        <v>1723</v>
      </c>
      <c r="AV1897" s="28" t="s">
        <v>162</v>
      </c>
      <c r="AW1897" s="28" t="s">
        <v>35944</v>
      </c>
      <c r="AX1897" s="28" t="s">
        <v>138</v>
      </c>
      <c r="AY1897" s="28" t="s">
        <v>35946</v>
      </c>
      <c r="AZ1897" s="28" t="s">
        <v>164</v>
      </c>
      <c r="BA1897" s="28" t="s">
        <v>165</v>
      </c>
      <c r="BB1897" s="28" t="s">
        <v>35947</v>
      </c>
      <c r="BC1897" s="28" t="s">
        <v>35948</v>
      </c>
      <c r="BD1897" s="33">
        <v>10</v>
      </c>
      <c r="BE1897" s="28" t="s">
        <v>138</v>
      </c>
      <c r="BF1897" s="28" t="s">
        <v>138</v>
      </c>
      <c r="BG1897" s="28" t="s">
        <v>138</v>
      </c>
      <c r="BH1897" s="28" t="s">
        <v>35949</v>
      </c>
      <c r="BI1897" s="28" t="s">
        <v>138</v>
      </c>
      <c r="BJ1897" s="28" t="s">
        <v>138</v>
      </c>
      <c r="BK1897" s="28" t="s">
        <v>138</v>
      </c>
      <c r="BL1897" s="28" t="s">
        <v>138</v>
      </c>
      <c r="BM1897" s="34">
        <v>43318</v>
      </c>
      <c r="BN1897" s="29">
        <v>31</v>
      </c>
      <c r="BO1897" s="28" t="s">
        <v>172</v>
      </c>
      <c r="BP1897" s="29">
        <v>91</v>
      </c>
      <c r="BQ1897" s="28" t="s">
        <v>172</v>
      </c>
      <c r="BR1897" s="28" t="s">
        <v>205</v>
      </c>
      <c r="BS1897" s="28" t="s">
        <v>206</v>
      </c>
      <c r="BT1897" s="28" t="s">
        <v>138</v>
      </c>
      <c r="BU1897" s="28" t="s">
        <v>174</v>
      </c>
      <c r="BV1897" s="28" t="s">
        <v>138</v>
      </c>
      <c r="BW1897" s="28" t="s">
        <v>138</v>
      </c>
      <c r="BX1897" s="28" t="s">
        <v>138</v>
      </c>
      <c r="BY1897" s="28" t="s">
        <v>175</v>
      </c>
      <c r="BZ1897" s="34">
        <v>43318</v>
      </c>
      <c r="CA1897" s="29">
        <v>31</v>
      </c>
      <c r="CB1897" s="28" t="s">
        <v>172</v>
      </c>
      <c r="CC1897" s="29">
        <v>91</v>
      </c>
      <c r="CD1897" s="28" t="s">
        <v>172</v>
      </c>
      <c r="CE1897" s="28" t="s">
        <v>205</v>
      </c>
      <c r="CF1897" s="28" t="s">
        <v>206</v>
      </c>
      <c r="CG1897" s="28" t="s">
        <v>138</v>
      </c>
      <c r="CH1897" s="28" t="s">
        <v>174</v>
      </c>
      <c r="CI1897" s="28" t="s">
        <v>138</v>
      </c>
      <c r="CJ1897" s="28" t="s">
        <v>138</v>
      </c>
      <c r="CK1897" s="28" t="s">
        <v>138</v>
      </c>
      <c r="CL1897" s="28" t="s">
        <v>175</v>
      </c>
      <c r="CM1897" s="34" t="s">
        <v>138</v>
      </c>
      <c r="CN1897" s="29" t="s">
        <v>138</v>
      </c>
      <c r="CO1897" s="35">
        <v>0</v>
      </c>
      <c r="CP1897" s="36">
        <v>26</v>
      </c>
      <c r="CQ1897" s="35">
        <v>0</v>
      </c>
      <c r="CR1897" s="35">
        <v>0</v>
      </c>
      <c r="CS1897" s="35">
        <v>0</v>
      </c>
      <c r="CT1897" s="36">
        <v>23</v>
      </c>
      <c r="CU1897" s="35" t="s">
        <v>138</v>
      </c>
      <c r="CV1897" s="36" t="s">
        <v>138</v>
      </c>
      <c r="CW1897" s="35" t="s">
        <v>138</v>
      </c>
      <c r="CX1897" s="36" t="s">
        <v>138</v>
      </c>
      <c r="CY1897" s="35">
        <v>0</v>
      </c>
      <c r="CZ1897" s="36">
        <v>25</v>
      </c>
      <c r="DA1897" s="35" t="s">
        <v>138</v>
      </c>
      <c r="DB1897" s="36" t="s">
        <v>138</v>
      </c>
      <c r="DC1897" s="37">
        <v>1.59</v>
      </c>
      <c r="DD1897" s="36">
        <v>62</v>
      </c>
      <c r="DE1897" s="37">
        <v>-0.03</v>
      </c>
      <c r="DF1897" s="35">
        <v>-2.13</v>
      </c>
      <c r="DG1897" s="37">
        <v>1.59</v>
      </c>
      <c r="DH1897" s="36">
        <v>62</v>
      </c>
      <c r="DI1897" s="37" t="s">
        <v>138</v>
      </c>
      <c r="DJ1897" s="36" t="s">
        <v>138</v>
      </c>
      <c r="DK1897" s="37" t="s">
        <v>138</v>
      </c>
      <c r="DL1897" s="36" t="s">
        <v>138</v>
      </c>
      <c r="DM1897" s="37">
        <v>1.59</v>
      </c>
      <c r="DN1897" s="36">
        <v>61</v>
      </c>
      <c r="DO1897" s="37" t="s">
        <v>138</v>
      </c>
      <c r="DP1897" s="36" t="s">
        <v>138</v>
      </c>
      <c r="DQ1897" s="36" t="s">
        <v>138</v>
      </c>
      <c r="DR1897" s="38" t="s">
        <v>138</v>
      </c>
      <c r="DS1897" s="35" t="s">
        <v>138</v>
      </c>
      <c r="DT1897" s="36">
        <v>46</v>
      </c>
      <c r="DU1897" s="38">
        <v>0</v>
      </c>
      <c r="DV1897" s="35">
        <v>0</v>
      </c>
      <c r="DW1897" s="36" t="s">
        <v>138</v>
      </c>
      <c r="DX1897" s="39" t="s">
        <v>138</v>
      </c>
      <c r="DY1897" s="35" t="s">
        <v>138</v>
      </c>
      <c r="DZ1897" s="28" t="s">
        <v>178</v>
      </c>
      <c r="EA1897" s="34">
        <v>43586</v>
      </c>
      <c r="EB1897" s="29">
        <v>91</v>
      </c>
      <c r="EC1897" s="34">
        <v>43318</v>
      </c>
      <c r="ED1897" s="28" t="s">
        <v>205</v>
      </c>
      <c r="EE1897" s="40" t="str">
        <f>HYPERLINK("https://my.pitchbook.com?c=180134-83", "View company online")</f>
        <v>View company online</v>
      </c>
    </row>
    <row r="1898" spans="1:135">
      <c r="A1898" s="15" t="s">
        <v>35950</v>
      </c>
      <c r="B1898" s="15" t="s">
        <v>35951</v>
      </c>
      <c r="C1898" s="15" t="s">
        <v>35952</v>
      </c>
      <c r="D1898" s="15" t="s">
        <v>138</v>
      </c>
      <c r="E1898" s="15" t="s">
        <v>138</v>
      </c>
      <c r="F1898" s="15" t="s">
        <v>35950</v>
      </c>
      <c r="G1898" s="15" t="s">
        <v>35953</v>
      </c>
      <c r="H1898" s="15" t="s">
        <v>322</v>
      </c>
      <c r="I1898" s="15" t="s">
        <v>1503</v>
      </c>
      <c r="J1898" s="15" t="s">
        <v>1836</v>
      </c>
      <c r="K1898" s="15" t="s">
        <v>17218</v>
      </c>
      <c r="L1898" s="15" t="s">
        <v>35954</v>
      </c>
      <c r="M1898" s="15" t="s">
        <v>35955</v>
      </c>
      <c r="N1898" s="15" t="s">
        <v>2487</v>
      </c>
      <c r="O1898" s="17">
        <v>6.58</v>
      </c>
      <c r="P1898" s="15" t="s">
        <v>148</v>
      </c>
      <c r="Q1898" s="15" t="s">
        <v>149</v>
      </c>
      <c r="R1898" s="15" t="s">
        <v>174</v>
      </c>
      <c r="S1898" s="15" t="s">
        <v>35956</v>
      </c>
      <c r="T1898" s="18" t="s">
        <v>138</v>
      </c>
      <c r="U1898" s="15" t="s">
        <v>138</v>
      </c>
      <c r="V1898" s="15" t="s">
        <v>138</v>
      </c>
      <c r="W1898" s="15" t="s">
        <v>138</v>
      </c>
      <c r="X1898" s="19">
        <v>2015</v>
      </c>
      <c r="Y1898" s="15" t="s">
        <v>138</v>
      </c>
      <c r="Z1898" s="15" t="s">
        <v>138</v>
      </c>
      <c r="AA1898" s="15" t="s">
        <v>138</v>
      </c>
      <c r="AB1898" s="20" t="s">
        <v>138</v>
      </c>
      <c r="AC1898" s="20" t="s">
        <v>138</v>
      </c>
      <c r="AD1898" s="20" t="s">
        <v>138</v>
      </c>
      <c r="AE1898" s="20" t="s">
        <v>138</v>
      </c>
      <c r="AF1898" s="20" t="s">
        <v>138</v>
      </c>
      <c r="AG1898" s="15" t="s">
        <v>138</v>
      </c>
      <c r="AH1898" s="20" t="s">
        <v>138</v>
      </c>
      <c r="AI1898" s="20" t="s">
        <v>138</v>
      </c>
      <c r="AJ1898" s="20" t="s">
        <v>138</v>
      </c>
      <c r="AK1898" s="15" t="s">
        <v>35957</v>
      </c>
      <c r="AL1898" s="15" t="s">
        <v>35958</v>
      </c>
      <c r="AM1898" s="15" t="s">
        <v>9571</v>
      </c>
      <c r="AN1898" s="15" t="s">
        <v>35959</v>
      </c>
      <c r="AO1898" s="15" t="s">
        <v>35960</v>
      </c>
      <c r="AP1898" s="15" t="s">
        <v>2490</v>
      </c>
      <c r="AQ1898" s="15" t="s">
        <v>35961</v>
      </c>
      <c r="AR1898" s="15" t="s">
        <v>6193</v>
      </c>
      <c r="AS1898" s="15" t="s">
        <v>2493</v>
      </c>
      <c r="AT1898" s="15" t="s">
        <v>371</v>
      </c>
      <c r="AU1898" s="15" t="s">
        <v>35962</v>
      </c>
      <c r="AV1898" s="15" t="s">
        <v>162</v>
      </c>
      <c r="AW1898" s="15" t="s">
        <v>35960</v>
      </c>
      <c r="AX1898" s="15" t="s">
        <v>138</v>
      </c>
      <c r="AY1898" s="15" t="s">
        <v>138</v>
      </c>
      <c r="AZ1898" s="15" t="s">
        <v>164</v>
      </c>
      <c r="BA1898" s="15" t="s">
        <v>165</v>
      </c>
      <c r="BB1898" s="15" t="s">
        <v>35963</v>
      </c>
      <c r="BC1898" s="15" t="s">
        <v>35964</v>
      </c>
      <c r="BD1898" s="21">
        <v>5</v>
      </c>
      <c r="BE1898" s="15" t="s">
        <v>138</v>
      </c>
      <c r="BF1898" s="15" t="s">
        <v>138</v>
      </c>
      <c r="BG1898" s="15" t="s">
        <v>138</v>
      </c>
      <c r="BH1898" s="15" t="s">
        <v>35965</v>
      </c>
      <c r="BI1898" s="15" t="s">
        <v>138</v>
      </c>
      <c r="BJ1898" s="15" t="s">
        <v>138</v>
      </c>
      <c r="BK1898" s="15" t="s">
        <v>138</v>
      </c>
      <c r="BL1898" s="15" t="s">
        <v>138</v>
      </c>
      <c r="BM1898" s="22" t="s">
        <v>138</v>
      </c>
      <c r="BN1898" s="17" t="s">
        <v>138</v>
      </c>
      <c r="BO1898" s="15" t="s">
        <v>138</v>
      </c>
      <c r="BP1898" s="17" t="s">
        <v>138</v>
      </c>
      <c r="BQ1898" s="15" t="s">
        <v>138</v>
      </c>
      <c r="BR1898" s="15" t="s">
        <v>316</v>
      </c>
      <c r="BS1898" s="15" t="s">
        <v>138</v>
      </c>
      <c r="BT1898" s="15" t="s">
        <v>138</v>
      </c>
      <c r="BU1898" s="15" t="s">
        <v>177</v>
      </c>
      <c r="BV1898" s="15" t="s">
        <v>138</v>
      </c>
      <c r="BW1898" s="15" t="s">
        <v>138</v>
      </c>
      <c r="BX1898" s="15" t="s">
        <v>138</v>
      </c>
      <c r="BY1898" s="15" t="s">
        <v>175</v>
      </c>
      <c r="BZ1898" s="22">
        <v>43487</v>
      </c>
      <c r="CA1898" s="17">
        <v>6.58</v>
      </c>
      <c r="CB1898" s="15" t="s">
        <v>172</v>
      </c>
      <c r="CC1898" s="17" t="s">
        <v>138</v>
      </c>
      <c r="CD1898" s="15" t="s">
        <v>138</v>
      </c>
      <c r="CE1898" s="15" t="s">
        <v>262</v>
      </c>
      <c r="CF1898" s="15" t="s">
        <v>262</v>
      </c>
      <c r="CG1898" s="15" t="s">
        <v>138</v>
      </c>
      <c r="CH1898" s="15" t="s">
        <v>263</v>
      </c>
      <c r="CI1898" s="15" t="s">
        <v>138</v>
      </c>
      <c r="CJ1898" s="15" t="s">
        <v>138</v>
      </c>
      <c r="CK1898" s="15" t="s">
        <v>138</v>
      </c>
      <c r="CL1898" s="15" t="s">
        <v>175</v>
      </c>
      <c r="CM1898" s="22" t="s">
        <v>138</v>
      </c>
      <c r="CN1898" s="17" t="s">
        <v>138</v>
      </c>
      <c r="CO1898" s="23">
        <v>0.63</v>
      </c>
      <c r="CP1898" s="24">
        <v>96</v>
      </c>
      <c r="CQ1898" s="23">
        <v>0.11</v>
      </c>
      <c r="CR1898" s="23">
        <v>21.95</v>
      </c>
      <c r="CS1898" s="23">
        <v>0.14000000000000001</v>
      </c>
      <c r="CT1898" s="24">
        <v>94</v>
      </c>
      <c r="CU1898" s="23">
        <v>1.1200000000000001</v>
      </c>
      <c r="CV1898" s="24">
        <v>98</v>
      </c>
      <c r="CW1898" s="23">
        <v>0</v>
      </c>
      <c r="CX1898" s="24">
        <v>13</v>
      </c>
      <c r="CY1898" s="23">
        <v>0.28000000000000003</v>
      </c>
      <c r="CZ1898" s="24">
        <v>98</v>
      </c>
      <c r="DA1898" s="23">
        <v>1.1200000000000001</v>
      </c>
      <c r="DB1898" s="24">
        <v>98</v>
      </c>
      <c r="DC1898" s="25">
        <v>1.72</v>
      </c>
      <c r="DD1898" s="24">
        <v>64</v>
      </c>
      <c r="DE1898" s="25">
        <v>0.02</v>
      </c>
      <c r="DF1898" s="23">
        <v>0.91</v>
      </c>
      <c r="DG1898" s="25">
        <v>2.71</v>
      </c>
      <c r="DH1898" s="24">
        <v>73</v>
      </c>
      <c r="DI1898" s="25">
        <v>0.73</v>
      </c>
      <c r="DJ1898" s="24">
        <v>43</v>
      </c>
      <c r="DK1898" s="25">
        <v>0.52</v>
      </c>
      <c r="DL1898" s="24">
        <v>36</v>
      </c>
      <c r="DM1898" s="25">
        <v>4.9000000000000004</v>
      </c>
      <c r="DN1898" s="24">
        <v>81</v>
      </c>
      <c r="DO1898" s="25">
        <v>0.73</v>
      </c>
      <c r="DP1898" s="24">
        <v>45</v>
      </c>
      <c r="DQ1898" s="24">
        <v>207</v>
      </c>
      <c r="DR1898" s="26">
        <v>-90</v>
      </c>
      <c r="DS1898" s="23">
        <v>-30.3</v>
      </c>
      <c r="DT1898" s="24">
        <v>141</v>
      </c>
      <c r="DU1898" s="26">
        <v>4</v>
      </c>
      <c r="DV1898" s="23">
        <v>2.92</v>
      </c>
      <c r="DW1898" s="24">
        <v>259</v>
      </c>
      <c r="DX1898" s="27">
        <v>4</v>
      </c>
      <c r="DY1898" s="23">
        <v>1.57</v>
      </c>
      <c r="DZ1898" s="15" t="s">
        <v>178</v>
      </c>
      <c r="EA1898" s="22">
        <v>43538</v>
      </c>
      <c r="EB1898" s="17" t="s">
        <v>138</v>
      </c>
      <c r="EC1898" s="22" t="s">
        <v>138</v>
      </c>
      <c r="ED1898" s="15" t="s">
        <v>138</v>
      </c>
      <c r="EE1898" s="14" t="str">
        <f>HYPERLINK("https://my.pitchbook.com?c=172127-35", "View company online")</f>
        <v>View company online</v>
      </c>
    </row>
    <row r="1899" spans="1:135">
      <c r="A1899" s="28" t="s">
        <v>35966</v>
      </c>
      <c r="B1899" s="28" t="s">
        <v>35967</v>
      </c>
      <c r="C1899" s="28" t="s">
        <v>138</v>
      </c>
      <c r="D1899" s="28" t="s">
        <v>138</v>
      </c>
      <c r="E1899" s="28" t="s">
        <v>138</v>
      </c>
      <c r="F1899" s="28" t="s">
        <v>35966</v>
      </c>
      <c r="G1899" s="28" t="s">
        <v>35968</v>
      </c>
      <c r="H1899" s="28" t="s">
        <v>238</v>
      </c>
      <c r="I1899" s="28" t="s">
        <v>2662</v>
      </c>
      <c r="J1899" s="28" t="s">
        <v>4479</v>
      </c>
      <c r="K1899" s="28" t="s">
        <v>35969</v>
      </c>
      <c r="L1899" s="28" t="s">
        <v>4703</v>
      </c>
      <c r="M1899" s="28" t="s">
        <v>35970</v>
      </c>
      <c r="N1899" s="28" t="s">
        <v>147</v>
      </c>
      <c r="O1899" s="29">
        <v>9.1999999999999993</v>
      </c>
      <c r="P1899" s="28" t="s">
        <v>148</v>
      </c>
      <c r="Q1899" s="28" t="s">
        <v>149</v>
      </c>
      <c r="R1899" s="28" t="s">
        <v>174</v>
      </c>
      <c r="S1899" s="28" t="s">
        <v>35971</v>
      </c>
      <c r="T1899" s="30">
        <v>24</v>
      </c>
      <c r="U1899" s="28" t="s">
        <v>35972</v>
      </c>
      <c r="V1899" s="28" t="s">
        <v>138</v>
      </c>
      <c r="W1899" s="28" t="s">
        <v>138</v>
      </c>
      <c r="X1899" s="31">
        <v>2010</v>
      </c>
      <c r="Y1899" s="28" t="s">
        <v>138</v>
      </c>
      <c r="Z1899" s="28" t="s">
        <v>138</v>
      </c>
      <c r="AA1899" s="28" t="s">
        <v>1163</v>
      </c>
      <c r="AB1899" s="32" t="s">
        <v>138</v>
      </c>
      <c r="AC1899" s="32" t="s">
        <v>138</v>
      </c>
      <c r="AD1899" s="32" t="s">
        <v>138</v>
      </c>
      <c r="AE1899" s="32" t="s">
        <v>138</v>
      </c>
      <c r="AF1899" s="32" t="s">
        <v>138</v>
      </c>
      <c r="AG1899" s="28" t="s">
        <v>138</v>
      </c>
      <c r="AH1899" s="32" t="s">
        <v>138</v>
      </c>
      <c r="AI1899" s="32" t="s">
        <v>138</v>
      </c>
      <c r="AJ1899" s="32" t="s">
        <v>138</v>
      </c>
      <c r="AK1899" s="28" t="s">
        <v>35973</v>
      </c>
      <c r="AL1899" s="28" t="s">
        <v>35974</v>
      </c>
      <c r="AM1899" s="28" t="s">
        <v>938</v>
      </c>
      <c r="AN1899" s="28" t="s">
        <v>35975</v>
      </c>
      <c r="AO1899" s="28" t="s">
        <v>35976</v>
      </c>
      <c r="AP1899" s="28" t="s">
        <v>665</v>
      </c>
      <c r="AQ1899" s="28" t="s">
        <v>35977</v>
      </c>
      <c r="AR1899" s="28" t="s">
        <v>138</v>
      </c>
      <c r="AS1899" s="28" t="s">
        <v>668</v>
      </c>
      <c r="AT1899" s="28" t="s">
        <v>200</v>
      </c>
      <c r="AU1899" s="28" t="s">
        <v>1960</v>
      </c>
      <c r="AV1899" s="28" t="s">
        <v>162</v>
      </c>
      <c r="AW1899" s="28" t="s">
        <v>35976</v>
      </c>
      <c r="AX1899" s="28" t="s">
        <v>138</v>
      </c>
      <c r="AY1899" s="28" t="s">
        <v>35978</v>
      </c>
      <c r="AZ1899" s="28" t="s">
        <v>164</v>
      </c>
      <c r="BA1899" s="28" t="s">
        <v>165</v>
      </c>
      <c r="BB1899" s="28" t="s">
        <v>35979</v>
      </c>
      <c r="BC1899" s="28" t="s">
        <v>35980</v>
      </c>
      <c r="BD1899" s="33">
        <v>4</v>
      </c>
      <c r="BE1899" s="28" t="s">
        <v>138</v>
      </c>
      <c r="BF1899" s="28" t="s">
        <v>138</v>
      </c>
      <c r="BG1899" s="28" t="s">
        <v>138</v>
      </c>
      <c r="BH1899" s="28" t="s">
        <v>35981</v>
      </c>
      <c r="BI1899" s="28" t="s">
        <v>138</v>
      </c>
      <c r="BJ1899" s="28" t="s">
        <v>138</v>
      </c>
      <c r="BK1899" s="28" t="s">
        <v>1691</v>
      </c>
      <c r="BL1899" s="28" t="s">
        <v>1691</v>
      </c>
      <c r="BM1899" s="34">
        <v>41365</v>
      </c>
      <c r="BN1899" s="29">
        <v>3.25</v>
      </c>
      <c r="BO1899" s="28" t="s">
        <v>172</v>
      </c>
      <c r="BP1899" s="29">
        <v>7.24</v>
      </c>
      <c r="BQ1899" s="28" t="s">
        <v>172</v>
      </c>
      <c r="BR1899" s="28" t="s">
        <v>205</v>
      </c>
      <c r="BS1899" s="28" t="s">
        <v>206</v>
      </c>
      <c r="BT1899" s="28" t="s">
        <v>138</v>
      </c>
      <c r="BU1899" s="28" t="s">
        <v>174</v>
      </c>
      <c r="BV1899" s="28" t="s">
        <v>138</v>
      </c>
      <c r="BW1899" s="28" t="s">
        <v>138</v>
      </c>
      <c r="BX1899" s="28" t="s">
        <v>138</v>
      </c>
      <c r="BY1899" s="28" t="s">
        <v>175</v>
      </c>
      <c r="BZ1899" s="34">
        <v>42354</v>
      </c>
      <c r="CA1899" s="29">
        <v>3</v>
      </c>
      <c r="CB1899" s="28" t="s">
        <v>172</v>
      </c>
      <c r="CC1899" s="29">
        <v>12</v>
      </c>
      <c r="CD1899" s="28" t="s">
        <v>172</v>
      </c>
      <c r="CE1899" s="28" t="s">
        <v>205</v>
      </c>
      <c r="CF1899" s="28" t="s">
        <v>720</v>
      </c>
      <c r="CG1899" s="28" t="s">
        <v>138</v>
      </c>
      <c r="CH1899" s="28" t="s">
        <v>174</v>
      </c>
      <c r="CI1899" s="28" t="s">
        <v>138</v>
      </c>
      <c r="CJ1899" s="28" t="s">
        <v>138</v>
      </c>
      <c r="CK1899" s="28" t="s">
        <v>138</v>
      </c>
      <c r="CL1899" s="28" t="s">
        <v>175</v>
      </c>
      <c r="CM1899" s="34" t="s">
        <v>138</v>
      </c>
      <c r="CN1899" s="29" t="s">
        <v>138</v>
      </c>
      <c r="CO1899" s="35">
        <v>-0.89</v>
      </c>
      <c r="CP1899" s="36">
        <v>12</v>
      </c>
      <c r="CQ1899" s="35">
        <v>-0.01</v>
      </c>
      <c r="CR1899" s="35">
        <v>-0.8</v>
      </c>
      <c r="CS1899" s="35">
        <v>-1.82</v>
      </c>
      <c r="CT1899" s="36">
        <v>10</v>
      </c>
      <c r="CU1899" s="35">
        <v>0.05</v>
      </c>
      <c r="CV1899" s="36">
        <v>58</v>
      </c>
      <c r="CW1899" s="35">
        <v>-2.42</v>
      </c>
      <c r="CX1899" s="36">
        <v>6</v>
      </c>
      <c r="CY1899" s="35">
        <v>-1.23</v>
      </c>
      <c r="CZ1899" s="36">
        <v>17</v>
      </c>
      <c r="DA1899" s="35">
        <v>0.03</v>
      </c>
      <c r="DB1899" s="36">
        <v>60</v>
      </c>
      <c r="DC1899" s="37">
        <v>51.44</v>
      </c>
      <c r="DD1899" s="36">
        <v>98</v>
      </c>
      <c r="DE1899" s="37">
        <v>-3.69</v>
      </c>
      <c r="DF1899" s="35">
        <v>-6.69</v>
      </c>
      <c r="DG1899" s="37">
        <v>65.17</v>
      </c>
      <c r="DH1899" s="36">
        <v>99</v>
      </c>
      <c r="DI1899" s="37">
        <v>37.71</v>
      </c>
      <c r="DJ1899" s="36">
        <v>94</v>
      </c>
      <c r="DK1899" s="37">
        <v>115.58</v>
      </c>
      <c r="DL1899" s="36">
        <v>98</v>
      </c>
      <c r="DM1899" s="37">
        <v>14.76</v>
      </c>
      <c r="DN1899" s="36">
        <v>92</v>
      </c>
      <c r="DO1899" s="37">
        <v>22.22</v>
      </c>
      <c r="DP1899" s="36">
        <v>93</v>
      </c>
      <c r="DQ1899" s="36">
        <v>39411</v>
      </c>
      <c r="DR1899" s="38">
        <v>702</v>
      </c>
      <c r="DS1899" s="35">
        <v>1.81</v>
      </c>
      <c r="DT1899" s="36">
        <v>428</v>
      </c>
      <c r="DU1899" s="38">
        <v>0</v>
      </c>
      <c r="DV1899" s="35">
        <v>0</v>
      </c>
      <c r="DW1899" s="36">
        <v>7952</v>
      </c>
      <c r="DX1899" s="39">
        <v>-2</v>
      </c>
      <c r="DY1899" s="35">
        <v>-0.03</v>
      </c>
      <c r="DZ1899" s="28" t="s">
        <v>178</v>
      </c>
      <c r="EA1899" s="34">
        <v>43351</v>
      </c>
      <c r="EB1899" s="29">
        <v>12</v>
      </c>
      <c r="EC1899" s="34">
        <v>42354</v>
      </c>
      <c r="ED1899" s="28" t="s">
        <v>205</v>
      </c>
      <c r="EE1899" s="40" t="str">
        <f>HYPERLINK("https://my.pitchbook.com?c=59256-73", "View company online")</f>
        <v>View company online</v>
      </c>
    </row>
    <row r="1900" spans="1:135">
      <c r="A1900" s="15" t="s">
        <v>35982</v>
      </c>
      <c r="B1900" s="15" t="s">
        <v>35983</v>
      </c>
      <c r="C1900" s="15" t="s">
        <v>35984</v>
      </c>
      <c r="D1900" s="15" t="s">
        <v>138</v>
      </c>
      <c r="E1900" s="15" t="s">
        <v>138</v>
      </c>
      <c r="F1900" s="15" t="s">
        <v>35982</v>
      </c>
      <c r="G1900" s="15" t="s">
        <v>35985</v>
      </c>
      <c r="H1900" s="15" t="s">
        <v>141</v>
      </c>
      <c r="I1900" s="15" t="s">
        <v>212</v>
      </c>
      <c r="J1900" s="15" t="s">
        <v>213</v>
      </c>
      <c r="K1900" s="15" t="s">
        <v>22848</v>
      </c>
      <c r="L1900" s="15" t="s">
        <v>2236</v>
      </c>
      <c r="M1900" s="15" t="s">
        <v>35986</v>
      </c>
      <c r="N1900" s="15" t="s">
        <v>147</v>
      </c>
      <c r="O1900" s="17">
        <v>4.5</v>
      </c>
      <c r="P1900" s="15" t="s">
        <v>148</v>
      </c>
      <c r="Q1900" s="15" t="s">
        <v>149</v>
      </c>
      <c r="R1900" s="15" t="s">
        <v>174</v>
      </c>
      <c r="S1900" s="15" t="s">
        <v>35987</v>
      </c>
      <c r="T1900" s="18">
        <v>19</v>
      </c>
      <c r="U1900" s="15" t="s">
        <v>35988</v>
      </c>
      <c r="V1900" s="15" t="s">
        <v>138</v>
      </c>
      <c r="W1900" s="15" t="s">
        <v>138</v>
      </c>
      <c r="X1900" s="19">
        <v>2017</v>
      </c>
      <c r="Y1900" s="15" t="s">
        <v>138</v>
      </c>
      <c r="Z1900" s="15" t="s">
        <v>138</v>
      </c>
      <c r="AA1900" s="15" t="s">
        <v>138</v>
      </c>
      <c r="AB1900" s="20" t="s">
        <v>138</v>
      </c>
      <c r="AC1900" s="20" t="s">
        <v>138</v>
      </c>
      <c r="AD1900" s="20" t="s">
        <v>138</v>
      </c>
      <c r="AE1900" s="20" t="s">
        <v>138</v>
      </c>
      <c r="AF1900" s="20" t="s">
        <v>138</v>
      </c>
      <c r="AG1900" s="15" t="s">
        <v>138</v>
      </c>
      <c r="AH1900" s="20" t="s">
        <v>138</v>
      </c>
      <c r="AI1900" s="20" t="s">
        <v>138</v>
      </c>
      <c r="AJ1900" s="20" t="s">
        <v>138</v>
      </c>
      <c r="AK1900" s="15" t="s">
        <v>35989</v>
      </c>
      <c r="AL1900" s="15" t="s">
        <v>35990</v>
      </c>
      <c r="AM1900" s="15" t="s">
        <v>35991</v>
      </c>
      <c r="AN1900" s="15" t="s">
        <v>35992</v>
      </c>
      <c r="AO1900" s="15" t="s">
        <v>138</v>
      </c>
      <c r="AP1900" s="15" t="s">
        <v>4490</v>
      </c>
      <c r="AQ1900" s="15" t="s">
        <v>18416</v>
      </c>
      <c r="AR1900" s="15" t="s">
        <v>138</v>
      </c>
      <c r="AS1900" s="15" t="s">
        <v>4492</v>
      </c>
      <c r="AT1900" s="15" t="s">
        <v>4493</v>
      </c>
      <c r="AU1900" s="15" t="s">
        <v>12509</v>
      </c>
      <c r="AV1900" s="15" t="s">
        <v>162</v>
      </c>
      <c r="AW1900" s="15" t="s">
        <v>138</v>
      </c>
      <c r="AX1900" s="15" t="s">
        <v>138</v>
      </c>
      <c r="AY1900" s="15" t="s">
        <v>35993</v>
      </c>
      <c r="AZ1900" s="15" t="s">
        <v>164</v>
      </c>
      <c r="BA1900" s="15" t="s">
        <v>165</v>
      </c>
      <c r="BB1900" s="15" t="s">
        <v>35994</v>
      </c>
      <c r="BC1900" s="15" t="s">
        <v>35995</v>
      </c>
      <c r="BD1900" s="21">
        <v>11</v>
      </c>
      <c r="BE1900" s="15" t="s">
        <v>138</v>
      </c>
      <c r="BF1900" s="15" t="s">
        <v>138</v>
      </c>
      <c r="BG1900" s="15" t="s">
        <v>138</v>
      </c>
      <c r="BH1900" s="15" t="s">
        <v>35996</v>
      </c>
      <c r="BI1900" s="15" t="s">
        <v>138</v>
      </c>
      <c r="BJ1900" s="15" t="s">
        <v>138</v>
      </c>
      <c r="BK1900" s="15" t="s">
        <v>138</v>
      </c>
      <c r="BL1900" s="15" t="s">
        <v>138</v>
      </c>
      <c r="BM1900" s="22">
        <v>43151</v>
      </c>
      <c r="BN1900" s="17">
        <v>4.5</v>
      </c>
      <c r="BO1900" s="15" t="s">
        <v>172</v>
      </c>
      <c r="BP1900" s="17">
        <v>30</v>
      </c>
      <c r="BQ1900" s="15" t="s">
        <v>172</v>
      </c>
      <c r="BR1900" s="15" t="s">
        <v>205</v>
      </c>
      <c r="BS1900" s="15" t="s">
        <v>138</v>
      </c>
      <c r="BT1900" s="15" t="s">
        <v>138</v>
      </c>
      <c r="BU1900" s="15" t="s">
        <v>174</v>
      </c>
      <c r="BV1900" s="15" t="s">
        <v>138</v>
      </c>
      <c r="BW1900" s="15" t="s">
        <v>138</v>
      </c>
      <c r="BX1900" s="15" t="s">
        <v>138</v>
      </c>
      <c r="BY1900" s="15" t="s">
        <v>175</v>
      </c>
      <c r="BZ1900" s="22">
        <v>43151</v>
      </c>
      <c r="CA1900" s="17">
        <v>4.5</v>
      </c>
      <c r="CB1900" s="15" t="s">
        <v>172</v>
      </c>
      <c r="CC1900" s="17">
        <v>30</v>
      </c>
      <c r="CD1900" s="15" t="s">
        <v>172</v>
      </c>
      <c r="CE1900" s="15" t="s">
        <v>205</v>
      </c>
      <c r="CF1900" s="15" t="s">
        <v>138</v>
      </c>
      <c r="CG1900" s="15" t="s">
        <v>138</v>
      </c>
      <c r="CH1900" s="15" t="s">
        <v>174</v>
      </c>
      <c r="CI1900" s="15" t="s">
        <v>138</v>
      </c>
      <c r="CJ1900" s="15" t="s">
        <v>138</v>
      </c>
      <c r="CK1900" s="15" t="s">
        <v>138</v>
      </c>
      <c r="CL1900" s="15" t="s">
        <v>175</v>
      </c>
      <c r="CM1900" s="22" t="s">
        <v>138</v>
      </c>
      <c r="CN1900" s="17" t="s">
        <v>138</v>
      </c>
      <c r="CO1900" s="23">
        <v>0.36</v>
      </c>
      <c r="CP1900" s="24">
        <v>94</v>
      </c>
      <c r="CQ1900" s="23">
        <v>-0.04</v>
      </c>
      <c r="CR1900" s="23">
        <v>-9.1300000000000008</v>
      </c>
      <c r="CS1900" s="23">
        <v>0.55000000000000004</v>
      </c>
      <c r="CT1900" s="24">
        <v>96</v>
      </c>
      <c r="CU1900" s="23">
        <v>0.16</v>
      </c>
      <c r="CV1900" s="24">
        <v>76</v>
      </c>
      <c r="CW1900" s="23">
        <v>0</v>
      </c>
      <c r="CX1900" s="24">
        <v>13</v>
      </c>
      <c r="CY1900" s="23">
        <v>1.1000000000000001</v>
      </c>
      <c r="CZ1900" s="24">
        <v>99</v>
      </c>
      <c r="DA1900" s="23">
        <v>0.44</v>
      </c>
      <c r="DB1900" s="24">
        <v>93</v>
      </c>
      <c r="DC1900" s="25">
        <v>4.9000000000000004</v>
      </c>
      <c r="DD1900" s="24">
        <v>82</v>
      </c>
      <c r="DE1900" s="25">
        <v>-0.04</v>
      </c>
      <c r="DF1900" s="23">
        <v>-0.91</v>
      </c>
      <c r="DG1900" s="25">
        <v>9.1</v>
      </c>
      <c r="DH1900" s="24">
        <v>89</v>
      </c>
      <c r="DI1900" s="25">
        <v>0.69</v>
      </c>
      <c r="DJ1900" s="24">
        <v>42</v>
      </c>
      <c r="DK1900" s="25">
        <v>1.2</v>
      </c>
      <c r="DL1900" s="24">
        <v>54</v>
      </c>
      <c r="DM1900" s="25">
        <v>17</v>
      </c>
      <c r="DN1900" s="24">
        <v>93</v>
      </c>
      <c r="DO1900" s="25">
        <v>1.1499999999999999</v>
      </c>
      <c r="DP1900" s="24">
        <v>53</v>
      </c>
      <c r="DQ1900" s="24">
        <v>406</v>
      </c>
      <c r="DR1900" s="26">
        <v>18</v>
      </c>
      <c r="DS1900" s="23">
        <v>4.6399999999999997</v>
      </c>
      <c r="DT1900" s="24">
        <v>493</v>
      </c>
      <c r="DU1900" s="26">
        <v>1</v>
      </c>
      <c r="DV1900" s="23">
        <v>0.2</v>
      </c>
      <c r="DW1900" s="24">
        <v>409</v>
      </c>
      <c r="DX1900" s="27">
        <v>0</v>
      </c>
      <c r="DY1900" s="23">
        <v>0</v>
      </c>
      <c r="DZ1900" s="15" t="s">
        <v>178</v>
      </c>
      <c r="EA1900" s="22">
        <v>43351</v>
      </c>
      <c r="EB1900" s="17">
        <v>30</v>
      </c>
      <c r="EC1900" s="22">
        <v>43151</v>
      </c>
      <c r="ED1900" s="15" t="s">
        <v>205</v>
      </c>
      <c r="EE1900" s="14" t="str">
        <f>HYPERLINK("https://my.pitchbook.com?c=184278-34", "View company online")</f>
        <v>View company online</v>
      </c>
    </row>
    <row r="1901" spans="1:135">
      <c r="A1901" s="28" t="s">
        <v>35997</v>
      </c>
      <c r="B1901" s="28" t="s">
        <v>35998</v>
      </c>
      <c r="C1901" s="28" t="s">
        <v>138</v>
      </c>
      <c r="D1901" s="28" t="s">
        <v>35999</v>
      </c>
      <c r="E1901" s="28" t="s">
        <v>36000</v>
      </c>
      <c r="F1901" s="28" t="s">
        <v>35997</v>
      </c>
      <c r="G1901" s="28" t="s">
        <v>36001</v>
      </c>
      <c r="H1901" s="28" t="s">
        <v>322</v>
      </c>
      <c r="I1901" s="28" t="s">
        <v>323</v>
      </c>
      <c r="J1901" s="28" t="s">
        <v>954</v>
      </c>
      <c r="K1901" s="28" t="s">
        <v>1562</v>
      </c>
      <c r="L1901" s="28" t="s">
        <v>242</v>
      </c>
      <c r="M1901" s="28" t="s">
        <v>36002</v>
      </c>
      <c r="N1901" s="28" t="s">
        <v>147</v>
      </c>
      <c r="O1901" s="29">
        <v>72.930000000000007</v>
      </c>
      <c r="P1901" s="28" t="s">
        <v>148</v>
      </c>
      <c r="Q1901" s="28" t="s">
        <v>149</v>
      </c>
      <c r="R1901" s="28" t="s">
        <v>174</v>
      </c>
      <c r="S1901" s="28" t="s">
        <v>36003</v>
      </c>
      <c r="T1901" s="30">
        <v>9</v>
      </c>
      <c r="U1901" s="28" t="s">
        <v>36004</v>
      </c>
      <c r="V1901" s="28" t="s">
        <v>138</v>
      </c>
      <c r="W1901" s="28" t="s">
        <v>138</v>
      </c>
      <c r="X1901" s="31">
        <v>2013</v>
      </c>
      <c r="Y1901" s="28" t="s">
        <v>138</v>
      </c>
      <c r="Z1901" s="28" t="s">
        <v>138</v>
      </c>
      <c r="AA1901" s="28" t="s">
        <v>138</v>
      </c>
      <c r="AB1901" s="32" t="s">
        <v>138</v>
      </c>
      <c r="AC1901" s="32" t="s">
        <v>138</v>
      </c>
      <c r="AD1901" s="32" t="s">
        <v>138</v>
      </c>
      <c r="AE1901" s="32" t="s">
        <v>138</v>
      </c>
      <c r="AF1901" s="32" t="s">
        <v>138</v>
      </c>
      <c r="AG1901" s="28" t="s">
        <v>138</v>
      </c>
      <c r="AH1901" s="32" t="s">
        <v>138</v>
      </c>
      <c r="AI1901" s="32" t="s">
        <v>138</v>
      </c>
      <c r="AJ1901" s="32" t="s">
        <v>138</v>
      </c>
      <c r="AK1901" s="28" t="s">
        <v>36005</v>
      </c>
      <c r="AL1901" s="28" t="s">
        <v>36006</v>
      </c>
      <c r="AM1901" s="28" t="s">
        <v>36007</v>
      </c>
      <c r="AN1901" s="28" t="s">
        <v>36008</v>
      </c>
      <c r="AO1901" s="28" t="s">
        <v>138</v>
      </c>
      <c r="AP1901" s="28" t="s">
        <v>423</v>
      </c>
      <c r="AQ1901" s="28" t="s">
        <v>36009</v>
      </c>
      <c r="AR1901" s="28" t="s">
        <v>10873</v>
      </c>
      <c r="AS1901" s="28" t="s">
        <v>426</v>
      </c>
      <c r="AT1901" s="28" t="s">
        <v>426</v>
      </c>
      <c r="AU1901" s="28" t="s">
        <v>549</v>
      </c>
      <c r="AV1901" s="28" t="s">
        <v>162</v>
      </c>
      <c r="AW1901" s="28" t="s">
        <v>138</v>
      </c>
      <c r="AX1901" s="28" t="s">
        <v>138</v>
      </c>
      <c r="AY1901" s="28" t="s">
        <v>138</v>
      </c>
      <c r="AZ1901" s="28" t="s">
        <v>164</v>
      </c>
      <c r="BA1901" s="28" t="s">
        <v>165</v>
      </c>
      <c r="BB1901" s="28" t="s">
        <v>36010</v>
      </c>
      <c r="BC1901" s="28" t="s">
        <v>36011</v>
      </c>
      <c r="BD1901" s="33">
        <v>28</v>
      </c>
      <c r="BE1901" s="28" t="s">
        <v>138</v>
      </c>
      <c r="BF1901" s="28" t="s">
        <v>138</v>
      </c>
      <c r="BG1901" s="28" t="s">
        <v>138</v>
      </c>
      <c r="BH1901" s="28" t="s">
        <v>36012</v>
      </c>
      <c r="BI1901" s="28" t="s">
        <v>138</v>
      </c>
      <c r="BJ1901" s="28" t="s">
        <v>138</v>
      </c>
      <c r="BK1901" s="28" t="s">
        <v>1251</v>
      </c>
      <c r="BL1901" s="28" t="s">
        <v>1251</v>
      </c>
      <c r="BM1901" s="34">
        <v>41662</v>
      </c>
      <c r="BN1901" s="29">
        <v>0.5</v>
      </c>
      <c r="BO1901" s="28" t="s">
        <v>172</v>
      </c>
      <c r="BP1901" s="29">
        <v>3.5</v>
      </c>
      <c r="BQ1901" s="28" t="s">
        <v>172</v>
      </c>
      <c r="BR1901" s="28" t="s">
        <v>234</v>
      </c>
      <c r="BS1901" s="28" t="s">
        <v>234</v>
      </c>
      <c r="BT1901" s="28" t="s">
        <v>138</v>
      </c>
      <c r="BU1901" s="28" t="s">
        <v>174</v>
      </c>
      <c r="BV1901" s="28" t="s">
        <v>138</v>
      </c>
      <c r="BW1901" s="28" t="s">
        <v>138</v>
      </c>
      <c r="BX1901" s="28" t="s">
        <v>138</v>
      </c>
      <c r="BY1901" s="28" t="s">
        <v>175</v>
      </c>
      <c r="BZ1901" s="34">
        <v>43191</v>
      </c>
      <c r="CA1901" s="29">
        <v>44.93</v>
      </c>
      <c r="CB1901" s="28" t="s">
        <v>172</v>
      </c>
      <c r="CC1901" s="29">
        <v>144.93</v>
      </c>
      <c r="CD1901" s="28" t="s">
        <v>172</v>
      </c>
      <c r="CE1901" s="28" t="s">
        <v>173</v>
      </c>
      <c r="CF1901" s="28" t="s">
        <v>317</v>
      </c>
      <c r="CG1901" s="28" t="s">
        <v>138</v>
      </c>
      <c r="CH1901" s="28" t="s">
        <v>174</v>
      </c>
      <c r="CI1901" s="28" t="s">
        <v>138</v>
      </c>
      <c r="CJ1901" s="28" t="s">
        <v>138</v>
      </c>
      <c r="CK1901" s="28" t="s">
        <v>138</v>
      </c>
      <c r="CL1901" s="28" t="s">
        <v>175</v>
      </c>
      <c r="CM1901" s="34" t="s">
        <v>138</v>
      </c>
      <c r="CN1901" s="29" t="s">
        <v>138</v>
      </c>
      <c r="CO1901" s="35">
        <v>0.17</v>
      </c>
      <c r="CP1901" s="36">
        <v>92</v>
      </c>
      <c r="CQ1901" s="35">
        <v>-0.01</v>
      </c>
      <c r="CR1901" s="35">
        <v>-5.46</v>
      </c>
      <c r="CS1901" s="35">
        <v>-0.57999999999999996</v>
      </c>
      <c r="CT1901" s="36">
        <v>19</v>
      </c>
      <c r="CU1901" s="35">
        <v>0.03</v>
      </c>
      <c r="CV1901" s="36">
        <v>54</v>
      </c>
      <c r="CW1901" s="35">
        <v>0.49</v>
      </c>
      <c r="CX1901" s="36">
        <v>82</v>
      </c>
      <c r="CY1901" s="35">
        <v>-1.66</v>
      </c>
      <c r="CZ1901" s="36">
        <v>14</v>
      </c>
      <c r="DA1901" s="35">
        <v>0.13</v>
      </c>
      <c r="DB1901" s="36">
        <v>76</v>
      </c>
      <c r="DC1901" s="37">
        <v>1516.46</v>
      </c>
      <c r="DD1901" s="36">
        <v>100</v>
      </c>
      <c r="DE1901" s="37">
        <v>-63.82</v>
      </c>
      <c r="DF1901" s="35">
        <v>-4.04</v>
      </c>
      <c r="DG1901" s="37">
        <v>2324.88</v>
      </c>
      <c r="DH1901" s="36">
        <v>100</v>
      </c>
      <c r="DI1901" s="37">
        <v>176.39</v>
      </c>
      <c r="DJ1901" s="36">
        <v>98</v>
      </c>
      <c r="DK1901" s="37">
        <v>4627.2700000000004</v>
      </c>
      <c r="DL1901" s="36">
        <v>100</v>
      </c>
      <c r="DM1901" s="37">
        <v>22.48</v>
      </c>
      <c r="DN1901" s="36">
        <v>95</v>
      </c>
      <c r="DO1901" s="37">
        <v>53.75</v>
      </c>
      <c r="DP1901" s="36">
        <v>97</v>
      </c>
      <c r="DQ1901" s="36">
        <v>1586899</v>
      </c>
      <c r="DR1901" s="38">
        <v>768</v>
      </c>
      <c r="DS1901" s="35">
        <v>0.05</v>
      </c>
      <c r="DT1901" s="36">
        <v>650</v>
      </c>
      <c r="DU1901" s="38">
        <v>1</v>
      </c>
      <c r="DV1901" s="35">
        <v>0.15</v>
      </c>
      <c r="DW1901" s="36">
        <v>19237</v>
      </c>
      <c r="DX1901" s="39">
        <v>24</v>
      </c>
      <c r="DY1901" s="35">
        <v>0.12</v>
      </c>
      <c r="DZ1901" s="28" t="s">
        <v>178</v>
      </c>
      <c r="EA1901" s="34">
        <v>43351</v>
      </c>
      <c r="EB1901" s="29">
        <v>144.93</v>
      </c>
      <c r="EC1901" s="34">
        <v>43191</v>
      </c>
      <c r="ED1901" s="28" t="s">
        <v>173</v>
      </c>
      <c r="EE1901" s="40" t="str">
        <f>HYPERLINK("https://my.pitchbook.com?c=62658-55", "View company online")</f>
        <v>View company online</v>
      </c>
    </row>
    <row r="1902" spans="1:135">
      <c r="A1902" s="15" t="s">
        <v>36013</v>
      </c>
      <c r="B1902" s="15" t="s">
        <v>36014</v>
      </c>
      <c r="C1902" s="15" t="s">
        <v>138</v>
      </c>
      <c r="D1902" s="15" t="s">
        <v>138</v>
      </c>
      <c r="E1902" s="15" t="s">
        <v>138</v>
      </c>
      <c r="F1902" s="15" t="s">
        <v>36013</v>
      </c>
      <c r="G1902" s="15" t="s">
        <v>36015</v>
      </c>
      <c r="H1902" s="15" t="s">
        <v>141</v>
      </c>
      <c r="I1902" s="15" t="s">
        <v>212</v>
      </c>
      <c r="J1902" s="15" t="s">
        <v>1257</v>
      </c>
      <c r="K1902" s="15" t="s">
        <v>36016</v>
      </c>
      <c r="L1902" s="15" t="s">
        <v>19165</v>
      </c>
      <c r="M1902" s="15" t="s">
        <v>36017</v>
      </c>
      <c r="N1902" s="15" t="s">
        <v>147</v>
      </c>
      <c r="O1902" s="17" t="s">
        <v>138</v>
      </c>
      <c r="P1902" s="15" t="s">
        <v>610</v>
      </c>
      <c r="Q1902" s="15" t="s">
        <v>149</v>
      </c>
      <c r="R1902" s="15" t="s">
        <v>174</v>
      </c>
      <c r="S1902" s="15" t="s">
        <v>36018</v>
      </c>
      <c r="T1902" s="18" t="s">
        <v>138</v>
      </c>
      <c r="U1902" s="15" t="s">
        <v>138</v>
      </c>
      <c r="V1902" s="15" t="s">
        <v>138</v>
      </c>
      <c r="W1902" s="15" t="s">
        <v>138</v>
      </c>
      <c r="X1902" s="19">
        <v>2017</v>
      </c>
      <c r="Y1902" s="15" t="s">
        <v>138</v>
      </c>
      <c r="Z1902" s="15" t="s">
        <v>138</v>
      </c>
      <c r="AA1902" s="15" t="s">
        <v>138</v>
      </c>
      <c r="AB1902" s="20" t="s">
        <v>138</v>
      </c>
      <c r="AC1902" s="20" t="s">
        <v>138</v>
      </c>
      <c r="AD1902" s="20" t="s">
        <v>138</v>
      </c>
      <c r="AE1902" s="20" t="s">
        <v>138</v>
      </c>
      <c r="AF1902" s="20" t="s">
        <v>138</v>
      </c>
      <c r="AG1902" s="15" t="s">
        <v>138</v>
      </c>
      <c r="AH1902" s="20" t="s">
        <v>138</v>
      </c>
      <c r="AI1902" s="20" t="s">
        <v>138</v>
      </c>
      <c r="AJ1902" s="20" t="s">
        <v>138</v>
      </c>
      <c r="AK1902" s="15" t="s">
        <v>36019</v>
      </c>
      <c r="AL1902" s="15" t="s">
        <v>36020</v>
      </c>
      <c r="AM1902" s="15" t="s">
        <v>566</v>
      </c>
      <c r="AN1902" s="15" t="s">
        <v>36021</v>
      </c>
      <c r="AO1902" s="15" t="s">
        <v>36022</v>
      </c>
      <c r="AP1902" s="15" t="s">
        <v>36023</v>
      </c>
      <c r="AQ1902" s="15" t="s">
        <v>36024</v>
      </c>
      <c r="AR1902" s="15" t="s">
        <v>138</v>
      </c>
      <c r="AS1902" s="15" t="s">
        <v>36025</v>
      </c>
      <c r="AT1902" s="15" t="s">
        <v>138</v>
      </c>
      <c r="AU1902" s="15" t="s">
        <v>36026</v>
      </c>
      <c r="AV1902" s="15" t="s">
        <v>4444</v>
      </c>
      <c r="AW1902" s="15" t="s">
        <v>138</v>
      </c>
      <c r="AX1902" s="15" t="s">
        <v>138</v>
      </c>
      <c r="AY1902" s="15" t="s">
        <v>36027</v>
      </c>
      <c r="AZ1902" s="15" t="s">
        <v>530</v>
      </c>
      <c r="BA1902" s="15" t="s">
        <v>577</v>
      </c>
      <c r="BB1902" s="15" t="s">
        <v>36028</v>
      </c>
      <c r="BC1902" s="15" t="s">
        <v>36029</v>
      </c>
      <c r="BD1902" s="21">
        <v>11</v>
      </c>
      <c r="BE1902" s="15" t="s">
        <v>138</v>
      </c>
      <c r="BF1902" s="15" t="s">
        <v>138</v>
      </c>
      <c r="BG1902" s="15" t="s">
        <v>138</v>
      </c>
      <c r="BH1902" s="15" t="s">
        <v>36030</v>
      </c>
      <c r="BI1902" s="15" t="s">
        <v>138</v>
      </c>
      <c r="BJ1902" s="15" t="s">
        <v>138</v>
      </c>
      <c r="BK1902" s="15" t="s">
        <v>138</v>
      </c>
      <c r="BL1902" s="15" t="s">
        <v>138</v>
      </c>
      <c r="BM1902" s="22">
        <v>43090</v>
      </c>
      <c r="BN1902" s="17" t="s">
        <v>138</v>
      </c>
      <c r="BO1902" s="15" t="s">
        <v>138</v>
      </c>
      <c r="BP1902" s="17" t="s">
        <v>138</v>
      </c>
      <c r="BQ1902" s="15" t="s">
        <v>138</v>
      </c>
      <c r="BR1902" s="15" t="s">
        <v>1465</v>
      </c>
      <c r="BS1902" s="15" t="s">
        <v>138</v>
      </c>
      <c r="BT1902" s="15" t="s">
        <v>138</v>
      </c>
      <c r="BU1902" s="15" t="s">
        <v>177</v>
      </c>
      <c r="BV1902" s="15" t="s">
        <v>138</v>
      </c>
      <c r="BW1902" s="15" t="s">
        <v>138</v>
      </c>
      <c r="BX1902" s="15" t="s">
        <v>138</v>
      </c>
      <c r="BY1902" s="15" t="s">
        <v>175</v>
      </c>
      <c r="BZ1902" s="22">
        <v>43090</v>
      </c>
      <c r="CA1902" s="17" t="s">
        <v>138</v>
      </c>
      <c r="CB1902" s="15" t="s">
        <v>138</v>
      </c>
      <c r="CC1902" s="17" t="s">
        <v>138</v>
      </c>
      <c r="CD1902" s="15" t="s">
        <v>138</v>
      </c>
      <c r="CE1902" s="15" t="s">
        <v>1465</v>
      </c>
      <c r="CF1902" s="15" t="s">
        <v>138</v>
      </c>
      <c r="CG1902" s="15" t="s">
        <v>138</v>
      </c>
      <c r="CH1902" s="15" t="s">
        <v>177</v>
      </c>
      <c r="CI1902" s="15" t="s">
        <v>138</v>
      </c>
      <c r="CJ1902" s="15" t="s">
        <v>138</v>
      </c>
      <c r="CK1902" s="15" t="s">
        <v>138</v>
      </c>
      <c r="CL1902" s="15" t="s">
        <v>175</v>
      </c>
      <c r="CM1902" s="22" t="s">
        <v>138</v>
      </c>
      <c r="CN1902" s="17" t="s">
        <v>138</v>
      </c>
      <c r="CO1902" s="23">
        <v>0</v>
      </c>
      <c r="CP1902" s="24">
        <v>26</v>
      </c>
      <c r="CQ1902" s="23">
        <v>0</v>
      </c>
      <c r="CR1902" s="23">
        <v>0</v>
      </c>
      <c r="CS1902" s="23">
        <v>0</v>
      </c>
      <c r="CT1902" s="24">
        <v>23</v>
      </c>
      <c r="CU1902" s="23" t="s">
        <v>138</v>
      </c>
      <c r="CV1902" s="24" t="s">
        <v>138</v>
      </c>
      <c r="CW1902" s="23" t="s">
        <v>138</v>
      </c>
      <c r="CX1902" s="24" t="s">
        <v>138</v>
      </c>
      <c r="CY1902" s="23">
        <v>0</v>
      </c>
      <c r="CZ1902" s="24">
        <v>25</v>
      </c>
      <c r="DA1902" s="23" t="s">
        <v>138</v>
      </c>
      <c r="DB1902" s="24" t="s">
        <v>138</v>
      </c>
      <c r="DC1902" s="25">
        <v>0.1</v>
      </c>
      <c r="DD1902" s="24">
        <v>7</v>
      </c>
      <c r="DE1902" s="25">
        <v>0</v>
      </c>
      <c r="DF1902" s="23">
        <v>0</v>
      </c>
      <c r="DG1902" s="25">
        <v>0.1</v>
      </c>
      <c r="DH1902" s="24">
        <v>7</v>
      </c>
      <c r="DI1902" s="25" t="s">
        <v>138</v>
      </c>
      <c r="DJ1902" s="24" t="s">
        <v>138</v>
      </c>
      <c r="DK1902" s="25" t="s">
        <v>138</v>
      </c>
      <c r="DL1902" s="24" t="s">
        <v>138</v>
      </c>
      <c r="DM1902" s="25">
        <v>0.1</v>
      </c>
      <c r="DN1902" s="24">
        <v>8</v>
      </c>
      <c r="DO1902" s="25" t="s">
        <v>138</v>
      </c>
      <c r="DP1902" s="24" t="s">
        <v>138</v>
      </c>
      <c r="DQ1902" s="24" t="s">
        <v>138</v>
      </c>
      <c r="DR1902" s="26" t="s">
        <v>138</v>
      </c>
      <c r="DS1902" s="23" t="s">
        <v>138</v>
      </c>
      <c r="DT1902" s="24">
        <v>3</v>
      </c>
      <c r="DU1902" s="26">
        <v>0</v>
      </c>
      <c r="DV1902" s="23">
        <v>0</v>
      </c>
      <c r="DW1902" s="24" t="s">
        <v>138</v>
      </c>
      <c r="DX1902" s="27" t="s">
        <v>138</v>
      </c>
      <c r="DY1902" s="23" t="s">
        <v>138</v>
      </c>
      <c r="DZ1902" s="15" t="s">
        <v>178</v>
      </c>
      <c r="EA1902" s="22">
        <v>43448</v>
      </c>
      <c r="EB1902" s="17" t="s">
        <v>138</v>
      </c>
      <c r="EC1902" s="22" t="s">
        <v>138</v>
      </c>
      <c r="ED1902" s="15" t="s">
        <v>138</v>
      </c>
      <c r="EE1902" s="14" t="str">
        <f>HYPERLINK("https://my.pitchbook.com?c=228436-30", "View company online")</f>
        <v>View company online</v>
      </c>
    </row>
    <row r="1903" spans="1:135">
      <c r="A1903" s="28" t="s">
        <v>36031</v>
      </c>
      <c r="B1903" s="28" t="s">
        <v>36032</v>
      </c>
      <c r="C1903" s="28" t="s">
        <v>138</v>
      </c>
      <c r="D1903" s="28" t="s">
        <v>138</v>
      </c>
      <c r="E1903" s="28" t="s">
        <v>36033</v>
      </c>
      <c r="F1903" s="28" t="s">
        <v>36031</v>
      </c>
      <c r="G1903" s="28" t="s">
        <v>36034</v>
      </c>
      <c r="H1903" s="28" t="s">
        <v>238</v>
      </c>
      <c r="I1903" s="28" t="s">
        <v>2662</v>
      </c>
      <c r="J1903" s="28" t="s">
        <v>4479</v>
      </c>
      <c r="K1903" s="28" t="s">
        <v>36035</v>
      </c>
      <c r="L1903" s="28" t="s">
        <v>4703</v>
      </c>
      <c r="M1903" s="28" t="s">
        <v>36036</v>
      </c>
      <c r="N1903" s="28" t="s">
        <v>147</v>
      </c>
      <c r="O1903" s="29">
        <v>28.33</v>
      </c>
      <c r="P1903" s="28" t="s">
        <v>148</v>
      </c>
      <c r="Q1903" s="28" t="s">
        <v>149</v>
      </c>
      <c r="R1903" s="28" t="s">
        <v>174</v>
      </c>
      <c r="S1903" s="28" t="s">
        <v>36037</v>
      </c>
      <c r="T1903" s="30">
        <v>35</v>
      </c>
      <c r="U1903" s="28" t="s">
        <v>36038</v>
      </c>
      <c r="V1903" s="28" t="s">
        <v>138</v>
      </c>
      <c r="W1903" s="28" t="s">
        <v>138</v>
      </c>
      <c r="X1903" s="31">
        <v>2011</v>
      </c>
      <c r="Y1903" s="28" t="s">
        <v>138</v>
      </c>
      <c r="Z1903" s="28" t="s">
        <v>138</v>
      </c>
      <c r="AA1903" s="28" t="s">
        <v>138</v>
      </c>
      <c r="AB1903" s="32" t="s">
        <v>138</v>
      </c>
      <c r="AC1903" s="32" t="s">
        <v>138</v>
      </c>
      <c r="AD1903" s="32" t="s">
        <v>138</v>
      </c>
      <c r="AE1903" s="32" t="s">
        <v>138</v>
      </c>
      <c r="AF1903" s="32" t="s">
        <v>138</v>
      </c>
      <c r="AG1903" s="28" t="s">
        <v>138</v>
      </c>
      <c r="AH1903" s="32" t="s">
        <v>138</v>
      </c>
      <c r="AI1903" s="32" t="s">
        <v>138</v>
      </c>
      <c r="AJ1903" s="32" t="s">
        <v>138</v>
      </c>
      <c r="AK1903" s="28" t="s">
        <v>36039</v>
      </c>
      <c r="AL1903" s="28" t="s">
        <v>36040</v>
      </c>
      <c r="AM1903" s="28" t="s">
        <v>304</v>
      </c>
      <c r="AN1903" s="28" t="s">
        <v>36041</v>
      </c>
      <c r="AO1903" s="28" t="s">
        <v>36042</v>
      </c>
      <c r="AP1903" s="28" t="s">
        <v>665</v>
      </c>
      <c r="AQ1903" s="28" t="s">
        <v>36043</v>
      </c>
      <c r="AR1903" s="28" t="s">
        <v>138</v>
      </c>
      <c r="AS1903" s="28" t="s">
        <v>668</v>
      </c>
      <c r="AT1903" s="28" t="s">
        <v>200</v>
      </c>
      <c r="AU1903" s="28" t="s">
        <v>669</v>
      </c>
      <c r="AV1903" s="28" t="s">
        <v>162</v>
      </c>
      <c r="AW1903" s="28" t="s">
        <v>36042</v>
      </c>
      <c r="AX1903" s="28" t="s">
        <v>138</v>
      </c>
      <c r="AY1903" s="28" t="s">
        <v>138</v>
      </c>
      <c r="AZ1903" s="28" t="s">
        <v>164</v>
      </c>
      <c r="BA1903" s="28" t="s">
        <v>165</v>
      </c>
      <c r="BB1903" s="28" t="s">
        <v>36044</v>
      </c>
      <c r="BC1903" s="28" t="s">
        <v>36045</v>
      </c>
      <c r="BD1903" s="33">
        <v>2</v>
      </c>
      <c r="BE1903" s="28" t="s">
        <v>138</v>
      </c>
      <c r="BF1903" s="28" t="s">
        <v>138</v>
      </c>
      <c r="BG1903" s="28" t="s">
        <v>138</v>
      </c>
      <c r="BH1903" s="28" t="s">
        <v>36046</v>
      </c>
      <c r="BI1903" s="28" t="s">
        <v>138</v>
      </c>
      <c r="BJ1903" s="28" t="s">
        <v>138</v>
      </c>
      <c r="BK1903" s="28" t="s">
        <v>36047</v>
      </c>
      <c r="BL1903" s="28" t="s">
        <v>204</v>
      </c>
      <c r="BM1903" s="34">
        <v>40941</v>
      </c>
      <c r="BN1903" s="29">
        <v>5</v>
      </c>
      <c r="BO1903" s="28" t="s">
        <v>1178</v>
      </c>
      <c r="BP1903" s="29" t="s">
        <v>138</v>
      </c>
      <c r="BQ1903" s="28" t="s">
        <v>138</v>
      </c>
      <c r="BR1903" s="28" t="s">
        <v>262</v>
      </c>
      <c r="BS1903" s="28" t="s">
        <v>262</v>
      </c>
      <c r="BT1903" s="28" t="s">
        <v>138</v>
      </c>
      <c r="BU1903" s="28" t="s">
        <v>263</v>
      </c>
      <c r="BV1903" s="28" t="s">
        <v>138</v>
      </c>
      <c r="BW1903" s="28" t="s">
        <v>138</v>
      </c>
      <c r="BX1903" s="28" t="s">
        <v>138</v>
      </c>
      <c r="BY1903" s="28" t="s">
        <v>175</v>
      </c>
      <c r="BZ1903" s="34">
        <v>43461</v>
      </c>
      <c r="CA1903" s="29">
        <v>9.34</v>
      </c>
      <c r="CB1903" s="28" t="s">
        <v>172</v>
      </c>
      <c r="CC1903" s="29">
        <v>38.340000000000003</v>
      </c>
      <c r="CD1903" s="28" t="s">
        <v>172</v>
      </c>
      <c r="CE1903" s="28" t="s">
        <v>173</v>
      </c>
      <c r="CF1903" s="28" t="s">
        <v>720</v>
      </c>
      <c r="CG1903" s="28" t="s">
        <v>138</v>
      </c>
      <c r="CH1903" s="28" t="s">
        <v>174</v>
      </c>
      <c r="CI1903" s="28" t="s">
        <v>138</v>
      </c>
      <c r="CJ1903" s="28" t="s">
        <v>138</v>
      </c>
      <c r="CK1903" s="28" t="s">
        <v>138</v>
      </c>
      <c r="CL1903" s="28" t="s">
        <v>175</v>
      </c>
      <c r="CM1903" s="34" t="s">
        <v>138</v>
      </c>
      <c r="CN1903" s="29" t="s">
        <v>138</v>
      </c>
      <c r="CO1903" s="35">
        <v>-1.78</v>
      </c>
      <c r="CP1903" s="36">
        <v>6</v>
      </c>
      <c r="CQ1903" s="35">
        <v>-0.01</v>
      </c>
      <c r="CR1903" s="35">
        <v>-0.35</v>
      </c>
      <c r="CS1903" s="35">
        <v>-3.57</v>
      </c>
      <c r="CT1903" s="36">
        <v>4</v>
      </c>
      <c r="CU1903" s="35">
        <v>0</v>
      </c>
      <c r="CV1903" s="36">
        <v>22</v>
      </c>
      <c r="CW1903" s="35">
        <v>-5.95</v>
      </c>
      <c r="CX1903" s="36">
        <v>2</v>
      </c>
      <c r="CY1903" s="35">
        <v>-1.18</v>
      </c>
      <c r="CZ1903" s="36">
        <v>17</v>
      </c>
      <c r="DA1903" s="35">
        <v>-0.05</v>
      </c>
      <c r="DB1903" s="36">
        <v>13</v>
      </c>
      <c r="DC1903" s="37">
        <v>126.92</v>
      </c>
      <c r="DD1903" s="36">
        <v>99</v>
      </c>
      <c r="DE1903" s="37">
        <v>-9.4499999999999993</v>
      </c>
      <c r="DF1903" s="35">
        <v>-6.93</v>
      </c>
      <c r="DG1903" s="37">
        <v>166.75</v>
      </c>
      <c r="DH1903" s="36">
        <v>100</v>
      </c>
      <c r="DI1903" s="37">
        <v>87.08</v>
      </c>
      <c r="DJ1903" s="36">
        <v>97</v>
      </c>
      <c r="DK1903" s="37">
        <v>294.85000000000002</v>
      </c>
      <c r="DL1903" s="36">
        <v>99</v>
      </c>
      <c r="DM1903" s="37">
        <v>38.659999999999997</v>
      </c>
      <c r="DN1903" s="36">
        <v>97</v>
      </c>
      <c r="DO1903" s="37">
        <v>35.47</v>
      </c>
      <c r="DP1903" s="36">
        <v>95</v>
      </c>
      <c r="DQ1903" s="36">
        <v>104929</v>
      </c>
      <c r="DR1903" s="38">
        <v>-11392</v>
      </c>
      <c r="DS1903" s="35">
        <v>-9.7899999999999991</v>
      </c>
      <c r="DT1903" s="36">
        <v>1121</v>
      </c>
      <c r="DU1903" s="38">
        <v>0</v>
      </c>
      <c r="DV1903" s="35">
        <v>0</v>
      </c>
      <c r="DW1903" s="36">
        <v>12703</v>
      </c>
      <c r="DX1903" s="39">
        <v>-4</v>
      </c>
      <c r="DY1903" s="35">
        <v>-0.03</v>
      </c>
      <c r="DZ1903" s="28" t="s">
        <v>178</v>
      </c>
      <c r="EA1903" s="34">
        <v>43598</v>
      </c>
      <c r="EB1903" s="29">
        <v>38.340000000000003</v>
      </c>
      <c r="EC1903" s="34">
        <v>43461</v>
      </c>
      <c r="ED1903" s="28" t="s">
        <v>173</v>
      </c>
      <c r="EE1903" s="40" t="str">
        <f>HYPERLINK("https://my.pitchbook.com?c=53772-40", "View company online")</f>
        <v>View company online</v>
      </c>
    </row>
    <row r="1904" spans="1:135">
      <c r="A1904" s="15" t="s">
        <v>36048</v>
      </c>
      <c r="B1904" s="15" t="s">
        <v>36049</v>
      </c>
      <c r="C1904" s="15" t="s">
        <v>36050</v>
      </c>
      <c r="D1904" s="15" t="s">
        <v>138</v>
      </c>
      <c r="E1904" s="15" t="s">
        <v>36051</v>
      </c>
      <c r="F1904" s="15" t="s">
        <v>36048</v>
      </c>
      <c r="G1904" s="15" t="s">
        <v>36052</v>
      </c>
      <c r="H1904" s="15" t="s">
        <v>385</v>
      </c>
      <c r="I1904" s="15" t="s">
        <v>1991</v>
      </c>
      <c r="J1904" s="15" t="s">
        <v>1992</v>
      </c>
      <c r="K1904" s="15" t="s">
        <v>8827</v>
      </c>
      <c r="L1904" s="15" t="s">
        <v>1994</v>
      </c>
      <c r="M1904" s="15" t="s">
        <v>36053</v>
      </c>
      <c r="N1904" s="15" t="s">
        <v>147</v>
      </c>
      <c r="O1904" s="17">
        <v>71.290000000000006</v>
      </c>
      <c r="P1904" s="15" t="s">
        <v>148</v>
      </c>
      <c r="Q1904" s="15" t="s">
        <v>149</v>
      </c>
      <c r="R1904" s="15" t="s">
        <v>244</v>
      </c>
      <c r="S1904" s="15" t="s">
        <v>36054</v>
      </c>
      <c r="T1904" s="18">
        <v>40</v>
      </c>
      <c r="U1904" s="15" t="s">
        <v>36055</v>
      </c>
      <c r="V1904" s="15" t="s">
        <v>138</v>
      </c>
      <c r="W1904" s="15" t="s">
        <v>138</v>
      </c>
      <c r="X1904" s="19">
        <v>2010</v>
      </c>
      <c r="Y1904" s="15" t="s">
        <v>138</v>
      </c>
      <c r="Z1904" s="15" t="s">
        <v>138</v>
      </c>
      <c r="AA1904" s="15" t="s">
        <v>138</v>
      </c>
      <c r="AB1904" s="20">
        <v>0.08</v>
      </c>
      <c r="AC1904" s="20" t="s">
        <v>138</v>
      </c>
      <c r="AD1904" s="20" t="s">
        <v>138</v>
      </c>
      <c r="AE1904" s="20" t="s">
        <v>138</v>
      </c>
      <c r="AF1904" s="20" t="s">
        <v>138</v>
      </c>
      <c r="AG1904" s="15" t="s">
        <v>2214</v>
      </c>
      <c r="AH1904" s="20" t="s">
        <v>138</v>
      </c>
      <c r="AI1904" s="20" t="s">
        <v>138</v>
      </c>
      <c r="AJ1904" s="20" t="s">
        <v>138</v>
      </c>
      <c r="AK1904" s="15" t="s">
        <v>36056</v>
      </c>
      <c r="AL1904" s="15" t="s">
        <v>36057</v>
      </c>
      <c r="AM1904" s="15" t="s">
        <v>4767</v>
      </c>
      <c r="AN1904" s="15" t="s">
        <v>138</v>
      </c>
      <c r="AO1904" s="15" t="s">
        <v>36058</v>
      </c>
      <c r="AP1904" s="15" t="s">
        <v>36059</v>
      </c>
      <c r="AQ1904" s="15" t="s">
        <v>36060</v>
      </c>
      <c r="AR1904" s="15" t="s">
        <v>36061</v>
      </c>
      <c r="AS1904" s="15" t="s">
        <v>36062</v>
      </c>
      <c r="AT1904" s="15" t="s">
        <v>864</v>
      </c>
      <c r="AU1904" s="15" t="s">
        <v>36063</v>
      </c>
      <c r="AV1904" s="15" t="s">
        <v>162</v>
      </c>
      <c r="AW1904" s="15" t="s">
        <v>36058</v>
      </c>
      <c r="AX1904" s="15" t="s">
        <v>138</v>
      </c>
      <c r="AY1904" s="15" t="s">
        <v>36064</v>
      </c>
      <c r="AZ1904" s="15" t="s">
        <v>164</v>
      </c>
      <c r="BA1904" s="15" t="s">
        <v>165</v>
      </c>
      <c r="BB1904" s="15" t="s">
        <v>36065</v>
      </c>
      <c r="BC1904" s="15" t="s">
        <v>36066</v>
      </c>
      <c r="BD1904" s="21">
        <v>9</v>
      </c>
      <c r="BE1904" s="15" t="s">
        <v>138</v>
      </c>
      <c r="BF1904" s="15" t="s">
        <v>138</v>
      </c>
      <c r="BG1904" s="15" t="s">
        <v>138</v>
      </c>
      <c r="BH1904" s="15" t="s">
        <v>36067</v>
      </c>
      <c r="BI1904" s="15" t="s">
        <v>138</v>
      </c>
      <c r="BJ1904" s="15" t="s">
        <v>138</v>
      </c>
      <c r="BK1904" s="15" t="s">
        <v>36068</v>
      </c>
      <c r="BL1904" s="15" t="s">
        <v>36069</v>
      </c>
      <c r="BM1904" s="22">
        <v>40422</v>
      </c>
      <c r="BN1904" s="17">
        <v>4</v>
      </c>
      <c r="BO1904" s="15" t="s">
        <v>172</v>
      </c>
      <c r="BP1904" s="17">
        <v>14</v>
      </c>
      <c r="BQ1904" s="15" t="s">
        <v>172</v>
      </c>
      <c r="BR1904" s="15" t="s">
        <v>205</v>
      </c>
      <c r="BS1904" s="15" t="s">
        <v>206</v>
      </c>
      <c r="BT1904" s="15" t="s">
        <v>138</v>
      </c>
      <c r="BU1904" s="15" t="s">
        <v>174</v>
      </c>
      <c r="BV1904" s="15" t="s">
        <v>138</v>
      </c>
      <c r="BW1904" s="15" t="s">
        <v>138</v>
      </c>
      <c r="BX1904" s="15" t="s">
        <v>138</v>
      </c>
      <c r="BY1904" s="15" t="s">
        <v>175</v>
      </c>
      <c r="BZ1904" s="22">
        <v>43462</v>
      </c>
      <c r="CA1904" s="17">
        <v>17.29</v>
      </c>
      <c r="CB1904" s="15" t="s">
        <v>172</v>
      </c>
      <c r="CC1904" s="17">
        <v>65.290000000000006</v>
      </c>
      <c r="CD1904" s="15" t="s">
        <v>172</v>
      </c>
      <c r="CE1904" s="15" t="s">
        <v>173</v>
      </c>
      <c r="CF1904" s="15" t="s">
        <v>433</v>
      </c>
      <c r="CG1904" s="15" t="s">
        <v>138</v>
      </c>
      <c r="CH1904" s="15" t="s">
        <v>174</v>
      </c>
      <c r="CI1904" s="15" t="s">
        <v>138</v>
      </c>
      <c r="CJ1904" s="15" t="s">
        <v>138</v>
      </c>
      <c r="CK1904" s="15" t="s">
        <v>138</v>
      </c>
      <c r="CL1904" s="15" t="s">
        <v>175</v>
      </c>
      <c r="CM1904" s="22">
        <v>42116</v>
      </c>
      <c r="CN1904" s="17" t="s">
        <v>138</v>
      </c>
      <c r="CO1904" s="23">
        <v>3.66</v>
      </c>
      <c r="CP1904" s="24">
        <v>100</v>
      </c>
      <c r="CQ1904" s="23">
        <v>-0.25</v>
      </c>
      <c r="CR1904" s="23">
        <v>-6.32</v>
      </c>
      <c r="CS1904" s="23">
        <v>6.98</v>
      </c>
      <c r="CT1904" s="24">
        <v>100</v>
      </c>
      <c r="CU1904" s="23">
        <v>0.33</v>
      </c>
      <c r="CV1904" s="24">
        <v>89</v>
      </c>
      <c r="CW1904" s="23">
        <v>16.55</v>
      </c>
      <c r="CX1904" s="24">
        <v>100</v>
      </c>
      <c r="CY1904" s="23">
        <v>-2.58</v>
      </c>
      <c r="CZ1904" s="24">
        <v>8</v>
      </c>
      <c r="DA1904" s="23">
        <v>0.33</v>
      </c>
      <c r="DB1904" s="24">
        <v>90</v>
      </c>
      <c r="DC1904" s="25">
        <v>11.59</v>
      </c>
      <c r="DD1904" s="24">
        <v>91</v>
      </c>
      <c r="DE1904" s="25">
        <v>0.54</v>
      </c>
      <c r="DF1904" s="23">
        <v>4.8499999999999996</v>
      </c>
      <c r="DG1904" s="25">
        <v>18.27</v>
      </c>
      <c r="DH1904" s="24">
        <v>94</v>
      </c>
      <c r="DI1904" s="25">
        <v>4.92</v>
      </c>
      <c r="DJ1904" s="24">
        <v>77</v>
      </c>
      <c r="DK1904" s="25">
        <v>19.48</v>
      </c>
      <c r="DL1904" s="24">
        <v>92</v>
      </c>
      <c r="DM1904" s="25">
        <v>17.07</v>
      </c>
      <c r="DN1904" s="24">
        <v>93</v>
      </c>
      <c r="DO1904" s="25">
        <v>4.92</v>
      </c>
      <c r="DP1904" s="24">
        <v>79</v>
      </c>
      <c r="DQ1904" s="24">
        <v>6938</v>
      </c>
      <c r="DR1904" s="26">
        <v>-775</v>
      </c>
      <c r="DS1904" s="23">
        <v>-10.050000000000001</v>
      </c>
      <c r="DT1904" s="24">
        <v>494</v>
      </c>
      <c r="DU1904" s="26">
        <v>1</v>
      </c>
      <c r="DV1904" s="23">
        <v>0.2</v>
      </c>
      <c r="DW1904" s="24">
        <v>1760</v>
      </c>
      <c r="DX1904" s="27">
        <v>0</v>
      </c>
      <c r="DY1904" s="23">
        <v>0</v>
      </c>
      <c r="DZ1904" s="15" t="s">
        <v>178</v>
      </c>
      <c r="EA1904" s="22">
        <v>43469</v>
      </c>
      <c r="EB1904" s="17">
        <v>65.290000000000006</v>
      </c>
      <c r="EC1904" s="22">
        <v>43462</v>
      </c>
      <c r="ED1904" s="15" t="s">
        <v>173</v>
      </c>
      <c r="EE1904" s="14" t="str">
        <f>HYPERLINK("https://my.pitchbook.com?c=54537-94", "View company online")</f>
        <v>View company online</v>
      </c>
    </row>
    <row r="1905" spans="1:135">
      <c r="A1905" s="28" t="s">
        <v>36070</v>
      </c>
      <c r="B1905" s="28" t="s">
        <v>36071</v>
      </c>
      <c r="C1905" s="28" t="s">
        <v>36072</v>
      </c>
      <c r="D1905" s="28" t="s">
        <v>138</v>
      </c>
      <c r="E1905" s="28" t="s">
        <v>36073</v>
      </c>
      <c r="F1905" s="28" t="s">
        <v>36070</v>
      </c>
      <c r="G1905" s="28" t="s">
        <v>36074</v>
      </c>
      <c r="H1905" s="28" t="s">
        <v>322</v>
      </c>
      <c r="I1905" s="28" t="s">
        <v>1208</v>
      </c>
      <c r="J1905" s="28" t="s">
        <v>5393</v>
      </c>
      <c r="K1905" s="28" t="s">
        <v>36075</v>
      </c>
      <c r="L1905" s="28" t="s">
        <v>1972</v>
      </c>
      <c r="M1905" s="28" t="s">
        <v>36076</v>
      </c>
      <c r="N1905" s="28" t="s">
        <v>147</v>
      </c>
      <c r="O1905" s="29">
        <v>109.51</v>
      </c>
      <c r="P1905" s="28" t="s">
        <v>148</v>
      </c>
      <c r="Q1905" s="28" t="s">
        <v>149</v>
      </c>
      <c r="R1905" s="28" t="s">
        <v>174</v>
      </c>
      <c r="S1905" s="28" t="s">
        <v>36077</v>
      </c>
      <c r="T1905" s="30">
        <v>75</v>
      </c>
      <c r="U1905" s="28" t="s">
        <v>36078</v>
      </c>
      <c r="V1905" s="28" t="s">
        <v>138</v>
      </c>
      <c r="W1905" s="28" t="s">
        <v>138</v>
      </c>
      <c r="X1905" s="31">
        <v>2010</v>
      </c>
      <c r="Y1905" s="28" t="s">
        <v>138</v>
      </c>
      <c r="Z1905" s="28" t="s">
        <v>138</v>
      </c>
      <c r="AA1905" s="28" t="s">
        <v>138</v>
      </c>
      <c r="AB1905" s="32" t="s">
        <v>138</v>
      </c>
      <c r="AC1905" s="32" t="s">
        <v>138</v>
      </c>
      <c r="AD1905" s="32" t="s">
        <v>138</v>
      </c>
      <c r="AE1905" s="32" t="s">
        <v>138</v>
      </c>
      <c r="AF1905" s="32" t="s">
        <v>138</v>
      </c>
      <c r="AG1905" s="28" t="s">
        <v>138</v>
      </c>
      <c r="AH1905" s="32" t="s">
        <v>138</v>
      </c>
      <c r="AI1905" s="32" t="s">
        <v>138</v>
      </c>
      <c r="AJ1905" s="32" t="s">
        <v>138</v>
      </c>
      <c r="AK1905" s="28" t="s">
        <v>36079</v>
      </c>
      <c r="AL1905" s="28" t="s">
        <v>36080</v>
      </c>
      <c r="AM1905" s="28" t="s">
        <v>636</v>
      </c>
      <c r="AN1905" s="28" t="s">
        <v>36081</v>
      </c>
      <c r="AO1905" s="28" t="s">
        <v>36082</v>
      </c>
      <c r="AP1905" s="28" t="s">
        <v>639</v>
      </c>
      <c r="AQ1905" s="28" t="s">
        <v>36083</v>
      </c>
      <c r="AR1905" s="28" t="s">
        <v>36084</v>
      </c>
      <c r="AS1905" s="28" t="s">
        <v>642</v>
      </c>
      <c r="AT1905" s="28" t="s">
        <v>474</v>
      </c>
      <c r="AU1905" s="28" t="s">
        <v>36085</v>
      </c>
      <c r="AV1905" s="28" t="s">
        <v>162</v>
      </c>
      <c r="AW1905" s="28" t="s">
        <v>36082</v>
      </c>
      <c r="AX1905" s="28" t="s">
        <v>36086</v>
      </c>
      <c r="AY1905" s="28" t="s">
        <v>36087</v>
      </c>
      <c r="AZ1905" s="28" t="s">
        <v>164</v>
      </c>
      <c r="BA1905" s="28" t="s">
        <v>165</v>
      </c>
      <c r="BB1905" s="28" t="s">
        <v>36088</v>
      </c>
      <c r="BC1905" s="28" t="s">
        <v>36089</v>
      </c>
      <c r="BD1905" s="33">
        <v>20</v>
      </c>
      <c r="BE1905" s="28" t="s">
        <v>138</v>
      </c>
      <c r="BF1905" s="28" t="s">
        <v>36090</v>
      </c>
      <c r="BG1905" s="28" t="s">
        <v>138</v>
      </c>
      <c r="BH1905" s="28" t="s">
        <v>36091</v>
      </c>
      <c r="BI1905" s="28" t="s">
        <v>36092</v>
      </c>
      <c r="BJ1905" s="28" t="s">
        <v>138</v>
      </c>
      <c r="BK1905" s="28" t="s">
        <v>36093</v>
      </c>
      <c r="BL1905" s="28" t="s">
        <v>1275</v>
      </c>
      <c r="BM1905" s="34">
        <v>40534</v>
      </c>
      <c r="BN1905" s="29">
        <v>2.5299999999999998</v>
      </c>
      <c r="BO1905" s="28" t="s">
        <v>172</v>
      </c>
      <c r="BP1905" s="29">
        <v>4.78</v>
      </c>
      <c r="BQ1905" s="28" t="s">
        <v>172</v>
      </c>
      <c r="BR1905" s="28" t="s">
        <v>234</v>
      </c>
      <c r="BS1905" s="28" t="s">
        <v>234</v>
      </c>
      <c r="BT1905" s="28" t="s">
        <v>138</v>
      </c>
      <c r="BU1905" s="28" t="s">
        <v>174</v>
      </c>
      <c r="BV1905" s="28" t="s">
        <v>138</v>
      </c>
      <c r="BW1905" s="28" t="s">
        <v>138</v>
      </c>
      <c r="BX1905" s="28" t="s">
        <v>138</v>
      </c>
      <c r="BY1905" s="28" t="s">
        <v>175</v>
      </c>
      <c r="BZ1905" s="34">
        <v>43399</v>
      </c>
      <c r="CA1905" s="29">
        <v>29.05</v>
      </c>
      <c r="CB1905" s="28" t="s">
        <v>172</v>
      </c>
      <c r="CC1905" s="29">
        <v>194.05</v>
      </c>
      <c r="CD1905" s="28" t="s">
        <v>172</v>
      </c>
      <c r="CE1905" s="28" t="s">
        <v>173</v>
      </c>
      <c r="CF1905" s="28" t="s">
        <v>482</v>
      </c>
      <c r="CG1905" s="28" t="s">
        <v>138</v>
      </c>
      <c r="CH1905" s="28" t="s">
        <v>174</v>
      </c>
      <c r="CI1905" s="28" t="s">
        <v>138</v>
      </c>
      <c r="CJ1905" s="28" t="s">
        <v>138</v>
      </c>
      <c r="CK1905" s="28" t="s">
        <v>138</v>
      </c>
      <c r="CL1905" s="28" t="s">
        <v>175</v>
      </c>
      <c r="CM1905" s="34" t="s">
        <v>138</v>
      </c>
      <c r="CN1905" s="29" t="s">
        <v>138</v>
      </c>
      <c r="CO1905" s="35">
        <v>0.33</v>
      </c>
      <c r="CP1905" s="36">
        <v>94</v>
      </c>
      <c r="CQ1905" s="35">
        <v>0.04</v>
      </c>
      <c r="CR1905" s="35">
        <v>15.94</v>
      </c>
      <c r="CS1905" s="35">
        <v>-0.06</v>
      </c>
      <c r="CT1905" s="36">
        <v>22</v>
      </c>
      <c r="CU1905" s="35">
        <v>0.72</v>
      </c>
      <c r="CV1905" s="36">
        <v>96</v>
      </c>
      <c r="CW1905" s="35">
        <v>1.02</v>
      </c>
      <c r="CX1905" s="36">
        <v>85</v>
      </c>
      <c r="CY1905" s="35">
        <v>-1.1399999999999999</v>
      </c>
      <c r="CZ1905" s="36">
        <v>18</v>
      </c>
      <c r="DA1905" s="35">
        <v>0.56000000000000005</v>
      </c>
      <c r="DB1905" s="36">
        <v>95</v>
      </c>
      <c r="DC1905" s="37">
        <v>2.34</v>
      </c>
      <c r="DD1905" s="36">
        <v>70</v>
      </c>
      <c r="DE1905" s="37">
        <v>-0.08</v>
      </c>
      <c r="DF1905" s="35">
        <v>-3.24</v>
      </c>
      <c r="DG1905" s="37">
        <v>4.0999999999999996</v>
      </c>
      <c r="DH1905" s="36">
        <v>80</v>
      </c>
      <c r="DI1905" s="37">
        <v>0.57999999999999996</v>
      </c>
      <c r="DJ1905" s="36">
        <v>39</v>
      </c>
      <c r="DK1905" s="37">
        <v>2.5499999999999998</v>
      </c>
      <c r="DL1905" s="36">
        <v>69</v>
      </c>
      <c r="DM1905" s="37">
        <v>5.66</v>
      </c>
      <c r="DN1905" s="36">
        <v>83</v>
      </c>
      <c r="DO1905" s="37">
        <v>1.03</v>
      </c>
      <c r="DP1905" s="36">
        <v>51</v>
      </c>
      <c r="DQ1905" s="36">
        <v>939</v>
      </c>
      <c r="DR1905" s="38">
        <v>-195</v>
      </c>
      <c r="DS1905" s="35">
        <v>-17.2</v>
      </c>
      <c r="DT1905" s="36">
        <v>164</v>
      </c>
      <c r="DU1905" s="38">
        <v>1</v>
      </c>
      <c r="DV1905" s="35">
        <v>0.61</v>
      </c>
      <c r="DW1905" s="36">
        <v>367</v>
      </c>
      <c r="DX1905" s="39">
        <v>3</v>
      </c>
      <c r="DY1905" s="35">
        <v>0.82</v>
      </c>
      <c r="DZ1905" s="28" t="s">
        <v>178</v>
      </c>
      <c r="EA1905" s="34">
        <v>43607</v>
      </c>
      <c r="EB1905" s="29">
        <v>194.05</v>
      </c>
      <c r="EC1905" s="34">
        <v>43399</v>
      </c>
      <c r="ED1905" s="28" t="s">
        <v>173</v>
      </c>
      <c r="EE1905" s="40" t="str">
        <f>HYPERLINK("https://my.pitchbook.com?c=50927-41", "View company online")</f>
        <v>View company online</v>
      </c>
    </row>
    <row r="1906" spans="1:135">
      <c r="A1906" s="15" t="s">
        <v>36094</v>
      </c>
      <c r="B1906" s="15" t="s">
        <v>36095</v>
      </c>
      <c r="C1906" s="15" t="s">
        <v>138</v>
      </c>
      <c r="D1906" s="15" t="s">
        <v>138</v>
      </c>
      <c r="E1906" s="15" t="s">
        <v>36096</v>
      </c>
      <c r="F1906" s="15" t="s">
        <v>36094</v>
      </c>
      <c r="G1906" s="15" t="s">
        <v>36097</v>
      </c>
      <c r="H1906" s="15" t="s">
        <v>322</v>
      </c>
      <c r="I1906" s="15" t="s">
        <v>323</v>
      </c>
      <c r="J1906" s="15" t="s">
        <v>324</v>
      </c>
      <c r="K1906" s="15" t="s">
        <v>36098</v>
      </c>
      <c r="L1906" s="15" t="s">
        <v>36099</v>
      </c>
      <c r="M1906" s="15" t="s">
        <v>36100</v>
      </c>
      <c r="N1906" s="15" t="s">
        <v>147</v>
      </c>
      <c r="O1906" s="17">
        <v>2.09</v>
      </c>
      <c r="P1906" s="15" t="s">
        <v>148</v>
      </c>
      <c r="Q1906" s="15" t="s">
        <v>149</v>
      </c>
      <c r="R1906" s="15" t="s">
        <v>174</v>
      </c>
      <c r="S1906" s="15" t="s">
        <v>36101</v>
      </c>
      <c r="T1906" s="18" t="s">
        <v>138</v>
      </c>
      <c r="U1906" s="15" t="s">
        <v>138</v>
      </c>
      <c r="V1906" s="15" t="s">
        <v>138</v>
      </c>
      <c r="W1906" s="15" t="s">
        <v>138</v>
      </c>
      <c r="X1906" s="19">
        <v>2017</v>
      </c>
      <c r="Y1906" s="15" t="s">
        <v>138</v>
      </c>
      <c r="Z1906" s="15" t="s">
        <v>138</v>
      </c>
      <c r="AA1906" s="15" t="s">
        <v>138</v>
      </c>
      <c r="AB1906" s="20" t="s">
        <v>138</v>
      </c>
      <c r="AC1906" s="20" t="s">
        <v>138</v>
      </c>
      <c r="AD1906" s="20" t="s">
        <v>138</v>
      </c>
      <c r="AE1906" s="20" t="s">
        <v>138</v>
      </c>
      <c r="AF1906" s="20" t="s">
        <v>138</v>
      </c>
      <c r="AG1906" s="15" t="s">
        <v>138</v>
      </c>
      <c r="AH1906" s="20" t="s">
        <v>138</v>
      </c>
      <c r="AI1906" s="20" t="s">
        <v>138</v>
      </c>
      <c r="AJ1906" s="20" t="s">
        <v>138</v>
      </c>
      <c r="AK1906" s="15" t="s">
        <v>36102</v>
      </c>
      <c r="AL1906" s="15" t="s">
        <v>36103</v>
      </c>
      <c r="AM1906" s="15" t="s">
        <v>2794</v>
      </c>
      <c r="AN1906" s="15" t="s">
        <v>36104</v>
      </c>
      <c r="AO1906" s="15" t="s">
        <v>138</v>
      </c>
      <c r="AP1906" s="15" t="s">
        <v>964</v>
      </c>
      <c r="AQ1906" s="15" t="s">
        <v>36105</v>
      </c>
      <c r="AR1906" s="15" t="s">
        <v>138</v>
      </c>
      <c r="AS1906" s="15" t="s">
        <v>966</v>
      </c>
      <c r="AT1906" s="15" t="s">
        <v>200</v>
      </c>
      <c r="AU1906" s="15" t="s">
        <v>1590</v>
      </c>
      <c r="AV1906" s="15" t="s">
        <v>162</v>
      </c>
      <c r="AW1906" s="15" t="s">
        <v>138</v>
      </c>
      <c r="AX1906" s="15" t="s">
        <v>138</v>
      </c>
      <c r="AY1906" s="15" t="s">
        <v>36106</v>
      </c>
      <c r="AZ1906" s="15" t="s">
        <v>164</v>
      </c>
      <c r="BA1906" s="15" t="s">
        <v>165</v>
      </c>
      <c r="BB1906" s="15" t="s">
        <v>36107</v>
      </c>
      <c r="BC1906" s="15" t="s">
        <v>36108</v>
      </c>
      <c r="BD1906" s="21">
        <v>2</v>
      </c>
      <c r="BE1906" s="15" t="s">
        <v>138</v>
      </c>
      <c r="BF1906" s="15" t="s">
        <v>138</v>
      </c>
      <c r="BG1906" s="15" t="s">
        <v>138</v>
      </c>
      <c r="BH1906" s="15" t="s">
        <v>36109</v>
      </c>
      <c r="BI1906" s="15" t="s">
        <v>138</v>
      </c>
      <c r="BJ1906" s="15" t="s">
        <v>138</v>
      </c>
      <c r="BK1906" s="15" t="s">
        <v>2936</v>
      </c>
      <c r="BL1906" s="15" t="s">
        <v>2936</v>
      </c>
      <c r="BM1906" s="22">
        <v>43027</v>
      </c>
      <c r="BN1906" s="17">
        <v>2.09</v>
      </c>
      <c r="BO1906" s="15" t="s">
        <v>172</v>
      </c>
      <c r="BP1906" s="17">
        <v>13.93</v>
      </c>
      <c r="BQ1906" s="15" t="s">
        <v>172</v>
      </c>
      <c r="BR1906" s="15" t="s">
        <v>234</v>
      </c>
      <c r="BS1906" s="15" t="s">
        <v>234</v>
      </c>
      <c r="BT1906" s="15" t="s">
        <v>138</v>
      </c>
      <c r="BU1906" s="15" t="s">
        <v>174</v>
      </c>
      <c r="BV1906" s="15" t="s">
        <v>138</v>
      </c>
      <c r="BW1906" s="15" t="s">
        <v>138</v>
      </c>
      <c r="BX1906" s="15" t="s">
        <v>138</v>
      </c>
      <c r="BY1906" s="15" t="s">
        <v>175</v>
      </c>
      <c r="BZ1906" s="22">
        <v>43326</v>
      </c>
      <c r="CA1906" s="17" t="s">
        <v>138</v>
      </c>
      <c r="CB1906" s="15" t="s">
        <v>138</v>
      </c>
      <c r="CC1906" s="17" t="s">
        <v>138</v>
      </c>
      <c r="CD1906" s="15" t="s">
        <v>138</v>
      </c>
      <c r="CE1906" s="15" t="s">
        <v>316</v>
      </c>
      <c r="CF1906" s="15" t="s">
        <v>138</v>
      </c>
      <c r="CG1906" s="15" t="s">
        <v>138</v>
      </c>
      <c r="CH1906" s="15" t="s">
        <v>177</v>
      </c>
      <c r="CI1906" s="15" t="s">
        <v>138</v>
      </c>
      <c r="CJ1906" s="15" t="s">
        <v>138</v>
      </c>
      <c r="CK1906" s="15" t="s">
        <v>138</v>
      </c>
      <c r="CL1906" s="15" t="s">
        <v>175</v>
      </c>
      <c r="CM1906" s="22" t="s">
        <v>138</v>
      </c>
      <c r="CN1906" s="17" t="s">
        <v>138</v>
      </c>
      <c r="CO1906" s="23">
        <v>4.3499999999999996</v>
      </c>
      <c r="CP1906" s="24">
        <v>100</v>
      </c>
      <c r="CQ1906" s="23">
        <v>-0.01</v>
      </c>
      <c r="CR1906" s="23">
        <v>-0.33</v>
      </c>
      <c r="CS1906" s="23">
        <v>7.78</v>
      </c>
      <c r="CT1906" s="24">
        <v>100</v>
      </c>
      <c r="CU1906" s="23">
        <v>0.93</v>
      </c>
      <c r="CV1906" s="24">
        <v>98</v>
      </c>
      <c r="CW1906" s="23">
        <v>15.55</v>
      </c>
      <c r="CX1906" s="24">
        <v>100</v>
      </c>
      <c r="CY1906" s="23">
        <v>0</v>
      </c>
      <c r="CZ1906" s="24">
        <v>25</v>
      </c>
      <c r="DA1906" s="23">
        <v>1.85</v>
      </c>
      <c r="DB1906" s="24">
        <v>100</v>
      </c>
      <c r="DC1906" s="25">
        <v>3.69</v>
      </c>
      <c r="DD1906" s="24">
        <v>78</v>
      </c>
      <c r="DE1906" s="25">
        <v>-0.28999999999999998</v>
      </c>
      <c r="DF1906" s="23">
        <v>-7.33</v>
      </c>
      <c r="DG1906" s="25">
        <v>5.23</v>
      </c>
      <c r="DH1906" s="24">
        <v>83</v>
      </c>
      <c r="DI1906" s="25">
        <v>2.15</v>
      </c>
      <c r="DJ1906" s="24">
        <v>64</v>
      </c>
      <c r="DK1906" s="25">
        <v>9.5</v>
      </c>
      <c r="DL1906" s="24">
        <v>86</v>
      </c>
      <c r="DM1906" s="25">
        <v>0.97</v>
      </c>
      <c r="DN1906" s="24">
        <v>49</v>
      </c>
      <c r="DO1906" s="25">
        <v>4.25</v>
      </c>
      <c r="DP1906" s="24">
        <v>77</v>
      </c>
      <c r="DQ1906" s="24">
        <v>3076</v>
      </c>
      <c r="DR1906" s="26">
        <v>545</v>
      </c>
      <c r="DS1906" s="23">
        <v>21.53</v>
      </c>
      <c r="DT1906" s="24">
        <v>27</v>
      </c>
      <c r="DU1906" s="26">
        <v>1</v>
      </c>
      <c r="DV1906" s="23">
        <v>3.85</v>
      </c>
      <c r="DW1906" s="24">
        <v>1521</v>
      </c>
      <c r="DX1906" s="27">
        <v>0</v>
      </c>
      <c r="DY1906" s="23">
        <v>0</v>
      </c>
      <c r="DZ1906" s="15" t="s">
        <v>178</v>
      </c>
      <c r="EA1906" s="22">
        <v>43351</v>
      </c>
      <c r="EB1906" s="17">
        <v>13.93</v>
      </c>
      <c r="EC1906" s="22">
        <v>43027</v>
      </c>
      <c r="ED1906" s="15" t="s">
        <v>234</v>
      </c>
      <c r="EE1906" s="14" t="str">
        <f>HYPERLINK("https://my.pitchbook.com?c=221567-23", "View company online")</f>
        <v>View company online</v>
      </c>
    </row>
    <row r="1907" spans="1:135">
      <c r="A1907" s="28" t="s">
        <v>36110</v>
      </c>
      <c r="B1907" s="28" t="s">
        <v>36111</v>
      </c>
      <c r="C1907" s="28" t="s">
        <v>138</v>
      </c>
      <c r="D1907" s="28" t="s">
        <v>36112</v>
      </c>
      <c r="E1907" s="28" t="s">
        <v>138</v>
      </c>
      <c r="F1907" s="28" t="s">
        <v>36110</v>
      </c>
      <c r="G1907" s="28" t="s">
        <v>36113</v>
      </c>
      <c r="H1907" s="28" t="s">
        <v>322</v>
      </c>
      <c r="I1907" s="28" t="s">
        <v>1208</v>
      </c>
      <c r="J1907" s="28" t="s">
        <v>1209</v>
      </c>
      <c r="K1907" s="28" t="s">
        <v>36114</v>
      </c>
      <c r="L1907" s="28" t="s">
        <v>415</v>
      </c>
      <c r="M1907" s="28" t="s">
        <v>36115</v>
      </c>
      <c r="N1907" s="28" t="s">
        <v>147</v>
      </c>
      <c r="O1907" s="29" t="s">
        <v>138</v>
      </c>
      <c r="P1907" s="28" t="s">
        <v>148</v>
      </c>
      <c r="Q1907" s="28" t="s">
        <v>149</v>
      </c>
      <c r="R1907" s="28" t="s">
        <v>174</v>
      </c>
      <c r="S1907" s="28" t="s">
        <v>36116</v>
      </c>
      <c r="T1907" s="30">
        <v>11</v>
      </c>
      <c r="U1907" s="28" t="s">
        <v>33378</v>
      </c>
      <c r="V1907" s="28" t="s">
        <v>138</v>
      </c>
      <c r="W1907" s="28" t="s">
        <v>138</v>
      </c>
      <c r="X1907" s="31">
        <v>2006</v>
      </c>
      <c r="Y1907" s="28" t="s">
        <v>138</v>
      </c>
      <c r="Z1907" s="28" t="s">
        <v>138</v>
      </c>
      <c r="AA1907" s="28" t="s">
        <v>138</v>
      </c>
      <c r="AB1907" s="32" t="s">
        <v>138</v>
      </c>
      <c r="AC1907" s="32" t="s">
        <v>138</v>
      </c>
      <c r="AD1907" s="32" t="s">
        <v>138</v>
      </c>
      <c r="AE1907" s="32" t="s">
        <v>138</v>
      </c>
      <c r="AF1907" s="32" t="s">
        <v>138</v>
      </c>
      <c r="AG1907" s="28" t="s">
        <v>138</v>
      </c>
      <c r="AH1907" s="32" t="s">
        <v>138</v>
      </c>
      <c r="AI1907" s="32" t="s">
        <v>138</v>
      </c>
      <c r="AJ1907" s="32" t="s">
        <v>138</v>
      </c>
      <c r="AK1907" s="28" t="s">
        <v>36117</v>
      </c>
      <c r="AL1907" s="28" t="s">
        <v>36118</v>
      </c>
      <c r="AM1907" s="28" t="s">
        <v>36119</v>
      </c>
      <c r="AN1907" s="28" t="s">
        <v>36120</v>
      </c>
      <c r="AO1907" s="28" t="s">
        <v>36121</v>
      </c>
      <c r="AP1907" s="28" t="s">
        <v>1220</v>
      </c>
      <c r="AQ1907" s="28" t="s">
        <v>36122</v>
      </c>
      <c r="AR1907" s="28" t="s">
        <v>138</v>
      </c>
      <c r="AS1907" s="28" t="s">
        <v>1223</v>
      </c>
      <c r="AT1907" s="28" t="s">
        <v>200</v>
      </c>
      <c r="AU1907" s="28" t="s">
        <v>33991</v>
      </c>
      <c r="AV1907" s="28" t="s">
        <v>162</v>
      </c>
      <c r="AW1907" s="28" t="s">
        <v>36121</v>
      </c>
      <c r="AX1907" s="28" t="s">
        <v>36123</v>
      </c>
      <c r="AY1907" s="28" t="s">
        <v>36124</v>
      </c>
      <c r="AZ1907" s="28" t="s">
        <v>164</v>
      </c>
      <c r="BA1907" s="28" t="s">
        <v>165</v>
      </c>
      <c r="BB1907" s="28" t="s">
        <v>36125</v>
      </c>
      <c r="BC1907" s="28" t="s">
        <v>2075</v>
      </c>
      <c r="BD1907" s="33">
        <v>1</v>
      </c>
      <c r="BE1907" s="28" t="s">
        <v>138</v>
      </c>
      <c r="BF1907" s="28" t="s">
        <v>138</v>
      </c>
      <c r="BG1907" s="28" t="s">
        <v>138</v>
      </c>
      <c r="BH1907" s="28" t="s">
        <v>2077</v>
      </c>
      <c r="BI1907" s="28" t="s">
        <v>138</v>
      </c>
      <c r="BJ1907" s="28" t="s">
        <v>138</v>
      </c>
      <c r="BK1907" s="28" t="s">
        <v>138</v>
      </c>
      <c r="BL1907" s="28" t="s">
        <v>138</v>
      </c>
      <c r="BM1907" s="34" t="s">
        <v>138</v>
      </c>
      <c r="BN1907" s="29" t="s">
        <v>138</v>
      </c>
      <c r="BO1907" s="28" t="s">
        <v>138</v>
      </c>
      <c r="BP1907" s="29" t="s">
        <v>138</v>
      </c>
      <c r="BQ1907" s="28" t="s">
        <v>138</v>
      </c>
      <c r="BR1907" s="28" t="s">
        <v>205</v>
      </c>
      <c r="BS1907" s="28" t="s">
        <v>138</v>
      </c>
      <c r="BT1907" s="28" t="s">
        <v>138</v>
      </c>
      <c r="BU1907" s="28" t="s">
        <v>174</v>
      </c>
      <c r="BV1907" s="28" t="s">
        <v>138</v>
      </c>
      <c r="BW1907" s="28" t="s">
        <v>138</v>
      </c>
      <c r="BX1907" s="28" t="s">
        <v>138</v>
      </c>
      <c r="BY1907" s="28" t="s">
        <v>175</v>
      </c>
      <c r="BZ1907" s="34" t="s">
        <v>138</v>
      </c>
      <c r="CA1907" s="29" t="s">
        <v>138</v>
      </c>
      <c r="CB1907" s="28" t="s">
        <v>138</v>
      </c>
      <c r="CC1907" s="29" t="s">
        <v>138</v>
      </c>
      <c r="CD1907" s="28" t="s">
        <v>138</v>
      </c>
      <c r="CE1907" s="28" t="s">
        <v>205</v>
      </c>
      <c r="CF1907" s="28" t="s">
        <v>138</v>
      </c>
      <c r="CG1907" s="28" t="s">
        <v>138</v>
      </c>
      <c r="CH1907" s="28" t="s">
        <v>174</v>
      </c>
      <c r="CI1907" s="28" t="s">
        <v>138</v>
      </c>
      <c r="CJ1907" s="28" t="s">
        <v>138</v>
      </c>
      <c r="CK1907" s="28" t="s">
        <v>138</v>
      </c>
      <c r="CL1907" s="28" t="s">
        <v>175</v>
      </c>
      <c r="CM1907" s="34" t="s">
        <v>138</v>
      </c>
      <c r="CN1907" s="29" t="s">
        <v>138</v>
      </c>
      <c r="CO1907" s="35">
        <v>0</v>
      </c>
      <c r="CP1907" s="36">
        <v>26</v>
      </c>
      <c r="CQ1907" s="35">
        <v>0</v>
      </c>
      <c r="CR1907" s="35">
        <v>0</v>
      </c>
      <c r="CS1907" s="35">
        <v>0</v>
      </c>
      <c r="CT1907" s="36">
        <v>23</v>
      </c>
      <c r="CU1907" s="35" t="s">
        <v>138</v>
      </c>
      <c r="CV1907" s="36" t="s">
        <v>138</v>
      </c>
      <c r="CW1907" s="35" t="s">
        <v>138</v>
      </c>
      <c r="CX1907" s="36" t="s">
        <v>138</v>
      </c>
      <c r="CY1907" s="35">
        <v>0</v>
      </c>
      <c r="CZ1907" s="36">
        <v>25</v>
      </c>
      <c r="DA1907" s="35" t="s">
        <v>138</v>
      </c>
      <c r="DB1907" s="36" t="s">
        <v>138</v>
      </c>
      <c r="DC1907" s="37">
        <v>0.83</v>
      </c>
      <c r="DD1907" s="36">
        <v>46</v>
      </c>
      <c r="DE1907" s="37">
        <v>0</v>
      </c>
      <c r="DF1907" s="35">
        <v>0</v>
      </c>
      <c r="DG1907" s="37">
        <v>0.83</v>
      </c>
      <c r="DH1907" s="36">
        <v>46</v>
      </c>
      <c r="DI1907" s="37" t="s">
        <v>138</v>
      </c>
      <c r="DJ1907" s="36" t="s">
        <v>138</v>
      </c>
      <c r="DK1907" s="37" t="s">
        <v>138</v>
      </c>
      <c r="DL1907" s="36" t="s">
        <v>138</v>
      </c>
      <c r="DM1907" s="37">
        <v>0.83</v>
      </c>
      <c r="DN1907" s="36">
        <v>46</v>
      </c>
      <c r="DO1907" s="37" t="s">
        <v>138</v>
      </c>
      <c r="DP1907" s="36" t="s">
        <v>138</v>
      </c>
      <c r="DQ1907" s="36" t="s">
        <v>138</v>
      </c>
      <c r="DR1907" s="38" t="s">
        <v>138</v>
      </c>
      <c r="DS1907" s="35" t="s">
        <v>138</v>
      </c>
      <c r="DT1907" s="36">
        <v>24</v>
      </c>
      <c r="DU1907" s="38">
        <v>0</v>
      </c>
      <c r="DV1907" s="35">
        <v>0</v>
      </c>
      <c r="DW1907" s="36" t="s">
        <v>138</v>
      </c>
      <c r="DX1907" s="39" t="s">
        <v>138</v>
      </c>
      <c r="DY1907" s="35" t="s">
        <v>138</v>
      </c>
      <c r="DZ1907" s="28" t="s">
        <v>178</v>
      </c>
      <c r="EA1907" s="34">
        <v>43472</v>
      </c>
      <c r="EB1907" s="29" t="s">
        <v>138</v>
      </c>
      <c r="EC1907" s="34" t="s">
        <v>138</v>
      </c>
      <c r="ED1907" s="28" t="s">
        <v>138</v>
      </c>
      <c r="EE1907" s="40" t="str">
        <f>HYPERLINK("https://my.pitchbook.com?c=60577-57", "View company online")</f>
        <v>View company online</v>
      </c>
    </row>
    <row r="1908" spans="1:135">
      <c r="A1908" s="15" t="s">
        <v>36126</v>
      </c>
      <c r="B1908" s="15" t="s">
        <v>36127</v>
      </c>
      <c r="C1908" s="15" t="s">
        <v>36128</v>
      </c>
      <c r="D1908" s="15" t="s">
        <v>138</v>
      </c>
      <c r="E1908" s="15" t="s">
        <v>138</v>
      </c>
      <c r="F1908" s="15" t="s">
        <v>36126</v>
      </c>
      <c r="G1908" s="15" t="s">
        <v>36129</v>
      </c>
      <c r="H1908" s="15" t="s">
        <v>322</v>
      </c>
      <c r="I1908" s="15" t="s">
        <v>323</v>
      </c>
      <c r="J1908" s="15" t="s">
        <v>437</v>
      </c>
      <c r="K1908" s="15" t="s">
        <v>7390</v>
      </c>
      <c r="L1908" s="15" t="s">
        <v>36130</v>
      </c>
      <c r="M1908" s="15" t="s">
        <v>36131</v>
      </c>
      <c r="N1908" s="15" t="s">
        <v>147</v>
      </c>
      <c r="O1908" s="17">
        <v>22.42</v>
      </c>
      <c r="P1908" s="15" t="s">
        <v>148</v>
      </c>
      <c r="Q1908" s="15" t="s">
        <v>149</v>
      </c>
      <c r="R1908" s="15" t="s">
        <v>174</v>
      </c>
      <c r="S1908" s="15" t="s">
        <v>36132</v>
      </c>
      <c r="T1908" s="18" t="s">
        <v>138</v>
      </c>
      <c r="U1908" s="15" t="s">
        <v>138</v>
      </c>
      <c r="V1908" s="15" t="s">
        <v>138</v>
      </c>
      <c r="W1908" s="15" t="s">
        <v>138</v>
      </c>
      <c r="X1908" s="19">
        <v>2015</v>
      </c>
      <c r="Y1908" s="15" t="s">
        <v>138</v>
      </c>
      <c r="Z1908" s="15" t="s">
        <v>138</v>
      </c>
      <c r="AA1908" s="15" t="s">
        <v>138</v>
      </c>
      <c r="AB1908" s="20" t="s">
        <v>138</v>
      </c>
      <c r="AC1908" s="20" t="s">
        <v>138</v>
      </c>
      <c r="AD1908" s="20" t="s">
        <v>138</v>
      </c>
      <c r="AE1908" s="20" t="s">
        <v>138</v>
      </c>
      <c r="AF1908" s="20" t="s">
        <v>138</v>
      </c>
      <c r="AG1908" s="15" t="s">
        <v>138</v>
      </c>
      <c r="AH1908" s="20" t="s">
        <v>138</v>
      </c>
      <c r="AI1908" s="20" t="s">
        <v>138</v>
      </c>
      <c r="AJ1908" s="20" t="s">
        <v>138</v>
      </c>
      <c r="AK1908" s="15" t="s">
        <v>36133</v>
      </c>
      <c r="AL1908" s="15" t="s">
        <v>36134</v>
      </c>
      <c r="AM1908" s="15" t="s">
        <v>2949</v>
      </c>
      <c r="AN1908" s="15" t="s">
        <v>36135</v>
      </c>
      <c r="AO1908" s="15" t="s">
        <v>36136</v>
      </c>
      <c r="AP1908" s="15" t="s">
        <v>1244</v>
      </c>
      <c r="AQ1908" s="15" t="s">
        <v>36137</v>
      </c>
      <c r="AR1908" s="15" t="s">
        <v>3159</v>
      </c>
      <c r="AS1908" s="15" t="s">
        <v>1246</v>
      </c>
      <c r="AT1908" s="15" t="s">
        <v>200</v>
      </c>
      <c r="AU1908" s="15" t="s">
        <v>26773</v>
      </c>
      <c r="AV1908" s="15" t="s">
        <v>162</v>
      </c>
      <c r="AW1908" s="15" t="s">
        <v>36136</v>
      </c>
      <c r="AX1908" s="15" t="s">
        <v>138</v>
      </c>
      <c r="AY1908" s="15" t="s">
        <v>36138</v>
      </c>
      <c r="AZ1908" s="15" t="s">
        <v>164</v>
      </c>
      <c r="BA1908" s="15" t="s">
        <v>165</v>
      </c>
      <c r="BB1908" s="15" t="s">
        <v>36139</v>
      </c>
      <c r="BC1908" s="15" t="s">
        <v>36140</v>
      </c>
      <c r="BD1908" s="21">
        <v>4</v>
      </c>
      <c r="BE1908" s="15" t="s">
        <v>138</v>
      </c>
      <c r="BF1908" s="15" t="s">
        <v>138</v>
      </c>
      <c r="BG1908" s="15" t="s">
        <v>138</v>
      </c>
      <c r="BH1908" s="15" t="s">
        <v>36141</v>
      </c>
      <c r="BI1908" s="15" t="s">
        <v>138</v>
      </c>
      <c r="BJ1908" s="15" t="s">
        <v>138</v>
      </c>
      <c r="BK1908" s="15" t="s">
        <v>138</v>
      </c>
      <c r="BL1908" s="15" t="s">
        <v>3482</v>
      </c>
      <c r="BM1908" s="22">
        <v>42186</v>
      </c>
      <c r="BN1908" s="17">
        <v>6.3</v>
      </c>
      <c r="BO1908" s="15" t="s">
        <v>172</v>
      </c>
      <c r="BP1908" s="17" t="s">
        <v>138</v>
      </c>
      <c r="BQ1908" s="15" t="s">
        <v>138</v>
      </c>
      <c r="BR1908" s="15" t="s">
        <v>5214</v>
      </c>
      <c r="BS1908" s="15" t="s">
        <v>138</v>
      </c>
      <c r="BT1908" s="15" t="s">
        <v>138</v>
      </c>
      <c r="BU1908" s="15" t="s">
        <v>263</v>
      </c>
      <c r="BV1908" s="15" t="s">
        <v>138</v>
      </c>
      <c r="BW1908" s="15" t="s">
        <v>138</v>
      </c>
      <c r="BX1908" s="15" t="s">
        <v>138</v>
      </c>
      <c r="BY1908" s="15" t="s">
        <v>175</v>
      </c>
      <c r="BZ1908" s="22">
        <v>43524</v>
      </c>
      <c r="CA1908" s="17">
        <v>7</v>
      </c>
      <c r="CB1908" s="15" t="s">
        <v>172</v>
      </c>
      <c r="CC1908" s="17" t="s">
        <v>138</v>
      </c>
      <c r="CD1908" s="15" t="s">
        <v>138</v>
      </c>
      <c r="CE1908" s="15" t="s">
        <v>205</v>
      </c>
      <c r="CF1908" s="15" t="s">
        <v>206</v>
      </c>
      <c r="CG1908" s="15" t="s">
        <v>138</v>
      </c>
      <c r="CH1908" s="15" t="s">
        <v>174</v>
      </c>
      <c r="CI1908" s="15" t="s">
        <v>138</v>
      </c>
      <c r="CJ1908" s="15" t="s">
        <v>138</v>
      </c>
      <c r="CK1908" s="15" t="s">
        <v>138</v>
      </c>
      <c r="CL1908" s="15" t="s">
        <v>175</v>
      </c>
      <c r="CM1908" s="22" t="s">
        <v>138</v>
      </c>
      <c r="CN1908" s="17" t="s">
        <v>138</v>
      </c>
      <c r="CO1908" s="23">
        <v>-0.84</v>
      </c>
      <c r="CP1908" s="24">
        <v>12</v>
      </c>
      <c r="CQ1908" s="23">
        <v>-0.08</v>
      </c>
      <c r="CR1908" s="23">
        <v>-10.14</v>
      </c>
      <c r="CS1908" s="23">
        <v>-2.11</v>
      </c>
      <c r="CT1908" s="24">
        <v>8</v>
      </c>
      <c r="CU1908" s="23">
        <v>0.43</v>
      </c>
      <c r="CV1908" s="24">
        <v>92</v>
      </c>
      <c r="CW1908" s="23">
        <v>-4.22</v>
      </c>
      <c r="CX1908" s="24">
        <v>4</v>
      </c>
      <c r="CY1908" s="23">
        <v>0</v>
      </c>
      <c r="CZ1908" s="24">
        <v>25</v>
      </c>
      <c r="DA1908" s="23">
        <v>0.43</v>
      </c>
      <c r="DB1908" s="24">
        <v>93</v>
      </c>
      <c r="DC1908" s="25">
        <v>1.21</v>
      </c>
      <c r="DD1908" s="24">
        <v>56</v>
      </c>
      <c r="DE1908" s="25">
        <v>-0.09</v>
      </c>
      <c r="DF1908" s="23">
        <v>-6.95</v>
      </c>
      <c r="DG1908" s="25">
        <v>1.92</v>
      </c>
      <c r="DH1908" s="24">
        <v>66</v>
      </c>
      <c r="DI1908" s="25">
        <v>0.5</v>
      </c>
      <c r="DJ1908" s="24">
        <v>36</v>
      </c>
      <c r="DK1908" s="25">
        <v>2.91</v>
      </c>
      <c r="DL1908" s="24">
        <v>71</v>
      </c>
      <c r="DM1908" s="25">
        <v>0.93</v>
      </c>
      <c r="DN1908" s="24">
        <v>48</v>
      </c>
      <c r="DO1908" s="25">
        <v>0.5</v>
      </c>
      <c r="DP1908" s="24">
        <v>38</v>
      </c>
      <c r="DQ1908" s="24">
        <v>1011</v>
      </c>
      <c r="DR1908" s="26">
        <v>-39</v>
      </c>
      <c r="DS1908" s="23">
        <v>-3.71</v>
      </c>
      <c r="DT1908" s="24">
        <v>27</v>
      </c>
      <c r="DU1908" s="26">
        <v>1</v>
      </c>
      <c r="DV1908" s="23">
        <v>3.85</v>
      </c>
      <c r="DW1908" s="24">
        <v>179</v>
      </c>
      <c r="DX1908" s="27">
        <v>2</v>
      </c>
      <c r="DY1908" s="23">
        <v>1.1299999999999999</v>
      </c>
      <c r="DZ1908" s="15" t="s">
        <v>178</v>
      </c>
      <c r="EA1908" s="22">
        <v>43607</v>
      </c>
      <c r="EB1908" s="17" t="s">
        <v>138</v>
      </c>
      <c r="EC1908" s="22" t="s">
        <v>138</v>
      </c>
      <c r="ED1908" s="15" t="s">
        <v>138</v>
      </c>
      <c r="EE1908" s="14" t="str">
        <f>HYPERLINK("https://my.pitchbook.com?c=264572-56", "View company online")</f>
        <v>View company online</v>
      </c>
    </row>
    <row r="1909" spans="1:135">
      <c r="A1909" s="28" t="s">
        <v>36142</v>
      </c>
      <c r="B1909" s="28" t="s">
        <v>36143</v>
      </c>
      <c r="C1909" s="28" t="s">
        <v>138</v>
      </c>
      <c r="D1909" s="28" t="s">
        <v>138</v>
      </c>
      <c r="E1909" s="28" t="s">
        <v>36144</v>
      </c>
      <c r="F1909" s="28" t="s">
        <v>36142</v>
      </c>
      <c r="G1909" s="28" t="s">
        <v>36145</v>
      </c>
      <c r="H1909" s="28" t="s">
        <v>322</v>
      </c>
      <c r="I1909" s="28" t="s">
        <v>323</v>
      </c>
      <c r="J1909" s="28" t="s">
        <v>2984</v>
      </c>
      <c r="K1909" s="28" t="s">
        <v>10784</v>
      </c>
      <c r="L1909" s="28" t="s">
        <v>36146</v>
      </c>
      <c r="M1909" s="28" t="s">
        <v>36147</v>
      </c>
      <c r="N1909" s="28" t="s">
        <v>147</v>
      </c>
      <c r="O1909" s="29">
        <v>12</v>
      </c>
      <c r="P1909" s="28" t="s">
        <v>148</v>
      </c>
      <c r="Q1909" s="28" t="s">
        <v>149</v>
      </c>
      <c r="R1909" s="28" t="s">
        <v>174</v>
      </c>
      <c r="S1909" s="28" t="s">
        <v>36148</v>
      </c>
      <c r="T1909" s="30" t="s">
        <v>138</v>
      </c>
      <c r="U1909" s="28" t="s">
        <v>138</v>
      </c>
      <c r="V1909" s="28" t="s">
        <v>138</v>
      </c>
      <c r="W1909" s="28" t="s">
        <v>138</v>
      </c>
      <c r="X1909" s="31">
        <v>2013</v>
      </c>
      <c r="Y1909" s="28" t="s">
        <v>138</v>
      </c>
      <c r="Z1909" s="28" t="s">
        <v>138</v>
      </c>
      <c r="AA1909" s="28" t="s">
        <v>138</v>
      </c>
      <c r="AB1909" s="32">
        <v>0.15</v>
      </c>
      <c r="AC1909" s="32" t="s">
        <v>138</v>
      </c>
      <c r="AD1909" s="32" t="s">
        <v>138</v>
      </c>
      <c r="AE1909" s="32" t="s">
        <v>138</v>
      </c>
      <c r="AF1909" s="32" t="s">
        <v>138</v>
      </c>
      <c r="AG1909" s="28" t="s">
        <v>815</v>
      </c>
      <c r="AH1909" s="32" t="s">
        <v>138</v>
      </c>
      <c r="AI1909" s="32" t="s">
        <v>138</v>
      </c>
      <c r="AJ1909" s="32" t="s">
        <v>138</v>
      </c>
      <c r="AK1909" s="28" t="s">
        <v>36149</v>
      </c>
      <c r="AL1909" s="28" t="s">
        <v>36150</v>
      </c>
      <c r="AM1909" s="28" t="s">
        <v>36151</v>
      </c>
      <c r="AN1909" s="28" t="s">
        <v>36152</v>
      </c>
      <c r="AO1909" s="28" t="s">
        <v>36153</v>
      </c>
      <c r="AP1909" s="28" t="s">
        <v>5359</v>
      </c>
      <c r="AQ1909" s="28" t="s">
        <v>36154</v>
      </c>
      <c r="AR1909" s="28" t="s">
        <v>36155</v>
      </c>
      <c r="AS1909" s="28" t="s">
        <v>5362</v>
      </c>
      <c r="AT1909" s="28" t="s">
        <v>3453</v>
      </c>
      <c r="AU1909" s="28" t="s">
        <v>36156</v>
      </c>
      <c r="AV1909" s="28" t="s">
        <v>2333</v>
      </c>
      <c r="AW1909" s="28" t="s">
        <v>36153</v>
      </c>
      <c r="AX1909" s="28" t="s">
        <v>138</v>
      </c>
      <c r="AY1909" s="28" t="s">
        <v>138</v>
      </c>
      <c r="AZ1909" s="28" t="s">
        <v>452</v>
      </c>
      <c r="BA1909" s="28" t="s">
        <v>2335</v>
      </c>
      <c r="BB1909" s="28" t="s">
        <v>36157</v>
      </c>
      <c r="BC1909" s="28" t="s">
        <v>36158</v>
      </c>
      <c r="BD1909" s="33">
        <v>10</v>
      </c>
      <c r="BE1909" s="28" t="s">
        <v>138</v>
      </c>
      <c r="BF1909" s="28" t="s">
        <v>138</v>
      </c>
      <c r="BG1909" s="28" t="s">
        <v>138</v>
      </c>
      <c r="BH1909" s="28" t="s">
        <v>36159</v>
      </c>
      <c r="BI1909" s="28" t="s">
        <v>138</v>
      </c>
      <c r="BJ1909" s="28" t="s">
        <v>138</v>
      </c>
      <c r="BK1909" s="28" t="s">
        <v>138</v>
      </c>
      <c r="BL1909" s="28" t="s">
        <v>138</v>
      </c>
      <c r="BM1909" s="34">
        <v>41899</v>
      </c>
      <c r="BN1909" s="29" t="s">
        <v>138</v>
      </c>
      <c r="BO1909" s="28" t="s">
        <v>138</v>
      </c>
      <c r="BP1909" s="29" t="s">
        <v>138</v>
      </c>
      <c r="BQ1909" s="28" t="s">
        <v>138</v>
      </c>
      <c r="BR1909" s="28" t="s">
        <v>234</v>
      </c>
      <c r="BS1909" s="28" t="s">
        <v>234</v>
      </c>
      <c r="BT1909" s="28" t="s">
        <v>138</v>
      </c>
      <c r="BU1909" s="28" t="s">
        <v>174</v>
      </c>
      <c r="BV1909" s="28" t="s">
        <v>138</v>
      </c>
      <c r="BW1909" s="28" t="s">
        <v>138</v>
      </c>
      <c r="BX1909" s="28" t="s">
        <v>138</v>
      </c>
      <c r="BY1909" s="28" t="s">
        <v>175</v>
      </c>
      <c r="BZ1909" s="34">
        <v>43582</v>
      </c>
      <c r="CA1909" s="29">
        <v>7</v>
      </c>
      <c r="CB1909" s="28" t="s">
        <v>172</v>
      </c>
      <c r="CC1909" s="29" t="s">
        <v>138</v>
      </c>
      <c r="CD1909" s="28" t="s">
        <v>138</v>
      </c>
      <c r="CE1909" s="28" t="s">
        <v>173</v>
      </c>
      <c r="CF1909" s="28" t="s">
        <v>206</v>
      </c>
      <c r="CG1909" s="28" t="s">
        <v>138</v>
      </c>
      <c r="CH1909" s="28" t="s">
        <v>174</v>
      </c>
      <c r="CI1909" s="28" t="s">
        <v>138</v>
      </c>
      <c r="CJ1909" s="28" t="s">
        <v>138</v>
      </c>
      <c r="CK1909" s="28" t="s">
        <v>138</v>
      </c>
      <c r="CL1909" s="28" t="s">
        <v>175</v>
      </c>
      <c r="CM1909" s="34" t="s">
        <v>138</v>
      </c>
      <c r="CN1909" s="29" t="s">
        <v>138</v>
      </c>
      <c r="CO1909" s="35">
        <v>-0.16</v>
      </c>
      <c r="CP1909" s="36">
        <v>20</v>
      </c>
      <c r="CQ1909" s="35">
        <v>-0.03</v>
      </c>
      <c r="CR1909" s="35">
        <v>-26.77</v>
      </c>
      <c r="CS1909" s="35">
        <v>-0.36</v>
      </c>
      <c r="CT1909" s="36">
        <v>20</v>
      </c>
      <c r="CU1909" s="35">
        <v>0.03</v>
      </c>
      <c r="CV1909" s="36">
        <v>54</v>
      </c>
      <c r="CW1909" s="35">
        <v>0</v>
      </c>
      <c r="CX1909" s="36">
        <v>13</v>
      </c>
      <c r="CY1909" s="35">
        <v>-0.72</v>
      </c>
      <c r="CZ1909" s="36">
        <v>21</v>
      </c>
      <c r="DA1909" s="35">
        <v>0.08</v>
      </c>
      <c r="DB1909" s="36">
        <v>69</v>
      </c>
      <c r="DC1909" s="37">
        <v>2.2200000000000002</v>
      </c>
      <c r="DD1909" s="36">
        <v>69</v>
      </c>
      <c r="DE1909" s="37">
        <v>0</v>
      </c>
      <c r="DF1909" s="35">
        <v>-0.19</v>
      </c>
      <c r="DG1909" s="37">
        <v>1.93</v>
      </c>
      <c r="DH1909" s="36">
        <v>66</v>
      </c>
      <c r="DI1909" s="37">
        <v>2.5099999999999998</v>
      </c>
      <c r="DJ1909" s="36">
        <v>66</v>
      </c>
      <c r="DK1909" s="37">
        <v>0.4</v>
      </c>
      <c r="DL1909" s="36">
        <v>27</v>
      </c>
      <c r="DM1909" s="37">
        <v>3.45</v>
      </c>
      <c r="DN1909" s="36">
        <v>76</v>
      </c>
      <c r="DO1909" s="37">
        <v>3.96</v>
      </c>
      <c r="DP1909" s="36">
        <v>76</v>
      </c>
      <c r="DQ1909" s="36">
        <v>144</v>
      </c>
      <c r="DR1909" s="38">
        <v>-54</v>
      </c>
      <c r="DS1909" s="35">
        <v>-27.27</v>
      </c>
      <c r="DT1909" s="36">
        <v>100</v>
      </c>
      <c r="DU1909" s="38">
        <v>1</v>
      </c>
      <c r="DV1909" s="35">
        <v>1.01</v>
      </c>
      <c r="DW1909" s="36">
        <v>1413</v>
      </c>
      <c r="DX1909" s="39">
        <v>-1</v>
      </c>
      <c r="DY1909" s="35">
        <v>-7.0000000000000007E-2</v>
      </c>
      <c r="DZ1909" s="28" t="s">
        <v>178</v>
      </c>
      <c r="EA1909" s="34">
        <v>43600</v>
      </c>
      <c r="EB1909" s="29">
        <v>20</v>
      </c>
      <c r="EC1909" s="34">
        <v>42402</v>
      </c>
      <c r="ED1909" s="28" t="s">
        <v>205</v>
      </c>
      <c r="EE1909" s="40" t="str">
        <f>HYPERLINK("https://my.pitchbook.com?c=97476-58", "View company online")</f>
        <v>View company online</v>
      </c>
    </row>
    <row r="1910" spans="1:135">
      <c r="A1910" s="15" t="s">
        <v>36160</v>
      </c>
      <c r="B1910" s="15" t="s">
        <v>36161</v>
      </c>
      <c r="C1910" s="15" t="s">
        <v>36162</v>
      </c>
      <c r="D1910" s="15" t="s">
        <v>138</v>
      </c>
      <c r="E1910" s="15" t="s">
        <v>36163</v>
      </c>
      <c r="F1910" s="15" t="s">
        <v>36160</v>
      </c>
      <c r="G1910" s="15" t="s">
        <v>36164</v>
      </c>
      <c r="H1910" s="15" t="s">
        <v>322</v>
      </c>
      <c r="I1910" s="15" t="s">
        <v>323</v>
      </c>
      <c r="J1910" s="15" t="s">
        <v>324</v>
      </c>
      <c r="K1910" s="15" t="s">
        <v>36165</v>
      </c>
      <c r="L1910" s="15" t="s">
        <v>242</v>
      </c>
      <c r="M1910" s="15" t="s">
        <v>36166</v>
      </c>
      <c r="N1910" s="15" t="s">
        <v>147</v>
      </c>
      <c r="O1910" s="17">
        <v>375</v>
      </c>
      <c r="P1910" s="15" t="s">
        <v>148</v>
      </c>
      <c r="Q1910" s="15" t="s">
        <v>149</v>
      </c>
      <c r="R1910" s="15" t="s">
        <v>174</v>
      </c>
      <c r="S1910" s="15" t="s">
        <v>36167</v>
      </c>
      <c r="T1910" s="18">
        <v>220</v>
      </c>
      <c r="U1910" s="15" t="s">
        <v>36168</v>
      </c>
      <c r="V1910" s="15" t="s">
        <v>138</v>
      </c>
      <c r="W1910" s="15" t="s">
        <v>138</v>
      </c>
      <c r="X1910" s="19">
        <v>2011</v>
      </c>
      <c r="Y1910" s="15" t="s">
        <v>138</v>
      </c>
      <c r="Z1910" s="15" t="s">
        <v>138</v>
      </c>
      <c r="AA1910" s="15" t="s">
        <v>1163</v>
      </c>
      <c r="AB1910" s="20" t="s">
        <v>138</v>
      </c>
      <c r="AC1910" s="20" t="s">
        <v>138</v>
      </c>
      <c r="AD1910" s="20" t="s">
        <v>138</v>
      </c>
      <c r="AE1910" s="20" t="s">
        <v>138</v>
      </c>
      <c r="AF1910" s="20" t="s">
        <v>138</v>
      </c>
      <c r="AG1910" s="15" t="s">
        <v>138</v>
      </c>
      <c r="AH1910" s="20" t="s">
        <v>138</v>
      </c>
      <c r="AI1910" s="20" t="s">
        <v>138</v>
      </c>
      <c r="AJ1910" s="20" t="s">
        <v>138</v>
      </c>
      <c r="AK1910" s="15" t="s">
        <v>36169</v>
      </c>
      <c r="AL1910" s="15" t="s">
        <v>36170</v>
      </c>
      <c r="AM1910" s="15" t="s">
        <v>249</v>
      </c>
      <c r="AN1910" s="15" t="s">
        <v>36171</v>
      </c>
      <c r="AO1910" s="15" t="s">
        <v>36172</v>
      </c>
      <c r="AP1910" s="15" t="s">
        <v>36173</v>
      </c>
      <c r="AQ1910" s="15" t="s">
        <v>36174</v>
      </c>
      <c r="AR1910" s="15" t="s">
        <v>138</v>
      </c>
      <c r="AS1910" s="15" t="s">
        <v>36175</v>
      </c>
      <c r="AT1910" s="15" t="s">
        <v>864</v>
      </c>
      <c r="AU1910" s="15" t="s">
        <v>36176</v>
      </c>
      <c r="AV1910" s="15" t="s">
        <v>162</v>
      </c>
      <c r="AW1910" s="15" t="s">
        <v>36172</v>
      </c>
      <c r="AX1910" s="15" t="s">
        <v>36177</v>
      </c>
      <c r="AY1910" s="15" t="s">
        <v>36178</v>
      </c>
      <c r="AZ1910" s="15" t="s">
        <v>164</v>
      </c>
      <c r="BA1910" s="15" t="s">
        <v>165</v>
      </c>
      <c r="BB1910" s="15" t="s">
        <v>36179</v>
      </c>
      <c r="BC1910" s="15" t="s">
        <v>36180</v>
      </c>
      <c r="BD1910" s="21">
        <v>6</v>
      </c>
      <c r="BE1910" s="15" t="s">
        <v>138</v>
      </c>
      <c r="BF1910" s="15" t="s">
        <v>138</v>
      </c>
      <c r="BG1910" s="15" t="s">
        <v>138</v>
      </c>
      <c r="BH1910" s="15" t="s">
        <v>36181</v>
      </c>
      <c r="BI1910" s="15" t="s">
        <v>138</v>
      </c>
      <c r="BJ1910" s="15" t="s">
        <v>138</v>
      </c>
      <c r="BK1910" s="15" t="s">
        <v>1038</v>
      </c>
      <c r="BL1910" s="15" t="s">
        <v>36182</v>
      </c>
      <c r="BM1910" s="22">
        <v>41024</v>
      </c>
      <c r="BN1910" s="17">
        <v>9.5</v>
      </c>
      <c r="BO1910" s="15" t="s">
        <v>172</v>
      </c>
      <c r="BP1910" s="17">
        <v>23</v>
      </c>
      <c r="BQ1910" s="15" t="s">
        <v>172</v>
      </c>
      <c r="BR1910" s="15" t="s">
        <v>205</v>
      </c>
      <c r="BS1910" s="15" t="s">
        <v>206</v>
      </c>
      <c r="BT1910" s="15" t="s">
        <v>138</v>
      </c>
      <c r="BU1910" s="15" t="s">
        <v>174</v>
      </c>
      <c r="BV1910" s="15" t="s">
        <v>138</v>
      </c>
      <c r="BW1910" s="15" t="s">
        <v>138</v>
      </c>
      <c r="BX1910" s="15" t="s">
        <v>138</v>
      </c>
      <c r="BY1910" s="15" t="s">
        <v>175</v>
      </c>
      <c r="BZ1910" s="22">
        <v>43593</v>
      </c>
      <c r="CA1910" s="17">
        <v>114</v>
      </c>
      <c r="CB1910" s="15" t="s">
        <v>172</v>
      </c>
      <c r="CC1910" s="17" t="s">
        <v>138</v>
      </c>
      <c r="CD1910" s="15" t="s">
        <v>138</v>
      </c>
      <c r="CE1910" s="15" t="s">
        <v>173</v>
      </c>
      <c r="CF1910" s="15" t="s">
        <v>317</v>
      </c>
      <c r="CG1910" s="15" t="s">
        <v>138</v>
      </c>
      <c r="CH1910" s="15" t="s">
        <v>174</v>
      </c>
      <c r="CI1910" s="15" t="s">
        <v>138</v>
      </c>
      <c r="CJ1910" s="15" t="s">
        <v>138</v>
      </c>
      <c r="CK1910" s="15" t="s">
        <v>138</v>
      </c>
      <c r="CL1910" s="15" t="s">
        <v>175</v>
      </c>
      <c r="CM1910" s="22">
        <v>41340</v>
      </c>
      <c r="CN1910" s="17" t="s">
        <v>138</v>
      </c>
      <c r="CO1910" s="23">
        <v>0.79</v>
      </c>
      <c r="CP1910" s="24">
        <v>96</v>
      </c>
      <c r="CQ1910" s="23">
        <v>-0.31</v>
      </c>
      <c r="CR1910" s="23">
        <v>-28.27</v>
      </c>
      <c r="CS1910" s="23">
        <v>0.16</v>
      </c>
      <c r="CT1910" s="24">
        <v>94</v>
      </c>
      <c r="CU1910" s="23">
        <v>1.41</v>
      </c>
      <c r="CV1910" s="24">
        <v>99</v>
      </c>
      <c r="CW1910" s="23">
        <v>0</v>
      </c>
      <c r="CX1910" s="24">
        <v>13</v>
      </c>
      <c r="CY1910" s="23">
        <v>0.33</v>
      </c>
      <c r="CZ1910" s="24">
        <v>98</v>
      </c>
      <c r="DA1910" s="23">
        <v>1.41</v>
      </c>
      <c r="DB1910" s="24">
        <v>99</v>
      </c>
      <c r="DC1910" s="25">
        <v>1.76</v>
      </c>
      <c r="DD1910" s="24">
        <v>64</v>
      </c>
      <c r="DE1910" s="25">
        <v>-0.01</v>
      </c>
      <c r="DF1910" s="23">
        <v>-0.61</v>
      </c>
      <c r="DG1910" s="25">
        <v>2.46</v>
      </c>
      <c r="DH1910" s="24">
        <v>71</v>
      </c>
      <c r="DI1910" s="25">
        <v>1.06</v>
      </c>
      <c r="DJ1910" s="24">
        <v>50</v>
      </c>
      <c r="DK1910" s="25">
        <v>0.2</v>
      </c>
      <c r="DL1910" s="24">
        <v>9</v>
      </c>
      <c r="DM1910" s="25">
        <v>4.72</v>
      </c>
      <c r="DN1910" s="24">
        <v>81</v>
      </c>
      <c r="DO1910" s="25">
        <v>1.06</v>
      </c>
      <c r="DP1910" s="24">
        <v>52</v>
      </c>
      <c r="DQ1910" s="24">
        <v>82</v>
      </c>
      <c r="DR1910" s="26">
        <v>-41</v>
      </c>
      <c r="DS1910" s="23">
        <v>-33.33</v>
      </c>
      <c r="DT1910" s="24">
        <v>137</v>
      </c>
      <c r="DU1910" s="26">
        <v>0</v>
      </c>
      <c r="DV1910" s="23">
        <v>0</v>
      </c>
      <c r="DW1910" s="24">
        <v>379</v>
      </c>
      <c r="DX1910" s="27">
        <v>1</v>
      </c>
      <c r="DY1910" s="23">
        <v>0.26</v>
      </c>
      <c r="DZ1910" s="15" t="s">
        <v>178</v>
      </c>
      <c r="EA1910" s="22">
        <v>43593</v>
      </c>
      <c r="EB1910" s="17">
        <v>82</v>
      </c>
      <c r="EC1910" s="22">
        <v>43132</v>
      </c>
      <c r="ED1910" s="15" t="s">
        <v>173</v>
      </c>
      <c r="EE1910" s="14" t="str">
        <f>HYPERLINK("https://my.pitchbook.com?c=54335-26", "View company online")</f>
        <v>View company online</v>
      </c>
    </row>
    <row r="1911" spans="1:135">
      <c r="A1911" s="28" t="s">
        <v>36183</v>
      </c>
      <c r="B1911" s="28" t="s">
        <v>36184</v>
      </c>
      <c r="C1911" s="28" t="s">
        <v>138</v>
      </c>
      <c r="D1911" s="28" t="s">
        <v>138</v>
      </c>
      <c r="E1911" s="28" t="s">
        <v>36185</v>
      </c>
      <c r="F1911" s="28" t="s">
        <v>36183</v>
      </c>
      <c r="G1911" s="28" t="s">
        <v>36186</v>
      </c>
      <c r="H1911" s="28" t="s">
        <v>238</v>
      </c>
      <c r="I1911" s="28" t="s">
        <v>749</v>
      </c>
      <c r="J1911" s="28" t="s">
        <v>750</v>
      </c>
      <c r="K1911" s="28" t="s">
        <v>36187</v>
      </c>
      <c r="L1911" s="28" t="s">
        <v>14535</v>
      </c>
      <c r="M1911" s="28" t="s">
        <v>36188</v>
      </c>
      <c r="N1911" s="28" t="s">
        <v>147</v>
      </c>
      <c r="O1911" s="29">
        <v>74.599999999999994</v>
      </c>
      <c r="P1911" s="28" t="s">
        <v>148</v>
      </c>
      <c r="Q1911" s="28" t="s">
        <v>149</v>
      </c>
      <c r="R1911" s="28" t="s">
        <v>174</v>
      </c>
      <c r="S1911" s="28" t="s">
        <v>36189</v>
      </c>
      <c r="T1911" s="30" t="s">
        <v>138</v>
      </c>
      <c r="U1911" s="28" t="s">
        <v>138</v>
      </c>
      <c r="V1911" s="28" t="s">
        <v>138</v>
      </c>
      <c r="W1911" s="28" t="s">
        <v>138</v>
      </c>
      <c r="X1911" s="31">
        <v>2012</v>
      </c>
      <c r="Y1911" s="28" t="s">
        <v>138</v>
      </c>
      <c r="Z1911" s="28" t="s">
        <v>138</v>
      </c>
      <c r="AA1911" s="28" t="s">
        <v>138</v>
      </c>
      <c r="AB1911" s="32" t="s">
        <v>138</v>
      </c>
      <c r="AC1911" s="32" t="s">
        <v>138</v>
      </c>
      <c r="AD1911" s="32" t="s">
        <v>138</v>
      </c>
      <c r="AE1911" s="32" t="s">
        <v>138</v>
      </c>
      <c r="AF1911" s="32" t="s">
        <v>138</v>
      </c>
      <c r="AG1911" s="28" t="s">
        <v>138</v>
      </c>
      <c r="AH1911" s="32" t="s">
        <v>138</v>
      </c>
      <c r="AI1911" s="32" t="s">
        <v>138</v>
      </c>
      <c r="AJ1911" s="32" t="s">
        <v>138</v>
      </c>
      <c r="AK1911" s="28" t="s">
        <v>36190</v>
      </c>
      <c r="AL1911" s="28" t="s">
        <v>36191</v>
      </c>
      <c r="AM1911" s="28" t="s">
        <v>2949</v>
      </c>
      <c r="AN1911" s="28" t="s">
        <v>36192</v>
      </c>
      <c r="AO1911" s="28" t="s">
        <v>36193</v>
      </c>
      <c r="AP1911" s="28" t="s">
        <v>423</v>
      </c>
      <c r="AQ1911" s="28" t="s">
        <v>36194</v>
      </c>
      <c r="AR1911" s="28" t="s">
        <v>138</v>
      </c>
      <c r="AS1911" s="28" t="s">
        <v>426</v>
      </c>
      <c r="AT1911" s="28" t="s">
        <v>426</v>
      </c>
      <c r="AU1911" s="28" t="s">
        <v>2475</v>
      </c>
      <c r="AV1911" s="28" t="s">
        <v>162</v>
      </c>
      <c r="AW1911" s="28" t="s">
        <v>138</v>
      </c>
      <c r="AX1911" s="28" t="s">
        <v>138</v>
      </c>
      <c r="AY1911" s="28" t="s">
        <v>36195</v>
      </c>
      <c r="AZ1911" s="28" t="s">
        <v>164</v>
      </c>
      <c r="BA1911" s="28" t="s">
        <v>165</v>
      </c>
      <c r="BB1911" s="28" t="s">
        <v>36196</v>
      </c>
      <c r="BC1911" s="28" t="s">
        <v>36197</v>
      </c>
      <c r="BD1911" s="33">
        <v>42</v>
      </c>
      <c r="BE1911" s="28" t="s">
        <v>138</v>
      </c>
      <c r="BF1911" s="28" t="s">
        <v>138</v>
      </c>
      <c r="BG1911" s="28" t="s">
        <v>138</v>
      </c>
      <c r="BH1911" s="28" t="s">
        <v>36198</v>
      </c>
      <c r="BI1911" s="28" t="s">
        <v>138</v>
      </c>
      <c r="BJ1911" s="28" t="s">
        <v>138</v>
      </c>
      <c r="BK1911" s="28" t="s">
        <v>36199</v>
      </c>
      <c r="BL1911" s="28" t="s">
        <v>11847</v>
      </c>
      <c r="BM1911" s="34">
        <v>41598</v>
      </c>
      <c r="BN1911" s="29">
        <v>4.3</v>
      </c>
      <c r="BO1911" s="28" t="s">
        <v>172</v>
      </c>
      <c r="BP1911" s="29">
        <v>19.3</v>
      </c>
      <c r="BQ1911" s="28" t="s">
        <v>172</v>
      </c>
      <c r="BR1911" s="28" t="s">
        <v>234</v>
      </c>
      <c r="BS1911" s="28" t="s">
        <v>234</v>
      </c>
      <c r="BT1911" s="28" t="s">
        <v>138</v>
      </c>
      <c r="BU1911" s="28" t="s">
        <v>174</v>
      </c>
      <c r="BV1911" s="28" t="s">
        <v>1397</v>
      </c>
      <c r="BW1911" s="28" t="s">
        <v>138</v>
      </c>
      <c r="BX1911" s="28" t="s">
        <v>138</v>
      </c>
      <c r="BY1911" s="28" t="s">
        <v>175</v>
      </c>
      <c r="BZ1911" s="34">
        <v>43497</v>
      </c>
      <c r="CA1911" s="29">
        <v>3.85</v>
      </c>
      <c r="CB1911" s="28" t="s">
        <v>172</v>
      </c>
      <c r="CC1911" s="29">
        <v>20.85</v>
      </c>
      <c r="CD1911" s="28" t="s">
        <v>172</v>
      </c>
      <c r="CE1911" s="28" t="s">
        <v>173</v>
      </c>
      <c r="CF1911" s="28" t="s">
        <v>720</v>
      </c>
      <c r="CG1911" s="28" t="s">
        <v>138</v>
      </c>
      <c r="CH1911" s="28" t="s">
        <v>174</v>
      </c>
      <c r="CI1911" s="28" t="s">
        <v>138</v>
      </c>
      <c r="CJ1911" s="28" t="s">
        <v>138</v>
      </c>
      <c r="CK1911" s="28" t="s">
        <v>138</v>
      </c>
      <c r="CL1911" s="28" t="s">
        <v>175</v>
      </c>
      <c r="CM1911" s="34">
        <v>41598</v>
      </c>
      <c r="CN1911" s="29" t="s">
        <v>138</v>
      </c>
      <c r="CO1911" s="35">
        <v>0.45</v>
      </c>
      <c r="CP1911" s="36">
        <v>95</v>
      </c>
      <c r="CQ1911" s="35">
        <v>-0.01</v>
      </c>
      <c r="CR1911" s="35">
        <v>-2.1</v>
      </c>
      <c r="CS1911" s="35">
        <v>0.9</v>
      </c>
      <c r="CT1911" s="36">
        <v>96</v>
      </c>
      <c r="CU1911" s="35">
        <v>0.01</v>
      </c>
      <c r="CV1911" s="36">
        <v>49</v>
      </c>
      <c r="CW1911" s="35">
        <v>4.08</v>
      </c>
      <c r="CX1911" s="36">
        <v>94</v>
      </c>
      <c r="CY1911" s="35">
        <v>-2.2799999999999998</v>
      </c>
      <c r="CZ1911" s="36">
        <v>10</v>
      </c>
      <c r="DA1911" s="35">
        <v>0.05</v>
      </c>
      <c r="DB1911" s="36">
        <v>64</v>
      </c>
      <c r="DC1911" s="37">
        <v>187.67</v>
      </c>
      <c r="DD1911" s="36">
        <v>100</v>
      </c>
      <c r="DE1911" s="37">
        <v>-0.91</v>
      </c>
      <c r="DF1911" s="35">
        <v>-0.48</v>
      </c>
      <c r="DG1911" s="37">
        <v>34.590000000000003</v>
      </c>
      <c r="DH1911" s="36">
        <v>97</v>
      </c>
      <c r="DI1911" s="37">
        <v>340.76</v>
      </c>
      <c r="DJ1911" s="36">
        <v>99</v>
      </c>
      <c r="DK1911" s="37">
        <v>24.43</v>
      </c>
      <c r="DL1911" s="36">
        <v>93</v>
      </c>
      <c r="DM1911" s="37">
        <v>44.76</v>
      </c>
      <c r="DN1911" s="36">
        <v>98</v>
      </c>
      <c r="DO1911" s="37">
        <v>36.090000000000003</v>
      </c>
      <c r="DP1911" s="36">
        <v>95</v>
      </c>
      <c r="DQ1911" s="36">
        <v>8205</v>
      </c>
      <c r="DR1911" s="38">
        <v>519</v>
      </c>
      <c r="DS1911" s="35">
        <v>6.75</v>
      </c>
      <c r="DT1911" s="36">
        <v>1300</v>
      </c>
      <c r="DU1911" s="38">
        <v>-3</v>
      </c>
      <c r="DV1911" s="35">
        <v>-0.23</v>
      </c>
      <c r="DW1911" s="36">
        <v>12886</v>
      </c>
      <c r="DX1911" s="39">
        <v>24</v>
      </c>
      <c r="DY1911" s="35">
        <v>0.19</v>
      </c>
      <c r="DZ1911" s="28" t="s">
        <v>178</v>
      </c>
      <c r="EA1911" s="34">
        <v>43581</v>
      </c>
      <c r="EB1911" s="29">
        <v>20.85</v>
      </c>
      <c r="EC1911" s="34">
        <v>43497</v>
      </c>
      <c r="ED1911" s="28" t="s">
        <v>173</v>
      </c>
      <c r="EE1911" s="40" t="str">
        <f>HYPERLINK("https://my.pitchbook.com?c=57271-42", "View company online")</f>
        <v>View company online</v>
      </c>
    </row>
    <row r="1912" spans="1:135">
      <c r="A1912" s="15" t="s">
        <v>36200</v>
      </c>
      <c r="B1912" s="15" t="s">
        <v>36201</v>
      </c>
      <c r="C1912" s="15" t="s">
        <v>36202</v>
      </c>
      <c r="D1912" s="15" t="s">
        <v>138</v>
      </c>
      <c r="E1912" s="15" t="s">
        <v>36203</v>
      </c>
      <c r="F1912" s="15" t="s">
        <v>36200</v>
      </c>
      <c r="G1912" s="15" t="s">
        <v>36204</v>
      </c>
      <c r="H1912" s="15" t="s">
        <v>322</v>
      </c>
      <c r="I1912" s="15" t="s">
        <v>323</v>
      </c>
      <c r="J1912" s="15" t="s">
        <v>1084</v>
      </c>
      <c r="K1912" s="15" t="s">
        <v>4283</v>
      </c>
      <c r="L1912" s="15" t="s">
        <v>36205</v>
      </c>
      <c r="M1912" s="15" t="s">
        <v>36206</v>
      </c>
      <c r="N1912" s="15" t="s">
        <v>147</v>
      </c>
      <c r="O1912" s="17">
        <v>11</v>
      </c>
      <c r="P1912" s="15" t="s">
        <v>148</v>
      </c>
      <c r="Q1912" s="15" t="s">
        <v>149</v>
      </c>
      <c r="R1912" s="15" t="s">
        <v>174</v>
      </c>
      <c r="S1912" s="15" t="s">
        <v>36207</v>
      </c>
      <c r="T1912" s="18">
        <v>20</v>
      </c>
      <c r="U1912" s="15" t="s">
        <v>15213</v>
      </c>
      <c r="V1912" s="15" t="s">
        <v>138</v>
      </c>
      <c r="W1912" s="15" t="s">
        <v>138</v>
      </c>
      <c r="X1912" s="19">
        <v>2016</v>
      </c>
      <c r="Y1912" s="15" t="s">
        <v>138</v>
      </c>
      <c r="Z1912" s="15" t="s">
        <v>138</v>
      </c>
      <c r="AA1912" s="15" t="s">
        <v>138</v>
      </c>
      <c r="AB1912" s="20" t="s">
        <v>138</v>
      </c>
      <c r="AC1912" s="20" t="s">
        <v>138</v>
      </c>
      <c r="AD1912" s="20" t="s">
        <v>138</v>
      </c>
      <c r="AE1912" s="20" t="s">
        <v>138</v>
      </c>
      <c r="AF1912" s="20" t="s">
        <v>138</v>
      </c>
      <c r="AG1912" s="15" t="s">
        <v>138</v>
      </c>
      <c r="AH1912" s="20" t="s">
        <v>138</v>
      </c>
      <c r="AI1912" s="20" t="s">
        <v>138</v>
      </c>
      <c r="AJ1912" s="20" t="s">
        <v>138</v>
      </c>
      <c r="AK1912" s="15" t="s">
        <v>36208</v>
      </c>
      <c r="AL1912" s="15" t="s">
        <v>36209</v>
      </c>
      <c r="AM1912" s="15" t="s">
        <v>304</v>
      </c>
      <c r="AN1912" s="15" t="s">
        <v>36210</v>
      </c>
      <c r="AO1912" s="15" t="s">
        <v>138</v>
      </c>
      <c r="AP1912" s="15" t="s">
        <v>3970</v>
      </c>
      <c r="AQ1912" s="15" t="s">
        <v>36211</v>
      </c>
      <c r="AR1912" s="15" t="s">
        <v>138</v>
      </c>
      <c r="AS1912" s="15" t="s">
        <v>3972</v>
      </c>
      <c r="AT1912" s="15" t="s">
        <v>138</v>
      </c>
      <c r="AU1912" s="15" t="s">
        <v>138</v>
      </c>
      <c r="AV1912" s="15" t="s">
        <v>740</v>
      </c>
      <c r="AW1912" s="15" t="s">
        <v>138</v>
      </c>
      <c r="AX1912" s="15" t="s">
        <v>138</v>
      </c>
      <c r="AY1912" s="15" t="s">
        <v>138</v>
      </c>
      <c r="AZ1912" s="15" t="s">
        <v>742</v>
      </c>
      <c r="BA1912" s="15" t="s">
        <v>742</v>
      </c>
      <c r="BB1912" s="15" t="s">
        <v>36212</v>
      </c>
      <c r="BC1912" s="15" t="s">
        <v>36213</v>
      </c>
      <c r="BD1912" s="21">
        <v>6</v>
      </c>
      <c r="BE1912" s="15" t="s">
        <v>138</v>
      </c>
      <c r="BF1912" s="15" t="s">
        <v>138</v>
      </c>
      <c r="BG1912" s="15" t="s">
        <v>138</v>
      </c>
      <c r="BH1912" s="15" t="s">
        <v>36214</v>
      </c>
      <c r="BI1912" s="15" t="s">
        <v>138</v>
      </c>
      <c r="BJ1912" s="15" t="s">
        <v>138</v>
      </c>
      <c r="BK1912" s="15" t="s">
        <v>138</v>
      </c>
      <c r="BL1912" s="15" t="s">
        <v>138</v>
      </c>
      <c r="BM1912" s="22" t="s">
        <v>138</v>
      </c>
      <c r="BN1912" s="17">
        <v>4</v>
      </c>
      <c r="BO1912" s="15" t="s">
        <v>1178</v>
      </c>
      <c r="BP1912" s="17" t="s">
        <v>138</v>
      </c>
      <c r="BQ1912" s="15" t="s">
        <v>138</v>
      </c>
      <c r="BR1912" s="15" t="s">
        <v>205</v>
      </c>
      <c r="BS1912" s="15" t="s">
        <v>138</v>
      </c>
      <c r="BT1912" s="15" t="s">
        <v>138</v>
      </c>
      <c r="BU1912" s="15" t="s">
        <v>174</v>
      </c>
      <c r="BV1912" s="15" t="s">
        <v>138</v>
      </c>
      <c r="BW1912" s="15" t="s">
        <v>138</v>
      </c>
      <c r="BX1912" s="15" t="s">
        <v>138</v>
      </c>
      <c r="BY1912" s="15" t="s">
        <v>175</v>
      </c>
      <c r="BZ1912" s="22">
        <v>43409</v>
      </c>
      <c r="CA1912" s="17" t="s">
        <v>138</v>
      </c>
      <c r="CB1912" s="15" t="s">
        <v>138</v>
      </c>
      <c r="CC1912" s="17" t="s">
        <v>138</v>
      </c>
      <c r="CD1912" s="15" t="s">
        <v>138</v>
      </c>
      <c r="CE1912" s="15" t="s">
        <v>205</v>
      </c>
      <c r="CF1912" s="15" t="s">
        <v>138</v>
      </c>
      <c r="CG1912" s="15" t="s">
        <v>138</v>
      </c>
      <c r="CH1912" s="15" t="s">
        <v>174</v>
      </c>
      <c r="CI1912" s="15" t="s">
        <v>138</v>
      </c>
      <c r="CJ1912" s="15" t="s">
        <v>138</v>
      </c>
      <c r="CK1912" s="15" t="s">
        <v>138</v>
      </c>
      <c r="CL1912" s="15" t="s">
        <v>175</v>
      </c>
      <c r="CM1912" s="22" t="s">
        <v>138</v>
      </c>
      <c r="CN1912" s="17" t="s">
        <v>138</v>
      </c>
      <c r="CO1912" s="23">
        <v>0.06</v>
      </c>
      <c r="CP1912" s="24">
        <v>88</v>
      </c>
      <c r="CQ1912" s="23">
        <v>0.36</v>
      </c>
      <c r="CR1912" s="23">
        <v>118.85</v>
      </c>
      <c r="CS1912" s="23">
        <v>0</v>
      </c>
      <c r="CT1912" s="24">
        <v>23</v>
      </c>
      <c r="CU1912" s="23">
        <v>0.12</v>
      </c>
      <c r="CV1912" s="24">
        <v>71</v>
      </c>
      <c r="CW1912" s="23">
        <v>0</v>
      </c>
      <c r="CX1912" s="24">
        <v>13</v>
      </c>
      <c r="CY1912" s="23">
        <v>0</v>
      </c>
      <c r="CZ1912" s="24">
        <v>25</v>
      </c>
      <c r="DA1912" s="23">
        <v>0.23</v>
      </c>
      <c r="DB1912" s="24">
        <v>85</v>
      </c>
      <c r="DC1912" s="25">
        <v>1.05</v>
      </c>
      <c r="DD1912" s="24">
        <v>52</v>
      </c>
      <c r="DE1912" s="25">
        <v>-0.05</v>
      </c>
      <c r="DF1912" s="23">
        <v>-4.66</v>
      </c>
      <c r="DG1912" s="25">
        <v>1.05</v>
      </c>
      <c r="DH1912" s="24">
        <v>52</v>
      </c>
      <c r="DI1912" s="25">
        <v>1.06</v>
      </c>
      <c r="DJ1912" s="24">
        <v>50</v>
      </c>
      <c r="DK1912" s="25">
        <v>0.96</v>
      </c>
      <c r="DL1912" s="24">
        <v>49</v>
      </c>
      <c r="DM1912" s="25">
        <v>1.1399999999999999</v>
      </c>
      <c r="DN1912" s="24">
        <v>53</v>
      </c>
      <c r="DO1912" s="25">
        <v>2.08</v>
      </c>
      <c r="DP1912" s="24">
        <v>64</v>
      </c>
      <c r="DQ1912" s="24">
        <v>311</v>
      </c>
      <c r="DR1912" s="26">
        <v>50</v>
      </c>
      <c r="DS1912" s="23">
        <v>19.16</v>
      </c>
      <c r="DT1912" s="24">
        <v>33</v>
      </c>
      <c r="DU1912" s="26">
        <v>0</v>
      </c>
      <c r="DV1912" s="23">
        <v>0</v>
      </c>
      <c r="DW1912" s="24">
        <v>755</v>
      </c>
      <c r="DX1912" s="27">
        <v>-35</v>
      </c>
      <c r="DY1912" s="23">
        <v>-4.43</v>
      </c>
      <c r="DZ1912" s="15" t="s">
        <v>178</v>
      </c>
      <c r="EA1912" s="22">
        <v>43516</v>
      </c>
      <c r="EB1912" s="17" t="s">
        <v>138</v>
      </c>
      <c r="EC1912" s="22" t="s">
        <v>138</v>
      </c>
      <c r="ED1912" s="15" t="s">
        <v>138</v>
      </c>
      <c r="EE1912" s="14" t="str">
        <f>HYPERLINK("https://my.pitchbook.com?c=180504-10", "View company online")</f>
        <v>View company online</v>
      </c>
    </row>
    <row r="1913" spans="1:135">
      <c r="A1913" s="28" t="s">
        <v>36215</v>
      </c>
      <c r="B1913" s="28" t="s">
        <v>36216</v>
      </c>
      <c r="C1913" s="28" t="s">
        <v>138</v>
      </c>
      <c r="D1913" s="28" t="s">
        <v>138</v>
      </c>
      <c r="E1913" s="28" t="s">
        <v>138</v>
      </c>
      <c r="F1913" s="28" t="s">
        <v>36215</v>
      </c>
      <c r="G1913" s="28" t="s">
        <v>36217</v>
      </c>
      <c r="H1913" s="28" t="s">
        <v>141</v>
      </c>
      <c r="I1913" s="28" t="s">
        <v>212</v>
      </c>
      <c r="J1913" s="28" t="s">
        <v>3169</v>
      </c>
      <c r="K1913" s="28" t="s">
        <v>23878</v>
      </c>
      <c r="L1913" s="28" t="s">
        <v>5139</v>
      </c>
      <c r="M1913" s="28" t="s">
        <v>36218</v>
      </c>
      <c r="N1913" s="28" t="s">
        <v>147</v>
      </c>
      <c r="O1913" s="29" t="s">
        <v>138</v>
      </c>
      <c r="P1913" s="28" t="s">
        <v>610</v>
      </c>
      <c r="Q1913" s="28" t="s">
        <v>149</v>
      </c>
      <c r="R1913" s="28" t="s">
        <v>174</v>
      </c>
      <c r="S1913" s="28" t="s">
        <v>36219</v>
      </c>
      <c r="T1913" s="30" t="s">
        <v>138</v>
      </c>
      <c r="U1913" s="28" t="s">
        <v>138</v>
      </c>
      <c r="V1913" s="28" t="s">
        <v>138</v>
      </c>
      <c r="W1913" s="28" t="s">
        <v>138</v>
      </c>
      <c r="X1913" s="31">
        <v>2017</v>
      </c>
      <c r="Y1913" s="28" t="s">
        <v>138</v>
      </c>
      <c r="Z1913" s="28" t="s">
        <v>138</v>
      </c>
      <c r="AA1913" s="28" t="s">
        <v>138</v>
      </c>
      <c r="AB1913" s="32" t="s">
        <v>138</v>
      </c>
      <c r="AC1913" s="32" t="s">
        <v>138</v>
      </c>
      <c r="AD1913" s="32" t="s">
        <v>138</v>
      </c>
      <c r="AE1913" s="32" t="s">
        <v>138</v>
      </c>
      <c r="AF1913" s="32" t="s">
        <v>138</v>
      </c>
      <c r="AG1913" s="28" t="s">
        <v>138</v>
      </c>
      <c r="AH1913" s="32" t="s">
        <v>138</v>
      </c>
      <c r="AI1913" s="32" t="s">
        <v>138</v>
      </c>
      <c r="AJ1913" s="32" t="s">
        <v>138</v>
      </c>
      <c r="AK1913" s="28" t="s">
        <v>36220</v>
      </c>
      <c r="AL1913" s="28" t="s">
        <v>36221</v>
      </c>
      <c r="AM1913" s="28" t="s">
        <v>304</v>
      </c>
      <c r="AN1913" s="28" t="s">
        <v>36222</v>
      </c>
      <c r="AO1913" s="28" t="s">
        <v>138</v>
      </c>
      <c r="AP1913" s="28" t="s">
        <v>665</v>
      </c>
      <c r="AQ1913" s="28" t="s">
        <v>7556</v>
      </c>
      <c r="AR1913" s="28" t="s">
        <v>138</v>
      </c>
      <c r="AS1913" s="28" t="s">
        <v>668</v>
      </c>
      <c r="AT1913" s="28" t="s">
        <v>200</v>
      </c>
      <c r="AU1913" s="28" t="s">
        <v>691</v>
      </c>
      <c r="AV1913" s="28" t="s">
        <v>162</v>
      </c>
      <c r="AW1913" s="28" t="s">
        <v>138</v>
      </c>
      <c r="AX1913" s="28" t="s">
        <v>138</v>
      </c>
      <c r="AY1913" s="28" t="s">
        <v>138</v>
      </c>
      <c r="AZ1913" s="28" t="s">
        <v>164</v>
      </c>
      <c r="BA1913" s="28" t="s">
        <v>165</v>
      </c>
      <c r="BB1913" s="28" t="s">
        <v>36223</v>
      </c>
      <c r="BC1913" s="28" t="s">
        <v>36224</v>
      </c>
      <c r="BD1913" s="33">
        <v>4</v>
      </c>
      <c r="BE1913" s="28" t="s">
        <v>138</v>
      </c>
      <c r="BF1913" s="28" t="s">
        <v>138</v>
      </c>
      <c r="BG1913" s="28" t="s">
        <v>138</v>
      </c>
      <c r="BH1913" s="28" t="s">
        <v>36225</v>
      </c>
      <c r="BI1913" s="28" t="s">
        <v>138</v>
      </c>
      <c r="BJ1913" s="28" t="s">
        <v>138</v>
      </c>
      <c r="BK1913" s="28" t="s">
        <v>138</v>
      </c>
      <c r="BL1913" s="28" t="s">
        <v>138</v>
      </c>
      <c r="BM1913" s="34">
        <v>42856</v>
      </c>
      <c r="BN1913" s="29" t="s">
        <v>138</v>
      </c>
      <c r="BO1913" s="28" t="s">
        <v>138</v>
      </c>
      <c r="BP1913" s="29" t="s">
        <v>138</v>
      </c>
      <c r="BQ1913" s="28" t="s">
        <v>138</v>
      </c>
      <c r="BR1913" s="28" t="s">
        <v>205</v>
      </c>
      <c r="BS1913" s="28" t="s">
        <v>138</v>
      </c>
      <c r="BT1913" s="28" t="s">
        <v>138</v>
      </c>
      <c r="BU1913" s="28" t="s">
        <v>174</v>
      </c>
      <c r="BV1913" s="28" t="s">
        <v>138</v>
      </c>
      <c r="BW1913" s="28" t="s">
        <v>138</v>
      </c>
      <c r="BX1913" s="28" t="s">
        <v>138</v>
      </c>
      <c r="BY1913" s="28" t="s">
        <v>175</v>
      </c>
      <c r="BZ1913" s="34">
        <v>43024</v>
      </c>
      <c r="CA1913" s="29" t="s">
        <v>138</v>
      </c>
      <c r="CB1913" s="28" t="s">
        <v>138</v>
      </c>
      <c r="CC1913" s="29" t="s">
        <v>138</v>
      </c>
      <c r="CD1913" s="28" t="s">
        <v>138</v>
      </c>
      <c r="CE1913" s="28" t="s">
        <v>205</v>
      </c>
      <c r="CF1913" s="28" t="s">
        <v>138</v>
      </c>
      <c r="CG1913" s="28" t="s">
        <v>138</v>
      </c>
      <c r="CH1913" s="28" t="s">
        <v>174</v>
      </c>
      <c r="CI1913" s="28" t="s">
        <v>138</v>
      </c>
      <c r="CJ1913" s="28" t="s">
        <v>138</v>
      </c>
      <c r="CK1913" s="28" t="s">
        <v>138</v>
      </c>
      <c r="CL1913" s="28" t="s">
        <v>175</v>
      </c>
      <c r="CM1913" s="34" t="s">
        <v>138</v>
      </c>
      <c r="CN1913" s="29" t="s">
        <v>138</v>
      </c>
      <c r="CO1913" s="35">
        <v>-0.75</v>
      </c>
      <c r="CP1913" s="36">
        <v>13</v>
      </c>
      <c r="CQ1913" s="35">
        <v>0.02</v>
      </c>
      <c r="CR1913" s="35">
        <v>2.56</v>
      </c>
      <c r="CS1913" s="35">
        <v>-1.8</v>
      </c>
      <c r="CT1913" s="36">
        <v>10</v>
      </c>
      <c r="CU1913" s="35">
        <v>0.28999999999999998</v>
      </c>
      <c r="CV1913" s="36">
        <v>87</v>
      </c>
      <c r="CW1913" s="35">
        <v>-4.92</v>
      </c>
      <c r="CX1913" s="36">
        <v>3</v>
      </c>
      <c r="CY1913" s="35">
        <v>1.33</v>
      </c>
      <c r="CZ1913" s="36">
        <v>99</v>
      </c>
      <c r="DA1913" s="35">
        <v>0.43</v>
      </c>
      <c r="DB1913" s="36">
        <v>93</v>
      </c>
      <c r="DC1913" s="37">
        <v>3.7</v>
      </c>
      <c r="DD1913" s="36">
        <v>78</v>
      </c>
      <c r="DE1913" s="37">
        <v>-0.14000000000000001</v>
      </c>
      <c r="DF1913" s="35">
        <v>-3.75</v>
      </c>
      <c r="DG1913" s="37">
        <v>4.7300000000000004</v>
      </c>
      <c r="DH1913" s="36">
        <v>82</v>
      </c>
      <c r="DI1913" s="37">
        <v>2.66</v>
      </c>
      <c r="DJ1913" s="36">
        <v>67</v>
      </c>
      <c r="DK1913" s="37">
        <v>4.6399999999999997</v>
      </c>
      <c r="DL1913" s="36">
        <v>78</v>
      </c>
      <c r="DM1913" s="37">
        <v>4.83</v>
      </c>
      <c r="DN1913" s="36">
        <v>81</v>
      </c>
      <c r="DO1913" s="37">
        <v>3.8</v>
      </c>
      <c r="DP1913" s="36">
        <v>75</v>
      </c>
      <c r="DQ1913" s="36">
        <v>1551</v>
      </c>
      <c r="DR1913" s="38">
        <v>122</v>
      </c>
      <c r="DS1913" s="35">
        <v>8.5399999999999991</v>
      </c>
      <c r="DT1913" s="36">
        <v>140</v>
      </c>
      <c r="DU1913" s="38">
        <v>1</v>
      </c>
      <c r="DV1913" s="35">
        <v>0.72</v>
      </c>
      <c r="DW1913" s="36">
        <v>1359</v>
      </c>
      <c r="DX1913" s="39">
        <v>4</v>
      </c>
      <c r="DY1913" s="35">
        <v>0.3</v>
      </c>
      <c r="DZ1913" s="28" t="s">
        <v>178</v>
      </c>
      <c r="EA1913" s="34">
        <v>43557</v>
      </c>
      <c r="EB1913" s="29" t="s">
        <v>138</v>
      </c>
      <c r="EC1913" s="34" t="s">
        <v>138</v>
      </c>
      <c r="ED1913" s="28" t="s">
        <v>138</v>
      </c>
      <c r="EE1913" s="40" t="str">
        <f>HYPERLINK("https://my.pitchbook.com?c=181009-18", "View company online")</f>
        <v>View company online</v>
      </c>
    </row>
    <row r="1914" spans="1:135">
      <c r="A1914" s="15" t="s">
        <v>36226</v>
      </c>
      <c r="B1914" s="15" t="s">
        <v>36227</v>
      </c>
      <c r="C1914" s="15" t="s">
        <v>138</v>
      </c>
      <c r="D1914" s="15" t="s">
        <v>138</v>
      </c>
      <c r="E1914" s="15" t="s">
        <v>36228</v>
      </c>
      <c r="F1914" s="15" t="s">
        <v>36226</v>
      </c>
      <c r="G1914" s="15" t="s">
        <v>36229</v>
      </c>
      <c r="H1914" s="15" t="s">
        <v>238</v>
      </c>
      <c r="I1914" s="15" t="s">
        <v>239</v>
      </c>
      <c r="J1914" s="15" t="s">
        <v>8328</v>
      </c>
      <c r="K1914" s="15" t="s">
        <v>36230</v>
      </c>
      <c r="L1914" s="15" t="s">
        <v>215</v>
      </c>
      <c r="M1914" s="15" t="s">
        <v>36231</v>
      </c>
      <c r="N1914" s="15" t="s">
        <v>147</v>
      </c>
      <c r="O1914" s="17">
        <v>19.920000000000002</v>
      </c>
      <c r="P1914" s="15" t="s">
        <v>148</v>
      </c>
      <c r="Q1914" s="15" t="s">
        <v>149</v>
      </c>
      <c r="R1914" s="15" t="s">
        <v>174</v>
      </c>
      <c r="S1914" s="15" t="s">
        <v>36232</v>
      </c>
      <c r="T1914" s="18">
        <v>20</v>
      </c>
      <c r="U1914" s="15" t="s">
        <v>36233</v>
      </c>
      <c r="V1914" s="15" t="s">
        <v>138</v>
      </c>
      <c r="W1914" s="15" t="s">
        <v>138</v>
      </c>
      <c r="X1914" s="19">
        <v>2012</v>
      </c>
      <c r="Y1914" s="15" t="s">
        <v>138</v>
      </c>
      <c r="Z1914" s="15" t="s">
        <v>138</v>
      </c>
      <c r="AA1914" s="15" t="s">
        <v>138</v>
      </c>
      <c r="AB1914" s="20" t="s">
        <v>138</v>
      </c>
      <c r="AC1914" s="20" t="s">
        <v>138</v>
      </c>
      <c r="AD1914" s="20" t="s">
        <v>138</v>
      </c>
      <c r="AE1914" s="20" t="s">
        <v>138</v>
      </c>
      <c r="AF1914" s="20" t="s">
        <v>138</v>
      </c>
      <c r="AG1914" s="15" t="s">
        <v>138</v>
      </c>
      <c r="AH1914" s="20" t="s">
        <v>138</v>
      </c>
      <c r="AI1914" s="20" t="s">
        <v>138</v>
      </c>
      <c r="AJ1914" s="20" t="s">
        <v>138</v>
      </c>
      <c r="AK1914" s="15" t="s">
        <v>36234</v>
      </c>
      <c r="AL1914" s="15" t="s">
        <v>36235</v>
      </c>
      <c r="AM1914" s="15" t="s">
        <v>221</v>
      </c>
      <c r="AN1914" s="15" t="s">
        <v>36236</v>
      </c>
      <c r="AO1914" s="15" t="s">
        <v>36237</v>
      </c>
      <c r="AP1914" s="15" t="s">
        <v>1292</v>
      </c>
      <c r="AQ1914" s="15" t="s">
        <v>36238</v>
      </c>
      <c r="AR1914" s="15" t="s">
        <v>36239</v>
      </c>
      <c r="AS1914" s="15" t="s">
        <v>1294</v>
      </c>
      <c r="AT1914" s="15" t="s">
        <v>864</v>
      </c>
      <c r="AU1914" s="15" t="s">
        <v>12317</v>
      </c>
      <c r="AV1914" s="15" t="s">
        <v>162</v>
      </c>
      <c r="AW1914" s="15" t="s">
        <v>36237</v>
      </c>
      <c r="AX1914" s="15" t="s">
        <v>36240</v>
      </c>
      <c r="AY1914" s="15" t="s">
        <v>36241</v>
      </c>
      <c r="AZ1914" s="15" t="s">
        <v>164</v>
      </c>
      <c r="BA1914" s="15" t="s">
        <v>165</v>
      </c>
      <c r="BB1914" s="15" t="s">
        <v>36242</v>
      </c>
      <c r="BC1914" s="15" t="s">
        <v>36243</v>
      </c>
      <c r="BD1914" s="21">
        <v>8</v>
      </c>
      <c r="BE1914" s="15" t="s">
        <v>138</v>
      </c>
      <c r="BF1914" s="15" t="s">
        <v>138</v>
      </c>
      <c r="BG1914" s="15" t="s">
        <v>138</v>
      </c>
      <c r="BH1914" s="15" t="s">
        <v>36244</v>
      </c>
      <c r="BI1914" s="15" t="s">
        <v>138</v>
      </c>
      <c r="BJ1914" s="15" t="s">
        <v>138</v>
      </c>
      <c r="BK1914" s="15" t="s">
        <v>3826</v>
      </c>
      <c r="BL1914" s="15" t="s">
        <v>3826</v>
      </c>
      <c r="BM1914" s="22">
        <v>41467</v>
      </c>
      <c r="BN1914" s="17">
        <v>1</v>
      </c>
      <c r="BO1914" s="15" t="s">
        <v>172</v>
      </c>
      <c r="BP1914" s="17" t="s">
        <v>138</v>
      </c>
      <c r="BQ1914" s="15" t="s">
        <v>138</v>
      </c>
      <c r="BR1914" s="15" t="s">
        <v>234</v>
      </c>
      <c r="BS1914" s="15" t="s">
        <v>234</v>
      </c>
      <c r="BT1914" s="15" t="s">
        <v>138</v>
      </c>
      <c r="BU1914" s="15" t="s">
        <v>174</v>
      </c>
      <c r="BV1914" s="15" t="s">
        <v>138</v>
      </c>
      <c r="BW1914" s="15" t="s">
        <v>138</v>
      </c>
      <c r="BX1914" s="15" t="s">
        <v>138</v>
      </c>
      <c r="BY1914" s="15" t="s">
        <v>175</v>
      </c>
      <c r="BZ1914" s="22">
        <v>43308</v>
      </c>
      <c r="CA1914" s="17">
        <v>5.87</v>
      </c>
      <c r="CB1914" s="15" t="s">
        <v>172</v>
      </c>
      <c r="CC1914" s="17">
        <v>45.87</v>
      </c>
      <c r="CD1914" s="15" t="s">
        <v>172</v>
      </c>
      <c r="CE1914" s="15" t="s">
        <v>173</v>
      </c>
      <c r="CF1914" s="15" t="s">
        <v>433</v>
      </c>
      <c r="CG1914" s="15" t="s">
        <v>138</v>
      </c>
      <c r="CH1914" s="15" t="s">
        <v>174</v>
      </c>
      <c r="CI1914" s="15" t="s">
        <v>138</v>
      </c>
      <c r="CJ1914" s="15" t="s">
        <v>138</v>
      </c>
      <c r="CK1914" s="15" t="s">
        <v>138</v>
      </c>
      <c r="CL1914" s="15" t="s">
        <v>175</v>
      </c>
      <c r="CM1914" s="22" t="s">
        <v>138</v>
      </c>
      <c r="CN1914" s="17" t="s">
        <v>138</v>
      </c>
      <c r="CO1914" s="23">
        <v>1.75</v>
      </c>
      <c r="CP1914" s="24">
        <v>99</v>
      </c>
      <c r="CQ1914" s="23">
        <v>0.04</v>
      </c>
      <c r="CR1914" s="23">
        <v>2.6</v>
      </c>
      <c r="CS1914" s="23">
        <v>3.34</v>
      </c>
      <c r="CT1914" s="24">
        <v>99</v>
      </c>
      <c r="CU1914" s="23">
        <v>0.25</v>
      </c>
      <c r="CV1914" s="24">
        <v>84</v>
      </c>
      <c r="CW1914" s="23">
        <v>3.34</v>
      </c>
      <c r="CX1914" s="24">
        <v>92</v>
      </c>
      <c r="CY1914" s="23" t="s">
        <v>138</v>
      </c>
      <c r="CZ1914" s="24" t="s">
        <v>138</v>
      </c>
      <c r="DA1914" s="23">
        <v>0.22</v>
      </c>
      <c r="DB1914" s="24">
        <v>84</v>
      </c>
      <c r="DC1914" s="25">
        <v>1021.31</v>
      </c>
      <c r="DD1914" s="24">
        <v>100</v>
      </c>
      <c r="DE1914" s="25">
        <v>-129.88999999999999</v>
      </c>
      <c r="DF1914" s="23">
        <v>-11.28</v>
      </c>
      <c r="DG1914" s="25">
        <v>3038.9</v>
      </c>
      <c r="DH1914" s="24">
        <v>100</v>
      </c>
      <c r="DI1914" s="25">
        <v>23.73</v>
      </c>
      <c r="DJ1914" s="24">
        <v>92</v>
      </c>
      <c r="DK1914" s="25">
        <v>3038.9</v>
      </c>
      <c r="DL1914" s="24">
        <v>100</v>
      </c>
      <c r="DM1914" s="25" t="s">
        <v>138</v>
      </c>
      <c r="DN1914" s="24" t="s">
        <v>138</v>
      </c>
      <c r="DO1914" s="25">
        <v>40.33</v>
      </c>
      <c r="DP1914" s="24">
        <v>96</v>
      </c>
      <c r="DQ1914" s="24">
        <v>1019989</v>
      </c>
      <c r="DR1914" s="26">
        <v>67060</v>
      </c>
      <c r="DS1914" s="23">
        <v>7.04</v>
      </c>
      <c r="DT1914" s="24" t="s">
        <v>138</v>
      </c>
      <c r="DU1914" s="26" t="s">
        <v>138</v>
      </c>
      <c r="DV1914" s="23" t="s">
        <v>138</v>
      </c>
      <c r="DW1914" s="24">
        <v>14427</v>
      </c>
      <c r="DX1914" s="27">
        <v>18</v>
      </c>
      <c r="DY1914" s="23">
        <v>0.12</v>
      </c>
      <c r="DZ1914" s="15" t="s">
        <v>178</v>
      </c>
      <c r="EA1914" s="22">
        <v>43581</v>
      </c>
      <c r="EB1914" s="17">
        <v>45.87</v>
      </c>
      <c r="EC1914" s="22">
        <v>43308</v>
      </c>
      <c r="ED1914" s="15" t="s">
        <v>173</v>
      </c>
      <c r="EE1914" s="14" t="str">
        <f>HYPERLINK("https://my.pitchbook.com?c=61338-25", "View company online")</f>
        <v>View company online</v>
      </c>
    </row>
    <row r="1915" spans="1:135">
      <c r="A1915" s="28" t="s">
        <v>36245</v>
      </c>
      <c r="B1915" s="28" t="s">
        <v>36246</v>
      </c>
      <c r="C1915" s="28" t="s">
        <v>138</v>
      </c>
      <c r="D1915" s="28" t="s">
        <v>138</v>
      </c>
      <c r="E1915" s="28" t="s">
        <v>138</v>
      </c>
      <c r="F1915" s="28" t="s">
        <v>36245</v>
      </c>
      <c r="G1915" s="28" t="s">
        <v>36247</v>
      </c>
      <c r="H1915" s="28" t="s">
        <v>322</v>
      </c>
      <c r="I1915" s="28" t="s">
        <v>323</v>
      </c>
      <c r="J1915" s="28" t="s">
        <v>1184</v>
      </c>
      <c r="K1915" s="28" t="s">
        <v>36248</v>
      </c>
      <c r="L1915" s="28" t="s">
        <v>2641</v>
      </c>
      <c r="M1915" s="28" t="s">
        <v>36249</v>
      </c>
      <c r="N1915" s="28" t="s">
        <v>147</v>
      </c>
      <c r="O1915" s="29">
        <v>13.43</v>
      </c>
      <c r="P1915" s="28" t="s">
        <v>148</v>
      </c>
      <c r="Q1915" s="28" t="s">
        <v>149</v>
      </c>
      <c r="R1915" s="28" t="s">
        <v>174</v>
      </c>
      <c r="S1915" s="28" t="s">
        <v>36250</v>
      </c>
      <c r="T1915" s="30">
        <v>25</v>
      </c>
      <c r="U1915" s="28" t="s">
        <v>36251</v>
      </c>
      <c r="V1915" s="28" t="s">
        <v>138</v>
      </c>
      <c r="W1915" s="28" t="s">
        <v>138</v>
      </c>
      <c r="X1915" s="31">
        <v>2013</v>
      </c>
      <c r="Y1915" s="28" t="s">
        <v>138</v>
      </c>
      <c r="Z1915" s="28" t="s">
        <v>138</v>
      </c>
      <c r="AA1915" s="28" t="s">
        <v>138</v>
      </c>
      <c r="AB1915" s="32" t="s">
        <v>138</v>
      </c>
      <c r="AC1915" s="32" t="s">
        <v>138</v>
      </c>
      <c r="AD1915" s="32" t="s">
        <v>138</v>
      </c>
      <c r="AE1915" s="32" t="s">
        <v>138</v>
      </c>
      <c r="AF1915" s="32" t="s">
        <v>138</v>
      </c>
      <c r="AG1915" s="28" t="s">
        <v>138</v>
      </c>
      <c r="AH1915" s="32" t="s">
        <v>138</v>
      </c>
      <c r="AI1915" s="32" t="s">
        <v>138</v>
      </c>
      <c r="AJ1915" s="32" t="s">
        <v>138</v>
      </c>
      <c r="AK1915" s="28" t="s">
        <v>36252</v>
      </c>
      <c r="AL1915" s="28" t="s">
        <v>36253</v>
      </c>
      <c r="AM1915" s="28" t="s">
        <v>249</v>
      </c>
      <c r="AN1915" s="28" t="s">
        <v>36254</v>
      </c>
      <c r="AO1915" s="28" t="s">
        <v>36255</v>
      </c>
      <c r="AP1915" s="28" t="s">
        <v>14127</v>
      </c>
      <c r="AQ1915" s="28" t="s">
        <v>36256</v>
      </c>
      <c r="AR1915" s="28" t="s">
        <v>36257</v>
      </c>
      <c r="AS1915" s="28" t="s">
        <v>14129</v>
      </c>
      <c r="AT1915" s="28" t="s">
        <v>14130</v>
      </c>
      <c r="AU1915" s="28" t="s">
        <v>36258</v>
      </c>
      <c r="AV1915" s="28" t="s">
        <v>2742</v>
      </c>
      <c r="AW1915" s="28" t="s">
        <v>36259</v>
      </c>
      <c r="AX1915" s="28" t="s">
        <v>138</v>
      </c>
      <c r="AY1915" s="28" t="s">
        <v>36260</v>
      </c>
      <c r="AZ1915" s="28" t="s">
        <v>164</v>
      </c>
      <c r="BA1915" s="28" t="s">
        <v>165</v>
      </c>
      <c r="BB1915" s="28" t="s">
        <v>36261</v>
      </c>
      <c r="BC1915" s="28" t="s">
        <v>36262</v>
      </c>
      <c r="BD1915" s="33">
        <v>12</v>
      </c>
      <c r="BE1915" s="28" t="s">
        <v>138</v>
      </c>
      <c r="BF1915" s="28" t="s">
        <v>138</v>
      </c>
      <c r="BG1915" s="28" t="s">
        <v>138</v>
      </c>
      <c r="BH1915" s="28" t="s">
        <v>36263</v>
      </c>
      <c r="BI1915" s="28" t="s">
        <v>138</v>
      </c>
      <c r="BJ1915" s="28" t="s">
        <v>138</v>
      </c>
      <c r="BK1915" s="28" t="s">
        <v>138</v>
      </c>
      <c r="BL1915" s="28" t="s">
        <v>36264</v>
      </c>
      <c r="BM1915" s="34">
        <v>41518</v>
      </c>
      <c r="BN1915" s="29">
        <v>0.35</v>
      </c>
      <c r="BO1915" s="28" t="s">
        <v>172</v>
      </c>
      <c r="BP1915" s="29" t="s">
        <v>138</v>
      </c>
      <c r="BQ1915" s="28" t="s">
        <v>138</v>
      </c>
      <c r="BR1915" s="28" t="s">
        <v>316</v>
      </c>
      <c r="BS1915" s="28" t="s">
        <v>138</v>
      </c>
      <c r="BT1915" s="28" t="s">
        <v>138</v>
      </c>
      <c r="BU1915" s="28" t="s">
        <v>263</v>
      </c>
      <c r="BV1915" s="28" t="s">
        <v>138</v>
      </c>
      <c r="BW1915" s="28" t="s">
        <v>138</v>
      </c>
      <c r="BX1915" s="28" t="s">
        <v>138</v>
      </c>
      <c r="BY1915" s="28" t="s">
        <v>175</v>
      </c>
      <c r="BZ1915" s="34">
        <v>43314</v>
      </c>
      <c r="CA1915" s="29" t="s">
        <v>138</v>
      </c>
      <c r="CB1915" s="28" t="s">
        <v>138</v>
      </c>
      <c r="CC1915" s="29" t="s">
        <v>138</v>
      </c>
      <c r="CD1915" s="28" t="s">
        <v>138</v>
      </c>
      <c r="CE1915" s="28" t="s">
        <v>379</v>
      </c>
      <c r="CF1915" s="28" t="s">
        <v>138</v>
      </c>
      <c r="CG1915" s="28" t="s">
        <v>138</v>
      </c>
      <c r="CH1915" s="28" t="s">
        <v>174</v>
      </c>
      <c r="CI1915" s="28" t="s">
        <v>138</v>
      </c>
      <c r="CJ1915" s="28" t="s">
        <v>138</v>
      </c>
      <c r="CK1915" s="28" t="s">
        <v>138</v>
      </c>
      <c r="CL1915" s="28" t="s">
        <v>175</v>
      </c>
      <c r="CM1915" s="34" t="s">
        <v>138</v>
      </c>
      <c r="CN1915" s="29" t="s">
        <v>138</v>
      </c>
      <c r="CO1915" s="35">
        <v>0.23</v>
      </c>
      <c r="CP1915" s="36">
        <v>93</v>
      </c>
      <c r="CQ1915" s="35">
        <v>0.12</v>
      </c>
      <c r="CR1915" s="35">
        <v>99.68</v>
      </c>
      <c r="CS1915" s="35">
        <v>0</v>
      </c>
      <c r="CT1915" s="36">
        <v>23</v>
      </c>
      <c r="CU1915" s="35">
        <v>0.46</v>
      </c>
      <c r="CV1915" s="36">
        <v>93</v>
      </c>
      <c r="CW1915" s="35">
        <v>0</v>
      </c>
      <c r="CX1915" s="36">
        <v>13</v>
      </c>
      <c r="CY1915" s="35">
        <v>0</v>
      </c>
      <c r="CZ1915" s="36">
        <v>25</v>
      </c>
      <c r="DA1915" s="35">
        <v>0.46</v>
      </c>
      <c r="DB1915" s="36">
        <v>93</v>
      </c>
      <c r="DC1915" s="37">
        <v>1.98</v>
      </c>
      <c r="DD1915" s="36">
        <v>67</v>
      </c>
      <c r="DE1915" s="37">
        <v>0.38</v>
      </c>
      <c r="DF1915" s="35">
        <v>23.49</v>
      </c>
      <c r="DG1915" s="37">
        <v>2.1800000000000002</v>
      </c>
      <c r="DH1915" s="36">
        <v>69</v>
      </c>
      <c r="DI1915" s="37">
        <v>1.77</v>
      </c>
      <c r="DJ1915" s="36">
        <v>60</v>
      </c>
      <c r="DK1915" s="37">
        <v>2.02</v>
      </c>
      <c r="DL1915" s="36">
        <v>65</v>
      </c>
      <c r="DM1915" s="37">
        <v>2.34</v>
      </c>
      <c r="DN1915" s="36">
        <v>69</v>
      </c>
      <c r="DO1915" s="37">
        <v>1.77</v>
      </c>
      <c r="DP1915" s="36">
        <v>61</v>
      </c>
      <c r="DQ1915" s="36">
        <v>684</v>
      </c>
      <c r="DR1915" s="38">
        <v>29</v>
      </c>
      <c r="DS1915" s="35">
        <v>4.43</v>
      </c>
      <c r="DT1915" s="36">
        <v>68</v>
      </c>
      <c r="DU1915" s="38">
        <v>1</v>
      </c>
      <c r="DV1915" s="35">
        <v>1.49</v>
      </c>
      <c r="DW1915" s="36">
        <v>634</v>
      </c>
      <c r="DX1915" s="39">
        <v>1</v>
      </c>
      <c r="DY1915" s="35">
        <v>0.16</v>
      </c>
      <c r="DZ1915" s="28" t="s">
        <v>178</v>
      </c>
      <c r="EA1915" s="34">
        <v>43574</v>
      </c>
      <c r="EB1915" s="29" t="s">
        <v>138</v>
      </c>
      <c r="EC1915" s="34" t="s">
        <v>138</v>
      </c>
      <c r="ED1915" s="28" t="s">
        <v>138</v>
      </c>
      <c r="EE1915" s="40" t="str">
        <f>HYPERLINK("https://my.pitchbook.com?c=65905-66", "View company online")</f>
        <v>View company online</v>
      </c>
    </row>
    <row r="1916" spans="1:135">
      <c r="A1916" s="15" t="s">
        <v>36265</v>
      </c>
      <c r="B1916" s="15" t="s">
        <v>36266</v>
      </c>
      <c r="C1916" s="15" t="s">
        <v>138</v>
      </c>
      <c r="D1916" s="15" t="s">
        <v>138</v>
      </c>
      <c r="E1916" s="15" t="s">
        <v>36267</v>
      </c>
      <c r="F1916" s="15" t="s">
        <v>36265</v>
      </c>
      <c r="G1916" s="15" t="s">
        <v>36268</v>
      </c>
      <c r="H1916" s="15" t="s">
        <v>322</v>
      </c>
      <c r="I1916" s="15" t="s">
        <v>356</v>
      </c>
      <c r="J1916" s="15" t="s">
        <v>3852</v>
      </c>
      <c r="K1916" s="15" t="s">
        <v>25369</v>
      </c>
      <c r="L1916" s="15" t="s">
        <v>415</v>
      </c>
      <c r="M1916" s="15" t="s">
        <v>36269</v>
      </c>
      <c r="N1916" s="15" t="s">
        <v>147</v>
      </c>
      <c r="O1916" s="17">
        <v>99.99</v>
      </c>
      <c r="P1916" s="15" t="s">
        <v>148</v>
      </c>
      <c r="Q1916" s="15" t="s">
        <v>149</v>
      </c>
      <c r="R1916" s="15" t="s">
        <v>174</v>
      </c>
      <c r="S1916" s="15" t="s">
        <v>36270</v>
      </c>
      <c r="T1916" s="18">
        <v>51</v>
      </c>
      <c r="U1916" s="15" t="s">
        <v>36271</v>
      </c>
      <c r="V1916" s="15" t="s">
        <v>138</v>
      </c>
      <c r="W1916" s="15" t="s">
        <v>138</v>
      </c>
      <c r="X1916" s="19">
        <v>2003</v>
      </c>
      <c r="Y1916" s="15" t="s">
        <v>138</v>
      </c>
      <c r="Z1916" s="15" t="s">
        <v>138</v>
      </c>
      <c r="AA1916" s="15" t="s">
        <v>138</v>
      </c>
      <c r="AB1916" s="20" t="s">
        <v>138</v>
      </c>
      <c r="AC1916" s="20" t="s">
        <v>138</v>
      </c>
      <c r="AD1916" s="20" t="s">
        <v>138</v>
      </c>
      <c r="AE1916" s="20" t="s">
        <v>138</v>
      </c>
      <c r="AF1916" s="20" t="s">
        <v>138</v>
      </c>
      <c r="AG1916" s="15" t="s">
        <v>138</v>
      </c>
      <c r="AH1916" s="20" t="s">
        <v>138</v>
      </c>
      <c r="AI1916" s="20" t="s">
        <v>138</v>
      </c>
      <c r="AJ1916" s="20" t="s">
        <v>138</v>
      </c>
      <c r="AK1916" s="15" t="s">
        <v>36272</v>
      </c>
      <c r="AL1916" s="15" t="s">
        <v>36273</v>
      </c>
      <c r="AM1916" s="15" t="s">
        <v>566</v>
      </c>
      <c r="AN1916" s="15" t="s">
        <v>36274</v>
      </c>
      <c r="AO1916" s="15" t="s">
        <v>36275</v>
      </c>
      <c r="AP1916" s="15" t="s">
        <v>639</v>
      </c>
      <c r="AQ1916" s="15" t="s">
        <v>36276</v>
      </c>
      <c r="AR1916" s="15" t="s">
        <v>158</v>
      </c>
      <c r="AS1916" s="15" t="s">
        <v>642</v>
      </c>
      <c r="AT1916" s="15" t="s">
        <v>474</v>
      </c>
      <c r="AU1916" s="15" t="s">
        <v>36277</v>
      </c>
      <c r="AV1916" s="15" t="s">
        <v>162</v>
      </c>
      <c r="AW1916" s="15" t="s">
        <v>36275</v>
      </c>
      <c r="AX1916" s="15" t="s">
        <v>138</v>
      </c>
      <c r="AY1916" s="15" t="s">
        <v>138</v>
      </c>
      <c r="AZ1916" s="15" t="s">
        <v>164</v>
      </c>
      <c r="BA1916" s="15" t="s">
        <v>165</v>
      </c>
      <c r="BB1916" s="15" t="s">
        <v>36278</v>
      </c>
      <c r="BC1916" s="15" t="s">
        <v>36279</v>
      </c>
      <c r="BD1916" s="21">
        <v>14</v>
      </c>
      <c r="BE1916" s="15" t="s">
        <v>138</v>
      </c>
      <c r="BF1916" s="15" t="s">
        <v>138</v>
      </c>
      <c r="BG1916" s="15" t="s">
        <v>138</v>
      </c>
      <c r="BH1916" s="15" t="s">
        <v>36280</v>
      </c>
      <c r="BI1916" s="15" t="s">
        <v>138</v>
      </c>
      <c r="BJ1916" s="15" t="s">
        <v>138</v>
      </c>
      <c r="BK1916" s="15" t="s">
        <v>36281</v>
      </c>
      <c r="BL1916" s="15" t="s">
        <v>36282</v>
      </c>
      <c r="BM1916" s="22">
        <v>38170</v>
      </c>
      <c r="BN1916" s="17">
        <v>41.46</v>
      </c>
      <c r="BO1916" s="15" t="s">
        <v>172</v>
      </c>
      <c r="BP1916" s="17" t="s">
        <v>138</v>
      </c>
      <c r="BQ1916" s="15" t="s">
        <v>138</v>
      </c>
      <c r="BR1916" s="15" t="s">
        <v>205</v>
      </c>
      <c r="BS1916" s="15" t="s">
        <v>206</v>
      </c>
      <c r="BT1916" s="15" t="s">
        <v>138</v>
      </c>
      <c r="BU1916" s="15" t="s">
        <v>174</v>
      </c>
      <c r="BV1916" s="15" t="s">
        <v>138</v>
      </c>
      <c r="BW1916" s="15" t="s">
        <v>138</v>
      </c>
      <c r="BX1916" s="15" t="s">
        <v>138</v>
      </c>
      <c r="BY1916" s="15" t="s">
        <v>175</v>
      </c>
      <c r="BZ1916" s="22">
        <v>41604</v>
      </c>
      <c r="CA1916" s="17">
        <v>0.5</v>
      </c>
      <c r="CB1916" s="15" t="s">
        <v>172</v>
      </c>
      <c r="CC1916" s="17" t="s">
        <v>138</v>
      </c>
      <c r="CD1916" s="15" t="s">
        <v>138</v>
      </c>
      <c r="CE1916" s="15" t="s">
        <v>173</v>
      </c>
      <c r="CF1916" s="15" t="s">
        <v>9447</v>
      </c>
      <c r="CG1916" s="15" t="s">
        <v>138</v>
      </c>
      <c r="CH1916" s="15" t="s">
        <v>174</v>
      </c>
      <c r="CI1916" s="15" t="s">
        <v>1397</v>
      </c>
      <c r="CJ1916" s="15" t="s">
        <v>138</v>
      </c>
      <c r="CK1916" s="15" t="s">
        <v>138</v>
      </c>
      <c r="CL1916" s="15" t="s">
        <v>175</v>
      </c>
      <c r="CM1916" s="22">
        <v>41604</v>
      </c>
      <c r="CN1916" s="17" t="s">
        <v>138</v>
      </c>
      <c r="CO1916" s="23">
        <v>-1.79</v>
      </c>
      <c r="CP1916" s="24">
        <v>6</v>
      </c>
      <c r="CQ1916" s="23">
        <v>0.1</v>
      </c>
      <c r="CR1916" s="23">
        <v>5.25</v>
      </c>
      <c r="CS1916" s="23">
        <v>-1.79</v>
      </c>
      <c r="CT1916" s="24">
        <v>10</v>
      </c>
      <c r="CU1916" s="23" t="s">
        <v>138</v>
      </c>
      <c r="CV1916" s="24" t="s">
        <v>138</v>
      </c>
      <c r="CW1916" s="23" t="s">
        <v>138</v>
      </c>
      <c r="CX1916" s="24" t="s">
        <v>138</v>
      </c>
      <c r="CY1916" s="23">
        <v>-1.79</v>
      </c>
      <c r="CZ1916" s="24">
        <v>13</v>
      </c>
      <c r="DA1916" s="23" t="s">
        <v>138</v>
      </c>
      <c r="DB1916" s="24" t="s">
        <v>138</v>
      </c>
      <c r="DC1916" s="25">
        <v>8.14</v>
      </c>
      <c r="DD1916" s="24">
        <v>88</v>
      </c>
      <c r="DE1916" s="25">
        <v>0.03</v>
      </c>
      <c r="DF1916" s="23">
        <v>0.43</v>
      </c>
      <c r="DG1916" s="25">
        <v>8.14</v>
      </c>
      <c r="DH1916" s="24">
        <v>88</v>
      </c>
      <c r="DI1916" s="25" t="s">
        <v>138</v>
      </c>
      <c r="DJ1916" s="24" t="s">
        <v>138</v>
      </c>
      <c r="DK1916" s="25" t="s">
        <v>138</v>
      </c>
      <c r="DL1916" s="24" t="s">
        <v>138</v>
      </c>
      <c r="DM1916" s="25">
        <v>8.14</v>
      </c>
      <c r="DN1916" s="24">
        <v>87</v>
      </c>
      <c r="DO1916" s="25" t="s">
        <v>138</v>
      </c>
      <c r="DP1916" s="24" t="s">
        <v>138</v>
      </c>
      <c r="DQ1916" s="24" t="s">
        <v>138</v>
      </c>
      <c r="DR1916" s="26" t="s">
        <v>138</v>
      </c>
      <c r="DS1916" s="23" t="s">
        <v>138</v>
      </c>
      <c r="DT1916" s="24">
        <v>235</v>
      </c>
      <c r="DU1916" s="26">
        <v>1</v>
      </c>
      <c r="DV1916" s="23">
        <v>0.43</v>
      </c>
      <c r="DW1916" s="24" t="s">
        <v>138</v>
      </c>
      <c r="DX1916" s="27" t="s">
        <v>138</v>
      </c>
      <c r="DY1916" s="23" t="s">
        <v>138</v>
      </c>
      <c r="DZ1916" s="15" t="s">
        <v>178</v>
      </c>
      <c r="EA1916" s="22">
        <v>43371</v>
      </c>
      <c r="EB1916" s="17" t="s">
        <v>138</v>
      </c>
      <c r="EC1916" s="22" t="s">
        <v>138</v>
      </c>
      <c r="ED1916" s="15" t="s">
        <v>138</v>
      </c>
      <c r="EE1916" s="14" t="str">
        <f>HYPERLINK("https://my.pitchbook.com?c=53386-21", "View company online")</f>
        <v>View company online</v>
      </c>
    </row>
    <row r="1917" spans="1:135">
      <c r="A1917" s="28" t="s">
        <v>36283</v>
      </c>
      <c r="B1917" s="28" t="s">
        <v>36284</v>
      </c>
      <c r="C1917" s="28" t="s">
        <v>138</v>
      </c>
      <c r="D1917" s="28" t="s">
        <v>36285</v>
      </c>
      <c r="E1917" s="28" t="s">
        <v>36286</v>
      </c>
      <c r="F1917" s="28" t="s">
        <v>36283</v>
      </c>
      <c r="G1917" s="28" t="s">
        <v>36287</v>
      </c>
      <c r="H1917" s="28" t="s">
        <v>890</v>
      </c>
      <c r="I1917" s="28" t="s">
        <v>891</v>
      </c>
      <c r="J1917" s="28" t="s">
        <v>7528</v>
      </c>
      <c r="K1917" s="28" t="s">
        <v>32975</v>
      </c>
      <c r="L1917" s="28" t="s">
        <v>138</v>
      </c>
      <c r="M1917" s="28" t="s">
        <v>36288</v>
      </c>
      <c r="N1917" s="28" t="s">
        <v>147</v>
      </c>
      <c r="O1917" s="29">
        <v>11.1</v>
      </c>
      <c r="P1917" s="28" t="s">
        <v>148</v>
      </c>
      <c r="Q1917" s="28" t="s">
        <v>149</v>
      </c>
      <c r="R1917" s="28" t="s">
        <v>150</v>
      </c>
      <c r="S1917" s="28" t="s">
        <v>36289</v>
      </c>
      <c r="T1917" s="30">
        <v>10</v>
      </c>
      <c r="U1917" s="28" t="s">
        <v>36290</v>
      </c>
      <c r="V1917" s="28" t="s">
        <v>138</v>
      </c>
      <c r="W1917" s="28" t="s">
        <v>138</v>
      </c>
      <c r="X1917" s="31">
        <v>2012</v>
      </c>
      <c r="Y1917" s="28" t="s">
        <v>138</v>
      </c>
      <c r="Z1917" s="28" t="s">
        <v>138</v>
      </c>
      <c r="AA1917" s="28" t="s">
        <v>138</v>
      </c>
      <c r="AB1917" s="32" t="s">
        <v>138</v>
      </c>
      <c r="AC1917" s="32" t="s">
        <v>138</v>
      </c>
      <c r="AD1917" s="32" t="s">
        <v>138</v>
      </c>
      <c r="AE1917" s="32" t="s">
        <v>138</v>
      </c>
      <c r="AF1917" s="32" t="s">
        <v>138</v>
      </c>
      <c r="AG1917" s="28" t="s">
        <v>138</v>
      </c>
      <c r="AH1917" s="32" t="s">
        <v>138</v>
      </c>
      <c r="AI1917" s="32" t="s">
        <v>138</v>
      </c>
      <c r="AJ1917" s="32" t="s">
        <v>138</v>
      </c>
      <c r="AK1917" s="28" t="s">
        <v>36291</v>
      </c>
      <c r="AL1917" s="28" t="s">
        <v>36292</v>
      </c>
      <c r="AM1917" s="28" t="s">
        <v>36293</v>
      </c>
      <c r="AN1917" s="28" t="s">
        <v>36294</v>
      </c>
      <c r="AO1917" s="28" t="s">
        <v>36295</v>
      </c>
      <c r="AP1917" s="28" t="s">
        <v>665</v>
      </c>
      <c r="AQ1917" s="28" t="s">
        <v>36296</v>
      </c>
      <c r="AR1917" s="28" t="s">
        <v>3084</v>
      </c>
      <c r="AS1917" s="28" t="s">
        <v>668</v>
      </c>
      <c r="AT1917" s="28" t="s">
        <v>200</v>
      </c>
      <c r="AU1917" s="28" t="s">
        <v>138</v>
      </c>
      <c r="AV1917" s="28" t="s">
        <v>162</v>
      </c>
      <c r="AW1917" s="28" t="s">
        <v>138</v>
      </c>
      <c r="AX1917" s="28" t="s">
        <v>138</v>
      </c>
      <c r="AY1917" s="28" t="s">
        <v>138</v>
      </c>
      <c r="AZ1917" s="28" t="s">
        <v>164</v>
      </c>
      <c r="BA1917" s="28" t="s">
        <v>165</v>
      </c>
      <c r="BB1917" s="28" t="s">
        <v>36297</v>
      </c>
      <c r="BC1917" s="28" t="s">
        <v>36298</v>
      </c>
      <c r="BD1917" s="33">
        <v>17</v>
      </c>
      <c r="BE1917" s="28" t="s">
        <v>138</v>
      </c>
      <c r="BF1917" s="28" t="s">
        <v>138</v>
      </c>
      <c r="BG1917" s="28" t="s">
        <v>138</v>
      </c>
      <c r="BH1917" s="28" t="s">
        <v>36299</v>
      </c>
      <c r="BI1917" s="28" t="s">
        <v>138</v>
      </c>
      <c r="BJ1917" s="28" t="s">
        <v>138</v>
      </c>
      <c r="BK1917" s="28" t="s">
        <v>138</v>
      </c>
      <c r="BL1917" s="28" t="s">
        <v>138</v>
      </c>
      <c r="BM1917" s="34" t="s">
        <v>138</v>
      </c>
      <c r="BN1917" s="29" t="s">
        <v>138</v>
      </c>
      <c r="BO1917" s="28" t="s">
        <v>138</v>
      </c>
      <c r="BP1917" s="29" t="s">
        <v>138</v>
      </c>
      <c r="BQ1917" s="28" t="s">
        <v>138</v>
      </c>
      <c r="BR1917" s="28" t="s">
        <v>205</v>
      </c>
      <c r="BS1917" s="28" t="s">
        <v>138</v>
      </c>
      <c r="BT1917" s="28" t="s">
        <v>138</v>
      </c>
      <c r="BU1917" s="28" t="s">
        <v>174</v>
      </c>
      <c r="BV1917" s="28" t="s">
        <v>138</v>
      </c>
      <c r="BW1917" s="28" t="s">
        <v>138</v>
      </c>
      <c r="BX1917" s="28" t="s">
        <v>138</v>
      </c>
      <c r="BY1917" s="28" t="s">
        <v>175</v>
      </c>
      <c r="BZ1917" s="34">
        <v>43601</v>
      </c>
      <c r="CA1917" s="29">
        <v>4</v>
      </c>
      <c r="CB1917" s="28" t="s">
        <v>172</v>
      </c>
      <c r="CC1917" s="29" t="s">
        <v>138</v>
      </c>
      <c r="CD1917" s="28" t="s">
        <v>138</v>
      </c>
      <c r="CE1917" s="28" t="s">
        <v>780</v>
      </c>
      <c r="CF1917" s="28" t="s">
        <v>780</v>
      </c>
      <c r="CG1917" s="28" t="s">
        <v>138</v>
      </c>
      <c r="CH1917" s="28" t="s">
        <v>780</v>
      </c>
      <c r="CI1917" s="28" t="s">
        <v>138</v>
      </c>
      <c r="CJ1917" s="28" t="s">
        <v>138</v>
      </c>
      <c r="CK1917" s="28" t="s">
        <v>138</v>
      </c>
      <c r="CL1917" s="28" t="s">
        <v>175</v>
      </c>
      <c r="CM1917" s="34" t="s">
        <v>138</v>
      </c>
      <c r="CN1917" s="29" t="s">
        <v>138</v>
      </c>
      <c r="CO1917" s="35">
        <v>2.87</v>
      </c>
      <c r="CP1917" s="36">
        <v>100</v>
      </c>
      <c r="CQ1917" s="35">
        <v>-0.03</v>
      </c>
      <c r="CR1917" s="35">
        <v>-0.91</v>
      </c>
      <c r="CS1917" s="35">
        <v>5.5</v>
      </c>
      <c r="CT1917" s="36">
        <v>100</v>
      </c>
      <c r="CU1917" s="35">
        <v>0.23</v>
      </c>
      <c r="CV1917" s="36">
        <v>83</v>
      </c>
      <c r="CW1917" s="35">
        <v>11.47</v>
      </c>
      <c r="CX1917" s="36">
        <v>100</v>
      </c>
      <c r="CY1917" s="35">
        <v>-0.48</v>
      </c>
      <c r="CZ1917" s="36">
        <v>22</v>
      </c>
      <c r="DA1917" s="35">
        <v>0.27</v>
      </c>
      <c r="DB1917" s="36">
        <v>87</v>
      </c>
      <c r="DC1917" s="37">
        <v>6.47</v>
      </c>
      <c r="DD1917" s="36">
        <v>86</v>
      </c>
      <c r="DE1917" s="37">
        <v>-0.36</v>
      </c>
      <c r="DF1917" s="35">
        <v>-5.25</v>
      </c>
      <c r="DG1917" s="37">
        <v>9.01</v>
      </c>
      <c r="DH1917" s="36">
        <v>89</v>
      </c>
      <c r="DI1917" s="37">
        <v>3.94</v>
      </c>
      <c r="DJ1917" s="36">
        <v>74</v>
      </c>
      <c r="DK1917" s="37">
        <v>11.18</v>
      </c>
      <c r="DL1917" s="36">
        <v>88</v>
      </c>
      <c r="DM1917" s="37">
        <v>6.83</v>
      </c>
      <c r="DN1917" s="36">
        <v>85</v>
      </c>
      <c r="DO1917" s="37">
        <v>7.52</v>
      </c>
      <c r="DP1917" s="36">
        <v>84</v>
      </c>
      <c r="DQ1917" s="36">
        <v>3734</v>
      </c>
      <c r="DR1917" s="38">
        <v>303</v>
      </c>
      <c r="DS1917" s="35">
        <v>8.83</v>
      </c>
      <c r="DT1917" s="36">
        <v>198</v>
      </c>
      <c r="DU1917" s="38">
        <v>-1</v>
      </c>
      <c r="DV1917" s="35">
        <v>-0.5</v>
      </c>
      <c r="DW1917" s="36">
        <v>2687</v>
      </c>
      <c r="DX1917" s="39">
        <v>7</v>
      </c>
      <c r="DY1917" s="35">
        <v>0.26</v>
      </c>
      <c r="DZ1917" s="28" t="s">
        <v>178</v>
      </c>
      <c r="EA1917" s="34">
        <v>43622</v>
      </c>
      <c r="EB1917" s="29" t="s">
        <v>138</v>
      </c>
      <c r="EC1917" s="34" t="s">
        <v>138</v>
      </c>
      <c r="ED1917" s="28" t="s">
        <v>138</v>
      </c>
      <c r="EE1917" s="40" t="str">
        <f>HYPERLINK("https://my.pitchbook.com?c=55003-87", "View company online")</f>
        <v>View company online</v>
      </c>
    </row>
    <row r="1918" spans="1:135">
      <c r="A1918" s="15" t="s">
        <v>36300</v>
      </c>
      <c r="B1918" s="15" t="s">
        <v>36301</v>
      </c>
      <c r="C1918" s="15" t="s">
        <v>138</v>
      </c>
      <c r="D1918" s="15" t="s">
        <v>138</v>
      </c>
      <c r="E1918" s="15" t="s">
        <v>36302</v>
      </c>
      <c r="F1918" s="15" t="s">
        <v>36300</v>
      </c>
      <c r="G1918" s="15" t="s">
        <v>36303</v>
      </c>
      <c r="H1918" s="15" t="s">
        <v>322</v>
      </c>
      <c r="I1918" s="15" t="s">
        <v>323</v>
      </c>
      <c r="J1918" s="15" t="s">
        <v>437</v>
      </c>
      <c r="K1918" s="15" t="s">
        <v>2406</v>
      </c>
      <c r="L1918" s="15" t="s">
        <v>36304</v>
      </c>
      <c r="M1918" s="15" t="s">
        <v>36305</v>
      </c>
      <c r="N1918" s="15" t="s">
        <v>147</v>
      </c>
      <c r="O1918" s="17" t="s">
        <v>138</v>
      </c>
      <c r="P1918" s="15" t="s">
        <v>148</v>
      </c>
      <c r="Q1918" s="15" t="s">
        <v>149</v>
      </c>
      <c r="R1918" s="15" t="s">
        <v>174</v>
      </c>
      <c r="S1918" s="15" t="s">
        <v>36306</v>
      </c>
      <c r="T1918" s="18">
        <v>9</v>
      </c>
      <c r="U1918" s="15" t="s">
        <v>36307</v>
      </c>
      <c r="V1918" s="15" t="s">
        <v>138</v>
      </c>
      <c r="W1918" s="15" t="s">
        <v>138</v>
      </c>
      <c r="X1918" s="19">
        <v>2014</v>
      </c>
      <c r="Y1918" s="15" t="s">
        <v>138</v>
      </c>
      <c r="Z1918" s="15" t="s">
        <v>138</v>
      </c>
      <c r="AA1918" s="15" t="s">
        <v>36308</v>
      </c>
      <c r="AB1918" s="20" t="s">
        <v>138</v>
      </c>
      <c r="AC1918" s="20" t="s">
        <v>138</v>
      </c>
      <c r="AD1918" s="20" t="s">
        <v>138</v>
      </c>
      <c r="AE1918" s="20" t="s">
        <v>138</v>
      </c>
      <c r="AF1918" s="20" t="s">
        <v>138</v>
      </c>
      <c r="AG1918" s="15" t="s">
        <v>138</v>
      </c>
      <c r="AH1918" s="20" t="s">
        <v>138</v>
      </c>
      <c r="AI1918" s="20" t="s">
        <v>138</v>
      </c>
      <c r="AJ1918" s="20" t="s">
        <v>138</v>
      </c>
      <c r="AK1918" s="15" t="s">
        <v>36309</v>
      </c>
      <c r="AL1918" s="15" t="s">
        <v>36310</v>
      </c>
      <c r="AM1918" s="15" t="s">
        <v>19335</v>
      </c>
      <c r="AN1918" s="15" t="s">
        <v>36311</v>
      </c>
      <c r="AO1918" s="15" t="s">
        <v>36312</v>
      </c>
      <c r="AP1918" s="15" t="s">
        <v>16555</v>
      </c>
      <c r="AQ1918" s="15" t="s">
        <v>36313</v>
      </c>
      <c r="AR1918" s="15" t="s">
        <v>2004</v>
      </c>
      <c r="AS1918" s="15" t="s">
        <v>16557</v>
      </c>
      <c r="AT1918" s="15" t="s">
        <v>200</v>
      </c>
      <c r="AU1918" s="15" t="s">
        <v>12249</v>
      </c>
      <c r="AV1918" s="15" t="s">
        <v>162</v>
      </c>
      <c r="AW1918" s="15" t="s">
        <v>36312</v>
      </c>
      <c r="AX1918" s="15" t="s">
        <v>138</v>
      </c>
      <c r="AY1918" s="15" t="s">
        <v>36314</v>
      </c>
      <c r="AZ1918" s="15" t="s">
        <v>164</v>
      </c>
      <c r="BA1918" s="15" t="s">
        <v>165</v>
      </c>
      <c r="BB1918" s="15" t="s">
        <v>36315</v>
      </c>
      <c r="BC1918" s="15" t="s">
        <v>36316</v>
      </c>
      <c r="BD1918" s="21">
        <v>6</v>
      </c>
      <c r="BE1918" s="15" t="s">
        <v>138</v>
      </c>
      <c r="BF1918" s="15" t="s">
        <v>138</v>
      </c>
      <c r="BG1918" s="15" t="s">
        <v>138</v>
      </c>
      <c r="BH1918" s="15" t="s">
        <v>36317</v>
      </c>
      <c r="BI1918" s="15" t="s">
        <v>138</v>
      </c>
      <c r="BJ1918" s="15" t="s">
        <v>138</v>
      </c>
      <c r="BK1918" s="15" t="s">
        <v>36318</v>
      </c>
      <c r="BL1918" s="15" t="s">
        <v>36319</v>
      </c>
      <c r="BM1918" s="22" t="s">
        <v>138</v>
      </c>
      <c r="BN1918" s="17" t="s">
        <v>138</v>
      </c>
      <c r="BO1918" s="15" t="s">
        <v>138</v>
      </c>
      <c r="BP1918" s="17" t="s">
        <v>138</v>
      </c>
      <c r="BQ1918" s="15" t="s">
        <v>138</v>
      </c>
      <c r="BR1918" s="15" t="s">
        <v>316</v>
      </c>
      <c r="BS1918" s="15" t="s">
        <v>138</v>
      </c>
      <c r="BT1918" s="15" t="s">
        <v>138</v>
      </c>
      <c r="BU1918" s="15" t="s">
        <v>177</v>
      </c>
      <c r="BV1918" s="15" t="s">
        <v>138</v>
      </c>
      <c r="BW1918" s="15" t="s">
        <v>138</v>
      </c>
      <c r="BX1918" s="15" t="s">
        <v>138</v>
      </c>
      <c r="BY1918" s="15" t="s">
        <v>175</v>
      </c>
      <c r="BZ1918" s="22" t="s">
        <v>138</v>
      </c>
      <c r="CA1918" s="17" t="s">
        <v>138</v>
      </c>
      <c r="CB1918" s="15" t="s">
        <v>138</v>
      </c>
      <c r="CC1918" s="17" t="s">
        <v>138</v>
      </c>
      <c r="CD1918" s="15" t="s">
        <v>138</v>
      </c>
      <c r="CE1918" s="15" t="s">
        <v>316</v>
      </c>
      <c r="CF1918" s="15" t="s">
        <v>138</v>
      </c>
      <c r="CG1918" s="15" t="s">
        <v>138</v>
      </c>
      <c r="CH1918" s="15" t="s">
        <v>177</v>
      </c>
      <c r="CI1918" s="15" t="s">
        <v>138</v>
      </c>
      <c r="CJ1918" s="15" t="s">
        <v>138</v>
      </c>
      <c r="CK1918" s="15" t="s">
        <v>138</v>
      </c>
      <c r="CL1918" s="15" t="s">
        <v>175</v>
      </c>
      <c r="CM1918" s="22" t="s">
        <v>138</v>
      </c>
      <c r="CN1918" s="17" t="s">
        <v>138</v>
      </c>
      <c r="CO1918" s="23">
        <v>0</v>
      </c>
      <c r="CP1918" s="24">
        <v>26</v>
      </c>
      <c r="CQ1918" s="23">
        <v>0</v>
      </c>
      <c r="CR1918" s="23">
        <v>0</v>
      </c>
      <c r="CS1918" s="23">
        <v>0</v>
      </c>
      <c r="CT1918" s="24">
        <v>23</v>
      </c>
      <c r="CU1918" s="23" t="s">
        <v>138</v>
      </c>
      <c r="CV1918" s="24" t="s">
        <v>138</v>
      </c>
      <c r="CW1918" s="23" t="s">
        <v>138</v>
      </c>
      <c r="CX1918" s="24" t="s">
        <v>138</v>
      </c>
      <c r="CY1918" s="23">
        <v>0</v>
      </c>
      <c r="CZ1918" s="24">
        <v>25</v>
      </c>
      <c r="DA1918" s="23" t="s">
        <v>138</v>
      </c>
      <c r="DB1918" s="24" t="s">
        <v>138</v>
      </c>
      <c r="DC1918" s="25">
        <v>0.17</v>
      </c>
      <c r="DD1918" s="24">
        <v>13</v>
      </c>
      <c r="DE1918" s="25">
        <v>0</v>
      </c>
      <c r="DF1918" s="23">
        <v>0</v>
      </c>
      <c r="DG1918" s="25">
        <v>0.17</v>
      </c>
      <c r="DH1918" s="24">
        <v>13</v>
      </c>
      <c r="DI1918" s="25" t="s">
        <v>138</v>
      </c>
      <c r="DJ1918" s="24" t="s">
        <v>138</v>
      </c>
      <c r="DK1918" s="25" t="s">
        <v>138</v>
      </c>
      <c r="DL1918" s="24" t="s">
        <v>138</v>
      </c>
      <c r="DM1918" s="25">
        <v>0.17</v>
      </c>
      <c r="DN1918" s="24">
        <v>14</v>
      </c>
      <c r="DO1918" s="25" t="s">
        <v>138</v>
      </c>
      <c r="DP1918" s="24" t="s">
        <v>138</v>
      </c>
      <c r="DQ1918" s="24" t="s">
        <v>138</v>
      </c>
      <c r="DR1918" s="26" t="s">
        <v>138</v>
      </c>
      <c r="DS1918" s="23" t="s">
        <v>138</v>
      </c>
      <c r="DT1918" s="24">
        <v>5</v>
      </c>
      <c r="DU1918" s="26">
        <v>0</v>
      </c>
      <c r="DV1918" s="23">
        <v>0</v>
      </c>
      <c r="DW1918" s="24" t="s">
        <v>138</v>
      </c>
      <c r="DX1918" s="27" t="s">
        <v>138</v>
      </c>
      <c r="DY1918" s="23" t="s">
        <v>138</v>
      </c>
      <c r="DZ1918" s="15" t="s">
        <v>178</v>
      </c>
      <c r="EA1918" s="22">
        <v>43622</v>
      </c>
      <c r="EB1918" s="17" t="s">
        <v>138</v>
      </c>
      <c r="EC1918" s="22" t="s">
        <v>138</v>
      </c>
      <c r="ED1918" s="15" t="s">
        <v>138</v>
      </c>
      <c r="EE1918" s="14" t="str">
        <f>HYPERLINK("https://my.pitchbook.com?c=156679-66", "View company online")</f>
        <v>View company online</v>
      </c>
    </row>
    <row r="1919" spans="1:135">
      <c r="A1919" s="28" t="s">
        <v>36320</v>
      </c>
      <c r="B1919" s="28" t="s">
        <v>36321</v>
      </c>
      <c r="C1919" s="28" t="s">
        <v>138</v>
      </c>
      <c r="D1919" s="28" t="s">
        <v>138</v>
      </c>
      <c r="E1919" s="28" t="s">
        <v>36322</v>
      </c>
      <c r="F1919" s="28" t="s">
        <v>36320</v>
      </c>
      <c r="G1919" s="28" t="s">
        <v>36323</v>
      </c>
      <c r="H1919" s="28" t="s">
        <v>322</v>
      </c>
      <c r="I1919" s="28" t="s">
        <v>323</v>
      </c>
      <c r="J1919" s="28" t="s">
        <v>2984</v>
      </c>
      <c r="K1919" s="28" t="s">
        <v>5783</v>
      </c>
      <c r="L1919" s="28" t="s">
        <v>2641</v>
      </c>
      <c r="M1919" s="28" t="s">
        <v>36324</v>
      </c>
      <c r="N1919" s="28" t="s">
        <v>147</v>
      </c>
      <c r="O1919" s="29">
        <v>82</v>
      </c>
      <c r="P1919" s="28" t="s">
        <v>148</v>
      </c>
      <c r="Q1919" s="28" t="s">
        <v>149</v>
      </c>
      <c r="R1919" s="28" t="s">
        <v>174</v>
      </c>
      <c r="S1919" s="28" t="s">
        <v>36325</v>
      </c>
      <c r="T1919" s="30">
        <v>200</v>
      </c>
      <c r="U1919" s="28" t="s">
        <v>36326</v>
      </c>
      <c r="V1919" s="28" t="s">
        <v>138</v>
      </c>
      <c r="W1919" s="28" t="s">
        <v>138</v>
      </c>
      <c r="X1919" s="31">
        <v>2012</v>
      </c>
      <c r="Y1919" s="28" t="s">
        <v>138</v>
      </c>
      <c r="Z1919" s="28" t="s">
        <v>138</v>
      </c>
      <c r="AA1919" s="28" t="s">
        <v>138</v>
      </c>
      <c r="AB1919" s="32" t="s">
        <v>138</v>
      </c>
      <c r="AC1919" s="32" t="s">
        <v>138</v>
      </c>
      <c r="AD1919" s="32" t="s">
        <v>138</v>
      </c>
      <c r="AE1919" s="32" t="s">
        <v>138</v>
      </c>
      <c r="AF1919" s="32" t="s">
        <v>138</v>
      </c>
      <c r="AG1919" s="28" t="s">
        <v>138</v>
      </c>
      <c r="AH1919" s="32" t="s">
        <v>138</v>
      </c>
      <c r="AI1919" s="32" t="s">
        <v>138</v>
      </c>
      <c r="AJ1919" s="32" t="s">
        <v>138</v>
      </c>
      <c r="AK1919" s="28" t="s">
        <v>36327</v>
      </c>
      <c r="AL1919" s="28" t="s">
        <v>36328</v>
      </c>
      <c r="AM1919" s="28" t="s">
        <v>2194</v>
      </c>
      <c r="AN1919" s="28" t="s">
        <v>36329</v>
      </c>
      <c r="AO1919" s="28" t="s">
        <v>138</v>
      </c>
      <c r="AP1919" s="28" t="s">
        <v>307</v>
      </c>
      <c r="AQ1919" s="28" t="s">
        <v>17411</v>
      </c>
      <c r="AR1919" s="28" t="s">
        <v>36330</v>
      </c>
      <c r="AS1919" s="28" t="s">
        <v>310</v>
      </c>
      <c r="AT1919" s="28" t="s">
        <v>200</v>
      </c>
      <c r="AU1919" s="28" t="s">
        <v>798</v>
      </c>
      <c r="AV1919" s="28" t="s">
        <v>162</v>
      </c>
      <c r="AW1919" s="28" t="s">
        <v>138</v>
      </c>
      <c r="AX1919" s="28" t="s">
        <v>138</v>
      </c>
      <c r="AY1919" s="28" t="s">
        <v>36331</v>
      </c>
      <c r="AZ1919" s="28" t="s">
        <v>164</v>
      </c>
      <c r="BA1919" s="28" t="s">
        <v>165</v>
      </c>
      <c r="BB1919" s="28" t="s">
        <v>36332</v>
      </c>
      <c r="BC1919" s="28" t="s">
        <v>36333</v>
      </c>
      <c r="BD1919" s="33">
        <v>17</v>
      </c>
      <c r="BE1919" s="28" t="s">
        <v>138</v>
      </c>
      <c r="BF1919" s="28" t="s">
        <v>138</v>
      </c>
      <c r="BG1919" s="28" t="s">
        <v>138</v>
      </c>
      <c r="BH1919" s="28" t="s">
        <v>36334</v>
      </c>
      <c r="BI1919" s="28" t="s">
        <v>138</v>
      </c>
      <c r="BJ1919" s="28" t="s">
        <v>138</v>
      </c>
      <c r="BK1919" s="28" t="s">
        <v>138</v>
      </c>
      <c r="BL1919" s="28" t="s">
        <v>315</v>
      </c>
      <c r="BM1919" s="34" t="s">
        <v>138</v>
      </c>
      <c r="BN1919" s="29" t="s">
        <v>138</v>
      </c>
      <c r="BO1919" s="28" t="s">
        <v>138</v>
      </c>
      <c r="BP1919" s="29" t="s">
        <v>138</v>
      </c>
      <c r="BQ1919" s="28" t="s">
        <v>138</v>
      </c>
      <c r="BR1919" s="28" t="s">
        <v>316</v>
      </c>
      <c r="BS1919" s="28" t="s">
        <v>138</v>
      </c>
      <c r="BT1919" s="28" t="s">
        <v>138</v>
      </c>
      <c r="BU1919" s="28" t="s">
        <v>177</v>
      </c>
      <c r="BV1919" s="28" t="s">
        <v>138</v>
      </c>
      <c r="BW1919" s="28" t="s">
        <v>138</v>
      </c>
      <c r="BX1919" s="28" t="s">
        <v>138</v>
      </c>
      <c r="BY1919" s="28" t="s">
        <v>175</v>
      </c>
      <c r="BZ1919" s="34">
        <v>43482</v>
      </c>
      <c r="CA1919" s="29">
        <v>50</v>
      </c>
      <c r="CB1919" s="28" t="s">
        <v>172</v>
      </c>
      <c r="CC1919" s="29">
        <v>290</v>
      </c>
      <c r="CD1919" s="28" t="s">
        <v>172</v>
      </c>
      <c r="CE1919" s="28" t="s">
        <v>173</v>
      </c>
      <c r="CF1919" s="28" t="s">
        <v>317</v>
      </c>
      <c r="CG1919" s="28" t="s">
        <v>138</v>
      </c>
      <c r="CH1919" s="28" t="s">
        <v>174</v>
      </c>
      <c r="CI1919" s="28" t="s">
        <v>138</v>
      </c>
      <c r="CJ1919" s="28" t="s">
        <v>138</v>
      </c>
      <c r="CK1919" s="28" t="s">
        <v>138</v>
      </c>
      <c r="CL1919" s="28" t="s">
        <v>175</v>
      </c>
      <c r="CM1919" s="34" t="s">
        <v>138</v>
      </c>
      <c r="CN1919" s="29" t="s">
        <v>138</v>
      </c>
      <c r="CO1919" s="35">
        <v>4.34</v>
      </c>
      <c r="CP1919" s="36">
        <v>100</v>
      </c>
      <c r="CQ1919" s="35">
        <v>0.02</v>
      </c>
      <c r="CR1919" s="35">
        <v>0.46</v>
      </c>
      <c r="CS1919" s="35">
        <v>2.2400000000000002</v>
      </c>
      <c r="CT1919" s="36">
        <v>99</v>
      </c>
      <c r="CU1919" s="35">
        <v>0.37</v>
      </c>
      <c r="CV1919" s="36">
        <v>90</v>
      </c>
      <c r="CW1919" s="35">
        <v>6.1</v>
      </c>
      <c r="CX1919" s="36">
        <v>97</v>
      </c>
      <c r="CY1919" s="35">
        <v>-1.62</v>
      </c>
      <c r="CZ1919" s="36">
        <v>14</v>
      </c>
      <c r="DA1919" s="35">
        <v>0.76</v>
      </c>
      <c r="DB1919" s="36">
        <v>97</v>
      </c>
      <c r="DC1919" s="37">
        <v>7.53</v>
      </c>
      <c r="DD1919" s="36">
        <v>87</v>
      </c>
      <c r="DE1919" s="37">
        <v>-0.63</v>
      </c>
      <c r="DF1919" s="35">
        <v>-7.74</v>
      </c>
      <c r="DG1919" s="37">
        <v>17.16</v>
      </c>
      <c r="DH1919" s="36">
        <v>94</v>
      </c>
      <c r="DI1919" s="37">
        <v>5.05</v>
      </c>
      <c r="DJ1919" s="36">
        <v>77</v>
      </c>
      <c r="DK1919" s="37">
        <v>30.67</v>
      </c>
      <c r="DL1919" s="36">
        <v>94</v>
      </c>
      <c r="DM1919" s="37">
        <v>3.66</v>
      </c>
      <c r="DN1919" s="36">
        <v>77</v>
      </c>
      <c r="DO1919" s="37">
        <v>6.18</v>
      </c>
      <c r="DP1919" s="36">
        <v>82</v>
      </c>
      <c r="DQ1919" s="36">
        <v>10237</v>
      </c>
      <c r="DR1919" s="38">
        <v>848</v>
      </c>
      <c r="DS1919" s="35">
        <v>9.0299999999999994</v>
      </c>
      <c r="DT1919" s="36">
        <v>105</v>
      </c>
      <c r="DU1919" s="38">
        <v>0</v>
      </c>
      <c r="DV1919" s="35">
        <v>0</v>
      </c>
      <c r="DW1919" s="36">
        <v>2200</v>
      </c>
      <c r="DX1919" s="39">
        <v>28</v>
      </c>
      <c r="DY1919" s="35">
        <v>1.29</v>
      </c>
      <c r="DZ1919" s="28" t="s">
        <v>178</v>
      </c>
      <c r="EA1919" s="34">
        <v>43622</v>
      </c>
      <c r="EB1919" s="29">
        <v>290</v>
      </c>
      <c r="EC1919" s="34">
        <v>43482</v>
      </c>
      <c r="ED1919" s="28" t="s">
        <v>173</v>
      </c>
      <c r="EE1919" s="40" t="str">
        <f>HYPERLINK("https://my.pitchbook.com?c=61490-17", "View company online")</f>
        <v>View company online</v>
      </c>
    </row>
    <row r="1920" spans="1:135">
      <c r="A1920" s="15" t="s">
        <v>36335</v>
      </c>
      <c r="B1920" s="15" t="s">
        <v>36336</v>
      </c>
      <c r="C1920" s="15" t="s">
        <v>138</v>
      </c>
      <c r="D1920" s="15" t="s">
        <v>138</v>
      </c>
      <c r="E1920" s="15" t="s">
        <v>138</v>
      </c>
      <c r="F1920" s="15" t="s">
        <v>36335</v>
      </c>
      <c r="G1920" s="15" t="s">
        <v>36337</v>
      </c>
      <c r="H1920" s="15" t="s">
        <v>238</v>
      </c>
      <c r="I1920" s="15" t="s">
        <v>239</v>
      </c>
      <c r="J1920" s="15" t="s">
        <v>2578</v>
      </c>
      <c r="K1920" s="15" t="s">
        <v>36338</v>
      </c>
      <c r="L1920" s="15" t="s">
        <v>415</v>
      </c>
      <c r="M1920" s="15" t="s">
        <v>36339</v>
      </c>
      <c r="N1920" s="15" t="s">
        <v>147</v>
      </c>
      <c r="O1920" s="17" t="s">
        <v>138</v>
      </c>
      <c r="P1920" s="15" t="s">
        <v>148</v>
      </c>
      <c r="Q1920" s="15" t="s">
        <v>149</v>
      </c>
      <c r="R1920" s="15" t="s">
        <v>174</v>
      </c>
      <c r="S1920" s="15" t="s">
        <v>36340</v>
      </c>
      <c r="T1920" s="18">
        <v>13</v>
      </c>
      <c r="U1920" s="15" t="s">
        <v>36341</v>
      </c>
      <c r="V1920" s="15" t="s">
        <v>138</v>
      </c>
      <c r="W1920" s="15" t="s">
        <v>138</v>
      </c>
      <c r="X1920" s="19">
        <v>2005</v>
      </c>
      <c r="Y1920" s="15" t="s">
        <v>138</v>
      </c>
      <c r="Z1920" s="15" t="s">
        <v>138</v>
      </c>
      <c r="AA1920" s="15" t="s">
        <v>138</v>
      </c>
      <c r="AB1920" s="20">
        <v>1.23</v>
      </c>
      <c r="AC1920" s="20" t="s">
        <v>138</v>
      </c>
      <c r="AD1920" s="20">
        <v>0.14000000000000001</v>
      </c>
      <c r="AE1920" s="20" t="s">
        <v>138</v>
      </c>
      <c r="AF1920" s="20">
        <v>0.2</v>
      </c>
      <c r="AG1920" s="15" t="s">
        <v>707</v>
      </c>
      <c r="AH1920" s="20" t="s">
        <v>138</v>
      </c>
      <c r="AI1920" s="20" t="s">
        <v>138</v>
      </c>
      <c r="AJ1920" s="20" t="s">
        <v>138</v>
      </c>
      <c r="AK1920" s="15" t="s">
        <v>36342</v>
      </c>
      <c r="AL1920" s="15" t="s">
        <v>36343</v>
      </c>
      <c r="AM1920" s="15" t="s">
        <v>938</v>
      </c>
      <c r="AN1920" s="15" t="s">
        <v>36344</v>
      </c>
      <c r="AO1920" s="15" t="s">
        <v>36345</v>
      </c>
      <c r="AP1920" s="15" t="s">
        <v>4440</v>
      </c>
      <c r="AQ1920" s="15" t="s">
        <v>36346</v>
      </c>
      <c r="AR1920" s="15" t="s">
        <v>138</v>
      </c>
      <c r="AS1920" s="15" t="s">
        <v>4442</v>
      </c>
      <c r="AT1920" s="15" t="s">
        <v>138</v>
      </c>
      <c r="AU1920" s="15" t="s">
        <v>36347</v>
      </c>
      <c r="AV1920" s="15" t="s">
        <v>4444</v>
      </c>
      <c r="AW1920" s="15" t="s">
        <v>36345</v>
      </c>
      <c r="AX1920" s="15" t="s">
        <v>138</v>
      </c>
      <c r="AY1920" s="15" t="s">
        <v>36348</v>
      </c>
      <c r="AZ1920" s="15" t="s">
        <v>530</v>
      </c>
      <c r="BA1920" s="15" t="s">
        <v>577</v>
      </c>
      <c r="BB1920" s="15" t="s">
        <v>36349</v>
      </c>
      <c r="BC1920" s="15" t="s">
        <v>36350</v>
      </c>
      <c r="BD1920" s="21">
        <v>4</v>
      </c>
      <c r="BE1920" s="15" t="s">
        <v>138</v>
      </c>
      <c r="BF1920" s="15" t="s">
        <v>13176</v>
      </c>
      <c r="BG1920" s="15" t="s">
        <v>138</v>
      </c>
      <c r="BH1920" s="15" t="s">
        <v>36351</v>
      </c>
      <c r="BI1920" s="15" t="s">
        <v>13178</v>
      </c>
      <c r="BJ1920" s="15" t="s">
        <v>138</v>
      </c>
      <c r="BK1920" s="15" t="s">
        <v>138</v>
      </c>
      <c r="BL1920" s="15" t="s">
        <v>138</v>
      </c>
      <c r="BM1920" s="22">
        <v>39052</v>
      </c>
      <c r="BN1920" s="17" t="s">
        <v>138</v>
      </c>
      <c r="BO1920" s="15" t="s">
        <v>138</v>
      </c>
      <c r="BP1920" s="17" t="s">
        <v>138</v>
      </c>
      <c r="BQ1920" s="15" t="s">
        <v>138</v>
      </c>
      <c r="BR1920" s="15" t="s">
        <v>205</v>
      </c>
      <c r="BS1920" s="15" t="s">
        <v>138</v>
      </c>
      <c r="BT1920" s="15" t="s">
        <v>138</v>
      </c>
      <c r="BU1920" s="15" t="s">
        <v>174</v>
      </c>
      <c r="BV1920" s="15" t="s">
        <v>138</v>
      </c>
      <c r="BW1920" s="15" t="s">
        <v>138</v>
      </c>
      <c r="BX1920" s="15" t="s">
        <v>138</v>
      </c>
      <c r="BY1920" s="15" t="s">
        <v>175</v>
      </c>
      <c r="BZ1920" s="22" t="s">
        <v>138</v>
      </c>
      <c r="CA1920" s="17" t="s">
        <v>138</v>
      </c>
      <c r="CB1920" s="15" t="s">
        <v>138</v>
      </c>
      <c r="CC1920" s="17" t="s">
        <v>138</v>
      </c>
      <c r="CD1920" s="15" t="s">
        <v>138</v>
      </c>
      <c r="CE1920" s="15" t="s">
        <v>379</v>
      </c>
      <c r="CF1920" s="15" t="s">
        <v>138</v>
      </c>
      <c r="CG1920" s="15" t="s">
        <v>138</v>
      </c>
      <c r="CH1920" s="15" t="s">
        <v>177</v>
      </c>
      <c r="CI1920" s="15" t="s">
        <v>138</v>
      </c>
      <c r="CJ1920" s="15" t="s">
        <v>138</v>
      </c>
      <c r="CK1920" s="15" t="s">
        <v>138</v>
      </c>
      <c r="CL1920" s="15" t="s">
        <v>175</v>
      </c>
      <c r="CM1920" s="22" t="s">
        <v>138</v>
      </c>
      <c r="CN1920" s="17" t="s">
        <v>138</v>
      </c>
      <c r="CO1920" s="23">
        <v>-3.7</v>
      </c>
      <c r="CP1920" s="24">
        <v>2</v>
      </c>
      <c r="CQ1920" s="23">
        <v>-0.05</v>
      </c>
      <c r="CR1920" s="23">
        <v>-1.49</v>
      </c>
      <c r="CS1920" s="23">
        <v>-7.4</v>
      </c>
      <c r="CT1920" s="24">
        <v>1</v>
      </c>
      <c r="CU1920" s="23">
        <v>0.01</v>
      </c>
      <c r="CV1920" s="24">
        <v>49</v>
      </c>
      <c r="CW1920" s="23" t="s">
        <v>138</v>
      </c>
      <c r="CX1920" s="24" t="s">
        <v>138</v>
      </c>
      <c r="CY1920" s="23">
        <v>-7.4</v>
      </c>
      <c r="CZ1920" s="24">
        <v>1</v>
      </c>
      <c r="DA1920" s="23">
        <v>0.03</v>
      </c>
      <c r="DB1920" s="24">
        <v>60</v>
      </c>
      <c r="DC1920" s="25">
        <v>7.34</v>
      </c>
      <c r="DD1920" s="24">
        <v>87</v>
      </c>
      <c r="DE1920" s="25">
        <v>-0.03</v>
      </c>
      <c r="DF1920" s="23">
        <v>-0.46</v>
      </c>
      <c r="DG1920" s="25">
        <v>12.03</v>
      </c>
      <c r="DH1920" s="24">
        <v>91</v>
      </c>
      <c r="DI1920" s="25">
        <v>2.64</v>
      </c>
      <c r="DJ1920" s="24">
        <v>67</v>
      </c>
      <c r="DK1920" s="25" t="s">
        <v>138</v>
      </c>
      <c r="DL1920" s="24" t="s">
        <v>138</v>
      </c>
      <c r="DM1920" s="25">
        <v>12.03</v>
      </c>
      <c r="DN1920" s="24">
        <v>90</v>
      </c>
      <c r="DO1920" s="25">
        <v>1.37</v>
      </c>
      <c r="DP1920" s="24">
        <v>56</v>
      </c>
      <c r="DQ1920" s="24" t="s">
        <v>138</v>
      </c>
      <c r="DR1920" s="26" t="s">
        <v>138</v>
      </c>
      <c r="DS1920" s="23" t="s">
        <v>138</v>
      </c>
      <c r="DT1920" s="24">
        <v>349</v>
      </c>
      <c r="DU1920" s="26">
        <v>-2</v>
      </c>
      <c r="DV1920" s="23">
        <v>-0.56999999999999995</v>
      </c>
      <c r="DW1920" s="24">
        <v>490</v>
      </c>
      <c r="DX1920" s="27">
        <v>0</v>
      </c>
      <c r="DY1920" s="23">
        <v>0</v>
      </c>
      <c r="DZ1920" s="15" t="s">
        <v>178</v>
      </c>
      <c r="EA1920" s="22">
        <v>43448</v>
      </c>
      <c r="EB1920" s="17" t="s">
        <v>138</v>
      </c>
      <c r="EC1920" s="22" t="s">
        <v>138</v>
      </c>
      <c r="ED1920" s="15" t="s">
        <v>138</v>
      </c>
      <c r="EE1920" s="14" t="str">
        <f>HYPERLINK("https://my.pitchbook.com?c=56376-01", "View company online")</f>
        <v>View company online</v>
      </c>
    </row>
    <row r="1921" spans="1:135">
      <c r="A1921" s="28" t="s">
        <v>36352</v>
      </c>
      <c r="B1921" s="28" t="s">
        <v>36353</v>
      </c>
      <c r="C1921" s="28" t="s">
        <v>138</v>
      </c>
      <c r="D1921" s="28" t="s">
        <v>138</v>
      </c>
      <c r="E1921" s="28" t="s">
        <v>36354</v>
      </c>
      <c r="F1921" s="28" t="s">
        <v>36352</v>
      </c>
      <c r="G1921" s="28" t="s">
        <v>36355</v>
      </c>
      <c r="H1921" s="28" t="s">
        <v>322</v>
      </c>
      <c r="I1921" s="28" t="s">
        <v>323</v>
      </c>
      <c r="J1921" s="28" t="s">
        <v>324</v>
      </c>
      <c r="K1921" s="28" t="s">
        <v>36356</v>
      </c>
      <c r="L1921" s="28" t="s">
        <v>215</v>
      </c>
      <c r="M1921" s="28" t="s">
        <v>36357</v>
      </c>
      <c r="N1921" s="28" t="s">
        <v>147</v>
      </c>
      <c r="O1921" s="29">
        <v>10</v>
      </c>
      <c r="P1921" s="28" t="s">
        <v>148</v>
      </c>
      <c r="Q1921" s="28" t="s">
        <v>149</v>
      </c>
      <c r="R1921" s="28" t="s">
        <v>174</v>
      </c>
      <c r="S1921" s="28" t="s">
        <v>36358</v>
      </c>
      <c r="T1921" s="30">
        <v>16</v>
      </c>
      <c r="U1921" s="28" t="s">
        <v>7682</v>
      </c>
      <c r="V1921" s="28" t="s">
        <v>138</v>
      </c>
      <c r="W1921" s="28" t="s">
        <v>138</v>
      </c>
      <c r="X1921" s="31">
        <v>2012</v>
      </c>
      <c r="Y1921" s="28" t="s">
        <v>138</v>
      </c>
      <c r="Z1921" s="28" t="s">
        <v>138</v>
      </c>
      <c r="AA1921" s="28" t="s">
        <v>138</v>
      </c>
      <c r="AB1921" s="32" t="s">
        <v>138</v>
      </c>
      <c r="AC1921" s="32" t="s">
        <v>138</v>
      </c>
      <c r="AD1921" s="32" t="s">
        <v>138</v>
      </c>
      <c r="AE1921" s="32" t="s">
        <v>138</v>
      </c>
      <c r="AF1921" s="32" t="s">
        <v>138</v>
      </c>
      <c r="AG1921" s="28" t="s">
        <v>138</v>
      </c>
      <c r="AH1921" s="32" t="s">
        <v>138</v>
      </c>
      <c r="AI1921" s="32" t="s">
        <v>138</v>
      </c>
      <c r="AJ1921" s="32" t="s">
        <v>138</v>
      </c>
      <c r="AK1921" s="28" t="s">
        <v>36359</v>
      </c>
      <c r="AL1921" s="28" t="s">
        <v>36360</v>
      </c>
      <c r="AM1921" s="28" t="s">
        <v>304</v>
      </c>
      <c r="AN1921" s="28" t="s">
        <v>36361</v>
      </c>
      <c r="AO1921" s="28" t="s">
        <v>36362</v>
      </c>
      <c r="AP1921" s="28" t="s">
        <v>20359</v>
      </c>
      <c r="AQ1921" s="28" t="s">
        <v>20360</v>
      </c>
      <c r="AR1921" s="28" t="s">
        <v>36363</v>
      </c>
      <c r="AS1921" s="28" t="s">
        <v>20362</v>
      </c>
      <c r="AT1921" s="28" t="s">
        <v>138</v>
      </c>
      <c r="AU1921" s="28" t="s">
        <v>20363</v>
      </c>
      <c r="AV1921" s="28" t="s">
        <v>3693</v>
      </c>
      <c r="AW1921" s="28" t="s">
        <v>36362</v>
      </c>
      <c r="AX1921" s="28" t="s">
        <v>138</v>
      </c>
      <c r="AY1921" s="28" t="s">
        <v>36364</v>
      </c>
      <c r="AZ1921" s="28" t="s">
        <v>530</v>
      </c>
      <c r="BA1921" s="28" t="s">
        <v>531</v>
      </c>
      <c r="BB1921" s="28" t="s">
        <v>36365</v>
      </c>
      <c r="BC1921" s="28" t="s">
        <v>36366</v>
      </c>
      <c r="BD1921" s="33">
        <v>14</v>
      </c>
      <c r="BE1921" s="28" t="s">
        <v>138</v>
      </c>
      <c r="BF1921" s="28" t="s">
        <v>138</v>
      </c>
      <c r="BG1921" s="28" t="s">
        <v>138</v>
      </c>
      <c r="BH1921" s="28" t="s">
        <v>36367</v>
      </c>
      <c r="BI1921" s="28" t="s">
        <v>138</v>
      </c>
      <c r="BJ1921" s="28" t="s">
        <v>138</v>
      </c>
      <c r="BK1921" s="28" t="s">
        <v>30959</v>
      </c>
      <c r="BL1921" s="28" t="s">
        <v>138</v>
      </c>
      <c r="BM1921" s="34">
        <v>41518</v>
      </c>
      <c r="BN1921" s="29" t="s">
        <v>138</v>
      </c>
      <c r="BO1921" s="28" t="s">
        <v>138</v>
      </c>
      <c r="BP1921" s="29" t="s">
        <v>138</v>
      </c>
      <c r="BQ1921" s="28" t="s">
        <v>138</v>
      </c>
      <c r="BR1921" s="28" t="s">
        <v>316</v>
      </c>
      <c r="BS1921" s="28" t="s">
        <v>138</v>
      </c>
      <c r="BT1921" s="28" t="s">
        <v>138</v>
      </c>
      <c r="BU1921" s="28" t="s">
        <v>174</v>
      </c>
      <c r="BV1921" s="28" t="s">
        <v>138</v>
      </c>
      <c r="BW1921" s="28" t="s">
        <v>138</v>
      </c>
      <c r="BX1921" s="28" t="s">
        <v>138</v>
      </c>
      <c r="BY1921" s="28" t="s">
        <v>175</v>
      </c>
      <c r="BZ1921" s="34">
        <v>43370</v>
      </c>
      <c r="CA1921" s="29">
        <v>10</v>
      </c>
      <c r="CB1921" s="28" t="s">
        <v>172</v>
      </c>
      <c r="CC1921" s="29" t="s">
        <v>138</v>
      </c>
      <c r="CD1921" s="28" t="s">
        <v>138</v>
      </c>
      <c r="CE1921" s="28" t="s">
        <v>173</v>
      </c>
      <c r="CF1921" s="28" t="s">
        <v>138</v>
      </c>
      <c r="CG1921" s="28" t="s">
        <v>138</v>
      </c>
      <c r="CH1921" s="28" t="s">
        <v>174</v>
      </c>
      <c r="CI1921" s="28" t="s">
        <v>138</v>
      </c>
      <c r="CJ1921" s="28" t="s">
        <v>138</v>
      </c>
      <c r="CK1921" s="28" t="s">
        <v>138</v>
      </c>
      <c r="CL1921" s="28" t="s">
        <v>175</v>
      </c>
      <c r="CM1921" s="34" t="s">
        <v>138</v>
      </c>
      <c r="CN1921" s="29" t="s">
        <v>138</v>
      </c>
      <c r="CO1921" s="35">
        <v>0.08</v>
      </c>
      <c r="CP1921" s="36">
        <v>89</v>
      </c>
      <c r="CQ1921" s="35">
        <v>0.06</v>
      </c>
      <c r="CR1921" s="35">
        <v>198.78</v>
      </c>
      <c r="CS1921" s="35">
        <v>-0.23</v>
      </c>
      <c r="CT1921" s="36">
        <v>21</v>
      </c>
      <c r="CU1921" s="35">
        <v>0.4</v>
      </c>
      <c r="CV1921" s="36">
        <v>91</v>
      </c>
      <c r="CW1921" s="35" t="s">
        <v>138</v>
      </c>
      <c r="CX1921" s="36" t="s">
        <v>138</v>
      </c>
      <c r="CY1921" s="35">
        <v>-0.23</v>
      </c>
      <c r="CZ1921" s="36">
        <v>24</v>
      </c>
      <c r="DA1921" s="35">
        <v>0.33</v>
      </c>
      <c r="DB1921" s="36">
        <v>90</v>
      </c>
      <c r="DC1921" s="37">
        <v>4.0599999999999996</v>
      </c>
      <c r="DD1921" s="36">
        <v>80</v>
      </c>
      <c r="DE1921" s="37">
        <v>-0.01</v>
      </c>
      <c r="DF1921" s="35">
        <v>-0.36</v>
      </c>
      <c r="DG1921" s="37">
        <v>7.41</v>
      </c>
      <c r="DH1921" s="36">
        <v>87</v>
      </c>
      <c r="DI1921" s="37">
        <v>0.71</v>
      </c>
      <c r="DJ1921" s="36">
        <v>43</v>
      </c>
      <c r="DK1921" s="37" t="s">
        <v>138</v>
      </c>
      <c r="DL1921" s="36" t="s">
        <v>138</v>
      </c>
      <c r="DM1921" s="37">
        <v>7.41</v>
      </c>
      <c r="DN1921" s="36">
        <v>86</v>
      </c>
      <c r="DO1921" s="37">
        <v>1.29</v>
      </c>
      <c r="DP1921" s="36">
        <v>55</v>
      </c>
      <c r="DQ1921" s="36" t="s">
        <v>138</v>
      </c>
      <c r="DR1921" s="38" t="s">
        <v>138</v>
      </c>
      <c r="DS1921" s="35" t="s">
        <v>138</v>
      </c>
      <c r="DT1921" s="36">
        <v>215</v>
      </c>
      <c r="DU1921" s="38">
        <v>0</v>
      </c>
      <c r="DV1921" s="35">
        <v>0</v>
      </c>
      <c r="DW1921" s="36">
        <v>462</v>
      </c>
      <c r="DX1921" s="39">
        <v>6</v>
      </c>
      <c r="DY1921" s="35">
        <v>1.32</v>
      </c>
      <c r="DZ1921" s="28" t="s">
        <v>178</v>
      </c>
      <c r="EA1921" s="34">
        <v>43495</v>
      </c>
      <c r="EB1921" s="29" t="s">
        <v>138</v>
      </c>
      <c r="EC1921" s="34" t="s">
        <v>138</v>
      </c>
      <c r="ED1921" s="28" t="s">
        <v>138</v>
      </c>
      <c r="EE1921" s="40" t="str">
        <f>HYPERLINK("https://my.pitchbook.com?c=98619-58", "View company online")</f>
        <v>View company online</v>
      </c>
    </row>
    <row r="1922" spans="1:135">
      <c r="A1922" s="15" t="s">
        <v>36368</v>
      </c>
      <c r="B1922" s="15" t="s">
        <v>36369</v>
      </c>
      <c r="C1922" s="15" t="s">
        <v>138</v>
      </c>
      <c r="D1922" s="15" t="s">
        <v>138</v>
      </c>
      <c r="E1922" s="15" t="s">
        <v>36370</v>
      </c>
      <c r="F1922" s="15" t="s">
        <v>36368</v>
      </c>
      <c r="G1922" s="15" t="s">
        <v>36371</v>
      </c>
      <c r="H1922" s="15" t="s">
        <v>322</v>
      </c>
      <c r="I1922" s="15" t="s">
        <v>323</v>
      </c>
      <c r="J1922" s="15" t="s">
        <v>324</v>
      </c>
      <c r="K1922" s="15" t="s">
        <v>1543</v>
      </c>
      <c r="L1922" s="15" t="s">
        <v>215</v>
      </c>
      <c r="M1922" s="15" t="s">
        <v>36372</v>
      </c>
      <c r="N1922" s="15" t="s">
        <v>147</v>
      </c>
      <c r="O1922" s="17">
        <v>21.93</v>
      </c>
      <c r="P1922" s="15" t="s">
        <v>812</v>
      </c>
      <c r="Q1922" s="15" t="s">
        <v>149</v>
      </c>
      <c r="R1922" s="15" t="s">
        <v>174</v>
      </c>
      <c r="S1922" s="15" t="s">
        <v>36373</v>
      </c>
      <c r="T1922" s="18">
        <v>130</v>
      </c>
      <c r="U1922" s="15" t="s">
        <v>36374</v>
      </c>
      <c r="V1922" s="15" t="s">
        <v>138</v>
      </c>
      <c r="W1922" s="15" t="s">
        <v>138</v>
      </c>
      <c r="X1922" s="19">
        <v>2013</v>
      </c>
      <c r="Y1922" s="15" t="s">
        <v>138</v>
      </c>
      <c r="Z1922" s="15" t="s">
        <v>138</v>
      </c>
      <c r="AA1922" s="15" t="s">
        <v>138</v>
      </c>
      <c r="AB1922" s="20" t="s">
        <v>138</v>
      </c>
      <c r="AC1922" s="20" t="s">
        <v>138</v>
      </c>
      <c r="AD1922" s="20" t="s">
        <v>138</v>
      </c>
      <c r="AE1922" s="20" t="s">
        <v>138</v>
      </c>
      <c r="AF1922" s="20" t="s">
        <v>138</v>
      </c>
      <c r="AG1922" s="15" t="s">
        <v>138</v>
      </c>
      <c r="AH1922" s="20" t="s">
        <v>138</v>
      </c>
      <c r="AI1922" s="20" t="s">
        <v>138</v>
      </c>
      <c r="AJ1922" s="20" t="s">
        <v>138</v>
      </c>
      <c r="AK1922" s="15" t="s">
        <v>36375</v>
      </c>
      <c r="AL1922" s="15" t="s">
        <v>36376</v>
      </c>
      <c r="AM1922" s="15" t="s">
        <v>938</v>
      </c>
      <c r="AN1922" s="15" t="s">
        <v>36377</v>
      </c>
      <c r="AO1922" s="15" t="s">
        <v>36378</v>
      </c>
      <c r="AP1922" s="15" t="s">
        <v>36379</v>
      </c>
      <c r="AQ1922" s="15" t="s">
        <v>36380</v>
      </c>
      <c r="AR1922" s="15" t="s">
        <v>138</v>
      </c>
      <c r="AS1922" s="15" t="s">
        <v>36381</v>
      </c>
      <c r="AT1922" s="15" t="s">
        <v>138</v>
      </c>
      <c r="AU1922" s="15" t="s">
        <v>36382</v>
      </c>
      <c r="AV1922" s="15" t="s">
        <v>1054</v>
      </c>
      <c r="AW1922" s="15" t="s">
        <v>36378</v>
      </c>
      <c r="AX1922" s="15" t="s">
        <v>138</v>
      </c>
      <c r="AY1922" s="15" t="s">
        <v>36383</v>
      </c>
      <c r="AZ1922" s="15" t="s">
        <v>530</v>
      </c>
      <c r="BA1922" s="15" t="s">
        <v>531</v>
      </c>
      <c r="BB1922" s="15" t="s">
        <v>36384</v>
      </c>
      <c r="BC1922" s="15" t="s">
        <v>36385</v>
      </c>
      <c r="BD1922" s="21">
        <v>7</v>
      </c>
      <c r="BE1922" s="15" t="s">
        <v>138</v>
      </c>
      <c r="BF1922" s="15" t="s">
        <v>138</v>
      </c>
      <c r="BG1922" s="15" t="s">
        <v>138</v>
      </c>
      <c r="BH1922" s="15" t="s">
        <v>36386</v>
      </c>
      <c r="BI1922" s="15" t="s">
        <v>138</v>
      </c>
      <c r="BJ1922" s="15" t="s">
        <v>138</v>
      </c>
      <c r="BK1922" s="15" t="s">
        <v>22322</v>
      </c>
      <c r="BL1922" s="15" t="s">
        <v>36387</v>
      </c>
      <c r="BM1922" s="22">
        <v>41547</v>
      </c>
      <c r="BN1922" s="17">
        <v>0.47</v>
      </c>
      <c r="BO1922" s="15" t="s">
        <v>172</v>
      </c>
      <c r="BP1922" s="17" t="s">
        <v>138</v>
      </c>
      <c r="BQ1922" s="15" t="s">
        <v>138</v>
      </c>
      <c r="BR1922" s="15" t="s">
        <v>234</v>
      </c>
      <c r="BS1922" s="15" t="s">
        <v>234</v>
      </c>
      <c r="BT1922" s="15" t="s">
        <v>138</v>
      </c>
      <c r="BU1922" s="15" t="s">
        <v>174</v>
      </c>
      <c r="BV1922" s="15" t="s">
        <v>138</v>
      </c>
      <c r="BW1922" s="15" t="s">
        <v>138</v>
      </c>
      <c r="BX1922" s="15" t="s">
        <v>138</v>
      </c>
      <c r="BY1922" s="15" t="s">
        <v>175</v>
      </c>
      <c r="BZ1922" s="22">
        <v>43453</v>
      </c>
      <c r="CA1922" s="17">
        <v>6.06</v>
      </c>
      <c r="CB1922" s="15" t="s">
        <v>172</v>
      </c>
      <c r="CC1922" s="17">
        <v>62.7</v>
      </c>
      <c r="CD1922" s="15" t="s">
        <v>172</v>
      </c>
      <c r="CE1922" s="15" t="s">
        <v>205</v>
      </c>
      <c r="CF1922" s="15" t="s">
        <v>138</v>
      </c>
      <c r="CG1922" s="15" t="s">
        <v>138</v>
      </c>
      <c r="CH1922" s="15" t="s">
        <v>174</v>
      </c>
      <c r="CI1922" s="15" t="s">
        <v>138</v>
      </c>
      <c r="CJ1922" s="15" t="s">
        <v>138</v>
      </c>
      <c r="CK1922" s="15" t="s">
        <v>138</v>
      </c>
      <c r="CL1922" s="15" t="s">
        <v>175</v>
      </c>
      <c r="CM1922" s="22" t="s">
        <v>138</v>
      </c>
      <c r="CN1922" s="17" t="s">
        <v>138</v>
      </c>
      <c r="CO1922" s="23">
        <v>0.91</v>
      </c>
      <c r="CP1922" s="24">
        <v>97</v>
      </c>
      <c r="CQ1922" s="23">
        <v>-0.03</v>
      </c>
      <c r="CR1922" s="23">
        <v>-2.93</v>
      </c>
      <c r="CS1922" s="23">
        <v>1.46</v>
      </c>
      <c r="CT1922" s="24">
        <v>97</v>
      </c>
      <c r="CU1922" s="23">
        <v>0.35</v>
      </c>
      <c r="CV1922" s="24">
        <v>89</v>
      </c>
      <c r="CW1922" s="23">
        <v>2.83</v>
      </c>
      <c r="CX1922" s="24">
        <v>91</v>
      </c>
      <c r="CY1922" s="23">
        <v>0.09</v>
      </c>
      <c r="CZ1922" s="24">
        <v>98</v>
      </c>
      <c r="DA1922" s="23">
        <v>0.34</v>
      </c>
      <c r="DB1922" s="24">
        <v>90</v>
      </c>
      <c r="DC1922" s="25">
        <v>10.95</v>
      </c>
      <c r="DD1922" s="24">
        <v>91</v>
      </c>
      <c r="DE1922" s="25">
        <v>-0.14000000000000001</v>
      </c>
      <c r="DF1922" s="23">
        <v>-1.22</v>
      </c>
      <c r="DG1922" s="25">
        <v>16.989999999999998</v>
      </c>
      <c r="DH1922" s="24">
        <v>94</v>
      </c>
      <c r="DI1922" s="25">
        <v>4.91</v>
      </c>
      <c r="DJ1922" s="24">
        <v>77</v>
      </c>
      <c r="DK1922" s="25">
        <v>4.6100000000000003</v>
      </c>
      <c r="DL1922" s="24">
        <v>78</v>
      </c>
      <c r="DM1922" s="25">
        <v>29.38</v>
      </c>
      <c r="DN1922" s="24">
        <v>96</v>
      </c>
      <c r="DO1922" s="25">
        <v>8.93</v>
      </c>
      <c r="DP1922" s="24">
        <v>86</v>
      </c>
      <c r="DQ1922" s="24">
        <v>1548</v>
      </c>
      <c r="DR1922" s="26">
        <v>93</v>
      </c>
      <c r="DS1922" s="23">
        <v>6.39</v>
      </c>
      <c r="DT1922" s="24">
        <v>852</v>
      </c>
      <c r="DU1922" s="26">
        <v>3</v>
      </c>
      <c r="DV1922" s="23">
        <v>0.35</v>
      </c>
      <c r="DW1922" s="24">
        <v>3197</v>
      </c>
      <c r="DX1922" s="27">
        <v>6</v>
      </c>
      <c r="DY1922" s="23">
        <v>0.19</v>
      </c>
      <c r="DZ1922" s="15" t="s">
        <v>178</v>
      </c>
      <c r="EA1922" s="22">
        <v>43622</v>
      </c>
      <c r="EB1922" s="17">
        <v>62.7</v>
      </c>
      <c r="EC1922" s="22">
        <v>43453</v>
      </c>
      <c r="ED1922" s="15" t="s">
        <v>205</v>
      </c>
      <c r="EE1922" s="14" t="str">
        <f>HYPERLINK("https://my.pitchbook.com?c=62510-41", "View company online")</f>
        <v>View company online</v>
      </c>
    </row>
    <row r="1923" spans="1:135">
      <c r="A1923" s="28" t="s">
        <v>36388</v>
      </c>
      <c r="B1923" s="28" t="s">
        <v>36389</v>
      </c>
      <c r="C1923" s="28" t="s">
        <v>138</v>
      </c>
      <c r="D1923" s="28" t="s">
        <v>138</v>
      </c>
      <c r="E1923" s="28" t="s">
        <v>36390</v>
      </c>
      <c r="F1923" s="28" t="s">
        <v>36388</v>
      </c>
      <c r="G1923" s="28" t="s">
        <v>36391</v>
      </c>
      <c r="H1923" s="28" t="s">
        <v>322</v>
      </c>
      <c r="I1923" s="28" t="s">
        <v>323</v>
      </c>
      <c r="J1923" s="28" t="s">
        <v>954</v>
      </c>
      <c r="K1923" s="28" t="s">
        <v>36392</v>
      </c>
      <c r="L1923" s="28" t="s">
        <v>4341</v>
      </c>
      <c r="M1923" s="28" t="s">
        <v>36393</v>
      </c>
      <c r="N1923" s="28" t="s">
        <v>147</v>
      </c>
      <c r="O1923" s="29">
        <v>1.5</v>
      </c>
      <c r="P1923" s="28" t="s">
        <v>148</v>
      </c>
      <c r="Q1923" s="28" t="s">
        <v>149</v>
      </c>
      <c r="R1923" s="28" t="s">
        <v>174</v>
      </c>
      <c r="S1923" s="28" t="s">
        <v>36394</v>
      </c>
      <c r="T1923" s="30">
        <v>12</v>
      </c>
      <c r="U1923" s="28" t="s">
        <v>12107</v>
      </c>
      <c r="V1923" s="28" t="s">
        <v>138</v>
      </c>
      <c r="W1923" s="28" t="s">
        <v>138</v>
      </c>
      <c r="X1923" s="31">
        <v>2013</v>
      </c>
      <c r="Y1923" s="28" t="s">
        <v>138</v>
      </c>
      <c r="Z1923" s="28" t="s">
        <v>138</v>
      </c>
      <c r="AA1923" s="28" t="s">
        <v>138</v>
      </c>
      <c r="AB1923" s="32" t="s">
        <v>138</v>
      </c>
      <c r="AC1923" s="32" t="s">
        <v>138</v>
      </c>
      <c r="AD1923" s="32" t="s">
        <v>138</v>
      </c>
      <c r="AE1923" s="32" t="s">
        <v>138</v>
      </c>
      <c r="AF1923" s="32" t="s">
        <v>138</v>
      </c>
      <c r="AG1923" s="28" t="s">
        <v>138</v>
      </c>
      <c r="AH1923" s="32" t="s">
        <v>138</v>
      </c>
      <c r="AI1923" s="32" t="s">
        <v>138</v>
      </c>
      <c r="AJ1923" s="32" t="s">
        <v>138</v>
      </c>
      <c r="AK1923" s="28" t="s">
        <v>36395</v>
      </c>
      <c r="AL1923" s="28" t="s">
        <v>36396</v>
      </c>
      <c r="AM1923" s="28" t="s">
        <v>938</v>
      </c>
      <c r="AN1923" s="28" t="s">
        <v>36397</v>
      </c>
      <c r="AO1923" s="28" t="s">
        <v>36398</v>
      </c>
      <c r="AP1923" s="28" t="s">
        <v>3905</v>
      </c>
      <c r="AQ1923" s="28" t="s">
        <v>36399</v>
      </c>
      <c r="AR1923" s="28" t="s">
        <v>138</v>
      </c>
      <c r="AS1923" s="28" t="s">
        <v>3907</v>
      </c>
      <c r="AT1923" s="28" t="s">
        <v>2740</v>
      </c>
      <c r="AU1923" s="28" t="s">
        <v>36400</v>
      </c>
      <c r="AV1923" s="28" t="s">
        <v>2742</v>
      </c>
      <c r="AW1923" s="28" t="s">
        <v>36398</v>
      </c>
      <c r="AX1923" s="28" t="s">
        <v>36401</v>
      </c>
      <c r="AY1923" s="28" t="s">
        <v>36402</v>
      </c>
      <c r="AZ1923" s="28" t="s">
        <v>164</v>
      </c>
      <c r="BA1923" s="28" t="s">
        <v>165</v>
      </c>
      <c r="BB1923" s="28" t="s">
        <v>36403</v>
      </c>
      <c r="BC1923" s="28" t="s">
        <v>36404</v>
      </c>
      <c r="BD1923" s="33">
        <v>5</v>
      </c>
      <c r="BE1923" s="28" t="s">
        <v>138</v>
      </c>
      <c r="BF1923" s="28" t="s">
        <v>138</v>
      </c>
      <c r="BG1923" s="28" t="s">
        <v>138</v>
      </c>
      <c r="BH1923" s="28" t="s">
        <v>36405</v>
      </c>
      <c r="BI1923" s="28" t="s">
        <v>138</v>
      </c>
      <c r="BJ1923" s="28" t="s">
        <v>138</v>
      </c>
      <c r="BK1923" s="28" t="s">
        <v>138</v>
      </c>
      <c r="BL1923" s="28" t="s">
        <v>138</v>
      </c>
      <c r="BM1923" s="34">
        <v>41717</v>
      </c>
      <c r="BN1923" s="29">
        <v>1.5</v>
      </c>
      <c r="BO1923" s="28" t="s">
        <v>172</v>
      </c>
      <c r="BP1923" s="29" t="s">
        <v>138</v>
      </c>
      <c r="BQ1923" s="28" t="s">
        <v>138</v>
      </c>
      <c r="BR1923" s="28" t="s">
        <v>234</v>
      </c>
      <c r="BS1923" s="28" t="s">
        <v>234</v>
      </c>
      <c r="BT1923" s="28" t="s">
        <v>138</v>
      </c>
      <c r="BU1923" s="28" t="s">
        <v>174</v>
      </c>
      <c r="BV1923" s="28" t="s">
        <v>138</v>
      </c>
      <c r="BW1923" s="28" t="s">
        <v>138</v>
      </c>
      <c r="BX1923" s="28" t="s">
        <v>138</v>
      </c>
      <c r="BY1923" s="28" t="s">
        <v>175</v>
      </c>
      <c r="BZ1923" s="34">
        <v>41717</v>
      </c>
      <c r="CA1923" s="29">
        <v>1.5</v>
      </c>
      <c r="CB1923" s="28" t="s">
        <v>172</v>
      </c>
      <c r="CC1923" s="29" t="s">
        <v>138</v>
      </c>
      <c r="CD1923" s="28" t="s">
        <v>138</v>
      </c>
      <c r="CE1923" s="28" t="s">
        <v>234</v>
      </c>
      <c r="CF1923" s="28" t="s">
        <v>234</v>
      </c>
      <c r="CG1923" s="28" t="s">
        <v>138</v>
      </c>
      <c r="CH1923" s="28" t="s">
        <v>174</v>
      </c>
      <c r="CI1923" s="28" t="s">
        <v>138</v>
      </c>
      <c r="CJ1923" s="28" t="s">
        <v>138</v>
      </c>
      <c r="CK1923" s="28" t="s">
        <v>138</v>
      </c>
      <c r="CL1923" s="28" t="s">
        <v>175</v>
      </c>
      <c r="CM1923" s="34" t="s">
        <v>138</v>
      </c>
      <c r="CN1923" s="29" t="s">
        <v>138</v>
      </c>
      <c r="CO1923" s="35">
        <v>-1.67</v>
      </c>
      <c r="CP1923" s="36">
        <v>7</v>
      </c>
      <c r="CQ1923" s="35">
        <v>-0.06</v>
      </c>
      <c r="CR1923" s="35">
        <v>-4.03</v>
      </c>
      <c r="CS1923" s="35">
        <v>-3.44</v>
      </c>
      <c r="CT1923" s="36">
        <v>4</v>
      </c>
      <c r="CU1923" s="35">
        <v>0.1</v>
      </c>
      <c r="CV1923" s="36">
        <v>68</v>
      </c>
      <c r="CW1923" s="35">
        <v>-6.52</v>
      </c>
      <c r="CX1923" s="36">
        <v>2</v>
      </c>
      <c r="CY1923" s="35">
        <v>-0.36</v>
      </c>
      <c r="CZ1923" s="36">
        <v>23</v>
      </c>
      <c r="DA1923" s="35">
        <v>0.04</v>
      </c>
      <c r="DB1923" s="36">
        <v>62</v>
      </c>
      <c r="DC1923" s="37">
        <v>4.2300000000000004</v>
      </c>
      <c r="DD1923" s="36">
        <v>80</v>
      </c>
      <c r="DE1923" s="37">
        <v>-7.0000000000000007E-2</v>
      </c>
      <c r="DF1923" s="35">
        <v>-1.53</v>
      </c>
      <c r="DG1923" s="37">
        <v>7.26</v>
      </c>
      <c r="DH1923" s="36">
        <v>87</v>
      </c>
      <c r="DI1923" s="37">
        <v>1.19</v>
      </c>
      <c r="DJ1923" s="36">
        <v>52</v>
      </c>
      <c r="DK1923" s="37">
        <v>2.11</v>
      </c>
      <c r="DL1923" s="36">
        <v>65</v>
      </c>
      <c r="DM1923" s="37">
        <v>12.41</v>
      </c>
      <c r="DN1923" s="36">
        <v>91</v>
      </c>
      <c r="DO1923" s="37">
        <v>1.95</v>
      </c>
      <c r="DP1923" s="36">
        <v>63</v>
      </c>
      <c r="DQ1923" s="36">
        <v>697</v>
      </c>
      <c r="DR1923" s="38">
        <v>80</v>
      </c>
      <c r="DS1923" s="35">
        <v>12.97</v>
      </c>
      <c r="DT1923" s="36">
        <v>360</v>
      </c>
      <c r="DU1923" s="38">
        <v>2</v>
      </c>
      <c r="DV1923" s="35">
        <v>0.56000000000000005</v>
      </c>
      <c r="DW1923" s="36">
        <v>699</v>
      </c>
      <c r="DX1923" s="39">
        <v>-1</v>
      </c>
      <c r="DY1923" s="35">
        <v>-0.14000000000000001</v>
      </c>
      <c r="DZ1923" s="28" t="s">
        <v>178</v>
      </c>
      <c r="EA1923" s="34">
        <v>43351</v>
      </c>
      <c r="EB1923" s="29" t="s">
        <v>138</v>
      </c>
      <c r="EC1923" s="34" t="s">
        <v>138</v>
      </c>
      <c r="ED1923" s="28" t="s">
        <v>138</v>
      </c>
      <c r="EE1923" s="40" t="str">
        <f>HYPERLINK("https://my.pitchbook.com?c=62020-72", "View company online")</f>
        <v>View company online</v>
      </c>
    </row>
    <row r="1924" spans="1:135">
      <c r="A1924" s="15" t="s">
        <v>36406</v>
      </c>
      <c r="B1924" s="15" t="s">
        <v>36407</v>
      </c>
      <c r="C1924" s="15" t="s">
        <v>36408</v>
      </c>
      <c r="D1924" s="15" t="s">
        <v>138</v>
      </c>
      <c r="E1924" s="15" t="s">
        <v>36409</v>
      </c>
      <c r="F1924" s="15" t="s">
        <v>36406</v>
      </c>
      <c r="G1924" s="15" t="s">
        <v>36410</v>
      </c>
      <c r="H1924" s="15" t="s">
        <v>322</v>
      </c>
      <c r="I1924" s="15" t="s">
        <v>323</v>
      </c>
      <c r="J1924" s="15" t="s">
        <v>413</v>
      </c>
      <c r="K1924" s="15" t="s">
        <v>4414</v>
      </c>
      <c r="L1924" s="15" t="s">
        <v>36411</v>
      </c>
      <c r="M1924" s="15" t="s">
        <v>36412</v>
      </c>
      <c r="N1924" s="15" t="s">
        <v>147</v>
      </c>
      <c r="O1924" s="17">
        <v>33.299999999999997</v>
      </c>
      <c r="P1924" s="15" t="s">
        <v>610</v>
      </c>
      <c r="Q1924" s="15" t="s">
        <v>149</v>
      </c>
      <c r="R1924" s="15" t="s">
        <v>174</v>
      </c>
      <c r="S1924" s="15" t="s">
        <v>36413</v>
      </c>
      <c r="T1924" s="18">
        <v>42</v>
      </c>
      <c r="U1924" s="15" t="s">
        <v>36414</v>
      </c>
      <c r="V1924" s="15" t="s">
        <v>138</v>
      </c>
      <c r="W1924" s="15" t="s">
        <v>138</v>
      </c>
      <c r="X1924" s="19">
        <v>2010</v>
      </c>
      <c r="Y1924" s="15" t="s">
        <v>138</v>
      </c>
      <c r="Z1924" s="15" t="s">
        <v>138</v>
      </c>
      <c r="AA1924" s="15" t="s">
        <v>138</v>
      </c>
      <c r="AB1924" s="20" t="s">
        <v>138</v>
      </c>
      <c r="AC1924" s="20" t="s">
        <v>138</v>
      </c>
      <c r="AD1924" s="20" t="s">
        <v>138</v>
      </c>
      <c r="AE1924" s="20" t="s">
        <v>138</v>
      </c>
      <c r="AF1924" s="20" t="s">
        <v>138</v>
      </c>
      <c r="AG1924" s="15" t="s">
        <v>138</v>
      </c>
      <c r="AH1924" s="20" t="s">
        <v>138</v>
      </c>
      <c r="AI1924" s="20" t="s">
        <v>138</v>
      </c>
      <c r="AJ1924" s="20" t="s">
        <v>138</v>
      </c>
      <c r="AK1924" s="15" t="s">
        <v>36415</v>
      </c>
      <c r="AL1924" s="15" t="s">
        <v>36416</v>
      </c>
      <c r="AM1924" s="15" t="s">
        <v>4567</v>
      </c>
      <c r="AN1924" s="15" t="s">
        <v>138</v>
      </c>
      <c r="AO1924" s="15" t="s">
        <v>138</v>
      </c>
      <c r="AP1924" s="15" t="s">
        <v>423</v>
      </c>
      <c r="AQ1924" s="15" t="s">
        <v>36417</v>
      </c>
      <c r="AR1924" s="15" t="s">
        <v>6978</v>
      </c>
      <c r="AS1924" s="15" t="s">
        <v>426</v>
      </c>
      <c r="AT1924" s="15" t="s">
        <v>426</v>
      </c>
      <c r="AU1924" s="15" t="s">
        <v>619</v>
      </c>
      <c r="AV1924" s="15" t="s">
        <v>162</v>
      </c>
      <c r="AW1924" s="15" t="s">
        <v>36418</v>
      </c>
      <c r="AX1924" s="15" t="s">
        <v>36419</v>
      </c>
      <c r="AY1924" s="15" t="s">
        <v>36420</v>
      </c>
      <c r="AZ1924" s="15" t="s">
        <v>164</v>
      </c>
      <c r="BA1924" s="15" t="s">
        <v>165</v>
      </c>
      <c r="BB1924" s="15" t="s">
        <v>36421</v>
      </c>
      <c r="BC1924" s="15" t="s">
        <v>36422</v>
      </c>
      <c r="BD1924" s="21">
        <v>26</v>
      </c>
      <c r="BE1924" s="15" t="s">
        <v>138</v>
      </c>
      <c r="BF1924" s="15" t="s">
        <v>138</v>
      </c>
      <c r="BG1924" s="15" t="s">
        <v>138</v>
      </c>
      <c r="BH1924" s="15" t="s">
        <v>36423</v>
      </c>
      <c r="BI1924" s="15" t="s">
        <v>138</v>
      </c>
      <c r="BJ1924" s="15" t="s">
        <v>138</v>
      </c>
      <c r="BK1924" s="15" t="s">
        <v>36424</v>
      </c>
      <c r="BL1924" s="15" t="s">
        <v>315</v>
      </c>
      <c r="BM1924" s="22" t="s">
        <v>138</v>
      </c>
      <c r="BN1924" s="17" t="s">
        <v>138</v>
      </c>
      <c r="BO1924" s="15" t="s">
        <v>138</v>
      </c>
      <c r="BP1924" s="17" t="s">
        <v>138</v>
      </c>
      <c r="BQ1924" s="15" t="s">
        <v>138</v>
      </c>
      <c r="BR1924" s="15" t="s">
        <v>316</v>
      </c>
      <c r="BS1924" s="15" t="s">
        <v>138</v>
      </c>
      <c r="BT1924" s="15" t="s">
        <v>138</v>
      </c>
      <c r="BU1924" s="15" t="s">
        <v>174</v>
      </c>
      <c r="BV1924" s="15" t="s">
        <v>138</v>
      </c>
      <c r="BW1924" s="15" t="s">
        <v>138</v>
      </c>
      <c r="BX1924" s="15" t="s">
        <v>138</v>
      </c>
      <c r="BY1924" s="15" t="s">
        <v>175</v>
      </c>
      <c r="BZ1924" s="22">
        <v>42012</v>
      </c>
      <c r="CA1924" s="17" t="s">
        <v>138</v>
      </c>
      <c r="CB1924" s="15" t="s">
        <v>138</v>
      </c>
      <c r="CC1924" s="17" t="s">
        <v>138</v>
      </c>
      <c r="CD1924" s="15" t="s">
        <v>138</v>
      </c>
      <c r="CE1924" s="15" t="s">
        <v>205</v>
      </c>
      <c r="CF1924" s="15" t="s">
        <v>138</v>
      </c>
      <c r="CG1924" s="15" t="s">
        <v>138</v>
      </c>
      <c r="CH1924" s="15" t="s">
        <v>174</v>
      </c>
      <c r="CI1924" s="15" t="s">
        <v>138</v>
      </c>
      <c r="CJ1924" s="15" t="s">
        <v>138</v>
      </c>
      <c r="CK1924" s="15" t="s">
        <v>138</v>
      </c>
      <c r="CL1924" s="15" t="s">
        <v>175</v>
      </c>
      <c r="CM1924" s="22" t="s">
        <v>138</v>
      </c>
      <c r="CN1924" s="17" t="s">
        <v>138</v>
      </c>
      <c r="CO1924" s="23">
        <v>0.22</v>
      </c>
      <c r="CP1924" s="24">
        <v>93</v>
      </c>
      <c r="CQ1924" s="23">
        <v>0</v>
      </c>
      <c r="CR1924" s="23">
        <v>1.51</v>
      </c>
      <c r="CS1924" s="23">
        <v>0.52</v>
      </c>
      <c r="CT1924" s="24">
        <v>95</v>
      </c>
      <c r="CU1924" s="23">
        <v>0.02</v>
      </c>
      <c r="CV1924" s="24">
        <v>51</v>
      </c>
      <c r="CW1924" s="23">
        <v>5.17</v>
      </c>
      <c r="CX1924" s="24">
        <v>96</v>
      </c>
      <c r="CY1924" s="23">
        <v>-4.1399999999999997</v>
      </c>
      <c r="CZ1924" s="24">
        <v>4</v>
      </c>
      <c r="DA1924" s="23">
        <v>0.04</v>
      </c>
      <c r="DB1924" s="24">
        <v>62</v>
      </c>
      <c r="DC1924" s="25">
        <v>336.64</v>
      </c>
      <c r="DD1924" s="24">
        <v>100</v>
      </c>
      <c r="DE1924" s="25">
        <v>14.3</v>
      </c>
      <c r="DF1924" s="23">
        <v>4.4400000000000004</v>
      </c>
      <c r="DG1924" s="25">
        <v>30.41</v>
      </c>
      <c r="DH1924" s="24">
        <v>97</v>
      </c>
      <c r="DI1924" s="25">
        <v>18.04</v>
      </c>
      <c r="DJ1924" s="24">
        <v>90</v>
      </c>
      <c r="DK1924" s="25">
        <v>24.03</v>
      </c>
      <c r="DL1924" s="24">
        <v>93</v>
      </c>
      <c r="DM1924" s="25">
        <v>36.79</v>
      </c>
      <c r="DN1924" s="24">
        <v>97</v>
      </c>
      <c r="DO1924" s="25">
        <v>12.88</v>
      </c>
      <c r="DP1924" s="24">
        <v>89</v>
      </c>
      <c r="DQ1924" s="24">
        <v>8171</v>
      </c>
      <c r="DR1924" s="26">
        <v>216</v>
      </c>
      <c r="DS1924" s="23">
        <v>2.72</v>
      </c>
      <c r="DT1924" s="24">
        <v>1068</v>
      </c>
      <c r="DU1924" s="26">
        <v>-1</v>
      </c>
      <c r="DV1924" s="23">
        <v>-0.09</v>
      </c>
      <c r="DW1924" s="24">
        <v>4610</v>
      </c>
      <c r="DX1924" s="27">
        <v>1</v>
      </c>
      <c r="DY1924" s="23">
        <v>0.02</v>
      </c>
      <c r="DZ1924" s="15" t="s">
        <v>178</v>
      </c>
      <c r="EA1924" s="22">
        <v>43351</v>
      </c>
      <c r="EB1924" s="17">
        <v>156.66999999999999</v>
      </c>
      <c r="EC1924" s="22">
        <v>41051</v>
      </c>
      <c r="ED1924" s="15" t="s">
        <v>205</v>
      </c>
      <c r="EE1924" s="14" t="str">
        <f>HYPERLINK("https://my.pitchbook.com?c=54437-95", "View company online")</f>
        <v>View company online</v>
      </c>
    </row>
    <row r="1925" spans="1:135">
      <c r="A1925" s="28" t="s">
        <v>36425</v>
      </c>
      <c r="B1925" s="28" t="s">
        <v>36426</v>
      </c>
      <c r="C1925" s="28" t="s">
        <v>36427</v>
      </c>
      <c r="D1925" s="28" t="s">
        <v>138</v>
      </c>
      <c r="E1925" s="28" t="s">
        <v>36428</v>
      </c>
      <c r="F1925" s="28" t="s">
        <v>36425</v>
      </c>
      <c r="G1925" s="28" t="s">
        <v>36429</v>
      </c>
      <c r="H1925" s="28" t="s">
        <v>322</v>
      </c>
      <c r="I1925" s="28" t="s">
        <v>323</v>
      </c>
      <c r="J1925" s="28" t="s">
        <v>324</v>
      </c>
      <c r="K1925" s="28" t="s">
        <v>9125</v>
      </c>
      <c r="L1925" s="28" t="s">
        <v>36430</v>
      </c>
      <c r="M1925" s="28" t="s">
        <v>36431</v>
      </c>
      <c r="N1925" s="28" t="s">
        <v>147</v>
      </c>
      <c r="O1925" s="29">
        <v>100.9</v>
      </c>
      <c r="P1925" s="28" t="s">
        <v>148</v>
      </c>
      <c r="Q1925" s="28" t="s">
        <v>149</v>
      </c>
      <c r="R1925" s="28" t="s">
        <v>174</v>
      </c>
      <c r="S1925" s="28" t="s">
        <v>36432</v>
      </c>
      <c r="T1925" s="30">
        <v>300</v>
      </c>
      <c r="U1925" s="28" t="s">
        <v>36433</v>
      </c>
      <c r="V1925" s="28" t="s">
        <v>138</v>
      </c>
      <c r="W1925" s="28" t="s">
        <v>138</v>
      </c>
      <c r="X1925" s="31">
        <v>2009</v>
      </c>
      <c r="Y1925" s="28" t="s">
        <v>138</v>
      </c>
      <c r="Z1925" s="28" t="s">
        <v>138</v>
      </c>
      <c r="AA1925" s="28" t="s">
        <v>138</v>
      </c>
      <c r="AB1925" s="32" t="s">
        <v>138</v>
      </c>
      <c r="AC1925" s="32" t="s">
        <v>138</v>
      </c>
      <c r="AD1925" s="32" t="s">
        <v>138</v>
      </c>
      <c r="AE1925" s="32" t="s">
        <v>138</v>
      </c>
      <c r="AF1925" s="32" t="s">
        <v>138</v>
      </c>
      <c r="AG1925" s="28" t="s">
        <v>138</v>
      </c>
      <c r="AH1925" s="32" t="s">
        <v>138</v>
      </c>
      <c r="AI1925" s="32" t="s">
        <v>138</v>
      </c>
      <c r="AJ1925" s="32" t="s">
        <v>138</v>
      </c>
      <c r="AK1925" s="28" t="s">
        <v>36434</v>
      </c>
      <c r="AL1925" s="28" t="s">
        <v>36435</v>
      </c>
      <c r="AM1925" s="28" t="s">
        <v>249</v>
      </c>
      <c r="AN1925" s="28" t="s">
        <v>36436</v>
      </c>
      <c r="AO1925" s="28" t="s">
        <v>138</v>
      </c>
      <c r="AP1925" s="28" t="s">
        <v>2027</v>
      </c>
      <c r="AQ1925" s="28" t="s">
        <v>36437</v>
      </c>
      <c r="AR1925" s="28" t="s">
        <v>2153</v>
      </c>
      <c r="AS1925" s="28" t="s">
        <v>2030</v>
      </c>
      <c r="AT1925" s="28" t="s">
        <v>2031</v>
      </c>
      <c r="AU1925" s="28" t="s">
        <v>32139</v>
      </c>
      <c r="AV1925" s="28" t="s">
        <v>162</v>
      </c>
      <c r="AW1925" s="28" t="s">
        <v>36438</v>
      </c>
      <c r="AX1925" s="28" t="s">
        <v>138</v>
      </c>
      <c r="AY1925" s="28" t="s">
        <v>36439</v>
      </c>
      <c r="AZ1925" s="28" t="s">
        <v>164</v>
      </c>
      <c r="BA1925" s="28" t="s">
        <v>165</v>
      </c>
      <c r="BB1925" s="28" t="s">
        <v>36440</v>
      </c>
      <c r="BC1925" s="28" t="s">
        <v>36441</v>
      </c>
      <c r="BD1925" s="33">
        <v>17</v>
      </c>
      <c r="BE1925" s="28" t="s">
        <v>138</v>
      </c>
      <c r="BF1925" s="28" t="s">
        <v>138</v>
      </c>
      <c r="BG1925" s="28" t="s">
        <v>138</v>
      </c>
      <c r="BH1925" s="28" t="s">
        <v>36442</v>
      </c>
      <c r="BI1925" s="28" t="s">
        <v>138</v>
      </c>
      <c r="BJ1925" s="28" t="s">
        <v>138</v>
      </c>
      <c r="BK1925" s="28" t="s">
        <v>36443</v>
      </c>
      <c r="BL1925" s="28" t="s">
        <v>13492</v>
      </c>
      <c r="BM1925" s="34">
        <v>40225</v>
      </c>
      <c r="BN1925" s="29">
        <v>1.1000000000000001</v>
      </c>
      <c r="BO1925" s="28" t="s">
        <v>172</v>
      </c>
      <c r="BP1925" s="29">
        <v>4.24</v>
      </c>
      <c r="BQ1925" s="28" t="s">
        <v>172</v>
      </c>
      <c r="BR1925" s="28" t="s">
        <v>205</v>
      </c>
      <c r="BS1925" s="28" t="s">
        <v>206</v>
      </c>
      <c r="BT1925" s="28" t="s">
        <v>138</v>
      </c>
      <c r="BU1925" s="28" t="s">
        <v>174</v>
      </c>
      <c r="BV1925" s="28" t="s">
        <v>138</v>
      </c>
      <c r="BW1925" s="28" t="s">
        <v>138</v>
      </c>
      <c r="BX1925" s="28" t="s">
        <v>138</v>
      </c>
      <c r="BY1925" s="28" t="s">
        <v>175</v>
      </c>
      <c r="BZ1925" s="34">
        <v>43272</v>
      </c>
      <c r="CA1925" s="29">
        <v>25</v>
      </c>
      <c r="CB1925" s="28" t="s">
        <v>172</v>
      </c>
      <c r="CC1925" s="29">
        <v>165</v>
      </c>
      <c r="CD1925" s="28" t="s">
        <v>172</v>
      </c>
      <c r="CE1925" s="28" t="s">
        <v>173</v>
      </c>
      <c r="CF1925" s="28" t="s">
        <v>408</v>
      </c>
      <c r="CG1925" s="28" t="s">
        <v>138</v>
      </c>
      <c r="CH1925" s="28" t="s">
        <v>174</v>
      </c>
      <c r="CI1925" s="28" t="s">
        <v>138</v>
      </c>
      <c r="CJ1925" s="28" t="s">
        <v>138</v>
      </c>
      <c r="CK1925" s="28" t="s">
        <v>138</v>
      </c>
      <c r="CL1925" s="28" t="s">
        <v>175</v>
      </c>
      <c r="CM1925" s="34" t="s">
        <v>138</v>
      </c>
      <c r="CN1925" s="29" t="s">
        <v>138</v>
      </c>
      <c r="CO1925" s="35">
        <v>1.54</v>
      </c>
      <c r="CP1925" s="36">
        <v>98</v>
      </c>
      <c r="CQ1925" s="35">
        <v>-0.03</v>
      </c>
      <c r="CR1925" s="35">
        <v>-1.64</v>
      </c>
      <c r="CS1925" s="35">
        <v>-0.18</v>
      </c>
      <c r="CT1925" s="36">
        <v>22</v>
      </c>
      <c r="CU1925" s="35">
        <v>-0.01</v>
      </c>
      <c r="CV1925" s="36">
        <v>20</v>
      </c>
      <c r="CW1925" s="35">
        <v>1.95</v>
      </c>
      <c r="CX1925" s="36">
        <v>88</v>
      </c>
      <c r="CY1925" s="35">
        <v>-2.31</v>
      </c>
      <c r="CZ1925" s="36">
        <v>10</v>
      </c>
      <c r="DA1925" s="35">
        <v>-0.01</v>
      </c>
      <c r="DB1925" s="36">
        <v>21</v>
      </c>
      <c r="DC1925" s="37">
        <v>27.25</v>
      </c>
      <c r="DD1925" s="36">
        <v>96</v>
      </c>
      <c r="DE1925" s="37">
        <v>-0.86</v>
      </c>
      <c r="DF1925" s="35">
        <v>-3.08</v>
      </c>
      <c r="DG1925" s="37">
        <v>57.72</v>
      </c>
      <c r="DH1925" s="36">
        <v>99</v>
      </c>
      <c r="DI1925" s="37">
        <v>23.48</v>
      </c>
      <c r="DJ1925" s="36">
        <v>92</v>
      </c>
      <c r="DK1925" s="37">
        <v>41.72</v>
      </c>
      <c r="DL1925" s="36">
        <v>95</v>
      </c>
      <c r="DM1925" s="37">
        <v>73.72</v>
      </c>
      <c r="DN1925" s="36">
        <v>99</v>
      </c>
      <c r="DO1925" s="37">
        <v>35.92</v>
      </c>
      <c r="DP1925" s="36">
        <v>95</v>
      </c>
      <c r="DQ1925" s="36">
        <v>14199</v>
      </c>
      <c r="DR1925" s="38">
        <v>336</v>
      </c>
      <c r="DS1925" s="35">
        <v>2.42</v>
      </c>
      <c r="DT1925" s="36">
        <v>2138</v>
      </c>
      <c r="DU1925" s="38">
        <v>2</v>
      </c>
      <c r="DV1925" s="35">
        <v>0.09</v>
      </c>
      <c r="DW1925" s="36">
        <v>12860</v>
      </c>
      <c r="DX1925" s="39">
        <v>4</v>
      </c>
      <c r="DY1925" s="35">
        <v>0.03</v>
      </c>
      <c r="DZ1925" s="28" t="s">
        <v>178</v>
      </c>
      <c r="EA1925" s="34">
        <v>43620</v>
      </c>
      <c r="EB1925" s="29">
        <v>165</v>
      </c>
      <c r="EC1925" s="34">
        <v>43272</v>
      </c>
      <c r="ED1925" s="28" t="s">
        <v>173</v>
      </c>
      <c r="EE1925" s="40" t="str">
        <f>HYPERLINK("https://my.pitchbook.com?c=43016-41", "View company online")</f>
        <v>View company online</v>
      </c>
    </row>
    <row r="1926" spans="1:135">
      <c r="A1926" s="15" t="s">
        <v>36444</v>
      </c>
      <c r="B1926" s="15" t="s">
        <v>36445</v>
      </c>
      <c r="C1926" s="15" t="s">
        <v>138</v>
      </c>
      <c r="D1926" s="15" t="s">
        <v>138</v>
      </c>
      <c r="E1926" s="15" t="s">
        <v>36446</v>
      </c>
      <c r="F1926" s="15" t="s">
        <v>36444</v>
      </c>
      <c r="G1926" s="15" t="s">
        <v>36447</v>
      </c>
      <c r="H1926" s="15" t="s">
        <v>322</v>
      </c>
      <c r="I1926" s="15" t="s">
        <v>323</v>
      </c>
      <c r="J1926" s="15" t="s">
        <v>324</v>
      </c>
      <c r="K1926" s="15" t="s">
        <v>9125</v>
      </c>
      <c r="L1926" s="15" t="s">
        <v>326</v>
      </c>
      <c r="M1926" s="15" t="s">
        <v>36448</v>
      </c>
      <c r="N1926" s="15" t="s">
        <v>147</v>
      </c>
      <c r="O1926" s="17">
        <v>15.36</v>
      </c>
      <c r="P1926" s="15" t="s">
        <v>148</v>
      </c>
      <c r="Q1926" s="15" t="s">
        <v>149</v>
      </c>
      <c r="R1926" s="15" t="s">
        <v>174</v>
      </c>
      <c r="S1926" s="15" t="s">
        <v>36449</v>
      </c>
      <c r="T1926" s="18">
        <v>21</v>
      </c>
      <c r="U1926" s="15" t="s">
        <v>36450</v>
      </c>
      <c r="V1926" s="15" t="s">
        <v>138</v>
      </c>
      <c r="W1926" s="15" t="s">
        <v>138</v>
      </c>
      <c r="X1926" s="19">
        <v>2011</v>
      </c>
      <c r="Y1926" s="15" t="s">
        <v>138</v>
      </c>
      <c r="Z1926" s="15" t="s">
        <v>138</v>
      </c>
      <c r="AA1926" s="15" t="s">
        <v>138</v>
      </c>
      <c r="AB1926" s="20" t="s">
        <v>138</v>
      </c>
      <c r="AC1926" s="20" t="s">
        <v>138</v>
      </c>
      <c r="AD1926" s="20" t="s">
        <v>138</v>
      </c>
      <c r="AE1926" s="20" t="s">
        <v>138</v>
      </c>
      <c r="AF1926" s="20" t="s">
        <v>138</v>
      </c>
      <c r="AG1926" s="15" t="s">
        <v>138</v>
      </c>
      <c r="AH1926" s="20" t="s">
        <v>138</v>
      </c>
      <c r="AI1926" s="20" t="s">
        <v>138</v>
      </c>
      <c r="AJ1926" s="20" t="s">
        <v>138</v>
      </c>
      <c r="AK1926" s="15" t="s">
        <v>36451</v>
      </c>
      <c r="AL1926" s="15" t="s">
        <v>36452</v>
      </c>
      <c r="AM1926" s="15" t="s">
        <v>221</v>
      </c>
      <c r="AN1926" s="15" t="s">
        <v>36453</v>
      </c>
      <c r="AO1926" s="15" t="s">
        <v>36454</v>
      </c>
      <c r="AP1926" s="15" t="s">
        <v>665</v>
      </c>
      <c r="AQ1926" s="15" t="s">
        <v>36455</v>
      </c>
      <c r="AR1926" s="15" t="s">
        <v>26792</v>
      </c>
      <c r="AS1926" s="15" t="s">
        <v>668</v>
      </c>
      <c r="AT1926" s="15" t="s">
        <v>200</v>
      </c>
      <c r="AU1926" s="15" t="s">
        <v>3477</v>
      </c>
      <c r="AV1926" s="15" t="s">
        <v>162</v>
      </c>
      <c r="AW1926" s="15" t="s">
        <v>36454</v>
      </c>
      <c r="AX1926" s="15" t="s">
        <v>138</v>
      </c>
      <c r="AY1926" s="15" t="s">
        <v>36456</v>
      </c>
      <c r="AZ1926" s="15" t="s">
        <v>164</v>
      </c>
      <c r="BA1926" s="15" t="s">
        <v>165</v>
      </c>
      <c r="BB1926" s="15" t="s">
        <v>36457</v>
      </c>
      <c r="BC1926" s="15" t="s">
        <v>36458</v>
      </c>
      <c r="BD1926" s="21">
        <v>20</v>
      </c>
      <c r="BE1926" s="15" t="s">
        <v>138</v>
      </c>
      <c r="BF1926" s="15" t="s">
        <v>138</v>
      </c>
      <c r="BG1926" s="15" t="s">
        <v>138</v>
      </c>
      <c r="BH1926" s="15" t="s">
        <v>36459</v>
      </c>
      <c r="BI1926" s="15" t="s">
        <v>138</v>
      </c>
      <c r="BJ1926" s="15" t="s">
        <v>138</v>
      </c>
      <c r="BK1926" s="15" t="s">
        <v>1275</v>
      </c>
      <c r="BL1926" s="15" t="s">
        <v>12137</v>
      </c>
      <c r="BM1926" s="22">
        <v>41177</v>
      </c>
      <c r="BN1926" s="17">
        <v>1</v>
      </c>
      <c r="BO1926" s="15" t="s">
        <v>172</v>
      </c>
      <c r="BP1926" s="17" t="s">
        <v>138</v>
      </c>
      <c r="BQ1926" s="15" t="s">
        <v>138</v>
      </c>
      <c r="BR1926" s="15" t="s">
        <v>234</v>
      </c>
      <c r="BS1926" s="15" t="s">
        <v>234</v>
      </c>
      <c r="BT1926" s="15" t="s">
        <v>138</v>
      </c>
      <c r="BU1926" s="15" t="s">
        <v>174</v>
      </c>
      <c r="BV1926" s="15" t="s">
        <v>138</v>
      </c>
      <c r="BW1926" s="15" t="s">
        <v>138</v>
      </c>
      <c r="BX1926" s="15" t="s">
        <v>138</v>
      </c>
      <c r="BY1926" s="15" t="s">
        <v>175</v>
      </c>
      <c r="BZ1926" s="22">
        <v>43249</v>
      </c>
      <c r="CA1926" s="17">
        <v>6.11</v>
      </c>
      <c r="CB1926" s="15" t="s">
        <v>172</v>
      </c>
      <c r="CC1926" s="17">
        <v>16.11</v>
      </c>
      <c r="CD1926" s="15" t="s">
        <v>172</v>
      </c>
      <c r="CE1926" s="15" t="s">
        <v>173</v>
      </c>
      <c r="CF1926" s="15" t="s">
        <v>317</v>
      </c>
      <c r="CG1926" s="15" t="s">
        <v>138</v>
      </c>
      <c r="CH1926" s="15" t="s">
        <v>174</v>
      </c>
      <c r="CI1926" s="15" t="s">
        <v>138</v>
      </c>
      <c r="CJ1926" s="15" t="s">
        <v>138</v>
      </c>
      <c r="CK1926" s="15" t="s">
        <v>138</v>
      </c>
      <c r="CL1926" s="15" t="s">
        <v>175</v>
      </c>
      <c r="CM1926" s="22" t="s">
        <v>138</v>
      </c>
      <c r="CN1926" s="17" t="s">
        <v>138</v>
      </c>
      <c r="CO1926" s="23">
        <v>-0.28000000000000003</v>
      </c>
      <c r="CP1926" s="24">
        <v>19</v>
      </c>
      <c r="CQ1926" s="23">
        <v>-0.01</v>
      </c>
      <c r="CR1926" s="23">
        <v>-2.93</v>
      </c>
      <c r="CS1926" s="23">
        <v>-0.53</v>
      </c>
      <c r="CT1926" s="24">
        <v>19</v>
      </c>
      <c r="CU1926" s="23">
        <v>-0.03</v>
      </c>
      <c r="CV1926" s="24">
        <v>14</v>
      </c>
      <c r="CW1926" s="23">
        <v>0.85</v>
      </c>
      <c r="CX1926" s="24">
        <v>84</v>
      </c>
      <c r="CY1926" s="23">
        <v>-1.91</v>
      </c>
      <c r="CZ1926" s="24">
        <v>12</v>
      </c>
      <c r="DA1926" s="23">
        <v>-0.01</v>
      </c>
      <c r="DB1926" s="24">
        <v>21</v>
      </c>
      <c r="DC1926" s="25">
        <v>7.23</v>
      </c>
      <c r="DD1926" s="24">
        <v>87</v>
      </c>
      <c r="DE1926" s="25">
        <v>-0.18</v>
      </c>
      <c r="DF1926" s="23">
        <v>-2.44</v>
      </c>
      <c r="DG1926" s="25">
        <v>8.8000000000000007</v>
      </c>
      <c r="DH1926" s="24">
        <v>88</v>
      </c>
      <c r="DI1926" s="25">
        <v>5.66</v>
      </c>
      <c r="DJ1926" s="24">
        <v>79</v>
      </c>
      <c r="DK1926" s="25">
        <v>6.16</v>
      </c>
      <c r="DL1926" s="24">
        <v>82</v>
      </c>
      <c r="DM1926" s="25">
        <v>11.45</v>
      </c>
      <c r="DN1926" s="24">
        <v>90</v>
      </c>
      <c r="DO1926" s="25">
        <v>10.41</v>
      </c>
      <c r="DP1926" s="24">
        <v>88</v>
      </c>
      <c r="DQ1926" s="24">
        <v>2086</v>
      </c>
      <c r="DR1926" s="26">
        <v>78</v>
      </c>
      <c r="DS1926" s="23">
        <v>3.88</v>
      </c>
      <c r="DT1926" s="24">
        <v>332</v>
      </c>
      <c r="DU1926" s="26">
        <v>0</v>
      </c>
      <c r="DV1926" s="23">
        <v>0</v>
      </c>
      <c r="DW1926" s="24">
        <v>3724</v>
      </c>
      <c r="DX1926" s="27">
        <v>2</v>
      </c>
      <c r="DY1926" s="23">
        <v>0.05</v>
      </c>
      <c r="DZ1926" s="15" t="s">
        <v>178</v>
      </c>
      <c r="EA1926" s="22">
        <v>43565</v>
      </c>
      <c r="EB1926" s="17">
        <v>16.11</v>
      </c>
      <c r="EC1926" s="22">
        <v>43249</v>
      </c>
      <c r="ED1926" s="15" t="s">
        <v>173</v>
      </c>
      <c r="EE1926" s="14" t="str">
        <f>HYPERLINK("https://my.pitchbook.com?c=55329-22", "View company online")</f>
        <v>View company online</v>
      </c>
    </row>
    <row r="1927" spans="1:135">
      <c r="A1927" s="28" t="s">
        <v>36460</v>
      </c>
      <c r="B1927" s="28" t="s">
        <v>36461</v>
      </c>
      <c r="C1927" s="28" t="s">
        <v>138</v>
      </c>
      <c r="D1927" s="28" t="s">
        <v>138</v>
      </c>
      <c r="E1927" s="28" t="s">
        <v>36462</v>
      </c>
      <c r="F1927" s="28" t="s">
        <v>36460</v>
      </c>
      <c r="G1927" s="28" t="s">
        <v>36463</v>
      </c>
      <c r="H1927" s="28" t="s">
        <v>322</v>
      </c>
      <c r="I1927" s="28" t="s">
        <v>323</v>
      </c>
      <c r="J1927" s="28" t="s">
        <v>1084</v>
      </c>
      <c r="K1927" s="28" t="s">
        <v>1579</v>
      </c>
      <c r="L1927" s="28" t="s">
        <v>36464</v>
      </c>
      <c r="M1927" s="28" t="s">
        <v>36465</v>
      </c>
      <c r="N1927" s="28" t="s">
        <v>1452</v>
      </c>
      <c r="O1927" s="29">
        <v>45.6</v>
      </c>
      <c r="P1927" s="28" t="s">
        <v>148</v>
      </c>
      <c r="Q1927" s="28" t="s">
        <v>149</v>
      </c>
      <c r="R1927" s="28" t="s">
        <v>328</v>
      </c>
      <c r="S1927" s="28" t="s">
        <v>36466</v>
      </c>
      <c r="T1927" s="30">
        <v>65</v>
      </c>
      <c r="U1927" s="28" t="s">
        <v>36467</v>
      </c>
      <c r="V1927" s="28" t="s">
        <v>138</v>
      </c>
      <c r="W1927" s="28" t="s">
        <v>138</v>
      </c>
      <c r="X1927" s="31">
        <v>2014</v>
      </c>
      <c r="Y1927" s="28" t="s">
        <v>138</v>
      </c>
      <c r="Z1927" s="28" t="s">
        <v>138</v>
      </c>
      <c r="AA1927" s="28" t="s">
        <v>138</v>
      </c>
      <c r="AB1927" s="32" t="s">
        <v>138</v>
      </c>
      <c r="AC1927" s="32" t="s">
        <v>138</v>
      </c>
      <c r="AD1927" s="32" t="s">
        <v>138</v>
      </c>
      <c r="AE1927" s="32" t="s">
        <v>138</v>
      </c>
      <c r="AF1927" s="32" t="s">
        <v>138</v>
      </c>
      <c r="AG1927" s="28" t="s">
        <v>138</v>
      </c>
      <c r="AH1927" s="32" t="s">
        <v>138</v>
      </c>
      <c r="AI1927" s="32" t="s">
        <v>138</v>
      </c>
      <c r="AJ1927" s="32" t="s">
        <v>138</v>
      </c>
      <c r="AK1927" s="28" t="s">
        <v>36468</v>
      </c>
      <c r="AL1927" s="28" t="s">
        <v>36469</v>
      </c>
      <c r="AM1927" s="28" t="s">
        <v>1955</v>
      </c>
      <c r="AN1927" s="28" t="s">
        <v>36470</v>
      </c>
      <c r="AO1927" s="28" t="s">
        <v>36471</v>
      </c>
      <c r="AP1927" s="28" t="s">
        <v>4898</v>
      </c>
      <c r="AQ1927" s="28" t="s">
        <v>36472</v>
      </c>
      <c r="AR1927" s="28" t="s">
        <v>11458</v>
      </c>
      <c r="AS1927" s="28" t="s">
        <v>4900</v>
      </c>
      <c r="AT1927" s="28" t="s">
        <v>200</v>
      </c>
      <c r="AU1927" s="28" t="s">
        <v>10934</v>
      </c>
      <c r="AV1927" s="28" t="s">
        <v>162</v>
      </c>
      <c r="AW1927" s="28" t="s">
        <v>36471</v>
      </c>
      <c r="AX1927" s="28" t="s">
        <v>138</v>
      </c>
      <c r="AY1927" s="28" t="s">
        <v>138</v>
      </c>
      <c r="AZ1927" s="28" t="s">
        <v>164</v>
      </c>
      <c r="BA1927" s="28" t="s">
        <v>165</v>
      </c>
      <c r="BB1927" s="28" t="s">
        <v>36473</v>
      </c>
      <c r="BC1927" s="28" t="s">
        <v>36474</v>
      </c>
      <c r="BD1927" s="33">
        <v>28</v>
      </c>
      <c r="BE1927" s="28" t="s">
        <v>138</v>
      </c>
      <c r="BF1927" s="28" t="s">
        <v>138</v>
      </c>
      <c r="BG1927" s="28" t="s">
        <v>138</v>
      </c>
      <c r="BH1927" s="28" t="s">
        <v>36475</v>
      </c>
      <c r="BI1927" s="28" t="s">
        <v>138</v>
      </c>
      <c r="BJ1927" s="28" t="s">
        <v>138</v>
      </c>
      <c r="BK1927" s="28" t="s">
        <v>36476</v>
      </c>
      <c r="BL1927" s="28" t="s">
        <v>2936</v>
      </c>
      <c r="BM1927" s="34">
        <v>42551</v>
      </c>
      <c r="BN1927" s="29">
        <v>2.6</v>
      </c>
      <c r="BO1927" s="28" t="s">
        <v>172</v>
      </c>
      <c r="BP1927" s="29">
        <v>12.96</v>
      </c>
      <c r="BQ1927" s="28" t="s">
        <v>172</v>
      </c>
      <c r="BR1927" s="28" t="s">
        <v>234</v>
      </c>
      <c r="BS1927" s="28" t="s">
        <v>234</v>
      </c>
      <c r="BT1927" s="28" t="s">
        <v>138</v>
      </c>
      <c r="BU1927" s="28" t="s">
        <v>174</v>
      </c>
      <c r="BV1927" s="28" t="s">
        <v>138</v>
      </c>
      <c r="BW1927" s="28" t="s">
        <v>138</v>
      </c>
      <c r="BX1927" s="28" t="s">
        <v>138</v>
      </c>
      <c r="BY1927" s="28" t="s">
        <v>175</v>
      </c>
      <c r="BZ1927" s="34">
        <v>43515</v>
      </c>
      <c r="CA1927" s="29" t="s">
        <v>138</v>
      </c>
      <c r="CB1927" s="28" t="s">
        <v>138</v>
      </c>
      <c r="CC1927" s="29" t="s">
        <v>138</v>
      </c>
      <c r="CD1927" s="28" t="s">
        <v>138</v>
      </c>
      <c r="CE1927" s="28" t="s">
        <v>1673</v>
      </c>
      <c r="CF1927" s="28" t="s">
        <v>138</v>
      </c>
      <c r="CG1927" s="28" t="s">
        <v>138</v>
      </c>
      <c r="CH1927" s="28" t="s">
        <v>351</v>
      </c>
      <c r="CI1927" s="28" t="s">
        <v>138</v>
      </c>
      <c r="CJ1927" s="28" t="s">
        <v>138</v>
      </c>
      <c r="CK1927" s="28" t="s">
        <v>138</v>
      </c>
      <c r="CL1927" s="28" t="s">
        <v>175</v>
      </c>
      <c r="CM1927" s="34" t="s">
        <v>138</v>
      </c>
      <c r="CN1927" s="29" t="s">
        <v>138</v>
      </c>
      <c r="CO1927" s="35">
        <v>0.85</v>
      </c>
      <c r="CP1927" s="36">
        <v>97</v>
      </c>
      <c r="CQ1927" s="35">
        <v>0</v>
      </c>
      <c r="CR1927" s="35">
        <v>-0.04</v>
      </c>
      <c r="CS1927" s="35">
        <v>1.37</v>
      </c>
      <c r="CT1927" s="36">
        <v>97</v>
      </c>
      <c r="CU1927" s="35">
        <v>0.39</v>
      </c>
      <c r="CV1927" s="36">
        <v>91</v>
      </c>
      <c r="CW1927" s="35">
        <v>1.37</v>
      </c>
      <c r="CX1927" s="36">
        <v>86</v>
      </c>
      <c r="CY1927" s="35" t="s">
        <v>138</v>
      </c>
      <c r="CZ1927" s="36" t="s">
        <v>138</v>
      </c>
      <c r="DA1927" s="35">
        <v>0.45</v>
      </c>
      <c r="DB1927" s="36">
        <v>93</v>
      </c>
      <c r="DC1927" s="37">
        <v>17.079999999999998</v>
      </c>
      <c r="DD1927" s="36">
        <v>94</v>
      </c>
      <c r="DE1927" s="37">
        <v>-1.48</v>
      </c>
      <c r="DF1927" s="35">
        <v>-7.98</v>
      </c>
      <c r="DG1927" s="37">
        <v>50.38</v>
      </c>
      <c r="DH1927" s="36">
        <v>98</v>
      </c>
      <c r="DI1927" s="37">
        <v>9.5</v>
      </c>
      <c r="DJ1927" s="36">
        <v>85</v>
      </c>
      <c r="DK1927" s="37">
        <v>50.38</v>
      </c>
      <c r="DL1927" s="36">
        <v>96</v>
      </c>
      <c r="DM1927" s="37" t="s">
        <v>138</v>
      </c>
      <c r="DN1927" s="36" t="s">
        <v>138</v>
      </c>
      <c r="DO1927" s="37">
        <v>16.91</v>
      </c>
      <c r="DP1927" s="36">
        <v>91</v>
      </c>
      <c r="DQ1927" s="36">
        <v>17061</v>
      </c>
      <c r="DR1927" s="38">
        <v>658</v>
      </c>
      <c r="DS1927" s="35">
        <v>4.01</v>
      </c>
      <c r="DT1927" s="36" t="s">
        <v>138</v>
      </c>
      <c r="DU1927" s="38" t="s">
        <v>138</v>
      </c>
      <c r="DV1927" s="35" t="s">
        <v>138</v>
      </c>
      <c r="DW1927" s="36">
        <v>6039</v>
      </c>
      <c r="DX1927" s="39">
        <v>21</v>
      </c>
      <c r="DY1927" s="35">
        <v>0.35</v>
      </c>
      <c r="DZ1927" s="28" t="s">
        <v>178</v>
      </c>
      <c r="EA1927" s="34">
        <v>43600</v>
      </c>
      <c r="EB1927" s="29">
        <v>120</v>
      </c>
      <c r="EC1927" s="34">
        <v>42780</v>
      </c>
      <c r="ED1927" s="28" t="s">
        <v>205</v>
      </c>
      <c r="EE1927" s="40" t="str">
        <f>HYPERLINK("https://my.pitchbook.com?c=119756-53", "View company online")</f>
        <v>View company online</v>
      </c>
    </row>
    <row r="1928" spans="1:135">
      <c r="A1928" s="15" t="s">
        <v>36477</v>
      </c>
      <c r="B1928" s="15" t="s">
        <v>36478</v>
      </c>
      <c r="C1928" s="15" t="s">
        <v>138</v>
      </c>
      <c r="D1928" s="15" t="s">
        <v>138</v>
      </c>
      <c r="E1928" s="15" t="s">
        <v>138</v>
      </c>
      <c r="F1928" s="15" t="s">
        <v>36477</v>
      </c>
      <c r="G1928" s="15" t="s">
        <v>36479</v>
      </c>
      <c r="H1928" s="15" t="s">
        <v>141</v>
      </c>
      <c r="I1928" s="15" t="s">
        <v>142</v>
      </c>
      <c r="J1928" s="15" t="s">
        <v>4910</v>
      </c>
      <c r="K1928" s="15" t="s">
        <v>36480</v>
      </c>
      <c r="L1928" s="15" t="s">
        <v>36481</v>
      </c>
      <c r="M1928" s="15" t="s">
        <v>36482</v>
      </c>
      <c r="N1928" s="15" t="s">
        <v>147</v>
      </c>
      <c r="O1928" s="17" t="s">
        <v>138</v>
      </c>
      <c r="P1928" s="15" t="s">
        <v>610</v>
      </c>
      <c r="Q1928" s="15" t="s">
        <v>149</v>
      </c>
      <c r="R1928" s="15" t="s">
        <v>174</v>
      </c>
      <c r="S1928" s="15" t="s">
        <v>36483</v>
      </c>
      <c r="T1928" s="18" t="s">
        <v>138</v>
      </c>
      <c r="U1928" s="15" t="s">
        <v>138</v>
      </c>
      <c r="V1928" s="15" t="s">
        <v>138</v>
      </c>
      <c r="W1928" s="15" t="s">
        <v>138</v>
      </c>
      <c r="X1928" s="19">
        <v>2015</v>
      </c>
      <c r="Y1928" s="15" t="s">
        <v>138</v>
      </c>
      <c r="Z1928" s="15" t="s">
        <v>138</v>
      </c>
      <c r="AA1928" s="15" t="s">
        <v>138</v>
      </c>
      <c r="AB1928" s="20" t="s">
        <v>138</v>
      </c>
      <c r="AC1928" s="20" t="s">
        <v>138</v>
      </c>
      <c r="AD1928" s="20" t="s">
        <v>138</v>
      </c>
      <c r="AE1928" s="20" t="s">
        <v>138</v>
      </c>
      <c r="AF1928" s="20" t="s">
        <v>138</v>
      </c>
      <c r="AG1928" s="15" t="s">
        <v>138</v>
      </c>
      <c r="AH1928" s="20" t="s">
        <v>138</v>
      </c>
      <c r="AI1928" s="20" t="s">
        <v>138</v>
      </c>
      <c r="AJ1928" s="20" t="s">
        <v>138</v>
      </c>
      <c r="AK1928" s="15" t="s">
        <v>36484</v>
      </c>
      <c r="AL1928" s="15" t="s">
        <v>36485</v>
      </c>
      <c r="AM1928" s="15" t="s">
        <v>566</v>
      </c>
      <c r="AN1928" s="15" t="s">
        <v>36486</v>
      </c>
      <c r="AO1928" s="15" t="s">
        <v>36487</v>
      </c>
      <c r="AP1928" s="15" t="s">
        <v>446</v>
      </c>
      <c r="AQ1928" s="15" t="s">
        <v>36488</v>
      </c>
      <c r="AR1928" s="15" t="s">
        <v>36489</v>
      </c>
      <c r="AS1928" s="15" t="s">
        <v>449</v>
      </c>
      <c r="AT1928" s="15" t="s">
        <v>138</v>
      </c>
      <c r="AU1928" s="15" t="s">
        <v>138</v>
      </c>
      <c r="AV1928" s="15" t="s">
        <v>450</v>
      </c>
      <c r="AW1928" s="15" t="s">
        <v>36487</v>
      </c>
      <c r="AX1928" s="15" t="s">
        <v>138</v>
      </c>
      <c r="AY1928" s="15" t="s">
        <v>36490</v>
      </c>
      <c r="AZ1928" s="15" t="s">
        <v>452</v>
      </c>
      <c r="BA1928" s="15" t="s">
        <v>453</v>
      </c>
      <c r="BB1928" s="15" t="s">
        <v>36491</v>
      </c>
      <c r="BC1928" s="15" t="s">
        <v>36492</v>
      </c>
      <c r="BD1928" s="21">
        <v>3</v>
      </c>
      <c r="BE1928" s="15" t="s">
        <v>138</v>
      </c>
      <c r="BF1928" s="15" t="s">
        <v>138</v>
      </c>
      <c r="BG1928" s="15" t="s">
        <v>138</v>
      </c>
      <c r="BH1928" s="15" t="s">
        <v>36493</v>
      </c>
      <c r="BI1928" s="15" t="s">
        <v>138</v>
      </c>
      <c r="BJ1928" s="15" t="s">
        <v>138</v>
      </c>
      <c r="BK1928" s="15" t="s">
        <v>138</v>
      </c>
      <c r="BL1928" s="15" t="s">
        <v>138</v>
      </c>
      <c r="BM1928" s="22">
        <v>42370</v>
      </c>
      <c r="BN1928" s="17" t="s">
        <v>138</v>
      </c>
      <c r="BO1928" s="15" t="s">
        <v>138</v>
      </c>
      <c r="BP1928" s="17" t="s">
        <v>138</v>
      </c>
      <c r="BQ1928" s="15" t="s">
        <v>138</v>
      </c>
      <c r="BR1928" s="15" t="s">
        <v>234</v>
      </c>
      <c r="BS1928" s="15" t="s">
        <v>234</v>
      </c>
      <c r="BT1928" s="15" t="s">
        <v>138</v>
      </c>
      <c r="BU1928" s="15" t="s">
        <v>174</v>
      </c>
      <c r="BV1928" s="15" t="s">
        <v>138</v>
      </c>
      <c r="BW1928" s="15" t="s">
        <v>138</v>
      </c>
      <c r="BX1928" s="15" t="s">
        <v>138</v>
      </c>
      <c r="BY1928" s="15" t="s">
        <v>175</v>
      </c>
      <c r="BZ1928" s="22">
        <v>43000</v>
      </c>
      <c r="CA1928" s="17" t="s">
        <v>138</v>
      </c>
      <c r="CB1928" s="15" t="s">
        <v>138</v>
      </c>
      <c r="CC1928" s="17" t="s">
        <v>138</v>
      </c>
      <c r="CD1928" s="15" t="s">
        <v>138</v>
      </c>
      <c r="CE1928" s="15" t="s">
        <v>205</v>
      </c>
      <c r="CF1928" s="15" t="s">
        <v>206</v>
      </c>
      <c r="CG1928" s="15" t="s">
        <v>138</v>
      </c>
      <c r="CH1928" s="15" t="s">
        <v>174</v>
      </c>
      <c r="CI1928" s="15" t="s">
        <v>138</v>
      </c>
      <c r="CJ1928" s="15" t="s">
        <v>138</v>
      </c>
      <c r="CK1928" s="15" t="s">
        <v>138</v>
      </c>
      <c r="CL1928" s="15" t="s">
        <v>175</v>
      </c>
      <c r="CM1928" s="22" t="s">
        <v>138</v>
      </c>
      <c r="CN1928" s="17" t="s">
        <v>138</v>
      </c>
      <c r="CO1928" s="23">
        <v>0</v>
      </c>
      <c r="CP1928" s="24">
        <v>26</v>
      </c>
      <c r="CQ1928" s="23">
        <v>0</v>
      </c>
      <c r="CR1928" s="23">
        <v>0</v>
      </c>
      <c r="CS1928" s="23">
        <v>0</v>
      </c>
      <c r="CT1928" s="24">
        <v>23</v>
      </c>
      <c r="CU1928" s="23" t="s">
        <v>138</v>
      </c>
      <c r="CV1928" s="24" t="s">
        <v>138</v>
      </c>
      <c r="CW1928" s="23" t="s">
        <v>138</v>
      </c>
      <c r="CX1928" s="24" t="s">
        <v>138</v>
      </c>
      <c r="CY1928" s="23">
        <v>0</v>
      </c>
      <c r="CZ1928" s="24">
        <v>25</v>
      </c>
      <c r="DA1928" s="23" t="s">
        <v>138</v>
      </c>
      <c r="DB1928" s="24" t="s">
        <v>138</v>
      </c>
      <c r="DC1928" s="25">
        <v>0.86</v>
      </c>
      <c r="DD1928" s="24">
        <v>47</v>
      </c>
      <c r="DE1928" s="25">
        <v>-0.03</v>
      </c>
      <c r="DF1928" s="23">
        <v>-3.85</v>
      </c>
      <c r="DG1928" s="25">
        <v>0.86</v>
      </c>
      <c r="DH1928" s="24">
        <v>47</v>
      </c>
      <c r="DI1928" s="25" t="s">
        <v>138</v>
      </c>
      <c r="DJ1928" s="24" t="s">
        <v>138</v>
      </c>
      <c r="DK1928" s="25" t="s">
        <v>138</v>
      </c>
      <c r="DL1928" s="24" t="s">
        <v>138</v>
      </c>
      <c r="DM1928" s="25">
        <v>0.86</v>
      </c>
      <c r="DN1928" s="24">
        <v>47</v>
      </c>
      <c r="DO1928" s="25" t="s">
        <v>138</v>
      </c>
      <c r="DP1928" s="24" t="s">
        <v>138</v>
      </c>
      <c r="DQ1928" s="24">
        <v>61</v>
      </c>
      <c r="DR1928" s="26">
        <v>-1</v>
      </c>
      <c r="DS1928" s="23">
        <v>-1.61</v>
      </c>
      <c r="DT1928" s="24">
        <v>25</v>
      </c>
      <c r="DU1928" s="26">
        <v>0</v>
      </c>
      <c r="DV1928" s="23">
        <v>0</v>
      </c>
      <c r="DW1928" s="24" t="s">
        <v>138</v>
      </c>
      <c r="DX1928" s="27" t="s">
        <v>138</v>
      </c>
      <c r="DY1928" s="23" t="s">
        <v>138</v>
      </c>
      <c r="DZ1928" s="15" t="s">
        <v>178</v>
      </c>
      <c r="EA1928" s="22">
        <v>43389</v>
      </c>
      <c r="EB1928" s="17" t="s">
        <v>138</v>
      </c>
      <c r="EC1928" s="22" t="s">
        <v>138</v>
      </c>
      <c r="ED1928" s="15" t="s">
        <v>138</v>
      </c>
      <c r="EE1928" s="14" t="str">
        <f>HYPERLINK("https://my.pitchbook.com?c=229494-52", "View company online")</f>
        <v>View company online</v>
      </c>
    </row>
    <row r="1929" spans="1:135">
      <c r="A1929" s="28" t="s">
        <v>36494</v>
      </c>
      <c r="B1929" s="28" t="s">
        <v>36495</v>
      </c>
      <c r="C1929" s="28" t="s">
        <v>36496</v>
      </c>
      <c r="D1929" s="28" t="s">
        <v>36497</v>
      </c>
      <c r="E1929" s="28" t="s">
        <v>36498</v>
      </c>
      <c r="F1929" s="28" t="s">
        <v>36494</v>
      </c>
      <c r="G1929" s="28" t="s">
        <v>36499</v>
      </c>
      <c r="H1929" s="28" t="s">
        <v>385</v>
      </c>
      <c r="I1929" s="28" t="s">
        <v>386</v>
      </c>
      <c r="J1929" s="28" t="s">
        <v>558</v>
      </c>
      <c r="K1929" s="28" t="s">
        <v>23735</v>
      </c>
      <c r="L1929" s="28" t="s">
        <v>29843</v>
      </c>
      <c r="M1929" s="28" t="s">
        <v>36500</v>
      </c>
      <c r="N1929" s="28" t="s">
        <v>1452</v>
      </c>
      <c r="O1929" s="29">
        <v>25.4</v>
      </c>
      <c r="P1929" s="28" t="s">
        <v>148</v>
      </c>
      <c r="Q1929" s="28" t="s">
        <v>149</v>
      </c>
      <c r="R1929" s="28" t="s">
        <v>328</v>
      </c>
      <c r="S1929" s="28" t="s">
        <v>36501</v>
      </c>
      <c r="T1929" s="30">
        <v>110</v>
      </c>
      <c r="U1929" s="28" t="s">
        <v>36502</v>
      </c>
      <c r="V1929" s="28" t="s">
        <v>138</v>
      </c>
      <c r="W1929" s="28" t="s">
        <v>138</v>
      </c>
      <c r="X1929" s="31">
        <v>1995</v>
      </c>
      <c r="Y1929" s="28" t="s">
        <v>138</v>
      </c>
      <c r="Z1929" s="28" t="s">
        <v>138</v>
      </c>
      <c r="AA1929" s="28" t="s">
        <v>138</v>
      </c>
      <c r="AB1929" s="32" t="s">
        <v>138</v>
      </c>
      <c r="AC1929" s="32" t="s">
        <v>138</v>
      </c>
      <c r="AD1929" s="32" t="s">
        <v>138</v>
      </c>
      <c r="AE1929" s="32" t="s">
        <v>138</v>
      </c>
      <c r="AF1929" s="32" t="s">
        <v>138</v>
      </c>
      <c r="AG1929" s="28" t="s">
        <v>138</v>
      </c>
      <c r="AH1929" s="32" t="s">
        <v>138</v>
      </c>
      <c r="AI1929" s="32" t="s">
        <v>138</v>
      </c>
      <c r="AJ1929" s="32" t="s">
        <v>138</v>
      </c>
      <c r="AK1929" s="28" t="s">
        <v>36503</v>
      </c>
      <c r="AL1929" s="28" t="s">
        <v>36504</v>
      </c>
      <c r="AM1929" s="28" t="s">
        <v>249</v>
      </c>
      <c r="AN1929" s="28" t="s">
        <v>36505</v>
      </c>
      <c r="AO1929" s="28" t="s">
        <v>36506</v>
      </c>
      <c r="AP1929" s="28" t="s">
        <v>36507</v>
      </c>
      <c r="AQ1929" s="28" t="s">
        <v>36508</v>
      </c>
      <c r="AR1929" s="28" t="s">
        <v>138</v>
      </c>
      <c r="AS1929" s="28" t="s">
        <v>36509</v>
      </c>
      <c r="AT1929" s="28" t="s">
        <v>138</v>
      </c>
      <c r="AU1929" s="28" t="s">
        <v>36510</v>
      </c>
      <c r="AV1929" s="28" t="s">
        <v>1319</v>
      </c>
      <c r="AW1929" s="28" t="s">
        <v>36506</v>
      </c>
      <c r="AX1929" s="28" t="s">
        <v>138</v>
      </c>
      <c r="AY1929" s="28" t="s">
        <v>36511</v>
      </c>
      <c r="AZ1929" s="28" t="s">
        <v>530</v>
      </c>
      <c r="BA1929" s="28" t="s">
        <v>531</v>
      </c>
      <c r="BB1929" s="28" t="s">
        <v>36512</v>
      </c>
      <c r="BC1929" s="28" t="s">
        <v>36513</v>
      </c>
      <c r="BD1929" s="33">
        <v>9</v>
      </c>
      <c r="BE1929" s="28" t="s">
        <v>138</v>
      </c>
      <c r="BF1929" s="28" t="s">
        <v>138</v>
      </c>
      <c r="BG1929" s="28" t="s">
        <v>138</v>
      </c>
      <c r="BH1929" s="28" t="s">
        <v>36514</v>
      </c>
      <c r="BI1929" s="28" t="s">
        <v>138</v>
      </c>
      <c r="BJ1929" s="28" t="s">
        <v>138</v>
      </c>
      <c r="BK1929" s="28" t="s">
        <v>138</v>
      </c>
      <c r="BL1929" s="28" t="s">
        <v>36515</v>
      </c>
      <c r="BM1929" s="34">
        <v>41780</v>
      </c>
      <c r="BN1929" s="29" t="s">
        <v>138</v>
      </c>
      <c r="BO1929" s="28" t="s">
        <v>138</v>
      </c>
      <c r="BP1929" s="29" t="s">
        <v>138</v>
      </c>
      <c r="BQ1929" s="28" t="s">
        <v>138</v>
      </c>
      <c r="BR1929" s="28" t="s">
        <v>1673</v>
      </c>
      <c r="BS1929" s="28" t="s">
        <v>138</v>
      </c>
      <c r="BT1929" s="28" t="s">
        <v>138</v>
      </c>
      <c r="BU1929" s="28" t="s">
        <v>351</v>
      </c>
      <c r="BV1929" s="28" t="s">
        <v>138</v>
      </c>
      <c r="BW1929" s="28" t="s">
        <v>138</v>
      </c>
      <c r="BX1929" s="28" t="s">
        <v>138</v>
      </c>
      <c r="BY1929" s="28" t="s">
        <v>175</v>
      </c>
      <c r="BZ1929" s="34">
        <v>43539</v>
      </c>
      <c r="CA1929" s="29" t="s">
        <v>138</v>
      </c>
      <c r="CB1929" s="28" t="s">
        <v>138</v>
      </c>
      <c r="CC1929" s="29" t="s">
        <v>138</v>
      </c>
      <c r="CD1929" s="28" t="s">
        <v>138</v>
      </c>
      <c r="CE1929" s="28" t="s">
        <v>780</v>
      </c>
      <c r="CF1929" s="28" t="s">
        <v>780</v>
      </c>
      <c r="CG1929" s="28" t="s">
        <v>138</v>
      </c>
      <c r="CH1929" s="28" t="s">
        <v>780</v>
      </c>
      <c r="CI1929" s="28" t="s">
        <v>138</v>
      </c>
      <c r="CJ1929" s="28" t="s">
        <v>138</v>
      </c>
      <c r="CK1929" s="28" t="s">
        <v>138</v>
      </c>
      <c r="CL1929" s="28" t="s">
        <v>175</v>
      </c>
      <c r="CM1929" s="34" t="s">
        <v>138</v>
      </c>
      <c r="CN1929" s="29" t="s">
        <v>138</v>
      </c>
      <c r="CO1929" s="35">
        <v>0.23</v>
      </c>
      <c r="CP1929" s="36">
        <v>93</v>
      </c>
      <c r="CQ1929" s="35">
        <v>0</v>
      </c>
      <c r="CR1929" s="35">
        <v>0</v>
      </c>
      <c r="CS1929" s="35" t="s">
        <v>138</v>
      </c>
      <c r="CT1929" s="36" t="s">
        <v>138</v>
      </c>
      <c r="CU1929" s="35">
        <v>0</v>
      </c>
      <c r="CV1929" s="36">
        <v>22</v>
      </c>
      <c r="CW1929" s="35" t="s">
        <v>138</v>
      </c>
      <c r="CX1929" s="36" t="s">
        <v>138</v>
      </c>
      <c r="CY1929" s="35" t="s">
        <v>138</v>
      </c>
      <c r="CZ1929" s="36" t="s">
        <v>138</v>
      </c>
      <c r="DA1929" s="35" t="s">
        <v>138</v>
      </c>
      <c r="DB1929" s="36" t="s">
        <v>138</v>
      </c>
      <c r="DC1929" s="37">
        <v>0.12</v>
      </c>
      <c r="DD1929" s="36">
        <v>10</v>
      </c>
      <c r="DE1929" s="37">
        <v>0</v>
      </c>
      <c r="DF1929" s="35">
        <v>-0.02</v>
      </c>
      <c r="DG1929" s="37" t="s">
        <v>138</v>
      </c>
      <c r="DH1929" s="36" t="s">
        <v>138</v>
      </c>
      <c r="DI1929" s="37">
        <v>0.04</v>
      </c>
      <c r="DJ1929" s="36">
        <v>7</v>
      </c>
      <c r="DK1929" s="37" t="s">
        <v>138</v>
      </c>
      <c r="DL1929" s="36" t="s">
        <v>138</v>
      </c>
      <c r="DM1929" s="37" t="s">
        <v>138</v>
      </c>
      <c r="DN1929" s="36" t="s">
        <v>138</v>
      </c>
      <c r="DO1929" s="37" t="s">
        <v>138</v>
      </c>
      <c r="DP1929" s="36" t="s">
        <v>138</v>
      </c>
      <c r="DQ1929" s="36" t="s">
        <v>138</v>
      </c>
      <c r="DR1929" s="38" t="s">
        <v>138</v>
      </c>
      <c r="DS1929" s="35" t="s">
        <v>138</v>
      </c>
      <c r="DT1929" s="36" t="s">
        <v>138</v>
      </c>
      <c r="DU1929" s="38" t="s">
        <v>138</v>
      </c>
      <c r="DV1929" s="35" t="s">
        <v>138</v>
      </c>
      <c r="DW1929" s="36" t="s">
        <v>138</v>
      </c>
      <c r="DX1929" s="39" t="s">
        <v>138</v>
      </c>
      <c r="DY1929" s="35" t="s">
        <v>138</v>
      </c>
      <c r="DZ1929" s="28" t="s">
        <v>178</v>
      </c>
      <c r="EA1929" s="34">
        <v>43622</v>
      </c>
      <c r="EB1929" s="29" t="s">
        <v>138</v>
      </c>
      <c r="EC1929" s="34" t="s">
        <v>138</v>
      </c>
      <c r="ED1929" s="28" t="s">
        <v>138</v>
      </c>
      <c r="EE1929" s="40" t="str">
        <f>HYPERLINK("https://my.pitchbook.com?c=63343-90", "View company online")</f>
        <v>View company online</v>
      </c>
    </row>
    <row r="1930" spans="1:135">
      <c r="A1930" s="15" t="s">
        <v>36516</v>
      </c>
      <c r="B1930" s="15" t="s">
        <v>36517</v>
      </c>
      <c r="C1930" s="15" t="s">
        <v>36518</v>
      </c>
      <c r="D1930" s="15" t="s">
        <v>138</v>
      </c>
      <c r="E1930" s="15" t="s">
        <v>36519</v>
      </c>
      <c r="F1930" s="15" t="s">
        <v>36516</v>
      </c>
      <c r="G1930" s="15" t="s">
        <v>36520</v>
      </c>
      <c r="H1930" s="15" t="s">
        <v>322</v>
      </c>
      <c r="I1930" s="15" t="s">
        <v>323</v>
      </c>
      <c r="J1930" s="15" t="s">
        <v>413</v>
      </c>
      <c r="K1930" s="15" t="s">
        <v>36521</v>
      </c>
      <c r="L1930" s="15" t="s">
        <v>138</v>
      </c>
      <c r="M1930" s="15" t="s">
        <v>36522</v>
      </c>
      <c r="N1930" s="15" t="s">
        <v>147</v>
      </c>
      <c r="O1930" s="17">
        <v>111.62</v>
      </c>
      <c r="P1930" s="15" t="s">
        <v>148</v>
      </c>
      <c r="Q1930" s="15" t="s">
        <v>149</v>
      </c>
      <c r="R1930" s="15" t="s">
        <v>244</v>
      </c>
      <c r="S1930" s="15" t="s">
        <v>36523</v>
      </c>
      <c r="T1930" s="18">
        <v>70</v>
      </c>
      <c r="U1930" s="15" t="s">
        <v>36524</v>
      </c>
      <c r="V1930" s="15" t="s">
        <v>138</v>
      </c>
      <c r="W1930" s="15" t="s">
        <v>138</v>
      </c>
      <c r="X1930" s="19">
        <v>1997</v>
      </c>
      <c r="Y1930" s="15" t="s">
        <v>138</v>
      </c>
      <c r="Z1930" s="15" t="s">
        <v>138</v>
      </c>
      <c r="AA1930" s="15" t="s">
        <v>138</v>
      </c>
      <c r="AB1930" s="20">
        <v>27.1</v>
      </c>
      <c r="AC1930" s="20" t="s">
        <v>138</v>
      </c>
      <c r="AD1930" s="20" t="s">
        <v>138</v>
      </c>
      <c r="AE1930" s="20" t="s">
        <v>138</v>
      </c>
      <c r="AF1930" s="20" t="s">
        <v>138</v>
      </c>
      <c r="AG1930" s="15" t="s">
        <v>707</v>
      </c>
      <c r="AH1930" s="20" t="s">
        <v>138</v>
      </c>
      <c r="AI1930" s="20" t="s">
        <v>138</v>
      </c>
      <c r="AJ1930" s="20" t="s">
        <v>138</v>
      </c>
      <c r="AK1930" s="15" t="s">
        <v>36525</v>
      </c>
      <c r="AL1930" s="15" t="s">
        <v>36526</v>
      </c>
      <c r="AM1930" s="15" t="s">
        <v>249</v>
      </c>
      <c r="AN1930" s="15" t="s">
        <v>36527</v>
      </c>
      <c r="AO1930" s="15" t="s">
        <v>36528</v>
      </c>
      <c r="AP1930" s="15" t="s">
        <v>1514</v>
      </c>
      <c r="AQ1930" s="15" t="s">
        <v>36529</v>
      </c>
      <c r="AR1930" s="15" t="s">
        <v>5836</v>
      </c>
      <c r="AS1930" s="15" t="s">
        <v>1516</v>
      </c>
      <c r="AT1930" s="15" t="s">
        <v>284</v>
      </c>
      <c r="AU1930" s="15" t="s">
        <v>1517</v>
      </c>
      <c r="AV1930" s="15" t="s">
        <v>162</v>
      </c>
      <c r="AW1930" s="15" t="s">
        <v>36530</v>
      </c>
      <c r="AX1930" s="15" t="s">
        <v>36531</v>
      </c>
      <c r="AY1930" s="15" t="s">
        <v>36532</v>
      </c>
      <c r="AZ1930" s="15" t="s">
        <v>164</v>
      </c>
      <c r="BA1930" s="15" t="s">
        <v>165</v>
      </c>
      <c r="BB1930" s="15" t="s">
        <v>36533</v>
      </c>
      <c r="BC1930" s="15" t="s">
        <v>36534</v>
      </c>
      <c r="BD1930" s="21">
        <v>13</v>
      </c>
      <c r="BE1930" s="15" t="s">
        <v>138</v>
      </c>
      <c r="BF1930" s="15" t="s">
        <v>138</v>
      </c>
      <c r="BG1930" s="15" t="s">
        <v>138</v>
      </c>
      <c r="BH1930" s="15" t="s">
        <v>36535</v>
      </c>
      <c r="BI1930" s="15" t="s">
        <v>138</v>
      </c>
      <c r="BJ1930" s="15" t="s">
        <v>138</v>
      </c>
      <c r="BK1930" s="15" t="s">
        <v>17965</v>
      </c>
      <c r="BL1930" s="15" t="s">
        <v>36536</v>
      </c>
      <c r="BM1930" s="22" t="s">
        <v>138</v>
      </c>
      <c r="BN1930" s="17">
        <v>25.5</v>
      </c>
      <c r="BO1930" s="15" t="s">
        <v>1178</v>
      </c>
      <c r="BP1930" s="17" t="s">
        <v>138</v>
      </c>
      <c r="BQ1930" s="15" t="s">
        <v>138</v>
      </c>
      <c r="BR1930" s="15" t="s">
        <v>205</v>
      </c>
      <c r="BS1930" s="15" t="s">
        <v>206</v>
      </c>
      <c r="BT1930" s="15" t="s">
        <v>138</v>
      </c>
      <c r="BU1930" s="15" t="s">
        <v>174</v>
      </c>
      <c r="BV1930" s="15" t="s">
        <v>138</v>
      </c>
      <c r="BW1930" s="15" t="s">
        <v>138</v>
      </c>
      <c r="BX1930" s="15" t="s">
        <v>138</v>
      </c>
      <c r="BY1930" s="15" t="s">
        <v>175</v>
      </c>
      <c r="BZ1930" s="22">
        <v>43531</v>
      </c>
      <c r="CA1930" s="17">
        <v>15</v>
      </c>
      <c r="CB1930" s="15" t="s">
        <v>172</v>
      </c>
      <c r="CC1930" s="17">
        <v>105</v>
      </c>
      <c r="CD1930" s="15" t="s">
        <v>172</v>
      </c>
      <c r="CE1930" s="15" t="s">
        <v>173</v>
      </c>
      <c r="CF1930" s="15" t="s">
        <v>317</v>
      </c>
      <c r="CG1930" s="15" t="s">
        <v>138</v>
      </c>
      <c r="CH1930" s="15" t="s">
        <v>174</v>
      </c>
      <c r="CI1930" s="15" t="s">
        <v>138</v>
      </c>
      <c r="CJ1930" s="15" t="s">
        <v>138</v>
      </c>
      <c r="CK1930" s="15" t="s">
        <v>138</v>
      </c>
      <c r="CL1930" s="15" t="s">
        <v>175</v>
      </c>
      <c r="CM1930" s="22">
        <v>41905</v>
      </c>
      <c r="CN1930" s="17" t="s">
        <v>138</v>
      </c>
      <c r="CO1930" s="23">
        <v>-0.13</v>
      </c>
      <c r="CP1930" s="24">
        <v>20</v>
      </c>
      <c r="CQ1930" s="23">
        <v>0.01</v>
      </c>
      <c r="CR1930" s="23">
        <v>4.0599999999999996</v>
      </c>
      <c r="CS1930" s="23">
        <v>-0.25</v>
      </c>
      <c r="CT1930" s="24">
        <v>21</v>
      </c>
      <c r="CU1930" s="23">
        <v>0.22</v>
      </c>
      <c r="CV1930" s="24">
        <v>82</v>
      </c>
      <c r="CW1930" s="23">
        <v>0</v>
      </c>
      <c r="CX1930" s="24">
        <v>13</v>
      </c>
      <c r="CY1930" s="23">
        <v>-0.51</v>
      </c>
      <c r="CZ1930" s="24">
        <v>22</v>
      </c>
      <c r="DA1930" s="23">
        <v>0.22</v>
      </c>
      <c r="DB1930" s="24">
        <v>84</v>
      </c>
      <c r="DC1930" s="25">
        <v>7.34</v>
      </c>
      <c r="DD1930" s="24">
        <v>87</v>
      </c>
      <c r="DE1930" s="25">
        <v>0.02</v>
      </c>
      <c r="DF1930" s="23">
        <v>0.21</v>
      </c>
      <c r="DG1930" s="25">
        <v>15.82</v>
      </c>
      <c r="DH1930" s="24">
        <v>93</v>
      </c>
      <c r="DI1930" s="25">
        <v>6.07</v>
      </c>
      <c r="DJ1930" s="24">
        <v>80</v>
      </c>
      <c r="DK1930" s="25">
        <v>0.92</v>
      </c>
      <c r="DL1930" s="24">
        <v>48</v>
      </c>
      <c r="DM1930" s="25">
        <v>30.72</v>
      </c>
      <c r="DN1930" s="24">
        <v>96</v>
      </c>
      <c r="DO1930" s="25">
        <v>6.07</v>
      </c>
      <c r="DP1930" s="24">
        <v>82</v>
      </c>
      <c r="DQ1930" s="24">
        <v>315</v>
      </c>
      <c r="DR1930" s="26">
        <v>1</v>
      </c>
      <c r="DS1930" s="23">
        <v>0.32</v>
      </c>
      <c r="DT1930" s="24">
        <v>890</v>
      </c>
      <c r="DU1930" s="26">
        <v>3</v>
      </c>
      <c r="DV1930" s="23">
        <v>0.34</v>
      </c>
      <c r="DW1930" s="24">
        <v>2170</v>
      </c>
      <c r="DX1930" s="27">
        <v>4</v>
      </c>
      <c r="DY1930" s="23">
        <v>0.18</v>
      </c>
      <c r="DZ1930" s="15" t="s">
        <v>178</v>
      </c>
      <c r="EA1930" s="22">
        <v>43560</v>
      </c>
      <c r="EB1930" s="17">
        <v>105</v>
      </c>
      <c r="EC1930" s="22">
        <v>43531</v>
      </c>
      <c r="ED1930" s="15" t="s">
        <v>173</v>
      </c>
      <c r="EE1930" s="14" t="str">
        <f>HYPERLINK("https://my.pitchbook.com?c=13231-27", "View company online")</f>
        <v>View company online</v>
      </c>
    </row>
    <row r="1931" spans="1:135">
      <c r="A1931" s="28" t="s">
        <v>36537</v>
      </c>
      <c r="B1931" s="28" t="s">
        <v>36538</v>
      </c>
      <c r="C1931" s="28" t="s">
        <v>138</v>
      </c>
      <c r="D1931" s="28" t="s">
        <v>138</v>
      </c>
      <c r="E1931" s="28" t="s">
        <v>36539</v>
      </c>
      <c r="F1931" s="28" t="s">
        <v>36537</v>
      </c>
      <c r="G1931" s="28" t="s">
        <v>36540</v>
      </c>
      <c r="H1931" s="28" t="s">
        <v>238</v>
      </c>
      <c r="I1931" s="28" t="s">
        <v>1351</v>
      </c>
      <c r="J1931" s="28" t="s">
        <v>1352</v>
      </c>
      <c r="K1931" s="28" t="s">
        <v>36541</v>
      </c>
      <c r="L1931" s="28" t="s">
        <v>36542</v>
      </c>
      <c r="M1931" s="28" t="s">
        <v>36543</v>
      </c>
      <c r="N1931" s="28" t="s">
        <v>147</v>
      </c>
      <c r="O1931" s="29">
        <v>33.4</v>
      </c>
      <c r="P1931" s="28" t="s">
        <v>148</v>
      </c>
      <c r="Q1931" s="28" t="s">
        <v>149</v>
      </c>
      <c r="R1931" s="28" t="s">
        <v>174</v>
      </c>
      <c r="S1931" s="28" t="s">
        <v>36544</v>
      </c>
      <c r="T1931" s="30">
        <v>40</v>
      </c>
      <c r="U1931" s="28" t="s">
        <v>36545</v>
      </c>
      <c r="V1931" s="28" t="s">
        <v>138</v>
      </c>
      <c r="W1931" s="28" t="s">
        <v>138</v>
      </c>
      <c r="X1931" s="31">
        <v>2014</v>
      </c>
      <c r="Y1931" s="28" t="s">
        <v>138</v>
      </c>
      <c r="Z1931" s="28" t="s">
        <v>138</v>
      </c>
      <c r="AA1931" s="28" t="s">
        <v>34630</v>
      </c>
      <c r="AB1931" s="32" t="s">
        <v>138</v>
      </c>
      <c r="AC1931" s="32" t="s">
        <v>138</v>
      </c>
      <c r="AD1931" s="32" t="s">
        <v>138</v>
      </c>
      <c r="AE1931" s="32" t="s">
        <v>138</v>
      </c>
      <c r="AF1931" s="32" t="s">
        <v>138</v>
      </c>
      <c r="AG1931" s="28" t="s">
        <v>138</v>
      </c>
      <c r="AH1931" s="32" t="s">
        <v>138</v>
      </c>
      <c r="AI1931" s="32" t="s">
        <v>138</v>
      </c>
      <c r="AJ1931" s="32" t="s">
        <v>138</v>
      </c>
      <c r="AK1931" s="28" t="s">
        <v>36546</v>
      </c>
      <c r="AL1931" s="28" t="s">
        <v>36547</v>
      </c>
      <c r="AM1931" s="28" t="s">
        <v>221</v>
      </c>
      <c r="AN1931" s="28" t="s">
        <v>36548</v>
      </c>
      <c r="AO1931" s="28" t="s">
        <v>36549</v>
      </c>
      <c r="AP1931" s="28" t="s">
        <v>7215</v>
      </c>
      <c r="AQ1931" s="28" t="s">
        <v>26845</v>
      </c>
      <c r="AR1931" s="28" t="s">
        <v>6688</v>
      </c>
      <c r="AS1931" s="28" t="s">
        <v>7217</v>
      </c>
      <c r="AT1931" s="28" t="s">
        <v>200</v>
      </c>
      <c r="AU1931" s="28" t="s">
        <v>7218</v>
      </c>
      <c r="AV1931" s="28" t="s">
        <v>162</v>
      </c>
      <c r="AW1931" s="28" t="s">
        <v>36549</v>
      </c>
      <c r="AX1931" s="28" t="s">
        <v>138</v>
      </c>
      <c r="AY1931" s="28" t="s">
        <v>36550</v>
      </c>
      <c r="AZ1931" s="28" t="s">
        <v>164</v>
      </c>
      <c r="BA1931" s="28" t="s">
        <v>165</v>
      </c>
      <c r="BB1931" s="28" t="s">
        <v>36551</v>
      </c>
      <c r="BC1931" s="28" t="s">
        <v>36552</v>
      </c>
      <c r="BD1931" s="33">
        <v>11</v>
      </c>
      <c r="BE1931" s="28" t="s">
        <v>138</v>
      </c>
      <c r="BF1931" s="28" t="s">
        <v>138</v>
      </c>
      <c r="BG1931" s="28" t="s">
        <v>138</v>
      </c>
      <c r="BH1931" s="28" t="s">
        <v>36553</v>
      </c>
      <c r="BI1931" s="28" t="s">
        <v>138</v>
      </c>
      <c r="BJ1931" s="28" t="s">
        <v>138</v>
      </c>
      <c r="BK1931" s="28" t="s">
        <v>36554</v>
      </c>
      <c r="BL1931" s="28" t="s">
        <v>3164</v>
      </c>
      <c r="BM1931" s="34">
        <v>42118</v>
      </c>
      <c r="BN1931" s="29" t="s">
        <v>138</v>
      </c>
      <c r="BO1931" s="28" t="s">
        <v>138</v>
      </c>
      <c r="BP1931" s="29" t="s">
        <v>138</v>
      </c>
      <c r="BQ1931" s="28" t="s">
        <v>138</v>
      </c>
      <c r="BR1931" s="28" t="s">
        <v>316</v>
      </c>
      <c r="BS1931" s="28" t="s">
        <v>138</v>
      </c>
      <c r="BT1931" s="28" t="s">
        <v>138</v>
      </c>
      <c r="BU1931" s="28" t="s">
        <v>177</v>
      </c>
      <c r="BV1931" s="28" t="s">
        <v>138</v>
      </c>
      <c r="BW1931" s="28" t="s">
        <v>138</v>
      </c>
      <c r="BX1931" s="28" t="s">
        <v>138</v>
      </c>
      <c r="BY1931" s="28" t="s">
        <v>175</v>
      </c>
      <c r="BZ1931" s="34">
        <v>43461</v>
      </c>
      <c r="CA1931" s="29">
        <v>17.16</v>
      </c>
      <c r="CB1931" s="28" t="s">
        <v>172</v>
      </c>
      <c r="CC1931" s="29">
        <v>57.16</v>
      </c>
      <c r="CD1931" s="28" t="s">
        <v>172</v>
      </c>
      <c r="CE1931" s="28" t="s">
        <v>205</v>
      </c>
      <c r="CF1931" s="28" t="s">
        <v>974</v>
      </c>
      <c r="CG1931" s="28" t="s">
        <v>138</v>
      </c>
      <c r="CH1931" s="28" t="s">
        <v>174</v>
      </c>
      <c r="CI1931" s="28" t="s">
        <v>138</v>
      </c>
      <c r="CJ1931" s="28" t="s">
        <v>138</v>
      </c>
      <c r="CK1931" s="28" t="s">
        <v>138</v>
      </c>
      <c r="CL1931" s="28" t="s">
        <v>175</v>
      </c>
      <c r="CM1931" s="34" t="s">
        <v>138</v>
      </c>
      <c r="CN1931" s="29" t="s">
        <v>138</v>
      </c>
      <c r="CO1931" s="35">
        <v>2.2000000000000002</v>
      </c>
      <c r="CP1931" s="36">
        <v>99</v>
      </c>
      <c r="CQ1931" s="35">
        <v>-0.03</v>
      </c>
      <c r="CR1931" s="35">
        <v>-1.18</v>
      </c>
      <c r="CS1931" s="35">
        <v>4.97</v>
      </c>
      <c r="CT1931" s="36">
        <v>100</v>
      </c>
      <c r="CU1931" s="35">
        <v>0.67</v>
      </c>
      <c r="CV1931" s="36">
        <v>96</v>
      </c>
      <c r="CW1931" s="35">
        <v>11.06</v>
      </c>
      <c r="CX1931" s="36">
        <v>100</v>
      </c>
      <c r="CY1931" s="35">
        <v>-1.1100000000000001</v>
      </c>
      <c r="CZ1931" s="36">
        <v>18</v>
      </c>
      <c r="DA1931" s="35">
        <v>0.67</v>
      </c>
      <c r="DB1931" s="36">
        <v>96</v>
      </c>
      <c r="DC1931" s="37">
        <v>8.3000000000000007</v>
      </c>
      <c r="DD1931" s="36">
        <v>88</v>
      </c>
      <c r="DE1931" s="37">
        <v>-0.53</v>
      </c>
      <c r="DF1931" s="35">
        <v>-6.02</v>
      </c>
      <c r="DG1931" s="37">
        <v>16.02</v>
      </c>
      <c r="DH1931" s="36">
        <v>93</v>
      </c>
      <c r="DI1931" s="37">
        <v>8.1999999999999993</v>
      </c>
      <c r="DJ1931" s="36">
        <v>83</v>
      </c>
      <c r="DK1931" s="37">
        <v>27.01</v>
      </c>
      <c r="DL1931" s="36">
        <v>93</v>
      </c>
      <c r="DM1931" s="37">
        <v>5.03</v>
      </c>
      <c r="DN1931" s="36">
        <v>81</v>
      </c>
      <c r="DO1931" s="37">
        <v>8.1999999999999993</v>
      </c>
      <c r="DP1931" s="36">
        <v>85</v>
      </c>
      <c r="DQ1931" s="36">
        <v>8840</v>
      </c>
      <c r="DR1931" s="38">
        <v>1277</v>
      </c>
      <c r="DS1931" s="35">
        <v>16.88</v>
      </c>
      <c r="DT1931" s="36">
        <v>146</v>
      </c>
      <c r="DU1931" s="38">
        <v>1</v>
      </c>
      <c r="DV1931" s="35">
        <v>0.69</v>
      </c>
      <c r="DW1931" s="36">
        <v>2929</v>
      </c>
      <c r="DX1931" s="39">
        <v>11</v>
      </c>
      <c r="DY1931" s="35">
        <v>0.38</v>
      </c>
      <c r="DZ1931" s="28" t="s">
        <v>178</v>
      </c>
      <c r="EA1931" s="34">
        <v>43622</v>
      </c>
      <c r="EB1931" s="29">
        <v>57.16</v>
      </c>
      <c r="EC1931" s="34">
        <v>43461</v>
      </c>
      <c r="ED1931" s="28" t="s">
        <v>205</v>
      </c>
      <c r="EE1931" s="40" t="str">
        <f>HYPERLINK("https://my.pitchbook.com?c=110642-95", "View company online")</f>
        <v>View company online</v>
      </c>
    </row>
    <row r="1932" spans="1:135">
      <c r="A1932" s="15" t="s">
        <v>36555</v>
      </c>
      <c r="B1932" s="15" t="s">
        <v>36556</v>
      </c>
      <c r="C1932" s="15" t="s">
        <v>36557</v>
      </c>
      <c r="D1932" s="15" t="s">
        <v>138</v>
      </c>
      <c r="E1932" s="15" t="s">
        <v>36558</v>
      </c>
      <c r="F1932" s="15" t="s">
        <v>36555</v>
      </c>
      <c r="G1932" s="15" t="s">
        <v>36559</v>
      </c>
      <c r="H1932" s="15" t="s">
        <v>322</v>
      </c>
      <c r="I1932" s="15" t="s">
        <v>323</v>
      </c>
      <c r="J1932" s="15" t="s">
        <v>413</v>
      </c>
      <c r="K1932" s="15" t="s">
        <v>4164</v>
      </c>
      <c r="L1932" s="15" t="s">
        <v>2427</v>
      </c>
      <c r="M1932" s="15" t="s">
        <v>36560</v>
      </c>
      <c r="N1932" s="15" t="s">
        <v>147</v>
      </c>
      <c r="O1932" s="17">
        <v>49.47</v>
      </c>
      <c r="P1932" s="15" t="s">
        <v>148</v>
      </c>
      <c r="Q1932" s="15" t="s">
        <v>149</v>
      </c>
      <c r="R1932" s="15" t="s">
        <v>174</v>
      </c>
      <c r="S1932" s="15" t="s">
        <v>36561</v>
      </c>
      <c r="T1932" s="18">
        <v>200</v>
      </c>
      <c r="U1932" s="15" t="s">
        <v>36562</v>
      </c>
      <c r="V1932" s="15" t="s">
        <v>138</v>
      </c>
      <c r="W1932" s="15" t="s">
        <v>138</v>
      </c>
      <c r="X1932" s="19">
        <v>2015</v>
      </c>
      <c r="Y1932" s="15" t="s">
        <v>138</v>
      </c>
      <c r="Z1932" s="15" t="s">
        <v>138</v>
      </c>
      <c r="AA1932" s="15" t="s">
        <v>138</v>
      </c>
      <c r="AB1932" s="20" t="s">
        <v>138</v>
      </c>
      <c r="AC1932" s="20" t="s">
        <v>138</v>
      </c>
      <c r="AD1932" s="20" t="s">
        <v>138</v>
      </c>
      <c r="AE1932" s="20" t="s">
        <v>138</v>
      </c>
      <c r="AF1932" s="20" t="s">
        <v>138</v>
      </c>
      <c r="AG1932" s="15" t="s">
        <v>138</v>
      </c>
      <c r="AH1932" s="20" t="s">
        <v>138</v>
      </c>
      <c r="AI1932" s="20" t="s">
        <v>138</v>
      </c>
      <c r="AJ1932" s="20" t="s">
        <v>138</v>
      </c>
      <c r="AK1932" s="15" t="s">
        <v>36563</v>
      </c>
      <c r="AL1932" s="15" t="s">
        <v>36564</v>
      </c>
      <c r="AM1932" s="15" t="s">
        <v>36565</v>
      </c>
      <c r="AN1932" s="15" t="s">
        <v>36566</v>
      </c>
      <c r="AO1932" s="15" t="s">
        <v>36567</v>
      </c>
      <c r="AP1932" s="15" t="s">
        <v>36568</v>
      </c>
      <c r="AQ1932" s="15" t="s">
        <v>36569</v>
      </c>
      <c r="AR1932" s="15" t="s">
        <v>138</v>
      </c>
      <c r="AS1932" s="15" t="s">
        <v>36570</v>
      </c>
      <c r="AT1932" s="15" t="s">
        <v>138</v>
      </c>
      <c r="AU1932" s="15" t="s">
        <v>36571</v>
      </c>
      <c r="AV1932" s="15" t="s">
        <v>36572</v>
      </c>
      <c r="AW1932" s="15" t="s">
        <v>36573</v>
      </c>
      <c r="AX1932" s="15" t="s">
        <v>138</v>
      </c>
      <c r="AY1932" s="15" t="s">
        <v>36574</v>
      </c>
      <c r="AZ1932" s="15" t="s">
        <v>530</v>
      </c>
      <c r="BA1932" s="15" t="s">
        <v>9687</v>
      </c>
      <c r="BB1932" s="15" t="s">
        <v>36575</v>
      </c>
      <c r="BC1932" s="15" t="s">
        <v>36576</v>
      </c>
      <c r="BD1932" s="21">
        <v>11</v>
      </c>
      <c r="BE1932" s="15" t="s">
        <v>138</v>
      </c>
      <c r="BF1932" s="15" t="s">
        <v>36577</v>
      </c>
      <c r="BG1932" s="15" t="s">
        <v>138</v>
      </c>
      <c r="BH1932" s="15" t="s">
        <v>36578</v>
      </c>
      <c r="BI1932" s="15" t="s">
        <v>36579</v>
      </c>
      <c r="BJ1932" s="15" t="s">
        <v>138</v>
      </c>
      <c r="BK1932" s="15" t="s">
        <v>36580</v>
      </c>
      <c r="BL1932" s="15" t="s">
        <v>36581</v>
      </c>
      <c r="BM1932" s="22" t="s">
        <v>138</v>
      </c>
      <c r="BN1932" s="17" t="s">
        <v>138</v>
      </c>
      <c r="BO1932" s="15" t="s">
        <v>138</v>
      </c>
      <c r="BP1932" s="17" t="s">
        <v>138</v>
      </c>
      <c r="BQ1932" s="15" t="s">
        <v>138</v>
      </c>
      <c r="BR1932" s="15" t="s">
        <v>17438</v>
      </c>
      <c r="BS1932" s="15" t="s">
        <v>138</v>
      </c>
      <c r="BT1932" s="15" t="s">
        <v>138</v>
      </c>
      <c r="BU1932" s="15" t="s">
        <v>780</v>
      </c>
      <c r="BV1932" s="15" t="s">
        <v>138</v>
      </c>
      <c r="BW1932" s="15" t="s">
        <v>138</v>
      </c>
      <c r="BX1932" s="15" t="s">
        <v>138</v>
      </c>
      <c r="BY1932" s="15" t="s">
        <v>175</v>
      </c>
      <c r="BZ1932" s="22">
        <v>43104</v>
      </c>
      <c r="CA1932" s="17">
        <v>38.97</v>
      </c>
      <c r="CB1932" s="15" t="s">
        <v>172</v>
      </c>
      <c r="CC1932" s="17" t="s">
        <v>138</v>
      </c>
      <c r="CD1932" s="15" t="s">
        <v>138</v>
      </c>
      <c r="CE1932" s="15" t="s">
        <v>173</v>
      </c>
      <c r="CF1932" s="15" t="s">
        <v>317</v>
      </c>
      <c r="CG1932" s="15" t="s">
        <v>138</v>
      </c>
      <c r="CH1932" s="15" t="s">
        <v>174</v>
      </c>
      <c r="CI1932" s="15" t="s">
        <v>138</v>
      </c>
      <c r="CJ1932" s="15" t="s">
        <v>138</v>
      </c>
      <c r="CK1932" s="15" t="s">
        <v>138</v>
      </c>
      <c r="CL1932" s="15" t="s">
        <v>175</v>
      </c>
      <c r="CM1932" s="22" t="s">
        <v>138</v>
      </c>
      <c r="CN1932" s="17" t="s">
        <v>138</v>
      </c>
      <c r="CO1932" s="23">
        <v>0.31</v>
      </c>
      <c r="CP1932" s="24">
        <v>94</v>
      </c>
      <c r="CQ1932" s="23">
        <v>0</v>
      </c>
      <c r="CR1932" s="23">
        <v>-0.57999999999999996</v>
      </c>
      <c r="CS1932" s="23">
        <v>0</v>
      </c>
      <c r="CT1932" s="24">
        <v>23</v>
      </c>
      <c r="CU1932" s="23">
        <v>0.61</v>
      </c>
      <c r="CV1932" s="24">
        <v>95</v>
      </c>
      <c r="CW1932" s="23">
        <v>0</v>
      </c>
      <c r="CX1932" s="24">
        <v>13</v>
      </c>
      <c r="CY1932" s="23">
        <v>0</v>
      </c>
      <c r="CZ1932" s="24">
        <v>25</v>
      </c>
      <c r="DA1932" s="23">
        <v>0.61</v>
      </c>
      <c r="DB1932" s="24">
        <v>96</v>
      </c>
      <c r="DC1932" s="25">
        <v>3</v>
      </c>
      <c r="DD1932" s="24">
        <v>75</v>
      </c>
      <c r="DE1932" s="25">
        <v>-0.05</v>
      </c>
      <c r="DF1932" s="23">
        <v>-1.68</v>
      </c>
      <c r="DG1932" s="25">
        <v>2.0499999999999998</v>
      </c>
      <c r="DH1932" s="24">
        <v>67</v>
      </c>
      <c r="DI1932" s="25">
        <v>3.95</v>
      </c>
      <c r="DJ1932" s="24">
        <v>74</v>
      </c>
      <c r="DK1932" s="25">
        <v>2.25</v>
      </c>
      <c r="DL1932" s="24">
        <v>67</v>
      </c>
      <c r="DM1932" s="25">
        <v>1.86</v>
      </c>
      <c r="DN1932" s="24">
        <v>64</v>
      </c>
      <c r="DO1932" s="25">
        <v>3.95</v>
      </c>
      <c r="DP1932" s="24">
        <v>76</v>
      </c>
      <c r="DQ1932" s="24">
        <v>746</v>
      </c>
      <c r="DR1932" s="26">
        <v>74</v>
      </c>
      <c r="DS1932" s="23">
        <v>11.01</v>
      </c>
      <c r="DT1932" s="24">
        <v>54</v>
      </c>
      <c r="DU1932" s="26">
        <v>0</v>
      </c>
      <c r="DV1932" s="23">
        <v>0</v>
      </c>
      <c r="DW1932" s="24">
        <v>1410</v>
      </c>
      <c r="DX1932" s="27">
        <v>8</v>
      </c>
      <c r="DY1932" s="23">
        <v>0.56999999999999995</v>
      </c>
      <c r="DZ1932" s="15" t="s">
        <v>178</v>
      </c>
      <c r="EA1932" s="22">
        <v>43622</v>
      </c>
      <c r="EB1932" s="17">
        <v>10.02</v>
      </c>
      <c r="EC1932" s="22">
        <v>42214</v>
      </c>
      <c r="ED1932" s="15" t="s">
        <v>234</v>
      </c>
      <c r="EE1932" s="14" t="str">
        <f>HYPERLINK("https://my.pitchbook.com?c=120982-15", "View company online")</f>
        <v>View company online</v>
      </c>
    </row>
    <row r="1933" spans="1:135">
      <c r="A1933" s="28" t="s">
        <v>36582</v>
      </c>
      <c r="B1933" s="28" t="s">
        <v>36583</v>
      </c>
      <c r="C1933" s="28" t="s">
        <v>138</v>
      </c>
      <c r="D1933" s="28" t="s">
        <v>138</v>
      </c>
      <c r="E1933" s="28" t="s">
        <v>138</v>
      </c>
      <c r="F1933" s="28" t="s">
        <v>36582</v>
      </c>
      <c r="G1933" s="28" t="s">
        <v>36584</v>
      </c>
      <c r="H1933" s="28" t="s">
        <v>322</v>
      </c>
      <c r="I1933" s="28" t="s">
        <v>1503</v>
      </c>
      <c r="J1933" s="28" t="s">
        <v>2377</v>
      </c>
      <c r="K1933" s="28" t="s">
        <v>2729</v>
      </c>
      <c r="L1933" s="28" t="s">
        <v>1972</v>
      </c>
      <c r="M1933" s="28" t="s">
        <v>36585</v>
      </c>
      <c r="N1933" s="28" t="s">
        <v>147</v>
      </c>
      <c r="O1933" s="29">
        <v>2.7</v>
      </c>
      <c r="P1933" s="28" t="s">
        <v>610</v>
      </c>
      <c r="Q1933" s="28" t="s">
        <v>149</v>
      </c>
      <c r="R1933" s="28" t="s">
        <v>174</v>
      </c>
      <c r="S1933" s="28" t="s">
        <v>36586</v>
      </c>
      <c r="T1933" s="30" t="s">
        <v>138</v>
      </c>
      <c r="U1933" s="28" t="s">
        <v>138</v>
      </c>
      <c r="V1933" s="28" t="s">
        <v>138</v>
      </c>
      <c r="W1933" s="28" t="s">
        <v>138</v>
      </c>
      <c r="X1933" s="31">
        <v>2017</v>
      </c>
      <c r="Y1933" s="28" t="s">
        <v>138</v>
      </c>
      <c r="Z1933" s="28" t="s">
        <v>138</v>
      </c>
      <c r="AA1933" s="28" t="s">
        <v>138</v>
      </c>
      <c r="AB1933" s="32" t="s">
        <v>138</v>
      </c>
      <c r="AC1933" s="32" t="s">
        <v>138</v>
      </c>
      <c r="AD1933" s="32" t="s">
        <v>138</v>
      </c>
      <c r="AE1933" s="32" t="s">
        <v>138</v>
      </c>
      <c r="AF1933" s="32" t="s">
        <v>138</v>
      </c>
      <c r="AG1933" s="28" t="s">
        <v>138</v>
      </c>
      <c r="AH1933" s="32" t="s">
        <v>138</v>
      </c>
      <c r="AI1933" s="32" t="s">
        <v>138</v>
      </c>
      <c r="AJ1933" s="32" t="s">
        <v>138</v>
      </c>
      <c r="AK1933" s="28" t="s">
        <v>138</v>
      </c>
      <c r="AL1933" s="28" t="s">
        <v>138</v>
      </c>
      <c r="AM1933" s="28" t="s">
        <v>138</v>
      </c>
      <c r="AN1933" s="28" t="s">
        <v>138</v>
      </c>
      <c r="AO1933" s="28" t="s">
        <v>138</v>
      </c>
      <c r="AP1933" s="28" t="s">
        <v>3689</v>
      </c>
      <c r="AQ1933" s="28" t="s">
        <v>36587</v>
      </c>
      <c r="AR1933" s="28" t="s">
        <v>138</v>
      </c>
      <c r="AS1933" s="28" t="s">
        <v>3691</v>
      </c>
      <c r="AT1933" s="28" t="s">
        <v>138</v>
      </c>
      <c r="AU1933" s="28" t="s">
        <v>3692</v>
      </c>
      <c r="AV1933" s="28" t="s">
        <v>3693</v>
      </c>
      <c r="AW1933" s="28" t="s">
        <v>138</v>
      </c>
      <c r="AX1933" s="28" t="s">
        <v>138</v>
      </c>
      <c r="AY1933" s="28" t="s">
        <v>36588</v>
      </c>
      <c r="AZ1933" s="28" t="s">
        <v>530</v>
      </c>
      <c r="BA1933" s="28" t="s">
        <v>531</v>
      </c>
      <c r="BB1933" s="28" t="s">
        <v>36589</v>
      </c>
      <c r="BC1933" s="28" t="s">
        <v>36590</v>
      </c>
      <c r="BD1933" s="33">
        <v>3</v>
      </c>
      <c r="BE1933" s="28" t="s">
        <v>138</v>
      </c>
      <c r="BF1933" s="28" t="s">
        <v>138</v>
      </c>
      <c r="BG1933" s="28" t="s">
        <v>138</v>
      </c>
      <c r="BH1933" s="28" t="s">
        <v>36591</v>
      </c>
      <c r="BI1933" s="28" t="s">
        <v>138</v>
      </c>
      <c r="BJ1933" s="28" t="s">
        <v>138</v>
      </c>
      <c r="BK1933" s="28" t="s">
        <v>138</v>
      </c>
      <c r="BL1933" s="28" t="s">
        <v>138</v>
      </c>
      <c r="BM1933" s="34" t="s">
        <v>138</v>
      </c>
      <c r="BN1933" s="29">
        <v>0.01</v>
      </c>
      <c r="BO1933" s="28" t="s">
        <v>138</v>
      </c>
      <c r="BP1933" s="29" t="s">
        <v>138</v>
      </c>
      <c r="BQ1933" s="28" t="s">
        <v>138</v>
      </c>
      <c r="BR1933" s="28" t="s">
        <v>316</v>
      </c>
      <c r="BS1933" s="28" t="s">
        <v>138</v>
      </c>
      <c r="BT1933" s="28" t="s">
        <v>138</v>
      </c>
      <c r="BU1933" s="28" t="s">
        <v>177</v>
      </c>
      <c r="BV1933" s="28" t="s">
        <v>138</v>
      </c>
      <c r="BW1933" s="28" t="s">
        <v>138</v>
      </c>
      <c r="BX1933" s="28" t="s">
        <v>138</v>
      </c>
      <c r="BY1933" s="28" t="s">
        <v>175</v>
      </c>
      <c r="BZ1933" s="34">
        <v>43409</v>
      </c>
      <c r="CA1933" s="29">
        <v>1.5</v>
      </c>
      <c r="CB1933" s="28" t="s">
        <v>172</v>
      </c>
      <c r="CC1933" s="29" t="s">
        <v>138</v>
      </c>
      <c r="CD1933" s="28" t="s">
        <v>138</v>
      </c>
      <c r="CE1933" s="28" t="s">
        <v>234</v>
      </c>
      <c r="CF1933" s="28" t="s">
        <v>234</v>
      </c>
      <c r="CG1933" s="28" t="s">
        <v>138</v>
      </c>
      <c r="CH1933" s="28" t="s">
        <v>174</v>
      </c>
      <c r="CI1933" s="28" t="s">
        <v>138</v>
      </c>
      <c r="CJ1933" s="28" t="s">
        <v>138</v>
      </c>
      <c r="CK1933" s="28" t="s">
        <v>138</v>
      </c>
      <c r="CL1933" s="28" t="s">
        <v>175</v>
      </c>
      <c r="CM1933" s="34" t="s">
        <v>138</v>
      </c>
      <c r="CN1933" s="29" t="s">
        <v>138</v>
      </c>
      <c r="CO1933" s="35">
        <v>1.29</v>
      </c>
      <c r="CP1933" s="36">
        <v>98</v>
      </c>
      <c r="CQ1933" s="35">
        <v>-0.1</v>
      </c>
      <c r="CR1933" s="35">
        <v>-6.97</v>
      </c>
      <c r="CS1933" s="35" t="s">
        <v>138</v>
      </c>
      <c r="CT1933" s="36" t="s">
        <v>138</v>
      </c>
      <c r="CU1933" s="35">
        <v>1.29</v>
      </c>
      <c r="CV1933" s="36">
        <v>99</v>
      </c>
      <c r="CW1933" s="35" t="s">
        <v>138</v>
      </c>
      <c r="CX1933" s="36" t="s">
        <v>138</v>
      </c>
      <c r="CY1933" s="35" t="s">
        <v>138</v>
      </c>
      <c r="CZ1933" s="36" t="s">
        <v>138</v>
      </c>
      <c r="DA1933" s="35">
        <v>1.29</v>
      </c>
      <c r="DB1933" s="36">
        <v>99</v>
      </c>
      <c r="DC1933" s="37">
        <v>0.41</v>
      </c>
      <c r="DD1933" s="36">
        <v>29</v>
      </c>
      <c r="DE1933" s="37">
        <v>0.01</v>
      </c>
      <c r="DF1933" s="35">
        <v>1.26</v>
      </c>
      <c r="DG1933" s="37" t="s">
        <v>138</v>
      </c>
      <c r="DH1933" s="36" t="s">
        <v>138</v>
      </c>
      <c r="DI1933" s="37">
        <v>0.41</v>
      </c>
      <c r="DJ1933" s="36">
        <v>33</v>
      </c>
      <c r="DK1933" s="37" t="s">
        <v>138</v>
      </c>
      <c r="DL1933" s="36" t="s">
        <v>138</v>
      </c>
      <c r="DM1933" s="37" t="s">
        <v>138</v>
      </c>
      <c r="DN1933" s="36" t="s">
        <v>138</v>
      </c>
      <c r="DO1933" s="37">
        <v>0.41</v>
      </c>
      <c r="DP1933" s="36">
        <v>35</v>
      </c>
      <c r="DQ1933" s="36" t="s">
        <v>138</v>
      </c>
      <c r="DR1933" s="38" t="s">
        <v>138</v>
      </c>
      <c r="DS1933" s="35" t="s">
        <v>138</v>
      </c>
      <c r="DT1933" s="36" t="s">
        <v>138</v>
      </c>
      <c r="DU1933" s="38" t="s">
        <v>138</v>
      </c>
      <c r="DV1933" s="35" t="s">
        <v>138</v>
      </c>
      <c r="DW1933" s="36">
        <v>144</v>
      </c>
      <c r="DX1933" s="39">
        <v>0</v>
      </c>
      <c r="DY1933" s="35">
        <v>0</v>
      </c>
      <c r="DZ1933" s="28" t="s">
        <v>178</v>
      </c>
      <c r="EA1933" s="34">
        <v>43622</v>
      </c>
      <c r="EB1933" s="29" t="s">
        <v>138</v>
      </c>
      <c r="EC1933" s="34" t="s">
        <v>138</v>
      </c>
      <c r="ED1933" s="28" t="s">
        <v>138</v>
      </c>
      <c r="EE1933" s="40" t="str">
        <f>HYPERLINK("https://my.pitchbook.com?c=179658-19", "View company online")</f>
        <v>View company online</v>
      </c>
    </row>
    <row r="1934" spans="1:135">
      <c r="A1934" s="15" t="s">
        <v>36592</v>
      </c>
      <c r="B1934" s="15" t="s">
        <v>36593</v>
      </c>
      <c r="C1934" s="15" t="s">
        <v>138</v>
      </c>
      <c r="D1934" s="15" t="s">
        <v>138</v>
      </c>
      <c r="E1934" s="15" t="s">
        <v>138</v>
      </c>
      <c r="F1934" s="15" t="s">
        <v>36592</v>
      </c>
      <c r="G1934" s="15" t="s">
        <v>36594</v>
      </c>
      <c r="H1934" s="15" t="s">
        <v>322</v>
      </c>
      <c r="I1934" s="15" t="s">
        <v>323</v>
      </c>
      <c r="J1934" s="15" t="s">
        <v>1084</v>
      </c>
      <c r="K1934" s="15" t="s">
        <v>1579</v>
      </c>
      <c r="L1934" s="15" t="s">
        <v>2255</v>
      </c>
      <c r="M1934" s="15" t="s">
        <v>36595</v>
      </c>
      <c r="N1934" s="15" t="s">
        <v>147</v>
      </c>
      <c r="O1934" s="17">
        <v>10</v>
      </c>
      <c r="P1934" s="15" t="s">
        <v>148</v>
      </c>
      <c r="Q1934" s="15" t="s">
        <v>149</v>
      </c>
      <c r="R1934" s="15" t="s">
        <v>174</v>
      </c>
      <c r="S1934" s="15" t="s">
        <v>36596</v>
      </c>
      <c r="T1934" s="18">
        <v>25</v>
      </c>
      <c r="U1934" s="15" t="s">
        <v>11402</v>
      </c>
      <c r="V1934" s="15" t="s">
        <v>138</v>
      </c>
      <c r="W1934" s="15" t="s">
        <v>138</v>
      </c>
      <c r="X1934" s="19">
        <v>2017</v>
      </c>
      <c r="Y1934" s="15" t="s">
        <v>138</v>
      </c>
      <c r="Z1934" s="15" t="s">
        <v>138</v>
      </c>
      <c r="AA1934" s="15" t="s">
        <v>138</v>
      </c>
      <c r="AB1934" s="20" t="s">
        <v>138</v>
      </c>
      <c r="AC1934" s="20" t="s">
        <v>138</v>
      </c>
      <c r="AD1934" s="20" t="s">
        <v>138</v>
      </c>
      <c r="AE1934" s="20" t="s">
        <v>138</v>
      </c>
      <c r="AF1934" s="20" t="s">
        <v>138</v>
      </c>
      <c r="AG1934" s="15" t="s">
        <v>138</v>
      </c>
      <c r="AH1934" s="20" t="s">
        <v>138</v>
      </c>
      <c r="AI1934" s="20" t="s">
        <v>138</v>
      </c>
      <c r="AJ1934" s="20" t="s">
        <v>138</v>
      </c>
      <c r="AK1934" s="15" t="s">
        <v>36597</v>
      </c>
      <c r="AL1934" s="15" t="s">
        <v>36598</v>
      </c>
      <c r="AM1934" s="15" t="s">
        <v>938</v>
      </c>
      <c r="AN1934" s="15" t="s">
        <v>36599</v>
      </c>
      <c r="AO1934" s="15" t="s">
        <v>36600</v>
      </c>
      <c r="AP1934" s="15" t="s">
        <v>6573</v>
      </c>
      <c r="AQ1934" s="15" t="s">
        <v>36601</v>
      </c>
      <c r="AR1934" s="15" t="s">
        <v>36602</v>
      </c>
      <c r="AS1934" s="15" t="s">
        <v>6575</v>
      </c>
      <c r="AT1934" s="15" t="s">
        <v>6576</v>
      </c>
      <c r="AU1934" s="15" t="s">
        <v>36603</v>
      </c>
      <c r="AV1934" s="15" t="s">
        <v>162</v>
      </c>
      <c r="AW1934" s="15" t="s">
        <v>36600</v>
      </c>
      <c r="AX1934" s="15" t="s">
        <v>138</v>
      </c>
      <c r="AY1934" s="15" t="s">
        <v>36604</v>
      </c>
      <c r="AZ1934" s="15" t="s">
        <v>164</v>
      </c>
      <c r="BA1934" s="15" t="s">
        <v>165</v>
      </c>
      <c r="BB1934" s="15" t="s">
        <v>36605</v>
      </c>
      <c r="BC1934" s="15" t="s">
        <v>36606</v>
      </c>
      <c r="BD1934" s="21">
        <v>17</v>
      </c>
      <c r="BE1934" s="15" t="s">
        <v>138</v>
      </c>
      <c r="BF1934" s="15" t="s">
        <v>138</v>
      </c>
      <c r="BG1934" s="15" t="s">
        <v>138</v>
      </c>
      <c r="BH1934" s="15" t="s">
        <v>36607</v>
      </c>
      <c r="BI1934" s="15" t="s">
        <v>138</v>
      </c>
      <c r="BJ1934" s="15" t="s">
        <v>138</v>
      </c>
      <c r="BK1934" s="15" t="s">
        <v>1251</v>
      </c>
      <c r="BL1934" s="15" t="s">
        <v>1251</v>
      </c>
      <c r="BM1934" s="22">
        <v>43009</v>
      </c>
      <c r="BN1934" s="17" t="s">
        <v>138</v>
      </c>
      <c r="BO1934" s="15" t="s">
        <v>138</v>
      </c>
      <c r="BP1934" s="17" t="s">
        <v>138</v>
      </c>
      <c r="BQ1934" s="15" t="s">
        <v>138</v>
      </c>
      <c r="BR1934" s="15" t="s">
        <v>234</v>
      </c>
      <c r="BS1934" s="15" t="s">
        <v>234</v>
      </c>
      <c r="BT1934" s="15" t="s">
        <v>138</v>
      </c>
      <c r="BU1934" s="15" t="s">
        <v>174</v>
      </c>
      <c r="BV1934" s="15" t="s">
        <v>138</v>
      </c>
      <c r="BW1934" s="15" t="s">
        <v>138</v>
      </c>
      <c r="BX1934" s="15" t="s">
        <v>138</v>
      </c>
      <c r="BY1934" s="15" t="s">
        <v>175</v>
      </c>
      <c r="BZ1934" s="22">
        <v>43361</v>
      </c>
      <c r="CA1934" s="17">
        <v>10</v>
      </c>
      <c r="CB1934" s="15" t="s">
        <v>172</v>
      </c>
      <c r="CC1934" s="17" t="s">
        <v>138</v>
      </c>
      <c r="CD1934" s="15" t="s">
        <v>138</v>
      </c>
      <c r="CE1934" s="15" t="s">
        <v>205</v>
      </c>
      <c r="CF1934" s="15" t="s">
        <v>206</v>
      </c>
      <c r="CG1934" s="15" t="s">
        <v>138</v>
      </c>
      <c r="CH1934" s="15" t="s">
        <v>174</v>
      </c>
      <c r="CI1934" s="15" t="s">
        <v>138</v>
      </c>
      <c r="CJ1934" s="15" t="s">
        <v>138</v>
      </c>
      <c r="CK1934" s="15" t="s">
        <v>138</v>
      </c>
      <c r="CL1934" s="15" t="s">
        <v>175</v>
      </c>
      <c r="CM1934" s="22" t="s">
        <v>138</v>
      </c>
      <c r="CN1934" s="17" t="s">
        <v>138</v>
      </c>
      <c r="CO1934" s="23">
        <v>0</v>
      </c>
      <c r="CP1934" s="24">
        <v>26</v>
      </c>
      <c r="CQ1934" s="23">
        <v>0</v>
      </c>
      <c r="CR1934" s="23">
        <v>0</v>
      </c>
      <c r="CS1934" s="23">
        <v>0</v>
      </c>
      <c r="CT1934" s="24">
        <v>23</v>
      </c>
      <c r="CU1934" s="23" t="s">
        <v>138</v>
      </c>
      <c r="CV1934" s="24" t="s">
        <v>138</v>
      </c>
      <c r="CW1934" s="23">
        <v>0</v>
      </c>
      <c r="CX1934" s="24">
        <v>13</v>
      </c>
      <c r="CY1934" s="23">
        <v>0</v>
      </c>
      <c r="CZ1934" s="24">
        <v>25</v>
      </c>
      <c r="DA1934" s="23" t="s">
        <v>138</v>
      </c>
      <c r="DB1934" s="24" t="s">
        <v>138</v>
      </c>
      <c r="DC1934" s="25">
        <v>1.8</v>
      </c>
      <c r="DD1934" s="24">
        <v>65</v>
      </c>
      <c r="DE1934" s="25">
        <v>-0.1</v>
      </c>
      <c r="DF1934" s="23">
        <v>-5.4</v>
      </c>
      <c r="DG1934" s="25">
        <v>1.8</v>
      </c>
      <c r="DH1934" s="24">
        <v>65</v>
      </c>
      <c r="DI1934" s="25" t="s">
        <v>138</v>
      </c>
      <c r="DJ1934" s="24" t="s">
        <v>138</v>
      </c>
      <c r="DK1934" s="25">
        <v>1.6</v>
      </c>
      <c r="DL1934" s="24">
        <v>60</v>
      </c>
      <c r="DM1934" s="25">
        <v>2</v>
      </c>
      <c r="DN1934" s="24">
        <v>66</v>
      </c>
      <c r="DO1934" s="25" t="s">
        <v>138</v>
      </c>
      <c r="DP1934" s="24" t="s">
        <v>138</v>
      </c>
      <c r="DQ1934" s="24">
        <v>553</v>
      </c>
      <c r="DR1934" s="26">
        <v>-10</v>
      </c>
      <c r="DS1934" s="23">
        <v>-1.78</v>
      </c>
      <c r="DT1934" s="24">
        <v>58</v>
      </c>
      <c r="DU1934" s="26">
        <v>0</v>
      </c>
      <c r="DV1934" s="23">
        <v>0</v>
      </c>
      <c r="DW1934" s="24" t="s">
        <v>138</v>
      </c>
      <c r="DX1934" s="27" t="s">
        <v>138</v>
      </c>
      <c r="DY1934" s="23" t="s">
        <v>138</v>
      </c>
      <c r="DZ1934" s="15" t="s">
        <v>178</v>
      </c>
      <c r="EA1934" s="22">
        <v>43559</v>
      </c>
      <c r="EB1934" s="17" t="s">
        <v>138</v>
      </c>
      <c r="EC1934" s="22" t="s">
        <v>138</v>
      </c>
      <c r="ED1934" s="15" t="s">
        <v>138</v>
      </c>
      <c r="EE1934" s="14" t="str">
        <f>HYPERLINK("https://my.pitchbook.com?c=229236-04", "View company online")</f>
        <v>View company online</v>
      </c>
    </row>
    <row r="1935" spans="1:135">
      <c r="A1935" s="28" t="s">
        <v>36608</v>
      </c>
      <c r="B1935" s="28" t="s">
        <v>36609</v>
      </c>
      <c r="C1935" s="28" t="s">
        <v>138</v>
      </c>
      <c r="D1935" s="28" t="s">
        <v>138</v>
      </c>
      <c r="E1935" s="28" t="s">
        <v>138</v>
      </c>
      <c r="F1935" s="28" t="s">
        <v>36608</v>
      </c>
      <c r="G1935" s="28" t="s">
        <v>36610</v>
      </c>
      <c r="H1935" s="28" t="s">
        <v>322</v>
      </c>
      <c r="I1935" s="28" t="s">
        <v>1503</v>
      </c>
      <c r="J1935" s="28" t="s">
        <v>11677</v>
      </c>
      <c r="K1935" s="28" t="s">
        <v>36611</v>
      </c>
      <c r="L1935" s="28" t="s">
        <v>415</v>
      </c>
      <c r="M1935" s="28" t="s">
        <v>36612</v>
      </c>
      <c r="N1935" s="28" t="s">
        <v>147</v>
      </c>
      <c r="O1935" s="29">
        <v>8.5</v>
      </c>
      <c r="P1935" s="28" t="s">
        <v>610</v>
      </c>
      <c r="Q1935" s="28" t="s">
        <v>149</v>
      </c>
      <c r="R1935" s="28" t="s">
        <v>174</v>
      </c>
      <c r="S1935" s="28" t="s">
        <v>36613</v>
      </c>
      <c r="T1935" s="30" t="s">
        <v>138</v>
      </c>
      <c r="U1935" s="28" t="s">
        <v>138</v>
      </c>
      <c r="V1935" s="28" t="s">
        <v>138</v>
      </c>
      <c r="W1935" s="28" t="s">
        <v>138</v>
      </c>
      <c r="X1935" s="31">
        <v>2016</v>
      </c>
      <c r="Y1935" s="28" t="s">
        <v>138</v>
      </c>
      <c r="Z1935" s="28" t="s">
        <v>138</v>
      </c>
      <c r="AA1935" s="28" t="s">
        <v>138</v>
      </c>
      <c r="AB1935" s="32" t="s">
        <v>138</v>
      </c>
      <c r="AC1935" s="32" t="s">
        <v>138</v>
      </c>
      <c r="AD1935" s="32" t="s">
        <v>138</v>
      </c>
      <c r="AE1935" s="32" t="s">
        <v>138</v>
      </c>
      <c r="AF1935" s="32" t="s">
        <v>138</v>
      </c>
      <c r="AG1935" s="28" t="s">
        <v>138</v>
      </c>
      <c r="AH1935" s="32" t="s">
        <v>138</v>
      </c>
      <c r="AI1935" s="32" t="s">
        <v>138</v>
      </c>
      <c r="AJ1935" s="32" t="s">
        <v>138</v>
      </c>
      <c r="AK1935" s="28" t="s">
        <v>36614</v>
      </c>
      <c r="AL1935" s="28" t="s">
        <v>36615</v>
      </c>
      <c r="AM1935" s="28" t="s">
        <v>304</v>
      </c>
      <c r="AN1935" s="28" t="s">
        <v>36616</v>
      </c>
      <c r="AO1935" s="28" t="s">
        <v>36617</v>
      </c>
      <c r="AP1935" s="28" t="s">
        <v>1220</v>
      </c>
      <c r="AQ1935" s="28" t="s">
        <v>36618</v>
      </c>
      <c r="AR1935" s="28" t="s">
        <v>138</v>
      </c>
      <c r="AS1935" s="28" t="s">
        <v>1223</v>
      </c>
      <c r="AT1935" s="28" t="s">
        <v>200</v>
      </c>
      <c r="AU1935" s="28" t="s">
        <v>36619</v>
      </c>
      <c r="AV1935" s="28" t="s">
        <v>162</v>
      </c>
      <c r="AW1935" s="28" t="s">
        <v>36617</v>
      </c>
      <c r="AX1935" s="28" t="s">
        <v>138</v>
      </c>
      <c r="AY1935" s="28" t="s">
        <v>36620</v>
      </c>
      <c r="AZ1935" s="28" t="s">
        <v>164</v>
      </c>
      <c r="BA1935" s="28" t="s">
        <v>165</v>
      </c>
      <c r="BB1935" s="28" t="s">
        <v>36621</v>
      </c>
      <c r="BC1935" s="28" t="s">
        <v>36622</v>
      </c>
      <c r="BD1935" s="33">
        <v>2</v>
      </c>
      <c r="BE1935" s="28" t="s">
        <v>138</v>
      </c>
      <c r="BF1935" s="28" t="s">
        <v>138</v>
      </c>
      <c r="BG1935" s="28" t="s">
        <v>138</v>
      </c>
      <c r="BH1935" s="28" t="s">
        <v>36623</v>
      </c>
      <c r="BI1935" s="28" t="s">
        <v>138</v>
      </c>
      <c r="BJ1935" s="28" t="s">
        <v>138</v>
      </c>
      <c r="BK1935" s="28" t="s">
        <v>138</v>
      </c>
      <c r="BL1935" s="28" t="s">
        <v>138</v>
      </c>
      <c r="BM1935" s="34" t="s">
        <v>138</v>
      </c>
      <c r="BN1935" s="29" t="s">
        <v>138</v>
      </c>
      <c r="BO1935" s="28" t="s">
        <v>138</v>
      </c>
      <c r="BP1935" s="29" t="s">
        <v>138</v>
      </c>
      <c r="BQ1935" s="28" t="s">
        <v>138</v>
      </c>
      <c r="BR1935" s="28" t="s">
        <v>780</v>
      </c>
      <c r="BS1935" s="28" t="s">
        <v>780</v>
      </c>
      <c r="BT1935" s="28" t="s">
        <v>138</v>
      </c>
      <c r="BU1935" s="28" t="s">
        <v>780</v>
      </c>
      <c r="BV1935" s="28" t="s">
        <v>138</v>
      </c>
      <c r="BW1935" s="28" t="s">
        <v>138</v>
      </c>
      <c r="BX1935" s="28" t="s">
        <v>138</v>
      </c>
      <c r="BY1935" s="28" t="s">
        <v>175</v>
      </c>
      <c r="BZ1935" s="34">
        <v>43250</v>
      </c>
      <c r="CA1935" s="29">
        <v>8.5</v>
      </c>
      <c r="CB1935" s="28" t="s">
        <v>1178</v>
      </c>
      <c r="CC1935" s="29">
        <v>20.5</v>
      </c>
      <c r="CD1935" s="28" t="s">
        <v>172</v>
      </c>
      <c r="CE1935" s="28" t="s">
        <v>205</v>
      </c>
      <c r="CF1935" s="28" t="s">
        <v>206</v>
      </c>
      <c r="CG1935" s="28" t="s">
        <v>138</v>
      </c>
      <c r="CH1935" s="28" t="s">
        <v>174</v>
      </c>
      <c r="CI1935" s="28" t="s">
        <v>138</v>
      </c>
      <c r="CJ1935" s="28" t="s">
        <v>138</v>
      </c>
      <c r="CK1935" s="28" t="s">
        <v>138</v>
      </c>
      <c r="CL1935" s="28" t="s">
        <v>175</v>
      </c>
      <c r="CM1935" s="34" t="s">
        <v>138</v>
      </c>
      <c r="CN1935" s="29" t="s">
        <v>138</v>
      </c>
      <c r="CO1935" s="35">
        <v>0</v>
      </c>
      <c r="CP1935" s="36">
        <v>26</v>
      </c>
      <c r="CQ1935" s="35">
        <v>0</v>
      </c>
      <c r="CR1935" s="35">
        <v>0</v>
      </c>
      <c r="CS1935" s="35">
        <v>0</v>
      </c>
      <c r="CT1935" s="36">
        <v>23</v>
      </c>
      <c r="CU1935" s="35" t="s">
        <v>138</v>
      </c>
      <c r="CV1935" s="36" t="s">
        <v>138</v>
      </c>
      <c r="CW1935" s="35" t="s">
        <v>138</v>
      </c>
      <c r="CX1935" s="36" t="s">
        <v>138</v>
      </c>
      <c r="CY1935" s="35">
        <v>0</v>
      </c>
      <c r="CZ1935" s="36">
        <v>25</v>
      </c>
      <c r="DA1935" s="35" t="s">
        <v>138</v>
      </c>
      <c r="DB1935" s="36" t="s">
        <v>138</v>
      </c>
      <c r="DC1935" s="37">
        <v>0.52</v>
      </c>
      <c r="DD1935" s="36">
        <v>34</v>
      </c>
      <c r="DE1935" s="37">
        <v>0.15</v>
      </c>
      <c r="DF1935" s="35">
        <v>42.14</v>
      </c>
      <c r="DG1935" s="37">
        <v>0.52</v>
      </c>
      <c r="DH1935" s="36">
        <v>35</v>
      </c>
      <c r="DI1935" s="37" t="s">
        <v>138</v>
      </c>
      <c r="DJ1935" s="36" t="s">
        <v>138</v>
      </c>
      <c r="DK1935" s="37" t="s">
        <v>138</v>
      </c>
      <c r="DL1935" s="36" t="s">
        <v>138</v>
      </c>
      <c r="DM1935" s="37">
        <v>0.52</v>
      </c>
      <c r="DN1935" s="36">
        <v>35</v>
      </c>
      <c r="DO1935" s="37" t="s">
        <v>138</v>
      </c>
      <c r="DP1935" s="36" t="s">
        <v>138</v>
      </c>
      <c r="DQ1935" s="36">
        <v>78</v>
      </c>
      <c r="DR1935" s="38">
        <v>-37</v>
      </c>
      <c r="DS1935" s="35">
        <v>-32.17</v>
      </c>
      <c r="DT1935" s="36">
        <v>15</v>
      </c>
      <c r="DU1935" s="38">
        <v>0</v>
      </c>
      <c r="DV1935" s="35">
        <v>0</v>
      </c>
      <c r="DW1935" s="36" t="s">
        <v>138</v>
      </c>
      <c r="DX1935" s="39" t="s">
        <v>138</v>
      </c>
      <c r="DY1935" s="35" t="s">
        <v>138</v>
      </c>
      <c r="DZ1935" s="28" t="s">
        <v>178</v>
      </c>
      <c r="EA1935" s="34">
        <v>43622</v>
      </c>
      <c r="EB1935" s="29">
        <v>20.5</v>
      </c>
      <c r="EC1935" s="34">
        <v>43250</v>
      </c>
      <c r="ED1935" s="28" t="s">
        <v>205</v>
      </c>
      <c r="EE1935" s="40" t="str">
        <f>HYPERLINK("https://my.pitchbook.com?c=229157-83", "View company online")</f>
        <v>View company online</v>
      </c>
    </row>
    <row r="1936" spans="1:135">
      <c r="A1936" s="15" t="s">
        <v>36624</v>
      </c>
      <c r="B1936" s="15" t="s">
        <v>36625</v>
      </c>
      <c r="C1936" s="15" t="s">
        <v>138</v>
      </c>
      <c r="D1936" s="15" t="s">
        <v>138</v>
      </c>
      <c r="E1936" s="15" t="s">
        <v>36626</v>
      </c>
      <c r="F1936" s="15" t="s">
        <v>36624</v>
      </c>
      <c r="G1936" s="15" t="s">
        <v>36627</v>
      </c>
      <c r="H1936" s="15" t="s">
        <v>5219</v>
      </c>
      <c r="I1936" s="15" t="s">
        <v>5220</v>
      </c>
      <c r="J1936" s="15" t="s">
        <v>14334</v>
      </c>
      <c r="K1936" s="15" t="s">
        <v>36628</v>
      </c>
      <c r="L1936" s="15" t="s">
        <v>36629</v>
      </c>
      <c r="M1936" s="15" t="s">
        <v>36630</v>
      </c>
      <c r="N1936" s="15" t="s">
        <v>147</v>
      </c>
      <c r="O1936" s="17">
        <v>86.12</v>
      </c>
      <c r="P1936" s="15" t="s">
        <v>148</v>
      </c>
      <c r="Q1936" s="15" t="s">
        <v>149</v>
      </c>
      <c r="R1936" s="15" t="s">
        <v>1652</v>
      </c>
      <c r="S1936" s="15" t="s">
        <v>36631</v>
      </c>
      <c r="T1936" s="18">
        <v>31</v>
      </c>
      <c r="U1936" s="15" t="s">
        <v>36632</v>
      </c>
      <c r="V1936" s="15" t="s">
        <v>138</v>
      </c>
      <c r="W1936" s="15" t="s">
        <v>138</v>
      </c>
      <c r="X1936" s="19">
        <v>2003</v>
      </c>
      <c r="Y1936" s="15" t="s">
        <v>138</v>
      </c>
      <c r="Z1936" s="15" t="s">
        <v>138</v>
      </c>
      <c r="AA1936" s="15" t="s">
        <v>17305</v>
      </c>
      <c r="AB1936" s="20" t="s">
        <v>138</v>
      </c>
      <c r="AC1936" s="20" t="s">
        <v>138</v>
      </c>
      <c r="AD1936" s="20" t="s">
        <v>138</v>
      </c>
      <c r="AE1936" s="20" t="s">
        <v>138</v>
      </c>
      <c r="AF1936" s="20" t="s">
        <v>138</v>
      </c>
      <c r="AG1936" s="15" t="s">
        <v>138</v>
      </c>
      <c r="AH1936" s="20" t="s">
        <v>138</v>
      </c>
      <c r="AI1936" s="20" t="s">
        <v>138</v>
      </c>
      <c r="AJ1936" s="20" t="s">
        <v>138</v>
      </c>
      <c r="AK1936" s="15" t="s">
        <v>36633</v>
      </c>
      <c r="AL1936" s="15" t="s">
        <v>36634</v>
      </c>
      <c r="AM1936" s="15" t="s">
        <v>7706</v>
      </c>
      <c r="AN1936" s="15" t="s">
        <v>36635</v>
      </c>
      <c r="AO1936" s="15" t="s">
        <v>36636</v>
      </c>
      <c r="AP1936" s="15" t="s">
        <v>8835</v>
      </c>
      <c r="AQ1936" s="15" t="s">
        <v>36637</v>
      </c>
      <c r="AR1936" s="15" t="s">
        <v>138</v>
      </c>
      <c r="AS1936" s="15" t="s">
        <v>8837</v>
      </c>
      <c r="AT1936" s="15" t="s">
        <v>864</v>
      </c>
      <c r="AU1936" s="15" t="s">
        <v>8838</v>
      </c>
      <c r="AV1936" s="15" t="s">
        <v>162</v>
      </c>
      <c r="AW1936" s="15" t="s">
        <v>36636</v>
      </c>
      <c r="AX1936" s="15" t="s">
        <v>138</v>
      </c>
      <c r="AY1936" s="15" t="s">
        <v>138</v>
      </c>
      <c r="AZ1936" s="15" t="s">
        <v>164</v>
      </c>
      <c r="BA1936" s="15" t="s">
        <v>165</v>
      </c>
      <c r="BB1936" s="15" t="s">
        <v>36638</v>
      </c>
      <c r="BC1936" s="15" t="s">
        <v>36639</v>
      </c>
      <c r="BD1936" s="21">
        <v>30</v>
      </c>
      <c r="BE1936" s="15" t="s">
        <v>138</v>
      </c>
      <c r="BF1936" s="15" t="s">
        <v>138</v>
      </c>
      <c r="BG1936" s="15" t="s">
        <v>138</v>
      </c>
      <c r="BH1936" s="15" t="s">
        <v>36640</v>
      </c>
      <c r="BI1936" s="15" t="s">
        <v>138</v>
      </c>
      <c r="BJ1936" s="15" t="s">
        <v>138</v>
      </c>
      <c r="BK1936" s="15" t="s">
        <v>36641</v>
      </c>
      <c r="BL1936" s="15" t="s">
        <v>36642</v>
      </c>
      <c r="BM1936" s="22" t="s">
        <v>138</v>
      </c>
      <c r="BN1936" s="17" t="s">
        <v>138</v>
      </c>
      <c r="BO1936" s="15" t="s">
        <v>138</v>
      </c>
      <c r="BP1936" s="17" t="s">
        <v>138</v>
      </c>
      <c r="BQ1936" s="15" t="s">
        <v>138</v>
      </c>
      <c r="BR1936" s="15" t="s">
        <v>316</v>
      </c>
      <c r="BS1936" s="15" t="s">
        <v>138</v>
      </c>
      <c r="BT1936" s="15" t="s">
        <v>138</v>
      </c>
      <c r="BU1936" s="15" t="s">
        <v>177</v>
      </c>
      <c r="BV1936" s="15" t="s">
        <v>138</v>
      </c>
      <c r="BW1936" s="15" t="s">
        <v>138</v>
      </c>
      <c r="BX1936" s="15" t="s">
        <v>138</v>
      </c>
      <c r="BY1936" s="15" t="s">
        <v>175</v>
      </c>
      <c r="BZ1936" s="22">
        <v>43619</v>
      </c>
      <c r="CA1936" s="17">
        <v>4.92</v>
      </c>
      <c r="CB1936" s="15" t="s">
        <v>172</v>
      </c>
      <c r="CC1936" s="17" t="s">
        <v>138</v>
      </c>
      <c r="CD1936" s="15" t="s">
        <v>138</v>
      </c>
      <c r="CE1936" s="15" t="s">
        <v>173</v>
      </c>
      <c r="CF1936" s="15" t="s">
        <v>138</v>
      </c>
      <c r="CG1936" s="15" t="s">
        <v>138</v>
      </c>
      <c r="CH1936" s="15" t="s">
        <v>174</v>
      </c>
      <c r="CI1936" s="15" t="s">
        <v>264</v>
      </c>
      <c r="CJ1936" s="15" t="s">
        <v>138</v>
      </c>
      <c r="CK1936" s="15" t="s">
        <v>138</v>
      </c>
      <c r="CL1936" s="15" t="s">
        <v>175</v>
      </c>
      <c r="CM1936" s="22">
        <v>41455</v>
      </c>
      <c r="CN1936" s="17">
        <v>2</v>
      </c>
      <c r="CO1936" s="23">
        <v>-0.88</v>
      </c>
      <c r="CP1936" s="24">
        <v>12</v>
      </c>
      <c r="CQ1936" s="23">
        <v>0.04</v>
      </c>
      <c r="CR1936" s="23">
        <v>4.07</v>
      </c>
      <c r="CS1936" s="23">
        <v>-1.75</v>
      </c>
      <c r="CT1936" s="24">
        <v>10</v>
      </c>
      <c r="CU1936" s="23">
        <v>-0.01</v>
      </c>
      <c r="CV1936" s="24">
        <v>20</v>
      </c>
      <c r="CW1936" s="23" t="s">
        <v>138</v>
      </c>
      <c r="CX1936" s="24" t="s">
        <v>138</v>
      </c>
      <c r="CY1936" s="23">
        <v>-1.75</v>
      </c>
      <c r="CZ1936" s="24">
        <v>13</v>
      </c>
      <c r="DA1936" s="23" t="s">
        <v>138</v>
      </c>
      <c r="DB1936" s="24" t="s">
        <v>138</v>
      </c>
      <c r="DC1936" s="25">
        <v>4.83</v>
      </c>
      <c r="DD1936" s="24">
        <v>82</v>
      </c>
      <c r="DE1936" s="25">
        <v>-0.02</v>
      </c>
      <c r="DF1936" s="23">
        <v>-0.41</v>
      </c>
      <c r="DG1936" s="25">
        <v>4.97</v>
      </c>
      <c r="DH1936" s="24">
        <v>82</v>
      </c>
      <c r="DI1936" s="25">
        <v>4.7</v>
      </c>
      <c r="DJ1936" s="24">
        <v>76</v>
      </c>
      <c r="DK1936" s="25" t="s">
        <v>138</v>
      </c>
      <c r="DL1936" s="24" t="s">
        <v>138</v>
      </c>
      <c r="DM1936" s="25">
        <v>4.97</v>
      </c>
      <c r="DN1936" s="24">
        <v>81</v>
      </c>
      <c r="DO1936" s="25" t="s">
        <v>138</v>
      </c>
      <c r="DP1936" s="24" t="s">
        <v>138</v>
      </c>
      <c r="DQ1936" s="24">
        <v>287</v>
      </c>
      <c r="DR1936" s="26">
        <v>16</v>
      </c>
      <c r="DS1936" s="23">
        <v>5.9</v>
      </c>
      <c r="DT1936" s="24">
        <v>144</v>
      </c>
      <c r="DU1936" s="26">
        <v>0</v>
      </c>
      <c r="DV1936" s="23">
        <v>0</v>
      </c>
      <c r="DW1936" s="24" t="s">
        <v>138</v>
      </c>
      <c r="DX1936" s="27" t="s">
        <v>138</v>
      </c>
      <c r="DY1936" s="23" t="s">
        <v>138</v>
      </c>
      <c r="DZ1936" s="15" t="s">
        <v>178</v>
      </c>
      <c r="EA1936" s="22">
        <v>43619</v>
      </c>
      <c r="EB1936" s="17">
        <v>78.209999999999994</v>
      </c>
      <c r="EC1936" s="22">
        <v>42621</v>
      </c>
      <c r="ED1936" s="15" t="s">
        <v>173</v>
      </c>
      <c r="EE1936" s="14" t="str">
        <f>HYPERLINK("https://my.pitchbook.com?c=52811-92", "View company online")</f>
        <v>View company online</v>
      </c>
    </row>
    <row r="1937" spans="1:135">
      <c r="A1937" s="28" t="s">
        <v>36643</v>
      </c>
      <c r="B1937" s="28" t="s">
        <v>36644</v>
      </c>
      <c r="C1937" s="28" t="s">
        <v>138</v>
      </c>
      <c r="D1937" s="28" t="s">
        <v>138</v>
      </c>
      <c r="E1937" s="28" t="s">
        <v>138</v>
      </c>
      <c r="F1937" s="28" t="s">
        <v>36643</v>
      </c>
      <c r="G1937" s="28" t="s">
        <v>36645</v>
      </c>
      <c r="H1937" s="28" t="s">
        <v>5219</v>
      </c>
      <c r="I1937" s="28" t="s">
        <v>18473</v>
      </c>
      <c r="J1937" s="28" t="s">
        <v>36646</v>
      </c>
      <c r="K1937" s="28" t="s">
        <v>36647</v>
      </c>
      <c r="L1937" s="28" t="s">
        <v>36629</v>
      </c>
      <c r="M1937" s="28" t="s">
        <v>36648</v>
      </c>
      <c r="N1937" s="28" t="s">
        <v>147</v>
      </c>
      <c r="O1937" s="29">
        <v>41.4</v>
      </c>
      <c r="P1937" s="28" t="s">
        <v>148</v>
      </c>
      <c r="Q1937" s="28" t="s">
        <v>149</v>
      </c>
      <c r="R1937" s="28" t="s">
        <v>174</v>
      </c>
      <c r="S1937" s="28" t="s">
        <v>36649</v>
      </c>
      <c r="T1937" s="30">
        <v>55</v>
      </c>
      <c r="U1937" s="28" t="s">
        <v>36650</v>
      </c>
      <c r="V1937" s="28" t="s">
        <v>138</v>
      </c>
      <c r="W1937" s="28" t="s">
        <v>138</v>
      </c>
      <c r="X1937" s="31">
        <v>2015</v>
      </c>
      <c r="Y1937" s="28" t="s">
        <v>138</v>
      </c>
      <c r="Z1937" s="28" t="s">
        <v>138</v>
      </c>
      <c r="AA1937" s="28" t="s">
        <v>138</v>
      </c>
      <c r="AB1937" s="32">
        <v>0.02</v>
      </c>
      <c r="AC1937" s="32" t="s">
        <v>138</v>
      </c>
      <c r="AD1937" s="32">
        <v>-3.45</v>
      </c>
      <c r="AE1937" s="32" t="s">
        <v>138</v>
      </c>
      <c r="AF1937" s="32" t="s">
        <v>138</v>
      </c>
      <c r="AG1937" s="28" t="s">
        <v>419</v>
      </c>
      <c r="AH1937" s="32" t="s">
        <v>138</v>
      </c>
      <c r="AI1937" s="32" t="s">
        <v>138</v>
      </c>
      <c r="AJ1937" s="32" t="s">
        <v>138</v>
      </c>
      <c r="AK1937" s="28" t="s">
        <v>36651</v>
      </c>
      <c r="AL1937" s="28" t="s">
        <v>36652</v>
      </c>
      <c r="AM1937" s="28" t="s">
        <v>304</v>
      </c>
      <c r="AN1937" s="28" t="s">
        <v>36653</v>
      </c>
      <c r="AO1937" s="28" t="s">
        <v>36654</v>
      </c>
      <c r="AP1937" s="28" t="s">
        <v>2692</v>
      </c>
      <c r="AQ1937" s="28" t="s">
        <v>36655</v>
      </c>
      <c r="AR1937" s="28" t="s">
        <v>138</v>
      </c>
      <c r="AS1937" s="28" t="s">
        <v>2694</v>
      </c>
      <c r="AT1937" s="28" t="s">
        <v>138</v>
      </c>
      <c r="AU1937" s="28" t="s">
        <v>138</v>
      </c>
      <c r="AV1937" s="28" t="s">
        <v>1054</v>
      </c>
      <c r="AW1937" s="28" t="s">
        <v>36654</v>
      </c>
      <c r="AX1937" s="28" t="s">
        <v>138</v>
      </c>
      <c r="AY1937" s="28" t="s">
        <v>36656</v>
      </c>
      <c r="AZ1937" s="28" t="s">
        <v>530</v>
      </c>
      <c r="BA1937" s="28" t="s">
        <v>531</v>
      </c>
      <c r="BB1937" s="28" t="s">
        <v>36657</v>
      </c>
      <c r="BC1937" s="28" t="s">
        <v>36658</v>
      </c>
      <c r="BD1937" s="33">
        <v>12</v>
      </c>
      <c r="BE1937" s="28" t="s">
        <v>138</v>
      </c>
      <c r="BF1937" s="28" t="s">
        <v>138</v>
      </c>
      <c r="BG1937" s="28" t="s">
        <v>138</v>
      </c>
      <c r="BH1937" s="28" t="s">
        <v>36659</v>
      </c>
      <c r="BI1937" s="28" t="s">
        <v>138</v>
      </c>
      <c r="BJ1937" s="28" t="s">
        <v>138</v>
      </c>
      <c r="BK1937" s="28" t="s">
        <v>10401</v>
      </c>
      <c r="BL1937" s="28" t="s">
        <v>10401</v>
      </c>
      <c r="BM1937" s="34">
        <v>42135</v>
      </c>
      <c r="BN1937" s="29" t="s">
        <v>138</v>
      </c>
      <c r="BO1937" s="28" t="s">
        <v>138</v>
      </c>
      <c r="BP1937" s="29" t="s">
        <v>138</v>
      </c>
      <c r="BQ1937" s="28" t="s">
        <v>138</v>
      </c>
      <c r="BR1937" s="28" t="s">
        <v>316</v>
      </c>
      <c r="BS1937" s="28" t="s">
        <v>138</v>
      </c>
      <c r="BT1937" s="28" t="s">
        <v>138</v>
      </c>
      <c r="BU1937" s="28" t="s">
        <v>177</v>
      </c>
      <c r="BV1937" s="28" t="s">
        <v>138</v>
      </c>
      <c r="BW1937" s="28" t="s">
        <v>138</v>
      </c>
      <c r="BX1937" s="28" t="s">
        <v>138</v>
      </c>
      <c r="BY1937" s="28" t="s">
        <v>175</v>
      </c>
      <c r="BZ1937" s="34">
        <v>43438</v>
      </c>
      <c r="CA1937" s="29">
        <v>28</v>
      </c>
      <c r="CB1937" s="28" t="s">
        <v>172</v>
      </c>
      <c r="CC1937" s="29" t="s">
        <v>138</v>
      </c>
      <c r="CD1937" s="28" t="s">
        <v>138</v>
      </c>
      <c r="CE1937" s="28" t="s">
        <v>205</v>
      </c>
      <c r="CF1937" s="28" t="s">
        <v>138</v>
      </c>
      <c r="CG1937" s="28" t="s">
        <v>138</v>
      </c>
      <c r="CH1937" s="28" t="s">
        <v>174</v>
      </c>
      <c r="CI1937" s="28" t="s">
        <v>138</v>
      </c>
      <c r="CJ1937" s="28" t="s">
        <v>138</v>
      </c>
      <c r="CK1937" s="28" t="s">
        <v>138</v>
      </c>
      <c r="CL1937" s="28" t="s">
        <v>175</v>
      </c>
      <c r="CM1937" s="34" t="s">
        <v>138</v>
      </c>
      <c r="CN1937" s="29" t="s">
        <v>138</v>
      </c>
      <c r="CO1937" s="35">
        <v>-0.63</v>
      </c>
      <c r="CP1937" s="36">
        <v>15</v>
      </c>
      <c r="CQ1937" s="35">
        <v>0</v>
      </c>
      <c r="CR1937" s="35">
        <v>-0.09</v>
      </c>
      <c r="CS1937" s="35">
        <v>-1.48</v>
      </c>
      <c r="CT1937" s="36">
        <v>12</v>
      </c>
      <c r="CU1937" s="35">
        <v>0.22</v>
      </c>
      <c r="CV1937" s="36">
        <v>82</v>
      </c>
      <c r="CW1937" s="35" t="s">
        <v>138</v>
      </c>
      <c r="CX1937" s="36" t="s">
        <v>138</v>
      </c>
      <c r="CY1937" s="35">
        <v>-1.48</v>
      </c>
      <c r="CZ1937" s="36">
        <v>15</v>
      </c>
      <c r="DA1937" s="35">
        <v>0.33</v>
      </c>
      <c r="DB1937" s="36">
        <v>90</v>
      </c>
      <c r="DC1937" s="37">
        <v>9.9600000000000009</v>
      </c>
      <c r="DD1937" s="36">
        <v>90</v>
      </c>
      <c r="DE1937" s="37">
        <v>0.01</v>
      </c>
      <c r="DF1937" s="35">
        <v>0.1</v>
      </c>
      <c r="DG1937" s="37">
        <v>4.8600000000000003</v>
      </c>
      <c r="DH1937" s="36">
        <v>82</v>
      </c>
      <c r="DI1937" s="37">
        <v>15.06</v>
      </c>
      <c r="DJ1937" s="36">
        <v>89</v>
      </c>
      <c r="DK1937" s="37" t="s">
        <v>138</v>
      </c>
      <c r="DL1937" s="36" t="s">
        <v>138</v>
      </c>
      <c r="DM1937" s="37">
        <v>4.8600000000000003</v>
      </c>
      <c r="DN1937" s="36">
        <v>81</v>
      </c>
      <c r="DO1937" s="37">
        <v>13.15</v>
      </c>
      <c r="DP1937" s="36">
        <v>90</v>
      </c>
      <c r="DQ1937" s="36" t="s">
        <v>138</v>
      </c>
      <c r="DR1937" s="38" t="s">
        <v>138</v>
      </c>
      <c r="DS1937" s="35" t="s">
        <v>138</v>
      </c>
      <c r="DT1937" s="36">
        <v>141</v>
      </c>
      <c r="DU1937" s="38">
        <v>-1</v>
      </c>
      <c r="DV1937" s="35">
        <v>-0.7</v>
      </c>
      <c r="DW1937" s="36">
        <v>4700</v>
      </c>
      <c r="DX1937" s="39">
        <v>23</v>
      </c>
      <c r="DY1937" s="35">
        <v>0.49</v>
      </c>
      <c r="DZ1937" s="28" t="s">
        <v>178</v>
      </c>
      <c r="EA1937" s="34">
        <v>43607</v>
      </c>
      <c r="EB1937" s="29" t="s">
        <v>138</v>
      </c>
      <c r="EC1937" s="34" t="s">
        <v>138</v>
      </c>
      <c r="ED1937" s="28" t="s">
        <v>138</v>
      </c>
      <c r="EE1937" s="40" t="str">
        <f>HYPERLINK("https://my.pitchbook.com?c=154990-45", "View company online")</f>
        <v>View company online</v>
      </c>
    </row>
    <row r="1938" spans="1:135">
      <c r="A1938" s="15" t="s">
        <v>36660</v>
      </c>
      <c r="B1938" s="15" t="s">
        <v>36661</v>
      </c>
      <c r="C1938" s="15" t="s">
        <v>36662</v>
      </c>
      <c r="D1938" s="15" t="s">
        <v>138</v>
      </c>
      <c r="E1938" s="15" t="s">
        <v>36663</v>
      </c>
      <c r="F1938" s="15" t="s">
        <v>36660</v>
      </c>
      <c r="G1938" s="15" t="s">
        <v>36664</v>
      </c>
      <c r="H1938" s="15" t="s">
        <v>385</v>
      </c>
      <c r="I1938" s="15" t="s">
        <v>1448</v>
      </c>
      <c r="J1938" s="15" t="s">
        <v>4108</v>
      </c>
      <c r="K1938" s="15" t="s">
        <v>36665</v>
      </c>
      <c r="L1938" s="15" t="s">
        <v>2485</v>
      </c>
      <c r="M1938" s="15" t="s">
        <v>36666</v>
      </c>
      <c r="N1938" s="15" t="s">
        <v>147</v>
      </c>
      <c r="O1938" s="17">
        <v>85.6</v>
      </c>
      <c r="P1938" s="15" t="s">
        <v>148</v>
      </c>
      <c r="Q1938" s="15" t="s">
        <v>149</v>
      </c>
      <c r="R1938" s="15" t="s">
        <v>244</v>
      </c>
      <c r="S1938" s="15" t="s">
        <v>36667</v>
      </c>
      <c r="T1938" s="18">
        <v>30</v>
      </c>
      <c r="U1938" s="15" t="s">
        <v>36668</v>
      </c>
      <c r="V1938" s="15" t="s">
        <v>138</v>
      </c>
      <c r="W1938" s="15" t="s">
        <v>138</v>
      </c>
      <c r="X1938" s="19">
        <v>2004</v>
      </c>
      <c r="Y1938" s="15" t="s">
        <v>138</v>
      </c>
      <c r="Z1938" s="15" t="s">
        <v>138</v>
      </c>
      <c r="AA1938" s="15" t="s">
        <v>138</v>
      </c>
      <c r="AB1938" s="20">
        <v>25</v>
      </c>
      <c r="AC1938" s="20" t="s">
        <v>138</v>
      </c>
      <c r="AD1938" s="20" t="s">
        <v>138</v>
      </c>
      <c r="AE1938" s="20" t="s">
        <v>138</v>
      </c>
      <c r="AF1938" s="20" t="s">
        <v>138</v>
      </c>
      <c r="AG1938" s="15" t="s">
        <v>2900</v>
      </c>
      <c r="AH1938" s="20" t="s">
        <v>138</v>
      </c>
      <c r="AI1938" s="20" t="s">
        <v>138</v>
      </c>
      <c r="AJ1938" s="20" t="s">
        <v>138</v>
      </c>
      <c r="AK1938" s="15" t="s">
        <v>36669</v>
      </c>
      <c r="AL1938" s="15" t="s">
        <v>36670</v>
      </c>
      <c r="AM1938" s="15" t="s">
        <v>4767</v>
      </c>
      <c r="AN1938" s="15" t="s">
        <v>138</v>
      </c>
      <c r="AO1938" s="15" t="s">
        <v>36671</v>
      </c>
      <c r="AP1938" s="15" t="s">
        <v>36672</v>
      </c>
      <c r="AQ1938" s="15" t="s">
        <v>36673</v>
      </c>
      <c r="AR1938" s="15" t="s">
        <v>138</v>
      </c>
      <c r="AS1938" s="15" t="s">
        <v>36674</v>
      </c>
      <c r="AT1938" s="15" t="s">
        <v>2031</v>
      </c>
      <c r="AU1938" s="15" t="s">
        <v>36675</v>
      </c>
      <c r="AV1938" s="15" t="s">
        <v>162</v>
      </c>
      <c r="AW1938" s="15" t="s">
        <v>36671</v>
      </c>
      <c r="AX1938" s="15" t="s">
        <v>36676</v>
      </c>
      <c r="AY1938" s="15" t="s">
        <v>36677</v>
      </c>
      <c r="AZ1938" s="15" t="s">
        <v>164</v>
      </c>
      <c r="BA1938" s="15" t="s">
        <v>165</v>
      </c>
      <c r="BB1938" s="15" t="s">
        <v>36678</v>
      </c>
      <c r="BC1938" s="15" t="s">
        <v>36679</v>
      </c>
      <c r="BD1938" s="21">
        <v>14</v>
      </c>
      <c r="BE1938" s="15" t="s">
        <v>138</v>
      </c>
      <c r="BF1938" s="15" t="s">
        <v>138</v>
      </c>
      <c r="BG1938" s="15" t="s">
        <v>138</v>
      </c>
      <c r="BH1938" s="15" t="s">
        <v>36680</v>
      </c>
      <c r="BI1938" s="15" t="s">
        <v>138</v>
      </c>
      <c r="BJ1938" s="15" t="s">
        <v>138</v>
      </c>
      <c r="BK1938" s="15" t="s">
        <v>36681</v>
      </c>
      <c r="BL1938" s="15" t="s">
        <v>36682</v>
      </c>
      <c r="BM1938" s="22" t="s">
        <v>138</v>
      </c>
      <c r="BN1938" s="17" t="s">
        <v>138</v>
      </c>
      <c r="BO1938" s="15" t="s">
        <v>138</v>
      </c>
      <c r="BP1938" s="17" t="s">
        <v>138</v>
      </c>
      <c r="BQ1938" s="15" t="s">
        <v>138</v>
      </c>
      <c r="BR1938" s="15" t="s">
        <v>316</v>
      </c>
      <c r="BS1938" s="15" t="s">
        <v>138</v>
      </c>
      <c r="BT1938" s="15" t="s">
        <v>138</v>
      </c>
      <c r="BU1938" s="15" t="s">
        <v>177</v>
      </c>
      <c r="BV1938" s="15" t="s">
        <v>138</v>
      </c>
      <c r="BW1938" s="15" t="s">
        <v>138</v>
      </c>
      <c r="BX1938" s="15" t="s">
        <v>138</v>
      </c>
      <c r="BY1938" s="15" t="s">
        <v>175</v>
      </c>
      <c r="BZ1938" s="22">
        <v>43040</v>
      </c>
      <c r="CA1938" s="17">
        <v>3.05</v>
      </c>
      <c r="CB1938" s="15" t="s">
        <v>172</v>
      </c>
      <c r="CC1938" s="17" t="s">
        <v>138</v>
      </c>
      <c r="CD1938" s="15" t="s">
        <v>138</v>
      </c>
      <c r="CE1938" s="15" t="s">
        <v>176</v>
      </c>
      <c r="CF1938" s="15" t="s">
        <v>138</v>
      </c>
      <c r="CG1938" s="15" t="s">
        <v>138</v>
      </c>
      <c r="CH1938" s="15" t="s">
        <v>177</v>
      </c>
      <c r="CI1938" s="15" t="s">
        <v>138</v>
      </c>
      <c r="CJ1938" s="15" t="s">
        <v>138</v>
      </c>
      <c r="CK1938" s="15" t="s">
        <v>138</v>
      </c>
      <c r="CL1938" s="15" t="s">
        <v>175</v>
      </c>
      <c r="CM1938" s="22">
        <v>41548</v>
      </c>
      <c r="CN1938" s="17">
        <v>10</v>
      </c>
      <c r="CO1938" s="23">
        <v>0.18</v>
      </c>
      <c r="CP1938" s="24">
        <v>92</v>
      </c>
      <c r="CQ1938" s="23">
        <v>0.14000000000000001</v>
      </c>
      <c r="CR1938" s="23">
        <v>413.8</v>
      </c>
      <c r="CS1938" s="23">
        <v>-0.33</v>
      </c>
      <c r="CT1938" s="24">
        <v>21</v>
      </c>
      <c r="CU1938" s="23">
        <v>0.69</v>
      </c>
      <c r="CV1938" s="24">
        <v>96</v>
      </c>
      <c r="CW1938" s="23">
        <v>0</v>
      </c>
      <c r="CX1938" s="24">
        <v>13</v>
      </c>
      <c r="CY1938" s="23">
        <v>-0.67</v>
      </c>
      <c r="CZ1938" s="24">
        <v>21</v>
      </c>
      <c r="DA1938" s="23">
        <v>1.17</v>
      </c>
      <c r="DB1938" s="24">
        <v>99</v>
      </c>
      <c r="DC1938" s="25">
        <v>4.55</v>
      </c>
      <c r="DD1938" s="24">
        <v>81</v>
      </c>
      <c r="DE1938" s="25">
        <v>-0.05</v>
      </c>
      <c r="DF1938" s="23">
        <v>-0.99</v>
      </c>
      <c r="DG1938" s="25">
        <v>7.57</v>
      </c>
      <c r="DH1938" s="24">
        <v>87</v>
      </c>
      <c r="DI1938" s="25">
        <v>1.53</v>
      </c>
      <c r="DJ1938" s="24">
        <v>57</v>
      </c>
      <c r="DK1938" s="25">
        <v>2.72</v>
      </c>
      <c r="DL1938" s="24">
        <v>70</v>
      </c>
      <c r="DM1938" s="25">
        <v>12.41</v>
      </c>
      <c r="DN1938" s="24">
        <v>91</v>
      </c>
      <c r="DO1938" s="25">
        <v>2.04</v>
      </c>
      <c r="DP1938" s="24">
        <v>64</v>
      </c>
      <c r="DQ1938" s="24">
        <v>910</v>
      </c>
      <c r="DR1938" s="26">
        <v>63</v>
      </c>
      <c r="DS1938" s="23">
        <v>7.44</v>
      </c>
      <c r="DT1938" s="24">
        <v>359</v>
      </c>
      <c r="DU1938" s="26">
        <v>4</v>
      </c>
      <c r="DV1938" s="23">
        <v>1.1299999999999999</v>
      </c>
      <c r="DW1938" s="24">
        <v>723</v>
      </c>
      <c r="DX1938" s="27">
        <v>28</v>
      </c>
      <c r="DY1938" s="23">
        <v>4.03</v>
      </c>
      <c r="DZ1938" s="15" t="s">
        <v>178</v>
      </c>
      <c r="EA1938" s="22">
        <v>43622</v>
      </c>
      <c r="EB1938" s="17">
        <v>212.95</v>
      </c>
      <c r="EC1938" s="22">
        <v>41184</v>
      </c>
      <c r="ED1938" s="15" t="s">
        <v>173</v>
      </c>
      <c r="EE1938" s="14" t="str">
        <f>HYPERLINK("https://my.pitchbook.com?c=42954-31", "View company online")</f>
        <v>View company online</v>
      </c>
    </row>
    <row r="1939" spans="1:135">
      <c r="A1939" s="28" t="s">
        <v>36683</v>
      </c>
      <c r="B1939" s="28" t="s">
        <v>36684</v>
      </c>
      <c r="C1939" s="28" t="s">
        <v>138</v>
      </c>
      <c r="D1939" s="28" t="s">
        <v>138</v>
      </c>
      <c r="E1939" s="28" t="s">
        <v>138</v>
      </c>
      <c r="F1939" s="28" t="s">
        <v>36683</v>
      </c>
      <c r="G1939" s="28" t="s">
        <v>36685</v>
      </c>
      <c r="H1939" s="28" t="s">
        <v>322</v>
      </c>
      <c r="I1939" s="28" t="s">
        <v>356</v>
      </c>
      <c r="J1939" s="28" t="s">
        <v>1901</v>
      </c>
      <c r="K1939" s="28" t="s">
        <v>3622</v>
      </c>
      <c r="L1939" s="28" t="s">
        <v>415</v>
      </c>
      <c r="M1939" s="28" t="s">
        <v>36686</v>
      </c>
      <c r="N1939" s="28" t="s">
        <v>2063</v>
      </c>
      <c r="O1939" s="29">
        <v>47</v>
      </c>
      <c r="P1939" s="28" t="s">
        <v>15478</v>
      </c>
      <c r="Q1939" s="28" t="s">
        <v>149</v>
      </c>
      <c r="R1939" s="28" t="s">
        <v>328</v>
      </c>
      <c r="S1939" s="28" t="s">
        <v>138</v>
      </c>
      <c r="T1939" s="30" t="s">
        <v>138</v>
      </c>
      <c r="U1939" s="28" t="s">
        <v>138</v>
      </c>
      <c r="V1939" s="28" t="s">
        <v>138</v>
      </c>
      <c r="W1939" s="28" t="s">
        <v>138</v>
      </c>
      <c r="X1939" s="31">
        <v>1998</v>
      </c>
      <c r="Y1939" s="28" t="s">
        <v>138</v>
      </c>
      <c r="Z1939" s="28" t="s">
        <v>138</v>
      </c>
      <c r="AA1939" s="28" t="s">
        <v>138</v>
      </c>
      <c r="AB1939" s="32" t="s">
        <v>138</v>
      </c>
      <c r="AC1939" s="32" t="s">
        <v>138</v>
      </c>
      <c r="AD1939" s="32" t="s">
        <v>138</v>
      </c>
      <c r="AE1939" s="32" t="s">
        <v>138</v>
      </c>
      <c r="AF1939" s="32" t="s">
        <v>138</v>
      </c>
      <c r="AG1939" s="28" t="s">
        <v>138</v>
      </c>
      <c r="AH1939" s="32" t="s">
        <v>138</v>
      </c>
      <c r="AI1939" s="32" t="s">
        <v>138</v>
      </c>
      <c r="AJ1939" s="32" t="s">
        <v>138</v>
      </c>
      <c r="AK1939" s="28" t="s">
        <v>138</v>
      </c>
      <c r="AL1939" s="28" t="s">
        <v>138</v>
      </c>
      <c r="AM1939" s="28" t="s">
        <v>138</v>
      </c>
      <c r="AN1939" s="28" t="s">
        <v>138</v>
      </c>
      <c r="AO1939" s="28" t="s">
        <v>138</v>
      </c>
      <c r="AP1939" s="28" t="s">
        <v>639</v>
      </c>
      <c r="AQ1939" s="28" t="s">
        <v>138</v>
      </c>
      <c r="AR1939" s="28" t="s">
        <v>138</v>
      </c>
      <c r="AS1939" s="28" t="s">
        <v>642</v>
      </c>
      <c r="AT1939" s="28" t="s">
        <v>474</v>
      </c>
      <c r="AU1939" s="28" t="s">
        <v>138</v>
      </c>
      <c r="AV1939" s="28" t="s">
        <v>162</v>
      </c>
      <c r="AW1939" s="28" t="s">
        <v>36687</v>
      </c>
      <c r="AX1939" s="28" t="s">
        <v>138</v>
      </c>
      <c r="AY1939" s="28" t="s">
        <v>138</v>
      </c>
      <c r="AZ1939" s="28" t="s">
        <v>164</v>
      </c>
      <c r="BA1939" s="28" t="s">
        <v>165</v>
      </c>
      <c r="BB1939" s="28" t="s">
        <v>36688</v>
      </c>
      <c r="BC1939" s="28" t="s">
        <v>138</v>
      </c>
      <c r="BD1939" s="33" t="s">
        <v>138</v>
      </c>
      <c r="BE1939" s="28" t="s">
        <v>138</v>
      </c>
      <c r="BF1939" s="28" t="s">
        <v>36689</v>
      </c>
      <c r="BG1939" s="28" t="s">
        <v>138</v>
      </c>
      <c r="BH1939" s="28" t="s">
        <v>138</v>
      </c>
      <c r="BI1939" s="28" t="s">
        <v>36690</v>
      </c>
      <c r="BJ1939" s="28" t="s">
        <v>138</v>
      </c>
      <c r="BK1939" s="28" t="s">
        <v>138</v>
      </c>
      <c r="BL1939" s="28" t="s">
        <v>138</v>
      </c>
      <c r="BM1939" s="34">
        <v>36161</v>
      </c>
      <c r="BN1939" s="29">
        <v>47</v>
      </c>
      <c r="BO1939" s="28" t="s">
        <v>172</v>
      </c>
      <c r="BP1939" s="29" t="s">
        <v>138</v>
      </c>
      <c r="BQ1939" s="28" t="s">
        <v>138</v>
      </c>
      <c r="BR1939" s="28" t="s">
        <v>1673</v>
      </c>
      <c r="BS1939" s="28" t="s">
        <v>138</v>
      </c>
      <c r="BT1939" s="28" t="s">
        <v>138</v>
      </c>
      <c r="BU1939" s="28" t="s">
        <v>351</v>
      </c>
      <c r="BV1939" s="28" t="s">
        <v>138</v>
      </c>
      <c r="BW1939" s="28" t="s">
        <v>138</v>
      </c>
      <c r="BX1939" s="28" t="s">
        <v>138</v>
      </c>
      <c r="BY1939" s="28" t="s">
        <v>175</v>
      </c>
      <c r="BZ1939" s="34">
        <v>36892</v>
      </c>
      <c r="CA1939" s="29" t="s">
        <v>138</v>
      </c>
      <c r="CB1939" s="28" t="s">
        <v>138</v>
      </c>
      <c r="CC1939" s="29" t="s">
        <v>138</v>
      </c>
      <c r="CD1939" s="28" t="s">
        <v>138</v>
      </c>
      <c r="CE1939" s="28" t="s">
        <v>15478</v>
      </c>
      <c r="CF1939" s="28" t="s">
        <v>138</v>
      </c>
      <c r="CG1939" s="28" t="s">
        <v>138</v>
      </c>
      <c r="CH1939" s="28" t="s">
        <v>1230</v>
      </c>
      <c r="CI1939" s="28" t="s">
        <v>138</v>
      </c>
      <c r="CJ1939" s="28" t="s">
        <v>138</v>
      </c>
      <c r="CK1939" s="28" t="s">
        <v>138</v>
      </c>
      <c r="CL1939" s="28" t="s">
        <v>175</v>
      </c>
      <c r="CM1939" s="34" t="s">
        <v>138</v>
      </c>
      <c r="CN1939" s="29" t="s">
        <v>138</v>
      </c>
      <c r="CO1939" s="35" t="s">
        <v>138</v>
      </c>
      <c r="CP1939" s="36" t="s">
        <v>138</v>
      </c>
      <c r="CQ1939" s="35" t="s">
        <v>138</v>
      </c>
      <c r="CR1939" s="35" t="s">
        <v>138</v>
      </c>
      <c r="CS1939" s="35" t="s">
        <v>138</v>
      </c>
      <c r="CT1939" s="36" t="s">
        <v>138</v>
      </c>
      <c r="CU1939" s="35" t="s">
        <v>138</v>
      </c>
      <c r="CV1939" s="36" t="s">
        <v>138</v>
      </c>
      <c r="CW1939" s="35" t="s">
        <v>138</v>
      </c>
      <c r="CX1939" s="36" t="s">
        <v>138</v>
      </c>
      <c r="CY1939" s="35" t="s">
        <v>138</v>
      </c>
      <c r="CZ1939" s="36" t="s">
        <v>138</v>
      </c>
      <c r="DA1939" s="35" t="s">
        <v>138</v>
      </c>
      <c r="DB1939" s="36" t="s">
        <v>138</v>
      </c>
      <c r="DC1939" s="37" t="s">
        <v>138</v>
      </c>
      <c r="DD1939" s="36" t="s">
        <v>138</v>
      </c>
      <c r="DE1939" s="37" t="s">
        <v>138</v>
      </c>
      <c r="DF1939" s="35" t="s">
        <v>138</v>
      </c>
      <c r="DG1939" s="37" t="s">
        <v>138</v>
      </c>
      <c r="DH1939" s="36" t="s">
        <v>138</v>
      </c>
      <c r="DI1939" s="37" t="s">
        <v>138</v>
      </c>
      <c r="DJ1939" s="36" t="s">
        <v>138</v>
      </c>
      <c r="DK1939" s="37" t="s">
        <v>138</v>
      </c>
      <c r="DL1939" s="36" t="s">
        <v>138</v>
      </c>
      <c r="DM1939" s="37" t="s">
        <v>138</v>
      </c>
      <c r="DN1939" s="36" t="s">
        <v>138</v>
      </c>
      <c r="DO1939" s="37" t="s">
        <v>138</v>
      </c>
      <c r="DP1939" s="36" t="s">
        <v>138</v>
      </c>
      <c r="DQ1939" s="36" t="s">
        <v>138</v>
      </c>
      <c r="DR1939" s="38" t="s">
        <v>138</v>
      </c>
      <c r="DS1939" s="35" t="s">
        <v>138</v>
      </c>
      <c r="DT1939" s="36" t="s">
        <v>138</v>
      </c>
      <c r="DU1939" s="38" t="s">
        <v>138</v>
      </c>
      <c r="DV1939" s="35" t="s">
        <v>138</v>
      </c>
      <c r="DW1939" s="36" t="s">
        <v>138</v>
      </c>
      <c r="DX1939" s="39" t="s">
        <v>138</v>
      </c>
      <c r="DY1939" s="35" t="s">
        <v>138</v>
      </c>
      <c r="DZ1939" s="28" t="s">
        <v>178</v>
      </c>
      <c r="EA1939" s="34">
        <v>43406</v>
      </c>
      <c r="EB1939" s="29" t="s">
        <v>138</v>
      </c>
      <c r="EC1939" s="34" t="s">
        <v>138</v>
      </c>
      <c r="ED1939" s="28" t="s">
        <v>138</v>
      </c>
      <c r="EE1939" s="40" t="str">
        <f>HYPERLINK("https://my.pitchbook.com?c=12800-35", "View company online")</f>
        <v>View company online</v>
      </c>
    </row>
    <row r="1940" spans="1:135">
      <c r="A1940" s="15" t="s">
        <v>36691</v>
      </c>
      <c r="B1940" s="15" t="s">
        <v>36692</v>
      </c>
      <c r="C1940" s="15" t="s">
        <v>138</v>
      </c>
      <c r="D1940" s="15" t="s">
        <v>36693</v>
      </c>
      <c r="E1940" s="15" t="s">
        <v>138</v>
      </c>
      <c r="F1940" s="15" t="s">
        <v>36691</v>
      </c>
      <c r="G1940" s="15" t="s">
        <v>36694</v>
      </c>
      <c r="H1940" s="15" t="s">
        <v>322</v>
      </c>
      <c r="I1940" s="15" t="s">
        <v>323</v>
      </c>
      <c r="J1940" s="15" t="s">
        <v>1084</v>
      </c>
      <c r="K1940" s="15" t="s">
        <v>5463</v>
      </c>
      <c r="L1940" s="15" t="s">
        <v>415</v>
      </c>
      <c r="M1940" s="15" t="s">
        <v>36695</v>
      </c>
      <c r="N1940" s="15" t="s">
        <v>1212</v>
      </c>
      <c r="O1940" s="17" t="s">
        <v>138</v>
      </c>
      <c r="P1940" s="15" t="s">
        <v>148</v>
      </c>
      <c r="Q1940" s="15" t="s">
        <v>149</v>
      </c>
      <c r="R1940" s="15" t="s">
        <v>174</v>
      </c>
      <c r="S1940" s="15" t="s">
        <v>36696</v>
      </c>
      <c r="T1940" s="18" t="s">
        <v>138</v>
      </c>
      <c r="U1940" s="15" t="s">
        <v>138</v>
      </c>
      <c r="V1940" s="15" t="s">
        <v>138</v>
      </c>
      <c r="W1940" s="15" t="s">
        <v>138</v>
      </c>
      <c r="X1940" s="19">
        <v>2000</v>
      </c>
      <c r="Y1940" s="15" t="s">
        <v>138</v>
      </c>
      <c r="Z1940" s="15" t="s">
        <v>138</v>
      </c>
      <c r="AA1940" s="15" t="s">
        <v>138</v>
      </c>
      <c r="AB1940" s="20" t="s">
        <v>138</v>
      </c>
      <c r="AC1940" s="20" t="s">
        <v>138</v>
      </c>
      <c r="AD1940" s="20" t="s">
        <v>138</v>
      </c>
      <c r="AE1940" s="20" t="s">
        <v>138</v>
      </c>
      <c r="AF1940" s="20" t="s">
        <v>138</v>
      </c>
      <c r="AG1940" s="15" t="s">
        <v>138</v>
      </c>
      <c r="AH1940" s="20" t="s">
        <v>138</v>
      </c>
      <c r="AI1940" s="20" t="s">
        <v>138</v>
      </c>
      <c r="AJ1940" s="20" t="s">
        <v>138</v>
      </c>
      <c r="AK1940" s="15" t="s">
        <v>36697</v>
      </c>
      <c r="AL1940" s="15" t="s">
        <v>36698</v>
      </c>
      <c r="AM1940" s="15" t="s">
        <v>304</v>
      </c>
      <c r="AN1940" s="15" t="s">
        <v>36699</v>
      </c>
      <c r="AO1940" s="15" t="s">
        <v>36700</v>
      </c>
      <c r="AP1940" s="15" t="s">
        <v>5718</v>
      </c>
      <c r="AQ1940" s="15" t="s">
        <v>36701</v>
      </c>
      <c r="AR1940" s="15" t="s">
        <v>138</v>
      </c>
      <c r="AS1940" s="15" t="s">
        <v>5720</v>
      </c>
      <c r="AT1940" s="15" t="s">
        <v>138</v>
      </c>
      <c r="AU1940" s="15" t="s">
        <v>36702</v>
      </c>
      <c r="AV1940" s="15" t="s">
        <v>946</v>
      </c>
      <c r="AW1940" s="15" t="s">
        <v>36700</v>
      </c>
      <c r="AX1940" s="15" t="s">
        <v>36703</v>
      </c>
      <c r="AY1940" s="15" t="s">
        <v>36704</v>
      </c>
      <c r="AZ1940" s="15" t="s">
        <v>530</v>
      </c>
      <c r="BA1940" s="15" t="s">
        <v>531</v>
      </c>
      <c r="BB1940" s="15" t="s">
        <v>36705</v>
      </c>
      <c r="BC1940" s="15" t="s">
        <v>138</v>
      </c>
      <c r="BD1940" s="21" t="s">
        <v>138</v>
      </c>
      <c r="BE1940" s="15" t="s">
        <v>138</v>
      </c>
      <c r="BF1940" s="15" t="s">
        <v>3047</v>
      </c>
      <c r="BG1940" s="15" t="s">
        <v>138</v>
      </c>
      <c r="BH1940" s="15" t="s">
        <v>138</v>
      </c>
      <c r="BI1940" s="15" t="s">
        <v>3049</v>
      </c>
      <c r="BJ1940" s="15" t="s">
        <v>138</v>
      </c>
      <c r="BK1940" s="15" t="s">
        <v>138</v>
      </c>
      <c r="BL1940" s="15" t="s">
        <v>138</v>
      </c>
      <c r="BM1940" s="22" t="s">
        <v>138</v>
      </c>
      <c r="BN1940" s="17" t="s">
        <v>138</v>
      </c>
      <c r="BO1940" s="15" t="s">
        <v>138</v>
      </c>
      <c r="BP1940" s="17" t="s">
        <v>138</v>
      </c>
      <c r="BQ1940" s="15" t="s">
        <v>138</v>
      </c>
      <c r="BR1940" s="15" t="s">
        <v>17438</v>
      </c>
      <c r="BS1940" s="15" t="s">
        <v>138</v>
      </c>
      <c r="BT1940" s="15" t="s">
        <v>138</v>
      </c>
      <c r="BU1940" s="15" t="s">
        <v>174</v>
      </c>
      <c r="BV1940" s="15" t="s">
        <v>138</v>
      </c>
      <c r="BW1940" s="15" t="s">
        <v>138</v>
      </c>
      <c r="BX1940" s="15" t="s">
        <v>138</v>
      </c>
      <c r="BY1940" s="15" t="s">
        <v>175</v>
      </c>
      <c r="BZ1940" s="22" t="s">
        <v>138</v>
      </c>
      <c r="CA1940" s="17" t="s">
        <v>138</v>
      </c>
      <c r="CB1940" s="15" t="s">
        <v>138</v>
      </c>
      <c r="CC1940" s="17" t="s">
        <v>138</v>
      </c>
      <c r="CD1940" s="15" t="s">
        <v>138</v>
      </c>
      <c r="CE1940" s="15" t="s">
        <v>379</v>
      </c>
      <c r="CF1940" s="15" t="s">
        <v>138</v>
      </c>
      <c r="CG1940" s="15" t="s">
        <v>138</v>
      </c>
      <c r="CH1940" s="15" t="s">
        <v>174</v>
      </c>
      <c r="CI1940" s="15" t="s">
        <v>138</v>
      </c>
      <c r="CJ1940" s="15" t="s">
        <v>138</v>
      </c>
      <c r="CK1940" s="15" t="s">
        <v>138</v>
      </c>
      <c r="CL1940" s="15" t="s">
        <v>175</v>
      </c>
      <c r="CM1940" s="22" t="s">
        <v>138</v>
      </c>
      <c r="CN1940" s="17" t="s">
        <v>138</v>
      </c>
      <c r="CO1940" s="23" t="s">
        <v>138</v>
      </c>
      <c r="CP1940" s="24" t="s">
        <v>138</v>
      </c>
      <c r="CQ1940" s="23" t="s">
        <v>138</v>
      </c>
      <c r="CR1940" s="23" t="s">
        <v>138</v>
      </c>
      <c r="CS1940" s="23" t="s">
        <v>138</v>
      </c>
      <c r="CT1940" s="24" t="s">
        <v>138</v>
      </c>
      <c r="CU1940" s="23" t="s">
        <v>138</v>
      </c>
      <c r="CV1940" s="24" t="s">
        <v>138</v>
      </c>
      <c r="CW1940" s="23" t="s">
        <v>138</v>
      </c>
      <c r="CX1940" s="24" t="s">
        <v>138</v>
      </c>
      <c r="CY1940" s="23" t="s">
        <v>138</v>
      </c>
      <c r="CZ1940" s="24" t="s">
        <v>138</v>
      </c>
      <c r="DA1940" s="23" t="s">
        <v>138</v>
      </c>
      <c r="DB1940" s="24" t="s">
        <v>138</v>
      </c>
      <c r="DC1940" s="25" t="s">
        <v>138</v>
      </c>
      <c r="DD1940" s="24" t="s">
        <v>138</v>
      </c>
      <c r="DE1940" s="25" t="s">
        <v>138</v>
      </c>
      <c r="DF1940" s="23" t="s">
        <v>138</v>
      </c>
      <c r="DG1940" s="25" t="s">
        <v>138</v>
      </c>
      <c r="DH1940" s="24" t="s">
        <v>138</v>
      </c>
      <c r="DI1940" s="25" t="s">
        <v>138</v>
      </c>
      <c r="DJ1940" s="24" t="s">
        <v>138</v>
      </c>
      <c r="DK1940" s="25" t="s">
        <v>138</v>
      </c>
      <c r="DL1940" s="24" t="s">
        <v>138</v>
      </c>
      <c r="DM1940" s="25" t="s">
        <v>138</v>
      </c>
      <c r="DN1940" s="24" t="s">
        <v>138</v>
      </c>
      <c r="DO1940" s="25" t="s">
        <v>138</v>
      </c>
      <c r="DP1940" s="24" t="s">
        <v>138</v>
      </c>
      <c r="DQ1940" s="24" t="s">
        <v>138</v>
      </c>
      <c r="DR1940" s="26" t="s">
        <v>138</v>
      </c>
      <c r="DS1940" s="23" t="s">
        <v>138</v>
      </c>
      <c r="DT1940" s="24" t="s">
        <v>138</v>
      </c>
      <c r="DU1940" s="26" t="s">
        <v>138</v>
      </c>
      <c r="DV1940" s="23" t="s">
        <v>138</v>
      </c>
      <c r="DW1940" s="24" t="s">
        <v>138</v>
      </c>
      <c r="DX1940" s="27" t="s">
        <v>138</v>
      </c>
      <c r="DY1940" s="23" t="s">
        <v>138</v>
      </c>
      <c r="DZ1940" s="15" t="s">
        <v>178</v>
      </c>
      <c r="EA1940" s="22">
        <v>43544</v>
      </c>
      <c r="EB1940" s="17" t="s">
        <v>138</v>
      </c>
      <c r="EC1940" s="22" t="s">
        <v>138</v>
      </c>
      <c r="ED1940" s="15" t="s">
        <v>138</v>
      </c>
      <c r="EE1940" s="14" t="str">
        <f>HYPERLINK("https://my.pitchbook.com?c=60962-50", "View company online")</f>
        <v>View company online</v>
      </c>
    </row>
    <row r="1941" spans="1:135">
      <c r="A1941" s="28" t="s">
        <v>36706</v>
      </c>
      <c r="B1941" s="28" t="s">
        <v>36707</v>
      </c>
      <c r="C1941" s="28" t="s">
        <v>138</v>
      </c>
      <c r="D1941" s="28" t="s">
        <v>138</v>
      </c>
      <c r="E1941" s="28" t="s">
        <v>138</v>
      </c>
      <c r="F1941" s="28" t="s">
        <v>36706</v>
      </c>
      <c r="G1941" s="28" t="s">
        <v>36708</v>
      </c>
      <c r="H1941" s="28" t="s">
        <v>322</v>
      </c>
      <c r="I1941" s="28" t="s">
        <v>323</v>
      </c>
      <c r="J1941" s="28" t="s">
        <v>2984</v>
      </c>
      <c r="K1941" s="28" t="s">
        <v>5783</v>
      </c>
      <c r="L1941" s="28" t="s">
        <v>326</v>
      </c>
      <c r="M1941" s="28" t="s">
        <v>36709</v>
      </c>
      <c r="N1941" s="28" t="s">
        <v>147</v>
      </c>
      <c r="O1941" s="29" t="s">
        <v>138</v>
      </c>
      <c r="P1941" s="28" t="s">
        <v>148</v>
      </c>
      <c r="Q1941" s="28" t="s">
        <v>149</v>
      </c>
      <c r="R1941" s="28" t="s">
        <v>174</v>
      </c>
      <c r="S1941" s="28" t="s">
        <v>36710</v>
      </c>
      <c r="T1941" s="30">
        <v>18</v>
      </c>
      <c r="U1941" s="28" t="s">
        <v>36711</v>
      </c>
      <c r="V1941" s="28" t="s">
        <v>138</v>
      </c>
      <c r="W1941" s="28" t="s">
        <v>138</v>
      </c>
      <c r="X1941" s="31">
        <v>2006</v>
      </c>
      <c r="Y1941" s="28" t="s">
        <v>138</v>
      </c>
      <c r="Z1941" s="28" t="s">
        <v>138</v>
      </c>
      <c r="AA1941" s="28" t="s">
        <v>138</v>
      </c>
      <c r="AB1941" s="32" t="s">
        <v>138</v>
      </c>
      <c r="AC1941" s="32" t="s">
        <v>138</v>
      </c>
      <c r="AD1941" s="32" t="s">
        <v>138</v>
      </c>
      <c r="AE1941" s="32" t="s">
        <v>138</v>
      </c>
      <c r="AF1941" s="32" t="s">
        <v>138</v>
      </c>
      <c r="AG1941" s="28" t="s">
        <v>138</v>
      </c>
      <c r="AH1941" s="32" t="s">
        <v>138</v>
      </c>
      <c r="AI1941" s="32" t="s">
        <v>138</v>
      </c>
      <c r="AJ1941" s="32" t="s">
        <v>138</v>
      </c>
      <c r="AK1941" s="28" t="s">
        <v>36712</v>
      </c>
      <c r="AL1941" s="28" t="s">
        <v>36713</v>
      </c>
      <c r="AM1941" s="28" t="s">
        <v>2949</v>
      </c>
      <c r="AN1941" s="28" t="s">
        <v>36714</v>
      </c>
      <c r="AO1941" s="28" t="s">
        <v>36715</v>
      </c>
      <c r="AP1941" s="28" t="s">
        <v>29338</v>
      </c>
      <c r="AQ1941" s="28" t="s">
        <v>36716</v>
      </c>
      <c r="AR1941" s="28" t="s">
        <v>6688</v>
      </c>
      <c r="AS1941" s="28" t="s">
        <v>29340</v>
      </c>
      <c r="AT1941" s="28" t="s">
        <v>371</v>
      </c>
      <c r="AU1941" s="28" t="s">
        <v>29341</v>
      </c>
      <c r="AV1941" s="28" t="s">
        <v>162</v>
      </c>
      <c r="AW1941" s="28" t="s">
        <v>36715</v>
      </c>
      <c r="AX1941" s="28" t="s">
        <v>138</v>
      </c>
      <c r="AY1941" s="28" t="s">
        <v>36717</v>
      </c>
      <c r="AZ1941" s="28" t="s">
        <v>164</v>
      </c>
      <c r="BA1941" s="28" t="s">
        <v>165</v>
      </c>
      <c r="BB1941" s="28" t="s">
        <v>36718</v>
      </c>
      <c r="BC1941" s="28" t="s">
        <v>36719</v>
      </c>
      <c r="BD1941" s="33">
        <v>1</v>
      </c>
      <c r="BE1941" s="28" t="s">
        <v>138</v>
      </c>
      <c r="BF1941" s="28" t="s">
        <v>138</v>
      </c>
      <c r="BG1941" s="28" t="s">
        <v>138</v>
      </c>
      <c r="BH1941" s="28" t="s">
        <v>36720</v>
      </c>
      <c r="BI1941" s="28" t="s">
        <v>138</v>
      </c>
      <c r="BJ1941" s="28" t="s">
        <v>138</v>
      </c>
      <c r="BK1941" s="28" t="s">
        <v>138</v>
      </c>
      <c r="BL1941" s="28" t="s">
        <v>138</v>
      </c>
      <c r="BM1941" s="34">
        <v>42125</v>
      </c>
      <c r="BN1941" s="29" t="s">
        <v>138</v>
      </c>
      <c r="BO1941" s="28" t="s">
        <v>138</v>
      </c>
      <c r="BP1941" s="29" t="s">
        <v>138</v>
      </c>
      <c r="BQ1941" s="28" t="s">
        <v>138</v>
      </c>
      <c r="BR1941" s="28" t="s">
        <v>205</v>
      </c>
      <c r="BS1941" s="28" t="s">
        <v>138</v>
      </c>
      <c r="BT1941" s="28" t="s">
        <v>138</v>
      </c>
      <c r="BU1941" s="28" t="s">
        <v>174</v>
      </c>
      <c r="BV1941" s="28" t="s">
        <v>264</v>
      </c>
      <c r="BW1941" s="28" t="s">
        <v>138</v>
      </c>
      <c r="BX1941" s="28" t="s">
        <v>138</v>
      </c>
      <c r="BY1941" s="28" t="s">
        <v>175</v>
      </c>
      <c r="BZ1941" s="34">
        <v>42125</v>
      </c>
      <c r="CA1941" s="29" t="s">
        <v>138</v>
      </c>
      <c r="CB1941" s="28" t="s">
        <v>138</v>
      </c>
      <c r="CC1941" s="29" t="s">
        <v>138</v>
      </c>
      <c r="CD1941" s="28" t="s">
        <v>138</v>
      </c>
      <c r="CE1941" s="28" t="s">
        <v>205</v>
      </c>
      <c r="CF1941" s="28" t="s">
        <v>138</v>
      </c>
      <c r="CG1941" s="28" t="s">
        <v>138</v>
      </c>
      <c r="CH1941" s="28" t="s">
        <v>174</v>
      </c>
      <c r="CI1941" s="28" t="s">
        <v>264</v>
      </c>
      <c r="CJ1941" s="28" t="s">
        <v>138</v>
      </c>
      <c r="CK1941" s="28" t="s">
        <v>138</v>
      </c>
      <c r="CL1941" s="28" t="s">
        <v>175</v>
      </c>
      <c r="CM1941" s="34" t="s">
        <v>138</v>
      </c>
      <c r="CN1941" s="29" t="s">
        <v>138</v>
      </c>
      <c r="CO1941" s="35">
        <v>-0.05</v>
      </c>
      <c r="CP1941" s="36">
        <v>22</v>
      </c>
      <c r="CQ1941" s="35">
        <v>0.03</v>
      </c>
      <c r="CR1941" s="35">
        <v>40.1</v>
      </c>
      <c r="CS1941" s="35">
        <v>0</v>
      </c>
      <c r="CT1941" s="36">
        <v>23</v>
      </c>
      <c r="CU1941" s="35">
        <v>-0.09</v>
      </c>
      <c r="CV1941" s="36">
        <v>5</v>
      </c>
      <c r="CW1941" s="35">
        <v>0</v>
      </c>
      <c r="CX1941" s="36">
        <v>13</v>
      </c>
      <c r="CY1941" s="35" t="s">
        <v>138</v>
      </c>
      <c r="CZ1941" s="36" t="s">
        <v>138</v>
      </c>
      <c r="DA1941" s="35">
        <v>-0.18</v>
      </c>
      <c r="DB1941" s="36">
        <v>2</v>
      </c>
      <c r="DC1941" s="37">
        <v>1.35</v>
      </c>
      <c r="DD1941" s="36">
        <v>58</v>
      </c>
      <c r="DE1941" s="37">
        <v>-0.13</v>
      </c>
      <c r="DF1941" s="35">
        <v>-8.92</v>
      </c>
      <c r="DG1941" s="37">
        <v>2.11</v>
      </c>
      <c r="DH1941" s="36">
        <v>68</v>
      </c>
      <c r="DI1941" s="37">
        <v>0.59</v>
      </c>
      <c r="DJ1941" s="36">
        <v>39</v>
      </c>
      <c r="DK1941" s="37">
        <v>2.11</v>
      </c>
      <c r="DL1941" s="36">
        <v>65</v>
      </c>
      <c r="DM1941" s="37" t="s">
        <v>138</v>
      </c>
      <c r="DN1941" s="36" t="s">
        <v>138</v>
      </c>
      <c r="DO1941" s="37">
        <v>1.1499999999999999</v>
      </c>
      <c r="DP1941" s="36">
        <v>53</v>
      </c>
      <c r="DQ1941" s="36">
        <v>702</v>
      </c>
      <c r="DR1941" s="38">
        <v>69</v>
      </c>
      <c r="DS1941" s="35">
        <v>10.9</v>
      </c>
      <c r="DT1941" s="36" t="s">
        <v>138</v>
      </c>
      <c r="DU1941" s="38" t="s">
        <v>138</v>
      </c>
      <c r="DV1941" s="35" t="s">
        <v>138</v>
      </c>
      <c r="DW1941" s="36">
        <v>410</v>
      </c>
      <c r="DX1941" s="39">
        <v>2</v>
      </c>
      <c r="DY1941" s="35">
        <v>0.49</v>
      </c>
      <c r="DZ1941" s="28" t="s">
        <v>178</v>
      </c>
      <c r="EA1941" s="34">
        <v>43375</v>
      </c>
      <c r="EB1941" s="29" t="s">
        <v>138</v>
      </c>
      <c r="EC1941" s="34" t="s">
        <v>138</v>
      </c>
      <c r="ED1941" s="28" t="s">
        <v>138</v>
      </c>
      <c r="EE1941" s="40" t="str">
        <f>HYPERLINK("https://my.pitchbook.com?c=167788-00", "View company online")</f>
        <v>View company online</v>
      </c>
    </row>
    <row r="1942" spans="1:135">
      <c r="A1942" s="15" t="s">
        <v>36721</v>
      </c>
      <c r="B1942" s="15" t="s">
        <v>36722</v>
      </c>
      <c r="C1942" s="15" t="s">
        <v>36723</v>
      </c>
      <c r="D1942" s="15" t="s">
        <v>138</v>
      </c>
      <c r="E1942" s="15" t="s">
        <v>36724</v>
      </c>
      <c r="F1942" s="15" t="s">
        <v>36721</v>
      </c>
      <c r="G1942" s="15" t="s">
        <v>36725</v>
      </c>
      <c r="H1942" s="15" t="s">
        <v>183</v>
      </c>
      <c r="I1942" s="15" t="s">
        <v>4681</v>
      </c>
      <c r="J1942" s="15" t="s">
        <v>9676</v>
      </c>
      <c r="K1942" s="15" t="s">
        <v>36726</v>
      </c>
      <c r="L1942" s="15" t="s">
        <v>15210</v>
      </c>
      <c r="M1942" s="15" t="s">
        <v>36727</v>
      </c>
      <c r="N1942" s="15" t="s">
        <v>147</v>
      </c>
      <c r="O1942" s="17">
        <v>119</v>
      </c>
      <c r="P1942" s="15" t="s">
        <v>148</v>
      </c>
      <c r="Q1942" s="15" t="s">
        <v>149</v>
      </c>
      <c r="R1942" s="15" t="s">
        <v>174</v>
      </c>
      <c r="S1942" s="15" t="s">
        <v>36728</v>
      </c>
      <c r="T1942" s="18">
        <v>87</v>
      </c>
      <c r="U1942" s="15" t="s">
        <v>36729</v>
      </c>
      <c r="V1942" s="15" t="s">
        <v>138</v>
      </c>
      <c r="W1942" s="15" t="s">
        <v>138</v>
      </c>
      <c r="X1942" s="19">
        <v>2012</v>
      </c>
      <c r="Y1942" s="15" t="s">
        <v>138</v>
      </c>
      <c r="Z1942" s="15" t="s">
        <v>138</v>
      </c>
      <c r="AA1942" s="15" t="s">
        <v>138</v>
      </c>
      <c r="AB1942" s="20" t="s">
        <v>138</v>
      </c>
      <c r="AC1942" s="20" t="s">
        <v>138</v>
      </c>
      <c r="AD1942" s="20" t="s">
        <v>138</v>
      </c>
      <c r="AE1942" s="20" t="s">
        <v>138</v>
      </c>
      <c r="AF1942" s="20" t="s">
        <v>138</v>
      </c>
      <c r="AG1942" s="15" t="s">
        <v>138</v>
      </c>
      <c r="AH1942" s="20" t="s">
        <v>138</v>
      </c>
      <c r="AI1942" s="20" t="s">
        <v>138</v>
      </c>
      <c r="AJ1942" s="20" t="s">
        <v>138</v>
      </c>
      <c r="AK1942" s="15" t="s">
        <v>36730</v>
      </c>
      <c r="AL1942" s="15" t="s">
        <v>36731</v>
      </c>
      <c r="AM1942" s="15" t="s">
        <v>8473</v>
      </c>
      <c r="AN1942" s="15" t="s">
        <v>36732</v>
      </c>
      <c r="AO1942" s="15" t="s">
        <v>138</v>
      </c>
      <c r="AP1942" s="15" t="s">
        <v>10535</v>
      </c>
      <c r="AQ1942" s="15" t="s">
        <v>36733</v>
      </c>
      <c r="AR1942" s="15" t="s">
        <v>36734</v>
      </c>
      <c r="AS1942" s="15" t="s">
        <v>10537</v>
      </c>
      <c r="AT1942" s="15" t="s">
        <v>5271</v>
      </c>
      <c r="AU1942" s="15" t="s">
        <v>10538</v>
      </c>
      <c r="AV1942" s="15" t="s">
        <v>162</v>
      </c>
      <c r="AW1942" s="15" t="s">
        <v>138</v>
      </c>
      <c r="AX1942" s="15" t="s">
        <v>138</v>
      </c>
      <c r="AY1942" s="15" t="s">
        <v>36735</v>
      </c>
      <c r="AZ1942" s="15" t="s">
        <v>164</v>
      </c>
      <c r="BA1942" s="15" t="s">
        <v>165</v>
      </c>
      <c r="BB1942" s="15" t="s">
        <v>36736</v>
      </c>
      <c r="BC1942" s="15" t="s">
        <v>36737</v>
      </c>
      <c r="BD1942" s="21">
        <v>12</v>
      </c>
      <c r="BE1942" s="15" t="s">
        <v>138</v>
      </c>
      <c r="BF1942" s="15" t="s">
        <v>138</v>
      </c>
      <c r="BG1942" s="15" t="s">
        <v>138</v>
      </c>
      <c r="BH1942" s="15" t="s">
        <v>36738</v>
      </c>
      <c r="BI1942" s="15" t="s">
        <v>138</v>
      </c>
      <c r="BJ1942" s="15" t="s">
        <v>138</v>
      </c>
      <c r="BK1942" s="15" t="s">
        <v>36739</v>
      </c>
      <c r="BL1942" s="15" t="s">
        <v>36740</v>
      </c>
      <c r="BM1942" s="22">
        <v>41244</v>
      </c>
      <c r="BN1942" s="17">
        <v>2</v>
      </c>
      <c r="BO1942" s="15" t="s">
        <v>172</v>
      </c>
      <c r="BP1942" s="17" t="s">
        <v>138</v>
      </c>
      <c r="BQ1942" s="15" t="s">
        <v>138</v>
      </c>
      <c r="BR1942" s="15" t="s">
        <v>234</v>
      </c>
      <c r="BS1942" s="15" t="s">
        <v>234</v>
      </c>
      <c r="BT1942" s="15" t="s">
        <v>138</v>
      </c>
      <c r="BU1942" s="15" t="s">
        <v>174</v>
      </c>
      <c r="BV1942" s="15" t="s">
        <v>138</v>
      </c>
      <c r="BW1942" s="15" t="s">
        <v>138</v>
      </c>
      <c r="BX1942" s="15" t="s">
        <v>138</v>
      </c>
      <c r="BY1942" s="15" t="s">
        <v>175</v>
      </c>
      <c r="BZ1942" s="22">
        <v>43298</v>
      </c>
      <c r="CA1942" s="17">
        <v>65</v>
      </c>
      <c r="CB1942" s="15" t="s">
        <v>172</v>
      </c>
      <c r="CC1942" s="17" t="s">
        <v>138</v>
      </c>
      <c r="CD1942" s="15" t="s">
        <v>138</v>
      </c>
      <c r="CE1942" s="15" t="s">
        <v>173</v>
      </c>
      <c r="CF1942" s="15" t="s">
        <v>317</v>
      </c>
      <c r="CG1942" s="15" t="s">
        <v>138</v>
      </c>
      <c r="CH1942" s="15" t="s">
        <v>174</v>
      </c>
      <c r="CI1942" s="15" t="s">
        <v>138</v>
      </c>
      <c r="CJ1942" s="15" t="s">
        <v>138</v>
      </c>
      <c r="CK1942" s="15" t="s">
        <v>138</v>
      </c>
      <c r="CL1942" s="15" t="s">
        <v>175</v>
      </c>
      <c r="CM1942" s="22" t="s">
        <v>138</v>
      </c>
      <c r="CN1942" s="17" t="s">
        <v>138</v>
      </c>
      <c r="CO1942" s="23">
        <v>0.2</v>
      </c>
      <c r="CP1942" s="24">
        <v>92</v>
      </c>
      <c r="CQ1942" s="23">
        <v>0</v>
      </c>
      <c r="CR1942" s="23">
        <v>-0.21</v>
      </c>
      <c r="CS1942" s="23">
        <v>0</v>
      </c>
      <c r="CT1942" s="24">
        <v>23</v>
      </c>
      <c r="CU1942" s="23">
        <v>0.4</v>
      </c>
      <c r="CV1942" s="24">
        <v>91</v>
      </c>
      <c r="CW1942" s="23">
        <v>0</v>
      </c>
      <c r="CX1942" s="24">
        <v>13</v>
      </c>
      <c r="CY1942" s="23">
        <v>0</v>
      </c>
      <c r="CZ1942" s="24">
        <v>25</v>
      </c>
      <c r="DA1942" s="23">
        <v>0.56000000000000005</v>
      </c>
      <c r="DB1942" s="24">
        <v>95</v>
      </c>
      <c r="DC1942" s="25">
        <v>2.25</v>
      </c>
      <c r="DD1942" s="24">
        <v>70</v>
      </c>
      <c r="DE1942" s="25">
        <v>-0.11</v>
      </c>
      <c r="DF1942" s="23">
        <v>-4.76</v>
      </c>
      <c r="DG1942" s="25">
        <v>2.89</v>
      </c>
      <c r="DH1942" s="24">
        <v>74</v>
      </c>
      <c r="DI1942" s="25">
        <v>1.61</v>
      </c>
      <c r="DJ1942" s="24">
        <v>58</v>
      </c>
      <c r="DK1942" s="25">
        <v>2.85</v>
      </c>
      <c r="DL1942" s="24">
        <v>71</v>
      </c>
      <c r="DM1942" s="25">
        <v>2.93</v>
      </c>
      <c r="DN1942" s="24">
        <v>73</v>
      </c>
      <c r="DO1942" s="25">
        <v>2.89</v>
      </c>
      <c r="DP1942" s="24">
        <v>70</v>
      </c>
      <c r="DQ1942" s="24">
        <v>954</v>
      </c>
      <c r="DR1942" s="26">
        <v>69</v>
      </c>
      <c r="DS1942" s="23">
        <v>7.8</v>
      </c>
      <c r="DT1942" s="24">
        <v>86</v>
      </c>
      <c r="DU1942" s="26">
        <v>-3</v>
      </c>
      <c r="DV1942" s="23">
        <v>-3.37</v>
      </c>
      <c r="DW1942" s="24">
        <v>1035</v>
      </c>
      <c r="DX1942" s="27">
        <v>3</v>
      </c>
      <c r="DY1942" s="23">
        <v>0.28999999999999998</v>
      </c>
      <c r="DZ1942" s="15" t="s">
        <v>178</v>
      </c>
      <c r="EA1942" s="22">
        <v>43502</v>
      </c>
      <c r="EB1942" s="17" t="s">
        <v>138</v>
      </c>
      <c r="EC1942" s="22" t="s">
        <v>138</v>
      </c>
      <c r="ED1942" s="15" t="s">
        <v>138</v>
      </c>
      <c r="EE1942" s="14" t="str">
        <f>HYPERLINK("https://my.pitchbook.com?c=56577-43", "View company online")</f>
        <v>View company online</v>
      </c>
    </row>
    <row r="1943" spans="1:135">
      <c r="A1943" s="28" t="s">
        <v>36741</v>
      </c>
      <c r="B1943" s="28" t="s">
        <v>36742</v>
      </c>
      <c r="C1943" s="28" t="s">
        <v>138</v>
      </c>
      <c r="D1943" s="28" t="s">
        <v>36743</v>
      </c>
      <c r="E1943" s="28" t="s">
        <v>36744</v>
      </c>
      <c r="F1943" s="28" t="s">
        <v>36741</v>
      </c>
      <c r="G1943" s="28" t="s">
        <v>36745</v>
      </c>
      <c r="H1943" s="28" t="s">
        <v>322</v>
      </c>
      <c r="I1943" s="28" t="s">
        <v>323</v>
      </c>
      <c r="J1943" s="28" t="s">
        <v>413</v>
      </c>
      <c r="K1943" s="28" t="s">
        <v>36746</v>
      </c>
      <c r="L1943" s="28" t="s">
        <v>242</v>
      </c>
      <c r="M1943" s="28" t="s">
        <v>36747</v>
      </c>
      <c r="N1943" s="28" t="s">
        <v>147</v>
      </c>
      <c r="O1943" s="29">
        <v>17.79</v>
      </c>
      <c r="P1943" s="28" t="s">
        <v>610</v>
      </c>
      <c r="Q1943" s="28" t="s">
        <v>149</v>
      </c>
      <c r="R1943" s="28" t="s">
        <v>174</v>
      </c>
      <c r="S1943" s="28" t="s">
        <v>36748</v>
      </c>
      <c r="T1943" s="30">
        <v>9</v>
      </c>
      <c r="U1943" s="28" t="s">
        <v>4748</v>
      </c>
      <c r="V1943" s="28" t="s">
        <v>138</v>
      </c>
      <c r="W1943" s="28" t="s">
        <v>138</v>
      </c>
      <c r="X1943" s="31">
        <v>2011</v>
      </c>
      <c r="Y1943" s="28" t="s">
        <v>138</v>
      </c>
      <c r="Z1943" s="28" t="s">
        <v>138</v>
      </c>
      <c r="AA1943" s="28" t="s">
        <v>138</v>
      </c>
      <c r="AB1943" s="32" t="s">
        <v>138</v>
      </c>
      <c r="AC1943" s="32" t="s">
        <v>138</v>
      </c>
      <c r="AD1943" s="32" t="s">
        <v>138</v>
      </c>
      <c r="AE1943" s="32" t="s">
        <v>138</v>
      </c>
      <c r="AF1943" s="32" t="s">
        <v>138</v>
      </c>
      <c r="AG1943" s="28" t="s">
        <v>138</v>
      </c>
      <c r="AH1943" s="32" t="s">
        <v>138</v>
      </c>
      <c r="AI1943" s="32" t="s">
        <v>138</v>
      </c>
      <c r="AJ1943" s="32" t="s">
        <v>138</v>
      </c>
      <c r="AK1943" s="28" t="s">
        <v>36749</v>
      </c>
      <c r="AL1943" s="28" t="s">
        <v>36750</v>
      </c>
      <c r="AM1943" s="28" t="s">
        <v>304</v>
      </c>
      <c r="AN1943" s="28" t="s">
        <v>36751</v>
      </c>
      <c r="AO1943" s="28" t="s">
        <v>138</v>
      </c>
      <c r="AP1943" s="28" t="s">
        <v>665</v>
      </c>
      <c r="AQ1943" s="28" t="s">
        <v>36752</v>
      </c>
      <c r="AR1943" s="28" t="s">
        <v>36753</v>
      </c>
      <c r="AS1943" s="28" t="s">
        <v>668</v>
      </c>
      <c r="AT1943" s="28" t="s">
        <v>200</v>
      </c>
      <c r="AU1943" s="28" t="s">
        <v>1960</v>
      </c>
      <c r="AV1943" s="28" t="s">
        <v>162</v>
      </c>
      <c r="AW1943" s="28" t="s">
        <v>138</v>
      </c>
      <c r="AX1943" s="28" t="s">
        <v>138</v>
      </c>
      <c r="AY1943" s="28" t="s">
        <v>138</v>
      </c>
      <c r="AZ1943" s="28" t="s">
        <v>164</v>
      </c>
      <c r="BA1943" s="28" t="s">
        <v>165</v>
      </c>
      <c r="BB1943" s="28" t="s">
        <v>36754</v>
      </c>
      <c r="BC1943" s="28" t="s">
        <v>36755</v>
      </c>
      <c r="BD1943" s="33">
        <v>26</v>
      </c>
      <c r="BE1943" s="28" t="s">
        <v>138</v>
      </c>
      <c r="BF1943" s="28" t="s">
        <v>138</v>
      </c>
      <c r="BG1943" s="28" t="s">
        <v>138</v>
      </c>
      <c r="BH1943" s="28" t="s">
        <v>36756</v>
      </c>
      <c r="BI1943" s="28" t="s">
        <v>138</v>
      </c>
      <c r="BJ1943" s="28" t="s">
        <v>138</v>
      </c>
      <c r="BK1943" s="28" t="s">
        <v>138</v>
      </c>
      <c r="BL1943" s="28" t="s">
        <v>138</v>
      </c>
      <c r="BM1943" s="34">
        <v>40743</v>
      </c>
      <c r="BN1943" s="29">
        <v>1</v>
      </c>
      <c r="BO1943" s="28" t="s">
        <v>172</v>
      </c>
      <c r="BP1943" s="29">
        <v>5.05</v>
      </c>
      <c r="BQ1943" s="28" t="s">
        <v>172</v>
      </c>
      <c r="BR1943" s="28" t="s">
        <v>205</v>
      </c>
      <c r="BS1943" s="28" t="s">
        <v>206</v>
      </c>
      <c r="BT1943" s="28" t="s">
        <v>138</v>
      </c>
      <c r="BU1943" s="28" t="s">
        <v>174</v>
      </c>
      <c r="BV1943" s="28" t="s">
        <v>138</v>
      </c>
      <c r="BW1943" s="28" t="s">
        <v>138</v>
      </c>
      <c r="BX1943" s="28" t="s">
        <v>138</v>
      </c>
      <c r="BY1943" s="28" t="s">
        <v>175</v>
      </c>
      <c r="BZ1943" s="34">
        <v>42403</v>
      </c>
      <c r="CA1943" s="29">
        <v>16.399999999999999</v>
      </c>
      <c r="CB1943" s="28" t="s">
        <v>172</v>
      </c>
      <c r="CC1943" s="29" t="s">
        <v>138</v>
      </c>
      <c r="CD1943" s="28" t="s">
        <v>138</v>
      </c>
      <c r="CE1943" s="28" t="s">
        <v>205</v>
      </c>
      <c r="CF1943" s="28" t="s">
        <v>206</v>
      </c>
      <c r="CG1943" s="28" t="s">
        <v>138</v>
      </c>
      <c r="CH1943" s="28" t="s">
        <v>174</v>
      </c>
      <c r="CI1943" s="28" t="s">
        <v>138</v>
      </c>
      <c r="CJ1943" s="28" t="s">
        <v>138</v>
      </c>
      <c r="CK1943" s="28" t="s">
        <v>138</v>
      </c>
      <c r="CL1943" s="28" t="s">
        <v>175</v>
      </c>
      <c r="CM1943" s="34" t="s">
        <v>138</v>
      </c>
      <c r="CN1943" s="29" t="s">
        <v>138</v>
      </c>
      <c r="CO1943" s="35">
        <v>-1.87</v>
      </c>
      <c r="CP1943" s="36">
        <v>6</v>
      </c>
      <c r="CQ1943" s="35">
        <v>0</v>
      </c>
      <c r="CR1943" s="35">
        <v>0.12</v>
      </c>
      <c r="CS1943" s="35">
        <v>-3.68</v>
      </c>
      <c r="CT1943" s="36">
        <v>4</v>
      </c>
      <c r="CU1943" s="35">
        <v>-0.06</v>
      </c>
      <c r="CV1943" s="36">
        <v>8</v>
      </c>
      <c r="CW1943" s="35">
        <v>-7.37</v>
      </c>
      <c r="CX1943" s="36">
        <v>1</v>
      </c>
      <c r="CY1943" s="35">
        <v>0</v>
      </c>
      <c r="CZ1943" s="36">
        <v>25</v>
      </c>
      <c r="DA1943" s="35">
        <v>-0.11</v>
      </c>
      <c r="DB1943" s="36">
        <v>5</v>
      </c>
      <c r="DC1943" s="37">
        <v>6.71</v>
      </c>
      <c r="DD1943" s="36">
        <v>86</v>
      </c>
      <c r="DE1943" s="37">
        <v>-0.09</v>
      </c>
      <c r="DF1943" s="35">
        <v>-1.38</v>
      </c>
      <c r="DG1943" s="37">
        <v>2.3199999999999998</v>
      </c>
      <c r="DH1943" s="36">
        <v>70</v>
      </c>
      <c r="DI1943" s="37">
        <v>11.1</v>
      </c>
      <c r="DJ1943" s="36">
        <v>86</v>
      </c>
      <c r="DK1943" s="37">
        <v>3.77</v>
      </c>
      <c r="DL1943" s="36">
        <v>75</v>
      </c>
      <c r="DM1943" s="37">
        <v>0.86</v>
      </c>
      <c r="DN1943" s="36">
        <v>47</v>
      </c>
      <c r="DO1943" s="37">
        <v>22.18</v>
      </c>
      <c r="DP1943" s="36">
        <v>93</v>
      </c>
      <c r="DQ1943" s="36">
        <v>1287</v>
      </c>
      <c r="DR1943" s="38">
        <v>17</v>
      </c>
      <c r="DS1943" s="35">
        <v>1.34</v>
      </c>
      <c r="DT1943" s="36">
        <v>25</v>
      </c>
      <c r="DU1943" s="38">
        <v>0</v>
      </c>
      <c r="DV1943" s="35">
        <v>0</v>
      </c>
      <c r="DW1943" s="36">
        <v>7945</v>
      </c>
      <c r="DX1943" s="39">
        <v>-4</v>
      </c>
      <c r="DY1943" s="35">
        <v>-0.05</v>
      </c>
      <c r="DZ1943" s="28" t="s">
        <v>178</v>
      </c>
      <c r="EA1943" s="34">
        <v>43602</v>
      </c>
      <c r="EB1943" s="29">
        <v>5.05</v>
      </c>
      <c r="EC1943" s="34">
        <v>40743</v>
      </c>
      <c r="ED1943" s="28" t="s">
        <v>205</v>
      </c>
      <c r="EE1943" s="40" t="str">
        <f>HYPERLINK("https://my.pitchbook.com?c=54122-14", "View company online")</f>
        <v>View company online</v>
      </c>
    </row>
    <row r="1944" spans="1:135">
      <c r="A1944" s="15" t="s">
        <v>36757</v>
      </c>
      <c r="B1944" s="15" t="s">
        <v>36758</v>
      </c>
      <c r="C1944" s="15" t="s">
        <v>138</v>
      </c>
      <c r="D1944" s="15" t="s">
        <v>138</v>
      </c>
      <c r="E1944" s="15" t="s">
        <v>138</v>
      </c>
      <c r="F1944" s="15" t="s">
        <v>36757</v>
      </c>
      <c r="G1944" s="15" t="s">
        <v>36759</v>
      </c>
      <c r="H1944" s="15" t="s">
        <v>238</v>
      </c>
      <c r="I1944" s="15" t="s">
        <v>749</v>
      </c>
      <c r="J1944" s="15" t="s">
        <v>4261</v>
      </c>
      <c r="K1944" s="15" t="s">
        <v>36760</v>
      </c>
      <c r="L1944" s="15" t="s">
        <v>36761</v>
      </c>
      <c r="M1944" s="15" t="s">
        <v>36762</v>
      </c>
      <c r="N1944" s="15" t="s">
        <v>542</v>
      </c>
      <c r="O1944" s="17">
        <v>0.17</v>
      </c>
      <c r="P1944" s="15" t="s">
        <v>812</v>
      </c>
      <c r="Q1944" s="15" t="s">
        <v>149</v>
      </c>
      <c r="R1944" s="15" t="s">
        <v>174</v>
      </c>
      <c r="S1944" s="15" t="s">
        <v>36763</v>
      </c>
      <c r="T1944" s="18">
        <v>2</v>
      </c>
      <c r="U1944" s="15" t="s">
        <v>4417</v>
      </c>
      <c r="V1944" s="15" t="s">
        <v>138</v>
      </c>
      <c r="W1944" s="15" t="s">
        <v>138</v>
      </c>
      <c r="X1944" s="19">
        <v>2014</v>
      </c>
      <c r="Y1944" s="15" t="s">
        <v>138</v>
      </c>
      <c r="Z1944" s="15" t="s">
        <v>138</v>
      </c>
      <c r="AA1944" s="15" t="s">
        <v>138</v>
      </c>
      <c r="AB1944" s="20">
        <v>0.1</v>
      </c>
      <c r="AC1944" s="20" t="s">
        <v>138</v>
      </c>
      <c r="AD1944" s="20" t="s">
        <v>138</v>
      </c>
      <c r="AE1944" s="20" t="s">
        <v>138</v>
      </c>
      <c r="AF1944" s="20" t="s">
        <v>138</v>
      </c>
      <c r="AG1944" s="15" t="s">
        <v>514</v>
      </c>
      <c r="AH1944" s="20" t="s">
        <v>138</v>
      </c>
      <c r="AI1944" s="20" t="s">
        <v>138</v>
      </c>
      <c r="AJ1944" s="20" t="s">
        <v>138</v>
      </c>
      <c r="AK1944" s="15" t="s">
        <v>36764</v>
      </c>
      <c r="AL1944" s="15" t="s">
        <v>36765</v>
      </c>
      <c r="AM1944" s="15" t="s">
        <v>2605</v>
      </c>
      <c r="AN1944" s="15" t="s">
        <v>36766</v>
      </c>
      <c r="AO1944" s="15" t="s">
        <v>138</v>
      </c>
      <c r="AP1944" s="15" t="s">
        <v>4463</v>
      </c>
      <c r="AQ1944" s="15" t="s">
        <v>36767</v>
      </c>
      <c r="AR1944" s="15" t="s">
        <v>3084</v>
      </c>
      <c r="AS1944" s="15" t="s">
        <v>4466</v>
      </c>
      <c r="AT1944" s="15" t="s">
        <v>426</v>
      </c>
      <c r="AU1944" s="15" t="s">
        <v>4467</v>
      </c>
      <c r="AV1944" s="15" t="s">
        <v>162</v>
      </c>
      <c r="AW1944" s="15" t="s">
        <v>138</v>
      </c>
      <c r="AX1944" s="15" t="s">
        <v>138</v>
      </c>
      <c r="AY1944" s="15" t="s">
        <v>36768</v>
      </c>
      <c r="AZ1944" s="15" t="s">
        <v>164</v>
      </c>
      <c r="BA1944" s="15" t="s">
        <v>165</v>
      </c>
      <c r="BB1944" s="15" t="s">
        <v>36769</v>
      </c>
      <c r="BC1944" s="15" t="s">
        <v>36770</v>
      </c>
      <c r="BD1944" s="21">
        <v>3</v>
      </c>
      <c r="BE1944" s="15" t="s">
        <v>138</v>
      </c>
      <c r="BF1944" s="15" t="s">
        <v>138</v>
      </c>
      <c r="BG1944" s="15" t="s">
        <v>138</v>
      </c>
      <c r="BH1944" s="15" t="s">
        <v>36771</v>
      </c>
      <c r="BI1944" s="15" t="s">
        <v>138</v>
      </c>
      <c r="BJ1944" s="15" t="s">
        <v>138</v>
      </c>
      <c r="BK1944" s="15" t="s">
        <v>138</v>
      </c>
      <c r="BL1944" s="15" t="s">
        <v>1829</v>
      </c>
      <c r="BM1944" s="22">
        <v>41821</v>
      </c>
      <c r="BN1944" s="17">
        <v>0.05</v>
      </c>
      <c r="BO1944" s="15" t="s">
        <v>172</v>
      </c>
      <c r="BP1944" s="17">
        <v>0.63</v>
      </c>
      <c r="BQ1944" s="15" t="s">
        <v>172</v>
      </c>
      <c r="BR1944" s="15" t="s">
        <v>316</v>
      </c>
      <c r="BS1944" s="15" t="s">
        <v>138</v>
      </c>
      <c r="BT1944" s="15" t="s">
        <v>138</v>
      </c>
      <c r="BU1944" s="15" t="s">
        <v>177</v>
      </c>
      <c r="BV1944" s="15" t="s">
        <v>138</v>
      </c>
      <c r="BW1944" s="15" t="s">
        <v>138</v>
      </c>
      <c r="BX1944" s="15" t="s">
        <v>138</v>
      </c>
      <c r="BY1944" s="15" t="s">
        <v>175</v>
      </c>
      <c r="BZ1944" s="22">
        <v>42646</v>
      </c>
      <c r="CA1944" s="17">
        <v>0.12</v>
      </c>
      <c r="CB1944" s="15" t="s">
        <v>172</v>
      </c>
      <c r="CC1944" s="17" t="s">
        <v>138</v>
      </c>
      <c r="CD1944" s="15" t="s">
        <v>138</v>
      </c>
      <c r="CE1944" s="15" t="s">
        <v>316</v>
      </c>
      <c r="CF1944" s="15" t="s">
        <v>138</v>
      </c>
      <c r="CG1944" s="15" t="s">
        <v>138</v>
      </c>
      <c r="CH1944" s="15" t="s">
        <v>177</v>
      </c>
      <c r="CI1944" s="15" t="s">
        <v>264</v>
      </c>
      <c r="CJ1944" s="15" t="s">
        <v>138</v>
      </c>
      <c r="CK1944" s="15" t="s">
        <v>138</v>
      </c>
      <c r="CL1944" s="15" t="s">
        <v>175</v>
      </c>
      <c r="CM1944" s="22" t="s">
        <v>138</v>
      </c>
      <c r="CN1944" s="17" t="s">
        <v>138</v>
      </c>
      <c r="CO1944" s="23">
        <v>-0.13</v>
      </c>
      <c r="CP1944" s="24">
        <v>20</v>
      </c>
      <c r="CQ1944" s="23">
        <v>0.01</v>
      </c>
      <c r="CR1944" s="23">
        <v>8.19</v>
      </c>
      <c r="CS1944" s="23">
        <v>-0.32</v>
      </c>
      <c r="CT1944" s="24">
        <v>21</v>
      </c>
      <c r="CU1944" s="23">
        <v>7.0000000000000007E-2</v>
      </c>
      <c r="CV1944" s="24">
        <v>62</v>
      </c>
      <c r="CW1944" s="23">
        <v>0</v>
      </c>
      <c r="CX1944" s="24">
        <v>13</v>
      </c>
      <c r="CY1944" s="23">
        <v>-0.65</v>
      </c>
      <c r="CZ1944" s="24">
        <v>21</v>
      </c>
      <c r="DA1944" s="23">
        <v>0.14000000000000001</v>
      </c>
      <c r="DB1944" s="24">
        <v>77</v>
      </c>
      <c r="DC1944" s="25">
        <v>2.0499999999999998</v>
      </c>
      <c r="DD1944" s="24">
        <v>68</v>
      </c>
      <c r="DE1944" s="25">
        <v>0</v>
      </c>
      <c r="DF1944" s="23">
        <v>-0.15</v>
      </c>
      <c r="DG1944" s="25">
        <v>2.4700000000000002</v>
      </c>
      <c r="DH1944" s="24">
        <v>71</v>
      </c>
      <c r="DI1944" s="25">
        <v>1.63</v>
      </c>
      <c r="DJ1944" s="24">
        <v>58</v>
      </c>
      <c r="DK1944" s="25">
        <v>0.45</v>
      </c>
      <c r="DL1944" s="24">
        <v>32</v>
      </c>
      <c r="DM1944" s="25">
        <v>4.4800000000000004</v>
      </c>
      <c r="DN1944" s="24">
        <v>80</v>
      </c>
      <c r="DO1944" s="25">
        <v>2.31</v>
      </c>
      <c r="DP1944" s="24">
        <v>66</v>
      </c>
      <c r="DQ1944" s="24">
        <v>174</v>
      </c>
      <c r="DR1944" s="26">
        <v>-55</v>
      </c>
      <c r="DS1944" s="23">
        <v>-24.02</v>
      </c>
      <c r="DT1944" s="24">
        <v>129</v>
      </c>
      <c r="DU1944" s="26">
        <v>0</v>
      </c>
      <c r="DV1944" s="23">
        <v>0</v>
      </c>
      <c r="DW1944" s="24">
        <v>827</v>
      </c>
      <c r="DX1944" s="27">
        <v>1</v>
      </c>
      <c r="DY1944" s="23">
        <v>0.12</v>
      </c>
      <c r="DZ1944" s="15" t="s">
        <v>178</v>
      </c>
      <c r="EA1944" s="22">
        <v>43375</v>
      </c>
      <c r="EB1944" s="17">
        <v>0.63</v>
      </c>
      <c r="EC1944" s="22">
        <v>41821</v>
      </c>
      <c r="ED1944" s="15" t="s">
        <v>316</v>
      </c>
      <c r="EE1944" s="14" t="str">
        <f>HYPERLINK("https://my.pitchbook.com?c=100830-61", "View company online")</f>
        <v>View company online</v>
      </c>
    </row>
    <row r="1945" spans="1:135">
      <c r="A1945" s="28" t="s">
        <v>36772</v>
      </c>
      <c r="B1945" s="28" t="s">
        <v>36773</v>
      </c>
      <c r="C1945" s="28" t="s">
        <v>138</v>
      </c>
      <c r="D1945" s="28" t="s">
        <v>138</v>
      </c>
      <c r="E1945" s="28" t="s">
        <v>36774</v>
      </c>
      <c r="F1945" s="28" t="s">
        <v>36772</v>
      </c>
      <c r="G1945" s="28" t="s">
        <v>36775</v>
      </c>
      <c r="H1945" s="28" t="s">
        <v>322</v>
      </c>
      <c r="I1945" s="28" t="s">
        <v>323</v>
      </c>
      <c r="J1945" s="28" t="s">
        <v>324</v>
      </c>
      <c r="K1945" s="28" t="s">
        <v>325</v>
      </c>
      <c r="L1945" s="28" t="s">
        <v>2641</v>
      </c>
      <c r="M1945" s="28" t="s">
        <v>36776</v>
      </c>
      <c r="N1945" s="28" t="s">
        <v>147</v>
      </c>
      <c r="O1945" s="29">
        <v>80</v>
      </c>
      <c r="P1945" s="28" t="s">
        <v>148</v>
      </c>
      <c r="Q1945" s="28" t="s">
        <v>149</v>
      </c>
      <c r="R1945" s="28" t="s">
        <v>174</v>
      </c>
      <c r="S1945" s="28" t="s">
        <v>36777</v>
      </c>
      <c r="T1945" s="30">
        <v>45</v>
      </c>
      <c r="U1945" s="28" t="s">
        <v>36778</v>
      </c>
      <c r="V1945" s="28" t="s">
        <v>138</v>
      </c>
      <c r="W1945" s="28" t="s">
        <v>138</v>
      </c>
      <c r="X1945" s="31">
        <v>2009</v>
      </c>
      <c r="Y1945" s="28" t="s">
        <v>138</v>
      </c>
      <c r="Z1945" s="28" t="s">
        <v>1163</v>
      </c>
      <c r="AA1945" s="28" t="s">
        <v>1163</v>
      </c>
      <c r="AB1945" s="32">
        <v>5.55</v>
      </c>
      <c r="AC1945" s="32" t="s">
        <v>138</v>
      </c>
      <c r="AD1945" s="32" t="s">
        <v>138</v>
      </c>
      <c r="AE1945" s="32" t="s">
        <v>138</v>
      </c>
      <c r="AF1945" s="32" t="s">
        <v>138</v>
      </c>
      <c r="AG1945" s="28" t="s">
        <v>563</v>
      </c>
      <c r="AH1945" s="32" t="s">
        <v>138</v>
      </c>
      <c r="AI1945" s="32" t="s">
        <v>138</v>
      </c>
      <c r="AJ1945" s="32" t="s">
        <v>138</v>
      </c>
      <c r="AK1945" s="28" t="s">
        <v>36779</v>
      </c>
      <c r="AL1945" s="28" t="s">
        <v>36780</v>
      </c>
      <c r="AM1945" s="28" t="s">
        <v>304</v>
      </c>
      <c r="AN1945" s="28" t="s">
        <v>36781</v>
      </c>
      <c r="AO1945" s="28" t="s">
        <v>138</v>
      </c>
      <c r="AP1945" s="28" t="s">
        <v>1292</v>
      </c>
      <c r="AQ1945" s="28" t="s">
        <v>36782</v>
      </c>
      <c r="AR1945" s="28" t="s">
        <v>5110</v>
      </c>
      <c r="AS1945" s="28" t="s">
        <v>1294</v>
      </c>
      <c r="AT1945" s="28" t="s">
        <v>864</v>
      </c>
      <c r="AU1945" s="28" t="s">
        <v>22494</v>
      </c>
      <c r="AV1945" s="28" t="s">
        <v>162</v>
      </c>
      <c r="AW1945" s="28" t="s">
        <v>138</v>
      </c>
      <c r="AX1945" s="28" t="s">
        <v>138</v>
      </c>
      <c r="AY1945" s="28" t="s">
        <v>36783</v>
      </c>
      <c r="AZ1945" s="28" t="s">
        <v>164</v>
      </c>
      <c r="BA1945" s="28" t="s">
        <v>165</v>
      </c>
      <c r="BB1945" s="28" t="s">
        <v>36784</v>
      </c>
      <c r="BC1945" s="28" t="s">
        <v>36785</v>
      </c>
      <c r="BD1945" s="33">
        <v>20</v>
      </c>
      <c r="BE1945" s="28" t="s">
        <v>138</v>
      </c>
      <c r="BF1945" s="28" t="s">
        <v>138</v>
      </c>
      <c r="BG1945" s="28" t="s">
        <v>138</v>
      </c>
      <c r="BH1945" s="28" t="s">
        <v>36786</v>
      </c>
      <c r="BI1945" s="28" t="s">
        <v>138</v>
      </c>
      <c r="BJ1945" s="28" t="s">
        <v>138</v>
      </c>
      <c r="BK1945" s="28" t="s">
        <v>36787</v>
      </c>
      <c r="BL1945" s="28" t="s">
        <v>36788</v>
      </c>
      <c r="BM1945" s="34">
        <v>40206</v>
      </c>
      <c r="BN1945" s="29">
        <v>2</v>
      </c>
      <c r="BO1945" s="28" t="s">
        <v>172</v>
      </c>
      <c r="BP1945" s="29">
        <v>11.22</v>
      </c>
      <c r="BQ1945" s="28" t="s">
        <v>172</v>
      </c>
      <c r="BR1945" s="28" t="s">
        <v>205</v>
      </c>
      <c r="BS1945" s="28" t="s">
        <v>206</v>
      </c>
      <c r="BT1945" s="28" t="s">
        <v>138</v>
      </c>
      <c r="BU1945" s="28" t="s">
        <v>174</v>
      </c>
      <c r="BV1945" s="28" t="s">
        <v>138</v>
      </c>
      <c r="BW1945" s="28" t="s">
        <v>138</v>
      </c>
      <c r="BX1945" s="28" t="s">
        <v>138</v>
      </c>
      <c r="BY1945" s="28" t="s">
        <v>175</v>
      </c>
      <c r="BZ1945" s="34">
        <v>43566</v>
      </c>
      <c r="CA1945" s="29">
        <v>26</v>
      </c>
      <c r="CB1945" s="28" t="s">
        <v>172</v>
      </c>
      <c r="CC1945" s="29">
        <v>116</v>
      </c>
      <c r="CD1945" s="28" t="s">
        <v>172</v>
      </c>
      <c r="CE1945" s="28" t="s">
        <v>173</v>
      </c>
      <c r="CF1945" s="28" t="s">
        <v>720</v>
      </c>
      <c r="CG1945" s="28" t="s">
        <v>138</v>
      </c>
      <c r="CH1945" s="28" t="s">
        <v>174</v>
      </c>
      <c r="CI1945" s="28" t="s">
        <v>138</v>
      </c>
      <c r="CJ1945" s="28" t="s">
        <v>138</v>
      </c>
      <c r="CK1945" s="28" t="s">
        <v>138</v>
      </c>
      <c r="CL1945" s="28" t="s">
        <v>175</v>
      </c>
      <c r="CM1945" s="34" t="s">
        <v>138</v>
      </c>
      <c r="CN1945" s="29" t="s">
        <v>138</v>
      </c>
      <c r="CO1945" s="35">
        <v>1.59</v>
      </c>
      <c r="CP1945" s="36">
        <v>98</v>
      </c>
      <c r="CQ1945" s="35">
        <v>0.02</v>
      </c>
      <c r="CR1945" s="35">
        <v>1.02</v>
      </c>
      <c r="CS1945" s="35">
        <v>2.23</v>
      </c>
      <c r="CT1945" s="36">
        <v>98</v>
      </c>
      <c r="CU1945" s="35">
        <v>0.38</v>
      </c>
      <c r="CV1945" s="36">
        <v>91</v>
      </c>
      <c r="CW1945" s="35">
        <v>5.53</v>
      </c>
      <c r="CX1945" s="36">
        <v>96</v>
      </c>
      <c r="CY1945" s="35">
        <v>-1.08</v>
      </c>
      <c r="CZ1945" s="36">
        <v>18</v>
      </c>
      <c r="DA1945" s="35">
        <v>0.49</v>
      </c>
      <c r="DB1945" s="36">
        <v>94</v>
      </c>
      <c r="DC1945" s="37">
        <v>24.04</v>
      </c>
      <c r="DD1945" s="36">
        <v>96</v>
      </c>
      <c r="DE1945" s="37">
        <v>-0.27</v>
      </c>
      <c r="DF1945" s="35">
        <v>-1.1100000000000001</v>
      </c>
      <c r="DG1945" s="37">
        <v>56.43</v>
      </c>
      <c r="DH1945" s="36">
        <v>98</v>
      </c>
      <c r="DI1945" s="37">
        <v>15.48</v>
      </c>
      <c r="DJ1945" s="36">
        <v>89</v>
      </c>
      <c r="DK1945" s="37">
        <v>18.48</v>
      </c>
      <c r="DL1945" s="36">
        <v>91</v>
      </c>
      <c r="DM1945" s="37">
        <v>94.38</v>
      </c>
      <c r="DN1945" s="36">
        <v>99</v>
      </c>
      <c r="DO1945" s="37">
        <v>25.41</v>
      </c>
      <c r="DP1945" s="36">
        <v>94</v>
      </c>
      <c r="DQ1945" s="36">
        <v>6204</v>
      </c>
      <c r="DR1945" s="38">
        <v>405</v>
      </c>
      <c r="DS1945" s="35">
        <v>6.98</v>
      </c>
      <c r="DT1945" s="36">
        <v>2732</v>
      </c>
      <c r="DU1945" s="38">
        <v>15</v>
      </c>
      <c r="DV1945" s="35">
        <v>0.55000000000000004</v>
      </c>
      <c r="DW1945" s="36">
        <v>9074</v>
      </c>
      <c r="DX1945" s="39">
        <v>64</v>
      </c>
      <c r="DY1945" s="35">
        <v>0.71</v>
      </c>
      <c r="DZ1945" s="28" t="s">
        <v>178</v>
      </c>
      <c r="EA1945" s="34">
        <v>43579</v>
      </c>
      <c r="EB1945" s="29">
        <v>116</v>
      </c>
      <c r="EC1945" s="34">
        <v>43566</v>
      </c>
      <c r="ED1945" s="28" t="s">
        <v>173</v>
      </c>
      <c r="EE1945" s="40" t="str">
        <f>HYPERLINK("https://my.pitchbook.com?c=52500-34", "View company online")</f>
        <v>View company online</v>
      </c>
    </row>
    <row r="1946" spans="1:135">
      <c r="A1946" s="15" t="s">
        <v>36789</v>
      </c>
      <c r="B1946" s="15" t="s">
        <v>36790</v>
      </c>
      <c r="C1946" s="15" t="s">
        <v>138</v>
      </c>
      <c r="D1946" s="15" t="s">
        <v>138</v>
      </c>
      <c r="E1946" s="15" t="s">
        <v>36791</v>
      </c>
      <c r="F1946" s="15" t="s">
        <v>36789</v>
      </c>
      <c r="G1946" s="15" t="s">
        <v>36792</v>
      </c>
      <c r="H1946" s="15" t="s">
        <v>322</v>
      </c>
      <c r="I1946" s="15" t="s">
        <v>323</v>
      </c>
      <c r="J1946" s="15" t="s">
        <v>1184</v>
      </c>
      <c r="K1946" s="15" t="s">
        <v>5023</v>
      </c>
      <c r="L1946" s="15" t="s">
        <v>17367</v>
      </c>
      <c r="M1946" s="15" t="s">
        <v>36793</v>
      </c>
      <c r="N1946" s="15" t="s">
        <v>147</v>
      </c>
      <c r="O1946" s="17">
        <v>22.48</v>
      </c>
      <c r="P1946" s="15" t="s">
        <v>148</v>
      </c>
      <c r="Q1946" s="15" t="s">
        <v>149</v>
      </c>
      <c r="R1946" s="15" t="s">
        <v>174</v>
      </c>
      <c r="S1946" s="15" t="s">
        <v>36794</v>
      </c>
      <c r="T1946" s="18">
        <v>42</v>
      </c>
      <c r="U1946" s="15" t="s">
        <v>36795</v>
      </c>
      <c r="V1946" s="15" t="s">
        <v>138</v>
      </c>
      <c r="W1946" s="15" t="s">
        <v>138</v>
      </c>
      <c r="X1946" s="19">
        <v>2014</v>
      </c>
      <c r="Y1946" s="15" t="s">
        <v>138</v>
      </c>
      <c r="Z1946" s="15" t="s">
        <v>138</v>
      </c>
      <c r="AA1946" s="15" t="s">
        <v>138</v>
      </c>
      <c r="AB1946" s="20" t="s">
        <v>138</v>
      </c>
      <c r="AC1946" s="20" t="s">
        <v>138</v>
      </c>
      <c r="AD1946" s="20" t="s">
        <v>138</v>
      </c>
      <c r="AE1946" s="20" t="s">
        <v>138</v>
      </c>
      <c r="AF1946" s="20" t="s">
        <v>138</v>
      </c>
      <c r="AG1946" s="15" t="s">
        <v>138</v>
      </c>
      <c r="AH1946" s="20" t="s">
        <v>138</v>
      </c>
      <c r="AI1946" s="20" t="s">
        <v>138</v>
      </c>
      <c r="AJ1946" s="20" t="s">
        <v>138</v>
      </c>
      <c r="AK1946" s="15" t="s">
        <v>36796</v>
      </c>
      <c r="AL1946" s="15" t="s">
        <v>36797</v>
      </c>
      <c r="AM1946" s="15" t="s">
        <v>304</v>
      </c>
      <c r="AN1946" s="15" t="s">
        <v>36798</v>
      </c>
      <c r="AO1946" s="15" t="s">
        <v>36799</v>
      </c>
      <c r="AP1946" s="15" t="s">
        <v>13886</v>
      </c>
      <c r="AQ1946" s="15" t="s">
        <v>36800</v>
      </c>
      <c r="AR1946" s="15" t="s">
        <v>158</v>
      </c>
      <c r="AS1946" s="15" t="s">
        <v>13888</v>
      </c>
      <c r="AT1946" s="15" t="s">
        <v>200</v>
      </c>
      <c r="AU1946" s="15" t="s">
        <v>13889</v>
      </c>
      <c r="AV1946" s="15" t="s">
        <v>162</v>
      </c>
      <c r="AW1946" s="15" t="s">
        <v>36799</v>
      </c>
      <c r="AX1946" s="15" t="s">
        <v>138</v>
      </c>
      <c r="AY1946" s="15" t="s">
        <v>36801</v>
      </c>
      <c r="AZ1946" s="15" t="s">
        <v>164</v>
      </c>
      <c r="BA1946" s="15" t="s">
        <v>165</v>
      </c>
      <c r="BB1946" s="15" t="s">
        <v>36802</v>
      </c>
      <c r="BC1946" s="15" t="s">
        <v>36803</v>
      </c>
      <c r="BD1946" s="21">
        <v>10</v>
      </c>
      <c r="BE1946" s="15" t="s">
        <v>138</v>
      </c>
      <c r="BF1946" s="15" t="s">
        <v>138</v>
      </c>
      <c r="BG1946" s="15" t="s">
        <v>138</v>
      </c>
      <c r="BH1946" s="15" t="s">
        <v>36804</v>
      </c>
      <c r="BI1946" s="15" t="s">
        <v>138</v>
      </c>
      <c r="BJ1946" s="15" t="s">
        <v>138</v>
      </c>
      <c r="BK1946" s="15" t="s">
        <v>2936</v>
      </c>
      <c r="BL1946" s="15" t="s">
        <v>2936</v>
      </c>
      <c r="BM1946" s="22">
        <v>41886</v>
      </c>
      <c r="BN1946" s="17">
        <v>0.88</v>
      </c>
      <c r="BO1946" s="15" t="s">
        <v>1178</v>
      </c>
      <c r="BP1946" s="17">
        <v>8.3800000000000008</v>
      </c>
      <c r="BQ1946" s="15" t="s">
        <v>172</v>
      </c>
      <c r="BR1946" s="15" t="s">
        <v>234</v>
      </c>
      <c r="BS1946" s="15" t="s">
        <v>234</v>
      </c>
      <c r="BT1946" s="15" t="s">
        <v>138</v>
      </c>
      <c r="BU1946" s="15" t="s">
        <v>263</v>
      </c>
      <c r="BV1946" s="15" t="s">
        <v>138</v>
      </c>
      <c r="BW1946" s="15" t="s">
        <v>138</v>
      </c>
      <c r="BX1946" s="15" t="s">
        <v>138</v>
      </c>
      <c r="BY1946" s="15" t="s">
        <v>175</v>
      </c>
      <c r="BZ1946" s="22">
        <v>42508</v>
      </c>
      <c r="CA1946" s="17">
        <v>20.3</v>
      </c>
      <c r="CB1946" s="15" t="s">
        <v>172</v>
      </c>
      <c r="CC1946" s="17">
        <v>141.32</v>
      </c>
      <c r="CD1946" s="15" t="s">
        <v>172</v>
      </c>
      <c r="CE1946" s="15" t="s">
        <v>205</v>
      </c>
      <c r="CF1946" s="15" t="s">
        <v>206</v>
      </c>
      <c r="CG1946" s="15" t="s">
        <v>138</v>
      </c>
      <c r="CH1946" s="15" t="s">
        <v>174</v>
      </c>
      <c r="CI1946" s="15" t="s">
        <v>138</v>
      </c>
      <c r="CJ1946" s="15" t="s">
        <v>138</v>
      </c>
      <c r="CK1946" s="15" t="s">
        <v>138</v>
      </c>
      <c r="CL1946" s="15" t="s">
        <v>175</v>
      </c>
      <c r="CM1946" s="22" t="s">
        <v>138</v>
      </c>
      <c r="CN1946" s="17" t="s">
        <v>138</v>
      </c>
      <c r="CO1946" s="23">
        <v>-1.46</v>
      </c>
      <c r="CP1946" s="24">
        <v>8</v>
      </c>
      <c r="CQ1946" s="23">
        <v>0.04</v>
      </c>
      <c r="CR1946" s="23">
        <v>2.81</v>
      </c>
      <c r="CS1946" s="23">
        <v>-1.46</v>
      </c>
      <c r="CT1946" s="24">
        <v>12</v>
      </c>
      <c r="CU1946" s="23" t="s">
        <v>138</v>
      </c>
      <c r="CV1946" s="24" t="s">
        <v>138</v>
      </c>
      <c r="CW1946" s="23" t="s">
        <v>138</v>
      </c>
      <c r="CX1946" s="24" t="s">
        <v>138</v>
      </c>
      <c r="CY1946" s="23">
        <v>-1.46</v>
      </c>
      <c r="CZ1946" s="24">
        <v>15</v>
      </c>
      <c r="DA1946" s="23" t="s">
        <v>138</v>
      </c>
      <c r="DB1946" s="24" t="s">
        <v>138</v>
      </c>
      <c r="DC1946" s="25">
        <v>9.0299999999999994</v>
      </c>
      <c r="DD1946" s="24">
        <v>89</v>
      </c>
      <c r="DE1946" s="25">
        <v>0.03</v>
      </c>
      <c r="DF1946" s="23">
        <v>0.38</v>
      </c>
      <c r="DG1946" s="25">
        <v>9.0299999999999994</v>
      </c>
      <c r="DH1946" s="24">
        <v>89</v>
      </c>
      <c r="DI1946" s="25" t="s">
        <v>138</v>
      </c>
      <c r="DJ1946" s="24" t="s">
        <v>138</v>
      </c>
      <c r="DK1946" s="25" t="s">
        <v>138</v>
      </c>
      <c r="DL1946" s="24" t="s">
        <v>138</v>
      </c>
      <c r="DM1946" s="25">
        <v>9.0299999999999994</v>
      </c>
      <c r="DN1946" s="24">
        <v>88</v>
      </c>
      <c r="DO1946" s="25" t="s">
        <v>138</v>
      </c>
      <c r="DP1946" s="24" t="s">
        <v>138</v>
      </c>
      <c r="DQ1946" s="24" t="s">
        <v>138</v>
      </c>
      <c r="DR1946" s="26" t="s">
        <v>138</v>
      </c>
      <c r="DS1946" s="23" t="s">
        <v>138</v>
      </c>
      <c r="DT1946" s="24">
        <v>261</v>
      </c>
      <c r="DU1946" s="26">
        <v>0</v>
      </c>
      <c r="DV1946" s="23">
        <v>0</v>
      </c>
      <c r="DW1946" s="24" t="s">
        <v>138</v>
      </c>
      <c r="DX1946" s="27" t="s">
        <v>138</v>
      </c>
      <c r="DY1946" s="23" t="s">
        <v>138</v>
      </c>
      <c r="DZ1946" s="15" t="s">
        <v>178</v>
      </c>
      <c r="EA1946" s="22">
        <v>43550</v>
      </c>
      <c r="EB1946" s="17">
        <v>141.32</v>
      </c>
      <c r="EC1946" s="22">
        <v>42508</v>
      </c>
      <c r="ED1946" s="15" t="s">
        <v>205</v>
      </c>
      <c r="EE1946" s="14" t="str">
        <f>HYPERLINK("https://my.pitchbook.com?c=157320-46", "View company online")</f>
        <v>View company online</v>
      </c>
    </row>
    <row r="1947" spans="1:135">
      <c r="A1947" s="28" t="s">
        <v>36805</v>
      </c>
      <c r="B1947" s="28" t="s">
        <v>36806</v>
      </c>
      <c r="C1947" s="28" t="s">
        <v>36807</v>
      </c>
      <c r="D1947" s="28" t="s">
        <v>138</v>
      </c>
      <c r="E1947" s="28" t="s">
        <v>36808</v>
      </c>
      <c r="F1947" s="28" t="s">
        <v>36805</v>
      </c>
      <c r="G1947" s="28" t="s">
        <v>36809</v>
      </c>
      <c r="H1947" s="28" t="s">
        <v>141</v>
      </c>
      <c r="I1947" s="28" t="s">
        <v>142</v>
      </c>
      <c r="J1947" s="28" t="s">
        <v>4042</v>
      </c>
      <c r="K1947" s="28" t="s">
        <v>36810</v>
      </c>
      <c r="L1947" s="28" t="s">
        <v>36811</v>
      </c>
      <c r="M1947" s="28" t="s">
        <v>36812</v>
      </c>
      <c r="N1947" s="28" t="s">
        <v>147</v>
      </c>
      <c r="O1947" s="29">
        <v>61.77</v>
      </c>
      <c r="P1947" s="28" t="s">
        <v>148</v>
      </c>
      <c r="Q1947" s="28" t="s">
        <v>149</v>
      </c>
      <c r="R1947" s="28" t="s">
        <v>174</v>
      </c>
      <c r="S1947" s="28" t="s">
        <v>36813</v>
      </c>
      <c r="T1947" s="30" t="s">
        <v>138</v>
      </c>
      <c r="U1947" s="28" t="s">
        <v>138</v>
      </c>
      <c r="V1947" s="28" t="s">
        <v>138</v>
      </c>
      <c r="W1947" s="28" t="s">
        <v>138</v>
      </c>
      <c r="X1947" s="31">
        <v>2013</v>
      </c>
      <c r="Y1947" s="28" t="s">
        <v>138</v>
      </c>
      <c r="Z1947" s="28" t="s">
        <v>138</v>
      </c>
      <c r="AA1947" s="28" t="s">
        <v>138</v>
      </c>
      <c r="AB1947" s="32" t="s">
        <v>138</v>
      </c>
      <c r="AC1947" s="32" t="s">
        <v>138</v>
      </c>
      <c r="AD1947" s="32" t="s">
        <v>138</v>
      </c>
      <c r="AE1947" s="32" t="s">
        <v>138</v>
      </c>
      <c r="AF1947" s="32" t="s">
        <v>138</v>
      </c>
      <c r="AG1947" s="28" t="s">
        <v>138</v>
      </c>
      <c r="AH1947" s="32" t="s">
        <v>138</v>
      </c>
      <c r="AI1947" s="32" t="s">
        <v>138</v>
      </c>
      <c r="AJ1947" s="32" t="s">
        <v>138</v>
      </c>
      <c r="AK1947" s="28" t="s">
        <v>36814</v>
      </c>
      <c r="AL1947" s="28" t="s">
        <v>36815</v>
      </c>
      <c r="AM1947" s="28" t="s">
        <v>36816</v>
      </c>
      <c r="AN1947" s="28" t="s">
        <v>36817</v>
      </c>
      <c r="AO1947" s="28" t="s">
        <v>36818</v>
      </c>
      <c r="AP1947" s="28" t="s">
        <v>9134</v>
      </c>
      <c r="AQ1947" s="28" t="s">
        <v>36819</v>
      </c>
      <c r="AR1947" s="28" t="s">
        <v>1115</v>
      </c>
      <c r="AS1947" s="28" t="s">
        <v>9136</v>
      </c>
      <c r="AT1947" s="28" t="s">
        <v>200</v>
      </c>
      <c r="AU1947" s="28" t="s">
        <v>9137</v>
      </c>
      <c r="AV1947" s="28" t="s">
        <v>162</v>
      </c>
      <c r="AW1947" s="28" t="s">
        <v>36818</v>
      </c>
      <c r="AX1947" s="28" t="s">
        <v>138</v>
      </c>
      <c r="AY1947" s="28" t="s">
        <v>36820</v>
      </c>
      <c r="AZ1947" s="28" t="s">
        <v>164</v>
      </c>
      <c r="BA1947" s="28" t="s">
        <v>165</v>
      </c>
      <c r="BB1947" s="28" t="s">
        <v>36821</v>
      </c>
      <c r="BC1947" s="28" t="s">
        <v>36822</v>
      </c>
      <c r="BD1947" s="33">
        <v>16</v>
      </c>
      <c r="BE1947" s="28" t="s">
        <v>138</v>
      </c>
      <c r="BF1947" s="28" t="s">
        <v>138</v>
      </c>
      <c r="BG1947" s="28" t="s">
        <v>138</v>
      </c>
      <c r="BH1947" s="28" t="s">
        <v>36823</v>
      </c>
      <c r="BI1947" s="28" t="s">
        <v>138</v>
      </c>
      <c r="BJ1947" s="28" t="s">
        <v>138</v>
      </c>
      <c r="BK1947" s="28" t="s">
        <v>138</v>
      </c>
      <c r="BL1947" s="28" t="s">
        <v>204</v>
      </c>
      <c r="BM1947" s="34">
        <v>41582</v>
      </c>
      <c r="BN1947" s="29">
        <v>0.27</v>
      </c>
      <c r="BO1947" s="28" t="s">
        <v>172</v>
      </c>
      <c r="BP1947" s="29" t="s">
        <v>138</v>
      </c>
      <c r="BQ1947" s="28" t="s">
        <v>138</v>
      </c>
      <c r="BR1947" s="28" t="s">
        <v>262</v>
      </c>
      <c r="BS1947" s="28" t="s">
        <v>262</v>
      </c>
      <c r="BT1947" s="28" t="s">
        <v>138</v>
      </c>
      <c r="BU1947" s="28" t="s">
        <v>263</v>
      </c>
      <c r="BV1947" s="28" t="s">
        <v>138</v>
      </c>
      <c r="BW1947" s="28" t="s">
        <v>138</v>
      </c>
      <c r="BX1947" s="28" t="s">
        <v>138</v>
      </c>
      <c r="BY1947" s="28" t="s">
        <v>175</v>
      </c>
      <c r="BZ1947" s="34">
        <v>43599</v>
      </c>
      <c r="CA1947" s="29" t="s">
        <v>138</v>
      </c>
      <c r="CB1947" s="28" t="s">
        <v>138</v>
      </c>
      <c r="CC1947" s="29" t="s">
        <v>138</v>
      </c>
      <c r="CD1947" s="28" t="s">
        <v>138</v>
      </c>
      <c r="CE1947" s="28" t="s">
        <v>173</v>
      </c>
      <c r="CF1947" s="28" t="s">
        <v>138</v>
      </c>
      <c r="CG1947" s="28" t="s">
        <v>138</v>
      </c>
      <c r="CH1947" s="28" t="s">
        <v>174</v>
      </c>
      <c r="CI1947" s="28" t="s">
        <v>138</v>
      </c>
      <c r="CJ1947" s="28" t="s">
        <v>138</v>
      </c>
      <c r="CK1947" s="28" t="s">
        <v>138</v>
      </c>
      <c r="CL1947" s="28" t="s">
        <v>175</v>
      </c>
      <c r="CM1947" s="34" t="s">
        <v>138</v>
      </c>
      <c r="CN1947" s="29" t="s">
        <v>138</v>
      </c>
      <c r="CO1947" s="35">
        <v>1.26</v>
      </c>
      <c r="CP1947" s="36">
        <v>98</v>
      </c>
      <c r="CQ1947" s="35">
        <v>-0.03</v>
      </c>
      <c r="CR1947" s="35">
        <v>-2.42</v>
      </c>
      <c r="CS1947" s="35">
        <v>1.46</v>
      </c>
      <c r="CT1947" s="36">
        <v>97</v>
      </c>
      <c r="CU1947" s="35">
        <v>1.06</v>
      </c>
      <c r="CV1947" s="36">
        <v>98</v>
      </c>
      <c r="CW1947" s="35">
        <v>4.24</v>
      </c>
      <c r="CX1947" s="36">
        <v>94</v>
      </c>
      <c r="CY1947" s="35">
        <v>-1.31</v>
      </c>
      <c r="CZ1947" s="36">
        <v>16</v>
      </c>
      <c r="DA1947" s="35">
        <v>1.06</v>
      </c>
      <c r="DB1947" s="36">
        <v>98</v>
      </c>
      <c r="DC1947" s="37">
        <v>6.53</v>
      </c>
      <c r="DD1947" s="36">
        <v>86</v>
      </c>
      <c r="DE1947" s="37">
        <v>-0.39</v>
      </c>
      <c r="DF1947" s="35">
        <v>-5.58</v>
      </c>
      <c r="DG1947" s="37">
        <v>11.71</v>
      </c>
      <c r="DH1947" s="36">
        <v>91</v>
      </c>
      <c r="DI1947" s="37">
        <v>1.35</v>
      </c>
      <c r="DJ1947" s="36">
        <v>55</v>
      </c>
      <c r="DK1947" s="37">
        <v>12.11</v>
      </c>
      <c r="DL1947" s="36">
        <v>88</v>
      </c>
      <c r="DM1947" s="37">
        <v>11.31</v>
      </c>
      <c r="DN1947" s="36">
        <v>90</v>
      </c>
      <c r="DO1947" s="37">
        <v>1.35</v>
      </c>
      <c r="DP1947" s="36">
        <v>56</v>
      </c>
      <c r="DQ1947" s="36">
        <v>4012</v>
      </c>
      <c r="DR1947" s="38">
        <v>423</v>
      </c>
      <c r="DS1947" s="35">
        <v>11.79</v>
      </c>
      <c r="DT1947" s="36">
        <v>328</v>
      </c>
      <c r="DU1947" s="38">
        <v>-1</v>
      </c>
      <c r="DV1947" s="35">
        <v>-0.3</v>
      </c>
      <c r="DW1947" s="36">
        <v>482</v>
      </c>
      <c r="DX1947" s="39">
        <v>4</v>
      </c>
      <c r="DY1947" s="35">
        <v>0.84</v>
      </c>
      <c r="DZ1947" s="28" t="s">
        <v>178</v>
      </c>
      <c r="EA1947" s="34">
        <v>43601</v>
      </c>
      <c r="EB1947" s="29">
        <v>220.15</v>
      </c>
      <c r="EC1947" s="34">
        <v>43467</v>
      </c>
      <c r="ED1947" s="28" t="s">
        <v>173</v>
      </c>
      <c r="EE1947" s="40" t="str">
        <f>HYPERLINK("https://my.pitchbook.com?c=168182-38", "View company online")</f>
        <v>View company online</v>
      </c>
    </row>
    <row r="1948" spans="1:135">
      <c r="A1948" s="15" t="s">
        <v>36824</v>
      </c>
      <c r="B1948" s="15" t="s">
        <v>36825</v>
      </c>
      <c r="C1948" s="15" t="s">
        <v>36826</v>
      </c>
      <c r="D1948" s="15" t="s">
        <v>138</v>
      </c>
      <c r="E1948" s="15" t="s">
        <v>138</v>
      </c>
      <c r="F1948" s="15" t="s">
        <v>36824</v>
      </c>
      <c r="G1948" s="15" t="s">
        <v>36827</v>
      </c>
      <c r="H1948" s="15" t="s">
        <v>322</v>
      </c>
      <c r="I1948" s="15" t="s">
        <v>1208</v>
      </c>
      <c r="J1948" s="15" t="s">
        <v>1209</v>
      </c>
      <c r="K1948" s="15" t="s">
        <v>1971</v>
      </c>
      <c r="L1948" s="15" t="s">
        <v>415</v>
      </c>
      <c r="M1948" s="15" t="s">
        <v>36828</v>
      </c>
      <c r="N1948" s="15" t="s">
        <v>147</v>
      </c>
      <c r="O1948" s="17" t="s">
        <v>138</v>
      </c>
      <c r="P1948" s="15" t="s">
        <v>610</v>
      </c>
      <c r="Q1948" s="15" t="s">
        <v>149</v>
      </c>
      <c r="R1948" s="15" t="s">
        <v>174</v>
      </c>
      <c r="S1948" s="15" t="s">
        <v>36829</v>
      </c>
      <c r="T1948" s="18" t="s">
        <v>138</v>
      </c>
      <c r="U1948" s="15" t="s">
        <v>138</v>
      </c>
      <c r="V1948" s="15" t="s">
        <v>138</v>
      </c>
      <c r="W1948" s="15" t="s">
        <v>138</v>
      </c>
      <c r="X1948" s="19">
        <v>2000</v>
      </c>
      <c r="Y1948" s="15" t="s">
        <v>138</v>
      </c>
      <c r="Z1948" s="15" t="s">
        <v>138</v>
      </c>
      <c r="AA1948" s="15" t="s">
        <v>138</v>
      </c>
      <c r="AB1948" s="20" t="s">
        <v>138</v>
      </c>
      <c r="AC1948" s="20" t="s">
        <v>138</v>
      </c>
      <c r="AD1948" s="20" t="s">
        <v>138</v>
      </c>
      <c r="AE1948" s="20" t="s">
        <v>138</v>
      </c>
      <c r="AF1948" s="20" t="s">
        <v>138</v>
      </c>
      <c r="AG1948" s="15" t="s">
        <v>138</v>
      </c>
      <c r="AH1948" s="20" t="s">
        <v>138</v>
      </c>
      <c r="AI1948" s="20" t="s">
        <v>138</v>
      </c>
      <c r="AJ1948" s="20" t="s">
        <v>138</v>
      </c>
      <c r="AK1948" s="15" t="s">
        <v>36830</v>
      </c>
      <c r="AL1948" s="15" t="s">
        <v>36831</v>
      </c>
      <c r="AM1948" s="15" t="s">
        <v>566</v>
      </c>
      <c r="AN1948" s="15" t="s">
        <v>36832</v>
      </c>
      <c r="AO1948" s="15" t="s">
        <v>36833</v>
      </c>
      <c r="AP1948" s="15" t="s">
        <v>36834</v>
      </c>
      <c r="AQ1948" s="15" t="s">
        <v>36835</v>
      </c>
      <c r="AR1948" s="15" t="s">
        <v>36836</v>
      </c>
      <c r="AS1948" s="15" t="s">
        <v>36837</v>
      </c>
      <c r="AT1948" s="15" t="s">
        <v>36838</v>
      </c>
      <c r="AU1948" s="15" t="s">
        <v>36839</v>
      </c>
      <c r="AV1948" s="15" t="s">
        <v>2071</v>
      </c>
      <c r="AW1948" s="15" t="s">
        <v>36833</v>
      </c>
      <c r="AX1948" s="15" t="s">
        <v>36840</v>
      </c>
      <c r="AY1948" s="15" t="s">
        <v>36841</v>
      </c>
      <c r="AZ1948" s="15" t="s">
        <v>452</v>
      </c>
      <c r="BA1948" s="15" t="s">
        <v>453</v>
      </c>
      <c r="BB1948" s="15" t="s">
        <v>36842</v>
      </c>
      <c r="BC1948" s="15" t="s">
        <v>2075</v>
      </c>
      <c r="BD1948" s="21">
        <v>1</v>
      </c>
      <c r="BE1948" s="15" t="s">
        <v>138</v>
      </c>
      <c r="BF1948" s="15" t="s">
        <v>138</v>
      </c>
      <c r="BG1948" s="15" t="s">
        <v>138</v>
      </c>
      <c r="BH1948" s="15" t="s">
        <v>2077</v>
      </c>
      <c r="BI1948" s="15" t="s">
        <v>138</v>
      </c>
      <c r="BJ1948" s="15" t="s">
        <v>138</v>
      </c>
      <c r="BK1948" s="15" t="s">
        <v>138</v>
      </c>
      <c r="BL1948" s="15" t="s">
        <v>138</v>
      </c>
      <c r="BM1948" s="22" t="s">
        <v>138</v>
      </c>
      <c r="BN1948" s="17" t="s">
        <v>138</v>
      </c>
      <c r="BO1948" s="15" t="s">
        <v>138</v>
      </c>
      <c r="BP1948" s="17" t="s">
        <v>138</v>
      </c>
      <c r="BQ1948" s="15" t="s">
        <v>138</v>
      </c>
      <c r="BR1948" s="15" t="s">
        <v>205</v>
      </c>
      <c r="BS1948" s="15" t="s">
        <v>138</v>
      </c>
      <c r="BT1948" s="15" t="s">
        <v>138</v>
      </c>
      <c r="BU1948" s="15" t="s">
        <v>174</v>
      </c>
      <c r="BV1948" s="15" t="s">
        <v>138</v>
      </c>
      <c r="BW1948" s="15" t="s">
        <v>138</v>
      </c>
      <c r="BX1948" s="15" t="s">
        <v>138</v>
      </c>
      <c r="BY1948" s="15" t="s">
        <v>175</v>
      </c>
      <c r="BZ1948" s="22" t="s">
        <v>138</v>
      </c>
      <c r="CA1948" s="17" t="s">
        <v>138</v>
      </c>
      <c r="CB1948" s="15" t="s">
        <v>138</v>
      </c>
      <c r="CC1948" s="17" t="s">
        <v>138</v>
      </c>
      <c r="CD1948" s="15" t="s">
        <v>138</v>
      </c>
      <c r="CE1948" s="15" t="s">
        <v>205</v>
      </c>
      <c r="CF1948" s="15" t="s">
        <v>138</v>
      </c>
      <c r="CG1948" s="15" t="s">
        <v>138</v>
      </c>
      <c r="CH1948" s="15" t="s">
        <v>174</v>
      </c>
      <c r="CI1948" s="15" t="s">
        <v>138</v>
      </c>
      <c r="CJ1948" s="15" t="s">
        <v>138</v>
      </c>
      <c r="CK1948" s="15" t="s">
        <v>138</v>
      </c>
      <c r="CL1948" s="15" t="s">
        <v>175</v>
      </c>
      <c r="CM1948" s="22" t="s">
        <v>138</v>
      </c>
      <c r="CN1948" s="17" t="s">
        <v>138</v>
      </c>
      <c r="CO1948" s="23">
        <v>0</v>
      </c>
      <c r="CP1948" s="24">
        <v>26</v>
      </c>
      <c r="CQ1948" s="23">
        <v>0</v>
      </c>
      <c r="CR1948" s="23">
        <v>0</v>
      </c>
      <c r="CS1948" s="23">
        <v>0</v>
      </c>
      <c r="CT1948" s="24">
        <v>23</v>
      </c>
      <c r="CU1948" s="23" t="s">
        <v>138</v>
      </c>
      <c r="CV1948" s="24" t="s">
        <v>138</v>
      </c>
      <c r="CW1948" s="23" t="s">
        <v>138</v>
      </c>
      <c r="CX1948" s="24" t="s">
        <v>138</v>
      </c>
      <c r="CY1948" s="23">
        <v>0</v>
      </c>
      <c r="CZ1948" s="24">
        <v>25</v>
      </c>
      <c r="DA1948" s="23" t="s">
        <v>138</v>
      </c>
      <c r="DB1948" s="24" t="s">
        <v>138</v>
      </c>
      <c r="DC1948" s="25">
        <v>0.14000000000000001</v>
      </c>
      <c r="DD1948" s="24">
        <v>10</v>
      </c>
      <c r="DE1948" s="25">
        <v>0</v>
      </c>
      <c r="DF1948" s="23">
        <v>0</v>
      </c>
      <c r="DG1948" s="25">
        <v>0.14000000000000001</v>
      </c>
      <c r="DH1948" s="24">
        <v>10</v>
      </c>
      <c r="DI1948" s="25" t="s">
        <v>138</v>
      </c>
      <c r="DJ1948" s="24" t="s">
        <v>138</v>
      </c>
      <c r="DK1948" s="25" t="s">
        <v>138</v>
      </c>
      <c r="DL1948" s="24" t="s">
        <v>138</v>
      </c>
      <c r="DM1948" s="25">
        <v>0.14000000000000001</v>
      </c>
      <c r="DN1948" s="24">
        <v>11</v>
      </c>
      <c r="DO1948" s="25" t="s">
        <v>138</v>
      </c>
      <c r="DP1948" s="24" t="s">
        <v>138</v>
      </c>
      <c r="DQ1948" s="24" t="s">
        <v>138</v>
      </c>
      <c r="DR1948" s="26" t="s">
        <v>138</v>
      </c>
      <c r="DS1948" s="23" t="s">
        <v>138</v>
      </c>
      <c r="DT1948" s="24">
        <v>4</v>
      </c>
      <c r="DU1948" s="26">
        <v>0</v>
      </c>
      <c r="DV1948" s="23">
        <v>0</v>
      </c>
      <c r="DW1948" s="24" t="s">
        <v>138</v>
      </c>
      <c r="DX1948" s="27" t="s">
        <v>138</v>
      </c>
      <c r="DY1948" s="23" t="s">
        <v>138</v>
      </c>
      <c r="DZ1948" s="15" t="s">
        <v>178</v>
      </c>
      <c r="EA1948" s="22">
        <v>43351</v>
      </c>
      <c r="EB1948" s="17" t="s">
        <v>138</v>
      </c>
      <c r="EC1948" s="22" t="s">
        <v>138</v>
      </c>
      <c r="ED1948" s="15" t="s">
        <v>138</v>
      </c>
      <c r="EE1948" s="14" t="str">
        <f>HYPERLINK("https://my.pitchbook.com?c=54824-59", "View company online")</f>
        <v>View company online</v>
      </c>
    </row>
    <row r="1949" spans="1:135">
      <c r="A1949" s="28" t="s">
        <v>36843</v>
      </c>
      <c r="B1949" s="28" t="s">
        <v>36844</v>
      </c>
      <c r="C1949" s="28" t="s">
        <v>36845</v>
      </c>
      <c r="D1949" s="28" t="s">
        <v>138</v>
      </c>
      <c r="E1949" s="28" t="s">
        <v>36846</v>
      </c>
      <c r="F1949" s="28" t="s">
        <v>36843</v>
      </c>
      <c r="G1949" s="28" t="s">
        <v>36847</v>
      </c>
      <c r="H1949" s="28" t="s">
        <v>141</v>
      </c>
      <c r="I1949" s="28" t="s">
        <v>212</v>
      </c>
      <c r="J1949" s="28" t="s">
        <v>213</v>
      </c>
      <c r="K1949" s="28" t="s">
        <v>1064</v>
      </c>
      <c r="L1949" s="28" t="s">
        <v>2043</v>
      </c>
      <c r="M1949" s="28" t="s">
        <v>36848</v>
      </c>
      <c r="N1949" s="28" t="s">
        <v>147</v>
      </c>
      <c r="O1949" s="29">
        <v>16.329999999999998</v>
      </c>
      <c r="P1949" s="28" t="s">
        <v>148</v>
      </c>
      <c r="Q1949" s="28" t="s">
        <v>149</v>
      </c>
      <c r="R1949" s="28" t="s">
        <v>174</v>
      </c>
      <c r="S1949" s="28" t="s">
        <v>36849</v>
      </c>
      <c r="T1949" s="30">
        <v>100</v>
      </c>
      <c r="U1949" s="28" t="s">
        <v>301</v>
      </c>
      <c r="V1949" s="28" t="s">
        <v>138</v>
      </c>
      <c r="W1949" s="28" t="s">
        <v>138</v>
      </c>
      <c r="X1949" s="31">
        <v>2014</v>
      </c>
      <c r="Y1949" s="28" t="s">
        <v>138</v>
      </c>
      <c r="Z1949" s="28" t="s">
        <v>138</v>
      </c>
      <c r="AA1949" s="28" t="s">
        <v>138</v>
      </c>
      <c r="AB1949" s="32" t="s">
        <v>138</v>
      </c>
      <c r="AC1949" s="32" t="s">
        <v>138</v>
      </c>
      <c r="AD1949" s="32" t="s">
        <v>138</v>
      </c>
      <c r="AE1949" s="32" t="s">
        <v>138</v>
      </c>
      <c r="AF1949" s="32" t="s">
        <v>138</v>
      </c>
      <c r="AG1949" s="28" t="s">
        <v>138</v>
      </c>
      <c r="AH1949" s="32" t="s">
        <v>138</v>
      </c>
      <c r="AI1949" s="32" t="s">
        <v>138</v>
      </c>
      <c r="AJ1949" s="32" t="s">
        <v>138</v>
      </c>
      <c r="AK1949" s="28" t="s">
        <v>36850</v>
      </c>
      <c r="AL1949" s="28" t="s">
        <v>36851</v>
      </c>
      <c r="AM1949" s="28" t="s">
        <v>36852</v>
      </c>
      <c r="AN1949" s="28" t="s">
        <v>36853</v>
      </c>
      <c r="AO1949" s="28" t="s">
        <v>36854</v>
      </c>
      <c r="AP1949" s="28" t="s">
        <v>5308</v>
      </c>
      <c r="AQ1949" s="28" t="s">
        <v>36855</v>
      </c>
      <c r="AR1949" s="28" t="s">
        <v>138</v>
      </c>
      <c r="AS1949" s="28" t="s">
        <v>3375</v>
      </c>
      <c r="AT1949" s="28" t="s">
        <v>138</v>
      </c>
      <c r="AU1949" s="28" t="s">
        <v>36856</v>
      </c>
      <c r="AV1949" s="28" t="s">
        <v>5311</v>
      </c>
      <c r="AW1949" s="28" t="s">
        <v>36854</v>
      </c>
      <c r="AX1949" s="28" t="s">
        <v>138</v>
      </c>
      <c r="AY1949" s="28" t="s">
        <v>36857</v>
      </c>
      <c r="AZ1949" s="28" t="s">
        <v>530</v>
      </c>
      <c r="BA1949" s="28" t="s">
        <v>531</v>
      </c>
      <c r="BB1949" s="28" t="s">
        <v>36858</v>
      </c>
      <c r="BC1949" s="28" t="s">
        <v>36859</v>
      </c>
      <c r="BD1949" s="33">
        <v>8</v>
      </c>
      <c r="BE1949" s="28" t="s">
        <v>138</v>
      </c>
      <c r="BF1949" s="28" t="s">
        <v>138</v>
      </c>
      <c r="BG1949" s="28" t="s">
        <v>138</v>
      </c>
      <c r="BH1949" s="28" t="s">
        <v>36860</v>
      </c>
      <c r="BI1949" s="28" t="s">
        <v>138</v>
      </c>
      <c r="BJ1949" s="28" t="s">
        <v>138</v>
      </c>
      <c r="BK1949" s="28" t="s">
        <v>138</v>
      </c>
      <c r="BL1949" s="28" t="s">
        <v>138</v>
      </c>
      <c r="BM1949" s="34">
        <v>41907</v>
      </c>
      <c r="BN1949" s="29" t="s">
        <v>138</v>
      </c>
      <c r="BO1949" s="28" t="s">
        <v>138</v>
      </c>
      <c r="BP1949" s="29" t="s">
        <v>138</v>
      </c>
      <c r="BQ1949" s="28" t="s">
        <v>138</v>
      </c>
      <c r="BR1949" s="28" t="s">
        <v>1423</v>
      </c>
      <c r="BS1949" s="28" t="s">
        <v>138</v>
      </c>
      <c r="BT1949" s="28" t="s">
        <v>138</v>
      </c>
      <c r="BU1949" s="28" t="s">
        <v>174</v>
      </c>
      <c r="BV1949" s="28" t="s">
        <v>138</v>
      </c>
      <c r="BW1949" s="28" t="s">
        <v>138</v>
      </c>
      <c r="BX1949" s="28" t="s">
        <v>138</v>
      </c>
      <c r="BY1949" s="28" t="s">
        <v>175</v>
      </c>
      <c r="BZ1949" s="34">
        <v>43573</v>
      </c>
      <c r="CA1949" s="29">
        <v>12.4</v>
      </c>
      <c r="CB1949" s="28" t="s">
        <v>172</v>
      </c>
      <c r="CC1949" s="29" t="s">
        <v>138</v>
      </c>
      <c r="CD1949" s="28" t="s">
        <v>138</v>
      </c>
      <c r="CE1949" s="28" t="s">
        <v>205</v>
      </c>
      <c r="CF1949" s="28" t="s">
        <v>720</v>
      </c>
      <c r="CG1949" s="28" t="s">
        <v>138</v>
      </c>
      <c r="CH1949" s="28" t="s">
        <v>174</v>
      </c>
      <c r="CI1949" s="28" t="s">
        <v>138</v>
      </c>
      <c r="CJ1949" s="28" t="s">
        <v>138</v>
      </c>
      <c r="CK1949" s="28" t="s">
        <v>138</v>
      </c>
      <c r="CL1949" s="28" t="s">
        <v>175</v>
      </c>
      <c r="CM1949" s="34" t="s">
        <v>138</v>
      </c>
      <c r="CN1949" s="29" t="s">
        <v>138</v>
      </c>
      <c r="CO1949" s="35">
        <v>1.05</v>
      </c>
      <c r="CP1949" s="36">
        <v>97</v>
      </c>
      <c r="CQ1949" s="35">
        <v>0.15</v>
      </c>
      <c r="CR1949" s="35">
        <v>16.399999999999999</v>
      </c>
      <c r="CS1949" s="35">
        <v>1.37</v>
      </c>
      <c r="CT1949" s="36">
        <v>97</v>
      </c>
      <c r="CU1949" s="35">
        <v>0.74</v>
      </c>
      <c r="CV1949" s="36">
        <v>96</v>
      </c>
      <c r="CW1949" s="35">
        <v>1.42</v>
      </c>
      <c r="CX1949" s="36">
        <v>86</v>
      </c>
      <c r="CY1949" s="35">
        <v>1.32</v>
      </c>
      <c r="CZ1949" s="36">
        <v>99</v>
      </c>
      <c r="DA1949" s="35">
        <v>0.74</v>
      </c>
      <c r="DB1949" s="36">
        <v>97</v>
      </c>
      <c r="DC1949" s="37">
        <v>2.89</v>
      </c>
      <c r="DD1949" s="36">
        <v>74</v>
      </c>
      <c r="DE1949" s="37">
        <v>-0.1</v>
      </c>
      <c r="DF1949" s="35">
        <v>-3.31</v>
      </c>
      <c r="DG1949" s="37">
        <v>4.6399999999999997</v>
      </c>
      <c r="DH1949" s="36">
        <v>81</v>
      </c>
      <c r="DI1949" s="37">
        <v>1.1299999999999999</v>
      </c>
      <c r="DJ1949" s="36">
        <v>51</v>
      </c>
      <c r="DK1949" s="37">
        <v>3.36</v>
      </c>
      <c r="DL1949" s="36">
        <v>73</v>
      </c>
      <c r="DM1949" s="37">
        <v>5.93</v>
      </c>
      <c r="DN1949" s="36">
        <v>84</v>
      </c>
      <c r="DO1949" s="37">
        <v>1.1299999999999999</v>
      </c>
      <c r="DP1949" s="36">
        <v>53</v>
      </c>
      <c r="DQ1949" s="36">
        <v>1116</v>
      </c>
      <c r="DR1949" s="38">
        <v>105</v>
      </c>
      <c r="DS1949" s="35">
        <v>10.39</v>
      </c>
      <c r="DT1949" s="36">
        <v>172</v>
      </c>
      <c r="DU1949" s="38">
        <v>1</v>
      </c>
      <c r="DV1949" s="35">
        <v>0.57999999999999996</v>
      </c>
      <c r="DW1949" s="36">
        <v>405</v>
      </c>
      <c r="DX1949" s="39">
        <v>6</v>
      </c>
      <c r="DY1949" s="35">
        <v>1.5</v>
      </c>
      <c r="DZ1949" s="28" t="s">
        <v>178</v>
      </c>
      <c r="EA1949" s="34">
        <v>43622</v>
      </c>
      <c r="EB1949" s="29" t="s">
        <v>138</v>
      </c>
      <c r="EC1949" s="34" t="s">
        <v>138</v>
      </c>
      <c r="ED1949" s="28" t="s">
        <v>138</v>
      </c>
      <c r="EE1949" s="40" t="str">
        <f>HYPERLINK("https://my.pitchbook.com?c=55803-43", "View company online")</f>
        <v>View company online</v>
      </c>
    </row>
    <row r="1950" spans="1:135">
      <c r="A1950" s="15" t="s">
        <v>36861</v>
      </c>
      <c r="B1950" s="15" t="s">
        <v>36862</v>
      </c>
      <c r="C1950" s="15" t="s">
        <v>138</v>
      </c>
      <c r="D1950" s="15" t="s">
        <v>36863</v>
      </c>
      <c r="E1950" s="15" t="s">
        <v>36864</v>
      </c>
      <c r="F1950" s="15" t="s">
        <v>36861</v>
      </c>
      <c r="G1950" s="15" t="s">
        <v>36865</v>
      </c>
      <c r="H1950" s="15" t="s">
        <v>183</v>
      </c>
      <c r="I1950" s="15" t="s">
        <v>3466</v>
      </c>
      <c r="J1950" s="15" t="s">
        <v>36866</v>
      </c>
      <c r="K1950" s="15" t="s">
        <v>36867</v>
      </c>
      <c r="L1950" s="15" t="s">
        <v>138</v>
      </c>
      <c r="M1950" s="15" t="s">
        <v>36868</v>
      </c>
      <c r="N1950" s="15" t="s">
        <v>1452</v>
      </c>
      <c r="O1950" s="17">
        <v>27.3</v>
      </c>
      <c r="P1950" s="15" t="s">
        <v>812</v>
      </c>
      <c r="Q1950" s="15" t="s">
        <v>149</v>
      </c>
      <c r="R1950" s="15" t="s">
        <v>328</v>
      </c>
      <c r="S1950" s="15" t="s">
        <v>36869</v>
      </c>
      <c r="T1950" s="18">
        <v>800</v>
      </c>
      <c r="U1950" s="15" t="s">
        <v>36870</v>
      </c>
      <c r="V1950" s="15" t="s">
        <v>138</v>
      </c>
      <c r="W1950" s="15" t="s">
        <v>138</v>
      </c>
      <c r="X1950" s="19">
        <v>1999</v>
      </c>
      <c r="Y1950" s="15" t="s">
        <v>138</v>
      </c>
      <c r="Z1950" s="15" t="s">
        <v>138</v>
      </c>
      <c r="AA1950" s="15" t="s">
        <v>138</v>
      </c>
      <c r="AB1950" s="20">
        <v>41.9</v>
      </c>
      <c r="AC1950" s="20" t="s">
        <v>138</v>
      </c>
      <c r="AD1950" s="20" t="s">
        <v>138</v>
      </c>
      <c r="AE1950" s="20" t="s">
        <v>138</v>
      </c>
      <c r="AF1950" s="20" t="s">
        <v>138</v>
      </c>
      <c r="AG1950" s="15" t="s">
        <v>633</v>
      </c>
      <c r="AH1950" s="20" t="s">
        <v>138</v>
      </c>
      <c r="AI1950" s="20" t="s">
        <v>138</v>
      </c>
      <c r="AJ1950" s="20" t="s">
        <v>138</v>
      </c>
      <c r="AK1950" s="15" t="s">
        <v>36871</v>
      </c>
      <c r="AL1950" s="15" t="s">
        <v>36872</v>
      </c>
      <c r="AM1950" s="15" t="s">
        <v>36873</v>
      </c>
      <c r="AN1950" s="15" t="s">
        <v>36874</v>
      </c>
      <c r="AO1950" s="15" t="s">
        <v>36875</v>
      </c>
      <c r="AP1950" s="15" t="s">
        <v>36876</v>
      </c>
      <c r="AQ1950" s="15" t="s">
        <v>36877</v>
      </c>
      <c r="AR1950" s="15" t="s">
        <v>138</v>
      </c>
      <c r="AS1950" s="15" t="s">
        <v>36878</v>
      </c>
      <c r="AT1950" s="15" t="s">
        <v>6898</v>
      </c>
      <c r="AU1950" s="15" t="s">
        <v>36879</v>
      </c>
      <c r="AV1950" s="15" t="s">
        <v>162</v>
      </c>
      <c r="AW1950" s="15" t="s">
        <v>36875</v>
      </c>
      <c r="AX1950" s="15" t="s">
        <v>36880</v>
      </c>
      <c r="AY1950" s="15" t="s">
        <v>36881</v>
      </c>
      <c r="AZ1950" s="15" t="s">
        <v>164</v>
      </c>
      <c r="BA1950" s="15" t="s">
        <v>165</v>
      </c>
      <c r="BB1950" s="15" t="s">
        <v>36882</v>
      </c>
      <c r="BC1950" s="15" t="s">
        <v>36883</v>
      </c>
      <c r="BD1950" s="21">
        <v>2</v>
      </c>
      <c r="BE1950" s="15" t="s">
        <v>138</v>
      </c>
      <c r="BF1950" s="15" t="s">
        <v>36884</v>
      </c>
      <c r="BG1950" s="15" t="s">
        <v>138</v>
      </c>
      <c r="BH1950" s="15" t="s">
        <v>36885</v>
      </c>
      <c r="BI1950" s="15" t="s">
        <v>36886</v>
      </c>
      <c r="BJ1950" s="15" t="s">
        <v>138</v>
      </c>
      <c r="BK1950" s="15" t="s">
        <v>36887</v>
      </c>
      <c r="BL1950" s="15" t="s">
        <v>36888</v>
      </c>
      <c r="BM1950" s="22">
        <v>39041</v>
      </c>
      <c r="BN1950" s="17">
        <v>20</v>
      </c>
      <c r="BO1950" s="15" t="s">
        <v>172</v>
      </c>
      <c r="BP1950" s="17" t="s">
        <v>138</v>
      </c>
      <c r="BQ1950" s="15" t="s">
        <v>138</v>
      </c>
      <c r="BR1950" s="15" t="s">
        <v>1673</v>
      </c>
      <c r="BS1950" s="15" t="s">
        <v>7167</v>
      </c>
      <c r="BT1950" s="15" t="s">
        <v>138</v>
      </c>
      <c r="BU1950" s="15" t="s">
        <v>351</v>
      </c>
      <c r="BV1950" s="15" t="s">
        <v>138</v>
      </c>
      <c r="BW1950" s="15" t="s">
        <v>138</v>
      </c>
      <c r="BX1950" s="15" t="s">
        <v>138</v>
      </c>
      <c r="BY1950" s="15" t="s">
        <v>175</v>
      </c>
      <c r="BZ1950" s="22">
        <v>43307</v>
      </c>
      <c r="CA1950" s="17" t="s">
        <v>138</v>
      </c>
      <c r="CB1950" s="15" t="s">
        <v>138</v>
      </c>
      <c r="CC1950" s="17" t="s">
        <v>138</v>
      </c>
      <c r="CD1950" s="15" t="s">
        <v>138</v>
      </c>
      <c r="CE1950" s="15" t="s">
        <v>349</v>
      </c>
      <c r="CF1950" s="15" t="s">
        <v>138</v>
      </c>
      <c r="CG1950" s="15" t="s">
        <v>138</v>
      </c>
      <c r="CH1950" s="15" t="s">
        <v>351</v>
      </c>
      <c r="CI1950" s="15" t="s">
        <v>138</v>
      </c>
      <c r="CJ1950" s="15" t="s">
        <v>138</v>
      </c>
      <c r="CK1950" s="15" t="s">
        <v>138</v>
      </c>
      <c r="CL1950" s="15" t="s">
        <v>175</v>
      </c>
      <c r="CM1950" s="22">
        <v>41339</v>
      </c>
      <c r="CN1950" s="17" t="s">
        <v>138</v>
      </c>
      <c r="CO1950" s="23">
        <v>-1.57</v>
      </c>
      <c r="CP1950" s="24">
        <v>7</v>
      </c>
      <c r="CQ1950" s="23">
        <v>-0.06</v>
      </c>
      <c r="CR1950" s="23">
        <v>-3.76</v>
      </c>
      <c r="CS1950" s="23">
        <v>-3.22</v>
      </c>
      <c r="CT1950" s="24">
        <v>5</v>
      </c>
      <c r="CU1950" s="23">
        <v>0.08</v>
      </c>
      <c r="CV1950" s="24">
        <v>64</v>
      </c>
      <c r="CW1950" s="23">
        <v>-4.22</v>
      </c>
      <c r="CX1950" s="24">
        <v>4</v>
      </c>
      <c r="CY1950" s="23">
        <v>-2.2200000000000002</v>
      </c>
      <c r="CZ1950" s="24">
        <v>10</v>
      </c>
      <c r="DA1950" s="23">
        <v>0.08</v>
      </c>
      <c r="DB1950" s="24">
        <v>69</v>
      </c>
      <c r="DC1950" s="25">
        <v>1.6</v>
      </c>
      <c r="DD1950" s="24">
        <v>62</v>
      </c>
      <c r="DE1950" s="25">
        <v>-0.06</v>
      </c>
      <c r="DF1950" s="23">
        <v>-3.43</v>
      </c>
      <c r="DG1950" s="25">
        <v>2.4500000000000002</v>
      </c>
      <c r="DH1950" s="24">
        <v>71</v>
      </c>
      <c r="DI1950" s="25">
        <v>0.76</v>
      </c>
      <c r="DJ1950" s="24">
        <v>44</v>
      </c>
      <c r="DK1950" s="25">
        <v>1.52</v>
      </c>
      <c r="DL1950" s="24">
        <v>59</v>
      </c>
      <c r="DM1950" s="25">
        <v>3.38</v>
      </c>
      <c r="DN1950" s="24">
        <v>75</v>
      </c>
      <c r="DO1950" s="25">
        <v>0.86</v>
      </c>
      <c r="DP1950" s="24">
        <v>48</v>
      </c>
      <c r="DQ1950" s="24">
        <v>498</v>
      </c>
      <c r="DR1950" s="26">
        <v>64</v>
      </c>
      <c r="DS1950" s="23">
        <v>14.75</v>
      </c>
      <c r="DT1950" s="24">
        <v>98</v>
      </c>
      <c r="DU1950" s="26">
        <v>0</v>
      </c>
      <c r="DV1950" s="23">
        <v>0</v>
      </c>
      <c r="DW1950" s="24">
        <v>309</v>
      </c>
      <c r="DX1950" s="27">
        <v>-1</v>
      </c>
      <c r="DY1950" s="23">
        <v>-0.32</v>
      </c>
      <c r="DZ1950" s="15" t="s">
        <v>178</v>
      </c>
      <c r="EA1950" s="22">
        <v>43570</v>
      </c>
      <c r="EB1950" s="17" t="s">
        <v>138</v>
      </c>
      <c r="EC1950" s="22" t="s">
        <v>138</v>
      </c>
      <c r="ED1950" s="15" t="s">
        <v>138</v>
      </c>
      <c r="EE1950" s="14" t="str">
        <f>HYPERLINK("https://my.pitchbook.com?c=11371-87", "View company online")</f>
        <v>View company online</v>
      </c>
    </row>
    <row r="1951" spans="1:135">
      <c r="A1951" s="28" t="s">
        <v>36889</v>
      </c>
      <c r="B1951" s="28" t="s">
        <v>36890</v>
      </c>
      <c r="C1951" s="28" t="s">
        <v>138</v>
      </c>
      <c r="D1951" s="28" t="s">
        <v>138</v>
      </c>
      <c r="E1951" s="28" t="s">
        <v>138</v>
      </c>
      <c r="F1951" s="28" t="s">
        <v>36889</v>
      </c>
      <c r="G1951" s="28" t="s">
        <v>36891</v>
      </c>
      <c r="H1951" s="28" t="s">
        <v>385</v>
      </c>
      <c r="I1951" s="28" t="s">
        <v>1448</v>
      </c>
      <c r="J1951" s="28" t="s">
        <v>4108</v>
      </c>
      <c r="K1951" s="28" t="s">
        <v>7508</v>
      </c>
      <c r="L1951" s="28" t="s">
        <v>36892</v>
      </c>
      <c r="M1951" s="28" t="s">
        <v>36893</v>
      </c>
      <c r="N1951" s="28" t="s">
        <v>1452</v>
      </c>
      <c r="O1951" s="29">
        <v>2241.6</v>
      </c>
      <c r="P1951" s="28" t="s">
        <v>148</v>
      </c>
      <c r="Q1951" s="28" t="s">
        <v>149</v>
      </c>
      <c r="R1951" s="28" t="s">
        <v>1652</v>
      </c>
      <c r="S1951" s="28" t="s">
        <v>36894</v>
      </c>
      <c r="T1951" s="30">
        <v>31</v>
      </c>
      <c r="U1951" s="28" t="s">
        <v>36895</v>
      </c>
      <c r="V1951" s="28" t="s">
        <v>138</v>
      </c>
      <c r="W1951" s="28" t="s">
        <v>138</v>
      </c>
      <c r="X1951" s="31">
        <v>2000</v>
      </c>
      <c r="Y1951" s="28" t="s">
        <v>138</v>
      </c>
      <c r="Z1951" s="28" t="s">
        <v>138</v>
      </c>
      <c r="AA1951" s="28" t="s">
        <v>138</v>
      </c>
      <c r="AB1951" s="32" t="s">
        <v>138</v>
      </c>
      <c r="AC1951" s="32" t="s">
        <v>138</v>
      </c>
      <c r="AD1951" s="32" t="s">
        <v>138</v>
      </c>
      <c r="AE1951" s="32" t="s">
        <v>138</v>
      </c>
      <c r="AF1951" s="32" t="s">
        <v>138</v>
      </c>
      <c r="AG1951" s="28" t="s">
        <v>2214</v>
      </c>
      <c r="AH1951" s="32" t="s">
        <v>138</v>
      </c>
      <c r="AI1951" s="32" t="s">
        <v>138</v>
      </c>
      <c r="AJ1951" s="32" t="s">
        <v>138</v>
      </c>
      <c r="AK1951" s="28" t="s">
        <v>36896</v>
      </c>
      <c r="AL1951" s="28" t="s">
        <v>36897</v>
      </c>
      <c r="AM1951" s="28" t="s">
        <v>2992</v>
      </c>
      <c r="AN1951" s="28" t="s">
        <v>36898</v>
      </c>
      <c r="AO1951" s="28" t="s">
        <v>36899</v>
      </c>
      <c r="AP1951" s="28" t="s">
        <v>11487</v>
      </c>
      <c r="AQ1951" s="28" t="s">
        <v>36900</v>
      </c>
      <c r="AR1951" s="28" t="s">
        <v>138</v>
      </c>
      <c r="AS1951" s="28" t="s">
        <v>11489</v>
      </c>
      <c r="AT1951" s="28" t="s">
        <v>138</v>
      </c>
      <c r="AU1951" s="28" t="s">
        <v>11490</v>
      </c>
      <c r="AV1951" s="28" t="s">
        <v>3693</v>
      </c>
      <c r="AW1951" s="28" t="s">
        <v>36899</v>
      </c>
      <c r="AX1951" s="28" t="s">
        <v>138</v>
      </c>
      <c r="AY1951" s="28" t="s">
        <v>36901</v>
      </c>
      <c r="AZ1951" s="28" t="s">
        <v>530</v>
      </c>
      <c r="BA1951" s="28" t="s">
        <v>531</v>
      </c>
      <c r="BB1951" s="28" t="s">
        <v>36902</v>
      </c>
      <c r="BC1951" s="28" t="s">
        <v>36903</v>
      </c>
      <c r="BD1951" s="33">
        <v>4</v>
      </c>
      <c r="BE1951" s="28" t="s">
        <v>138</v>
      </c>
      <c r="BF1951" s="28" t="s">
        <v>36904</v>
      </c>
      <c r="BG1951" s="28" t="s">
        <v>138</v>
      </c>
      <c r="BH1951" s="28" t="s">
        <v>36905</v>
      </c>
      <c r="BI1951" s="28" t="s">
        <v>36906</v>
      </c>
      <c r="BJ1951" s="28" t="s">
        <v>138</v>
      </c>
      <c r="BK1951" s="28" t="s">
        <v>138</v>
      </c>
      <c r="BL1951" s="28" t="s">
        <v>36907</v>
      </c>
      <c r="BM1951" s="34" t="s">
        <v>138</v>
      </c>
      <c r="BN1951" s="29" t="s">
        <v>138</v>
      </c>
      <c r="BO1951" s="28" t="s">
        <v>138</v>
      </c>
      <c r="BP1951" s="29" t="s">
        <v>138</v>
      </c>
      <c r="BQ1951" s="28" t="s">
        <v>138</v>
      </c>
      <c r="BR1951" s="28" t="s">
        <v>173</v>
      </c>
      <c r="BS1951" s="28" t="s">
        <v>138</v>
      </c>
      <c r="BT1951" s="28" t="s">
        <v>138</v>
      </c>
      <c r="BU1951" s="28" t="s">
        <v>174</v>
      </c>
      <c r="BV1951" s="28" t="s">
        <v>138</v>
      </c>
      <c r="BW1951" s="28" t="s">
        <v>138</v>
      </c>
      <c r="BX1951" s="28" t="s">
        <v>138</v>
      </c>
      <c r="BY1951" s="28" t="s">
        <v>175</v>
      </c>
      <c r="BZ1951" s="34">
        <v>43342</v>
      </c>
      <c r="CA1951" s="29">
        <v>1300</v>
      </c>
      <c r="CB1951" s="28" t="s">
        <v>172</v>
      </c>
      <c r="CC1951" s="29" t="s">
        <v>138</v>
      </c>
      <c r="CD1951" s="28" t="s">
        <v>138</v>
      </c>
      <c r="CE1951" s="28" t="s">
        <v>1326</v>
      </c>
      <c r="CF1951" s="28" t="s">
        <v>138</v>
      </c>
      <c r="CG1951" s="28" t="s">
        <v>138</v>
      </c>
      <c r="CH1951" s="28" t="s">
        <v>1327</v>
      </c>
      <c r="CI1951" s="28" t="s">
        <v>1397</v>
      </c>
      <c r="CJ1951" s="28" t="s">
        <v>138</v>
      </c>
      <c r="CK1951" s="28" t="s">
        <v>138</v>
      </c>
      <c r="CL1951" s="28" t="s">
        <v>175</v>
      </c>
      <c r="CM1951" s="34">
        <v>43342</v>
      </c>
      <c r="CN1951" s="29" t="s">
        <v>138</v>
      </c>
      <c r="CO1951" s="35" t="s">
        <v>138</v>
      </c>
      <c r="CP1951" s="36" t="s">
        <v>138</v>
      </c>
      <c r="CQ1951" s="35" t="s">
        <v>138</v>
      </c>
      <c r="CR1951" s="35" t="s">
        <v>138</v>
      </c>
      <c r="CS1951" s="35" t="s">
        <v>138</v>
      </c>
      <c r="CT1951" s="36" t="s">
        <v>138</v>
      </c>
      <c r="CU1951" s="35" t="s">
        <v>138</v>
      </c>
      <c r="CV1951" s="36" t="s">
        <v>138</v>
      </c>
      <c r="CW1951" s="35" t="s">
        <v>138</v>
      </c>
      <c r="CX1951" s="36" t="s">
        <v>138</v>
      </c>
      <c r="CY1951" s="35" t="s">
        <v>138</v>
      </c>
      <c r="CZ1951" s="36" t="s">
        <v>138</v>
      </c>
      <c r="DA1951" s="35" t="s">
        <v>138</v>
      </c>
      <c r="DB1951" s="36" t="s">
        <v>138</v>
      </c>
      <c r="DC1951" s="37" t="s">
        <v>138</v>
      </c>
      <c r="DD1951" s="36" t="s">
        <v>138</v>
      </c>
      <c r="DE1951" s="37" t="s">
        <v>138</v>
      </c>
      <c r="DF1951" s="35" t="s">
        <v>138</v>
      </c>
      <c r="DG1951" s="37" t="s">
        <v>138</v>
      </c>
      <c r="DH1951" s="36" t="s">
        <v>138</v>
      </c>
      <c r="DI1951" s="37" t="s">
        <v>138</v>
      </c>
      <c r="DJ1951" s="36" t="s">
        <v>138</v>
      </c>
      <c r="DK1951" s="37" t="s">
        <v>138</v>
      </c>
      <c r="DL1951" s="36" t="s">
        <v>138</v>
      </c>
      <c r="DM1951" s="37" t="s">
        <v>138</v>
      </c>
      <c r="DN1951" s="36" t="s">
        <v>138</v>
      </c>
      <c r="DO1951" s="37" t="s">
        <v>138</v>
      </c>
      <c r="DP1951" s="36" t="s">
        <v>138</v>
      </c>
      <c r="DQ1951" s="36" t="s">
        <v>138</v>
      </c>
      <c r="DR1951" s="38" t="s">
        <v>138</v>
      </c>
      <c r="DS1951" s="35" t="s">
        <v>138</v>
      </c>
      <c r="DT1951" s="36" t="s">
        <v>138</v>
      </c>
      <c r="DU1951" s="38" t="s">
        <v>138</v>
      </c>
      <c r="DV1951" s="35" t="s">
        <v>138</v>
      </c>
      <c r="DW1951" s="36" t="s">
        <v>138</v>
      </c>
      <c r="DX1951" s="39" t="s">
        <v>138</v>
      </c>
      <c r="DY1951" s="35" t="s">
        <v>138</v>
      </c>
      <c r="DZ1951" s="28" t="s">
        <v>178</v>
      </c>
      <c r="EA1951" s="34">
        <v>43622</v>
      </c>
      <c r="EB1951" s="29" t="s">
        <v>138</v>
      </c>
      <c r="EC1951" s="34" t="s">
        <v>138</v>
      </c>
      <c r="ED1951" s="28" t="s">
        <v>138</v>
      </c>
      <c r="EE1951" s="40" t="str">
        <f>HYPERLINK("https://my.pitchbook.com?c=11072-53", "View company online")</f>
        <v>View company online</v>
      </c>
    </row>
    <row r="1952" spans="1:135">
      <c r="A1952" s="15" t="s">
        <v>36908</v>
      </c>
      <c r="B1952" s="15" t="s">
        <v>36909</v>
      </c>
      <c r="C1952" s="15" t="s">
        <v>138</v>
      </c>
      <c r="D1952" s="15" t="s">
        <v>36910</v>
      </c>
      <c r="E1952" s="15" t="s">
        <v>36911</v>
      </c>
      <c r="F1952" s="15" t="s">
        <v>36908</v>
      </c>
      <c r="G1952" s="15" t="s">
        <v>36912</v>
      </c>
      <c r="H1952" s="15" t="s">
        <v>385</v>
      </c>
      <c r="I1952" s="15" t="s">
        <v>1991</v>
      </c>
      <c r="J1952" s="15" t="s">
        <v>1992</v>
      </c>
      <c r="K1952" s="15" t="s">
        <v>36913</v>
      </c>
      <c r="L1952" s="15" t="s">
        <v>36914</v>
      </c>
      <c r="M1952" s="15" t="s">
        <v>36915</v>
      </c>
      <c r="N1952" s="15" t="s">
        <v>147</v>
      </c>
      <c r="O1952" s="17">
        <v>53.53</v>
      </c>
      <c r="P1952" s="15" t="s">
        <v>148</v>
      </c>
      <c r="Q1952" s="15" t="s">
        <v>149</v>
      </c>
      <c r="R1952" s="15" t="s">
        <v>174</v>
      </c>
      <c r="S1952" s="15" t="s">
        <v>36916</v>
      </c>
      <c r="T1952" s="18">
        <v>12</v>
      </c>
      <c r="U1952" s="15" t="s">
        <v>36917</v>
      </c>
      <c r="V1952" s="15" t="s">
        <v>138</v>
      </c>
      <c r="W1952" s="15" t="s">
        <v>138</v>
      </c>
      <c r="X1952" s="19">
        <v>2012</v>
      </c>
      <c r="Y1952" s="15" t="s">
        <v>138</v>
      </c>
      <c r="Z1952" s="15" t="s">
        <v>138</v>
      </c>
      <c r="AA1952" s="15" t="s">
        <v>138</v>
      </c>
      <c r="AB1952" s="20" t="s">
        <v>138</v>
      </c>
      <c r="AC1952" s="20" t="s">
        <v>138</v>
      </c>
      <c r="AD1952" s="20" t="s">
        <v>138</v>
      </c>
      <c r="AE1952" s="20" t="s">
        <v>138</v>
      </c>
      <c r="AF1952" s="20" t="s">
        <v>138</v>
      </c>
      <c r="AG1952" s="15" t="s">
        <v>138</v>
      </c>
      <c r="AH1952" s="20" t="s">
        <v>138</v>
      </c>
      <c r="AI1952" s="20" t="s">
        <v>138</v>
      </c>
      <c r="AJ1952" s="20" t="s">
        <v>138</v>
      </c>
      <c r="AK1952" s="15" t="s">
        <v>36918</v>
      </c>
      <c r="AL1952" s="15" t="s">
        <v>36919</v>
      </c>
      <c r="AM1952" s="15" t="s">
        <v>221</v>
      </c>
      <c r="AN1952" s="15" t="s">
        <v>36920</v>
      </c>
      <c r="AO1952" s="15" t="s">
        <v>36921</v>
      </c>
      <c r="AP1952" s="15" t="s">
        <v>665</v>
      </c>
      <c r="AQ1952" s="15" t="s">
        <v>36922</v>
      </c>
      <c r="AR1952" s="15" t="s">
        <v>138</v>
      </c>
      <c r="AS1952" s="15" t="s">
        <v>668</v>
      </c>
      <c r="AT1952" s="15" t="s">
        <v>200</v>
      </c>
      <c r="AU1952" s="15" t="s">
        <v>3557</v>
      </c>
      <c r="AV1952" s="15" t="s">
        <v>162</v>
      </c>
      <c r="AW1952" s="15" t="s">
        <v>36921</v>
      </c>
      <c r="AX1952" s="15" t="s">
        <v>138</v>
      </c>
      <c r="AY1952" s="15" t="s">
        <v>36923</v>
      </c>
      <c r="AZ1952" s="15" t="s">
        <v>164</v>
      </c>
      <c r="BA1952" s="15" t="s">
        <v>165</v>
      </c>
      <c r="BB1952" s="15" t="s">
        <v>36924</v>
      </c>
      <c r="BC1952" s="15" t="s">
        <v>36925</v>
      </c>
      <c r="BD1952" s="21">
        <v>10</v>
      </c>
      <c r="BE1952" s="15" t="s">
        <v>138</v>
      </c>
      <c r="BF1952" s="15" t="s">
        <v>138</v>
      </c>
      <c r="BG1952" s="15" t="s">
        <v>138</v>
      </c>
      <c r="BH1952" s="15" t="s">
        <v>36926</v>
      </c>
      <c r="BI1952" s="15" t="s">
        <v>138</v>
      </c>
      <c r="BJ1952" s="15" t="s">
        <v>138</v>
      </c>
      <c r="BK1952" s="15" t="s">
        <v>36927</v>
      </c>
      <c r="BL1952" s="15" t="s">
        <v>290</v>
      </c>
      <c r="BM1952" s="22">
        <v>42208</v>
      </c>
      <c r="BN1952" s="17">
        <v>18.82</v>
      </c>
      <c r="BO1952" s="15" t="s">
        <v>172</v>
      </c>
      <c r="BP1952" s="17">
        <v>65</v>
      </c>
      <c r="BQ1952" s="15" t="s">
        <v>172</v>
      </c>
      <c r="BR1952" s="15" t="s">
        <v>205</v>
      </c>
      <c r="BS1952" s="15" t="s">
        <v>206</v>
      </c>
      <c r="BT1952" s="15" t="s">
        <v>138</v>
      </c>
      <c r="BU1952" s="15" t="s">
        <v>174</v>
      </c>
      <c r="BV1952" s="15" t="s">
        <v>138</v>
      </c>
      <c r="BW1952" s="15" t="s">
        <v>138</v>
      </c>
      <c r="BX1952" s="15" t="s">
        <v>138</v>
      </c>
      <c r="BY1952" s="15" t="s">
        <v>175</v>
      </c>
      <c r="BZ1952" s="22">
        <v>42926</v>
      </c>
      <c r="CA1952" s="17">
        <v>34.71</v>
      </c>
      <c r="CB1952" s="15" t="s">
        <v>172</v>
      </c>
      <c r="CC1952" s="17">
        <v>89</v>
      </c>
      <c r="CD1952" s="15" t="s">
        <v>172</v>
      </c>
      <c r="CE1952" s="15" t="s">
        <v>173</v>
      </c>
      <c r="CF1952" s="15" t="s">
        <v>720</v>
      </c>
      <c r="CG1952" s="15" t="s">
        <v>138</v>
      </c>
      <c r="CH1952" s="15" t="s">
        <v>174</v>
      </c>
      <c r="CI1952" s="15" t="s">
        <v>138</v>
      </c>
      <c r="CJ1952" s="15" t="s">
        <v>138</v>
      </c>
      <c r="CK1952" s="15" t="s">
        <v>138</v>
      </c>
      <c r="CL1952" s="15" t="s">
        <v>175</v>
      </c>
      <c r="CM1952" s="22" t="s">
        <v>138</v>
      </c>
      <c r="CN1952" s="17" t="s">
        <v>138</v>
      </c>
      <c r="CO1952" s="23">
        <v>-1</v>
      </c>
      <c r="CP1952" s="24">
        <v>11</v>
      </c>
      <c r="CQ1952" s="23">
        <v>-0.03</v>
      </c>
      <c r="CR1952" s="23">
        <v>-3.55</v>
      </c>
      <c r="CS1952" s="23">
        <v>-2.09</v>
      </c>
      <c r="CT1952" s="24">
        <v>8</v>
      </c>
      <c r="CU1952" s="23">
        <v>0.1</v>
      </c>
      <c r="CV1952" s="24">
        <v>68</v>
      </c>
      <c r="CW1952" s="23">
        <v>-2.41</v>
      </c>
      <c r="CX1952" s="24">
        <v>6</v>
      </c>
      <c r="CY1952" s="23">
        <v>-1.77</v>
      </c>
      <c r="CZ1952" s="24">
        <v>13</v>
      </c>
      <c r="DA1952" s="23">
        <v>0.19</v>
      </c>
      <c r="DB1952" s="24">
        <v>82</v>
      </c>
      <c r="DC1952" s="25">
        <v>2.84</v>
      </c>
      <c r="DD1952" s="24">
        <v>74</v>
      </c>
      <c r="DE1952" s="25">
        <v>-0.12</v>
      </c>
      <c r="DF1952" s="23">
        <v>-3.96</v>
      </c>
      <c r="DG1952" s="25">
        <v>4.26</v>
      </c>
      <c r="DH1952" s="24">
        <v>80</v>
      </c>
      <c r="DI1952" s="25">
        <v>1.41</v>
      </c>
      <c r="DJ1952" s="24">
        <v>56</v>
      </c>
      <c r="DK1952" s="25">
        <v>4.08</v>
      </c>
      <c r="DL1952" s="24">
        <v>76</v>
      </c>
      <c r="DM1952" s="25">
        <v>4.45</v>
      </c>
      <c r="DN1952" s="24">
        <v>80</v>
      </c>
      <c r="DO1952" s="25">
        <v>2.78</v>
      </c>
      <c r="DP1952" s="24">
        <v>70</v>
      </c>
      <c r="DQ1952" s="24">
        <v>1425</v>
      </c>
      <c r="DR1952" s="26">
        <v>-77</v>
      </c>
      <c r="DS1952" s="23">
        <v>-5.13</v>
      </c>
      <c r="DT1952" s="24">
        <v>128</v>
      </c>
      <c r="DU1952" s="26">
        <v>0</v>
      </c>
      <c r="DV1952" s="23">
        <v>0</v>
      </c>
      <c r="DW1952" s="24">
        <v>993</v>
      </c>
      <c r="DX1952" s="27">
        <v>2</v>
      </c>
      <c r="DY1952" s="23">
        <v>0.2</v>
      </c>
      <c r="DZ1952" s="15" t="s">
        <v>178</v>
      </c>
      <c r="EA1952" s="22">
        <v>43622</v>
      </c>
      <c r="EB1952" s="17">
        <v>89</v>
      </c>
      <c r="EC1952" s="22">
        <v>42926</v>
      </c>
      <c r="ED1952" s="15" t="s">
        <v>173</v>
      </c>
      <c r="EE1952" s="14" t="str">
        <f>HYPERLINK("https://my.pitchbook.com?c=64846-45", "View company online")</f>
        <v>View company online</v>
      </c>
    </row>
    <row r="1953" spans="1:135">
      <c r="A1953" s="28" t="s">
        <v>36928</v>
      </c>
      <c r="B1953" s="28" t="s">
        <v>36929</v>
      </c>
      <c r="C1953" s="28" t="s">
        <v>138</v>
      </c>
      <c r="D1953" s="28" t="s">
        <v>36930</v>
      </c>
      <c r="E1953" s="28" t="s">
        <v>36931</v>
      </c>
      <c r="F1953" s="28" t="s">
        <v>36928</v>
      </c>
      <c r="G1953" s="28" t="s">
        <v>36932</v>
      </c>
      <c r="H1953" s="28" t="s">
        <v>141</v>
      </c>
      <c r="I1953" s="28" t="s">
        <v>142</v>
      </c>
      <c r="J1953" s="28" t="s">
        <v>4042</v>
      </c>
      <c r="K1953" s="28" t="s">
        <v>36933</v>
      </c>
      <c r="L1953" s="28" t="s">
        <v>36934</v>
      </c>
      <c r="M1953" s="28" t="s">
        <v>36935</v>
      </c>
      <c r="N1953" s="28" t="s">
        <v>147</v>
      </c>
      <c r="O1953" s="29">
        <v>300.2</v>
      </c>
      <c r="P1953" s="28" t="s">
        <v>148</v>
      </c>
      <c r="Q1953" s="28" t="s">
        <v>149</v>
      </c>
      <c r="R1953" s="28" t="s">
        <v>174</v>
      </c>
      <c r="S1953" s="28" t="s">
        <v>36936</v>
      </c>
      <c r="T1953" s="30">
        <v>15896</v>
      </c>
      <c r="U1953" s="28" t="s">
        <v>36937</v>
      </c>
      <c r="V1953" s="28" t="s">
        <v>138</v>
      </c>
      <c r="W1953" s="28" t="s">
        <v>138</v>
      </c>
      <c r="X1953" s="31">
        <v>2004</v>
      </c>
      <c r="Y1953" s="28" t="s">
        <v>138</v>
      </c>
      <c r="Z1953" s="28" t="s">
        <v>138</v>
      </c>
      <c r="AA1953" s="28" t="s">
        <v>138</v>
      </c>
      <c r="AB1953" s="32" t="s">
        <v>138</v>
      </c>
      <c r="AC1953" s="32" t="s">
        <v>138</v>
      </c>
      <c r="AD1953" s="32" t="s">
        <v>138</v>
      </c>
      <c r="AE1953" s="32" t="s">
        <v>138</v>
      </c>
      <c r="AF1953" s="32" t="s">
        <v>138</v>
      </c>
      <c r="AG1953" s="28" t="s">
        <v>138</v>
      </c>
      <c r="AH1953" s="32" t="s">
        <v>138</v>
      </c>
      <c r="AI1953" s="32" t="s">
        <v>138</v>
      </c>
      <c r="AJ1953" s="32" t="s">
        <v>138</v>
      </c>
      <c r="AK1953" s="28" t="s">
        <v>36938</v>
      </c>
      <c r="AL1953" s="28" t="s">
        <v>36939</v>
      </c>
      <c r="AM1953" s="28" t="s">
        <v>10508</v>
      </c>
      <c r="AN1953" s="28" t="s">
        <v>138</v>
      </c>
      <c r="AO1953" s="28" t="s">
        <v>36940</v>
      </c>
      <c r="AP1953" s="28" t="s">
        <v>496</v>
      </c>
      <c r="AQ1953" s="28" t="s">
        <v>36941</v>
      </c>
      <c r="AR1953" s="28" t="s">
        <v>36942</v>
      </c>
      <c r="AS1953" s="28" t="s">
        <v>499</v>
      </c>
      <c r="AT1953" s="28" t="s">
        <v>499</v>
      </c>
      <c r="AU1953" s="28" t="s">
        <v>36943</v>
      </c>
      <c r="AV1953" s="28" t="s">
        <v>450</v>
      </c>
      <c r="AW1953" s="28" t="s">
        <v>36940</v>
      </c>
      <c r="AX1953" s="28" t="s">
        <v>138</v>
      </c>
      <c r="AY1953" s="28" t="s">
        <v>138</v>
      </c>
      <c r="AZ1953" s="28" t="s">
        <v>452</v>
      </c>
      <c r="BA1953" s="28" t="s">
        <v>453</v>
      </c>
      <c r="BB1953" s="28" t="s">
        <v>36944</v>
      </c>
      <c r="BC1953" s="28" t="s">
        <v>36945</v>
      </c>
      <c r="BD1953" s="33">
        <v>14</v>
      </c>
      <c r="BE1953" s="28" t="s">
        <v>138</v>
      </c>
      <c r="BF1953" s="28" t="s">
        <v>36946</v>
      </c>
      <c r="BG1953" s="28" t="s">
        <v>138</v>
      </c>
      <c r="BH1953" s="28" t="s">
        <v>36947</v>
      </c>
      <c r="BI1953" s="28" t="s">
        <v>36948</v>
      </c>
      <c r="BJ1953" s="28" t="s">
        <v>138</v>
      </c>
      <c r="BK1953" s="28" t="s">
        <v>36949</v>
      </c>
      <c r="BL1953" s="28" t="s">
        <v>36950</v>
      </c>
      <c r="BM1953" s="34" t="s">
        <v>138</v>
      </c>
      <c r="BN1953" s="29">
        <v>45</v>
      </c>
      <c r="BO1953" s="28" t="s">
        <v>172</v>
      </c>
      <c r="BP1953" s="29" t="s">
        <v>138</v>
      </c>
      <c r="BQ1953" s="28" t="s">
        <v>138</v>
      </c>
      <c r="BR1953" s="28" t="s">
        <v>205</v>
      </c>
      <c r="BS1953" s="28" t="s">
        <v>138</v>
      </c>
      <c r="BT1953" s="28" t="s">
        <v>138</v>
      </c>
      <c r="BU1953" s="28" t="s">
        <v>174</v>
      </c>
      <c r="BV1953" s="28" t="s">
        <v>138</v>
      </c>
      <c r="BW1953" s="28" t="s">
        <v>138</v>
      </c>
      <c r="BX1953" s="28" t="s">
        <v>138</v>
      </c>
      <c r="BY1953" s="28" t="s">
        <v>175</v>
      </c>
      <c r="BZ1953" s="34" t="s">
        <v>138</v>
      </c>
      <c r="CA1953" s="29" t="s">
        <v>138</v>
      </c>
      <c r="CB1953" s="28" t="s">
        <v>138</v>
      </c>
      <c r="CC1953" s="29" t="s">
        <v>138</v>
      </c>
      <c r="CD1953" s="28" t="s">
        <v>138</v>
      </c>
      <c r="CE1953" s="28" t="s">
        <v>379</v>
      </c>
      <c r="CF1953" s="28" t="s">
        <v>138</v>
      </c>
      <c r="CG1953" s="28" t="s">
        <v>138</v>
      </c>
      <c r="CH1953" s="28" t="s">
        <v>174</v>
      </c>
      <c r="CI1953" s="28" t="s">
        <v>138</v>
      </c>
      <c r="CJ1953" s="28" t="s">
        <v>138</v>
      </c>
      <c r="CK1953" s="28" t="s">
        <v>138</v>
      </c>
      <c r="CL1953" s="28" t="s">
        <v>175</v>
      </c>
      <c r="CM1953" s="34" t="s">
        <v>138</v>
      </c>
      <c r="CN1953" s="29" t="s">
        <v>138</v>
      </c>
      <c r="CO1953" s="35">
        <v>-1.19</v>
      </c>
      <c r="CP1953" s="36">
        <v>9</v>
      </c>
      <c r="CQ1953" s="35">
        <v>0.04</v>
      </c>
      <c r="CR1953" s="35">
        <v>3.19</v>
      </c>
      <c r="CS1953" s="35">
        <v>-1.19</v>
      </c>
      <c r="CT1953" s="36">
        <v>14</v>
      </c>
      <c r="CU1953" s="35" t="s">
        <v>138</v>
      </c>
      <c r="CV1953" s="36" t="s">
        <v>138</v>
      </c>
      <c r="CW1953" s="35">
        <v>0</v>
      </c>
      <c r="CX1953" s="36">
        <v>13</v>
      </c>
      <c r="CY1953" s="35">
        <v>-2.39</v>
      </c>
      <c r="CZ1953" s="36">
        <v>9</v>
      </c>
      <c r="DA1953" s="35" t="s">
        <v>138</v>
      </c>
      <c r="DB1953" s="36" t="s">
        <v>138</v>
      </c>
      <c r="DC1953" s="37">
        <v>5.23</v>
      </c>
      <c r="DD1953" s="36">
        <v>83</v>
      </c>
      <c r="DE1953" s="37">
        <v>0.03</v>
      </c>
      <c r="DF1953" s="35">
        <v>0.51</v>
      </c>
      <c r="DG1953" s="37">
        <v>5.23</v>
      </c>
      <c r="DH1953" s="36">
        <v>83</v>
      </c>
      <c r="DI1953" s="37" t="s">
        <v>138</v>
      </c>
      <c r="DJ1953" s="36" t="s">
        <v>138</v>
      </c>
      <c r="DK1953" s="37">
        <v>0.39</v>
      </c>
      <c r="DL1953" s="36">
        <v>26</v>
      </c>
      <c r="DM1953" s="37">
        <v>10.07</v>
      </c>
      <c r="DN1953" s="36">
        <v>89</v>
      </c>
      <c r="DO1953" s="37" t="s">
        <v>138</v>
      </c>
      <c r="DP1953" s="36" t="s">
        <v>138</v>
      </c>
      <c r="DQ1953" s="36">
        <v>142</v>
      </c>
      <c r="DR1953" s="38">
        <v>-22</v>
      </c>
      <c r="DS1953" s="35">
        <v>-13.41</v>
      </c>
      <c r="DT1953" s="36">
        <v>290</v>
      </c>
      <c r="DU1953" s="38">
        <v>1</v>
      </c>
      <c r="DV1953" s="35">
        <v>0.35</v>
      </c>
      <c r="DW1953" s="36" t="s">
        <v>138</v>
      </c>
      <c r="DX1953" s="39" t="s">
        <v>138</v>
      </c>
      <c r="DY1953" s="35" t="s">
        <v>138</v>
      </c>
      <c r="DZ1953" s="28" t="s">
        <v>178</v>
      </c>
      <c r="EA1953" s="34">
        <v>43504</v>
      </c>
      <c r="EB1953" s="29" t="s">
        <v>138</v>
      </c>
      <c r="EC1953" s="34" t="s">
        <v>138</v>
      </c>
      <c r="ED1953" s="28" t="s">
        <v>138</v>
      </c>
      <c r="EE1953" s="40" t="str">
        <f>HYPERLINK("https://my.pitchbook.com?c=60577-93", "View company online")</f>
        <v>View company online</v>
      </c>
    </row>
    <row r="1954" spans="1:135">
      <c r="A1954" s="15" t="s">
        <v>36951</v>
      </c>
      <c r="B1954" s="15" t="s">
        <v>36952</v>
      </c>
      <c r="C1954" s="15" t="s">
        <v>36953</v>
      </c>
      <c r="D1954" s="15" t="s">
        <v>138</v>
      </c>
      <c r="E1954" s="15" t="s">
        <v>36954</v>
      </c>
      <c r="F1954" s="15" t="s">
        <v>36951</v>
      </c>
      <c r="G1954" s="15" t="s">
        <v>36955</v>
      </c>
      <c r="H1954" s="15" t="s">
        <v>322</v>
      </c>
      <c r="I1954" s="15" t="s">
        <v>323</v>
      </c>
      <c r="J1954" s="15" t="s">
        <v>413</v>
      </c>
      <c r="K1954" s="15" t="s">
        <v>22629</v>
      </c>
      <c r="L1954" s="15" t="s">
        <v>36956</v>
      </c>
      <c r="M1954" s="15" t="s">
        <v>36957</v>
      </c>
      <c r="N1954" s="15" t="s">
        <v>1452</v>
      </c>
      <c r="O1954" s="17">
        <v>4</v>
      </c>
      <c r="P1954" s="15" t="s">
        <v>812</v>
      </c>
      <c r="Q1954" s="15" t="s">
        <v>149</v>
      </c>
      <c r="R1954" s="15" t="s">
        <v>328</v>
      </c>
      <c r="S1954" s="15" t="s">
        <v>36958</v>
      </c>
      <c r="T1954" s="18">
        <v>112</v>
      </c>
      <c r="U1954" s="15" t="s">
        <v>36959</v>
      </c>
      <c r="V1954" s="15" t="s">
        <v>138</v>
      </c>
      <c r="W1954" s="15" t="s">
        <v>138</v>
      </c>
      <c r="X1954" s="19">
        <v>2010</v>
      </c>
      <c r="Y1954" s="15" t="s">
        <v>138</v>
      </c>
      <c r="Z1954" s="15" t="s">
        <v>138</v>
      </c>
      <c r="AA1954" s="15" t="s">
        <v>138</v>
      </c>
      <c r="AB1954" s="20">
        <v>71.56</v>
      </c>
      <c r="AC1954" s="20" t="s">
        <v>138</v>
      </c>
      <c r="AD1954" s="20" t="s">
        <v>138</v>
      </c>
      <c r="AE1954" s="20" t="s">
        <v>138</v>
      </c>
      <c r="AF1954" s="20" t="s">
        <v>138</v>
      </c>
      <c r="AG1954" s="15" t="s">
        <v>707</v>
      </c>
      <c r="AH1954" s="20" t="s">
        <v>138</v>
      </c>
      <c r="AI1954" s="20" t="s">
        <v>138</v>
      </c>
      <c r="AJ1954" s="20" t="s">
        <v>138</v>
      </c>
      <c r="AK1954" s="15" t="s">
        <v>36960</v>
      </c>
      <c r="AL1954" s="15" t="s">
        <v>36961</v>
      </c>
      <c r="AM1954" s="15" t="s">
        <v>961</v>
      </c>
      <c r="AN1954" s="15" t="s">
        <v>36962</v>
      </c>
      <c r="AO1954" s="15" t="s">
        <v>36963</v>
      </c>
      <c r="AP1954" s="15" t="s">
        <v>423</v>
      </c>
      <c r="AQ1954" s="15" t="s">
        <v>36964</v>
      </c>
      <c r="AR1954" s="15" t="s">
        <v>6874</v>
      </c>
      <c r="AS1954" s="15" t="s">
        <v>426</v>
      </c>
      <c r="AT1954" s="15" t="s">
        <v>426</v>
      </c>
      <c r="AU1954" s="15" t="s">
        <v>921</v>
      </c>
      <c r="AV1954" s="15" t="s">
        <v>162</v>
      </c>
      <c r="AW1954" s="15" t="s">
        <v>36963</v>
      </c>
      <c r="AX1954" s="15" t="s">
        <v>138</v>
      </c>
      <c r="AY1954" s="15" t="s">
        <v>36965</v>
      </c>
      <c r="AZ1954" s="15" t="s">
        <v>164</v>
      </c>
      <c r="BA1954" s="15" t="s">
        <v>165</v>
      </c>
      <c r="BB1954" s="15" t="s">
        <v>36966</v>
      </c>
      <c r="BC1954" s="15" t="s">
        <v>36967</v>
      </c>
      <c r="BD1954" s="21">
        <v>5</v>
      </c>
      <c r="BE1954" s="15" t="s">
        <v>138</v>
      </c>
      <c r="BF1954" s="15" t="s">
        <v>138</v>
      </c>
      <c r="BG1954" s="15" t="s">
        <v>138</v>
      </c>
      <c r="BH1954" s="15" t="s">
        <v>36968</v>
      </c>
      <c r="BI1954" s="15" t="s">
        <v>138</v>
      </c>
      <c r="BJ1954" s="15" t="s">
        <v>138</v>
      </c>
      <c r="BK1954" s="15" t="s">
        <v>36969</v>
      </c>
      <c r="BL1954" s="15" t="s">
        <v>36970</v>
      </c>
      <c r="BM1954" s="22" t="s">
        <v>138</v>
      </c>
      <c r="BN1954" s="17" t="s">
        <v>138</v>
      </c>
      <c r="BO1954" s="15" t="s">
        <v>138</v>
      </c>
      <c r="BP1954" s="17" t="s">
        <v>138</v>
      </c>
      <c r="BQ1954" s="15" t="s">
        <v>138</v>
      </c>
      <c r="BR1954" s="15" t="s">
        <v>205</v>
      </c>
      <c r="BS1954" s="15" t="s">
        <v>138</v>
      </c>
      <c r="BT1954" s="15" t="s">
        <v>138</v>
      </c>
      <c r="BU1954" s="15" t="s">
        <v>174</v>
      </c>
      <c r="BV1954" s="15" t="s">
        <v>138</v>
      </c>
      <c r="BW1954" s="15" t="s">
        <v>138</v>
      </c>
      <c r="BX1954" s="15" t="s">
        <v>138</v>
      </c>
      <c r="BY1954" s="15" t="s">
        <v>175</v>
      </c>
      <c r="BZ1954" s="22">
        <v>42726</v>
      </c>
      <c r="CA1954" s="17" t="s">
        <v>138</v>
      </c>
      <c r="CB1954" s="15" t="s">
        <v>138</v>
      </c>
      <c r="CC1954" s="17" t="s">
        <v>138</v>
      </c>
      <c r="CD1954" s="15" t="s">
        <v>138</v>
      </c>
      <c r="CE1954" s="15" t="s">
        <v>1673</v>
      </c>
      <c r="CF1954" s="15" t="s">
        <v>138</v>
      </c>
      <c r="CG1954" s="15" t="s">
        <v>138</v>
      </c>
      <c r="CH1954" s="15" t="s">
        <v>351</v>
      </c>
      <c r="CI1954" s="15" t="s">
        <v>1397</v>
      </c>
      <c r="CJ1954" s="15" t="s">
        <v>138</v>
      </c>
      <c r="CK1954" s="15" t="s">
        <v>138</v>
      </c>
      <c r="CL1954" s="15" t="s">
        <v>175</v>
      </c>
      <c r="CM1954" s="22">
        <v>42726</v>
      </c>
      <c r="CN1954" s="17" t="s">
        <v>138</v>
      </c>
      <c r="CO1954" s="23">
        <v>-0.25</v>
      </c>
      <c r="CP1954" s="24">
        <v>19</v>
      </c>
      <c r="CQ1954" s="23">
        <v>0.02</v>
      </c>
      <c r="CR1954" s="23">
        <v>5.79</v>
      </c>
      <c r="CS1954" s="23">
        <v>-0.59</v>
      </c>
      <c r="CT1954" s="24">
        <v>19</v>
      </c>
      <c r="CU1954" s="23">
        <v>0.1</v>
      </c>
      <c r="CV1954" s="24">
        <v>68</v>
      </c>
      <c r="CW1954" s="23">
        <v>1.01</v>
      </c>
      <c r="CX1954" s="24">
        <v>85</v>
      </c>
      <c r="CY1954" s="23">
        <v>-2.19</v>
      </c>
      <c r="CZ1954" s="24">
        <v>10</v>
      </c>
      <c r="DA1954" s="23">
        <v>0.09</v>
      </c>
      <c r="DB1954" s="24">
        <v>70</v>
      </c>
      <c r="DC1954" s="25">
        <v>3.16</v>
      </c>
      <c r="DD1954" s="24">
        <v>76</v>
      </c>
      <c r="DE1954" s="25">
        <v>-0.11</v>
      </c>
      <c r="DF1954" s="23">
        <v>-3.43</v>
      </c>
      <c r="DG1954" s="25">
        <v>4.97</v>
      </c>
      <c r="DH1954" s="24">
        <v>82</v>
      </c>
      <c r="DI1954" s="25">
        <v>1.35</v>
      </c>
      <c r="DJ1954" s="24">
        <v>55</v>
      </c>
      <c r="DK1954" s="25">
        <v>3.98</v>
      </c>
      <c r="DL1954" s="24">
        <v>76</v>
      </c>
      <c r="DM1954" s="25">
        <v>5.97</v>
      </c>
      <c r="DN1954" s="24">
        <v>84</v>
      </c>
      <c r="DO1954" s="25">
        <v>2.3199999999999998</v>
      </c>
      <c r="DP1954" s="24">
        <v>66</v>
      </c>
      <c r="DQ1954" s="24">
        <v>1388</v>
      </c>
      <c r="DR1954" s="26">
        <v>-73</v>
      </c>
      <c r="DS1954" s="23">
        <v>-5</v>
      </c>
      <c r="DT1954" s="24">
        <v>172</v>
      </c>
      <c r="DU1954" s="26">
        <v>0</v>
      </c>
      <c r="DV1954" s="23">
        <v>0</v>
      </c>
      <c r="DW1954" s="24">
        <v>826</v>
      </c>
      <c r="DX1954" s="27">
        <v>1</v>
      </c>
      <c r="DY1954" s="23">
        <v>0.12</v>
      </c>
      <c r="DZ1954" s="15" t="s">
        <v>178</v>
      </c>
      <c r="EA1954" s="22">
        <v>43622</v>
      </c>
      <c r="EB1954" s="17">
        <v>29.29</v>
      </c>
      <c r="EC1954" s="22">
        <v>41528</v>
      </c>
      <c r="ED1954" s="15" t="s">
        <v>205</v>
      </c>
      <c r="EE1954" s="14" t="str">
        <f>HYPERLINK("https://my.pitchbook.com?c=58302-82", "View company online")</f>
        <v>View company online</v>
      </c>
    </row>
    <row r="1955" spans="1:135">
      <c r="A1955" s="28" t="s">
        <v>36971</v>
      </c>
      <c r="B1955" s="28" t="s">
        <v>36972</v>
      </c>
      <c r="C1955" s="28" t="s">
        <v>138</v>
      </c>
      <c r="D1955" s="28" t="s">
        <v>138</v>
      </c>
      <c r="E1955" s="28" t="s">
        <v>36973</v>
      </c>
      <c r="F1955" s="28" t="s">
        <v>36971</v>
      </c>
      <c r="G1955" s="28" t="s">
        <v>36974</v>
      </c>
      <c r="H1955" s="28" t="s">
        <v>322</v>
      </c>
      <c r="I1955" s="28" t="s">
        <v>323</v>
      </c>
      <c r="J1955" s="28" t="s">
        <v>324</v>
      </c>
      <c r="K1955" s="28" t="s">
        <v>1543</v>
      </c>
      <c r="L1955" s="28" t="s">
        <v>2236</v>
      </c>
      <c r="M1955" s="28" t="s">
        <v>36975</v>
      </c>
      <c r="N1955" s="28" t="s">
        <v>147</v>
      </c>
      <c r="O1955" s="29">
        <v>15.28</v>
      </c>
      <c r="P1955" s="28" t="s">
        <v>148</v>
      </c>
      <c r="Q1955" s="28" t="s">
        <v>149</v>
      </c>
      <c r="R1955" s="28" t="s">
        <v>244</v>
      </c>
      <c r="S1955" s="28" t="s">
        <v>36976</v>
      </c>
      <c r="T1955" s="30">
        <v>33</v>
      </c>
      <c r="U1955" s="28" t="s">
        <v>36977</v>
      </c>
      <c r="V1955" s="28" t="s">
        <v>138</v>
      </c>
      <c r="W1955" s="28" t="s">
        <v>138</v>
      </c>
      <c r="X1955" s="31">
        <v>2012</v>
      </c>
      <c r="Y1955" s="28" t="s">
        <v>138</v>
      </c>
      <c r="Z1955" s="28" t="s">
        <v>138</v>
      </c>
      <c r="AA1955" s="28" t="s">
        <v>138</v>
      </c>
      <c r="AB1955" s="32" t="s">
        <v>138</v>
      </c>
      <c r="AC1955" s="32" t="s">
        <v>138</v>
      </c>
      <c r="AD1955" s="32" t="s">
        <v>138</v>
      </c>
      <c r="AE1955" s="32" t="s">
        <v>138</v>
      </c>
      <c r="AF1955" s="32" t="s">
        <v>138</v>
      </c>
      <c r="AG1955" s="28" t="s">
        <v>138</v>
      </c>
      <c r="AH1955" s="32" t="s">
        <v>138</v>
      </c>
      <c r="AI1955" s="32" t="s">
        <v>138</v>
      </c>
      <c r="AJ1955" s="32" t="s">
        <v>138</v>
      </c>
      <c r="AK1955" s="28" t="s">
        <v>36978</v>
      </c>
      <c r="AL1955" s="28" t="s">
        <v>36979</v>
      </c>
      <c r="AM1955" s="28" t="s">
        <v>304</v>
      </c>
      <c r="AN1955" s="28" t="s">
        <v>36980</v>
      </c>
      <c r="AO1955" s="28" t="s">
        <v>36981</v>
      </c>
      <c r="AP1955" s="28" t="s">
        <v>665</v>
      </c>
      <c r="AQ1955" s="28" t="s">
        <v>36982</v>
      </c>
      <c r="AR1955" s="28" t="s">
        <v>3062</v>
      </c>
      <c r="AS1955" s="28" t="s">
        <v>668</v>
      </c>
      <c r="AT1955" s="28" t="s">
        <v>200</v>
      </c>
      <c r="AU1955" s="28" t="s">
        <v>3477</v>
      </c>
      <c r="AV1955" s="28" t="s">
        <v>162</v>
      </c>
      <c r="AW1955" s="28" t="s">
        <v>36981</v>
      </c>
      <c r="AX1955" s="28" t="s">
        <v>138</v>
      </c>
      <c r="AY1955" s="28" t="s">
        <v>138</v>
      </c>
      <c r="AZ1955" s="28" t="s">
        <v>164</v>
      </c>
      <c r="BA1955" s="28" t="s">
        <v>165</v>
      </c>
      <c r="BB1955" s="28" t="s">
        <v>36983</v>
      </c>
      <c r="BC1955" s="28" t="s">
        <v>36984</v>
      </c>
      <c r="BD1955" s="33">
        <v>27</v>
      </c>
      <c r="BE1955" s="28" t="s">
        <v>138</v>
      </c>
      <c r="BF1955" s="28" t="s">
        <v>138</v>
      </c>
      <c r="BG1955" s="28" t="s">
        <v>138</v>
      </c>
      <c r="BH1955" s="28" t="s">
        <v>36985</v>
      </c>
      <c r="BI1955" s="28" t="s">
        <v>138</v>
      </c>
      <c r="BJ1955" s="28" t="s">
        <v>138</v>
      </c>
      <c r="BK1955" s="28" t="s">
        <v>36986</v>
      </c>
      <c r="BL1955" s="28" t="s">
        <v>36987</v>
      </c>
      <c r="BM1955" s="34">
        <v>41088</v>
      </c>
      <c r="BN1955" s="29">
        <v>1.43</v>
      </c>
      <c r="BO1955" s="28" t="s">
        <v>172</v>
      </c>
      <c r="BP1955" s="29">
        <v>7.44</v>
      </c>
      <c r="BQ1955" s="28" t="s">
        <v>172</v>
      </c>
      <c r="BR1955" s="28" t="s">
        <v>205</v>
      </c>
      <c r="BS1955" s="28" t="s">
        <v>206</v>
      </c>
      <c r="BT1955" s="28" t="s">
        <v>138</v>
      </c>
      <c r="BU1955" s="28" t="s">
        <v>174</v>
      </c>
      <c r="BV1955" s="28" t="s">
        <v>138</v>
      </c>
      <c r="BW1955" s="28" t="s">
        <v>138</v>
      </c>
      <c r="BX1955" s="28" t="s">
        <v>138</v>
      </c>
      <c r="BY1955" s="28" t="s">
        <v>175</v>
      </c>
      <c r="BZ1955" s="34">
        <v>43181</v>
      </c>
      <c r="CA1955" s="29">
        <v>3</v>
      </c>
      <c r="CB1955" s="28" t="s">
        <v>172</v>
      </c>
      <c r="CC1955" s="29" t="s">
        <v>138</v>
      </c>
      <c r="CD1955" s="28" t="s">
        <v>138</v>
      </c>
      <c r="CE1955" s="28" t="s">
        <v>173</v>
      </c>
      <c r="CF1955" s="28" t="s">
        <v>138</v>
      </c>
      <c r="CG1955" s="28" t="s">
        <v>138</v>
      </c>
      <c r="CH1955" s="28" t="s">
        <v>174</v>
      </c>
      <c r="CI1955" s="28" t="s">
        <v>138</v>
      </c>
      <c r="CJ1955" s="28" t="s">
        <v>138</v>
      </c>
      <c r="CK1955" s="28" t="s">
        <v>138</v>
      </c>
      <c r="CL1955" s="28" t="s">
        <v>175</v>
      </c>
      <c r="CM1955" s="34">
        <v>42157</v>
      </c>
      <c r="CN1955" s="29">
        <v>1.5</v>
      </c>
      <c r="CO1955" s="35">
        <v>0.56000000000000005</v>
      </c>
      <c r="CP1955" s="36">
        <v>95</v>
      </c>
      <c r="CQ1955" s="35">
        <v>-0.03</v>
      </c>
      <c r="CR1955" s="35">
        <v>-5.54</v>
      </c>
      <c r="CS1955" s="35">
        <v>1.0900000000000001</v>
      </c>
      <c r="CT1955" s="36">
        <v>97</v>
      </c>
      <c r="CU1955" s="35">
        <v>0.03</v>
      </c>
      <c r="CV1955" s="36">
        <v>54</v>
      </c>
      <c r="CW1955" s="35">
        <v>2.9</v>
      </c>
      <c r="CX1955" s="36">
        <v>91</v>
      </c>
      <c r="CY1955" s="35">
        <v>-0.71</v>
      </c>
      <c r="CZ1955" s="36">
        <v>21</v>
      </c>
      <c r="DA1955" s="35">
        <v>-0.01</v>
      </c>
      <c r="DB1955" s="36">
        <v>21</v>
      </c>
      <c r="DC1955" s="37">
        <v>23.65</v>
      </c>
      <c r="DD1955" s="36">
        <v>95</v>
      </c>
      <c r="DE1955" s="37">
        <v>-0.63</v>
      </c>
      <c r="DF1955" s="35">
        <v>-2.59</v>
      </c>
      <c r="DG1955" s="37">
        <v>22.12</v>
      </c>
      <c r="DH1955" s="36">
        <v>95</v>
      </c>
      <c r="DI1955" s="37">
        <v>25.17</v>
      </c>
      <c r="DJ1955" s="36">
        <v>92</v>
      </c>
      <c r="DK1955" s="37">
        <v>20.45</v>
      </c>
      <c r="DL1955" s="36">
        <v>92</v>
      </c>
      <c r="DM1955" s="37">
        <v>23.79</v>
      </c>
      <c r="DN1955" s="36">
        <v>95</v>
      </c>
      <c r="DO1955" s="37">
        <v>44.34</v>
      </c>
      <c r="DP1955" s="36">
        <v>96</v>
      </c>
      <c r="DQ1955" s="36">
        <v>7018</v>
      </c>
      <c r="DR1955" s="38">
        <v>-9</v>
      </c>
      <c r="DS1955" s="35">
        <v>-0.13</v>
      </c>
      <c r="DT1955" s="36">
        <v>691</v>
      </c>
      <c r="DU1955" s="38">
        <v>-2</v>
      </c>
      <c r="DV1955" s="35">
        <v>-0.28999999999999998</v>
      </c>
      <c r="DW1955" s="36">
        <v>15871</v>
      </c>
      <c r="DX1955" s="39">
        <v>1</v>
      </c>
      <c r="DY1955" s="35">
        <v>0.01</v>
      </c>
      <c r="DZ1955" s="28" t="s">
        <v>178</v>
      </c>
      <c r="EA1955" s="34">
        <v>43434</v>
      </c>
      <c r="EB1955" s="29">
        <v>25.25</v>
      </c>
      <c r="EC1955" s="34">
        <v>41864</v>
      </c>
      <c r="ED1955" s="28" t="s">
        <v>205</v>
      </c>
      <c r="EE1955" s="40" t="str">
        <f>HYPERLINK("https://my.pitchbook.com?c=56133-10", "View company online")</f>
        <v>View company online</v>
      </c>
    </row>
    <row r="1956" spans="1:135">
      <c r="A1956" s="15" t="s">
        <v>36988</v>
      </c>
      <c r="B1956" s="15" t="s">
        <v>36989</v>
      </c>
      <c r="C1956" s="15" t="s">
        <v>138</v>
      </c>
      <c r="D1956" s="15" t="s">
        <v>138</v>
      </c>
      <c r="E1956" s="15" t="s">
        <v>36990</v>
      </c>
      <c r="F1956" s="15" t="s">
        <v>36988</v>
      </c>
      <c r="G1956" s="15" t="s">
        <v>36991</v>
      </c>
      <c r="H1956" s="15" t="s">
        <v>322</v>
      </c>
      <c r="I1956" s="15" t="s">
        <v>323</v>
      </c>
      <c r="J1956" s="15" t="s">
        <v>324</v>
      </c>
      <c r="K1956" s="15" t="s">
        <v>36992</v>
      </c>
      <c r="L1956" s="15" t="s">
        <v>8348</v>
      </c>
      <c r="M1956" s="15" t="s">
        <v>36993</v>
      </c>
      <c r="N1956" s="15" t="s">
        <v>147</v>
      </c>
      <c r="O1956" s="17">
        <v>1.3</v>
      </c>
      <c r="P1956" s="15" t="s">
        <v>148</v>
      </c>
      <c r="Q1956" s="15" t="s">
        <v>149</v>
      </c>
      <c r="R1956" s="15" t="s">
        <v>174</v>
      </c>
      <c r="S1956" s="15" t="s">
        <v>36994</v>
      </c>
      <c r="T1956" s="18">
        <v>12</v>
      </c>
      <c r="U1956" s="15" t="s">
        <v>36995</v>
      </c>
      <c r="V1956" s="15" t="s">
        <v>138</v>
      </c>
      <c r="W1956" s="15" t="s">
        <v>138</v>
      </c>
      <c r="X1956" s="19">
        <v>2010</v>
      </c>
      <c r="Y1956" s="15" t="s">
        <v>138</v>
      </c>
      <c r="Z1956" s="15" t="s">
        <v>138</v>
      </c>
      <c r="AA1956" s="15" t="s">
        <v>138</v>
      </c>
      <c r="AB1956" s="20" t="s">
        <v>138</v>
      </c>
      <c r="AC1956" s="20" t="s">
        <v>138</v>
      </c>
      <c r="AD1956" s="20" t="s">
        <v>138</v>
      </c>
      <c r="AE1956" s="20" t="s">
        <v>138</v>
      </c>
      <c r="AF1956" s="20" t="s">
        <v>138</v>
      </c>
      <c r="AG1956" s="15" t="s">
        <v>138</v>
      </c>
      <c r="AH1956" s="20" t="s">
        <v>138</v>
      </c>
      <c r="AI1956" s="20" t="s">
        <v>138</v>
      </c>
      <c r="AJ1956" s="20" t="s">
        <v>138</v>
      </c>
      <c r="AK1956" s="15" t="s">
        <v>36996</v>
      </c>
      <c r="AL1956" s="15" t="s">
        <v>36997</v>
      </c>
      <c r="AM1956" s="15" t="s">
        <v>36998</v>
      </c>
      <c r="AN1956" s="15" t="s">
        <v>36999</v>
      </c>
      <c r="AO1956" s="15" t="s">
        <v>37000</v>
      </c>
      <c r="AP1956" s="15" t="s">
        <v>941</v>
      </c>
      <c r="AQ1956" s="15" t="s">
        <v>37001</v>
      </c>
      <c r="AR1956" s="15" t="s">
        <v>138</v>
      </c>
      <c r="AS1956" s="15" t="s">
        <v>944</v>
      </c>
      <c r="AT1956" s="15" t="s">
        <v>138</v>
      </c>
      <c r="AU1956" s="15" t="s">
        <v>8355</v>
      </c>
      <c r="AV1956" s="15" t="s">
        <v>946</v>
      </c>
      <c r="AW1956" s="15" t="s">
        <v>37000</v>
      </c>
      <c r="AX1956" s="15" t="s">
        <v>37002</v>
      </c>
      <c r="AY1956" s="15" t="s">
        <v>37003</v>
      </c>
      <c r="AZ1956" s="15" t="s">
        <v>530</v>
      </c>
      <c r="BA1956" s="15" t="s">
        <v>531</v>
      </c>
      <c r="BB1956" s="15" t="s">
        <v>37004</v>
      </c>
      <c r="BC1956" s="15" t="s">
        <v>37005</v>
      </c>
      <c r="BD1956" s="21">
        <v>5</v>
      </c>
      <c r="BE1956" s="15" t="s">
        <v>138</v>
      </c>
      <c r="BF1956" s="15" t="s">
        <v>138</v>
      </c>
      <c r="BG1956" s="15" t="s">
        <v>138</v>
      </c>
      <c r="BH1956" s="15" t="s">
        <v>37006</v>
      </c>
      <c r="BI1956" s="15" t="s">
        <v>138</v>
      </c>
      <c r="BJ1956" s="15" t="s">
        <v>138</v>
      </c>
      <c r="BK1956" s="15" t="s">
        <v>138</v>
      </c>
      <c r="BL1956" s="15" t="s">
        <v>138</v>
      </c>
      <c r="BM1956" s="22">
        <v>41000</v>
      </c>
      <c r="BN1956" s="17" t="s">
        <v>138</v>
      </c>
      <c r="BO1956" s="15" t="s">
        <v>138</v>
      </c>
      <c r="BP1956" s="17" t="s">
        <v>138</v>
      </c>
      <c r="BQ1956" s="15" t="s">
        <v>138</v>
      </c>
      <c r="BR1956" s="15" t="s">
        <v>205</v>
      </c>
      <c r="BS1956" s="15" t="s">
        <v>206</v>
      </c>
      <c r="BT1956" s="15" t="s">
        <v>138</v>
      </c>
      <c r="BU1956" s="15" t="s">
        <v>174</v>
      </c>
      <c r="BV1956" s="15" t="s">
        <v>138</v>
      </c>
      <c r="BW1956" s="15" t="s">
        <v>138</v>
      </c>
      <c r="BX1956" s="15" t="s">
        <v>138</v>
      </c>
      <c r="BY1956" s="15" t="s">
        <v>175</v>
      </c>
      <c r="BZ1956" s="22" t="s">
        <v>138</v>
      </c>
      <c r="CA1956" s="17" t="s">
        <v>138</v>
      </c>
      <c r="CB1956" s="15" t="s">
        <v>138</v>
      </c>
      <c r="CC1956" s="17" t="s">
        <v>138</v>
      </c>
      <c r="CD1956" s="15" t="s">
        <v>138</v>
      </c>
      <c r="CE1956" s="15" t="s">
        <v>780</v>
      </c>
      <c r="CF1956" s="15" t="s">
        <v>780</v>
      </c>
      <c r="CG1956" s="15" t="s">
        <v>138</v>
      </c>
      <c r="CH1956" s="15" t="s">
        <v>780</v>
      </c>
      <c r="CI1956" s="15" t="s">
        <v>138</v>
      </c>
      <c r="CJ1956" s="15" t="s">
        <v>138</v>
      </c>
      <c r="CK1956" s="15" t="s">
        <v>138</v>
      </c>
      <c r="CL1956" s="15" t="s">
        <v>175</v>
      </c>
      <c r="CM1956" s="22" t="s">
        <v>138</v>
      </c>
      <c r="CN1956" s="17" t="s">
        <v>138</v>
      </c>
      <c r="CO1956" s="23">
        <v>-1.83</v>
      </c>
      <c r="CP1956" s="24">
        <v>6</v>
      </c>
      <c r="CQ1956" s="23">
        <v>-0.96</v>
      </c>
      <c r="CR1956" s="23">
        <v>-109.98</v>
      </c>
      <c r="CS1956" s="23">
        <v>-3.63</v>
      </c>
      <c r="CT1956" s="24">
        <v>4</v>
      </c>
      <c r="CU1956" s="23">
        <v>-0.02</v>
      </c>
      <c r="CV1956" s="24">
        <v>17</v>
      </c>
      <c r="CW1956" s="23" t="s">
        <v>138</v>
      </c>
      <c r="CX1956" s="24" t="s">
        <v>138</v>
      </c>
      <c r="CY1956" s="23">
        <v>-3.63</v>
      </c>
      <c r="CZ1956" s="24">
        <v>5</v>
      </c>
      <c r="DA1956" s="23">
        <v>-0.03</v>
      </c>
      <c r="DB1956" s="24">
        <v>17</v>
      </c>
      <c r="DC1956" s="25">
        <v>19.12</v>
      </c>
      <c r="DD1956" s="24">
        <v>94</v>
      </c>
      <c r="DE1956" s="25">
        <v>-4.74</v>
      </c>
      <c r="DF1956" s="23">
        <v>-19.86</v>
      </c>
      <c r="DG1956" s="25">
        <v>37.17</v>
      </c>
      <c r="DH1956" s="24">
        <v>97</v>
      </c>
      <c r="DI1956" s="25">
        <v>1.07</v>
      </c>
      <c r="DJ1956" s="24">
        <v>50</v>
      </c>
      <c r="DK1956" s="25" t="s">
        <v>138</v>
      </c>
      <c r="DL1956" s="24" t="s">
        <v>138</v>
      </c>
      <c r="DM1956" s="25">
        <v>37.17</v>
      </c>
      <c r="DN1956" s="24">
        <v>97</v>
      </c>
      <c r="DO1956" s="25">
        <v>1.29</v>
      </c>
      <c r="DP1956" s="24">
        <v>55</v>
      </c>
      <c r="DQ1956" s="24">
        <v>201</v>
      </c>
      <c r="DR1956" s="26">
        <v>6</v>
      </c>
      <c r="DS1956" s="23">
        <v>3.08</v>
      </c>
      <c r="DT1956" s="24">
        <v>1192</v>
      </c>
      <c r="DU1956" s="26">
        <v>-199</v>
      </c>
      <c r="DV1956" s="23">
        <v>-14.31</v>
      </c>
      <c r="DW1956" s="24">
        <v>463</v>
      </c>
      <c r="DX1956" s="27">
        <v>1</v>
      </c>
      <c r="DY1956" s="23">
        <v>0.22</v>
      </c>
      <c r="DZ1956" s="15" t="s">
        <v>178</v>
      </c>
      <c r="EA1956" s="22">
        <v>43622</v>
      </c>
      <c r="EB1956" s="17" t="s">
        <v>138</v>
      </c>
      <c r="EC1956" s="22" t="s">
        <v>138</v>
      </c>
      <c r="ED1956" s="15" t="s">
        <v>138</v>
      </c>
      <c r="EE1956" s="14" t="str">
        <f>HYPERLINK("https://my.pitchbook.com?c=54599-68", "View company online")</f>
        <v>View company online</v>
      </c>
    </row>
    <row r="1957" spans="1:135">
      <c r="A1957" s="28" t="s">
        <v>37007</v>
      </c>
      <c r="B1957" s="28" t="s">
        <v>37008</v>
      </c>
      <c r="C1957" s="28" t="s">
        <v>37009</v>
      </c>
      <c r="D1957" s="28" t="s">
        <v>138</v>
      </c>
      <c r="E1957" s="28" t="s">
        <v>37010</v>
      </c>
      <c r="F1957" s="28" t="s">
        <v>37007</v>
      </c>
      <c r="G1957" s="28" t="s">
        <v>37011</v>
      </c>
      <c r="H1957" s="28" t="s">
        <v>183</v>
      </c>
      <c r="I1957" s="28" t="s">
        <v>184</v>
      </c>
      <c r="J1957" s="28" t="s">
        <v>185</v>
      </c>
      <c r="K1957" s="28" t="s">
        <v>37012</v>
      </c>
      <c r="L1957" s="28" t="s">
        <v>37013</v>
      </c>
      <c r="M1957" s="28" t="s">
        <v>37014</v>
      </c>
      <c r="N1957" s="28" t="s">
        <v>147</v>
      </c>
      <c r="O1957" s="29">
        <v>28.9</v>
      </c>
      <c r="P1957" s="28" t="s">
        <v>148</v>
      </c>
      <c r="Q1957" s="28" t="s">
        <v>149</v>
      </c>
      <c r="R1957" s="28" t="s">
        <v>174</v>
      </c>
      <c r="S1957" s="28" t="s">
        <v>37015</v>
      </c>
      <c r="T1957" s="30">
        <v>12</v>
      </c>
      <c r="U1957" s="28" t="s">
        <v>4523</v>
      </c>
      <c r="V1957" s="28" t="s">
        <v>138</v>
      </c>
      <c r="W1957" s="28" t="s">
        <v>138</v>
      </c>
      <c r="X1957" s="31">
        <v>2008</v>
      </c>
      <c r="Y1957" s="28" t="s">
        <v>138</v>
      </c>
      <c r="Z1957" s="28" t="s">
        <v>138</v>
      </c>
      <c r="AA1957" s="28" t="s">
        <v>138</v>
      </c>
      <c r="AB1957" s="32" t="s">
        <v>138</v>
      </c>
      <c r="AC1957" s="32" t="s">
        <v>138</v>
      </c>
      <c r="AD1957" s="32" t="s">
        <v>138</v>
      </c>
      <c r="AE1957" s="32" t="s">
        <v>138</v>
      </c>
      <c r="AF1957" s="32" t="s">
        <v>138</v>
      </c>
      <c r="AG1957" s="28" t="s">
        <v>138</v>
      </c>
      <c r="AH1957" s="32" t="s">
        <v>138</v>
      </c>
      <c r="AI1957" s="32" t="s">
        <v>138</v>
      </c>
      <c r="AJ1957" s="32" t="s">
        <v>138</v>
      </c>
      <c r="AK1957" s="28" t="s">
        <v>37016</v>
      </c>
      <c r="AL1957" s="28" t="s">
        <v>37017</v>
      </c>
      <c r="AM1957" s="28" t="s">
        <v>4011</v>
      </c>
      <c r="AN1957" s="28" t="s">
        <v>37018</v>
      </c>
      <c r="AO1957" s="28" t="s">
        <v>37019</v>
      </c>
      <c r="AP1957" s="28" t="s">
        <v>16912</v>
      </c>
      <c r="AQ1957" s="28" t="s">
        <v>37020</v>
      </c>
      <c r="AR1957" s="28" t="s">
        <v>138</v>
      </c>
      <c r="AS1957" s="28" t="s">
        <v>16915</v>
      </c>
      <c r="AT1957" s="28" t="s">
        <v>7605</v>
      </c>
      <c r="AU1957" s="28" t="s">
        <v>37021</v>
      </c>
      <c r="AV1957" s="28" t="s">
        <v>162</v>
      </c>
      <c r="AW1957" s="28" t="s">
        <v>37019</v>
      </c>
      <c r="AX1957" s="28" t="s">
        <v>138</v>
      </c>
      <c r="AY1957" s="28" t="s">
        <v>37022</v>
      </c>
      <c r="AZ1957" s="28" t="s">
        <v>164</v>
      </c>
      <c r="BA1957" s="28" t="s">
        <v>165</v>
      </c>
      <c r="BB1957" s="28" t="s">
        <v>37023</v>
      </c>
      <c r="BC1957" s="28" t="s">
        <v>37024</v>
      </c>
      <c r="BD1957" s="33">
        <v>18</v>
      </c>
      <c r="BE1957" s="28" t="s">
        <v>138</v>
      </c>
      <c r="BF1957" s="28" t="s">
        <v>138</v>
      </c>
      <c r="BG1957" s="28" t="s">
        <v>138</v>
      </c>
      <c r="BH1957" s="28" t="s">
        <v>37025</v>
      </c>
      <c r="BI1957" s="28" t="s">
        <v>138</v>
      </c>
      <c r="BJ1957" s="28" t="s">
        <v>138</v>
      </c>
      <c r="BK1957" s="28" t="s">
        <v>138</v>
      </c>
      <c r="BL1957" s="28" t="s">
        <v>138</v>
      </c>
      <c r="BM1957" s="34">
        <v>40057</v>
      </c>
      <c r="BN1957" s="29">
        <v>1.8</v>
      </c>
      <c r="BO1957" s="28" t="s">
        <v>172</v>
      </c>
      <c r="BP1957" s="29" t="s">
        <v>138</v>
      </c>
      <c r="BQ1957" s="28" t="s">
        <v>138</v>
      </c>
      <c r="BR1957" s="28" t="s">
        <v>176</v>
      </c>
      <c r="BS1957" s="28" t="s">
        <v>138</v>
      </c>
      <c r="BT1957" s="28" t="s">
        <v>138</v>
      </c>
      <c r="BU1957" s="28" t="s">
        <v>177</v>
      </c>
      <c r="BV1957" s="28" t="s">
        <v>138</v>
      </c>
      <c r="BW1957" s="28" t="s">
        <v>138</v>
      </c>
      <c r="BX1957" s="28" t="s">
        <v>138</v>
      </c>
      <c r="BY1957" s="28" t="s">
        <v>175</v>
      </c>
      <c r="BZ1957" s="34">
        <v>43299</v>
      </c>
      <c r="CA1957" s="29">
        <v>17</v>
      </c>
      <c r="CB1957" s="28" t="s">
        <v>172</v>
      </c>
      <c r="CC1957" s="29">
        <v>30</v>
      </c>
      <c r="CD1957" s="28" t="s">
        <v>172</v>
      </c>
      <c r="CE1957" s="28" t="s">
        <v>173</v>
      </c>
      <c r="CF1957" s="28" t="s">
        <v>317</v>
      </c>
      <c r="CG1957" s="28" t="s">
        <v>138</v>
      </c>
      <c r="CH1957" s="28" t="s">
        <v>174</v>
      </c>
      <c r="CI1957" s="28" t="s">
        <v>138</v>
      </c>
      <c r="CJ1957" s="28" t="s">
        <v>138</v>
      </c>
      <c r="CK1957" s="28" t="s">
        <v>138</v>
      </c>
      <c r="CL1957" s="28" t="s">
        <v>175</v>
      </c>
      <c r="CM1957" s="34" t="s">
        <v>138</v>
      </c>
      <c r="CN1957" s="29" t="s">
        <v>138</v>
      </c>
      <c r="CO1957" s="35">
        <v>0</v>
      </c>
      <c r="CP1957" s="36">
        <v>26</v>
      </c>
      <c r="CQ1957" s="35">
        <v>0</v>
      </c>
      <c r="CR1957" s="35">
        <v>0</v>
      </c>
      <c r="CS1957" s="35">
        <v>0</v>
      </c>
      <c r="CT1957" s="36">
        <v>23</v>
      </c>
      <c r="CU1957" s="35">
        <v>0</v>
      </c>
      <c r="CV1957" s="36">
        <v>22</v>
      </c>
      <c r="CW1957" s="35" t="s">
        <v>138</v>
      </c>
      <c r="CX1957" s="36" t="s">
        <v>138</v>
      </c>
      <c r="CY1957" s="35">
        <v>0</v>
      </c>
      <c r="CZ1957" s="36">
        <v>25</v>
      </c>
      <c r="DA1957" s="35">
        <v>0</v>
      </c>
      <c r="DB1957" s="36">
        <v>22</v>
      </c>
      <c r="DC1957" s="37">
        <v>0.85</v>
      </c>
      <c r="DD1957" s="36">
        <v>47</v>
      </c>
      <c r="DE1957" s="37">
        <v>0.02</v>
      </c>
      <c r="DF1957" s="35">
        <v>2.12</v>
      </c>
      <c r="DG1957" s="37">
        <v>1.59</v>
      </c>
      <c r="DH1957" s="36">
        <v>62</v>
      </c>
      <c r="DI1957" s="37">
        <v>0.11</v>
      </c>
      <c r="DJ1957" s="36">
        <v>15</v>
      </c>
      <c r="DK1957" s="37" t="s">
        <v>138</v>
      </c>
      <c r="DL1957" s="36" t="s">
        <v>138</v>
      </c>
      <c r="DM1957" s="37">
        <v>1.59</v>
      </c>
      <c r="DN1957" s="36">
        <v>61</v>
      </c>
      <c r="DO1957" s="37">
        <v>0.21</v>
      </c>
      <c r="DP1957" s="36">
        <v>25</v>
      </c>
      <c r="DQ1957" s="36">
        <v>287</v>
      </c>
      <c r="DR1957" s="38">
        <v>47</v>
      </c>
      <c r="DS1957" s="35">
        <v>19.579999999999998</v>
      </c>
      <c r="DT1957" s="36">
        <v>45</v>
      </c>
      <c r="DU1957" s="38">
        <v>1</v>
      </c>
      <c r="DV1957" s="35">
        <v>2.27</v>
      </c>
      <c r="DW1957" s="36">
        <v>76</v>
      </c>
      <c r="DX1957" s="39">
        <v>0</v>
      </c>
      <c r="DY1957" s="35">
        <v>0</v>
      </c>
      <c r="DZ1957" s="28" t="s">
        <v>178</v>
      </c>
      <c r="EA1957" s="34">
        <v>43543</v>
      </c>
      <c r="EB1957" s="29">
        <v>30</v>
      </c>
      <c r="EC1957" s="34">
        <v>43299</v>
      </c>
      <c r="ED1957" s="28" t="s">
        <v>173</v>
      </c>
      <c r="EE1957" s="40" t="str">
        <f>HYPERLINK("https://my.pitchbook.com?c=56465-47", "View company online")</f>
        <v>View company online</v>
      </c>
    </row>
    <row r="1958" spans="1:135">
      <c r="A1958" s="15" t="s">
        <v>37026</v>
      </c>
      <c r="B1958" s="15" t="s">
        <v>37027</v>
      </c>
      <c r="C1958" s="15" t="s">
        <v>138</v>
      </c>
      <c r="D1958" s="15" t="s">
        <v>138</v>
      </c>
      <c r="E1958" s="15" t="s">
        <v>138</v>
      </c>
      <c r="F1958" s="15" t="s">
        <v>37026</v>
      </c>
      <c r="G1958" s="15" t="s">
        <v>37028</v>
      </c>
      <c r="H1958" s="15" t="s">
        <v>141</v>
      </c>
      <c r="I1958" s="15" t="s">
        <v>142</v>
      </c>
      <c r="J1958" s="15" t="s">
        <v>143</v>
      </c>
      <c r="K1958" s="15" t="s">
        <v>37029</v>
      </c>
      <c r="L1958" s="15" t="s">
        <v>28194</v>
      </c>
      <c r="M1958" s="15" t="s">
        <v>37030</v>
      </c>
      <c r="N1958" s="15" t="s">
        <v>147</v>
      </c>
      <c r="O1958" s="17" t="s">
        <v>138</v>
      </c>
      <c r="P1958" s="15" t="s">
        <v>148</v>
      </c>
      <c r="Q1958" s="15" t="s">
        <v>149</v>
      </c>
      <c r="R1958" s="15" t="s">
        <v>174</v>
      </c>
      <c r="S1958" s="15" t="s">
        <v>37031</v>
      </c>
      <c r="T1958" s="18">
        <v>4</v>
      </c>
      <c r="U1958" s="15" t="s">
        <v>37032</v>
      </c>
      <c r="V1958" s="15" t="s">
        <v>138</v>
      </c>
      <c r="W1958" s="15" t="s">
        <v>138</v>
      </c>
      <c r="X1958" s="19">
        <v>2014</v>
      </c>
      <c r="Y1958" s="15" t="s">
        <v>138</v>
      </c>
      <c r="Z1958" s="15" t="s">
        <v>138</v>
      </c>
      <c r="AA1958" s="15" t="s">
        <v>138</v>
      </c>
      <c r="AB1958" s="20" t="s">
        <v>138</v>
      </c>
      <c r="AC1958" s="20" t="s">
        <v>138</v>
      </c>
      <c r="AD1958" s="20" t="s">
        <v>138</v>
      </c>
      <c r="AE1958" s="20" t="s">
        <v>138</v>
      </c>
      <c r="AF1958" s="20" t="s">
        <v>138</v>
      </c>
      <c r="AG1958" s="15" t="s">
        <v>138</v>
      </c>
      <c r="AH1958" s="20" t="s">
        <v>138</v>
      </c>
      <c r="AI1958" s="20" t="s">
        <v>138</v>
      </c>
      <c r="AJ1958" s="20" t="s">
        <v>138</v>
      </c>
      <c r="AK1958" s="15" t="s">
        <v>37033</v>
      </c>
      <c r="AL1958" s="15" t="s">
        <v>37034</v>
      </c>
      <c r="AM1958" s="15" t="s">
        <v>5401</v>
      </c>
      <c r="AN1958" s="15" t="s">
        <v>37035</v>
      </c>
      <c r="AO1958" s="15" t="s">
        <v>37036</v>
      </c>
      <c r="AP1958" s="15" t="s">
        <v>471</v>
      </c>
      <c r="AQ1958" s="15" t="s">
        <v>37037</v>
      </c>
      <c r="AR1958" s="15" t="s">
        <v>37038</v>
      </c>
      <c r="AS1958" s="15" t="s">
        <v>473</v>
      </c>
      <c r="AT1958" s="15" t="s">
        <v>474</v>
      </c>
      <c r="AU1958" s="15" t="s">
        <v>37039</v>
      </c>
      <c r="AV1958" s="15" t="s">
        <v>162</v>
      </c>
      <c r="AW1958" s="15" t="s">
        <v>37036</v>
      </c>
      <c r="AX1958" s="15" t="s">
        <v>138</v>
      </c>
      <c r="AY1958" s="15" t="s">
        <v>37040</v>
      </c>
      <c r="AZ1958" s="15" t="s">
        <v>164</v>
      </c>
      <c r="BA1958" s="15" t="s">
        <v>165</v>
      </c>
      <c r="BB1958" s="15" t="s">
        <v>37041</v>
      </c>
      <c r="BC1958" s="15" t="s">
        <v>37042</v>
      </c>
      <c r="BD1958" s="21">
        <v>7</v>
      </c>
      <c r="BE1958" s="15" t="s">
        <v>138</v>
      </c>
      <c r="BF1958" s="15" t="s">
        <v>138</v>
      </c>
      <c r="BG1958" s="15" t="s">
        <v>138</v>
      </c>
      <c r="BH1958" s="15" t="s">
        <v>37043</v>
      </c>
      <c r="BI1958" s="15" t="s">
        <v>138</v>
      </c>
      <c r="BJ1958" s="15" t="s">
        <v>138</v>
      </c>
      <c r="BK1958" s="15" t="s">
        <v>138</v>
      </c>
      <c r="BL1958" s="15" t="s">
        <v>138</v>
      </c>
      <c r="BM1958" s="22">
        <v>42005</v>
      </c>
      <c r="BN1958" s="17">
        <v>0.73</v>
      </c>
      <c r="BO1958" s="15" t="s">
        <v>172</v>
      </c>
      <c r="BP1958" s="17" t="s">
        <v>138</v>
      </c>
      <c r="BQ1958" s="15" t="s">
        <v>138</v>
      </c>
      <c r="BR1958" s="15" t="s">
        <v>176</v>
      </c>
      <c r="BS1958" s="15" t="s">
        <v>138</v>
      </c>
      <c r="BT1958" s="15" t="s">
        <v>138</v>
      </c>
      <c r="BU1958" s="15" t="s">
        <v>177</v>
      </c>
      <c r="BV1958" s="15" t="s">
        <v>138</v>
      </c>
      <c r="BW1958" s="15" t="s">
        <v>138</v>
      </c>
      <c r="BX1958" s="15" t="s">
        <v>138</v>
      </c>
      <c r="BY1958" s="15" t="s">
        <v>175</v>
      </c>
      <c r="BZ1958" s="22">
        <v>43501</v>
      </c>
      <c r="CA1958" s="17" t="s">
        <v>138</v>
      </c>
      <c r="CB1958" s="15" t="s">
        <v>138</v>
      </c>
      <c r="CC1958" s="17" t="s">
        <v>138</v>
      </c>
      <c r="CD1958" s="15" t="s">
        <v>138</v>
      </c>
      <c r="CE1958" s="15" t="s">
        <v>205</v>
      </c>
      <c r="CF1958" s="15" t="s">
        <v>206</v>
      </c>
      <c r="CG1958" s="15" t="s">
        <v>138</v>
      </c>
      <c r="CH1958" s="15" t="s">
        <v>174</v>
      </c>
      <c r="CI1958" s="15" t="s">
        <v>138</v>
      </c>
      <c r="CJ1958" s="15" t="s">
        <v>138</v>
      </c>
      <c r="CK1958" s="15" t="s">
        <v>138</v>
      </c>
      <c r="CL1958" s="15" t="s">
        <v>175</v>
      </c>
      <c r="CM1958" s="22" t="s">
        <v>138</v>
      </c>
      <c r="CN1958" s="17" t="s">
        <v>138</v>
      </c>
      <c r="CO1958" s="23">
        <v>0</v>
      </c>
      <c r="CP1958" s="24">
        <v>26</v>
      </c>
      <c r="CQ1958" s="23">
        <v>0</v>
      </c>
      <c r="CR1958" s="23">
        <v>0</v>
      </c>
      <c r="CS1958" s="23">
        <v>0</v>
      </c>
      <c r="CT1958" s="24">
        <v>23</v>
      </c>
      <c r="CU1958" s="23">
        <v>0</v>
      </c>
      <c r="CV1958" s="24">
        <v>22</v>
      </c>
      <c r="CW1958" s="23" t="s">
        <v>138</v>
      </c>
      <c r="CX1958" s="24" t="s">
        <v>138</v>
      </c>
      <c r="CY1958" s="23">
        <v>0</v>
      </c>
      <c r="CZ1958" s="24">
        <v>25</v>
      </c>
      <c r="DA1958" s="23">
        <v>0</v>
      </c>
      <c r="DB1958" s="24">
        <v>22</v>
      </c>
      <c r="DC1958" s="25">
        <v>0.12</v>
      </c>
      <c r="DD1958" s="24">
        <v>10</v>
      </c>
      <c r="DE1958" s="25">
        <v>0.02</v>
      </c>
      <c r="DF1958" s="23">
        <v>18.899999999999999</v>
      </c>
      <c r="DG1958" s="25">
        <v>0.17</v>
      </c>
      <c r="DH1958" s="24">
        <v>13</v>
      </c>
      <c r="DI1958" s="25">
        <v>0.06</v>
      </c>
      <c r="DJ1958" s="24">
        <v>10</v>
      </c>
      <c r="DK1958" s="25" t="s">
        <v>138</v>
      </c>
      <c r="DL1958" s="24" t="s">
        <v>138</v>
      </c>
      <c r="DM1958" s="25">
        <v>0.17</v>
      </c>
      <c r="DN1958" s="24">
        <v>14</v>
      </c>
      <c r="DO1958" s="25">
        <v>0.06</v>
      </c>
      <c r="DP1958" s="24">
        <v>11</v>
      </c>
      <c r="DQ1958" s="24" t="s">
        <v>138</v>
      </c>
      <c r="DR1958" s="26" t="s">
        <v>138</v>
      </c>
      <c r="DS1958" s="23" t="s">
        <v>138</v>
      </c>
      <c r="DT1958" s="24">
        <v>4</v>
      </c>
      <c r="DU1958" s="26">
        <v>0</v>
      </c>
      <c r="DV1958" s="23">
        <v>0</v>
      </c>
      <c r="DW1958" s="24">
        <v>22</v>
      </c>
      <c r="DX1958" s="27">
        <v>1</v>
      </c>
      <c r="DY1958" s="23">
        <v>4.76</v>
      </c>
      <c r="DZ1958" s="15" t="s">
        <v>178</v>
      </c>
      <c r="EA1958" s="22">
        <v>43622</v>
      </c>
      <c r="EB1958" s="17" t="s">
        <v>138</v>
      </c>
      <c r="EC1958" s="22" t="s">
        <v>138</v>
      </c>
      <c r="ED1958" s="15" t="s">
        <v>138</v>
      </c>
      <c r="EE1958" s="14" t="str">
        <f>HYPERLINK("https://my.pitchbook.com?c=225914-95", "View company online")</f>
        <v>View company online</v>
      </c>
    </row>
    <row r="1959" spans="1:135">
      <c r="A1959" s="28" t="s">
        <v>37044</v>
      </c>
      <c r="B1959" s="28" t="s">
        <v>37045</v>
      </c>
      <c r="C1959" s="28" t="s">
        <v>37046</v>
      </c>
      <c r="D1959" s="28" t="s">
        <v>138</v>
      </c>
      <c r="E1959" s="28" t="s">
        <v>37047</v>
      </c>
      <c r="F1959" s="28" t="s">
        <v>37044</v>
      </c>
      <c r="G1959" s="28" t="s">
        <v>37048</v>
      </c>
      <c r="H1959" s="28" t="s">
        <v>322</v>
      </c>
      <c r="I1959" s="28" t="s">
        <v>323</v>
      </c>
      <c r="J1959" s="28" t="s">
        <v>1132</v>
      </c>
      <c r="K1959" s="28" t="s">
        <v>5444</v>
      </c>
      <c r="L1959" s="28" t="s">
        <v>215</v>
      </c>
      <c r="M1959" s="28" t="s">
        <v>37049</v>
      </c>
      <c r="N1959" s="28" t="s">
        <v>1212</v>
      </c>
      <c r="O1959" s="29">
        <v>176</v>
      </c>
      <c r="P1959" s="28" t="s">
        <v>1473</v>
      </c>
      <c r="Q1959" s="28" t="s">
        <v>149</v>
      </c>
      <c r="R1959" s="28" t="s">
        <v>25371</v>
      </c>
      <c r="S1959" s="28" t="s">
        <v>37050</v>
      </c>
      <c r="T1959" s="30">
        <v>300</v>
      </c>
      <c r="U1959" s="28" t="s">
        <v>37051</v>
      </c>
      <c r="V1959" s="28" t="s">
        <v>138</v>
      </c>
      <c r="W1959" s="28" t="s">
        <v>138</v>
      </c>
      <c r="X1959" s="31">
        <v>2003</v>
      </c>
      <c r="Y1959" s="28" t="s">
        <v>37052</v>
      </c>
      <c r="Z1959" s="28" t="s">
        <v>138</v>
      </c>
      <c r="AA1959" s="28" t="s">
        <v>138</v>
      </c>
      <c r="AB1959" s="32">
        <v>114.34</v>
      </c>
      <c r="AC1959" s="32">
        <v>84.97</v>
      </c>
      <c r="AD1959" s="32">
        <v>-43.72</v>
      </c>
      <c r="AE1959" s="32" t="s">
        <v>138</v>
      </c>
      <c r="AF1959" s="32">
        <v>-35.33</v>
      </c>
      <c r="AG1959" s="28" t="s">
        <v>37053</v>
      </c>
      <c r="AH1959" s="32" t="s">
        <v>138</v>
      </c>
      <c r="AI1959" s="32" t="s">
        <v>138</v>
      </c>
      <c r="AJ1959" s="32" t="s">
        <v>138</v>
      </c>
      <c r="AK1959" s="28" t="s">
        <v>37054</v>
      </c>
      <c r="AL1959" s="28" t="s">
        <v>37055</v>
      </c>
      <c r="AM1959" s="28" t="s">
        <v>249</v>
      </c>
      <c r="AN1959" s="28" t="s">
        <v>37056</v>
      </c>
      <c r="AO1959" s="28" t="s">
        <v>37057</v>
      </c>
      <c r="AP1959" s="28" t="s">
        <v>1168</v>
      </c>
      <c r="AQ1959" s="28" t="s">
        <v>37058</v>
      </c>
      <c r="AR1959" s="28" t="s">
        <v>1459</v>
      </c>
      <c r="AS1959" s="28" t="s">
        <v>1171</v>
      </c>
      <c r="AT1959" s="28" t="s">
        <v>200</v>
      </c>
      <c r="AU1959" s="28" t="s">
        <v>10793</v>
      </c>
      <c r="AV1959" s="28" t="s">
        <v>162</v>
      </c>
      <c r="AW1959" s="28" t="s">
        <v>37057</v>
      </c>
      <c r="AX1959" s="28" t="s">
        <v>138</v>
      </c>
      <c r="AY1959" s="28" t="s">
        <v>37059</v>
      </c>
      <c r="AZ1959" s="28" t="s">
        <v>164</v>
      </c>
      <c r="BA1959" s="28" t="s">
        <v>165</v>
      </c>
      <c r="BB1959" s="28" t="s">
        <v>37060</v>
      </c>
      <c r="BC1959" s="28" t="s">
        <v>138</v>
      </c>
      <c r="BD1959" s="33" t="s">
        <v>138</v>
      </c>
      <c r="BE1959" s="28" t="s">
        <v>37052</v>
      </c>
      <c r="BF1959" s="28" t="s">
        <v>37061</v>
      </c>
      <c r="BG1959" s="28" t="s">
        <v>138</v>
      </c>
      <c r="BH1959" s="28" t="s">
        <v>138</v>
      </c>
      <c r="BI1959" s="28" t="s">
        <v>37062</v>
      </c>
      <c r="BJ1959" s="28" t="s">
        <v>138</v>
      </c>
      <c r="BK1959" s="28" t="s">
        <v>1275</v>
      </c>
      <c r="BL1959" s="28" t="s">
        <v>37063</v>
      </c>
      <c r="BM1959" s="34">
        <v>38436</v>
      </c>
      <c r="BN1959" s="29">
        <v>4.58</v>
      </c>
      <c r="BO1959" s="28" t="s">
        <v>172</v>
      </c>
      <c r="BP1959" s="29">
        <v>7.48</v>
      </c>
      <c r="BQ1959" s="28" t="s">
        <v>172</v>
      </c>
      <c r="BR1959" s="28" t="s">
        <v>205</v>
      </c>
      <c r="BS1959" s="28" t="s">
        <v>206</v>
      </c>
      <c r="BT1959" s="28" t="s">
        <v>138</v>
      </c>
      <c r="BU1959" s="28" t="s">
        <v>174</v>
      </c>
      <c r="BV1959" s="28" t="s">
        <v>1397</v>
      </c>
      <c r="BW1959" s="28" t="s">
        <v>138</v>
      </c>
      <c r="BX1959" s="28" t="s">
        <v>138</v>
      </c>
      <c r="BY1959" s="28" t="s">
        <v>175</v>
      </c>
      <c r="BZ1959" s="34">
        <v>43313</v>
      </c>
      <c r="CA1959" s="29">
        <v>114.8</v>
      </c>
      <c r="CB1959" s="28" t="s">
        <v>1178</v>
      </c>
      <c r="CC1959" s="29">
        <v>627.27</v>
      </c>
      <c r="CD1959" s="28" t="s">
        <v>1178</v>
      </c>
      <c r="CE1959" s="28" t="s">
        <v>7613</v>
      </c>
      <c r="CF1959" s="28" t="s">
        <v>138</v>
      </c>
      <c r="CG1959" s="28" t="s">
        <v>138</v>
      </c>
      <c r="CH1959" s="28" t="s">
        <v>7614</v>
      </c>
      <c r="CI1959" s="28" t="s">
        <v>138</v>
      </c>
      <c r="CJ1959" s="28" t="s">
        <v>138</v>
      </c>
      <c r="CK1959" s="28" t="s">
        <v>138</v>
      </c>
      <c r="CL1959" s="28" t="s">
        <v>1831</v>
      </c>
      <c r="CM1959" s="34">
        <v>38436</v>
      </c>
      <c r="CN1959" s="29" t="s">
        <v>138</v>
      </c>
      <c r="CO1959" s="35" t="s">
        <v>138</v>
      </c>
      <c r="CP1959" s="36" t="s">
        <v>138</v>
      </c>
      <c r="CQ1959" s="35" t="s">
        <v>138</v>
      </c>
      <c r="CR1959" s="35" t="s">
        <v>138</v>
      </c>
      <c r="CS1959" s="35" t="s">
        <v>138</v>
      </c>
      <c r="CT1959" s="36" t="s">
        <v>138</v>
      </c>
      <c r="CU1959" s="35" t="s">
        <v>138</v>
      </c>
      <c r="CV1959" s="36" t="s">
        <v>138</v>
      </c>
      <c r="CW1959" s="35" t="s">
        <v>138</v>
      </c>
      <c r="CX1959" s="36" t="s">
        <v>138</v>
      </c>
      <c r="CY1959" s="35" t="s">
        <v>138</v>
      </c>
      <c r="CZ1959" s="36" t="s">
        <v>138</v>
      </c>
      <c r="DA1959" s="35" t="s">
        <v>138</v>
      </c>
      <c r="DB1959" s="36" t="s">
        <v>138</v>
      </c>
      <c r="DC1959" s="37" t="s">
        <v>138</v>
      </c>
      <c r="DD1959" s="36" t="s">
        <v>138</v>
      </c>
      <c r="DE1959" s="37" t="s">
        <v>138</v>
      </c>
      <c r="DF1959" s="35" t="s">
        <v>138</v>
      </c>
      <c r="DG1959" s="37" t="s">
        <v>138</v>
      </c>
      <c r="DH1959" s="36" t="s">
        <v>138</v>
      </c>
      <c r="DI1959" s="37" t="s">
        <v>138</v>
      </c>
      <c r="DJ1959" s="36" t="s">
        <v>138</v>
      </c>
      <c r="DK1959" s="37" t="s">
        <v>138</v>
      </c>
      <c r="DL1959" s="36" t="s">
        <v>138</v>
      </c>
      <c r="DM1959" s="37" t="s">
        <v>138</v>
      </c>
      <c r="DN1959" s="36" t="s">
        <v>138</v>
      </c>
      <c r="DO1959" s="37" t="s">
        <v>138</v>
      </c>
      <c r="DP1959" s="36" t="s">
        <v>138</v>
      </c>
      <c r="DQ1959" s="36" t="s">
        <v>138</v>
      </c>
      <c r="DR1959" s="38" t="s">
        <v>138</v>
      </c>
      <c r="DS1959" s="35" t="s">
        <v>138</v>
      </c>
      <c r="DT1959" s="36" t="s">
        <v>138</v>
      </c>
      <c r="DU1959" s="38" t="s">
        <v>138</v>
      </c>
      <c r="DV1959" s="35" t="s">
        <v>138</v>
      </c>
      <c r="DW1959" s="36" t="s">
        <v>138</v>
      </c>
      <c r="DX1959" s="39" t="s">
        <v>138</v>
      </c>
      <c r="DY1959" s="35" t="s">
        <v>138</v>
      </c>
      <c r="DZ1959" s="28" t="s">
        <v>178</v>
      </c>
      <c r="EA1959" s="34">
        <v>43622</v>
      </c>
      <c r="EB1959" s="29">
        <v>1600</v>
      </c>
      <c r="EC1959" s="34">
        <v>43313</v>
      </c>
      <c r="ED1959" s="28" t="s">
        <v>2228</v>
      </c>
      <c r="EE1959" s="40" t="str">
        <f>HYPERLINK("https://my.pitchbook.com?c=53308-63", "View company online")</f>
        <v>View company online</v>
      </c>
    </row>
    <row r="1960" spans="1:135">
      <c r="A1960" s="15" t="s">
        <v>37064</v>
      </c>
      <c r="B1960" s="15" t="s">
        <v>37065</v>
      </c>
      <c r="C1960" s="15" t="s">
        <v>138</v>
      </c>
      <c r="D1960" s="15" t="s">
        <v>138</v>
      </c>
      <c r="E1960" s="15" t="s">
        <v>37066</v>
      </c>
      <c r="F1960" s="15" t="s">
        <v>37064</v>
      </c>
      <c r="G1960" s="15" t="s">
        <v>37067</v>
      </c>
      <c r="H1960" s="15" t="s">
        <v>322</v>
      </c>
      <c r="I1960" s="15" t="s">
        <v>1503</v>
      </c>
      <c r="J1960" s="15" t="s">
        <v>1836</v>
      </c>
      <c r="K1960" s="15" t="s">
        <v>37068</v>
      </c>
      <c r="L1960" s="15" t="s">
        <v>415</v>
      </c>
      <c r="M1960" s="15" t="s">
        <v>37069</v>
      </c>
      <c r="N1960" s="15" t="s">
        <v>147</v>
      </c>
      <c r="O1960" s="17">
        <v>10.98</v>
      </c>
      <c r="P1960" s="15" t="s">
        <v>148</v>
      </c>
      <c r="Q1960" s="15" t="s">
        <v>149</v>
      </c>
      <c r="R1960" s="15" t="s">
        <v>8692</v>
      </c>
      <c r="S1960" s="15" t="s">
        <v>37070</v>
      </c>
      <c r="T1960" s="18">
        <v>9</v>
      </c>
      <c r="U1960" s="15" t="s">
        <v>37071</v>
      </c>
      <c r="V1960" s="15" t="s">
        <v>138</v>
      </c>
      <c r="W1960" s="15" t="s">
        <v>138</v>
      </c>
      <c r="X1960" s="19">
        <v>2008</v>
      </c>
      <c r="Y1960" s="15" t="s">
        <v>138</v>
      </c>
      <c r="Z1960" s="15" t="s">
        <v>138</v>
      </c>
      <c r="AA1960" s="15" t="s">
        <v>138</v>
      </c>
      <c r="AB1960" s="20" t="s">
        <v>138</v>
      </c>
      <c r="AC1960" s="20" t="s">
        <v>138</v>
      </c>
      <c r="AD1960" s="20" t="s">
        <v>138</v>
      </c>
      <c r="AE1960" s="20" t="s">
        <v>138</v>
      </c>
      <c r="AF1960" s="20" t="s">
        <v>138</v>
      </c>
      <c r="AG1960" s="15" t="s">
        <v>138</v>
      </c>
      <c r="AH1960" s="20" t="s">
        <v>138</v>
      </c>
      <c r="AI1960" s="20" t="s">
        <v>138</v>
      </c>
      <c r="AJ1960" s="20" t="s">
        <v>138</v>
      </c>
      <c r="AK1960" s="15" t="s">
        <v>37072</v>
      </c>
      <c r="AL1960" s="15" t="s">
        <v>37073</v>
      </c>
      <c r="AM1960" s="15" t="s">
        <v>4767</v>
      </c>
      <c r="AN1960" s="15" t="s">
        <v>37074</v>
      </c>
      <c r="AO1960" s="15" t="s">
        <v>37075</v>
      </c>
      <c r="AP1960" s="15" t="s">
        <v>861</v>
      </c>
      <c r="AQ1960" s="15" t="s">
        <v>37076</v>
      </c>
      <c r="AR1960" s="15" t="s">
        <v>24462</v>
      </c>
      <c r="AS1960" s="15" t="s">
        <v>863</v>
      </c>
      <c r="AT1960" s="15" t="s">
        <v>864</v>
      </c>
      <c r="AU1960" s="15" t="s">
        <v>10018</v>
      </c>
      <c r="AV1960" s="15" t="s">
        <v>162</v>
      </c>
      <c r="AW1960" s="15" t="s">
        <v>138</v>
      </c>
      <c r="AX1960" s="15" t="s">
        <v>138</v>
      </c>
      <c r="AY1960" s="15" t="s">
        <v>138</v>
      </c>
      <c r="AZ1960" s="15" t="s">
        <v>164</v>
      </c>
      <c r="BA1960" s="15" t="s">
        <v>165</v>
      </c>
      <c r="BB1960" s="15" t="s">
        <v>37077</v>
      </c>
      <c r="BC1960" s="15" t="s">
        <v>37078</v>
      </c>
      <c r="BD1960" s="21">
        <v>3</v>
      </c>
      <c r="BE1960" s="15" t="s">
        <v>138</v>
      </c>
      <c r="BF1960" s="15" t="s">
        <v>138</v>
      </c>
      <c r="BG1960" s="15" t="s">
        <v>138</v>
      </c>
      <c r="BH1960" s="15" t="s">
        <v>37079</v>
      </c>
      <c r="BI1960" s="15" t="s">
        <v>138</v>
      </c>
      <c r="BJ1960" s="15" t="s">
        <v>138</v>
      </c>
      <c r="BK1960" s="15" t="s">
        <v>138</v>
      </c>
      <c r="BL1960" s="15" t="s">
        <v>37080</v>
      </c>
      <c r="BM1960" s="22">
        <v>39892</v>
      </c>
      <c r="BN1960" s="17">
        <v>0.2</v>
      </c>
      <c r="BO1960" s="15" t="s">
        <v>172</v>
      </c>
      <c r="BP1960" s="17">
        <v>0.8</v>
      </c>
      <c r="BQ1960" s="15" t="s">
        <v>172</v>
      </c>
      <c r="BR1960" s="15" t="s">
        <v>205</v>
      </c>
      <c r="BS1960" s="15" t="s">
        <v>206</v>
      </c>
      <c r="BT1960" s="15" t="s">
        <v>138</v>
      </c>
      <c r="BU1960" s="15" t="s">
        <v>174</v>
      </c>
      <c r="BV1960" s="15" t="s">
        <v>138</v>
      </c>
      <c r="BW1960" s="15" t="s">
        <v>138</v>
      </c>
      <c r="BX1960" s="15" t="s">
        <v>138</v>
      </c>
      <c r="BY1960" s="15" t="s">
        <v>175</v>
      </c>
      <c r="BZ1960" s="22">
        <v>41655</v>
      </c>
      <c r="CA1960" s="17">
        <v>3.6</v>
      </c>
      <c r="CB1960" s="15" t="s">
        <v>172</v>
      </c>
      <c r="CC1960" s="17" t="s">
        <v>138</v>
      </c>
      <c r="CD1960" s="15" t="s">
        <v>138</v>
      </c>
      <c r="CE1960" s="15" t="s">
        <v>173</v>
      </c>
      <c r="CF1960" s="15" t="s">
        <v>720</v>
      </c>
      <c r="CG1960" s="15" t="s">
        <v>138</v>
      </c>
      <c r="CH1960" s="15" t="s">
        <v>174</v>
      </c>
      <c r="CI1960" s="15" t="s">
        <v>138</v>
      </c>
      <c r="CJ1960" s="15" t="s">
        <v>138</v>
      </c>
      <c r="CK1960" s="15" t="s">
        <v>138</v>
      </c>
      <c r="CL1960" s="15" t="s">
        <v>175</v>
      </c>
      <c r="CM1960" s="22" t="s">
        <v>138</v>
      </c>
      <c r="CN1960" s="17" t="s">
        <v>138</v>
      </c>
      <c r="CO1960" s="23">
        <v>-1.35</v>
      </c>
      <c r="CP1960" s="24">
        <v>8</v>
      </c>
      <c r="CQ1960" s="23">
        <v>-0.02</v>
      </c>
      <c r="CR1960" s="23">
        <v>-1.48</v>
      </c>
      <c r="CS1960" s="23">
        <v>-2.68</v>
      </c>
      <c r="CT1960" s="24">
        <v>6</v>
      </c>
      <c r="CU1960" s="23">
        <v>-0.02</v>
      </c>
      <c r="CV1960" s="24">
        <v>17</v>
      </c>
      <c r="CW1960" s="23">
        <v>-3.82</v>
      </c>
      <c r="CX1960" s="24">
        <v>4</v>
      </c>
      <c r="CY1960" s="23">
        <v>-1.53</v>
      </c>
      <c r="CZ1960" s="24">
        <v>15</v>
      </c>
      <c r="DA1960" s="23">
        <v>0</v>
      </c>
      <c r="DB1960" s="24">
        <v>22</v>
      </c>
      <c r="DC1960" s="25">
        <v>8.2200000000000006</v>
      </c>
      <c r="DD1960" s="24">
        <v>88</v>
      </c>
      <c r="DE1960" s="25">
        <v>-0.13</v>
      </c>
      <c r="DF1960" s="23">
        <v>-1.53</v>
      </c>
      <c r="DG1960" s="25">
        <v>13.7</v>
      </c>
      <c r="DH1960" s="24">
        <v>92</v>
      </c>
      <c r="DI1960" s="25">
        <v>2.73</v>
      </c>
      <c r="DJ1960" s="24">
        <v>68</v>
      </c>
      <c r="DK1960" s="25">
        <v>2.6</v>
      </c>
      <c r="DL1960" s="24">
        <v>69</v>
      </c>
      <c r="DM1960" s="25">
        <v>24.79</v>
      </c>
      <c r="DN1960" s="24">
        <v>95</v>
      </c>
      <c r="DO1960" s="25">
        <v>0.09</v>
      </c>
      <c r="DP1960" s="24">
        <v>15</v>
      </c>
      <c r="DQ1960" s="24">
        <v>894</v>
      </c>
      <c r="DR1960" s="26">
        <v>-3</v>
      </c>
      <c r="DS1960" s="23">
        <v>-0.33</v>
      </c>
      <c r="DT1960" s="24">
        <v>721</v>
      </c>
      <c r="DU1960" s="26">
        <v>-1</v>
      </c>
      <c r="DV1960" s="23">
        <v>-0.14000000000000001</v>
      </c>
      <c r="DW1960" s="24">
        <v>31</v>
      </c>
      <c r="DX1960" s="27">
        <v>1</v>
      </c>
      <c r="DY1960" s="23">
        <v>3.33</v>
      </c>
      <c r="DZ1960" s="15" t="s">
        <v>178</v>
      </c>
      <c r="EA1960" s="22">
        <v>43607</v>
      </c>
      <c r="EB1960" s="17">
        <v>10.220000000000001</v>
      </c>
      <c r="EC1960" s="22">
        <v>41639</v>
      </c>
      <c r="ED1960" s="15" t="s">
        <v>205</v>
      </c>
      <c r="EE1960" s="14" t="str">
        <f>HYPERLINK("https://my.pitchbook.com?c=54610-03", "View company online")</f>
        <v>View company online</v>
      </c>
    </row>
    <row r="1961" spans="1:135">
      <c r="A1961" s="28" t="s">
        <v>37081</v>
      </c>
      <c r="B1961" s="28" t="s">
        <v>37082</v>
      </c>
      <c r="C1961" s="28" t="s">
        <v>37083</v>
      </c>
      <c r="D1961" s="28" t="s">
        <v>37084</v>
      </c>
      <c r="E1961" s="28" t="s">
        <v>138</v>
      </c>
      <c r="F1961" s="28" t="s">
        <v>37081</v>
      </c>
      <c r="G1961" s="28" t="s">
        <v>37085</v>
      </c>
      <c r="H1961" s="28" t="s">
        <v>141</v>
      </c>
      <c r="I1961" s="28" t="s">
        <v>142</v>
      </c>
      <c r="J1961" s="28" t="s">
        <v>143</v>
      </c>
      <c r="K1961" s="28" t="s">
        <v>37086</v>
      </c>
      <c r="L1961" s="28" t="s">
        <v>3589</v>
      </c>
      <c r="M1961" s="28" t="s">
        <v>37087</v>
      </c>
      <c r="N1961" s="28" t="s">
        <v>147</v>
      </c>
      <c r="O1961" s="29">
        <v>23.66</v>
      </c>
      <c r="P1961" s="28" t="s">
        <v>148</v>
      </c>
      <c r="Q1961" s="28" t="s">
        <v>149</v>
      </c>
      <c r="R1961" s="28" t="s">
        <v>244</v>
      </c>
      <c r="S1961" s="28" t="s">
        <v>37088</v>
      </c>
      <c r="T1961" s="30">
        <v>75</v>
      </c>
      <c r="U1961" s="28" t="s">
        <v>37089</v>
      </c>
      <c r="V1961" s="28" t="s">
        <v>138</v>
      </c>
      <c r="W1961" s="28" t="s">
        <v>138</v>
      </c>
      <c r="X1961" s="31">
        <v>1994</v>
      </c>
      <c r="Y1961" s="28" t="s">
        <v>138</v>
      </c>
      <c r="Z1961" s="28" t="s">
        <v>138</v>
      </c>
      <c r="AA1961" s="28" t="s">
        <v>138</v>
      </c>
      <c r="AB1961" s="32" t="s">
        <v>138</v>
      </c>
      <c r="AC1961" s="32" t="s">
        <v>138</v>
      </c>
      <c r="AD1961" s="32" t="s">
        <v>138</v>
      </c>
      <c r="AE1961" s="32" t="s">
        <v>138</v>
      </c>
      <c r="AF1961" s="32" t="s">
        <v>138</v>
      </c>
      <c r="AG1961" s="28" t="s">
        <v>138</v>
      </c>
      <c r="AH1961" s="32" t="s">
        <v>138</v>
      </c>
      <c r="AI1961" s="32" t="s">
        <v>138</v>
      </c>
      <c r="AJ1961" s="32" t="s">
        <v>138</v>
      </c>
      <c r="AK1961" s="28" t="s">
        <v>37090</v>
      </c>
      <c r="AL1961" s="28" t="s">
        <v>37091</v>
      </c>
      <c r="AM1961" s="28" t="s">
        <v>2949</v>
      </c>
      <c r="AN1961" s="28" t="s">
        <v>37092</v>
      </c>
      <c r="AO1961" s="28" t="s">
        <v>37093</v>
      </c>
      <c r="AP1961" s="28" t="s">
        <v>37094</v>
      </c>
      <c r="AQ1961" s="28" t="s">
        <v>37095</v>
      </c>
      <c r="AR1961" s="28" t="s">
        <v>138</v>
      </c>
      <c r="AS1961" s="28" t="s">
        <v>37096</v>
      </c>
      <c r="AT1961" s="28" t="s">
        <v>864</v>
      </c>
      <c r="AU1961" s="28" t="s">
        <v>37097</v>
      </c>
      <c r="AV1961" s="28" t="s">
        <v>162</v>
      </c>
      <c r="AW1961" s="28" t="s">
        <v>37093</v>
      </c>
      <c r="AX1961" s="28" t="s">
        <v>37098</v>
      </c>
      <c r="AY1961" s="28" t="s">
        <v>37099</v>
      </c>
      <c r="AZ1961" s="28" t="s">
        <v>164</v>
      </c>
      <c r="BA1961" s="28" t="s">
        <v>165</v>
      </c>
      <c r="BB1961" s="28" t="s">
        <v>37100</v>
      </c>
      <c r="BC1961" s="28" t="s">
        <v>37101</v>
      </c>
      <c r="BD1961" s="33">
        <v>11</v>
      </c>
      <c r="BE1961" s="28" t="s">
        <v>138</v>
      </c>
      <c r="BF1961" s="28" t="s">
        <v>138</v>
      </c>
      <c r="BG1961" s="28" t="s">
        <v>138</v>
      </c>
      <c r="BH1961" s="28" t="s">
        <v>37102</v>
      </c>
      <c r="BI1961" s="28" t="s">
        <v>138</v>
      </c>
      <c r="BJ1961" s="28" t="s">
        <v>138</v>
      </c>
      <c r="BK1961" s="28" t="s">
        <v>138</v>
      </c>
      <c r="BL1961" s="28" t="s">
        <v>24302</v>
      </c>
      <c r="BM1961" s="34">
        <v>38936</v>
      </c>
      <c r="BN1961" s="29">
        <v>16.350000000000001</v>
      </c>
      <c r="BO1961" s="28" t="s">
        <v>172</v>
      </c>
      <c r="BP1961" s="29" t="s">
        <v>138</v>
      </c>
      <c r="BQ1961" s="28" t="s">
        <v>138</v>
      </c>
      <c r="BR1961" s="28" t="s">
        <v>205</v>
      </c>
      <c r="BS1961" s="28" t="s">
        <v>138</v>
      </c>
      <c r="BT1961" s="28" t="s">
        <v>138</v>
      </c>
      <c r="BU1961" s="28" t="s">
        <v>174</v>
      </c>
      <c r="BV1961" s="28" t="s">
        <v>264</v>
      </c>
      <c r="BW1961" s="28" t="s">
        <v>138</v>
      </c>
      <c r="BX1961" s="28" t="s">
        <v>138</v>
      </c>
      <c r="BY1961" s="28" t="s">
        <v>175</v>
      </c>
      <c r="BZ1961" s="34">
        <v>41908</v>
      </c>
      <c r="CA1961" s="29">
        <v>3.01</v>
      </c>
      <c r="CB1961" s="28" t="s">
        <v>172</v>
      </c>
      <c r="CC1961" s="29" t="s">
        <v>138</v>
      </c>
      <c r="CD1961" s="28" t="s">
        <v>138</v>
      </c>
      <c r="CE1961" s="28" t="s">
        <v>1326</v>
      </c>
      <c r="CF1961" s="28" t="s">
        <v>138</v>
      </c>
      <c r="CG1961" s="28" t="s">
        <v>138</v>
      </c>
      <c r="CH1961" s="28" t="s">
        <v>1327</v>
      </c>
      <c r="CI1961" s="28" t="s">
        <v>1397</v>
      </c>
      <c r="CJ1961" s="28" t="s">
        <v>138</v>
      </c>
      <c r="CK1961" s="28" t="s">
        <v>138</v>
      </c>
      <c r="CL1961" s="28" t="s">
        <v>175</v>
      </c>
      <c r="CM1961" s="34">
        <v>41908</v>
      </c>
      <c r="CN1961" s="29">
        <v>3</v>
      </c>
      <c r="CO1961" s="35">
        <v>0.56000000000000005</v>
      </c>
      <c r="CP1961" s="36">
        <v>95</v>
      </c>
      <c r="CQ1961" s="35">
        <v>0.18</v>
      </c>
      <c r="CR1961" s="35">
        <v>48.74</v>
      </c>
      <c r="CS1961" s="35">
        <v>-0.28999999999999998</v>
      </c>
      <c r="CT1961" s="36">
        <v>21</v>
      </c>
      <c r="CU1961" s="35">
        <v>1.4</v>
      </c>
      <c r="CV1961" s="36">
        <v>99</v>
      </c>
      <c r="CW1961" s="35" t="s">
        <v>138</v>
      </c>
      <c r="CX1961" s="36" t="s">
        <v>138</v>
      </c>
      <c r="CY1961" s="35">
        <v>-0.28999999999999998</v>
      </c>
      <c r="CZ1961" s="36">
        <v>23</v>
      </c>
      <c r="DA1961" s="35">
        <v>0.56000000000000005</v>
      </c>
      <c r="DB1961" s="36">
        <v>95</v>
      </c>
      <c r="DC1961" s="37">
        <v>6.57</v>
      </c>
      <c r="DD1961" s="36">
        <v>86</v>
      </c>
      <c r="DE1961" s="37">
        <v>0.14000000000000001</v>
      </c>
      <c r="DF1961" s="35">
        <v>2.25</v>
      </c>
      <c r="DG1961" s="37">
        <v>12.14</v>
      </c>
      <c r="DH1961" s="36">
        <v>91</v>
      </c>
      <c r="DI1961" s="37">
        <v>1</v>
      </c>
      <c r="DJ1961" s="36">
        <v>49</v>
      </c>
      <c r="DK1961" s="37" t="s">
        <v>138</v>
      </c>
      <c r="DL1961" s="36" t="s">
        <v>138</v>
      </c>
      <c r="DM1961" s="37">
        <v>12.14</v>
      </c>
      <c r="DN1961" s="36">
        <v>90</v>
      </c>
      <c r="DO1961" s="37">
        <v>0.39</v>
      </c>
      <c r="DP1961" s="36">
        <v>34</v>
      </c>
      <c r="DQ1961" s="36" t="s">
        <v>138</v>
      </c>
      <c r="DR1961" s="38" t="s">
        <v>138</v>
      </c>
      <c r="DS1961" s="35" t="s">
        <v>138</v>
      </c>
      <c r="DT1961" s="36">
        <v>348</v>
      </c>
      <c r="DU1961" s="38">
        <v>5</v>
      </c>
      <c r="DV1961" s="35">
        <v>1.46</v>
      </c>
      <c r="DW1961" s="36">
        <v>139</v>
      </c>
      <c r="DX1961" s="39">
        <v>1</v>
      </c>
      <c r="DY1961" s="35">
        <v>0.72</v>
      </c>
      <c r="DZ1961" s="28" t="s">
        <v>178</v>
      </c>
      <c r="EA1961" s="34">
        <v>43446</v>
      </c>
      <c r="EB1961" s="29" t="s">
        <v>138</v>
      </c>
      <c r="EC1961" s="34" t="s">
        <v>138</v>
      </c>
      <c r="ED1961" s="28" t="s">
        <v>138</v>
      </c>
      <c r="EE1961" s="40" t="str">
        <f>HYPERLINK("https://my.pitchbook.com?c=54031-96", "View company online")</f>
        <v>View company online</v>
      </c>
    </row>
    <row r="1962" spans="1:135">
      <c r="A1962" s="15" t="s">
        <v>37103</v>
      </c>
      <c r="B1962" s="15" t="s">
        <v>37104</v>
      </c>
      <c r="C1962" s="15" t="s">
        <v>138</v>
      </c>
      <c r="D1962" s="15" t="s">
        <v>138</v>
      </c>
      <c r="E1962" s="15" t="s">
        <v>37105</v>
      </c>
      <c r="F1962" s="15" t="s">
        <v>37103</v>
      </c>
      <c r="G1962" s="15" t="s">
        <v>37106</v>
      </c>
      <c r="H1962" s="15" t="s">
        <v>141</v>
      </c>
      <c r="I1962" s="15" t="s">
        <v>212</v>
      </c>
      <c r="J1962" s="15" t="s">
        <v>1257</v>
      </c>
      <c r="K1962" s="15" t="s">
        <v>37107</v>
      </c>
      <c r="L1962" s="15" t="s">
        <v>1972</v>
      </c>
      <c r="M1962" s="15" t="s">
        <v>37108</v>
      </c>
      <c r="N1962" s="15" t="s">
        <v>147</v>
      </c>
      <c r="O1962" s="17">
        <v>115.96</v>
      </c>
      <c r="P1962" s="15" t="s">
        <v>148</v>
      </c>
      <c r="Q1962" s="15" t="s">
        <v>149</v>
      </c>
      <c r="R1962" s="15" t="s">
        <v>174</v>
      </c>
      <c r="S1962" s="15" t="s">
        <v>37109</v>
      </c>
      <c r="T1962" s="18">
        <v>41</v>
      </c>
      <c r="U1962" s="15" t="s">
        <v>37110</v>
      </c>
      <c r="V1962" s="15" t="s">
        <v>138</v>
      </c>
      <c r="W1962" s="15" t="s">
        <v>138</v>
      </c>
      <c r="X1962" s="19">
        <v>2010</v>
      </c>
      <c r="Y1962" s="15" t="s">
        <v>138</v>
      </c>
      <c r="Z1962" s="15" t="s">
        <v>138</v>
      </c>
      <c r="AA1962" s="15" t="s">
        <v>138</v>
      </c>
      <c r="AB1962" s="20">
        <v>21.06</v>
      </c>
      <c r="AC1962" s="20">
        <v>-8.3699999999999992</v>
      </c>
      <c r="AD1962" s="20">
        <v>-27.55</v>
      </c>
      <c r="AE1962" s="20" t="s">
        <v>138</v>
      </c>
      <c r="AF1962" s="20">
        <v>-25</v>
      </c>
      <c r="AG1962" s="15" t="s">
        <v>419</v>
      </c>
      <c r="AH1962" s="20" t="s">
        <v>138</v>
      </c>
      <c r="AI1962" s="20" t="s">
        <v>138</v>
      </c>
      <c r="AJ1962" s="20" t="s">
        <v>138</v>
      </c>
      <c r="AK1962" s="15" t="s">
        <v>37111</v>
      </c>
      <c r="AL1962" s="15" t="s">
        <v>37112</v>
      </c>
      <c r="AM1962" s="15" t="s">
        <v>37113</v>
      </c>
      <c r="AN1962" s="15" t="s">
        <v>37114</v>
      </c>
      <c r="AO1962" s="15" t="s">
        <v>37115</v>
      </c>
      <c r="AP1962" s="15" t="s">
        <v>2692</v>
      </c>
      <c r="AQ1962" s="15" t="s">
        <v>37116</v>
      </c>
      <c r="AR1962" s="15" t="s">
        <v>138</v>
      </c>
      <c r="AS1962" s="15" t="s">
        <v>2694</v>
      </c>
      <c r="AT1962" s="15" t="s">
        <v>138</v>
      </c>
      <c r="AU1962" s="15" t="s">
        <v>37117</v>
      </c>
      <c r="AV1962" s="15" t="s">
        <v>1054</v>
      </c>
      <c r="AW1962" s="15" t="s">
        <v>37115</v>
      </c>
      <c r="AX1962" s="15" t="s">
        <v>138</v>
      </c>
      <c r="AY1962" s="15" t="s">
        <v>138</v>
      </c>
      <c r="AZ1962" s="15" t="s">
        <v>530</v>
      </c>
      <c r="BA1962" s="15" t="s">
        <v>531</v>
      </c>
      <c r="BB1962" s="15" t="s">
        <v>37118</v>
      </c>
      <c r="BC1962" s="15" t="s">
        <v>37119</v>
      </c>
      <c r="BD1962" s="21">
        <v>17</v>
      </c>
      <c r="BE1962" s="15" t="s">
        <v>138</v>
      </c>
      <c r="BF1962" s="15" t="s">
        <v>138</v>
      </c>
      <c r="BG1962" s="15" t="s">
        <v>138</v>
      </c>
      <c r="BH1962" s="15" t="s">
        <v>37120</v>
      </c>
      <c r="BI1962" s="15" t="s">
        <v>138</v>
      </c>
      <c r="BJ1962" s="15" t="s">
        <v>138</v>
      </c>
      <c r="BK1962" s="15" t="s">
        <v>1691</v>
      </c>
      <c r="BL1962" s="15" t="s">
        <v>37121</v>
      </c>
      <c r="BM1962" s="22">
        <v>40476</v>
      </c>
      <c r="BN1962" s="17">
        <v>4.17</v>
      </c>
      <c r="BO1962" s="15" t="s">
        <v>172</v>
      </c>
      <c r="BP1962" s="17" t="s">
        <v>138</v>
      </c>
      <c r="BQ1962" s="15" t="s">
        <v>138</v>
      </c>
      <c r="BR1962" s="15" t="s">
        <v>205</v>
      </c>
      <c r="BS1962" s="15" t="s">
        <v>206</v>
      </c>
      <c r="BT1962" s="15" t="s">
        <v>138</v>
      </c>
      <c r="BU1962" s="15" t="s">
        <v>174</v>
      </c>
      <c r="BV1962" s="15" t="s">
        <v>138</v>
      </c>
      <c r="BW1962" s="15" t="s">
        <v>138</v>
      </c>
      <c r="BX1962" s="15" t="s">
        <v>138</v>
      </c>
      <c r="BY1962" s="15" t="s">
        <v>175</v>
      </c>
      <c r="BZ1962" s="22">
        <v>42837</v>
      </c>
      <c r="CA1962" s="17">
        <v>75</v>
      </c>
      <c r="CB1962" s="15" t="s">
        <v>172</v>
      </c>
      <c r="CC1962" s="17" t="s">
        <v>138</v>
      </c>
      <c r="CD1962" s="15" t="s">
        <v>138</v>
      </c>
      <c r="CE1962" s="15" t="s">
        <v>173</v>
      </c>
      <c r="CF1962" s="15" t="s">
        <v>433</v>
      </c>
      <c r="CG1962" s="15" t="s">
        <v>138</v>
      </c>
      <c r="CH1962" s="15" t="s">
        <v>174</v>
      </c>
      <c r="CI1962" s="15" t="s">
        <v>138</v>
      </c>
      <c r="CJ1962" s="15" t="s">
        <v>138</v>
      </c>
      <c r="CK1962" s="15" t="s">
        <v>138</v>
      </c>
      <c r="CL1962" s="15" t="s">
        <v>175</v>
      </c>
      <c r="CM1962" s="22" t="s">
        <v>138</v>
      </c>
      <c r="CN1962" s="17" t="s">
        <v>138</v>
      </c>
      <c r="CO1962" s="23">
        <v>-0.66</v>
      </c>
      <c r="CP1962" s="24">
        <v>14</v>
      </c>
      <c r="CQ1962" s="23">
        <v>0.01</v>
      </c>
      <c r="CR1962" s="23">
        <v>1.07</v>
      </c>
      <c r="CS1962" s="23">
        <v>-1.5</v>
      </c>
      <c r="CT1962" s="24">
        <v>11</v>
      </c>
      <c r="CU1962" s="23">
        <v>0.18</v>
      </c>
      <c r="CV1962" s="24">
        <v>78</v>
      </c>
      <c r="CW1962" s="23">
        <v>0</v>
      </c>
      <c r="CX1962" s="24">
        <v>13</v>
      </c>
      <c r="CY1962" s="23">
        <v>-3</v>
      </c>
      <c r="CZ1962" s="24">
        <v>7</v>
      </c>
      <c r="DA1962" s="23">
        <v>0.21</v>
      </c>
      <c r="DB1962" s="24">
        <v>83</v>
      </c>
      <c r="DC1962" s="25">
        <v>8.83</v>
      </c>
      <c r="DD1962" s="24">
        <v>89</v>
      </c>
      <c r="DE1962" s="25">
        <v>0.04</v>
      </c>
      <c r="DF1962" s="23">
        <v>0.48</v>
      </c>
      <c r="DG1962" s="25">
        <v>11.76</v>
      </c>
      <c r="DH1962" s="24">
        <v>91</v>
      </c>
      <c r="DI1962" s="25">
        <v>5.9</v>
      </c>
      <c r="DJ1962" s="24">
        <v>79</v>
      </c>
      <c r="DK1962" s="25">
        <v>0.39</v>
      </c>
      <c r="DL1962" s="24">
        <v>26</v>
      </c>
      <c r="DM1962" s="25">
        <v>23.14</v>
      </c>
      <c r="DN1962" s="24">
        <v>95</v>
      </c>
      <c r="DO1962" s="25">
        <v>11.32</v>
      </c>
      <c r="DP1962" s="24">
        <v>88</v>
      </c>
      <c r="DQ1962" s="24">
        <v>159</v>
      </c>
      <c r="DR1962" s="26">
        <v>-80</v>
      </c>
      <c r="DS1962" s="23">
        <v>-33.47</v>
      </c>
      <c r="DT1962" s="24">
        <v>669</v>
      </c>
      <c r="DU1962" s="26">
        <v>4</v>
      </c>
      <c r="DV1962" s="23">
        <v>0.6</v>
      </c>
      <c r="DW1962" s="24">
        <v>4049</v>
      </c>
      <c r="DX1962" s="27">
        <v>-3</v>
      </c>
      <c r="DY1962" s="23">
        <v>-7.0000000000000007E-2</v>
      </c>
      <c r="DZ1962" s="15" t="s">
        <v>178</v>
      </c>
      <c r="EA1962" s="22">
        <v>43622</v>
      </c>
      <c r="EB1962" s="17" t="s">
        <v>138</v>
      </c>
      <c r="EC1962" s="22" t="s">
        <v>138</v>
      </c>
      <c r="ED1962" s="15" t="s">
        <v>138</v>
      </c>
      <c r="EE1962" s="14" t="str">
        <f>HYPERLINK("https://my.pitchbook.com?c=55381-51", "View company online")</f>
        <v>View company online</v>
      </c>
    </row>
    <row r="1963" spans="1:135">
      <c r="A1963" s="28" t="s">
        <v>37122</v>
      </c>
      <c r="B1963" s="28" t="s">
        <v>37123</v>
      </c>
      <c r="C1963" s="28" t="s">
        <v>138</v>
      </c>
      <c r="D1963" s="28" t="s">
        <v>138</v>
      </c>
      <c r="E1963" s="28" t="s">
        <v>37124</v>
      </c>
      <c r="F1963" s="28" t="s">
        <v>37122</v>
      </c>
      <c r="G1963" s="28" t="s">
        <v>37125</v>
      </c>
      <c r="H1963" s="28" t="s">
        <v>322</v>
      </c>
      <c r="I1963" s="28" t="s">
        <v>323</v>
      </c>
      <c r="J1963" s="28" t="s">
        <v>1184</v>
      </c>
      <c r="K1963" s="28" t="s">
        <v>9007</v>
      </c>
      <c r="L1963" s="28" t="s">
        <v>1544</v>
      </c>
      <c r="M1963" s="28" t="s">
        <v>37126</v>
      </c>
      <c r="N1963" s="28" t="s">
        <v>147</v>
      </c>
      <c r="O1963" s="29">
        <v>76.05</v>
      </c>
      <c r="P1963" s="28" t="s">
        <v>148</v>
      </c>
      <c r="Q1963" s="28" t="s">
        <v>149</v>
      </c>
      <c r="R1963" s="28" t="s">
        <v>244</v>
      </c>
      <c r="S1963" s="28" t="s">
        <v>37127</v>
      </c>
      <c r="T1963" s="30">
        <v>180</v>
      </c>
      <c r="U1963" s="28" t="s">
        <v>37128</v>
      </c>
      <c r="V1963" s="28" t="s">
        <v>138</v>
      </c>
      <c r="W1963" s="28" t="s">
        <v>138</v>
      </c>
      <c r="X1963" s="31">
        <v>2008</v>
      </c>
      <c r="Y1963" s="28" t="s">
        <v>138</v>
      </c>
      <c r="Z1963" s="28" t="s">
        <v>138</v>
      </c>
      <c r="AA1963" s="28" t="s">
        <v>138</v>
      </c>
      <c r="AB1963" s="32">
        <v>32.299999999999997</v>
      </c>
      <c r="AC1963" s="32" t="s">
        <v>138</v>
      </c>
      <c r="AD1963" s="32" t="s">
        <v>138</v>
      </c>
      <c r="AE1963" s="32" t="s">
        <v>138</v>
      </c>
      <c r="AF1963" s="32" t="s">
        <v>138</v>
      </c>
      <c r="AG1963" s="28" t="s">
        <v>514</v>
      </c>
      <c r="AH1963" s="32" t="s">
        <v>138</v>
      </c>
      <c r="AI1963" s="32" t="s">
        <v>138</v>
      </c>
      <c r="AJ1963" s="32" t="s">
        <v>138</v>
      </c>
      <c r="AK1963" s="28" t="s">
        <v>37129</v>
      </c>
      <c r="AL1963" s="28" t="s">
        <v>37130</v>
      </c>
      <c r="AM1963" s="28" t="s">
        <v>249</v>
      </c>
      <c r="AN1963" s="28" t="s">
        <v>37131</v>
      </c>
      <c r="AO1963" s="28" t="s">
        <v>37132</v>
      </c>
      <c r="AP1963" s="28" t="s">
        <v>2027</v>
      </c>
      <c r="AQ1963" s="28" t="s">
        <v>37133</v>
      </c>
      <c r="AR1963" s="28" t="s">
        <v>12857</v>
      </c>
      <c r="AS1963" s="28" t="s">
        <v>2030</v>
      </c>
      <c r="AT1963" s="28" t="s">
        <v>2031</v>
      </c>
      <c r="AU1963" s="28" t="s">
        <v>13268</v>
      </c>
      <c r="AV1963" s="28" t="s">
        <v>162</v>
      </c>
      <c r="AW1963" s="28" t="s">
        <v>37132</v>
      </c>
      <c r="AX1963" s="28" t="s">
        <v>138</v>
      </c>
      <c r="AY1963" s="28" t="s">
        <v>37134</v>
      </c>
      <c r="AZ1963" s="28" t="s">
        <v>164</v>
      </c>
      <c r="BA1963" s="28" t="s">
        <v>165</v>
      </c>
      <c r="BB1963" s="28" t="s">
        <v>37135</v>
      </c>
      <c r="BC1963" s="28" t="s">
        <v>37136</v>
      </c>
      <c r="BD1963" s="33">
        <v>10</v>
      </c>
      <c r="BE1963" s="28" t="s">
        <v>138</v>
      </c>
      <c r="BF1963" s="28" t="s">
        <v>138</v>
      </c>
      <c r="BG1963" s="28" t="s">
        <v>138</v>
      </c>
      <c r="BH1963" s="28" t="s">
        <v>37137</v>
      </c>
      <c r="BI1963" s="28" t="s">
        <v>138</v>
      </c>
      <c r="BJ1963" s="28" t="s">
        <v>138</v>
      </c>
      <c r="BK1963" s="28" t="s">
        <v>37138</v>
      </c>
      <c r="BL1963" s="28" t="s">
        <v>37139</v>
      </c>
      <c r="BM1963" s="34">
        <v>39448</v>
      </c>
      <c r="BN1963" s="29">
        <v>1.9</v>
      </c>
      <c r="BO1963" s="28" t="s">
        <v>172</v>
      </c>
      <c r="BP1963" s="29">
        <v>9.4</v>
      </c>
      <c r="BQ1963" s="28" t="s">
        <v>172</v>
      </c>
      <c r="BR1963" s="28" t="s">
        <v>205</v>
      </c>
      <c r="BS1963" s="28" t="s">
        <v>206</v>
      </c>
      <c r="BT1963" s="28" t="s">
        <v>138</v>
      </c>
      <c r="BU1963" s="28" t="s">
        <v>174</v>
      </c>
      <c r="BV1963" s="28" t="s">
        <v>138</v>
      </c>
      <c r="BW1963" s="28" t="s">
        <v>138</v>
      </c>
      <c r="BX1963" s="28" t="s">
        <v>138</v>
      </c>
      <c r="BY1963" s="28" t="s">
        <v>175</v>
      </c>
      <c r="BZ1963" s="34" t="s">
        <v>138</v>
      </c>
      <c r="CA1963" s="29">
        <v>7</v>
      </c>
      <c r="CB1963" s="28" t="s">
        <v>1178</v>
      </c>
      <c r="CC1963" s="29">
        <v>132</v>
      </c>
      <c r="CD1963" s="28" t="s">
        <v>172</v>
      </c>
      <c r="CE1963" s="28" t="s">
        <v>173</v>
      </c>
      <c r="CF1963" s="28" t="s">
        <v>5037</v>
      </c>
      <c r="CG1963" s="28" t="s">
        <v>138</v>
      </c>
      <c r="CH1963" s="28" t="s">
        <v>174</v>
      </c>
      <c r="CI1963" s="28" t="s">
        <v>138</v>
      </c>
      <c r="CJ1963" s="28" t="s">
        <v>138</v>
      </c>
      <c r="CK1963" s="28" t="s">
        <v>138</v>
      </c>
      <c r="CL1963" s="28" t="s">
        <v>3093</v>
      </c>
      <c r="CM1963" s="34">
        <v>43132</v>
      </c>
      <c r="CN1963" s="29">
        <v>1.5</v>
      </c>
      <c r="CO1963" s="35">
        <v>-0.82</v>
      </c>
      <c r="CP1963" s="36">
        <v>13</v>
      </c>
      <c r="CQ1963" s="35">
        <v>-0.02</v>
      </c>
      <c r="CR1963" s="35">
        <v>-2.77</v>
      </c>
      <c r="CS1963" s="35">
        <v>-1.59</v>
      </c>
      <c r="CT1963" s="36">
        <v>11</v>
      </c>
      <c r="CU1963" s="35">
        <v>-0.04</v>
      </c>
      <c r="CV1963" s="36">
        <v>12</v>
      </c>
      <c r="CW1963" s="35">
        <v>-1.95</v>
      </c>
      <c r="CX1963" s="36">
        <v>7</v>
      </c>
      <c r="CY1963" s="35">
        <v>-1.23</v>
      </c>
      <c r="CZ1963" s="36">
        <v>17</v>
      </c>
      <c r="DA1963" s="35">
        <v>-0.04</v>
      </c>
      <c r="DB1963" s="36">
        <v>15</v>
      </c>
      <c r="DC1963" s="37">
        <v>98.67</v>
      </c>
      <c r="DD1963" s="36">
        <v>99</v>
      </c>
      <c r="DE1963" s="37">
        <v>-1.1599999999999999</v>
      </c>
      <c r="DF1963" s="35">
        <v>-1.1599999999999999</v>
      </c>
      <c r="DG1963" s="37">
        <v>88.17</v>
      </c>
      <c r="DH1963" s="36">
        <v>99</v>
      </c>
      <c r="DI1963" s="37">
        <v>109.18</v>
      </c>
      <c r="DJ1963" s="36">
        <v>97</v>
      </c>
      <c r="DK1963" s="37">
        <v>44.16</v>
      </c>
      <c r="DL1963" s="36">
        <v>95</v>
      </c>
      <c r="DM1963" s="37">
        <v>132.16999999999999</v>
      </c>
      <c r="DN1963" s="36">
        <v>100</v>
      </c>
      <c r="DO1963" s="37">
        <v>109.18</v>
      </c>
      <c r="DP1963" s="36">
        <v>98</v>
      </c>
      <c r="DQ1963" s="36">
        <v>15196</v>
      </c>
      <c r="DR1963" s="38">
        <v>-144</v>
      </c>
      <c r="DS1963" s="35">
        <v>-0.94</v>
      </c>
      <c r="DT1963" s="36">
        <v>3834</v>
      </c>
      <c r="DU1963" s="38">
        <v>7</v>
      </c>
      <c r="DV1963" s="35">
        <v>0.18</v>
      </c>
      <c r="DW1963" s="36">
        <v>39092</v>
      </c>
      <c r="DX1963" s="39">
        <v>-18</v>
      </c>
      <c r="DY1963" s="35">
        <v>-0.05</v>
      </c>
      <c r="DZ1963" s="28" t="s">
        <v>178</v>
      </c>
      <c r="EA1963" s="34">
        <v>43622</v>
      </c>
      <c r="EB1963" s="29">
        <v>324.58</v>
      </c>
      <c r="EC1963" s="34">
        <v>41744</v>
      </c>
      <c r="ED1963" s="28" t="s">
        <v>173</v>
      </c>
      <c r="EE1963" s="40" t="str">
        <f>HYPERLINK("https://my.pitchbook.com?c=51271-30", "View company online")</f>
        <v>View company online</v>
      </c>
    </row>
    <row r="1964" spans="1:135">
      <c r="A1964" s="15" t="s">
        <v>37140</v>
      </c>
      <c r="B1964" s="15" t="s">
        <v>37141</v>
      </c>
      <c r="C1964" s="15" t="s">
        <v>138</v>
      </c>
      <c r="D1964" s="15" t="s">
        <v>138</v>
      </c>
      <c r="E1964" s="15" t="s">
        <v>37142</v>
      </c>
      <c r="F1964" s="15" t="s">
        <v>37140</v>
      </c>
      <c r="G1964" s="15" t="s">
        <v>37143</v>
      </c>
      <c r="H1964" s="15" t="s">
        <v>322</v>
      </c>
      <c r="I1964" s="15" t="s">
        <v>323</v>
      </c>
      <c r="J1964" s="15" t="s">
        <v>1132</v>
      </c>
      <c r="K1964" s="15" t="s">
        <v>1777</v>
      </c>
      <c r="L1964" s="15" t="s">
        <v>1134</v>
      </c>
      <c r="M1964" s="15" t="s">
        <v>37144</v>
      </c>
      <c r="N1964" s="15" t="s">
        <v>147</v>
      </c>
      <c r="O1964" s="17">
        <v>282.01</v>
      </c>
      <c r="P1964" s="15" t="s">
        <v>148</v>
      </c>
      <c r="Q1964" s="15" t="s">
        <v>149</v>
      </c>
      <c r="R1964" s="15" t="s">
        <v>174</v>
      </c>
      <c r="S1964" s="15" t="s">
        <v>37145</v>
      </c>
      <c r="T1964" s="18">
        <v>150</v>
      </c>
      <c r="U1964" s="15" t="s">
        <v>37146</v>
      </c>
      <c r="V1964" s="15" t="s">
        <v>138</v>
      </c>
      <c r="W1964" s="15" t="s">
        <v>138</v>
      </c>
      <c r="X1964" s="19">
        <v>2012</v>
      </c>
      <c r="Y1964" s="15" t="s">
        <v>138</v>
      </c>
      <c r="Z1964" s="15" t="s">
        <v>138</v>
      </c>
      <c r="AA1964" s="15" t="s">
        <v>138</v>
      </c>
      <c r="AB1964" s="20">
        <v>32.14</v>
      </c>
      <c r="AC1964" s="20">
        <v>12.46</v>
      </c>
      <c r="AD1964" s="20">
        <v>3.38</v>
      </c>
      <c r="AE1964" s="20" t="s">
        <v>138</v>
      </c>
      <c r="AF1964" s="20" t="s">
        <v>138</v>
      </c>
      <c r="AG1964" s="15" t="s">
        <v>707</v>
      </c>
      <c r="AH1964" s="20" t="s">
        <v>138</v>
      </c>
      <c r="AI1964" s="20" t="s">
        <v>138</v>
      </c>
      <c r="AJ1964" s="20" t="s">
        <v>138</v>
      </c>
      <c r="AK1964" s="15" t="s">
        <v>37147</v>
      </c>
      <c r="AL1964" s="15" t="s">
        <v>37148</v>
      </c>
      <c r="AM1964" s="15" t="s">
        <v>37149</v>
      </c>
      <c r="AN1964" s="15" t="s">
        <v>37150</v>
      </c>
      <c r="AO1964" s="15" t="s">
        <v>37151</v>
      </c>
      <c r="AP1964" s="15" t="s">
        <v>6402</v>
      </c>
      <c r="AQ1964" s="15" t="s">
        <v>37152</v>
      </c>
      <c r="AR1964" s="15" t="s">
        <v>138</v>
      </c>
      <c r="AS1964" s="15" t="s">
        <v>6404</v>
      </c>
      <c r="AT1964" s="15" t="s">
        <v>200</v>
      </c>
      <c r="AU1964" s="15" t="s">
        <v>27480</v>
      </c>
      <c r="AV1964" s="15" t="s">
        <v>162</v>
      </c>
      <c r="AW1964" s="15" t="s">
        <v>37151</v>
      </c>
      <c r="AX1964" s="15" t="s">
        <v>138</v>
      </c>
      <c r="AY1964" s="15" t="s">
        <v>37153</v>
      </c>
      <c r="AZ1964" s="15" t="s">
        <v>164</v>
      </c>
      <c r="BA1964" s="15" t="s">
        <v>165</v>
      </c>
      <c r="BB1964" s="15" t="s">
        <v>37154</v>
      </c>
      <c r="BC1964" s="15" t="s">
        <v>37155</v>
      </c>
      <c r="BD1964" s="21">
        <v>31</v>
      </c>
      <c r="BE1964" s="15" t="s">
        <v>138</v>
      </c>
      <c r="BF1964" s="15" t="s">
        <v>37156</v>
      </c>
      <c r="BG1964" s="15" t="s">
        <v>138</v>
      </c>
      <c r="BH1964" s="15" t="s">
        <v>37157</v>
      </c>
      <c r="BI1964" s="15" t="s">
        <v>37158</v>
      </c>
      <c r="BJ1964" s="15" t="s">
        <v>138</v>
      </c>
      <c r="BK1964" s="15" t="s">
        <v>37159</v>
      </c>
      <c r="BL1964" s="15" t="s">
        <v>37160</v>
      </c>
      <c r="BM1964" s="22">
        <v>41548</v>
      </c>
      <c r="BN1964" s="17">
        <v>2.5</v>
      </c>
      <c r="BO1964" s="15" t="s">
        <v>172</v>
      </c>
      <c r="BP1964" s="17">
        <v>9</v>
      </c>
      <c r="BQ1964" s="15" t="s">
        <v>172</v>
      </c>
      <c r="BR1964" s="15" t="s">
        <v>205</v>
      </c>
      <c r="BS1964" s="15" t="s">
        <v>206</v>
      </c>
      <c r="BT1964" s="15" t="s">
        <v>138</v>
      </c>
      <c r="BU1964" s="15" t="s">
        <v>174</v>
      </c>
      <c r="BV1964" s="15" t="s">
        <v>138</v>
      </c>
      <c r="BW1964" s="15" t="s">
        <v>138</v>
      </c>
      <c r="BX1964" s="15" t="s">
        <v>138</v>
      </c>
      <c r="BY1964" s="15" t="s">
        <v>175</v>
      </c>
      <c r="BZ1964" s="22">
        <v>43503</v>
      </c>
      <c r="CA1964" s="17">
        <v>180.01</v>
      </c>
      <c r="CB1964" s="15" t="s">
        <v>172</v>
      </c>
      <c r="CC1964" s="17">
        <v>870.01</v>
      </c>
      <c r="CD1964" s="15" t="s">
        <v>1178</v>
      </c>
      <c r="CE1964" s="15" t="s">
        <v>173</v>
      </c>
      <c r="CF1964" s="15" t="s">
        <v>482</v>
      </c>
      <c r="CG1964" s="15" t="s">
        <v>138</v>
      </c>
      <c r="CH1964" s="15" t="s">
        <v>174</v>
      </c>
      <c r="CI1964" s="15" t="s">
        <v>138</v>
      </c>
      <c r="CJ1964" s="15" t="s">
        <v>138</v>
      </c>
      <c r="CK1964" s="15" t="s">
        <v>138</v>
      </c>
      <c r="CL1964" s="15" t="s">
        <v>175</v>
      </c>
      <c r="CM1964" s="22" t="s">
        <v>138</v>
      </c>
      <c r="CN1964" s="17" t="s">
        <v>138</v>
      </c>
      <c r="CO1964" s="23">
        <v>0.95</v>
      </c>
      <c r="CP1964" s="24">
        <v>97</v>
      </c>
      <c r="CQ1964" s="23">
        <v>0.02</v>
      </c>
      <c r="CR1964" s="23">
        <v>2.62</v>
      </c>
      <c r="CS1964" s="23">
        <v>1.62</v>
      </c>
      <c r="CT1964" s="24">
        <v>98</v>
      </c>
      <c r="CU1964" s="23">
        <v>0.17</v>
      </c>
      <c r="CV1964" s="24">
        <v>77</v>
      </c>
      <c r="CW1964" s="23">
        <v>3.21</v>
      </c>
      <c r="CX1964" s="24">
        <v>92</v>
      </c>
      <c r="CY1964" s="23">
        <v>0.04</v>
      </c>
      <c r="CZ1964" s="24">
        <v>97</v>
      </c>
      <c r="DA1964" s="23">
        <v>0.26</v>
      </c>
      <c r="DB1964" s="24">
        <v>87</v>
      </c>
      <c r="DC1964" s="25">
        <v>2330.2800000000002</v>
      </c>
      <c r="DD1964" s="24">
        <v>100</v>
      </c>
      <c r="DE1964" s="25">
        <v>94.49</v>
      </c>
      <c r="DF1964" s="23">
        <v>4.2300000000000004</v>
      </c>
      <c r="DG1964" s="25">
        <v>517.99</v>
      </c>
      <c r="DH1964" s="24">
        <v>100</v>
      </c>
      <c r="DI1964" s="25">
        <v>166.26</v>
      </c>
      <c r="DJ1964" s="24">
        <v>98</v>
      </c>
      <c r="DK1964" s="25">
        <v>863.94</v>
      </c>
      <c r="DL1964" s="24">
        <v>100</v>
      </c>
      <c r="DM1964" s="25">
        <v>172.03</v>
      </c>
      <c r="DN1964" s="24">
        <v>100</v>
      </c>
      <c r="DO1964" s="25">
        <v>164.76</v>
      </c>
      <c r="DP1964" s="24">
        <v>99</v>
      </c>
      <c r="DQ1964" s="24">
        <v>291978</v>
      </c>
      <c r="DR1964" s="26">
        <v>13062</v>
      </c>
      <c r="DS1964" s="23">
        <v>4.68</v>
      </c>
      <c r="DT1964" s="24">
        <v>4974</v>
      </c>
      <c r="DU1964" s="26">
        <v>49</v>
      </c>
      <c r="DV1964" s="23">
        <v>0.99</v>
      </c>
      <c r="DW1964" s="24">
        <v>58892</v>
      </c>
      <c r="DX1964" s="27">
        <v>235</v>
      </c>
      <c r="DY1964" s="23">
        <v>0.4</v>
      </c>
      <c r="DZ1964" s="15" t="s">
        <v>178</v>
      </c>
      <c r="EA1964" s="22">
        <v>43622</v>
      </c>
      <c r="EB1964" s="17">
        <v>870.01</v>
      </c>
      <c r="EC1964" s="22">
        <v>43503</v>
      </c>
      <c r="ED1964" s="15" t="s">
        <v>173</v>
      </c>
      <c r="EE1964" s="14" t="str">
        <f>HYPERLINK("https://my.pitchbook.com?c=61927-03", "View company online")</f>
        <v>View company online</v>
      </c>
    </row>
    <row r="1965" spans="1:135">
      <c r="A1965" s="28" t="s">
        <v>37161</v>
      </c>
      <c r="B1965" s="28" t="s">
        <v>37162</v>
      </c>
      <c r="C1965" s="28" t="s">
        <v>138</v>
      </c>
      <c r="D1965" s="28" t="s">
        <v>138</v>
      </c>
      <c r="E1965" s="28" t="s">
        <v>138</v>
      </c>
      <c r="F1965" s="28" t="s">
        <v>37161</v>
      </c>
      <c r="G1965" s="28" t="s">
        <v>37163</v>
      </c>
      <c r="H1965" s="28" t="s">
        <v>141</v>
      </c>
      <c r="I1965" s="28" t="s">
        <v>212</v>
      </c>
      <c r="J1965" s="28" t="s">
        <v>486</v>
      </c>
      <c r="K1965" s="28" t="s">
        <v>5985</v>
      </c>
      <c r="L1965" s="28" t="s">
        <v>37164</v>
      </c>
      <c r="M1965" s="28" t="s">
        <v>37165</v>
      </c>
      <c r="N1965" s="28" t="s">
        <v>147</v>
      </c>
      <c r="O1965" s="29">
        <v>115</v>
      </c>
      <c r="P1965" s="28" t="s">
        <v>148</v>
      </c>
      <c r="Q1965" s="28" t="s">
        <v>149</v>
      </c>
      <c r="R1965" s="28" t="s">
        <v>174</v>
      </c>
      <c r="S1965" s="28" t="s">
        <v>37166</v>
      </c>
      <c r="T1965" s="30">
        <v>1400</v>
      </c>
      <c r="U1965" s="28" t="s">
        <v>37167</v>
      </c>
      <c r="V1965" s="28" t="s">
        <v>138</v>
      </c>
      <c r="W1965" s="28" t="s">
        <v>138</v>
      </c>
      <c r="X1965" s="31">
        <v>2013</v>
      </c>
      <c r="Y1965" s="28" t="s">
        <v>138</v>
      </c>
      <c r="Z1965" s="28" t="s">
        <v>138</v>
      </c>
      <c r="AA1965" s="28" t="s">
        <v>138</v>
      </c>
      <c r="AB1965" s="32" t="s">
        <v>138</v>
      </c>
      <c r="AC1965" s="32" t="s">
        <v>138</v>
      </c>
      <c r="AD1965" s="32" t="s">
        <v>138</v>
      </c>
      <c r="AE1965" s="32" t="s">
        <v>138</v>
      </c>
      <c r="AF1965" s="32" t="s">
        <v>138</v>
      </c>
      <c r="AG1965" s="28" t="s">
        <v>138</v>
      </c>
      <c r="AH1965" s="32" t="s">
        <v>138</v>
      </c>
      <c r="AI1965" s="32" t="s">
        <v>138</v>
      </c>
      <c r="AJ1965" s="32" t="s">
        <v>138</v>
      </c>
      <c r="AK1965" s="28" t="s">
        <v>35374</v>
      </c>
      <c r="AL1965" s="28" t="s">
        <v>35375</v>
      </c>
      <c r="AM1965" s="28" t="s">
        <v>37168</v>
      </c>
      <c r="AN1965" s="28" t="s">
        <v>35377</v>
      </c>
      <c r="AO1965" s="28" t="s">
        <v>35378</v>
      </c>
      <c r="AP1965" s="28" t="s">
        <v>1741</v>
      </c>
      <c r="AQ1965" s="28" t="s">
        <v>37169</v>
      </c>
      <c r="AR1965" s="28" t="s">
        <v>37170</v>
      </c>
      <c r="AS1965" s="28" t="s">
        <v>1744</v>
      </c>
      <c r="AT1965" s="28" t="s">
        <v>138</v>
      </c>
      <c r="AU1965" s="28" t="s">
        <v>1745</v>
      </c>
      <c r="AV1965" s="28" t="s">
        <v>1746</v>
      </c>
      <c r="AW1965" s="28" t="s">
        <v>35378</v>
      </c>
      <c r="AX1965" s="28" t="s">
        <v>37171</v>
      </c>
      <c r="AY1965" s="28" t="s">
        <v>138</v>
      </c>
      <c r="AZ1965" s="28" t="s">
        <v>452</v>
      </c>
      <c r="BA1965" s="28" t="s">
        <v>1748</v>
      </c>
      <c r="BB1965" s="28" t="s">
        <v>37172</v>
      </c>
      <c r="BC1965" s="28" t="s">
        <v>37173</v>
      </c>
      <c r="BD1965" s="33">
        <v>15</v>
      </c>
      <c r="BE1965" s="28" t="s">
        <v>138</v>
      </c>
      <c r="BF1965" s="28" t="s">
        <v>138</v>
      </c>
      <c r="BG1965" s="28" t="s">
        <v>138</v>
      </c>
      <c r="BH1965" s="28" t="s">
        <v>37174</v>
      </c>
      <c r="BI1965" s="28" t="s">
        <v>138</v>
      </c>
      <c r="BJ1965" s="28" t="s">
        <v>138</v>
      </c>
      <c r="BK1965" s="28" t="s">
        <v>37175</v>
      </c>
      <c r="BL1965" s="28" t="s">
        <v>37176</v>
      </c>
      <c r="BM1965" s="34">
        <v>41426</v>
      </c>
      <c r="BN1965" s="29">
        <v>1</v>
      </c>
      <c r="BO1965" s="28" t="s">
        <v>172</v>
      </c>
      <c r="BP1965" s="29" t="s">
        <v>138</v>
      </c>
      <c r="BQ1965" s="28" t="s">
        <v>138</v>
      </c>
      <c r="BR1965" s="28" t="s">
        <v>205</v>
      </c>
      <c r="BS1965" s="28" t="s">
        <v>138</v>
      </c>
      <c r="BT1965" s="28" t="s">
        <v>138</v>
      </c>
      <c r="BU1965" s="28" t="s">
        <v>174</v>
      </c>
      <c r="BV1965" s="28" t="s">
        <v>138</v>
      </c>
      <c r="BW1965" s="28" t="s">
        <v>138</v>
      </c>
      <c r="BX1965" s="28" t="s">
        <v>138</v>
      </c>
      <c r="BY1965" s="28" t="s">
        <v>175</v>
      </c>
      <c r="BZ1965" s="34">
        <v>43059</v>
      </c>
      <c r="CA1965" s="29">
        <v>65</v>
      </c>
      <c r="CB1965" s="28" t="s">
        <v>172</v>
      </c>
      <c r="CC1965" s="29" t="s">
        <v>138</v>
      </c>
      <c r="CD1965" s="28" t="s">
        <v>138</v>
      </c>
      <c r="CE1965" s="28" t="s">
        <v>205</v>
      </c>
      <c r="CF1965" s="28" t="s">
        <v>720</v>
      </c>
      <c r="CG1965" s="28" t="s">
        <v>138</v>
      </c>
      <c r="CH1965" s="28" t="s">
        <v>174</v>
      </c>
      <c r="CI1965" s="28" t="s">
        <v>138</v>
      </c>
      <c r="CJ1965" s="28" t="s">
        <v>138</v>
      </c>
      <c r="CK1965" s="28" t="s">
        <v>138</v>
      </c>
      <c r="CL1965" s="28" t="s">
        <v>175</v>
      </c>
      <c r="CM1965" s="34" t="s">
        <v>138</v>
      </c>
      <c r="CN1965" s="29" t="s">
        <v>138</v>
      </c>
      <c r="CO1965" s="35">
        <v>-0.2</v>
      </c>
      <c r="CP1965" s="36">
        <v>20</v>
      </c>
      <c r="CQ1965" s="35">
        <v>-0.01</v>
      </c>
      <c r="CR1965" s="35">
        <v>-4.8099999999999996</v>
      </c>
      <c r="CS1965" s="35">
        <v>-0.56000000000000005</v>
      </c>
      <c r="CT1965" s="36">
        <v>19</v>
      </c>
      <c r="CU1965" s="35">
        <v>0.16</v>
      </c>
      <c r="CV1965" s="36">
        <v>76</v>
      </c>
      <c r="CW1965" s="35">
        <v>0</v>
      </c>
      <c r="CX1965" s="36">
        <v>13</v>
      </c>
      <c r="CY1965" s="35">
        <v>-1.1200000000000001</v>
      </c>
      <c r="CZ1965" s="36">
        <v>18</v>
      </c>
      <c r="DA1965" s="35">
        <v>0.25</v>
      </c>
      <c r="DB1965" s="36">
        <v>86</v>
      </c>
      <c r="DC1965" s="37">
        <v>8.17</v>
      </c>
      <c r="DD1965" s="36">
        <v>88</v>
      </c>
      <c r="DE1965" s="37">
        <v>-0.05</v>
      </c>
      <c r="DF1965" s="35">
        <v>-0.67</v>
      </c>
      <c r="DG1965" s="37">
        <v>8.1300000000000008</v>
      </c>
      <c r="DH1965" s="36">
        <v>88</v>
      </c>
      <c r="DI1965" s="37">
        <v>8.2200000000000006</v>
      </c>
      <c r="DJ1965" s="36">
        <v>83</v>
      </c>
      <c r="DK1965" s="37">
        <v>1.37</v>
      </c>
      <c r="DL1965" s="36">
        <v>57</v>
      </c>
      <c r="DM1965" s="37">
        <v>14.9</v>
      </c>
      <c r="DN1965" s="36">
        <v>92</v>
      </c>
      <c r="DO1965" s="37">
        <v>3.55</v>
      </c>
      <c r="DP1965" s="36">
        <v>74</v>
      </c>
      <c r="DQ1965" s="36">
        <v>453</v>
      </c>
      <c r="DR1965" s="38">
        <v>50</v>
      </c>
      <c r="DS1965" s="35">
        <v>12.41</v>
      </c>
      <c r="DT1965" s="36">
        <v>432</v>
      </c>
      <c r="DU1965" s="38">
        <v>-3</v>
      </c>
      <c r="DV1965" s="35">
        <v>-0.69</v>
      </c>
      <c r="DW1965" s="36">
        <v>1268</v>
      </c>
      <c r="DX1965" s="39">
        <v>5</v>
      </c>
      <c r="DY1965" s="35">
        <v>0.4</v>
      </c>
      <c r="DZ1965" s="28" t="s">
        <v>178</v>
      </c>
      <c r="EA1965" s="34">
        <v>43622</v>
      </c>
      <c r="EB1965" s="29" t="s">
        <v>138</v>
      </c>
      <c r="EC1965" s="34" t="s">
        <v>138</v>
      </c>
      <c r="ED1965" s="28" t="s">
        <v>138</v>
      </c>
      <c r="EE1965" s="40" t="str">
        <f>HYPERLINK("https://my.pitchbook.com?c=60805-81", "View company online")</f>
        <v>View company online</v>
      </c>
    </row>
    <row r="1966" spans="1:135">
      <c r="A1966" s="15" t="s">
        <v>37177</v>
      </c>
      <c r="B1966" s="15" t="s">
        <v>37178</v>
      </c>
      <c r="C1966" s="15" t="s">
        <v>138</v>
      </c>
      <c r="D1966" s="15" t="s">
        <v>138</v>
      </c>
      <c r="E1966" s="15" t="s">
        <v>138</v>
      </c>
      <c r="F1966" s="15" t="s">
        <v>37177</v>
      </c>
      <c r="G1966" s="15" t="s">
        <v>37179</v>
      </c>
      <c r="H1966" s="15" t="s">
        <v>141</v>
      </c>
      <c r="I1966" s="15" t="s">
        <v>142</v>
      </c>
      <c r="J1966" s="15" t="s">
        <v>1924</v>
      </c>
      <c r="K1966" s="15" t="s">
        <v>37180</v>
      </c>
      <c r="L1966" s="15" t="s">
        <v>7679</v>
      </c>
      <c r="M1966" s="15" t="s">
        <v>37181</v>
      </c>
      <c r="N1966" s="15" t="s">
        <v>147</v>
      </c>
      <c r="O1966" s="17" t="s">
        <v>138</v>
      </c>
      <c r="P1966" s="15" t="s">
        <v>610</v>
      </c>
      <c r="Q1966" s="15" t="s">
        <v>149</v>
      </c>
      <c r="R1966" s="15" t="s">
        <v>174</v>
      </c>
      <c r="S1966" s="15" t="s">
        <v>37182</v>
      </c>
      <c r="T1966" s="18" t="s">
        <v>138</v>
      </c>
      <c r="U1966" s="15" t="s">
        <v>138</v>
      </c>
      <c r="V1966" s="15" t="s">
        <v>138</v>
      </c>
      <c r="W1966" s="15" t="s">
        <v>138</v>
      </c>
      <c r="X1966" s="19">
        <v>1998</v>
      </c>
      <c r="Y1966" s="15" t="s">
        <v>138</v>
      </c>
      <c r="Z1966" s="15" t="s">
        <v>138</v>
      </c>
      <c r="AA1966" s="15" t="s">
        <v>138</v>
      </c>
      <c r="AB1966" s="20" t="s">
        <v>138</v>
      </c>
      <c r="AC1966" s="20" t="s">
        <v>138</v>
      </c>
      <c r="AD1966" s="20" t="s">
        <v>138</v>
      </c>
      <c r="AE1966" s="20" t="s">
        <v>138</v>
      </c>
      <c r="AF1966" s="20" t="s">
        <v>138</v>
      </c>
      <c r="AG1966" s="15" t="s">
        <v>138</v>
      </c>
      <c r="AH1966" s="20" t="s">
        <v>138</v>
      </c>
      <c r="AI1966" s="20" t="s">
        <v>138</v>
      </c>
      <c r="AJ1966" s="20" t="s">
        <v>138</v>
      </c>
      <c r="AK1966" s="15" t="s">
        <v>37183</v>
      </c>
      <c r="AL1966" s="15" t="s">
        <v>37184</v>
      </c>
      <c r="AM1966" s="15" t="s">
        <v>566</v>
      </c>
      <c r="AN1966" s="15" t="s">
        <v>37185</v>
      </c>
      <c r="AO1966" s="15" t="s">
        <v>37186</v>
      </c>
      <c r="AP1966" s="15" t="s">
        <v>37187</v>
      </c>
      <c r="AQ1966" s="15" t="s">
        <v>37188</v>
      </c>
      <c r="AR1966" s="15" t="s">
        <v>138</v>
      </c>
      <c r="AS1966" s="15" t="s">
        <v>37189</v>
      </c>
      <c r="AT1966" s="15" t="s">
        <v>138</v>
      </c>
      <c r="AU1966" s="15" t="s">
        <v>37190</v>
      </c>
      <c r="AV1966" s="15" t="s">
        <v>2071</v>
      </c>
      <c r="AW1966" s="15" t="s">
        <v>37186</v>
      </c>
      <c r="AX1966" s="15" t="s">
        <v>37191</v>
      </c>
      <c r="AY1966" s="15" t="s">
        <v>37192</v>
      </c>
      <c r="AZ1966" s="15" t="s">
        <v>452</v>
      </c>
      <c r="BA1966" s="15" t="s">
        <v>453</v>
      </c>
      <c r="BB1966" s="15" t="s">
        <v>17329</v>
      </c>
      <c r="BC1966" s="15" t="s">
        <v>2075</v>
      </c>
      <c r="BD1966" s="21">
        <v>1</v>
      </c>
      <c r="BE1966" s="15" t="s">
        <v>138</v>
      </c>
      <c r="BF1966" s="15" t="s">
        <v>138</v>
      </c>
      <c r="BG1966" s="15" t="s">
        <v>138</v>
      </c>
      <c r="BH1966" s="15" t="s">
        <v>2077</v>
      </c>
      <c r="BI1966" s="15" t="s">
        <v>138</v>
      </c>
      <c r="BJ1966" s="15" t="s">
        <v>138</v>
      </c>
      <c r="BK1966" s="15" t="s">
        <v>138</v>
      </c>
      <c r="BL1966" s="15" t="s">
        <v>138</v>
      </c>
      <c r="BM1966" s="22" t="s">
        <v>138</v>
      </c>
      <c r="BN1966" s="17" t="s">
        <v>138</v>
      </c>
      <c r="BO1966" s="15" t="s">
        <v>138</v>
      </c>
      <c r="BP1966" s="17" t="s">
        <v>138</v>
      </c>
      <c r="BQ1966" s="15" t="s">
        <v>138</v>
      </c>
      <c r="BR1966" s="15" t="s">
        <v>205</v>
      </c>
      <c r="BS1966" s="15" t="s">
        <v>138</v>
      </c>
      <c r="BT1966" s="15" t="s">
        <v>138</v>
      </c>
      <c r="BU1966" s="15" t="s">
        <v>174</v>
      </c>
      <c r="BV1966" s="15" t="s">
        <v>138</v>
      </c>
      <c r="BW1966" s="15" t="s">
        <v>138</v>
      </c>
      <c r="BX1966" s="15" t="s">
        <v>138</v>
      </c>
      <c r="BY1966" s="15" t="s">
        <v>175</v>
      </c>
      <c r="BZ1966" s="22" t="s">
        <v>138</v>
      </c>
      <c r="CA1966" s="17" t="s">
        <v>138</v>
      </c>
      <c r="CB1966" s="15" t="s">
        <v>138</v>
      </c>
      <c r="CC1966" s="17" t="s">
        <v>138</v>
      </c>
      <c r="CD1966" s="15" t="s">
        <v>138</v>
      </c>
      <c r="CE1966" s="15" t="s">
        <v>205</v>
      </c>
      <c r="CF1966" s="15" t="s">
        <v>138</v>
      </c>
      <c r="CG1966" s="15" t="s">
        <v>138</v>
      </c>
      <c r="CH1966" s="15" t="s">
        <v>174</v>
      </c>
      <c r="CI1966" s="15" t="s">
        <v>138</v>
      </c>
      <c r="CJ1966" s="15" t="s">
        <v>138</v>
      </c>
      <c r="CK1966" s="15" t="s">
        <v>138</v>
      </c>
      <c r="CL1966" s="15" t="s">
        <v>175</v>
      </c>
      <c r="CM1966" s="22" t="s">
        <v>138</v>
      </c>
      <c r="CN1966" s="17" t="s">
        <v>138</v>
      </c>
      <c r="CO1966" s="23">
        <v>0</v>
      </c>
      <c r="CP1966" s="24">
        <v>26</v>
      </c>
      <c r="CQ1966" s="23">
        <v>0</v>
      </c>
      <c r="CR1966" s="23">
        <v>0</v>
      </c>
      <c r="CS1966" s="23">
        <v>0</v>
      </c>
      <c r="CT1966" s="24">
        <v>23</v>
      </c>
      <c r="CU1966" s="23" t="s">
        <v>138</v>
      </c>
      <c r="CV1966" s="24" t="s">
        <v>138</v>
      </c>
      <c r="CW1966" s="23" t="s">
        <v>138</v>
      </c>
      <c r="CX1966" s="24" t="s">
        <v>138</v>
      </c>
      <c r="CY1966" s="23">
        <v>0</v>
      </c>
      <c r="CZ1966" s="24">
        <v>25</v>
      </c>
      <c r="DA1966" s="23" t="s">
        <v>138</v>
      </c>
      <c r="DB1966" s="24" t="s">
        <v>138</v>
      </c>
      <c r="DC1966" s="25">
        <v>0.14000000000000001</v>
      </c>
      <c r="DD1966" s="24">
        <v>10</v>
      </c>
      <c r="DE1966" s="25">
        <v>0</v>
      </c>
      <c r="DF1966" s="23">
        <v>0</v>
      </c>
      <c r="DG1966" s="25">
        <v>0.14000000000000001</v>
      </c>
      <c r="DH1966" s="24">
        <v>10</v>
      </c>
      <c r="DI1966" s="25" t="s">
        <v>138</v>
      </c>
      <c r="DJ1966" s="24" t="s">
        <v>138</v>
      </c>
      <c r="DK1966" s="25" t="s">
        <v>138</v>
      </c>
      <c r="DL1966" s="24" t="s">
        <v>138</v>
      </c>
      <c r="DM1966" s="25">
        <v>0.14000000000000001</v>
      </c>
      <c r="DN1966" s="24">
        <v>11</v>
      </c>
      <c r="DO1966" s="25" t="s">
        <v>138</v>
      </c>
      <c r="DP1966" s="24" t="s">
        <v>138</v>
      </c>
      <c r="DQ1966" s="24" t="s">
        <v>138</v>
      </c>
      <c r="DR1966" s="26" t="s">
        <v>138</v>
      </c>
      <c r="DS1966" s="23" t="s">
        <v>138</v>
      </c>
      <c r="DT1966" s="24">
        <v>4</v>
      </c>
      <c r="DU1966" s="26">
        <v>0</v>
      </c>
      <c r="DV1966" s="23">
        <v>0</v>
      </c>
      <c r="DW1966" s="24" t="s">
        <v>138</v>
      </c>
      <c r="DX1966" s="27" t="s">
        <v>138</v>
      </c>
      <c r="DY1966" s="23" t="s">
        <v>138</v>
      </c>
      <c r="DZ1966" s="15" t="s">
        <v>178</v>
      </c>
      <c r="EA1966" s="22">
        <v>43351</v>
      </c>
      <c r="EB1966" s="17" t="s">
        <v>138</v>
      </c>
      <c r="EC1966" s="22" t="s">
        <v>138</v>
      </c>
      <c r="ED1966" s="15" t="s">
        <v>138</v>
      </c>
      <c r="EE1966" s="14" t="str">
        <f>HYPERLINK("https://my.pitchbook.com?c=54826-03", "View company online")</f>
        <v>View company online</v>
      </c>
    </row>
    <row r="1967" spans="1:135">
      <c r="A1967" s="28" t="s">
        <v>37193</v>
      </c>
      <c r="B1967" s="28" t="s">
        <v>37194</v>
      </c>
      <c r="C1967" s="28" t="s">
        <v>138</v>
      </c>
      <c r="D1967" s="28" t="s">
        <v>138</v>
      </c>
      <c r="E1967" s="28" t="s">
        <v>37195</v>
      </c>
      <c r="F1967" s="28" t="s">
        <v>37193</v>
      </c>
      <c r="G1967" s="28" t="s">
        <v>37196</v>
      </c>
      <c r="H1967" s="28" t="s">
        <v>322</v>
      </c>
      <c r="I1967" s="28" t="s">
        <v>323</v>
      </c>
      <c r="J1967" s="28" t="s">
        <v>954</v>
      </c>
      <c r="K1967" s="28" t="s">
        <v>37197</v>
      </c>
      <c r="L1967" s="28" t="s">
        <v>37198</v>
      </c>
      <c r="M1967" s="28" t="s">
        <v>37199</v>
      </c>
      <c r="N1967" s="28" t="s">
        <v>147</v>
      </c>
      <c r="O1967" s="29">
        <v>220.34</v>
      </c>
      <c r="P1967" s="28" t="s">
        <v>148</v>
      </c>
      <c r="Q1967" s="28" t="s">
        <v>149</v>
      </c>
      <c r="R1967" s="28" t="s">
        <v>174</v>
      </c>
      <c r="S1967" s="28" t="s">
        <v>37200</v>
      </c>
      <c r="T1967" s="30">
        <v>1000</v>
      </c>
      <c r="U1967" s="28" t="s">
        <v>37201</v>
      </c>
      <c r="V1967" s="28" t="s">
        <v>138</v>
      </c>
      <c r="W1967" s="28" t="s">
        <v>138</v>
      </c>
      <c r="X1967" s="31">
        <v>2007</v>
      </c>
      <c r="Y1967" s="28" t="s">
        <v>138</v>
      </c>
      <c r="Z1967" s="28" t="s">
        <v>138</v>
      </c>
      <c r="AA1967" s="28" t="s">
        <v>138</v>
      </c>
      <c r="AB1967" s="32">
        <v>98.8</v>
      </c>
      <c r="AC1967" s="32" t="s">
        <v>138</v>
      </c>
      <c r="AD1967" s="32" t="s">
        <v>138</v>
      </c>
      <c r="AE1967" s="32" t="s">
        <v>138</v>
      </c>
      <c r="AF1967" s="32" t="s">
        <v>138</v>
      </c>
      <c r="AG1967" s="28" t="s">
        <v>707</v>
      </c>
      <c r="AH1967" s="32" t="s">
        <v>138</v>
      </c>
      <c r="AI1967" s="32" t="s">
        <v>138</v>
      </c>
      <c r="AJ1967" s="32" t="s">
        <v>138</v>
      </c>
      <c r="AK1967" s="28" t="s">
        <v>37202</v>
      </c>
      <c r="AL1967" s="28" t="s">
        <v>37203</v>
      </c>
      <c r="AM1967" s="28" t="s">
        <v>249</v>
      </c>
      <c r="AN1967" s="28" t="s">
        <v>37204</v>
      </c>
      <c r="AO1967" s="28" t="s">
        <v>37205</v>
      </c>
      <c r="AP1967" s="28" t="s">
        <v>37206</v>
      </c>
      <c r="AQ1967" s="28" t="s">
        <v>37207</v>
      </c>
      <c r="AR1967" s="28" t="s">
        <v>6298</v>
      </c>
      <c r="AS1967" s="28" t="s">
        <v>37208</v>
      </c>
      <c r="AT1967" s="28" t="s">
        <v>4493</v>
      </c>
      <c r="AU1967" s="28" t="s">
        <v>37209</v>
      </c>
      <c r="AV1967" s="28" t="s">
        <v>162</v>
      </c>
      <c r="AW1967" s="28" t="s">
        <v>37210</v>
      </c>
      <c r="AX1967" s="28" t="s">
        <v>138</v>
      </c>
      <c r="AY1967" s="28" t="s">
        <v>37211</v>
      </c>
      <c r="AZ1967" s="28" t="s">
        <v>164</v>
      </c>
      <c r="BA1967" s="28" t="s">
        <v>165</v>
      </c>
      <c r="BB1967" s="28" t="s">
        <v>37212</v>
      </c>
      <c r="BC1967" s="28" t="s">
        <v>37213</v>
      </c>
      <c r="BD1967" s="33">
        <v>21</v>
      </c>
      <c r="BE1967" s="28" t="s">
        <v>138</v>
      </c>
      <c r="BF1967" s="28" t="s">
        <v>138</v>
      </c>
      <c r="BG1967" s="28" t="s">
        <v>138</v>
      </c>
      <c r="BH1967" s="28" t="s">
        <v>37214</v>
      </c>
      <c r="BI1967" s="28" t="s">
        <v>138</v>
      </c>
      <c r="BJ1967" s="28" t="s">
        <v>138</v>
      </c>
      <c r="BK1967" s="28" t="s">
        <v>27181</v>
      </c>
      <c r="BL1967" s="28" t="s">
        <v>37215</v>
      </c>
      <c r="BM1967" s="34">
        <v>39114</v>
      </c>
      <c r="BN1967" s="29">
        <v>20</v>
      </c>
      <c r="BO1967" s="28" t="s">
        <v>172</v>
      </c>
      <c r="BP1967" s="29">
        <v>44.26</v>
      </c>
      <c r="BQ1967" s="28" t="s">
        <v>172</v>
      </c>
      <c r="BR1967" s="28" t="s">
        <v>205</v>
      </c>
      <c r="BS1967" s="28" t="s">
        <v>206</v>
      </c>
      <c r="BT1967" s="28" t="s">
        <v>138</v>
      </c>
      <c r="BU1967" s="28" t="s">
        <v>174</v>
      </c>
      <c r="BV1967" s="28" t="s">
        <v>138</v>
      </c>
      <c r="BW1967" s="28" t="s">
        <v>138</v>
      </c>
      <c r="BX1967" s="28" t="s">
        <v>138</v>
      </c>
      <c r="BY1967" s="28" t="s">
        <v>175</v>
      </c>
      <c r="BZ1967" s="34">
        <v>43300</v>
      </c>
      <c r="CA1967" s="29">
        <v>50</v>
      </c>
      <c r="CB1967" s="28" t="s">
        <v>172</v>
      </c>
      <c r="CC1967" s="29">
        <v>620.84</v>
      </c>
      <c r="CD1967" s="28" t="s">
        <v>172</v>
      </c>
      <c r="CE1967" s="28" t="s">
        <v>173</v>
      </c>
      <c r="CF1967" s="28" t="s">
        <v>482</v>
      </c>
      <c r="CG1967" s="28" t="s">
        <v>138</v>
      </c>
      <c r="CH1967" s="28" t="s">
        <v>174</v>
      </c>
      <c r="CI1967" s="28" t="s">
        <v>138</v>
      </c>
      <c r="CJ1967" s="28" t="s">
        <v>138</v>
      </c>
      <c r="CK1967" s="28" t="s">
        <v>138</v>
      </c>
      <c r="CL1967" s="28" t="s">
        <v>175</v>
      </c>
      <c r="CM1967" s="34">
        <v>41764</v>
      </c>
      <c r="CN1967" s="29">
        <v>2.8</v>
      </c>
      <c r="CO1967" s="35">
        <v>1.18</v>
      </c>
      <c r="CP1967" s="36">
        <v>98</v>
      </c>
      <c r="CQ1967" s="35">
        <v>-0.04</v>
      </c>
      <c r="CR1967" s="35">
        <v>-2.93</v>
      </c>
      <c r="CS1967" s="35">
        <v>2.29</v>
      </c>
      <c r="CT1967" s="36">
        <v>99</v>
      </c>
      <c r="CU1967" s="35">
        <v>0.1</v>
      </c>
      <c r="CV1967" s="36">
        <v>68</v>
      </c>
      <c r="CW1967" s="35">
        <v>5.35</v>
      </c>
      <c r="CX1967" s="36">
        <v>96</v>
      </c>
      <c r="CY1967" s="35">
        <v>-0.77</v>
      </c>
      <c r="CZ1967" s="36">
        <v>20</v>
      </c>
      <c r="DA1967" s="35">
        <v>0.08</v>
      </c>
      <c r="DB1967" s="36">
        <v>69</v>
      </c>
      <c r="DC1967" s="37">
        <v>23.51</v>
      </c>
      <c r="DD1967" s="36">
        <v>95</v>
      </c>
      <c r="DE1967" s="37">
        <v>0.28000000000000003</v>
      </c>
      <c r="DF1967" s="35">
        <v>1.2</v>
      </c>
      <c r="DG1967" s="37">
        <v>27.11</v>
      </c>
      <c r="DH1967" s="36">
        <v>96</v>
      </c>
      <c r="DI1967" s="37">
        <v>7.44</v>
      </c>
      <c r="DJ1967" s="36">
        <v>82</v>
      </c>
      <c r="DK1967" s="37">
        <v>28.09</v>
      </c>
      <c r="DL1967" s="36">
        <v>93</v>
      </c>
      <c r="DM1967" s="37">
        <v>26.14</v>
      </c>
      <c r="DN1967" s="36">
        <v>96</v>
      </c>
      <c r="DO1967" s="37">
        <v>11.81</v>
      </c>
      <c r="DP1967" s="36">
        <v>89</v>
      </c>
      <c r="DQ1967" s="36">
        <v>9437</v>
      </c>
      <c r="DR1967" s="38">
        <v>594</v>
      </c>
      <c r="DS1967" s="35">
        <v>6.72</v>
      </c>
      <c r="DT1967" s="36">
        <v>759</v>
      </c>
      <c r="DU1967" s="38">
        <v>-1</v>
      </c>
      <c r="DV1967" s="35">
        <v>-0.13</v>
      </c>
      <c r="DW1967" s="36">
        <v>4227</v>
      </c>
      <c r="DX1967" s="39">
        <v>1</v>
      </c>
      <c r="DY1967" s="35">
        <v>0.02</v>
      </c>
      <c r="DZ1967" s="28" t="s">
        <v>178</v>
      </c>
      <c r="EA1967" s="34">
        <v>43622</v>
      </c>
      <c r="EB1967" s="29">
        <v>620.84</v>
      </c>
      <c r="EC1967" s="34">
        <v>43300</v>
      </c>
      <c r="ED1967" s="28" t="s">
        <v>173</v>
      </c>
      <c r="EE1967" s="40" t="str">
        <f>HYPERLINK("https://my.pitchbook.com?c=56993-50", "View company online")</f>
        <v>View company online</v>
      </c>
    </row>
    <row r="1968" spans="1:135">
      <c r="A1968" s="15" t="s">
        <v>37216</v>
      </c>
      <c r="B1968" s="15" t="s">
        <v>37217</v>
      </c>
      <c r="C1968" s="15" t="s">
        <v>138</v>
      </c>
      <c r="D1968" s="15" t="s">
        <v>138</v>
      </c>
      <c r="E1968" s="15" t="s">
        <v>37218</v>
      </c>
      <c r="F1968" s="15" t="s">
        <v>37216</v>
      </c>
      <c r="G1968" s="15" t="s">
        <v>37219</v>
      </c>
      <c r="H1968" s="15" t="s">
        <v>141</v>
      </c>
      <c r="I1968" s="15" t="s">
        <v>142</v>
      </c>
      <c r="J1968" s="15" t="s">
        <v>4910</v>
      </c>
      <c r="K1968" s="15" t="s">
        <v>11537</v>
      </c>
      <c r="L1968" s="15" t="s">
        <v>37220</v>
      </c>
      <c r="M1968" s="15" t="s">
        <v>37221</v>
      </c>
      <c r="N1968" s="15" t="s">
        <v>147</v>
      </c>
      <c r="O1968" s="17">
        <v>12.93</v>
      </c>
      <c r="P1968" s="15" t="s">
        <v>1473</v>
      </c>
      <c r="Q1968" s="15" t="s">
        <v>149</v>
      </c>
      <c r="R1968" s="15" t="s">
        <v>174</v>
      </c>
      <c r="S1968" s="15" t="s">
        <v>37222</v>
      </c>
      <c r="T1968" s="18">
        <v>30</v>
      </c>
      <c r="U1968" s="15" t="s">
        <v>37223</v>
      </c>
      <c r="V1968" s="15" t="s">
        <v>138</v>
      </c>
      <c r="W1968" s="15" t="s">
        <v>138</v>
      </c>
      <c r="X1968" s="19">
        <v>2014</v>
      </c>
      <c r="Y1968" s="15" t="s">
        <v>138</v>
      </c>
      <c r="Z1968" s="15" t="s">
        <v>138</v>
      </c>
      <c r="AA1968" s="15" t="s">
        <v>138</v>
      </c>
      <c r="AB1968" s="20" t="s">
        <v>138</v>
      </c>
      <c r="AC1968" s="20" t="s">
        <v>138</v>
      </c>
      <c r="AD1968" s="20" t="s">
        <v>138</v>
      </c>
      <c r="AE1968" s="20" t="s">
        <v>138</v>
      </c>
      <c r="AF1968" s="20" t="s">
        <v>138</v>
      </c>
      <c r="AG1968" s="15" t="s">
        <v>138</v>
      </c>
      <c r="AH1968" s="20" t="s">
        <v>138</v>
      </c>
      <c r="AI1968" s="20" t="s">
        <v>138</v>
      </c>
      <c r="AJ1968" s="20" t="s">
        <v>138</v>
      </c>
      <c r="AK1968" s="15" t="s">
        <v>37224</v>
      </c>
      <c r="AL1968" s="15" t="s">
        <v>37225</v>
      </c>
      <c r="AM1968" s="15" t="s">
        <v>422</v>
      </c>
      <c r="AN1968" s="15" t="s">
        <v>37226</v>
      </c>
      <c r="AO1968" s="15" t="s">
        <v>37227</v>
      </c>
      <c r="AP1968" s="15" t="s">
        <v>1292</v>
      </c>
      <c r="AQ1968" s="15" t="s">
        <v>37228</v>
      </c>
      <c r="AR1968" s="15" t="s">
        <v>37229</v>
      </c>
      <c r="AS1968" s="15" t="s">
        <v>1294</v>
      </c>
      <c r="AT1968" s="15" t="s">
        <v>864</v>
      </c>
      <c r="AU1968" s="15" t="s">
        <v>37230</v>
      </c>
      <c r="AV1968" s="15" t="s">
        <v>162</v>
      </c>
      <c r="AW1968" s="15" t="s">
        <v>37227</v>
      </c>
      <c r="AX1968" s="15" t="s">
        <v>138</v>
      </c>
      <c r="AY1968" s="15" t="s">
        <v>37231</v>
      </c>
      <c r="AZ1968" s="15" t="s">
        <v>164</v>
      </c>
      <c r="BA1968" s="15" t="s">
        <v>165</v>
      </c>
      <c r="BB1968" s="15" t="s">
        <v>37232</v>
      </c>
      <c r="BC1968" s="15" t="s">
        <v>37233</v>
      </c>
      <c r="BD1968" s="21">
        <v>26</v>
      </c>
      <c r="BE1968" s="15" t="s">
        <v>138</v>
      </c>
      <c r="BF1968" s="15" t="s">
        <v>138</v>
      </c>
      <c r="BG1968" s="15" t="s">
        <v>138</v>
      </c>
      <c r="BH1968" s="15" t="s">
        <v>37234</v>
      </c>
      <c r="BI1968" s="15" t="s">
        <v>138</v>
      </c>
      <c r="BJ1968" s="15" t="s">
        <v>138</v>
      </c>
      <c r="BK1968" s="15" t="s">
        <v>37235</v>
      </c>
      <c r="BL1968" s="15" t="s">
        <v>1038</v>
      </c>
      <c r="BM1968" s="22" t="s">
        <v>138</v>
      </c>
      <c r="BN1968" s="17" t="s">
        <v>138</v>
      </c>
      <c r="BO1968" s="15" t="s">
        <v>138</v>
      </c>
      <c r="BP1968" s="17" t="s">
        <v>138</v>
      </c>
      <c r="BQ1968" s="15" t="s">
        <v>138</v>
      </c>
      <c r="BR1968" s="15" t="s">
        <v>316</v>
      </c>
      <c r="BS1968" s="15" t="s">
        <v>138</v>
      </c>
      <c r="BT1968" s="15" t="s">
        <v>138</v>
      </c>
      <c r="BU1968" s="15" t="s">
        <v>177</v>
      </c>
      <c r="BV1968" s="15" t="s">
        <v>138</v>
      </c>
      <c r="BW1968" s="15" t="s">
        <v>138</v>
      </c>
      <c r="BX1968" s="15" t="s">
        <v>138</v>
      </c>
      <c r="BY1968" s="15" t="s">
        <v>175</v>
      </c>
      <c r="BZ1968" s="22">
        <v>43383</v>
      </c>
      <c r="CA1968" s="17">
        <v>3</v>
      </c>
      <c r="CB1968" s="15" t="s">
        <v>172</v>
      </c>
      <c r="CC1968" s="17" t="s">
        <v>138</v>
      </c>
      <c r="CD1968" s="15" t="s">
        <v>138</v>
      </c>
      <c r="CE1968" s="15" t="s">
        <v>205</v>
      </c>
      <c r="CF1968" s="15" t="s">
        <v>138</v>
      </c>
      <c r="CG1968" s="15" t="s">
        <v>138</v>
      </c>
      <c r="CH1968" s="15" t="s">
        <v>174</v>
      </c>
      <c r="CI1968" s="15" t="s">
        <v>138</v>
      </c>
      <c r="CJ1968" s="15" t="s">
        <v>138</v>
      </c>
      <c r="CK1968" s="15" t="s">
        <v>138</v>
      </c>
      <c r="CL1968" s="15" t="s">
        <v>175</v>
      </c>
      <c r="CM1968" s="22" t="s">
        <v>138</v>
      </c>
      <c r="CN1968" s="17" t="s">
        <v>138</v>
      </c>
      <c r="CO1968" s="23">
        <v>-1.67</v>
      </c>
      <c r="CP1968" s="24">
        <v>7</v>
      </c>
      <c r="CQ1968" s="23">
        <v>-0.05</v>
      </c>
      <c r="CR1968" s="23">
        <v>-2.94</v>
      </c>
      <c r="CS1968" s="23">
        <v>-3.82</v>
      </c>
      <c r="CT1968" s="24">
        <v>4</v>
      </c>
      <c r="CU1968" s="23">
        <v>0.47</v>
      </c>
      <c r="CV1968" s="24">
        <v>93</v>
      </c>
      <c r="CW1968" s="23">
        <v>-5.59</v>
      </c>
      <c r="CX1968" s="24">
        <v>2</v>
      </c>
      <c r="CY1968" s="23">
        <v>-2.04</v>
      </c>
      <c r="CZ1968" s="24">
        <v>11</v>
      </c>
      <c r="DA1968" s="23">
        <v>0.95</v>
      </c>
      <c r="DB1968" s="24">
        <v>98</v>
      </c>
      <c r="DC1968" s="25">
        <v>5.18</v>
      </c>
      <c r="DD1968" s="24">
        <v>83</v>
      </c>
      <c r="DE1968" s="25">
        <v>-0.15</v>
      </c>
      <c r="DF1968" s="23">
        <v>-2.75</v>
      </c>
      <c r="DG1968" s="25">
        <v>7.9</v>
      </c>
      <c r="DH1968" s="24">
        <v>87</v>
      </c>
      <c r="DI1968" s="25">
        <v>2.4500000000000002</v>
      </c>
      <c r="DJ1968" s="24">
        <v>66</v>
      </c>
      <c r="DK1968" s="25">
        <v>5.07</v>
      </c>
      <c r="DL1968" s="24">
        <v>79</v>
      </c>
      <c r="DM1968" s="25">
        <v>10.72</v>
      </c>
      <c r="DN1968" s="24">
        <v>89</v>
      </c>
      <c r="DO1968" s="25">
        <v>4.87</v>
      </c>
      <c r="DP1968" s="24">
        <v>79</v>
      </c>
      <c r="DQ1968" s="24">
        <v>1724</v>
      </c>
      <c r="DR1968" s="26">
        <v>47</v>
      </c>
      <c r="DS1968" s="23">
        <v>2.8</v>
      </c>
      <c r="DT1968" s="24">
        <v>310</v>
      </c>
      <c r="DU1968" s="26">
        <v>0</v>
      </c>
      <c r="DV1968" s="23">
        <v>0</v>
      </c>
      <c r="DW1968" s="24">
        <v>1742</v>
      </c>
      <c r="DX1968" s="27">
        <v>3</v>
      </c>
      <c r="DY1968" s="23">
        <v>0.17</v>
      </c>
      <c r="DZ1968" s="15" t="s">
        <v>178</v>
      </c>
      <c r="EA1968" s="22">
        <v>43622</v>
      </c>
      <c r="EB1968" s="17">
        <v>25.38</v>
      </c>
      <c r="EC1968" s="22">
        <v>42536</v>
      </c>
      <c r="ED1968" s="15" t="s">
        <v>205</v>
      </c>
      <c r="EE1968" s="14" t="str">
        <f>HYPERLINK("https://my.pitchbook.com?c=64424-17", "View company online")</f>
        <v>View company online</v>
      </c>
    </row>
    <row r="1969" spans="1:135">
      <c r="A1969" s="28" t="s">
        <v>37236</v>
      </c>
      <c r="B1969" s="28" t="s">
        <v>37237</v>
      </c>
      <c r="C1969" s="28" t="s">
        <v>138</v>
      </c>
      <c r="D1969" s="28" t="s">
        <v>37238</v>
      </c>
      <c r="E1969" s="28" t="s">
        <v>138</v>
      </c>
      <c r="F1969" s="28" t="s">
        <v>37236</v>
      </c>
      <c r="G1969" s="28" t="s">
        <v>37239</v>
      </c>
      <c r="H1969" s="28" t="s">
        <v>322</v>
      </c>
      <c r="I1969" s="28" t="s">
        <v>356</v>
      </c>
      <c r="J1969" s="28" t="s">
        <v>2705</v>
      </c>
      <c r="K1969" s="28" t="s">
        <v>2706</v>
      </c>
      <c r="L1969" s="28" t="s">
        <v>415</v>
      </c>
      <c r="M1969" s="28" t="s">
        <v>37240</v>
      </c>
      <c r="N1969" s="28" t="s">
        <v>1452</v>
      </c>
      <c r="O1969" s="29">
        <v>128.84</v>
      </c>
      <c r="P1969" s="28" t="s">
        <v>812</v>
      </c>
      <c r="Q1969" s="28" t="s">
        <v>149</v>
      </c>
      <c r="R1969" s="28" t="s">
        <v>13858</v>
      </c>
      <c r="S1969" s="28" t="s">
        <v>37241</v>
      </c>
      <c r="T1969" s="30">
        <v>106</v>
      </c>
      <c r="U1969" s="28" t="s">
        <v>37242</v>
      </c>
      <c r="V1969" s="28" t="s">
        <v>138</v>
      </c>
      <c r="W1969" s="28" t="s">
        <v>138</v>
      </c>
      <c r="X1969" s="31">
        <v>2006</v>
      </c>
      <c r="Y1969" s="28" t="s">
        <v>138</v>
      </c>
      <c r="Z1969" s="28" t="s">
        <v>138</v>
      </c>
      <c r="AA1969" s="28" t="s">
        <v>138</v>
      </c>
      <c r="AB1969" s="32">
        <v>65</v>
      </c>
      <c r="AC1969" s="32" t="s">
        <v>138</v>
      </c>
      <c r="AD1969" s="32" t="s">
        <v>138</v>
      </c>
      <c r="AE1969" s="32" t="s">
        <v>138</v>
      </c>
      <c r="AF1969" s="32">
        <v>16</v>
      </c>
      <c r="AG1969" s="28" t="s">
        <v>563</v>
      </c>
      <c r="AH1969" s="32" t="s">
        <v>138</v>
      </c>
      <c r="AI1969" s="32" t="s">
        <v>138</v>
      </c>
      <c r="AJ1969" s="32" t="s">
        <v>138</v>
      </c>
      <c r="AK1969" s="28" t="s">
        <v>37243</v>
      </c>
      <c r="AL1969" s="28" t="s">
        <v>37244</v>
      </c>
      <c r="AM1969" s="28" t="s">
        <v>249</v>
      </c>
      <c r="AN1969" s="28" t="s">
        <v>37245</v>
      </c>
      <c r="AO1969" s="28" t="s">
        <v>37246</v>
      </c>
      <c r="AP1969" s="28" t="s">
        <v>37247</v>
      </c>
      <c r="AQ1969" s="28" t="s">
        <v>37248</v>
      </c>
      <c r="AR1969" s="28" t="s">
        <v>1459</v>
      </c>
      <c r="AS1969" s="28" t="s">
        <v>37249</v>
      </c>
      <c r="AT1969" s="28" t="s">
        <v>3140</v>
      </c>
      <c r="AU1969" s="28" t="s">
        <v>37250</v>
      </c>
      <c r="AV1969" s="28" t="s">
        <v>162</v>
      </c>
      <c r="AW1969" s="28" t="s">
        <v>37246</v>
      </c>
      <c r="AX1969" s="28" t="s">
        <v>37251</v>
      </c>
      <c r="AY1969" s="28" t="s">
        <v>37252</v>
      </c>
      <c r="AZ1969" s="28" t="s">
        <v>164</v>
      </c>
      <c r="BA1969" s="28" t="s">
        <v>165</v>
      </c>
      <c r="BB1969" s="28" t="s">
        <v>37253</v>
      </c>
      <c r="BC1969" s="28" t="s">
        <v>37254</v>
      </c>
      <c r="BD1969" s="33">
        <v>3</v>
      </c>
      <c r="BE1969" s="28" t="s">
        <v>138</v>
      </c>
      <c r="BF1969" s="28" t="s">
        <v>37255</v>
      </c>
      <c r="BG1969" s="28" t="s">
        <v>138</v>
      </c>
      <c r="BH1969" s="28" t="s">
        <v>37256</v>
      </c>
      <c r="BI1969" s="28" t="s">
        <v>37257</v>
      </c>
      <c r="BJ1969" s="28" t="s">
        <v>138</v>
      </c>
      <c r="BK1969" s="28" t="s">
        <v>138</v>
      </c>
      <c r="BL1969" s="28" t="s">
        <v>37258</v>
      </c>
      <c r="BM1969" s="34">
        <v>39853</v>
      </c>
      <c r="BN1969" s="29">
        <v>0.75</v>
      </c>
      <c r="BO1969" s="28" t="s">
        <v>172</v>
      </c>
      <c r="BP1969" s="29" t="s">
        <v>138</v>
      </c>
      <c r="BQ1969" s="28" t="s">
        <v>138</v>
      </c>
      <c r="BR1969" s="28" t="s">
        <v>780</v>
      </c>
      <c r="BS1969" s="28" t="s">
        <v>780</v>
      </c>
      <c r="BT1969" s="28" t="s">
        <v>138</v>
      </c>
      <c r="BU1969" s="28" t="s">
        <v>780</v>
      </c>
      <c r="BV1969" s="28" t="s">
        <v>138</v>
      </c>
      <c r="BW1969" s="28" t="s">
        <v>138</v>
      </c>
      <c r="BX1969" s="28" t="s">
        <v>138</v>
      </c>
      <c r="BY1969" s="28" t="s">
        <v>175</v>
      </c>
      <c r="BZ1969" s="34">
        <v>42369</v>
      </c>
      <c r="CA1969" s="29">
        <v>35.69</v>
      </c>
      <c r="CB1969" s="28" t="s">
        <v>172</v>
      </c>
      <c r="CC1969" s="29" t="s">
        <v>138</v>
      </c>
      <c r="CD1969" s="28" t="s">
        <v>138</v>
      </c>
      <c r="CE1969" s="28" t="s">
        <v>1644</v>
      </c>
      <c r="CF1969" s="28" t="s">
        <v>138</v>
      </c>
      <c r="CG1969" s="28" t="s">
        <v>138</v>
      </c>
      <c r="CH1969" s="28" t="s">
        <v>1327</v>
      </c>
      <c r="CI1969" s="28" t="s">
        <v>1644</v>
      </c>
      <c r="CJ1969" s="28" t="s">
        <v>1497</v>
      </c>
      <c r="CK1969" s="28" t="s">
        <v>138</v>
      </c>
      <c r="CL1969" s="28" t="s">
        <v>175</v>
      </c>
      <c r="CM1969" s="34">
        <v>42369</v>
      </c>
      <c r="CN1969" s="29">
        <v>14.13</v>
      </c>
      <c r="CO1969" s="35">
        <v>-0.86</v>
      </c>
      <c r="CP1969" s="36">
        <v>12</v>
      </c>
      <c r="CQ1969" s="35">
        <v>0.02</v>
      </c>
      <c r="CR1969" s="35">
        <v>2.33</v>
      </c>
      <c r="CS1969" s="35">
        <v>-1.55</v>
      </c>
      <c r="CT1969" s="36">
        <v>11</v>
      </c>
      <c r="CU1969" s="35">
        <v>-0.16</v>
      </c>
      <c r="CV1969" s="36">
        <v>2</v>
      </c>
      <c r="CW1969" s="35">
        <v>-1.55</v>
      </c>
      <c r="CX1969" s="36">
        <v>8</v>
      </c>
      <c r="CY1969" s="35" t="s">
        <v>138</v>
      </c>
      <c r="CZ1969" s="36" t="s">
        <v>138</v>
      </c>
      <c r="DA1969" s="35">
        <v>-0.16</v>
      </c>
      <c r="DB1969" s="36">
        <v>3</v>
      </c>
      <c r="DC1969" s="37">
        <v>3.07</v>
      </c>
      <c r="DD1969" s="36">
        <v>75</v>
      </c>
      <c r="DE1969" s="37">
        <v>-0.34</v>
      </c>
      <c r="DF1969" s="35">
        <v>-9.8699999999999992</v>
      </c>
      <c r="DG1969" s="37">
        <v>5.31</v>
      </c>
      <c r="DH1969" s="36">
        <v>83</v>
      </c>
      <c r="DI1969" s="37">
        <v>0.84</v>
      </c>
      <c r="DJ1969" s="36">
        <v>46</v>
      </c>
      <c r="DK1969" s="37">
        <v>5.31</v>
      </c>
      <c r="DL1969" s="36">
        <v>80</v>
      </c>
      <c r="DM1969" s="37" t="s">
        <v>138</v>
      </c>
      <c r="DN1969" s="36" t="s">
        <v>138</v>
      </c>
      <c r="DO1969" s="37">
        <v>0.84</v>
      </c>
      <c r="DP1969" s="36">
        <v>47</v>
      </c>
      <c r="DQ1969" s="36">
        <v>1905</v>
      </c>
      <c r="DR1969" s="38">
        <v>-256</v>
      </c>
      <c r="DS1969" s="35">
        <v>-11.85</v>
      </c>
      <c r="DT1969" s="36" t="s">
        <v>138</v>
      </c>
      <c r="DU1969" s="38" t="s">
        <v>138</v>
      </c>
      <c r="DV1969" s="35" t="s">
        <v>138</v>
      </c>
      <c r="DW1969" s="36">
        <v>301</v>
      </c>
      <c r="DX1969" s="39">
        <v>0</v>
      </c>
      <c r="DY1969" s="35">
        <v>0</v>
      </c>
      <c r="DZ1969" s="28" t="s">
        <v>178</v>
      </c>
      <c r="EA1969" s="34">
        <v>43514</v>
      </c>
      <c r="EB1969" s="29" t="s">
        <v>138</v>
      </c>
      <c r="EC1969" s="34" t="s">
        <v>138</v>
      </c>
      <c r="ED1969" s="28" t="s">
        <v>138</v>
      </c>
      <c r="EE1969" s="40" t="str">
        <f>HYPERLINK("https://my.pitchbook.com?c=51621-22", "View company online")</f>
        <v>View company online</v>
      </c>
    </row>
    <row r="1970" spans="1:135">
      <c r="A1970" s="15" t="s">
        <v>37259</v>
      </c>
      <c r="B1970" s="15" t="s">
        <v>37260</v>
      </c>
      <c r="C1970" s="15" t="s">
        <v>138</v>
      </c>
      <c r="D1970" s="15" t="s">
        <v>37261</v>
      </c>
      <c r="E1970" s="15" t="s">
        <v>138</v>
      </c>
      <c r="F1970" s="15" t="s">
        <v>37259</v>
      </c>
      <c r="G1970" s="15" t="s">
        <v>37262</v>
      </c>
      <c r="H1970" s="15" t="s">
        <v>322</v>
      </c>
      <c r="I1970" s="15" t="s">
        <v>323</v>
      </c>
      <c r="J1970" s="15" t="s">
        <v>413</v>
      </c>
      <c r="K1970" s="15" t="s">
        <v>37263</v>
      </c>
      <c r="L1970" s="15" t="s">
        <v>415</v>
      </c>
      <c r="M1970" s="15" t="s">
        <v>37264</v>
      </c>
      <c r="N1970" s="15" t="s">
        <v>147</v>
      </c>
      <c r="O1970" s="17">
        <v>1.25</v>
      </c>
      <c r="P1970" s="15" t="s">
        <v>148</v>
      </c>
      <c r="Q1970" s="15" t="s">
        <v>149</v>
      </c>
      <c r="R1970" s="15" t="s">
        <v>174</v>
      </c>
      <c r="S1970" s="15" t="s">
        <v>37265</v>
      </c>
      <c r="T1970" s="18" t="s">
        <v>138</v>
      </c>
      <c r="U1970" s="15" t="s">
        <v>138</v>
      </c>
      <c r="V1970" s="15" t="s">
        <v>138</v>
      </c>
      <c r="W1970" s="15" t="s">
        <v>138</v>
      </c>
      <c r="X1970" s="19">
        <v>2001</v>
      </c>
      <c r="Y1970" s="15" t="s">
        <v>138</v>
      </c>
      <c r="Z1970" s="15" t="s">
        <v>138</v>
      </c>
      <c r="AA1970" s="15" t="s">
        <v>138</v>
      </c>
      <c r="AB1970" s="20" t="s">
        <v>138</v>
      </c>
      <c r="AC1970" s="20" t="s">
        <v>138</v>
      </c>
      <c r="AD1970" s="20" t="s">
        <v>138</v>
      </c>
      <c r="AE1970" s="20" t="s">
        <v>138</v>
      </c>
      <c r="AF1970" s="20" t="s">
        <v>138</v>
      </c>
      <c r="AG1970" s="15" t="s">
        <v>138</v>
      </c>
      <c r="AH1970" s="20" t="s">
        <v>138</v>
      </c>
      <c r="AI1970" s="20" t="s">
        <v>138</v>
      </c>
      <c r="AJ1970" s="20" t="s">
        <v>138</v>
      </c>
      <c r="AK1970" s="15" t="s">
        <v>37266</v>
      </c>
      <c r="AL1970" s="15" t="s">
        <v>37267</v>
      </c>
      <c r="AM1970" s="15" t="s">
        <v>37268</v>
      </c>
      <c r="AN1970" s="15" t="s">
        <v>37269</v>
      </c>
      <c r="AO1970" s="15" t="s">
        <v>37270</v>
      </c>
      <c r="AP1970" s="15" t="s">
        <v>37271</v>
      </c>
      <c r="AQ1970" s="15" t="s">
        <v>37272</v>
      </c>
      <c r="AR1970" s="15" t="s">
        <v>37273</v>
      </c>
      <c r="AS1970" s="15" t="s">
        <v>7845</v>
      </c>
      <c r="AT1970" s="15" t="s">
        <v>1198</v>
      </c>
      <c r="AU1970" s="15" t="s">
        <v>37274</v>
      </c>
      <c r="AV1970" s="15" t="s">
        <v>1200</v>
      </c>
      <c r="AW1970" s="15" t="s">
        <v>37270</v>
      </c>
      <c r="AX1970" s="15" t="s">
        <v>37275</v>
      </c>
      <c r="AY1970" s="15" t="s">
        <v>37276</v>
      </c>
      <c r="AZ1970" s="15" t="s">
        <v>452</v>
      </c>
      <c r="BA1970" s="15" t="s">
        <v>453</v>
      </c>
      <c r="BB1970" s="15" t="s">
        <v>37277</v>
      </c>
      <c r="BC1970" s="15" t="s">
        <v>37278</v>
      </c>
      <c r="BD1970" s="21">
        <v>4</v>
      </c>
      <c r="BE1970" s="15" t="s">
        <v>138</v>
      </c>
      <c r="BF1970" s="15" t="s">
        <v>138</v>
      </c>
      <c r="BG1970" s="15" t="s">
        <v>138</v>
      </c>
      <c r="BH1970" s="15" t="s">
        <v>37279</v>
      </c>
      <c r="BI1970" s="15" t="s">
        <v>138</v>
      </c>
      <c r="BJ1970" s="15" t="s">
        <v>138</v>
      </c>
      <c r="BK1970" s="15" t="s">
        <v>138</v>
      </c>
      <c r="BL1970" s="15" t="s">
        <v>138</v>
      </c>
      <c r="BM1970" s="22" t="s">
        <v>138</v>
      </c>
      <c r="BN1970" s="17">
        <v>1.25</v>
      </c>
      <c r="BO1970" s="15" t="s">
        <v>172</v>
      </c>
      <c r="BP1970" s="17" t="s">
        <v>138</v>
      </c>
      <c r="BQ1970" s="15" t="s">
        <v>138</v>
      </c>
      <c r="BR1970" s="15" t="s">
        <v>205</v>
      </c>
      <c r="BS1970" s="15" t="s">
        <v>138</v>
      </c>
      <c r="BT1970" s="15" t="s">
        <v>138</v>
      </c>
      <c r="BU1970" s="15" t="s">
        <v>174</v>
      </c>
      <c r="BV1970" s="15" t="s">
        <v>138</v>
      </c>
      <c r="BW1970" s="15" t="s">
        <v>138</v>
      </c>
      <c r="BX1970" s="15" t="s">
        <v>138</v>
      </c>
      <c r="BY1970" s="15" t="s">
        <v>175</v>
      </c>
      <c r="BZ1970" s="22">
        <v>37591</v>
      </c>
      <c r="CA1970" s="17" t="s">
        <v>138</v>
      </c>
      <c r="CB1970" s="15" t="s">
        <v>138</v>
      </c>
      <c r="CC1970" s="17" t="s">
        <v>138</v>
      </c>
      <c r="CD1970" s="15" t="s">
        <v>138</v>
      </c>
      <c r="CE1970" s="15" t="s">
        <v>205</v>
      </c>
      <c r="CF1970" s="15" t="s">
        <v>138</v>
      </c>
      <c r="CG1970" s="15" t="s">
        <v>138</v>
      </c>
      <c r="CH1970" s="15" t="s">
        <v>174</v>
      </c>
      <c r="CI1970" s="15" t="s">
        <v>138</v>
      </c>
      <c r="CJ1970" s="15" t="s">
        <v>138</v>
      </c>
      <c r="CK1970" s="15" t="s">
        <v>138</v>
      </c>
      <c r="CL1970" s="15" t="s">
        <v>175</v>
      </c>
      <c r="CM1970" s="22" t="s">
        <v>138</v>
      </c>
      <c r="CN1970" s="17" t="s">
        <v>138</v>
      </c>
      <c r="CO1970" s="23">
        <v>-5.87</v>
      </c>
      <c r="CP1970" s="24">
        <v>1</v>
      </c>
      <c r="CQ1970" s="23">
        <v>0</v>
      </c>
      <c r="CR1970" s="23">
        <v>0</v>
      </c>
      <c r="CS1970" s="23">
        <v>-5.87</v>
      </c>
      <c r="CT1970" s="24">
        <v>2</v>
      </c>
      <c r="CU1970" s="23" t="s">
        <v>138</v>
      </c>
      <c r="CV1970" s="24" t="s">
        <v>138</v>
      </c>
      <c r="CW1970" s="23" t="s">
        <v>138</v>
      </c>
      <c r="CX1970" s="24" t="s">
        <v>138</v>
      </c>
      <c r="CY1970" s="23">
        <v>-5.87</v>
      </c>
      <c r="CZ1970" s="24">
        <v>2</v>
      </c>
      <c r="DA1970" s="23" t="s">
        <v>138</v>
      </c>
      <c r="DB1970" s="24" t="s">
        <v>138</v>
      </c>
      <c r="DC1970" s="25">
        <v>16.55</v>
      </c>
      <c r="DD1970" s="24">
        <v>94</v>
      </c>
      <c r="DE1970" s="25">
        <v>0.03</v>
      </c>
      <c r="DF1970" s="23">
        <v>0.21</v>
      </c>
      <c r="DG1970" s="25">
        <v>16.55</v>
      </c>
      <c r="DH1970" s="24">
        <v>94</v>
      </c>
      <c r="DI1970" s="25" t="s">
        <v>138</v>
      </c>
      <c r="DJ1970" s="24" t="s">
        <v>138</v>
      </c>
      <c r="DK1970" s="25" t="s">
        <v>138</v>
      </c>
      <c r="DL1970" s="24" t="s">
        <v>138</v>
      </c>
      <c r="DM1970" s="25">
        <v>16.55</v>
      </c>
      <c r="DN1970" s="24">
        <v>93</v>
      </c>
      <c r="DO1970" s="25" t="s">
        <v>138</v>
      </c>
      <c r="DP1970" s="24" t="s">
        <v>138</v>
      </c>
      <c r="DQ1970" s="24" t="s">
        <v>138</v>
      </c>
      <c r="DR1970" s="26" t="s">
        <v>138</v>
      </c>
      <c r="DS1970" s="23" t="s">
        <v>138</v>
      </c>
      <c r="DT1970" s="24">
        <v>479</v>
      </c>
      <c r="DU1970" s="26">
        <v>0</v>
      </c>
      <c r="DV1970" s="23">
        <v>0</v>
      </c>
      <c r="DW1970" s="24" t="s">
        <v>138</v>
      </c>
      <c r="DX1970" s="27" t="s">
        <v>138</v>
      </c>
      <c r="DY1970" s="23" t="s">
        <v>138</v>
      </c>
      <c r="DZ1970" s="15" t="s">
        <v>178</v>
      </c>
      <c r="EA1970" s="22">
        <v>43351</v>
      </c>
      <c r="EB1970" s="17" t="s">
        <v>138</v>
      </c>
      <c r="EC1970" s="22" t="s">
        <v>138</v>
      </c>
      <c r="ED1970" s="15" t="s">
        <v>138</v>
      </c>
      <c r="EE1970" s="14" t="str">
        <f>HYPERLINK("https://my.pitchbook.com?c=55539-55", "View company online")</f>
        <v>View company online</v>
      </c>
    </row>
    <row r="1971" spans="1:135">
      <c r="A1971" s="28" t="s">
        <v>37280</v>
      </c>
      <c r="B1971" s="28" t="s">
        <v>37281</v>
      </c>
      <c r="C1971" s="28" t="s">
        <v>138</v>
      </c>
      <c r="D1971" s="28" t="s">
        <v>138</v>
      </c>
      <c r="E1971" s="28" t="s">
        <v>37282</v>
      </c>
      <c r="F1971" s="28" t="s">
        <v>37280</v>
      </c>
      <c r="G1971" s="28" t="s">
        <v>37283</v>
      </c>
      <c r="H1971" s="28" t="s">
        <v>141</v>
      </c>
      <c r="I1971" s="28" t="s">
        <v>142</v>
      </c>
      <c r="J1971" s="28" t="s">
        <v>1924</v>
      </c>
      <c r="K1971" s="28" t="s">
        <v>37284</v>
      </c>
      <c r="L1971" s="28" t="s">
        <v>3681</v>
      </c>
      <c r="M1971" s="28" t="s">
        <v>37285</v>
      </c>
      <c r="N1971" s="28" t="s">
        <v>147</v>
      </c>
      <c r="O1971" s="29">
        <v>12</v>
      </c>
      <c r="P1971" s="28" t="s">
        <v>610</v>
      </c>
      <c r="Q1971" s="28" t="s">
        <v>149</v>
      </c>
      <c r="R1971" s="28" t="s">
        <v>174</v>
      </c>
      <c r="S1971" s="28" t="s">
        <v>37286</v>
      </c>
      <c r="T1971" s="30">
        <v>8</v>
      </c>
      <c r="U1971" s="28" t="s">
        <v>37287</v>
      </c>
      <c r="V1971" s="28" t="s">
        <v>138</v>
      </c>
      <c r="W1971" s="28" t="s">
        <v>138</v>
      </c>
      <c r="X1971" s="31">
        <v>2015</v>
      </c>
      <c r="Y1971" s="28" t="s">
        <v>138</v>
      </c>
      <c r="Z1971" s="28" t="s">
        <v>138</v>
      </c>
      <c r="AA1971" s="28" t="s">
        <v>138</v>
      </c>
      <c r="AB1971" s="32" t="s">
        <v>138</v>
      </c>
      <c r="AC1971" s="32" t="s">
        <v>138</v>
      </c>
      <c r="AD1971" s="32" t="s">
        <v>138</v>
      </c>
      <c r="AE1971" s="32" t="s">
        <v>138</v>
      </c>
      <c r="AF1971" s="32" t="s">
        <v>138</v>
      </c>
      <c r="AG1971" s="28" t="s">
        <v>138</v>
      </c>
      <c r="AH1971" s="32" t="s">
        <v>138</v>
      </c>
      <c r="AI1971" s="32" t="s">
        <v>138</v>
      </c>
      <c r="AJ1971" s="32" t="s">
        <v>138</v>
      </c>
      <c r="AK1971" s="28" t="s">
        <v>37288</v>
      </c>
      <c r="AL1971" s="28" t="s">
        <v>37289</v>
      </c>
      <c r="AM1971" s="28" t="s">
        <v>304</v>
      </c>
      <c r="AN1971" s="28" t="s">
        <v>37290</v>
      </c>
      <c r="AO1971" s="28" t="s">
        <v>138</v>
      </c>
      <c r="AP1971" s="28" t="s">
        <v>11748</v>
      </c>
      <c r="AQ1971" s="28" t="s">
        <v>37291</v>
      </c>
      <c r="AR1971" s="28" t="s">
        <v>37292</v>
      </c>
      <c r="AS1971" s="28" t="s">
        <v>11750</v>
      </c>
      <c r="AT1971" s="28" t="s">
        <v>200</v>
      </c>
      <c r="AU1971" s="28" t="s">
        <v>11751</v>
      </c>
      <c r="AV1971" s="28" t="s">
        <v>162</v>
      </c>
      <c r="AW1971" s="28" t="s">
        <v>138</v>
      </c>
      <c r="AX1971" s="28" t="s">
        <v>138</v>
      </c>
      <c r="AY1971" s="28" t="s">
        <v>138</v>
      </c>
      <c r="AZ1971" s="28" t="s">
        <v>164</v>
      </c>
      <c r="BA1971" s="28" t="s">
        <v>165</v>
      </c>
      <c r="BB1971" s="28" t="s">
        <v>37293</v>
      </c>
      <c r="BC1971" s="28" t="s">
        <v>37294</v>
      </c>
      <c r="BD1971" s="33">
        <v>8</v>
      </c>
      <c r="BE1971" s="28" t="s">
        <v>138</v>
      </c>
      <c r="BF1971" s="28" t="s">
        <v>138</v>
      </c>
      <c r="BG1971" s="28" t="s">
        <v>138</v>
      </c>
      <c r="BH1971" s="28" t="s">
        <v>37295</v>
      </c>
      <c r="BI1971" s="28" t="s">
        <v>138</v>
      </c>
      <c r="BJ1971" s="28" t="s">
        <v>138</v>
      </c>
      <c r="BK1971" s="28" t="s">
        <v>1251</v>
      </c>
      <c r="BL1971" s="28" t="s">
        <v>1251</v>
      </c>
      <c r="BM1971" s="34" t="s">
        <v>138</v>
      </c>
      <c r="BN1971" s="29">
        <v>2</v>
      </c>
      <c r="BO1971" s="28" t="s">
        <v>172</v>
      </c>
      <c r="BP1971" s="29">
        <v>12.5</v>
      </c>
      <c r="BQ1971" s="28" t="s">
        <v>172</v>
      </c>
      <c r="BR1971" s="28" t="s">
        <v>234</v>
      </c>
      <c r="BS1971" s="28" t="s">
        <v>234</v>
      </c>
      <c r="BT1971" s="28" t="s">
        <v>138</v>
      </c>
      <c r="BU1971" s="28" t="s">
        <v>174</v>
      </c>
      <c r="BV1971" s="28" t="s">
        <v>138</v>
      </c>
      <c r="BW1971" s="28" t="s">
        <v>138</v>
      </c>
      <c r="BX1971" s="28" t="s">
        <v>138</v>
      </c>
      <c r="BY1971" s="28" t="s">
        <v>175</v>
      </c>
      <c r="BZ1971" s="34">
        <v>42858</v>
      </c>
      <c r="CA1971" s="29">
        <v>10</v>
      </c>
      <c r="CB1971" s="28" t="s">
        <v>172</v>
      </c>
      <c r="CC1971" s="29">
        <v>35</v>
      </c>
      <c r="CD1971" s="28" t="s">
        <v>172</v>
      </c>
      <c r="CE1971" s="28" t="s">
        <v>205</v>
      </c>
      <c r="CF1971" s="28" t="s">
        <v>206</v>
      </c>
      <c r="CG1971" s="28" t="s">
        <v>138</v>
      </c>
      <c r="CH1971" s="28" t="s">
        <v>174</v>
      </c>
      <c r="CI1971" s="28" t="s">
        <v>138</v>
      </c>
      <c r="CJ1971" s="28" t="s">
        <v>138</v>
      </c>
      <c r="CK1971" s="28" t="s">
        <v>138</v>
      </c>
      <c r="CL1971" s="28" t="s">
        <v>175</v>
      </c>
      <c r="CM1971" s="34" t="s">
        <v>138</v>
      </c>
      <c r="CN1971" s="29" t="s">
        <v>138</v>
      </c>
      <c r="CO1971" s="35">
        <v>0.99</v>
      </c>
      <c r="CP1971" s="36">
        <v>97</v>
      </c>
      <c r="CQ1971" s="35">
        <v>0.49</v>
      </c>
      <c r="CR1971" s="35">
        <v>98.47</v>
      </c>
      <c r="CS1971" s="35">
        <v>0.99</v>
      </c>
      <c r="CT1971" s="36">
        <v>97</v>
      </c>
      <c r="CU1971" s="35" t="s">
        <v>138</v>
      </c>
      <c r="CV1971" s="36" t="s">
        <v>138</v>
      </c>
      <c r="CW1971" s="35">
        <v>0.05</v>
      </c>
      <c r="CX1971" s="36">
        <v>80</v>
      </c>
      <c r="CY1971" s="35">
        <v>1.94</v>
      </c>
      <c r="CZ1971" s="36">
        <v>100</v>
      </c>
      <c r="DA1971" s="35" t="s">
        <v>138</v>
      </c>
      <c r="DB1971" s="36" t="s">
        <v>138</v>
      </c>
      <c r="DC1971" s="37">
        <v>5.27</v>
      </c>
      <c r="DD1971" s="36">
        <v>83</v>
      </c>
      <c r="DE1971" s="37">
        <v>-0.08</v>
      </c>
      <c r="DF1971" s="35">
        <v>-1.42</v>
      </c>
      <c r="DG1971" s="37">
        <v>5.27</v>
      </c>
      <c r="DH1971" s="36">
        <v>83</v>
      </c>
      <c r="DI1971" s="37" t="s">
        <v>138</v>
      </c>
      <c r="DJ1971" s="36" t="s">
        <v>138</v>
      </c>
      <c r="DK1971" s="37">
        <v>1.99</v>
      </c>
      <c r="DL1971" s="36">
        <v>64</v>
      </c>
      <c r="DM1971" s="37">
        <v>8.5500000000000007</v>
      </c>
      <c r="DN1971" s="36">
        <v>87</v>
      </c>
      <c r="DO1971" s="37" t="s">
        <v>138</v>
      </c>
      <c r="DP1971" s="36" t="s">
        <v>138</v>
      </c>
      <c r="DQ1971" s="36">
        <v>708</v>
      </c>
      <c r="DR1971" s="38">
        <v>-83</v>
      </c>
      <c r="DS1971" s="35">
        <v>-10.49</v>
      </c>
      <c r="DT1971" s="36">
        <v>246</v>
      </c>
      <c r="DU1971" s="38">
        <v>17</v>
      </c>
      <c r="DV1971" s="35">
        <v>7.42</v>
      </c>
      <c r="DW1971" s="36" t="s">
        <v>138</v>
      </c>
      <c r="DX1971" s="39" t="s">
        <v>138</v>
      </c>
      <c r="DY1971" s="35" t="s">
        <v>138</v>
      </c>
      <c r="DZ1971" s="28" t="s">
        <v>178</v>
      </c>
      <c r="EA1971" s="34">
        <v>43351</v>
      </c>
      <c r="EB1971" s="29">
        <v>35</v>
      </c>
      <c r="EC1971" s="34">
        <v>42858</v>
      </c>
      <c r="ED1971" s="28" t="s">
        <v>205</v>
      </c>
      <c r="EE1971" s="40" t="str">
        <f>HYPERLINK("https://my.pitchbook.com?c=163896-13", "View company online")</f>
        <v>View company online</v>
      </c>
    </row>
    <row r="1972" spans="1:135">
      <c r="A1972" s="15" t="s">
        <v>37296</v>
      </c>
      <c r="B1972" s="15" t="s">
        <v>37297</v>
      </c>
      <c r="C1972" s="15" t="s">
        <v>138</v>
      </c>
      <c r="D1972" s="15" t="s">
        <v>138</v>
      </c>
      <c r="E1972" s="15" t="s">
        <v>37298</v>
      </c>
      <c r="F1972" s="15" t="s">
        <v>37296</v>
      </c>
      <c r="G1972" s="15" t="s">
        <v>37299</v>
      </c>
      <c r="H1972" s="15" t="s">
        <v>322</v>
      </c>
      <c r="I1972" s="15" t="s">
        <v>323</v>
      </c>
      <c r="J1972" s="15" t="s">
        <v>324</v>
      </c>
      <c r="K1972" s="15" t="s">
        <v>1678</v>
      </c>
      <c r="L1972" s="15" t="s">
        <v>37300</v>
      </c>
      <c r="M1972" s="15" t="s">
        <v>37301</v>
      </c>
      <c r="N1972" s="15" t="s">
        <v>147</v>
      </c>
      <c r="O1972" s="17">
        <v>45.61</v>
      </c>
      <c r="P1972" s="15" t="s">
        <v>148</v>
      </c>
      <c r="Q1972" s="15" t="s">
        <v>149</v>
      </c>
      <c r="R1972" s="15" t="s">
        <v>174</v>
      </c>
      <c r="S1972" s="15" t="s">
        <v>37302</v>
      </c>
      <c r="T1972" s="18">
        <v>50</v>
      </c>
      <c r="U1972" s="15" t="s">
        <v>37303</v>
      </c>
      <c r="V1972" s="15" t="s">
        <v>138</v>
      </c>
      <c r="W1972" s="15" t="s">
        <v>138</v>
      </c>
      <c r="X1972" s="19">
        <v>2012</v>
      </c>
      <c r="Y1972" s="15" t="s">
        <v>138</v>
      </c>
      <c r="Z1972" s="15" t="s">
        <v>138</v>
      </c>
      <c r="AA1972" s="15" t="s">
        <v>138</v>
      </c>
      <c r="AB1972" s="20" t="s">
        <v>138</v>
      </c>
      <c r="AC1972" s="20" t="s">
        <v>138</v>
      </c>
      <c r="AD1972" s="20" t="s">
        <v>138</v>
      </c>
      <c r="AE1972" s="20" t="s">
        <v>138</v>
      </c>
      <c r="AF1972" s="20" t="s">
        <v>138</v>
      </c>
      <c r="AG1972" s="15" t="s">
        <v>138</v>
      </c>
      <c r="AH1972" s="20" t="s">
        <v>138</v>
      </c>
      <c r="AI1972" s="20" t="s">
        <v>138</v>
      </c>
      <c r="AJ1972" s="20" t="s">
        <v>138</v>
      </c>
      <c r="AK1972" s="15" t="s">
        <v>37304</v>
      </c>
      <c r="AL1972" s="15" t="s">
        <v>37305</v>
      </c>
      <c r="AM1972" s="15" t="s">
        <v>37306</v>
      </c>
      <c r="AN1972" s="15" t="s">
        <v>37307</v>
      </c>
      <c r="AO1972" s="15" t="s">
        <v>37308</v>
      </c>
      <c r="AP1972" s="15" t="s">
        <v>1195</v>
      </c>
      <c r="AQ1972" s="15" t="s">
        <v>37309</v>
      </c>
      <c r="AR1972" s="15" t="s">
        <v>37310</v>
      </c>
      <c r="AS1972" s="15" t="s">
        <v>1198</v>
      </c>
      <c r="AT1972" s="15" t="s">
        <v>138</v>
      </c>
      <c r="AU1972" s="15" t="s">
        <v>37311</v>
      </c>
      <c r="AV1972" s="15" t="s">
        <v>1200</v>
      </c>
      <c r="AW1972" s="15" t="s">
        <v>37308</v>
      </c>
      <c r="AX1972" s="15" t="s">
        <v>37312</v>
      </c>
      <c r="AY1972" s="15" t="s">
        <v>37313</v>
      </c>
      <c r="AZ1972" s="15" t="s">
        <v>452</v>
      </c>
      <c r="BA1972" s="15" t="s">
        <v>453</v>
      </c>
      <c r="BB1972" s="15" t="s">
        <v>37314</v>
      </c>
      <c r="BC1972" s="15" t="s">
        <v>37315</v>
      </c>
      <c r="BD1972" s="21">
        <v>18</v>
      </c>
      <c r="BE1972" s="15" t="s">
        <v>138</v>
      </c>
      <c r="BF1972" s="15" t="s">
        <v>138</v>
      </c>
      <c r="BG1972" s="15" t="s">
        <v>138</v>
      </c>
      <c r="BH1972" s="15" t="s">
        <v>37316</v>
      </c>
      <c r="BI1972" s="15" t="s">
        <v>138</v>
      </c>
      <c r="BJ1972" s="15" t="s">
        <v>138</v>
      </c>
      <c r="BK1972" s="15" t="s">
        <v>138</v>
      </c>
      <c r="BL1972" s="15" t="s">
        <v>138</v>
      </c>
      <c r="BM1972" s="22">
        <v>41640</v>
      </c>
      <c r="BN1972" s="17" t="s">
        <v>138</v>
      </c>
      <c r="BO1972" s="15" t="s">
        <v>138</v>
      </c>
      <c r="BP1972" s="17" t="s">
        <v>138</v>
      </c>
      <c r="BQ1972" s="15" t="s">
        <v>138</v>
      </c>
      <c r="BR1972" s="15" t="s">
        <v>316</v>
      </c>
      <c r="BS1972" s="15" t="s">
        <v>138</v>
      </c>
      <c r="BT1972" s="15" t="s">
        <v>138</v>
      </c>
      <c r="BU1972" s="15" t="s">
        <v>177</v>
      </c>
      <c r="BV1972" s="15" t="s">
        <v>138</v>
      </c>
      <c r="BW1972" s="15" t="s">
        <v>138</v>
      </c>
      <c r="BX1972" s="15" t="s">
        <v>138</v>
      </c>
      <c r="BY1972" s="15" t="s">
        <v>175</v>
      </c>
      <c r="BZ1972" s="22">
        <v>43280</v>
      </c>
      <c r="CA1972" s="17">
        <v>38.4</v>
      </c>
      <c r="CB1972" s="15" t="s">
        <v>172</v>
      </c>
      <c r="CC1972" s="17" t="s">
        <v>138</v>
      </c>
      <c r="CD1972" s="15" t="s">
        <v>138</v>
      </c>
      <c r="CE1972" s="15" t="s">
        <v>173</v>
      </c>
      <c r="CF1972" s="15" t="s">
        <v>317</v>
      </c>
      <c r="CG1972" s="15" t="s">
        <v>138</v>
      </c>
      <c r="CH1972" s="15" t="s">
        <v>174</v>
      </c>
      <c r="CI1972" s="15" t="s">
        <v>138</v>
      </c>
      <c r="CJ1972" s="15" t="s">
        <v>138</v>
      </c>
      <c r="CK1972" s="15" t="s">
        <v>138</v>
      </c>
      <c r="CL1972" s="15" t="s">
        <v>175</v>
      </c>
      <c r="CM1972" s="22" t="s">
        <v>138</v>
      </c>
      <c r="CN1972" s="17" t="s">
        <v>138</v>
      </c>
      <c r="CO1972" s="23">
        <v>0.82</v>
      </c>
      <c r="CP1972" s="24">
        <v>97</v>
      </c>
      <c r="CQ1972" s="23">
        <v>0</v>
      </c>
      <c r="CR1972" s="23">
        <v>-0.41</v>
      </c>
      <c r="CS1972" s="23">
        <v>0</v>
      </c>
      <c r="CT1972" s="24">
        <v>23</v>
      </c>
      <c r="CU1972" s="23">
        <v>1.63</v>
      </c>
      <c r="CV1972" s="24">
        <v>99</v>
      </c>
      <c r="CW1972" s="23">
        <v>0</v>
      </c>
      <c r="CX1972" s="24">
        <v>13</v>
      </c>
      <c r="CY1972" s="23" t="s">
        <v>138</v>
      </c>
      <c r="CZ1972" s="24" t="s">
        <v>138</v>
      </c>
      <c r="DA1972" s="23">
        <v>2.74</v>
      </c>
      <c r="DB1972" s="24">
        <v>100</v>
      </c>
      <c r="DC1972" s="25">
        <v>2.61</v>
      </c>
      <c r="DD1972" s="24">
        <v>72</v>
      </c>
      <c r="DE1972" s="25">
        <v>0</v>
      </c>
      <c r="DF1972" s="23">
        <v>-0.16</v>
      </c>
      <c r="DG1972" s="25">
        <v>0.22</v>
      </c>
      <c r="DH1972" s="24">
        <v>18</v>
      </c>
      <c r="DI1972" s="25">
        <v>4.99</v>
      </c>
      <c r="DJ1972" s="24">
        <v>77</v>
      </c>
      <c r="DK1972" s="25">
        <v>0.22</v>
      </c>
      <c r="DL1972" s="24">
        <v>16</v>
      </c>
      <c r="DM1972" s="25" t="s">
        <v>138</v>
      </c>
      <c r="DN1972" s="24" t="s">
        <v>138</v>
      </c>
      <c r="DO1972" s="25">
        <v>4.18</v>
      </c>
      <c r="DP1972" s="24">
        <v>76</v>
      </c>
      <c r="DQ1972" s="24">
        <v>103</v>
      </c>
      <c r="DR1972" s="26">
        <v>-86</v>
      </c>
      <c r="DS1972" s="23">
        <v>-45.5</v>
      </c>
      <c r="DT1972" s="24" t="s">
        <v>138</v>
      </c>
      <c r="DU1972" s="26" t="s">
        <v>138</v>
      </c>
      <c r="DV1972" s="23" t="s">
        <v>138</v>
      </c>
      <c r="DW1972" s="24">
        <v>1493</v>
      </c>
      <c r="DX1972" s="27">
        <v>12</v>
      </c>
      <c r="DY1972" s="23">
        <v>0.81</v>
      </c>
      <c r="DZ1972" s="15" t="s">
        <v>178</v>
      </c>
      <c r="EA1972" s="22">
        <v>43439</v>
      </c>
      <c r="EB1972" s="17" t="s">
        <v>138</v>
      </c>
      <c r="EC1972" s="22" t="s">
        <v>138</v>
      </c>
      <c r="ED1972" s="15" t="s">
        <v>138</v>
      </c>
      <c r="EE1972" s="14" t="str">
        <f>HYPERLINK("https://my.pitchbook.com?c=108643-87", "View company online")</f>
        <v>View company online</v>
      </c>
    </row>
    <row r="1973" spans="1:135">
      <c r="A1973" s="28" t="s">
        <v>37317</v>
      </c>
      <c r="B1973" s="28" t="s">
        <v>37318</v>
      </c>
      <c r="C1973" s="28" t="s">
        <v>37319</v>
      </c>
      <c r="D1973" s="28" t="s">
        <v>138</v>
      </c>
      <c r="E1973" s="28" t="s">
        <v>37320</v>
      </c>
      <c r="F1973" s="28" t="s">
        <v>37317</v>
      </c>
      <c r="G1973" s="28" t="s">
        <v>37321</v>
      </c>
      <c r="H1973" s="28" t="s">
        <v>322</v>
      </c>
      <c r="I1973" s="28" t="s">
        <v>323</v>
      </c>
      <c r="J1973" s="28" t="s">
        <v>413</v>
      </c>
      <c r="K1973" s="28" t="s">
        <v>37322</v>
      </c>
      <c r="L1973" s="28" t="s">
        <v>32215</v>
      </c>
      <c r="M1973" s="28" t="s">
        <v>37323</v>
      </c>
      <c r="N1973" s="28" t="s">
        <v>147</v>
      </c>
      <c r="O1973" s="29">
        <v>62.52</v>
      </c>
      <c r="P1973" s="28" t="s">
        <v>148</v>
      </c>
      <c r="Q1973" s="28" t="s">
        <v>149</v>
      </c>
      <c r="R1973" s="28" t="s">
        <v>174</v>
      </c>
      <c r="S1973" s="28" t="s">
        <v>37324</v>
      </c>
      <c r="T1973" s="30">
        <v>100</v>
      </c>
      <c r="U1973" s="28" t="s">
        <v>37325</v>
      </c>
      <c r="V1973" s="28" t="s">
        <v>138</v>
      </c>
      <c r="W1973" s="28" t="s">
        <v>138</v>
      </c>
      <c r="X1973" s="31">
        <v>2015</v>
      </c>
      <c r="Y1973" s="28" t="s">
        <v>138</v>
      </c>
      <c r="Z1973" s="28" t="s">
        <v>138</v>
      </c>
      <c r="AA1973" s="28" t="s">
        <v>138</v>
      </c>
      <c r="AB1973" s="32">
        <v>20</v>
      </c>
      <c r="AC1973" s="32" t="s">
        <v>138</v>
      </c>
      <c r="AD1973" s="32" t="s">
        <v>138</v>
      </c>
      <c r="AE1973" s="32" t="s">
        <v>138</v>
      </c>
      <c r="AF1973" s="32" t="s">
        <v>138</v>
      </c>
      <c r="AG1973" s="28" t="s">
        <v>419</v>
      </c>
      <c r="AH1973" s="32" t="s">
        <v>138</v>
      </c>
      <c r="AI1973" s="32" t="s">
        <v>138</v>
      </c>
      <c r="AJ1973" s="32" t="s">
        <v>138</v>
      </c>
      <c r="AK1973" s="28" t="s">
        <v>37326</v>
      </c>
      <c r="AL1973" s="28" t="s">
        <v>37327</v>
      </c>
      <c r="AM1973" s="28" t="s">
        <v>4192</v>
      </c>
      <c r="AN1973" s="28" t="s">
        <v>37328</v>
      </c>
      <c r="AO1973" s="28" t="s">
        <v>138</v>
      </c>
      <c r="AP1973" s="28" t="s">
        <v>423</v>
      </c>
      <c r="AQ1973" s="28" t="s">
        <v>37329</v>
      </c>
      <c r="AR1973" s="28" t="s">
        <v>138</v>
      </c>
      <c r="AS1973" s="28" t="s">
        <v>426</v>
      </c>
      <c r="AT1973" s="28" t="s">
        <v>426</v>
      </c>
      <c r="AU1973" s="28" t="s">
        <v>12267</v>
      </c>
      <c r="AV1973" s="28" t="s">
        <v>162</v>
      </c>
      <c r="AW1973" s="28" t="s">
        <v>138</v>
      </c>
      <c r="AX1973" s="28" t="s">
        <v>138</v>
      </c>
      <c r="AY1973" s="28" t="s">
        <v>37330</v>
      </c>
      <c r="AZ1973" s="28" t="s">
        <v>164</v>
      </c>
      <c r="BA1973" s="28" t="s">
        <v>165</v>
      </c>
      <c r="BB1973" s="28" t="s">
        <v>37331</v>
      </c>
      <c r="BC1973" s="28" t="s">
        <v>37332</v>
      </c>
      <c r="BD1973" s="33">
        <v>14</v>
      </c>
      <c r="BE1973" s="28" t="s">
        <v>138</v>
      </c>
      <c r="BF1973" s="28" t="s">
        <v>138</v>
      </c>
      <c r="BG1973" s="28" t="s">
        <v>138</v>
      </c>
      <c r="BH1973" s="28" t="s">
        <v>37333</v>
      </c>
      <c r="BI1973" s="28" t="s">
        <v>138</v>
      </c>
      <c r="BJ1973" s="28" t="s">
        <v>138</v>
      </c>
      <c r="BK1973" s="28" t="s">
        <v>37334</v>
      </c>
      <c r="BL1973" s="28" t="s">
        <v>138</v>
      </c>
      <c r="BM1973" s="34">
        <v>42522</v>
      </c>
      <c r="BN1973" s="29">
        <v>1.52</v>
      </c>
      <c r="BO1973" s="28" t="s">
        <v>172</v>
      </c>
      <c r="BP1973" s="29" t="s">
        <v>138</v>
      </c>
      <c r="BQ1973" s="28" t="s">
        <v>138</v>
      </c>
      <c r="BR1973" s="28" t="s">
        <v>234</v>
      </c>
      <c r="BS1973" s="28" t="s">
        <v>234</v>
      </c>
      <c r="BT1973" s="28" t="s">
        <v>138</v>
      </c>
      <c r="BU1973" s="28" t="s">
        <v>174</v>
      </c>
      <c r="BV1973" s="28" t="s">
        <v>138</v>
      </c>
      <c r="BW1973" s="28" t="s">
        <v>138</v>
      </c>
      <c r="BX1973" s="28" t="s">
        <v>138</v>
      </c>
      <c r="BY1973" s="28" t="s">
        <v>175</v>
      </c>
      <c r="BZ1973" s="34">
        <v>43271</v>
      </c>
      <c r="CA1973" s="29" t="s">
        <v>138</v>
      </c>
      <c r="CB1973" s="28" t="s">
        <v>138</v>
      </c>
      <c r="CC1973" s="29" t="s">
        <v>138</v>
      </c>
      <c r="CD1973" s="28" t="s">
        <v>138</v>
      </c>
      <c r="CE1973" s="28" t="s">
        <v>316</v>
      </c>
      <c r="CF1973" s="28" t="s">
        <v>138</v>
      </c>
      <c r="CG1973" s="28" t="s">
        <v>138</v>
      </c>
      <c r="CH1973" s="28" t="s">
        <v>177</v>
      </c>
      <c r="CI1973" s="28" t="s">
        <v>138</v>
      </c>
      <c r="CJ1973" s="28" t="s">
        <v>138</v>
      </c>
      <c r="CK1973" s="28" t="s">
        <v>138</v>
      </c>
      <c r="CL1973" s="28" t="s">
        <v>175</v>
      </c>
      <c r="CM1973" s="34" t="s">
        <v>138</v>
      </c>
      <c r="CN1973" s="29" t="s">
        <v>138</v>
      </c>
      <c r="CO1973" s="35">
        <v>0.76</v>
      </c>
      <c r="CP1973" s="36">
        <v>96</v>
      </c>
      <c r="CQ1973" s="35">
        <v>-0.05</v>
      </c>
      <c r="CR1973" s="35">
        <v>-6.36</v>
      </c>
      <c r="CS1973" s="35">
        <v>1.97</v>
      </c>
      <c r="CT1973" s="36">
        <v>98</v>
      </c>
      <c r="CU1973" s="35">
        <v>0.11</v>
      </c>
      <c r="CV1973" s="36">
        <v>70</v>
      </c>
      <c r="CW1973" s="35">
        <v>4.1399999999999997</v>
      </c>
      <c r="CX1973" s="36">
        <v>94</v>
      </c>
      <c r="CY1973" s="35">
        <v>-0.2</v>
      </c>
      <c r="CZ1973" s="36">
        <v>24</v>
      </c>
      <c r="DA1973" s="35">
        <v>0.11</v>
      </c>
      <c r="DB1973" s="36">
        <v>73</v>
      </c>
      <c r="DC1973" s="37">
        <v>349.32</v>
      </c>
      <c r="DD1973" s="36">
        <v>100</v>
      </c>
      <c r="DE1973" s="37">
        <v>4.17</v>
      </c>
      <c r="DF1973" s="35">
        <v>1.21</v>
      </c>
      <c r="DG1973" s="37">
        <v>206.26</v>
      </c>
      <c r="DH1973" s="36">
        <v>100</v>
      </c>
      <c r="DI1973" s="37">
        <v>37.380000000000003</v>
      </c>
      <c r="DJ1973" s="36">
        <v>94</v>
      </c>
      <c r="DK1973" s="37">
        <v>396.69</v>
      </c>
      <c r="DL1973" s="36">
        <v>100</v>
      </c>
      <c r="DM1973" s="37">
        <v>15.83</v>
      </c>
      <c r="DN1973" s="36">
        <v>93</v>
      </c>
      <c r="DO1973" s="37">
        <v>37.380000000000003</v>
      </c>
      <c r="DP1973" s="36">
        <v>95</v>
      </c>
      <c r="DQ1973" s="36">
        <v>133896</v>
      </c>
      <c r="DR1973" s="38">
        <v>6507</v>
      </c>
      <c r="DS1973" s="35">
        <v>5.1100000000000003</v>
      </c>
      <c r="DT1973" s="36">
        <v>458</v>
      </c>
      <c r="DU1973" s="38">
        <v>3</v>
      </c>
      <c r="DV1973" s="35">
        <v>0.66</v>
      </c>
      <c r="DW1973" s="36">
        <v>13382</v>
      </c>
      <c r="DX1973" s="39">
        <v>12</v>
      </c>
      <c r="DY1973" s="35">
        <v>0.09</v>
      </c>
      <c r="DZ1973" s="28" t="s">
        <v>178</v>
      </c>
      <c r="EA1973" s="34">
        <v>43622</v>
      </c>
      <c r="EB1973" s="29">
        <v>200</v>
      </c>
      <c r="EC1973" s="34">
        <v>43271</v>
      </c>
      <c r="ED1973" s="28" t="s">
        <v>173</v>
      </c>
      <c r="EE1973" s="40" t="str">
        <f>HYPERLINK("https://my.pitchbook.com?c=113724-55", "View company online")</f>
        <v>View company online</v>
      </c>
    </row>
    <row r="1974" spans="1:135">
      <c r="A1974" s="15" t="s">
        <v>37335</v>
      </c>
      <c r="B1974" s="15" t="s">
        <v>37336</v>
      </c>
      <c r="C1974" s="15" t="s">
        <v>138</v>
      </c>
      <c r="D1974" s="15" t="s">
        <v>138</v>
      </c>
      <c r="E1974" s="15" t="s">
        <v>25711</v>
      </c>
      <c r="F1974" s="15" t="s">
        <v>37335</v>
      </c>
      <c r="G1974" s="15" t="s">
        <v>37337</v>
      </c>
      <c r="H1974" s="15" t="s">
        <v>322</v>
      </c>
      <c r="I1974" s="15" t="s">
        <v>323</v>
      </c>
      <c r="J1974" s="15" t="s">
        <v>324</v>
      </c>
      <c r="K1974" s="15" t="s">
        <v>37338</v>
      </c>
      <c r="L1974" s="15" t="s">
        <v>4025</v>
      </c>
      <c r="M1974" s="15" t="s">
        <v>37339</v>
      </c>
      <c r="N1974" s="15" t="s">
        <v>147</v>
      </c>
      <c r="O1974" s="17">
        <v>17.62</v>
      </c>
      <c r="P1974" s="15" t="s">
        <v>148</v>
      </c>
      <c r="Q1974" s="15" t="s">
        <v>149</v>
      </c>
      <c r="R1974" s="15" t="s">
        <v>174</v>
      </c>
      <c r="S1974" s="15" t="s">
        <v>37340</v>
      </c>
      <c r="T1974" s="18">
        <v>68</v>
      </c>
      <c r="U1974" s="15" t="s">
        <v>26287</v>
      </c>
      <c r="V1974" s="15" t="s">
        <v>138</v>
      </c>
      <c r="W1974" s="15" t="s">
        <v>138</v>
      </c>
      <c r="X1974" s="19">
        <v>2009</v>
      </c>
      <c r="Y1974" s="15" t="s">
        <v>138</v>
      </c>
      <c r="Z1974" s="15" t="s">
        <v>138</v>
      </c>
      <c r="AA1974" s="15" t="s">
        <v>138</v>
      </c>
      <c r="AB1974" s="20" t="s">
        <v>138</v>
      </c>
      <c r="AC1974" s="20" t="s">
        <v>138</v>
      </c>
      <c r="AD1974" s="20" t="s">
        <v>138</v>
      </c>
      <c r="AE1974" s="20" t="s">
        <v>138</v>
      </c>
      <c r="AF1974" s="20" t="s">
        <v>138</v>
      </c>
      <c r="AG1974" s="15" t="s">
        <v>138</v>
      </c>
      <c r="AH1974" s="20" t="s">
        <v>138</v>
      </c>
      <c r="AI1974" s="20" t="s">
        <v>138</v>
      </c>
      <c r="AJ1974" s="20" t="s">
        <v>138</v>
      </c>
      <c r="AK1974" s="15" t="s">
        <v>37341</v>
      </c>
      <c r="AL1974" s="15" t="s">
        <v>37342</v>
      </c>
      <c r="AM1974" s="15" t="s">
        <v>37343</v>
      </c>
      <c r="AN1974" s="15" t="s">
        <v>37344</v>
      </c>
      <c r="AO1974" s="15" t="s">
        <v>37345</v>
      </c>
      <c r="AP1974" s="15" t="s">
        <v>1195</v>
      </c>
      <c r="AQ1974" s="15" t="s">
        <v>37346</v>
      </c>
      <c r="AR1974" s="15" t="s">
        <v>37347</v>
      </c>
      <c r="AS1974" s="15" t="s">
        <v>1198</v>
      </c>
      <c r="AT1974" s="15" t="s">
        <v>1341</v>
      </c>
      <c r="AU1974" s="15" t="s">
        <v>37348</v>
      </c>
      <c r="AV1974" s="15" t="s">
        <v>1200</v>
      </c>
      <c r="AW1974" s="15" t="s">
        <v>37345</v>
      </c>
      <c r="AX1974" s="15" t="s">
        <v>138</v>
      </c>
      <c r="AY1974" s="15" t="s">
        <v>37349</v>
      </c>
      <c r="AZ1974" s="15" t="s">
        <v>452</v>
      </c>
      <c r="BA1974" s="15" t="s">
        <v>453</v>
      </c>
      <c r="BB1974" s="15" t="s">
        <v>37350</v>
      </c>
      <c r="BC1974" s="15" t="s">
        <v>37351</v>
      </c>
      <c r="BD1974" s="21">
        <v>9</v>
      </c>
      <c r="BE1974" s="15" t="s">
        <v>138</v>
      </c>
      <c r="BF1974" s="15" t="s">
        <v>138</v>
      </c>
      <c r="BG1974" s="15" t="s">
        <v>138</v>
      </c>
      <c r="BH1974" s="15" t="s">
        <v>37352</v>
      </c>
      <c r="BI1974" s="15" t="s">
        <v>138</v>
      </c>
      <c r="BJ1974" s="15" t="s">
        <v>138</v>
      </c>
      <c r="BK1974" s="15" t="s">
        <v>138</v>
      </c>
      <c r="BL1974" s="15" t="s">
        <v>138</v>
      </c>
      <c r="BM1974" s="22">
        <v>41438</v>
      </c>
      <c r="BN1974" s="17">
        <v>6.4</v>
      </c>
      <c r="BO1974" s="15" t="s">
        <v>172</v>
      </c>
      <c r="BP1974" s="17" t="s">
        <v>138</v>
      </c>
      <c r="BQ1974" s="15" t="s">
        <v>138</v>
      </c>
      <c r="BR1974" s="15" t="s">
        <v>205</v>
      </c>
      <c r="BS1974" s="15" t="s">
        <v>138</v>
      </c>
      <c r="BT1974" s="15" t="s">
        <v>138</v>
      </c>
      <c r="BU1974" s="15" t="s">
        <v>174</v>
      </c>
      <c r="BV1974" s="15" t="s">
        <v>138</v>
      </c>
      <c r="BW1974" s="15" t="s">
        <v>138</v>
      </c>
      <c r="BX1974" s="15" t="s">
        <v>138</v>
      </c>
      <c r="BY1974" s="15" t="s">
        <v>175</v>
      </c>
      <c r="BZ1974" s="22">
        <v>42710</v>
      </c>
      <c r="CA1974" s="17">
        <v>2.59</v>
      </c>
      <c r="CB1974" s="15" t="s">
        <v>172</v>
      </c>
      <c r="CC1974" s="17" t="s">
        <v>138</v>
      </c>
      <c r="CD1974" s="15" t="s">
        <v>138</v>
      </c>
      <c r="CE1974" s="15" t="s">
        <v>173</v>
      </c>
      <c r="CF1974" s="15" t="s">
        <v>138</v>
      </c>
      <c r="CG1974" s="15" t="s">
        <v>138</v>
      </c>
      <c r="CH1974" s="15" t="s">
        <v>174</v>
      </c>
      <c r="CI1974" s="15" t="s">
        <v>138</v>
      </c>
      <c r="CJ1974" s="15" t="s">
        <v>138</v>
      </c>
      <c r="CK1974" s="15" t="s">
        <v>138</v>
      </c>
      <c r="CL1974" s="15" t="s">
        <v>175</v>
      </c>
      <c r="CM1974" s="22" t="s">
        <v>138</v>
      </c>
      <c r="CN1974" s="17" t="s">
        <v>138</v>
      </c>
      <c r="CO1974" s="23">
        <v>-0.09</v>
      </c>
      <c r="CP1974" s="24">
        <v>21</v>
      </c>
      <c r="CQ1974" s="23">
        <v>0</v>
      </c>
      <c r="CR1974" s="23">
        <v>0</v>
      </c>
      <c r="CS1974" s="23" t="s">
        <v>138</v>
      </c>
      <c r="CT1974" s="24" t="s">
        <v>138</v>
      </c>
      <c r="CU1974" s="23">
        <v>-0.09</v>
      </c>
      <c r="CV1974" s="24">
        <v>5</v>
      </c>
      <c r="CW1974" s="23" t="s">
        <v>138</v>
      </c>
      <c r="CX1974" s="24" t="s">
        <v>138</v>
      </c>
      <c r="CY1974" s="23" t="s">
        <v>138</v>
      </c>
      <c r="CZ1974" s="24" t="s">
        <v>138</v>
      </c>
      <c r="DA1974" s="23">
        <v>-0.25</v>
      </c>
      <c r="DB1974" s="24">
        <v>1</v>
      </c>
      <c r="DC1974" s="25">
        <v>0.55000000000000004</v>
      </c>
      <c r="DD1974" s="24">
        <v>36</v>
      </c>
      <c r="DE1974" s="25">
        <v>0</v>
      </c>
      <c r="DF1974" s="23">
        <v>0.14000000000000001</v>
      </c>
      <c r="DG1974" s="25" t="s">
        <v>138</v>
      </c>
      <c r="DH1974" s="24" t="s">
        <v>138</v>
      </c>
      <c r="DI1974" s="25">
        <v>0.55000000000000004</v>
      </c>
      <c r="DJ1974" s="24">
        <v>38</v>
      </c>
      <c r="DK1974" s="25" t="s">
        <v>138</v>
      </c>
      <c r="DL1974" s="24" t="s">
        <v>138</v>
      </c>
      <c r="DM1974" s="25" t="s">
        <v>138</v>
      </c>
      <c r="DN1974" s="24" t="s">
        <v>138</v>
      </c>
      <c r="DO1974" s="25">
        <v>0.41</v>
      </c>
      <c r="DP1974" s="24">
        <v>35</v>
      </c>
      <c r="DQ1974" s="24" t="s">
        <v>138</v>
      </c>
      <c r="DR1974" s="26" t="s">
        <v>138</v>
      </c>
      <c r="DS1974" s="23" t="s">
        <v>138</v>
      </c>
      <c r="DT1974" s="24" t="s">
        <v>138</v>
      </c>
      <c r="DU1974" s="26" t="s">
        <v>138</v>
      </c>
      <c r="DV1974" s="23" t="s">
        <v>138</v>
      </c>
      <c r="DW1974" s="24">
        <v>147</v>
      </c>
      <c r="DX1974" s="27">
        <v>0</v>
      </c>
      <c r="DY1974" s="23">
        <v>0</v>
      </c>
      <c r="DZ1974" s="15" t="s">
        <v>178</v>
      </c>
      <c r="EA1974" s="22">
        <v>43523</v>
      </c>
      <c r="EB1974" s="17" t="s">
        <v>138</v>
      </c>
      <c r="EC1974" s="22" t="s">
        <v>138</v>
      </c>
      <c r="ED1974" s="15" t="s">
        <v>138</v>
      </c>
      <c r="EE1974" s="14" t="str">
        <f>HYPERLINK("https://my.pitchbook.com?c=57456-64", "View company online")</f>
        <v>View company online</v>
      </c>
    </row>
    <row r="1975" spans="1:135">
      <c r="A1975" s="28" t="s">
        <v>37353</v>
      </c>
      <c r="B1975" s="28" t="s">
        <v>37354</v>
      </c>
      <c r="C1975" s="28" t="s">
        <v>138</v>
      </c>
      <c r="D1975" s="28" t="s">
        <v>138</v>
      </c>
      <c r="E1975" s="28" t="s">
        <v>37355</v>
      </c>
      <c r="F1975" s="28" t="s">
        <v>37353</v>
      </c>
      <c r="G1975" s="28" t="s">
        <v>37356</v>
      </c>
      <c r="H1975" s="28" t="s">
        <v>141</v>
      </c>
      <c r="I1975" s="28" t="s">
        <v>212</v>
      </c>
      <c r="J1975" s="28" t="s">
        <v>213</v>
      </c>
      <c r="K1975" s="28" t="s">
        <v>1064</v>
      </c>
      <c r="L1975" s="28" t="s">
        <v>2236</v>
      </c>
      <c r="M1975" s="28" t="s">
        <v>37357</v>
      </c>
      <c r="N1975" s="28" t="s">
        <v>147</v>
      </c>
      <c r="O1975" s="29">
        <v>3.69</v>
      </c>
      <c r="P1975" s="28" t="s">
        <v>148</v>
      </c>
      <c r="Q1975" s="28" t="s">
        <v>149</v>
      </c>
      <c r="R1975" s="28" t="s">
        <v>174</v>
      </c>
      <c r="S1975" s="28" t="s">
        <v>37358</v>
      </c>
      <c r="T1975" s="30">
        <v>5</v>
      </c>
      <c r="U1975" s="28" t="s">
        <v>3592</v>
      </c>
      <c r="V1975" s="28" t="s">
        <v>138</v>
      </c>
      <c r="W1975" s="28" t="s">
        <v>138</v>
      </c>
      <c r="X1975" s="31">
        <v>2015</v>
      </c>
      <c r="Y1975" s="28" t="s">
        <v>138</v>
      </c>
      <c r="Z1975" s="28" t="s">
        <v>138</v>
      </c>
      <c r="AA1975" s="28" t="s">
        <v>138</v>
      </c>
      <c r="AB1975" s="32" t="s">
        <v>138</v>
      </c>
      <c r="AC1975" s="32" t="s">
        <v>138</v>
      </c>
      <c r="AD1975" s="32" t="s">
        <v>138</v>
      </c>
      <c r="AE1975" s="32" t="s">
        <v>138</v>
      </c>
      <c r="AF1975" s="32" t="s">
        <v>138</v>
      </c>
      <c r="AG1975" s="28" t="s">
        <v>138</v>
      </c>
      <c r="AH1975" s="32" t="s">
        <v>138</v>
      </c>
      <c r="AI1975" s="32" t="s">
        <v>138</v>
      </c>
      <c r="AJ1975" s="32" t="s">
        <v>138</v>
      </c>
      <c r="AK1975" s="28" t="s">
        <v>37359</v>
      </c>
      <c r="AL1975" s="28" t="s">
        <v>37360</v>
      </c>
      <c r="AM1975" s="28" t="s">
        <v>5401</v>
      </c>
      <c r="AN1975" s="28" t="s">
        <v>37361</v>
      </c>
      <c r="AO1975" s="28" t="s">
        <v>138</v>
      </c>
      <c r="AP1975" s="28" t="s">
        <v>820</v>
      </c>
      <c r="AQ1975" s="28" t="s">
        <v>37362</v>
      </c>
      <c r="AR1975" s="28" t="s">
        <v>138</v>
      </c>
      <c r="AS1975" s="28" t="s">
        <v>823</v>
      </c>
      <c r="AT1975" s="28" t="s">
        <v>824</v>
      </c>
      <c r="AU1975" s="28" t="s">
        <v>37363</v>
      </c>
      <c r="AV1975" s="28" t="s">
        <v>526</v>
      </c>
      <c r="AW1975" s="28" t="s">
        <v>138</v>
      </c>
      <c r="AX1975" s="28" t="s">
        <v>138</v>
      </c>
      <c r="AY1975" s="28" t="s">
        <v>138</v>
      </c>
      <c r="AZ1975" s="28" t="s">
        <v>530</v>
      </c>
      <c r="BA1975" s="28" t="s">
        <v>531</v>
      </c>
      <c r="BB1975" s="28" t="s">
        <v>37364</v>
      </c>
      <c r="BC1975" s="28" t="s">
        <v>37365</v>
      </c>
      <c r="BD1975" s="33">
        <v>7</v>
      </c>
      <c r="BE1975" s="28" t="s">
        <v>138</v>
      </c>
      <c r="BF1975" s="28" t="s">
        <v>138</v>
      </c>
      <c r="BG1975" s="28" t="s">
        <v>138</v>
      </c>
      <c r="BH1975" s="28" t="s">
        <v>37366</v>
      </c>
      <c r="BI1975" s="28" t="s">
        <v>138</v>
      </c>
      <c r="BJ1975" s="28" t="s">
        <v>138</v>
      </c>
      <c r="BK1975" s="28" t="s">
        <v>9799</v>
      </c>
      <c r="BL1975" s="28" t="s">
        <v>138</v>
      </c>
      <c r="BM1975" s="34">
        <v>42522</v>
      </c>
      <c r="BN1975" s="29" t="s">
        <v>138</v>
      </c>
      <c r="BO1975" s="28" t="s">
        <v>138</v>
      </c>
      <c r="BP1975" s="29" t="s">
        <v>138</v>
      </c>
      <c r="BQ1975" s="28" t="s">
        <v>138</v>
      </c>
      <c r="BR1975" s="28" t="s">
        <v>316</v>
      </c>
      <c r="BS1975" s="28" t="s">
        <v>138</v>
      </c>
      <c r="BT1975" s="28" t="s">
        <v>138</v>
      </c>
      <c r="BU1975" s="28" t="s">
        <v>177</v>
      </c>
      <c r="BV1975" s="28" t="s">
        <v>138</v>
      </c>
      <c r="BW1975" s="28" t="s">
        <v>138</v>
      </c>
      <c r="BX1975" s="28" t="s">
        <v>138</v>
      </c>
      <c r="BY1975" s="28" t="s">
        <v>175</v>
      </c>
      <c r="BZ1975" s="34">
        <v>43276</v>
      </c>
      <c r="CA1975" s="29">
        <v>3.12</v>
      </c>
      <c r="CB1975" s="28" t="s">
        <v>172</v>
      </c>
      <c r="CC1975" s="29">
        <v>9.2200000000000006</v>
      </c>
      <c r="CD1975" s="28" t="s">
        <v>172</v>
      </c>
      <c r="CE1975" s="28" t="s">
        <v>234</v>
      </c>
      <c r="CF1975" s="28" t="s">
        <v>234</v>
      </c>
      <c r="CG1975" s="28" t="s">
        <v>138</v>
      </c>
      <c r="CH1975" s="28" t="s">
        <v>174</v>
      </c>
      <c r="CI1975" s="28" t="s">
        <v>138</v>
      </c>
      <c r="CJ1975" s="28" t="s">
        <v>138</v>
      </c>
      <c r="CK1975" s="28" t="s">
        <v>138</v>
      </c>
      <c r="CL1975" s="28" t="s">
        <v>175</v>
      </c>
      <c r="CM1975" s="34" t="s">
        <v>138</v>
      </c>
      <c r="CN1975" s="29" t="s">
        <v>138</v>
      </c>
      <c r="CO1975" s="35">
        <v>0.3</v>
      </c>
      <c r="CP1975" s="36">
        <v>94</v>
      </c>
      <c r="CQ1975" s="35">
        <v>-0.05</v>
      </c>
      <c r="CR1975" s="35">
        <v>-13.23</v>
      </c>
      <c r="CS1975" s="35">
        <v>0.41</v>
      </c>
      <c r="CT1975" s="36">
        <v>95</v>
      </c>
      <c r="CU1975" s="35">
        <v>0.18</v>
      </c>
      <c r="CV1975" s="36">
        <v>78</v>
      </c>
      <c r="CW1975" s="35" t="s">
        <v>138</v>
      </c>
      <c r="CX1975" s="36" t="s">
        <v>138</v>
      </c>
      <c r="CY1975" s="35">
        <v>0.41</v>
      </c>
      <c r="CZ1975" s="36">
        <v>98</v>
      </c>
      <c r="DA1975" s="35">
        <v>0.36</v>
      </c>
      <c r="DB1975" s="36">
        <v>91</v>
      </c>
      <c r="DC1975" s="37">
        <v>18.62</v>
      </c>
      <c r="DD1975" s="36">
        <v>94</v>
      </c>
      <c r="DE1975" s="37">
        <v>0.09</v>
      </c>
      <c r="DF1975" s="35">
        <v>0.48</v>
      </c>
      <c r="DG1975" s="37">
        <v>36.79</v>
      </c>
      <c r="DH1975" s="36">
        <v>97</v>
      </c>
      <c r="DI1975" s="37">
        <v>0.45</v>
      </c>
      <c r="DJ1975" s="36">
        <v>35</v>
      </c>
      <c r="DK1975" s="37" t="s">
        <v>138</v>
      </c>
      <c r="DL1975" s="36" t="s">
        <v>138</v>
      </c>
      <c r="DM1975" s="37">
        <v>36.79</v>
      </c>
      <c r="DN1975" s="36">
        <v>97</v>
      </c>
      <c r="DO1975" s="37">
        <v>0.89</v>
      </c>
      <c r="DP1975" s="36">
        <v>48</v>
      </c>
      <c r="DQ1975" s="36" t="s">
        <v>138</v>
      </c>
      <c r="DR1975" s="38" t="s">
        <v>138</v>
      </c>
      <c r="DS1975" s="35" t="s">
        <v>138</v>
      </c>
      <c r="DT1975" s="36">
        <v>1064</v>
      </c>
      <c r="DU1975" s="38">
        <v>4</v>
      </c>
      <c r="DV1975" s="35">
        <v>0.38</v>
      </c>
      <c r="DW1975" s="36">
        <v>318</v>
      </c>
      <c r="DX1975" s="39">
        <v>1</v>
      </c>
      <c r="DY1975" s="35">
        <v>0.32</v>
      </c>
      <c r="DZ1975" s="28" t="s">
        <v>178</v>
      </c>
      <c r="EA1975" s="34">
        <v>43448</v>
      </c>
      <c r="EB1975" s="29">
        <v>9.2200000000000006</v>
      </c>
      <c r="EC1975" s="34">
        <v>43276</v>
      </c>
      <c r="ED1975" s="28" t="s">
        <v>234</v>
      </c>
      <c r="EE1975" s="40" t="str">
        <f>HYPERLINK("https://my.pitchbook.com?c=168962-86", "View company online")</f>
        <v>View company online</v>
      </c>
    </row>
    <row r="1976" spans="1:135">
      <c r="A1976" s="15" t="s">
        <v>37367</v>
      </c>
      <c r="B1976" s="15" t="s">
        <v>37368</v>
      </c>
      <c r="C1976" s="15" t="s">
        <v>138</v>
      </c>
      <c r="D1976" s="15" t="s">
        <v>138</v>
      </c>
      <c r="E1976" s="15" t="s">
        <v>37369</v>
      </c>
      <c r="F1976" s="15" t="s">
        <v>37367</v>
      </c>
      <c r="G1976" s="15" t="s">
        <v>37370</v>
      </c>
      <c r="H1976" s="15" t="s">
        <v>322</v>
      </c>
      <c r="I1976" s="15" t="s">
        <v>323</v>
      </c>
      <c r="J1976" s="15" t="s">
        <v>539</v>
      </c>
      <c r="K1976" s="15" t="s">
        <v>19824</v>
      </c>
      <c r="L1976" s="15" t="s">
        <v>415</v>
      </c>
      <c r="M1976" s="15" t="s">
        <v>37371</v>
      </c>
      <c r="N1976" s="15" t="s">
        <v>147</v>
      </c>
      <c r="O1976" s="17">
        <v>50</v>
      </c>
      <c r="P1976" s="15" t="s">
        <v>812</v>
      </c>
      <c r="Q1976" s="15" t="s">
        <v>149</v>
      </c>
      <c r="R1976" s="15" t="s">
        <v>174</v>
      </c>
      <c r="S1976" s="15" t="s">
        <v>37372</v>
      </c>
      <c r="T1976" s="18">
        <v>1104</v>
      </c>
      <c r="U1976" s="15" t="s">
        <v>37373</v>
      </c>
      <c r="V1976" s="15" t="s">
        <v>138</v>
      </c>
      <c r="W1976" s="15" t="s">
        <v>138</v>
      </c>
      <c r="X1976" s="19">
        <v>2008</v>
      </c>
      <c r="Y1976" s="15" t="s">
        <v>138</v>
      </c>
      <c r="Z1976" s="15" t="s">
        <v>138</v>
      </c>
      <c r="AA1976" s="15" t="s">
        <v>138</v>
      </c>
      <c r="AB1976" s="20">
        <v>60</v>
      </c>
      <c r="AC1976" s="20" t="s">
        <v>138</v>
      </c>
      <c r="AD1976" s="20" t="s">
        <v>138</v>
      </c>
      <c r="AE1976" s="20" t="s">
        <v>138</v>
      </c>
      <c r="AF1976" s="20" t="s">
        <v>138</v>
      </c>
      <c r="AG1976" s="15" t="s">
        <v>419</v>
      </c>
      <c r="AH1976" s="20" t="s">
        <v>138</v>
      </c>
      <c r="AI1976" s="20" t="s">
        <v>138</v>
      </c>
      <c r="AJ1976" s="20" t="s">
        <v>138</v>
      </c>
      <c r="AK1976" s="15" t="s">
        <v>37374</v>
      </c>
      <c r="AL1976" s="15" t="s">
        <v>37375</v>
      </c>
      <c r="AM1976" s="15" t="s">
        <v>4810</v>
      </c>
      <c r="AN1976" s="15" t="s">
        <v>37376</v>
      </c>
      <c r="AO1976" s="15" t="s">
        <v>37377</v>
      </c>
      <c r="AP1976" s="15" t="s">
        <v>8993</v>
      </c>
      <c r="AQ1976" s="15" t="s">
        <v>37378</v>
      </c>
      <c r="AR1976" s="15" t="s">
        <v>37379</v>
      </c>
      <c r="AS1976" s="15" t="s">
        <v>8996</v>
      </c>
      <c r="AT1976" s="15" t="s">
        <v>8997</v>
      </c>
      <c r="AU1976" s="15" t="s">
        <v>15482</v>
      </c>
      <c r="AV1976" s="15" t="s">
        <v>8999</v>
      </c>
      <c r="AW1976" s="15" t="s">
        <v>37380</v>
      </c>
      <c r="AX1976" s="15" t="s">
        <v>138</v>
      </c>
      <c r="AY1976" s="15" t="s">
        <v>138</v>
      </c>
      <c r="AZ1976" s="15" t="s">
        <v>9001</v>
      </c>
      <c r="BA1976" s="15" t="s">
        <v>9001</v>
      </c>
      <c r="BB1976" s="15" t="s">
        <v>37381</v>
      </c>
      <c r="BC1976" s="15" t="s">
        <v>37382</v>
      </c>
      <c r="BD1976" s="21">
        <v>9</v>
      </c>
      <c r="BE1976" s="15" t="s">
        <v>138</v>
      </c>
      <c r="BF1976" s="15" t="s">
        <v>138</v>
      </c>
      <c r="BG1976" s="15" t="s">
        <v>138</v>
      </c>
      <c r="BH1976" s="15" t="s">
        <v>37383</v>
      </c>
      <c r="BI1976" s="15" t="s">
        <v>138</v>
      </c>
      <c r="BJ1976" s="15" t="s">
        <v>138</v>
      </c>
      <c r="BK1976" s="15" t="s">
        <v>37384</v>
      </c>
      <c r="BL1976" s="15" t="s">
        <v>1275</v>
      </c>
      <c r="BM1976" s="22" t="s">
        <v>138</v>
      </c>
      <c r="BN1976" s="17" t="s">
        <v>138</v>
      </c>
      <c r="BO1976" s="15" t="s">
        <v>138</v>
      </c>
      <c r="BP1976" s="17" t="s">
        <v>138</v>
      </c>
      <c r="BQ1976" s="15" t="s">
        <v>138</v>
      </c>
      <c r="BR1976" s="15" t="s">
        <v>234</v>
      </c>
      <c r="BS1976" s="15" t="s">
        <v>234</v>
      </c>
      <c r="BT1976" s="15" t="s">
        <v>138</v>
      </c>
      <c r="BU1976" s="15" t="s">
        <v>174</v>
      </c>
      <c r="BV1976" s="15" t="s">
        <v>138</v>
      </c>
      <c r="BW1976" s="15" t="s">
        <v>138</v>
      </c>
      <c r="BX1976" s="15" t="s">
        <v>138</v>
      </c>
      <c r="BY1976" s="15" t="s">
        <v>175</v>
      </c>
      <c r="BZ1976" s="22">
        <v>42109</v>
      </c>
      <c r="CA1976" s="17">
        <v>15</v>
      </c>
      <c r="CB1976" s="15" t="s">
        <v>172</v>
      </c>
      <c r="CC1976" s="17" t="s">
        <v>138</v>
      </c>
      <c r="CD1976" s="15" t="s">
        <v>138</v>
      </c>
      <c r="CE1976" s="15" t="s">
        <v>173</v>
      </c>
      <c r="CF1976" s="15" t="s">
        <v>720</v>
      </c>
      <c r="CG1976" s="15" t="s">
        <v>138</v>
      </c>
      <c r="CH1976" s="15" t="s">
        <v>174</v>
      </c>
      <c r="CI1976" s="15" t="s">
        <v>138</v>
      </c>
      <c r="CJ1976" s="15" t="s">
        <v>138</v>
      </c>
      <c r="CK1976" s="15" t="s">
        <v>138</v>
      </c>
      <c r="CL1976" s="15" t="s">
        <v>175</v>
      </c>
      <c r="CM1976" s="22" t="s">
        <v>138</v>
      </c>
      <c r="CN1976" s="17" t="s">
        <v>138</v>
      </c>
      <c r="CO1976" s="23">
        <v>0.04</v>
      </c>
      <c r="CP1976" s="24">
        <v>87</v>
      </c>
      <c r="CQ1976" s="23">
        <v>0</v>
      </c>
      <c r="CR1976" s="23">
        <v>-7.41</v>
      </c>
      <c r="CS1976" s="23">
        <v>-0.21</v>
      </c>
      <c r="CT1976" s="24">
        <v>22</v>
      </c>
      <c r="CU1976" s="23">
        <v>0.28999999999999998</v>
      </c>
      <c r="CV1976" s="24">
        <v>87</v>
      </c>
      <c r="CW1976" s="23">
        <v>1.36</v>
      </c>
      <c r="CX1976" s="24">
        <v>86</v>
      </c>
      <c r="CY1976" s="23">
        <v>-1.78</v>
      </c>
      <c r="CZ1976" s="24">
        <v>13</v>
      </c>
      <c r="DA1976" s="23">
        <v>0.49</v>
      </c>
      <c r="DB1976" s="24">
        <v>94</v>
      </c>
      <c r="DC1976" s="25">
        <v>384.56</v>
      </c>
      <c r="DD1976" s="24">
        <v>100</v>
      </c>
      <c r="DE1976" s="25">
        <v>-38.119999999999997</v>
      </c>
      <c r="DF1976" s="23">
        <v>-9.02</v>
      </c>
      <c r="DG1976" s="25">
        <v>641.07000000000005</v>
      </c>
      <c r="DH1976" s="24">
        <v>100</v>
      </c>
      <c r="DI1976" s="25">
        <v>128.06</v>
      </c>
      <c r="DJ1976" s="24">
        <v>98</v>
      </c>
      <c r="DK1976" s="25">
        <v>1191.07</v>
      </c>
      <c r="DL1976" s="24">
        <v>100</v>
      </c>
      <c r="DM1976" s="25">
        <v>91.07</v>
      </c>
      <c r="DN1976" s="24">
        <v>99</v>
      </c>
      <c r="DO1976" s="25">
        <v>33.18</v>
      </c>
      <c r="DP1976" s="24">
        <v>95</v>
      </c>
      <c r="DQ1976" s="24">
        <v>403966</v>
      </c>
      <c r="DR1976" s="26">
        <v>13709</v>
      </c>
      <c r="DS1976" s="23">
        <v>3.51</v>
      </c>
      <c r="DT1976" s="24">
        <v>2637</v>
      </c>
      <c r="DU1976" s="26">
        <v>8</v>
      </c>
      <c r="DV1976" s="23">
        <v>0.3</v>
      </c>
      <c r="DW1976" s="24">
        <v>11866</v>
      </c>
      <c r="DX1976" s="27">
        <v>40</v>
      </c>
      <c r="DY1976" s="23">
        <v>0.34</v>
      </c>
      <c r="DZ1976" s="15" t="s">
        <v>178</v>
      </c>
      <c r="EA1976" s="22">
        <v>43622</v>
      </c>
      <c r="EB1976" s="17">
        <v>47.66</v>
      </c>
      <c r="EC1976" s="22">
        <v>40661</v>
      </c>
      <c r="ED1976" s="15" t="s">
        <v>205</v>
      </c>
      <c r="EE1976" s="14" t="str">
        <f>HYPERLINK("https://my.pitchbook.com?c=52141-06", "View company online")</f>
        <v>View company online</v>
      </c>
    </row>
    <row r="1977" spans="1:135">
      <c r="A1977" s="28" t="s">
        <v>37385</v>
      </c>
      <c r="B1977" s="28" t="s">
        <v>37386</v>
      </c>
      <c r="C1977" s="28" t="s">
        <v>138</v>
      </c>
      <c r="D1977" s="28" t="s">
        <v>138</v>
      </c>
      <c r="E1977" s="28" t="s">
        <v>37387</v>
      </c>
      <c r="F1977" s="28" t="s">
        <v>37385</v>
      </c>
      <c r="G1977" s="28" t="s">
        <v>37388</v>
      </c>
      <c r="H1977" s="28" t="s">
        <v>141</v>
      </c>
      <c r="I1977" s="28" t="s">
        <v>142</v>
      </c>
      <c r="J1977" s="28" t="s">
        <v>1924</v>
      </c>
      <c r="K1977" s="28" t="s">
        <v>4744</v>
      </c>
      <c r="L1977" s="28" t="s">
        <v>415</v>
      </c>
      <c r="M1977" s="28" t="s">
        <v>37389</v>
      </c>
      <c r="N1977" s="28" t="s">
        <v>147</v>
      </c>
      <c r="O1977" s="29">
        <v>74</v>
      </c>
      <c r="P1977" s="28" t="s">
        <v>148</v>
      </c>
      <c r="Q1977" s="28" t="s">
        <v>149</v>
      </c>
      <c r="R1977" s="28" t="s">
        <v>174</v>
      </c>
      <c r="S1977" s="28" t="s">
        <v>37390</v>
      </c>
      <c r="T1977" s="30">
        <v>80</v>
      </c>
      <c r="U1977" s="28" t="s">
        <v>37391</v>
      </c>
      <c r="V1977" s="28" t="s">
        <v>138</v>
      </c>
      <c r="W1977" s="28" t="s">
        <v>138</v>
      </c>
      <c r="X1977" s="31">
        <v>2012</v>
      </c>
      <c r="Y1977" s="28" t="s">
        <v>138</v>
      </c>
      <c r="Z1977" s="28" t="s">
        <v>138</v>
      </c>
      <c r="AA1977" s="28" t="s">
        <v>138</v>
      </c>
      <c r="AB1977" s="32" t="s">
        <v>138</v>
      </c>
      <c r="AC1977" s="32" t="s">
        <v>138</v>
      </c>
      <c r="AD1977" s="32" t="s">
        <v>138</v>
      </c>
      <c r="AE1977" s="32" t="s">
        <v>138</v>
      </c>
      <c r="AF1977" s="32" t="s">
        <v>138</v>
      </c>
      <c r="AG1977" s="28" t="s">
        <v>138</v>
      </c>
      <c r="AH1977" s="32" t="s">
        <v>138</v>
      </c>
      <c r="AI1977" s="32" t="s">
        <v>138</v>
      </c>
      <c r="AJ1977" s="32" t="s">
        <v>138</v>
      </c>
      <c r="AK1977" s="28" t="s">
        <v>37392</v>
      </c>
      <c r="AL1977" s="28" t="s">
        <v>37393</v>
      </c>
      <c r="AM1977" s="28" t="s">
        <v>2794</v>
      </c>
      <c r="AN1977" s="28" t="s">
        <v>37394</v>
      </c>
      <c r="AO1977" s="28" t="s">
        <v>37395</v>
      </c>
      <c r="AP1977" s="28" t="s">
        <v>1292</v>
      </c>
      <c r="AQ1977" s="28" t="s">
        <v>37396</v>
      </c>
      <c r="AR1977" s="28" t="s">
        <v>138</v>
      </c>
      <c r="AS1977" s="28" t="s">
        <v>1294</v>
      </c>
      <c r="AT1977" s="28" t="s">
        <v>864</v>
      </c>
      <c r="AU1977" s="28" t="s">
        <v>8420</v>
      </c>
      <c r="AV1977" s="28" t="s">
        <v>162</v>
      </c>
      <c r="AW1977" s="28" t="s">
        <v>37395</v>
      </c>
      <c r="AX1977" s="28" t="s">
        <v>138</v>
      </c>
      <c r="AY1977" s="28" t="s">
        <v>37397</v>
      </c>
      <c r="AZ1977" s="28" t="s">
        <v>164</v>
      </c>
      <c r="BA1977" s="28" t="s">
        <v>165</v>
      </c>
      <c r="BB1977" s="28" t="s">
        <v>37398</v>
      </c>
      <c r="BC1977" s="28" t="s">
        <v>37399</v>
      </c>
      <c r="BD1977" s="33">
        <v>29</v>
      </c>
      <c r="BE1977" s="28" t="s">
        <v>138</v>
      </c>
      <c r="BF1977" s="28" t="s">
        <v>138</v>
      </c>
      <c r="BG1977" s="28" t="s">
        <v>138</v>
      </c>
      <c r="BH1977" s="28" t="s">
        <v>37400</v>
      </c>
      <c r="BI1977" s="28" t="s">
        <v>138</v>
      </c>
      <c r="BJ1977" s="28" t="s">
        <v>138</v>
      </c>
      <c r="BK1977" s="28" t="s">
        <v>1691</v>
      </c>
      <c r="BL1977" s="28" t="s">
        <v>27146</v>
      </c>
      <c r="BM1977" s="34">
        <v>41249</v>
      </c>
      <c r="BN1977" s="29">
        <v>8.49</v>
      </c>
      <c r="BO1977" s="28" t="s">
        <v>172</v>
      </c>
      <c r="BP1977" s="29">
        <v>16.5</v>
      </c>
      <c r="BQ1977" s="28" t="s">
        <v>172</v>
      </c>
      <c r="BR1977" s="28" t="s">
        <v>205</v>
      </c>
      <c r="BS1977" s="28" t="s">
        <v>206</v>
      </c>
      <c r="BT1977" s="28" t="s">
        <v>138</v>
      </c>
      <c r="BU1977" s="28" t="s">
        <v>174</v>
      </c>
      <c r="BV1977" s="28" t="s">
        <v>138</v>
      </c>
      <c r="BW1977" s="28" t="s">
        <v>138</v>
      </c>
      <c r="BX1977" s="28" t="s">
        <v>138</v>
      </c>
      <c r="BY1977" s="28" t="s">
        <v>175</v>
      </c>
      <c r="BZ1977" s="34">
        <v>43584</v>
      </c>
      <c r="CA1977" s="29">
        <v>17.5</v>
      </c>
      <c r="CB1977" s="28" t="s">
        <v>172</v>
      </c>
      <c r="CC1977" s="29" t="s">
        <v>138</v>
      </c>
      <c r="CD1977" s="28" t="s">
        <v>138</v>
      </c>
      <c r="CE1977" s="28" t="s">
        <v>173</v>
      </c>
      <c r="CF1977" s="28" t="s">
        <v>482</v>
      </c>
      <c r="CG1977" s="28" t="s">
        <v>138</v>
      </c>
      <c r="CH1977" s="28" t="s">
        <v>174</v>
      </c>
      <c r="CI1977" s="28" t="s">
        <v>138</v>
      </c>
      <c r="CJ1977" s="28" t="s">
        <v>138</v>
      </c>
      <c r="CK1977" s="28" t="s">
        <v>138</v>
      </c>
      <c r="CL1977" s="28" t="s">
        <v>175</v>
      </c>
      <c r="CM1977" s="34">
        <v>42809</v>
      </c>
      <c r="CN1977" s="29">
        <v>7.5</v>
      </c>
      <c r="CO1977" s="35">
        <v>0.2</v>
      </c>
      <c r="CP1977" s="36">
        <v>92</v>
      </c>
      <c r="CQ1977" s="35">
        <v>0</v>
      </c>
      <c r="CR1977" s="35">
        <v>-0.35</v>
      </c>
      <c r="CS1977" s="35">
        <v>0</v>
      </c>
      <c r="CT1977" s="36">
        <v>23</v>
      </c>
      <c r="CU1977" s="35">
        <v>0.39</v>
      </c>
      <c r="CV1977" s="36">
        <v>91</v>
      </c>
      <c r="CW1977" s="35">
        <v>0</v>
      </c>
      <c r="CX1977" s="36">
        <v>13</v>
      </c>
      <c r="CY1977" s="35">
        <v>0</v>
      </c>
      <c r="CZ1977" s="36">
        <v>25</v>
      </c>
      <c r="DA1977" s="35">
        <v>0.39</v>
      </c>
      <c r="DB1977" s="36">
        <v>92</v>
      </c>
      <c r="DC1977" s="37">
        <v>2.3199999999999998</v>
      </c>
      <c r="DD1977" s="36">
        <v>70</v>
      </c>
      <c r="DE1977" s="37">
        <v>-7.0000000000000007E-2</v>
      </c>
      <c r="DF1977" s="35">
        <v>-2.78</v>
      </c>
      <c r="DG1977" s="37">
        <v>3.02</v>
      </c>
      <c r="DH1977" s="36">
        <v>75</v>
      </c>
      <c r="DI1977" s="37">
        <v>1.63</v>
      </c>
      <c r="DJ1977" s="36">
        <v>58</v>
      </c>
      <c r="DK1977" s="37">
        <v>2.79</v>
      </c>
      <c r="DL1977" s="36">
        <v>70</v>
      </c>
      <c r="DM1977" s="37">
        <v>3.24</v>
      </c>
      <c r="DN1977" s="36">
        <v>75</v>
      </c>
      <c r="DO1977" s="37">
        <v>1.63</v>
      </c>
      <c r="DP1977" s="36">
        <v>60</v>
      </c>
      <c r="DQ1977" s="36">
        <v>932</v>
      </c>
      <c r="DR1977" s="38">
        <v>77</v>
      </c>
      <c r="DS1977" s="35">
        <v>9.01</v>
      </c>
      <c r="DT1977" s="36">
        <v>93</v>
      </c>
      <c r="DU1977" s="38">
        <v>2</v>
      </c>
      <c r="DV1977" s="35">
        <v>2.2000000000000002</v>
      </c>
      <c r="DW1977" s="36">
        <v>581</v>
      </c>
      <c r="DX1977" s="39">
        <v>2</v>
      </c>
      <c r="DY1977" s="35">
        <v>0.35</v>
      </c>
      <c r="DZ1977" s="28" t="s">
        <v>178</v>
      </c>
      <c r="EA1977" s="34">
        <v>43587</v>
      </c>
      <c r="EB1977" s="29">
        <v>175</v>
      </c>
      <c r="EC1977" s="34">
        <v>42809</v>
      </c>
      <c r="ED1977" s="28" t="s">
        <v>173</v>
      </c>
      <c r="EE1977" s="40" t="str">
        <f>HYPERLINK("https://my.pitchbook.com?c=55145-80", "View company online")</f>
        <v>View company online</v>
      </c>
    </row>
    <row r="1978" spans="1:135">
      <c r="A1978" s="15" t="s">
        <v>37401</v>
      </c>
      <c r="B1978" s="15" t="s">
        <v>37402</v>
      </c>
      <c r="C1978" s="15" t="s">
        <v>138</v>
      </c>
      <c r="D1978" s="15" t="s">
        <v>138</v>
      </c>
      <c r="E1978" s="15" t="s">
        <v>37403</v>
      </c>
      <c r="F1978" s="15" t="s">
        <v>37401</v>
      </c>
      <c r="G1978" s="15" t="s">
        <v>37404</v>
      </c>
      <c r="H1978" s="15" t="s">
        <v>322</v>
      </c>
      <c r="I1978" s="15" t="s">
        <v>323</v>
      </c>
      <c r="J1978" s="15" t="s">
        <v>539</v>
      </c>
      <c r="K1978" s="15" t="s">
        <v>3441</v>
      </c>
      <c r="L1978" s="15" t="s">
        <v>14259</v>
      </c>
      <c r="M1978" s="15" t="s">
        <v>37405</v>
      </c>
      <c r="N1978" s="15" t="s">
        <v>147</v>
      </c>
      <c r="O1978" s="17">
        <v>42.22</v>
      </c>
      <c r="P1978" s="15" t="s">
        <v>148</v>
      </c>
      <c r="Q1978" s="15" t="s">
        <v>149</v>
      </c>
      <c r="R1978" s="15" t="s">
        <v>174</v>
      </c>
      <c r="S1978" s="15" t="s">
        <v>37406</v>
      </c>
      <c r="T1978" s="18">
        <v>70</v>
      </c>
      <c r="U1978" s="15" t="s">
        <v>37407</v>
      </c>
      <c r="V1978" s="15" t="s">
        <v>138</v>
      </c>
      <c r="W1978" s="15" t="s">
        <v>138</v>
      </c>
      <c r="X1978" s="19">
        <v>2014</v>
      </c>
      <c r="Y1978" s="15" t="s">
        <v>138</v>
      </c>
      <c r="Z1978" s="15" t="s">
        <v>138</v>
      </c>
      <c r="AA1978" s="15" t="s">
        <v>138</v>
      </c>
      <c r="AB1978" s="20" t="s">
        <v>138</v>
      </c>
      <c r="AC1978" s="20" t="s">
        <v>138</v>
      </c>
      <c r="AD1978" s="20" t="s">
        <v>138</v>
      </c>
      <c r="AE1978" s="20" t="s">
        <v>138</v>
      </c>
      <c r="AF1978" s="20" t="s">
        <v>138</v>
      </c>
      <c r="AG1978" s="15" t="s">
        <v>138</v>
      </c>
      <c r="AH1978" s="20" t="s">
        <v>138</v>
      </c>
      <c r="AI1978" s="20" t="s">
        <v>138</v>
      </c>
      <c r="AJ1978" s="20" t="s">
        <v>138</v>
      </c>
      <c r="AK1978" s="15" t="s">
        <v>30949</v>
      </c>
      <c r="AL1978" s="15" t="s">
        <v>30950</v>
      </c>
      <c r="AM1978" s="15" t="s">
        <v>37408</v>
      </c>
      <c r="AN1978" s="15" t="s">
        <v>30951</v>
      </c>
      <c r="AO1978" s="15" t="s">
        <v>30952</v>
      </c>
      <c r="AP1978" s="15" t="s">
        <v>1870</v>
      </c>
      <c r="AQ1978" s="15" t="s">
        <v>37409</v>
      </c>
      <c r="AR1978" s="15" t="s">
        <v>28687</v>
      </c>
      <c r="AS1978" s="15" t="s">
        <v>1872</v>
      </c>
      <c r="AT1978" s="15" t="s">
        <v>200</v>
      </c>
      <c r="AU1978" s="15" t="s">
        <v>37410</v>
      </c>
      <c r="AV1978" s="15" t="s">
        <v>162</v>
      </c>
      <c r="AW1978" s="15" t="s">
        <v>138</v>
      </c>
      <c r="AX1978" s="15" t="s">
        <v>138</v>
      </c>
      <c r="AY1978" s="15" t="s">
        <v>37411</v>
      </c>
      <c r="AZ1978" s="15" t="s">
        <v>164</v>
      </c>
      <c r="BA1978" s="15" t="s">
        <v>165</v>
      </c>
      <c r="BB1978" s="15" t="s">
        <v>37412</v>
      </c>
      <c r="BC1978" s="15" t="s">
        <v>37413</v>
      </c>
      <c r="BD1978" s="21">
        <v>29</v>
      </c>
      <c r="BE1978" s="15" t="s">
        <v>138</v>
      </c>
      <c r="BF1978" s="15" t="s">
        <v>138</v>
      </c>
      <c r="BG1978" s="15" t="s">
        <v>138</v>
      </c>
      <c r="BH1978" s="15" t="s">
        <v>37414</v>
      </c>
      <c r="BI1978" s="15" t="s">
        <v>138</v>
      </c>
      <c r="BJ1978" s="15" t="s">
        <v>138</v>
      </c>
      <c r="BK1978" s="15" t="s">
        <v>290</v>
      </c>
      <c r="BL1978" s="15" t="s">
        <v>290</v>
      </c>
      <c r="BM1978" s="22">
        <v>41821</v>
      </c>
      <c r="BN1978" s="17">
        <v>1</v>
      </c>
      <c r="BO1978" s="15" t="s">
        <v>172</v>
      </c>
      <c r="BP1978" s="17" t="s">
        <v>138</v>
      </c>
      <c r="BQ1978" s="15" t="s">
        <v>138</v>
      </c>
      <c r="BR1978" s="15" t="s">
        <v>262</v>
      </c>
      <c r="BS1978" s="15" t="s">
        <v>262</v>
      </c>
      <c r="BT1978" s="15" t="s">
        <v>138</v>
      </c>
      <c r="BU1978" s="15" t="s">
        <v>263</v>
      </c>
      <c r="BV1978" s="15" t="s">
        <v>138</v>
      </c>
      <c r="BW1978" s="15" t="s">
        <v>138</v>
      </c>
      <c r="BX1978" s="15" t="s">
        <v>138</v>
      </c>
      <c r="BY1978" s="15" t="s">
        <v>175</v>
      </c>
      <c r="BZ1978" s="22">
        <v>42779</v>
      </c>
      <c r="CA1978" s="17">
        <v>26.74</v>
      </c>
      <c r="CB1978" s="15" t="s">
        <v>172</v>
      </c>
      <c r="CC1978" s="17">
        <v>81.739999999999995</v>
      </c>
      <c r="CD1978" s="15" t="s">
        <v>172</v>
      </c>
      <c r="CE1978" s="15" t="s">
        <v>205</v>
      </c>
      <c r="CF1978" s="15" t="s">
        <v>720</v>
      </c>
      <c r="CG1978" s="15" t="s">
        <v>138</v>
      </c>
      <c r="CH1978" s="15" t="s">
        <v>174</v>
      </c>
      <c r="CI1978" s="15" t="s">
        <v>138</v>
      </c>
      <c r="CJ1978" s="15" t="s">
        <v>138</v>
      </c>
      <c r="CK1978" s="15" t="s">
        <v>138</v>
      </c>
      <c r="CL1978" s="15" t="s">
        <v>175</v>
      </c>
      <c r="CM1978" s="22" t="s">
        <v>138</v>
      </c>
      <c r="CN1978" s="17" t="s">
        <v>138</v>
      </c>
      <c r="CO1978" s="23">
        <v>1.66</v>
      </c>
      <c r="CP1978" s="24">
        <v>98</v>
      </c>
      <c r="CQ1978" s="23">
        <v>0</v>
      </c>
      <c r="CR1978" s="23">
        <v>0.2</v>
      </c>
      <c r="CS1978" s="23">
        <v>3.27</v>
      </c>
      <c r="CT1978" s="24">
        <v>99</v>
      </c>
      <c r="CU1978" s="23">
        <v>0.04</v>
      </c>
      <c r="CV1978" s="24">
        <v>56</v>
      </c>
      <c r="CW1978" s="23">
        <v>6.55</v>
      </c>
      <c r="CX1978" s="24">
        <v>97</v>
      </c>
      <c r="CY1978" s="23">
        <v>0</v>
      </c>
      <c r="CZ1978" s="24">
        <v>25</v>
      </c>
      <c r="DA1978" s="23">
        <v>0.06</v>
      </c>
      <c r="DB1978" s="24">
        <v>65</v>
      </c>
      <c r="DC1978" s="25">
        <v>7.3</v>
      </c>
      <c r="DD1978" s="24">
        <v>87</v>
      </c>
      <c r="DE1978" s="25">
        <v>-0.19</v>
      </c>
      <c r="DF1978" s="23">
        <v>-2.48</v>
      </c>
      <c r="DG1978" s="25">
        <v>3.45</v>
      </c>
      <c r="DH1978" s="24">
        <v>77</v>
      </c>
      <c r="DI1978" s="25">
        <v>11.16</v>
      </c>
      <c r="DJ1978" s="24">
        <v>86</v>
      </c>
      <c r="DK1978" s="25">
        <v>5.31</v>
      </c>
      <c r="DL1978" s="24">
        <v>80</v>
      </c>
      <c r="DM1978" s="25">
        <v>1.59</v>
      </c>
      <c r="DN1978" s="24">
        <v>61</v>
      </c>
      <c r="DO1978" s="25">
        <v>18.78</v>
      </c>
      <c r="DP1978" s="24">
        <v>92</v>
      </c>
      <c r="DQ1978" s="24">
        <v>1774</v>
      </c>
      <c r="DR1978" s="26">
        <v>138</v>
      </c>
      <c r="DS1978" s="23">
        <v>8.44</v>
      </c>
      <c r="DT1978" s="24">
        <v>48</v>
      </c>
      <c r="DU1978" s="26">
        <v>-4</v>
      </c>
      <c r="DV1978" s="23">
        <v>-7.69</v>
      </c>
      <c r="DW1978" s="24">
        <v>6722</v>
      </c>
      <c r="DX1978" s="27">
        <v>1</v>
      </c>
      <c r="DY1978" s="23">
        <v>0.01</v>
      </c>
      <c r="DZ1978" s="15" t="s">
        <v>178</v>
      </c>
      <c r="EA1978" s="22">
        <v>43622</v>
      </c>
      <c r="EB1978" s="17">
        <v>81.739999999999995</v>
      </c>
      <c r="EC1978" s="22">
        <v>42779</v>
      </c>
      <c r="ED1978" s="15" t="s">
        <v>205</v>
      </c>
      <c r="EE1978" s="14" t="str">
        <f>HYPERLINK("https://my.pitchbook.com?c=118655-29", "View company online")</f>
        <v>View company online</v>
      </c>
    </row>
    <row r="1979" spans="1:135">
      <c r="A1979" s="28" t="s">
        <v>37415</v>
      </c>
      <c r="B1979" s="28" t="s">
        <v>37416</v>
      </c>
      <c r="C1979" s="28" t="s">
        <v>37417</v>
      </c>
      <c r="D1979" s="28" t="s">
        <v>138</v>
      </c>
      <c r="E1979" s="28" t="s">
        <v>138</v>
      </c>
      <c r="F1979" s="28" t="s">
        <v>37415</v>
      </c>
      <c r="G1979" s="28" t="s">
        <v>37418</v>
      </c>
      <c r="H1979" s="28" t="s">
        <v>238</v>
      </c>
      <c r="I1979" s="28" t="s">
        <v>239</v>
      </c>
      <c r="J1979" s="28" t="s">
        <v>2234</v>
      </c>
      <c r="K1979" s="28" t="s">
        <v>37419</v>
      </c>
      <c r="L1979" s="28" t="s">
        <v>415</v>
      </c>
      <c r="M1979" s="28" t="s">
        <v>37420</v>
      </c>
      <c r="N1979" s="28" t="s">
        <v>147</v>
      </c>
      <c r="O1979" s="29">
        <v>7</v>
      </c>
      <c r="P1979" s="28" t="s">
        <v>148</v>
      </c>
      <c r="Q1979" s="28" t="s">
        <v>149</v>
      </c>
      <c r="R1979" s="28" t="s">
        <v>174</v>
      </c>
      <c r="S1979" s="28" t="s">
        <v>37421</v>
      </c>
      <c r="T1979" s="30">
        <v>15</v>
      </c>
      <c r="U1979" s="28" t="s">
        <v>7917</v>
      </c>
      <c r="V1979" s="28" t="s">
        <v>138</v>
      </c>
      <c r="W1979" s="28" t="s">
        <v>138</v>
      </c>
      <c r="X1979" s="31">
        <v>2015</v>
      </c>
      <c r="Y1979" s="28" t="s">
        <v>138</v>
      </c>
      <c r="Z1979" s="28" t="s">
        <v>138</v>
      </c>
      <c r="AA1979" s="28" t="s">
        <v>138</v>
      </c>
      <c r="AB1979" s="32" t="s">
        <v>138</v>
      </c>
      <c r="AC1979" s="32" t="s">
        <v>138</v>
      </c>
      <c r="AD1979" s="32" t="s">
        <v>138</v>
      </c>
      <c r="AE1979" s="32" t="s">
        <v>138</v>
      </c>
      <c r="AF1979" s="32" t="s">
        <v>138</v>
      </c>
      <c r="AG1979" s="28" t="s">
        <v>138</v>
      </c>
      <c r="AH1979" s="32" t="s">
        <v>138</v>
      </c>
      <c r="AI1979" s="32" t="s">
        <v>138</v>
      </c>
      <c r="AJ1979" s="32" t="s">
        <v>138</v>
      </c>
      <c r="AK1979" s="28" t="s">
        <v>37422</v>
      </c>
      <c r="AL1979" s="28" t="s">
        <v>37423</v>
      </c>
      <c r="AM1979" s="28" t="s">
        <v>304</v>
      </c>
      <c r="AN1979" s="28" t="s">
        <v>37424</v>
      </c>
      <c r="AO1979" s="28" t="s">
        <v>138</v>
      </c>
      <c r="AP1979" s="28" t="s">
        <v>423</v>
      </c>
      <c r="AQ1979" s="28" t="s">
        <v>138</v>
      </c>
      <c r="AR1979" s="28" t="s">
        <v>138</v>
      </c>
      <c r="AS1979" s="28" t="s">
        <v>426</v>
      </c>
      <c r="AT1979" s="28" t="s">
        <v>426</v>
      </c>
      <c r="AU1979" s="28" t="s">
        <v>138</v>
      </c>
      <c r="AV1979" s="28" t="s">
        <v>162</v>
      </c>
      <c r="AW1979" s="28" t="s">
        <v>138</v>
      </c>
      <c r="AX1979" s="28" t="s">
        <v>138</v>
      </c>
      <c r="AY1979" s="28" t="s">
        <v>138</v>
      </c>
      <c r="AZ1979" s="28" t="s">
        <v>164</v>
      </c>
      <c r="BA1979" s="28" t="s">
        <v>165</v>
      </c>
      <c r="BB1979" s="28" t="s">
        <v>37425</v>
      </c>
      <c r="BC1979" s="28" t="s">
        <v>37426</v>
      </c>
      <c r="BD1979" s="33">
        <v>3</v>
      </c>
      <c r="BE1979" s="28" t="s">
        <v>138</v>
      </c>
      <c r="BF1979" s="28" t="s">
        <v>138</v>
      </c>
      <c r="BG1979" s="28" t="s">
        <v>138</v>
      </c>
      <c r="BH1979" s="28" t="s">
        <v>37427</v>
      </c>
      <c r="BI1979" s="28" t="s">
        <v>138</v>
      </c>
      <c r="BJ1979" s="28" t="s">
        <v>138</v>
      </c>
      <c r="BK1979" s="28" t="s">
        <v>138</v>
      </c>
      <c r="BL1979" s="28" t="s">
        <v>138</v>
      </c>
      <c r="BM1979" s="34">
        <v>42356</v>
      </c>
      <c r="BN1979" s="29">
        <v>2.5</v>
      </c>
      <c r="BO1979" s="28" t="s">
        <v>172</v>
      </c>
      <c r="BP1979" s="29">
        <v>10</v>
      </c>
      <c r="BQ1979" s="28" t="s">
        <v>172</v>
      </c>
      <c r="BR1979" s="28" t="s">
        <v>234</v>
      </c>
      <c r="BS1979" s="28" t="s">
        <v>234</v>
      </c>
      <c r="BT1979" s="28" t="s">
        <v>138</v>
      </c>
      <c r="BU1979" s="28" t="s">
        <v>174</v>
      </c>
      <c r="BV1979" s="28" t="s">
        <v>138</v>
      </c>
      <c r="BW1979" s="28" t="s">
        <v>138</v>
      </c>
      <c r="BX1979" s="28" t="s">
        <v>138</v>
      </c>
      <c r="BY1979" s="28" t="s">
        <v>175</v>
      </c>
      <c r="BZ1979" s="34">
        <v>42948</v>
      </c>
      <c r="CA1979" s="29">
        <v>4.5</v>
      </c>
      <c r="CB1979" s="28" t="s">
        <v>1178</v>
      </c>
      <c r="CC1979" s="29">
        <v>20</v>
      </c>
      <c r="CD1979" s="28" t="s">
        <v>172</v>
      </c>
      <c r="CE1979" s="28" t="s">
        <v>205</v>
      </c>
      <c r="CF1979" s="28" t="s">
        <v>138</v>
      </c>
      <c r="CG1979" s="28" t="s">
        <v>138</v>
      </c>
      <c r="CH1979" s="28" t="s">
        <v>174</v>
      </c>
      <c r="CI1979" s="28" t="s">
        <v>138</v>
      </c>
      <c r="CJ1979" s="28" t="s">
        <v>138</v>
      </c>
      <c r="CK1979" s="28" t="s">
        <v>138</v>
      </c>
      <c r="CL1979" s="28" t="s">
        <v>175</v>
      </c>
      <c r="CM1979" s="34" t="s">
        <v>138</v>
      </c>
      <c r="CN1979" s="29" t="s">
        <v>138</v>
      </c>
      <c r="CO1979" s="35">
        <v>-3.99</v>
      </c>
      <c r="CP1979" s="36">
        <v>2</v>
      </c>
      <c r="CQ1979" s="35">
        <v>-0.04</v>
      </c>
      <c r="CR1979" s="35">
        <v>-1</v>
      </c>
      <c r="CS1979" s="35">
        <v>-9.3699999999999992</v>
      </c>
      <c r="CT1979" s="36">
        <v>1</v>
      </c>
      <c r="CU1979" s="35">
        <v>1.4</v>
      </c>
      <c r="CV1979" s="36">
        <v>99</v>
      </c>
      <c r="CW1979" s="35">
        <v>-18.739999999999998</v>
      </c>
      <c r="CX1979" s="36">
        <v>1</v>
      </c>
      <c r="CY1979" s="35">
        <v>0</v>
      </c>
      <c r="CZ1979" s="36">
        <v>25</v>
      </c>
      <c r="DA1979" s="35">
        <v>1.4</v>
      </c>
      <c r="DB1979" s="36">
        <v>99</v>
      </c>
      <c r="DC1979" s="37">
        <v>226.42</v>
      </c>
      <c r="DD1979" s="36">
        <v>100</v>
      </c>
      <c r="DE1979" s="37">
        <v>2.4300000000000002</v>
      </c>
      <c r="DF1979" s="35">
        <v>1.0900000000000001</v>
      </c>
      <c r="DG1979" s="37">
        <v>13.61</v>
      </c>
      <c r="DH1979" s="36">
        <v>92</v>
      </c>
      <c r="DI1979" s="37">
        <v>439.23</v>
      </c>
      <c r="DJ1979" s="36">
        <v>99</v>
      </c>
      <c r="DK1979" s="37">
        <v>25.56</v>
      </c>
      <c r="DL1979" s="36">
        <v>93</v>
      </c>
      <c r="DM1979" s="37">
        <v>1.66</v>
      </c>
      <c r="DN1979" s="36">
        <v>62</v>
      </c>
      <c r="DO1979" s="37">
        <v>439.23</v>
      </c>
      <c r="DP1979" s="36">
        <v>100</v>
      </c>
      <c r="DQ1979" s="36">
        <v>9575</v>
      </c>
      <c r="DR1979" s="38">
        <v>-2423</v>
      </c>
      <c r="DS1979" s="35">
        <v>-20.2</v>
      </c>
      <c r="DT1979" s="36">
        <v>48</v>
      </c>
      <c r="DU1979" s="38">
        <v>0</v>
      </c>
      <c r="DV1979" s="35">
        <v>0</v>
      </c>
      <c r="DW1979" s="36">
        <v>156668</v>
      </c>
      <c r="DX1979" s="39">
        <v>1915</v>
      </c>
      <c r="DY1979" s="35">
        <v>1.24</v>
      </c>
      <c r="DZ1979" s="28" t="s">
        <v>178</v>
      </c>
      <c r="EA1979" s="34">
        <v>43543</v>
      </c>
      <c r="EB1979" s="29">
        <v>20</v>
      </c>
      <c r="EC1979" s="34">
        <v>42948</v>
      </c>
      <c r="ED1979" s="28" t="s">
        <v>205</v>
      </c>
      <c r="EE1979" s="40" t="str">
        <f>HYPERLINK("https://my.pitchbook.com?c=168654-70", "View company online")</f>
        <v>View company online</v>
      </c>
    </row>
    <row r="1980" spans="1:135">
      <c r="A1980" s="15" t="s">
        <v>37428</v>
      </c>
      <c r="B1980" s="15" t="s">
        <v>37429</v>
      </c>
      <c r="C1980" s="15" t="s">
        <v>138</v>
      </c>
      <c r="D1980" s="15" t="s">
        <v>138</v>
      </c>
      <c r="E1980" s="15" t="s">
        <v>37430</v>
      </c>
      <c r="F1980" s="15" t="s">
        <v>37428</v>
      </c>
      <c r="G1980" s="15" t="s">
        <v>37431</v>
      </c>
      <c r="H1980" s="15" t="s">
        <v>322</v>
      </c>
      <c r="I1980" s="15" t="s">
        <v>323</v>
      </c>
      <c r="J1980" s="15" t="s">
        <v>413</v>
      </c>
      <c r="K1980" s="15" t="s">
        <v>874</v>
      </c>
      <c r="L1980" s="15" t="s">
        <v>1544</v>
      </c>
      <c r="M1980" s="15" t="s">
        <v>37432</v>
      </c>
      <c r="N1980" s="15" t="s">
        <v>147</v>
      </c>
      <c r="O1980" s="17">
        <v>17</v>
      </c>
      <c r="P1980" s="15" t="s">
        <v>148</v>
      </c>
      <c r="Q1980" s="15" t="s">
        <v>149</v>
      </c>
      <c r="R1980" s="15" t="s">
        <v>174</v>
      </c>
      <c r="S1980" s="15" t="s">
        <v>37433</v>
      </c>
      <c r="T1980" s="18">
        <v>201</v>
      </c>
      <c r="U1980" s="15" t="s">
        <v>24036</v>
      </c>
      <c r="V1980" s="15" t="s">
        <v>138</v>
      </c>
      <c r="W1980" s="15" t="s">
        <v>138</v>
      </c>
      <c r="X1980" s="19">
        <v>2004</v>
      </c>
      <c r="Y1980" s="15" t="s">
        <v>138</v>
      </c>
      <c r="Z1980" s="15" t="s">
        <v>138</v>
      </c>
      <c r="AA1980" s="15" t="s">
        <v>138</v>
      </c>
      <c r="AB1980" s="20" t="s">
        <v>138</v>
      </c>
      <c r="AC1980" s="20" t="s">
        <v>138</v>
      </c>
      <c r="AD1980" s="20" t="s">
        <v>138</v>
      </c>
      <c r="AE1980" s="20" t="s">
        <v>138</v>
      </c>
      <c r="AF1980" s="20" t="s">
        <v>138</v>
      </c>
      <c r="AG1980" s="15" t="s">
        <v>138</v>
      </c>
      <c r="AH1980" s="20" t="s">
        <v>138</v>
      </c>
      <c r="AI1980" s="20" t="s">
        <v>138</v>
      </c>
      <c r="AJ1980" s="20" t="s">
        <v>138</v>
      </c>
      <c r="AK1980" s="15" t="s">
        <v>37434</v>
      </c>
      <c r="AL1980" s="15" t="s">
        <v>37435</v>
      </c>
      <c r="AM1980" s="15" t="s">
        <v>304</v>
      </c>
      <c r="AN1980" s="15" t="s">
        <v>138</v>
      </c>
      <c r="AO1980" s="15" t="s">
        <v>37436</v>
      </c>
      <c r="AP1980" s="15" t="s">
        <v>446</v>
      </c>
      <c r="AQ1980" s="15" t="s">
        <v>37437</v>
      </c>
      <c r="AR1980" s="15" t="s">
        <v>37438</v>
      </c>
      <c r="AS1980" s="15" t="s">
        <v>449</v>
      </c>
      <c r="AT1980" s="15" t="s">
        <v>138</v>
      </c>
      <c r="AU1980" s="15" t="s">
        <v>3273</v>
      </c>
      <c r="AV1980" s="15" t="s">
        <v>450</v>
      </c>
      <c r="AW1980" s="15" t="s">
        <v>37436</v>
      </c>
      <c r="AX1980" s="15" t="s">
        <v>37436</v>
      </c>
      <c r="AY1980" s="15" t="s">
        <v>37439</v>
      </c>
      <c r="AZ1980" s="15" t="s">
        <v>452</v>
      </c>
      <c r="BA1980" s="15" t="s">
        <v>453</v>
      </c>
      <c r="BB1980" s="15" t="s">
        <v>37440</v>
      </c>
      <c r="BC1980" s="15" t="s">
        <v>37441</v>
      </c>
      <c r="BD1980" s="21">
        <v>3</v>
      </c>
      <c r="BE1980" s="15" t="s">
        <v>138</v>
      </c>
      <c r="BF1980" s="15" t="s">
        <v>138</v>
      </c>
      <c r="BG1980" s="15" t="s">
        <v>138</v>
      </c>
      <c r="BH1980" s="15" t="s">
        <v>37442</v>
      </c>
      <c r="BI1980" s="15" t="s">
        <v>138</v>
      </c>
      <c r="BJ1980" s="15" t="s">
        <v>138</v>
      </c>
      <c r="BK1980" s="15" t="s">
        <v>1251</v>
      </c>
      <c r="BL1980" s="15" t="s">
        <v>1251</v>
      </c>
      <c r="BM1980" s="22">
        <v>39941</v>
      </c>
      <c r="BN1980" s="17">
        <v>17</v>
      </c>
      <c r="BO1980" s="15" t="s">
        <v>172</v>
      </c>
      <c r="BP1980" s="17" t="s">
        <v>138</v>
      </c>
      <c r="BQ1980" s="15" t="s">
        <v>138</v>
      </c>
      <c r="BR1980" s="15" t="s">
        <v>205</v>
      </c>
      <c r="BS1980" s="15" t="s">
        <v>206</v>
      </c>
      <c r="BT1980" s="15" t="s">
        <v>138</v>
      </c>
      <c r="BU1980" s="15" t="s">
        <v>174</v>
      </c>
      <c r="BV1980" s="15" t="s">
        <v>138</v>
      </c>
      <c r="BW1980" s="15" t="s">
        <v>138</v>
      </c>
      <c r="BX1980" s="15" t="s">
        <v>138</v>
      </c>
      <c r="BY1980" s="15" t="s">
        <v>175</v>
      </c>
      <c r="BZ1980" s="22">
        <v>40807</v>
      </c>
      <c r="CA1980" s="17" t="s">
        <v>138</v>
      </c>
      <c r="CB1980" s="15" t="s">
        <v>138</v>
      </c>
      <c r="CC1980" s="17" t="s">
        <v>138</v>
      </c>
      <c r="CD1980" s="15" t="s">
        <v>138</v>
      </c>
      <c r="CE1980" s="15" t="s">
        <v>173</v>
      </c>
      <c r="CF1980" s="15" t="s">
        <v>720</v>
      </c>
      <c r="CG1980" s="15" t="s">
        <v>138</v>
      </c>
      <c r="CH1980" s="15" t="s">
        <v>174</v>
      </c>
      <c r="CI1980" s="15" t="s">
        <v>138</v>
      </c>
      <c r="CJ1980" s="15" t="s">
        <v>138</v>
      </c>
      <c r="CK1980" s="15" t="s">
        <v>138</v>
      </c>
      <c r="CL1980" s="15" t="s">
        <v>175</v>
      </c>
      <c r="CM1980" s="22" t="s">
        <v>138</v>
      </c>
      <c r="CN1980" s="17" t="s">
        <v>138</v>
      </c>
      <c r="CO1980" s="23">
        <v>0</v>
      </c>
      <c r="CP1980" s="24">
        <v>26</v>
      </c>
      <c r="CQ1980" s="23">
        <v>0</v>
      </c>
      <c r="CR1980" s="23">
        <v>0</v>
      </c>
      <c r="CS1980" s="23">
        <v>0</v>
      </c>
      <c r="CT1980" s="24">
        <v>23</v>
      </c>
      <c r="CU1980" s="23">
        <v>0</v>
      </c>
      <c r="CV1980" s="24">
        <v>22</v>
      </c>
      <c r="CW1980" s="23" t="s">
        <v>138</v>
      </c>
      <c r="CX1980" s="24" t="s">
        <v>138</v>
      </c>
      <c r="CY1980" s="23">
        <v>0</v>
      </c>
      <c r="CZ1980" s="24">
        <v>25</v>
      </c>
      <c r="DA1980" s="23">
        <v>0</v>
      </c>
      <c r="DB1980" s="24">
        <v>22</v>
      </c>
      <c r="DC1980" s="25">
        <v>0.66</v>
      </c>
      <c r="DD1980" s="24">
        <v>40</v>
      </c>
      <c r="DE1980" s="25">
        <v>0.03</v>
      </c>
      <c r="DF1980" s="23">
        <v>5.39</v>
      </c>
      <c r="DG1980" s="25">
        <v>1.1000000000000001</v>
      </c>
      <c r="DH1980" s="24">
        <v>53</v>
      </c>
      <c r="DI1980" s="25">
        <v>0.22</v>
      </c>
      <c r="DJ1980" s="24">
        <v>23</v>
      </c>
      <c r="DK1980" s="25" t="s">
        <v>138</v>
      </c>
      <c r="DL1980" s="24" t="s">
        <v>138</v>
      </c>
      <c r="DM1980" s="25">
        <v>1.1000000000000001</v>
      </c>
      <c r="DN1980" s="24">
        <v>52</v>
      </c>
      <c r="DO1980" s="25">
        <v>0.22</v>
      </c>
      <c r="DP1980" s="24">
        <v>26</v>
      </c>
      <c r="DQ1980" s="24" t="s">
        <v>138</v>
      </c>
      <c r="DR1980" s="26" t="s">
        <v>138</v>
      </c>
      <c r="DS1980" s="23" t="s">
        <v>138</v>
      </c>
      <c r="DT1980" s="24">
        <v>31</v>
      </c>
      <c r="DU1980" s="26">
        <v>2</v>
      </c>
      <c r="DV1980" s="23">
        <v>6.9</v>
      </c>
      <c r="DW1980" s="24">
        <v>77</v>
      </c>
      <c r="DX1980" s="27">
        <v>-1</v>
      </c>
      <c r="DY1980" s="23">
        <v>-1.28</v>
      </c>
      <c r="DZ1980" s="15" t="s">
        <v>178</v>
      </c>
      <c r="EA1980" s="22">
        <v>43440</v>
      </c>
      <c r="EB1980" s="17" t="s">
        <v>138</v>
      </c>
      <c r="EC1980" s="22" t="s">
        <v>138</v>
      </c>
      <c r="ED1980" s="15" t="s">
        <v>138</v>
      </c>
      <c r="EE1980" s="14" t="str">
        <f>HYPERLINK("https://my.pitchbook.com?c=52908-67", "View company online")</f>
        <v>View company online</v>
      </c>
    </row>
    <row r="1981" spans="1:135">
      <c r="A1981" s="28" t="s">
        <v>37443</v>
      </c>
      <c r="B1981" s="28" t="s">
        <v>37444</v>
      </c>
      <c r="C1981" s="28" t="s">
        <v>138</v>
      </c>
      <c r="D1981" s="28" t="s">
        <v>138</v>
      </c>
      <c r="E1981" s="28" t="s">
        <v>37445</v>
      </c>
      <c r="F1981" s="28" t="s">
        <v>37443</v>
      </c>
      <c r="G1981" s="28" t="s">
        <v>37446</v>
      </c>
      <c r="H1981" s="28" t="s">
        <v>141</v>
      </c>
      <c r="I1981" s="28" t="s">
        <v>212</v>
      </c>
      <c r="J1981" s="28" t="s">
        <v>1257</v>
      </c>
      <c r="K1981" s="28" t="s">
        <v>37447</v>
      </c>
      <c r="L1981" s="28" t="s">
        <v>5412</v>
      </c>
      <c r="M1981" s="28" t="s">
        <v>37448</v>
      </c>
      <c r="N1981" s="28" t="s">
        <v>1452</v>
      </c>
      <c r="O1981" s="29">
        <v>1</v>
      </c>
      <c r="P1981" s="28" t="s">
        <v>148</v>
      </c>
      <c r="Q1981" s="28" t="s">
        <v>149</v>
      </c>
      <c r="R1981" s="28" t="s">
        <v>328</v>
      </c>
      <c r="S1981" s="28" t="s">
        <v>37449</v>
      </c>
      <c r="T1981" s="30" t="s">
        <v>138</v>
      </c>
      <c r="U1981" s="28" t="s">
        <v>138</v>
      </c>
      <c r="V1981" s="28" t="s">
        <v>138</v>
      </c>
      <c r="W1981" s="28" t="s">
        <v>138</v>
      </c>
      <c r="X1981" s="31">
        <v>2009</v>
      </c>
      <c r="Y1981" s="28" t="s">
        <v>138</v>
      </c>
      <c r="Z1981" s="28" t="s">
        <v>138</v>
      </c>
      <c r="AA1981" s="28" t="s">
        <v>138</v>
      </c>
      <c r="AB1981" s="32">
        <v>13.64</v>
      </c>
      <c r="AC1981" s="32" t="s">
        <v>138</v>
      </c>
      <c r="AD1981" s="32" t="s">
        <v>138</v>
      </c>
      <c r="AE1981" s="32" t="s">
        <v>138</v>
      </c>
      <c r="AF1981" s="32" t="s">
        <v>138</v>
      </c>
      <c r="AG1981" s="28" t="s">
        <v>514</v>
      </c>
      <c r="AH1981" s="32" t="s">
        <v>138</v>
      </c>
      <c r="AI1981" s="32" t="s">
        <v>138</v>
      </c>
      <c r="AJ1981" s="32" t="s">
        <v>138</v>
      </c>
      <c r="AK1981" s="28" t="s">
        <v>37450</v>
      </c>
      <c r="AL1981" s="28" t="s">
        <v>37451</v>
      </c>
      <c r="AM1981" s="28" t="s">
        <v>5486</v>
      </c>
      <c r="AN1981" s="28" t="s">
        <v>37452</v>
      </c>
      <c r="AO1981" s="28" t="s">
        <v>37453</v>
      </c>
      <c r="AP1981" s="28" t="s">
        <v>37454</v>
      </c>
      <c r="AQ1981" s="28" t="s">
        <v>37455</v>
      </c>
      <c r="AR1981" s="28" t="s">
        <v>6298</v>
      </c>
      <c r="AS1981" s="28" t="s">
        <v>37456</v>
      </c>
      <c r="AT1981" s="28" t="s">
        <v>4628</v>
      </c>
      <c r="AU1981" s="28" t="s">
        <v>37457</v>
      </c>
      <c r="AV1981" s="28" t="s">
        <v>162</v>
      </c>
      <c r="AW1981" s="28" t="s">
        <v>37453</v>
      </c>
      <c r="AX1981" s="28" t="s">
        <v>138</v>
      </c>
      <c r="AY1981" s="28" t="s">
        <v>138</v>
      </c>
      <c r="AZ1981" s="28" t="s">
        <v>164</v>
      </c>
      <c r="BA1981" s="28" t="s">
        <v>165</v>
      </c>
      <c r="BB1981" s="28" t="s">
        <v>37458</v>
      </c>
      <c r="BC1981" s="28" t="s">
        <v>37459</v>
      </c>
      <c r="BD1981" s="33">
        <v>3</v>
      </c>
      <c r="BE1981" s="28" t="s">
        <v>138</v>
      </c>
      <c r="BF1981" s="28" t="s">
        <v>138</v>
      </c>
      <c r="BG1981" s="28" t="s">
        <v>138</v>
      </c>
      <c r="BH1981" s="28" t="s">
        <v>37460</v>
      </c>
      <c r="BI1981" s="28" t="s">
        <v>138</v>
      </c>
      <c r="BJ1981" s="28" t="s">
        <v>138</v>
      </c>
      <c r="BK1981" s="28" t="s">
        <v>37461</v>
      </c>
      <c r="BL1981" s="28" t="s">
        <v>37462</v>
      </c>
      <c r="BM1981" s="34">
        <v>40179</v>
      </c>
      <c r="BN1981" s="29" t="s">
        <v>138</v>
      </c>
      <c r="BO1981" s="28" t="s">
        <v>138</v>
      </c>
      <c r="BP1981" s="29" t="s">
        <v>138</v>
      </c>
      <c r="BQ1981" s="28" t="s">
        <v>138</v>
      </c>
      <c r="BR1981" s="28" t="s">
        <v>205</v>
      </c>
      <c r="BS1981" s="28" t="s">
        <v>206</v>
      </c>
      <c r="BT1981" s="28" t="s">
        <v>138</v>
      </c>
      <c r="BU1981" s="28" t="s">
        <v>174</v>
      </c>
      <c r="BV1981" s="28" t="s">
        <v>138</v>
      </c>
      <c r="BW1981" s="28" t="s">
        <v>138</v>
      </c>
      <c r="BX1981" s="28" t="s">
        <v>138</v>
      </c>
      <c r="BY1981" s="28" t="s">
        <v>175</v>
      </c>
      <c r="BZ1981" s="34">
        <v>42776</v>
      </c>
      <c r="CA1981" s="29" t="s">
        <v>138</v>
      </c>
      <c r="CB1981" s="28" t="s">
        <v>138</v>
      </c>
      <c r="CC1981" s="29" t="s">
        <v>138</v>
      </c>
      <c r="CD1981" s="28" t="s">
        <v>138</v>
      </c>
      <c r="CE1981" s="28" t="s">
        <v>173</v>
      </c>
      <c r="CF1981" s="28" t="s">
        <v>206</v>
      </c>
      <c r="CG1981" s="28" t="s">
        <v>138</v>
      </c>
      <c r="CH1981" s="28" t="s">
        <v>174</v>
      </c>
      <c r="CI1981" s="28" t="s">
        <v>138</v>
      </c>
      <c r="CJ1981" s="28" t="s">
        <v>138</v>
      </c>
      <c r="CK1981" s="28" t="s">
        <v>138</v>
      </c>
      <c r="CL1981" s="28" t="s">
        <v>175</v>
      </c>
      <c r="CM1981" s="34" t="s">
        <v>138</v>
      </c>
      <c r="CN1981" s="29" t="s">
        <v>138</v>
      </c>
      <c r="CO1981" s="35">
        <v>-0.09</v>
      </c>
      <c r="CP1981" s="36">
        <v>21</v>
      </c>
      <c r="CQ1981" s="35">
        <v>0.21</v>
      </c>
      <c r="CR1981" s="35">
        <v>69.680000000000007</v>
      </c>
      <c r="CS1981" s="35">
        <v>-0.26</v>
      </c>
      <c r="CT1981" s="36">
        <v>21</v>
      </c>
      <c r="CU1981" s="35">
        <v>7.0000000000000007E-2</v>
      </c>
      <c r="CV1981" s="36">
        <v>62</v>
      </c>
      <c r="CW1981" s="35">
        <v>1.08</v>
      </c>
      <c r="CX1981" s="36">
        <v>85</v>
      </c>
      <c r="CY1981" s="35">
        <v>-1.59</v>
      </c>
      <c r="CZ1981" s="36">
        <v>14</v>
      </c>
      <c r="DA1981" s="35">
        <v>7.0000000000000007E-2</v>
      </c>
      <c r="DB1981" s="36">
        <v>67</v>
      </c>
      <c r="DC1981" s="37">
        <v>6.52</v>
      </c>
      <c r="DD1981" s="36">
        <v>86</v>
      </c>
      <c r="DE1981" s="37">
        <v>0.03</v>
      </c>
      <c r="DF1981" s="35">
        <v>0.47</v>
      </c>
      <c r="DG1981" s="37">
        <v>4.58</v>
      </c>
      <c r="DH1981" s="36">
        <v>81</v>
      </c>
      <c r="DI1981" s="37">
        <v>8.4499999999999993</v>
      </c>
      <c r="DJ1981" s="36">
        <v>83</v>
      </c>
      <c r="DK1981" s="37">
        <v>3.23</v>
      </c>
      <c r="DL1981" s="36">
        <v>73</v>
      </c>
      <c r="DM1981" s="37">
        <v>5.93</v>
      </c>
      <c r="DN1981" s="36">
        <v>84</v>
      </c>
      <c r="DO1981" s="37">
        <v>8.4499999999999993</v>
      </c>
      <c r="DP1981" s="36">
        <v>86</v>
      </c>
      <c r="DQ1981" s="36">
        <v>1088</v>
      </c>
      <c r="DR1981" s="38">
        <v>58</v>
      </c>
      <c r="DS1981" s="35">
        <v>5.63</v>
      </c>
      <c r="DT1981" s="36">
        <v>167</v>
      </c>
      <c r="DU1981" s="38">
        <v>9</v>
      </c>
      <c r="DV1981" s="35">
        <v>5.7</v>
      </c>
      <c r="DW1981" s="36">
        <v>3023</v>
      </c>
      <c r="DX1981" s="39">
        <v>2</v>
      </c>
      <c r="DY1981" s="35">
        <v>7.0000000000000007E-2</v>
      </c>
      <c r="DZ1981" s="28" t="s">
        <v>178</v>
      </c>
      <c r="EA1981" s="34">
        <v>43622</v>
      </c>
      <c r="EB1981" s="29" t="s">
        <v>138</v>
      </c>
      <c r="EC1981" s="34" t="s">
        <v>138</v>
      </c>
      <c r="ED1981" s="28" t="s">
        <v>138</v>
      </c>
      <c r="EE1981" s="40" t="str">
        <f>HYPERLINK("https://my.pitchbook.com?c=60770-89", "View company online")</f>
        <v>View company online</v>
      </c>
    </row>
    <row r="1982" spans="1:135">
      <c r="A1982" s="15" t="s">
        <v>37463</v>
      </c>
      <c r="B1982" s="15" t="s">
        <v>37464</v>
      </c>
      <c r="C1982" s="15" t="s">
        <v>138</v>
      </c>
      <c r="D1982" s="15" t="s">
        <v>138</v>
      </c>
      <c r="E1982" s="15" t="s">
        <v>37465</v>
      </c>
      <c r="F1982" s="15" t="s">
        <v>37463</v>
      </c>
      <c r="G1982" s="15" t="s">
        <v>37466</v>
      </c>
      <c r="H1982" s="15" t="s">
        <v>322</v>
      </c>
      <c r="I1982" s="15" t="s">
        <v>356</v>
      </c>
      <c r="J1982" s="15" t="s">
        <v>2895</v>
      </c>
      <c r="K1982" s="15" t="s">
        <v>37467</v>
      </c>
      <c r="L1982" s="15" t="s">
        <v>215</v>
      </c>
      <c r="M1982" s="15" t="s">
        <v>37468</v>
      </c>
      <c r="N1982" s="15" t="s">
        <v>147</v>
      </c>
      <c r="O1982" s="17">
        <v>13</v>
      </c>
      <c r="P1982" s="15" t="s">
        <v>148</v>
      </c>
      <c r="Q1982" s="15" t="s">
        <v>149</v>
      </c>
      <c r="R1982" s="15" t="s">
        <v>174</v>
      </c>
      <c r="S1982" s="15" t="s">
        <v>37469</v>
      </c>
      <c r="T1982" s="18">
        <v>77</v>
      </c>
      <c r="U1982" s="15" t="s">
        <v>37470</v>
      </c>
      <c r="V1982" s="15" t="s">
        <v>138</v>
      </c>
      <c r="W1982" s="15" t="s">
        <v>138</v>
      </c>
      <c r="X1982" s="19">
        <v>2000</v>
      </c>
      <c r="Y1982" s="15" t="s">
        <v>138</v>
      </c>
      <c r="Z1982" s="15" t="s">
        <v>138</v>
      </c>
      <c r="AA1982" s="15" t="s">
        <v>138</v>
      </c>
      <c r="AB1982" s="20">
        <v>8.65</v>
      </c>
      <c r="AC1982" s="20" t="s">
        <v>138</v>
      </c>
      <c r="AD1982" s="20">
        <v>0.63</v>
      </c>
      <c r="AE1982" s="20" t="s">
        <v>138</v>
      </c>
      <c r="AF1982" s="20" t="s">
        <v>138</v>
      </c>
      <c r="AG1982" s="15" t="s">
        <v>633</v>
      </c>
      <c r="AH1982" s="20" t="s">
        <v>138</v>
      </c>
      <c r="AI1982" s="20" t="s">
        <v>138</v>
      </c>
      <c r="AJ1982" s="20" t="s">
        <v>138</v>
      </c>
      <c r="AK1982" s="15" t="s">
        <v>37471</v>
      </c>
      <c r="AL1982" s="15" t="s">
        <v>37472</v>
      </c>
      <c r="AM1982" s="15" t="s">
        <v>11604</v>
      </c>
      <c r="AN1982" s="15" t="s">
        <v>37473</v>
      </c>
      <c r="AO1982" s="15" t="s">
        <v>37474</v>
      </c>
      <c r="AP1982" s="15" t="s">
        <v>37475</v>
      </c>
      <c r="AQ1982" s="15" t="s">
        <v>37476</v>
      </c>
      <c r="AR1982" s="15" t="s">
        <v>37477</v>
      </c>
      <c r="AS1982" s="15" t="s">
        <v>37478</v>
      </c>
      <c r="AT1982" s="15" t="s">
        <v>138</v>
      </c>
      <c r="AU1982" s="15" t="s">
        <v>37479</v>
      </c>
      <c r="AV1982" s="15" t="s">
        <v>1054</v>
      </c>
      <c r="AW1982" s="15" t="s">
        <v>37474</v>
      </c>
      <c r="AX1982" s="15" t="s">
        <v>138</v>
      </c>
      <c r="AY1982" s="15" t="s">
        <v>37480</v>
      </c>
      <c r="AZ1982" s="15" t="s">
        <v>530</v>
      </c>
      <c r="BA1982" s="15" t="s">
        <v>531</v>
      </c>
      <c r="BB1982" s="15" t="s">
        <v>37481</v>
      </c>
      <c r="BC1982" s="15" t="s">
        <v>37482</v>
      </c>
      <c r="BD1982" s="21">
        <v>7</v>
      </c>
      <c r="BE1982" s="15" t="s">
        <v>138</v>
      </c>
      <c r="BF1982" s="15" t="s">
        <v>37483</v>
      </c>
      <c r="BG1982" s="15" t="s">
        <v>138</v>
      </c>
      <c r="BH1982" s="15" t="s">
        <v>37484</v>
      </c>
      <c r="BI1982" s="15" t="s">
        <v>138</v>
      </c>
      <c r="BJ1982" s="15" t="s">
        <v>138</v>
      </c>
      <c r="BK1982" s="15" t="s">
        <v>138</v>
      </c>
      <c r="BL1982" s="15" t="s">
        <v>138</v>
      </c>
      <c r="BM1982" s="22">
        <v>37226</v>
      </c>
      <c r="BN1982" s="17">
        <v>6.69</v>
      </c>
      <c r="BO1982" s="15" t="s">
        <v>172</v>
      </c>
      <c r="BP1982" s="17" t="s">
        <v>138</v>
      </c>
      <c r="BQ1982" s="15" t="s">
        <v>138</v>
      </c>
      <c r="BR1982" s="15" t="s">
        <v>205</v>
      </c>
      <c r="BS1982" s="15" t="s">
        <v>138</v>
      </c>
      <c r="BT1982" s="15" t="s">
        <v>138</v>
      </c>
      <c r="BU1982" s="15" t="s">
        <v>174</v>
      </c>
      <c r="BV1982" s="15" t="s">
        <v>138</v>
      </c>
      <c r="BW1982" s="15" t="s">
        <v>138</v>
      </c>
      <c r="BX1982" s="15" t="s">
        <v>138</v>
      </c>
      <c r="BY1982" s="15" t="s">
        <v>175</v>
      </c>
      <c r="BZ1982" s="22">
        <v>42191</v>
      </c>
      <c r="CA1982" s="17" t="s">
        <v>138</v>
      </c>
      <c r="CB1982" s="15" t="s">
        <v>138</v>
      </c>
      <c r="CC1982" s="17" t="s">
        <v>138</v>
      </c>
      <c r="CD1982" s="15" t="s">
        <v>138</v>
      </c>
      <c r="CE1982" s="15" t="s">
        <v>173</v>
      </c>
      <c r="CF1982" s="15" t="s">
        <v>138</v>
      </c>
      <c r="CG1982" s="15" t="s">
        <v>138</v>
      </c>
      <c r="CH1982" s="15" t="s">
        <v>174</v>
      </c>
      <c r="CI1982" s="15" t="s">
        <v>138</v>
      </c>
      <c r="CJ1982" s="15" t="s">
        <v>138</v>
      </c>
      <c r="CK1982" s="15" t="s">
        <v>138</v>
      </c>
      <c r="CL1982" s="15" t="s">
        <v>175</v>
      </c>
      <c r="CM1982" s="22" t="s">
        <v>138</v>
      </c>
      <c r="CN1982" s="17" t="s">
        <v>138</v>
      </c>
      <c r="CO1982" s="23">
        <v>-1.34</v>
      </c>
      <c r="CP1982" s="24">
        <v>8</v>
      </c>
      <c r="CQ1982" s="23">
        <v>0.01</v>
      </c>
      <c r="CR1982" s="23">
        <v>0.4</v>
      </c>
      <c r="CS1982" s="23">
        <v>-2.74</v>
      </c>
      <c r="CT1982" s="24">
        <v>6</v>
      </c>
      <c r="CU1982" s="23">
        <v>0.06</v>
      </c>
      <c r="CV1982" s="24">
        <v>60</v>
      </c>
      <c r="CW1982" s="23" t="s">
        <v>138</v>
      </c>
      <c r="CX1982" s="24" t="s">
        <v>138</v>
      </c>
      <c r="CY1982" s="23">
        <v>-2.74</v>
      </c>
      <c r="CZ1982" s="24">
        <v>8</v>
      </c>
      <c r="DA1982" s="23">
        <v>0.12</v>
      </c>
      <c r="DB1982" s="24">
        <v>75</v>
      </c>
      <c r="DC1982" s="25">
        <v>10.83</v>
      </c>
      <c r="DD1982" s="24">
        <v>91</v>
      </c>
      <c r="DE1982" s="25">
        <v>0.02</v>
      </c>
      <c r="DF1982" s="23">
        <v>0.2</v>
      </c>
      <c r="DG1982" s="25">
        <v>20.45</v>
      </c>
      <c r="DH1982" s="24">
        <v>95</v>
      </c>
      <c r="DI1982" s="25">
        <v>1.21</v>
      </c>
      <c r="DJ1982" s="24">
        <v>53</v>
      </c>
      <c r="DK1982" s="25" t="s">
        <v>138</v>
      </c>
      <c r="DL1982" s="24" t="s">
        <v>138</v>
      </c>
      <c r="DM1982" s="25">
        <v>20.45</v>
      </c>
      <c r="DN1982" s="24">
        <v>94</v>
      </c>
      <c r="DO1982" s="25">
        <v>2.42</v>
      </c>
      <c r="DP1982" s="24">
        <v>67</v>
      </c>
      <c r="DQ1982" s="24" t="s">
        <v>138</v>
      </c>
      <c r="DR1982" s="26" t="s">
        <v>138</v>
      </c>
      <c r="DS1982" s="23" t="s">
        <v>138</v>
      </c>
      <c r="DT1982" s="24">
        <v>592</v>
      </c>
      <c r="DU1982" s="26">
        <v>2</v>
      </c>
      <c r="DV1982" s="23">
        <v>0.34</v>
      </c>
      <c r="DW1982" s="24">
        <v>866</v>
      </c>
      <c r="DX1982" s="27">
        <v>0</v>
      </c>
      <c r="DY1982" s="23">
        <v>0</v>
      </c>
      <c r="DZ1982" s="15" t="s">
        <v>178</v>
      </c>
      <c r="EA1982" s="22">
        <v>43622</v>
      </c>
      <c r="EB1982" s="17" t="s">
        <v>138</v>
      </c>
      <c r="EC1982" s="22" t="s">
        <v>138</v>
      </c>
      <c r="ED1982" s="15" t="s">
        <v>138</v>
      </c>
      <c r="EE1982" s="14" t="str">
        <f>HYPERLINK("https://my.pitchbook.com?c=55201-69", "View company online")</f>
        <v>View company online</v>
      </c>
    </row>
    <row r="1983" spans="1:135">
      <c r="A1983" s="28" t="s">
        <v>37485</v>
      </c>
      <c r="B1983" s="28" t="s">
        <v>37486</v>
      </c>
      <c r="C1983" s="28" t="s">
        <v>37487</v>
      </c>
      <c r="D1983" s="28" t="s">
        <v>138</v>
      </c>
      <c r="E1983" s="28" t="s">
        <v>37488</v>
      </c>
      <c r="F1983" s="28" t="s">
        <v>37485</v>
      </c>
      <c r="G1983" s="28" t="s">
        <v>37489</v>
      </c>
      <c r="H1983" s="28" t="s">
        <v>322</v>
      </c>
      <c r="I1983" s="28" t="s">
        <v>323</v>
      </c>
      <c r="J1983" s="28" t="s">
        <v>324</v>
      </c>
      <c r="K1983" s="28" t="s">
        <v>1543</v>
      </c>
      <c r="L1983" s="28" t="s">
        <v>12992</v>
      </c>
      <c r="M1983" s="28" t="s">
        <v>37490</v>
      </c>
      <c r="N1983" s="28" t="s">
        <v>147</v>
      </c>
      <c r="O1983" s="29">
        <v>75</v>
      </c>
      <c r="P1983" s="28" t="s">
        <v>148</v>
      </c>
      <c r="Q1983" s="28" t="s">
        <v>149</v>
      </c>
      <c r="R1983" s="28" t="s">
        <v>174</v>
      </c>
      <c r="S1983" s="28" t="s">
        <v>37491</v>
      </c>
      <c r="T1983" s="30">
        <v>46</v>
      </c>
      <c r="U1983" s="28" t="s">
        <v>37492</v>
      </c>
      <c r="V1983" s="28" t="s">
        <v>138</v>
      </c>
      <c r="W1983" s="28" t="s">
        <v>138</v>
      </c>
      <c r="X1983" s="31">
        <v>2012</v>
      </c>
      <c r="Y1983" s="28" t="s">
        <v>138</v>
      </c>
      <c r="Z1983" s="28" t="s">
        <v>138</v>
      </c>
      <c r="AA1983" s="28" t="s">
        <v>138</v>
      </c>
      <c r="AB1983" s="32" t="s">
        <v>138</v>
      </c>
      <c r="AC1983" s="32" t="s">
        <v>138</v>
      </c>
      <c r="AD1983" s="32" t="s">
        <v>138</v>
      </c>
      <c r="AE1983" s="32" t="s">
        <v>138</v>
      </c>
      <c r="AF1983" s="32" t="s">
        <v>138</v>
      </c>
      <c r="AG1983" s="28" t="s">
        <v>138</v>
      </c>
      <c r="AH1983" s="32" t="s">
        <v>138</v>
      </c>
      <c r="AI1983" s="32" t="s">
        <v>138</v>
      </c>
      <c r="AJ1983" s="32" t="s">
        <v>138</v>
      </c>
      <c r="AK1983" s="28" t="s">
        <v>37493</v>
      </c>
      <c r="AL1983" s="28" t="s">
        <v>37494</v>
      </c>
      <c r="AM1983" s="28" t="s">
        <v>249</v>
      </c>
      <c r="AN1983" s="28" t="s">
        <v>37495</v>
      </c>
      <c r="AO1983" s="28" t="s">
        <v>138</v>
      </c>
      <c r="AP1983" s="28" t="s">
        <v>665</v>
      </c>
      <c r="AQ1983" s="28" t="s">
        <v>37496</v>
      </c>
      <c r="AR1983" s="28" t="s">
        <v>282</v>
      </c>
      <c r="AS1983" s="28" t="s">
        <v>668</v>
      </c>
      <c r="AT1983" s="28" t="s">
        <v>200</v>
      </c>
      <c r="AU1983" s="28" t="s">
        <v>669</v>
      </c>
      <c r="AV1983" s="28" t="s">
        <v>162</v>
      </c>
      <c r="AW1983" s="28" t="s">
        <v>37497</v>
      </c>
      <c r="AX1983" s="28" t="s">
        <v>138</v>
      </c>
      <c r="AY1983" s="28" t="s">
        <v>37498</v>
      </c>
      <c r="AZ1983" s="28" t="s">
        <v>164</v>
      </c>
      <c r="BA1983" s="28" t="s">
        <v>165</v>
      </c>
      <c r="BB1983" s="28" t="s">
        <v>37499</v>
      </c>
      <c r="BC1983" s="28" t="s">
        <v>37500</v>
      </c>
      <c r="BD1983" s="33">
        <v>11</v>
      </c>
      <c r="BE1983" s="28" t="s">
        <v>138</v>
      </c>
      <c r="BF1983" s="28" t="s">
        <v>138</v>
      </c>
      <c r="BG1983" s="28" t="s">
        <v>138</v>
      </c>
      <c r="BH1983" s="28" t="s">
        <v>37501</v>
      </c>
      <c r="BI1983" s="28" t="s">
        <v>138</v>
      </c>
      <c r="BJ1983" s="28" t="s">
        <v>138</v>
      </c>
      <c r="BK1983" s="28" t="s">
        <v>138</v>
      </c>
      <c r="BL1983" s="28" t="s">
        <v>2936</v>
      </c>
      <c r="BM1983" s="34">
        <v>41244</v>
      </c>
      <c r="BN1983" s="29" t="s">
        <v>138</v>
      </c>
      <c r="BO1983" s="28" t="s">
        <v>138</v>
      </c>
      <c r="BP1983" s="29" t="s">
        <v>138</v>
      </c>
      <c r="BQ1983" s="28" t="s">
        <v>138</v>
      </c>
      <c r="BR1983" s="28" t="s">
        <v>316</v>
      </c>
      <c r="BS1983" s="28" t="s">
        <v>138</v>
      </c>
      <c r="BT1983" s="28" t="s">
        <v>138</v>
      </c>
      <c r="BU1983" s="28" t="s">
        <v>177</v>
      </c>
      <c r="BV1983" s="28" t="s">
        <v>138</v>
      </c>
      <c r="BW1983" s="28" t="s">
        <v>138</v>
      </c>
      <c r="BX1983" s="28" t="s">
        <v>138</v>
      </c>
      <c r="BY1983" s="28" t="s">
        <v>175</v>
      </c>
      <c r="BZ1983" s="34">
        <v>43571</v>
      </c>
      <c r="CA1983" s="29">
        <v>27</v>
      </c>
      <c r="CB1983" s="28" t="s">
        <v>172</v>
      </c>
      <c r="CC1983" s="29" t="s">
        <v>138</v>
      </c>
      <c r="CD1983" s="28" t="s">
        <v>138</v>
      </c>
      <c r="CE1983" s="28" t="s">
        <v>173</v>
      </c>
      <c r="CF1983" s="28" t="s">
        <v>138</v>
      </c>
      <c r="CG1983" s="28" t="s">
        <v>138</v>
      </c>
      <c r="CH1983" s="28" t="s">
        <v>174</v>
      </c>
      <c r="CI1983" s="28" t="s">
        <v>138</v>
      </c>
      <c r="CJ1983" s="28" t="s">
        <v>138</v>
      </c>
      <c r="CK1983" s="28" t="s">
        <v>138</v>
      </c>
      <c r="CL1983" s="28" t="s">
        <v>175</v>
      </c>
      <c r="CM1983" s="34" t="s">
        <v>138</v>
      </c>
      <c r="CN1983" s="29" t="s">
        <v>138</v>
      </c>
      <c r="CO1983" s="35">
        <v>-0.3</v>
      </c>
      <c r="CP1983" s="36">
        <v>18</v>
      </c>
      <c r="CQ1983" s="35">
        <v>0.16</v>
      </c>
      <c r="CR1983" s="35">
        <v>34.92</v>
      </c>
      <c r="CS1983" s="35">
        <v>-0.57999999999999996</v>
      </c>
      <c r="CT1983" s="36">
        <v>19</v>
      </c>
      <c r="CU1983" s="35">
        <v>-0.03</v>
      </c>
      <c r="CV1983" s="36">
        <v>14</v>
      </c>
      <c r="CW1983" s="35">
        <v>0.23</v>
      </c>
      <c r="CX1983" s="36">
        <v>81</v>
      </c>
      <c r="CY1983" s="35">
        <v>-1.39</v>
      </c>
      <c r="CZ1983" s="36">
        <v>16</v>
      </c>
      <c r="DA1983" s="35">
        <v>-0.06</v>
      </c>
      <c r="DB1983" s="36">
        <v>11</v>
      </c>
      <c r="DC1983" s="37">
        <v>19.739999999999998</v>
      </c>
      <c r="DD1983" s="36">
        <v>95</v>
      </c>
      <c r="DE1983" s="37">
        <v>-0.15</v>
      </c>
      <c r="DF1983" s="35">
        <v>-0.75</v>
      </c>
      <c r="DG1983" s="37">
        <v>9.92</v>
      </c>
      <c r="DH1983" s="36">
        <v>89</v>
      </c>
      <c r="DI1983" s="37">
        <v>29.57</v>
      </c>
      <c r="DJ1983" s="36">
        <v>93</v>
      </c>
      <c r="DK1983" s="37">
        <v>11.01</v>
      </c>
      <c r="DL1983" s="36">
        <v>88</v>
      </c>
      <c r="DM1983" s="37">
        <v>8.83</v>
      </c>
      <c r="DN1983" s="36">
        <v>88</v>
      </c>
      <c r="DO1983" s="37">
        <v>56.49</v>
      </c>
      <c r="DP1983" s="36">
        <v>97</v>
      </c>
      <c r="DQ1983" s="36">
        <v>3680</v>
      </c>
      <c r="DR1983" s="38">
        <v>291</v>
      </c>
      <c r="DS1983" s="35">
        <v>8.59</v>
      </c>
      <c r="DT1983" s="36">
        <v>250</v>
      </c>
      <c r="DU1983" s="38">
        <v>10</v>
      </c>
      <c r="DV1983" s="35">
        <v>4.17</v>
      </c>
      <c r="DW1983" s="36">
        <v>20222</v>
      </c>
      <c r="DX1983" s="39">
        <v>-17</v>
      </c>
      <c r="DY1983" s="35">
        <v>-0.08</v>
      </c>
      <c r="DZ1983" s="28" t="s">
        <v>178</v>
      </c>
      <c r="EA1983" s="34">
        <v>43622</v>
      </c>
      <c r="EB1983" s="29">
        <v>40</v>
      </c>
      <c r="EC1983" s="34">
        <v>42895</v>
      </c>
      <c r="ED1983" s="28" t="s">
        <v>173</v>
      </c>
      <c r="EE1983" s="40" t="str">
        <f>HYPERLINK("https://my.pitchbook.com?c=63251-83", "View company online")</f>
        <v>View company online</v>
      </c>
    </row>
    <row r="1984" spans="1:135">
      <c r="A1984" s="15" t="s">
        <v>37502</v>
      </c>
      <c r="B1984" s="15" t="s">
        <v>37503</v>
      </c>
      <c r="C1984" s="15" t="s">
        <v>138</v>
      </c>
      <c r="D1984" s="15" t="s">
        <v>138</v>
      </c>
      <c r="E1984" s="15" t="s">
        <v>138</v>
      </c>
      <c r="F1984" s="15" t="s">
        <v>37502</v>
      </c>
      <c r="G1984" s="15" t="s">
        <v>37504</v>
      </c>
      <c r="H1984" s="15" t="s">
        <v>141</v>
      </c>
      <c r="I1984" s="15" t="s">
        <v>212</v>
      </c>
      <c r="J1984" s="15" t="s">
        <v>3169</v>
      </c>
      <c r="K1984" s="15" t="s">
        <v>37505</v>
      </c>
      <c r="L1984" s="15" t="s">
        <v>37506</v>
      </c>
      <c r="M1984" s="15" t="s">
        <v>37507</v>
      </c>
      <c r="N1984" s="15" t="s">
        <v>147</v>
      </c>
      <c r="O1984" s="17" t="s">
        <v>138</v>
      </c>
      <c r="P1984" s="15" t="s">
        <v>148</v>
      </c>
      <c r="Q1984" s="15" t="s">
        <v>149</v>
      </c>
      <c r="R1984" s="15" t="s">
        <v>174</v>
      </c>
      <c r="S1984" s="15" t="s">
        <v>37508</v>
      </c>
      <c r="T1984" s="18">
        <v>150</v>
      </c>
      <c r="U1984" s="15" t="s">
        <v>34163</v>
      </c>
      <c r="V1984" s="15" t="s">
        <v>138</v>
      </c>
      <c r="W1984" s="15" t="s">
        <v>138</v>
      </c>
      <c r="X1984" s="19">
        <v>2010</v>
      </c>
      <c r="Y1984" s="15" t="s">
        <v>138</v>
      </c>
      <c r="Z1984" s="15" t="s">
        <v>138</v>
      </c>
      <c r="AA1984" s="15" t="s">
        <v>138</v>
      </c>
      <c r="AB1984" s="20">
        <v>3.04</v>
      </c>
      <c r="AC1984" s="20">
        <v>2.5299999999999998</v>
      </c>
      <c r="AD1984" s="20">
        <v>0.59</v>
      </c>
      <c r="AE1984" s="20" t="s">
        <v>138</v>
      </c>
      <c r="AF1984" s="20">
        <v>0.56999999999999995</v>
      </c>
      <c r="AG1984" s="15" t="s">
        <v>2900</v>
      </c>
      <c r="AH1984" s="20" t="s">
        <v>138</v>
      </c>
      <c r="AI1984" s="20" t="s">
        <v>138</v>
      </c>
      <c r="AJ1984" s="20" t="s">
        <v>138</v>
      </c>
      <c r="AK1984" s="15" t="s">
        <v>37509</v>
      </c>
      <c r="AL1984" s="15" t="s">
        <v>37510</v>
      </c>
      <c r="AM1984" s="15" t="s">
        <v>249</v>
      </c>
      <c r="AN1984" s="15" t="s">
        <v>37511</v>
      </c>
      <c r="AO1984" s="15" t="s">
        <v>37512</v>
      </c>
      <c r="AP1984" s="15" t="s">
        <v>2692</v>
      </c>
      <c r="AQ1984" s="15" t="s">
        <v>37513</v>
      </c>
      <c r="AR1984" s="15" t="s">
        <v>138</v>
      </c>
      <c r="AS1984" s="15" t="s">
        <v>2694</v>
      </c>
      <c r="AT1984" s="15" t="s">
        <v>138</v>
      </c>
      <c r="AU1984" s="15" t="s">
        <v>37117</v>
      </c>
      <c r="AV1984" s="15" t="s">
        <v>1054</v>
      </c>
      <c r="AW1984" s="15" t="s">
        <v>37512</v>
      </c>
      <c r="AX1984" s="15" t="s">
        <v>138</v>
      </c>
      <c r="AY1984" s="15" t="s">
        <v>138</v>
      </c>
      <c r="AZ1984" s="15" t="s">
        <v>530</v>
      </c>
      <c r="BA1984" s="15" t="s">
        <v>531</v>
      </c>
      <c r="BB1984" s="15" t="s">
        <v>37514</v>
      </c>
      <c r="BC1984" s="15" t="s">
        <v>6083</v>
      </c>
      <c r="BD1984" s="21">
        <v>1</v>
      </c>
      <c r="BE1984" s="15" t="s">
        <v>138</v>
      </c>
      <c r="BF1984" s="15" t="s">
        <v>138</v>
      </c>
      <c r="BG1984" s="15" t="s">
        <v>138</v>
      </c>
      <c r="BH1984" s="15" t="s">
        <v>138</v>
      </c>
      <c r="BI1984" s="15" t="s">
        <v>138</v>
      </c>
      <c r="BJ1984" s="15" t="s">
        <v>138</v>
      </c>
      <c r="BK1984" s="15" t="s">
        <v>138</v>
      </c>
      <c r="BL1984" s="15" t="s">
        <v>37515</v>
      </c>
      <c r="BM1984" s="22">
        <v>42398</v>
      </c>
      <c r="BN1984" s="17" t="s">
        <v>138</v>
      </c>
      <c r="BO1984" s="15" t="s">
        <v>138</v>
      </c>
      <c r="BP1984" s="17" t="s">
        <v>138</v>
      </c>
      <c r="BQ1984" s="15" t="s">
        <v>138</v>
      </c>
      <c r="BR1984" s="15" t="s">
        <v>349</v>
      </c>
      <c r="BS1984" s="15" t="s">
        <v>138</v>
      </c>
      <c r="BT1984" s="15" t="s">
        <v>138</v>
      </c>
      <c r="BU1984" s="15" t="s">
        <v>174</v>
      </c>
      <c r="BV1984" s="15" t="s">
        <v>138</v>
      </c>
      <c r="BW1984" s="15" t="s">
        <v>138</v>
      </c>
      <c r="BX1984" s="15" t="s">
        <v>138</v>
      </c>
      <c r="BY1984" s="15" t="s">
        <v>175</v>
      </c>
      <c r="BZ1984" s="22">
        <v>42398</v>
      </c>
      <c r="CA1984" s="17" t="s">
        <v>138</v>
      </c>
      <c r="CB1984" s="15" t="s">
        <v>138</v>
      </c>
      <c r="CC1984" s="17" t="s">
        <v>138</v>
      </c>
      <c r="CD1984" s="15" t="s">
        <v>138</v>
      </c>
      <c r="CE1984" s="15" t="s">
        <v>349</v>
      </c>
      <c r="CF1984" s="15" t="s">
        <v>138</v>
      </c>
      <c r="CG1984" s="15" t="s">
        <v>138</v>
      </c>
      <c r="CH1984" s="15" t="s">
        <v>174</v>
      </c>
      <c r="CI1984" s="15" t="s">
        <v>138</v>
      </c>
      <c r="CJ1984" s="15" t="s">
        <v>138</v>
      </c>
      <c r="CK1984" s="15" t="s">
        <v>138</v>
      </c>
      <c r="CL1984" s="15" t="s">
        <v>175</v>
      </c>
      <c r="CM1984" s="22" t="s">
        <v>138</v>
      </c>
      <c r="CN1984" s="17" t="s">
        <v>138</v>
      </c>
      <c r="CO1984" s="23">
        <v>-2.66</v>
      </c>
      <c r="CP1984" s="24">
        <v>4</v>
      </c>
      <c r="CQ1984" s="23">
        <v>-0.02</v>
      </c>
      <c r="CR1984" s="23">
        <v>-0.83</v>
      </c>
      <c r="CS1984" s="23">
        <v>-5.42</v>
      </c>
      <c r="CT1984" s="24">
        <v>2</v>
      </c>
      <c r="CU1984" s="23">
        <v>0.1</v>
      </c>
      <c r="CV1984" s="24">
        <v>68</v>
      </c>
      <c r="CW1984" s="23" t="s">
        <v>138</v>
      </c>
      <c r="CX1984" s="24" t="s">
        <v>138</v>
      </c>
      <c r="CY1984" s="23">
        <v>-5.42</v>
      </c>
      <c r="CZ1984" s="24">
        <v>3</v>
      </c>
      <c r="DA1984" s="23">
        <v>0.1</v>
      </c>
      <c r="DB1984" s="24">
        <v>72</v>
      </c>
      <c r="DC1984" s="25">
        <v>13.12</v>
      </c>
      <c r="DD1984" s="24">
        <v>92</v>
      </c>
      <c r="DE1984" s="25">
        <v>0.05</v>
      </c>
      <c r="DF1984" s="23">
        <v>0.35</v>
      </c>
      <c r="DG1984" s="25">
        <v>18.62</v>
      </c>
      <c r="DH1984" s="24">
        <v>94</v>
      </c>
      <c r="DI1984" s="25">
        <v>7.62</v>
      </c>
      <c r="DJ1984" s="24">
        <v>82</v>
      </c>
      <c r="DK1984" s="25" t="s">
        <v>138</v>
      </c>
      <c r="DL1984" s="24" t="s">
        <v>138</v>
      </c>
      <c r="DM1984" s="25">
        <v>18.62</v>
      </c>
      <c r="DN1984" s="24">
        <v>94</v>
      </c>
      <c r="DO1984" s="25">
        <v>7.62</v>
      </c>
      <c r="DP1984" s="24">
        <v>84</v>
      </c>
      <c r="DQ1984" s="24">
        <v>69</v>
      </c>
      <c r="DR1984" s="26">
        <v>-12</v>
      </c>
      <c r="DS1984" s="23">
        <v>-14.81</v>
      </c>
      <c r="DT1984" s="24">
        <v>539</v>
      </c>
      <c r="DU1984" s="26">
        <v>1</v>
      </c>
      <c r="DV1984" s="23">
        <v>0.19</v>
      </c>
      <c r="DW1984" s="24">
        <v>2724</v>
      </c>
      <c r="DX1984" s="27">
        <v>2</v>
      </c>
      <c r="DY1984" s="23">
        <v>7.0000000000000007E-2</v>
      </c>
      <c r="DZ1984" s="15" t="s">
        <v>178</v>
      </c>
      <c r="EA1984" s="22">
        <v>43369</v>
      </c>
      <c r="EB1984" s="17" t="s">
        <v>138</v>
      </c>
      <c r="EC1984" s="22" t="s">
        <v>138</v>
      </c>
      <c r="ED1984" s="15" t="s">
        <v>138</v>
      </c>
      <c r="EE1984" s="14" t="str">
        <f>HYPERLINK("https://my.pitchbook.com?c=100709-11", "View company online")</f>
        <v>View company online</v>
      </c>
    </row>
    <row r="1985" spans="1:135">
      <c r="A1985" s="28" t="s">
        <v>37516</v>
      </c>
      <c r="B1985" s="28" t="s">
        <v>37517</v>
      </c>
      <c r="C1985" s="28" t="s">
        <v>37518</v>
      </c>
      <c r="D1985" s="28" t="s">
        <v>138</v>
      </c>
      <c r="E1985" s="28" t="s">
        <v>37519</v>
      </c>
      <c r="F1985" s="28" t="s">
        <v>37516</v>
      </c>
      <c r="G1985" s="28" t="s">
        <v>37520</v>
      </c>
      <c r="H1985" s="28" t="s">
        <v>141</v>
      </c>
      <c r="I1985" s="28" t="s">
        <v>212</v>
      </c>
      <c r="J1985" s="28" t="s">
        <v>213</v>
      </c>
      <c r="K1985" s="28" t="s">
        <v>17988</v>
      </c>
      <c r="L1985" s="28" t="s">
        <v>21248</v>
      </c>
      <c r="M1985" s="28" t="s">
        <v>37521</v>
      </c>
      <c r="N1985" s="28" t="s">
        <v>147</v>
      </c>
      <c r="O1985" s="29">
        <v>76.09</v>
      </c>
      <c r="P1985" s="28" t="s">
        <v>148</v>
      </c>
      <c r="Q1985" s="28" t="s">
        <v>149</v>
      </c>
      <c r="R1985" s="28" t="s">
        <v>244</v>
      </c>
      <c r="S1985" s="28" t="s">
        <v>37522</v>
      </c>
      <c r="T1985" s="30">
        <v>57</v>
      </c>
      <c r="U1985" s="28" t="s">
        <v>37523</v>
      </c>
      <c r="V1985" s="28" t="s">
        <v>138</v>
      </c>
      <c r="W1985" s="28" t="s">
        <v>138</v>
      </c>
      <c r="X1985" s="31">
        <v>2004</v>
      </c>
      <c r="Y1985" s="28" t="s">
        <v>138</v>
      </c>
      <c r="Z1985" s="28" t="s">
        <v>138</v>
      </c>
      <c r="AA1985" s="28" t="s">
        <v>138</v>
      </c>
      <c r="AB1985" s="32">
        <v>28.04</v>
      </c>
      <c r="AC1985" s="32" t="s">
        <v>138</v>
      </c>
      <c r="AD1985" s="32" t="s">
        <v>138</v>
      </c>
      <c r="AE1985" s="32" t="s">
        <v>138</v>
      </c>
      <c r="AF1985" s="32" t="s">
        <v>138</v>
      </c>
      <c r="AG1985" s="28" t="s">
        <v>563</v>
      </c>
      <c r="AH1985" s="32" t="s">
        <v>138</v>
      </c>
      <c r="AI1985" s="32" t="s">
        <v>138</v>
      </c>
      <c r="AJ1985" s="32" t="s">
        <v>138</v>
      </c>
      <c r="AK1985" s="28" t="s">
        <v>37524</v>
      </c>
      <c r="AL1985" s="28" t="s">
        <v>37525</v>
      </c>
      <c r="AM1985" s="28" t="s">
        <v>566</v>
      </c>
      <c r="AN1985" s="28" t="s">
        <v>37526</v>
      </c>
      <c r="AO1985" s="28" t="s">
        <v>37527</v>
      </c>
      <c r="AP1985" s="28" t="s">
        <v>3668</v>
      </c>
      <c r="AQ1985" s="28" t="s">
        <v>37528</v>
      </c>
      <c r="AR1985" s="28" t="s">
        <v>1459</v>
      </c>
      <c r="AS1985" s="28" t="s">
        <v>3670</v>
      </c>
      <c r="AT1985" s="28" t="s">
        <v>200</v>
      </c>
      <c r="AU1985" s="28" t="s">
        <v>8773</v>
      </c>
      <c r="AV1985" s="28" t="s">
        <v>162</v>
      </c>
      <c r="AW1985" s="28" t="s">
        <v>37527</v>
      </c>
      <c r="AX1985" s="28" t="s">
        <v>138</v>
      </c>
      <c r="AY1985" s="28" t="s">
        <v>37529</v>
      </c>
      <c r="AZ1985" s="28" t="s">
        <v>164</v>
      </c>
      <c r="BA1985" s="28" t="s">
        <v>165</v>
      </c>
      <c r="BB1985" s="28" t="s">
        <v>37530</v>
      </c>
      <c r="BC1985" s="28" t="s">
        <v>37531</v>
      </c>
      <c r="BD1985" s="33">
        <v>14</v>
      </c>
      <c r="BE1985" s="28" t="s">
        <v>138</v>
      </c>
      <c r="BF1985" s="28" t="s">
        <v>138</v>
      </c>
      <c r="BG1985" s="28" t="s">
        <v>138</v>
      </c>
      <c r="BH1985" s="28" t="s">
        <v>37532</v>
      </c>
      <c r="BI1985" s="28" t="s">
        <v>138</v>
      </c>
      <c r="BJ1985" s="28" t="s">
        <v>138</v>
      </c>
      <c r="BK1985" s="28" t="s">
        <v>37533</v>
      </c>
      <c r="BL1985" s="28" t="s">
        <v>37534</v>
      </c>
      <c r="BM1985" s="34">
        <v>38273</v>
      </c>
      <c r="BN1985" s="29">
        <v>0.42</v>
      </c>
      <c r="BO1985" s="28" t="s">
        <v>172</v>
      </c>
      <c r="BP1985" s="29">
        <v>4.5199999999999996</v>
      </c>
      <c r="BQ1985" s="28" t="s">
        <v>172</v>
      </c>
      <c r="BR1985" s="28" t="s">
        <v>205</v>
      </c>
      <c r="BS1985" s="28" t="s">
        <v>206</v>
      </c>
      <c r="BT1985" s="28" t="s">
        <v>138</v>
      </c>
      <c r="BU1985" s="28" t="s">
        <v>174</v>
      </c>
      <c r="BV1985" s="28" t="s">
        <v>138</v>
      </c>
      <c r="BW1985" s="28" t="s">
        <v>138</v>
      </c>
      <c r="BX1985" s="28" t="s">
        <v>138</v>
      </c>
      <c r="BY1985" s="28" t="s">
        <v>175</v>
      </c>
      <c r="BZ1985" s="34">
        <v>41856</v>
      </c>
      <c r="CA1985" s="29">
        <v>1.5</v>
      </c>
      <c r="CB1985" s="28" t="s">
        <v>172</v>
      </c>
      <c r="CC1985" s="29" t="s">
        <v>138</v>
      </c>
      <c r="CD1985" s="28" t="s">
        <v>138</v>
      </c>
      <c r="CE1985" s="28" t="s">
        <v>5280</v>
      </c>
      <c r="CF1985" s="28" t="s">
        <v>138</v>
      </c>
      <c r="CG1985" s="28" t="s">
        <v>138</v>
      </c>
      <c r="CH1985" s="28" t="s">
        <v>1327</v>
      </c>
      <c r="CI1985" s="28" t="s">
        <v>1498</v>
      </c>
      <c r="CJ1985" s="28" t="s">
        <v>138</v>
      </c>
      <c r="CK1985" s="28" t="s">
        <v>138</v>
      </c>
      <c r="CL1985" s="28" t="s">
        <v>175</v>
      </c>
      <c r="CM1985" s="34">
        <v>41856</v>
      </c>
      <c r="CN1985" s="29">
        <v>6.5</v>
      </c>
      <c r="CO1985" s="35">
        <v>-1.1200000000000001</v>
      </c>
      <c r="CP1985" s="36">
        <v>10</v>
      </c>
      <c r="CQ1985" s="35">
        <v>-0.02</v>
      </c>
      <c r="CR1985" s="35">
        <v>-1.5</v>
      </c>
      <c r="CS1985" s="35">
        <v>-2.31</v>
      </c>
      <c r="CT1985" s="36">
        <v>7</v>
      </c>
      <c r="CU1985" s="35">
        <v>7.0000000000000007E-2</v>
      </c>
      <c r="CV1985" s="36">
        <v>62</v>
      </c>
      <c r="CW1985" s="35">
        <v>0</v>
      </c>
      <c r="CX1985" s="36">
        <v>13</v>
      </c>
      <c r="CY1985" s="35">
        <v>-4.62</v>
      </c>
      <c r="CZ1985" s="36">
        <v>4</v>
      </c>
      <c r="DA1985" s="35">
        <v>7.0000000000000007E-2</v>
      </c>
      <c r="DB1985" s="36">
        <v>67</v>
      </c>
      <c r="DC1985" s="37">
        <v>9.43</v>
      </c>
      <c r="DD1985" s="36">
        <v>89</v>
      </c>
      <c r="DE1985" s="37">
        <v>-7.0000000000000007E-2</v>
      </c>
      <c r="DF1985" s="35">
        <v>-0.73</v>
      </c>
      <c r="DG1985" s="37">
        <v>12.3</v>
      </c>
      <c r="DH1985" s="36">
        <v>91</v>
      </c>
      <c r="DI1985" s="37">
        <v>6.57</v>
      </c>
      <c r="DJ1985" s="36">
        <v>81</v>
      </c>
      <c r="DK1985" s="37">
        <v>2.0099999999999998</v>
      </c>
      <c r="DL1985" s="36">
        <v>64</v>
      </c>
      <c r="DM1985" s="37">
        <v>22.59</v>
      </c>
      <c r="DN1985" s="36">
        <v>95</v>
      </c>
      <c r="DO1985" s="37">
        <v>6.57</v>
      </c>
      <c r="DP1985" s="36">
        <v>83</v>
      </c>
      <c r="DQ1985" s="36">
        <v>663</v>
      </c>
      <c r="DR1985" s="38">
        <v>80</v>
      </c>
      <c r="DS1985" s="35">
        <v>13.72</v>
      </c>
      <c r="DT1985" s="36">
        <v>656</v>
      </c>
      <c r="DU1985" s="38">
        <v>-2</v>
      </c>
      <c r="DV1985" s="35">
        <v>-0.3</v>
      </c>
      <c r="DW1985" s="36">
        <v>2349</v>
      </c>
      <c r="DX1985" s="39">
        <v>0</v>
      </c>
      <c r="DY1985" s="35">
        <v>0</v>
      </c>
      <c r="DZ1985" s="28" t="s">
        <v>178</v>
      </c>
      <c r="EA1985" s="34">
        <v>43622</v>
      </c>
      <c r="EB1985" s="29">
        <v>15.18</v>
      </c>
      <c r="EC1985" s="34">
        <v>41490</v>
      </c>
      <c r="ED1985" s="28" t="s">
        <v>173</v>
      </c>
      <c r="EE1985" s="40" t="str">
        <f>HYPERLINK("https://my.pitchbook.com?c=51220-45", "View company online")</f>
        <v>View company online</v>
      </c>
    </row>
    <row r="1986" spans="1:135">
      <c r="A1986" s="15" t="s">
        <v>37535</v>
      </c>
      <c r="B1986" s="15" t="s">
        <v>37536</v>
      </c>
      <c r="C1986" s="15" t="s">
        <v>138</v>
      </c>
      <c r="D1986" s="15" t="s">
        <v>37537</v>
      </c>
      <c r="E1986" s="15" t="s">
        <v>138</v>
      </c>
      <c r="F1986" s="15" t="s">
        <v>37535</v>
      </c>
      <c r="G1986" s="15" t="s">
        <v>37538</v>
      </c>
      <c r="H1986" s="15" t="s">
        <v>141</v>
      </c>
      <c r="I1986" s="15" t="s">
        <v>212</v>
      </c>
      <c r="J1986" s="15" t="s">
        <v>3169</v>
      </c>
      <c r="K1986" s="15" t="s">
        <v>37539</v>
      </c>
      <c r="L1986" s="15" t="s">
        <v>138</v>
      </c>
      <c r="M1986" s="15" t="s">
        <v>37540</v>
      </c>
      <c r="N1986" s="15" t="s">
        <v>1452</v>
      </c>
      <c r="O1986" s="17" t="s">
        <v>138</v>
      </c>
      <c r="P1986" s="15" t="s">
        <v>148</v>
      </c>
      <c r="Q1986" s="15" t="s">
        <v>149</v>
      </c>
      <c r="R1986" s="15" t="s">
        <v>328</v>
      </c>
      <c r="S1986" s="15" t="s">
        <v>37541</v>
      </c>
      <c r="T1986" s="18">
        <v>46</v>
      </c>
      <c r="U1986" s="15" t="s">
        <v>37542</v>
      </c>
      <c r="V1986" s="15" t="s">
        <v>138</v>
      </c>
      <c r="W1986" s="15" t="s">
        <v>138</v>
      </c>
      <c r="X1986" s="19">
        <v>1997</v>
      </c>
      <c r="Y1986" s="15" t="s">
        <v>138</v>
      </c>
      <c r="Z1986" s="15" t="s">
        <v>138</v>
      </c>
      <c r="AA1986" s="15" t="s">
        <v>138</v>
      </c>
      <c r="AB1986" s="20">
        <v>10.52</v>
      </c>
      <c r="AC1986" s="20" t="s">
        <v>138</v>
      </c>
      <c r="AD1986" s="20">
        <v>-0.82</v>
      </c>
      <c r="AE1986" s="20" t="s">
        <v>138</v>
      </c>
      <c r="AF1986" s="20" t="s">
        <v>138</v>
      </c>
      <c r="AG1986" s="15" t="s">
        <v>419</v>
      </c>
      <c r="AH1986" s="20" t="s">
        <v>138</v>
      </c>
      <c r="AI1986" s="20" t="s">
        <v>138</v>
      </c>
      <c r="AJ1986" s="20" t="s">
        <v>138</v>
      </c>
      <c r="AK1986" s="15" t="s">
        <v>37543</v>
      </c>
      <c r="AL1986" s="15" t="s">
        <v>37544</v>
      </c>
      <c r="AM1986" s="15" t="s">
        <v>37545</v>
      </c>
      <c r="AN1986" s="15" t="s">
        <v>37546</v>
      </c>
      <c r="AO1986" s="15" t="s">
        <v>37547</v>
      </c>
      <c r="AP1986" s="15" t="s">
        <v>37548</v>
      </c>
      <c r="AQ1986" s="15" t="s">
        <v>37549</v>
      </c>
      <c r="AR1986" s="15" t="s">
        <v>138</v>
      </c>
      <c r="AS1986" s="15" t="s">
        <v>37550</v>
      </c>
      <c r="AT1986" s="15" t="s">
        <v>138</v>
      </c>
      <c r="AU1986" s="15" t="s">
        <v>37551</v>
      </c>
      <c r="AV1986" s="15" t="s">
        <v>10418</v>
      </c>
      <c r="AW1986" s="15" t="s">
        <v>37547</v>
      </c>
      <c r="AX1986" s="15" t="s">
        <v>138</v>
      </c>
      <c r="AY1986" s="15" t="s">
        <v>37552</v>
      </c>
      <c r="AZ1986" s="15" t="s">
        <v>530</v>
      </c>
      <c r="BA1986" s="15" t="s">
        <v>531</v>
      </c>
      <c r="BB1986" s="15" t="s">
        <v>37553</v>
      </c>
      <c r="BC1986" s="15" t="s">
        <v>37554</v>
      </c>
      <c r="BD1986" s="21">
        <v>2</v>
      </c>
      <c r="BE1986" s="15" t="s">
        <v>138</v>
      </c>
      <c r="BF1986" s="15" t="s">
        <v>138</v>
      </c>
      <c r="BG1986" s="15" t="s">
        <v>138</v>
      </c>
      <c r="BH1986" s="15" t="s">
        <v>37555</v>
      </c>
      <c r="BI1986" s="15" t="s">
        <v>138</v>
      </c>
      <c r="BJ1986" s="15" t="s">
        <v>138</v>
      </c>
      <c r="BK1986" s="15" t="s">
        <v>138</v>
      </c>
      <c r="BL1986" s="15" t="s">
        <v>37556</v>
      </c>
      <c r="BM1986" s="22">
        <v>42747</v>
      </c>
      <c r="BN1986" s="17" t="s">
        <v>138</v>
      </c>
      <c r="BO1986" s="15" t="s">
        <v>138</v>
      </c>
      <c r="BP1986" s="17" t="s">
        <v>138</v>
      </c>
      <c r="BQ1986" s="15" t="s">
        <v>138</v>
      </c>
      <c r="BR1986" s="15" t="s">
        <v>1673</v>
      </c>
      <c r="BS1986" s="15" t="s">
        <v>7167</v>
      </c>
      <c r="BT1986" s="15" t="s">
        <v>138</v>
      </c>
      <c r="BU1986" s="15" t="s">
        <v>351</v>
      </c>
      <c r="BV1986" s="15" t="s">
        <v>138</v>
      </c>
      <c r="BW1986" s="15" t="s">
        <v>138</v>
      </c>
      <c r="BX1986" s="15" t="s">
        <v>138</v>
      </c>
      <c r="BY1986" s="15" t="s">
        <v>175</v>
      </c>
      <c r="BZ1986" s="22">
        <v>43412</v>
      </c>
      <c r="CA1986" s="17" t="s">
        <v>138</v>
      </c>
      <c r="CB1986" s="15" t="s">
        <v>138</v>
      </c>
      <c r="CC1986" s="17" t="s">
        <v>138</v>
      </c>
      <c r="CD1986" s="15" t="s">
        <v>138</v>
      </c>
      <c r="CE1986" s="15" t="s">
        <v>173</v>
      </c>
      <c r="CF1986" s="15" t="s">
        <v>138</v>
      </c>
      <c r="CG1986" s="15" t="s">
        <v>138</v>
      </c>
      <c r="CH1986" s="15" t="s">
        <v>174</v>
      </c>
      <c r="CI1986" s="15" t="s">
        <v>138</v>
      </c>
      <c r="CJ1986" s="15" t="s">
        <v>138</v>
      </c>
      <c r="CK1986" s="15" t="s">
        <v>138</v>
      </c>
      <c r="CL1986" s="15" t="s">
        <v>175</v>
      </c>
      <c r="CM1986" s="22" t="s">
        <v>138</v>
      </c>
      <c r="CN1986" s="17" t="s">
        <v>138</v>
      </c>
      <c r="CO1986" s="23">
        <v>0.11</v>
      </c>
      <c r="CP1986" s="24">
        <v>90</v>
      </c>
      <c r="CQ1986" s="23">
        <v>0</v>
      </c>
      <c r="CR1986" s="23">
        <v>-0.13</v>
      </c>
      <c r="CS1986" s="23">
        <v>0</v>
      </c>
      <c r="CT1986" s="24">
        <v>23</v>
      </c>
      <c r="CU1986" s="23">
        <v>0.22</v>
      </c>
      <c r="CV1986" s="24">
        <v>82</v>
      </c>
      <c r="CW1986" s="23">
        <v>0</v>
      </c>
      <c r="CX1986" s="24">
        <v>13</v>
      </c>
      <c r="CY1986" s="23">
        <v>0</v>
      </c>
      <c r="CZ1986" s="24">
        <v>25</v>
      </c>
      <c r="DA1986" s="23">
        <v>0.16</v>
      </c>
      <c r="DB1986" s="24">
        <v>79</v>
      </c>
      <c r="DC1986" s="25">
        <v>0.9</v>
      </c>
      <c r="DD1986" s="24">
        <v>48</v>
      </c>
      <c r="DE1986" s="25">
        <v>0</v>
      </c>
      <c r="DF1986" s="23">
        <v>-0.16</v>
      </c>
      <c r="DG1986" s="25">
        <v>0.38</v>
      </c>
      <c r="DH1986" s="24">
        <v>27</v>
      </c>
      <c r="DI1986" s="25">
        <v>1.43</v>
      </c>
      <c r="DJ1986" s="24">
        <v>56</v>
      </c>
      <c r="DK1986" s="25">
        <v>0.21</v>
      </c>
      <c r="DL1986" s="24">
        <v>14</v>
      </c>
      <c r="DM1986" s="25">
        <v>0.55000000000000004</v>
      </c>
      <c r="DN1986" s="24">
        <v>36</v>
      </c>
      <c r="DO1986" s="25">
        <v>2.36</v>
      </c>
      <c r="DP1986" s="24">
        <v>67</v>
      </c>
      <c r="DQ1986" s="24">
        <v>70</v>
      </c>
      <c r="DR1986" s="26">
        <v>2</v>
      </c>
      <c r="DS1986" s="23">
        <v>2.94</v>
      </c>
      <c r="DT1986" s="24">
        <v>16</v>
      </c>
      <c r="DU1986" s="26">
        <v>0</v>
      </c>
      <c r="DV1986" s="23">
        <v>0</v>
      </c>
      <c r="DW1986" s="24">
        <v>843</v>
      </c>
      <c r="DX1986" s="27">
        <v>3</v>
      </c>
      <c r="DY1986" s="23">
        <v>0.36</v>
      </c>
      <c r="DZ1986" s="15" t="s">
        <v>178</v>
      </c>
      <c r="EA1986" s="22">
        <v>43622</v>
      </c>
      <c r="EB1986" s="17" t="s">
        <v>138</v>
      </c>
      <c r="EC1986" s="22" t="s">
        <v>138</v>
      </c>
      <c r="ED1986" s="15" t="s">
        <v>138</v>
      </c>
      <c r="EE1986" s="14" t="str">
        <f>HYPERLINK("https://my.pitchbook.com?c=170005-69", "View company online")</f>
        <v>View company online</v>
      </c>
    </row>
    <row r="1987" spans="1:135">
      <c r="A1987" s="28" t="s">
        <v>37557</v>
      </c>
      <c r="B1987" s="28" t="s">
        <v>37558</v>
      </c>
      <c r="C1987" s="28" t="s">
        <v>138</v>
      </c>
      <c r="D1987" s="28" t="s">
        <v>138</v>
      </c>
      <c r="E1987" s="28" t="s">
        <v>37559</v>
      </c>
      <c r="F1987" s="28" t="s">
        <v>37557</v>
      </c>
      <c r="G1987" s="28" t="s">
        <v>37560</v>
      </c>
      <c r="H1987" s="28" t="s">
        <v>238</v>
      </c>
      <c r="I1987" s="28" t="s">
        <v>749</v>
      </c>
      <c r="J1987" s="28" t="s">
        <v>750</v>
      </c>
      <c r="K1987" s="28" t="s">
        <v>37561</v>
      </c>
      <c r="L1987" s="28" t="s">
        <v>272</v>
      </c>
      <c r="M1987" s="28" t="s">
        <v>37562</v>
      </c>
      <c r="N1987" s="28" t="s">
        <v>147</v>
      </c>
      <c r="O1987" s="29">
        <v>1.85</v>
      </c>
      <c r="P1987" s="28" t="s">
        <v>148</v>
      </c>
      <c r="Q1987" s="28" t="s">
        <v>149</v>
      </c>
      <c r="R1987" s="28" t="s">
        <v>174</v>
      </c>
      <c r="S1987" s="28" t="s">
        <v>37563</v>
      </c>
      <c r="T1987" s="30">
        <v>13</v>
      </c>
      <c r="U1987" s="28" t="s">
        <v>32864</v>
      </c>
      <c r="V1987" s="28" t="s">
        <v>138</v>
      </c>
      <c r="W1987" s="28" t="s">
        <v>138</v>
      </c>
      <c r="X1987" s="31">
        <v>2008</v>
      </c>
      <c r="Y1987" s="28" t="s">
        <v>138</v>
      </c>
      <c r="Z1987" s="28" t="s">
        <v>138</v>
      </c>
      <c r="AA1987" s="28" t="s">
        <v>138</v>
      </c>
      <c r="AB1987" s="32">
        <v>10</v>
      </c>
      <c r="AC1987" s="32" t="s">
        <v>138</v>
      </c>
      <c r="AD1987" s="32" t="s">
        <v>138</v>
      </c>
      <c r="AE1987" s="32" t="s">
        <v>138</v>
      </c>
      <c r="AF1987" s="32" t="s">
        <v>138</v>
      </c>
      <c r="AG1987" s="28" t="s">
        <v>514</v>
      </c>
      <c r="AH1987" s="32" t="s">
        <v>138</v>
      </c>
      <c r="AI1987" s="32" t="s">
        <v>138</v>
      </c>
      <c r="AJ1987" s="32" t="s">
        <v>138</v>
      </c>
      <c r="AK1987" s="28" t="s">
        <v>37564</v>
      </c>
      <c r="AL1987" s="28" t="s">
        <v>37565</v>
      </c>
      <c r="AM1987" s="28" t="s">
        <v>221</v>
      </c>
      <c r="AN1987" s="28" t="s">
        <v>37566</v>
      </c>
      <c r="AO1987" s="28" t="s">
        <v>37567</v>
      </c>
      <c r="AP1987" s="28" t="s">
        <v>665</v>
      </c>
      <c r="AQ1987" s="28" t="s">
        <v>37568</v>
      </c>
      <c r="AR1987" s="28" t="s">
        <v>8976</v>
      </c>
      <c r="AS1987" s="28" t="s">
        <v>668</v>
      </c>
      <c r="AT1987" s="28" t="s">
        <v>200</v>
      </c>
      <c r="AU1987" s="28" t="s">
        <v>37569</v>
      </c>
      <c r="AV1987" s="28" t="s">
        <v>162</v>
      </c>
      <c r="AW1987" s="28" t="s">
        <v>37567</v>
      </c>
      <c r="AX1987" s="28" t="s">
        <v>138</v>
      </c>
      <c r="AY1987" s="28" t="s">
        <v>138</v>
      </c>
      <c r="AZ1987" s="28" t="s">
        <v>164</v>
      </c>
      <c r="BA1987" s="28" t="s">
        <v>165</v>
      </c>
      <c r="BB1987" s="28" t="s">
        <v>37570</v>
      </c>
      <c r="BC1987" s="28" t="s">
        <v>37571</v>
      </c>
      <c r="BD1987" s="33">
        <v>2</v>
      </c>
      <c r="BE1987" s="28" t="s">
        <v>138</v>
      </c>
      <c r="BF1987" s="28" t="s">
        <v>138</v>
      </c>
      <c r="BG1987" s="28" t="s">
        <v>138</v>
      </c>
      <c r="BH1987" s="28" t="s">
        <v>1013</v>
      </c>
      <c r="BI1987" s="28" t="s">
        <v>138</v>
      </c>
      <c r="BJ1987" s="28" t="s">
        <v>138</v>
      </c>
      <c r="BK1987" s="28" t="s">
        <v>37572</v>
      </c>
      <c r="BL1987" s="28" t="s">
        <v>138</v>
      </c>
      <c r="BM1987" s="34">
        <v>42048</v>
      </c>
      <c r="BN1987" s="29">
        <v>1.85</v>
      </c>
      <c r="BO1987" s="28" t="s">
        <v>172</v>
      </c>
      <c r="BP1987" s="29" t="s">
        <v>138</v>
      </c>
      <c r="BQ1987" s="28" t="s">
        <v>138</v>
      </c>
      <c r="BR1987" s="28" t="s">
        <v>205</v>
      </c>
      <c r="BS1987" s="28" t="s">
        <v>138</v>
      </c>
      <c r="BT1987" s="28" t="s">
        <v>138</v>
      </c>
      <c r="BU1987" s="28" t="s">
        <v>174</v>
      </c>
      <c r="BV1987" s="28" t="s">
        <v>138</v>
      </c>
      <c r="BW1987" s="28" t="s">
        <v>138</v>
      </c>
      <c r="BX1987" s="28" t="s">
        <v>138</v>
      </c>
      <c r="BY1987" s="28" t="s">
        <v>175</v>
      </c>
      <c r="BZ1987" s="34">
        <v>42048</v>
      </c>
      <c r="CA1987" s="29">
        <v>1.85</v>
      </c>
      <c r="CB1987" s="28" t="s">
        <v>172</v>
      </c>
      <c r="CC1987" s="29" t="s">
        <v>138</v>
      </c>
      <c r="CD1987" s="28" t="s">
        <v>138</v>
      </c>
      <c r="CE1987" s="28" t="s">
        <v>205</v>
      </c>
      <c r="CF1987" s="28" t="s">
        <v>138</v>
      </c>
      <c r="CG1987" s="28" t="s">
        <v>138</v>
      </c>
      <c r="CH1987" s="28" t="s">
        <v>174</v>
      </c>
      <c r="CI1987" s="28" t="s">
        <v>138</v>
      </c>
      <c r="CJ1987" s="28" t="s">
        <v>138</v>
      </c>
      <c r="CK1987" s="28" t="s">
        <v>138</v>
      </c>
      <c r="CL1987" s="28" t="s">
        <v>175</v>
      </c>
      <c r="CM1987" s="34" t="s">
        <v>138</v>
      </c>
      <c r="CN1987" s="29" t="s">
        <v>138</v>
      </c>
      <c r="CO1987" s="35">
        <v>-0.04</v>
      </c>
      <c r="CP1987" s="36">
        <v>23</v>
      </c>
      <c r="CQ1987" s="35">
        <v>0</v>
      </c>
      <c r="CR1987" s="35">
        <v>-0.08</v>
      </c>
      <c r="CS1987" s="35" t="s">
        <v>138</v>
      </c>
      <c r="CT1987" s="36" t="s">
        <v>138</v>
      </c>
      <c r="CU1987" s="35">
        <v>-0.04</v>
      </c>
      <c r="CV1987" s="36">
        <v>12</v>
      </c>
      <c r="CW1987" s="35" t="s">
        <v>138</v>
      </c>
      <c r="CX1987" s="36" t="s">
        <v>138</v>
      </c>
      <c r="CY1987" s="35" t="s">
        <v>138</v>
      </c>
      <c r="CZ1987" s="36" t="s">
        <v>138</v>
      </c>
      <c r="DA1987" s="35">
        <v>-0.04</v>
      </c>
      <c r="DB1987" s="36">
        <v>15</v>
      </c>
      <c r="DC1987" s="37">
        <v>4.0599999999999996</v>
      </c>
      <c r="DD1987" s="36">
        <v>80</v>
      </c>
      <c r="DE1987" s="37">
        <v>0</v>
      </c>
      <c r="DF1987" s="35">
        <v>-0.03</v>
      </c>
      <c r="DG1987" s="37" t="s">
        <v>138</v>
      </c>
      <c r="DH1987" s="36" t="s">
        <v>138</v>
      </c>
      <c r="DI1987" s="37">
        <v>4.0599999999999996</v>
      </c>
      <c r="DJ1987" s="36">
        <v>74</v>
      </c>
      <c r="DK1987" s="37" t="s">
        <v>138</v>
      </c>
      <c r="DL1987" s="36" t="s">
        <v>138</v>
      </c>
      <c r="DM1987" s="37" t="s">
        <v>138</v>
      </c>
      <c r="DN1987" s="36" t="s">
        <v>138</v>
      </c>
      <c r="DO1987" s="37">
        <v>1.8</v>
      </c>
      <c r="DP1987" s="36">
        <v>62</v>
      </c>
      <c r="DQ1987" s="36" t="s">
        <v>138</v>
      </c>
      <c r="DR1987" s="38" t="s">
        <v>138</v>
      </c>
      <c r="DS1987" s="35" t="s">
        <v>138</v>
      </c>
      <c r="DT1987" s="36" t="s">
        <v>138</v>
      </c>
      <c r="DU1987" s="38" t="s">
        <v>138</v>
      </c>
      <c r="DV1987" s="35" t="s">
        <v>138</v>
      </c>
      <c r="DW1987" s="36">
        <v>644</v>
      </c>
      <c r="DX1987" s="39">
        <v>-1</v>
      </c>
      <c r="DY1987" s="35">
        <v>-0.16</v>
      </c>
      <c r="DZ1987" s="28" t="s">
        <v>178</v>
      </c>
      <c r="EA1987" s="34">
        <v>43549</v>
      </c>
      <c r="EB1987" s="29" t="s">
        <v>138</v>
      </c>
      <c r="EC1987" s="34" t="s">
        <v>138</v>
      </c>
      <c r="ED1987" s="28" t="s">
        <v>138</v>
      </c>
      <c r="EE1987" s="40" t="str">
        <f>HYPERLINK("https://my.pitchbook.com?c=109106-56", "View company online")</f>
        <v>View company online</v>
      </c>
    </row>
    <row r="1988" spans="1:135">
      <c r="A1988" s="15" t="s">
        <v>37573</v>
      </c>
      <c r="B1988" s="15" t="s">
        <v>37574</v>
      </c>
      <c r="C1988" s="15" t="s">
        <v>138</v>
      </c>
      <c r="D1988" s="15" t="s">
        <v>138</v>
      </c>
      <c r="E1988" s="15" t="s">
        <v>138</v>
      </c>
      <c r="F1988" s="15" t="s">
        <v>37573</v>
      </c>
      <c r="G1988" s="15" t="s">
        <v>37575</v>
      </c>
      <c r="H1988" s="15" t="s">
        <v>238</v>
      </c>
      <c r="I1988" s="15" t="s">
        <v>749</v>
      </c>
      <c r="J1988" s="15" t="s">
        <v>750</v>
      </c>
      <c r="K1988" s="15" t="s">
        <v>751</v>
      </c>
      <c r="L1988" s="15" t="s">
        <v>138</v>
      </c>
      <c r="M1988" s="15" t="s">
        <v>37576</v>
      </c>
      <c r="N1988" s="15" t="s">
        <v>1452</v>
      </c>
      <c r="O1988" s="17">
        <v>11.45</v>
      </c>
      <c r="P1988" s="15" t="s">
        <v>148</v>
      </c>
      <c r="Q1988" s="15" t="s">
        <v>149</v>
      </c>
      <c r="R1988" s="15" t="s">
        <v>328</v>
      </c>
      <c r="S1988" s="15" t="s">
        <v>37577</v>
      </c>
      <c r="T1988" s="18" t="s">
        <v>138</v>
      </c>
      <c r="U1988" s="15" t="s">
        <v>138</v>
      </c>
      <c r="V1988" s="15" t="s">
        <v>138</v>
      </c>
      <c r="W1988" s="15" t="s">
        <v>138</v>
      </c>
      <c r="X1988" s="19">
        <v>2009</v>
      </c>
      <c r="Y1988" s="15" t="s">
        <v>138</v>
      </c>
      <c r="Z1988" s="15" t="s">
        <v>138</v>
      </c>
      <c r="AA1988" s="15" t="s">
        <v>138</v>
      </c>
      <c r="AB1988" s="20" t="s">
        <v>138</v>
      </c>
      <c r="AC1988" s="20" t="s">
        <v>138</v>
      </c>
      <c r="AD1988" s="20" t="s">
        <v>138</v>
      </c>
      <c r="AE1988" s="20" t="s">
        <v>138</v>
      </c>
      <c r="AF1988" s="20" t="s">
        <v>138</v>
      </c>
      <c r="AG1988" s="15" t="s">
        <v>138</v>
      </c>
      <c r="AH1988" s="20" t="s">
        <v>138</v>
      </c>
      <c r="AI1988" s="20" t="s">
        <v>138</v>
      </c>
      <c r="AJ1988" s="20" t="s">
        <v>138</v>
      </c>
      <c r="AK1988" s="15" t="s">
        <v>37578</v>
      </c>
      <c r="AL1988" s="15" t="s">
        <v>37579</v>
      </c>
      <c r="AM1988" s="15" t="s">
        <v>986</v>
      </c>
      <c r="AN1988" s="15" t="s">
        <v>37580</v>
      </c>
      <c r="AO1988" s="15" t="s">
        <v>37581</v>
      </c>
      <c r="AP1988" s="15" t="s">
        <v>665</v>
      </c>
      <c r="AQ1988" s="15" t="s">
        <v>37582</v>
      </c>
      <c r="AR1988" s="15" t="s">
        <v>138</v>
      </c>
      <c r="AS1988" s="15" t="s">
        <v>668</v>
      </c>
      <c r="AT1988" s="15" t="s">
        <v>200</v>
      </c>
      <c r="AU1988" s="15" t="s">
        <v>691</v>
      </c>
      <c r="AV1988" s="15" t="s">
        <v>162</v>
      </c>
      <c r="AW1988" s="15" t="s">
        <v>37581</v>
      </c>
      <c r="AX1988" s="15" t="s">
        <v>138</v>
      </c>
      <c r="AY1988" s="15" t="s">
        <v>37583</v>
      </c>
      <c r="AZ1988" s="15" t="s">
        <v>164</v>
      </c>
      <c r="BA1988" s="15" t="s">
        <v>165</v>
      </c>
      <c r="BB1988" s="15" t="s">
        <v>37584</v>
      </c>
      <c r="BC1988" s="15" t="s">
        <v>37585</v>
      </c>
      <c r="BD1988" s="21">
        <v>2</v>
      </c>
      <c r="BE1988" s="15" t="s">
        <v>138</v>
      </c>
      <c r="BF1988" s="15" t="s">
        <v>138</v>
      </c>
      <c r="BG1988" s="15" t="s">
        <v>138</v>
      </c>
      <c r="BH1988" s="15" t="s">
        <v>37586</v>
      </c>
      <c r="BI1988" s="15" t="s">
        <v>138</v>
      </c>
      <c r="BJ1988" s="15" t="s">
        <v>138</v>
      </c>
      <c r="BK1988" s="15" t="s">
        <v>138</v>
      </c>
      <c r="BL1988" s="15" t="s">
        <v>138</v>
      </c>
      <c r="BM1988" s="22">
        <v>43010</v>
      </c>
      <c r="BN1988" s="17">
        <v>3</v>
      </c>
      <c r="BO1988" s="15" t="s">
        <v>1178</v>
      </c>
      <c r="BP1988" s="17">
        <v>10</v>
      </c>
      <c r="BQ1988" s="15" t="s">
        <v>172</v>
      </c>
      <c r="BR1988" s="15" t="s">
        <v>173</v>
      </c>
      <c r="BS1988" s="15" t="s">
        <v>206</v>
      </c>
      <c r="BT1988" s="15" t="s">
        <v>138</v>
      </c>
      <c r="BU1988" s="15" t="s">
        <v>174</v>
      </c>
      <c r="BV1988" s="15" t="s">
        <v>138</v>
      </c>
      <c r="BW1988" s="15" t="s">
        <v>138</v>
      </c>
      <c r="BX1988" s="15" t="s">
        <v>138</v>
      </c>
      <c r="BY1988" s="15" t="s">
        <v>175</v>
      </c>
      <c r="BZ1988" s="22">
        <v>43560</v>
      </c>
      <c r="CA1988" s="17">
        <v>8.4499999999999993</v>
      </c>
      <c r="CB1988" s="15" t="s">
        <v>172</v>
      </c>
      <c r="CC1988" s="17" t="s">
        <v>138</v>
      </c>
      <c r="CD1988" s="15" t="s">
        <v>138</v>
      </c>
      <c r="CE1988" s="15" t="s">
        <v>1673</v>
      </c>
      <c r="CF1988" s="15" t="s">
        <v>138</v>
      </c>
      <c r="CG1988" s="15" t="s">
        <v>138</v>
      </c>
      <c r="CH1988" s="15" t="s">
        <v>351</v>
      </c>
      <c r="CI1988" s="15" t="s">
        <v>138</v>
      </c>
      <c r="CJ1988" s="15" t="s">
        <v>138</v>
      </c>
      <c r="CK1988" s="15" t="s">
        <v>138</v>
      </c>
      <c r="CL1988" s="15" t="s">
        <v>175</v>
      </c>
      <c r="CM1988" s="22" t="s">
        <v>138</v>
      </c>
      <c r="CN1988" s="17" t="s">
        <v>138</v>
      </c>
      <c r="CO1988" s="23">
        <v>1.75</v>
      </c>
      <c r="CP1988" s="24">
        <v>99</v>
      </c>
      <c r="CQ1988" s="23">
        <v>0.01</v>
      </c>
      <c r="CR1988" s="23">
        <v>0.77</v>
      </c>
      <c r="CS1988" s="23" t="s">
        <v>138</v>
      </c>
      <c r="CT1988" s="24" t="s">
        <v>138</v>
      </c>
      <c r="CU1988" s="23">
        <v>1.75</v>
      </c>
      <c r="CV1988" s="24">
        <v>99</v>
      </c>
      <c r="CW1988" s="23" t="s">
        <v>138</v>
      </c>
      <c r="CX1988" s="24" t="s">
        <v>138</v>
      </c>
      <c r="CY1988" s="23" t="s">
        <v>138</v>
      </c>
      <c r="CZ1988" s="24" t="s">
        <v>138</v>
      </c>
      <c r="DA1988" s="23">
        <v>-0.01</v>
      </c>
      <c r="DB1988" s="24">
        <v>21</v>
      </c>
      <c r="DC1988" s="25">
        <v>20.010000000000002</v>
      </c>
      <c r="DD1988" s="24">
        <v>95</v>
      </c>
      <c r="DE1988" s="25">
        <v>0.11</v>
      </c>
      <c r="DF1988" s="23">
        <v>0.54</v>
      </c>
      <c r="DG1988" s="25" t="s">
        <v>138</v>
      </c>
      <c r="DH1988" s="24" t="s">
        <v>138</v>
      </c>
      <c r="DI1988" s="25">
        <v>20.010000000000002</v>
      </c>
      <c r="DJ1988" s="24">
        <v>91</v>
      </c>
      <c r="DK1988" s="25" t="s">
        <v>138</v>
      </c>
      <c r="DL1988" s="24" t="s">
        <v>138</v>
      </c>
      <c r="DM1988" s="25" t="s">
        <v>138</v>
      </c>
      <c r="DN1988" s="24" t="s">
        <v>138</v>
      </c>
      <c r="DO1988" s="25">
        <v>39.56</v>
      </c>
      <c r="DP1988" s="24">
        <v>96</v>
      </c>
      <c r="DQ1988" s="24" t="s">
        <v>138</v>
      </c>
      <c r="DR1988" s="26" t="s">
        <v>138</v>
      </c>
      <c r="DS1988" s="23" t="s">
        <v>138</v>
      </c>
      <c r="DT1988" s="24" t="s">
        <v>138</v>
      </c>
      <c r="DU1988" s="26" t="s">
        <v>138</v>
      </c>
      <c r="DV1988" s="23" t="s">
        <v>138</v>
      </c>
      <c r="DW1988" s="24">
        <v>14165</v>
      </c>
      <c r="DX1988" s="27">
        <v>-2</v>
      </c>
      <c r="DY1988" s="23">
        <v>-0.01</v>
      </c>
      <c r="DZ1988" s="15" t="s">
        <v>178</v>
      </c>
      <c r="EA1988" s="22">
        <v>43563</v>
      </c>
      <c r="EB1988" s="17">
        <v>10</v>
      </c>
      <c r="EC1988" s="22">
        <v>43010</v>
      </c>
      <c r="ED1988" s="15" t="s">
        <v>173</v>
      </c>
      <c r="EE1988" s="14" t="str">
        <f>HYPERLINK("https://my.pitchbook.com?c=221946-31", "View company online")</f>
        <v>View company online</v>
      </c>
    </row>
    <row r="1989" spans="1:135">
      <c r="A1989" s="28" t="s">
        <v>37587</v>
      </c>
      <c r="B1989" s="28" t="s">
        <v>22290</v>
      </c>
      <c r="C1989" s="28" t="s">
        <v>138</v>
      </c>
      <c r="D1989" s="28" t="s">
        <v>138</v>
      </c>
      <c r="E1989" s="28" t="s">
        <v>37588</v>
      </c>
      <c r="F1989" s="28" t="s">
        <v>37587</v>
      </c>
      <c r="G1989" s="28" t="s">
        <v>37589</v>
      </c>
      <c r="H1989" s="28" t="s">
        <v>322</v>
      </c>
      <c r="I1989" s="28" t="s">
        <v>323</v>
      </c>
      <c r="J1989" s="28" t="s">
        <v>461</v>
      </c>
      <c r="K1989" s="28" t="s">
        <v>26613</v>
      </c>
      <c r="L1989" s="28" t="s">
        <v>6052</v>
      </c>
      <c r="M1989" s="28" t="s">
        <v>37590</v>
      </c>
      <c r="N1989" s="28" t="s">
        <v>147</v>
      </c>
      <c r="O1989" s="29">
        <v>6</v>
      </c>
      <c r="P1989" s="28" t="s">
        <v>148</v>
      </c>
      <c r="Q1989" s="28" t="s">
        <v>149</v>
      </c>
      <c r="R1989" s="28" t="s">
        <v>150</v>
      </c>
      <c r="S1989" s="28" t="s">
        <v>37591</v>
      </c>
      <c r="T1989" s="30" t="s">
        <v>138</v>
      </c>
      <c r="U1989" s="28" t="s">
        <v>138</v>
      </c>
      <c r="V1989" s="28" t="s">
        <v>138</v>
      </c>
      <c r="W1989" s="28" t="s">
        <v>138</v>
      </c>
      <c r="X1989" s="31" t="s">
        <v>138</v>
      </c>
      <c r="Y1989" s="28" t="s">
        <v>138</v>
      </c>
      <c r="Z1989" s="28" t="s">
        <v>138</v>
      </c>
      <c r="AA1989" s="28" t="s">
        <v>138</v>
      </c>
      <c r="AB1989" s="32" t="s">
        <v>138</v>
      </c>
      <c r="AC1989" s="32" t="s">
        <v>138</v>
      </c>
      <c r="AD1989" s="32" t="s">
        <v>138</v>
      </c>
      <c r="AE1989" s="32" t="s">
        <v>138</v>
      </c>
      <c r="AF1989" s="32" t="s">
        <v>138</v>
      </c>
      <c r="AG1989" s="28" t="s">
        <v>138</v>
      </c>
      <c r="AH1989" s="32" t="s">
        <v>138</v>
      </c>
      <c r="AI1989" s="32" t="s">
        <v>138</v>
      </c>
      <c r="AJ1989" s="32" t="s">
        <v>138</v>
      </c>
      <c r="AK1989" s="28" t="s">
        <v>37592</v>
      </c>
      <c r="AL1989" s="28" t="s">
        <v>37593</v>
      </c>
      <c r="AM1989" s="28" t="s">
        <v>566</v>
      </c>
      <c r="AN1989" s="28" t="s">
        <v>37594</v>
      </c>
      <c r="AO1989" s="28" t="s">
        <v>37595</v>
      </c>
      <c r="AP1989" s="28" t="s">
        <v>30614</v>
      </c>
      <c r="AQ1989" s="28" t="s">
        <v>37596</v>
      </c>
      <c r="AR1989" s="28" t="s">
        <v>37597</v>
      </c>
      <c r="AS1989" s="28" t="s">
        <v>30616</v>
      </c>
      <c r="AT1989" s="28" t="s">
        <v>371</v>
      </c>
      <c r="AU1989" s="28" t="s">
        <v>37598</v>
      </c>
      <c r="AV1989" s="28" t="s">
        <v>162</v>
      </c>
      <c r="AW1989" s="28" t="s">
        <v>37595</v>
      </c>
      <c r="AX1989" s="28" t="s">
        <v>37599</v>
      </c>
      <c r="AY1989" s="28" t="s">
        <v>138</v>
      </c>
      <c r="AZ1989" s="28" t="s">
        <v>164</v>
      </c>
      <c r="BA1989" s="28" t="s">
        <v>165</v>
      </c>
      <c r="BB1989" s="28" t="s">
        <v>37600</v>
      </c>
      <c r="BC1989" s="28" t="s">
        <v>24320</v>
      </c>
      <c r="BD1989" s="33">
        <v>1</v>
      </c>
      <c r="BE1989" s="28" t="s">
        <v>37601</v>
      </c>
      <c r="BF1989" s="28" t="s">
        <v>138</v>
      </c>
      <c r="BG1989" s="28" t="s">
        <v>138</v>
      </c>
      <c r="BH1989" s="28" t="s">
        <v>3002</v>
      </c>
      <c r="BI1989" s="28" t="s">
        <v>138</v>
      </c>
      <c r="BJ1989" s="28" t="s">
        <v>138</v>
      </c>
      <c r="BK1989" s="28" t="s">
        <v>138</v>
      </c>
      <c r="BL1989" s="28" t="s">
        <v>4125</v>
      </c>
      <c r="BM1989" s="34">
        <v>42873</v>
      </c>
      <c r="BN1989" s="29">
        <v>7.9</v>
      </c>
      <c r="BO1989" s="28" t="s">
        <v>172</v>
      </c>
      <c r="BP1989" s="29">
        <v>30.02</v>
      </c>
      <c r="BQ1989" s="28" t="s">
        <v>172</v>
      </c>
      <c r="BR1989" s="28" t="s">
        <v>173</v>
      </c>
      <c r="BS1989" s="28" t="s">
        <v>206</v>
      </c>
      <c r="BT1989" s="28" t="s">
        <v>138</v>
      </c>
      <c r="BU1989" s="28" t="s">
        <v>174</v>
      </c>
      <c r="BV1989" s="28" t="s">
        <v>138</v>
      </c>
      <c r="BW1989" s="28" t="s">
        <v>138</v>
      </c>
      <c r="BX1989" s="28" t="s">
        <v>138</v>
      </c>
      <c r="BY1989" s="28" t="s">
        <v>175</v>
      </c>
      <c r="BZ1989" s="34">
        <v>43242</v>
      </c>
      <c r="CA1989" s="29" t="s">
        <v>138</v>
      </c>
      <c r="CB1989" s="28" t="s">
        <v>138</v>
      </c>
      <c r="CC1989" s="29" t="s">
        <v>138</v>
      </c>
      <c r="CD1989" s="28" t="s">
        <v>138</v>
      </c>
      <c r="CE1989" s="28" t="s">
        <v>2228</v>
      </c>
      <c r="CF1989" s="28" t="s">
        <v>138</v>
      </c>
      <c r="CG1989" s="28" t="s">
        <v>138</v>
      </c>
      <c r="CH1989" s="28" t="s">
        <v>780</v>
      </c>
      <c r="CI1989" s="28" t="s">
        <v>138</v>
      </c>
      <c r="CJ1989" s="28" t="s">
        <v>138</v>
      </c>
      <c r="CK1989" s="28" t="s">
        <v>138</v>
      </c>
      <c r="CL1989" s="28" t="s">
        <v>175</v>
      </c>
      <c r="CM1989" s="34" t="s">
        <v>138</v>
      </c>
      <c r="CN1989" s="29" t="s">
        <v>138</v>
      </c>
      <c r="CO1989" s="35">
        <v>2.94</v>
      </c>
      <c r="CP1989" s="36">
        <v>100</v>
      </c>
      <c r="CQ1989" s="35">
        <v>0.68</v>
      </c>
      <c r="CR1989" s="35">
        <v>29.81</v>
      </c>
      <c r="CS1989" s="35">
        <v>5.8</v>
      </c>
      <c r="CT1989" s="36">
        <v>100</v>
      </c>
      <c r="CU1989" s="35">
        <v>0.08</v>
      </c>
      <c r="CV1989" s="36">
        <v>64</v>
      </c>
      <c r="CW1989" s="35">
        <v>3.31</v>
      </c>
      <c r="CX1989" s="36">
        <v>92</v>
      </c>
      <c r="CY1989" s="35">
        <v>8.3000000000000007</v>
      </c>
      <c r="CZ1989" s="36">
        <v>100</v>
      </c>
      <c r="DA1989" s="35">
        <v>0.17</v>
      </c>
      <c r="DB1989" s="36">
        <v>80</v>
      </c>
      <c r="DC1989" s="37">
        <v>10.36</v>
      </c>
      <c r="DD1989" s="36">
        <v>90</v>
      </c>
      <c r="DE1989" s="37">
        <v>-0.02</v>
      </c>
      <c r="DF1989" s="35">
        <v>-0.2</v>
      </c>
      <c r="DG1989" s="37">
        <v>17.61</v>
      </c>
      <c r="DH1989" s="36">
        <v>94</v>
      </c>
      <c r="DI1989" s="37">
        <v>3.12</v>
      </c>
      <c r="DJ1989" s="36">
        <v>70</v>
      </c>
      <c r="DK1989" s="37">
        <v>7.63</v>
      </c>
      <c r="DL1989" s="36">
        <v>84</v>
      </c>
      <c r="DM1989" s="37">
        <v>27.59</v>
      </c>
      <c r="DN1989" s="36">
        <v>96</v>
      </c>
      <c r="DO1989" s="37">
        <v>1.22</v>
      </c>
      <c r="DP1989" s="36">
        <v>54</v>
      </c>
      <c r="DQ1989" s="36">
        <v>2521</v>
      </c>
      <c r="DR1989" s="38">
        <v>289</v>
      </c>
      <c r="DS1989" s="35">
        <v>12.95</v>
      </c>
      <c r="DT1989" s="36">
        <v>789</v>
      </c>
      <c r="DU1989" s="38">
        <v>128</v>
      </c>
      <c r="DV1989" s="35">
        <v>19.36</v>
      </c>
      <c r="DW1989" s="36">
        <v>436</v>
      </c>
      <c r="DX1989" s="39">
        <v>-1</v>
      </c>
      <c r="DY1989" s="35">
        <v>-0.23</v>
      </c>
      <c r="DZ1989" s="28" t="s">
        <v>178</v>
      </c>
      <c r="EA1989" s="34">
        <v>43622</v>
      </c>
      <c r="EB1989" s="29">
        <v>30.02</v>
      </c>
      <c r="EC1989" s="34">
        <v>42873</v>
      </c>
      <c r="ED1989" s="28" t="s">
        <v>173</v>
      </c>
      <c r="EE1989" s="40" t="str">
        <f>HYPERLINK("https://my.pitchbook.com?c=181655-83", "View company online")</f>
        <v>View company online</v>
      </c>
    </row>
    <row r="1990" spans="1:135">
      <c r="A1990" s="15" t="s">
        <v>37602</v>
      </c>
      <c r="B1990" s="15" t="s">
        <v>37603</v>
      </c>
      <c r="C1990" s="15" t="s">
        <v>138</v>
      </c>
      <c r="D1990" s="15" t="s">
        <v>138</v>
      </c>
      <c r="E1990" s="15" t="s">
        <v>138</v>
      </c>
      <c r="F1990" s="15" t="s">
        <v>37602</v>
      </c>
      <c r="G1990" s="15" t="s">
        <v>37604</v>
      </c>
      <c r="H1990" s="15" t="s">
        <v>183</v>
      </c>
      <c r="I1990" s="15" t="s">
        <v>4681</v>
      </c>
      <c r="J1990" s="15" t="s">
        <v>9676</v>
      </c>
      <c r="K1990" s="15" t="s">
        <v>25558</v>
      </c>
      <c r="L1990" s="15" t="s">
        <v>37605</v>
      </c>
      <c r="M1990" s="15" t="s">
        <v>37606</v>
      </c>
      <c r="N1990" s="15" t="s">
        <v>147</v>
      </c>
      <c r="O1990" s="17">
        <v>22.17</v>
      </c>
      <c r="P1990" s="15" t="s">
        <v>148</v>
      </c>
      <c r="Q1990" s="15" t="s">
        <v>149</v>
      </c>
      <c r="R1990" s="15" t="s">
        <v>244</v>
      </c>
      <c r="S1990" s="15" t="s">
        <v>37607</v>
      </c>
      <c r="T1990" s="18">
        <v>30</v>
      </c>
      <c r="U1990" s="15" t="s">
        <v>37608</v>
      </c>
      <c r="V1990" s="15" t="s">
        <v>138</v>
      </c>
      <c r="W1990" s="15" t="s">
        <v>138</v>
      </c>
      <c r="X1990" s="19" t="s">
        <v>138</v>
      </c>
      <c r="Y1990" s="15" t="s">
        <v>138</v>
      </c>
      <c r="Z1990" s="15" t="s">
        <v>138</v>
      </c>
      <c r="AA1990" s="15" t="s">
        <v>138</v>
      </c>
      <c r="AB1990" s="20" t="s">
        <v>138</v>
      </c>
      <c r="AC1990" s="20" t="s">
        <v>138</v>
      </c>
      <c r="AD1990" s="20" t="s">
        <v>138</v>
      </c>
      <c r="AE1990" s="20" t="s">
        <v>138</v>
      </c>
      <c r="AF1990" s="20" t="s">
        <v>138</v>
      </c>
      <c r="AG1990" s="15" t="s">
        <v>138</v>
      </c>
      <c r="AH1990" s="20" t="s">
        <v>138</v>
      </c>
      <c r="AI1990" s="20" t="s">
        <v>138</v>
      </c>
      <c r="AJ1990" s="20" t="s">
        <v>138</v>
      </c>
      <c r="AK1990" s="15" t="s">
        <v>37609</v>
      </c>
      <c r="AL1990" s="15" t="s">
        <v>37610</v>
      </c>
      <c r="AM1990" s="15" t="s">
        <v>15966</v>
      </c>
      <c r="AN1990" s="15" t="s">
        <v>37611</v>
      </c>
      <c r="AO1990" s="15" t="s">
        <v>37612</v>
      </c>
      <c r="AP1990" s="15" t="s">
        <v>665</v>
      </c>
      <c r="AQ1990" s="15" t="s">
        <v>37613</v>
      </c>
      <c r="AR1990" s="15" t="s">
        <v>138</v>
      </c>
      <c r="AS1990" s="15" t="s">
        <v>668</v>
      </c>
      <c r="AT1990" s="15" t="s">
        <v>200</v>
      </c>
      <c r="AU1990" s="15" t="s">
        <v>1723</v>
      </c>
      <c r="AV1990" s="15" t="s">
        <v>162</v>
      </c>
      <c r="AW1990" s="15" t="s">
        <v>37612</v>
      </c>
      <c r="AX1990" s="15" t="s">
        <v>138</v>
      </c>
      <c r="AY1990" s="15" t="s">
        <v>37614</v>
      </c>
      <c r="AZ1990" s="15" t="s">
        <v>164</v>
      </c>
      <c r="BA1990" s="15" t="s">
        <v>165</v>
      </c>
      <c r="BB1990" s="15" t="s">
        <v>37615</v>
      </c>
      <c r="BC1990" s="15" t="s">
        <v>37616</v>
      </c>
      <c r="BD1990" s="21">
        <v>15</v>
      </c>
      <c r="BE1990" s="15" t="s">
        <v>138</v>
      </c>
      <c r="BF1990" s="15" t="s">
        <v>138</v>
      </c>
      <c r="BG1990" s="15" t="s">
        <v>138</v>
      </c>
      <c r="BH1990" s="15" t="s">
        <v>37617</v>
      </c>
      <c r="BI1990" s="15" t="s">
        <v>138</v>
      </c>
      <c r="BJ1990" s="15" t="s">
        <v>138</v>
      </c>
      <c r="BK1990" s="15" t="s">
        <v>290</v>
      </c>
      <c r="BL1990" s="15" t="s">
        <v>290</v>
      </c>
      <c r="BM1990" s="22">
        <v>37987</v>
      </c>
      <c r="BN1990" s="17">
        <v>1.6</v>
      </c>
      <c r="BO1990" s="15" t="s">
        <v>172</v>
      </c>
      <c r="BP1990" s="17" t="s">
        <v>138</v>
      </c>
      <c r="BQ1990" s="15" t="s">
        <v>138</v>
      </c>
      <c r="BR1990" s="15" t="s">
        <v>176</v>
      </c>
      <c r="BS1990" s="15" t="s">
        <v>138</v>
      </c>
      <c r="BT1990" s="15" t="s">
        <v>138</v>
      </c>
      <c r="BU1990" s="15" t="s">
        <v>177</v>
      </c>
      <c r="BV1990" s="15" t="s">
        <v>138</v>
      </c>
      <c r="BW1990" s="15" t="s">
        <v>138</v>
      </c>
      <c r="BX1990" s="15" t="s">
        <v>138</v>
      </c>
      <c r="BY1990" s="15" t="s">
        <v>175</v>
      </c>
      <c r="BZ1990" s="22">
        <v>43282</v>
      </c>
      <c r="CA1990" s="17" t="s">
        <v>138</v>
      </c>
      <c r="CB1990" s="15" t="s">
        <v>138</v>
      </c>
      <c r="CC1990" s="17" t="s">
        <v>138</v>
      </c>
      <c r="CD1990" s="15" t="s">
        <v>138</v>
      </c>
      <c r="CE1990" s="15" t="s">
        <v>173</v>
      </c>
      <c r="CF1990" s="15" t="s">
        <v>138</v>
      </c>
      <c r="CG1990" s="15" t="s">
        <v>138</v>
      </c>
      <c r="CH1990" s="15" t="s">
        <v>174</v>
      </c>
      <c r="CI1990" s="15" t="s">
        <v>138</v>
      </c>
      <c r="CJ1990" s="15" t="s">
        <v>138</v>
      </c>
      <c r="CK1990" s="15" t="s">
        <v>138</v>
      </c>
      <c r="CL1990" s="15" t="s">
        <v>175</v>
      </c>
      <c r="CM1990" s="22" t="s">
        <v>138</v>
      </c>
      <c r="CN1990" s="17" t="s">
        <v>138</v>
      </c>
      <c r="CO1990" s="23">
        <v>-0.1</v>
      </c>
      <c r="CP1990" s="24">
        <v>21</v>
      </c>
      <c r="CQ1990" s="23">
        <v>-0.01</v>
      </c>
      <c r="CR1990" s="23">
        <v>-13.3</v>
      </c>
      <c r="CS1990" s="23">
        <v>-0.64</v>
      </c>
      <c r="CT1990" s="24">
        <v>18</v>
      </c>
      <c r="CU1990" s="23">
        <v>0.43</v>
      </c>
      <c r="CV1990" s="24">
        <v>92</v>
      </c>
      <c r="CW1990" s="23">
        <v>0</v>
      </c>
      <c r="CX1990" s="24">
        <v>13</v>
      </c>
      <c r="CY1990" s="23">
        <v>-1.28</v>
      </c>
      <c r="CZ1990" s="24">
        <v>17</v>
      </c>
      <c r="DA1990" s="23">
        <v>0.43</v>
      </c>
      <c r="DB1990" s="24">
        <v>93</v>
      </c>
      <c r="DC1990" s="25">
        <v>3.2</v>
      </c>
      <c r="DD1990" s="24">
        <v>76</v>
      </c>
      <c r="DE1990" s="25">
        <v>-0.06</v>
      </c>
      <c r="DF1990" s="23">
        <v>-1.75</v>
      </c>
      <c r="DG1990" s="25">
        <v>5.08</v>
      </c>
      <c r="DH1990" s="24">
        <v>83</v>
      </c>
      <c r="DI1990" s="25">
        <v>1.32</v>
      </c>
      <c r="DJ1990" s="24">
        <v>54</v>
      </c>
      <c r="DK1990" s="25">
        <v>1.0900000000000001</v>
      </c>
      <c r="DL1990" s="24">
        <v>52</v>
      </c>
      <c r="DM1990" s="25">
        <v>9.07</v>
      </c>
      <c r="DN1990" s="24">
        <v>88</v>
      </c>
      <c r="DO1990" s="25">
        <v>1.32</v>
      </c>
      <c r="DP1990" s="24">
        <v>56</v>
      </c>
      <c r="DQ1990" s="24">
        <v>390</v>
      </c>
      <c r="DR1990" s="26">
        <v>-53</v>
      </c>
      <c r="DS1990" s="23">
        <v>-11.96</v>
      </c>
      <c r="DT1990" s="24">
        <v>264</v>
      </c>
      <c r="DU1990" s="26">
        <v>-1</v>
      </c>
      <c r="DV1990" s="23">
        <v>-0.38</v>
      </c>
      <c r="DW1990" s="24">
        <v>473</v>
      </c>
      <c r="DX1990" s="27">
        <v>1</v>
      </c>
      <c r="DY1990" s="23">
        <v>0.21</v>
      </c>
      <c r="DZ1990" s="15" t="s">
        <v>178</v>
      </c>
      <c r="EA1990" s="22">
        <v>43445</v>
      </c>
      <c r="EB1990" s="17">
        <v>80</v>
      </c>
      <c r="EC1990" s="22">
        <v>42559</v>
      </c>
      <c r="ED1990" s="15" t="s">
        <v>173</v>
      </c>
      <c r="EE1990" s="14" t="str">
        <f>HYPERLINK("https://my.pitchbook.com?c=54310-69", "View company online")</f>
        <v>View company online</v>
      </c>
    </row>
    <row r="1991" spans="1:135">
      <c r="A1991" s="28" t="s">
        <v>37618</v>
      </c>
      <c r="B1991" s="28" t="s">
        <v>37619</v>
      </c>
      <c r="C1991" s="28" t="s">
        <v>138</v>
      </c>
      <c r="D1991" s="28" t="s">
        <v>37620</v>
      </c>
      <c r="E1991" s="28" t="s">
        <v>138</v>
      </c>
      <c r="F1991" s="28" t="s">
        <v>37618</v>
      </c>
      <c r="G1991" s="28" t="s">
        <v>37621</v>
      </c>
      <c r="H1991" s="28" t="s">
        <v>141</v>
      </c>
      <c r="I1991" s="28" t="s">
        <v>212</v>
      </c>
      <c r="J1991" s="28" t="s">
        <v>213</v>
      </c>
      <c r="K1991" s="28" t="s">
        <v>37622</v>
      </c>
      <c r="L1991" s="28" t="s">
        <v>21351</v>
      </c>
      <c r="M1991" s="28" t="s">
        <v>37623</v>
      </c>
      <c r="N1991" s="28" t="s">
        <v>147</v>
      </c>
      <c r="O1991" s="29">
        <v>185.8</v>
      </c>
      <c r="P1991" s="28" t="s">
        <v>148</v>
      </c>
      <c r="Q1991" s="28" t="s">
        <v>149</v>
      </c>
      <c r="R1991" s="28" t="s">
        <v>244</v>
      </c>
      <c r="S1991" s="28" t="s">
        <v>37624</v>
      </c>
      <c r="T1991" s="30">
        <v>100</v>
      </c>
      <c r="U1991" s="28" t="s">
        <v>37625</v>
      </c>
      <c r="V1991" s="28" t="s">
        <v>138</v>
      </c>
      <c r="W1991" s="28" t="s">
        <v>138</v>
      </c>
      <c r="X1991" s="31">
        <v>2012</v>
      </c>
      <c r="Y1991" s="28" t="s">
        <v>138</v>
      </c>
      <c r="Z1991" s="28" t="s">
        <v>138</v>
      </c>
      <c r="AA1991" s="28" t="s">
        <v>138</v>
      </c>
      <c r="AB1991" s="32">
        <v>50</v>
      </c>
      <c r="AC1991" s="32" t="s">
        <v>138</v>
      </c>
      <c r="AD1991" s="32" t="s">
        <v>138</v>
      </c>
      <c r="AE1991" s="32" t="s">
        <v>138</v>
      </c>
      <c r="AF1991" s="32" t="s">
        <v>138</v>
      </c>
      <c r="AG1991" s="28" t="s">
        <v>514</v>
      </c>
      <c r="AH1991" s="32" t="s">
        <v>138</v>
      </c>
      <c r="AI1991" s="32" t="s">
        <v>138</v>
      </c>
      <c r="AJ1991" s="32" t="s">
        <v>138</v>
      </c>
      <c r="AK1991" s="28" t="s">
        <v>37626</v>
      </c>
      <c r="AL1991" s="28" t="s">
        <v>37627</v>
      </c>
      <c r="AM1991" s="28" t="s">
        <v>304</v>
      </c>
      <c r="AN1991" s="28" t="s">
        <v>37628</v>
      </c>
      <c r="AO1991" s="28" t="s">
        <v>37629</v>
      </c>
      <c r="AP1991" s="28" t="s">
        <v>2842</v>
      </c>
      <c r="AQ1991" s="28" t="s">
        <v>37630</v>
      </c>
      <c r="AR1991" s="28" t="s">
        <v>11071</v>
      </c>
      <c r="AS1991" s="28" t="s">
        <v>2845</v>
      </c>
      <c r="AT1991" s="28" t="s">
        <v>200</v>
      </c>
      <c r="AU1991" s="28" t="s">
        <v>10437</v>
      </c>
      <c r="AV1991" s="28" t="s">
        <v>162</v>
      </c>
      <c r="AW1991" s="28" t="s">
        <v>37629</v>
      </c>
      <c r="AX1991" s="28" t="s">
        <v>37631</v>
      </c>
      <c r="AY1991" s="28" t="s">
        <v>37632</v>
      </c>
      <c r="AZ1991" s="28" t="s">
        <v>164</v>
      </c>
      <c r="BA1991" s="28" t="s">
        <v>165</v>
      </c>
      <c r="BB1991" s="28" t="s">
        <v>37633</v>
      </c>
      <c r="BC1991" s="28" t="s">
        <v>37634</v>
      </c>
      <c r="BD1991" s="33">
        <v>22</v>
      </c>
      <c r="BE1991" s="28" t="s">
        <v>138</v>
      </c>
      <c r="BF1991" s="28" t="s">
        <v>138</v>
      </c>
      <c r="BG1991" s="28" t="s">
        <v>138</v>
      </c>
      <c r="BH1991" s="28" t="s">
        <v>37635</v>
      </c>
      <c r="BI1991" s="28" t="s">
        <v>138</v>
      </c>
      <c r="BJ1991" s="28" t="s">
        <v>138</v>
      </c>
      <c r="BK1991" s="28" t="s">
        <v>37636</v>
      </c>
      <c r="BL1991" s="28" t="s">
        <v>37637</v>
      </c>
      <c r="BM1991" s="34">
        <v>41255</v>
      </c>
      <c r="BN1991" s="29">
        <v>5.07</v>
      </c>
      <c r="BO1991" s="28" t="s">
        <v>172</v>
      </c>
      <c r="BP1991" s="29">
        <v>23.57</v>
      </c>
      <c r="BQ1991" s="28" t="s">
        <v>172</v>
      </c>
      <c r="BR1991" s="28" t="s">
        <v>205</v>
      </c>
      <c r="BS1991" s="28" t="s">
        <v>206</v>
      </c>
      <c r="BT1991" s="28" t="s">
        <v>138</v>
      </c>
      <c r="BU1991" s="28" t="s">
        <v>174</v>
      </c>
      <c r="BV1991" s="28" t="s">
        <v>138</v>
      </c>
      <c r="BW1991" s="28" t="s">
        <v>138</v>
      </c>
      <c r="BX1991" s="28" t="s">
        <v>138</v>
      </c>
      <c r="BY1991" s="28" t="s">
        <v>175</v>
      </c>
      <c r="BZ1991" s="34">
        <v>42853</v>
      </c>
      <c r="CA1991" s="29">
        <v>53</v>
      </c>
      <c r="CB1991" s="28" t="s">
        <v>172</v>
      </c>
      <c r="CC1991" s="29">
        <v>118</v>
      </c>
      <c r="CD1991" s="28" t="s">
        <v>172</v>
      </c>
      <c r="CE1991" s="28" t="s">
        <v>173</v>
      </c>
      <c r="CF1991" s="28" t="s">
        <v>433</v>
      </c>
      <c r="CG1991" s="28" t="s">
        <v>138</v>
      </c>
      <c r="CH1991" s="28" t="s">
        <v>174</v>
      </c>
      <c r="CI1991" s="28" t="s">
        <v>138</v>
      </c>
      <c r="CJ1991" s="28" t="s">
        <v>138</v>
      </c>
      <c r="CK1991" s="28" t="s">
        <v>138</v>
      </c>
      <c r="CL1991" s="28" t="s">
        <v>175</v>
      </c>
      <c r="CM1991" s="34">
        <v>42523</v>
      </c>
      <c r="CN1991" s="29">
        <v>26.7</v>
      </c>
      <c r="CO1991" s="35">
        <v>0.39</v>
      </c>
      <c r="CP1991" s="36">
        <v>94</v>
      </c>
      <c r="CQ1991" s="35">
        <v>0.14000000000000001</v>
      </c>
      <c r="CR1991" s="35">
        <v>53.91</v>
      </c>
      <c r="CS1991" s="35">
        <v>1.19</v>
      </c>
      <c r="CT1991" s="36">
        <v>97</v>
      </c>
      <c r="CU1991" s="35">
        <v>-0.02</v>
      </c>
      <c r="CV1991" s="36">
        <v>17</v>
      </c>
      <c r="CW1991" s="35">
        <v>3.63</v>
      </c>
      <c r="CX1991" s="36">
        <v>93</v>
      </c>
      <c r="CY1991" s="35">
        <v>-1.26</v>
      </c>
      <c r="CZ1991" s="36">
        <v>17</v>
      </c>
      <c r="DA1991" s="35">
        <v>-0.01</v>
      </c>
      <c r="DB1991" s="36">
        <v>21</v>
      </c>
      <c r="DC1991" s="37">
        <v>104.25</v>
      </c>
      <c r="DD1991" s="36">
        <v>99</v>
      </c>
      <c r="DE1991" s="37">
        <v>-0.65</v>
      </c>
      <c r="DF1991" s="35">
        <v>-0.62</v>
      </c>
      <c r="DG1991" s="37">
        <v>35.89</v>
      </c>
      <c r="DH1991" s="36">
        <v>97</v>
      </c>
      <c r="DI1991" s="37">
        <v>276.2</v>
      </c>
      <c r="DJ1991" s="36">
        <v>99</v>
      </c>
      <c r="DK1991" s="37">
        <v>58.5</v>
      </c>
      <c r="DL1991" s="36">
        <v>96</v>
      </c>
      <c r="DM1991" s="37">
        <v>13.28</v>
      </c>
      <c r="DN1991" s="36">
        <v>91</v>
      </c>
      <c r="DO1991" s="37">
        <v>372.44</v>
      </c>
      <c r="DP1991" s="36">
        <v>100</v>
      </c>
      <c r="DQ1991" s="36">
        <v>19643</v>
      </c>
      <c r="DR1991" s="38">
        <v>1272</v>
      </c>
      <c r="DS1991" s="35">
        <v>6.92</v>
      </c>
      <c r="DT1991" s="36">
        <v>363</v>
      </c>
      <c r="DU1991" s="38">
        <v>38</v>
      </c>
      <c r="DV1991" s="35">
        <v>11.69</v>
      </c>
      <c r="DW1991" s="36">
        <v>133349</v>
      </c>
      <c r="DX1991" s="39">
        <v>-31</v>
      </c>
      <c r="DY1991" s="35">
        <v>-0.02</v>
      </c>
      <c r="DZ1991" s="28" t="s">
        <v>178</v>
      </c>
      <c r="EA1991" s="34">
        <v>43495</v>
      </c>
      <c r="EB1991" s="29">
        <v>118</v>
      </c>
      <c r="EC1991" s="34">
        <v>42853</v>
      </c>
      <c r="ED1991" s="28" t="s">
        <v>173</v>
      </c>
      <c r="EE1991" s="40" t="str">
        <f>HYPERLINK("https://my.pitchbook.com?c=55546-03", "View company online")</f>
        <v>View company online</v>
      </c>
    </row>
    <row r="1992" spans="1:135">
      <c r="A1992" s="15" t="s">
        <v>37638</v>
      </c>
      <c r="B1992" s="15" t="s">
        <v>37639</v>
      </c>
      <c r="C1992" s="15" t="s">
        <v>138</v>
      </c>
      <c r="D1992" s="15" t="s">
        <v>138</v>
      </c>
      <c r="E1992" s="15" t="s">
        <v>37640</v>
      </c>
      <c r="F1992" s="15" t="s">
        <v>37638</v>
      </c>
      <c r="G1992" s="15" t="s">
        <v>37641</v>
      </c>
      <c r="H1992" s="15" t="s">
        <v>141</v>
      </c>
      <c r="I1992" s="15" t="s">
        <v>212</v>
      </c>
      <c r="J1992" s="15" t="s">
        <v>10046</v>
      </c>
      <c r="K1992" s="15" t="s">
        <v>37642</v>
      </c>
      <c r="L1992" s="15" t="s">
        <v>37643</v>
      </c>
      <c r="M1992" s="15" t="s">
        <v>37644</v>
      </c>
      <c r="N1992" s="15" t="s">
        <v>147</v>
      </c>
      <c r="O1992" s="17">
        <v>29.52</v>
      </c>
      <c r="P1992" s="15" t="s">
        <v>148</v>
      </c>
      <c r="Q1992" s="15" t="s">
        <v>149</v>
      </c>
      <c r="R1992" s="15" t="s">
        <v>174</v>
      </c>
      <c r="S1992" s="15" t="s">
        <v>37645</v>
      </c>
      <c r="T1992" s="18">
        <v>34</v>
      </c>
      <c r="U1992" s="15" t="s">
        <v>37646</v>
      </c>
      <c r="V1992" s="15" t="s">
        <v>138</v>
      </c>
      <c r="W1992" s="15" t="s">
        <v>138</v>
      </c>
      <c r="X1992" s="19">
        <v>2013</v>
      </c>
      <c r="Y1992" s="15" t="s">
        <v>138</v>
      </c>
      <c r="Z1992" s="15" t="s">
        <v>138</v>
      </c>
      <c r="AA1992" s="15" t="s">
        <v>138</v>
      </c>
      <c r="AB1992" s="20" t="s">
        <v>138</v>
      </c>
      <c r="AC1992" s="20" t="s">
        <v>138</v>
      </c>
      <c r="AD1992" s="20" t="s">
        <v>138</v>
      </c>
      <c r="AE1992" s="20" t="s">
        <v>138</v>
      </c>
      <c r="AF1992" s="20" t="s">
        <v>138</v>
      </c>
      <c r="AG1992" s="15" t="s">
        <v>138</v>
      </c>
      <c r="AH1992" s="20" t="s">
        <v>138</v>
      </c>
      <c r="AI1992" s="20" t="s">
        <v>138</v>
      </c>
      <c r="AJ1992" s="20" t="s">
        <v>138</v>
      </c>
      <c r="AK1992" s="15" t="s">
        <v>37647</v>
      </c>
      <c r="AL1992" s="15" t="s">
        <v>37648</v>
      </c>
      <c r="AM1992" s="15" t="s">
        <v>221</v>
      </c>
      <c r="AN1992" s="15" t="s">
        <v>37649</v>
      </c>
      <c r="AO1992" s="15" t="s">
        <v>138</v>
      </c>
      <c r="AP1992" s="15" t="s">
        <v>1315</v>
      </c>
      <c r="AQ1992" s="15" t="s">
        <v>37650</v>
      </c>
      <c r="AR1992" s="15" t="s">
        <v>138</v>
      </c>
      <c r="AS1992" s="15" t="s">
        <v>1317</v>
      </c>
      <c r="AT1992" s="15" t="s">
        <v>138</v>
      </c>
      <c r="AU1992" s="15" t="s">
        <v>37651</v>
      </c>
      <c r="AV1992" s="15" t="s">
        <v>1319</v>
      </c>
      <c r="AW1992" s="15" t="s">
        <v>138</v>
      </c>
      <c r="AX1992" s="15" t="s">
        <v>138</v>
      </c>
      <c r="AY1992" s="15" t="s">
        <v>37652</v>
      </c>
      <c r="AZ1992" s="15" t="s">
        <v>530</v>
      </c>
      <c r="BA1992" s="15" t="s">
        <v>531</v>
      </c>
      <c r="BB1992" s="15" t="s">
        <v>37653</v>
      </c>
      <c r="BC1992" s="15" t="s">
        <v>37654</v>
      </c>
      <c r="BD1992" s="21">
        <v>11</v>
      </c>
      <c r="BE1992" s="15" t="s">
        <v>138</v>
      </c>
      <c r="BF1992" s="15" t="s">
        <v>138</v>
      </c>
      <c r="BG1992" s="15" t="s">
        <v>138</v>
      </c>
      <c r="BH1992" s="15" t="s">
        <v>37655</v>
      </c>
      <c r="BI1992" s="15" t="s">
        <v>138</v>
      </c>
      <c r="BJ1992" s="15" t="s">
        <v>138</v>
      </c>
      <c r="BK1992" s="15" t="s">
        <v>1275</v>
      </c>
      <c r="BL1992" s="15" t="s">
        <v>1275</v>
      </c>
      <c r="BM1992" s="22">
        <v>41365</v>
      </c>
      <c r="BN1992" s="17">
        <v>0.02</v>
      </c>
      <c r="BO1992" s="15" t="s">
        <v>172</v>
      </c>
      <c r="BP1992" s="17" t="s">
        <v>138</v>
      </c>
      <c r="BQ1992" s="15" t="s">
        <v>138</v>
      </c>
      <c r="BR1992" s="15" t="s">
        <v>316</v>
      </c>
      <c r="BS1992" s="15" t="s">
        <v>138</v>
      </c>
      <c r="BT1992" s="15" t="s">
        <v>138</v>
      </c>
      <c r="BU1992" s="15" t="s">
        <v>177</v>
      </c>
      <c r="BV1992" s="15" t="s">
        <v>138</v>
      </c>
      <c r="BW1992" s="15" t="s">
        <v>138</v>
      </c>
      <c r="BX1992" s="15" t="s">
        <v>138</v>
      </c>
      <c r="BY1992" s="15" t="s">
        <v>175</v>
      </c>
      <c r="BZ1992" s="22">
        <v>43550</v>
      </c>
      <c r="CA1992" s="17">
        <v>18</v>
      </c>
      <c r="CB1992" s="15" t="s">
        <v>172</v>
      </c>
      <c r="CC1992" s="17" t="s">
        <v>138</v>
      </c>
      <c r="CD1992" s="15" t="s">
        <v>138</v>
      </c>
      <c r="CE1992" s="15" t="s">
        <v>173</v>
      </c>
      <c r="CF1992" s="15" t="s">
        <v>317</v>
      </c>
      <c r="CG1992" s="15" t="s">
        <v>138</v>
      </c>
      <c r="CH1992" s="15" t="s">
        <v>174</v>
      </c>
      <c r="CI1992" s="15" t="s">
        <v>138</v>
      </c>
      <c r="CJ1992" s="15" t="s">
        <v>138</v>
      </c>
      <c r="CK1992" s="15" t="s">
        <v>138</v>
      </c>
      <c r="CL1992" s="15" t="s">
        <v>175</v>
      </c>
      <c r="CM1992" s="22" t="s">
        <v>138</v>
      </c>
      <c r="CN1992" s="17" t="s">
        <v>138</v>
      </c>
      <c r="CO1992" s="23">
        <v>0.08</v>
      </c>
      <c r="CP1992" s="24">
        <v>89</v>
      </c>
      <c r="CQ1992" s="23">
        <v>0.06</v>
      </c>
      <c r="CR1992" s="23">
        <v>280.94</v>
      </c>
      <c r="CS1992" s="23">
        <v>0.12</v>
      </c>
      <c r="CT1992" s="24">
        <v>94</v>
      </c>
      <c r="CU1992" s="23">
        <v>0.05</v>
      </c>
      <c r="CV1992" s="24">
        <v>58</v>
      </c>
      <c r="CW1992" s="23">
        <v>0.61</v>
      </c>
      <c r="CX1992" s="24">
        <v>83</v>
      </c>
      <c r="CY1992" s="23">
        <v>-0.38</v>
      </c>
      <c r="CZ1992" s="24">
        <v>23</v>
      </c>
      <c r="DA1992" s="23">
        <v>0.11</v>
      </c>
      <c r="DB1992" s="24">
        <v>73</v>
      </c>
      <c r="DC1992" s="25">
        <v>214.19</v>
      </c>
      <c r="DD1992" s="24">
        <v>100</v>
      </c>
      <c r="DE1992" s="25">
        <v>-13.77</v>
      </c>
      <c r="DF1992" s="23">
        <v>-6.04</v>
      </c>
      <c r="DG1992" s="25">
        <v>362.02</v>
      </c>
      <c r="DH1992" s="24">
        <v>100</v>
      </c>
      <c r="DI1992" s="25">
        <v>66.349999999999994</v>
      </c>
      <c r="DJ1992" s="24">
        <v>96</v>
      </c>
      <c r="DK1992" s="25">
        <v>452.62</v>
      </c>
      <c r="DL1992" s="24">
        <v>100</v>
      </c>
      <c r="DM1992" s="25">
        <v>271.41000000000003</v>
      </c>
      <c r="DN1992" s="24">
        <v>100</v>
      </c>
      <c r="DO1992" s="25">
        <v>82.06</v>
      </c>
      <c r="DP1992" s="24">
        <v>98</v>
      </c>
      <c r="DQ1992" s="24">
        <v>156113</v>
      </c>
      <c r="DR1992" s="26">
        <v>-2590</v>
      </c>
      <c r="DS1992" s="23">
        <v>-1.63</v>
      </c>
      <c r="DT1992" s="24">
        <v>7840</v>
      </c>
      <c r="DU1992" s="26">
        <v>141</v>
      </c>
      <c r="DV1992" s="23">
        <v>1.83</v>
      </c>
      <c r="DW1992" s="24">
        <v>29378</v>
      </c>
      <c r="DX1992" s="27">
        <v>44</v>
      </c>
      <c r="DY1992" s="23">
        <v>0.15</v>
      </c>
      <c r="DZ1992" s="15" t="s">
        <v>178</v>
      </c>
      <c r="EA1992" s="22">
        <v>43622</v>
      </c>
      <c r="EB1992" s="17" t="s">
        <v>138</v>
      </c>
      <c r="EC1992" s="22" t="s">
        <v>138</v>
      </c>
      <c r="ED1992" s="15" t="s">
        <v>138</v>
      </c>
      <c r="EE1992" s="14" t="str">
        <f>HYPERLINK("https://my.pitchbook.com?c=58634-74", "View company online")</f>
        <v>View company online</v>
      </c>
    </row>
    <row r="1993" spans="1:135">
      <c r="A1993" s="28" t="s">
        <v>37656</v>
      </c>
      <c r="B1993" s="28" t="s">
        <v>37657</v>
      </c>
      <c r="C1993" s="28" t="s">
        <v>138</v>
      </c>
      <c r="D1993" s="28" t="s">
        <v>37658</v>
      </c>
      <c r="E1993" s="28" t="s">
        <v>138</v>
      </c>
      <c r="F1993" s="28" t="s">
        <v>37656</v>
      </c>
      <c r="G1993" s="28" t="s">
        <v>37659</v>
      </c>
      <c r="H1993" s="28" t="s">
        <v>141</v>
      </c>
      <c r="I1993" s="28" t="s">
        <v>212</v>
      </c>
      <c r="J1993" s="28" t="s">
        <v>1257</v>
      </c>
      <c r="K1993" s="28" t="s">
        <v>37660</v>
      </c>
      <c r="L1993" s="28" t="s">
        <v>415</v>
      </c>
      <c r="M1993" s="28" t="s">
        <v>37661</v>
      </c>
      <c r="N1993" s="28" t="s">
        <v>147</v>
      </c>
      <c r="O1993" s="29">
        <v>5</v>
      </c>
      <c r="P1993" s="28" t="s">
        <v>1473</v>
      </c>
      <c r="Q1993" s="28" t="s">
        <v>149</v>
      </c>
      <c r="R1993" s="28" t="s">
        <v>174</v>
      </c>
      <c r="S1993" s="28" t="s">
        <v>37662</v>
      </c>
      <c r="T1993" s="30">
        <v>18</v>
      </c>
      <c r="U1993" s="28" t="s">
        <v>37663</v>
      </c>
      <c r="V1993" s="28" t="s">
        <v>138</v>
      </c>
      <c r="W1993" s="28" t="s">
        <v>138</v>
      </c>
      <c r="X1993" s="31">
        <v>2006</v>
      </c>
      <c r="Y1993" s="28" t="s">
        <v>138</v>
      </c>
      <c r="Z1993" s="28" t="s">
        <v>138</v>
      </c>
      <c r="AA1993" s="28" t="s">
        <v>138</v>
      </c>
      <c r="AB1993" s="32">
        <v>2</v>
      </c>
      <c r="AC1993" s="32" t="s">
        <v>138</v>
      </c>
      <c r="AD1993" s="32" t="s">
        <v>138</v>
      </c>
      <c r="AE1993" s="32" t="s">
        <v>138</v>
      </c>
      <c r="AF1993" s="32" t="s">
        <v>138</v>
      </c>
      <c r="AG1993" s="28" t="s">
        <v>707</v>
      </c>
      <c r="AH1993" s="32" t="s">
        <v>138</v>
      </c>
      <c r="AI1993" s="32" t="s">
        <v>138</v>
      </c>
      <c r="AJ1993" s="32" t="s">
        <v>138</v>
      </c>
      <c r="AK1993" s="28" t="s">
        <v>37664</v>
      </c>
      <c r="AL1993" s="28" t="s">
        <v>37665</v>
      </c>
      <c r="AM1993" s="28" t="s">
        <v>249</v>
      </c>
      <c r="AN1993" s="28" t="s">
        <v>37666</v>
      </c>
      <c r="AO1993" s="28" t="s">
        <v>37667</v>
      </c>
      <c r="AP1993" s="28" t="s">
        <v>9461</v>
      </c>
      <c r="AQ1993" s="28" t="s">
        <v>37668</v>
      </c>
      <c r="AR1993" s="28" t="s">
        <v>36363</v>
      </c>
      <c r="AS1993" s="28" t="s">
        <v>9463</v>
      </c>
      <c r="AT1993" s="28" t="s">
        <v>9464</v>
      </c>
      <c r="AU1993" s="28" t="s">
        <v>37669</v>
      </c>
      <c r="AV1993" s="28" t="s">
        <v>162</v>
      </c>
      <c r="AW1993" s="28" t="s">
        <v>37670</v>
      </c>
      <c r="AX1993" s="28" t="s">
        <v>37671</v>
      </c>
      <c r="AY1993" s="28" t="s">
        <v>37672</v>
      </c>
      <c r="AZ1993" s="28" t="s">
        <v>164</v>
      </c>
      <c r="BA1993" s="28" t="s">
        <v>165</v>
      </c>
      <c r="BB1993" s="28" t="s">
        <v>37673</v>
      </c>
      <c r="BC1993" s="28" t="s">
        <v>37674</v>
      </c>
      <c r="BD1993" s="33">
        <v>6</v>
      </c>
      <c r="BE1993" s="28" t="s">
        <v>138</v>
      </c>
      <c r="BF1993" s="28" t="s">
        <v>138</v>
      </c>
      <c r="BG1993" s="28" t="s">
        <v>138</v>
      </c>
      <c r="BH1993" s="28" t="s">
        <v>37675</v>
      </c>
      <c r="BI1993" s="28" t="s">
        <v>138</v>
      </c>
      <c r="BJ1993" s="28" t="s">
        <v>138</v>
      </c>
      <c r="BK1993" s="28" t="s">
        <v>8250</v>
      </c>
      <c r="BL1993" s="28" t="s">
        <v>8250</v>
      </c>
      <c r="BM1993" s="34">
        <v>40179</v>
      </c>
      <c r="BN1993" s="29">
        <v>0.47</v>
      </c>
      <c r="BO1993" s="28" t="s">
        <v>172</v>
      </c>
      <c r="BP1993" s="29" t="s">
        <v>138</v>
      </c>
      <c r="BQ1993" s="28" t="s">
        <v>138</v>
      </c>
      <c r="BR1993" s="28" t="s">
        <v>176</v>
      </c>
      <c r="BS1993" s="28" t="s">
        <v>138</v>
      </c>
      <c r="BT1993" s="28" t="s">
        <v>138</v>
      </c>
      <c r="BU1993" s="28" t="s">
        <v>177</v>
      </c>
      <c r="BV1993" s="28" t="s">
        <v>138</v>
      </c>
      <c r="BW1993" s="28" t="s">
        <v>138</v>
      </c>
      <c r="BX1993" s="28" t="s">
        <v>138</v>
      </c>
      <c r="BY1993" s="28" t="s">
        <v>175</v>
      </c>
      <c r="BZ1993" s="34">
        <v>43250</v>
      </c>
      <c r="CA1993" s="29">
        <v>5</v>
      </c>
      <c r="CB1993" s="28" t="s">
        <v>172</v>
      </c>
      <c r="CC1993" s="29" t="s">
        <v>138</v>
      </c>
      <c r="CD1993" s="28" t="s">
        <v>138</v>
      </c>
      <c r="CE1993" s="28" t="s">
        <v>173</v>
      </c>
      <c r="CF1993" s="28" t="s">
        <v>720</v>
      </c>
      <c r="CG1993" s="28" t="s">
        <v>138</v>
      </c>
      <c r="CH1993" s="28" t="s">
        <v>174</v>
      </c>
      <c r="CI1993" s="28" t="s">
        <v>138</v>
      </c>
      <c r="CJ1993" s="28" t="s">
        <v>138</v>
      </c>
      <c r="CK1993" s="28" t="s">
        <v>138</v>
      </c>
      <c r="CL1993" s="28" t="s">
        <v>175</v>
      </c>
      <c r="CM1993" s="34" t="s">
        <v>138</v>
      </c>
      <c r="CN1993" s="29" t="s">
        <v>138</v>
      </c>
      <c r="CO1993" s="35">
        <v>0</v>
      </c>
      <c r="CP1993" s="36">
        <v>26</v>
      </c>
      <c r="CQ1993" s="35">
        <v>0</v>
      </c>
      <c r="CR1993" s="35">
        <v>0</v>
      </c>
      <c r="CS1993" s="35">
        <v>0</v>
      </c>
      <c r="CT1993" s="36">
        <v>23</v>
      </c>
      <c r="CU1993" s="35" t="s">
        <v>138</v>
      </c>
      <c r="CV1993" s="36" t="s">
        <v>138</v>
      </c>
      <c r="CW1993" s="35" t="s">
        <v>138</v>
      </c>
      <c r="CX1993" s="36" t="s">
        <v>138</v>
      </c>
      <c r="CY1993" s="35">
        <v>0</v>
      </c>
      <c r="CZ1993" s="36">
        <v>25</v>
      </c>
      <c r="DA1993" s="35" t="s">
        <v>138</v>
      </c>
      <c r="DB1993" s="36" t="s">
        <v>138</v>
      </c>
      <c r="DC1993" s="37">
        <v>0.86</v>
      </c>
      <c r="DD1993" s="36">
        <v>47</v>
      </c>
      <c r="DE1993" s="37">
        <v>0</v>
      </c>
      <c r="DF1993" s="35">
        <v>0</v>
      </c>
      <c r="DG1993" s="37">
        <v>1.69</v>
      </c>
      <c r="DH1993" s="36">
        <v>63</v>
      </c>
      <c r="DI1993" s="37" t="s">
        <v>138</v>
      </c>
      <c r="DJ1993" s="36" t="s">
        <v>138</v>
      </c>
      <c r="DK1993" s="37" t="s">
        <v>138</v>
      </c>
      <c r="DL1993" s="36" t="s">
        <v>138</v>
      </c>
      <c r="DM1993" s="37">
        <v>1.69</v>
      </c>
      <c r="DN1993" s="36">
        <v>62</v>
      </c>
      <c r="DO1993" s="37" t="s">
        <v>138</v>
      </c>
      <c r="DP1993" s="36" t="s">
        <v>138</v>
      </c>
      <c r="DQ1993" s="36">
        <v>214</v>
      </c>
      <c r="DR1993" s="38">
        <v>25</v>
      </c>
      <c r="DS1993" s="35">
        <v>13.23</v>
      </c>
      <c r="DT1993" s="36">
        <v>49</v>
      </c>
      <c r="DU1993" s="38">
        <v>0</v>
      </c>
      <c r="DV1993" s="35">
        <v>0</v>
      </c>
      <c r="DW1993" s="36" t="s">
        <v>138</v>
      </c>
      <c r="DX1993" s="39" t="s">
        <v>138</v>
      </c>
      <c r="DY1993" s="35" t="s">
        <v>138</v>
      </c>
      <c r="DZ1993" s="28" t="s">
        <v>178</v>
      </c>
      <c r="EA1993" s="34">
        <v>43622</v>
      </c>
      <c r="EB1993" s="29" t="s">
        <v>138</v>
      </c>
      <c r="EC1993" s="34" t="s">
        <v>138</v>
      </c>
      <c r="ED1993" s="28" t="s">
        <v>138</v>
      </c>
      <c r="EE1993" s="40" t="str">
        <f>HYPERLINK("https://my.pitchbook.com?c=223372-99", "View company online")</f>
        <v>View company online</v>
      </c>
    </row>
    <row r="1994" spans="1:135">
      <c r="A1994" s="15" t="s">
        <v>37676</v>
      </c>
      <c r="B1994" s="15" t="s">
        <v>37677</v>
      </c>
      <c r="C1994" s="15" t="s">
        <v>138</v>
      </c>
      <c r="D1994" s="15" t="s">
        <v>138</v>
      </c>
      <c r="E1994" s="15" t="s">
        <v>138</v>
      </c>
      <c r="F1994" s="15" t="s">
        <v>37676</v>
      </c>
      <c r="G1994" s="15" t="s">
        <v>37678</v>
      </c>
      <c r="H1994" s="15" t="s">
        <v>183</v>
      </c>
      <c r="I1994" s="15" t="s">
        <v>4681</v>
      </c>
      <c r="J1994" s="15" t="s">
        <v>9676</v>
      </c>
      <c r="K1994" s="15" t="s">
        <v>36726</v>
      </c>
      <c r="L1994" s="15" t="s">
        <v>37679</v>
      </c>
      <c r="M1994" s="15" t="s">
        <v>37680</v>
      </c>
      <c r="N1994" s="15" t="s">
        <v>147</v>
      </c>
      <c r="O1994" s="17">
        <v>2.1</v>
      </c>
      <c r="P1994" s="15" t="s">
        <v>148</v>
      </c>
      <c r="Q1994" s="15" t="s">
        <v>149</v>
      </c>
      <c r="R1994" s="15" t="s">
        <v>174</v>
      </c>
      <c r="S1994" s="15" t="s">
        <v>37681</v>
      </c>
      <c r="T1994" s="18">
        <v>2</v>
      </c>
      <c r="U1994" s="15" t="s">
        <v>37682</v>
      </c>
      <c r="V1994" s="15" t="s">
        <v>138</v>
      </c>
      <c r="W1994" s="15" t="s">
        <v>138</v>
      </c>
      <c r="X1994" s="19">
        <v>2013</v>
      </c>
      <c r="Y1994" s="15" t="s">
        <v>138</v>
      </c>
      <c r="Z1994" s="15" t="s">
        <v>138</v>
      </c>
      <c r="AA1994" s="15" t="s">
        <v>138</v>
      </c>
      <c r="AB1994" s="20">
        <v>0.1</v>
      </c>
      <c r="AC1994" s="20" t="s">
        <v>138</v>
      </c>
      <c r="AD1994" s="20" t="s">
        <v>138</v>
      </c>
      <c r="AE1994" s="20" t="s">
        <v>138</v>
      </c>
      <c r="AF1994" s="20" t="s">
        <v>138</v>
      </c>
      <c r="AG1994" s="15" t="s">
        <v>514</v>
      </c>
      <c r="AH1994" s="20" t="s">
        <v>138</v>
      </c>
      <c r="AI1994" s="20" t="s">
        <v>138</v>
      </c>
      <c r="AJ1994" s="20" t="s">
        <v>138</v>
      </c>
      <c r="AK1994" s="15" t="s">
        <v>37683</v>
      </c>
      <c r="AL1994" s="15" t="s">
        <v>37684</v>
      </c>
      <c r="AM1994" s="15" t="s">
        <v>37685</v>
      </c>
      <c r="AN1994" s="15" t="s">
        <v>37686</v>
      </c>
      <c r="AO1994" s="15" t="s">
        <v>37687</v>
      </c>
      <c r="AP1994" s="15" t="s">
        <v>156</v>
      </c>
      <c r="AQ1994" s="15" t="s">
        <v>22951</v>
      </c>
      <c r="AR1994" s="15" t="s">
        <v>138</v>
      </c>
      <c r="AS1994" s="15" t="s">
        <v>159</v>
      </c>
      <c r="AT1994" s="15" t="s">
        <v>160</v>
      </c>
      <c r="AU1994" s="15" t="s">
        <v>161</v>
      </c>
      <c r="AV1994" s="15" t="s">
        <v>162</v>
      </c>
      <c r="AW1994" s="15" t="s">
        <v>37687</v>
      </c>
      <c r="AX1994" s="15" t="s">
        <v>138</v>
      </c>
      <c r="AY1994" s="15" t="s">
        <v>37688</v>
      </c>
      <c r="AZ1994" s="15" t="s">
        <v>164</v>
      </c>
      <c r="BA1994" s="15" t="s">
        <v>165</v>
      </c>
      <c r="BB1994" s="15" t="s">
        <v>37689</v>
      </c>
      <c r="BC1994" s="15" t="s">
        <v>37690</v>
      </c>
      <c r="BD1994" s="21">
        <v>10</v>
      </c>
      <c r="BE1994" s="15" t="s">
        <v>138</v>
      </c>
      <c r="BF1994" s="15" t="s">
        <v>138</v>
      </c>
      <c r="BG1994" s="15" t="s">
        <v>138</v>
      </c>
      <c r="BH1994" s="15" t="s">
        <v>37691</v>
      </c>
      <c r="BI1994" s="15" t="s">
        <v>138</v>
      </c>
      <c r="BJ1994" s="15" t="s">
        <v>138</v>
      </c>
      <c r="BK1994" s="15" t="s">
        <v>37692</v>
      </c>
      <c r="BL1994" s="15" t="s">
        <v>37693</v>
      </c>
      <c r="BM1994" s="22">
        <v>41835</v>
      </c>
      <c r="BN1994" s="17">
        <v>0.1</v>
      </c>
      <c r="BO1994" s="15" t="s">
        <v>172</v>
      </c>
      <c r="BP1994" s="17" t="s">
        <v>138</v>
      </c>
      <c r="BQ1994" s="15" t="s">
        <v>138</v>
      </c>
      <c r="BR1994" s="15" t="s">
        <v>176</v>
      </c>
      <c r="BS1994" s="15" t="s">
        <v>138</v>
      </c>
      <c r="BT1994" s="15" t="s">
        <v>138</v>
      </c>
      <c r="BU1994" s="15" t="s">
        <v>177</v>
      </c>
      <c r="BV1994" s="15" t="s">
        <v>138</v>
      </c>
      <c r="BW1994" s="15" t="s">
        <v>138</v>
      </c>
      <c r="BX1994" s="15" t="s">
        <v>138</v>
      </c>
      <c r="BY1994" s="15" t="s">
        <v>175</v>
      </c>
      <c r="BZ1994" s="22">
        <v>43026</v>
      </c>
      <c r="CA1994" s="17">
        <v>0.6</v>
      </c>
      <c r="CB1994" s="15" t="s">
        <v>172</v>
      </c>
      <c r="CC1994" s="17" t="s">
        <v>138</v>
      </c>
      <c r="CD1994" s="15" t="s">
        <v>138</v>
      </c>
      <c r="CE1994" s="15" t="s">
        <v>176</v>
      </c>
      <c r="CF1994" s="15" t="s">
        <v>138</v>
      </c>
      <c r="CG1994" s="15" t="s">
        <v>138</v>
      </c>
      <c r="CH1994" s="15" t="s">
        <v>177</v>
      </c>
      <c r="CI1994" s="15" t="s">
        <v>138</v>
      </c>
      <c r="CJ1994" s="15" t="s">
        <v>138</v>
      </c>
      <c r="CK1994" s="15" t="s">
        <v>138</v>
      </c>
      <c r="CL1994" s="15" t="s">
        <v>175</v>
      </c>
      <c r="CM1994" s="22" t="s">
        <v>138</v>
      </c>
      <c r="CN1994" s="17" t="s">
        <v>138</v>
      </c>
      <c r="CO1994" s="23">
        <v>9.2899999999999991</v>
      </c>
      <c r="CP1994" s="24">
        <v>100</v>
      </c>
      <c r="CQ1994" s="23">
        <v>0.04</v>
      </c>
      <c r="CR1994" s="23">
        <v>0.41</v>
      </c>
      <c r="CS1994" s="23">
        <v>18.579999999999998</v>
      </c>
      <c r="CT1994" s="24">
        <v>100</v>
      </c>
      <c r="CU1994" s="23">
        <v>0</v>
      </c>
      <c r="CV1994" s="24">
        <v>22</v>
      </c>
      <c r="CW1994" s="23" t="s">
        <v>138</v>
      </c>
      <c r="CX1994" s="24" t="s">
        <v>138</v>
      </c>
      <c r="CY1994" s="23">
        <v>18.579999999999998</v>
      </c>
      <c r="CZ1994" s="24">
        <v>100</v>
      </c>
      <c r="DA1994" s="23">
        <v>0</v>
      </c>
      <c r="DB1994" s="24">
        <v>22</v>
      </c>
      <c r="DC1994" s="25">
        <v>5.77</v>
      </c>
      <c r="DD1994" s="24">
        <v>84</v>
      </c>
      <c r="DE1994" s="25">
        <v>0</v>
      </c>
      <c r="DF1994" s="23">
        <v>0.01</v>
      </c>
      <c r="DG1994" s="25">
        <v>11.41</v>
      </c>
      <c r="DH1994" s="24">
        <v>91</v>
      </c>
      <c r="DI1994" s="25">
        <v>0.13</v>
      </c>
      <c r="DJ1994" s="24">
        <v>17</v>
      </c>
      <c r="DK1994" s="25" t="s">
        <v>138</v>
      </c>
      <c r="DL1994" s="24" t="s">
        <v>138</v>
      </c>
      <c r="DM1994" s="25">
        <v>11.41</v>
      </c>
      <c r="DN1994" s="24">
        <v>90</v>
      </c>
      <c r="DO1994" s="25">
        <v>0.13</v>
      </c>
      <c r="DP1994" s="24">
        <v>19</v>
      </c>
      <c r="DQ1994" s="24" t="s">
        <v>138</v>
      </c>
      <c r="DR1994" s="26" t="s">
        <v>138</v>
      </c>
      <c r="DS1994" s="23" t="s">
        <v>138</v>
      </c>
      <c r="DT1994" s="24">
        <v>331</v>
      </c>
      <c r="DU1994" s="26">
        <v>2</v>
      </c>
      <c r="DV1994" s="23">
        <v>0.61</v>
      </c>
      <c r="DW1994" s="24">
        <v>48</v>
      </c>
      <c r="DX1994" s="27">
        <v>0</v>
      </c>
      <c r="DY1994" s="23">
        <v>0</v>
      </c>
      <c r="DZ1994" s="15" t="s">
        <v>178</v>
      </c>
      <c r="EA1994" s="22">
        <v>43578</v>
      </c>
      <c r="EB1994" s="17">
        <v>5.5</v>
      </c>
      <c r="EC1994" s="22">
        <v>42963</v>
      </c>
      <c r="ED1994" s="15" t="s">
        <v>205</v>
      </c>
      <c r="EE1994" s="14" t="str">
        <f>HYPERLINK("https://my.pitchbook.com?c=98400-25", "View company online")</f>
        <v>View company online</v>
      </c>
    </row>
    <row r="1995" spans="1:135">
      <c r="A1995" s="28" t="s">
        <v>37694</v>
      </c>
      <c r="B1995" s="28" t="s">
        <v>37695</v>
      </c>
      <c r="C1995" s="28" t="s">
        <v>138</v>
      </c>
      <c r="D1995" s="28" t="s">
        <v>138</v>
      </c>
      <c r="E1995" s="28" t="s">
        <v>138</v>
      </c>
      <c r="F1995" s="28" t="s">
        <v>37694</v>
      </c>
      <c r="G1995" s="28" t="s">
        <v>37696</v>
      </c>
      <c r="H1995" s="28" t="s">
        <v>322</v>
      </c>
      <c r="I1995" s="28" t="s">
        <v>323</v>
      </c>
      <c r="J1995" s="28" t="s">
        <v>539</v>
      </c>
      <c r="K1995" s="28" t="s">
        <v>9529</v>
      </c>
      <c r="L1995" s="28" t="s">
        <v>36130</v>
      </c>
      <c r="M1995" s="28" t="s">
        <v>37697</v>
      </c>
      <c r="N1995" s="28" t="s">
        <v>147</v>
      </c>
      <c r="O1995" s="29" t="s">
        <v>138</v>
      </c>
      <c r="P1995" s="28" t="s">
        <v>610</v>
      </c>
      <c r="Q1995" s="28" t="s">
        <v>149</v>
      </c>
      <c r="R1995" s="28" t="s">
        <v>174</v>
      </c>
      <c r="S1995" s="28" t="s">
        <v>37698</v>
      </c>
      <c r="T1995" s="30" t="s">
        <v>138</v>
      </c>
      <c r="U1995" s="28" t="s">
        <v>138</v>
      </c>
      <c r="V1995" s="28" t="s">
        <v>138</v>
      </c>
      <c r="W1995" s="28" t="s">
        <v>138</v>
      </c>
      <c r="X1995" s="31" t="s">
        <v>138</v>
      </c>
      <c r="Y1995" s="28" t="s">
        <v>138</v>
      </c>
      <c r="Z1995" s="28" t="s">
        <v>138</v>
      </c>
      <c r="AA1995" s="28" t="s">
        <v>138</v>
      </c>
      <c r="AB1995" s="32" t="s">
        <v>138</v>
      </c>
      <c r="AC1995" s="32" t="s">
        <v>138</v>
      </c>
      <c r="AD1995" s="32" t="s">
        <v>138</v>
      </c>
      <c r="AE1995" s="32" t="s">
        <v>138</v>
      </c>
      <c r="AF1995" s="32" t="s">
        <v>138</v>
      </c>
      <c r="AG1995" s="28" t="s">
        <v>138</v>
      </c>
      <c r="AH1995" s="32" t="s">
        <v>138</v>
      </c>
      <c r="AI1995" s="32" t="s">
        <v>138</v>
      </c>
      <c r="AJ1995" s="32" t="s">
        <v>138</v>
      </c>
      <c r="AK1995" s="28" t="s">
        <v>37699</v>
      </c>
      <c r="AL1995" s="28" t="s">
        <v>37700</v>
      </c>
      <c r="AM1995" s="28" t="s">
        <v>304</v>
      </c>
      <c r="AN1995" s="28" t="s">
        <v>37701</v>
      </c>
      <c r="AO1995" s="28" t="s">
        <v>138</v>
      </c>
      <c r="AP1995" s="28" t="s">
        <v>5129</v>
      </c>
      <c r="AQ1995" s="28" t="s">
        <v>37702</v>
      </c>
      <c r="AR1995" s="28" t="s">
        <v>138</v>
      </c>
      <c r="AS1995" s="28" t="s">
        <v>5131</v>
      </c>
      <c r="AT1995" s="28" t="s">
        <v>138</v>
      </c>
      <c r="AU1995" s="28" t="s">
        <v>138</v>
      </c>
      <c r="AV1995" s="28" t="s">
        <v>740</v>
      </c>
      <c r="AW1995" s="28" t="s">
        <v>138</v>
      </c>
      <c r="AX1995" s="28" t="s">
        <v>138</v>
      </c>
      <c r="AY1995" s="28" t="s">
        <v>138</v>
      </c>
      <c r="AZ1995" s="28" t="s">
        <v>742</v>
      </c>
      <c r="BA1995" s="28" t="s">
        <v>742</v>
      </c>
      <c r="BB1995" s="28" t="s">
        <v>37703</v>
      </c>
      <c r="BC1995" s="28" t="s">
        <v>37704</v>
      </c>
      <c r="BD1995" s="33">
        <v>2</v>
      </c>
      <c r="BE1995" s="28" t="s">
        <v>138</v>
      </c>
      <c r="BF1995" s="28" t="s">
        <v>138</v>
      </c>
      <c r="BG1995" s="28" t="s">
        <v>138</v>
      </c>
      <c r="BH1995" s="28" t="s">
        <v>37705</v>
      </c>
      <c r="BI1995" s="28" t="s">
        <v>138</v>
      </c>
      <c r="BJ1995" s="28" t="s">
        <v>138</v>
      </c>
      <c r="BK1995" s="28" t="s">
        <v>138</v>
      </c>
      <c r="BL1995" s="28" t="s">
        <v>138</v>
      </c>
      <c r="BM1995" s="34" t="s">
        <v>138</v>
      </c>
      <c r="BN1995" s="29" t="s">
        <v>138</v>
      </c>
      <c r="BO1995" s="28" t="s">
        <v>138</v>
      </c>
      <c r="BP1995" s="29" t="s">
        <v>138</v>
      </c>
      <c r="BQ1995" s="28" t="s">
        <v>138</v>
      </c>
      <c r="BR1995" s="28" t="s">
        <v>205</v>
      </c>
      <c r="BS1995" s="28" t="s">
        <v>138</v>
      </c>
      <c r="BT1995" s="28" t="s">
        <v>138</v>
      </c>
      <c r="BU1995" s="28" t="s">
        <v>174</v>
      </c>
      <c r="BV1995" s="28" t="s">
        <v>138</v>
      </c>
      <c r="BW1995" s="28" t="s">
        <v>138</v>
      </c>
      <c r="BX1995" s="28" t="s">
        <v>138</v>
      </c>
      <c r="BY1995" s="28" t="s">
        <v>175</v>
      </c>
      <c r="BZ1995" s="34" t="s">
        <v>138</v>
      </c>
      <c r="CA1995" s="29" t="s">
        <v>138</v>
      </c>
      <c r="CB1995" s="28" t="s">
        <v>138</v>
      </c>
      <c r="CC1995" s="29" t="s">
        <v>138</v>
      </c>
      <c r="CD1995" s="28" t="s">
        <v>138</v>
      </c>
      <c r="CE1995" s="28" t="s">
        <v>205</v>
      </c>
      <c r="CF1995" s="28" t="s">
        <v>138</v>
      </c>
      <c r="CG1995" s="28" t="s">
        <v>138</v>
      </c>
      <c r="CH1995" s="28" t="s">
        <v>174</v>
      </c>
      <c r="CI1995" s="28" t="s">
        <v>138</v>
      </c>
      <c r="CJ1995" s="28" t="s">
        <v>138</v>
      </c>
      <c r="CK1995" s="28" t="s">
        <v>138</v>
      </c>
      <c r="CL1995" s="28" t="s">
        <v>175</v>
      </c>
      <c r="CM1995" s="34" t="s">
        <v>138</v>
      </c>
      <c r="CN1995" s="29" t="s">
        <v>138</v>
      </c>
      <c r="CO1995" s="35" t="s">
        <v>138</v>
      </c>
      <c r="CP1995" s="36" t="s">
        <v>138</v>
      </c>
      <c r="CQ1995" s="35" t="s">
        <v>138</v>
      </c>
      <c r="CR1995" s="35" t="s">
        <v>138</v>
      </c>
      <c r="CS1995" s="35" t="s">
        <v>138</v>
      </c>
      <c r="CT1995" s="36" t="s">
        <v>138</v>
      </c>
      <c r="CU1995" s="35" t="s">
        <v>138</v>
      </c>
      <c r="CV1995" s="36" t="s">
        <v>138</v>
      </c>
      <c r="CW1995" s="35" t="s">
        <v>138</v>
      </c>
      <c r="CX1995" s="36" t="s">
        <v>138</v>
      </c>
      <c r="CY1995" s="35" t="s">
        <v>138</v>
      </c>
      <c r="CZ1995" s="36" t="s">
        <v>138</v>
      </c>
      <c r="DA1995" s="35" t="s">
        <v>138</v>
      </c>
      <c r="DB1995" s="36" t="s">
        <v>138</v>
      </c>
      <c r="DC1995" s="37" t="s">
        <v>138</v>
      </c>
      <c r="DD1995" s="36" t="s">
        <v>138</v>
      </c>
      <c r="DE1995" s="37" t="s">
        <v>138</v>
      </c>
      <c r="DF1995" s="35" t="s">
        <v>138</v>
      </c>
      <c r="DG1995" s="37" t="s">
        <v>138</v>
      </c>
      <c r="DH1995" s="36" t="s">
        <v>138</v>
      </c>
      <c r="DI1995" s="37" t="s">
        <v>138</v>
      </c>
      <c r="DJ1995" s="36" t="s">
        <v>138</v>
      </c>
      <c r="DK1995" s="37" t="s">
        <v>138</v>
      </c>
      <c r="DL1995" s="36" t="s">
        <v>138</v>
      </c>
      <c r="DM1995" s="37" t="s">
        <v>138</v>
      </c>
      <c r="DN1995" s="36" t="s">
        <v>138</v>
      </c>
      <c r="DO1995" s="37" t="s">
        <v>138</v>
      </c>
      <c r="DP1995" s="36" t="s">
        <v>138</v>
      </c>
      <c r="DQ1995" s="36" t="s">
        <v>138</v>
      </c>
      <c r="DR1995" s="38" t="s">
        <v>138</v>
      </c>
      <c r="DS1995" s="35" t="s">
        <v>138</v>
      </c>
      <c r="DT1995" s="36" t="s">
        <v>138</v>
      </c>
      <c r="DU1995" s="38" t="s">
        <v>138</v>
      </c>
      <c r="DV1995" s="35" t="s">
        <v>138</v>
      </c>
      <c r="DW1995" s="36" t="s">
        <v>138</v>
      </c>
      <c r="DX1995" s="39" t="s">
        <v>138</v>
      </c>
      <c r="DY1995" s="35" t="s">
        <v>138</v>
      </c>
      <c r="DZ1995" s="28" t="s">
        <v>178</v>
      </c>
      <c r="EA1995" s="34">
        <v>43351</v>
      </c>
      <c r="EB1995" s="29" t="s">
        <v>138</v>
      </c>
      <c r="EC1995" s="34" t="s">
        <v>138</v>
      </c>
      <c r="ED1995" s="28" t="s">
        <v>138</v>
      </c>
      <c r="EE1995" s="40" t="str">
        <f>HYPERLINK("https://my.pitchbook.com?c=169555-60", "View company online")</f>
        <v>View company online</v>
      </c>
    </row>
    <row r="1996" spans="1:135">
      <c r="A1996" s="15" t="s">
        <v>37706</v>
      </c>
      <c r="B1996" s="15" t="s">
        <v>37707</v>
      </c>
      <c r="C1996" s="15" t="s">
        <v>138</v>
      </c>
      <c r="D1996" s="15" t="s">
        <v>37708</v>
      </c>
      <c r="E1996" s="15" t="s">
        <v>138</v>
      </c>
      <c r="F1996" s="15" t="s">
        <v>37706</v>
      </c>
      <c r="G1996" s="15" t="s">
        <v>37709</v>
      </c>
      <c r="H1996" s="15" t="s">
        <v>238</v>
      </c>
      <c r="I1996" s="15" t="s">
        <v>749</v>
      </c>
      <c r="J1996" s="15" t="s">
        <v>4261</v>
      </c>
      <c r="K1996" s="15" t="s">
        <v>37710</v>
      </c>
      <c r="L1996" s="15" t="s">
        <v>138</v>
      </c>
      <c r="M1996" s="15" t="s">
        <v>37711</v>
      </c>
      <c r="N1996" s="15" t="s">
        <v>147</v>
      </c>
      <c r="O1996" s="17" t="s">
        <v>138</v>
      </c>
      <c r="P1996" s="15" t="s">
        <v>148</v>
      </c>
      <c r="Q1996" s="15" t="s">
        <v>149</v>
      </c>
      <c r="R1996" s="15" t="s">
        <v>244</v>
      </c>
      <c r="S1996" s="15" t="s">
        <v>37712</v>
      </c>
      <c r="T1996" s="18">
        <v>11</v>
      </c>
      <c r="U1996" s="15" t="s">
        <v>3406</v>
      </c>
      <c r="V1996" s="15" t="s">
        <v>138</v>
      </c>
      <c r="W1996" s="15" t="s">
        <v>138</v>
      </c>
      <c r="X1996" s="19">
        <v>2012</v>
      </c>
      <c r="Y1996" s="15" t="s">
        <v>138</v>
      </c>
      <c r="Z1996" s="15" t="s">
        <v>138</v>
      </c>
      <c r="AA1996" s="15" t="s">
        <v>138</v>
      </c>
      <c r="AB1996" s="20" t="s">
        <v>138</v>
      </c>
      <c r="AC1996" s="20" t="s">
        <v>138</v>
      </c>
      <c r="AD1996" s="20" t="s">
        <v>138</v>
      </c>
      <c r="AE1996" s="20" t="s">
        <v>138</v>
      </c>
      <c r="AF1996" s="20" t="s">
        <v>138</v>
      </c>
      <c r="AG1996" s="15" t="s">
        <v>138</v>
      </c>
      <c r="AH1996" s="20" t="s">
        <v>138</v>
      </c>
      <c r="AI1996" s="20" t="s">
        <v>138</v>
      </c>
      <c r="AJ1996" s="20" t="s">
        <v>138</v>
      </c>
      <c r="AK1996" s="15" t="s">
        <v>37713</v>
      </c>
      <c r="AL1996" s="15" t="s">
        <v>37714</v>
      </c>
      <c r="AM1996" s="15" t="s">
        <v>4810</v>
      </c>
      <c r="AN1996" s="15" t="s">
        <v>37715</v>
      </c>
      <c r="AO1996" s="15" t="s">
        <v>37716</v>
      </c>
      <c r="AP1996" s="15" t="s">
        <v>423</v>
      </c>
      <c r="AQ1996" s="15" t="s">
        <v>37717</v>
      </c>
      <c r="AR1996" s="15" t="s">
        <v>37718</v>
      </c>
      <c r="AS1996" s="15" t="s">
        <v>426</v>
      </c>
      <c r="AT1996" s="15" t="s">
        <v>426</v>
      </c>
      <c r="AU1996" s="15" t="s">
        <v>9016</v>
      </c>
      <c r="AV1996" s="15" t="s">
        <v>162</v>
      </c>
      <c r="AW1996" s="15" t="s">
        <v>37716</v>
      </c>
      <c r="AX1996" s="15" t="s">
        <v>138</v>
      </c>
      <c r="AY1996" s="15" t="s">
        <v>37719</v>
      </c>
      <c r="AZ1996" s="15" t="s">
        <v>164</v>
      </c>
      <c r="BA1996" s="15" t="s">
        <v>165</v>
      </c>
      <c r="BB1996" s="15" t="s">
        <v>37720</v>
      </c>
      <c r="BC1996" s="15" t="s">
        <v>1012</v>
      </c>
      <c r="BD1996" s="21">
        <v>1</v>
      </c>
      <c r="BE1996" s="15" t="s">
        <v>138</v>
      </c>
      <c r="BF1996" s="15" t="s">
        <v>138</v>
      </c>
      <c r="BG1996" s="15" t="s">
        <v>138</v>
      </c>
      <c r="BH1996" s="15" t="s">
        <v>1013</v>
      </c>
      <c r="BI1996" s="15" t="s">
        <v>138</v>
      </c>
      <c r="BJ1996" s="15" t="s">
        <v>138</v>
      </c>
      <c r="BK1996" s="15" t="s">
        <v>138</v>
      </c>
      <c r="BL1996" s="15" t="s">
        <v>37721</v>
      </c>
      <c r="BM1996" s="22">
        <v>40909</v>
      </c>
      <c r="BN1996" s="17" t="s">
        <v>138</v>
      </c>
      <c r="BO1996" s="15" t="s">
        <v>138</v>
      </c>
      <c r="BP1996" s="17" t="s">
        <v>138</v>
      </c>
      <c r="BQ1996" s="15" t="s">
        <v>138</v>
      </c>
      <c r="BR1996" s="15" t="s">
        <v>205</v>
      </c>
      <c r="BS1996" s="15" t="s">
        <v>138</v>
      </c>
      <c r="BT1996" s="15" t="s">
        <v>138</v>
      </c>
      <c r="BU1996" s="15" t="s">
        <v>174</v>
      </c>
      <c r="BV1996" s="15" t="s">
        <v>138</v>
      </c>
      <c r="BW1996" s="15" t="s">
        <v>138</v>
      </c>
      <c r="BX1996" s="15" t="s">
        <v>138</v>
      </c>
      <c r="BY1996" s="15" t="s">
        <v>175</v>
      </c>
      <c r="BZ1996" s="22">
        <v>41267</v>
      </c>
      <c r="CA1996" s="17" t="s">
        <v>138</v>
      </c>
      <c r="CB1996" s="15" t="s">
        <v>138</v>
      </c>
      <c r="CC1996" s="17" t="s">
        <v>138</v>
      </c>
      <c r="CD1996" s="15" t="s">
        <v>138</v>
      </c>
      <c r="CE1996" s="15" t="s">
        <v>1326</v>
      </c>
      <c r="CF1996" s="15" t="s">
        <v>138</v>
      </c>
      <c r="CG1996" s="15" t="s">
        <v>138</v>
      </c>
      <c r="CH1996" s="15" t="s">
        <v>1327</v>
      </c>
      <c r="CI1996" s="15" t="s">
        <v>2528</v>
      </c>
      <c r="CJ1996" s="15" t="s">
        <v>138</v>
      </c>
      <c r="CK1996" s="15" t="s">
        <v>138</v>
      </c>
      <c r="CL1996" s="15" t="s">
        <v>175</v>
      </c>
      <c r="CM1996" s="22">
        <v>41267</v>
      </c>
      <c r="CN1996" s="17" t="s">
        <v>138</v>
      </c>
      <c r="CO1996" s="23">
        <v>-0.03</v>
      </c>
      <c r="CP1996" s="24">
        <v>23</v>
      </c>
      <c r="CQ1996" s="23">
        <v>0</v>
      </c>
      <c r="CR1996" s="23">
        <v>0</v>
      </c>
      <c r="CS1996" s="23">
        <v>0</v>
      </c>
      <c r="CT1996" s="24">
        <v>23</v>
      </c>
      <c r="CU1996" s="23">
        <v>-0.05</v>
      </c>
      <c r="CV1996" s="24">
        <v>9</v>
      </c>
      <c r="CW1996" s="23">
        <v>0</v>
      </c>
      <c r="CX1996" s="24">
        <v>13</v>
      </c>
      <c r="CY1996" s="23">
        <v>0</v>
      </c>
      <c r="CZ1996" s="24">
        <v>25</v>
      </c>
      <c r="DA1996" s="23">
        <v>-0.06</v>
      </c>
      <c r="DB1996" s="24">
        <v>11</v>
      </c>
      <c r="DC1996" s="25">
        <v>1.72</v>
      </c>
      <c r="DD1996" s="24">
        <v>64</v>
      </c>
      <c r="DE1996" s="25">
        <v>-0.03</v>
      </c>
      <c r="DF1996" s="23">
        <v>-1.73</v>
      </c>
      <c r="DG1996" s="25">
        <v>1.6</v>
      </c>
      <c r="DH1996" s="24">
        <v>62</v>
      </c>
      <c r="DI1996" s="25">
        <v>1.85</v>
      </c>
      <c r="DJ1996" s="24">
        <v>61</v>
      </c>
      <c r="DK1996" s="25">
        <v>1.76</v>
      </c>
      <c r="DL1996" s="24">
        <v>62</v>
      </c>
      <c r="DM1996" s="25">
        <v>1.45</v>
      </c>
      <c r="DN1996" s="24">
        <v>59</v>
      </c>
      <c r="DO1996" s="25">
        <v>1.21</v>
      </c>
      <c r="DP1996" s="24">
        <v>54</v>
      </c>
      <c r="DQ1996" s="24">
        <v>604</v>
      </c>
      <c r="DR1996" s="26">
        <v>0</v>
      </c>
      <c r="DS1996" s="23">
        <v>0</v>
      </c>
      <c r="DT1996" s="24">
        <v>41</v>
      </c>
      <c r="DU1996" s="26">
        <v>2</v>
      </c>
      <c r="DV1996" s="23">
        <v>5.13</v>
      </c>
      <c r="DW1996" s="24">
        <v>433</v>
      </c>
      <c r="DX1996" s="27">
        <v>0</v>
      </c>
      <c r="DY1996" s="23">
        <v>0</v>
      </c>
      <c r="DZ1996" s="15" t="s">
        <v>178</v>
      </c>
      <c r="EA1996" s="22">
        <v>43351</v>
      </c>
      <c r="EB1996" s="17" t="s">
        <v>138</v>
      </c>
      <c r="EC1996" s="22" t="s">
        <v>138</v>
      </c>
      <c r="ED1996" s="15" t="s">
        <v>138</v>
      </c>
      <c r="EE1996" s="14" t="str">
        <f>HYPERLINK("https://my.pitchbook.com?c=56463-04", "View company online")</f>
        <v>View company online</v>
      </c>
    </row>
    <row r="1997" spans="1:135">
      <c r="A1997" s="28" t="s">
        <v>37722</v>
      </c>
      <c r="B1997" s="28" t="s">
        <v>37723</v>
      </c>
      <c r="C1997" s="28" t="s">
        <v>138</v>
      </c>
      <c r="D1997" s="28" t="s">
        <v>37724</v>
      </c>
      <c r="E1997" s="28" t="s">
        <v>138</v>
      </c>
      <c r="F1997" s="28" t="s">
        <v>37722</v>
      </c>
      <c r="G1997" s="28" t="s">
        <v>37725</v>
      </c>
      <c r="H1997" s="28" t="s">
        <v>385</v>
      </c>
      <c r="I1997" s="28" t="s">
        <v>386</v>
      </c>
      <c r="J1997" s="28" t="s">
        <v>387</v>
      </c>
      <c r="K1997" s="28" t="s">
        <v>37726</v>
      </c>
      <c r="L1997" s="28" t="s">
        <v>37727</v>
      </c>
      <c r="M1997" s="28" t="s">
        <v>37728</v>
      </c>
      <c r="N1997" s="28" t="s">
        <v>147</v>
      </c>
      <c r="O1997" s="29">
        <v>36.92</v>
      </c>
      <c r="P1997" s="28" t="s">
        <v>148</v>
      </c>
      <c r="Q1997" s="28" t="s">
        <v>149</v>
      </c>
      <c r="R1997" s="28" t="s">
        <v>328</v>
      </c>
      <c r="S1997" s="28" t="s">
        <v>37729</v>
      </c>
      <c r="T1997" s="30" t="s">
        <v>138</v>
      </c>
      <c r="U1997" s="28" t="s">
        <v>138</v>
      </c>
      <c r="V1997" s="28" t="s">
        <v>138</v>
      </c>
      <c r="W1997" s="28" t="s">
        <v>138</v>
      </c>
      <c r="X1997" s="31">
        <v>2007</v>
      </c>
      <c r="Y1997" s="28" t="s">
        <v>138</v>
      </c>
      <c r="Z1997" s="28" t="s">
        <v>138</v>
      </c>
      <c r="AA1997" s="28" t="s">
        <v>138</v>
      </c>
      <c r="AB1997" s="32" t="s">
        <v>138</v>
      </c>
      <c r="AC1997" s="32" t="s">
        <v>138</v>
      </c>
      <c r="AD1997" s="32" t="s">
        <v>138</v>
      </c>
      <c r="AE1997" s="32" t="s">
        <v>138</v>
      </c>
      <c r="AF1997" s="32" t="s">
        <v>138</v>
      </c>
      <c r="AG1997" s="28" t="s">
        <v>138</v>
      </c>
      <c r="AH1997" s="32" t="s">
        <v>138</v>
      </c>
      <c r="AI1997" s="32" t="s">
        <v>138</v>
      </c>
      <c r="AJ1997" s="32" t="s">
        <v>138</v>
      </c>
      <c r="AK1997" s="28" t="s">
        <v>37730</v>
      </c>
      <c r="AL1997" s="28" t="s">
        <v>37731</v>
      </c>
      <c r="AM1997" s="28" t="s">
        <v>938</v>
      </c>
      <c r="AN1997" s="28" t="s">
        <v>37732</v>
      </c>
      <c r="AO1997" s="28" t="s">
        <v>37733</v>
      </c>
      <c r="AP1997" s="28" t="s">
        <v>37734</v>
      </c>
      <c r="AQ1997" s="28" t="s">
        <v>37735</v>
      </c>
      <c r="AR1997" s="28" t="s">
        <v>138</v>
      </c>
      <c r="AS1997" s="28" t="s">
        <v>37736</v>
      </c>
      <c r="AT1997" s="28" t="s">
        <v>138</v>
      </c>
      <c r="AU1997" s="28" t="s">
        <v>37737</v>
      </c>
      <c r="AV1997" s="28" t="s">
        <v>1319</v>
      </c>
      <c r="AW1997" s="28" t="s">
        <v>37733</v>
      </c>
      <c r="AX1997" s="28" t="s">
        <v>37738</v>
      </c>
      <c r="AY1997" s="28" t="s">
        <v>37739</v>
      </c>
      <c r="AZ1997" s="28" t="s">
        <v>530</v>
      </c>
      <c r="BA1997" s="28" t="s">
        <v>531</v>
      </c>
      <c r="BB1997" s="28" t="s">
        <v>37740</v>
      </c>
      <c r="BC1997" s="28" t="s">
        <v>37741</v>
      </c>
      <c r="BD1997" s="33">
        <v>8</v>
      </c>
      <c r="BE1997" s="28" t="s">
        <v>138</v>
      </c>
      <c r="BF1997" s="28" t="s">
        <v>138</v>
      </c>
      <c r="BG1997" s="28" t="s">
        <v>138</v>
      </c>
      <c r="BH1997" s="28" t="s">
        <v>37742</v>
      </c>
      <c r="BI1997" s="28" t="s">
        <v>138</v>
      </c>
      <c r="BJ1997" s="28" t="s">
        <v>138</v>
      </c>
      <c r="BK1997" s="28" t="s">
        <v>138</v>
      </c>
      <c r="BL1997" s="28" t="s">
        <v>138</v>
      </c>
      <c r="BM1997" s="34">
        <v>39590</v>
      </c>
      <c r="BN1997" s="29">
        <v>2.33</v>
      </c>
      <c r="BO1997" s="28" t="s">
        <v>172</v>
      </c>
      <c r="BP1997" s="29">
        <v>2.33</v>
      </c>
      <c r="BQ1997" s="28" t="s">
        <v>138</v>
      </c>
      <c r="BR1997" s="28" t="s">
        <v>349</v>
      </c>
      <c r="BS1997" s="28" t="s">
        <v>138</v>
      </c>
      <c r="BT1997" s="28" t="s">
        <v>138</v>
      </c>
      <c r="BU1997" s="28" t="s">
        <v>351</v>
      </c>
      <c r="BV1997" s="28" t="s">
        <v>138</v>
      </c>
      <c r="BW1997" s="28" t="s">
        <v>138</v>
      </c>
      <c r="BX1997" s="28" t="s">
        <v>138</v>
      </c>
      <c r="BY1997" s="28" t="s">
        <v>175</v>
      </c>
      <c r="BZ1997" s="34">
        <v>42920</v>
      </c>
      <c r="CA1997" s="29" t="s">
        <v>138</v>
      </c>
      <c r="CB1997" s="28" t="s">
        <v>138</v>
      </c>
      <c r="CC1997" s="29" t="s">
        <v>138</v>
      </c>
      <c r="CD1997" s="28" t="s">
        <v>138</v>
      </c>
      <c r="CE1997" s="28" t="s">
        <v>173</v>
      </c>
      <c r="CF1997" s="28" t="s">
        <v>138</v>
      </c>
      <c r="CG1997" s="28" t="s">
        <v>138</v>
      </c>
      <c r="CH1997" s="28" t="s">
        <v>174</v>
      </c>
      <c r="CI1997" s="28" t="s">
        <v>138</v>
      </c>
      <c r="CJ1997" s="28" t="s">
        <v>138</v>
      </c>
      <c r="CK1997" s="28" t="s">
        <v>138</v>
      </c>
      <c r="CL1997" s="28" t="s">
        <v>1831</v>
      </c>
      <c r="CM1997" s="34" t="s">
        <v>138</v>
      </c>
      <c r="CN1997" s="29" t="s">
        <v>138</v>
      </c>
      <c r="CO1997" s="35" t="s">
        <v>138</v>
      </c>
      <c r="CP1997" s="36" t="s">
        <v>138</v>
      </c>
      <c r="CQ1997" s="35" t="s">
        <v>138</v>
      </c>
      <c r="CR1997" s="35" t="s">
        <v>138</v>
      </c>
      <c r="CS1997" s="35" t="s">
        <v>138</v>
      </c>
      <c r="CT1997" s="36" t="s">
        <v>138</v>
      </c>
      <c r="CU1997" s="35" t="s">
        <v>138</v>
      </c>
      <c r="CV1997" s="36" t="s">
        <v>138</v>
      </c>
      <c r="CW1997" s="35" t="s">
        <v>138</v>
      </c>
      <c r="CX1997" s="36" t="s">
        <v>138</v>
      </c>
      <c r="CY1997" s="35" t="s">
        <v>138</v>
      </c>
      <c r="CZ1997" s="36" t="s">
        <v>138</v>
      </c>
      <c r="DA1997" s="35" t="s">
        <v>138</v>
      </c>
      <c r="DB1997" s="36" t="s">
        <v>138</v>
      </c>
      <c r="DC1997" s="37" t="s">
        <v>138</v>
      </c>
      <c r="DD1997" s="36" t="s">
        <v>138</v>
      </c>
      <c r="DE1997" s="37" t="s">
        <v>138</v>
      </c>
      <c r="DF1997" s="35" t="s">
        <v>138</v>
      </c>
      <c r="DG1997" s="37" t="s">
        <v>138</v>
      </c>
      <c r="DH1997" s="36" t="s">
        <v>138</v>
      </c>
      <c r="DI1997" s="37" t="s">
        <v>138</v>
      </c>
      <c r="DJ1997" s="36" t="s">
        <v>138</v>
      </c>
      <c r="DK1997" s="37" t="s">
        <v>138</v>
      </c>
      <c r="DL1997" s="36" t="s">
        <v>138</v>
      </c>
      <c r="DM1997" s="37" t="s">
        <v>138</v>
      </c>
      <c r="DN1997" s="36" t="s">
        <v>138</v>
      </c>
      <c r="DO1997" s="37" t="s">
        <v>138</v>
      </c>
      <c r="DP1997" s="36" t="s">
        <v>138</v>
      </c>
      <c r="DQ1997" s="36" t="s">
        <v>138</v>
      </c>
      <c r="DR1997" s="38" t="s">
        <v>138</v>
      </c>
      <c r="DS1997" s="35" t="s">
        <v>138</v>
      </c>
      <c r="DT1997" s="36" t="s">
        <v>138</v>
      </c>
      <c r="DU1997" s="38" t="s">
        <v>138</v>
      </c>
      <c r="DV1997" s="35" t="s">
        <v>138</v>
      </c>
      <c r="DW1997" s="36" t="s">
        <v>138</v>
      </c>
      <c r="DX1997" s="39" t="s">
        <v>138</v>
      </c>
      <c r="DY1997" s="35" t="s">
        <v>138</v>
      </c>
      <c r="DZ1997" s="28" t="s">
        <v>178</v>
      </c>
      <c r="EA1997" s="34">
        <v>43448</v>
      </c>
      <c r="EB1997" s="29">
        <v>2.33</v>
      </c>
      <c r="EC1997" s="34">
        <v>39590</v>
      </c>
      <c r="ED1997" s="28" t="s">
        <v>349</v>
      </c>
      <c r="EE1997" s="40" t="str">
        <f>HYPERLINK("https://my.pitchbook.com?c=56695-78", "View company online")</f>
        <v>View company online</v>
      </c>
    </row>
    <row r="1998" spans="1:135">
      <c r="A1998" s="15" t="s">
        <v>37743</v>
      </c>
      <c r="B1998" s="15" t="s">
        <v>37744</v>
      </c>
      <c r="C1998" s="15" t="s">
        <v>138</v>
      </c>
      <c r="D1998" s="15" t="s">
        <v>138</v>
      </c>
      <c r="E1998" s="15" t="s">
        <v>37745</v>
      </c>
      <c r="F1998" s="15" t="s">
        <v>37743</v>
      </c>
      <c r="G1998" s="15" t="s">
        <v>37746</v>
      </c>
      <c r="H1998" s="15" t="s">
        <v>322</v>
      </c>
      <c r="I1998" s="15" t="s">
        <v>323</v>
      </c>
      <c r="J1998" s="15" t="s">
        <v>1235</v>
      </c>
      <c r="K1998" s="15" t="s">
        <v>37747</v>
      </c>
      <c r="L1998" s="15" t="s">
        <v>855</v>
      </c>
      <c r="M1998" s="15" t="s">
        <v>37748</v>
      </c>
      <c r="N1998" s="15" t="s">
        <v>1452</v>
      </c>
      <c r="O1998" s="17">
        <v>35.28</v>
      </c>
      <c r="P1998" s="15" t="s">
        <v>148</v>
      </c>
      <c r="Q1998" s="15" t="s">
        <v>149</v>
      </c>
      <c r="R1998" s="15" t="s">
        <v>328</v>
      </c>
      <c r="S1998" s="15" t="s">
        <v>37749</v>
      </c>
      <c r="T1998" s="18">
        <v>50</v>
      </c>
      <c r="U1998" s="15" t="s">
        <v>37750</v>
      </c>
      <c r="V1998" s="15" t="s">
        <v>138</v>
      </c>
      <c r="W1998" s="15" t="s">
        <v>138</v>
      </c>
      <c r="X1998" s="19">
        <v>2012</v>
      </c>
      <c r="Y1998" s="15" t="s">
        <v>138</v>
      </c>
      <c r="Z1998" s="15" t="s">
        <v>138</v>
      </c>
      <c r="AA1998" s="15" t="s">
        <v>138</v>
      </c>
      <c r="AB1998" s="20" t="s">
        <v>138</v>
      </c>
      <c r="AC1998" s="20" t="s">
        <v>138</v>
      </c>
      <c r="AD1998" s="20" t="s">
        <v>138</v>
      </c>
      <c r="AE1998" s="20" t="s">
        <v>138</v>
      </c>
      <c r="AF1998" s="20" t="s">
        <v>138</v>
      </c>
      <c r="AG1998" s="15" t="s">
        <v>138</v>
      </c>
      <c r="AH1998" s="20" t="s">
        <v>138</v>
      </c>
      <c r="AI1998" s="20" t="s">
        <v>138</v>
      </c>
      <c r="AJ1998" s="20" t="s">
        <v>138</v>
      </c>
      <c r="AK1998" s="15" t="s">
        <v>37751</v>
      </c>
      <c r="AL1998" s="15" t="s">
        <v>37752</v>
      </c>
      <c r="AM1998" s="15" t="s">
        <v>304</v>
      </c>
      <c r="AN1998" s="15" t="s">
        <v>37753</v>
      </c>
      <c r="AO1998" s="15" t="s">
        <v>37754</v>
      </c>
      <c r="AP1998" s="15" t="s">
        <v>3108</v>
      </c>
      <c r="AQ1998" s="15" t="s">
        <v>37755</v>
      </c>
      <c r="AR1998" s="15" t="s">
        <v>138</v>
      </c>
      <c r="AS1998" s="15" t="s">
        <v>3111</v>
      </c>
      <c r="AT1998" s="15" t="s">
        <v>3112</v>
      </c>
      <c r="AU1998" s="15" t="s">
        <v>37756</v>
      </c>
      <c r="AV1998" s="15" t="s">
        <v>2742</v>
      </c>
      <c r="AW1998" s="15" t="s">
        <v>37754</v>
      </c>
      <c r="AX1998" s="15" t="s">
        <v>138</v>
      </c>
      <c r="AY1998" s="15" t="s">
        <v>37757</v>
      </c>
      <c r="AZ1998" s="15" t="s">
        <v>164</v>
      </c>
      <c r="BA1998" s="15" t="s">
        <v>165</v>
      </c>
      <c r="BB1998" s="15" t="s">
        <v>37758</v>
      </c>
      <c r="BC1998" s="15" t="s">
        <v>37759</v>
      </c>
      <c r="BD1998" s="21">
        <v>11</v>
      </c>
      <c r="BE1998" s="15" t="s">
        <v>138</v>
      </c>
      <c r="BF1998" s="15" t="s">
        <v>138</v>
      </c>
      <c r="BG1998" s="15" t="s">
        <v>138</v>
      </c>
      <c r="BH1998" s="15" t="s">
        <v>37760</v>
      </c>
      <c r="BI1998" s="15" t="s">
        <v>138</v>
      </c>
      <c r="BJ1998" s="15" t="s">
        <v>138</v>
      </c>
      <c r="BK1998" s="15" t="s">
        <v>37761</v>
      </c>
      <c r="BL1998" s="15" t="s">
        <v>138</v>
      </c>
      <c r="BM1998" s="22" t="s">
        <v>138</v>
      </c>
      <c r="BN1998" s="17" t="s">
        <v>138</v>
      </c>
      <c r="BO1998" s="15" t="s">
        <v>138</v>
      </c>
      <c r="BP1998" s="17" t="s">
        <v>138</v>
      </c>
      <c r="BQ1998" s="15" t="s">
        <v>138</v>
      </c>
      <c r="BR1998" s="15" t="s">
        <v>205</v>
      </c>
      <c r="BS1998" s="15" t="s">
        <v>138</v>
      </c>
      <c r="BT1998" s="15" t="s">
        <v>138</v>
      </c>
      <c r="BU1998" s="15" t="s">
        <v>174</v>
      </c>
      <c r="BV1998" s="15" t="s">
        <v>138</v>
      </c>
      <c r="BW1998" s="15" t="s">
        <v>138</v>
      </c>
      <c r="BX1998" s="15" t="s">
        <v>138</v>
      </c>
      <c r="BY1998" s="15" t="s">
        <v>175</v>
      </c>
      <c r="BZ1998" s="22">
        <v>43200</v>
      </c>
      <c r="CA1998" s="17" t="s">
        <v>138</v>
      </c>
      <c r="CB1998" s="15" t="s">
        <v>138</v>
      </c>
      <c r="CC1998" s="17" t="s">
        <v>138</v>
      </c>
      <c r="CD1998" s="15" t="s">
        <v>138</v>
      </c>
      <c r="CE1998" s="15" t="s">
        <v>173</v>
      </c>
      <c r="CF1998" s="15" t="s">
        <v>138</v>
      </c>
      <c r="CG1998" s="15" t="s">
        <v>138</v>
      </c>
      <c r="CH1998" s="15" t="s">
        <v>174</v>
      </c>
      <c r="CI1998" s="15" t="s">
        <v>138</v>
      </c>
      <c r="CJ1998" s="15" t="s">
        <v>138</v>
      </c>
      <c r="CK1998" s="15" t="s">
        <v>138</v>
      </c>
      <c r="CL1998" s="15" t="s">
        <v>175</v>
      </c>
      <c r="CM1998" s="22" t="s">
        <v>138</v>
      </c>
      <c r="CN1998" s="17" t="s">
        <v>138</v>
      </c>
      <c r="CO1998" s="23">
        <v>1.1599999999999999</v>
      </c>
      <c r="CP1998" s="24">
        <v>98</v>
      </c>
      <c r="CQ1998" s="23">
        <v>-7.0000000000000007E-2</v>
      </c>
      <c r="CR1998" s="23">
        <v>-5.61</v>
      </c>
      <c r="CS1998" s="23">
        <v>1.62</v>
      </c>
      <c r="CT1998" s="24">
        <v>98</v>
      </c>
      <c r="CU1998" s="23">
        <v>0.7</v>
      </c>
      <c r="CV1998" s="24">
        <v>96</v>
      </c>
      <c r="CW1998" s="23">
        <v>3.24</v>
      </c>
      <c r="CX1998" s="24">
        <v>92</v>
      </c>
      <c r="CY1998" s="23">
        <v>0</v>
      </c>
      <c r="CZ1998" s="24">
        <v>25</v>
      </c>
      <c r="DA1998" s="23">
        <v>0.92</v>
      </c>
      <c r="DB1998" s="24">
        <v>98</v>
      </c>
      <c r="DC1998" s="25">
        <v>2.97</v>
      </c>
      <c r="DD1998" s="24">
        <v>75</v>
      </c>
      <c r="DE1998" s="25">
        <v>-0.11</v>
      </c>
      <c r="DF1998" s="23">
        <v>-3.67</v>
      </c>
      <c r="DG1998" s="25">
        <v>3.32</v>
      </c>
      <c r="DH1998" s="24">
        <v>76</v>
      </c>
      <c r="DI1998" s="25">
        <v>2.62</v>
      </c>
      <c r="DJ1998" s="24">
        <v>67</v>
      </c>
      <c r="DK1998" s="25">
        <v>4.03</v>
      </c>
      <c r="DL1998" s="24">
        <v>76</v>
      </c>
      <c r="DM1998" s="25">
        <v>2.62</v>
      </c>
      <c r="DN1998" s="24">
        <v>71</v>
      </c>
      <c r="DO1998" s="25">
        <v>4.72</v>
      </c>
      <c r="DP1998" s="24">
        <v>78</v>
      </c>
      <c r="DQ1998" s="24">
        <v>1335</v>
      </c>
      <c r="DR1998" s="26">
        <v>139</v>
      </c>
      <c r="DS1998" s="23">
        <v>11.62</v>
      </c>
      <c r="DT1998" s="24">
        <v>76</v>
      </c>
      <c r="DU1998" s="26">
        <v>1</v>
      </c>
      <c r="DV1998" s="23">
        <v>1.33</v>
      </c>
      <c r="DW1998" s="24">
        <v>1682</v>
      </c>
      <c r="DX1998" s="27">
        <v>10</v>
      </c>
      <c r="DY1998" s="23">
        <v>0.6</v>
      </c>
      <c r="DZ1998" s="15" t="s">
        <v>178</v>
      </c>
      <c r="EA1998" s="22">
        <v>43622</v>
      </c>
      <c r="EB1998" s="17" t="s">
        <v>138</v>
      </c>
      <c r="EC1998" s="22" t="s">
        <v>138</v>
      </c>
      <c r="ED1998" s="15" t="s">
        <v>138</v>
      </c>
      <c r="EE1998" s="14" t="str">
        <f>HYPERLINK("https://my.pitchbook.com?c=112586-59", "View company online")</f>
        <v>View company online</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Pitchbook</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PitchBook</dc:creator>
  <cp:lastModifiedBy>Gresa Murati</cp:lastModifiedBy>
  <dcterms:created xsi:type="dcterms:W3CDTF">2010-12-15T16:54:07Z</dcterms:created>
  <dcterms:modified xsi:type="dcterms:W3CDTF">2020-03-22T20:35:05Z</dcterms:modified>
</cp:coreProperties>
</file>